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tables/table4.xml" ContentType="application/vnd.openxmlformats-officedocument.spreadsheetml.table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comments4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tables/table7.xml" ContentType="application/vnd.openxmlformats-officedocument.spreadsheetml.table+xml"/>
  <Override PartName="/xl/drawings/drawing10.xml" ContentType="application/vnd.openxmlformats-officedocument.drawing+xml"/>
  <Override PartName="/xl/tables/table8.xml" ContentType="application/vnd.openxmlformats-officedocument.spreadsheetml.table+xml"/>
  <Override PartName="/xl/drawings/drawing11.xml" ContentType="application/vnd.openxmlformats-officedocument.drawing+xml"/>
  <Override PartName="/xl/tables/table9.xml" ContentType="application/vnd.openxmlformats-officedocument.spreadsheetml.table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tables/table10.xml" ContentType="application/vnd.openxmlformats-officedocument.spreadsheetml.table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tables/table11.xml" ContentType="application/vnd.openxmlformats-officedocument.spreadsheetml.table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tables/table12.xml" ContentType="application/vnd.openxmlformats-officedocument.spreadsheetml.table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tables/table13.xml" ContentType="application/vnd.openxmlformats-officedocument.spreadsheetml.table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tables/table14.xml" ContentType="application/vnd.openxmlformats-officedocument.spreadsheetml.table+xml"/>
  <Override PartName="/xl/comments10.xml" ContentType="application/vnd.openxmlformats-officedocument.spreadsheetml.comments+xml"/>
  <Override PartName="/xl/drawings/drawing17.xml" ContentType="application/vnd.openxmlformats-officedocument.drawing+xml"/>
  <Override PartName="/xl/tables/table15.xml" ContentType="application/vnd.openxmlformats-officedocument.spreadsheetml.table+xml"/>
  <Override PartName="/xl/drawings/drawing18.xml" ContentType="application/vnd.openxmlformats-officedocument.drawing+xml"/>
  <Override PartName="/xl/tables/table16.xml" ContentType="application/vnd.openxmlformats-officedocument.spreadsheetml.table+xml"/>
  <Override PartName="/xl/comments11.xml" ContentType="application/vnd.openxmlformats-officedocument.spreadsheetml.comments+xml"/>
  <Override PartName="/xl/drawings/drawing19.xml" ContentType="application/vnd.openxmlformats-officedocument.drawing+xml"/>
  <Override PartName="/xl/tables/table17.xml" ContentType="application/vnd.openxmlformats-officedocument.spreadsheetml.table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jasmin.candelario\Desktop\PLAN ANUAL DE COMPRAS\"/>
    </mc:Choice>
  </mc:AlternateContent>
  <bookViews>
    <workbookView xWindow="0" yWindow="0" windowWidth="16815" windowHeight="7755" tabRatio="831"/>
  </bookViews>
  <sheets>
    <sheet name="PACC 2017" sheetId="25" r:id="rId1"/>
    <sheet name="SNCC-F053 PACC 2015 01" sheetId="2" state="hidden" r:id="rId2"/>
    <sheet name="SNCC-F053 PACC 2015 (2)" sheetId="5" state="hidden" r:id="rId3"/>
    <sheet name="SNCC-F053 PACC 2015 (3)" sheetId="6" state="hidden" r:id="rId4"/>
    <sheet name="Planilla General Seguimieno PAC" sheetId="24" state="hidden" r:id="rId5"/>
    <sheet name="Hoja1" sheetId="7" state="hidden" r:id="rId6"/>
    <sheet name="Resumen 2017" sheetId="26" r:id="rId7"/>
    <sheet name="DIR. CALIDAD DE AGUA" sheetId="28" r:id="rId8"/>
    <sheet name="VEHICULOS" sheetId="27" r:id="rId9"/>
    <sheet name="DIR. INGENIERIA 2016" sheetId="29" r:id="rId10"/>
    <sheet name="DIR. INGENIERIA (OBRAS)" sheetId="30" r:id="rId11"/>
    <sheet name="RECURSOS HUMANOS" sheetId="31" r:id="rId12"/>
    <sheet name="PROV. DESARR." sheetId="33" r:id="rId13"/>
    <sheet name="PACC 2017 UEAR" sheetId="35" r:id="rId14"/>
    <sheet name="PACC 2017 OAI" sheetId="36" r:id="rId15"/>
    <sheet name="PACC 2017 ADM" sheetId="37" r:id="rId16"/>
    <sheet name="PACC 2017 COMUNICACIONES" sheetId="38" r:id="rId17"/>
    <sheet name="PACC 2017 DIR. COMERCIAL" sheetId="39" r:id="rId18"/>
    <sheet name="PACC 2017 PLANIFICACION" sheetId="40" r:id="rId19"/>
    <sheet name="PACC 2017 EQUIDAD DE GENERO" sheetId="41" r:id="rId20"/>
    <sheet name="Hoja10" sheetId="42" r:id="rId21"/>
  </sheets>
  <externalReferences>
    <externalReference r:id="rId22"/>
    <externalReference r:id="rId23"/>
  </externalReferences>
  <definedNames>
    <definedName name="_xlnm.Print_Area" localSheetId="10">'DIR. INGENIERIA (OBRAS)'!$A$1:$N$147</definedName>
    <definedName name="_xlnm.Print_Area" localSheetId="9">'DIR. INGENIERIA 2016'!$A$1:$N$77</definedName>
    <definedName name="_xlnm.Print_Area" localSheetId="5">Hoja1!$A$1:$O$55</definedName>
    <definedName name="_xlnm.Print_Area" localSheetId="17">'PACC 2017 DIR. COMERCIAL'!$A$1:$N$793</definedName>
    <definedName name="_xlnm.Print_Area" localSheetId="12">'PROV. DESARR.'!$B$2:$O$1906</definedName>
    <definedName name="_xlnm.Print_Area" localSheetId="2">'SNCC-F053 PACC 2015 (2)'!$A$1:$N$797</definedName>
    <definedName name="_xlnm.Print_Area" localSheetId="3">'SNCC-F053 PACC 2015 (3)'!$A$1:$N$797</definedName>
    <definedName name="_xlnm.Print_Area" localSheetId="1">'SNCC-F053 PACC 2015 01'!$A$1:$N$797</definedName>
    <definedName name="_xlnm.Print_Titles" localSheetId="10">'DIR. INGENIERIA (OBRAS)'!$1:$10</definedName>
    <definedName name="_xlnm.Print_Titles" localSheetId="9">'DIR. INGENIERIA 2016'!$1:$10</definedName>
    <definedName name="_xlnm.Print_Titles" localSheetId="17">'PACC 2017 DIR. COMERCIAL'!$2:$10</definedName>
    <definedName name="_xlnm.Print_Titles" localSheetId="12">'PROV. DESARR.'!$2:$12</definedName>
    <definedName name="_xlnm.Print_Titles" localSheetId="2">'SNCC-F053 PACC 2015 (2)'!$1:$10</definedName>
    <definedName name="_xlnm.Print_Titles" localSheetId="3">'SNCC-F053 PACC 2015 (3)'!$1:$10</definedName>
    <definedName name="_xlnm.Print_Titles" localSheetId="1">'SNCC-F053 PACC 2015 01'!$1:$10</definedName>
  </definedNames>
  <calcPr calcId="152511" calcMode="manual"/>
</workbook>
</file>

<file path=xl/calcChain.xml><?xml version="1.0" encoding="utf-8"?>
<calcChain xmlns="http://schemas.openxmlformats.org/spreadsheetml/2006/main">
  <c r="H73" i="25" l="1"/>
  <c r="J73" i="25" s="1"/>
  <c r="H61" i="25"/>
  <c r="J61" i="25" s="1"/>
  <c r="H60" i="25"/>
  <c r="J60" i="25" s="1"/>
  <c r="H1603" i="25" l="1"/>
  <c r="J1603" i="25" s="1"/>
  <c r="G1603" i="25"/>
  <c r="H64" i="25" l="1"/>
  <c r="H65" i="25"/>
  <c r="H66" i="25"/>
  <c r="H67" i="25"/>
  <c r="H68" i="25"/>
  <c r="H63" i="25"/>
  <c r="H2041" i="25" l="1"/>
  <c r="J2041" i="25" s="1"/>
  <c r="H2040" i="25"/>
  <c r="J2040" i="25" s="1"/>
  <c r="D34" i="25" l="1"/>
  <c r="G28" i="25"/>
  <c r="H1949" i="25" l="1"/>
  <c r="H2059" i="25" l="1"/>
  <c r="J2059" i="25" s="1"/>
  <c r="H52" i="25" l="1"/>
  <c r="H53" i="25"/>
  <c r="H54" i="25"/>
  <c r="H130" i="25"/>
  <c r="H172" i="25"/>
  <c r="H1460" i="25"/>
  <c r="H1939" i="25"/>
  <c r="H2014" i="25"/>
  <c r="H2013" i="25"/>
  <c r="H2012" i="25"/>
  <c r="H2011" i="25"/>
  <c r="H2010" i="25"/>
  <c r="H2009" i="25"/>
  <c r="H2008" i="25"/>
  <c r="H2007" i="25"/>
  <c r="H2006" i="25"/>
  <c r="H2005" i="25"/>
  <c r="H2004" i="25"/>
  <c r="H2003" i="25"/>
  <c r="H2002" i="25"/>
  <c r="H2001" i="25"/>
  <c r="H2000" i="25"/>
  <c r="H1999" i="25"/>
  <c r="H1998" i="25"/>
  <c r="H1997" i="25"/>
  <c r="H1996" i="25"/>
  <c r="H1995" i="25"/>
  <c r="H1994" i="25"/>
  <c r="H110" i="25" l="1"/>
  <c r="H99" i="25"/>
  <c r="D1845" i="25" l="1"/>
  <c r="D1844" i="25"/>
  <c r="D1843" i="25"/>
  <c r="D1842" i="25"/>
  <c r="D1841" i="25"/>
  <c r="E1742" i="25"/>
  <c r="D1742" i="25"/>
  <c r="D1687" i="25"/>
  <c r="G1562" i="25"/>
  <c r="F1562" i="25"/>
  <c r="E1562" i="25"/>
  <c r="D1562" i="25"/>
  <c r="G1557" i="25"/>
  <c r="E1557" i="25"/>
  <c r="E1554" i="25"/>
  <c r="G1553" i="25"/>
  <c r="F1553" i="25"/>
  <c r="E1553" i="25"/>
  <c r="D1553" i="25"/>
  <c r="H1383" i="25"/>
  <c r="G1549" i="25"/>
  <c r="D1549" i="25"/>
  <c r="D1548" i="25"/>
  <c r="D1544" i="25"/>
  <c r="G1539" i="25"/>
  <c r="D1539" i="25"/>
  <c r="D1538" i="25"/>
  <c r="F1537" i="25"/>
  <c r="E1537" i="25"/>
  <c r="D1537" i="25"/>
  <c r="E1521" i="25"/>
  <c r="D1521" i="25"/>
  <c r="D1519" i="25"/>
  <c r="D1518" i="25"/>
  <c r="D1517" i="25"/>
  <c r="D1515" i="25"/>
  <c r="E1512" i="25"/>
  <c r="E1511" i="25"/>
  <c r="D1511" i="25"/>
  <c r="F1500" i="25"/>
  <c r="G1499" i="25"/>
  <c r="D1499" i="25"/>
  <c r="G1498" i="25"/>
  <c r="F1498" i="25"/>
  <c r="E1498" i="25"/>
  <c r="D1498" i="25"/>
  <c r="G1497" i="25"/>
  <c r="F1497" i="25"/>
  <c r="E1497" i="25"/>
  <c r="D1497" i="25"/>
  <c r="G1496" i="25"/>
  <c r="F1496" i="25"/>
  <c r="E1496" i="25"/>
  <c r="D1496" i="25"/>
  <c r="G1495" i="25"/>
  <c r="G1494" i="25"/>
  <c r="D1495" i="25"/>
  <c r="D1494" i="25"/>
  <c r="G1492" i="25"/>
  <c r="D1492" i="25"/>
  <c r="G1447" i="25"/>
  <c r="D1447" i="25"/>
  <c r="G1446" i="25"/>
  <c r="D1446" i="25"/>
  <c r="G1445" i="25"/>
  <c r="D1445" i="25"/>
  <c r="G1444" i="25"/>
  <c r="D1444" i="25"/>
  <c r="G1443" i="25"/>
  <c r="D1443" i="25"/>
  <c r="F1442" i="25"/>
  <c r="D1442" i="25"/>
  <c r="G1441" i="25"/>
  <c r="F1441" i="25"/>
  <c r="E1441" i="25"/>
  <c r="D1441" i="25"/>
  <c r="G1439" i="25"/>
  <c r="F1439" i="25"/>
  <c r="F1438" i="25"/>
  <c r="D1438" i="25"/>
  <c r="G1436" i="25"/>
  <c r="F1436" i="25"/>
  <c r="G1434" i="25"/>
  <c r="G1433" i="25"/>
  <c r="G1432" i="25"/>
  <c r="G1431" i="25"/>
  <c r="G1428" i="25"/>
  <c r="F1428" i="25"/>
  <c r="E1428" i="25"/>
  <c r="D1428" i="25"/>
  <c r="G1427" i="25"/>
  <c r="F1427" i="25"/>
  <c r="E1427" i="25"/>
  <c r="D1427" i="25"/>
  <c r="E1425" i="25"/>
  <c r="G1424" i="25"/>
  <c r="F1424" i="25"/>
  <c r="E1424" i="25"/>
  <c r="D1424" i="25"/>
  <c r="G1417" i="25"/>
  <c r="F1417" i="25"/>
  <c r="E1417" i="25"/>
  <c r="D1417" i="25"/>
  <c r="D1416" i="25"/>
  <c r="D1415" i="25"/>
  <c r="G1414" i="25"/>
  <c r="F1414" i="25"/>
  <c r="E1414" i="25"/>
  <c r="D1414" i="25"/>
  <c r="G1413" i="25"/>
  <c r="F1413" i="25"/>
  <c r="E1413" i="25"/>
  <c r="D1413" i="25"/>
  <c r="G1412" i="25"/>
  <c r="F1412" i="25"/>
  <c r="E1412" i="25"/>
  <c r="D1412" i="25"/>
  <c r="G1411" i="25"/>
  <c r="F1411" i="25"/>
  <c r="E1411" i="25"/>
  <c r="D1411" i="25"/>
  <c r="G1410" i="25"/>
  <c r="F1410" i="25"/>
  <c r="G1409" i="25"/>
  <c r="F1409" i="25"/>
  <c r="E1409" i="25"/>
  <c r="D1409" i="25"/>
  <c r="G1408" i="25"/>
  <c r="F1408" i="25"/>
  <c r="E1408" i="25"/>
  <c r="D1408" i="25"/>
  <c r="F1402" i="25"/>
  <c r="E1402" i="25"/>
  <c r="D1402" i="25"/>
  <c r="G1390" i="25"/>
  <c r="F1390" i="25"/>
  <c r="E1390" i="25"/>
  <c r="D1390" i="25"/>
  <c r="D1388" i="25"/>
  <c r="F1387" i="25"/>
  <c r="G1386" i="25"/>
  <c r="F1386" i="25"/>
  <c r="E1386" i="25"/>
  <c r="D1386" i="25"/>
  <c r="D1382" i="25"/>
  <c r="G1381" i="25"/>
  <c r="F1381" i="25"/>
  <c r="E1381" i="25"/>
  <c r="D1381" i="25"/>
  <c r="D1379" i="25"/>
  <c r="G1373" i="25"/>
  <c r="F1373" i="25"/>
  <c r="E1373" i="25"/>
  <c r="D1373" i="25"/>
  <c r="G1369" i="25"/>
  <c r="F1369" i="25"/>
  <c r="G1368" i="25"/>
  <c r="F1368" i="25"/>
  <c r="H1421" i="41" l="1"/>
  <c r="J1421" i="41" s="1"/>
  <c r="H1420" i="41"/>
  <c r="J1420" i="41" s="1"/>
  <c r="J1419" i="41"/>
  <c r="H1419" i="41"/>
  <c r="J1418" i="41"/>
  <c r="H1417" i="41"/>
  <c r="J1417" i="41" s="1"/>
  <c r="H1416" i="41"/>
  <c r="J1416" i="41" s="1"/>
  <c r="H1415" i="41"/>
  <c r="J1415" i="41" s="1"/>
  <c r="H1412" i="41"/>
  <c r="J1412" i="41" s="1"/>
  <c r="H1411" i="41"/>
  <c r="J1411" i="41" s="1"/>
  <c r="H1410" i="41"/>
  <c r="J1410" i="41" s="1"/>
  <c r="H1409" i="41"/>
  <c r="J1409" i="41" s="1"/>
  <c r="K1422" i="41" s="1"/>
  <c r="J1407" i="41"/>
  <c r="J1406" i="41"/>
  <c r="H1406" i="41"/>
  <c r="J1405" i="41"/>
  <c r="H1405" i="41"/>
  <c r="J1402" i="41"/>
  <c r="H1402" i="41"/>
  <c r="J1401" i="41"/>
  <c r="H1401" i="41"/>
  <c r="J1400" i="41"/>
  <c r="H1400" i="41"/>
  <c r="J1399" i="41"/>
  <c r="H1399" i="41"/>
  <c r="J1398" i="41"/>
  <c r="H1398" i="41"/>
  <c r="J1397" i="41"/>
  <c r="H1397" i="41"/>
  <c r="J1396" i="41"/>
  <c r="H1396" i="41"/>
  <c r="J1395" i="41"/>
  <c r="H1395" i="41"/>
  <c r="J1394" i="41"/>
  <c r="H1394" i="41"/>
  <c r="H1393" i="41"/>
  <c r="J1393" i="41" s="1"/>
  <c r="H1392" i="41"/>
  <c r="J1392" i="41" s="1"/>
  <c r="H1391" i="41"/>
  <c r="J1391" i="41" s="1"/>
  <c r="J1390" i="41"/>
  <c r="H1390" i="41"/>
  <c r="H1389" i="41"/>
  <c r="J1389" i="41" s="1"/>
  <c r="H1388" i="41"/>
  <c r="J1388" i="41" s="1"/>
  <c r="H1387" i="41"/>
  <c r="J1387" i="41" s="1"/>
  <c r="J1386" i="41"/>
  <c r="H1386" i="41"/>
  <c r="H1385" i="41"/>
  <c r="J1385" i="41" s="1"/>
  <c r="H1384" i="41"/>
  <c r="J1384" i="41" s="1"/>
  <c r="H1383" i="41"/>
  <c r="J1383" i="41" s="1"/>
  <c r="J1382" i="41"/>
  <c r="H1382" i="41"/>
  <c r="H1381" i="41"/>
  <c r="J1381" i="41" s="1"/>
  <c r="H1380" i="41"/>
  <c r="J1380" i="41" s="1"/>
  <c r="H1379" i="41"/>
  <c r="J1379" i="41" s="1"/>
  <c r="J1378" i="41"/>
  <c r="H1378" i="41"/>
  <c r="H1377" i="41"/>
  <c r="J1377" i="41" s="1"/>
  <c r="H1376" i="41"/>
  <c r="J1376" i="41" s="1"/>
  <c r="H1375" i="41"/>
  <c r="J1375" i="41" s="1"/>
  <c r="J1374" i="41"/>
  <c r="H1374" i="41"/>
  <c r="H1373" i="41"/>
  <c r="J1373" i="41" s="1"/>
  <c r="H1372" i="41"/>
  <c r="J1372" i="41" s="1"/>
  <c r="H1371" i="41"/>
  <c r="J1371" i="41" s="1"/>
  <c r="J1370" i="41"/>
  <c r="H1370" i="41"/>
  <c r="H1369" i="41"/>
  <c r="J1369" i="41" s="1"/>
  <c r="H1368" i="41"/>
  <c r="J1368" i="41" s="1"/>
  <c r="H1367" i="41"/>
  <c r="J1367" i="41" s="1"/>
  <c r="J1366" i="41"/>
  <c r="H1366" i="41"/>
  <c r="H1365" i="41"/>
  <c r="J1365" i="41" s="1"/>
  <c r="H1364" i="41"/>
  <c r="J1364" i="41" s="1"/>
  <c r="H1363" i="41"/>
  <c r="J1363" i="41" s="1"/>
  <c r="J1362" i="41"/>
  <c r="H1362" i="41"/>
  <c r="H1361" i="41"/>
  <c r="J1361" i="41" s="1"/>
  <c r="H1360" i="41"/>
  <c r="J1360" i="41" s="1"/>
  <c r="H1359" i="41"/>
  <c r="J1359" i="41" s="1"/>
  <c r="J1358" i="41"/>
  <c r="H1358" i="41"/>
  <c r="H1357" i="41"/>
  <c r="J1357" i="41" s="1"/>
  <c r="H1356" i="41"/>
  <c r="J1356" i="41" s="1"/>
  <c r="H1355" i="41"/>
  <c r="J1355" i="41" s="1"/>
  <c r="J1354" i="41"/>
  <c r="H1354" i="41"/>
  <c r="H1353" i="41"/>
  <c r="J1353" i="41" s="1"/>
  <c r="H1352" i="41"/>
  <c r="J1352" i="41" s="1"/>
  <c r="H1351" i="41"/>
  <c r="J1351" i="41" s="1"/>
  <c r="J1350" i="41"/>
  <c r="H1350" i="41"/>
  <c r="H1349" i="41"/>
  <c r="J1349" i="41" s="1"/>
  <c r="H1348" i="41"/>
  <c r="J1348" i="41" s="1"/>
  <c r="H1347" i="41"/>
  <c r="J1347" i="41" s="1"/>
  <c r="J1346" i="41"/>
  <c r="H1346" i="41"/>
  <c r="H1345" i="41"/>
  <c r="J1345" i="41" s="1"/>
  <c r="H1343" i="41"/>
  <c r="J1343" i="41" s="1"/>
  <c r="H1342" i="41"/>
  <c r="J1342" i="41" s="1"/>
  <c r="J1341" i="41"/>
  <c r="H1341" i="41"/>
  <c r="H1340" i="41"/>
  <c r="J1340" i="41" s="1"/>
  <c r="H1339" i="41"/>
  <c r="J1339" i="41" s="1"/>
  <c r="H1338" i="41"/>
  <c r="J1338" i="41" s="1"/>
  <c r="K1344" i="41" s="1"/>
  <c r="H1336" i="41"/>
  <c r="J1336" i="41" s="1"/>
  <c r="J1335" i="41"/>
  <c r="H1335" i="41"/>
  <c r="H1334" i="41"/>
  <c r="J1334" i="41" s="1"/>
  <c r="H1333" i="41"/>
  <c r="J1333" i="41" s="1"/>
  <c r="H1332" i="41"/>
  <c r="H1331" i="41"/>
  <c r="H1330" i="41"/>
  <c r="H1328" i="41"/>
  <c r="H1326" i="41"/>
  <c r="J1326" i="41" s="1"/>
  <c r="H1325" i="41"/>
  <c r="J1325" i="41" s="1"/>
  <c r="H1324" i="41"/>
  <c r="J1324" i="41" s="1"/>
  <c r="H1323" i="41"/>
  <c r="J1323" i="41" s="1"/>
  <c r="H1322" i="41"/>
  <c r="J1322" i="41" s="1"/>
  <c r="H1321" i="41"/>
  <c r="J1321" i="41" s="1"/>
  <c r="H1320" i="41"/>
  <c r="J1320" i="41" s="1"/>
  <c r="H1319" i="41"/>
  <c r="J1319" i="41" s="1"/>
  <c r="H1318" i="41"/>
  <c r="J1318" i="41" s="1"/>
  <c r="H1317" i="41"/>
  <c r="J1317" i="41" s="1"/>
  <c r="H1316" i="41"/>
  <c r="J1316" i="41" s="1"/>
  <c r="H1315" i="41"/>
  <c r="J1315" i="41" s="1"/>
  <c r="H1314" i="41"/>
  <c r="J1314" i="41" s="1"/>
  <c r="H1313" i="41"/>
  <c r="J1313" i="41" s="1"/>
  <c r="I1312" i="41"/>
  <c r="J1312" i="41" s="1"/>
  <c r="H1312" i="41"/>
  <c r="H1311" i="41"/>
  <c r="J1311" i="41" s="1"/>
  <c r="H1310" i="41"/>
  <c r="J1310" i="41" s="1"/>
  <c r="H1309" i="41"/>
  <c r="J1309" i="41" s="1"/>
  <c r="J1307" i="41"/>
  <c r="H1307" i="41"/>
  <c r="H1306" i="41"/>
  <c r="J1306" i="41" s="1"/>
  <c r="H1305" i="41"/>
  <c r="J1305" i="41" s="1"/>
  <c r="H1304" i="41"/>
  <c r="J1304" i="41" s="1"/>
  <c r="J1303" i="41"/>
  <c r="H1303" i="41"/>
  <c r="H1302" i="41"/>
  <c r="J1302" i="41" s="1"/>
  <c r="H1301" i="41"/>
  <c r="J1301" i="41" s="1"/>
  <c r="H1300" i="41"/>
  <c r="J1300" i="41" s="1"/>
  <c r="J1299" i="41"/>
  <c r="H1299" i="41"/>
  <c r="H1298" i="41"/>
  <c r="J1298" i="41" s="1"/>
  <c r="H1297" i="41"/>
  <c r="J1297" i="41" s="1"/>
  <c r="H1295" i="41"/>
  <c r="J1295" i="41" s="1"/>
  <c r="H1293" i="41"/>
  <c r="J1293" i="41" s="1"/>
  <c r="J1292" i="41"/>
  <c r="H1292" i="41"/>
  <c r="H1291" i="41"/>
  <c r="J1291" i="41" s="1"/>
  <c r="H1290" i="41"/>
  <c r="J1290" i="41" s="1"/>
  <c r="H1289" i="41"/>
  <c r="J1289" i="41" s="1"/>
  <c r="J1288" i="41"/>
  <c r="H1288" i="41"/>
  <c r="H1287" i="41"/>
  <c r="J1287" i="41" s="1"/>
  <c r="H1286" i="41"/>
  <c r="J1286" i="41" s="1"/>
  <c r="H1285" i="41"/>
  <c r="J1285" i="41" s="1"/>
  <c r="J1284" i="41"/>
  <c r="H1284" i="41"/>
  <c r="H1283" i="41"/>
  <c r="J1283" i="41" s="1"/>
  <c r="H1282" i="41"/>
  <c r="J1282" i="41" s="1"/>
  <c r="H1281" i="41"/>
  <c r="J1281" i="41" s="1"/>
  <c r="J1279" i="41"/>
  <c r="H1278" i="41"/>
  <c r="J1278" i="41" s="1"/>
  <c r="H1277" i="41"/>
  <c r="J1277" i="41" s="1"/>
  <c r="J1276" i="41"/>
  <c r="H1276" i="41"/>
  <c r="H1275" i="41"/>
  <c r="J1275" i="41" s="1"/>
  <c r="H1274" i="41"/>
  <c r="J1274" i="41" s="1"/>
  <c r="H1273" i="41"/>
  <c r="J1273" i="41" s="1"/>
  <c r="J1272" i="41"/>
  <c r="H1272" i="41"/>
  <c r="H1271" i="41"/>
  <c r="J1271" i="41" s="1"/>
  <c r="H1270" i="41"/>
  <c r="J1270" i="41" s="1"/>
  <c r="H1269" i="41"/>
  <c r="J1269" i="41" s="1"/>
  <c r="H1267" i="41"/>
  <c r="J1267" i="41" s="1"/>
  <c r="H1266" i="41"/>
  <c r="J1266" i="41" s="1"/>
  <c r="H1265" i="41"/>
  <c r="J1265" i="41" s="1"/>
  <c r="J1264" i="41"/>
  <c r="H1264" i="41"/>
  <c r="H1263" i="41"/>
  <c r="J1263" i="41" s="1"/>
  <c r="H1261" i="41"/>
  <c r="J1261" i="41" s="1"/>
  <c r="I1260" i="41"/>
  <c r="H1260" i="41"/>
  <c r="H1259" i="41"/>
  <c r="J1259" i="41" s="1"/>
  <c r="J1258" i="41"/>
  <c r="H1258" i="41"/>
  <c r="I1257" i="41"/>
  <c r="H1257" i="41"/>
  <c r="J1256" i="41"/>
  <c r="H1256" i="41"/>
  <c r="H1255" i="41"/>
  <c r="J1255" i="41" s="1"/>
  <c r="H1254" i="41"/>
  <c r="J1254" i="41" s="1"/>
  <c r="H1253" i="41"/>
  <c r="J1253" i="41" s="1"/>
  <c r="J1252" i="41"/>
  <c r="H1252" i="41"/>
  <c r="H1251" i="41"/>
  <c r="J1251" i="41" s="1"/>
  <c r="H1249" i="41"/>
  <c r="J1249" i="41" s="1"/>
  <c r="J1248" i="41"/>
  <c r="I1248" i="41"/>
  <c r="H1248" i="41"/>
  <c r="H1247" i="41"/>
  <c r="J1247" i="41" s="1"/>
  <c r="H1246" i="41"/>
  <c r="H1245" i="41"/>
  <c r="J1245" i="41" s="1"/>
  <c r="J1243" i="41"/>
  <c r="H1243" i="41"/>
  <c r="H1242" i="41"/>
  <c r="J1242" i="41" s="1"/>
  <c r="H1241" i="41"/>
  <c r="J1241" i="41" s="1"/>
  <c r="H1240" i="41"/>
  <c r="J1240" i="41" s="1"/>
  <c r="J1239" i="41"/>
  <c r="H1239" i="41"/>
  <c r="H1238" i="41"/>
  <c r="J1238" i="41" s="1"/>
  <c r="H1237" i="41"/>
  <c r="J1237" i="41" s="1"/>
  <c r="H1236" i="41"/>
  <c r="J1236" i="41" s="1"/>
  <c r="J1235" i="41"/>
  <c r="H1235" i="41"/>
  <c r="H1234" i="41"/>
  <c r="J1234" i="41" s="1"/>
  <c r="H1233" i="41"/>
  <c r="J1233" i="41" s="1"/>
  <c r="H1232" i="41"/>
  <c r="J1232" i="41" s="1"/>
  <c r="J1231" i="41"/>
  <c r="H1231" i="41"/>
  <c r="H1230" i="41"/>
  <c r="J1230" i="41" s="1"/>
  <c r="H1229" i="41"/>
  <c r="J1229" i="41" s="1"/>
  <c r="I1228" i="41"/>
  <c r="H1228" i="41"/>
  <c r="H1227" i="41"/>
  <c r="J1227" i="41" s="1"/>
  <c r="J1226" i="41"/>
  <c r="H1226" i="41"/>
  <c r="H1225" i="41"/>
  <c r="J1225" i="41" s="1"/>
  <c r="H1224" i="41"/>
  <c r="J1224" i="41" s="1"/>
  <c r="H1223" i="41"/>
  <c r="J1223" i="41" s="1"/>
  <c r="J1222" i="41"/>
  <c r="H1222" i="41"/>
  <c r="H1221" i="41"/>
  <c r="J1221" i="41" s="1"/>
  <c r="H1220" i="41"/>
  <c r="J1220" i="41" s="1"/>
  <c r="H1219" i="41"/>
  <c r="J1219" i="41" s="1"/>
  <c r="J1218" i="41"/>
  <c r="H1218" i="41"/>
  <c r="H1217" i="41"/>
  <c r="J1217" i="41" s="1"/>
  <c r="H1216" i="41"/>
  <c r="J1216" i="41" s="1"/>
  <c r="H1215" i="41"/>
  <c r="J1215" i="41" s="1"/>
  <c r="J1214" i="41"/>
  <c r="H1214" i="41"/>
  <c r="H1213" i="41"/>
  <c r="J1213" i="41" s="1"/>
  <c r="H1212" i="41"/>
  <c r="J1212" i="41" s="1"/>
  <c r="H1211" i="41"/>
  <c r="J1211" i="41" s="1"/>
  <c r="J1210" i="41"/>
  <c r="H1210" i="41"/>
  <c r="H1209" i="41"/>
  <c r="J1209" i="41" s="1"/>
  <c r="H1208" i="41"/>
  <c r="J1208" i="41" s="1"/>
  <c r="H1207" i="41"/>
  <c r="J1207" i="41" s="1"/>
  <c r="J1206" i="41"/>
  <c r="H1206" i="41"/>
  <c r="H1205" i="41"/>
  <c r="J1205" i="41" s="1"/>
  <c r="H1204" i="41"/>
  <c r="J1204" i="41" s="1"/>
  <c r="H1203" i="41"/>
  <c r="J1203" i="41" s="1"/>
  <c r="H1202" i="41"/>
  <c r="J1202" i="41" s="1"/>
  <c r="H1201" i="41"/>
  <c r="J1201" i="41" s="1"/>
  <c r="H1200" i="41"/>
  <c r="J1200" i="41" s="1"/>
  <c r="H1199" i="41"/>
  <c r="J1199" i="41" s="1"/>
  <c r="H1198" i="41"/>
  <c r="J1198" i="41" s="1"/>
  <c r="H1197" i="41"/>
  <c r="J1197" i="41" s="1"/>
  <c r="H1196" i="41"/>
  <c r="J1196" i="41" s="1"/>
  <c r="H1195" i="41"/>
  <c r="J1195" i="41" s="1"/>
  <c r="H1194" i="41"/>
  <c r="J1194" i="41" s="1"/>
  <c r="H1193" i="41"/>
  <c r="J1193" i="41" s="1"/>
  <c r="H1192" i="41"/>
  <c r="J1192" i="41" s="1"/>
  <c r="H1191" i="41"/>
  <c r="J1191" i="41" s="1"/>
  <c r="J1190" i="41"/>
  <c r="H1190" i="41"/>
  <c r="H1189" i="41"/>
  <c r="J1189" i="41" s="1"/>
  <c r="H1188" i="41"/>
  <c r="J1188" i="41" s="1"/>
  <c r="H1187" i="41"/>
  <c r="J1187" i="41" s="1"/>
  <c r="H1186" i="41"/>
  <c r="J1186" i="41" s="1"/>
  <c r="H1185" i="41"/>
  <c r="J1185" i="41" s="1"/>
  <c r="H1184" i="41"/>
  <c r="J1184" i="41" s="1"/>
  <c r="H1183" i="41"/>
  <c r="J1183" i="41" s="1"/>
  <c r="H1182" i="41"/>
  <c r="J1182" i="41" s="1"/>
  <c r="H1181" i="41"/>
  <c r="J1181" i="41" s="1"/>
  <c r="H1180" i="41"/>
  <c r="J1180" i="41" s="1"/>
  <c r="H1179" i="41"/>
  <c r="J1179" i="41" s="1"/>
  <c r="H1178" i="41"/>
  <c r="J1178" i="41" s="1"/>
  <c r="H1177" i="41"/>
  <c r="J1177" i="41" s="1"/>
  <c r="H1176" i="41"/>
  <c r="J1176" i="41" s="1"/>
  <c r="H1175" i="41"/>
  <c r="J1175" i="41" s="1"/>
  <c r="J1174" i="41"/>
  <c r="H1174" i="41"/>
  <c r="H1173" i="41"/>
  <c r="J1173" i="41" s="1"/>
  <c r="H1172" i="41"/>
  <c r="J1172" i="41" s="1"/>
  <c r="H1171" i="41"/>
  <c r="J1171" i="41" s="1"/>
  <c r="H1170" i="41"/>
  <c r="J1170" i="41" s="1"/>
  <c r="H1169" i="41"/>
  <c r="J1169" i="41" s="1"/>
  <c r="H1168" i="41"/>
  <c r="J1168" i="41" s="1"/>
  <c r="H1166" i="41"/>
  <c r="J1166" i="41" s="1"/>
  <c r="H1165" i="41"/>
  <c r="J1165" i="41" s="1"/>
  <c r="I1164" i="41"/>
  <c r="H1164" i="41"/>
  <c r="J1164" i="41" s="1"/>
  <c r="I1163" i="41"/>
  <c r="H1163" i="41"/>
  <c r="J1163" i="41" s="1"/>
  <c r="I1162" i="41"/>
  <c r="J1162" i="41" s="1"/>
  <c r="H1162" i="41"/>
  <c r="H1161" i="41"/>
  <c r="J1161" i="41" s="1"/>
  <c r="H1160" i="41"/>
  <c r="J1160" i="41" s="1"/>
  <c r="H1159" i="41"/>
  <c r="J1159" i="41" s="1"/>
  <c r="J1158" i="41"/>
  <c r="H1158" i="41"/>
  <c r="H1157" i="41"/>
  <c r="J1157" i="41" s="1"/>
  <c r="H1156" i="41"/>
  <c r="J1156" i="41" s="1"/>
  <c r="H1155" i="41"/>
  <c r="J1155" i="41" s="1"/>
  <c r="J1154" i="41"/>
  <c r="H1154" i="41"/>
  <c r="H1153" i="41"/>
  <c r="J1153" i="41" s="1"/>
  <c r="H1152" i="41"/>
  <c r="J1152" i="41" s="1"/>
  <c r="H1151" i="41"/>
  <c r="J1151" i="41" s="1"/>
  <c r="J1150" i="41"/>
  <c r="H1150" i="41"/>
  <c r="H1149" i="41"/>
  <c r="J1149" i="41" s="1"/>
  <c r="H1148" i="41"/>
  <c r="J1148" i="41" s="1"/>
  <c r="H1147" i="41"/>
  <c r="J1147" i="41" s="1"/>
  <c r="J1146" i="41"/>
  <c r="H1146" i="41"/>
  <c r="H1145" i="41"/>
  <c r="J1145" i="41" s="1"/>
  <c r="H1144" i="41"/>
  <c r="J1144" i="41" s="1"/>
  <c r="H1143" i="41"/>
  <c r="J1143" i="41" s="1"/>
  <c r="J1142" i="41"/>
  <c r="H1142" i="41"/>
  <c r="H1141" i="41"/>
  <c r="J1141" i="41" s="1"/>
  <c r="H1140" i="41"/>
  <c r="J1140" i="41" s="1"/>
  <c r="H1139" i="41"/>
  <c r="J1139" i="41" s="1"/>
  <c r="J1138" i="41"/>
  <c r="H1138" i="41"/>
  <c r="H1137" i="41"/>
  <c r="J1137" i="41" s="1"/>
  <c r="H1136" i="41"/>
  <c r="J1136" i="41" s="1"/>
  <c r="H1135" i="41"/>
  <c r="J1135" i="41" s="1"/>
  <c r="J1134" i="41"/>
  <c r="H1134" i="41"/>
  <c r="H1133" i="41"/>
  <c r="J1133" i="41" s="1"/>
  <c r="H1132" i="41"/>
  <c r="J1132" i="41" s="1"/>
  <c r="H1131" i="41"/>
  <c r="J1131" i="41" s="1"/>
  <c r="J1130" i="41"/>
  <c r="H1130" i="41"/>
  <c r="H1129" i="41"/>
  <c r="J1129" i="41" s="1"/>
  <c r="H1128" i="41"/>
  <c r="J1128" i="41" s="1"/>
  <c r="H1127" i="41"/>
  <c r="J1127" i="41" s="1"/>
  <c r="J1126" i="41"/>
  <c r="H1126" i="41"/>
  <c r="H1125" i="41"/>
  <c r="J1125" i="41" s="1"/>
  <c r="H1124" i="41"/>
  <c r="J1124" i="41" s="1"/>
  <c r="H1123" i="41"/>
  <c r="J1123" i="41" s="1"/>
  <c r="J1122" i="41"/>
  <c r="H1122" i="41"/>
  <c r="H1121" i="41"/>
  <c r="J1121" i="41" s="1"/>
  <c r="H1120" i="41"/>
  <c r="J1120" i="41" s="1"/>
  <c r="H1119" i="41"/>
  <c r="J1119" i="41" s="1"/>
  <c r="J1118" i="41"/>
  <c r="H1118" i="41"/>
  <c r="H1117" i="41"/>
  <c r="J1117" i="41" s="1"/>
  <c r="H1116" i="41"/>
  <c r="J1116" i="41" s="1"/>
  <c r="H1115" i="41"/>
  <c r="J1115" i="41" s="1"/>
  <c r="J1114" i="41"/>
  <c r="H1114" i="41"/>
  <c r="H1113" i="41"/>
  <c r="J1113" i="41" s="1"/>
  <c r="H1112" i="41"/>
  <c r="J1112" i="41" s="1"/>
  <c r="H1111" i="41"/>
  <c r="J1111" i="41" s="1"/>
  <c r="J1110" i="41"/>
  <c r="H1110" i="41"/>
  <c r="H1109" i="41"/>
  <c r="J1109" i="41" s="1"/>
  <c r="H1108" i="41"/>
  <c r="J1108" i="41" s="1"/>
  <c r="I1107" i="41"/>
  <c r="H1107" i="41"/>
  <c r="J1107" i="41" s="1"/>
  <c r="H1106" i="41"/>
  <c r="J1106" i="41" s="1"/>
  <c r="H1105" i="41"/>
  <c r="J1105" i="41" s="1"/>
  <c r="H1103" i="41"/>
  <c r="J1103" i="41" s="1"/>
  <c r="I1102" i="41"/>
  <c r="H1102" i="41"/>
  <c r="J1102" i="41" s="1"/>
  <c r="H1101" i="41"/>
  <c r="J1101" i="41" s="1"/>
  <c r="H1100" i="41"/>
  <c r="J1100" i="41" s="1"/>
  <c r="H1099" i="41"/>
  <c r="J1099" i="41" s="1"/>
  <c r="H1098" i="41"/>
  <c r="J1098" i="41" s="1"/>
  <c r="J1097" i="41"/>
  <c r="K1104" i="41" s="1"/>
  <c r="I1097" i="41"/>
  <c r="H1097" i="41"/>
  <c r="I1095" i="41"/>
  <c r="H1095" i="41"/>
  <c r="H1094" i="41"/>
  <c r="J1094" i="41" s="1"/>
  <c r="J1093" i="41"/>
  <c r="H1093" i="41"/>
  <c r="H1092" i="41"/>
  <c r="J1092" i="41" s="1"/>
  <c r="I1091" i="41"/>
  <c r="H1091" i="41"/>
  <c r="J1091" i="41" s="1"/>
  <c r="H1090" i="41"/>
  <c r="J1090" i="41" s="1"/>
  <c r="H1089" i="41"/>
  <c r="J1089" i="41" s="1"/>
  <c r="H1088" i="41"/>
  <c r="J1088" i="41" s="1"/>
  <c r="H1087" i="41"/>
  <c r="J1087" i="41" s="1"/>
  <c r="H1086" i="41"/>
  <c r="J1086" i="41" s="1"/>
  <c r="H1085" i="41"/>
  <c r="J1085" i="41" s="1"/>
  <c r="J1084" i="41"/>
  <c r="H1084" i="41"/>
  <c r="I1083" i="41"/>
  <c r="H1083" i="41"/>
  <c r="H1082" i="41"/>
  <c r="J1082" i="41" s="1"/>
  <c r="H1081" i="41"/>
  <c r="J1081" i="41" s="1"/>
  <c r="H1080" i="41"/>
  <c r="J1080" i="41" s="1"/>
  <c r="H1079" i="41"/>
  <c r="J1079" i="41" s="1"/>
  <c r="H1077" i="41"/>
  <c r="J1077" i="41" s="1"/>
  <c r="J1076" i="41"/>
  <c r="H1076" i="41"/>
  <c r="H1075" i="41"/>
  <c r="J1075" i="41" s="1"/>
  <c r="H1074" i="41"/>
  <c r="J1074" i="41" s="1"/>
  <c r="H1073" i="41"/>
  <c r="J1073" i="41" s="1"/>
  <c r="J1072" i="41"/>
  <c r="H1072" i="41"/>
  <c r="H1071" i="41"/>
  <c r="J1071" i="41" s="1"/>
  <c r="H1068" i="41"/>
  <c r="J1068" i="41" s="1"/>
  <c r="H1067" i="41"/>
  <c r="J1067" i="41" s="1"/>
  <c r="J1066" i="41"/>
  <c r="H1066" i="41"/>
  <c r="H1065" i="41"/>
  <c r="J1065" i="41" s="1"/>
  <c r="H1064" i="41"/>
  <c r="J1064" i="41" s="1"/>
  <c r="H1062" i="41"/>
  <c r="J1062" i="41" s="1"/>
  <c r="H1061" i="41"/>
  <c r="J1061" i="41" s="1"/>
  <c r="H1060" i="41"/>
  <c r="J1060" i="41" s="1"/>
  <c r="H1059" i="41"/>
  <c r="J1059" i="41" s="1"/>
  <c r="J1058" i="41"/>
  <c r="H1058" i="41"/>
  <c r="H1057" i="41"/>
  <c r="J1057" i="41" s="1"/>
  <c r="H1054" i="41"/>
  <c r="J1054" i="41" s="1"/>
  <c r="H1053" i="41"/>
  <c r="J1053" i="41" s="1"/>
  <c r="H1052" i="41"/>
  <c r="J1052" i="41" s="1"/>
  <c r="H1051" i="41"/>
  <c r="J1051" i="41" s="1"/>
  <c r="H1050" i="41"/>
  <c r="J1050" i="41" s="1"/>
  <c r="H1049" i="41"/>
  <c r="J1049" i="41" s="1"/>
  <c r="J1048" i="41"/>
  <c r="H1048" i="41"/>
  <c r="H1047" i="41"/>
  <c r="J1047" i="41" s="1"/>
  <c r="H1046" i="41"/>
  <c r="J1046" i="41" s="1"/>
  <c r="H1045" i="41"/>
  <c r="J1045" i="41" s="1"/>
  <c r="H1044" i="41"/>
  <c r="J1044" i="41" s="1"/>
  <c r="H1043" i="41"/>
  <c r="J1043" i="41" s="1"/>
  <c r="H1042" i="41"/>
  <c r="J1042" i="41" s="1"/>
  <c r="H1041" i="41"/>
  <c r="J1041" i="41" s="1"/>
  <c r="J1040" i="41"/>
  <c r="H1040" i="41"/>
  <c r="H1039" i="41"/>
  <c r="J1039" i="41" s="1"/>
  <c r="H1038" i="41"/>
  <c r="J1038" i="41" s="1"/>
  <c r="H1037" i="41"/>
  <c r="J1037" i="41" s="1"/>
  <c r="H1036" i="41"/>
  <c r="J1036" i="41" s="1"/>
  <c r="H1035" i="41"/>
  <c r="J1035" i="41" s="1"/>
  <c r="H1034" i="41"/>
  <c r="J1034" i="41" s="1"/>
  <c r="I1033" i="41"/>
  <c r="J1033" i="41" s="1"/>
  <c r="J1032" i="41"/>
  <c r="H1032" i="41"/>
  <c r="H1031" i="41"/>
  <c r="J1031" i="41" s="1"/>
  <c r="H1030" i="41"/>
  <c r="J1030" i="41" s="1"/>
  <c r="I1029" i="41"/>
  <c r="H1029" i="41"/>
  <c r="H1027" i="41"/>
  <c r="J1027" i="41" s="1"/>
  <c r="H1026" i="41"/>
  <c r="J1026" i="41" s="1"/>
  <c r="I1025" i="41"/>
  <c r="H1025" i="41"/>
  <c r="J1024" i="41"/>
  <c r="H1024" i="41"/>
  <c r="H1023" i="41"/>
  <c r="J1023" i="41" s="1"/>
  <c r="H1022" i="41"/>
  <c r="J1022" i="41" s="1"/>
  <c r="H1020" i="41"/>
  <c r="J1020" i="41" s="1"/>
  <c r="H1019" i="41"/>
  <c r="J1019" i="41" s="1"/>
  <c r="H1018" i="41"/>
  <c r="J1018" i="41" s="1"/>
  <c r="H1017" i="41"/>
  <c r="J1017" i="41" s="1"/>
  <c r="J1016" i="41"/>
  <c r="H1016" i="41"/>
  <c r="H1015" i="41"/>
  <c r="J1015" i="41" s="1"/>
  <c r="H1014" i="41"/>
  <c r="J1014" i="41" s="1"/>
  <c r="H1013" i="41"/>
  <c r="J1013" i="41" s="1"/>
  <c r="H1012" i="41"/>
  <c r="J1012" i="41" s="1"/>
  <c r="H1011" i="41"/>
  <c r="J1011" i="41" s="1"/>
  <c r="H1010" i="41"/>
  <c r="J1010" i="41" s="1"/>
  <c r="H1009" i="41"/>
  <c r="J1009" i="41" s="1"/>
  <c r="J1008" i="41"/>
  <c r="H1008" i="41"/>
  <c r="H1007" i="41"/>
  <c r="J1007" i="41" s="1"/>
  <c r="H1006" i="41"/>
  <c r="J1006" i="41" s="1"/>
  <c r="H1005" i="41"/>
  <c r="J1005" i="41" s="1"/>
  <c r="H1004" i="41"/>
  <c r="J1004" i="41" s="1"/>
  <c r="H1003" i="41"/>
  <c r="J1003" i="41" s="1"/>
  <c r="H1002" i="41"/>
  <c r="J1002" i="41" s="1"/>
  <c r="H1001" i="41"/>
  <c r="J1001" i="41" s="1"/>
  <c r="J1000" i="41"/>
  <c r="H1000" i="41"/>
  <c r="H999" i="41"/>
  <c r="J999" i="41" s="1"/>
  <c r="H998" i="41"/>
  <c r="J998" i="41" s="1"/>
  <c r="J997" i="41"/>
  <c r="H996" i="41"/>
  <c r="J996" i="41" s="1"/>
  <c r="J995" i="41"/>
  <c r="H995" i="41"/>
  <c r="H994" i="41"/>
  <c r="J994" i="41" s="1"/>
  <c r="H993" i="41"/>
  <c r="J993" i="41" s="1"/>
  <c r="H992" i="41"/>
  <c r="J992" i="41" s="1"/>
  <c r="J991" i="41"/>
  <c r="H991" i="41"/>
  <c r="H990" i="41"/>
  <c r="J990" i="41" s="1"/>
  <c r="H989" i="41"/>
  <c r="J989" i="41" s="1"/>
  <c r="H988" i="41"/>
  <c r="J988" i="41" s="1"/>
  <c r="J987" i="41"/>
  <c r="H987" i="41"/>
  <c r="H986" i="41"/>
  <c r="J986" i="41" s="1"/>
  <c r="H985" i="41"/>
  <c r="J985" i="41" s="1"/>
  <c r="H984" i="41"/>
  <c r="J984" i="41" s="1"/>
  <c r="J983" i="41"/>
  <c r="H983" i="41"/>
  <c r="H982" i="41"/>
  <c r="J982" i="41" s="1"/>
  <c r="H981" i="41"/>
  <c r="J981" i="41" s="1"/>
  <c r="H980" i="41"/>
  <c r="J980" i="41" s="1"/>
  <c r="J979" i="41"/>
  <c r="H979" i="41"/>
  <c r="H978" i="41"/>
  <c r="J978" i="41" s="1"/>
  <c r="H977" i="41"/>
  <c r="J977" i="41" s="1"/>
  <c r="H976" i="41"/>
  <c r="J976" i="41" s="1"/>
  <c r="J975" i="41"/>
  <c r="H975" i="41"/>
  <c r="H974" i="41"/>
  <c r="J974" i="41" s="1"/>
  <c r="H973" i="41"/>
  <c r="J973" i="41" s="1"/>
  <c r="H972" i="41"/>
  <c r="J972" i="41" s="1"/>
  <c r="J971" i="41"/>
  <c r="H971" i="41"/>
  <c r="H970" i="41"/>
  <c r="J970" i="41" s="1"/>
  <c r="H969" i="41"/>
  <c r="J969" i="41" s="1"/>
  <c r="H968" i="41"/>
  <c r="J968" i="41" s="1"/>
  <c r="J967" i="41"/>
  <c r="H967" i="41"/>
  <c r="H966" i="41"/>
  <c r="J966" i="41" s="1"/>
  <c r="H965" i="41"/>
  <c r="J965" i="41" s="1"/>
  <c r="H964" i="41"/>
  <c r="J964" i="41" s="1"/>
  <c r="J963" i="41"/>
  <c r="H963" i="41"/>
  <c r="H962" i="41"/>
  <c r="J962" i="41" s="1"/>
  <c r="H961" i="41"/>
  <c r="J961" i="41" s="1"/>
  <c r="H960" i="41"/>
  <c r="J960" i="41" s="1"/>
  <c r="J959" i="41"/>
  <c r="H959" i="41"/>
  <c r="H958" i="41"/>
  <c r="J958" i="41" s="1"/>
  <c r="H957" i="41"/>
  <c r="J957" i="41" s="1"/>
  <c r="H956" i="41"/>
  <c r="J956" i="41" s="1"/>
  <c r="J955" i="41"/>
  <c r="H955" i="41"/>
  <c r="H954" i="41"/>
  <c r="J954" i="41" s="1"/>
  <c r="H953" i="41"/>
  <c r="J953" i="41" s="1"/>
  <c r="H952" i="41"/>
  <c r="J952" i="41" s="1"/>
  <c r="J951" i="41"/>
  <c r="H951" i="41"/>
  <c r="H950" i="41"/>
  <c r="J950" i="41" s="1"/>
  <c r="H949" i="41"/>
  <c r="J949" i="41" s="1"/>
  <c r="H948" i="41"/>
  <c r="J948" i="41" s="1"/>
  <c r="J947" i="41"/>
  <c r="H947" i="41"/>
  <c r="H946" i="41"/>
  <c r="J946" i="41" s="1"/>
  <c r="J945" i="41"/>
  <c r="H945" i="41"/>
  <c r="H944" i="41"/>
  <c r="J944" i="41" s="1"/>
  <c r="H943" i="41"/>
  <c r="J943" i="41" s="1"/>
  <c r="H942" i="41"/>
  <c r="J942" i="41" s="1"/>
  <c r="H941" i="41"/>
  <c r="J941" i="41" s="1"/>
  <c r="H940" i="41"/>
  <c r="J940" i="41" s="1"/>
  <c r="J939" i="41"/>
  <c r="H939" i="41"/>
  <c r="H938" i="41"/>
  <c r="J938" i="41" s="1"/>
  <c r="H937" i="41"/>
  <c r="J937" i="41" s="1"/>
  <c r="H936" i="41"/>
  <c r="J936" i="41" s="1"/>
  <c r="H935" i="41"/>
  <c r="J935" i="41" s="1"/>
  <c r="H934" i="41"/>
  <c r="J934" i="41" s="1"/>
  <c r="H933" i="41"/>
  <c r="J933" i="41" s="1"/>
  <c r="H932" i="41"/>
  <c r="J932" i="41" s="1"/>
  <c r="J931" i="41"/>
  <c r="H931" i="41"/>
  <c r="H930" i="41"/>
  <c r="J930" i="41" s="1"/>
  <c r="H929" i="41"/>
  <c r="J929" i="41" s="1"/>
  <c r="H928" i="41"/>
  <c r="J928" i="41" s="1"/>
  <c r="H927" i="41"/>
  <c r="J927" i="41" s="1"/>
  <c r="H926" i="41"/>
  <c r="J926" i="41" s="1"/>
  <c r="J925" i="41"/>
  <c r="H925" i="41"/>
  <c r="H924" i="41"/>
  <c r="J924" i="41" s="1"/>
  <c r="H923" i="41"/>
  <c r="J923" i="41" s="1"/>
  <c r="H922" i="41"/>
  <c r="J922" i="41" s="1"/>
  <c r="H921" i="41"/>
  <c r="J921" i="41" s="1"/>
  <c r="H920" i="41"/>
  <c r="J920" i="41" s="1"/>
  <c r="H919" i="41"/>
  <c r="J919" i="41" s="1"/>
  <c r="H918" i="41"/>
  <c r="J918" i="41" s="1"/>
  <c r="J917" i="41"/>
  <c r="H917" i="41"/>
  <c r="H916" i="41"/>
  <c r="J916" i="41" s="1"/>
  <c r="H915" i="41"/>
  <c r="J915" i="41" s="1"/>
  <c r="H914" i="41"/>
  <c r="J914" i="41" s="1"/>
  <c r="H913" i="41"/>
  <c r="J913" i="41" s="1"/>
  <c r="H912" i="41"/>
  <c r="J912" i="41" s="1"/>
  <c r="J911" i="41"/>
  <c r="H911" i="41"/>
  <c r="H910" i="41"/>
  <c r="J910" i="41" s="1"/>
  <c r="H909" i="41"/>
  <c r="J909" i="41" s="1"/>
  <c r="H908" i="41"/>
  <c r="J908" i="41" s="1"/>
  <c r="H907" i="41"/>
  <c r="J907" i="41" s="1"/>
  <c r="H906" i="41"/>
  <c r="J906" i="41" s="1"/>
  <c r="H905" i="41"/>
  <c r="J905" i="41" s="1"/>
  <c r="H904" i="41"/>
  <c r="J904" i="41" s="1"/>
  <c r="J903" i="41"/>
  <c r="H903" i="41"/>
  <c r="H902" i="41"/>
  <c r="J902" i="41" s="1"/>
  <c r="H901" i="41"/>
  <c r="J901" i="41" s="1"/>
  <c r="H900" i="41"/>
  <c r="J900" i="41" s="1"/>
  <c r="H899" i="41"/>
  <c r="J899" i="41" s="1"/>
  <c r="H898" i="41"/>
  <c r="J898" i="41" s="1"/>
  <c r="H897" i="41"/>
  <c r="J897" i="41" s="1"/>
  <c r="H896" i="41"/>
  <c r="J896" i="41" s="1"/>
  <c r="J895" i="41"/>
  <c r="H895" i="41"/>
  <c r="H894" i="41"/>
  <c r="J894" i="41" s="1"/>
  <c r="H893" i="41"/>
  <c r="J893" i="41" s="1"/>
  <c r="H892" i="41"/>
  <c r="J892" i="41" s="1"/>
  <c r="J891" i="41"/>
  <c r="H891" i="41"/>
  <c r="H890" i="41"/>
  <c r="J890" i="41" s="1"/>
  <c r="H883" i="41"/>
  <c r="J883" i="41" s="1"/>
  <c r="H882" i="41"/>
  <c r="J882" i="41" s="1"/>
  <c r="H881" i="41"/>
  <c r="J881" i="41" s="1"/>
  <c r="H880" i="41"/>
  <c r="J880" i="41" s="1"/>
  <c r="H879" i="41"/>
  <c r="J879" i="41" s="1"/>
  <c r="J878" i="41"/>
  <c r="H878" i="41"/>
  <c r="H877" i="41"/>
  <c r="J877" i="41" s="1"/>
  <c r="H876" i="41"/>
  <c r="J876" i="41" s="1"/>
  <c r="H875" i="41"/>
  <c r="J875" i="41" s="1"/>
  <c r="H874" i="41"/>
  <c r="J874" i="41" s="1"/>
  <c r="H873" i="41"/>
  <c r="J873" i="41" s="1"/>
  <c r="H872" i="41"/>
  <c r="J872" i="41" s="1"/>
  <c r="H870" i="41"/>
  <c r="J870" i="41" s="1"/>
  <c r="H869" i="41"/>
  <c r="J869" i="41" s="1"/>
  <c r="H868" i="41"/>
  <c r="J868" i="41" s="1"/>
  <c r="J867" i="41"/>
  <c r="H867" i="41"/>
  <c r="H866" i="41"/>
  <c r="J866" i="41" s="1"/>
  <c r="H865" i="41"/>
  <c r="J865" i="41" s="1"/>
  <c r="H864" i="41"/>
  <c r="J864" i="41" s="1"/>
  <c r="J863" i="41"/>
  <c r="H863" i="41"/>
  <c r="H862" i="41"/>
  <c r="J862" i="41" s="1"/>
  <c r="J861" i="41"/>
  <c r="H861" i="41"/>
  <c r="H860" i="41"/>
  <c r="J860" i="41" s="1"/>
  <c r="H859" i="41"/>
  <c r="J859" i="41" s="1"/>
  <c r="H858" i="41"/>
  <c r="J858" i="41" s="1"/>
  <c r="H857" i="41"/>
  <c r="J857" i="41" s="1"/>
  <c r="H856" i="41"/>
  <c r="J856" i="41" s="1"/>
  <c r="J855" i="41"/>
  <c r="H855" i="41"/>
  <c r="H854" i="41"/>
  <c r="J854" i="41" s="1"/>
  <c r="H853" i="41"/>
  <c r="J853" i="41" s="1"/>
  <c r="H852" i="41"/>
  <c r="J852" i="41" s="1"/>
  <c r="H851" i="41"/>
  <c r="J851" i="41" s="1"/>
  <c r="H850" i="41"/>
  <c r="J850" i="41" s="1"/>
  <c r="H849" i="41"/>
  <c r="J849" i="41" s="1"/>
  <c r="H848" i="41"/>
  <c r="J848" i="41" s="1"/>
  <c r="J847" i="41"/>
  <c r="H847" i="41"/>
  <c r="H846" i="41"/>
  <c r="J846" i="41" s="1"/>
  <c r="H845" i="41"/>
  <c r="J845" i="41" s="1"/>
  <c r="H844" i="41"/>
  <c r="J844" i="41" s="1"/>
  <c r="H843" i="41"/>
  <c r="J843" i="41" s="1"/>
  <c r="H842" i="41"/>
  <c r="J842" i="41" s="1"/>
  <c r="H841" i="41"/>
  <c r="J841" i="41" s="1"/>
  <c r="H840" i="41"/>
  <c r="J840" i="41" s="1"/>
  <c r="J839" i="41"/>
  <c r="H839" i="41"/>
  <c r="H838" i="41"/>
  <c r="J838" i="41" s="1"/>
  <c r="H837" i="41"/>
  <c r="J837" i="41" s="1"/>
  <c r="H836" i="41"/>
  <c r="J836" i="41" s="1"/>
  <c r="I835" i="41"/>
  <c r="H835" i="41"/>
  <c r="J832" i="41"/>
  <c r="H832" i="41"/>
  <c r="H831" i="41"/>
  <c r="J831" i="41" s="1"/>
  <c r="H830" i="41"/>
  <c r="J830" i="41" s="1"/>
  <c r="H829" i="41"/>
  <c r="J829" i="41" s="1"/>
  <c r="H828" i="41"/>
  <c r="J828" i="41" s="1"/>
  <c r="H827" i="41"/>
  <c r="J827" i="41" s="1"/>
  <c r="H826" i="41"/>
  <c r="J826" i="41" s="1"/>
  <c r="H822" i="41"/>
  <c r="J822" i="41" s="1"/>
  <c r="J821" i="41"/>
  <c r="H821" i="41"/>
  <c r="H820" i="41"/>
  <c r="J820" i="41" s="1"/>
  <c r="H819" i="41"/>
  <c r="J819" i="41" s="1"/>
  <c r="H818" i="41"/>
  <c r="J818" i="41" s="1"/>
  <c r="H817" i="41"/>
  <c r="J817" i="41" s="1"/>
  <c r="H815" i="41"/>
  <c r="J815" i="41" s="1"/>
  <c r="H814" i="41"/>
  <c r="J814" i="41" s="1"/>
  <c r="H813" i="41"/>
  <c r="J813" i="41" s="1"/>
  <c r="H812" i="41"/>
  <c r="J812" i="41" s="1"/>
  <c r="H811" i="41"/>
  <c r="J811" i="41" s="1"/>
  <c r="J807" i="41"/>
  <c r="H807" i="41"/>
  <c r="H806" i="41"/>
  <c r="J806" i="41" s="1"/>
  <c r="J805" i="41"/>
  <c r="H803" i="41"/>
  <c r="J803" i="41" s="1"/>
  <c r="H802" i="41"/>
  <c r="J802" i="41" s="1"/>
  <c r="H800" i="41"/>
  <c r="J800" i="41" s="1"/>
  <c r="H799" i="41"/>
  <c r="J799" i="41" s="1"/>
  <c r="H797" i="41"/>
  <c r="J797" i="41" s="1"/>
  <c r="H796" i="41"/>
  <c r="J796" i="41" s="1"/>
  <c r="H795" i="41"/>
  <c r="J795" i="41" s="1"/>
  <c r="H794" i="41"/>
  <c r="J794" i="41" s="1"/>
  <c r="H793" i="41"/>
  <c r="J793" i="41" s="1"/>
  <c r="J792" i="41"/>
  <c r="H792" i="41"/>
  <c r="H791" i="41"/>
  <c r="J791" i="41" s="1"/>
  <c r="H790" i="41"/>
  <c r="J790" i="41" s="1"/>
  <c r="J789" i="41"/>
  <c r="H789" i="41"/>
  <c r="J788" i="41"/>
  <c r="H788" i="41"/>
  <c r="J787" i="41"/>
  <c r="H787" i="41"/>
  <c r="J786" i="41"/>
  <c r="H786" i="41"/>
  <c r="J785" i="41"/>
  <c r="H785" i="41"/>
  <c r="H784" i="41"/>
  <c r="J784" i="41" s="1"/>
  <c r="H783" i="41"/>
  <c r="J783" i="41" s="1"/>
  <c r="J782" i="41"/>
  <c r="H782" i="41"/>
  <c r="H778" i="41"/>
  <c r="J778" i="41" s="1"/>
  <c r="H777" i="41"/>
  <c r="J777" i="41" s="1"/>
  <c r="H776" i="41"/>
  <c r="J776" i="41" s="1"/>
  <c r="J775" i="41"/>
  <c r="H775" i="41"/>
  <c r="H774" i="41"/>
  <c r="J774" i="41" s="1"/>
  <c r="H772" i="41"/>
  <c r="J772" i="41" s="1"/>
  <c r="H771" i="41"/>
  <c r="J771" i="41" s="1"/>
  <c r="J770" i="41"/>
  <c r="H770" i="41"/>
  <c r="H769" i="41"/>
  <c r="J769" i="41" s="1"/>
  <c r="J768" i="41"/>
  <c r="H768" i="41"/>
  <c r="H767" i="41"/>
  <c r="J767" i="41" s="1"/>
  <c r="H766" i="41"/>
  <c r="J766" i="41" s="1"/>
  <c r="J765" i="41"/>
  <c r="H765" i="41"/>
  <c r="H764" i="41"/>
  <c r="J764" i="41" s="1"/>
  <c r="H763" i="41"/>
  <c r="J763" i="41" s="1"/>
  <c r="H762" i="41"/>
  <c r="J762" i="41" s="1"/>
  <c r="H761" i="41"/>
  <c r="J761" i="41" s="1"/>
  <c r="H760" i="41"/>
  <c r="J760" i="41" s="1"/>
  <c r="H758" i="41"/>
  <c r="J758" i="41" s="1"/>
  <c r="H757" i="41"/>
  <c r="J757" i="41" s="1"/>
  <c r="H756" i="41"/>
  <c r="J756" i="41" s="1"/>
  <c r="H755" i="41"/>
  <c r="J755" i="41" s="1"/>
  <c r="H753" i="41"/>
  <c r="J753" i="41" s="1"/>
  <c r="H750" i="41"/>
  <c r="J750" i="41" s="1"/>
  <c r="H749" i="41"/>
  <c r="J749" i="41" s="1"/>
  <c r="H748" i="41"/>
  <c r="J748" i="41" s="1"/>
  <c r="H747" i="41"/>
  <c r="J747" i="41" s="1"/>
  <c r="H746" i="41"/>
  <c r="J746" i="41" s="1"/>
  <c r="H745" i="41"/>
  <c r="J745" i="41" s="1"/>
  <c r="H744" i="41"/>
  <c r="J744" i="41" s="1"/>
  <c r="H743" i="41"/>
  <c r="J743" i="41" s="1"/>
  <c r="H742" i="41"/>
  <c r="J742" i="41" s="1"/>
  <c r="H741" i="41"/>
  <c r="J741" i="41" s="1"/>
  <c r="H740" i="41"/>
  <c r="J740" i="41" s="1"/>
  <c r="H739" i="41"/>
  <c r="J739" i="41" s="1"/>
  <c r="H738" i="41"/>
  <c r="J738" i="41" s="1"/>
  <c r="J737" i="41"/>
  <c r="H737" i="41"/>
  <c r="H736" i="41"/>
  <c r="J736" i="41" s="1"/>
  <c r="H735" i="41"/>
  <c r="J735" i="41" s="1"/>
  <c r="H734" i="41"/>
  <c r="J734" i="41" s="1"/>
  <c r="H733" i="41"/>
  <c r="J733" i="41" s="1"/>
  <c r="H732" i="41"/>
  <c r="J732" i="41" s="1"/>
  <c r="H731" i="41"/>
  <c r="J731" i="41" s="1"/>
  <c r="H730" i="41"/>
  <c r="J730" i="41" s="1"/>
  <c r="J729" i="41"/>
  <c r="H729" i="41"/>
  <c r="H728" i="41"/>
  <c r="J728" i="41" s="1"/>
  <c r="H726" i="41"/>
  <c r="J726" i="41" s="1"/>
  <c r="H725" i="41"/>
  <c r="J725" i="41" s="1"/>
  <c r="J724" i="41"/>
  <c r="H724" i="41"/>
  <c r="H723" i="41"/>
  <c r="J723" i="41" s="1"/>
  <c r="H722" i="41"/>
  <c r="J722" i="41" s="1"/>
  <c r="H721" i="41"/>
  <c r="J721" i="41" s="1"/>
  <c r="J720" i="41"/>
  <c r="H720" i="41"/>
  <c r="H719" i="41"/>
  <c r="J719" i="41" s="1"/>
  <c r="J718" i="41"/>
  <c r="H718" i="41"/>
  <c r="H717" i="41"/>
  <c r="J717" i="41" s="1"/>
  <c r="H716" i="41"/>
  <c r="J716" i="41" s="1"/>
  <c r="H715" i="41"/>
  <c r="J715" i="41" s="1"/>
  <c r="H714" i="41"/>
  <c r="J714" i="41" s="1"/>
  <c r="H713" i="41"/>
  <c r="J709" i="41"/>
  <c r="H709" i="41"/>
  <c r="H708" i="41"/>
  <c r="J708" i="41" s="1"/>
  <c r="H707" i="41"/>
  <c r="J707" i="41" s="1"/>
  <c r="H706" i="41"/>
  <c r="J706" i="41" s="1"/>
  <c r="H705" i="41"/>
  <c r="J705" i="41" s="1"/>
  <c r="H704" i="41"/>
  <c r="J704" i="41" s="1"/>
  <c r="H703" i="41"/>
  <c r="J703" i="41" s="1"/>
  <c r="H702" i="41"/>
  <c r="J702" i="41" s="1"/>
  <c r="H701" i="41"/>
  <c r="J701" i="41" s="1"/>
  <c r="H696" i="41"/>
  <c r="J696" i="41" s="1"/>
  <c r="H695" i="41"/>
  <c r="J695" i="41" s="1"/>
  <c r="H694" i="41"/>
  <c r="J694" i="41" s="1"/>
  <c r="H693" i="41"/>
  <c r="J693" i="41" s="1"/>
  <c r="H692" i="41"/>
  <c r="J692" i="41" s="1"/>
  <c r="H691" i="41"/>
  <c r="J691" i="41" s="1"/>
  <c r="H690" i="41"/>
  <c r="J690" i="41" s="1"/>
  <c r="H689" i="41"/>
  <c r="J689" i="41" s="1"/>
  <c r="H688" i="41"/>
  <c r="J688" i="41" s="1"/>
  <c r="H687" i="41"/>
  <c r="J687" i="41" s="1"/>
  <c r="H686" i="41"/>
  <c r="J686" i="41" s="1"/>
  <c r="H685" i="41"/>
  <c r="J685" i="41" s="1"/>
  <c r="H684" i="41"/>
  <c r="J684" i="41" s="1"/>
  <c r="H683" i="41"/>
  <c r="J683" i="41" s="1"/>
  <c r="H682" i="41"/>
  <c r="J682" i="41" s="1"/>
  <c r="H681" i="41"/>
  <c r="J681" i="41" s="1"/>
  <c r="H680" i="41"/>
  <c r="J680" i="41" s="1"/>
  <c r="H679" i="41"/>
  <c r="J679" i="41" s="1"/>
  <c r="H678" i="41"/>
  <c r="J678" i="41" s="1"/>
  <c r="H677" i="41"/>
  <c r="J677" i="41" s="1"/>
  <c r="H676" i="41"/>
  <c r="J676" i="41" s="1"/>
  <c r="H675" i="41"/>
  <c r="J675" i="41" s="1"/>
  <c r="H674" i="41"/>
  <c r="J674" i="41" s="1"/>
  <c r="J673" i="41"/>
  <c r="H673" i="41"/>
  <c r="H672" i="41"/>
  <c r="J672" i="41" s="1"/>
  <c r="H671" i="41"/>
  <c r="J671" i="41" s="1"/>
  <c r="H670" i="41"/>
  <c r="J670" i="41" s="1"/>
  <c r="H669" i="41"/>
  <c r="J669" i="41" s="1"/>
  <c r="H668" i="41"/>
  <c r="J668" i="41" s="1"/>
  <c r="H667" i="41"/>
  <c r="J667" i="41" s="1"/>
  <c r="H666" i="41"/>
  <c r="J666" i="41" s="1"/>
  <c r="H665" i="41"/>
  <c r="J665" i="41" s="1"/>
  <c r="H664" i="41"/>
  <c r="J664" i="41" s="1"/>
  <c r="H663" i="41"/>
  <c r="J663" i="41" s="1"/>
  <c r="H662" i="41"/>
  <c r="J662" i="41" s="1"/>
  <c r="H661" i="41"/>
  <c r="J661" i="41" s="1"/>
  <c r="H660" i="41"/>
  <c r="J660" i="41" s="1"/>
  <c r="H659" i="41"/>
  <c r="J659" i="41" s="1"/>
  <c r="H658" i="41"/>
  <c r="J658" i="41" s="1"/>
  <c r="J657" i="41"/>
  <c r="H657" i="41"/>
  <c r="H656" i="41"/>
  <c r="J656" i="41" s="1"/>
  <c r="H654" i="41"/>
  <c r="J654" i="41" s="1"/>
  <c r="H652" i="41"/>
  <c r="J652" i="41" s="1"/>
  <c r="H651" i="41"/>
  <c r="J651" i="41" s="1"/>
  <c r="H650" i="41"/>
  <c r="J650" i="41" s="1"/>
  <c r="H649" i="41"/>
  <c r="J649" i="41" s="1"/>
  <c r="H648" i="41"/>
  <c r="J648" i="41" s="1"/>
  <c r="H647" i="41"/>
  <c r="J647" i="41" s="1"/>
  <c r="H645" i="41"/>
  <c r="J645" i="41" s="1"/>
  <c r="H644" i="41"/>
  <c r="J644" i="41" s="1"/>
  <c r="H643" i="41"/>
  <c r="J643" i="41" s="1"/>
  <c r="H642" i="41"/>
  <c r="J642" i="41" s="1"/>
  <c r="H641" i="41"/>
  <c r="J641" i="41" s="1"/>
  <c r="H640" i="41"/>
  <c r="J640" i="41" s="1"/>
  <c r="H639" i="41"/>
  <c r="J639" i="41" s="1"/>
  <c r="J638" i="41"/>
  <c r="H638" i="41"/>
  <c r="H637" i="41"/>
  <c r="J637" i="41" s="1"/>
  <c r="H636" i="41"/>
  <c r="J636" i="41" s="1"/>
  <c r="H635" i="41"/>
  <c r="J635" i="41" s="1"/>
  <c r="H634" i="41"/>
  <c r="J634" i="41" s="1"/>
  <c r="H633" i="41"/>
  <c r="J633" i="41" s="1"/>
  <c r="H632" i="41"/>
  <c r="J632" i="41" s="1"/>
  <c r="H631" i="41"/>
  <c r="J631" i="41" s="1"/>
  <c r="H630" i="41"/>
  <c r="J630" i="41" s="1"/>
  <c r="H629" i="41"/>
  <c r="J629" i="41" s="1"/>
  <c r="H628" i="41"/>
  <c r="J628" i="41" s="1"/>
  <c r="H625" i="41"/>
  <c r="J625" i="41" s="1"/>
  <c r="H623" i="41"/>
  <c r="J623" i="41" s="1"/>
  <c r="H621" i="41"/>
  <c r="J621" i="41" s="1"/>
  <c r="H620" i="41"/>
  <c r="J620" i="41" s="1"/>
  <c r="H619" i="41"/>
  <c r="J619" i="41" s="1"/>
  <c r="H618" i="41"/>
  <c r="J618" i="41" s="1"/>
  <c r="H617" i="41"/>
  <c r="J617" i="41" s="1"/>
  <c r="H616" i="41"/>
  <c r="J616" i="41" s="1"/>
  <c r="H615" i="41"/>
  <c r="J615" i="41" s="1"/>
  <c r="H614" i="41"/>
  <c r="J614" i="41" s="1"/>
  <c r="H613" i="41"/>
  <c r="J613" i="41" s="1"/>
  <c r="H612" i="41"/>
  <c r="J612" i="41" s="1"/>
  <c r="H610" i="41"/>
  <c r="J610" i="41" s="1"/>
  <c r="J609" i="41"/>
  <c r="H609" i="41"/>
  <c r="H608" i="41"/>
  <c r="J608" i="41" s="1"/>
  <c r="H607" i="41"/>
  <c r="J607" i="41" s="1"/>
  <c r="J606" i="41"/>
  <c r="H606" i="41"/>
  <c r="H605" i="41"/>
  <c r="J605" i="41" s="1"/>
  <c r="H603" i="41"/>
  <c r="J603" i="41" s="1"/>
  <c r="H602" i="41"/>
  <c r="J602" i="41" s="1"/>
  <c r="H601" i="41"/>
  <c r="J601" i="41" s="1"/>
  <c r="H600" i="41"/>
  <c r="J600" i="41" s="1"/>
  <c r="H599" i="41"/>
  <c r="J599" i="41" s="1"/>
  <c r="H598" i="41"/>
  <c r="J598" i="41" s="1"/>
  <c r="H597" i="41"/>
  <c r="J597" i="41" s="1"/>
  <c r="H596" i="41"/>
  <c r="J596" i="41" s="1"/>
  <c r="H595" i="41"/>
  <c r="J595" i="41" s="1"/>
  <c r="H594" i="41"/>
  <c r="J594" i="41" s="1"/>
  <c r="H593" i="41"/>
  <c r="J593" i="41" s="1"/>
  <c r="H592" i="41"/>
  <c r="J592" i="41" s="1"/>
  <c r="J591" i="41"/>
  <c r="H591" i="41"/>
  <c r="H590" i="41"/>
  <c r="J590" i="41" s="1"/>
  <c r="H589" i="41"/>
  <c r="J589" i="41" s="1"/>
  <c r="H588" i="41"/>
  <c r="J588" i="41" s="1"/>
  <c r="H587" i="41"/>
  <c r="J587" i="41" s="1"/>
  <c r="H586" i="41"/>
  <c r="J586" i="41" s="1"/>
  <c r="H584" i="41"/>
  <c r="J584" i="41" s="1"/>
  <c r="H583" i="41"/>
  <c r="J583" i="41" s="1"/>
  <c r="H582" i="41"/>
  <c r="J582" i="41" s="1"/>
  <c r="H581" i="41"/>
  <c r="J581" i="41" s="1"/>
  <c r="H580" i="41"/>
  <c r="J580" i="41" s="1"/>
  <c r="H579" i="41"/>
  <c r="J579" i="41" s="1"/>
  <c r="H578" i="41"/>
  <c r="J578" i="41" s="1"/>
  <c r="H577" i="41"/>
  <c r="J577" i="41" s="1"/>
  <c r="H575" i="41"/>
  <c r="J575" i="41" s="1"/>
  <c r="H574" i="41"/>
  <c r="J574" i="41" s="1"/>
  <c r="H573" i="41"/>
  <c r="J573" i="41" s="1"/>
  <c r="H572" i="41"/>
  <c r="J572" i="41" s="1"/>
  <c r="H571" i="41"/>
  <c r="J571" i="41" s="1"/>
  <c r="H570" i="41"/>
  <c r="J570" i="41" s="1"/>
  <c r="H569" i="41"/>
  <c r="J569" i="41" s="1"/>
  <c r="J568" i="41"/>
  <c r="H568" i="41"/>
  <c r="H567" i="41"/>
  <c r="J567" i="41" s="1"/>
  <c r="I566" i="41"/>
  <c r="J566" i="41" s="1"/>
  <c r="H566" i="41"/>
  <c r="I565" i="41"/>
  <c r="H565" i="41"/>
  <c r="H564" i="41"/>
  <c r="J564" i="41" s="1"/>
  <c r="H563" i="41"/>
  <c r="J563" i="41" s="1"/>
  <c r="H562" i="41"/>
  <c r="J562" i="41" s="1"/>
  <c r="J561" i="41"/>
  <c r="H561" i="41"/>
  <c r="H560" i="41"/>
  <c r="J560" i="41" s="1"/>
  <c r="H559" i="41"/>
  <c r="J559" i="41" s="1"/>
  <c r="H558" i="41"/>
  <c r="J558" i="41" s="1"/>
  <c r="J557" i="41"/>
  <c r="H557" i="41"/>
  <c r="H556" i="41"/>
  <c r="J556" i="41" s="1"/>
  <c r="H554" i="41"/>
  <c r="J554" i="41" s="1"/>
  <c r="H553" i="41"/>
  <c r="J553" i="41" s="1"/>
  <c r="I552" i="41"/>
  <c r="H552" i="41"/>
  <c r="J552" i="41" s="1"/>
  <c r="I551" i="41"/>
  <c r="J551" i="41" s="1"/>
  <c r="H551" i="41"/>
  <c r="H550" i="41"/>
  <c r="J550" i="41" s="1"/>
  <c r="H549" i="41"/>
  <c r="J549" i="41" s="1"/>
  <c r="H548" i="41"/>
  <c r="J548" i="41" s="1"/>
  <c r="H547" i="41"/>
  <c r="J547" i="41" s="1"/>
  <c r="I546" i="41"/>
  <c r="H546" i="41"/>
  <c r="I545" i="41"/>
  <c r="H545" i="41"/>
  <c r="I544" i="41"/>
  <c r="H544" i="41"/>
  <c r="I543" i="41"/>
  <c r="H543" i="41"/>
  <c r="J542" i="41"/>
  <c r="I542" i="41"/>
  <c r="H542" i="41"/>
  <c r="I541" i="41"/>
  <c r="H541" i="41"/>
  <c r="J541" i="41" s="1"/>
  <c r="I540" i="41"/>
  <c r="H540" i="41"/>
  <c r="J540" i="41" s="1"/>
  <c r="I539" i="41"/>
  <c r="J539" i="41" s="1"/>
  <c r="H539" i="41"/>
  <c r="I538" i="41"/>
  <c r="H538" i="41"/>
  <c r="I537" i="41"/>
  <c r="H537" i="41"/>
  <c r="H536" i="41"/>
  <c r="J536" i="41" s="1"/>
  <c r="H535" i="41"/>
  <c r="J535" i="41" s="1"/>
  <c r="H534" i="41"/>
  <c r="J534" i="41" s="1"/>
  <c r="H533" i="41"/>
  <c r="J533" i="41" s="1"/>
  <c r="J532" i="41"/>
  <c r="H532" i="41"/>
  <c r="H531" i="41"/>
  <c r="J531" i="41" s="1"/>
  <c r="H530" i="41"/>
  <c r="J530" i="41" s="1"/>
  <c r="H529" i="41"/>
  <c r="J529" i="41" s="1"/>
  <c r="H528" i="41"/>
  <c r="J528" i="41" s="1"/>
  <c r="H526" i="41"/>
  <c r="J526" i="41" s="1"/>
  <c r="H525" i="41"/>
  <c r="J525" i="41" s="1"/>
  <c r="H524" i="41"/>
  <c r="J524" i="41" s="1"/>
  <c r="J523" i="41"/>
  <c r="H523" i="41"/>
  <c r="H522" i="41"/>
  <c r="J522" i="41" s="1"/>
  <c r="H521" i="41"/>
  <c r="J521" i="41" s="1"/>
  <c r="H520" i="41"/>
  <c r="J520" i="41" s="1"/>
  <c r="H519" i="41"/>
  <c r="J519" i="41" s="1"/>
  <c r="H518" i="41"/>
  <c r="J518" i="41" s="1"/>
  <c r="H517" i="41"/>
  <c r="J517" i="41" s="1"/>
  <c r="H516" i="41"/>
  <c r="J516" i="41" s="1"/>
  <c r="J515" i="41"/>
  <c r="H515" i="41"/>
  <c r="H514" i="41"/>
  <c r="J514" i="41" s="1"/>
  <c r="H513" i="41"/>
  <c r="J513" i="41" s="1"/>
  <c r="H511" i="41"/>
  <c r="J511" i="41" s="1"/>
  <c r="H510" i="41"/>
  <c r="J510" i="41" s="1"/>
  <c r="H509" i="41"/>
  <c r="J509" i="41" s="1"/>
  <c r="H508" i="41"/>
  <c r="J508" i="41" s="1"/>
  <c r="H507" i="41"/>
  <c r="J507" i="41" s="1"/>
  <c r="J506" i="41"/>
  <c r="H506" i="41"/>
  <c r="H505" i="41"/>
  <c r="J505" i="41" s="1"/>
  <c r="H504" i="41"/>
  <c r="J504" i="41" s="1"/>
  <c r="H501" i="41"/>
  <c r="J501" i="41" s="1"/>
  <c r="H500" i="41"/>
  <c r="J500" i="41" s="1"/>
  <c r="H499" i="41"/>
  <c r="J499" i="41" s="1"/>
  <c r="H498" i="41"/>
  <c r="J498" i="41" s="1"/>
  <c r="H497" i="41"/>
  <c r="J497" i="41" s="1"/>
  <c r="J496" i="41"/>
  <c r="H496" i="41"/>
  <c r="H495" i="41"/>
  <c r="J495" i="41" s="1"/>
  <c r="H494" i="41"/>
  <c r="J494" i="41" s="1"/>
  <c r="H492" i="41"/>
  <c r="J492" i="41" s="1"/>
  <c r="H491" i="41"/>
  <c r="J491" i="41" s="1"/>
  <c r="H490" i="41"/>
  <c r="J490" i="41" s="1"/>
  <c r="H489" i="41"/>
  <c r="J489" i="41" s="1"/>
  <c r="H488" i="41"/>
  <c r="J488" i="41" s="1"/>
  <c r="J486" i="41"/>
  <c r="H486" i="41"/>
  <c r="H484" i="41"/>
  <c r="J484" i="41" s="1"/>
  <c r="H483" i="41"/>
  <c r="J483" i="41" s="1"/>
  <c r="I482" i="41"/>
  <c r="H482" i="41"/>
  <c r="J482" i="41" s="1"/>
  <c r="I481" i="41"/>
  <c r="H481" i="41"/>
  <c r="J481" i="41" s="1"/>
  <c r="I480" i="41"/>
  <c r="H480" i="41"/>
  <c r="J480" i="41" s="1"/>
  <c r="H479" i="41"/>
  <c r="J479" i="41" s="1"/>
  <c r="H478" i="41"/>
  <c r="J478" i="41" s="1"/>
  <c r="H477" i="41"/>
  <c r="J477" i="41" s="1"/>
  <c r="H476" i="41"/>
  <c r="J476" i="41" s="1"/>
  <c r="J475" i="41"/>
  <c r="H475" i="41"/>
  <c r="H474" i="41"/>
  <c r="J474" i="41" s="1"/>
  <c r="H473" i="41"/>
  <c r="J473" i="41" s="1"/>
  <c r="H472" i="41"/>
  <c r="J472" i="41" s="1"/>
  <c r="H471" i="41"/>
  <c r="J471" i="41" s="1"/>
  <c r="H470" i="41"/>
  <c r="J470" i="41" s="1"/>
  <c r="H469" i="41"/>
  <c r="J469" i="41" s="1"/>
  <c r="H468" i="41"/>
  <c r="J468" i="41" s="1"/>
  <c r="H467" i="41"/>
  <c r="J467" i="41" s="1"/>
  <c r="H466" i="41"/>
  <c r="J466" i="41" s="1"/>
  <c r="H465" i="41"/>
  <c r="J465" i="41" s="1"/>
  <c r="H464" i="41"/>
  <c r="J464" i="41" s="1"/>
  <c r="H463" i="41"/>
  <c r="J463" i="41" s="1"/>
  <c r="H462" i="41"/>
  <c r="J462" i="41" s="1"/>
  <c r="H461" i="41"/>
  <c r="J461" i="41" s="1"/>
  <c r="H460" i="41"/>
  <c r="J460" i="41" s="1"/>
  <c r="H459" i="41"/>
  <c r="J459" i="41" s="1"/>
  <c r="H458" i="41"/>
  <c r="J458" i="41" s="1"/>
  <c r="H457" i="41"/>
  <c r="J457" i="41" s="1"/>
  <c r="H456" i="41"/>
  <c r="J456" i="41" s="1"/>
  <c r="H455" i="41"/>
  <c r="J455" i="41" s="1"/>
  <c r="H454" i="41"/>
  <c r="J454" i="41" s="1"/>
  <c r="H453" i="41"/>
  <c r="J453" i="41" s="1"/>
  <c r="H452" i="41"/>
  <c r="J452" i="41" s="1"/>
  <c r="H451" i="41"/>
  <c r="J451" i="41" s="1"/>
  <c r="H450" i="41"/>
  <c r="J450" i="41" s="1"/>
  <c r="H449" i="41"/>
  <c r="J449" i="41" s="1"/>
  <c r="H447" i="41"/>
  <c r="J447" i="41" s="1"/>
  <c r="H446" i="41"/>
  <c r="J446" i="41" s="1"/>
  <c r="H445" i="41"/>
  <c r="J445" i="41" s="1"/>
  <c r="H444" i="41"/>
  <c r="J444" i="41" s="1"/>
  <c r="H443" i="41"/>
  <c r="J443" i="41" s="1"/>
  <c r="J441" i="41"/>
  <c r="H441" i="41"/>
  <c r="H440" i="41"/>
  <c r="J440" i="41" s="1"/>
  <c r="H439" i="41"/>
  <c r="J439" i="41" s="1"/>
  <c r="H438" i="41"/>
  <c r="J438" i="41" s="1"/>
  <c r="H437" i="41"/>
  <c r="J437" i="41" s="1"/>
  <c r="H436" i="41"/>
  <c r="J436" i="41" s="1"/>
  <c r="H435" i="41"/>
  <c r="J435" i="41" s="1"/>
  <c r="H434" i="41"/>
  <c r="J434" i="41" s="1"/>
  <c r="H433" i="41"/>
  <c r="J433" i="41" s="1"/>
  <c r="H432" i="41"/>
  <c r="J432" i="41" s="1"/>
  <c r="H431" i="41"/>
  <c r="J431" i="41" s="1"/>
  <c r="H430" i="41"/>
  <c r="J430" i="41" s="1"/>
  <c r="H429" i="41"/>
  <c r="J429" i="41" s="1"/>
  <c r="H428" i="41"/>
  <c r="J428" i="41" s="1"/>
  <c r="H427" i="41"/>
  <c r="J427" i="41" s="1"/>
  <c r="H426" i="41"/>
  <c r="J426" i="41" s="1"/>
  <c r="H425" i="41"/>
  <c r="J425" i="41" s="1"/>
  <c r="H424" i="41"/>
  <c r="J424" i="41" s="1"/>
  <c r="H423" i="41"/>
  <c r="J423" i="41" s="1"/>
  <c r="H422" i="41"/>
  <c r="J422" i="41" s="1"/>
  <c r="H421" i="41"/>
  <c r="J421" i="41" s="1"/>
  <c r="H420" i="41"/>
  <c r="J420" i="41" s="1"/>
  <c r="H419" i="41"/>
  <c r="J419" i="41" s="1"/>
  <c r="H418" i="41"/>
  <c r="J418" i="41" s="1"/>
  <c r="H417" i="41"/>
  <c r="J417" i="41" s="1"/>
  <c r="H416" i="41"/>
  <c r="J416" i="41" s="1"/>
  <c r="H415" i="41"/>
  <c r="J415" i="41" s="1"/>
  <c r="H414" i="41"/>
  <c r="J414" i="41" s="1"/>
  <c r="H413" i="41"/>
  <c r="J413" i="41" s="1"/>
  <c r="H412" i="41"/>
  <c r="J412" i="41" s="1"/>
  <c r="H411" i="41"/>
  <c r="J411" i="41" s="1"/>
  <c r="H410" i="41"/>
  <c r="J410" i="41" s="1"/>
  <c r="J409" i="41"/>
  <c r="H409" i="41"/>
  <c r="H408" i="41"/>
  <c r="J408" i="41" s="1"/>
  <c r="H407" i="41"/>
  <c r="J407" i="41" s="1"/>
  <c r="H404" i="41"/>
  <c r="J404" i="41" s="1"/>
  <c r="H403" i="41"/>
  <c r="J403" i="41" s="1"/>
  <c r="H402" i="41"/>
  <c r="J402" i="41" s="1"/>
  <c r="H401" i="41"/>
  <c r="J401" i="41" s="1"/>
  <c r="H400" i="41"/>
  <c r="J400" i="41" s="1"/>
  <c r="H399" i="41"/>
  <c r="J399" i="41" s="1"/>
  <c r="H398" i="41"/>
  <c r="J398" i="41" s="1"/>
  <c r="H397" i="41"/>
  <c r="J397" i="41" s="1"/>
  <c r="H396" i="41"/>
  <c r="J396" i="41" s="1"/>
  <c r="H395" i="41"/>
  <c r="J395" i="41" s="1"/>
  <c r="H394" i="41"/>
  <c r="J394" i="41" s="1"/>
  <c r="H393" i="41"/>
  <c r="J393" i="41" s="1"/>
  <c r="H392" i="41"/>
  <c r="J392" i="41" s="1"/>
  <c r="H390" i="41"/>
  <c r="J390" i="41" s="1"/>
  <c r="H389" i="41"/>
  <c r="J389" i="41" s="1"/>
  <c r="H388" i="41"/>
  <c r="J388" i="41" s="1"/>
  <c r="H387" i="41"/>
  <c r="J387" i="41" s="1"/>
  <c r="H386" i="41"/>
  <c r="J386" i="41" s="1"/>
  <c r="H385" i="41"/>
  <c r="J385" i="41" s="1"/>
  <c r="H384" i="41"/>
  <c r="J384" i="41" s="1"/>
  <c r="H383" i="41"/>
  <c r="J383" i="41" s="1"/>
  <c r="H382" i="41"/>
  <c r="J382" i="41" s="1"/>
  <c r="H381" i="41"/>
  <c r="J381" i="41" s="1"/>
  <c r="H380" i="41"/>
  <c r="J380" i="41" s="1"/>
  <c r="H379" i="41"/>
  <c r="J379" i="41" s="1"/>
  <c r="H378" i="41"/>
  <c r="J378" i="41" s="1"/>
  <c r="H377" i="41"/>
  <c r="J377" i="41" s="1"/>
  <c r="H376" i="41"/>
  <c r="J376" i="41" s="1"/>
  <c r="H375" i="41"/>
  <c r="J375" i="41" s="1"/>
  <c r="J374" i="41"/>
  <c r="H374" i="41"/>
  <c r="H373" i="41"/>
  <c r="J373" i="41" s="1"/>
  <c r="H372" i="41"/>
  <c r="J372" i="41" s="1"/>
  <c r="H371" i="41"/>
  <c r="J371" i="41" s="1"/>
  <c r="H370" i="41"/>
  <c r="J370" i="41" s="1"/>
  <c r="H369" i="41"/>
  <c r="J369" i="41" s="1"/>
  <c r="H368" i="41"/>
  <c r="J368" i="41" s="1"/>
  <c r="H367" i="41"/>
  <c r="J367" i="41" s="1"/>
  <c r="H366" i="41"/>
  <c r="J366" i="41" s="1"/>
  <c r="H365" i="41"/>
  <c r="J365" i="41" s="1"/>
  <c r="H364" i="41"/>
  <c r="J364" i="41" s="1"/>
  <c r="H363" i="41"/>
  <c r="J363" i="41" s="1"/>
  <c r="H362" i="41"/>
  <c r="J362" i="41" s="1"/>
  <c r="H361" i="41"/>
  <c r="J361" i="41" s="1"/>
  <c r="H360" i="41"/>
  <c r="J360" i="41" s="1"/>
  <c r="H359" i="41"/>
  <c r="J359" i="41" s="1"/>
  <c r="H358" i="41"/>
  <c r="J358" i="41" s="1"/>
  <c r="H357" i="41"/>
  <c r="J357" i="41" s="1"/>
  <c r="H356" i="41"/>
  <c r="J356" i="41" s="1"/>
  <c r="H355" i="41"/>
  <c r="J355" i="41" s="1"/>
  <c r="H354" i="41"/>
  <c r="J354" i="41" s="1"/>
  <c r="H353" i="41"/>
  <c r="J353" i="41" s="1"/>
  <c r="H352" i="41"/>
  <c r="J352" i="41" s="1"/>
  <c r="H351" i="41"/>
  <c r="J351" i="41" s="1"/>
  <c r="H350" i="41"/>
  <c r="J350" i="41" s="1"/>
  <c r="H349" i="41"/>
  <c r="J349" i="41" s="1"/>
  <c r="H348" i="41"/>
  <c r="J348" i="41" s="1"/>
  <c r="H347" i="41"/>
  <c r="J347" i="41" s="1"/>
  <c r="H346" i="41"/>
  <c r="J346" i="41" s="1"/>
  <c r="H345" i="41"/>
  <c r="J345" i="41" s="1"/>
  <c r="H344" i="41"/>
  <c r="J344" i="41" s="1"/>
  <c r="H342" i="41"/>
  <c r="J342" i="41" s="1"/>
  <c r="J341" i="41"/>
  <c r="H341" i="41"/>
  <c r="H340" i="41"/>
  <c r="J340" i="41" s="1"/>
  <c r="H339" i="41"/>
  <c r="J339" i="41" s="1"/>
  <c r="H338" i="41"/>
  <c r="J338" i="41" s="1"/>
  <c r="H337" i="41"/>
  <c r="J337" i="41" s="1"/>
  <c r="H336" i="41"/>
  <c r="J336" i="41" s="1"/>
  <c r="H335" i="41"/>
  <c r="J335" i="41" s="1"/>
  <c r="H334" i="41"/>
  <c r="J334" i="41" s="1"/>
  <c r="H333" i="41"/>
  <c r="J333" i="41" s="1"/>
  <c r="H332" i="41"/>
  <c r="J332" i="41" s="1"/>
  <c r="H331" i="41"/>
  <c r="J331" i="41" s="1"/>
  <c r="H330" i="41"/>
  <c r="J330" i="41" s="1"/>
  <c r="H329" i="41"/>
  <c r="J329" i="41" s="1"/>
  <c r="H328" i="41"/>
  <c r="J328" i="41" s="1"/>
  <c r="H327" i="41"/>
  <c r="J327" i="41" s="1"/>
  <c r="H326" i="41"/>
  <c r="J326" i="41" s="1"/>
  <c r="H325" i="41"/>
  <c r="J325" i="41" s="1"/>
  <c r="H323" i="41"/>
  <c r="J323" i="41" s="1"/>
  <c r="H322" i="41"/>
  <c r="J322" i="41" s="1"/>
  <c r="H321" i="41"/>
  <c r="J321" i="41" s="1"/>
  <c r="H320" i="41"/>
  <c r="J320" i="41" s="1"/>
  <c r="H319" i="41"/>
  <c r="J319" i="41" s="1"/>
  <c r="H318" i="41"/>
  <c r="J318" i="41" s="1"/>
  <c r="H317" i="41"/>
  <c r="J317" i="41" s="1"/>
  <c r="H316" i="41"/>
  <c r="J316" i="41" s="1"/>
  <c r="H315" i="41"/>
  <c r="J315" i="41" s="1"/>
  <c r="H314" i="41"/>
  <c r="J314" i="41" s="1"/>
  <c r="H313" i="41"/>
  <c r="J313" i="41" s="1"/>
  <c r="H312" i="41"/>
  <c r="J312" i="41" s="1"/>
  <c r="H311" i="41"/>
  <c r="J311" i="41" s="1"/>
  <c r="H310" i="41"/>
  <c r="J310" i="41" s="1"/>
  <c r="H309" i="41"/>
  <c r="J309" i="41" s="1"/>
  <c r="J308" i="41"/>
  <c r="H308" i="41"/>
  <c r="H307" i="41"/>
  <c r="J307" i="41" s="1"/>
  <c r="H306" i="41"/>
  <c r="J306" i="41" s="1"/>
  <c r="H305" i="41"/>
  <c r="J305" i="41" s="1"/>
  <c r="H304" i="41"/>
  <c r="J304" i="41" s="1"/>
  <c r="H303" i="41"/>
  <c r="J303" i="41" s="1"/>
  <c r="H302" i="41"/>
  <c r="J302" i="41" s="1"/>
  <c r="H301" i="41"/>
  <c r="J301" i="41" s="1"/>
  <c r="H300" i="41"/>
  <c r="J300" i="41" s="1"/>
  <c r="H299" i="41"/>
  <c r="J299" i="41" s="1"/>
  <c r="H298" i="41"/>
  <c r="J298" i="41" s="1"/>
  <c r="H297" i="41"/>
  <c r="J297" i="41" s="1"/>
  <c r="H296" i="41"/>
  <c r="J296" i="41" s="1"/>
  <c r="H295" i="41"/>
  <c r="J295" i="41" s="1"/>
  <c r="H294" i="41"/>
  <c r="J294" i="41" s="1"/>
  <c r="H293" i="41"/>
  <c r="J293" i="41" s="1"/>
  <c r="H292" i="41"/>
  <c r="J292" i="41" s="1"/>
  <c r="H291" i="41"/>
  <c r="J291" i="41" s="1"/>
  <c r="H290" i="41"/>
  <c r="J290" i="41" s="1"/>
  <c r="H289" i="41"/>
  <c r="J289" i="41" s="1"/>
  <c r="H288" i="41"/>
  <c r="J288" i="41" s="1"/>
  <c r="H287" i="41"/>
  <c r="J287" i="41" s="1"/>
  <c r="H286" i="41"/>
  <c r="J286" i="41" s="1"/>
  <c r="H285" i="41"/>
  <c r="J285" i="41" s="1"/>
  <c r="H284" i="41"/>
  <c r="J284" i="41" s="1"/>
  <c r="H283" i="41"/>
  <c r="J283" i="41" s="1"/>
  <c r="H282" i="41"/>
  <c r="J282" i="41" s="1"/>
  <c r="H281" i="41"/>
  <c r="J281" i="41" s="1"/>
  <c r="H280" i="41"/>
  <c r="J280" i="41" s="1"/>
  <c r="H279" i="41"/>
  <c r="J279" i="41" s="1"/>
  <c r="H278" i="41"/>
  <c r="J278" i="41" s="1"/>
  <c r="H277" i="41"/>
  <c r="J277" i="41" s="1"/>
  <c r="H276" i="41"/>
  <c r="J276" i="41" s="1"/>
  <c r="H275" i="41"/>
  <c r="J275" i="41" s="1"/>
  <c r="H274" i="41"/>
  <c r="J274" i="41" s="1"/>
  <c r="H273" i="41"/>
  <c r="J273" i="41" s="1"/>
  <c r="H272" i="41"/>
  <c r="J272" i="41" s="1"/>
  <c r="H271" i="41"/>
  <c r="J271" i="41" s="1"/>
  <c r="H270" i="41"/>
  <c r="J270" i="41" s="1"/>
  <c r="H269" i="41"/>
  <c r="J269" i="41" s="1"/>
  <c r="H268" i="41"/>
  <c r="J268" i="41" s="1"/>
  <c r="H267" i="41"/>
  <c r="J267" i="41" s="1"/>
  <c r="H266" i="41"/>
  <c r="J266" i="41" s="1"/>
  <c r="H265" i="41"/>
  <c r="J265" i="41" s="1"/>
  <c r="H264" i="41"/>
  <c r="J264" i="41" s="1"/>
  <c r="H263" i="41"/>
  <c r="J263" i="41" s="1"/>
  <c r="H262" i="41"/>
  <c r="J262" i="41" s="1"/>
  <c r="H261" i="41"/>
  <c r="J261" i="41" s="1"/>
  <c r="H260" i="41"/>
  <c r="J260" i="41" s="1"/>
  <c r="H259" i="41"/>
  <c r="J259" i="41" s="1"/>
  <c r="H258" i="41"/>
  <c r="J258" i="41" s="1"/>
  <c r="H257" i="41"/>
  <c r="J257" i="41" s="1"/>
  <c r="H256" i="41"/>
  <c r="J256" i="41" s="1"/>
  <c r="H255" i="41"/>
  <c r="J255" i="41" s="1"/>
  <c r="H254" i="41"/>
  <c r="J254" i="41" s="1"/>
  <c r="H253" i="41"/>
  <c r="J253" i="41" s="1"/>
  <c r="H252" i="41"/>
  <c r="J252" i="41" s="1"/>
  <c r="H251" i="41"/>
  <c r="J251" i="41" s="1"/>
  <c r="H250" i="41"/>
  <c r="J250" i="41" s="1"/>
  <c r="H249" i="41"/>
  <c r="J249" i="41" s="1"/>
  <c r="H248" i="41"/>
  <c r="J248" i="41" s="1"/>
  <c r="H247" i="41"/>
  <c r="J247" i="41" s="1"/>
  <c r="H246" i="41"/>
  <c r="J246" i="41" s="1"/>
  <c r="H245" i="41"/>
  <c r="J245" i="41" s="1"/>
  <c r="H244" i="41"/>
  <c r="J244" i="41" s="1"/>
  <c r="H243" i="41"/>
  <c r="J243" i="41" s="1"/>
  <c r="H242" i="41"/>
  <c r="J242" i="41" s="1"/>
  <c r="H241" i="41"/>
  <c r="J241" i="41" s="1"/>
  <c r="H240" i="41"/>
  <c r="J240" i="41" s="1"/>
  <c r="H239" i="41"/>
  <c r="J239" i="41" s="1"/>
  <c r="H238" i="41"/>
  <c r="J238" i="41" s="1"/>
  <c r="H237" i="41"/>
  <c r="J237" i="41" s="1"/>
  <c r="H236" i="41"/>
  <c r="J236" i="41" s="1"/>
  <c r="H235" i="41"/>
  <c r="J235" i="41" s="1"/>
  <c r="H234" i="41"/>
  <c r="J234" i="41" s="1"/>
  <c r="H233" i="41"/>
  <c r="J233" i="41" s="1"/>
  <c r="H232" i="41"/>
  <c r="J232" i="41" s="1"/>
  <c r="H231" i="41"/>
  <c r="J231" i="41" s="1"/>
  <c r="H230" i="41"/>
  <c r="J230" i="41" s="1"/>
  <c r="H229" i="41"/>
  <c r="J229" i="41" s="1"/>
  <c r="H228" i="41"/>
  <c r="J228" i="41" s="1"/>
  <c r="H227" i="41"/>
  <c r="J227" i="41" s="1"/>
  <c r="H226" i="41"/>
  <c r="J226" i="41" s="1"/>
  <c r="H225" i="41"/>
  <c r="J225" i="41" s="1"/>
  <c r="H224" i="41"/>
  <c r="J224" i="41" s="1"/>
  <c r="H223" i="41"/>
  <c r="J223" i="41" s="1"/>
  <c r="H222" i="41"/>
  <c r="J222" i="41" s="1"/>
  <c r="H221" i="41"/>
  <c r="J221" i="41" s="1"/>
  <c r="H220" i="41"/>
  <c r="J220" i="41" s="1"/>
  <c r="H219" i="41"/>
  <c r="J219" i="41" s="1"/>
  <c r="H218" i="41"/>
  <c r="J218" i="41" s="1"/>
  <c r="H217" i="41"/>
  <c r="J217" i="41" s="1"/>
  <c r="H215" i="41"/>
  <c r="J215" i="41" s="1"/>
  <c r="H212" i="41"/>
  <c r="J212" i="41" s="1"/>
  <c r="H211" i="41"/>
  <c r="J211" i="41" s="1"/>
  <c r="H210" i="41"/>
  <c r="J210" i="41" s="1"/>
  <c r="H209" i="41"/>
  <c r="J209" i="41" s="1"/>
  <c r="H208" i="41"/>
  <c r="J208" i="41" s="1"/>
  <c r="H207" i="41"/>
  <c r="J207" i="41" s="1"/>
  <c r="H206" i="41"/>
  <c r="J206" i="41" s="1"/>
  <c r="H205" i="41"/>
  <c r="J205" i="41" s="1"/>
  <c r="H204" i="41"/>
  <c r="J204" i="41" s="1"/>
  <c r="H203" i="41"/>
  <c r="J203" i="41" s="1"/>
  <c r="H202" i="41"/>
  <c r="J202" i="41" s="1"/>
  <c r="H201" i="41"/>
  <c r="J201" i="41" s="1"/>
  <c r="H199" i="41"/>
  <c r="J199" i="41" s="1"/>
  <c r="H198" i="41"/>
  <c r="J198" i="41" s="1"/>
  <c r="H197" i="41"/>
  <c r="J197" i="41" s="1"/>
  <c r="J196" i="41"/>
  <c r="H196" i="41"/>
  <c r="H194" i="41"/>
  <c r="J194" i="41" s="1"/>
  <c r="H193" i="41"/>
  <c r="J193" i="41" s="1"/>
  <c r="H192" i="41"/>
  <c r="J192" i="41" s="1"/>
  <c r="H191" i="41"/>
  <c r="J191" i="41" s="1"/>
  <c r="H190" i="41"/>
  <c r="J190" i="41" s="1"/>
  <c r="H189" i="41"/>
  <c r="J189" i="41" s="1"/>
  <c r="H188" i="41"/>
  <c r="J188" i="41" s="1"/>
  <c r="H187" i="41"/>
  <c r="J187" i="41" s="1"/>
  <c r="H186" i="41"/>
  <c r="J186" i="41" s="1"/>
  <c r="H185" i="41"/>
  <c r="J185" i="41" s="1"/>
  <c r="H184" i="41"/>
  <c r="J184" i="41" s="1"/>
  <c r="H183" i="41"/>
  <c r="J183" i="41" s="1"/>
  <c r="H182" i="41"/>
  <c r="J182" i="41" s="1"/>
  <c r="H181" i="41"/>
  <c r="J181" i="41" s="1"/>
  <c r="H180" i="41"/>
  <c r="J180" i="41" s="1"/>
  <c r="H179" i="41"/>
  <c r="J179" i="41" s="1"/>
  <c r="J178" i="41"/>
  <c r="H178" i="41"/>
  <c r="H177" i="41"/>
  <c r="J177" i="41" s="1"/>
  <c r="H176" i="41"/>
  <c r="J176" i="41" s="1"/>
  <c r="H175" i="41"/>
  <c r="J175" i="41" s="1"/>
  <c r="H174" i="41"/>
  <c r="J174" i="41" s="1"/>
  <c r="H173" i="41"/>
  <c r="J173" i="41" s="1"/>
  <c r="H172" i="41"/>
  <c r="J172" i="41" s="1"/>
  <c r="H171" i="41"/>
  <c r="J171" i="41" s="1"/>
  <c r="H170" i="41"/>
  <c r="J170" i="41" s="1"/>
  <c r="H169" i="41"/>
  <c r="J169" i="41" s="1"/>
  <c r="H168" i="41"/>
  <c r="J168" i="41" s="1"/>
  <c r="H167" i="41"/>
  <c r="J167" i="41" s="1"/>
  <c r="H166" i="41"/>
  <c r="J166" i="41" s="1"/>
  <c r="H165" i="41"/>
  <c r="J165" i="41" s="1"/>
  <c r="H164" i="41"/>
  <c r="J164" i="41" s="1"/>
  <c r="H163" i="41"/>
  <c r="J163" i="41" s="1"/>
  <c r="H162" i="41"/>
  <c r="J162" i="41" s="1"/>
  <c r="H161" i="41"/>
  <c r="J161" i="41" s="1"/>
  <c r="H160" i="41"/>
  <c r="J160" i="41" s="1"/>
  <c r="H159" i="41"/>
  <c r="J159" i="41" s="1"/>
  <c r="H156" i="41"/>
  <c r="J156" i="41" s="1"/>
  <c r="H153" i="41"/>
  <c r="J153" i="41" s="1"/>
  <c r="H152" i="41"/>
  <c r="J152" i="41" s="1"/>
  <c r="H151" i="41"/>
  <c r="J151" i="41" s="1"/>
  <c r="H150" i="41"/>
  <c r="J150" i="41" s="1"/>
  <c r="H149" i="41"/>
  <c r="J149" i="41" s="1"/>
  <c r="H148" i="41"/>
  <c r="J148" i="41" s="1"/>
  <c r="H147" i="41"/>
  <c r="J147" i="41" s="1"/>
  <c r="H145" i="41"/>
  <c r="J145" i="41" s="1"/>
  <c r="H144" i="41"/>
  <c r="J144" i="41" s="1"/>
  <c r="H143" i="41"/>
  <c r="J143" i="41" s="1"/>
  <c r="H142" i="41"/>
  <c r="J142" i="41" s="1"/>
  <c r="J141" i="41"/>
  <c r="H141" i="41"/>
  <c r="H140" i="41"/>
  <c r="J140" i="41" s="1"/>
  <c r="H139" i="41"/>
  <c r="J139" i="41" s="1"/>
  <c r="H138" i="41"/>
  <c r="J138" i="41" s="1"/>
  <c r="H137" i="41"/>
  <c r="J137" i="41" s="1"/>
  <c r="H136" i="41"/>
  <c r="J136" i="41" s="1"/>
  <c r="H135" i="41"/>
  <c r="J135" i="41" s="1"/>
  <c r="H134" i="41"/>
  <c r="J134" i="41" s="1"/>
  <c r="H133" i="41"/>
  <c r="J133" i="41" s="1"/>
  <c r="H132" i="41"/>
  <c r="J132" i="41" s="1"/>
  <c r="H131" i="41"/>
  <c r="J131" i="41" s="1"/>
  <c r="H130" i="41"/>
  <c r="J130" i="41" s="1"/>
  <c r="H129" i="41"/>
  <c r="J129" i="41" s="1"/>
  <c r="H128" i="41"/>
  <c r="J128" i="41" s="1"/>
  <c r="H127" i="41"/>
  <c r="J127" i="41" s="1"/>
  <c r="H126" i="41"/>
  <c r="J126" i="41" s="1"/>
  <c r="H125" i="41"/>
  <c r="J125" i="41" s="1"/>
  <c r="H124" i="41"/>
  <c r="J124" i="41" s="1"/>
  <c r="H123" i="41"/>
  <c r="J123" i="41" s="1"/>
  <c r="H122" i="41"/>
  <c r="J122" i="41" s="1"/>
  <c r="H121" i="41"/>
  <c r="J121" i="41" s="1"/>
  <c r="H120" i="41"/>
  <c r="J120" i="41" s="1"/>
  <c r="H118" i="41"/>
  <c r="J118" i="41" s="1"/>
  <c r="H117" i="41"/>
  <c r="J117" i="41" s="1"/>
  <c r="H116" i="41"/>
  <c r="J116" i="41" s="1"/>
  <c r="H115" i="41"/>
  <c r="J115" i="41" s="1"/>
  <c r="H114" i="41"/>
  <c r="J114" i="41" s="1"/>
  <c r="H113" i="41"/>
  <c r="J113" i="41" s="1"/>
  <c r="H112" i="41"/>
  <c r="J112" i="41" s="1"/>
  <c r="H111" i="41"/>
  <c r="J111" i="41" s="1"/>
  <c r="H110" i="41"/>
  <c r="J110" i="41" s="1"/>
  <c r="H109" i="41"/>
  <c r="J109" i="41" s="1"/>
  <c r="J108" i="41"/>
  <c r="H108" i="41"/>
  <c r="H106" i="41"/>
  <c r="J106" i="41" s="1"/>
  <c r="H105" i="41"/>
  <c r="J105" i="41" s="1"/>
  <c r="H104" i="41"/>
  <c r="J104" i="41" s="1"/>
  <c r="H103" i="41"/>
  <c r="J103" i="41" s="1"/>
  <c r="H102" i="41"/>
  <c r="J102" i="41" s="1"/>
  <c r="H101" i="41"/>
  <c r="J101" i="41" s="1"/>
  <c r="H100" i="41"/>
  <c r="J100" i="41" s="1"/>
  <c r="H99" i="41"/>
  <c r="J99" i="41" s="1"/>
  <c r="H98" i="41"/>
  <c r="J98" i="41" s="1"/>
  <c r="H97" i="41"/>
  <c r="J97" i="41" s="1"/>
  <c r="H96" i="41"/>
  <c r="J96" i="41" s="1"/>
  <c r="H95" i="41"/>
  <c r="J95" i="41" s="1"/>
  <c r="H94" i="41"/>
  <c r="J94" i="41" s="1"/>
  <c r="H93" i="41"/>
  <c r="J93" i="41" s="1"/>
  <c r="H92" i="41"/>
  <c r="J92" i="41" s="1"/>
  <c r="H91" i="41"/>
  <c r="J91" i="41" s="1"/>
  <c r="H90" i="41"/>
  <c r="J90" i="41" s="1"/>
  <c r="H88" i="41"/>
  <c r="J88" i="41" s="1"/>
  <c r="H87" i="41"/>
  <c r="J87" i="41" s="1"/>
  <c r="J85" i="41"/>
  <c r="H85" i="41"/>
  <c r="H84" i="41"/>
  <c r="J84" i="41" s="1"/>
  <c r="H83" i="41"/>
  <c r="J83" i="41" s="1"/>
  <c r="H82" i="41"/>
  <c r="J82" i="41" s="1"/>
  <c r="H81" i="41"/>
  <c r="J81" i="41" s="1"/>
  <c r="I80" i="41"/>
  <c r="H80" i="41"/>
  <c r="H79" i="41"/>
  <c r="J79" i="41" s="1"/>
  <c r="H78" i="41"/>
  <c r="J78" i="41" s="1"/>
  <c r="H76" i="41"/>
  <c r="J76" i="41" s="1"/>
  <c r="H75" i="41"/>
  <c r="J75" i="41" s="1"/>
  <c r="H74" i="41"/>
  <c r="J74" i="41" s="1"/>
  <c r="J73" i="41"/>
  <c r="H73" i="41"/>
  <c r="H72" i="41"/>
  <c r="J72" i="41" s="1"/>
  <c r="H71" i="41"/>
  <c r="J71" i="41" s="1"/>
  <c r="H70" i="41"/>
  <c r="J70" i="41" s="1"/>
  <c r="H69" i="41"/>
  <c r="J69" i="41" s="1"/>
  <c r="H68" i="41"/>
  <c r="J68" i="41" s="1"/>
  <c r="H66" i="41"/>
  <c r="J66" i="41" s="1"/>
  <c r="H65" i="41"/>
  <c r="J65" i="41" s="1"/>
  <c r="J64" i="41"/>
  <c r="H64" i="41"/>
  <c r="H63" i="41"/>
  <c r="J63" i="41" s="1"/>
  <c r="H62" i="41"/>
  <c r="J62" i="41" s="1"/>
  <c r="H61" i="41"/>
  <c r="J61" i="41" s="1"/>
  <c r="H60" i="41"/>
  <c r="J60" i="41" s="1"/>
  <c r="H59" i="41"/>
  <c r="J59" i="41" s="1"/>
  <c r="H58" i="41"/>
  <c r="J58" i="41" s="1"/>
  <c r="H57" i="41"/>
  <c r="J57" i="41" s="1"/>
  <c r="J56" i="41"/>
  <c r="H56" i="41"/>
  <c r="H55" i="41"/>
  <c r="J55" i="41" s="1"/>
  <c r="H54" i="41"/>
  <c r="J54" i="41" s="1"/>
  <c r="H53" i="41"/>
  <c r="J53" i="41" s="1"/>
  <c r="H46" i="41"/>
  <c r="J46" i="41" s="1"/>
  <c r="H45" i="41"/>
  <c r="J45" i="41" s="1"/>
  <c r="H42" i="41"/>
  <c r="J42" i="41" s="1"/>
  <c r="H38" i="41"/>
  <c r="J38" i="41" s="1"/>
  <c r="H37" i="41"/>
  <c r="J37" i="41" s="1"/>
  <c r="H36" i="41"/>
  <c r="J36" i="41" s="1"/>
  <c r="K43" i="41" s="1"/>
  <c r="H34" i="41"/>
  <c r="J34" i="41" s="1"/>
  <c r="H33" i="41"/>
  <c r="J33" i="41" s="1"/>
  <c r="H31" i="41"/>
  <c r="J31" i="41" s="1"/>
  <c r="H30" i="41"/>
  <c r="J30" i="41" s="1"/>
  <c r="H28" i="41"/>
  <c r="J28" i="41" s="1"/>
  <c r="H27" i="41"/>
  <c r="J27" i="41" s="1"/>
  <c r="I26" i="41"/>
  <c r="H26" i="41"/>
  <c r="J26" i="41" s="1"/>
  <c r="H25" i="41"/>
  <c r="J25" i="41" s="1"/>
  <c r="H24" i="41"/>
  <c r="J24" i="41" s="1"/>
  <c r="H23" i="41"/>
  <c r="J23" i="41" s="1"/>
  <c r="H22" i="41"/>
  <c r="J22" i="41" s="1"/>
  <c r="H21" i="41"/>
  <c r="J21" i="41" s="1"/>
  <c r="H19" i="41"/>
  <c r="J19" i="41" s="1"/>
  <c r="H18" i="41"/>
  <c r="J18" i="41" s="1"/>
  <c r="H17" i="41"/>
  <c r="J17" i="41" s="1"/>
  <c r="H16" i="41"/>
  <c r="J16" i="41" s="1"/>
  <c r="H15" i="41"/>
  <c r="J15" i="41" s="1"/>
  <c r="H14" i="41"/>
  <c r="J14" i="41" s="1"/>
  <c r="H13" i="41"/>
  <c r="J13" i="41" s="1"/>
  <c r="K77" i="41" l="1"/>
  <c r="K1028" i="41"/>
  <c r="K1096" i="41"/>
  <c r="J538" i="41"/>
  <c r="J543" i="41"/>
  <c r="K808" i="41"/>
  <c r="J80" i="41"/>
  <c r="J1423" i="41" s="1"/>
  <c r="J537" i="41"/>
  <c r="J544" i="41"/>
  <c r="J546" i="41"/>
  <c r="J565" i="41"/>
  <c r="J835" i="41"/>
  <c r="J1025" i="41"/>
  <c r="J1029" i="41"/>
  <c r="K1063" i="41" s="1"/>
  <c r="J1083" i="41"/>
  <c r="J1260" i="41"/>
  <c r="K1262" i="41" s="1"/>
  <c r="K585" i="41"/>
  <c r="K884" i="41"/>
  <c r="J1095" i="41"/>
  <c r="J1228" i="41"/>
  <c r="K1244" i="41" s="1"/>
  <c r="J1257" i="41"/>
  <c r="K29" i="41"/>
  <c r="K195" i="41"/>
  <c r="K32" i="41"/>
  <c r="K35" i="41"/>
  <c r="K1021" i="41"/>
  <c r="K20" i="41"/>
  <c r="K200" i="41"/>
  <c r="K604" i="41"/>
  <c r="J545" i="41"/>
  <c r="K871" i="41"/>
  <c r="K1308" i="41"/>
  <c r="K1078" i="41"/>
  <c r="K1296" i="41"/>
  <c r="K1268" i="41"/>
  <c r="K1250" i="41"/>
  <c r="K1327" i="41"/>
  <c r="K1337" i="41"/>
  <c r="K1408" i="41"/>
  <c r="K89" i="41" l="1"/>
  <c r="K576" i="41"/>
  <c r="K1423" i="41"/>
  <c r="H1429" i="40" l="1"/>
  <c r="J1429" i="40" s="1"/>
  <c r="H1428" i="40"/>
  <c r="J1428" i="40" s="1"/>
  <c r="J1427" i="40"/>
  <c r="H1427" i="40"/>
  <c r="J1426" i="40"/>
  <c r="H1425" i="40"/>
  <c r="J1425" i="40" s="1"/>
  <c r="H1424" i="40"/>
  <c r="J1424" i="40" s="1"/>
  <c r="H1423" i="40"/>
  <c r="J1423" i="40" s="1"/>
  <c r="H1420" i="40"/>
  <c r="J1420" i="40" s="1"/>
  <c r="H1419" i="40"/>
  <c r="J1419" i="40" s="1"/>
  <c r="H1418" i="40"/>
  <c r="J1418" i="40" s="1"/>
  <c r="H1417" i="40"/>
  <c r="J1417" i="40" s="1"/>
  <c r="K1430" i="40" s="1"/>
  <c r="J1415" i="40"/>
  <c r="J1414" i="40"/>
  <c r="H1414" i="40"/>
  <c r="J1413" i="40"/>
  <c r="H1413" i="40"/>
  <c r="J1410" i="40"/>
  <c r="H1410" i="40"/>
  <c r="J1409" i="40"/>
  <c r="H1409" i="40"/>
  <c r="J1408" i="40"/>
  <c r="H1408" i="40"/>
  <c r="J1407" i="40"/>
  <c r="H1407" i="40"/>
  <c r="J1406" i="40"/>
  <c r="H1406" i="40"/>
  <c r="J1405" i="40"/>
  <c r="H1405" i="40"/>
  <c r="J1404" i="40"/>
  <c r="H1404" i="40"/>
  <c r="H1403" i="40"/>
  <c r="J1403" i="40" s="1"/>
  <c r="H1402" i="40"/>
  <c r="J1402" i="40" s="1"/>
  <c r="H1401" i="40"/>
  <c r="J1401" i="40" s="1"/>
  <c r="J1400" i="40"/>
  <c r="H1400" i="40"/>
  <c r="H1399" i="40"/>
  <c r="J1399" i="40" s="1"/>
  <c r="H1398" i="40"/>
  <c r="J1398" i="40" s="1"/>
  <c r="H1397" i="40"/>
  <c r="J1397" i="40" s="1"/>
  <c r="J1396" i="40"/>
  <c r="H1396" i="40"/>
  <c r="H1395" i="40"/>
  <c r="J1395" i="40" s="1"/>
  <c r="H1394" i="40"/>
  <c r="J1394" i="40" s="1"/>
  <c r="H1393" i="40"/>
  <c r="J1393" i="40" s="1"/>
  <c r="J1392" i="40"/>
  <c r="H1392" i="40"/>
  <c r="H1391" i="40"/>
  <c r="J1391" i="40" s="1"/>
  <c r="H1390" i="40"/>
  <c r="J1390" i="40" s="1"/>
  <c r="H1389" i="40"/>
  <c r="J1389" i="40" s="1"/>
  <c r="J1388" i="40"/>
  <c r="H1388" i="40"/>
  <c r="H1387" i="40"/>
  <c r="J1387" i="40" s="1"/>
  <c r="H1386" i="40"/>
  <c r="J1386" i="40" s="1"/>
  <c r="H1385" i="40"/>
  <c r="J1385" i="40" s="1"/>
  <c r="J1384" i="40"/>
  <c r="H1384" i="40"/>
  <c r="H1383" i="40"/>
  <c r="J1383" i="40" s="1"/>
  <c r="H1382" i="40"/>
  <c r="J1382" i="40" s="1"/>
  <c r="H1381" i="40"/>
  <c r="J1381" i="40" s="1"/>
  <c r="J1380" i="40"/>
  <c r="H1380" i="40"/>
  <c r="H1379" i="40"/>
  <c r="J1379" i="40" s="1"/>
  <c r="H1378" i="40"/>
  <c r="J1378" i="40" s="1"/>
  <c r="H1377" i="40"/>
  <c r="J1377" i="40" s="1"/>
  <c r="J1376" i="40"/>
  <c r="H1376" i="40"/>
  <c r="H1375" i="40"/>
  <c r="J1375" i="40" s="1"/>
  <c r="H1374" i="40"/>
  <c r="J1374" i="40" s="1"/>
  <c r="H1373" i="40"/>
  <c r="J1373" i="40" s="1"/>
  <c r="J1372" i="40"/>
  <c r="H1372" i="40"/>
  <c r="H1371" i="40"/>
  <c r="J1371" i="40" s="1"/>
  <c r="J1370" i="40"/>
  <c r="H1370" i="40"/>
  <c r="H1369" i="40"/>
  <c r="J1369" i="40" s="1"/>
  <c r="J1368" i="40"/>
  <c r="H1368" i="40"/>
  <c r="H1367" i="40"/>
  <c r="J1367" i="40" s="1"/>
  <c r="H1366" i="40"/>
  <c r="J1366" i="40" s="1"/>
  <c r="H1365" i="40"/>
  <c r="J1365" i="40" s="1"/>
  <c r="J1364" i="40"/>
  <c r="H1364" i="40"/>
  <c r="H1363" i="40"/>
  <c r="J1363" i="40" s="1"/>
  <c r="H1362" i="40"/>
  <c r="J1362" i="40" s="1"/>
  <c r="H1361" i="40"/>
  <c r="J1361" i="40" s="1"/>
  <c r="J1360" i="40"/>
  <c r="H1360" i="40"/>
  <c r="H1359" i="40"/>
  <c r="J1359" i="40" s="1"/>
  <c r="H1358" i="40"/>
  <c r="J1358" i="40" s="1"/>
  <c r="H1357" i="40"/>
  <c r="J1357" i="40" s="1"/>
  <c r="J1356" i="40"/>
  <c r="H1356" i="40"/>
  <c r="H1355" i="40"/>
  <c r="J1355" i="40" s="1"/>
  <c r="H1354" i="40"/>
  <c r="J1354" i="40" s="1"/>
  <c r="H1353" i="40"/>
  <c r="J1353" i="40" s="1"/>
  <c r="J1351" i="40"/>
  <c r="H1351" i="40"/>
  <c r="H1350" i="40"/>
  <c r="J1350" i="40" s="1"/>
  <c r="H1349" i="40"/>
  <c r="J1349" i="40" s="1"/>
  <c r="H1348" i="40"/>
  <c r="J1348" i="40" s="1"/>
  <c r="J1347" i="40"/>
  <c r="H1347" i="40"/>
  <c r="H1346" i="40"/>
  <c r="J1346" i="40" s="1"/>
  <c r="H1344" i="40"/>
  <c r="J1344" i="40" s="1"/>
  <c r="H1343" i="40"/>
  <c r="J1343" i="40" s="1"/>
  <c r="H1342" i="40"/>
  <c r="J1342" i="40" s="1"/>
  <c r="H1341" i="40"/>
  <c r="J1341" i="40" s="1"/>
  <c r="H1339" i="40"/>
  <c r="J1339" i="40" s="1"/>
  <c r="J1338" i="40"/>
  <c r="H1338" i="40"/>
  <c r="H1337" i="40"/>
  <c r="J1337" i="40" s="1"/>
  <c r="H1336" i="40"/>
  <c r="J1336" i="40" s="1"/>
  <c r="H1335" i="40"/>
  <c r="J1335" i="40" s="1"/>
  <c r="H1334" i="40"/>
  <c r="J1334" i="40" s="1"/>
  <c r="H1333" i="40"/>
  <c r="J1333" i="40" s="1"/>
  <c r="J1332" i="40"/>
  <c r="J1331" i="40"/>
  <c r="H1330" i="40"/>
  <c r="J1330" i="40" s="1"/>
  <c r="H1328" i="40"/>
  <c r="J1328" i="40" s="1"/>
  <c r="H1327" i="40"/>
  <c r="J1327" i="40" s="1"/>
  <c r="H1326" i="40"/>
  <c r="J1326" i="40" s="1"/>
  <c r="J1325" i="40"/>
  <c r="H1325" i="40"/>
  <c r="H1324" i="40"/>
  <c r="J1324" i="40" s="1"/>
  <c r="H1323" i="40"/>
  <c r="J1323" i="40" s="1"/>
  <c r="H1322" i="40"/>
  <c r="J1322" i="40" s="1"/>
  <c r="J1321" i="40"/>
  <c r="H1321" i="40"/>
  <c r="H1320" i="40"/>
  <c r="J1320" i="40" s="1"/>
  <c r="H1319" i="40"/>
  <c r="J1319" i="40" s="1"/>
  <c r="H1318" i="40"/>
  <c r="J1318" i="40" s="1"/>
  <c r="J1317" i="40"/>
  <c r="H1317" i="40"/>
  <c r="H1316" i="40"/>
  <c r="J1316" i="40" s="1"/>
  <c r="H1315" i="40"/>
  <c r="J1315" i="40" s="1"/>
  <c r="I1314" i="40"/>
  <c r="H1314" i="40"/>
  <c r="J1314" i="40" s="1"/>
  <c r="H1313" i="40"/>
  <c r="J1313" i="40" s="1"/>
  <c r="H1312" i="40"/>
  <c r="J1312" i="40" s="1"/>
  <c r="H1311" i="40"/>
  <c r="J1311" i="40" s="1"/>
  <c r="J1309" i="40"/>
  <c r="H1309" i="40"/>
  <c r="H1308" i="40"/>
  <c r="J1308" i="40" s="1"/>
  <c r="H1307" i="40"/>
  <c r="J1307" i="40" s="1"/>
  <c r="H1306" i="40"/>
  <c r="J1306" i="40" s="1"/>
  <c r="H1305" i="40"/>
  <c r="J1305" i="40" s="1"/>
  <c r="H1304" i="40"/>
  <c r="J1304" i="40" s="1"/>
  <c r="J1303" i="40"/>
  <c r="H1303" i="40"/>
  <c r="H1302" i="40"/>
  <c r="J1302" i="40" s="1"/>
  <c r="J1301" i="40"/>
  <c r="H1301" i="40"/>
  <c r="H1300" i="40"/>
  <c r="J1300" i="40" s="1"/>
  <c r="H1299" i="40"/>
  <c r="J1299" i="40" s="1"/>
  <c r="H1297" i="40"/>
  <c r="J1297" i="40" s="1"/>
  <c r="H1295" i="40"/>
  <c r="J1295" i="40" s="1"/>
  <c r="H1294" i="40"/>
  <c r="J1294" i="40" s="1"/>
  <c r="H1293" i="40"/>
  <c r="J1293" i="40" s="1"/>
  <c r="H1292" i="40"/>
  <c r="J1292" i="40" s="1"/>
  <c r="J1291" i="40"/>
  <c r="H1291" i="40"/>
  <c r="H1290" i="40"/>
  <c r="J1290" i="40" s="1"/>
  <c r="H1289" i="40"/>
  <c r="J1289" i="40" s="1"/>
  <c r="H1288" i="40"/>
  <c r="J1288" i="40" s="1"/>
  <c r="H1287" i="40"/>
  <c r="J1287" i="40" s="1"/>
  <c r="H1286" i="40"/>
  <c r="J1286" i="40" s="1"/>
  <c r="H1285" i="40"/>
  <c r="J1285" i="40" s="1"/>
  <c r="H1284" i="40"/>
  <c r="J1284" i="40" s="1"/>
  <c r="J1283" i="40"/>
  <c r="H1283" i="40"/>
  <c r="J1281" i="40"/>
  <c r="H1280" i="40"/>
  <c r="J1280" i="40" s="1"/>
  <c r="H1279" i="40"/>
  <c r="J1279" i="40" s="1"/>
  <c r="H1278" i="40"/>
  <c r="J1278" i="40" s="1"/>
  <c r="H1277" i="40"/>
  <c r="J1277" i="40" s="1"/>
  <c r="H1276" i="40"/>
  <c r="J1276" i="40" s="1"/>
  <c r="H1275" i="40"/>
  <c r="J1275" i="40" s="1"/>
  <c r="J1274" i="40"/>
  <c r="H1274" i="40"/>
  <c r="H1273" i="40"/>
  <c r="J1273" i="40" s="1"/>
  <c r="H1272" i="40"/>
  <c r="J1272" i="40" s="1"/>
  <c r="H1271" i="40"/>
  <c r="J1271" i="40" s="1"/>
  <c r="H1269" i="40"/>
  <c r="J1269" i="40" s="1"/>
  <c r="H1268" i="40"/>
  <c r="J1268" i="40" s="1"/>
  <c r="J1267" i="40"/>
  <c r="H1267" i="40"/>
  <c r="H1266" i="40"/>
  <c r="J1266" i="40" s="1"/>
  <c r="J1265" i="40"/>
  <c r="H1265" i="40"/>
  <c r="H1263" i="40"/>
  <c r="J1263" i="40" s="1"/>
  <c r="I1262" i="40"/>
  <c r="H1262" i="40"/>
  <c r="H1261" i="40"/>
  <c r="J1261" i="40" s="1"/>
  <c r="H1260" i="40"/>
  <c r="J1260" i="40" s="1"/>
  <c r="I1259" i="40"/>
  <c r="H1259" i="40"/>
  <c r="H1258" i="40"/>
  <c r="J1258" i="40" s="1"/>
  <c r="H1257" i="40"/>
  <c r="J1257" i="40" s="1"/>
  <c r="H1256" i="40"/>
  <c r="J1256" i="40" s="1"/>
  <c r="H1255" i="40"/>
  <c r="J1255" i="40" s="1"/>
  <c r="J1254" i="40"/>
  <c r="H1254" i="40"/>
  <c r="H1253" i="40"/>
  <c r="J1253" i="40" s="1"/>
  <c r="J1251" i="40"/>
  <c r="H1251" i="40"/>
  <c r="I1250" i="40"/>
  <c r="H1250" i="40"/>
  <c r="H1249" i="40"/>
  <c r="J1249" i="40" s="1"/>
  <c r="H1248" i="40"/>
  <c r="H1247" i="40"/>
  <c r="J1247" i="40" s="1"/>
  <c r="J1245" i="40"/>
  <c r="H1245" i="40"/>
  <c r="H1244" i="40"/>
  <c r="J1244" i="40" s="1"/>
  <c r="H1243" i="40"/>
  <c r="J1243" i="40" s="1"/>
  <c r="H1242" i="40"/>
  <c r="J1242" i="40" s="1"/>
  <c r="H1241" i="40"/>
  <c r="J1241" i="40" s="1"/>
  <c r="H1240" i="40"/>
  <c r="J1240" i="40" s="1"/>
  <c r="H1239" i="40"/>
  <c r="J1239" i="40" s="1"/>
  <c r="H1238" i="40"/>
  <c r="J1238" i="40" s="1"/>
  <c r="J1237" i="40"/>
  <c r="H1237" i="40"/>
  <c r="H1236" i="40"/>
  <c r="J1236" i="40" s="1"/>
  <c r="H1235" i="40"/>
  <c r="J1235" i="40" s="1"/>
  <c r="H1234" i="40"/>
  <c r="J1234" i="40" s="1"/>
  <c r="H1233" i="40"/>
  <c r="J1233" i="40" s="1"/>
  <c r="H1232" i="40"/>
  <c r="J1232" i="40" s="1"/>
  <c r="H1231" i="40"/>
  <c r="J1231" i="40" s="1"/>
  <c r="I1230" i="40"/>
  <c r="H1230" i="40"/>
  <c r="H1229" i="40"/>
  <c r="J1229" i="40" s="1"/>
  <c r="H1228" i="40"/>
  <c r="J1228" i="40" s="1"/>
  <c r="H1227" i="40"/>
  <c r="J1227" i="40" s="1"/>
  <c r="H1226" i="40"/>
  <c r="J1226" i="40" s="1"/>
  <c r="H1225" i="40"/>
  <c r="J1225" i="40" s="1"/>
  <c r="H1224" i="40"/>
  <c r="J1224" i="40" s="1"/>
  <c r="H1223" i="40"/>
  <c r="J1223" i="40" s="1"/>
  <c r="H1222" i="40"/>
  <c r="J1222" i="40" s="1"/>
  <c r="H1221" i="40"/>
  <c r="J1221" i="40" s="1"/>
  <c r="H1220" i="40"/>
  <c r="J1220" i="40" s="1"/>
  <c r="H1219" i="40"/>
  <c r="J1219" i="40" s="1"/>
  <c r="H1218" i="40"/>
  <c r="J1218" i="40" s="1"/>
  <c r="H1217" i="40"/>
  <c r="J1217" i="40" s="1"/>
  <c r="H1216" i="40"/>
  <c r="J1216" i="40" s="1"/>
  <c r="H1215" i="40"/>
  <c r="J1215" i="40" s="1"/>
  <c r="H1214" i="40"/>
  <c r="J1214" i="40" s="1"/>
  <c r="H1213" i="40"/>
  <c r="J1213" i="40" s="1"/>
  <c r="H1212" i="40"/>
  <c r="J1212" i="40" s="1"/>
  <c r="H1211" i="40"/>
  <c r="J1211" i="40" s="1"/>
  <c r="H1210" i="40"/>
  <c r="J1210" i="40" s="1"/>
  <c r="H1209" i="40"/>
  <c r="J1209" i="40" s="1"/>
  <c r="H1208" i="40"/>
  <c r="J1208" i="40" s="1"/>
  <c r="H1207" i="40"/>
  <c r="J1207" i="40" s="1"/>
  <c r="H1206" i="40"/>
  <c r="J1206" i="40" s="1"/>
  <c r="H1205" i="40"/>
  <c r="J1205" i="40" s="1"/>
  <c r="H1204" i="40"/>
  <c r="J1204" i="40" s="1"/>
  <c r="H1203" i="40"/>
  <c r="J1203" i="40" s="1"/>
  <c r="H1202" i="40"/>
  <c r="J1202" i="40" s="1"/>
  <c r="H1201" i="40"/>
  <c r="J1201" i="40" s="1"/>
  <c r="H1200" i="40"/>
  <c r="J1200" i="40" s="1"/>
  <c r="H1199" i="40"/>
  <c r="J1199" i="40" s="1"/>
  <c r="H1198" i="40"/>
  <c r="J1198" i="40" s="1"/>
  <c r="H1197" i="40"/>
  <c r="J1197" i="40" s="1"/>
  <c r="H1196" i="40"/>
  <c r="J1196" i="40" s="1"/>
  <c r="H1195" i="40"/>
  <c r="J1195" i="40" s="1"/>
  <c r="H1194" i="40"/>
  <c r="J1194" i="40" s="1"/>
  <c r="H1193" i="40"/>
  <c r="J1193" i="40" s="1"/>
  <c r="H1192" i="40"/>
  <c r="J1192" i="40" s="1"/>
  <c r="H1191" i="40"/>
  <c r="J1191" i="40" s="1"/>
  <c r="H1190" i="40"/>
  <c r="J1190" i="40" s="1"/>
  <c r="H1189" i="40"/>
  <c r="J1189" i="40" s="1"/>
  <c r="H1188" i="40"/>
  <c r="J1188" i="40" s="1"/>
  <c r="H1187" i="40"/>
  <c r="J1187" i="40" s="1"/>
  <c r="H1186" i="40"/>
  <c r="J1186" i="40" s="1"/>
  <c r="H1185" i="40"/>
  <c r="J1185" i="40" s="1"/>
  <c r="H1184" i="40"/>
  <c r="J1184" i="40" s="1"/>
  <c r="H1183" i="40"/>
  <c r="J1183" i="40" s="1"/>
  <c r="H1182" i="40"/>
  <c r="J1182" i="40" s="1"/>
  <c r="H1181" i="40"/>
  <c r="J1181" i="40" s="1"/>
  <c r="H1180" i="40"/>
  <c r="J1180" i="40" s="1"/>
  <c r="H1179" i="40"/>
  <c r="J1179" i="40" s="1"/>
  <c r="H1178" i="40"/>
  <c r="J1178" i="40" s="1"/>
  <c r="H1177" i="40"/>
  <c r="J1177" i="40" s="1"/>
  <c r="H1176" i="40"/>
  <c r="J1176" i="40" s="1"/>
  <c r="H1175" i="40"/>
  <c r="J1175" i="40" s="1"/>
  <c r="H1174" i="40"/>
  <c r="J1174" i="40" s="1"/>
  <c r="H1173" i="40"/>
  <c r="J1173" i="40" s="1"/>
  <c r="H1172" i="40"/>
  <c r="J1172" i="40" s="1"/>
  <c r="H1171" i="40"/>
  <c r="J1171" i="40" s="1"/>
  <c r="H1170" i="40"/>
  <c r="J1170" i="40" s="1"/>
  <c r="H1168" i="40"/>
  <c r="J1168" i="40" s="1"/>
  <c r="H1167" i="40"/>
  <c r="J1167" i="40" s="1"/>
  <c r="I1166" i="40"/>
  <c r="H1166" i="40"/>
  <c r="J1166" i="40" s="1"/>
  <c r="I1165" i="40"/>
  <c r="H1165" i="40"/>
  <c r="I1164" i="40"/>
  <c r="H1164" i="40"/>
  <c r="J1164" i="40" s="1"/>
  <c r="H1163" i="40"/>
  <c r="J1163" i="40" s="1"/>
  <c r="H1162" i="40"/>
  <c r="J1162" i="40" s="1"/>
  <c r="H1161" i="40"/>
  <c r="J1161" i="40" s="1"/>
  <c r="H1160" i="40"/>
  <c r="J1160" i="40" s="1"/>
  <c r="H1159" i="40"/>
  <c r="J1159" i="40" s="1"/>
  <c r="H1158" i="40"/>
  <c r="J1158" i="40" s="1"/>
  <c r="H1157" i="40"/>
  <c r="J1157" i="40" s="1"/>
  <c r="H1156" i="40"/>
  <c r="J1156" i="40" s="1"/>
  <c r="H1155" i="40"/>
  <c r="J1155" i="40" s="1"/>
  <c r="H1154" i="40"/>
  <c r="J1154" i="40" s="1"/>
  <c r="H1153" i="40"/>
  <c r="J1153" i="40" s="1"/>
  <c r="H1152" i="40"/>
  <c r="J1152" i="40" s="1"/>
  <c r="H1151" i="40"/>
  <c r="J1151" i="40" s="1"/>
  <c r="H1150" i="40"/>
  <c r="J1150" i="40" s="1"/>
  <c r="H1149" i="40"/>
  <c r="J1149" i="40" s="1"/>
  <c r="H1148" i="40"/>
  <c r="J1148" i="40" s="1"/>
  <c r="H1147" i="40"/>
  <c r="J1147" i="40" s="1"/>
  <c r="H1146" i="40"/>
  <c r="J1146" i="40" s="1"/>
  <c r="H1145" i="40"/>
  <c r="J1145" i="40" s="1"/>
  <c r="H1144" i="40"/>
  <c r="J1144" i="40" s="1"/>
  <c r="H1143" i="40"/>
  <c r="J1143" i="40" s="1"/>
  <c r="H1142" i="40"/>
  <c r="J1142" i="40" s="1"/>
  <c r="H1141" i="40"/>
  <c r="J1141" i="40" s="1"/>
  <c r="H1140" i="40"/>
  <c r="J1140" i="40" s="1"/>
  <c r="H1139" i="40"/>
  <c r="J1139" i="40" s="1"/>
  <c r="J1138" i="40"/>
  <c r="H1138" i="40"/>
  <c r="H1137" i="40"/>
  <c r="J1137" i="40" s="1"/>
  <c r="H1136" i="40"/>
  <c r="J1136" i="40" s="1"/>
  <c r="H1135" i="40"/>
  <c r="J1135" i="40" s="1"/>
  <c r="H1134" i="40"/>
  <c r="J1134" i="40" s="1"/>
  <c r="H1133" i="40"/>
  <c r="J1133" i="40" s="1"/>
  <c r="H1132" i="40"/>
  <c r="J1132" i="40" s="1"/>
  <c r="H1131" i="40"/>
  <c r="J1131" i="40" s="1"/>
  <c r="H1130" i="40"/>
  <c r="J1130" i="40" s="1"/>
  <c r="H1129" i="40"/>
  <c r="J1129" i="40" s="1"/>
  <c r="H1128" i="40"/>
  <c r="J1128" i="40" s="1"/>
  <c r="H1127" i="40"/>
  <c r="J1127" i="40" s="1"/>
  <c r="H1126" i="40"/>
  <c r="J1126" i="40" s="1"/>
  <c r="H1125" i="40"/>
  <c r="J1125" i="40" s="1"/>
  <c r="H1124" i="40"/>
  <c r="J1124" i="40" s="1"/>
  <c r="H1123" i="40"/>
  <c r="J1123" i="40" s="1"/>
  <c r="H1122" i="40"/>
  <c r="J1122" i="40" s="1"/>
  <c r="H1121" i="40"/>
  <c r="J1121" i="40" s="1"/>
  <c r="H1120" i="40"/>
  <c r="J1120" i="40" s="1"/>
  <c r="H1119" i="40"/>
  <c r="J1119" i="40" s="1"/>
  <c r="H1118" i="40"/>
  <c r="J1118" i="40" s="1"/>
  <c r="H1117" i="40"/>
  <c r="J1117" i="40" s="1"/>
  <c r="H1116" i="40"/>
  <c r="J1116" i="40" s="1"/>
  <c r="H1115" i="40"/>
  <c r="J1115" i="40" s="1"/>
  <c r="H1114" i="40"/>
  <c r="J1114" i="40" s="1"/>
  <c r="H1113" i="40"/>
  <c r="J1113" i="40" s="1"/>
  <c r="H1112" i="40"/>
  <c r="J1112" i="40" s="1"/>
  <c r="H1111" i="40"/>
  <c r="J1111" i="40" s="1"/>
  <c r="J1110" i="40"/>
  <c r="H1110" i="40"/>
  <c r="I1109" i="40"/>
  <c r="H1109" i="40"/>
  <c r="J1109" i="40" s="1"/>
  <c r="J1108" i="40"/>
  <c r="H1108" i="40"/>
  <c r="H1107" i="40"/>
  <c r="J1107" i="40" s="1"/>
  <c r="H1105" i="40"/>
  <c r="J1105" i="40" s="1"/>
  <c r="J1104" i="40"/>
  <c r="I1104" i="40"/>
  <c r="H1104" i="40"/>
  <c r="H1103" i="40"/>
  <c r="J1103" i="40" s="1"/>
  <c r="J1102" i="40"/>
  <c r="H1102" i="40"/>
  <c r="H1101" i="40"/>
  <c r="H1100" i="40"/>
  <c r="J1100" i="40" s="1"/>
  <c r="H1099" i="40"/>
  <c r="J1099" i="40" s="1"/>
  <c r="I1098" i="40"/>
  <c r="H1098" i="40"/>
  <c r="I1096" i="40"/>
  <c r="J1096" i="40" s="1"/>
  <c r="H1096" i="40"/>
  <c r="H1095" i="40"/>
  <c r="J1095" i="40" s="1"/>
  <c r="H1094" i="40"/>
  <c r="J1094" i="40" s="1"/>
  <c r="H1093" i="40"/>
  <c r="J1093" i="40" s="1"/>
  <c r="I1092" i="40"/>
  <c r="H1092" i="40"/>
  <c r="J1092" i="40" s="1"/>
  <c r="H1091" i="40"/>
  <c r="J1091" i="40" s="1"/>
  <c r="H1090" i="40"/>
  <c r="J1090" i="40" s="1"/>
  <c r="H1089" i="40"/>
  <c r="J1089" i="40" s="1"/>
  <c r="H1088" i="40"/>
  <c r="J1088" i="40" s="1"/>
  <c r="H1087" i="40"/>
  <c r="J1087" i="40" s="1"/>
  <c r="H1086" i="40"/>
  <c r="J1086" i="40" s="1"/>
  <c r="J1085" i="40"/>
  <c r="H1085" i="40"/>
  <c r="I1084" i="40"/>
  <c r="H1084" i="40"/>
  <c r="J1084" i="40" s="1"/>
  <c r="J1083" i="40"/>
  <c r="H1083" i="40"/>
  <c r="H1082" i="40"/>
  <c r="J1082" i="40" s="1"/>
  <c r="H1081" i="40"/>
  <c r="J1081" i="40" s="1"/>
  <c r="H1080" i="40"/>
  <c r="J1080" i="40" s="1"/>
  <c r="H1078" i="40"/>
  <c r="J1078" i="40" s="1"/>
  <c r="H1077" i="40"/>
  <c r="J1077" i="40" s="1"/>
  <c r="H1076" i="40"/>
  <c r="J1076" i="40" s="1"/>
  <c r="H1075" i="40"/>
  <c r="J1075" i="40" s="1"/>
  <c r="H1074" i="40"/>
  <c r="J1074" i="40" s="1"/>
  <c r="H1073" i="40"/>
  <c r="J1073" i="40" s="1"/>
  <c r="H1072" i="40"/>
  <c r="J1072" i="40" s="1"/>
  <c r="H1069" i="40"/>
  <c r="J1069" i="40" s="1"/>
  <c r="H1068" i="40"/>
  <c r="J1068" i="40" s="1"/>
  <c r="H1067" i="40"/>
  <c r="J1067" i="40" s="1"/>
  <c r="H1066" i="40"/>
  <c r="J1066" i="40" s="1"/>
  <c r="H1065" i="40"/>
  <c r="J1065" i="40" s="1"/>
  <c r="J1063" i="40"/>
  <c r="H1063" i="40"/>
  <c r="H1062" i="40"/>
  <c r="J1062" i="40" s="1"/>
  <c r="J1061" i="40"/>
  <c r="H1061" i="40"/>
  <c r="H1060" i="40"/>
  <c r="J1060" i="40" s="1"/>
  <c r="J1059" i="40"/>
  <c r="H1059" i="40"/>
  <c r="H1058" i="40"/>
  <c r="J1058" i="40" s="1"/>
  <c r="H1056" i="40"/>
  <c r="H1055" i="40"/>
  <c r="J1055" i="40" s="1"/>
  <c r="H1054" i="40"/>
  <c r="J1054" i="40" s="1"/>
  <c r="J1053" i="40"/>
  <c r="H1053" i="40"/>
  <c r="H1052" i="40"/>
  <c r="J1052" i="40" s="1"/>
  <c r="H1051" i="40"/>
  <c r="J1051" i="40" s="1"/>
  <c r="H1050" i="40"/>
  <c r="J1050" i="40" s="1"/>
  <c r="H1049" i="40"/>
  <c r="J1049" i="40" s="1"/>
  <c r="H1048" i="40"/>
  <c r="J1048" i="40" s="1"/>
  <c r="H1047" i="40"/>
  <c r="J1047" i="40" s="1"/>
  <c r="H1046" i="40"/>
  <c r="J1046" i="40" s="1"/>
  <c r="H1045" i="40"/>
  <c r="J1045" i="40" s="1"/>
  <c r="H1044" i="40"/>
  <c r="J1044" i="40" s="1"/>
  <c r="H1043" i="40"/>
  <c r="J1043" i="40" s="1"/>
  <c r="H1042" i="40"/>
  <c r="J1042" i="40" s="1"/>
  <c r="H1041" i="40"/>
  <c r="J1041" i="40" s="1"/>
  <c r="H1040" i="40"/>
  <c r="J1040" i="40" s="1"/>
  <c r="H1039" i="40"/>
  <c r="J1039" i="40" s="1"/>
  <c r="H1038" i="40"/>
  <c r="J1038" i="40" s="1"/>
  <c r="J1037" i="40"/>
  <c r="H1037" i="40"/>
  <c r="H1036" i="40"/>
  <c r="J1036" i="40" s="1"/>
  <c r="H1035" i="40"/>
  <c r="J1035" i="40" s="1"/>
  <c r="I1034" i="40"/>
  <c r="H1034" i="40"/>
  <c r="H1033" i="40"/>
  <c r="J1033" i="40" s="1"/>
  <c r="J1032" i="40"/>
  <c r="H1032" i="40"/>
  <c r="H1031" i="40"/>
  <c r="H1030" i="40"/>
  <c r="J1030" i="40" s="1"/>
  <c r="J1029" i="40"/>
  <c r="I1029" i="40"/>
  <c r="H1029" i="40"/>
  <c r="H1027" i="40"/>
  <c r="J1027" i="40" s="1"/>
  <c r="H1026" i="40"/>
  <c r="J1026" i="40" s="1"/>
  <c r="I1025" i="40"/>
  <c r="H1025" i="40"/>
  <c r="J1025" i="40" s="1"/>
  <c r="H1024" i="40"/>
  <c r="J1024" i="40" s="1"/>
  <c r="H1023" i="40"/>
  <c r="J1023" i="40" s="1"/>
  <c r="H1022" i="40"/>
  <c r="J1022" i="40" s="1"/>
  <c r="H1020" i="40"/>
  <c r="J1020" i="40" s="1"/>
  <c r="H1019" i="40"/>
  <c r="J1019" i="40" s="1"/>
  <c r="H1018" i="40"/>
  <c r="J1018" i="40" s="1"/>
  <c r="H1017" i="40"/>
  <c r="J1017" i="40" s="1"/>
  <c r="H1016" i="40"/>
  <c r="J1016" i="40" s="1"/>
  <c r="H1015" i="40"/>
  <c r="J1015" i="40" s="1"/>
  <c r="H1014" i="40"/>
  <c r="J1014" i="40" s="1"/>
  <c r="H1013" i="40"/>
  <c r="J1013" i="40" s="1"/>
  <c r="H1012" i="40"/>
  <c r="J1012" i="40" s="1"/>
  <c r="H1011" i="40"/>
  <c r="J1011" i="40" s="1"/>
  <c r="H1010" i="40"/>
  <c r="J1010" i="40" s="1"/>
  <c r="H1009" i="40"/>
  <c r="J1009" i="40" s="1"/>
  <c r="H1008" i="40"/>
  <c r="J1008" i="40" s="1"/>
  <c r="J1007" i="40"/>
  <c r="H1007" i="40"/>
  <c r="H1006" i="40"/>
  <c r="J1006" i="40" s="1"/>
  <c r="H1005" i="40"/>
  <c r="J1005" i="40" s="1"/>
  <c r="H1004" i="40"/>
  <c r="J1004" i="40" s="1"/>
  <c r="H1003" i="40"/>
  <c r="J1003" i="40" s="1"/>
  <c r="H1002" i="40"/>
  <c r="J1002" i="40" s="1"/>
  <c r="H1001" i="40"/>
  <c r="J1001" i="40" s="1"/>
  <c r="H1000" i="40"/>
  <c r="J1000" i="40" s="1"/>
  <c r="H999" i="40"/>
  <c r="J999" i="40" s="1"/>
  <c r="H998" i="40"/>
  <c r="J998" i="40" s="1"/>
  <c r="J997" i="40"/>
  <c r="H997" i="40"/>
  <c r="H996" i="40"/>
  <c r="J996" i="40" s="1"/>
  <c r="H995" i="40"/>
  <c r="J995" i="40" s="1"/>
  <c r="H994" i="40"/>
  <c r="J994" i="40" s="1"/>
  <c r="H993" i="40"/>
  <c r="J993" i="40" s="1"/>
  <c r="H992" i="40"/>
  <c r="J992" i="40" s="1"/>
  <c r="J991" i="40"/>
  <c r="H991" i="40"/>
  <c r="H990" i="40"/>
  <c r="J990" i="40" s="1"/>
  <c r="H989" i="40"/>
  <c r="J989" i="40" s="1"/>
  <c r="H988" i="40"/>
  <c r="J988" i="40" s="1"/>
  <c r="H987" i="40"/>
  <c r="J987" i="40" s="1"/>
  <c r="H986" i="40"/>
  <c r="J986" i="40" s="1"/>
  <c r="H985" i="40"/>
  <c r="J985" i="40" s="1"/>
  <c r="H984" i="40"/>
  <c r="J984" i="40" s="1"/>
  <c r="H983" i="40"/>
  <c r="J983" i="40" s="1"/>
  <c r="H982" i="40"/>
  <c r="J982" i="40" s="1"/>
  <c r="H981" i="40"/>
  <c r="J981" i="40" s="1"/>
  <c r="H980" i="40"/>
  <c r="J980" i="40" s="1"/>
  <c r="H979" i="40"/>
  <c r="J979" i="40" s="1"/>
  <c r="H978" i="40"/>
  <c r="J978" i="40" s="1"/>
  <c r="H977" i="40"/>
  <c r="J977" i="40" s="1"/>
  <c r="H976" i="40"/>
  <c r="J976" i="40" s="1"/>
  <c r="J975" i="40"/>
  <c r="H975" i="40"/>
  <c r="H974" i="40"/>
  <c r="J974" i="40" s="1"/>
  <c r="H973" i="40"/>
  <c r="J973" i="40" s="1"/>
  <c r="H972" i="40"/>
  <c r="J972" i="40" s="1"/>
  <c r="H971" i="40"/>
  <c r="J971" i="40" s="1"/>
  <c r="H970" i="40"/>
  <c r="J970" i="40" s="1"/>
  <c r="H969" i="40"/>
  <c r="J969" i="40" s="1"/>
  <c r="H968" i="40"/>
  <c r="J968" i="40" s="1"/>
  <c r="H967" i="40"/>
  <c r="J967" i="40" s="1"/>
  <c r="H966" i="40"/>
  <c r="J966" i="40" s="1"/>
  <c r="H965" i="40"/>
  <c r="J965" i="40" s="1"/>
  <c r="H964" i="40"/>
  <c r="J964" i="40" s="1"/>
  <c r="H963" i="40"/>
  <c r="J963" i="40" s="1"/>
  <c r="H962" i="40"/>
  <c r="J962" i="40" s="1"/>
  <c r="H961" i="40"/>
  <c r="J961" i="40" s="1"/>
  <c r="H960" i="40"/>
  <c r="J960" i="40" s="1"/>
  <c r="H959" i="40"/>
  <c r="J959" i="40" s="1"/>
  <c r="H958" i="40"/>
  <c r="J958" i="40" s="1"/>
  <c r="H957" i="40"/>
  <c r="J957" i="40" s="1"/>
  <c r="H956" i="40"/>
  <c r="J956" i="40" s="1"/>
  <c r="H955" i="40"/>
  <c r="J955" i="40" s="1"/>
  <c r="H954" i="40"/>
  <c r="J954" i="40" s="1"/>
  <c r="H953" i="40"/>
  <c r="J953" i="40" s="1"/>
  <c r="H952" i="40"/>
  <c r="J952" i="40" s="1"/>
  <c r="H951" i="40"/>
  <c r="J951" i="40" s="1"/>
  <c r="H950" i="40"/>
  <c r="J950" i="40" s="1"/>
  <c r="H949" i="40"/>
  <c r="J949" i="40" s="1"/>
  <c r="H948" i="40"/>
  <c r="J948" i="40" s="1"/>
  <c r="H947" i="40"/>
  <c r="J947" i="40" s="1"/>
  <c r="H946" i="40"/>
  <c r="J946" i="40" s="1"/>
  <c r="H945" i="40"/>
  <c r="J945" i="40" s="1"/>
  <c r="H944" i="40"/>
  <c r="J944" i="40" s="1"/>
  <c r="H943" i="40"/>
  <c r="J943" i="40" s="1"/>
  <c r="H942" i="40"/>
  <c r="J942" i="40" s="1"/>
  <c r="J941" i="40"/>
  <c r="H941" i="40"/>
  <c r="H940" i="40"/>
  <c r="J940" i="40" s="1"/>
  <c r="H939" i="40"/>
  <c r="J939" i="40" s="1"/>
  <c r="H938" i="40"/>
  <c r="J938" i="40" s="1"/>
  <c r="H937" i="40"/>
  <c r="J937" i="40" s="1"/>
  <c r="H936" i="40"/>
  <c r="J936" i="40" s="1"/>
  <c r="H935" i="40"/>
  <c r="J935" i="40" s="1"/>
  <c r="H934" i="40"/>
  <c r="J934" i="40" s="1"/>
  <c r="H933" i="40"/>
  <c r="J933" i="40" s="1"/>
  <c r="H932" i="40"/>
  <c r="J932" i="40" s="1"/>
  <c r="H931" i="40"/>
  <c r="J931" i="40" s="1"/>
  <c r="H930" i="40"/>
  <c r="J930" i="40" s="1"/>
  <c r="H929" i="40"/>
  <c r="J929" i="40" s="1"/>
  <c r="H928" i="40"/>
  <c r="J928" i="40" s="1"/>
  <c r="H927" i="40"/>
  <c r="J927" i="40" s="1"/>
  <c r="H926" i="40"/>
  <c r="J926" i="40" s="1"/>
  <c r="H925" i="40"/>
  <c r="J925" i="40" s="1"/>
  <c r="H924" i="40"/>
  <c r="J924" i="40" s="1"/>
  <c r="H923" i="40"/>
  <c r="J923" i="40" s="1"/>
  <c r="H922" i="40"/>
  <c r="J922" i="40" s="1"/>
  <c r="H921" i="40"/>
  <c r="J921" i="40" s="1"/>
  <c r="H920" i="40"/>
  <c r="J920" i="40" s="1"/>
  <c r="H919" i="40"/>
  <c r="J919" i="40" s="1"/>
  <c r="H918" i="40"/>
  <c r="J918" i="40" s="1"/>
  <c r="H917" i="40"/>
  <c r="J917" i="40" s="1"/>
  <c r="H916" i="40"/>
  <c r="J916" i="40" s="1"/>
  <c r="H915" i="40"/>
  <c r="J915" i="40" s="1"/>
  <c r="H914" i="40"/>
  <c r="J914" i="40" s="1"/>
  <c r="H913" i="40"/>
  <c r="J913" i="40" s="1"/>
  <c r="H912" i="40"/>
  <c r="J912" i="40" s="1"/>
  <c r="H911" i="40"/>
  <c r="J911" i="40" s="1"/>
  <c r="H910" i="40"/>
  <c r="J910" i="40" s="1"/>
  <c r="H909" i="40"/>
  <c r="J909" i="40" s="1"/>
  <c r="H908" i="40"/>
  <c r="J908" i="40" s="1"/>
  <c r="H907" i="40"/>
  <c r="J907" i="40" s="1"/>
  <c r="H906" i="40"/>
  <c r="J906" i="40" s="1"/>
  <c r="H905" i="40"/>
  <c r="J905" i="40" s="1"/>
  <c r="H904" i="40"/>
  <c r="J904" i="40" s="1"/>
  <c r="H903" i="40"/>
  <c r="J903" i="40" s="1"/>
  <c r="H902" i="40"/>
  <c r="J902" i="40" s="1"/>
  <c r="H901" i="40"/>
  <c r="J901" i="40" s="1"/>
  <c r="H900" i="40"/>
  <c r="J900" i="40" s="1"/>
  <c r="H899" i="40"/>
  <c r="J899" i="40" s="1"/>
  <c r="H898" i="40"/>
  <c r="J898" i="40" s="1"/>
  <c r="H897" i="40"/>
  <c r="J897" i="40" s="1"/>
  <c r="H896" i="40"/>
  <c r="J896" i="40" s="1"/>
  <c r="H895" i="40"/>
  <c r="J895" i="40" s="1"/>
  <c r="H894" i="40"/>
  <c r="J894" i="40" s="1"/>
  <c r="H893" i="40"/>
  <c r="J893" i="40" s="1"/>
  <c r="H892" i="40"/>
  <c r="J892" i="40" s="1"/>
  <c r="H891" i="40"/>
  <c r="J891" i="40" s="1"/>
  <c r="H890" i="40"/>
  <c r="J890" i="40" s="1"/>
  <c r="H883" i="40"/>
  <c r="J883" i="40" s="1"/>
  <c r="H882" i="40"/>
  <c r="J882" i="40" s="1"/>
  <c r="H881" i="40"/>
  <c r="J881" i="40" s="1"/>
  <c r="H880" i="40"/>
  <c r="J880" i="40" s="1"/>
  <c r="H879" i="40"/>
  <c r="J879" i="40" s="1"/>
  <c r="H878" i="40"/>
  <c r="J878" i="40" s="1"/>
  <c r="H877" i="40"/>
  <c r="J877" i="40" s="1"/>
  <c r="H876" i="40"/>
  <c r="J876" i="40" s="1"/>
  <c r="H875" i="40"/>
  <c r="J875" i="40" s="1"/>
  <c r="H874" i="40"/>
  <c r="J874" i="40" s="1"/>
  <c r="H873" i="40"/>
  <c r="J873" i="40" s="1"/>
  <c r="H872" i="40"/>
  <c r="J872" i="40" s="1"/>
  <c r="H870" i="40"/>
  <c r="J870" i="40" s="1"/>
  <c r="H869" i="40"/>
  <c r="J869" i="40" s="1"/>
  <c r="H868" i="40"/>
  <c r="J868" i="40" s="1"/>
  <c r="H867" i="40"/>
  <c r="J867" i="40" s="1"/>
  <c r="H866" i="40"/>
  <c r="J866" i="40" s="1"/>
  <c r="H865" i="40"/>
  <c r="J865" i="40" s="1"/>
  <c r="H864" i="40"/>
  <c r="J864" i="40" s="1"/>
  <c r="H863" i="40"/>
  <c r="J863" i="40" s="1"/>
  <c r="H862" i="40"/>
  <c r="J862" i="40" s="1"/>
  <c r="H861" i="40"/>
  <c r="J861" i="40" s="1"/>
  <c r="H860" i="40"/>
  <c r="J860" i="40" s="1"/>
  <c r="H859" i="40"/>
  <c r="J859" i="40" s="1"/>
  <c r="H858" i="40"/>
  <c r="J858" i="40" s="1"/>
  <c r="H857" i="40"/>
  <c r="J857" i="40" s="1"/>
  <c r="H856" i="40"/>
  <c r="J856" i="40" s="1"/>
  <c r="H855" i="40"/>
  <c r="J855" i="40" s="1"/>
  <c r="H854" i="40"/>
  <c r="J854" i="40" s="1"/>
  <c r="H853" i="40"/>
  <c r="J853" i="40" s="1"/>
  <c r="H852" i="40"/>
  <c r="J852" i="40" s="1"/>
  <c r="H851" i="40"/>
  <c r="J851" i="40" s="1"/>
  <c r="H850" i="40"/>
  <c r="J850" i="40" s="1"/>
  <c r="H849" i="40"/>
  <c r="J849" i="40" s="1"/>
  <c r="H848" i="40"/>
  <c r="J848" i="40" s="1"/>
  <c r="H847" i="40"/>
  <c r="J847" i="40" s="1"/>
  <c r="H846" i="40"/>
  <c r="J846" i="40" s="1"/>
  <c r="H845" i="40"/>
  <c r="J845" i="40" s="1"/>
  <c r="H844" i="40"/>
  <c r="J844" i="40" s="1"/>
  <c r="H843" i="40"/>
  <c r="J843" i="40" s="1"/>
  <c r="H842" i="40"/>
  <c r="J842" i="40" s="1"/>
  <c r="H841" i="40"/>
  <c r="J841" i="40" s="1"/>
  <c r="H840" i="40"/>
  <c r="J840" i="40" s="1"/>
  <c r="H839" i="40"/>
  <c r="J839" i="40" s="1"/>
  <c r="H838" i="40"/>
  <c r="J838" i="40" s="1"/>
  <c r="H837" i="40"/>
  <c r="J837" i="40" s="1"/>
  <c r="H836" i="40"/>
  <c r="J836" i="40" s="1"/>
  <c r="I835" i="40"/>
  <c r="J835" i="40" s="1"/>
  <c r="H835" i="40"/>
  <c r="H832" i="40"/>
  <c r="J832" i="40" s="1"/>
  <c r="J831" i="40"/>
  <c r="H831" i="40"/>
  <c r="H830" i="40"/>
  <c r="J830" i="40" s="1"/>
  <c r="J829" i="40"/>
  <c r="H829" i="40"/>
  <c r="H828" i="40"/>
  <c r="J828" i="40" s="1"/>
  <c r="J827" i="40"/>
  <c r="H827" i="40"/>
  <c r="H826" i="40"/>
  <c r="J826" i="40" s="1"/>
  <c r="J822" i="40"/>
  <c r="H822" i="40"/>
  <c r="H821" i="40"/>
  <c r="J821" i="40" s="1"/>
  <c r="J820" i="40"/>
  <c r="H820" i="40"/>
  <c r="H819" i="40"/>
  <c r="J819" i="40" s="1"/>
  <c r="J818" i="40"/>
  <c r="H818" i="40"/>
  <c r="H817" i="40"/>
  <c r="J817" i="40" s="1"/>
  <c r="J815" i="40"/>
  <c r="H815" i="40"/>
  <c r="H814" i="40"/>
  <c r="J814" i="40" s="1"/>
  <c r="J813" i="40"/>
  <c r="H813" i="40"/>
  <c r="H812" i="40"/>
  <c r="J812" i="40" s="1"/>
  <c r="J811" i="40"/>
  <c r="H811" i="40"/>
  <c r="H807" i="40"/>
  <c r="J807" i="40" s="1"/>
  <c r="H806" i="40"/>
  <c r="J806" i="40" s="1"/>
  <c r="J805" i="40"/>
  <c r="H803" i="40"/>
  <c r="J803" i="40" s="1"/>
  <c r="H802" i="40"/>
  <c r="J802" i="40" s="1"/>
  <c r="H800" i="40"/>
  <c r="J800" i="40" s="1"/>
  <c r="H799" i="40"/>
  <c r="J799" i="40" s="1"/>
  <c r="H797" i="40"/>
  <c r="J797" i="40" s="1"/>
  <c r="H796" i="40"/>
  <c r="J796" i="40" s="1"/>
  <c r="H795" i="40"/>
  <c r="J795" i="40" s="1"/>
  <c r="H794" i="40"/>
  <c r="J794" i="40" s="1"/>
  <c r="H793" i="40"/>
  <c r="J793" i="40" s="1"/>
  <c r="H792" i="40"/>
  <c r="J792" i="40" s="1"/>
  <c r="H791" i="40"/>
  <c r="J791" i="40" s="1"/>
  <c r="H790" i="40"/>
  <c r="J790" i="40" s="1"/>
  <c r="H789" i="40"/>
  <c r="J789" i="40" s="1"/>
  <c r="H788" i="40"/>
  <c r="J788" i="40" s="1"/>
  <c r="H787" i="40"/>
  <c r="J787" i="40" s="1"/>
  <c r="H786" i="40"/>
  <c r="J786" i="40" s="1"/>
  <c r="H785" i="40"/>
  <c r="J785" i="40" s="1"/>
  <c r="H784" i="40"/>
  <c r="J784" i="40" s="1"/>
  <c r="J783" i="40"/>
  <c r="H783" i="40"/>
  <c r="H782" i="40"/>
  <c r="J782" i="40" s="1"/>
  <c r="H778" i="40"/>
  <c r="J778" i="40" s="1"/>
  <c r="H777" i="40"/>
  <c r="J777" i="40" s="1"/>
  <c r="H776" i="40"/>
  <c r="J776" i="40" s="1"/>
  <c r="H775" i="40"/>
  <c r="J775" i="40" s="1"/>
  <c r="H774" i="40"/>
  <c r="J774" i="40" s="1"/>
  <c r="H772" i="40"/>
  <c r="J772" i="40" s="1"/>
  <c r="H771" i="40"/>
  <c r="J771" i="40" s="1"/>
  <c r="H770" i="40"/>
  <c r="J770" i="40" s="1"/>
  <c r="J769" i="40"/>
  <c r="H769" i="40"/>
  <c r="H768" i="40"/>
  <c r="J768" i="40" s="1"/>
  <c r="H767" i="40"/>
  <c r="J767" i="40" s="1"/>
  <c r="H766" i="40"/>
  <c r="J766" i="40" s="1"/>
  <c r="H765" i="40"/>
  <c r="J765" i="40" s="1"/>
  <c r="H764" i="40"/>
  <c r="J764" i="40" s="1"/>
  <c r="H763" i="40"/>
  <c r="J763" i="40" s="1"/>
  <c r="H762" i="40"/>
  <c r="J762" i="40" s="1"/>
  <c r="H761" i="40"/>
  <c r="J761" i="40" s="1"/>
  <c r="H760" i="40"/>
  <c r="J760" i="40" s="1"/>
  <c r="H758" i="40"/>
  <c r="J758" i="40" s="1"/>
  <c r="H757" i="40"/>
  <c r="J757" i="40" s="1"/>
  <c r="H756" i="40"/>
  <c r="J756" i="40" s="1"/>
  <c r="J755" i="40"/>
  <c r="H755" i="40"/>
  <c r="H753" i="40"/>
  <c r="J753" i="40" s="1"/>
  <c r="J750" i="40"/>
  <c r="H750" i="40"/>
  <c r="H749" i="40"/>
  <c r="J749" i="40" s="1"/>
  <c r="H748" i="40"/>
  <c r="J748" i="40" s="1"/>
  <c r="J747" i="40"/>
  <c r="H747" i="40"/>
  <c r="H746" i="40"/>
  <c r="J746" i="40" s="1"/>
  <c r="J745" i="40"/>
  <c r="H745" i="40"/>
  <c r="H744" i="40"/>
  <c r="J744" i="40" s="1"/>
  <c r="J743" i="40"/>
  <c r="H743" i="40"/>
  <c r="H742" i="40"/>
  <c r="J742" i="40" s="1"/>
  <c r="J741" i="40"/>
  <c r="H741" i="40"/>
  <c r="H740" i="40"/>
  <c r="J740" i="40" s="1"/>
  <c r="J739" i="40"/>
  <c r="H739" i="40"/>
  <c r="H738" i="40"/>
  <c r="J738" i="40" s="1"/>
  <c r="J737" i="40"/>
  <c r="H737" i="40"/>
  <c r="H736" i="40"/>
  <c r="J736" i="40" s="1"/>
  <c r="J735" i="40"/>
  <c r="H735" i="40"/>
  <c r="H734" i="40"/>
  <c r="J734" i="40" s="1"/>
  <c r="H733" i="40"/>
  <c r="J733" i="40" s="1"/>
  <c r="H732" i="40"/>
  <c r="J732" i="40" s="1"/>
  <c r="H731" i="40"/>
  <c r="J731" i="40" s="1"/>
  <c r="H730" i="40"/>
  <c r="J730" i="40" s="1"/>
  <c r="H729" i="40"/>
  <c r="J729" i="40" s="1"/>
  <c r="H728" i="40"/>
  <c r="J728" i="40" s="1"/>
  <c r="H726" i="40"/>
  <c r="J726" i="40" s="1"/>
  <c r="H725" i="40"/>
  <c r="J725" i="40" s="1"/>
  <c r="H724" i="40"/>
  <c r="J724" i="40" s="1"/>
  <c r="H723" i="40"/>
  <c r="J723" i="40" s="1"/>
  <c r="H722" i="40"/>
  <c r="J722" i="40" s="1"/>
  <c r="H721" i="40"/>
  <c r="J721" i="40" s="1"/>
  <c r="H720" i="40"/>
  <c r="J720" i="40" s="1"/>
  <c r="H719" i="40"/>
  <c r="J719" i="40" s="1"/>
  <c r="H718" i="40"/>
  <c r="J718" i="40" s="1"/>
  <c r="H717" i="40"/>
  <c r="J717" i="40" s="1"/>
  <c r="H716" i="40"/>
  <c r="J716" i="40" s="1"/>
  <c r="H715" i="40"/>
  <c r="J715" i="40" s="1"/>
  <c r="H714" i="40"/>
  <c r="J714" i="40" s="1"/>
  <c r="H713" i="40"/>
  <c r="H709" i="40"/>
  <c r="J709" i="40" s="1"/>
  <c r="H708" i="40"/>
  <c r="J708" i="40" s="1"/>
  <c r="H707" i="40"/>
  <c r="J707" i="40" s="1"/>
  <c r="H706" i="40"/>
  <c r="J706" i="40" s="1"/>
  <c r="H705" i="40"/>
  <c r="J705" i="40" s="1"/>
  <c r="H704" i="40"/>
  <c r="J704" i="40" s="1"/>
  <c r="H703" i="40"/>
  <c r="J703" i="40" s="1"/>
  <c r="H702" i="40"/>
  <c r="J702" i="40" s="1"/>
  <c r="H701" i="40"/>
  <c r="J701" i="40" s="1"/>
  <c r="H696" i="40"/>
  <c r="J696" i="40" s="1"/>
  <c r="H695" i="40"/>
  <c r="J695" i="40" s="1"/>
  <c r="H694" i="40"/>
  <c r="J694" i="40" s="1"/>
  <c r="H693" i="40"/>
  <c r="J693" i="40" s="1"/>
  <c r="H692" i="40"/>
  <c r="J692" i="40" s="1"/>
  <c r="H691" i="40"/>
  <c r="J691" i="40" s="1"/>
  <c r="H690" i="40"/>
  <c r="J690" i="40" s="1"/>
  <c r="H689" i="40"/>
  <c r="J689" i="40" s="1"/>
  <c r="H688" i="40"/>
  <c r="J688" i="40" s="1"/>
  <c r="H687" i="40"/>
  <c r="J687" i="40" s="1"/>
  <c r="H686" i="40"/>
  <c r="J686" i="40" s="1"/>
  <c r="H685" i="40"/>
  <c r="J685" i="40" s="1"/>
  <c r="H684" i="40"/>
  <c r="J684" i="40" s="1"/>
  <c r="H683" i="40"/>
  <c r="J683" i="40" s="1"/>
  <c r="H682" i="40"/>
  <c r="J682" i="40" s="1"/>
  <c r="H681" i="40"/>
  <c r="J681" i="40" s="1"/>
  <c r="H680" i="40"/>
  <c r="J680" i="40" s="1"/>
  <c r="H679" i="40"/>
  <c r="J679" i="40" s="1"/>
  <c r="J678" i="40"/>
  <c r="H678" i="40"/>
  <c r="H677" i="40"/>
  <c r="J677" i="40" s="1"/>
  <c r="H676" i="40"/>
  <c r="J676" i="40" s="1"/>
  <c r="H675" i="40"/>
  <c r="J675" i="40" s="1"/>
  <c r="H674" i="40"/>
  <c r="J674" i="40" s="1"/>
  <c r="H673" i="40"/>
  <c r="J673" i="40" s="1"/>
  <c r="H672" i="40"/>
  <c r="J672" i="40" s="1"/>
  <c r="H671" i="40"/>
  <c r="J671" i="40" s="1"/>
  <c r="H670" i="40"/>
  <c r="J670" i="40" s="1"/>
  <c r="H669" i="40"/>
  <c r="J669" i="40" s="1"/>
  <c r="H668" i="40"/>
  <c r="J668" i="40" s="1"/>
  <c r="H667" i="40"/>
  <c r="J667" i="40" s="1"/>
  <c r="H666" i="40"/>
  <c r="J666" i="40" s="1"/>
  <c r="H665" i="40"/>
  <c r="J665" i="40" s="1"/>
  <c r="H664" i="40"/>
  <c r="J664" i="40" s="1"/>
  <c r="H663" i="40"/>
  <c r="J663" i="40" s="1"/>
  <c r="J662" i="40"/>
  <c r="H662" i="40"/>
  <c r="H661" i="40"/>
  <c r="J661" i="40" s="1"/>
  <c r="H660" i="40"/>
  <c r="J660" i="40" s="1"/>
  <c r="H659" i="40"/>
  <c r="J659" i="40" s="1"/>
  <c r="H658" i="40"/>
  <c r="J658" i="40" s="1"/>
  <c r="H657" i="40"/>
  <c r="J657" i="40" s="1"/>
  <c r="H656" i="40"/>
  <c r="J656" i="40" s="1"/>
  <c r="H654" i="40"/>
  <c r="J654" i="40" s="1"/>
  <c r="H652" i="40"/>
  <c r="J652" i="40" s="1"/>
  <c r="H651" i="40"/>
  <c r="J651" i="40" s="1"/>
  <c r="H650" i="40"/>
  <c r="J650" i="40" s="1"/>
  <c r="H649" i="40"/>
  <c r="J649" i="40" s="1"/>
  <c r="H648" i="40"/>
  <c r="J648" i="40" s="1"/>
  <c r="H647" i="40"/>
  <c r="J647" i="40" s="1"/>
  <c r="H645" i="40"/>
  <c r="J645" i="40" s="1"/>
  <c r="H644" i="40"/>
  <c r="J644" i="40" s="1"/>
  <c r="J643" i="40"/>
  <c r="H643" i="40"/>
  <c r="H642" i="40"/>
  <c r="J642" i="40" s="1"/>
  <c r="H641" i="40"/>
  <c r="J641" i="40" s="1"/>
  <c r="H640" i="40"/>
  <c r="J640" i="40" s="1"/>
  <c r="H639" i="40"/>
  <c r="J639" i="40" s="1"/>
  <c r="H638" i="40"/>
  <c r="J638" i="40" s="1"/>
  <c r="H637" i="40"/>
  <c r="J637" i="40" s="1"/>
  <c r="H636" i="40"/>
  <c r="J636" i="40" s="1"/>
  <c r="H635" i="40"/>
  <c r="J635" i="40" s="1"/>
  <c r="H634" i="40"/>
  <c r="J634" i="40" s="1"/>
  <c r="H633" i="40"/>
  <c r="J633" i="40" s="1"/>
  <c r="H632" i="40"/>
  <c r="J632" i="40" s="1"/>
  <c r="H631" i="40"/>
  <c r="J631" i="40" s="1"/>
  <c r="H630" i="40"/>
  <c r="J630" i="40" s="1"/>
  <c r="H629" i="40"/>
  <c r="J629" i="40" s="1"/>
  <c r="H628" i="40"/>
  <c r="J628" i="40" s="1"/>
  <c r="J625" i="40"/>
  <c r="H625" i="40"/>
  <c r="H623" i="40"/>
  <c r="J623" i="40" s="1"/>
  <c r="H621" i="40"/>
  <c r="J621" i="40" s="1"/>
  <c r="H620" i="40"/>
  <c r="J620" i="40" s="1"/>
  <c r="H619" i="40"/>
  <c r="J619" i="40" s="1"/>
  <c r="H618" i="40"/>
  <c r="J618" i="40" s="1"/>
  <c r="H617" i="40"/>
  <c r="J617" i="40" s="1"/>
  <c r="H616" i="40"/>
  <c r="J616" i="40" s="1"/>
  <c r="H615" i="40"/>
  <c r="J615" i="40" s="1"/>
  <c r="H614" i="40"/>
  <c r="J614" i="40" s="1"/>
  <c r="H613" i="40"/>
  <c r="J613" i="40" s="1"/>
  <c r="H612" i="40"/>
  <c r="J612" i="40" s="1"/>
  <c r="H610" i="40"/>
  <c r="J610" i="40" s="1"/>
  <c r="H609" i="40"/>
  <c r="J609" i="40" s="1"/>
  <c r="H608" i="40"/>
  <c r="J608" i="40" s="1"/>
  <c r="J607" i="40"/>
  <c r="H607" i="40"/>
  <c r="H606" i="40"/>
  <c r="J606" i="40" s="1"/>
  <c r="H605" i="40"/>
  <c r="J605" i="40" s="1"/>
  <c r="H603" i="40"/>
  <c r="J603" i="40" s="1"/>
  <c r="H602" i="40"/>
  <c r="J602" i="40" s="1"/>
  <c r="H601" i="40"/>
  <c r="J601" i="40" s="1"/>
  <c r="H600" i="40"/>
  <c r="J600" i="40" s="1"/>
  <c r="H599" i="40"/>
  <c r="J599" i="40" s="1"/>
  <c r="H598" i="40"/>
  <c r="J598" i="40" s="1"/>
  <c r="H597" i="40"/>
  <c r="J597" i="40" s="1"/>
  <c r="H596" i="40"/>
  <c r="J596" i="40" s="1"/>
  <c r="H595" i="40"/>
  <c r="J595" i="40" s="1"/>
  <c r="H594" i="40"/>
  <c r="J594" i="40" s="1"/>
  <c r="H593" i="40"/>
  <c r="J593" i="40" s="1"/>
  <c r="J592" i="40"/>
  <c r="H592" i="40"/>
  <c r="H591" i="40"/>
  <c r="J591" i="40" s="1"/>
  <c r="H590" i="40"/>
  <c r="J590" i="40" s="1"/>
  <c r="H589" i="40"/>
  <c r="J589" i="40" s="1"/>
  <c r="H588" i="40"/>
  <c r="J588" i="40" s="1"/>
  <c r="H587" i="40"/>
  <c r="J587" i="40" s="1"/>
  <c r="J586" i="40"/>
  <c r="H586" i="40"/>
  <c r="H584" i="40"/>
  <c r="J584" i="40" s="1"/>
  <c r="H583" i="40"/>
  <c r="J583" i="40" s="1"/>
  <c r="H582" i="40"/>
  <c r="J582" i="40" s="1"/>
  <c r="H581" i="40"/>
  <c r="J581" i="40" s="1"/>
  <c r="J580" i="40"/>
  <c r="H580" i="40"/>
  <c r="H579" i="40"/>
  <c r="J579" i="40" s="1"/>
  <c r="H578" i="40"/>
  <c r="J578" i="40" s="1"/>
  <c r="H577" i="40"/>
  <c r="J577" i="40" s="1"/>
  <c r="H575" i="40"/>
  <c r="J575" i="40" s="1"/>
  <c r="H574" i="40"/>
  <c r="J574" i="40" s="1"/>
  <c r="J573" i="40"/>
  <c r="H573" i="40"/>
  <c r="H572" i="40"/>
  <c r="J572" i="40" s="1"/>
  <c r="H571" i="40"/>
  <c r="J571" i="40" s="1"/>
  <c r="H570" i="40"/>
  <c r="J570" i="40" s="1"/>
  <c r="J569" i="40"/>
  <c r="H569" i="40"/>
  <c r="H568" i="40"/>
  <c r="J568" i="40" s="1"/>
  <c r="H567" i="40"/>
  <c r="J567" i="40" s="1"/>
  <c r="I566" i="40"/>
  <c r="H566" i="40"/>
  <c r="J566" i="40" s="1"/>
  <c r="I565" i="40"/>
  <c r="H565" i="40"/>
  <c r="H564" i="40"/>
  <c r="J564" i="40" s="1"/>
  <c r="H563" i="40"/>
  <c r="J563" i="40" s="1"/>
  <c r="H562" i="40"/>
  <c r="J562" i="40" s="1"/>
  <c r="H561" i="40"/>
  <c r="J561" i="40" s="1"/>
  <c r="H560" i="40"/>
  <c r="J560" i="40" s="1"/>
  <c r="H559" i="40"/>
  <c r="J559" i="40" s="1"/>
  <c r="H558" i="40"/>
  <c r="J558" i="40" s="1"/>
  <c r="H557" i="40"/>
  <c r="J557" i="40" s="1"/>
  <c r="H556" i="40"/>
  <c r="J556" i="40" s="1"/>
  <c r="H554" i="40"/>
  <c r="J554" i="40" s="1"/>
  <c r="H553" i="40"/>
  <c r="J553" i="40" s="1"/>
  <c r="I552" i="40"/>
  <c r="H552" i="40"/>
  <c r="J552" i="40" s="1"/>
  <c r="I551" i="40"/>
  <c r="H551" i="40"/>
  <c r="J550" i="40"/>
  <c r="H550" i="40"/>
  <c r="H549" i="40"/>
  <c r="J549" i="40" s="1"/>
  <c r="H548" i="40"/>
  <c r="J548" i="40" s="1"/>
  <c r="H547" i="40"/>
  <c r="J547" i="40" s="1"/>
  <c r="I546" i="40"/>
  <c r="H546" i="40"/>
  <c r="J545" i="40"/>
  <c r="I545" i="40"/>
  <c r="H545" i="40"/>
  <c r="I544" i="40"/>
  <c r="H544" i="40"/>
  <c r="I543" i="40"/>
  <c r="H543" i="40"/>
  <c r="J543" i="40" s="1"/>
  <c r="I542" i="40"/>
  <c r="H542" i="40"/>
  <c r="J542" i="40" s="1"/>
  <c r="I541" i="40"/>
  <c r="J541" i="40" s="1"/>
  <c r="H541" i="40"/>
  <c r="I540" i="40"/>
  <c r="H540" i="40"/>
  <c r="I539" i="40"/>
  <c r="H539" i="40"/>
  <c r="J538" i="40"/>
  <c r="I538" i="40"/>
  <c r="H538" i="40"/>
  <c r="I537" i="40"/>
  <c r="H537" i="40"/>
  <c r="H536" i="40"/>
  <c r="J536" i="40" s="1"/>
  <c r="J535" i="40"/>
  <c r="H535" i="40"/>
  <c r="H534" i="40"/>
  <c r="J534" i="40" s="1"/>
  <c r="H533" i="40"/>
  <c r="J533" i="40" s="1"/>
  <c r="H532" i="40"/>
  <c r="J532" i="40" s="1"/>
  <c r="J531" i="40"/>
  <c r="H531" i="40"/>
  <c r="H530" i="40"/>
  <c r="J530" i="40" s="1"/>
  <c r="H529" i="40"/>
  <c r="J529" i="40" s="1"/>
  <c r="H528" i="40"/>
  <c r="J528" i="40" s="1"/>
  <c r="J526" i="40"/>
  <c r="H526" i="40"/>
  <c r="H525" i="40"/>
  <c r="J525" i="40" s="1"/>
  <c r="H524" i="40"/>
  <c r="J524" i="40" s="1"/>
  <c r="H523" i="40"/>
  <c r="J523" i="40" s="1"/>
  <c r="J522" i="40"/>
  <c r="H522" i="40"/>
  <c r="H521" i="40"/>
  <c r="J521" i="40" s="1"/>
  <c r="H520" i="40"/>
  <c r="J520" i="40" s="1"/>
  <c r="H519" i="40"/>
  <c r="J519" i="40" s="1"/>
  <c r="J518" i="40"/>
  <c r="H518" i="40"/>
  <c r="H517" i="40"/>
  <c r="J517" i="40" s="1"/>
  <c r="H516" i="40"/>
  <c r="J516" i="40" s="1"/>
  <c r="H515" i="40"/>
  <c r="J515" i="40" s="1"/>
  <c r="J514" i="40"/>
  <c r="H514" i="40"/>
  <c r="H513" i="40"/>
  <c r="J513" i="40" s="1"/>
  <c r="H511" i="40"/>
  <c r="J511" i="40" s="1"/>
  <c r="H510" i="40"/>
  <c r="J510" i="40" s="1"/>
  <c r="J509" i="40"/>
  <c r="H509" i="40"/>
  <c r="H508" i="40"/>
  <c r="J508" i="40" s="1"/>
  <c r="H507" i="40"/>
  <c r="J507" i="40" s="1"/>
  <c r="H506" i="40"/>
  <c r="J506" i="40" s="1"/>
  <c r="J505" i="40"/>
  <c r="H505" i="40"/>
  <c r="H504" i="40"/>
  <c r="J504" i="40" s="1"/>
  <c r="H501" i="40"/>
  <c r="J501" i="40" s="1"/>
  <c r="H500" i="40"/>
  <c r="J500" i="40" s="1"/>
  <c r="J499" i="40"/>
  <c r="H499" i="40"/>
  <c r="H498" i="40"/>
  <c r="J498" i="40" s="1"/>
  <c r="H497" i="40"/>
  <c r="J497" i="40" s="1"/>
  <c r="H496" i="40"/>
  <c r="J496" i="40" s="1"/>
  <c r="J495" i="40"/>
  <c r="H495" i="40"/>
  <c r="H494" i="40"/>
  <c r="J494" i="40" s="1"/>
  <c r="H492" i="40"/>
  <c r="J492" i="40" s="1"/>
  <c r="H491" i="40"/>
  <c r="J491" i="40" s="1"/>
  <c r="J490" i="40"/>
  <c r="H490" i="40"/>
  <c r="H489" i="40"/>
  <c r="J489" i="40" s="1"/>
  <c r="H488" i="40"/>
  <c r="J488" i="40" s="1"/>
  <c r="H486" i="40"/>
  <c r="J486" i="40" s="1"/>
  <c r="H484" i="40"/>
  <c r="J484" i="40" s="1"/>
  <c r="H483" i="40"/>
  <c r="J483" i="40" s="1"/>
  <c r="I482" i="40"/>
  <c r="H482" i="40"/>
  <c r="I481" i="40"/>
  <c r="H481" i="40"/>
  <c r="J481" i="40" s="1"/>
  <c r="I480" i="40"/>
  <c r="H480" i="40"/>
  <c r="J480" i="40" s="1"/>
  <c r="H479" i="40"/>
  <c r="J479" i="40" s="1"/>
  <c r="H478" i="40"/>
  <c r="J478" i="40" s="1"/>
  <c r="H477" i="40"/>
  <c r="J477" i="40" s="1"/>
  <c r="H476" i="40"/>
  <c r="J476" i="40" s="1"/>
  <c r="H475" i="40"/>
  <c r="J475" i="40" s="1"/>
  <c r="H474" i="40"/>
  <c r="J474" i="40" s="1"/>
  <c r="H473" i="40"/>
  <c r="J473" i="40" s="1"/>
  <c r="H472" i="40"/>
  <c r="J472" i="40" s="1"/>
  <c r="H471" i="40"/>
  <c r="J471" i="40" s="1"/>
  <c r="H470" i="40"/>
  <c r="J470" i="40" s="1"/>
  <c r="H469" i="40"/>
  <c r="J469" i="40" s="1"/>
  <c r="H468" i="40"/>
  <c r="J468" i="40" s="1"/>
  <c r="J467" i="40"/>
  <c r="H467" i="40"/>
  <c r="H466" i="40"/>
  <c r="J466" i="40" s="1"/>
  <c r="H465" i="40"/>
  <c r="J465" i="40" s="1"/>
  <c r="H464" i="40"/>
  <c r="J464" i="40" s="1"/>
  <c r="J463" i="40"/>
  <c r="H463" i="40"/>
  <c r="H462" i="40"/>
  <c r="J462" i="40" s="1"/>
  <c r="H461" i="40"/>
  <c r="J461" i="40" s="1"/>
  <c r="H460" i="40"/>
  <c r="J460" i="40" s="1"/>
  <c r="J459" i="40"/>
  <c r="H459" i="40"/>
  <c r="H458" i="40"/>
  <c r="J458" i="40" s="1"/>
  <c r="H457" i="40"/>
  <c r="J457" i="40" s="1"/>
  <c r="H456" i="40"/>
  <c r="J456" i="40" s="1"/>
  <c r="J455" i="40"/>
  <c r="H455" i="40"/>
  <c r="H454" i="40"/>
  <c r="J454" i="40" s="1"/>
  <c r="H453" i="40"/>
  <c r="J453" i="40" s="1"/>
  <c r="H452" i="40"/>
  <c r="J452" i="40" s="1"/>
  <c r="J451" i="40"/>
  <c r="H451" i="40"/>
  <c r="H450" i="40"/>
  <c r="J450" i="40" s="1"/>
  <c r="H449" i="40"/>
  <c r="J449" i="40" s="1"/>
  <c r="H447" i="40"/>
  <c r="J447" i="40" s="1"/>
  <c r="J446" i="40"/>
  <c r="H446" i="40"/>
  <c r="H445" i="40"/>
  <c r="J445" i="40" s="1"/>
  <c r="H444" i="40"/>
  <c r="J444" i="40" s="1"/>
  <c r="H443" i="40"/>
  <c r="J443" i="40" s="1"/>
  <c r="J441" i="40"/>
  <c r="H441" i="40"/>
  <c r="H440" i="40"/>
  <c r="J440" i="40" s="1"/>
  <c r="H439" i="40"/>
  <c r="J439" i="40" s="1"/>
  <c r="H438" i="40"/>
  <c r="J438" i="40" s="1"/>
  <c r="J437" i="40"/>
  <c r="H437" i="40"/>
  <c r="H436" i="40"/>
  <c r="J436" i="40" s="1"/>
  <c r="H435" i="40"/>
  <c r="J435" i="40" s="1"/>
  <c r="H434" i="40"/>
  <c r="J434" i="40" s="1"/>
  <c r="J433" i="40"/>
  <c r="H433" i="40"/>
  <c r="H432" i="40"/>
  <c r="J432" i="40" s="1"/>
  <c r="H431" i="40"/>
  <c r="J431" i="40" s="1"/>
  <c r="H430" i="40"/>
  <c r="J430" i="40" s="1"/>
  <c r="J429" i="40"/>
  <c r="H429" i="40"/>
  <c r="H428" i="40"/>
  <c r="J428" i="40" s="1"/>
  <c r="H427" i="40"/>
  <c r="J427" i="40" s="1"/>
  <c r="H426" i="40"/>
  <c r="J426" i="40" s="1"/>
  <c r="J425" i="40"/>
  <c r="H425" i="40"/>
  <c r="H424" i="40"/>
  <c r="J424" i="40" s="1"/>
  <c r="H423" i="40"/>
  <c r="J423" i="40" s="1"/>
  <c r="H422" i="40"/>
  <c r="J422" i="40" s="1"/>
  <c r="J421" i="40"/>
  <c r="H421" i="40"/>
  <c r="H420" i="40"/>
  <c r="J420" i="40" s="1"/>
  <c r="H419" i="40"/>
  <c r="J419" i="40" s="1"/>
  <c r="H418" i="40"/>
  <c r="J418" i="40" s="1"/>
  <c r="J417" i="40"/>
  <c r="H417" i="40"/>
  <c r="H416" i="40"/>
  <c r="J416" i="40" s="1"/>
  <c r="H415" i="40"/>
  <c r="J415" i="40" s="1"/>
  <c r="H414" i="40"/>
  <c r="J414" i="40" s="1"/>
  <c r="J413" i="40"/>
  <c r="H413" i="40"/>
  <c r="H412" i="40"/>
  <c r="J412" i="40" s="1"/>
  <c r="H411" i="40"/>
  <c r="J411" i="40" s="1"/>
  <c r="H410" i="40"/>
  <c r="J410" i="40" s="1"/>
  <c r="J409" i="40"/>
  <c r="H409" i="40"/>
  <c r="H408" i="40"/>
  <c r="J408" i="40" s="1"/>
  <c r="H407" i="40"/>
  <c r="J407" i="40" s="1"/>
  <c r="H404" i="40"/>
  <c r="J404" i="40" s="1"/>
  <c r="J403" i="40"/>
  <c r="H403" i="40"/>
  <c r="H402" i="40"/>
  <c r="J402" i="40" s="1"/>
  <c r="H401" i="40"/>
  <c r="J401" i="40" s="1"/>
  <c r="H400" i="40"/>
  <c r="J400" i="40" s="1"/>
  <c r="J399" i="40"/>
  <c r="H399" i="40"/>
  <c r="H398" i="40"/>
  <c r="J398" i="40" s="1"/>
  <c r="H397" i="40"/>
  <c r="J397" i="40" s="1"/>
  <c r="H396" i="40"/>
  <c r="J396" i="40" s="1"/>
  <c r="J395" i="40"/>
  <c r="H395" i="40"/>
  <c r="H394" i="40"/>
  <c r="J394" i="40" s="1"/>
  <c r="H393" i="40"/>
  <c r="J393" i="40" s="1"/>
  <c r="H392" i="40"/>
  <c r="J392" i="40" s="1"/>
  <c r="J390" i="40"/>
  <c r="H390" i="40"/>
  <c r="H389" i="40"/>
  <c r="J389" i="40" s="1"/>
  <c r="H388" i="40"/>
  <c r="J388" i="40" s="1"/>
  <c r="H387" i="40"/>
  <c r="J387" i="40" s="1"/>
  <c r="J386" i="40"/>
  <c r="H386" i="40"/>
  <c r="H385" i="40"/>
  <c r="J385" i="40" s="1"/>
  <c r="H384" i="40"/>
  <c r="J384" i="40" s="1"/>
  <c r="H383" i="40"/>
  <c r="J383" i="40" s="1"/>
  <c r="J382" i="40"/>
  <c r="H382" i="40"/>
  <c r="H381" i="40"/>
  <c r="J381" i="40" s="1"/>
  <c r="H380" i="40"/>
  <c r="J380" i="40" s="1"/>
  <c r="H379" i="40"/>
  <c r="J379" i="40" s="1"/>
  <c r="J378" i="40"/>
  <c r="H378" i="40"/>
  <c r="H377" i="40"/>
  <c r="J377" i="40" s="1"/>
  <c r="H376" i="40"/>
  <c r="J376" i="40" s="1"/>
  <c r="H375" i="40"/>
  <c r="J375" i="40" s="1"/>
  <c r="J374" i="40"/>
  <c r="H374" i="40"/>
  <c r="H373" i="40"/>
  <c r="J373" i="40" s="1"/>
  <c r="H372" i="40"/>
  <c r="J372" i="40" s="1"/>
  <c r="H371" i="40"/>
  <c r="J371" i="40" s="1"/>
  <c r="J370" i="40"/>
  <c r="H370" i="40"/>
  <c r="H369" i="40"/>
  <c r="J369" i="40" s="1"/>
  <c r="H368" i="40"/>
  <c r="J368" i="40" s="1"/>
  <c r="H367" i="40"/>
  <c r="J367" i="40" s="1"/>
  <c r="J366" i="40"/>
  <c r="H366" i="40"/>
  <c r="H365" i="40"/>
  <c r="J365" i="40" s="1"/>
  <c r="H364" i="40"/>
  <c r="J364" i="40" s="1"/>
  <c r="H363" i="40"/>
  <c r="J363" i="40" s="1"/>
  <c r="J362" i="40"/>
  <c r="H362" i="40"/>
  <c r="H361" i="40"/>
  <c r="J361" i="40" s="1"/>
  <c r="H360" i="40"/>
  <c r="J360" i="40" s="1"/>
  <c r="H359" i="40"/>
  <c r="J359" i="40" s="1"/>
  <c r="J358" i="40"/>
  <c r="H358" i="40"/>
  <c r="H357" i="40"/>
  <c r="J357" i="40" s="1"/>
  <c r="H356" i="40"/>
  <c r="J356" i="40" s="1"/>
  <c r="H355" i="40"/>
  <c r="J355" i="40" s="1"/>
  <c r="J354" i="40"/>
  <c r="H354" i="40"/>
  <c r="H353" i="40"/>
  <c r="J353" i="40" s="1"/>
  <c r="H352" i="40"/>
  <c r="J352" i="40" s="1"/>
  <c r="H351" i="40"/>
  <c r="J351" i="40" s="1"/>
  <c r="J350" i="40"/>
  <c r="H350" i="40"/>
  <c r="H349" i="40"/>
  <c r="J349" i="40" s="1"/>
  <c r="H348" i="40"/>
  <c r="J348" i="40" s="1"/>
  <c r="H347" i="40"/>
  <c r="J347" i="40" s="1"/>
  <c r="J346" i="40"/>
  <c r="H346" i="40"/>
  <c r="H345" i="40"/>
  <c r="J345" i="40" s="1"/>
  <c r="H344" i="40"/>
  <c r="J344" i="40" s="1"/>
  <c r="H342" i="40"/>
  <c r="J342" i="40" s="1"/>
  <c r="J341" i="40"/>
  <c r="H341" i="40"/>
  <c r="H340" i="40"/>
  <c r="J340" i="40" s="1"/>
  <c r="H339" i="40"/>
  <c r="J339" i="40" s="1"/>
  <c r="H338" i="40"/>
  <c r="J338" i="40" s="1"/>
  <c r="J337" i="40"/>
  <c r="H337" i="40"/>
  <c r="H336" i="40"/>
  <c r="J336" i="40" s="1"/>
  <c r="H335" i="40"/>
  <c r="J335" i="40" s="1"/>
  <c r="H334" i="40"/>
  <c r="J334" i="40" s="1"/>
  <c r="J333" i="40"/>
  <c r="H333" i="40"/>
  <c r="H332" i="40"/>
  <c r="J332" i="40" s="1"/>
  <c r="H331" i="40"/>
  <c r="J331" i="40" s="1"/>
  <c r="H330" i="40"/>
  <c r="J330" i="40" s="1"/>
  <c r="J329" i="40"/>
  <c r="H329" i="40"/>
  <c r="H328" i="40"/>
  <c r="J328" i="40" s="1"/>
  <c r="H327" i="40"/>
  <c r="J327" i="40" s="1"/>
  <c r="H326" i="40"/>
  <c r="J326" i="40" s="1"/>
  <c r="J325" i="40"/>
  <c r="H325" i="40"/>
  <c r="H323" i="40"/>
  <c r="J323" i="40" s="1"/>
  <c r="H322" i="40"/>
  <c r="J322" i="40" s="1"/>
  <c r="H321" i="40"/>
  <c r="J321" i="40" s="1"/>
  <c r="J320" i="40"/>
  <c r="H320" i="40"/>
  <c r="H319" i="40"/>
  <c r="J319" i="40" s="1"/>
  <c r="H318" i="40"/>
  <c r="J318" i="40" s="1"/>
  <c r="H317" i="40"/>
  <c r="J317" i="40" s="1"/>
  <c r="J316" i="40"/>
  <c r="H316" i="40"/>
  <c r="H315" i="40"/>
  <c r="J315" i="40" s="1"/>
  <c r="H314" i="40"/>
  <c r="J314" i="40" s="1"/>
  <c r="H313" i="40"/>
  <c r="J313" i="40" s="1"/>
  <c r="J312" i="40"/>
  <c r="H312" i="40"/>
  <c r="H311" i="40"/>
  <c r="J311" i="40" s="1"/>
  <c r="H310" i="40"/>
  <c r="J310" i="40" s="1"/>
  <c r="H309" i="40"/>
  <c r="J309" i="40" s="1"/>
  <c r="J308" i="40"/>
  <c r="H308" i="40"/>
  <c r="H307" i="40"/>
  <c r="J307" i="40" s="1"/>
  <c r="H306" i="40"/>
  <c r="J306" i="40" s="1"/>
  <c r="H305" i="40"/>
  <c r="J305" i="40" s="1"/>
  <c r="J304" i="40"/>
  <c r="H304" i="40"/>
  <c r="H303" i="40"/>
  <c r="J303" i="40" s="1"/>
  <c r="H302" i="40"/>
  <c r="J302" i="40" s="1"/>
  <c r="H301" i="40"/>
  <c r="J301" i="40" s="1"/>
  <c r="J300" i="40"/>
  <c r="H300" i="40"/>
  <c r="H299" i="40"/>
  <c r="J299" i="40" s="1"/>
  <c r="H298" i="40"/>
  <c r="J298" i="40" s="1"/>
  <c r="H297" i="40"/>
  <c r="J297" i="40" s="1"/>
  <c r="J296" i="40"/>
  <c r="H296" i="40"/>
  <c r="H295" i="40"/>
  <c r="J295" i="40" s="1"/>
  <c r="H294" i="40"/>
  <c r="J294" i="40" s="1"/>
  <c r="H293" i="40"/>
  <c r="J293" i="40" s="1"/>
  <c r="J292" i="40"/>
  <c r="H292" i="40"/>
  <c r="H291" i="40"/>
  <c r="J291" i="40" s="1"/>
  <c r="H290" i="40"/>
  <c r="J290" i="40" s="1"/>
  <c r="H289" i="40"/>
  <c r="J289" i="40" s="1"/>
  <c r="J288" i="40"/>
  <c r="H288" i="40"/>
  <c r="H287" i="40"/>
  <c r="J287" i="40" s="1"/>
  <c r="H286" i="40"/>
  <c r="J286" i="40" s="1"/>
  <c r="H285" i="40"/>
  <c r="J285" i="40" s="1"/>
  <c r="J284" i="40"/>
  <c r="H284" i="40"/>
  <c r="H283" i="40"/>
  <c r="J283" i="40" s="1"/>
  <c r="H282" i="40"/>
  <c r="J282" i="40" s="1"/>
  <c r="H281" i="40"/>
  <c r="J281" i="40" s="1"/>
  <c r="J280" i="40"/>
  <c r="H280" i="40"/>
  <c r="H279" i="40"/>
  <c r="J279" i="40" s="1"/>
  <c r="H278" i="40"/>
  <c r="J278" i="40" s="1"/>
  <c r="H277" i="40"/>
  <c r="J277" i="40" s="1"/>
  <c r="J276" i="40"/>
  <c r="H276" i="40"/>
  <c r="H275" i="40"/>
  <c r="J275" i="40" s="1"/>
  <c r="H274" i="40"/>
  <c r="J274" i="40" s="1"/>
  <c r="H273" i="40"/>
  <c r="J273" i="40" s="1"/>
  <c r="J272" i="40"/>
  <c r="H272" i="40"/>
  <c r="H271" i="40"/>
  <c r="J271" i="40" s="1"/>
  <c r="H270" i="40"/>
  <c r="J270" i="40" s="1"/>
  <c r="H269" i="40"/>
  <c r="J269" i="40" s="1"/>
  <c r="J268" i="40"/>
  <c r="H268" i="40"/>
  <c r="H267" i="40"/>
  <c r="J267" i="40" s="1"/>
  <c r="H266" i="40"/>
  <c r="J266" i="40" s="1"/>
  <c r="H265" i="40"/>
  <c r="J265" i="40" s="1"/>
  <c r="J264" i="40"/>
  <c r="H264" i="40"/>
  <c r="H263" i="40"/>
  <c r="J263" i="40" s="1"/>
  <c r="H262" i="40"/>
  <c r="J262" i="40" s="1"/>
  <c r="H261" i="40"/>
  <c r="J261" i="40" s="1"/>
  <c r="J260" i="40"/>
  <c r="H260" i="40"/>
  <c r="H259" i="40"/>
  <c r="J259" i="40" s="1"/>
  <c r="H258" i="40"/>
  <c r="J258" i="40" s="1"/>
  <c r="H257" i="40"/>
  <c r="J257" i="40" s="1"/>
  <c r="J256" i="40"/>
  <c r="H256" i="40"/>
  <c r="H255" i="40"/>
  <c r="J255" i="40" s="1"/>
  <c r="H254" i="40"/>
  <c r="J254" i="40" s="1"/>
  <c r="H253" i="40"/>
  <c r="J253" i="40" s="1"/>
  <c r="J252" i="40"/>
  <c r="H252" i="40"/>
  <c r="H251" i="40"/>
  <c r="J251" i="40" s="1"/>
  <c r="H250" i="40"/>
  <c r="J250" i="40" s="1"/>
  <c r="H249" i="40"/>
  <c r="J249" i="40" s="1"/>
  <c r="J248" i="40"/>
  <c r="H248" i="40"/>
  <c r="H247" i="40"/>
  <c r="J247" i="40" s="1"/>
  <c r="H246" i="40"/>
  <c r="J246" i="40" s="1"/>
  <c r="H245" i="40"/>
  <c r="J245" i="40" s="1"/>
  <c r="J244" i="40"/>
  <c r="H244" i="40"/>
  <c r="H243" i="40"/>
  <c r="J243" i="40" s="1"/>
  <c r="H242" i="40"/>
  <c r="J242" i="40" s="1"/>
  <c r="H241" i="40"/>
  <c r="J241" i="40" s="1"/>
  <c r="J240" i="40"/>
  <c r="H240" i="40"/>
  <c r="H239" i="40"/>
  <c r="J239" i="40" s="1"/>
  <c r="H238" i="40"/>
  <c r="J238" i="40" s="1"/>
  <c r="H237" i="40"/>
  <c r="J237" i="40" s="1"/>
  <c r="J236" i="40"/>
  <c r="H236" i="40"/>
  <c r="H235" i="40"/>
  <c r="J235" i="40" s="1"/>
  <c r="H234" i="40"/>
  <c r="J234" i="40" s="1"/>
  <c r="H233" i="40"/>
  <c r="J233" i="40" s="1"/>
  <c r="J232" i="40"/>
  <c r="H232" i="40"/>
  <c r="H231" i="40"/>
  <c r="J231" i="40" s="1"/>
  <c r="H230" i="40"/>
  <c r="J230" i="40" s="1"/>
  <c r="H229" i="40"/>
  <c r="J229" i="40" s="1"/>
  <c r="J228" i="40"/>
  <c r="H228" i="40"/>
  <c r="H227" i="40"/>
  <c r="J227" i="40" s="1"/>
  <c r="H226" i="40"/>
  <c r="J226" i="40" s="1"/>
  <c r="H225" i="40"/>
  <c r="J225" i="40" s="1"/>
  <c r="J224" i="40"/>
  <c r="H224" i="40"/>
  <c r="H223" i="40"/>
  <c r="J223" i="40" s="1"/>
  <c r="H222" i="40"/>
  <c r="J222" i="40" s="1"/>
  <c r="H221" i="40"/>
  <c r="J221" i="40" s="1"/>
  <c r="J220" i="40"/>
  <c r="H220" i="40"/>
  <c r="H219" i="40"/>
  <c r="J219" i="40" s="1"/>
  <c r="H218" i="40"/>
  <c r="J218" i="40" s="1"/>
  <c r="H217" i="40"/>
  <c r="J217" i="40" s="1"/>
  <c r="J215" i="40"/>
  <c r="H215" i="40"/>
  <c r="H212" i="40"/>
  <c r="J212" i="40" s="1"/>
  <c r="H211" i="40"/>
  <c r="J211" i="40" s="1"/>
  <c r="H210" i="40"/>
  <c r="J210" i="40" s="1"/>
  <c r="J209" i="40"/>
  <c r="H209" i="40"/>
  <c r="H208" i="40"/>
  <c r="J208" i="40" s="1"/>
  <c r="H207" i="40"/>
  <c r="J207" i="40" s="1"/>
  <c r="H206" i="40"/>
  <c r="J206" i="40" s="1"/>
  <c r="J205" i="40"/>
  <c r="H205" i="40"/>
  <c r="H204" i="40"/>
  <c r="J204" i="40" s="1"/>
  <c r="H203" i="40"/>
  <c r="J203" i="40" s="1"/>
  <c r="H202" i="40"/>
  <c r="J202" i="40" s="1"/>
  <c r="J201" i="40"/>
  <c r="H201" i="40"/>
  <c r="H199" i="40"/>
  <c r="J199" i="40" s="1"/>
  <c r="H198" i="40"/>
  <c r="J198" i="40" s="1"/>
  <c r="J197" i="40"/>
  <c r="H197" i="40"/>
  <c r="H196" i="40"/>
  <c r="J196" i="40" s="1"/>
  <c r="H194" i="40"/>
  <c r="J194" i="40" s="1"/>
  <c r="H193" i="40"/>
  <c r="J193" i="40" s="1"/>
  <c r="J192" i="40"/>
  <c r="H192" i="40"/>
  <c r="H191" i="40"/>
  <c r="J191" i="40" s="1"/>
  <c r="H190" i="40"/>
  <c r="J190" i="40" s="1"/>
  <c r="H189" i="40"/>
  <c r="J189" i="40" s="1"/>
  <c r="J188" i="40"/>
  <c r="H188" i="40"/>
  <c r="H187" i="40"/>
  <c r="J187" i="40" s="1"/>
  <c r="H186" i="40"/>
  <c r="J186" i="40" s="1"/>
  <c r="H185" i="40"/>
  <c r="J185" i="40" s="1"/>
  <c r="J184" i="40"/>
  <c r="H184" i="40"/>
  <c r="H183" i="40"/>
  <c r="J183" i="40" s="1"/>
  <c r="H182" i="40"/>
  <c r="J182" i="40" s="1"/>
  <c r="H181" i="40"/>
  <c r="J181" i="40" s="1"/>
  <c r="J180" i="40"/>
  <c r="H180" i="40"/>
  <c r="H179" i="40"/>
  <c r="J179" i="40" s="1"/>
  <c r="H178" i="40"/>
  <c r="J178" i="40" s="1"/>
  <c r="H177" i="40"/>
  <c r="J177" i="40" s="1"/>
  <c r="J176" i="40"/>
  <c r="H176" i="40"/>
  <c r="H175" i="40"/>
  <c r="J175" i="40" s="1"/>
  <c r="H174" i="40"/>
  <c r="J174" i="40" s="1"/>
  <c r="H173" i="40"/>
  <c r="J173" i="40" s="1"/>
  <c r="J172" i="40"/>
  <c r="H172" i="40"/>
  <c r="H171" i="40"/>
  <c r="J171" i="40" s="1"/>
  <c r="H170" i="40"/>
  <c r="J170" i="40" s="1"/>
  <c r="H169" i="40"/>
  <c r="J169" i="40" s="1"/>
  <c r="J168" i="40"/>
  <c r="H168" i="40"/>
  <c r="H167" i="40"/>
  <c r="J167" i="40" s="1"/>
  <c r="H166" i="40"/>
  <c r="J166" i="40" s="1"/>
  <c r="H165" i="40"/>
  <c r="J165" i="40" s="1"/>
  <c r="J164" i="40"/>
  <c r="H164" i="40"/>
  <c r="H163" i="40"/>
  <c r="J163" i="40" s="1"/>
  <c r="H162" i="40"/>
  <c r="J162" i="40" s="1"/>
  <c r="H161" i="40"/>
  <c r="J161" i="40" s="1"/>
  <c r="J160" i="40"/>
  <c r="H160" i="40"/>
  <c r="H159" i="40"/>
  <c r="J159" i="40" s="1"/>
  <c r="H156" i="40"/>
  <c r="J156" i="40" s="1"/>
  <c r="H153" i="40"/>
  <c r="J153" i="40" s="1"/>
  <c r="J152" i="40"/>
  <c r="H152" i="40"/>
  <c r="H151" i="40"/>
  <c r="J151" i="40" s="1"/>
  <c r="H150" i="40"/>
  <c r="J150" i="40" s="1"/>
  <c r="H149" i="40"/>
  <c r="J149" i="40" s="1"/>
  <c r="J148" i="40"/>
  <c r="H148" i="40"/>
  <c r="H147" i="40"/>
  <c r="J147" i="40" s="1"/>
  <c r="H145" i="40"/>
  <c r="J145" i="40" s="1"/>
  <c r="H144" i="40"/>
  <c r="J144" i="40" s="1"/>
  <c r="J143" i="40"/>
  <c r="H143" i="40"/>
  <c r="H142" i="40"/>
  <c r="J142" i="40" s="1"/>
  <c r="H141" i="40"/>
  <c r="J141" i="40" s="1"/>
  <c r="H140" i="40"/>
  <c r="J140" i="40" s="1"/>
  <c r="J139" i="40"/>
  <c r="H139" i="40"/>
  <c r="H138" i="40"/>
  <c r="J138" i="40" s="1"/>
  <c r="H137" i="40"/>
  <c r="J137" i="40" s="1"/>
  <c r="H136" i="40"/>
  <c r="J136" i="40" s="1"/>
  <c r="J135" i="40"/>
  <c r="H135" i="40"/>
  <c r="H134" i="40"/>
  <c r="J134" i="40" s="1"/>
  <c r="H133" i="40"/>
  <c r="J133" i="40" s="1"/>
  <c r="H132" i="40"/>
  <c r="J132" i="40" s="1"/>
  <c r="J131" i="40"/>
  <c r="H131" i="40"/>
  <c r="H130" i="40"/>
  <c r="J130" i="40" s="1"/>
  <c r="H129" i="40"/>
  <c r="J129" i="40" s="1"/>
  <c r="H128" i="40"/>
  <c r="J128" i="40" s="1"/>
  <c r="J127" i="40"/>
  <c r="H127" i="40"/>
  <c r="H126" i="40"/>
  <c r="J126" i="40" s="1"/>
  <c r="H125" i="40"/>
  <c r="J125" i="40" s="1"/>
  <c r="H124" i="40"/>
  <c r="J124" i="40" s="1"/>
  <c r="J123" i="40"/>
  <c r="H123" i="40"/>
  <c r="H122" i="40"/>
  <c r="J122" i="40" s="1"/>
  <c r="H121" i="40"/>
  <c r="J121" i="40" s="1"/>
  <c r="H120" i="40"/>
  <c r="J120" i="40" s="1"/>
  <c r="J118" i="40"/>
  <c r="H118" i="40"/>
  <c r="H117" i="40"/>
  <c r="J117" i="40" s="1"/>
  <c r="H116" i="40"/>
  <c r="J116" i="40" s="1"/>
  <c r="H115" i="40"/>
  <c r="J115" i="40" s="1"/>
  <c r="J114" i="40"/>
  <c r="H114" i="40"/>
  <c r="H113" i="40"/>
  <c r="J113" i="40" s="1"/>
  <c r="H112" i="40"/>
  <c r="J112" i="40" s="1"/>
  <c r="H111" i="40"/>
  <c r="J111" i="40" s="1"/>
  <c r="J110" i="40"/>
  <c r="H110" i="40"/>
  <c r="H109" i="40"/>
  <c r="J109" i="40" s="1"/>
  <c r="H108" i="40"/>
  <c r="J108" i="40" s="1"/>
  <c r="H106" i="40"/>
  <c r="J106" i="40" s="1"/>
  <c r="J105" i="40"/>
  <c r="H105" i="40"/>
  <c r="H104" i="40"/>
  <c r="J104" i="40" s="1"/>
  <c r="H103" i="40"/>
  <c r="J103" i="40" s="1"/>
  <c r="H102" i="40"/>
  <c r="J102" i="40" s="1"/>
  <c r="J101" i="40"/>
  <c r="H101" i="40"/>
  <c r="H100" i="40"/>
  <c r="J100" i="40" s="1"/>
  <c r="H99" i="40"/>
  <c r="J99" i="40" s="1"/>
  <c r="H98" i="40"/>
  <c r="J98" i="40" s="1"/>
  <c r="J97" i="40"/>
  <c r="H97" i="40"/>
  <c r="H96" i="40"/>
  <c r="J96" i="40" s="1"/>
  <c r="H95" i="40"/>
  <c r="J95" i="40" s="1"/>
  <c r="H94" i="40"/>
  <c r="J94" i="40" s="1"/>
  <c r="J93" i="40"/>
  <c r="H93" i="40"/>
  <c r="H92" i="40"/>
  <c r="J92" i="40" s="1"/>
  <c r="H91" i="40"/>
  <c r="J91" i="40" s="1"/>
  <c r="H90" i="40"/>
  <c r="J90" i="40" s="1"/>
  <c r="H88" i="40"/>
  <c r="J88" i="40" s="1"/>
  <c r="H87" i="40"/>
  <c r="J87" i="40" s="1"/>
  <c r="H85" i="40"/>
  <c r="J85" i="40" s="1"/>
  <c r="H84" i="40"/>
  <c r="J84" i="40" s="1"/>
  <c r="H83" i="40"/>
  <c r="J83" i="40" s="1"/>
  <c r="H82" i="40"/>
  <c r="J82" i="40" s="1"/>
  <c r="H81" i="40"/>
  <c r="J81" i="40" s="1"/>
  <c r="I80" i="40"/>
  <c r="H80" i="40"/>
  <c r="J80" i="40" s="1"/>
  <c r="H79" i="40"/>
  <c r="J79" i="40" s="1"/>
  <c r="H78" i="40"/>
  <c r="J78" i="40" s="1"/>
  <c r="H76" i="40"/>
  <c r="J76" i="40" s="1"/>
  <c r="H75" i="40"/>
  <c r="J75" i="40" s="1"/>
  <c r="H74" i="40"/>
  <c r="J74" i="40" s="1"/>
  <c r="H73" i="40"/>
  <c r="J73" i="40" s="1"/>
  <c r="H72" i="40"/>
  <c r="J72" i="40" s="1"/>
  <c r="H71" i="40"/>
  <c r="J71" i="40" s="1"/>
  <c r="H70" i="40"/>
  <c r="J70" i="40" s="1"/>
  <c r="H69" i="40"/>
  <c r="J69" i="40" s="1"/>
  <c r="J68" i="40"/>
  <c r="H68" i="40"/>
  <c r="H66" i="40"/>
  <c r="J66" i="40" s="1"/>
  <c r="H65" i="40"/>
  <c r="J65" i="40" s="1"/>
  <c r="H64" i="40"/>
  <c r="J64" i="40" s="1"/>
  <c r="H63" i="40"/>
  <c r="J63" i="40" s="1"/>
  <c r="H62" i="40"/>
  <c r="J62" i="40" s="1"/>
  <c r="H61" i="40"/>
  <c r="J61" i="40" s="1"/>
  <c r="H60" i="40"/>
  <c r="J60" i="40" s="1"/>
  <c r="H59" i="40"/>
  <c r="J59" i="40" s="1"/>
  <c r="H58" i="40"/>
  <c r="J58" i="40" s="1"/>
  <c r="H57" i="40"/>
  <c r="J57" i="40" s="1"/>
  <c r="H56" i="40"/>
  <c r="J56" i="40" s="1"/>
  <c r="H55" i="40"/>
  <c r="J55" i="40" s="1"/>
  <c r="H54" i="40"/>
  <c r="J54" i="40" s="1"/>
  <c r="H53" i="40"/>
  <c r="J53" i="40" s="1"/>
  <c r="H46" i="40"/>
  <c r="J46" i="40" s="1"/>
  <c r="J45" i="40"/>
  <c r="H45" i="40"/>
  <c r="H42" i="40"/>
  <c r="J42" i="40" s="1"/>
  <c r="H38" i="40"/>
  <c r="J38" i="40" s="1"/>
  <c r="H37" i="40"/>
  <c r="J37" i="40" s="1"/>
  <c r="J36" i="40"/>
  <c r="H36" i="40"/>
  <c r="H34" i="40"/>
  <c r="J34" i="40" s="1"/>
  <c r="K35" i="40" s="1"/>
  <c r="H33" i="40"/>
  <c r="J33" i="40" s="1"/>
  <c r="J31" i="40"/>
  <c r="H31" i="40"/>
  <c r="H30" i="40"/>
  <c r="J30" i="40" s="1"/>
  <c r="K32" i="40" s="1"/>
  <c r="H28" i="40"/>
  <c r="J28" i="40" s="1"/>
  <c r="H27" i="40"/>
  <c r="J27" i="40" s="1"/>
  <c r="I26" i="40"/>
  <c r="H26" i="40"/>
  <c r="J26" i="40" s="1"/>
  <c r="H25" i="40"/>
  <c r="J25" i="40" s="1"/>
  <c r="H24" i="40"/>
  <c r="J24" i="40" s="1"/>
  <c r="J23" i="40"/>
  <c r="H23" i="40"/>
  <c r="H22" i="40"/>
  <c r="J22" i="40" s="1"/>
  <c r="H21" i="40"/>
  <c r="J21" i="40" s="1"/>
  <c r="H19" i="40"/>
  <c r="J19" i="40" s="1"/>
  <c r="H18" i="40"/>
  <c r="J18" i="40" s="1"/>
  <c r="H17" i="40"/>
  <c r="J17" i="40" s="1"/>
  <c r="H16" i="40"/>
  <c r="J16" i="40" s="1"/>
  <c r="H15" i="40"/>
  <c r="J15" i="40" s="1"/>
  <c r="H14" i="40"/>
  <c r="J14" i="40" s="1"/>
  <c r="H13" i="40"/>
  <c r="J13" i="40" s="1"/>
  <c r="K77" i="40" l="1"/>
  <c r="J537" i="40"/>
  <c r="J539" i="40"/>
  <c r="J544" i="40"/>
  <c r="J546" i="40"/>
  <c r="J551" i="40"/>
  <c r="K1028" i="40"/>
  <c r="K1345" i="40"/>
  <c r="K1352" i="40"/>
  <c r="K1310" i="40"/>
  <c r="J482" i="40"/>
  <c r="J540" i="40"/>
  <c r="K1079" i="40"/>
  <c r="J1165" i="40"/>
  <c r="K1270" i="40"/>
  <c r="J1098" i="40"/>
  <c r="J1250" i="40"/>
  <c r="J1259" i="40"/>
  <c r="K1264" i="40" s="1"/>
  <c r="J1262" i="40"/>
  <c r="K20" i="40"/>
  <c r="K89" i="40"/>
  <c r="K195" i="40"/>
  <c r="K29" i="40"/>
  <c r="K43" i="40"/>
  <c r="K200" i="40"/>
  <c r="K604" i="40"/>
  <c r="K1340" i="40"/>
  <c r="K585" i="40"/>
  <c r="K871" i="40"/>
  <c r="J565" i="40"/>
  <c r="J1431" i="40" s="1"/>
  <c r="K808" i="40"/>
  <c r="K884" i="40"/>
  <c r="K1106" i="40"/>
  <c r="K1246" i="40"/>
  <c r="K1021" i="40"/>
  <c r="K1097" i="40"/>
  <c r="K1252" i="40"/>
  <c r="J1034" i="40"/>
  <c r="K1064" i="40" s="1"/>
  <c r="J1230" i="40"/>
  <c r="K1416" i="40"/>
  <c r="K1329" i="40"/>
  <c r="K1298" i="40"/>
  <c r="K576" i="40" l="1"/>
  <c r="K1431" i="40" s="1"/>
  <c r="G793" i="39" l="1"/>
  <c r="F793" i="39"/>
  <c r="E793" i="39"/>
  <c r="D793" i="39"/>
  <c r="H793" i="39" s="1"/>
  <c r="H790" i="39"/>
  <c r="J790" i="39" s="1"/>
  <c r="J789" i="39"/>
  <c r="H789" i="39"/>
  <c r="H788" i="39"/>
  <c r="J788" i="39" s="1"/>
  <c r="K791" i="39" s="1"/>
  <c r="J786" i="39"/>
  <c r="H786" i="39"/>
  <c r="H785" i="39"/>
  <c r="J785" i="39" s="1"/>
  <c r="K787" i="39" s="1"/>
  <c r="J784" i="39"/>
  <c r="H784" i="39"/>
  <c r="H783" i="39"/>
  <c r="J782" i="39"/>
  <c r="H782" i="39"/>
  <c r="J781" i="39"/>
  <c r="H781" i="39"/>
  <c r="J780" i="39"/>
  <c r="H780" i="39"/>
  <c r="I779" i="39"/>
  <c r="H779" i="39"/>
  <c r="J779" i="39" s="1"/>
  <c r="H778" i="39"/>
  <c r="J778" i="39" s="1"/>
  <c r="J777" i="39"/>
  <c r="H777" i="39"/>
  <c r="H776" i="39"/>
  <c r="J776" i="39" s="1"/>
  <c r="J774" i="39"/>
  <c r="H774" i="39"/>
  <c r="H773" i="39"/>
  <c r="J773" i="39" s="1"/>
  <c r="J772" i="39"/>
  <c r="H772" i="39"/>
  <c r="H771" i="39"/>
  <c r="J771" i="39" s="1"/>
  <c r="J770" i="39"/>
  <c r="H770" i="39"/>
  <c r="H769" i="39"/>
  <c r="J769" i="39" s="1"/>
  <c r="J768" i="39"/>
  <c r="H768" i="39"/>
  <c r="H767" i="39"/>
  <c r="J767" i="39" s="1"/>
  <c r="J766" i="39"/>
  <c r="H766" i="39"/>
  <c r="H764" i="39"/>
  <c r="J764" i="39" s="1"/>
  <c r="H763" i="39"/>
  <c r="J763" i="39" s="1"/>
  <c r="J762" i="39"/>
  <c r="H762" i="39"/>
  <c r="H761" i="39"/>
  <c r="J761" i="39" s="1"/>
  <c r="J760" i="39"/>
  <c r="H760" i="39"/>
  <c r="H759" i="39"/>
  <c r="J759" i="39" s="1"/>
  <c r="H758" i="39"/>
  <c r="J758" i="39" s="1"/>
  <c r="H757" i="39"/>
  <c r="J757" i="39" s="1"/>
  <c r="H756" i="39"/>
  <c r="J756" i="39" s="1"/>
  <c r="H755" i="39"/>
  <c r="J755" i="39" s="1"/>
  <c r="H754" i="39"/>
  <c r="J754" i="39" s="1"/>
  <c r="H753" i="39"/>
  <c r="J753" i="39" s="1"/>
  <c r="H752" i="39"/>
  <c r="J752" i="39" s="1"/>
  <c r="H751" i="39"/>
  <c r="J751" i="39" s="1"/>
  <c r="H750" i="39"/>
  <c r="J750" i="39" s="1"/>
  <c r="H749" i="39"/>
  <c r="J749" i="39" s="1"/>
  <c r="H748" i="39"/>
  <c r="J748" i="39" s="1"/>
  <c r="H747" i="39"/>
  <c r="J747" i="39" s="1"/>
  <c r="I746" i="39"/>
  <c r="J746" i="39" s="1"/>
  <c r="H746" i="39"/>
  <c r="J745" i="39"/>
  <c r="H745" i="39"/>
  <c r="J744" i="39"/>
  <c r="H744" i="39"/>
  <c r="J743" i="39"/>
  <c r="H743" i="39"/>
  <c r="J742" i="39"/>
  <c r="H742" i="39"/>
  <c r="J741" i="39"/>
  <c r="H741" i="39"/>
  <c r="J740" i="39"/>
  <c r="H740" i="39"/>
  <c r="J739" i="39"/>
  <c r="H739" i="39"/>
  <c r="J738" i="39"/>
  <c r="H738" i="39"/>
  <c r="J737" i="39"/>
  <c r="H737" i="39"/>
  <c r="J736" i="39"/>
  <c r="H736" i="39"/>
  <c r="J735" i="39"/>
  <c r="H735" i="39"/>
  <c r="J734" i="39"/>
  <c r="H734" i="39"/>
  <c r="J733" i="39"/>
  <c r="H733" i="39"/>
  <c r="J732" i="39"/>
  <c r="H732" i="39"/>
  <c r="J731" i="39"/>
  <c r="H731" i="39"/>
  <c r="J730" i="39"/>
  <c r="H730" i="39"/>
  <c r="J729" i="39"/>
  <c r="H729" i="39"/>
  <c r="J728" i="39"/>
  <c r="H728" i="39"/>
  <c r="J727" i="39"/>
  <c r="H727" i="39"/>
  <c r="J726" i="39"/>
  <c r="H726" i="39"/>
  <c r="J725" i="39"/>
  <c r="H725" i="39"/>
  <c r="J724" i="39"/>
  <c r="H724" i="39"/>
  <c r="J723" i="39"/>
  <c r="H723" i="39"/>
  <c r="J722" i="39"/>
  <c r="H722" i="39"/>
  <c r="J721" i="39"/>
  <c r="H721" i="39"/>
  <c r="J720" i="39"/>
  <c r="H720" i="39"/>
  <c r="J719" i="39"/>
  <c r="H719" i="39"/>
  <c r="J718" i="39"/>
  <c r="H718" i="39"/>
  <c r="J717" i="39"/>
  <c r="H717" i="39"/>
  <c r="J716" i="39"/>
  <c r="H716" i="39"/>
  <c r="J715" i="39"/>
  <c r="H715" i="39"/>
  <c r="J714" i="39"/>
  <c r="H714" i="39"/>
  <c r="J713" i="39"/>
  <c r="H713" i="39"/>
  <c r="J712" i="39"/>
  <c r="H712" i="39"/>
  <c r="J711" i="39"/>
  <c r="H711" i="39"/>
  <c r="J710" i="39"/>
  <c r="H710" i="39"/>
  <c r="J709" i="39"/>
  <c r="H709" i="39"/>
  <c r="J708" i="39"/>
  <c r="H708" i="39"/>
  <c r="J707" i="39"/>
  <c r="H707" i="39"/>
  <c r="J706" i="39"/>
  <c r="H706" i="39"/>
  <c r="J705" i="39"/>
  <c r="H705" i="39"/>
  <c r="J704" i="39"/>
  <c r="H704" i="39"/>
  <c r="J703" i="39"/>
  <c r="H703" i="39"/>
  <c r="J702" i="39"/>
  <c r="H702" i="39"/>
  <c r="J701" i="39"/>
  <c r="H701" i="39"/>
  <c r="J700" i="39"/>
  <c r="H700" i="39"/>
  <c r="J699" i="39"/>
  <c r="H699" i="39"/>
  <c r="J698" i="39"/>
  <c r="H698" i="39"/>
  <c r="J697" i="39"/>
  <c r="H697" i="39"/>
  <c r="J696" i="39"/>
  <c r="H696" i="39"/>
  <c r="J695" i="39"/>
  <c r="H695" i="39"/>
  <c r="J694" i="39"/>
  <c r="H694" i="39"/>
  <c r="J693" i="39"/>
  <c r="H693" i="39"/>
  <c r="J692" i="39"/>
  <c r="H692" i="39"/>
  <c r="J691" i="39"/>
  <c r="H691" i="39"/>
  <c r="J690" i="39"/>
  <c r="H690" i="39"/>
  <c r="J689" i="39"/>
  <c r="H689" i="39"/>
  <c r="J688" i="39"/>
  <c r="H688" i="39"/>
  <c r="J687" i="39"/>
  <c r="H687" i="39"/>
  <c r="I686" i="39"/>
  <c r="H686" i="39"/>
  <c r="I685" i="39"/>
  <c r="H685" i="39"/>
  <c r="J685" i="39" s="1"/>
  <c r="J684" i="39"/>
  <c r="I684" i="39"/>
  <c r="H684" i="39"/>
  <c r="H683" i="39"/>
  <c r="J683" i="39" s="1"/>
  <c r="J682" i="39"/>
  <c r="H682" i="39"/>
  <c r="H681" i="39"/>
  <c r="J681" i="39" s="1"/>
  <c r="J680" i="39"/>
  <c r="H680" i="39"/>
  <c r="H679" i="39"/>
  <c r="J679" i="39" s="1"/>
  <c r="H678" i="39"/>
  <c r="J678" i="39" s="1"/>
  <c r="H677" i="39"/>
  <c r="J677" i="39" s="1"/>
  <c r="J676" i="39"/>
  <c r="H676" i="39"/>
  <c r="H675" i="39"/>
  <c r="J675" i="39" s="1"/>
  <c r="J674" i="39"/>
  <c r="H674" i="39"/>
  <c r="H673" i="39"/>
  <c r="J673" i="39" s="1"/>
  <c r="J672" i="39"/>
  <c r="H672" i="39"/>
  <c r="H671" i="39"/>
  <c r="J671" i="39" s="1"/>
  <c r="H670" i="39"/>
  <c r="J670" i="39" s="1"/>
  <c r="H669" i="39"/>
  <c r="J669" i="39" s="1"/>
  <c r="H668" i="39"/>
  <c r="J668" i="39" s="1"/>
  <c r="H667" i="39"/>
  <c r="J667" i="39" s="1"/>
  <c r="H666" i="39"/>
  <c r="J666" i="39" s="1"/>
  <c r="H665" i="39"/>
  <c r="J665" i="39" s="1"/>
  <c r="H664" i="39"/>
  <c r="J664" i="39" s="1"/>
  <c r="H663" i="39"/>
  <c r="J663" i="39" s="1"/>
  <c r="H662" i="39"/>
  <c r="J662" i="39" s="1"/>
  <c r="H661" i="39"/>
  <c r="J661" i="39" s="1"/>
  <c r="H660" i="39"/>
  <c r="J660" i="39" s="1"/>
  <c r="H659" i="39"/>
  <c r="J659" i="39" s="1"/>
  <c r="H658" i="39"/>
  <c r="J658" i="39" s="1"/>
  <c r="H657" i="39"/>
  <c r="J657" i="39" s="1"/>
  <c r="H656" i="39"/>
  <c r="J656" i="39" s="1"/>
  <c r="H655" i="39"/>
  <c r="J655" i="39" s="1"/>
  <c r="H654" i="39"/>
  <c r="J654" i="39" s="1"/>
  <c r="H653" i="39"/>
  <c r="J653" i="39" s="1"/>
  <c r="H652" i="39"/>
  <c r="J652" i="39" s="1"/>
  <c r="H651" i="39"/>
  <c r="J651" i="39" s="1"/>
  <c r="H650" i="39"/>
  <c r="J650" i="39" s="1"/>
  <c r="H649" i="39"/>
  <c r="J649" i="39" s="1"/>
  <c r="H648" i="39"/>
  <c r="J648" i="39" s="1"/>
  <c r="H647" i="39"/>
  <c r="J647" i="39" s="1"/>
  <c r="H646" i="39"/>
  <c r="J646" i="39" s="1"/>
  <c r="H645" i="39"/>
  <c r="J645" i="39" s="1"/>
  <c r="H644" i="39"/>
  <c r="J644" i="39" s="1"/>
  <c r="H643" i="39"/>
  <c r="J643" i="39" s="1"/>
  <c r="H642" i="39"/>
  <c r="J642" i="39" s="1"/>
  <c r="H641" i="39"/>
  <c r="J641" i="39" s="1"/>
  <c r="H640" i="39"/>
  <c r="J640" i="39" s="1"/>
  <c r="H639" i="39"/>
  <c r="J639" i="39" s="1"/>
  <c r="H638" i="39"/>
  <c r="J638" i="39" s="1"/>
  <c r="H637" i="39"/>
  <c r="J637" i="39" s="1"/>
  <c r="H636" i="39"/>
  <c r="J636" i="39" s="1"/>
  <c r="H635" i="39"/>
  <c r="J635" i="39" s="1"/>
  <c r="H634" i="39"/>
  <c r="J634" i="39" s="1"/>
  <c r="I633" i="39"/>
  <c r="H633" i="39"/>
  <c r="H632" i="39"/>
  <c r="J632" i="39" s="1"/>
  <c r="J631" i="39"/>
  <c r="H631" i="39"/>
  <c r="H629" i="39"/>
  <c r="J629" i="39" s="1"/>
  <c r="H628" i="39"/>
  <c r="J628" i="39" s="1"/>
  <c r="H627" i="39"/>
  <c r="J627" i="39" s="1"/>
  <c r="H626" i="39"/>
  <c r="J626" i="39" s="1"/>
  <c r="H625" i="39"/>
  <c r="J625" i="39" s="1"/>
  <c r="J624" i="39"/>
  <c r="H624" i="39"/>
  <c r="H623" i="39"/>
  <c r="J623" i="39" s="1"/>
  <c r="H622" i="39"/>
  <c r="J622" i="39" s="1"/>
  <c r="H621" i="39"/>
  <c r="J621" i="39" s="1"/>
  <c r="J620" i="39"/>
  <c r="H620" i="39"/>
  <c r="H619" i="39"/>
  <c r="J619" i="39" s="1"/>
  <c r="J618" i="39"/>
  <c r="H618" i="39"/>
  <c r="H617" i="39"/>
  <c r="J617" i="39" s="1"/>
  <c r="J616" i="39"/>
  <c r="H616" i="39"/>
  <c r="J615" i="39"/>
  <c r="H615" i="39"/>
  <c r="J614" i="39"/>
  <c r="H614" i="39"/>
  <c r="H613" i="39"/>
  <c r="J613" i="39" s="1"/>
  <c r="H612" i="39"/>
  <c r="J612" i="39" s="1"/>
  <c r="H611" i="39"/>
  <c r="J611" i="39" s="1"/>
  <c r="H610" i="39"/>
  <c r="J610" i="39" s="1"/>
  <c r="H609" i="39"/>
  <c r="J609" i="39" s="1"/>
  <c r="J608" i="39"/>
  <c r="H608" i="39"/>
  <c r="H607" i="39"/>
  <c r="J607" i="39" s="1"/>
  <c r="J606" i="39"/>
  <c r="H606" i="39"/>
  <c r="I605" i="39"/>
  <c r="H605" i="39"/>
  <c r="J605" i="39" s="1"/>
  <c r="H604" i="39"/>
  <c r="J604" i="39" s="1"/>
  <c r="H603" i="39"/>
  <c r="J603" i="39" s="1"/>
  <c r="H601" i="39"/>
  <c r="J601" i="39" s="1"/>
  <c r="K601" i="39" s="1"/>
  <c r="H600" i="39"/>
  <c r="J600" i="39" s="1"/>
  <c r="K600" i="39" s="1"/>
  <c r="H599" i="39"/>
  <c r="J599" i="39" s="1"/>
  <c r="H598" i="39"/>
  <c r="J598" i="39" s="1"/>
  <c r="H597" i="39"/>
  <c r="J597" i="39" s="1"/>
  <c r="H596" i="39"/>
  <c r="J596" i="39" s="1"/>
  <c r="H595" i="39"/>
  <c r="J595" i="39" s="1"/>
  <c r="H593" i="39"/>
  <c r="J593" i="39" s="1"/>
  <c r="J592" i="39"/>
  <c r="H592" i="39"/>
  <c r="H591" i="39"/>
  <c r="J591" i="39" s="1"/>
  <c r="H590" i="39"/>
  <c r="J590" i="39" s="1"/>
  <c r="H589" i="39"/>
  <c r="J589" i="39" s="1"/>
  <c r="H588" i="39"/>
  <c r="J588" i="39" s="1"/>
  <c r="H587" i="39"/>
  <c r="J587" i="39" s="1"/>
  <c r="H586" i="39"/>
  <c r="J586" i="39" s="1"/>
  <c r="H585" i="39"/>
  <c r="J585" i="39" s="1"/>
  <c r="J584" i="39"/>
  <c r="H584" i="39"/>
  <c r="H583" i="39"/>
  <c r="J583" i="39" s="1"/>
  <c r="H582" i="39"/>
  <c r="J582" i="39" s="1"/>
  <c r="H581" i="39"/>
  <c r="J581" i="39" s="1"/>
  <c r="H580" i="39"/>
  <c r="J580" i="39" s="1"/>
  <c r="H579" i="39"/>
  <c r="J579" i="39" s="1"/>
  <c r="H578" i="39"/>
  <c r="J578" i="39" s="1"/>
  <c r="H577" i="39"/>
  <c r="J577" i="39" s="1"/>
  <c r="J576" i="39"/>
  <c r="H576" i="39"/>
  <c r="H575" i="39"/>
  <c r="J575" i="39" s="1"/>
  <c r="H574" i="39"/>
  <c r="J574" i="39" s="1"/>
  <c r="H573" i="39"/>
  <c r="H572" i="39"/>
  <c r="J572" i="39" s="1"/>
  <c r="H571" i="39"/>
  <c r="J571" i="39" s="1"/>
  <c r="H570" i="39"/>
  <c r="J570" i="39" s="1"/>
  <c r="H569" i="39"/>
  <c r="J569" i="39" s="1"/>
  <c r="J568" i="39"/>
  <c r="H568" i="39"/>
  <c r="J566" i="39"/>
  <c r="H566" i="39"/>
  <c r="J565" i="39"/>
  <c r="I565" i="39"/>
  <c r="H565" i="39"/>
  <c r="H564" i="39"/>
  <c r="J564" i="39" s="1"/>
  <c r="I563" i="39"/>
  <c r="H563" i="39"/>
  <c r="J562" i="39"/>
  <c r="H561" i="39"/>
  <c r="J561" i="39" s="1"/>
  <c r="H560" i="39"/>
  <c r="J560" i="39" s="1"/>
  <c r="H559" i="39"/>
  <c r="J559" i="39" s="1"/>
  <c r="J558" i="39"/>
  <c r="H556" i="39"/>
  <c r="J556" i="39" s="1"/>
  <c r="K557" i="39" s="1"/>
  <c r="H555" i="39"/>
  <c r="H554" i="39"/>
  <c r="J554" i="39" s="1"/>
  <c r="J553" i="39"/>
  <c r="H553" i="39"/>
  <c r="H552" i="39"/>
  <c r="J552" i="39" s="1"/>
  <c r="H551" i="39"/>
  <c r="J551" i="39" s="1"/>
  <c r="I550" i="39"/>
  <c r="H550" i="39"/>
  <c r="J549" i="39"/>
  <c r="H549" i="39"/>
  <c r="H548" i="39"/>
  <c r="J548" i="39" s="1"/>
  <c r="H547" i="39"/>
  <c r="J547" i="39" s="1"/>
  <c r="H546" i="39"/>
  <c r="J546" i="39" s="1"/>
  <c r="I545" i="39"/>
  <c r="H545" i="39"/>
  <c r="I543" i="39"/>
  <c r="H543" i="39"/>
  <c r="I542" i="39"/>
  <c r="H542" i="39"/>
  <c r="J542" i="39" s="1"/>
  <c r="H541" i="39"/>
  <c r="J541" i="39" s="1"/>
  <c r="J540" i="39"/>
  <c r="H540" i="39"/>
  <c r="H539" i="39"/>
  <c r="J539" i="39" s="1"/>
  <c r="I538" i="39"/>
  <c r="H538" i="39"/>
  <c r="H537" i="39"/>
  <c r="J537" i="39" s="1"/>
  <c r="H536" i="39"/>
  <c r="J536" i="39" s="1"/>
  <c r="H535" i="39"/>
  <c r="J535" i="39" s="1"/>
  <c r="H534" i="39"/>
  <c r="J534" i="39" s="1"/>
  <c r="J533" i="39"/>
  <c r="H533" i="39"/>
  <c r="H532" i="39"/>
  <c r="J532" i="39" s="1"/>
  <c r="H531" i="39"/>
  <c r="J531" i="39" s="1"/>
  <c r="H530" i="39"/>
  <c r="J530" i="39" s="1"/>
  <c r="J529" i="39"/>
  <c r="H529" i="39"/>
  <c r="I528" i="39"/>
  <c r="H528" i="39"/>
  <c r="J527" i="39"/>
  <c r="H527" i="39"/>
  <c r="H526" i="39"/>
  <c r="J526" i="39" s="1"/>
  <c r="J525" i="39"/>
  <c r="H525" i="39"/>
  <c r="H524" i="39"/>
  <c r="J524" i="39" s="1"/>
  <c r="J523" i="39"/>
  <c r="H523" i="39"/>
  <c r="H521" i="39"/>
  <c r="J521" i="39" s="1"/>
  <c r="H520" i="39"/>
  <c r="J520" i="39" s="1"/>
  <c r="J519" i="39"/>
  <c r="I519" i="39"/>
  <c r="H519" i="39"/>
  <c r="H518" i="39"/>
  <c r="J518" i="39" s="1"/>
  <c r="J517" i="39"/>
  <c r="H517" i="39"/>
  <c r="H516" i="39"/>
  <c r="J516" i="39" s="1"/>
  <c r="H514" i="39"/>
  <c r="J514" i="39" s="1"/>
  <c r="H513" i="39"/>
  <c r="J513" i="39" s="1"/>
  <c r="H512" i="39"/>
  <c r="J512" i="39" s="1"/>
  <c r="H511" i="39"/>
  <c r="J511" i="39" s="1"/>
  <c r="H510" i="39"/>
  <c r="J510" i="39" s="1"/>
  <c r="H509" i="39"/>
  <c r="J509" i="39" s="1"/>
  <c r="H508" i="39"/>
  <c r="J508" i="39" s="1"/>
  <c r="J507" i="39"/>
  <c r="H507" i="39"/>
  <c r="H506" i="39"/>
  <c r="J506" i="39" s="1"/>
  <c r="H505" i="39"/>
  <c r="J505" i="39" s="1"/>
  <c r="H504" i="39"/>
  <c r="H503" i="39"/>
  <c r="J503" i="39" s="1"/>
  <c r="H502" i="39"/>
  <c r="J502" i="39" s="1"/>
  <c r="H501" i="39"/>
  <c r="J501" i="39" s="1"/>
  <c r="H500" i="39"/>
  <c r="J500" i="39" s="1"/>
  <c r="J499" i="39"/>
  <c r="H499" i="39"/>
  <c r="I498" i="39"/>
  <c r="H498" i="39"/>
  <c r="J497" i="39"/>
  <c r="H497" i="39"/>
  <c r="J496" i="39"/>
  <c r="H496" i="39"/>
  <c r="J495" i="39"/>
  <c r="H495" i="39"/>
  <c r="J494" i="39"/>
  <c r="H494" i="39"/>
  <c r="J493" i="39"/>
  <c r="H493" i="39"/>
  <c r="J492" i="39"/>
  <c r="H492" i="39"/>
  <c r="J491" i="39"/>
  <c r="H491" i="39"/>
  <c r="J490" i="39"/>
  <c r="H490" i="39"/>
  <c r="J489" i="39"/>
  <c r="H489" i="39"/>
  <c r="J488" i="39"/>
  <c r="H488" i="39"/>
  <c r="J487" i="39"/>
  <c r="H487" i="39"/>
  <c r="J486" i="39"/>
  <c r="H486" i="39"/>
  <c r="J485" i="39"/>
  <c r="H485" i="39"/>
  <c r="H484" i="39"/>
  <c r="H483" i="39"/>
  <c r="J483" i="39" s="1"/>
  <c r="H482" i="39"/>
  <c r="J482" i="39" s="1"/>
  <c r="K484" i="39" s="1"/>
  <c r="H481" i="39"/>
  <c r="J481" i="39" s="1"/>
  <c r="H480" i="39"/>
  <c r="H479" i="39"/>
  <c r="J479" i="39" s="1"/>
  <c r="H478" i="39"/>
  <c r="J478" i="39" s="1"/>
  <c r="H477" i="39"/>
  <c r="J477" i="39" s="1"/>
  <c r="H476" i="39"/>
  <c r="J476" i="39" s="1"/>
  <c r="H475" i="39"/>
  <c r="J475" i="39" s="1"/>
  <c r="H474" i="39"/>
  <c r="J474" i="39" s="1"/>
  <c r="J473" i="39"/>
  <c r="H473" i="39"/>
  <c r="J472" i="39"/>
  <c r="H472" i="39"/>
  <c r="J471" i="39"/>
  <c r="H471" i="39"/>
  <c r="J470" i="39"/>
  <c r="H470" i="39"/>
  <c r="H469" i="39"/>
  <c r="J469" i="39" s="1"/>
  <c r="H468" i="39"/>
  <c r="J468" i="39" s="1"/>
  <c r="H467" i="39"/>
  <c r="J467" i="39" s="1"/>
  <c r="J466" i="39"/>
  <c r="H466" i="39"/>
  <c r="J465" i="39"/>
  <c r="H465" i="39"/>
  <c r="H464" i="39"/>
  <c r="J464" i="39" s="1"/>
  <c r="H463" i="39"/>
  <c r="J463" i="39" s="1"/>
  <c r="H462" i="39"/>
  <c r="J462" i="39" s="1"/>
  <c r="J461" i="39"/>
  <c r="H461" i="39"/>
  <c r="H460" i="39"/>
  <c r="J460" i="39" s="1"/>
  <c r="H459" i="39"/>
  <c r="J459" i="39" s="1"/>
  <c r="H458" i="39"/>
  <c r="J458" i="39" s="1"/>
  <c r="H457" i="39"/>
  <c r="J457" i="39" s="1"/>
  <c r="H456" i="39"/>
  <c r="J456" i="39" s="1"/>
  <c r="H455" i="39"/>
  <c r="J455" i="39" s="1"/>
  <c r="H454" i="39"/>
  <c r="J454" i="39" s="1"/>
  <c r="H453" i="39"/>
  <c r="J453" i="39" s="1"/>
  <c r="J452" i="39"/>
  <c r="H452" i="39"/>
  <c r="H451" i="39"/>
  <c r="J451" i="39" s="1"/>
  <c r="H450" i="39"/>
  <c r="J450" i="39" s="1"/>
  <c r="H449" i="39"/>
  <c r="J449" i="39" s="1"/>
  <c r="H448" i="39"/>
  <c r="J448" i="39" s="1"/>
  <c r="H447" i="39"/>
  <c r="J447" i="39" s="1"/>
  <c r="H446" i="39"/>
  <c r="J446" i="39" s="1"/>
  <c r="H445" i="39"/>
  <c r="J445" i="39" s="1"/>
  <c r="H444" i="39"/>
  <c r="J444" i="39" s="1"/>
  <c r="H443" i="39"/>
  <c r="J443" i="39" s="1"/>
  <c r="H442" i="39"/>
  <c r="J442" i="39" s="1"/>
  <c r="H441" i="39"/>
  <c r="J441" i="39" s="1"/>
  <c r="H440" i="39"/>
  <c r="J440" i="39" s="1"/>
  <c r="H439" i="39"/>
  <c r="J439" i="39" s="1"/>
  <c r="H438" i="39"/>
  <c r="J438" i="39" s="1"/>
  <c r="H437" i="39"/>
  <c r="J437" i="39" s="1"/>
  <c r="H436" i="39"/>
  <c r="J436" i="39" s="1"/>
  <c r="H435" i="39"/>
  <c r="J435" i="39" s="1"/>
  <c r="H434" i="39"/>
  <c r="J434" i="39" s="1"/>
  <c r="H433" i="39"/>
  <c r="J433" i="39" s="1"/>
  <c r="H432" i="39"/>
  <c r="J432" i="39" s="1"/>
  <c r="H431" i="39"/>
  <c r="J431" i="39" s="1"/>
  <c r="H430" i="39"/>
  <c r="J430" i="39" s="1"/>
  <c r="H429" i="39"/>
  <c r="J429" i="39" s="1"/>
  <c r="H428" i="39"/>
  <c r="J428" i="39" s="1"/>
  <c r="H427" i="39"/>
  <c r="J427" i="39" s="1"/>
  <c r="H426" i="39"/>
  <c r="J426" i="39" s="1"/>
  <c r="H425" i="39"/>
  <c r="J424" i="39"/>
  <c r="H424" i="39"/>
  <c r="J423" i="39"/>
  <c r="H423" i="39"/>
  <c r="J422" i="39"/>
  <c r="H422" i="39"/>
  <c r="J421" i="39"/>
  <c r="H421" i="39"/>
  <c r="J420" i="39"/>
  <c r="H420" i="39"/>
  <c r="J419" i="39"/>
  <c r="H419" i="39"/>
  <c r="J418" i="39"/>
  <c r="H418" i="39"/>
  <c r="J417" i="39"/>
  <c r="H417" i="39"/>
  <c r="J416" i="39"/>
  <c r="H416" i="39"/>
  <c r="J415" i="39"/>
  <c r="H415" i="39"/>
  <c r="J414" i="39"/>
  <c r="H414" i="39"/>
  <c r="J413" i="39"/>
  <c r="H413" i="39"/>
  <c r="J412" i="39"/>
  <c r="H412" i="39"/>
  <c r="J411" i="39"/>
  <c r="H411" i="39"/>
  <c r="J410" i="39"/>
  <c r="H410" i="39"/>
  <c r="J409" i="39"/>
  <c r="H409" i="39"/>
  <c r="J408" i="39"/>
  <c r="H408" i="39"/>
  <c r="J407" i="39"/>
  <c r="H407" i="39"/>
  <c r="J406" i="39"/>
  <c r="H406" i="39"/>
  <c r="J405" i="39"/>
  <c r="H405" i="39"/>
  <c r="J404" i="39"/>
  <c r="H404" i="39"/>
  <c r="J403" i="39"/>
  <c r="H403" i="39"/>
  <c r="J402" i="39"/>
  <c r="H402" i="39"/>
  <c r="J401" i="39"/>
  <c r="H401" i="39"/>
  <c r="J400" i="39"/>
  <c r="H400" i="39"/>
  <c r="J399" i="39"/>
  <c r="H399" i="39"/>
  <c r="J398" i="39"/>
  <c r="H398" i="39"/>
  <c r="J397" i="39"/>
  <c r="H397" i="39"/>
  <c r="J396" i="39"/>
  <c r="H396" i="39"/>
  <c r="J395" i="39"/>
  <c r="H395" i="39"/>
  <c r="J394" i="39"/>
  <c r="H394" i="39"/>
  <c r="J393" i="39"/>
  <c r="H393" i="39"/>
  <c r="J392" i="39"/>
  <c r="H392" i="39"/>
  <c r="J391" i="39"/>
  <c r="H391" i="39"/>
  <c r="J390" i="39"/>
  <c r="H390" i="39"/>
  <c r="J389" i="39"/>
  <c r="H389" i="39"/>
  <c r="J388" i="39"/>
  <c r="H388" i="39"/>
  <c r="J387" i="39"/>
  <c r="H387" i="39"/>
  <c r="J386" i="39"/>
  <c r="H386" i="39"/>
  <c r="J385" i="39"/>
  <c r="H385" i="39"/>
  <c r="J384" i="39"/>
  <c r="H384" i="39"/>
  <c r="J383" i="39"/>
  <c r="H383" i="39"/>
  <c r="J382" i="39"/>
  <c r="H382" i="39"/>
  <c r="J381" i="39"/>
  <c r="H381" i="39"/>
  <c r="J380" i="39"/>
  <c r="H380" i="39"/>
  <c r="J379" i="39"/>
  <c r="H379" i="39"/>
  <c r="J378" i="39"/>
  <c r="H378" i="39"/>
  <c r="J377" i="39"/>
  <c r="H377" i="39"/>
  <c r="J376" i="39"/>
  <c r="H376" i="39"/>
  <c r="J375" i="39"/>
  <c r="H375" i="39"/>
  <c r="J374" i="39"/>
  <c r="H374" i="39"/>
  <c r="J373" i="39"/>
  <c r="H373" i="39"/>
  <c r="J372" i="39"/>
  <c r="H372" i="39"/>
  <c r="H371" i="39"/>
  <c r="J371" i="39" s="1"/>
  <c r="J370" i="39"/>
  <c r="H370" i="39"/>
  <c r="H369" i="39"/>
  <c r="J369" i="39" s="1"/>
  <c r="J368" i="39"/>
  <c r="H368" i="39"/>
  <c r="H367" i="39"/>
  <c r="H366" i="39"/>
  <c r="J366" i="39" s="1"/>
  <c r="H365" i="39"/>
  <c r="J365" i="39" s="1"/>
  <c r="H364" i="39"/>
  <c r="J364" i="39" s="1"/>
  <c r="H363" i="39"/>
  <c r="J363" i="39" s="1"/>
  <c r="H361" i="39"/>
  <c r="J361" i="39" s="1"/>
  <c r="J360" i="39"/>
  <c r="H360" i="39"/>
  <c r="H359" i="39"/>
  <c r="J359" i="39" s="1"/>
  <c r="J358" i="39"/>
  <c r="H358" i="39"/>
  <c r="H357" i="39"/>
  <c r="J357" i="39" s="1"/>
  <c r="J356" i="39"/>
  <c r="H356" i="39"/>
  <c r="H355" i="39"/>
  <c r="J355" i="39" s="1"/>
  <c r="J354" i="39"/>
  <c r="H354" i="39"/>
  <c r="H353" i="39"/>
  <c r="J353" i="39" s="1"/>
  <c r="J352" i="39"/>
  <c r="H352" i="39"/>
  <c r="H351" i="39"/>
  <c r="J351" i="39" s="1"/>
  <c r="J350" i="39"/>
  <c r="H350" i="39"/>
  <c r="H349" i="39"/>
  <c r="J349" i="39" s="1"/>
  <c r="J348" i="39"/>
  <c r="H348" i="39"/>
  <c r="H347" i="39"/>
  <c r="J347" i="39" s="1"/>
  <c r="J346" i="39"/>
  <c r="H346" i="39"/>
  <c r="H345" i="39"/>
  <c r="J345" i="39" s="1"/>
  <c r="J344" i="39"/>
  <c r="H344" i="39"/>
  <c r="I343" i="39"/>
  <c r="H343" i="39"/>
  <c r="J343" i="39" s="1"/>
  <c r="I342" i="39"/>
  <c r="J342" i="39" s="1"/>
  <c r="H342" i="39"/>
  <c r="J341" i="39"/>
  <c r="H341" i="39"/>
  <c r="J340" i="39"/>
  <c r="H340" i="39"/>
  <c r="J339" i="39"/>
  <c r="H339" i="39"/>
  <c r="J338" i="39"/>
  <c r="H338" i="39"/>
  <c r="J337" i="39"/>
  <c r="H337" i="39"/>
  <c r="J336" i="39"/>
  <c r="H336" i="39"/>
  <c r="J335" i="39"/>
  <c r="H335" i="39"/>
  <c r="J334" i="39"/>
  <c r="H334" i="39"/>
  <c r="J333" i="39"/>
  <c r="H333" i="39"/>
  <c r="J332" i="39"/>
  <c r="H332" i="39"/>
  <c r="J331" i="39"/>
  <c r="H331" i="39"/>
  <c r="I330" i="39"/>
  <c r="H330" i="39"/>
  <c r="J330" i="39" s="1"/>
  <c r="I329" i="39"/>
  <c r="J329" i="39" s="1"/>
  <c r="H329" i="39"/>
  <c r="H328" i="39"/>
  <c r="J328" i="39" s="1"/>
  <c r="J327" i="39"/>
  <c r="H327" i="39"/>
  <c r="H326" i="39"/>
  <c r="J326" i="39" s="1"/>
  <c r="J325" i="39"/>
  <c r="H325" i="39"/>
  <c r="I324" i="39"/>
  <c r="H324" i="39"/>
  <c r="J324" i="39" s="1"/>
  <c r="I323" i="39"/>
  <c r="H323" i="39"/>
  <c r="I322" i="39"/>
  <c r="H322" i="39"/>
  <c r="I321" i="39"/>
  <c r="J321" i="39" s="1"/>
  <c r="H321" i="39"/>
  <c r="I320" i="39"/>
  <c r="H320" i="39"/>
  <c r="I319" i="39"/>
  <c r="H319" i="39"/>
  <c r="J318" i="39"/>
  <c r="I318" i="39"/>
  <c r="H318" i="39"/>
  <c r="I317" i="39"/>
  <c r="H317" i="39"/>
  <c r="J316" i="39"/>
  <c r="I316" i="39"/>
  <c r="H316" i="39"/>
  <c r="I315" i="39"/>
  <c r="H315" i="39"/>
  <c r="J314" i="39"/>
  <c r="H314" i="39"/>
  <c r="J313" i="39"/>
  <c r="H313" i="39"/>
  <c r="J312" i="39"/>
  <c r="H312" i="39"/>
  <c r="J311" i="39"/>
  <c r="H311" i="39"/>
  <c r="J310" i="39"/>
  <c r="H310" i="39"/>
  <c r="J309" i="39"/>
  <c r="H309" i="39"/>
  <c r="J308" i="39"/>
  <c r="H308" i="39"/>
  <c r="J307" i="39"/>
  <c r="H307" i="39"/>
  <c r="I306" i="39"/>
  <c r="H306" i="39"/>
  <c r="I305" i="39"/>
  <c r="J305" i="39" s="1"/>
  <c r="H305" i="39"/>
  <c r="I304" i="39"/>
  <c r="H304" i="39"/>
  <c r="H303" i="39"/>
  <c r="J303" i="39" s="1"/>
  <c r="H302" i="39"/>
  <c r="J302" i="39" s="1"/>
  <c r="H301" i="39"/>
  <c r="J301" i="39" s="1"/>
  <c r="H300" i="39"/>
  <c r="J300" i="39" s="1"/>
  <c r="H299" i="39"/>
  <c r="J299" i="39" s="1"/>
  <c r="H298" i="39"/>
  <c r="J298" i="39" s="1"/>
  <c r="H297" i="39"/>
  <c r="J297" i="39" s="1"/>
  <c r="H296" i="39"/>
  <c r="J296" i="39" s="1"/>
  <c r="H295" i="39"/>
  <c r="J295" i="39" s="1"/>
  <c r="H294" i="39"/>
  <c r="J294" i="39" s="1"/>
  <c r="H293" i="39"/>
  <c r="J293" i="39" s="1"/>
  <c r="H292" i="39"/>
  <c r="J292" i="39" s="1"/>
  <c r="H291" i="39"/>
  <c r="J291" i="39" s="1"/>
  <c r="H290" i="39"/>
  <c r="J290" i="39" s="1"/>
  <c r="H289" i="39"/>
  <c r="J289" i="39" s="1"/>
  <c r="H288" i="39"/>
  <c r="J288" i="39" s="1"/>
  <c r="H287" i="39"/>
  <c r="J287" i="39" s="1"/>
  <c r="H286" i="39"/>
  <c r="J286" i="39" s="1"/>
  <c r="H285" i="39"/>
  <c r="J285" i="39" s="1"/>
  <c r="H284" i="39"/>
  <c r="J284" i="39" s="1"/>
  <c r="H283" i="39"/>
  <c r="J283" i="39" s="1"/>
  <c r="H282" i="39"/>
  <c r="J282" i="39" s="1"/>
  <c r="H281" i="39"/>
  <c r="J281" i="39" s="1"/>
  <c r="H280" i="39"/>
  <c r="J280" i="39" s="1"/>
  <c r="H279" i="39"/>
  <c r="J279" i="39" s="1"/>
  <c r="H278" i="39"/>
  <c r="J278" i="39" s="1"/>
  <c r="H277" i="39"/>
  <c r="J277" i="39" s="1"/>
  <c r="H276" i="39"/>
  <c r="J276" i="39" s="1"/>
  <c r="H275" i="39"/>
  <c r="J275" i="39" s="1"/>
  <c r="H274" i="39"/>
  <c r="J274" i="39" s="1"/>
  <c r="H273" i="39"/>
  <c r="J273" i="39" s="1"/>
  <c r="H272" i="39"/>
  <c r="J272" i="39" s="1"/>
  <c r="H271" i="39"/>
  <c r="J271" i="39" s="1"/>
  <c r="H270" i="39"/>
  <c r="J270" i="39" s="1"/>
  <c r="H269" i="39"/>
  <c r="J269" i="39" s="1"/>
  <c r="H268" i="39"/>
  <c r="J268" i="39" s="1"/>
  <c r="H267" i="39"/>
  <c r="J267" i="39" s="1"/>
  <c r="H266" i="39"/>
  <c r="J266" i="39" s="1"/>
  <c r="H265" i="39"/>
  <c r="J265" i="39" s="1"/>
  <c r="H264" i="39"/>
  <c r="J264" i="39" s="1"/>
  <c r="H263" i="39"/>
  <c r="J263" i="39" s="1"/>
  <c r="H262" i="39"/>
  <c r="J262" i="39" s="1"/>
  <c r="H261" i="39"/>
  <c r="J261" i="39" s="1"/>
  <c r="H260" i="39"/>
  <c r="J260" i="39" s="1"/>
  <c r="H259" i="39"/>
  <c r="J259" i="39" s="1"/>
  <c r="H258" i="39"/>
  <c r="J258" i="39" s="1"/>
  <c r="H257" i="39"/>
  <c r="J257" i="39" s="1"/>
  <c r="H256" i="39"/>
  <c r="J256" i="39" s="1"/>
  <c r="H255" i="39"/>
  <c r="J255" i="39" s="1"/>
  <c r="H254" i="39"/>
  <c r="J254" i="39" s="1"/>
  <c r="H253" i="39"/>
  <c r="J253" i="39" s="1"/>
  <c r="H252" i="39"/>
  <c r="J252" i="39" s="1"/>
  <c r="H251" i="39"/>
  <c r="J251" i="39" s="1"/>
  <c r="J250" i="39"/>
  <c r="H250" i="39"/>
  <c r="H249" i="39"/>
  <c r="J249" i="39" s="1"/>
  <c r="H248" i="39"/>
  <c r="J248" i="39" s="1"/>
  <c r="H247" i="39"/>
  <c r="J247" i="39" s="1"/>
  <c r="H246" i="39"/>
  <c r="J246" i="39" s="1"/>
  <c r="H245" i="39"/>
  <c r="J245" i="39" s="1"/>
  <c r="H244" i="39"/>
  <c r="J244" i="39" s="1"/>
  <c r="H243" i="39"/>
  <c r="J243" i="39" s="1"/>
  <c r="J242" i="39"/>
  <c r="H242" i="39"/>
  <c r="H241" i="39"/>
  <c r="J241" i="39" s="1"/>
  <c r="H240" i="39"/>
  <c r="J240" i="39" s="1"/>
  <c r="H239" i="39"/>
  <c r="J239" i="39" s="1"/>
  <c r="H238" i="39"/>
  <c r="J238" i="39" s="1"/>
  <c r="H237" i="39"/>
  <c r="J237" i="39" s="1"/>
  <c r="H236" i="39"/>
  <c r="J236" i="39" s="1"/>
  <c r="H235" i="39"/>
  <c r="J235" i="39" s="1"/>
  <c r="H234" i="39"/>
  <c r="J234" i="39" s="1"/>
  <c r="H233" i="39"/>
  <c r="J233" i="39" s="1"/>
  <c r="H232" i="39"/>
  <c r="J232" i="39" s="1"/>
  <c r="H231" i="39"/>
  <c r="J231" i="39" s="1"/>
  <c r="H230" i="39"/>
  <c r="J230" i="39" s="1"/>
  <c r="H229" i="39"/>
  <c r="J229" i="39" s="1"/>
  <c r="H228" i="39"/>
  <c r="J228" i="39" s="1"/>
  <c r="H227" i="39"/>
  <c r="J227" i="39" s="1"/>
  <c r="J226" i="39"/>
  <c r="H226" i="39"/>
  <c r="H225" i="39"/>
  <c r="J225" i="39" s="1"/>
  <c r="H224" i="39"/>
  <c r="J224" i="39" s="1"/>
  <c r="H223" i="39"/>
  <c r="J223" i="39" s="1"/>
  <c r="H222" i="39"/>
  <c r="J222" i="39" s="1"/>
  <c r="H221" i="39"/>
  <c r="J221" i="39" s="1"/>
  <c r="H220" i="39"/>
  <c r="J220" i="39" s="1"/>
  <c r="H219" i="39"/>
  <c r="J219" i="39" s="1"/>
  <c r="J218" i="39"/>
  <c r="H218" i="39"/>
  <c r="H217" i="39"/>
  <c r="J217" i="39" s="1"/>
  <c r="H216" i="39"/>
  <c r="J216" i="39" s="1"/>
  <c r="H215" i="39"/>
  <c r="J215" i="39" s="1"/>
  <c r="H214" i="39"/>
  <c r="J214" i="39" s="1"/>
  <c r="H213" i="39"/>
  <c r="J213" i="39" s="1"/>
  <c r="H212" i="39"/>
  <c r="J212" i="39" s="1"/>
  <c r="H211" i="39"/>
  <c r="J211" i="39" s="1"/>
  <c r="J210" i="39"/>
  <c r="H210" i="39"/>
  <c r="H209" i="39"/>
  <c r="J209" i="39" s="1"/>
  <c r="H208" i="39"/>
  <c r="J208" i="39" s="1"/>
  <c r="H207" i="39"/>
  <c r="J207" i="39" s="1"/>
  <c r="H206" i="39"/>
  <c r="J206" i="39" s="1"/>
  <c r="H205" i="39"/>
  <c r="J205" i="39" s="1"/>
  <c r="H204" i="39"/>
  <c r="J204" i="39" s="1"/>
  <c r="H203" i="39"/>
  <c r="J203" i="39" s="1"/>
  <c r="H202" i="39"/>
  <c r="J202" i="39" s="1"/>
  <c r="H201" i="39"/>
  <c r="J201" i="39" s="1"/>
  <c r="H200" i="39"/>
  <c r="J200" i="39" s="1"/>
  <c r="H199" i="39"/>
  <c r="J199" i="39" s="1"/>
  <c r="H198" i="39"/>
  <c r="J198" i="39" s="1"/>
  <c r="H197" i="39"/>
  <c r="J197" i="39" s="1"/>
  <c r="H196" i="39"/>
  <c r="J196" i="39" s="1"/>
  <c r="H195" i="39"/>
  <c r="J195" i="39" s="1"/>
  <c r="J194" i="39"/>
  <c r="H194" i="39"/>
  <c r="H193" i="39"/>
  <c r="J193" i="39" s="1"/>
  <c r="H192" i="39"/>
  <c r="J192" i="39" s="1"/>
  <c r="H191" i="39"/>
  <c r="J191" i="39" s="1"/>
  <c r="H190" i="39"/>
  <c r="J190" i="39" s="1"/>
  <c r="H189" i="39"/>
  <c r="J189" i="39" s="1"/>
  <c r="H188" i="39"/>
  <c r="J188" i="39" s="1"/>
  <c r="H187" i="39"/>
  <c r="J187" i="39" s="1"/>
  <c r="J186" i="39"/>
  <c r="H186" i="39"/>
  <c r="H185" i="39"/>
  <c r="J185" i="39" s="1"/>
  <c r="H184" i="39"/>
  <c r="J184" i="39" s="1"/>
  <c r="H183" i="39"/>
  <c r="J183" i="39" s="1"/>
  <c r="H182" i="39"/>
  <c r="J182" i="39" s="1"/>
  <c r="H181" i="39"/>
  <c r="J181" i="39" s="1"/>
  <c r="H180" i="39"/>
  <c r="J180" i="39" s="1"/>
  <c r="H179" i="39"/>
  <c r="J179" i="39" s="1"/>
  <c r="J178" i="39"/>
  <c r="H178" i="39"/>
  <c r="H177" i="39"/>
  <c r="J177" i="39" s="1"/>
  <c r="H176" i="39"/>
  <c r="J176" i="39" s="1"/>
  <c r="H175" i="39"/>
  <c r="J175" i="39" s="1"/>
  <c r="H174" i="39"/>
  <c r="J174" i="39" s="1"/>
  <c r="H173" i="39"/>
  <c r="J173" i="39" s="1"/>
  <c r="H172" i="39"/>
  <c r="J172" i="39" s="1"/>
  <c r="H171" i="39"/>
  <c r="J171" i="39" s="1"/>
  <c r="H170" i="39"/>
  <c r="J170" i="39" s="1"/>
  <c r="H169" i="39"/>
  <c r="J169" i="39" s="1"/>
  <c r="H168" i="39"/>
  <c r="J168" i="39" s="1"/>
  <c r="H167" i="39"/>
  <c r="J167" i="39" s="1"/>
  <c r="H166" i="39"/>
  <c r="J166" i="39" s="1"/>
  <c r="H165" i="39"/>
  <c r="J165" i="39" s="1"/>
  <c r="H164" i="39"/>
  <c r="J164" i="39" s="1"/>
  <c r="H163" i="39"/>
  <c r="J163" i="39" s="1"/>
  <c r="J162" i="39"/>
  <c r="H162" i="39"/>
  <c r="H161" i="39"/>
  <c r="J161" i="39" s="1"/>
  <c r="H160" i="39"/>
  <c r="J160" i="39" s="1"/>
  <c r="H159" i="39"/>
  <c r="J159" i="39" s="1"/>
  <c r="H158" i="39"/>
  <c r="J158" i="39" s="1"/>
  <c r="H157" i="39"/>
  <c r="J157" i="39" s="1"/>
  <c r="H156" i="39"/>
  <c r="J156" i="39" s="1"/>
  <c r="H155" i="39"/>
  <c r="J155" i="39" s="1"/>
  <c r="H154" i="39"/>
  <c r="J154" i="39" s="1"/>
  <c r="H153" i="39"/>
  <c r="J153" i="39" s="1"/>
  <c r="H152" i="39"/>
  <c r="J152" i="39" s="1"/>
  <c r="H151" i="39"/>
  <c r="J151" i="39" s="1"/>
  <c r="I150" i="39"/>
  <c r="J150" i="39" s="1"/>
  <c r="H150" i="39"/>
  <c r="H149" i="39"/>
  <c r="J149" i="39" s="1"/>
  <c r="H148" i="39"/>
  <c r="J148" i="39" s="1"/>
  <c r="H147" i="39"/>
  <c r="J147" i="39" s="1"/>
  <c r="J146" i="39"/>
  <c r="H146" i="39"/>
  <c r="H145" i="39"/>
  <c r="J145" i="39" s="1"/>
  <c r="H144" i="39"/>
  <c r="J144" i="39" s="1"/>
  <c r="H143" i="39"/>
  <c r="J143" i="39" s="1"/>
  <c r="J142" i="39"/>
  <c r="H142" i="39"/>
  <c r="H141" i="39"/>
  <c r="J141" i="39" s="1"/>
  <c r="H140" i="39"/>
  <c r="J140" i="39" s="1"/>
  <c r="H139" i="39"/>
  <c r="J139" i="39" s="1"/>
  <c r="J138" i="39"/>
  <c r="H138" i="39"/>
  <c r="H137" i="39"/>
  <c r="J137" i="39" s="1"/>
  <c r="H136" i="39"/>
  <c r="J136" i="39" s="1"/>
  <c r="H135" i="39"/>
  <c r="J135" i="39" s="1"/>
  <c r="J134" i="39"/>
  <c r="H134" i="39"/>
  <c r="H133" i="39"/>
  <c r="J133" i="39" s="1"/>
  <c r="H132" i="39"/>
  <c r="J132" i="39" s="1"/>
  <c r="H131" i="39"/>
  <c r="J131" i="39" s="1"/>
  <c r="J130" i="39"/>
  <c r="H130" i="39"/>
  <c r="H129" i="39"/>
  <c r="J129" i="39" s="1"/>
  <c r="H128" i="39"/>
  <c r="J128" i="39" s="1"/>
  <c r="H127" i="39"/>
  <c r="J127" i="39" s="1"/>
  <c r="J126" i="39"/>
  <c r="H126" i="39"/>
  <c r="H125" i="39"/>
  <c r="J125" i="39" s="1"/>
  <c r="H123" i="39"/>
  <c r="J123" i="39" s="1"/>
  <c r="H122" i="39"/>
  <c r="J122" i="39" s="1"/>
  <c r="H121" i="39"/>
  <c r="J121" i="39" s="1"/>
  <c r="J120" i="39"/>
  <c r="H120" i="39"/>
  <c r="H119" i="39"/>
  <c r="J119" i="39" s="1"/>
  <c r="H118" i="39"/>
  <c r="J118" i="39" s="1"/>
  <c r="H117" i="39"/>
  <c r="J117" i="39" s="1"/>
  <c r="H116" i="39"/>
  <c r="J116" i="39" s="1"/>
  <c r="H115" i="39"/>
  <c r="J115" i="39" s="1"/>
  <c r="H114" i="39"/>
  <c r="J114" i="39" s="1"/>
  <c r="H113" i="39"/>
  <c r="J113" i="39" s="1"/>
  <c r="H112" i="39"/>
  <c r="J112" i="39" s="1"/>
  <c r="H111" i="39"/>
  <c r="J111" i="39" s="1"/>
  <c r="H110" i="39"/>
  <c r="J110" i="39" s="1"/>
  <c r="H109" i="39"/>
  <c r="J109" i="39" s="1"/>
  <c r="H108" i="39"/>
  <c r="J108" i="39" s="1"/>
  <c r="H107" i="39"/>
  <c r="J107" i="39" s="1"/>
  <c r="H106" i="39"/>
  <c r="J106" i="39" s="1"/>
  <c r="H105" i="39"/>
  <c r="J105" i="39" s="1"/>
  <c r="J104" i="39"/>
  <c r="H104" i="39"/>
  <c r="H103" i="39"/>
  <c r="J103" i="39" s="1"/>
  <c r="H102" i="39"/>
  <c r="J102" i="39" s="1"/>
  <c r="H101" i="39"/>
  <c r="J101" i="39" s="1"/>
  <c r="H100" i="39"/>
  <c r="J100" i="39" s="1"/>
  <c r="H99" i="39"/>
  <c r="J99" i="39" s="1"/>
  <c r="H98" i="39"/>
  <c r="J98" i="39" s="1"/>
  <c r="H97" i="39"/>
  <c r="J97" i="39" s="1"/>
  <c r="H96" i="39"/>
  <c r="J96" i="39" s="1"/>
  <c r="H95" i="39"/>
  <c r="J95" i="39" s="1"/>
  <c r="H94" i="39"/>
  <c r="J94" i="39" s="1"/>
  <c r="H93" i="39"/>
  <c r="J93" i="39" s="1"/>
  <c r="H92" i="39"/>
  <c r="J92" i="39" s="1"/>
  <c r="H91" i="39"/>
  <c r="J91" i="39" s="1"/>
  <c r="H90" i="39"/>
  <c r="J90" i="39" s="1"/>
  <c r="H89" i="39"/>
  <c r="J89" i="39" s="1"/>
  <c r="J88" i="39"/>
  <c r="H88" i="39"/>
  <c r="H87" i="39"/>
  <c r="J87" i="39" s="1"/>
  <c r="H86" i="39"/>
  <c r="J86" i="39" s="1"/>
  <c r="H85" i="39"/>
  <c r="J85" i="39" s="1"/>
  <c r="H84" i="39"/>
  <c r="J84" i="39" s="1"/>
  <c r="H83" i="39"/>
  <c r="J83" i="39" s="1"/>
  <c r="H82" i="39"/>
  <c r="J82" i="39" s="1"/>
  <c r="H81" i="39"/>
  <c r="J81" i="39" s="1"/>
  <c r="H80" i="39"/>
  <c r="J80" i="39" s="1"/>
  <c r="H79" i="39"/>
  <c r="J79" i="39" s="1"/>
  <c r="H78" i="39"/>
  <c r="J78" i="39" s="1"/>
  <c r="H77" i="39"/>
  <c r="H76" i="39"/>
  <c r="J76" i="39" s="1"/>
  <c r="H75" i="39"/>
  <c r="J75" i="39" s="1"/>
  <c r="H74" i="39"/>
  <c r="J74" i="39" s="1"/>
  <c r="H73" i="39"/>
  <c r="J73" i="39" s="1"/>
  <c r="J72" i="39"/>
  <c r="H72" i="39"/>
  <c r="I71" i="39"/>
  <c r="H71" i="39"/>
  <c r="J70" i="39"/>
  <c r="H70" i="39"/>
  <c r="H69" i="39"/>
  <c r="J69" i="39" s="1"/>
  <c r="H68" i="39"/>
  <c r="H67" i="39"/>
  <c r="J67" i="39" s="1"/>
  <c r="H66" i="39"/>
  <c r="J66" i="39" s="1"/>
  <c r="H65" i="39"/>
  <c r="J65" i="39" s="1"/>
  <c r="J64" i="39"/>
  <c r="H64" i="39"/>
  <c r="H63" i="39"/>
  <c r="J63" i="39" s="1"/>
  <c r="H62" i="39"/>
  <c r="J62" i="39" s="1"/>
  <c r="H61" i="39"/>
  <c r="J61" i="39" s="1"/>
  <c r="J60" i="39"/>
  <c r="H60" i="39"/>
  <c r="H59" i="39"/>
  <c r="J59" i="39" s="1"/>
  <c r="H58" i="39"/>
  <c r="J58" i="39" s="1"/>
  <c r="H57" i="39"/>
  <c r="J57" i="39" s="1"/>
  <c r="J56" i="39"/>
  <c r="H56" i="39"/>
  <c r="H55" i="39"/>
  <c r="J55" i="39" s="1"/>
  <c r="H54" i="39"/>
  <c r="J54" i="39" s="1"/>
  <c r="H53" i="39"/>
  <c r="J53" i="39" s="1"/>
  <c r="J52" i="39"/>
  <c r="H52" i="39"/>
  <c r="H51" i="39"/>
  <c r="J51" i="39" s="1"/>
  <c r="H50" i="39"/>
  <c r="J50" i="39" s="1"/>
  <c r="H49" i="39"/>
  <c r="J49" i="39" s="1"/>
  <c r="J48" i="39"/>
  <c r="H48" i="39"/>
  <c r="H47" i="39"/>
  <c r="J47" i="39" s="1"/>
  <c r="H46" i="39"/>
  <c r="J46" i="39" s="1"/>
  <c r="H45" i="39"/>
  <c r="J45" i="39" s="1"/>
  <c r="J44" i="39"/>
  <c r="H44" i="39"/>
  <c r="H43" i="39"/>
  <c r="J43" i="39" s="1"/>
  <c r="H42" i="39"/>
  <c r="J42" i="39" s="1"/>
  <c r="H41" i="39"/>
  <c r="J41" i="39" s="1"/>
  <c r="J40" i="39"/>
  <c r="H40" i="39"/>
  <c r="H39" i="39"/>
  <c r="J39" i="39" s="1"/>
  <c r="H38" i="39"/>
  <c r="J38" i="39" s="1"/>
  <c r="H37" i="39"/>
  <c r="J37" i="39" s="1"/>
  <c r="J36" i="39"/>
  <c r="H36" i="39"/>
  <c r="H35" i="39"/>
  <c r="J35" i="39" s="1"/>
  <c r="H34" i="39"/>
  <c r="J34" i="39" s="1"/>
  <c r="H33" i="39"/>
  <c r="J33" i="39" s="1"/>
  <c r="J32" i="39"/>
  <c r="H32" i="39"/>
  <c r="H31" i="39"/>
  <c r="J31" i="39" s="1"/>
  <c r="H30" i="39"/>
  <c r="J30" i="39" s="1"/>
  <c r="H29" i="39"/>
  <c r="J29" i="39" s="1"/>
  <c r="H27" i="39"/>
  <c r="J27" i="39" s="1"/>
  <c r="H26" i="39"/>
  <c r="J26" i="39" s="1"/>
  <c r="H24" i="39"/>
  <c r="J24" i="39" s="1"/>
  <c r="H23" i="39"/>
  <c r="J23" i="39" s="1"/>
  <c r="J22" i="39"/>
  <c r="I22" i="39"/>
  <c r="H22" i="39"/>
  <c r="H21" i="39"/>
  <c r="J21" i="39" s="1"/>
  <c r="J20" i="39"/>
  <c r="H20" i="39"/>
  <c r="H19" i="39"/>
  <c r="J19" i="39" s="1"/>
  <c r="H18" i="39"/>
  <c r="J18" i="39" s="1"/>
  <c r="H17" i="39"/>
  <c r="J17" i="39" s="1"/>
  <c r="H16" i="39"/>
  <c r="H15" i="39"/>
  <c r="J15" i="39" s="1"/>
  <c r="J14" i="39"/>
  <c r="H14" i="39"/>
  <c r="H13" i="39"/>
  <c r="J13" i="39" s="1"/>
  <c r="H12" i="39"/>
  <c r="J12" i="39" s="1"/>
  <c r="H11" i="39"/>
  <c r="J11" i="39" s="1"/>
  <c r="N2" i="39"/>
  <c r="K602" i="39" l="1"/>
  <c r="K573" i="39"/>
  <c r="K783" i="39"/>
  <c r="K68" i="39"/>
  <c r="J304" i="39"/>
  <c r="K362" i="39" s="1"/>
  <c r="J306" i="39"/>
  <c r="J317" i="39"/>
  <c r="J319" i="39"/>
  <c r="J323" i="39"/>
  <c r="K522" i="39"/>
  <c r="J545" i="39"/>
  <c r="J550" i="39"/>
  <c r="J538" i="39"/>
  <c r="J633" i="39"/>
  <c r="K28" i="39"/>
  <c r="J71" i="39"/>
  <c r="J315" i="39"/>
  <c r="J320" i="39"/>
  <c r="J322" i="39"/>
  <c r="J543" i="39"/>
  <c r="J563" i="39"/>
  <c r="K567" i="39" s="1"/>
  <c r="J686" i="39"/>
  <c r="K775" i="39"/>
  <c r="K16" i="39"/>
  <c r="K25" i="39"/>
  <c r="J25" i="39" s="1"/>
  <c r="K77" i="39"/>
  <c r="K124" i="39"/>
  <c r="K480" i="39"/>
  <c r="K515" i="39"/>
  <c r="K367" i="39"/>
  <c r="K630" i="39"/>
  <c r="K765" i="39"/>
  <c r="K594" i="39"/>
  <c r="J498" i="39"/>
  <c r="K504" i="39" s="1"/>
  <c r="J528" i="39"/>
  <c r="K544" i="39" s="1"/>
  <c r="K555" i="39" l="1"/>
  <c r="K793" i="39"/>
  <c r="H1471" i="38" l="1"/>
  <c r="J1471" i="38" s="1"/>
  <c r="J1470" i="38"/>
  <c r="H1469" i="38"/>
  <c r="J1469" i="38" s="1"/>
  <c r="J1468" i="38"/>
  <c r="J1467" i="38"/>
  <c r="H1467" i="38"/>
  <c r="H1466" i="38"/>
  <c r="J1466" i="38" s="1"/>
  <c r="J1465" i="38"/>
  <c r="H1465" i="38"/>
  <c r="H1462" i="38"/>
  <c r="J1462" i="38" s="1"/>
  <c r="J1461" i="38"/>
  <c r="J1460" i="38"/>
  <c r="J1459" i="38"/>
  <c r="J1457" i="38"/>
  <c r="H1456" i="38"/>
  <c r="J1456" i="38" s="1"/>
  <c r="H1455" i="38"/>
  <c r="J1455" i="38" s="1"/>
  <c r="H1452" i="38"/>
  <c r="J1452" i="38" s="1"/>
  <c r="H1451" i="38"/>
  <c r="J1451" i="38" s="1"/>
  <c r="H1450" i="38"/>
  <c r="J1450" i="38" s="1"/>
  <c r="H1449" i="38"/>
  <c r="J1449" i="38" s="1"/>
  <c r="H1448" i="38"/>
  <c r="J1448" i="38" s="1"/>
  <c r="H1447" i="38"/>
  <c r="J1447" i="38" s="1"/>
  <c r="H1446" i="38"/>
  <c r="J1446" i="38" s="1"/>
  <c r="H1445" i="38"/>
  <c r="J1445" i="38" s="1"/>
  <c r="H1444" i="38"/>
  <c r="J1444" i="38" s="1"/>
  <c r="H1443" i="38"/>
  <c r="J1443" i="38" s="1"/>
  <c r="H1442" i="38"/>
  <c r="J1442" i="38" s="1"/>
  <c r="H1441" i="38"/>
  <c r="J1441" i="38" s="1"/>
  <c r="H1440" i="38"/>
  <c r="J1440" i="38" s="1"/>
  <c r="H1439" i="38"/>
  <c r="J1439" i="38" s="1"/>
  <c r="H1438" i="38"/>
  <c r="J1438" i="38" s="1"/>
  <c r="H1437" i="38"/>
  <c r="J1437" i="38" s="1"/>
  <c r="H1436" i="38"/>
  <c r="J1436" i="38" s="1"/>
  <c r="H1435" i="38"/>
  <c r="J1435" i="38" s="1"/>
  <c r="H1434" i="38"/>
  <c r="J1434" i="38" s="1"/>
  <c r="H1433" i="38"/>
  <c r="J1433" i="38" s="1"/>
  <c r="H1432" i="38"/>
  <c r="J1432" i="38" s="1"/>
  <c r="H1431" i="38"/>
  <c r="J1431" i="38" s="1"/>
  <c r="H1430" i="38"/>
  <c r="J1430" i="38" s="1"/>
  <c r="H1429" i="38"/>
  <c r="J1429" i="38" s="1"/>
  <c r="H1428" i="38"/>
  <c r="J1428" i="38" s="1"/>
  <c r="H1427" i="38"/>
  <c r="J1427" i="38" s="1"/>
  <c r="H1426" i="38"/>
  <c r="J1426" i="38" s="1"/>
  <c r="H1425" i="38"/>
  <c r="J1425" i="38" s="1"/>
  <c r="H1424" i="38"/>
  <c r="J1424" i="38" s="1"/>
  <c r="H1423" i="38"/>
  <c r="J1423" i="38" s="1"/>
  <c r="H1422" i="38"/>
  <c r="J1422" i="38" s="1"/>
  <c r="H1421" i="38"/>
  <c r="J1421" i="38" s="1"/>
  <c r="H1420" i="38"/>
  <c r="J1420" i="38" s="1"/>
  <c r="H1419" i="38"/>
  <c r="J1419" i="38" s="1"/>
  <c r="H1418" i="38"/>
  <c r="J1418" i="38" s="1"/>
  <c r="H1417" i="38"/>
  <c r="J1417" i="38" s="1"/>
  <c r="H1416" i="38"/>
  <c r="J1416" i="38" s="1"/>
  <c r="H1415" i="38"/>
  <c r="J1415" i="38" s="1"/>
  <c r="H1414" i="38"/>
  <c r="J1414" i="38" s="1"/>
  <c r="H1413" i="38"/>
  <c r="J1413" i="38" s="1"/>
  <c r="H1412" i="38"/>
  <c r="J1412" i="38" s="1"/>
  <c r="H1411" i="38"/>
  <c r="J1411" i="38" s="1"/>
  <c r="H1410" i="38"/>
  <c r="J1410" i="38" s="1"/>
  <c r="H1409" i="38"/>
  <c r="J1409" i="38" s="1"/>
  <c r="H1408" i="38"/>
  <c r="J1408" i="38" s="1"/>
  <c r="H1407" i="38"/>
  <c r="J1407" i="38" s="1"/>
  <c r="H1406" i="38"/>
  <c r="J1406" i="38" s="1"/>
  <c r="H1405" i="38"/>
  <c r="J1405" i="38" s="1"/>
  <c r="H1404" i="38"/>
  <c r="J1404" i="38" s="1"/>
  <c r="H1403" i="38"/>
  <c r="J1403" i="38" s="1"/>
  <c r="H1402" i="38"/>
  <c r="J1402" i="38" s="1"/>
  <c r="H1401" i="38"/>
  <c r="J1401" i="38" s="1"/>
  <c r="H1400" i="38"/>
  <c r="J1400" i="38" s="1"/>
  <c r="H1399" i="38"/>
  <c r="J1399" i="38" s="1"/>
  <c r="H1398" i="38"/>
  <c r="J1398" i="38" s="1"/>
  <c r="H1397" i="38"/>
  <c r="J1397" i="38" s="1"/>
  <c r="H1396" i="38"/>
  <c r="J1396" i="38" s="1"/>
  <c r="H1395" i="38"/>
  <c r="J1395" i="38" s="1"/>
  <c r="H1393" i="38"/>
  <c r="J1393" i="38" s="1"/>
  <c r="J1392" i="38"/>
  <c r="H1392" i="38"/>
  <c r="H1391" i="38"/>
  <c r="J1391" i="38" s="1"/>
  <c r="H1390" i="38"/>
  <c r="J1390" i="38" s="1"/>
  <c r="H1389" i="38"/>
  <c r="J1389" i="38" s="1"/>
  <c r="H1388" i="38"/>
  <c r="J1388" i="38" s="1"/>
  <c r="J1374" i="38"/>
  <c r="I1373" i="38"/>
  <c r="H1373" i="38"/>
  <c r="J1372" i="38"/>
  <c r="J1365" i="38"/>
  <c r="H1362" i="38"/>
  <c r="J1362" i="38" s="1"/>
  <c r="H1361" i="38"/>
  <c r="J1361" i="38" s="1"/>
  <c r="J1360" i="38"/>
  <c r="H1360" i="38"/>
  <c r="H1359" i="38"/>
  <c r="H1358" i="38"/>
  <c r="H1357" i="38"/>
  <c r="H1355" i="38"/>
  <c r="H1353" i="38"/>
  <c r="J1353" i="38" s="1"/>
  <c r="H1352" i="38"/>
  <c r="J1352" i="38" s="1"/>
  <c r="H1351" i="38"/>
  <c r="J1351" i="38" s="1"/>
  <c r="H1350" i="38"/>
  <c r="J1350" i="38" s="1"/>
  <c r="H1349" i="38"/>
  <c r="J1349" i="38" s="1"/>
  <c r="H1348" i="38"/>
  <c r="J1348" i="38" s="1"/>
  <c r="H1347" i="38"/>
  <c r="J1347" i="38" s="1"/>
  <c r="J1346" i="38"/>
  <c r="H1346" i="38"/>
  <c r="H1345" i="38"/>
  <c r="J1345" i="38" s="1"/>
  <c r="H1344" i="38"/>
  <c r="J1344" i="38" s="1"/>
  <c r="H1343" i="38"/>
  <c r="J1343" i="38" s="1"/>
  <c r="H1342" i="38"/>
  <c r="J1342" i="38" s="1"/>
  <c r="H1341" i="38"/>
  <c r="J1341" i="38" s="1"/>
  <c r="H1340" i="38"/>
  <c r="J1340" i="38" s="1"/>
  <c r="I1339" i="38"/>
  <c r="H1339" i="38"/>
  <c r="H1338" i="38"/>
  <c r="J1338" i="38" s="1"/>
  <c r="H1337" i="38"/>
  <c r="J1337" i="38" s="1"/>
  <c r="H1336" i="38"/>
  <c r="J1336" i="38" s="1"/>
  <c r="J1324" i="38"/>
  <c r="J1323" i="38"/>
  <c r="J1322" i="38"/>
  <c r="J1321" i="38"/>
  <c r="H1321" i="38"/>
  <c r="H1320" i="38"/>
  <c r="J1320" i="38" s="1"/>
  <c r="J1319" i="38"/>
  <c r="J1318" i="38"/>
  <c r="J1317" i="38"/>
  <c r="J1316" i="38"/>
  <c r="J1315" i="38"/>
  <c r="J1314" i="38"/>
  <c r="H1313" i="38"/>
  <c r="J1313" i="38" s="1"/>
  <c r="H1312" i="38"/>
  <c r="J1312" i="38" s="1"/>
  <c r="H1311" i="38"/>
  <c r="J1311" i="38" s="1"/>
  <c r="H1309" i="38"/>
  <c r="J1309" i="38" s="1"/>
  <c r="H1307" i="38"/>
  <c r="J1307" i="38" s="1"/>
  <c r="J1306" i="38"/>
  <c r="H1306" i="38"/>
  <c r="H1305" i="38"/>
  <c r="J1305" i="38" s="1"/>
  <c r="H1304" i="38"/>
  <c r="J1304" i="38" s="1"/>
  <c r="H1303" i="38"/>
  <c r="J1303" i="38" s="1"/>
  <c r="H1302" i="38"/>
  <c r="J1302" i="38" s="1"/>
  <c r="H1301" i="38"/>
  <c r="J1301" i="38" s="1"/>
  <c r="H1300" i="38"/>
  <c r="J1300" i="38" s="1"/>
  <c r="H1299" i="38"/>
  <c r="J1299" i="38" s="1"/>
  <c r="J1298" i="38"/>
  <c r="H1298" i="38"/>
  <c r="H1297" i="38"/>
  <c r="J1297" i="38" s="1"/>
  <c r="H1296" i="38"/>
  <c r="J1296" i="38" s="1"/>
  <c r="H1295" i="38"/>
  <c r="J1295" i="38" s="1"/>
  <c r="J1293" i="38"/>
  <c r="H1292" i="38"/>
  <c r="J1292" i="38" s="1"/>
  <c r="J1291" i="38"/>
  <c r="H1291" i="38"/>
  <c r="H1290" i="38"/>
  <c r="J1290" i="38" s="1"/>
  <c r="H1289" i="38"/>
  <c r="J1289" i="38" s="1"/>
  <c r="H1288" i="38"/>
  <c r="J1288" i="38" s="1"/>
  <c r="H1287" i="38"/>
  <c r="J1287" i="38" s="1"/>
  <c r="H1286" i="38"/>
  <c r="J1286" i="38" s="1"/>
  <c r="H1285" i="38"/>
  <c r="J1285" i="38" s="1"/>
  <c r="H1284" i="38"/>
  <c r="J1284" i="38" s="1"/>
  <c r="J1283" i="38"/>
  <c r="H1283" i="38"/>
  <c r="H1281" i="38"/>
  <c r="J1281" i="38" s="1"/>
  <c r="H1280" i="38"/>
  <c r="J1280" i="38" s="1"/>
  <c r="H1279" i="38"/>
  <c r="J1279" i="38" s="1"/>
  <c r="H1278" i="38"/>
  <c r="J1278" i="38" s="1"/>
  <c r="J1277" i="38"/>
  <c r="H1275" i="38"/>
  <c r="J1275" i="38" s="1"/>
  <c r="I1274" i="38"/>
  <c r="H1274" i="38"/>
  <c r="H1273" i="38"/>
  <c r="J1273" i="38" s="1"/>
  <c r="H1272" i="38"/>
  <c r="J1272" i="38" s="1"/>
  <c r="I1271" i="38"/>
  <c r="H1271" i="38"/>
  <c r="H1270" i="38"/>
  <c r="J1270" i="38" s="1"/>
  <c r="H1269" i="38"/>
  <c r="J1269" i="38" s="1"/>
  <c r="H1268" i="38"/>
  <c r="J1268" i="38" s="1"/>
  <c r="H1267" i="38"/>
  <c r="J1267" i="38" s="1"/>
  <c r="J1266" i="38"/>
  <c r="H1266" i="38"/>
  <c r="H1265" i="38"/>
  <c r="J1265" i="38" s="1"/>
  <c r="H1253" i="38"/>
  <c r="J1253" i="38" s="1"/>
  <c r="K1264" i="38" s="1"/>
  <c r="J1247" i="38"/>
  <c r="H1247" i="38"/>
  <c r="H1246" i="38"/>
  <c r="J1246" i="38" s="1"/>
  <c r="H1245" i="38"/>
  <c r="J1245" i="38" s="1"/>
  <c r="H1244" i="38"/>
  <c r="J1244" i="38" s="1"/>
  <c r="H1243" i="38"/>
  <c r="J1243" i="38" s="1"/>
  <c r="H1242" i="38"/>
  <c r="J1242" i="38" s="1"/>
  <c r="H1241" i="38"/>
  <c r="J1241" i="38" s="1"/>
  <c r="H1240" i="38"/>
  <c r="J1240" i="38" s="1"/>
  <c r="J1239" i="38"/>
  <c r="H1239" i="38"/>
  <c r="H1238" i="38"/>
  <c r="J1238" i="38" s="1"/>
  <c r="H1237" i="38"/>
  <c r="J1237" i="38" s="1"/>
  <c r="J1236" i="38"/>
  <c r="J1235" i="38"/>
  <c r="J1234" i="38"/>
  <c r="J1233" i="38"/>
  <c r="I1232" i="38"/>
  <c r="J1232" i="38" s="1"/>
  <c r="H1231" i="38"/>
  <c r="J1231" i="38" s="1"/>
  <c r="H1230" i="38"/>
  <c r="J1230" i="38" s="1"/>
  <c r="H1229" i="38"/>
  <c r="J1229" i="38" s="1"/>
  <c r="H1228" i="38"/>
  <c r="J1228" i="38" s="1"/>
  <c r="J1227" i="38"/>
  <c r="H1227" i="38"/>
  <c r="H1226" i="38"/>
  <c r="J1226" i="38" s="1"/>
  <c r="H1225" i="38"/>
  <c r="J1225" i="38" s="1"/>
  <c r="H1224" i="38"/>
  <c r="J1224" i="38" s="1"/>
  <c r="H1223" i="38"/>
  <c r="J1223" i="38" s="1"/>
  <c r="H1222" i="38"/>
  <c r="J1222" i="38" s="1"/>
  <c r="H1221" i="38"/>
  <c r="J1221" i="38" s="1"/>
  <c r="H1220" i="38"/>
  <c r="J1220" i="38" s="1"/>
  <c r="J1219" i="38"/>
  <c r="H1219" i="38"/>
  <c r="H1218" i="38"/>
  <c r="J1218" i="38" s="1"/>
  <c r="H1217" i="38"/>
  <c r="J1217" i="38" s="1"/>
  <c r="H1216" i="38"/>
  <c r="J1216" i="38" s="1"/>
  <c r="H1215" i="38"/>
  <c r="J1215" i="38" s="1"/>
  <c r="H1214" i="38"/>
  <c r="J1214" i="38" s="1"/>
  <c r="H1213" i="38"/>
  <c r="J1213" i="38" s="1"/>
  <c r="H1212" i="38"/>
  <c r="J1212" i="38" s="1"/>
  <c r="J1211" i="38"/>
  <c r="H1211" i="38"/>
  <c r="H1210" i="38"/>
  <c r="J1210" i="38" s="1"/>
  <c r="H1209" i="38"/>
  <c r="J1209" i="38" s="1"/>
  <c r="H1208" i="38"/>
  <c r="J1208" i="38" s="1"/>
  <c r="H1207" i="38"/>
  <c r="J1207" i="38" s="1"/>
  <c r="H1206" i="38"/>
  <c r="J1206" i="38" s="1"/>
  <c r="H1205" i="38"/>
  <c r="J1205" i="38" s="1"/>
  <c r="H1204" i="38"/>
  <c r="J1204" i="38" s="1"/>
  <c r="J1203" i="38"/>
  <c r="H1203" i="38"/>
  <c r="H1202" i="38"/>
  <c r="J1202" i="38" s="1"/>
  <c r="H1201" i="38"/>
  <c r="J1201" i="38" s="1"/>
  <c r="H1200" i="38"/>
  <c r="J1200" i="38" s="1"/>
  <c r="H1199" i="38"/>
  <c r="J1199" i="38" s="1"/>
  <c r="H1198" i="38"/>
  <c r="J1198" i="38" s="1"/>
  <c r="H1197" i="38"/>
  <c r="J1197" i="38" s="1"/>
  <c r="H1196" i="38"/>
  <c r="J1196" i="38" s="1"/>
  <c r="J1195" i="38"/>
  <c r="H1195" i="38"/>
  <c r="H1194" i="38"/>
  <c r="J1194" i="38" s="1"/>
  <c r="H1193" i="38"/>
  <c r="J1193" i="38" s="1"/>
  <c r="H1192" i="38"/>
  <c r="J1192" i="38" s="1"/>
  <c r="H1191" i="38"/>
  <c r="J1191" i="38" s="1"/>
  <c r="H1190" i="38"/>
  <c r="J1190" i="38" s="1"/>
  <c r="H1189" i="38"/>
  <c r="J1189" i="38" s="1"/>
  <c r="H1188" i="38"/>
  <c r="J1188" i="38" s="1"/>
  <c r="J1187" i="38"/>
  <c r="H1187" i="38"/>
  <c r="H1186" i="38"/>
  <c r="J1186" i="38" s="1"/>
  <c r="H1185" i="38"/>
  <c r="J1185" i="38" s="1"/>
  <c r="H1184" i="38"/>
  <c r="J1184" i="38" s="1"/>
  <c r="H1183" i="38"/>
  <c r="J1183" i="38" s="1"/>
  <c r="H1182" i="38"/>
  <c r="J1182" i="38" s="1"/>
  <c r="H1181" i="38"/>
  <c r="J1181" i="38" s="1"/>
  <c r="H1180" i="38"/>
  <c r="J1180" i="38" s="1"/>
  <c r="J1179" i="38"/>
  <c r="H1179" i="38"/>
  <c r="H1178" i="38"/>
  <c r="J1178" i="38" s="1"/>
  <c r="H1177" i="38"/>
  <c r="J1177" i="38" s="1"/>
  <c r="H1176" i="38"/>
  <c r="J1176" i="38" s="1"/>
  <c r="H1175" i="38"/>
  <c r="J1175" i="38" s="1"/>
  <c r="H1174" i="38"/>
  <c r="J1174" i="38" s="1"/>
  <c r="H1173" i="38"/>
  <c r="J1173" i="38" s="1"/>
  <c r="H1172" i="38"/>
  <c r="J1172" i="38" s="1"/>
  <c r="J1170" i="38"/>
  <c r="H1170" i="38"/>
  <c r="J1169" i="38"/>
  <c r="I1168" i="38"/>
  <c r="J1168" i="38" s="1"/>
  <c r="I1167" i="38"/>
  <c r="J1167" i="38" s="1"/>
  <c r="I1166" i="38"/>
  <c r="J1166" i="38" s="1"/>
  <c r="J1165" i="38"/>
  <c r="J1164" i="38"/>
  <c r="H1163" i="38"/>
  <c r="J1163" i="38" s="1"/>
  <c r="J1162" i="38"/>
  <c r="J1161" i="38"/>
  <c r="J1160" i="38"/>
  <c r="J1159" i="38"/>
  <c r="J1158" i="38"/>
  <c r="J1157" i="38"/>
  <c r="J1156" i="38"/>
  <c r="J1155" i="38"/>
  <c r="J1154" i="38"/>
  <c r="J1153" i="38"/>
  <c r="H1152" i="38"/>
  <c r="J1152" i="38" s="1"/>
  <c r="J1151" i="38"/>
  <c r="H1150" i="38"/>
  <c r="J1150" i="38" s="1"/>
  <c r="H1149" i="38"/>
  <c r="J1149" i="38" s="1"/>
  <c r="J1148" i="38"/>
  <c r="J1147" i="38"/>
  <c r="J1146" i="38"/>
  <c r="J1145" i="38"/>
  <c r="J1144" i="38"/>
  <c r="J1143" i="38"/>
  <c r="H1142" i="38"/>
  <c r="J1142" i="38" s="1"/>
  <c r="J1141" i="38"/>
  <c r="J1140" i="38"/>
  <c r="J1139" i="38"/>
  <c r="J1138" i="38"/>
  <c r="J1137" i="38"/>
  <c r="J1136" i="38"/>
  <c r="J1135" i="38"/>
  <c r="J1134" i="38"/>
  <c r="J1133" i="38"/>
  <c r="J1132" i="38"/>
  <c r="J1131" i="38"/>
  <c r="J1130" i="38"/>
  <c r="J1129" i="38"/>
  <c r="J1128" i="38"/>
  <c r="J1127" i="38"/>
  <c r="J1126" i="38"/>
  <c r="H1125" i="38"/>
  <c r="J1125" i="38" s="1"/>
  <c r="J1124" i="38"/>
  <c r="J1123" i="38"/>
  <c r="J1122" i="38"/>
  <c r="J1121" i="38"/>
  <c r="J1120" i="38"/>
  <c r="J1119" i="38"/>
  <c r="J1118" i="38"/>
  <c r="J1117" i="38"/>
  <c r="H1116" i="38"/>
  <c r="J1116" i="38" s="1"/>
  <c r="J1115" i="38"/>
  <c r="J1114" i="38"/>
  <c r="J1113" i="38"/>
  <c r="J1112" i="38"/>
  <c r="I1111" i="38"/>
  <c r="J1111" i="38" s="1"/>
  <c r="J1110" i="38"/>
  <c r="J1109" i="38"/>
  <c r="H1106" i="38"/>
  <c r="J1106" i="38" s="1"/>
  <c r="I1105" i="38"/>
  <c r="H1105" i="38"/>
  <c r="J1105" i="38" s="1"/>
  <c r="J1104" i="38"/>
  <c r="H1103" i="38"/>
  <c r="J1103" i="38" s="1"/>
  <c r="J1102" i="38"/>
  <c r="J1101" i="38"/>
  <c r="H1101" i="38"/>
  <c r="I1100" i="38"/>
  <c r="H1100" i="38"/>
  <c r="J1100" i="38" s="1"/>
  <c r="K1108" i="38" s="1"/>
  <c r="I1098" i="38"/>
  <c r="H1098" i="38"/>
  <c r="J1097" i="38"/>
  <c r="J1096" i="38"/>
  <c r="J1095" i="38"/>
  <c r="I1094" i="38"/>
  <c r="H1094" i="38"/>
  <c r="J1094" i="38" s="1"/>
  <c r="J1093" i="38"/>
  <c r="H1092" i="38"/>
  <c r="J1092" i="38" s="1"/>
  <c r="H1091" i="38"/>
  <c r="J1091" i="38" s="1"/>
  <c r="J1090" i="38"/>
  <c r="H1090" i="38"/>
  <c r="J1089" i="38"/>
  <c r="J1088" i="38"/>
  <c r="J1087" i="38"/>
  <c r="I1086" i="38"/>
  <c r="H1086" i="38"/>
  <c r="J1085" i="38"/>
  <c r="J1084" i="38"/>
  <c r="J1083" i="38"/>
  <c r="J1082" i="38"/>
  <c r="H1080" i="38"/>
  <c r="J1080" i="38" s="1"/>
  <c r="J1079" i="38"/>
  <c r="H1079" i="38"/>
  <c r="H1078" i="38"/>
  <c r="J1078" i="38" s="1"/>
  <c r="H1077" i="38"/>
  <c r="J1077" i="38" s="1"/>
  <c r="H1076" i="38"/>
  <c r="J1076" i="38" s="1"/>
  <c r="H1075" i="38"/>
  <c r="J1075" i="38" s="1"/>
  <c r="H1074" i="38"/>
  <c r="J1074" i="38" s="1"/>
  <c r="H1071" i="38"/>
  <c r="J1071" i="38" s="1"/>
  <c r="H1070" i="38"/>
  <c r="J1070" i="38" s="1"/>
  <c r="J1069" i="38"/>
  <c r="H1069" i="38"/>
  <c r="H1068" i="38"/>
  <c r="J1068" i="38" s="1"/>
  <c r="H1067" i="38"/>
  <c r="J1067" i="38" s="1"/>
  <c r="H1065" i="38"/>
  <c r="J1065" i="38" s="1"/>
  <c r="H1064" i="38"/>
  <c r="J1064" i="38" s="1"/>
  <c r="H1063" i="38"/>
  <c r="J1063" i="38" s="1"/>
  <c r="J1061" i="38"/>
  <c r="H1060" i="38"/>
  <c r="J1060" i="38" s="1"/>
  <c r="H1059" i="38"/>
  <c r="J1059" i="38" s="1"/>
  <c r="J1056" i="38"/>
  <c r="J1055" i="38"/>
  <c r="H1055" i="38"/>
  <c r="H1054" i="38"/>
  <c r="J1054" i="38" s="1"/>
  <c r="J1052" i="38"/>
  <c r="H1051" i="38"/>
  <c r="J1051" i="38" s="1"/>
  <c r="H1050" i="38"/>
  <c r="J1050" i="38" s="1"/>
  <c r="J1049" i="38"/>
  <c r="H1049" i="38"/>
  <c r="H1048" i="38"/>
  <c r="J1048" i="38" s="1"/>
  <c r="H1047" i="38"/>
  <c r="J1047" i="38" s="1"/>
  <c r="H1046" i="38"/>
  <c r="J1046" i="38" s="1"/>
  <c r="H1045" i="38"/>
  <c r="J1045" i="38" s="1"/>
  <c r="H1044" i="38"/>
  <c r="J1044" i="38" s="1"/>
  <c r="H1043" i="38"/>
  <c r="J1043" i="38" s="1"/>
  <c r="H1042" i="38"/>
  <c r="J1042" i="38" s="1"/>
  <c r="J1041" i="38"/>
  <c r="H1041" i="38"/>
  <c r="H1040" i="38"/>
  <c r="J1040" i="38" s="1"/>
  <c r="H1039" i="38"/>
  <c r="J1039" i="38" s="1"/>
  <c r="H1038" i="38"/>
  <c r="J1038" i="38" s="1"/>
  <c r="H1037" i="38"/>
  <c r="J1037" i="38" s="1"/>
  <c r="H1036" i="38"/>
  <c r="J1036" i="38" s="1"/>
  <c r="J1035" i="38"/>
  <c r="I1034" i="38"/>
  <c r="J1034" i="38" s="1"/>
  <c r="J1033" i="38"/>
  <c r="H1033" i="38"/>
  <c r="H1032" i="38"/>
  <c r="J1032" i="38" s="1"/>
  <c r="J1031" i="38"/>
  <c r="I1030" i="38"/>
  <c r="J1030" i="38" s="1"/>
  <c r="H1028" i="38"/>
  <c r="J1028" i="38" s="1"/>
  <c r="J1027" i="38"/>
  <c r="H1027" i="38"/>
  <c r="I1026" i="38"/>
  <c r="H1026" i="38"/>
  <c r="H1025" i="38"/>
  <c r="J1025" i="38" s="1"/>
  <c r="H1024" i="38"/>
  <c r="J1024" i="38" s="1"/>
  <c r="H1023" i="38"/>
  <c r="J1023" i="38" s="1"/>
  <c r="J1021" i="38"/>
  <c r="H1021" i="38"/>
  <c r="H1020" i="38"/>
  <c r="J1020" i="38" s="1"/>
  <c r="J1019" i="38"/>
  <c r="H1019" i="38"/>
  <c r="H1018" i="38"/>
  <c r="J1018" i="38" s="1"/>
  <c r="J1017" i="38"/>
  <c r="H1017" i="38"/>
  <c r="H1016" i="38"/>
  <c r="J1016" i="38" s="1"/>
  <c r="J1015" i="38"/>
  <c r="H1015" i="38"/>
  <c r="H1014" i="38"/>
  <c r="J1014" i="38" s="1"/>
  <c r="J1013" i="38"/>
  <c r="H1013" i="38"/>
  <c r="H1012" i="38"/>
  <c r="J1012" i="38" s="1"/>
  <c r="J1011" i="38"/>
  <c r="H1011" i="38"/>
  <c r="H1010" i="38"/>
  <c r="J1010" i="38" s="1"/>
  <c r="J1009" i="38"/>
  <c r="H1009" i="38"/>
  <c r="H1008" i="38"/>
  <c r="J1008" i="38" s="1"/>
  <c r="J1007" i="38"/>
  <c r="H1007" i="38"/>
  <c r="H1006" i="38"/>
  <c r="J1006" i="38" s="1"/>
  <c r="J1005" i="38"/>
  <c r="H1005" i="38"/>
  <c r="H1004" i="38"/>
  <c r="J1004" i="38" s="1"/>
  <c r="J1003" i="38"/>
  <c r="H1003" i="38"/>
  <c r="H1002" i="38"/>
  <c r="J1002" i="38" s="1"/>
  <c r="J1001" i="38"/>
  <c r="H1001" i="38"/>
  <c r="H1000" i="38"/>
  <c r="J1000" i="38" s="1"/>
  <c r="J999" i="38"/>
  <c r="H999" i="38"/>
  <c r="J998" i="38"/>
  <c r="H997" i="38"/>
  <c r="J997" i="38" s="1"/>
  <c r="H996" i="38"/>
  <c r="J996" i="38" s="1"/>
  <c r="H995" i="38"/>
  <c r="J995" i="38" s="1"/>
  <c r="H994" i="38"/>
  <c r="J994" i="38" s="1"/>
  <c r="H993" i="38"/>
  <c r="J993" i="38" s="1"/>
  <c r="H992" i="38"/>
  <c r="J992" i="38" s="1"/>
  <c r="H991" i="38"/>
  <c r="J991" i="38" s="1"/>
  <c r="H990" i="38"/>
  <c r="J990" i="38" s="1"/>
  <c r="H989" i="38"/>
  <c r="J989" i="38" s="1"/>
  <c r="H988" i="38"/>
  <c r="J988" i="38" s="1"/>
  <c r="H987" i="38"/>
  <c r="J987" i="38" s="1"/>
  <c r="H986" i="38"/>
  <c r="J986" i="38" s="1"/>
  <c r="J985" i="38"/>
  <c r="H985" i="38"/>
  <c r="H984" i="38"/>
  <c r="J984" i="38" s="1"/>
  <c r="H983" i="38"/>
  <c r="J983" i="38" s="1"/>
  <c r="H982" i="38"/>
  <c r="J982" i="38" s="1"/>
  <c r="H981" i="38"/>
  <c r="J981" i="38" s="1"/>
  <c r="H980" i="38"/>
  <c r="J980" i="38" s="1"/>
  <c r="J979" i="38"/>
  <c r="H979" i="38"/>
  <c r="H978" i="38"/>
  <c r="J978" i="38" s="1"/>
  <c r="H977" i="38"/>
  <c r="J977" i="38" s="1"/>
  <c r="H976" i="38"/>
  <c r="J976" i="38" s="1"/>
  <c r="H975" i="38"/>
  <c r="J975" i="38" s="1"/>
  <c r="H974" i="38"/>
  <c r="J974" i="38" s="1"/>
  <c r="J973" i="38"/>
  <c r="H973" i="38"/>
  <c r="H972" i="38"/>
  <c r="J972" i="38" s="1"/>
  <c r="H971" i="38"/>
  <c r="J971" i="38" s="1"/>
  <c r="H970" i="38"/>
  <c r="J970" i="38" s="1"/>
  <c r="H969" i="38"/>
  <c r="J969" i="38" s="1"/>
  <c r="H968" i="38"/>
  <c r="J968" i="38" s="1"/>
  <c r="H967" i="38"/>
  <c r="J967" i="38" s="1"/>
  <c r="H966" i="38"/>
  <c r="J966" i="38" s="1"/>
  <c r="J965" i="38"/>
  <c r="H965" i="38"/>
  <c r="H964" i="38"/>
  <c r="J964" i="38" s="1"/>
  <c r="H963" i="38"/>
  <c r="J963" i="38" s="1"/>
  <c r="H962" i="38"/>
  <c r="J962" i="38" s="1"/>
  <c r="H961" i="38"/>
  <c r="J961" i="38" s="1"/>
  <c r="H960" i="38"/>
  <c r="J960" i="38" s="1"/>
  <c r="H959" i="38"/>
  <c r="J959" i="38" s="1"/>
  <c r="H958" i="38"/>
  <c r="J958" i="38" s="1"/>
  <c r="J957" i="38"/>
  <c r="H957" i="38"/>
  <c r="H956" i="38"/>
  <c r="J956" i="38" s="1"/>
  <c r="H955" i="38"/>
  <c r="J955" i="38" s="1"/>
  <c r="H954" i="38"/>
  <c r="J954" i="38" s="1"/>
  <c r="H953" i="38"/>
  <c r="J953" i="38" s="1"/>
  <c r="H952" i="38"/>
  <c r="J952" i="38" s="1"/>
  <c r="H951" i="38"/>
  <c r="J951" i="38" s="1"/>
  <c r="H950" i="38"/>
  <c r="J950" i="38" s="1"/>
  <c r="J949" i="38"/>
  <c r="H949" i="38"/>
  <c r="H948" i="38"/>
  <c r="J948" i="38" s="1"/>
  <c r="H947" i="38"/>
  <c r="J947" i="38" s="1"/>
  <c r="H946" i="38"/>
  <c r="J946" i="38" s="1"/>
  <c r="H945" i="38"/>
  <c r="J945" i="38" s="1"/>
  <c r="H944" i="38"/>
  <c r="J944" i="38" s="1"/>
  <c r="H943" i="38"/>
  <c r="J943" i="38" s="1"/>
  <c r="H942" i="38"/>
  <c r="J942" i="38" s="1"/>
  <c r="J941" i="38"/>
  <c r="H941" i="38"/>
  <c r="H940" i="38"/>
  <c r="J940" i="38" s="1"/>
  <c r="H939" i="38"/>
  <c r="J939" i="38" s="1"/>
  <c r="H938" i="38"/>
  <c r="J938" i="38" s="1"/>
  <c r="H937" i="38"/>
  <c r="J937" i="38" s="1"/>
  <c r="H936" i="38"/>
  <c r="J936" i="38" s="1"/>
  <c r="H935" i="38"/>
  <c r="J935" i="38" s="1"/>
  <c r="H934" i="38"/>
  <c r="J934" i="38" s="1"/>
  <c r="J933" i="38"/>
  <c r="H933" i="38"/>
  <c r="H932" i="38"/>
  <c r="J932" i="38" s="1"/>
  <c r="H931" i="38"/>
  <c r="J931" i="38" s="1"/>
  <c r="H930" i="38"/>
  <c r="J930" i="38" s="1"/>
  <c r="H929" i="38"/>
  <c r="J929" i="38" s="1"/>
  <c r="H928" i="38"/>
  <c r="J928" i="38" s="1"/>
  <c r="H927" i="38"/>
  <c r="J927" i="38" s="1"/>
  <c r="H926" i="38"/>
  <c r="J926" i="38" s="1"/>
  <c r="J925" i="38"/>
  <c r="H925" i="38"/>
  <c r="H924" i="38"/>
  <c r="J924" i="38" s="1"/>
  <c r="H923" i="38"/>
  <c r="J923" i="38" s="1"/>
  <c r="H922" i="38"/>
  <c r="J922" i="38" s="1"/>
  <c r="H921" i="38"/>
  <c r="J921" i="38" s="1"/>
  <c r="H920" i="38"/>
  <c r="J920" i="38" s="1"/>
  <c r="H919" i="38"/>
  <c r="J919" i="38" s="1"/>
  <c r="H918" i="38"/>
  <c r="J918" i="38" s="1"/>
  <c r="J917" i="38"/>
  <c r="H917" i="38"/>
  <c r="H916" i="38"/>
  <c r="J916" i="38" s="1"/>
  <c r="H915" i="38"/>
  <c r="J915" i="38" s="1"/>
  <c r="H914" i="38"/>
  <c r="J914" i="38" s="1"/>
  <c r="H913" i="38"/>
  <c r="J913" i="38" s="1"/>
  <c r="H912" i="38"/>
  <c r="J912" i="38" s="1"/>
  <c r="H911" i="38"/>
  <c r="J911" i="38" s="1"/>
  <c r="H910" i="38"/>
  <c r="J910" i="38" s="1"/>
  <c r="J909" i="38"/>
  <c r="H909" i="38"/>
  <c r="H908" i="38"/>
  <c r="J908" i="38" s="1"/>
  <c r="H907" i="38"/>
  <c r="J907" i="38" s="1"/>
  <c r="H906" i="38"/>
  <c r="J906" i="38" s="1"/>
  <c r="H905" i="38"/>
  <c r="J905" i="38" s="1"/>
  <c r="H904" i="38"/>
  <c r="J904" i="38" s="1"/>
  <c r="H903" i="38"/>
  <c r="J903" i="38" s="1"/>
  <c r="H902" i="38"/>
  <c r="J902" i="38" s="1"/>
  <c r="J901" i="38"/>
  <c r="H901" i="38"/>
  <c r="H900" i="38"/>
  <c r="J900" i="38" s="1"/>
  <c r="H899" i="38"/>
  <c r="J899" i="38" s="1"/>
  <c r="H898" i="38"/>
  <c r="J898" i="38" s="1"/>
  <c r="H897" i="38"/>
  <c r="J897" i="38" s="1"/>
  <c r="H896" i="38"/>
  <c r="J896" i="38" s="1"/>
  <c r="H895" i="38"/>
  <c r="J895" i="38" s="1"/>
  <c r="H894" i="38"/>
  <c r="J894" i="38" s="1"/>
  <c r="J893" i="38"/>
  <c r="H893" i="38"/>
  <c r="H892" i="38"/>
  <c r="J892" i="38" s="1"/>
  <c r="H891" i="38"/>
  <c r="J891" i="38" s="1"/>
  <c r="H884" i="38"/>
  <c r="J884" i="38" s="1"/>
  <c r="H883" i="38"/>
  <c r="J883" i="38" s="1"/>
  <c r="H882" i="38"/>
  <c r="J882" i="38" s="1"/>
  <c r="H881" i="38"/>
  <c r="J881" i="38" s="1"/>
  <c r="H880" i="38"/>
  <c r="J880" i="38" s="1"/>
  <c r="H879" i="38"/>
  <c r="J879" i="38" s="1"/>
  <c r="H878" i="38"/>
  <c r="J878" i="38" s="1"/>
  <c r="H877" i="38"/>
  <c r="J877" i="38" s="1"/>
  <c r="H876" i="38"/>
  <c r="J876" i="38" s="1"/>
  <c r="H875" i="38"/>
  <c r="J875" i="38" s="1"/>
  <c r="H874" i="38"/>
  <c r="J874" i="38" s="1"/>
  <c r="H873" i="38"/>
  <c r="J873" i="38" s="1"/>
  <c r="H871" i="38"/>
  <c r="J871" i="38" s="1"/>
  <c r="H870" i="38"/>
  <c r="J870" i="38" s="1"/>
  <c r="J869" i="38"/>
  <c r="H869" i="38"/>
  <c r="H868" i="38"/>
  <c r="J868" i="38" s="1"/>
  <c r="H867" i="38"/>
  <c r="J867" i="38" s="1"/>
  <c r="H866" i="38"/>
  <c r="J866" i="38" s="1"/>
  <c r="H865" i="38"/>
  <c r="J865" i="38" s="1"/>
  <c r="H864" i="38"/>
  <c r="J864" i="38" s="1"/>
  <c r="H863" i="38"/>
  <c r="J863" i="38" s="1"/>
  <c r="H862" i="38"/>
  <c r="J862" i="38" s="1"/>
  <c r="J861" i="38"/>
  <c r="H861" i="38"/>
  <c r="H860" i="38"/>
  <c r="J860" i="38" s="1"/>
  <c r="H859" i="38"/>
  <c r="J859" i="38" s="1"/>
  <c r="H858" i="38"/>
  <c r="J858" i="38" s="1"/>
  <c r="H857" i="38"/>
  <c r="J857" i="38" s="1"/>
  <c r="H856" i="38"/>
  <c r="J856" i="38" s="1"/>
  <c r="H855" i="38"/>
  <c r="J855" i="38" s="1"/>
  <c r="H854" i="38"/>
  <c r="J854" i="38" s="1"/>
  <c r="J853" i="38"/>
  <c r="H853" i="38"/>
  <c r="H852" i="38"/>
  <c r="J852" i="38" s="1"/>
  <c r="H851" i="38"/>
  <c r="J851" i="38" s="1"/>
  <c r="H850" i="38"/>
  <c r="J850" i="38" s="1"/>
  <c r="H849" i="38"/>
  <c r="J849" i="38" s="1"/>
  <c r="H848" i="38"/>
  <c r="J848" i="38" s="1"/>
  <c r="H847" i="38"/>
  <c r="J847" i="38" s="1"/>
  <c r="H846" i="38"/>
  <c r="J846" i="38" s="1"/>
  <c r="J845" i="38"/>
  <c r="H845" i="38"/>
  <c r="H844" i="38"/>
  <c r="J844" i="38" s="1"/>
  <c r="H843" i="38"/>
  <c r="J843" i="38" s="1"/>
  <c r="H842" i="38"/>
  <c r="J842" i="38" s="1"/>
  <c r="H841" i="38"/>
  <c r="J841" i="38" s="1"/>
  <c r="H840" i="38"/>
  <c r="J840" i="38" s="1"/>
  <c r="H839" i="38"/>
  <c r="J839" i="38" s="1"/>
  <c r="H838" i="38"/>
  <c r="J838" i="38" s="1"/>
  <c r="J837" i="38"/>
  <c r="H837" i="38"/>
  <c r="I836" i="38"/>
  <c r="H836" i="38"/>
  <c r="J833" i="38"/>
  <c r="H833" i="38"/>
  <c r="H832" i="38"/>
  <c r="J832" i="38" s="1"/>
  <c r="J831" i="38"/>
  <c r="H831" i="38"/>
  <c r="H830" i="38"/>
  <c r="J830" i="38" s="1"/>
  <c r="J829" i="38"/>
  <c r="H829" i="38"/>
  <c r="H828" i="38"/>
  <c r="J828" i="38" s="1"/>
  <c r="J827" i="38"/>
  <c r="H827" i="38"/>
  <c r="H823" i="38"/>
  <c r="J823" i="38" s="1"/>
  <c r="J822" i="38"/>
  <c r="H822" i="38"/>
  <c r="H821" i="38"/>
  <c r="J821" i="38" s="1"/>
  <c r="J820" i="38"/>
  <c r="H820" i="38"/>
  <c r="H819" i="38"/>
  <c r="J819" i="38" s="1"/>
  <c r="J818" i="38"/>
  <c r="H818" i="38"/>
  <c r="H816" i="38"/>
  <c r="J816" i="38" s="1"/>
  <c r="J815" i="38"/>
  <c r="H815" i="38"/>
  <c r="H814" i="38"/>
  <c r="J814" i="38" s="1"/>
  <c r="J813" i="38"/>
  <c r="H813" i="38"/>
  <c r="H812" i="38"/>
  <c r="J812" i="38" s="1"/>
  <c r="H808" i="38"/>
  <c r="J808" i="38" s="1"/>
  <c r="H807" i="38"/>
  <c r="J807" i="38" s="1"/>
  <c r="J806" i="38"/>
  <c r="J804" i="38"/>
  <c r="H804" i="38"/>
  <c r="H803" i="38"/>
  <c r="J803" i="38" s="1"/>
  <c r="J801" i="38"/>
  <c r="H801" i="38"/>
  <c r="H800" i="38"/>
  <c r="J800" i="38" s="1"/>
  <c r="J798" i="38"/>
  <c r="H798" i="38"/>
  <c r="H797" i="38"/>
  <c r="J797" i="38" s="1"/>
  <c r="J796" i="38"/>
  <c r="H796" i="38"/>
  <c r="H795" i="38"/>
  <c r="J795" i="38" s="1"/>
  <c r="J794" i="38"/>
  <c r="H794" i="38"/>
  <c r="H793" i="38"/>
  <c r="J793" i="38" s="1"/>
  <c r="J792" i="38"/>
  <c r="H792" i="38"/>
  <c r="H791" i="38"/>
  <c r="J791" i="38" s="1"/>
  <c r="J790" i="38"/>
  <c r="H790" i="38"/>
  <c r="H789" i="38"/>
  <c r="J789" i="38" s="1"/>
  <c r="H788" i="38"/>
  <c r="J788" i="38" s="1"/>
  <c r="H787" i="38"/>
  <c r="J787" i="38" s="1"/>
  <c r="H786" i="38"/>
  <c r="J786" i="38" s="1"/>
  <c r="J785" i="38"/>
  <c r="H785" i="38"/>
  <c r="H784" i="38"/>
  <c r="J784" i="38" s="1"/>
  <c r="H783" i="38"/>
  <c r="J783" i="38" s="1"/>
  <c r="J779" i="38"/>
  <c r="H779" i="38"/>
  <c r="H778" i="38"/>
  <c r="J778" i="38" s="1"/>
  <c r="H777" i="38"/>
  <c r="J777" i="38" s="1"/>
  <c r="H776" i="38"/>
  <c r="J776" i="38" s="1"/>
  <c r="H775" i="38"/>
  <c r="J775" i="38" s="1"/>
  <c r="H773" i="38"/>
  <c r="J773" i="38" s="1"/>
  <c r="J772" i="38"/>
  <c r="H772" i="38"/>
  <c r="H771" i="38"/>
  <c r="J771" i="38" s="1"/>
  <c r="H770" i="38"/>
  <c r="J770" i="38" s="1"/>
  <c r="H769" i="38"/>
  <c r="J769" i="38" s="1"/>
  <c r="H768" i="38"/>
  <c r="J768" i="38" s="1"/>
  <c r="H767" i="38"/>
  <c r="J767" i="38" s="1"/>
  <c r="H766" i="38"/>
  <c r="J766" i="38" s="1"/>
  <c r="H765" i="38"/>
  <c r="J765" i="38" s="1"/>
  <c r="J764" i="38"/>
  <c r="H764" i="38"/>
  <c r="H763" i="38"/>
  <c r="J763" i="38" s="1"/>
  <c r="J762" i="38"/>
  <c r="H762" i="38"/>
  <c r="H761" i="38"/>
  <c r="J761" i="38" s="1"/>
  <c r="H759" i="38"/>
  <c r="J759" i="38" s="1"/>
  <c r="H758" i="38"/>
  <c r="J758" i="38" s="1"/>
  <c r="H757" i="38"/>
  <c r="J757" i="38" s="1"/>
  <c r="H756" i="38"/>
  <c r="J756" i="38" s="1"/>
  <c r="H754" i="38"/>
  <c r="J754" i="38" s="1"/>
  <c r="H751" i="38"/>
  <c r="J751" i="38" s="1"/>
  <c r="J750" i="38"/>
  <c r="H750" i="38"/>
  <c r="H749" i="38"/>
  <c r="J749" i="38" s="1"/>
  <c r="H748" i="38"/>
  <c r="J748" i="38" s="1"/>
  <c r="J747" i="38"/>
  <c r="H747" i="38"/>
  <c r="H746" i="38"/>
  <c r="J746" i="38" s="1"/>
  <c r="J745" i="38"/>
  <c r="H745" i="38"/>
  <c r="H744" i="38"/>
  <c r="J744" i="38" s="1"/>
  <c r="J743" i="38"/>
  <c r="H743" i="38"/>
  <c r="H742" i="38"/>
  <c r="J742" i="38" s="1"/>
  <c r="J741" i="38"/>
  <c r="H741" i="38"/>
  <c r="H740" i="38"/>
  <c r="J740" i="38" s="1"/>
  <c r="J739" i="38"/>
  <c r="H739" i="38"/>
  <c r="H738" i="38"/>
  <c r="J738" i="38" s="1"/>
  <c r="H737" i="38"/>
  <c r="J737" i="38" s="1"/>
  <c r="H736" i="38"/>
  <c r="J736" i="38" s="1"/>
  <c r="H735" i="38"/>
  <c r="J735" i="38" s="1"/>
  <c r="H734" i="38"/>
  <c r="J734" i="38" s="1"/>
  <c r="H733" i="38"/>
  <c r="J733" i="38" s="1"/>
  <c r="H732" i="38"/>
  <c r="J732" i="38" s="1"/>
  <c r="H731" i="38"/>
  <c r="J731" i="38" s="1"/>
  <c r="H730" i="38"/>
  <c r="J730" i="38" s="1"/>
  <c r="H729" i="38"/>
  <c r="J729" i="38" s="1"/>
  <c r="H727" i="38"/>
  <c r="J727" i="38" s="1"/>
  <c r="H726" i="38"/>
  <c r="J726" i="38" s="1"/>
  <c r="H725" i="38"/>
  <c r="J725" i="38" s="1"/>
  <c r="H724" i="38"/>
  <c r="J724" i="38" s="1"/>
  <c r="H723" i="38"/>
  <c r="J723" i="38" s="1"/>
  <c r="H722" i="38"/>
  <c r="J722" i="38" s="1"/>
  <c r="H721" i="38"/>
  <c r="J721" i="38" s="1"/>
  <c r="H720" i="38"/>
  <c r="J720" i="38" s="1"/>
  <c r="H719" i="38"/>
  <c r="J719" i="38" s="1"/>
  <c r="H718" i="38"/>
  <c r="J718" i="38" s="1"/>
  <c r="H717" i="38"/>
  <c r="J717" i="38" s="1"/>
  <c r="H716" i="38"/>
  <c r="J716" i="38" s="1"/>
  <c r="H715" i="38"/>
  <c r="J715" i="38" s="1"/>
  <c r="H714" i="38"/>
  <c r="H710" i="38"/>
  <c r="J710" i="38" s="1"/>
  <c r="H709" i="38"/>
  <c r="J709" i="38" s="1"/>
  <c r="J708" i="38"/>
  <c r="H708" i="38"/>
  <c r="H707" i="38"/>
  <c r="J707" i="38" s="1"/>
  <c r="H706" i="38"/>
  <c r="J706" i="38" s="1"/>
  <c r="H705" i="38"/>
  <c r="J705" i="38" s="1"/>
  <c r="H704" i="38"/>
  <c r="J704" i="38" s="1"/>
  <c r="H703" i="38"/>
  <c r="J703" i="38" s="1"/>
  <c r="H702" i="38"/>
  <c r="J702" i="38" s="1"/>
  <c r="H697" i="38"/>
  <c r="J697" i="38" s="1"/>
  <c r="H696" i="38"/>
  <c r="J696" i="38" s="1"/>
  <c r="H695" i="38"/>
  <c r="J695" i="38" s="1"/>
  <c r="H694" i="38"/>
  <c r="J694" i="38" s="1"/>
  <c r="H693" i="38"/>
  <c r="J693" i="38" s="1"/>
  <c r="H692" i="38"/>
  <c r="J692" i="38" s="1"/>
  <c r="H691" i="38"/>
  <c r="J691" i="38" s="1"/>
  <c r="H690" i="38"/>
  <c r="J690" i="38" s="1"/>
  <c r="H689" i="38"/>
  <c r="J689" i="38" s="1"/>
  <c r="H688" i="38"/>
  <c r="J688" i="38" s="1"/>
  <c r="H687" i="38"/>
  <c r="J687" i="38" s="1"/>
  <c r="H686" i="38"/>
  <c r="J686" i="38" s="1"/>
  <c r="H685" i="38"/>
  <c r="J685" i="38" s="1"/>
  <c r="H684" i="38"/>
  <c r="J684" i="38" s="1"/>
  <c r="H683" i="38"/>
  <c r="J683" i="38" s="1"/>
  <c r="H682" i="38"/>
  <c r="J682" i="38" s="1"/>
  <c r="H681" i="38"/>
  <c r="J681" i="38" s="1"/>
  <c r="H680" i="38"/>
  <c r="J680" i="38" s="1"/>
  <c r="H679" i="38"/>
  <c r="J679" i="38" s="1"/>
  <c r="H678" i="38"/>
  <c r="J678" i="38" s="1"/>
  <c r="H677" i="38"/>
  <c r="J677" i="38" s="1"/>
  <c r="H676" i="38"/>
  <c r="J676" i="38" s="1"/>
  <c r="H675" i="38"/>
  <c r="J675" i="38" s="1"/>
  <c r="H674" i="38"/>
  <c r="J674" i="38" s="1"/>
  <c r="H673" i="38"/>
  <c r="J673" i="38" s="1"/>
  <c r="H672" i="38"/>
  <c r="J672" i="38" s="1"/>
  <c r="H671" i="38"/>
  <c r="J671" i="38" s="1"/>
  <c r="H670" i="38"/>
  <c r="J670" i="38" s="1"/>
  <c r="H669" i="38"/>
  <c r="J669" i="38" s="1"/>
  <c r="H668" i="38"/>
  <c r="J668" i="38" s="1"/>
  <c r="H667" i="38"/>
  <c r="J667" i="38" s="1"/>
  <c r="H666" i="38"/>
  <c r="J666" i="38" s="1"/>
  <c r="H665" i="38"/>
  <c r="J665" i="38" s="1"/>
  <c r="H664" i="38"/>
  <c r="J664" i="38" s="1"/>
  <c r="H663" i="38"/>
  <c r="J663" i="38" s="1"/>
  <c r="H662" i="38"/>
  <c r="J662" i="38" s="1"/>
  <c r="H661" i="38"/>
  <c r="J661" i="38" s="1"/>
  <c r="H660" i="38"/>
  <c r="J660" i="38" s="1"/>
  <c r="H659" i="38"/>
  <c r="J659" i="38" s="1"/>
  <c r="H658" i="38"/>
  <c r="J658" i="38" s="1"/>
  <c r="H657" i="38"/>
  <c r="J657" i="38" s="1"/>
  <c r="H655" i="38"/>
  <c r="J655" i="38" s="1"/>
  <c r="H653" i="38"/>
  <c r="J653" i="38" s="1"/>
  <c r="H652" i="38"/>
  <c r="J652" i="38" s="1"/>
  <c r="H651" i="38"/>
  <c r="J651" i="38" s="1"/>
  <c r="H650" i="38"/>
  <c r="J650" i="38" s="1"/>
  <c r="H649" i="38"/>
  <c r="J649" i="38" s="1"/>
  <c r="H648" i="38"/>
  <c r="J648" i="38" s="1"/>
  <c r="H646" i="38"/>
  <c r="J646" i="38" s="1"/>
  <c r="H645" i="38"/>
  <c r="J645" i="38" s="1"/>
  <c r="H644" i="38"/>
  <c r="J644" i="38" s="1"/>
  <c r="H643" i="38"/>
  <c r="J643" i="38" s="1"/>
  <c r="H642" i="38"/>
  <c r="J642" i="38" s="1"/>
  <c r="H641" i="38"/>
  <c r="J641" i="38" s="1"/>
  <c r="H640" i="38"/>
  <c r="J640" i="38" s="1"/>
  <c r="H639" i="38"/>
  <c r="J639" i="38" s="1"/>
  <c r="H638" i="38"/>
  <c r="J638" i="38" s="1"/>
  <c r="H637" i="38"/>
  <c r="J637" i="38" s="1"/>
  <c r="H636" i="38"/>
  <c r="J636" i="38" s="1"/>
  <c r="H635" i="38"/>
  <c r="J635" i="38" s="1"/>
  <c r="H634" i="38"/>
  <c r="J634" i="38" s="1"/>
  <c r="H633" i="38"/>
  <c r="J633" i="38" s="1"/>
  <c r="H632" i="38"/>
  <c r="J632" i="38" s="1"/>
  <c r="H631" i="38"/>
  <c r="J631" i="38" s="1"/>
  <c r="H630" i="38"/>
  <c r="J630" i="38" s="1"/>
  <c r="H629" i="38"/>
  <c r="J629" i="38" s="1"/>
  <c r="H626" i="38"/>
  <c r="J626" i="38" s="1"/>
  <c r="H624" i="38"/>
  <c r="J624" i="38" s="1"/>
  <c r="H622" i="38"/>
  <c r="J622" i="38" s="1"/>
  <c r="H621" i="38"/>
  <c r="J621" i="38" s="1"/>
  <c r="H620" i="38"/>
  <c r="J620" i="38" s="1"/>
  <c r="H619" i="38"/>
  <c r="J619" i="38" s="1"/>
  <c r="H618" i="38"/>
  <c r="J618" i="38" s="1"/>
  <c r="H617" i="38"/>
  <c r="J617" i="38" s="1"/>
  <c r="H616" i="38"/>
  <c r="J616" i="38" s="1"/>
  <c r="H615" i="38"/>
  <c r="J615" i="38" s="1"/>
  <c r="H614" i="38"/>
  <c r="J614" i="38" s="1"/>
  <c r="H613" i="38"/>
  <c r="J613" i="38" s="1"/>
  <c r="H611" i="38"/>
  <c r="J611" i="38" s="1"/>
  <c r="H610" i="38"/>
  <c r="J610" i="38" s="1"/>
  <c r="H609" i="38"/>
  <c r="J609" i="38" s="1"/>
  <c r="H608" i="38"/>
  <c r="J608" i="38" s="1"/>
  <c r="H607" i="38"/>
  <c r="J607" i="38" s="1"/>
  <c r="H606" i="38"/>
  <c r="J606" i="38" s="1"/>
  <c r="H604" i="38"/>
  <c r="J604" i="38" s="1"/>
  <c r="H603" i="38"/>
  <c r="J603" i="38" s="1"/>
  <c r="H602" i="38"/>
  <c r="J602" i="38" s="1"/>
  <c r="H601" i="38"/>
  <c r="J601" i="38" s="1"/>
  <c r="H600" i="38"/>
  <c r="J600" i="38" s="1"/>
  <c r="H599" i="38"/>
  <c r="J599" i="38" s="1"/>
  <c r="H598" i="38"/>
  <c r="J598" i="38" s="1"/>
  <c r="H597" i="38"/>
  <c r="J597" i="38" s="1"/>
  <c r="H596" i="38"/>
  <c r="J596" i="38" s="1"/>
  <c r="H595" i="38"/>
  <c r="J595" i="38" s="1"/>
  <c r="H594" i="38"/>
  <c r="J594" i="38" s="1"/>
  <c r="H593" i="38"/>
  <c r="J593" i="38" s="1"/>
  <c r="H592" i="38"/>
  <c r="J592" i="38" s="1"/>
  <c r="H591" i="38"/>
  <c r="J591" i="38" s="1"/>
  <c r="H590" i="38"/>
  <c r="J590" i="38" s="1"/>
  <c r="H589" i="38"/>
  <c r="J589" i="38" s="1"/>
  <c r="H588" i="38"/>
  <c r="J588" i="38" s="1"/>
  <c r="H587" i="38"/>
  <c r="J587" i="38" s="1"/>
  <c r="H585" i="38"/>
  <c r="J585" i="38" s="1"/>
  <c r="H584" i="38"/>
  <c r="J584" i="38" s="1"/>
  <c r="H583" i="38"/>
  <c r="J583" i="38" s="1"/>
  <c r="H582" i="38"/>
  <c r="J582" i="38" s="1"/>
  <c r="H581" i="38"/>
  <c r="J581" i="38" s="1"/>
  <c r="H580" i="38"/>
  <c r="J580" i="38" s="1"/>
  <c r="H579" i="38"/>
  <c r="J579" i="38" s="1"/>
  <c r="H578" i="38"/>
  <c r="J578" i="38" s="1"/>
  <c r="H576" i="38"/>
  <c r="J576" i="38" s="1"/>
  <c r="H575" i="38"/>
  <c r="J575" i="38" s="1"/>
  <c r="H574" i="38"/>
  <c r="J574" i="38" s="1"/>
  <c r="J573" i="38"/>
  <c r="H573" i="38"/>
  <c r="H572" i="38"/>
  <c r="J572" i="38" s="1"/>
  <c r="H571" i="38"/>
  <c r="J571" i="38" s="1"/>
  <c r="H570" i="38"/>
  <c r="J570" i="38" s="1"/>
  <c r="H569" i="38"/>
  <c r="J569" i="38" s="1"/>
  <c r="H568" i="38"/>
  <c r="J568" i="38" s="1"/>
  <c r="I567" i="38"/>
  <c r="H567" i="38"/>
  <c r="J567" i="38" s="1"/>
  <c r="I566" i="38"/>
  <c r="J566" i="38" s="1"/>
  <c r="H566" i="38"/>
  <c r="H565" i="38"/>
  <c r="J565" i="38" s="1"/>
  <c r="H564" i="38"/>
  <c r="J564" i="38" s="1"/>
  <c r="H563" i="38"/>
  <c r="J563" i="38" s="1"/>
  <c r="H562" i="38"/>
  <c r="J562" i="38" s="1"/>
  <c r="H561" i="38"/>
  <c r="J561" i="38" s="1"/>
  <c r="H560" i="38"/>
  <c r="J560" i="38" s="1"/>
  <c r="H559" i="38"/>
  <c r="J559" i="38" s="1"/>
  <c r="J558" i="38"/>
  <c r="H558" i="38"/>
  <c r="H557" i="38"/>
  <c r="J557" i="38" s="1"/>
  <c r="H555" i="38"/>
  <c r="J555" i="38" s="1"/>
  <c r="H554" i="38"/>
  <c r="J554" i="38" s="1"/>
  <c r="I553" i="38"/>
  <c r="H553" i="38"/>
  <c r="J553" i="38" s="1"/>
  <c r="I552" i="38"/>
  <c r="H552" i="38"/>
  <c r="H551" i="38"/>
  <c r="J551" i="38" s="1"/>
  <c r="J550" i="38"/>
  <c r="H550" i="38"/>
  <c r="H549" i="38"/>
  <c r="J549" i="38" s="1"/>
  <c r="H548" i="38"/>
  <c r="J548" i="38" s="1"/>
  <c r="I547" i="38"/>
  <c r="H547" i="38"/>
  <c r="J547" i="38" s="1"/>
  <c r="I546" i="38"/>
  <c r="H546" i="38"/>
  <c r="J546" i="38" s="1"/>
  <c r="I545" i="38"/>
  <c r="H545" i="38"/>
  <c r="J545" i="38" s="1"/>
  <c r="I544" i="38"/>
  <c r="J544" i="38" s="1"/>
  <c r="H544" i="38"/>
  <c r="I543" i="38"/>
  <c r="H543" i="38"/>
  <c r="J543" i="38" s="1"/>
  <c r="I542" i="38"/>
  <c r="H542" i="38"/>
  <c r="I541" i="38"/>
  <c r="H541" i="38"/>
  <c r="J541" i="38" s="1"/>
  <c r="I540" i="38"/>
  <c r="J540" i="38" s="1"/>
  <c r="H540" i="38"/>
  <c r="I539" i="38"/>
  <c r="H539" i="38"/>
  <c r="J539" i="38" s="1"/>
  <c r="I538" i="38"/>
  <c r="H538" i="38"/>
  <c r="H537" i="38"/>
  <c r="J537" i="38" s="1"/>
  <c r="H536" i="38"/>
  <c r="J536" i="38" s="1"/>
  <c r="H535" i="38"/>
  <c r="J535" i="38" s="1"/>
  <c r="H534" i="38"/>
  <c r="J534" i="38" s="1"/>
  <c r="J533" i="38"/>
  <c r="H533" i="38"/>
  <c r="H532" i="38"/>
  <c r="J532" i="38" s="1"/>
  <c r="J531" i="38"/>
  <c r="H531" i="38"/>
  <c r="H530" i="38"/>
  <c r="J530" i="38" s="1"/>
  <c r="H529" i="38"/>
  <c r="J529" i="38" s="1"/>
  <c r="H527" i="38"/>
  <c r="J527" i="38" s="1"/>
  <c r="H526" i="38"/>
  <c r="J526" i="38" s="1"/>
  <c r="H525" i="38"/>
  <c r="J525" i="38" s="1"/>
  <c r="J524" i="38"/>
  <c r="H524" i="38"/>
  <c r="H523" i="38"/>
  <c r="J523" i="38" s="1"/>
  <c r="J522" i="38"/>
  <c r="H522" i="38"/>
  <c r="H521" i="38"/>
  <c r="J521" i="38" s="1"/>
  <c r="H520" i="38"/>
  <c r="J520" i="38" s="1"/>
  <c r="H519" i="38"/>
  <c r="J519" i="38" s="1"/>
  <c r="H518" i="38"/>
  <c r="J518" i="38" s="1"/>
  <c r="H517" i="38"/>
  <c r="J517" i="38" s="1"/>
  <c r="H516" i="38"/>
  <c r="J516" i="38" s="1"/>
  <c r="H515" i="38"/>
  <c r="J515" i="38" s="1"/>
  <c r="J514" i="38"/>
  <c r="H514" i="38"/>
  <c r="H512" i="38"/>
  <c r="J512" i="38" s="1"/>
  <c r="H511" i="38"/>
  <c r="J511" i="38" s="1"/>
  <c r="H510" i="38"/>
  <c r="J510" i="38" s="1"/>
  <c r="H509" i="38"/>
  <c r="J509" i="38" s="1"/>
  <c r="H508" i="38"/>
  <c r="J508" i="38" s="1"/>
  <c r="J507" i="38"/>
  <c r="H507" i="38"/>
  <c r="H506" i="38"/>
  <c r="J506" i="38" s="1"/>
  <c r="J505" i="38"/>
  <c r="H505" i="38"/>
  <c r="H502" i="38"/>
  <c r="J502" i="38" s="1"/>
  <c r="H501" i="38"/>
  <c r="J501" i="38" s="1"/>
  <c r="H500" i="38"/>
  <c r="J500" i="38" s="1"/>
  <c r="H499" i="38"/>
  <c r="J499" i="38" s="1"/>
  <c r="H498" i="38"/>
  <c r="J498" i="38" s="1"/>
  <c r="H497" i="38"/>
  <c r="J497" i="38" s="1"/>
  <c r="H496" i="38"/>
  <c r="J496" i="38" s="1"/>
  <c r="J495" i="38"/>
  <c r="H495" i="38"/>
  <c r="H493" i="38"/>
  <c r="J493" i="38" s="1"/>
  <c r="H492" i="38"/>
  <c r="J492" i="38" s="1"/>
  <c r="H491" i="38"/>
  <c r="J491" i="38" s="1"/>
  <c r="H490" i="38"/>
  <c r="J490" i="38" s="1"/>
  <c r="H489" i="38"/>
  <c r="J489" i="38" s="1"/>
  <c r="H487" i="38"/>
  <c r="J487" i="38" s="1"/>
  <c r="H485" i="38"/>
  <c r="J485" i="38" s="1"/>
  <c r="J484" i="38"/>
  <c r="H484" i="38"/>
  <c r="I483" i="38"/>
  <c r="H483" i="38"/>
  <c r="J483" i="38" s="1"/>
  <c r="I482" i="38"/>
  <c r="H482" i="38"/>
  <c r="I481" i="38"/>
  <c r="H481" i="38"/>
  <c r="J481" i="38" s="1"/>
  <c r="J480" i="38"/>
  <c r="H480" i="38"/>
  <c r="H479" i="38"/>
  <c r="J479" i="38" s="1"/>
  <c r="H478" i="38"/>
  <c r="J478" i="38" s="1"/>
  <c r="H477" i="38"/>
  <c r="J477" i="38" s="1"/>
  <c r="H476" i="38"/>
  <c r="J476" i="38" s="1"/>
  <c r="H475" i="38"/>
  <c r="J475" i="38" s="1"/>
  <c r="H474" i="38"/>
  <c r="J474" i="38" s="1"/>
  <c r="H473" i="38"/>
  <c r="J473" i="38" s="1"/>
  <c r="H472" i="38"/>
  <c r="J472" i="38" s="1"/>
  <c r="H471" i="38"/>
  <c r="J471" i="38" s="1"/>
  <c r="H470" i="38"/>
  <c r="J470" i="38" s="1"/>
  <c r="H469" i="38"/>
  <c r="J469" i="38" s="1"/>
  <c r="J468" i="38"/>
  <c r="H468" i="38"/>
  <c r="H467" i="38"/>
  <c r="J467" i="38" s="1"/>
  <c r="H466" i="38"/>
  <c r="J466" i="38" s="1"/>
  <c r="H465" i="38"/>
  <c r="J465" i="38" s="1"/>
  <c r="H464" i="38"/>
  <c r="J464" i="38" s="1"/>
  <c r="H463" i="38"/>
  <c r="J463" i="38" s="1"/>
  <c r="H462" i="38"/>
  <c r="J462" i="38" s="1"/>
  <c r="H461" i="38"/>
  <c r="J461" i="38" s="1"/>
  <c r="H460" i="38"/>
  <c r="J460" i="38" s="1"/>
  <c r="H459" i="38"/>
  <c r="J459" i="38" s="1"/>
  <c r="H458" i="38"/>
  <c r="J458" i="38" s="1"/>
  <c r="H457" i="38"/>
  <c r="J457" i="38" s="1"/>
  <c r="H456" i="38"/>
  <c r="J456" i="38" s="1"/>
  <c r="H455" i="38"/>
  <c r="J455" i="38" s="1"/>
  <c r="H454" i="38"/>
  <c r="J454" i="38" s="1"/>
  <c r="H453" i="38"/>
  <c r="J453" i="38" s="1"/>
  <c r="J452" i="38"/>
  <c r="H452" i="38"/>
  <c r="H451" i="38"/>
  <c r="J451" i="38" s="1"/>
  <c r="H450" i="38"/>
  <c r="J450" i="38" s="1"/>
  <c r="H448" i="38"/>
  <c r="J448" i="38" s="1"/>
  <c r="H447" i="38"/>
  <c r="J447" i="38" s="1"/>
  <c r="H446" i="38"/>
  <c r="J446" i="38" s="1"/>
  <c r="H445" i="38"/>
  <c r="J445" i="38" s="1"/>
  <c r="H444" i="38"/>
  <c r="J444" i="38" s="1"/>
  <c r="H442" i="38"/>
  <c r="J442" i="38" s="1"/>
  <c r="H441" i="38"/>
  <c r="J441" i="38" s="1"/>
  <c r="H440" i="38"/>
  <c r="J440" i="38" s="1"/>
  <c r="H439" i="38"/>
  <c r="J439" i="38" s="1"/>
  <c r="H438" i="38"/>
  <c r="J438" i="38" s="1"/>
  <c r="H437" i="38"/>
  <c r="J437" i="38" s="1"/>
  <c r="H436" i="38"/>
  <c r="J436" i="38" s="1"/>
  <c r="H435" i="38"/>
  <c r="J435" i="38" s="1"/>
  <c r="J434" i="38"/>
  <c r="H434" i="38"/>
  <c r="H433" i="38"/>
  <c r="J433" i="38" s="1"/>
  <c r="H432" i="38"/>
  <c r="J432" i="38" s="1"/>
  <c r="H431" i="38"/>
  <c r="J431" i="38" s="1"/>
  <c r="J430" i="38"/>
  <c r="H430" i="38"/>
  <c r="H429" i="38"/>
  <c r="J429" i="38" s="1"/>
  <c r="H428" i="38"/>
  <c r="J428" i="38" s="1"/>
  <c r="H427" i="38"/>
  <c r="J427" i="38" s="1"/>
  <c r="H426" i="38"/>
  <c r="J426" i="38" s="1"/>
  <c r="H425" i="38"/>
  <c r="J425" i="38" s="1"/>
  <c r="H424" i="38"/>
  <c r="J424" i="38" s="1"/>
  <c r="H423" i="38"/>
  <c r="J423" i="38" s="1"/>
  <c r="H422" i="38"/>
  <c r="J422" i="38" s="1"/>
  <c r="H421" i="38"/>
  <c r="J421" i="38" s="1"/>
  <c r="H420" i="38"/>
  <c r="J420" i="38" s="1"/>
  <c r="H419" i="38"/>
  <c r="J419" i="38" s="1"/>
  <c r="J418" i="38"/>
  <c r="H418" i="38"/>
  <c r="H417" i="38"/>
  <c r="J417" i="38" s="1"/>
  <c r="H416" i="38"/>
  <c r="J416" i="38" s="1"/>
  <c r="H415" i="38"/>
  <c r="J415" i="38" s="1"/>
  <c r="H414" i="38"/>
  <c r="J414" i="38" s="1"/>
  <c r="H413" i="38"/>
  <c r="J413" i="38" s="1"/>
  <c r="H412" i="38"/>
  <c r="J412" i="38" s="1"/>
  <c r="H411" i="38"/>
  <c r="J411" i="38" s="1"/>
  <c r="H410" i="38"/>
  <c r="J410" i="38" s="1"/>
  <c r="H409" i="38"/>
  <c r="J409" i="38" s="1"/>
  <c r="H408" i="38"/>
  <c r="J408" i="38" s="1"/>
  <c r="H405" i="38"/>
  <c r="J405" i="38" s="1"/>
  <c r="H404" i="38"/>
  <c r="J404" i="38" s="1"/>
  <c r="H403" i="38"/>
  <c r="J403" i="38" s="1"/>
  <c r="H402" i="38"/>
  <c r="J402" i="38" s="1"/>
  <c r="H401" i="38"/>
  <c r="J401" i="38" s="1"/>
  <c r="J400" i="38"/>
  <c r="H400" i="38"/>
  <c r="H399" i="38"/>
  <c r="J399" i="38" s="1"/>
  <c r="H398" i="38"/>
  <c r="J398" i="38" s="1"/>
  <c r="H397" i="38"/>
  <c r="J397" i="38" s="1"/>
  <c r="J396" i="38"/>
  <c r="H396" i="38"/>
  <c r="H395" i="38"/>
  <c r="J395" i="38" s="1"/>
  <c r="H394" i="38"/>
  <c r="J394" i="38" s="1"/>
  <c r="H393" i="38"/>
  <c r="J393" i="38" s="1"/>
  <c r="H391" i="38"/>
  <c r="J391" i="38" s="1"/>
  <c r="H390" i="38"/>
  <c r="J390" i="38" s="1"/>
  <c r="H389" i="38"/>
  <c r="J389" i="38" s="1"/>
  <c r="H388" i="38"/>
  <c r="J388" i="38" s="1"/>
  <c r="J387" i="38"/>
  <c r="H387" i="38"/>
  <c r="H386" i="38"/>
  <c r="J386" i="38" s="1"/>
  <c r="H385" i="38"/>
  <c r="J385" i="38" s="1"/>
  <c r="H384" i="38"/>
  <c r="J384" i="38" s="1"/>
  <c r="J383" i="38"/>
  <c r="H383" i="38"/>
  <c r="H382" i="38"/>
  <c r="J382" i="38" s="1"/>
  <c r="H381" i="38"/>
  <c r="J381" i="38" s="1"/>
  <c r="H380" i="38"/>
  <c r="J380" i="38" s="1"/>
  <c r="J379" i="38"/>
  <c r="H379" i="38"/>
  <c r="H378" i="38"/>
  <c r="J378" i="38" s="1"/>
  <c r="H377" i="38"/>
  <c r="J377" i="38" s="1"/>
  <c r="H376" i="38"/>
  <c r="J376" i="38" s="1"/>
  <c r="H375" i="38"/>
  <c r="J375" i="38" s="1"/>
  <c r="H374" i="38"/>
  <c r="J374" i="38" s="1"/>
  <c r="H373" i="38"/>
  <c r="J373" i="38" s="1"/>
  <c r="H372" i="38"/>
  <c r="J372" i="38" s="1"/>
  <c r="H371" i="38"/>
  <c r="J371" i="38" s="1"/>
  <c r="H370" i="38"/>
  <c r="J370" i="38" s="1"/>
  <c r="H369" i="38"/>
  <c r="J369" i="38" s="1"/>
  <c r="H368" i="38"/>
  <c r="J368" i="38" s="1"/>
  <c r="J367" i="38"/>
  <c r="H367" i="38"/>
  <c r="H366" i="38"/>
  <c r="J366" i="38" s="1"/>
  <c r="H365" i="38"/>
  <c r="J365" i="38" s="1"/>
  <c r="H364" i="38"/>
  <c r="J364" i="38" s="1"/>
  <c r="J363" i="38"/>
  <c r="H363" i="38"/>
  <c r="H362" i="38"/>
  <c r="J362" i="38" s="1"/>
  <c r="H361" i="38"/>
  <c r="J361" i="38" s="1"/>
  <c r="H360" i="38"/>
  <c r="J360" i="38" s="1"/>
  <c r="H359" i="38"/>
  <c r="J359" i="38" s="1"/>
  <c r="H358" i="38"/>
  <c r="J358" i="38" s="1"/>
  <c r="H357" i="38"/>
  <c r="J357" i="38" s="1"/>
  <c r="H356" i="38"/>
  <c r="J356" i="38" s="1"/>
  <c r="J355" i="38"/>
  <c r="H355" i="38"/>
  <c r="H354" i="38"/>
  <c r="J354" i="38" s="1"/>
  <c r="H353" i="38"/>
  <c r="J353" i="38" s="1"/>
  <c r="H352" i="38"/>
  <c r="J352" i="38" s="1"/>
  <c r="J351" i="38"/>
  <c r="H351" i="38"/>
  <c r="H350" i="38"/>
  <c r="J350" i="38" s="1"/>
  <c r="H349" i="38"/>
  <c r="J349" i="38" s="1"/>
  <c r="H348" i="38"/>
  <c r="J348" i="38" s="1"/>
  <c r="J347" i="38"/>
  <c r="H347" i="38"/>
  <c r="H346" i="38"/>
  <c r="J346" i="38" s="1"/>
  <c r="H345" i="38"/>
  <c r="J345" i="38" s="1"/>
  <c r="H343" i="38"/>
  <c r="J343" i="38" s="1"/>
  <c r="H342" i="38"/>
  <c r="J342" i="38" s="1"/>
  <c r="H341" i="38"/>
  <c r="J341" i="38" s="1"/>
  <c r="H340" i="38"/>
  <c r="J340" i="38" s="1"/>
  <c r="H339" i="38"/>
  <c r="J339" i="38" s="1"/>
  <c r="H338" i="38"/>
  <c r="J338" i="38" s="1"/>
  <c r="H337" i="38"/>
  <c r="J337" i="38" s="1"/>
  <c r="H336" i="38"/>
  <c r="J336" i="38" s="1"/>
  <c r="H335" i="38"/>
  <c r="J335" i="38" s="1"/>
  <c r="J334" i="38"/>
  <c r="H334" i="38"/>
  <c r="H333" i="38"/>
  <c r="J333" i="38" s="1"/>
  <c r="H332" i="38"/>
  <c r="J332" i="38" s="1"/>
  <c r="H331" i="38"/>
  <c r="J331" i="38" s="1"/>
  <c r="J330" i="38"/>
  <c r="H330" i="38"/>
  <c r="H329" i="38"/>
  <c r="J329" i="38" s="1"/>
  <c r="H328" i="38"/>
  <c r="J328" i="38" s="1"/>
  <c r="H327" i="38"/>
  <c r="J327" i="38" s="1"/>
  <c r="H326" i="38"/>
  <c r="J326" i="38" s="1"/>
  <c r="H324" i="38"/>
  <c r="J324" i="38" s="1"/>
  <c r="H323" i="38"/>
  <c r="J323" i="38" s="1"/>
  <c r="H322" i="38"/>
  <c r="J322" i="38" s="1"/>
  <c r="J321" i="38"/>
  <c r="H321" i="38"/>
  <c r="H320" i="38"/>
  <c r="J320" i="38" s="1"/>
  <c r="H319" i="38"/>
  <c r="J319" i="38" s="1"/>
  <c r="H318" i="38"/>
  <c r="J318" i="38" s="1"/>
  <c r="J317" i="38"/>
  <c r="H317" i="38"/>
  <c r="H316" i="38"/>
  <c r="J316" i="38" s="1"/>
  <c r="H315" i="38"/>
  <c r="J315" i="38" s="1"/>
  <c r="H314" i="38"/>
  <c r="J314" i="38" s="1"/>
  <c r="J313" i="38"/>
  <c r="H313" i="38"/>
  <c r="H312" i="38"/>
  <c r="J312" i="38" s="1"/>
  <c r="H311" i="38"/>
  <c r="J311" i="38" s="1"/>
  <c r="H310" i="38"/>
  <c r="J310" i="38" s="1"/>
  <c r="H309" i="38"/>
  <c r="J309" i="38" s="1"/>
  <c r="H308" i="38"/>
  <c r="J308" i="38" s="1"/>
  <c r="H307" i="38"/>
  <c r="J307" i="38" s="1"/>
  <c r="H306" i="38"/>
  <c r="J306" i="38" s="1"/>
  <c r="H305" i="38"/>
  <c r="J305" i="38" s="1"/>
  <c r="H304" i="38"/>
  <c r="J304" i="38" s="1"/>
  <c r="H303" i="38"/>
  <c r="J303" i="38" s="1"/>
  <c r="H302" i="38"/>
  <c r="J302" i="38" s="1"/>
  <c r="J301" i="38"/>
  <c r="H301" i="38"/>
  <c r="H300" i="38"/>
  <c r="J300" i="38" s="1"/>
  <c r="H299" i="38"/>
  <c r="J299" i="38" s="1"/>
  <c r="H298" i="38"/>
  <c r="J298" i="38" s="1"/>
  <c r="H297" i="38"/>
  <c r="J297" i="38" s="1"/>
  <c r="H296" i="38"/>
  <c r="J296" i="38" s="1"/>
  <c r="H295" i="38"/>
  <c r="J295" i="38" s="1"/>
  <c r="H294" i="38"/>
  <c r="J294" i="38" s="1"/>
  <c r="J293" i="38"/>
  <c r="H293" i="38"/>
  <c r="H292" i="38"/>
  <c r="J292" i="38" s="1"/>
  <c r="H291" i="38"/>
  <c r="J291" i="38" s="1"/>
  <c r="H290" i="38"/>
  <c r="J290" i="38" s="1"/>
  <c r="H289" i="38"/>
  <c r="J289" i="38" s="1"/>
  <c r="H288" i="38"/>
  <c r="J288" i="38" s="1"/>
  <c r="H287" i="38"/>
  <c r="J287" i="38" s="1"/>
  <c r="H286" i="38"/>
  <c r="J286" i="38" s="1"/>
  <c r="J285" i="38"/>
  <c r="H285" i="38"/>
  <c r="H284" i="38"/>
  <c r="J284" i="38" s="1"/>
  <c r="H283" i="38"/>
  <c r="J283" i="38" s="1"/>
  <c r="H282" i="38"/>
  <c r="J282" i="38" s="1"/>
  <c r="H281" i="38"/>
  <c r="J281" i="38" s="1"/>
  <c r="H280" i="38"/>
  <c r="J280" i="38" s="1"/>
  <c r="H279" i="38"/>
  <c r="J279" i="38" s="1"/>
  <c r="H278" i="38"/>
  <c r="J278" i="38" s="1"/>
  <c r="J277" i="38"/>
  <c r="H277" i="38"/>
  <c r="H276" i="38"/>
  <c r="J276" i="38" s="1"/>
  <c r="H275" i="38"/>
  <c r="J275" i="38" s="1"/>
  <c r="H274" i="38"/>
  <c r="J274" i="38" s="1"/>
  <c r="H273" i="38"/>
  <c r="J273" i="38" s="1"/>
  <c r="H272" i="38"/>
  <c r="J272" i="38" s="1"/>
  <c r="H271" i="38"/>
  <c r="J271" i="38" s="1"/>
  <c r="H270" i="38"/>
  <c r="J270" i="38" s="1"/>
  <c r="J269" i="38"/>
  <c r="H269" i="38"/>
  <c r="H268" i="38"/>
  <c r="J268" i="38" s="1"/>
  <c r="H267" i="38"/>
  <c r="J267" i="38" s="1"/>
  <c r="H266" i="38"/>
  <c r="J266" i="38" s="1"/>
  <c r="H265" i="38"/>
  <c r="J265" i="38" s="1"/>
  <c r="H264" i="38"/>
  <c r="J264" i="38" s="1"/>
  <c r="H263" i="38"/>
  <c r="J263" i="38" s="1"/>
  <c r="H262" i="38"/>
  <c r="J262" i="38" s="1"/>
  <c r="J261" i="38"/>
  <c r="H261" i="38"/>
  <c r="J260" i="38"/>
  <c r="H260" i="38"/>
  <c r="J259" i="38"/>
  <c r="H259" i="38"/>
  <c r="J258" i="38"/>
  <c r="H258" i="38"/>
  <c r="J257" i="38"/>
  <c r="H257" i="38"/>
  <c r="J256" i="38"/>
  <c r="H256" i="38"/>
  <c r="J255" i="38"/>
  <c r="H255" i="38"/>
  <c r="J254" i="38"/>
  <c r="H254" i="38"/>
  <c r="J253" i="38"/>
  <c r="H253" i="38"/>
  <c r="J252" i="38"/>
  <c r="H252" i="38"/>
  <c r="J251" i="38"/>
  <c r="H251" i="38"/>
  <c r="J250" i="38"/>
  <c r="H250" i="38"/>
  <c r="J249" i="38"/>
  <c r="H249" i="38"/>
  <c r="J248" i="38"/>
  <c r="H248" i="38"/>
  <c r="J247" i="38"/>
  <c r="H247" i="38"/>
  <c r="J246" i="38"/>
  <c r="H246" i="38"/>
  <c r="J245" i="38"/>
  <c r="H245" i="38"/>
  <c r="J244" i="38"/>
  <c r="H244" i="38"/>
  <c r="J243" i="38"/>
  <c r="H243" i="38"/>
  <c r="J242" i="38"/>
  <c r="H242" i="38"/>
  <c r="J241" i="38"/>
  <c r="H241" i="38"/>
  <c r="J240" i="38"/>
  <c r="H240" i="38"/>
  <c r="J239" i="38"/>
  <c r="H239" i="38"/>
  <c r="J238" i="38"/>
  <c r="H238" i="38"/>
  <c r="J237" i="38"/>
  <c r="H237" i="38"/>
  <c r="J236" i="38"/>
  <c r="H236" i="38"/>
  <c r="J235" i="38"/>
  <c r="H235" i="38"/>
  <c r="J234" i="38"/>
  <c r="H234" i="38"/>
  <c r="J233" i="38"/>
  <c r="H233" i="38"/>
  <c r="J232" i="38"/>
  <c r="H232" i="38"/>
  <c r="J231" i="38"/>
  <c r="H231" i="38"/>
  <c r="J230" i="38"/>
  <c r="H230" i="38"/>
  <c r="J229" i="38"/>
  <c r="H229" i="38"/>
  <c r="J228" i="38"/>
  <c r="H228" i="38"/>
  <c r="J227" i="38"/>
  <c r="H227" i="38"/>
  <c r="J226" i="38"/>
  <c r="H226" i="38"/>
  <c r="J225" i="38"/>
  <c r="H225" i="38"/>
  <c r="J224" i="38"/>
  <c r="H224" i="38"/>
  <c r="J223" i="38"/>
  <c r="H223" i="38"/>
  <c r="J222" i="38"/>
  <c r="H222" i="38"/>
  <c r="J221" i="38"/>
  <c r="H221" i="38"/>
  <c r="J220" i="38"/>
  <c r="H220" i="38"/>
  <c r="J219" i="38"/>
  <c r="H219" i="38"/>
  <c r="J218" i="38"/>
  <c r="H218" i="38"/>
  <c r="J216" i="38"/>
  <c r="H216" i="38"/>
  <c r="J213" i="38"/>
  <c r="H213" i="38"/>
  <c r="J212" i="38"/>
  <c r="H212" i="38"/>
  <c r="J211" i="38"/>
  <c r="H211" i="38"/>
  <c r="J210" i="38"/>
  <c r="H210" i="38"/>
  <c r="J209" i="38"/>
  <c r="H209" i="38"/>
  <c r="J208" i="38"/>
  <c r="H208" i="38"/>
  <c r="J207" i="38"/>
  <c r="H207" i="38"/>
  <c r="J206" i="38"/>
  <c r="H206" i="38"/>
  <c r="J205" i="38"/>
  <c r="H205" i="38"/>
  <c r="J204" i="38"/>
  <c r="H204" i="38"/>
  <c r="J203" i="38"/>
  <c r="H203" i="38"/>
  <c r="J202" i="38"/>
  <c r="H202" i="38"/>
  <c r="H200" i="38"/>
  <c r="J200" i="38" s="1"/>
  <c r="H199" i="38"/>
  <c r="J199" i="38" s="1"/>
  <c r="H198" i="38"/>
  <c r="J198" i="38" s="1"/>
  <c r="H197" i="38"/>
  <c r="J197" i="38" s="1"/>
  <c r="J195" i="38"/>
  <c r="H195" i="38"/>
  <c r="J194" i="38"/>
  <c r="H194" i="38"/>
  <c r="J193" i="38"/>
  <c r="H193" i="38"/>
  <c r="J192" i="38"/>
  <c r="H192" i="38"/>
  <c r="J191" i="38"/>
  <c r="H191" i="38"/>
  <c r="J190" i="38"/>
  <c r="H190" i="38"/>
  <c r="J189" i="38"/>
  <c r="H189" i="38"/>
  <c r="J188" i="38"/>
  <c r="H188" i="38"/>
  <c r="J187" i="38"/>
  <c r="H187" i="38"/>
  <c r="J186" i="38"/>
  <c r="H186" i="38"/>
  <c r="J185" i="38"/>
  <c r="H185" i="38"/>
  <c r="J184" i="38"/>
  <c r="H184" i="38"/>
  <c r="J183" i="38"/>
  <c r="H183" i="38"/>
  <c r="J182" i="38"/>
  <c r="H182" i="38"/>
  <c r="J181" i="38"/>
  <c r="H181" i="38"/>
  <c r="J180" i="38"/>
  <c r="H180" i="38"/>
  <c r="J179" i="38"/>
  <c r="H179" i="38"/>
  <c r="J178" i="38"/>
  <c r="H178" i="38"/>
  <c r="J177" i="38"/>
  <c r="H177" i="38"/>
  <c r="J176" i="38"/>
  <c r="H176" i="38"/>
  <c r="J175" i="38"/>
  <c r="H175" i="38"/>
  <c r="J174" i="38"/>
  <c r="H174" i="38"/>
  <c r="J173" i="38"/>
  <c r="H173" i="38"/>
  <c r="J172" i="38"/>
  <c r="H172" i="38"/>
  <c r="J171" i="38"/>
  <c r="H171" i="38"/>
  <c r="J170" i="38"/>
  <c r="H170" i="38"/>
  <c r="J169" i="38"/>
  <c r="H169" i="38"/>
  <c r="J168" i="38"/>
  <c r="H168" i="38"/>
  <c r="J167" i="38"/>
  <c r="H167" i="38"/>
  <c r="J166" i="38"/>
  <c r="H166" i="38"/>
  <c r="J165" i="38"/>
  <c r="H165" i="38"/>
  <c r="J164" i="38"/>
  <c r="H164" i="38"/>
  <c r="J163" i="38"/>
  <c r="H163" i="38"/>
  <c r="J162" i="38"/>
  <c r="H162" i="38"/>
  <c r="J161" i="38"/>
  <c r="H161" i="38"/>
  <c r="J160" i="38"/>
  <c r="H160" i="38"/>
  <c r="J157" i="38"/>
  <c r="H157" i="38"/>
  <c r="J154" i="38"/>
  <c r="H154" i="38"/>
  <c r="J153" i="38"/>
  <c r="H153" i="38"/>
  <c r="J152" i="38"/>
  <c r="H152" i="38"/>
  <c r="J151" i="38"/>
  <c r="H151" i="38"/>
  <c r="J150" i="38"/>
  <c r="H150" i="38"/>
  <c r="J149" i="38"/>
  <c r="H149" i="38"/>
  <c r="J148" i="38"/>
  <c r="H148" i="38"/>
  <c r="J146" i="38"/>
  <c r="H146" i="38"/>
  <c r="J145" i="38"/>
  <c r="H145" i="38"/>
  <c r="J144" i="38"/>
  <c r="H144" i="38"/>
  <c r="J143" i="38"/>
  <c r="H143" i="38"/>
  <c r="J142" i="38"/>
  <c r="H142" i="38"/>
  <c r="J141" i="38"/>
  <c r="H141" i="38"/>
  <c r="J140" i="38"/>
  <c r="H140" i="38"/>
  <c r="J139" i="38"/>
  <c r="H139" i="38"/>
  <c r="J138" i="38"/>
  <c r="H138" i="38"/>
  <c r="J137" i="38"/>
  <c r="H137" i="38"/>
  <c r="J136" i="38"/>
  <c r="H136" i="38"/>
  <c r="J135" i="38"/>
  <c r="H135" i="38"/>
  <c r="J134" i="38"/>
  <c r="H134" i="38"/>
  <c r="J133" i="38"/>
  <c r="H133" i="38"/>
  <c r="J132" i="38"/>
  <c r="H132" i="38"/>
  <c r="J131" i="38"/>
  <c r="H131" i="38"/>
  <c r="J130" i="38"/>
  <c r="H130" i="38"/>
  <c r="J129" i="38"/>
  <c r="H129" i="38"/>
  <c r="J128" i="38"/>
  <c r="H128" i="38"/>
  <c r="J127" i="38"/>
  <c r="H127" i="38"/>
  <c r="J126" i="38"/>
  <c r="H126" i="38"/>
  <c r="J125" i="38"/>
  <c r="H125" i="38"/>
  <c r="J124" i="38"/>
  <c r="H124" i="38"/>
  <c r="J123" i="38"/>
  <c r="H123" i="38"/>
  <c r="J122" i="38"/>
  <c r="H122" i="38"/>
  <c r="J121" i="38"/>
  <c r="H121" i="38"/>
  <c r="J119" i="38"/>
  <c r="H119" i="38"/>
  <c r="J118" i="38"/>
  <c r="H118" i="38"/>
  <c r="J117" i="38"/>
  <c r="H117" i="38"/>
  <c r="J116" i="38"/>
  <c r="H116" i="38"/>
  <c r="J115" i="38"/>
  <c r="H115" i="38"/>
  <c r="J114" i="38"/>
  <c r="H114" i="38"/>
  <c r="J113" i="38"/>
  <c r="H113" i="38"/>
  <c r="J112" i="38"/>
  <c r="H112" i="38"/>
  <c r="J111" i="38"/>
  <c r="H111" i="38"/>
  <c r="J110" i="38"/>
  <c r="H110" i="38"/>
  <c r="J109" i="38"/>
  <c r="H109" i="38"/>
  <c r="J107" i="38"/>
  <c r="H107" i="38"/>
  <c r="J106" i="38"/>
  <c r="H106" i="38"/>
  <c r="J105" i="38"/>
  <c r="H105" i="38"/>
  <c r="J104" i="38"/>
  <c r="H104" i="38"/>
  <c r="J103" i="38"/>
  <c r="H103" i="38"/>
  <c r="J102" i="38"/>
  <c r="H102" i="38"/>
  <c r="J101" i="38"/>
  <c r="H101" i="38"/>
  <c r="J100" i="38"/>
  <c r="H100" i="38"/>
  <c r="J99" i="38"/>
  <c r="H99" i="38"/>
  <c r="J98" i="38"/>
  <c r="H98" i="38"/>
  <c r="J97" i="38"/>
  <c r="H97" i="38"/>
  <c r="J96" i="38"/>
  <c r="H96" i="38"/>
  <c r="J95" i="38"/>
  <c r="H95" i="38"/>
  <c r="J94" i="38"/>
  <c r="H94" i="38"/>
  <c r="J93" i="38"/>
  <c r="H93" i="38"/>
  <c r="J92" i="38"/>
  <c r="H92" i="38"/>
  <c r="J91" i="38"/>
  <c r="K196" i="38" s="1"/>
  <c r="H91" i="38"/>
  <c r="H89" i="38"/>
  <c r="J89" i="38" s="1"/>
  <c r="H88" i="38"/>
  <c r="J88" i="38" s="1"/>
  <c r="H86" i="38"/>
  <c r="J86" i="38" s="1"/>
  <c r="H85" i="38"/>
  <c r="J85" i="38" s="1"/>
  <c r="H84" i="38"/>
  <c r="J84" i="38" s="1"/>
  <c r="H83" i="38"/>
  <c r="J83" i="38" s="1"/>
  <c r="H82" i="38"/>
  <c r="J82" i="38" s="1"/>
  <c r="I81" i="38"/>
  <c r="H81" i="38"/>
  <c r="J81" i="38" s="1"/>
  <c r="H80" i="38"/>
  <c r="J80" i="38" s="1"/>
  <c r="H79" i="38"/>
  <c r="J79" i="38" s="1"/>
  <c r="H77" i="38"/>
  <c r="J77" i="38" s="1"/>
  <c r="H76" i="38"/>
  <c r="J76" i="38" s="1"/>
  <c r="H75" i="38"/>
  <c r="J75" i="38" s="1"/>
  <c r="H74" i="38"/>
  <c r="J74" i="38" s="1"/>
  <c r="H73" i="38"/>
  <c r="J73" i="38" s="1"/>
  <c r="H72" i="38"/>
  <c r="J72" i="38" s="1"/>
  <c r="H71" i="38"/>
  <c r="J71" i="38" s="1"/>
  <c r="H70" i="38"/>
  <c r="J70" i="38" s="1"/>
  <c r="H69" i="38"/>
  <c r="J69" i="38" s="1"/>
  <c r="H67" i="38"/>
  <c r="J67" i="38" s="1"/>
  <c r="H66" i="38"/>
  <c r="J66" i="38" s="1"/>
  <c r="H65" i="38"/>
  <c r="J65" i="38" s="1"/>
  <c r="H64" i="38"/>
  <c r="J64" i="38" s="1"/>
  <c r="H63" i="38"/>
  <c r="J63" i="38" s="1"/>
  <c r="H62" i="38"/>
  <c r="J62" i="38" s="1"/>
  <c r="H61" i="38"/>
  <c r="J61" i="38" s="1"/>
  <c r="H60" i="38"/>
  <c r="J60" i="38" s="1"/>
  <c r="H59" i="38"/>
  <c r="J59" i="38" s="1"/>
  <c r="H58" i="38"/>
  <c r="J58" i="38" s="1"/>
  <c r="H57" i="38"/>
  <c r="J57" i="38" s="1"/>
  <c r="H56" i="38"/>
  <c r="J56" i="38" s="1"/>
  <c r="H55" i="38"/>
  <c r="J55" i="38" s="1"/>
  <c r="H54" i="38"/>
  <c r="J54" i="38" s="1"/>
  <c r="H47" i="38"/>
  <c r="J47" i="38" s="1"/>
  <c r="J46" i="38"/>
  <c r="J45" i="38"/>
  <c r="H42" i="38"/>
  <c r="J42" i="38" s="1"/>
  <c r="H38" i="38"/>
  <c r="J38" i="38" s="1"/>
  <c r="H37" i="38"/>
  <c r="J37" i="38" s="1"/>
  <c r="H36" i="38"/>
  <c r="J36" i="38" s="1"/>
  <c r="H34" i="38"/>
  <c r="J34" i="38" s="1"/>
  <c r="H33" i="38"/>
  <c r="J33" i="38" s="1"/>
  <c r="H31" i="38"/>
  <c r="J31" i="38" s="1"/>
  <c r="H30" i="38"/>
  <c r="J30" i="38" s="1"/>
  <c r="H28" i="38"/>
  <c r="J28" i="38" s="1"/>
  <c r="H27" i="38"/>
  <c r="J27" i="38" s="1"/>
  <c r="I26" i="38"/>
  <c r="H26" i="38"/>
  <c r="J26" i="38" s="1"/>
  <c r="H25" i="38"/>
  <c r="J25" i="38" s="1"/>
  <c r="H24" i="38"/>
  <c r="J24" i="38" s="1"/>
  <c r="H23" i="38"/>
  <c r="J23" i="38" s="1"/>
  <c r="H22" i="38"/>
  <c r="J22" i="38" s="1"/>
  <c r="H21" i="38"/>
  <c r="J21" i="38" s="1"/>
  <c r="H19" i="38"/>
  <c r="J19" i="38" s="1"/>
  <c r="H18" i="38"/>
  <c r="J18" i="38" s="1"/>
  <c r="H17" i="38"/>
  <c r="J17" i="38" s="1"/>
  <c r="H16" i="38"/>
  <c r="J16" i="38" s="1"/>
  <c r="H15" i="38"/>
  <c r="J15" i="38" s="1"/>
  <c r="H14" i="38"/>
  <c r="J14" i="38" s="1"/>
  <c r="H13" i="38"/>
  <c r="J13" i="38" s="1"/>
  <c r="K29" i="38" l="1"/>
  <c r="K32" i="38"/>
  <c r="K43" i="38"/>
  <c r="K201" i="38"/>
  <c r="K885" i="38"/>
  <c r="K1022" i="38"/>
  <c r="K586" i="38"/>
  <c r="J1274" i="38"/>
  <c r="J1339" i="38"/>
  <c r="K1354" i="38" s="1"/>
  <c r="K1394" i="38"/>
  <c r="J538" i="38"/>
  <c r="J1026" i="38"/>
  <c r="K1029" i="38" s="1"/>
  <c r="K1252" i="38"/>
  <c r="K1276" i="38"/>
  <c r="J482" i="38"/>
  <c r="J542" i="38"/>
  <c r="J552" i="38"/>
  <c r="J1098" i="38"/>
  <c r="J1271" i="38"/>
  <c r="J1373" i="38"/>
  <c r="K90" i="38"/>
  <c r="J1473" i="38"/>
  <c r="K20" i="38"/>
  <c r="K35" i="38"/>
  <c r="K78" i="38"/>
  <c r="K605" i="38"/>
  <c r="K809" i="38"/>
  <c r="K577" i="38"/>
  <c r="J836" i="38"/>
  <c r="K872" i="38" s="1"/>
  <c r="K1066" i="38"/>
  <c r="K1081" i="38"/>
  <c r="K1458" i="38"/>
  <c r="J1086" i="38"/>
  <c r="K1282" i="38"/>
  <c r="K1310" i="38"/>
  <c r="K1335" i="38"/>
  <c r="K1387" i="38"/>
  <c r="K1472" i="38"/>
  <c r="K1099" i="38" l="1"/>
  <c r="K1473" i="38"/>
  <c r="H1494" i="37" l="1"/>
  <c r="J1494" i="37" s="1"/>
  <c r="H1493" i="37"/>
  <c r="J1493" i="37" s="1"/>
  <c r="H1492" i="37"/>
  <c r="J1492" i="37" s="1"/>
  <c r="J1491" i="37"/>
  <c r="J1490" i="37"/>
  <c r="H1490" i="37"/>
  <c r="J1489" i="37"/>
  <c r="H1489" i="37"/>
  <c r="J1488" i="37"/>
  <c r="H1488" i="37"/>
  <c r="H1485" i="37"/>
  <c r="J1485" i="37" s="1"/>
  <c r="J1484" i="37"/>
  <c r="H1484" i="37"/>
  <c r="H1483" i="37"/>
  <c r="J1483" i="37" s="1"/>
  <c r="H1482" i="37"/>
  <c r="J1482" i="37" s="1"/>
  <c r="H1481" i="37"/>
  <c r="J1481" i="37" s="1"/>
  <c r="J1479" i="37"/>
  <c r="H1477" i="37"/>
  <c r="J1477" i="37" s="1"/>
  <c r="J1476" i="37"/>
  <c r="H1476" i="37"/>
  <c r="H1473" i="37"/>
  <c r="J1473" i="37" s="1"/>
  <c r="H1472" i="37"/>
  <c r="J1472" i="37" s="1"/>
  <c r="H1471" i="37"/>
  <c r="J1471" i="37" s="1"/>
  <c r="H1470" i="37"/>
  <c r="J1470" i="37" s="1"/>
  <c r="H1469" i="37"/>
  <c r="J1469" i="37" s="1"/>
  <c r="J1468" i="37"/>
  <c r="H1468" i="37"/>
  <c r="H1467" i="37"/>
  <c r="J1467" i="37" s="1"/>
  <c r="J1466" i="37"/>
  <c r="H1466" i="37"/>
  <c r="H1465" i="37"/>
  <c r="J1465" i="37" s="1"/>
  <c r="H1464" i="37"/>
  <c r="J1464" i="37" s="1"/>
  <c r="H1463" i="37"/>
  <c r="J1463" i="37" s="1"/>
  <c r="H1462" i="37"/>
  <c r="J1462" i="37" s="1"/>
  <c r="H1461" i="37"/>
  <c r="J1461" i="37" s="1"/>
  <c r="J1460" i="37"/>
  <c r="H1460" i="37"/>
  <c r="H1459" i="37"/>
  <c r="J1459" i="37" s="1"/>
  <c r="J1458" i="37"/>
  <c r="H1458" i="37"/>
  <c r="H1457" i="37"/>
  <c r="J1457" i="37" s="1"/>
  <c r="J1456" i="37"/>
  <c r="H1456" i="37"/>
  <c r="H1455" i="37"/>
  <c r="J1455" i="37" s="1"/>
  <c r="H1454" i="37"/>
  <c r="J1454" i="37" s="1"/>
  <c r="H1453" i="37"/>
  <c r="J1453" i="37" s="1"/>
  <c r="H1452" i="37"/>
  <c r="J1452" i="37" s="1"/>
  <c r="H1451" i="37"/>
  <c r="J1451" i="37" s="1"/>
  <c r="J1450" i="37"/>
  <c r="H1450" i="37"/>
  <c r="H1449" i="37"/>
  <c r="J1449" i="37" s="1"/>
  <c r="H1448" i="37"/>
  <c r="J1448" i="37" s="1"/>
  <c r="H1447" i="37"/>
  <c r="J1447" i="37" s="1"/>
  <c r="H1446" i="37"/>
  <c r="J1446" i="37" s="1"/>
  <c r="H1445" i="37"/>
  <c r="J1445" i="37" s="1"/>
  <c r="H1444" i="37"/>
  <c r="J1444" i="37" s="1"/>
  <c r="H1443" i="37"/>
  <c r="J1443" i="37" s="1"/>
  <c r="J1442" i="37"/>
  <c r="H1442" i="37"/>
  <c r="H1441" i="37"/>
  <c r="J1441" i="37" s="1"/>
  <c r="J1440" i="37"/>
  <c r="H1440" i="37"/>
  <c r="H1439" i="37"/>
  <c r="J1439" i="37" s="1"/>
  <c r="H1438" i="37"/>
  <c r="J1438" i="37" s="1"/>
  <c r="H1437" i="37"/>
  <c r="J1437" i="37" s="1"/>
  <c r="H1436" i="37"/>
  <c r="J1436" i="37" s="1"/>
  <c r="H1435" i="37"/>
  <c r="J1435" i="37" s="1"/>
  <c r="J1434" i="37"/>
  <c r="H1434" i="37"/>
  <c r="H1433" i="37"/>
  <c r="J1433" i="37" s="1"/>
  <c r="H1432" i="37"/>
  <c r="J1432" i="37" s="1"/>
  <c r="H1431" i="37"/>
  <c r="J1431" i="37" s="1"/>
  <c r="H1430" i="37"/>
  <c r="J1430" i="37" s="1"/>
  <c r="H1429" i="37"/>
  <c r="J1429" i="37" s="1"/>
  <c r="H1428" i="37"/>
  <c r="J1428" i="37" s="1"/>
  <c r="H1427" i="37"/>
  <c r="J1427" i="37" s="1"/>
  <c r="J1426" i="37"/>
  <c r="H1426" i="37"/>
  <c r="H1425" i="37"/>
  <c r="J1425" i="37" s="1"/>
  <c r="J1424" i="37"/>
  <c r="H1424" i="37"/>
  <c r="H1423" i="37"/>
  <c r="J1423" i="37" s="1"/>
  <c r="H1422" i="37"/>
  <c r="J1422" i="37" s="1"/>
  <c r="H1421" i="37"/>
  <c r="J1421" i="37" s="1"/>
  <c r="H1420" i="37"/>
  <c r="J1420" i="37" s="1"/>
  <c r="H1419" i="37"/>
  <c r="J1419" i="37" s="1"/>
  <c r="J1418" i="37"/>
  <c r="H1418" i="37"/>
  <c r="H1417" i="37"/>
  <c r="J1417" i="37" s="1"/>
  <c r="H1416" i="37"/>
  <c r="J1416" i="37" s="1"/>
  <c r="H1414" i="37"/>
  <c r="J1414" i="37" s="1"/>
  <c r="H1413" i="37"/>
  <c r="J1413" i="37" s="1"/>
  <c r="H1412" i="37"/>
  <c r="J1412" i="37" s="1"/>
  <c r="H1411" i="37"/>
  <c r="J1411" i="37" s="1"/>
  <c r="H1410" i="37"/>
  <c r="J1410" i="37" s="1"/>
  <c r="J1409" i="37"/>
  <c r="H1409" i="37"/>
  <c r="H1407" i="37"/>
  <c r="J1407" i="37" s="1"/>
  <c r="H1406" i="37"/>
  <c r="J1406" i="37" s="1"/>
  <c r="H1405" i="37"/>
  <c r="J1405" i="37" s="1"/>
  <c r="H1404" i="37"/>
  <c r="J1404" i="37" s="1"/>
  <c r="H1403" i="37"/>
  <c r="H1402" i="37"/>
  <c r="H1401" i="37"/>
  <c r="H1400" i="37"/>
  <c r="H1398" i="37"/>
  <c r="H1396" i="37"/>
  <c r="J1396" i="37" s="1"/>
  <c r="H1395" i="37"/>
  <c r="H1394" i="37"/>
  <c r="H1393" i="37"/>
  <c r="J1393" i="37" s="1"/>
  <c r="H1392" i="37"/>
  <c r="J1392" i="37" s="1"/>
  <c r="H1391" i="37"/>
  <c r="H1390" i="37"/>
  <c r="J1390" i="37" s="1"/>
  <c r="H1389" i="37"/>
  <c r="J1389" i="37" s="1"/>
  <c r="H1388" i="37"/>
  <c r="J1388" i="37" s="1"/>
  <c r="J1387" i="37"/>
  <c r="H1387" i="37"/>
  <c r="H1386" i="37"/>
  <c r="J1386" i="37" s="1"/>
  <c r="J1385" i="37"/>
  <c r="H1385" i="37"/>
  <c r="H1384" i="37"/>
  <c r="J1384" i="37" s="1"/>
  <c r="H1383" i="37"/>
  <c r="J1383" i="37" s="1"/>
  <c r="H1382" i="37"/>
  <c r="J1382" i="37" s="1"/>
  <c r="H1381" i="37"/>
  <c r="J1381" i="37" s="1"/>
  <c r="H1380" i="37"/>
  <c r="J1380" i="37" s="1"/>
  <c r="I1379" i="37"/>
  <c r="H1379" i="37"/>
  <c r="H1378" i="37"/>
  <c r="J1378" i="37" s="1"/>
  <c r="H1377" i="37"/>
  <c r="J1377" i="37" s="1"/>
  <c r="H1376" i="37"/>
  <c r="J1376" i="37" s="1"/>
  <c r="H1374" i="37"/>
  <c r="J1374" i="37" s="1"/>
  <c r="J1373" i="37"/>
  <c r="H1373" i="37"/>
  <c r="H1372" i="37"/>
  <c r="J1372" i="37" s="1"/>
  <c r="J1371" i="37"/>
  <c r="H1371" i="37"/>
  <c r="H1370" i="37"/>
  <c r="J1370" i="37" s="1"/>
  <c r="H1369" i="37"/>
  <c r="J1369" i="37" s="1"/>
  <c r="H1368" i="37"/>
  <c r="J1368" i="37" s="1"/>
  <c r="H1367" i="37"/>
  <c r="J1367" i="37" s="1"/>
  <c r="H1366" i="37"/>
  <c r="J1366" i="37" s="1"/>
  <c r="J1365" i="37"/>
  <c r="H1365" i="37"/>
  <c r="H1364" i="37"/>
  <c r="J1364" i="37" s="1"/>
  <c r="H1362" i="37"/>
  <c r="J1362" i="37" s="1"/>
  <c r="J1360" i="37"/>
  <c r="H1360" i="37"/>
  <c r="H1359" i="37"/>
  <c r="J1359" i="37" s="1"/>
  <c r="H1358" i="37"/>
  <c r="J1358" i="37" s="1"/>
  <c r="H1357" i="37"/>
  <c r="J1357" i="37" s="1"/>
  <c r="H1356" i="37"/>
  <c r="H1355" i="37"/>
  <c r="H1354" i="37"/>
  <c r="J1354" i="37" s="1"/>
  <c r="H1353" i="37"/>
  <c r="J1353" i="37" s="1"/>
  <c r="H1352" i="37"/>
  <c r="J1352" i="37" s="1"/>
  <c r="J1351" i="37"/>
  <c r="H1351" i="37"/>
  <c r="H1350" i="37"/>
  <c r="J1350" i="37" s="1"/>
  <c r="H1349" i="37"/>
  <c r="J1349" i="37" s="1"/>
  <c r="H1348" i="37"/>
  <c r="J1348" i="37" s="1"/>
  <c r="H1347" i="37"/>
  <c r="J1347" i="37" s="1"/>
  <c r="H1346" i="37"/>
  <c r="J1346" i="37" s="1"/>
  <c r="J1344" i="37"/>
  <c r="H1343" i="37"/>
  <c r="J1343" i="37" s="1"/>
  <c r="H1342" i="37"/>
  <c r="J1342" i="37" s="1"/>
  <c r="H1341" i="37"/>
  <c r="J1341" i="37" s="1"/>
  <c r="H1340" i="37"/>
  <c r="H1339" i="37"/>
  <c r="H1338" i="37"/>
  <c r="J1338" i="37" s="1"/>
  <c r="H1337" i="37"/>
  <c r="J1337" i="37" s="1"/>
  <c r="J1336" i="37"/>
  <c r="H1336" i="37"/>
  <c r="H1335" i="37"/>
  <c r="J1335" i="37" s="1"/>
  <c r="H1334" i="37"/>
  <c r="J1334" i="37" s="1"/>
  <c r="H1333" i="37"/>
  <c r="J1333" i="37" s="1"/>
  <c r="H1332" i="37"/>
  <c r="J1332" i="37" s="1"/>
  <c r="J1330" i="37"/>
  <c r="H1330" i="37"/>
  <c r="H1329" i="37"/>
  <c r="J1329" i="37" s="1"/>
  <c r="J1328" i="37"/>
  <c r="H1328" i="37"/>
  <c r="H1327" i="37"/>
  <c r="J1327" i="37" s="1"/>
  <c r="H1326" i="37"/>
  <c r="J1326" i="37" s="1"/>
  <c r="H1324" i="37"/>
  <c r="J1324" i="37" s="1"/>
  <c r="I1323" i="37"/>
  <c r="H1323" i="37"/>
  <c r="J1323" i="37" s="1"/>
  <c r="J1322" i="37"/>
  <c r="H1322" i="37"/>
  <c r="H1321" i="37"/>
  <c r="J1321" i="37" s="1"/>
  <c r="H1320" i="37"/>
  <c r="J1320" i="37" s="1"/>
  <c r="H1319" i="37"/>
  <c r="J1319" i="37" s="1"/>
  <c r="H1318" i="37"/>
  <c r="J1318" i="37" s="1"/>
  <c r="I1317" i="37"/>
  <c r="H1317" i="37"/>
  <c r="J1317" i="37" s="1"/>
  <c r="H1316" i="37"/>
  <c r="J1316" i="37" s="1"/>
  <c r="H1315" i="37"/>
  <c r="J1315" i="37" s="1"/>
  <c r="J1314" i="37"/>
  <c r="H1314" i="37"/>
  <c r="H1313" i="37"/>
  <c r="J1313" i="37" s="1"/>
  <c r="J1312" i="37"/>
  <c r="H1312" i="37"/>
  <c r="H1311" i="37"/>
  <c r="J1311" i="37" s="1"/>
  <c r="H1309" i="37"/>
  <c r="J1309" i="37" s="1"/>
  <c r="J1308" i="37"/>
  <c r="H1308" i="37"/>
  <c r="I1307" i="37"/>
  <c r="H1307" i="37"/>
  <c r="J1307" i="37" s="1"/>
  <c r="H1306" i="37"/>
  <c r="J1306" i="37" s="1"/>
  <c r="H1305" i="37"/>
  <c r="H1304" i="37"/>
  <c r="J1304" i="37" s="1"/>
  <c r="H1302" i="37"/>
  <c r="J1302" i="37" s="1"/>
  <c r="H1301" i="37"/>
  <c r="J1301" i="37" s="1"/>
  <c r="H1300" i="37"/>
  <c r="J1300" i="37" s="1"/>
  <c r="H1299" i="37"/>
  <c r="J1299" i="37" s="1"/>
  <c r="H1298" i="37"/>
  <c r="J1298" i="37" s="1"/>
  <c r="H1297" i="37"/>
  <c r="J1297" i="37" s="1"/>
  <c r="H1296" i="37"/>
  <c r="J1296" i="37" s="1"/>
  <c r="H1295" i="37"/>
  <c r="J1295" i="37" s="1"/>
  <c r="H1294" i="37"/>
  <c r="J1294" i="37" s="1"/>
  <c r="H1293" i="37"/>
  <c r="J1293" i="37" s="1"/>
  <c r="H1292" i="37"/>
  <c r="J1292" i="37" s="1"/>
  <c r="H1291" i="37"/>
  <c r="J1291" i="37" s="1"/>
  <c r="H1290" i="37"/>
  <c r="H1289" i="37"/>
  <c r="H1288" i="37"/>
  <c r="H1287" i="37"/>
  <c r="J1287" i="37" s="1"/>
  <c r="J1286" i="37"/>
  <c r="H1286" i="37"/>
  <c r="H1285" i="37"/>
  <c r="J1285" i="37" s="1"/>
  <c r="I1284" i="37"/>
  <c r="H1284" i="37"/>
  <c r="J1284" i="37" s="1"/>
  <c r="H1283" i="37"/>
  <c r="J1283" i="37" s="1"/>
  <c r="H1282" i="37"/>
  <c r="J1282" i="37" s="1"/>
  <c r="H1281" i="37"/>
  <c r="J1281" i="37" s="1"/>
  <c r="H1280" i="37"/>
  <c r="J1280" i="37" s="1"/>
  <c r="H1279" i="37"/>
  <c r="J1279" i="37" s="1"/>
  <c r="H1278" i="37"/>
  <c r="J1278" i="37" s="1"/>
  <c r="H1277" i="37"/>
  <c r="J1277" i="37" s="1"/>
  <c r="H1276" i="37"/>
  <c r="J1276" i="37" s="1"/>
  <c r="H1275" i="37"/>
  <c r="J1275" i="37" s="1"/>
  <c r="H1274" i="37"/>
  <c r="J1274" i="37" s="1"/>
  <c r="H1273" i="37"/>
  <c r="J1273" i="37" s="1"/>
  <c r="H1272" i="37"/>
  <c r="J1272" i="37" s="1"/>
  <c r="H1271" i="37"/>
  <c r="J1271" i="37" s="1"/>
  <c r="H1270" i="37"/>
  <c r="J1270" i="37" s="1"/>
  <c r="H1269" i="37"/>
  <c r="J1269" i="37" s="1"/>
  <c r="H1268" i="37"/>
  <c r="J1268" i="37" s="1"/>
  <c r="H1267" i="37"/>
  <c r="J1267" i="37" s="1"/>
  <c r="H1266" i="37"/>
  <c r="J1266" i="37" s="1"/>
  <c r="H1265" i="37"/>
  <c r="J1265" i="37" s="1"/>
  <c r="H1264" i="37"/>
  <c r="J1264" i="37" s="1"/>
  <c r="H1263" i="37"/>
  <c r="J1263" i="37" s="1"/>
  <c r="H1262" i="37"/>
  <c r="J1262" i="37" s="1"/>
  <c r="H1261" i="37"/>
  <c r="J1261" i="37" s="1"/>
  <c r="H1260" i="37"/>
  <c r="J1260" i="37" s="1"/>
  <c r="H1259" i="37"/>
  <c r="J1259" i="37" s="1"/>
  <c r="H1258" i="37"/>
  <c r="J1258" i="37" s="1"/>
  <c r="H1257" i="37"/>
  <c r="J1257" i="37" s="1"/>
  <c r="H1256" i="37"/>
  <c r="J1256" i="37" s="1"/>
  <c r="H1255" i="37"/>
  <c r="J1255" i="37" s="1"/>
  <c r="H1254" i="37"/>
  <c r="J1254" i="37" s="1"/>
  <c r="H1253" i="37"/>
  <c r="J1253" i="37" s="1"/>
  <c r="H1252" i="37"/>
  <c r="J1252" i="37" s="1"/>
  <c r="H1251" i="37"/>
  <c r="J1251" i="37" s="1"/>
  <c r="H1250" i="37"/>
  <c r="J1250" i="37" s="1"/>
  <c r="H1249" i="37"/>
  <c r="J1249" i="37" s="1"/>
  <c r="H1248" i="37"/>
  <c r="J1248" i="37" s="1"/>
  <c r="H1247" i="37"/>
  <c r="H1246" i="37"/>
  <c r="J1246" i="37" s="1"/>
  <c r="J1245" i="37"/>
  <c r="H1245" i="37"/>
  <c r="H1244" i="37"/>
  <c r="J1244" i="37" s="1"/>
  <c r="J1243" i="37"/>
  <c r="H1243" i="37"/>
  <c r="H1242" i="37"/>
  <c r="J1242" i="37" s="1"/>
  <c r="J1241" i="37"/>
  <c r="H1241" i="37"/>
  <c r="H1240" i="37"/>
  <c r="J1240" i="37" s="1"/>
  <c r="H1239" i="37"/>
  <c r="H1238" i="37"/>
  <c r="J1238" i="37" s="1"/>
  <c r="H1237" i="37"/>
  <c r="J1237" i="37" s="1"/>
  <c r="H1236" i="37"/>
  <c r="J1236" i="37" s="1"/>
  <c r="H1235" i="37"/>
  <c r="J1235" i="37" s="1"/>
  <c r="H1234" i="37"/>
  <c r="J1234" i="37" s="1"/>
  <c r="H1233" i="37"/>
  <c r="J1233" i="37" s="1"/>
  <c r="H1232" i="37"/>
  <c r="J1232" i="37" s="1"/>
  <c r="H1231" i="37"/>
  <c r="J1231" i="37" s="1"/>
  <c r="H1230" i="37"/>
  <c r="J1230" i="37" s="1"/>
  <c r="H1229" i="37"/>
  <c r="J1229" i="37" s="1"/>
  <c r="H1228" i="37"/>
  <c r="J1228" i="37" s="1"/>
  <c r="H1227" i="37"/>
  <c r="J1227" i="37" s="1"/>
  <c r="H1226" i="37"/>
  <c r="J1226" i="37" s="1"/>
  <c r="H1225" i="37"/>
  <c r="J1225" i="37" s="1"/>
  <c r="H1224" i="37"/>
  <c r="J1224" i="37" s="1"/>
  <c r="H1223" i="37"/>
  <c r="J1223" i="37" s="1"/>
  <c r="H1222" i="37"/>
  <c r="J1222" i="37" s="1"/>
  <c r="H1221" i="37"/>
  <c r="H1220" i="37"/>
  <c r="H1219" i="37"/>
  <c r="H1218" i="37"/>
  <c r="J1218" i="37" s="1"/>
  <c r="H1217" i="37"/>
  <c r="J1217" i="37" s="1"/>
  <c r="I1216" i="37"/>
  <c r="H1216" i="37"/>
  <c r="J1216" i="37" s="1"/>
  <c r="I1215" i="37"/>
  <c r="J1215" i="37" s="1"/>
  <c r="H1215" i="37"/>
  <c r="I1214" i="37"/>
  <c r="H1214" i="37"/>
  <c r="J1214" i="37" s="1"/>
  <c r="H1213" i="37"/>
  <c r="H1212" i="37"/>
  <c r="J1212" i="37" s="1"/>
  <c r="J1211" i="37"/>
  <c r="H1211" i="37"/>
  <c r="H1210" i="37"/>
  <c r="J1210" i="37" s="1"/>
  <c r="H1209" i="37"/>
  <c r="J1209" i="37" s="1"/>
  <c r="H1208" i="37"/>
  <c r="J1208" i="37" s="1"/>
  <c r="H1207" i="37"/>
  <c r="J1207" i="37" s="1"/>
  <c r="H1206" i="37"/>
  <c r="J1206" i="37" s="1"/>
  <c r="J1205" i="37"/>
  <c r="H1205" i="37"/>
  <c r="H1204" i="37"/>
  <c r="J1204" i="37" s="1"/>
  <c r="J1203" i="37"/>
  <c r="H1203" i="37"/>
  <c r="H1202" i="37"/>
  <c r="J1202" i="37" s="1"/>
  <c r="H1201" i="37"/>
  <c r="J1201" i="37" s="1"/>
  <c r="H1200" i="37"/>
  <c r="J1200" i="37" s="1"/>
  <c r="H1199" i="37"/>
  <c r="J1199" i="37" s="1"/>
  <c r="H1198" i="37"/>
  <c r="J1198" i="37" s="1"/>
  <c r="J1197" i="37"/>
  <c r="H1197" i="37"/>
  <c r="H1196" i="37"/>
  <c r="J1196" i="37" s="1"/>
  <c r="J1195" i="37"/>
  <c r="H1195" i="37"/>
  <c r="H1194" i="37"/>
  <c r="J1194" i="37" s="1"/>
  <c r="H1193" i="37"/>
  <c r="J1193" i="37" s="1"/>
  <c r="H1192" i="37"/>
  <c r="J1192" i="37" s="1"/>
  <c r="H1191" i="37"/>
  <c r="J1191" i="37" s="1"/>
  <c r="H1190" i="37"/>
  <c r="J1190" i="37" s="1"/>
  <c r="J1189" i="37"/>
  <c r="H1189" i="37"/>
  <c r="H1188" i="37"/>
  <c r="H1187" i="37"/>
  <c r="J1186" i="37"/>
  <c r="H1186" i="37"/>
  <c r="H1185" i="37"/>
  <c r="J1185" i="37" s="1"/>
  <c r="J1184" i="37"/>
  <c r="H1184" i="37"/>
  <c r="H1183" i="37"/>
  <c r="J1183" i="37" s="1"/>
  <c r="H1182" i="37"/>
  <c r="J1182" i="37" s="1"/>
  <c r="H1181" i="37"/>
  <c r="J1181" i="37" s="1"/>
  <c r="H1180" i="37"/>
  <c r="J1180" i="37" s="1"/>
  <c r="H1179" i="37"/>
  <c r="J1179" i="37" s="1"/>
  <c r="J1178" i="37"/>
  <c r="H1178" i="37"/>
  <c r="H1177" i="37"/>
  <c r="J1177" i="37" s="1"/>
  <c r="J1176" i="37"/>
  <c r="H1176" i="37"/>
  <c r="H1175" i="37"/>
  <c r="J1175" i="37" s="1"/>
  <c r="H1174" i="37"/>
  <c r="J1174" i="37" s="1"/>
  <c r="H1173" i="37"/>
  <c r="J1173" i="37" s="1"/>
  <c r="H1172" i="37"/>
  <c r="J1172" i="37" s="1"/>
  <c r="H1171" i="37"/>
  <c r="J1171" i="37" s="1"/>
  <c r="J1170" i="37"/>
  <c r="H1170" i="37"/>
  <c r="H1169" i="37"/>
  <c r="J1169" i="37" s="1"/>
  <c r="J1168" i="37"/>
  <c r="H1168" i="37"/>
  <c r="H1167" i="37"/>
  <c r="J1167" i="37" s="1"/>
  <c r="H1166" i="37"/>
  <c r="J1166" i="37" s="1"/>
  <c r="H1165" i="37"/>
  <c r="J1165" i="37" s="1"/>
  <c r="H1164" i="37"/>
  <c r="J1164" i="37" s="1"/>
  <c r="H1163" i="37"/>
  <c r="J1163" i="37" s="1"/>
  <c r="J1162" i="37"/>
  <c r="H1162" i="37"/>
  <c r="H1161" i="37"/>
  <c r="J1161" i="37" s="1"/>
  <c r="J1160" i="37"/>
  <c r="H1160" i="37"/>
  <c r="H1159" i="37"/>
  <c r="J1159" i="37" s="1"/>
  <c r="H1158" i="37"/>
  <c r="J1158" i="37" s="1"/>
  <c r="H1157" i="37"/>
  <c r="J1157" i="37" s="1"/>
  <c r="I1156" i="37"/>
  <c r="H1156" i="37"/>
  <c r="J1156" i="37" s="1"/>
  <c r="H1155" i="37"/>
  <c r="J1155" i="37" s="1"/>
  <c r="H1154" i="37"/>
  <c r="J1154" i="37" s="1"/>
  <c r="H1152" i="37"/>
  <c r="J1152" i="37" s="1"/>
  <c r="I1151" i="37"/>
  <c r="H1151" i="37"/>
  <c r="H1150" i="37"/>
  <c r="J1150" i="37" s="1"/>
  <c r="H1149" i="37"/>
  <c r="J1149" i="37" s="1"/>
  <c r="H1148" i="37"/>
  <c r="J1148" i="37" s="1"/>
  <c r="H1147" i="37"/>
  <c r="J1147" i="37" s="1"/>
  <c r="I1146" i="37"/>
  <c r="H1146" i="37"/>
  <c r="J1146" i="37" s="1"/>
  <c r="I1144" i="37"/>
  <c r="H1144" i="37"/>
  <c r="H1143" i="37"/>
  <c r="J1143" i="37" s="1"/>
  <c r="J1142" i="37"/>
  <c r="H1142" i="37"/>
  <c r="H1141" i="37"/>
  <c r="J1141" i="37" s="1"/>
  <c r="I1140" i="37"/>
  <c r="H1140" i="37"/>
  <c r="H1139" i="37"/>
  <c r="J1139" i="37" s="1"/>
  <c r="H1138" i="37"/>
  <c r="J1138" i="37" s="1"/>
  <c r="H1137" i="37"/>
  <c r="J1137" i="37" s="1"/>
  <c r="H1136" i="37"/>
  <c r="J1136" i="37" s="1"/>
  <c r="H1135" i="37"/>
  <c r="J1135" i="37" s="1"/>
  <c r="H1134" i="37"/>
  <c r="J1134" i="37" s="1"/>
  <c r="H1133" i="37"/>
  <c r="J1133" i="37" s="1"/>
  <c r="I1132" i="37"/>
  <c r="H1132" i="37"/>
  <c r="H1131" i="37"/>
  <c r="J1131" i="37" s="1"/>
  <c r="H1130" i="37"/>
  <c r="J1130" i="37" s="1"/>
  <c r="H1129" i="37"/>
  <c r="J1129" i="37" s="1"/>
  <c r="H1128" i="37"/>
  <c r="J1128" i="37" s="1"/>
  <c r="H1126" i="37"/>
  <c r="J1126" i="37" s="1"/>
  <c r="H1125" i="37"/>
  <c r="J1125" i="37" s="1"/>
  <c r="H1124" i="37"/>
  <c r="J1124" i="37" s="1"/>
  <c r="H1123" i="37"/>
  <c r="J1123" i="37" s="1"/>
  <c r="H1122" i="37"/>
  <c r="J1122" i="37" s="1"/>
  <c r="H1121" i="37"/>
  <c r="J1121" i="37" s="1"/>
  <c r="H1120" i="37"/>
  <c r="J1120" i="37" s="1"/>
  <c r="H1117" i="37"/>
  <c r="J1117" i="37" s="1"/>
  <c r="H1116" i="37"/>
  <c r="J1116" i="37" s="1"/>
  <c r="H1115" i="37"/>
  <c r="J1115" i="37" s="1"/>
  <c r="H1114" i="37"/>
  <c r="J1114" i="37" s="1"/>
  <c r="H1113" i="37"/>
  <c r="J1113" i="37" s="1"/>
  <c r="J1111" i="37"/>
  <c r="H1111" i="37"/>
  <c r="H1110" i="37"/>
  <c r="J1110" i="37" s="1"/>
  <c r="J1108" i="37"/>
  <c r="H1108" i="37"/>
  <c r="H1107" i="37"/>
  <c r="J1107" i="37" s="1"/>
  <c r="H1106" i="37"/>
  <c r="J1106" i="37" s="1"/>
  <c r="H1105" i="37"/>
  <c r="J1105" i="37" s="1"/>
  <c r="H1102" i="37"/>
  <c r="J1102" i="37" s="1"/>
  <c r="H1101" i="37"/>
  <c r="J1101" i="37" s="1"/>
  <c r="J1100" i="37"/>
  <c r="H1100" i="37"/>
  <c r="H1099" i="37"/>
  <c r="J1099" i="37" s="1"/>
  <c r="J1098" i="37"/>
  <c r="H1098" i="37"/>
  <c r="H1097" i="37"/>
  <c r="J1097" i="37" s="1"/>
  <c r="H1096" i="37"/>
  <c r="J1096" i="37" s="1"/>
  <c r="H1095" i="37"/>
  <c r="J1095" i="37" s="1"/>
  <c r="H1094" i="37"/>
  <c r="J1094" i="37" s="1"/>
  <c r="H1093" i="37"/>
  <c r="J1093" i="37" s="1"/>
  <c r="J1092" i="37"/>
  <c r="H1092" i="37"/>
  <c r="H1091" i="37"/>
  <c r="J1091" i="37" s="1"/>
  <c r="J1090" i="37"/>
  <c r="H1090" i="37"/>
  <c r="H1089" i="37"/>
  <c r="J1089" i="37" s="1"/>
  <c r="H1088" i="37"/>
  <c r="J1088" i="37" s="1"/>
  <c r="H1087" i="37"/>
  <c r="J1087" i="37" s="1"/>
  <c r="H1086" i="37"/>
  <c r="J1086" i="37" s="1"/>
  <c r="H1085" i="37"/>
  <c r="J1085" i="37" s="1"/>
  <c r="J1084" i="37"/>
  <c r="H1084" i="37"/>
  <c r="H1083" i="37"/>
  <c r="J1083" i="37" s="1"/>
  <c r="H1082" i="37"/>
  <c r="J1082" i="37" s="1"/>
  <c r="I1081" i="37"/>
  <c r="H1081" i="37"/>
  <c r="H1080" i="37"/>
  <c r="J1080" i="37" s="1"/>
  <c r="H1079" i="37"/>
  <c r="J1079" i="37" s="1"/>
  <c r="H1078" i="37"/>
  <c r="J1078" i="37" s="1"/>
  <c r="I1077" i="37"/>
  <c r="H1077" i="37"/>
  <c r="H1075" i="37"/>
  <c r="J1075" i="37" s="1"/>
  <c r="H1074" i="37"/>
  <c r="J1074" i="37" s="1"/>
  <c r="I1073" i="37"/>
  <c r="H1073" i="37"/>
  <c r="H1072" i="37"/>
  <c r="J1072" i="37" s="1"/>
  <c r="J1071" i="37"/>
  <c r="H1071" i="37"/>
  <c r="H1070" i="37"/>
  <c r="J1070" i="37" s="1"/>
  <c r="H1068" i="37"/>
  <c r="J1068" i="37" s="1"/>
  <c r="H1067" i="37"/>
  <c r="J1067" i="37" s="1"/>
  <c r="H1066" i="37"/>
  <c r="J1066" i="37" s="1"/>
  <c r="H1065" i="37"/>
  <c r="J1065" i="37" s="1"/>
  <c r="H1064" i="37"/>
  <c r="J1064" i="37" s="1"/>
  <c r="H1063" i="37"/>
  <c r="J1063" i="37" s="1"/>
  <c r="H1062" i="37"/>
  <c r="J1062" i="37" s="1"/>
  <c r="H1061" i="37"/>
  <c r="J1061" i="37" s="1"/>
  <c r="H1060" i="37"/>
  <c r="J1060" i="37" s="1"/>
  <c r="H1059" i="37"/>
  <c r="J1059" i="37" s="1"/>
  <c r="H1058" i="37"/>
  <c r="J1058" i="37" s="1"/>
  <c r="H1057" i="37"/>
  <c r="J1057" i="37" s="1"/>
  <c r="H1056" i="37"/>
  <c r="J1056" i="37" s="1"/>
  <c r="H1055" i="37"/>
  <c r="J1055" i="37" s="1"/>
  <c r="H1054" i="37"/>
  <c r="J1054" i="37" s="1"/>
  <c r="H1053" i="37"/>
  <c r="J1053" i="37" s="1"/>
  <c r="H1052" i="37"/>
  <c r="J1052" i="37" s="1"/>
  <c r="H1051" i="37"/>
  <c r="J1051" i="37" s="1"/>
  <c r="H1050" i="37"/>
  <c r="J1050" i="37" s="1"/>
  <c r="H1049" i="37"/>
  <c r="J1049" i="37" s="1"/>
  <c r="H1048" i="37"/>
  <c r="J1048" i="37" s="1"/>
  <c r="H1047" i="37"/>
  <c r="J1047" i="37" s="1"/>
  <c r="H1046" i="37"/>
  <c r="J1046" i="37" s="1"/>
  <c r="J1045" i="37"/>
  <c r="J1044" i="37"/>
  <c r="H1044" i="37"/>
  <c r="H1043" i="37"/>
  <c r="J1043" i="37" s="1"/>
  <c r="H1042" i="37"/>
  <c r="J1042" i="37" s="1"/>
  <c r="H1041" i="37"/>
  <c r="J1041" i="37" s="1"/>
  <c r="H1040" i="37"/>
  <c r="J1040" i="37" s="1"/>
  <c r="H1039" i="37"/>
  <c r="J1039" i="37" s="1"/>
  <c r="J1038" i="37"/>
  <c r="H1038" i="37"/>
  <c r="H1037" i="37"/>
  <c r="J1037" i="37" s="1"/>
  <c r="J1036" i="37"/>
  <c r="H1036" i="37"/>
  <c r="H1035" i="37"/>
  <c r="J1035" i="37" s="1"/>
  <c r="H1034" i="37"/>
  <c r="J1034" i="37" s="1"/>
  <c r="H1033" i="37"/>
  <c r="J1033" i="37" s="1"/>
  <c r="H1032" i="37"/>
  <c r="J1032" i="37" s="1"/>
  <c r="H1031" i="37"/>
  <c r="J1031" i="37" s="1"/>
  <c r="J1030" i="37"/>
  <c r="H1030" i="37"/>
  <c r="H1029" i="37"/>
  <c r="J1029" i="37" s="1"/>
  <c r="J1028" i="37"/>
  <c r="H1028" i="37"/>
  <c r="H1027" i="37"/>
  <c r="J1027" i="37" s="1"/>
  <c r="H1026" i="37"/>
  <c r="J1026" i="37" s="1"/>
  <c r="H1025" i="37"/>
  <c r="J1025" i="37" s="1"/>
  <c r="H1024" i="37"/>
  <c r="J1024" i="37" s="1"/>
  <c r="H1023" i="37"/>
  <c r="J1023" i="37" s="1"/>
  <c r="J1022" i="37"/>
  <c r="H1022" i="37"/>
  <c r="H1021" i="37"/>
  <c r="J1021" i="37" s="1"/>
  <c r="J1020" i="37"/>
  <c r="H1020" i="37"/>
  <c r="H1019" i="37"/>
  <c r="J1019" i="37" s="1"/>
  <c r="H1018" i="37"/>
  <c r="J1018" i="37" s="1"/>
  <c r="H1017" i="37"/>
  <c r="J1017" i="37" s="1"/>
  <c r="H1016" i="37"/>
  <c r="J1016" i="37" s="1"/>
  <c r="H1015" i="37"/>
  <c r="J1015" i="37" s="1"/>
  <c r="J1014" i="37"/>
  <c r="H1014" i="37"/>
  <c r="H1013" i="37"/>
  <c r="J1013" i="37" s="1"/>
  <c r="J1012" i="37"/>
  <c r="H1012" i="37"/>
  <c r="H1011" i="37"/>
  <c r="J1011" i="37" s="1"/>
  <c r="H1010" i="37"/>
  <c r="J1010" i="37" s="1"/>
  <c r="H1009" i="37"/>
  <c r="J1009" i="37" s="1"/>
  <c r="H1008" i="37"/>
  <c r="J1008" i="37" s="1"/>
  <c r="H1007" i="37"/>
  <c r="J1007" i="37" s="1"/>
  <c r="J1006" i="37"/>
  <c r="H1006" i="37"/>
  <c r="H1005" i="37"/>
  <c r="J1005" i="37" s="1"/>
  <c r="J1004" i="37"/>
  <c r="H1004" i="37"/>
  <c r="H1003" i="37"/>
  <c r="J1003" i="37" s="1"/>
  <c r="H1002" i="37"/>
  <c r="J1002" i="37" s="1"/>
  <c r="H1001" i="37"/>
  <c r="J1001" i="37" s="1"/>
  <c r="H1000" i="37"/>
  <c r="J1000" i="37" s="1"/>
  <c r="H999" i="37"/>
  <c r="J999" i="37" s="1"/>
  <c r="J998" i="37"/>
  <c r="H998" i="37"/>
  <c r="H997" i="37"/>
  <c r="J997" i="37" s="1"/>
  <c r="J996" i="37"/>
  <c r="H996" i="37"/>
  <c r="H995" i="37"/>
  <c r="J995" i="37" s="1"/>
  <c r="H994" i="37"/>
  <c r="J994" i="37" s="1"/>
  <c r="H993" i="37"/>
  <c r="J993" i="37" s="1"/>
  <c r="H992" i="37"/>
  <c r="J992" i="37" s="1"/>
  <c r="H991" i="37"/>
  <c r="J991" i="37" s="1"/>
  <c r="J990" i="37"/>
  <c r="H990" i="37"/>
  <c r="H989" i="37"/>
  <c r="J989" i="37" s="1"/>
  <c r="J988" i="37"/>
  <c r="H988" i="37"/>
  <c r="H987" i="37"/>
  <c r="J987" i="37" s="1"/>
  <c r="H986" i="37"/>
  <c r="J986" i="37" s="1"/>
  <c r="H985" i="37"/>
  <c r="J985" i="37" s="1"/>
  <c r="H984" i="37"/>
  <c r="J984" i="37" s="1"/>
  <c r="H983" i="37"/>
  <c r="J983" i="37" s="1"/>
  <c r="J982" i="37"/>
  <c r="H982" i="37"/>
  <c r="H981" i="37"/>
  <c r="J981" i="37" s="1"/>
  <c r="J980" i="37"/>
  <c r="H980" i="37"/>
  <c r="H979" i="37"/>
  <c r="J979" i="37" s="1"/>
  <c r="H978" i="37"/>
  <c r="J978" i="37" s="1"/>
  <c r="H977" i="37"/>
  <c r="J977" i="37" s="1"/>
  <c r="H976" i="37"/>
  <c r="J976" i="37" s="1"/>
  <c r="H975" i="37"/>
  <c r="J975" i="37" s="1"/>
  <c r="J974" i="37"/>
  <c r="H974" i="37"/>
  <c r="H973" i="37"/>
  <c r="J973" i="37" s="1"/>
  <c r="J972" i="37"/>
  <c r="H972" i="37"/>
  <c r="H971" i="37"/>
  <c r="J971" i="37" s="1"/>
  <c r="H970" i="37"/>
  <c r="J970" i="37" s="1"/>
  <c r="H969" i="37"/>
  <c r="J969" i="37" s="1"/>
  <c r="H968" i="37"/>
  <c r="J968" i="37" s="1"/>
  <c r="H967" i="37"/>
  <c r="J967" i="37" s="1"/>
  <c r="J966" i="37"/>
  <c r="H966" i="37"/>
  <c r="H965" i="37"/>
  <c r="J965" i="37" s="1"/>
  <c r="J964" i="37"/>
  <c r="H964" i="37"/>
  <c r="H963" i="37"/>
  <c r="J963" i="37" s="1"/>
  <c r="H962" i="37"/>
  <c r="J962" i="37" s="1"/>
  <c r="H961" i="37"/>
  <c r="J961" i="37" s="1"/>
  <c r="H960" i="37"/>
  <c r="J960" i="37" s="1"/>
  <c r="H959" i="37"/>
  <c r="J959" i="37" s="1"/>
  <c r="J958" i="37"/>
  <c r="H958" i="37"/>
  <c r="H957" i="37"/>
  <c r="J957" i="37" s="1"/>
  <c r="J956" i="37"/>
  <c r="H956" i="37"/>
  <c r="H955" i="37"/>
  <c r="J955" i="37" s="1"/>
  <c r="H954" i="37"/>
  <c r="J954" i="37" s="1"/>
  <c r="H953" i="37"/>
  <c r="J953" i="37" s="1"/>
  <c r="H952" i="37"/>
  <c r="J952" i="37" s="1"/>
  <c r="H951" i="37"/>
  <c r="J951" i="37" s="1"/>
  <c r="J950" i="37"/>
  <c r="H950" i="37"/>
  <c r="H949" i="37"/>
  <c r="J949" i="37" s="1"/>
  <c r="J948" i="37"/>
  <c r="H948" i="37"/>
  <c r="H947" i="37"/>
  <c r="J947" i="37" s="1"/>
  <c r="H946" i="37"/>
  <c r="J946" i="37" s="1"/>
  <c r="H945" i="37"/>
  <c r="J945" i="37" s="1"/>
  <c r="H944" i="37"/>
  <c r="J944" i="37" s="1"/>
  <c r="H943" i="37"/>
  <c r="J943" i="37" s="1"/>
  <c r="J942" i="37"/>
  <c r="H942" i="37"/>
  <c r="H941" i="37"/>
  <c r="J941" i="37" s="1"/>
  <c r="J940" i="37"/>
  <c r="H940" i="37"/>
  <c r="H939" i="37"/>
  <c r="J939" i="37" s="1"/>
  <c r="H938" i="37"/>
  <c r="J938" i="37" s="1"/>
  <c r="H931" i="37"/>
  <c r="J931" i="37" s="1"/>
  <c r="H930" i="37"/>
  <c r="J930" i="37" s="1"/>
  <c r="H929" i="37"/>
  <c r="J929" i="37" s="1"/>
  <c r="H928" i="37"/>
  <c r="J928" i="37" s="1"/>
  <c r="H927" i="37"/>
  <c r="J927" i="37" s="1"/>
  <c r="H926" i="37"/>
  <c r="J926" i="37" s="1"/>
  <c r="H925" i="37"/>
  <c r="J925" i="37" s="1"/>
  <c r="H924" i="37"/>
  <c r="J924" i="37" s="1"/>
  <c r="H923" i="37"/>
  <c r="J923" i="37" s="1"/>
  <c r="H922" i="37"/>
  <c r="J922" i="37" s="1"/>
  <c r="J921" i="37"/>
  <c r="H921" i="37"/>
  <c r="H920" i="37"/>
  <c r="J920" i="37" s="1"/>
  <c r="H918" i="37"/>
  <c r="J918" i="37" s="1"/>
  <c r="H917" i="37"/>
  <c r="J917" i="37" s="1"/>
  <c r="H916" i="37"/>
  <c r="J916" i="37" s="1"/>
  <c r="H915" i="37"/>
  <c r="J915" i="37" s="1"/>
  <c r="J914" i="37"/>
  <c r="H914" i="37"/>
  <c r="H913" i="37"/>
  <c r="J913" i="37" s="1"/>
  <c r="J912" i="37"/>
  <c r="H912" i="37"/>
  <c r="H911" i="37"/>
  <c r="J911" i="37" s="1"/>
  <c r="H910" i="37"/>
  <c r="J910" i="37" s="1"/>
  <c r="H909" i="37"/>
  <c r="J909" i="37" s="1"/>
  <c r="H908" i="37"/>
  <c r="J908" i="37" s="1"/>
  <c r="H907" i="37"/>
  <c r="J907" i="37" s="1"/>
  <c r="J906" i="37"/>
  <c r="H906" i="37"/>
  <c r="H905" i="37"/>
  <c r="J905" i="37" s="1"/>
  <c r="J904" i="37"/>
  <c r="H904" i="37"/>
  <c r="H903" i="37"/>
  <c r="J903" i="37" s="1"/>
  <c r="H902" i="37"/>
  <c r="J902" i="37" s="1"/>
  <c r="H901" i="37"/>
  <c r="J901" i="37" s="1"/>
  <c r="H900" i="37"/>
  <c r="J900" i="37" s="1"/>
  <c r="H899" i="37"/>
  <c r="J899" i="37" s="1"/>
  <c r="J898" i="37"/>
  <c r="H898" i="37"/>
  <c r="H897" i="37"/>
  <c r="J897" i="37" s="1"/>
  <c r="J896" i="37"/>
  <c r="H896" i="37"/>
  <c r="H895" i="37"/>
  <c r="J895" i="37" s="1"/>
  <c r="H894" i="37"/>
  <c r="J894" i="37" s="1"/>
  <c r="H893" i="37"/>
  <c r="J893" i="37" s="1"/>
  <c r="H892" i="37"/>
  <c r="J892" i="37" s="1"/>
  <c r="H891" i="37"/>
  <c r="J891" i="37" s="1"/>
  <c r="J890" i="37"/>
  <c r="H890" i="37"/>
  <c r="H889" i="37"/>
  <c r="J889" i="37" s="1"/>
  <c r="J888" i="37"/>
  <c r="H888" i="37"/>
  <c r="H887" i="37"/>
  <c r="J887" i="37" s="1"/>
  <c r="H886" i="37"/>
  <c r="J886" i="37" s="1"/>
  <c r="H885" i="37"/>
  <c r="J885" i="37" s="1"/>
  <c r="H884" i="37"/>
  <c r="J884" i="37" s="1"/>
  <c r="I883" i="37"/>
  <c r="H883" i="37"/>
  <c r="J883" i="37" s="1"/>
  <c r="H880" i="37"/>
  <c r="J880" i="37" s="1"/>
  <c r="J879" i="37"/>
  <c r="H879" i="37"/>
  <c r="H878" i="37"/>
  <c r="J878" i="37" s="1"/>
  <c r="H877" i="37"/>
  <c r="J877" i="37" s="1"/>
  <c r="J876" i="37"/>
  <c r="H876" i="37"/>
  <c r="H875" i="37"/>
  <c r="J875" i="37" s="1"/>
  <c r="H874" i="37"/>
  <c r="J874" i="37" s="1"/>
  <c r="H870" i="37"/>
  <c r="J870" i="37" s="1"/>
  <c r="H869" i="37"/>
  <c r="J869" i="37" s="1"/>
  <c r="H868" i="37"/>
  <c r="J868" i="37" s="1"/>
  <c r="H867" i="37"/>
  <c r="J867" i="37" s="1"/>
  <c r="H866" i="37"/>
  <c r="J866" i="37" s="1"/>
  <c r="H865" i="37"/>
  <c r="J865" i="37" s="1"/>
  <c r="H863" i="37"/>
  <c r="J863" i="37" s="1"/>
  <c r="H862" i="37"/>
  <c r="J862" i="37" s="1"/>
  <c r="H861" i="37"/>
  <c r="J861" i="37" s="1"/>
  <c r="H860" i="37"/>
  <c r="J860" i="37" s="1"/>
  <c r="H859" i="37"/>
  <c r="J859" i="37" s="1"/>
  <c r="H855" i="37"/>
  <c r="J855" i="37" s="1"/>
  <c r="J854" i="37"/>
  <c r="H854" i="37"/>
  <c r="J853" i="37"/>
  <c r="H851" i="37"/>
  <c r="J851" i="37" s="1"/>
  <c r="J850" i="37"/>
  <c r="H850" i="37"/>
  <c r="H848" i="37"/>
  <c r="J848" i="37" s="1"/>
  <c r="H847" i="37"/>
  <c r="J847" i="37" s="1"/>
  <c r="H845" i="37"/>
  <c r="J845" i="37" s="1"/>
  <c r="H844" i="37"/>
  <c r="J844" i="37" s="1"/>
  <c r="H843" i="37"/>
  <c r="J843" i="37" s="1"/>
  <c r="H842" i="37"/>
  <c r="J842" i="37" s="1"/>
  <c r="H841" i="37"/>
  <c r="J841" i="37" s="1"/>
  <c r="H840" i="37"/>
  <c r="J840" i="37" s="1"/>
  <c r="H839" i="37"/>
  <c r="J839" i="37" s="1"/>
  <c r="H838" i="37"/>
  <c r="J838" i="37" s="1"/>
  <c r="H837" i="37"/>
  <c r="J837" i="37" s="1"/>
  <c r="J836" i="37"/>
  <c r="H836" i="37"/>
  <c r="H835" i="37"/>
  <c r="J835" i="37" s="1"/>
  <c r="J834" i="37"/>
  <c r="H834" i="37"/>
  <c r="H833" i="37"/>
  <c r="J833" i="37" s="1"/>
  <c r="H832" i="37"/>
  <c r="J832" i="37" s="1"/>
  <c r="H831" i="37"/>
  <c r="J831" i="37" s="1"/>
  <c r="H830" i="37"/>
  <c r="J830" i="37" s="1"/>
  <c r="H826" i="37"/>
  <c r="J826" i="37" s="1"/>
  <c r="H825" i="37"/>
  <c r="J825" i="37" s="1"/>
  <c r="H824" i="37"/>
  <c r="J824" i="37" s="1"/>
  <c r="H823" i="37"/>
  <c r="J823" i="37" s="1"/>
  <c r="J822" i="37"/>
  <c r="H822" i="37"/>
  <c r="H820" i="37"/>
  <c r="J820" i="37" s="1"/>
  <c r="J819" i="37"/>
  <c r="H819" i="37"/>
  <c r="H818" i="37"/>
  <c r="J818" i="37" s="1"/>
  <c r="H817" i="37"/>
  <c r="J817" i="37" s="1"/>
  <c r="J816" i="37"/>
  <c r="H816" i="37"/>
  <c r="H815" i="37"/>
  <c r="J815" i="37" s="1"/>
  <c r="H814" i="37"/>
  <c r="J814" i="37" s="1"/>
  <c r="H813" i="37"/>
  <c r="J813" i="37" s="1"/>
  <c r="H812" i="37"/>
  <c r="J812" i="37" s="1"/>
  <c r="H811" i="37"/>
  <c r="J811" i="37" s="1"/>
  <c r="H810" i="37"/>
  <c r="J810" i="37" s="1"/>
  <c r="J809" i="37"/>
  <c r="H809" i="37"/>
  <c r="H808" i="37"/>
  <c r="J808" i="37" s="1"/>
  <c r="H806" i="37"/>
  <c r="J806" i="37" s="1"/>
  <c r="H805" i="37"/>
  <c r="J805" i="37" s="1"/>
  <c r="H804" i="37"/>
  <c r="J804" i="37" s="1"/>
  <c r="H803" i="37"/>
  <c r="J803" i="37" s="1"/>
  <c r="H801" i="37"/>
  <c r="J801" i="37" s="1"/>
  <c r="H798" i="37"/>
  <c r="J798" i="37" s="1"/>
  <c r="H797" i="37"/>
  <c r="J797" i="37" s="1"/>
  <c r="J796" i="37"/>
  <c r="H796" i="37"/>
  <c r="H795" i="37"/>
  <c r="J795" i="37" s="1"/>
  <c r="H794" i="37"/>
  <c r="J794" i="37" s="1"/>
  <c r="H793" i="37"/>
  <c r="J793" i="37" s="1"/>
  <c r="H792" i="37"/>
  <c r="J792" i="37" s="1"/>
  <c r="H791" i="37"/>
  <c r="J791" i="37" s="1"/>
  <c r="H790" i="37"/>
  <c r="J790" i="37" s="1"/>
  <c r="H789" i="37"/>
  <c r="J789" i="37" s="1"/>
  <c r="H788" i="37"/>
  <c r="J788" i="37" s="1"/>
  <c r="J787" i="37"/>
  <c r="H787" i="37"/>
  <c r="H786" i="37"/>
  <c r="J786" i="37" s="1"/>
  <c r="H785" i="37"/>
  <c r="J785" i="37" s="1"/>
  <c r="H784" i="37"/>
  <c r="J784" i="37" s="1"/>
  <c r="H783" i="37"/>
  <c r="J783" i="37" s="1"/>
  <c r="H782" i="37"/>
  <c r="J782" i="37" s="1"/>
  <c r="H781" i="37"/>
  <c r="J781" i="37" s="1"/>
  <c r="H780" i="37"/>
  <c r="J780" i="37" s="1"/>
  <c r="H779" i="37"/>
  <c r="J779" i="37" s="1"/>
  <c r="H778" i="37"/>
  <c r="J778" i="37" s="1"/>
  <c r="H777" i="37"/>
  <c r="J777" i="37" s="1"/>
  <c r="H776" i="37"/>
  <c r="J776" i="37" s="1"/>
  <c r="H774" i="37"/>
  <c r="J774" i="37" s="1"/>
  <c r="H773" i="37"/>
  <c r="J773" i="37" s="1"/>
  <c r="H772" i="37"/>
  <c r="J772" i="37" s="1"/>
  <c r="H771" i="37"/>
  <c r="J771" i="37" s="1"/>
  <c r="H770" i="37"/>
  <c r="J770" i="37" s="1"/>
  <c r="H769" i="37"/>
  <c r="J769" i="37" s="1"/>
  <c r="H768" i="37"/>
  <c r="J768" i="37" s="1"/>
  <c r="H767" i="37"/>
  <c r="J767" i="37" s="1"/>
  <c r="H766" i="37"/>
  <c r="J766" i="37" s="1"/>
  <c r="H765" i="37"/>
  <c r="J765" i="37" s="1"/>
  <c r="H764" i="37"/>
  <c r="J764" i="37" s="1"/>
  <c r="H763" i="37"/>
  <c r="J763" i="37" s="1"/>
  <c r="J762" i="37"/>
  <c r="H762" i="37"/>
  <c r="H761" i="37"/>
  <c r="H757" i="37"/>
  <c r="J757" i="37" s="1"/>
  <c r="J756" i="37"/>
  <c r="H756" i="37"/>
  <c r="H755" i="37"/>
  <c r="J755" i="37" s="1"/>
  <c r="H754" i="37"/>
  <c r="J754" i="37" s="1"/>
  <c r="H753" i="37"/>
  <c r="J753" i="37" s="1"/>
  <c r="H752" i="37"/>
  <c r="J752" i="37" s="1"/>
  <c r="H751" i="37"/>
  <c r="J751" i="37" s="1"/>
  <c r="H750" i="37"/>
  <c r="J750" i="37" s="1"/>
  <c r="H749" i="37"/>
  <c r="J749" i="37" s="1"/>
  <c r="J744" i="37"/>
  <c r="H744" i="37"/>
  <c r="H743" i="37"/>
  <c r="J743" i="37" s="1"/>
  <c r="H742" i="37"/>
  <c r="J742" i="37" s="1"/>
  <c r="H741" i="37"/>
  <c r="J741" i="37" s="1"/>
  <c r="J740" i="37"/>
  <c r="H740" i="37"/>
  <c r="H739" i="37"/>
  <c r="J739" i="37" s="1"/>
  <c r="H738" i="37"/>
  <c r="J738" i="37" s="1"/>
  <c r="H737" i="37"/>
  <c r="J737" i="37" s="1"/>
  <c r="J736" i="37"/>
  <c r="H736" i="37"/>
  <c r="H735" i="37"/>
  <c r="J735" i="37" s="1"/>
  <c r="J734" i="37"/>
  <c r="H734" i="37"/>
  <c r="H733" i="37"/>
  <c r="J733" i="37" s="1"/>
  <c r="J732" i="37"/>
  <c r="H732" i="37"/>
  <c r="H731" i="37"/>
  <c r="J731" i="37" s="1"/>
  <c r="H730" i="37"/>
  <c r="J730" i="37" s="1"/>
  <c r="H729" i="37"/>
  <c r="J729" i="37" s="1"/>
  <c r="J728" i="37"/>
  <c r="H728" i="37"/>
  <c r="H727" i="37"/>
  <c r="J727" i="37" s="1"/>
  <c r="J726" i="37"/>
  <c r="H726" i="37"/>
  <c r="H725" i="37"/>
  <c r="J725" i="37" s="1"/>
  <c r="H724" i="37"/>
  <c r="J724" i="37" s="1"/>
  <c r="H723" i="37"/>
  <c r="J723" i="37" s="1"/>
  <c r="H722" i="37"/>
  <c r="J722" i="37" s="1"/>
  <c r="H721" i="37"/>
  <c r="J721" i="37" s="1"/>
  <c r="J720" i="37"/>
  <c r="H720" i="37"/>
  <c r="H719" i="37"/>
  <c r="J719" i="37" s="1"/>
  <c r="H718" i="37"/>
  <c r="J718" i="37" s="1"/>
  <c r="H717" i="37"/>
  <c r="J717" i="37" s="1"/>
  <c r="H716" i="37"/>
  <c r="J716" i="37" s="1"/>
  <c r="H715" i="37"/>
  <c r="J715" i="37" s="1"/>
  <c r="H714" i="37"/>
  <c r="J714" i="37" s="1"/>
  <c r="H713" i="37"/>
  <c r="J713" i="37" s="1"/>
  <c r="J712" i="37"/>
  <c r="H712" i="37"/>
  <c r="H711" i="37"/>
  <c r="J711" i="37" s="1"/>
  <c r="H710" i="37"/>
  <c r="J710" i="37" s="1"/>
  <c r="H709" i="37"/>
  <c r="J709" i="37" s="1"/>
  <c r="J708" i="37"/>
  <c r="H708" i="37"/>
  <c r="H707" i="37"/>
  <c r="J707" i="37" s="1"/>
  <c r="H706" i="37"/>
  <c r="J706" i="37" s="1"/>
  <c r="H705" i="37"/>
  <c r="J705" i="37" s="1"/>
  <c r="J704" i="37"/>
  <c r="H704" i="37"/>
  <c r="H702" i="37"/>
  <c r="J702" i="37" s="1"/>
  <c r="J700" i="37"/>
  <c r="H700" i="37"/>
  <c r="H699" i="37"/>
  <c r="J699" i="37" s="1"/>
  <c r="J698" i="37"/>
  <c r="H698" i="37"/>
  <c r="H697" i="37"/>
  <c r="J697" i="37" s="1"/>
  <c r="H696" i="37"/>
  <c r="J696" i="37" s="1"/>
  <c r="H695" i="37"/>
  <c r="J695" i="37" s="1"/>
  <c r="J693" i="37"/>
  <c r="H693" i="37"/>
  <c r="H692" i="37"/>
  <c r="J692" i="37" s="1"/>
  <c r="J691" i="37"/>
  <c r="H691" i="37"/>
  <c r="H690" i="37"/>
  <c r="J690" i="37" s="1"/>
  <c r="H689" i="37"/>
  <c r="J689" i="37" s="1"/>
  <c r="H688" i="37"/>
  <c r="J688" i="37" s="1"/>
  <c r="H687" i="37"/>
  <c r="J687" i="37" s="1"/>
  <c r="H686" i="37"/>
  <c r="J686" i="37" s="1"/>
  <c r="J685" i="37"/>
  <c r="H685" i="37"/>
  <c r="H684" i="37"/>
  <c r="J684" i="37" s="1"/>
  <c r="H683" i="37"/>
  <c r="J683" i="37" s="1"/>
  <c r="H682" i="37"/>
  <c r="J682" i="37" s="1"/>
  <c r="H681" i="37"/>
  <c r="J681" i="37" s="1"/>
  <c r="H680" i="37"/>
  <c r="J680" i="37" s="1"/>
  <c r="H679" i="37"/>
  <c r="J679" i="37" s="1"/>
  <c r="H678" i="37"/>
  <c r="J678" i="37" s="1"/>
  <c r="J677" i="37"/>
  <c r="H677" i="37"/>
  <c r="H676" i="37"/>
  <c r="J676" i="37" s="1"/>
  <c r="H673" i="37"/>
  <c r="J673" i="37" s="1"/>
  <c r="H671" i="37"/>
  <c r="J671" i="37" s="1"/>
  <c r="J669" i="37"/>
  <c r="H669" i="37"/>
  <c r="H668" i="37"/>
  <c r="J668" i="37" s="1"/>
  <c r="H667" i="37"/>
  <c r="J667" i="37" s="1"/>
  <c r="H666" i="37"/>
  <c r="J666" i="37" s="1"/>
  <c r="J665" i="37"/>
  <c r="H665" i="37"/>
  <c r="H664" i="37"/>
  <c r="J664" i="37" s="1"/>
  <c r="J663" i="37"/>
  <c r="H663" i="37"/>
  <c r="H662" i="37"/>
  <c r="J662" i="37" s="1"/>
  <c r="J661" i="37"/>
  <c r="H661" i="37"/>
  <c r="H660" i="37"/>
  <c r="J660" i="37" s="1"/>
  <c r="H658" i="37"/>
  <c r="J658" i="37" s="1"/>
  <c r="J657" i="37"/>
  <c r="H657" i="37"/>
  <c r="H656" i="37"/>
  <c r="J656" i="37" s="1"/>
  <c r="H655" i="37"/>
  <c r="J655" i="37" s="1"/>
  <c r="H654" i="37"/>
  <c r="J654" i="37" s="1"/>
  <c r="H653" i="37"/>
  <c r="J653" i="37" s="1"/>
  <c r="H651" i="37"/>
  <c r="J651" i="37" s="1"/>
  <c r="H650" i="37"/>
  <c r="J650" i="37" s="1"/>
  <c r="H649" i="37"/>
  <c r="J649" i="37" s="1"/>
  <c r="H648" i="37"/>
  <c r="J648" i="37" s="1"/>
  <c r="J647" i="37"/>
  <c r="H647" i="37"/>
  <c r="H646" i="37"/>
  <c r="J646" i="37" s="1"/>
  <c r="J645" i="37"/>
  <c r="H645" i="37"/>
  <c r="H644" i="37"/>
  <c r="J644" i="37" s="1"/>
  <c r="H643" i="37"/>
  <c r="J643" i="37" s="1"/>
  <c r="H642" i="37"/>
  <c r="J642" i="37" s="1"/>
  <c r="H641" i="37"/>
  <c r="J641" i="37" s="1"/>
  <c r="H640" i="37"/>
  <c r="J640" i="37" s="1"/>
  <c r="J639" i="37"/>
  <c r="H639" i="37"/>
  <c r="H638" i="37"/>
  <c r="J638" i="37" s="1"/>
  <c r="J637" i="37"/>
  <c r="H637" i="37"/>
  <c r="H636" i="37"/>
  <c r="J636" i="37" s="1"/>
  <c r="J635" i="37"/>
  <c r="H635" i="37"/>
  <c r="H634" i="37"/>
  <c r="J634" i="37" s="1"/>
  <c r="H632" i="37"/>
  <c r="J632" i="37" s="1"/>
  <c r="H631" i="37"/>
  <c r="J631" i="37" s="1"/>
  <c r="H630" i="37"/>
  <c r="J630" i="37" s="1"/>
  <c r="H629" i="37"/>
  <c r="J629" i="37" s="1"/>
  <c r="J628" i="37"/>
  <c r="H628" i="37"/>
  <c r="H627" i="37"/>
  <c r="J627" i="37" s="1"/>
  <c r="J626" i="37"/>
  <c r="H626" i="37"/>
  <c r="H625" i="37"/>
  <c r="J625" i="37" s="1"/>
  <c r="H623" i="37"/>
  <c r="J623" i="37" s="1"/>
  <c r="H622" i="37"/>
  <c r="J622" i="37" s="1"/>
  <c r="H621" i="37"/>
  <c r="J621" i="37" s="1"/>
  <c r="H620" i="37"/>
  <c r="J620" i="37" s="1"/>
  <c r="H619" i="37"/>
  <c r="J619" i="37" s="1"/>
  <c r="J618" i="37"/>
  <c r="H618" i="37"/>
  <c r="H617" i="37"/>
  <c r="J617" i="37" s="1"/>
  <c r="H616" i="37"/>
  <c r="J616" i="37" s="1"/>
  <c r="H615" i="37"/>
  <c r="J615" i="37" s="1"/>
  <c r="I614" i="37"/>
  <c r="H614" i="37"/>
  <c r="I613" i="37"/>
  <c r="H613" i="37"/>
  <c r="H612" i="37"/>
  <c r="J612" i="37" s="1"/>
  <c r="H611" i="37"/>
  <c r="J611" i="37" s="1"/>
  <c r="H610" i="37"/>
  <c r="J610" i="37" s="1"/>
  <c r="H609" i="37"/>
  <c r="J609" i="37" s="1"/>
  <c r="H608" i="37"/>
  <c r="J608" i="37" s="1"/>
  <c r="H607" i="37"/>
  <c r="J607" i="37" s="1"/>
  <c r="H606" i="37"/>
  <c r="J606" i="37" s="1"/>
  <c r="H605" i="37"/>
  <c r="J605" i="37" s="1"/>
  <c r="H604" i="37"/>
  <c r="J604" i="37" s="1"/>
  <c r="J602" i="37"/>
  <c r="H602" i="37"/>
  <c r="H601" i="37"/>
  <c r="J601" i="37" s="1"/>
  <c r="J600" i="37"/>
  <c r="I600" i="37"/>
  <c r="H600" i="37"/>
  <c r="I599" i="37"/>
  <c r="H599" i="37"/>
  <c r="H598" i="37"/>
  <c r="J598" i="37" s="1"/>
  <c r="H597" i="37"/>
  <c r="J597" i="37" s="1"/>
  <c r="H596" i="37"/>
  <c r="J596" i="37" s="1"/>
  <c r="H595" i="37"/>
  <c r="J595" i="37" s="1"/>
  <c r="I594" i="37"/>
  <c r="H594" i="37"/>
  <c r="I593" i="37"/>
  <c r="H593" i="37"/>
  <c r="I592" i="37"/>
  <c r="H592" i="37"/>
  <c r="I591" i="37"/>
  <c r="H591" i="37"/>
  <c r="J591" i="37" s="1"/>
  <c r="I590" i="37"/>
  <c r="H590" i="37"/>
  <c r="I589" i="37"/>
  <c r="H589" i="37"/>
  <c r="J589" i="37" s="1"/>
  <c r="J588" i="37"/>
  <c r="I588" i="37"/>
  <c r="H588" i="37"/>
  <c r="I587" i="37"/>
  <c r="J587" i="37" s="1"/>
  <c r="H587" i="37"/>
  <c r="I586" i="37"/>
  <c r="H586" i="37"/>
  <c r="J586" i="37" s="1"/>
  <c r="J585" i="37"/>
  <c r="I585" i="37"/>
  <c r="H585" i="37"/>
  <c r="H584" i="37"/>
  <c r="J584" i="37" s="1"/>
  <c r="H583" i="37"/>
  <c r="J583" i="37" s="1"/>
  <c r="H582" i="37"/>
  <c r="J582" i="37" s="1"/>
  <c r="H581" i="37"/>
  <c r="J581" i="37" s="1"/>
  <c r="H580" i="37"/>
  <c r="J580" i="37" s="1"/>
  <c r="H579" i="37"/>
  <c r="J579" i="37" s="1"/>
  <c r="H578" i="37"/>
  <c r="J578" i="37" s="1"/>
  <c r="H577" i="37"/>
  <c r="J577" i="37" s="1"/>
  <c r="J576" i="37"/>
  <c r="H576" i="37"/>
  <c r="H574" i="37"/>
  <c r="J574" i="37" s="1"/>
  <c r="H573" i="37"/>
  <c r="J573" i="37" s="1"/>
  <c r="H572" i="37"/>
  <c r="J572" i="37" s="1"/>
  <c r="H571" i="37"/>
  <c r="J571" i="37" s="1"/>
  <c r="H570" i="37"/>
  <c r="J570" i="37" s="1"/>
  <c r="J569" i="37"/>
  <c r="H569" i="37"/>
  <c r="H568" i="37"/>
  <c r="J568" i="37" s="1"/>
  <c r="H567" i="37"/>
  <c r="J567" i="37" s="1"/>
  <c r="H566" i="37"/>
  <c r="J566" i="37" s="1"/>
  <c r="H565" i="37"/>
  <c r="J565" i="37" s="1"/>
  <c r="H564" i="37"/>
  <c r="J564" i="37" s="1"/>
  <c r="H563" i="37"/>
  <c r="J563" i="37" s="1"/>
  <c r="H562" i="37"/>
  <c r="J562" i="37" s="1"/>
  <c r="H561" i="37"/>
  <c r="J561" i="37" s="1"/>
  <c r="H559" i="37"/>
  <c r="J559" i="37" s="1"/>
  <c r="J558" i="37"/>
  <c r="H558" i="37"/>
  <c r="H557" i="37"/>
  <c r="J557" i="37" s="1"/>
  <c r="H556" i="37"/>
  <c r="J556" i="37" s="1"/>
  <c r="H555" i="37"/>
  <c r="J555" i="37" s="1"/>
  <c r="H554" i="37"/>
  <c r="J554" i="37" s="1"/>
  <c r="H553" i="37"/>
  <c r="J553" i="37" s="1"/>
  <c r="J552" i="37"/>
  <c r="H552" i="37"/>
  <c r="H549" i="37"/>
  <c r="J549" i="37" s="1"/>
  <c r="H548" i="37"/>
  <c r="J548" i="37" s="1"/>
  <c r="H547" i="37"/>
  <c r="J547" i="37" s="1"/>
  <c r="H546" i="37"/>
  <c r="J546" i="37" s="1"/>
  <c r="H545" i="37"/>
  <c r="J545" i="37" s="1"/>
  <c r="J544" i="37"/>
  <c r="H544" i="37"/>
  <c r="H543" i="37"/>
  <c r="J543" i="37" s="1"/>
  <c r="J542" i="37"/>
  <c r="H542" i="37"/>
  <c r="H540" i="37"/>
  <c r="J540" i="37" s="1"/>
  <c r="H539" i="37"/>
  <c r="J539" i="37" s="1"/>
  <c r="H538" i="37"/>
  <c r="J538" i="37" s="1"/>
  <c r="H537" i="37"/>
  <c r="J537" i="37" s="1"/>
  <c r="H536" i="37"/>
  <c r="J536" i="37" s="1"/>
  <c r="J534" i="37"/>
  <c r="H534" i="37"/>
  <c r="H532" i="37"/>
  <c r="J532" i="37" s="1"/>
  <c r="J531" i="37"/>
  <c r="H531" i="37"/>
  <c r="I530" i="37"/>
  <c r="H530" i="37"/>
  <c r="J530" i="37" s="1"/>
  <c r="I529" i="37"/>
  <c r="H529" i="37"/>
  <c r="I528" i="37"/>
  <c r="H528" i="37"/>
  <c r="J528" i="37" s="1"/>
  <c r="J527" i="37"/>
  <c r="H527" i="37"/>
  <c r="H526" i="37"/>
  <c r="J526" i="37" s="1"/>
  <c r="H525" i="37"/>
  <c r="J525" i="37" s="1"/>
  <c r="H524" i="37"/>
  <c r="J524" i="37" s="1"/>
  <c r="H523" i="37"/>
  <c r="J523" i="37" s="1"/>
  <c r="H522" i="37"/>
  <c r="J522" i="37" s="1"/>
  <c r="H521" i="37"/>
  <c r="J521" i="37" s="1"/>
  <c r="H520" i="37"/>
  <c r="J520" i="37" s="1"/>
  <c r="H519" i="37"/>
  <c r="J519" i="37" s="1"/>
  <c r="H518" i="37"/>
  <c r="J518" i="37" s="1"/>
  <c r="H517" i="37"/>
  <c r="J517" i="37" s="1"/>
  <c r="H516" i="37"/>
  <c r="J516" i="37" s="1"/>
  <c r="J515" i="37"/>
  <c r="H515" i="37"/>
  <c r="H514" i="37"/>
  <c r="J514" i="37" s="1"/>
  <c r="H513" i="37"/>
  <c r="J513" i="37" s="1"/>
  <c r="H512" i="37"/>
  <c r="J512" i="37" s="1"/>
  <c r="J511" i="37"/>
  <c r="H511" i="37"/>
  <c r="H510" i="37"/>
  <c r="J510" i="37" s="1"/>
  <c r="H509" i="37"/>
  <c r="J509" i="37" s="1"/>
  <c r="H508" i="37"/>
  <c r="J508" i="37" s="1"/>
  <c r="H507" i="37"/>
  <c r="J507" i="37" s="1"/>
  <c r="H506" i="37"/>
  <c r="J506" i="37" s="1"/>
  <c r="H505" i="37"/>
  <c r="J505" i="37" s="1"/>
  <c r="H504" i="37"/>
  <c r="J504" i="37" s="1"/>
  <c r="H503" i="37"/>
  <c r="J503" i="37" s="1"/>
  <c r="H502" i="37"/>
  <c r="J502" i="37" s="1"/>
  <c r="H501" i="37"/>
  <c r="J501" i="37" s="1"/>
  <c r="H500" i="37"/>
  <c r="J500" i="37" s="1"/>
  <c r="J499" i="37"/>
  <c r="H499" i="37"/>
  <c r="H498" i="37"/>
  <c r="J498" i="37" s="1"/>
  <c r="H497" i="37"/>
  <c r="J497" i="37" s="1"/>
  <c r="H495" i="37"/>
  <c r="J495" i="37" s="1"/>
  <c r="J494" i="37"/>
  <c r="H494" i="37"/>
  <c r="H493" i="37"/>
  <c r="J493" i="37" s="1"/>
  <c r="H492" i="37"/>
  <c r="J492" i="37" s="1"/>
  <c r="H491" i="37"/>
  <c r="J491" i="37" s="1"/>
  <c r="H489" i="37"/>
  <c r="J489" i="37" s="1"/>
  <c r="H488" i="37"/>
  <c r="J488" i="37" s="1"/>
  <c r="H487" i="37"/>
  <c r="J487" i="37" s="1"/>
  <c r="H486" i="37"/>
  <c r="J486" i="37" s="1"/>
  <c r="H485" i="37"/>
  <c r="J485" i="37" s="1"/>
  <c r="H484" i="37"/>
  <c r="J484" i="37" s="1"/>
  <c r="H483" i="37"/>
  <c r="J483" i="37" s="1"/>
  <c r="H482" i="37"/>
  <c r="J482" i="37" s="1"/>
  <c r="J481" i="37"/>
  <c r="H481" i="37"/>
  <c r="H480" i="37"/>
  <c r="J480" i="37" s="1"/>
  <c r="H479" i="37"/>
  <c r="J479" i="37" s="1"/>
  <c r="H478" i="37"/>
  <c r="J478" i="37" s="1"/>
  <c r="J477" i="37"/>
  <c r="H477" i="37"/>
  <c r="H476" i="37"/>
  <c r="J476" i="37" s="1"/>
  <c r="H475" i="37"/>
  <c r="J475" i="37" s="1"/>
  <c r="H474" i="37"/>
  <c r="J474" i="37" s="1"/>
  <c r="H473" i="37"/>
  <c r="J473" i="37" s="1"/>
  <c r="H472" i="37"/>
  <c r="J472" i="37" s="1"/>
  <c r="H471" i="37"/>
  <c r="J471" i="37" s="1"/>
  <c r="H470" i="37"/>
  <c r="J470" i="37" s="1"/>
  <c r="H469" i="37"/>
  <c r="J469" i="37" s="1"/>
  <c r="H468" i="37"/>
  <c r="J468" i="37" s="1"/>
  <c r="H467" i="37"/>
  <c r="J467" i="37" s="1"/>
  <c r="H466" i="37"/>
  <c r="J466" i="37" s="1"/>
  <c r="J465" i="37"/>
  <c r="H465" i="37"/>
  <c r="H464" i="37"/>
  <c r="J464" i="37" s="1"/>
  <c r="H463" i="37"/>
  <c r="J463" i="37" s="1"/>
  <c r="H462" i="37"/>
  <c r="J462" i="37" s="1"/>
  <c r="J461" i="37"/>
  <c r="H461" i="37"/>
  <c r="H460" i="37"/>
  <c r="J460" i="37" s="1"/>
  <c r="H459" i="37"/>
  <c r="J459" i="37" s="1"/>
  <c r="H458" i="37"/>
  <c r="J458" i="37" s="1"/>
  <c r="H457" i="37"/>
  <c r="J457" i="37" s="1"/>
  <c r="H456" i="37"/>
  <c r="J456" i="37" s="1"/>
  <c r="H455" i="37"/>
  <c r="J455" i="37" s="1"/>
  <c r="H452" i="37"/>
  <c r="J452" i="37" s="1"/>
  <c r="H451" i="37"/>
  <c r="J451" i="37" s="1"/>
  <c r="H450" i="37"/>
  <c r="J450" i="37" s="1"/>
  <c r="H449" i="37"/>
  <c r="J449" i="37" s="1"/>
  <c r="H448" i="37"/>
  <c r="J448" i="37" s="1"/>
  <c r="J447" i="37"/>
  <c r="H447" i="37"/>
  <c r="H446" i="37"/>
  <c r="J446" i="37" s="1"/>
  <c r="H445" i="37"/>
  <c r="J445" i="37" s="1"/>
  <c r="H444" i="37"/>
  <c r="J444" i="37" s="1"/>
  <c r="J443" i="37"/>
  <c r="H443" i="37"/>
  <c r="H442" i="37"/>
  <c r="J442" i="37" s="1"/>
  <c r="H441" i="37"/>
  <c r="J441" i="37" s="1"/>
  <c r="H440" i="37"/>
  <c r="J440" i="37" s="1"/>
  <c r="J438" i="37"/>
  <c r="H438" i="37"/>
  <c r="H437" i="37"/>
  <c r="J437" i="37" s="1"/>
  <c r="H436" i="37"/>
  <c r="J436" i="37" s="1"/>
  <c r="H435" i="37"/>
  <c r="J435" i="37" s="1"/>
  <c r="H434" i="37"/>
  <c r="J434" i="37" s="1"/>
  <c r="H433" i="37"/>
  <c r="J433" i="37" s="1"/>
  <c r="H432" i="37"/>
  <c r="J432" i="37" s="1"/>
  <c r="H431" i="37"/>
  <c r="J431" i="37" s="1"/>
  <c r="J430" i="37"/>
  <c r="H430" i="37"/>
  <c r="H429" i="37"/>
  <c r="J429" i="37" s="1"/>
  <c r="H428" i="37"/>
  <c r="J428" i="37" s="1"/>
  <c r="H427" i="37"/>
  <c r="J427" i="37" s="1"/>
  <c r="H426" i="37"/>
  <c r="J425" i="37"/>
  <c r="H425" i="37"/>
  <c r="H424" i="37"/>
  <c r="J424" i="37" s="1"/>
  <c r="J423" i="37"/>
  <c r="H423" i="37"/>
  <c r="H422" i="37"/>
  <c r="J422" i="37" s="1"/>
  <c r="J421" i="37"/>
  <c r="H421" i="37"/>
  <c r="H420" i="37"/>
  <c r="J420" i="37" s="1"/>
  <c r="H419" i="37"/>
  <c r="J419" i="37" s="1"/>
  <c r="H418" i="37"/>
  <c r="J418" i="37" s="1"/>
  <c r="J417" i="37"/>
  <c r="H417" i="37"/>
  <c r="H416" i="37"/>
  <c r="J416" i="37" s="1"/>
  <c r="J415" i="37"/>
  <c r="H415" i="37"/>
  <c r="H414" i="37"/>
  <c r="J414" i="37" s="1"/>
  <c r="J413" i="37"/>
  <c r="H413" i="37"/>
  <c r="H412" i="37"/>
  <c r="J412" i="37" s="1"/>
  <c r="H411" i="37"/>
  <c r="J411" i="37" s="1"/>
  <c r="H410" i="37"/>
  <c r="J410" i="37" s="1"/>
  <c r="H409" i="37"/>
  <c r="J409" i="37" s="1"/>
  <c r="H408" i="37"/>
  <c r="J408" i="37" s="1"/>
  <c r="J407" i="37"/>
  <c r="H407" i="37"/>
  <c r="H406" i="37"/>
  <c r="J406" i="37" s="1"/>
  <c r="J405" i="37"/>
  <c r="H405" i="37"/>
  <c r="H404" i="37"/>
  <c r="J404" i="37" s="1"/>
  <c r="H403" i="37"/>
  <c r="J403" i="37" s="1"/>
  <c r="H402" i="37"/>
  <c r="J402" i="37" s="1"/>
  <c r="H401" i="37"/>
  <c r="J401" i="37" s="1"/>
  <c r="H400" i="37"/>
  <c r="J400" i="37" s="1"/>
  <c r="J399" i="37"/>
  <c r="H399" i="37"/>
  <c r="H398" i="37"/>
  <c r="J398" i="37" s="1"/>
  <c r="J397" i="37"/>
  <c r="H397" i="37"/>
  <c r="H396" i="37"/>
  <c r="J396" i="37" s="1"/>
  <c r="H395" i="37"/>
  <c r="J395" i="37" s="1"/>
  <c r="H394" i="37"/>
  <c r="J394" i="37" s="1"/>
  <c r="H393" i="37"/>
  <c r="J393" i="37" s="1"/>
  <c r="H392" i="37"/>
  <c r="J392" i="37" s="1"/>
  <c r="J391" i="37"/>
  <c r="H391" i="37"/>
  <c r="H389" i="37"/>
  <c r="J389" i="37" s="1"/>
  <c r="J388" i="37"/>
  <c r="H388" i="37"/>
  <c r="H387" i="37"/>
  <c r="J387" i="37" s="1"/>
  <c r="H386" i="37"/>
  <c r="J386" i="37" s="1"/>
  <c r="H385" i="37"/>
  <c r="J385" i="37" s="1"/>
  <c r="H384" i="37"/>
  <c r="J384" i="37" s="1"/>
  <c r="H383" i="37"/>
  <c r="J383" i="37" s="1"/>
  <c r="J382" i="37"/>
  <c r="H382" i="37"/>
  <c r="H381" i="37"/>
  <c r="H380" i="37"/>
  <c r="J380" i="37" s="1"/>
  <c r="H379" i="37"/>
  <c r="J379" i="37" s="1"/>
  <c r="H378" i="37"/>
  <c r="J378" i="37" s="1"/>
  <c r="H377" i="37"/>
  <c r="J377" i="37" s="1"/>
  <c r="H376" i="37"/>
  <c r="J376" i="37" s="1"/>
  <c r="H375" i="37"/>
  <c r="J375" i="37" s="1"/>
  <c r="H374" i="37"/>
  <c r="J374" i="37" s="1"/>
  <c r="H373" i="37"/>
  <c r="J373" i="37" s="1"/>
  <c r="H372" i="37"/>
  <c r="J372" i="37" s="1"/>
  <c r="H371" i="37"/>
  <c r="J371" i="37" s="1"/>
  <c r="J369" i="37"/>
  <c r="H369" i="37"/>
  <c r="H368" i="37"/>
  <c r="J368" i="37" s="1"/>
  <c r="H367" i="37"/>
  <c r="J367" i="37" s="1"/>
  <c r="H366" i="37"/>
  <c r="J366" i="37" s="1"/>
  <c r="J365" i="37"/>
  <c r="H365" i="37"/>
  <c r="H364" i="37"/>
  <c r="J364" i="37" s="1"/>
  <c r="H363" i="37"/>
  <c r="J363" i="37" s="1"/>
  <c r="H362" i="37"/>
  <c r="J362" i="37" s="1"/>
  <c r="H361" i="37"/>
  <c r="J361" i="37" s="1"/>
  <c r="H360" i="37"/>
  <c r="J360" i="37" s="1"/>
  <c r="H359" i="37"/>
  <c r="J359" i="37" s="1"/>
  <c r="H358" i="37"/>
  <c r="J358" i="37" s="1"/>
  <c r="H357" i="37"/>
  <c r="J357" i="37" s="1"/>
  <c r="H356" i="37"/>
  <c r="J356" i="37" s="1"/>
  <c r="H355" i="37"/>
  <c r="J355" i="37" s="1"/>
  <c r="H354" i="37"/>
  <c r="J354" i="37" s="1"/>
  <c r="J353" i="37"/>
  <c r="H353" i="37"/>
  <c r="H352" i="37"/>
  <c r="J352" i="37" s="1"/>
  <c r="H351" i="37"/>
  <c r="J351" i="37" s="1"/>
  <c r="H350" i="37"/>
  <c r="J350" i="37" s="1"/>
  <c r="J349" i="37"/>
  <c r="H349" i="37"/>
  <c r="H348" i="37"/>
  <c r="J348" i="37" s="1"/>
  <c r="H347" i="37"/>
  <c r="J347" i="37" s="1"/>
  <c r="H346" i="37"/>
  <c r="J346" i="37" s="1"/>
  <c r="H345" i="37"/>
  <c r="J345" i="37" s="1"/>
  <c r="H344" i="37"/>
  <c r="J344" i="37" s="1"/>
  <c r="H343" i="37"/>
  <c r="J343" i="37" s="1"/>
  <c r="H342" i="37"/>
  <c r="J342" i="37" s="1"/>
  <c r="H341" i="37"/>
  <c r="J341" i="37" s="1"/>
  <c r="H340" i="37"/>
  <c r="J340" i="37" s="1"/>
  <c r="H339" i="37"/>
  <c r="J339" i="37" s="1"/>
  <c r="H338" i="37"/>
  <c r="J338" i="37" s="1"/>
  <c r="J337" i="37"/>
  <c r="H337" i="37"/>
  <c r="H336" i="37"/>
  <c r="J336" i="37" s="1"/>
  <c r="H335" i="37"/>
  <c r="J335" i="37" s="1"/>
  <c r="H334" i="37"/>
  <c r="J334" i="37" s="1"/>
  <c r="J333" i="37"/>
  <c r="H333" i="37"/>
  <c r="H332" i="37"/>
  <c r="J332" i="37" s="1"/>
  <c r="H331" i="37"/>
  <c r="J331" i="37" s="1"/>
  <c r="H330" i="37"/>
  <c r="J330" i="37" s="1"/>
  <c r="H329" i="37"/>
  <c r="J329" i="37" s="1"/>
  <c r="H328" i="37"/>
  <c r="J328" i="37" s="1"/>
  <c r="H327" i="37"/>
  <c r="J327" i="37" s="1"/>
  <c r="H326" i="37"/>
  <c r="J326" i="37" s="1"/>
  <c r="H325" i="37"/>
  <c r="J325" i="37" s="1"/>
  <c r="H324" i="37"/>
  <c r="J324" i="37" s="1"/>
  <c r="H323" i="37"/>
  <c r="J323" i="37" s="1"/>
  <c r="H322" i="37"/>
  <c r="J322" i="37" s="1"/>
  <c r="J321" i="37"/>
  <c r="H321" i="37"/>
  <c r="H320" i="37"/>
  <c r="J320" i="37" s="1"/>
  <c r="H319" i="37"/>
  <c r="J319" i="37" s="1"/>
  <c r="H318" i="37"/>
  <c r="J318" i="37" s="1"/>
  <c r="J317" i="37"/>
  <c r="H317" i="37"/>
  <c r="H316" i="37"/>
  <c r="J316" i="37" s="1"/>
  <c r="H315" i="37"/>
  <c r="J315" i="37" s="1"/>
  <c r="H314" i="37"/>
  <c r="J314" i="37" s="1"/>
  <c r="H313" i="37"/>
  <c r="J313" i="37" s="1"/>
  <c r="H312" i="37"/>
  <c r="J312" i="37" s="1"/>
  <c r="H311" i="37"/>
  <c r="J311" i="37" s="1"/>
  <c r="H310" i="37"/>
  <c r="J310" i="37" s="1"/>
  <c r="H309" i="37"/>
  <c r="J309" i="37" s="1"/>
  <c r="H308" i="37"/>
  <c r="J308" i="37" s="1"/>
  <c r="H307" i="37"/>
  <c r="J307" i="37" s="1"/>
  <c r="H306" i="37"/>
  <c r="J306" i="37" s="1"/>
  <c r="H305" i="37"/>
  <c r="J305" i="37" s="1"/>
  <c r="H304" i="37"/>
  <c r="J304" i="37" s="1"/>
  <c r="H303" i="37"/>
  <c r="J303" i="37" s="1"/>
  <c r="H302" i="37"/>
  <c r="J302" i="37" s="1"/>
  <c r="H301" i="37"/>
  <c r="J301" i="37" s="1"/>
  <c r="H300" i="37"/>
  <c r="J300" i="37" s="1"/>
  <c r="H299" i="37"/>
  <c r="J299" i="37" s="1"/>
  <c r="H298" i="37"/>
  <c r="J298" i="37" s="1"/>
  <c r="J297" i="37"/>
  <c r="H297" i="37"/>
  <c r="H296" i="37"/>
  <c r="J296" i="37" s="1"/>
  <c r="H295" i="37"/>
  <c r="J295" i="37" s="1"/>
  <c r="H294" i="37"/>
  <c r="J294" i="37" s="1"/>
  <c r="H293" i="37"/>
  <c r="J293" i="37" s="1"/>
  <c r="H292" i="37"/>
  <c r="J292" i="37" s="1"/>
  <c r="H291" i="37"/>
  <c r="J291" i="37" s="1"/>
  <c r="H290" i="37"/>
  <c r="J290" i="37" s="1"/>
  <c r="J289" i="37"/>
  <c r="H289" i="37"/>
  <c r="H288" i="37"/>
  <c r="J288" i="37" s="1"/>
  <c r="H287" i="37"/>
  <c r="J287" i="37" s="1"/>
  <c r="H286" i="37"/>
  <c r="J286" i="37" s="1"/>
  <c r="H285" i="37"/>
  <c r="J285" i="37" s="1"/>
  <c r="H284" i="37"/>
  <c r="J284" i="37" s="1"/>
  <c r="H283" i="37"/>
  <c r="J283" i="37" s="1"/>
  <c r="H282" i="37"/>
  <c r="J282" i="37" s="1"/>
  <c r="H281" i="37"/>
  <c r="J281" i="37" s="1"/>
  <c r="H280" i="37"/>
  <c r="J280" i="37" s="1"/>
  <c r="H279" i="37"/>
  <c r="J279" i="37" s="1"/>
  <c r="H278" i="37"/>
  <c r="J278" i="37" s="1"/>
  <c r="H277" i="37"/>
  <c r="J277" i="37" s="1"/>
  <c r="H276" i="37"/>
  <c r="J276" i="37" s="1"/>
  <c r="H275" i="37"/>
  <c r="J275" i="37" s="1"/>
  <c r="H274" i="37"/>
  <c r="J274" i="37" s="1"/>
  <c r="H273" i="37"/>
  <c r="J273" i="37" s="1"/>
  <c r="H272" i="37"/>
  <c r="J272" i="37" s="1"/>
  <c r="H271" i="37"/>
  <c r="J271" i="37" s="1"/>
  <c r="H270" i="37"/>
  <c r="J270" i="37" s="1"/>
  <c r="H269" i="37"/>
  <c r="J269" i="37" s="1"/>
  <c r="H268" i="37"/>
  <c r="J268" i="37" s="1"/>
  <c r="H267" i="37"/>
  <c r="J267" i="37" s="1"/>
  <c r="H266" i="37"/>
  <c r="J266" i="37" s="1"/>
  <c r="J265" i="37"/>
  <c r="H265" i="37"/>
  <c r="H264" i="37"/>
  <c r="J264" i="37" s="1"/>
  <c r="H263" i="37"/>
  <c r="J263" i="37" s="1"/>
  <c r="H261" i="37"/>
  <c r="J261" i="37" s="1"/>
  <c r="H258" i="37"/>
  <c r="J258" i="37" s="1"/>
  <c r="H257" i="37"/>
  <c r="J257" i="37" s="1"/>
  <c r="H256" i="37"/>
  <c r="J256" i="37" s="1"/>
  <c r="H255" i="37"/>
  <c r="J255" i="37" s="1"/>
  <c r="J254" i="37"/>
  <c r="H254" i="37"/>
  <c r="H253" i="37"/>
  <c r="J253" i="37" s="1"/>
  <c r="H252" i="37"/>
  <c r="J252" i="37" s="1"/>
  <c r="H251" i="37"/>
  <c r="J251" i="37" s="1"/>
  <c r="H250" i="37"/>
  <c r="J250" i="37" s="1"/>
  <c r="H249" i="37"/>
  <c r="J249" i="37" s="1"/>
  <c r="H248" i="37"/>
  <c r="J248" i="37" s="1"/>
  <c r="H247" i="37"/>
  <c r="J247" i="37" s="1"/>
  <c r="H245" i="37"/>
  <c r="J245" i="37" s="1"/>
  <c r="H244" i="37"/>
  <c r="J244" i="37" s="1"/>
  <c r="J243" i="37"/>
  <c r="H243" i="37"/>
  <c r="H242" i="37"/>
  <c r="J242" i="37" s="1"/>
  <c r="H240" i="37"/>
  <c r="J240" i="37" s="1"/>
  <c r="H239" i="37"/>
  <c r="J239" i="37" s="1"/>
  <c r="H238" i="37"/>
  <c r="J238" i="37" s="1"/>
  <c r="H237" i="37"/>
  <c r="J237" i="37" s="1"/>
  <c r="H236" i="37"/>
  <c r="J236" i="37" s="1"/>
  <c r="H235" i="37"/>
  <c r="J235" i="37" s="1"/>
  <c r="H234" i="37"/>
  <c r="J234" i="37" s="1"/>
  <c r="H233" i="37"/>
  <c r="J233" i="37" s="1"/>
  <c r="H232" i="37"/>
  <c r="J232" i="37" s="1"/>
  <c r="H231" i="37"/>
  <c r="J231" i="37" s="1"/>
  <c r="H230" i="37"/>
  <c r="J230" i="37" s="1"/>
  <c r="H229" i="37"/>
  <c r="J229" i="37" s="1"/>
  <c r="H228" i="37"/>
  <c r="J228" i="37" s="1"/>
  <c r="H227" i="37"/>
  <c r="J227" i="37" s="1"/>
  <c r="H226" i="37"/>
  <c r="J226" i="37" s="1"/>
  <c r="J225" i="37"/>
  <c r="H225" i="37"/>
  <c r="H224" i="37"/>
  <c r="J224" i="37" s="1"/>
  <c r="H223" i="37"/>
  <c r="J223" i="37" s="1"/>
  <c r="H222" i="37"/>
  <c r="J222" i="37" s="1"/>
  <c r="H221" i="37"/>
  <c r="J221" i="37" s="1"/>
  <c r="H220" i="37"/>
  <c r="J220" i="37" s="1"/>
  <c r="H219" i="37"/>
  <c r="J219" i="37" s="1"/>
  <c r="H218" i="37"/>
  <c r="J218" i="37" s="1"/>
  <c r="J217" i="37"/>
  <c r="H217" i="37"/>
  <c r="H216" i="37"/>
  <c r="J216" i="37" s="1"/>
  <c r="H215" i="37"/>
  <c r="J215" i="37" s="1"/>
  <c r="H214" i="37"/>
  <c r="J214" i="37" s="1"/>
  <c r="H213" i="37"/>
  <c r="J213" i="37" s="1"/>
  <c r="H212" i="37"/>
  <c r="J212" i="37" s="1"/>
  <c r="H211" i="37"/>
  <c r="J211" i="37" s="1"/>
  <c r="H210" i="37"/>
  <c r="J210" i="37" s="1"/>
  <c r="H209" i="37"/>
  <c r="J209" i="37" s="1"/>
  <c r="H208" i="37"/>
  <c r="J208" i="37" s="1"/>
  <c r="H207" i="37"/>
  <c r="J207" i="37" s="1"/>
  <c r="H206" i="37"/>
  <c r="J206" i="37" s="1"/>
  <c r="H205" i="37"/>
  <c r="J205" i="37" s="1"/>
  <c r="H202" i="37"/>
  <c r="J202" i="37" s="1"/>
  <c r="H199" i="37"/>
  <c r="J199" i="37" s="1"/>
  <c r="H198" i="37"/>
  <c r="J198" i="37" s="1"/>
  <c r="H197" i="37"/>
  <c r="J197" i="37" s="1"/>
  <c r="H196" i="37"/>
  <c r="J196" i="37" s="1"/>
  <c r="H195" i="37"/>
  <c r="J195" i="37" s="1"/>
  <c r="H194" i="37"/>
  <c r="J194" i="37" s="1"/>
  <c r="H193" i="37"/>
  <c r="J193" i="37" s="1"/>
  <c r="H191" i="37"/>
  <c r="J191" i="37" s="1"/>
  <c r="H190" i="37"/>
  <c r="J190" i="37" s="1"/>
  <c r="H189" i="37"/>
  <c r="J189" i="37" s="1"/>
  <c r="J188" i="37"/>
  <c r="H188" i="37"/>
  <c r="H187" i="37"/>
  <c r="J187" i="37" s="1"/>
  <c r="H186" i="37"/>
  <c r="J186" i="37" s="1"/>
  <c r="H185" i="37"/>
  <c r="J185" i="37" s="1"/>
  <c r="H184" i="37"/>
  <c r="J184" i="37" s="1"/>
  <c r="H183" i="37"/>
  <c r="J183" i="37" s="1"/>
  <c r="H182" i="37"/>
  <c r="J182" i="37" s="1"/>
  <c r="H181" i="37"/>
  <c r="J181" i="37" s="1"/>
  <c r="H180" i="37"/>
  <c r="J180" i="37" s="1"/>
  <c r="H179" i="37"/>
  <c r="J179" i="37" s="1"/>
  <c r="H178" i="37"/>
  <c r="J178" i="37" s="1"/>
  <c r="H177" i="37"/>
  <c r="J177" i="37" s="1"/>
  <c r="H176" i="37"/>
  <c r="J176" i="37" s="1"/>
  <c r="H175" i="37"/>
  <c r="J175" i="37" s="1"/>
  <c r="H174" i="37"/>
  <c r="J174" i="37" s="1"/>
  <c r="H173" i="37"/>
  <c r="J173" i="37" s="1"/>
  <c r="H172" i="37"/>
  <c r="H171" i="37"/>
  <c r="J171" i="37" s="1"/>
  <c r="H170" i="37"/>
  <c r="J170" i="37" s="1"/>
  <c r="H169" i="37"/>
  <c r="J169" i="37" s="1"/>
  <c r="H168" i="37"/>
  <c r="J168" i="37" s="1"/>
  <c r="H167" i="37"/>
  <c r="J167" i="37" s="1"/>
  <c r="H166" i="37"/>
  <c r="J166" i="37" s="1"/>
  <c r="J165" i="37"/>
  <c r="H165" i="37"/>
  <c r="H163" i="37"/>
  <c r="J163" i="37" s="1"/>
  <c r="H162" i="37"/>
  <c r="J162" i="37" s="1"/>
  <c r="H161" i="37"/>
  <c r="J161" i="37" s="1"/>
  <c r="H160" i="37"/>
  <c r="J160" i="37" s="1"/>
  <c r="H159" i="37"/>
  <c r="J159" i="37" s="1"/>
  <c r="H158" i="37"/>
  <c r="J158" i="37" s="1"/>
  <c r="H157" i="37"/>
  <c r="J157" i="37" s="1"/>
  <c r="J156" i="37"/>
  <c r="H156" i="37"/>
  <c r="H155" i="37"/>
  <c r="J155" i="37" s="1"/>
  <c r="H154" i="37"/>
  <c r="J154" i="37" s="1"/>
  <c r="H153" i="37"/>
  <c r="J153" i="37" s="1"/>
  <c r="H151" i="37"/>
  <c r="J151" i="37" s="1"/>
  <c r="H150" i="37"/>
  <c r="J150" i="37" s="1"/>
  <c r="H149" i="37"/>
  <c r="J149" i="37" s="1"/>
  <c r="H148" i="37"/>
  <c r="J148" i="37" s="1"/>
  <c r="J147" i="37"/>
  <c r="H147" i="37"/>
  <c r="H146" i="37"/>
  <c r="J146" i="37" s="1"/>
  <c r="H145" i="37"/>
  <c r="J145" i="37" s="1"/>
  <c r="H144" i="37"/>
  <c r="J144" i="37" s="1"/>
  <c r="H143" i="37"/>
  <c r="J143" i="37" s="1"/>
  <c r="H142" i="37"/>
  <c r="J142" i="37" s="1"/>
  <c r="H141" i="37"/>
  <c r="J141" i="37" s="1"/>
  <c r="H140" i="37"/>
  <c r="J140" i="37" s="1"/>
  <c r="J139" i="37"/>
  <c r="H139" i="37"/>
  <c r="H138" i="37"/>
  <c r="J138" i="37" s="1"/>
  <c r="H137" i="37"/>
  <c r="J137" i="37" s="1"/>
  <c r="H136" i="37"/>
  <c r="J136" i="37" s="1"/>
  <c r="J135" i="37"/>
  <c r="H135" i="37"/>
  <c r="J133" i="37"/>
  <c r="H133" i="37"/>
  <c r="H132" i="37"/>
  <c r="J132" i="37" s="1"/>
  <c r="H131" i="37"/>
  <c r="J131" i="37" s="1"/>
  <c r="H130" i="37"/>
  <c r="J130" i="37" s="1"/>
  <c r="H129" i="37"/>
  <c r="J129" i="37" s="1"/>
  <c r="H128" i="37"/>
  <c r="J128" i="37" s="1"/>
  <c r="H127" i="37"/>
  <c r="J127" i="37" s="1"/>
  <c r="H126" i="37"/>
  <c r="J126" i="37" s="1"/>
  <c r="H125" i="37"/>
  <c r="J125" i="37" s="1"/>
  <c r="H124" i="37"/>
  <c r="J124" i="37" s="1"/>
  <c r="H123" i="37"/>
  <c r="J123" i="37" s="1"/>
  <c r="H122" i="37"/>
  <c r="J122" i="37" s="1"/>
  <c r="H121" i="37"/>
  <c r="J121" i="37" s="1"/>
  <c r="H120" i="37"/>
  <c r="J120" i="37" s="1"/>
  <c r="H119" i="37"/>
  <c r="J119" i="37" s="1"/>
  <c r="H118" i="37"/>
  <c r="J118" i="37" s="1"/>
  <c r="H117" i="37"/>
  <c r="J117" i="37" s="1"/>
  <c r="H116" i="37"/>
  <c r="J116" i="37" s="1"/>
  <c r="H115" i="37"/>
  <c r="J115" i="37" s="1"/>
  <c r="H114" i="37"/>
  <c r="J114" i="37" s="1"/>
  <c r="H113" i="37"/>
  <c r="J113" i="37" s="1"/>
  <c r="H112" i="37"/>
  <c r="J112" i="37" s="1"/>
  <c r="H111" i="37"/>
  <c r="J111" i="37" s="1"/>
  <c r="H110" i="37"/>
  <c r="H109" i="37"/>
  <c r="J109" i="37" s="1"/>
  <c r="J108" i="37"/>
  <c r="H108" i="37"/>
  <c r="H107" i="37"/>
  <c r="J107" i="37" s="1"/>
  <c r="H106" i="37"/>
  <c r="J106" i="37" s="1"/>
  <c r="H105" i="37"/>
  <c r="J105" i="37" s="1"/>
  <c r="I104" i="37"/>
  <c r="H104" i="37"/>
  <c r="J104" i="37" s="1"/>
  <c r="H103" i="37"/>
  <c r="J103" i="37" s="1"/>
  <c r="H102" i="37"/>
  <c r="J102" i="37" s="1"/>
  <c r="H100" i="37"/>
  <c r="J100" i="37" s="1"/>
  <c r="H99" i="37"/>
  <c r="J99" i="37" s="1"/>
  <c r="H98" i="37"/>
  <c r="J98" i="37" s="1"/>
  <c r="H97" i="37"/>
  <c r="J97" i="37" s="1"/>
  <c r="H96" i="37"/>
  <c r="J96" i="37" s="1"/>
  <c r="H95" i="37"/>
  <c r="J95" i="37" s="1"/>
  <c r="J94" i="37"/>
  <c r="H94" i="37"/>
  <c r="H93" i="37"/>
  <c r="J93" i="37" s="1"/>
  <c r="H92" i="37"/>
  <c r="J92" i="37" s="1"/>
  <c r="H91" i="37"/>
  <c r="J91" i="37" s="1"/>
  <c r="H90" i="37"/>
  <c r="J90" i="37" s="1"/>
  <c r="H89" i="37"/>
  <c r="J89" i="37" s="1"/>
  <c r="H88" i="37"/>
  <c r="J88" i="37" s="1"/>
  <c r="H87" i="37"/>
  <c r="J87" i="37" s="1"/>
  <c r="J86" i="37"/>
  <c r="H86" i="37"/>
  <c r="H85" i="37"/>
  <c r="J85" i="37" s="1"/>
  <c r="H84" i="37"/>
  <c r="J84" i="37" s="1"/>
  <c r="H83" i="37"/>
  <c r="J83" i="37" s="1"/>
  <c r="H82" i="37"/>
  <c r="J82" i="37" s="1"/>
  <c r="H81" i="37"/>
  <c r="J81" i="37" s="1"/>
  <c r="H80" i="37"/>
  <c r="J80" i="37" s="1"/>
  <c r="H79" i="37"/>
  <c r="J79" i="37" s="1"/>
  <c r="J78" i="37"/>
  <c r="H78" i="37"/>
  <c r="H77" i="37"/>
  <c r="J77" i="37" s="1"/>
  <c r="H76" i="37"/>
  <c r="J76" i="37" s="1"/>
  <c r="H75" i="37"/>
  <c r="J75" i="37" s="1"/>
  <c r="H74" i="37"/>
  <c r="J74" i="37" s="1"/>
  <c r="H73" i="37"/>
  <c r="J73" i="37" s="1"/>
  <c r="H72" i="37"/>
  <c r="J72" i="37" s="1"/>
  <c r="H71" i="37"/>
  <c r="J71" i="37" s="1"/>
  <c r="J70" i="37"/>
  <c r="H70" i="37"/>
  <c r="H69" i="37"/>
  <c r="J69" i="37" s="1"/>
  <c r="H68" i="37"/>
  <c r="J68" i="37" s="1"/>
  <c r="H67" i="37"/>
  <c r="J67" i="37" s="1"/>
  <c r="H66" i="37"/>
  <c r="J66" i="37" s="1"/>
  <c r="H65" i="37"/>
  <c r="J65" i="37" s="1"/>
  <c r="H64" i="37"/>
  <c r="J64" i="37" s="1"/>
  <c r="H63" i="37"/>
  <c r="J63" i="37" s="1"/>
  <c r="J62" i="37"/>
  <c r="H62" i="37"/>
  <c r="H61" i="37"/>
  <c r="J61" i="37" s="1"/>
  <c r="H60" i="37"/>
  <c r="J60" i="37" s="1"/>
  <c r="H59" i="37"/>
  <c r="J59" i="37" s="1"/>
  <c r="H58" i="37"/>
  <c r="J58" i="37" s="1"/>
  <c r="H57" i="37"/>
  <c r="J57" i="37" s="1"/>
  <c r="H56" i="37"/>
  <c r="J56" i="37" s="1"/>
  <c r="H55" i="37"/>
  <c r="J55" i="37" s="1"/>
  <c r="J54" i="37"/>
  <c r="H54" i="37"/>
  <c r="H53" i="37"/>
  <c r="J53" i="37" s="1"/>
  <c r="H52" i="37"/>
  <c r="J52" i="37" s="1"/>
  <c r="H51" i="37"/>
  <c r="J51" i="37" s="1"/>
  <c r="H50" i="37"/>
  <c r="J50" i="37" s="1"/>
  <c r="H49" i="37"/>
  <c r="J49" i="37" s="1"/>
  <c r="H47" i="37"/>
  <c r="J47" i="37" s="1"/>
  <c r="H41" i="37"/>
  <c r="J41" i="37" s="1"/>
  <c r="H40" i="37"/>
  <c r="J40" i="37" s="1"/>
  <c r="H39" i="37"/>
  <c r="J39" i="37" s="1"/>
  <c r="H37" i="37"/>
  <c r="J37" i="37" s="1"/>
  <c r="J36" i="37"/>
  <c r="H36" i="37"/>
  <c r="H34" i="37"/>
  <c r="J34" i="37" s="1"/>
  <c r="H33" i="37"/>
  <c r="J33" i="37" s="1"/>
  <c r="J31" i="37"/>
  <c r="H31" i="37"/>
  <c r="H30" i="37"/>
  <c r="J30" i="37" s="1"/>
  <c r="I29" i="37"/>
  <c r="J29" i="37" s="1"/>
  <c r="H29" i="37"/>
  <c r="H28" i="37"/>
  <c r="J28" i="37" s="1"/>
  <c r="H27" i="37"/>
  <c r="J27" i="37" s="1"/>
  <c r="H26" i="37"/>
  <c r="J26" i="37" s="1"/>
  <c r="H25" i="37"/>
  <c r="J25" i="37" s="1"/>
  <c r="H24" i="37"/>
  <c r="J24" i="37" s="1"/>
  <c r="H23" i="37"/>
  <c r="J23" i="37" s="1"/>
  <c r="H22" i="37"/>
  <c r="J22" i="37" s="1"/>
  <c r="H21" i="37"/>
  <c r="J21" i="37" s="1"/>
  <c r="J19" i="37"/>
  <c r="H19" i="37"/>
  <c r="H18" i="37"/>
  <c r="J18" i="37" s="1"/>
  <c r="H17" i="37"/>
  <c r="J17" i="37" s="1"/>
  <c r="H16" i="37"/>
  <c r="J16" i="37" s="1"/>
  <c r="J15" i="37"/>
  <c r="H15" i="37"/>
  <c r="H14" i="37"/>
  <c r="J14" i="37" s="1"/>
  <c r="H13" i="37"/>
  <c r="J13" i="37" s="1"/>
  <c r="J599" i="37" l="1"/>
  <c r="K1069" i="37"/>
  <c r="J592" i="37"/>
  <c r="K1310" i="37"/>
  <c r="J593" i="37"/>
  <c r="J614" i="37"/>
  <c r="K1480" i="37"/>
  <c r="K35" i="37"/>
  <c r="J529" i="37"/>
  <c r="J613" i="37"/>
  <c r="K1076" i="37"/>
  <c r="K1127" i="37"/>
  <c r="J1073" i="37"/>
  <c r="J1077" i="37"/>
  <c r="J1081" i="37"/>
  <c r="J1132" i="37"/>
  <c r="J1140" i="37"/>
  <c r="J1144" i="37"/>
  <c r="J1151" i="37"/>
  <c r="K1303" i="37"/>
  <c r="K1325" i="37"/>
  <c r="J1379" i="37"/>
  <c r="K1397" i="37" s="1"/>
  <c r="K32" i="37"/>
  <c r="K38" i="37"/>
  <c r="K101" i="37"/>
  <c r="K134" i="37"/>
  <c r="K241" i="37"/>
  <c r="K48" i="37"/>
  <c r="K246" i="37"/>
  <c r="K20" i="37"/>
  <c r="J590" i="37"/>
  <c r="J1496" i="37" s="1"/>
  <c r="K633" i="37"/>
  <c r="K856" i="37"/>
  <c r="K932" i="37"/>
  <c r="K919" i="37"/>
  <c r="J594" i="37"/>
  <c r="K1153" i="37"/>
  <c r="K652" i="37"/>
  <c r="K1145" i="37"/>
  <c r="K1495" i="37"/>
  <c r="K1112" i="37"/>
  <c r="K1331" i="37"/>
  <c r="K1363" i="37"/>
  <c r="K1375" i="37"/>
  <c r="K1415" i="37"/>
  <c r="K1408" i="37"/>
  <c r="K624" i="37" l="1"/>
  <c r="K1496" i="37" s="1"/>
  <c r="H1421" i="36" l="1"/>
  <c r="J1421" i="36" s="1"/>
  <c r="H1420" i="36"/>
  <c r="J1420" i="36" s="1"/>
  <c r="J1419" i="36"/>
  <c r="H1419" i="36"/>
  <c r="J1418" i="36"/>
  <c r="H1417" i="36"/>
  <c r="J1417" i="36" s="1"/>
  <c r="H1416" i="36"/>
  <c r="J1416" i="36" s="1"/>
  <c r="H1415" i="36"/>
  <c r="J1415" i="36" s="1"/>
  <c r="H1412" i="36"/>
  <c r="J1412" i="36" s="1"/>
  <c r="H1411" i="36"/>
  <c r="J1411" i="36" s="1"/>
  <c r="H1410" i="36"/>
  <c r="J1410" i="36" s="1"/>
  <c r="H1409" i="36"/>
  <c r="J1409" i="36" s="1"/>
  <c r="H1407" i="36"/>
  <c r="J1407" i="36" s="1"/>
  <c r="J1406" i="36"/>
  <c r="H1406" i="36"/>
  <c r="H1405" i="36"/>
  <c r="J1405" i="36" s="1"/>
  <c r="H1402" i="36"/>
  <c r="J1402" i="36" s="1"/>
  <c r="H1401" i="36"/>
  <c r="J1401" i="36" s="1"/>
  <c r="J1400" i="36"/>
  <c r="H1400" i="36"/>
  <c r="H1399" i="36"/>
  <c r="J1399" i="36" s="1"/>
  <c r="H1398" i="36"/>
  <c r="J1398" i="36" s="1"/>
  <c r="H1397" i="36"/>
  <c r="J1397" i="36" s="1"/>
  <c r="J1396" i="36"/>
  <c r="H1396" i="36"/>
  <c r="H1395" i="36"/>
  <c r="J1395" i="36" s="1"/>
  <c r="H1394" i="36"/>
  <c r="J1394" i="36" s="1"/>
  <c r="H1393" i="36"/>
  <c r="J1393" i="36" s="1"/>
  <c r="J1392" i="36"/>
  <c r="H1392" i="36"/>
  <c r="H1391" i="36"/>
  <c r="J1391" i="36" s="1"/>
  <c r="H1390" i="36"/>
  <c r="J1390" i="36" s="1"/>
  <c r="H1389" i="36"/>
  <c r="J1389" i="36" s="1"/>
  <c r="J1388" i="36"/>
  <c r="H1388" i="36"/>
  <c r="H1387" i="36"/>
  <c r="J1387" i="36" s="1"/>
  <c r="H1386" i="36"/>
  <c r="J1386" i="36" s="1"/>
  <c r="H1385" i="36"/>
  <c r="J1385" i="36" s="1"/>
  <c r="J1384" i="36"/>
  <c r="H1384" i="36"/>
  <c r="H1383" i="36"/>
  <c r="J1383" i="36" s="1"/>
  <c r="H1382" i="36"/>
  <c r="J1382" i="36" s="1"/>
  <c r="H1381" i="36"/>
  <c r="J1381" i="36" s="1"/>
  <c r="J1380" i="36"/>
  <c r="H1380" i="36"/>
  <c r="H1379" i="36"/>
  <c r="J1379" i="36" s="1"/>
  <c r="H1378" i="36"/>
  <c r="J1378" i="36" s="1"/>
  <c r="H1377" i="36"/>
  <c r="J1377" i="36" s="1"/>
  <c r="J1376" i="36"/>
  <c r="H1376" i="36"/>
  <c r="H1375" i="36"/>
  <c r="J1375" i="36" s="1"/>
  <c r="H1374" i="36"/>
  <c r="J1374" i="36" s="1"/>
  <c r="H1373" i="36"/>
  <c r="J1373" i="36" s="1"/>
  <c r="J1372" i="36"/>
  <c r="H1372" i="36"/>
  <c r="H1371" i="36"/>
  <c r="J1371" i="36" s="1"/>
  <c r="J1370" i="36"/>
  <c r="H1370" i="36"/>
  <c r="H1369" i="36"/>
  <c r="J1369" i="36" s="1"/>
  <c r="J1368" i="36"/>
  <c r="H1368" i="36"/>
  <c r="H1367" i="36"/>
  <c r="J1367" i="36" s="1"/>
  <c r="H1366" i="36"/>
  <c r="J1366" i="36" s="1"/>
  <c r="H1365" i="36"/>
  <c r="J1365" i="36" s="1"/>
  <c r="J1364" i="36"/>
  <c r="H1364" i="36"/>
  <c r="H1363" i="36"/>
  <c r="J1363" i="36" s="1"/>
  <c r="J1362" i="36"/>
  <c r="H1362" i="36"/>
  <c r="H1361" i="36"/>
  <c r="J1361" i="36" s="1"/>
  <c r="J1360" i="36"/>
  <c r="H1360" i="36"/>
  <c r="H1359" i="36"/>
  <c r="J1359" i="36" s="1"/>
  <c r="H1358" i="36"/>
  <c r="J1358" i="36" s="1"/>
  <c r="H1357" i="36"/>
  <c r="J1357" i="36" s="1"/>
  <c r="J1356" i="36"/>
  <c r="H1356" i="36"/>
  <c r="H1355" i="36"/>
  <c r="J1355" i="36" s="1"/>
  <c r="J1354" i="36"/>
  <c r="H1354" i="36"/>
  <c r="H1353" i="36"/>
  <c r="J1353" i="36" s="1"/>
  <c r="J1352" i="36"/>
  <c r="H1352" i="36"/>
  <c r="H1351" i="36"/>
  <c r="J1351" i="36" s="1"/>
  <c r="H1350" i="36"/>
  <c r="J1350" i="36" s="1"/>
  <c r="H1349" i="36"/>
  <c r="J1349" i="36" s="1"/>
  <c r="J1348" i="36"/>
  <c r="H1348" i="36"/>
  <c r="H1347" i="36"/>
  <c r="J1347" i="36" s="1"/>
  <c r="J1346" i="36"/>
  <c r="H1346" i="36"/>
  <c r="H1345" i="36"/>
  <c r="J1345" i="36" s="1"/>
  <c r="J1343" i="36"/>
  <c r="H1343" i="36"/>
  <c r="J1342" i="36"/>
  <c r="H1342" i="36"/>
  <c r="J1341" i="36"/>
  <c r="H1341" i="36"/>
  <c r="J1340" i="36"/>
  <c r="H1340" i="36"/>
  <c r="J1339" i="36"/>
  <c r="H1339" i="36"/>
  <c r="J1338" i="36"/>
  <c r="H1338" i="36"/>
  <c r="H1336" i="36"/>
  <c r="J1336" i="36" s="1"/>
  <c r="J1335" i="36"/>
  <c r="H1335" i="36"/>
  <c r="H1334" i="36"/>
  <c r="J1334" i="36" s="1"/>
  <c r="J1333" i="36"/>
  <c r="K1337" i="36" s="1"/>
  <c r="H1333" i="36"/>
  <c r="H1332" i="36"/>
  <c r="H1331" i="36"/>
  <c r="H1330" i="36"/>
  <c r="H1328" i="36"/>
  <c r="J1326" i="36"/>
  <c r="H1326" i="36"/>
  <c r="J1325" i="36"/>
  <c r="H1325" i="36"/>
  <c r="J1324" i="36"/>
  <c r="H1324" i="36"/>
  <c r="J1323" i="36"/>
  <c r="H1323" i="36"/>
  <c r="J1322" i="36"/>
  <c r="H1322" i="36"/>
  <c r="J1321" i="36"/>
  <c r="H1321" i="36"/>
  <c r="J1320" i="36"/>
  <c r="H1320" i="36"/>
  <c r="J1319" i="36"/>
  <c r="H1319" i="36"/>
  <c r="J1318" i="36"/>
  <c r="H1318" i="36"/>
  <c r="J1317" i="36"/>
  <c r="H1317" i="36"/>
  <c r="J1316" i="36"/>
  <c r="H1316" i="36"/>
  <c r="J1315" i="36"/>
  <c r="H1315" i="36"/>
  <c r="J1314" i="36"/>
  <c r="H1314" i="36"/>
  <c r="J1313" i="36"/>
  <c r="H1313" i="36"/>
  <c r="I1312" i="36"/>
  <c r="H1312" i="36"/>
  <c r="J1312" i="36" s="1"/>
  <c r="H1311" i="36"/>
  <c r="J1311" i="36" s="1"/>
  <c r="J1310" i="36"/>
  <c r="H1310" i="36"/>
  <c r="H1309" i="36"/>
  <c r="J1309" i="36" s="1"/>
  <c r="H1307" i="36"/>
  <c r="J1307" i="36" s="1"/>
  <c r="J1306" i="36"/>
  <c r="H1306" i="36"/>
  <c r="H1305" i="36"/>
  <c r="J1305" i="36" s="1"/>
  <c r="J1304" i="36"/>
  <c r="H1304" i="36"/>
  <c r="H1303" i="36"/>
  <c r="J1303" i="36" s="1"/>
  <c r="J1302" i="36"/>
  <c r="H1302" i="36"/>
  <c r="H1301" i="36"/>
  <c r="J1301" i="36" s="1"/>
  <c r="H1300" i="36"/>
  <c r="J1300" i="36" s="1"/>
  <c r="H1299" i="36"/>
  <c r="J1299" i="36" s="1"/>
  <c r="J1298" i="36"/>
  <c r="H1298" i="36"/>
  <c r="H1297" i="36"/>
  <c r="J1297" i="36" s="1"/>
  <c r="J1295" i="36"/>
  <c r="H1295" i="36"/>
  <c r="H1293" i="36"/>
  <c r="J1293" i="36" s="1"/>
  <c r="H1292" i="36"/>
  <c r="J1292" i="36" s="1"/>
  <c r="H1291" i="36"/>
  <c r="J1291" i="36" s="1"/>
  <c r="H1290" i="36"/>
  <c r="J1290" i="36" s="1"/>
  <c r="H1289" i="36"/>
  <c r="J1289" i="36" s="1"/>
  <c r="J1288" i="36"/>
  <c r="H1288" i="36"/>
  <c r="H1287" i="36"/>
  <c r="J1287" i="36" s="1"/>
  <c r="J1286" i="36"/>
  <c r="H1286" i="36"/>
  <c r="H1285" i="36"/>
  <c r="J1285" i="36" s="1"/>
  <c r="J1284" i="36"/>
  <c r="H1284" i="36"/>
  <c r="H1283" i="36"/>
  <c r="J1283" i="36" s="1"/>
  <c r="H1282" i="36"/>
  <c r="J1282" i="36" s="1"/>
  <c r="H1281" i="36"/>
  <c r="J1281" i="36" s="1"/>
  <c r="J1279" i="36"/>
  <c r="H1278" i="36"/>
  <c r="J1278" i="36" s="1"/>
  <c r="H1277" i="36"/>
  <c r="J1277" i="36" s="1"/>
  <c r="H1276" i="36"/>
  <c r="J1276" i="36" s="1"/>
  <c r="H1275" i="36"/>
  <c r="J1275" i="36" s="1"/>
  <c r="H1274" i="36"/>
  <c r="J1274" i="36" s="1"/>
  <c r="J1273" i="36"/>
  <c r="H1273" i="36"/>
  <c r="H1272" i="36"/>
  <c r="J1272" i="36" s="1"/>
  <c r="J1271" i="36"/>
  <c r="H1271" i="36"/>
  <c r="H1270" i="36"/>
  <c r="J1270" i="36" s="1"/>
  <c r="J1269" i="36"/>
  <c r="H1269" i="36"/>
  <c r="H1267" i="36"/>
  <c r="J1267" i="36" s="1"/>
  <c r="H1266" i="36"/>
  <c r="J1266" i="36" s="1"/>
  <c r="H1265" i="36"/>
  <c r="J1265" i="36" s="1"/>
  <c r="J1264" i="36"/>
  <c r="H1264" i="36"/>
  <c r="H1263" i="36"/>
  <c r="J1263" i="36" s="1"/>
  <c r="H1261" i="36"/>
  <c r="J1261" i="36" s="1"/>
  <c r="I1260" i="36"/>
  <c r="H1260" i="36"/>
  <c r="J1260" i="36" s="1"/>
  <c r="H1259" i="36"/>
  <c r="J1259" i="36" s="1"/>
  <c r="J1258" i="36"/>
  <c r="H1258" i="36"/>
  <c r="I1257" i="36"/>
  <c r="H1257" i="36"/>
  <c r="H1256" i="36"/>
  <c r="J1256" i="36" s="1"/>
  <c r="H1255" i="36"/>
  <c r="J1255" i="36" s="1"/>
  <c r="H1254" i="36"/>
  <c r="J1254" i="36" s="1"/>
  <c r="J1253" i="36"/>
  <c r="H1253" i="36"/>
  <c r="H1252" i="36"/>
  <c r="J1252" i="36" s="1"/>
  <c r="J1251" i="36"/>
  <c r="H1251" i="36"/>
  <c r="H1249" i="36"/>
  <c r="J1249" i="36" s="1"/>
  <c r="I1248" i="36"/>
  <c r="H1248" i="36"/>
  <c r="J1248" i="36" s="1"/>
  <c r="J1247" i="36"/>
  <c r="H1247" i="36"/>
  <c r="H1246" i="36"/>
  <c r="H1245" i="36"/>
  <c r="J1245" i="36" s="1"/>
  <c r="K1250" i="36" s="1"/>
  <c r="H1243" i="36"/>
  <c r="J1243" i="36" s="1"/>
  <c r="H1242" i="36"/>
  <c r="J1242" i="36" s="1"/>
  <c r="H1241" i="36"/>
  <c r="J1241" i="36" s="1"/>
  <c r="J1240" i="36"/>
  <c r="H1240" i="36"/>
  <c r="H1239" i="36"/>
  <c r="J1239" i="36" s="1"/>
  <c r="J1238" i="36"/>
  <c r="H1238" i="36"/>
  <c r="H1237" i="36"/>
  <c r="J1237" i="36" s="1"/>
  <c r="J1236" i="36"/>
  <c r="H1236" i="36"/>
  <c r="H1235" i="36"/>
  <c r="J1235" i="36" s="1"/>
  <c r="H1234" i="36"/>
  <c r="J1234" i="36" s="1"/>
  <c r="H1233" i="36"/>
  <c r="J1233" i="36" s="1"/>
  <c r="J1232" i="36"/>
  <c r="H1232" i="36"/>
  <c r="H1231" i="36"/>
  <c r="J1231" i="36" s="1"/>
  <c r="J1230" i="36"/>
  <c r="H1230" i="36"/>
  <c r="H1229" i="36"/>
  <c r="J1229" i="36" s="1"/>
  <c r="I1228" i="36"/>
  <c r="J1228" i="36" s="1"/>
  <c r="H1228" i="36"/>
  <c r="H1227" i="36"/>
  <c r="J1227" i="36" s="1"/>
  <c r="H1226" i="36"/>
  <c r="J1226" i="36" s="1"/>
  <c r="H1225" i="36"/>
  <c r="J1225" i="36" s="1"/>
  <c r="H1224" i="36"/>
  <c r="J1224" i="36" s="1"/>
  <c r="H1223" i="36"/>
  <c r="J1223" i="36" s="1"/>
  <c r="J1222" i="36"/>
  <c r="H1222" i="36"/>
  <c r="H1221" i="36"/>
  <c r="J1221" i="36" s="1"/>
  <c r="J1220" i="36"/>
  <c r="H1220" i="36"/>
  <c r="H1219" i="36"/>
  <c r="J1219" i="36" s="1"/>
  <c r="J1218" i="36"/>
  <c r="H1218" i="36"/>
  <c r="H1217" i="36"/>
  <c r="J1217" i="36" s="1"/>
  <c r="H1216" i="36"/>
  <c r="J1216" i="36" s="1"/>
  <c r="H1215" i="36"/>
  <c r="J1215" i="36" s="1"/>
  <c r="J1214" i="36"/>
  <c r="H1214" i="36"/>
  <c r="H1213" i="36"/>
  <c r="J1213" i="36" s="1"/>
  <c r="J1212" i="36"/>
  <c r="H1212" i="36"/>
  <c r="H1211" i="36"/>
  <c r="J1211" i="36" s="1"/>
  <c r="H1210" i="36"/>
  <c r="J1210" i="36" s="1"/>
  <c r="H1209" i="36"/>
  <c r="J1209" i="36" s="1"/>
  <c r="H1208" i="36"/>
  <c r="J1208" i="36" s="1"/>
  <c r="H1207" i="36"/>
  <c r="J1207" i="36" s="1"/>
  <c r="J1206" i="36"/>
  <c r="H1206" i="36"/>
  <c r="H1205" i="36"/>
  <c r="J1205" i="36" s="1"/>
  <c r="J1204" i="36"/>
  <c r="H1204" i="36"/>
  <c r="H1203" i="36"/>
  <c r="J1203" i="36" s="1"/>
  <c r="J1202" i="36"/>
  <c r="H1202" i="36"/>
  <c r="H1201" i="36"/>
  <c r="J1201" i="36" s="1"/>
  <c r="H1200" i="36"/>
  <c r="J1200" i="36" s="1"/>
  <c r="H1199" i="36"/>
  <c r="J1199" i="36" s="1"/>
  <c r="J1198" i="36"/>
  <c r="H1198" i="36"/>
  <c r="H1197" i="36"/>
  <c r="J1197" i="36" s="1"/>
  <c r="J1196" i="36"/>
  <c r="H1196" i="36"/>
  <c r="H1195" i="36"/>
  <c r="J1195" i="36" s="1"/>
  <c r="H1194" i="36"/>
  <c r="J1194" i="36" s="1"/>
  <c r="H1193" i="36"/>
  <c r="J1193" i="36" s="1"/>
  <c r="H1192" i="36"/>
  <c r="J1192" i="36" s="1"/>
  <c r="H1191" i="36"/>
  <c r="J1191" i="36" s="1"/>
  <c r="J1190" i="36"/>
  <c r="H1190" i="36"/>
  <c r="H1189" i="36"/>
  <c r="J1189" i="36" s="1"/>
  <c r="J1188" i="36"/>
  <c r="H1188" i="36"/>
  <c r="H1187" i="36"/>
  <c r="J1187" i="36" s="1"/>
  <c r="J1186" i="36"/>
  <c r="H1186" i="36"/>
  <c r="H1185" i="36"/>
  <c r="J1185" i="36" s="1"/>
  <c r="H1184" i="36"/>
  <c r="J1184" i="36" s="1"/>
  <c r="H1183" i="36"/>
  <c r="J1183" i="36" s="1"/>
  <c r="J1182" i="36"/>
  <c r="H1182" i="36"/>
  <c r="H1181" i="36"/>
  <c r="J1181" i="36" s="1"/>
  <c r="J1180" i="36"/>
  <c r="H1180" i="36"/>
  <c r="H1179" i="36"/>
  <c r="J1179" i="36" s="1"/>
  <c r="H1178" i="36"/>
  <c r="J1178" i="36" s="1"/>
  <c r="H1177" i="36"/>
  <c r="J1177" i="36" s="1"/>
  <c r="H1176" i="36"/>
  <c r="J1176" i="36" s="1"/>
  <c r="H1175" i="36"/>
  <c r="J1175" i="36" s="1"/>
  <c r="J1174" i="36"/>
  <c r="H1174" i="36"/>
  <c r="H1173" i="36"/>
  <c r="J1173" i="36" s="1"/>
  <c r="J1172" i="36"/>
  <c r="H1172" i="36"/>
  <c r="H1171" i="36"/>
  <c r="J1171" i="36" s="1"/>
  <c r="J1170" i="36"/>
  <c r="H1170" i="36"/>
  <c r="H1169" i="36"/>
  <c r="J1169" i="36" s="1"/>
  <c r="H1168" i="36"/>
  <c r="J1168" i="36" s="1"/>
  <c r="H1167" i="36"/>
  <c r="J1166" i="36"/>
  <c r="H1166" i="36"/>
  <c r="H1165" i="36"/>
  <c r="J1165" i="36" s="1"/>
  <c r="J1164" i="36"/>
  <c r="I1164" i="36"/>
  <c r="H1164" i="36"/>
  <c r="I1163" i="36"/>
  <c r="H1163" i="36"/>
  <c r="I1162" i="36"/>
  <c r="H1162" i="36"/>
  <c r="H1161" i="36"/>
  <c r="J1161" i="36" s="1"/>
  <c r="H1160" i="36"/>
  <c r="J1160" i="36" s="1"/>
  <c r="H1159" i="36"/>
  <c r="J1159" i="36" s="1"/>
  <c r="H1158" i="36"/>
  <c r="J1158" i="36" s="1"/>
  <c r="J1157" i="36"/>
  <c r="H1157" i="36"/>
  <c r="H1156" i="36"/>
  <c r="J1156" i="36" s="1"/>
  <c r="J1155" i="36"/>
  <c r="H1155" i="36"/>
  <c r="H1154" i="36"/>
  <c r="J1154" i="36" s="1"/>
  <c r="J1153" i="36"/>
  <c r="H1153" i="36"/>
  <c r="H1152" i="36"/>
  <c r="J1152" i="36" s="1"/>
  <c r="H1151" i="36"/>
  <c r="J1151" i="36" s="1"/>
  <c r="H1150" i="36"/>
  <c r="J1150" i="36" s="1"/>
  <c r="J1149" i="36"/>
  <c r="H1149" i="36"/>
  <c r="H1148" i="36"/>
  <c r="J1148" i="36" s="1"/>
  <c r="J1147" i="36"/>
  <c r="H1147" i="36"/>
  <c r="H1146" i="36"/>
  <c r="J1146" i="36" s="1"/>
  <c r="H1145" i="36"/>
  <c r="J1145" i="36" s="1"/>
  <c r="H1144" i="36"/>
  <c r="J1144" i="36" s="1"/>
  <c r="H1143" i="36"/>
  <c r="J1143" i="36" s="1"/>
  <c r="H1142" i="36"/>
  <c r="J1142" i="36" s="1"/>
  <c r="J1141" i="36"/>
  <c r="H1141" i="36"/>
  <c r="H1140" i="36"/>
  <c r="J1140" i="36" s="1"/>
  <c r="J1139" i="36"/>
  <c r="H1139" i="36"/>
  <c r="H1138" i="36"/>
  <c r="J1138" i="36" s="1"/>
  <c r="J1137" i="36"/>
  <c r="H1137" i="36"/>
  <c r="H1136" i="36"/>
  <c r="J1136" i="36" s="1"/>
  <c r="H1135" i="36"/>
  <c r="J1135" i="36" s="1"/>
  <c r="H1134" i="36"/>
  <c r="J1134" i="36" s="1"/>
  <c r="J1133" i="36"/>
  <c r="H1133" i="36"/>
  <c r="H1132" i="36"/>
  <c r="J1132" i="36" s="1"/>
  <c r="J1131" i="36"/>
  <c r="H1131" i="36"/>
  <c r="H1130" i="36"/>
  <c r="J1130" i="36" s="1"/>
  <c r="H1129" i="36"/>
  <c r="J1129" i="36" s="1"/>
  <c r="H1128" i="36"/>
  <c r="J1128" i="36" s="1"/>
  <c r="H1127" i="36"/>
  <c r="J1127" i="36" s="1"/>
  <c r="H1126" i="36"/>
  <c r="J1126" i="36" s="1"/>
  <c r="J1125" i="36"/>
  <c r="H1125" i="36"/>
  <c r="H1124" i="36"/>
  <c r="J1124" i="36" s="1"/>
  <c r="J1123" i="36"/>
  <c r="H1123" i="36"/>
  <c r="H1122" i="36"/>
  <c r="J1122" i="36" s="1"/>
  <c r="J1121" i="36"/>
  <c r="H1121" i="36"/>
  <c r="H1120" i="36"/>
  <c r="J1120" i="36" s="1"/>
  <c r="H1119" i="36"/>
  <c r="J1119" i="36" s="1"/>
  <c r="H1118" i="36"/>
  <c r="J1118" i="36" s="1"/>
  <c r="J1117" i="36"/>
  <c r="H1117" i="36"/>
  <c r="H1116" i="36"/>
  <c r="J1116" i="36" s="1"/>
  <c r="J1115" i="36"/>
  <c r="H1115" i="36"/>
  <c r="H1114" i="36"/>
  <c r="J1114" i="36" s="1"/>
  <c r="H1113" i="36"/>
  <c r="J1113" i="36" s="1"/>
  <c r="H1112" i="36"/>
  <c r="J1112" i="36" s="1"/>
  <c r="H1111" i="36"/>
  <c r="J1111" i="36" s="1"/>
  <c r="H1110" i="36"/>
  <c r="J1110" i="36" s="1"/>
  <c r="H1109" i="36"/>
  <c r="J1109" i="36" s="1"/>
  <c r="H1108" i="36"/>
  <c r="J1108" i="36" s="1"/>
  <c r="I1107" i="36"/>
  <c r="H1107" i="36"/>
  <c r="H1106" i="36"/>
  <c r="J1106" i="36" s="1"/>
  <c r="H1105" i="36"/>
  <c r="J1105" i="36" s="1"/>
  <c r="J1103" i="36"/>
  <c r="H1103" i="36"/>
  <c r="I1102" i="36"/>
  <c r="J1102" i="36" s="1"/>
  <c r="H1102" i="36"/>
  <c r="H1101" i="36"/>
  <c r="J1101" i="36" s="1"/>
  <c r="H1100" i="36"/>
  <c r="J1100" i="36" s="1"/>
  <c r="H1099" i="36"/>
  <c r="J1099" i="36" s="1"/>
  <c r="J1098" i="36"/>
  <c r="H1098" i="36"/>
  <c r="I1097" i="36"/>
  <c r="H1097" i="36"/>
  <c r="J1097" i="36" s="1"/>
  <c r="I1095" i="36"/>
  <c r="H1095" i="36"/>
  <c r="H1094" i="36"/>
  <c r="J1094" i="36" s="1"/>
  <c r="J1093" i="36"/>
  <c r="H1093" i="36"/>
  <c r="H1092" i="36"/>
  <c r="J1092" i="36" s="1"/>
  <c r="I1091" i="36"/>
  <c r="H1091" i="36"/>
  <c r="J1091" i="36" s="1"/>
  <c r="H1090" i="36"/>
  <c r="J1090" i="36" s="1"/>
  <c r="J1089" i="36"/>
  <c r="H1089" i="36"/>
  <c r="H1088" i="36"/>
  <c r="J1088" i="36" s="1"/>
  <c r="J1087" i="36"/>
  <c r="H1087" i="36"/>
  <c r="H1086" i="36"/>
  <c r="J1086" i="36" s="1"/>
  <c r="J1085" i="36"/>
  <c r="H1085" i="36"/>
  <c r="H1084" i="36"/>
  <c r="J1084" i="36" s="1"/>
  <c r="I1083" i="36"/>
  <c r="H1083" i="36"/>
  <c r="J1083" i="36" s="1"/>
  <c r="J1082" i="36"/>
  <c r="H1082" i="36"/>
  <c r="H1081" i="36"/>
  <c r="J1081" i="36" s="1"/>
  <c r="J1080" i="36"/>
  <c r="H1080" i="36"/>
  <c r="H1079" i="36"/>
  <c r="J1079" i="36" s="1"/>
  <c r="J1077" i="36"/>
  <c r="H1077" i="36"/>
  <c r="H1076" i="36"/>
  <c r="J1076" i="36" s="1"/>
  <c r="J1075" i="36"/>
  <c r="H1075" i="36"/>
  <c r="H1074" i="36"/>
  <c r="J1074" i="36" s="1"/>
  <c r="H1073" i="36"/>
  <c r="J1073" i="36" s="1"/>
  <c r="H1072" i="36"/>
  <c r="J1072" i="36" s="1"/>
  <c r="H1071" i="36"/>
  <c r="J1071" i="36" s="1"/>
  <c r="H1068" i="36"/>
  <c r="J1068" i="36" s="1"/>
  <c r="J1067" i="36"/>
  <c r="H1067" i="36"/>
  <c r="H1066" i="36"/>
  <c r="J1066" i="36" s="1"/>
  <c r="J1065" i="36"/>
  <c r="H1065" i="36"/>
  <c r="H1064" i="36"/>
  <c r="J1064" i="36" s="1"/>
  <c r="H1062" i="36"/>
  <c r="J1062" i="36" s="1"/>
  <c r="H1061" i="36"/>
  <c r="J1061" i="36" s="1"/>
  <c r="H1060" i="36"/>
  <c r="J1060" i="36" s="1"/>
  <c r="H1059" i="36"/>
  <c r="J1059" i="36" s="1"/>
  <c r="J1058" i="36"/>
  <c r="H1058" i="36"/>
  <c r="H1057" i="36"/>
  <c r="J1057" i="36" s="1"/>
  <c r="J1054" i="36"/>
  <c r="H1054" i="36"/>
  <c r="H1053" i="36"/>
  <c r="J1053" i="36" s="1"/>
  <c r="H1052" i="36"/>
  <c r="J1052" i="36" s="1"/>
  <c r="H1051" i="36"/>
  <c r="J1051" i="36" s="1"/>
  <c r="H1050" i="36"/>
  <c r="J1050" i="36" s="1"/>
  <c r="H1049" i="36"/>
  <c r="J1049" i="36" s="1"/>
  <c r="J1048" i="36"/>
  <c r="H1048" i="36"/>
  <c r="H1047" i="36"/>
  <c r="J1047" i="36" s="1"/>
  <c r="J1046" i="36"/>
  <c r="H1046" i="36"/>
  <c r="H1045" i="36"/>
  <c r="J1045" i="36" s="1"/>
  <c r="J1044" i="36"/>
  <c r="H1044" i="36"/>
  <c r="H1043" i="36"/>
  <c r="J1043" i="36" s="1"/>
  <c r="H1042" i="36"/>
  <c r="J1042" i="36" s="1"/>
  <c r="H1041" i="36"/>
  <c r="J1041" i="36" s="1"/>
  <c r="H1040" i="36"/>
  <c r="J1040" i="36" s="1"/>
  <c r="H1039" i="36"/>
  <c r="J1039" i="36" s="1"/>
  <c r="J1038" i="36"/>
  <c r="H1038" i="36"/>
  <c r="H1037" i="36"/>
  <c r="J1037" i="36" s="1"/>
  <c r="H1036" i="36"/>
  <c r="J1036" i="36" s="1"/>
  <c r="H1035" i="36"/>
  <c r="J1035" i="36" s="1"/>
  <c r="H1034" i="36"/>
  <c r="J1034" i="36" s="1"/>
  <c r="I1033" i="36"/>
  <c r="H1033" i="36"/>
  <c r="H1032" i="36"/>
  <c r="J1032" i="36" s="1"/>
  <c r="H1031" i="36"/>
  <c r="J1031" i="36" s="1"/>
  <c r="H1030" i="36"/>
  <c r="J1030" i="36" s="1"/>
  <c r="I1029" i="36"/>
  <c r="H1029" i="36"/>
  <c r="H1027" i="36"/>
  <c r="J1027" i="36" s="1"/>
  <c r="H1026" i="36"/>
  <c r="J1026" i="36" s="1"/>
  <c r="I1025" i="36"/>
  <c r="H1025" i="36"/>
  <c r="H1024" i="36"/>
  <c r="J1024" i="36" s="1"/>
  <c r="H1023" i="36"/>
  <c r="J1023" i="36" s="1"/>
  <c r="H1022" i="36"/>
  <c r="J1022" i="36" s="1"/>
  <c r="H1020" i="36"/>
  <c r="J1020" i="36" s="1"/>
  <c r="H1019" i="36"/>
  <c r="J1019" i="36" s="1"/>
  <c r="H1018" i="36"/>
  <c r="J1018" i="36" s="1"/>
  <c r="J1017" i="36"/>
  <c r="H1017" i="36"/>
  <c r="H1016" i="36"/>
  <c r="J1016" i="36" s="1"/>
  <c r="H1015" i="36"/>
  <c r="J1015" i="36" s="1"/>
  <c r="H1014" i="36"/>
  <c r="J1014" i="36" s="1"/>
  <c r="H1013" i="36"/>
  <c r="J1013" i="36" s="1"/>
  <c r="H1012" i="36"/>
  <c r="J1012" i="36" s="1"/>
  <c r="H1011" i="36"/>
  <c r="J1011" i="36" s="1"/>
  <c r="H1010" i="36"/>
  <c r="J1010" i="36" s="1"/>
  <c r="H1009" i="36"/>
  <c r="J1009" i="36" s="1"/>
  <c r="H1008" i="36"/>
  <c r="J1008" i="36" s="1"/>
  <c r="H1007" i="36"/>
  <c r="J1007" i="36" s="1"/>
  <c r="H1006" i="36"/>
  <c r="J1006" i="36" s="1"/>
  <c r="H1005" i="36"/>
  <c r="J1005" i="36" s="1"/>
  <c r="H1004" i="36"/>
  <c r="J1004" i="36" s="1"/>
  <c r="H1003" i="36"/>
  <c r="J1003" i="36" s="1"/>
  <c r="H1002" i="36"/>
  <c r="J1002" i="36" s="1"/>
  <c r="J1001" i="36"/>
  <c r="H1001" i="36"/>
  <c r="H1000" i="36"/>
  <c r="J1000" i="36" s="1"/>
  <c r="H999" i="36"/>
  <c r="J999" i="36" s="1"/>
  <c r="H998" i="36"/>
  <c r="J998" i="36" s="1"/>
  <c r="J997" i="36"/>
  <c r="H997" i="36"/>
  <c r="H996" i="36"/>
  <c r="J996" i="36" s="1"/>
  <c r="H995" i="36"/>
  <c r="J995" i="36" s="1"/>
  <c r="H994" i="36"/>
  <c r="J994" i="36" s="1"/>
  <c r="H993" i="36"/>
  <c r="J993" i="36" s="1"/>
  <c r="H992" i="36"/>
  <c r="J992" i="36" s="1"/>
  <c r="H991" i="36"/>
  <c r="J991" i="36" s="1"/>
  <c r="H990" i="36"/>
  <c r="J990" i="36" s="1"/>
  <c r="J989" i="36"/>
  <c r="H989" i="36"/>
  <c r="H988" i="36"/>
  <c r="J988" i="36" s="1"/>
  <c r="H987" i="36"/>
  <c r="J987" i="36" s="1"/>
  <c r="H986" i="36"/>
  <c r="J986" i="36" s="1"/>
  <c r="J985" i="36"/>
  <c r="H985" i="36"/>
  <c r="H984" i="36"/>
  <c r="J984" i="36" s="1"/>
  <c r="H983" i="36"/>
  <c r="J983" i="36" s="1"/>
  <c r="H982" i="36"/>
  <c r="J982" i="36" s="1"/>
  <c r="H981" i="36"/>
  <c r="J981" i="36" s="1"/>
  <c r="H980" i="36"/>
  <c r="J980" i="36" s="1"/>
  <c r="H979" i="36"/>
  <c r="J979" i="36" s="1"/>
  <c r="H978" i="36"/>
  <c r="J978" i="36" s="1"/>
  <c r="H977" i="36"/>
  <c r="J977" i="36" s="1"/>
  <c r="H976" i="36"/>
  <c r="J976" i="36" s="1"/>
  <c r="H975" i="36"/>
  <c r="J975" i="36" s="1"/>
  <c r="H974" i="36"/>
  <c r="J974" i="36" s="1"/>
  <c r="J973" i="36"/>
  <c r="H973" i="36"/>
  <c r="H972" i="36"/>
  <c r="J972" i="36" s="1"/>
  <c r="H971" i="36"/>
  <c r="J971" i="36" s="1"/>
  <c r="H970" i="36"/>
  <c r="J970" i="36" s="1"/>
  <c r="J969" i="36"/>
  <c r="H969" i="36"/>
  <c r="H968" i="36"/>
  <c r="J968" i="36" s="1"/>
  <c r="H967" i="36"/>
  <c r="J967" i="36" s="1"/>
  <c r="H966" i="36"/>
  <c r="J966" i="36" s="1"/>
  <c r="H965" i="36"/>
  <c r="J965" i="36" s="1"/>
  <c r="H964" i="36"/>
  <c r="J964" i="36" s="1"/>
  <c r="H963" i="36"/>
  <c r="J963" i="36" s="1"/>
  <c r="H962" i="36"/>
  <c r="J962" i="36" s="1"/>
  <c r="H961" i="36"/>
  <c r="J961" i="36" s="1"/>
  <c r="H960" i="36"/>
  <c r="J960" i="36" s="1"/>
  <c r="H959" i="36"/>
  <c r="J959" i="36" s="1"/>
  <c r="H958" i="36"/>
  <c r="J958" i="36" s="1"/>
  <c r="J957" i="36"/>
  <c r="H957" i="36"/>
  <c r="H956" i="36"/>
  <c r="J956" i="36" s="1"/>
  <c r="H955" i="36"/>
  <c r="J955" i="36" s="1"/>
  <c r="H954" i="36"/>
  <c r="J954" i="36" s="1"/>
  <c r="J953" i="36"/>
  <c r="H953" i="36"/>
  <c r="H952" i="36"/>
  <c r="J952" i="36" s="1"/>
  <c r="H951" i="36"/>
  <c r="J951" i="36" s="1"/>
  <c r="H950" i="36"/>
  <c r="J950" i="36" s="1"/>
  <c r="H949" i="36"/>
  <c r="J949" i="36" s="1"/>
  <c r="H948" i="36"/>
  <c r="J948" i="36" s="1"/>
  <c r="H947" i="36"/>
  <c r="J947" i="36" s="1"/>
  <c r="H946" i="36"/>
  <c r="J946" i="36" s="1"/>
  <c r="H945" i="36"/>
  <c r="J945" i="36" s="1"/>
  <c r="H944" i="36"/>
  <c r="J944" i="36" s="1"/>
  <c r="H943" i="36"/>
  <c r="J943" i="36" s="1"/>
  <c r="H942" i="36"/>
  <c r="J942" i="36" s="1"/>
  <c r="J941" i="36"/>
  <c r="H941" i="36"/>
  <c r="H940" i="36"/>
  <c r="J940" i="36" s="1"/>
  <c r="H939" i="36"/>
  <c r="J939" i="36" s="1"/>
  <c r="H938" i="36"/>
  <c r="J938" i="36" s="1"/>
  <c r="J937" i="36"/>
  <c r="H937" i="36"/>
  <c r="H936" i="36"/>
  <c r="J936" i="36" s="1"/>
  <c r="H935" i="36"/>
  <c r="J935" i="36" s="1"/>
  <c r="H934" i="36"/>
  <c r="J934" i="36" s="1"/>
  <c r="H933" i="36"/>
  <c r="J933" i="36" s="1"/>
  <c r="H932" i="36"/>
  <c r="J932" i="36" s="1"/>
  <c r="H931" i="36"/>
  <c r="J931" i="36" s="1"/>
  <c r="H930" i="36"/>
  <c r="J930" i="36" s="1"/>
  <c r="H929" i="36"/>
  <c r="J929" i="36" s="1"/>
  <c r="H928" i="36"/>
  <c r="J928" i="36" s="1"/>
  <c r="H927" i="36"/>
  <c r="J927" i="36" s="1"/>
  <c r="H926" i="36"/>
  <c r="J926" i="36" s="1"/>
  <c r="J925" i="36"/>
  <c r="H925" i="36"/>
  <c r="H924" i="36"/>
  <c r="J924" i="36" s="1"/>
  <c r="H923" i="36"/>
  <c r="J923" i="36" s="1"/>
  <c r="H922" i="36"/>
  <c r="J922" i="36" s="1"/>
  <c r="J921" i="36"/>
  <c r="H921" i="36"/>
  <c r="H920" i="36"/>
  <c r="J920" i="36" s="1"/>
  <c r="H919" i="36"/>
  <c r="J919" i="36" s="1"/>
  <c r="H918" i="36"/>
  <c r="J918" i="36" s="1"/>
  <c r="H917" i="36"/>
  <c r="J917" i="36" s="1"/>
  <c r="H916" i="36"/>
  <c r="J916" i="36" s="1"/>
  <c r="H915" i="36"/>
  <c r="J915" i="36" s="1"/>
  <c r="H914" i="36"/>
  <c r="J914" i="36" s="1"/>
  <c r="H913" i="36"/>
  <c r="J913" i="36" s="1"/>
  <c r="H912" i="36"/>
  <c r="J912" i="36" s="1"/>
  <c r="H911" i="36"/>
  <c r="J911" i="36" s="1"/>
  <c r="H910" i="36"/>
  <c r="J910" i="36" s="1"/>
  <c r="J909" i="36"/>
  <c r="H909" i="36"/>
  <c r="H908" i="36"/>
  <c r="J908" i="36" s="1"/>
  <c r="H907" i="36"/>
  <c r="J907" i="36" s="1"/>
  <c r="H906" i="36"/>
  <c r="J906" i="36" s="1"/>
  <c r="J905" i="36"/>
  <c r="H905" i="36"/>
  <c r="H904" i="36"/>
  <c r="J904" i="36" s="1"/>
  <c r="H903" i="36"/>
  <c r="J903" i="36" s="1"/>
  <c r="H902" i="36"/>
  <c r="J902" i="36" s="1"/>
  <c r="H901" i="36"/>
  <c r="J901" i="36" s="1"/>
  <c r="H900" i="36"/>
  <c r="J900" i="36" s="1"/>
  <c r="H899" i="36"/>
  <c r="J899" i="36" s="1"/>
  <c r="H898" i="36"/>
  <c r="J898" i="36" s="1"/>
  <c r="H897" i="36"/>
  <c r="J897" i="36" s="1"/>
  <c r="H896" i="36"/>
  <c r="J896" i="36" s="1"/>
  <c r="H895" i="36"/>
  <c r="J895" i="36" s="1"/>
  <c r="H894" i="36"/>
  <c r="J894" i="36" s="1"/>
  <c r="J893" i="36"/>
  <c r="H893" i="36"/>
  <c r="H892" i="36"/>
  <c r="J892" i="36" s="1"/>
  <c r="H891" i="36"/>
  <c r="J891" i="36" s="1"/>
  <c r="H890" i="36"/>
  <c r="J890" i="36" s="1"/>
  <c r="J883" i="36"/>
  <c r="H883" i="36"/>
  <c r="H882" i="36"/>
  <c r="J882" i="36" s="1"/>
  <c r="J881" i="36"/>
  <c r="H881" i="36"/>
  <c r="H880" i="36"/>
  <c r="J880" i="36" s="1"/>
  <c r="H879" i="36"/>
  <c r="J879" i="36" s="1"/>
  <c r="H878" i="36"/>
  <c r="J878" i="36" s="1"/>
  <c r="H877" i="36"/>
  <c r="J877" i="36" s="1"/>
  <c r="H876" i="36"/>
  <c r="J876" i="36" s="1"/>
  <c r="J875" i="36"/>
  <c r="H875" i="36"/>
  <c r="H874" i="36"/>
  <c r="J874" i="36" s="1"/>
  <c r="J873" i="36"/>
  <c r="H873" i="36"/>
  <c r="H872" i="36"/>
  <c r="J872" i="36" s="1"/>
  <c r="H870" i="36"/>
  <c r="J870" i="36" s="1"/>
  <c r="H869" i="36"/>
  <c r="J869" i="36" s="1"/>
  <c r="H868" i="36"/>
  <c r="J868" i="36" s="1"/>
  <c r="H867" i="36"/>
  <c r="J867" i="36" s="1"/>
  <c r="H866" i="36"/>
  <c r="J866" i="36" s="1"/>
  <c r="H865" i="36"/>
  <c r="J865" i="36" s="1"/>
  <c r="H864" i="36"/>
  <c r="J864" i="36" s="1"/>
  <c r="H863" i="36"/>
  <c r="J863" i="36" s="1"/>
  <c r="H862" i="36"/>
  <c r="J862" i="36" s="1"/>
  <c r="H861" i="36"/>
  <c r="J861" i="36" s="1"/>
  <c r="H860" i="36"/>
  <c r="J860" i="36" s="1"/>
  <c r="J859" i="36"/>
  <c r="H859" i="36"/>
  <c r="H858" i="36"/>
  <c r="J858" i="36" s="1"/>
  <c r="H857" i="36"/>
  <c r="J857" i="36" s="1"/>
  <c r="H856" i="36"/>
  <c r="J856" i="36" s="1"/>
  <c r="J855" i="36"/>
  <c r="H855" i="36"/>
  <c r="H854" i="36"/>
  <c r="J854" i="36" s="1"/>
  <c r="H853" i="36"/>
  <c r="J853" i="36" s="1"/>
  <c r="H852" i="36"/>
  <c r="J852" i="36" s="1"/>
  <c r="H851" i="36"/>
  <c r="J851" i="36" s="1"/>
  <c r="H850" i="36"/>
  <c r="J850" i="36" s="1"/>
  <c r="H849" i="36"/>
  <c r="J849" i="36" s="1"/>
  <c r="H848" i="36"/>
  <c r="J848" i="36" s="1"/>
  <c r="H847" i="36"/>
  <c r="J847" i="36" s="1"/>
  <c r="J846" i="36"/>
  <c r="H846" i="36"/>
  <c r="H845" i="36"/>
  <c r="J845" i="36" s="1"/>
  <c r="J844" i="36"/>
  <c r="H844" i="36"/>
  <c r="H843" i="36"/>
  <c r="J843" i="36" s="1"/>
  <c r="J842" i="36"/>
  <c r="H842" i="36"/>
  <c r="H841" i="36"/>
  <c r="J841" i="36" s="1"/>
  <c r="J840" i="36"/>
  <c r="H840" i="36"/>
  <c r="H839" i="36"/>
  <c r="J839" i="36" s="1"/>
  <c r="J838" i="36"/>
  <c r="H838" i="36"/>
  <c r="H837" i="36"/>
  <c r="J837" i="36" s="1"/>
  <c r="J836" i="36"/>
  <c r="H836" i="36"/>
  <c r="I835" i="36"/>
  <c r="H835" i="36"/>
  <c r="H832" i="36"/>
  <c r="J832" i="36" s="1"/>
  <c r="H831" i="36"/>
  <c r="J831" i="36" s="1"/>
  <c r="H830" i="36"/>
  <c r="J830" i="36" s="1"/>
  <c r="H829" i="36"/>
  <c r="J829" i="36" s="1"/>
  <c r="H828" i="36"/>
  <c r="J828" i="36" s="1"/>
  <c r="H827" i="36"/>
  <c r="J827" i="36" s="1"/>
  <c r="H826" i="36"/>
  <c r="J826" i="36" s="1"/>
  <c r="H822" i="36"/>
  <c r="J822" i="36" s="1"/>
  <c r="H821" i="36"/>
  <c r="J821" i="36" s="1"/>
  <c r="H820" i="36"/>
  <c r="J820" i="36" s="1"/>
  <c r="H819" i="36"/>
  <c r="J819" i="36" s="1"/>
  <c r="H818" i="36"/>
  <c r="J818" i="36" s="1"/>
  <c r="H817" i="36"/>
  <c r="J817" i="36" s="1"/>
  <c r="H815" i="36"/>
  <c r="J815" i="36" s="1"/>
  <c r="H814" i="36"/>
  <c r="J814" i="36" s="1"/>
  <c r="H813" i="36"/>
  <c r="J813" i="36" s="1"/>
  <c r="H812" i="36"/>
  <c r="J812" i="36" s="1"/>
  <c r="H811" i="36"/>
  <c r="J811" i="36" s="1"/>
  <c r="J807" i="36"/>
  <c r="H807" i="36"/>
  <c r="H806" i="36"/>
  <c r="J806" i="36" s="1"/>
  <c r="J805" i="36"/>
  <c r="H803" i="36"/>
  <c r="J803" i="36" s="1"/>
  <c r="H802" i="36"/>
  <c r="J802" i="36" s="1"/>
  <c r="H800" i="36"/>
  <c r="J800" i="36" s="1"/>
  <c r="H799" i="36"/>
  <c r="J799" i="36" s="1"/>
  <c r="H797" i="36"/>
  <c r="J797" i="36" s="1"/>
  <c r="H796" i="36"/>
  <c r="J796" i="36" s="1"/>
  <c r="H795" i="36"/>
  <c r="J795" i="36" s="1"/>
  <c r="H794" i="36"/>
  <c r="J794" i="36" s="1"/>
  <c r="H793" i="36"/>
  <c r="J793" i="36" s="1"/>
  <c r="H792" i="36"/>
  <c r="J792" i="36" s="1"/>
  <c r="H791" i="36"/>
  <c r="J791" i="36" s="1"/>
  <c r="H790" i="36"/>
  <c r="J790" i="36" s="1"/>
  <c r="J789" i="36"/>
  <c r="H789" i="36"/>
  <c r="H788" i="36"/>
  <c r="J788" i="36" s="1"/>
  <c r="J787" i="36"/>
  <c r="H787" i="36"/>
  <c r="H786" i="36"/>
  <c r="J786" i="36" s="1"/>
  <c r="H785" i="36"/>
  <c r="J785" i="36" s="1"/>
  <c r="J784" i="36"/>
  <c r="H784" i="36"/>
  <c r="H783" i="36"/>
  <c r="J783" i="36" s="1"/>
  <c r="J782" i="36"/>
  <c r="H782" i="36"/>
  <c r="H778" i="36"/>
  <c r="J778" i="36" s="1"/>
  <c r="J777" i="36"/>
  <c r="H777" i="36"/>
  <c r="H776" i="36"/>
  <c r="J776" i="36" s="1"/>
  <c r="J775" i="36"/>
  <c r="H775" i="36"/>
  <c r="H774" i="36"/>
  <c r="J774" i="36" s="1"/>
  <c r="J772" i="36"/>
  <c r="H772" i="36"/>
  <c r="H771" i="36"/>
  <c r="J771" i="36" s="1"/>
  <c r="J770" i="36"/>
  <c r="H770" i="36"/>
  <c r="H769" i="36"/>
  <c r="J769" i="36" s="1"/>
  <c r="H768" i="36"/>
  <c r="J768" i="36" s="1"/>
  <c r="H767" i="36"/>
  <c r="J767" i="36" s="1"/>
  <c r="H766" i="36"/>
  <c r="J766" i="36" s="1"/>
  <c r="H765" i="36"/>
  <c r="J765" i="36" s="1"/>
  <c r="H764" i="36"/>
  <c r="J764" i="36" s="1"/>
  <c r="H763" i="36"/>
  <c r="J763" i="36" s="1"/>
  <c r="H762" i="36"/>
  <c r="J762" i="36" s="1"/>
  <c r="H761" i="36"/>
  <c r="J761" i="36" s="1"/>
  <c r="H760" i="36"/>
  <c r="J760" i="36" s="1"/>
  <c r="H758" i="36"/>
  <c r="J758" i="36" s="1"/>
  <c r="H757" i="36"/>
  <c r="J757" i="36" s="1"/>
  <c r="H756" i="36"/>
  <c r="J756" i="36" s="1"/>
  <c r="H755" i="36"/>
  <c r="J755" i="36" s="1"/>
  <c r="H753" i="36"/>
  <c r="J753" i="36" s="1"/>
  <c r="H750" i="36"/>
  <c r="J750" i="36" s="1"/>
  <c r="J749" i="36"/>
  <c r="H749" i="36"/>
  <c r="J748" i="36"/>
  <c r="H748" i="36"/>
  <c r="H747" i="36"/>
  <c r="J747" i="36" s="1"/>
  <c r="H746" i="36"/>
  <c r="J746" i="36" s="1"/>
  <c r="H745" i="36"/>
  <c r="J745" i="36" s="1"/>
  <c r="H744" i="36"/>
  <c r="J744" i="36" s="1"/>
  <c r="H743" i="36"/>
  <c r="J743" i="36" s="1"/>
  <c r="H742" i="36"/>
  <c r="J742" i="36" s="1"/>
  <c r="H741" i="36"/>
  <c r="J741" i="36" s="1"/>
  <c r="H740" i="36"/>
  <c r="J740" i="36" s="1"/>
  <c r="H739" i="36"/>
  <c r="J739" i="36" s="1"/>
  <c r="H738" i="36"/>
  <c r="J738" i="36" s="1"/>
  <c r="H737" i="36"/>
  <c r="J737" i="36" s="1"/>
  <c r="H736" i="36"/>
  <c r="J736" i="36" s="1"/>
  <c r="H735" i="36"/>
  <c r="J735" i="36" s="1"/>
  <c r="H734" i="36"/>
  <c r="J734" i="36" s="1"/>
  <c r="H733" i="36"/>
  <c r="J733" i="36" s="1"/>
  <c r="H732" i="36"/>
  <c r="J732" i="36" s="1"/>
  <c r="H731" i="36"/>
  <c r="J731" i="36" s="1"/>
  <c r="H730" i="36"/>
  <c r="J730" i="36" s="1"/>
  <c r="H729" i="36"/>
  <c r="J729" i="36" s="1"/>
  <c r="H728" i="36"/>
  <c r="J728" i="36" s="1"/>
  <c r="H726" i="36"/>
  <c r="J726" i="36" s="1"/>
  <c r="H725" i="36"/>
  <c r="J725" i="36" s="1"/>
  <c r="H724" i="36"/>
  <c r="J724" i="36" s="1"/>
  <c r="H723" i="36"/>
  <c r="J723" i="36" s="1"/>
  <c r="H722" i="36"/>
  <c r="J722" i="36" s="1"/>
  <c r="H721" i="36"/>
  <c r="J721" i="36" s="1"/>
  <c r="H720" i="36"/>
  <c r="J720" i="36" s="1"/>
  <c r="H719" i="36"/>
  <c r="J719" i="36" s="1"/>
  <c r="H718" i="36"/>
  <c r="J718" i="36" s="1"/>
  <c r="H717" i="36"/>
  <c r="J717" i="36" s="1"/>
  <c r="H716" i="36"/>
  <c r="J716" i="36" s="1"/>
  <c r="H715" i="36"/>
  <c r="J715" i="36" s="1"/>
  <c r="H714" i="36"/>
  <c r="J714" i="36" s="1"/>
  <c r="H713" i="36"/>
  <c r="H709" i="36"/>
  <c r="J709" i="36" s="1"/>
  <c r="H708" i="36"/>
  <c r="J708" i="36" s="1"/>
  <c r="J707" i="36"/>
  <c r="H707" i="36"/>
  <c r="H706" i="36"/>
  <c r="J706" i="36" s="1"/>
  <c r="J705" i="36"/>
  <c r="H705" i="36"/>
  <c r="H704" i="36"/>
  <c r="J704" i="36" s="1"/>
  <c r="J703" i="36"/>
  <c r="H703" i="36"/>
  <c r="H702" i="36"/>
  <c r="J702" i="36" s="1"/>
  <c r="J701" i="36"/>
  <c r="H701" i="36"/>
  <c r="H696" i="36"/>
  <c r="J696" i="36" s="1"/>
  <c r="H695" i="36"/>
  <c r="J695" i="36" s="1"/>
  <c r="J694" i="36"/>
  <c r="H694" i="36"/>
  <c r="H693" i="36"/>
  <c r="J693" i="36" s="1"/>
  <c r="J692" i="36"/>
  <c r="H692" i="36"/>
  <c r="H691" i="36"/>
  <c r="J691" i="36" s="1"/>
  <c r="J690" i="36"/>
  <c r="H690" i="36"/>
  <c r="J689" i="36"/>
  <c r="H689" i="36"/>
  <c r="J688" i="36"/>
  <c r="H688" i="36"/>
  <c r="H687" i="36"/>
  <c r="J687" i="36" s="1"/>
  <c r="H686" i="36"/>
  <c r="J686" i="36" s="1"/>
  <c r="H685" i="36"/>
  <c r="J685" i="36" s="1"/>
  <c r="J684" i="36"/>
  <c r="H684" i="36"/>
  <c r="H683" i="36"/>
  <c r="J683" i="36" s="1"/>
  <c r="J682" i="36"/>
  <c r="H682" i="36"/>
  <c r="H681" i="36"/>
  <c r="J681" i="36" s="1"/>
  <c r="J680" i="36"/>
  <c r="H680" i="36"/>
  <c r="H679" i="36"/>
  <c r="J679" i="36" s="1"/>
  <c r="H678" i="36"/>
  <c r="J678" i="36" s="1"/>
  <c r="H677" i="36"/>
  <c r="J677" i="36" s="1"/>
  <c r="J676" i="36"/>
  <c r="H676" i="36"/>
  <c r="J675" i="36"/>
  <c r="H675" i="36"/>
  <c r="J674" i="36"/>
  <c r="H674" i="36"/>
  <c r="J673" i="36"/>
  <c r="H673" i="36"/>
  <c r="J672" i="36"/>
  <c r="H672" i="36"/>
  <c r="H671" i="36"/>
  <c r="J671" i="36" s="1"/>
  <c r="J670" i="36"/>
  <c r="H670" i="36"/>
  <c r="H669" i="36"/>
  <c r="J669" i="36" s="1"/>
  <c r="J668" i="36"/>
  <c r="H668" i="36"/>
  <c r="H667" i="36"/>
  <c r="J667" i="36" s="1"/>
  <c r="H666" i="36"/>
  <c r="J666" i="36" s="1"/>
  <c r="H665" i="36"/>
  <c r="J665" i="36" s="1"/>
  <c r="J664" i="36"/>
  <c r="H664" i="36"/>
  <c r="H663" i="36"/>
  <c r="J663" i="36" s="1"/>
  <c r="J662" i="36"/>
  <c r="H662" i="36"/>
  <c r="H661" i="36"/>
  <c r="J661" i="36" s="1"/>
  <c r="J660" i="36"/>
  <c r="H660" i="36"/>
  <c r="H659" i="36"/>
  <c r="J659" i="36" s="1"/>
  <c r="H658" i="36"/>
  <c r="J658" i="36" s="1"/>
  <c r="H657" i="36"/>
  <c r="J657" i="36" s="1"/>
  <c r="J656" i="36"/>
  <c r="H656" i="36"/>
  <c r="H654" i="36"/>
  <c r="J654" i="36" s="1"/>
  <c r="J652" i="36"/>
  <c r="H652" i="36"/>
  <c r="H651" i="36"/>
  <c r="J651" i="36" s="1"/>
  <c r="J650" i="36"/>
  <c r="H650" i="36"/>
  <c r="J649" i="36"/>
  <c r="H649" i="36"/>
  <c r="J648" i="36"/>
  <c r="H648" i="36"/>
  <c r="J647" i="36"/>
  <c r="H647" i="36"/>
  <c r="J645" i="36"/>
  <c r="H645" i="36"/>
  <c r="J644" i="36"/>
  <c r="H644" i="36"/>
  <c r="J643" i="36"/>
  <c r="H643" i="36"/>
  <c r="J642" i="36"/>
  <c r="H642" i="36"/>
  <c r="J641" i="36"/>
  <c r="H641" i="36"/>
  <c r="J640" i="36"/>
  <c r="H640" i="36"/>
  <c r="J639" i="36"/>
  <c r="H639" i="36"/>
  <c r="J638" i="36"/>
  <c r="H638" i="36"/>
  <c r="J637" i="36"/>
  <c r="H637" i="36"/>
  <c r="J636" i="36"/>
  <c r="H636" i="36"/>
  <c r="J635" i="36"/>
  <c r="H635" i="36"/>
  <c r="J634" i="36"/>
  <c r="H634" i="36"/>
  <c r="J633" i="36"/>
  <c r="H633" i="36"/>
  <c r="J632" i="36"/>
  <c r="H632" i="36"/>
  <c r="J631" i="36"/>
  <c r="H631" i="36"/>
  <c r="H630" i="36"/>
  <c r="J630" i="36" s="1"/>
  <c r="H629" i="36"/>
  <c r="J629" i="36" s="1"/>
  <c r="J628" i="36"/>
  <c r="H628" i="36"/>
  <c r="H625" i="36"/>
  <c r="J625" i="36" s="1"/>
  <c r="J623" i="36"/>
  <c r="H623" i="36"/>
  <c r="H621" i="36"/>
  <c r="J621" i="36" s="1"/>
  <c r="J620" i="36"/>
  <c r="H620" i="36"/>
  <c r="H619" i="36"/>
  <c r="J619" i="36" s="1"/>
  <c r="J618" i="36"/>
  <c r="H618" i="36"/>
  <c r="H617" i="36"/>
  <c r="J617" i="36" s="1"/>
  <c r="J616" i="36"/>
  <c r="H616" i="36"/>
  <c r="H615" i="36"/>
  <c r="J615" i="36" s="1"/>
  <c r="J614" i="36"/>
  <c r="H614" i="36"/>
  <c r="H613" i="36"/>
  <c r="J613" i="36" s="1"/>
  <c r="J612" i="36"/>
  <c r="H612" i="36"/>
  <c r="H610" i="36"/>
  <c r="J610" i="36" s="1"/>
  <c r="H609" i="36"/>
  <c r="J609" i="36" s="1"/>
  <c r="H608" i="36"/>
  <c r="J608" i="36" s="1"/>
  <c r="J607" i="36"/>
  <c r="H607" i="36"/>
  <c r="H606" i="36"/>
  <c r="J606" i="36" s="1"/>
  <c r="J605" i="36"/>
  <c r="H605" i="36"/>
  <c r="J603" i="36"/>
  <c r="H603" i="36"/>
  <c r="J602" i="36"/>
  <c r="H602" i="36"/>
  <c r="J601" i="36"/>
  <c r="H601" i="36"/>
  <c r="H600" i="36"/>
  <c r="J600" i="36" s="1"/>
  <c r="J599" i="36"/>
  <c r="H599" i="36"/>
  <c r="H598" i="36"/>
  <c r="J598" i="36" s="1"/>
  <c r="H597" i="36"/>
  <c r="J597" i="36" s="1"/>
  <c r="J596" i="36"/>
  <c r="H596" i="36"/>
  <c r="H595" i="36"/>
  <c r="J595" i="36" s="1"/>
  <c r="J594" i="36"/>
  <c r="H594" i="36"/>
  <c r="H593" i="36"/>
  <c r="J593" i="36" s="1"/>
  <c r="H592" i="36"/>
  <c r="J592" i="36" s="1"/>
  <c r="J591" i="36"/>
  <c r="H591" i="36"/>
  <c r="H590" i="36"/>
  <c r="J590" i="36" s="1"/>
  <c r="H589" i="36"/>
  <c r="J589" i="36" s="1"/>
  <c r="H588" i="36"/>
  <c r="J588" i="36" s="1"/>
  <c r="H587" i="36"/>
  <c r="J587" i="36" s="1"/>
  <c r="H586" i="36"/>
  <c r="J586" i="36" s="1"/>
  <c r="H584" i="36"/>
  <c r="J584" i="36" s="1"/>
  <c r="J583" i="36"/>
  <c r="H583" i="36"/>
  <c r="J582" i="36"/>
  <c r="H582" i="36"/>
  <c r="J581" i="36"/>
  <c r="H581" i="36"/>
  <c r="H580" i="36"/>
  <c r="J580" i="36" s="1"/>
  <c r="J579" i="36"/>
  <c r="H579" i="36"/>
  <c r="J578" i="36"/>
  <c r="H578" i="36"/>
  <c r="J577" i="36"/>
  <c r="H577" i="36"/>
  <c r="H575" i="36"/>
  <c r="J575" i="36" s="1"/>
  <c r="H574" i="36"/>
  <c r="J574" i="36" s="1"/>
  <c r="H573" i="36"/>
  <c r="J573" i="36" s="1"/>
  <c r="H572" i="36"/>
  <c r="J572" i="36" s="1"/>
  <c r="H571" i="36"/>
  <c r="J571" i="36" s="1"/>
  <c r="H570" i="36"/>
  <c r="J570" i="36" s="1"/>
  <c r="H569" i="36"/>
  <c r="J569" i="36" s="1"/>
  <c r="H568" i="36"/>
  <c r="J568" i="36" s="1"/>
  <c r="H567" i="36"/>
  <c r="J567" i="36" s="1"/>
  <c r="I566" i="36"/>
  <c r="H566" i="36"/>
  <c r="I565" i="36"/>
  <c r="H565" i="36"/>
  <c r="H564" i="36"/>
  <c r="J564" i="36" s="1"/>
  <c r="H563" i="36"/>
  <c r="J563" i="36" s="1"/>
  <c r="H562" i="36"/>
  <c r="J562" i="36" s="1"/>
  <c r="H561" i="36"/>
  <c r="J561" i="36" s="1"/>
  <c r="H560" i="36"/>
  <c r="J560" i="36" s="1"/>
  <c r="H559" i="36"/>
  <c r="J559" i="36" s="1"/>
  <c r="H558" i="36"/>
  <c r="J558" i="36" s="1"/>
  <c r="H557" i="36"/>
  <c r="J557" i="36" s="1"/>
  <c r="H556" i="36"/>
  <c r="J556" i="36" s="1"/>
  <c r="H554" i="36"/>
  <c r="J554" i="36" s="1"/>
  <c r="H553" i="36"/>
  <c r="J553" i="36" s="1"/>
  <c r="I552" i="36"/>
  <c r="J552" i="36" s="1"/>
  <c r="H552" i="36"/>
  <c r="I551" i="36"/>
  <c r="H551" i="36"/>
  <c r="H550" i="36"/>
  <c r="J550" i="36" s="1"/>
  <c r="H549" i="36"/>
  <c r="J549" i="36" s="1"/>
  <c r="H548" i="36"/>
  <c r="J548" i="36" s="1"/>
  <c r="H547" i="36"/>
  <c r="J547" i="36" s="1"/>
  <c r="I546" i="36"/>
  <c r="H546" i="36"/>
  <c r="J545" i="36"/>
  <c r="I545" i="36"/>
  <c r="H545" i="36"/>
  <c r="I544" i="36"/>
  <c r="H544" i="36"/>
  <c r="I543" i="36"/>
  <c r="H543" i="36"/>
  <c r="I542" i="36"/>
  <c r="H542" i="36"/>
  <c r="J542" i="36" s="1"/>
  <c r="J541" i="36"/>
  <c r="I541" i="36"/>
  <c r="H541" i="36"/>
  <c r="I540" i="36"/>
  <c r="J540" i="36" s="1"/>
  <c r="H540" i="36"/>
  <c r="I539" i="36"/>
  <c r="H539" i="36"/>
  <c r="I538" i="36"/>
  <c r="H538" i="36"/>
  <c r="I537" i="36"/>
  <c r="H537" i="36"/>
  <c r="J537" i="36" s="1"/>
  <c r="H536" i="36"/>
  <c r="J536" i="36" s="1"/>
  <c r="H535" i="36"/>
  <c r="J535" i="36" s="1"/>
  <c r="H534" i="36"/>
  <c r="J534" i="36" s="1"/>
  <c r="H533" i="36"/>
  <c r="J533" i="36" s="1"/>
  <c r="H532" i="36"/>
  <c r="J532" i="36" s="1"/>
  <c r="H531" i="36"/>
  <c r="J531" i="36" s="1"/>
  <c r="H530" i="36"/>
  <c r="J530" i="36" s="1"/>
  <c r="H529" i="36"/>
  <c r="J529" i="36" s="1"/>
  <c r="H528" i="36"/>
  <c r="J528" i="36" s="1"/>
  <c r="H526" i="36"/>
  <c r="J526" i="36" s="1"/>
  <c r="H525" i="36"/>
  <c r="J525" i="36" s="1"/>
  <c r="H524" i="36"/>
  <c r="J524" i="36" s="1"/>
  <c r="H523" i="36"/>
  <c r="J523" i="36" s="1"/>
  <c r="H522" i="36"/>
  <c r="J522" i="36" s="1"/>
  <c r="H521" i="36"/>
  <c r="J521" i="36" s="1"/>
  <c r="H520" i="36"/>
  <c r="J520" i="36" s="1"/>
  <c r="H519" i="36"/>
  <c r="J519" i="36" s="1"/>
  <c r="H518" i="36"/>
  <c r="J518" i="36" s="1"/>
  <c r="H517" i="36"/>
  <c r="J517" i="36" s="1"/>
  <c r="H516" i="36"/>
  <c r="J516" i="36" s="1"/>
  <c r="H515" i="36"/>
  <c r="J515" i="36" s="1"/>
  <c r="H514" i="36"/>
  <c r="J514" i="36" s="1"/>
  <c r="H513" i="36"/>
  <c r="J513" i="36" s="1"/>
  <c r="H511" i="36"/>
  <c r="J511" i="36" s="1"/>
  <c r="H510" i="36"/>
  <c r="J510" i="36" s="1"/>
  <c r="H509" i="36"/>
  <c r="J509" i="36" s="1"/>
  <c r="H508" i="36"/>
  <c r="J508" i="36" s="1"/>
  <c r="H507" i="36"/>
  <c r="J507" i="36" s="1"/>
  <c r="H506" i="36"/>
  <c r="J506" i="36" s="1"/>
  <c r="H505" i="36"/>
  <c r="J505" i="36" s="1"/>
  <c r="H504" i="36"/>
  <c r="J504" i="36" s="1"/>
  <c r="H501" i="36"/>
  <c r="J501" i="36" s="1"/>
  <c r="H500" i="36"/>
  <c r="J500" i="36" s="1"/>
  <c r="H499" i="36"/>
  <c r="J499" i="36" s="1"/>
  <c r="H498" i="36"/>
  <c r="J498" i="36" s="1"/>
  <c r="H497" i="36"/>
  <c r="J497" i="36" s="1"/>
  <c r="H496" i="36"/>
  <c r="J496" i="36" s="1"/>
  <c r="H495" i="36"/>
  <c r="J495" i="36" s="1"/>
  <c r="H494" i="36"/>
  <c r="J494" i="36" s="1"/>
  <c r="H492" i="36"/>
  <c r="J492" i="36" s="1"/>
  <c r="H491" i="36"/>
  <c r="J491" i="36" s="1"/>
  <c r="H490" i="36"/>
  <c r="J490" i="36" s="1"/>
  <c r="H489" i="36"/>
  <c r="J489" i="36" s="1"/>
  <c r="H488" i="36"/>
  <c r="J488" i="36" s="1"/>
  <c r="H486" i="36"/>
  <c r="J486" i="36" s="1"/>
  <c r="H484" i="36"/>
  <c r="J484" i="36" s="1"/>
  <c r="H483" i="36"/>
  <c r="J483" i="36" s="1"/>
  <c r="I482" i="36"/>
  <c r="H482" i="36"/>
  <c r="I481" i="36"/>
  <c r="H481" i="36"/>
  <c r="J481" i="36" s="1"/>
  <c r="I480" i="36"/>
  <c r="J480" i="36" s="1"/>
  <c r="H480" i="36"/>
  <c r="H479" i="36"/>
  <c r="J479" i="36" s="1"/>
  <c r="J478" i="36"/>
  <c r="H478" i="36"/>
  <c r="H477" i="36"/>
  <c r="J477" i="36" s="1"/>
  <c r="J476" i="36"/>
  <c r="H476" i="36"/>
  <c r="H475" i="36"/>
  <c r="J475" i="36" s="1"/>
  <c r="J474" i="36"/>
  <c r="H474" i="36"/>
  <c r="H473" i="36"/>
  <c r="J473" i="36" s="1"/>
  <c r="J472" i="36"/>
  <c r="H472" i="36"/>
  <c r="H471" i="36"/>
  <c r="J471" i="36" s="1"/>
  <c r="J470" i="36"/>
  <c r="H470" i="36"/>
  <c r="H469" i="36"/>
  <c r="J469" i="36" s="1"/>
  <c r="J468" i="36"/>
  <c r="H468" i="36"/>
  <c r="H467" i="36"/>
  <c r="J467" i="36" s="1"/>
  <c r="J466" i="36"/>
  <c r="H466" i="36"/>
  <c r="H465" i="36"/>
  <c r="J465" i="36" s="1"/>
  <c r="J464" i="36"/>
  <c r="H464" i="36"/>
  <c r="H463" i="36"/>
  <c r="J463" i="36" s="1"/>
  <c r="J462" i="36"/>
  <c r="H462" i="36"/>
  <c r="H461" i="36"/>
  <c r="J461" i="36" s="1"/>
  <c r="J460" i="36"/>
  <c r="H460" i="36"/>
  <c r="H459" i="36"/>
  <c r="J459" i="36" s="1"/>
  <c r="J458" i="36"/>
  <c r="H458" i="36"/>
  <c r="H457" i="36"/>
  <c r="J457" i="36" s="1"/>
  <c r="J456" i="36"/>
  <c r="H456" i="36"/>
  <c r="H455" i="36"/>
  <c r="J455" i="36" s="1"/>
  <c r="J454" i="36"/>
  <c r="H454" i="36"/>
  <c r="H453" i="36"/>
  <c r="J453" i="36" s="1"/>
  <c r="J452" i="36"/>
  <c r="H452" i="36"/>
  <c r="H451" i="36"/>
  <c r="J451" i="36" s="1"/>
  <c r="J450" i="36"/>
  <c r="H450" i="36"/>
  <c r="H449" i="36"/>
  <c r="J449" i="36" s="1"/>
  <c r="J447" i="36"/>
  <c r="H447" i="36"/>
  <c r="H446" i="36"/>
  <c r="J446" i="36" s="1"/>
  <c r="J445" i="36"/>
  <c r="H445" i="36"/>
  <c r="H444" i="36"/>
  <c r="J444" i="36" s="1"/>
  <c r="J443" i="36"/>
  <c r="H443" i="36"/>
  <c r="H441" i="36"/>
  <c r="J441" i="36" s="1"/>
  <c r="J440" i="36"/>
  <c r="H440" i="36"/>
  <c r="H439" i="36"/>
  <c r="J439" i="36" s="1"/>
  <c r="J438" i="36"/>
  <c r="H438" i="36"/>
  <c r="H437" i="36"/>
  <c r="J437" i="36" s="1"/>
  <c r="J436" i="36"/>
  <c r="H436" i="36"/>
  <c r="H435" i="36"/>
  <c r="J435" i="36" s="1"/>
  <c r="J434" i="36"/>
  <c r="H434" i="36"/>
  <c r="H433" i="36"/>
  <c r="J433" i="36" s="1"/>
  <c r="J432" i="36"/>
  <c r="H432" i="36"/>
  <c r="H431" i="36"/>
  <c r="J431" i="36" s="1"/>
  <c r="J430" i="36"/>
  <c r="H430" i="36"/>
  <c r="H429" i="36"/>
  <c r="J429" i="36" s="1"/>
  <c r="J428" i="36"/>
  <c r="H428" i="36"/>
  <c r="H427" i="36"/>
  <c r="J427" i="36" s="1"/>
  <c r="J426" i="36"/>
  <c r="H426" i="36"/>
  <c r="H425" i="36"/>
  <c r="J425" i="36" s="1"/>
  <c r="J424" i="36"/>
  <c r="H424" i="36"/>
  <c r="H423" i="36"/>
  <c r="J423" i="36" s="1"/>
  <c r="J422" i="36"/>
  <c r="H422" i="36"/>
  <c r="H421" i="36"/>
  <c r="J421" i="36" s="1"/>
  <c r="J420" i="36"/>
  <c r="H420" i="36"/>
  <c r="H419" i="36"/>
  <c r="J419" i="36" s="1"/>
  <c r="J418" i="36"/>
  <c r="H418" i="36"/>
  <c r="H417" i="36"/>
  <c r="J417" i="36" s="1"/>
  <c r="J416" i="36"/>
  <c r="H416" i="36"/>
  <c r="H415" i="36"/>
  <c r="J415" i="36" s="1"/>
  <c r="J414" i="36"/>
  <c r="H414" i="36"/>
  <c r="H413" i="36"/>
  <c r="J413" i="36" s="1"/>
  <c r="J412" i="36"/>
  <c r="H412" i="36"/>
  <c r="H411" i="36"/>
  <c r="J411" i="36" s="1"/>
  <c r="J410" i="36"/>
  <c r="H410" i="36"/>
  <c r="H409" i="36"/>
  <c r="J409" i="36" s="1"/>
  <c r="J408" i="36"/>
  <c r="H408" i="36"/>
  <c r="H407" i="36"/>
  <c r="J407" i="36" s="1"/>
  <c r="J404" i="36"/>
  <c r="H404" i="36"/>
  <c r="H403" i="36"/>
  <c r="J403" i="36" s="1"/>
  <c r="J402" i="36"/>
  <c r="H402" i="36"/>
  <c r="H401" i="36"/>
  <c r="J401" i="36" s="1"/>
  <c r="J400" i="36"/>
  <c r="H400" i="36"/>
  <c r="H399" i="36"/>
  <c r="J399" i="36" s="1"/>
  <c r="J398" i="36"/>
  <c r="H398" i="36"/>
  <c r="H397" i="36"/>
  <c r="J397" i="36" s="1"/>
  <c r="J396" i="36"/>
  <c r="H396" i="36"/>
  <c r="H395" i="36"/>
  <c r="J395" i="36" s="1"/>
  <c r="J394" i="36"/>
  <c r="H394" i="36"/>
  <c r="H393" i="36"/>
  <c r="J393" i="36" s="1"/>
  <c r="J392" i="36"/>
  <c r="H392" i="36"/>
  <c r="H390" i="36"/>
  <c r="J390" i="36" s="1"/>
  <c r="J389" i="36"/>
  <c r="H389" i="36"/>
  <c r="H388" i="36"/>
  <c r="J388" i="36" s="1"/>
  <c r="J387" i="36"/>
  <c r="H387" i="36"/>
  <c r="H386" i="36"/>
  <c r="J386" i="36" s="1"/>
  <c r="J385" i="36"/>
  <c r="H385" i="36"/>
  <c r="H384" i="36"/>
  <c r="J384" i="36" s="1"/>
  <c r="J383" i="36"/>
  <c r="H383" i="36"/>
  <c r="H382" i="36"/>
  <c r="J382" i="36" s="1"/>
  <c r="J381" i="36"/>
  <c r="H381" i="36"/>
  <c r="H380" i="36"/>
  <c r="J380" i="36" s="1"/>
  <c r="J379" i="36"/>
  <c r="H379" i="36"/>
  <c r="H378" i="36"/>
  <c r="J378" i="36" s="1"/>
  <c r="J377" i="36"/>
  <c r="H377" i="36"/>
  <c r="H376" i="36"/>
  <c r="J376" i="36" s="1"/>
  <c r="J375" i="36"/>
  <c r="H375" i="36"/>
  <c r="H374" i="36"/>
  <c r="J374" i="36" s="1"/>
  <c r="J373" i="36"/>
  <c r="H373" i="36"/>
  <c r="H372" i="36"/>
  <c r="J372" i="36" s="1"/>
  <c r="J371" i="36"/>
  <c r="H371" i="36"/>
  <c r="H370" i="36"/>
  <c r="J370" i="36" s="1"/>
  <c r="J369" i="36"/>
  <c r="H369" i="36"/>
  <c r="H368" i="36"/>
  <c r="J368" i="36" s="1"/>
  <c r="J367" i="36"/>
  <c r="H367" i="36"/>
  <c r="H366" i="36"/>
  <c r="J366" i="36" s="1"/>
  <c r="J365" i="36"/>
  <c r="H365" i="36"/>
  <c r="H364" i="36"/>
  <c r="J364" i="36" s="1"/>
  <c r="J363" i="36"/>
  <c r="H363" i="36"/>
  <c r="H362" i="36"/>
  <c r="J362" i="36" s="1"/>
  <c r="J361" i="36"/>
  <c r="H361" i="36"/>
  <c r="H360" i="36"/>
  <c r="J360" i="36" s="1"/>
  <c r="J359" i="36"/>
  <c r="H359" i="36"/>
  <c r="H358" i="36"/>
  <c r="J358" i="36" s="1"/>
  <c r="J357" i="36"/>
  <c r="H357" i="36"/>
  <c r="H356" i="36"/>
  <c r="J356" i="36" s="1"/>
  <c r="J355" i="36"/>
  <c r="H355" i="36"/>
  <c r="H354" i="36"/>
  <c r="J354" i="36" s="1"/>
  <c r="J353" i="36"/>
  <c r="H353" i="36"/>
  <c r="H352" i="36"/>
  <c r="J352" i="36" s="1"/>
  <c r="J351" i="36"/>
  <c r="H351" i="36"/>
  <c r="H350" i="36"/>
  <c r="J350" i="36" s="1"/>
  <c r="J349" i="36"/>
  <c r="H349" i="36"/>
  <c r="H348" i="36"/>
  <c r="J348" i="36" s="1"/>
  <c r="J347" i="36"/>
  <c r="H347" i="36"/>
  <c r="H346" i="36"/>
  <c r="J346" i="36" s="1"/>
  <c r="J345" i="36"/>
  <c r="H345" i="36"/>
  <c r="H344" i="36"/>
  <c r="J344" i="36" s="1"/>
  <c r="J342" i="36"/>
  <c r="H342" i="36"/>
  <c r="H341" i="36"/>
  <c r="J341" i="36" s="1"/>
  <c r="J340" i="36"/>
  <c r="H340" i="36"/>
  <c r="H339" i="36"/>
  <c r="J339" i="36" s="1"/>
  <c r="J338" i="36"/>
  <c r="H338" i="36"/>
  <c r="H337" i="36"/>
  <c r="J337" i="36" s="1"/>
  <c r="H336" i="36"/>
  <c r="J336" i="36" s="1"/>
  <c r="H335" i="36"/>
  <c r="J335" i="36" s="1"/>
  <c r="H334" i="36"/>
  <c r="J334" i="36" s="1"/>
  <c r="H333" i="36"/>
  <c r="J333" i="36" s="1"/>
  <c r="J332" i="36"/>
  <c r="H332" i="36"/>
  <c r="H331" i="36"/>
  <c r="J331" i="36" s="1"/>
  <c r="J330" i="36"/>
  <c r="H330" i="36"/>
  <c r="H329" i="36"/>
  <c r="J329" i="36" s="1"/>
  <c r="J328" i="36"/>
  <c r="H328" i="36"/>
  <c r="H327" i="36"/>
  <c r="J327" i="36" s="1"/>
  <c r="H326" i="36"/>
  <c r="J326" i="36" s="1"/>
  <c r="H325" i="36"/>
  <c r="J325" i="36" s="1"/>
  <c r="J323" i="36"/>
  <c r="H323" i="36"/>
  <c r="H322" i="36"/>
  <c r="J322" i="36" s="1"/>
  <c r="J321" i="36"/>
  <c r="H321" i="36"/>
  <c r="H320" i="36"/>
  <c r="J320" i="36" s="1"/>
  <c r="J319" i="36"/>
  <c r="H319" i="36"/>
  <c r="H318" i="36"/>
  <c r="J318" i="36" s="1"/>
  <c r="H317" i="36"/>
  <c r="J317" i="36" s="1"/>
  <c r="H316" i="36"/>
  <c r="J316" i="36" s="1"/>
  <c r="J315" i="36"/>
  <c r="H315" i="36"/>
  <c r="H314" i="36"/>
  <c r="J314" i="36" s="1"/>
  <c r="J313" i="36"/>
  <c r="H313" i="36"/>
  <c r="H312" i="36"/>
  <c r="J312" i="36" s="1"/>
  <c r="J311" i="36"/>
  <c r="H311" i="36"/>
  <c r="H310" i="36"/>
  <c r="J310" i="36" s="1"/>
  <c r="H309" i="36"/>
  <c r="J309" i="36" s="1"/>
  <c r="H308" i="36"/>
  <c r="J308" i="36" s="1"/>
  <c r="J307" i="36"/>
  <c r="H307" i="36"/>
  <c r="H306" i="36"/>
  <c r="J306" i="36" s="1"/>
  <c r="J305" i="36"/>
  <c r="H305" i="36"/>
  <c r="H304" i="36"/>
  <c r="J304" i="36" s="1"/>
  <c r="H303" i="36"/>
  <c r="J303" i="36" s="1"/>
  <c r="H302" i="36"/>
  <c r="J302" i="36" s="1"/>
  <c r="H301" i="36"/>
  <c r="J301" i="36" s="1"/>
  <c r="H300" i="36"/>
  <c r="J300" i="36" s="1"/>
  <c r="J299" i="36"/>
  <c r="H299" i="36"/>
  <c r="H298" i="36"/>
  <c r="J298" i="36" s="1"/>
  <c r="J297" i="36"/>
  <c r="H297" i="36"/>
  <c r="H296" i="36"/>
  <c r="J296" i="36" s="1"/>
  <c r="J295" i="36"/>
  <c r="H295" i="36"/>
  <c r="H294" i="36"/>
  <c r="J294" i="36" s="1"/>
  <c r="H293" i="36"/>
  <c r="J293" i="36" s="1"/>
  <c r="H292" i="36"/>
  <c r="J292" i="36" s="1"/>
  <c r="J291" i="36"/>
  <c r="H291" i="36"/>
  <c r="H290" i="36"/>
  <c r="J290" i="36" s="1"/>
  <c r="J289" i="36"/>
  <c r="H289" i="36"/>
  <c r="H288" i="36"/>
  <c r="J288" i="36" s="1"/>
  <c r="J287" i="36"/>
  <c r="H287" i="36"/>
  <c r="H286" i="36"/>
  <c r="J286" i="36" s="1"/>
  <c r="H285" i="36"/>
  <c r="J285" i="36" s="1"/>
  <c r="H284" i="36"/>
  <c r="J284" i="36" s="1"/>
  <c r="J283" i="36"/>
  <c r="H283" i="36"/>
  <c r="H282" i="36"/>
  <c r="J282" i="36" s="1"/>
  <c r="J281" i="36"/>
  <c r="H281" i="36"/>
  <c r="H280" i="36"/>
  <c r="J280" i="36" s="1"/>
  <c r="J279" i="36"/>
  <c r="H279" i="36"/>
  <c r="H278" i="36"/>
  <c r="J278" i="36" s="1"/>
  <c r="H277" i="36"/>
  <c r="J277" i="36" s="1"/>
  <c r="H276" i="36"/>
  <c r="J276" i="36" s="1"/>
  <c r="H275" i="36"/>
  <c r="J275" i="36" s="1"/>
  <c r="H274" i="36"/>
  <c r="J274" i="36" s="1"/>
  <c r="J273" i="36"/>
  <c r="H273" i="36"/>
  <c r="H272" i="36"/>
  <c r="J272" i="36" s="1"/>
  <c r="J271" i="36"/>
  <c r="H271" i="36"/>
  <c r="H270" i="36"/>
  <c r="J270" i="36" s="1"/>
  <c r="H269" i="36"/>
  <c r="J269" i="36" s="1"/>
  <c r="H268" i="36"/>
  <c r="J268" i="36" s="1"/>
  <c r="H267" i="36"/>
  <c r="J267" i="36" s="1"/>
  <c r="H266" i="36"/>
  <c r="J266" i="36" s="1"/>
  <c r="J265" i="36"/>
  <c r="H265" i="36"/>
  <c r="H264" i="36"/>
  <c r="J264" i="36" s="1"/>
  <c r="J263" i="36"/>
  <c r="H263" i="36"/>
  <c r="H262" i="36"/>
  <c r="J262" i="36" s="1"/>
  <c r="H261" i="36"/>
  <c r="J261" i="36" s="1"/>
  <c r="H260" i="36"/>
  <c r="J260" i="36" s="1"/>
  <c r="H259" i="36"/>
  <c r="J259" i="36" s="1"/>
  <c r="H258" i="36"/>
  <c r="J258" i="36" s="1"/>
  <c r="J257" i="36"/>
  <c r="H257" i="36"/>
  <c r="H256" i="36"/>
  <c r="J256" i="36" s="1"/>
  <c r="J255" i="36"/>
  <c r="H255" i="36"/>
  <c r="H254" i="36"/>
  <c r="J254" i="36" s="1"/>
  <c r="H253" i="36"/>
  <c r="J253" i="36" s="1"/>
  <c r="H252" i="36"/>
  <c r="J252" i="36" s="1"/>
  <c r="H251" i="36"/>
  <c r="J251" i="36" s="1"/>
  <c r="H250" i="36"/>
  <c r="J250" i="36" s="1"/>
  <c r="J249" i="36"/>
  <c r="H249" i="36"/>
  <c r="H248" i="36"/>
  <c r="J248" i="36" s="1"/>
  <c r="J247" i="36"/>
  <c r="H247" i="36"/>
  <c r="H246" i="36"/>
  <c r="J246" i="36" s="1"/>
  <c r="H245" i="36"/>
  <c r="J245" i="36" s="1"/>
  <c r="H244" i="36"/>
  <c r="J244" i="36" s="1"/>
  <c r="H243" i="36"/>
  <c r="J243" i="36" s="1"/>
  <c r="H242" i="36"/>
  <c r="J242" i="36" s="1"/>
  <c r="J241" i="36"/>
  <c r="H241" i="36"/>
  <c r="H240" i="36"/>
  <c r="J240" i="36" s="1"/>
  <c r="J239" i="36"/>
  <c r="H239" i="36"/>
  <c r="H238" i="36"/>
  <c r="J238" i="36" s="1"/>
  <c r="H237" i="36"/>
  <c r="J237" i="36" s="1"/>
  <c r="H236" i="36"/>
  <c r="J236" i="36" s="1"/>
  <c r="H235" i="36"/>
  <c r="J235" i="36" s="1"/>
  <c r="H234" i="36"/>
  <c r="J234" i="36" s="1"/>
  <c r="J233" i="36"/>
  <c r="H233" i="36"/>
  <c r="H232" i="36"/>
  <c r="J232" i="36" s="1"/>
  <c r="J231" i="36"/>
  <c r="H231" i="36"/>
  <c r="H230" i="36"/>
  <c r="J230" i="36" s="1"/>
  <c r="H229" i="36"/>
  <c r="J229" i="36" s="1"/>
  <c r="H228" i="36"/>
  <c r="J228" i="36" s="1"/>
  <c r="J227" i="36"/>
  <c r="H227" i="36"/>
  <c r="H226" i="36"/>
  <c r="J226" i="36" s="1"/>
  <c r="J225" i="36"/>
  <c r="H225" i="36"/>
  <c r="H224" i="36"/>
  <c r="J224" i="36" s="1"/>
  <c r="H223" i="36"/>
  <c r="J223" i="36" s="1"/>
  <c r="H222" i="36"/>
  <c r="J222" i="36" s="1"/>
  <c r="H221" i="36"/>
  <c r="J221" i="36" s="1"/>
  <c r="H220" i="36"/>
  <c r="J220" i="36" s="1"/>
  <c r="J219" i="36"/>
  <c r="H219" i="36"/>
  <c r="H218" i="36"/>
  <c r="J218" i="36" s="1"/>
  <c r="J217" i="36"/>
  <c r="H217" i="36"/>
  <c r="H215" i="36"/>
  <c r="J215" i="36" s="1"/>
  <c r="J212" i="36"/>
  <c r="H212" i="36"/>
  <c r="H211" i="36"/>
  <c r="J211" i="36" s="1"/>
  <c r="H210" i="36"/>
  <c r="J210" i="36" s="1"/>
  <c r="H209" i="36"/>
  <c r="J209" i="36" s="1"/>
  <c r="J208" i="36"/>
  <c r="H208" i="36"/>
  <c r="H207" i="36"/>
  <c r="J207" i="36" s="1"/>
  <c r="J206" i="36"/>
  <c r="H206" i="36"/>
  <c r="H205" i="36"/>
  <c r="J205" i="36" s="1"/>
  <c r="J204" i="36"/>
  <c r="H204" i="36"/>
  <c r="H203" i="36"/>
  <c r="J203" i="36" s="1"/>
  <c r="H202" i="36"/>
  <c r="J202" i="36" s="1"/>
  <c r="H201" i="36"/>
  <c r="J201" i="36" s="1"/>
  <c r="H199" i="36"/>
  <c r="J199" i="36" s="1"/>
  <c r="H198" i="36"/>
  <c r="J198" i="36" s="1"/>
  <c r="H197" i="36"/>
  <c r="J197" i="36" s="1"/>
  <c r="J196" i="36"/>
  <c r="H196" i="36"/>
  <c r="H194" i="36"/>
  <c r="J194" i="36" s="1"/>
  <c r="J193" i="36"/>
  <c r="H193" i="36"/>
  <c r="H192" i="36"/>
  <c r="J192" i="36" s="1"/>
  <c r="H191" i="36"/>
  <c r="J191" i="36" s="1"/>
  <c r="H190" i="36"/>
  <c r="J190" i="36" s="1"/>
  <c r="J189" i="36"/>
  <c r="H189" i="36"/>
  <c r="H188" i="36"/>
  <c r="J188" i="36" s="1"/>
  <c r="J187" i="36"/>
  <c r="H187" i="36"/>
  <c r="H186" i="36"/>
  <c r="J186" i="36" s="1"/>
  <c r="H185" i="36"/>
  <c r="J185" i="36" s="1"/>
  <c r="H184" i="36"/>
  <c r="J184" i="36" s="1"/>
  <c r="H183" i="36"/>
  <c r="J183" i="36" s="1"/>
  <c r="H182" i="36"/>
  <c r="J182" i="36" s="1"/>
  <c r="H181" i="36"/>
  <c r="J181" i="36" s="1"/>
  <c r="H180" i="36"/>
  <c r="J180" i="36" s="1"/>
  <c r="J179" i="36"/>
  <c r="H179" i="36"/>
  <c r="H178" i="36"/>
  <c r="J178" i="36" s="1"/>
  <c r="J177" i="36"/>
  <c r="H177" i="36"/>
  <c r="H176" i="36"/>
  <c r="J176" i="36" s="1"/>
  <c r="H175" i="36"/>
  <c r="J175" i="36" s="1"/>
  <c r="H174" i="36"/>
  <c r="J174" i="36" s="1"/>
  <c r="J173" i="36"/>
  <c r="H173" i="36"/>
  <c r="H172" i="36"/>
  <c r="J172" i="36" s="1"/>
  <c r="J171" i="36"/>
  <c r="H171" i="36"/>
  <c r="H170" i="36"/>
  <c r="J170" i="36" s="1"/>
  <c r="J169" i="36"/>
  <c r="H169" i="36"/>
  <c r="H168" i="36"/>
  <c r="J168" i="36" s="1"/>
  <c r="H167" i="36"/>
  <c r="J167" i="36" s="1"/>
  <c r="H166" i="36"/>
  <c r="J166" i="36" s="1"/>
  <c r="J165" i="36"/>
  <c r="H165" i="36"/>
  <c r="H164" i="36"/>
  <c r="J164" i="36" s="1"/>
  <c r="J163" i="36"/>
  <c r="H163" i="36"/>
  <c r="H162" i="36"/>
  <c r="J162" i="36" s="1"/>
  <c r="H161" i="36"/>
  <c r="J161" i="36" s="1"/>
  <c r="H160" i="36"/>
  <c r="J160" i="36" s="1"/>
  <c r="H159" i="36"/>
  <c r="J159" i="36" s="1"/>
  <c r="H156" i="36"/>
  <c r="J156" i="36" s="1"/>
  <c r="J153" i="36"/>
  <c r="H153" i="36"/>
  <c r="H152" i="36"/>
  <c r="J152" i="36" s="1"/>
  <c r="J151" i="36"/>
  <c r="H151" i="36"/>
  <c r="H150" i="36"/>
  <c r="J150" i="36" s="1"/>
  <c r="J149" i="36"/>
  <c r="H149" i="36"/>
  <c r="H148" i="36"/>
  <c r="J148" i="36" s="1"/>
  <c r="H147" i="36"/>
  <c r="J147" i="36" s="1"/>
  <c r="H145" i="36"/>
  <c r="J145" i="36" s="1"/>
  <c r="H144" i="36"/>
  <c r="J144" i="36" s="1"/>
  <c r="H143" i="36"/>
  <c r="J143" i="36" s="1"/>
  <c r="J142" i="36"/>
  <c r="H142" i="36"/>
  <c r="H141" i="36"/>
  <c r="J141" i="36" s="1"/>
  <c r="J140" i="36"/>
  <c r="H140" i="36"/>
  <c r="H139" i="36"/>
  <c r="J139" i="36" s="1"/>
  <c r="H138" i="36"/>
  <c r="J138" i="36" s="1"/>
  <c r="H137" i="36"/>
  <c r="J137" i="36" s="1"/>
  <c r="H136" i="36"/>
  <c r="J136" i="36" s="1"/>
  <c r="H135" i="36"/>
  <c r="J135" i="36" s="1"/>
  <c r="J134" i="36"/>
  <c r="H134" i="36"/>
  <c r="H133" i="36"/>
  <c r="J133" i="36" s="1"/>
  <c r="J132" i="36"/>
  <c r="H132" i="36"/>
  <c r="H131" i="36"/>
  <c r="J131" i="36" s="1"/>
  <c r="H130" i="36"/>
  <c r="J130" i="36" s="1"/>
  <c r="H129" i="36"/>
  <c r="J129" i="36" s="1"/>
  <c r="H128" i="36"/>
  <c r="J128" i="36" s="1"/>
  <c r="H127" i="36"/>
  <c r="J127" i="36" s="1"/>
  <c r="J126" i="36"/>
  <c r="H126" i="36"/>
  <c r="H125" i="36"/>
  <c r="J125" i="36" s="1"/>
  <c r="J124" i="36"/>
  <c r="H124" i="36"/>
  <c r="H123" i="36"/>
  <c r="J123" i="36" s="1"/>
  <c r="H122" i="36"/>
  <c r="J122" i="36" s="1"/>
  <c r="H121" i="36"/>
  <c r="J121" i="36" s="1"/>
  <c r="H120" i="36"/>
  <c r="J120" i="36" s="1"/>
  <c r="H118" i="36"/>
  <c r="J118" i="36" s="1"/>
  <c r="H117" i="36"/>
  <c r="J117" i="36" s="1"/>
  <c r="H116" i="36"/>
  <c r="J116" i="36" s="1"/>
  <c r="J115" i="36"/>
  <c r="H115" i="36"/>
  <c r="H114" i="36"/>
  <c r="J114" i="36" s="1"/>
  <c r="J113" i="36"/>
  <c r="H113" i="36"/>
  <c r="H112" i="36"/>
  <c r="J112" i="36" s="1"/>
  <c r="J111" i="36"/>
  <c r="H111" i="36"/>
  <c r="H110" i="36"/>
  <c r="J110" i="36" s="1"/>
  <c r="H109" i="36"/>
  <c r="J109" i="36" s="1"/>
  <c r="H108" i="36"/>
  <c r="J108" i="36" s="1"/>
  <c r="J106" i="36"/>
  <c r="H106" i="36"/>
  <c r="H105" i="36"/>
  <c r="J105" i="36" s="1"/>
  <c r="J104" i="36"/>
  <c r="H104" i="36"/>
  <c r="H103" i="36"/>
  <c r="J103" i="36" s="1"/>
  <c r="J102" i="36"/>
  <c r="H102" i="36"/>
  <c r="H101" i="36"/>
  <c r="J101" i="36" s="1"/>
  <c r="H100" i="36"/>
  <c r="J100" i="36" s="1"/>
  <c r="H99" i="36"/>
  <c r="J99" i="36" s="1"/>
  <c r="J98" i="36"/>
  <c r="H98" i="36"/>
  <c r="H97" i="36"/>
  <c r="J97" i="36" s="1"/>
  <c r="J96" i="36"/>
  <c r="H96" i="36"/>
  <c r="H95" i="36"/>
  <c r="J95" i="36" s="1"/>
  <c r="J94" i="36"/>
  <c r="H94" i="36"/>
  <c r="H93" i="36"/>
  <c r="J93" i="36" s="1"/>
  <c r="H92" i="36"/>
  <c r="J92" i="36" s="1"/>
  <c r="H91" i="36"/>
  <c r="J91" i="36" s="1"/>
  <c r="J90" i="36"/>
  <c r="H90" i="36"/>
  <c r="H88" i="36"/>
  <c r="J88" i="36" s="1"/>
  <c r="H87" i="36"/>
  <c r="J87" i="36" s="1"/>
  <c r="H85" i="36"/>
  <c r="J85" i="36" s="1"/>
  <c r="H84" i="36"/>
  <c r="J84" i="36" s="1"/>
  <c r="H83" i="36"/>
  <c r="J83" i="36" s="1"/>
  <c r="H82" i="36"/>
  <c r="J82" i="36" s="1"/>
  <c r="J81" i="36"/>
  <c r="H81" i="36"/>
  <c r="I80" i="36"/>
  <c r="H80" i="36"/>
  <c r="J79" i="36"/>
  <c r="H79" i="36"/>
  <c r="H78" i="36"/>
  <c r="J78" i="36" s="1"/>
  <c r="H76" i="36"/>
  <c r="J76" i="36" s="1"/>
  <c r="H75" i="36"/>
  <c r="J75" i="36" s="1"/>
  <c r="H74" i="36"/>
  <c r="J74" i="36" s="1"/>
  <c r="H73" i="36"/>
  <c r="J73" i="36" s="1"/>
  <c r="H72" i="36"/>
  <c r="J72" i="36" s="1"/>
  <c r="J71" i="36"/>
  <c r="H71" i="36"/>
  <c r="H70" i="36"/>
  <c r="J70" i="36" s="1"/>
  <c r="H69" i="36"/>
  <c r="J69" i="36" s="1"/>
  <c r="H68" i="36"/>
  <c r="J68" i="36" s="1"/>
  <c r="H66" i="36"/>
  <c r="J66" i="36" s="1"/>
  <c r="H65" i="36"/>
  <c r="J65" i="36" s="1"/>
  <c r="H64" i="36"/>
  <c r="J64" i="36" s="1"/>
  <c r="H63" i="36"/>
  <c r="J63" i="36" s="1"/>
  <c r="H62" i="36"/>
  <c r="J62" i="36" s="1"/>
  <c r="H61" i="36"/>
  <c r="J61" i="36" s="1"/>
  <c r="H60" i="36"/>
  <c r="J60" i="36" s="1"/>
  <c r="H59" i="36"/>
  <c r="J59" i="36" s="1"/>
  <c r="H58" i="36"/>
  <c r="J58" i="36" s="1"/>
  <c r="H57" i="36"/>
  <c r="J57" i="36" s="1"/>
  <c r="H56" i="36"/>
  <c r="J56" i="36" s="1"/>
  <c r="H55" i="36"/>
  <c r="J55" i="36" s="1"/>
  <c r="J54" i="36"/>
  <c r="H54" i="36"/>
  <c r="H53" i="36"/>
  <c r="J53" i="36" s="1"/>
  <c r="H46" i="36"/>
  <c r="J46" i="36" s="1"/>
  <c r="H45" i="36"/>
  <c r="J45" i="36" s="1"/>
  <c r="J42" i="36"/>
  <c r="H42" i="36"/>
  <c r="H38" i="36"/>
  <c r="J38" i="36" s="1"/>
  <c r="J37" i="36"/>
  <c r="H37" i="36"/>
  <c r="H36" i="36"/>
  <c r="J36" i="36" s="1"/>
  <c r="H34" i="36"/>
  <c r="J34" i="36" s="1"/>
  <c r="H33" i="36"/>
  <c r="J33" i="36" s="1"/>
  <c r="K35" i="36" s="1"/>
  <c r="H31" i="36"/>
  <c r="J31" i="36" s="1"/>
  <c r="J30" i="36"/>
  <c r="H30" i="36"/>
  <c r="J28" i="36"/>
  <c r="H28" i="36"/>
  <c r="H27" i="36"/>
  <c r="J27" i="36" s="1"/>
  <c r="I26" i="36"/>
  <c r="H26" i="36"/>
  <c r="H25" i="36"/>
  <c r="J25" i="36" s="1"/>
  <c r="J24" i="36"/>
  <c r="H24" i="36"/>
  <c r="H23" i="36"/>
  <c r="J23" i="36" s="1"/>
  <c r="J22" i="36"/>
  <c r="H22" i="36"/>
  <c r="H21" i="36"/>
  <c r="J21" i="36" s="1"/>
  <c r="H19" i="36"/>
  <c r="J19" i="36" s="1"/>
  <c r="H18" i="36"/>
  <c r="J18" i="36" s="1"/>
  <c r="H17" i="36"/>
  <c r="J17" i="36" s="1"/>
  <c r="H16" i="36"/>
  <c r="J16" i="36" s="1"/>
  <c r="H15" i="36"/>
  <c r="J15" i="36" s="1"/>
  <c r="J14" i="36"/>
  <c r="H14" i="36"/>
  <c r="H13" i="36"/>
  <c r="J13" i="36" s="1"/>
  <c r="K1296" i="36" l="1"/>
  <c r="K1422" i="36"/>
  <c r="J26" i="36"/>
  <c r="K1078" i="36"/>
  <c r="J1163" i="36"/>
  <c r="J538" i="36"/>
  <c r="J551" i="36"/>
  <c r="J1257" i="36"/>
  <c r="K1262" i="36" s="1"/>
  <c r="K20" i="36"/>
  <c r="J80" i="36"/>
  <c r="J482" i="36"/>
  <c r="J835" i="36"/>
  <c r="J1025" i="36"/>
  <c r="K1028" i="36" s="1"/>
  <c r="J539" i="36"/>
  <c r="J544" i="36"/>
  <c r="J546" i="36"/>
  <c r="J566" i="36"/>
  <c r="K884" i="36"/>
  <c r="J1029" i="36"/>
  <c r="J1162" i="36"/>
  <c r="J543" i="36"/>
  <c r="J565" i="36"/>
  <c r="J1033" i="36"/>
  <c r="J1107" i="36"/>
  <c r="K1344" i="36"/>
  <c r="K77" i="36"/>
  <c r="K200" i="36"/>
  <c r="K576" i="36"/>
  <c r="K43" i="36"/>
  <c r="K89" i="36"/>
  <c r="K29" i="36"/>
  <c r="J1423" i="36"/>
  <c r="K32" i="36"/>
  <c r="K808" i="36"/>
  <c r="K1063" i="36"/>
  <c r="K195" i="36"/>
  <c r="K604" i="36"/>
  <c r="K585" i="36"/>
  <c r="K871" i="36"/>
  <c r="K1021" i="36"/>
  <c r="K1104" i="36"/>
  <c r="J1095" i="36"/>
  <c r="K1244" i="36"/>
  <c r="K1408" i="36"/>
  <c r="K1268" i="36"/>
  <c r="K1096" i="36"/>
  <c r="K1308" i="36"/>
  <c r="K1327" i="36"/>
  <c r="K1423" i="36" l="1"/>
  <c r="H1421" i="35"/>
  <c r="J1421" i="35" s="1"/>
  <c r="H1420" i="35"/>
  <c r="J1420" i="35" s="1"/>
  <c r="H1419" i="35"/>
  <c r="J1419" i="35" s="1"/>
  <c r="J1418" i="35"/>
  <c r="J1417" i="35"/>
  <c r="H1417" i="35"/>
  <c r="H1416" i="35"/>
  <c r="J1416" i="35" s="1"/>
  <c r="J1415" i="35"/>
  <c r="H1415" i="35"/>
  <c r="H1412" i="35"/>
  <c r="J1412" i="35" s="1"/>
  <c r="J1411" i="35"/>
  <c r="H1411" i="35"/>
  <c r="H1410" i="35"/>
  <c r="J1410" i="35" s="1"/>
  <c r="H1409" i="35"/>
  <c r="J1409" i="35" s="1"/>
  <c r="K1422" i="35" s="1"/>
  <c r="H1407" i="35"/>
  <c r="J1407" i="35" s="1"/>
  <c r="H1406" i="35"/>
  <c r="J1406" i="35" s="1"/>
  <c r="H1405" i="35"/>
  <c r="J1405" i="35" s="1"/>
  <c r="H1402" i="35"/>
  <c r="J1402" i="35" s="1"/>
  <c r="H1401" i="35"/>
  <c r="J1401" i="35" s="1"/>
  <c r="H1400" i="35"/>
  <c r="J1400" i="35" s="1"/>
  <c r="H1399" i="35"/>
  <c r="J1399" i="35" s="1"/>
  <c r="H1398" i="35"/>
  <c r="J1398" i="35" s="1"/>
  <c r="H1397" i="35"/>
  <c r="J1397" i="35" s="1"/>
  <c r="H1396" i="35"/>
  <c r="J1396" i="35" s="1"/>
  <c r="H1395" i="35"/>
  <c r="J1395" i="35" s="1"/>
  <c r="H1394" i="35"/>
  <c r="J1394" i="35" s="1"/>
  <c r="H1393" i="35"/>
  <c r="J1393" i="35" s="1"/>
  <c r="H1392" i="35"/>
  <c r="J1392" i="35" s="1"/>
  <c r="J1391" i="35"/>
  <c r="H1391" i="35"/>
  <c r="H1390" i="35"/>
  <c r="J1390" i="35" s="1"/>
  <c r="H1389" i="35"/>
  <c r="J1389" i="35" s="1"/>
  <c r="H1388" i="35"/>
  <c r="J1388" i="35" s="1"/>
  <c r="J1387" i="35"/>
  <c r="H1387" i="35"/>
  <c r="H1386" i="35"/>
  <c r="J1386" i="35" s="1"/>
  <c r="H1385" i="35"/>
  <c r="J1385" i="35" s="1"/>
  <c r="H1384" i="35"/>
  <c r="J1384" i="35" s="1"/>
  <c r="J1383" i="35"/>
  <c r="H1383" i="35"/>
  <c r="H1382" i="35"/>
  <c r="J1382" i="35" s="1"/>
  <c r="H1381" i="35"/>
  <c r="J1381" i="35" s="1"/>
  <c r="H1380" i="35"/>
  <c r="J1380" i="35" s="1"/>
  <c r="H1379" i="35"/>
  <c r="J1379" i="35" s="1"/>
  <c r="H1378" i="35"/>
  <c r="J1378" i="35" s="1"/>
  <c r="H1377" i="35"/>
  <c r="J1377" i="35" s="1"/>
  <c r="H1376" i="35"/>
  <c r="J1376" i="35" s="1"/>
  <c r="J1375" i="35"/>
  <c r="H1375" i="35"/>
  <c r="H1374" i="35"/>
  <c r="J1374" i="35" s="1"/>
  <c r="H1373" i="35"/>
  <c r="J1373" i="35" s="1"/>
  <c r="H1372" i="35"/>
  <c r="J1372" i="35" s="1"/>
  <c r="J1371" i="35"/>
  <c r="H1371" i="35"/>
  <c r="H1370" i="35"/>
  <c r="J1370" i="35" s="1"/>
  <c r="H1369" i="35"/>
  <c r="J1369" i="35" s="1"/>
  <c r="H1368" i="35"/>
  <c r="J1368" i="35" s="1"/>
  <c r="J1367" i="35"/>
  <c r="H1367" i="35"/>
  <c r="H1366" i="35"/>
  <c r="J1366" i="35" s="1"/>
  <c r="H1365" i="35"/>
  <c r="J1365" i="35" s="1"/>
  <c r="H1364" i="35"/>
  <c r="J1364" i="35" s="1"/>
  <c r="H1363" i="35"/>
  <c r="J1363" i="35" s="1"/>
  <c r="H1362" i="35"/>
  <c r="J1362" i="35" s="1"/>
  <c r="H1361" i="35"/>
  <c r="J1361" i="35" s="1"/>
  <c r="H1360" i="35"/>
  <c r="J1360" i="35" s="1"/>
  <c r="J1359" i="35"/>
  <c r="H1359" i="35"/>
  <c r="H1358" i="35"/>
  <c r="J1358" i="35" s="1"/>
  <c r="H1357" i="35"/>
  <c r="J1357" i="35" s="1"/>
  <c r="H1356" i="35"/>
  <c r="J1356" i="35" s="1"/>
  <c r="J1355" i="35"/>
  <c r="H1355" i="35"/>
  <c r="H1354" i="35"/>
  <c r="J1354" i="35" s="1"/>
  <c r="H1353" i="35"/>
  <c r="J1353" i="35" s="1"/>
  <c r="H1352" i="35"/>
  <c r="J1352" i="35" s="1"/>
  <c r="J1351" i="35"/>
  <c r="H1351" i="35"/>
  <c r="H1350" i="35"/>
  <c r="J1350" i="35" s="1"/>
  <c r="H1349" i="35"/>
  <c r="J1349" i="35" s="1"/>
  <c r="H1348" i="35"/>
  <c r="J1348" i="35" s="1"/>
  <c r="H1347" i="35"/>
  <c r="J1347" i="35" s="1"/>
  <c r="H1346" i="35"/>
  <c r="J1346" i="35" s="1"/>
  <c r="H1345" i="35"/>
  <c r="J1345" i="35" s="1"/>
  <c r="H1343" i="35"/>
  <c r="J1343" i="35" s="1"/>
  <c r="J1342" i="35"/>
  <c r="H1342" i="35"/>
  <c r="H1341" i="35"/>
  <c r="J1341" i="35" s="1"/>
  <c r="H1340" i="35"/>
  <c r="J1340" i="35" s="1"/>
  <c r="H1339" i="35"/>
  <c r="J1339" i="35" s="1"/>
  <c r="J1338" i="35"/>
  <c r="H1338" i="35"/>
  <c r="J1336" i="35"/>
  <c r="H1336" i="35"/>
  <c r="H1335" i="35"/>
  <c r="J1335" i="35" s="1"/>
  <c r="H1334" i="35"/>
  <c r="J1334" i="35" s="1"/>
  <c r="H1333" i="35"/>
  <c r="J1333" i="35" s="1"/>
  <c r="H1332" i="35"/>
  <c r="H1331" i="35"/>
  <c r="H1330" i="35"/>
  <c r="H1328" i="35"/>
  <c r="J1326" i="35"/>
  <c r="H1326" i="35"/>
  <c r="H1325" i="35"/>
  <c r="J1325" i="35" s="1"/>
  <c r="J1324" i="35"/>
  <c r="H1324" i="35"/>
  <c r="H1323" i="35"/>
  <c r="J1323" i="35" s="1"/>
  <c r="H1322" i="35"/>
  <c r="J1322" i="35" s="1"/>
  <c r="H1321" i="35"/>
  <c r="J1321" i="35" s="1"/>
  <c r="J1320" i="35"/>
  <c r="H1320" i="35"/>
  <c r="H1319" i="35"/>
  <c r="J1319" i="35" s="1"/>
  <c r="J1318" i="35"/>
  <c r="H1318" i="35"/>
  <c r="H1317" i="35"/>
  <c r="J1317" i="35" s="1"/>
  <c r="J1316" i="35"/>
  <c r="H1316" i="35"/>
  <c r="H1315" i="35"/>
  <c r="J1315" i="35" s="1"/>
  <c r="H1314" i="35"/>
  <c r="J1314" i="35" s="1"/>
  <c r="H1313" i="35"/>
  <c r="J1313" i="35" s="1"/>
  <c r="I1312" i="35"/>
  <c r="H1312" i="35"/>
  <c r="J1312" i="35" s="1"/>
  <c r="H1311" i="35"/>
  <c r="J1311" i="35" s="1"/>
  <c r="H1310" i="35"/>
  <c r="J1310" i="35" s="1"/>
  <c r="H1309" i="35"/>
  <c r="J1309" i="35" s="1"/>
  <c r="H1307" i="35"/>
  <c r="J1307" i="35" s="1"/>
  <c r="J1306" i="35"/>
  <c r="H1306" i="35"/>
  <c r="H1305" i="35"/>
  <c r="J1305" i="35" s="1"/>
  <c r="J1304" i="35"/>
  <c r="H1304" i="35"/>
  <c r="H1303" i="35"/>
  <c r="J1303" i="35" s="1"/>
  <c r="J1302" i="35"/>
  <c r="H1302" i="35"/>
  <c r="H1301" i="35"/>
  <c r="J1301" i="35" s="1"/>
  <c r="H1300" i="35"/>
  <c r="J1300" i="35" s="1"/>
  <c r="H1299" i="35"/>
  <c r="J1299" i="35" s="1"/>
  <c r="J1298" i="35"/>
  <c r="H1298" i="35"/>
  <c r="H1297" i="35"/>
  <c r="J1297" i="35" s="1"/>
  <c r="H1295" i="35"/>
  <c r="J1295" i="35" s="1"/>
  <c r="J1293" i="35"/>
  <c r="H1293" i="35"/>
  <c r="H1292" i="35"/>
  <c r="J1292" i="35" s="1"/>
  <c r="H1291" i="35"/>
  <c r="J1291" i="35" s="1"/>
  <c r="H1290" i="35"/>
  <c r="J1290" i="35" s="1"/>
  <c r="H1289" i="35"/>
  <c r="J1289" i="35" s="1"/>
  <c r="H1288" i="35"/>
  <c r="J1288" i="35" s="1"/>
  <c r="H1287" i="35"/>
  <c r="J1287" i="35" s="1"/>
  <c r="H1286" i="35"/>
  <c r="J1286" i="35" s="1"/>
  <c r="J1285" i="35"/>
  <c r="H1285" i="35"/>
  <c r="H1284" i="35"/>
  <c r="J1284" i="35" s="1"/>
  <c r="H1283" i="35"/>
  <c r="J1283" i="35" s="1"/>
  <c r="H1282" i="35"/>
  <c r="J1282" i="35" s="1"/>
  <c r="J1281" i="35"/>
  <c r="H1281" i="35"/>
  <c r="J1279" i="35"/>
  <c r="H1278" i="35"/>
  <c r="J1278" i="35" s="1"/>
  <c r="J1277" i="35"/>
  <c r="H1277" i="35"/>
  <c r="H1276" i="35"/>
  <c r="J1276" i="35" s="1"/>
  <c r="J1275" i="35"/>
  <c r="H1275" i="35"/>
  <c r="H1274" i="35"/>
  <c r="J1274" i="35" s="1"/>
  <c r="H1273" i="35"/>
  <c r="J1273" i="35" s="1"/>
  <c r="H1272" i="35"/>
  <c r="J1272" i="35" s="1"/>
  <c r="J1271" i="35"/>
  <c r="H1271" i="35"/>
  <c r="H1270" i="35"/>
  <c r="J1270" i="35" s="1"/>
  <c r="J1269" i="35"/>
  <c r="H1269" i="35"/>
  <c r="H1267" i="35"/>
  <c r="J1267" i="35" s="1"/>
  <c r="H1266" i="35"/>
  <c r="J1266" i="35" s="1"/>
  <c r="H1265" i="35"/>
  <c r="J1265" i="35" s="1"/>
  <c r="H1264" i="35"/>
  <c r="J1264" i="35" s="1"/>
  <c r="J1263" i="35"/>
  <c r="H1263" i="35"/>
  <c r="H1261" i="35"/>
  <c r="J1261" i="35" s="1"/>
  <c r="I1260" i="35"/>
  <c r="H1260" i="35"/>
  <c r="J1260" i="35" s="1"/>
  <c r="J1259" i="35"/>
  <c r="H1259" i="35"/>
  <c r="H1258" i="35"/>
  <c r="J1258" i="35" s="1"/>
  <c r="I1257" i="35"/>
  <c r="H1257" i="35"/>
  <c r="H1256" i="35"/>
  <c r="J1256" i="35" s="1"/>
  <c r="J1255" i="35"/>
  <c r="H1255" i="35"/>
  <c r="H1254" i="35"/>
  <c r="J1254" i="35" s="1"/>
  <c r="H1253" i="35"/>
  <c r="J1253" i="35" s="1"/>
  <c r="H1252" i="35"/>
  <c r="J1252" i="35" s="1"/>
  <c r="J1251" i="35"/>
  <c r="H1251" i="35"/>
  <c r="H1249" i="35"/>
  <c r="J1249" i="35" s="1"/>
  <c r="I1248" i="35"/>
  <c r="H1248" i="35"/>
  <c r="J1248" i="35" s="1"/>
  <c r="H1247" i="35"/>
  <c r="J1247" i="35" s="1"/>
  <c r="H1246" i="35"/>
  <c r="J1245" i="35"/>
  <c r="H1245" i="35"/>
  <c r="H1243" i="35"/>
  <c r="J1243" i="35" s="1"/>
  <c r="H1242" i="35"/>
  <c r="J1242" i="35" s="1"/>
  <c r="H1241" i="35"/>
  <c r="J1241" i="35" s="1"/>
  <c r="J1240" i="35"/>
  <c r="H1240" i="35"/>
  <c r="H1239" i="35"/>
  <c r="J1239" i="35" s="1"/>
  <c r="H1238" i="35"/>
  <c r="J1238" i="35" s="1"/>
  <c r="H1237" i="35"/>
  <c r="J1237" i="35" s="1"/>
  <c r="J1236" i="35"/>
  <c r="H1236" i="35"/>
  <c r="H1235" i="35"/>
  <c r="J1235" i="35" s="1"/>
  <c r="H1234" i="35"/>
  <c r="J1234" i="35" s="1"/>
  <c r="H1233" i="35"/>
  <c r="J1233" i="35" s="1"/>
  <c r="J1232" i="35"/>
  <c r="H1232" i="35"/>
  <c r="H1231" i="35"/>
  <c r="J1231" i="35" s="1"/>
  <c r="H1230" i="35"/>
  <c r="J1230" i="35" s="1"/>
  <c r="H1229" i="35"/>
  <c r="J1229" i="35" s="1"/>
  <c r="I1228" i="35"/>
  <c r="H1228" i="35"/>
  <c r="J1228" i="35" s="1"/>
  <c r="H1227" i="35"/>
  <c r="J1227" i="35" s="1"/>
  <c r="H1226" i="35"/>
  <c r="J1226" i="35" s="1"/>
  <c r="H1225" i="35"/>
  <c r="J1225" i="35" s="1"/>
  <c r="H1224" i="35"/>
  <c r="J1224" i="35" s="1"/>
  <c r="H1223" i="35"/>
  <c r="J1223" i="35" s="1"/>
  <c r="H1222" i="35"/>
  <c r="J1222" i="35" s="1"/>
  <c r="J1221" i="35"/>
  <c r="H1221" i="35"/>
  <c r="H1220" i="35"/>
  <c r="J1220" i="35" s="1"/>
  <c r="H1219" i="35"/>
  <c r="J1219" i="35" s="1"/>
  <c r="H1218" i="35"/>
  <c r="J1218" i="35" s="1"/>
  <c r="H1217" i="35"/>
  <c r="J1217" i="35" s="1"/>
  <c r="H1216" i="35"/>
  <c r="J1216" i="35" s="1"/>
  <c r="H1215" i="35"/>
  <c r="J1215" i="35" s="1"/>
  <c r="H1214" i="35"/>
  <c r="J1214" i="35" s="1"/>
  <c r="J1213" i="35"/>
  <c r="H1213" i="35"/>
  <c r="H1212" i="35"/>
  <c r="J1212" i="35" s="1"/>
  <c r="H1211" i="35"/>
  <c r="J1211" i="35" s="1"/>
  <c r="H1210" i="35"/>
  <c r="J1210" i="35" s="1"/>
  <c r="H1209" i="35"/>
  <c r="J1209" i="35" s="1"/>
  <c r="H1208" i="35"/>
  <c r="J1208" i="35" s="1"/>
  <c r="H1207" i="35"/>
  <c r="J1207" i="35" s="1"/>
  <c r="H1206" i="35"/>
  <c r="J1206" i="35" s="1"/>
  <c r="J1205" i="35"/>
  <c r="H1205" i="35"/>
  <c r="H1204" i="35"/>
  <c r="J1204" i="35" s="1"/>
  <c r="H1203" i="35"/>
  <c r="J1203" i="35" s="1"/>
  <c r="H1202" i="35"/>
  <c r="J1202" i="35" s="1"/>
  <c r="H1201" i="35"/>
  <c r="J1201" i="35" s="1"/>
  <c r="H1200" i="35"/>
  <c r="J1200" i="35" s="1"/>
  <c r="H1199" i="35"/>
  <c r="J1199" i="35" s="1"/>
  <c r="H1198" i="35"/>
  <c r="J1198" i="35" s="1"/>
  <c r="J1197" i="35"/>
  <c r="H1197" i="35"/>
  <c r="H1196" i="35"/>
  <c r="J1196" i="35" s="1"/>
  <c r="H1195" i="35"/>
  <c r="J1195" i="35" s="1"/>
  <c r="H1194" i="35"/>
  <c r="J1194" i="35" s="1"/>
  <c r="H1193" i="35"/>
  <c r="J1193" i="35" s="1"/>
  <c r="H1192" i="35"/>
  <c r="J1192" i="35" s="1"/>
  <c r="H1191" i="35"/>
  <c r="J1191" i="35" s="1"/>
  <c r="H1190" i="35"/>
  <c r="J1190" i="35" s="1"/>
  <c r="J1189" i="35"/>
  <c r="H1189" i="35"/>
  <c r="H1188" i="35"/>
  <c r="J1188" i="35" s="1"/>
  <c r="H1187" i="35"/>
  <c r="J1187" i="35" s="1"/>
  <c r="H1186" i="35"/>
  <c r="J1186" i="35" s="1"/>
  <c r="H1185" i="35"/>
  <c r="J1185" i="35" s="1"/>
  <c r="H1184" i="35"/>
  <c r="J1184" i="35" s="1"/>
  <c r="H1183" i="35"/>
  <c r="J1183" i="35" s="1"/>
  <c r="H1182" i="35"/>
  <c r="J1182" i="35" s="1"/>
  <c r="J1181" i="35"/>
  <c r="H1181" i="35"/>
  <c r="H1180" i="35"/>
  <c r="J1180" i="35" s="1"/>
  <c r="H1179" i="35"/>
  <c r="J1179" i="35" s="1"/>
  <c r="H1178" i="35"/>
  <c r="J1178" i="35" s="1"/>
  <c r="H1177" i="35"/>
  <c r="J1177" i="35" s="1"/>
  <c r="H1176" i="35"/>
  <c r="J1176" i="35" s="1"/>
  <c r="H1175" i="35"/>
  <c r="J1175" i="35" s="1"/>
  <c r="H1174" i="35"/>
  <c r="J1174" i="35" s="1"/>
  <c r="J1173" i="35"/>
  <c r="H1173" i="35"/>
  <c r="H1172" i="35"/>
  <c r="J1172" i="35" s="1"/>
  <c r="H1171" i="35"/>
  <c r="J1171" i="35" s="1"/>
  <c r="H1170" i="35"/>
  <c r="J1170" i="35" s="1"/>
  <c r="H1169" i="35"/>
  <c r="J1169" i="35" s="1"/>
  <c r="H1168" i="35"/>
  <c r="J1168" i="35" s="1"/>
  <c r="H1166" i="35"/>
  <c r="J1166" i="35" s="1"/>
  <c r="H1165" i="35"/>
  <c r="J1165" i="35" s="1"/>
  <c r="I1164" i="35"/>
  <c r="H1164" i="35"/>
  <c r="J1164" i="35" s="1"/>
  <c r="I1163" i="35"/>
  <c r="H1163" i="35"/>
  <c r="J1163" i="35" s="1"/>
  <c r="I1162" i="35"/>
  <c r="H1162" i="35"/>
  <c r="H1161" i="35"/>
  <c r="J1161" i="35" s="1"/>
  <c r="H1160" i="35"/>
  <c r="J1160" i="35" s="1"/>
  <c r="H1159" i="35"/>
  <c r="J1159" i="35" s="1"/>
  <c r="H1158" i="35"/>
  <c r="J1158" i="35" s="1"/>
  <c r="H1157" i="35"/>
  <c r="J1157" i="35" s="1"/>
  <c r="H1156" i="35"/>
  <c r="J1156" i="35" s="1"/>
  <c r="H1155" i="35"/>
  <c r="J1155" i="35" s="1"/>
  <c r="H1154" i="35"/>
  <c r="J1154" i="35" s="1"/>
  <c r="H1153" i="35"/>
  <c r="J1153" i="35" s="1"/>
  <c r="H1152" i="35"/>
  <c r="J1152" i="35" s="1"/>
  <c r="H1151" i="35"/>
  <c r="J1151" i="35" s="1"/>
  <c r="H1150" i="35"/>
  <c r="J1150" i="35" s="1"/>
  <c r="H1149" i="35"/>
  <c r="J1149" i="35" s="1"/>
  <c r="H1148" i="35"/>
  <c r="J1148" i="35" s="1"/>
  <c r="H1147" i="35"/>
  <c r="J1147" i="35" s="1"/>
  <c r="H1146" i="35"/>
  <c r="J1146" i="35" s="1"/>
  <c r="H1145" i="35"/>
  <c r="J1145" i="35" s="1"/>
  <c r="H1144" i="35"/>
  <c r="J1144" i="35" s="1"/>
  <c r="H1143" i="35"/>
  <c r="J1143" i="35" s="1"/>
  <c r="H1142" i="35"/>
  <c r="J1142" i="35" s="1"/>
  <c r="H1141" i="35"/>
  <c r="J1141" i="35" s="1"/>
  <c r="H1140" i="35"/>
  <c r="J1140" i="35" s="1"/>
  <c r="H1139" i="35"/>
  <c r="J1139" i="35" s="1"/>
  <c r="H1138" i="35"/>
  <c r="J1138" i="35" s="1"/>
  <c r="H1137" i="35"/>
  <c r="J1137" i="35" s="1"/>
  <c r="H1136" i="35"/>
  <c r="J1136" i="35" s="1"/>
  <c r="H1135" i="35"/>
  <c r="J1135" i="35" s="1"/>
  <c r="H1134" i="35"/>
  <c r="J1134" i="35" s="1"/>
  <c r="H1133" i="35"/>
  <c r="J1133" i="35" s="1"/>
  <c r="H1132" i="35"/>
  <c r="J1132" i="35" s="1"/>
  <c r="H1131" i="35"/>
  <c r="J1131" i="35" s="1"/>
  <c r="H1130" i="35"/>
  <c r="J1130" i="35" s="1"/>
  <c r="H1129" i="35"/>
  <c r="J1129" i="35" s="1"/>
  <c r="H1128" i="35"/>
  <c r="J1128" i="35" s="1"/>
  <c r="H1127" i="35"/>
  <c r="J1127" i="35" s="1"/>
  <c r="H1126" i="35"/>
  <c r="J1126" i="35" s="1"/>
  <c r="H1125" i="35"/>
  <c r="J1125" i="35" s="1"/>
  <c r="H1124" i="35"/>
  <c r="J1124" i="35" s="1"/>
  <c r="H1123" i="35"/>
  <c r="J1123" i="35" s="1"/>
  <c r="H1122" i="35"/>
  <c r="J1122" i="35" s="1"/>
  <c r="H1121" i="35"/>
  <c r="J1121" i="35" s="1"/>
  <c r="H1120" i="35"/>
  <c r="J1120" i="35" s="1"/>
  <c r="H1119" i="35"/>
  <c r="J1119" i="35" s="1"/>
  <c r="H1118" i="35"/>
  <c r="J1118" i="35" s="1"/>
  <c r="H1117" i="35"/>
  <c r="J1117" i="35" s="1"/>
  <c r="H1116" i="35"/>
  <c r="J1116" i="35" s="1"/>
  <c r="H1115" i="35"/>
  <c r="J1115" i="35" s="1"/>
  <c r="H1114" i="35"/>
  <c r="J1114" i="35" s="1"/>
  <c r="H1113" i="35"/>
  <c r="J1113" i="35" s="1"/>
  <c r="H1112" i="35"/>
  <c r="J1112" i="35" s="1"/>
  <c r="H1111" i="35"/>
  <c r="J1111" i="35" s="1"/>
  <c r="H1110" i="35"/>
  <c r="J1110" i="35" s="1"/>
  <c r="H1109" i="35"/>
  <c r="J1109" i="35" s="1"/>
  <c r="H1108" i="35"/>
  <c r="J1108" i="35" s="1"/>
  <c r="I1107" i="35"/>
  <c r="H1107" i="35"/>
  <c r="J1107" i="35" s="1"/>
  <c r="H1106" i="35"/>
  <c r="J1106" i="35" s="1"/>
  <c r="H1105" i="35"/>
  <c r="J1105" i="35" s="1"/>
  <c r="H1103" i="35"/>
  <c r="J1103" i="35" s="1"/>
  <c r="I1102" i="35"/>
  <c r="H1102" i="35"/>
  <c r="H1101" i="35"/>
  <c r="J1101" i="35" s="1"/>
  <c r="H1100" i="35"/>
  <c r="J1100" i="35" s="1"/>
  <c r="H1099" i="35"/>
  <c r="J1099" i="35" s="1"/>
  <c r="J1098" i="35"/>
  <c r="H1098" i="35"/>
  <c r="I1097" i="35"/>
  <c r="H1097" i="35"/>
  <c r="J1097" i="35" s="1"/>
  <c r="I1095" i="35"/>
  <c r="J1095" i="35" s="1"/>
  <c r="H1095" i="35"/>
  <c r="H1094" i="35"/>
  <c r="J1094" i="35" s="1"/>
  <c r="H1093" i="35"/>
  <c r="J1093" i="35" s="1"/>
  <c r="H1092" i="35"/>
  <c r="J1092" i="35" s="1"/>
  <c r="I1091" i="35"/>
  <c r="H1091" i="35"/>
  <c r="J1091" i="35" s="1"/>
  <c r="H1090" i="35"/>
  <c r="J1090" i="35" s="1"/>
  <c r="H1089" i="35"/>
  <c r="J1089" i="35" s="1"/>
  <c r="H1088" i="35"/>
  <c r="J1088" i="35" s="1"/>
  <c r="H1087" i="35"/>
  <c r="J1087" i="35" s="1"/>
  <c r="H1086" i="35"/>
  <c r="J1086" i="35" s="1"/>
  <c r="H1085" i="35"/>
  <c r="J1085" i="35" s="1"/>
  <c r="H1084" i="35"/>
  <c r="J1084" i="35" s="1"/>
  <c r="I1083" i="35"/>
  <c r="H1083" i="35"/>
  <c r="J1083" i="35" s="1"/>
  <c r="H1082" i="35"/>
  <c r="J1082" i="35" s="1"/>
  <c r="H1081" i="35"/>
  <c r="J1081" i="35" s="1"/>
  <c r="H1080" i="35"/>
  <c r="J1080" i="35" s="1"/>
  <c r="H1079" i="35"/>
  <c r="J1079" i="35" s="1"/>
  <c r="H1077" i="35"/>
  <c r="J1077" i="35" s="1"/>
  <c r="H1076" i="35"/>
  <c r="J1076" i="35" s="1"/>
  <c r="H1075" i="35"/>
  <c r="J1075" i="35" s="1"/>
  <c r="H1074" i="35"/>
  <c r="J1074" i="35" s="1"/>
  <c r="H1073" i="35"/>
  <c r="J1073" i="35" s="1"/>
  <c r="H1072" i="35"/>
  <c r="J1072" i="35" s="1"/>
  <c r="H1071" i="35"/>
  <c r="J1071" i="35" s="1"/>
  <c r="H1068" i="35"/>
  <c r="J1068" i="35" s="1"/>
  <c r="H1067" i="35"/>
  <c r="J1067" i="35" s="1"/>
  <c r="H1066" i="35"/>
  <c r="J1066" i="35" s="1"/>
  <c r="H1065" i="35"/>
  <c r="J1065" i="35" s="1"/>
  <c r="H1064" i="35"/>
  <c r="J1064" i="35" s="1"/>
  <c r="H1062" i="35"/>
  <c r="J1062" i="35" s="1"/>
  <c r="H1061" i="35"/>
  <c r="J1061" i="35" s="1"/>
  <c r="H1060" i="35"/>
  <c r="J1060" i="35" s="1"/>
  <c r="H1059" i="35"/>
  <c r="J1059" i="35" s="1"/>
  <c r="H1058" i="35"/>
  <c r="J1058" i="35" s="1"/>
  <c r="H1057" i="35"/>
  <c r="J1057" i="35" s="1"/>
  <c r="H1054" i="35"/>
  <c r="J1054" i="35" s="1"/>
  <c r="H1053" i="35"/>
  <c r="J1053" i="35" s="1"/>
  <c r="H1052" i="35"/>
  <c r="J1052" i="35" s="1"/>
  <c r="H1051" i="35"/>
  <c r="J1051" i="35" s="1"/>
  <c r="H1050" i="35"/>
  <c r="J1050" i="35" s="1"/>
  <c r="H1049" i="35"/>
  <c r="J1049" i="35" s="1"/>
  <c r="H1048" i="35"/>
  <c r="J1048" i="35" s="1"/>
  <c r="H1047" i="35"/>
  <c r="J1047" i="35" s="1"/>
  <c r="H1046" i="35"/>
  <c r="J1046" i="35" s="1"/>
  <c r="H1045" i="35"/>
  <c r="J1045" i="35" s="1"/>
  <c r="H1044" i="35"/>
  <c r="J1044" i="35" s="1"/>
  <c r="H1043" i="35"/>
  <c r="J1043" i="35" s="1"/>
  <c r="H1042" i="35"/>
  <c r="J1042" i="35" s="1"/>
  <c r="H1041" i="35"/>
  <c r="J1041" i="35" s="1"/>
  <c r="H1040" i="35"/>
  <c r="J1040" i="35" s="1"/>
  <c r="H1039" i="35"/>
  <c r="J1039" i="35" s="1"/>
  <c r="H1038" i="35"/>
  <c r="J1038" i="35" s="1"/>
  <c r="H1037" i="35"/>
  <c r="J1037" i="35" s="1"/>
  <c r="H1036" i="35"/>
  <c r="J1036" i="35" s="1"/>
  <c r="H1035" i="35"/>
  <c r="J1035" i="35" s="1"/>
  <c r="H1034" i="35"/>
  <c r="J1034" i="35" s="1"/>
  <c r="I1033" i="35"/>
  <c r="H1033" i="35"/>
  <c r="J1032" i="35"/>
  <c r="H1032" i="35"/>
  <c r="J1031" i="35"/>
  <c r="H1031" i="35"/>
  <c r="J1030" i="35"/>
  <c r="H1030" i="35"/>
  <c r="I1029" i="35"/>
  <c r="H1029" i="35"/>
  <c r="J1027" i="35"/>
  <c r="H1027" i="35"/>
  <c r="J1026" i="35"/>
  <c r="H1026" i="35"/>
  <c r="I1025" i="35"/>
  <c r="H1025" i="35"/>
  <c r="H1024" i="35"/>
  <c r="J1024" i="35" s="1"/>
  <c r="H1023" i="35"/>
  <c r="J1023" i="35" s="1"/>
  <c r="H1022" i="35"/>
  <c r="J1022" i="35" s="1"/>
  <c r="H1020" i="35"/>
  <c r="J1020" i="35" s="1"/>
  <c r="H1019" i="35"/>
  <c r="J1019" i="35" s="1"/>
  <c r="H1018" i="35"/>
  <c r="J1018" i="35" s="1"/>
  <c r="H1017" i="35"/>
  <c r="J1017" i="35" s="1"/>
  <c r="H1016" i="35"/>
  <c r="J1016" i="35" s="1"/>
  <c r="H1015" i="35"/>
  <c r="J1015" i="35" s="1"/>
  <c r="H1014" i="35"/>
  <c r="J1014" i="35" s="1"/>
  <c r="H1013" i="35"/>
  <c r="J1013" i="35" s="1"/>
  <c r="H1012" i="35"/>
  <c r="J1012" i="35" s="1"/>
  <c r="H1011" i="35"/>
  <c r="J1011" i="35" s="1"/>
  <c r="H1010" i="35"/>
  <c r="J1010" i="35" s="1"/>
  <c r="H1009" i="35"/>
  <c r="J1009" i="35" s="1"/>
  <c r="H1008" i="35"/>
  <c r="J1008" i="35" s="1"/>
  <c r="H1007" i="35"/>
  <c r="J1007" i="35" s="1"/>
  <c r="H1006" i="35"/>
  <c r="J1006" i="35" s="1"/>
  <c r="H1005" i="35"/>
  <c r="J1005" i="35" s="1"/>
  <c r="H1004" i="35"/>
  <c r="J1004" i="35" s="1"/>
  <c r="H1003" i="35"/>
  <c r="J1003" i="35" s="1"/>
  <c r="H1002" i="35"/>
  <c r="J1002" i="35" s="1"/>
  <c r="H1001" i="35"/>
  <c r="J1001" i="35" s="1"/>
  <c r="H1000" i="35"/>
  <c r="J1000" i="35" s="1"/>
  <c r="H999" i="35"/>
  <c r="J999" i="35" s="1"/>
  <c r="H998" i="35"/>
  <c r="J998" i="35" s="1"/>
  <c r="H997" i="35"/>
  <c r="J997" i="35" s="1"/>
  <c r="H996" i="35"/>
  <c r="J996" i="35" s="1"/>
  <c r="H995" i="35"/>
  <c r="J995" i="35" s="1"/>
  <c r="H994" i="35"/>
  <c r="J994" i="35" s="1"/>
  <c r="H993" i="35"/>
  <c r="J993" i="35" s="1"/>
  <c r="H992" i="35"/>
  <c r="J992" i="35" s="1"/>
  <c r="H991" i="35"/>
  <c r="J991" i="35" s="1"/>
  <c r="H990" i="35"/>
  <c r="J990" i="35" s="1"/>
  <c r="H989" i="35"/>
  <c r="J989" i="35" s="1"/>
  <c r="H988" i="35"/>
  <c r="J988" i="35" s="1"/>
  <c r="H987" i="35"/>
  <c r="J987" i="35" s="1"/>
  <c r="H986" i="35"/>
  <c r="J986" i="35" s="1"/>
  <c r="H985" i="35"/>
  <c r="J985" i="35" s="1"/>
  <c r="H984" i="35"/>
  <c r="J984" i="35" s="1"/>
  <c r="H983" i="35"/>
  <c r="J983" i="35" s="1"/>
  <c r="H982" i="35"/>
  <c r="J982" i="35" s="1"/>
  <c r="H981" i="35"/>
  <c r="J981" i="35" s="1"/>
  <c r="H980" i="35"/>
  <c r="J980" i="35" s="1"/>
  <c r="H979" i="35"/>
  <c r="J979" i="35" s="1"/>
  <c r="H978" i="35"/>
  <c r="J978" i="35" s="1"/>
  <c r="H977" i="35"/>
  <c r="J977" i="35" s="1"/>
  <c r="H976" i="35"/>
  <c r="J976" i="35" s="1"/>
  <c r="H975" i="35"/>
  <c r="J975" i="35" s="1"/>
  <c r="H974" i="35"/>
  <c r="J974" i="35" s="1"/>
  <c r="H973" i="35"/>
  <c r="J973" i="35" s="1"/>
  <c r="H972" i="35"/>
  <c r="J972" i="35" s="1"/>
  <c r="H971" i="35"/>
  <c r="J971" i="35" s="1"/>
  <c r="H970" i="35"/>
  <c r="J970" i="35" s="1"/>
  <c r="H969" i="35"/>
  <c r="J969" i="35" s="1"/>
  <c r="H968" i="35"/>
  <c r="J968" i="35" s="1"/>
  <c r="H967" i="35"/>
  <c r="J967" i="35" s="1"/>
  <c r="H966" i="35"/>
  <c r="J966" i="35" s="1"/>
  <c r="H965" i="35"/>
  <c r="J965" i="35" s="1"/>
  <c r="H964" i="35"/>
  <c r="J964" i="35" s="1"/>
  <c r="H963" i="35"/>
  <c r="J963" i="35" s="1"/>
  <c r="H962" i="35"/>
  <c r="J962" i="35" s="1"/>
  <c r="H961" i="35"/>
  <c r="J961" i="35" s="1"/>
  <c r="H960" i="35"/>
  <c r="J960" i="35" s="1"/>
  <c r="H959" i="35"/>
  <c r="J959" i="35" s="1"/>
  <c r="H958" i="35"/>
  <c r="J958" i="35" s="1"/>
  <c r="H957" i="35"/>
  <c r="J957" i="35" s="1"/>
  <c r="H956" i="35"/>
  <c r="J956" i="35" s="1"/>
  <c r="H955" i="35"/>
  <c r="J955" i="35" s="1"/>
  <c r="H954" i="35"/>
  <c r="J954" i="35" s="1"/>
  <c r="H953" i="35"/>
  <c r="J953" i="35" s="1"/>
  <c r="H952" i="35"/>
  <c r="J952" i="35" s="1"/>
  <c r="H951" i="35"/>
  <c r="J951" i="35" s="1"/>
  <c r="H950" i="35"/>
  <c r="J950" i="35" s="1"/>
  <c r="H949" i="35"/>
  <c r="J949" i="35" s="1"/>
  <c r="H948" i="35"/>
  <c r="J948" i="35" s="1"/>
  <c r="H947" i="35"/>
  <c r="J947" i="35" s="1"/>
  <c r="H946" i="35"/>
  <c r="J946" i="35" s="1"/>
  <c r="H945" i="35"/>
  <c r="J945" i="35" s="1"/>
  <c r="H944" i="35"/>
  <c r="J944" i="35" s="1"/>
  <c r="H943" i="35"/>
  <c r="J943" i="35" s="1"/>
  <c r="H942" i="35"/>
  <c r="J942" i="35" s="1"/>
  <c r="H941" i="35"/>
  <c r="J941" i="35" s="1"/>
  <c r="H940" i="35"/>
  <c r="J940" i="35" s="1"/>
  <c r="H939" i="35"/>
  <c r="J939" i="35" s="1"/>
  <c r="H938" i="35"/>
  <c r="J938" i="35" s="1"/>
  <c r="H937" i="35"/>
  <c r="J937" i="35" s="1"/>
  <c r="H936" i="35"/>
  <c r="J936" i="35" s="1"/>
  <c r="H935" i="35"/>
  <c r="J935" i="35" s="1"/>
  <c r="H934" i="35"/>
  <c r="J934" i="35" s="1"/>
  <c r="H933" i="35"/>
  <c r="J933" i="35" s="1"/>
  <c r="H932" i="35"/>
  <c r="J932" i="35" s="1"/>
  <c r="H931" i="35"/>
  <c r="J931" i="35" s="1"/>
  <c r="H930" i="35"/>
  <c r="J930" i="35" s="1"/>
  <c r="H929" i="35"/>
  <c r="J929" i="35" s="1"/>
  <c r="H928" i="35"/>
  <c r="J928" i="35" s="1"/>
  <c r="H927" i="35"/>
  <c r="J927" i="35" s="1"/>
  <c r="H926" i="35"/>
  <c r="J926" i="35" s="1"/>
  <c r="H925" i="35"/>
  <c r="J925" i="35" s="1"/>
  <c r="H924" i="35"/>
  <c r="J924" i="35" s="1"/>
  <c r="H923" i="35"/>
  <c r="J923" i="35" s="1"/>
  <c r="H922" i="35"/>
  <c r="J922" i="35" s="1"/>
  <c r="H921" i="35"/>
  <c r="J921" i="35" s="1"/>
  <c r="H920" i="35"/>
  <c r="J920" i="35" s="1"/>
  <c r="H919" i="35"/>
  <c r="J919" i="35" s="1"/>
  <c r="H918" i="35"/>
  <c r="J918" i="35" s="1"/>
  <c r="H917" i="35"/>
  <c r="J917" i="35" s="1"/>
  <c r="H916" i="35"/>
  <c r="J916" i="35" s="1"/>
  <c r="H915" i="35"/>
  <c r="J915" i="35" s="1"/>
  <c r="H914" i="35"/>
  <c r="J914" i="35" s="1"/>
  <c r="H913" i="35"/>
  <c r="J913" i="35" s="1"/>
  <c r="H912" i="35"/>
  <c r="J912" i="35" s="1"/>
  <c r="H911" i="35"/>
  <c r="J911" i="35" s="1"/>
  <c r="H910" i="35"/>
  <c r="J910" i="35" s="1"/>
  <c r="H909" i="35"/>
  <c r="J909" i="35" s="1"/>
  <c r="H908" i="35"/>
  <c r="J908" i="35" s="1"/>
  <c r="H907" i="35"/>
  <c r="J907" i="35" s="1"/>
  <c r="H906" i="35"/>
  <c r="J906" i="35" s="1"/>
  <c r="H905" i="35"/>
  <c r="J905" i="35" s="1"/>
  <c r="H904" i="35"/>
  <c r="J904" i="35" s="1"/>
  <c r="H903" i="35"/>
  <c r="J903" i="35" s="1"/>
  <c r="H902" i="35"/>
  <c r="J902" i="35" s="1"/>
  <c r="H901" i="35"/>
  <c r="J901" i="35" s="1"/>
  <c r="H900" i="35"/>
  <c r="J900" i="35" s="1"/>
  <c r="H899" i="35"/>
  <c r="J899" i="35" s="1"/>
  <c r="H898" i="35"/>
  <c r="J898" i="35" s="1"/>
  <c r="H897" i="35"/>
  <c r="J897" i="35" s="1"/>
  <c r="H896" i="35"/>
  <c r="J896" i="35" s="1"/>
  <c r="H895" i="35"/>
  <c r="J895" i="35" s="1"/>
  <c r="H894" i="35"/>
  <c r="J894" i="35" s="1"/>
  <c r="H893" i="35"/>
  <c r="J893" i="35" s="1"/>
  <c r="H892" i="35"/>
  <c r="J892" i="35" s="1"/>
  <c r="H891" i="35"/>
  <c r="J891" i="35" s="1"/>
  <c r="H890" i="35"/>
  <c r="J890" i="35" s="1"/>
  <c r="H883" i="35"/>
  <c r="J883" i="35" s="1"/>
  <c r="H882" i="35"/>
  <c r="J882" i="35" s="1"/>
  <c r="H881" i="35"/>
  <c r="J881" i="35" s="1"/>
  <c r="H880" i="35"/>
  <c r="J880" i="35" s="1"/>
  <c r="H879" i="35"/>
  <c r="J879" i="35" s="1"/>
  <c r="H878" i="35"/>
  <c r="J878" i="35" s="1"/>
  <c r="H877" i="35"/>
  <c r="J877" i="35" s="1"/>
  <c r="H876" i="35"/>
  <c r="J876" i="35" s="1"/>
  <c r="H875" i="35"/>
  <c r="J875" i="35" s="1"/>
  <c r="H874" i="35"/>
  <c r="J874" i="35" s="1"/>
  <c r="H873" i="35"/>
  <c r="J873" i="35" s="1"/>
  <c r="H872" i="35"/>
  <c r="J872" i="35" s="1"/>
  <c r="K884" i="35" s="1"/>
  <c r="H870" i="35"/>
  <c r="J870" i="35" s="1"/>
  <c r="H869" i="35"/>
  <c r="J869" i="35" s="1"/>
  <c r="H868" i="35"/>
  <c r="J868" i="35" s="1"/>
  <c r="H867" i="35"/>
  <c r="J867" i="35" s="1"/>
  <c r="H866" i="35"/>
  <c r="J866" i="35" s="1"/>
  <c r="H865" i="35"/>
  <c r="J865" i="35" s="1"/>
  <c r="H864" i="35"/>
  <c r="J864" i="35" s="1"/>
  <c r="H863" i="35"/>
  <c r="J863" i="35" s="1"/>
  <c r="H862" i="35"/>
  <c r="J862" i="35" s="1"/>
  <c r="H861" i="35"/>
  <c r="J861" i="35" s="1"/>
  <c r="H860" i="35"/>
  <c r="J860" i="35" s="1"/>
  <c r="H859" i="35"/>
  <c r="J859" i="35" s="1"/>
  <c r="H858" i="35"/>
  <c r="J858" i="35" s="1"/>
  <c r="H857" i="35"/>
  <c r="J857" i="35" s="1"/>
  <c r="H856" i="35"/>
  <c r="J856" i="35" s="1"/>
  <c r="H855" i="35"/>
  <c r="J855" i="35" s="1"/>
  <c r="H854" i="35"/>
  <c r="J854" i="35" s="1"/>
  <c r="H853" i="35"/>
  <c r="J853" i="35" s="1"/>
  <c r="H852" i="35"/>
  <c r="J852" i="35" s="1"/>
  <c r="H851" i="35"/>
  <c r="J851" i="35" s="1"/>
  <c r="H850" i="35"/>
  <c r="J850" i="35" s="1"/>
  <c r="H849" i="35"/>
  <c r="J849" i="35" s="1"/>
  <c r="H848" i="35"/>
  <c r="J848" i="35" s="1"/>
  <c r="H847" i="35"/>
  <c r="J847" i="35" s="1"/>
  <c r="H846" i="35"/>
  <c r="J846" i="35" s="1"/>
  <c r="H845" i="35"/>
  <c r="J845" i="35" s="1"/>
  <c r="H844" i="35"/>
  <c r="J844" i="35" s="1"/>
  <c r="H843" i="35"/>
  <c r="J843" i="35" s="1"/>
  <c r="H842" i="35"/>
  <c r="J842" i="35" s="1"/>
  <c r="H841" i="35"/>
  <c r="J841" i="35" s="1"/>
  <c r="H840" i="35"/>
  <c r="J840" i="35" s="1"/>
  <c r="H839" i="35"/>
  <c r="J839" i="35" s="1"/>
  <c r="H838" i="35"/>
  <c r="J838" i="35" s="1"/>
  <c r="H837" i="35"/>
  <c r="J837" i="35" s="1"/>
  <c r="H836" i="35"/>
  <c r="J836" i="35" s="1"/>
  <c r="I835" i="35"/>
  <c r="H835" i="35"/>
  <c r="J835" i="35" s="1"/>
  <c r="H832" i="35"/>
  <c r="J832" i="35" s="1"/>
  <c r="H831" i="35"/>
  <c r="J831" i="35" s="1"/>
  <c r="H830" i="35"/>
  <c r="J830" i="35" s="1"/>
  <c r="H829" i="35"/>
  <c r="J829" i="35" s="1"/>
  <c r="H828" i="35"/>
  <c r="J828" i="35" s="1"/>
  <c r="H827" i="35"/>
  <c r="J827" i="35" s="1"/>
  <c r="H826" i="35"/>
  <c r="J826" i="35" s="1"/>
  <c r="H822" i="35"/>
  <c r="J822" i="35" s="1"/>
  <c r="H821" i="35"/>
  <c r="J821" i="35" s="1"/>
  <c r="H820" i="35"/>
  <c r="J820" i="35" s="1"/>
  <c r="H819" i="35"/>
  <c r="J819" i="35" s="1"/>
  <c r="H818" i="35"/>
  <c r="J818" i="35" s="1"/>
  <c r="H817" i="35"/>
  <c r="J817" i="35" s="1"/>
  <c r="H815" i="35"/>
  <c r="J815" i="35" s="1"/>
  <c r="H814" i="35"/>
  <c r="J814" i="35" s="1"/>
  <c r="H813" i="35"/>
  <c r="J813" i="35" s="1"/>
  <c r="H812" i="35"/>
  <c r="J812" i="35" s="1"/>
  <c r="H811" i="35"/>
  <c r="J811" i="35" s="1"/>
  <c r="H807" i="35"/>
  <c r="J807" i="35" s="1"/>
  <c r="H806" i="35"/>
  <c r="J806" i="35" s="1"/>
  <c r="J805" i="35"/>
  <c r="H803" i="35"/>
  <c r="J803" i="35" s="1"/>
  <c r="H802" i="35"/>
  <c r="J802" i="35" s="1"/>
  <c r="H800" i="35"/>
  <c r="J800" i="35" s="1"/>
  <c r="H799" i="35"/>
  <c r="J799" i="35" s="1"/>
  <c r="H797" i="35"/>
  <c r="J797" i="35" s="1"/>
  <c r="H796" i="35"/>
  <c r="J796" i="35" s="1"/>
  <c r="H795" i="35"/>
  <c r="J795" i="35" s="1"/>
  <c r="H794" i="35"/>
  <c r="J794" i="35" s="1"/>
  <c r="H793" i="35"/>
  <c r="J793" i="35" s="1"/>
  <c r="H792" i="35"/>
  <c r="J792" i="35" s="1"/>
  <c r="H791" i="35"/>
  <c r="J791" i="35" s="1"/>
  <c r="H790" i="35"/>
  <c r="J790" i="35" s="1"/>
  <c r="J789" i="35"/>
  <c r="H789" i="35"/>
  <c r="J788" i="35"/>
  <c r="H788" i="35"/>
  <c r="J787" i="35"/>
  <c r="H787" i="35"/>
  <c r="J786" i="35"/>
  <c r="H786" i="35"/>
  <c r="H785" i="35"/>
  <c r="J785" i="35" s="1"/>
  <c r="H784" i="35"/>
  <c r="J784" i="35" s="1"/>
  <c r="H783" i="35"/>
  <c r="J783" i="35" s="1"/>
  <c r="J782" i="35"/>
  <c r="H782" i="35"/>
  <c r="J778" i="35"/>
  <c r="H778" i="35"/>
  <c r="J777" i="35"/>
  <c r="H777" i="35"/>
  <c r="J776" i="35"/>
  <c r="H776" i="35"/>
  <c r="J775" i="35"/>
  <c r="H775" i="35"/>
  <c r="J774" i="35"/>
  <c r="H774" i="35"/>
  <c r="J772" i="35"/>
  <c r="H772" i="35"/>
  <c r="H771" i="35"/>
  <c r="J771" i="35" s="1"/>
  <c r="H770" i="35"/>
  <c r="J770" i="35" s="1"/>
  <c r="H769" i="35"/>
  <c r="J769" i="35" s="1"/>
  <c r="J768" i="35"/>
  <c r="H768" i="35"/>
  <c r="H767" i="35"/>
  <c r="J767" i="35" s="1"/>
  <c r="H766" i="35"/>
  <c r="J766" i="35" s="1"/>
  <c r="H765" i="35"/>
  <c r="J765" i="35" s="1"/>
  <c r="H764" i="35"/>
  <c r="J764" i="35" s="1"/>
  <c r="H763" i="35"/>
  <c r="J763" i="35" s="1"/>
  <c r="H762" i="35"/>
  <c r="J762" i="35" s="1"/>
  <c r="H761" i="35"/>
  <c r="J761" i="35" s="1"/>
  <c r="H760" i="35"/>
  <c r="J760" i="35" s="1"/>
  <c r="H758" i="35"/>
  <c r="J758" i="35" s="1"/>
  <c r="H757" i="35"/>
  <c r="J757" i="35" s="1"/>
  <c r="J756" i="35"/>
  <c r="H756" i="35"/>
  <c r="H755" i="35"/>
  <c r="J755" i="35" s="1"/>
  <c r="H753" i="35"/>
  <c r="J753" i="35" s="1"/>
  <c r="H750" i="35"/>
  <c r="J750" i="35" s="1"/>
  <c r="H749" i="35"/>
  <c r="J749" i="35" s="1"/>
  <c r="H748" i="35"/>
  <c r="J748" i="35" s="1"/>
  <c r="H747" i="35"/>
  <c r="J747" i="35" s="1"/>
  <c r="H746" i="35"/>
  <c r="J746" i="35" s="1"/>
  <c r="H745" i="35"/>
  <c r="J745" i="35" s="1"/>
  <c r="H744" i="35"/>
  <c r="J744" i="35" s="1"/>
  <c r="H743" i="35"/>
  <c r="J743" i="35" s="1"/>
  <c r="H742" i="35"/>
  <c r="J742" i="35" s="1"/>
  <c r="H741" i="35"/>
  <c r="J741" i="35" s="1"/>
  <c r="H740" i="35"/>
  <c r="J740" i="35" s="1"/>
  <c r="H739" i="35"/>
  <c r="J739" i="35" s="1"/>
  <c r="H738" i="35"/>
  <c r="J738" i="35" s="1"/>
  <c r="H737" i="35"/>
  <c r="J737" i="35" s="1"/>
  <c r="H736" i="35"/>
  <c r="J736" i="35" s="1"/>
  <c r="H735" i="35"/>
  <c r="J735" i="35" s="1"/>
  <c r="H734" i="35"/>
  <c r="J734" i="35" s="1"/>
  <c r="H733" i="35"/>
  <c r="J733" i="35" s="1"/>
  <c r="H732" i="35"/>
  <c r="J732" i="35" s="1"/>
  <c r="H731" i="35"/>
  <c r="J731" i="35" s="1"/>
  <c r="H730" i="35"/>
  <c r="J730" i="35" s="1"/>
  <c r="H729" i="35"/>
  <c r="J729" i="35" s="1"/>
  <c r="J728" i="35"/>
  <c r="H728" i="35"/>
  <c r="H726" i="35"/>
  <c r="J726" i="35" s="1"/>
  <c r="H725" i="35"/>
  <c r="J725" i="35" s="1"/>
  <c r="H724" i="35"/>
  <c r="J724" i="35" s="1"/>
  <c r="H723" i="35"/>
  <c r="J723" i="35" s="1"/>
  <c r="H722" i="35"/>
  <c r="J722" i="35" s="1"/>
  <c r="H721" i="35"/>
  <c r="J721" i="35" s="1"/>
  <c r="H720" i="35"/>
  <c r="J720" i="35" s="1"/>
  <c r="H719" i="35"/>
  <c r="J719" i="35" s="1"/>
  <c r="H718" i="35"/>
  <c r="J718" i="35" s="1"/>
  <c r="H717" i="35"/>
  <c r="J717" i="35" s="1"/>
  <c r="H716" i="35"/>
  <c r="J716" i="35" s="1"/>
  <c r="H715" i="35"/>
  <c r="J715" i="35" s="1"/>
  <c r="H714" i="35"/>
  <c r="J714" i="35" s="1"/>
  <c r="H713" i="35"/>
  <c r="H709" i="35"/>
  <c r="J709" i="35" s="1"/>
  <c r="H708" i="35"/>
  <c r="J708" i="35" s="1"/>
  <c r="H707" i="35"/>
  <c r="J707" i="35" s="1"/>
  <c r="H706" i="35"/>
  <c r="J706" i="35" s="1"/>
  <c r="H705" i="35"/>
  <c r="J705" i="35" s="1"/>
  <c r="H704" i="35"/>
  <c r="J704" i="35" s="1"/>
  <c r="H703" i="35"/>
  <c r="J703" i="35" s="1"/>
  <c r="H702" i="35"/>
  <c r="J702" i="35" s="1"/>
  <c r="H701" i="35"/>
  <c r="J701" i="35" s="1"/>
  <c r="H696" i="35"/>
  <c r="J696" i="35" s="1"/>
  <c r="H695" i="35"/>
  <c r="J695" i="35" s="1"/>
  <c r="H694" i="35"/>
  <c r="J694" i="35" s="1"/>
  <c r="H693" i="35"/>
  <c r="J693" i="35" s="1"/>
  <c r="H692" i="35"/>
  <c r="J692" i="35" s="1"/>
  <c r="H691" i="35"/>
  <c r="J691" i="35" s="1"/>
  <c r="H690" i="35"/>
  <c r="J690" i="35" s="1"/>
  <c r="H689" i="35"/>
  <c r="J689" i="35" s="1"/>
  <c r="H688" i="35"/>
  <c r="J688" i="35" s="1"/>
  <c r="H687" i="35"/>
  <c r="J687" i="35" s="1"/>
  <c r="H686" i="35"/>
  <c r="J686" i="35" s="1"/>
  <c r="H685" i="35"/>
  <c r="J685" i="35" s="1"/>
  <c r="H684" i="35"/>
  <c r="J684" i="35" s="1"/>
  <c r="H683" i="35"/>
  <c r="J683" i="35" s="1"/>
  <c r="H682" i="35"/>
  <c r="J682" i="35" s="1"/>
  <c r="H681" i="35"/>
  <c r="J681" i="35" s="1"/>
  <c r="H680" i="35"/>
  <c r="J680" i="35" s="1"/>
  <c r="H679" i="35"/>
  <c r="J679" i="35" s="1"/>
  <c r="H678" i="35"/>
  <c r="J678" i="35" s="1"/>
  <c r="H677" i="35"/>
  <c r="J677" i="35" s="1"/>
  <c r="H676" i="35"/>
  <c r="J676" i="35" s="1"/>
  <c r="H675" i="35"/>
  <c r="J675" i="35" s="1"/>
  <c r="H674" i="35"/>
  <c r="J674" i="35" s="1"/>
  <c r="H673" i="35"/>
  <c r="J673" i="35" s="1"/>
  <c r="H672" i="35"/>
  <c r="J672" i="35" s="1"/>
  <c r="H671" i="35"/>
  <c r="J671" i="35" s="1"/>
  <c r="H670" i="35"/>
  <c r="J670" i="35" s="1"/>
  <c r="H669" i="35"/>
  <c r="J669" i="35" s="1"/>
  <c r="H668" i="35"/>
  <c r="J668" i="35" s="1"/>
  <c r="H667" i="35"/>
  <c r="J667" i="35" s="1"/>
  <c r="H666" i="35"/>
  <c r="J666" i="35" s="1"/>
  <c r="H665" i="35"/>
  <c r="J665" i="35" s="1"/>
  <c r="H664" i="35"/>
  <c r="J664" i="35" s="1"/>
  <c r="H663" i="35"/>
  <c r="J663" i="35" s="1"/>
  <c r="H662" i="35"/>
  <c r="J662" i="35" s="1"/>
  <c r="H661" i="35"/>
  <c r="J661" i="35" s="1"/>
  <c r="H660" i="35"/>
  <c r="J660" i="35" s="1"/>
  <c r="H659" i="35"/>
  <c r="J659" i="35" s="1"/>
  <c r="H658" i="35"/>
  <c r="J658" i="35" s="1"/>
  <c r="H657" i="35"/>
  <c r="J657" i="35" s="1"/>
  <c r="H656" i="35"/>
  <c r="J656" i="35" s="1"/>
  <c r="H654" i="35"/>
  <c r="J654" i="35" s="1"/>
  <c r="H652" i="35"/>
  <c r="J652" i="35" s="1"/>
  <c r="H651" i="35"/>
  <c r="J651" i="35" s="1"/>
  <c r="H650" i="35"/>
  <c r="J650" i="35" s="1"/>
  <c r="H649" i="35"/>
  <c r="J649" i="35" s="1"/>
  <c r="H648" i="35"/>
  <c r="J648" i="35" s="1"/>
  <c r="H647" i="35"/>
  <c r="J647" i="35" s="1"/>
  <c r="H645" i="35"/>
  <c r="J645" i="35" s="1"/>
  <c r="H644" i="35"/>
  <c r="J644" i="35" s="1"/>
  <c r="H643" i="35"/>
  <c r="J643" i="35" s="1"/>
  <c r="H642" i="35"/>
  <c r="J642" i="35" s="1"/>
  <c r="H641" i="35"/>
  <c r="J641" i="35" s="1"/>
  <c r="H640" i="35"/>
  <c r="J640" i="35" s="1"/>
  <c r="H639" i="35"/>
  <c r="J639" i="35" s="1"/>
  <c r="H638" i="35"/>
  <c r="J638" i="35" s="1"/>
  <c r="H637" i="35"/>
  <c r="J637" i="35" s="1"/>
  <c r="H636" i="35"/>
  <c r="J636" i="35" s="1"/>
  <c r="H635" i="35"/>
  <c r="J635" i="35" s="1"/>
  <c r="H634" i="35"/>
  <c r="J634" i="35" s="1"/>
  <c r="H633" i="35"/>
  <c r="J633" i="35" s="1"/>
  <c r="H632" i="35"/>
  <c r="J632" i="35" s="1"/>
  <c r="H631" i="35"/>
  <c r="J631" i="35" s="1"/>
  <c r="H630" i="35"/>
  <c r="J630" i="35" s="1"/>
  <c r="H629" i="35"/>
  <c r="J629" i="35" s="1"/>
  <c r="H628" i="35"/>
  <c r="J628" i="35" s="1"/>
  <c r="H625" i="35"/>
  <c r="J625" i="35" s="1"/>
  <c r="H623" i="35"/>
  <c r="J623" i="35" s="1"/>
  <c r="H621" i="35"/>
  <c r="J621" i="35" s="1"/>
  <c r="H620" i="35"/>
  <c r="J620" i="35" s="1"/>
  <c r="H619" i="35"/>
  <c r="J619" i="35" s="1"/>
  <c r="H618" i="35"/>
  <c r="J618" i="35" s="1"/>
  <c r="H617" i="35"/>
  <c r="J617" i="35" s="1"/>
  <c r="H616" i="35"/>
  <c r="J616" i="35" s="1"/>
  <c r="H615" i="35"/>
  <c r="J615" i="35" s="1"/>
  <c r="H614" i="35"/>
  <c r="J614" i="35" s="1"/>
  <c r="H613" i="35"/>
  <c r="J613" i="35" s="1"/>
  <c r="H612" i="35"/>
  <c r="J612" i="35" s="1"/>
  <c r="H610" i="35"/>
  <c r="J610" i="35" s="1"/>
  <c r="H609" i="35"/>
  <c r="J609" i="35" s="1"/>
  <c r="J608" i="35"/>
  <c r="H608" i="35"/>
  <c r="H607" i="35"/>
  <c r="J607" i="35" s="1"/>
  <c r="H606" i="35"/>
  <c r="J606" i="35" s="1"/>
  <c r="J605" i="35"/>
  <c r="H605" i="35"/>
  <c r="J603" i="35"/>
  <c r="H603" i="35"/>
  <c r="H602" i="35"/>
  <c r="J602" i="35" s="1"/>
  <c r="H601" i="35"/>
  <c r="J601" i="35" s="1"/>
  <c r="H600" i="35"/>
  <c r="J600" i="35" s="1"/>
  <c r="J599" i="35"/>
  <c r="H599" i="35"/>
  <c r="H598" i="35"/>
  <c r="J598" i="35" s="1"/>
  <c r="H597" i="35"/>
  <c r="J597" i="35" s="1"/>
  <c r="H596" i="35"/>
  <c r="J596" i="35" s="1"/>
  <c r="J595" i="35"/>
  <c r="H595" i="35"/>
  <c r="H594" i="35"/>
  <c r="J594" i="35" s="1"/>
  <c r="H593" i="35"/>
  <c r="J593" i="35" s="1"/>
  <c r="H592" i="35"/>
  <c r="J592" i="35" s="1"/>
  <c r="J591" i="35"/>
  <c r="H591" i="35"/>
  <c r="H590" i="35"/>
  <c r="J590" i="35" s="1"/>
  <c r="H589" i="35"/>
  <c r="J589" i="35" s="1"/>
  <c r="H588" i="35"/>
  <c r="J588" i="35" s="1"/>
  <c r="H587" i="35"/>
  <c r="J587" i="35" s="1"/>
  <c r="H586" i="35"/>
  <c r="J586" i="35" s="1"/>
  <c r="H584" i="35"/>
  <c r="J584" i="35" s="1"/>
  <c r="J583" i="35"/>
  <c r="H583" i="35"/>
  <c r="H582" i="35"/>
  <c r="J582" i="35" s="1"/>
  <c r="H581" i="35"/>
  <c r="J581" i="35" s="1"/>
  <c r="H580" i="35"/>
  <c r="J580" i="35" s="1"/>
  <c r="J579" i="35"/>
  <c r="H579" i="35"/>
  <c r="H578" i="35"/>
  <c r="J578" i="35" s="1"/>
  <c r="H577" i="35"/>
  <c r="J577" i="35" s="1"/>
  <c r="H575" i="35"/>
  <c r="J575" i="35" s="1"/>
  <c r="H574" i="35"/>
  <c r="J574" i="35" s="1"/>
  <c r="H573" i="35"/>
  <c r="J573" i="35" s="1"/>
  <c r="H572" i="35"/>
  <c r="J572" i="35" s="1"/>
  <c r="H571" i="35"/>
  <c r="J571" i="35" s="1"/>
  <c r="H570" i="35"/>
  <c r="J570" i="35" s="1"/>
  <c r="H569" i="35"/>
  <c r="J569" i="35" s="1"/>
  <c r="H568" i="35"/>
  <c r="J568" i="35" s="1"/>
  <c r="J567" i="35"/>
  <c r="H567" i="35"/>
  <c r="I566" i="35"/>
  <c r="H566" i="35"/>
  <c r="J565" i="35"/>
  <c r="I565" i="35"/>
  <c r="H565" i="35"/>
  <c r="H564" i="35"/>
  <c r="J564" i="35" s="1"/>
  <c r="H563" i="35"/>
  <c r="J563" i="35" s="1"/>
  <c r="H562" i="35"/>
  <c r="J562" i="35" s="1"/>
  <c r="H561" i="35"/>
  <c r="J561" i="35" s="1"/>
  <c r="H560" i="35"/>
  <c r="J560" i="35" s="1"/>
  <c r="H559" i="35"/>
  <c r="J559" i="35" s="1"/>
  <c r="H558" i="35"/>
  <c r="J558" i="35" s="1"/>
  <c r="H557" i="35"/>
  <c r="J557" i="35" s="1"/>
  <c r="H556" i="35"/>
  <c r="J556" i="35" s="1"/>
  <c r="H554" i="35"/>
  <c r="J554" i="35" s="1"/>
  <c r="H553" i="35"/>
  <c r="J553" i="35" s="1"/>
  <c r="I552" i="35"/>
  <c r="H552" i="35"/>
  <c r="I551" i="35"/>
  <c r="H551" i="35"/>
  <c r="J551" i="35" s="1"/>
  <c r="H550" i="35"/>
  <c r="J550" i="35" s="1"/>
  <c r="H549" i="35"/>
  <c r="J549" i="35" s="1"/>
  <c r="H548" i="35"/>
  <c r="J548" i="35" s="1"/>
  <c r="H547" i="35"/>
  <c r="J547" i="35" s="1"/>
  <c r="I546" i="35"/>
  <c r="J546" i="35" s="1"/>
  <c r="H546" i="35"/>
  <c r="I545" i="35"/>
  <c r="H545" i="35"/>
  <c r="I544" i="35"/>
  <c r="H544" i="35"/>
  <c r="I543" i="35"/>
  <c r="H543" i="35"/>
  <c r="J543" i="35" s="1"/>
  <c r="I542" i="35"/>
  <c r="H542" i="35"/>
  <c r="I541" i="35"/>
  <c r="H541" i="35"/>
  <c r="J541" i="35" s="1"/>
  <c r="I540" i="35"/>
  <c r="H540" i="35"/>
  <c r="I539" i="35"/>
  <c r="H539" i="35"/>
  <c r="J539" i="35" s="1"/>
  <c r="I538" i="35"/>
  <c r="H538" i="35"/>
  <c r="I537" i="35"/>
  <c r="H537" i="35"/>
  <c r="J537" i="35" s="1"/>
  <c r="H536" i="35"/>
  <c r="J536" i="35" s="1"/>
  <c r="H535" i="35"/>
  <c r="J535" i="35" s="1"/>
  <c r="H534" i="35"/>
  <c r="J534" i="35" s="1"/>
  <c r="H533" i="35"/>
  <c r="J533" i="35" s="1"/>
  <c r="H532" i="35"/>
  <c r="J532" i="35" s="1"/>
  <c r="H531" i="35"/>
  <c r="J531" i="35" s="1"/>
  <c r="H530" i="35"/>
  <c r="J530" i="35" s="1"/>
  <c r="H529" i="35"/>
  <c r="J529" i="35" s="1"/>
  <c r="H528" i="35"/>
  <c r="J528" i="35" s="1"/>
  <c r="J526" i="35"/>
  <c r="H526" i="35"/>
  <c r="H525" i="35"/>
  <c r="J525" i="35" s="1"/>
  <c r="H524" i="35"/>
  <c r="J524" i="35" s="1"/>
  <c r="H523" i="35"/>
  <c r="J523" i="35" s="1"/>
  <c r="H522" i="35"/>
  <c r="J522" i="35" s="1"/>
  <c r="H521" i="35"/>
  <c r="J521" i="35" s="1"/>
  <c r="H520" i="35"/>
  <c r="J520" i="35" s="1"/>
  <c r="H519" i="35"/>
  <c r="J519" i="35" s="1"/>
  <c r="H518" i="35"/>
  <c r="J518" i="35" s="1"/>
  <c r="H517" i="35"/>
  <c r="J517" i="35" s="1"/>
  <c r="H516" i="35"/>
  <c r="J516" i="35" s="1"/>
  <c r="H515" i="35"/>
  <c r="J515" i="35" s="1"/>
  <c r="H514" i="35"/>
  <c r="J514" i="35" s="1"/>
  <c r="H513" i="35"/>
  <c r="J513" i="35" s="1"/>
  <c r="H511" i="35"/>
  <c r="J511" i="35" s="1"/>
  <c r="H510" i="35"/>
  <c r="J510" i="35" s="1"/>
  <c r="J509" i="35"/>
  <c r="H509" i="35"/>
  <c r="H508" i="35"/>
  <c r="J508" i="35" s="1"/>
  <c r="H507" i="35"/>
  <c r="J507" i="35" s="1"/>
  <c r="H506" i="35"/>
  <c r="J506" i="35" s="1"/>
  <c r="H505" i="35"/>
  <c r="J505" i="35" s="1"/>
  <c r="H504" i="35"/>
  <c r="J504" i="35" s="1"/>
  <c r="H501" i="35"/>
  <c r="J501" i="35" s="1"/>
  <c r="H500" i="35"/>
  <c r="J500" i="35" s="1"/>
  <c r="H499" i="35"/>
  <c r="J499" i="35" s="1"/>
  <c r="H498" i="35"/>
  <c r="J498" i="35" s="1"/>
  <c r="H497" i="35"/>
  <c r="J497" i="35" s="1"/>
  <c r="H496" i="35"/>
  <c r="J496" i="35" s="1"/>
  <c r="H495" i="35"/>
  <c r="J495" i="35" s="1"/>
  <c r="H494" i="35"/>
  <c r="J494" i="35" s="1"/>
  <c r="H492" i="35"/>
  <c r="J492" i="35" s="1"/>
  <c r="H491" i="35"/>
  <c r="J491" i="35" s="1"/>
  <c r="J490" i="35"/>
  <c r="H490" i="35"/>
  <c r="H489" i="35"/>
  <c r="J489" i="35" s="1"/>
  <c r="H488" i="35"/>
  <c r="J488" i="35" s="1"/>
  <c r="H486" i="35"/>
  <c r="J486" i="35" s="1"/>
  <c r="H484" i="35"/>
  <c r="J484" i="35" s="1"/>
  <c r="H483" i="35"/>
  <c r="J483" i="35" s="1"/>
  <c r="I482" i="35"/>
  <c r="H482" i="35"/>
  <c r="I481" i="35"/>
  <c r="J481" i="35" s="1"/>
  <c r="H481" i="35"/>
  <c r="I480" i="35"/>
  <c r="H480" i="35"/>
  <c r="J479" i="35"/>
  <c r="H479" i="35"/>
  <c r="H478" i="35"/>
  <c r="J478" i="35" s="1"/>
  <c r="H477" i="35"/>
  <c r="J477" i="35" s="1"/>
  <c r="H476" i="35"/>
  <c r="J476" i="35" s="1"/>
  <c r="J475" i="35"/>
  <c r="H475" i="35"/>
  <c r="H474" i="35"/>
  <c r="J474" i="35" s="1"/>
  <c r="H473" i="35"/>
  <c r="J473" i="35" s="1"/>
  <c r="H472" i="35"/>
  <c r="J472" i="35" s="1"/>
  <c r="J471" i="35"/>
  <c r="H471" i="35"/>
  <c r="H470" i="35"/>
  <c r="J470" i="35" s="1"/>
  <c r="H469" i="35"/>
  <c r="J469" i="35" s="1"/>
  <c r="H468" i="35"/>
  <c r="J468" i="35" s="1"/>
  <c r="J467" i="35"/>
  <c r="H467" i="35"/>
  <c r="H466" i="35"/>
  <c r="J466" i="35" s="1"/>
  <c r="H465" i="35"/>
  <c r="J465" i="35" s="1"/>
  <c r="H464" i="35"/>
  <c r="J464" i="35" s="1"/>
  <c r="J463" i="35"/>
  <c r="H463" i="35"/>
  <c r="H462" i="35"/>
  <c r="J462" i="35" s="1"/>
  <c r="H461" i="35"/>
  <c r="J461" i="35" s="1"/>
  <c r="H460" i="35"/>
  <c r="J460" i="35" s="1"/>
  <c r="J459" i="35"/>
  <c r="H459" i="35"/>
  <c r="H458" i="35"/>
  <c r="J458" i="35" s="1"/>
  <c r="H457" i="35"/>
  <c r="J457" i="35" s="1"/>
  <c r="H456" i="35"/>
  <c r="J456" i="35" s="1"/>
  <c r="J455" i="35"/>
  <c r="H455" i="35"/>
  <c r="H454" i="35"/>
  <c r="J454" i="35" s="1"/>
  <c r="H453" i="35"/>
  <c r="J453" i="35" s="1"/>
  <c r="H452" i="35"/>
  <c r="J452" i="35" s="1"/>
  <c r="J451" i="35"/>
  <c r="H451" i="35"/>
  <c r="H450" i="35"/>
  <c r="J450" i="35" s="1"/>
  <c r="H449" i="35"/>
  <c r="J449" i="35" s="1"/>
  <c r="H447" i="35"/>
  <c r="J447" i="35" s="1"/>
  <c r="J446" i="35"/>
  <c r="H446" i="35"/>
  <c r="H445" i="35"/>
  <c r="J445" i="35" s="1"/>
  <c r="H444" i="35"/>
  <c r="J444" i="35" s="1"/>
  <c r="H443" i="35"/>
  <c r="J443" i="35" s="1"/>
  <c r="J441" i="35"/>
  <c r="H441" i="35"/>
  <c r="H440" i="35"/>
  <c r="J440" i="35" s="1"/>
  <c r="H439" i="35"/>
  <c r="J439" i="35" s="1"/>
  <c r="H438" i="35"/>
  <c r="J438" i="35" s="1"/>
  <c r="J437" i="35"/>
  <c r="H437" i="35"/>
  <c r="H436" i="35"/>
  <c r="J436" i="35" s="1"/>
  <c r="H435" i="35"/>
  <c r="J435" i="35" s="1"/>
  <c r="H434" i="35"/>
  <c r="J434" i="35" s="1"/>
  <c r="J433" i="35"/>
  <c r="H433" i="35"/>
  <c r="H432" i="35"/>
  <c r="J432" i="35" s="1"/>
  <c r="H431" i="35"/>
  <c r="J431" i="35" s="1"/>
  <c r="H430" i="35"/>
  <c r="J430" i="35" s="1"/>
  <c r="J429" i="35"/>
  <c r="H429" i="35"/>
  <c r="H428" i="35"/>
  <c r="J428" i="35" s="1"/>
  <c r="H427" i="35"/>
  <c r="J427" i="35" s="1"/>
  <c r="H426" i="35"/>
  <c r="J426" i="35" s="1"/>
  <c r="J425" i="35"/>
  <c r="H425" i="35"/>
  <c r="H424" i="35"/>
  <c r="J424" i="35" s="1"/>
  <c r="H423" i="35"/>
  <c r="J423" i="35" s="1"/>
  <c r="H422" i="35"/>
  <c r="J422" i="35" s="1"/>
  <c r="J421" i="35"/>
  <c r="H421" i="35"/>
  <c r="H420" i="35"/>
  <c r="J420" i="35" s="1"/>
  <c r="H419" i="35"/>
  <c r="J419" i="35" s="1"/>
  <c r="H418" i="35"/>
  <c r="J418" i="35" s="1"/>
  <c r="J417" i="35"/>
  <c r="H417" i="35"/>
  <c r="H416" i="35"/>
  <c r="J416" i="35" s="1"/>
  <c r="H415" i="35"/>
  <c r="J415" i="35" s="1"/>
  <c r="H414" i="35"/>
  <c r="J414" i="35" s="1"/>
  <c r="H413" i="35"/>
  <c r="J413" i="35" s="1"/>
  <c r="H412" i="35"/>
  <c r="J412" i="35" s="1"/>
  <c r="H411" i="35"/>
  <c r="J411" i="35" s="1"/>
  <c r="H410" i="35"/>
  <c r="J410" i="35" s="1"/>
  <c r="H409" i="35"/>
  <c r="J409" i="35" s="1"/>
  <c r="H408" i="35"/>
  <c r="J408" i="35" s="1"/>
  <c r="H407" i="35"/>
  <c r="J407" i="35" s="1"/>
  <c r="H404" i="35"/>
  <c r="J404" i="35" s="1"/>
  <c r="H403" i="35"/>
  <c r="J403" i="35" s="1"/>
  <c r="H402" i="35"/>
  <c r="J402" i="35" s="1"/>
  <c r="H401" i="35"/>
  <c r="J401" i="35" s="1"/>
  <c r="H400" i="35"/>
  <c r="J400" i="35" s="1"/>
  <c r="H399" i="35"/>
  <c r="J399" i="35" s="1"/>
  <c r="H398" i="35"/>
  <c r="J398" i="35" s="1"/>
  <c r="H397" i="35"/>
  <c r="J397" i="35" s="1"/>
  <c r="H396" i="35"/>
  <c r="J396" i="35" s="1"/>
  <c r="H395" i="35"/>
  <c r="J395" i="35" s="1"/>
  <c r="H394" i="35"/>
  <c r="J394" i="35" s="1"/>
  <c r="H393" i="35"/>
  <c r="J393" i="35" s="1"/>
  <c r="H392" i="35"/>
  <c r="J392" i="35" s="1"/>
  <c r="H390" i="35"/>
  <c r="J390" i="35" s="1"/>
  <c r="H389" i="35"/>
  <c r="J389" i="35" s="1"/>
  <c r="H388" i="35"/>
  <c r="J388" i="35" s="1"/>
  <c r="H387" i="35"/>
  <c r="J387" i="35" s="1"/>
  <c r="H386" i="35"/>
  <c r="J386" i="35" s="1"/>
  <c r="H385" i="35"/>
  <c r="J385" i="35" s="1"/>
  <c r="H384" i="35"/>
  <c r="J384" i="35" s="1"/>
  <c r="H383" i="35"/>
  <c r="J383" i="35" s="1"/>
  <c r="H382" i="35"/>
  <c r="J382" i="35" s="1"/>
  <c r="H381" i="35"/>
  <c r="J381" i="35" s="1"/>
  <c r="H380" i="35"/>
  <c r="J380" i="35" s="1"/>
  <c r="H379" i="35"/>
  <c r="J379" i="35" s="1"/>
  <c r="H378" i="35"/>
  <c r="J378" i="35" s="1"/>
  <c r="H377" i="35"/>
  <c r="J377" i="35" s="1"/>
  <c r="H376" i="35"/>
  <c r="J376" i="35" s="1"/>
  <c r="H375" i="35"/>
  <c r="J375" i="35" s="1"/>
  <c r="H374" i="35"/>
  <c r="J374" i="35" s="1"/>
  <c r="H373" i="35"/>
  <c r="J373" i="35" s="1"/>
  <c r="H372" i="35"/>
  <c r="J372" i="35" s="1"/>
  <c r="H371" i="35"/>
  <c r="J371" i="35" s="1"/>
  <c r="H370" i="35"/>
  <c r="J370" i="35" s="1"/>
  <c r="H369" i="35"/>
  <c r="J369" i="35" s="1"/>
  <c r="H368" i="35"/>
  <c r="J368" i="35" s="1"/>
  <c r="H367" i="35"/>
  <c r="J367" i="35" s="1"/>
  <c r="H366" i="35"/>
  <c r="J366" i="35" s="1"/>
  <c r="H365" i="35"/>
  <c r="J365" i="35" s="1"/>
  <c r="H364" i="35"/>
  <c r="J364" i="35" s="1"/>
  <c r="H363" i="35"/>
  <c r="J363" i="35" s="1"/>
  <c r="H362" i="35"/>
  <c r="J362" i="35" s="1"/>
  <c r="H361" i="35"/>
  <c r="J361" i="35" s="1"/>
  <c r="H360" i="35"/>
  <c r="J360" i="35" s="1"/>
  <c r="H359" i="35"/>
  <c r="J359" i="35" s="1"/>
  <c r="H358" i="35"/>
  <c r="J358" i="35" s="1"/>
  <c r="H357" i="35"/>
  <c r="J357" i="35" s="1"/>
  <c r="H356" i="35"/>
  <c r="J356" i="35" s="1"/>
  <c r="H355" i="35"/>
  <c r="J355" i="35" s="1"/>
  <c r="H354" i="35"/>
  <c r="J354" i="35" s="1"/>
  <c r="H353" i="35"/>
  <c r="J353" i="35" s="1"/>
  <c r="H352" i="35"/>
  <c r="J352" i="35" s="1"/>
  <c r="H351" i="35"/>
  <c r="J351" i="35" s="1"/>
  <c r="H350" i="35"/>
  <c r="J350" i="35" s="1"/>
  <c r="H349" i="35"/>
  <c r="J349" i="35" s="1"/>
  <c r="H348" i="35"/>
  <c r="J348" i="35" s="1"/>
  <c r="H347" i="35"/>
  <c r="J347" i="35" s="1"/>
  <c r="H346" i="35"/>
  <c r="J346" i="35" s="1"/>
  <c r="H345" i="35"/>
  <c r="J345" i="35" s="1"/>
  <c r="H344" i="35"/>
  <c r="J344" i="35" s="1"/>
  <c r="H342" i="35"/>
  <c r="J342" i="35" s="1"/>
  <c r="H341" i="35"/>
  <c r="J341" i="35" s="1"/>
  <c r="H340" i="35"/>
  <c r="J340" i="35" s="1"/>
  <c r="H339" i="35"/>
  <c r="J339" i="35" s="1"/>
  <c r="H338" i="35"/>
  <c r="J338" i="35" s="1"/>
  <c r="H337" i="35"/>
  <c r="J337" i="35" s="1"/>
  <c r="H336" i="35"/>
  <c r="J336" i="35" s="1"/>
  <c r="H335" i="35"/>
  <c r="J335" i="35" s="1"/>
  <c r="H334" i="35"/>
  <c r="J334" i="35" s="1"/>
  <c r="H333" i="35"/>
  <c r="J333" i="35" s="1"/>
  <c r="H332" i="35"/>
  <c r="J332" i="35" s="1"/>
  <c r="H331" i="35"/>
  <c r="J331" i="35" s="1"/>
  <c r="H330" i="35"/>
  <c r="J330" i="35" s="1"/>
  <c r="H329" i="35"/>
  <c r="J329" i="35" s="1"/>
  <c r="H328" i="35"/>
  <c r="J328" i="35" s="1"/>
  <c r="H327" i="35"/>
  <c r="J327" i="35" s="1"/>
  <c r="J326" i="35"/>
  <c r="H326" i="35"/>
  <c r="H325" i="35"/>
  <c r="J325" i="35" s="1"/>
  <c r="H323" i="35"/>
  <c r="J323" i="35" s="1"/>
  <c r="H322" i="35"/>
  <c r="J322" i="35" s="1"/>
  <c r="H321" i="35"/>
  <c r="J321" i="35" s="1"/>
  <c r="H320" i="35"/>
  <c r="J320" i="35" s="1"/>
  <c r="H319" i="35"/>
  <c r="J319" i="35" s="1"/>
  <c r="H318" i="35"/>
  <c r="J318" i="35" s="1"/>
  <c r="J317" i="35"/>
  <c r="H317" i="35"/>
  <c r="H316" i="35"/>
  <c r="J316" i="35" s="1"/>
  <c r="H315" i="35"/>
  <c r="J315" i="35" s="1"/>
  <c r="H314" i="35"/>
  <c r="J314" i="35" s="1"/>
  <c r="H313" i="35"/>
  <c r="J313" i="35" s="1"/>
  <c r="H312" i="35"/>
  <c r="J312" i="35" s="1"/>
  <c r="H311" i="35"/>
  <c r="J311" i="35" s="1"/>
  <c r="H310" i="35"/>
  <c r="J310" i="35" s="1"/>
  <c r="J309" i="35"/>
  <c r="H309" i="35"/>
  <c r="H308" i="35"/>
  <c r="J308" i="35" s="1"/>
  <c r="H307" i="35"/>
  <c r="J307" i="35" s="1"/>
  <c r="H306" i="35"/>
  <c r="J306" i="35" s="1"/>
  <c r="H305" i="35"/>
  <c r="J305" i="35" s="1"/>
  <c r="H304" i="35"/>
  <c r="J304" i="35" s="1"/>
  <c r="H303" i="35"/>
  <c r="J303" i="35" s="1"/>
  <c r="H302" i="35"/>
  <c r="J302" i="35" s="1"/>
  <c r="J301" i="35"/>
  <c r="H301" i="35"/>
  <c r="H300" i="35"/>
  <c r="J300" i="35" s="1"/>
  <c r="H299" i="35"/>
  <c r="J299" i="35" s="1"/>
  <c r="H298" i="35"/>
  <c r="J298" i="35" s="1"/>
  <c r="H297" i="35"/>
  <c r="J297" i="35" s="1"/>
  <c r="H296" i="35"/>
  <c r="J296" i="35" s="1"/>
  <c r="H295" i="35"/>
  <c r="J295" i="35" s="1"/>
  <c r="H294" i="35"/>
  <c r="J294" i="35" s="1"/>
  <c r="J293" i="35"/>
  <c r="H293" i="35"/>
  <c r="H292" i="35"/>
  <c r="J292" i="35" s="1"/>
  <c r="H291" i="35"/>
  <c r="J291" i="35" s="1"/>
  <c r="H290" i="35"/>
  <c r="J290" i="35" s="1"/>
  <c r="H289" i="35"/>
  <c r="J289" i="35" s="1"/>
  <c r="H288" i="35"/>
  <c r="J288" i="35" s="1"/>
  <c r="H287" i="35"/>
  <c r="J287" i="35" s="1"/>
  <c r="H286" i="35"/>
  <c r="J286" i="35" s="1"/>
  <c r="J285" i="35"/>
  <c r="H285" i="35"/>
  <c r="H284" i="35"/>
  <c r="J284" i="35" s="1"/>
  <c r="H283" i="35"/>
  <c r="J283" i="35" s="1"/>
  <c r="H282" i="35"/>
  <c r="J282" i="35" s="1"/>
  <c r="H281" i="35"/>
  <c r="J281" i="35" s="1"/>
  <c r="H280" i="35"/>
  <c r="J280" i="35" s="1"/>
  <c r="H279" i="35"/>
  <c r="J279" i="35" s="1"/>
  <c r="H278" i="35"/>
  <c r="J278" i="35" s="1"/>
  <c r="J277" i="35"/>
  <c r="H277" i="35"/>
  <c r="H276" i="35"/>
  <c r="J276" i="35" s="1"/>
  <c r="H275" i="35"/>
  <c r="J275" i="35" s="1"/>
  <c r="H274" i="35"/>
  <c r="J274" i="35" s="1"/>
  <c r="H273" i="35"/>
  <c r="J273" i="35" s="1"/>
  <c r="H272" i="35"/>
  <c r="J272" i="35" s="1"/>
  <c r="H271" i="35"/>
  <c r="J271" i="35" s="1"/>
  <c r="H270" i="35"/>
  <c r="J270" i="35" s="1"/>
  <c r="J269" i="35"/>
  <c r="H269" i="35"/>
  <c r="H268" i="35"/>
  <c r="J268" i="35" s="1"/>
  <c r="H267" i="35"/>
  <c r="J267" i="35" s="1"/>
  <c r="H266" i="35"/>
  <c r="J266" i="35" s="1"/>
  <c r="H265" i="35"/>
  <c r="J265" i="35" s="1"/>
  <c r="H264" i="35"/>
  <c r="J264" i="35" s="1"/>
  <c r="H263" i="35"/>
  <c r="J263" i="35" s="1"/>
  <c r="H262" i="35"/>
  <c r="J262" i="35" s="1"/>
  <c r="J261" i="35"/>
  <c r="H261" i="35"/>
  <c r="H260" i="35"/>
  <c r="J260" i="35" s="1"/>
  <c r="H259" i="35"/>
  <c r="J259" i="35" s="1"/>
  <c r="H258" i="35"/>
  <c r="J258" i="35" s="1"/>
  <c r="H257" i="35"/>
  <c r="J257" i="35" s="1"/>
  <c r="H256" i="35"/>
  <c r="J256" i="35" s="1"/>
  <c r="H255" i="35"/>
  <c r="J255" i="35" s="1"/>
  <c r="H254" i="35"/>
  <c r="J254" i="35" s="1"/>
  <c r="J253" i="35"/>
  <c r="H253" i="35"/>
  <c r="H252" i="35"/>
  <c r="J252" i="35" s="1"/>
  <c r="H251" i="35"/>
  <c r="J251" i="35" s="1"/>
  <c r="H250" i="35"/>
  <c r="J250" i="35" s="1"/>
  <c r="H249" i="35"/>
  <c r="J249" i="35" s="1"/>
  <c r="H248" i="35"/>
  <c r="J248" i="35" s="1"/>
  <c r="H247" i="35"/>
  <c r="J247" i="35" s="1"/>
  <c r="H246" i="35"/>
  <c r="J246" i="35" s="1"/>
  <c r="J245" i="35"/>
  <c r="H245" i="35"/>
  <c r="H244" i="35"/>
  <c r="J244" i="35" s="1"/>
  <c r="H243" i="35"/>
  <c r="J243" i="35" s="1"/>
  <c r="H242" i="35"/>
  <c r="J242" i="35" s="1"/>
  <c r="H241" i="35"/>
  <c r="J241" i="35" s="1"/>
  <c r="H240" i="35"/>
  <c r="J240" i="35" s="1"/>
  <c r="H239" i="35"/>
  <c r="J239" i="35" s="1"/>
  <c r="H238" i="35"/>
  <c r="J238" i="35" s="1"/>
  <c r="J237" i="35"/>
  <c r="H237" i="35"/>
  <c r="H236" i="35"/>
  <c r="J236" i="35" s="1"/>
  <c r="H235" i="35"/>
  <c r="J235" i="35" s="1"/>
  <c r="H234" i="35"/>
  <c r="J234" i="35" s="1"/>
  <c r="H233" i="35"/>
  <c r="J233" i="35" s="1"/>
  <c r="H232" i="35"/>
  <c r="J232" i="35" s="1"/>
  <c r="H231" i="35"/>
  <c r="J231" i="35" s="1"/>
  <c r="H230" i="35"/>
  <c r="J230" i="35" s="1"/>
  <c r="J229" i="35"/>
  <c r="H229" i="35"/>
  <c r="H228" i="35"/>
  <c r="J228" i="35" s="1"/>
  <c r="H227" i="35"/>
  <c r="J227" i="35" s="1"/>
  <c r="H226" i="35"/>
  <c r="J226" i="35" s="1"/>
  <c r="H225" i="35"/>
  <c r="J225" i="35" s="1"/>
  <c r="H224" i="35"/>
  <c r="J224" i="35" s="1"/>
  <c r="H223" i="35"/>
  <c r="J223" i="35" s="1"/>
  <c r="H222" i="35"/>
  <c r="J222" i="35" s="1"/>
  <c r="J221" i="35"/>
  <c r="H221" i="35"/>
  <c r="H220" i="35"/>
  <c r="J220" i="35" s="1"/>
  <c r="H219" i="35"/>
  <c r="J219" i="35" s="1"/>
  <c r="H218" i="35"/>
  <c r="J218" i="35" s="1"/>
  <c r="H217" i="35"/>
  <c r="J217" i="35" s="1"/>
  <c r="H215" i="35"/>
  <c r="J215" i="35" s="1"/>
  <c r="H212" i="35"/>
  <c r="J212" i="35" s="1"/>
  <c r="H211" i="35"/>
  <c r="J211" i="35" s="1"/>
  <c r="H210" i="35"/>
  <c r="J210" i="35" s="1"/>
  <c r="H209" i="35"/>
  <c r="J209" i="35" s="1"/>
  <c r="H208" i="35"/>
  <c r="J208" i="35" s="1"/>
  <c r="H207" i="35"/>
  <c r="J207" i="35" s="1"/>
  <c r="J206" i="35"/>
  <c r="H206" i="35"/>
  <c r="H205" i="35"/>
  <c r="J205" i="35" s="1"/>
  <c r="H204" i="35"/>
  <c r="J204" i="35" s="1"/>
  <c r="H203" i="35"/>
  <c r="J203" i="35" s="1"/>
  <c r="H202" i="35"/>
  <c r="J202" i="35" s="1"/>
  <c r="H201" i="35"/>
  <c r="J201" i="35" s="1"/>
  <c r="H199" i="35"/>
  <c r="J199" i="35" s="1"/>
  <c r="H198" i="35"/>
  <c r="J198" i="35" s="1"/>
  <c r="H197" i="35"/>
  <c r="J197" i="35" s="1"/>
  <c r="H196" i="35"/>
  <c r="J196" i="35" s="1"/>
  <c r="H194" i="35"/>
  <c r="J194" i="35" s="1"/>
  <c r="J193" i="35"/>
  <c r="H193" i="35"/>
  <c r="H192" i="35"/>
  <c r="J192" i="35" s="1"/>
  <c r="H191" i="35"/>
  <c r="J191" i="35" s="1"/>
  <c r="H190" i="35"/>
  <c r="J190" i="35" s="1"/>
  <c r="H189" i="35"/>
  <c r="J189" i="35" s="1"/>
  <c r="H188" i="35"/>
  <c r="J188" i="35" s="1"/>
  <c r="H187" i="35"/>
  <c r="J187" i="35" s="1"/>
  <c r="H186" i="35"/>
  <c r="J186" i="35" s="1"/>
  <c r="H185" i="35"/>
  <c r="J185" i="35" s="1"/>
  <c r="H184" i="35"/>
  <c r="J184" i="35" s="1"/>
  <c r="H183" i="35"/>
  <c r="J183" i="35" s="1"/>
  <c r="H182" i="35"/>
  <c r="J182" i="35" s="1"/>
  <c r="H181" i="35"/>
  <c r="J181" i="35" s="1"/>
  <c r="H180" i="35"/>
  <c r="J180" i="35" s="1"/>
  <c r="H179" i="35"/>
  <c r="J179" i="35" s="1"/>
  <c r="H178" i="35"/>
  <c r="J178" i="35" s="1"/>
  <c r="J177" i="35"/>
  <c r="H177" i="35"/>
  <c r="H176" i="35"/>
  <c r="J176" i="35" s="1"/>
  <c r="H175" i="35"/>
  <c r="J175" i="35" s="1"/>
  <c r="H174" i="35"/>
  <c r="J174" i="35" s="1"/>
  <c r="H173" i="35"/>
  <c r="J173" i="35" s="1"/>
  <c r="H172" i="35"/>
  <c r="J172" i="35" s="1"/>
  <c r="H171" i="35"/>
  <c r="J171" i="35" s="1"/>
  <c r="H170" i="35"/>
  <c r="J170" i="35" s="1"/>
  <c r="H169" i="35"/>
  <c r="J169" i="35" s="1"/>
  <c r="H168" i="35"/>
  <c r="J168" i="35" s="1"/>
  <c r="H167" i="35"/>
  <c r="J167" i="35" s="1"/>
  <c r="H166" i="35"/>
  <c r="J166" i="35" s="1"/>
  <c r="H165" i="35"/>
  <c r="J165" i="35" s="1"/>
  <c r="H164" i="35"/>
  <c r="J164" i="35" s="1"/>
  <c r="H163" i="35"/>
  <c r="J163" i="35" s="1"/>
  <c r="H162" i="35"/>
  <c r="J162" i="35" s="1"/>
  <c r="J161" i="35"/>
  <c r="H161" i="35"/>
  <c r="H160" i="35"/>
  <c r="J160" i="35" s="1"/>
  <c r="H159" i="35"/>
  <c r="J159" i="35" s="1"/>
  <c r="H156" i="35"/>
  <c r="J156" i="35" s="1"/>
  <c r="H153" i="35"/>
  <c r="J153" i="35" s="1"/>
  <c r="H152" i="35"/>
  <c r="J152" i="35" s="1"/>
  <c r="H151" i="35"/>
  <c r="J151" i="35" s="1"/>
  <c r="H150" i="35"/>
  <c r="J150" i="35" s="1"/>
  <c r="H149" i="35"/>
  <c r="J149" i="35" s="1"/>
  <c r="H148" i="35"/>
  <c r="J148" i="35" s="1"/>
  <c r="H147" i="35"/>
  <c r="J147" i="35" s="1"/>
  <c r="H145" i="35"/>
  <c r="J145" i="35" s="1"/>
  <c r="H144" i="35"/>
  <c r="J144" i="35" s="1"/>
  <c r="H143" i="35"/>
  <c r="J143" i="35" s="1"/>
  <c r="H142" i="35"/>
  <c r="J142" i="35" s="1"/>
  <c r="H141" i="35"/>
  <c r="J141" i="35" s="1"/>
  <c r="J140" i="35"/>
  <c r="H140" i="35"/>
  <c r="H139" i="35"/>
  <c r="J139" i="35" s="1"/>
  <c r="H138" i="35"/>
  <c r="J138" i="35" s="1"/>
  <c r="H137" i="35"/>
  <c r="J137" i="35" s="1"/>
  <c r="H136" i="35"/>
  <c r="J136" i="35" s="1"/>
  <c r="H135" i="35"/>
  <c r="J135" i="35" s="1"/>
  <c r="H134" i="35"/>
  <c r="J134" i="35" s="1"/>
  <c r="H133" i="35"/>
  <c r="J133" i="35" s="1"/>
  <c r="H132" i="35"/>
  <c r="J132" i="35" s="1"/>
  <c r="H131" i="35"/>
  <c r="J131" i="35" s="1"/>
  <c r="H130" i="35"/>
  <c r="J130" i="35" s="1"/>
  <c r="H129" i="35"/>
  <c r="J129" i="35" s="1"/>
  <c r="H128" i="35"/>
  <c r="J128" i="35" s="1"/>
  <c r="H127" i="35"/>
  <c r="J127" i="35" s="1"/>
  <c r="H126" i="35"/>
  <c r="J126" i="35" s="1"/>
  <c r="H125" i="35"/>
  <c r="J125" i="35" s="1"/>
  <c r="J124" i="35"/>
  <c r="H124" i="35"/>
  <c r="H123" i="35"/>
  <c r="J123" i="35" s="1"/>
  <c r="H122" i="35"/>
  <c r="J122" i="35" s="1"/>
  <c r="H121" i="35"/>
  <c r="J121" i="35" s="1"/>
  <c r="H120" i="35"/>
  <c r="J120" i="35" s="1"/>
  <c r="H118" i="35"/>
  <c r="J118" i="35" s="1"/>
  <c r="H117" i="35"/>
  <c r="J117" i="35" s="1"/>
  <c r="H116" i="35"/>
  <c r="J116" i="35" s="1"/>
  <c r="H115" i="35"/>
  <c r="J115" i="35" s="1"/>
  <c r="H114" i="35"/>
  <c r="J114" i="35" s="1"/>
  <c r="H113" i="35"/>
  <c r="J113" i="35" s="1"/>
  <c r="H112" i="35"/>
  <c r="J112" i="35" s="1"/>
  <c r="H111" i="35"/>
  <c r="J111" i="35" s="1"/>
  <c r="H110" i="35"/>
  <c r="J110" i="35" s="1"/>
  <c r="H109" i="35"/>
  <c r="J109" i="35" s="1"/>
  <c r="H108" i="35"/>
  <c r="J108" i="35" s="1"/>
  <c r="J106" i="35"/>
  <c r="H106" i="35"/>
  <c r="H105" i="35"/>
  <c r="J105" i="35" s="1"/>
  <c r="H104" i="35"/>
  <c r="J104" i="35" s="1"/>
  <c r="H103" i="35"/>
  <c r="J103" i="35" s="1"/>
  <c r="H102" i="35"/>
  <c r="J102" i="35" s="1"/>
  <c r="H101" i="35"/>
  <c r="J101" i="35" s="1"/>
  <c r="H100" i="35"/>
  <c r="J100" i="35" s="1"/>
  <c r="H99" i="35"/>
  <c r="J99" i="35" s="1"/>
  <c r="H98" i="35"/>
  <c r="J98" i="35" s="1"/>
  <c r="H97" i="35"/>
  <c r="J97" i="35" s="1"/>
  <c r="J96" i="35"/>
  <c r="H96" i="35"/>
  <c r="H95" i="35"/>
  <c r="J95" i="35" s="1"/>
  <c r="H94" i="35"/>
  <c r="J94" i="35" s="1"/>
  <c r="H93" i="35"/>
  <c r="J93" i="35" s="1"/>
  <c r="J92" i="35"/>
  <c r="H92" i="35"/>
  <c r="H91" i="35"/>
  <c r="J91" i="35" s="1"/>
  <c r="H90" i="35"/>
  <c r="J90" i="35" s="1"/>
  <c r="H88" i="35"/>
  <c r="J88" i="35" s="1"/>
  <c r="H87" i="35"/>
  <c r="J87" i="35" s="1"/>
  <c r="H85" i="35"/>
  <c r="J85" i="35" s="1"/>
  <c r="H84" i="35"/>
  <c r="J84" i="35" s="1"/>
  <c r="H83" i="35"/>
  <c r="J83" i="35" s="1"/>
  <c r="H82" i="35"/>
  <c r="J82" i="35" s="1"/>
  <c r="H81" i="35"/>
  <c r="J81" i="35" s="1"/>
  <c r="I80" i="35"/>
  <c r="H80" i="35"/>
  <c r="J79" i="35"/>
  <c r="H79" i="35"/>
  <c r="H78" i="35"/>
  <c r="J78" i="35" s="1"/>
  <c r="H76" i="35"/>
  <c r="J76" i="35" s="1"/>
  <c r="H75" i="35"/>
  <c r="J75" i="35" s="1"/>
  <c r="H74" i="35"/>
  <c r="J74" i="35" s="1"/>
  <c r="H73" i="35"/>
  <c r="J73" i="35" s="1"/>
  <c r="H72" i="35"/>
  <c r="J72" i="35" s="1"/>
  <c r="H71" i="35"/>
  <c r="J71" i="35" s="1"/>
  <c r="H70" i="35"/>
  <c r="J70" i="35" s="1"/>
  <c r="H69" i="35"/>
  <c r="J69" i="35" s="1"/>
  <c r="H68" i="35"/>
  <c r="J68" i="35" s="1"/>
  <c r="H66" i="35"/>
  <c r="J66" i="35" s="1"/>
  <c r="H65" i="35"/>
  <c r="J65" i="35" s="1"/>
  <c r="H64" i="35"/>
  <c r="J64" i="35" s="1"/>
  <c r="H63" i="35"/>
  <c r="J63" i="35" s="1"/>
  <c r="H62" i="35"/>
  <c r="J62" i="35" s="1"/>
  <c r="H61" i="35"/>
  <c r="J61" i="35" s="1"/>
  <c r="H60" i="35"/>
  <c r="J60" i="35" s="1"/>
  <c r="H59" i="35"/>
  <c r="J59" i="35" s="1"/>
  <c r="H58" i="35"/>
  <c r="J58" i="35" s="1"/>
  <c r="H57" i="35"/>
  <c r="J57" i="35" s="1"/>
  <c r="H56" i="35"/>
  <c r="J56" i="35" s="1"/>
  <c r="H55" i="35"/>
  <c r="J55" i="35" s="1"/>
  <c r="H54" i="35"/>
  <c r="J54" i="35" s="1"/>
  <c r="H53" i="35"/>
  <c r="J53" i="35" s="1"/>
  <c r="H46" i="35"/>
  <c r="J46" i="35" s="1"/>
  <c r="H45" i="35"/>
  <c r="J45" i="35" s="1"/>
  <c r="J42" i="35"/>
  <c r="H42" i="35"/>
  <c r="J38" i="35"/>
  <c r="H37" i="35"/>
  <c r="J37" i="35" s="1"/>
  <c r="H36" i="35"/>
  <c r="J36" i="35" s="1"/>
  <c r="K43" i="35" s="1"/>
  <c r="H34" i="35"/>
  <c r="J34" i="35" s="1"/>
  <c r="H33" i="35"/>
  <c r="J33" i="35" s="1"/>
  <c r="H31" i="35"/>
  <c r="J31" i="35" s="1"/>
  <c r="H30" i="35"/>
  <c r="J30" i="35" s="1"/>
  <c r="H28" i="35"/>
  <c r="J28" i="35" s="1"/>
  <c r="H27" i="35"/>
  <c r="J27" i="35" s="1"/>
  <c r="I26" i="35"/>
  <c r="H26" i="35"/>
  <c r="J26" i="35" s="1"/>
  <c r="H25" i="35"/>
  <c r="J25" i="35" s="1"/>
  <c r="H24" i="35"/>
  <c r="J24" i="35" s="1"/>
  <c r="H23" i="35"/>
  <c r="J23" i="35" s="1"/>
  <c r="H22" i="35"/>
  <c r="J22" i="35" s="1"/>
  <c r="H21" i="35"/>
  <c r="J21" i="35" s="1"/>
  <c r="J19" i="35"/>
  <c r="H19" i="35"/>
  <c r="H18" i="35"/>
  <c r="J18" i="35" s="1"/>
  <c r="H17" i="35"/>
  <c r="J17" i="35" s="1"/>
  <c r="H16" i="35"/>
  <c r="J16" i="35" s="1"/>
  <c r="J15" i="35"/>
  <c r="H15" i="35"/>
  <c r="H14" i="35"/>
  <c r="J14" i="35" s="1"/>
  <c r="H13" i="35"/>
  <c r="J13" i="35" s="1"/>
  <c r="K200" i="35" l="1"/>
  <c r="K1327" i="35"/>
  <c r="K1078" i="35"/>
  <c r="K35" i="35"/>
  <c r="J80" i="35"/>
  <c r="J482" i="35"/>
  <c r="K576" i="35" s="1"/>
  <c r="J545" i="35"/>
  <c r="J566" i="35"/>
  <c r="J1025" i="35"/>
  <c r="K1028" i="35" s="1"/>
  <c r="J1102" i="35"/>
  <c r="K1104" i="35" s="1"/>
  <c r="K1344" i="35"/>
  <c r="J480" i="35"/>
  <c r="J538" i="35"/>
  <c r="J542" i="35"/>
  <c r="J544" i="35"/>
  <c r="J1029" i="35"/>
  <c r="J1033" i="35"/>
  <c r="K1063" i="35" s="1"/>
  <c r="J1257" i="35"/>
  <c r="K32" i="35"/>
  <c r="K195" i="35"/>
  <c r="K29" i="35"/>
  <c r="K77" i="35"/>
  <c r="K89" i="35"/>
  <c r="K604" i="35"/>
  <c r="K20" i="35"/>
  <c r="K808" i="35"/>
  <c r="J540" i="35"/>
  <c r="J552" i="35"/>
  <c r="K585" i="35"/>
  <c r="K1021" i="35"/>
  <c r="K871" i="35"/>
  <c r="K1096" i="35"/>
  <c r="K1296" i="35"/>
  <c r="K1408" i="35"/>
  <c r="J1162" i="35"/>
  <c r="K1244" i="35" s="1"/>
  <c r="K1262" i="35"/>
  <c r="K1308" i="35"/>
  <c r="K1337" i="35"/>
  <c r="K1250" i="35"/>
  <c r="K1268" i="35"/>
  <c r="J1423" i="35" l="1"/>
  <c r="K1423" i="35"/>
  <c r="I1904" i="33" l="1"/>
  <c r="K1904" i="33" s="1"/>
  <c r="I1903" i="33"/>
  <c r="K1903" i="33" s="1"/>
  <c r="K1902" i="33"/>
  <c r="I1902" i="33"/>
  <c r="I1901" i="33"/>
  <c r="K1901" i="33" s="1"/>
  <c r="I1900" i="33"/>
  <c r="K1900" i="33" s="1"/>
  <c r="I1899" i="33"/>
  <c r="K1899" i="33" s="1"/>
  <c r="K1898" i="33"/>
  <c r="I1898" i="33"/>
  <c r="I1897" i="33"/>
  <c r="I1896" i="33"/>
  <c r="K1895" i="33"/>
  <c r="I1895" i="33"/>
  <c r="I1894" i="33"/>
  <c r="K1894" i="33" s="1"/>
  <c r="I1893" i="33"/>
  <c r="K1893" i="33" s="1"/>
  <c r="I1892" i="33"/>
  <c r="K1892" i="33" s="1"/>
  <c r="I1891" i="33"/>
  <c r="I1890" i="33"/>
  <c r="K1890" i="33" s="1"/>
  <c r="K1889" i="33"/>
  <c r="I1889" i="33"/>
  <c r="I1888" i="33"/>
  <c r="K1888" i="33" s="1"/>
  <c r="K1887" i="33"/>
  <c r="I1887" i="33"/>
  <c r="I1886" i="33"/>
  <c r="K1886" i="33" s="1"/>
  <c r="K1885" i="33"/>
  <c r="I1885" i="33"/>
  <c r="I1884" i="33"/>
  <c r="K1884" i="33" s="1"/>
  <c r="I1883" i="33"/>
  <c r="K1883" i="33" s="1"/>
  <c r="I1882" i="33"/>
  <c r="K1882" i="33" s="1"/>
  <c r="K1881" i="33"/>
  <c r="I1881" i="33"/>
  <c r="I1880" i="33"/>
  <c r="K1880" i="33" s="1"/>
  <c r="I1879" i="33"/>
  <c r="K1879" i="33" s="1"/>
  <c r="I1878" i="33"/>
  <c r="K1878" i="33" s="1"/>
  <c r="K1877" i="33"/>
  <c r="I1877" i="33"/>
  <c r="I1876" i="33"/>
  <c r="K1876" i="33" s="1"/>
  <c r="I1875" i="33"/>
  <c r="I1874" i="33"/>
  <c r="I1873" i="33"/>
  <c r="K1873" i="33" s="1"/>
  <c r="K1872" i="33"/>
  <c r="I1872" i="33"/>
  <c r="I1871" i="33"/>
  <c r="K1871" i="33" s="1"/>
  <c r="I1870" i="33"/>
  <c r="K1870" i="33" s="1"/>
  <c r="I1869" i="33"/>
  <c r="K1869" i="33" s="1"/>
  <c r="K1868" i="33"/>
  <c r="I1868" i="33"/>
  <c r="I1867" i="33"/>
  <c r="K1867" i="33" s="1"/>
  <c r="I1866" i="33"/>
  <c r="K1866" i="33" s="1"/>
  <c r="I1865" i="33"/>
  <c r="K1865" i="33" s="1"/>
  <c r="K1864" i="33"/>
  <c r="I1864" i="33"/>
  <c r="I1863" i="33"/>
  <c r="K1863" i="33" s="1"/>
  <c r="I1862" i="33"/>
  <c r="K1862" i="33" s="1"/>
  <c r="I1861" i="33"/>
  <c r="K1861" i="33" s="1"/>
  <c r="K1860" i="33"/>
  <c r="I1860" i="33"/>
  <c r="I1859" i="33"/>
  <c r="K1859" i="33" s="1"/>
  <c r="I1858" i="33"/>
  <c r="K1858" i="33" s="1"/>
  <c r="I1857" i="33"/>
  <c r="K1857" i="33" s="1"/>
  <c r="K1856" i="33"/>
  <c r="I1856" i="33"/>
  <c r="I1855" i="33"/>
  <c r="K1855" i="33" s="1"/>
  <c r="I1854" i="33"/>
  <c r="K1854" i="33" s="1"/>
  <c r="I1853" i="33"/>
  <c r="K1853" i="33" s="1"/>
  <c r="K1852" i="33"/>
  <c r="I1852" i="33"/>
  <c r="I1851" i="33"/>
  <c r="K1851" i="33" s="1"/>
  <c r="I1850" i="33"/>
  <c r="K1850" i="33" s="1"/>
  <c r="I1849" i="33"/>
  <c r="K1849" i="33" s="1"/>
  <c r="K1848" i="33"/>
  <c r="I1848" i="33"/>
  <c r="I1847" i="33"/>
  <c r="K1847" i="33" s="1"/>
  <c r="I1846" i="33"/>
  <c r="K1846" i="33" s="1"/>
  <c r="I1845" i="33"/>
  <c r="K1845" i="33" s="1"/>
  <c r="K1844" i="33"/>
  <c r="I1844" i="33"/>
  <c r="I1843" i="33"/>
  <c r="K1843" i="33" s="1"/>
  <c r="I1842" i="33"/>
  <c r="K1842" i="33" s="1"/>
  <c r="I1841" i="33"/>
  <c r="K1841" i="33" s="1"/>
  <c r="K1840" i="33"/>
  <c r="I1840" i="33"/>
  <c r="I1839" i="33"/>
  <c r="K1839" i="33" s="1"/>
  <c r="I1838" i="33"/>
  <c r="K1838" i="33" s="1"/>
  <c r="I1837" i="33"/>
  <c r="K1837" i="33" s="1"/>
  <c r="K1836" i="33"/>
  <c r="I1836" i="33"/>
  <c r="I1835" i="33"/>
  <c r="K1835" i="33" s="1"/>
  <c r="I1834" i="33"/>
  <c r="K1834" i="33" s="1"/>
  <c r="I1833" i="33"/>
  <c r="K1833" i="33" s="1"/>
  <c r="K1832" i="33"/>
  <c r="I1832" i="33"/>
  <c r="I1831" i="33"/>
  <c r="K1831" i="33" s="1"/>
  <c r="I1830" i="33"/>
  <c r="K1830" i="33" s="1"/>
  <c r="I1829" i="33"/>
  <c r="K1829" i="33" s="1"/>
  <c r="K1828" i="33"/>
  <c r="I1828" i="33"/>
  <c r="I1827" i="33"/>
  <c r="K1827" i="33" s="1"/>
  <c r="I1826" i="33"/>
  <c r="K1826" i="33" s="1"/>
  <c r="I1825" i="33"/>
  <c r="K1825" i="33" s="1"/>
  <c r="K1824" i="33"/>
  <c r="I1824" i="33"/>
  <c r="I1823" i="33"/>
  <c r="K1823" i="33" s="1"/>
  <c r="I1822" i="33"/>
  <c r="K1822" i="33" s="1"/>
  <c r="I1821" i="33"/>
  <c r="K1821" i="33" s="1"/>
  <c r="K1820" i="33"/>
  <c r="I1820" i="33"/>
  <c r="I1819" i="33"/>
  <c r="K1819" i="33" s="1"/>
  <c r="I1818" i="33"/>
  <c r="K1818" i="33" s="1"/>
  <c r="I1817" i="33"/>
  <c r="K1817" i="33" s="1"/>
  <c r="K1816" i="33"/>
  <c r="I1816" i="33"/>
  <c r="I1815" i="33"/>
  <c r="I1814" i="33"/>
  <c r="K1814" i="33" s="1"/>
  <c r="I1813" i="33"/>
  <c r="K1813" i="33" s="1"/>
  <c r="K1812" i="33"/>
  <c r="I1812" i="33"/>
  <c r="I1811" i="33"/>
  <c r="K1811" i="33" s="1"/>
  <c r="I1810" i="33"/>
  <c r="K1810" i="33" s="1"/>
  <c r="I1809" i="33"/>
  <c r="K1809" i="33" s="1"/>
  <c r="K1808" i="33"/>
  <c r="I1808" i="33"/>
  <c r="I1807" i="33"/>
  <c r="I1806" i="33"/>
  <c r="K1806" i="33" s="1"/>
  <c r="I1805" i="33"/>
  <c r="K1805" i="33" s="1"/>
  <c r="H1804" i="33"/>
  <c r="G1804" i="33"/>
  <c r="F1804" i="33"/>
  <c r="E1804" i="33"/>
  <c r="I1803" i="33"/>
  <c r="K1803" i="33" s="1"/>
  <c r="I1802" i="33"/>
  <c r="I1801" i="33"/>
  <c r="I1800" i="33"/>
  <c r="I1799" i="33"/>
  <c r="I1798" i="33"/>
  <c r="I1797" i="33"/>
  <c r="I1796" i="33"/>
  <c r="K1796" i="33" s="1"/>
  <c r="K1795" i="33"/>
  <c r="I1795" i="33"/>
  <c r="I1794" i="33"/>
  <c r="K1794" i="33" s="1"/>
  <c r="I1793" i="33"/>
  <c r="K1793" i="33" s="1"/>
  <c r="I1792" i="33"/>
  <c r="K1792" i="33" s="1"/>
  <c r="K1791" i="33"/>
  <c r="I1791" i="33"/>
  <c r="I1790" i="33"/>
  <c r="I1789" i="33"/>
  <c r="I1788" i="33"/>
  <c r="I1787" i="33"/>
  <c r="I1786" i="33"/>
  <c r="I1785" i="33"/>
  <c r="K1784" i="33"/>
  <c r="I1784" i="33"/>
  <c r="I1783" i="33"/>
  <c r="K1783" i="33" s="1"/>
  <c r="I1782" i="33"/>
  <c r="K1782" i="33" s="1"/>
  <c r="I1781" i="33"/>
  <c r="K1781" i="33" s="1"/>
  <c r="K1780" i="33"/>
  <c r="I1780" i="33"/>
  <c r="I1779" i="33"/>
  <c r="K1779" i="33" s="1"/>
  <c r="I1778" i="33"/>
  <c r="K1778" i="33" s="1"/>
  <c r="I1777" i="33"/>
  <c r="K1777" i="33" s="1"/>
  <c r="J1776" i="33"/>
  <c r="I1776" i="33"/>
  <c r="K1776" i="33" s="1"/>
  <c r="I1775" i="33"/>
  <c r="K1775" i="33" s="1"/>
  <c r="I1774" i="33"/>
  <c r="K1774" i="33" s="1"/>
  <c r="K1773" i="33"/>
  <c r="I1773" i="33"/>
  <c r="I1772" i="33"/>
  <c r="I1771" i="33"/>
  <c r="K1771" i="33" s="1"/>
  <c r="I1770" i="33"/>
  <c r="I1769" i="33"/>
  <c r="I1768" i="33"/>
  <c r="K1768" i="33" s="1"/>
  <c r="I1767" i="33"/>
  <c r="K1767" i="33" s="1"/>
  <c r="K1766" i="33"/>
  <c r="I1766" i="33"/>
  <c r="E1765" i="33"/>
  <c r="I1765" i="33" s="1"/>
  <c r="K1765" i="33" s="1"/>
  <c r="I1764" i="33"/>
  <c r="K1764" i="33" s="1"/>
  <c r="I1763" i="33"/>
  <c r="K1763" i="33" s="1"/>
  <c r="K1762" i="33"/>
  <c r="I1762" i="33"/>
  <c r="I1761" i="33"/>
  <c r="K1761" i="33" s="1"/>
  <c r="I1760" i="33"/>
  <c r="K1760" i="33" s="1"/>
  <c r="I1759" i="33"/>
  <c r="K1759" i="33" s="1"/>
  <c r="I1758" i="33"/>
  <c r="I1757" i="33"/>
  <c r="K1757" i="33" s="1"/>
  <c r="I1756" i="33"/>
  <c r="I1755" i="33"/>
  <c r="K1755" i="33" s="1"/>
  <c r="K1754" i="33"/>
  <c r="I1754" i="33"/>
  <c r="I1753" i="33"/>
  <c r="K1753" i="33" s="1"/>
  <c r="I1752" i="33"/>
  <c r="K1752" i="33" s="1"/>
  <c r="I1751" i="33"/>
  <c r="K1751" i="33" s="1"/>
  <c r="K1750" i="33"/>
  <c r="I1750" i="33"/>
  <c r="I1749" i="33"/>
  <c r="K1749" i="33" s="1"/>
  <c r="I1748" i="33"/>
  <c r="K1748" i="33" s="1"/>
  <c r="I1747" i="33"/>
  <c r="K1747" i="33" s="1"/>
  <c r="K1746" i="33"/>
  <c r="I1746" i="33"/>
  <c r="I1745" i="33"/>
  <c r="K1745" i="33" s="1"/>
  <c r="I1744" i="33"/>
  <c r="K1744" i="33" s="1"/>
  <c r="I1743" i="33"/>
  <c r="K1743" i="33" s="1"/>
  <c r="I1742" i="33"/>
  <c r="I1741" i="33"/>
  <c r="K1741" i="33" s="1"/>
  <c r="I1740" i="33"/>
  <c r="K1740" i="33" s="1"/>
  <c r="K1739" i="33"/>
  <c r="I1739" i="33"/>
  <c r="I1738" i="33"/>
  <c r="K1738" i="33" s="1"/>
  <c r="I1737" i="33"/>
  <c r="K1737" i="33" s="1"/>
  <c r="I1736" i="33"/>
  <c r="K1736" i="33" s="1"/>
  <c r="K1735" i="33"/>
  <c r="I1735" i="33"/>
  <c r="I1734" i="33"/>
  <c r="K1734" i="33" s="1"/>
  <c r="I1733" i="33"/>
  <c r="K1733" i="33" s="1"/>
  <c r="I1732" i="33"/>
  <c r="K1732" i="33" s="1"/>
  <c r="K1731" i="33"/>
  <c r="I1731" i="33"/>
  <c r="I1730" i="33"/>
  <c r="I1729" i="33"/>
  <c r="K1729" i="33" s="1"/>
  <c r="I1728" i="33"/>
  <c r="K1728" i="33" s="1"/>
  <c r="K1727" i="33"/>
  <c r="I1727" i="33"/>
  <c r="I1726" i="33"/>
  <c r="K1726" i="33" s="1"/>
  <c r="K1725" i="33"/>
  <c r="I1725" i="33"/>
  <c r="I1724" i="33"/>
  <c r="I1723" i="33"/>
  <c r="I1722" i="33"/>
  <c r="I1721" i="33"/>
  <c r="K1721" i="33" s="1"/>
  <c r="J1720" i="33"/>
  <c r="I1720" i="33"/>
  <c r="K1720" i="33" s="1"/>
  <c r="K1719" i="33"/>
  <c r="I1719" i="33"/>
  <c r="I1718" i="33"/>
  <c r="K1718" i="33" s="1"/>
  <c r="I1717" i="33"/>
  <c r="J1716" i="33"/>
  <c r="I1716" i="33"/>
  <c r="K1716" i="33" s="1"/>
  <c r="I1715" i="33"/>
  <c r="K1715" i="33" s="1"/>
  <c r="I1714" i="33"/>
  <c r="K1714" i="33" s="1"/>
  <c r="K1713" i="33"/>
  <c r="I1713" i="33"/>
  <c r="I1712" i="33"/>
  <c r="K1712" i="33" s="1"/>
  <c r="I1711" i="33"/>
  <c r="K1711" i="33" s="1"/>
  <c r="I1710" i="33"/>
  <c r="K1710" i="33" s="1"/>
  <c r="I1709" i="33"/>
  <c r="I1708" i="33"/>
  <c r="K1708" i="33" s="1"/>
  <c r="K1707" i="33"/>
  <c r="J1707" i="33"/>
  <c r="I1707" i="33"/>
  <c r="I1706" i="33"/>
  <c r="K1706" i="33" s="1"/>
  <c r="I1705" i="33"/>
  <c r="E1704" i="33"/>
  <c r="I1704" i="33" s="1"/>
  <c r="K1704" i="33" s="1"/>
  <c r="I1703" i="33"/>
  <c r="I1702" i="33"/>
  <c r="K1702" i="33" s="1"/>
  <c r="K1701" i="33"/>
  <c r="I1701" i="33"/>
  <c r="I1700" i="33"/>
  <c r="K1700" i="33" s="1"/>
  <c r="I1699" i="33"/>
  <c r="K1699" i="33" s="1"/>
  <c r="I1698" i="33"/>
  <c r="K1698" i="33" s="1"/>
  <c r="K1697" i="33"/>
  <c r="I1697" i="33"/>
  <c r="I1696" i="33"/>
  <c r="K1696" i="33" s="1"/>
  <c r="K1695" i="33"/>
  <c r="I1695" i="33"/>
  <c r="I1694" i="33"/>
  <c r="K1694" i="33" s="1"/>
  <c r="K1693" i="33"/>
  <c r="I1693" i="33"/>
  <c r="I1692" i="33"/>
  <c r="K1692" i="33" s="1"/>
  <c r="I1691" i="33"/>
  <c r="K1691" i="33" s="1"/>
  <c r="I1690" i="33"/>
  <c r="I1689" i="33"/>
  <c r="I1688" i="33"/>
  <c r="I1687" i="33"/>
  <c r="I1686" i="33"/>
  <c r="K1685" i="33"/>
  <c r="I1685" i="33"/>
  <c r="I1684" i="33"/>
  <c r="K1684" i="33" s="1"/>
  <c r="K1683" i="33"/>
  <c r="I1683" i="33"/>
  <c r="J1682" i="33"/>
  <c r="I1682" i="33"/>
  <c r="K1682" i="33" s="1"/>
  <c r="I1681" i="33"/>
  <c r="K1681" i="33" s="1"/>
  <c r="I1680" i="33"/>
  <c r="K1680" i="33" s="1"/>
  <c r="K1679" i="33"/>
  <c r="I1679" i="33"/>
  <c r="I1678" i="33"/>
  <c r="K1678" i="33" s="1"/>
  <c r="I1677" i="33"/>
  <c r="K1677" i="33" s="1"/>
  <c r="I1676" i="33"/>
  <c r="K1676" i="33" s="1"/>
  <c r="K1675" i="33"/>
  <c r="I1675" i="33"/>
  <c r="I1674" i="33"/>
  <c r="K1674" i="33" s="1"/>
  <c r="I1673" i="33"/>
  <c r="K1673" i="33" s="1"/>
  <c r="I1672" i="33"/>
  <c r="K1672" i="33" s="1"/>
  <c r="K1671" i="33"/>
  <c r="I1671" i="33"/>
  <c r="I1670" i="33"/>
  <c r="K1670" i="33" s="1"/>
  <c r="I1669" i="33"/>
  <c r="K1669" i="33" s="1"/>
  <c r="I1668" i="33"/>
  <c r="K1668" i="33" s="1"/>
  <c r="K1667" i="33"/>
  <c r="I1667" i="33"/>
  <c r="I1666" i="33"/>
  <c r="K1666" i="33" s="1"/>
  <c r="I1665" i="33"/>
  <c r="K1665" i="33" s="1"/>
  <c r="I1664" i="33"/>
  <c r="K1664" i="33" s="1"/>
  <c r="K1663" i="33"/>
  <c r="I1663" i="33"/>
  <c r="I1662" i="33"/>
  <c r="K1662" i="33" s="1"/>
  <c r="I1661" i="33"/>
  <c r="K1661" i="33" s="1"/>
  <c r="I1660" i="33"/>
  <c r="K1660" i="33" s="1"/>
  <c r="K1659" i="33"/>
  <c r="I1659" i="33"/>
  <c r="I1658" i="33"/>
  <c r="K1658" i="33" s="1"/>
  <c r="I1657" i="33"/>
  <c r="K1657" i="33" s="1"/>
  <c r="I1656" i="33"/>
  <c r="K1656" i="33" s="1"/>
  <c r="K1655" i="33"/>
  <c r="I1655" i="33"/>
  <c r="I1654" i="33"/>
  <c r="K1654" i="33" s="1"/>
  <c r="I1653" i="33"/>
  <c r="I1652" i="33"/>
  <c r="I1651" i="33"/>
  <c r="I1650" i="33"/>
  <c r="I1649" i="33"/>
  <c r="K1649" i="33" s="1"/>
  <c r="I1648" i="33"/>
  <c r="K1648" i="33" s="1"/>
  <c r="K1647" i="33"/>
  <c r="I1647" i="33"/>
  <c r="I1646" i="33"/>
  <c r="K1646" i="33" s="1"/>
  <c r="I1645" i="33"/>
  <c r="K1645" i="33" s="1"/>
  <c r="I1644" i="33"/>
  <c r="K1644" i="33" s="1"/>
  <c r="K1643" i="33"/>
  <c r="I1643" i="33"/>
  <c r="I1642" i="33"/>
  <c r="K1642" i="33" s="1"/>
  <c r="I1641" i="33"/>
  <c r="I1640" i="33"/>
  <c r="I1639" i="33"/>
  <c r="K1638" i="33"/>
  <c r="I1638" i="33"/>
  <c r="I1637" i="33"/>
  <c r="K1637" i="33" s="1"/>
  <c r="I1636" i="33"/>
  <c r="K1636" i="33" s="1"/>
  <c r="I1635" i="33"/>
  <c r="K1635" i="33" s="1"/>
  <c r="I1634" i="33"/>
  <c r="K1634" i="33" s="1"/>
  <c r="I1633" i="33"/>
  <c r="K1633" i="33" s="1"/>
  <c r="I1632" i="33"/>
  <c r="K1632" i="33" s="1"/>
  <c r="I1631" i="33"/>
  <c r="K1631" i="33" s="1"/>
  <c r="K1630" i="33"/>
  <c r="I1630" i="33"/>
  <c r="I1629" i="33"/>
  <c r="K1629" i="33" s="1"/>
  <c r="I1628" i="33"/>
  <c r="K1628" i="33" s="1"/>
  <c r="I1627" i="33"/>
  <c r="K1627" i="33" s="1"/>
  <c r="I1626" i="33"/>
  <c r="K1626" i="33" s="1"/>
  <c r="I1625" i="33"/>
  <c r="K1625" i="33" s="1"/>
  <c r="I1624" i="33"/>
  <c r="K1624" i="33" s="1"/>
  <c r="I1623" i="33"/>
  <c r="K1623" i="33" s="1"/>
  <c r="K1621" i="33"/>
  <c r="I1621" i="33"/>
  <c r="I1620" i="33"/>
  <c r="K1620" i="33" s="1"/>
  <c r="I1619" i="33"/>
  <c r="K1619" i="33" s="1"/>
  <c r="I1618" i="33"/>
  <c r="K1618" i="33" s="1"/>
  <c r="I1617" i="33"/>
  <c r="K1617" i="33" s="1"/>
  <c r="I1616" i="33"/>
  <c r="K1616" i="33" s="1"/>
  <c r="I1615" i="33"/>
  <c r="K1615" i="33" s="1"/>
  <c r="I1614" i="33"/>
  <c r="K1614" i="33" s="1"/>
  <c r="I1613" i="33"/>
  <c r="I1612" i="33"/>
  <c r="K1612" i="33" s="1"/>
  <c r="I1610" i="33"/>
  <c r="I1609" i="33"/>
  <c r="I1608" i="33"/>
  <c r="I1607" i="33"/>
  <c r="I1606" i="33"/>
  <c r="I1605" i="33"/>
  <c r="J1604" i="33"/>
  <c r="F1604" i="33"/>
  <c r="E1604" i="33"/>
  <c r="I1603" i="33"/>
  <c r="J1602" i="33"/>
  <c r="I1602" i="33"/>
  <c r="K1602" i="33" s="1"/>
  <c r="I1601" i="33"/>
  <c r="J1600" i="33"/>
  <c r="I1600" i="33"/>
  <c r="I1599" i="33"/>
  <c r="E1598" i="33"/>
  <c r="I1598" i="33" s="1"/>
  <c r="K1598" i="33" s="1"/>
  <c r="I1597" i="33"/>
  <c r="K1597" i="33" s="1"/>
  <c r="I1596" i="33"/>
  <c r="K1596" i="33" s="1"/>
  <c r="E1596" i="33"/>
  <c r="E1595" i="33"/>
  <c r="I1595" i="33" s="1"/>
  <c r="K1595" i="33" s="1"/>
  <c r="E1594" i="33"/>
  <c r="I1594" i="33" s="1"/>
  <c r="K1594" i="33" s="1"/>
  <c r="E1593" i="33"/>
  <c r="I1593" i="33" s="1"/>
  <c r="K1593" i="33" s="1"/>
  <c r="K1592" i="33"/>
  <c r="I1592" i="33"/>
  <c r="I1591" i="33"/>
  <c r="K1591" i="33" s="1"/>
  <c r="I1590" i="33"/>
  <c r="K1590" i="33" s="1"/>
  <c r="G1590" i="33"/>
  <c r="E1590" i="33"/>
  <c r="G1589" i="33"/>
  <c r="F1589" i="33"/>
  <c r="E1589" i="33"/>
  <c r="G1588" i="33"/>
  <c r="F1588" i="33"/>
  <c r="E1588" i="33"/>
  <c r="I1588" i="33" s="1"/>
  <c r="K1588" i="33" s="1"/>
  <c r="G1587" i="33"/>
  <c r="E1587" i="33"/>
  <c r="I1587" i="33" s="1"/>
  <c r="K1587" i="33" s="1"/>
  <c r="I1586" i="33"/>
  <c r="K1586" i="33" s="1"/>
  <c r="E1585" i="33"/>
  <c r="I1585" i="33" s="1"/>
  <c r="K1585" i="33" s="1"/>
  <c r="E1584" i="33"/>
  <c r="I1584" i="33" s="1"/>
  <c r="K1584" i="33" s="1"/>
  <c r="I1583" i="33"/>
  <c r="K1583" i="33" s="1"/>
  <c r="K1582" i="33"/>
  <c r="I1582" i="33"/>
  <c r="I1581" i="33"/>
  <c r="K1581" i="33" s="1"/>
  <c r="G1580" i="33"/>
  <c r="F1580" i="33"/>
  <c r="E1580" i="33"/>
  <c r="H1579" i="33"/>
  <c r="G1579" i="33"/>
  <c r="F1579" i="33"/>
  <c r="E1579" i="33"/>
  <c r="I1578" i="33"/>
  <c r="K1578" i="33" s="1"/>
  <c r="E1578" i="33"/>
  <c r="E1577" i="33"/>
  <c r="I1577" i="33" s="1"/>
  <c r="K1577" i="33" s="1"/>
  <c r="E1576" i="33"/>
  <c r="I1576" i="33" s="1"/>
  <c r="K1576" i="33" s="1"/>
  <c r="K1575" i="33"/>
  <c r="I1575" i="33"/>
  <c r="F1574" i="33"/>
  <c r="E1574" i="33"/>
  <c r="H1573" i="33"/>
  <c r="G1573" i="33"/>
  <c r="F1573" i="33"/>
  <c r="E1573" i="33"/>
  <c r="F1572" i="33"/>
  <c r="I1572" i="33" s="1"/>
  <c r="K1572" i="33" s="1"/>
  <c r="E1572" i="33"/>
  <c r="G1571" i="33"/>
  <c r="F1571" i="33"/>
  <c r="E1571" i="33"/>
  <c r="E1570" i="33"/>
  <c r="I1570" i="33" s="1"/>
  <c r="K1570" i="33" s="1"/>
  <c r="G1569" i="33"/>
  <c r="F1569" i="33"/>
  <c r="E1569" i="33"/>
  <c r="E1568" i="33"/>
  <c r="I1568" i="33" s="1"/>
  <c r="K1568" i="33" s="1"/>
  <c r="G1567" i="33"/>
  <c r="I1567" i="33" s="1"/>
  <c r="K1567" i="33" s="1"/>
  <c r="E1567" i="33"/>
  <c r="I1566" i="33"/>
  <c r="I1565" i="33"/>
  <c r="K1565" i="33" s="1"/>
  <c r="I1564" i="33"/>
  <c r="K1564" i="33" s="1"/>
  <c r="E1563" i="33"/>
  <c r="I1563" i="33" s="1"/>
  <c r="K1563" i="33" s="1"/>
  <c r="I1562" i="33"/>
  <c r="K1562" i="33" s="1"/>
  <c r="E1562" i="33"/>
  <c r="I1561" i="33"/>
  <c r="K1561" i="33" s="1"/>
  <c r="E1561" i="33"/>
  <c r="E1560" i="33"/>
  <c r="I1560" i="33" s="1"/>
  <c r="K1560" i="33" s="1"/>
  <c r="I1559" i="33"/>
  <c r="K1559" i="33" s="1"/>
  <c r="E1558" i="33"/>
  <c r="I1558" i="33" s="1"/>
  <c r="K1558" i="33" s="1"/>
  <c r="I1557" i="33"/>
  <c r="K1557" i="33" s="1"/>
  <c r="K1556" i="33"/>
  <c r="I1556" i="33"/>
  <c r="F1555" i="33"/>
  <c r="E1555" i="33"/>
  <c r="I1554" i="33"/>
  <c r="K1554" i="33" s="1"/>
  <c r="I1553" i="33"/>
  <c r="K1553" i="33" s="1"/>
  <c r="E1552" i="33"/>
  <c r="I1552" i="33" s="1"/>
  <c r="K1552" i="33" s="1"/>
  <c r="E1551" i="33"/>
  <c r="I1551" i="33" s="1"/>
  <c r="K1551" i="33" s="1"/>
  <c r="I1550" i="33"/>
  <c r="K1550" i="33" s="1"/>
  <c r="I1549" i="33"/>
  <c r="K1549" i="33" s="1"/>
  <c r="K1548" i="33"/>
  <c r="I1548" i="33"/>
  <c r="I1547" i="33"/>
  <c r="K1547" i="33" s="1"/>
  <c r="I1546" i="33"/>
  <c r="K1546" i="33" s="1"/>
  <c r="E1546" i="33"/>
  <c r="I1545" i="33"/>
  <c r="K1545" i="33" s="1"/>
  <c r="I1544" i="33"/>
  <c r="H1543" i="33"/>
  <c r="G1543" i="33"/>
  <c r="F1543" i="33"/>
  <c r="E1543" i="33"/>
  <c r="K1542" i="33"/>
  <c r="J1542" i="33"/>
  <c r="I1542" i="33"/>
  <c r="I1541" i="33"/>
  <c r="K1541" i="33" s="1"/>
  <c r="H1540" i="33"/>
  <c r="G1540" i="33"/>
  <c r="F1540" i="33"/>
  <c r="E1540" i="33"/>
  <c r="I1539" i="33"/>
  <c r="E1538" i="33"/>
  <c r="I1538" i="33" s="1"/>
  <c r="K1538" i="33" s="1"/>
  <c r="J1537" i="33"/>
  <c r="I1537" i="33"/>
  <c r="K1537" i="33" s="1"/>
  <c r="I1536" i="33"/>
  <c r="K1536" i="33" s="1"/>
  <c r="K1535" i="33"/>
  <c r="I1535" i="33"/>
  <c r="I1534" i="33"/>
  <c r="K1534" i="33" s="1"/>
  <c r="E1534" i="33"/>
  <c r="I1533" i="33"/>
  <c r="K1533" i="33" s="1"/>
  <c r="J1532" i="33"/>
  <c r="I1532" i="33"/>
  <c r="K1532" i="33" s="1"/>
  <c r="L1539" i="33" s="1"/>
  <c r="I1531" i="33"/>
  <c r="J1530" i="33"/>
  <c r="E1530" i="33"/>
  <c r="I1530" i="33" s="1"/>
  <c r="K1530" i="33" s="1"/>
  <c r="E1529" i="33"/>
  <c r="I1529" i="33" s="1"/>
  <c r="K1529" i="33" s="1"/>
  <c r="E1528" i="33"/>
  <c r="I1528" i="33" s="1"/>
  <c r="K1528" i="33" s="1"/>
  <c r="I1527" i="33"/>
  <c r="K1527" i="33" s="1"/>
  <c r="J1526" i="33"/>
  <c r="I1526" i="33"/>
  <c r="K1526" i="33" s="1"/>
  <c r="I1525" i="33"/>
  <c r="K1525" i="33" s="1"/>
  <c r="I1524" i="33"/>
  <c r="K1524" i="33" s="1"/>
  <c r="K1523" i="33"/>
  <c r="I1523" i="33"/>
  <c r="I1522" i="33"/>
  <c r="K1522" i="33" s="1"/>
  <c r="I1521" i="33"/>
  <c r="K1521" i="33" s="1"/>
  <c r="I1520" i="33"/>
  <c r="K1520" i="33" s="1"/>
  <c r="K1519" i="33"/>
  <c r="I1519" i="33"/>
  <c r="J1518" i="33"/>
  <c r="I1518" i="33"/>
  <c r="K1517" i="33"/>
  <c r="I1517" i="33"/>
  <c r="I1516" i="33"/>
  <c r="K1516" i="33" s="1"/>
  <c r="I1515" i="33"/>
  <c r="K1515" i="33" s="1"/>
  <c r="F1514" i="33"/>
  <c r="E1514" i="33"/>
  <c r="I1514" i="33" s="1"/>
  <c r="K1514" i="33" s="1"/>
  <c r="I1513" i="33"/>
  <c r="I1512" i="33"/>
  <c r="K1512" i="33" s="1"/>
  <c r="I1511" i="33"/>
  <c r="K1511" i="33" s="1"/>
  <c r="K1510" i="33"/>
  <c r="I1510" i="33"/>
  <c r="I1509" i="33"/>
  <c r="I1508" i="33"/>
  <c r="K1508" i="33" s="1"/>
  <c r="I1507" i="33"/>
  <c r="K1507" i="33" s="1"/>
  <c r="K1506" i="33"/>
  <c r="I1506" i="33"/>
  <c r="I1505" i="33"/>
  <c r="K1505" i="33" s="1"/>
  <c r="I1504" i="33"/>
  <c r="I1503" i="33"/>
  <c r="I1502" i="33"/>
  <c r="K1502" i="33" s="1"/>
  <c r="K1501" i="33"/>
  <c r="I1501" i="33"/>
  <c r="I1500" i="33"/>
  <c r="K1500" i="33" s="1"/>
  <c r="I1499" i="33"/>
  <c r="K1499" i="33" s="1"/>
  <c r="I1498" i="33"/>
  <c r="K1498" i="33" s="1"/>
  <c r="I1497" i="33"/>
  <c r="I1496" i="33"/>
  <c r="I1495" i="33"/>
  <c r="I1494" i="33"/>
  <c r="K1494" i="33" s="1"/>
  <c r="I1493" i="33"/>
  <c r="K1493" i="33" s="1"/>
  <c r="K1492" i="33"/>
  <c r="I1492" i="33"/>
  <c r="I1491" i="33"/>
  <c r="K1491" i="33" s="1"/>
  <c r="I1490" i="33"/>
  <c r="K1490" i="33" s="1"/>
  <c r="I1489" i="33"/>
  <c r="K1489" i="33" s="1"/>
  <c r="I1488" i="33"/>
  <c r="I1487" i="33"/>
  <c r="G1486" i="33"/>
  <c r="E1486" i="33"/>
  <c r="I1485" i="33"/>
  <c r="K1485" i="33" s="1"/>
  <c r="I1484" i="33"/>
  <c r="K1484" i="33" s="1"/>
  <c r="I1483" i="33"/>
  <c r="K1483" i="33" s="1"/>
  <c r="E1482" i="33"/>
  <c r="I1482" i="33" s="1"/>
  <c r="K1482" i="33" s="1"/>
  <c r="I1481" i="33"/>
  <c r="K1481" i="33" s="1"/>
  <c r="K1480" i="33"/>
  <c r="I1480" i="33"/>
  <c r="I1479" i="33"/>
  <c r="K1479" i="33" s="1"/>
  <c r="I1478" i="33"/>
  <c r="K1478" i="33" s="1"/>
  <c r="I1477" i="33"/>
  <c r="K1477" i="33" s="1"/>
  <c r="K1476" i="33"/>
  <c r="I1476" i="33"/>
  <c r="I1475" i="33"/>
  <c r="K1475" i="33" s="1"/>
  <c r="I1474" i="33"/>
  <c r="K1474" i="33" s="1"/>
  <c r="I1473" i="33"/>
  <c r="K1473" i="33" s="1"/>
  <c r="K1472" i="33"/>
  <c r="I1472" i="33"/>
  <c r="H1471" i="33"/>
  <c r="G1471" i="33"/>
  <c r="F1471" i="33"/>
  <c r="E1471" i="33"/>
  <c r="K1470" i="33"/>
  <c r="I1470" i="33"/>
  <c r="I1469" i="33"/>
  <c r="K1469" i="33" s="1"/>
  <c r="I1468" i="33"/>
  <c r="K1468" i="33" s="1"/>
  <c r="I1467" i="33"/>
  <c r="K1467" i="33" s="1"/>
  <c r="K1466" i="33"/>
  <c r="I1466" i="33"/>
  <c r="J1465" i="33"/>
  <c r="I1465" i="33"/>
  <c r="I1464" i="33"/>
  <c r="K1464" i="33" s="1"/>
  <c r="I1463" i="33"/>
  <c r="K1463" i="33" s="1"/>
  <c r="I1462" i="33"/>
  <c r="K1462" i="33" s="1"/>
  <c r="K1461" i="33"/>
  <c r="J1461" i="33"/>
  <c r="I1461" i="33"/>
  <c r="I1460" i="33"/>
  <c r="K1459" i="33"/>
  <c r="I1459" i="33"/>
  <c r="I1458" i="33"/>
  <c r="K1458" i="33" s="1"/>
  <c r="J1457" i="33"/>
  <c r="I1457" i="33"/>
  <c r="K1457" i="33" s="1"/>
  <c r="K1456" i="33"/>
  <c r="I1456" i="33"/>
  <c r="I1455" i="33"/>
  <c r="K1455" i="33" s="1"/>
  <c r="I1454" i="33"/>
  <c r="K1454" i="33" s="1"/>
  <c r="L1460" i="33" s="1"/>
  <c r="I1453" i="33"/>
  <c r="K1453" i="33" s="1"/>
  <c r="K1452" i="33"/>
  <c r="I1452" i="33"/>
  <c r="I1451" i="33"/>
  <c r="K1451" i="33" s="1"/>
  <c r="I1450" i="33"/>
  <c r="K1450" i="33" s="1"/>
  <c r="I1449" i="33"/>
  <c r="K1449" i="33" s="1"/>
  <c r="K1448" i="33"/>
  <c r="I1448" i="33"/>
  <c r="I1447" i="33"/>
  <c r="K1447" i="33" s="1"/>
  <c r="I1446" i="33"/>
  <c r="K1446" i="33" s="1"/>
  <c r="I1445" i="33"/>
  <c r="K1445" i="33" s="1"/>
  <c r="K1443" i="33"/>
  <c r="I1443" i="33"/>
  <c r="I1441" i="33"/>
  <c r="K1441" i="33" s="1"/>
  <c r="I1440" i="33"/>
  <c r="K1440" i="33" s="1"/>
  <c r="I1438" i="33"/>
  <c r="K1438" i="33" s="1"/>
  <c r="K1437" i="33"/>
  <c r="I1437" i="33"/>
  <c r="I1436" i="33"/>
  <c r="K1436" i="33" s="1"/>
  <c r="I1435" i="33"/>
  <c r="K1435" i="33" s="1"/>
  <c r="I1434" i="33"/>
  <c r="K1434" i="33" s="1"/>
  <c r="K1433" i="33"/>
  <c r="I1433" i="33"/>
  <c r="I1432" i="33"/>
  <c r="I1431" i="33"/>
  <c r="I1430" i="33"/>
  <c r="I1429" i="33"/>
  <c r="I1428" i="33"/>
  <c r="K1428" i="33" s="1"/>
  <c r="I1427" i="33"/>
  <c r="K1427" i="33" s="1"/>
  <c r="I1426" i="33"/>
  <c r="K1426" i="33" s="1"/>
  <c r="K1425" i="33"/>
  <c r="I1425" i="33"/>
  <c r="I1424" i="33"/>
  <c r="K1424" i="33" s="1"/>
  <c r="I1423" i="33"/>
  <c r="I1422" i="33"/>
  <c r="I1421" i="33"/>
  <c r="K1421" i="33" s="1"/>
  <c r="K1420" i="33"/>
  <c r="I1420" i="33"/>
  <c r="I1419" i="33"/>
  <c r="K1419" i="33" s="1"/>
  <c r="I1417" i="33"/>
  <c r="K1417" i="33" s="1"/>
  <c r="I1416" i="33"/>
  <c r="K1416" i="33" s="1"/>
  <c r="K1415" i="33"/>
  <c r="I1415" i="33"/>
  <c r="I1414" i="33"/>
  <c r="K1414" i="33" s="1"/>
  <c r="I1413" i="33"/>
  <c r="K1413" i="33" s="1"/>
  <c r="I1411" i="33"/>
  <c r="K1411" i="33" s="1"/>
  <c r="K1410" i="33"/>
  <c r="I1410" i="33"/>
  <c r="I1409" i="33"/>
  <c r="K1409" i="33" s="1"/>
  <c r="I1407" i="33"/>
  <c r="K1407" i="33" s="1"/>
  <c r="I1406" i="33"/>
  <c r="K1406" i="33" s="1"/>
  <c r="K1405" i="33"/>
  <c r="I1405" i="33"/>
  <c r="I1404" i="33"/>
  <c r="K1404" i="33" s="1"/>
  <c r="I1402" i="33"/>
  <c r="K1402" i="33" s="1"/>
  <c r="I1401" i="33"/>
  <c r="K1401" i="33" s="1"/>
  <c r="K1400" i="33"/>
  <c r="I1400" i="33"/>
  <c r="I1398" i="33"/>
  <c r="K1398" i="33" s="1"/>
  <c r="I1397" i="33"/>
  <c r="K1397" i="33" s="1"/>
  <c r="I1396" i="33"/>
  <c r="K1396" i="33" s="1"/>
  <c r="K1395" i="33"/>
  <c r="I1395" i="33"/>
  <c r="I1394" i="33"/>
  <c r="K1394" i="33" s="1"/>
  <c r="I1393" i="33"/>
  <c r="K1393" i="33" s="1"/>
  <c r="I1392" i="33"/>
  <c r="K1392" i="33" s="1"/>
  <c r="K1391" i="33"/>
  <c r="I1391" i="33"/>
  <c r="I1390" i="33"/>
  <c r="K1390" i="33" s="1"/>
  <c r="I1389" i="33"/>
  <c r="K1389" i="33" s="1"/>
  <c r="I1388" i="33"/>
  <c r="K1388" i="33" s="1"/>
  <c r="K1387" i="33"/>
  <c r="I1387" i="33"/>
  <c r="I1386" i="33"/>
  <c r="K1386" i="33" s="1"/>
  <c r="I1385" i="33"/>
  <c r="K1385" i="33" s="1"/>
  <c r="I1384" i="33"/>
  <c r="K1384" i="33" s="1"/>
  <c r="I1383" i="33"/>
  <c r="K1383" i="33" s="1"/>
  <c r="I1382" i="33"/>
  <c r="K1382" i="33" s="1"/>
  <c r="I1381" i="33"/>
  <c r="K1381" i="33" s="1"/>
  <c r="I1380" i="33"/>
  <c r="K1380" i="33" s="1"/>
  <c r="I1379" i="33"/>
  <c r="K1379" i="33" s="1"/>
  <c r="I1378" i="33"/>
  <c r="K1378" i="33" s="1"/>
  <c r="I1377" i="33"/>
  <c r="K1377" i="33" s="1"/>
  <c r="I1376" i="33"/>
  <c r="K1376" i="33" s="1"/>
  <c r="I1375" i="33"/>
  <c r="K1375" i="33" s="1"/>
  <c r="I1374" i="33"/>
  <c r="K1374" i="33" s="1"/>
  <c r="I1373" i="33"/>
  <c r="K1373" i="33" s="1"/>
  <c r="I1372" i="33"/>
  <c r="K1372" i="33" s="1"/>
  <c r="I1371" i="33"/>
  <c r="K1371" i="33" s="1"/>
  <c r="I1370" i="33"/>
  <c r="K1370" i="33" s="1"/>
  <c r="I1369" i="33"/>
  <c r="K1369" i="33" s="1"/>
  <c r="I1368" i="33"/>
  <c r="K1368" i="33" s="1"/>
  <c r="I1367" i="33"/>
  <c r="K1367" i="33" s="1"/>
  <c r="I1366" i="33"/>
  <c r="K1366" i="33" s="1"/>
  <c r="I1365" i="33"/>
  <c r="K1365" i="33" s="1"/>
  <c r="I1364" i="33"/>
  <c r="K1364" i="33" s="1"/>
  <c r="I1363" i="33"/>
  <c r="K1363" i="33" s="1"/>
  <c r="I1362" i="33"/>
  <c r="K1362" i="33" s="1"/>
  <c r="I1361" i="33"/>
  <c r="K1361" i="33" s="1"/>
  <c r="I1360" i="33"/>
  <c r="K1360" i="33" s="1"/>
  <c r="I1359" i="33"/>
  <c r="K1359" i="33" s="1"/>
  <c r="I1358" i="33"/>
  <c r="K1358" i="33" s="1"/>
  <c r="I1357" i="33"/>
  <c r="K1357" i="33" s="1"/>
  <c r="I1356" i="33"/>
  <c r="K1356" i="33" s="1"/>
  <c r="I1355" i="33"/>
  <c r="K1355" i="33" s="1"/>
  <c r="I1354" i="33"/>
  <c r="K1354" i="33" s="1"/>
  <c r="I1353" i="33"/>
  <c r="K1353" i="33" s="1"/>
  <c r="I1352" i="33"/>
  <c r="K1352" i="33" s="1"/>
  <c r="I1351" i="33"/>
  <c r="D1351" i="33"/>
  <c r="I1350" i="33"/>
  <c r="I1349" i="33"/>
  <c r="K1349" i="33" s="1"/>
  <c r="K1348" i="33"/>
  <c r="I1348" i="33"/>
  <c r="I1347" i="33"/>
  <c r="K1347" i="33" s="1"/>
  <c r="I1346" i="33"/>
  <c r="K1346" i="33" s="1"/>
  <c r="I1345" i="33"/>
  <c r="K1345" i="33" s="1"/>
  <c r="K1344" i="33"/>
  <c r="I1344" i="33"/>
  <c r="I1343" i="33"/>
  <c r="K1343" i="33" s="1"/>
  <c r="K1341" i="33"/>
  <c r="I1341" i="33"/>
  <c r="I1340" i="33"/>
  <c r="K1340" i="33" s="1"/>
  <c r="K1339" i="33"/>
  <c r="I1339" i="33"/>
  <c r="I1338" i="33"/>
  <c r="K1338" i="33" s="1"/>
  <c r="I1337" i="33"/>
  <c r="K1337" i="33" s="1"/>
  <c r="I1336" i="33"/>
  <c r="K1336" i="33" s="1"/>
  <c r="K1335" i="33"/>
  <c r="I1335" i="33"/>
  <c r="I1334" i="33"/>
  <c r="K1334" i="33" s="1"/>
  <c r="K1333" i="33"/>
  <c r="I1333" i="33"/>
  <c r="I1332" i="33"/>
  <c r="K1332" i="33" s="1"/>
  <c r="K1331" i="33"/>
  <c r="I1331" i="33"/>
  <c r="I1330" i="33"/>
  <c r="K1330" i="33" s="1"/>
  <c r="I1329" i="33"/>
  <c r="K1329" i="33" s="1"/>
  <c r="I1328" i="33"/>
  <c r="K1328" i="33" s="1"/>
  <c r="K1327" i="33"/>
  <c r="I1327" i="33"/>
  <c r="I1326" i="33"/>
  <c r="K1326" i="33" s="1"/>
  <c r="K1325" i="33"/>
  <c r="I1325" i="33"/>
  <c r="I1324" i="33"/>
  <c r="K1324" i="33" s="1"/>
  <c r="K1323" i="33"/>
  <c r="I1323" i="33"/>
  <c r="I1322" i="33"/>
  <c r="K1322" i="33" s="1"/>
  <c r="I1321" i="33"/>
  <c r="K1321" i="33" s="1"/>
  <c r="I1320" i="33"/>
  <c r="K1320" i="33" s="1"/>
  <c r="K1318" i="33"/>
  <c r="I1318" i="33"/>
  <c r="I1317" i="33"/>
  <c r="K1317" i="33" s="1"/>
  <c r="K1316" i="33"/>
  <c r="I1316" i="33"/>
  <c r="I1315" i="33"/>
  <c r="K1315" i="33" s="1"/>
  <c r="K1314" i="33"/>
  <c r="I1314" i="33"/>
  <c r="I1313" i="33"/>
  <c r="K1313" i="33" s="1"/>
  <c r="I1312" i="33"/>
  <c r="K1312" i="33" s="1"/>
  <c r="I1311" i="33"/>
  <c r="K1311" i="33" s="1"/>
  <c r="K1310" i="33"/>
  <c r="I1310" i="33"/>
  <c r="I1309" i="33"/>
  <c r="K1309" i="33" s="1"/>
  <c r="K1308" i="33"/>
  <c r="I1308" i="33"/>
  <c r="I1307" i="33"/>
  <c r="K1307" i="33" s="1"/>
  <c r="K1306" i="33"/>
  <c r="I1306" i="33"/>
  <c r="I1305" i="33"/>
  <c r="K1305" i="33" s="1"/>
  <c r="I1304" i="33"/>
  <c r="I1303" i="33"/>
  <c r="I1302" i="33"/>
  <c r="G1301" i="33"/>
  <c r="I1301" i="33" s="1"/>
  <c r="I1300" i="33"/>
  <c r="I1299" i="33"/>
  <c r="I1298" i="33"/>
  <c r="K1298" i="33" s="1"/>
  <c r="I1297" i="33"/>
  <c r="K1297" i="33" s="1"/>
  <c r="K1296" i="33"/>
  <c r="I1296" i="33"/>
  <c r="I1295" i="33"/>
  <c r="K1295" i="33" s="1"/>
  <c r="I1294" i="33"/>
  <c r="K1294" i="33" s="1"/>
  <c r="I1293" i="33"/>
  <c r="K1293" i="33" s="1"/>
  <c r="K1292" i="33"/>
  <c r="I1292" i="33"/>
  <c r="I1291" i="33"/>
  <c r="K1291" i="33" s="1"/>
  <c r="I1290" i="33"/>
  <c r="K1290" i="33" s="1"/>
  <c r="I1289" i="33"/>
  <c r="K1289" i="33" s="1"/>
  <c r="K1288" i="33"/>
  <c r="I1288" i="33"/>
  <c r="I1287" i="33"/>
  <c r="K1287" i="33" s="1"/>
  <c r="I1286" i="33"/>
  <c r="I1285" i="33"/>
  <c r="I1284" i="33"/>
  <c r="K1284" i="33" s="1"/>
  <c r="I1283" i="33"/>
  <c r="K1283" i="33" s="1"/>
  <c r="I1282" i="33"/>
  <c r="K1282" i="33" s="1"/>
  <c r="I1281" i="33"/>
  <c r="K1281" i="33" s="1"/>
  <c r="I1280" i="33"/>
  <c r="K1280" i="33" s="1"/>
  <c r="I1279" i="33"/>
  <c r="K1279" i="33" s="1"/>
  <c r="K1278" i="33"/>
  <c r="I1278" i="33"/>
  <c r="I1277" i="33"/>
  <c r="K1277" i="33" s="1"/>
  <c r="I1276" i="33"/>
  <c r="K1276" i="33" s="1"/>
  <c r="I1275" i="33"/>
  <c r="K1275" i="33" s="1"/>
  <c r="I1274" i="33"/>
  <c r="K1274" i="33" s="1"/>
  <c r="I1273" i="33"/>
  <c r="K1273" i="33" s="1"/>
  <c r="I1272" i="33"/>
  <c r="K1272" i="33" s="1"/>
  <c r="I1271" i="33"/>
  <c r="K1271" i="33" s="1"/>
  <c r="K1270" i="33"/>
  <c r="I1270" i="33"/>
  <c r="I1269" i="33"/>
  <c r="K1269" i="33" s="1"/>
  <c r="I1268" i="33"/>
  <c r="K1268" i="33" s="1"/>
  <c r="I1267" i="33"/>
  <c r="K1267" i="33" s="1"/>
  <c r="I1266" i="33"/>
  <c r="K1266" i="33" s="1"/>
  <c r="I1265" i="33"/>
  <c r="K1265" i="33" s="1"/>
  <c r="I1264" i="33"/>
  <c r="K1264" i="33" s="1"/>
  <c r="I1263" i="33"/>
  <c r="K1263" i="33" s="1"/>
  <c r="K1262" i="33"/>
  <c r="I1262" i="33"/>
  <c r="I1261" i="33"/>
  <c r="K1261" i="33" s="1"/>
  <c r="I1260" i="33"/>
  <c r="K1260" i="33" s="1"/>
  <c r="I1259" i="33"/>
  <c r="K1259" i="33" s="1"/>
  <c r="I1258" i="33"/>
  <c r="K1258" i="33" s="1"/>
  <c r="I1257" i="33"/>
  <c r="K1257" i="33" s="1"/>
  <c r="I1256" i="33"/>
  <c r="K1256" i="33" s="1"/>
  <c r="I1255" i="33"/>
  <c r="K1255" i="33" s="1"/>
  <c r="K1254" i="33"/>
  <c r="I1254" i="33"/>
  <c r="I1253" i="33"/>
  <c r="K1253" i="33" s="1"/>
  <c r="I1252" i="33"/>
  <c r="K1252" i="33" s="1"/>
  <c r="I1251" i="33"/>
  <c r="K1251" i="33" s="1"/>
  <c r="I1250" i="33"/>
  <c r="K1250" i="33" s="1"/>
  <c r="J1249" i="33"/>
  <c r="I1249" i="33"/>
  <c r="K1249" i="33" s="1"/>
  <c r="I1248" i="33"/>
  <c r="I1247" i="33"/>
  <c r="I1246" i="33"/>
  <c r="I1245" i="33"/>
  <c r="I1244" i="33"/>
  <c r="I1243" i="33"/>
  <c r="I1242" i="33"/>
  <c r="I1241" i="33"/>
  <c r="K1241" i="33" s="1"/>
  <c r="I1240" i="33"/>
  <c r="K1240" i="33" s="1"/>
  <c r="K1239" i="33"/>
  <c r="I1239" i="33"/>
  <c r="I1238" i="33"/>
  <c r="K1238" i="33" s="1"/>
  <c r="I1237" i="33"/>
  <c r="K1237" i="33" s="1"/>
  <c r="I1236" i="33"/>
  <c r="K1236" i="33" s="1"/>
  <c r="I1235" i="33"/>
  <c r="K1235" i="33" s="1"/>
  <c r="I1234" i="33"/>
  <c r="I1233" i="33"/>
  <c r="I1232" i="33"/>
  <c r="I1231" i="33"/>
  <c r="I1230" i="33"/>
  <c r="K1230" i="33" s="1"/>
  <c r="I1229" i="33"/>
  <c r="K1229" i="33" s="1"/>
  <c r="I1228" i="33"/>
  <c r="K1228" i="33" s="1"/>
  <c r="K1227" i="33"/>
  <c r="I1227" i="33"/>
  <c r="I1226" i="33"/>
  <c r="K1226" i="33" s="1"/>
  <c r="I1225" i="33"/>
  <c r="K1225" i="33" s="1"/>
  <c r="I1224" i="33"/>
  <c r="I1223" i="33"/>
  <c r="K1223" i="33" s="1"/>
  <c r="K1222" i="33"/>
  <c r="I1222" i="33"/>
  <c r="I1221" i="33"/>
  <c r="K1221" i="33" s="1"/>
  <c r="I1220" i="33"/>
  <c r="K1220" i="33" s="1"/>
  <c r="I1219" i="33"/>
  <c r="K1219" i="33" s="1"/>
  <c r="I1218" i="33"/>
  <c r="I1217" i="33"/>
  <c r="I1216" i="33"/>
  <c r="I1215" i="33"/>
  <c r="K1215" i="33" s="1"/>
  <c r="I1214" i="33"/>
  <c r="K1214" i="33" s="1"/>
  <c r="I1213" i="33"/>
  <c r="I1212" i="33"/>
  <c r="I1211" i="33"/>
  <c r="K1211" i="33" s="1"/>
  <c r="I1210" i="33"/>
  <c r="I1209" i="33"/>
  <c r="K1209" i="33" s="1"/>
  <c r="I1208" i="33"/>
  <c r="K1208" i="33" s="1"/>
  <c r="I1207" i="33"/>
  <c r="I1206" i="33"/>
  <c r="K1206" i="33" s="1"/>
  <c r="I1205" i="33"/>
  <c r="K1205" i="33" s="1"/>
  <c r="I1204" i="33"/>
  <c r="I1203" i="33"/>
  <c r="I1202" i="33"/>
  <c r="I1201" i="33"/>
  <c r="I1200" i="33"/>
  <c r="I1199" i="33"/>
  <c r="I1198" i="33"/>
  <c r="I1197" i="33"/>
  <c r="I1196" i="33"/>
  <c r="I1195" i="33"/>
  <c r="I1194" i="33"/>
  <c r="I1193" i="33"/>
  <c r="I1192" i="33"/>
  <c r="I1191" i="33"/>
  <c r="I1190" i="33"/>
  <c r="I1189" i="33"/>
  <c r="I1188" i="33"/>
  <c r="I1187" i="33"/>
  <c r="I1186" i="33"/>
  <c r="I1185" i="33"/>
  <c r="I1184" i="33"/>
  <c r="I1183" i="33"/>
  <c r="I1182" i="33"/>
  <c r="I1181" i="33"/>
  <c r="K1181" i="33" s="1"/>
  <c r="I1180" i="33"/>
  <c r="K1180" i="33" s="1"/>
  <c r="I1179" i="33"/>
  <c r="K1179" i="33" s="1"/>
  <c r="I1178" i="33"/>
  <c r="K1178" i="33" s="1"/>
  <c r="I1177" i="33"/>
  <c r="K1177" i="33" s="1"/>
  <c r="I1176" i="33"/>
  <c r="K1176" i="33" s="1"/>
  <c r="I1175" i="33"/>
  <c r="K1175" i="33" s="1"/>
  <c r="K1174" i="33"/>
  <c r="I1174" i="33"/>
  <c r="K1173" i="33"/>
  <c r="I1173" i="33"/>
  <c r="K1172" i="33"/>
  <c r="I1172" i="33"/>
  <c r="K1171" i="33"/>
  <c r="I1171" i="33"/>
  <c r="K1170" i="33"/>
  <c r="I1170" i="33"/>
  <c r="I1169" i="33"/>
  <c r="K1169" i="33" s="1"/>
  <c r="I1168" i="33"/>
  <c r="K1168" i="33" s="1"/>
  <c r="I1167" i="33"/>
  <c r="K1167" i="33" s="1"/>
  <c r="I1166" i="33"/>
  <c r="I1165" i="33"/>
  <c r="I1164" i="33"/>
  <c r="I1163" i="33"/>
  <c r="I1162" i="33"/>
  <c r="K1162" i="33" s="1"/>
  <c r="I1161" i="33"/>
  <c r="I1160" i="33"/>
  <c r="I1159" i="33"/>
  <c r="I1158" i="33"/>
  <c r="K1158" i="33" s="1"/>
  <c r="I1157" i="33"/>
  <c r="K1157" i="33" s="1"/>
  <c r="I1156" i="33"/>
  <c r="K1156" i="33" s="1"/>
  <c r="I1155" i="33"/>
  <c r="K1155" i="33" s="1"/>
  <c r="I1154" i="33"/>
  <c r="K1154" i="33" s="1"/>
  <c r="I1153" i="33"/>
  <c r="K1152" i="33"/>
  <c r="I1152" i="33"/>
  <c r="I1151" i="33"/>
  <c r="K1151" i="33" s="1"/>
  <c r="I1150" i="33"/>
  <c r="K1150" i="33" s="1"/>
  <c r="I1149" i="33"/>
  <c r="K1149" i="33" s="1"/>
  <c r="K1148" i="33"/>
  <c r="I1148" i="33"/>
  <c r="I1147" i="33"/>
  <c r="K1147" i="33" s="1"/>
  <c r="I1146" i="33"/>
  <c r="K1146" i="33" s="1"/>
  <c r="I1145" i="33"/>
  <c r="K1145" i="33" s="1"/>
  <c r="I1144" i="33"/>
  <c r="K1144" i="33" s="1"/>
  <c r="I1143" i="33"/>
  <c r="K1143" i="33" s="1"/>
  <c r="I1142" i="33"/>
  <c r="K1142" i="33" s="1"/>
  <c r="I1141" i="33"/>
  <c r="K1141" i="33" s="1"/>
  <c r="I1140" i="33"/>
  <c r="K1140" i="33" s="1"/>
  <c r="I1139" i="33"/>
  <c r="I1138" i="33"/>
  <c r="K1138" i="33" s="1"/>
  <c r="I1137" i="33"/>
  <c r="K1137" i="33" s="1"/>
  <c r="I1136" i="33"/>
  <c r="K1135" i="33"/>
  <c r="I1135" i="33"/>
  <c r="I1134" i="33"/>
  <c r="K1134" i="33" s="1"/>
  <c r="I1133" i="33"/>
  <c r="K1132" i="33"/>
  <c r="I1132" i="33"/>
  <c r="I1131" i="33"/>
  <c r="I1130" i="33"/>
  <c r="I1129" i="33"/>
  <c r="I1128" i="33"/>
  <c r="K1128" i="33" s="1"/>
  <c r="K1127" i="33"/>
  <c r="I1127" i="33"/>
  <c r="K1126" i="33"/>
  <c r="I1126" i="33"/>
  <c r="I1125" i="33"/>
  <c r="K1125" i="33" s="1"/>
  <c r="I1124" i="33"/>
  <c r="K1124" i="33" s="1"/>
  <c r="I1123" i="33"/>
  <c r="K1123" i="33" s="1"/>
  <c r="I1122" i="33"/>
  <c r="K1122" i="33" s="1"/>
  <c r="I1121" i="33"/>
  <c r="K1121" i="33" s="1"/>
  <c r="I1120" i="33"/>
  <c r="K1120" i="33" s="1"/>
  <c r="I1119" i="33"/>
  <c r="K1119" i="33" s="1"/>
  <c r="I1118" i="33"/>
  <c r="K1118" i="33" s="1"/>
  <c r="I1117" i="33"/>
  <c r="K1117" i="33" s="1"/>
  <c r="I1116" i="33"/>
  <c r="K1116" i="33" s="1"/>
  <c r="I1115" i="33"/>
  <c r="K1115" i="33" s="1"/>
  <c r="I1114" i="33"/>
  <c r="K1114" i="33" s="1"/>
  <c r="I1113" i="33"/>
  <c r="K1113" i="33" s="1"/>
  <c r="I1112" i="33"/>
  <c r="K1112" i="33" s="1"/>
  <c r="I1111" i="33"/>
  <c r="K1111" i="33" s="1"/>
  <c r="I1110" i="33"/>
  <c r="K1110" i="33" s="1"/>
  <c r="I1109" i="33"/>
  <c r="K1109" i="33" s="1"/>
  <c r="I1108" i="33"/>
  <c r="K1108" i="33" s="1"/>
  <c r="I1107" i="33"/>
  <c r="K1107" i="33" s="1"/>
  <c r="I1106" i="33"/>
  <c r="K1106" i="33" s="1"/>
  <c r="I1105" i="33"/>
  <c r="I1104" i="33"/>
  <c r="I1103" i="33"/>
  <c r="K1103" i="33" s="1"/>
  <c r="I1102" i="33"/>
  <c r="K1101" i="33"/>
  <c r="I1101" i="33"/>
  <c r="K1100" i="33"/>
  <c r="I1100" i="33"/>
  <c r="I1099" i="33"/>
  <c r="I1098" i="33"/>
  <c r="K1098" i="33" s="1"/>
  <c r="I1097" i="33"/>
  <c r="K1097" i="33" s="1"/>
  <c r="I1096" i="33"/>
  <c r="K1096" i="33" s="1"/>
  <c r="I1095" i="33"/>
  <c r="K1095" i="33" s="1"/>
  <c r="I1094" i="33"/>
  <c r="K1094" i="33" s="1"/>
  <c r="I1093" i="33"/>
  <c r="K1093" i="33" s="1"/>
  <c r="I1092" i="33"/>
  <c r="I1091" i="33"/>
  <c r="I1090" i="33"/>
  <c r="I1089" i="33"/>
  <c r="I1088" i="33"/>
  <c r="I1087" i="33"/>
  <c r="I1086" i="33"/>
  <c r="I1085" i="33"/>
  <c r="I1084" i="33"/>
  <c r="I1083" i="33"/>
  <c r="I1082" i="33"/>
  <c r="I1081" i="33"/>
  <c r="I1080" i="33"/>
  <c r="K1079" i="33"/>
  <c r="I1079" i="33"/>
  <c r="K1078" i="33"/>
  <c r="I1078" i="33"/>
  <c r="K1077" i="33"/>
  <c r="I1077" i="33"/>
  <c r="K1076" i="33"/>
  <c r="I1076" i="33"/>
  <c r="K1075" i="33"/>
  <c r="I1075" i="33"/>
  <c r="K1074" i="33"/>
  <c r="I1074" i="33"/>
  <c r="K1073" i="33"/>
  <c r="I1073" i="33"/>
  <c r="K1072" i="33"/>
  <c r="I1072" i="33"/>
  <c r="K1071" i="33"/>
  <c r="I1071" i="33"/>
  <c r="K1070" i="33"/>
  <c r="I1070" i="33"/>
  <c r="K1069" i="33"/>
  <c r="I1069" i="33"/>
  <c r="K1068" i="33"/>
  <c r="I1068" i="33"/>
  <c r="K1067" i="33"/>
  <c r="I1067" i="33"/>
  <c r="K1066" i="33"/>
  <c r="I1066" i="33"/>
  <c r="K1065" i="33"/>
  <c r="I1065" i="33"/>
  <c r="K1064" i="33"/>
  <c r="I1064" i="33"/>
  <c r="K1063" i="33"/>
  <c r="I1063" i="33"/>
  <c r="I1062" i="33"/>
  <c r="I1061" i="33"/>
  <c r="I1060" i="33"/>
  <c r="I1059" i="33"/>
  <c r="I1058" i="33"/>
  <c r="I1057" i="33"/>
  <c r="K1056" i="33"/>
  <c r="I1056" i="33"/>
  <c r="K1055" i="33"/>
  <c r="I1055" i="33"/>
  <c r="K1054" i="33"/>
  <c r="I1054" i="33"/>
  <c r="K1053" i="33"/>
  <c r="I1053" i="33"/>
  <c r="K1052" i="33"/>
  <c r="I1052" i="33"/>
  <c r="K1051" i="33"/>
  <c r="I1051" i="33"/>
  <c r="K1050" i="33"/>
  <c r="I1050" i="33"/>
  <c r="K1049" i="33"/>
  <c r="I1049" i="33"/>
  <c r="K1048" i="33"/>
  <c r="I1048" i="33"/>
  <c r="K1047" i="33"/>
  <c r="I1047" i="33"/>
  <c r="K1046" i="33"/>
  <c r="I1046" i="33"/>
  <c r="K1045" i="33"/>
  <c r="I1045" i="33"/>
  <c r="K1044" i="33"/>
  <c r="I1044" i="33"/>
  <c r="K1043" i="33"/>
  <c r="I1043" i="33"/>
  <c r="K1042" i="33"/>
  <c r="I1042" i="33"/>
  <c r="K1041" i="33"/>
  <c r="I1041" i="33"/>
  <c r="K1040" i="33"/>
  <c r="I1040" i="33"/>
  <c r="K1039" i="33"/>
  <c r="I1039" i="33"/>
  <c r="K1038" i="33"/>
  <c r="I1038" i="33"/>
  <c r="K1037" i="33"/>
  <c r="I1037" i="33"/>
  <c r="K1036" i="33"/>
  <c r="I1036" i="33"/>
  <c r="K1035" i="33"/>
  <c r="I1035" i="33"/>
  <c r="K1034" i="33"/>
  <c r="I1034" i="33"/>
  <c r="K1033" i="33"/>
  <c r="I1033" i="33"/>
  <c r="K1032" i="33"/>
  <c r="I1032" i="33"/>
  <c r="K1031" i="33"/>
  <c r="I1031" i="33"/>
  <c r="K1030" i="33"/>
  <c r="I1030" i="33"/>
  <c r="K1029" i="33"/>
  <c r="I1029" i="33"/>
  <c r="K1028" i="33"/>
  <c r="I1028" i="33"/>
  <c r="K1027" i="33"/>
  <c r="I1027" i="33"/>
  <c r="K1026" i="33"/>
  <c r="I1026" i="33"/>
  <c r="K1025" i="33"/>
  <c r="I1025" i="33"/>
  <c r="I1024" i="33"/>
  <c r="I1023" i="33"/>
  <c r="I1022" i="33"/>
  <c r="I1021" i="33"/>
  <c r="I1020" i="33"/>
  <c r="I1019" i="33"/>
  <c r="I1018" i="33"/>
  <c r="I1017" i="33"/>
  <c r="I1016" i="33"/>
  <c r="I1015" i="33"/>
  <c r="I1014" i="33"/>
  <c r="I1013" i="33"/>
  <c r="I1012" i="33"/>
  <c r="I1011" i="33"/>
  <c r="K1010" i="33"/>
  <c r="I1010" i="33"/>
  <c r="K1009" i="33"/>
  <c r="I1009" i="33"/>
  <c r="K1008" i="33"/>
  <c r="I1008" i="33"/>
  <c r="K1007" i="33"/>
  <c r="I1007" i="33"/>
  <c r="I1006" i="33"/>
  <c r="I1005" i="33"/>
  <c r="I1004" i="33"/>
  <c r="I1003" i="33"/>
  <c r="I1002" i="33"/>
  <c r="I1001" i="33"/>
  <c r="I1000" i="33"/>
  <c r="I999" i="33"/>
  <c r="I998" i="33"/>
  <c r="I997" i="33"/>
  <c r="I996" i="33"/>
  <c r="I995" i="33"/>
  <c r="I994" i="33"/>
  <c r="I993" i="33"/>
  <c r="I992" i="33"/>
  <c r="I991" i="33"/>
  <c r="K990" i="33"/>
  <c r="I990" i="33"/>
  <c r="K989" i="33"/>
  <c r="I989" i="33"/>
  <c r="K988" i="33"/>
  <c r="I988" i="33"/>
  <c r="K987" i="33"/>
  <c r="I987" i="33"/>
  <c r="K986" i="33"/>
  <c r="I986" i="33"/>
  <c r="I985" i="33"/>
  <c r="I984" i="33"/>
  <c r="K984" i="33" s="1"/>
  <c r="I983" i="33"/>
  <c r="I982" i="33"/>
  <c r="I981" i="33"/>
  <c r="I980" i="33"/>
  <c r="I979" i="33"/>
  <c r="I978" i="33"/>
  <c r="I977" i="33"/>
  <c r="K977" i="33" s="1"/>
  <c r="I976" i="33"/>
  <c r="K976" i="33" s="1"/>
  <c r="I975" i="33"/>
  <c r="K975" i="33" s="1"/>
  <c r="I974" i="33"/>
  <c r="K974" i="33" s="1"/>
  <c r="I973" i="33"/>
  <c r="K973" i="33" s="1"/>
  <c r="I972" i="33"/>
  <c r="K972" i="33" s="1"/>
  <c r="I971" i="33"/>
  <c r="I970" i="33"/>
  <c r="K970" i="33" s="1"/>
  <c r="I969" i="33"/>
  <c r="K969" i="33" s="1"/>
  <c r="I968" i="33"/>
  <c r="K968" i="33" s="1"/>
  <c r="I967" i="33"/>
  <c r="K967" i="33" s="1"/>
  <c r="I966" i="33"/>
  <c r="K966" i="33" s="1"/>
  <c r="I965" i="33"/>
  <c r="I964" i="33"/>
  <c r="K964" i="33" s="1"/>
  <c r="I963" i="33"/>
  <c r="K963" i="33" s="1"/>
  <c r="I962" i="33"/>
  <c r="K962" i="33" s="1"/>
  <c r="I961" i="33"/>
  <c r="K961" i="33" s="1"/>
  <c r="I960" i="33"/>
  <c r="K960" i="33" s="1"/>
  <c r="I959" i="33"/>
  <c r="K959" i="33" s="1"/>
  <c r="I958" i="33"/>
  <c r="K958" i="33" s="1"/>
  <c r="I957" i="33"/>
  <c r="K957" i="33" s="1"/>
  <c r="I956" i="33"/>
  <c r="K956" i="33" s="1"/>
  <c r="I955" i="33"/>
  <c r="K955" i="33" s="1"/>
  <c r="I954" i="33"/>
  <c r="K954" i="33" s="1"/>
  <c r="I953" i="33"/>
  <c r="K953" i="33" s="1"/>
  <c r="I952" i="33"/>
  <c r="K952" i="33" s="1"/>
  <c r="I951" i="33"/>
  <c r="I950" i="33"/>
  <c r="I949" i="33"/>
  <c r="K949" i="33" s="1"/>
  <c r="I948" i="33"/>
  <c r="I947" i="33"/>
  <c r="I946" i="33"/>
  <c r="I945" i="33"/>
  <c r="I944" i="33"/>
  <c r="I943" i="33"/>
  <c r="I942" i="33"/>
  <c r="I941" i="33"/>
  <c r="I940" i="33"/>
  <c r="I939" i="33"/>
  <c r="I938" i="33"/>
  <c r="I937" i="33"/>
  <c r="I936" i="33"/>
  <c r="I935" i="33"/>
  <c r="I934" i="33"/>
  <c r="I933" i="33"/>
  <c r="I932" i="33"/>
  <c r="K932" i="33" s="1"/>
  <c r="I931" i="33"/>
  <c r="K930" i="33"/>
  <c r="I930" i="33"/>
  <c r="I929" i="33"/>
  <c r="I928" i="33"/>
  <c r="K928" i="33" s="1"/>
  <c r="I927" i="33"/>
  <c r="K927" i="33" s="1"/>
  <c r="I926" i="33"/>
  <c r="K926" i="33" s="1"/>
  <c r="I925" i="33"/>
  <c r="K925" i="33" s="1"/>
  <c r="I924" i="33"/>
  <c r="K924" i="33" s="1"/>
  <c r="I923" i="33"/>
  <c r="K923" i="33" s="1"/>
  <c r="I922" i="33"/>
  <c r="K922" i="33" s="1"/>
  <c r="I921" i="33"/>
  <c r="K921" i="33" s="1"/>
  <c r="I920" i="33"/>
  <c r="K920" i="33" s="1"/>
  <c r="I919" i="33"/>
  <c r="I918" i="33"/>
  <c r="K918" i="33" s="1"/>
  <c r="I917" i="33"/>
  <c r="K917" i="33" s="1"/>
  <c r="K916" i="33"/>
  <c r="I916" i="33"/>
  <c r="K915" i="33"/>
  <c r="I915" i="33"/>
  <c r="I914" i="33"/>
  <c r="K914" i="33" s="1"/>
  <c r="I913" i="33"/>
  <c r="K913" i="33" s="1"/>
  <c r="I912" i="33"/>
  <c r="I911" i="33"/>
  <c r="K911" i="33" s="1"/>
  <c r="I910" i="33"/>
  <c r="K910" i="33" s="1"/>
  <c r="I909" i="33"/>
  <c r="K909" i="33" s="1"/>
  <c r="I908" i="33"/>
  <c r="K908" i="33" s="1"/>
  <c r="I907" i="33"/>
  <c r="K907" i="33" s="1"/>
  <c r="I906" i="33"/>
  <c r="K906" i="33" s="1"/>
  <c r="I905" i="33"/>
  <c r="K905" i="33" s="1"/>
  <c r="I904" i="33"/>
  <c r="K904" i="33" s="1"/>
  <c r="I903" i="33"/>
  <c r="K903" i="33" s="1"/>
  <c r="I902" i="33"/>
  <c r="K902" i="33" s="1"/>
  <c r="I901" i="33"/>
  <c r="K901" i="33" s="1"/>
  <c r="I900" i="33"/>
  <c r="K900" i="33" s="1"/>
  <c r="I899" i="33"/>
  <c r="K899" i="33" s="1"/>
  <c r="I898" i="33"/>
  <c r="K898" i="33" s="1"/>
  <c r="K897" i="33"/>
  <c r="I897" i="33"/>
  <c r="I896" i="33"/>
  <c r="I895" i="33"/>
  <c r="K895" i="33" s="1"/>
  <c r="I894" i="33"/>
  <c r="K894" i="33" s="1"/>
  <c r="I893" i="33"/>
  <c r="K893" i="33" s="1"/>
  <c r="I892" i="33"/>
  <c r="I891" i="33"/>
  <c r="K891" i="33" s="1"/>
  <c r="I890" i="33"/>
  <c r="K890" i="33" s="1"/>
  <c r="I889" i="33"/>
  <c r="K889" i="33" s="1"/>
  <c r="I888" i="33"/>
  <c r="K888" i="33" s="1"/>
  <c r="I887" i="33"/>
  <c r="K887" i="33" s="1"/>
  <c r="I886" i="33"/>
  <c r="K886" i="33" s="1"/>
  <c r="I885" i="33"/>
  <c r="K885" i="33" s="1"/>
  <c r="I884" i="33"/>
  <c r="K884" i="33" s="1"/>
  <c r="I883" i="33"/>
  <c r="I882" i="33"/>
  <c r="K882" i="33" s="1"/>
  <c r="I881" i="33"/>
  <c r="K881" i="33" s="1"/>
  <c r="I880" i="33"/>
  <c r="K880" i="33" s="1"/>
  <c r="I879" i="33"/>
  <c r="K879" i="33" s="1"/>
  <c r="I878" i="33"/>
  <c r="K878" i="33" s="1"/>
  <c r="I877" i="33"/>
  <c r="K877" i="33" s="1"/>
  <c r="I876" i="33"/>
  <c r="K876" i="33" s="1"/>
  <c r="I875" i="33"/>
  <c r="K874" i="33"/>
  <c r="I874" i="33"/>
  <c r="K873" i="33"/>
  <c r="I873" i="33"/>
  <c r="K872" i="33"/>
  <c r="J872" i="33"/>
  <c r="I872" i="33"/>
  <c r="J871" i="33"/>
  <c r="I871" i="33"/>
  <c r="I870" i="33"/>
  <c r="K870" i="33" s="1"/>
  <c r="I869" i="33"/>
  <c r="K869" i="33" s="1"/>
  <c r="I868" i="33"/>
  <c r="K868" i="33" s="1"/>
  <c r="I867" i="33"/>
  <c r="K867" i="33" s="1"/>
  <c r="I866" i="33"/>
  <c r="K866" i="33" s="1"/>
  <c r="I865" i="33"/>
  <c r="K865" i="33" s="1"/>
  <c r="I864" i="33"/>
  <c r="K864" i="33" s="1"/>
  <c r="I863" i="33"/>
  <c r="K863" i="33" s="1"/>
  <c r="I862" i="33"/>
  <c r="K862" i="33" s="1"/>
  <c r="I861" i="33"/>
  <c r="I860" i="33"/>
  <c r="I859" i="33"/>
  <c r="I858" i="33"/>
  <c r="I857" i="33"/>
  <c r="K857" i="33" s="1"/>
  <c r="I856" i="33"/>
  <c r="I855" i="33"/>
  <c r="K855" i="33" s="1"/>
  <c r="J854" i="33"/>
  <c r="I854" i="33"/>
  <c r="K854" i="33" s="1"/>
  <c r="J853" i="33"/>
  <c r="K853" i="33" s="1"/>
  <c r="I853" i="33"/>
  <c r="I852" i="33"/>
  <c r="K852" i="33" s="1"/>
  <c r="I851" i="33"/>
  <c r="K851" i="33" s="1"/>
  <c r="I850" i="33"/>
  <c r="K850" i="33" s="1"/>
  <c r="I849" i="33"/>
  <c r="K849" i="33" s="1"/>
  <c r="J848" i="33"/>
  <c r="I848" i="33"/>
  <c r="J847" i="33"/>
  <c r="I847" i="33"/>
  <c r="J846" i="33"/>
  <c r="I846" i="33"/>
  <c r="J845" i="33"/>
  <c r="I845" i="33"/>
  <c r="K845" i="33" s="1"/>
  <c r="J844" i="33"/>
  <c r="I844" i="33"/>
  <c r="K844" i="33" s="1"/>
  <c r="J843" i="33"/>
  <c r="I843" i="33"/>
  <c r="K843" i="33" s="1"/>
  <c r="J842" i="33"/>
  <c r="I842" i="33"/>
  <c r="J841" i="33"/>
  <c r="I841" i="33"/>
  <c r="K841" i="33" s="1"/>
  <c r="J840" i="33"/>
  <c r="I840" i="33"/>
  <c r="J839" i="33"/>
  <c r="I839" i="33"/>
  <c r="I838" i="33"/>
  <c r="K838" i="33" s="1"/>
  <c r="I837" i="33"/>
  <c r="K837" i="33" s="1"/>
  <c r="I836" i="33"/>
  <c r="K836" i="33" s="1"/>
  <c r="I835" i="33"/>
  <c r="K835" i="33" s="1"/>
  <c r="I834" i="33"/>
  <c r="I833" i="33"/>
  <c r="I832" i="33"/>
  <c r="K832" i="33" s="1"/>
  <c r="I831" i="33"/>
  <c r="K831" i="33" s="1"/>
  <c r="I830" i="33"/>
  <c r="K830" i="33" s="1"/>
  <c r="I829" i="33"/>
  <c r="K829" i="33" s="1"/>
  <c r="I828" i="33"/>
  <c r="K828" i="33" s="1"/>
  <c r="I827" i="33"/>
  <c r="K826" i="33"/>
  <c r="I826" i="33"/>
  <c r="K825" i="33"/>
  <c r="I825" i="33"/>
  <c r="K824" i="33"/>
  <c r="I824" i="33"/>
  <c r="K823" i="33"/>
  <c r="I823" i="33"/>
  <c r="K822" i="33"/>
  <c r="I822" i="33"/>
  <c r="K821" i="33"/>
  <c r="I821" i="33"/>
  <c r="K820" i="33"/>
  <c r="I820" i="33"/>
  <c r="K819" i="33"/>
  <c r="I819" i="33"/>
  <c r="K818" i="33"/>
  <c r="I818" i="33"/>
  <c r="K817" i="33"/>
  <c r="I817" i="33"/>
  <c r="K816" i="33"/>
  <c r="I816" i="33"/>
  <c r="K815" i="33"/>
  <c r="I815" i="33"/>
  <c r="I814" i="33"/>
  <c r="I813" i="33"/>
  <c r="K813" i="33" s="1"/>
  <c r="I812" i="33"/>
  <c r="I811" i="33"/>
  <c r="I810" i="33"/>
  <c r="I809" i="33"/>
  <c r="I808" i="33"/>
  <c r="I807" i="33"/>
  <c r="I806" i="33"/>
  <c r="I805" i="33"/>
  <c r="I804" i="33"/>
  <c r="I803" i="33"/>
  <c r="I802" i="33"/>
  <c r="I801" i="33"/>
  <c r="I800" i="33"/>
  <c r="I799" i="33"/>
  <c r="I798" i="33"/>
  <c r="I797" i="33"/>
  <c r="I796" i="33"/>
  <c r="I795" i="33"/>
  <c r="I794" i="33"/>
  <c r="I793" i="33"/>
  <c r="I792" i="33"/>
  <c r="K792" i="33" s="1"/>
  <c r="I791" i="33"/>
  <c r="K790" i="33"/>
  <c r="I790" i="33"/>
  <c r="K789" i="33"/>
  <c r="I789" i="33"/>
  <c r="K788" i="33"/>
  <c r="I788" i="33"/>
  <c r="K787" i="33"/>
  <c r="I787" i="33"/>
  <c r="K786" i="33"/>
  <c r="I786" i="33"/>
  <c r="K785" i="33"/>
  <c r="I785" i="33"/>
  <c r="K784" i="33"/>
  <c r="I784" i="33"/>
  <c r="K783" i="33"/>
  <c r="I783" i="33"/>
  <c r="I782" i="33"/>
  <c r="I781" i="33"/>
  <c r="I780" i="33"/>
  <c r="I779" i="33"/>
  <c r="K778" i="33"/>
  <c r="I778" i="33"/>
  <c r="K777" i="33"/>
  <c r="I777" i="33"/>
  <c r="K776" i="33"/>
  <c r="I776" i="33"/>
  <c r="K775" i="33"/>
  <c r="I775" i="33"/>
  <c r="K774" i="33"/>
  <c r="I774" i="33"/>
  <c r="K773" i="33"/>
  <c r="I773" i="33"/>
  <c r="K772" i="33"/>
  <c r="I772" i="33"/>
  <c r="K771" i="33"/>
  <c r="I771" i="33"/>
  <c r="I770" i="33"/>
  <c r="I769" i="33"/>
  <c r="K769" i="33" s="1"/>
  <c r="I768" i="33"/>
  <c r="K768" i="33" s="1"/>
  <c r="I767" i="33"/>
  <c r="K767" i="33" s="1"/>
  <c r="I766" i="33"/>
  <c r="K766" i="33" s="1"/>
  <c r="I765" i="33"/>
  <c r="K765" i="33" s="1"/>
  <c r="I764" i="33"/>
  <c r="I763" i="33"/>
  <c r="K763" i="33" s="1"/>
  <c r="I762" i="33"/>
  <c r="I761" i="33"/>
  <c r="K761" i="33" s="1"/>
  <c r="I760" i="33"/>
  <c r="K760" i="33" s="1"/>
  <c r="J759" i="33"/>
  <c r="I759" i="33"/>
  <c r="K759" i="33" s="1"/>
  <c r="K758" i="33"/>
  <c r="J758" i="33"/>
  <c r="I758" i="33"/>
  <c r="J757" i="33"/>
  <c r="I757" i="33"/>
  <c r="I756" i="33"/>
  <c r="K756" i="33" s="1"/>
  <c r="I755" i="33"/>
  <c r="K755" i="33" s="1"/>
  <c r="I754" i="33"/>
  <c r="K754" i="33" s="1"/>
  <c r="K753" i="33"/>
  <c r="I753" i="33"/>
  <c r="I752" i="33"/>
  <c r="K752" i="33" s="1"/>
  <c r="I751" i="33"/>
  <c r="I750" i="33"/>
  <c r="I749" i="33"/>
  <c r="I748" i="33"/>
  <c r="I747" i="33"/>
  <c r="I746" i="33"/>
  <c r="I745" i="33"/>
  <c r="I744" i="33"/>
  <c r="K743" i="33"/>
  <c r="I743" i="33"/>
  <c r="I742" i="33"/>
  <c r="K742" i="33" s="1"/>
  <c r="K741" i="33"/>
  <c r="I741" i="33"/>
  <c r="I740" i="33"/>
  <c r="K740" i="33" s="1"/>
  <c r="I739" i="33"/>
  <c r="K739" i="33" s="1"/>
  <c r="I738" i="33"/>
  <c r="K738" i="33" s="1"/>
  <c r="K737" i="33"/>
  <c r="I737" i="33"/>
  <c r="I736" i="33"/>
  <c r="K736" i="33" s="1"/>
  <c r="K735" i="33"/>
  <c r="I735" i="33"/>
  <c r="I734" i="33"/>
  <c r="K734" i="33" s="1"/>
  <c r="K733" i="33"/>
  <c r="I733" i="33"/>
  <c r="I732" i="33"/>
  <c r="K732" i="33" s="1"/>
  <c r="I731" i="33"/>
  <c r="K731" i="33" s="1"/>
  <c r="I730" i="33"/>
  <c r="K730" i="33" s="1"/>
  <c r="K729" i="33"/>
  <c r="I729" i="33"/>
  <c r="I728" i="33"/>
  <c r="K728" i="33" s="1"/>
  <c r="I727" i="33"/>
  <c r="K727" i="33" s="1"/>
  <c r="I726" i="33"/>
  <c r="K726" i="33" s="1"/>
  <c r="K725" i="33"/>
  <c r="I725" i="33"/>
  <c r="I724" i="33"/>
  <c r="K724" i="33" s="1"/>
  <c r="I723" i="33"/>
  <c r="K723" i="33" s="1"/>
  <c r="I722" i="33"/>
  <c r="K722" i="33" s="1"/>
  <c r="K721" i="33"/>
  <c r="I721" i="33"/>
  <c r="I720" i="33"/>
  <c r="K720" i="33" s="1"/>
  <c r="I719" i="33"/>
  <c r="K719" i="33" s="1"/>
  <c r="I718" i="33"/>
  <c r="K718" i="33" s="1"/>
  <c r="I717" i="33"/>
  <c r="I716" i="33"/>
  <c r="K716" i="33" s="1"/>
  <c r="I715" i="33"/>
  <c r="K715" i="33" s="1"/>
  <c r="K714" i="33"/>
  <c r="I714" i="33"/>
  <c r="I713" i="33"/>
  <c r="K713" i="33" s="1"/>
  <c r="I712" i="33"/>
  <c r="I711" i="33"/>
  <c r="K711" i="33" s="1"/>
  <c r="I710" i="33"/>
  <c r="K709" i="33"/>
  <c r="I709" i="33"/>
  <c r="I708" i="33"/>
  <c r="K708" i="33" s="1"/>
  <c r="I707" i="33"/>
  <c r="I706" i="33"/>
  <c r="I705" i="33"/>
  <c r="I704" i="33"/>
  <c r="I703" i="33"/>
  <c r="I702" i="33"/>
  <c r="I701" i="33"/>
  <c r="I700" i="33"/>
  <c r="I699" i="33"/>
  <c r="I698" i="33"/>
  <c r="I697" i="33"/>
  <c r="I696" i="33"/>
  <c r="I695" i="33"/>
  <c r="I694" i="33"/>
  <c r="I693" i="33"/>
  <c r="I692" i="33"/>
  <c r="I691" i="33"/>
  <c r="I690" i="33"/>
  <c r="I689" i="33"/>
  <c r="I688" i="33"/>
  <c r="I687" i="33"/>
  <c r="I686" i="33"/>
  <c r="I685" i="33"/>
  <c r="I684" i="33"/>
  <c r="I683" i="33"/>
  <c r="I682" i="33"/>
  <c r="I681" i="33"/>
  <c r="I680" i="33"/>
  <c r="I679" i="33"/>
  <c r="I678" i="33"/>
  <c r="I677" i="33"/>
  <c r="I676" i="33"/>
  <c r="I675" i="33"/>
  <c r="I674" i="33"/>
  <c r="I673" i="33"/>
  <c r="I672" i="33"/>
  <c r="I671" i="33"/>
  <c r="I670" i="33"/>
  <c r="I669" i="33"/>
  <c r="I668" i="33"/>
  <c r="I667" i="33"/>
  <c r="I666" i="33"/>
  <c r="I665" i="33"/>
  <c r="I664" i="33"/>
  <c r="I663" i="33"/>
  <c r="I662" i="33"/>
  <c r="I661" i="33"/>
  <c r="K660" i="33"/>
  <c r="I660" i="33"/>
  <c r="I659" i="33"/>
  <c r="K659" i="33" s="1"/>
  <c r="I658" i="33"/>
  <c r="K658" i="33" s="1"/>
  <c r="I657" i="33"/>
  <c r="K657" i="33" s="1"/>
  <c r="K656" i="33"/>
  <c r="I656" i="33"/>
  <c r="I655" i="33"/>
  <c r="K655" i="33" s="1"/>
  <c r="I654" i="33"/>
  <c r="K654" i="33" s="1"/>
  <c r="I653" i="33"/>
  <c r="K653" i="33" s="1"/>
  <c r="K652" i="33"/>
  <c r="I652" i="33"/>
  <c r="I651" i="33"/>
  <c r="K651" i="33" s="1"/>
  <c r="I650" i="33"/>
  <c r="K650" i="33" s="1"/>
  <c r="I649" i="33"/>
  <c r="K649" i="33" s="1"/>
  <c r="K648" i="33"/>
  <c r="I648" i="33"/>
  <c r="I647" i="33"/>
  <c r="K647" i="33" s="1"/>
  <c r="I646" i="33"/>
  <c r="K646" i="33" s="1"/>
  <c r="I645" i="33"/>
  <c r="K645" i="33" s="1"/>
  <c r="I644" i="33"/>
  <c r="I643" i="33"/>
  <c r="I642" i="33"/>
  <c r="I641" i="33"/>
  <c r="I640" i="33"/>
  <c r="I639" i="33"/>
  <c r="I638" i="33"/>
  <c r="I637" i="33"/>
  <c r="I636" i="33"/>
  <c r="I635" i="33"/>
  <c r="I634" i="33"/>
  <c r="I633" i="33"/>
  <c r="I632" i="33"/>
  <c r="I631" i="33"/>
  <c r="I630" i="33"/>
  <c r="I629" i="33"/>
  <c r="I628" i="33"/>
  <c r="I627" i="33"/>
  <c r="I626" i="33"/>
  <c r="I625" i="33"/>
  <c r="I624" i="33"/>
  <c r="I623" i="33"/>
  <c r="I622" i="33"/>
  <c r="I621" i="33"/>
  <c r="I620" i="33"/>
  <c r="I619" i="33"/>
  <c r="K619" i="33" s="1"/>
  <c r="I618" i="33"/>
  <c r="K618" i="33" s="1"/>
  <c r="K617" i="33"/>
  <c r="I617" i="33"/>
  <c r="I616" i="33"/>
  <c r="K616" i="33" s="1"/>
  <c r="I615" i="33"/>
  <c r="K615" i="33" s="1"/>
  <c r="I614" i="33"/>
  <c r="K614" i="33" s="1"/>
  <c r="K613" i="33"/>
  <c r="I613" i="33"/>
  <c r="I612" i="33"/>
  <c r="K612" i="33" s="1"/>
  <c r="I611" i="33"/>
  <c r="K611" i="33" s="1"/>
  <c r="I610" i="33"/>
  <c r="K610" i="33" s="1"/>
  <c r="K609" i="33"/>
  <c r="I609" i="33"/>
  <c r="I608" i="33"/>
  <c r="I607" i="33"/>
  <c r="I606" i="33"/>
  <c r="I605" i="33"/>
  <c r="K605" i="33" s="1"/>
  <c r="I604" i="33"/>
  <c r="I603" i="33"/>
  <c r="I602" i="33"/>
  <c r="I601" i="33"/>
  <c r="I600" i="33"/>
  <c r="I599" i="33"/>
  <c r="K599" i="33" s="1"/>
  <c r="I598" i="33"/>
  <c r="K598" i="33" s="1"/>
  <c r="K597" i="33"/>
  <c r="I597" i="33"/>
  <c r="I596" i="33"/>
  <c r="K596" i="33" s="1"/>
  <c r="I595" i="33"/>
  <c r="K595" i="33" s="1"/>
  <c r="I594" i="33"/>
  <c r="I593" i="33"/>
  <c r="I592" i="33"/>
  <c r="K592" i="33" s="1"/>
  <c r="I591" i="33"/>
  <c r="I590" i="33"/>
  <c r="I589" i="33"/>
  <c r="I588" i="33"/>
  <c r="I587" i="33"/>
  <c r="I586" i="33"/>
  <c r="I585" i="33"/>
  <c r="I584" i="33"/>
  <c r="I583" i="33"/>
  <c r="I582" i="33"/>
  <c r="I581" i="33"/>
  <c r="I580" i="33"/>
  <c r="I579" i="33"/>
  <c r="I578" i="33"/>
  <c r="I577" i="33"/>
  <c r="I576" i="33"/>
  <c r="I575" i="33"/>
  <c r="I574" i="33"/>
  <c r="I573" i="33"/>
  <c r="I572" i="33"/>
  <c r="K572" i="33" s="1"/>
  <c r="I571" i="33"/>
  <c r="K571" i="33" s="1"/>
  <c r="I570" i="33"/>
  <c r="K570" i="33" s="1"/>
  <c r="K569" i="33"/>
  <c r="I569" i="33"/>
  <c r="I568" i="33"/>
  <c r="K568" i="33" s="1"/>
  <c r="I567" i="33"/>
  <c r="K567" i="33" s="1"/>
  <c r="I566" i="33"/>
  <c r="K566" i="33" s="1"/>
  <c r="K565" i="33"/>
  <c r="I565" i="33"/>
  <c r="I564" i="33"/>
  <c r="K564" i="33" s="1"/>
  <c r="I563" i="33"/>
  <c r="K563" i="33" s="1"/>
  <c r="I562" i="33"/>
  <c r="I561" i="33"/>
  <c r="I560" i="33"/>
  <c r="I559" i="33"/>
  <c r="I558" i="33"/>
  <c r="I557" i="33"/>
  <c r="I556" i="33"/>
  <c r="I555" i="33"/>
  <c r="I554" i="33"/>
  <c r="I553" i="33"/>
  <c r="I552" i="33"/>
  <c r="K551" i="33"/>
  <c r="I551" i="33"/>
  <c r="I550" i="33"/>
  <c r="K550" i="33" s="1"/>
  <c r="I549" i="33"/>
  <c r="I548" i="33"/>
  <c r="K548" i="33" s="1"/>
  <c r="I547" i="33"/>
  <c r="K547" i="33" s="1"/>
  <c r="I546" i="33"/>
  <c r="K546" i="33" s="1"/>
  <c r="K545" i="33"/>
  <c r="I545" i="33"/>
  <c r="I544" i="33"/>
  <c r="K544" i="33" s="1"/>
  <c r="I543" i="33"/>
  <c r="K543" i="33" s="1"/>
  <c r="I542" i="33"/>
  <c r="K542" i="33" s="1"/>
  <c r="K541" i="33"/>
  <c r="I541" i="33"/>
  <c r="I540" i="33"/>
  <c r="I539" i="33"/>
  <c r="I538" i="33"/>
  <c r="I537" i="33"/>
  <c r="I536" i="33"/>
  <c r="I535" i="33"/>
  <c r="I534" i="33"/>
  <c r="I533" i="33"/>
  <c r="I532" i="33"/>
  <c r="I531" i="33"/>
  <c r="I530" i="33"/>
  <c r="I529" i="33"/>
  <c r="I528" i="33"/>
  <c r="K528" i="33" s="1"/>
  <c r="I527" i="33"/>
  <c r="K527" i="33" s="1"/>
  <c r="I526" i="33"/>
  <c r="K526" i="33" s="1"/>
  <c r="K525" i="33"/>
  <c r="I525" i="33"/>
  <c r="I524" i="33"/>
  <c r="K524" i="33" s="1"/>
  <c r="I523" i="33"/>
  <c r="K523" i="33" s="1"/>
  <c r="I522" i="33"/>
  <c r="K522" i="33" s="1"/>
  <c r="K521" i="33"/>
  <c r="I521" i="33"/>
  <c r="I520" i="33"/>
  <c r="K520" i="33" s="1"/>
  <c r="I519" i="33"/>
  <c r="K519" i="33" s="1"/>
  <c r="I518" i="33"/>
  <c r="K518" i="33" s="1"/>
  <c r="I517" i="33"/>
  <c r="I516" i="33"/>
  <c r="K516" i="33" s="1"/>
  <c r="I515" i="33"/>
  <c r="I514" i="33"/>
  <c r="I513" i="33"/>
  <c r="I512" i="33"/>
  <c r="I511" i="33"/>
  <c r="I510" i="33"/>
  <c r="I509" i="33"/>
  <c r="I508" i="33"/>
  <c r="I507" i="33"/>
  <c r="I506" i="33"/>
  <c r="I505" i="33"/>
  <c r="I504" i="33"/>
  <c r="I503" i="33"/>
  <c r="I502" i="33"/>
  <c r="I501" i="33"/>
  <c r="I500" i="33"/>
  <c r="I499" i="33"/>
  <c r="I498" i="33"/>
  <c r="I497" i="33"/>
  <c r="I496" i="33"/>
  <c r="K496" i="33" s="1"/>
  <c r="I495" i="33"/>
  <c r="K495" i="33" s="1"/>
  <c r="I494" i="33"/>
  <c r="K494" i="33" s="1"/>
  <c r="K493" i="33"/>
  <c r="I493" i="33"/>
  <c r="I492" i="33"/>
  <c r="K492" i="33" s="1"/>
  <c r="I491" i="33"/>
  <c r="K491" i="33" s="1"/>
  <c r="I490" i="33"/>
  <c r="K490" i="33" s="1"/>
  <c r="I489" i="33"/>
  <c r="K489" i="33" s="1"/>
  <c r="I488" i="33"/>
  <c r="K488" i="33" s="1"/>
  <c r="I487" i="33"/>
  <c r="K487" i="33" s="1"/>
  <c r="I486" i="33"/>
  <c r="I485" i="33"/>
  <c r="I484" i="33"/>
  <c r="K484" i="33" s="1"/>
  <c r="I483" i="33"/>
  <c r="I482" i="33"/>
  <c r="K482" i="33" s="1"/>
  <c r="K481" i="33"/>
  <c r="I481" i="33"/>
  <c r="I480" i="33"/>
  <c r="K480" i="33" s="1"/>
  <c r="I479" i="33"/>
  <c r="K479" i="33" s="1"/>
  <c r="I478" i="33"/>
  <c r="K478" i="33" s="1"/>
  <c r="K477" i="33"/>
  <c r="I477" i="33"/>
  <c r="I476" i="33"/>
  <c r="K476" i="33" s="1"/>
  <c r="I475" i="33"/>
  <c r="I474" i="33"/>
  <c r="I473" i="33"/>
  <c r="I472" i="33"/>
  <c r="I471" i="33"/>
  <c r="I470" i="33"/>
  <c r="I469" i="33"/>
  <c r="I468" i="33"/>
  <c r="I467" i="33"/>
  <c r="I466" i="33"/>
  <c r="I465" i="33"/>
  <c r="I464" i="33"/>
  <c r="I463" i="33"/>
  <c r="I462" i="33"/>
  <c r="I461" i="33"/>
  <c r="I460" i="33"/>
  <c r="I459" i="33"/>
  <c r="I458" i="33"/>
  <c r="I457" i="33"/>
  <c r="K456" i="33"/>
  <c r="I456" i="33"/>
  <c r="I455" i="33"/>
  <c r="K455" i="33" s="1"/>
  <c r="I454" i="33"/>
  <c r="K454" i="33" s="1"/>
  <c r="I453" i="33"/>
  <c r="K453" i="33" s="1"/>
  <c r="I452" i="33"/>
  <c r="K452" i="33" s="1"/>
  <c r="I451" i="33"/>
  <c r="K451" i="33" s="1"/>
  <c r="I450" i="33"/>
  <c r="K450" i="33" s="1"/>
  <c r="I449" i="33"/>
  <c r="K449" i="33" s="1"/>
  <c r="I448" i="33"/>
  <c r="K448" i="33" s="1"/>
  <c r="I447" i="33"/>
  <c r="I446" i="33"/>
  <c r="K446" i="33" s="1"/>
  <c r="I445" i="33"/>
  <c r="K445" i="33" s="1"/>
  <c r="I444" i="33"/>
  <c r="I443" i="33"/>
  <c r="I442" i="33"/>
  <c r="I441" i="33"/>
  <c r="K441" i="33" s="1"/>
  <c r="I440" i="33"/>
  <c r="K440" i="33" s="1"/>
  <c r="I439" i="33"/>
  <c r="I438" i="33"/>
  <c r="K438" i="33" s="1"/>
  <c r="K437" i="33"/>
  <c r="I437" i="33"/>
  <c r="I436" i="33"/>
  <c r="K436" i="33" s="1"/>
  <c r="I435" i="33"/>
  <c r="K435" i="33" s="1"/>
  <c r="I434" i="33"/>
  <c r="K434" i="33" s="1"/>
  <c r="K433" i="33"/>
  <c r="I433" i="33"/>
  <c r="I432" i="33"/>
  <c r="K432" i="33" s="1"/>
  <c r="I431" i="33"/>
  <c r="K431" i="33" s="1"/>
  <c r="I430" i="33"/>
  <c r="K430" i="33" s="1"/>
  <c r="K429" i="33"/>
  <c r="I429" i="33"/>
  <c r="I428" i="33"/>
  <c r="K428" i="33" s="1"/>
  <c r="I427" i="33"/>
  <c r="K427" i="33" s="1"/>
  <c r="I426" i="33"/>
  <c r="K426" i="33" s="1"/>
  <c r="K425" i="33"/>
  <c r="I425" i="33"/>
  <c r="I424" i="33"/>
  <c r="K424" i="33" s="1"/>
  <c r="I423" i="33"/>
  <c r="K423" i="33" s="1"/>
  <c r="I422" i="33"/>
  <c r="K422" i="33" s="1"/>
  <c r="I421" i="33"/>
  <c r="I420" i="33"/>
  <c r="K420" i="33" s="1"/>
  <c r="I419" i="33"/>
  <c r="K419" i="33" s="1"/>
  <c r="I418" i="33"/>
  <c r="K418" i="33" s="1"/>
  <c r="I417" i="33"/>
  <c r="K417" i="33" s="1"/>
  <c r="I416" i="33"/>
  <c r="K416" i="33" s="1"/>
  <c r="I415" i="33"/>
  <c r="K415" i="33" s="1"/>
  <c r="I414" i="33"/>
  <c r="I413" i="33"/>
  <c r="K413" i="33" s="1"/>
  <c r="I412" i="33"/>
  <c r="K412" i="33" s="1"/>
  <c r="I411" i="33"/>
  <c r="K411" i="33" s="1"/>
  <c r="K410" i="33"/>
  <c r="I410" i="33"/>
  <c r="I409" i="33"/>
  <c r="K409" i="33" s="1"/>
  <c r="I408" i="33"/>
  <c r="K408" i="33" s="1"/>
  <c r="I407" i="33"/>
  <c r="K407" i="33" s="1"/>
  <c r="K406" i="33"/>
  <c r="I406" i="33"/>
  <c r="I405" i="33"/>
  <c r="K405" i="33" s="1"/>
  <c r="I404" i="33"/>
  <c r="K404" i="33" s="1"/>
  <c r="I403" i="33"/>
  <c r="K403" i="33" s="1"/>
  <c r="K402" i="33"/>
  <c r="I402" i="33"/>
  <c r="I401" i="33"/>
  <c r="K401" i="33" s="1"/>
  <c r="I400" i="33"/>
  <c r="K400" i="33" s="1"/>
  <c r="I399" i="33"/>
  <c r="K399" i="33" s="1"/>
  <c r="K398" i="33"/>
  <c r="I398" i="33"/>
  <c r="I397" i="33"/>
  <c r="K397" i="33" s="1"/>
  <c r="I396" i="33"/>
  <c r="K396" i="33" s="1"/>
  <c r="I395" i="33"/>
  <c r="K395" i="33" s="1"/>
  <c r="K394" i="33"/>
  <c r="I394" i="33"/>
  <c r="I393" i="33"/>
  <c r="K393" i="33" s="1"/>
  <c r="I392" i="33"/>
  <c r="K392" i="33" s="1"/>
  <c r="I391" i="33"/>
  <c r="K391" i="33" s="1"/>
  <c r="K390" i="33"/>
  <c r="I390" i="33"/>
  <c r="I389" i="33"/>
  <c r="K389" i="33" s="1"/>
  <c r="I388" i="33"/>
  <c r="K388" i="33" s="1"/>
  <c r="I387" i="33"/>
  <c r="K387" i="33" s="1"/>
  <c r="K386" i="33"/>
  <c r="I386" i="33"/>
  <c r="I385" i="33"/>
  <c r="K385" i="33" s="1"/>
  <c r="I384" i="33"/>
  <c r="K384" i="33" s="1"/>
  <c r="I383" i="33"/>
  <c r="K383" i="33" s="1"/>
  <c r="K382" i="33"/>
  <c r="I382" i="33"/>
  <c r="I381" i="33"/>
  <c r="K381" i="33" s="1"/>
  <c r="I380" i="33"/>
  <c r="K380" i="33" s="1"/>
  <c r="I379" i="33"/>
  <c r="K379" i="33" s="1"/>
  <c r="I378" i="33"/>
  <c r="I377" i="33"/>
  <c r="I376" i="33"/>
  <c r="I375" i="33"/>
  <c r="I374" i="33"/>
  <c r="I373" i="33"/>
  <c r="I372" i="33"/>
  <c r="I371" i="33"/>
  <c r="I370" i="33"/>
  <c r="I369" i="33"/>
  <c r="I368" i="33"/>
  <c r="I367" i="33"/>
  <c r="I366" i="33"/>
  <c r="I365" i="33"/>
  <c r="I364" i="33"/>
  <c r="I363" i="33"/>
  <c r="I362" i="33"/>
  <c r="I361" i="33"/>
  <c r="I360" i="33"/>
  <c r="I359" i="33"/>
  <c r="I358" i="33"/>
  <c r="I357" i="33"/>
  <c r="I356" i="33"/>
  <c r="I355" i="33"/>
  <c r="I354" i="33"/>
  <c r="I353" i="33"/>
  <c r="I352" i="33"/>
  <c r="I351" i="33"/>
  <c r="K351" i="33" s="1"/>
  <c r="I350" i="33"/>
  <c r="K350" i="33" s="1"/>
  <c r="K349" i="33"/>
  <c r="I349" i="33"/>
  <c r="I348" i="33"/>
  <c r="K348" i="33" s="1"/>
  <c r="I347" i="33"/>
  <c r="K347" i="33" s="1"/>
  <c r="I346" i="33"/>
  <c r="K346" i="33" s="1"/>
  <c r="I345" i="33"/>
  <c r="K345" i="33" s="1"/>
  <c r="I344" i="33"/>
  <c r="K344" i="33" s="1"/>
  <c r="I343" i="33"/>
  <c r="K343" i="33" s="1"/>
  <c r="I342" i="33"/>
  <c r="K342" i="33" s="1"/>
  <c r="I341" i="33"/>
  <c r="K341" i="33" s="1"/>
  <c r="I340" i="33"/>
  <c r="K340" i="33" s="1"/>
  <c r="I339" i="33"/>
  <c r="K339" i="33" s="1"/>
  <c r="I338" i="33"/>
  <c r="K338" i="33" s="1"/>
  <c r="I337" i="33"/>
  <c r="K337" i="33" s="1"/>
  <c r="I336" i="33"/>
  <c r="K336" i="33" s="1"/>
  <c r="I335" i="33"/>
  <c r="K335" i="33" s="1"/>
  <c r="I334" i="33"/>
  <c r="K334" i="33" s="1"/>
  <c r="I333" i="33"/>
  <c r="K333" i="33" s="1"/>
  <c r="I332" i="33"/>
  <c r="K332" i="33" s="1"/>
  <c r="I331" i="33"/>
  <c r="K331" i="33" s="1"/>
  <c r="I330" i="33"/>
  <c r="K330" i="33" s="1"/>
  <c r="I329" i="33"/>
  <c r="K329" i="33" s="1"/>
  <c r="I328" i="33"/>
  <c r="K328" i="33" s="1"/>
  <c r="I327" i="33"/>
  <c r="K327" i="33" s="1"/>
  <c r="I326" i="33"/>
  <c r="K326" i="33" s="1"/>
  <c r="I325" i="33"/>
  <c r="K325" i="33" s="1"/>
  <c r="I324" i="33"/>
  <c r="K324" i="33" s="1"/>
  <c r="I323" i="33"/>
  <c r="K323" i="33" s="1"/>
  <c r="I322" i="33"/>
  <c r="K322" i="33" s="1"/>
  <c r="I321" i="33"/>
  <c r="K321" i="33" s="1"/>
  <c r="I320" i="33"/>
  <c r="K320" i="33" s="1"/>
  <c r="I319" i="33"/>
  <c r="K319" i="33" s="1"/>
  <c r="I318" i="33"/>
  <c r="K318" i="33" s="1"/>
  <c r="I317" i="33"/>
  <c r="K317" i="33" s="1"/>
  <c r="I316" i="33"/>
  <c r="K316" i="33" s="1"/>
  <c r="I315" i="33"/>
  <c r="K315" i="33" s="1"/>
  <c r="I314" i="33"/>
  <c r="K314" i="33" s="1"/>
  <c r="I313" i="33"/>
  <c r="K313" i="33" s="1"/>
  <c r="I312" i="33"/>
  <c r="K312" i="33" s="1"/>
  <c r="I311" i="33"/>
  <c r="K311" i="33" s="1"/>
  <c r="I310" i="33"/>
  <c r="K310" i="33" s="1"/>
  <c r="I309" i="33"/>
  <c r="K309" i="33" s="1"/>
  <c r="I308" i="33"/>
  <c r="K308" i="33" s="1"/>
  <c r="I307" i="33"/>
  <c r="K307" i="33" s="1"/>
  <c r="I306" i="33"/>
  <c r="K306" i="33" s="1"/>
  <c r="I305" i="33"/>
  <c r="K305" i="33" s="1"/>
  <c r="I304" i="33"/>
  <c r="K304" i="33" s="1"/>
  <c r="I303" i="33"/>
  <c r="K303" i="33" s="1"/>
  <c r="I302" i="33"/>
  <c r="K302" i="33" s="1"/>
  <c r="I301" i="33"/>
  <c r="I300" i="33"/>
  <c r="I299" i="33"/>
  <c r="I298" i="33"/>
  <c r="I297" i="33"/>
  <c r="I296" i="33"/>
  <c r="I295" i="33"/>
  <c r="I294" i="33"/>
  <c r="I293" i="33"/>
  <c r="I292" i="33"/>
  <c r="I291" i="33"/>
  <c r="I290" i="33"/>
  <c r="I289" i="33"/>
  <c r="I288" i="33"/>
  <c r="I287" i="33"/>
  <c r="I286" i="33"/>
  <c r="I285" i="33"/>
  <c r="I284" i="33"/>
  <c r="I283" i="33"/>
  <c r="K283" i="33" s="1"/>
  <c r="I282" i="33"/>
  <c r="K282" i="33" s="1"/>
  <c r="I281" i="33"/>
  <c r="K281" i="33" s="1"/>
  <c r="I280" i="33"/>
  <c r="K280" i="33" s="1"/>
  <c r="I279" i="33"/>
  <c r="K279" i="33" s="1"/>
  <c r="I278" i="33"/>
  <c r="K278" i="33" s="1"/>
  <c r="I277" i="33"/>
  <c r="K277" i="33" s="1"/>
  <c r="I276" i="33"/>
  <c r="K276" i="33" s="1"/>
  <c r="I275" i="33"/>
  <c r="K275" i="33" s="1"/>
  <c r="I274" i="33"/>
  <c r="K274" i="33" s="1"/>
  <c r="I273" i="33"/>
  <c r="K273" i="33" s="1"/>
  <c r="I272" i="33"/>
  <c r="K272" i="33" s="1"/>
  <c r="I271" i="33"/>
  <c r="K271" i="33" s="1"/>
  <c r="I270" i="33"/>
  <c r="K270" i="33" s="1"/>
  <c r="I269" i="33"/>
  <c r="K269" i="33" s="1"/>
  <c r="I268" i="33"/>
  <c r="I267" i="33"/>
  <c r="I266" i="33"/>
  <c r="I265" i="33"/>
  <c r="I264" i="33"/>
  <c r="I263" i="33"/>
  <c r="I262" i="33"/>
  <c r="K262" i="33" s="1"/>
  <c r="I261" i="33"/>
  <c r="K261" i="33" s="1"/>
  <c r="I260" i="33"/>
  <c r="K260" i="33" s="1"/>
  <c r="I259" i="33"/>
  <c r="K259" i="33" s="1"/>
  <c r="I258" i="33"/>
  <c r="K258" i="33" s="1"/>
  <c r="I257" i="33"/>
  <c r="K256" i="33"/>
  <c r="I256" i="33"/>
  <c r="I255" i="33"/>
  <c r="K255" i="33" s="1"/>
  <c r="I254" i="33"/>
  <c r="I253" i="33"/>
  <c r="K253" i="33" s="1"/>
  <c r="I252" i="33"/>
  <c r="I251" i="33"/>
  <c r="I250" i="33"/>
  <c r="K250" i="33" s="1"/>
  <c r="I249" i="33"/>
  <c r="K249" i="33" s="1"/>
  <c r="I248" i="33"/>
  <c r="K248" i="33" s="1"/>
  <c r="I247" i="33"/>
  <c r="I246" i="33"/>
  <c r="I245" i="33"/>
  <c r="I244" i="33"/>
  <c r="I243" i="33"/>
  <c r="I242" i="33"/>
  <c r="I241" i="33"/>
  <c r="I240" i="33"/>
  <c r="I239" i="33"/>
  <c r="I238" i="33"/>
  <c r="I237" i="33"/>
  <c r="I236" i="33"/>
  <c r="K236" i="33" s="1"/>
  <c r="K235" i="33"/>
  <c r="I235" i="33"/>
  <c r="I234" i="33"/>
  <c r="K234" i="33" s="1"/>
  <c r="I233" i="33"/>
  <c r="K233" i="33" s="1"/>
  <c r="I232" i="33"/>
  <c r="K232" i="33" s="1"/>
  <c r="K231" i="33"/>
  <c r="I231" i="33"/>
  <c r="I230" i="33"/>
  <c r="K230" i="33" s="1"/>
  <c r="I229" i="33"/>
  <c r="K229" i="33" s="1"/>
  <c r="I228" i="33"/>
  <c r="K228" i="33" s="1"/>
  <c r="I227" i="33"/>
  <c r="I226" i="33"/>
  <c r="I225" i="33"/>
  <c r="I224" i="33"/>
  <c r="I223" i="33"/>
  <c r="I222" i="33"/>
  <c r="I221" i="33"/>
  <c r="I220" i="33"/>
  <c r="K220" i="33" s="1"/>
  <c r="I219" i="33"/>
  <c r="K219" i="33" s="1"/>
  <c r="K218" i="33"/>
  <c r="I218" i="33"/>
  <c r="I217" i="33"/>
  <c r="K217" i="33" s="1"/>
  <c r="I216" i="33"/>
  <c r="I215" i="33"/>
  <c r="K215" i="33" s="1"/>
  <c r="I214" i="33"/>
  <c r="K214" i="33" s="1"/>
  <c r="I213" i="33"/>
  <c r="K213" i="33" s="1"/>
  <c r="K212" i="33"/>
  <c r="I212" i="33"/>
  <c r="I211" i="33"/>
  <c r="K211" i="33" s="1"/>
  <c r="I210" i="33"/>
  <c r="K210" i="33" s="1"/>
  <c r="I209" i="33"/>
  <c r="K209" i="33" s="1"/>
  <c r="K208" i="33"/>
  <c r="I208" i="33"/>
  <c r="I207" i="33"/>
  <c r="K207" i="33" s="1"/>
  <c r="I206" i="33"/>
  <c r="K206" i="33" s="1"/>
  <c r="I205" i="33"/>
  <c r="I204" i="33"/>
  <c r="K204" i="33" s="1"/>
  <c r="I203" i="33"/>
  <c r="K203" i="33" s="1"/>
  <c r="I202" i="33"/>
  <c r="K202" i="33" s="1"/>
  <c r="I201" i="33"/>
  <c r="K201" i="33" s="1"/>
  <c r="I200" i="33"/>
  <c r="K200" i="33" s="1"/>
  <c r="I199" i="33"/>
  <c r="I198" i="33"/>
  <c r="K198" i="33" s="1"/>
  <c r="I197" i="33"/>
  <c r="K197" i="33" s="1"/>
  <c r="I196" i="33"/>
  <c r="K196" i="33" s="1"/>
  <c r="K195" i="33"/>
  <c r="I195" i="33"/>
  <c r="I194" i="33"/>
  <c r="K194" i="33" s="1"/>
  <c r="I193" i="33"/>
  <c r="K193" i="33" s="1"/>
  <c r="I192" i="33"/>
  <c r="K192" i="33" s="1"/>
  <c r="K191" i="33"/>
  <c r="I191" i="33"/>
  <c r="I190" i="33"/>
  <c r="K190" i="33" s="1"/>
  <c r="I189" i="33"/>
  <c r="K189" i="33" s="1"/>
  <c r="I188" i="33"/>
  <c r="K188" i="33" s="1"/>
  <c r="K187" i="33"/>
  <c r="I187" i="33"/>
  <c r="I186" i="33"/>
  <c r="K186" i="33" s="1"/>
  <c r="I185" i="33"/>
  <c r="K185" i="33" s="1"/>
  <c r="I184" i="33"/>
  <c r="K184" i="33" s="1"/>
  <c r="K183" i="33"/>
  <c r="I183" i="33"/>
  <c r="I182" i="33"/>
  <c r="I181" i="33"/>
  <c r="K180" i="33"/>
  <c r="I180" i="33"/>
  <c r="I179" i="33"/>
  <c r="K179" i="33" s="1"/>
  <c r="I178" i="33"/>
  <c r="K178" i="33" s="1"/>
  <c r="I177" i="33"/>
  <c r="I176" i="33"/>
  <c r="K176" i="33" s="1"/>
  <c r="I175" i="33"/>
  <c r="K175" i="33" s="1"/>
  <c r="I174" i="33"/>
  <c r="I173" i="33"/>
  <c r="I172" i="33"/>
  <c r="K172" i="33" s="1"/>
  <c r="I171" i="33"/>
  <c r="I170" i="33"/>
  <c r="I169" i="33"/>
  <c r="K169" i="33" s="1"/>
  <c r="I168" i="33"/>
  <c r="K168" i="33" s="1"/>
  <c r="I167" i="33"/>
  <c r="K167" i="33" s="1"/>
  <c r="I166" i="33"/>
  <c r="K166" i="33" s="1"/>
  <c r="I165" i="33"/>
  <c r="K165" i="33" s="1"/>
  <c r="I164" i="33"/>
  <c r="K164" i="33" s="1"/>
  <c r="I163" i="33"/>
  <c r="K163" i="33" s="1"/>
  <c r="I162" i="33"/>
  <c r="I161" i="33"/>
  <c r="K161" i="33" s="1"/>
  <c r="I160" i="33"/>
  <c r="K160" i="33" s="1"/>
  <c r="K159" i="33"/>
  <c r="I159" i="33"/>
  <c r="I158" i="33"/>
  <c r="K158" i="33" s="1"/>
  <c r="I157" i="33"/>
  <c r="K157" i="33" s="1"/>
  <c r="I156" i="33"/>
  <c r="K156" i="33" s="1"/>
  <c r="K155" i="33"/>
  <c r="I155" i="33"/>
  <c r="I154" i="33"/>
  <c r="K154" i="33" s="1"/>
  <c r="I153" i="33"/>
  <c r="K153" i="33" s="1"/>
  <c r="I152" i="33"/>
  <c r="K152" i="33" s="1"/>
  <c r="K151" i="33"/>
  <c r="I151" i="33"/>
  <c r="I150" i="33"/>
  <c r="K150" i="33" s="1"/>
  <c r="I149" i="33"/>
  <c r="K149" i="33" s="1"/>
  <c r="I148" i="33"/>
  <c r="K148" i="33" s="1"/>
  <c r="K147" i="33"/>
  <c r="I147" i="33"/>
  <c r="I146" i="33"/>
  <c r="I145" i="33"/>
  <c r="K145" i="33" s="1"/>
  <c r="I144" i="33"/>
  <c r="K144" i="33" s="1"/>
  <c r="I143" i="33"/>
  <c r="K143" i="33" s="1"/>
  <c r="I142" i="33"/>
  <c r="K142" i="33" s="1"/>
  <c r="I141" i="33"/>
  <c r="K141" i="33" s="1"/>
  <c r="I140" i="33"/>
  <c r="K140" i="33" s="1"/>
  <c r="I139" i="33"/>
  <c r="K139" i="33" s="1"/>
  <c r="I138" i="33"/>
  <c r="K138" i="33" s="1"/>
  <c r="I137" i="33"/>
  <c r="I136" i="33"/>
  <c r="I135" i="33"/>
  <c r="K135" i="33" s="1"/>
  <c r="I134" i="33"/>
  <c r="K134" i="33" s="1"/>
  <c r="I133" i="33"/>
  <c r="I132" i="33"/>
  <c r="K132" i="33" s="1"/>
  <c r="I131" i="33"/>
  <c r="K131" i="33" s="1"/>
  <c r="I130" i="33"/>
  <c r="K130" i="33" s="1"/>
  <c r="K129" i="33"/>
  <c r="I129" i="33"/>
  <c r="I128" i="33"/>
  <c r="K128" i="33" s="1"/>
  <c r="I127" i="33"/>
  <c r="K127" i="33" s="1"/>
  <c r="I126" i="33"/>
  <c r="K126" i="33" s="1"/>
  <c r="K125" i="33"/>
  <c r="I125" i="33"/>
  <c r="I124" i="33"/>
  <c r="K124" i="33" s="1"/>
  <c r="I123" i="33"/>
  <c r="K123" i="33" s="1"/>
  <c r="I122" i="33"/>
  <c r="K122" i="33" s="1"/>
  <c r="I121" i="33"/>
  <c r="I120" i="33"/>
  <c r="K120" i="33" s="1"/>
  <c r="I119" i="33"/>
  <c r="K119" i="33" s="1"/>
  <c r="I118" i="33"/>
  <c r="K118" i="33" s="1"/>
  <c r="I117" i="33"/>
  <c r="K117" i="33" s="1"/>
  <c r="I116" i="33"/>
  <c r="K116" i="33" s="1"/>
  <c r="I115" i="33"/>
  <c r="K115" i="33" s="1"/>
  <c r="I114" i="33"/>
  <c r="K114" i="33" s="1"/>
  <c r="I113" i="33"/>
  <c r="K113" i="33" s="1"/>
  <c r="I112" i="33"/>
  <c r="K112" i="33" s="1"/>
  <c r="I111" i="33"/>
  <c r="K111" i="33" s="1"/>
  <c r="I110" i="33"/>
  <c r="K110" i="33" s="1"/>
  <c r="I109" i="33"/>
  <c r="K109" i="33" s="1"/>
  <c r="I108" i="33"/>
  <c r="K108" i="33" s="1"/>
  <c r="I107" i="33"/>
  <c r="K107" i="33" s="1"/>
  <c r="I106" i="33"/>
  <c r="K106" i="33" s="1"/>
  <c r="I105" i="33"/>
  <c r="K105" i="33" s="1"/>
  <c r="I104" i="33"/>
  <c r="K104" i="33" s="1"/>
  <c r="I103" i="33"/>
  <c r="I102" i="33"/>
  <c r="K102" i="33" s="1"/>
  <c r="I101" i="33"/>
  <c r="K101" i="33" s="1"/>
  <c r="I100" i="33"/>
  <c r="I99" i="33"/>
  <c r="K99" i="33" s="1"/>
  <c r="I98" i="33"/>
  <c r="K98" i="33" s="1"/>
  <c r="I97" i="33"/>
  <c r="K97" i="33" s="1"/>
  <c r="K96" i="33"/>
  <c r="I96" i="33"/>
  <c r="I95" i="33"/>
  <c r="K95" i="33" s="1"/>
  <c r="J94" i="33"/>
  <c r="K94" i="33" s="1"/>
  <c r="I94" i="33"/>
  <c r="I93" i="33"/>
  <c r="K93" i="33" s="1"/>
  <c r="I92" i="33"/>
  <c r="K92" i="33" s="1"/>
  <c r="I91" i="33"/>
  <c r="I90" i="33"/>
  <c r="I89" i="33"/>
  <c r="K89" i="33" s="1"/>
  <c r="I88" i="33"/>
  <c r="K88" i="33" s="1"/>
  <c r="I87" i="33"/>
  <c r="K87" i="33" s="1"/>
  <c r="K86" i="33"/>
  <c r="I86" i="33"/>
  <c r="I85" i="33"/>
  <c r="K85" i="33" s="1"/>
  <c r="I84" i="33"/>
  <c r="K84" i="33" s="1"/>
  <c r="I83" i="33"/>
  <c r="K83" i="33" s="1"/>
  <c r="I82" i="33"/>
  <c r="I81" i="33"/>
  <c r="K81" i="33" s="1"/>
  <c r="I80" i="33"/>
  <c r="K80" i="33" s="1"/>
  <c r="I79" i="33"/>
  <c r="K79" i="33" s="1"/>
  <c r="I78" i="33"/>
  <c r="I77" i="33"/>
  <c r="K77" i="33" s="1"/>
  <c r="I76" i="33"/>
  <c r="K76" i="33" s="1"/>
  <c r="K75" i="33"/>
  <c r="I75" i="33"/>
  <c r="I74" i="33"/>
  <c r="K74" i="33" s="1"/>
  <c r="I73" i="33"/>
  <c r="K73" i="33" s="1"/>
  <c r="I72" i="33"/>
  <c r="K72" i="33" s="1"/>
  <c r="K71" i="33"/>
  <c r="I71" i="33"/>
  <c r="I70" i="33"/>
  <c r="K70" i="33" s="1"/>
  <c r="I69" i="33"/>
  <c r="K69" i="33" s="1"/>
  <c r="I68" i="33"/>
  <c r="K68" i="33" s="1"/>
  <c r="K67" i="33"/>
  <c r="I67" i="33"/>
  <c r="I66" i="33"/>
  <c r="K66" i="33" s="1"/>
  <c r="I65" i="33"/>
  <c r="K65" i="33" s="1"/>
  <c r="I64" i="33"/>
  <c r="K64" i="33" s="1"/>
  <c r="K63" i="33"/>
  <c r="I63" i="33"/>
  <c r="I62" i="33"/>
  <c r="I61" i="33"/>
  <c r="I60" i="33"/>
  <c r="I59" i="33"/>
  <c r="I58" i="33"/>
  <c r="I57" i="33"/>
  <c r="K56" i="33"/>
  <c r="I56" i="33"/>
  <c r="I55" i="33"/>
  <c r="K55" i="33" s="1"/>
  <c r="I54" i="33"/>
  <c r="I53" i="33"/>
  <c r="I52" i="33"/>
  <c r="K52" i="33" s="1"/>
  <c r="I51" i="33"/>
  <c r="I50" i="33"/>
  <c r="I49" i="33"/>
  <c r="I48" i="33"/>
  <c r="K48" i="33" s="1"/>
  <c r="I47" i="33"/>
  <c r="K47" i="33" s="1"/>
  <c r="K46" i="33"/>
  <c r="I46" i="33"/>
  <c r="I45" i="33"/>
  <c r="I44" i="33"/>
  <c r="K44" i="33" s="1"/>
  <c r="I43" i="33"/>
  <c r="K43" i="33" s="1"/>
  <c r="I42" i="33"/>
  <c r="I41" i="33"/>
  <c r="I40" i="33"/>
  <c r="I39" i="33"/>
  <c r="I38" i="33"/>
  <c r="I37" i="33"/>
  <c r="I36" i="33"/>
  <c r="K36" i="33" s="1"/>
  <c r="I35" i="33"/>
  <c r="K35" i="33" s="1"/>
  <c r="I34" i="33"/>
  <c r="I33" i="33"/>
  <c r="K33" i="33" s="1"/>
  <c r="I32" i="33"/>
  <c r="I31" i="33"/>
  <c r="I30" i="33"/>
  <c r="I29" i="33"/>
  <c r="I28" i="33"/>
  <c r="I27" i="33"/>
  <c r="K27" i="33" s="1"/>
  <c r="J26" i="33"/>
  <c r="I26" i="33"/>
  <c r="K26" i="33" s="1"/>
  <c r="I25" i="33"/>
  <c r="K25" i="33" s="1"/>
  <c r="I24" i="33"/>
  <c r="K24" i="33" s="1"/>
  <c r="I23" i="33"/>
  <c r="K23" i="33" s="1"/>
  <c r="I22" i="33"/>
  <c r="K22" i="33" s="1"/>
  <c r="I21" i="33"/>
  <c r="K21" i="33" s="1"/>
  <c r="I20" i="33"/>
  <c r="I19" i="33"/>
  <c r="K19" i="33" s="1"/>
  <c r="I18" i="33"/>
  <c r="K18" i="33" s="1"/>
  <c r="I17" i="33"/>
  <c r="K17" i="33" s="1"/>
  <c r="I16" i="33"/>
  <c r="K16" i="33" s="1"/>
  <c r="I15" i="33"/>
  <c r="K15" i="33" s="1"/>
  <c r="I14" i="33"/>
  <c r="K14" i="33" s="1"/>
  <c r="I13" i="33"/>
  <c r="K13" i="33" s="1"/>
  <c r="L221" i="33" l="1"/>
  <c r="K840" i="33"/>
  <c r="K847" i="33"/>
  <c r="K1465" i="33"/>
  <c r="I1486" i="33"/>
  <c r="K1486" i="33" s="1"/>
  <c r="L1513" i="33"/>
  <c r="I1540" i="33"/>
  <c r="K1540" i="33" s="1"/>
  <c r="I1543" i="33"/>
  <c r="K1543" i="33" s="1"/>
  <c r="I1555" i="33"/>
  <c r="K1555" i="33" s="1"/>
  <c r="I1573" i="33"/>
  <c r="K1573" i="33" s="1"/>
  <c r="I1574" i="33"/>
  <c r="K1574" i="33" s="1"/>
  <c r="I1579" i="33"/>
  <c r="K1579" i="33" s="1"/>
  <c r="I1580" i="33"/>
  <c r="K1580" i="33" s="1"/>
  <c r="I1604" i="33"/>
  <c r="K1604" i="33" s="1"/>
  <c r="I1804" i="33"/>
  <c r="K1804" i="33" s="1"/>
  <c r="L1807" i="33" s="1"/>
  <c r="L1905" i="33"/>
  <c r="I1569" i="33"/>
  <c r="K1569" i="33" s="1"/>
  <c r="I1571" i="33"/>
  <c r="K1571" i="33" s="1"/>
  <c r="L45" i="33"/>
  <c r="K757" i="33"/>
  <c r="K839" i="33"/>
  <c r="K842" i="33"/>
  <c r="K846" i="33"/>
  <c r="I1471" i="33"/>
  <c r="K1471" i="33" s="1"/>
  <c r="K1518" i="33"/>
  <c r="L1531" i="33" s="1"/>
  <c r="I1589" i="33"/>
  <c r="K1589" i="33" s="1"/>
  <c r="K1600" i="33"/>
  <c r="L1709" i="33"/>
  <c r="L20" i="33"/>
  <c r="L53" i="33"/>
  <c r="L90" i="33"/>
  <c r="L34" i="33"/>
  <c r="L37" i="33"/>
  <c r="L103" i="33"/>
  <c r="L216" i="33"/>
  <c r="K871" i="33"/>
  <c r="L892" i="33"/>
  <c r="K848" i="33"/>
  <c r="L912" i="33"/>
  <c r="L1495" i="33"/>
  <c r="L1299" i="33"/>
  <c r="L1216" i="33"/>
  <c r="L1285" i="33"/>
  <c r="L1758" i="33"/>
  <c r="L1797" i="33"/>
  <c r="L1815" i="33"/>
  <c r="L1891" i="33"/>
  <c r="L1722" i="33"/>
  <c r="L1730" i="33"/>
  <c r="L1772" i="33"/>
  <c r="L883" i="33" l="1"/>
  <c r="L1906" i="33" s="1"/>
  <c r="L1703" i="33"/>
  <c r="H1479" i="31" l="1"/>
  <c r="J1479" i="31" s="1"/>
  <c r="J1478" i="31"/>
  <c r="H1478" i="31"/>
  <c r="H1477" i="31"/>
  <c r="J1477" i="31" s="1"/>
  <c r="J1476" i="31"/>
  <c r="J1475" i="31"/>
  <c r="H1475" i="31"/>
  <c r="H1474" i="31"/>
  <c r="J1474" i="31" s="1"/>
  <c r="H1473" i="31"/>
  <c r="J1473" i="31" s="1"/>
  <c r="H1470" i="31"/>
  <c r="J1470" i="31" s="1"/>
  <c r="J1469" i="31"/>
  <c r="H1469" i="31"/>
  <c r="H1468" i="31"/>
  <c r="J1468" i="31" s="1"/>
  <c r="H1467" i="31"/>
  <c r="J1467" i="31" s="1"/>
  <c r="H1465" i="31"/>
  <c r="J1465" i="31" s="1"/>
  <c r="H1464" i="31"/>
  <c r="J1464" i="31" s="1"/>
  <c r="H1463" i="31"/>
  <c r="J1463" i="31" s="1"/>
  <c r="H1460" i="31"/>
  <c r="J1460" i="31" s="1"/>
  <c r="H1459" i="31"/>
  <c r="J1459" i="31" s="1"/>
  <c r="H1458" i="31"/>
  <c r="J1458" i="31" s="1"/>
  <c r="H1457" i="31"/>
  <c r="J1457" i="31" s="1"/>
  <c r="H1456" i="31"/>
  <c r="J1456" i="31" s="1"/>
  <c r="H1455" i="31"/>
  <c r="J1455" i="31" s="1"/>
  <c r="H1454" i="31"/>
  <c r="J1454" i="31" s="1"/>
  <c r="H1453" i="31"/>
  <c r="J1453" i="31" s="1"/>
  <c r="H1452" i="31"/>
  <c r="J1452" i="31" s="1"/>
  <c r="H1451" i="31"/>
  <c r="J1451" i="31" s="1"/>
  <c r="H1450" i="31"/>
  <c r="J1450" i="31" s="1"/>
  <c r="H1449" i="31"/>
  <c r="J1449" i="31" s="1"/>
  <c r="H1448" i="31"/>
  <c r="J1448" i="31" s="1"/>
  <c r="H1447" i="31"/>
  <c r="J1447" i="31" s="1"/>
  <c r="H1446" i="31"/>
  <c r="J1446" i="31" s="1"/>
  <c r="H1445" i="31"/>
  <c r="J1445" i="31" s="1"/>
  <c r="H1444" i="31"/>
  <c r="J1444" i="31" s="1"/>
  <c r="H1443" i="31"/>
  <c r="J1443" i="31" s="1"/>
  <c r="H1442" i="31"/>
  <c r="J1442" i="31" s="1"/>
  <c r="H1441" i="31"/>
  <c r="J1441" i="31" s="1"/>
  <c r="H1440" i="31"/>
  <c r="J1440" i="31" s="1"/>
  <c r="H1439" i="31"/>
  <c r="J1439" i="31" s="1"/>
  <c r="H1438" i="31"/>
  <c r="J1438" i="31" s="1"/>
  <c r="H1437" i="31"/>
  <c r="J1437" i="31" s="1"/>
  <c r="H1436" i="31"/>
  <c r="J1436" i="31" s="1"/>
  <c r="J1435" i="31"/>
  <c r="H1435" i="31"/>
  <c r="H1434" i="31"/>
  <c r="J1434" i="31" s="1"/>
  <c r="H1433" i="31"/>
  <c r="J1433" i="31" s="1"/>
  <c r="H1432" i="31"/>
  <c r="J1432" i="31" s="1"/>
  <c r="J1431" i="31"/>
  <c r="H1431" i="31"/>
  <c r="H1430" i="31"/>
  <c r="J1430" i="31" s="1"/>
  <c r="H1429" i="31"/>
  <c r="J1429" i="31" s="1"/>
  <c r="H1428" i="31"/>
  <c r="J1428" i="31" s="1"/>
  <c r="J1427" i="31"/>
  <c r="H1427" i="31"/>
  <c r="H1426" i="31"/>
  <c r="J1426" i="31" s="1"/>
  <c r="H1425" i="31"/>
  <c r="J1425" i="31" s="1"/>
  <c r="H1424" i="31"/>
  <c r="J1424" i="31" s="1"/>
  <c r="J1423" i="31"/>
  <c r="H1423" i="31"/>
  <c r="H1422" i="31"/>
  <c r="J1422" i="31" s="1"/>
  <c r="H1421" i="31"/>
  <c r="J1421" i="31" s="1"/>
  <c r="H1420" i="31"/>
  <c r="J1420" i="31" s="1"/>
  <c r="J1419" i="31"/>
  <c r="H1419" i="31"/>
  <c r="H1418" i="31"/>
  <c r="J1418" i="31" s="1"/>
  <c r="H1417" i="31"/>
  <c r="J1417" i="31" s="1"/>
  <c r="H1416" i="31"/>
  <c r="J1416" i="31" s="1"/>
  <c r="J1415" i="31"/>
  <c r="H1415" i="31"/>
  <c r="H1414" i="31"/>
  <c r="J1414" i="31" s="1"/>
  <c r="H1413" i="31"/>
  <c r="J1413" i="31" s="1"/>
  <c r="H1412" i="31"/>
  <c r="J1412" i="31" s="1"/>
  <c r="J1411" i="31"/>
  <c r="H1411" i="31"/>
  <c r="H1410" i="31"/>
  <c r="J1410" i="31" s="1"/>
  <c r="H1409" i="31"/>
  <c r="J1409" i="31" s="1"/>
  <c r="H1408" i="31"/>
  <c r="J1408" i="31" s="1"/>
  <c r="J1407" i="31"/>
  <c r="H1407" i="31"/>
  <c r="H1406" i="31"/>
  <c r="J1406" i="31" s="1"/>
  <c r="H1405" i="31"/>
  <c r="J1405" i="31" s="1"/>
  <c r="H1404" i="31"/>
  <c r="J1404" i="31" s="1"/>
  <c r="J1403" i="31"/>
  <c r="H1403" i="31"/>
  <c r="H1401" i="31"/>
  <c r="J1401" i="31" s="1"/>
  <c r="H1400" i="31"/>
  <c r="J1400" i="31" s="1"/>
  <c r="H1399" i="31"/>
  <c r="J1399" i="31" s="1"/>
  <c r="J1398" i="31"/>
  <c r="H1398" i="31"/>
  <c r="H1397" i="31"/>
  <c r="J1397" i="31" s="1"/>
  <c r="H1396" i="31"/>
  <c r="J1396" i="31" s="1"/>
  <c r="H1394" i="31"/>
  <c r="J1394" i="31" s="1"/>
  <c r="H1393" i="31"/>
  <c r="J1393" i="31" s="1"/>
  <c r="J1392" i="31"/>
  <c r="H1392" i="31"/>
  <c r="H1391" i="31"/>
  <c r="J1391" i="31" s="1"/>
  <c r="H1390" i="31"/>
  <c r="H1389" i="31"/>
  <c r="H1388" i="31"/>
  <c r="H1386" i="31"/>
  <c r="H1384" i="31"/>
  <c r="J1384" i="31" s="1"/>
  <c r="H1383" i="31"/>
  <c r="J1383" i="31" s="1"/>
  <c r="J1382" i="31"/>
  <c r="H1382" i="31"/>
  <c r="H1381" i="31"/>
  <c r="J1381" i="31" s="1"/>
  <c r="H1380" i="31"/>
  <c r="J1380" i="31" s="1"/>
  <c r="H1379" i="31"/>
  <c r="J1379" i="31" s="1"/>
  <c r="J1378" i="31"/>
  <c r="H1378" i="31"/>
  <c r="H1377" i="31"/>
  <c r="J1377" i="31" s="1"/>
  <c r="H1376" i="31"/>
  <c r="J1376" i="31" s="1"/>
  <c r="H1375" i="31"/>
  <c r="J1375" i="31" s="1"/>
  <c r="J1374" i="31"/>
  <c r="H1374" i="31"/>
  <c r="H1373" i="31"/>
  <c r="J1373" i="31" s="1"/>
  <c r="H1372" i="31"/>
  <c r="J1372" i="31" s="1"/>
  <c r="H1371" i="31"/>
  <c r="J1371" i="31" s="1"/>
  <c r="I1370" i="31"/>
  <c r="H1370" i="31"/>
  <c r="J1370" i="31" s="1"/>
  <c r="H1369" i="31"/>
  <c r="J1369" i="31" s="1"/>
  <c r="H1368" i="31"/>
  <c r="J1368" i="31" s="1"/>
  <c r="J1367" i="31"/>
  <c r="H1367" i="31"/>
  <c r="H1365" i="31"/>
  <c r="J1365" i="31" s="1"/>
  <c r="H1364" i="31"/>
  <c r="J1364" i="31" s="1"/>
  <c r="H1363" i="31"/>
  <c r="J1363" i="31" s="1"/>
  <c r="J1362" i="31"/>
  <c r="H1362" i="31"/>
  <c r="H1361" i="31"/>
  <c r="J1361" i="31" s="1"/>
  <c r="H1360" i="31"/>
  <c r="J1360" i="31" s="1"/>
  <c r="H1359" i="31"/>
  <c r="J1359" i="31" s="1"/>
  <c r="J1358" i="31"/>
  <c r="H1358" i="31"/>
  <c r="H1357" i="31"/>
  <c r="J1357" i="31" s="1"/>
  <c r="H1356" i="31"/>
  <c r="J1356" i="31" s="1"/>
  <c r="H1355" i="31"/>
  <c r="J1355" i="31" s="1"/>
  <c r="H1353" i="31"/>
  <c r="J1353" i="31" s="1"/>
  <c r="H1351" i="31"/>
  <c r="J1351" i="31" s="1"/>
  <c r="H1350" i="31"/>
  <c r="J1350" i="31" s="1"/>
  <c r="J1349" i="31"/>
  <c r="H1349" i="31"/>
  <c r="H1348" i="31"/>
  <c r="J1348" i="31" s="1"/>
  <c r="H1347" i="31"/>
  <c r="J1347" i="31" s="1"/>
  <c r="H1346" i="31"/>
  <c r="J1346" i="31" s="1"/>
  <c r="J1345" i="31"/>
  <c r="H1345" i="31"/>
  <c r="H1344" i="31"/>
  <c r="J1344" i="31" s="1"/>
  <c r="H1343" i="31"/>
  <c r="J1343" i="31" s="1"/>
  <c r="H1342" i="31"/>
  <c r="J1342" i="31" s="1"/>
  <c r="J1341" i="31"/>
  <c r="H1341" i="31"/>
  <c r="H1340" i="31"/>
  <c r="J1340" i="31" s="1"/>
  <c r="H1339" i="31"/>
  <c r="J1339" i="31" s="1"/>
  <c r="J1337" i="31"/>
  <c r="H1336" i="31"/>
  <c r="J1336" i="31" s="1"/>
  <c r="H1335" i="31"/>
  <c r="J1335" i="31" s="1"/>
  <c r="H1334" i="31"/>
  <c r="J1334" i="31" s="1"/>
  <c r="J1333" i="31"/>
  <c r="H1333" i="31"/>
  <c r="H1332" i="31"/>
  <c r="J1332" i="31" s="1"/>
  <c r="H1331" i="31"/>
  <c r="J1331" i="31" s="1"/>
  <c r="H1330" i="31"/>
  <c r="J1330" i="31" s="1"/>
  <c r="J1329" i="31"/>
  <c r="H1329" i="31"/>
  <c r="H1328" i="31"/>
  <c r="J1328" i="31" s="1"/>
  <c r="H1327" i="31"/>
  <c r="J1327" i="31" s="1"/>
  <c r="H1325" i="31"/>
  <c r="J1325" i="31" s="1"/>
  <c r="H1324" i="31"/>
  <c r="J1324" i="31" s="1"/>
  <c r="J1323" i="31"/>
  <c r="H1323" i="31"/>
  <c r="H1322" i="31"/>
  <c r="J1322" i="31" s="1"/>
  <c r="H1321" i="31"/>
  <c r="J1321" i="31" s="1"/>
  <c r="H1319" i="31"/>
  <c r="J1319" i="31" s="1"/>
  <c r="J1318" i="31"/>
  <c r="I1318" i="31"/>
  <c r="H1318" i="31"/>
  <c r="H1317" i="31"/>
  <c r="J1317" i="31" s="1"/>
  <c r="H1316" i="31"/>
  <c r="J1316" i="31" s="1"/>
  <c r="I1315" i="31"/>
  <c r="H1315" i="31"/>
  <c r="J1315" i="31" s="1"/>
  <c r="H1314" i="31"/>
  <c r="J1314" i="31" s="1"/>
  <c r="J1313" i="31"/>
  <c r="H1313" i="31"/>
  <c r="H1312" i="31"/>
  <c r="J1312" i="31" s="1"/>
  <c r="H1311" i="31"/>
  <c r="J1311" i="31" s="1"/>
  <c r="H1310" i="31"/>
  <c r="J1310" i="31" s="1"/>
  <c r="J1309" i="31"/>
  <c r="H1309" i="31"/>
  <c r="J1307" i="31"/>
  <c r="H1307" i="31"/>
  <c r="I1306" i="31"/>
  <c r="H1306" i="31"/>
  <c r="J1305" i="31"/>
  <c r="H1305" i="31"/>
  <c r="H1304" i="31"/>
  <c r="H1303" i="31"/>
  <c r="J1303" i="31" s="1"/>
  <c r="H1301" i="31"/>
  <c r="J1301" i="31" s="1"/>
  <c r="J1300" i="31"/>
  <c r="H1300" i="31"/>
  <c r="H1299" i="31"/>
  <c r="J1299" i="31" s="1"/>
  <c r="H1298" i="31"/>
  <c r="J1298" i="31" s="1"/>
  <c r="H1297" i="31"/>
  <c r="J1297" i="31" s="1"/>
  <c r="J1296" i="31"/>
  <c r="H1296" i="31"/>
  <c r="H1295" i="31"/>
  <c r="J1295" i="31" s="1"/>
  <c r="H1294" i="31"/>
  <c r="J1294" i="31" s="1"/>
  <c r="H1293" i="31"/>
  <c r="J1293" i="31" s="1"/>
  <c r="J1292" i="31"/>
  <c r="H1292" i="31"/>
  <c r="H1291" i="31"/>
  <c r="J1291" i="31" s="1"/>
  <c r="H1290" i="31"/>
  <c r="J1290" i="31" s="1"/>
  <c r="H1289" i="31"/>
  <c r="J1289" i="31" s="1"/>
  <c r="J1288" i="31"/>
  <c r="H1288" i="31"/>
  <c r="H1287" i="31"/>
  <c r="J1287" i="31" s="1"/>
  <c r="H1286" i="31"/>
  <c r="J1286" i="31" s="1"/>
  <c r="I1285" i="31"/>
  <c r="H1285" i="31"/>
  <c r="J1285" i="31" s="1"/>
  <c r="H1284" i="31"/>
  <c r="J1284" i="31" s="1"/>
  <c r="H1283" i="31"/>
  <c r="J1283" i="31" s="1"/>
  <c r="H1282" i="31"/>
  <c r="J1282" i="31" s="1"/>
  <c r="H1281" i="31"/>
  <c r="J1281" i="31" s="1"/>
  <c r="H1280" i="31"/>
  <c r="J1280" i="31" s="1"/>
  <c r="J1279" i="31"/>
  <c r="H1279" i="31"/>
  <c r="H1278" i="31"/>
  <c r="J1278" i="31" s="1"/>
  <c r="H1277" i="31"/>
  <c r="J1277" i="31" s="1"/>
  <c r="H1276" i="31"/>
  <c r="J1276" i="31" s="1"/>
  <c r="J1275" i="31"/>
  <c r="H1275" i="31"/>
  <c r="H1274" i="31"/>
  <c r="J1274" i="31" s="1"/>
  <c r="H1273" i="31"/>
  <c r="J1273" i="31" s="1"/>
  <c r="H1272" i="31"/>
  <c r="J1272" i="31" s="1"/>
  <c r="J1271" i="31"/>
  <c r="H1271" i="31"/>
  <c r="H1270" i="31"/>
  <c r="J1270" i="31" s="1"/>
  <c r="H1269" i="31"/>
  <c r="J1269" i="31" s="1"/>
  <c r="H1268" i="31"/>
  <c r="J1268" i="31" s="1"/>
  <c r="J1267" i="31"/>
  <c r="H1267" i="31"/>
  <c r="H1266" i="31"/>
  <c r="J1266" i="31" s="1"/>
  <c r="H1265" i="31"/>
  <c r="J1265" i="31" s="1"/>
  <c r="H1264" i="31"/>
  <c r="J1264" i="31" s="1"/>
  <c r="J1263" i="31"/>
  <c r="H1263" i="31"/>
  <c r="H1262" i="31"/>
  <c r="J1262" i="31" s="1"/>
  <c r="H1261" i="31"/>
  <c r="J1261" i="31" s="1"/>
  <c r="H1260" i="31"/>
  <c r="J1260" i="31" s="1"/>
  <c r="J1259" i="31"/>
  <c r="H1259" i="31"/>
  <c r="H1258" i="31"/>
  <c r="J1258" i="31" s="1"/>
  <c r="H1257" i="31"/>
  <c r="J1257" i="31" s="1"/>
  <c r="H1256" i="31"/>
  <c r="J1256" i="31" s="1"/>
  <c r="J1255" i="31"/>
  <c r="H1255" i="31"/>
  <c r="H1254" i="31"/>
  <c r="J1254" i="31" s="1"/>
  <c r="H1253" i="31"/>
  <c r="J1253" i="31" s="1"/>
  <c r="H1252" i="31"/>
  <c r="J1252" i="31" s="1"/>
  <c r="J1251" i="31"/>
  <c r="H1251" i="31"/>
  <c r="H1250" i="31"/>
  <c r="J1250" i="31" s="1"/>
  <c r="H1249" i="31"/>
  <c r="J1249" i="31" s="1"/>
  <c r="H1248" i="31"/>
  <c r="J1248" i="31" s="1"/>
  <c r="J1247" i="31"/>
  <c r="H1247" i="31"/>
  <c r="H1246" i="31"/>
  <c r="J1246" i="31" s="1"/>
  <c r="H1245" i="31"/>
  <c r="J1245" i="31" s="1"/>
  <c r="H1244" i="31"/>
  <c r="J1244" i="31" s="1"/>
  <c r="J1243" i="31"/>
  <c r="H1243" i="31"/>
  <c r="H1242" i="31"/>
  <c r="J1242" i="31" s="1"/>
  <c r="H1241" i="31"/>
  <c r="J1241" i="31" s="1"/>
  <c r="H1240" i="31"/>
  <c r="J1240" i="31" s="1"/>
  <c r="H1239" i="31"/>
  <c r="J1239" i="31" s="1"/>
  <c r="H1238" i="31"/>
  <c r="J1238" i="31" s="1"/>
  <c r="J1237" i="31"/>
  <c r="H1237" i="31"/>
  <c r="H1236" i="31"/>
  <c r="J1236" i="31" s="1"/>
  <c r="H1235" i="31"/>
  <c r="J1235" i="31" s="1"/>
  <c r="H1234" i="31"/>
  <c r="J1234" i="31" s="1"/>
  <c r="H1233" i="31"/>
  <c r="J1233" i="31" s="1"/>
  <c r="H1232" i="31"/>
  <c r="J1232" i="31" s="1"/>
  <c r="H1231" i="31"/>
  <c r="J1231" i="31" s="1"/>
  <c r="H1230" i="31"/>
  <c r="J1230" i="31" s="1"/>
  <c r="J1229" i="31"/>
  <c r="H1229" i="31"/>
  <c r="H1228" i="31"/>
  <c r="J1228" i="31" s="1"/>
  <c r="H1227" i="31"/>
  <c r="J1227" i="31" s="1"/>
  <c r="H1226" i="31"/>
  <c r="J1226" i="31" s="1"/>
  <c r="H1225" i="31"/>
  <c r="J1225" i="31" s="1"/>
  <c r="H1224" i="31"/>
  <c r="H1223" i="31"/>
  <c r="J1223" i="31" s="1"/>
  <c r="H1222" i="31"/>
  <c r="J1222" i="31" s="1"/>
  <c r="H1221" i="31"/>
  <c r="J1221" i="31" s="1"/>
  <c r="J1220" i="31"/>
  <c r="H1220" i="31"/>
  <c r="H1219" i="31"/>
  <c r="J1219" i="31" s="1"/>
  <c r="I1218" i="31"/>
  <c r="H1218" i="31"/>
  <c r="J1218" i="31" s="1"/>
  <c r="J1217" i="31"/>
  <c r="I1217" i="31"/>
  <c r="H1217" i="31"/>
  <c r="I1216" i="31"/>
  <c r="H1216" i="31"/>
  <c r="J1216" i="31" s="1"/>
  <c r="H1215" i="31"/>
  <c r="J1215" i="31" s="1"/>
  <c r="H1214" i="31"/>
  <c r="J1214" i="31" s="1"/>
  <c r="H1213" i="31"/>
  <c r="J1213" i="31" s="1"/>
  <c r="J1212" i="31"/>
  <c r="H1212" i="31"/>
  <c r="H1211" i="31"/>
  <c r="J1211" i="31" s="1"/>
  <c r="H1210" i="31"/>
  <c r="J1210" i="31" s="1"/>
  <c r="H1209" i="31"/>
  <c r="J1209" i="31" s="1"/>
  <c r="J1208" i="31"/>
  <c r="H1208" i="31"/>
  <c r="H1207" i="31"/>
  <c r="J1207" i="31" s="1"/>
  <c r="H1206" i="31"/>
  <c r="J1206" i="31" s="1"/>
  <c r="H1205" i="31"/>
  <c r="J1205" i="31" s="1"/>
  <c r="H1204" i="31"/>
  <c r="J1204" i="31" s="1"/>
  <c r="H1203" i="31"/>
  <c r="J1203" i="31" s="1"/>
  <c r="H1202" i="31"/>
  <c r="J1202" i="31" s="1"/>
  <c r="H1201" i="31"/>
  <c r="J1201" i="31" s="1"/>
  <c r="J1200" i="31"/>
  <c r="H1200" i="31"/>
  <c r="H1199" i="31"/>
  <c r="J1199" i="31" s="1"/>
  <c r="H1198" i="31"/>
  <c r="J1198" i="31" s="1"/>
  <c r="H1197" i="31"/>
  <c r="J1197" i="31" s="1"/>
  <c r="H1196" i="31"/>
  <c r="J1196" i="31" s="1"/>
  <c r="H1195" i="31"/>
  <c r="J1195" i="31" s="1"/>
  <c r="H1194" i="31"/>
  <c r="J1194" i="31" s="1"/>
  <c r="H1193" i="31"/>
  <c r="J1193" i="31" s="1"/>
  <c r="J1192" i="31"/>
  <c r="H1192" i="31"/>
  <c r="H1191" i="31"/>
  <c r="J1191" i="31" s="1"/>
  <c r="H1190" i="31"/>
  <c r="J1190" i="31" s="1"/>
  <c r="H1189" i="31"/>
  <c r="J1189" i="31" s="1"/>
  <c r="H1188" i="31"/>
  <c r="J1188" i="31" s="1"/>
  <c r="H1187" i="31"/>
  <c r="J1187" i="31" s="1"/>
  <c r="H1186" i="31"/>
  <c r="J1186" i="31" s="1"/>
  <c r="H1185" i="31"/>
  <c r="J1185" i="31" s="1"/>
  <c r="J1184" i="31"/>
  <c r="H1184" i="31"/>
  <c r="H1183" i="31"/>
  <c r="J1183" i="31" s="1"/>
  <c r="H1182" i="31"/>
  <c r="J1182" i="31" s="1"/>
  <c r="H1181" i="31"/>
  <c r="J1181" i="31" s="1"/>
  <c r="H1180" i="31"/>
  <c r="J1180" i="31" s="1"/>
  <c r="H1179" i="31"/>
  <c r="J1179" i="31" s="1"/>
  <c r="H1178" i="31"/>
  <c r="J1178" i="31" s="1"/>
  <c r="H1177" i="31"/>
  <c r="J1177" i="31" s="1"/>
  <c r="J1176" i="31"/>
  <c r="H1176" i="31"/>
  <c r="J1175" i="31"/>
  <c r="H1175" i="31"/>
  <c r="J1174" i="31"/>
  <c r="H1174" i="31"/>
  <c r="J1173" i="31"/>
  <c r="H1173" i="31"/>
  <c r="J1172" i="31"/>
  <c r="H1172" i="31"/>
  <c r="J1171" i="31"/>
  <c r="H1170" i="31"/>
  <c r="J1170" i="31" s="1"/>
  <c r="H1169" i="31"/>
  <c r="J1169" i="31" s="1"/>
  <c r="H1168" i="31"/>
  <c r="J1168" i="31" s="1"/>
  <c r="H1167" i="31"/>
  <c r="J1167" i="31" s="1"/>
  <c r="H1166" i="31"/>
  <c r="J1166" i="31" s="1"/>
  <c r="H1165" i="31"/>
  <c r="J1165" i="31" s="1"/>
  <c r="H1164" i="31"/>
  <c r="J1164" i="31" s="1"/>
  <c r="H1163" i="31"/>
  <c r="J1163" i="31" s="1"/>
  <c r="H1162" i="31"/>
  <c r="J1162" i="31" s="1"/>
  <c r="H1161" i="31"/>
  <c r="J1161" i="31" s="1"/>
  <c r="H1160" i="31"/>
  <c r="J1160" i="31" s="1"/>
  <c r="H1159" i="31"/>
  <c r="J1159" i="31" s="1"/>
  <c r="H1158" i="31"/>
  <c r="J1158" i="31" s="1"/>
  <c r="H1157" i="31"/>
  <c r="J1157" i="31" s="1"/>
  <c r="H1156" i="31"/>
  <c r="J1156" i="31" s="1"/>
  <c r="H1155" i="31"/>
  <c r="J1155" i="31" s="1"/>
  <c r="H1154" i="31"/>
  <c r="J1154" i="31" s="1"/>
  <c r="H1153" i="31"/>
  <c r="J1153" i="31" s="1"/>
  <c r="H1152" i="31"/>
  <c r="J1152" i="31" s="1"/>
  <c r="H1151" i="31"/>
  <c r="J1151" i="31" s="1"/>
  <c r="I1150" i="31"/>
  <c r="H1150" i="31"/>
  <c r="J1150" i="31" s="1"/>
  <c r="H1149" i="31"/>
  <c r="J1149" i="31" s="1"/>
  <c r="H1148" i="31"/>
  <c r="J1148" i="31" s="1"/>
  <c r="H1146" i="31"/>
  <c r="J1146" i="31" s="1"/>
  <c r="I1145" i="31"/>
  <c r="J1145" i="31" s="1"/>
  <c r="H1145" i="31"/>
  <c r="J1144" i="31"/>
  <c r="H1144" i="31"/>
  <c r="J1143" i="31"/>
  <c r="H1143" i="31"/>
  <c r="J1142" i="31"/>
  <c r="H1142" i="31"/>
  <c r="J1141" i="31"/>
  <c r="H1141" i="31"/>
  <c r="I1140" i="31"/>
  <c r="H1140" i="31"/>
  <c r="J1140" i="31" s="1"/>
  <c r="I1138" i="31"/>
  <c r="H1138" i="31"/>
  <c r="J1138" i="31" s="1"/>
  <c r="H1137" i="31"/>
  <c r="J1137" i="31" s="1"/>
  <c r="H1136" i="31"/>
  <c r="J1136" i="31" s="1"/>
  <c r="H1135" i="31"/>
  <c r="J1135" i="31" s="1"/>
  <c r="I1134" i="31"/>
  <c r="H1134" i="31"/>
  <c r="H1133" i="31"/>
  <c r="J1133" i="31" s="1"/>
  <c r="H1132" i="31"/>
  <c r="J1132" i="31" s="1"/>
  <c r="H1131" i="31"/>
  <c r="J1131" i="31" s="1"/>
  <c r="H1130" i="31"/>
  <c r="J1130" i="31" s="1"/>
  <c r="H1129" i="31"/>
  <c r="J1129" i="31" s="1"/>
  <c r="H1128" i="31"/>
  <c r="J1128" i="31" s="1"/>
  <c r="H1127" i="31"/>
  <c r="J1127" i="31" s="1"/>
  <c r="I1126" i="31"/>
  <c r="H1126" i="31"/>
  <c r="J1126" i="31" s="1"/>
  <c r="H1125" i="31"/>
  <c r="J1125" i="31" s="1"/>
  <c r="H1124" i="31"/>
  <c r="J1124" i="31" s="1"/>
  <c r="H1123" i="31"/>
  <c r="J1123" i="31" s="1"/>
  <c r="H1122" i="31"/>
  <c r="J1122" i="31" s="1"/>
  <c r="H1120" i="31"/>
  <c r="J1120" i="31" s="1"/>
  <c r="H1119" i="31"/>
  <c r="J1119" i="31" s="1"/>
  <c r="H1118" i="31"/>
  <c r="J1118" i="31" s="1"/>
  <c r="H1117" i="31"/>
  <c r="J1117" i="31" s="1"/>
  <c r="H1116" i="31"/>
  <c r="J1116" i="31" s="1"/>
  <c r="H1115" i="31"/>
  <c r="J1115" i="31" s="1"/>
  <c r="H1114" i="31"/>
  <c r="J1114" i="31" s="1"/>
  <c r="H1111" i="31"/>
  <c r="J1111" i="31" s="1"/>
  <c r="H1110" i="31"/>
  <c r="J1110" i="31" s="1"/>
  <c r="H1109" i="31"/>
  <c r="J1109" i="31" s="1"/>
  <c r="H1108" i="31"/>
  <c r="J1108" i="31" s="1"/>
  <c r="H1107" i="31"/>
  <c r="J1107" i="31" s="1"/>
  <c r="H1105" i="31"/>
  <c r="J1105" i="31" s="1"/>
  <c r="H1104" i="31"/>
  <c r="J1104" i="31" s="1"/>
  <c r="H1103" i="31"/>
  <c r="J1103" i="31" s="1"/>
  <c r="H1102" i="31"/>
  <c r="J1102" i="31" s="1"/>
  <c r="H1101" i="31"/>
  <c r="J1101" i="31" s="1"/>
  <c r="H1100" i="31"/>
  <c r="J1100" i="31" s="1"/>
  <c r="H1097" i="31"/>
  <c r="J1097" i="31" s="1"/>
  <c r="H1096" i="31"/>
  <c r="J1096" i="31" s="1"/>
  <c r="H1095" i="31"/>
  <c r="J1095" i="31" s="1"/>
  <c r="H1094" i="31"/>
  <c r="J1094" i="31" s="1"/>
  <c r="H1093" i="31"/>
  <c r="J1093" i="31" s="1"/>
  <c r="H1092" i="31"/>
  <c r="J1092" i="31" s="1"/>
  <c r="H1091" i="31"/>
  <c r="J1091" i="31" s="1"/>
  <c r="H1090" i="31"/>
  <c r="J1090" i="31" s="1"/>
  <c r="H1089" i="31"/>
  <c r="J1089" i="31" s="1"/>
  <c r="H1088" i="31"/>
  <c r="J1088" i="31" s="1"/>
  <c r="H1087" i="31"/>
  <c r="J1087" i="31" s="1"/>
  <c r="H1086" i="31"/>
  <c r="J1086" i="31" s="1"/>
  <c r="H1085" i="31"/>
  <c r="J1085" i="31" s="1"/>
  <c r="H1084" i="31"/>
  <c r="J1084" i="31" s="1"/>
  <c r="H1083" i="31"/>
  <c r="J1083" i="31" s="1"/>
  <c r="H1082" i="31"/>
  <c r="J1082" i="31" s="1"/>
  <c r="H1081" i="31"/>
  <c r="J1081" i="31" s="1"/>
  <c r="H1080" i="31"/>
  <c r="J1080" i="31" s="1"/>
  <c r="H1079" i="31"/>
  <c r="J1079" i="31" s="1"/>
  <c r="H1078" i="31"/>
  <c r="J1078" i="31" s="1"/>
  <c r="H1077" i="31"/>
  <c r="J1077" i="31" s="1"/>
  <c r="H1076" i="31"/>
  <c r="J1076" i="31" s="1"/>
  <c r="I1075" i="31"/>
  <c r="H1075" i="31"/>
  <c r="J1075" i="31" s="1"/>
  <c r="H1074" i="31"/>
  <c r="J1074" i="31" s="1"/>
  <c r="H1073" i="31"/>
  <c r="J1073" i="31" s="1"/>
  <c r="H1072" i="31"/>
  <c r="J1072" i="31" s="1"/>
  <c r="I1071" i="31"/>
  <c r="J1071" i="31" s="1"/>
  <c r="H1071" i="31"/>
  <c r="J1069" i="31"/>
  <c r="H1069" i="31"/>
  <c r="J1068" i="31"/>
  <c r="H1068" i="31"/>
  <c r="J1067" i="31"/>
  <c r="I1067" i="31"/>
  <c r="H1067" i="31"/>
  <c r="H1066" i="31"/>
  <c r="J1066" i="31" s="1"/>
  <c r="H1065" i="31"/>
  <c r="J1065" i="31" s="1"/>
  <c r="H1064" i="31"/>
  <c r="J1064" i="31" s="1"/>
  <c r="J1062" i="31"/>
  <c r="H1062" i="31"/>
  <c r="J1061" i="31"/>
  <c r="H1061" i="31"/>
  <c r="J1060" i="31"/>
  <c r="H1060" i="31"/>
  <c r="J1059" i="31"/>
  <c r="H1059" i="31"/>
  <c r="J1058" i="31"/>
  <c r="H1058" i="31"/>
  <c r="J1057" i="31"/>
  <c r="H1057" i="31"/>
  <c r="J1056" i="31"/>
  <c r="H1056" i="31"/>
  <c r="J1055" i="31"/>
  <c r="H1055" i="31"/>
  <c r="J1054" i="31"/>
  <c r="H1054" i="31"/>
  <c r="J1053" i="31"/>
  <c r="H1053" i="31"/>
  <c r="J1052" i="31"/>
  <c r="H1052" i="31"/>
  <c r="J1051" i="31"/>
  <c r="H1051" i="31"/>
  <c r="J1050" i="31"/>
  <c r="H1050" i="31"/>
  <c r="J1049" i="31"/>
  <c r="H1049" i="31"/>
  <c r="J1048" i="31"/>
  <c r="H1048" i="31"/>
  <c r="J1047" i="31"/>
  <c r="H1047" i="31"/>
  <c r="J1046" i="31"/>
  <c r="H1046" i="31"/>
  <c r="J1045" i="31"/>
  <c r="H1045" i="31"/>
  <c r="J1044" i="31"/>
  <c r="H1044" i="31"/>
  <c r="J1043" i="31"/>
  <c r="H1043" i="31"/>
  <c r="J1042" i="31"/>
  <c r="H1042" i="31"/>
  <c r="J1041" i="31"/>
  <c r="H1041" i="31"/>
  <c r="J1040" i="31"/>
  <c r="H1040" i="31"/>
  <c r="J1039" i="31"/>
  <c r="H1039" i="31"/>
  <c r="J1038" i="31"/>
  <c r="H1038" i="31"/>
  <c r="J1037" i="31"/>
  <c r="H1037" i="31"/>
  <c r="J1036" i="31"/>
  <c r="H1036" i="31"/>
  <c r="J1035" i="31"/>
  <c r="H1035" i="31"/>
  <c r="J1034" i="31"/>
  <c r="H1034" i="31"/>
  <c r="J1033" i="31"/>
  <c r="H1033" i="31"/>
  <c r="J1032" i="31"/>
  <c r="H1032" i="31"/>
  <c r="J1031" i="31"/>
  <c r="H1031" i="31"/>
  <c r="J1030" i="31"/>
  <c r="H1030" i="31"/>
  <c r="J1029" i="31"/>
  <c r="H1029" i="31"/>
  <c r="J1028" i="31"/>
  <c r="H1028" i="31"/>
  <c r="J1027" i="31"/>
  <c r="H1027" i="31"/>
  <c r="J1026" i="31"/>
  <c r="H1026" i="31"/>
  <c r="J1025" i="31"/>
  <c r="H1025" i="31"/>
  <c r="J1024" i="31"/>
  <c r="H1024" i="31"/>
  <c r="J1023" i="31"/>
  <c r="H1023" i="31"/>
  <c r="J1022" i="31"/>
  <c r="H1022" i="31"/>
  <c r="J1021" i="31"/>
  <c r="H1021" i="31"/>
  <c r="J1020" i="31"/>
  <c r="H1020" i="31"/>
  <c r="J1019" i="31"/>
  <c r="H1019" i="31"/>
  <c r="J1018" i="31"/>
  <c r="H1018" i="31"/>
  <c r="J1017" i="31"/>
  <c r="H1017" i="31"/>
  <c r="J1016" i="31"/>
  <c r="H1016" i="31"/>
  <c r="J1015" i="31"/>
  <c r="H1015" i="31"/>
  <c r="J1014" i="31"/>
  <c r="H1014" i="31"/>
  <c r="J1013" i="31"/>
  <c r="H1013" i="31"/>
  <c r="J1012" i="31"/>
  <c r="H1012" i="31"/>
  <c r="J1011" i="31"/>
  <c r="H1011" i="31"/>
  <c r="J1010" i="31"/>
  <c r="H1010" i="31"/>
  <c r="J1009" i="31"/>
  <c r="H1009" i="31"/>
  <c r="J1008" i="31"/>
  <c r="H1008" i="31"/>
  <c r="J1007" i="31"/>
  <c r="H1007" i="31"/>
  <c r="J1006" i="31"/>
  <c r="H1006" i="31"/>
  <c r="J1005" i="31"/>
  <c r="H1005" i="31"/>
  <c r="J1004" i="31"/>
  <c r="H1004" i="31"/>
  <c r="J1003" i="31"/>
  <c r="H1003" i="31"/>
  <c r="J1002" i="31"/>
  <c r="H1002" i="31"/>
  <c r="J1001" i="31"/>
  <c r="H1001" i="31"/>
  <c r="J1000" i="31"/>
  <c r="H1000" i="31"/>
  <c r="J999" i="31"/>
  <c r="H999" i="31"/>
  <c r="J998" i="31"/>
  <c r="H998" i="31"/>
  <c r="J997" i="31"/>
  <c r="H997" i="31"/>
  <c r="J996" i="31"/>
  <c r="H996" i="31"/>
  <c r="J995" i="31"/>
  <c r="H995" i="31"/>
  <c r="J994" i="31"/>
  <c r="H994" i="31"/>
  <c r="J993" i="31"/>
  <c r="H993" i="31"/>
  <c r="H992" i="31"/>
  <c r="J992" i="31" s="1"/>
  <c r="H991" i="31"/>
  <c r="J991" i="31" s="1"/>
  <c r="H990" i="31"/>
  <c r="J990" i="31" s="1"/>
  <c r="J989" i="31"/>
  <c r="H989" i="31"/>
  <c r="H988" i="31"/>
  <c r="J988" i="31" s="1"/>
  <c r="H987" i="31"/>
  <c r="J987" i="31" s="1"/>
  <c r="H986" i="31"/>
  <c r="J986" i="31" s="1"/>
  <c r="J985" i="31"/>
  <c r="H985" i="31"/>
  <c r="H984" i="31"/>
  <c r="J984" i="31" s="1"/>
  <c r="H983" i="31"/>
  <c r="J983" i="31" s="1"/>
  <c r="H982" i="31"/>
  <c r="J982" i="31" s="1"/>
  <c r="J981" i="31"/>
  <c r="H981" i="31"/>
  <c r="H980" i="31"/>
  <c r="J980" i="31" s="1"/>
  <c r="H979" i="31"/>
  <c r="J979" i="31" s="1"/>
  <c r="H978" i="31"/>
  <c r="J978" i="31" s="1"/>
  <c r="J977" i="31"/>
  <c r="H977" i="31"/>
  <c r="H976" i="31"/>
  <c r="J976" i="31" s="1"/>
  <c r="H975" i="31"/>
  <c r="J975" i="31" s="1"/>
  <c r="H974" i="31"/>
  <c r="J974" i="31" s="1"/>
  <c r="J973" i="31"/>
  <c r="H973" i="31"/>
  <c r="H972" i="31"/>
  <c r="J972" i="31" s="1"/>
  <c r="H971" i="31"/>
  <c r="J971" i="31" s="1"/>
  <c r="H970" i="31"/>
  <c r="J970" i="31" s="1"/>
  <c r="J969" i="31"/>
  <c r="H969" i="31"/>
  <c r="H968" i="31"/>
  <c r="J968" i="31" s="1"/>
  <c r="H967" i="31"/>
  <c r="J967" i="31" s="1"/>
  <c r="H966" i="31"/>
  <c r="J966" i="31" s="1"/>
  <c r="J965" i="31"/>
  <c r="H965" i="31"/>
  <c r="H964" i="31"/>
  <c r="J964" i="31" s="1"/>
  <c r="H963" i="31"/>
  <c r="J963" i="31" s="1"/>
  <c r="H962" i="31"/>
  <c r="J962" i="31" s="1"/>
  <c r="J961" i="31"/>
  <c r="H961" i="31"/>
  <c r="H960" i="31"/>
  <c r="J960" i="31" s="1"/>
  <c r="H959" i="31"/>
  <c r="J959" i="31" s="1"/>
  <c r="H958" i="31"/>
  <c r="J958" i="31" s="1"/>
  <c r="J957" i="31"/>
  <c r="H957" i="31"/>
  <c r="H956" i="31"/>
  <c r="J956" i="31" s="1"/>
  <c r="H955" i="31"/>
  <c r="J955" i="31" s="1"/>
  <c r="H954" i="31"/>
  <c r="J954" i="31" s="1"/>
  <c r="J953" i="31"/>
  <c r="H953" i="31"/>
  <c r="H952" i="31"/>
  <c r="J952" i="31" s="1"/>
  <c r="H951" i="31"/>
  <c r="J951" i="31" s="1"/>
  <c r="H950" i="31"/>
  <c r="J950" i="31" s="1"/>
  <c r="J949" i="31"/>
  <c r="H949" i="31"/>
  <c r="H948" i="31"/>
  <c r="J948" i="31" s="1"/>
  <c r="H947" i="31"/>
  <c r="J947" i="31" s="1"/>
  <c r="H946" i="31"/>
  <c r="J946" i="31" s="1"/>
  <c r="J945" i="31"/>
  <c r="H945" i="31"/>
  <c r="H944" i="31"/>
  <c r="J944" i="31" s="1"/>
  <c r="H943" i="31"/>
  <c r="J943" i="31" s="1"/>
  <c r="H942" i="31"/>
  <c r="J942" i="31" s="1"/>
  <c r="J941" i="31"/>
  <c r="H941" i="31"/>
  <c r="H940" i="31"/>
  <c r="J940" i="31" s="1"/>
  <c r="H939" i="31"/>
  <c r="J939" i="31" s="1"/>
  <c r="H938" i="31"/>
  <c r="J938" i="31" s="1"/>
  <c r="J937" i="31"/>
  <c r="H937" i="31"/>
  <c r="H936" i="31"/>
  <c r="J936" i="31" s="1"/>
  <c r="H935" i="31"/>
  <c r="J935" i="31" s="1"/>
  <c r="H934" i="31"/>
  <c r="J934" i="31" s="1"/>
  <c r="J933" i="31"/>
  <c r="H933" i="31"/>
  <c r="H932" i="31"/>
  <c r="J932" i="31" s="1"/>
  <c r="H931" i="31"/>
  <c r="J931" i="31" s="1"/>
  <c r="H930" i="31"/>
  <c r="J930" i="31" s="1"/>
  <c r="J929" i="31"/>
  <c r="H929" i="31"/>
  <c r="H928" i="31"/>
  <c r="J928" i="31" s="1"/>
  <c r="H927" i="31"/>
  <c r="J927" i="31" s="1"/>
  <c r="H926" i="31"/>
  <c r="J926" i="31" s="1"/>
  <c r="J925" i="31"/>
  <c r="H925" i="31"/>
  <c r="H924" i="31"/>
  <c r="J924" i="31" s="1"/>
  <c r="H923" i="31"/>
  <c r="J923" i="31" s="1"/>
  <c r="H922" i="31"/>
  <c r="J922" i="31" s="1"/>
  <c r="J921" i="31"/>
  <c r="H921" i="31"/>
  <c r="H920" i="31"/>
  <c r="J920" i="31" s="1"/>
  <c r="H919" i="31"/>
  <c r="J919" i="31" s="1"/>
  <c r="H918" i="31"/>
  <c r="J918" i="31" s="1"/>
  <c r="J917" i="31"/>
  <c r="H917" i="31"/>
  <c r="H916" i="31"/>
  <c r="J916" i="31" s="1"/>
  <c r="H915" i="31"/>
  <c r="J915" i="31" s="1"/>
  <c r="H914" i="31"/>
  <c r="J914" i="31" s="1"/>
  <c r="H913" i="31"/>
  <c r="J913" i="31" s="1"/>
  <c r="H912" i="31"/>
  <c r="J912" i="31" s="1"/>
  <c r="H911" i="31"/>
  <c r="J911" i="31" s="1"/>
  <c r="H910" i="31"/>
  <c r="J910" i="31" s="1"/>
  <c r="H909" i="31"/>
  <c r="J909" i="31" s="1"/>
  <c r="H908" i="31"/>
  <c r="J908" i="31" s="1"/>
  <c r="H907" i="31"/>
  <c r="J907" i="31" s="1"/>
  <c r="H906" i="31"/>
  <c r="J906" i="31" s="1"/>
  <c r="H905" i="31"/>
  <c r="J905" i="31" s="1"/>
  <c r="H904" i="31"/>
  <c r="J904" i="31" s="1"/>
  <c r="H903" i="31"/>
  <c r="J903" i="31" s="1"/>
  <c r="H902" i="31"/>
  <c r="J902" i="31" s="1"/>
  <c r="H901" i="31"/>
  <c r="J901" i="31" s="1"/>
  <c r="H900" i="31"/>
  <c r="J900" i="31" s="1"/>
  <c r="H899" i="31"/>
  <c r="J899" i="31" s="1"/>
  <c r="H898" i="31"/>
  <c r="J898" i="31" s="1"/>
  <c r="H897" i="31"/>
  <c r="J897" i="31" s="1"/>
  <c r="H896" i="31"/>
  <c r="J896" i="31" s="1"/>
  <c r="H895" i="31"/>
  <c r="J895" i="31" s="1"/>
  <c r="H894" i="31"/>
  <c r="J894" i="31" s="1"/>
  <c r="H893" i="31"/>
  <c r="J893" i="31" s="1"/>
  <c r="H892" i="31"/>
  <c r="J892" i="31" s="1"/>
  <c r="H891" i="31"/>
  <c r="J891" i="31" s="1"/>
  <c r="H890" i="31"/>
  <c r="J890" i="31" s="1"/>
  <c r="H883" i="31"/>
  <c r="J883" i="31" s="1"/>
  <c r="H882" i="31"/>
  <c r="J882" i="31" s="1"/>
  <c r="H881" i="31"/>
  <c r="J881" i="31" s="1"/>
  <c r="H880" i="31"/>
  <c r="J880" i="31" s="1"/>
  <c r="H879" i="31"/>
  <c r="J879" i="31" s="1"/>
  <c r="H878" i="31"/>
  <c r="J878" i="31" s="1"/>
  <c r="H877" i="31"/>
  <c r="J877" i="31" s="1"/>
  <c r="H876" i="31"/>
  <c r="J876" i="31" s="1"/>
  <c r="H875" i="31"/>
  <c r="J875" i="31" s="1"/>
  <c r="H874" i="31"/>
  <c r="J874" i="31" s="1"/>
  <c r="H873" i="31"/>
  <c r="J873" i="31" s="1"/>
  <c r="H872" i="31"/>
  <c r="J872" i="31" s="1"/>
  <c r="K884" i="31" s="1"/>
  <c r="H870" i="31"/>
  <c r="J870" i="31" s="1"/>
  <c r="H869" i="31"/>
  <c r="J869" i="31" s="1"/>
  <c r="H868" i="31"/>
  <c r="J868" i="31" s="1"/>
  <c r="H867" i="31"/>
  <c r="J867" i="31" s="1"/>
  <c r="H866" i="31"/>
  <c r="J866" i="31" s="1"/>
  <c r="H865" i="31"/>
  <c r="J865" i="31" s="1"/>
  <c r="H864" i="31"/>
  <c r="J864" i="31" s="1"/>
  <c r="H863" i="31"/>
  <c r="J863" i="31" s="1"/>
  <c r="H862" i="31"/>
  <c r="J862" i="31" s="1"/>
  <c r="H861" i="31"/>
  <c r="J861" i="31" s="1"/>
  <c r="H860" i="31"/>
  <c r="J860" i="31" s="1"/>
  <c r="H859" i="31"/>
  <c r="J859" i="31" s="1"/>
  <c r="H858" i="31"/>
  <c r="J858" i="31" s="1"/>
  <c r="H857" i="31"/>
  <c r="J857" i="31" s="1"/>
  <c r="H856" i="31"/>
  <c r="J856" i="31" s="1"/>
  <c r="H855" i="31"/>
  <c r="J855" i="31" s="1"/>
  <c r="H854" i="31"/>
  <c r="J854" i="31" s="1"/>
  <c r="H853" i="31"/>
  <c r="J853" i="31" s="1"/>
  <c r="H852" i="31"/>
  <c r="J852" i="31" s="1"/>
  <c r="H851" i="31"/>
  <c r="J851" i="31" s="1"/>
  <c r="H850" i="31"/>
  <c r="J850" i="31" s="1"/>
  <c r="H849" i="31"/>
  <c r="J849" i="31" s="1"/>
  <c r="H848" i="31"/>
  <c r="J848" i="31" s="1"/>
  <c r="H847" i="31"/>
  <c r="J847" i="31" s="1"/>
  <c r="H846" i="31"/>
  <c r="J846" i="31" s="1"/>
  <c r="H845" i="31"/>
  <c r="J845" i="31" s="1"/>
  <c r="H844" i="31"/>
  <c r="J844" i="31" s="1"/>
  <c r="H843" i="31"/>
  <c r="J843" i="31" s="1"/>
  <c r="H842" i="31"/>
  <c r="J842" i="31" s="1"/>
  <c r="H841" i="31"/>
  <c r="J841" i="31" s="1"/>
  <c r="H840" i="31"/>
  <c r="J840" i="31" s="1"/>
  <c r="H839" i="31"/>
  <c r="J839" i="31" s="1"/>
  <c r="H838" i="31"/>
  <c r="J838" i="31" s="1"/>
  <c r="H837" i="31"/>
  <c r="J837" i="31" s="1"/>
  <c r="H836" i="31"/>
  <c r="J836" i="31" s="1"/>
  <c r="I835" i="31"/>
  <c r="J835" i="31" s="1"/>
  <c r="H835" i="31"/>
  <c r="J832" i="31"/>
  <c r="H832" i="31"/>
  <c r="J831" i="31"/>
  <c r="H831" i="31"/>
  <c r="J830" i="31"/>
  <c r="H830" i="31"/>
  <c r="J829" i="31"/>
  <c r="H829" i="31"/>
  <c r="J828" i="31"/>
  <c r="H828" i="31"/>
  <c r="J827" i="31"/>
  <c r="H827" i="31"/>
  <c r="J826" i="31"/>
  <c r="H826" i="31"/>
  <c r="J822" i="31"/>
  <c r="H822" i="31"/>
  <c r="J821" i="31"/>
  <c r="H821" i="31"/>
  <c r="J820" i="31"/>
  <c r="H820" i="31"/>
  <c r="J819" i="31"/>
  <c r="H819" i="31"/>
  <c r="J818" i="31"/>
  <c r="H818" i="31"/>
  <c r="J817" i="31"/>
  <c r="H817" i="31"/>
  <c r="J815" i="31"/>
  <c r="H815" i="31"/>
  <c r="J814" i="31"/>
  <c r="H814" i="31"/>
  <c r="J813" i="31"/>
  <c r="H813" i="31"/>
  <c r="J812" i="31"/>
  <c r="H812" i="31"/>
  <c r="J811" i="31"/>
  <c r="H811" i="31"/>
  <c r="H807" i="31"/>
  <c r="J807" i="31" s="1"/>
  <c r="H806" i="31"/>
  <c r="J806" i="31" s="1"/>
  <c r="J805" i="31"/>
  <c r="H803" i="31"/>
  <c r="J803" i="31" s="1"/>
  <c r="H802" i="31"/>
  <c r="J802" i="31" s="1"/>
  <c r="H800" i="31"/>
  <c r="J800" i="31" s="1"/>
  <c r="H799" i="31"/>
  <c r="J799" i="31" s="1"/>
  <c r="H797" i="31"/>
  <c r="J797" i="31" s="1"/>
  <c r="H796" i="31"/>
  <c r="J796" i="31" s="1"/>
  <c r="J795" i="31"/>
  <c r="H795" i="31"/>
  <c r="H794" i="31"/>
  <c r="J794" i="31" s="1"/>
  <c r="H793" i="31"/>
  <c r="J793" i="31" s="1"/>
  <c r="H792" i="31"/>
  <c r="J792" i="31" s="1"/>
  <c r="J791" i="31"/>
  <c r="H791" i="31"/>
  <c r="H790" i="31"/>
  <c r="J790" i="31" s="1"/>
  <c r="H789" i="31"/>
  <c r="J789" i="31" s="1"/>
  <c r="H788" i="31"/>
  <c r="J788" i="31" s="1"/>
  <c r="H787" i="31"/>
  <c r="J787" i="31" s="1"/>
  <c r="H786" i="31"/>
  <c r="J786" i="31" s="1"/>
  <c r="H785" i="31"/>
  <c r="J785" i="31" s="1"/>
  <c r="H784" i="31"/>
  <c r="J784" i="31" s="1"/>
  <c r="J783" i="31"/>
  <c r="H783" i="31"/>
  <c r="J782" i="31"/>
  <c r="H782" i="31"/>
  <c r="H778" i="31"/>
  <c r="J778" i="31" s="1"/>
  <c r="H777" i="31"/>
  <c r="J777" i="31" s="1"/>
  <c r="H776" i="31"/>
  <c r="J776" i="31" s="1"/>
  <c r="H775" i="31"/>
  <c r="J775" i="31" s="1"/>
  <c r="H774" i="31"/>
  <c r="J774" i="31" s="1"/>
  <c r="H772" i="31"/>
  <c r="J772" i="31" s="1"/>
  <c r="H771" i="31"/>
  <c r="J771" i="31" s="1"/>
  <c r="H770" i="31"/>
  <c r="J770" i="31" s="1"/>
  <c r="H769" i="31"/>
  <c r="J769" i="31" s="1"/>
  <c r="H768" i="31"/>
  <c r="J768" i="31" s="1"/>
  <c r="H767" i="31"/>
  <c r="J767" i="31" s="1"/>
  <c r="H766" i="31"/>
  <c r="J766" i="31" s="1"/>
  <c r="J765" i="31"/>
  <c r="H765" i="31"/>
  <c r="H764" i="31"/>
  <c r="J764" i="31" s="1"/>
  <c r="H763" i="31"/>
  <c r="J763" i="31" s="1"/>
  <c r="H762" i="31"/>
  <c r="J762" i="31" s="1"/>
  <c r="J761" i="31"/>
  <c r="H761" i="31"/>
  <c r="H760" i="31"/>
  <c r="J760" i="31" s="1"/>
  <c r="H758" i="31"/>
  <c r="J758" i="31" s="1"/>
  <c r="H757" i="31"/>
  <c r="J757" i="31" s="1"/>
  <c r="J756" i="31"/>
  <c r="H756" i="31"/>
  <c r="J755" i="31"/>
  <c r="H755" i="31"/>
  <c r="H753" i="31"/>
  <c r="J753" i="31" s="1"/>
  <c r="H750" i="31"/>
  <c r="J750" i="31" s="1"/>
  <c r="H749" i="31"/>
  <c r="J749" i="31" s="1"/>
  <c r="J748" i="31"/>
  <c r="H748" i="31"/>
  <c r="J747" i="31"/>
  <c r="H747" i="31"/>
  <c r="H746" i="31"/>
  <c r="J746" i="31" s="1"/>
  <c r="H745" i="31"/>
  <c r="J745" i="31" s="1"/>
  <c r="H744" i="31"/>
  <c r="J744" i="31" s="1"/>
  <c r="J743" i="31"/>
  <c r="H743" i="31"/>
  <c r="H742" i="31"/>
  <c r="J742" i="31" s="1"/>
  <c r="H741" i="31"/>
  <c r="J741" i="31" s="1"/>
  <c r="H740" i="31"/>
  <c r="J740" i="31" s="1"/>
  <c r="J739" i="31"/>
  <c r="H739" i="31"/>
  <c r="H738" i="31"/>
  <c r="J738" i="31" s="1"/>
  <c r="H737" i="31"/>
  <c r="J737" i="31" s="1"/>
  <c r="H736" i="31"/>
  <c r="J736" i="31" s="1"/>
  <c r="J735" i="31"/>
  <c r="H735" i="31"/>
  <c r="H734" i="31"/>
  <c r="J734" i="31" s="1"/>
  <c r="H733" i="31"/>
  <c r="J733" i="31" s="1"/>
  <c r="H732" i="31"/>
  <c r="J732" i="31" s="1"/>
  <c r="J731" i="31"/>
  <c r="H731" i="31"/>
  <c r="H730" i="31"/>
  <c r="J730" i="31" s="1"/>
  <c r="H729" i="31"/>
  <c r="J729" i="31" s="1"/>
  <c r="H728" i="31"/>
  <c r="J728" i="31" s="1"/>
  <c r="J726" i="31"/>
  <c r="H726" i="31"/>
  <c r="H725" i="31"/>
  <c r="J725" i="31" s="1"/>
  <c r="H724" i="31"/>
  <c r="J724" i="31" s="1"/>
  <c r="H723" i="31"/>
  <c r="J723" i="31" s="1"/>
  <c r="J722" i="31"/>
  <c r="H722" i="31"/>
  <c r="H721" i="31"/>
  <c r="J721" i="31" s="1"/>
  <c r="H720" i="31"/>
  <c r="J720" i="31" s="1"/>
  <c r="H719" i="31"/>
  <c r="J719" i="31" s="1"/>
  <c r="J718" i="31"/>
  <c r="H718" i="31"/>
  <c r="H717" i="31"/>
  <c r="J717" i="31" s="1"/>
  <c r="H716" i="31"/>
  <c r="J716" i="31" s="1"/>
  <c r="H715" i="31"/>
  <c r="J715" i="31" s="1"/>
  <c r="J714" i="31"/>
  <c r="H714" i="31"/>
  <c r="H713" i="31"/>
  <c r="H709" i="31"/>
  <c r="J709" i="31" s="1"/>
  <c r="H708" i="31"/>
  <c r="J708" i="31" s="1"/>
  <c r="H707" i="31"/>
  <c r="J707" i="31" s="1"/>
  <c r="H706" i="31"/>
  <c r="J706" i="31" s="1"/>
  <c r="H705" i="31"/>
  <c r="J705" i="31" s="1"/>
  <c r="H704" i="31"/>
  <c r="J704" i="31" s="1"/>
  <c r="H703" i="31"/>
  <c r="J703" i="31" s="1"/>
  <c r="H702" i="31"/>
  <c r="J702" i="31" s="1"/>
  <c r="H701" i="31"/>
  <c r="J701" i="31" s="1"/>
  <c r="H696" i="31"/>
  <c r="J696" i="31" s="1"/>
  <c r="H695" i="31"/>
  <c r="J695" i="31" s="1"/>
  <c r="H694" i="31"/>
  <c r="J694" i="31" s="1"/>
  <c r="H693" i="31"/>
  <c r="J693" i="31" s="1"/>
  <c r="H692" i="31"/>
  <c r="J692" i="31" s="1"/>
  <c r="H691" i="31"/>
  <c r="J691" i="31" s="1"/>
  <c r="H690" i="31"/>
  <c r="J690" i="31" s="1"/>
  <c r="H689" i="31"/>
  <c r="J689" i="31" s="1"/>
  <c r="H688" i="31"/>
  <c r="J688" i="31" s="1"/>
  <c r="H687" i="31"/>
  <c r="J687" i="31" s="1"/>
  <c r="H686" i="31"/>
  <c r="J686" i="31" s="1"/>
  <c r="H685" i="31"/>
  <c r="J685" i="31" s="1"/>
  <c r="H684" i="31"/>
  <c r="J684" i="31" s="1"/>
  <c r="H683" i="31"/>
  <c r="J683" i="31" s="1"/>
  <c r="H682" i="31"/>
  <c r="J682" i="31" s="1"/>
  <c r="H681" i="31"/>
  <c r="J681" i="31" s="1"/>
  <c r="J680" i="31"/>
  <c r="H680" i="31"/>
  <c r="H679" i="31"/>
  <c r="J679" i="31" s="1"/>
  <c r="H678" i="31"/>
  <c r="J678" i="31" s="1"/>
  <c r="H677" i="31"/>
  <c r="J677" i="31" s="1"/>
  <c r="J676" i="31"/>
  <c r="H676" i="31"/>
  <c r="H675" i="31"/>
  <c r="J675" i="31" s="1"/>
  <c r="H674" i="31"/>
  <c r="J674" i="31" s="1"/>
  <c r="H673" i="31"/>
  <c r="J673" i="31" s="1"/>
  <c r="J672" i="31"/>
  <c r="H672" i="31"/>
  <c r="H671" i="31"/>
  <c r="J671" i="31" s="1"/>
  <c r="H670" i="31"/>
  <c r="J670" i="31" s="1"/>
  <c r="H669" i="31"/>
  <c r="J669" i="31" s="1"/>
  <c r="J668" i="31"/>
  <c r="H668" i="31"/>
  <c r="H667" i="31"/>
  <c r="J667" i="31" s="1"/>
  <c r="H666" i="31"/>
  <c r="J666" i="31" s="1"/>
  <c r="H665" i="31"/>
  <c r="J665" i="31" s="1"/>
  <c r="J664" i="31"/>
  <c r="H664" i="31"/>
  <c r="H663" i="31"/>
  <c r="J663" i="31" s="1"/>
  <c r="H662" i="31"/>
  <c r="J662" i="31" s="1"/>
  <c r="H661" i="31"/>
  <c r="J661" i="31" s="1"/>
  <c r="J660" i="31"/>
  <c r="H660" i="31"/>
  <c r="H659" i="31"/>
  <c r="J659" i="31" s="1"/>
  <c r="H658" i="31"/>
  <c r="J658" i="31" s="1"/>
  <c r="H657" i="31"/>
  <c r="J657" i="31" s="1"/>
  <c r="J656" i="31"/>
  <c r="H656" i="31"/>
  <c r="H654" i="31"/>
  <c r="J654" i="31" s="1"/>
  <c r="H652" i="31"/>
  <c r="J652" i="31" s="1"/>
  <c r="H651" i="31"/>
  <c r="J651" i="31" s="1"/>
  <c r="H650" i="31"/>
  <c r="J650" i="31" s="1"/>
  <c r="H649" i="31"/>
  <c r="J649" i="31" s="1"/>
  <c r="H648" i="31"/>
  <c r="J648" i="31" s="1"/>
  <c r="H647" i="31"/>
  <c r="J647" i="31" s="1"/>
  <c r="H645" i="31"/>
  <c r="J645" i="31" s="1"/>
  <c r="H644" i="31"/>
  <c r="J644" i="31" s="1"/>
  <c r="H643" i="31"/>
  <c r="J643" i="31" s="1"/>
  <c r="H642" i="31"/>
  <c r="J642" i="31" s="1"/>
  <c r="H641" i="31"/>
  <c r="J641" i="31" s="1"/>
  <c r="H640" i="31"/>
  <c r="J640" i="31" s="1"/>
  <c r="H639" i="31"/>
  <c r="J639" i="31" s="1"/>
  <c r="H638" i="31"/>
  <c r="J638" i="31" s="1"/>
  <c r="H637" i="31"/>
  <c r="J637" i="31" s="1"/>
  <c r="H636" i="31"/>
  <c r="J636" i="31" s="1"/>
  <c r="H635" i="31"/>
  <c r="J635" i="31" s="1"/>
  <c r="H634" i="31"/>
  <c r="J634" i="31" s="1"/>
  <c r="H633" i="31"/>
  <c r="J633" i="31" s="1"/>
  <c r="H632" i="31"/>
  <c r="J632" i="31" s="1"/>
  <c r="H631" i="31"/>
  <c r="J631" i="31" s="1"/>
  <c r="H630" i="31"/>
  <c r="J630" i="31" s="1"/>
  <c r="H629" i="31"/>
  <c r="J629" i="31" s="1"/>
  <c r="H628" i="31"/>
  <c r="J628" i="31" s="1"/>
  <c r="H625" i="31"/>
  <c r="J625" i="31" s="1"/>
  <c r="H623" i="31"/>
  <c r="J623" i="31" s="1"/>
  <c r="H621" i="31"/>
  <c r="J621" i="31" s="1"/>
  <c r="H620" i="31"/>
  <c r="J620" i="31" s="1"/>
  <c r="H619" i="31"/>
  <c r="J619" i="31" s="1"/>
  <c r="H618" i="31"/>
  <c r="J618" i="31" s="1"/>
  <c r="H617" i="31"/>
  <c r="J617" i="31" s="1"/>
  <c r="H616" i="31"/>
  <c r="J616" i="31" s="1"/>
  <c r="H615" i="31"/>
  <c r="J615" i="31" s="1"/>
  <c r="H614" i="31"/>
  <c r="J614" i="31" s="1"/>
  <c r="H613" i="31"/>
  <c r="J613" i="31" s="1"/>
  <c r="H612" i="31"/>
  <c r="J612" i="31" s="1"/>
  <c r="H610" i="31"/>
  <c r="J610" i="31" s="1"/>
  <c r="J609" i="31"/>
  <c r="H609" i="31"/>
  <c r="H608" i="31"/>
  <c r="J608" i="31" s="1"/>
  <c r="H607" i="31"/>
  <c r="J607" i="31" s="1"/>
  <c r="J606" i="31"/>
  <c r="H606" i="31"/>
  <c r="H605" i="31"/>
  <c r="J605" i="31" s="1"/>
  <c r="H603" i="31"/>
  <c r="J603" i="31" s="1"/>
  <c r="H602" i="31"/>
  <c r="J602" i="31" s="1"/>
  <c r="H601" i="31"/>
  <c r="J601" i="31" s="1"/>
  <c r="H600" i="31"/>
  <c r="J600" i="31" s="1"/>
  <c r="H599" i="31"/>
  <c r="J599" i="31" s="1"/>
  <c r="H598" i="31"/>
  <c r="J598" i="31" s="1"/>
  <c r="H597" i="31"/>
  <c r="J597" i="31" s="1"/>
  <c r="H596" i="31"/>
  <c r="J596" i="31" s="1"/>
  <c r="H595" i="31"/>
  <c r="J595" i="31" s="1"/>
  <c r="H594" i="31"/>
  <c r="J594" i="31" s="1"/>
  <c r="H593" i="31"/>
  <c r="J593" i="31" s="1"/>
  <c r="H592" i="31"/>
  <c r="J592" i="31" s="1"/>
  <c r="H591" i="31"/>
  <c r="J591" i="31" s="1"/>
  <c r="H590" i="31"/>
  <c r="J590" i="31" s="1"/>
  <c r="H589" i="31"/>
  <c r="J589" i="31" s="1"/>
  <c r="H588" i="31"/>
  <c r="J588" i="31" s="1"/>
  <c r="J587" i="31"/>
  <c r="H587" i="31"/>
  <c r="H586" i="31"/>
  <c r="J586" i="31" s="1"/>
  <c r="H584" i="31"/>
  <c r="J584" i="31" s="1"/>
  <c r="H583" i="31"/>
  <c r="J583" i="31" s="1"/>
  <c r="H582" i="31"/>
  <c r="J582" i="31" s="1"/>
  <c r="H581" i="31"/>
  <c r="J581" i="31" s="1"/>
  <c r="H580" i="31"/>
  <c r="J580" i="31" s="1"/>
  <c r="H579" i="31"/>
  <c r="J579" i="31" s="1"/>
  <c r="H578" i="31"/>
  <c r="J578" i="31" s="1"/>
  <c r="H577" i="31"/>
  <c r="J577" i="31" s="1"/>
  <c r="H575" i="31"/>
  <c r="J575" i="31" s="1"/>
  <c r="J574" i="31"/>
  <c r="H574" i="31"/>
  <c r="H573" i="31"/>
  <c r="J573" i="31" s="1"/>
  <c r="H572" i="31"/>
  <c r="J572" i="31" s="1"/>
  <c r="H571" i="31"/>
  <c r="J571" i="31" s="1"/>
  <c r="J570" i="31"/>
  <c r="H570" i="31"/>
  <c r="H569" i="31"/>
  <c r="J569" i="31" s="1"/>
  <c r="H568" i="31"/>
  <c r="J568" i="31" s="1"/>
  <c r="H567" i="31"/>
  <c r="J567" i="31" s="1"/>
  <c r="J566" i="31"/>
  <c r="I566" i="31"/>
  <c r="H566" i="31"/>
  <c r="I565" i="31"/>
  <c r="H565" i="31"/>
  <c r="H564" i="31"/>
  <c r="J564" i="31" s="1"/>
  <c r="J563" i="31"/>
  <c r="H563" i="31"/>
  <c r="H562" i="31"/>
  <c r="J562" i="31" s="1"/>
  <c r="H561" i="31"/>
  <c r="J561" i="31" s="1"/>
  <c r="H560" i="31"/>
  <c r="J560" i="31" s="1"/>
  <c r="J559" i="31"/>
  <c r="H559" i="31"/>
  <c r="H558" i="31"/>
  <c r="J558" i="31" s="1"/>
  <c r="H557" i="31"/>
  <c r="J557" i="31" s="1"/>
  <c r="H556" i="31"/>
  <c r="J556" i="31" s="1"/>
  <c r="J554" i="31"/>
  <c r="H554" i="31"/>
  <c r="H553" i="31"/>
  <c r="J553" i="31" s="1"/>
  <c r="I552" i="31"/>
  <c r="J552" i="31" s="1"/>
  <c r="H552" i="31"/>
  <c r="I551" i="31"/>
  <c r="J551" i="31" s="1"/>
  <c r="H551" i="31"/>
  <c r="H550" i="31"/>
  <c r="J550" i="31" s="1"/>
  <c r="H549" i="31"/>
  <c r="J549" i="31" s="1"/>
  <c r="H548" i="31"/>
  <c r="J548" i="31" s="1"/>
  <c r="J547" i="31"/>
  <c r="H547" i="31"/>
  <c r="I546" i="31"/>
  <c r="H546" i="31"/>
  <c r="I545" i="31"/>
  <c r="H545" i="31"/>
  <c r="J544" i="31"/>
  <c r="I544" i="31"/>
  <c r="H544" i="31"/>
  <c r="I543" i="31"/>
  <c r="H543" i="31"/>
  <c r="I542" i="31"/>
  <c r="H542" i="31"/>
  <c r="J542" i="31" s="1"/>
  <c r="I541" i="31"/>
  <c r="H541" i="31"/>
  <c r="J541" i="31" s="1"/>
  <c r="I540" i="31"/>
  <c r="J540" i="31" s="1"/>
  <c r="H540" i="31"/>
  <c r="I539" i="31"/>
  <c r="J539" i="31" s="1"/>
  <c r="H539" i="31"/>
  <c r="I538" i="31"/>
  <c r="H538" i="31"/>
  <c r="I537" i="31"/>
  <c r="H537" i="31"/>
  <c r="J536" i="31"/>
  <c r="H536" i="31"/>
  <c r="H535" i="31"/>
  <c r="J535" i="31" s="1"/>
  <c r="H534" i="31"/>
  <c r="J534" i="31" s="1"/>
  <c r="H533" i="31"/>
  <c r="J533" i="31" s="1"/>
  <c r="J532" i="31"/>
  <c r="H532" i="31"/>
  <c r="H531" i="31"/>
  <c r="J531" i="31" s="1"/>
  <c r="H530" i="31"/>
  <c r="J530" i="31" s="1"/>
  <c r="H529" i="31"/>
  <c r="J529" i="31" s="1"/>
  <c r="J528" i="31"/>
  <c r="H528" i="31"/>
  <c r="H526" i="31"/>
  <c r="J526" i="31" s="1"/>
  <c r="H525" i="31"/>
  <c r="J525" i="31" s="1"/>
  <c r="H524" i="31"/>
  <c r="J524" i="31" s="1"/>
  <c r="J523" i="31"/>
  <c r="H523" i="31"/>
  <c r="H522" i="31"/>
  <c r="J522" i="31" s="1"/>
  <c r="H521" i="31"/>
  <c r="J521" i="31" s="1"/>
  <c r="H520" i="31"/>
  <c r="J520" i="31" s="1"/>
  <c r="J519" i="31"/>
  <c r="H519" i="31"/>
  <c r="H518" i="31"/>
  <c r="J518" i="31" s="1"/>
  <c r="H517" i="31"/>
  <c r="J517" i="31" s="1"/>
  <c r="H516" i="31"/>
  <c r="J516" i="31" s="1"/>
  <c r="J515" i="31"/>
  <c r="H515" i="31"/>
  <c r="H514" i="31"/>
  <c r="J514" i="31" s="1"/>
  <c r="H513" i="31"/>
  <c r="J513" i="31" s="1"/>
  <c r="H511" i="31"/>
  <c r="J511" i="31" s="1"/>
  <c r="J510" i="31"/>
  <c r="H510" i="31"/>
  <c r="H509" i="31"/>
  <c r="J509" i="31" s="1"/>
  <c r="H508" i="31"/>
  <c r="J508" i="31" s="1"/>
  <c r="H507" i="31"/>
  <c r="J507" i="31" s="1"/>
  <c r="J506" i="31"/>
  <c r="H506" i="31"/>
  <c r="H505" i="31"/>
  <c r="J505" i="31" s="1"/>
  <c r="H504" i="31"/>
  <c r="J504" i="31" s="1"/>
  <c r="H501" i="31"/>
  <c r="J501" i="31" s="1"/>
  <c r="J500" i="31"/>
  <c r="H500" i="31"/>
  <c r="H499" i="31"/>
  <c r="J499" i="31" s="1"/>
  <c r="H498" i="31"/>
  <c r="J498" i="31" s="1"/>
  <c r="H497" i="31"/>
  <c r="J497" i="31" s="1"/>
  <c r="J496" i="31"/>
  <c r="H496" i="31"/>
  <c r="H495" i="31"/>
  <c r="J495" i="31" s="1"/>
  <c r="H494" i="31"/>
  <c r="J494" i="31" s="1"/>
  <c r="H492" i="31"/>
  <c r="J492" i="31" s="1"/>
  <c r="J491" i="31"/>
  <c r="H491" i="31"/>
  <c r="H490" i="31"/>
  <c r="J490" i="31" s="1"/>
  <c r="H489" i="31"/>
  <c r="J489" i="31" s="1"/>
  <c r="H488" i="31"/>
  <c r="J488" i="31" s="1"/>
  <c r="J486" i="31"/>
  <c r="H486" i="31"/>
  <c r="H484" i="31"/>
  <c r="J484" i="31" s="1"/>
  <c r="H483" i="31"/>
  <c r="J483" i="31" s="1"/>
  <c r="I482" i="31"/>
  <c r="H482" i="31"/>
  <c r="J482" i="31" s="1"/>
  <c r="I481" i="31"/>
  <c r="H481" i="31"/>
  <c r="J481" i="31" s="1"/>
  <c r="I480" i="31"/>
  <c r="J480" i="31" s="1"/>
  <c r="H480" i="31"/>
  <c r="H479" i="31"/>
  <c r="J479" i="31" s="1"/>
  <c r="H478" i="31"/>
  <c r="J478" i="31" s="1"/>
  <c r="H477" i="31"/>
  <c r="J477" i="31" s="1"/>
  <c r="J476" i="31"/>
  <c r="H476" i="31"/>
  <c r="H475" i="31"/>
  <c r="J475" i="31" s="1"/>
  <c r="H474" i="31"/>
  <c r="J474" i="31" s="1"/>
  <c r="H473" i="31"/>
  <c r="J473" i="31" s="1"/>
  <c r="J472" i="31"/>
  <c r="H472" i="31"/>
  <c r="H471" i="31"/>
  <c r="J471" i="31" s="1"/>
  <c r="H470" i="31"/>
  <c r="J470" i="31" s="1"/>
  <c r="H469" i="31"/>
  <c r="J469" i="31" s="1"/>
  <c r="J468" i="31"/>
  <c r="H468" i="31"/>
  <c r="H467" i="31"/>
  <c r="J467" i="31" s="1"/>
  <c r="H466" i="31"/>
  <c r="J466" i="31" s="1"/>
  <c r="H465" i="31"/>
  <c r="J465" i="31" s="1"/>
  <c r="J464" i="31"/>
  <c r="H464" i="31"/>
  <c r="H463" i="31"/>
  <c r="J463" i="31" s="1"/>
  <c r="H462" i="31"/>
  <c r="J462" i="31" s="1"/>
  <c r="H461" i="31"/>
  <c r="J461" i="31" s="1"/>
  <c r="J460" i="31"/>
  <c r="H460" i="31"/>
  <c r="H459" i="31"/>
  <c r="J459" i="31" s="1"/>
  <c r="H458" i="31"/>
  <c r="J458" i="31" s="1"/>
  <c r="H457" i="31"/>
  <c r="J457" i="31" s="1"/>
  <c r="J456" i="31"/>
  <c r="H456" i="31"/>
  <c r="H455" i="31"/>
  <c r="J455" i="31" s="1"/>
  <c r="H454" i="31"/>
  <c r="J454" i="31" s="1"/>
  <c r="H453" i="31"/>
  <c r="J453" i="31" s="1"/>
  <c r="J452" i="31"/>
  <c r="H452" i="31"/>
  <c r="H451" i="31"/>
  <c r="J451" i="31" s="1"/>
  <c r="H450" i="31"/>
  <c r="J450" i="31" s="1"/>
  <c r="H449" i="31"/>
  <c r="J449" i="31" s="1"/>
  <c r="J447" i="31"/>
  <c r="H447" i="31"/>
  <c r="H446" i="31"/>
  <c r="J446" i="31" s="1"/>
  <c r="H445" i="31"/>
  <c r="J445" i="31" s="1"/>
  <c r="H444" i="31"/>
  <c r="J444" i="31" s="1"/>
  <c r="J443" i="31"/>
  <c r="H443" i="31"/>
  <c r="H441" i="31"/>
  <c r="J441" i="31" s="1"/>
  <c r="H440" i="31"/>
  <c r="J440" i="31" s="1"/>
  <c r="H439" i="31"/>
  <c r="J439" i="31" s="1"/>
  <c r="J438" i="31"/>
  <c r="H438" i="31"/>
  <c r="J437" i="31"/>
  <c r="H437" i="31"/>
  <c r="J436" i="31"/>
  <c r="H436" i="31"/>
  <c r="J435" i="31"/>
  <c r="H435" i="31"/>
  <c r="J434" i="31"/>
  <c r="H434" i="31"/>
  <c r="J433" i="31"/>
  <c r="H433" i="31"/>
  <c r="J432" i="31"/>
  <c r="H432" i="31"/>
  <c r="J431" i="31"/>
  <c r="H431" i="31"/>
  <c r="J430" i="31"/>
  <c r="H430" i="31"/>
  <c r="J429" i="31"/>
  <c r="H429" i="31"/>
  <c r="J428" i="31"/>
  <c r="H428" i="31"/>
  <c r="J427" i="31"/>
  <c r="H427" i="31"/>
  <c r="H426" i="31"/>
  <c r="J426" i="31" s="1"/>
  <c r="H425" i="31"/>
  <c r="J425" i="31" s="1"/>
  <c r="H424" i="31"/>
  <c r="J424" i="31" s="1"/>
  <c r="H423" i="31"/>
  <c r="J423" i="31" s="1"/>
  <c r="H422" i="31"/>
  <c r="J422" i="31" s="1"/>
  <c r="H421" i="31"/>
  <c r="J421" i="31" s="1"/>
  <c r="H420" i="31"/>
  <c r="J420" i="31" s="1"/>
  <c r="J419" i="31"/>
  <c r="H419" i="31"/>
  <c r="H418" i="31"/>
  <c r="J418" i="31" s="1"/>
  <c r="H417" i="31"/>
  <c r="J417" i="31" s="1"/>
  <c r="H416" i="31"/>
  <c r="J416" i="31" s="1"/>
  <c r="H415" i="31"/>
  <c r="J415" i="31" s="1"/>
  <c r="H414" i="31"/>
  <c r="J414" i="31" s="1"/>
  <c r="H413" i="31"/>
  <c r="J413" i="31" s="1"/>
  <c r="H412" i="31"/>
  <c r="J412" i="31" s="1"/>
  <c r="J411" i="31"/>
  <c r="H411" i="31"/>
  <c r="H410" i="31"/>
  <c r="J410" i="31" s="1"/>
  <c r="H409" i="31"/>
  <c r="J409" i="31" s="1"/>
  <c r="H408" i="31"/>
  <c r="J408" i="31" s="1"/>
  <c r="H407" i="31"/>
  <c r="J407" i="31" s="1"/>
  <c r="H404" i="31"/>
  <c r="J404" i="31" s="1"/>
  <c r="H403" i="31"/>
  <c r="J403" i="31" s="1"/>
  <c r="H402" i="31"/>
  <c r="J402" i="31" s="1"/>
  <c r="J401" i="31"/>
  <c r="H401" i="31"/>
  <c r="H400" i="31"/>
  <c r="J400" i="31" s="1"/>
  <c r="H399" i="31"/>
  <c r="J399" i="31" s="1"/>
  <c r="H398" i="31"/>
  <c r="J398" i="31" s="1"/>
  <c r="H397" i="31"/>
  <c r="J397" i="31" s="1"/>
  <c r="H396" i="31"/>
  <c r="J396" i="31" s="1"/>
  <c r="H395" i="31"/>
  <c r="J395" i="31" s="1"/>
  <c r="H394" i="31"/>
  <c r="J394" i="31" s="1"/>
  <c r="J393" i="31"/>
  <c r="H393" i="31"/>
  <c r="H392" i="31"/>
  <c r="J392" i="31" s="1"/>
  <c r="H390" i="31"/>
  <c r="J390" i="31" s="1"/>
  <c r="H389" i="31"/>
  <c r="J389" i="31" s="1"/>
  <c r="H388" i="31"/>
  <c r="J388" i="31" s="1"/>
  <c r="H387" i="31"/>
  <c r="J387" i="31" s="1"/>
  <c r="H386" i="31"/>
  <c r="J386" i="31" s="1"/>
  <c r="H385" i="31"/>
  <c r="J385" i="31" s="1"/>
  <c r="J384" i="31"/>
  <c r="H384" i="31"/>
  <c r="H383" i="31"/>
  <c r="J383" i="31" s="1"/>
  <c r="H382" i="31"/>
  <c r="J382" i="31" s="1"/>
  <c r="H381" i="31"/>
  <c r="J381" i="31" s="1"/>
  <c r="H380" i="31"/>
  <c r="J380" i="31" s="1"/>
  <c r="H379" i="31"/>
  <c r="J379" i="31" s="1"/>
  <c r="H378" i="31"/>
  <c r="J378" i="31" s="1"/>
  <c r="H377" i="31"/>
  <c r="J377" i="31" s="1"/>
  <c r="J376" i="31"/>
  <c r="H376" i="31"/>
  <c r="H375" i="31"/>
  <c r="J375" i="31" s="1"/>
  <c r="H374" i="31"/>
  <c r="J374" i="31" s="1"/>
  <c r="H373" i="31"/>
  <c r="J373" i="31" s="1"/>
  <c r="H372" i="31"/>
  <c r="J372" i="31" s="1"/>
  <c r="H371" i="31"/>
  <c r="J371" i="31" s="1"/>
  <c r="H370" i="31"/>
  <c r="J370" i="31" s="1"/>
  <c r="H369" i="31"/>
  <c r="J369" i="31" s="1"/>
  <c r="J368" i="31"/>
  <c r="H368" i="31"/>
  <c r="H367" i="31"/>
  <c r="J367" i="31" s="1"/>
  <c r="H366" i="31"/>
  <c r="J366" i="31" s="1"/>
  <c r="H365" i="31"/>
  <c r="J365" i="31" s="1"/>
  <c r="H364" i="31"/>
  <c r="J364" i="31" s="1"/>
  <c r="H363" i="31"/>
  <c r="J363" i="31" s="1"/>
  <c r="H362" i="31"/>
  <c r="J362" i="31" s="1"/>
  <c r="H361" i="31"/>
  <c r="J361" i="31" s="1"/>
  <c r="J360" i="31"/>
  <c r="H360" i="31"/>
  <c r="H359" i="31"/>
  <c r="J359" i="31" s="1"/>
  <c r="H358" i="31"/>
  <c r="J358" i="31" s="1"/>
  <c r="H357" i="31"/>
  <c r="J357" i="31" s="1"/>
  <c r="H356" i="31"/>
  <c r="J356" i="31" s="1"/>
  <c r="H355" i="31"/>
  <c r="J355" i="31" s="1"/>
  <c r="H354" i="31"/>
  <c r="J354" i="31" s="1"/>
  <c r="H353" i="31"/>
  <c r="J353" i="31" s="1"/>
  <c r="J352" i="31"/>
  <c r="H352" i="31"/>
  <c r="H351" i="31"/>
  <c r="J351" i="31" s="1"/>
  <c r="H350" i="31"/>
  <c r="J350" i="31" s="1"/>
  <c r="H349" i="31"/>
  <c r="J349" i="31" s="1"/>
  <c r="H348" i="31"/>
  <c r="J348" i="31" s="1"/>
  <c r="H347" i="31"/>
  <c r="J347" i="31" s="1"/>
  <c r="H346" i="31"/>
  <c r="J346" i="31" s="1"/>
  <c r="H345" i="31"/>
  <c r="J345" i="31" s="1"/>
  <c r="J344" i="31"/>
  <c r="H344" i="31"/>
  <c r="H342" i="31"/>
  <c r="J342" i="31" s="1"/>
  <c r="H341" i="31"/>
  <c r="J341" i="31" s="1"/>
  <c r="H340" i="31"/>
  <c r="J340" i="31" s="1"/>
  <c r="H339" i="31"/>
  <c r="J339" i="31" s="1"/>
  <c r="H338" i="31"/>
  <c r="J338" i="31" s="1"/>
  <c r="H337" i="31"/>
  <c r="J337" i="31" s="1"/>
  <c r="H336" i="31"/>
  <c r="J336" i="31" s="1"/>
  <c r="J335" i="31"/>
  <c r="H335" i="31"/>
  <c r="H334" i="31"/>
  <c r="J334" i="31" s="1"/>
  <c r="H333" i="31"/>
  <c r="J333" i="31" s="1"/>
  <c r="H332" i="31"/>
  <c r="J332" i="31" s="1"/>
  <c r="H331" i="31"/>
  <c r="J331" i="31" s="1"/>
  <c r="H330" i="31"/>
  <c r="J330" i="31" s="1"/>
  <c r="H329" i="31"/>
  <c r="J329" i="31" s="1"/>
  <c r="H328" i="31"/>
  <c r="J328" i="31" s="1"/>
  <c r="J327" i="31"/>
  <c r="H327" i="31"/>
  <c r="H326" i="31"/>
  <c r="J326" i="31" s="1"/>
  <c r="H325" i="31"/>
  <c r="J325" i="31" s="1"/>
  <c r="H323" i="31"/>
  <c r="J323" i="31" s="1"/>
  <c r="H322" i="31"/>
  <c r="J322" i="31" s="1"/>
  <c r="H321" i="31"/>
  <c r="J321" i="31" s="1"/>
  <c r="H320" i="31"/>
  <c r="J320" i="31" s="1"/>
  <c r="H319" i="31"/>
  <c r="J319" i="31" s="1"/>
  <c r="J318" i="31"/>
  <c r="H318" i="31"/>
  <c r="H317" i="31"/>
  <c r="J317" i="31" s="1"/>
  <c r="H316" i="31"/>
  <c r="J316" i="31" s="1"/>
  <c r="H315" i="31"/>
  <c r="J315" i="31" s="1"/>
  <c r="H314" i="31"/>
  <c r="J314" i="31" s="1"/>
  <c r="H313" i="31"/>
  <c r="J313" i="31" s="1"/>
  <c r="H312" i="31"/>
  <c r="J312" i="31" s="1"/>
  <c r="H311" i="31"/>
  <c r="J311" i="31" s="1"/>
  <c r="J310" i="31"/>
  <c r="H310" i="31"/>
  <c r="H309" i="31"/>
  <c r="J309" i="31" s="1"/>
  <c r="H308" i="31"/>
  <c r="J308" i="31" s="1"/>
  <c r="H307" i="31"/>
  <c r="J307" i="31" s="1"/>
  <c r="H306" i="31"/>
  <c r="J306" i="31" s="1"/>
  <c r="H305" i="31"/>
  <c r="J305" i="31" s="1"/>
  <c r="H304" i="31"/>
  <c r="J304" i="31" s="1"/>
  <c r="H303" i="31"/>
  <c r="J303" i="31" s="1"/>
  <c r="J302" i="31"/>
  <c r="H302" i="31"/>
  <c r="H301" i="31"/>
  <c r="J301" i="31" s="1"/>
  <c r="H300" i="31"/>
  <c r="J300" i="31" s="1"/>
  <c r="H299" i="31"/>
  <c r="J299" i="31" s="1"/>
  <c r="H298" i="31"/>
  <c r="J298" i="31" s="1"/>
  <c r="H297" i="31"/>
  <c r="J297" i="31" s="1"/>
  <c r="H296" i="31"/>
  <c r="J296" i="31" s="1"/>
  <c r="H295" i="31"/>
  <c r="J295" i="31" s="1"/>
  <c r="J294" i="31"/>
  <c r="H294" i="31"/>
  <c r="H293" i="31"/>
  <c r="J293" i="31" s="1"/>
  <c r="H292" i="31"/>
  <c r="J292" i="31" s="1"/>
  <c r="H291" i="31"/>
  <c r="J291" i="31" s="1"/>
  <c r="H290" i="31"/>
  <c r="J290" i="31" s="1"/>
  <c r="H289" i="31"/>
  <c r="J289" i="31" s="1"/>
  <c r="H288" i="31"/>
  <c r="J288" i="31" s="1"/>
  <c r="H287" i="31"/>
  <c r="J287" i="31" s="1"/>
  <c r="J286" i="31"/>
  <c r="H286" i="31"/>
  <c r="H285" i="31"/>
  <c r="J285" i="31" s="1"/>
  <c r="H284" i="31"/>
  <c r="J284" i="31" s="1"/>
  <c r="H283" i="31"/>
  <c r="J283" i="31" s="1"/>
  <c r="H282" i="31"/>
  <c r="J282" i="31" s="1"/>
  <c r="H281" i="31"/>
  <c r="J281" i="31" s="1"/>
  <c r="H280" i="31"/>
  <c r="J280" i="31" s="1"/>
  <c r="H279" i="31"/>
  <c r="J279" i="31" s="1"/>
  <c r="J278" i="31"/>
  <c r="H278" i="31"/>
  <c r="H277" i="31"/>
  <c r="J277" i="31" s="1"/>
  <c r="H276" i="31"/>
  <c r="J276" i="31" s="1"/>
  <c r="H275" i="31"/>
  <c r="J275" i="31" s="1"/>
  <c r="H274" i="31"/>
  <c r="J274" i="31" s="1"/>
  <c r="H273" i="31"/>
  <c r="J273" i="31" s="1"/>
  <c r="H272" i="31"/>
  <c r="J272" i="31" s="1"/>
  <c r="H271" i="31"/>
  <c r="J271" i="31" s="1"/>
  <c r="J270" i="31"/>
  <c r="H270" i="31"/>
  <c r="H269" i="31"/>
  <c r="J269" i="31" s="1"/>
  <c r="H268" i="31"/>
  <c r="J268" i="31" s="1"/>
  <c r="H267" i="31"/>
  <c r="J267" i="31" s="1"/>
  <c r="H266" i="31"/>
  <c r="J266" i="31" s="1"/>
  <c r="H265" i="31"/>
  <c r="J265" i="31" s="1"/>
  <c r="H264" i="31"/>
  <c r="J264" i="31" s="1"/>
  <c r="H263" i="31"/>
  <c r="J263" i="31" s="1"/>
  <c r="J262" i="31"/>
  <c r="H262" i="31"/>
  <c r="H261" i="31"/>
  <c r="J261" i="31" s="1"/>
  <c r="H260" i="31"/>
  <c r="J260" i="31" s="1"/>
  <c r="H259" i="31"/>
  <c r="J259" i="31" s="1"/>
  <c r="H258" i="31"/>
  <c r="J258" i="31" s="1"/>
  <c r="H257" i="31"/>
  <c r="J257" i="31" s="1"/>
  <c r="H256" i="31"/>
  <c r="J256" i="31" s="1"/>
  <c r="H255" i="31"/>
  <c r="J255" i="31" s="1"/>
  <c r="J254" i="31"/>
  <c r="H254" i="31"/>
  <c r="H253" i="31"/>
  <c r="J253" i="31" s="1"/>
  <c r="H252" i="31"/>
  <c r="J252" i="31" s="1"/>
  <c r="H251" i="31"/>
  <c r="J251" i="31" s="1"/>
  <c r="H250" i="31"/>
  <c r="J250" i="31" s="1"/>
  <c r="H249" i="31"/>
  <c r="J249" i="31" s="1"/>
  <c r="H248" i="31"/>
  <c r="J248" i="31" s="1"/>
  <c r="H247" i="31"/>
  <c r="J247" i="31" s="1"/>
  <c r="J246" i="31"/>
  <c r="H246" i="31"/>
  <c r="H245" i="31"/>
  <c r="J245" i="31" s="1"/>
  <c r="H244" i="31"/>
  <c r="J244" i="31" s="1"/>
  <c r="H243" i="31"/>
  <c r="J243" i="31" s="1"/>
  <c r="H242" i="31"/>
  <c r="J242" i="31" s="1"/>
  <c r="H241" i="31"/>
  <c r="J241" i="31" s="1"/>
  <c r="H240" i="31"/>
  <c r="J240" i="31" s="1"/>
  <c r="H239" i="31"/>
  <c r="J239" i="31" s="1"/>
  <c r="J238" i="31"/>
  <c r="H238" i="31"/>
  <c r="H237" i="31"/>
  <c r="J237" i="31" s="1"/>
  <c r="H236" i="31"/>
  <c r="J236" i="31" s="1"/>
  <c r="H235" i="31"/>
  <c r="J235" i="31" s="1"/>
  <c r="H234" i="31"/>
  <c r="J234" i="31" s="1"/>
  <c r="H233" i="31"/>
  <c r="J233" i="31" s="1"/>
  <c r="H232" i="31"/>
  <c r="J232" i="31" s="1"/>
  <c r="H231" i="31"/>
  <c r="J231" i="31" s="1"/>
  <c r="J230" i="31"/>
  <c r="H230" i="31"/>
  <c r="H229" i="31"/>
  <c r="J229" i="31" s="1"/>
  <c r="H228" i="31"/>
  <c r="J228" i="31" s="1"/>
  <c r="H227" i="31"/>
  <c r="J227" i="31" s="1"/>
  <c r="H226" i="31"/>
  <c r="J226" i="31" s="1"/>
  <c r="H225" i="31"/>
  <c r="J225" i="31" s="1"/>
  <c r="H224" i="31"/>
  <c r="J224" i="31" s="1"/>
  <c r="H223" i="31"/>
  <c r="J223" i="31" s="1"/>
  <c r="J222" i="31"/>
  <c r="H222" i="31"/>
  <c r="H221" i="31"/>
  <c r="J221" i="31" s="1"/>
  <c r="H220" i="31"/>
  <c r="J220" i="31" s="1"/>
  <c r="H219" i="31"/>
  <c r="J219" i="31" s="1"/>
  <c r="H218" i="31"/>
  <c r="J218" i="31" s="1"/>
  <c r="H217" i="31"/>
  <c r="J217" i="31" s="1"/>
  <c r="H215" i="31"/>
  <c r="J215" i="31" s="1"/>
  <c r="H212" i="31"/>
  <c r="J212" i="31" s="1"/>
  <c r="J211" i="31"/>
  <c r="H211" i="31"/>
  <c r="H210" i="31"/>
  <c r="J210" i="31" s="1"/>
  <c r="H209" i="31"/>
  <c r="J209" i="31" s="1"/>
  <c r="H208" i="31"/>
  <c r="J208" i="31" s="1"/>
  <c r="H207" i="31"/>
  <c r="J207" i="31" s="1"/>
  <c r="H206" i="31"/>
  <c r="J206" i="31" s="1"/>
  <c r="H205" i="31"/>
  <c r="J205" i="31" s="1"/>
  <c r="H204" i="31"/>
  <c r="J204" i="31" s="1"/>
  <c r="J203" i="31"/>
  <c r="H203" i="31"/>
  <c r="H202" i="31"/>
  <c r="J202" i="31" s="1"/>
  <c r="H201" i="31"/>
  <c r="J201" i="31" s="1"/>
  <c r="H199" i="31"/>
  <c r="J199" i="31" s="1"/>
  <c r="H198" i="31"/>
  <c r="J198" i="31" s="1"/>
  <c r="H197" i="31"/>
  <c r="J197" i="31" s="1"/>
  <c r="H196" i="31"/>
  <c r="J196" i="31" s="1"/>
  <c r="H194" i="31"/>
  <c r="J194" i="31" s="1"/>
  <c r="H193" i="31"/>
  <c r="J193" i="31" s="1"/>
  <c r="H192" i="31"/>
  <c r="J192" i="31" s="1"/>
  <c r="H191" i="31"/>
  <c r="J191" i="31" s="1"/>
  <c r="H190" i="31"/>
  <c r="J190" i="31" s="1"/>
  <c r="H189" i="31"/>
  <c r="J189" i="31" s="1"/>
  <c r="H188" i="31"/>
  <c r="J188" i="31" s="1"/>
  <c r="H187" i="31"/>
  <c r="J187" i="31" s="1"/>
  <c r="H186" i="31"/>
  <c r="J186" i="31" s="1"/>
  <c r="H185" i="31"/>
  <c r="J185" i="31" s="1"/>
  <c r="H184" i="31"/>
  <c r="J184" i="31" s="1"/>
  <c r="H183" i="31"/>
  <c r="J183" i="31" s="1"/>
  <c r="H182" i="31"/>
  <c r="J182" i="31" s="1"/>
  <c r="H181" i="31"/>
  <c r="J181" i="31" s="1"/>
  <c r="H180" i="31"/>
  <c r="J180" i="31" s="1"/>
  <c r="H179" i="31"/>
  <c r="J179" i="31" s="1"/>
  <c r="H178" i="31"/>
  <c r="J178" i="31" s="1"/>
  <c r="H177" i="31"/>
  <c r="J177" i="31" s="1"/>
  <c r="H176" i="31"/>
  <c r="J176" i="31" s="1"/>
  <c r="H175" i="31"/>
  <c r="J175" i="31" s="1"/>
  <c r="H174" i="31"/>
  <c r="J174" i="31" s="1"/>
  <c r="H173" i="31"/>
  <c r="J173" i="31" s="1"/>
  <c r="H172" i="31"/>
  <c r="J172" i="31" s="1"/>
  <c r="H171" i="31"/>
  <c r="J171" i="31" s="1"/>
  <c r="H170" i="31"/>
  <c r="J170" i="31" s="1"/>
  <c r="H169" i="31"/>
  <c r="J169" i="31" s="1"/>
  <c r="H168" i="31"/>
  <c r="J168" i="31" s="1"/>
  <c r="H167" i="31"/>
  <c r="J167" i="31" s="1"/>
  <c r="H166" i="31"/>
  <c r="J166" i="31" s="1"/>
  <c r="H165" i="31"/>
  <c r="J165" i="31" s="1"/>
  <c r="H164" i="31"/>
  <c r="J164" i="31" s="1"/>
  <c r="H163" i="31"/>
  <c r="J163" i="31" s="1"/>
  <c r="H162" i="31"/>
  <c r="J162" i="31" s="1"/>
  <c r="H161" i="31"/>
  <c r="J161" i="31" s="1"/>
  <c r="H160" i="31"/>
  <c r="J160" i="31" s="1"/>
  <c r="H159" i="31"/>
  <c r="J159" i="31" s="1"/>
  <c r="H156" i="31"/>
  <c r="J156" i="31" s="1"/>
  <c r="H153" i="31"/>
  <c r="J153" i="31" s="1"/>
  <c r="H152" i="31"/>
  <c r="J152" i="31" s="1"/>
  <c r="H151" i="31"/>
  <c r="J151" i="31" s="1"/>
  <c r="H150" i="31"/>
  <c r="J150" i="31" s="1"/>
  <c r="H149" i="31"/>
  <c r="J149" i="31" s="1"/>
  <c r="H148" i="31"/>
  <c r="J148" i="31" s="1"/>
  <c r="H147" i="31"/>
  <c r="J147" i="31" s="1"/>
  <c r="H145" i="31"/>
  <c r="J145" i="31" s="1"/>
  <c r="H144" i="31"/>
  <c r="J144" i="31" s="1"/>
  <c r="H143" i="31"/>
  <c r="J143" i="31" s="1"/>
  <c r="H142" i="31"/>
  <c r="J142" i="31" s="1"/>
  <c r="H141" i="31"/>
  <c r="J141" i="31" s="1"/>
  <c r="H140" i="31"/>
  <c r="J140" i="31" s="1"/>
  <c r="H139" i="31"/>
  <c r="J139" i="31" s="1"/>
  <c r="H138" i="31"/>
  <c r="J138" i="31" s="1"/>
  <c r="H137" i="31"/>
  <c r="J137" i="31" s="1"/>
  <c r="H136" i="31"/>
  <c r="J136" i="31" s="1"/>
  <c r="H135" i="31"/>
  <c r="J135" i="31" s="1"/>
  <c r="H134" i="31"/>
  <c r="J134" i="31" s="1"/>
  <c r="H133" i="31"/>
  <c r="J133" i="31" s="1"/>
  <c r="H132" i="31"/>
  <c r="J132" i="31" s="1"/>
  <c r="H131" i="31"/>
  <c r="J131" i="31" s="1"/>
  <c r="H130" i="31"/>
  <c r="J130" i="31" s="1"/>
  <c r="H129" i="31"/>
  <c r="J129" i="31" s="1"/>
  <c r="H128" i="31"/>
  <c r="J128" i="31" s="1"/>
  <c r="H127" i="31"/>
  <c r="J127" i="31" s="1"/>
  <c r="H126" i="31"/>
  <c r="J126" i="31" s="1"/>
  <c r="H125" i="31"/>
  <c r="J125" i="31" s="1"/>
  <c r="H124" i="31"/>
  <c r="J124" i="31" s="1"/>
  <c r="H123" i="31"/>
  <c r="J123" i="31" s="1"/>
  <c r="H122" i="31"/>
  <c r="J122" i="31" s="1"/>
  <c r="H121" i="31"/>
  <c r="J121" i="31" s="1"/>
  <c r="H120" i="31"/>
  <c r="J120" i="31" s="1"/>
  <c r="H118" i="31"/>
  <c r="J118" i="31" s="1"/>
  <c r="H117" i="31"/>
  <c r="J117" i="31" s="1"/>
  <c r="H116" i="31"/>
  <c r="J116" i="31" s="1"/>
  <c r="H115" i="31"/>
  <c r="J115" i="31" s="1"/>
  <c r="H114" i="31"/>
  <c r="J114" i="31" s="1"/>
  <c r="H113" i="31"/>
  <c r="J113" i="31" s="1"/>
  <c r="H112" i="31"/>
  <c r="J112" i="31" s="1"/>
  <c r="H111" i="31"/>
  <c r="J111" i="31" s="1"/>
  <c r="H110" i="31"/>
  <c r="J110" i="31" s="1"/>
  <c r="H109" i="31"/>
  <c r="J109" i="31" s="1"/>
  <c r="H108" i="31"/>
  <c r="J108" i="31" s="1"/>
  <c r="H106" i="31"/>
  <c r="J106" i="31" s="1"/>
  <c r="H105" i="31"/>
  <c r="J105" i="31" s="1"/>
  <c r="H104" i="31"/>
  <c r="J104" i="31" s="1"/>
  <c r="H103" i="31"/>
  <c r="J103" i="31" s="1"/>
  <c r="H102" i="31"/>
  <c r="J102" i="31" s="1"/>
  <c r="H101" i="31"/>
  <c r="J101" i="31" s="1"/>
  <c r="H100" i="31"/>
  <c r="J100" i="31" s="1"/>
  <c r="H99" i="31"/>
  <c r="J99" i="31" s="1"/>
  <c r="H98" i="31"/>
  <c r="J98" i="31" s="1"/>
  <c r="H97" i="31"/>
  <c r="J97" i="31" s="1"/>
  <c r="H96" i="31"/>
  <c r="J96" i="31" s="1"/>
  <c r="H95" i="31"/>
  <c r="J95" i="31" s="1"/>
  <c r="H94" i="31"/>
  <c r="J94" i="31" s="1"/>
  <c r="H93" i="31"/>
  <c r="J93" i="31" s="1"/>
  <c r="H92" i="31"/>
  <c r="J92" i="31" s="1"/>
  <c r="H91" i="31"/>
  <c r="J91" i="31" s="1"/>
  <c r="H90" i="31"/>
  <c r="J90" i="31" s="1"/>
  <c r="H88" i="31"/>
  <c r="J88" i="31" s="1"/>
  <c r="H87" i="31"/>
  <c r="J87" i="31" s="1"/>
  <c r="H85" i="31"/>
  <c r="J85" i="31" s="1"/>
  <c r="H84" i="31"/>
  <c r="J84" i="31" s="1"/>
  <c r="H83" i="31"/>
  <c r="J83" i="31" s="1"/>
  <c r="H82" i="31"/>
  <c r="J82" i="31" s="1"/>
  <c r="H81" i="31"/>
  <c r="J81" i="31" s="1"/>
  <c r="I80" i="31"/>
  <c r="H80" i="31"/>
  <c r="J79" i="31"/>
  <c r="H79" i="31"/>
  <c r="J78" i="31"/>
  <c r="H78" i="31"/>
  <c r="H76" i="31"/>
  <c r="J76" i="31" s="1"/>
  <c r="H75" i="31"/>
  <c r="J75" i="31" s="1"/>
  <c r="H74" i="31"/>
  <c r="J74" i="31" s="1"/>
  <c r="H73" i="31"/>
  <c r="J73" i="31" s="1"/>
  <c r="H72" i="31"/>
  <c r="J72" i="31" s="1"/>
  <c r="H71" i="31"/>
  <c r="J71" i="31" s="1"/>
  <c r="H70" i="31"/>
  <c r="J70" i="31" s="1"/>
  <c r="H69" i="31"/>
  <c r="J69" i="31" s="1"/>
  <c r="H68" i="31"/>
  <c r="J68" i="31" s="1"/>
  <c r="H66" i="31"/>
  <c r="J66" i="31" s="1"/>
  <c r="H65" i="31"/>
  <c r="J65" i="31" s="1"/>
  <c r="H64" i="31"/>
  <c r="J64" i="31" s="1"/>
  <c r="H63" i="31"/>
  <c r="J63" i="31" s="1"/>
  <c r="H62" i="31"/>
  <c r="J62" i="31" s="1"/>
  <c r="H61" i="31"/>
  <c r="J61" i="31" s="1"/>
  <c r="H60" i="31"/>
  <c r="J60" i="31" s="1"/>
  <c r="H59" i="31"/>
  <c r="J59" i="31" s="1"/>
  <c r="H58" i="31"/>
  <c r="J58" i="31" s="1"/>
  <c r="H57" i="31"/>
  <c r="J57" i="31" s="1"/>
  <c r="H56" i="31"/>
  <c r="J56" i="31" s="1"/>
  <c r="H55" i="31"/>
  <c r="J55" i="31" s="1"/>
  <c r="H54" i="31"/>
  <c r="J54" i="31" s="1"/>
  <c r="H53" i="31"/>
  <c r="J53" i="31" s="1"/>
  <c r="H46" i="31"/>
  <c r="J46" i="31" s="1"/>
  <c r="H45" i="31"/>
  <c r="J45" i="31" s="1"/>
  <c r="H42" i="31"/>
  <c r="J42" i="31" s="1"/>
  <c r="H38" i="31"/>
  <c r="J38" i="31" s="1"/>
  <c r="H37" i="31"/>
  <c r="J37" i="31" s="1"/>
  <c r="H36" i="31"/>
  <c r="J36" i="31" s="1"/>
  <c r="H34" i="31"/>
  <c r="J34" i="31" s="1"/>
  <c r="H33" i="31"/>
  <c r="J33" i="31" s="1"/>
  <c r="H31" i="31"/>
  <c r="J31" i="31" s="1"/>
  <c r="H30" i="31"/>
  <c r="J30" i="31" s="1"/>
  <c r="H28" i="31"/>
  <c r="J28" i="31" s="1"/>
  <c r="H27" i="31"/>
  <c r="J27" i="31" s="1"/>
  <c r="I26" i="31"/>
  <c r="H26" i="31"/>
  <c r="J26" i="31" s="1"/>
  <c r="H25" i="31"/>
  <c r="J25" i="31" s="1"/>
  <c r="H24" i="31"/>
  <c r="J24" i="31" s="1"/>
  <c r="H23" i="31"/>
  <c r="J23" i="31" s="1"/>
  <c r="H22" i="31"/>
  <c r="J22" i="31" s="1"/>
  <c r="H21" i="31"/>
  <c r="J21" i="31" s="1"/>
  <c r="H19" i="31"/>
  <c r="J19" i="31" s="1"/>
  <c r="H18" i="31"/>
  <c r="J18" i="31" s="1"/>
  <c r="H17" i="31"/>
  <c r="J17" i="31" s="1"/>
  <c r="H16" i="31"/>
  <c r="J16" i="31" s="1"/>
  <c r="H15" i="31"/>
  <c r="J15" i="31" s="1"/>
  <c r="H14" i="31"/>
  <c r="J14" i="31" s="1"/>
  <c r="H13" i="31"/>
  <c r="J13" i="31" s="1"/>
  <c r="K29" i="31" l="1"/>
  <c r="K32" i="31"/>
  <c r="K43" i="31"/>
  <c r="K1121" i="31"/>
  <c r="K195" i="31"/>
  <c r="K1480" i="31"/>
  <c r="K1139" i="31"/>
  <c r="K1395" i="31"/>
  <c r="J80" i="31"/>
  <c r="K89" i="31" s="1"/>
  <c r="J538" i="31"/>
  <c r="J543" i="31"/>
  <c r="J545" i="31"/>
  <c r="K576" i="31" s="1"/>
  <c r="J565" i="31"/>
  <c r="J1134" i="31"/>
  <c r="K585" i="31"/>
  <c r="K604" i="31"/>
  <c r="K808" i="31"/>
  <c r="J537" i="31"/>
  <c r="J546" i="31"/>
  <c r="J1306" i="31"/>
  <c r="K1308" i="31" s="1"/>
  <c r="K77" i="31"/>
  <c r="K35" i="31"/>
  <c r="K200" i="31"/>
  <c r="J1481" i="31"/>
  <c r="K20" i="31"/>
  <c r="K871" i="31"/>
  <c r="K1063" i="31"/>
  <c r="K1147" i="31"/>
  <c r="K1070" i="31"/>
  <c r="K1106" i="31"/>
  <c r="K1320" i="31"/>
  <c r="K1385" i="31"/>
  <c r="K1466" i="31"/>
  <c r="K1302" i="31"/>
  <c r="K1326" i="31"/>
  <c r="K1354" i="31"/>
  <c r="K1366" i="31"/>
  <c r="K1402" i="31"/>
  <c r="K1481" i="31" l="1"/>
  <c r="H156" i="30" l="1"/>
  <c r="J156" i="30" s="1"/>
  <c r="K156" i="30" s="1"/>
  <c r="I149" i="30"/>
  <c r="J145" i="30"/>
  <c r="H145" i="30"/>
  <c r="J144" i="30"/>
  <c r="H144" i="30"/>
  <c r="J143" i="30"/>
  <c r="H143" i="30"/>
  <c r="I142" i="30"/>
  <c r="H142" i="30"/>
  <c r="J141" i="30"/>
  <c r="H141" i="30"/>
  <c r="O141" i="30" s="1"/>
  <c r="J140" i="30"/>
  <c r="H140" i="30"/>
  <c r="J139" i="30"/>
  <c r="H139" i="30"/>
  <c r="J138" i="30"/>
  <c r="H138" i="30"/>
  <c r="J137" i="30"/>
  <c r="H137" i="30"/>
  <c r="J136" i="30"/>
  <c r="H136" i="30"/>
  <c r="J135" i="30"/>
  <c r="H135" i="30"/>
  <c r="J134" i="30"/>
  <c r="H134" i="30"/>
  <c r="J133" i="30"/>
  <c r="H133" i="30"/>
  <c r="J132" i="30"/>
  <c r="H132" i="30"/>
  <c r="I131" i="30"/>
  <c r="H131" i="30"/>
  <c r="I130" i="30"/>
  <c r="H130" i="30"/>
  <c r="J129" i="30"/>
  <c r="H129" i="30"/>
  <c r="J128" i="30"/>
  <c r="H128" i="30"/>
  <c r="J127" i="30"/>
  <c r="H127" i="30"/>
  <c r="J126" i="30"/>
  <c r="H126" i="30"/>
  <c r="J125" i="30"/>
  <c r="H125" i="30"/>
  <c r="J124" i="30"/>
  <c r="H124" i="30"/>
  <c r="J123" i="30"/>
  <c r="H123" i="30"/>
  <c r="J122" i="30"/>
  <c r="H122" i="30"/>
  <c r="J121" i="30"/>
  <c r="H121" i="30"/>
  <c r="J120" i="30"/>
  <c r="H120" i="30"/>
  <c r="J119" i="30"/>
  <c r="H119" i="30"/>
  <c r="J118" i="30"/>
  <c r="H118" i="30"/>
  <c r="J117" i="30"/>
  <c r="H117" i="30"/>
  <c r="J116" i="30"/>
  <c r="H116" i="30"/>
  <c r="O115" i="30"/>
  <c r="H115" i="30"/>
  <c r="J115" i="30" s="1"/>
  <c r="H114" i="30"/>
  <c r="J114" i="30" s="1"/>
  <c r="H113" i="30"/>
  <c r="J113" i="30" s="1"/>
  <c r="H112" i="30"/>
  <c r="J112" i="30" s="1"/>
  <c r="H111" i="30"/>
  <c r="J111" i="30" s="1"/>
  <c r="H110" i="30"/>
  <c r="J110" i="30" s="1"/>
  <c r="H109" i="30"/>
  <c r="J109" i="30" s="1"/>
  <c r="H108" i="30"/>
  <c r="J108" i="30" s="1"/>
  <c r="H107" i="30"/>
  <c r="J107" i="30" s="1"/>
  <c r="H106" i="30"/>
  <c r="J106" i="30" s="1"/>
  <c r="O105" i="30"/>
  <c r="J105" i="30"/>
  <c r="H105" i="30"/>
  <c r="J104" i="30"/>
  <c r="H104" i="30"/>
  <c r="J103" i="30"/>
  <c r="H103" i="30"/>
  <c r="J102" i="30"/>
  <c r="H102" i="30"/>
  <c r="J101" i="30"/>
  <c r="H101" i="30"/>
  <c r="J100" i="30"/>
  <c r="H100" i="30"/>
  <c r="J99" i="30"/>
  <c r="H99" i="30"/>
  <c r="J98" i="30"/>
  <c r="H98" i="30"/>
  <c r="J97" i="30"/>
  <c r="H97" i="30"/>
  <c r="J96" i="30"/>
  <c r="H96" i="30"/>
  <c r="J95" i="30"/>
  <c r="H95" i="30"/>
  <c r="J94" i="30"/>
  <c r="H94" i="30"/>
  <c r="J93" i="30"/>
  <c r="H93" i="30"/>
  <c r="J92" i="30"/>
  <c r="H92" i="30"/>
  <c r="J91" i="30"/>
  <c r="H91" i="30"/>
  <c r="J90" i="30"/>
  <c r="H90" i="30"/>
  <c r="H88" i="30"/>
  <c r="J88" i="30" s="1"/>
  <c r="H87" i="30"/>
  <c r="J87" i="30" s="1"/>
  <c r="H86" i="30"/>
  <c r="J86" i="30" s="1"/>
  <c r="H85" i="30"/>
  <c r="J85" i="30" s="1"/>
  <c r="H84" i="30"/>
  <c r="J84" i="30" s="1"/>
  <c r="H83" i="30"/>
  <c r="J83" i="30" s="1"/>
  <c r="H82" i="30"/>
  <c r="J82" i="30" s="1"/>
  <c r="H80" i="30"/>
  <c r="J80" i="30" s="1"/>
  <c r="I79" i="30"/>
  <c r="H79" i="30"/>
  <c r="H77" i="30"/>
  <c r="J77" i="30" s="1"/>
  <c r="H76" i="30"/>
  <c r="J76" i="30" s="1"/>
  <c r="H75" i="30"/>
  <c r="J75" i="30" s="1"/>
  <c r="H74" i="30"/>
  <c r="J74" i="30" s="1"/>
  <c r="J72" i="30"/>
  <c r="H72" i="30"/>
  <c r="J71" i="30"/>
  <c r="H71" i="30"/>
  <c r="J70" i="30"/>
  <c r="H70" i="30"/>
  <c r="H68" i="30"/>
  <c r="J68" i="30" s="1"/>
  <c r="H67" i="30"/>
  <c r="J67" i="30" s="1"/>
  <c r="H66" i="30"/>
  <c r="J66" i="30" s="1"/>
  <c r="H65" i="30"/>
  <c r="J65" i="30" s="1"/>
  <c r="H64" i="30"/>
  <c r="J64" i="30" s="1"/>
  <c r="J62" i="30"/>
  <c r="H62" i="30"/>
  <c r="P61" i="30"/>
  <c r="O61" i="30"/>
  <c r="J61" i="30"/>
  <c r="K63" i="30" s="1"/>
  <c r="H61" i="30"/>
  <c r="H59" i="30"/>
  <c r="J59" i="30" s="1"/>
  <c r="H58" i="30"/>
  <c r="J58" i="30" s="1"/>
  <c r="H57" i="30"/>
  <c r="J57" i="30" s="1"/>
  <c r="H56" i="30"/>
  <c r="J56" i="30" s="1"/>
  <c r="H55" i="30"/>
  <c r="J55" i="30" s="1"/>
  <c r="H54" i="30"/>
  <c r="J54" i="30" s="1"/>
  <c r="H53" i="30"/>
  <c r="J53" i="30" s="1"/>
  <c r="H52" i="30"/>
  <c r="J52" i="30" s="1"/>
  <c r="H51" i="30"/>
  <c r="J51" i="30" s="1"/>
  <c r="H50" i="30"/>
  <c r="J50" i="30" s="1"/>
  <c r="H49" i="30"/>
  <c r="J49" i="30" s="1"/>
  <c r="H48" i="30"/>
  <c r="J48" i="30" s="1"/>
  <c r="H47" i="30"/>
  <c r="J47" i="30" s="1"/>
  <c r="H46" i="30"/>
  <c r="J46" i="30" s="1"/>
  <c r="H45" i="30"/>
  <c r="J45" i="30" s="1"/>
  <c r="H44" i="30"/>
  <c r="J44" i="30" s="1"/>
  <c r="H43" i="30"/>
  <c r="J43" i="30" s="1"/>
  <c r="H42" i="30"/>
  <c r="J42" i="30" s="1"/>
  <c r="H41" i="30"/>
  <c r="J41" i="30" s="1"/>
  <c r="H40" i="30"/>
  <c r="J40" i="30" s="1"/>
  <c r="H39" i="30"/>
  <c r="J39" i="30" s="1"/>
  <c r="H38" i="30"/>
  <c r="J38" i="30" s="1"/>
  <c r="H37" i="30"/>
  <c r="J37" i="30" s="1"/>
  <c r="H36" i="30"/>
  <c r="J36" i="30" s="1"/>
  <c r="H35" i="30"/>
  <c r="J35" i="30" s="1"/>
  <c r="H34" i="30"/>
  <c r="J34" i="30" s="1"/>
  <c r="H33" i="30"/>
  <c r="J33" i="30" s="1"/>
  <c r="H32" i="30"/>
  <c r="J32" i="30" s="1"/>
  <c r="H31" i="30"/>
  <c r="J31" i="30" s="1"/>
  <c r="H30" i="30"/>
  <c r="J30" i="30" s="1"/>
  <c r="J28" i="30"/>
  <c r="H28" i="30"/>
  <c r="H27" i="30"/>
  <c r="J27" i="30" s="1"/>
  <c r="J26" i="30"/>
  <c r="H26" i="30"/>
  <c r="H25" i="30"/>
  <c r="J25" i="30" s="1"/>
  <c r="J24" i="30"/>
  <c r="H24" i="30"/>
  <c r="H22" i="30"/>
  <c r="J22" i="30" s="1"/>
  <c r="O21" i="30"/>
  <c r="J21" i="30"/>
  <c r="H21" i="30"/>
  <c r="H20" i="30"/>
  <c r="J20" i="30" s="1"/>
  <c r="J19" i="30"/>
  <c r="H19" i="30"/>
  <c r="H18" i="30"/>
  <c r="J18" i="30" s="1"/>
  <c r="J17" i="30"/>
  <c r="H17" i="30"/>
  <c r="H16" i="30"/>
  <c r="J16" i="30" s="1"/>
  <c r="J15" i="30"/>
  <c r="H15" i="30"/>
  <c r="H14" i="30"/>
  <c r="J14" i="30" s="1"/>
  <c r="J13" i="30"/>
  <c r="H13" i="30"/>
  <c r="H12" i="30"/>
  <c r="J12" i="30" s="1"/>
  <c r="H11" i="30"/>
  <c r="J11" i="30" s="1"/>
  <c r="H75" i="29"/>
  <c r="J75" i="29" s="1"/>
  <c r="H74" i="29"/>
  <c r="J74" i="29" s="1"/>
  <c r="J73" i="29"/>
  <c r="H73" i="29"/>
  <c r="I72" i="29"/>
  <c r="H72" i="29"/>
  <c r="J71" i="29"/>
  <c r="H71" i="29"/>
  <c r="H70" i="29"/>
  <c r="J70" i="29" s="1"/>
  <c r="J69" i="29"/>
  <c r="H69" i="29"/>
  <c r="H68" i="29"/>
  <c r="J68" i="29" s="1"/>
  <c r="J67" i="29"/>
  <c r="H67" i="29"/>
  <c r="H66" i="29"/>
  <c r="J66" i="29" s="1"/>
  <c r="H65" i="29"/>
  <c r="J65" i="29" s="1"/>
  <c r="H64" i="29"/>
  <c r="J64" i="29" s="1"/>
  <c r="J63" i="29"/>
  <c r="H63" i="29"/>
  <c r="H62" i="29"/>
  <c r="J62" i="29" s="1"/>
  <c r="I61" i="29"/>
  <c r="H61" i="29"/>
  <c r="I60" i="29"/>
  <c r="H60" i="29"/>
  <c r="J60" i="29" s="1"/>
  <c r="H59" i="29"/>
  <c r="J59" i="29" s="1"/>
  <c r="H58" i="29"/>
  <c r="J58" i="29" s="1"/>
  <c r="H57" i="29"/>
  <c r="J57" i="29" s="1"/>
  <c r="J56" i="29"/>
  <c r="H56" i="29"/>
  <c r="H55" i="29"/>
  <c r="J55" i="29" s="1"/>
  <c r="J54" i="29"/>
  <c r="H54" i="29"/>
  <c r="H53" i="29"/>
  <c r="J53" i="29" s="1"/>
  <c r="J52" i="29"/>
  <c r="H52" i="29"/>
  <c r="H51" i="29"/>
  <c r="J51" i="29" s="1"/>
  <c r="H50" i="29"/>
  <c r="J50" i="29" s="1"/>
  <c r="H49" i="29"/>
  <c r="J49" i="29" s="1"/>
  <c r="J48" i="29"/>
  <c r="H48" i="29"/>
  <c r="H47" i="29"/>
  <c r="J47" i="29" s="1"/>
  <c r="J46" i="29"/>
  <c r="H46" i="29"/>
  <c r="H45" i="29"/>
  <c r="J45" i="29" s="1"/>
  <c r="J44" i="29"/>
  <c r="H44" i="29"/>
  <c r="H43" i="29"/>
  <c r="J43" i="29" s="1"/>
  <c r="H42" i="29"/>
  <c r="J42" i="29" s="1"/>
  <c r="H41" i="29"/>
  <c r="J41" i="29" s="1"/>
  <c r="J40" i="29"/>
  <c r="H40" i="29"/>
  <c r="H39" i="29"/>
  <c r="J39" i="29" s="1"/>
  <c r="H38" i="29"/>
  <c r="J38" i="29" s="1"/>
  <c r="H37" i="29"/>
  <c r="J37" i="29" s="1"/>
  <c r="J36" i="29"/>
  <c r="H36" i="29"/>
  <c r="H35" i="29"/>
  <c r="J35" i="29" s="1"/>
  <c r="H34" i="29"/>
  <c r="J34" i="29" s="1"/>
  <c r="H33" i="29"/>
  <c r="J33" i="29" s="1"/>
  <c r="J32" i="29"/>
  <c r="H32" i="29"/>
  <c r="H31" i="29"/>
  <c r="J31" i="29" s="1"/>
  <c r="H30" i="29"/>
  <c r="J30" i="29" s="1"/>
  <c r="H29" i="29"/>
  <c r="J29" i="29" s="1"/>
  <c r="J28" i="29"/>
  <c r="H28" i="29"/>
  <c r="H27" i="29"/>
  <c r="J27" i="29" s="1"/>
  <c r="H26" i="29"/>
  <c r="J26" i="29" s="1"/>
  <c r="H25" i="29"/>
  <c r="J25" i="29" s="1"/>
  <c r="J24" i="29"/>
  <c r="H24" i="29"/>
  <c r="H23" i="29"/>
  <c r="J23" i="29" s="1"/>
  <c r="H22" i="29"/>
  <c r="J22" i="29" s="1"/>
  <c r="H21" i="29"/>
  <c r="J21" i="29" s="1"/>
  <c r="J20" i="29"/>
  <c r="H20" i="29"/>
  <c r="H19" i="29"/>
  <c r="J19" i="29" s="1"/>
  <c r="H17" i="29"/>
  <c r="J17" i="29" s="1"/>
  <c r="J16" i="29"/>
  <c r="K18" i="29" s="1"/>
  <c r="H16" i="29"/>
  <c r="H14" i="29"/>
  <c r="J14" i="29" s="1"/>
  <c r="H13" i="29"/>
  <c r="J13" i="29" s="1"/>
  <c r="H12" i="29"/>
  <c r="J12" i="29" s="1"/>
  <c r="J11" i="29"/>
  <c r="H11" i="29"/>
  <c r="J130" i="30" l="1"/>
  <c r="K146" i="30" s="1"/>
  <c r="J142" i="30"/>
  <c r="J61" i="29"/>
  <c r="K73" i="30"/>
  <c r="J72" i="29"/>
  <c r="K29" i="30"/>
  <c r="J79" i="30"/>
  <c r="J131" i="30"/>
  <c r="K60" i="30"/>
  <c r="K69" i="30"/>
  <c r="K89" i="30"/>
  <c r="K23" i="30"/>
  <c r="K78" i="30"/>
  <c r="K81" i="30"/>
  <c r="K15" i="29"/>
  <c r="K76" i="29"/>
  <c r="J147" i="30" l="1"/>
  <c r="O81" i="30"/>
  <c r="K147" i="30"/>
  <c r="K77" i="29"/>
  <c r="H1456" i="28" l="1"/>
  <c r="J1456" i="28" s="1"/>
  <c r="H1455" i="28"/>
  <c r="J1455" i="28" s="1"/>
  <c r="H1454" i="28"/>
  <c r="J1454" i="28" s="1"/>
  <c r="J1453" i="28"/>
  <c r="J1452" i="28"/>
  <c r="H1452" i="28"/>
  <c r="H1451" i="28"/>
  <c r="J1451" i="28" s="1"/>
  <c r="J1450" i="28"/>
  <c r="H1450" i="28"/>
  <c r="H1449" i="28"/>
  <c r="H1448" i="28"/>
  <c r="J1447" i="28"/>
  <c r="H1447" i="28"/>
  <c r="H1446" i="28"/>
  <c r="J1446" i="28" s="1"/>
  <c r="J1445" i="28"/>
  <c r="H1445" i="28"/>
  <c r="H1444" i="28"/>
  <c r="J1444" i="28" s="1"/>
  <c r="H1442" i="28"/>
  <c r="J1442" i="28" s="1"/>
  <c r="H1441" i="28"/>
  <c r="J1441" i="28" s="1"/>
  <c r="H1440" i="28"/>
  <c r="J1440" i="28" s="1"/>
  <c r="H1437" i="28"/>
  <c r="J1437" i="28" s="1"/>
  <c r="H1436" i="28"/>
  <c r="J1436" i="28" s="1"/>
  <c r="H1435" i="28"/>
  <c r="J1435" i="28" s="1"/>
  <c r="H1434" i="28"/>
  <c r="J1434" i="28" s="1"/>
  <c r="H1433" i="28"/>
  <c r="J1433" i="28" s="1"/>
  <c r="H1432" i="28"/>
  <c r="J1432" i="28" s="1"/>
  <c r="H1431" i="28"/>
  <c r="J1431" i="28" s="1"/>
  <c r="H1430" i="28"/>
  <c r="J1430" i="28" s="1"/>
  <c r="H1429" i="28"/>
  <c r="J1429" i="28" s="1"/>
  <c r="H1428" i="28"/>
  <c r="J1428" i="28" s="1"/>
  <c r="H1427" i="28"/>
  <c r="J1427" i="28" s="1"/>
  <c r="H1426" i="28"/>
  <c r="J1426" i="28" s="1"/>
  <c r="H1425" i="28"/>
  <c r="J1425" i="28" s="1"/>
  <c r="H1424" i="28"/>
  <c r="J1424" i="28" s="1"/>
  <c r="H1423" i="28"/>
  <c r="J1423" i="28" s="1"/>
  <c r="H1422" i="28"/>
  <c r="J1422" i="28" s="1"/>
  <c r="H1421" i="28"/>
  <c r="J1421" i="28" s="1"/>
  <c r="H1420" i="28"/>
  <c r="J1420" i="28" s="1"/>
  <c r="H1419" i="28"/>
  <c r="J1419" i="28" s="1"/>
  <c r="H1418" i="28"/>
  <c r="J1418" i="28" s="1"/>
  <c r="H1417" i="28"/>
  <c r="J1417" i="28" s="1"/>
  <c r="H1416" i="28"/>
  <c r="J1416" i="28" s="1"/>
  <c r="H1415" i="28"/>
  <c r="J1415" i="28" s="1"/>
  <c r="H1414" i="28"/>
  <c r="J1414" i="28" s="1"/>
  <c r="H1413" i="28"/>
  <c r="J1413" i="28" s="1"/>
  <c r="H1412" i="28"/>
  <c r="J1412" i="28" s="1"/>
  <c r="H1411" i="28"/>
  <c r="J1411" i="28" s="1"/>
  <c r="H1410" i="28"/>
  <c r="J1410" i="28" s="1"/>
  <c r="H1409" i="28"/>
  <c r="J1409" i="28" s="1"/>
  <c r="H1408" i="28"/>
  <c r="J1408" i="28" s="1"/>
  <c r="H1407" i="28"/>
  <c r="J1407" i="28" s="1"/>
  <c r="H1406" i="28"/>
  <c r="J1406" i="28" s="1"/>
  <c r="H1405" i="28"/>
  <c r="J1405" i="28" s="1"/>
  <c r="H1404" i="28"/>
  <c r="J1404" i="28" s="1"/>
  <c r="H1403" i="28"/>
  <c r="J1403" i="28" s="1"/>
  <c r="H1402" i="28"/>
  <c r="J1402" i="28" s="1"/>
  <c r="H1401" i="28"/>
  <c r="J1401" i="28" s="1"/>
  <c r="H1400" i="28"/>
  <c r="J1400" i="28" s="1"/>
  <c r="H1399" i="28"/>
  <c r="J1399" i="28" s="1"/>
  <c r="H1398" i="28"/>
  <c r="J1398" i="28" s="1"/>
  <c r="H1397" i="28"/>
  <c r="J1397" i="28" s="1"/>
  <c r="H1396" i="28"/>
  <c r="J1396" i="28" s="1"/>
  <c r="H1395" i="28"/>
  <c r="J1395" i="28" s="1"/>
  <c r="H1394" i="28"/>
  <c r="J1394" i="28" s="1"/>
  <c r="H1393" i="28"/>
  <c r="J1393" i="28" s="1"/>
  <c r="H1392" i="28"/>
  <c r="J1392" i="28" s="1"/>
  <c r="H1391" i="28"/>
  <c r="J1391" i="28" s="1"/>
  <c r="H1390" i="28"/>
  <c r="J1390" i="28" s="1"/>
  <c r="H1389" i="28"/>
  <c r="J1389" i="28" s="1"/>
  <c r="H1388" i="28"/>
  <c r="J1388" i="28" s="1"/>
  <c r="H1387" i="28"/>
  <c r="J1387" i="28" s="1"/>
  <c r="H1386" i="28"/>
  <c r="J1386" i="28" s="1"/>
  <c r="H1385" i="28"/>
  <c r="J1385" i="28" s="1"/>
  <c r="H1384" i="28"/>
  <c r="J1384" i="28" s="1"/>
  <c r="H1383" i="28"/>
  <c r="J1383" i="28" s="1"/>
  <c r="H1382" i="28"/>
  <c r="J1382" i="28" s="1"/>
  <c r="H1381" i="28"/>
  <c r="J1381" i="28" s="1"/>
  <c r="H1380" i="28"/>
  <c r="J1380" i="28" s="1"/>
  <c r="J1378" i="28"/>
  <c r="H1378" i="28"/>
  <c r="J1377" i="28"/>
  <c r="H1377" i="28"/>
  <c r="J1376" i="28"/>
  <c r="H1376" i="28"/>
  <c r="J1375" i="28"/>
  <c r="H1375" i="28"/>
  <c r="J1374" i="28"/>
  <c r="H1374" i="28"/>
  <c r="J1373" i="28"/>
  <c r="H1373" i="28"/>
  <c r="H1371" i="28"/>
  <c r="J1371" i="28" s="1"/>
  <c r="H1370" i="28"/>
  <c r="J1370" i="28" s="1"/>
  <c r="H1369" i="28"/>
  <c r="J1369" i="28" s="1"/>
  <c r="H1368" i="28"/>
  <c r="J1368" i="28" s="1"/>
  <c r="H1367" i="28"/>
  <c r="H1366" i="28"/>
  <c r="H1365" i="28"/>
  <c r="H1363" i="28"/>
  <c r="J1361" i="28"/>
  <c r="H1361" i="28"/>
  <c r="J1360" i="28"/>
  <c r="H1360" i="28"/>
  <c r="J1359" i="28"/>
  <c r="H1359" i="28"/>
  <c r="J1358" i="28"/>
  <c r="H1358" i="28"/>
  <c r="J1357" i="28"/>
  <c r="H1357" i="28"/>
  <c r="J1356" i="28"/>
  <c r="H1356" i="28"/>
  <c r="J1355" i="28"/>
  <c r="H1355" i="28"/>
  <c r="J1354" i="28"/>
  <c r="H1354" i="28"/>
  <c r="J1353" i="28"/>
  <c r="H1353" i="28"/>
  <c r="J1352" i="28"/>
  <c r="H1352" i="28"/>
  <c r="J1351" i="28"/>
  <c r="H1351" i="28"/>
  <c r="J1350" i="28"/>
  <c r="H1350" i="28"/>
  <c r="J1349" i="28"/>
  <c r="H1349" i="28"/>
  <c r="J1348" i="28"/>
  <c r="H1348" i="28"/>
  <c r="I1347" i="28"/>
  <c r="H1347" i="28"/>
  <c r="J1347" i="28" s="1"/>
  <c r="H1346" i="28"/>
  <c r="J1346" i="28" s="1"/>
  <c r="H1345" i="28"/>
  <c r="J1345" i="28" s="1"/>
  <c r="H1344" i="28"/>
  <c r="J1344" i="28" s="1"/>
  <c r="H1342" i="28"/>
  <c r="J1342" i="28" s="1"/>
  <c r="J1341" i="28"/>
  <c r="H1341" i="28"/>
  <c r="H1340" i="28"/>
  <c r="J1340" i="28" s="1"/>
  <c r="J1339" i="28"/>
  <c r="H1339" i="28"/>
  <c r="H1338" i="28"/>
  <c r="J1338" i="28" s="1"/>
  <c r="J1337" i="28"/>
  <c r="H1337" i="28"/>
  <c r="H1336" i="28"/>
  <c r="J1336" i="28" s="1"/>
  <c r="J1335" i="28"/>
  <c r="H1335" i="28"/>
  <c r="H1334" i="28"/>
  <c r="J1334" i="28" s="1"/>
  <c r="J1333" i="28"/>
  <c r="H1333" i="28"/>
  <c r="H1332" i="28"/>
  <c r="J1332" i="28" s="1"/>
  <c r="H1330" i="28"/>
  <c r="J1330" i="28" s="1"/>
  <c r="H1328" i="28"/>
  <c r="J1328" i="28" s="1"/>
  <c r="H1327" i="28"/>
  <c r="J1327" i="28" s="1"/>
  <c r="H1326" i="28"/>
  <c r="J1326" i="28" s="1"/>
  <c r="H1325" i="28"/>
  <c r="J1325" i="28" s="1"/>
  <c r="H1324" i="28"/>
  <c r="J1324" i="28" s="1"/>
  <c r="H1323" i="28"/>
  <c r="J1323" i="28" s="1"/>
  <c r="H1322" i="28"/>
  <c r="J1322" i="28" s="1"/>
  <c r="H1321" i="28"/>
  <c r="J1321" i="28" s="1"/>
  <c r="H1320" i="28"/>
  <c r="J1320" i="28" s="1"/>
  <c r="H1319" i="28"/>
  <c r="J1319" i="28" s="1"/>
  <c r="H1318" i="28"/>
  <c r="J1318" i="28" s="1"/>
  <c r="H1317" i="28"/>
  <c r="J1317" i="28" s="1"/>
  <c r="H1316" i="28"/>
  <c r="J1316" i="28" s="1"/>
  <c r="J1314" i="28"/>
  <c r="J1313" i="28"/>
  <c r="H1313" i="28"/>
  <c r="J1312" i="28"/>
  <c r="H1312" i="28"/>
  <c r="J1311" i="28"/>
  <c r="H1311" i="28"/>
  <c r="J1310" i="28"/>
  <c r="H1310" i="28"/>
  <c r="J1309" i="28"/>
  <c r="H1309" i="28"/>
  <c r="J1308" i="28"/>
  <c r="H1308" i="28"/>
  <c r="J1307" i="28"/>
  <c r="H1307" i="28"/>
  <c r="J1306" i="28"/>
  <c r="H1306" i="28"/>
  <c r="J1305" i="28"/>
  <c r="H1305" i="28"/>
  <c r="J1304" i="28"/>
  <c r="H1304" i="28"/>
  <c r="H1302" i="28"/>
  <c r="J1302" i="28" s="1"/>
  <c r="H1301" i="28"/>
  <c r="J1301" i="28" s="1"/>
  <c r="H1300" i="28"/>
  <c r="J1300" i="28" s="1"/>
  <c r="H1299" i="28"/>
  <c r="J1299" i="28" s="1"/>
  <c r="H1298" i="28"/>
  <c r="J1298" i="28" s="1"/>
  <c r="H1296" i="28"/>
  <c r="J1296" i="28" s="1"/>
  <c r="I1295" i="28"/>
  <c r="H1295" i="28"/>
  <c r="J1295" i="28" s="1"/>
  <c r="H1294" i="28"/>
  <c r="J1294" i="28" s="1"/>
  <c r="H1293" i="28"/>
  <c r="J1293" i="28" s="1"/>
  <c r="I1292" i="28"/>
  <c r="H1292" i="28"/>
  <c r="J1291" i="28"/>
  <c r="H1291" i="28"/>
  <c r="J1290" i="28"/>
  <c r="H1290" i="28"/>
  <c r="J1289" i="28"/>
  <c r="H1289" i="28"/>
  <c r="J1288" i="28"/>
  <c r="H1288" i="28"/>
  <c r="J1287" i="28"/>
  <c r="H1287" i="28"/>
  <c r="J1286" i="28"/>
  <c r="H1286" i="28"/>
  <c r="H1284" i="28"/>
  <c r="J1284" i="28" s="1"/>
  <c r="I1283" i="28"/>
  <c r="H1283" i="28"/>
  <c r="H1282" i="28"/>
  <c r="J1282" i="28" s="1"/>
  <c r="H1281" i="28"/>
  <c r="H1280" i="28"/>
  <c r="J1280" i="28" s="1"/>
  <c r="H1278" i="28"/>
  <c r="J1278" i="28" s="1"/>
  <c r="H1277" i="28"/>
  <c r="J1277" i="28" s="1"/>
  <c r="H1276" i="28"/>
  <c r="J1276" i="28" s="1"/>
  <c r="H1275" i="28"/>
  <c r="J1275" i="28" s="1"/>
  <c r="H1274" i="28"/>
  <c r="J1274" i="28" s="1"/>
  <c r="H1273" i="28"/>
  <c r="J1273" i="28" s="1"/>
  <c r="H1272" i="28"/>
  <c r="J1272" i="28" s="1"/>
  <c r="H1271" i="28"/>
  <c r="J1271" i="28" s="1"/>
  <c r="H1270" i="28"/>
  <c r="J1270" i="28" s="1"/>
  <c r="H1269" i="28"/>
  <c r="J1269" i="28" s="1"/>
  <c r="H1268" i="28"/>
  <c r="J1268" i="28" s="1"/>
  <c r="H1267" i="28"/>
  <c r="J1267" i="28" s="1"/>
  <c r="J1266" i="28"/>
  <c r="H1266" i="28"/>
  <c r="H1265" i="28"/>
  <c r="J1265" i="28" s="1"/>
  <c r="H1264" i="28"/>
  <c r="J1264" i="28" s="1"/>
  <c r="H1263" i="28"/>
  <c r="J1263" i="28" s="1"/>
  <c r="J1262" i="28"/>
  <c r="H1262" i="28"/>
  <c r="H1261" i="28"/>
  <c r="J1261" i="28" s="1"/>
  <c r="H1260" i="28"/>
  <c r="J1260" i="28" s="1"/>
  <c r="H1259" i="28"/>
  <c r="J1259" i="28" s="1"/>
  <c r="J1258" i="28"/>
  <c r="I1258" i="28"/>
  <c r="H1258" i="28"/>
  <c r="H1257" i="28"/>
  <c r="J1257" i="28" s="1"/>
  <c r="H1256" i="28"/>
  <c r="J1256" i="28" s="1"/>
  <c r="H1255" i="28"/>
  <c r="J1255" i="28" s="1"/>
  <c r="H1254" i="28"/>
  <c r="J1254" i="28" s="1"/>
  <c r="J1253" i="28"/>
  <c r="H1253" i="28"/>
  <c r="H1252" i="28"/>
  <c r="J1252" i="28" s="1"/>
  <c r="H1251" i="28"/>
  <c r="J1251" i="28" s="1"/>
  <c r="H1250" i="28"/>
  <c r="J1250" i="28" s="1"/>
  <c r="H1249" i="28"/>
  <c r="J1249" i="28" s="1"/>
  <c r="H1248" i="28"/>
  <c r="J1248" i="28" s="1"/>
  <c r="H1247" i="28"/>
  <c r="J1247" i="28" s="1"/>
  <c r="H1246" i="28"/>
  <c r="J1246" i="28" s="1"/>
  <c r="J1245" i="28"/>
  <c r="H1245" i="28"/>
  <c r="H1244" i="28"/>
  <c r="J1244" i="28" s="1"/>
  <c r="H1243" i="28"/>
  <c r="J1243" i="28" s="1"/>
  <c r="H1242" i="28"/>
  <c r="J1242" i="28" s="1"/>
  <c r="H1241" i="28"/>
  <c r="J1241" i="28" s="1"/>
  <c r="H1240" i="28"/>
  <c r="J1240" i="28" s="1"/>
  <c r="H1239" i="28"/>
  <c r="J1239" i="28" s="1"/>
  <c r="H1238" i="28"/>
  <c r="J1238" i="28" s="1"/>
  <c r="J1237" i="28"/>
  <c r="H1237" i="28"/>
  <c r="H1236" i="28"/>
  <c r="J1236" i="28" s="1"/>
  <c r="H1235" i="28"/>
  <c r="J1235" i="28" s="1"/>
  <c r="H1234" i="28"/>
  <c r="J1234" i="28" s="1"/>
  <c r="H1233" i="28"/>
  <c r="J1233" i="28" s="1"/>
  <c r="H1232" i="28"/>
  <c r="J1232" i="28" s="1"/>
  <c r="H1231" i="28"/>
  <c r="J1231" i="28" s="1"/>
  <c r="H1230" i="28"/>
  <c r="J1230" i="28" s="1"/>
  <c r="J1229" i="28"/>
  <c r="H1229" i="28"/>
  <c r="H1228" i="28"/>
  <c r="J1228" i="28" s="1"/>
  <c r="H1227" i="28"/>
  <c r="J1227" i="28" s="1"/>
  <c r="H1226" i="28"/>
  <c r="J1226" i="28" s="1"/>
  <c r="H1225" i="28"/>
  <c r="J1225" i="28" s="1"/>
  <c r="H1224" i="28"/>
  <c r="J1224" i="28" s="1"/>
  <c r="H1223" i="28"/>
  <c r="J1223" i="28" s="1"/>
  <c r="H1222" i="28"/>
  <c r="J1222" i="28" s="1"/>
  <c r="J1221" i="28"/>
  <c r="H1221" i="28"/>
  <c r="H1220" i="28"/>
  <c r="J1220" i="28" s="1"/>
  <c r="H1219" i="28"/>
  <c r="J1219" i="28" s="1"/>
  <c r="H1218" i="28"/>
  <c r="J1218" i="28" s="1"/>
  <c r="H1217" i="28"/>
  <c r="J1217" i="28" s="1"/>
  <c r="H1216" i="28"/>
  <c r="J1216" i="28" s="1"/>
  <c r="H1215" i="28"/>
  <c r="J1215" i="28" s="1"/>
  <c r="H1214" i="28"/>
  <c r="J1214" i="28" s="1"/>
  <c r="J1213" i="28"/>
  <c r="H1213" i="28"/>
  <c r="H1212" i="28"/>
  <c r="J1212" i="28" s="1"/>
  <c r="H1211" i="28"/>
  <c r="J1211" i="28" s="1"/>
  <c r="H1210" i="28"/>
  <c r="J1210" i="28" s="1"/>
  <c r="H1209" i="28"/>
  <c r="J1209" i="28" s="1"/>
  <c r="H1208" i="28"/>
  <c r="J1208" i="28" s="1"/>
  <c r="H1207" i="28"/>
  <c r="J1207" i="28" s="1"/>
  <c r="H1206" i="28"/>
  <c r="J1206" i="28" s="1"/>
  <c r="J1205" i="28"/>
  <c r="H1205" i="28"/>
  <c r="H1204" i="28"/>
  <c r="J1204" i="28" s="1"/>
  <c r="H1203" i="28"/>
  <c r="J1203" i="28" s="1"/>
  <c r="H1202" i="28"/>
  <c r="J1202" i="28" s="1"/>
  <c r="H1200" i="28"/>
  <c r="J1200" i="28" s="1"/>
  <c r="H1199" i="28"/>
  <c r="J1199" i="28" s="1"/>
  <c r="H1198" i="28"/>
  <c r="J1198" i="28" s="1"/>
  <c r="H1197" i="28"/>
  <c r="J1197" i="28" s="1"/>
  <c r="J1196" i="28"/>
  <c r="H1196" i="28"/>
  <c r="H1195" i="28"/>
  <c r="J1195" i="28" s="1"/>
  <c r="H1194" i="28"/>
  <c r="J1194" i="28" s="1"/>
  <c r="H1193" i="28"/>
  <c r="J1193" i="28" s="1"/>
  <c r="H1192" i="28"/>
  <c r="J1191" i="28"/>
  <c r="H1191" i="28"/>
  <c r="H1190" i="28"/>
  <c r="J1190" i="28" s="1"/>
  <c r="H1189" i="28"/>
  <c r="I1188" i="28"/>
  <c r="H1188" i="28"/>
  <c r="I1187" i="28"/>
  <c r="H1187" i="28"/>
  <c r="I1186" i="28"/>
  <c r="H1186" i="28"/>
  <c r="J1185" i="28"/>
  <c r="H1185" i="28"/>
  <c r="J1184" i="28"/>
  <c r="H1184" i="28"/>
  <c r="J1183" i="28"/>
  <c r="H1183" i="28"/>
  <c r="J1182" i="28"/>
  <c r="H1182" i="28"/>
  <c r="J1181" i="28"/>
  <c r="H1181" i="28"/>
  <c r="J1180" i="28"/>
  <c r="H1180" i="28"/>
  <c r="J1179" i="28"/>
  <c r="H1179" i="28"/>
  <c r="J1178" i="28"/>
  <c r="H1178" i="28"/>
  <c r="J1177" i="28"/>
  <c r="H1177" i="28"/>
  <c r="J1176" i="28"/>
  <c r="H1176" i="28"/>
  <c r="J1175" i="28"/>
  <c r="H1175" i="28"/>
  <c r="J1174" i="28"/>
  <c r="H1174" i="28"/>
  <c r="J1173" i="28"/>
  <c r="H1173" i="28"/>
  <c r="J1172" i="28"/>
  <c r="H1172" i="28"/>
  <c r="J1171" i="28"/>
  <c r="H1171" i="28"/>
  <c r="J1170" i="28"/>
  <c r="H1170" i="28"/>
  <c r="J1169" i="28"/>
  <c r="H1169" i="28"/>
  <c r="J1168" i="28"/>
  <c r="H1168" i="28"/>
  <c r="J1167" i="28"/>
  <c r="H1167" i="28"/>
  <c r="J1166" i="28"/>
  <c r="H1166" i="28"/>
  <c r="J1165" i="28"/>
  <c r="H1165" i="28"/>
  <c r="J1164" i="28"/>
  <c r="H1164" i="28"/>
  <c r="H1163" i="28"/>
  <c r="J1163" i="28" s="1"/>
  <c r="J1162" i="28"/>
  <c r="H1162" i="28"/>
  <c r="H1161" i="28"/>
  <c r="J1161" i="28" s="1"/>
  <c r="J1160" i="28"/>
  <c r="H1160" i="28"/>
  <c r="H1159" i="28"/>
  <c r="J1159" i="28" s="1"/>
  <c r="J1158" i="28"/>
  <c r="H1158" i="28"/>
  <c r="H1157" i="28"/>
  <c r="J1157" i="28" s="1"/>
  <c r="J1156" i="28"/>
  <c r="H1156" i="28"/>
  <c r="H1155" i="28"/>
  <c r="J1155" i="28" s="1"/>
  <c r="J1154" i="28"/>
  <c r="H1154" i="28"/>
  <c r="H1153" i="28"/>
  <c r="J1153" i="28" s="1"/>
  <c r="J1152" i="28"/>
  <c r="H1152" i="28"/>
  <c r="H1151" i="28"/>
  <c r="J1151" i="28" s="1"/>
  <c r="J1150" i="28"/>
  <c r="H1150" i="28"/>
  <c r="H1149" i="28"/>
  <c r="J1149" i="28" s="1"/>
  <c r="J1148" i="28"/>
  <c r="H1148" i="28"/>
  <c r="H1147" i="28"/>
  <c r="J1147" i="28" s="1"/>
  <c r="J1146" i="28"/>
  <c r="H1146" i="28"/>
  <c r="H1145" i="28"/>
  <c r="J1145" i="28" s="1"/>
  <c r="J1144" i="28"/>
  <c r="H1144" i="28"/>
  <c r="H1143" i="28"/>
  <c r="J1143" i="28" s="1"/>
  <c r="J1142" i="28"/>
  <c r="H1142" i="28"/>
  <c r="H1141" i="28"/>
  <c r="J1141" i="28" s="1"/>
  <c r="J1140" i="28"/>
  <c r="H1140" i="28"/>
  <c r="H1139" i="28"/>
  <c r="J1139" i="28" s="1"/>
  <c r="J1138" i="28"/>
  <c r="H1138" i="28"/>
  <c r="H1137" i="28"/>
  <c r="J1137" i="28" s="1"/>
  <c r="J1136" i="28"/>
  <c r="H1136" i="28"/>
  <c r="H1135" i="28"/>
  <c r="J1135" i="28" s="1"/>
  <c r="J1134" i="28"/>
  <c r="H1134" i="28"/>
  <c r="H1133" i="28"/>
  <c r="J1133" i="28" s="1"/>
  <c r="J1132" i="28"/>
  <c r="H1132" i="28"/>
  <c r="I1131" i="28"/>
  <c r="H1131" i="28"/>
  <c r="J1131" i="28" s="1"/>
  <c r="H1130" i="28"/>
  <c r="J1130" i="28" s="1"/>
  <c r="H1129" i="28"/>
  <c r="J1129" i="28" s="1"/>
  <c r="H1127" i="28"/>
  <c r="J1127" i="28" s="1"/>
  <c r="I1126" i="28"/>
  <c r="H1126" i="28"/>
  <c r="H1125" i="28"/>
  <c r="J1125" i="28" s="1"/>
  <c r="H1124" i="28"/>
  <c r="J1124" i="28" s="1"/>
  <c r="H1123" i="28"/>
  <c r="J1123" i="28" s="1"/>
  <c r="H1122" i="28"/>
  <c r="J1122" i="28" s="1"/>
  <c r="I1121" i="28"/>
  <c r="H1121" i="28"/>
  <c r="J1121" i="28" s="1"/>
  <c r="I1119" i="28"/>
  <c r="H1119" i="28"/>
  <c r="J1119" i="28" s="1"/>
  <c r="H1118" i="28"/>
  <c r="J1118" i="28" s="1"/>
  <c r="H1117" i="28"/>
  <c r="J1117" i="28" s="1"/>
  <c r="J1116" i="28"/>
  <c r="H1115" i="28"/>
  <c r="J1115" i="28" s="1"/>
  <c r="I1114" i="28"/>
  <c r="H1114" i="28"/>
  <c r="H1113" i="28"/>
  <c r="J1113" i="28" s="1"/>
  <c r="H1112" i="28"/>
  <c r="J1112" i="28" s="1"/>
  <c r="H1111" i="28"/>
  <c r="J1111" i="28" s="1"/>
  <c r="H1110" i="28"/>
  <c r="J1110" i="28" s="1"/>
  <c r="H1109" i="28"/>
  <c r="J1109" i="28" s="1"/>
  <c r="H1108" i="28"/>
  <c r="J1108" i="28" s="1"/>
  <c r="H1107" i="28"/>
  <c r="J1107" i="28" s="1"/>
  <c r="I1106" i="28"/>
  <c r="H1106" i="28"/>
  <c r="J1106" i="28" s="1"/>
  <c r="H1105" i="28"/>
  <c r="J1105" i="28" s="1"/>
  <c r="H1104" i="28"/>
  <c r="J1104" i="28" s="1"/>
  <c r="H1103" i="28"/>
  <c r="J1103" i="28" s="1"/>
  <c r="H1102" i="28"/>
  <c r="J1102" i="28" s="1"/>
  <c r="J1100" i="28"/>
  <c r="H1100" i="28"/>
  <c r="H1099" i="28"/>
  <c r="J1099" i="28" s="1"/>
  <c r="J1098" i="28"/>
  <c r="H1098" i="28"/>
  <c r="H1097" i="28"/>
  <c r="J1097" i="28" s="1"/>
  <c r="J1096" i="28"/>
  <c r="H1096" i="28"/>
  <c r="H1095" i="28"/>
  <c r="J1095" i="28" s="1"/>
  <c r="J1094" i="28"/>
  <c r="H1094" i="28"/>
  <c r="H1091" i="28"/>
  <c r="J1091" i="28" s="1"/>
  <c r="J1090" i="28"/>
  <c r="H1090" i="28"/>
  <c r="H1089" i="28"/>
  <c r="J1089" i="28" s="1"/>
  <c r="J1088" i="28"/>
  <c r="H1088" i="28"/>
  <c r="H1087" i="28"/>
  <c r="J1087" i="28" s="1"/>
  <c r="K1101" i="28" s="1"/>
  <c r="H1085" i="28"/>
  <c r="J1085" i="28" s="1"/>
  <c r="J1084" i="28"/>
  <c r="H1083" i="28"/>
  <c r="J1083" i="28" s="1"/>
  <c r="J1082" i="28"/>
  <c r="H1082" i="28"/>
  <c r="H1081" i="28"/>
  <c r="J1081" i="28" s="1"/>
  <c r="J1080" i="28"/>
  <c r="H1080" i="28"/>
  <c r="H1079" i="28"/>
  <c r="J1079" i="28" s="1"/>
  <c r="J1078" i="28"/>
  <c r="H1078" i="28"/>
  <c r="H1077" i="28"/>
  <c r="J1077" i="28" s="1"/>
  <c r="J1074" i="28"/>
  <c r="H1074" i="28"/>
  <c r="H1073" i="28"/>
  <c r="J1073" i="28" s="1"/>
  <c r="J1072" i="28"/>
  <c r="H1072" i="28"/>
  <c r="H1071" i="28"/>
  <c r="J1071" i="28" s="1"/>
  <c r="J1070" i="28"/>
  <c r="H1070" i="28"/>
  <c r="H1069" i="28"/>
  <c r="J1069" i="28" s="1"/>
  <c r="J1068" i="28"/>
  <c r="H1068" i="28"/>
  <c r="H1067" i="28"/>
  <c r="J1067" i="28" s="1"/>
  <c r="J1066" i="28"/>
  <c r="H1066" i="28"/>
  <c r="H1065" i="28"/>
  <c r="J1065" i="28" s="1"/>
  <c r="J1064" i="28"/>
  <c r="H1064" i="28"/>
  <c r="H1063" i="28"/>
  <c r="J1063" i="28" s="1"/>
  <c r="J1062" i="28"/>
  <c r="H1062" i="28"/>
  <c r="H1061" i="28"/>
  <c r="J1061" i="28" s="1"/>
  <c r="J1060" i="28"/>
  <c r="H1060" i="28"/>
  <c r="H1059" i="28"/>
  <c r="J1059" i="28" s="1"/>
  <c r="J1058" i="28"/>
  <c r="H1058" i="28"/>
  <c r="H1057" i="28"/>
  <c r="J1057" i="28" s="1"/>
  <c r="J1056" i="28"/>
  <c r="H1056" i="28"/>
  <c r="H1055" i="28"/>
  <c r="J1055" i="28" s="1"/>
  <c r="J1054" i="28"/>
  <c r="H1054" i="28"/>
  <c r="I1053" i="28"/>
  <c r="H1053" i="28"/>
  <c r="J1053" i="28" s="1"/>
  <c r="H1052" i="28"/>
  <c r="J1052" i="28" s="1"/>
  <c r="H1051" i="28"/>
  <c r="J1051" i="28" s="1"/>
  <c r="H1050" i="28"/>
  <c r="J1050" i="28" s="1"/>
  <c r="I1049" i="28"/>
  <c r="H1049" i="28"/>
  <c r="H1047" i="28"/>
  <c r="J1047" i="28" s="1"/>
  <c r="H1046" i="28"/>
  <c r="J1046" i="28" s="1"/>
  <c r="I1045" i="28"/>
  <c r="H1045" i="28"/>
  <c r="H1044" i="28"/>
  <c r="J1044" i="28" s="1"/>
  <c r="J1043" i="28"/>
  <c r="H1043" i="28"/>
  <c r="H1042" i="28"/>
  <c r="J1042" i="28" s="1"/>
  <c r="H1040" i="28"/>
  <c r="J1040" i="28" s="1"/>
  <c r="H1039" i="28"/>
  <c r="J1039" i="28" s="1"/>
  <c r="H1038" i="28"/>
  <c r="J1038" i="28" s="1"/>
  <c r="H1037" i="28"/>
  <c r="J1037" i="28" s="1"/>
  <c r="H1036" i="28"/>
  <c r="J1036" i="28" s="1"/>
  <c r="H1035" i="28"/>
  <c r="J1035" i="28" s="1"/>
  <c r="H1034" i="28"/>
  <c r="J1034" i="28" s="1"/>
  <c r="J1033" i="28"/>
  <c r="J1032" i="28"/>
  <c r="H1032" i="28"/>
  <c r="H1031" i="28"/>
  <c r="H1030" i="28"/>
  <c r="J1030" i="28" s="1"/>
  <c r="H1029" i="28"/>
  <c r="H1028" i="28"/>
  <c r="J1028" i="28" s="1"/>
  <c r="H1027" i="28"/>
  <c r="J1027" i="28" s="1"/>
  <c r="H1026" i="28"/>
  <c r="H1025" i="28"/>
  <c r="J1025" i="28" s="1"/>
  <c r="H1024" i="28"/>
  <c r="J1024" i="28" s="1"/>
  <c r="H1023" i="28"/>
  <c r="J1023" i="28" s="1"/>
  <c r="H1022" i="28"/>
  <c r="J1022" i="28" s="1"/>
  <c r="H1021" i="28"/>
  <c r="J1021" i="28" s="1"/>
  <c r="H1020" i="28"/>
  <c r="J1020" i="28" s="1"/>
  <c r="H1018" i="28"/>
  <c r="H1015" i="28"/>
  <c r="J1015" i="28" s="1"/>
  <c r="H1014" i="28"/>
  <c r="J1014" i="28" s="1"/>
  <c r="H1013" i="28"/>
  <c r="J1013" i="28" s="1"/>
  <c r="H1012" i="28"/>
  <c r="H1011" i="28"/>
  <c r="J1011" i="28" s="1"/>
  <c r="H1008" i="28"/>
  <c r="J1008" i="28" s="1"/>
  <c r="H1007" i="28"/>
  <c r="J1007" i="28" s="1"/>
  <c r="H1006" i="28"/>
  <c r="H1005" i="28"/>
  <c r="H1004" i="28"/>
  <c r="J1004" i="28" s="1"/>
  <c r="H1003" i="28"/>
  <c r="J1003" i="28" s="1"/>
  <c r="H1002" i="28"/>
  <c r="J1002" i="28" s="1"/>
  <c r="H1001" i="28"/>
  <c r="J1001" i="28" s="1"/>
  <c r="H1000" i="28"/>
  <c r="J1000" i="28" s="1"/>
  <c r="H998" i="28"/>
  <c r="H997" i="28"/>
  <c r="J997" i="28" s="1"/>
  <c r="H996" i="28"/>
  <c r="J996" i="28" s="1"/>
  <c r="H995" i="28"/>
  <c r="J995" i="28" s="1"/>
  <c r="H994" i="28"/>
  <c r="H993" i="28"/>
  <c r="J993" i="28" s="1"/>
  <c r="H992" i="28"/>
  <c r="J992" i="28" s="1"/>
  <c r="H991" i="28"/>
  <c r="J991" i="28" s="1"/>
  <c r="H990" i="28"/>
  <c r="J990" i="28" s="1"/>
  <c r="H989" i="28"/>
  <c r="J989" i="28" s="1"/>
  <c r="H988" i="28"/>
  <c r="J987" i="28"/>
  <c r="H987" i="28"/>
  <c r="J986" i="28"/>
  <c r="H986" i="28"/>
  <c r="J985" i="28"/>
  <c r="H985" i="28"/>
  <c r="J984" i="28"/>
  <c r="H984" i="28"/>
  <c r="J983" i="28"/>
  <c r="H983" i="28"/>
  <c r="J982" i="28"/>
  <c r="H982" i="28"/>
  <c r="J981" i="28"/>
  <c r="H981" i="28"/>
  <c r="J980" i="28"/>
  <c r="H980" i="28"/>
  <c r="J979" i="28"/>
  <c r="H979" i="28"/>
  <c r="J978" i="28"/>
  <c r="H978" i="28"/>
  <c r="J977" i="28"/>
  <c r="H977" i="28"/>
  <c r="J976" i="28"/>
  <c r="H976" i="28"/>
  <c r="J975" i="28"/>
  <c r="H975" i="28"/>
  <c r="J974" i="28"/>
  <c r="H974" i="28"/>
  <c r="J973" i="28"/>
  <c r="H973" i="28"/>
  <c r="J972" i="28"/>
  <c r="H972" i="28"/>
  <c r="J971" i="28"/>
  <c r="H971" i="28"/>
  <c r="J970" i="28"/>
  <c r="H970" i="28"/>
  <c r="J969" i="28"/>
  <c r="H969" i="28"/>
  <c r="J968" i="28"/>
  <c r="H968" i="28"/>
  <c r="J967" i="28"/>
  <c r="H967" i="28"/>
  <c r="J966" i="28"/>
  <c r="H966" i="28"/>
  <c r="J965" i="28"/>
  <c r="H965" i="28"/>
  <c r="J964" i="28"/>
  <c r="H964" i="28"/>
  <c r="J963" i="28"/>
  <c r="H963" i="28"/>
  <c r="J962" i="28"/>
  <c r="H962" i="28"/>
  <c r="J961" i="28"/>
  <c r="H961" i="28"/>
  <c r="J960" i="28"/>
  <c r="H960" i="28"/>
  <c r="J959" i="28"/>
  <c r="H959" i="28"/>
  <c r="J958" i="28"/>
  <c r="H958" i="28"/>
  <c r="J957" i="28"/>
  <c r="H957" i="28"/>
  <c r="H956" i="28"/>
  <c r="J956" i="28" s="1"/>
  <c r="J955" i="28"/>
  <c r="H955" i="28"/>
  <c r="H954" i="28"/>
  <c r="J954" i="28" s="1"/>
  <c r="J953" i="28"/>
  <c r="H953" i="28"/>
  <c r="H952" i="28"/>
  <c r="J952" i="28" s="1"/>
  <c r="J951" i="28"/>
  <c r="H951" i="28"/>
  <c r="H950" i="28"/>
  <c r="J950" i="28" s="1"/>
  <c r="J949" i="28"/>
  <c r="H949" i="28"/>
  <c r="H948" i="28"/>
  <c r="J948" i="28" s="1"/>
  <c r="J947" i="28"/>
  <c r="H947" i="28"/>
  <c r="H946" i="28"/>
  <c r="J946" i="28" s="1"/>
  <c r="J945" i="28"/>
  <c r="H945" i="28"/>
  <c r="H944" i="28"/>
  <c r="J944" i="28" s="1"/>
  <c r="J943" i="28"/>
  <c r="H943" i="28"/>
  <c r="H942" i="28"/>
  <c r="J942" i="28" s="1"/>
  <c r="J941" i="28"/>
  <c r="H941" i="28"/>
  <c r="H940" i="28"/>
  <c r="J940" i="28" s="1"/>
  <c r="J939" i="28"/>
  <c r="H939" i="28"/>
  <c r="H938" i="28"/>
  <c r="J938" i="28" s="1"/>
  <c r="J937" i="28"/>
  <c r="H937" i="28"/>
  <c r="H936" i="28"/>
  <c r="J936" i="28" s="1"/>
  <c r="J935" i="28"/>
  <c r="H935" i="28"/>
  <c r="H934" i="28"/>
  <c r="J934" i="28" s="1"/>
  <c r="J933" i="28"/>
  <c r="H933" i="28"/>
  <c r="H932" i="28"/>
  <c r="J932" i="28" s="1"/>
  <c r="H931" i="28"/>
  <c r="H930" i="28"/>
  <c r="J930" i="28" s="1"/>
  <c r="H929" i="28"/>
  <c r="J929" i="28" s="1"/>
  <c r="H928" i="28"/>
  <c r="J928" i="28" s="1"/>
  <c r="H927" i="28"/>
  <c r="J927" i="28" s="1"/>
  <c r="H926" i="28"/>
  <c r="J926" i="28" s="1"/>
  <c r="H925" i="28"/>
  <c r="J925" i="28" s="1"/>
  <c r="H924" i="28"/>
  <c r="J924" i="28" s="1"/>
  <c r="H923" i="28"/>
  <c r="J923" i="28" s="1"/>
  <c r="H922" i="28"/>
  <c r="J922" i="28" s="1"/>
  <c r="H921" i="28"/>
  <c r="J921" i="28" s="1"/>
  <c r="H920" i="28"/>
  <c r="J920" i="28" s="1"/>
  <c r="H919" i="28"/>
  <c r="J919" i="28" s="1"/>
  <c r="H918" i="28"/>
  <c r="J918" i="28" s="1"/>
  <c r="H917" i="28"/>
  <c r="J917" i="28" s="1"/>
  <c r="H916" i="28"/>
  <c r="J916" i="28" s="1"/>
  <c r="H915" i="28"/>
  <c r="J915" i="28" s="1"/>
  <c r="H914" i="28"/>
  <c r="J914" i="28" s="1"/>
  <c r="H913" i="28"/>
  <c r="J913" i="28" s="1"/>
  <c r="H912" i="28"/>
  <c r="J912" i="28" s="1"/>
  <c r="H911" i="28"/>
  <c r="J911" i="28" s="1"/>
  <c r="H910" i="28"/>
  <c r="J910" i="28" s="1"/>
  <c r="H909" i="28"/>
  <c r="J909" i="28" s="1"/>
  <c r="H908" i="28"/>
  <c r="J908" i="28" s="1"/>
  <c r="J906" i="28"/>
  <c r="J905" i="28"/>
  <c r="H905" i="28"/>
  <c r="J904" i="28"/>
  <c r="H903" i="28"/>
  <c r="J903" i="28" s="1"/>
  <c r="J902" i="28"/>
  <c r="H901" i="28"/>
  <c r="J901" i="28" s="1"/>
  <c r="J900" i="28"/>
  <c r="H900" i="28"/>
  <c r="J899" i="28"/>
  <c r="H898" i="28"/>
  <c r="J898" i="28" s="1"/>
  <c r="H897" i="28"/>
  <c r="J897" i="28" s="1"/>
  <c r="H896" i="28"/>
  <c r="J896" i="28" s="1"/>
  <c r="H895" i="28"/>
  <c r="J895" i="28" s="1"/>
  <c r="H894" i="28"/>
  <c r="J894" i="28" s="1"/>
  <c r="H893" i="28"/>
  <c r="J893" i="28" s="1"/>
  <c r="J892" i="28"/>
  <c r="J891" i="28"/>
  <c r="J890" i="28"/>
  <c r="J889" i="28"/>
  <c r="J888" i="28"/>
  <c r="H886" i="28"/>
  <c r="J886" i="28" s="1"/>
  <c r="H885" i="28"/>
  <c r="J885" i="28" s="1"/>
  <c r="H884" i="28"/>
  <c r="J884" i="28" s="1"/>
  <c r="H883" i="28"/>
  <c r="J883" i="28" s="1"/>
  <c r="H882" i="28"/>
  <c r="J882" i="28" s="1"/>
  <c r="H881" i="28"/>
  <c r="J881" i="28" s="1"/>
  <c r="H880" i="28"/>
  <c r="J880" i="28" s="1"/>
  <c r="H879" i="28"/>
  <c r="J879" i="28" s="1"/>
  <c r="H878" i="28"/>
  <c r="J878" i="28" s="1"/>
  <c r="H877" i="28"/>
  <c r="J877" i="28" s="1"/>
  <c r="H876" i="28"/>
  <c r="J876" i="28" s="1"/>
  <c r="H875" i="28"/>
  <c r="J875" i="28" s="1"/>
  <c r="J873" i="28"/>
  <c r="H873" i="28"/>
  <c r="J872" i="28"/>
  <c r="H872" i="28"/>
  <c r="J871" i="28"/>
  <c r="H871" i="28"/>
  <c r="J870" i="28"/>
  <c r="H870" i="28"/>
  <c r="J869" i="28"/>
  <c r="H869" i="28"/>
  <c r="J868" i="28"/>
  <c r="H868" i="28"/>
  <c r="J867" i="28"/>
  <c r="H867" i="28"/>
  <c r="J866" i="28"/>
  <c r="H866" i="28"/>
  <c r="J865" i="28"/>
  <c r="H865" i="28"/>
  <c r="J864" i="28"/>
  <c r="H864" i="28"/>
  <c r="J863" i="28"/>
  <c r="H863" i="28"/>
  <c r="J862" i="28"/>
  <c r="H862" i="28"/>
  <c r="J861" i="28"/>
  <c r="H861" i="28"/>
  <c r="J860" i="28"/>
  <c r="H860" i="28"/>
  <c r="J859" i="28"/>
  <c r="H859" i="28"/>
  <c r="J858" i="28"/>
  <c r="H858" i="28"/>
  <c r="J857" i="28"/>
  <c r="H857" i="28"/>
  <c r="J856" i="28"/>
  <c r="H856" i="28"/>
  <c r="J855" i="28"/>
  <c r="H855" i="28"/>
  <c r="J854" i="28"/>
  <c r="H854" i="28"/>
  <c r="J853" i="28"/>
  <c r="H853" i="28"/>
  <c r="J852" i="28"/>
  <c r="H852" i="28"/>
  <c r="J851" i="28"/>
  <c r="H851" i="28"/>
  <c r="J850" i="28"/>
  <c r="H850" i="28"/>
  <c r="H849" i="28"/>
  <c r="J849" i="28" s="1"/>
  <c r="J848" i="28"/>
  <c r="H848" i="28"/>
  <c r="H847" i="28"/>
  <c r="J847" i="28" s="1"/>
  <c r="J846" i="28"/>
  <c r="H846" i="28"/>
  <c r="H845" i="28"/>
  <c r="J845" i="28" s="1"/>
  <c r="J844" i="28"/>
  <c r="H844" i="28"/>
  <c r="H843" i="28"/>
  <c r="J843" i="28" s="1"/>
  <c r="J842" i="28"/>
  <c r="H842" i="28"/>
  <c r="H841" i="28"/>
  <c r="J841" i="28" s="1"/>
  <c r="J840" i="28"/>
  <c r="H840" i="28"/>
  <c r="H839" i="28"/>
  <c r="J839" i="28" s="1"/>
  <c r="I838" i="28"/>
  <c r="H838" i="28"/>
  <c r="H835" i="28"/>
  <c r="J835" i="28" s="1"/>
  <c r="H834" i="28"/>
  <c r="J834" i="28" s="1"/>
  <c r="H833" i="28"/>
  <c r="J833" i="28" s="1"/>
  <c r="H832" i="28"/>
  <c r="J832" i="28" s="1"/>
  <c r="H831" i="28"/>
  <c r="J831" i="28" s="1"/>
  <c r="H830" i="28"/>
  <c r="J830" i="28" s="1"/>
  <c r="H829" i="28"/>
  <c r="J829" i="28" s="1"/>
  <c r="H825" i="28"/>
  <c r="J825" i="28" s="1"/>
  <c r="H824" i="28"/>
  <c r="J824" i="28" s="1"/>
  <c r="H823" i="28"/>
  <c r="J823" i="28" s="1"/>
  <c r="H822" i="28"/>
  <c r="J822" i="28" s="1"/>
  <c r="H821" i="28"/>
  <c r="J821" i="28" s="1"/>
  <c r="H820" i="28"/>
  <c r="J820" i="28" s="1"/>
  <c r="H818" i="28"/>
  <c r="J818" i="28" s="1"/>
  <c r="H817" i="28"/>
  <c r="J817" i="28" s="1"/>
  <c r="H816" i="28"/>
  <c r="J816" i="28" s="1"/>
  <c r="H815" i="28"/>
  <c r="J815" i="28" s="1"/>
  <c r="H814" i="28"/>
  <c r="J814" i="28" s="1"/>
  <c r="J810" i="28"/>
  <c r="H810" i="28"/>
  <c r="J809" i="28"/>
  <c r="H809" i="28"/>
  <c r="J808" i="28"/>
  <c r="H806" i="28"/>
  <c r="J806" i="28" s="1"/>
  <c r="H805" i="28"/>
  <c r="J805" i="28" s="1"/>
  <c r="H803" i="28"/>
  <c r="J803" i="28" s="1"/>
  <c r="H802" i="28"/>
  <c r="J802" i="28" s="1"/>
  <c r="H800" i="28"/>
  <c r="J800" i="28" s="1"/>
  <c r="H799" i="28"/>
  <c r="J799" i="28" s="1"/>
  <c r="H798" i="28"/>
  <c r="J798" i="28" s="1"/>
  <c r="H797" i="28"/>
  <c r="J797" i="28" s="1"/>
  <c r="H796" i="28"/>
  <c r="J796" i="28" s="1"/>
  <c r="H795" i="28"/>
  <c r="J795" i="28" s="1"/>
  <c r="H794" i="28"/>
  <c r="J794" i="28" s="1"/>
  <c r="H793" i="28"/>
  <c r="J793" i="28" s="1"/>
  <c r="H792" i="28"/>
  <c r="J792" i="28" s="1"/>
  <c r="H791" i="28"/>
  <c r="J791" i="28" s="1"/>
  <c r="H790" i="28"/>
  <c r="J790" i="28" s="1"/>
  <c r="H789" i="28"/>
  <c r="J789" i="28" s="1"/>
  <c r="H788" i="28"/>
  <c r="J788" i="28" s="1"/>
  <c r="J787" i="28"/>
  <c r="H787" i="28"/>
  <c r="H786" i="28"/>
  <c r="J786" i="28" s="1"/>
  <c r="H785" i="28"/>
  <c r="J785" i="28" s="1"/>
  <c r="H781" i="28"/>
  <c r="J781" i="28" s="1"/>
  <c r="H780" i="28"/>
  <c r="J780" i="28" s="1"/>
  <c r="H779" i="28"/>
  <c r="J779" i="28" s="1"/>
  <c r="H778" i="28"/>
  <c r="J778" i="28" s="1"/>
  <c r="H777" i="28"/>
  <c r="J777" i="28" s="1"/>
  <c r="H775" i="28"/>
  <c r="J775" i="28" s="1"/>
  <c r="H774" i="28"/>
  <c r="J774" i="28" s="1"/>
  <c r="J773" i="28"/>
  <c r="H773" i="28"/>
  <c r="H772" i="28"/>
  <c r="J772" i="28" s="1"/>
  <c r="H771" i="28"/>
  <c r="J771" i="28" s="1"/>
  <c r="H770" i="28"/>
  <c r="J770" i="28" s="1"/>
  <c r="H769" i="28"/>
  <c r="J769" i="28" s="1"/>
  <c r="H768" i="28"/>
  <c r="J768" i="28" s="1"/>
  <c r="H767" i="28"/>
  <c r="J767" i="28" s="1"/>
  <c r="H766" i="28"/>
  <c r="J766" i="28" s="1"/>
  <c r="H765" i="28"/>
  <c r="J765" i="28" s="1"/>
  <c r="H764" i="28"/>
  <c r="J764" i="28" s="1"/>
  <c r="H763" i="28"/>
  <c r="J763" i="28" s="1"/>
  <c r="H761" i="28"/>
  <c r="J761" i="28" s="1"/>
  <c r="H760" i="28"/>
  <c r="J760" i="28" s="1"/>
  <c r="H759" i="28"/>
  <c r="J759" i="28" s="1"/>
  <c r="H758" i="28"/>
  <c r="J758" i="28" s="1"/>
  <c r="H756" i="28"/>
  <c r="J756" i="28" s="1"/>
  <c r="H753" i="28"/>
  <c r="J753" i="28" s="1"/>
  <c r="J752" i="28"/>
  <c r="H752" i="28"/>
  <c r="J751" i="28"/>
  <c r="H751" i="28"/>
  <c r="H750" i="28"/>
  <c r="J750" i="28" s="1"/>
  <c r="H749" i="28"/>
  <c r="J749" i="28" s="1"/>
  <c r="H748" i="28"/>
  <c r="J748" i="28" s="1"/>
  <c r="H747" i="28"/>
  <c r="J747" i="28" s="1"/>
  <c r="H746" i="28"/>
  <c r="J746" i="28" s="1"/>
  <c r="H745" i="28"/>
  <c r="J745" i="28" s="1"/>
  <c r="H744" i="28"/>
  <c r="J744" i="28" s="1"/>
  <c r="H743" i="28"/>
  <c r="J743" i="28" s="1"/>
  <c r="H742" i="28"/>
  <c r="J742" i="28" s="1"/>
  <c r="H741" i="28"/>
  <c r="J741" i="28" s="1"/>
  <c r="H740" i="28"/>
  <c r="J740" i="28" s="1"/>
  <c r="H739" i="28"/>
  <c r="J739" i="28" s="1"/>
  <c r="H738" i="28"/>
  <c r="J738" i="28" s="1"/>
  <c r="J737" i="28"/>
  <c r="H737" i="28"/>
  <c r="H736" i="28"/>
  <c r="J736" i="28" s="1"/>
  <c r="H735" i="28"/>
  <c r="J735" i="28" s="1"/>
  <c r="H734" i="28"/>
  <c r="J734" i="28" s="1"/>
  <c r="H733" i="28"/>
  <c r="J733" i="28" s="1"/>
  <c r="H732" i="28"/>
  <c r="J732" i="28" s="1"/>
  <c r="H731" i="28"/>
  <c r="J731" i="28" s="1"/>
  <c r="H729" i="28"/>
  <c r="J729" i="28" s="1"/>
  <c r="H728" i="28"/>
  <c r="J728" i="28" s="1"/>
  <c r="H727" i="28"/>
  <c r="J727" i="28" s="1"/>
  <c r="H726" i="28"/>
  <c r="J726" i="28" s="1"/>
  <c r="H725" i="28"/>
  <c r="J725" i="28" s="1"/>
  <c r="H724" i="28"/>
  <c r="J724" i="28" s="1"/>
  <c r="H723" i="28"/>
  <c r="J723" i="28" s="1"/>
  <c r="H722" i="28"/>
  <c r="J722" i="28" s="1"/>
  <c r="H721" i="28"/>
  <c r="J721" i="28" s="1"/>
  <c r="J720" i="28"/>
  <c r="H720" i="28"/>
  <c r="H719" i="28"/>
  <c r="J719" i="28" s="1"/>
  <c r="H718" i="28"/>
  <c r="J718" i="28" s="1"/>
  <c r="H717" i="28"/>
  <c r="J717" i="28" s="1"/>
  <c r="H716" i="28"/>
  <c r="J712" i="28"/>
  <c r="H712" i="28"/>
  <c r="H711" i="28"/>
  <c r="J711" i="28" s="1"/>
  <c r="H710" i="28"/>
  <c r="J710" i="28" s="1"/>
  <c r="H709" i="28"/>
  <c r="J709" i="28" s="1"/>
  <c r="J708" i="28"/>
  <c r="H708" i="28"/>
  <c r="H707" i="28"/>
  <c r="J707" i="28" s="1"/>
  <c r="H706" i="28"/>
  <c r="J706" i="28" s="1"/>
  <c r="H705" i="28"/>
  <c r="J705" i="28" s="1"/>
  <c r="J704" i="28"/>
  <c r="H704" i="28"/>
  <c r="H699" i="28"/>
  <c r="J699" i="28" s="1"/>
  <c r="H698" i="28"/>
  <c r="J698" i="28" s="1"/>
  <c r="H697" i="28"/>
  <c r="J697" i="28" s="1"/>
  <c r="J696" i="28"/>
  <c r="H696" i="28"/>
  <c r="H695" i="28"/>
  <c r="J695" i="28" s="1"/>
  <c r="H694" i="28"/>
  <c r="J694" i="28" s="1"/>
  <c r="H693" i="28"/>
  <c r="J693" i="28" s="1"/>
  <c r="J692" i="28"/>
  <c r="H692" i="28"/>
  <c r="H691" i="28"/>
  <c r="J691" i="28" s="1"/>
  <c r="H690" i="28"/>
  <c r="J690" i="28" s="1"/>
  <c r="H689" i="28"/>
  <c r="J689" i="28" s="1"/>
  <c r="J688" i="28"/>
  <c r="H688" i="28"/>
  <c r="H687" i="28"/>
  <c r="J687" i="28" s="1"/>
  <c r="H686" i="28"/>
  <c r="J686" i="28" s="1"/>
  <c r="H685" i="28"/>
  <c r="J685" i="28" s="1"/>
  <c r="J684" i="28"/>
  <c r="H684" i="28"/>
  <c r="H683" i="28"/>
  <c r="J683" i="28" s="1"/>
  <c r="H682" i="28"/>
  <c r="J682" i="28" s="1"/>
  <c r="H681" i="28"/>
  <c r="J681" i="28" s="1"/>
  <c r="J680" i="28"/>
  <c r="H680" i="28"/>
  <c r="H679" i="28"/>
  <c r="J679" i="28" s="1"/>
  <c r="H678" i="28"/>
  <c r="J678" i="28" s="1"/>
  <c r="H677" i="28"/>
  <c r="J677" i="28" s="1"/>
  <c r="J676" i="28"/>
  <c r="H676" i="28"/>
  <c r="H675" i="28"/>
  <c r="J675" i="28" s="1"/>
  <c r="H674" i="28"/>
  <c r="J674" i="28" s="1"/>
  <c r="H673" i="28"/>
  <c r="J673" i="28" s="1"/>
  <c r="J672" i="28"/>
  <c r="H672" i="28"/>
  <c r="H671" i="28"/>
  <c r="J671" i="28" s="1"/>
  <c r="H670" i="28"/>
  <c r="J670" i="28" s="1"/>
  <c r="H669" i="28"/>
  <c r="J669" i="28" s="1"/>
  <c r="J668" i="28"/>
  <c r="H668" i="28"/>
  <c r="H667" i="28"/>
  <c r="J667" i="28" s="1"/>
  <c r="H666" i="28"/>
  <c r="J666" i="28" s="1"/>
  <c r="H665" i="28"/>
  <c r="J665" i="28" s="1"/>
  <c r="J664" i="28"/>
  <c r="H664" i="28"/>
  <c r="H663" i="28"/>
  <c r="J663" i="28" s="1"/>
  <c r="H662" i="28"/>
  <c r="J662" i="28" s="1"/>
  <c r="H661" i="28"/>
  <c r="J661" i="28" s="1"/>
  <c r="J660" i="28"/>
  <c r="H660" i="28"/>
  <c r="H659" i="28"/>
  <c r="J659" i="28" s="1"/>
  <c r="H657" i="28"/>
  <c r="J657" i="28" s="1"/>
  <c r="H655" i="28"/>
  <c r="J655" i="28" s="1"/>
  <c r="J654" i="28"/>
  <c r="H654" i="28"/>
  <c r="H653" i="28"/>
  <c r="J653" i="28" s="1"/>
  <c r="H652" i="28"/>
  <c r="J652" i="28" s="1"/>
  <c r="H651" i="28"/>
  <c r="J651" i="28" s="1"/>
  <c r="J650" i="28"/>
  <c r="H650" i="28"/>
  <c r="H648" i="28"/>
  <c r="J648" i="28" s="1"/>
  <c r="H647" i="28"/>
  <c r="J647" i="28" s="1"/>
  <c r="H646" i="28"/>
  <c r="J646" i="28" s="1"/>
  <c r="J645" i="28"/>
  <c r="H645" i="28"/>
  <c r="H644" i="28"/>
  <c r="J644" i="28" s="1"/>
  <c r="H643" i="28"/>
  <c r="J643" i="28" s="1"/>
  <c r="H642" i="28"/>
  <c r="J642" i="28" s="1"/>
  <c r="J641" i="28"/>
  <c r="H641" i="28"/>
  <c r="H640" i="28"/>
  <c r="J640" i="28" s="1"/>
  <c r="H639" i="28"/>
  <c r="J639" i="28" s="1"/>
  <c r="H638" i="28"/>
  <c r="J638" i="28" s="1"/>
  <c r="J637" i="28"/>
  <c r="H637" i="28"/>
  <c r="H636" i="28"/>
  <c r="J636" i="28" s="1"/>
  <c r="H635" i="28"/>
  <c r="J635" i="28" s="1"/>
  <c r="H634" i="28"/>
  <c r="J634" i="28" s="1"/>
  <c r="J633" i="28"/>
  <c r="H633" i="28"/>
  <c r="H632" i="28"/>
  <c r="J632" i="28" s="1"/>
  <c r="H631" i="28"/>
  <c r="J631" i="28" s="1"/>
  <c r="H628" i="28"/>
  <c r="J628" i="28" s="1"/>
  <c r="J626" i="28"/>
  <c r="H626" i="28"/>
  <c r="H624" i="28"/>
  <c r="J624" i="28" s="1"/>
  <c r="H623" i="28"/>
  <c r="J623" i="28" s="1"/>
  <c r="H622" i="28"/>
  <c r="J622" i="28" s="1"/>
  <c r="J621" i="28"/>
  <c r="H621" i="28"/>
  <c r="H620" i="28"/>
  <c r="J620" i="28" s="1"/>
  <c r="H619" i="28"/>
  <c r="J619" i="28" s="1"/>
  <c r="H618" i="28"/>
  <c r="J618" i="28" s="1"/>
  <c r="J617" i="28"/>
  <c r="H617" i="28"/>
  <c r="H616" i="28"/>
  <c r="J616" i="28" s="1"/>
  <c r="H615" i="28"/>
  <c r="J615" i="28" s="1"/>
  <c r="H613" i="28"/>
  <c r="J613" i="28" s="1"/>
  <c r="H612" i="28"/>
  <c r="J612" i="28" s="1"/>
  <c r="H611" i="28"/>
  <c r="J611" i="28" s="1"/>
  <c r="H610" i="28"/>
  <c r="J610" i="28" s="1"/>
  <c r="H609" i="28"/>
  <c r="J609" i="28" s="1"/>
  <c r="J608" i="28"/>
  <c r="H608" i="28"/>
  <c r="J606" i="28"/>
  <c r="H606" i="28"/>
  <c r="H605" i="28"/>
  <c r="J605" i="28" s="1"/>
  <c r="H604" i="28"/>
  <c r="J604" i="28" s="1"/>
  <c r="H603" i="28"/>
  <c r="J603" i="28" s="1"/>
  <c r="J602" i="28"/>
  <c r="H602" i="28"/>
  <c r="H601" i="28"/>
  <c r="J601" i="28" s="1"/>
  <c r="H600" i="28"/>
  <c r="J600" i="28" s="1"/>
  <c r="H599" i="28"/>
  <c r="J599" i="28" s="1"/>
  <c r="J598" i="28"/>
  <c r="H598" i="28"/>
  <c r="H597" i="28"/>
  <c r="J597" i="28" s="1"/>
  <c r="H596" i="28"/>
  <c r="J596" i="28" s="1"/>
  <c r="H595" i="28"/>
  <c r="J595" i="28" s="1"/>
  <c r="J594" i="28"/>
  <c r="H594" i="28"/>
  <c r="H593" i="28"/>
  <c r="J593" i="28" s="1"/>
  <c r="H592" i="28"/>
  <c r="J592" i="28" s="1"/>
  <c r="H591" i="28"/>
  <c r="J591" i="28" s="1"/>
  <c r="H590" i="28"/>
  <c r="J590" i="28" s="1"/>
  <c r="J589" i="28"/>
  <c r="H589" i="28"/>
  <c r="J587" i="28"/>
  <c r="H587" i="28"/>
  <c r="J586" i="28"/>
  <c r="H586" i="28"/>
  <c r="J585" i="28"/>
  <c r="H585" i="28"/>
  <c r="J584" i="28"/>
  <c r="H584" i="28"/>
  <c r="J583" i="28"/>
  <c r="H583" i="28"/>
  <c r="J582" i="28"/>
  <c r="H582" i="28"/>
  <c r="J581" i="28"/>
  <c r="H581" i="28"/>
  <c r="J580" i="28"/>
  <c r="H580" i="28"/>
  <c r="H578" i="28"/>
  <c r="J578" i="28" s="1"/>
  <c r="H577" i="28"/>
  <c r="J577" i="28" s="1"/>
  <c r="J576" i="28"/>
  <c r="H576" i="28"/>
  <c r="H575" i="28"/>
  <c r="J575" i="28" s="1"/>
  <c r="H574" i="28"/>
  <c r="J574" i="28" s="1"/>
  <c r="H573" i="28"/>
  <c r="J573" i="28" s="1"/>
  <c r="H572" i="28"/>
  <c r="J572" i="28" s="1"/>
  <c r="H571" i="28"/>
  <c r="J571" i="28" s="1"/>
  <c r="H570" i="28"/>
  <c r="J570" i="28" s="1"/>
  <c r="I569" i="28"/>
  <c r="H569" i="28"/>
  <c r="J569" i="28" s="1"/>
  <c r="I568" i="28"/>
  <c r="H568" i="28"/>
  <c r="J568" i="28" s="1"/>
  <c r="H567" i="28"/>
  <c r="J567" i="28" s="1"/>
  <c r="H566" i="28"/>
  <c r="J566" i="28" s="1"/>
  <c r="H565" i="28"/>
  <c r="J565" i="28" s="1"/>
  <c r="H564" i="28"/>
  <c r="J564" i="28" s="1"/>
  <c r="J563" i="28"/>
  <c r="H563" i="28"/>
  <c r="H562" i="28"/>
  <c r="J562" i="28" s="1"/>
  <c r="H561" i="28"/>
  <c r="J561" i="28" s="1"/>
  <c r="H560" i="28"/>
  <c r="J560" i="28" s="1"/>
  <c r="H559" i="28"/>
  <c r="J559" i="28" s="1"/>
  <c r="H557" i="28"/>
  <c r="J557" i="28" s="1"/>
  <c r="H556" i="28"/>
  <c r="J556" i="28" s="1"/>
  <c r="I555" i="28"/>
  <c r="H555" i="28"/>
  <c r="J555" i="28" s="1"/>
  <c r="I554" i="28"/>
  <c r="H554" i="28"/>
  <c r="J554" i="28" s="1"/>
  <c r="J553" i="28"/>
  <c r="H553" i="28"/>
  <c r="H552" i="28"/>
  <c r="J552" i="28" s="1"/>
  <c r="H551" i="28"/>
  <c r="J551" i="28" s="1"/>
  <c r="H550" i="28"/>
  <c r="J550" i="28" s="1"/>
  <c r="I549" i="28"/>
  <c r="H549" i="28"/>
  <c r="J549" i="28" s="1"/>
  <c r="I548" i="28"/>
  <c r="J548" i="28" s="1"/>
  <c r="H548" i="28"/>
  <c r="I547" i="28"/>
  <c r="H547" i="28"/>
  <c r="I546" i="28"/>
  <c r="H546" i="28"/>
  <c r="J546" i="28" s="1"/>
  <c r="I545" i="28"/>
  <c r="H545" i="28"/>
  <c r="I544" i="28"/>
  <c r="H544" i="28"/>
  <c r="J544" i="28" s="1"/>
  <c r="I543" i="28"/>
  <c r="H543" i="28"/>
  <c r="J543" i="28" s="1"/>
  <c r="I542" i="28"/>
  <c r="H542" i="28"/>
  <c r="J542" i="28" s="1"/>
  <c r="I541" i="28"/>
  <c r="H541" i="28"/>
  <c r="J541" i="28" s="1"/>
  <c r="I540" i="28"/>
  <c r="H540" i="28"/>
  <c r="J540" i="28" s="1"/>
  <c r="H539" i="28"/>
  <c r="J539" i="28" s="1"/>
  <c r="H538" i="28"/>
  <c r="J538" i="28" s="1"/>
  <c r="H537" i="28"/>
  <c r="J537" i="28" s="1"/>
  <c r="J536" i="28"/>
  <c r="H536" i="28"/>
  <c r="H535" i="28"/>
  <c r="J535" i="28" s="1"/>
  <c r="H534" i="28"/>
  <c r="J534" i="28" s="1"/>
  <c r="H533" i="28"/>
  <c r="J533" i="28" s="1"/>
  <c r="H532" i="28"/>
  <c r="J532" i="28" s="1"/>
  <c r="H531" i="28"/>
  <c r="J531" i="28" s="1"/>
  <c r="H529" i="28"/>
  <c r="J529" i="28" s="1"/>
  <c r="H528" i="28"/>
  <c r="J528" i="28" s="1"/>
  <c r="J527" i="28"/>
  <c r="H527" i="28"/>
  <c r="H526" i="28"/>
  <c r="J526" i="28" s="1"/>
  <c r="H525" i="28"/>
  <c r="J525" i="28" s="1"/>
  <c r="H524" i="28"/>
  <c r="J524" i="28" s="1"/>
  <c r="H523" i="28"/>
  <c r="J523" i="28" s="1"/>
  <c r="H522" i="28"/>
  <c r="J522" i="28" s="1"/>
  <c r="H521" i="28"/>
  <c r="J521" i="28" s="1"/>
  <c r="H520" i="28"/>
  <c r="J520" i="28" s="1"/>
  <c r="J519" i="28"/>
  <c r="H519" i="28"/>
  <c r="H518" i="28"/>
  <c r="J518" i="28" s="1"/>
  <c r="H517" i="28"/>
  <c r="J517" i="28" s="1"/>
  <c r="H516" i="28"/>
  <c r="J516" i="28" s="1"/>
  <c r="H514" i="28"/>
  <c r="J514" i="28" s="1"/>
  <c r="H513" i="28"/>
  <c r="J513" i="28" s="1"/>
  <c r="H512" i="28"/>
  <c r="J512" i="28" s="1"/>
  <c r="H511" i="28"/>
  <c r="J511" i="28" s="1"/>
  <c r="J510" i="28"/>
  <c r="H510" i="28"/>
  <c r="H509" i="28"/>
  <c r="J509" i="28" s="1"/>
  <c r="H508" i="28"/>
  <c r="J508" i="28" s="1"/>
  <c r="H507" i="28"/>
  <c r="J507" i="28" s="1"/>
  <c r="H504" i="28"/>
  <c r="J504" i="28" s="1"/>
  <c r="H503" i="28"/>
  <c r="J503" i="28" s="1"/>
  <c r="H502" i="28"/>
  <c r="J502" i="28" s="1"/>
  <c r="H501" i="28"/>
  <c r="J501" i="28" s="1"/>
  <c r="J500" i="28"/>
  <c r="H500" i="28"/>
  <c r="H499" i="28"/>
  <c r="J499" i="28" s="1"/>
  <c r="H498" i="28"/>
  <c r="J498" i="28" s="1"/>
  <c r="H497" i="28"/>
  <c r="J497" i="28" s="1"/>
  <c r="H495" i="28"/>
  <c r="J495" i="28" s="1"/>
  <c r="H494" i="28"/>
  <c r="J494" i="28" s="1"/>
  <c r="H493" i="28"/>
  <c r="J493" i="28" s="1"/>
  <c r="H492" i="28"/>
  <c r="J492" i="28" s="1"/>
  <c r="J491" i="28"/>
  <c r="H491" i="28"/>
  <c r="H489" i="28"/>
  <c r="J489" i="28" s="1"/>
  <c r="H487" i="28"/>
  <c r="J487" i="28" s="1"/>
  <c r="H486" i="28"/>
  <c r="J486" i="28" s="1"/>
  <c r="I485" i="28"/>
  <c r="J485" i="28" s="1"/>
  <c r="H485" i="28"/>
  <c r="I484" i="28"/>
  <c r="H484" i="28"/>
  <c r="I483" i="28"/>
  <c r="H483" i="28"/>
  <c r="J482" i="28"/>
  <c r="H482" i="28"/>
  <c r="J481" i="28"/>
  <c r="H481" i="28"/>
  <c r="J480" i="28"/>
  <c r="H480" i="28"/>
  <c r="J479" i="28"/>
  <c r="H479" i="28"/>
  <c r="J478" i="28"/>
  <c r="H478" i="28"/>
  <c r="J477" i="28"/>
  <c r="H477" i="28"/>
  <c r="J476" i="28"/>
  <c r="H476" i="28"/>
  <c r="J475" i="28"/>
  <c r="H475" i="28"/>
  <c r="J474" i="28"/>
  <c r="H474" i="28"/>
  <c r="J473" i="28"/>
  <c r="H473" i="28"/>
  <c r="J472" i="28"/>
  <c r="H472" i="28"/>
  <c r="J471" i="28"/>
  <c r="H471" i="28"/>
  <c r="J470" i="28"/>
  <c r="H470" i="28"/>
  <c r="J469" i="28"/>
  <c r="H469" i="28"/>
  <c r="J468" i="28"/>
  <c r="H468" i="28"/>
  <c r="J467" i="28"/>
  <c r="H467" i="28"/>
  <c r="J466" i="28"/>
  <c r="H466" i="28"/>
  <c r="J465" i="28"/>
  <c r="H465" i="28"/>
  <c r="J464" i="28"/>
  <c r="H464" i="28"/>
  <c r="J463" i="28"/>
  <c r="H463" i="28"/>
  <c r="J462" i="28"/>
  <c r="H462" i="28"/>
  <c r="J461" i="28"/>
  <c r="H461" i="28"/>
  <c r="J460" i="28"/>
  <c r="H460" i="28"/>
  <c r="J459" i="28"/>
  <c r="H459" i="28"/>
  <c r="J458" i="28"/>
  <c r="H458" i="28"/>
  <c r="J457" i="28"/>
  <c r="H457" i="28"/>
  <c r="J456" i="28"/>
  <c r="H456" i="28"/>
  <c r="J455" i="28"/>
  <c r="H455" i="28"/>
  <c r="J454" i="28"/>
  <c r="H454" i="28"/>
  <c r="J453" i="28"/>
  <c r="H453" i="28"/>
  <c r="J452" i="28"/>
  <c r="H452" i="28"/>
  <c r="J450" i="28"/>
  <c r="H450" i="28"/>
  <c r="J449" i="28"/>
  <c r="H449" i="28"/>
  <c r="J448" i="28"/>
  <c r="H448" i="28"/>
  <c r="J447" i="28"/>
  <c r="H447" i="28"/>
  <c r="J446" i="28"/>
  <c r="H446" i="28"/>
  <c r="J444" i="28"/>
  <c r="H444" i="28"/>
  <c r="J443" i="28"/>
  <c r="H443" i="28"/>
  <c r="J442" i="28"/>
  <c r="H442" i="28"/>
  <c r="J441" i="28"/>
  <c r="H441" i="28"/>
  <c r="J440" i="28"/>
  <c r="H440" i="28"/>
  <c r="J439" i="28"/>
  <c r="H439" i="28"/>
  <c r="J438" i="28"/>
  <c r="H438" i="28"/>
  <c r="J437" i="28"/>
  <c r="H437" i="28"/>
  <c r="J436" i="28"/>
  <c r="H436" i="28"/>
  <c r="J435" i="28"/>
  <c r="H435" i="28"/>
  <c r="J434" i="28"/>
  <c r="H434" i="28"/>
  <c r="J433" i="28"/>
  <c r="H433" i="28"/>
  <c r="J432" i="28"/>
  <c r="H432" i="28"/>
  <c r="J431" i="28"/>
  <c r="H431" i="28"/>
  <c r="J430" i="28"/>
  <c r="H430" i="28"/>
  <c r="J429" i="28"/>
  <c r="H429" i="28"/>
  <c r="J428" i="28"/>
  <c r="H428" i="28"/>
  <c r="J427" i="28"/>
  <c r="H427" i="28"/>
  <c r="J426" i="28"/>
  <c r="H426" i="28"/>
  <c r="J425" i="28"/>
  <c r="H425" i="28"/>
  <c r="J424" i="28"/>
  <c r="H424" i="28"/>
  <c r="J423" i="28"/>
  <c r="H423" i="28"/>
  <c r="J422" i="28"/>
  <c r="H422" i="28"/>
  <c r="J421" i="28"/>
  <c r="H421" i="28"/>
  <c r="J420" i="28"/>
  <c r="H420" i="28"/>
  <c r="J419" i="28"/>
  <c r="H419" i="28"/>
  <c r="J418" i="28"/>
  <c r="H418" i="28"/>
  <c r="J417" i="28"/>
  <c r="H417" i="28"/>
  <c r="J416" i="28"/>
  <c r="H416" i="28"/>
  <c r="J415" i="28"/>
  <c r="H415" i="28"/>
  <c r="J414" i="28"/>
  <c r="H414" i="28"/>
  <c r="J413" i="28"/>
  <c r="H413" i="28"/>
  <c r="J412" i="28"/>
  <c r="H412" i="28"/>
  <c r="J411" i="28"/>
  <c r="H411" i="28"/>
  <c r="J410" i="28"/>
  <c r="H410" i="28"/>
  <c r="J407" i="28"/>
  <c r="H407" i="28"/>
  <c r="J406" i="28"/>
  <c r="H406" i="28"/>
  <c r="J405" i="28"/>
  <c r="H405" i="28"/>
  <c r="J404" i="28"/>
  <c r="H404" i="28"/>
  <c r="J403" i="28"/>
  <c r="H403" i="28"/>
  <c r="J402" i="28"/>
  <c r="H402" i="28"/>
  <c r="J401" i="28"/>
  <c r="H401" i="28"/>
  <c r="J400" i="28"/>
  <c r="H400" i="28"/>
  <c r="J399" i="28"/>
  <c r="H399" i="28"/>
  <c r="J398" i="28"/>
  <c r="H398" i="28"/>
  <c r="J397" i="28"/>
  <c r="H397" i="28"/>
  <c r="J396" i="28"/>
  <c r="H396" i="28"/>
  <c r="J395" i="28"/>
  <c r="H395" i="28"/>
  <c r="J393" i="28"/>
  <c r="H393" i="28"/>
  <c r="J392" i="28"/>
  <c r="H392" i="28"/>
  <c r="J391" i="28"/>
  <c r="H391" i="28"/>
  <c r="J390" i="28"/>
  <c r="H390" i="28"/>
  <c r="J389" i="28"/>
  <c r="H389" i="28"/>
  <c r="J388" i="28"/>
  <c r="H388" i="28"/>
  <c r="J387" i="28"/>
  <c r="H387" i="28"/>
  <c r="J386" i="28"/>
  <c r="H386" i="28"/>
  <c r="J385" i="28"/>
  <c r="H385" i="28"/>
  <c r="J384" i="28"/>
  <c r="H384" i="28"/>
  <c r="J383" i="28"/>
  <c r="H383" i="28"/>
  <c r="J382" i="28"/>
  <c r="H382" i="28"/>
  <c r="J381" i="28"/>
  <c r="H381" i="28"/>
  <c r="J380" i="28"/>
  <c r="H380" i="28"/>
  <c r="J379" i="28"/>
  <c r="H379" i="28"/>
  <c r="J378" i="28"/>
  <c r="H378" i="28"/>
  <c r="J377" i="28"/>
  <c r="H377" i="28"/>
  <c r="J376" i="28"/>
  <c r="H376" i="28"/>
  <c r="J375" i="28"/>
  <c r="H375" i="28"/>
  <c r="J374" i="28"/>
  <c r="H374" i="28"/>
  <c r="J373" i="28"/>
  <c r="H373" i="28"/>
  <c r="J372" i="28"/>
  <c r="H372" i="28"/>
  <c r="J371" i="28"/>
  <c r="H371" i="28"/>
  <c r="J370" i="28"/>
  <c r="H370" i="28"/>
  <c r="J369" i="28"/>
  <c r="H369" i="28"/>
  <c r="J368" i="28"/>
  <c r="H368" i="28"/>
  <c r="J367" i="28"/>
  <c r="H367" i="28"/>
  <c r="J366" i="28"/>
  <c r="H366" i="28"/>
  <c r="J365" i="28"/>
  <c r="H365" i="28"/>
  <c r="J364" i="28"/>
  <c r="H364" i="28"/>
  <c r="J363" i="28"/>
  <c r="H363" i="28"/>
  <c r="J362" i="28"/>
  <c r="H362" i="28"/>
  <c r="J361" i="28"/>
  <c r="H361" i="28"/>
  <c r="J360" i="28"/>
  <c r="H360" i="28"/>
  <c r="J359" i="28"/>
  <c r="H359" i="28"/>
  <c r="J358" i="28"/>
  <c r="H358" i="28"/>
  <c r="J357" i="28"/>
  <c r="H357" i="28"/>
  <c r="J356" i="28"/>
  <c r="H356" i="28"/>
  <c r="J355" i="28"/>
  <c r="H355" i="28"/>
  <c r="J354" i="28"/>
  <c r="H354" i="28"/>
  <c r="J353" i="28"/>
  <c r="H353" i="28"/>
  <c r="H352" i="28"/>
  <c r="J352" i="28" s="1"/>
  <c r="J351" i="28"/>
  <c r="H351" i="28"/>
  <c r="H350" i="28"/>
  <c r="J350" i="28" s="1"/>
  <c r="J349" i="28"/>
  <c r="H349" i="28"/>
  <c r="H348" i="28"/>
  <c r="J348" i="28" s="1"/>
  <c r="J347" i="28"/>
  <c r="H347" i="28"/>
  <c r="H345" i="28"/>
  <c r="J345" i="28" s="1"/>
  <c r="J344" i="28"/>
  <c r="H344" i="28"/>
  <c r="H343" i="28"/>
  <c r="J343" i="28" s="1"/>
  <c r="J342" i="28"/>
  <c r="H342" i="28"/>
  <c r="H341" i="28"/>
  <c r="J341" i="28" s="1"/>
  <c r="J340" i="28"/>
  <c r="H340" i="28"/>
  <c r="H339" i="28"/>
  <c r="J339" i="28" s="1"/>
  <c r="J338" i="28"/>
  <c r="H338" i="28"/>
  <c r="H337" i="28"/>
  <c r="J337" i="28" s="1"/>
  <c r="J336" i="28"/>
  <c r="H336" i="28"/>
  <c r="H335" i="28"/>
  <c r="J335" i="28" s="1"/>
  <c r="J334" i="28"/>
  <c r="H334" i="28"/>
  <c r="H333" i="28"/>
  <c r="J333" i="28" s="1"/>
  <c r="J332" i="28"/>
  <c r="H332" i="28"/>
  <c r="H331" i="28"/>
  <c r="J331" i="28" s="1"/>
  <c r="J330" i="28"/>
  <c r="H330" i="28"/>
  <c r="H329" i="28"/>
  <c r="J329" i="28" s="1"/>
  <c r="J328" i="28"/>
  <c r="H328" i="28"/>
  <c r="H326" i="28"/>
  <c r="J326" i="28" s="1"/>
  <c r="J325" i="28"/>
  <c r="H325" i="28"/>
  <c r="H324" i="28"/>
  <c r="J324" i="28" s="1"/>
  <c r="J323" i="28"/>
  <c r="H323" i="28"/>
  <c r="H322" i="28"/>
  <c r="J322" i="28" s="1"/>
  <c r="J321" i="28"/>
  <c r="H321" i="28"/>
  <c r="H320" i="28"/>
  <c r="J320" i="28" s="1"/>
  <c r="J319" i="28"/>
  <c r="H319" i="28"/>
  <c r="J318" i="28"/>
  <c r="H318" i="28"/>
  <c r="J317" i="28"/>
  <c r="H317" i="28"/>
  <c r="J316" i="28"/>
  <c r="H316" i="28"/>
  <c r="J315" i="28"/>
  <c r="H315" i="28"/>
  <c r="J314" i="28"/>
  <c r="H314" i="28"/>
  <c r="J313" i="28"/>
  <c r="H313" i="28"/>
  <c r="J312" i="28"/>
  <c r="H312" i="28"/>
  <c r="J311" i="28"/>
  <c r="H311" i="28"/>
  <c r="J310" i="28"/>
  <c r="H310" i="28"/>
  <c r="J309" i="28"/>
  <c r="H309" i="28"/>
  <c r="H308" i="28"/>
  <c r="J308" i="28" s="1"/>
  <c r="J307" i="28"/>
  <c r="H307" i="28"/>
  <c r="H306" i="28"/>
  <c r="J306" i="28" s="1"/>
  <c r="J305" i="28"/>
  <c r="H305" i="28"/>
  <c r="H304" i="28"/>
  <c r="J304" i="28" s="1"/>
  <c r="J303" i="28"/>
  <c r="H303" i="28"/>
  <c r="H302" i="28"/>
  <c r="J302" i="28" s="1"/>
  <c r="J301" i="28"/>
  <c r="H301" i="28"/>
  <c r="H300" i="28"/>
  <c r="J300" i="28" s="1"/>
  <c r="J299" i="28"/>
  <c r="H299" i="28"/>
  <c r="H298" i="28"/>
  <c r="J298" i="28" s="1"/>
  <c r="J297" i="28"/>
  <c r="H297" i="28"/>
  <c r="H296" i="28"/>
  <c r="J296" i="28" s="1"/>
  <c r="J295" i="28"/>
  <c r="H295" i="28"/>
  <c r="H294" i="28"/>
  <c r="J294" i="28" s="1"/>
  <c r="J293" i="28"/>
  <c r="H293" i="28"/>
  <c r="H292" i="28"/>
  <c r="J292" i="28" s="1"/>
  <c r="J291" i="28"/>
  <c r="H291" i="28"/>
  <c r="H290" i="28"/>
  <c r="J290" i="28" s="1"/>
  <c r="J289" i="28"/>
  <c r="H289" i="28"/>
  <c r="H288" i="28"/>
  <c r="J288" i="28" s="1"/>
  <c r="J287" i="28"/>
  <c r="H287" i="28"/>
  <c r="H286" i="28"/>
  <c r="J286" i="28" s="1"/>
  <c r="J285" i="28"/>
  <c r="H285" i="28"/>
  <c r="H284" i="28"/>
  <c r="J284" i="28" s="1"/>
  <c r="J283" i="28"/>
  <c r="H283" i="28"/>
  <c r="H282" i="28"/>
  <c r="J282" i="28" s="1"/>
  <c r="J281" i="28"/>
  <c r="H281" i="28"/>
  <c r="H280" i="28"/>
  <c r="J280" i="28" s="1"/>
  <c r="J279" i="28"/>
  <c r="H279" i="28"/>
  <c r="H278" i="28"/>
  <c r="J278" i="28" s="1"/>
  <c r="J277" i="28"/>
  <c r="H277" i="28"/>
  <c r="H276" i="28"/>
  <c r="J276" i="28" s="1"/>
  <c r="J275" i="28"/>
  <c r="H275" i="28"/>
  <c r="H274" i="28"/>
  <c r="J274" i="28" s="1"/>
  <c r="J273" i="28"/>
  <c r="H273" i="28"/>
  <c r="H272" i="28"/>
  <c r="J272" i="28" s="1"/>
  <c r="J271" i="28"/>
  <c r="H271" i="28"/>
  <c r="H270" i="28"/>
  <c r="J270" i="28" s="1"/>
  <c r="J269" i="28"/>
  <c r="H269" i="28"/>
  <c r="H268" i="28"/>
  <c r="J268" i="28" s="1"/>
  <c r="J267" i="28"/>
  <c r="H267" i="28"/>
  <c r="H266" i="28"/>
  <c r="J266" i="28" s="1"/>
  <c r="J265" i="28"/>
  <c r="H265" i="28"/>
  <c r="H264" i="28"/>
  <c r="J264" i="28" s="1"/>
  <c r="J263" i="28"/>
  <c r="H263" i="28"/>
  <c r="H262" i="28"/>
  <c r="J262" i="28" s="1"/>
  <c r="J261" i="28"/>
  <c r="H261" i="28"/>
  <c r="H260" i="28"/>
  <c r="J260" i="28" s="1"/>
  <c r="J259" i="28"/>
  <c r="H259" i="28"/>
  <c r="H258" i="28"/>
  <c r="J258" i="28" s="1"/>
  <c r="J257" i="28"/>
  <c r="H257" i="28"/>
  <c r="H256" i="28"/>
  <c r="J256" i="28" s="1"/>
  <c r="J255" i="28"/>
  <c r="H255" i="28"/>
  <c r="H254" i="28"/>
  <c r="J254" i="28" s="1"/>
  <c r="J253" i="28"/>
  <c r="H253" i="28"/>
  <c r="H252" i="28"/>
  <c r="J252" i="28" s="1"/>
  <c r="J251" i="28"/>
  <c r="H251" i="28"/>
  <c r="H250" i="28"/>
  <c r="J250" i="28" s="1"/>
  <c r="J249" i="28"/>
  <c r="H249" i="28"/>
  <c r="H248" i="28"/>
  <c r="J248" i="28" s="1"/>
  <c r="J247" i="28"/>
  <c r="H247" i="28"/>
  <c r="H246" i="28"/>
  <c r="J246" i="28" s="1"/>
  <c r="J245" i="28"/>
  <c r="H245" i="28"/>
  <c r="H244" i="28"/>
  <c r="J244" i="28" s="1"/>
  <c r="J243" i="28"/>
  <c r="H243" i="28"/>
  <c r="H242" i="28"/>
  <c r="J242" i="28" s="1"/>
  <c r="J241" i="28"/>
  <c r="H241" i="28"/>
  <c r="H240" i="28"/>
  <c r="J240" i="28" s="1"/>
  <c r="J239" i="28"/>
  <c r="H239" i="28"/>
  <c r="H238" i="28"/>
  <c r="J238" i="28" s="1"/>
  <c r="J237" i="28"/>
  <c r="H237" i="28"/>
  <c r="H236" i="28"/>
  <c r="J236" i="28" s="1"/>
  <c r="J235" i="28"/>
  <c r="H235" i="28"/>
  <c r="H234" i="28"/>
  <c r="J234" i="28" s="1"/>
  <c r="J233" i="28"/>
  <c r="H233" i="28"/>
  <c r="H232" i="28"/>
  <c r="J232" i="28" s="1"/>
  <c r="J231" i="28"/>
  <c r="H231" i="28"/>
  <c r="H230" i="28"/>
  <c r="J230" i="28" s="1"/>
  <c r="J229" i="28"/>
  <c r="H229" i="28"/>
  <c r="H228" i="28"/>
  <c r="J228" i="28" s="1"/>
  <c r="J227" i="28"/>
  <c r="H227" i="28"/>
  <c r="H226" i="28"/>
  <c r="J226" i="28" s="1"/>
  <c r="J225" i="28"/>
  <c r="H225" i="28"/>
  <c r="H224" i="28"/>
  <c r="J224" i="28" s="1"/>
  <c r="J223" i="28"/>
  <c r="H223" i="28"/>
  <c r="H222" i="28"/>
  <c r="J222" i="28" s="1"/>
  <c r="J221" i="28"/>
  <c r="H221" i="28"/>
  <c r="H220" i="28"/>
  <c r="J220" i="28" s="1"/>
  <c r="J218" i="28"/>
  <c r="H218" i="28"/>
  <c r="H215" i="28"/>
  <c r="J215" i="28" s="1"/>
  <c r="J214" i="28"/>
  <c r="H214" i="28"/>
  <c r="H213" i="28"/>
  <c r="J213" i="28" s="1"/>
  <c r="J212" i="28"/>
  <c r="H212" i="28"/>
  <c r="H211" i="28"/>
  <c r="J211" i="28" s="1"/>
  <c r="J210" i="28"/>
  <c r="H210" i="28"/>
  <c r="H209" i="28"/>
  <c r="J209" i="28" s="1"/>
  <c r="J208" i="28"/>
  <c r="H208" i="28"/>
  <c r="H207" i="28"/>
  <c r="J207" i="28" s="1"/>
  <c r="J206" i="28"/>
  <c r="H206" i="28"/>
  <c r="H205" i="28"/>
  <c r="J205" i="28" s="1"/>
  <c r="J204" i="28"/>
  <c r="H204" i="28"/>
  <c r="H202" i="28"/>
  <c r="J202" i="28" s="1"/>
  <c r="H201" i="28"/>
  <c r="J201" i="28" s="1"/>
  <c r="J200" i="28"/>
  <c r="H200" i="28"/>
  <c r="H199" i="28"/>
  <c r="J199" i="28" s="1"/>
  <c r="H197" i="28"/>
  <c r="J197" i="28" s="1"/>
  <c r="J196" i="28"/>
  <c r="H196" i="28"/>
  <c r="H195" i="28"/>
  <c r="J195" i="28" s="1"/>
  <c r="J194" i="28"/>
  <c r="H194" i="28"/>
  <c r="H193" i="28"/>
  <c r="J193" i="28" s="1"/>
  <c r="J192" i="28"/>
  <c r="H192" i="28"/>
  <c r="H191" i="28"/>
  <c r="J191" i="28" s="1"/>
  <c r="J190" i="28"/>
  <c r="H190" i="28"/>
  <c r="H189" i="28"/>
  <c r="J189" i="28" s="1"/>
  <c r="J188" i="28"/>
  <c r="H188" i="28"/>
  <c r="H187" i="28"/>
  <c r="J187" i="28" s="1"/>
  <c r="J186" i="28"/>
  <c r="H186" i="28"/>
  <c r="H185" i="28"/>
  <c r="J185" i="28" s="1"/>
  <c r="H184" i="28"/>
  <c r="J184" i="28" s="1"/>
  <c r="H183" i="28"/>
  <c r="J183" i="28" s="1"/>
  <c r="H182" i="28"/>
  <c r="J182" i="28" s="1"/>
  <c r="H181" i="28"/>
  <c r="J181" i="28" s="1"/>
  <c r="H180" i="28"/>
  <c r="J180" i="28" s="1"/>
  <c r="H179" i="28"/>
  <c r="J179" i="28" s="1"/>
  <c r="H178" i="28"/>
  <c r="J178" i="28" s="1"/>
  <c r="H177" i="28"/>
  <c r="J177" i="28" s="1"/>
  <c r="H176" i="28"/>
  <c r="J176" i="28" s="1"/>
  <c r="H175" i="28"/>
  <c r="J175" i="28" s="1"/>
  <c r="H174" i="28"/>
  <c r="J174" i="28" s="1"/>
  <c r="H173" i="28"/>
  <c r="J173" i="28" s="1"/>
  <c r="H172" i="28"/>
  <c r="J172" i="28" s="1"/>
  <c r="H171" i="28"/>
  <c r="J171" i="28" s="1"/>
  <c r="H170" i="28"/>
  <c r="J170" i="28" s="1"/>
  <c r="H169" i="28"/>
  <c r="J169" i="28" s="1"/>
  <c r="H168" i="28"/>
  <c r="J168" i="28" s="1"/>
  <c r="H167" i="28"/>
  <c r="J167" i="28" s="1"/>
  <c r="H166" i="28"/>
  <c r="J166" i="28" s="1"/>
  <c r="H165" i="28"/>
  <c r="J165" i="28" s="1"/>
  <c r="H164" i="28"/>
  <c r="J164" i="28" s="1"/>
  <c r="H163" i="28"/>
  <c r="J163" i="28" s="1"/>
  <c r="H162" i="28"/>
  <c r="J162" i="28" s="1"/>
  <c r="H159" i="28"/>
  <c r="J159" i="28" s="1"/>
  <c r="H156" i="28"/>
  <c r="J156" i="28" s="1"/>
  <c r="H155" i="28"/>
  <c r="J155" i="28" s="1"/>
  <c r="H154" i="28"/>
  <c r="J154" i="28" s="1"/>
  <c r="H153" i="28"/>
  <c r="J153" i="28" s="1"/>
  <c r="H152" i="28"/>
  <c r="J152" i="28" s="1"/>
  <c r="H151" i="28"/>
  <c r="J151" i="28" s="1"/>
  <c r="H150" i="28"/>
  <c r="J150" i="28" s="1"/>
  <c r="H148" i="28"/>
  <c r="J148" i="28" s="1"/>
  <c r="H147" i="28"/>
  <c r="J147" i="28" s="1"/>
  <c r="H146" i="28"/>
  <c r="J146" i="28" s="1"/>
  <c r="H145" i="28"/>
  <c r="J145" i="28" s="1"/>
  <c r="H144" i="28"/>
  <c r="J144" i="28" s="1"/>
  <c r="H143" i="28"/>
  <c r="J143" i="28" s="1"/>
  <c r="H142" i="28"/>
  <c r="J142" i="28" s="1"/>
  <c r="H141" i="28"/>
  <c r="J141" i="28" s="1"/>
  <c r="H140" i="28"/>
  <c r="J140" i="28" s="1"/>
  <c r="H139" i="28"/>
  <c r="J139" i="28" s="1"/>
  <c r="H138" i="28"/>
  <c r="J138" i="28" s="1"/>
  <c r="H137" i="28"/>
  <c r="J137" i="28" s="1"/>
  <c r="H136" i="28"/>
  <c r="J136" i="28" s="1"/>
  <c r="H135" i="28"/>
  <c r="J135" i="28" s="1"/>
  <c r="H134" i="28"/>
  <c r="J134" i="28" s="1"/>
  <c r="H133" i="28"/>
  <c r="J133" i="28" s="1"/>
  <c r="H132" i="28"/>
  <c r="J132" i="28" s="1"/>
  <c r="H131" i="28"/>
  <c r="J131" i="28" s="1"/>
  <c r="H130" i="28"/>
  <c r="J130" i="28" s="1"/>
  <c r="H129" i="28"/>
  <c r="J129" i="28" s="1"/>
  <c r="H128" i="28"/>
  <c r="J128" i="28" s="1"/>
  <c r="H127" i="28"/>
  <c r="J127" i="28" s="1"/>
  <c r="H126" i="28"/>
  <c r="J126" i="28" s="1"/>
  <c r="H125" i="28"/>
  <c r="J125" i="28" s="1"/>
  <c r="H124" i="28"/>
  <c r="J124" i="28" s="1"/>
  <c r="H123" i="28"/>
  <c r="J123" i="28" s="1"/>
  <c r="H121" i="28"/>
  <c r="J121" i="28" s="1"/>
  <c r="H120" i="28"/>
  <c r="J120" i="28" s="1"/>
  <c r="H119" i="28"/>
  <c r="J119" i="28" s="1"/>
  <c r="H118" i="28"/>
  <c r="J118" i="28" s="1"/>
  <c r="H117" i="28"/>
  <c r="J117" i="28" s="1"/>
  <c r="H116" i="28"/>
  <c r="J116" i="28" s="1"/>
  <c r="H115" i="28"/>
  <c r="J115" i="28" s="1"/>
  <c r="H114" i="28"/>
  <c r="J114" i="28" s="1"/>
  <c r="H113" i="28"/>
  <c r="J113" i="28" s="1"/>
  <c r="H112" i="28"/>
  <c r="J112" i="28" s="1"/>
  <c r="H111" i="28"/>
  <c r="J111" i="28" s="1"/>
  <c r="H109" i="28"/>
  <c r="J109" i="28" s="1"/>
  <c r="H108" i="28"/>
  <c r="J108" i="28" s="1"/>
  <c r="H107" i="28"/>
  <c r="J107" i="28" s="1"/>
  <c r="H106" i="28"/>
  <c r="J106" i="28" s="1"/>
  <c r="H105" i="28"/>
  <c r="J105" i="28" s="1"/>
  <c r="H104" i="28"/>
  <c r="J104" i="28" s="1"/>
  <c r="H103" i="28"/>
  <c r="J103" i="28" s="1"/>
  <c r="H102" i="28"/>
  <c r="J102" i="28" s="1"/>
  <c r="H101" i="28"/>
  <c r="J101" i="28" s="1"/>
  <c r="H100" i="28"/>
  <c r="J100" i="28" s="1"/>
  <c r="H99" i="28"/>
  <c r="J99" i="28" s="1"/>
  <c r="H98" i="28"/>
  <c r="J98" i="28" s="1"/>
  <c r="H97" i="28"/>
  <c r="J97" i="28" s="1"/>
  <c r="H96" i="28"/>
  <c r="J96" i="28" s="1"/>
  <c r="H95" i="28"/>
  <c r="J95" i="28" s="1"/>
  <c r="H94" i="28"/>
  <c r="J94" i="28" s="1"/>
  <c r="H93" i="28"/>
  <c r="J93" i="28" s="1"/>
  <c r="H91" i="28"/>
  <c r="J91" i="28" s="1"/>
  <c r="H90" i="28"/>
  <c r="J90" i="28" s="1"/>
  <c r="H88" i="28"/>
  <c r="J88" i="28" s="1"/>
  <c r="H87" i="28"/>
  <c r="J87" i="28" s="1"/>
  <c r="H86" i="28"/>
  <c r="J86" i="28" s="1"/>
  <c r="H85" i="28"/>
  <c r="J85" i="28" s="1"/>
  <c r="H84" i="28"/>
  <c r="J84" i="28" s="1"/>
  <c r="I83" i="28"/>
  <c r="J83" i="28" s="1"/>
  <c r="H83" i="28"/>
  <c r="J82" i="28"/>
  <c r="H82" i="28"/>
  <c r="J81" i="28"/>
  <c r="H81" i="28"/>
  <c r="H79" i="28"/>
  <c r="J79" i="28" s="1"/>
  <c r="H78" i="28"/>
  <c r="J78" i="28" s="1"/>
  <c r="H77" i="28"/>
  <c r="J77" i="28" s="1"/>
  <c r="H76" i="28"/>
  <c r="J76" i="28" s="1"/>
  <c r="H75" i="28"/>
  <c r="J75" i="28" s="1"/>
  <c r="H74" i="28"/>
  <c r="J74" i="28" s="1"/>
  <c r="H73" i="28"/>
  <c r="J73" i="28" s="1"/>
  <c r="H72" i="28"/>
  <c r="J72" i="28" s="1"/>
  <c r="H71" i="28"/>
  <c r="J71" i="28" s="1"/>
  <c r="H69" i="28"/>
  <c r="J69" i="28" s="1"/>
  <c r="H68" i="28"/>
  <c r="J68" i="28" s="1"/>
  <c r="H67" i="28"/>
  <c r="J67" i="28" s="1"/>
  <c r="H66" i="28"/>
  <c r="J66" i="28" s="1"/>
  <c r="H65" i="28"/>
  <c r="J65" i="28" s="1"/>
  <c r="H64" i="28"/>
  <c r="J64" i="28" s="1"/>
  <c r="H63" i="28"/>
  <c r="J63" i="28" s="1"/>
  <c r="H62" i="28"/>
  <c r="J62" i="28" s="1"/>
  <c r="H61" i="28"/>
  <c r="J61" i="28" s="1"/>
  <c r="H60" i="28"/>
  <c r="J60" i="28" s="1"/>
  <c r="H59" i="28"/>
  <c r="J59" i="28" s="1"/>
  <c r="H58" i="28"/>
  <c r="J58" i="28" s="1"/>
  <c r="H57" i="28"/>
  <c r="J57" i="28" s="1"/>
  <c r="H56" i="28"/>
  <c r="J56" i="28" s="1"/>
  <c r="H49" i="28"/>
  <c r="J49" i="28" s="1"/>
  <c r="H48" i="28"/>
  <c r="J48" i="28" s="1"/>
  <c r="H45" i="28"/>
  <c r="J45" i="28" s="1"/>
  <c r="H41" i="28"/>
  <c r="J41" i="28" s="1"/>
  <c r="H40" i="28"/>
  <c r="J40" i="28" s="1"/>
  <c r="H39" i="28"/>
  <c r="J39" i="28" s="1"/>
  <c r="H37" i="28"/>
  <c r="J37" i="28" s="1"/>
  <c r="H36" i="28"/>
  <c r="J36" i="28" s="1"/>
  <c r="K38" i="28" s="1"/>
  <c r="H34" i="28"/>
  <c r="J34" i="28" s="1"/>
  <c r="H33" i="28"/>
  <c r="J33" i="28" s="1"/>
  <c r="H31" i="28"/>
  <c r="J31" i="28" s="1"/>
  <c r="H30" i="28"/>
  <c r="J30" i="28" s="1"/>
  <c r="I29" i="28"/>
  <c r="H29" i="28"/>
  <c r="J29" i="28" s="1"/>
  <c r="H28" i="28"/>
  <c r="J28" i="28" s="1"/>
  <c r="H27" i="28"/>
  <c r="J27" i="28" s="1"/>
  <c r="H26" i="28"/>
  <c r="J26" i="28" s="1"/>
  <c r="H25" i="28"/>
  <c r="J25" i="28" s="1"/>
  <c r="H24" i="28"/>
  <c r="J24" i="28" s="1"/>
  <c r="H22" i="28"/>
  <c r="J22" i="28" s="1"/>
  <c r="H21" i="28"/>
  <c r="J21" i="28" s="1"/>
  <c r="H20" i="28"/>
  <c r="J20" i="28" s="1"/>
  <c r="H19" i="28"/>
  <c r="J19" i="28" s="1"/>
  <c r="H18" i="28"/>
  <c r="J18" i="28" s="1"/>
  <c r="H17" i="28"/>
  <c r="J17" i="28" s="1"/>
  <c r="H16" i="28"/>
  <c r="J16" i="28" s="1"/>
  <c r="K198" i="28" l="1"/>
  <c r="K1343" i="28"/>
  <c r="K32" i="28"/>
  <c r="K35" i="28"/>
  <c r="K46" i="28"/>
  <c r="J1187" i="28"/>
  <c r="J1283" i="28"/>
  <c r="K1303" i="28"/>
  <c r="J1126" i="28"/>
  <c r="J484" i="28"/>
  <c r="J545" i="28"/>
  <c r="J838" i="28"/>
  <c r="K887" i="28"/>
  <c r="J1045" i="28"/>
  <c r="K1048" i="28" s="1"/>
  <c r="J1049" i="28"/>
  <c r="K1086" i="28" s="1"/>
  <c r="J1114" i="28"/>
  <c r="K1120" i="28" s="1"/>
  <c r="J1186" i="28"/>
  <c r="J1292" i="28"/>
  <c r="K1443" i="28"/>
  <c r="K23" i="28"/>
  <c r="K80" i="28"/>
  <c r="K203" i="28"/>
  <c r="K607" i="28"/>
  <c r="K92" i="28"/>
  <c r="K579" i="28"/>
  <c r="J483" i="28"/>
  <c r="K811" i="28"/>
  <c r="K1041" i="28"/>
  <c r="J547" i="28"/>
  <c r="J1458" i="28" s="1"/>
  <c r="K588" i="28"/>
  <c r="K874" i="28"/>
  <c r="K1128" i="28"/>
  <c r="K1285" i="28"/>
  <c r="K1372" i="28"/>
  <c r="K1457" i="28"/>
  <c r="J1188" i="28"/>
  <c r="K1297" i="28"/>
  <c r="K1379" i="28"/>
  <c r="K1331" i="28"/>
  <c r="K1362" i="28"/>
  <c r="K1279" i="28" l="1"/>
  <c r="K1458" i="28"/>
  <c r="J1995" i="25" l="1"/>
  <c r="J1996" i="25"/>
  <c r="J1997" i="25"/>
  <c r="J1999" i="25"/>
  <c r="J1945" i="25"/>
  <c r="J1946" i="25"/>
  <c r="J1947" i="25"/>
  <c r="J1948" i="25"/>
  <c r="J1949" i="25"/>
  <c r="J1950" i="25"/>
  <c r="J1951" i="25"/>
  <c r="J1952" i="25"/>
  <c r="J1953" i="25"/>
  <c r="J1955" i="25"/>
  <c r="J1956" i="25"/>
  <c r="J1921" i="25"/>
  <c r="J1922" i="25"/>
  <c r="J1872" i="25"/>
  <c r="J1873" i="25"/>
  <c r="J1874" i="25"/>
  <c r="J1875" i="25"/>
  <c r="J1876" i="25"/>
  <c r="J1877" i="25"/>
  <c r="J1878" i="25"/>
  <c r="J1879" i="25"/>
  <c r="J172" i="25"/>
  <c r="J184" i="25"/>
  <c r="J130" i="25"/>
  <c r="J63" i="25"/>
  <c r="J64" i="25"/>
  <c r="J65" i="25"/>
  <c r="J66" i="25"/>
  <c r="J67" i="25"/>
  <c r="J68" i="25"/>
  <c r="J90" i="25"/>
  <c r="J99" i="25"/>
  <c r="J110" i="25"/>
  <c r="J52" i="25"/>
  <c r="J53" i="25"/>
  <c r="J54" i="25"/>
  <c r="B1078" i="25" l="1"/>
  <c r="B1077" i="25"/>
  <c r="B1076" i="25"/>
  <c r="B1075" i="25"/>
  <c r="B1074" i="25"/>
  <c r="B1052" i="25"/>
  <c r="B1051" i="25"/>
  <c r="B1050" i="25"/>
  <c r="B1049" i="25"/>
  <c r="B1048" i="25"/>
  <c r="B1047" i="25"/>
  <c r="H1573" i="25" l="1"/>
  <c r="J1573" i="25" s="1"/>
  <c r="H1575" i="25"/>
  <c r="J1575" i="25" s="1"/>
  <c r="H1578" i="25"/>
  <c r="J1578" i="25" s="1"/>
  <c r="H1583" i="25"/>
  <c r="J1583" i="25" s="1"/>
  <c r="H1584" i="25"/>
  <c r="J1584" i="25" s="1"/>
  <c r="H1585" i="25"/>
  <c r="J1585" i="25" s="1"/>
  <c r="H1586" i="25"/>
  <c r="J1586" i="25" s="1"/>
  <c r="H1587" i="25"/>
  <c r="J1587" i="25" s="1"/>
  <c r="H1588" i="25"/>
  <c r="J1588" i="25" s="1"/>
  <c r="H1589" i="25"/>
  <c r="J1589" i="25" s="1"/>
  <c r="H1590" i="25"/>
  <c r="J1590" i="25" s="1"/>
  <c r="H1591" i="25"/>
  <c r="J1591" i="25" s="1"/>
  <c r="H1592" i="25"/>
  <c r="J1592" i="25" s="1"/>
  <c r="H1594" i="25"/>
  <c r="J1594" i="25" s="1"/>
  <c r="H1595" i="25"/>
  <c r="J1595" i="25" s="1"/>
  <c r="H1370" i="25"/>
  <c r="J1370" i="25" s="1"/>
  <c r="H1371" i="25"/>
  <c r="J1371" i="25" s="1"/>
  <c r="H1372" i="25"/>
  <c r="J1372" i="25" s="1"/>
  <c r="H1374" i="25"/>
  <c r="J1374" i="25" s="1"/>
  <c r="H1375" i="25"/>
  <c r="J1375" i="25" s="1"/>
  <c r="H1376" i="25"/>
  <c r="J1376" i="25" s="1"/>
  <c r="H1377" i="25"/>
  <c r="J1377" i="25" s="1"/>
  <c r="H1378" i="25"/>
  <c r="J1378" i="25" s="1"/>
  <c r="H1380" i="25"/>
  <c r="J1380" i="25" s="1"/>
  <c r="H1385" i="25"/>
  <c r="J1385" i="25" s="1"/>
  <c r="H1389" i="25"/>
  <c r="J1389" i="25" s="1"/>
  <c r="H1391" i="25"/>
  <c r="J1391" i="25" s="1"/>
  <c r="H1392" i="25"/>
  <c r="J1392" i="25" s="1"/>
  <c r="H1393" i="25"/>
  <c r="J1393" i="25" s="1"/>
  <c r="H1394" i="25"/>
  <c r="J1394" i="25" s="1"/>
  <c r="H1395" i="25"/>
  <c r="J1395" i="25" s="1"/>
  <c r="H1396" i="25"/>
  <c r="J1396" i="25" s="1"/>
  <c r="H1397" i="25"/>
  <c r="J1397" i="25" s="1"/>
  <c r="H1398" i="25"/>
  <c r="J1398" i="25" s="1"/>
  <c r="H1399" i="25"/>
  <c r="J1399" i="25" s="1"/>
  <c r="H1400" i="25"/>
  <c r="J1400" i="25" s="1"/>
  <c r="H1401" i="25"/>
  <c r="J1401" i="25" s="1"/>
  <c r="H1403" i="25"/>
  <c r="J1403" i="25" s="1"/>
  <c r="H1404" i="25"/>
  <c r="J1404" i="25" s="1"/>
  <c r="H1405" i="25"/>
  <c r="J1405" i="25" s="1"/>
  <c r="H1406" i="25"/>
  <c r="J1406" i="25" s="1"/>
  <c r="H1407" i="25"/>
  <c r="J1407" i="25" s="1"/>
  <c r="H1418" i="25"/>
  <c r="J1418" i="25" s="1"/>
  <c r="H1419" i="25"/>
  <c r="J1419" i="25" s="1"/>
  <c r="H1420" i="25"/>
  <c r="J1420" i="25" s="1"/>
  <c r="H1421" i="25"/>
  <c r="J1421" i="25" s="1"/>
  <c r="H1430" i="25"/>
  <c r="J1430" i="25" s="1"/>
  <c r="H1435" i="25"/>
  <c r="J1435" i="25" s="1"/>
  <c r="H1437" i="25"/>
  <c r="J1437" i="25" s="1"/>
  <c r="H1440" i="25"/>
  <c r="J1440" i="25" s="1"/>
  <c r="H1448" i="25"/>
  <c r="J1448" i="25" s="1"/>
  <c r="H1449" i="25"/>
  <c r="J1449" i="25" s="1"/>
  <c r="H1450" i="25"/>
  <c r="J1450" i="25" s="1"/>
  <c r="H1451" i="25"/>
  <c r="J1451" i="25" s="1"/>
  <c r="H1452" i="25"/>
  <c r="J1452" i="25" s="1"/>
  <c r="H1453" i="25"/>
  <c r="J1453" i="25" s="1"/>
  <c r="H1454" i="25"/>
  <c r="J1454" i="25" s="1"/>
  <c r="H1455" i="25"/>
  <c r="J1455" i="25" s="1"/>
  <c r="H1456" i="25"/>
  <c r="J1456" i="25" s="1"/>
  <c r="H1457" i="25"/>
  <c r="J1457" i="25" s="1"/>
  <c r="H1458" i="25"/>
  <c r="J1458" i="25" s="1"/>
  <c r="H1459" i="25"/>
  <c r="J1459" i="25" s="1"/>
  <c r="J1460" i="25"/>
  <c r="H1461" i="25"/>
  <c r="J1461" i="25" s="1"/>
  <c r="H1462" i="25"/>
  <c r="J1462" i="25" s="1"/>
  <c r="H1463" i="25"/>
  <c r="J1463" i="25" s="1"/>
  <c r="H1464" i="25"/>
  <c r="J1464" i="25" s="1"/>
  <c r="H1465" i="25"/>
  <c r="J1465" i="25" s="1"/>
  <c r="H1466" i="25"/>
  <c r="J1466" i="25" s="1"/>
  <c r="H1467" i="25"/>
  <c r="J1467" i="25" s="1"/>
  <c r="H1468" i="25"/>
  <c r="J1468" i="25" s="1"/>
  <c r="H1469" i="25"/>
  <c r="J1469" i="25" s="1"/>
  <c r="H1470" i="25"/>
  <c r="J1470" i="25" s="1"/>
  <c r="H1471" i="25"/>
  <c r="J1471" i="25" s="1"/>
  <c r="H1472" i="25"/>
  <c r="J1472" i="25" s="1"/>
  <c r="H1473" i="25"/>
  <c r="J1473" i="25" s="1"/>
  <c r="H1474" i="25"/>
  <c r="J1474" i="25" s="1"/>
  <c r="H1475" i="25"/>
  <c r="J1475" i="25" s="1"/>
  <c r="H1476" i="25"/>
  <c r="J1476" i="25" s="1"/>
  <c r="H1477" i="25"/>
  <c r="J1477" i="25" s="1"/>
  <c r="H1478" i="25"/>
  <c r="J1478" i="25" s="1"/>
  <c r="H1479" i="25"/>
  <c r="J1479" i="25" s="1"/>
  <c r="H1480" i="25"/>
  <c r="J1480" i="25" s="1"/>
  <c r="H1481" i="25"/>
  <c r="J1481" i="25" s="1"/>
  <c r="H1482" i="25"/>
  <c r="J1482" i="25" s="1"/>
  <c r="H1483" i="25"/>
  <c r="J1483" i="25" s="1"/>
  <c r="H1484" i="25"/>
  <c r="J1484" i="25" s="1"/>
  <c r="H1485" i="25"/>
  <c r="J1485" i="25" s="1"/>
  <c r="H1486" i="25"/>
  <c r="J1486" i="25" s="1"/>
  <c r="H1487" i="25"/>
  <c r="J1487" i="25" s="1"/>
  <c r="H1488" i="25"/>
  <c r="J1488" i="25" s="1"/>
  <c r="H1489" i="25"/>
  <c r="J1489" i="25" s="1"/>
  <c r="H1490" i="25"/>
  <c r="J1490" i="25" s="1"/>
  <c r="H1491" i="25"/>
  <c r="J1491" i="25" s="1"/>
  <c r="H1493" i="25"/>
  <c r="J1493" i="25" s="1"/>
  <c r="H1501" i="25"/>
  <c r="J1501" i="25" s="1"/>
  <c r="H1502" i="25"/>
  <c r="J1502" i="25" s="1"/>
  <c r="H1505" i="25"/>
  <c r="J1505" i="25" s="1"/>
  <c r="H1506" i="25"/>
  <c r="J1506" i="25" s="1"/>
  <c r="H1507" i="25"/>
  <c r="J1507" i="25" s="1"/>
  <c r="H1508" i="25"/>
  <c r="J1508" i="25" s="1"/>
  <c r="H1509" i="25"/>
  <c r="J1509" i="25" s="1"/>
  <c r="H1510" i="25"/>
  <c r="J1510" i="25" s="1"/>
  <c r="H1513" i="25"/>
  <c r="J1513" i="25" s="1"/>
  <c r="H1514" i="25"/>
  <c r="J1514" i="25" s="1"/>
  <c r="H1516" i="25"/>
  <c r="J1516" i="25" s="1"/>
  <c r="H1522" i="25"/>
  <c r="J1522" i="25" s="1"/>
  <c r="H1523" i="25"/>
  <c r="J1523" i="25" s="1"/>
  <c r="H1524" i="25"/>
  <c r="J1524" i="25" s="1"/>
  <c r="H1525" i="25"/>
  <c r="J1525" i="25" s="1"/>
  <c r="H1526" i="25"/>
  <c r="J1526" i="25" s="1"/>
  <c r="H1527" i="25"/>
  <c r="J1527" i="25" s="1"/>
  <c r="H1528" i="25"/>
  <c r="J1528" i="25" s="1"/>
  <c r="H1529" i="25"/>
  <c r="J1529" i="25" s="1"/>
  <c r="H1531" i="25"/>
  <c r="J1531" i="25" s="1"/>
  <c r="H1532" i="25"/>
  <c r="J1532" i="25" s="1"/>
  <c r="H1533" i="25"/>
  <c r="J1533" i="25" s="1"/>
  <c r="H1534" i="25"/>
  <c r="J1534" i="25" s="1"/>
  <c r="H1536" i="25"/>
  <c r="J1536" i="25" s="1"/>
  <c r="H1540" i="25"/>
  <c r="J1540" i="25" s="1"/>
  <c r="H1541" i="25"/>
  <c r="J1541" i="25" s="1"/>
  <c r="H1542" i="25"/>
  <c r="J1542" i="25" s="1"/>
  <c r="H1543" i="25"/>
  <c r="J1543" i="25" s="1"/>
  <c r="H1545" i="25"/>
  <c r="J1545" i="25" s="1"/>
  <c r="H1546" i="25"/>
  <c r="J1546" i="25" s="1"/>
  <c r="H1552" i="25"/>
  <c r="J1552" i="25" s="1"/>
  <c r="H1555" i="25"/>
  <c r="J1555" i="25" s="1"/>
  <c r="H1558" i="25"/>
  <c r="J1558" i="25" s="1"/>
  <c r="H1559" i="25"/>
  <c r="J1559" i="25" s="1"/>
  <c r="H1560" i="25"/>
  <c r="J1560" i="25" s="1"/>
  <c r="H1561" i="25"/>
  <c r="J1561" i="25" s="1"/>
  <c r="H1563" i="25"/>
  <c r="J1563" i="25" s="1"/>
  <c r="H1568" i="25"/>
  <c r="H1570" i="25"/>
  <c r="J1570" i="25" s="1"/>
  <c r="H1336" i="25"/>
  <c r="H1337" i="25"/>
  <c r="J1337" i="25" s="1"/>
  <c r="H1340" i="25"/>
  <c r="J1340" i="25" s="1"/>
  <c r="H1341" i="25"/>
  <c r="J1341" i="25" s="1"/>
  <c r="H1342" i="25"/>
  <c r="J1342" i="25" s="1"/>
  <c r="H1344" i="25"/>
  <c r="J1344" i="25" s="1"/>
  <c r="H1345" i="25"/>
  <c r="J1345" i="25" s="1"/>
  <c r="H1347" i="25"/>
  <c r="J1347" i="25" s="1"/>
  <c r="H1348" i="25"/>
  <c r="J1348" i="25" s="1"/>
  <c r="H1349" i="25"/>
  <c r="J1349" i="25" s="1"/>
  <c r="H1350" i="25"/>
  <c r="J1350" i="25" s="1"/>
  <c r="H1351" i="25"/>
  <c r="J1351" i="25" s="1"/>
  <c r="H1352" i="25"/>
  <c r="J1352" i="25" s="1"/>
  <c r="H1353" i="25"/>
  <c r="J1353" i="25" s="1"/>
  <c r="H1354" i="25"/>
  <c r="J1354" i="25" s="1"/>
  <c r="H1355" i="25"/>
  <c r="J1355" i="25" s="1"/>
  <c r="H1356" i="25"/>
  <c r="J1356" i="25" s="1"/>
  <c r="H1357" i="25"/>
  <c r="J1357" i="25" s="1"/>
  <c r="H1358" i="25"/>
  <c r="J1358" i="25" s="1"/>
  <c r="H1359" i="25"/>
  <c r="J1359" i="25" s="1"/>
  <c r="H1360" i="25"/>
  <c r="J1360" i="25" s="1"/>
  <c r="H1361" i="25"/>
  <c r="J1361" i="25" s="1"/>
  <c r="H1362" i="25"/>
  <c r="J1362" i="25" s="1"/>
  <c r="H1363" i="25"/>
  <c r="J1363" i="25" s="1"/>
  <c r="H1364" i="25"/>
  <c r="J1364" i="25" s="1"/>
  <c r="H1261" i="25"/>
  <c r="J1261" i="25" s="1"/>
  <c r="H1264" i="25"/>
  <c r="J1264" i="25" s="1"/>
  <c r="H1265" i="25"/>
  <c r="J1265" i="25" s="1"/>
  <c r="H1267" i="25"/>
  <c r="J1267" i="25" s="1"/>
  <c r="H1266" i="25"/>
  <c r="J1266" i="25" s="1"/>
  <c r="H1270" i="25"/>
  <c r="J1270" i="25" s="1"/>
  <c r="H1248" i="25"/>
  <c r="J1248" i="25" s="1"/>
  <c r="H1249" i="25"/>
  <c r="J1249" i="25" s="1"/>
  <c r="H1250" i="25"/>
  <c r="J1250" i="25" s="1"/>
  <c r="H1251" i="25"/>
  <c r="J1251" i="25" s="1"/>
  <c r="H1252" i="25"/>
  <c r="J1252" i="25" s="1"/>
  <c r="H1253" i="25"/>
  <c r="J1253" i="25" s="1"/>
  <c r="H1254" i="25"/>
  <c r="J1254" i="25" s="1"/>
  <c r="H1255" i="25"/>
  <c r="J1255" i="25" s="1"/>
  <c r="H1257" i="25"/>
  <c r="J1257" i="25" s="1"/>
  <c r="H1258" i="25"/>
  <c r="J1258" i="25" s="1"/>
  <c r="H1273" i="25"/>
  <c r="H1274" i="25"/>
  <c r="J1274" i="25" s="1"/>
  <c r="H1275" i="25"/>
  <c r="H1276" i="25"/>
  <c r="H1277" i="25"/>
  <c r="H1285" i="25"/>
  <c r="J1285" i="25" s="1"/>
  <c r="H1286" i="25"/>
  <c r="J1286" i="25" s="1"/>
  <c r="H1287" i="25"/>
  <c r="J1287" i="25" s="1"/>
  <c r="H1288" i="25"/>
  <c r="J1288" i="25" s="1"/>
  <c r="H1289" i="25"/>
  <c r="J1289" i="25" s="1"/>
  <c r="H1290" i="25"/>
  <c r="H1291" i="25"/>
  <c r="H1293" i="25"/>
  <c r="H1299" i="25"/>
  <c r="H1300" i="25"/>
  <c r="H1301" i="25"/>
  <c r="H1302" i="25"/>
  <c r="H1303" i="25"/>
  <c r="H1304" i="25"/>
  <c r="H1310" i="25"/>
  <c r="H1311" i="25"/>
  <c r="H1312" i="25"/>
  <c r="H1313" i="25"/>
  <c r="H1314" i="25"/>
  <c r="H1315" i="25"/>
  <c r="H1325" i="25"/>
  <c r="H1328" i="25"/>
  <c r="H1329" i="25"/>
  <c r="H1330" i="25"/>
  <c r="H1331" i="25"/>
  <c r="H1332" i="25"/>
  <c r="H1333" i="25"/>
  <c r="H1334" i="25"/>
  <c r="H1297" i="25"/>
  <c r="H1298" i="25"/>
  <c r="H983" i="25"/>
  <c r="J983" i="25" s="1"/>
  <c r="H985" i="25"/>
  <c r="J985" i="25" s="1"/>
  <c r="H987" i="25"/>
  <c r="J987" i="25" s="1"/>
  <c r="H988" i="25"/>
  <c r="J988" i="25" s="1"/>
  <c r="H989" i="25"/>
  <c r="J989" i="25" s="1"/>
  <c r="H990" i="25"/>
  <c r="J990" i="25" s="1"/>
  <c r="H991" i="25"/>
  <c r="J991" i="25" s="1"/>
  <c r="H992" i="25"/>
  <c r="J992" i="25" s="1"/>
  <c r="H993" i="25"/>
  <c r="J993" i="25" s="1"/>
  <c r="H994" i="25"/>
  <c r="J994" i="25" s="1"/>
  <c r="H995" i="25"/>
  <c r="J995" i="25" s="1"/>
  <c r="H996" i="25"/>
  <c r="J996" i="25" s="1"/>
  <c r="H997" i="25"/>
  <c r="J997" i="25" s="1"/>
  <c r="H998" i="25"/>
  <c r="J998" i="25" s="1"/>
  <c r="H999" i="25"/>
  <c r="J999" i="25" s="1"/>
  <c r="H1000" i="25"/>
  <c r="J1000" i="25" s="1"/>
  <c r="H1001" i="25"/>
  <c r="J1001" i="25" s="1"/>
  <c r="H1004" i="25"/>
  <c r="J1004" i="25" s="1"/>
  <c r="H1008" i="25"/>
  <c r="J1008" i="25" s="1"/>
  <c r="H1017" i="25"/>
  <c r="J1017" i="25" s="1"/>
  <c r="H1019" i="25"/>
  <c r="J1019" i="25" s="1"/>
  <c r="H1021" i="25"/>
  <c r="J1021" i="25" s="1"/>
  <c r="H1025" i="25"/>
  <c r="J1025" i="25" s="1"/>
  <c r="H1031" i="25"/>
  <c r="J1031" i="25" s="1"/>
  <c r="H1032" i="25"/>
  <c r="J1032" i="25" s="1"/>
  <c r="H1033" i="25"/>
  <c r="J1033" i="25" s="1"/>
  <c r="H1034" i="25"/>
  <c r="J1034" i="25" s="1"/>
  <c r="H1035" i="25"/>
  <c r="J1035" i="25" s="1"/>
  <c r="H1036" i="25"/>
  <c r="J1036" i="25" s="1"/>
  <c r="H1037" i="25"/>
  <c r="J1037" i="25" s="1"/>
  <c r="H1039" i="25"/>
  <c r="J1039" i="25" s="1"/>
  <c r="H1040" i="25"/>
  <c r="J1040" i="25" s="1"/>
  <c r="H1041" i="25"/>
  <c r="J1041" i="25" s="1"/>
  <c r="H1042" i="25"/>
  <c r="J1042" i="25" s="1"/>
  <c r="H1044" i="25"/>
  <c r="J1044" i="25" s="1"/>
  <c r="H1045" i="25"/>
  <c r="J1045" i="25" s="1"/>
  <c r="H1047" i="25"/>
  <c r="J1047" i="25" s="1"/>
  <c r="H1048" i="25"/>
  <c r="J1048" i="25" s="1"/>
  <c r="H1049" i="25"/>
  <c r="J1049" i="25" s="1"/>
  <c r="H1050" i="25"/>
  <c r="J1050" i="25" s="1"/>
  <c r="H1051" i="25"/>
  <c r="J1051" i="25" s="1"/>
  <c r="H1052" i="25"/>
  <c r="J1052" i="25" s="1"/>
  <c r="H1053" i="25"/>
  <c r="J1053" i="25" s="1"/>
  <c r="H1054" i="25"/>
  <c r="J1054" i="25" s="1"/>
  <c r="H1055" i="25"/>
  <c r="J1055" i="25" s="1"/>
  <c r="H1056" i="25"/>
  <c r="J1056" i="25" s="1"/>
  <c r="H1057" i="25"/>
  <c r="J1057" i="25" s="1"/>
  <c r="H1058" i="25"/>
  <c r="J1058" i="25" s="1"/>
  <c r="H1059" i="25"/>
  <c r="J1059" i="25" s="1"/>
  <c r="H1060" i="25"/>
  <c r="J1060" i="25" s="1"/>
  <c r="H1061" i="25"/>
  <c r="J1061" i="25" s="1"/>
  <c r="H1062" i="25"/>
  <c r="J1062" i="25" s="1"/>
  <c r="H1066" i="25"/>
  <c r="J1066" i="25" s="1"/>
  <c r="H1067" i="25"/>
  <c r="J1067" i="25" s="1"/>
  <c r="H1068" i="25"/>
  <c r="J1068" i="25" s="1"/>
  <c r="H1069" i="25"/>
  <c r="J1069" i="25" s="1"/>
  <c r="H1070" i="25"/>
  <c r="J1070" i="25" s="1"/>
  <c r="H1071" i="25"/>
  <c r="J1071" i="25" s="1"/>
  <c r="H1072" i="25"/>
  <c r="J1072" i="25" s="1"/>
  <c r="H1073" i="25"/>
  <c r="J1073" i="25" s="1"/>
  <c r="H1074" i="25"/>
  <c r="J1074" i="25" s="1"/>
  <c r="H1075" i="25"/>
  <c r="J1075" i="25" s="1"/>
  <c r="H1076" i="25"/>
  <c r="J1076" i="25" s="1"/>
  <c r="H1077" i="25"/>
  <c r="J1077" i="25" s="1"/>
  <c r="H1078" i="25"/>
  <c r="J1078" i="25" s="1"/>
  <c r="H1079" i="25"/>
  <c r="J1079" i="25" s="1"/>
  <c r="H1085" i="25"/>
  <c r="J1085" i="25" s="1"/>
  <c r="H1088" i="25"/>
  <c r="J1088" i="25" s="1"/>
  <c r="H1089" i="25"/>
  <c r="J1089" i="25" s="1"/>
  <c r="H1108" i="25"/>
  <c r="J1108" i="25" s="1"/>
  <c r="H1110" i="25"/>
  <c r="J1110" i="25" s="1"/>
  <c r="H1114" i="25"/>
  <c r="J1114" i="25" s="1"/>
  <c r="H1115" i="25"/>
  <c r="J1115" i="25" s="1"/>
  <c r="H1116" i="25"/>
  <c r="J1116" i="25" s="1"/>
  <c r="H1117" i="25"/>
  <c r="J1117" i="25" s="1"/>
  <c r="H1119" i="25"/>
  <c r="J1119" i="25" s="1"/>
  <c r="H1121" i="25"/>
  <c r="J1121" i="25" s="1"/>
  <c r="H1124" i="25"/>
  <c r="J1124" i="25" s="1"/>
  <c r="H1126" i="25"/>
  <c r="J1126" i="25" s="1"/>
  <c r="H1127" i="25"/>
  <c r="J1127" i="25" s="1"/>
  <c r="H1130" i="25"/>
  <c r="J1130" i="25" s="1"/>
  <c r="H1131" i="25"/>
  <c r="J1131" i="25" s="1"/>
  <c r="H1132" i="25"/>
  <c r="J1132" i="25" s="1"/>
  <c r="H1133" i="25"/>
  <c r="J1133" i="25" s="1"/>
  <c r="H1134" i="25"/>
  <c r="J1134" i="25" s="1"/>
  <c r="H1135" i="25"/>
  <c r="J1135" i="25" s="1"/>
  <c r="H1137" i="25"/>
  <c r="J1137" i="25" s="1"/>
  <c r="H1138" i="25"/>
  <c r="J1138" i="25" s="1"/>
  <c r="H1139" i="25"/>
  <c r="J1139" i="25" s="1"/>
  <c r="H1140" i="25"/>
  <c r="J1140" i="25" s="1"/>
  <c r="H1141" i="25"/>
  <c r="J1141" i="25" s="1"/>
  <c r="H1142" i="25"/>
  <c r="J1142" i="25" s="1"/>
  <c r="H1143" i="25"/>
  <c r="J1143" i="25" s="1"/>
  <c r="H1144" i="25"/>
  <c r="J1144" i="25" s="1"/>
  <c r="H1145" i="25"/>
  <c r="J1145" i="25" s="1"/>
  <c r="H1146" i="25"/>
  <c r="J1146" i="25" s="1"/>
  <c r="H1147" i="25"/>
  <c r="J1147" i="25" s="1"/>
  <c r="H1148" i="25"/>
  <c r="J1148" i="25" s="1"/>
  <c r="H1149" i="25"/>
  <c r="J1149" i="25" s="1"/>
  <c r="H1150" i="25"/>
  <c r="J1150" i="25" s="1"/>
  <c r="H1155" i="25"/>
  <c r="J1155" i="25" s="1"/>
  <c r="H1156" i="25"/>
  <c r="J1156" i="25" s="1"/>
  <c r="H1159" i="25"/>
  <c r="J1159" i="25" s="1"/>
  <c r="H1160" i="25"/>
  <c r="J1160" i="25" s="1"/>
  <c r="H1161" i="25"/>
  <c r="J1161" i="25" s="1"/>
  <c r="H1162" i="25"/>
  <c r="J1162" i="25" s="1"/>
  <c r="H1163" i="25"/>
  <c r="J1163" i="25" s="1"/>
  <c r="H1164" i="25"/>
  <c r="J1164" i="25" s="1"/>
  <c r="H1167" i="25"/>
  <c r="J1167" i="25" s="1"/>
  <c r="H1168" i="25"/>
  <c r="J1168" i="25" s="1"/>
  <c r="H1169" i="25"/>
  <c r="J1169" i="25" s="1"/>
  <c r="H1170" i="25"/>
  <c r="J1170" i="25" s="1"/>
  <c r="H1181" i="25"/>
  <c r="J1181" i="25" s="1"/>
  <c r="H1185" i="25"/>
  <c r="J1185" i="25" s="1"/>
  <c r="H1186" i="25"/>
  <c r="J1186" i="25" s="1"/>
  <c r="H1196" i="25"/>
  <c r="J1196" i="25" s="1"/>
  <c r="H1197" i="25"/>
  <c r="J1197" i="25" s="1"/>
  <c r="H1198" i="25"/>
  <c r="J1198" i="25" s="1"/>
  <c r="H1203" i="25"/>
  <c r="J1203" i="25" s="1"/>
  <c r="H1209" i="25"/>
  <c r="J1209" i="25" s="1"/>
  <c r="H1210" i="25"/>
  <c r="J1210" i="25" s="1"/>
  <c r="H1211" i="25"/>
  <c r="J1211" i="25" s="1"/>
  <c r="H1212" i="25"/>
  <c r="J1212" i="25" s="1"/>
  <c r="H1213" i="25"/>
  <c r="J1213" i="25" s="1"/>
  <c r="H1214" i="25"/>
  <c r="J1214" i="25" s="1"/>
  <c r="H1215" i="25"/>
  <c r="J1215" i="25" s="1"/>
  <c r="H1216" i="25"/>
  <c r="J1216" i="25" s="1"/>
  <c r="H1218" i="25"/>
  <c r="J1218" i="25" s="1"/>
  <c r="H1219" i="25"/>
  <c r="J1219" i="25" s="1"/>
  <c r="H1220" i="25"/>
  <c r="J1220" i="25" s="1"/>
  <c r="H1221" i="25"/>
  <c r="J1221" i="25" s="1"/>
  <c r="H1223" i="25"/>
  <c r="J1223" i="25" s="1"/>
  <c r="H1230" i="25"/>
  <c r="J1230" i="25" s="1"/>
  <c r="H1231" i="25"/>
  <c r="J1231" i="25" s="1"/>
  <c r="H1232" i="25"/>
  <c r="J1232" i="25" s="1"/>
  <c r="H1235" i="25"/>
  <c r="J1235" i="25" s="1"/>
  <c r="H1236" i="25"/>
  <c r="J1236" i="25" s="1"/>
  <c r="H1238" i="25"/>
  <c r="J1238" i="25" s="1"/>
  <c r="H1239" i="25"/>
  <c r="J1239" i="25" s="1"/>
  <c r="H1240" i="25"/>
  <c r="J1240" i="25" s="1"/>
  <c r="H1241" i="25"/>
  <c r="J1241" i="25" s="1"/>
  <c r="H1242" i="25"/>
  <c r="J1242" i="25" s="1"/>
  <c r="H1243" i="25"/>
  <c r="J1243" i="25" s="1"/>
  <c r="H1244" i="25"/>
  <c r="J1244" i="25" s="1"/>
  <c r="H1245" i="25"/>
  <c r="J1245" i="25" s="1"/>
  <c r="H1246" i="25"/>
  <c r="J1246" i="25" s="1"/>
  <c r="H1247" i="25"/>
  <c r="J1247" i="25" s="1"/>
  <c r="H284" i="25"/>
  <c r="J284" i="25" s="1"/>
  <c r="H287" i="25"/>
  <c r="J287" i="25" s="1"/>
  <c r="H290" i="25"/>
  <c r="J290" i="25" s="1"/>
  <c r="H291" i="25"/>
  <c r="J291" i="25" s="1"/>
  <c r="H292" i="25"/>
  <c r="J292" i="25" s="1"/>
  <c r="H293" i="25"/>
  <c r="J293" i="25" s="1"/>
  <c r="H294" i="25"/>
  <c r="J294" i="25" s="1"/>
  <c r="H295" i="25"/>
  <c r="J295" i="25" s="1"/>
  <c r="H296" i="25"/>
  <c r="J296" i="25" s="1"/>
  <c r="H297" i="25"/>
  <c r="J297" i="25" s="1"/>
  <c r="H298" i="25"/>
  <c r="J298" i="25" s="1"/>
  <c r="H302" i="25"/>
  <c r="J302" i="25" s="1"/>
  <c r="H303" i="25"/>
  <c r="J303" i="25" s="1"/>
  <c r="H304" i="25"/>
  <c r="J304" i="25" s="1"/>
  <c r="H305" i="25"/>
  <c r="J305" i="25" s="1"/>
  <c r="H308" i="25"/>
  <c r="J308" i="25" s="1"/>
  <c r="H310" i="25"/>
  <c r="J310" i="25" s="1"/>
  <c r="H311" i="25"/>
  <c r="J311" i="25" s="1"/>
  <c r="H313" i="25"/>
  <c r="J313" i="25" s="1"/>
  <c r="H314" i="25"/>
  <c r="J314" i="25" s="1"/>
  <c r="H315" i="25"/>
  <c r="J315" i="25" s="1"/>
  <c r="H316" i="25"/>
  <c r="J316" i="25" s="1"/>
  <c r="H317" i="25"/>
  <c r="J317" i="25" s="1"/>
  <c r="H318" i="25"/>
  <c r="J318" i="25" s="1"/>
  <c r="H319" i="25"/>
  <c r="J319" i="25" s="1"/>
  <c r="H320" i="25"/>
  <c r="J320" i="25" s="1"/>
  <c r="H324" i="25"/>
  <c r="J324" i="25" s="1"/>
  <c r="H325" i="25"/>
  <c r="J325" i="25" s="1"/>
  <c r="H328" i="25"/>
  <c r="J328" i="25" s="1"/>
  <c r="H336" i="25"/>
  <c r="J336" i="25" s="1"/>
  <c r="H337" i="25"/>
  <c r="J337" i="25" s="1"/>
  <c r="H338" i="25"/>
  <c r="J338" i="25" s="1"/>
  <c r="H339" i="25"/>
  <c r="J339" i="25" s="1"/>
  <c r="H340" i="25"/>
  <c r="J340" i="25" s="1"/>
  <c r="H341" i="25"/>
  <c r="J341" i="25" s="1"/>
  <c r="H342" i="25"/>
  <c r="J342" i="25" s="1"/>
  <c r="H343" i="25"/>
  <c r="J343" i="25" s="1"/>
  <c r="H344" i="25"/>
  <c r="J344" i="25" s="1"/>
  <c r="H345" i="25"/>
  <c r="J345" i="25" s="1"/>
  <c r="H346" i="25"/>
  <c r="J346" i="25" s="1"/>
  <c r="H347" i="25"/>
  <c r="J347" i="25" s="1"/>
  <c r="H348" i="25"/>
  <c r="J348" i="25" s="1"/>
  <c r="H349" i="25"/>
  <c r="J349" i="25" s="1"/>
  <c r="H350" i="25"/>
  <c r="J350" i="25" s="1"/>
  <c r="H351" i="25"/>
  <c r="J351" i="25" s="1"/>
  <c r="H352" i="25"/>
  <c r="J352" i="25" s="1"/>
  <c r="H353" i="25"/>
  <c r="J353" i="25" s="1"/>
  <c r="H354" i="25"/>
  <c r="J354" i="25" s="1"/>
  <c r="H355" i="25"/>
  <c r="J355" i="25" s="1"/>
  <c r="H356" i="25"/>
  <c r="J356" i="25" s="1"/>
  <c r="H357" i="25"/>
  <c r="J357" i="25" s="1"/>
  <c r="H358" i="25"/>
  <c r="J358" i="25" s="1"/>
  <c r="H359" i="25"/>
  <c r="J359" i="25" s="1"/>
  <c r="H360" i="25"/>
  <c r="J360" i="25" s="1"/>
  <c r="H361" i="25"/>
  <c r="J361" i="25" s="1"/>
  <c r="H362" i="25"/>
  <c r="J362" i="25" s="1"/>
  <c r="H363" i="25"/>
  <c r="J363" i="25" s="1"/>
  <c r="H366" i="25"/>
  <c r="J366" i="25" s="1"/>
  <c r="H367" i="25"/>
  <c r="J367" i="25" s="1"/>
  <c r="H368" i="25"/>
  <c r="J368" i="25" s="1"/>
  <c r="H369" i="25"/>
  <c r="J369" i="25" s="1"/>
  <c r="H371" i="25"/>
  <c r="J371" i="25" s="1"/>
  <c r="H372" i="25"/>
  <c r="J372" i="25" s="1"/>
  <c r="H373" i="25"/>
  <c r="J373" i="25" s="1"/>
  <c r="H374" i="25"/>
  <c r="J374" i="25" s="1"/>
  <c r="H375" i="25"/>
  <c r="J375" i="25" s="1"/>
  <c r="H376" i="25"/>
  <c r="J376" i="25" s="1"/>
  <c r="H377" i="25"/>
  <c r="J377" i="25" s="1"/>
  <c r="H378" i="25"/>
  <c r="J378" i="25" s="1"/>
  <c r="H381" i="25"/>
  <c r="J381" i="25" s="1"/>
  <c r="H382" i="25"/>
  <c r="J382" i="25" s="1"/>
  <c r="H384" i="25"/>
  <c r="J384" i="25" s="1"/>
  <c r="H385" i="25"/>
  <c r="J385" i="25" s="1"/>
  <c r="H386" i="25"/>
  <c r="J386" i="25" s="1"/>
  <c r="H387" i="25"/>
  <c r="J387" i="25" s="1"/>
  <c r="H388" i="25"/>
  <c r="J388" i="25" s="1"/>
  <c r="H389" i="25"/>
  <c r="J389" i="25" s="1"/>
  <c r="H390" i="25"/>
  <c r="J390" i="25" s="1"/>
  <c r="H391" i="25"/>
  <c r="J391" i="25" s="1"/>
  <c r="H392" i="25"/>
  <c r="J392" i="25" s="1"/>
  <c r="H393" i="25"/>
  <c r="J393" i="25" s="1"/>
  <c r="H394" i="25"/>
  <c r="J394" i="25" s="1"/>
  <c r="H397" i="25"/>
  <c r="J397" i="25" s="1"/>
  <c r="H400" i="25"/>
  <c r="J400" i="25" s="1"/>
  <c r="H409" i="25"/>
  <c r="J409" i="25" s="1"/>
  <c r="H410" i="25"/>
  <c r="J410" i="25" s="1"/>
  <c r="H411" i="25"/>
  <c r="J411" i="25" s="1"/>
  <c r="H412" i="25"/>
  <c r="J412" i="25" s="1"/>
  <c r="H413" i="25"/>
  <c r="J413" i="25" s="1"/>
  <c r="H414" i="25"/>
  <c r="J414" i="25" s="1"/>
  <c r="H415" i="25"/>
  <c r="J415" i="25" s="1"/>
  <c r="H416" i="25"/>
  <c r="J416" i="25" s="1"/>
  <c r="H417" i="25"/>
  <c r="J417" i="25" s="1"/>
  <c r="H418" i="25"/>
  <c r="J418" i="25" s="1"/>
  <c r="H419" i="25"/>
  <c r="J419" i="25" s="1"/>
  <c r="H420" i="25"/>
  <c r="J420" i="25" s="1"/>
  <c r="H421" i="25"/>
  <c r="J421" i="25" s="1"/>
  <c r="H422" i="25"/>
  <c r="J422" i="25" s="1"/>
  <c r="H423" i="25"/>
  <c r="J423" i="25" s="1"/>
  <c r="H424" i="25"/>
  <c r="J424" i="25" s="1"/>
  <c r="H425" i="25"/>
  <c r="J425" i="25" s="1"/>
  <c r="H432" i="25"/>
  <c r="J432" i="25" s="1"/>
  <c r="H433" i="25"/>
  <c r="J433" i="25" s="1"/>
  <c r="H434" i="25"/>
  <c r="J434" i="25" s="1"/>
  <c r="H438" i="25"/>
  <c r="J438" i="25" s="1"/>
  <c r="H439" i="25"/>
  <c r="J439" i="25" s="1"/>
  <c r="H440" i="25"/>
  <c r="J440" i="25" s="1"/>
  <c r="H441" i="25"/>
  <c r="J441" i="25" s="1"/>
  <c r="H442" i="25"/>
  <c r="J442" i="25" s="1"/>
  <c r="H443" i="25"/>
  <c r="J443" i="25" s="1"/>
  <c r="H447" i="25"/>
  <c r="J447" i="25" s="1"/>
  <c r="H450" i="25"/>
  <c r="J450" i="25" s="1"/>
  <c r="H458" i="25"/>
  <c r="J458" i="25" s="1"/>
  <c r="H460" i="25"/>
  <c r="J460" i="25" s="1"/>
  <c r="H461" i="25"/>
  <c r="J461" i="25" s="1"/>
  <c r="H470" i="25"/>
  <c r="J470" i="25" s="1"/>
  <c r="H471" i="25"/>
  <c r="J471" i="25" s="1"/>
  <c r="H472" i="25"/>
  <c r="J472" i="25" s="1"/>
  <c r="H473" i="25"/>
  <c r="J473" i="25" s="1"/>
  <c r="H480" i="25"/>
  <c r="J480" i="25" s="1"/>
  <c r="H481" i="25"/>
  <c r="J481" i="25" s="1"/>
  <c r="H483" i="25"/>
  <c r="J483" i="25" s="1"/>
  <c r="H484" i="25"/>
  <c r="J484" i="25" s="1"/>
  <c r="H486" i="25"/>
  <c r="J486" i="25" s="1"/>
  <c r="H487" i="25"/>
  <c r="J487" i="25" s="1"/>
  <c r="H488" i="25"/>
  <c r="J488" i="25" s="1"/>
  <c r="H489" i="25"/>
  <c r="J489" i="25" s="1"/>
  <c r="H490" i="25"/>
  <c r="J490" i="25" s="1"/>
  <c r="H491" i="25"/>
  <c r="J491" i="25" s="1"/>
  <c r="H493" i="25"/>
  <c r="J493" i="25" s="1"/>
  <c r="H499" i="25"/>
  <c r="J499" i="25" s="1"/>
  <c r="H504" i="25"/>
  <c r="J504" i="25" s="1"/>
  <c r="H505" i="25"/>
  <c r="J505" i="25" s="1"/>
  <c r="H506" i="25"/>
  <c r="J506" i="25" s="1"/>
  <c r="H507" i="25"/>
  <c r="J507" i="25" s="1"/>
  <c r="H508" i="25"/>
  <c r="J508" i="25" s="1"/>
  <c r="H509" i="25"/>
  <c r="J509" i="25" s="1"/>
  <c r="H510" i="25"/>
  <c r="J510" i="25" s="1"/>
  <c r="H511" i="25"/>
  <c r="J511" i="25" s="1"/>
  <c r="H512" i="25"/>
  <c r="J512" i="25" s="1"/>
  <c r="H513" i="25"/>
  <c r="J513" i="25" s="1"/>
  <c r="H514" i="25"/>
  <c r="J514" i="25" s="1"/>
  <c r="H515" i="25"/>
  <c r="J515" i="25" s="1"/>
  <c r="H516" i="25"/>
  <c r="J516" i="25" s="1"/>
  <c r="H517" i="25"/>
  <c r="J517" i="25" s="1"/>
  <c r="H518" i="25"/>
  <c r="J518" i="25" s="1"/>
  <c r="H519" i="25"/>
  <c r="J519" i="25" s="1"/>
  <c r="H520" i="25"/>
  <c r="J520" i="25" s="1"/>
  <c r="H521" i="25"/>
  <c r="J521" i="25" s="1"/>
  <c r="H522" i="25"/>
  <c r="J522" i="25" s="1"/>
  <c r="H523" i="25"/>
  <c r="J523" i="25" s="1"/>
  <c r="H526" i="25"/>
  <c r="J526" i="25" s="1"/>
  <c r="H529" i="25"/>
  <c r="J529" i="25" s="1"/>
  <c r="H530" i="25"/>
  <c r="J530" i="25" s="1"/>
  <c r="H531" i="25"/>
  <c r="J531" i="25" s="1"/>
  <c r="H532" i="25"/>
  <c r="J532" i="25" s="1"/>
  <c r="H533" i="25"/>
  <c r="J533" i="25" s="1"/>
  <c r="H534" i="25"/>
  <c r="J534" i="25" s="1"/>
  <c r="H537" i="25"/>
  <c r="J537" i="25" s="1"/>
  <c r="H541" i="25"/>
  <c r="J541" i="25" s="1"/>
  <c r="H542" i="25"/>
  <c r="J542" i="25" s="1"/>
  <c r="H543" i="25"/>
  <c r="J543" i="25" s="1"/>
  <c r="H546" i="25"/>
  <c r="J546" i="25" s="1"/>
  <c r="H548" i="25"/>
  <c r="J548" i="25" s="1"/>
  <c r="H549" i="25"/>
  <c r="J549" i="25" s="1"/>
  <c r="H550" i="25"/>
  <c r="J550" i="25" s="1"/>
  <c r="H551" i="25"/>
  <c r="J551" i="25" s="1"/>
  <c r="H552" i="25"/>
  <c r="J552" i="25" s="1"/>
  <c r="H553" i="25"/>
  <c r="J553" i="25" s="1"/>
  <c r="H554" i="25"/>
  <c r="J554" i="25" s="1"/>
  <c r="H555" i="25"/>
  <c r="J555" i="25" s="1"/>
  <c r="H556" i="25"/>
  <c r="J556" i="25" s="1"/>
  <c r="H557" i="25"/>
  <c r="J557" i="25" s="1"/>
  <c r="H558" i="25"/>
  <c r="J558" i="25" s="1"/>
  <c r="H559" i="25"/>
  <c r="J559" i="25" s="1"/>
  <c r="H560" i="25"/>
  <c r="J560" i="25" s="1"/>
  <c r="H561" i="25"/>
  <c r="J561" i="25" s="1"/>
  <c r="H562" i="25"/>
  <c r="J562" i="25" s="1"/>
  <c r="H563" i="25"/>
  <c r="J563" i="25" s="1"/>
  <c r="H564" i="25"/>
  <c r="J564" i="25" s="1"/>
  <c r="H565" i="25"/>
  <c r="J565" i="25" s="1"/>
  <c r="H567" i="25"/>
  <c r="J567" i="25" s="1"/>
  <c r="H569" i="25"/>
  <c r="J569" i="25" s="1"/>
  <c r="H570" i="25"/>
  <c r="J570" i="25" s="1"/>
  <c r="H571" i="25"/>
  <c r="J571" i="25" s="1"/>
  <c r="H573" i="25"/>
  <c r="J573" i="25" s="1"/>
  <c r="H574" i="25"/>
  <c r="J574" i="25" s="1"/>
  <c r="H575" i="25"/>
  <c r="J575" i="25" s="1"/>
  <c r="H576" i="25"/>
  <c r="J576" i="25" s="1"/>
  <c r="H578" i="25"/>
  <c r="J578" i="25" s="1"/>
  <c r="H579" i="25"/>
  <c r="J579" i="25" s="1"/>
  <c r="H580" i="25"/>
  <c r="J580" i="25" s="1"/>
  <c r="H581" i="25"/>
  <c r="J581" i="25" s="1"/>
  <c r="H582" i="25"/>
  <c r="J582" i="25" s="1"/>
  <c r="H583" i="25"/>
  <c r="J583" i="25" s="1"/>
  <c r="H584" i="25"/>
  <c r="J584" i="25" s="1"/>
  <c r="H585" i="25"/>
  <c r="J585" i="25" s="1"/>
  <c r="H586" i="25"/>
  <c r="J586" i="25" s="1"/>
  <c r="H587" i="25"/>
  <c r="J587" i="25" s="1"/>
  <c r="H588" i="25"/>
  <c r="J588" i="25" s="1"/>
  <c r="H589" i="25"/>
  <c r="J589" i="25" s="1"/>
  <c r="H590" i="25"/>
  <c r="J590" i="25" s="1"/>
  <c r="H591" i="25"/>
  <c r="J591" i="25" s="1"/>
  <c r="H592" i="25"/>
  <c r="J592" i="25" s="1"/>
  <c r="H593" i="25"/>
  <c r="J593" i="25" s="1"/>
  <c r="H594" i="25"/>
  <c r="J594" i="25" s="1"/>
  <c r="H597" i="25"/>
  <c r="J597" i="25" s="1"/>
  <c r="H598" i="25"/>
  <c r="J598" i="25" s="1"/>
  <c r="H599" i="25"/>
  <c r="J599" i="25" s="1"/>
  <c r="H600" i="25"/>
  <c r="J600" i="25" s="1"/>
  <c r="H601" i="25"/>
  <c r="J601" i="25" s="1"/>
  <c r="H602" i="25"/>
  <c r="J602" i="25" s="1"/>
  <c r="H603" i="25"/>
  <c r="J603" i="25" s="1"/>
  <c r="H604" i="25"/>
  <c r="J604" i="25" s="1"/>
  <c r="H605" i="25"/>
  <c r="J605" i="25" s="1"/>
  <c r="H606" i="25"/>
  <c r="J606" i="25" s="1"/>
  <c r="H607" i="25"/>
  <c r="J607" i="25" s="1"/>
  <c r="H608" i="25"/>
  <c r="J608" i="25" s="1"/>
  <c r="H609" i="25"/>
  <c r="J609" i="25" s="1"/>
  <c r="H610" i="25"/>
  <c r="J610" i="25" s="1"/>
  <c r="H611" i="25"/>
  <c r="J611" i="25" s="1"/>
  <c r="H622" i="25"/>
  <c r="J622" i="25" s="1"/>
  <c r="H623" i="25"/>
  <c r="J623" i="25" s="1"/>
  <c r="H624" i="25"/>
  <c r="J624" i="25" s="1"/>
  <c r="H625" i="25"/>
  <c r="J625" i="25" s="1"/>
  <c r="H626" i="25"/>
  <c r="J626" i="25" s="1"/>
  <c r="H627" i="25"/>
  <c r="J627" i="25" s="1"/>
  <c r="H628" i="25"/>
  <c r="J628" i="25" s="1"/>
  <c r="H629" i="25"/>
  <c r="J629" i="25" s="1"/>
  <c r="H630" i="25"/>
  <c r="J630" i="25" s="1"/>
  <c r="H631" i="25"/>
  <c r="J631" i="25" s="1"/>
  <c r="H632" i="25"/>
  <c r="J632" i="25" s="1"/>
  <c r="H633" i="25"/>
  <c r="J633" i="25" s="1"/>
  <c r="H634" i="25"/>
  <c r="J634" i="25" s="1"/>
  <c r="H635" i="25"/>
  <c r="J635" i="25" s="1"/>
  <c r="H636" i="25"/>
  <c r="J636" i="25" s="1"/>
  <c r="H637" i="25"/>
  <c r="J637" i="25" s="1"/>
  <c r="H638" i="25"/>
  <c r="J638" i="25" s="1"/>
  <c r="H639" i="25"/>
  <c r="J639" i="25" s="1"/>
  <c r="H640" i="25"/>
  <c r="J640" i="25" s="1"/>
  <c r="H641" i="25"/>
  <c r="J641" i="25" s="1"/>
  <c r="H642" i="25"/>
  <c r="J642" i="25" s="1"/>
  <c r="H643" i="25"/>
  <c r="J643" i="25" s="1"/>
  <c r="H644" i="25"/>
  <c r="J644" i="25" s="1"/>
  <c r="H650" i="25"/>
  <c r="J650" i="25" s="1"/>
  <c r="H651" i="25"/>
  <c r="J651" i="25" s="1"/>
  <c r="H652" i="25"/>
  <c r="J652" i="25" s="1"/>
  <c r="H653" i="25"/>
  <c r="J653" i="25" s="1"/>
  <c r="H654" i="25"/>
  <c r="J654" i="25" s="1"/>
  <c r="H655" i="25"/>
  <c r="J655" i="25" s="1"/>
  <c r="H656" i="25"/>
  <c r="J656" i="25" s="1"/>
  <c r="H657" i="25"/>
  <c r="J657" i="25" s="1"/>
  <c r="H658" i="25"/>
  <c r="J658" i="25" s="1"/>
  <c r="H659" i="25"/>
  <c r="J659" i="25" s="1"/>
  <c r="H664" i="25"/>
  <c r="J664" i="25" s="1"/>
  <c r="H670" i="25"/>
  <c r="J670" i="25" s="1"/>
  <c r="H671" i="25"/>
  <c r="J671" i="25" s="1"/>
  <c r="H672" i="25"/>
  <c r="J672" i="25" s="1"/>
  <c r="H673" i="25"/>
  <c r="J673" i="25" s="1"/>
  <c r="H674" i="25"/>
  <c r="J674" i="25" s="1"/>
  <c r="H675" i="25"/>
  <c r="J675" i="25" s="1"/>
  <c r="H676" i="25"/>
  <c r="J676" i="25" s="1"/>
  <c r="H677" i="25"/>
  <c r="J677" i="25" s="1"/>
  <c r="H678" i="25"/>
  <c r="J678" i="25" s="1"/>
  <c r="H679" i="25"/>
  <c r="J679" i="25" s="1"/>
  <c r="H680" i="25"/>
  <c r="J680" i="25" s="1"/>
  <c r="H681" i="25"/>
  <c r="J681" i="25" s="1"/>
  <c r="H682" i="25"/>
  <c r="J682" i="25" s="1"/>
  <c r="H683" i="25"/>
  <c r="J683" i="25" s="1"/>
  <c r="H684" i="25"/>
  <c r="J684" i="25" s="1"/>
  <c r="H685" i="25"/>
  <c r="J685" i="25" s="1"/>
  <c r="H686" i="25"/>
  <c r="J686" i="25" s="1"/>
  <c r="H687" i="25"/>
  <c r="J687" i="25" s="1"/>
  <c r="H688" i="25"/>
  <c r="J688" i="25" s="1"/>
  <c r="H689" i="25"/>
  <c r="J689" i="25" s="1"/>
  <c r="H690" i="25"/>
  <c r="J690" i="25" s="1"/>
  <c r="H691" i="25"/>
  <c r="J691" i="25" s="1"/>
  <c r="H692" i="25"/>
  <c r="J692" i="25" s="1"/>
  <c r="H693" i="25"/>
  <c r="J693" i="25" s="1"/>
  <c r="H694" i="25"/>
  <c r="J694" i="25" s="1"/>
  <c r="H695" i="25"/>
  <c r="J695" i="25" s="1"/>
  <c r="H696" i="25"/>
  <c r="J696" i="25" s="1"/>
  <c r="H708" i="25"/>
  <c r="J708" i="25" s="1"/>
  <c r="H711" i="25"/>
  <c r="J711" i="25" s="1"/>
  <c r="H712" i="25"/>
  <c r="J712" i="25" s="1"/>
  <c r="H713" i="25"/>
  <c r="J713" i="25" s="1"/>
  <c r="H714" i="25"/>
  <c r="J714" i="25" s="1"/>
  <c r="H715" i="25"/>
  <c r="J715" i="25" s="1"/>
  <c r="H716" i="25"/>
  <c r="J716" i="25" s="1"/>
  <c r="H717" i="25"/>
  <c r="J717" i="25" s="1"/>
  <c r="H718" i="25"/>
  <c r="J718" i="25" s="1"/>
  <c r="H719" i="25"/>
  <c r="J719" i="25" s="1"/>
  <c r="H720" i="25"/>
  <c r="J720" i="25" s="1"/>
  <c r="H721" i="25"/>
  <c r="J721" i="25" s="1"/>
  <c r="H722" i="25"/>
  <c r="J722" i="25" s="1"/>
  <c r="H723" i="25"/>
  <c r="J723" i="25" s="1"/>
  <c r="H724" i="25"/>
  <c r="J724" i="25" s="1"/>
  <c r="H725" i="25"/>
  <c r="J725" i="25" s="1"/>
  <c r="H726" i="25"/>
  <c r="J726" i="25" s="1"/>
  <c r="H727" i="25"/>
  <c r="J727" i="25" s="1"/>
  <c r="H728" i="25"/>
  <c r="J728" i="25" s="1"/>
  <c r="H729" i="25"/>
  <c r="J729" i="25" s="1"/>
  <c r="H730" i="25"/>
  <c r="J730" i="25" s="1"/>
  <c r="H731" i="25"/>
  <c r="J731" i="25" s="1"/>
  <c r="H732" i="25"/>
  <c r="J732" i="25" s="1"/>
  <c r="H733" i="25"/>
  <c r="J733" i="25" s="1"/>
  <c r="H734" i="25"/>
  <c r="J734" i="25" s="1"/>
  <c r="H735" i="25"/>
  <c r="J735" i="25" s="1"/>
  <c r="H736" i="25"/>
  <c r="J736" i="25" s="1"/>
  <c r="H737" i="25"/>
  <c r="J737" i="25" s="1"/>
  <c r="H738" i="25"/>
  <c r="J738" i="25" s="1"/>
  <c r="H739" i="25"/>
  <c r="J739" i="25" s="1"/>
  <c r="H740" i="25"/>
  <c r="J740" i="25" s="1"/>
  <c r="H741" i="25"/>
  <c r="J741" i="25" s="1"/>
  <c r="H742" i="25"/>
  <c r="J742" i="25" s="1"/>
  <c r="H743" i="25"/>
  <c r="J743" i="25" s="1"/>
  <c r="H744" i="25"/>
  <c r="J744" i="25" s="1"/>
  <c r="H745" i="25"/>
  <c r="J745" i="25" s="1"/>
  <c r="H746" i="25"/>
  <c r="J746" i="25" s="1"/>
  <c r="H747" i="25"/>
  <c r="J747" i="25" s="1"/>
  <c r="H748" i="25"/>
  <c r="J748" i="25" s="1"/>
  <c r="H749" i="25"/>
  <c r="J749" i="25" s="1"/>
  <c r="H750" i="25"/>
  <c r="J750" i="25" s="1"/>
  <c r="H751" i="25"/>
  <c r="J751" i="25" s="1"/>
  <c r="H752" i="25"/>
  <c r="J752" i="25" s="1"/>
  <c r="H753" i="25"/>
  <c r="J753" i="25" s="1"/>
  <c r="H754" i="25"/>
  <c r="J754" i="25" s="1"/>
  <c r="H755" i="25"/>
  <c r="J755" i="25" s="1"/>
  <c r="H756" i="25"/>
  <c r="J756" i="25" s="1"/>
  <c r="H757" i="25"/>
  <c r="J757" i="25" s="1"/>
  <c r="H758" i="25"/>
  <c r="J758" i="25" s="1"/>
  <c r="H759" i="25"/>
  <c r="J759" i="25" s="1"/>
  <c r="H763" i="25"/>
  <c r="J763" i="25" s="1"/>
  <c r="H764" i="25"/>
  <c r="J764" i="25" s="1"/>
  <c r="H783" i="25"/>
  <c r="J783" i="25" s="1"/>
  <c r="H784" i="25"/>
  <c r="J784" i="25" s="1"/>
  <c r="H792" i="25"/>
  <c r="J792" i="25" s="1"/>
  <c r="H793" i="25"/>
  <c r="J793" i="25" s="1"/>
  <c r="H796" i="25"/>
  <c r="J796" i="25" s="1"/>
  <c r="H797" i="25"/>
  <c r="J797" i="25" s="1"/>
  <c r="H798" i="25"/>
  <c r="J798" i="25" s="1"/>
  <c r="H799" i="25"/>
  <c r="J799" i="25" s="1"/>
  <c r="H800" i="25"/>
  <c r="J800" i="25" s="1"/>
  <c r="H801" i="25"/>
  <c r="J801" i="25" s="1"/>
  <c r="H802" i="25"/>
  <c r="J802" i="25" s="1"/>
  <c r="H803" i="25"/>
  <c r="J803" i="25" s="1"/>
  <c r="H807" i="25"/>
  <c r="J807" i="25" s="1"/>
  <c r="H813" i="25"/>
  <c r="J813" i="25" s="1"/>
  <c r="H821" i="25"/>
  <c r="J821" i="25" s="1"/>
  <c r="H823" i="25"/>
  <c r="J823" i="25" s="1"/>
  <c r="H830" i="25"/>
  <c r="J830" i="25" s="1"/>
  <c r="H831" i="25"/>
  <c r="J831" i="25" s="1"/>
  <c r="H832" i="25"/>
  <c r="J832" i="25" s="1"/>
  <c r="H833" i="25"/>
  <c r="J833" i="25" s="1"/>
  <c r="H834" i="25"/>
  <c r="J834" i="25" s="1"/>
  <c r="H835" i="25"/>
  <c r="J835" i="25" s="1"/>
  <c r="H836" i="25"/>
  <c r="J836" i="25" s="1"/>
  <c r="H837" i="25"/>
  <c r="J837" i="25" s="1"/>
  <c r="H838" i="25"/>
  <c r="J838" i="25" s="1"/>
  <c r="H839" i="25"/>
  <c r="J839" i="25" s="1"/>
  <c r="H840" i="25"/>
  <c r="J840" i="25" s="1"/>
  <c r="H841" i="25"/>
  <c r="J841" i="25" s="1"/>
  <c r="H842" i="25"/>
  <c r="J842" i="25" s="1"/>
  <c r="H843" i="25"/>
  <c r="J843" i="25" s="1"/>
  <c r="H844" i="25"/>
  <c r="J844" i="25" s="1"/>
  <c r="H845" i="25"/>
  <c r="J845" i="25" s="1"/>
  <c r="H846" i="25"/>
  <c r="J846" i="25" s="1"/>
  <c r="H847" i="25"/>
  <c r="J847" i="25" s="1"/>
  <c r="H848" i="25"/>
  <c r="J848" i="25" s="1"/>
  <c r="H849" i="25"/>
  <c r="J849" i="25" s="1"/>
  <c r="H850" i="25"/>
  <c r="J850" i="25" s="1"/>
  <c r="H851" i="25"/>
  <c r="J851" i="25" s="1"/>
  <c r="H852" i="25"/>
  <c r="J852" i="25" s="1"/>
  <c r="H853" i="25"/>
  <c r="J853" i="25" s="1"/>
  <c r="H854" i="25"/>
  <c r="J854" i="25" s="1"/>
  <c r="H855" i="25"/>
  <c r="J855" i="25" s="1"/>
  <c r="H856" i="25"/>
  <c r="J856" i="25" s="1"/>
  <c r="H857" i="25"/>
  <c r="J857" i="25" s="1"/>
  <c r="H858" i="25"/>
  <c r="J858" i="25" s="1"/>
  <c r="H859" i="25"/>
  <c r="J859" i="25" s="1"/>
  <c r="H860" i="25"/>
  <c r="J860" i="25" s="1"/>
  <c r="H861" i="25"/>
  <c r="J861" i="25" s="1"/>
  <c r="H862" i="25"/>
  <c r="J862" i="25" s="1"/>
  <c r="H863" i="25"/>
  <c r="J863" i="25" s="1"/>
  <c r="H864" i="25"/>
  <c r="J864" i="25" s="1"/>
  <c r="H865" i="25"/>
  <c r="J865" i="25" s="1"/>
  <c r="H866" i="25"/>
  <c r="J866" i="25" s="1"/>
  <c r="H867" i="25"/>
  <c r="J867" i="25" s="1"/>
  <c r="H868" i="25"/>
  <c r="J868" i="25" s="1"/>
  <c r="H869" i="25"/>
  <c r="J869" i="25" s="1"/>
  <c r="H870" i="25"/>
  <c r="J870" i="25" s="1"/>
  <c r="H871" i="25"/>
  <c r="J871" i="25" s="1"/>
  <c r="H872" i="25"/>
  <c r="J872" i="25" s="1"/>
  <c r="H873" i="25"/>
  <c r="J873" i="25" s="1"/>
  <c r="H874" i="25"/>
  <c r="J874" i="25" s="1"/>
  <c r="H875" i="25"/>
  <c r="J875" i="25" s="1"/>
  <c r="H876" i="25"/>
  <c r="J876" i="25" s="1"/>
  <c r="H877" i="25"/>
  <c r="J877" i="25" s="1"/>
  <c r="H878" i="25"/>
  <c r="J878" i="25" s="1"/>
  <c r="H879" i="25"/>
  <c r="J879" i="25" s="1"/>
  <c r="H880" i="25"/>
  <c r="J880" i="25" s="1"/>
  <c r="H881" i="25"/>
  <c r="J881" i="25" s="1"/>
  <c r="H882" i="25"/>
  <c r="J882" i="25" s="1"/>
  <c r="H883" i="25"/>
  <c r="J883" i="25" s="1"/>
  <c r="H884" i="25"/>
  <c r="J884" i="25" s="1"/>
  <c r="H885" i="25"/>
  <c r="J885" i="25" s="1"/>
  <c r="H886" i="25"/>
  <c r="J886" i="25" s="1"/>
  <c r="H887" i="25"/>
  <c r="J887" i="25" s="1"/>
  <c r="H888" i="25"/>
  <c r="J888" i="25" s="1"/>
  <c r="H889" i="25"/>
  <c r="J889" i="25" s="1"/>
  <c r="H890" i="25"/>
  <c r="J890" i="25" s="1"/>
  <c r="H891" i="25"/>
  <c r="J891" i="25" s="1"/>
  <c r="H893" i="25"/>
  <c r="J893" i="25" s="1"/>
  <c r="H897" i="25"/>
  <c r="H898" i="25"/>
  <c r="H899" i="25"/>
  <c r="H902" i="25"/>
  <c r="H912" i="25"/>
  <c r="J912" i="25" s="1"/>
  <c r="H913" i="25"/>
  <c r="J913" i="25" s="1"/>
  <c r="H914" i="25"/>
  <c r="J914" i="25" s="1"/>
  <c r="H915" i="25"/>
  <c r="J915" i="25" s="1"/>
  <c r="H916" i="25"/>
  <c r="J916" i="25" s="1"/>
  <c r="H918" i="25"/>
  <c r="J918" i="25" s="1"/>
  <c r="H921" i="25"/>
  <c r="J921" i="25" s="1"/>
  <c r="H929" i="25"/>
  <c r="J929" i="25" s="1"/>
  <c r="H930" i="25"/>
  <c r="J930" i="25" s="1"/>
  <c r="H951" i="25"/>
  <c r="J951" i="25" s="1"/>
  <c r="H965" i="25"/>
  <c r="J965" i="25" s="1"/>
  <c r="H274" i="25"/>
  <c r="J274" i="25" s="1"/>
  <c r="H275" i="25"/>
  <c r="J275" i="25" s="1"/>
  <c r="H276" i="25"/>
  <c r="J276" i="25" s="1"/>
  <c r="H277" i="25"/>
  <c r="J277" i="25" s="1"/>
  <c r="H278" i="25"/>
  <c r="J278" i="25" s="1"/>
  <c r="H279" i="25"/>
  <c r="J279" i="25" s="1"/>
  <c r="H271" i="25"/>
  <c r="J271" i="25" s="1"/>
  <c r="H243" i="25"/>
  <c r="J243" i="25" s="1"/>
  <c r="H244" i="25"/>
  <c r="J244" i="25" s="1"/>
  <c r="H245" i="25"/>
  <c r="J245" i="25" s="1"/>
  <c r="H246" i="25"/>
  <c r="J246" i="25" s="1"/>
  <c r="H251" i="25"/>
  <c r="J251" i="25" s="1"/>
  <c r="H257" i="25"/>
  <c r="J257" i="25" s="1"/>
  <c r="H259" i="25"/>
  <c r="J259" i="25" s="1"/>
  <c r="H233" i="25"/>
  <c r="J233" i="25" s="1"/>
  <c r="H234" i="25"/>
  <c r="J234" i="25" s="1"/>
  <c r="H222" i="25"/>
  <c r="J222" i="25" s="1"/>
  <c r="H223" i="25"/>
  <c r="J223" i="25" s="1"/>
  <c r="H229" i="25"/>
  <c r="J229" i="25" s="1"/>
  <c r="H211" i="25"/>
  <c r="J211" i="25" s="1"/>
  <c r="H212" i="25"/>
  <c r="J212" i="25" s="1"/>
  <c r="H200" i="25"/>
  <c r="J200" i="25" s="1"/>
  <c r="H209" i="25"/>
  <c r="J209" i="25" s="1"/>
  <c r="H195" i="25"/>
  <c r="J195" i="25" s="1"/>
  <c r="H196" i="25"/>
  <c r="J196" i="25" s="1"/>
  <c r="H198" i="25"/>
  <c r="J198" i="25" s="1"/>
  <c r="H199" i="25"/>
  <c r="J199" i="25" s="1"/>
  <c r="H188" i="25"/>
  <c r="J188" i="25" s="1"/>
  <c r="H189" i="25"/>
  <c r="J189" i="25" s="1"/>
  <c r="H2029" i="25"/>
  <c r="J2029" i="25" s="1"/>
  <c r="H2030" i="25"/>
  <c r="J2030" i="25" s="1"/>
  <c r="H2023" i="25"/>
  <c r="J2023" i="25" s="1"/>
  <c r="H1977" i="25"/>
  <c r="J1977" i="25" s="1"/>
  <c r="H1978" i="25"/>
  <c r="J1978" i="25" s="1"/>
  <c r="H1979" i="25"/>
  <c r="J1979" i="25" s="1"/>
  <c r="H1980" i="25"/>
  <c r="J1980" i="25" s="1"/>
  <c r="H1981" i="25"/>
  <c r="J1981" i="25" s="1"/>
  <c r="H1982" i="25"/>
  <c r="J1982" i="25" s="1"/>
  <c r="H1983" i="25"/>
  <c r="J1983" i="25" s="1"/>
  <c r="H1984" i="25"/>
  <c r="J1984" i="25" s="1"/>
  <c r="H1985" i="25"/>
  <c r="J1985" i="25" s="1"/>
  <c r="H1963" i="25"/>
  <c r="J1963" i="25" s="1"/>
  <c r="H1964" i="25"/>
  <c r="J1964" i="25" s="1"/>
  <c r="H1901" i="25"/>
  <c r="J1901" i="25" s="1"/>
  <c r="H1902" i="25"/>
  <c r="J1902" i="25" s="1"/>
  <c r="H1907" i="25"/>
  <c r="J1907" i="25" s="1"/>
  <c r="H1888" i="25"/>
  <c r="J1888" i="25" s="1"/>
  <c r="H1892" i="25"/>
  <c r="J1892" i="25" s="1"/>
  <c r="H1893" i="25"/>
  <c r="J1893" i="25" s="1"/>
  <c r="H1894" i="25"/>
  <c r="J1894" i="25" s="1"/>
  <c r="H1895" i="25"/>
  <c r="J1895" i="25" s="1"/>
  <c r="H1897" i="25"/>
  <c r="J1897" i="25" s="1"/>
  <c r="H1675" i="25"/>
  <c r="J1675" i="25" s="1"/>
  <c r="H1685" i="25"/>
  <c r="J1685" i="25" s="1"/>
  <c r="H1686" i="25"/>
  <c r="J1686" i="25" s="1"/>
  <c r="H1693" i="25"/>
  <c r="J1693" i="25" s="1"/>
  <c r="H1696" i="25"/>
  <c r="J1696" i="25" s="1"/>
  <c r="H1699" i="25"/>
  <c r="J1699" i="25" s="1"/>
  <c r="H1700" i="25"/>
  <c r="J1700" i="25" s="1"/>
  <c r="H1706" i="25"/>
  <c r="J1706" i="25" s="1"/>
  <c r="H1708" i="25"/>
  <c r="J1708" i="25" s="1"/>
  <c r="H1709" i="25"/>
  <c r="J1709" i="25" s="1"/>
  <c r="H1716" i="25"/>
  <c r="J1716" i="25" s="1"/>
  <c r="H1718" i="25"/>
  <c r="J1718" i="25" s="1"/>
  <c r="H1721" i="25"/>
  <c r="J1721" i="25" s="1"/>
  <c r="H1723" i="25"/>
  <c r="J1723" i="25" s="1"/>
  <c r="H1736" i="25"/>
  <c r="J1736" i="25" s="1"/>
  <c r="H1737" i="25"/>
  <c r="J1737" i="25" s="1"/>
  <c r="H1739" i="25"/>
  <c r="J1739" i="25" s="1"/>
  <c r="H1740" i="25"/>
  <c r="J1740" i="25" s="1"/>
  <c r="H1743" i="25"/>
  <c r="J1743" i="25" s="1"/>
  <c r="H1744" i="25"/>
  <c r="J1744" i="25" s="1"/>
  <c r="H1745" i="25"/>
  <c r="J1745" i="25" s="1"/>
  <c r="H1746" i="25"/>
  <c r="J1746" i="25" s="1"/>
  <c r="H1747" i="25"/>
  <c r="J1747" i="25" s="1"/>
  <c r="H1748" i="25"/>
  <c r="J1748" i="25" s="1"/>
  <c r="H1749" i="25"/>
  <c r="J1749" i="25" s="1"/>
  <c r="H1751" i="25"/>
  <c r="J1751" i="25" s="1"/>
  <c r="H1753" i="25"/>
  <c r="J1753" i="25" s="1"/>
  <c r="H1754" i="25"/>
  <c r="J1754" i="25" s="1"/>
  <c r="H1755" i="25"/>
  <c r="J1755" i="25" s="1"/>
  <c r="H1756" i="25"/>
  <c r="J1756" i="25" s="1"/>
  <c r="H1757" i="25"/>
  <c r="J1757" i="25" s="1"/>
  <c r="H1758" i="25"/>
  <c r="J1758" i="25" s="1"/>
  <c r="H1759" i="25"/>
  <c r="J1759" i="25" s="1"/>
  <c r="H1760" i="25"/>
  <c r="J1760" i="25" s="1"/>
  <c r="H1761" i="25"/>
  <c r="J1761" i="25" s="1"/>
  <c r="H1762" i="25"/>
  <c r="J1762" i="25" s="1"/>
  <c r="H1763" i="25"/>
  <c r="J1763" i="25" s="1"/>
  <c r="H1764" i="25"/>
  <c r="J1764" i="25" s="1"/>
  <c r="H1765" i="25"/>
  <c r="J1765" i="25" s="1"/>
  <c r="H1766" i="25"/>
  <c r="J1766" i="25" s="1"/>
  <c r="H1767" i="25"/>
  <c r="J1767" i="25" s="1"/>
  <c r="H1768" i="25"/>
  <c r="J1768" i="25" s="1"/>
  <c r="H1769" i="25"/>
  <c r="J1769" i="25" s="1"/>
  <c r="H1770" i="25"/>
  <c r="J1770" i="25" s="1"/>
  <c r="H1771" i="25"/>
  <c r="J1771" i="25" s="1"/>
  <c r="H1772" i="25"/>
  <c r="J1772" i="25" s="1"/>
  <c r="H1773" i="25"/>
  <c r="J1773" i="25" s="1"/>
  <c r="H1774" i="25"/>
  <c r="J1774" i="25" s="1"/>
  <c r="H1775" i="25"/>
  <c r="J1775" i="25" s="1"/>
  <c r="H1776" i="25"/>
  <c r="J1776" i="25" s="1"/>
  <c r="H1777" i="25"/>
  <c r="J1777" i="25" s="1"/>
  <c r="H1778" i="25"/>
  <c r="J1778" i="25" s="1"/>
  <c r="H1779" i="25"/>
  <c r="J1779" i="25" s="1"/>
  <c r="H1780" i="25"/>
  <c r="J1780" i="25" s="1"/>
  <c r="H1781" i="25"/>
  <c r="J1781" i="25" s="1"/>
  <c r="H1782" i="25"/>
  <c r="J1782" i="25" s="1"/>
  <c r="H1783" i="25"/>
  <c r="J1783" i="25" s="1"/>
  <c r="H1784" i="25"/>
  <c r="J1784" i="25" s="1"/>
  <c r="H1785" i="25"/>
  <c r="J1785" i="25" s="1"/>
  <c r="H1786" i="25"/>
  <c r="J1786" i="25" s="1"/>
  <c r="H1787" i="25"/>
  <c r="J1787" i="25" s="1"/>
  <c r="H1788" i="25"/>
  <c r="J1788" i="25" s="1"/>
  <c r="H1789" i="25"/>
  <c r="J1789" i="25" s="1"/>
  <c r="H1790" i="25"/>
  <c r="J1790" i="25" s="1"/>
  <c r="H1791" i="25"/>
  <c r="J1791" i="25" s="1"/>
  <c r="H1792" i="25"/>
  <c r="J1792" i="25" s="1"/>
  <c r="H1793" i="25"/>
  <c r="J1793" i="25" s="1"/>
  <c r="H1794" i="25"/>
  <c r="J1794" i="25" s="1"/>
  <c r="H1795" i="25"/>
  <c r="J1795" i="25" s="1"/>
  <c r="H1796" i="25"/>
  <c r="J1796" i="25" s="1"/>
  <c r="H1797" i="25"/>
  <c r="J1797" i="25" s="1"/>
  <c r="H1798" i="25"/>
  <c r="J1798" i="25" s="1"/>
  <c r="H1799" i="25"/>
  <c r="J1799" i="25" s="1"/>
  <c r="H1800" i="25"/>
  <c r="J1800" i="25" s="1"/>
  <c r="H1801" i="25"/>
  <c r="J1801" i="25" s="1"/>
  <c r="H1802" i="25"/>
  <c r="J1802" i="25" s="1"/>
  <c r="H1803" i="25"/>
  <c r="J1803" i="25" s="1"/>
  <c r="H1804" i="25"/>
  <c r="J1804" i="25" s="1"/>
  <c r="H1805" i="25"/>
  <c r="J1805" i="25" s="1"/>
  <c r="H1806" i="25"/>
  <c r="J1806" i="25" s="1"/>
  <c r="H1807" i="25"/>
  <c r="J1807" i="25" s="1"/>
  <c r="H1808" i="25"/>
  <c r="J1808" i="25" s="1"/>
  <c r="H1809" i="25"/>
  <c r="J1809" i="25" s="1"/>
  <c r="H1810" i="25"/>
  <c r="J1810" i="25" s="1"/>
  <c r="H1811" i="25"/>
  <c r="J1811" i="25" s="1"/>
  <c r="H1812" i="25"/>
  <c r="J1812" i="25" s="1"/>
  <c r="H1813" i="25"/>
  <c r="J1813" i="25" s="1"/>
  <c r="H1814" i="25"/>
  <c r="J1814" i="25" s="1"/>
  <c r="H1815" i="25"/>
  <c r="J1815" i="25" s="1"/>
  <c r="H1816" i="25"/>
  <c r="J1816" i="25" s="1"/>
  <c r="H1821" i="25"/>
  <c r="J1821" i="25" s="1"/>
  <c r="H1822" i="25"/>
  <c r="J1822" i="25" s="1"/>
  <c r="H1823" i="25"/>
  <c r="J1823" i="25" s="1"/>
  <c r="H1824" i="25"/>
  <c r="J1824" i="25" s="1"/>
  <c r="H1825" i="25"/>
  <c r="J1825" i="25" s="1"/>
  <c r="H1826" i="25"/>
  <c r="J1826" i="25" s="1"/>
  <c r="H1828" i="25"/>
  <c r="J1828" i="25" s="1"/>
  <c r="H1829" i="25"/>
  <c r="J1829" i="25" s="1"/>
  <c r="H1830" i="25"/>
  <c r="J1830" i="25" s="1"/>
  <c r="H1831" i="25"/>
  <c r="J1831" i="25" s="1"/>
  <c r="H1832" i="25"/>
  <c r="J1832" i="25" s="1"/>
  <c r="H1833" i="25"/>
  <c r="J1833" i="25" s="1"/>
  <c r="H1834" i="25"/>
  <c r="H1835" i="25"/>
  <c r="J1835" i="25" s="1"/>
  <c r="H1836" i="25"/>
  <c r="J1836" i="25" s="1"/>
  <c r="H1837" i="25"/>
  <c r="J1837" i="25" s="1"/>
  <c r="H1838" i="25"/>
  <c r="J1838" i="25" s="1"/>
  <c r="H1839" i="25"/>
  <c r="J1839" i="25" s="1"/>
  <c r="H1840" i="25"/>
  <c r="J1840" i="25" s="1"/>
  <c r="H1846" i="25"/>
  <c r="J1846" i="25" s="1"/>
  <c r="H1847" i="25"/>
  <c r="J1847" i="25" s="1"/>
  <c r="H1848" i="25"/>
  <c r="J1848" i="25" s="1"/>
  <c r="H1849" i="25"/>
  <c r="J1849" i="25" s="1"/>
  <c r="H1850" i="25"/>
  <c r="J1850" i="25" s="1"/>
  <c r="H1852" i="25"/>
  <c r="J1852" i="25" s="1"/>
  <c r="H1853" i="25"/>
  <c r="J1853" i="25" s="1"/>
  <c r="H1854" i="25"/>
  <c r="J1854" i="25" s="1"/>
  <c r="H1855" i="25"/>
  <c r="J1855" i="25" s="1"/>
  <c r="H1856" i="25"/>
  <c r="J1856" i="25" s="1"/>
  <c r="H1857" i="25"/>
  <c r="J1857" i="25" s="1"/>
  <c r="H1858" i="25"/>
  <c r="J1858" i="25" s="1"/>
  <c r="H1859" i="25"/>
  <c r="J1859" i="25" s="1"/>
  <c r="H1860" i="25"/>
  <c r="J1860" i="25" s="1"/>
  <c r="H1861" i="25"/>
  <c r="J1861" i="25" s="1"/>
  <c r="H1862" i="25"/>
  <c r="J1862" i="25" s="1"/>
  <c r="H1863" i="25"/>
  <c r="J1863" i="25" s="1"/>
  <c r="H1864" i="25"/>
  <c r="J1864" i="25" s="1"/>
  <c r="H1865" i="25"/>
  <c r="J1865" i="25" s="1"/>
  <c r="H1866" i="25"/>
  <c r="J1866" i="25" s="1"/>
  <c r="H1867" i="25"/>
  <c r="J1867" i="25" s="1"/>
  <c r="H1868" i="25"/>
  <c r="J1868" i="25" s="1"/>
  <c r="H1642" i="25"/>
  <c r="H1645" i="25"/>
  <c r="J1645" i="25" s="1"/>
  <c r="H1646" i="25"/>
  <c r="J1646" i="25" s="1"/>
  <c r="H1650" i="25"/>
  <c r="J1650" i="25" s="1"/>
  <c r="H1652" i="25"/>
  <c r="H1656" i="25"/>
  <c r="J1656" i="25" s="1"/>
  <c r="H1614" i="25"/>
  <c r="J1614" i="25" s="1"/>
  <c r="H1615" i="25"/>
  <c r="J1615" i="25" s="1"/>
  <c r="H1616" i="25"/>
  <c r="J1616" i="25" s="1"/>
  <c r="H1617" i="25"/>
  <c r="J1617" i="25" s="1"/>
  <c r="H1618" i="25"/>
  <c r="J1618" i="25" s="1"/>
  <c r="H1619" i="25"/>
  <c r="J1619" i="25" s="1"/>
  <c r="H1620" i="25"/>
  <c r="J1620" i="25" s="1"/>
  <c r="H1621" i="25"/>
  <c r="J1621" i="25" s="1"/>
  <c r="H1622" i="25"/>
  <c r="J1622" i="25" s="1"/>
  <c r="H1623" i="25"/>
  <c r="J1623" i="25" s="1"/>
  <c r="H1624" i="25"/>
  <c r="J1624" i="25" s="1"/>
  <c r="H1625" i="25"/>
  <c r="J1625" i="25" s="1"/>
  <c r="H1626" i="25"/>
  <c r="J1626" i="25" s="1"/>
  <c r="H1627" i="25"/>
  <c r="J1627" i="25" s="1"/>
  <c r="H1628" i="25"/>
  <c r="J1628" i="25" s="1"/>
  <c r="H1629" i="25"/>
  <c r="J1629" i="25" s="1"/>
  <c r="H1630" i="25"/>
  <c r="J1630" i="25" s="1"/>
  <c r="H1631" i="25"/>
  <c r="J1631" i="25" s="1"/>
  <c r="H1632" i="25"/>
  <c r="J1632" i="25" s="1"/>
  <c r="H1633" i="25"/>
  <c r="J1633" i="25" s="1"/>
  <c r="H1634" i="25"/>
  <c r="J1634" i="25" s="1"/>
  <c r="H1635" i="25"/>
  <c r="J1635" i="25" s="1"/>
  <c r="H1636" i="25"/>
  <c r="J1636" i="25" s="1"/>
  <c r="H1596" i="25"/>
  <c r="J1596" i="25" s="1"/>
  <c r="H1597" i="25"/>
  <c r="J1597" i="25" s="1"/>
  <c r="H1598" i="25"/>
  <c r="J1598" i="25" s="1"/>
  <c r="H1599" i="25"/>
  <c r="J1599" i="25" s="1"/>
  <c r="H1609" i="25"/>
  <c r="J1609" i="25" s="1"/>
  <c r="H1610" i="25"/>
  <c r="J1610" i="25" s="1"/>
  <c r="H1611" i="25"/>
  <c r="J1611" i="25" s="1"/>
  <c r="H1367" i="25"/>
  <c r="J1367" i="25" s="1"/>
  <c r="H23" i="25"/>
  <c r="J23" i="25" s="1"/>
  <c r="H24" i="25"/>
  <c r="J24" i="25" s="1"/>
  <c r="H25" i="25"/>
  <c r="J25" i="25" s="1"/>
  <c r="H29" i="25"/>
  <c r="J29" i="25" s="1"/>
  <c r="H30" i="25"/>
  <c r="J30" i="25" s="1"/>
  <c r="H31" i="25"/>
  <c r="J31" i="25" s="1"/>
  <c r="H32" i="25"/>
  <c r="J32" i="25" s="1"/>
  <c r="H33" i="25"/>
  <c r="J33" i="25" s="1"/>
  <c r="H43" i="25"/>
  <c r="J43" i="25" s="1"/>
  <c r="H42" i="25"/>
  <c r="J42" i="25" s="1"/>
  <c r="H41" i="25"/>
  <c r="J41" i="25" s="1"/>
  <c r="H40" i="25"/>
  <c r="J40" i="25" s="1"/>
  <c r="H39" i="25"/>
  <c r="J39" i="25" s="1"/>
  <c r="D2042" i="25"/>
  <c r="D2015" i="25"/>
  <c r="H2015" i="25" s="1"/>
  <c r="G1986" i="25"/>
  <c r="F1986" i="25"/>
  <c r="E1986" i="25"/>
  <c r="D1986" i="25"/>
  <c r="G1971" i="25"/>
  <c r="E1971" i="25"/>
  <c r="D1965" i="25"/>
  <c r="D1954" i="25"/>
  <c r="G1944" i="25"/>
  <c r="E1944" i="25"/>
  <c r="D1938" i="25"/>
  <c r="H1938" i="25" s="1"/>
  <c r="J1938" i="25" s="1"/>
  <c r="G1934" i="25"/>
  <c r="F1934" i="25"/>
  <c r="E1934" i="25"/>
  <c r="D1934" i="25"/>
  <c r="D1925" i="25"/>
  <c r="G1924" i="25"/>
  <c r="F1924" i="25"/>
  <c r="E1924" i="25"/>
  <c r="D1924" i="25"/>
  <c r="D1923" i="25"/>
  <c r="H1896" i="25"/>
  <c r="J1896" i="25" s="1"/>
  <c r="F1871" i="25"/>
  <c r="D1871" i="25"/>
  <c r="G1851" i="25"/>
  <c r="F1851" i="25"/>
  <c r="E1851" i="25"/>
  <c r="D1851" i="25"/>
  <c r="F1742" i="25"/>
  <c r="G1742" i="25"/>
  <c r="G1741" i="25"/>
  <c r="F1741" i="25"/>
  <c r="E1741" i="25"/>
  <c r="D1741" i="25"/>
  <c r="G1738" i="25"/>
  <c r="F1738" i="25"/>
  <c r="E1738" i="25"/>
  <c r="D1738" i="25"/>
  <c r="G1717" i="25"/>
  <c r="F1717" i="25"/>
  <c r="E1717" i="25"/>
  <c r="D1717" i="25"/>
  <c r="G1710" i="25"/>
  <c r="F1710" i="25"/>
  <c r="E1710" i="25"/>
  <c r="D1710" i="25"/>
  <c r="H1687" i="25"/>
  <c r="J1687" i="25" s="1"/>
  <c r="H1681" i="25"/>
  <c r="J1681" i="25" s="1"/>
  <c r="H1679" i="25"/>
  <c r="J1679" i="25" s="1"/>
  <c r="H1671" i="25"/>
  <c r="D1663" i="25"/>
  <c r="D1657" i="25"/>
  <c r="H1657" i="25" s="1"/>
  <c r="F1655" i="25"/>
  <c r="D1655" i="25"/>
  <c r="G1653" i="25"/>
  <c r="F1653" i="25"/>
  <c r="E1653" i="25"/>
  <c r="D1653" i="25"/>
  <c r="D1651" i="25"/>
  <c r="H1651" i="25" s="1"/>
  <c r="J1651" i="25" s="1"/>
  <c r="D1649" i="25"/>
  <c r="H1649" i="25" s="1"/>
  <c r="J1649" i="25" s="1"/>
  <c r="H1648" i="25"/>
  <c r="J1648" i="25" s="1"/>
  <c r="D1647" i="25"/>
  <c r="H1647" i="25" s="1"/>
  <c r="J1647" i="25" s="1"/>
  <c r="F1644" i="25"/>
  <c r="D1644" i="25"/>
  <c r="F1643" i="25"/>
  <c r="D1643" i="25"/>
  <c r="G1641" i="25"/>
  <c r="F1641" i="25"/>
  <c r="E1641" i="25"/>
  <c r="D1641" i="25"/>
  <c r="F1640" i="25"/>
  <c r="D1640" i="25"/>
  <c r="G1639" i="25"/>
  <c r="E1639" i="25"/>
  <c r="H1605" i="25"/>
  <c r="J1605" i="25" s="1"/>
  <c r="H1604" i="25"/>
  <c r="J1604" i="25" s="1"/>
  <c r="H1593" i="25"/>
  <c r="J1593" i="25" s="1"/>
  <c r="H1581" i="25"/>
  <c r="J1581" i="25" s="1"/>
  <c r="H1577" i="25"/>
  <c r="J1577" i="25" s="1"/>
  <c r="H1569" i="25"/>
  <c r="J1569" i="25" s="1"/>
  <c r="H1567" i="25"/>
  <c r="J1567" i="25" s="1"/>
  <c r="H1566" i="25"/>
  <c r="J1566" i="25" s="1"/>
  <c r="G1565" i="25"/>
  <c r="E1565" i="25"/>
  <c r="D1556" i="25"/>
  <c r="H1556" i="25" s="1"/>
  <c r="J1556" i="25" s="1"/>
  <c r="H1551" i="25"/>
  <c r="J1551" i="25" s="1"/>
  <c r="H1550" i="25"/>
  <c r="J1550" i="25" s="1"/>
  <c r="H1548" i="25"/>
  <c r="J1548" i="25" s="1"/>
  <c r="H1544" i="25"/>
  <c r="J1544" i="25" s="1"/>
  <c r="H1538" i="25"/>
  <c r="J1538" i="25" s="1"/>
  <c r="D1520" i="25"/>
  <c r="H1520" i="25" s="1"/>
  <c r="J1520" i="25" s="1"/>
  <c r="H1518" i="25"/>
  <c r="J1518" i="25" s="1"/>
  <c r="H1517" i="25"/>
  <c r="J1517" i="25" s="1"/>
  <c r="D1504" i="25"/>
  <c r="H1504" i="25" s="1"/>
  <c r="J1504" i="25" s="1"/>
  <c r="D1503" i="25"/>
  <c r="H1503" i="25" s="1"/>
  <c r="J1503" i="25" s="1"/>
  <c r="D1431" i="25"/>
  <c r="D1426" i="25"/>
  <c r="D1423" i="25"/>
  <c r="H1423" i="25" s="1"/>
  <c r="J1423" i="25" s="1"/>
  <c r="D1422" i="25"/>
  <c r="H1422" i="25" s="1"/>
  <c r="J1422" i="25" s="1"/>
  <c r="H1416" i="25"/>
  <c r="J1416" i="25" s="1"/>
  <c r="H1415" i="25"/>
  <c r="J1415" i="25" s="1"/>
  <c r="H1382" i="25"/>
  <c r="J1382" i="25" s="1"/>
  <c r="H1379" i="25"/>
  <c r="J1379" i="25" s="1"/>
  <c r="D1365" i="25"/>
  <c r="H1365" i="25" s="1"/>
  <c r="J1365" i="25" s="1"/>
  <c r="D1346" i="25"/>
  <c r="H1346" i="25" s="1"/>
  <c r="J1346" i="25" s="1"/>
  <c r="D1343" i="25"/>
  <c r="H1343" i="25" s="1"/>
  <c r="J1343" i="25" s="1"/>
  <c r="D1339" i="25"/>
  <c r="H1339" i="25" s="1"/>
  <c r="J1339" i="25" s="1"/>
  <c r="F1338" i="25"/>
  <c r="D1338" i="25"/>
  <c r="F1296" i="25"/>
  <c r="H1296" i="25" s="1"/>
  <c r="F1295" i="25"/>
  <c r="H1295" i="25" s="1"/>
  <c r="F1294" i="25"/>
  <c r="H1294" i="25" s="1"/>
  <c r="H1327" i="25"/>
  <c r="F1326" i="25"/>
  <c r="H1326" i="25" s="1"/>
  <c r="H1338" i="25" l="1"/>
  <c r="J1338" i="25" s="1"/>
  <c r="H1438" i="25"/>
  <c r="J1438" i="25" s="1"/>
  <c r="H1495" i="25"/>
  <c r="J1495" i="25" s="1"/>
  <c r="H1496" i="25"/>
  <c r="J1496" i="25" s="1"/>
  <c r="H1497" i="25"/>
  <c r="J1497" i="25" s="1"/>
  <c r="H1498" i="25"/>
  <c r="J1498" i="25" s="1"/>
  <c r="H1553" i="25"/>
  <c r="J1553" i="25" s="1"/>
  <c r="H1572" i="25"/>
  <c r="H1582" i="25"/>
  <c r="J1582" i="25" s="1"/>
  <c r="H1565" i="25"/>
  <c r="H1381" i="25"/>
  <c r="J1381" i="25" s="1"/>
  <c r="H1436" i="25"/>
  <c r="J1436" i="25" s="1"/>
  <c r="H1499" i="25"/>
  <c r="J1499" i="25" s="1"/>
  <c r="H1574" i="25"/>
  <c r="J1574" i="25" s="1"/>
  <c r="H1369" i="25"/>
  <c r="J1369" i="25" s="1"/>
  <c r="H1373" i="25"/>
  <c r="J1373" i="25" s="1"/>
  <c r="H1530" i="25"/>
  <c r="J1530" i="25" s="1"/>
  <c r="H1579" i="25"/>
  <c r="J1579" i="25" s="1"/>
  <c r="H1494" i="25"/>
  <c r="J1494" i="25" s="1"/>
  <c r="H1576" i="25"/>
  <c r="H1903" i="25"/>
  <c r="H1906" i="25"/>
  <c r="J1906" i="25" s="1"/>
  <c r="H1602" i="25"/>
  <c r="J1602" i="25" s="1"/>
  <c r="H1640" i="25"/>
  <c r="J1640" i="25" s="1"/>
  <c r="H1644" i="25"/>
  <c r="J1644" i="25" s="1"/>
  <c r="H1719" i="25"/>
  <c r="J1719" i="25" s="1"/>
  <c r="H1641" i="25"/>
  <c r="J1641" i="25" s="1"/>
  <c r="H1643" i="25"/>
  <c r="J1643" i="25" s="1"/>
  <c r="H1653" i="25"/>
  <c r="J1653" i="25" s="1"/>
  <c r="H1654" i="25"/>
  <c r="J1654" i="25" s="1"/>
  <c r="H1655" i="25"/>
  <c r="J1655" i="25" s="1"/>
  <c r="H1672" i="25"/>
  <c r="J1672" i="25" s="1"/>
  <c r="H1673" i="25"/>
  <c r="J1673" i="25" s="1"/>
  <c r="H1674" i="25"/>
  <c r="J1674" i="25" s="1"/>
  <c r="H1676" i="25"/>
  <c r="J1676" i="25" s="1"/>
  <c r="H1677" i="25"/>
  <c r="J1677" i="25" s="1"/>
  <c r="H1678" i="25"/>
  <c r="J1678" i="25" s="1"/>
  <c r="H1680" i="25"/>
  <c r="J1680" i="25" s="1"/>
  <c r="H1724" i="25"/>
  <c r="J1724" i="25" s="1"/>
  <c r="H1725" i="25"/>
  <c r="J1725" i="25" s="1"/>
  <c r="H1726" i="25"/>
  <c r="J1726" i="25" s="1"/>
  <c r="H1727" i="25"/>
  <c r="J1727" i="25" s="1"/>
  <c r="H1728" i="25"/>
  <c r="J1728" i="25" s="1"/>
  <c r="H1729" i="25"/>
  <c r="J1729" i="25" s="1"/>
  <c r="H1898" i="25"/>
  <c r="H1886" i="25"/>
  <c r="J1886" i="25" s="1"/>
  <c r="H1688" i="25"/>
  <c r="J1688" i="25" s="1"/>
  <c r="H1904" i="25"/>
  <c r="J1904" i="25" s="1"/>
  <c r="H1986" i="25"/>
  <c r="J1986" i="25" s="1"/>
  <c r="H1735" i="25"/>
  <c r="J1735" i="25" s="1"/>
  <c r="H1738" i="25"/>
  <c r="H1891" i="25"/>
  <c r="H1639" i="25"/>
  <c r="J1639" i="25" s="1"/>
  <c r="H1717" i="25"/>
  <c r="J1717" i="25" s="1"/>
  <c r="H1720" i="25"/>
  <c r="J1720" i="25" s="1"/>
  <c r="H1827" i="25"/>
  <c r="J1827" i="25" s="1"/>
  <c r="H1851" i="25"/>
  <c r="J1851" i="25" s="1"/>
  <c r="H1899" i="25"/>
  <c r="J1899" i="25" s="1"/>
  <c r="H1670" i="25"/>
  <c r="J1670" i="25" s="1"/>
  <c r="H1689" i="25"/>
  <c r="J1689" i="25" s="1"/>
  <c r="H1690" i="25"/>
  <c r="J1690" i="25" s="1"/>
  <c r="H1691" i="25"/>
  <c r="J1691" i="25" s="1"/>
  <c r="H1692" i="25"/>
  <c r="J1692" i="25" s="1"/>
  <c r="H1697" i="25"/>
  <c r="J1697" i="25" s="1"/>
  <c r="H1698" i="25"/>
  <c r="J1698" i="25" s="1"/>
  <c r="H1701" i="25"/>
  <c r="J1701" i="25" s="1"/>
  <c r="H1702" i="25"/>
  <c r="J1702" i="25" s="1"/>
  <c r="H1703" i="25"/>
  <c r="J1703" i="25" s="1"/>
  <c r="H1704" i="25"/>
  <c r="J1704" i="25" s="1"/>
  <c r="H1705" i="25"/>
  <c r="J1705" i="25" s="1"/>
  <c r="H1707" i="25"/>
  <c r="J1707" i="25" s="1"/>
  <c r="H1710" i="25"/>
  <c r="J1710" i="25" s="1"/>
  <c r="H1711" i="25"/>
  <c r="J1711" i="25" s="1"/>
  <c r="H1712" i="25"/>
  <c r="J1712" i="25" s="1"/>
  <c r="H1713" i="25"/>
  <c r="J1713" i="25" s="1"/>
  <c r="H1714" i="25"/>
  <c r="J1714" i="25" s="1"/>
  <c r="H1715" i="25"/>
  <c r="J1715" i="25" s="1"/>
  <c r="H1730" i="25"/>
  <c r="J1730" i="25" s="1"/>
  <c r="H1731" i="25"/>
  <c r="J1731" i="25" s="1"/>
  <c r="H1732" i="25"/>
  <c r="J1732" i="25" s="1"/>
  <c r="H1733" i="25"/>
  <c r="J1733" i="25" s="1"/>
  <c r="H1887" i="25"/>
  <c r="J1887" i="25" s="1"/>
  <c r="H1905" i="25"/>
  <c r="J1905" i="25" s="1"/>
  <c r="H1742" i="25"/>
  <c r="H1741" i="25"/>
  <c r="H1890" i="25"/>
  <c r="J1890" i="25" s="1"/>
  <c r="H1684" i="25"/>
  <c r="J1684" i="25" s="1"/>
  <c r="H1889" i="25"/>
  <c r="J1889" i="25" s="1"/>
  <c r="H1324" i="25"/>
  <c r="H1323" i="25"/>
  <c r="H1322" i="25"/>
  <c r="H1321" i="25"/>
  <c r="H1320" i="25"/>
  <c r="H1319" i="25"/>
  <c r="H1318" i="25"/>
  <c r="H1309" i="25"/>
  <c r="H1308" i="25"/>
  <c r="H1307" i="25"/>
  <c r="H1292" i="25"/>
  <c r="E1284" i="25"/>
  <c r="H1284" i="25" s="1"/>
  <c r="E1283" i="25"/>
  <c r="H1283" i="25" s="1"/>
  <c r="G1282" i="25"/>
  <c r="E1282" i="25"/>
  <c r="E1281" i="25"/>
  <c r="H1281" i="25" s="1"/>
  <c r="G1280" i="25"/>
  <c r="E1280" i="25"/>
  <c r="G1279" i="25"/>
  <c r="E1279" i="25"/>
  <c r="H1278" i="25"/>
  <c r="G1262" i="25"/>
  <c r="F1262" i="25"/>
  <c r="E1262" i="25"/>
  <c r="D1260" i="25"/>
  <c r="F1260" i="25"/>
  <c r="G1272" i="25"/>
  <c r="E1272" i="25"/>
  <c r="G1271" i="25"/>
  <c r="E1271" i="25"/>
  <c r="F1269" i="25"/>
  <c r="D1269" i="25"/>
  <c r="G1268" i="25"/>
  <c r="D1268" i="25"/>
  <c r="G1263" i="25"/>
  <c r="E1263" i="25"/>
  <c r="F1237" i="25"/>
  <c r="D1237" i="25"/>
  <c r="F1234" i="25"/>
  <c r="H1234" i="25" s="1"/>
  <c r="J1234" i="25" s="1"/>
  <c r="F1233" i="25"/>
  <c r="H1233" i="25" s="1"/>
  <c r="J1233" i="25" s="1"/>
  <c r="F1229" i="25"/>
  <c r="D1229" i="25"/>
  <c r="G1228" i="25"/>
  <c r="F1228" i="25"/>
  <c r="E1228" i="25"/>
  <c r="D1228" i="25"/>
  <c r="G1227" i="25"/>
  <c r="F1227" i="25"/>
  <c r="E1227" i="25"/>
  <c r="D1227" i="25"/>
  <c r="F1226" i="25"/>
  <c r="D1226" i="25"/>
  <c r="D1225" i="25"/>
  <c r="H1225" i="25" s="1"/>
  <c r="J1225" i="25" s="1"/>
  <c r="D1224" i="25"/>
  <c r="H1224" i="25" s="1"/>
  <c r="J1224" i="25" s="1"/>
  <c r="E1222" i="25"/>
  <c r="D1222" i="25"/>
  <c r="F1217" i="25"/>
  <c r="H1217" i="25" s="1"/>
  <c r="J1217" i="25" s="1"/>
  <c r="G1208" i="25"/>
  <c r="F1208" i="25"/>
  <c r="E1208" i="25"/>
  <c r="F1207" i="25"/>
  <c r="H1207" i="25" s="1"/>
  <c r="J1207" i="25" s="1"/>
  <c r="F1206" i="25"/>
  <c r="H1206" i="25" s="1"/>
  <c r="J1206" i="25" s="1"/>
  <c r="D1205" i="25"/>
  <c r="H1205" i="25" s="1"/>
  <c r="J1205" i="25" s="1"/>
  <c r="E1204" i="25"/>
  <c r="D1204" i="25"/>
  <c r="E1202" i="25"/>
  <c r="H1202" i="25" s="1"/>
  <c r="J1202" i="25" s="1"/>
  <c r="D1201" i="25"/>
  <c r="H1201" i="25" s="1"/>
  <c r="J1201" i="25" s="1"/>
  <c r="D1200" i="25"/>
  <c r="H1200" i="25" s="1"/>
  <c r="J1200" i="25" s="1"/>
  <c r="E1199" i="25"/>
  <c r="H1199" i="25" s="1"/>
  <c r="J1199" i="25" s="1"/>
  <c r="H1195" i="25"/>
  <c r="J1195" i="25" s="1"/>
  <c r="G1193" i="25"/>
  <c r="E1193" i="25"/>
  <c r="D1192" i="25"/>
  <c r="H1192" i="25" s="1"/>
  <c r="J1192" i="25" s="1"/>
  <c r="H1191" i="25"/>
  <c r="J1191" i="25" s="1"/>
  <c r="G1190" i="25"/>
  <c r="F1190" i="25"/>
  <c r="E1190" i="25"/>
  <c r="D1190" i="25"/>
  <c r="G1189" i="25"/>
  <c r="F1189" i="25"/>
  <c r="E1189" i="25"/>
  <c r="D1189" i="25"/>
  <c r="D1188" i="25"/>
  <c r="H1188" i="25" s="1"/>
  <c r="J1188" i="25" s="1"/>
  <c r="D1187" i="25"/>
  <c r="H1187" i="25" s="1"/>
  <c r="J1187" i="25" s="1"/>
  <c r="F1182" i="25"/>
  <c r="D1182" i="25"/>
  <c r="F1180" i="25"/>
  <c r="D1180" i="25"/>
  <c r="F1179" i="25"/>
  <c r="D1179" i="25"/>
  <c r="F1178" i="25"/>
  <c r="D1178" i="25"/>
  <c r="F1177" i="25"/>
  <c r="D1177" i="25"/>
  <c r="F1176" i="25"/>
  <c r="D1176" i="25"/>
  <c r="F1175" i="25"/>
  <c r="D1175" i="25"/>
  <c r="F1174" i="25"/>
  <c r="D1174" i="25"/>
  <c r="F1173" i="25"/>
  <c r="D1173" i="25"/>
  <c r="F1172" i="25"/>
  <c r="D1172" i="25"/>
  <c r="H1171" i="25"/>
  <c r="J1171" i="25" s="1"/>
  <c r="G1166" i="25"/>
  <c r="F1166" i="25"/>
  <c r="E1166" i="25"/>
  <c r="D1166" i="25"/>
  <c r="F1165" i="25"/>
  <c r="D1165" i="25"/>
  <c r="G1158" i="25"/>
  <c r="F1158" i="25"/>
  <c r="E1158" i="25"/>
  <c r="D1158" i="25"/>
  <c r="F1157" i="25"/>
  <c r="D1157" i="25"/>
  <c r="F1154" i="25"/>
  <c r="D1154" i="25"/>
  <c r="G1153" i="25"/>
  <c r="F1153" i="25"/>
  <c r="E1153" i="25"/>
  <c r="D1153" i="25"/>
  <c r="F1152" i="25"/>
  <c r="D1152" i="25"/>
  <c r="G1151" i="25"/>
  <c r="F1151" i="25"/>
  <c r="E1151" i="25"/>
  <c r="D1151" i="25"/>
  <c r="G1125" i="25"/>
  <c r="F1125" i="25"/>
  <c r="E1125" i="25"/>
  <c r="D1125" i="25"/>
  <c r="D1123" i="25"/>
  <c r="H1123" i="25" s="1"/>
  <c r="J1123" i="25" s="1"/>
  <c r="D1122" i="25"/>
  <c r="H1122" i="25" s="1"/>
  <c r="J1122" i="25" s="1"/>
  <c r="F1120" i="25"/>
  <c r="D1120" i="25"/>
  <c r="H1107" i="25"/>
  <c r="J1107" i="25" s="1"/>
  <c r="D1103" i="25"/>
  <c r="H1103" i="25" s="1"/>
  <c r="J1103" i="25" s="1"/>
  <c r="D1102" i="25"/>
  <c r="H1102" i="25" s="1"/>
  <c r="J1102" i="25" s="1"/>
  <c r="D1101" i="25"/>
  <c r="H1101" i="25" s="1"/>
  <c r="J1101" i="25" s="1"/>
  <c r="D1100" i="25"/>
  <c r="H1100" i="25" s="1"/>
  <c r="J1100" i="25" s="1"/>
  <c r="D1099" i="25"/>
  <c r="H1099" i="25" s="1"/>
  <c r="J1099" i="25" s="1"/>
  <c r="G1098" i="25"/>
  <c r="F1098" i="25"/>
  <c r="E1098" i="25"/>
  <c r="D1098" i="25"/>
  <c r="G1092" i="25"/>
  <c r="F1092" i="25"/>
  <c r="E1092" i="25"/>
  <c r="D1092" i="25"/>
  <c r="G1091" i="25"/>
  <c r="F1091" i="25"/>
  <c r="E1091" i="25"/>
  <c r="D1091" i="25"/>
  <c r="G1090" i="25"/>
  <c r="F1090" i="25"/>
  <c r="E1090" i="25"/>
  <c r="D1090" i="25"/>
  <c r="H1087" i="25"/>
  <c r="J1087" i="25" s="1"/>
  <c r="G1084" i="25"/>
  <c r="F1084" i="25"/>
  <c r="E1084" i="25"/>
  <c r="D1084" i="25"/>
  <c r="G1083" i="25"/>
  <c r="F1083" i="25"/>
  <c r="E1083" i="25"/>
  <c r="D1083" i="25"/>
  <c r="G1081" i="25"/>
  <c r="F1081" i="25"/>
  <c r="E1081" i="25"/>
  <c r="D1081" i="25"/>
  <c r="G1080" i="25"/>
  <c r="F1080" i="25"/>
  <c r="E1080" i="25"/>
  <c r="D1080" i="25"/>
  <c r="G1065" i="25"/>
  <c r="F1065" i="25"/>
  <c r="E1065" i="25"/>
  <c r="D1065" i="25"/>
  <c r="G1064" i="25"/>
  <c r="F1064" i="25"/>
  <c r="E1064" i="25"/>
  <c r="D1064" i="25"/>
  <c r="G1063" i="25"/>
  <c r="F1063" i="25"/>
  <c r="E1063" i="25"/>
  <c r="D1063" i="25"/>
  <c r="D1043" i="25"/>
  <c r="H1043" i="25" s="1"/>
  <c r="J1043" i="25" s="1"/>
  <c r="D1030" i="25"/>
  <c r="H1030" i="25" s="1"/>
  <c r="J1030" i="25" s="1"/>
  <c r="D1029" i="25"/>
  <c r="H1029" i="25" s="1"/>
  <c r="J1029" i="25" s="1"/>
  <c r="D1028" i="25"/>
  <c r="H1028" i="25" s="1"/>
  <c r="J1028" i="25" s="1"/>
  <c r="D1027" i="25"/>
  <c r="H1027" i="25" s="1"/>
  <c r="J1027" i="25" s="1"/>
  <c r="G1026" i="25"/>
  <c r="F1026" i="25"/>
  <c r="E1026" i="25"/>
  <c r="D1026" i="25"/>
  <c r="D1024" i="25"/>
  <c r="H1024" i="25" s="1"/>
  <c r="J1024" i="25" s="1"/>
  <c r="D1023" i="25"/>
  <c r="H1023" i="25" s="1"/>
  <c r="J1023" i="25" s="1"/>
  <c r="D1022" i="25"/>
  <c r="H1022" i="25" s="1"/>
  <c r="J1022" i="25" s="1"/>
  <c r="D1020" i="25"/>
  <c r="G1016" i="25"/>
  <c r="F1016" i="25"/>
  <c r="E1016" i="25"/>
  <c r="D1016" i="25"/>
  <c r="G1015" i="25"/>
  <c r="F1015" i="25"/>
  <c r="E1015" i="25"/>
  <c r="G1014" i="25"/>
  <c r="F1014" i="25"/>
  <c r="E1014" i="25"/>
  <c r="D1014" i="25"/>
  <c r="G1013" i="25"/>
  <c r="F1013" i="25"/>
  <c r="E1013" i="25"/>
  <c r="E1012" i="25"/>
  <c r="D1012" i="25"/>
  <c r="G1012" i="25"/>
  <c r="F1012" i="25"/>
  <c r="G1011" i="25"/>
  <c r="F1011" i="25"/>
  <c r="E1011" i="25"/>
  <c r="G1010" i="25"/>
  <c r="F1010" i="25"/>
  <c r="E1010" i="25"/>
  <c r="G1009" i="25"/>
  <c r="F1009" i="25"/>
  <c r="E1009" i="25"/>
  <c r="D1009" i="25"/>
  <c r="F1006" i="25"/>
  <c r="D1006" i="25"/>
  <c r="G982" i="25"/>
  <c r="F982" i="25"/>
  <c r="E982" i="25"/>
  <c r="D982" i="25"/>
  <c r="G981" i="25"/>
  <c r="F981" i="25"/>
  <c r="E981" i="25"/>
  <c r="D981" i="25"/>
  <c r="G980" i="25"/>
  <c r="F980" i="25"/>
  <c r="E980" i="25"/>
  <c r="D980" i="25"/>
  <c r="G978" i="25"/>
  <c r="F978" i="25"/>
  <c r="E978" i="25"/>
  <c r="D978" i="25"/>
  <c r="G977" i="25"/>
  <c r="F977" i="25"/>
  <c r="E977" i="25"/>
  <c r="D977" i="25"/>
  <c r="G976" i="25"/>
  <c r="F976" i="25"/>
  <c r="E976" i="25"/>
  <c r="D976" i="25"/>
  <c r="G974" i="25"/>
  <c r="F974" i="25"/>
  <c r="E974" i="25"/>
  <c r="D974" i="25"/>
  <c r="G973" i="25"/>
  <c r="F973" i="25"/>
  <c r="E973" i="25"/>
  <c r="D973" i="25"/>
  <c r="G972" i="25"/>
  <c r="F972" i="25"/>
  <c r="E972" i="25"/>
  <c r="D972" i="25"/>
  <c r="G971" i="25"/>
  <c r="F971" i="25"/>
  <c r="E971" i="25"/>
  <c r="D971" i="25"/>
  <c r="G970" i="25"/>
  <c r="F970" i="25"/>
  <c r="E970" i="25"/>
  <c r="D970" i="25"/>
  <c r="G969" i="25"/>
  <c r="F969" i="25"/>
  <c r="E969" i="25"/>
  <c r="G968" i="25"/>
  <c r="F968" i="25"/>
  <c r="E968" i="25"/>
  <c r="D968" i="25"/>
  <c r="D969" i="25"/>
  <c r="G967" i="25"/>
  <c r="F967" i="25"/>
  <c r="E967" i="25"/>
  <c r="D967" i="25"/>
  <c r="G964" i="25"/>
  <c r="F964" i="25"/>
  <c r="E964" i="25"/>
  <c r="D964" i="25"/>
  <c r="G961" i="25"/>
  <c r="F961" i="25"/>
  <c r="E961" i="25"/>
  <c r="D961" i="25"/>
  <c r="G956" i="25"/>
  <c r="F956" i="25"/>
  <c r="E956" i="25"/>
  <c r="D956" i="25"/>
  <c r="G937" i="25"/>
  <c r="F937" i="25"/>
  <c r="E937" i="25"/>
  <c r="D937" i="25"/>
  <c r="G936" i="25"/>
  <c r="F936" i="25"/>
  <c r="E936" i="25"/>
  <c r="D936" i="25"/>
  <c r="G935" i="25"/>
  <c r="F935" i="25"/>
  <c r="E935" i="25"/>
  <c r="D935" i="25"/>
  <c r="G934" i="25"/>
  <c r="F934" i="25"/>
  <c r="E934" i="25"/>
  <c r="D934" i="25"/>
  <c r="G933" i="25"/>
  <c r="F933" i="25"/>
  <c r="E933" i="25"/>
  <c r="D933" i="25"/>
  <c r="G932" i="25"/>
  <c r="F932" i="25"/>
  <c r="E932" i="25"/>
  <c r="D932" i="25"/>
  <c r="G931" i="25"/>
  <c r="F931" i="25"/>
  <c r="E931" i="25"/>
  <c r="D931" i="25"/>
  <c r="H928" i="25"/>
  <c r="J928" i="25" s="1"/>
  <c r="D922" i="25"/>
  <c r="H922" i="25" s="1"/>
  <c r="J922" i="25" s="1"/>
  <c r="D920" i="25"/>
  <c r="H920" i="25" s="1"/>
  <c r="J920" i="25" s="1"/>
  <c r="D919" i="25"/>
  <c r="H919" i="25" s="1"/>
  <c r="J919" i="25" s="1"/>
  <c r="D917" i="25"/>
  <c r="H917" i="25" s="1"/>
  <c r="J917" i="25" s="1"/>
  <c r="G911" i="25"/>
  <c r="D911" i="25"/>
  <c r="G910" i="25"/>
  <c r="F910" i="25"/>
  <c r="E910" i="25"/>
  <c r="D910" i="25"/>
  <c r="D909" i="25"/>
  <c r="H909" i="25" s="1"/>
  <c r="D908" i="25"/>
  <c r="H908" i="25" s="1"/>
  <c r="J908" i="25" s="1"/>
  <c r="D907" i="25"/>
  <c r="H907" i="25" s="1"/>
  <c r="J907" i="25" s="1"/>
  <c r="D906" i="25"/>
  <c r="H906" i="25" s="1"/>
  <c r="J906" i="25" s="1"/>
  <c r="D905" i="25"/>
  <c r="H905" i="25" s="1"/>
  <c r="J905" i="25" s="1"/>
  <c r="D904" i="25"/>
  <c r="H904" i="25" s="1"/>
  <c r="D903" i="25"/>
  <c r="H903" i="25" s="1"/>
  <c r="D901" i="25"/>
  <c r="H901" i="25" s="1"/>
  <c r="D900" i="25"/>
  <c r="H900" i="25" s="1"/>
  <c r="D896" i="25"/>
  <c r="H896" i="25" s="1"/>
  <c r="D895" i="25"/>
  <c r="H895" i="25" s="1"/>
  <c r="G894" i="25"/>
  <c r="F894" i="25"/>
  <c r="E894" i="25"/>
  <c r="D894" i="25"/>
  <c r="F892" i="25"/>
  <c r="D892" i="25"/>
  <c r="G829" i="25"/>
  <c r="F829" i="25"/>
  <c r="E829" i="25"/>
  <c r="D829" i="25"/>
  <c r="G828" i="25"/>
  <c r="F828" i="25"/>
  <c r="E828" i="25"/>
  <c r="D828" i="25"/>
  <c r="G827" i="25"/>
  <c r="F827" i="25"/>
  <c r="E827" i="25"/>
  <c r="D827" i="25"/>
  <c r="G826" i="25"/>
  <c r="F826" i="25"/>
  <c r="E826" i="25"/>
  <c r="D826" i="25"/>
  <c r="G825" i="25"/>
  <c r="F825" i="25"/>
  <c r="E825" i="25"/>
  <c r="D825" i="25"/>
  <c r="G824" i="25"/>
  <c r="F824" i="25"/>
  <c r="E824" i="25"/>
  <c r="D824" i="25"/>
  <c r="G822" i="25"/>
  <c r="F822" i="25"/>
  <c r="E822" i="25"/>
  <c r="D822" i="25"/>
  <c r="G820" i="25"/>
  <c r="F820" i="25"/>
  <c r="E820" i="25"/>
  <c r="D820" i="25"/>
  <c r="G819" i="25"/>
  <c r="F819" i="25"/>
  <c r="E819" i="25"/>
  <c r="D819" i="25"/>
  <c r="F818" i="25"/>
  <c r="D818" i="25"/>
  <c r="G817" i="25"/>
  <c r="F817" i="25"/>
  <c r="E817" i="25"/>
  <c r="D817" i="25"/>
  <c r="F816" i="25"/>
  <c r="D816" i="25"/>
  <c r="G815" i="25"/>
  <c r="F815" i="25"/>
  <c r="E815" i="25"/>
  <c r="D815" i="25"/>
  <c r="G814" i="25"/>
  <c r="F814" i="25"/>
  <c r="E814" i="25"/>
  <c r="D814" i="25"/>
  <c r="F812" i="25"/>
  <c r="D812" i="25"/>
  <c r="G811" i="25"/>
  <c r="F811" i="25"/>
  <c r="E811" i="25"/>
  <c r="D811" i="25"/>
  <c r="D810" i="25"/>
  <c r="H810" i="25" s="1"/>
  <c r="G809" i="25"/>
  <c r="F809" i="25"/>
  <c r="E809" i="25"/>
  <c r="D809" i="25"/>
  <c r="G808" i="25"/>
  <c r="F808" i="25"/>
  <c r="E808" i="25"/>
  <c r="D808" i="25"/>
  <c r="G806" i="25"/>
  <c r="F806" i="25"/>
  <c r="E806" i="25"/>
  <c r="D806" i="25"/>
  <c r="G805" i="25"/>
  <c r="F805" i="25"/>
  <c r="E805" i="25"/>
  <c r="D805" i="25"/>
  <c r="G791" i="25"/>
  <c r="F791" i="25"/>
  <c r="E791" i="25"/>
  <c r="D791" i="25"/>
  <c r="G790" i="25"/>
  <c r="F790" i="25"/>
  <c r="E790" i="25"/>
  <c r="D790" i="25"/>
  <c r="G785" i="25"/>
  <c r="F785" i="25"/>
  <c r="E785" i="25"/>
  <c r="D785" i="25"/>
  <c r="F710" i="25"/>
  <c r="D710" i="25"/>
  <c r="D709" i="25"/>
  <c r="H709" i="25" s="1"/>
  <c r="J709" i="25" s="1"/>
  <c r="F707" i="25"/>
  <c r="D707" i="25"/>
  <c r="F706" i="25"/>
  <c r="D706" i="25"/>
  <c r="F705" i="25"/>
  <c r="D705" i="25"/>
  <c r="F704" i="25"/>
  <c r="D704" i="25"/>
  <c r="F703" i="25"/>
  <c r="D703" i="25"/>
  <c r="G702" i="25"/>
  <c r="F702" i="25"/>
  <c r="E702" i="25"/>
  <c r="D702" i="25"/>
  <c r="G701" i="25"/>
  <c r="F701" i="25"/>
  <c r="E701" i="25"/>
  <c r="D701" i="25"/>
  <c r="G700" i="25"/>
  <c r="F700" i="25"/>
  <c r="E700" i="25"/>
  <c r="D700" i="25"/>
  <c r="G699" i="25"/>
  <c r="F699" i="25"/>
  <c r="E699" i="25"/>
  <c r="D699" i="25"/>
  <c r="G698" i="25"/>
  <c r="F698" i="25"/>
  <c r="E698" i="25"/>
  <c r="D698" i="25"/>
  <c r="G697" i="25"/>
  <c r="F697" i="25"/>
  <c r="E697" i="25"/>
  <c r="D697" i="25"/>
  <c r="G621" i="25"/>
  <c r="F621" i="25"/>
  <c r="E621" i="25"/>
  <c r="D621" i="25"/>
  <c r="G620" i="25"/>
  <c r="F620" i="25"/>
  <c r="E620" i="25"/>
  <c r="D620" i="25"/>
  <c r="G619" i="25"/>
  <c r="F619" i="25"/>
  <c r="E619" i="25"/>
  <c r="D619" i="25"/>
  <c r="G618" i="25"/>
  <c r="F618" i="25"/>
  <c r="E618" i="25"/>
  <c r="D618" i="25"/>
  <c r="G617" i="25"/>
  <c r="F617" i="25"/>
  <c r="E617" i="25"/>
  <c r="D617" i="25"/>
  <c r="G616" i="25"/>
  <c r="F616" i="25"/>
  <c r="E616" i="25"/>
  <c r="D616" i="25"/>
  <c r="G596" i="25"/>
  <c r="F596" i="25"/>
  <c r="E596" i="25"/>
  <c r="D596" i="25"/>
  <c r="F595" i="25"/>
  <c r="D595" i="25"/>
  <c r="D577" i="25"/>
  <c r="H577" i="25" s="1"/>
  <c r="J577" i="25" s="1"/>
  <c r="G572" i="25"/>
  <c r="F572" i="25"/>
  <c r="E572" i="25"/>
  <c r="D572" i="25"/>
  <c r="G566" i="25"/>
  <c r="F566" i="25"/>
  <c r="E566" i="25"/>
  <c r="D566" i="25"/>
  <c r="G547" i="25"/>
  <c r="F547" i="25"/>
  <c r="E547" i="25"/>
  <c r="D547" i="25"/>
  <c r="G545" i="25"/>
  <c r="F545" i="25"/>
  <c r="E545" i="25"/>
  <c r="D545" i="25"/>
  <c r="G544" i="25"/>
  <c r="F544" i="25"/>
  <c r="E544" i="25"/>
  <c r="D544" i="25"/>
  <c r="G540" i="25"/>
  <c r="F540" i="25"/>
  <c r="E540" i="25"/>
  <c r="D540" i="25"/>
  <c r="G539" i="25"/>
  <c r="F539" i="25"/>
  <c r="E539" i="25"/>
  <c r="D539" i="25"/>
  <c r="G538" i="25"/>
  <c r="F538" i="25"/>
  <c r="E538" i="25"/>
  <c r="D538" i="25"/>
  <c r="G536" i="25"/>
  <c r="F536" i="25"/>
  <c r="E536" i="25"/>
  <c r="D536" i="25"/>
  <c r="G535" i="25"/>
  <c r="F535" i="25"/>
  <c r="E535" i="25"/>
  <c r="D535" i="25"/>
  <c r="G528" i="25"/>
  <c r="F528" i="25"/>
  <c r="E528" i="25"/>
  <c r="D528" i="25"/>
  <c r="G527" i="25"/>
  <c r="F527" i="25"/>
  <c r="E527" i="25"/>
  <c r="D527" i="25"/>
  <c r="G525" i="25"/>
  <c r="F525" i="25"/>
  <c r="E525" i="25"/>
  <c r="D525" i="25"/>
  <c r="G524" i="25"/>
  <c r="F524" i="25"/>
  <c r="E524" i="25"/>
  <c r="D524" i="25"/>
  <c r="G503" i="25"/>
  <c r="F503" i="25"/>
  <c r="E503" i="25"/>
  <c r="D503" i="25"/>
  <c r="G492" i="25"/>
  <c r="F492" i="25"/>
  <c r="E492" i="25"/>
  <c r="D492" i="25"/>
  <c r="G479" i="25"/>
  <c r="F479" i="25"/>
  <c r="E479" i="25"/>
  <c r="D479" i="25"/>
  <c r="G478" i="25"/>
  <c r="F478" i="25"/>
  <c r="E478" i="25"/>
  <c r="D478" i="25"/>
  <c r="G477" i="25"/>
  <c r="F477" i="25"/>
  <c r="E477" i="25"/>
  <c r="D477" i="25"/>
  <c r="G476" i="25"/>
  <c r="F476" i="25"/>
  <c r="E476" i="25"/>
  <c r="D476" i="25"/>
  <c r="G475" i="25"/>
  <c r="F475" i="25"/>
  <c r="E475" i="25"/>
  <c r="D475" i="25"/>
  <c r="G469" i="25"/>
  <c r="F469" i="25"/>
  <c r="E469" i="25"/>
  <c r="D469" i="25"/>
  <c r="D468" i="25"/>
  <c r="H468" i="25" s="1"/>
  <c r="J468" i="25" s="1"/>
  <c r="D467" i="25"/>
  <c r="H467" i="25" s="1"/>
  <c r="J467" i="25" s="1"/>
  <c r="G466" i="25"/>
  <c r="F466" i="25"/>
  <c r="E466" i="25"/>
  <c r="D466" i="25"/>
  <c r="G465" i="25"/>
  <c r="E465" i="25"/>
  <c r="F465" i="25"/>
  <c r="D465" i="25"/>
  <c r="E464" i="25"/>
  <c r="D464" i="25"/>
  <c r="G463" i="25"/>
  <c r="F463" i="25"/>
  <c r="E463" i="25"/>
  <c r="D463" i="25"/>
  <c r="D462" i="25"/>
  <c r="H462" i="25" s="1"/>
  <c r="J462" i="25" s="1"/>
  <c r="G459" i="25"/>
  <c r="F459" i="25"/>
  <c r="E459" i="25"/>
  <c r="D459" i="25"/>
  <c r="G457" i="25"/>
  <c r="F457" i="25"/>
  <c r="E457" i="25"/>
  <c r="D457" i="25"/>
  <c r="G456" i="25"/>
  <c r="F456" i="25"/>
  <c r="E456" i="25"/>
  <c r="D456" i="25"/>
  <c r="G454" i="25"/>
  <c r="F454" i="25"/>
  <c r="E454" i="25"/>
  <c r="G449" i="25"/>
  <c r="F449" i="25"/>
  <c r="E449" i="25"/>
  <c r="D449" i="25"/>
  <c r="G448" i="25"/>
  <c r="F448" i="25"/>
  <c r="E448" i="25"/>
  <c r="D448" i="25"/>
  <c r="G446" i="25"/>
  <c r="F446" i="25"/>
  <c r="E446" i="25"/>
  <c r="D446" i="25"/>
  <c r="G445" i="25"/>
  <c r="F445" i="25"/>
  <c r="E445" i="25"/>
  <c r="D445" i="25"/>
  <c r="G444" i="25"/>
  <c r="F444" i="25"/>
  <c r="E444" i="25"/>
  <c r="D444" i="25"/>
  <c r="G437" i="25"/>
  <c r="F437" i="25"/>
  <c r="E437" i="25"/>
  <c r="D437" i="25"/>
  <c r="G436" i="25"/>
  <c r="F436" i="25"/>
  <c r="E436" i="25"/>
  <c r="D436" i="25"/>
  <c r="G435" i="25"/>
  <c r="F435" i="25"/>
  <c r="E435" i="25"/>
  <c r="D435" i="25"/>
  <c r="F431" i="25"/>
  <c r="D431" i="25"/>
  <c r="F430" i="25"/>
  <c r="E430" i="25"/>
  <c r="D430" i="25"/>
  <c r="G429" i="25"/>
  <c r="F429" i="25"/>
  <c r="E429" i="25"/>
  <c r="D429" i="25"/>
  <c r="G428" i="25"/>
  <c r="F428" i="25"/>
  <c r="E428" i="25"/>
  <c r="D428" i="25"/>
  <c r="G408" i="25"/>
  <c r="F408" i="25"/>
  <c r="E408" i="25"/>
  <c r="D408" i="25"/>
  <c r="G406" i="25"/>
  <c r="F406" i="25"/>
  <c r="E406" i="25"/>
  <c r="D406" i="25"/>
  <c r="G405" i="25"/>
  <c r="F405" i="25"/>
  <c r="E405" i="25"/>
  <c r="D405" i="25"/>
  <c r="D404" i="25"/>
  <c r="G404" i="25"/>
  <c r="F404" i="25"/>
  <c r="E404" i="25"/>
  <c r="G403" i="25"/>
  <c r="F403" i="25"/>
  <c r="E403" i="25"/>
  <c r="D403" i="25"/>
  <c r="G399" i="25"/>
  <c r="F399" i="25"/>
  <c r="E399" i="25"/>
  <c r="D399" i="25"/>
  <c r="G398" i="25"/>
  <c r="F398" i="25"/>
  <c r="E398" i="25"/>
  <c r="D398" i="25"/>
  <c r="G396" i="25"/>
  <c r="F396" i="25"/>
  <c r="E396" i="25"/>
  <c r="D396" i="25"/>
  <c r="G395" i="25"/>
  <c r="F395" i="25"/>
  <c r="E395" i="25"/>
  <c r="D395" i="25"/>
  <c r="F383" i="25"/>
  <c r="E383" i="25"/>
  <c r="D383" i="25"/>
  <c r="G380" i="25"/>
  <c r="F380" i="25"/>
  <c r="E380" i="25"/>
  <c r="D380" i="25"/>
  <c r="G379" i="25"/>
  <c r="F379" i="25"/>
  <c r="E379" i="25"/>
  <c r="D379" i="25"/>
  <c r="G370" i="25"/>
  <c r="F370" i="25"/>
  <c r="E370" i="25"/>
  <c r="D370" i="25"/>
  <c r="G365" i="25"/>
  <c r="F365" i="25"/>
  <c r="E365" i="25"/>
  <c r="D365" i="25"/>
  <c r="G364" i="25"/>
  <c r="F364" i="25"/>
  <c r="E364" i="25"/>
  <c r="D364" i="25"/>
  <c r="F335" i="25"/>
  <c r="D335" i="25"/>
  <c r="G334" i="25"/>
  <c r="F334" i="25"/>
  <c r="E334" i="25"/>
  <c r="D334" i="25"/>
  <c r="G333" i="25"/>
  <c r="F333" i="25"/>
  <c r="E333" i="25"/>
  <c r="D333" i="25"/>
  <c r="G332" i="25"/>
  <c r="F332" i="25"/>
  <c r="E332" i="25"/>
  <c r="D332" i="25"/>
  <c r="G331" i="25"/>
  <c r="F331" i="25"/>
  <c r="E331" i="25"/>
  <c r="D331" i="25"/>
  <c r="E329" i="25"/>
  <c r="D327" i="25"/>
  <c r="H327" i="25" s="1"/>
  <c r="J327" i="25" s="1"/>
  <c r="F326" i="25"/>
  <c r="D326" i="25"/>
  <c r="F323" i="25"/>
  <c r="D323" i="25"/>
  <c r="G322" i="25"/>
  <c r="F322" i="25"/>
  <c r="E322" i="25"/>
  <c r="D322" i="25"/>
  <c r="D321" i="25"/>
  <c r="H321" i="25" s="1"/>
  <c r="J321" i="25" s="1"/>
  <c r="G312" i="25"/>
  <c r="F312" i="25"/>
  <c r="E312" i="25"/>
  <c r="D312" i="25"/>
  <c r="G307" i="25"/>
  <c r="F307" i="25"/>
  <c r="E307" i="25"/>
  <c r="D307" i="25"/>
  <c r="G306" i="25"/>
  <c r="F306" i="25"/>
  <c r="E306" i="25"/>
  <c r="D306" i="25"/>
  <c r="D301" i="25"/>
  <c r="H301" i="25" s="1"/>
  <c r="J301" i="25" s="1"/>
  <c r="D300" i="25"/>
  <c r="H300" i="25" s="1"/>
  <c r="J300" i="25" s="1"/>
  <c r="G289" i="25"/>
  <c r="F289" i="25"/>
  <c r="E289" i="25"/>
  <c r="D289" i="25"/>
  <c r="H272" i="25"/>
  <c r="J272" i="25" s="1"/>
  <c r="D270" i="25"/>
  <c r="H270" i="25" s="1"/>
  <c r="J270" i="25" s="1"/>
  <c r="G267" i="25"/>
  <c r="D267" i="25"/>
  <c r="G266" i="25"/>
  <c r="F266" i="25"/>
  <c r="E266" i="25"/>
  <c r="D266" i="25"/>
  <c r="G265" i="25"/>
  <c r="F265" i="25"/>
  <c r="E265" i="25"/>
  <c r="D265" i="25"/>
  <c r="G264" i="25"/>
  <c r="F264" i="25"/>
  <c r="E264" i="25"/>
  <c r="D264" i="25"/>
  <c r="G263" i="25"/>
  <c r="F263" i="25"/>
  <c r="E263" i="25"/>
  <c r="D263" i="25"/>
  <c r="G262" i="25"/>
  <c r="F262" i="25"/>
  <c r="E262" i="25"/>
  <c r="D262" i="25"/>
  <c r="G261" i="25"/>
  <c r="F261" i="25"/>
  <c r="E261" i="25"/>
  <c r="D261" i="25"/>
  <c r="G260" i="25"/>
  <c r="F260" i="25"/>
  <c r="E260" i="25"/>
  <c r="D260" i="25"/>
  <c r="D258" i="25"/>
  <c r="H258" i="25" s="1"/>
  <c r="J258" i="25" s="1"/>
  <c r="D256" i="25"/>
  <c r="H256" i="25" s="1"/>
  <c r="J256" i="25" s="1"/>
  <c r="D255" i="25"/>
  <c r="H255" i="25" s="1"/>
  <c r="J255" i="25" s="1"/>
  <c r="G254" i="25"/>
  <c r="F254" i="25"/>
  <c r="E254" i="25"/>
  <c r="D254" i="25"/>
  <c r="G253" i="25"/>
  <c r="F253" i="25"/>
  <c r="E253" i="25"/>
  <c r="D253" i="25"/>
  <c r="G252" i="25"/>
  <c r="F252" i="25"/>
  <c r="E252" i="25"/>
  <c r="D252" i="25"/>
  <c r="G250" i="25"/>
  <c r="F250" i="25"/>
  <c r="E250" i="25"/>
  <c r="D250" i="25"/>
  <c r="G249" i="25"/>
  <c r="F249" i="25"/>
  <c r="E249" i="25"/>
  <c r="D249" i="25"/>
  <c r="G248" i="25"/>
  <c r="F248" i="25"/>
  <c r="E248" i="25"/>
  <c r="D248" i="25"/>
  <c r="F247" i="25"/>
  <c r="E247" i="25"/>
  <c r="D247" i="25"/>
  <c r="G242" i="25"/>
  <c r="F242" i="25"/>
  <c r="E242" i="25"/>
  <c r="D242" i="25"/>
  <c r="G241" i="25"/>
  <c r="F241" i="25"/>
  <c r="E241" i="25"/>
  <c r="D241" i="25"/>
  <c r="H247" i="25" l="1"/>
  <c r="J247" i="25" s="1"/>
  <c r="H299" i="25"/>
  <c r="J299" i="25" s="1"/>
  <c r="H326" i="25"/>
  <c r="J326" i="25" s="1"/>
  <c r="H383" i="25"/>
  <c r="J383" i="25" s="1"/>
  <c r="H464" i="25"/>
  <c r="J464" i="25" s="1"/>
  <c r="H595" i="25"/>
  <c r="J595" i="25" s="1"/>
  <c r="H645" i="25"/>
  <c r="J645" i="25" s="1"/>
  <c r="H703" i="25"/>
  <c r="J703" i="25" s="1"/>
  <c r="H705" i="25"/>
  <c r="J705" i="25" s="1"/>
  <c r="H707" i="25"/>
  <c r="J707" i="25" s="1"/>
  <c r="H812" i="25"/>
  <c r="J812" i="25" s="1"/>
  <c r="H818" i="25"/>
  <c r="J818" i="25" s="1"/>
  <c r="H911" i="25"/>
  <c r="J911" i="25" s="1"/>
  <c r="H1010" i="25"/>
  <c r="J1010" i="25" s="1"/>
  <c r="H1018" i="25"/>
  <c r="J1018" i="25" s="1"/>
  <c r="H1038" i="25"/>
  <c r="J1038" i="25" s="1"/>
  <c r="H1046" i="25"/>
  <c r="J1046" i="25" s="1"/>
  <c r="H1120" i="25"/>
  <c r="J1120" i="25" s="1"/>
  <c r="H1129" i="25"/>
  <c r="J1129" i="25" s="1"/>
  <c r="H1154" i="25"/>
  <c r="J1154" i="25" s="1"/>
  <c r="H1165" i="25"/>
  <c r="J1165" i="25" s="1"/>
  <c r="H1193" i="25"/>
  <c r="J1193" i="25" s="1"/>
  <c r="H1229" i="25"/>
  <c r="J1229" i="25" s="1"/>
  <c r="H1237" i="25"/>
  <c r="J1237" i="25" s="1"/>
  <c r="H248" i="25"/>
  <c r="J248" i="25" s="1"/>
  <c r="H249" i="25"/>
  <c r="J249" i="25" s="1"/>
  <c r="H250" i="25"/>
  <c r="J250" i="25" s="1"/>
  <c r="H252" i="25"/>
  <c r="J252" i="25" s="1"/>
  <c r="H253" i="25"/>
  <c r="J253" i="25" s="1"/>
  <c r="H254" i="25"/>
  <c r="J254" i="25" s="1"/>
  <c r="H329" i="25"/>
  <c r="J329" i="25" s="1"/>
  <c r="H330" i="25"/>
  <c r="J330" i="25" s="1"/>
  <c r="H395" i="25"/>
  <c r="J395" i="25" s="1"/>
  <c r="H396" i="25"/>
  <c r="J396" i="25" s="1"/>
  <c r="H398" i="25"/>
  <c r="J398" i="25" s="1"/>
  <c r="H399" i="25"/>
  <c r="J399" i="25" s="1"/>
  <c r="H401" i="25"/>
  <c r="J401" i="25" s="1"/>
  <c r="H402" i="25"/>
  <c r="J402" i="25" s="1"/>
  <c r="H403" i="25"/>
  <c r="J403" i="25" s="1"/>
  <c r="H405" i="25"/>
  <c r="J405" i="25" s="1"/>
  <c r="H406" i="25"/>
  <c r="J406" i="25" s="1"/>
  <c r="H407" i="25"/>
  <c r="J407" i="25" s="1"/>
  <c r="H435" i="25"/>
  <c r="J435" i="25" s="1"/>
  <c r="H436" i="25"/>
  <c r="J436" i="25" s="1"/>
  <c r="H437" i="25"/>
  <c r="J437" i="25" s="1"/>
  <c r="H444" i="25"/>
  <c r="J444" i="25" s="1"/>
  <c r="H445" i="25"/>
  <c r="J445" i="25" s="1"/>
  <c r="H446" i="25"/>
  <c r="J446" i="25" s="1"/>
  <c r="H448" i="25"/>
  <c r="J448" i="25" s="1"/>
  <c r="H449" i="25"/>
  <c r="J449" i="25" s="1"/>
  <c r="H451" i="25"/>
  <c r="J451" i="25" s="1"/>
  <c r="H452" i="25"/>
  <c r="J452" i="25" s="1"/>
  <c r="H453" i="25"/>
  <c r="J453" i="25" s="1"/>
  <c r="H454" i="25"/>
  <c r="J454" i="25" s="1"/>
  <c r="H455" i="25"/>
  <c r="J455" i="25" s="1"/>
  <c r="H456" i="25"/>
  <c r="J456" i="25" s="1"/>
  <c r="H457" i="25"/>
  <c r="J457" i="25" s="1"/>
  <c r="H459" i="25"/>
  <c r="J459" i="25" s="1"/>
  <c r="H535" i="25"/>
  <c r="J535" i="25" s="1"/>
  <c r="H536" i="25"/>
  <c r="J536" i="25" s="1"/>
  <c r="H538" i="25"/>
  <c r="J538" i="25" s="1"/>
  <c r="H539" i="25"/>
  <c r="J539" i="25" s="1"/>
  <c r="H540" i="25"/>
  <c r="J540" i="25" s="1"/>
  <c r="H544" i="25"/>
  <c r="J544" i="25" s="1"/>
  <c r="H545" i="25"/>
  <c r="J545" i="25" s="1"/>
  <c r="H547" i="25"/>
  <c r="J547" i="25" s="1"/>
  <c r="H566" i="25"/>
  <c r="J566" i="25" s="1"/>
  <c r="H431" i="25"/>
  <c r="J431" i="25" s="1"/>
  <c r="H568" i="25"/>
  <c r="J568" i="25" s="1"/>
  <c r="H572" i="25"/>
  <c r="J572" i="25" s="1"/>
  <c r="H646" i="25"/>
  <c r="J646" i="25" s="1"/>
  <c r="H666" i="25"/>
  <c r="J666" i="25" s="1"/>
  <c r="H667" i="25"/>
  <c r="J667" i="25" s="1"/>
  <c r="H668" i="25"/>
  <c r="J668" i="25" s="1"/>
  <c r="H669" i="25"/>
  <c r="J669" i="25" s="1"/>
  <c r="H710" i="25"/>
  <c r="J710" i="25" s="1"/>
  <c r="H774" i="25"/>
  <c r="J774" i="25" s="1"/>
  <c r="H775" i="25"/>
  <c r="J775" i="25" s="1"/>
  <c r="H776" i="25"/>
  <c r="J776" i="25" s="1"/>
  <c r="H777" i="25"/>
  <c r="J777" i="25" s="1"/>
  <c r="H778" i="25"/>
  <c r="J778" i="25" s="1"/>
  <c r="H779" i="25"/>
  <c r="J779" i="25" s="1"/>
  <c r="H780" i="25"/>
  <c r="J780" i="25" s="1"/>
  <c r="H781" i="25"/>
  <c r="J781" i="25" s="1"/>
  <c r="H782" i="25"/>
  <c r="J782" i="25" s="1"/>
  <c r="H785" i="25"/>
  <c r="J785" i="25" s="1"/>
  <c r="H786" i="25"/>
  <c r="J786" i="25" s="1"/>
  <c r="H787" i="25"/>
  <c r="J787" i="25" s="1"/>
  <c r="H788" i="25"/>
  <c r="J788" i="25" s="1"/>
  <c r="H789" i="25"/>
  <c r="J789" i="25" s="1"/>
  <c r="H790" i="25"/>
  <c r="J790" i="25" s="1"/>
  <c r="H791" i="25"/>
  <c r="J791" i="25" s="1"/>
  <c r="H794" i="25"/>
  <c r="J794" i="25" s="1"/>
  <c r="H795" i="25"/>
  <c r="J795" i="25" s="1"/>
  <c r="H804" i="25"/>
  <c r="J804" i="25" s="1"/>
  <c r="H805" i="25"/>
  <c r="J805" i="25" s="1"/>
  <c r="H806" i="25"/>
  <c r="J806" i="25" s="1"/>
  <c r="H808" i="25"/>
  <c r="J808" i="25" s="1"/>
  <c r="H809" i="25"/>
  <c r="H892" i="25"/>
  <c r="J892" i="25" s="1"/>
  <c r="H931" i="25"/>
  <c r="J931" i="25" s="1"/>
  <c r="H932" i="25"/>
  <c r="J932" i="25" s="1"/>
  <c r="H933" i="25"/>
  <c r="J933" i="25" s="1"/>
  <c r="H934" i="25"/>
  <c r="J934" i="25" s="1"/>
  <c r="H935" i="25"/>
  <c r="J935" i="25" s="1"/>
  <c r="H936" i="25"/>
  <c r="J936" i="25" s="1"/>
  <c r="H937" i="25"/>
  <c r="J937" i="25" s="1"/>
  <c r="H939" i="25"/>
  <c r="H940" i="25"/>
  <c r="J940" i="25" s="1"/>
  <c r="H941" i="25"/>
  <c r="J941" i="25" s="1"/>
  <c r="H942" i="25"/>
  <c r="J942" i="25" s="1"/>
  <c r="H944" i="25"/>
  <c r="J944" i="25" s="1"/>
  <c r="H945" i="25"/>
  <c r="J945" i="25" s="1"/>
  <c r="H946" i="25"/>
  <c r="J946" i="25" s="1"/>
  <c r="H948" i="25"/>
  <c r="H949" i="25"/>
  <c r="J949" i="25" s="1"/>
  <c r="H950" i="25"/>
  <c r="J950" i="25" s="1"/>
  <c r="H952" i="25"/>
  <c r="J952" i="25" s="1"/>
  <c r="H953" i="25"/>
  <c r="J953" i="25" s="1"/>
  <c r="H954" i="25"/>
  <c r="J954" i="25" s="1"/>
  <c r="H955" i="25"/>
  <c r="J955" i="25" s="1"/>
  <c r="H956" i="25"/>
  <c r="J956" i="25" s="1"/>
  <c r="H957" i="25"/>
  <c r="J957" i="25" s="1"/>
  <c r="H958" i="25"/>
  <c r="J958" i="25" s="1"/>
  <c r="H959" i="25"/>
  <c r="J959" i="25" s="1"/>
  <c r="H968" i="25"/>
  <c r="J968" i="25" s="1"/>
  <c r="H1011" i="25"/>
  <c r="J1011" i="25" s="1"/>
  <c r="H1020" i="25"/>
  <c r="J1020" i="25" s="1"/>
  <c r="H1063" i="25"/>
  <c r="J1063" i="25" s="1"/>
  <c r="H1064" i="25"/>
  <c r="J1064" i="25" s="1"/>
  <c r="H1065" i="25"/>
  <c r="J1065" i="25" s="1"/>
  <c r="H1080" i="25"/>
  <c r="J1080" i="25" s="1"/>
  <c r="H1081" i="25"/>
  <c r="J1081" i="25" s="1"/>
  <c r="H1082" i="25"/>
  <c r="J1082" i="25" s="1"/>
  <c r="H1083" i="25"/>
  <c r="J1083" i="25" s="1"/>
  <c r="H1084" i="25"/>
  <c r="J1084" i="25" s="1"/>
  <c r="H1086" i="25"/>
  <c r="J1086" i="25" s="1"/>
  <c r="H1104" i="25"/>
  <c r="J1104" i="25" s="1"/>
  <c r="H1172" i="25"/>
  <c r="J1172" i="25" s="1"/>
  <c r="H1174" i="25"/>
  <c r="J1174" i="25" s="1"/>
  <c r="H1176" i="25"/>
  <c r="J1176" i="25" s="1"/>
  <c r="H1178" i="25"/>
  <c r="J1178" i="25" s="1"/>
  <c r="H1180" i="25"/>
  <c r="J1180" i="25" s="1"/>
  <c r="H1183" i="25"/>
  <c r="J1183" i="25" s="1"/>
  <c r="H1189" i="25"/>
  <c r="J1189" i="25" s="1"/>
  <c r="H1190" i="25"/>
  <c r="J1190" i="25" s="1"/>
  <c r="H1194" i="25"/>
  <c r="J1194" i="25" s="1"/>
  <c r="H1208" i="25"/>
  <c r="J1208" i="25" s="1"/>
  <c r="H1222" i="25"/>
  <c r="J1222" i="25" s="1"/>
  <c r="H1226" i="25"/>
  <c r="J1226" i="25" s="1"/>
  <c r="H1280" i="25"/>
  <c r="H1306" i="25"/>
  <c r="H1317" i="25"/>
  <c r="H665" i="25"/>
  <c r="J665" i="25" s="1"/>
  <c r="H773" i="25"/>
  <c r="J773" i="25" s="1"/>
  <c r="H1106" i="25"/>
  <c r="J1106" i="25" s="1"/>
  <c r="H1173" i="25"/>
  <c r="J1173" i="25" s="1"/>
  <c r="H1175" i="25"/>
  <c r="J1175" i="25" s="1"/>
  <c r="H1177" i="25"/>
  <c r="J1177" i="25" s="1"/>
  <c r="H1179" i="25"/>
  <c r="J1179" i="25" s="1"/>
  <c r="H1182" i="25"/>
  <c r="J1182" i="25" s="1"/>
  <c r="H241" i="25"/>
  <c r="J241" i="25" s="1"/>
  <c r="H242" i="25"/>
  <c r="J242" i="25" s="1"/>
  <c r="H281" i="25"/>
  <c r="J281" i="25" s="1"/>
  <c r="H283" i="25"/>
  <c r="J283" i="25" s="1"/>
  <c r="H285" i="25"/>
  <c r="J285" i="25" s="1"/>
  <c r="H288" i="25"/>
  <c r="J288" i="25" s="1"/>
  <c r="H289" i="25"/>
  <c r="J289" i="25" s="1"/>
  <c r="H364" i="25"/>
  <c r="J364" i="25" s="1"/>
  <c r="H365" i="25"/>
  <c r="J365" i="25" s="1"/>
  <c r="H379" i="25"/>
  <c r="J379" i="25" s="1"/>
  <c r="H380" i="25"/>
  <c r="J380" i="25" s="1"/>
  <c r="H463" i="25"/>
  <c r="J463" i="25" s="1"/>
  <c r="H469" i="25"/>
  <c r="J469" i="25" s="1"/>
  <c r="H475" i="25"/>
  <c r="J475" i="25" s="1"/>
  <c r="H476" i="25"/>
  <c r="J476" i="25" s="1"/>
  <c r="H478" i="25"/>
  <c r="J478" i="25" s="1"/>
  <c r="H479" i="25"/>
  <c r="J479" i="25" s="1"/>
  <c r="H485" i="25"/>
  <c r="J485" i="25" s="1"/>
  <c r="H613" i="25"/>
  <c r="J613" i="25" s="1"/>
  <c r="H615" i="25"/>
  <c r="J615" i="25" s="1"/>
  <c r="H617" i="25"/>
  <c r="J617" i="25" s="1"/>
  <c r="H618" i="25"/>
  <c r="J618" i="25" s="1"/>
  <c r="H620" i="25"/>
  <c r="J620" i="25" s="1"/>
  <c r="H648" i="25"/>
  <c r="J648" i="25" s="1"/>
  <c r="H697" i="25"/>
  <c r="J697" i="25" s="1"/>
  <c r="H698" i="25"/>
  <c r="J698" i="25" s="1"/>
  <c r="H700" i="25"/>
  <c r="J700" i="25" s="1"/>
  <c r="H701" i="25"/>
  <c r="J701" i="25" s="1"/>
  <c r="H817" i="25"/>
  <c r="J817" i="25" s="1"/>
  <c r="H910" i="25"/>
  <c r="H943" i="25"/>
  <c r="J943" i="25" s="1"/>
  <c r="H1009" i="25"/>
  <c r="J1009" i="25" s="1"/>
  <c r="H1012" i="25"/>
  <c r="J1012" i="25" s="1"/>
  <c r="H1111" i="25"/>
  <c r="J1111" i="25" s="1"/>
  <c r="H1113" i="25"/>
  <c r="J1113" i="25" s="1"/>
  <c r="H1118" i="25"/>
  <c r="J1118" i="25" s="1"/>
  <c r="H1125" i="25"/>
  <c r="J1125" i="25" s="1"/>
  <c r="H1158" i="25"/>
  <c r="J1158" i="25" s="1"/>
  <c r="H1263" i="25"/>
  <c r="J1263" i="25" s="1"/>
  <c r="H1272" i="25"/>
  <c r="J1272" i="25" s="1"/>
  <c r="H1305" i="25"/>
  <c r="H306" i="25"/>
  <c r="J306" i="25" s="1"/>
  <c r="H309" i="25"/>
  <c r="J309" i="25" s="1"/>
  <c r="H494" i="25"/>
  <c r="J494" i="25" s="1"/>
  <c r="H498" i="25"/>
  <c r="J498" i="25" s="1"/>
  <c r="H260" i="25"/>
  <c r="J260" i="25" s="1"/>
  <c r="H261" i="25"/>
  <c r="J261" i="25" s="1"/>
  <c r="H262" i="25"/>
  <c r="J262" i="25" s="1"/>
  <c r="H263" i="25"/>
  <c r="J263" i="25" s="1"/>
  <c r="H264" i="25"/>
  <c r="J264" i="25" s="1"/>
  <c r="H265" i="25"/>
  <c r="J265" i="25" s="1"/>
  <c r="H266" i="25"/>
  <c r="J266" i="25" s="1"/>
  <c r="H267" i="25"/>
  <c r="J267" i="25" s="1"/>
  <c r="H322" i="25"/>
  <c r="J322" i="25" s="1"/>
  <c r="H323" i="25"/>
  <c r="J323" i="25" s="1"/>
  <c r="H331" i="25"/>
  <c r="J331" i="25" s="1"/>
  <c r="H332" i="25"/>
  <c r="J332" i="25" s="1"/>
  <c r="H333" i="25"/>
  <c r="J333" i="25" s="1"/>
  <c r="H334" i="25"/>
  <c r="J334" i="25" s="1"/>
  <c r="H335" i="25"/>
  <c r="J335" i="25" s="1"/>
  <c r="H404" i="25"/>
  <c r="J404" i="25" s="1"/>
  <c r="H408" i="25"/>
  <c r="J408" i="25" s="1"/>
  <c r="H426" i="25"/>
  <c r="J426" i="25" s="1"/>
  <c r="H427" i="25"/>
  <c r="J427" i="25" s="1"/>
  <c r="H428" i="25"/>
  <c r="J428" i="25" s="1"/>
  <c r="H429" i="25"/>
  <c r="J429" i="25" s="1"/>
  <c r="H430" i="25"/>
  <c r="J430" i="25" s="1"/>
  <c r="H465" i="25"/>
  <c r="J465" i="25" s="1"/>
  <c r="H466" i="25"/>
  <c r="J466" i="25" s="1"/>
  <c r="H596" i="25"/>
  <c r="J596" i="25" s="1"/>
  <c r="H612" i="25"/>
  <c r="J612" i="25" s="1"/>
  <c r="H647" i="25"/>
  <c r="J647" i="25" s="1"/>
  <c r="H704" i="25"/>
  <c r="J704" i="25" s="1"/>
  <c r="H706" i="25"/>
  <c r="J706" i="25" s="1"/>
  <c r="H768" i="25"/>
  <c r="J768" i="25" s="1"/>
  <c r="H814" i="25"/>
  <c r="J814" i="25" s="1"/>
  <c r="H815" i="25"/>
  <c r="J815" i="25" s="1"/>
  <c r="H816" i="25"/>
  <c r="J816" i="25" s="1"/>
  <c r="H819" i="25"/>
  <c r="J819" i="25" s="1"/>
  <c r="H820" i="25"/>
  <c r="J820" i="25" s="1"/>
  <c r="H822" i="25"/>
  <c r="J822" i="25" s="1"/>
  <c r="H824" i="25"/>
  <c r="J824" i="25" s="1"/>
  <c r="H825" i="25"/>
  <c r="J825" i="25" s="1"/>
  <c r="H826" i="25"/>
  <c r="J826" i="25" s="1"/>
  <c r="H827" i="25"/>
  <c r="J827" i="25" s="1"/>
  <c r="H828" i="25"/>
  <c r="J828" i="25" s="1"/>
  <c r="H829" i="25"/>
  <c r="J829" i="25" s="1"/>
  <c r="H923" i="25"/>
  <c r="J923" i="25" s="1"/>
  <c r="H924" i="25"/>
  <c r="J924" i="25" s="1"/>
  <c r="H925" i="25"/>
  <c r="J925" i="25" s="1"/>
  <c r="H926" i="25"/>
  <c r="H927" i="25"/>
  <c r="H960" i="25"/>
  <c r="J960" i="25" s="1"/>
  <c r="H961" i="25"/>
  <c r="J961" i="25" s="1"/>
  <c r="H963" i="25"/>
  <c r="J963" i="25" s="1"/>
  <c r="H964" i="25"/>
  <c r="J964" i="25" s="1"/>
  <c r="H969" i="25"/>
  <c r="J969" i="25" s="1"/>
  <c r="H970" i="25"/>
  <c r="J970" i="25" s="1"/>
  <c r="H971" i="25"/>
  <c r="J971" i="25" s="1"/>
  <c r="H972" i="25"/>
  <c r="J972" i="25" s="1"/>
  <c r="H973" i="25"/>
  <c r="J973" i="25" s="1"/>
  <c r="H974" i="25"/>
  <c r="J974" i="25" s="1"/>
  <c r="H975" i="25"/>
  <c r="J975" i="25" s="1"/>
  <c r="H976" i="25"/>
  <c r="J976" i="25" s="1"/>
  <c r="H977" i="25"/>
  <c r="J977" i="25" s="1"/>
  <c r="H978" i="25"/>
  <c r="J978" i="25" s="1"/>
  <c r="H979" i="25"/>
  <c r="J979" i="25" s="1"/>
  <c r="H980" i="25"/>
  <c r="J980" i="25" s="1"/>
  <c r="H981" i="25"/>
  <c r="J981" i="25" s="1"/>
  <c r="H982" i="25"/>
  <c r="J982" i="25" s="1"/>
  <c r="H984" i="25"/>
  <c r="J984" i="25" s="1"/>
  <c r="H986" i="25"/>
  <c r="J986" i="25" s="1"/>
  <c r="H1002" i="25"/>
  <c r="J1002" i="25" s="1"/>
  <c r="H1003" i="25"/>
  <c r="J1003" i="25" s="1"/>
  <c r="H1005" i="25"/>
  <c r="J1005" i="25" s="1"/>
  <c r="H1006" i="25"/>
  <c r="J1006" i="25" s="1"/>
  <c r="H1013" i="25"/>
  <c r="J1013" i="25" s="1"/>
  <c r="H1090" i="25"/>
  <c r="J1090" i="25" s="1"/>
  <c r="H1091" i="25"/>
  <c r="J1091" i="25" s="1"/>
  <c r="H1092" i="25"/>
  <c r="J1092" i="25" s="1"/>
  <c r="H1093" i="25"/>
  <c r="J1093" i="25" s="1"/>
  <c r="H1094" i="25"/>
  <c r="J1094" i="25" s="1"/>
  <c r="H1095" i="25"/>
  <c r="J1095" i="25" s="1"/>
  <c r="H1096" i="25"/>
  <c r="J1096" i="25" s="1"/>
  <c r="H1097" i="25"/>
  <c r="J1097" i="25" s="1"/>
  <c r="H1098" i="25"/>
  <c r="J1098" i="25" s="1"/>
  <c r="H1136" i="25"/>
  <c r="J1136" i="25" s="1"/>
  <c r="H1151" i="25"/>
  <c r="J1151" i="25" s="1"/>
  <c r="H1152" i="25"/>
  <c r="J1152" i="25" s="1"/>
  <c r="H1157" i="25"/>
  <c r="J1157" i="25" s="1"/>
  <c r="H1166" i="25"/>
  <c r="J1166" i="25" s="1"/>
  <c r="H1204" i="25"/>
  <c r="J1204" i="25" s="1"/>
  <c r="H1268" i="25"/>
  <c r="J1268" i="25" s="1"/>
  <c r="H1271" i="25"/>
  <c r="J1271" i="25" s="1"/>
  <c r="H1262" i="25"/>
  <c r="J1262" i="25" s="1"/>
  <c r="H1282" i="25"/>
  <c r="H282" i="25"/>
  <c r="J282" i="25" s="1"/>
  <c r="H286" i="25"/>
  <c r="J286" i="25" s="1"/>
  <c r="H370" i="25"/>
  <c r="J370" i="25" s="1"/>
  <c r="H474" i="25"/>
  <c r="J474" i="25" s="1"/>
  <c r="H477" i="25"/>
  <c r="J477" i="25" s="1"/>
  <c r="H482" i="25"/>
  <c r="J482" i="25" s="1"/>
  <c r="H492" i="25"/>
  <c r="J492" i="25" s="1"/>
  <c r="H614" i="25"/>
  <c r="J614" i="25" s="1"/>
  <c r="H616" i="25"/>
  <c r="J616" i="25" s="1"/>
  <c r="H619" i="25"/>
  <c r="J619" i="25" s="1"/>
  <c r="H621" i="25"/>
  <c r="J621" i="25" s="1"/>
  <c r="H649" i="25"/>
  <c r="J649" i="25" s="1"/>
  <c r="H699" i="25"/>
  <c r="J699" i="25" s="1"/>
  <c r="H702" i="25"/>
  <c r="J702" i="25" s="1"/>
  <c r="H811" i="25"/>
  <c r="H1007" i="25"/>
  <c r="J1007" i="25" s="1"/>
  <c r="H1016" i="25"/>
  <c r="J1016" i="25" s="1"/>
  <c r="H1026" i="25"/>
  <c r="J1026" i="25" s="1"/>
  <c r="H1109" i="25"/>
  <c r="J1109" i="25" s="1"/>
  <c r="H1112" i="25"/>
  <c r="J1112" i="25" s="1"/>
  <c r="H1128" i="25"/>
  <c r="J1128" i="25" s="1"/>
  <c r="H1153" i="25"/>
  <c r="J1153" i="25" s="1"/>
  <c r="H1269" i="25"/>
  <c r="J1269" i="25" s="1"/>
  <c r="H307" i="25"/>
  <c r="J307" i="25" s="1"/>
  <c r="H312" i="25"/>
  <c r="J312" i="25" s="1"/>
  <c r="H495" i="25"/>
  <c r="J495" i="25" s="1"/>
  <c r="H496" i="25"/>
  <c r="J496" i="25" s="1"/>
  <c r="H497" i="25"/>
  <c r="J497" i="25" s="1"/>
  <c r="H500" i="25"/>
  <c r="J500" i="25" s="1"/>
  <c r="H501" i="25"/>
  <c r="J501" i="25" s="1"/>
  <c r="H502" i="25"/>
  <c r="J502" i="25" s="1"/>
  <c r="H503" i="25"/>
  <c r="J503" i="25" s="1"/>
  <c r="H524" i="25"/>
  <c r="J524" i="25" s="1"/>
  <c r="H525" i="25"/>
  <c r="J525" i="25" s="1"/>
  <c r="H527" i="25"/>
  <c r="J527" i="25" s="1"/>
  <c r="H528" i="25"/>
  <c r="J528" i="25" s="1"/>
  <c r="H660" i="25"/>
  <c r="J660" i="25" s="1"/>
  <c r="H661" i="25"/>
  <c r="J661" i="25" s="1"/>
  <c r="H662" i="25"/>
  <c r="J662" i="25" s="1"/>
  <c r="H663" i="25"/>
  <c r="J663" i="25" s="1"/>
  <c r="H760" i="25"/>
  <c r="J760" i="25" s="1"/>
  <c r="H761" i="25"/>
  <c r="J761" i="25" s="1"/>
  <c r="H762" i="25"/>
  <c r="J762" i="25" s="1"/>
  <c r="H765" i="25"/>
  <c r="J765" i="25" s="1"/>
  <c r="H766" i="25"/>
  <c r="J766" i="25" s="1"/>
  <c r="H767" i="25"/>
  <c r="J767" i="25" s="1"/>
  <c r="H769" i="25"/>
  <c r="J769" i="25" s="1"/>
  <c r="H770" i="25"/>
  <c r="J770" i="25" s="1"/>
  <c r="H771" i="25"/>
  <c r="J771" i="25" s="1"/>
  <c r="H772" i="25"/>
  <c r="J772" i="25" s="1"/>
  <c r="H894" i="25"/>
  <c r="J894" i="25" s="1"/>
  <c r="H1014" i="25"/>
  <c r="J1014" i="25" s="1"/>
  <c r="H1015" i="25"/>
  <c r="J1015" i="25" s="1"/>
  <c r="H1105" i="25"/>
  <c r="J1105" i="25" s="1"/>
  <c r="H1184" i="25"/>
  <c r="J1184" i="25" s="1"/>
  <c r="H1227" i="25"/>
  <c r="J1227" i="25" s="1"/>
  <c r="H1228" i="25"/>
  <c r="J1228" i="25" s="1"/>
  <c r="H1256" i="25"/>
  <c r="J1256" i="25" s="1"/>
  <c r="H1279" i="25"/>
  <c r="H1316" i="25"/>
  <c r="G240" i="25"/>
  <c r="F240" i="25"/>
  <c r="E240" i="25"/>
  <c r="D240" i="25"/>
  <c r="G239" i="25"/>
  <c r="F239" i="25"/>
  <c r="E239" i="25"/>
  <c r="D239" i="25"/>
  <c r="G238" i="25"/>
  <c r="F238" i="25"/>
  <c r="E238" i="25"/>
  <c r="D238" i="25"/>
  <c r="G237" i="25"/>
  <c r="F237" i="25"/>
  <c r="E237" i="25"/>
  <c r="D237" i="25"/>
  <c r="F236" i="25"/>
  <c r="D236" i="25"/>
  <c r="F235" i="25"/>
  <c r="D235" i="25"/>
  <c r="G235" i="25"/>
  <c r="E235" i="25"/>
  <c r="G232" i="25"/>
  <c r="E232" i="25"/>
  <c r="D232" i="25"/>
  <c r="G231" i="25"/>
  <c r="E231" i="25"/>
  <c r="D231" i="25"/>
  <c r="F230" i="25"/>
  <c r="D230" i="25"/>
  <c r="G228" i="25"/>
  <c r="F228" i="25"/>
  <c r="E228" i="25"/>
  <c r="D228" i="25"/>
  <c r="G227" i="25"/>
  <c r="F227" i="25"/>
  <c r="E227" i="25"/>
  <c r="D227" i="25"/>
  <c r="D226" i="25"/>
  <c r="H226" i="25" s="1"/>
  <c r="J226" i="25" s="1"/>
  <c r="F225" i="25"/>
  <c r="D225" i="25"/>
  <c r="D224" i="25"/>
  <c r="H224" i="25" s="1"/>
  <c r="J224" i="25" s="1"/>
  <c r="F221" i="25"/>
  <c r="D221" i="25"/>
  <c r="D220" i="25"/>
  <c r="H220" i="25" s="1"/>
  <c r="J220" i="25" s="1"/>
  <c r="G219" i="25"/>
  <c r="F219" i="25"/>
  <c r="E219" i="25"/>
  <c r="D219" i="25"/>
  <c r="G218" i="25"/>
  <c r="F218" i="25"/>
  <c r="E218" i="25"/>
  <c r="D218" i="25"/>
  <c r="G217" i="25"/>
  <c r="F217" i="25"/>
  <c r="E217" i="25"/>
  <c r="D217" i="25"/>
  <c r="G216" i="25"/>
  <c r="F216" i="25"/>
  <c r="E216" i="25"/>
  <c r="D216" i="25"/>
  <c r="F215" i="25"/>
  <c r="D215" i="25"/>
  <c r="D214" i="25"/>
  <c r="H214" i="25" s="1"/>
  <c r="J214" i="25" s="1"/>
  <c r="D213" i="25"/>
  <c r="H213" i="25" s="1"/>
  <c r="J213" i="25" s="1"/>
  <c r="D210" i="25"/>
  <c r="H210" i="25" s="1"/>
  <c r="J210" i="25" s="1"/>
  <c r="G208" i="25"/>
  <c r="F208" i="25"/>
  <c r="E208" i="25"/>
  <c r="G207" i="25"/>
  <c r="F207" i="25"/>
  <c r="E207" i="25"/>
  <c r="D207" i="25"/>
  <c r="G206" i="25"/>
  <c r="F206" i="25"/>
  <c r="E206" i="25"/>
  <c r="D206" i="25"/>
  <c r="D205" i="25"/>
  <c r="H205" i="25" s="1"/>
  <c r="J205" i="25" s="1"/>
  <c r="F204" i="25"/>
  <c r="D204" i="25"/>
  <c r="G203" i="25"/>
  <c r="F203" i="25"/>
  <c r="E203" i="25"/>
  <c r="D203" i="25"/>
  <c r="F202" i="25"/>
  <c r="D202" i="25"/>
  <c r="F201" i="25"/>
  <c r="D201" i="25"/>
  <c r="G197" i="25"/>
  <c r="F197" i="25"/>
  <c r="E197" i="25"/>
  <c r="D197" i="25"/>
  <c r="G194" i="25"/>
  <c r="F194" i="25"/>
  <c r="E194" i="25"/>
  <c r="D194" i="25"/>
  <c r="F193" i="25"/>
  <c r="D193" i="25"/>
  <c r="D182" i="25"/>
  <c r="D181" i="25"/>
  <c r="D173" i="25"/>
  <c r="G171" i="25"/>
  <c r="F170" i="25"/>
  <c r="D170" i="25"/>
  <c r="F169" i="25"/>
  <c r="D169" i="25"/>
  <c r="F168" i="25"/>
  <c r="D168" i="25"/>
  <c r="G167" i="25"/>
  <c r="F167" i="25"/>
  <c r="E167" i="25"/>
  <c r="D167" i="25"/>
  <c r="G165" i="25"/>
  <c r="F165" i="25"/>
  <c r="E165" i="25"/>
  <c r="D165" i="25"/>
  <c r="F164" i="25"/>
  <c r="D164" i="25"/>
  <c r="G163" i="25"/>
  <c r="F163" i="25"/>
  <c r="E163" i="25"/>
  <c r="D163" i="25"/>
  <c r="G162" i="25"/>
  <c r="F162" i="25"/>
  <c r="E162" i="25"/>
  <c r="D162" i="25"/>
  <c r="F161" i="25"/>
  <c r="D161" i="25"/>
  <c r="G160" i="25"/>
  <c r="F160" i="25"/>
  <c r="E160" i="25"/>
  <c r="D160" i="25"/>
  <c r="G159" i="25"/>
  <c r="F159" i="25"/>
  <c r="E159" i="25"/>
  <c r="D159" i="25"/>
  <c r="F157" i="25"/>
  <c r="D157" i="25"/>
  <c r="G156" i="25"/>
  <c r="F156" i="25"/>
  <c r="E156" i="25"/>
  <c r="D156" i="25"/>
  <c r="G155" i="25"/>
  <c r="F155" i="25"/>
  <c r="E155" i="25"/>
  <c r="D155" i="25"/>
  <c r="D128" i="25"/>
  <c r="D126" i="25"/>
  <c r="D124" i="25"/>
  <c r="D122" i="25"/>
  <c r="D120" i="25"/>
  <c r="D119" i="25"/>
  <c r="F85" i="25"/>
  <c r="D85" i="25"/>
  <c r="D88" i="25"/>
  <c r="E76" i="25"/>
  <c r="F45" i="25"/>
  <c r="D45" i="25"/>
  <c r="F44" i="25"/>
  <c r="D44" i="25"/>
  <c r="F34" i="25"/>
  <c r="F28" i="25"/>
  <c r="E28" i="25"/>
  <c r="D28" i="25"/>
  <c r="F27" i="25"/>
  <c r="D27" i="25"/>
  <c r="F26" i="25"/>
  <c r="D26" i="25"/>
  <c r="F21" i="25"/>
  <c r="D21" i="25"/>
  <c r="F19" i="25"/>
  <c r="D19" i="25"/>
  <c r="H215" i="25" l="1"/>
  <c r="J215" i="25" s="1"/>
  <c r="H225" i="25"/>
  <c r="J225" i="25" s="1"/>
  <c r="H207" i="25"/>
  <c r="J207" i="25" s="1"/>
  <c r="H208" i="25"/>
  <c r="J208" i="25" s="1"/>
  <c r="H216" i="25"/>
  <c r="J216" i="25" s="1"/>
  <c r="H217" i="25"/>
  <c r="J217" i="25" s="1"/>
  <c r="H219" i="25"/>
  <c r="J219" i="25" s="1"/>
  <c r="H232" i="25"/>
  <c r="J232" i="25" s="1"/>
  <c r="H201" i="25"/>
  <c r="J201" i="25" s="1"/>
  <c r="H204" i="25"/>
  <c r="J204" i="25" s="1"/>
  <c r="H221" i="25"/>
  <c r="J221" i="25" s="1"/>
  <c r="H231" i="25"/>
  <c r="J231" i="25" s="1"/>
  <c r="H206" i="25"/>
  <c r="J206" i="25" s="1"/>
  <c r="H218" i="25"/>
  <c r="J218" i="25" s="1"/>
  <c r="H197" i="25"/>
  <c r="J197" i="25" s="1"/>
  <c r="H192" i="25"/>
  <c r="J192" i="25" s="1"/>
  <c r="H193" i="25"/>
  <c r="J193" i="25" s="1"/>
  <c r="H202" i="25"/>
  <c r="J202" i="25" s="1"/>
  <c r="H227" i="25"/>
  <c r="J227" i="25" s="1"/>
  <c r="H228" i="25"/>
  <c r="J228" i="25" s="1"/>
  <c r="H230" i="25"/>
  <c r="J230" i="25" s="1"/>
  <c r="H236" i="25"/>
  <c r="J236" i="25" s="1"/>
  <c r="H203" i="25"/>
  <c r="J203" i="25" s="1"/>
  <c r="H235" i="25"/>
  <c r="J235" i="25" s="1"/>
  <c r="H237" i="25"/>
  <c r="J237" i="25" s="1"/>
  <c r="H238" i="25"/>
  <c r="J238" i="25" s="1"/>
  <c r="H239" i="25"/>
  <c r="J239" i="25" s="1"/>
  <c r="H240" i="25"/>
  <c r="J240" i="25" s="1"/>
  <c r="H194" i="25"/>
  <c r="J194" i="25" s="1"/>
  <c r="H22" i="25"/>
  <c r="J22" i="25" s="1"/>
  <c r="H27" i="25"/>
  <c r="H44" i="25"/>
  <c r="H20" i="25"/>
  <c r="J20" i="25" s="1"/>
  <c r="H21" i="25"/>
  <c r="J21" i="25" s="1"/>
  <c r="H26" i="25"/>
  <c r="J26" i="25" s="1"/>
  <c r="H28" i="25"/>
  <c r="J28" i="25" s="1"/>
  <c r="H45" i="25"/>
  <c r="J45" i="25" s="1"/>
  <c r="D1945" i="25"/>
  <c r="D1820" i="25"/>
  <c r="H1820" i="25" s="1"/>
  <c r="J1820" i="25" s="1"/>
  <c r="D1819" i="25"/>
  <c r="H1819" i="25" s="1"/>
  <c r="J1819" i="25" s="1"/>
  <c r="D1818" i="25"/>
  <c r="H1818" i="25" s="1"/>
  <c r="J1818" i="25" s="1"/>
  <c r="D1817" i="25"/>
  <c r="H1817" i="25" s="1"/>
  <c r="J1817" i="25" s="1"/>
  <c r="H1752" i="25"/>
  <c r="J1752" i="25" s="1"/>
  <c r="H1734" i="25"/>
  <c r="J1734" i="25" s="1"/>
  <c r="H1722" i="25"/>
  <c r="J1722" i="25" s="1"/>
  <c r="H1695" i="25"/>
  <c r="J1695" i="25" s="1"/>
  <c r="H1694" i="25"/>
  <c r="J1694" i="25" s="1"/>
  <c r="H1683" i="25"/>
  <c r="J1683" i="25" s="1"/>
  <c r="H1682" i="25"/>
  <c r="J1682" i="25" s="1"/>
  <c r="H1601" i="25"/>
  <c r="J1601" i="25" s="1"/>
  <c r="H1580" i="25"/>
  <c r="J1580" i="25" s="1"/>
  <c r="H962" i="25"/>
  <c r="J962" i="25" s="1"/>
  <c r="D123" i="25"/>
  <c r="H1845" i="25" l="1"/>
  <c r="J1845" i="25" s="1"/>
  <c r="H1844" i="25"/>
  <c r="J1844" i="25" s="1"/>
  <c r="H1843" i="25"/>
  <c r="J1843" i="25" s="1"/>
  <c r="H1842" i="25"/>
  <c r="J1842" i="25" s="1"/>
  <c r="H1841" i="25"/>
  <c r="J1841" i="25" s="1"/>
  <c r="H1608" i="25"/>
  <c r="J1608" i="25" s="1"/>
  <c r="H1606" i="25"/>
  <c r="J1606" i="25" s="1"/>
  <c r="H1554" i="25"/>
  <c r="J1554" i="25" s="1"/>
  <c r="H1549" i="25"/>
  <c r="J1549" i="25" s="1"/>
  <c r="G1547" i="25"/>
  <c r="H1547" i="25" s="1"/>
  <c r="J1547" i="25" s="1"/>
  <c r="H1539" i="25"/>
  <c r="J1539" i="25" s="1"/>
  <c r="H1535" i="25"/>
  <c r="J1535" i="25" s="1"/>
  <c r="H1521" i="25"/>
  <c r="J1521" i="25" s="1"/>
  <c r="H1519" i="25"/>
  <c r="J1519" i="25" s="1"/>
  <c r="H1515" i="25"/>
  <c r="J1515" i="25" s="1"/>
  <c r="H1512" i="25"/>
  <c r="J1512" i="25" s="1"/>
  <c r="H1511" i="25"/>
  <c r="J1511" i="25" s="1"/>
  <c r="H1500" i="25"/>
  <c r="J1500" i="25" s="1"/>
  <c r="H1492" i="25"/>
  <c r="J1492" i="25" s="1"/>
  <c r="H1447" i="25"/>
  <c r="J1447" i="25" s="1"/>
  <c r="H1446" i="25"/>
  <c r="J1446" i="25" s="1"/>
  <c r="H1445" i="25"/>
  <c r="J1445" i="25" s="1"/>
  <c r="H1444" i="25"/>
  <c r="J1444" i="25" s="1"/>
  <c r="H1443" i="25"/>
  <c r="J1443" i="25" s="1"/>
  <c r="H1442" i="25"/>
  <c r="J1442" i="25" s="1"/>
  <c r="H1434" i="25"/>
  <c r="J1434" i="25" s="1"/>
  <c r="H1433" i="25"/>
  <c r="J1433" i="25" s="1"/>
  <c r="H1432" i="25"/>
  <c r="J1432" i="25" s="1"/>
  <c r="H1431" i="25"/>
  <c r="J1431" i="25" s="1"/>
  <c r="G1429" i="25"/>
  <c r="F1429" i="25"/>
  <c r="E1429" i="25"/>
  <c r="D1429" i="25"/>
  <c r="G1426" i="25"/>
  <c r="F1426" i="25"/>
  <c r="E1426" i="25"/>
  <c r="H1425" i="25"/>
  <c r="J1425" i="25" s="1"/>
  <c r="H1388" i="25"/>
  <c r="J1388" i="25" s="1"/>
  <c r="H1387" i="25"/>
  <c r="J1387" i="25" s="1"/>
  <c r="H1557" i="25" l="1"/>
  <c r="J1557" i="25" s="1"/>
  <c r="H1411" i="25"/>
  <c r="J1411" i="25" s="1"/>
  <c r="H1408" i="25"/>
  <c r="J1408" i="25" s="1"/>
  <c r="H1537" i="25"/>
  <c r="J1537" i="25" s="1"/>
  <c r="H1562" i="25"/>
  <c r="J1562" i="25" s="1"/>
  <c r="H1414" i="25"/>
  <c r="J1414" i="25" s="1"/>
  <c r="H1424" i="25"/>
  <c r="J1424" i="25" s="1"/>
  <c r="H1390" i="25"/>
  <c r="J1390" i="25" s="1"/>
  <c r="H1409" i="25"/>
  <c r="J1409" i="25" s="1"/>
  <c r="H1412" i="25"/>
  <c r="J1412" i="25" s="1"/>
  <c r="H1413" i="25"/>
  <c r="J1413" i="25" s="1"/>
  <c r="H1439" i="25"/>
  <c r="J1439" i="25" s="1"/>
  <c r="H1384" i="25"/>
  <c r="J1384" i="25" s="1"/>
  <c r="H1386" i="25"/>
  <c r="J1386" i="25" s="1"/>
  <c r="H1402" i="25"/>
  <c r="J1402" i="25" s="1"/>
  <c r="H1410" i="25"/>
  <c r="J1410" i="25" s="1"/>
  <c r="H1417" i="25"/>
  <c r="J1417" i="25" s="1"/>
  <c r="H1427" i="25"/>
  <c r="J1427" i="25" s="1"/>
  <c r="H1428" i="25"/>
  <c r="J1428" i="25" s="1"/>
  <c r="H1429" i="25"/>
  <c r="J1429" i="25" s="1"/>
  <c r="H1426" i="25"/>
  <c r="J1426" i="25" s="1"/>
  <c r="H1441" i="25"/>
  <c r="J1441" i="25" s="1"/>
  <c r="H1750" i="25"/>
  <c r="J1750" i="25" s="1"/>
  <c r="H1600" i="25"/>
  <c r="J1600" i="25" s="1"/>
  <c r="H1607" i="25"/>
  <c r="J1607" i="25" s="1"/>
  <c r="H2064" i="25"/>
  <c r="J2064" i="25" s="1"/>
  <c r="H2068" i="25"/>
  <c r="J2068" i="25" s="1"/>
  <c r="H2067" i="25"/>
  <c r="J2067" i="25" s="1"/>
  <c r="H2066" i="25"/>
  <c r="J2066" i="25" s="1"/>
  <c r="H2065" i="25"/>
  <c r="J2065" i="25" s="1"/>
  <c r="H2062" i="25"/>
  <c r="J2062" i="25" s="1"/>
  <c r="H2069" i="25" l="1"/>
  <c r="J2069" i="25" s="1"/>
  <c r="I2063" i="25"/>
  <c r="H2063" i="25"/>
  <c r="I1292" i="25"/>
  <c r="H2039" i="25"/>
  <c r="J2039" i="25" s="1"/>
  <c r="J2063" i="25" l="1"/>
  <c r="K2070" i="25" s="1"/>
  <c r="J2003" i="25"/>
  <c r="J2004" i="25"/>
  <c r="J2005" i="25"/>
  <c r="J2006" i="25"/>
  <c r="J2007" i="25"/>
  <c r="J2002" i="25"/>
  <c r="H51" i="25" l="1"/>
  <c r="J51" i="25" s="1"/>
  <c r="H50" i="25"/>
  <c r="J50" i="25" s="1"/>
  <c r="H1665" i="25" l="1"/>
  <c r="J1665" i="25" s="1"/>
  <c r="H59" i="25"/>
  <c r="J59" i="25" s="1"/>
  <c r="H2058" i="25" l="1"/>
  <c r="J2058" i="25" s="1"/>
  <c r="H2060" i="25"/>
  <c r="J2060" i="25" s="1"/>
  <c r="H2057" i="25"/>
  <c r="J2057" i="25" s="1"/>
  <c r="J2000" i="25"/>
  <c r="H1662" i="25"/>
  <c r="J1662" i="25" s="1"/>
  <c r="K2061" i="25" l="1"/>
  <c r="H1932" i="25"/>
  <c r="J1932" i="25" s="1"/>
  <c r="H1957" i="25" l="1"/>
  <c r="J1957" i="25" s="1"/>
  <c r="H1368" i="25"/>
  <c r="J2008" i="25" l="1"/>
  <c r="J1329" i="25"/>
  <c r="J1330" i="25"/>
  <c r="J1331" i="25"/>
  <c r="J1332" i="25"/>
  <c r="J1333" i="25"/>
  <c r="J1334" i="25"/>
  <c r="J1328" i="25"/>
  <c r="J1275" i="25"/>
  <c r="J1276" i="25"/>
  <c r="J1277" i="25"/>
  <c r="J1290" i="25"/>
  <c r="J1291" i="25"/>
  <c r="H1260" i="25"/>
  <c r="J1260" i="25" s="1"/>
  <c r="H2036" i="25" l="1"/>
  <c r="J2036" i="25" s="1"/>
  <c r="H2026" i="25"/>
  <c r="J2026" i="25" s="1"/>
  <c r="J2010" i="25"/>
  <c r="H1987" i="25"/>
  <c r="J1987" i="25" s="1"/>
  <c r="H1990" i="25"/>
  <c r="J1990" i="25" s="1"/>
  <c r="H1933" i="25"/>
  <c r="J1933" i="25" s="1"/>
  <c r="H1917" i="25"/>
  <c r="J1917" i="25" s="1"/>
  <c r="H1916" i="25"/>
  <c r="J1916" i="25" s="1"/>
  <c r="H134" i="25" l="1"/>
  <c r="J134" i="25" s="1"/>
  <c r="H135" i="25"/>
  <c r="J135" i="25" s="1"/>
  <c r="H136" i="25"/>
  <c r="J136" i="25" s="1"/>
  <c r="H137" i="25"/>
  <c r="J137" i="25" s="1"/>
  <c r="H138" i="25"/>
  <c r="J138" i="25" s="1"/>
  <c r="H139" i="25"/>
  <c r="J139" i="25" s="1"/>
  <c r="H140" i="25"/>
  <c r="J140" i="25" s="1"/>
  <c r="H141" i="25"/>
  <c r="J141" i="25" s="1"/>
  <c r="H142" i="25"/>
  <c r="J142" i="25" s="1"/>
  <c r="H143" i="25"/>
  <c r="J143" i="25" s="1"/>
  <c r="H144" i="25"/>
  <c r="J144" i="25" s="1"/>
  <c r="H145" i="25"/>
  <c r="J145" i="25" s="1"/>
  <c r="H146" i="25"/>
  <c r="J146" i="25" s="1"/>
  <c r="H147" i="25"/>
  <c r="J147" i="25" s="1"/>
  <c r="H148" i="25"/>
  <c r="J148" i="25" s="1"/>
  <c r="H149" i="25"/>
  <c r="J149" i="25" s="1"/>
  <c r="H150" i="25"/>
  <c r="J150" i="25" s="1"/>
  <c r="H151" i="25"/>
  <c r="J151" i="25" s="1"/>
  <c r="H152" i="25"/>
  <c r="J152" i="25" s="1"/>
  <c r="H153" i="25"/>
  <c r="J153" i="25" s="1"/>
  <c r="H133" i="25"/>
  <c r="J133" i="25" s="1"/>
  <c r="H85" i="25"/>
  <c r="J85" i="25" s="1"/>
  <c r="H86" i="25"/>
  <c r="J86" i="25" s="1"/>
  <c r="H87" i="25"/>
  <c r="J87" i="25" s="1"/>
  <c r="H88" i="25"/>
  <c r="J88" i="25" s="1"/>
  <c r="H89" i="25"/>
  <c r="J89" i="25" s="1"/>
  <c r="H91" i="25"/>
  <c r="J91" i="25" s="1"/>
  <c r="H92" i="25"/>
  <c r="J92" i="25" s="1"/>
  <c r="H93" i="25"/>
  <c r="J93" i="25" s="1"/>
  <c r="H94" i="25"/>
  <c r="J94" i="25" s="1"/>
  <c r="H95" i="25"/>
  <c r="J95" i="25" s="1"/>
  <c r="H96" i="25"/>
  <c r="J96" i="25" s="1"/>
  <c r="H97" i="25"/>
  <c r="J97" i="25" s="1"/>
  <c r="H98" i="25"/>
  <c r="J98" i="25" s="1"/>
  <c r="H100" i="25"/>
  <c r="J100" i="25" s="1"/>
  <c r="H101" i="25"/>
  <c r="J101" i="25" s="1"/>
  <c r="H102" i="25"/>
  <c r="J102" i="25" s="1"/>
  <c r="H103" i="25"/>
  <c r="J103" i="25" s="1"/>
  <c r="H104" i="25"/>
  <c r="J104" i="25" s="1"/>
  <c r="H105" i="25"/>
  <c r="J105" i="25" s="1"/>
  <c r="H106" i="25"/>
  <c r="J106" i="25" s="1"/>
  <c r="H107" i="25"/>
  <c r="J107" i="25" s="1"/>
  <c r="H108" i="25"/>
  <c r="J108" i="25" s="1"/>
  <c r="H109" i="25"/>
  <c r="J109" i="25" s="1"/>
  <c r="H111" i="25"/>
  <c r="J111" i="25" s="1"/>
  <c r="H112" i="25"/>
  <c r="J112" i="25" s="1"/>
  <c r="H113" i="25"/>
  <c r="J113" i="25" s="1"/>
  <c r="H114" i="25"/>
  <c r="J114" i="25" s="1"/>
  <c r="H115" i="25"/>
  <c r="J115" i="25" s="1"/>
  <c r="H116" i="25"/>
  <c r="J116" i="25" s="1"/>
  <c r="H117" i="25"/>
  <c r="J117" i="25" s="1"/>
  <c r="H118" i="25"/>
  <c r="J118" i="25" s="1"/>
  <c r="H119" i="25"/>
  <c r="J119" i="25" s="1"/>
  <c r="H120" i="25"/>
  <c r="J120" i="25" s="1"/>
  <c r="H82" i="25"/>
  <c r="J82" i="25" s="1"/>
  <c r="H83" i="25"/>
  <c r="J83" i="25" s="1"/>
  <c r="H84" i="25"/>
  <c r="J84" i="25" s="1"/>
  <c r="H81" i="25"/>
  <c r="J81" i="25" s="1"/>
  <c r="H1882" i="25" l="1"/>
  <c r="J1882" i="25" s="1"/>
  <c r="H57" i="25"/>
  <c r="J57" i="25" s="1"/>
  <c r="H2046" i="25" l="1"/>
  <c r="J2046" i="25" s="1"/>
  <c r="H2047" i="25"/>
  <c r="J2047" i="25" s="1"/>
  <c r="H2049" i="25"/>
  <c r="J2049" i="25" s="1"/>
  <c r="H2050" i="25"/>
  <c r="J2050" i="25" s="1"/>
  <c r="H2051" i="25"/>
  <c r="J2051" i="25" s="1"/>
  <c r="H2052" i="25"/>
  <c r="J2052" i="25" s="1"/>
  <c r="H2054" i="25"/>
  <c r="H2055" i="25"/>
  <c r="J2055" i="25" s="1"/>
  <c r="H2045" i="25"/>
  <c r="J2045" i="25" s="1"/>
  <c r="I2054" i="25"/>
  <c r="H2027" i="25"/>
  <c r="J2027" i="25" s="1"/>
  <c r="K2048" i="25" l="1"/>
  <c r="K2053" i="25"/>
  <c r="K2052" i="25"/>
  <c r="K2047" i="25"/>
  <c r="J2054" i="25"/>
  <c r="K2055" i="25" l="1"/>
  <c r="K2056" i="25"/>
  <c r="H77" i="25"/>
  <c r="J77" i="25" s="1"/>
  <c r="H78" i="25"/>
  <c r="J78" i="25" s="1"/>
  <c r="H74" i="25"/>
  <c r="J74" i="25" s="1"/>
  <c r="H72" i="25"/>
  <c r="J72" i="25" s="1"/>
  <c r="H71" i="25"/>
  <c r="J71" i="25" s="1"/>
  <c r="H62" i="25"/>
  <c r="J62" i="25" s="1"/>
  <c r="J1368" i="25" l="1"/>
  <c r="J2009" i="25"/>
  <c r="K1563" i="25" l="1"/>
  <c r="K1564" i="25"/>
  <c r="H2043" i="25"/>
  <c r="J2043" i="25" s="1"/>
  <c r="H2042" i="25"/>
  <c r="J2042" i="25" s="1"/>
  <c r="H2038" i="25"/>
  <c r="J2038" i="25" s="1"/>
  <c r="H2037" i="25"/>
  <c r="J2037" i="25" s="1"/>
  <c r="H2035" i="25"/>
  <c r="J2035" i="25" s="1"/>
  <c r="H2034" i="25"/>
  <c r="J2034" i="25" s="1"/>
  <c r="H2033" i="25"/>
  <c r="J2033" i="25" s="1"/>
  <c r="H2032" i="25"/>
  <c r="J2032" i="25" s="1"/>
  <c r="H2028" i="25"/>
  <c r="J2028" i="25" s="1"/>
  <c r="H2025" i="25"/>
  <c r="J2025" i="25" s="1"/>
  <c r="H2022" i="25"/>
  <c r="J2022" i="25" s="1"/>
  <c r="H2021" i="25"/>
  <c r="J2021" i="25" s="1"/>
  <c r="H2020" i="25"/>
  <c r="J2020" i="25" s="1"/>
  <c r="H2019" i="25"/>
  <c r="J2019" i="25" s="1"/>
  <c r="H2018" i="25"/>
  <c r="J2018" i="25" s="1"/>
  <c r="H2017" i="25"/>
  <c r="J2017" i="25" s="1"/>
  <c r="J2015" i="25"/>
  <c r="J2014" i="25"/>
  <c r="J2013" i="25"/>
  <c r="J2012" i="25"/>
  <c r="J2011" i="25"/>
  <c r="J2001" i="25"/>
  <c r="J1998" i="25"/>
  <c r="J1994" i="25"/>
  <c r="H1992" i="25"/>
  <c r="J1992" i="25" s="1"/>
  <c r="H1991" i="25"/>
  <c r="J1991" i="25" s="1"/>
  <c r="H1989" i="25"/>
  <c r="J1989" i="25" s="1"/>
  <c r="H1988" i="25"/>
  <c r="J1988" i="25" s="1"/>
  <c r="H1976" i="25"/>
  <c r="J1976" i="25" s="1"/>
  <c r="H1975" i="25"/>
  <c r="J1975" i="25" s="1"/>
  <c r="H1974" i="25"/>
  <c r="J1974" i="25" s="1"/>
  <c r="H1973" i="25"/>
  <c r="J1973" i="25" s="1"/>
  <c r="H1972" i="25"/>
  <c r="J1972" i="25" s="1"/>
  <c r="H1971" i="25"/>
  <c r="J1971" i="25" s="1"/>
  <c r="I1970" i="25"/>
  <c r="H1970" i="25"/>
  <c r="H1969" i="25"/>
  <c r="J1969" i="25" s="1"/>
  <c r="H1968" i="25"/>
  <c r="J1968" i="25" s="1"/>
  <c r="H1967" i="25"/>
  <c r="J1967" i="25" s="1"/>
  <c r="H1965" i="25"/>
  <c r="J1965" i="25" s="1"/>
  <c r="H1962" i="25"/>
  <c r="J1962" i="25" s="1"/>
  <c r="H1961" i="25"/>
  <c r="J1961" i="25" s="1"/>
  <c r="H1960" i="25"/>
  <c r="J1960" i="25" s="1"/>
  <c r="H1959" i="25"/>
  <c r="J1959" i="25" s="1"/>
  <c r="H1958" i="25"/>
  <c r="J1958" i="25" s="1"/>
  <c r="H1954" i="25"/>
  <c r="J1954" i="25" s="1"/>
  <c r="H1944" i="25"/>
  <c r="J1944" i="25" s="1"/>
  <c r="H1943" i="25"/>
  <c r="J1943" i="25" s="1"/>
  <c r="H1942" i="25"/>
  <c r="J1942" i="25" s="1"/>
  <c r="H1941" i="25"/>
  <c r="J1941" i="25" s="1"/>
  <c r="J1939" i="25"/>
  <c r="H1937" i="25"/>
  <c r="J1937" i="25" s="1"/>
  <c r="H1936" i="25"/>
  <c r="J1936" i="25" s="1"/>
  <c r="H1935" i="25"/>
  <c r="J1935" i="25" s="1"/>
  <c r="H1934" i="25"/>
  <c r="J1934" i="25" s="1"/>
  <c r="H1931" i="25"/>
  <c r="J1931" i="25" s="1"/>
  <c r="H1930" i="25"/>
  <c r="J1930" i="25" s="1"/>
  <c r="H1929" i="25"/>
  <c r="J1929" i="25" s="1"/>
  <c r="H1928" i="25"/>
  <c r="J1928" i="25" s="1"/>
  <c r="H1927" i="25"/>
  <c r="J1927" i="25" s="1"/>
  <c r="H1926" i="25"/>
  <c r="J1926" i="25" s="1"/>
  <c r="H1925" i="25"/>
  <c r="J1925" i="25" s="1"/>
  <c r="H1924" i="25"/>
  <c r="J1924" i="25" s="1"/>
  <c r="H1923" i="25"/>
  <c r="J1923" i="25" s="1"/>
  <c r="H1920" i="25"/>
  <c r="J1920" i="25" s="1"/>
  <c r="H1919" i="25"/>
  <c r="J1919" i="25" s="1"/>
  <c r="H1918" i="25"/>
  <c r="J1918" i="25" s="1"/>
  <c r="H1915" i="25"/>
  <c r="J1915" i="25" s="1"/>
  <c r="H1914" i="25"/>
  <c r="J1914" i="25" s="1"/>
  <c r="H1913" i="25"/>
  <c r="J1913" i="25" s="1"/>
  <c r="H1912" i="25"/>
  <c r="J1912" i="25" s="1"/>
  <c r="H1911" i="25"/>
  <c r="J1911" i="25" s="1"/>
  <c r="H1910" i="25"/>
  <c r="J1910" i="25" s="1"/>
  <c r="H1909" i="25"/>
  <c r="J1909" i="25" s="1"/>
  <c r="J1903" i="25"/>
  <c r="I1898" i="25"/>
  <c r="J1898" i="25" s="1"/>
  <c r="I1891" i="25"/>
  <c r="J1891" i="25" s="1"/>
  <c r="H1885" i="25"/>
  <c r="J1885" i="25" s="1"/>
  <c r="H1883" i="25"/>
  <c r="J1883" i="25" s="1"/>
  <c r="I1881" i="25"/>
  <c r="H1881" i="25"/>
  <c r="H1880" i="25"/>
  <c r="J1880" i="25" s="1"/>
  <c r="H1871" i="25"/>
  <c r="J1871" i="25" s="1"/>
  <c r="H1870" i="25"/>
  <c r="J1870" i="25" s="1"/>
  <c r="I1834" i="25"/>
  <c r="J1834" i="25" s="1"/>
  <c r="I1742" i="25"/>
  <c r="J1742" i="25" s="1"/>
  <c r="I1741" i="25"/>
  <c r="J1741" i="25" s="1"/>
  <c r="I1738" i="25"/>
  <c r="J1738" i="25" s="1"/>
  <c r="I1671" i="25"/>
  <c r="J1671" i="25" s="1"/>
  <c r="H1669" i="25"/>
  <c r="J1669" i="25" s="1"/>
  <c r="H1667" i="25"/>
  <c r="J1667" i="25" s="1"/>
  <c r="I1666" i="25"/>
  <c r="H1666" i="25"/>
  <c r="H1664" i="25"/>
  <c r="J1664" i="25" s="1"/>
  <c r="H1663" i="25"/>
  <c r="J1663" i="25" s="1"/>
  <c r="H1661" i="25"/>
  <c r="J1661" i="25" s="1"/>
  <c r="H1660" i="25"/>
  <c r="J1660" i="25" s="1"/>
  <c r="I1659" i="25"/>
  <c r="H1659" i="25"/>
  <c r="I1657" i="25"/>
  <c r="J1657" i="25" s="1"/>
  <c r="I1652" i="25"/>
  <c r="J1652" i="25" s="1"/>
  <c r="I1642" i="25"/>
  <c r="J1642" i="25" s="1"/>
  <c r="H1638" i="25"/>
  <c r="J1638" i="25" s="1"/>
  <c r="H1613" i="25"/>
  <c r="J1613" i="25" s="1"/>
  <c r="I1576" i="25"/>
  <c r="J1576" i="25" s="1"/>
  <c r="I1572" i="25"/>
  <c r="I1568" i="25"/>
  <c r="J1568" i="25" s="1"/>
  <c r="J1565" i="25"/>
  <c r="J1336" i="25"/>
  <c r="K1366" i="25" s="1"/>
  <c r="J1298" i="25"/>
  <c r="J1297" i="25"/>
  <c r="J1296" i="25"/>
  <c r="J1295" i="25"/>
  <c r="J1294" i="25"/>
  <c r="J1327" i="25"/>
  <c r="J1326" i="25"/>
  <c r="J1325" i="25"/>
  <c r="J1324" i="25"/>
  <c r="J1323" i="25"/>
  <c r="J1322" i="25"/>
  <c r="J1321" i="25"/>
  <c r="J1320" i="25"/>
  <c r="J1319" i="25"/>
  <c r="J1318" i="25"/>
  <c r="J1317" i="25"/>
  <c r="J1316" i="25"/>
  <c r="J1315" i="25"/>
  <c r="J1314" i="25"/>
  <c r="J1313" i="25"/>
  <c r="J1312" i="25"/>
  <c r="J1311" i="25"/>
  <c r="J1310" i="25"/>
  <c r="J1309" i="25"/>
  <c r="J1308" i="25"/>
  <c r="J1307" i="25"/>
  <c r="J1306" i="25"/>
  <c r="J1305" i="25"/>
  <c r="J1304" i="25"/>
  <c r="J1303" i="25"/>
  <c r="J1302" i="25"/>
  <c r="J1301" i="25"/>
  <c r="J1300" i="25"/>
  <c r="J1299" i="25"/>
  <c r="J1293" i="25"/>
  <c r="J1284" i="25"/>
  <c r="J1283" i="25"/>
  <c r="J1282" i="25"/>
  <c r="J1281" i="25"/>
  <c r="J1280" i="25"/>
  <c r="J1279" i="25"/>
  <c r="J1278" i="25"/>
  <c r="J1273" i="25"/>
  <c r="H967" i="25"/>
  <c r="J967" i="25" s="1"/>
  <c r="K1259" i="25" s="1"/>
  <c r="J948" i="25"/>
  <c r="J939" i="25"/>
  <c r="I927" i="25"/>
  <c r="J927" i="25" s="1"/>
  <c r="I926" i="25"/>
  <c r="J926" i="25" s="1"/>
  <c r="I910" i="25"/>
  <c r="J910" i="25" s="1"/>
  <c r="I909" i="25"/>
  <c r="J909" i="25" s="1"/>
  <c r="I904" i="25"/>
  <c r="J904" i="25" s="1"/>
  <c r="I903" i="25"/>
  <c r="J903" i="25" s="1"/>
  <c r="I902" i="25"/>
  <c r="J902" i="25" s="1"/>
  <c r="I901" i="25"/>
  <c r="J901" i="25" s="1"/>
  <c r="I900" i="25"/>
  <c r="J900" i="25" s="1"/>
  <c r="I899" i="25"/>
  <c r="J899" i="25" s="1"/>
  <c r="I898" i="25"/>
  <c r="J898" i="25" s="1"/>
  <c r="I897" i="25"/>
  <c r="J897" i="25" s="1"/>
  <c r="I896" i="25"/>
  <c r="J896" i="25" s="1"/>
  <c r="I895" i="25"/>
  <c r="J895" i="25" s="1"/>
  <c r="I811" i="25"/>
  <c r="J811" i="25" s="1"/>
  <c r="I810" i="25"/>
  <c r="J810" i="25" s="1"/>
  <c r="I809" i="25"/>
  <c r="J809" i="25" s="1"/>
  <c r="H280" i="25"/>
  <c r="J280" i="25" s="1"/>
  <c r="H269" i="25"/>
  <c r="J269" i="25" s="1"/>
  <c r="H191" i="25"/>
  <c r="J191" i="25" s="1"/>
  <c r="H190" i="25"/>
  <c r="J190" i="25" s="1"/>
  <c r="H187" i="25"/>
  <c r="J187" i="25" s="1"/>
  <c r="H186" i="25"/>
  <c r="J186" i="25" s="1"/>
  <c r="H185" i="25"/>
  <c r="J185" i="25" s="1"/>
  <c r="H183" i="25"/>
  <c r="J183" i="25" s="1"/>
  <c r="H182" i="25"/>
  <c r="J182" i="25" s="1"/>
  <c r="H181" i="25"/>
  <c r="J181" i="25" s="1"/>
  <c r="H180" i="25"/>
  <c r="J180" i="25" s="1"/>
  <c r="H179" i="25"/>
  <c r="J179" i="25" s="1"/>
  <c r="H178" i="25"/>
  <c r="J178" i="25" s="1"/>
  <c r="H177" i="25"/>
  <c r="J177" i="25" s="1"/>
  <c r="H176" i="25"/>
  <c r="J176" i="25" s="1"/>
  <c r="H175" i="25"/>
  <c r="J175" i="25" s="1"/>
  <c r="H174" i="25"/>
  <c r="J174" i="25" s="1"/>
  <c r="H173" i="25"/>
  <c r="J173" i="25" s="1"/>
  <c r="H171" i="25"/>
  <c r="J171" i="25" s="1"/>
  <c r="H170" i="25"/>
  <c r="J170" i="25" s="1"/>
  <c r="H169" i="25"/>
  <c r="J169" i="25" s="1"/>
  <c r="H168" i="25"/>
  <c r="J168" i="25" s="1"/>
  <c r="H167" i="25"/>
  <c r="J167" i="25" s="1"/>
  <c r="H166" i="25"/>
  <c r="J166" i="25" s="1"/>
  <c r="H165" i="25"/>
  <c r="J165" i="25" s="1"/>
  <c r="H164" i="25"/>
  <c r="J164" i="25" s="1"/>
  <c r="H163" i="25"/>
  <c r="J163" i="25" s="1"/>
  <c r="H162" i="25"/>
  <c r="J162" i="25" s="1"/>
  <c r="H161" i="25"/>
  <c r="J161" i="25" s="1"/>
  <c r="H160" i="25"/>
  <c r="J160" i="25" s="1"/>
  <c r="H159" i="25"/>
  <c r="J159" i="25" s="1"/>
  <c r="H158" i="25"/>
  <c r="J158" i="25" s="1"/>
  <c r="H157" i="25"/>
  <c r="J157" i="25" s="1"/>
  <c r="H156" i="25"/>
  <c r="J156" i="25" s="1"/>
  <c r="H155" i="25"/>
  <c r="J155" i="25" s="1"/>
  <c r="H132" i="25"/>
  <c r="J132" i="25" s="1"/>
  <c r="H131" i="25"/>
  <c r="J131" i="25" s="1"/>
  <c r="H129" i="25"/>
  <c r="J129" i="25" s="1"/>
  <c r="H128" i="25"/>
  <c r="J128" i="25" s="1"/>
  <c r="H127" i="25"/>
  <c r="J127" i="25" s="1"/>
  <c r="H126" i="25"/>
  <c r="J126" i="25" s="1"/>
  <c r="H125" i="25"/>
  <c r="J125" i="25" s="1"/>
  <c r="I124" i="25"/>
  <c r="H124" i="25"/>
  <c r="H123" i="25"/>
  <c r="J123" i="25" s="1"/>
  <c r="H122" i="25"/>
  <c r="J122" i="25" s="1"/>
  <c r="H80" i="25"/>
  <c r="J80" i="25" s="1"/>
  <c r="H79" i="25"/>
  <c r="J79" i="25" s="1"/>
  <c r="H76" i="25"/>
  <c r="J76" i="25" s="1"/>
  <c r="H75" i="25"/>
  <c r="J75" i="25" s="1"/>
  <c r="H70" i="25"/>
  <c r="J70" i="25" s="1"/>
  <c r="H69" i="25"/>
  <c r="J69" i="25" s="1"/>
  <c r="H58" i="25"/>
  <c r="J58" i="25" s="1"/>
  <c r="H55" i="25"/>
  <c r="J55" i="25" s="1"/>
  <c r="H49" i="25"/>
  <c r="J49" i="25" s="1"/>
  <c r="H48" i="25"/>
  <c r="J48" i="25" s="1"/>
  <c r="H47" i="25"/>
  <c r="J47" i="25" s="1"/>
  <c r="J44" i="25"/>
  <c r="H37" i="25"/>
  <c r="J37" i="25" s="1"/>
  <c r="H36" i="25"/>
  <c r="J36" i="25" s="1"/>
  <c r="H34" i="25"/>
  <c r="J34" i="25" s="1"/>
  <c r="I27" i="25"/>
  <c r="J27" i="25" s="1"/>
  <c r="H19" i="25"/>
  <c r="J19" i="25" s="1"/>
  <c r="H17" i="25"/>
  <c r="J17" i="25" s="1"/>
  <c r="H16" i="25"/>
  <c r="J16" i="25" s="1"/>
  <c r="H15" i="25"/>
  <c r="J15" i="25" s="1"/>
  <c r="H14" i="25"/>
  <c r="J14" i="25" s="1"/>
  <c r="H13" i="25"/>
  <c r="J13" i="25" s="1"/>
  <c r="H12" i="25"/>
  <c r="J12" i="25" s="1"/>
  <c r="H11" i="25"/>
  <c r="J11" i="25" s="1"/>
  <c r="K2031" i="25" l="1"/>
  <c r="K2024" i="25"/>
  <c r="K121" i="25"/>
  <c r="K1900" i="25"/>
  <c r="K38" i="25"/>
  <c r="K18" i="25"/>
  <c r="K268" i="25"/>
  <c r="K1658" i="25"/>
  <c r="K45" i="25"/>
  <c r="K46" i="25"/>
  <c r="B10" i="26" s="1"/>
  <c r="K1907" i="25"/>
  <c r="K1908" i="25"/>
  <c r="K1940" i="25"/>
  <c r="K965" i="25"/>
  <c r="K966" i="25"/>
  <c r="K1869" i="25"/>
  <c r="K938" i="25"/>
  <c r="K946" i="25"/>
  <c r="K947" i="25"/>
  <c r="K56" i="25"/>
  <c r="K272" i="25"/>
  <c r="K273" i="25"/>
  <c r="K1966" i="25"/>
  <c r="K35" i="25"/>
  <c r="K1571" i="25"/>
  <c r="K1636" i="25"/>
  <c r="K1637" i="25"/>
  <c r="K2044" i="25"/>
  <c r="K2016" i="25"/>
  <c r="K2030" i="25"/>
  <c r="K1247" i="25"/>
  <c r="B19" i="26"/>
  <c r="K120" i="25"/>
  <c r="K1899" i="25"/>
  <c r="K1570" i="25"/>
  <c r="K1657" i="25"/>
  <c r="K1965" i="25"/>
  <c r="K2023" i="25"/>
  <c r="K1939" i="25"/>
  <c r="K1868" i="25"/>
  <c r="K937" i="25"/>
  <c r="K2015" i="25"/>
  <c r="K2043" i="25"/>
  <c r="J124" i="25"/>
  <c r="K154" i="25" s="1"/>
  <c r="J1970" i="25"/>
  <c r="K1992" i="25" s="1"/>
  <c r="J1666" i="25"/>
  <c r="J1881" i="25"/>
  <c r="K1883" i="25" s="1"/>
  <c r="K267" i="25"/>
  <c r="K17" i="25"/>
  <c r="K34" i="25"/>
  <c r="K37" i="25"/>
  <c r="K55" i="25"/>
  <c r="J1292" i="25"/>
  <c r="K1298" i="25" s="1"/>
  <c r="J1572" i="25"/>
  <c r="J1659" i="25"/>
  <c r="J1156" i="24"/>
  <c r="H1156" i="24"/>
  <c r="H822" i="24"/>
  <c r="J822" i="24" s="1"/>
  <c r="J821" i="24"/>
  <c r="H821" i="24"/>
  <c r="B9" i="26" l="1"/>
  <c r="B7" i="26"/>
  <c r="K1884" i="25"/>
  <c r="B11" i="26"/>
  <c r="K1335" i="25"/>
  <c r="K1668" i="25"/>
  <c r="K1993" i="25"/>
  <c r="K1611" i="25"/>
  <c r="K1612" i="25"/>
  <c r="K1667" i="25"/>
  <c r="K153" i="25"/>
  <c r="B12" i="26"/>
  <c r="B8" i="26"/>
  <c r="B13" i="26"/>
  <c r="J30" i="24"/>
  <c r="H30" i="24"/>
  <c r="K2071" i="25" l="1"/>
  <c r="J969" i="24"/>
  <c r="H1393" i="24"/>
  <c r="J1393" i="24" s="1"/>
  <c r="H75" i="24"/>
  <c r="J75" i="24" s="1"/>
  <c r="H395" i="24"/>
  <c r="J395" i="24" s="1"/>
  <c r="H394" i="24"/>
  <c r="J394" i="24" s="1"/>
  <c r="H1269" i="24"/>
  <c r="J1269" i="24" s="1"/>
  <c r="H790" i="24" l="1"/>
  <c r="J790" i="24" s="1"/>
  <c r="H1235" i="24"/>
  <c r="J1235" i="24" s="1"/>
  <c r="H1059" i="24"/>
  <c r="J1059" i="24" s="1"/>
  <c r="E1060" i="24"/>
  <c r="F1060" i="24"/>
  <c r="G1060" i="24"/>
  <c r="H1058" i="24"/>
  <c r="J1058" i="24" s="1"/>
  <c r="H1060" i="24" l="1"/>
  <c r="J1060" i="24" s="1"/>
  <c r="H1044" i="24"/>
  <c r="J1044" i="24" s="1"/>
  <c r="H1045" i="24"/>
  <c r="J1045" i="24" s="1"/>
  <c r="H1402" i="24" l="1"/>
  <c r="J1402" i="24" s="1"/>
  <c r="H1407" i="24"/>
  <c r="J1407" i="24" s="1"/>
  <c r="H1405" i="24"/>
  <c r="J1405" i="24" s="1"/>
  <c r="H1268" i="24"/>
  <c r="J1268" i="24" s="1"/>
  <c r="H1403" i="24"/>
  <c r="J1403" i="24" s="1"/>
  <c r="J986" i="24"/>
  <c r="H794" i="24"/>
  <c r="J794" i="24" s="1"/>
  <c r="J42" i="24" l="1"/>
  <c r="J43" i="24"/>
  <c r="J44" i="24"/>
  <c r="J45" i="24"/>
  <c r="J46" i="24"/>
  <c r="J47" i="24"/>
  <c r="J49" i="24"/>
  <c r="E56" i="24"/>
  <c r="F56" i="24"/>
  <c r="G56" i="24"/>
  <c r="H56" i="24" l="1"/>
  <c r="J56" i="24" s="1"/>
  <c r="H1251" i="24"/>
  <c r="J4" i="24"/>
  <c r="J5" i="24"/>
  <c r="J6" i="24"/>
  <c r="G3" i="24"/>
  <c r="G4" i="24"/>
  <c r="G5" i="24"/>
  <c r="G6" i="24"/>
  <c r="G7" i="24"/>
  <c r="G8" i="24"/>
  <c r="G10" i="24"/>
  <c r="G11" i="24"/>
  <c r="G12" i="24"/>
  <c r="G13" i="24"/>
  <c r="G14" i="24"/>
  <c r="G15" i="24"/>
  <c r="G16" i="24"/>
  <c r="G17" i="24"/>
  <c r="G19" i="24"/>
  <c r="G20" i="24"/>
  <c r="G22" i="24"/>
  <c r="G23" i="24"/>
  <c r="G25" i="24"/>
  <c r="G26" i="24"/>
  <c r="G27" i="24"/>
  <c r="G28" i="24"/>
  <c r="G29" i="24"/>
  <c r="G31" i="24"/>
  <c r="G33" i="24"/>
  <c r="G34" i="24"/>
  <c r="G35" i="24"/>
  <c r="G36" i="24"/>
  <c r="G37" i="24"/>
  <c r="G38" i="24"/>
  <c r="G39" i="24"/>
  <c r="G40" i="24"/>
  <c r="G41" i="24"/>
  <c r="G42" i="24"/>
  <c r="G43" i="24"/>
  <c r="G44" i="24"/>
  <c r="G45" i="24"/>
  <c r="G46" i="24"/>
  <c r="G47" i="24"/>
  <c r="G48" i="24"/>
  <c r="G49" i="24"/>
  <c r="G50" i="24"/>
  <c r="G51" i="24"/>
  <c r="G52" i="24"/>
  <c r="G53" i="24"/>
  <c r="G54" i="24"/>
  <c r="G55" i="24"/>
  <c r="G57" i="24"/>
  <c r="G58" i="24"/>
  <c r="G59" i="24"/>
  <c r="G60" i="24"/>
  <c r="G61" i="24"/>
  <c r="G62" i="24"/>
  <c r="G63" i="24"/>
  <c r="G64" i="24"/>
  <c r="G65" i="24"/>
  <c r="G67" i="24"/>
  <c r="G68" i="24"/>
  <c r="G69" i="24"/>
  <c r="G70" i="24"/>
  <c r="G71" i="24"/>
  <c r="G72" i="24"/>
  <c r="G73" i="24"/>
  <c r="G74" i="24"/>
  <c r="G76" i="24"/>
  <c r="G77" i="24"/>
  <c r="G79" i="24"/>
  <c r="G80" i="24"/>
  <c r="G81" i="24"/>
  <c r="G82" i="24"/>
  <c r="G83" i="24"/>
  <c r="G84" i="24"/>
  <c r="G85" i="24"/>
  <c r="G86" i="24"/>
  <c r="G87" i="24"/>
  <c r="G88" i="24"/>
  <c r="G89" i="24"/>
  <c r="G90" i="24"/>
  <c r="G91" i="24"/>
  <c r="G92" i="24"/>
  <c r="G93" i="24"/>
  <c r="G94" i="24"/>
  <c r="G95" i="24"/>
  <c r="G96" i="24"/>
  <c r="G97" i="24"/>
  <c r="G98" i="24"/>
  <c r="G99" i="24"/>
  <c r="G100" i="24"/>
  <c r="G101" i="24"/>
  <c r="G102" i="24"/>
  <c r="G103" i="24"/>
  <c r="G104" i="24"/>
  <c r="G105" i="24"/>
  <c r="G106" i="24"/>
  <c r="G107" i="24"/>
  <c r="G108" i="24"/>
  <c r="G109" i="24"/>
  <c r="G110" i="24"/>
  <c r="G111" i="24"/>
  <c r="G112" i="24"/>
  <c r="G113" i="24"/>
  <c r="G114" i="24"/>
  <c r="G115" i="24"/>
  <c r="G116" i="24"/>
  <c r="G117" i="24"/>
  <c r="G118" i="24"/>
  <c r="G119" i="24"/>
  <c r="G120" i="24"/>
  <c r="G121" i="24"/>
  <c r="G122" i="24"/>
  <c r="G123" i="24"/>
  <c r="G124" i="24"/>
  <c r="G125" i="24"/>
  <c r="G126" i="24"/>
  <c r="G127" i="24"/>
  <c r="G128" i="24"/>
  <c r="G129" i="24"/>
  <c r="G130" i="24"/>
  <c r="G131" i="24"/>
  <c r="G132" i="24"/>
  <c r="G133" i="24"/>
  <c r="G134" i="24"/>
  <c r="G135" i="24"/>
  <c r="G136" i="24"/>
  <c r="G137" i="24"/>
  <c r="G138" i="24"/>
  <c r="G139" i="24"/>
  <c r="G140" i="24"/>
  <c r="G141" i="24"/>
  <c r="G142" i="24"/>
  <c r="G143" i="24"/>
  <c r="G144" i="24"/>
  <c r="G145" i="24"/>
  <c r="G146" i="24"/>
  <c r="G147" i="24"/>
  <c r="G148" i="24"/>
  <c r="G149" i="24"/>
  <c r="G150" i="24"/>
  <c r="G151" i="24"/>
  <c r="G152" i="24"/>
  <c r="G153" i="24"/>
  <c r="G154" i="24"/>
  <c r="G155" i="24"/>
  <c r="G156" i="24"/>
  <c r="G157" i="24"/>
  <c r="G158" i="24"/>
  <c r="G159" i="24"/>
  <c r="G160" i="24"/>
  <c r="G161" i="24"/>
  <c r="G162" i="24"/>
  <c r="G163" i="24"/>
  <c r="G164" i="24"/>
  <c r="G165" i="24"/>
  <c r="G166" i="24"/>
  <c r="G167" i="24"/>
  <c r="G168" i="24"/>
  <c r="G169" i="24"/>
  <c r="G170" i="24"/>
  <c r="G171" i="24"/>
  <c r="G172" i="24"/>
  <c r="G173" i="24"/>
  <c r="G174" i="24"/>
  <c r="G175" i="24"/>
  <c r="G176" i="24"/>
  <c r="G177" i="24"/>
  <c r="G178" i="24"/>
  <c r="G179" i="24"/>
  <c r="G180" i="24"/>
  <c r="G181" i="24"/>
  <c r="G182" i="24"/>
  <c r="G183" i="24"/>
  <c r="G185" i="24"/>
  <c r="G186" i="24"/>
  <c r="G187" i="24"/>
  <c r="G188" i="24"/>
  <c r="G190" i="24"/>
  <c r="G191" i="24"/>
  <c r="G192" i="24"/>
  <c r="G193" i="24"/>
  <c r="G194" i="24"/>
  <c r="G195" i="24"/>
  <c r="G196" i="24"/>
  <c r="G197" i="24"/>
  <c r="G198" i="24"/>
  <c r="G199" i="24"/>
  <c r="G200" i="24"/>
  <c r="G201" i="24"/>
  <c r="G202" i="24"/>
  <c r="G203" i="24"/>
  <c r="G204" i="24"/>
  <c r="G205" i="24"/>
  <c r="G206" i="24"/>
  <c r="G207" i="24"/>
  <c r="G208" i="24"/>
  <c r="G209" i="24"/>
  <c r="G210" i="24"/>
  <c r="G211" i="24"/>
  <c r="G212" i="24"/>
  <c r="G213" i="24"/>
  <c r="G214" i="24"/>
  <c r="G215" i="24"/>
  <c r="G216" i="24"/>
  <c r="G217" i="24"/>
  <c r="G218" i="24"/>
  <c r="G219" i="24"/>
  <c r="G220" i="24"/>
  <c r="G221" i="24"/>
  <c r="G222" i="24"/>
  <c r="G223" i="24"/>
  <c r="G224" i="24"/>
  <c r="G225" i="24"/>
  <c r="G226" i="24"/>
  <c r="G227" i="24"/>
  <c r="G228" i="24"/>
  <c r="G229" i="24"/>
  <c r="G230" i="24"/>
  <c r="G231" i="24"/>
  <c r="G232" i="24"/>
  <c r="G233" i="24"/>
  <c r="G234" i="24"/>
  <c r="G235" i="24"/>
  <c r="G236" i="24"/>
  <c r="G237" i="24"/>
  <c r="G238" i="24"/>
  <c r="G239" i="24"/>
  <c r="G240" i="24"/>
  <c r="G241" i="24"/>
  <c r="G242" i="24"/>
  <c r="G243" i="24"/>
  <c r="G244" i="24"/>
  <c r="G245" i="24"/>
  <c r="G246" i="24"/>
  <c r="G247" i="24"/>
  <c r="G248" i="24"/>
  <c r="G249" i="24"/>
  <c r="G250" i="24"/>
  <c r="G251" i="24"/>
  <c r="G252" i="24"/>
  <c r="G253" i="24"/>
  <c r="G254" i="24"/>
  <c r="G255" i="24"/>
  <c r="G256" i="24"/>
  <c r="G257" i="24"/>
  <c r="G258" i="24"/>
  <c r="G259" i="24"/>
  <c r="G260" i="24"/>
  <c r="G261" i="24"/>
  <c r="G262" i="24"/>
  <c r="G263" i="24"/>
  <c r="G264" i="24"/>
  <c r="G265" i="24"/>
  <c r="G266" i="24"/>
  <c r="G267" i="24"/>
  <c r="G268" i="24"/>
  <c r="G269" i="24"/>
  <c r="G270" i="24"/>
  <c r="G271" i="24"/>
  <c r="G272" i="24"/>
  <c r="G273" i="24"/>
  <c r="G274" i="24"/>
  <c r="G275" i="24"/>
  <c r="G276" i="24"/>
  <c r="G277" i="24"/>
  <c r="G278" i="24"/>
  <c r="G279" i="24"/>
  <c r="G280" i="24"/>
  <c r="G281" i="24"/>
  <c r="G282" i="24"/>
  <c r="G283" i="24"/>
  <c r="G284" i="24"/>
  <c r="G285" i="24"/>
  <c r="G286" i="24"/>
  <c r="G287" i="24"/>
  <c r="G288" i="24"/>
  <c r="G289" i="24"/>
  <c r="G290" i="24"/>
  <c r="G291" i="24"/>
  <c r="G292" i="24"/>
  <c r="G293" i="24"/>
  <c r="G294" i="24"/>
  <c r="G295" i="24"/>
  <c r="G296" i="24"/>
  <c r="G297" i="24"/>
  <c r="G298" i="24"/>
  <c r="G299" i="24"/>
  <c r="G300" i="24"/>
  <c r="G301" i="24"/>
  <c r="G302" i="24"/>
  <c r="G303" i="24"/>
  <c r="G304" i="24"/>
  <c r="G305" i="24"/>
  <c r="G306" i="24"/>
  <c r="G307" i="24"/>
  <c r="G308" i="24"/>
  <c r="G309" i="24"/>
  <c r="G310" i="24"/>
  <c r="G311" i="24"/>
  <c r="G312" i="24"/>
  <c r="G313" i="24"/>
  <c r="G314" i="24"/>
  <c r="G315" i="24"/>
  <c r="G316" i="24"/>
  <c r="G317" i="24"/>
  <c r="G318" i="24"/>
  <c r="G319" i="24"/>
  <c r="G320" i="24"/>
  <c r="G321" i="24"/>
  <c r="G322" i="24"/>
  <c r="G323" i="24"/>
  <c r="G324" i="24"/>
  <c r="G325" i="24"/>
  <c r="G326" i="24"/>
  <c r="G327" i="24"/>
  <c r="G328" i="24"/>
  <c r="G329" i="24"/>
  <c r="G330" i="24"/>
  <c r="G331" i="24"/>
  <c r="G332" i="24"/>
  <c r="G333" i="24"/>
  <c r="G334" i="24"/>
  <c r="G335" i="24"/>
  <c r="G336" i="24"/>
  <c r="G337" i="24"/>
  <c r="G338" i="24"/>
  <c r="G339" i="24"/>
  <c r="G340" i="24"/>
  <c r="G341" i="24"/>
  <c r="G342" i="24"/>
  <c r="G343" i="24"/>
  <c r="G344" i="24"/>
  <c r="G345" i="24"/>
  <c r="G346" i="24"/>
  <c r="G347" i="24"/>
  <c r="G348" i="24"/>
  <c r="G349" i="24"/>
  <c r="G350" i="24"/>
  <c r="G351" i="24"/>
  <c r="G352" i="24"/>
  <c r="G353" i="24"/>
  <c r="G354" i="24"/>
  <c r="G355" i="24"/>
  <c r="G356" i="24"/>
  <c r="G357" i="24"/>
  <c r="G358" i="24"/>
  <c r="G359" i="24"/>
  <c r="G360" i="24"/>
  <c r="G361" i="24"/>
  <c r="G362" i="24"/>
  <c r="G363" i="24"/>
  <c r="G364" i="24"/>
  <c r="G365" i="24"/>
  <c r="G366" i="24"/>
  <c r="G367" i="24"/>
  <c r="G368" i="24"/>
  <c r="G369" i="24"/>
  <c r="G370" i="24"/>
  <c r="G371" i="24"/>
  <c r="G372" i="24"/>
  <c r="G373" i="24"/>
  <c r="G374" i="24"/>
  <c r="G375" i="24"/>
  <c r="G376" i="24"/>
  <c r="G377" i="24"/>
  <c r="G378" i="24"/>
  <c r="G379" i="24"/>
  <c r="G380" i="24"/>
  <c r="G381" i="24"/>
  <c r="G382" i="24"/>
  <c r="G383" i="24"/>
  <c r="G384" i="24"/>
  <c r="G385" i="24"/>
  <c r="G386" i="24"/>
  <c r="G387" i="24"/>
  <c r="G388" i="24"/>
  <c r="G389" i="24"/>
  <c r="G390" i="24"/>
  <c r="G391" i="24"/>
  <c r="G392" i="24"/>
  <c r="G393" i="24"/>
  <c r="G396" i="24"/>
  <c r="G397" i="24"/>
  <c r="G398" i="24"/>
  <c r="G399" i="24"/>
  <c r="G400" i="24"/>
  <c r="G401" i="24"/>
  <c r="G402" i="24"/>
  <c r="G403" i="24"/>
  <c r="G404" i="24"/>
  <c r="G405" i="24"/>
  <c r="G406" i="24"/>
  <c r="G407" i="24"/>
  <c r="G408" i="24"/>
  <c r="G409" i="24"/>
  <c r="G410" i="24"/>
  <c r="G411" i="24"/>
  <c r="G412" i="24"/>
  <c r="G413" i="24"/>
  <c r="G414" i="24"/>
  <c r="G415" i="24"/>
  <c r="G416" i="24"/>
  <c r="G417" i="24"/>
  <c r="G418" i="24"/>
  <c r="G419" i="24"/>
  <c r="G420" i="24"/>
  <c r="G421" i="24"/>
  <c r="G422" i="24"/>
  <c r="G423" i="24"/>
  <c r="G424" i="24"/>
  <c r="G425" i="24"/>
  <c r="G426" i="24"/>
  <c r="G427" i="24"/>
  <c r="G428" i="24"/>
  <c r="G429" i="24"/>
  <c r="G430" i="24"/>
  <c r="G431" i="24"/>
  <c r="G432" i="24"/>
  <c r="G433" i="24"/>
  <c r="G434" i="24"/>
  <c r="G435" i="24"/>
  <c r="G436" i="24"/>
  <c r="G437" i="24"/>
  <c r="G438" i="24"/>
  <c r="G439" i="24"/>
  <c r="G440" i="24"/>
  <c r="G441" i="24"/>
  <c r="G442" i="24"/>
  <c r="G443" i="24"/>
  <c r="G444" i="24"/>
  <c r="G445" i="24"/>
  <c r="G446" i="24"/>
  <c r="G447" i="24"/>
  <c r="G448" i="24"/>
  <c r="G449" i="24"/>
  <c r="G450" i="24"/>
  <c r="G451" i="24"/>
  <c r="G452" i="24"/>
  <c r="G453" i="24"/>
  <c r="G454" i="24"/>
  <c r="G455" i="24"/>
  <c r="G456" i="24"/>
  <c r="G457" i="24"/>
  <c r="G458" i="24"/>
  <c r="G459" i="24"/>
  <c r="G460" i="24"/>
  <c r="G461" i="24"/>
  <c r="G462" i="24"/>
  <c r="G463" i="24"/>
  <c r="G464" i="24"/>
  <c r="G465" i="24"/>
  <c r="G466" i="24"/>
  <c r="G467" i="24"/>
  <c r="G468" i="24"/>
  <c r="G469" i="24"/>
  <c r="G470" i="24"/>
  <c r="G471" i="24"/>
  <c r="G472" i="24"/>
  <c r="G473" i="24"/>
  <c r="G474" i="24"/>
  <c r="G475" i="24"/>
  <c r="G476" i="24"/>
  <c r="G477" i="24"/>
  <c r="G478" i="24"/>
  <c r="G479" i="24"/>
  <c r="G480" i="24"/>
  <c r="G481" i="24"/>
  <c r="G482" i="24"/>
  <c r="G483" i="24"/>
  <c r="G484" i="24"/>
  <c r="G485" i="24"/>
  <c r="G486" i="24"/>
  <c r="G487" i="24"/>
  <c r="G488" i="24"/>
  <c r="G489" i="24"/>
  <c r="G490" i="24"/>
  <c r="G491" i="24"/>
  <c r="G492" i="24"/>
  <c r="G493" i="24"/>
  <c r="G494" i="24"/>
  <c r="G495" i="24"/>
  <c r="G496" i="24"/>
  <c r="G497" i="24"/>
  <c r="G498" i="24"/>
  <c r="G499" i="24"/>
  <c r="G500" i="24"/>
  <c r="G501" i="24"/>
  <c r="G502" i="24"/>
  <c r="G503" i="24"/>
  <c r="G504" i="24"/>
  <c r="G505" i="24"/>
  <c r="G506" i="24"/>
  <c r="G507" i="24"/>
  <c r="G508" i="24"/>
  <c r="G509" i="24"/>
  <c r="G510" i="24"/>
  <c r="G511" i="24"/>
  <c r="G512" i="24"/>
  <c r="G513" i="24"/>
  <c r="G514" i="24"/>
  <c r="G515" i="24"/>
  <c r="G516" i="24"/>
  <c r="G517" i="24"/>
  <c r="G518" i="24"/>
  <c r="G519" i="24"/>
  <c r="G520" i="24"/>
  <c r="G521" i="24"/>
  <c r="G522" i="24"/>
  <c r="G523" i="24"/>
  <c r="G524" i="24"/>
  <c r="G525" i="24"/>
  <c r="G526" i="24"/>
  <c r="G527" i="24"/>
  <c r="G528" i="24"/>
  <c r="G529" i="24"/>
  <c r="G530" i="24"/>
  <c r="G531" i="24"/>
  <c r="G532" i="24"/>
  <c r="G533" i="24"/>
  <c r="G534" i="24"/>
  <c r="G535" i="24"/>
  <c r="G536" i="24"/>
  <c r="G537" i="24"/>
  <c r="G538" i="24"/>
  <c r="G539" i="24"/>
  <c r="G540" i="24"/>
  <c r="G541" i="24"/>
  <c r="G542" i="24"/>
  <c r="G543" i="24"/>
  <c r="G544" i="24"/>
  <c r="G545" i="24"/>
  <c r="G546" i="24"/>
  <c r="G547" i="24"/>
  <c r="G548" i="24"/>
  <c r="G549" i="24"/>
  <c r="G550" i="24"/>
  <c r="G551" i="24"/>
  <c r="G552" i="24"/>
  <c r="G553" i="24"/>
  <c r="G554" i="24"/>
  <c r="G555" i="24"/>
  <c r="G556" i="24"/>
  <c r="G557" i="24"/>
  <c r="G558" i="24"/>
  <c r="G559" i="24"/>
  <c r="G560" i="24"/>
  <c r="G561" i="24"/>
  <c r="G562" i="24"/>
  <c r="G563" i="24"/>
  <c r="G564" i="24"/>
  <c r="G566" i="24"/>
  <c r="G567" i="24"/>
  <c r="G568" i="24"/>
  <c r="G569" i="24"/>
  <c r="G570" i="24"/>
  <c r="G571" i="24"/>
  <c r="G572" i="24"/>
  <c r="G573" i="24"/>
  <c r="G575" i="24"/>
  <c r="G576" i="24"/>
  <c r="G577" i="24"/>
  <c r="G578" i="24"/>
  <c r="G579" i="24"/>
  <c r="G580" i="24"/>
  <c r="G581" i="24"/>
  <c r="G582" i="24"/>
  <c r="G583" i="24"/>
  <c r="G584" i="24"/>
  <c r="G585" i="24"/>
  <c r="G586" i="24"/>
  <c r="G587" i="24"/>
  <c r="G588" i="24"/>
  <c r="G589" i="24"/>
  <c r="G590" i="24"/>
  <c r="G591" i="24"/>
  <c r="G592" i="24"/>
  <c r="G594" i="24"/>
  <c r="G595" i="24"/>
  <c r="G596" i="24"/>
  <c r="G597" i="24"/>
  <c r="G598" i="24"/>
  <c r="G599" i="24"/>
  <c r="G600" i="24"/>
  <c r="G601" i="24"/>
  <c r="G602" i="24"/>
  <c r="G603" i="24"/>
  <c r="G604" i="24"/>
  <c r="G605" i="24"/>
  <c r="G606" i="24"/>
  <c r="G607" i="24"/>
  <c r="G608" i="24"/>
  <c r="G609" i="24"/>
  <c r="G610" i="24"/>
  <c r="G611" i="24"/>
  <c r="G612" i="24"/>
  <c r="G613" i="24"/>
  <c r="G614" i="24"/>
  <c r="G615" i="24"/>
  <c r="G616" i="24"/>
  <c r="G617" i="24"/>
  <c r="G618" i="24"/>
  <c r="G619" i="24"/>
  <c r="G620" i="24"/>
  <c r="G621" i="24"/>
  <c r="G622" i="24"/>
  <c r="G623" i="24"/>
  <c r="G624" i="24"/>
  <c r="G625" i="24"/>
  <c r="G626" i="24"/>
  <c r="G627" i="24"/>
  <c r="G628" i="24"/>
  <c r="G629" i="24"/>
  <c r="G630" i="24"/>
  <c r="G631" i="24"/>
  <c r="G632" i="24"/>
  <c r="G633" i="24"/>
  <c r="G634" i="24"/>
  <c r="G635" i="24"/>
  <c r="G636" i="24"/>
  <c r="G637" i="24"/>
  <c r="G638" i="24"/>
  <c r="G639" i="24"/>
  <c r="G640" i="24"/>
  <c r="G641" i="24"/>
  <c r="G642" i="24"/>
  <c r="G643" i="24"/>
  <c r="G644" i="24"/>
  <c r="G645" i="24"/>
  <c r="G646" i="24"/>
  <c r="G647" i="24"/>
  <c r="G648" i="24"/>
  <c r="G649" i="24"/>
  <c r="G650" i="24"/>
  <c r="G651" i="24"/>
  <c r="G652" i="24"/>
  <c r="G653" i="24"/>
  <c r="G654" i="24"/>
  <c r="G655" i="24"/>
  <c r="G656" i="24"/>
  <c r="G657" i="24"/>
  <c r="G658" i="24"/>
  <c r="G659" i="24"/>
  <c r="G660" i="24"/>
  <c r="G661" i="24"/>
  <c r="G662" i="24"/>
  <c r="G663" i="24"/>
  <c r="G664" i="24"/>
  <c r="G665" i="24"/>
  <c r="G666" i="24"/>
  <c r="G667" i="24"/>
  <c r="G668" i="24"/>
  <c r="G669" i="24"/>
  <c r="G670" i="24"/>
  <c r="G671" i="24"/>
  <c r="G672" i="24"/>
  <c r="G673" i="24"/>
  <c r="G674" i="24"/>
  <c r="G675" i="24"/>
  <c r="G676" i="24"/>
  <c r="G677" i="24"/>
  <c r="G678" i="24"/>
  <c r="G679" i="24"/>
  <c r="G680" i="24"/>
  <c r="G681" i="24"/>
  <c r="G682" i="24"/>
  <c r="G683" i="24"/>
  <c r="G684" i="24"/>
  <c r="G685" i="24"/>
  <c r="G686" i="24"/>
  <c r="G687" i="24"/>
  <c r="G688" i="24"/>
  <c r="G689" i="24"/>
  <c r="G690" i="24"/>
  <c r="G691" i="24"/>
  <c r="G692" i="24"/>
  <c r="G693" i="24"/>
  <c r="G694" i="24"/>
  <c r="G695" i="24"/>
  <c r="G696" i="24"/>
  <c r="G697" i="24"/>
  <c r="G698" i="24"/>
  <c r="G699" i="24"/>
  <c r="G700" i="24"/>
  <c r="G701" i="24"/>
  <c r="G702" i="24"/>
  <c r="G703" i="24"/>
  <c r="G704" i="24"/>
  <c r="G705" i="24"/>
  <c r="G706" i="24"/>
  <c r="G707" i="24"/>
  <c r="G708" i="24"/>
  <c r="G709" i="24"/>
  <c r="G710" i="24"/>
  <c r="G711" i="24"/>
  <c r="G712" i="24"/>
  <c r="G713" i="24"/>
  <c r="G714" i="24"/>
  <c r="G715" i="24"/>
  <c r="G716" i="24"/>
  <c r="G717" i="24"/>
  <c r="G718" i="24"/>
  <c r="G719" i="24"/>
  <c r="G720" i="24"/>
  <c r="G721" i="24"/>
  <c r="G722" i="24"/>
  <c r="G723" i="24"/>
  <c r="G724" i="24"/>
  <c r="G725" i="24"/>
  <c r="G726" i="24"/>
  <c r="G727" i="24"/>
  <c r="G728" i="24"/>
  <c r="G729" i="24"/>
  <c r="G730" i="24"/>
  <c r="G731" i="24"/>
  <c r="G732" i="24"/>
  <c r="G733" i="24"/>
  <c r="G734" i="24"/>
  <c r="G735" i="24"/>
  <c r="G736" i="24"/>
  <c r="G737" i="24"/>
  <c r="G738" i="24"/>
  <c r="G739" i="24"/>
  <c r="G740" i="24"/>
  <c r="G741" i="24"/>
  <c r="G742" i="24"/>
  <c r="G743" i="24"/>
  <c r="G744" i="24"/>
  <c r="G745" i="24"/>
  <c r="G746" i="24"/>
  <c r="G747" i="24"/>
  <c r="G748" i="24"/>
  <c r="G749" i="24"/>
  <c r="G750" i="24"/>
  <c r="G751" i="24"/>
  <c r="G752" i="24"/>
  <c r="G753" i="24"/>
  <c r="G754" i="24"/>
  <c r="G755" i="24"/>
  <c r="G756" i="24"/>
  <c r="G757" i="24"/>
  <c r="G758" i="24"/>
  <c r="G759" i="24"/>
  <c r="G760" i="24"/>
  <c r="G761" i="24"/>
  <c r="G762" i="24"/>
  <c r="G763" i="24"/>
  <c r="G764" i="24"/>
  <c r="G765" i="24"/>
  <c r="G766" i="24"/>
  <c r="G767" i="24"/>
  <c r="G768" i="24"/>
  <c r="G769" i="24"/>
  <c r="G770" i="24"/>
  <c r="G771" i="24"/>
  <c r="G772" i="24"/>
  <c r="G773" i="24"/>
  <c r="G774" i="24"/>
  <c r="G775" i="24"/>
  <c r="G776" i="24"/>
  <c r="G777" i="24"/>
  <c r="G778" i="24"/>
  <c r="G779" i="24"/>
  <c r="G780" i="24"/>
  <c r="G781" i="24"/>
  <c r="G782" i="24"/>
  <c r="G783" i="24"/>
  <c r="G784" i="24"/>
  <c r="G785" i="24"/>
  <c r="G786" i="24"/>
  <c r="G787" i="24"/>
  <c r="G788" i="24"/>
  <c r="G789" i="24"/>
  <c r="G791" i="24"/>
  <c r="G792" i="24"/>
  <c r="G793" i="24"/>
  <c r="G795" i="24"/>
  <c r="G796" i="24"/>
  <c r="G798" i="24"/>
  <c r="G799" i="24"/>
  <c r="G800" i="24"/>
  <c r="G801" i="24"/>
  <c r="G802" i="24"/>
  <c r="G803" i="24"/>
  <c r="G804" i="24"/>
  <c r="G805" i="24"/>
  <c r="G806" i="24"/>
  <c r="G807" i="24"/>
  <c r="G808" i="24"/>
  <c r="G809" i="24"/>
  <c r="G810" i="24"/>
  <c r="G811" i="24"/>
  <c r="G812" i="24"/>
  <c r="G813" i="24"/>
  <c r="G814" i="24"/>
  <c r="G815" i="24"/>
  <c r="G816" i="24"/>
  <c r="G817" i="24"/>
  <c r="G818" i="24"/>
  <c r="G819" i="24"/>
  <c r="G820" i="24"/>
  <c r="G823" i="24"/>
  <c r="G824" i="24"/>
  <c r="G825" i="24"/>
  <c r="G826" i="24"/>
  <c r="G827" i="24"/>
  <c r="G828" i="24"/>
  <c r="G829" i="24"/>
  <c r="G830" i="24"/>
  <c r="G831" i="24"/>
  <c r="G832" i="24"/>
  <c r="G833" i="24"/>
  <c r="G834" i="24"/>
  <c r="G835" i="24"/>
  <c r="G836" i="24"/>
  <c r="G837" i="24"/>
  <c r="G838" i="24"/>
  <c r="G839" i="24"/>
  <c r="G840" i="24"/>
  <c r="G841" i="24"/>
  <c r="G842" i="24"/>
  <c r="G843" i="24"/>
  <c r="G844" i="24"/>
  <c r="G845" i="24"/>
  <c r="G846" i="24"/>
  <c r="G847" i="24"/>
  <c r="G848" i="24"/>
  <c r="G849" i="24"/>
  <c r="G850" i="24"/>
  <c r="G851" i="24"/>
  <c r="G852" i="24"/>
  <c r="G853" i="24"/>
  <c r="G854" i="24"/>
  <c r="G855" i="24"/>
  <c r="G856" i="24"/>
  <c r="G857" i="24"/>
  <c r="G858" i="24"/>
  <c r="G859" i="24"/>
  <c r="G861" i="24"/>
  <c r="G862" i="24"/>
  <c r="G863" i="24"/>
  <c r="G864" i="24"/>
  <c r="G865" i="24"/>
  <c r="G866" i="24"/>
  <c r="G867" i="24"/>
  <c r="G868" i="24"/>
  <c r="G869" i="24"/>
  <c r="G870" i="24"/>
  <c r="G871" i="24"/>
  <c r="G872" i="24"/>
  <c r="G874" i="24"/>
  <c r="G875" i="24"/>
  <c r="G876" i="24"/>
  <c r="G877" i="24"/>
  <c r="G878" i="24"/>
  <c r="G879" i="24"/>
  <c r="G880" i="24"/>
  <c r="G881" i="24"/>
  <c r="G882" i="24"/>
  <c r="G883" i="24"/>
  <c r="G884" i="24"/>
  <c r="G885" i="24"/>
  <c r="G886" i="24"/>
  <c r="G887" i="24"/>
  <c r="G888" i="24"/>
  <c r="G889" i="24"/>
  <c r="G890" i="24"/>
  <c r="G891" i="24"/>
  <c r="G892" i="24"/>
  <c r="G893" i="24"/>
  <c r="G894" i="24"/>
  <c r="G895" i="24"/>
  <c r="G896" i="24"/>
  <c r="G897" i="24"/>
  <c r="G898" i="24"/>
  <c r="G899" i="24"/>
  <c r="G900" i="24"/>
  <c r="G901" i="24"/>
  <c r="G902" i="24"/>
  <c r="G903" i="24"/>
  <c r="G904" i="24"/>
  <c r="G905" i="24"/>
  <c r="G906" i="24"/>
  <c r="G907" i="24"/>
  <c r="G908" i="24"/>
  <c r="G909" i="24"/>
  <c r="G910" i="24"/>
  <c r="G911" i="24"/>
  <c r="G912" i="24"/>
  <c r="G913" i="24"/>
  <c r="G914" i="24"/>
  <c r="G915" i="24"/>
  <c r="G916" i="24"/>
  <c r="G917" i="24"/>
  <c r="G918" i="24"/>
  <c r="G919" i="24"/>
  <c r="G920" i="24"/>
  <c r="G921" i="24"/>
  <c r="G922" i="24"/>
  <c r="G923" i="24"/>
  <c r="G924" i="24"/>
  <c r="G925" i="24"/>
  <c r="G926" i="24"/>
  <c r="G927" i="24"/>
  <c r="G928" i="24"/>
  <c r="G929" i="24"/>
  <c r="G930" i="24"/>
  <c r="G931" i="24"/>
  <c r="G932" i="24"/>
  <c r="G933" i="24"/>
  <c r="G934" i="24"/>
  <c r="G935" i="24"/>
  <c r="G936" i="24"/>
  <c r="G937" i="24"/>
  <c r="G938" i="24"/>
  <c r="G939" i="24"/>
  <c r="G940" i="24"/>
  <c r="G941" i="24"/>
  <c r="G942" i="24"/>
  <c r="G943" i="24"/>
  <c r="G944" i="24"/>
  <c r="G945" i="24"/>
  <c r="G946" i="24"/>
  <c r="G947" i="24"/>
  <c r="G948" i="24"/>
  <c r="G949" i="24"/>
  <c r="G950" i="24"/>
  <c r="G951" i="24"/>
  <c r="G952" i="24"/>
  <c r="G953" i="24"/>
  <c r="G954" i="24"/>
  <c r="G955" i="24"/>
  <c r="G956" i="24"/>
  <c r="G957" i="24"/>
  <c r="G958" i="24"/>
  <c r="G959" i="24"/>
  <c r="G960" i="24"/>
  <c r="G961" i="24"/>
  <c r="G962" i="24"/>
  <c r="G963" i="24"/>
  <c r="G964" i="24"/>
  <c r="G965" i="24"/>
  <c r="G966" i="24"/>
  <c r="G967" i="24"/>
  <c r="G968" i="24"/>
  <c r="G969" i="24"/>
  <c r="G970" i="24"/>
  <c r="G971" i="24"/>
  <c r="G972" i="24"/>
  <c r="G973" i="24"/>
  <c r="G974" i="24"/>
  <c r="G975" i="24"/>
  <c r="G976" i="24"/>
  <c r="G977" i="24"/>
  <c r="G978" i="24"/>
  <c r="G979" i="24"/>
  <c r="G980" i="24"/>
  <c r="G981" i="24"/>
  <c r="G982" i="24"/>
  <c r="G983" i="24"/>
  <c r="G984" i="24"/>
  <c r="G985" i="24"/>
  <c r="G987" i="24"/>
  <c r="G988" i="24"/>
  <c r="G989" i="24"/>
  <c r="G990" i="24"/>
  <c r="G991" i="24"/>
  <c r="G992" i="24"/>
  <c r="G993" i="24"/>
  <c r="G994" i="24"/>
  <c r="G995" i="24"/>
  <c r="G996" i="24"/>
  <c r="G997" i="24"/>
  <c r="G998" i="24"/>
  <c r="G999" i="24"/>
  <c r="G1000" i="24"/>
  <c r="G1001" i="24"/>
  <c r="G1002" i="24"/>
  <c r="G1003" i="24"/>
  <c r="G1004" i="24"/>
  <c r="G1005" i="24"/>
  <c r="G1006" i="24"/>
  <c r="G1007" i="24"/>
  <c r="G1008" i="24"/>
  <c r="G1009" i="24"/>
  <c r="G1011" i="24"/>
  <c r="G1012" i="24"/>
  <c r="G1013" i="24"/>
  <c r="G1014" i="24"/>
  <c r="G1015" i="24"/>
  <c r="G1016" i="24"/>
  <c r="G1018" i="24"/>
  <c r="G1019" i="24"/>
  <c r="G1020" i="24"/>
  <c r="G1021" i="24"/>
  <c r="G1022" i="24"/>
  <c r="G1023" i="24"/>
  <c r="G1024" i="24"/>
  <c r="G1025" i="24"/>
  <c r="G1026" i="24"/>
  <c r="G1027" i="24"/>
  <c r="G1028" i="24"/>
  <c r="G1029" i="24"/>
  <c r="G1030" i="24"/>
  <c r="G1031" i="24"/>
  <c r="G1032" i="24"/>
  <c r="G1033" i="24"/>
  <c r="G1034" i="24"/>
  <c r="G1035" i="24"/>
  <c r="G1036" i="24"/>
  <c r="G1037" i="24"/>
  <c r="G1038" i="24"/>
  <c r="G1039" i="24"/>
  <c r="G1040" i="24"/>
  <c r="G1041" i="24"/>
  <c r="G1042" i="24"/>
  <c r="G1043" i="24"/>
  <c r="G1046" i="24"/>
  <c r="G1047" i="24"/>
  <c r="G1048" i="24"/>
  <c r="G1049" i="24"/>
  <c r="G1050" i="24"/>
  <c r="G1051" i="24"/>
  <c r="G1053" i="24"/>
  <c r="G1054" i="24"/>
  <c r="G1055" i="24"/>
  <c r="G1056" i="24"/>
  <c r="G1057" i="24"/>
  <c r="G1061" i="24"/>
  <c r="G1062" i="24"/>
  <c r="G1063" i="24"/>
  <c r="G1064" i="24"/>
  <c r="G1065" i="24"/>
  <c r="G1066" i="24"/>
  <c r="G1068" i="24"/>
  <c r="G1069" i="24"/>
  <c r="G1070" i="24"/>
  <c r="G1071" i="24"/>
  <c r="G1072" i="24"/>
  <c r="G1073" i="24"/>
  <c r="G1074" i="24"/>
  <c r="G1075" i="24"/>
  <c r="G1076" i="24"/>
  <c r="G1077" i="24"/>
  <c r="G1078" i="24"/>
  <c r="G1079" i="24"/>
  <c r="G1080" i="24"/>
  <c r="G1081" i="24"/>
  <c r="G1082" i="24"/>
  <c r="G1083" i="24"/>
  <c r="G1084" i="24"/>
  <c r="G1086" i="24"/>
  <c r="G1087" i="24"/>
  <c r="G1088" i="24"/>
  <c r="G1089" i="24"/>
  <c r="G1090" i="24"/>
  <c r="G1091" i="24"/>
  <c r="G1092" i="24"/>
  <c r="G1094" i="24"/>
  <c r="G1095" i="24"/>
  <c r="G1096" i="24"/>
  <c r="G1097" i="24"/>
  <c r="G1098" i="24"/>
  <c r="G1099" i="24"/>
  <c r="G1100" i="24"/>
  <c r="G1101" i="24"/>
  <c r="G1102" i="24"/>
  <c r="G1103" i="24"/>
  <c r="G1104" i="24"/>
  <c r="G1105" i="24"/>
  <c r="G1106" i="24"/>
  <c r="G1107" i="24"/>
  <c r="G1108" i="24"/>
  <c r="G1109" i="24"/>
  <c r="G1110" i="24"/>
  <c r="G1111" i="24"/>
  <c r="G1112" i="24"/>
  <c r="G1113" i="24"/>
  <c r="G1114" i="24"/>
  <c r="G1115" i="24"/>
  <c r="G1116" i="24"/>
  <c r="G1117" i="24"/>
  <c r="G1118" i="24"/>
  <c r="G1119" i="24"/>
  <c r="G1120" i="24"/>
  <c r="G1121" i="24"/>
  <c r="G1122" i="24"/>
  <c r="G1123" i="24"/>
  <c r="G1124" i="24"/>
  <c r="G1125" i="24"/>
  <c r="G1126" i="24"/>
  <c r="G1127" i="24"/>
  <c r="G1128" i="24"/>
  <c r="G1129" i="24"/>
  <c r="G1130" i="24"/>
  <c r="G1131" i="24"/>
  <c r="G1132" i="24"/>
  <c r="G1133" i="24"/>
  <c r="G1134" i="24"/>
  <c r="G1135" i="24"/>
  <c r="G1136" i="24"/>
  <c r="G1137" i="24"/>
  <c r="G1138" i="24"/>
  <c r="G1139" i="24"/>
  <c r="G1140" i="24"/>
  <c r="G1141" i="24"/>
  <c r="G1142" i="24"/>
  <c r="G1143" i="24"/>
  <c r="G1144" i="24"/>
  <c r="G1145" i="24"/>
  <c r="G1146" i="24"/>
  <c r="G1147" i="24"/>
  <c r="G1148" i="24"/>
  <c r="G1149" i="24"/>
  <c r="G1150" i="24"/>
  <c r="G1151" i="24"/>
  <c r="G1152" i="24"/>
  <c r="G1153" i="24"/>
  <c r="G1154" i="24"/>
  <c r="G1155" i="24"/>
  <c r="G1157" i="24"/>
  <c r="G1158" i="24"/>
  <c r="G1159" i="24"/>
  <c r="G1160" i="24"/>
  <c r="G1161" i="24"/>
  <c r="G1162" i="24"/>
  <c r="G1163" i="24"/>
  <c r="G1164" i="24"/>
  <c r="G1165" i="24"/>
  <c r="G1166" i="24"/>
  <c r="G1167" i="24"/>
  <c r="G1168" i="24"/>
  <c r="G1169" i="24"/>
  <c r="G1170" i="24"/>
  <c r="G1171" i="24"/>
  <c r="G1172" i="24"/>
  <c r="G1173" i="24"/>
  <c r="G1174" i="24"/>
  <c r="G1175" i="24"/>
  <c r="G1176" i="24"/>
  <c r="G1177" i="24"/>
  <c r="G1178" i="24"/>
  <c r="G1179" i="24"/>
  <c r="G1180" i="24"/>
  <c r="G1181" i="24"/>
  <c r="G1182" i="24"/>
  <c r="G1183" i="24"/>
  <c r="G1184" i="24"/>
  <c r="G1185" i="24"/>
  <c r="G1186" i="24"/>
  <c r="G1187" i="24"/>
  <c r="G1188" i="24"/>
  <c r="G1189" i="24"/>
  <c r="G1190" i="24"/>
  <c r="G1191" i="24"/>
  <c r="G1192" i="24"/>
  <c r="G1193" i="24"/>
  <c r="G1194" i="24"/>
  <c r="G1195" i="24"/>
  <c r="G1196" i="24"/>
  <c r="G1197" i="24"/>
  <c r="G1198" i="24"/>
  <c r="G1199" i="24"/>
  <c r="G1200" i="24"/>
  <c r="G1201" i="24"/>
  <c r="G1202" i="24"/>
  <c r="G1203" i="24"/>
  <c r="G1204" i="24"/>
  <c r="G1205" i="24"/>
  <c r="G1206" i="24"/>
  <c r="G1207" i="24"/>
  <c r="G1208" i="24"/>
  <c r="G1209" i="24"/>
  <c r="G1210" i="24"/>
  <c r="G1211" i="24"/>
  <c r="G1212" i="24"/>
  <c r="G1213" i="24"/>
  <c r="G1214" i="24"/>
  <c r="G1215" i="24"/>
  <c r="G1216" i="24"/>
  <c r="G1217" i="24"/>
  <c r="G1218" i="24"/>
  <c r="G1219" i="24"/>
  <c r="G1220" i="24"/>
  <c r="G1221" i="24"/>
  <c r="G1222" i="24"/>
  <c r="G1223" i="24"/>
  <c r="G1224" i="24"/>
  <c r="G1225" i="24"/>
  <c r="G1226" i="24"/>
  <c r="G1227" i="24"/>
  <c r="G1228" i="24"/>
  <c r="G1229" i="24"/>
  <c r="G1230" i="24"/>
  <c r="G1231" i="24"/>
  <c r="G1232" i="24"/>
  <c r="G1234" i="24"/>
  <c r="G1236" i="24"/>
  <c r="G1237" i="24"/>
  <c r="G1238" i="24"/>
  <c r="G1240" i="24"/>
  <c r="G1241" i="24"/>
  <c r="G1242" i="24"/>
  <c r="G1243" i="24"/>
  <c r="G1244" i="24"/>
  <c r="G1245" i="24"/>
  <c r="G1246" i="24"/>
  <c r="G1247" i="24"/>
  <c r="G1248" i="24"/>
  <c r="G1249" i="24"/>
  <c r="G1250" i="24"/>
  <c r="G1252" i="24"/>
  <c r="G1253" i="24"/>
  <c r="G1254" i="24"/>
  <c r="G1255" i="24"/>
  <c r="G1256" i="24"/>
  <c r="G1258" i="24"/>
  <c r="G1259" i="24"/>
  <c r="G1260" i="24"/>
  <c r="G1261" i="24"/>
  <c r="G1262" i="24"/>
  <c r="G1263" i="24"/>
  <c r="G1264" i="24"/>
  <c r="G1265" i="24"/>
  <c r="G1266" i="24"/>
  <c r="G1267" i="24"/>
  <c r="G1270" i="24"/>
  <c r="G1271" i="24"/>
  <c r="G1272" i="24"/>
  <c r="G1273" i="24"/>
  <c r="G1274" i="24"/>
  <c r="G1275" i="24"/>
  <c r="G1276" i="24"/>
  <c r="G1277" i="24"/>
  <c r="G1278" i="24"/>
  <c r="G1279" i="24"/>
  <c r="G1280" i="24"/>
  <c r="G1281" i="24"/>
  <c r="G1282" i="24"/>
  <c r="G1283" i="24"/>
  <c r="G1284" i="24"/>
  <c r="G1286" i="24"/>
  <c r="G1287" i="24"/>
  <c r="G1288" i="24"/>
  <c r="G1289" i="24"/>
  <c r="G1290" i="24"/>
  <c r="G1291" i="24"/>
  <c r="G1292" i="24"/>
  <c r="G1293" i="24"/>
  <c r="G1294" i="24"/>
  <c r="G1295" i="24"/>
  <c r="G1296" i="24"/>
  <c r="G1298" i="24"/>
  <c r="G1299" i="24"/>
  <c r="G1300" i="24"/>
  <c r="G1301" i="24"/>
  <c r="G1302" i="24"/>
  <c r="G1303" i="24"/>
  <c r="G1304" i="24"/>
  <c r="G1305" i="24"/>
  <c r="G1306" i="24"/>
  <c r="G1307" i="24"/>
  <c r="G1308" i="24"/>
  <c r="G1309" i="24"/>
  <c r="G1310" i="24"/>
  <c r="G1311" i="24"/>
  <c r="G1312" i="24"/>
  <c r="G1313" i="24"/>
  <c r="G1314" i="24"/>
  <c r="G1315" i="24"/>
  <c r="G1317" i="24"/>
  <c r="G1318" i="24"/>
  <c r="G1319" i="24"/>
  <c r="G1320" i="24"/>
  <c r="G1321" i="24"/>
  <c r="G1322" i="24"/>
  <c r="G1323" i="24"/>
  <c r="G1324" i="24"/>
  <c r="G1325" i="24"/>
  <c r="G1327" i="24"/>
  <c r="G1328" i="24"/>
  <c r="G1329" i="24"/>
  <c r="G1330" i="24"/>
  <c r="G1331" i="24"/>
  <c r="G1332" i="24"/>
  <c r="G1334" i="24"/>
  <c r="G1335" i="24"/>
  <c r="G1336" i="24"/>
  <c r="G1337" i="24"/>
  <c r="G1338" i="24"/>
  <c r="G1339" i="24"/>
  <c r="G1340" i="24"/>
  <c r="G1341" i="24"/>
  <c r="G1342" i="24"/>
  <c r="G1343" i="24"/>
  <c r="G1344" i="24"/>
  <c r="G1345" i="24"/>
  <c r="G1346" i="24"/>
  <c r="G1347" i="24"/>
  <c r="G1348" i="24"/>
  <c r="G1349" i="24"/>
  <c r="G1350" i="24"/>
  <c r="G1351" i="24"/>
  <c r="G1352" i="24"/>
  <c r="G1353" i="24"/>
  <c r="G1354" i="24"/>
  <c r="G1355" i="24"/>
  <c r="G1356" i="24"/>
  <c r="G1357" i="24"/>
  <c r="G1358" i="24"/>
  <c r="G1359" i="24"/>
  <c r="G1360" i="24"/>
  <c r="G1361" i="24"/>
  <c r="G1362" i="24"/>
  <c r="G1363" i="24"/>
  <c r="G1364" i="24"/>
  <c r="G1365" i="24"/>
  <c r="G1366" i="24"/>
  <c r="G1367" i="24"/>
  <c r="G1368" i="24"/>
  <c r="G1369" i="24"/>
  <c r="G1370" i="24"/>
  <c r="G1371" i="24"/>
  <c r="G1372" i="24"/>
  <c r="G1373" i="24"/>
  <c r="G1374" i="24"/>
  <c r="G1375" i="24"/>
  <c r="G1376" i="24"/>
  <c r="G1377" i="24"/>
  <c r="G1378" i="24"/>
  <c r="G1379" i="24"/>
  <c r="G1380" i="24"/>
  <c r="G1381" i="24"/>
  <c r="G1382" i="24"/>
  <c r="G1383" i="24"/>
  <c r="G1384" i="24"/>
  <c r="G1385" i="24"/>
  <c r="G1386" i="24"/>
  <c r="G1387" i="24"/>
  <c r="G1388" i="24"/>
  <c r="G1389" i="24"/>
  <c r="G1390" i="24"/>
  <c r="G1391" i="24"/>
  <c r="G1392" i="24"/>
  <c r="G1394" i="24"/>
  <c r="G1395" i="24"/>
  <c r="G1396" i="24"/>
  <c r="G1398" i="24"/>
  <c r="G1399" i="24"/>
  <c r="G1400" i="24"/>
  <c r="G1401" i="24"/>
  <c r="G1404" i="24"/>
  <c r="G1406" i="24"/>
  <c r="G1408" i="24"/>
  <c r="G1409" i="24"/>
  <c r="G1410" i="24"/>
  <c r="G2" i="24"/>
  <c r="F3" i="24"/>
  <c r="F4" i="24"/>
  <c r="F5" i="24"/>
  <c r="F6" i="24"/>
  <c r="F7" i="24"/>
  <c r="F8" i="24"/>
  <c r="F10" i="24"/>
  <c r="F11" i="24"/>
  <c r="F12" i="24"/>
  <c r="F13" i="24"/>
  <c r="F14" i="24"/>
  <c r="F15" i="24"/>
  <c r="F16" i="24"/>
  <c r="F17" i="24"/>
  <c r="F19" i="24"/>
  <c r="F20" i="24"/>
  <c r="F22" i="24"/>
  <c r="F23" i="24"/>
  <c r="F25" i="24"/>
  <c r="F26" i="24"/>
  <c r="F27" i="24"/>
  <c r="F28" i="24"/>
  <c r="F29" i="24"/>
  <c r="F31" i="24"/>
  <c r="F33" i="24"/>
  <c r="F34" i="24"/>
  <c r="F35" i="24"/>
  <c r="F36" i="24"/>
  <c r="F37" i="24"/>
  <c r="F38" i="24"/>
  <c r="F39" i="24"/>
  <c r="F40" i="24"/>
  <c r="F41" i="24"/>
  <c r="F42" i="24"/>
  <c r="F43" i="24"/>
  <c r="F44" i="24"/>
  <c r="F45" i="24"/>
  <c r="F46" i="24"/>
  <c r="F47" i="24"/>
  <c r="F48" i="24"/>
  <c r="F49" i="24"/>
  <c r="F50" i="24"/>
  <c r="F51" i="24"/>
  <c r="F52" i="24"/>
  <c r="F53" i="24"/>
  <c r="F54" i="24"/>
  <c r="F55" i="24"/>
  <c r="F57" i="24"/>
  <c r="F58" i="24"/>
  <c r="F59" i="24"/>
  <c r="F60" i="24"/>
  <c r="F61" i="24"/>
  <c r="F62" i="24"/>
  <c r="F63" i="24"/>
  <c r="F64" i="24"/>
  <c r="F65" i="24"/>
  <c r="F67" i="24"/>
  <c r="F68" i="24"/>
  <c r="F69" i="24"/>
  <c r="F70" i="24"/>
  <c r="F71" i="24"/>
  <c r="F72" i="24"/>
  <c r="F73" i="24"/>
  <c r="F74" i="24"/>
  <c r="F76" i="24"/>
  <c r="F77" i="24"/>
  <c r="F79" i="24"/>
  <c r="F80" i="24"/>
  <c r="F81" i="24"/>
  <c r="F82" i="24"/>
  <c r="F83" i="24"/>
  <c r="F84" i="24"/>
  <c r="F85" i="24"/>
  <c r="F86" i="24"/>
  <c r="F87" i="24"/>
  <c r="F88" i="24"/>
  <c r="F89" i="24"/>
  <c r="F90" i="24"/>
  <c r="F91" i="24"/>
  <c r="F92" i="24"/>
  <c r="F93" i="24"/>
  <c r="F94" i="24"/>
  <c r="F95" i="24"/>
  <c r="F96" i="24"/>
  <c r="F97" i="24"/>
  <c r="F98" i="24"/>
  <c r="F99" i="24"/>
  <c r="F100" i="24"/>
  <c r="F101" i="24"/>
  <c r="F102" i="24"/>
  <c r="F103" i="24"/>
  <c r="F104" i="24"/>
  <c r="F105" i="24"/>
  <c r="F106" i="24"/>
  <c r="F107" i="24"/>
  <c r="F108" i="24"/>
  <c r="F109" i="24"/>
  <c r="F110" i="24"/>
  <c r="F111" i="24"/>
  <c r="F112" i="24"/>
  <c r="F113" i="24"/>
  <c r="F114" i="24"/>
  <c r="F115" i="24"/>
  <c r="F116" i="24"/>
  <c r="F117" i="24"/>
  <c r="F118" i="24"/>
  <c r="F119" i="24"/>
  <c r="F120" i="24"/>
  <c r="F121" i="24"/>
  <c r="F122" i="24"/>
  <c r="F123" i="24"/>
  <c r="F124" i="24"/>
  <c r="F125" i="24"/>
  <c r="F126" i="24"/>
  <c r="F127" i="24"/>
  <c r="F128" i="24"/>
  <c r="F129" i="24"/>
  <c r="F130" i="24"/>
  <c r="F131" i="24"/>
  <c r="F132" i="24"/>
  <c r="F133" i="24"/>
  <c r="F134" i="24"/>
  <c r="F135" i="24"/>
  <c r="F136" i="24"/>
  <c r="F137" i="24"/>
  <c r="F138" i="24"/>
  <c r="F139" i="24"/>
  <c r="F140" i="24"/>
  <c r="F141" i="24"/>
  <c r="F142" i="24"/>
  <c r="F143" i="24"/>
  <c r="F144" i="24"/>
  <c r="F145" i="24"/>
  <c r="F146" i="24"/>
  <c r="F147" i="24"/>
  <c r="F148" i="24"/>
  <c r="F149" i="24"/>
  <c r="F150" i="24"/>
  <c r="F151" i="24"/>
  <c r="F152" i="24"/>
  <c r="F153" i="24"/>
  <c r="F154" i="24"/>
  <c r="F155" i="24"/>
  <c r="F156" i="24"/>
  <c r="F157" i="24"/>
  <c r="F158" i="24"/>
  <c r="F159" i="24"/>
  <c r="F160" i="24"/>
  <c r="F161" i="24"/>
  <c r="F162" i="24"/>
  <c r="F163" i="24"/>
  <c r="F164" i="24"/>
  <c r="F165" i="24"/>
  <c r="F166" i="24"/>
  <c r="F167" i="24"/>
  <c r="F168" i="24"/>
  <c r="F169" i="24"/>
  <c r="F170" i="24"/>
  <c r="F171" i="24"/>
  <c r="F172" i="24"/>
  <c r="F173" i="24"/>
  <c r="F174" i="24"/>
  <c r="F175" i="24"/>
  <c r="F176" i="24"/>
  <c r="F177" i="24"/>
  <c r="F178" i="24"/>
  <c r="F179" i="24"/>
  <c r="F180" i="24"/>
  <c r="F181" i="24"/>
  <c r="F182" i="24"/>
  <c r="F183" i="24"/>
  <c r="F185" i="24"/>
  <c r="F186" i="24"/>
  <c r="F187" i="24"/>
  <c r="F188" i="24"/>
  <c r="F190" i="24"/>
  <c r="F191" i="24"/>
  <c r="F192" i="24"/>
  <c r="F193" i="24"/>
  <c r="F194" i="24"/>
  <c r="F195" i="24"/>
  <c r="F196" i="24"/>
  <c r="F197" i="24"/>
  <c r="F198" i="24"/>
  <c r="F199" i="24"/>
  <c r="F200" i="24"/>
  <c r="F201" i="24"/>
  <c r="F202" i="24"/>
  <c r="F203" i="24"/>
  <c r="F204" i="24"/>
  <c r="F205" i="24"/>
  <c r="F206" i="24"/>
  <c r="F207" i="24"/>
  <c r="F208" i="24"/>
  <c r="F209" i="24"/>
  <c r="F210" i="24"/>
  <c r="F211" i="24"/>
  <c r="F212" i="24"/>
  <c r="F213" i="24"/>
  <c r="F214" i="24"/>
  <c r="F215" i="24"/>
  <c r="F216" i="24"/>
  <c r="F217" i="24"/>
  <c r="F218" i="24"/>
  <c r="F219" i="24"/>
  <c r="F220" i="24"/>
  <c r="F221" i="24"/>
  <c r="F222" i="24"/>
  <c r="F223" i="24"/>
  <c r="F224" i="24"/>
  <c r="F225" i="24"/>
  <c r="F226" i="24"/>
  <c r="F227" i="24"/>
  <c r="F228" i="24"/>
  <c r="F229" i="24"/>
  <c r="F230" i="24"/>
  <c r="F231" i="24"/>
  <c r="F232" i="24"/>
  <c r="F233" i="24"/>
  <c r="F234" i="24"/>
  <c r="F235" i="24"/>
  <c r="F236" i="24"/>
  <c r="F237" i="24"/>
  <c r="F238" i="24"/>
  <c r="F239" i="24"/>
  <c r="F240" i="24"/>
  <c r="F241" i="24"/>
  <c r="F242" i="24"/>
  <c r="F243" i="24"/>
  <c r="F244" i="24"/>
  <c r="F245" i="24"/>
  <c r="F246" i="24"/>
  <c r="F247" i="24"/>
  <c r="F248" i="24"/>
  <c r="F249" i="24"/>
  <c r="F250" i="24"/>
  <c r="F251" i="24"/>
  <c r="F252" i="24"/>
  <c r="F253" i="24"/>
  <c r="F254" i="24"/>
  <c r="F255" i="24"/>
  <c r="F256" i="24"/>
  <c r="F257" i="24"/>
  <c r="F258" i="24"/>
  <c r="F259" i="24"/>
  <c r="F260" i="24"/>
  <c r="F261" i="24"/>
  <c r="F262" i="24"/>
  <c r="F263" i="24"/>
  <c r="F264" i="24"/>
  <c r="F265" i="24"/>
  <c r="F266" i="24"/>
  <c r="F267" i="24"/>
  <c r="F268" i="24"/>
  <c r="F269" i="24"/>
  <c r="F270" i="24"/>
  <c r="F271" i="24"/>
  <c r="F272" i="24"/>
  <c r="F273" i="24"/>
  <c r="F274" i="24"/>
  <c r="F275" i="24"/>
  <c r="F276" i="24"/>
  <c r="F277" i="24"/>
  <c r="F278" i="24"/>
  <c r="F279" i="24"/>
  <c r="F280" i="24"/>
  <c r="F281" i="24"/>
  <c r="F282" i="24"/>
  <c r="F283" i="24"/>
  <c r="F284" i="24"/>
  <c r="F285" i="24"/>
  <c r="F286" i="24"/>
  <c r="F287" i="24"/>
  <c r="F288" i="24"/>
  <c r="F289" i="24"/>
  <c r="F290" i="24"/>
  <c r="F291" i="24"/>
  <c r="F292" i="24"/>
  <c r="F293" i="24"/>
  <c r="F294" i="24"/>
  <c r="F295" i="24"/>
  <c r="F296" i="24"/>
  <c r="F297" i="24"/>
  <c r="F298" i="24"/>
  <c r="F299" i="24"/>
  <c r="F300" i="24"/>
  <c r="F301" i="24"/>
  <c r="F302" i="24"/>
  <c r="F303" i="24"/>
  <c r="F304" i="24"/>
  <c r="F305" i="24"/>
  <c r="F306" i="24"/>
  <c r="F307" i="24"/>
  <c r="F308" i="24"/>
  <c r="F309" i="24"/>
  <c r="F310" i="24"/>
  <c r="F311" i="24"/>
  <c r="F312" i="24"/>
  <c r="F313" i="24"/>
  <c r="F314" i="24"/>
  <c r="F315" i="24"/>
  <c r="F316" i="24"/>
  <c r="F317" i="24"/>
  <c r="F318" i="24"/>
  <c r="F319" i="24"/>
  <c r="F320" i="24"/>
  <c r="F321" i="24"/>
  <c r="F322" i="24"/>
  <c r="F323" i="24"/>
  <c r="F324" i="24"/>
  <c r="F325" i="24"/>
  <c r="F326" i="24"/>
  <c r="F327" i="24"/>
  <c r="F328" i="24"/>
  <c r="F329" i="24"/>
  <c r="F330" i="24"/>
  <c r="F331" i="24"/>
  <c r="F332" i="24"/>
  <c r="F333" i="24"/>
  <c r="F334" i="24"/>
  <c r="F335" i="24"/>
  <c r="F336" i="24"/>
  <c r="F337" i="24"/>
  <c r="F338" i="24"/>
  <c r="F339" i="24"/>
  <c r="F340" i="24"/>
  <c r="F341" i="24"/>
  <c r="F342" i="24"/>
  <c r="F343" i="24"/>
  <c r="F344" i="24"/>
  <c r="F345" i="24"/>
  <c r="F346" i="24"/>
  <c r="F347" i="24"/>
  <c r="F348" i="24"/>
  <c r="F349" i="24"/>
  <c r="F350" i="24"/>
  <c r="F351" i="24"/>
  <c r="F352" i="24"/>
  <c r="F353" i="24"/>
  <c r="F354" i="24"/>
  <c r="F355" i="24"/>
  <c r="F356" i="24"/>
  <c r="F357" i="24"/>
  <c r="F358" i="24"/>
  <c r="F359" i="24"/>
  <c r="F360" i="24"/>
  <c r="F361" i="24"/>
  <c r="F362" i="24"/>
  <c r="F363" i="24"/>
  <c r="F364" i="24"/>
  <c r="F365" i="24"/>
  <c r="F366" i="24"/>
  <c r="F367" i="24"/>
  <c r="F368" i="24"/>
  <c r="F369" i="24"/>
  <c r="F370" i="24"/>
  <c r="F371" i="24"/>
  <c r="F372" i="24"/>
  <c r="F373" i="24"/>
  <c r="F374" i="24"/>
  <c r="F375" i="24"/>
  <c r="F376" i="24"/>
  <c r="F377" i="24"/>
  <c r="F378" i="24"/>
  <c r="F379" i="24"/>
  <c r="F380" i="24"/>
  <c r="F381" i="24"/>
  <c r="F382" i="24"/>
  <c r="F383" i="24"/>
  <c r="F384" i="24"/>
  <c r="F385" i="24"/>
  <c r="F386" i="24"/>
  <c r="F387" i="24"/>
  <c r="F388" i="24"/>
  <c r="F389" i="24"/>
  <c r="F390" i="24"/>
  <c r="F391" i="24"/>
  <c r="F392" i="24"/>
  <c r="F393" i="24"/>
  <c r="F396" i="24"/>
  <c r="F397" i="24"/>
  <c r="F398" i="24"/>
  <c r="F399" i="24"/>
  <c r="F400" i="24"/>
  <c r="F401" i="24"/>
  <c r="F402" i="24"/>
  <c r="F403" i="24"/>
  <c r="F404" i="24"/>
  <c r="F405" i="24"/>
  <c r="F406" i="24"/>
  <c r="F407" i="24"/>
  <c r="F408" i="24"/>
  <c r="F409" i="24"/>
  <c r="F410" i="24"/>
  <c r="F411" i="24"/>
  <c r="F412" i="24"/>
  <c r="F413" i="24"/>
  <c r="F414" i="24"/>
  <c r="F415" i="24"/>
  <c r="F416" i="24"/>
  <c r="F417" i="24"/>
  <c r="F418" i="24"/>
  <c r="F419" i="24"/>
  <c r="F420" i="24"/>
  <c r="F421" i="24"/>
  <c r="F422" i="24"/>
  <c r="F423" i="24"/>
  <c r="F424" i="24"/>
  <c r="F425" i="24"/>
  <c r="F426" i="24"/>
  <c r="F427" i="24"/>
  <c r="F428" i="24"/>
  <c r="F429" i="24"/>
  <c r="F430" i="24"/>
  <c r="F431" i="24"/>
  <c r="F432" i="24"/>
  <c r="F433" i="24"/>
  <c r="F434" i="24"/>
  <c r="F435" i="24"/>
  <c r="F436" i="24"/>
  <c r="F437" i="24"/>
  <c r="F438" i="24"/>
  <c r="F439" i="24"/>
  <c r="F440" i="24"/>
  <c r="F441" i="24"/>
  <c r="F442" i="24"/>
  <c r="F443" i="24"/>
  <c r="F444" i="24"/>
  <c r="F445" i="24"/>
  <c r="F446" i="24"/>
  <c r="F447" i="24"/>
  <c r="F448" i="24"/>
  <c r="F449" i="24"/>
  <c r="F450" i="24"/>
  <c r="F451" i="24"/>
  <c r="F452" i="24"/>
  <c r="F453" i="24"/>
  <c r="F454" i="24"/>
  <c r="F455" i="24"/>
  <c r="F456" i="24"/>
  <c r="F457" i="24"/>
  <c r="F458" i="24"/>
  <c r="F459" i="24"/>
  <c r="F460" i="24"/>
  <c r="F461" i="24"/>
  <c r="F462" i="24"/>
  <c r="F463" i="24"/>
  <c r="F464" i="24"/>
  <c r="F465" i="24"/>
  <c r="F466" i="24"/>
  <c r="F467" i="24"/>
  <c r="F468" i="24"/>
  <c r="F469" i="24"/>
  <c r="F470" i="24"/>
  <c r="F471" i="24"/>
  <c r="F472" i="24"/>
  <c r="F473" i="24"/>
  <c r="F474" i="24"/>
  <c r="F475" i="24"/>
  <c r="F476" i="24"/>
  <c r="F477" i="24"/>
  <c r="F478" i="24"/>
  <c r="F479" i="24"/>
  <c r="F480" i="24"/>
  <c r="F481" i="24"/>
  <c r="F482" i="24"/>
  <c r="F483" i="24"/>
  <c r="F484" i="24"/>
  <c r="F485" i="24"/>
  <c r="F486" i="24"/>
  <c r="F487" i="24"/>
  <c r="F488" i="24"/>
  <c r="F489" i="24"/>
  <c r="F490" i="24"/>
  <c r="F491" i="24"/>
  <c r="F492" i="24"/>
  <c r="F493" i="24"/>
  <c r="F494" i="24"/>
  <c r="F495" i="24"/>
  <c r="F496" i="24"/>
  <c r="F497" i="24"/>
  <c r="F498" i="24"/>
  <c r="F499" i="24"/>
  <c r="F500" i="24"/>
  <c r="F501" i="24"/>
  <c r="F502" i="24"/>
  <c r="F503" i="24"/>
  <c r="F504" i="24"/>
  <c r="F505" i="24"/>
  <c r="F506" i="24"/>
  <c r="F507" i="24"/>
  <c r="F508" i="24"/>
  <c r="F509" i="24"/>
  <c r="F510" i="24"/>
  <c r="F511" i="24"/>
  <c r="F512" i="24"/>
  <c r="F513" i="24"/>
  <c r="F514" i="24"/>
  <c r="F515" i="24"/>
  <c r="F516" i="24"/>
  <c r="F517" i="24"/>
  <c r="F518" i="24"/>
  <c r="F519" i="24"/>
  <c r="F520" i="24"/>
  <c r="F521" i="24"/>
  <c r="F522" i="24"/>
  <c r="F523" i="24"/>
  <c r="F524" i="24"/>
  <c r="F525" i="24"/>
  <c r="F526" i="24"/>
  <c r="F527" i="24"/>
  <c r="F528" i="24"/>
  <c r="F529" i="24"/>
  <c r="F530" i="24"/>
  <c r="F531" i="24"/>
  <c r="F532" i="24"/>
  <c r="F533" i="24"/>
  <c r="F534" i="24"/>
  <c r="F535" i="24"/>
  <c r="F536" i="24"/>
  <c r="F537" i="24"/>
  <c r="F538" i="24"/>
  <c r="F539" i="24"/>
  <c r="F540" i="24"/>
  <c r="F541" i="24"/>
  <c r="F542" i="24"/>
  <c r="F543" i="24"/>
  <c r="F544" i="24"/>
  <c r="F545" i="24"/>
  <c r="F546" i="24"/>
  <c r="F547" i="24"/>
  <c r="F548" i="24"/>
  <c r="F549" i="24"/>
  <c r="F550" i="24"/>
  <c r="F551" i="24"/>
  <c r="F552" i="24"/>
  <c r="F553" i="24"/>
  <c r="F554" i="24"/>
  <c r="F555" i="24"/>
  <c r="F556" i="24"/>
  <c r="F557" i="24"/>
  <c r="F558" i="24"/>
  <c r="F559" i="24"/>
  <c r="F560" i="24"/>
  <c r="F561" i="24"/>
  <c r="F562" i="24"/>
  <c r="F563" i="24"/>
  <c r="F564" i="24"/>
  <c r="F566" i="24"/>
  <c r="F567" i="24"/>
  <c r="F568" i="24"/>
  <c r="F569" i="24"/>
  <c r="F570" i="24"/>
  <c r="F571" i="24"/>
  <c r="F572" i="24"/>
  <c r="F573" i="24"/>
  <c r="F575" i="24"/>
  <c r="F576" i="24"/>
  <c r="F577" i="24"/>
  <c r="F578" i="24"/>
  <c r="F579" i="24"/>
  <c r="F580" i="24"/>
  <c r="F581" i="24"/>
  <c r="F582" i="24"/>
  <c r="F583" i="24"/>
  <c r="F584" i="24"/>
  <c r="F585" i="24"/>
  <c r="F586" i="24"/>
  <c r="F587" i="24"/>
  <c r="F588" i="24"/>
  <c r="F589" i="24"/>
  <c r="F590" i="24"/>
  <c r="F591" i="24"/>
  <c r="F592" i="24"/>
  <c r="F594" i="24"/>
  <c r="F595" i="24"/>
  <c r="F596" i="24"/>
  <c r="F597" i="24"/>
  <c r="F598" i="24"/>
  <c r="F599" i="24"/>
  <c r="F600" i="24"/>
  <c r="F601" i="24"/>
  <c r="F602" i="24"/>
  <c r="F603" i="24"/>
  <c r="F604" i="24"/>
  <c r="F605" i="24"/>
  <c r="F606" i="24"/>
  <c r="F607" i="24"/>
  <c r="F608" i="24"/>
  <c r="F609" i="24"/>
  <c r="F610" i="24"/>
  <c r="F611" i="24"/>
  <c r="F612" i="24"/>
  <c r="F613" i="24"/>
  <c r="F614" i="24"/>
  <c r="F615" i="24"/>
  <c r="F616" i="24"/>
  <c r="F617" i="24"/>
  <c r="F618" i="24"/>
  <c r="F619" i="24"/>
  <c r="F620" i="24"/>
  <c r="F621" i="24"/>
  <c r="F622" i="24"/>
  <c r="F623" i="24"/>
  <c r="F624" i="24"/>
  <c r="F625" i="24"/>
  <c r="F626" i="24"/>
  <c r="F627" i="24"/>
  <c r="F628" i="24"/>
  <c r="F629" i="24"/>
  <c r="F630" i="24"/>
  <c r="F631" i="24"/>
  <c r="F632" i="24"/>
  <c r="F633" i="24"/>
  <c r="F634" i="24"/>
  <c r="F635" i="24"/>
  <c r="F636" i="24"/>
  <c r="F637" i="24"/>
  <c r="F638" i="24"/>
  <c r="F639" i="24"/>
  <c r="F640" i="24"/>
  <c r="F641" i="24"/>
  <c r="F642" i="24"/>
  <c r="F643" i="24"/>
  <c r="F644" i="24"/>
  <c r="F645" i="24"/>
  <c r="F646" i="24"/>
  <c r="F647" i="24"/>
  <c r="F648" i="24"/>
  <c r="F649" i="24"/>
  <c r="F650" i="24"/>
  <c r="F651" i="24"/>
  <c r="F652" i="24"/>
  <c r="F653" i="24"/>
  <c r="F654" i="24"/>
  <c r="F655" i="24"/>
  <c r="F656" i="24"/>
  <c r="F657" i="24"/>
  <c r="F658" i="24"/>
  <c r="F659" i="24"/>
  <c r="F660" i="24"/>
  <c r="F661" i="24"/>
  <c r="F662" i="24"/>
  <c r="F663" i="24"/>
  <c r="F664" i="24"/>
  <c r="F665" i="24"/>
  <c r="F666" i="24"/>
  <c r="F667" i="24"/>
  <c r="F668" i="24"/>
  <c r="F669" i="24"/>
  <c r="F670" i="24"/>
  <c r="F671" i="24"/>
  <c r="F672" i="24"/>
  <c r="F673" i="24"/>
  <c r="F674" i="24"/>
  <c r="F675" i="24"/>
  <c r="F676" i="24"/>
  <c r="F677" i="24"/>
  <c r="F678" i="24"/>
  <c r="F679" i="24"/>
  <c r="F680" i="24"/>
  <c r="F681" i="24"/>
  <c r="F682" i="24"/>
  <c r="F683" i="24"/>
  <c r="F684" i="24"/>
  <c r="F685" i="24"/>
  <c r="F686" i="24"/>
  <c r="F687" i="24"/>
  <c r="F688" i="24"/>
  <c r="F689" i="24"/>
  <c r="F690" i="24"/>
  <c r="F691" i="24"/>
  <c r="F692" i="24"/>
  <c r="F693" i="24"/>
  <c r="F694" i="24"/>
  <c r="F695" i="24"/>
  <c r="F696" i="24"/>
  <c r="F697" i="24"/>
  <c r="F698" i="24"/>
  <c r="F699" i="24"/>
  <c r="F700" i="24"/>
  <c r="F701" i="24"/>
  <c r="F702" i="24"/>
  <c r="F703" i="24"/>
  <c r="F704" i="24"/>
  <c r="F705" i="24"/>
  <c r="F706" i="24"/>
  <c r="F707" i="24"/>
  <c r="F708" i="24"/>
  <c r="F709" i="24"/>
  <c r="F710" i="24"/>
  <c r="F711" i="24"/>
  <c r="F712" i="24"/>
  <c r="F713" i="24"/>
  <c r="F714" i="24"/>
  <c r="F715" i="24"/>
  <c r="F716" i="24"/>
  <c r="F717" i="24"/>
  <c r="F718" i="24"/>
  <c r="F719" i="24"/>
  <c r="F720" i="24"/>
  <c r="F721" i="24"/>
  <c r="F722" i="24"/>
  <c r="F723" i="24"/>
  <c r="F724" i="24"/>
  <c r="F725" i="24"/>
  <c r="F726" i="24"/>
  <c r="F727" i="24"/>
  <c r="F728" i="24"/>
  <c r="F729" i="24"/>
  <c r="F730" i="24"/>
  <c r="F731" i="24"/>
  <c r="F732" i="24"/>
  <c r="F733" i="24"/>
  <c r="F734" i="24"/>
  <c r="F735" i="24"/>
  <c r="F736" i="24"/>
  <c r="F737" i="24"/>
  <c r="F738" i="24"/>
  <c r="F739" i="24"/>
  <c r="F740" i="24"/>
  <c r="F741" i="24"/>
  <c r="F742" i="24"/>
  <c r="F743" i="24"/>
  <c r="F744" i="24"/>
  <c r="F745" i="24"/>
  <c r="F746" i="24"/>
  <c r="F747" i="24"/>
  <c r="F748" i="24"/>
  <c r="F749" i="24"/>
  <c r="F750" i="24"/>
  <c r="F751" i="24"/>
  <c r="F752" i="24"/>
  <c r="F753" i="24"/>
  <c r="F754" i="24"/>
  <c r="F755" i="24"/>
  <c r="F756" i="24"/>
  <c r="F757" i="24"/>
  <c r="F758" i="24"/>
  <c r="F759" i="24"/>
  <c r="F760" i="24"/>
  <c r="F761" i="24"/>
  <c r="F762" i="24"/>
  <c r="F763" i="24"/>
  <c r="F764" i="24"/>
  <c r="F765" i="24"/>
  <c r="F766" i="24"/>
  <c r="F767" i="24"/>
  <c r="F768" i="24"/>
  <c r="F769" i="24"/>
  <c r="F770" i="24"/>
  <c r="F771" i="24"/>
  <c r="F772" i="24"/>
  <c r="F773" i="24"/>
  <c r="F774" i="24"/>
  <c r="F775" i="24"/>
  <c r="F776" i="24"/>
  <c r="F777" i="24"/>
  <c r="F778" i="24"/>
  <c r="F779" i="24"/>
  <c r="F780" i="24"/>
  <c r="F781" i="24"/>
  <c r="F782" i="24"/>
  <c r="F783" i="24"/>
  <c r="F784" i="24"/>
  <c r="F785" i="24"/>
  <c r="F786" i="24"/>
  <c r="F787" i="24"/>
  <c r="F788" i="24"/>
  <c r="F789" i="24"/>
  <c r="F791" i="24"/>
  <c r="F792" i="24"/>
  <c r="F793" i="24"/>
  <c r="F795" i="24"/>
  <c r="F796" i="24"/>
  <c r="F798" i="24"/>
  <c r="F799" i="24"/>
  <c r="F800" i="24"/>
  <c r="F801" i="24"/>
  <c r="F802" i="24"/>
  <c r="F803" i="24"/>
  <c r="F804" i="24"/>
  <c r="F805" i="24"/>
  <c r="F806" i="24"/>
  <c r="F807" i="24"/>
  <c r="F808" i="24"/>
  <c r="F809" i="24"/>
  <c r="F810" i="24"/>
  <c r="F811" i="24"/>
  <c r="F812" i="24"/>
  <c r="F813" i="24"/>
  <c r="F814" i="24"/>
  <c r="F815" i="24"/>
  <c r="F816" i="24"/>
  <c r="F817" i="24"/>
  <c r="F818" i="24"/>
  <c r="F819" i="24"/>
  <c r="F820" i="24"/>
  <c r="F823" i="24"/>
  <c r="F824" i="24"/>
  <c r="F825" i="24"/>
  <c r="F826" i="24"/>
  <c r="F827" i="24"/>
  <c r="F828" i="24"/>
  <c r="F829" i="24"/>
  <c r="F830" i="24"/>
  <c r="F831" i="24"/>
  <c r="F832" i="24"/>
  <c r="F833" i="24"/>
  <c r="F834" i="24"/>
  <c r="F835" i="24"/>
  <c r="F836" i="24"/>
  <c r="F837" i="24"/>
  <c r="F838" i="24"/>
  <c r="F839" i="24"/>
  <c r="F840" i="24"/>
  <c r="F841" i="24"/>
  <c r="F842" i="24"/>
  <c r="F843" i="24"/>
  <c r="F844" i="24"/>
  <c r="F845" i="24"/>
  <c r="F846" i="24"/>
  <c r="F847" i="24"/>
  <c r="F848" i="24"/>
  <c r="F849" i="24"/>
  <c r="F850" i="24"/>
  <c r="F851" i="24"/>
  <c r="F852" i="24"/>
  <c r="F853" i="24"/>
  <c r="F854" i="24"/>
  <c r="F855" i="24"/>
  <c r="F856" i="24"/>
  <c r="F857" i="24"/>
  <c r="F858" i="24"/>
  <c r="F859" i="24"/>
  <c r="F861" i="24"/>
  <c r="F862" i="24"/>
  <c r="F863" i="24"/>
  <c r="F864" i="24"/>
  <c r="F865" i="24"/>
  <c r="F866" i="24"/>
  <c r="F867" i="24"/>
  <c r="F868" i="24"/>
  <c r="F869" i="24"/>
  <c r="F870" i="24"/>
  <c r="F871" i="24"/>
  <c r="F872" i="24"/>
  <c r="F874" i="24"/>
  <c r="F875" i="24"/>
  <c r="F876" i="24"/>
  <c r="F877" i="24"/>
  <c r="F878" i="24"/>
  <c r="F879" i="24"/>
  <c r="F880" i="24"/>
  <c r="F881" i="24"/>
  <c r="F882" i="24"/>
  <c r="F883" i="24"/>
  <c r="F884" i="24"/>
  <c r="F885" i="24"/>
  <c r="F886" i="24"/>
  <c r="F887" i="24"/>
  <c r="F888" i="24"/>
  <c r="F889" i="24"/>
  <c r="F890" i="24"/>
  <c r="F891" i="24"/>
  <c r="F892" i="24"/>
  <c r="F893" i="24"/>
  <c r="F894" i="24"/>
  <c r="F895" i="24"/>
  <c r="F896" i="24"/>
  <c r="F897" i="24"/>
  <c r="F898" i="24"/>
  <c r="F899" i="24"/>
  <c r="F900" i="24"/>
  <c r="F901" i="24"/>
  <c r="F902" i="24"/>
  <c r="F903" i="24"/>
  <c r="F904" i="24"/>
  <c r="F905" i="24"/>
  <c r="F906" i="24"/>
  <c r="F907" i="24"/>
  <c r="F908" i="24"/>
  <c r="F909" i="24"/>
  <c r="F910" i="24"/>
  <c r="F911" i="24"/>
  <c r="F912" i="24"/>
  <c r="F913" i="24"/>
  <c r="F914" i="24"/>
  <c r="F915" i="24"/>
  <c r="F916" i="24"/>
  <c r="F917" i="24"/>
  <c r="F918" i="24"/>
  <c r="F919" i="24"/>
  <c r="F920" i="24"/>
  <c r="F921" i="24"/>
  <c r="F922" i="24"/>
  <c r="F923" i="24"/>
  <c r="F924" i="24"/>
  <c r="F925" i="24"/>
  <c r="F926" i="24"/>
  <c r="F927" i="24"/>
  <c r="F928" i="24"/>
  <c r="F929" i="24"/>
  <c r="F930" i="24"/>
  <c r="F931" i="24"/>
  <c r="F932" i="24"/>
  <c r="F933" i="24"/>
  <c r="F934" i="24"/>
  <c r="F935" i="24"/>
  <c r="F936" i="24"/>
  <c r="F937" i="24"/>
  <c r="F938" i="24"/>
  <c r="F939" i="24"/>
  <c r="F940" i="24"/>
  <c r="F941" i="24"/>
  <c r="F942" i="24"/>
  <c r="F943" i="24"/>
  <c r="F944" i="24"/>
  <c r="F945" i="24"/>
  <c r="F946" i="24"/>
  <c r="F947" i="24"/>
  <c r="F948" i="24"/>
  <c r="F949" i="24"/>
  <c r="F950" i="24"/>
  <c r="F951" i="24"/>
  <c r="F952" i="24"/>
  <c r="F953" i="24"/>
  <c r="F954" i="24"/>
  <c r="F955" i="24"/>
  <c r="F956" i="24"/>
  <c r="F957" i="24"/>
  <c r="F958" i="24"/>
  <c r="F959" i="24"/>
  <c r="F960" i="24"/>
  <c r="F961" i="24"/>
  <c r="F962" i="24"/>
  <c r="F963" i="24"/>
  <c r="F964" i="24"/>
  <c r="F965" i="24"/>
  <c r="F966" i="24"/>
  <c r="F967" i="24"/>
  <c r="F968" i="24"/>
  <c r="F969" i="24"/>
  <c r="F970" i="24"/>
  <c r="F971" i="24"/>
  <c r="F972" i="24"/>
  <c r="F973" i="24"/>
  <c r="F974" i="24"/>
  <c r="F975" i="24"/>
  <c r="F976" i="24"/>
  <c r="F977" i="24"/>
  <c r="F978" i="24"/>
  <c r="F979" i="24"/>
  <c r="F980" i="24"/>
  <c r="F981" i="24"/>
  <c r="F982" i="24"/>
  <c r="F983" i="24"/>
  <c r="F984" i="24"/>
  <c r="F985" i="24"/>
  <c r="F987" i="24"/>
  <c r="F988" i="24"/>
  <c r="F989" i="24"/>
  <c r="F990" i="24"/>
  <c r="F991" i="24"/>
  <c r="F992" i="24"/>
  <c r="F993" i="24"/>
  <c r="F994" i="24"/>
  <c r="F995" i="24"/>
  <c r="F996" i="24"/>
  <c r="F997" i="24"/>
  <c r="F998" i="24"/>
  <c r="F999" i="24"/>
  <c r="F1000" i="24"/>
  <c r="F1001" i="24"/>
  <c r="F1002" i="24"/>
  <c r="F1003" i="24"/>
  <c r="F1004" i="24"/>
  <c r="F1005" i="24"/>
  <c r="F1006" i="24"/>
  <c r="F1007" i="24"/>
  <c r="F1008" i="24"/>
  <c r="F1009" i="24"/>
  <c r="F1011" i="24"/>
  <c r="F1012" i="24"/>
  <c r="F1013" i="24"/>
  <c r="F1014" i="24"/>
  <c r="F1015" i="24"/>
  <c r="F1016" i="24"/>
  <c r="F1018" i="24"/>
  <c r="F1019" i="24"/>
  <c r="F1020" i="24"/>
  <c r="F1021" i="24"/>
  <c r="F1022" i="24"/>
  <c r="F1023" i="24"/>
  <c r="F1024" i="24"/>
  <c r="F1025" i="24"/>
  <c r="F1026" i="24"/>
  <c r="F1027" i="24"/>
  <c r="F1028" i="24"/>
  <c r="F1029" i="24"/>
  <c r="F1030" i="24"/>
  <c r="F1031" i="24"/>
  <c r="F1032" i="24"/>
  <c r="F1033" i="24"/>
  <c r="F1034" i="24"/>
  <c r="F1035" i="24"/>
  <c r="F1036" i="24"/>
  <c r="F1037" i="24"/>
  <c r="F1038" i="24"/>
  <c r="F1039" i="24"/>
  <c r="F1040" i="24"/>
  <c r="F1041" i="24"/>
  <c r="F1042" i="24"/>
  <c r="F1043" i="24"/>
  <c r="F1046" i="24"/>
  <c r="F1047" i="24"/>
  <c r="F1048" i="24"/>
  <c r="F1049" i="24"/>
  <c r="F1050" i="24"/>
  <c r="F1051" i="24"/>
  <c r="F1053" i="24"/>
  <c r="F1054" i="24"/>
  <c r="F1055" i="24"/>
  <c r="F1056" i="24"/>
  <c r="F1057" i="24"/>
  <c r="F1061" i="24"/>
  <c r="F1062" i="24"/>
  <c r="F1063" i="24"/>
  <c r="F1064" i="24"/>
  <c r="F1065" i="24"/>
  <c r="F1066" i="24"/>
  <c r="F1068" i="24"/>
  <c r="F1069" i="24"/>
  <c r="F1070" i="24"/>
  <c r="F1071" i="24"/>
  <c r="F1072" i="24"/>
  <c r="F1073" i="24"/>
  <c r="F1074" i="24"/>
  <c r="F1075" i="24"/>
  <c r="F1076" i="24"/>
  <c r="F1077" i="24"/>
  <c r="F1078" i="24"/>
  <c r="F1079" i="24"/>
  <c r="F1080" i="24"/>
  <c r="F1081" i="24"/>
  <c r="F1082" i="24"/>
  <c r="F1083" i="24"/>
  <c r="F1084" i="24"/>
  <c r="F1086" i="24"/>
  <c r="F1087" i="24"/>
  <c r="F1088" i="24"/>
  <c r="F1089" i="24"/>
  <c r="F1090" i="24"/>
  <c r="F1091" i="24"/>
  <c r="F1092" i="24"/>
  <c r="F1094" i="24"/>
  <c r="F1095" i="24"/>
  <c r="F1096" i="24"/>
  <c r="F1097" i="24"/>
  <c r="F1098" i="24"/>
  <c r="F1099" i="24"/>
  <c r="F1100" i="24"/>
  <c r="F1101" i="24"/>
  <c r="F1102" i="24"/>
  <c r="F1103" i="24"/>
  <c r="F1104" i="24"/>
  <c r="F1105" i="24"/>
  <c r="F1106" i="24"/>
  <c r="F1107" i="24"/>
  <c r="F1108" i="24"/>
  <c r="F1109" i="24"/>
  <c r="F1110" i="24"/>
  <c r="F1111" i="24"/>
  <c r="F1112" i="24"/>
  <c r="F1113" i="24"/>
  <c r="F1114" i="24"/>
  <c r="F1115" i="24"/>
  <c r="F1116" i="24"/>
  <c r="F1117" i="24"/>
  <c r="F1118" i="24"/>
  <c r="F1119" i="24"/>
  <c r="F1120" i="24"/>
  <c r="F1121" i="24"/>
  <c r="F1122" i="24"/>
  <c r="F1123" i="24"/>
  <c r="F1124" i="24"/>
  <c r="F1125" i="24"/>
  <c r="F1126" i="24"/>
  <c r="F1127" i="24"/>
  <c r="F1128" i="24"/>
  <c r="F1129" i="24"/>
  <c r="F1130" i="24"/>
  <c r="F1131" i="24"/>
  <c r="F1132" i="24"/>
  <c r="F1133" i="24"/>
  <c r="F1134" i="24"/>
  <c r="F1135" i="24"/>
  <c r="F1136" i="24"/>
  <c r="F1137" i="24"/>
  <c r="F1138" i="24"/>
  <c r="F1139" i="24"/>
  <c r="F1140" i="24"/>
  <c r="F1141" i="24"/>
  <c r="F1142" i="24"/>
  <c r="F1143" i="24"/>
  <c r="F1144" i="24"/>
  <c r="F1145" i="24"/>
  <c r="F1146" i="24"/>
  <c r="F1147" i="24"/>
  <c r="F1148" i="24"/>
  <c r="F1149" i="24"/>
  <c r="F1150" i="24"/>
  <c r="F1151" i="24"/>
  <c r="F1152" i="24"/>
  <c r="F1153" i="24"/>
  <c r="F1154" i="24"/>
  <c r="F1155" i="24"/>
  <c r="F1157" i="24"/>
  <c r="F1158" i="24"/>
  <c r="F1159" i="24"/>
  <c r="F1160" i="24"/>
  <c r="F1161" i="24"/>
  <c r="F1162" i="24"/>
  <c r="F1163" i="24"/>
  <c r="F1164" i="24"/>
  <c r="F1165" i="24"/>
  <c r="F1166" i="24"/>
  <c r="F1167" i="24"/>
  <c r="F1168" i="24"/>
  <c r="F1169" i="24"/>
  <c r="F1170" i="24"/>
  <c r="F1171" i="24"/>
  <c r="F1172" i="24"/>
  <c r="F1173" i="24"/>
  <c r="F1174" i="24"/>
  <c r="F1175" i="24"/>
  <c r="F1176" i="24"/>
  <c r="F1177" i="24"/>
  <c r="F1178" i="24"/>
  <c r="F1179" i="24"/>
  <c r="F1180" i="24"/>
  <c r="F1181" i="24"/>
  <c r="F1182" i="24"/>
  <c r="F1183" i="24"/>
  <c r="F1184" i="24"/>
  <c r="F1185" i="24"/>
  <c r="F1186" i="24"/>
  <c r="F1187" i="24"/>
  <c r="F1188" i="24"/>
  <c r="F1189" i="24"/>
  <c r="F1190" i="24"/>
  <c r="F1191" i="24"/>
  <c r="F1192" i="24"/>
  <c r="F1193" i="24"/>
  <c r="F1194" i="24"/>
  <c r="F1195" i="24"/>
  <c r="F1196" i="24"/>
  <c r="F1197" i="24"/>
  <c r="F1198" i="24"/>
  <c r="F1199" i="24"/>
  <c r="F1200" i="24"/>
  <c r="F1201" i="24"/>
  <c r="F1202" i="24"/>
  <c r="F1203" i="24"/>
  <c r="F1204" i="24"/>
  <c r="F1205" i="24"/>
  <c r="F1206" i="24"/>
  <c r="F1207" i="24"/>
  <c r="F1208" i="24"/>
  <c r="F1209" i="24"/>
  <c r="F1210" i="24"/>
  <c r="F1211" i="24"/>
  <c r="F1212" i="24"/>
  <c r="F1213" i="24"/>
  <c r="F1214" i="24"/>
  <c r="F1215" i="24"/>
  <c r="F1216" i="24"/>
  <c r="F1217" i="24"/>
  <c r="F1218" i="24"/>
  <c r="F1219" i="24"/>
  <c r="F1220" i="24"/>
  <c r="F1221" i="24"/>
  <c r="F1222" i="24"/>
  <c r="F1223" i="24"/>
  <c r="F1224" i="24"/>
  <c r="F1225" i="24"/>
  <c r="F1226" i="24"/>
  <c r="F1227" i="24"/>
  <c r="F1228" i="24"/>
  <c r="F1229" i="24"/>
  <c r="F1230" i="24"/>
  <c r="F1231" i="24"/>
  <c r="F1232" i="24"/>
  <c r="F1234" i="24"/>
  <c r="F1236" i="24"/>
  <c r="F1237" i="24"/>
  <c r="F1238" i="24"/>
  <c r="F1240" i="24"/>
  <c r="F1241" i="24"/>
  <c r="F1242" i="24"/>
  <c r="F1243" i="24"/>
  <c r="F1244" i="24"/>
  <c r="F1245" i="24"/>
  <c r="F1246" i="24"/>
  <c r="F1247" i="24"/>
  <c r="F1248" i="24"/>
  <c r="F1249" i="24"/>
  <c r="F1250" i="24"/>
  <c r="F1252" i="24"/>
  <c r="F1253" i="24"/>
  <c r="F1254" i="24"/>
  <c r="F1255" i="24"/>
  <c r="F1256" i="24"/>
  <c r="F1258" i="24"/>
  <c r="F1259" i="24"/>
  <c r="F1260" i="24"/>
  <c r="F1261" i="24"/>
  <c r="F1262" i="24"/>
  <c r="F1263" i="24"/>
  <c r="F1264" i="24"/>
  <c r="F1265" i="24"/>
  <c r="F1266" i="24"/>
  <c r="F1267" i="24"/>
  <c r="F1270" i="24"/>
  <c r="F1271" i="24"/>
  <c r="F1272" i="24"/>
  <c r="F1273" i="24"/>
  <c r="F1274" i="24"/>
  <c r="F1275" i="24"/>
  <c r="F1276" i="24"/>
  <c r="F1277" i="24"/>
  <c r="F1278" i="24"/>
  <c r="F1279" i="24"/>
  <c r="F1280" i="24"/>
  <c r="F1281" i="24"/>
  <c r="F1282" i="24"/>
  <c r="F1283" i="24"/>
  <c r="F1284" i="24"/>
  <c r="F1286" i="24"/>
  <c r="F1287" i="24"/>
  <c r="F1288" i="24"/>
  <c r="F1289" i="24"/>
  <c r="F1290" i="24"/>
  <c r="F1291" i="24"/>
  <c r="F1292" i="24"/>
  <c r="F1293" i="24"/>
  <c r="F1294" i="24"/>
  <c r="F1295" i="24"/>
  <c r="F1296" i="24"/>
  <c r="F1298" i="24"/>
  <c r="F1299" i="24"/>
  <c r="F1300" i="24"/>
  <c r="F1301" i="24"/>
  <c r="F1302" i="24"/>
  <c r="F1303" i="24"/>
  <c r="F1304" i="24"/>
  <c r="F1305" i="24"/>
  <c r="F1306" i="24"/>
  <c r="F1307" i="24"/>
  <c r="F1308" i="24"/>
  <c r="F1309" i="24"/>
  <c r="F1310" i="24"/>
  <c r="F1311" i="24"/>
  <c r="F1312" i="24"/>
  <c r="F1313" i="24"/>
  <c r="F1314" i="24"/>
  <c r="F1315" i="24"/>
  <c r="F1317" i="24"/>
  <c r="F1318" i="24"/>
  <c r="F1319" i="24"/>
  <c r="F1320" i="24"/>
  <c r="F1321" i="24"/>
  <c r="F1322" i="24"/>
  <c r="F1323" i="24"/>
  <c r="F1324" i="24"/>
  <c r="F1325" i="24"/>
  <c r="F1327" i="24"/>
  <c r="F1328" i="24"/>
  <c r="F1329" i="24"/>
  <c r="F1330" i="24"/>
  <c r="F1331" i="24"/>
  <c r="F1332" i="24"/>
  <c r="F1334" i="24"/>
  <c r="F1335" i="24"/>
  <c r="F1336" i="24"/>
  <c r="F1337" i="24"/>
  <c r="F1338" i="24"/>
  <c r="F1339" i="24"/>
  <c r="F1340" i="24"/>
  <c r="F1341" i="24"/>
  <c r="F1342" i="24"/>
  <c r="F1343" i="24"/>
  <c r="F1344" i="24"/>
  <c r="F1345" i="24"/>
  <c r="F1346" i="24"/>
  <c r="F1347" i="24"/>
  <c r="F1348" i="24"/>
  <c r="F1349" i="24"/>
  <c r="F1350" i="24"/>
  <c r="F1351" i="24"/>
  <c r="F1352" i="24"/>
  <c r="F1353" i="24"/>
  <c r="F1354" i="24"/>
  <c r="F1355" i="24"/>
  <c r="F1356" i="24"/>
  <c r="F1357" i="24"/>
  <c r="F1358" i="24"/>
  <c r="F1359" i="24"/>
  <c r="F1360" i="24"/>
  <c r="F1361" i="24"/>
  <c r="F1362" i="24"/>
  <c r="F1363" i="24"/>
  <c r="F1364" i="24"/>
  <c r="F1365" i="24"/>
  <c r="F1366" i="24"/>
  <c r="F1367" i="24"/>
  <c r="F1368" i="24"/>
  <c r="F1369" i="24"/>
  <c r="F1370" i="24"/>
  <c r="F1371" i="24"/>
  <c r="F1372" i="24"/>
  <c r="F1373" i="24"/>
  <c r="F1374" i="24"/>
  <c r="F1375" i="24"/>
  <c r="F1376" i="24"/>
  <c r="F1377" i="24"/>
  <c r="F1378" i="24"/>
  <c r="F1379" i="24"/>
  <c r="F1380" i="24"/>
  <c r="F1381" i="24"/>
  <c r="F1382" i="24"/>
  <c r="F1383" i="24"/>
  <c r="F1384" i="24"/>
  <c r="F1385" i="24"/>
  <c r="F1386" i="24"/>
  <c r="F1387" i="24"/>
  <c r="F1388" i="24"/>
  <c r="F1389" i="24"/>
  <c r="F1390" i="24"/>
  <c r="F1391" i="24"/>
  <c r="F1392" i="24"/>
  <c r="F1394" i="24"/>
  <c r="F1395" i="24"/>
  <c r="F1396" i="24"/>
  <c r="F1398" i="24"/>
  <c r="F1399" i="24"/>
  <c r="F1400" i="24"/>
  <c r="F1401" i="24"/>
  <c r="F1404" i="24"/>
  <c r="F1406" i="24"/>
  <c r="F1408" i="24"/>
  <c r="F1409" i="24"/>
  <c r="F1410" i="24"/>
  <c r="F2" i="24"/>
  <c r="J1406" i="24"/>
  <c r="E3" i="24"/>
  <c r="E4" i="24"/>
  <c r="E5" i="24"/>
  <c r="E6" i="24"/>
  <c r="E7" i="24"/>
  <c r="E8" i="24"/>
  <c r="E10" i="24"/>
  <c r="E11" i="24"/>
  <c r="E12" i="24"/>
  <c r="E13" i="24"/>
  <c r="E14" i="24"/>
  <c r="E15" i="24"/>
  <c r="E16" i="24"/>
  <c r="E17" i="24"/>
  <c r="E19" i="24"/>
  <c r="E20" i="24"/>
  <c r="E22" i="24"/>
  <c r="E23" i="24"/>
  <c r="E25" i="24"/>
  <c r="E26" i="24"/>
  <c r="E27" i="24"/>
  <c r="E28" i="24"/>
  <c r="E29" i="24"/>
  <c r="E31" i="24"/>
  <c r="E33" i="24"/>
  <c r="E34" i="24"/>
  <c r="E35" i="24"/>
  <c r="E36" i="24"/>
  <c r="E37" i="24"/>
  <c r="E38" i="24"/>
  <c r="E39" i="24"/>
  <c r="E40" i="24"/>
  <c r="E41" i="24"/>
  <c r="E42" i="24"/>
  <c r="E43" i="24"/>
  <c r="E44" i="24"/>
  <c r="E45" i="24"/>
  <c r="E46" i="24"/>
  <c r="E47" i="24"/>
  <c r="E48" i="24"/>
  <c r="E49" i="24"/>
  <c r="E50" i="24"/>
  <c r="E51" i="24"/>
  <c r="E52" i="24"/>
  <c r="E53" i="24"/>
  <c r="E54" i="24"/>
  <c r="E55" i="24"/>
  <c r="E57" i="24"/>
  <c r="E58" i="24"/>
  <c r="E59" i="24"/>
  <c r="E60" i="24"/>
  <c r="E61" i="24"/>
  <c r="E62" i="24"/>
  <c r="E63" i="24"/>
  <c r="E64" i="24"/>
  <c r="E65" i="24"/>
  <c r="E67" i="24"/>
  <c r="E68" i="24"/>
  <c r="E69" i="24"/>
  <c r="E70" i="24"/>
  <c r="E71" i="24"/>
  <c r="E72" i="24"/>
  <c r="E73" i="24"/>
  <c r="E74" i="24"/>
  <c r="E76" i="24"/>
  <c r="E77" i="24"/>
  <c r="E79" i="24"/>
  <c r="E80" i="24"/>
  <c r="E81" i="24"/>
  <c r="E82" i="24"/>
  <c r="E83" i="24"/>
  <c r="E84" i="24"/>
  <c r="E85" i="24"/>
  <c r="E86" i="24"/>
  <c r="E87" i="24"/>
  <c r="E88" i="24"/>
  <c r="E89" i="24"/>
  <c r="E90" i="24"/>
  <c r="E91" i="24"/>
  <c r="E92" i="24"/>
  <c r="E93" i="24"/>
  <c r="E94" i="24"/>
  <c r="E95" i="24"/>
  <c r="E96" i="24"/>
  <c r="E97" i="24"/>
  <c r="E98" i="24"/>
  <c r="E99" i="24"/>
  <c r="E100" i="24"/>
  <c r="E101" i="24"/>
  <c r="E102" i="24"/>
  <c r="E103" i="24"/>
  <c r="E104" i="24"/>
  <c r="E105" i="24"/>
  <c r="E106" i="24"/>
  <c r="E107" i="24"/>
  <c r="E108" i="24"/>
  <c r="E109" i="24"/>
  <c r="E110" i="24"/>
  <c r="E111" i="24"/>
  <c r="E112" i="24"/>
  <c r="E113" i="24"/>
  <c r="E114" i="24"/>
  <c r="E115" i="24"/>
  <c r="E116" i="24"/>
  <c r="E117" i="24"/>
  <c r="E118" i="24"/>
  <c r="E119" i="24"/>
  <c r="E120" i="24"/>
  <c r="E121" i="24"/>
  <c r="E122" i="24"/>
  <c r="E123" i="24"/>
  <c r="E124" i="24"/>
  <c r="E125" i="24"/>
  <c r="E126" i="24"/>
  <c r="E127" i="24"/>
  <c r="E128" i="24"/>
  <c r="E129" i="24"/>
  <c r="E130" i="24"/>
  <c r="E131" i="24"/>
  <c r="E132" i="24"/>
  <c r="E133" i="24"/>
  <c r="E134" i="24"/>
  <c r="E135" i="24"/>
  <c r="E136" i="24"/>
  <c r="E137" i="24"/>
  <c r="E138" i="24"/>
  <c r="E139" i="24"/>
  <c r="E140" i="24"/>
  <c r="E141" i="24"/>
  <c r="E142" i="24"/>
  <c r="E143" i="24"/>
  <c r="E144" i="24"/>
  <c r="E145" i="24"/>
  <c r="E146" i="24"/>
  <c r="E147" i="24"/>
  <c r="E148" i="24"/>
  <c r="E149" i="24"/>
  <c r="E150" i="24"/>
  <c r="E151" i="24"/>
  <c r="E152" i="24"/>
  <c r="E153" i="24"/>
  <c r="E154" i="24"/>
  <c r="E155" i="24"/>
  <c r="E156" i="24"/>
  <c r="E157" i="24"/>
  <c r="E158" i="24"/>
  <c r="E159" i="24"/>
  <c r="E160" i="24"/>
  <c r="E161" i="24"/>
  <c r="E162" i="24"/>
  <c r="E163" i="24"/>
  <c r="E164" i="24"/>
  <c r="E165" i="24"/>
  <c r="E166" i="24"/>
  <c r="E167" i="24"/>
  <c r="E168" i="24"/>
  <c r="E169" i="24"/>
  <c r="E170" i="24"/>
  <c r="E171" i="24"/>
  <c r="E172" i="24"/>
  <c r="E173" i="24"/>
  <c r="E174" i="24"/>
  <c r="E175" i="24"/>
  <c r="E176" i="24"/>
  <c r="E177" i="24"/>
  <c r="E178" i="24"/>
  <c r="E179" i="24"/>
  <c r="E180" i="24"/>
  <c r="E181" i="24"/>
  <c r="E182" i="24"/>
  <c r="E183" i="24"/>
  <c r="E185" i="24"/>
  <c r="E186" i="24"/>
  <c r="E187" i="24"/>
  <c r="E188" i="24"/>
  <c r="E190" i="24"/>
  <c r="E191" i="24"/>
  <c r="E192" i="24"/>
  <c r="E193" i="24"/>
  <c r="E194" i="24"/>
  <c r="E195" i="24"/>
  <c r="E196" i="24"/>
  <c r="E197" i="24"/>
  <c r="E198" i="24"/>
  <c r="E199" i="24"/>
  <c r="E200" i="24"/>
  <c r="E201" i="24"/>
  <c r="E202" i="24"/>
  <c r="E203" i="24"/>
  <c r="E204" i="24"/>
  <c r="E205" i="24"/>
  <c r="E206" i="24"/>
  <c r="E207" i="24"/>
  <c r="E208" i="24"/>
  <c r="E209" i="24"/>
  <c r="E210" i="24"/>
  <c r="E211" i="24"/>
  <c r="E212" i="24"/>
  <c r="E213" i="24"/>
  <c r="E214" i="24"/>
  <c r="E215" i="24"/>
  <c r="E216" i="24"/>
  <c r="E217" i="24"/>
  <c r="E218" i="24"/>
  <c r="E219" i="24"/>
  <c r="E220" i="24"/>
  <c r="E221" i="24"/>
  <c r="E222" i="24"/>
  <c r="E223" i="24"/>
  <c r="E224" i="24"/>
  <c r="E225" i="24"/>
  <c r="E226" i="24"/>
  <c r="E227" i="24"/>
  <c r="E228" i="24"/>
  <c r="E229" i="24"/>
  <c r="E230" i="24"/>
  <c r="E231" i="24"/>
  <c r="E232" i="24"/>
  <c r="E233" i="24"/>
  <c r="E234" i="24"/>
  <c r="E235" i="24"/>
  <c r="E236" i="24"/>
  <c r="E237" i="24"/>
  <c r="E238" i="24"/>
  <c r="E239" i="24"/>
  <c r="E240" i="24"/>
  <c r="E241" i="24"/>
  <c r="E242" i="24"/>
  <c r="E243" i="24"/>
  <c r="E244" i="24"/>
  <c r="E245" i="24"/>
  <c r="E246" i="24"/>
  <c r="E247" i="24"/>
  <c r="E248" i="24"/>
  <c r="E249" i="24"/>
  <c r="E250" i="24"/>
  <c r="E251" i="24"/>
  <c r="E252" i="24"/>
  <c r="E253" i="24"/>
  <c r="E254" i="24"/>
  <c r="E255" i="24"/>
  <c r="E256" i="24"/>
  <c r="E257" i="24"/>
  <c r="E258" i="24"/>
  <c r="E259" i="24"/>
  <c r="E260" i="24"/>
  <c r="E261" i="24"/>
  <c r="E262" i="24"/>
  <c r="E263" i="24"/>
  <c r="E264" i="24"/>
  <c r="E265" i="24"/>
  <c r="E266" i="24"/>
  <c r="E267" i="24"/>
  <c r="E268" i="24"/>
  <c r="E269" i="24"/>
  <c r="E270" i="24"/>
  <c r="E271" i="24"/>
  <c r="E272" i="24"/>
  <c r="E273" i="24"/>
  <c r="E274" i="24"/>
  <c r="E275" i="24"/>
  <c r="E276" i="24"/>
  <c r="E277" i="24"/>
  <c r="E278" i="24"/>
  <c r="E279" i="24"/>
  <c r="E280" i="24"/>
  <c r="E281" i="24"/>
  <c r="E282" i="24"/>
  <c r="E283" i="24"/>
  <c r="E284" i="24"/>
  <c r="E285" i="24"/>
  <c r="E286" i="24"/>
  <c r="E287" i="24"/>
  <c r="E288" i="24"/>
  <c r="E289" i="24"/>
  <c r="E290" i="24"/>
  <c r="E291" i="24"/>
  <c r="E292" i="24"/>
  <c r="E293" i="24"/>
  <c r="E294" i="24"/>
  <c r="E295" i="24"/>
  <c r="E296" i="24"/>
  <c r="E297" i="24"/>
  <c r="E298" i="24"/>
  <c r="E299" i="24"/>
  <c r="E300" i="24"/>
  <c r="E301" i="24"/>
  <c r="E302" i="24"/>
  <c r="E303" i="24"/>
  <c r="E304" i="24"/>
  <c r="E305" i="24"/>
  <c r="E306" i="24"/>
  <c r="E307" i="24"/>
  <c r="E308" i="24"/>
  <c r="E309" i="24"/>
  <c r="E310" i="24"/>
  <c r="E311" i="24"/>
  <c r="E312" i="24"/>
  <c r="E313" i="24"/>
  <c r="E314" i="24"/>
  <c r="E315" i="24"/>
  <c r="E316" i="24"/>
  <c r="E317" i="24"/>
  <c r="E318" i="24"/>
  <c r="E319" i="24"/>
  <c r="E320" i="24"/>
  <c r="E321" i="24"/>
  <c r="E322" i="24"/>
  <c r="E323" i="24"/>
  <c r="E324" i="24"/>
  <c r="E325" i="24"/>
  <c r="E326" i="24"/>
  <c r="E327" i="24"/>
  <c r="E328" i="24"/>
  <c r="E329" i="24"/>
  <c r="E330" i="24"/>
  <c r="E331" i="24"/>
  <c r="E332" i="24"/>
  <c r="E333" i="24"/>
  <c r="E334" i="24"/>
  <c r="E335" i="24"/>
  <c r="E336" i="24"/>
  <c r="E337" i="24"/>
  <c r="E338" i="24"/>
  <c r="E339" i="24"/>
  <c r="E340" i="24"/>
  <c r="E341" i="24"/>
  <c r="E342" i="24"/>
  <c r="E343" i="24"/>
  <c r="E344" i="24"/>
  <c r="E345" i="24"/>
  <c r="E346" i="24"/>
  <c r="E347" i="24"/>
  <c r="E348" i="24"/>
  <c r="E349" i="24"/>
  <c r="E350" i="24"/>
  <c r="E351" i="24"/>
  <c r="E352" i="24"/>
  <c r="E353" i="24"/>
  <c r="E354" i="24"/>
  <c r="E355" i="24"/>
  <c r="E356" i="24"/>
  <c r="E357" i="24"/>
  <c r="E358" i="24"/>
  <c r="E359" i="24"/>
  <c r="E360" i="24"/>
  <c r="E361" i="24"/>
  <c r="E362" i="24"/>
  <c r="E363" i="24"/>
  <c r="E364" i="24"/>
  <c r="E365" i="24"/>
  <c r="E366" i="24"/>
  <c r="E367" i="24"/>
  <c r="E368" i="24"/>
  <c r="E369" i="24"/>
  <c r="E370" i="24"/>
  <c r="E371" i="24"/>
  <c r="E372" i="24"/>
  <c r="E373" i="24"/>
  <c r="E374" i="24"/>
  <c r="E375" i="24"/>
  <c r="E376" i="24"/>
  <c r="E377" i="24"/>
  <c r="E378" i="24"/>
  <c r="E379" i="24"/>
  <c r="E380" i="24"/>
  <c r="E381" i="24"/>
  <c r="E382" i="24"/>
  <c r="E383" i="24"/>
  <c r="E384" i="24"/>
  <c r="E385" i="24"/>
  <c r="E386" i="24"/>
  <c r="E387" i="24"/>
  <c r="E388" i="24"/>
  <c r="E389" i="24"/>
  <c r="E390" i="24"/>
  <c r="E391" i="24"/>
  <c r="E392" i="24"/>
  <c r="E393" i="24"/>
  <c r="E396" i="24"/>
  <c r="E397" i="24"/>
  <c r="E398" i="24"/>
  <c r="E399" i="24"/>
  <c r="E400" i="24"/>
  <c r="E401" i="24"/>
  <c r="E402" i="24"/>
  <c r="E403" i="24"/>
  <c r="E404" i="24"/>
  <c r="E405" i="24"/>
  <c r="E406" i="24"/>
  <c r="E407" i="24"/>
  <c r="E408" i="24"/>
  <c r="E409" i="24"/>
  <c r="E410" i="24"/>
  <c r="E411" i="24"/>
  <c r="E412" i="24"/>
  <c r="E413" i="24"/>
  <c r="E414" i="24"/>
  <c r="E415" i="24"/>
  <c r="E416" i="24"/>
  <c r="E417" i="24"/>
  <c r="E418" i="24"/>
  <c r="E419" i="24"/>
  <c r="E420" i="24"/>
  <c r="E421" i="24"/>
  <c r="E422" i="24"/>
  <c r="E423" i="24"/>
  <c r="E424" i="24"/>
  <c r="E425" i="24"/>
  <c r="E426" i="24"/>
  <c r="E427" i="24"/>
  <c r="E428" i="24"/>
  <c r="E429" i="24"/>
  <c r="E430" i="24"/>
  <c r="E431" i="24"/>
  <c r="E432" i="24"/>
  <c r="E433" i="24"/>
  <c r="E434" i="24"/>
  <c r="E435" i="24"/>
  <c r="E436" i="24"/>
  <c r="E437" i="24"/>
  <c r="E438" i="24"/>
  <c r="E439" i="24"/>
  <c r="E440" i="24"/>
  <c r="E441" i="24"/>
  <c r="E442" i="24"/>
  <c r="E443" i="24"/>
  <c r="E444" i="24"/>
  <c r="E445" i="24"/>
  <c r="E446" i="24"/>
  <c r="E447" i="24"/>
  <c r="E448" i="24"/>
  <c r="E449" i="24"/>
  <c r="E450" i="24"/>
  <c r="E451" i="24"/>
  <c r="E452" i="24"/>
  <c r="E453" i="24"/>
  <c r="E454" i="24"/>
  <c r="E455" i="24"/>
  <c r="E456" i="24"/>
  <c r="E457" i="24"/>
  <c r="E458" i="24"/>
  <c r="E459" i="24"/>
  <c r="E460" i="24"/>
  <c r="E461" i="24"/>
  <c r="E462" i="24"/>
  <c r="E463" i="24"/>
  <c r="E464" i="24"/>
  <c r="E465" i="24"/>
  <c r="E466" i="24"/>
  <c r="E467" i="24"/>
  <c r="E468" i="24"/>
  <c r="E469" i="24"/>
  <c r="E470" i="24"/>
  <c r="E471" i="24"/>
  <c r="E472" i="24"/>
  <c r="E473" i="24"/>
  <c r="E474" i="24"/>
  <c r="E475" i="24"/>
  <c r="E476" i="24"/>
  <c r="E477" i="24"/>
  <c r="E478" i="24"/>
  <c r="E479" i="24"/>
  <c r="E480" i="24"/>
  <c r="E481" i="24"/>
  <c r="E482" i="24"/>
  <c r="E483" i="24"/>
  <c r="E484" i="24"/>
  <c r="E485" i="24"/>
  <c r="E486" i="24"/>
  <c r="E487" i="24"/>
  <c r="E488" i="24"/>
  <c r="E489" i="24"/>
  <c r="E490" i="24"/>
  <c r="E491" i="24"/>
  <c r="E492" i="24"/>
  <c r="E493" i="24"/>
  <c r="E494" i="24"/>
  <c r="E495" i="24"/>
  <c r="E496" i="24"/>
  <c r="E497" i="24"/>
  <c r="E498" i="24"/>
  <c r="E499" i="24"/>
  <c r="E500" i="24"/>
  <c r="E501" i="24"/>
  <c r="E502" i="24"/>
  <c r="E503" i="24"/>
  <c r="E504" i="24"/>
  <c r="E505" i="24"/>
  <c r="E506" i="24"/>
  <c r="E507" i="24"/>
  <c r="E508" i="24"/>
  <c r="E509" i="24"/>
  <c r="E510" i="24"/>
  <c r="E511" i="24"/>
  <c r="E512" i="24"/>
  <c r="E513" i="24"/>
  <c r="E514" i="24"/>
  <c r="E515" i="24"/>
  <c r="E516" i="24"/>
  <c r="E517" i="24"/>
  <c r="E518" i="24"/>
  <c r="E519" i="24"/>
  <c r="E520" i="24"/>
  <c r="E521" i="24"/>
  <c r="E522" i="24"/>
  <c r="E523" i="24"/>
  <c r="E524" i="24"/>
  <c r="E525" i="24"/>
  <c r="E526" i="24"/>
  <c r="E527" i="24"/>
  <c r="E528" i="24"/>
  <c r="E529" i="24"/>
  <c r="E530" i="24"/>
  <c r="E531" i="24"/>
  <c r="E532" i="24"/>
  <c r="E533" i="24"/>
  <c r="E534" i="24"/>
  <c r="E535" i="24"/>
  <c r="E536" i="24"/>
  <c r="E537" i="24"/>
  <c r="E538" i="24"/>
  <c r="E539" i="24"/>
  <c r="E540" i="24"/>
  <c r="E541" i="24"/>
  <c r="E542" i="24"/>
  <c r="E543" i="24"/>
  <c r="E544" i="24"/>
  <c r="E545" i="24"/>
  <c r="E546" i="24"/>
  <c r="E547" i="24"/>
  <c r="E548" i="24"/>
  <c r="E549" i="24"/>
  <c r="E550" i="24"/>
  <c r="E551" i="24"/>
  <c r="E552" i="24"/>
  <c r="E553" i="24"/>
  <c r="E554" i="24"/>
  <c r="E555" i="24"/>
  <c r="E556" i="24"/>
  <c r="E557" i="24"/>
  <c r="E558" i="24"/>
  <c r="E559" i="24"/>
  <c r="E560" i="24"/>
  <c r="E561" i="24"/>
  <c r="E562" i="24"/>
  <c r="E563" i="24"/>
  <c r="E564" i="24"/>
  <c r="E566" i="24"/>
  <c r="E567" i="24"/>
  <c r="E568" i="24"/>
  <c r="E569" i="24"/>
  <c r="E570" i="24"/>
  <c r="E571" i="24"/>
  <c r="E572" i="24"/>
  <c r="E573" i="24"/>
  <c r="E575" i="24"/>
  <c r="E576" i="24"/>
  <c r="E577" i="24"/>
  <c r="E578" i="24"/>
  <c r="E579" i="24"/>
  <c r="E580" i="24"/>
  <c r="E581" i="24"/>
  <c r="E582" i="24"/>
  <c r="E583" i="24"/>
  <c r="E584" i="24"/>
  <c r="E585" i="24"/>
  <c r="E586" i="24"/>
  <c r="E587" i="24"/>
  <c r="E588" i="24"/>
  <c r="E589" i="24"/>
  <c r="E590" i="24"/>
  <c r="E591" i="24"/>
  <c r="E592" i="24"/>
  <c r="E594" i="24"/>
  <c r="E595" i="24"/>
  <c r="E596" i="24"/>
  <c r="E597" i="24"/>
  <c r="E598" i="24"/>
  <c r="E599" i="24"/>
  <c r="E600" i="24"/>
  <c r="E601" i="24"/>
  <c r="E602" i="24"/>
  <c r="E603" i="24"/>
  <c r="E604" i="24"/>
  <c r="E605" i="24"/>
  <c r="E606" i="24"/>
  <c r="E607" i="24"/>
  <c r="E608" i="24"/>
  <c r="E609" i="24"/>
  <c r="E610" i="24"/>
  <c r="E611" i="24"/>
  <c r="E612" i="24"/>
  <c r="E613" i="24"/>
  <c r="E614" i="24"/>
  <c r="E615" i="24"/>
  <c r="E616" i="24"/>
  <c r="E617" i="24"/>
  <c r="E618" i="24"/>
  <c r="E619" i="24"/>
  <c r="E620" i="24"/>
  <c r="E621" i="24"/>
  <c r="E622" i="24"/>
  <c r="E623" i="24"/>
  <c r="E624" i="24"/>
  <c r="E625" i="24"/>
  <c r="E626" i="24"/>
  <c r="E627" i="24"/>
  <c r="E628" i="24"/>
  <c r="E629" i="24"/>
  <c r="E630" i="24"/>
  <c r="E631" i="24"/>
  <c r="E632" i="24"/>
  <c r="E633" i="24"/>
  <c r="E634" i="24"/>
  <c r="E635" i="24"/>
  <c r="E636" i="24"/>
  <c r="E637" i="24"/>
  <c r="E638" i="24"/>
  <c r="E639" i="24"/>
  <c r="E640" i="24"/>
  <c r="E641" i="24"/>
  <c r="E642" i="24"/>
  <c r="E643" i="24"/>
  <c r="E644" i="24"/>
  <c r="E645" i="24"/>
  <c r="E646" i="24"/>
  <c r="E647" i="24"/>
  <c r="E648" i="24"/>
  <c r="E649" i="24"/>
  <c r="E650" i="24"/>
  <c r="E651" i="24"/>
  <c r="E652" i="24"/>
  <c r="E653" i="24"/>
  <c r="E654" i="24"/>
  <c r="E655" i="24"/>
  <c r="E656" i="24"/>
  <c r="E657" i="24"/>
  <c r="E658" i="24"/>
  <c r="E659" i="24"/>
  <c r="E660" i="24"/>
  <c r="E661" i="24"/>
  <c r="E662" i="24"/>
  <c r="E663" i="24"/>
  <c r="E664" i="24"/>
  <c r="E665" i="24"/>
  <c r="E666" i="24"/>
  <c r="E667" i="24"/>
  <c r="E668" i="24"/>
  <c r="E669" i="24"/>
  <c r="E670" i="24"/>
  <c r="E671" i="24"/>
  <c r="E672" i="24"/>
  <c r="E673" i="24"/>
  <c r="E674" i="24"/>
  <c r="E675" i="24"/>
  <c r="E676" i="24"/>
  <c r="E677" i="24"/>
  <c r="E678" i="24"/>
  <c r="E679" i="24"/>
  <c r="E680" i="24"/>
  <c r="E681" i="24"/>
  <c r="E682" i="24"/>
  <c r="E683" i="24"/>
  <c r="E684" i="24"/>
  <c r="E685" i="24"/>
  <c r="E686" i="24"/>
  <c r="E687" i="24"/>
  <c r="E688" i="24"/>
  <c r="E689" i="24"/>
  <c r="E690" i="24"/>
  <c r="E691" i="24"/>
  <c r="E692" i="24"/>
  <c r="E693" i="24"/>
  <c r="E694" i="24"/>
  <c r="E695" i="24"/>
  <c r="E696" i="24"/>
  <c r="E697" i="24"/>
  <c r="E698" i="24"/>
  <c r="E699" i="24"/>
  <c r="E700" i="24"/>
  <c r="E701" i="24"/>
  <c r="E702" i="24"/>
  <c r="E703" i="24"/>
  <c r="E704" i="24"/>
  <c r="E705" i="24"/>
  <c r="E706" i="24"/>
  <c r="E707" i="24"/>
  <c r="E708" i="24"/>
  <c r="E709" i="24"/>
  <c r="E710" i="24"/>
  <c r="E711" i="24"/>
  <c r="E712" i="24"/>
  <c r="E713" i="24"/>
  <c r="E714" i="24"/>
  <c r="E715" i="24"/>
  <c r="E716" i="24"/>
  <c r="E717" i="24"/>
  <c r="E718" i="24"/>
  <c r="E719" i="24"/>
  <c r="E720" i="24"/>
  <c r="E721" i="24"/>
  <c r="E722" i="24"/>
  <c r="E723" i="24"/>
  <c r="E724" i="24"/>
  <c r="E725" i="24"/>
  <c r="E726" i="24"/>
  <c r="E727" i="24"/>
  <c r="E728" i="24"/>
  <c r="E729" i="24"/>
  <c r="E730" i="24"/>
  <c r="E731" i="24"/>
  <c r="E732" i="24"/>
  <c r="E733" i="24"/>
  <c r="E734" i="24"/>
  <c r="E735" i="24"/>
  <c r="E736" i="24"/>
  <c r="E737" i="24"/>
  <c r="E738" i="24"/>
  <c r="E739" i="24"/>
  <c r="E740" i="24"/>
  <c r="E741" i="24"/>
  <c r="E742" i="24"/>
  <c r="E743" i="24"/>
  <c r="E744" i="24"/>
  <c r="E745" i="24"/>
  <c r="E746" i="24"/>
  <c r="E747" i="24"/>
  <c r="E748" i="24"/>
  <c r="E749" i="24"/>
  <c r="E750" i="24"/>
  <c r="E751" i="24"/>
  <c r="E752" i="24"/>
  <c r="E753" i="24"/>
  <c r="E754" i="24"/>
  <c r="E755" i="24"/>
  <c r="E756" i="24"/>
  <c r="E757" i="24"/>
  <c r="E758" i="24"/>
  <c r="E759" i="24"/>
  <c r="E760" i="24"/>
  <c r="E761" i="24"/>
  <c r="E762" i="24"/>
  <c r="E763" i="24"/>
  <c r="E764" i="24"/>
  <c r="E765" i="24"/>
  <c r="E766" i="24"/>
  <c r="E767" i="24"/>
  <c r="E768" i="24"/>
  <c r="E769" i="24"/>
  <c r="E770" i="24"/>
  <c r="E771" i="24"/>
  <c r="E772" i="24"/>
  <c r="E773" i="24"/>
  <c r="E774" i="24"/>
  <c r="E775" i="24"/>
  <c r="E776" i="24"/>
  <c r="E777" i="24"/>
  <c r="E778" i="24"/>
  <c r="E779" i="24"/>
  <c r="E780" i="24"/>
  <c r="E781" i="24"/>
  <c r="E782" i="24"/>
  <c r="E783" i="24"/>
  <c r="E784" i="24"/>
  <c r="E785" i="24"/>
  <c r="E786" i="24"/>
  <c r="E787" i="24"/>
  <c r="E788" i="24"/>
  <c r="E789" i="24"/>
  <c r="E791" i="24"/>
  <c r="E792" i="24"/>
  <c r="E793" i="24"/>
  <c r="E795" i="24"/>
  <c r="E796" i="24"/>
  <c r="E798" i="24"/>
  <c r="E799" i="24"/>
  <c r="E800" i="24"/>
  <c r="E801" i="24"/>
  <c r="E802" i="24"/>
  <c r="E803" i="24"/>
  <c r="E804" i="24"/>
  <c r="E805" i="24"/>
  <c r="E806" i="24"/>
  <c r="E807" i="24"/>
  <c r="E808" i="24"/>
  <c r="E809" i="24"/>
  <c r="E810" i="24"/>
  <c r="E811" i="24"/>
  <c r="E812" i="24"/>
  <c r="E813" i="24"/>
  <c r="E814" i="24"/>
  <c r="E815" i="24"/>
  <c r="E816" i="24"/>
  <c r="E817" i="24"/>
  <c r="E818" i="24"/>
  <c r="E819" i="24"/>
  <c r="E820" i="24"/>
  <c r="E823" i="24"/>
  <c r="E824" i="24"/>
  <c r="E825" i="24"/>
  <c r="E826" i="24"/>
  <c r="E827" i="24"/>
  <c r="E828" i="24"/>
  <c r="E829" i="24"/>
  <c r="E830" i="24"/>
  <c r="E831" i="24"/>
  <c r="E832" i="24"/>
  <c r="E833" i="24"/>
  <c r="E834" i="24"/>
  <c r="E835" i="24"/>
  <c r="E836" i="24"/>
  <c r="E837" i="24"/>
  <c r="E838" i="24"/>
  <c r="E839" i="24"/>
  <c r="E840" i="24"/>
  <c r="E841" i="24"/>
  <c r="E842" i="24"/>
  <c r="E843" i="24"/>
  <c r="E844" i="24"/>
  <c r="E845" i="24"/>
  <c r="E846" i="24"/>
  <c r="E847" i="24"/>
  <c r="E848" i="24"/>
  <c r="E849" i="24"/>
  <c r="E850" i="24"/>
  <c r="E851" i="24"/>
  <c r="E852" i="24"/>
  <c r="E853" i="24"/>
  <c r="E854" i="24"/>
  <c r="E855" i="24"/>
  <c r="E856" i="24"/>
  <c r="E857" i="24"/>
  <c r="E858" i="24"/>
  <c r="E859" i="24"/>
  <c r="E861" i="24"/>
  <c r="E862" i="24"/>
  <c r="E863" i="24"/>
  <c r="E864" i="24"/>
  <c r="E865" i="24"/>
  <c r="E866" i="24"/>
  <c r="E867" i="24"/>
  <c r="E868" i="24"/>
  <c r="E869" i="24"/>
  <c r="E870" i="24"/>
  <c r="E871" i="24"/>
  <c r="E872" i="24"/>
  <c r="E874" i="24"/>
  <c r="E875" i="24"/>
  <c r="E876" i="24"/>
  <c r="E877" i="24"/>
  <c r="E878" i="24"/>
  <c r="E879" i="24"/>
  <c r="E880" i="24"/>
  <c r="E881" i="24"/>
  <c r="E882" i="24"/>
  <c r="E883" i="24"/>
  <c r="E884" i="24"/>
  <c r="E885" i="24"/>
  <c r="E886" i="24"/>
  <c r="E887" i="24"/>
  <c r="E888" i="24"/>
  <c r="E889" i="24"/>
  <c r="E890" i="24"/>
  <c r="E891" i="24"/>
  <c r="E892" i="24"/>
  <c r="E893" i="24"/>
  <c r="E894" i="24"/>
  <c r="E895" i="24"/>
  <c r="E896" i="24"/>
  <c r="E897" i="24"/>
  <c r="E898" i="24"/>
  <c r="E899" i="24"/>
  <c r="E900" i="24"/>
  <c r="E901" i="24"/>
  <c r="E902" i="24"/>
  <c r="E903" i="24"/>
  <c r="E904" i="24"/>
  <c r="E905" i="24"/>
  <c r="E906" i="24"/>
  <c r="E907" i="24"/>
  <c r="E908" i="24"/>
  <c r="E909" i="24"/>
  <c r="E910" i="24"/>
  <c r="E911" i="24"/>
  <c r="E912" i="24"/>
  <c r="E913" i="24"/>
  <c r="E914" i="24"/>
  <c r="E915" i="24"/>
  <c r="E916" i="24"/>
  <c r="E917" i="24"/>
  <c r="E918" i="24"/>
  <c r="E919" i="24"/>
  <c r="E920" i="24"/>
  <c r="E921" i="24"/>
  <c r="E922" i="24"/>
  <c r="E923" i="24"/>
  <c r="E924" i="24"/>
  <c r="E925" i="24"/>
  <c r="E926" i="24"/>
  <c r="E927" i="24"/>
  <c r="E928" i="24"/>
  <c r="E929" i="24"/>
  <c r="E930" i="24"/>
  <c r="E931" i="24"/>
  <c r="E932" i="24"/>
  <c r="E933" i="24"/>
  <c r="E934" i="24"/>
  <c r="E935" i="24"/>
  <c r="E936" i="24"/>
  <c r="E937" i="24"/>
  <c r="E938" i="24"/>
  <c r="E939" i="24"/>
  <c r="E940" i="24"/>
  <c r="E941" i="24"/>
  <c r="E942" i="24"/>
  <c r="E943" i="24"/>
  <c r="E944" i="24"/>
  <c r="E945" i="24"/>
  <c r="E946" i="24"/>
  <c r="E947" i="24"/>
  <c r="E948" i="24"/>
  <c r="E949" i="24"/>
  <c r="E950" i="24"/>
  <c r="E951" i="24"/>
  <c r="E952" i="24"/>
  <c r="E953" i="24"/>
  <c r="E954" i="24"/>
  <c r="E955" i="24"/>
  <c r="E956" i="24"/>
  <c r="E957" i="24"/>
  <c r="E958" i="24"/>
  <c r="E959" i="24"/>
  <c r="E960" i="24"/>
  <c r="E961" i="24"/>
  <c r="E962" i="24"/>
  <c r="E963" i="24"/>
  <c r="E964" i="24"/>
  <c r="E965" i="24"/>
  <c r="E966" i="24"/>
  <c r="E967" i="24"/>
  <c r="E968" i="24"/>
  <c r="E969" i="24"/>
  <c r="E970" i="24"/>
  <c r="E971" i="24"/>
  <c r="E972" i="24"/>
  <c r="E973" i="24"/>
  <c r="E974" i="24"/>
  <c r="E975" i="24"/>
  <c r="E976" i="24"/>
  <c r="E977" i="24"/>
  <c r="E978" i="24"/>
  <c r="E979" i="24"/>
  <c r="E980" i="24"/>
  <c r="E981" i="24"/>
  <c r="E982" i="24"/>
  <c r="E983" i="24"/>
  <c r="E984" i="24"/>
  <c r="E985" i="24"/>
  <c r="E987" i="24"/>
  <c r="E988" i="24"/>
  <c r="E989" i="24"/>
  <c r="E990" i="24"/>
  <c r="E991" i="24"/>
  <c r="E992" i="24"/>
  <c r="E993" i="24"/>
  <c r="E994" i="24"/>
  <c r="E995" i="24"/>
  <c r="E996" i="24"/>
  <c r="E997" i="24"/>
  <c r="E998" i="24"/>
  <c r="E999" i="24"/>
  <c r="E1000" i="24"/>
  <c r="E1001" i="24"/>
  <c r="E1002" i="24"/>
  <c r="E1003" i="24"/>
  <c r="E1004" i="24"/>
  <c r="E1005" i="24"/>
  <c r="E1006" i="24"/>
  <c r="E1007" i="24"/>
  <c r="E1008" i="24"/>
  <c r="E1009" i="24"/>
  <c r="E1011" i="24"/>
  <c r="E1012" i="24"/>
  <c r="E1013" i="24"/>
  <c r="E1014" i="24"/>
  <c r="E1015" i="24"/>
  <c r="E1016" i="24"/>
  <c r="E1018" i="24"/>
  <c r="E1019" i="24"/>
  <c r="E1020" i="24"/>
  <c r="E1021" i="24"/>
  <c r="E1022" i="24"/>
  <c r="E1023" i="24"/>
  <c r="E1024" i="24"/>
  <c r="E1025" i="24"/>
  <c r="E1026" i="24"/>
  <c r="E1027" i="24"/>
  <c r="E1028" i="24"/>
  <c r="E1029" i="24"/>
  <c r="E1030" i="24"/>
  <c r="E1031" i="24"/>
  <c r="E1032" i="24"/>
  <c r="E1033" i="24"/>
  <c r="E1034" i="24"/>
  <c r="E1035" i="24"/>
  <c r="E1036" i="24"/>
  <c r="E1037" i="24"/>
  <c r="E1038" i="24"/>
  <c r="E1039" i="24"/>
  <c r="E1040" i="24"/>
  <c r="E1041" i="24"/>
  <c r="E1042" i="24"/>
  <c r="E1043" i="24"/>
  <c r="E1046" i="24"/>
  <c r="E1047" i="24"/>
  <c r="E1048" i="24"/>
  <c r="E1049" i="24"/>
  <c r="E1050" i="24"/>
  <c r="E1051" i="24"/>
  <c r="E1053" i="24"/>
  <c r="E1054" i="24"/>
  <c r="E1055" i="24"/>
  <c r="E1056" i="24"/>
  <c r="E1057" i="24"/>
  <c r="E1061" i="24"/>
  <c r="E1062" i="24"/>
  <c r="E1063" i="24"/>
  <c r="E1064" i="24"/>
  <c r="E1065" i="24"/>
  <c r="E1066" i="24"/>
  <c r="E1068" i="24"/>
  <c r="E1069" i="24"/>
  <c r="E1070" i="24"/>
  <c r="E1071" i="24"/>
  <c r="E1072" i="24"/>
  <c r="E1073" i="24"/>
  <c r="E1074" i="24"/>
  <c r="E1075" i="24"/>
  <c r="E1076" i="24"/>
  <c r="E1077" i="24"/>
  <c r="E1078" i="24"/>
  <c r="E1079" i="24"/>
  <c r="E1080" i="24"/>
  <c r="E1081" i="24"/>
  <c r="E1082" i="24"/>
  <c r="E1083" i="24"/>
  <c r="E1084" i="24"/>
  <c r="E1086" i="24"/>
  <c r="E1087" i="24"/>
  <c r="E1088" i="24"/>
  <c r="E1089" i="24"/>
  <c r="E1090" i="24"/>
  <c r="E1091" i="24"/>
  <c r="E1092" i="24"/>
  <c r="E1094" i="24"/>
  <c r="E1095" i="24"/>
  <c r="E1096" i="24"/>
  <c r="E1097" i="24"/>
  <c r="E1098" i="24"/>
  <c r="E1099" i="24"/>
  <c r="E1100" i="24"/>
  <c r="E1101" i="24"/>
  <c r="E1102" i="24"/>
  <c r="E1103" i="24"/>
  <c r="E1104" i="24"/>
  <c r="E1105" i="24"/>
  <c r="E1106" i="24"/>
  <c r="E1107" i="24"/>
  <c r="E1108" i="24"/>
  <c r="E1109" i="24"/>
  <c r="E1110" i="24"/>
  <c r="E1111" i="24"/>
  <c r="E1112" i="24"/>
  <c r="E1113" i="24"/>
  <c r="E1114" i="24"/>
  <c r="E1115" i="24"/>
  <c r="E1116" i="24"/>
  <c r="E1117" i="24"/>
  <c r="E1118" i="24"/>
  <c r="E1119" i="24"/>
  <c r="E1120" i="24"/>
  <c r="E1121" i="24"/>
  <c r="E1122" i="24"/>
  <c r="E1123" i="24"/>
  <c r="E1124" i="24"/>
  <c r="E1125" i="24"/>
  <c r="E1126" i="24"/>
  <c r="E1127" i="24"/>
  <c r="E1128" i="24"/>
  <c r="E1129" i="24"/>
  <c r="E1130" i="24"/>
  <c r="E1131" i="24"/>
  <c r="E1132" i="24"/>
  <c r="E1133" i="24"/>
  <c r="E1134" i="24"/>
  <c r="E1135" i="24"/>
  <c r="E1136" i="24"/>
  <c r="E1137" i="24"/>
  <c r="E1138" i="24"/>
  <c r="E1139" i="24"/>
  <c r="E1140" i="24"/>
  <c r="E1141" i="24"/>
  <c r="E1142" i="24"/>
  <c r="E1143" i="24"/>
  <c r="E1144" i="24"/>
  <c r="E1145" i="24"/>
  <c r="E1146" i="24"/>
  <c r="E1147" i="24"/>
  <c r="E1148" i="24"/>
  <c r="E1149" i="24"/>
  <c r="E1150" i="24"/>
  <c r="E1151" i="24"/>
  <c r="E1152" i="24"/>
  <c r="E1153" i="24"/>
  <c r="E1154" i="24"/>
  <c r="E1155" i="24"/>
  <c r="E1157" i="24"/>
  <c r="E1158" i="24"/>
  <c r="E1159" i="24"/>
  <c r="E1160" i="24"/>
  <c r="E1161" i="24"/>
  <c r="E1162" i="24"/>
  <c r="E1163" i="24"/>
  <c r="E1164" i="24"/>
  <c r="E1165" i="24"/>
  <c r="E1166" i="24"/>
  <c r="E1167" i="24"/>
  <c r="E1168" i="24"/>
  <c r="E1169" i="24"/>
  <c r="E1170" i="24"/>
  <c r="E1171" i="24"/>
  <c r="E1172" i="24"/>
  <c r="E1173" i="24"/>
  <c r="E1174" i="24"/>
  <c r="E1175" i="24"/>
  <c r="E1176" i="24"/>
  <c r="E1177" i="24"/>
  <c r="E1178" i="24"/>
  <c r="E1179" i="24"/>
  <c r="E1180" i="24"/>
  <c r="E1181" i="24"/>
  <c r="E1182" i="24"/>
  <c r="E1183" i="24"/>
  <c r="E1184" i="24"/>
  <c r="E1185" i="24"/>
  <c r="E1186" i="24"/>
  <c r="E1187" i="24"/>
  <c r="E1188" i="24"/>
  <c r="E1189" i="24"/>
  <c r="E1190" i="24"/>
  <c r="E1191" i="24"/>
  <c r="E1192" i="24"/>
  <c r="E1193" i="24"/>
  <c r="E1194" i="24"/>
  <c r="E1195" i="24"/>
  <c r="E1196" i="24"/>
  <c r="E1197" i="24"/>
  <c r="E1198" i="24"/>
  <c r="E1199" i="24"/>
  <c r="E1200" i="24"/>
  <c r="E1201" i="24"/>
  <c r="E1202" i="24"/>
  <c r="E1203" i="24"/>
  <c r="E1204" i="24"/>
  <c r="E1205" i="24"/>
  <c r="E1206" i="24"/>
  <c r="E1207" i="24"/>
  <c r="E1208" i="24"/>
  <c r="E1209" i="24"/>
  <c r="E1210" i="24"/>
  <c r="E1211" i="24"/>
  <c r="E1212" i="24"/>
  <c r="E1213" i="24"/>
  <c r="E1214" i="24"/>
  <c r="E1215" i="24"/>
  <c r="E1216" i="24"/>
  <c r="E1217" i="24"/>
  <c r="E1218" i="24"/>
  <c r="E1219" i="24"/>
  <c r="E1220" i="24"/>
  <c r="E1221" i="24"/>
  <c r="E1222" i="24"/>
  <c r="E1223" i="24"/>
  <c r="E1224" i="24"/>
  <c r="E1225" i="24"/>
  <c r="E1226" i="24"/>
  <c r="E1227" i="24"/>
  <c r="E1228" i="24"/>
  <c r="E1229" i="24"/>
  <c r="E1230" i="24"/>
  <c r="E1231" i="24"/>
  <c r="E1232" i="24"/>
  <c r="E1234" i="24"/>
  <c r="E1236" i="24"/>
  <c r="E1237" i="24"/>
  <c r="E1238" i="24"/>
  <c r="E1240" i="24"/>
  <c r="E1241" i="24"/>
  <c r="E1242" i="24"/>
  <c r="E1243" i="24"/>
  <c r="E1244" i="24"/>
  <c r="E1245" i="24"/>
  <c r="E1246" i="24"/>
  <c r="E1247" i="24"/>
  <c r="E1248" i="24"/>
  <c r="E1249" i="24"/>
  <c r="E1250" i="24"/>
  <c r="E1252" i="24"/>
  <c r="E1253" i="24"/>
  <c r="E1254" i="24"/>
  <c r="E1255" i="24"/>
  <c r="E1256" i="24"/>
  <c r="E1258" i="24"/>
  <c r="E1259" i="24"/>
  <c r="E1260" i="24"/>
  <c r="E1261" i="24"/>
  <c r="E1262" i="24"/>
  <c r="E1263" i="24"/>
  <c r="E1264" i="24"/>
  <c r="E1265" i="24"/>
  <c r="E1266" i="24"/>
  <c r="E1267" i="24"/>
  <c r="E1270" i="24"/>
  <c r="E1271" i="24"/>
  <c r="E1272" i="24"/>
  <c r="E1273" i="24"/>
  <c r="E1274" i="24"/>
  <c r="E1275" i="24"/>
  <c r="E1276" i="24"/>
  <c r="E1277" i="24"/>
  <c r="E1278" i="24"/>
  <c r="E1279" i="24"/>
  <c r="E1280" i="24"/>
  <c r="E1281" i="24"/>
  <c r="E1282" i="24"/>
  <c r="E1283" i="24"/>
  <c r="E1284" i="24"/>
  <c r="E1286" i="24"/>
  <c r="E1287" i="24"/>
  <c r="E1288" i="24"/>
  <c r="E1289" i="24"/>
  <c r="E1290" i="24"/>
  <c r="E1291" i="24"/>
  <c r="E1292" i="24"/>
  <c r="E1293" i="24"/>
  <c r="E1294" i="24"/>
  <c r="E1295" i="24"/>
  <c r="E1296" i="24"/>
  <c r="E1298" i="24"/>
  <c r="E1299" i="24"/>
  <c r="E1300" i="24"/>
  <c r="E1301" i="24"/>
  <c r="E1302" i="24"/>
  <c r="E1303" i="24"/>
  <c r="E1304" i="24"/>
  <c r="E1305" i="24"/>
  <c r="E1306" i="24"/>
  <c r="E1307" i="24"/>
  <c r="E1308" i="24"/>
  <c r="E1309" i="24"/>
  <c r="E1310" i="24"/>
  <c r="E1311" i="24"/>
  <c r="E1312" i="24"/>
  <c r="E1313" i="24"/>
  <c r="E1314" i="24"/>
  <c r="E1315" i="24"/>
  <c r="E1317" i="24"/>
  <c r="E1318" i="24"/>
  <c r="E1319" i="24"/>
  <c r="E1320" i="24"/>
  <c r="E1321" i="24"/>
  <c r="E1322" i="24"/>
  <c r="E1323" i="24"/>
  <c r="E1324" i="24"/>
  <c r="E1325" i="24"/>
  <c r="E1327" i="24"/>
  <c r="E1328" i="24"/>
  <c r="E1329" i="24"/>
  <c r="E1330" i="24"/>
  <c r="E1331" i="24"/>
  <c r="E1332" i="24"/>
  <c r="E1334" i="24"/>
  <c r="E1335" i="24"/>
  <c r="E1336" i="24"/>
  <c r="E1337" i="24"/>
  <c r="E1338" i="24"/>
  <c r="E1339" i="24"/>
  <c r="E1340" i="24"/>
  <c r="E1341" i="24"/>
  <c r="E1342" i="24"/>
  <c r="E1343" i="24"/>
  <c r="E1344" i="24"/>
  <c r="E1345" i="24"/>
  <c r="E1346" i="24"/>
  <c r="E1347" i="24"/>
  <c r="E1348" i="24"/>
  <c r="E1349" i="24"/>
  <c r="E1350" i="24"/>
  <c r="E1351" i="24"/>
  <c r="E1352" i="24"/>
  <c r="E1353" i="24"/>
  <c r="E1354" i="24"/>
  <c r="E1355" i="24"/>
  <c r="E1356" i="24"/>
  <c r="E1357" i="24"/>
  <c r="E1358" i="24"/>
  <c r="E1359" i="24"/>
  <c r="E1360" i="24"/>
  <c r="E1361" i="24"/>
  <c r="E1362" i="24"/>
  <c r="E1363" i="24"/>
  <c r="E1364" i="24"/>
  <c r="E1365" i="24"/>
  <c r="E1366" i="24"/>
  <c r="E1367" i="24"/>
  <c r="E1368" i="24"/>
  <c r="E1369" i="24"/>
  <c r="E1370" i="24"/>
  <c r="E1371" i="24"/>
  <c r="E1372" i="24"/>
  <c r="E1373" i="24"/>
  <c r="E1374" i="24"/>
  <c r="E1375" i="24"/>
  <c r="E1376" i="24"/>
  <c r="E1377" i="24"/>
  <c r="E1378" i="24"/>
  <c r="E1379" i="24"/>
  <c r="E1380" i="24"/>
  <c r="E1381" i="24"/>
  <c r="E1382" i="24"/>
  <c r="E1383" i="24"/>
  <c r="E1384" i="24"/>
  <c r="E1385" i="24"/>
  <c r="E1386" i="24"/>
  <c r="E1387" i="24"/>
  <c r="E1388" i="24"/>
  <c r="E1389" i="24"/>
  <c r="E1390" i="24"/>
  <c r="E1391" i="24"/>
  <c r="E1392" i="24"/>
  <c r="E1394" i="24"/>
  <c r="E1395" i="24"/>
  <c r="E1396" i="24"/>
  <c r="E1398" i="24"/>
  <c r="E1399" i="24"/>
  <c r="E1400" i="24"/>
  <c r="E1401" i="24"/>
  <c r="E1404" i="24"/>
  <c r="E1406" i="24"/>
  <c r="E1408" i="24"/>
  <c r="E1409" i="24"/>
  <c r="E1410" i="24"/>
  <c r="E2" i="24"/>
  <c r="J1392" i="24"/>
  <c r="J1322" i="24"/>
  <c r="J1321" i="24"/>
  <c r="J1320" i="24"/>
  <c r="J1319" i="24"/>
  <c r="J1318" i="24"/>
  <c r="J1317" i="24"/>
  <c r="J1296" i="24"/>
  <c r="J1293" i="24"/>
  <c r="J1283" i="24"/>
  <c r="J1280" i="24"/>
  <c r="J1276" i="24"/>
  <c r="J1274" i="24"/>
  <c r="J1273" i="24"/>
  <c r="J1271" i="24"/>
  <c r="J1267" i="24"/>
  <c r="J1266" i="24"/>
  <c r="J1263" i="24"/>
  <c r="J1261" i="24"/>
  <c r="J1260" i="24"/>
  <c r="J1259" i="24"/>
  <c r="J1254" i="24"/>
  <c r="J1253" i="24"/>
  <c r="J1252" i="24"/>
  <c r="J1230" i="24"/>
  <c r="J1226" i="24"/>
  <c r="J1188" i="24"/>
  <c r="J1182" i="24"/>
  <c r="J1155" i="24"/>
  <c r="J1154" i="24"/>
  <c r="J1124" i="24"/>
  <c r="J1121" i="24"/>
  <c r="J1119" i="24"/>
  <c r="J1115" i="24"/>
  <c r="J1112" i="24"/>
  <c r="J1108" i="24"/>
  <c r="J1043" i="24"/>
  <c r="J1028" i="24"/>
  <c r="J1013" i="24"/>
  <c r="J1012" i="24"/>
  <c r="J997" i="24"/>
  <c r="J996" i="24"/>
  <c r="J994" i="24"/>
  <c r="J993" i="24"/>
  <c r="J992" i="24"/>
  <c r="J990" i="24"/>
  <c r="J987" i="24"/>
  <c r="J985" i="24"/>
  <c r="J984" i="24"/>
  <c r="J982" i="24"/>
  <c r="J981" i="24"/>
  <c r="J980" i="24"/>
  <c r="J979" i="24"/>
  <c r="J978" i="24"/>
  <c r="J975" i="24"/>
  <c r="J974" i="24"/>
  <c r="J973" i="24"/>
  <c r="J972" i="24"/>
  <c r="J971" i="24"/>
  <c r="J970" i="24"/>
  <c r="J966" i="24"/>
  <c r="J965" i="24"/>
  <c r="J964" i="24"/>
  <c r="J963" i="24"/>
  <c r="J962" i="24"/>
  <c r="J961" i="24"/>
  <c r="J960" i="24"/>
  <c r="J959" i="24"/>
  <c r="J958" i="24"/>
  <c r="J943" i="24"/>
  <c r="J939" i="24"/>
  <c r="J938" i="24"/>
  <c r="J937" i="24"/>
  <c r="J936" i="24"/>
  <c r="J935" i="24"/>
  <c r="J934" i="24"/>
  <c r="J933" i="24"/>
  <c r="J932" i="24"/>
  <c r="J930" i="24"/>
  <c r="J929" i="24"/>
  <c r="J928" i="24"/>
  <c r="J927" i="24"/>
  <c r="J926" i="24"/>
  <c r="J925" i="24"/>
  <c r="J924" i="24"/>
  <c r="J923" i="24"/>
  <c r="J921" i="24"/>
  <c r="J920" i="24"/>
  <c r="J918" i="24"/>
  <c r="J908" i="24"/>
  <c r="J904" i="24"/>
  <c r="J903" i="24"/>
  <c r="J902" i="24"/>
  <c r="J901" i="24"/>
  <c r="J900" i="24"/>
  <c r="J899" i="24"/>
  <c r="J898" i="24"/>
  <c r="J897" i="24"/>
  <c r="J896" i="24"/>
  <c r="J895" i="24"/>
  <c r="J894" i="24"/>
  <c r="J890" i="24"/>
  <c r="J889" i="24"/>
  <c r="J886" i="24"/>
  <c r="J881" i="24"/>
  <c r="J880" i="24"/>
  <c r="J878" i="24"/>
  <c r="J877" i="24"/>
  <c r="J876" i="24"/>
  <c r="J875" i="24"/>
  <c r="J874" i="24"/>
  <c r="J856" i="24"/>
  <c r="J855" i="24"/>
  <c r="J825" i="24"/>
  <c r="J820" i="24"/>
  <c r="J814" i="24"/>
  <c r="J813" i="24"/>
  <c r="J812" i="24"/>
  <c r="J807" i="24"/>
  <c r="J805" i="24"/>
  <c r="J799" i="24"/>
  <c r="J798" i="24"/>
  <c r="B779" i="24"/>
  <c r="B775" i="24"/>
  <c r="B774" i="24"/>
  <c r="B773" i="24"/>
  <c r="B761" i="24"/>
  <c r="B760" i="24"/>
  <c r="B759" i="24"/>
  <c r="B758" i="24"/>
  <c r="B745" i="24"/>
  <c r="B739" i="24"/>
  <c r="B737" i="24"/>
  <c r="B599" i="24"/>
  <c r="B598" i="24"/>
  <c r="B596" i="24"/>
  <c r="B595" i="24"/>
  <c r="B594" i="24"/>
  <c r="B579" i="24"/>
  <c r="J573" i="24"/>
  <c r="J572" i="24"/>
  <c r="J571" i="24"/>
  <c r="J570" i="24"/>
  <c r="J568" i="24"/>
  <c r="J567" i="24"/>
  <c r="J345" i="24"/>
  <c r="J344" i="24"/>
  <c r="J343" i="24"/>
  <c r="J342" i="24"/>
  <c r="J341" i="24"/>
  <c r="J340" i="24"/>
  <c r="J339" i="24"/>
  <c r="J338" i="24"/>
  <c r="J337" i="24"/>
  <c r="J336" i="24"/>
  <c r="J205" i="24"/>
  <c r="J197" i="24"/>
  <c r="J147" i="24"/>
  <c r="J146" i="24"/>
  <c r="J145" i="24"/>
  <c r="J144" i="24"/>
  <c r="J143" i="24"/>
  <c r="J135" i="24"/>
  <c r="J114" i="24"/>
  <c r="J111" i="24"/>
  <c r="J110" i="24"/>
  <c r="J108" i="24"/>
  <c r="J96" i="24"/>
  <c r="J90" i="24"/>
  <c r="J41" i="24"/>
  <c r="J40" i="24"/>
  <c r="J39" i="24"/>
  <c r="J38" i="24"/>
  <c r="J37" i="24"/>
  <c r="J36" i="24"/>
  <c r="J33" i="24"/>
  <c r="J31" i="24"/>
  <c r="J29" i="24"/>
  <c r="J28" i="24"/>
  <c r="J26" i="24"/>
  <c r="J25" i="24"/>
  <c r="J20" i="24"/>
  <c r="J19" i="24"/>
  <c r="J13" i="24"/>
  <c r="J11" i="24"/>
  <c r="H1409" i="24" l="1"/>
  <c r="J1409" i="24" s="1"/>
  <c r="H1401" i="24"/>
  <c r="J1401" i="24" s="1"/>
  <c r="H1396" i="24"/>
  <c r="J1396" i="24" s="1"/>
  <c r="H1391" i="24"/>
  <c r="J1391" i="24" s="1"/>
  <c r="H1387" i="24"/>
  <c r="J1387" i="24" s="1"/>
  <c r="H1383" i="24"/>
  <c r="J1383" i="24" s="1"/>
  <c r="H1379" i="24"/>
  <c r="J1379" i="24" s="1"/>
  <c r="H1375" i="24"/>
  <c r="J1375" i="24" s="1"/>
  <c r="H1371" i="24"/>
  <c r="J1371" i="24" s="1"/>
  <c r="H1367" i="24"/>
  <c r="J1367" i="24" s="1"/>
  <c r="H1363" i="24"/>
  <c r="J1363" i="24" s="1"/>
  <c r="H1359" i="24"/>
  <c r="J1359" i="24" s="1"/>
  <c r="H1355" i="24"/>
  <c r="J1355" i="24" s="1"/>
  <c r="H1351" i="24"/>
  <c r="J1351" i="24" s="1"/>
  <c r="H1347" i="24"/>
  <c r="J1347" i="24" s="1"/>
  <c r="H1343" i="24"/>
  <c r="J1343" i="24" s="1"/>
  <c r="H1339" i="24"/>
  <c r="J1339" i="24" s="1"/>
  <c r="H1335" i="24"/>
  <c r="J1335" i="24" s="1"/>
  <c r="H1330" i="24"/>
  <c r="J1330" i="24" s="1"/>
  <c r="H1325" i="24"/>
  <c r="J1325" i="24" s="1"/>
  <c r="H1321" i="24"/>
  <c r="H1317" i="24"/>
  <c r="H1312" i="24"/>
  <c r="J1312" i="24" s="1"/>
  <c r="H1308" i="24"/>
  <c r="J1308" i="24" s="1"/>
  <c r="H1304" i="24"/>
  <c r="J1304" i="24" s="1"/>
  <c r="H1300" i="24"/>
  <c r="J1300" i="24" s="1"/>
  <c r="H1295" i="24"/>
  <c r="J1295" i="24" s="1"/>
  <c r="H1291" i="24"/>
  <c r="J1291" i="24" s="1"/>
  <c r="H1287" i="24"/>
  <c r="J1287" i="24" s="1"/>
  <c r="H1282" i="24"/>
  <c r="J1282" i="24" s="1"/>
  <c r="H1278" i="24"/>
  <c r="J1278" i="24" s="1"/>
  <c r="H1274" i="24"/>
  <c r="H1270" i="24"/>
  <c r="J1270" i="24" s="1"/>
  <c r="H1264" i="24"/>
  <c r="J1264" i="24" s="1"/>
  <c r="H1260" i="24"/>
  <c r="H1255" i="24"/>
  <c r="J1255" i="24" s="1"/>
  <c r="H1250" i="24"/>
  <c r="J1250" i="24" s="1"/>
  <c r="H1246" i="24"/>
  <c r="J1246" i="24" s="1"/>
  <c r="H1242" i="24"/>
  <c r="J1242" i="24" s="1"/>
  <c r="H1237" i="24"/>
  <c r="J1237" i="24" s="1"/>
  <c r="H1231" i="24"/>
  <c r="J1231" i="24" s="1"/>
  <c r="H1227" i="24"/>
  <c r="J1227" i="24" s="1"/>
  <c r="H1223" i="24"/>
  <c r="J1223" i="24" s="1"/>
  <c r="H1219" i="24"/>
  <c r="J1219" i="24" s="1"/>
  <c r="H1215" i="24"/>
  <c r="J1215" i="24" s="1"/>
  <c r="H1211" i="24"/>
  <c r="J1211" i="24" s="1"/>
  <c r="H1207" i="24"/>
  <c r="J1207" i="24" s="1"/>
  <c r="H1203" i="24"/>
  <c r="J1203" i="24" s="1"/>
  <c r="H1199" i="24"/>
  <c r="J1199" i="24" s="1"/>
  <c r="H1195" i="24"/>
  <c r="J1195" i="24" s="1"/>
  <c r="H1191" i="24"/>
  <c r="J1191" i="24" s="1"/>
  <c r="H1187" i="24"/>
  <c r="J1187" i="24" s="1"/>
  <c r="H1183" i="24"/>
  <c r="J1183" i="24" s="1"/>
  <c r="H1179" i="24"/>
  <c r="J1179" i="24" s="1"/>
  <c r="H1175" i="24"/>
  <c r="J1175" i="24" s="1"/>
  <c r="H1171" i="24"/>
  <c r="J1171" i="24" s="1"/>
  <c r="H1167" i="24"/>
  <c r="J1167" i="24" s="1"/>
  <c r="H1163" i="24"/>
  <c r="J1163" i="24" s="1"/>
  <c r="H1159" i="24"/>
  <c r="J1159" i="24" s="1"/>
  <c r="H1154" i="24"/>
  <c r="H1150" i="24"/>
  <c r="J1150" i="24" s="1"/>
  <c r="H1146" i="24"/>
  <c r="J1146" i="24" s="1"/>
  <c r="H1142" i="24"/>
  <c r="J1142" i="24" s="1"/>
  <c r="H1138" i="24"/>
  <c r="J1138" i="24" s="1"/>
  <c r="H1134" i="24"/>
  <c r="J1134" i="24" s="1"/>
  <c r="H1130" i="24"/>
  <c r="J1130" i="24" s="1"/>
  <c r="H1126" i="24"/>
  <c r="J1126" i="24" s="1"/>
  <c r="H1122" i="24"/>
  <c r="J1122" i="24" s="1"/>
  <c r="H1118" i="24"/>
  <c r="J1118" i="24" s="1"/>
  <c r="H1114" i="24"/>
  <c r="J1114" i="24" s="1"/>
  <c r="H1110" i="24"/>
  <c r="J1110" i="24" s="1"/>
  <c r="H1106" i="24"/>
  <c r="J1106" i="24" s="1"/>
  <c r="H1102" i="24"/>
  <c r="J1102" i="24" s="1"/>
  <c r="H1098" i="24"/>
  <c r="J1098" i="24" s="1"/>
  <c r="H1094" i="24"/>
  <c r="J1094" i="24" s="1"/>
  <c r="H1089" i="24"/>
  <c r="J1089" i="24" s="1"/>
  <c r="H1084" i="24"/>
  <c r="J1084" i="24" s="1"/>
  <c r="H1080" i="24"/>
  <c r="J1080" i="24" s="1"/>
  <c r="H1076" i="24"/>
  <c r="J1076" i="24" s="1"/>
  <c r="H1072" i="24"/>
  <c r="J1072" i="24" s="1"/>
  <c r="H1068" i="24"/>
  <c r="J1068" i="24" s="1"/>
  <c r="H1063" i="24"/>
  <c r="J1063" i="24" s="1"/>
  <c r="H1057" i="24"/>
  <c r="J1057" i="24" s="1"/>
  <c r="H1053" i="24"/>
  <c r="J1053" i="24" s="1"/>
  <c r="H1048" i="24"/>
  <c r="J1048" i="24" s="1"/>
  <c r="H1042" i="24"/>
  <c r="J1042" i="24" s="1"/>
  <c r="H1038" i="24"/>
  <c r="J1038" i="24" s="1"/>
  <c r="H1034" i="24"/>
  <c r="J1034" i="24" s="1"/>
  <c r="H1030" i="24"/>
  <c r="J1030" i="24" s="1"/>
  <c r="H1026" i="24"/>
  <c r="J1026" i="24" s="1"/>
  <c r="H1022" i="24"/>
  <c r="J1022" i="24" s="1"/>
  <c r="H1018" i="24"/>
  <c r="J1018" i="24" s="1"/>
  <c r="H1013" i="24"/>
  <c r="H1008" i="24"/>
  <c r="J1008" i="24" s="1"/>
  <c r="H1004" i="24"/>
  <c r="J1004" i="24" s="1"/>
  <c r="H1000" i="24"/>
  <c r="J1000" i="24" s="1"/>
  <c r="H996" i="24"/>
  <c r="H992" i="24"/>
  <c r="H988" i="24"/>
  <c r="J988" i="24" s="1"/>
  <c r="H983" i="24"/>
  <c r="J983" i="24" s="1"/>
  <c r="H979" i="24"/>
  <c r="H975" i="24"/>
  <c r="H971" i="24"/>
  <c r="H967" i="24"/>
  <c r="J967" i="24" s="1"/>
  <c r="H963" i="24"/>
  <c r="H959" i="24"/>
  <c r="H955" i="24"/>
  <c r="J955" i="24" s="1"/>
  <c r="H951" i="24"/>
  <c r="J951" i="24" s="1"/>
  <c r="H947" i="24"/>
  <c r="J947" i="24" s="1"/>
  <c r="H943" i="24"/>
  <c r="H939" i="24"/>
  <c r="H935" i="24"/>
  <c r="H931" i="24"/>
  <c r="J931" i="24" s="1"/>
  <c r="H927" i="24"/>
  <c r="H923" i="24"/>
  <c r="H919" i="24"/>
  <c r="J919" i="24" s="1"/>
  <c r="H915" i="24"/>
  <c r="J915" i="24" s="1"/>
  <c r="H911" i="24"/>
  <c r="J911" i="24" s="1"/>
  <c r="H907" i="24"/>
  <c r="J907" i="24" s="1"/>
  <c r="H903" i="24"/>
  <c r="H899" i="24"/>
  <c r="H895" i="24"/>
  <c r="H891" i="24"/>
  <c r="J891" i="24" s="1"/>
  <c r="H887" i="24"/>
  <c r="J887" i="24" s="1"/>
  <c r="H883" i="24"/>
  <c r="J883" i="24" s="1"/>
  <c r="H879" i="24"/>
  <c r="J879" i="24" s="1"/>
  <c r="H875" i="24"/>
  <c r="H870" i="24"/>
  <c r="J870" i="24" s="1"/>
  <c r="H866" i="24"/>
  <c r="J866" i="24" s="1"/>
  <c r="H862" i="24"/>
  <c r="J862" i="24" s="1"/>
  <c r="H857" i="24"/>
  <c r="J857" i="24" s="1"/>
  <c r="H853" i="24"/>
  <c r="J853" i="24" s="1"/>
  <c r="H849" i="24"/>
  <c r="J849" i="24" s="1"/>
  <c r="H845" i="24"/>
  <c r="J845" i="24" s="1"/>
  <c r="H841" i="24"/>
  <c r="J841" i="24" s="1"/>
  <c r="H837" i="24"/>
  <c r="J837" i="24" s="1"/>
  <c r="H833" i="24"/>
  <c r="J833" i="24" s="1"/>
  <c r="H829" i="24"/>
  <c r="J829" i="24" s="1"/>
  <c r="H825" i="24"/>
  <c r="H819" i="24"/>
  <c r="J819" i="24" s="1"/>
  <c r="H815" i="24"/>
  <c r="J815" i="24" s="1"/>
  <c r="H811" i="24"/>
  <c r="J811" i="24" s="1"/>
  <c r="H807" i="24"/>
  <c r="H803" i="24"/>
  <c r="J803" i="24" s="1"/>
  <c r="H799" i="24"/>
  <c r="H793" i="24"/>
  <c r="J793" i="24" s="1"/>
  <c r="H788" i="24"/>
  <c r="J788" i="24" s="1"/>
  <c r="H784" i="24"/>
  <c r="J784" i="24" s="1"/>
  <c r="H780" i="24"/>
  <c r="J780" i="24" s="1"/>
  <c r="H776" i="24"/>
  <c r="J776" i="24" s="1"/>
  <c r="H772" i="24"/>
  <c r="J772" i="24" s="1"/>
  <c r="H768" i="24"/>
  <c r="J768" i="24" s="1"/>
  <c r="H764" i="24"/>
  <c r="J764" i="24" s="1"/>
  <c r="H760" i="24"/>
  <c r="J760" i="24" s="1"/>
  <c r="H756" i="24"/>
  <c r="J756" i="24" s="1"/>
  <c r="H752" i="24"/>
  <c r="J752" i="24" s="1"/>
  <c r="H748" i="24"/>
  <c r="J748" i="24" s="1"/>
  <c r="H744" i="24"/>
  <c r="J744" i="24" s="1"/>
  <c r="H740" i="24"/>
  <c r="J740" i="24" s="1"/>
  <c r="H736" i="24"/>
  <c r="J736" i="24" s="1"/>
  <c r="H732" i="24"/>
  <c r="J732" i="24" s="1"/>
  <c r="H728" i="24"/>
  <c r="J728" i="24" s="1"/>
  <c r="H724" i="24"/>
  <c r="J724" i="24" s="1"/>
  <c r="H720" i="24"/>
  <c r="J720" i="24" s="1"/>
  <c r="H716" i="24"/>
  <c r="J716" i="24" s="1"/>
  <c r="H712" i="24"/>
  <c r="J712" i="24" s="1"/>
  <c r="H708" i="24"/>
  <c r="J708" i="24" s="1"/>
  <c r="H704" i="24"/>
  <c r="J704" i="24" s="1"/>
  <c r="H700" i="24"/>
  <c r="J700" i="24" s="1"/>
  <c r="H696" i="24"/>
  <c r="J696" i="24" s="1"/>
  <c r="H692" i="24"/>
  <c r="J692" i="24" s="1"/>
  <c r="H688" i="24"/>
  <c r="J688" i="24" s="1"/>
  <c r="H684" i="24"/>
  <c r="J684" i="24" s="1"/>
  <c r="H680" i="24"/>
  <c r="J680" i="24" s="1"/>
  <c r="H676" i="24"/>
  <c r="J676" i="24" s="1"/>
  <c r="H672" i="24"/>
  <c r="J672" i="24" s="1"/>
  <c r="H668" i="24"/>
  <c r="J668" i="24" s="1"/>
  <c r="H664" i="24"/>
  <c r="J664" i="24" s="1"/>
  <c r="H660" i="24"/>
  <c r="J660" i="24" s="1"/>
  <c r="H656" i="24"/>
  <c r="J656" i="24" s="1"/>
  <c r="H652" i="24"/>
  <c r="J652" i="24" s="1"/>
  <c r="H648" i="24"/>
  <c r="J648" i="24" s="1"/>
  <c r="H644" i="24"/>
  <c r="J644" i="24" s="1"/>
  <c r="H640" i="24"/>
  <c r="J640" i="24" s="1"/>
  <c r="H636" i="24"/>
  <c r="J636" i="24" s="1"/>
  <c r="H632" i="24"/>
  <c r="J632" i="24" s="1"/>
  <c r="H628" i="24"/>
  <c r="J628" i="24" s="1"/>
  <c r="H624" i="24"/>
  <c r="J624" i="24" s="1"/>
  <c r="H620" i="24"/>
  <c r="J620" i="24" s="1"/>
  <c r="H616" i="24"/>
  <c r="J616" i="24" s="1"/>
  <c r="H612" i="24"/>
  <c r="J612" i="24" s="1"/>
  <c r="H608" i="24"/>
  <c r="J608" i="24" s="1"/>
  <c r="H604" i="24"/>
  <c r="J604" i="24" s="1"/>
  <c r="H600" i="24"/>
  <c r="J600" i="24" s="1"/>
  <c r="H596" i="24"/>
  <c r="J596" i="24" s="1"/>
  <c r="H591" i="24"/>
  <c r="J591" i="24" s="1"/>
  <c r="H587" i="24"/>
  <c r="J587" i="24" s="1"/>
  <c r="H583" i="24"/>
  <c r="J583" i="24" s="1"/>
  <c r="H579" i="24"/>
  <c r="J579" i="24" s="1"/>
  <c r="H575" i="24"/>
  <c r="J575" i="24" s="1"/>
  <c r="H570" i="24"/>
  <c r="H566" i="24"/>
  <c r="J566" i="24" s="1"/>
  <c r="H561" i="24"/>
  <c r="J561" i="24" s="1"/>
  <c r="H557" i="24"/>
  <c r="J557" i="24" s="1"/>
  <c r="H553" i="24"/>
  <c r="J553" i="24" s="1"/>
  <c r="H549" i="24"/>
  <c r="J549" i="24" s="1"/>
  <c r="H545" i="24"/>
  <c r="J545" i="24" s="1"/>
  <c r="H541" i="24"/>
  <c r="J541" i="24" s="1"/>
  <c r="H537" i="24"/>
  <c r="J537" i="24" s="1"/>
  <c r="H533" i="24"/>
  <c r="J533" i="24" s="1"/>
  <c r="H529" i="24"/>
  <c r="J529" i="24" s="1"/>
  <c r="H525" i="24"/>
  <c r="J525" i="24" s="1"/>
  <c r="H521" i="24"/>
  <c r="J521" i="24" s="1"/>
  <c r="H517" i="24"/>
  <c r="J517" i="24" s="1"/>
  <c r="H513" i="24"/>
  <c r="J513" i="24" s="1"/>
  <c r="H509" i="24"/>
  <c r="J509" i="24" s="1"/>
  <c r="H505" i="24"/>
  <c r="J505" i="24" s="1"/>
  <c r="H501" i="24"/>
  <c r="J501" i="24" s="1"/>
  <c r="H497" i="24"/>
  <c r="J497" i="24" s="1"/>
  <c r="H493" i="24"/>
  <c r="J493" i="24" s="1"/>
  <c r="H489" i="24"/>
  <c r="J489" i="24" s="1"/>
  <c r="H485" i="24"/>
  <c r="J485" i="24" s="1"/>
  <c r="H481" i="24"/>
  <c r="J481" i="24" s="1"/>
  <c r="H477" i="24"/>
  <c r="J477" i="24" s="1"/>
  <c r="H473" i="24"/>
  <c r="J473" i="24" s="1"/>
  <c r="H469" i="24"/>
  <c r="J469" i="24" s="1"/>
  <c r="H465" i="24"/>
  <c r="J465" i="24" s="1"/>
  <c r="H461" i="24"/>
  <c r="J461" i="24" s="1"/>
  <c r="H457" i="24"/>
  <c r="J457" i="24" s="1"/>
  <c r="H453" i="24"/>
  <c r="J453" i="24" s="1"/>
  <c r="H449" i="24"/>
  <c r="J449" i="24" s="1"/>
  <c r="H445" i="24"/>
  <c r="J445" i="24" s="1"/>
  <c r="H441" i="24"/>
  <c r="J441" i="24" s="1"/>
  <c r="H437" i="24"/>
  <c r="J437" i="24" s="1"/>
  <c r="H433" i="24"/>
  <c r="J433" i="24" s="1"/>
  <c r="H429" i="24"/>
  <c r="J429" i="24" s="1"/>
  <c r="H425" i="24"/>
  <c r="J425" i="24" s="1"/>
  <c r="H421" i="24"/>
  <c r="J421" i="24" s="1"/>
  <c r="H417" i="24"/>
  <c r="J417" i="24" s="1"/>
  <c r="H413" i="24"/>
  <c r="J413" i="24" s="1"/>
  <c r="H409" i="24"/>
  <c r="J409" i="24" s="1"/>
  <c r="H405" i="24"/>
  <c r="J405" i="24" s="1"/>
  <c r="H401" i="24"/>
  <c r="J401" i="24" s="1"/>
  <c r="H397" i="24"/>
  <c r="J397" i="24" s="1"/>
  <c r="H391" i="24"/>
  <c r="J391" i="24" s="1"/>
  <c r="H387" i="24"/>
  <c r="J387" i="24" s="1"/>
  <c r="H383" i="24"/>
  <c r="J383" i="24" s="1"/>
  <c r="H379" i="24"/>
  <c r="J379" i="24" s="1"/>
  <c r="H375" i="24"/>
  <c r="J375" i="24" s="1"/>
  <c r="H371" i="24"/>
  <c r="J371" i="24" s="1"/>
  <c r="H367" i="24"/>
  <c r="J367" i="24" s="1"/>
  <c r="H363" i="24"/>
  <c r="J363" i="24" s="1"/>
  <c r="H359" i="24"/>
  <c r="J359" i="24" s="1"/>
  <c r="H355" i="24"/>
  <c r="J355" i="24" s="1"/>
  <c r="H351" i="24"/>
  <c r="J351" i="24" s="1"/>
  <c r="H347" i="24"/>
  <c r="J347" i="24" s="1"/>
  <c r="H343" i="24"/>
  <c r="H339" i="24"/>
  <c r="H335" i="24"/>
  <c r="J335" i="24" s="1"/>
  <c r="H331" i="24"/>
  <c r="J331" i="24" s="1"/>
  <c r="H327" i="24"/>
  <c r="J327" i="24" s="1"/>
  <c r="H323" i="24"/>
  <c r="J323" i="24" s="1"/>
  <c r="H319" i="24"/>
  <c r="J319" i="24" s="1"/>
  <c r="H315" i="24"/>
  <c r="J315" i="24" s="1"/>
  <c r="H311" i="24"/>
  <c r="J311" i="24" s="1"/>
  <c r="H307" i="24"/>
  <c r="J307" i="24" s="1"/>
  <c r="H303" i="24"/>
  <c r="J303" i="24" s="1"/>
  <c r="H299" i="24"/>
  <c r="J299" i="24" s="1"/>
  <c r="H295" i="24"/>
  <c r="J295" i="24" s="1"/>
  <c r="H291" i="24"/>
  <c r="J291" i="24" s="1"/>
  <c r="H287" i="24"/>
  <c r="J287" i="24" s="1"/>
  <c r="H283" i="24"/>
  <c r="J283" i="24" s="1"/>
  <c r="H279" i="24"/>
  <c r="J279" i="24" s="1"/>
  <c r="H275" i="24"/>
  <c r="J275" i="24" s="1"/>
  <c r="H271" i="24"/>
  <c r="J271" i="24" s="1"/>
  <c r="H267" i="24"/>
  <c r="J267" i="24" s="1"/>
  <c r="H263" i="24"/>
  <c r="J263" i="24" s="1"/>
  <c r="H259" i="24"/>
  <c r="J259" i="24" s="1"/>
  <c r="H255" i="24"/>
  <c r="J255" i="24" s="1"/>
  <c r="H251" i="24"/>
  <c r="J251" i="24" s="1"/>
  <c r="H247" i="24"/>
  <c r="J247" i="24" s="1"/>
  <c r="H243" i="24"/>
  <c r="J243" i="24" s="1"/>
  <c r="H239" i="24"/>
  <c r="J239" i="24" s="1"/>
  <c r="H235" i="24"/>
  <c r="J235" i="24" s="1"/>
  <c r="H231" i="24"/>
  <c r="J231" i="24" s="1"/>
  <c r="H227" i="24"/>
  <c r="J227" i="24" s="1"/>
  <c r="H223" i="24"/>
  <c r="J223" i="24" s="1"/>
  <c r="H219" i="24"/>
  <c r="J219" i="24" s="1"/>
  <c r="H215" i="24"/>
  <c r="J215" i="24" s="1"/>
  <c r="H211" i="24"/>
  <c r="J211" i="24" s="1"/>
  <c r="H207" i="24"/>
  <c r="J207" i="24" s="1"/>
  <c r="H203" i="24"/>
  <c r="J203" i="24" s="1"/>
  <c r="H199" i="24"/>
  <c r="J199" i="24" s="1"/>
  <c r="H195" i="24"/>
  <c r="J195" i="24" s="1"/>
  <c r="H191" i="24"/>
  <c r="J191" i="24" s="1"/>
  <c r="H186" i="24"/>
  <c r="J186" i="24" s="1"/>
  <c r="H181" i="24"/>
  <c r="J181" i="24" s="1"/>
  <c r="H177" i="24"/>
  <c r="J177" i="24" s="1"/>
  <c r="H173" i="24"/>
  <c r="J173" i="24" s="1"/>
  <c r="H169" i="24"/>
  <c r="J169" i="24" s="1"/>
  <c r="H165" i="24"/>
  <c r="J165" i="24" s="1"/>
  <c r="H161" i="24"/>
  <c r="J161" i="24" s="1"/>
  <c r="H157" i="24"/>
  <c r="J157" i="24" s="1"/>
  <c r="H153" i="24"/>
  <c r="J153" i="24" s="1"/>
  <c r="H149" i="24"/>
  <c r="J149" i="24" s="1"/>
  <c r="H145" i="24"/>
  <c r="H141" i="24"/>
  <c r="J141" i="24" s="1"/>
  <c r="H137" i="24"/>
  <c r="J137" i="24" s="1"/>
  <c r="H133" i="24"/>
  <c r="J133" i="24" s="1"/>
  <c r="H129" i="24"/>
  <c r="J129" i="24" s="1"/>
  <c r="H125" i="24"/>
  <c r="J125" i="24" s="1"/>
  <c r="H121" i="24"/>
  <c r="J121" i="24" s="1"/>
  <c r="H117" i="24"/>
  <c r="J117" i="24" s="1"/>
  <c r="H113" i="24"/>
  <c r="J113" i="24" s="1"/>
  <c r="H109" i="24"/>
  <c r="J109" i="24" s="1"/>
  <c r="H105" i="24"/>
  <c r="J105" i="24" s="1"/>
  <c r="H101" i="24"/>
  <c r="J101" i="24" s="1"/>
  <c r="H97" i="24"/>
  <c r="J97" i="24" s="1"/>
  <c r="H93" i="24"/>
  <c r="J93" i="24" s="1"/>
  <c r="H89" i="24"/>
  <c r="J89" i="24" s="1"/>
  <c r="H85" i="24"/>
  <c r="J85" i="24" s="1"/>
  <c r="H81" i="24"/>
  <c r="J81" i="24" s="1"/>
  <c r="H76" i="24"/>
  <c r="J76" i="24" s="1"/>
  <c r="H71" i="24"/>
  <c r="J71" i="24" s="1"/>
  <c r="H67" i="24"/>
  <c r="J67" i="24" s="1"/>
  <c r="H62" i="24"/>
  <c r="J62" i="24" s="1"/>
  <c r="H58" i="24"/>
  <c r="J58" i="24" s="1"/>
  <c r="H53" i="24"/>
  <c r="J53" i="24" s="1"/>
  <c r="H49" i="24"/>
  <c r="H45" i="24"/>
  <c r="H41" i="24"/>
  <c r="H37" i="24"/>
  <c r="H33" i="24"/>
  <c r="H27" i="24"/>
  <c r="J27" i="24" s="1"/>
  <c r="K32" i="24" s="1"/>
  <c r="H22" i="24"/>
  <c r="J22" i="24" s="1"/>
  <c r="H16" i="24"/>
  <c r="J16" i="24" s="1"/>
  <c r="H12" i="24"/>
  <c r="J12" i="24" s="1"/>
  <c r="H7" i="24"/>
  <c r="J7" i="24" s="1"/>
  <c r="H3" i="24"/>
  <c r="J3" i="24" s="1"/>
  <c r="H1398" i="24"/>
  <c r="J1398" i="24" s="1"/>
  <c r="H1388" i="24"/>
  <c r="J1388" i="24" s="1"/>
  <c r="H1372" i="24"/>
  <c r="J1372" i="24" s="1"/>
  <c r="H1364" i="24"/>
  <c r="J1364" i="24" s="1"/>
  <c r="H1340" i="24"/>
  <c r="J1340" i="24" s="1"/>
  <c r="H1331" i="24"/>
  <c r="J1331" i="24" s="1"/>
  <c r="H1232" i="24"/>
  <c r="J1232" i="24" s="1"/>
  <c r="H1224" i="24"/>
  <c r="J1224" i="24" s="1"/>
  <c r="H1208" i="24"/>
  <c r="J1208" i="24" s="1"/>
  <c r="H1200" i="24"/>
  <c r="J1200" i="24" s="1"/>
  <c r="H1192" i="24"/>
  <c r="J1192" i="24" s="1"/>
  <c r="H1168" i="24"/>
  <c r="J1168" i="24" s="1"/>
  <c r="H1160" i="24"/>
  <c r="J1160" i="24" s="1"/>
  <c r="H1135" i="24"/>
  <c r="J1135" i="24" s="1"/>
  <c r="H1111" i="24"/>
  <c r="J1111" i="24" s="1"/>
  <c r="H1086" i="24"/>
  <c r="J1086" i="24" s="1"/>
  <c r="H1069" i="24"/>
  <c r="J1069" i="24" s="1"/>
  <c r="H1049" i="24"/>
  <c r="J1049" i="24" s="1"/>
  <c r="H1039" i="24"/>
  <c r="J1039" i="24" s="1"/>
  <c r="H1005" i="24"/>
  <c r="J1005" i="24" s="1"/>
  <c r="H989" i="24"/>
  <c r="J989" i="24" s="1"/>
  <c r="H972" i="24"/>
  <c r="H964" i="24"/>
  <c r="H956" i="24"/>
  <c r="J956" i="24" s="1"/>
  <c r="H944" i="24"/>
  <c r="J944" i="24" s="1"/>
  <c r="H928" i="24"/>
  <c r="H912" i="24"/>
  <c r="J912" i="24" s="1"/>
  <c r="H896" i="24"/>
  <c r="H884" i="24"/>
  <c r="J884" i="24" s="1"/>
  <c r="H1410" i="24"/>
  <c r="J1410" i="24" s="1"/>
  <c r="H1380" i="24"/>
  <c r="J1380" i="24" s="1"/>
  <c r="H1356" i="24"/>
  <c r="J1356" i="24" s="1"/>
  <c r="H1348" i="24"/>
  <c r="J1348" i="24" s="1"/>
  <c r="H1243" i="24"/>
  <c r="J1243" i="24" s="1"/>
  <c r="H1216" i="24"/>
  <c r="J1216" i="24" s="1"/>
  <c r="H1184" i="24"/>
  <c r="J1184" i="24" s="1"/>
  <c r="H1176" i="24"/>
  <c r="J1176" i="24" s="1"/>
  <c r="H1151" i="24"/>
  <c r="J1151" i="24" s="1"/>
  <c r="H1143" i="24"/>
  <c r="J1143" i="24" s="1"/>
  <c r="H1127" i="24"/>
  <c r="J1127" i="24" s="1"/>
  <c r="H1119" i="24"/>
  <c r="H1103" i="24"/>
  <c r="J1103" i="24" s="1"/>
  <c r="H1095" i="24"/>
  <c r="J1095" i="24" s="1"/>
  <c r="H1077" i="24"/>
  <c r="J1077" i="24" s="1"/>
  <c r="H1031" i="24"/>
  <c r="J1031" i="24" s="1"/>
  <c r="H1023" i="24"/>
  <c r="J1023" i="24" s="1"/>
  <c r="H1014" i="24"/>
  <c r="J1014" i="24" s="1"/>
  <c r="H997" i="24"/>
  <c r="H980" i="24"/>
  <c r="H976" i="24"/>
  <c r="J976" i="24" s="1"/>
  <c r="H960" i="24"/>
  <c r="H948" i="24"/>
  <c r="J948" i="24" s="1"/>
  <c r="H940" i="24"/>
  <c r="J940" i="24" s="1"/>
  <c r="H932" i="24"/>
  <c r="H924" i="24"/>
  <c r="H916" i="24"/>
  <c r="J916" i="24" s="1"/>
  <c r="H908" i="24"/>
  <c r="H900" i="24"/>
  <c r="H892" i="24"/>
  <c r="J892" i="24" s="1"/>
  <c r="H880" i="24"/>
  <c r="H869" i="24"/>
  <c r="J869" i="24" s="1"/>
  <c r="H852" i="24"/>
  <c r="J852" i="24" s="1"/>
  <c r="H836" i="24"/>
  <c r="J836" i="24" s="1"/>
  <c r="H818" i="24"/>
  <c r="J818" i="24" s="1"/>
  <c r="H802" i="24"/>
  <c r="J802" i="24" s="1"/>
  <c r="H783" i="24"/>
  <c r="J783" i="24" s="1"/>
  <c r="H767" i="24"/>
  <c r="J767" i="24" s="1"/>
  <c r="H751" i="24"/>
  <c r="J751" i="24" s="1"/>
  <c r="H735" i="24"/>
  <c r="J735" i="24" s="1"/>
  <c r="H719" i="24"/>
  <c r="J719" i="24" s="1"/>
  <c r="H703" i="24"/>
  <c r="J703" i="24" s="1"/>
  <c r="H687" i="24"/>
  <c r="J687" i="24" s="1"/>
  <c r="H671" i="24"/>
  <c r="J671" i="24" s="1"/>
  <c r="H655" i="24"/>
  <c r="J655" i="24" s="1"/>
  <c r="H639" i="24"/>
  <c r="J639" i="24" s="1"/>
  <c r="H623" i="24"/>
  <c r="J623" i="24" s="1"/>
  <c r="H607" i="24"/>
  <c r="J607" i="24" s="1"/>
  <c r="H590" i="24"/>
  <c r="J590" i="24" s="1"/>
  <c r="H573" i="24"/>
  <c r="H556" i="24"/>
  <c r="J556" i="24" s="1"/>
  <c r="H540" i="24"/>
  <c r="J540" i="24" s="1"/>
  <c r="H524" i="24"/>
  <c r="J524" i="24" s="1"/>
  <c r="H508" i="24"/>
  <c r="J508" i="24" s="1"/>
  <c r="H492" i="24"/>
  <c r="J492" i="24" s="1"/>
  <c r="H476" i="24"/>
  <c r="J476" i="24" s="1"/>
  <c r="H460" i="24"/>
  <c r="J460" i="24" s="1"/>
  <c r="H444" i="24"/>
  <c r="J444" i="24" s="1"/>
  <c r="H428" i="24"/>
  <c r="J428" i="24" s="1"/>
  <c r="H412" i="24"/>
  <c r="J412" i="24" s="1"/>
  <c r="H396" i="24"/>
  <c r="J396" i="24" s="1"/>
  <c r="H378" i="24"/>
  <c r="J378" i="24" s="1"/>
  <c r="H362" i="24"/>
  <c r="J362" i="24" s="1"/>
  <c r="H346" i="24"/>
  <c r="J346" i="24" s="1"/>
  <c r="H330" i="24"/>
  <c r="J330" i="24" s="1"/>
  <c r="H314" i="24"/>
  <c r="J314" i="24" s="1"/>
  <c r="H298" i="24"/>
  <c r="J298" i="24" s="1"/>
  <c r="H2" i="24"/>
  <c r="J2" i="24" s="1"/>
  <c r="H1406" i="24"/>
  <c r="H1399" i="24"/>
  <c r="J1399" i="24" s="1"/>
  <c r="H1394" i="24"/>
  <c r="J1394" i="24" s="1"/>
  <c r="H1389" i="24"/>
  <c r="J1389" i="24" s="1"/>
  <c r="H1385" i="24"/>
  <c r="J1385" i="24" s="1"/>
  <c r="H1381" i="24"/>
  <c r="J1381" i="24" s="1"/>
  <c r="H1377" i="24"/>
  <c r="J1377" i="24" s="1"/>
  <c r="H1373" i="24"/>
  <c r="J1373" i="24" s="1"/>
  <c r="H1369" i="24"/>
  <c r="J1369" i="24" s="1"/>
  <c r="H1365" i="24"/>
  <c r="J1365" i="24" s="1"/>
  <c r="H1361" i="24"/>
  <c r="J1361" i="24" s="1"/>
  <c r="H1357" i="24"/>
  <c r="J1357" i="24" s="1"/>
  <c r="H1353" i="24"/>
  <c r="J1353" i="24" s="1"/>
  <c r="H1349" i="24"/>
  <c r="J1349" i="24" s="1"/>
  <c r="H1345" i="24"/>
  <c r="J1345" i="24" s="1"/>
  <c r="H1341" i="24"/>
  <c r="J1341" i="24" s="1"/>
  <c r="H1337" i="24"/>
  <c r="J1337" i="24" s="1"/>
  <c r="H1332" i="24"/>
  <c r="J1332" i="24" s="1"/>
  <c r="H1328" i="24"/>
  <c r="J1328" i="24" s="1"/>
  <c r="H1323" i="24"/>
  <c r="J1323" i="24" s="1"/>
  <c r="H1319" i="24"/>
  <c r="H1314" i="24"/>
  <c r="J1314" i="24" s="1"/>
  <c r="H1310" i="24"/>
  <c r="J1310" i="24" s="1"/>
  <c r="H1306" i="24"/>
  <c r="J1306" i="24" s="1"/>
  <c r="H1302" i="24"/>
  <c r="J1302" i="24" s="1"/>
  <c r="H1298" i="24"/>
  <c r="J1298" i="24" s="1"/>
  <c r="H1293" i="24"/>
  <c r="H1289" i="24"/>
  <c r="J1289" i="24" s="1"/>
  <c r="H1284" i="24"/>
  <c r="J1284" i="24" s="1"/>
  <c r="H1280" i="24"/>
  <c r="H1276" i="24"/>
  <c r="H1272" i="24"/>
  <c r="J1272" i="24" s="1"/>
  <c r="H1266" i="24"/>
  <c r="H1262" i="24"/>
  <c r="J1262" i="24" s="1"/>
  <c r="H1258" i="24"/>
  <c r="J1258" i="24" s="1"/>
  <c r="H1253" i="24"/>
  <c r="H1248" i="24"/>
  <c r="J1248" i="24" s="1"/>
  <c r="H1244" i="24"/>
  <c r="J1244" i="24" s="1"/>
  <c r="H1240" i="24"/>
  <c r="J1240" i="24" s="1"/>
  <c r="H1234" i="24"/>
  <c r="J1234" i="24" s="1"/>
  <c r="H1229" i="24"/>
  <c r="J1229" i="24" s="1"/>
  <c r="H1225" i="24"/>
  <c r="J1225" i="24" s="1"/>
  <c r="H1221" i="24"/>
  <c r="J1221" i="24" s="1"/>
  <c r="H1217" i="24"/>
  <c r="J1217" i="24" s="1"/>
  <c r="H1213" i="24"/>
  <c r="J1213" i="24" s="1"/>
  <c r="H1209" i="24"/>
  <c r="J1209" i="24" s="1"/>
  <c r="H1205" i="24"/>
  <c r="J1205" i="24" s="1"/>
  <c r="H1201" i="24"/>
  <c r="J1201" i="24" s="1"/>
  <c r="H1197" i="24"/>
  <c r="J1197" i="24" s="1"/>
  <c r="H1193" i="24"/>
  <c r="J1193" i="24" s="1"/>
  <c r="H1189" i="24"/>
  <c r="J1189" i="24" s="1"/>
  <c r="H1185" i="24"/>
  <c r="J1185" i="24" s="1"/>
  <c r="H1181" i="24"/>
  <c r="J1181" i="24" s="1"/>
  <c r="H1177" i="24"/>
  <c r="J1177" i="24" s="1"/>
  <c r="H1173" i="24"/>
  <c r="J1173" i="24" s="1"/>
  <c r="H1169" i="24"/>
  <c r="J1169" i="24" s="1"/>
  <c r="H1165" i="24"/>
  <c r="J1165" i="24" s="1"/>
  <c r="H1161" i="24"/>
  <c r="J1161" i="24" s="1"/>
  <c r="H1157" i="24"/>
  <c r="J1157" i="24" s="1"/>
  <c r="H1152" i="24"/>
  <c r="J1152" i="24" s="1"/>
  <c r="H1148" i="24"/>
  <c r="J1148" i="24" s="1"/>
  <c r="H1144" i="24"/>
  <c r="J1144" i="24" s="1"/>
  <c r="H1140" i="24"/>
  <c r="J1140" i="24" s="1"/>
  <c r="H1136" i="24"/>
  <c r="J1136" i="24" s="1"/>
  <c r="H1132" i="24"/>
  <c r="J1132" i="24" s="1"/>
  <c r="H1128" i="24"/>
  <c r="J1128" i="24" s="1"/>
  <c r="H1124" i="24"/>
  <c r="H1120" i="24"/>
  <c r="J1120" i="24" s="1"/>
  <c r="H1116" i="24"/>
  <c r="J1116" i="24" s="1"/>
  <c r="H1112" i="24"/>
  <c r="H1108" i="24"/>
  <c r="H1104" i="24"/>
  <c r="J1104" i="24" s="1"/>
  <c r="H1100" i="24"/>
  <c r="J1100" i="24" s="1"/>
  <c r="H1096" i="24"/>
  <c r="J1096" i="24" s="1"/>
  <c r="H1091" i="24"/>
  <c r="J1091" i="24" s="1"/>
  <c r="H1087" i="24"/>
  <c r="J1087" i="24" s="1"/>
  <c r="H1082" i="24"/>
  <c r="J1082" i="24" s="1"/>
  <c r="H1078" i="24"/>
  <c r="J1078" i="24" s="1"/>
  <c r="H1074" i="24"/>
  <c r="J1074" i="24" s="1"/>
  <c r="H1070" i="24"/>
  <c r="J1070" i="24" s="1"/>
  <c r="H1065" i="24"/>
  <c r="J1065" i="24" s="1"/>
  <c r="H1061" i="24"/>
  <c r="J1061" i="24" s="1"/>
  <c r="H1055" i="24"/>
  <c r="J1055" i="24" s="1"/>
  <c r="H1404" i="24"/>
  <c r="J1404" i="24" s="1"/>
  <c r="H1392" i="24"/>
  <c r="H1384" i="24"/>
  <c r="J1384" i="24" s="1"/>
  <c r="H1376" i="24"/>
  <c r="J1376" i="24" s="1"/>
  <c r="H1368" i="24"/>
  <c r="J1368" i="24" s="1"/>
  <c r="H1360" i="24"/>
  <c r="J1360" i="24" s="1"/>
  <c r="H1352" i="24"/>
  <c r="J1352" i="24" s="1"/>
  <c r="H1344" i="24"/>
  <c r="J1344" i="24" s="1"/>
  <c r="H1336" i="24"/>
  <c r="J1336" i="24" s="1"/>
  <c r="H1327" i="24"/>
  <c r="J1327" i="24" s="1"/>
  <c r="H1247" i="24"/>
  <c r="J1247" i="24" s="1"/>
  <c r="H1238" i="24"/>
  <c r="J1238" i="24" s="1"/>
  <c r="H1228" i="24"/>
  <c r="J1228" i="24" s="1"/>
  <c r="H1220" i="24"/>
  <c r="J1220" i="24" s="1"/>
  <c r="H1212" i="24"/>
  <c r="J1212" i="24" s="1"/>
  <c r="H1204" i="24"/>
  <c r="J1204" i="24" s="1"/>
  <c r="H1196" i="24"/>
  <c r="J1196" i="24" s="1"/>
  <c r="H1188" i="24"/>
  <c r="H1180" i="24"/>
  <c r="J1180" i="24" s="1"/>
  <c r="H1172" i="24"/>
  <c r="J1172" i="24" s="1"/>
  <c r="H1164" i="24"/>
  <c r="J1164" i="24" s="1"/>
  <c r="H1155" i="24"/>
  <c r="H1147" i="24"/>
  <c r="J1147" i="24" s="1"/>
  <c r="H1139" i="24"/>
  <c r="J1139" i="24" s="1"/>
  <c r="H1131" i="24"/>
  <c r="J1131" i="24" s="1"/>
  <c r="H1123" i="24"/>
  <c r="J1123" i="24" s="1"/>
  <c r="H1115" i="24"/>
  <c r="H1107" i="24"/>
  <c r="J1107" i="24" s="1"/>
  <c r="H1099" i="24"/>
  <c r="J1099" i="24" s="1"/>
  <c r="H1090" i="24"/>
  <c r="J1090" i="24" s="1"/>
  <c r="H1081" i="24"/>
  <c r="J1081" i="24" s="1"/>
  <c r="H1073" i="24"/>
  <c r="J1073" i="24" s="1"/>
  <c r="H1064" i="24"/>
  <c r="J1064" i="24" s="1"/>
  <c r="H1054" i="24"/>
  <c r="J1054" i="24" s="1"/>
  <c r="H1043" i="24"/>
  <c r="H1035" i="24"/>
  <c r="J1035" i="24" s="1"/>
  <c r="H1027" i="24"/>
  <c r="J1027" i="24" s="1"/>
  <c r="H1019" i="24"/>
  <c r="J1019" i="24" s="1"/>
  <c r="H1009" i="24"/>
  <c r="J1009" i="24" s="1"/>
  <c r="H1001" i="24"/>
  <c r="J1001" i="24" s="1"/>
  <c r="H993" i="24"/>
  <c r="H984" i="24"/>
  <c r="H968" i="24"/>
  <c r="J968" i="24" s="1"/>
  <c r="H952" i="24"/>
  <c r="J952" i="24" s="1"/>
  <c r="H936" i="24"/>
  <c r="H920" i="24"/>
  <c r="H904" i="24"/>
  <c r="H888" i="24"/>
  <c r="J888" i="24" s="1"/>
  <c r="H1050" i="24"/>
  <c r="J1050" i="24" s="1"/>
  <c r="H1046" i="24"/>
  <c r="J1046" i="24" s="1"/>
  <c r="H1040" i="24"/>
  <c r="J1040" i="24" s="1"/>
  <c r="H1036" i="24"/>
  <c r="J1036" i="24" s="1"/>
  <c r="H1032" i="24"/>
  <c r="J1032" i="24" s="1"/>
  <c r="H1028" i="24"/>
  <c r="H1024" i="24"/>
  <c r="J1024" i="24" s="1"/>
  <c r="H1020" i="24"/>
  <c r="J1020" i="24" s="1"/>
  <c r="H1015" i="24"/>
  <c r="J1015" i="24" s="1"/>
  <c r="H1011" i="24"/>
  <c r="J1011" i="24" s="1"/>
  <c r="H1006" i="24"/>
  <c r="J1006" i="24" s="1"/>
  <c r="H1002" i="24"/>
  <c r="J1002" i="24" s="1"/>
  <c r="H998" i="24"/>
  <c r="J998" i="24" s="1"/>
  <c r="H994" i="24"/>
  <c r="H990" i="24"/>
  <c r="H985" i="24"/>
  <c r="H981" i="24"/>
  <c r="H977" i="24"/>
  <c r="J977" i="24" s="1"/>
  <c r="H973" i="24"/>
  <c r="H969" i="24"/>
  <c r="H965" i="24"/>
  <c r="H961" i="24"/>
  <c r="H957" i="24"/>
  <c r="J957" i="24" s="1"/>
  <c r="H953" i="24"/>
  <c r="J953" i="24" s="1"/>
  <c r="H949" i="24"/>
  <c r="J949" i="24" s="1"/>
  <c r="H945" i="24"/>
  <c r="J945" i="24" s="1"/>
  <c r="H941" i="24"/>
  <c r="J941" i="24" s="1"/>
  <c r="H937" i="24"/>
  <c r="H933" i="24"/>
  <c r="H929" i="24"/>
  <c r="H925" i="24"/>
  <c r="H921" i="24"/>
  <c r="H917" i="24"/>
  <c r="J917" i="24" s="1"/>
  <c r="H913" i="24"/>
  <c r="J913" i="24" s="1"/>
  <c r="H909" i="24"/>
  <c r="J909" i="24" s="1"/>
  <c r="H905" i="24"/>
  <c r="J905" i="24" s="1"/>
  <c r="H901" i="24"/>
  <c r="H897" i="24"/>
  <c r="H893" i="24"/>
  <c r="J893" i="24" s="1"/>
  <c r="H889" i="24"/>
  <c r="H885" i="24"/>
  <c r="J885" i="24" s="1"/>
  <c r="H881" i="24"/>
  <c r="H877" i="24"/>
  <c r="H872" i="24"/>
  <c r="J872" i="24" s="1"/>
  <c r="H868" i="24"/>
  <c r="J868" i="24" s="1"/>
  <c r="H864" i="24"/>
  <c r="J864" i="24" s="1"/>
  <c r="H859" i="24"/>
  <c r="J859" i="24" s="1"/>
  <c r="H855" i="24"/>
  <c r="H851" i="24"/>
  <c r="J851" i="24" s="1"/>
  <c r="H847" i="24"/>
  <c r="J847" i="24" s="1"/>
  <c r="H843" i="24"/>
  <c r="J843" i="24" s="1"/>
  <c r="H839" i="24"/>
  <c r="J839" i="24" s="1"/>
  <c r="H835" i="24"/>
  <c r="J835" i="24" s="1"/>
  <c r="H831" i="24"/>
  <c r="J831" i="24" s="1"/>
  <c r="H827" i="24"/>
  <c r="J827" i="24" s="1"/>
  <c r="H823" i="24"/>
  <c r="J823" i="24" s="1"/>
  <c r="H817" i="24"/>
  <c r="J817" i="24" s="1"/>
  <c r="H813" i="24"/>
  <c r="H809" i="24"/>
  <c r="J809" i="24" s="1"/>
  <c r="H805" i="24"/>
  <c r="H801" i="24"/>
  <c r="J801" i="24" s="1"/>
  <c r="H796" i="24"/>
  <c r="J796" i="24" s="1"/>
  <c r="H791" i="24"/>
  <c r="J791" i="24" s="1"/>
  <c r="H786" i="24"/>
  <c r="J786" i="24" s="1"/>
  <c r="H782" i="24"/>
  <c r="J782" i="24" s="1"/>
  <c r="H778" i="24"/>
  <c r="J778" i="24" s="1"/>
  <c r="H774" i="24"/>
  <c r="J774" i="24" s="1"/>
  <c r="H770" i="24"/>
  <c r="J770" i="24" s="1"/>
  <c r="H766" i="24"/>
  <c r="J766" i="24" s="1"/>
  <c r="H762" i="24"/>
  <c r="J762" i="24" s="1"/>
  <c r="H758" i="24"/>
  <c r="J758" i="24" s="1"/>
  <c r="H754" i="24"/>
  <c r="J754" i="24" s="1"/>
  <c r="H750" i="24"/>
  <c r="J750" i="24" s="1"/>
  <c r="H746" i="24"/>
  <c r="J746" i="24" s="1"/>
  <c r="H742" i="24"/>
  <c r="J742" i="24" s="1"/>
  <c r="H738" i="24"/>
  <c r="J738" i="24" s="1"/>
  <c r="H734" i="24"/>
  <c r="J734" i="24" s="1"/>
  <c r="H730" i="24"/>
  <c r="J730" i="24" s="1"/>
  <c r="H726" i="24"/>
  <c r="J726" i="24" s="1"/>
  <c r="H722" i="24"/>
  <c r="J722" i="24" s="1"/>
  <c r="H718" i="24"/>
  <c r="J718" i="24" s="1"/>
  <c r="H714" i="24"/>
  <c r="J714" i="24" s="1"/>
  <c r="H710" i="24"/>
  <c r="J710" i="24" s="1"/>
  <c r="H706" i="24"/>
  <c r="J706" i="24" s="1"/>
  <c r="H702" i="24"/>
  <c r="J702" i="24" s="1"/>
  <c r="H698" i="24"/>
  <c r="J698" i="24" s="1"/>
  <c r="H694" i="24"/>
  <c r="J694" i="24" s="1"/>
  <c r="H690" i="24"/>
  <c r="J690" i="24" s="1"/>
  <c r="H686" i="24"/>
  <c r="J686" i="24" s="1"/>
  <c r="H682" i="24"/>
  <c r="J682" i="24" s="1"/>
  <c r="H678" i="24"/>
  <c r="J678" i="24" s="1"/>
  <c r="H674" i="24"/>
  <c r="J674" i="24" s="1"/>
  <c r="H670" i="24"/>
  <c r="J670" i="24" s="1"/>
  <c r="H666" i="24"/>
  <c r="J666" i="24" s="1"/>
  <c r="H662" i="24"/>
  <c r="J662" i="24" s="1"/>
  <c r="H658" i="24"/>
  <c r="J658" i="24" s="1"/>
  <c r="H654" i="24"/>
  <c r="J654" i="24" s="1"/>
  <c r="H650" i="24"/>
  <c r="J650" i="24" s="1"/>
  <c r="H646" i="24"/>
  <c r="J646" i="24" s="1"/>
  <c r="H642" i="24"/>
  <c r="J642" i="24" s="1"/>
  <c r="H638" i="24"/>
  <c r="J638" i="24" s="1"/>
  <c r="H634" i="24"/>
  <c r="J634" i="24" s="1"/>
  <c r="H630" i="24"/>
  <c r="J630" i="24" s="1"/>
  <c r="H626" i="24"/>
  <c r="J626" i="24" s="1"/>
  <c r="H622" i="24"/>
  <c r="J622" i="24" s="1"/>
  <c r="H618" i="24"/>
  <c r="J618" i="24" s="1"/>
  <c r="H614" i="24"/>
  <c r="J614" i="24" s="1"/>
  <c r="H610" i="24"/>
  <c r="J610" i="24" s="1"/>
  <c r="H606" i="24"/>
  <c r="J606" i="24" s="1"/>
  <c r="H602" i="24"/>
  <c r="J602" i="24" s="1"/>
  <c r="H598" i="24"/>
  <c r="J598" i="24" s="1"/>
  <c r="H594" i="24"/>
  <c r="J594" i="24" s="1"/>
  <c r="H589" i="24"/>
  <c r="J589" i="24" s="1"/>
  <c r="H585" i="24"/>
  <c r="J585" i="24" s="1"/>
  <c r="H581" i="24"/>
  <c r="J581" i="24" s="1"/>
  <c r="H577" i="24"/>
  <c r="J577" i="24" s="1"/>
  <c r="H572" i="24"/>
  <c r="H568" i="24"/>
  <c r="H563" i="24"/>
  <c r="J563" i="24" s="1"/>
  <c r="H559" i="24"/>
  <c r="J559" i="24" s="1"/>
  <c r="H555" i="24"/>
  <c r="J555" i="24" s="1"/>
  <c r="H551" i="24"/>
  <c r="J551" i="24" s="1"/>
  <c r="H547" i="24"/>
  <c r="J547" i="24" s="1"/>
  <c r="H543" i="24"/>
  <c r="J543" i="24" s="1"/>
  <c r="H539" i="24"/>
  <c r="J539" i="24" s="1"/>
  <c r="H535" i="24"/>
  <c r="J535" i="24" s="1"/>
  <c r="H531" i="24"/>
  <c r="J531" i="24" s="1"/>
  <c r="H527" i="24"/>
  <c r="J527" i="24" s="1"/>
  <c r="H523" i="24"/>
  <c r="J523" i="24" s="1"/>
  <c r="H519" i="24"/>
  <c r="J519" i="24" s="1"/>
  <c r="H515" i="24"/>
  <c r="J515" i="24" s="1"/>
  <c r="H511" i="24"/>
  <c r="J511" i="24" s="1"/>
  <c r="H507" i="24"/>
  <c r="J507" i="24" s="1"/>
  <c r="H503" i="24"/>
  <c r="J503" i="24" s="1"/>
  <c r="H499" i="24"/>
  <c r="J499" i="24" s="1"/>
  <c r="H495" i="24"/>
  <c r="J495" i="24" s="1"/>
  <c r="H491" i="24"/>
  <c r="J491" i="24" s="1"/>
  <c r="H487" i="24"/>
  <c r="J487" i="24" s="1"/>
  <c r="H483" i="24"/>
  <c r="J483" i="24" s="1"/>
  <c r="H479" i="24"/>
  <c r="J479" i="24" s="1"/>
  <c r="H475" i="24"/>
  <c r="J475" i="24" s="1"/>
  <c r="H471" i="24"/>
  <c r="J471" i="24" s="1"/>
  <c r="H467" i="24"/>
  <c r="J467" i="24" s="1"/>
  <c r="H463" i="24"/>
  <c r="J463" i="24" s="1"/>
  <c r="H459" i="24"/>
  <c r="J459" i="24" s="1"/>
  <c r="H455" i="24"/>
  <c r="J455" i="24" s="1"/>
  <c r="H451" i="24"/>
  <c r="J451" i="24" s="1"/>
  <c r="H447" i="24"/>
  <c r="J447" i="24" s="1"/>
  <c r="H443" i="24"/>
  <c r="J443" i="24" s="1"/>
  <c r="H439" i="24"/>
  <c r="J439" i="24" s="1"/>
  <c r="H435" i="24"/>
  <c r="J435" i="24" s="1"/>
  <c r="H431" i="24"/>
  <c r="J431" i="24" s="1"/>
  <c r="H427" i="24"/>
  <c r="J427" i="24" s="1"/>
  <c r="H423" i="24"/>
  <c r="J423" i="24" s="1"/>
  <c r="H419" i="24"/>
  <c r="J419" i="24" s="1"/>
  <c r="H415" i="24"/>
  <c r="J415" i="24" s="1"/>
  <c r="H411" i="24"/>
  <c r="J411" i="24" s="1"/>
  <c r="H407" i="24"/>
  <c r="J407" i="24" s="1"/>
  <c r="H403" i="24"/>
  <c r="J403" i="24" s="1"/>
  <c r="H399" i="24"/>
  <c r="J399" i="24" s="1"/>
  <c r="H393" i="24"/>
  <c r="J393" i="24" s="1"/>
  <c r="H389" i="24"/>
  <c r="J389" i="24" s="1"/>
  <c r="H385" i="24"/>
  <c r="J385" i="24" s="1"/>
  <c r="H381" i="24"/>
  <c r="J381" i="24" s="1"/>
  <c r="H377" i="24"/>
  <c r="J377" i="24" s="1"/>
  <c r="H373" i="24"/>
  <c r="J373" i="24" s="1"/>
  <c r="H369" i="24"/>
  <c r="J369" i="24" s="1"/>
  <c r="H365" i="24"/>
  <c r="J365" i="24" s="1"/>
  <c r="H361" i="24"/>
  <c r="J361" i="24" s="1"/>
  <c r="H357" i="24"/>
  <c r="J357" i="24" s="1"/>
  <c r="H353" i="24"/>
  <c r="J353" i="24" s="1"/>
  <c r="H349" i="24"/>
  <c r="J349" i="24" s="1"/>
  <c r="H345" i="24"/>
  <c r="H341" i="24"/>
  <c r="H337" i="24"/>
  <c r="H333" i="24"/>
  <c r="J333" i="24" s="1"/>
  <c r="H329" i="24"/>
  <c r="J329" i="24" s="1"/>
  <c r="H325" i="24"/>
  <c r="J325" i="24" s="1"/>
  <c r="H321" i="24"/>
  <c r="J321" i="24" s="1"/>
  <c r="H317" i="24"/>
  <c r="J317" i="24" s="1"/>
  <c r="H313" i="24"/>
  <c r="J313" i="24" s="1"/>
  <c r="H309" i="24"/>
  <c r="J309" i="24" s="1"/>
  <c r="H305" i="24"/>
  <c r="J305" i="24" s="1"/>
  <c r="H301" i="24"/>
  <c r="J301" i="24" s="1"/>
  <c r="H297" i="24"/>
  <c r="J297" i="24" s="1"/>
  <c r="H293" i="24"/>
  <c r="J293" i="24" s="1"/>
  <c r="H289" i="24"/>
  <c r="J289" i="24" s="1"/>
  <c r="H285" i="24"/>
  <c r="J285" i="24" s="1"/>
  <c r="H281" i="24"/>
  <c r="J281" i="24" s="1"/>
  <c r="H277" i="24"/>
  <c r="J277" i="24" s="1"/>
  <c r="H273" i="24"/>
  <c r="J273" i="24" s="1"/>
  <c r="H269" i="24"/>
  <c r="J269" i="24" s="1"/>
  <c r="H265" i="24"/>
  <c r="J265" i="24" s="1"/>
  <c r="H261" i="24"/>
  <c r="J261" i="24" s="1"/>
  <c r="H257" i="24"/>
  <c r="J257" i="24" s="1"/>
  <c r="H253" i="24"/>
  <c r="J253" i="24" s="1"/>
  <c r="H249" i="24"/>
  <c r="J249" i="24" s="1"/>
  <c r="H245" i="24"/>
  <c r="J245" i="24" s="1"/>
  <c r="H241" i="24"/>
  <c r="J241" i="24" s="1"/>
  <c r="H237" i="24"/>
  <c r="J237" i="24" s="1"/>
  <c r="H233" i="24"/>
  <c r="J233" i="24" s="1"/>
  <c r="H229" i="24"/>
  <c r="J229" i="24" s="1"/>
  <c r="H225" i="24"/>
  <c r="J225" i="24" s="1"/>
  <c r="H221" i="24"/>
  <c r="J221" i="24" s="1"/>
  <c r="H217" i="24"/>
  <c r="J217" i="24" s="1"/>
  <c r="H213" i="24"/>
  <c r="J213" i="24" s="1"/>
  <c r="H209" i="24"/>
  <c r="J209" i="24" s="1"/>
  <c r="H205" i="24"/>
  <c r="H201" i="24"/>
  <c r="J201" i="24" s="1"/>
  <c r="H197" i="24"/>
  <c r="H193" i="24"/>
  <c r="J193" i="24" s="1"/>
  <c r="H188" i="24"/>
  <c r="J188" i="24" s="1"/>
  <c r="H183" i="24"/>
  <c r="J183" i="24" s="1"/>
  <c r="H179" i="24"/>
  <c r="J179" i="24" s="1"/>
  <c r="H175" i="24"/>
  <c r="J175" i="24" s="1"/>
  <c r="H171" i="24"/>
  <c r="J171" i="24" s="1"/>
  <c r="H167" i="24"/>
  <c r="J167" i="24" s="1"/>
  <c r="H163" i="24"/>
  <c r="J163" i="24" s="1"/>
  <c r="H159" i="24"/>
  <c r="J159" i="24" s="1"/>
  <c r="H155" i="24"/>
  <c r="J155" i="24" s="1"/>
  <c r="H151" i="24"/>
  <c r="J151" i="24" s="1"/>
  <c r="H147" i="24"/>
  <c r="H143" i="24"/>
  <c r="H139" i="24"/>
  <c r="J139" i="24" s="1"/>
  <c r="H135" i="24"/>
  <c r="H131" i="24"/>
  <c r="J131" i="24" s="1"/>
  <c r="H127" i="24"/>
  <c r="J127" i="24" s="1"/>
  <c r="H123" i="24"/>
  <c r="J123" i="24" s="1"/>
  <c r="H119" i="24"/>
  <c r="J119" i="24" s="1"/>
  <c r="H115" i="24"/>
  <c r="J115" i="24" s="1"/>
  <c r="H111" i="24"/>
  <c r="H107" i="24"/>
  <c r="J107" i="24" s="1"/>
  <c r="H103" i="24"/>
  <c r="J103" i="24" s="1"/>
  <c r="H99" i="24"/>
  <c r="J99" i="24" s="1"/>
  <c r="H95" i="24"/>
  <c r="J95" i="24" s="1"/>
  <c r="H91" i="24"/>
  <c r="J91" i="24" s="1"/>
  <c r="H87" i="24"/>
  <c r="J87" i="24" s="1"/>
  <c r="H83" i="24"/>
  <c r="J83" i="24" s="1"/>
  <c r="H79" i="24"/>
  <c r="J79" i="24" s="1"/>
  <c r="H73" i="24"/>
  <c r="J73" i="24" s="1"/>
  <c r="H69" i="24"/>
  <c r="J69" i="24" s="1"/>
  <c r="H64" i="24"/>
  <c r="J64" i="24" s="1"/>
  <c r="H60" i="24"/>
  <c r="J60" i="24" s="1"/>
  <c r="H55" i="24"/>
  <c r="J55" i="24" s="1"/>
  <c r="H51" i="24"/>
  <c r="J51" i="24" s="1"/>
  <c r="H47" i="24"/>
  <c r="H43" i="24"/>
  <c r="H39" i="24"/>
  <c r="H35" i="24"/>
  <c r="J35" i="24" s="1"/>
  <c r="H29" i="24"/>
  <c r="H25" i="24"/>
  <c r="H19" i="24"/>
  <c r="H14" i="24"/>
  <c r="J14" i="24" s="1"/>
  <c r="H10" i="24"/>
  <c r="J10" i="24" s="1"/>
  <c r="H5" i="24"/>
  <c r="H1322" i="24"/>
  <c r="H1318" i="24"/>
  <c r="H1313" i="24"/>
  <c r="J1313" i="24" s="1"/>
  <c r="H1309" i="24"/>
  <c r="J1309" i="24" s="1"/>
  <c r="H1305" i="24"/>
  <c r="J1305" i="24" s="1"/>
  <c r="H1301" i="24"/>
  <c r="J1301" i="24" s="1"/>
  <c r="H1296" i="24"/>
  <c r="H1292" i="24"/>
  <c r="J1292" i="24" s="1"/>
  <c r="H1288" i="24"/>
  <c r="J1288" i="24" s="1"/>
  <c r="H1283" i="24"/>
  <c r="H1279" i="24"/>
  <c r="J1279" i="24" s="1"/>
  <c r="H1275" i="24"/>
  <c r="J1275" i="24" s="1"/>
  <c r="H1271" i="24"/>
  <c r="H1265" i="24"/>
  <c r="J1265" i="24" s="1"/>
  <c r="H1261" i="24"/>
  <c r="H1256" i="24"/>
  <c r="J1256" i="24" s="1"/>
  <c r="H1252" i="24"/>
  <c r="H876" i="24"/>
  <c r="H871" i="24"/>
  <c r="J871" i="24" s="1"/>
  <c r="H867" i="24"/>
  <c r="J867" i="24" s="1"/>
  <c r="H863" i="24"/>
  <c r="J863" i="24" s="1"/>
  <c r="H858" i="24"/>
  <c r="J858" i="24" s="1"/>
  <c r="H854" i="24"/>
  <c r="J854" i="24" s="1"/>
  <c r="H850" i="24"/>
  <c r="J850" i="24" s="1"/>
  <c r="H846" i="24"/>
  <c r="J846" i="24" s="1"/>
  <c r="H842" i="24"/>
  <c r="J842" i="24" s="1"/>
  <c r="H838" i="24"/>
  <c r="J838" i="24" s="1"/>
  <c r="H834" i="24"/>
  <c r="J834" i="24" s="1"/>
  <c r="H8" i="24"/>
  <c r="J8" i="24" s="1"/>
  <c r="H4" i="24"/>
  <c r="H1408" i="24"/>
  <c r="J1408" i="24" s="1"/>
  <c r="H1400" i="24"/>
  <c r="J1400" i="24" s="1"/>
  <c r="H1395" i="24"/>
  <c r="J1395" i="24" s="1"/>
  <c r="H1390" i="24"/>
  <c r="J1390" i="24" s="1"/>
  <c r="H1386" i="24"/>
  <c r="J1386" i="24" s="1"/>
  <c r="H1382" i="24"/>
  <c r="J1382" i="24" s="1"/>
  <c r="H1378" i="24"/>
  <c r="J1378" i="24" s="1"/>
  <c r="H1374" i="24"/>
  <c r="J1374" i="24" s="1"/>
  <c r="H1370" i="24"/>
  <c r="J1370" i="24" s="1"/>
  <c r="H1366" i="24"/>
  <c r="J1366" i="24" s="1"/>
  <c r="H1362" i="24"/>
  <c r="J1362" i="24" s="1"/>
  <c r="H1358" i="24"/>
  <c r="J1358" i="24" s="1"/>
  <c r="H1354" i="24"/>
  <c r="J1354" i="24" s="1"/>
  <c r="H1350" i="24"/>
  <c r="J1350" i="24" s="1"/>
  <c r="H1346" i="24"/>
  <c r="J1346" i="24" s="1"/>
  <c r="H1342" i="24"/>
  <c r="J1342" i="24" s="1"/>
  <c r="H1338" i="24"/>
  <c r="J1338" i="24" s="1"/>
  <c r="H1334" i="24"/>
  <c r="J1334" i="24" s="1"/>
  <c r="H1329" i="24"/>
  <c r="J1329" i="24" s="1"/>
  <c r="H1324" i="24"/>
  <c r="J1324" i="24" s="1"/>
  <c r="H1249" i="24"/>
  <c r="J1249" i="24" s="1"/>
  <c r="H1245" i="24"/>
  <c r="J1245" i="24" s="1"/>
  <c r="H1241" i="24"/>
  <c r="J1241" i="24" s="1"/>
  <c r="H1236" i="24"/>
  <c r="J1236" i="24" s="1"/>
  <c r="H1230" i="24"/>
  <c r="H1226" i="24"/>
  <c r="H1222" i="24"/>
  <c r="J1222" i="24" s="1"/>
  <c r="H1218" i="24"/>
  <c r="J1218" i="24" s="1"/>
  <c r="H1214" i="24"/>
  <c r="J1214" i="24" s="1"/>
  <c r="H1210" i="24"/>
  <c r="J1210" i="24" s="1"/>
  <c r="H1206" i="24"/>
  <c r="J1206" i="24" s="1"/>
  <c r="H1202" i="24"/>
  <c r="J1202" i="24" s="1"/>
  <c r="H1198" i="24"/>
  <c r="J1198" i="24" s="1"/>
  <c r="H1194" i="24"/>
  <c r="J1194" i="24" s="1"/>
  <c r="H1190" i="24"/>
  <c r="J1190" i="24" s="1"/>
  <c r="H1186" i="24"/>
  <c r="J1186" i="24" s="1"/>
  <c r="H1182" i="24"/>
  <c r="H1178" i="24"/>
  <c r="J1178" i="24" s="1"/>
  <c r="H1174" i="24"/>
  <c r="J1174" i="24" s="1"/>
  <c r="H1170" i="24"/>
  <c r="J1170" i="24" s="1"/>
  <c r="H1166" i="24"/>
  <c r="J1166" i="24" s="1"/>
  <c r="H1162" i="24"/>
  <c r="J1162" i="24" s="1"/>
  <c r="H1158" i="24"/>
  <c r="J1158" i="24" s="1"/>
  <c r="H1153" i="24"/>
  <c r="J1153" i="24" s="1"/>
  <c r="H1149" i="24"/>
  <c r="J1149" i="24" s="1"/>
  <c r="H1145" i="24"/>
  <c r="J1145" i="24" s="1"/>
  <c r="H1141" i="24"/>
  <c r="J1141" i="24" s="1"/>
  <c r="H1137" i="24"/>
  <c r="J1137" i="24" s="1"/>
  <c r="H1133" i="24"/>
  <c r="J1133" i="24" s="1"/>
  <c r="H1129" i="24"/>
  <c r="J1129" i="24" s="1"/>
  <c r="H1125" i="24"/>
  <c r="J1125" i="24" s="1"/>
  <c r="H1121" i="24"/>
  <c r="H1117" i="24"/>
  <c r="J1117" i="24" s="1"/>
  <c r="H1113" i="24"/>
  <c r="J1113" i="24" s="1"/>
  <c r="H1109" i="24"/>
  <c r="J1109" i="24" s="1"/>
  <c r="H1105" i="24"/>
  <c r="J1105" i="24" s="1"/>
  <c r="H1101" i="24"/>
  <c r="J1101" i="24" s="1"/>
  <c r="H1097" i="24"/>
  <c r="J1097" i="24" s="1"/>
  <c r="H1092" i="24"/>
  <c r="J1092" i="24" s="1"/>
  <c r="H1088" i="24"/>
  <c r="J1088" i="24" s="1"/>
  <c r="H1083" i="24"/>
  <c r="J1083" i="24" s="1"/>
  <c r="H1079" i="24"/>
  <c r="J1079" i="24" s="1"/>
  <c r="H1075" i="24"/>
  <c r="J1075" i="24" s="1"/>
  <c r="H1071" i="24"/>
  <c r="J1071" i="24" s="1"/>
  <c r="H1066" i="24"/>
  <c r="J1066" i="24" s="1"/>
  <c r="H1062" i="24"/>
  <c r="J1062" i="24" s="1"/>
  <c r="H1056" i="24"/>
  <c r="J1056" i="24" s="1"/>
  <c r="H1051" i="24"/>
  <c r="J1051" i="24" s="1"/>
  <c r="H1047" i="24"/>
  <c r="J1047" i="24" s="1"/>
  <c r="H1041" i="24"/>
  <c r="J1041" i="24" s="1"/>
  <c r="H1037" i="24"/>
  <c r="J1037" i="24" s="1"/>
  <c r="H1033" i="24"/>
  <c r="J1033" i="24" s="1"/>
  <c r="H1029" i="24"/>
  <c r="J1029" i="24" s="1"/>
  <c r="H1025" i="24"/>
  <c r="J1025" i="24" s="1"/>
  <c r="H1021" i="24"/>
  <c r="J1021" i="24" s="1"/>
  <c r="H1016" i="24"/>
  <c r="J1016" i="24" s="1"/>
  <c r="H1012" i="24"/>
  <c r="H1007" i="24"/>
  <c r="J1007" i="24" s="1"/>
  <c r="H1003" i="24"/>
  <c r="J1003" i="24" s="1"/>
  <c r="H999" i="24"/>
  <c r="J999" i="24" s="1"/>
  <c r="H995" i="24"/>
  <c r="J995" i="24" s="1"/>
  <c r="H991" i="24"/>
  <c r="J991" i="24" s="1"/>
  <c r="H987" i="24"/>
  <c r="H982" i="24"/>
  <c r="H978" i="24"/>
  <c r="H974" i="24"/>
  <c r="H970" i="24"/>
  <c r="H966" i="24"/>
  <c r="H962" i="24"/>
  <c r="H958" i="24"/>
  <c r="H954" i="24"/>
  <c r="J954" i="24" s="1"/>
  <c r="H950" i="24"/>
  <c r="J950" i="24" s="1"/>
  <c r="H946" i="24"/>
  <c r="J946" i="24" s="1"/>
  <c r="H942" i="24"/>
  <c r="J942" i="24" s="1"/>
  <c r="H938" i="24"/>
  <c r="H934" i="24"/>
  <c r="H930" i="24"/>
  <c r="H926" i="24"/>
  <c r="H922" i="24"/>
  <c r="J922" i="24" s="1"/>
  <c r="H918" i="24"/>
  <c r="H914" i="24"/>
  <c r="J914" i="24" s="1"/>
  <c r="H910" i="24"/>
  <c r="J910" i="24" s="1"/>
  <c r="H906" i="24"/>
  <c r="J906" i="24" s="1"/>
  <c r="H902" i="24"/>
  <c r="H898" i="24"/>
  <c r="H894" i="24"/>
  <c r="H890" i="24"/>
  <c r="H886" i="24"/>
  <c r="H882" i="24"/>
  <c r="J882" i="24" s="1"/>
  <c r="H878" i="24"/>
  <c r="H861" i="24"/>
  <c r="J861" i="24" s="1"/>
  <c r="H844" i="24"/>
  <c r="J844" i="24" s="1"/>
  <c r="H828" i="24"/>
  <c r="J828" i="24" s="1"/>
  <c r="H810" i="24"/>
  <c r="J810" i="24" s="1"/>
  <c r="H792" i="24"/>
  <c r="J792" i="24" s="1"/>
  <c r="H775" i="24"/>
  <c r="J775" i="24" s="1"/>
  <c r="H759" i="24"/>
  <c r="J759" i="24" s="1"/>
  <c r="H743" i="24"/>
  <c r="J743" i="24" s="1"/>
  <c r="H727" i="24"/>
  <c r="J727" i="24" s="1"/>
  <c r="H711" i="24"/>
  <c r="J711" i="24" s="1"/>
  <c r="H695" i="24"/>
  <c r="J695" i="24" s="1"/>
  <c r="H679" i="24"/>
  <c r="J679" i="24" s="1"/>
  <c r="H663" i="24"/>
  <c r="J663" i="24" s="1"/>
  <c r="H647" i="24"/>
  <c r="J647" i="24" s="1"/>
  <c r="H631" i="24"/>
  <c r="J631" i="24" s="1"/>
  <c r="H615" i="24"/>
  <c r="J615" i="24" s="1"/>
  <c r="H599" i="24"/>
  <c r="J599" i="24" s="1"/>
  <c r="H582" i="24"/>
  <c r="J582" i="24" s="1"/>
  <c r="H564" i="24"/>
  <c r="J564" i="24" s="1"/>
  <c r="H548" i="24"/>
  <c r="J548" i="24" s="1"/>
  <c r="H532" i="24"/>
  <c r="J532" i="24" s="1"/>
  <c r="H516" i="24"/>
  <c r="J516" i="24" s="1"/>
  <c r="H500" i="24"/>
  <c r="J500" i="24" s="1"/>
  <c r="H484" i="24"/>
  <c r="J484" i="24" s="1"/>
  <c r="H468" i="24"/>
  <c r="J468" i="24" s="1"/>
  <c r="H452" i="24"/>
  <c r="J452" i="24" s="1"/>
  <c r="H436" i="24"/>
  <c r="J436" i="24" s="1"/>
  <c r="H420" i="24"/>
  <c r="J420" i="24" s="1"/>
  <c r="H404" i="24"/>
  <c r="J404" i="24" s="1"/>
  <c r="H386" i="24"/>
  <c r="J386" i="24" s="1"/>
  <c r="H370" i="24"/>
  <c r="J370" i="24" s="1"/>
  <c r="H354" i="24"/>
  <c r="J354" i="24" s="1"/>
  <c r="H338" i="24"/>
  <c r="H322" i="24"/>
  <c r="J322" i="24" s="1"/>
  <c r="H306" i="24"/>
  <c r="J306" i="24" s="1"/>
  <c r="H1320" i="24"/>
  <c r="H1315" i="24"/>
  <c r="J1315" i="24" s="1"/>
  <c r="H1311" i="24"/>
  <c r="J1311" i="24" s="1"/>
  <c r="H1307" i="24"/>
  <c r="J1307" i="24" s="1"/>
  <c r="H1303" i="24"/>
  <c r="J1303" i="24" s="1"/>
  <c r="H1299" i="24"/>
  <c r="J1299" i="24" s="1"/>
  <c r="H1294" i="24"/>
  <c r="J1294" i="24" s="1"/>
  <c r="H1290" i="24"/>
  <c r="J1290" i="24" s="1"/>
  <c r="H1286" i="24"/>
  <c r="J1286" i="24" s="1"/>
  <c r="H1281" i="24"/>
  <c r="H1277" i="24"/>
  <c r="J1277" i="24" s="1"/>
  <c r="H1273" i="24"/>
  <c r="H1267" i="24"/>
  <c r="H1263" i="24"/>
  <c r="H1259" i="24"/>
  <c r="H1254" i="24"/>
  <c r="H874" i="24"/>
  <c r="H865" i="24"/>
  <c r="J865" i="24" s="1"/>
  <c r="H856" i="24"/>
  <c r="H848" i="24"/>
  <c r="J848" i="24" s="1"/>
  <c r="H840" i="24"/>
  <c r="J840" i="24" s="1"/>
  <c r="H832" i="24"/>
  <c r="J832" i="24" s="1"/>
  <c r="H824" i="24"/>
  <c r="J824" i="24" s="1"/>
  <c r="H814" i="24"/>
  <c r="H806" i="24"/>
  <c r="J806" i="24" s="1"/>
  <c r="H798" i="24"/>
  <c r="H787" i="24"/>
  <c r="J787" i="24" s="1"/>
  <c r="H779" i="24"/>
  <c r="J779" i="24" s="1"/>
  <c r="H771" i="24"/>
  <c r="J771" i="24" s="1"/>
  <c r="H763" i="24"/>
  <c r="J763" i="24" s="1"/>
  <c r="H755" i="24"/>
  <c r="J755" i="24" s="1"/>
  <c r="H747" i="24"/>
  <c r="J747" i="24" s="1"/>
  <c r="H739" i="24"/>
  <c r="J739" i="24" s="1"/>
  <c r="H731" i="24"/>
  <c r="J731" i="24" s="1"/>
  <c r="H723" i="24"/>
  <c r="J723" i="24" s="1"/>
  <c r="H715" i="24"/>
  <c r="J715" i="24" s="1"/>
  <c r="H707" i="24"/>
  <c r="J707" i="24" s="1"/>
  <c r="H699" i="24"/>
  <c r="J699" i="24" s="1"/>
  <c r="H691" i="24"/>
  <c r="J691" i="24" s="1"/>
  <c r="H683" i="24"/>
  <c r="J683" i="24" s="1"/>
  <c r="H675" i="24"/>
  <c r="J675" i="24" s="1"/>
  <c r="H667" i="24"/>
  <c r="J667" i="24" s="1"/>
  <c r="H659" i="24"/>
  <c r="J659" i="24" s="1"/>
  <c r="H651" i="24"/>
  <c r="J651" i="24" s="1"/>
  <c r="H643" i="24"/>
  <c r="J643" i="24" s="1"/>
  <c r="H635" i="24"/>
  <c r="J635" i="24" s="1"/>
  <c r="H627" i="24"/>
  <c r="J627" i="24" s="1"/>
  <c r="H619" i="24"/>
  <c r="J619" i="24" s="1"/>
  <c r="H611" i="24"/>
  <c r="J611" i="24" s="1"/>
  <c r="H603" i="24"/>
  <c r="J603" i="24" s="1"/>
  <c r="H595" i="24"/>
  <c r="J595" i="24" s="1"/>
  <c r="H586" i="24"/>
  <c r="J586" i="24" s="1"/>
  <c r="H578" i="24"/>
  <c r="J578" i="24" s="1"/>
  <c r="H569" i="24"/>
  <c r="J569" i="24" s="1"/>
  <c r="H560" i="24"/>
  <c r="J560" i="24" s="1"/>
  <c r="H552" i="24"/>
  <c r="J552" i="24" s="1"/>
  <c r="H544" i="24"/>
  <c r="J544" i="24" s="1"/>
  <c r="H536" i="24"/>
  <c r="J536" i="24" s="1"/>
  <c r="H528" i="24"/>
  <c r="J528" i="24" s="1"/>
  <c r="H520" i="24"/>
  <c r="J520" i="24" s="1"/>
  <c r="H512" i="24"/>
  <c r="J512" i="24" s="1"/>
  <c r="H504" i="24"/>
  <c r="J504" i="24" s="1"/>
  <c r="H496" i="24"/>
  <c r="J496" i="24" s="1"/>
  <c r="H488" i="24"/>
  <c r="J488" i="24" s="1"/>
  <c r="H480" i="24"/>
  <c r="J480" i="24" s="1"/>
  <c r="H472" i="24"/>
  <c r="J472" i="24" s="1"/>
  <c r="H464" i="24"/>
  <c r="J464" i="24" s="1"/>
  <c r="H456" i="24"/>
  <c r="J456" i="24" s="1"/>
  <c r="H448" i="24"/>
  <c r="J448" i="24" s="1"/>
  <c r="H440" i="24"/>
  <c r="J440" i="24" s="1"/>
  <c r="H432" i="24"/>
  <c r="J432" i="24" s="1"/>
  <c r="H424" i="24"/>
  <c r="J424" i="24" s="1"/>
  <c r="H416" i="24"/>
  <c r="J416" i="24" s="1"/>
  <c r="H408" i="24"/>
  <c r="J408" i="24" s="1"/>
  <c r="H400" i="24"/>
  <c r="J400" i="24" s="1"/>
  <c r="H390" i="24"/>
  <c r="J390" i="24" s="1"/>
  <c r="H382" i="24"/>
  <c r="J382" i="24" s="1"/>
  <c r="H374" i="24"/>
  <c r="J374" i="24" s="1"/>
  <c r="H366" i="24"/>
  <c r="J366" i="24" s="1"/>
  <c r="H358" i="24"/>
  <c r="J358" i="24" s="1"/>
  <c r="H350" i="24"/>
  <c r="J350" i="24" s="1"/>
  <c r="H342" i="24"/>
  <c r="H334" i="24"/>
  <c r="J334" i="24" s="1"/>
  <c r="H326" i="24"/>
  <c r="J326" i="24" s="1"/>
  <c r="H318" i="24"/>
  <c r="J318" i="24" s="1"/>
  <c r="H310" i="24"/>
  <c r="J310" i="24" s="1"/>
  <c r="H302" i="24"/>
  <c r="J302" i="24" s="1"/>
  <c r="H294" i="24"/>
  <c r="J294" i="24" s="1"/>
  <c r="H290" i="24"/>
  <c r="J290" i="24" s="1"/>
  <c r="H286" i="24"/>
  <c r="J286" i="24" s="1"/>
  <c r="H282" i="24"/>
  <c r="J282" i="24" s="1"/>
  <c r="H278" i="24"/>
  <c r="J278" i="24" s="1"/>
  <c r="H274" i="24"/>
  <c r="J274" i="24" s="1"/>
  <c r="H270" i="24"/>
  <c r="J270" i="24" s="1"/>
  <c r="H266" i="24"/>
  <c r="J266" i="24" s="1"/>
  <c r="H262" i="24"/>
  <c r="J262" i="24" s="1"/>
  <c r="H258" i="24"/>
  <c r="J258" i="24" s="1"/>
  <c r="H254" i="24"/>
  <c r="J254" i="24" s="1"/>
  <c r="H250" i="24"/>
  <c r="J250" i="24" s="1"/>
  <c r="H246" i="24"/>
  <c r="J246" i="24" s="1"/>
  <c r="H242" i="24"/>
  <c r="J242" i="24" s="1"/>
  <c r="H238" i="24"/>
  <c r="J238" i="24" s="1"/>
  <c r="H234" i="24"/>
  <c r="J234" i="24" s="1"/>
  <c r="H230" i="24"/>
  <c r="J230" i="24" s="1"/>
  <c r="H226" i="24"/>
  <c r="J226" i="24" s="1"/>
  <c r="H222" i="24"/>
  <c r="J222" i="24" s="1"/>
  <c r="H218" i="24"/>
  <c r="J218" i="24" s="1"/>
  <c r="H214" i="24"/>
  <c r="J214" i="24" s="1"/>
  <c r="H210" i="24"/>
  <c r="J210" i="24" s="1"/>
  <c r="H206" i="24"/>
  <c r="J206" i="24" s="1"/>
  <c r="H202" i="24"/>
  <c r="J202" i="24" s="1"/>
  <c r="H198" i="24"/>
  <c r="J198" i="24" s="1"/>
  <c r="H194" i="24"/>
  <c r="J194" i="24" s="1"/>
  <c r="H190" i="24"/>
  <c r="J190" i="24" s="1"/>
  <c r="H185" i="24"/>
  <c r="J185" i="24" s="1"/>
  <c r="H180" i="24"/>
  <c r="J180" i="24" s="1"/>
  <c r="H176" i="24"/>
  <c r="J176" i="24" s="1"/>
  <c r="H172" i="24"/>
  <c r="J172" i="24" s="1"/>
  <c r="H168" i="24"/>
  <c r="J168" i="24" s="1"/>
  <c r="H164" i="24"/>
  <c r="J164" i="24" s="1"/>
  <c r="H160" i="24"/>
  <c r="J160" i="24" s="1"/>
  <c r="H156" i="24"/>
  <c r="J156" i="24" s="1"/>
  <c r="H152" i="24"/>
  <c r="J152" i="24" s="1"/>
  <c r="H148" i="24"/>
  <c r="J148" i="24" s="1"/>
  <c r="H144" i="24"/>
  <c r="H140" i="24"/>
  <c r="J140" i="24" s="1"/>
  <c r="H136" i="24"/>
  <c r="J136" i="24" s="1"/>
  <c r="H132" i="24"/>
  <c r="J132" i="24" s="1"/>
  <c r="H128" i="24"/>
  <c r="J128" i="24" s="1"/>
  <c r="H124" i="24"/>
  <c r="J124" i="24" s="1"/>
  <c r="H120" i="24"/>
  <c r="J120" i="24" s="1"/>
  <c r="H116" i="24"/>
  <c r="J116" i="24" s="1"/>
  <c r="H112" i="24"/>
  <c r="J112" i="24" s="1"/>
  <c r="H108" i="24"/>
  <c r="H104" i="24"/>
  <c r="J104" i="24" s="1"/>
  <c r="H100" i="24"/>
  <c r="J100" i="24" s="1"/>
  <c r="H96" i="24"/>
  <c r="H92" i="24"/>
  <c r="J92" i="24" s="1"/>
  <c r="H88" i="24"/>
  <c r="J88" i="24" s="1"/>
  <c r="H84" i="24"/>
  <c r="J84" i="24" s="1"/>
  <c r="H80" i="24"/>
  <c r="J80" i="24" s="1"/>
  <c r="H74" i="24"/>
  <c r="J74" i="24" s="1"/>
  <c r="H70" i="24"/>
  <c r="J70" i="24" s="1"/>
  <c r="H65" i="24"/>
  <c r="J65" i="24" s="1"/>
  <c r="H61" i="24"/>
  <c r="J61" i="24" s="1"/>
  <c r="H57" i="24"/>
  <c r="J57" i="24" s="1"/>
  <c r="H52" i="24"/>
  <c r="J52" i="24" s="1"/>
  <c r="H48" i="24"/>
  <c r="H44" i="24"/>
  <c r="H40" i="24"/>
  <c r="H36" i="24"/>
  <c r="H31" i="24"/>
  <c r="H26" i="24"/>
  <c r="H20" i="24"/>
  <c r="H15" i="24"/>
  <c r="J15" i="24" s="1"/>
  <c r="H11" i="24"/>
  <c r="H6" i="24"/>
  <c r="H830" i="24"/>
  <c r="J830" i="24" s="1"/>
  <c r="H826" i="24"/>
  <c r="J826" i="24" s="1"/>
  <c r="H820" i="24"/>
  <c r="H816" i="24"/>
  <c r="J816" i="24" s="1"/>
  <c r="H812" i="24"/>
  <c r="H808" i="24"/>
  <c r="J808" i="24" s="1"/>
  <c r="H804" i="24"/>
  <c r="J804" i="24" s="1"/>
  <c r="H800" i="24"/>
  <c r="J800" i="24" s="1"/>
  <c r="H795" i="24"/>
  <c r="J795" i="24" s="1"/>
  <c r="H789" i="24"/>
  <c r="J789" i="24" s="1"/>
  <c r="H785" i="24"/>
  <c r="J785" i="24" s="1"/>
  <c r="H781" i="24"/>
  <c r="J781" i="24" s="1"/>
  <c r="H777" i="24"/>
  <c r="J777" i="24" s="1"/>
  <c r="H773" i="24"/>
  <c r="J773" i="24" s="1"/>
  <c r="H769" i="24"/>
  <c r="J769" i="24" s="1"/>
  <c r="H765" i="24"/>
  <c r="J765" i="24" s="1"/>
  <c r="H761" i="24"/>
  <c r="J761" i="24" s="1"/>
  <c r="H757" i="24"/>
  <c r="J757" i="24" s="1"/>
  <c r="H753" i="24"/>
  <c r="J753" i="24" s="1"/>
  <c r="H749" i="24"/>
  <c r="J749" i="24" s="1"/>
  <c r="H745" i="24"/>
  <c r="J745" i="24" s="1"/>
  <c r="H741" i="24"/>
  <c r="J741" i="24" s="1"/>
  <c r="H737" i="24"/>
  <c r="J737" i="24" s="1"/>
  <c r="H733" i="24"/>
  <c r="J733" i="24" s="1"/>
  <c r="H729" i="24"/>
  <c r="J729" i="24" s="1"/>
  <c r="H725" i="24"/>
  <c r="J725" i="24" s="1"/>
  <c r="H721" i="24"/>
  <c r="J721" i="24" s="1"/>
  <c r="H717" i="24"/>
  <c r="J717" i="24" s="1"/>
  <c r="H713" i="24"/>
  <c r="J713" i="24" s="1"/>
  <c r="H709" i="24"/>
  <c r="J709" i="24" s="1"/>
  <c r="H705" i="24"/>
  <c r="J705" i="24" s="1"/>
  <c r="H701" i="24"/>
  <c r="J701" i="24" s="1"/>
  <c r="H697" i="24"/>
  <c r="J697" i="24" s="1"/>
  <c r="H693" i="24"/>
  <c r="J693" i="24" s="1"/>
  <c r="H689" i="24"/>
  <c r="J689" i="24" s="1"/>
  <c r="H685" i="24"/>
  <c r="J685" i="24" s="1"/>
  <c r="H681" i="24"/>
  <c r="J681" i="24" s="1"/>
  <c r="H677" i="24"/>
  <c r="J677" i="24" s="1"/>
  <c r="H673" i="24"/>
  <c r="J673" i="24" s="1"/>
  <c r="H669" i="24"/>
  <c r="J669" i="24" s="1"/>
  <c r="H665" i="24"/>
  <c r="J665" i="24" s="1"/>
  <c r="H661" i="24"/>
  <c r="J661" i="24" s="1"/>
  <c r="H657" i="24"/>
  <c r="J657" i="24" s="1"/>
  <c r="H653" i="24"/>
  <c r="J653" i="24" s="1"/>
  <c r="H649" i="24"/>
  <c r="J649" i="24" s="1"/>
  <c r="H645" i="24"/>
  <c r="J645" i="24" s="1"/>
  <c r="H641" i="24"/>
  <c r="J641" i="24" s="1"/>
  <c r="H637" i="24"/>
  <c r="J637" i="24" s="1"/>
  <c r="H633" i="24"/>
  <c r="J633" i="24" s="1"/>
  <c r="H629" i="24"/>
  <c r="J629" i="24" s="1"/>
  <c r="H625" i="24"/>
  <c r="J625" i="24" s="1"/>
  <c r="H621" i="24"/>
  <c r="J621" i="24" s="1"/>
  <c r="H617" i="24"/>
  <c r="J617" i="24" s="1"/>
  <c r="H613" i="24"/>
  <c r="J613" i="24" s="1"/>
  <c r="H609" i="24"/>
  <c r="J609" i="24" s="1"/>
  <c r="H605" i="24"/>
  <c r="J605" i="24" s="1"/>
  <c r="H601" i="24"/>
  <c r="J601" i="24" s="1"/>
  <c r="H597" i="24"/>
  <c r="J597" i="24" s="1"/>
  <c r="H592" i="24"/>
  <c r="J592" i="24" s="1"/>
  <c r="H588" i="24"/>
  <c r="J588" i="24" s="1"/>
  <c r="H584" i="24"/>
  <c r="J584" i="24" s="1"/>
  <c r="H580" i="24"/>
  <c r="J580" i="24" s="1"/>
  <c r="H576" i="24"/>
  <c r="J576" i="24" s="1"/>
  <c r="H571" i="24"/>
  <c r="H567" i="24"/>
  <c r="H562" i="24"/>
  <c r="J562" i="24" s="1"/>
  <c r="H558" i="24"/>
  <c r="J558" i="24" s="1"/>
  <c r="H554" i="24"/>
  <c r="J554" i="24" s="1"/>
  <c r="H550" i="24"/>
  <c r="J550" i="24" s="1"/>
  <c r="H546" i="24"/>
  <c r="J546" i="24" s="1"/>
  <c r="H542" i="24"/>
  <c r="J542" i="24" s="1"/>
  <c r="H538" i="24"/>
  <c r="J538" i="24" s="1"/>
  <c r="H534" i="24"/>
  <c r="J534" i="24" s="1"/>
  <c r="H530" i="24"/>
  <c r="J530" i="24" s="1"/>
  <c r="H526" i="24"/>
  <c r="J526" i="24" s="1"/>
  <c r="H522" i="24"/>
  <c r="J522" i="24" s="1"/>
  <c r="H518" i="24"/>
  <c r="J518" i="24" s="1"/>
  <c r="H514" i="24"/>
  <c r="J514" i="24" s="1"/>
  <c r="H510" i="24"/>
  <c r="J510" i="24" s="1"/>
  <c r="H506" i="24"/>
  <c r="J506" i="24" s="1"/>
  <c r="H502" i="24"/>
  <c r="J502" i="24" s="1"/>
  <c r="H498" i="24"/>
  <c r="J498" i="24" s="1"/>
  <c r="H494" i="24"/>
  <c r="J494" i="24" s="1"/>
  <c r="H490" i="24"/>
  <c r="J490" i="24" s="1"/>
  <c r="H486" i="24"/>
  <c r="J486" i="24" s="1"/>
  <c r="H482" i="24"/>
  <c r="J482" i="24" s="1"/>
  <c r="H478" i="24"/>
  <c r="J478" i="24" s="1"/>
  <c r="H474" i="24"/>
  <c r="J474" i="24" s="1"/>
  <c r="H470" i="24"/>
  <c r="J470" i="24" s="1"/>
  <c r="H466" i="24"/>
  <c r="J466" i="24" s="1"/>
  <c r="H462" i="24"/>
  <c r="J462" i="24" s="1"/>
  <c r="H458" i="24"/>
  <c r="J458" i="24" s="1"/>
  <c r="H454" i="24"/>
  <c r="J454" i="24" s="1"/>
  <c r="H450" i="24"/>
  <c r="J450" i="24" s="1"/>
  <c r="H446" i="24"/>
  <c r="J446" i="24" s="1"/>
  <c r="H442" i="24"/>
  <c r="J442" i="24" s="1"/>
  <c r="H438" i="24"/>
  <c r="J438" i="24" s="1"/>
  <c r="H434" i="24"/>
  <c r="J434" i="24" s="1"/>
  <c r="H430" i="24"/>
  <c r="J430" i="24" s="1"/>
  <c r="H426" i="24"/>
  <c r="J426" i="24" s="1"/>
  <c r="H422" i="24"/>
  <c r="J422" i="24" s="1"/>
  <c r="H418" i="24"/>
  <c r="J418" i="24" s="1"/>
  <c r="H414" i="24"/>
  <c r="J414" i="24" s="1"/>
  <c r="H410" i="24"/>
  <c r="J410" i="24" s="1"/>
  <c r="H406" i="24"/>
  <c r="J406" i="24" s="1"/>
  <c r="H402" i="24"/>
  <c r="J402" i="24" s="1"/>
  <c r="H398" i="24"/>
  <c r="J398" i="24" s="1"/>
  <c r="H392" i="24"/>
  <c r="J392" i="24" s="1"/>
  <c r="H388" i="24"/>
  <c r="J388" i="24" s="1"/>
  <c r="H384" i="24"/>
  <c r="J384" i="24" s="1"/>
  <c r="H380" i="24"/>
  <c r="J380" i="24" s="1"/>
  <c r="H376" i="24"/>
  <c r="J376" i="24" s="1"/>
  <c r="H372" i="24"/>
  <c r="J372" i="24" s="1"/>
  <c r="H368" i="24"/>
  <c r="J368" i="24" s="1"/>
  <c r="H364" i="24"/>
  <c r="J364" i="24" s="1"/>
  <c r="H360" i="24"/>
  <c r="J360" i="24" s="1"/>
  <c r="H356" i="24"/>
  <c r="J356" i="24" s="1"/>
  <c r="H352" i="24"/>
  <c r="J352" i="24" s="1"/>
  <c r="H348" i="24"/>
  <c r="J348" i="24" s="1"/>
  <c r="H344" i="24"/>
  <c r="H340" i="24"/>
  <c r="H336" i="24"/>
  <c r="H332" i="24"/>
  <c r="J332" i="24" s="1"/>
  <c r="H328" i="24"/>
  <c r="J328" i="24" s="1"/>
  <c r="H324" i="24"/>
  <c r="J324" i="24" s="1"/>
  <c r="H320" i="24"/>
  <c r="J320" i="24" s="1"/>
  <c r="H316" i="24"/>
  <c r="J316" i="24" s="1"/>
  <c r="H312" i="24"/>
  <c r="J312" i="24" s="1"/>
  <c r="H308" i="24"/>
  <c r="J308" i="24" s="1"/>
  <c r="H304" i="24"/>
  <c r="J304" i="24" s="1"/>
  <c r="H300" i="24"/>
  <c r="J300" i="24" s="1"/>
  <c r="H296" i="24"/>
  <c r="J296" i="24" s="1"/>
  <c r="H292" i="24"/>
  <c r="J292" i="24" s="1"/>
  <c r="H288" i="24"/>
  <c r="J288" i="24" s="1"/>
  <c r="H284" i="24"/>
  <c r="J284" i="24" s="1"/>
  <c r="H280" i="24"/>
  <c r="J280" i="24" s="1"/>
  <c r="H276" i="24"/>
  <c r="J276" i="24" s="1"/>
  <c r="H272" i="24"/>
  <c r="J272" i="24" s="1"/>
  <c r="H268" i="24"/>
  <c r="J268" i="24" s="1"/>
  <c r="H264" i="24"/>
  <c r="J264" i="24" s="1"/>
  <c r="H260" i="24"/>
  <c r="J260" i="24" s="1"/>
  <c r="H256" i="24"/>
  <c r="J256" i="24" s="1"/>
  <c r="H252" i="24"/>
  <c r="J252" i="24" s="1"/>
  <c r="H248" i="24"/>
  <c r="J248" i="24" s="1"/>
  <c r="H244" i="24"/>
  <c r="J244" i="24" s="1"/>
  <c r="H240" i="24"/>
  <c r="J240" i="24" s="1"/>
  <c r="H236" i="24"/>
  <c r="J236" i="24" s="1"/>
  <c r="H232" i="24"/>
  <c r="J232" i="24" s="1"/>
  <c r="H228" i="24"/>
  <c r="J228" i="24" s="1"/>
  <c r="H224" i="24"/>
  <c r="J224" i="24" s="1"/>
  <c r="H220" i="24"/>
  <c r="J220" i="24" s="1"/>
  <c r="H216" i="24"/>
  <c r="J216" i="24" s="1"/>
  <c r="H212" i="24"/>
  <c r="J212" i="24" s="1"/>
  <c r="H208" i="24"/>
  <c r="J208" i="24" s="1"/>
  <c r="H204" i="24"/>
  <c r="J204" i="24" s="1"/>
  <c r="H200" i="24"/>
  <c r="J200" i="24" s="1"/>
  <c r="H196" i="24"/>
  <c r="J196" i="24" s="1"/>
  <c r="H192" i="24"/>
  <c r="J192" i="24" s="1"/>
  <c r="H187" i="24"/>
  <c r="J187" i="24" s="1"/>
  <c r="H182" i="24"/>
  <c r="J182" i="24" s="1"/>
  <c r="H178" i="24"/>
  <c r="J178" i="24" s="1"/>
  <c r="H174" i="24"/>
  <c r="J174" i="24" s="1"/>
  <c r="H170" i="24"/>
  <c r="J170" i="24" s="1"/>
  <c r="H166" i="24"/>
  <c r="J166" i="24" s="1"/>
  <c r="H162" i="24"/>
  <c r="J162" i="24" s="1"/>
  <c r="H158" i="24"/>
  <c r="J158" i="24" s="1"/>
  <c r="H154" i="24"/>
  <c r="J154" i="24" s="1"/>
  <c r="H150" i="24"/>
  <c r="J150" i="24" s="1"/>
  <c r="H146" i="24"/>
  <c r="H142" i="24"/>
  <c r="J142" i="24" s="1"/>
  <c r="H138" i="24"/>
  <c r="J138" i="24" s="1"/>
  <c r="H134" i="24"/>
  <c r="J134" i="24" s="1"/>
  <c r="H130" i="24"/>
  <c r="J130" i="24" s="1"/>
  <c r="H126" i="24"/>
  <c r="J126" i="24" s="1"/>
  <c r="H122" i="24"/>
  <c r="J122" i="24" s="1"/>
  <c r="H118" i="24"/>
  <c r="J118" i="24" s="1"/>
  <c r="H114" i="24"/>
  <c r="H110" i="24"/>
  <c r="H106" i="24"/>
  <c r="J106" i="24" s="1"/>
  <c r="H102" i="24"/>
  <c r="J102" i="24" s="1"/>
  <c r="H98" i="24"/>
  <c r="J98" i="24" s="1"/>
  <c r="H94" i="24"/>
  <c r="J94" i="24" s="1"/>
  <c r="H90" i="24"/>
  <c r="H86" i="24"/>
  <c r="J86" i="24" s="1"/>
  <c r="H82" i="24"/>
  <c r="J82" i="24" s="1"/>
  <c r="H77" i="24"/>
  <c r="J77" i="24" s="1"/>
  <c r="H72" i="24"/>
  <c r="J72" i="24" s="1"/>
  <c r="H68" i="24"/>
  <c r="J68" i="24" s="1"/>
  <c r="H63" i="24"/>
  <c r="J63" i="24" s="1"/>
  <c r="H59" i="24"/>
  <c r="J59" i="24" s="1"/>
  <c r="H54" i="24"/>
  <c r="J54" i="24" s="1"/>
  <c r="H50" i="24"/>
  <c r="J50" i="24" s="1"/>
  <c r="H46" i="24"/>
  <c r="H42" i="24"/>
  <c r="H38" i="24"/>
  <c r="H34" i="24"/>
  <c r="J34" i="24" s="1"/>
  <c r="H28" i="24"/>
  <c r="H23" i="24"/>
  <c r="J23" i="24" s="1"/>
  <c r="H17" i="24"/>
  <c r="J17" i="24" s="1"/>
  <c r="H13" i="24"/>
  <c r="K21" i="24"/>
  <c r="K1010" i="24" l="1"/>
  <c r="K1257" i="24"/>
  <c r="K1411" i="24"/>
  <c r="K574" i="24"/>
  <c r="K24" i="24"/>
  <c r="K9" i="24"/>
  <c r="K1052" i="24"/>
  <c r="K1397" i="24"/>
  <c r="K1316" i="24"/>
  <c r="K1251" i="24"/>
  <c r="K1333" i="24"/>
  <c r="K78" i="24"/>
  <c r="K860" i="24"/>
  <c r="K18" i="24"/>
  <c r="K184" i="24"/>
  <c r="K189" i="24"/>
  <c r="K1285" i="24"/>
  <c r="K1017" i="24"/>
  <c r="K1085" i="24"/>
  <c r="K1093" i="24"/>
  <c r="K1239" i="24"/>
  <c r="K1326" i="24"/>
  <c r="K565" i="24"/>
  <c r="K1067" i="24"/>
  <c r="J48" i="24"/>
  <c r="K66" i="24" s="1"/>
  <c r="K1297" i="24"/>
  <c r="K797" i="24"/>
  <c r="K1233" i="24"/>
  <c r="K873" i="24"/>
  <c r="K593" i="24"/>
  <c r="K1412" i="24" l="1"/>
  <c r="J2071" i="25" l="1"/>
  <c r="D25" i="7"/>
  <c r="D45" i="7" s="1"/>
  <c r="C43" i="7"/>
  <c r="C41" i="7"/>
  <c r="C40" i="7"/>
  <c r="C39" i="7"/>
  <c r="C38" i="7"/>
  <c r="C37" i="7"/>
  <c r="C36" i="7"/>
  <c r="C35" i="7"/>
  <c r="C34" i="7"/>
  <c r="C31" i="7"/>
  <c r="C30" i="7"/>
  <c r="C27" i="7"/>
  <c r="C26" i="7"/>
  <c r="C25" i="7" s="1"/>
  <c r="C45" i="7" s="1"/>
  <c r="D33" i="7"/>
  <c r="D29" i="7"/>
  <c r="C33" i="7" l="1"/>
  <c r="D46" i="7"/>
  <c r="D47" i="7" s="1"/>
  <c r="C29" i="7"/>
  <c r="P51" i="7"/>
  <c r="Q46" i="7"/>
  <c r="Q51" i="7" s="1"/>
  <c r="L46" i="7"/>
  <c r="F21" i="7"/>
  <c r="C46" i="7" l="1"/>
  <c r="C47" i="7" s="1"/>
  <c r="F18" i="7"/>
  <c r="O18" i="7" l="1"/>
  <c r="I29" i="7"/>
  <c r="J16" i="7"/>
  <c r="J17" i="7"/>
  <c r="J18" i="7"/>
  <c r="J19" i="7"/>
  <c r="J22" i="7"/>
  <c r="J23" i="7"/>
  <c r="J24" i="7"/>
  <c r="J25" i="7"/>
  <c r="J26" i="7"/>
  <c r="J27" i="7"/>
  <c r="J30" i="7"/>
  <c r="J31" i="7"/>
  <c r="J32" i="7"/>
  <c r="J34" i="7"/>
  <c r="J37" i="7"/>
  <c r="J38" i="7"/>
  <c r="J39" i="7"/>
  <c r="J40" i="7"/>
  <c r="J43" i="7"/>
  <c r="J44" i="7"/>
  <c r="J11" i="7"/>
  <c r="I42" i="7"/>
  <c r="J42" i="7" s="1"/>
  <c r="I36" i="7"/>
  <c r="J36" i="7" s="1"/>
  <c r="I21" i="7"/>
  <c r="J21" i="7" s="1"/>
  <c r="I15" i="7"/>
  <c r="J15" i="7" s="1"/>
  <c r="I13" i="7"/>
  <c r="J13" i="7" s="1"/>
  <c r="I12" i="7"/>
  <c r="J12" i="7" s="1"/>
  <c r="J29" i="7" l="1"/>
  <c r="J51" i="7" s="1"/>
  <c r="I51" i="7"/>
  <c r="N16" i="7"/>
  <c r="N17" i="7"/>
  <c r="O17" i="7" s="1"/>
  <c r="O16" i="7" l="1"/>
  <c r="C17" i="7"/>
  <c r="D17" i="7" s="1"/>
  <c r="C16" i="7" l="1"/>
  <c r="D16" i="7" s="1"/>
  <c r="C15" i="7" l="1"/>
  <c r="D15" i="7" s="1"/>
  <c r="H794" i="6" l="1"/>
  <c r="J794" i="6" s="1"/>
  <c r="H793" i="6"/>
  <c r="J793" i="6" s="1"/>
  <c r="H792" i="6"/>
  <c r="J792" i="6" s="1"/>
  <c r="H790" i="6"/>
  <c r="J790" i="6" s="1"/>
  <c r="H789" i="6"/>
  <c r="J789" i="6" s="1"/>
  <c r="H787" i="6"/>
  <c r="J787" i="6" s="1"/>
  <c r="H786" i="6"/>
  <c r="J786" i="6" s="1"/>
  <c r="H785" i="6"/>
  <c r="J785" i="6" s="1"/>
  <c r="I784" i="6"/>
  <c r="H784" i="6"/>
  <c r="H783" i="6"/>
  <c r="J783" i="6" s="1"/>
  <c r="H782" i="6"/>
  <c r="J782" i="6" s="1"/>
  <c r="H781" i="6"/>
  <c r="J781" i="6" s="1"/>
  <c r="H779" i="6"/>
  <c r="J779" i="6" s="1"/>
  <c r="H778" i="6"/>
  <c r="J778" i="6" s="1"/>
  <c r="H777" i="6"/>
  <c r="J777" i="6" s="1"/>
  <c r="H776" i="6"/>
  <c r="J776" i="6" s="1"/>
  <c r="H775" i="6"/>
  <c r="J775" i="6" s="1"/>
  <c r="H774" i="6"/>
  <c r="J774" i="6" s="1"/>
  <c r="H773" i="6"/>
  <c r="J773" i="6" s="1"/>
  <c r="H772" i="6"/>
  <c r="J772" i="6" s="1"/>
  <c r="H771" i="6"/>
  <c r="J771" i="6" s="1"/>
  <c r="H769" i="6"/>
  <c r="J769" i="6" s="1"/>
  <c r="H768" i="6"/>
  <c r="J768" i="6" s="1"/>
  <c r="H767" i="6"/>
  <c r="J767" i="6" s="1"/>
  <c r="H766" i="6"/>
  <c r="J766" i="6" s="1"/>
  <c r="H765" i="6"/>
  <c r="J765" i="6" s="1"/>
  <c r="H764" i="6"/>
  <c r="J764" i="6" s="1"/>
  <c r="H763" i="6"/>
  <c r="J763" i="6" s="1"/>
  <c r="H762" i="6"/>
  <c r="J762" i="6" s="1"/>
  <c r="H761" i="6"/>
  <c r="J761" i="6" s="1"/>
  <c r="H760" i="6"/>
  <c r="J760" i="6" s="1"/>
  <c r="H759" i="6"/>
  <c r="J759" i="6" s="1"/>
  <c r="H758" i="6"/>
  <c r="J758" i="6" s="1"/>
  <c r="I757" i="6"/>
  <c r="H757" i="6"/>
  <c r="H756" i="6"/>
  <c r="J756" i="6" s="1"/>
  <c r="H755" i="6"/>
  <c r="J755" i="6" s="1"/>
  <c r="H754" i="6"/>
  <c r="J754" i="6" s="1"/>
  <c r="H753" i="6"/>
  <c r="J753" i="6" s="1"/>
  <c r="H752" i="6"/>
  <c r="J752" i="6" s="1"/>
  <c r="H751" i="6"/>
  <c r="J751" i="6" s="1"/>
  <c r="H750" i="6"/>
  <c r="J750" i="6" s="1"/>
  <c r="H749" i="6"/>
  <c r="J749" i="6" s="1"/>
  <c r="H748" i="6"/>
  <c r="J748" i="6" s="1"/>
  <c r="H747" i="6"/>
  <c r="J747" i="6" s="1"/>
  <c r="H746" i="6"/>
  <c r="J746" i="6" s="1"/>
  <c r="H745" i="6"/>
  <c r="J745" i="6" s="1"/>
  <c r="H744" i="6"/>
  <c r="J744" i="6" s="1"/>
  <c r="H743" i="6"/>
  <c r="J743" i="6" s="1"/>
  <c r="H742" i="6"/>
  <c r="J742" i="6" s="1"/>
  <c r="H741" i="6"/>
  <c r="J741" i="6" s="1"/>
  <c r="H740" i="6"/>
  <c r="J740" i="6" s="1"/>
  <c r="H739" i="6"/>
  <c r="J739" i="6" s="1"/>
  <c r="H738" i="6"/>
  <c r="J738" i="6" s="1"/>
  <c r="H737" i="6"/>
  <c r="J737" i="6" s="1"/>
  <c r="H736" i="6"/>
  <c r="J736" i="6" s="1"/>
  <c r="H735" i="6"/>
  <c r="J735" i="6" s="1"/>
  <c r="H734" i="6"/>
  <c r="J734" i="6" s="1"/>
  <c r="H733" i="6"/>
  <c r="J733" i="6" s="1"/>
  <c r="H732" i="6"/>
  <c r="J732" i="6" s="1"/>
  <c r="H731" i="6"/>
  <c r="J731" i="6" s="1"/>
  <c r="H730" i="6"/>
  <c r="J730" i="6" s="1"/>
  <c r="H729" i="6"/>
  <c r="J729" i="6" s="1"/>
  <c r="H728" i="6"/>
  <c r="J728" i="6" s="1"/>
  <c r="H727" i="6"/>
  <c r="J727" i="6" s="1"/>
  <c r="H726" i="6"/>
  <c r="J726" i="6" s="1"/>
  <c r="H725" i="6"/>
  <c r="J725" i="6" s="1"/>
  <c r="H724" i="6"/>
  <c r="J724" i="6" s="1"/>
  <c r="H723" i="6"/>
  <c r="J723" i="6" s="1"/>
  <c r="H722" i="6"/>
  <c r="J722" i="6" s="1"/>
  <c r="H721" i="6"/>
  <c r="J721" i="6" s="1"/>
  <c r="H720" i="6"/>
  <c r="J720" i="6" s="1"/>
  <c r="H719" i="6"/>
  <c r="J719" i="6" s="1"/>
  <c r="H718" i="6"/>
  <c r="J718" i="6" s="1"/>
  <c r="H717" i="6"/>
  <c r="J717" i="6" s="1"/>
  <c r="H716" i="6"/>
  <c r="J716" i="6" s="1"/>
  <c r="H715" i="6"/>
  <c r="J715" i="6" s="1"/>
  <c r="H714" i="6"/>
  <c r="J714" i="6" s="1"/>
  <c r="H713" i="6"/>
  <c r="J713" i="6" s="1"/>
  <c r="H712" i="6"/>
  <c r="J712" i="6" s="1"/>
  <c r="H711" i="6"/>
  <c r="J711" i="6" s="1"/>
  <c r="H710" i="6"/>
  <c r="J710" i="6" s="1"/>
  <c r="H709" i="6"/>
  <c r="J709" i="6" s="1"/>
  <c r="H708" i="6"/>
  <c r="J708" i="6" s="1"/>
  <c r="H707" i="6"/>
  <c r="J707" i="6" s="1"/>
  <c r="H706" i="6"/>
  <c r="J706" i="6" s="1"/>
  <c r="H705" i="6"/>
  <c r="J705" i="6" s="1"/>
  <c r="H704" i="6"/>
  <c r="J704" i="6" s="1"/>
  <c r="H703" i="6"/>
  <c r="J703" i="6" s="1"/>
  <c r="H702" i="6"/>
  <c r="J702" i="6" s="1"/>
  <c r="H701" i="6"/>
  <c r="J701" i="6" s="1"/>
  <c r="H700" i="6"/>
  <c r="J700" i="6" s="1"/>
  <c r="H699" i="6"/>
  <c r="J699" i="6" s="1"/>
  <c r="H698" i="6"/>
  <c r="J698" i="6" s="1"/>
  <c r="I697" i="6"/>
  <c r="H697" i="6"/>
  <c r="I696" i="6"/>
  <c r="H696" i="6"/>
  <c r="I695" i="6"/>
  <c r="H695" i="6"/>
  <c r="H694" i="6"/>
  <c r="J694" i="6" s="1"/>
  <c r="H693" i="6"/>
  <c r="J693" i="6" s="1"/>
  <c r="H692" i="6"/>
  <c r="J692" i="6" s="1"/>
  <c r="H691" i="6"/>
  <c r="J691" i="6" s="1"/>
  <c r="H690" i="6"/>
  <c r="J690" i="6" s="1"/>
  <c r="H689" i="6"/>
  <c r="J689" i="6" s="1"/>
  <c r="H688" i="6"/>
  <c r="J688" i="6" s="1"/>
  <c r="H687" i="6"/>
  <c r="J687" i="6" s="1"/>
  <c r="H686" i="6"/>
  <c r="J686" i="6" s="1"/>
  <c r="H685" i="6"/>
  <c r="J685" i="6" s="1"/>
  <c r="H684" i="6"/>
  <c r="J684" i="6" s="1"/>
  <c r="H683" i="6"/>
  <c r="J683" i="6" s="1"/>
  <c r="H682" i="6"/>
  <c r="J682" i="6" s="1"/>
  <c r="H681" i="6"/>
  <c r="J681" i="6" s="1"/>
  <c r="H680" i="6"/>
  <c r="J680" i="6" s="1"/>
  <c r="H679" i="6"/>
  <c r="J679" i="6" s="1"/>
  <c r="H678" i="6"/>
  <c r="J678" i="6" s="1"/>
  <c r="H677" i="6"/>
  <c r="J677" i="6" s="1"/>
  <c r="H676" i="6"/>
  <c r="J676" i="6" s="1"/>
  <c r="H675" i="6"/>
  <c r="J675" i="6" s="1"/>
  <c r="H674" i="6"/>
  <c r="J674" i="6" s="1"/>
  <c r="H673" i="6"/>
  <c r="J673" i="6" s="1"/>
  <c r="H672" i="6"/>
  <c r="J672" i="6" s="1"/>
  <c r="H671" i="6"/>
  <c r="J671" i="6" s="1"/>
  <c r="H670" i="6"/>
  <c r="J670" i="6" s="1"/>
  <c r="H669" i="6"/>
  <c r="J669" i="6" s="1"/>
  <c r="H668" i="6"/>
  <c r="J668" i="6" s="1"/>
  <c r="H667" i="6"/>
  <c r="J667" i="6" s="1"/>
  <c r="H666" i="6"/>
  <c r="J666" i="6" s="1"/>
  <c r="H665" i="6"/>
  <c r="J665" i="6" s="1"/>
  <c r="H664" i="6"/>
  <c r="J664" i="6" s="1"/>
  <c r="H663" i="6"/>
  <c r="J663" i="6" s="1"/>
  <c r="H662" i="6"/>
  <c r="J662" i="6" s="1"/>
  <c r="H661" i="6"/>
  <c r="J661" i="6" s="1"/>
  <c r="H660" i="6"/>
  <c r="J660" i="6" s="1"/>
  <c r="H659" i="6"/>
  <c r="J659" i="6" s="1"/>
  <c r="H658" i="6"/>
  <c r="J658" i="6" s="1"/>
  <c r="H657" i="6"/>
  <c r="J657" i="6" s="1"/>
  <c r="H656" i="6"/>
  <c r="J656" i="6" s="1"/>
  <c r="H655" i="6"/>
  <c r="J655" i="6" s="1"/>
  <c r="H654" i="6"/>
  <c r="J654" i="6" s="1"/>
  <c r="H653" i="6"/>
  <c r="J653" i="6" s="1"/>
  <c r="H652" i="6"/>
  <c r="J652" i="6" s="1"/>
  <c r="H651" i="6"/>
  <c r="J651" i="6" s="1"/>
  <c r="H650" i="6"/>
  <c r="J650" i="6" s="1"/>
  <c r="H649" i="6"/>
  <c r="J649" i="6" s="1"/>
  <c r="H648" i="6"/>
  <c r="J648" i="6" s="1"/>
  <c r="H647" i="6"/>
  <c r="J647" i="6" s="1"/>
  <c r="H646" i="6"/>
  <c r="J646" i="6" s="1"/>
  <c r="H645" i="6"/>
  <c r="J645" i="6" s="1"/>
  <c r="I644" i="6"/>
  <c r="H644" i="6"/>
  <c r="H643" i="6"/>
  <c r="J643" i="6" s="1"/>
  <c r="H642" i="6"/>
  <c r="J642" i="6" s="1"/>
  <c r="H640" i="6"/>
  <c r="J640" i="6" s="1"/>
  <c r="H639" i="6"/>
  <c r="J639" i="6" s="1"/>
  <c r="H638" i="6"/>
  <c r="J638" i="6" s="1"/>
  <c r="H637" i="6"/>
  <c r="J637" i="6" s="1"/>
  <c r="H636" i="6"/>
  <c r="J636" i="6" s="1"/>
  <c r="H635" i="6"/>
  <c r="J635" i="6" s="1"/>
  <c r="H634" i="6"/>
  <c r="J634" i="6" s="1"/>
  <c r="H633" i="6"/>
  <c r="J633" i="6" s="1"/>
  <c r="H632" i="6"/>
  <c r="J632" i="6" s="1"/>
  <c r="H631" i="6"/>
  <c r="J631" i="6" s="1"/>
  <c r="H630" i="6"/>
  <c r="J630" i="6" s="1"/>
  <c r="H629" i="6"/>
  <c r="J629" i="6" s="1"/>
  <c r="H628" i="6"/>
  <c r="J628" i="6" s="1"/>
  <c r="H627" i="6"/>
  <c r="J627" i="6" s="1"/>
  <c r="H626" i="6"/>
  <c r="J626" i="6" s="1"/>
  <c r="H625" i="6"/>
  <c r="J625" i="6" s="1"/>
  <c r="H624" i="6"/>
  <c r="J624" i="6" s="1"/>
  <c r="H623" i="6"/>
  <c r="J623" i="6" s="1"/>
  <c r="H622" i="6"/>
  <c r="J622" i="6" s="1"/>
  <c r="H621" i="6"/>
  <c r="J621" i="6" s="1"/>
  <c r="H620" i="6"/>
  <c r="J620" i="6" s="1"/>
  <c r="H619" i="6"/>
  <c r="J619" i="6" s="1"/>
  <c r="H618" i="6"/>
  <c r="J618" i="6" s="1"/>
  <c r="H617" i="6"/>
  <c r="J617" i="6" s="1"/>
  <c r="H615" i="6"/>
  <c r="J615" i="6" s="1"/>
  <c r="H614" i="6"/>
  <c r="H613" i="6"/>
  <c r="J613" i="6" s="1"/>
  <c r="H612" i="6"/>
  <c r="J612" i="6" s="1"/>
  <c r="H611" i="6"/>
  <c r="J611" i="6" s="1"/>
  <c r="H609" i="6"/>
  <c r="J609" i="6" s="1"/>
  <c r="H608" i="6"/>
  <c r="J608" i="6" s="1"/>
  <c r="H607" i="6"/>
  <c r="J607" i="6" s="1"/>
  <c r="H606" i="6"/>
  <c r="J606" i="6" s="1"/>
  <c r="H605" i="6"/>
  <c r="J605" i="6" s="1"/>
  <c r="H604" i="6"/>
  <c r="J604" i="6" s="1"/>
  <c r="H603" i="6"/>
  <c r="J603" i="6" s="1"/>
  <c r="H602" i="6"/>
  <c r="J602" i="6" s="1"/>
  <c r="G601" i="6"/>
  <c r="H601" i="6" s="1"/>
  <c r="J601" i="6" s="1"/>
  <c r="H600" i="6"/>
  <c r="J600" i="6" s="1"/>
  <c r="G599" i="6"/>
  <c r="H599" i="6" s="1"/>
  <c r="J599" i="6" s="1"/>
  <c r="H598" i="6"/>
  <c r="J598" i="6" s="1"/>
  <c r="H597" i="6"/>
  <c r="J597" i="6" s="1"/>
  <c r="H596" i="6"/>
  <c r="J596" i="6" s="1"/>
  <c r="H595" i="6"/>
  <c r="J595" i="6" s="1"/>
  <c r="H594" i="6"/>
  <c r="J594" i="6" s="1"/>
  <c r="H593" i="6"/>
  <c r="J593" i="6" s="1"/>
  <c r="H592" i="6"/>
  <c r="J592" i="6" s="1"/>
  <c r="H591" i="6"/>
  <c r="J591" i="6" s="1"/>
  <c r="H590" i="6"/>
  <c r="J590" i="6" s="1"/>
  <c r="H588" i="6"/>
  <c r="J588" i="6" s="1"/>
  <c r="H587" i="6"/>
  <c r="J587" i="6" s="1"/>
  <c r="H586" i="6"/>
  <c r="J586" i="6" s="1"/>
  <c r="H585" i="6"/>
  <c r="J585" i="6" s="1"/>
  <c r="H583" i="6"/>
  <c r="J583" i="6" s="1"/>
  <c r="I582" i="6"/>
  <c r="H582" i="6"/>
  <c r="H581" i="6"/>
  <c r="J581" i="6" s="1"/>
  <c r="I580" i="6"/>
  <c r="H580" i="6"/>
  <c r="H579" i="6"/>
  <c r="J579" i="6" s="1"/>
  <c r="H578" i="6"/>
  <c r="J578" i="6" s="1"/>
  <c r="H577" i="6"/>
  <c r="J577" i="6" s="1"/>
  <c r="H576" i="6"/>
  <c r="J576" i="6" s="1"/>
  <c r="H575" i="6"/>
  <c r="J575" i="6" s="1"/>
  <c r="H573" i="6"/>
  <c r="J573" i="6" s="1"/>
  <c r="K574" i="6" s="1"/>
  <c r="H571" i="6"/>
  <c r="J571" i="6" s="1"/>
  <c r="H570" i="6"/>
  <c r="J570" i="6" s="1"/>
  <c r="H569" i="6"/>
  <c r="J569" i="6" s="1"/>
  <c r="H568" i="6"/>
  <c r="J568" i="6" s="1"/>
  <c r="I567" i="6"/>
  <c r="H567" i="6"/>
  <c r="H566" i="6"/>
  <c r="J566" i="6" s="1"/>
  <c r="H565" i="6"/>
  <c r="J565" i="6" s="1"/>
  <c r="H564" i="6"/>
  <c r="J564" i="6" s="1"/>
  <c r="H563" i="6"/>
  <c r="J563" i="6" s="1"/>
  <c r="I562" i="6"/>
  <c r="H562" i="6"/>
  <c r="I560" i="6"/>
  <c r="H560" i="6"/>
  <c r="I559" i="6"/>
  <c r="H559" i="6"/>
  <c r="H558" i="6"/>
  <c r="J558" i="6" s="1"/>
  <c r="H557" i="6"/>
  <c r="J557" i="6" s="1"/>
  <c r="H556" i="6"/>
  <c r="J556" i="6" s="1"/>
  <c r="I555" i="6"/>
  <c r="H555" i="6"/>
  <c r="H554" i="6"/>
  <c r="J554" i="6" s="1"/>
  <c r="H553" i="6"/>
  <c r="J553" i="6" s="1"/>
  <c r="H552" i="6"/>
  <c r="J552" i="6" s="1"/>
  <c r="H551" i="6"/>
  <c r="J551" i="6" s="1"/>
  <c r="H550" i="6"/>
  <c r="J550" i="6" s="1"/>
  <c r="H549" i="6"/>
  <c r="J549" i="6" s="1"/>
  <c r="H548" i="6"/>
  <c r="J548" i="6" s="1"/>
  <c r="H547" i="6"/>
  <c r="J547" i="6" s="1"/>
  <c r="H546" i="6"/>
  <c r="J546" i="6" s="1"/>
  <c r="I545" i="6"/>
  <c r="H545" i="6"/>
  <c r="H544" i="6"/>
  <c r="J544" i="6" s="1"/>
  <c r="H543" i="6"/>
  <c r="J543" i="6" s="1"/>
  <c r="H542" i="6"/>
  <c r="J542" i="6" s="1"/>
  <c r="H541" i="6"/>
  <c r="J541" i="6" s="1"/>
  <c r="H540" i="6"/>
  <c r="J540" i="6" s="1"/>
  <c r="I538" i="6"/>
  <c r="H538" i="6"/>
  <c r="H537" i="6"/>
  <c r="J537" i="6" s="1"/>
  <c r="H536" i="6"/>
  <c r="J536" i="6" s="1"/>
  <c r="H534" i="6"/>
  <c r="J534" i="6" s="1"/>
  <c r="H533" i="6"/>
  <c r="J533" i="6" s="1"/>
  <c r="I532" i="6"/>
  <c r="H532" i="6"/>
  <c r="H531" i="6"/>
  <c r="J531" i="6" s="1"/>
  <c r="H530" i="6"/>
  <c r="J530" i="6" s="1"/>
  <c r="H529" i="6"/>
  <c r="J529" i="6" s="1"/>
  <c r="H527" i="6"/>
  <c r="J527" i="6" s="1"/>
  <c r="H526" i="6"/>
  <c r="J526" i="6" s="1"/>
  <c r="H525" i="6"/>
  <c r="J525" i="6" s="1"/>
  <c r="H524" i="6"/>
  <c r="J524" i="6" s="1"/>
  <c r="H523" i="6"/>
  <c r="J523" i="6" s="1"/>
  <c r="H522" i="6"/>
  <c r="J522" i="6" s="1"/>
  <c r="H521" i="6"/>
  <c r="J521" i="6" s="1"/>
  <c r="H520" i="6"/>
  <c r="J520" i="6" s="1"/>
  <c r="H519" i="6"/>
  <c r="J519" i="6" s="1"/>
  <c r="H518" i="6"/>
  <c r="J518" i="6" s="1"/>
  <c r="H516" i="6"/>
  <c r="J516" i="6" s="1"/>
  <c r="H515" i="6"/>
  <c r="J515" i="6" s="1"/>
  <c r="H514" i="6"/>
  <c r="J514" i="6" s="1"/>
  <c r="H513" i="6"/>
  <c r="J513" i="6" s="1"/>
  <c r="H512" i="6"/>
  <c r="J512" i="6" s="1"/>
  <c r="I511" i="6"/>
  <c r="H511" i="6"/>
  <c r="H510" i="6"/>
  <c r="J510" i="6" s="1"/>
  <c r="H509" i="6"/>
  <c r="J509" i="6" s="1"/>
  <c r="H508" i="6"/>
  <c r="J508" i="6" s="1"/>
  <c r="H507" i="6"/>
  <c r="J507" i="6" s="1"/>
  <c r="H506" i="6"/>
  <c r="J506" i="6" s="1"/>
  <c r="H505" i="6"/>
  <c r="J505" i="6" s="1"/>
  <c r="H504" i="6"/>
  <c r="J504" i="6" s="1"/>
  <c r="H503" i="6"/>
  <c r="J503" i="6" s="1"/>
  <c r="H502" i="6"/>
  <c r="J502" i="6" s="1"/>
  <c r="H501" i="6"/>
  <c r="J501" i="6" s="1"/>
  <c r="H500" i="6"/>
  <c r="J500" i="6" s="1"/>
  <c r="H499" i="6"/>
  <c r="J499" i="6" s="1"/>
  <c r="H498" i="6"/>
  <c r="J498" i="6" s="1"/>
  <c r="H497" i="6"/>
  <c r="J497" i="6" s="1"/>
  <c r="H496" i="6"/>
  <c r="J496" i="6" s="1"/>
  <c r="H495" i="6"/>
  <c r="J495" i="6" s="1"/>
  <c r="H494" i="6"/>
  <c r="J494" i="6" s="1"/>
  <c r="H492" i="6"/>
  <c r="J492" i="6" s="1"/>
  <c r="H491" i="6"/>
  <c r="J491" i="6" s="1"/>
  <c r="H490" i="6"/>
  <c r="J490" i="6" s="1"/>
  <c r="H489" i="6"/>
  <c r="J489" i="6" s="1"/>
  <c r="H488" i="6"/>
  <c r="J488" i="6" s="1"/>
  <c r="H487" i="6"/>
  <c r="J487" i="6" s="1"/>
  <c r="H486" i="6"/>
  <c r="J486" i="6" s="1"/>
  <c r="H485" i="6"/>
  <c r="J485" i="6" s="1"/>
  <c r="H484" i="6"/>
  <c r="J484" i="6" s="1"/>
  <c r="H483" i="6"/>
  <c r="J483" i="6" s="1"/>
  <c r="H482" i="6"/>
  <c r="J482" i="6" s="1"/>
  <c r="H481" i="6"/>
  <c r="J481" i="6" s="1"/>
  <c r="H480" i="6"/>
  <c r="J480" i="6" s="1"/>
  <c r="H479" i="6"/>
  <c r="J479" i="6" s="1"/>
  <c r="H478" i="6"/>
  <c r="J478" i="6" s="1"/>
  <c r="H477" i="6"/>
  <c r="J477" i="6" s="1"/>
  <c r="H476" i="6"/>
  <c r="J476" i="6" s="1"/>
  <c r="H475" i="6"/>
  <c r="J475" i="6" s="1"/>
  <c r="H474" i="6"/>
  <c r="J474" i="6" s="1"/>
  <c r="H473" i="6"/>
  <c r="J473" i="6" s="1"/>
  <c r="H472" i="6"/>
  <c r="J472" i="6" s="1"/>
  <c r="H470" i="6"/>
  <c r="J470" i="6" s="1"/>
  <c r="H469" i="6"/>
  <c r="J469" i="6" s="1"/>
  <c r="H468" i="6"/>
  <c r="J468" i="6" s="1"/>
  <c r="H467" i="6"/>
  <c r="J467" i="6" s="1"/>
  <c r="H466" i="6"/>
  <c r="J466" i="6" s="1"/>
  <c r="H465" i="6"/>
  <c r="J465" i="6" s="1"/>
  <c r="H464" i="6"/>
  <c r="J464" i="6" s="1"/>
  <c r="H463" i="6"/>
  <c r="J463" i="6" s="1"/>
  <c r="H462" i="6"/>
  <c r="J462" i="6" s="1"/>
  <c r="H461" i="6"/>
  <c r="J461" i="6" s="1"/>
  <c r="H460" i="6"/>
  <c r="J460" i="6" s="1"/>
  <c r="H459" i="6"/>
  <c r="J459" i="6" s="1"/>
  <c r="H458" i="6"/>
  <c r="J458" i="6" s="1"/>
  <c r="H457" i="6"/>
  <c r="J457" i="6" s="1"/>
  <c r="H456" i="6"/>
  <c r="J456" i="6" s="1"/>
  <c r="H455" i="6"/>
  <c r="J455" i="6" s="1"/>
  <c r="H454" i="6"/>
  <c r="J454" i="6" s="1"/>
  <c r="H453" i="6"/>
  <c r="J453" i="6" s="1"/>
  <c r="H452" i="6"/>
  <c r="J452" i="6" s="1"/>
  <c r="H451" i="6"/>
  <c r="J451" i="6" s="1"/>
  <c r="H450" i="6"/>
  <c r="J450" i="6" s="1"/>
  <c r="H449" i="6"/>
  <c r="J449" i="6" s="1"/>
  <c r="H448" i="6"/>
  <c r="J448" i="6" s="1"/>
  <c r="H447" i="6"/>
  <c r="J447" i="6" s="1"/>
  <c r="H446" i="6"/>
  <c r="J446" i="6" s="1"/>
  <c r="H445" i="6"/>
  <c r="J445" i="6" s="1"/>
  <c r="H444" i="6"/>
  <c r="J444" i="6" s="1"/>
  <c r="H443" i="6"/>
  <c r="J443" i="6" s="1"/>
  <c r="H442" i="6"/>
  <c r="J442" i="6" s="1"/>
  <c r="H441" i="6"/>
  <c r="J441" i="6" s="1"/>
  <c r="H440" i="6"/>
  <c r="J440" i="6" s="1"/>
  <c r="H439" i="6"/>
  <c r="J439" i="6" s="1"/>
  <c r="H438" i="6"/>
  <c r="J438" i="6" s="1"/>
  <c r="H437" i="6"/>
  <c r="J437" i="6" s="1"/>
  <c r="H436" i="6"/>
  <c r="J436" i="6" s="1"/>
  <c r="H435" i="6"/>
  <c r="J435" i="6" s="1"/>
  <c r="H434" i="6"/>
  <c r="J434" i="6" s="1"/>
  <c r="H433" i="6"/>
  <c r="J433" i="6" s="1"/>
  <c r="H432" i="6"/>
  <c r="J432" i="6" s="1"/>
  <c r="H431" i="6"/>
  <c r="J431" i="6" s="1"/>
  <c r="H430" i="6"/>
  <c r="J430" i="6" s="1"/>
  <c r="H429" i="6"/>
  <c r="J429" i="6" s="1"/>
  <c r="H428" i="6"/>
  <c r="J428" i="6" s="1"/>
  <c r="H427" i="6"/>
  <c r="J427" i="6" s="1"/>
  <c r="H426" i="6"/>
  <c r="J426" i="6" s="1"/>
  <c r="H425" i="6"/>
  <c r="J425" i="6" s="1"/>
  <c r="H424" i="6"/>
  <c r="J424" i="6" s="1"/>
  <c r="H423" i="6"/>
  <c r="J423" i="6" s="1"/>
  <c r="H422" i="6"/>
  <c r="J422" i="6" s="1"/>
  <c r="H421" i="6"/>
  <c r="J421" i="6" s="1"/>
  <c r="H420" i="6"/>
  <c r="J420" i="6" s="1"/>
  <c r="H419" i="6"/>
  <c r="J419" i="6" s="1"/>
  <c r="H418" i="6"/>
  <c r="J418" i="6" s="1"/>
  <c r="H417" i="6"/>
  <c r="J417" i="6" s="1"/>
  <c r="H416" i="6"/>
  <c r="J416" i="6" s="1"/>
  <c r="H415" i="6"/>
  <c r="J415" i="6" s="1"/>
  <c r="H414" i="6"/>
  <c r="J414" i="6" s="1"/>
  <c r="H413" i="6"/>
  <c r="J413" i="6" s="1"/>
  <c r="H412" i="6"/>
  <c r="J412" i="6" s="1"/>
  <c r="H411" i="6"/>
  <c r="J411" i="6" s="1"/>
  <c r="H410" i="6"/>
  <c r="J410" i="6" s="1"/>
  <c r="H409" i="6"/>
  <c r="J409" i="6" s="1"/>
  <c r="H408" i="6"/>
  <c r="H407" i="6"/>
  <c r="J407" i="6" s="1"/>
  <c r="H406" i="6"/>
  <c r="J406" i="6" s="1"/>
  <c r="H405" i="6"/>
  <c r="J405" i="6" s="1"/>
  <c r="H404" i="6"/>
  <c r="J404" i="6" s="1"/>
  <c r="H403" i="6"/>
  <c r="J403" i="6" s="1"/>
  <c r="H402" i="6"/>
  <c r="J402" i="6" s="1"/>
  <c r="H401" i="6"/>
  <c r="J401" i="6" s="1"/>
  <c r="H400" i="6"/>
  <c r="J400" i="6" s="1"/>
  <c r="H399" i="6"/>
  <c r="J399" i="6" s="1"/>
  <c r="H398" i="6"/>
  <c r="J398" i="6" s="1"/>
  <c r="H397" i="6"/>
  <c r="J397" i="6" s="1"/>
  <c r="H396" i="6"/>
  <c r="J396" i="6" s="1"/>
  <c r="H395" i="6"/>
  <c r="J395" i="6" s="1"/>
  <c r="H394" i="6"/>
  <c r="J394" i="6" s="1"/>
  <c r="H393" i="6"/>
  <c r="J393" i="6" s="1"/>
  <c r="H392" i="6"/>
  <c r="J392" i="6" s="1"/>
  <c r="H391" i="6"/>
  <c r="J391" i="6" s="1"/>
  <c r="H390" i="6"/>
  <c r="J390" i="6" s="1"/>
  <c r="H389" i="6"/>
  <c r="J389" i="6" s="1"/>
  <c r="H388" i="6"/>
  <c r="J388" i="6" s="1"/>
  <c r="H387" i="6"/>
  <c r="J387" i="6" s="1"/>
  <c r="H386" i="6"/>
  <c r="J386" i="6" s="1"/>
  <c r="H385" i="6"/>
  <c r="J385" i="6" s="1"/>
  <c r="H384" i="6"/>
  <c r="J384" i="6" s="1"/>
  <c r="H383" i="6"/>
  <c r="J383" i="6" s="1"/>
  <c r="H381" i="6"/>
  <c r="J381" i="6" s="1"/>
  <c r="K382" i="6" s="1"/>
  <c r="H379" i="6"/>
  <c r="J379" i="6" s="1"/>
  <c r="K380" i="6" s="1"/>
  <c r="H377" i="6"/>
  <c r="J377" i="6" s="1"/>
  <c r="H376" i="6"/>
  <c r="J376" i="6" s="1"/>
  <c r="H375" i="6"/>
  <c r="J375" i="6" s="1"/>
  <c r="H374" i="6"/>
  <c r="J374" i="6" s="1"/>
  <c r="H373" i="6"/>
  <c r="J373" i="6" s="1"/>
  <c r="H372" i="6"/>
  <c r="J372" i="6" s="1"/>
  <c r="H371" i="6"/>
  <c r="J371" i="6" s="1"/>
  <c r="H370" i="6"/>
  <c r="J370" i="6" s="1"/>
  <c r="H369" i="6"/>
  <c r="J369" i="6" s="1"/>
  <c r="H368" i="6"/>
  <c r="J368" i="6" s="1"/>
  <c r="H367" i="6"/>
  <c r="J367" i="6" s="1"/>
  <c r="H366" i="6"/>
  <c r="J366" i="6" s="1"/>
  <c r="I365" i="6"/>
  <c r="H365" i="6"/>
  <c r="H364" i="6"/>
  <c r="J364" i="6" s="1"/>
  <c r="H363" i="6"/>
  <c r="J363" i="6" s="1"/>
  <c r="H362" i="6"/>
  <c r="J362" i="6" s="1"/>
  <c r="H361" i="6"/>
  <c r="J361" i="6" s="1"/>
  <c r="H360" i="6"/>
  <c r="J360" i="6" s="1"/>
  <c r="H359" i="6"/>
  <c r="J359" i="6" s="1"/>
  <c r="H358" i="6"/>
  <c r="J358" i="6" s="1"/>
  <c r="H357" i="6"/>
  <c r="J357" i="6" s="1"/>
  <c r="H356" i="6"/>
  <c r="J356" i="6" s="1"/>
  <c r="H355" i="6"/>
  <c r="J355" i="6" s="1"/>
  <c r="H354" i="6"/>
  <c r="J354" i="6" s="1"/>
  <c r="H353" i="6"/>
  <c r="J353" i="6" s="1"/>
  <c r="H352" i="6"/>
  <c r="J352" i="6" s="1"/>
  <c r="H351" i="6"/>
  <c r="J351" i="6" s="1"/>
  <c r="H350" i="6"/>
  <c r="J350" i="6" s="1"/>
  <c r="H349" i="6"/>
  <c r="J349" i="6" s="1"/>
  <c r="I348" i="6"/>
  <c r="H348" i="6"/>
  <c r="I347" i="6"/>
  <c r="H347" i="6"/>
  <c r="H346" i="6"/>
  <c r="J346" i="6" s="1"/>
  <c r="H345" i="6"/>
  <c r="J345" i="6" s="1"/>
  <c r="H344" i="6"/>
  <c r="J344" i="6" s="1"/>
  <c r="H343" i="6"/>
  <c r="J343" i="6" s="1"/>
  <c r="H342" i="6"/>
  <c r="J342" i="6" s="1"/>
  <c r="H341" i="6"/>
  <c r="J341" i="6" s="1"/>
  <c r="H340" i="6"/>
  <c r="J340" i="6" s="1"/>
  <c r="I339" i="6"/>
  <c r="H339" i="6"/>
  <c r="I338" i="6"/>
  <c r="H338" i="6"/>
  <c r="J338" i="6" s="1"/>
  <c r="I337" i="6"/>
  <c r="H337" i="6"/>
  <c r="I336" i="6"/>
  <c r="H336" i="6"/>
  <c r="I335" i="6"/>
  <c r="H335" i="6"/>
  <c r="I334" i="6"/>
  <c r="H334" i="6"/>
  <c r="J334" i="6" s="1"/>
  <c r="I333" i="6"/>
  <c r="H333" i="6"/>
  <c r="I332" i="6"/>
  <c r="H332" i="6"/>
  <c r="J332" i="6" s="1"/>
  <c r="I331" i="6"/>
  <c r="H331" i="6"/>
  <c r="I330" i="6"/>
  <c r="H330" i="6"/>
  <c r="J330" i="6" s="1"/>
  <c r="H329" i="6"/>
  <c r="J329" i="6" s="1"/>
  <c r="H328" i="6"/>
  <c r="J328" i="6" s="1"/>
  <c r="H327" i="6"/>
  <c r="J327" i="6" s="1"/>
  <c r="H326" i="6"/>
  <c r="J326" i="6" s="1"/>
  <c r="H325" i="6"/>
  <c r="J325" i="6" s="1"/>
  <c r="H324" i="6"/>
  <c r="J324" i="6" s="1"/>
  <c r="H323" i="6"/>
  <c r="J323" i="6" s="1"/>
  <c r="H322" i="6"/>
  <c r="J322" i="6" s="1"/>
  <c r="H321" i="6"/>
  <c r="J321" i="6" s="1"/>
  <c r="I320" i="6"/>
  <c r="H320" i="6"/>
  <c r="I319" i="6"/>
  <c r="H319" i="6"/>
  <c r="I318" i="6"/>
  <c r="H318" i="6"/>
  <c r="H317" i="6"/>
  <c r="J317" i="6" s="1"/>
  <c r="H316" i="6"/>
  <c r="J316" i="6" s="1"/>
  <c r="H315" i="6"/>
  <c r="J315" i="6" s="1"/>
  <c r="H314" i="6"/>
  <c r="J314" i="6" s="1"/>
  <c r="H313" i="6"/>
  <c r="J313" i="6" s="1"/>
  <c r="H312" i="6"/>
  <c r="J312" i="6" s="1"/>
  <c r="H311" i="6"/>
  <c r="J311" i="6" s="1"/>
  <c r="H310" i="6"/>
  <c r="J310" i="6" s="1"/>
  <c r="H309" i="6"/>
  <c r="J309" i="6" s="1"/>
  <c r="H308" i="6"/>
  <c r="J308" i="6" s="1"/>
  <c r="H307" i="6"/>
  <c r="J307" i="6" s="1"/>
  <c r="H306" i="6"/>
  <c r="J306" i="6" s="1"/>
  <c r="H305" i="6"/>
  <c r="J305" i="6" s="1"/>
  <c r="H304" i="6"/>
  <c r="J304" i="6" s="1"/>
  <c r="H303" i="6"/>
  <c r="J303" i="6" s="1"/>
  <c r="H302" i="6"/>
  <c r="J302" i="6" s="1"/>
  <c r="H301" i="6"/>
  <c r="J301" i="6" s="1"/>
  <c r="H300" i="6"/>
  <c r="J300" i="6" s="1"/>
  <c r="H299" i="6"/>
  <c r="J299" i="6" s="1"/>
  <c r="H298" i="6"/>
  <c r="J298" i="6" s="1"/>
  <c r="H297" i="6"/>
  <c r="J297" i="6" s="1"/>
  <c r="H296" i="6"/>
  <c r="J296" i="6" s="1"/>
  <c r="H295" i="6"/>
  <c r="J295" i="6" s="1"/>
  <c r="H294" i="6"/>
  <c r="J294" i="6" s="1"/>
  <c r="H293" i="6"/>
  <c r="J293" i="6" s="1"/>
  <c r="H292" i="6"/>
  <c r="J292" i="6" s="1"/>
  <c r="H291" i="6"/>
  <c r="J291" i="6" s="1"/>
  <c r="H290" i="6"/>
  <c r="J290" i="6" s="1"/>
  <c r="H289" i="6"/>
  <c r="J289" i="6" s="1"/>
  <c r="H288" i="6"/>
  <c r="J288" i="6" s="1"/>
  <c r="H287" i="6"/>
  <c r="J287" i="6" s="1"/>
  <c r="H286" i="6"/>
  <c r="J286" i="6" s="1"/>
  <c r="H285" i="6"/>
  <c r="J285" i="6" s="1"/>
  <c r="H284" i="6"/>
  <c r="J284" i="6" s="1"/>
  <c r="H283" i="6"/>
  <c r="J283" i="6" s="1"/>
  <c r="H282" i="6"/>
  <c r="J282" i="6" s="1"/>
  <c r="H281" i="6"/>
  <c r="J281" i="6" s="1"/>
  <c r="H280" i="6"/>
  <c r="J280" i="6" s="1"/>
  <c r="H279" i="6"/>
  <c r="J279" i="6" s="1"/>
  <c r="H278" i="6"/>
  <c r="J278" i="6" s="1"/>
  <c r="H277" i="6"/>
  <c r="J277" i="6" s="1"/>
  <c r="H276" i="6"/>
  <c r="J276" i="6" s="1"/>
  <c r="H275" i="6"/>
  <c r="J275" i="6" s="1"/>
  <c r="H274" i="6"/>
  <c r="J274" i="6" s="1"/>
  <c r="H273" i="6"/>
  <c r="J273" i="6" s="1"/>
  <c r="H272" i="6"/>
  <c r="J272" i="6" s="1"/>
  <c r="H271" i="6"/>
  <c r="J271" i="6" s="1"/>
  <c r="H270" i="6"/>
  <c r="J270" i="6" s="1"/>
  <c r="G269" i="6"/>
  <c r="E269" i="6"/>
  <c r="G268" i="6"/>
  <c r="E268" i="6"/>
  <c r="H267" i="6"/>
  <c r="J267" i="6" s="1"/>
  <c r="H266" i="6"/>
  <c r="J266" i="6" s="1"/>
  <c r="H265" i="6"/>
  <c r="J265" i="6" s="1"/>
  <c r="H264" i="6"/>
  <c r="J264" i="6" s="1"/>
  <c r="H263" i="6"/>
  <c r="J263" i="6" s="1"/>
  <c r="H262" i="6"/>
  <c r="J262" i="6" s="1"/>
  <c r="H261" i="6"/>
  <c r="J261" i="6" s="1"/>
  <c r="H260" i="6"/>
  <c r="J260" i="6" s="1"/>
  <c r="H259" i="6"/>
  <c r="J259" i="6" s="1"/>
  <c r="H258" i="6"/>
  <c r="J258" i="6" s="1"/>
  <c r="H257" i="6"/>
  <c r="J257" i="6" s="1"/>
  <c r="H256" i="6"/>
  <c r="J256" i="6" s="1"/>
  <c r="H255" i="6"/>
  <c r="J255" i="6" s="1"/>
  <c r="H254" i="6"/>
  <c r="J254" i="6" s="1"/>
  <c r="H253" i="6"/>
  <c r="J253" i="6" s="1"/>
  <c r="H252" i="6"/>
  <c r="J252" i="6" s="1"/>
  <c r="H251" i="6"/>
  <c r="J251" i="6" s="1"/>
  <c r="H250" i="6"/>
  <c r="J250" i="6" s="1"/>
  <c r="H249" i="6"/>
  <c r="J249" i="6" s="1"/>
  <c r="H248" i="6"/>
  <c r="J248" i="6" s="1"/>
  <c r="H247" i="6"/>
  <c r="J247" i="6" s="1"/>
  <c r="H246" i="6"/>
  <c r="J246" i="6" s="1"/>
  <c r="H245" i="6"/>
  <c r="J245" i="6" s="1"/>
  <c r="H244" i="6"/>
  <c r="J244" i="6" s="1"/>
  <c r="H243" i="6"/>
  <c r="J243" i="6" s="1"/>
  <c r="H242" i="6"/>
  <c r="J242" i="6" s="1"/>
  <c r="H241" i="6"/>
  <c r="J241" i="6" s="1"/>
  <c r="H240" i="6"/>
  <c r="J240" i="6" s="1"/>
  <c r="H239" i="6"/>
  <c r="J239" i="6" s="1"/>
  <c r="H238" i="6"/>
  <c r="J238" i="6" s="1"/>
  <c r="H237" i="6"/>
  <c r="J237" i="6" s="1"/>
  <c r="H236" i="6"/>
  <c r="J236" i="6" s="1"/>
  <c r="H235" i="6"/>
  <c r="J235" i="6" s="1"/>
  <c r="H234" i="6"/>
  <c r="J234" i="6" s="1"/>
  <c r="H233" i="6"/>
  <c r="J233" i="6" s="1"/>
  <c r="H232" i="6"/>
  <c r="J232" i="6" s="1"/>
  <c r="H231" i="6"/>
  <c r="J231" i="6" s="1"/>
  <c r="H230" i="6"/>
  <c r="J230" i="6" s="1"/>
  <c r="H229" i="6"/>
  <c r="J229" i="6" s="1"/>
  <c r="H228" i="6"/>
  <c r="J228" i="6" s="1"/>
  <c r="H227" i="6"/>
  <c r="J227" i="6" s="1"/>
  <c r="H226" i="6"/>
  <c r="J226" i="6" s="1"/>
  <c r="H225" i="6"/>
  <c r="J225" i="6" s="1"/>
  <c r="H224" i="6"/>
  <c r="J224" i="6" s="1"/>
  <c r="H223" i="6"/>
  <c r="J223" i="6" s="1"/>
  <c r="H222" i="6"/>
  <c r="J222" i="6" s="1"/>
  <c r="H221" i="6"/>
  <c r="J221" i="6" s="1"/>
  <c r="H220" i="6"/>
  <c r="J220" i="6" s="1"/>
  <c r="H219" i="6"/>
  <c r="J219" i="6" s="1"/>
  <c r="H218" i="6"/>
  <c r="J218" i="6" s="1"/>
  <c r="H217" i="6"/>
  <c r="J217" i="6" s="1"/>
  <c r="H216" i="6"/>
  <c r="J216" i="6" s="1"/>
  <c r="H215" i="6"/>
  <c r="J215" i="6" s="1"/>
  <c r="H214" i="6"/>
  <c r="J214" i="6" s="1"/>
  <c r="H213" i="6"/>
  <c r="J213" i="6" s="1"/>
  <c r="H212" i="6"/>
  <c r="J212" i="6" s="1"/>
  <c r="H211" i="6"/>
  <c r="J211" i="6" s="1"/>
  <c r="H210" i="6"/>
  <c r="J210" i="6" s="1"/>
  <c r="H209" i="6"/>
  <c r="J209" i="6" s="1"/>
  <c r="H208" i="6"/>
  <c r="J208" i="6" s="1"/>
  <c r="H207" i="6"/>
  <c r="J207" i="6" s="1"/>
  <c r="H206" i="6"/>
  <c r="J206" i="6" s="1"/>
  <c r="H205" i="6"/>
  <c r="J205" i="6" s="1"/>
  <c r="H204" i="6"/>
  <c r="J204" i="6" s="1"/>
  <c r="H203" i="6"/>
  <c r="J203" i="6" s="1"/>
  <c r="H202" i="6"/>
  <c r="J202" i="6" s="1"/>
  <c r="H201" i="6"/>
  <c r="J201" i="6" s="1"/>
  <c r="H200" i="6"/>
  <c r="J200" i="6" s="1"/>
  <c r="H199" i="6"/>
  <c r="J199" i="6" s="1"/>
  <c r="H198" i="6"/>
  <c r="J198" i="6" s="1"/>
  <c r="H197" i="6"/>
  <c r="J197" i="6" s="1"/>
  <c r="H196" i="6"/>
  <c r="J196" i="6" s="1"/>
  <c r="H195" i="6"/>
  <c r="J195" i="6" s="1"/>
  <c r="H194" i="6"/>
  <c r="J194" i="6" s="1"/>
  <c r="H193" i="6"/>
  <c r="J193" i="6" s="1"/>
  <c r="H192" i="6"/>
  <c r="J192" i="6" s="1"/>
  <c r="H191" i="6"/>
  <c r="J191" i="6" s="1"/>
  <c r="H190" i="6"/>
  <c r="J190" i="6" s="1"/>
  <c r="H189" i="6"/>
  <c r="J189" i="6" s="1"/>
  <c r="H188" i="6"/>
  <c r="J188" i="6" s="1"/>
  <c r="H187" i="6"/>
  <c r="J187" i="6" s="1"/>
  <c r="H186" i="6"/>
  <c r="J186" i="6" s="1"/>
  <c r="H185" i="6"/>
  <c r="J185" i="6" s="1"/>
  <c r="H184" i="6"/>
  <c r="J184" i="6" s="1"/>
  <c r="H183" i="6"/>
  <c r="J183" i="6" s="1"/>
  <c r="H182" i="6"/>
  <c r="J182" i="6" s="1"/>
  <c r="G181" i="6"/>
  <c r="E181" i="6"/>
  <c r="H180" i="6"/>
  <c r="J180" i="6" s="1"/>
  <c r="H179" i="6"/>
  <c r="J179" i="6" s="1"/>
  <c r="H178" i="6"/>
  <c r="J178" i="6" s="1"/>
  <c r="H177" i="6"/>
  <c r="J177" i="6" s="1"/>
  <c r="H176" i="6"/>
  <c r="J176" i="6" s="1"/>
  <c r="H175" i="6"/>
  <c r="J175" i="6" s="1"/>
  <c r="H174" i="6"/>
  <c r="J174" i="6" s="1"/>
  <c r="H173" i="6"/>
  <c r="J173" i="6" s="1"/>
  <c r="H172" i="6"/>
  <c r="J172" i="6" s="1"/>
  <c r="H171" i="6"/>
  <c r="J171" i="6" s="1"/>
  <c r="H170" i="6"/>
  <c r="J170" i="6" s="1"/>
  <c r="G169" i="6"/>
  <c r="E169" i="6"/>
  <c r="G168" i="6"/>
  <c r="E168" i="6"/>
  <c r="H167" i="6"/>
  <c r="J167" i="6" s="1"/>
  <c r="H166" i="6"/>
  <c r="J166" i="6" s="1"/>
  <c r="H165" i="6"/>
  <c r="J165" i="6" s="1"/>
  <c r="H164" i="6"/>
  <c r="J164" i="6" s="1"/>
  <c r="H163" i="6"/>
  <c r="J163" i="6" s="1"/>
  <c r="H162" i="6"/>
  <c r="J162" i="6" s="1"/>
  <c r="H161" i="6"/>
  <c r="J161" i="6" s="1"/>
  <c r="H160" i="6"/>
  <c r="J160" i="6" s="1"/>
  <c r="H159" i="6"/>
  <c r="J159" i="6" s="1"/>
  <c r="H158" i="6"/>
  <c r="J158" i="6" s="1"/>
  <c r="H157" i="6"/>
  <c r="J157" i="6" s="1"/>
  <c r="H156" i="6"/>
  <c r="J156" i="6" s="1"/>
  <c r="H155" i="6"/>
  <c r="J155" i="6" s="1"/>
  <c r="H154" i="6"/>
  <c r="J154" i="6" s="1"/>
  <c r="H153" i="6"/>
  <c r="J153" i="6" s="1"/>
  <c r="H152" i="6"/>
  <c r="J152" i="6" s="1"/>
  <c r="H151" i="6"/>
  <c r="J151" i="6" s="1"/>
  <c r="H150" i="6"/>
  <c r="J150" i="6" s="1"/>
  <c r="H149" i="6"/>
  <c r="J149" i="6" s="1"/>
  <c r="H148" i="6"/>
  <c r="J148" i="6" s="1"/>
  <c r="H147" i="6"/>
  <c r="J147" i="6" s="1"/>
  <c r="H146" i="6"/>
  <c r="J146" i="6" s="1"/>
  <c r="H145" i="6"/>
  <c r="J145" i="6" s="1"/>
  <c r="G144" i="6"/>
  <c r="E144" i="6"/>
  <c r="G143" i="6"/>
  <c r="E143" i="6"/>
  <c r="H142" i="6"/>
  <c r="J142" i="6" s="1"/>
  <c r="H141" i="6"/>
  <c r="J141" i="6" s="1"/>
  <c r="H140" i="6"/>
  <c r="J140" i="6" s="1"/>
  <c r="H139" i="6"/>
  <c r="J139" i="6" s="1"/>
  <c r="H138" i="6"/>
  <c r="J138" i="6" s="1"/>
  <c r="H137" i="6"/>
  <c r="J137" i="6" s="1"/>
  <c r="H136" i="6"/>
  <c r="J136" i="6" s="1"/>
  <c r="H135" i="6"/>
  <c r="J135" i="6" s="1"/>
  <c r="H134" i="6"/>
  <c r="J134" i="6" s="1"/>
  <c r="H133" i="6"/>
  <c r="J133" i="6" s="1"/>
  <c r="H132" i="6"/>
  <c r="J132" i="6" s="1"/>
  <c r="H131" i="6"/>
  <c r="J131" i="6" s="1"/>
  <c r="I130" i="6"/>
  <c r="H130" i="6"/>
  <c r="H129" i="6"/>
  <c r="J129" i="6" s="1"/>
  <c r="H128" i="6"/>
  <c r="J128" i="6" s="1"/>
  <c r="H127" i="6"/>
  <c r="J127" i="6" s="1"/>
  <c r="H126" i="6"/>
  <c r="J126" i="6" s="1"/>
  <c r="H125" i="6"/>
  <c r="J125" i="6" s="1"/>
  <c r="H124" i="6"/>
  <c r="J124" i="6" s="1"/>
  <c r="H123" i="6"/>
  <c r="J123" i="6" s="1"/>
  <c r="H122" i="6"/>
  <c r="J122" i="6" s="1"/>
  <c r="H121" i="6"/>
  <c r="J121" i="6" s="1"/>
  <c r="H120" i="6"/>
  <c r="J120" i="6" s="1"/>
  <c r="H119" i="6"/>
  <c r="J119" i="6" s="1"/>
  <c r="H118" i="6"/>
  <c r="J118" i="6" s="1"/>
  <c r="H117" i="6"/>
  <c r="J117" i="6" s="1"/>
  <c r="H116" i="6"/>
  <c r="J116" i="6" s="1"/>
  <c r="H115" i="6"/>
  <c r="J115" i="6" s="1"/>
  <c r="H114" i="6"/>
  <c r="J114" i="6" s="1"/>
  <c r="H113" i="6"/>
  <c r="J113" i="6" s="1"/>
  <c r="H112" i="6"/>
  <c r="J112" i="6" s="1"/>
  <c r="H111" i="6"/>
  <c r="J111" i="6" s="1"/>
  <c r="H110" i="6"/>
  <c r="J110" i="6" s="1"/>
  <c r="H109" i="6"/>
  <c r="J109" i="6" s="1"/>
  <c r="H108" i="6"/>
  <c r="J108" i="6" s="1"/>
  <c r="H107" i="6"/>
  <c r="J107" i="6" s="1"/>
  <c r="H106" i="6"/>
  <c r="J106" i="6" s="1"/>
  <c r="H105" i="6"/>
  <c r="J105" i="6" s="1"/>
  <c r="H104" i="6"/>
  <c r="J104" i="6" s="1"/>
  <c r="H103" i="6"/>
  <c r="J103" i="6" s="1"/>
  <c r="H101" i="6"/>
  <c r="J101" i="6" s="1"/>
  <c r="H100" i="6"/>
  <c r="J100" i="6" s="1"/>
  <c r="H99" i="6"/>
  <c r="J99" i="6" s="1"/>
  <c r="H98" i="6"/>
  <c r="J98" i="6" s="1"/>
  <c r="H97" i="6"/>
  <c r="J97" i="6" s="1"/>
  <c r="H96" i="6"/>
  <c r="J96" i="6" s="1"/>
  <c r="H95" i="6"/>
  <c r="J95" i="6" s="1"/>
  <c r="H94" i="6"/>
  <c r="J94" i="6" s="1"/>
  <c r="H93" i="6"/>
  <c r="J93" i="6" s="1"/>
  <c r="H92" i="6"/>
  <c r="J92" i="6" s="1"/>
  <c r="H91" i="6"/>
  <c r="J91" i="6" s="1"/>
  <c r="H90" i="6"/>
  <c r="J90" i="6" s="1"/>
  <c r="H89" i="6"/>
  <c r="J89" i="6" s="1"/>
  <c r="H88" i="6"/>
  <c r="J88" i="6" s="1"/>
  <c r="H87" i="6"/>
  <c r="J87" i="6" s="1"/>
  <c r="H86" i="6"/>
  <c r="J86" i="6" s="1"/>
  <c r="H85" i="6"/>
  <c r="J85" i="6" s="1"/>
  <c r="H84" i="6"/>
  <c r="J84" i="6" s="1"/>
  <c r="H83" i="6"/>
  <c r="J83" i="6" s="1"/>
  <c r="H82" i="6"/>
  <c r="J82" i="6" s="1"/>
  <c r="H81" i="6"/>
  <c r="J81" i="6" s="1"/>
  <c r="H80" i="6"/>
  <c r="J80" i="6" s="1"/>
  <c r="H79" i="6"/>
  <c r="J79" i="6" s="1"/>
  <c r="H78" i="6"/>
  <c r="J78" i="6" s="1"/>
  <c r="H76" i="6"/>
  <c r="J76" i="6" s="1"/>
  <c r="H75" i="6"/>
  <c r="J75" i="6" s="1"/>
  <c r="H74" i="6"/>
  <c r="J74" i="6" s="1"/>
  <c r="H73" i="6"/>
  <c r="J73" i="6" s="1"/>
  <c r="H72" i="6"/>
  <c r="J72" i="6" s="1"/>
  <c r="I71" i="6"/>
  <c r="H71" i="6"/>
  <c r="H70" i="6"/>
  <c r="J70" i="6" s="1"/>
  <c r="H69" i="6"/>
  <c r="J69" i="6" s="1"/>
  <c r="H67" i="6"/>
  <c r="J67" i="6" s="1"/>
  <c r="H66" i="6"/>
  <c r="J66" i="6" s="1"/>
  <c r="H65" i="6"/>
  <c r="J65" i="6" s="1"/>
  <c r="H64" i="6"/>
  <c r="J64" i="6" s="1"/>
  <c r="H63" i="6"/>
  <c r="J63" i="6" s="1"/>
  <c r="H62" i="6"/>
  <c r="J62" i="6" s="1"/>
  <c r="H61" i="6"/>
  <c r="J61" i="6" s="1"/>
  <c r="H60" i="6"/>
  <c r="J60" i="6" s="1"/>
  <c r="H59" i="6"/>
  <c r="J59" i="6" s="1"/>
  <c r="H58" i="6"/>
  <c r="J58" i="6" s="1"/>
  <c r="H57" i="6"/>
  <c r="J57" i="6" s="1"/>
  <c r="H56" i="6"/>
  <c r="J56" i="6" s="1"/>
  <c r="H55" i="6"/>
  <c r="J55" i="6" s="1"/>
  <c r="H54" i="6"/>
  <c r="J54" i="6" s="1"/>
  <c r="H53" i="6"/>
  <c r="J53" i="6" s="1"/>
  <c r="H52" i="6"/>
  <c r="J52" i="6" s="1"/>
  <c r="H51" i="6"/>
  <c r="J51" i="6" s="1"/>
  <c r="H50" i="6"/>
  <c r="J50" i="6" s="1"/>
  <c r="H49" i="6"/>
  <c r="J49" i="6" s="1"/>
  <c r="H48" i="6"/>
  <c r="J48" i="6" s="1"/>
  <c r="J47" i="6"/>
  <c r="J46" i="6"/>
  <c r="J45" i="6"/>
  <c r="J44" i="6"/>
  <c r="H43" i="6"/>
  <c r="J43" i="6" s="1"/>
  <c r="J42" i="6"/>
  <c r="H41" i="6"/>
  <c r="J41" i="6" s="1"/>
  <c r="J40" i="6"/>
  <c r="J39" i="6"/>
  <c r="H38" i="6"/>
  <c r="J38" i="6" s="1"/>
  <c r="H37" i="6"/>
  <c r="J37" i="6" s="1"/>
  <c r="H36" i="6"/>
  <c r="J36" i="6" s="1"/>
  <c r="H35" i="6"/>
  <c r="J35" i="6" s="1"/>
  <c r="H34" i="6"/>
  <c r="J34" i="6" s="1"/>
  <c r="H33" i="6"/>
  <c r="J33" i="6" s="1"/>
  <c r="H32" i="6"/>
  <c r="J32" i="6" s="1"/>
  <c r="H31" i="6"/>
  <c r="J31" i="6" s="1"/>
  <c r="H30" i="6"/>
  <c r="J30" i="6" s="1"/>
  <c r="H29" i="6"/>
  <c r="J29" i="6" s="1"/>
  <c r="H27" i="6"/>
  <c r="J27" i="6" s="1"/>
  <c r="H26" i="6"/>
  <c r="J26" i="6" s="1"/>
  <c r="H24" i="6"/>
  <c r="J24" i="6" s="1"/>
  <c r="H23" i="6"/>
  <c r="J23" i="6" s="1"/>
  <c r="I22" i="6"/>
  <c r="H22" i="6"/>
  <c r="J22" i="6" s="1"/>
  <c r="H21" i="6"/>
  <c r="J21" i="6" s="1"/>
  <c r="H20" i="6"/>
  <c r="J20" i="6" s="1"/>
  <c r="H19" i="6"/>
  <c r="J19" i="6" s="1"/>
  <c r="H18" i="6"/>
  <c r="J18" i="6" s="1"/>
  <c r="H17" i="6"/>
  <c r="J17" i="6" s="1"/>
  <c r="H15" i="6"/>
  <c r="J15" i="6" s="1"/>
  <c r="D14" i="6"/>
  <c r="H14" i="6" s="1"/>
  <c r="J14" i="6" s="1"/>
  <c r="H13" i="6"/>
  <c r="J13" i="6" s="1"/>
  <c r="H12" i="6"/>
  <c r="J12" i="6" s="1"/>
  <c r="H11" i="6"/>
  <c r="J11" i="6" s="1"/>
  <c r="H351" i="5"/>
  <c r="J351" i="5" s="1"/>
  <c r="H352" i="5"/>
  <c r="J352" i="5" s="1"/>
  <c r="H369" i="5"/>
  <c r="J369" i="5" s="1"/>
  <c r="H370" i="5"/>
  <c r="J370" i="5" s="1"/>
  <c r="H366" i="5"/>
  <c r="J366" i="5" s="1"/>
  <c r="H364" i="5"/>
  <c r="J364" i="5" s="1"/>
  <c r="H794" i="5"/>
  <c r="J794" i="5" s="1"/>
  <c r="H793" i="5"/>
  <c r="J793" i="5" s="1"/>
  <c r="H792" i="5"/>
  <c r="J792" i="5" s="1"/>
  <c r="H790" i="5"/>
  <c r="J790" i="5" s="1"/>
  <c r="H789" i="5"/>
  <c r="J789" i="5" s="1"/>
  <c r="H787" i="5"/>
  <c r="J787" i="5" s="1"/>
  <c r="H786" i="5"/>
  <c r="J786" i="5" s="1"/>
  <c r="H785" i="5"/>
  <c r="J785" i="5" s="1"/>
  <c r="I784" i="5"/>
  <c r="H784" i="5"/>
  <c r="H783" i="5"/>
  <c r="J783" i="5" s="1"/>
  <c r="H782" i="5"/>
  <c r="J782" i="5" s="1"/>
  <c r="H781" i="5"/>
  <c r="J781" i="5" s="1"/>
  <c r="H779" i="5"/>
  <c r="J779" i="5" s="1"/>
  <c r="H778" i="5"/>
  <c r="J778" i="5" s="1"/>
  <c r="H777" i="5"/>
  <c r="J777" i="5" s="1"/>
  <c r="H776" i="5"/>
  <c r="J776" i="5" s="1"/>
  <c r="H775" i="5"/>
  <c r="J775" i="5" s="1"/>
  <c r="H774" i="5"/>
  <c r="J774" i="5" s="1"/>
  <c r="H773" i="5"/>
  <c r="J773" i="5" s="1"/>
  <c r="H772" i="5"/>
  <c r="J772" i="5" s="1"/>
  <c r="H771" i="5"/>
  <c r="J771" i="5" s="1"/>
  <c r="H769" i="5"/>
  <c r="J769" i="5" s="1"/>
  <c r="H768" i="5"/>
  <c r="J768" i="5" s="1"/>
  <c r="H767" i="5"/>
  <c r="J767" i="5" s="1"/>
  <c r="H766" i="5"/>
  <c r="J766" i="5" s="1"/>
  <c r="H765" i="5"/>
  <c r="J765" i="5" s="1"/>
  <c r="H764" i="5"/>
  <c r="J764" i="5" s="1"/>
  <c r="H763" i="5"/>
  <c r="J763" i="5" s="1"/>
  <c r="H762" i="5"/>
  <c r="J762" i="5" s="1"/>
  <c r="H761" i="5"/>
  <c r="J761" i="5" s="1"/>
  <c r="H760" i="5"/>
  <c r="J760" i="5" s="1"/>
  <c r="H759" i="5"/>
  <c r="J759" i="5" s="1"/>
  <c r="H758" i="5"/>
  <c r="J758" i="5" s="1"/>
  <c r="I757" i="5"/>
  <c r="H757" i="5"/>
  <c r="H756" i="5"/>
  <c r="J756" i="5" s="1"/>
  <c r="H755" i="5"/>
  <c r="J755" i="5" s="1"/>
  <c r="H754" i="5"/>
  <c r="J754" i="5" s="1"/>
  <c r="H753" i="5"/>
  <c r="J753" i="5" s="1"/>
  <c r="H752" i="5"/>
  <c r="J752" i="5" s="1"/>
  <c r="H751" i="5"/>
  <c r="J751" i="5" s="1"/>
  <c r="H750" i="5"/>
  <c r="J750" i="5" s="1"/>
  <c r="H749" i="5"/>
  <c r="J749" i="5" s="1"/>
  <c r="H748" i="5"/>
  <c r="J748" i="5" s="1"/>
  <c r="H747" i="5"/>
  <c r="J747" i="5" s="1"/>
  <c r="H746" i="5"/>
  <c r="J746" i="5" s="1"/>
  <c r="H745" i="5"/>
  <c r="J745" i="5" s="1"/>
  <c r="H744" i="5"/>
  <c r="J744" i="5" s="1"/>
  <c r="H743" i="5"/>
  <c r="J743" i="5" s="1"/>
  <c r="H742" i="5"/>
  <c r="J742" i="5" s="1"/>
  <c r="H741" i="5"/>
  <c r="J741" i="5" s="1"/>
  <c r="H740" i="5"/>
  <c r="J740" i="5" s="1"/>
  <c r="H739" i="5"/>
  <c r="J739" i="5" s="1"/>
  <c r="H738" i="5"/>
  <c r="J738" i="5" s="1"/>
  <c r="H737" i="5"/>
  <c r="J737" i="5" s="1"/>
  <c r="H736" i="5"/>
  <c r="J736" i="5" s="1"/>
  <c r="H735" i="5"/>
  <c r="J735" i="5" s="1"/>
  <c r="H734" i="5"/>
  <c r="J734" i="5" s="1"/>
  <c r="H733" i="5"/>
  <c r="J733" i="5" s="1"/>
  <c r="H732" i="5"/>
  <c r="J732" i="5" s="1"/>
  <c r="H731" i="5"/>
  <c r="J731" i="5" s="1"/>
  <c r="H730" i="5"/>
  <c r="J730" i="5" s="1"/>
  <c r="H729" i="5"/>
  <c r="J729" i="5" s="1"/>
  <c r="H728" i="5"/>
  <c r="J728" i="5" s="1"/>
  <c r="H727" i="5"/>
  <c r="J727" i="5" s="1"/>
  <c r="H726" i="5"/>
  <c r="J726" i="5" s="1"/>
  <c r="H725" i="5"/>
  <c r="J725" i="5" s="1"/>
  <c r="H724" i="5"/>
  <c r="J724" i="5" s="1"/>
  <c r="H723" i="5"/>
  <c r="J723" i="5" s="1"/>
  <c r="H722" i="5"/>
  <c r="J722" i="5" s="1"/>
  <c r="H721" i="5"/>
  <c r="J721" i="5" s="1"/>
  <c r="H720" i="5"/>
  <c r="J720" i="5" s="1"/>
  <c r="H719" i="5"/>
  <c r="J719" i="5" s="1"/>
  <c r="H718" i="5"/>
  <c r="J718" i="5" s="1"/>
  <c r="H717" i="5"/>
  <c r="J717" i="5" s="1"/>
  <c r="H716" i="5"/>
  <c r="J716" i="5" s="1"/>
  <c r="H715" i="5"/>
  <c r="J715" i="5" s="1"/>
  <c r="H714" i="5"/>
  <c r="J714" i="5" s="1"/>
  <c r="H713" i="5"/>
  <c r="J713" i="5" s="1"/>
  <c r="H712" i="5"/>
  <c r="J712" i="5" s="1"/>
  <c r="H711" i="5"/>
  <c r="J711" i="5" s="1"/>
  <c r="H710" i="5"/>
  <c r="J710" i="5" s="1"/>
  <c r="H709" i="5"/>
  <c r="J709" i="5" s="1"/>
  <c r="H708" i="5"/>
  <c r="J708" i="5" s="1"/>
  <c r="H707" i="5"/>
  <c r="J707" i="5" s="1"/>
  <c r="H706" i="5"/>
  <c r="J706" i="5" s="1"/>
  <c r="H705" i="5"/>
  <c r="J705" i="5" s="1"/>
  <c r="H704" i="5"/>
  <c r="J704" i="5" s="1"/>
  <c r="H703" i="5"/>
  <c r="J703" i="5" s="1"/>
  <c r="H702" i="5"/>
  <c r="J702" i="5" s="1"/>
  <c r="H701" i="5"/>
  <c r="J701" i="5" s="1"/>
  <c r="H700" i="5"/>
  <c r="J700" i="5" s="1"/>
  <c r="H699" i="5"/>
  <c r="J699" i="5" s="1"/>
  <c r="H698" i="5"/>
  <c r="J698" i="5" s="1"/>
  <c r="I697" i="5"/>
  <c r="H697" i="5"/>
  <c r="I696" i="5"/>
  <c r="H696" i="5"/>
  <c r="I695" i="5"/>
  <c r="H695" i="5"/>
  <c r="H694" i="5"/>
  <c r="J694" i="5" s="1"/>
  <c r="H693" i="5"/>
  <c r="J693" i="5" s="1"/>
  <c r="H692" i="5"/>
  <c r="J692" i="5" s="1"/>
  <c r="H691" i="5"/>
  <c r="J691" i="5" s="1"/>
  <c r="H690" i="5"/>
  <c r="J690" i="5" s="1"/>
  <c r="H689" i="5"/>
  <c r="J689" i="5" s="1"/>
  <c r="H688" i="5"/>
  <c r="J688" i="5" s="1"/>
  <c r="H687" i="5"/>
  <c r="J687" i="5" s="1"/>
  <c r="H686" i="5"/>
  <c r="J686" i="5" s="1"/>
  <c r="H685" i="5"/>
  <c r="J685" i="5" s="1"/>
  <c r="H684" i="5"/>
  <c r="J684" i="5" s="1"/>
  <c r="H683" i="5"/>
  <c r="J683" i="5" s="1"/>
  <c r="H682" i="5"/>
  <c r="J682" i="5" s="1"/>
  <c r="H681" i="5"/>
  <c r="J681" i="5" s="1"/>
  <c r="H680" i="5"/>
  <c r="J680" i="5" s="1"/>
  <c r="H679" i="5"/>
  <c r="J679" i="5" s="1"/>
  <c r="H678" i="5"/>
  <c r="J678" i="5" s="1"/>
  <c r="H677" i="5"/>
  <c r="J677" i="5" s="1"/>
  <c r="H676" i="5"/>
  <c r="J676" i="5" s="1"/>
  <c r="H675" i="5"/>
  <c r="J675" i="5" s="1"/>
  <c r="H674" i="5"/>
  <c r="J674" i="5" s="1"/>
  <c r="H673" i="5"/>
  <c r="J673" i="5" s="1"/>
  <c r="H672" i="5"/>
  <c r="J672" i="5" s="1"/>
  <c r="H671" i="5"/>
  <c r="J671" i="5" s="1"/>
  <c r="H670" i="5"/>
  <c r="J670" i="5" s="1"/>
  <c r="H669" i="5"/>
  <c r="J669" i="5" s="1"/>
  <c r="H668" i="5"/>
  <c r="J668" i="5" s="1"/>
  <c r="H667" i="5"/>
  <c r="J667" i="5" s="1"/>
  <c r="H666" i="5"/>
  <c r="J666" i="5" s="1"/>
  <c r="H665" i="5"/>
  <c r="J665" i="5" s="1"/>
  <c r="H664" i="5"/>
  <c r="J664" i="5" s="1"/>
  <c r="H663" i="5"/>
  <c r="J663" i="5" s="1"/>
  <c r="H662" i="5"/>
  <c r="J662" i="5" s="1"/>
  <c r="H661" i="5"/>
  <c r="J661" i="5" s="1"/>
  <c r="H660" i="5"/>
  <c r="J660" i="5" s="1"/>
  <c r="H659" i="5"/>
  <c r="J659" i="5" s="1"/>
  <c r="H658" i="5"/>
  <c r="J658" i="5" s="1"/>
  <c r="H657" i="5"/>
  <c r="J657" i="5" s="1"/>
  <c r="H656" i="5"/>
  <c r="J656" i="5" s="1"/>
  <c r="H655" i="5"/>
  <c r="J655" i="5" s="1"/>
  <c r="H654" i="5"/>
  <c r="J654" i="5" s="1"/>
  <c r="H653" i="5"/>
  <c r="J653" i="5" s="1"/>
  <c r="H652" i="5"/>
  <c r="J652" i="5" s="1"/>
  <c r="H651" i="5"/>
  <c r="J651" i="5" s="1"/>
  <c r="H650" i="5"/>
  <c r="J650" i="5" s="1"/>
  <c r="H649" i="5"/>
  <c r="J649" i="5" s="1"/>
  <c r="H648" i="5"/>
  <c r="J648" i="5" s="1"/>
  <c r="H647" i="5"/>
  <c r="J647" i="5" s="1"/>
  <c r="H646" i="5"/>
  <c r="J646" i="5" s="1"/>
  <c r="H645" i="5"/>
  <c r="J645" i="5" s="1"/>
  <c r="I644" i="5"/>
  <c r="H644" i="5"/>
  <c r="H643" i="5"/>
  <c r="J643" i="5" s="1"/>
  <c r="H642" i="5"/>
  <c r="J642" i="5" s="1"/>
  <c r="H640" i="5"/>
  <c r="J640" i="5" s="1"/>
  <c r="H639" i="5"/>
  <c r="J639" i="5" s="1"/>
  <c r="H638" i="5"/>
  <c r="J638" i="5" s="1"/>
  <c r="H637" i="5"/>
  <c r="J637" i="5" s="1"/>
  <c r="H636" i="5"/>
  <c r="J636" i="5" s="1"/>
  <c r="H635" i="5"/>
  <c r="J635" i="5" s="1"/>
  <c r="H634" i="5"/>
  <c r="J634" i="5" s="1"/>
  <c r="H633" i="5"/>
  <c r="J633" i="5" s="1"/>
  <c r="H632" i="5"/>
  <c r="J632" i="5" s="1"/>
  <c r="H631" i="5"/>
  <c r="J631" i="5" s="1"/>
  <c r="H630" i="5"/>
  <c r="J630" i="5" s="1"/>
  <c r="H629" i="5"/>
  <c r="J629" i="5" s="1"/>
  <c r="H628" i="5"/>
  <c r="J628" i="5" s="1"/>
  <c r="H627" i="5"/>
  <c r="J627" i="5" s="1"/>
  <c r="H626" i="5"/>
  <c r="J626" i="5" s="1"/>
  <c r="H625" i="5"/>
  <c r="J625" i="5" s="1"/>
  <c r="H624" i="5"/>
  <c r="J624" i="5" s="1"/>
  <c r="H623" i="5"/>
  <c r="J623" i="5" s="1"/>
  <c r="H622" i="5"/>
  <c r="J622" i="5" s="1"/>
  <c r="H621" i="5"/>
  <c r="J621" i="5" s="1"/>
  <c r="H620" i="5"/>
  <c r="J620" i="5" s="1"/>
  <c r="H619" i="5"/>
  <c r="J619" i="5" s="1"/>
  <c r="H618" i="5"/>
  <c r="J618" i="5" s="1"/>
  <c r="H617" i="5"/>
  <c r="J617" i="5" s="1"/>
  <c r="H615" i="5"/>
  <c r="J615" i="5" s="1"/>
  <c r="H614" i="5"/>
  <c r="H613" i="5"/>
  <c r="J613" i="5" s="1"/>
  <c r="H612" i="5"/>
  <c r="J612" i="5" s="1"/>
  <c r="H611" i="5"/>
  <c r="J611" i="5" s="1"/>
  <c r="H609" i="5"/>
  <c r="J609" i="5" s="1"/>
  <c r="H608" i="5"/>
  <c r="J608" i="5" s="1"/>
  <c r="H607" i="5"/>
  <c r="J607" i="5" s="1"/>
  <c r="H606" i="5"/>
  <c r="J606" i="5" s="1"/>
  <c r="H605" i="5"/>
  <c r="J605" i="5" s="1"/>
  <c r="H604" i="5"/>
  <c r="J604" i="5" s="1"/>
  <c r="H603" i="5"/>
  <c r="J603" i="5" s="1"/>
  <c r="H602" i="5"/>
  <c r="J602" i="5" s="1"/>
  <c r="G601" i="5"/>
  <c r="H601" i="5" s="1"/>
  <c r="J601" i="5" s="1"/>
  <c r="H600" i="5"/>
  <c r="J600" i="5" s="1"/>
  <c r="G599" i="5"/>
  <c r="H599" i="5" s="1"/>
  <c r="J599" i="5" s="1"/>
  <c r="H598" i="5"/>
  <c r="J598" i="5" s="1"/>
  <c r="H597" i="5"/>
  <c r="J597" i="5" s="1"/>
  <c r="H596" i="5"/>
  <c r="J596" i="5" s="1"/>
  <c r="H595" i="5"/>
  <c r="J595" i="5" s="1"/>
  <c r="H594" i="5"/>
  <c r="J594" i="5" s="1"/>
  <c r="H593" i="5"/>
  <c r="J593" i="5" s="1"/>
  <c r="H592" i="5"/>
  <c r="J592" i="5" s="1"/>
  <c r="H591" i="5"/>
  <c r="J591" i="5" s="1"/>
  <c r="H590" i="5"/>
  <c r="J590" i="5" s="1"/>
  <c r="H588" i="5"/>
  <c r="J588" i="5" s="1"/>
  <c r="H587" i="5"/>
  <c r="J587" i="5" s="1"/>
  <c r="H586" i="5"/>
  <c r="J586" i="5" s="1"/>
  <c r="H585" i="5"/>
  <c r="J585" i="5" s="1"/>
  <c r="H583" i="5"/>
  <c r="J583" i="5" s="1"/>
  <c r="I582" i="5"/>
  <c r="H582" i="5"/>
  <c r="H581" i="5"/>
  <c r="J581" i="5" s="1"/>
  <c r="I580" i="5"/>
  <c r="H580" i="5"/>
  <c r="H579" i="5"/>
  <c r="J579" i="5" s="1"/>
  <c r="H578" i="5"/>
  <c r="J578" i="5" s="1"/>
  <c r="H577" i="5"/>
  <c r="J577" i="5" s="1"/>
  <c r="H576" i="5"/>
  <c r="J576" i="5" s="1"/>
  <c r="H575" i="5"/>
  <c r="J575" i="5" s="1"/>
  <c r="H573" i="5"/>
  <c r="J573" i="5" s="1"/>
  <c r="K574" i="5" s="1"/>
  <c r="H571" i="5"/>
  <c r="J571" i="5" s="1"/>
  <c r="H570" i="5"/>
  <c r="J570" i="5" s="1"/>
  <c r="H569" i="5"/>
  <c r="J569" i="5" s="1"/>
  <c r="H568" i="5"/>
  <c r="J568" i="5" s="1"/>
  <c r="I567" i="5"/>
  <c r="H567" i="5"/>
  <c r="H566" i="5"/>
  <c r="J566" i="5" s="1"/>
  <c r="H565" i="5"/>
  <c r="J565" i="5" s="1"/>
  <c r="H564" i="5"/>
  <c r="J564" i="5" s="1"/>
  <c r="H563" i="5"/>
  <c r="J563" i="5" s="1"/>
  <c r="I562" i="5"/>
  <c r="H562" i="5"/>
  <c r="I560" i="5"/>
  <c r="H560" i="5"/>
  <c r="I559" i="5"/>
  <c r="H559" i="5"/>
  <c r="H558" i="5"/>
  <c r="J558" i="5" s="1"/>
  <c r="H557" i="5"/>
  <c r="J557" i="5" s="1"/>
  <c r="H556" i="5"/>
  <c r="J556" i="5" s="1"/>
  <c r="I555" i="5"/>
  <c r="H555" i="5"/>
  <c r="H554" i="5"/>
  <c r="J554" i="5" s="1"/>
  <c r="H553" i="5"/>
  <c r="J553" i="5" s="1"/>
  <c r="H552" i="5"/>
  <c r="J552" i="5" s="1"/>
  <c r="H551" i="5"/>
  <c r="J551" i="5" s="1"/>
  <c r="H550" i="5"/>
  <c r="J550" i="5" s="1"/>
  <c r="H549" i="5"/>
  <c r="J549" i="5" s="1"/>
  <c r="H548" i="5"/>
  <c r="J548" i="5" s="1"/>
  <c r="H547" i="5"/>
  <c r="J547" i="5" s="1"/>
  <c r="H546" i="5"/>
  <c r="J546" i="5" s="1"/>
  <c r="I545" i="5"/>
  <c r="H545" i="5"/>
  <c r="H544" i="5"/>
  <c r="J544" i="5" s="1"/>
  <c r="H543" i="5"/>
  <c r="J543" i="5" s="1"/>
  <c r="H542" i="5"/>
  <c r="J542" i="5" s="1"/>
  <c r="H541" i="5"/>
  <c r="J541" i="5" s="1"/>
  <c r="H540" i="5"/>
  <c r="J540" i="5" s="1"/>
  <c r="I538" i="5"/>
  <c r="H538" i="5"/>
  <c r="H537" i="5"/>
  <c r="J537" i="5" s="1"/>
  <c r="H536" i="5"/>
  <c r="J536" i="5" s="1"/>
  <c r="H534" i="5"/>
  <c r="J534" i="5" s="1"/>
  <c r="H533" i="5"/>
  <c r="J533" i="5" s="1"/>
  <c r="I532" i="5"/>
  <c r="H532" i="5"/>
  <c r="H531" i="5"/>
  <c r="J531" i="5" s="1"/>
  <c r="H530" i="5"/>
  <c r="J530" i="5" s="1"/>
  <c r="H529" i="5"/>
  <c r="J529" i="5" s="1"/>
  <c r="H527" i="5"/>
  <c r="J527" i="5" s="1"/>
  <c r="H526" i="5"/>
  <c r="J526" i="5" s="1"/>
  <c r="H525" i="5"/>
  <c r="J525" i="5" s="1"/>
  <c r="H524" i="5"/>
  <c r="J524" i="5" s="1"/>
  <c r="H523" i="5"/>
  <c r="J523" i="5" s="1"/>
  <c r="H522" i="5"/>
  <c r="J522" i="5" s="1"/>
  <c r="H521" i="5"/>
  <c r="J521" i="5" s="1"/>
  <c r="H520" i="5"/>
  <c r="J520" i="5" s="1"/>
  <c r="H519" i="5"/>
  <c r="J519" i="5" s="1"/>
  <c r="H518" i="5"/>
  <c r="J518" i="5" s="1"/>
  <c r="H516" i="5"/>
  <c r="J516" i="5" s="1"/>
  <c r="H515" i="5"/>
  <c r="J515" i="5" s="1"/>
  <c r="H514" i="5"/>
  <c r="J514" i="5" s="1"/>
  <c r="H513" i="5"/>
  <c r="J513" i="5" s="1"/>
  <c r="H512" i="5"/>
  <c r="J512" i="5" s="1"/>
  <c r="I511" i="5"/>
  <c r="H511" i="5"/>
  <c r="H510" i="5"/>
  <c r="J510" i="5" s="1"/>
  <c r="H509" i="5"/>
  <c r="J509" i="5" s="1"/>
  <c r="H508" i="5"/>
  <c r="J508" i="5" s="1"/>
  <c r="H507" i="5"/>
  <c r="J507" i="5" s="1"/>
  <c r="H506" i="5"/>
  <c r="J506" i="5" s="1"/>
  <c r="H505" i="5"/>
  <c r="J505" i="5" s="1"/>
  <c r="H504" i="5"/>
  <c r="J504" i="5" s="1"/>
  <c r="H503" i="5"/>
  <c r="J503" i="5" s="1"/>
  <c r="H502" i="5"/>
  <c r="J502" i="5" s="1"/>
  <c r="H501" i="5"/>
  <c r="J501" i="5" s="1"/>
  <c r="H500" i="5"/>
  <c r="J500" i="5" s="1"/>
  <c r="H499" i="5"/>
  <c r="J499" i="5" s="1"/>
  <c r="H498" i="5"/>
  <c r="J498" i="5" s="1"/>
  <c r="H497" i="5"/>
  <c r="J497" i="5" s="1"/>
  <c r="H496" i="5"/>
  <c r="J496" i="5" s="1"/>
  <c r="H495" i="5"/>
  <c r="J495" i="5" s="1"/>
  <c r="H494" i="5"/>
  <c r="J494" i="5" s="1"/>
  <c r="H492" i="5"/>
  <c r="J492" i="5" s="1"/>
  <c r="H491" i="5"/>
  <c r="J491" i="5" s="1"/>
  <c r="H490" i="5"/>
  <c r="J490" i="5" s="1"/>
  <c r="H489" i="5"/>
  <c r="J489" i="5" s="1"/>
  <c r="H488" i="5"/>
  <c r="J488" i="5" s="1"/>
  <c r="H487" i="5"/>
  <c r="J487" i="5" s="1"/>
  <c r="H486" i="5"/>
  <c r="J486" i="5" s="1"/>
  <c r="H485" i="5"/>
  <c r="J485" i="5" s="1"/>
  <c r="H484" i="5"/>
  <c r="J484" i="5" s="1"/>
  <c r="H483" i="5"/>
  <c r="J483" i="5" s="1"/>
  <c r="H482" i="5"/>
  <c r="J482" i="5" s="1"/>
  <c r="H481" i="5"/>
  <c r="J481" i="5" s="1"/>
  <c r="H480" i="5"/>
  <c r="J480" i="5" s="1"/>
  <c r="H479" i="5"/>
  <c r="J479" i="5" s="1"/>
  <c r="H478" i="5"/>
  <c r="J478" i="5" s="1"/>
  <c r="H477" i="5"/>
  <c r="J477" i="5" s="1"/>
  <c r="H476" i="5"/>
  <c r="J476" i="5" s="1"/>
  <c r="H475" i="5"/>
  <c r="J475" i="5" s="1"/>
  <c r="H474" i="5"/>
  <c r="J474" i="5" s="1"/>
  <c r="H473" i="5"/>
  <c r="J473" i="5" s="1"/>
  <c r="H472" i="5"/>
  <c r="J472" i="5" s="1"/>
  <c r="H470" i="5"/>
  <c r="J470" i="5" s="1"/>
  <c r="H469" i="5"/>
  <c r="J469" i="5" s="1"/>
  <c r="H468" i="5"/>
  <c r="J468" i="5" s="1"/>
  <c r="H467" i="5"/>
  <c r="J467" i="5" s="1"/>
  <c r="H466" i="5"/>
  <c r="J466" i="5" s="1"/>
  <c r="H465" i="5"/>
  <c r="J465" i="5" s="1"/>
  <c r="H464" i="5"/>
  <c r="J464" i="5" s="1"/>
  <c r="H463" i="5"/>
  <c r="J463" i="5" s="1"/>
  <c r="H462" i="5"/>
  <c r="J462" i="5" s="1"/>
  <c r="H461" i="5"/>
  <c r="J461" i="5" s="1"/>
  <c r="H460" i="5"/>
  <c r="J460" i="5" s="1"/>
  <c r="H459" i="5"/>
  <c r="J459" i="5" s="1"/>
  <c r="H458" i="5"/>
  <c r="J458" i="5" s="1"/>
  <c r="H457" i="5"/>
  <c r="J457" i="5" s="1"/>
  <c r="H456" i="5"/>
  <c r="J456" i="5" s="1"/>
  <c r="H455" i="5"/>
  <c r="J455" i="5" s="1"/>
  <c r="H454" i="5"/>
  <c r="J454" i="5" s="1"/>
  <c r="H453" i="5"/>
  <c r="J453" i="5" s="1"/>
  <c r="H452" i="5"/>
  <c r="J452" i="5" s="1"/>
  <c r="H451" i="5"/>
  <c r="J451" i="5" s="1"/>
  <c r="H450" i="5"/>
  <c r="J450" i="5" s="1"/>
  <c r="H449" i="5"/>
  <c r="J449" i="5" s="1"/>
  <c r="H448" i="5"/>
  <c r="J448" i="5" s="1"/>
  <c r="H447" i="5"/>
  <c r="J447" i="5" s="1"/>
  <c r="H446" i="5"/>
  <c r="J446" i="5" s="1"/>
  <c r="H445" i="5"/>
  <c r="J445" i="5" s="1"/>
  <c r="H444" i="5"/>
  <c r="J444" i="5" s="1"/>
  <c r="H443" i="5"/>
  <c r="J443" i="5" s="1"/>
  <c r="H442" i="5"/>
  <c r="J442" i="5" s="1"/>
  <c r="H441" i="5"/>
  <c r="J441" i="5" s="1"/>
  <c r="H440" i="5"/>
  <c r="J440" i="5" s="1"/>
  <c r="H439" i="5"/>
  <c r="J439" i="5" s="1"/>
  <c r="H438" i="5"/>
  <c r="J438" i="5" s="1"/>
  <c r="H437" i="5"/>
  <c r="J437" i="5" s="1"/>
  <c r="H436" i="5"/>
  <c r="J436" i="5" s="1"/>
  <c r="H435" i="5"/>
  <c r="J435" i="5" s="1"/>
  <c r="H434" i="5"/>
  <c r="J434" i="5" s="1"/>
  <c r="H433" i="5"/>
  <c r="J433" i="5" s="1"/>
  <c r="H432" i="5"/>
  <c r="J432" i="5" s="1"/>
  <c r="H431" i="5"/>
  <c r="J431" i="5" s="1"/>
  <c r="H430" i="5"/>
  <c r="J430" i="5" s="1"/>
  <c r="H429" i="5"/>
  <c r="J429" i="5" s="1"/>
  <c r="H428" i="5"/>
  <c r="J428" i="5" s="1"/>
  <c r="H427" i="5"/>
  <c r="J427" i="5" s="1"/>
  <c r="H426" i="5"/>
  <c r="J426" i="5" s="1"/>
  <c r="H425" i="5"/>
  <c r="J425" i="5" s="1"/>
  <c r="H424" i="5"/>
  <c r="J424" i="5" s="1"/>
  <c r="H423" i="5"/>
  <c r="J423" i="5" s="1"/>
  <c r="H422" i="5"/>
  <c r="J422" i="5" s="1"/>
  <c r="H421" i="5"/>
  <c r="J421" i="5" s="1"/>
  <c r="H420" i="5"/>
  <c r="J420" i="5" s="1"/>
  <c r="H419" i="5"/>
  <c r="J419" i="5" s="1"/>
  <c r="H418" i="5"/>
  <c r="J418" i="5" s="1"/>
  <c r="H417" i="5"/>
  <c r="J417" i="5" s="1"/>
  <c r="H416" i="5"/>
  <c r="J416" i="5" s="1"/>
  <c r="H415" i="5"/>
  <c r="J415" i="5" s="1"/>
  <c r="H414" i="5"/>
  <c r="J414" i="5" s="1"/>
  <c r="H413" i="5"/>
  <c r="J413" i="5" s="1"/>
  <c r="H412" i="5"/>
  <c r="J412" i="5" s="1"/>
  <c r="H411" i="5"/>
  <c r="J411" i="5" s="1"/>
  <c r="H410" i="5"/>
  <c r="J410" i="5" s="1"/>
  <c r="H409" i="5"/>
  <c r="J409" i="5" s="1"/>
  <c r="H408" i="5"/>
  <c r="H407" i="5"/>
  <c r="J407" i="5" s="1"/>
  <c r="H406" i="5"/>
  <c r="J406" i="5" s="1"/>
  <c r="H405" i="5"/>
  <c r="J405" i="5" s="1"/>
  <c r="H404" i="5"/>
  <c r="J404" i="5" s="1"/>
  <c r="H403" i="5"/>
  <c r="J403" i="5" s="1"/>
  <c r="H402" i="5"/>
  <c r="J402" i="5" s="1"/>
  <c r="H401" i="5"/>
  <c r="J401" i="5" s="1"/>
  <c r="H400" i="5"/>
  <c r="J400" i="5" s="1"/>
  <c r="H399" i="5"/>
  <c r="J399" i="5" s="1"/>
  <c r="H398" i="5"/>
  <c r="J398" i="5" s="1"/>
  <c r="H397" i="5"/>
  <c r="J397" i="5" s="1"/>
  <c r="H396" i="5"/>
  <c r="J396" i="5" s="1"/>
  <c r="H395" i="5"/>
  <c r="J395" i="5" s="1"/>
  <c r="H394" i="5"/>
  <c r="J394" i="5" s="1"/>
  <c r="H393" i="5"/>
  <c r="J393" i="5" s="1"/>
  <c r="H392" i="5"/>
  <c r="J392" i="5" s="1"/>
  <c r="H391" i="5"/>
  <c r="J391" i="5" s="1"/>
  <c r="H390" i="5"/>
  <c r="J390" i="5" s="1"/>
  <c r="H389" i="5"/>
  <c r="J389" i="5" s="1"/>
  <c r="H388" i="5"/>
  <c r="J388" i="5" s="1"/>
  <c r="H387" i="5"/>
  <c r="J387" i="5" s="1"/>
  <c r="H386" i="5"/>
  <c r="J386" i="5" s="1"/>
  <c r="H385" i="5"/>
  <c r="J385" i="5" s="1"/>
  <c r="H384" i="5"/>
  <c r="J384" i="5" s="1"/>
  <c r="H383" i="5"/>
  <c r="J383" i="5" s="1"/>
  <c r="H381" i="5"/>
  <c r="J381" i="5" s="1"/>
  <c r="K382" i="5" s="1"/>
  <c r="H379" i="5"/>
  <c r="J379" i="5" s="1"/>
  <c r="K380" i="5" s="1"/>
  <c r="H377" i="5"/>
  <c r="J377" i="5" s="1"/>
  <c r="H376" i="5"/>
  <c r="J376" i="5" s="1"/>
  <c r="H375" i="5"/>
  <c r="J375" i="5" s="1"/>
  <c r="H374" i="5"/>
  <c r="J374" i="5" s="1"/>
  <c r="H373" i="5"/>
  <c r="J373" i="5" s="1"/>
  <c r="H372" i="5"/>
  <c r="J372" i="5" s="1"/>
  <c r="H371" i="5"/>
  <c r="J371" i="5" s="1"/>
  <c r="H368" i="5"/>
  <c r="J368" i="5" s="1"/>
  <c r="H367" i="5"/>
  <c r="J367" i="5" s="1"/>
  <c r="I365" i="5"/>
  <c r="H365" i="5"/>
  <c r="H363" i="5"/>
  <c r="J363" i="5" s="1"/>
  <c r="H362" i="5"/>
  <c r="J362" i="5" s="1"/>
  <c r="H361" i="5"/>
  <c r="J361" i="5" s="1"/>
  <c r="H360" i="5"/>
  <c r="J360" i="5" s="1"/>
  <c r="H359" i="5"/>
  <c r="J359" i="5" s="1"/>
  <c r="H358" i="5"/>
  <c r="J358" i="5" s="1"/>
  <c r="H357" i="5"/>
  <c r="J357" i="5" s="1"/>
  <c r="H356" i="5"/>
  <c r="J356" i="5" s="1"/>
  <c r="H355" i="5"/>
  <c r="J355" i="5" s="1"/>
  <c r="H354" i="5"/>
  <c r="J354" i="5" s="1"/>
  <c r="H353" i="5"/>
  <c r="J353" i="5" s="1"/>
  <c r="H350" i="5"/>
  <c r="J350" i="5" s="1"/>
  <c r="H349" i="5"/>
  <c r="J349" i="5" s="1"/>
  <c r="I348" i="5"/>
  <c r="H348" i="5"/>
  <c r="I347" i="5"/>
  <c r="H347" i="5"/>
  <c r="H346" i="5"/>
  <c r="J346" i="5" s="1"/>
  <c r="H345" i="5"/>
  <c r="J345" i="5" s="1"/>
  <c r="H344" i="5"/>
  <c r="J344" i="5" s="1"/>
  <c r="H343" i="5"/>
  <c r="J343" i="5" s="1"/>
  <c r="H342" i="5"/>
  <c r="J342" i="5" s="1"/>
  <c r="H341" i="5"/>
  <c r="J341" i="5" s="1"/>
  <c r="H340" i="5"/>
  <c r="J340" i="5" s="1"/>
  <c r="I339" i="5"/>
  <c r="H339" i="5"/>
  <c r="I338" i="5"/>
  <c r="H338" i="5"/>
  <c r="I337" i="5"/>
  <c r="H337" i="5"/>
  <c r="I336" i="5"/>
  <c r="H336" i="5"/>
  <c r="I335" i="5"/>
  <c r="H335" i="5"/>
  <c r="I334" i="5"/>
  <c r="H334" i="5"/>
  <c r="I333" i="5"/>
  <c r="H333" i="5"/>
  <c r="I332" i="5"/>
  <c r="H332" i="5"/>
  <c r="I331" i="5"/>
  <c r="H331" i="5"/>
  <c r="I330" i="5"/>
  <c r="H330" i="5"/>
  <c r="H329" i="5"/>
  <c r="J329" i="5" s="1"/>
  <c r="H328" i="5"/>
  <c r="J328" i="5" s="1"/>
  <c r="H327" i="5"/>
  <c r="J327" i="5" s="1"/>
  <c r="H326" i="5"/>
  <c r="J326" i="5" s="1"/>
  <c r="H325" i="5"/>
  <c r="J325" i="5" s="1"/>
  <c r="H324" i="5"/>
  <c r="J324" i="5" s="1"/>
  <c r="H323" i="5"/>
  <c r="J323" i="5" s="1"/>
  <c r="H322" i="5"/>
  <c r="J322" i="5" s="1"/>
  <c r="H321" i="5"/>
  <c r="J321" i="5" s="1"/>
  <c r="I320" i="5"/>
  <c r="H320" i="5"/>
  <c r="I319" i="5"/>
  <c r="H319" i="5"/>
  <c r="I318" i="5"/>
  <c r="H318" i="5"/>
  <c r="H317" i="5"/>
  <c r="J317" i="5" s="1"/>
  <c r="H316" i="5"/>
  <c r="J316" i="5" s="1"/>
  <c r="H315" i="5"/>
  <c r="J315" i="5" s="1"/>
  <c r="H314" i="5"/>
  <c r="J314" i="5" s="1"/>
  <c r="H313" i="5"/>
  <c r="J313" i="5" s="1"/>
  <c r="H312" i="5"/>
  <c r="J312" i="5" s="1"/>
  <c r="H311" i="5"/>
  <c r="J311" i="5" s="1"/>
  <c r="H310" i="5"/>
  <c r="J310" i="5" s="1"/>
  <c r="H309" i="5"/>
  <c r="J309" i="5" s="1"/>
  <c r="H308" i="5"/>
  <c r="J308" i="5" s="1"/>
  <c r="H307" i="5"/>
  <c r="J307" i="5" s="1"/>
  <c r="H306" i="5"/>
  <c r="J306" i="5" s="1"/>
  <c r="H305" i="5"/>
  <c r="J305" i="5" s="1"/>
  <c r="H304" i="5"/>
  <c r="J304" i="5" s="1"/>
  <c r="H303" i="5"/>
  <c r="J303" i="5" s="1"/>
  <c r="H302" i="5"/>
  <c r="J302" i="5" s="1"/>
  <c r="H301" i="5"/>
  <c r="J301" i="5" s="1"/>
  <c r="H300" i="5"/>
  <c r="J300" i="5" s="1"/>
  <c r="H299" i="5"/>
  <c r="J299" i="5" s="1"/>
  <c r="H298" i="5"/>
  <c r="J298" i="5" s="1"/>
  <c r="H297" i="5"/>
  <c r="J297" i="5" s="1"/>
  <c r="H296" i="5"/>
  <c r="J296" i="5" s="1"/>
  <c r="H295" i="5"/>
  <c r="J295" i="5" s="1"/>
  <c r="H294" i="5"/>
  <c r="J294" i="5" s="1"/>
  <c r="H293" i="5"/>
  <c r="J293" i="5" s="1"/>
  <c r="H292" i="5"/>
  <c r="J292" i="5" s="1"/>
  <c r="H291" i="5"/>
  <c r="J291" i="5" s="1"/>
  <c r="H290" i="5"/>
  <c r="J290" i="5" s="1"/>
  <c r="H289" i="5"/>
  <c r="J289" i="5" s="1"/>
  <c r="H288" i="5"/>
  <c r="J288" i="5" s="1"/>
  <c r="H287" i="5"/>
  <c r="J287" i="5" s="1"/>
  <c r="H286" i="5"/>
  <c r="J286" i="5" s="1"/>
  <c r="H285" i="5"/>
  <c r="J285" i="5" s="1"/>
  <c r="H284" i="5"/>
  <c r="J284" i="5" s="1"/>
  <c r="H283" i="5"/>
  <c r="J283" i="5" s="1"/>
  <c r="H282" i="5"/>
  <c r="J282" i="5" s="1"/>
  <c r="H281" i="5"/>
  <c r="J281" i="5" s="1"/>
  <c r="H280" i="5"/>
  <c r="J280" i="5" s="1"/>
  <c r="H279" i="5"/>
  <c r="J279" i="5" s="1"/>
  <c r="H278" i="5"/>
  <c r="J278" i="5" s="1"/>
  <c r="H277" i="5"/>
  <c r="J277" i="5" s="1"/>
  <c r="H276" i="5"/>
  <c r="J276" i="5" s="1"/>
  <c r="H275" i="5"/>
  <c r="J275" i="5" s="1"/>
  <c r="H274" i="5"/>
  <c r="J274" i="5" s="1"/>
  <c r="H273" i="5"/>
  <c r="J273" i="5" s="1"/>
  <c r="H272" i="5"/>
  <c r="J272" i="5" s="1"/>
  <c r="H271" i="5"/>
  <c r="J271" i="5" s="1"/>
  <c r="H270" i="5"/>
  <c r="J270" i="5" s="1"/>
  <c r="G269" i="5"/>
  <c r="E269" i="5"/>
  <c r="G268" i="5"/>
  <c r="H268" i="5" s="1"/>
  <c r="J268" i="5" s="1"/>
  <c r="E268" i="5"/>
  <c r="H267" i="5"/>
  <c r="J267" i="5" s="1"/>
  <c r="H266" i="5"/>
  <c r="J266" i="5" s="1"/>
  <c r="H265" i="5"/>
  <c r="J265" i="5" s="1"/>
  <c r="H264" i="5"/>
  <c r="J264" i="5" s="1"/>
  <c r="H263" i="5"/>
  <c r="J263" i="5" s="1"/>
  <c r="H262" i="5"/>
  <c r="J262" i="5" s="1"/>
  <c r="H261" i="5"/>
  <c r="J261" i="5" s="1"/>
  <c r="H260" i="5"/>
  <c r="J260" i="5" s="1"/>
  <c r="H259" i="5"/>
  <c r="J259" i="5" s="1"/>
  <c r="H258" i="5"/>
  <c r="J258" i="5" s="1"/>
  <c r="H257" i="5"/>
  <c r="J257" i="5" s="1"/>
  <c r="H256" i="5"/>
  <c r="J256" i="5" s="1"/>
  <c r="H255" i="5"/>
  <c r="J255" i="5" s="1"/>
  <c r="H254" i="5"/>
  <c r="J254" i="5" s="1"/>
  <c r="H253" i="5"/>
  <c r="J253" i="5" s="1"/>
  <c r="H252" i="5"/>
  <c r="J252" i="5" s="1"/>
  <c r="H251" i="5"/>
  <c r="J251" i="5" s="1"/>
  <c r="H250" i="5"/>
  <c r="J250" i="5" s="1"/>
  <c r="H249" i="5"/>
  <c r="J249" i="5" s="1"/>
  <c r="H248" i="5"/>
  <c r="J248" i="5" s="1"/>
  <c r="H247" i="5"/>
  <c r="J247" i="5" s="1"/>
  <c r="H246" i="5"/>
  <c r="J246" i="5" s="1"/>
  <c r="H245" i="5"/>
  <c r="J245" i="5" s="1"/>
  <c r="H244" i="5"/>
  <c r="J244" i="5" s="1"/>
  <c r="H243" i="5"/>
  <c r="J243" i="5" s="1"/>
  <c r="H242" i="5"/>
  <c r="J242" i="5" s="1"/>
  <c r="H241" i="5"/>
  <c r="J241" i="5" s="1"/>
  <c r="H240" i="5"/>
  <c r="J240" i="5" s="1"/>
  <c r="H239" i="5"/>
  <c r="J239" i="5" s="1"/>
  <c r="H238" i="5"/>
  <c r="J238" i="5" s="1"/>
  <c r="H237" i="5"/>
  <c r="J237" i="5" s="1"/>
  <c r="H236" i="5"/>
  <c r="J236" i="5" s="1"/>
  <c r="H235" i="5"/>
  <c r="J235" i="5" s="1"/>
  <c r="H234" i="5"/>
  <c r="J234" i="5" s="1"/>
  <c r="H233" i="5"/>
  <c r="J233" i="5" s="1"/>
  <c r="H232" i="5"/>
  <c r="J232" i="5" s="1"/>
  <c r="H231" i="5"/>
  <c r="J231" i="5" s="1"/>
  <c r="H230" i="5"/>
  <c r="J230" i="5" s="1"/>
  <c r="H229" i="5"/>
  <c r="J229" i="5" s="1"/>
  <c r="H228" i="5"/>
  <c r="J228" i="5" s="1"/>
  <c r="H227" i="5"/>
  <c r="J227" i="5" s="1"/>
  <c r="H226" i="5"/>
  <c r="J226" i="5" s="1"/>
  <c r="H225" i="5"/>
  <c r="J225" i="5" s="1"/>
  <c r="H224" i="5"/>
  <c r="J224" i="5" s="1"/>
  <c r="H223" i="5"/>
  <c r="J223" i="5" s="1"/>
  <c r="H222" i="5"/>
  <c r="J222" i="5" s="1"/>
  <c r="H221" i="5"/>
  <c r="J221" i="5" s="1"/>
  <c r="H220" i="5"/>
  <c r="J220" i="5" s="1"/>
  <c r="H219" i="5"/>
  <c r="J219" i="5" s="1"/>
  <c r="H218" i="5"/>
  <c r="J218" i="5" s="1"/>
  <c r="H217" i="5"/>
  <c r="J217" i="5" s="1"/>
  <c r="H216" i="5"/>
  <c r="J216" i="5" s="1"/>
  <c r="H215" i="5"/>
  <c r="J215" i="5" s="1"/>
  <c r="H214" i="5"/>
  <c r="J214" i="5" s="1"/>
  <c r="H213" i="5"/>
  <c r="J213" i="5" s="1"/>
  <c r="H212" i="5"/>
  <c r="J212" i="5" s="1"/>
  <c r="H211" i="5"/>
  <c r="J211" i="5" s="1"/>
  <c r="H210" i="5"/>
  <c r="J210" i="5" s="1"/>
  <c r="H209" i="5"/>
  <c r="J209" i="5" s="1"/>
  <c r="H208" i="5"/>
  <c r="J208" i="5" s="1"/>
  <c r="H207" i="5"/>
  <c r="J207" i="5" s="1"/>
  <c r="H206" i="5"/>
  <c r="J206" i="5" s="1"/>
  <c r="H205" i="5"/>
  <c r="J205" i="5" s="1"/>
  <c r="H204" i="5"/>
  <c r="J204" i="5" s="1"/>
  <c r="H203" i="5"/>
  <c r="J203" i="5" s="1"/>
  <c r="H202" i="5"/>
  <c r="J202" i="5" s="1"/>
  <c r="H201" i="5"/>
  <c r="J201" i="5" s="1"/>
  <c r="H200" i="5"/>
  <c r="J200" i="5" s="1"/>
  <c r="H199" i="5"/>
  <c r="J199" i="5" s="1"/>
  <c r="H198" i="5"/>
  <c r="J198" i="5" s="1"/>
  <c r="H197" i="5"/>
  <c r="J197" i="5" s="1"/>
  <c r="H196" i="5"/>
  <c r="J196" i="5" s="1"/>
  <c r="H195" i="5"/>
  <c r="J195" i="5" s="1"/>
  <c r="H194" i="5"/>
  <c r="J194" i="5" s="1"/>
  <c r="H193" i="5"/>
  <c r="J193" i="5" s="1"/>
  <c r="H192" i="5"/>
  <c r="J192" i="5" s="1"/>
  <c r="H191" i="5"/>
  <c r="J191" i="5" s="1"/>
  <c r="H190" i="5"/>
  <c r="J190" i="5" s="1"/>
  <c r="H189" i="5"/>
  <c r="J189" i="5" s="1"/>
  <c r="H188" i="5"/>
  <c r="J188" i="5" s="1"/>
  <c r="H187" i="5"/>
  <c r="J187" i="5" s="1"/>
  <c r="H186" i="5"/>
  <c r="J186" i="5" s="1"/>
  <c r="H185" i="5"/>
  <c r="J185" i="5" s="1"/>
  <c r="H184" i="5"/>
  <c r="J184" i="5" s="1"/>
  <c r="H183" i="5"/>
  <c r="J183" i="5" s="1"/>
  <c r="H182" i="5"/>
  <c r="J182" i="5" s="1"/>
  <c r="G181" i="5"/>
  <c r="E181" i="5"/>
  <c r="H180" i="5"/>
  <c r="J180" i="5" s="1"/>
  <c r="H179" i="5"/>
  <c r="J179" i="5" s="1"/>
  <c r="H178" i="5"/>
  <c r="J178" i="5" s="1"/>
  <c r="H177" i="5"/>
  <c r="J177" i="5" s="1"/>
  <c r="H176" i="5"/>
  <c r="J176" i="5" s="1"/>
  <c r="H175" i="5"/>
  <c r="J175" i="5" s="1"/>
  <c r="H174" i="5"/>
  <c r="J174" i="5" s="1"/>
  <c r="H173" i="5"/>
  <c r="J173" i="5" s="1"/>
  <c r="H172" i="5"/>
  <c r="J172" i="5" s="1"/>
  <c r="H171" i="5"/>
  <c r="J171" i="5" s="1"/>
  <c r="H170" i="5"/>
  <c r="J170" i="5" s="1"/>
  <c r="G169" i="5"/>
  <c r="E169" i="5"/>
  <c r="G168" i="5"/>
  <c r="E168" i="5"/>
  <c r="H167" i="5"/>
  <c r="J167" i="5" s="1"/>
  <c r="H166" i="5"/>
  <c r="J166" i="5" s="1"/>
  <c r="H165" i="5"/>
  <c r="J165" i="5" s="1"/>
  <c r="H164" i="5"/>
  <c r="J164" i="5" s="1"/>
  <c r="H163" i="5"/>
  <c r="J163" i="5" s="1"/>
  <c r="H162" i="5"/>
  <c r="J162" i="5" s="1"/>
  <c r="H161" i="5"/>
  <c r="J161" i="5" s="1"/>
  <c r="H160" i="5"/>
  <c r="J160" i="5" s="1"/>
  <c r="H159" i="5"/>
  <c r="J159" i="5" s="1"/>
  <c r="H158" i="5"/>
  <c r="J158" i="5" s="1"/>
  <c r="H157" i="5"/>
  <c r="J157" i="5" s="1"/>
  <c r="H156" i="5"/>
  <c r="J156" i="5" s="1"/>
  <c r="H155" i="5"/>
  <c r="J155" i="5" s="1"/>
  <c r="H154" i="5"/>
  <c r="J154" i="5" s="1"/>
  <c r="H153" i="5"/>
  <c r="J153" i="5" s="1"/>
  <c r="H152" i="5"/>
  <c r="J152" i="5" s="1"/>
  <c r="H151" i="5"/>
  <c r="J151" i="5" s="1"/>
  <c r="H150" i="5"/>
  <c r="J150" i="5" s="1"/>
  <c r="H149" i="5"/>
  <c r="J149" i="5" s="1"/>
  <c r="H148" i="5"/>
  <c r="J148" i="5" s="1"/>
  <c r="H147" i="5"/>
  <c r="J147" i="5" s="1"/>
  <c r="H146" i="5"/>
  <c r="J146" i="5" s="1"/>
  <c r="H145" i="5"/>
  <c r="J145" i="5" s="1"/>
  <c r="G144" i="5"/>
  <c r="H144" i="5" s="1"/>
  <c r="J144" i="5" s="1"/>
  <c r="E144" i="5"/>
  <c r="G143" i="5"/>
  <c r="E143" i="5"/>
  <c r="H142" i="5"/>
  <c r="J142" i="5" s="1"/>
  <c r="H141" i="5"/>
  <c r="J141" i="5" s="1"/>
  <c r="H140" i="5"/>
  <c r="J140" i="5" s="1"/>
  <c r="H139" i="5"/>
  <c r="J139" i="5" s="1"/>
  <c r="H138" i="5"/>
  <c r="J138" i="5" s="1"/>
  <c r="H137" i="5"/>
  <c r="J137" i="5" s="1"/>
  <c r="H136" i="5"/>
  <c r="J136" i="5" s="1"/>
  <c r="H135" i="5"/>
  <c r="J135" i="5" s="1"/>
  <c r="H134" i="5"/>
  <c r="J134" i="5" s="1"/>
  <c r="H133" i="5"/>
  <c r="J133" i="5" s="1"/>
  <c r="H132" i="5"/>
  <c r="J132" i="5" s="1"/>
  <c r="H131" i="5"/>
  <c r="J131" i="5" s="1"/>
  <c r="I130" i="5"/>
  <c r="H130" i="5"/>
  <c r="H129" i="5"/>
  <c r="J129" i="5" s="1"/>
  <c r="H128" i="5"/>
  <c r="J128" i="5" s="1"/>
  <c r="H127" i="5"/>
  <c r="J127" i="5" s="1"/>
  <c r="H126" i="5"/>
  <c r="J126" i="5" s="1"/>
  <c r="H125" i="5"/>
  <c r="J125" i="5" s="1"/>
  <c r="H124" i="5"/>
  <c r="J124" i="5" s="1"/>
  <c r="H123" i="5"/>
  <c r="J123" i="5" s="1"/>
  <c r="H122" i="5"/>
  <c r="J122" i="5" s="1"/>
  <c r="H121" i="5"/>
  <c r="J121" i="5" s="1"/>
  <c r="H120" i="5"/>
  <c r="J120" i="5" s="1"/>
  <c r="H119" i="5"/>
  <c r="J119" i="5" s="1"/>
  <c r="H118" i="5"/>
  <c r="J118" i="5" s="1"/>
  <c r="H117" i="5"/>
  <c r="J117" i="5" s="1"/>
  <c r="H116" i="5"/>
  <c r="J116" i="5" s="1"/>
  <c r="H115" i="5"/>
  <c r="J115" i="5" s="1"/>
  <c r="H114" i="5"/>
  <c r="J114" i="5" s="1"/>
  <c r="H113" i="5"/>
  <c r="J113" i="5" s="1"/>
  <c r="H112" i="5"/>
  <c r="J112" i="5" s="1"/>
  <c r="H111" i="5"/>
  <c r="J111" i="5" s="1"/>
  <c r="H110" i="5"/>
  <c r="J110" i="5" s="1"/>
  <c r="H109" i="5"/>
  <c r="J109" i="5" s="1"/>
  <c r="H108" i="5"/>
  <c r="J108" i="5" s="1"/>
  <c r="H107" i="5"/>
  <c r="J107" i="5" s="1"/>
  <c r="H106" i="5"/>
  <c r="J106" i="5" s="1"/>
  <c r="H105" i="5"/>
  <c r="J105" i="5" s="1"/>
  <c r="H104" i="5"/>
  <c r="J104" i="5" s="1"/>
  <c r="H103" i="5"/>
  <c r="J103" i="5" s="1"/>
  <c r="H101" i="5"/>
  <c r="J101" i="5" s="1"/>
  <c r="H100" i="5"/>
  <c r="J100" i="5" s="1"/>
  <c r="H99" i="5"/>
  <c r="J99" i="5" s="1"/>
  <c r="H98" i="5"/>
  <c r="J98" i="5" s="1"/>
  <c r="H97" i="5"/>
  <c r="J97" i="5" s="1"/>
  <c r="H96" i="5"/>
  <c r="J96" i="5" s="1"/>
  <c r="H95" i="5"/>
  <c r="J95" i="5" s="1"/>
  <c r="H94" i="5"/>
  <c r="J94" i="5" s="1"/>
  <c r="H93" i="5"/>
  <c r="J93" i="5" s="1"/>
  <c r="H92" i="5"/>
  <c r="J92" i="5" s="1"/>
  <c r="H91" i="5"/>
  <c r="J91" i="5" s="1"/>
  <c r="H90" i="5"/>
  <c r="J90" i="5" s="1"/>
  <c r="H89" i="5"/>
  <c r="J89" i="5" s="1"/>
  <c r="H88" i="5"/>
  <c r="J88" i="5" s="1"/>
  <c r="H87" i="5"/>
  <c r="J87" i="5" s="1"/>
  <c r="H86" i="5"/>
  <c r="J86" i="5" s="1"/>
  <c r="H85" i="5"/>
  <c r="J85" i="5" s="1"/>
  <c r="H84" i="5"/>
  <c r="J84" i="5" s="1"/>
  <c r="H83" i="5"/>
  <c r="J83" i="5" s="1"/>
  <c r="H82" i="5"/>
  <c r="J82" i="5" s="1"/>
  <c r="H81" i="5"/>
  <c r="J81" i="5" s="1"/>
  <c r="H80" i="5"/>
  <c r="J80" i="5" s="1"/>
  <c r="H79" i="5"/>
  <c r="J79" i="5" s="1"/>
  <c r="H78" i="5"/>
  <c r="J78" i="5" s="1"/>
  <c r="H76" i="5"/>
  <c r="J76" i="5" s="1"/>
  <c r="H75" i="5"/>
  <c r="J75" i="5" s="1"/>
  <c r="H74" i="5"/>
  <c r="J74" i="5" s="1"/>
  <c r="H73" i="5"/>
  <c r="J73" i="5" s="1"/>
  <c r="H72" i="5"/>
  <c r="J72" i="5" s="1"/>
  <c r="I71" i="5"/>
  <c r="H71" i="5"/>
  <c r="H70" i="5"/>
  <c r="J70" i="5" s="1"/>
  <c r="H69" i="5"/>
  <c r="J69" i="5" s="1"/>
  <c r="H67" i="5"/>
  <c r="J67" i="5" s="1"/>
  <c r="H66" i="5"/>
  <c r="J66" i="5" s="1"/>
  <c r="H65" i="5"/>
  <c r="J65" i="5" s="1"/>
  <c r="H64" i="5"/>
  <c r="J64" i="5" s="1"/>
  <c r="H63" i="5"/>
  <c r="J63" i="5" s="1"/>
  <c r="H62" i="5"/>
  <c r="J62" i="5" s="1"/>
  <c r="H61" i="5"/>
  <c r="J61" i="5" s="1"/>
  <c r="H60" i="5"/>
  <c r="J60" i="5" s="1"/>
  <c r="H59" i="5"/>
  <c r="J59" i="5" s="1"/>
  <c r="H58" i="5"/>
  <c r="J58" i="5" s="1"/>
  <c r="H57" i="5"/>
  <c r="J57" i="5" s="1"/>
  <c r="H56" i="5"/>
  <c r="J56" i="5" s="1"/>
  <c r="H55" i="5"/>
  <c r="J55" i="5" s="1"/>
  <c r="H54" i="5"/>
  <c r="J54" i="5" s="1"/>
  <c r="H53" i="5"/>
  <c r="J53" i="5" s="1"/>
  <c r="H52" i="5"/>
  <c r="J52" i="5" s="1"/>
  <c r="H51" i="5"/>
  <c r="J51" i="5" s="1"/>
  <c r="H50" i="5"/>
  <c r="J50" i="5" s="1"/>
  <c r="H49" i="5"/>
  <c r="J49" i="5" s="1"/>
  <c r="H48" i="5"/>
  <c r="J48" i="5" s="1"/>
  <c r="J47" i="5"/>
  <c r="J46" i="5"/>
  <c r="J45" i="5"/>
  <c r="J44" i="5"/>
  <c r="H43" i="5"/>
  <c r="J43" i="5" s="1"/>
  <c r="J42" i="5"/>
  <c r="H41" i="5"/>
  <c r="J41" i="5" s="1"/>
  <c r="J40" i="5"/>
  <c r="J39" i="5"/>
  <c r="H38" i="5"/>
  <c r="J38" i="5" s="1"/>
  <c r="H37" i="5"/>
  <c r="J37" i="5" s="1"/>
  <c r="H36" i="5"/>
  <c r="J36" i="5" s="1"/>
  <c r="H35" i="5"/>
  <c r="J35" i="5" s="1"/>
  <c r="H34" i="5"/>
  <c r="J34" i="5" s="1"/>
  <c r="H33" i="5"/>
  <c r="J33" i="5" s="1"/>
  <c r="H32" i="5"/>
  <c r="J32" i="5" s="1"/>
  <c r="H31" i="5"/>
  <c r="J31" i="5" s="1"/>
  <c r="H30" i="5"/>
  <c r="J30" i="5" s="1"/>
  <c r="H29" i="5"/>
  <c r="J29" i="5" s="1"/>
  <c r="H27" i="5"/>
  <c r="J27" i="5" s="1"/>
  <c r="H26" i="5"/>
  <c r="J26" i="5" s="1"/>
  <c r="H24" i="5"/>
  <c r="J24" i="5" s="1"/>
  <c r="H23" i="5"/>
  <c r="J23" i="5" s="1"/>
  <c r="I22" i="5"/>
  <c r="H22" i="5"/>
  <c r="J22" i="5" s="1"/>
  <c r="H21" i="5"/>
  <c r="J21" i="5" s="1"/>
  <c r="H20" i="5"/>
  <c r="J20" i="5" s="1"/>
  <c r="H19" i="5"/>
  <c r="J19" i="5" s="1"/>
  <c r="H18" i="5"/>
  <c r="J18" i="5" s="1"/>
  <c r="H17" i="5"/>
  <c r="J17" i="5" s="1"/>
  <c r="H15" i="5"/>
  <c r="J15" i="5" s="1"/>
  <c r="D14" i="5"/>
  <c r="H14" i="5" s="1"/>
  <c r="J14" i="5" s="1"/>
  <c r="H13" i="5"/>
  <c r="J13" i="5" s="1"/>
  <c r="H12" i="5"/>
  <c r="J12" i="5" s="1"/>
  <c r="H11" i="5"/>
  <c r="J11" i="5" s="1"/>
  <c r="J331" i="6" l="1"/>
  <c r="H269" i="6"/>
  <c r="J269" i="6" s="1"/>
  <c r="J318" i="5"/>
  <c r="J347" i="5"/>
  <c r="J582" i="5"/>
  <c r="J582" i="6"/>
  <c r="H269" i="5"/>
  <c r="J269" i="5" s="1"/>
  <c r="H168" i="5"/>
  <c r="J168" i="5" s="1"/>
  <c r="J784" i="5"/>
  <c r="K788" i="5" s="1"/>
  <c r="H168" i="6"/>
  <c r="J168" i="6" s="1"/>
  <c r="H181" i="6"/>
  <c r="J181" i="6" s="1"/>
  <c r="J511" i="6"/>
  <c r="J644" i="6"/>
  <c r="J695" i="6"/>
  <c r="J697" i="6"/>
  <c r="J560" i="5"/>
  <c r="J130" i="6"/>
  <c r="J347" i="6"/>
  <c r="J365" i="6"/>
  <c r="J559" i="6"/>
  <c r="J562" i="6"/>
  <c r="J757" i="6"/>
  <c r="H181" i="5"/>
  <c r="J181" i="5" s="1"/>
  <c r="J330" i="5"/>
  <c r="J332" i="5"/>
  <c r="J334" i="5"/>
  <c r="J338" i="5"/>
  <c r="J365" i="5"/>
  <c r="J644" i="5"/>
  <c r="J695" i="5"/>
  <c r="J697" i="5"/>
  <c r="H268" i="6"/>
  <c r="J268" i="6" s="1"/>
  <c r="J318" i="6"/>
  <c r="J320" i="6"/>
  <c r="J580" i="6"/>
  <c r="K584" i="6" s="1"/>
  <c r="J784" i="6"/>
  <c r="K788" i="6" s="1"/>
  <c r="H144" i="6"/>
  <c r="J144" i="6" s="1"/>
  <c r="J71" i="6"/>
  <c r="H143" i="6"/>
  <c r="J143" i="6" s="1"/>
  <c r="J319" i="6"/>
  <c r="J335" i="6"/>
  <c r="J337" i="6"/>
  <c r="J339" i="6"/>
  <c r="J348" i="6"/>
  <c r="J532" i="6"/>
  <c r="K535" i="6" s="1"/>
  <c r="J545" i="6"/>
  <c r="K493" i="6"/>
  <c r="J333" i="6"/>
  <c r="K780" i="6"/>
  <c r="J560" i="6"/>
  <c r="K68" i="6"/>
  <c r="K610" i="6"/>
  <c r="K795" i="6"/>
  <c r="K528" i="6"/>
  <c r="K641" i="6"/>
  <c r="K16" i="6"/>
  <c r="K28" i="6"/>
  <c r="J567" i="6"/>
  <c r="J696" i="6"/>
  <c r="K102" i="6"/>
  <c r="K77" i="6"/>
  <c r="K25" i="6"/>
  <c r="H169" i="6"/>
  <c r="J169" i="6" s="1"/>
  <c r="K517" i="6"/>
  <c r="K471" i="6"/>
  <c r="J555" i="6"/>
  <c r="K589" i="6"/>
  <c r="K616" i="6"/>
  <c r="J336" i="6"/>
  <c r="J538" i="6"/>
  <c r="K539" i="6" s="1"/>
  <c r="K791" i="6"/>
  <c r="K28" i="5"/>
  <c r="J130" i="5"/>
  <c r="H143" i="5"/>
  <c r="J143" i="5" s="1"/>
  <c r="J348" i="5"/>
  <c r="J555" i="5"/>
  <c r="J757" i="5"/>
  <c r="H169" i="5"/>
  <c r="J169" i="5" s="1"/>
  <c r="J319" i="5"/>
  <c r="J335" i="5"/>
  <c r="J337" i="5"/>
  <c r="J339" i="5"/>
  <c r="J545" i="5"/>
  <c r="J562" i="5"/>
  <c r="J696" i="5"/>
  <c r="J336" i="5"/>
  <c r="K16" i="5"/>
  <c r="J567" i="5"/>
  <c r="J71" i="5"/>
  <c r="K77" i="5" s="1"/>
  <c r="J333" i="5"/>
  <c r="K616" i="5"/>
  <c r="K791" i="5"/>
  <c r="K795" i="5"/>
  <c r="K493" i="5"/>
  <c r="K528" i="5"/>
  <c r="K641" i="5"/>
  <c r="K780" i="5"/>
  <c r="K102" i="5"/>
  <c r="K25" i="5"/>
  <c r="K68" i="5"/>
  <c r="K471" i="5"/>
  <c r="K610" i="5"/>
  <c r="J331" i="5"/>
  <c r="J511" i="5"/>
  <c r="K517" i="5" s="1"/>
  <c r="J532" i="5"/>
  <c r="K535" i="5" s="1"/>
  <c r="J559" i="5"/>
  <c r="J320" i="5"/>
  <c r="J580" i="5"/>
  <c r="K584" i="5" s="1"/>
  <c r="J538" i="5"/>
  <c r="K539" i="5" s="1"/>
  <c r="K589" i="5"/>
  <c r="K770" i="5" l="1"/>
  <c r="K572" i="6"/>
  <c r="K770" i="6"/>
  <c r="K378" i="6"/>
  <c r="K797" i="6" s="1"/>
  <c r="K561" i="6"/>
  <c r="K378" i="5"/>
  <c r="K561" i="5"/>
  <c r="K572" i="5"/>
  <c r="K797" i="5" l="1"/>
  <c r="H366" i="2"/>
  <c r="J366" i="2" s="1"/>
  <c r="H364" i="2"/>
  <c r="J364" i="2" s="1"/>
  <c r="H350" i="2"/>
  <c r="H351" i="2"/>
  <c r="J351" i="2" s="1"/>
  <c r="H352" i="2"/>
  <c r="J352" i="2" s="1"/>
  <c r="H39" i="2" l="1"/>
  <c r="J39" i="2" s="1"/>
  <c r="H40" i="2"/>
  <c r="J40" i="2" s="1"/>
  <c r="H41" i="2"/>
  <c r="J41" i="2" s="1"/>
  <c r="H42" i="2"/>
  <c r="J42" i="2" s="1"/>
  <c r="H43" i="2"/>
  <c r="J43" i="2" s="1"/>
  <c r="H44" i="2"/>
  <c r="J44" i="2" s="1"/>
  <c r="H45" i="2"/>
  <c r="J45" i="2" s="1"/>
  <c r="H46" i="2"/>
  <c r="J46" i="2" s="1"/>
  <c r="H47" i="2"/>
  <c r="J47" i="2" s="1"/>
  <c r="H48" i="2"/>
  <c r="J48" i="2" s="1"/>
  <c r="H49" i="2"/>
  <c r="J49" i="2" s="1"/>
  <c r="H50" i="2"/>
  <c r="J50" i="2" s="1"/>
  <c r="H51" i="2"/>
  <c r="J51" i="2" s="1"/>
  <c r="H52" i="2"/>
  <c r="J52" i="2" s="1"/>
  <c r="H53" i="2"/>
  <c r="J53" i="2" s="1"/>
  <c r="H54" i="2"/>
  <c r="J54" i="2" s="1"/>
  <c r="H55" i="2"/>
  <c r="J55" i="2" s="1"/>
  <c r="H56" i="2"/>
  <c r="J56" i="2" s="1"/>
  <c r="H57" i="2"/>
  <c r="J57" i="2" s="1"/>
  <c r="H58" i="2"/>
  <c r="J58" i="2" s="1"/>
  <c r="H59" i="2"/>
  <c r="J59" i="2" s="1"/>
  <c r="H60" i="2"/>
  <c r="J60" i="2" s="1"/>
  <c r="H61" i="2"/>
  <c r="J61" i="2" s="1"/>
  <c r="H62" i="2"/>
  <c r="J62" i="2" s="1"/>
  <c r="H63" i="2"/>
  <c r="J63" i="2" s="1"/>
  <c r="H64" i="2"/>
  <c r="J64" i="2" s="1"/>
  <c r="H65" i="2"/>
  <c r="J65" i="2" s="1"/>
  <c r="H66" i="2"/>
  <c r="J66" i="2" s="1"/>
  <c r="H67" i="2"/>
  <c r="J67" i="2" s="1"/>
  <c r="H35" i="2"/>
  <c r="J35" i="2" s="1"/>
  <c r="H36" i="2"/>
  <c r="J36" i="2" s="1"/>
  <c r="H37" i="2"/>
  <c r="J37" i="2" s="1"/>
  <c r="H794" i="2"/>
  <c r="J794" i="2" s="1"/>
  <c r="H793" i="2"/>
  <c r="J793" i="2" s="1"/>
  <c r="H792" i="2"/>
  <c r="J792" i="2" s="1"/>
  <c r="H790" i="2"/>
  <c r="J790" i="2" s="1"/>
  <c r="H789" i="2"/>
  <c r="J789" i="2" s="1"/>
  <c r="H787" i="2"/>
  <c r="J787" i="2" s="1"/>
  <c r="H786" i="2"/>
  <c r="J786" i="2" s="1"/>
  <c r="H785" i="2"/>
  <c r="J785" i="2" s="1"/>
  <c r="I784" i="2"/>
  <c r="H784" i="2"/>
  <c r="H783" i="2"/>
  <c r="J783" i="2" s="1"/>
  <c r="H782" i="2"/>
  <c r="J782" i="2" s="1"/>
  <c r="H781" i="2"/>
  <c r="J781" i="2" s="1"/>
  <c r="H779" i="2"/>
  <c r="J779" i="2" s="1"/>
  <c r="H778" i="2"/>
  <c r="J778" i="2" s="1"/>
  <c r="H777" i="2"/>
  <c r="J777" i="2" s="1"/>
  <c r="H776" i="2"/>
  <c r="J776" i="2" s="1"/>
  <c r="H775" i="2"/>
  <c r="J775" i="2" s="1"/>
  <c r="H774" i="2"/>
  <c r="J774" i="2" s="1"/>
  <c r="H773" i="2"/>
  <c r="J773" i="2" s="1"/>
  <c r="H772" i="2"/>
  <c r="J772" i="2" s="1"/>
  <c r="H771" i="2"/>
  <c r="J771" i="2" s="1"/>
  <c r="H769" i="2"/>
  <c r="J769" i="2" s="1"/>
  <c r="H768" i="2"/>
  <c r="J768" i="2" s="1"/>
  <c r="H767" i="2"/>
  <c r="J767" i="2" s="1"/>
  <c r="H766" i="2"/>
  <c r="J766" i="2" s="1"/>
  <c r="H765" i="2"/>
  <c r="J765" i="2" s="1"/>
  <c r="H764" i="2"/>
  <c r="J764" i="2" s="1"/>
  <c r="H763" i="2"/>
  <c r="J763" i="2" s="1"/>
  <c r="H762" i="2"/>
  <c r="J762" i="2" s="1"/>
  <c r="H761" i="2"/>
  <c r="J761" i="2" s="1"/>
  <c r="H760" i="2"/>
  <c r="J760" i="2" s="1"/>
  <c r="H759" i="2"/>
  <c r="J759" i="2" s="1"/>
  <c r="H758" i="2"/>
  <c r="J758" i="2" s="1"/>
  <c r="I757" i="2"/>
  <c r="H757" i="2"/>
  <c r="H756" i="2"/>
  <c r="J756" i="2" s="1"/>
  <c r="H755" i="2"/>
  <c r="J755" i="2" s="1"/>
  <c r="H754" i="2"/>
  <c r="J754" i="2" s="1"/>
  <c r="H753" i="2"/>
  <c r="J753" i="2" s="1"/>
  <c r="H752" i="2"/>
  <c r="J752" i="2" s="1"/>
  <c r="H751" i="2"/>
  <c r="J751" i="2" s="1"/>
  <c r="H750" i="2"/>
  <c r="J750" i="2" s="1"/>
  <c r="H749" i="2"/>
  <c r="J749" i="2" s="1"/>
  <c r="H748" i="2"/>
  <c r="J748" i="2" s="1"/>
  <c r="H747" i="2"/>
  <c r="J747" i="2" s="1"/>
  <c r="H746" i="2"/>
  <c r="J746" i="2" s="1"/>
  <c r="H745" i="2"/>
  <c r="J745" i="2" s="1"/>
  <c r="H744" i="2"/>
  <c r="J744" i="2" s="1"/>
  <c r="H743" i="2"/>
  <c r="J743" i="2" s="1"/>
  <c r="H742" i="2"/>
  <c r="J742" i="2" s="1"/>
  <c r="H741" i="2"/>
  <c r="J741" i="2" s="1"/>
  <c r="H740" i="2"/>
  <c r="J740" i="2" s="1"/>
  <c r="H739" i="2"/>
  <c r="J739" i="2" s="1"/>
  <c r="H738" i="2"/>
  <c r="J738" i="2" s="1"/>
  <c r="H737" i="2"/>
  <c r="J737" i="2" s="1"/>
  <c r="H736" i="2"/>
  <c r="J736" i="2" s="1"/>
  <c r="H735" i="2"/>
  <c r="J735" i="2" s="1"/>
  <c r="H734" i="2"/>
  <c r="J734" i="2" s="1"/>
  <c r="H733" i="2"/>
  <c r="J733" i="2" s="1"/>
  <c r="H732" i="2"/>
  <c r="J732" i="2" s="1"/>
  <c r="H731" i="2"/>
  <c r="J731" i="2" s="1"/>
  <c r="H730" i="2"/>
  <c r="J730" i="2" s="1"/>
  <c r="H729" i="2"/>
  <c r="J729" i="2" s="1"/>
  <c r="H728" i="2"/>
  <c r="J728" i="2" s="1"/>
  <c r="H727" i="2"/>
  <c r="J727" i="2" s="1"/>
  <c r="H726" i="2"/>
  <c r="J726" i="2" s="1"/>
  <c r="H725" i="2"/>
  <c r="J725" i="2" s="1"/>
  <c r="H724" i="2"/>
  <c r="J724" i="2" s="1"/>
  <c r="H723" i="2"/>
  <c r="J723" i="2" s="1"/>
  <c r="H722" i="2"/>
  <c r="J722" i="2" s="1"/>
  <c r="H721" i="2"/>
  <c r="J721" i="2" s="1"/>
  <c r="H720" i="2"/>
  <c r="J720" i="2" s="1"/>
  <c r="H719" i="2"/>
  <c r="J719" i="2" s="1"/>
  <c r="H718" i="2"/>
  <c r="J718" i="2" s="1"/>
  <c r="H717" i="2"/>
  <c r="J717" i="2" s="1"/>
  <c r="H716" i="2"/>
  <c r="J716" i="2" s="1"/>
  <c r="H715" i="2"/>
  <c r="J715" i="2" s="1"/>
  <c r="H714" i="2"/>
  <c r="J714" i="2" s="1"/>
  <c r="H713" i="2"/>
  <c r="J713" i="2" s="1"/>
  <c r="H712" i="2"/>
  <c r="J712" i="2" s="1"/>
  <c r="H711" i="2"/>
  <c r="J711" i="2" s="1"/>
  <c r="H710" i="2"/>
  <c r="J710" i="2" s="1"/>
  <c r="H709" i="2"/>
  <c r="J709" i="2" s="1"/>
  <c r="H708" i="2"/>
  <c r="J708" i="2" s="1"/>
  <c r="H707" i="2"/>
  <c r="J707" i="2" s="1"/>
  <c r="H706" i="2"/>
  <c r="J706" i="2" s="1"/>
  <c r="H705" i="2"/>
  <c r="J705" i="2" s="1"/>
  <c r="H704" i="2"/>
  <c r="J704" i="2" s="1"/>
  <c r="H703" i="2"/>
  <c r="J703" i="2" s="1"/>
  <c r="H702" i="2"/>
  <c r="J702" i="2" s="1"/>
  <c r="H701" i="2"/>
  <c r="J701" i="2" s="1"/>
  <c r="H700" i="2"/>
  <c r="J700" i="2" s="1"/>
  <c r="H699" i="2"/>
  <c r="J699" i="2" s="1"/>
  <c r="H698" i="2"/>
  <c r="J698" i="2" s="1"/>
  <c r="H697" i="2"/>
  <c r="J697" i="2" s="1"/>
  <c r="I696" i="2"/>
  <c r="H696" i="2"/>
  <c r="I695" i="2"/>
  <c r="H695" i="2"/>
  <c r="I694" i="2"/>
  <c r="H694" i="2"/>
  <c r="H693" i="2"/>
  <c r="J693" i="2" s="1"/>
  <c r="H692" i="2"/>
  <c r="J692" i="2" s="1"/>
  <c r="H691" i="2"/>
  <c r="J691" i="2" s="1"/>
  <c r="H690" i="2"/>
  <c r="J690" i="2" s="1"/>
  <c r="H689" i="2"/>
  <c r="J689" i="2" s="1"/>
  <c r="H688" i="2"/>
  <c r="J688" i="2" s="1"/>
  <c r="H687" i="2"/>
  <c r="J687" i="2" s="1"/>
  <c r="H686" i="2"/>
  <c r="J686" i="2" s="1"/>
  <c r="H685" i="2"/>
  <c r="J685" i="2" s="1"/>
  <c r="H684" i="2"/>
  <c r="J684" i="2" s="1"/>
  <c r="H683" i="2"/>
  <c r="J683" i="2" s="1"/>
  <c r="H682" i="2"/>
  <c r="J682" i="2" s="1"/>
  <c r="H681" i="2"/>
  <c r="J681" i="2" s="1"/>
  <c r="H680" i="2"/>
  <c r="J680" i="2" s="1"/>
  <c r="H679" i="2"/>
  <c r="J679" i="2" s="1"/>
  <c r="H678" i="2"/>
  <c r="J678" i="2" s="1"/>
  <c r="H677" i="2"/>
  <c r="J677" i="2" s="1"/>
  <c r="H676" i="2"/>
  <c r="J676" i="2" s="1"/>
  <c r="H675" i="2"/>
  <c r="J675" i="2" s="1"/>
  <c r="H674" i="2"/>
  <c r="J674" i="2" s="1"/>
  <c r="H673" i="2"/>
  <c r="J673" i="2" s="1"/>
  <c r="H672" i="2"/>
  <c r="J672" i="2" s="1"/>
  <c r="H671" i="2"/>
  <c r="J671" i="2" s="1"/>
  <c r="H670" i="2"/>
  <c r="J670" i="2" s="1"/>
  <c r="H669" i="2"/>
  <c r="J669" i="2" s="1"/>
  <c r="H668" i="2"/>
  <c r="J668" i="2" s="1"/>
  <c r="H667" i="2"/>
  <c r="J667" i="2" s="1"/>
  <c r="H666" i="2"/>
  <c r="J666" i="2" s="1"/>
  <c r="H665" i="2"/>
  <c r="J665" i="2" s="1"/>
  <c r="H664" i="2"/>
  <c r="J664" i="2" s="1"/>
  <c r="H663" i="2"/>
  <c r="J663" i="2" s="1"/>
  <c r="H662" i="2"/>
  <c r="J662" i="2" s="1"/>
  <c r="H661" i="2"/>
  <c r="J661" i="2" s="1"/>
  <c r="H660" i="2"/>
  <c r="J660" i="2" s="1"/>
  <c r="H659" i="2"/>
  <c r="J659" i="2" s="1"/>
  <c r="H658" i="2"/>
  <c r="J658" i="2" s="1"/>
  <c r="H657" i="2"/>
  <c r="J657" i="2" s="1"/>
  <c r="H656" i="2"/>
  <c r="J656" i="2" s="1"/>
  <c r="H655" i="2"/>
  <c r="J655" i="2" s="1"/>
  <c r="H654" i="2"/>
  <c r="J654" i="2" s="1"/>
  <c r="H653" i="2"/>
  <c r="J653" i="2" s="1"/>
  <c r="H652" i="2"/>
  <c r="J652" i="2" s="1"/>
  <c r="H651" i="2"/>
  <c r="J651" i="2" s="1"/>
  <c r="H650" i="2"/>
  <c r="J650" i="2" s="1"/>
  <c r="H649" i="2"/>
  <c r="J649" i="2" s="1"/>
  <c r="H648" i="2"/>
  <c r="J648" i="2" s="1"/>
  <c r="H647" i="2"/>
  <c r="J647" i="2" s="1"/>
  <c r="H646" i="2"/>
  <c r="J646" i="2" s="1"/>
  <c r="H645" i="2"/>
  <c r="J645" i="2" s="1"/>
  <c r="H644" i="2"/>
  <c r="J644" i="2" s="1"/>
  <c r="H643" i="2"/>
  <c r="J643" i="2" s="1"/>
  <c r="I642" i="2"/>
  <c r="H642" i="2"/>
  <c r="H641" i="2"/>
  <c r="J641" i="2" s="1"/>
  <c r="H640" i="2"/>
  <c r="J640" i="2" s="1"/>
  <c r="H638" i="2"/>
  <c r="J638" i="2" s="1"/>
  <c r="H637" i="2"/>
  <c r="J637" i="2" s="1"/>
  <c r="H636" i="2"/>
  <c r="J636" i="2" s="1"/>
  <c r="H635" i="2"/>
  <c r="J635" i="2" s="1"/>
  <c r="H634" i="2"/>
  <c r="J634" i="2" s="1"/>
  <c r="H633" i="2"/>
  <c r="J633" i="2" s="1"/>
  <c r="H632" i="2"/>
  <c r="J632" i="2" s="1"/>
  <c r="H631" i="2"/>
  <c r="J631" i="2" s="1"/>
  <c r="H630" i="2"/>
  <c r="J630" i="2" s="1"/>
  <c r="H629" i="2"/>
  <c r="J629" i="2" s="1"/>
  <c r="H628" i="2"/>
  <c r="J628" i="2" s="1"/>
  <c r="H627" i="2"/>
  <c r="J627" i="2" s="1"/>
  <c r="H626" i="2"/>
  <c r="J626" i="2" s="1"/>
  <c r="H625" i="2"/>
  <c r="J625" i="2" s="1"/>
  <c r="H624" i="2"/>
  <c r="J624" i="2" s="1"/>
  <c r="H623" i="2"/>
  <c r="J623" i="2" s="1"/>
  <c r="H622" i="2"/>
  <c r="J622" i="2" s="1"/>
  <c r="H621" i="2"/>
  <c r="J621" i="2" s="1"/>
  <c r="H620" i="2"/>
  <c r="J620" i="2" s="1"/>
  <c r="H619" i="2"/>
  <c r="J619" i="2" s="1"/>
  <c r="H618" i="2"/>
  <c r="J618" i="2" s="1"/>
  <c r="H617" i="2"/>
  <c r="J617" i="2" s="1"/>
  <c r="H616" i="2"/>
  <c r="J616" i="2" s="1"/>
  <c r="H615" i="2"/>
  <c r="J615" i="2" s="1"/>
  <c r="H613" i="2"/>
  <c r="J613" i="2" s="1"/>
  <c r="H612" i="2"/>
  <c r="H611" i="2"/>
  <c r="J611" i="2" s="1"/>
  <c r="H610" i="2"/>
  <c r="J610" i="2" s="1"/>
  <c r="H609" i="2"/>
  <c r="J609" i="2" s="1"/>
  <c r="H607" i="2"/>
  <c r="J607" i="2" s="1"/>
  <c r="H606" i="2"/>
  <c r="J606" i="2" s="1"/>
  <c r="H605" i="2"/>
  <c r="J605" i="2" s="1"/>
  <c r="H604" i="2"/>
  <c r="J604" i="2" s="1"/>
  <c r="H603" i="2"/>
  <c r="J603" i="2" s="1"/>
  <c r="H602" i="2"/>
  <c r="J602" i="2" s="1"/>
  <c r="H601" i="2"/>
  <c r="J601" i="2" s="1"/>
  <c r="H600" i="2"/>
  <c r="J600" i="2" s="1"/>
  <c r="F599" i="2"/>
  <c r="H599" i="2" s="1"/>
  <c r="J599" i="2" s="1"/>
  <c r="H598" i="2"/>
  <c r="J598" i="2" s="1"/>
  <c r="F597" i="2"/>
  <c r="H597" i="2" s="1"/>
  <c r="J597" i="2" s="1"/>
  <c r="H596" i="2"/>
  <c r="J596" i="2" s="1"/>
  <c r="H595" i="2"/>
  <c r="J595" i="2" s="1"/>
  <c r="H594" i="2"/>
  <c r="J594" i="2" s="1"/>
  <c r="H593" i="2"/>
  <c r="J593" i="2" s="1"/>
  <c r="H592" i="2"/>
  <c r="J592" i="2" s="1"/>
  <c r="H591" i="2"/>
  <c r="J591" i="2" s="1"/>
  <c r="H590" i="2"/>
  <c r="J590" i="2" s="1"/>
  <c r="H589" i="2"/>
  <c r="J589" i="2" s="1"/>
  <c r="H588" i="2"/>
  <c r="J588" i="2" s="1"/>
  <c r="H586" i="2"/>
  <c r="J586" i="2" s="1"/>
  <c r="H585" i="2"/>
  <c r="J585" i="2" s="1"/>
  <c r="H584" i="2"/>
  <c r="J584" i="2" s="1"/>
  <c r="H583" i="2"/>
  <c r="J583" i="2" s="1"/>
  <c r="H581" i="2"/>
  <c r="J581" i="2" s="1"/>
  <c r="I580" i="2"/>
  <c r="H580" i="2"/>
  <c r="H579" i="2"/>
  <c r="J579" i="2" s="1"/>
  <c r="I578" i="2"/>
  <c r="H578" i="2"/>
  <c r="H577" i="2"/>
  <c r="J577" i="2" s="1"/>
  <c r="H576" i="2"/>
  <c r="J576" i="2" s="1"/>
  <c r="H575" i="2"/>
  <c r="J575" i="2" s="1"/>
  <c r="H574" i="2"/>
  <c r="J574" i="2" s="1"/>
  <c r="H573" i="2"/>
  <c r="J573" i="2" s="1"/>
  <c r="H571" i="2"/>
  <c r="J571" i="2" s="1"/>
  <c r="K572" i="2" s="1"/>
  <c r="H569" i="2"/>
  <c r="J569" i="2" s="1"/>
  <c r="H568" i="2"/>
  <c r="J568" i="2" s="1"/>
  <c r="H567" i="2"/>
  <c r="J567" i="2" s="1"/>
  <c r="H566" i="2"/>
  <c r="J566" i="2" s="1"/>
  <c r="I565" i="2"/>
  <c r="H565" i="2"/>
  <c r="H564" i="2"/>
  <c r="J564" i="2" s="1"/>
  <c r="H563" i="2"/>
  <c r="J563" i="2" s="1"/>
  <c r="H562" i="2"/>
  <c r="J562" i="2" s="1"/>
  <c r="I561" i="2"/>
  <c r="H561" i="2"/>
  <c r="H559" i="2"/>
  <c r="J559" i="2" s="1"/>
  <c r="I558" i="2"/>
  <c r="H558" i="2"/>
  <c r="I557" i="2"/>
  <c r="H557" i="2"/>
  <c r="H556" i="2"/>
  <c r="J556" i="2" s="1"/>
  <c r="H555" i="2"/>
  <c r="J555" i="2" s="1"/>
  <c r="H554" i="2"/>
  <c r="J554" i="2" s="1"/>
  <c r="I553" i="2"/>
  <c r="H553" i="2"/>
  <c r="H552" i="2"/>
  <c r="J552" i="2" s="1"/>
  <c r="H551" i="2"/>
  <c r="J551" i="2" s="1"/>
  <c r="H550" i="2"/>
  <c r="J550" i="2" s="1"/>
  <c r="H549" i="2"/>
  <c r="J549" i="2" s="1"/>
  <c r="H548" i="2"/>
  <c r="J548" i="2" s="1"/>
  <c r="H547" i="2"/>
  <c r="J547" i="2" s="1"/>
  <c r="H546" i="2"/>
  <c r="J546" i="2" s="1"/>
  <c r="H545" i="2"/>
  <c r="J545" i="2" s="1"/>
  <c r="H544" i="2"/>
  <c r="J544" i="2" s="1"/>
  <c r="I543" i="2"/>
  <c r="H543" i="2"/>
  <c r="H542" i="2"/>
  <c r="J542" i="2" s="1"/>
  <c r="H541" i="2"/>
  <c r="J541" i="2" s="1"/>
  <c r="H540" i="2"/>
  <c r="J540" i="2" s="1"/>
  <c r="H539" i="2"/>
  <c r="J539" i="2" s="1"/>
  <c r="H538" i="2"/>
  <c r="J538" i="2" s="1"/>
  <c r="I536" i="2"/>
  <c r="H536" i="2"/>
  <c r="H535" i="2"/>
  <c r="J535" i="2" s="1"/>
  <c r="H534" i="2"/>
  <c r="J534" i="2" s="1"/>
  <c r="H532" i="2"/>
  <c r="J532" i="2" s="1"/>
  <c r="H531" i="2"/>
  <c r="J531" i="2" s="1"/>
  <c r="I530" i="2"/>
  <c r="H530" i="2"/>
  <c r="H529" i="2"/>
  <c r="J529" i="2" s="1"/>
  <c r="H528" i="2"/>
  <c r="J528" i="2" s="1"/>
  <c r="H527" i="2"/>
  <c r="J527" i="2" s="1"/>
  <c r="H525" i="2"/>
  <c r="J525" i="2" s="1"/>
  <c r="H524" i="2"/>
  <c r="J524" i="2" s="1"/>
  <c r="H523" i="2"/>
  <c r="J523" i="2" s="1"/>
  <c r="H522" i="2"/>
  <c r="J522" i="2" s="1"/>
  <c r="H521" i="2"/>
  <c r="J521" i="2" s="1"/>
  <c r="H520" i="2"/>
  <c r="J520" i="2" s="1"/>
  <c r="H519" i="2"/>
  <c r="J519" i="2" s="1"/>
  <c r="H518" i="2"/>
  <c r="J518" i="2" s="1"/>
  <c r="H517" i="2"/>
  <c r="J517" i="2" s="1"/>
  <c r="H516" i="2"/>
  <c r="J516" i="2" s="1"/>
  <c r="H514" i="2"/>
  <c r="J514" i="2" s="1"/>
  <c r="H513" i="2"/>
  <c r="J513" i="2" s="1"/>
  <c r="H512" i="2"/>
  <c r="J512" i="2" s="1"/>
  <c r="H511" i="2"/>
  <c r="J511" i="2" s="1"/>
  <c r="H510" i="2"/>
  <c r="J510" i="2" s="1"/>
  <c r="I509" i="2"/>
  <c r="H509" i="2"/>
  <c r="H508" i="2"/>
  <c r="J508" i="2" s="1"/>
  <c r="H507" i="2"/>
  <c r="J507" i="2" s="1"/>
  <c r="H506" i="2"/>
  <c r="J506" i="2" s="1"/>
  <c r="H505" i="2"/>
  <c r="J505" i="2" s="1"/>
  <c r="H504" i="2"/>
  <c r="J504" i="2" s="1"/>
  <c r="H503" i="2"/>
  <c r="J503" i="2" s="1"/>
  <c r="H502" i="2"/>
  <c r="J502" i="2" s="1"/>
  <c r="H501" i="2"/>
  <c r="J501" i="2" s="1"/>
  <c r="H500" i="2"/>
  <c r="J500" i="2" s="1"/>
  <c r="H499" i="2"/>
  <c r="J499" i="2" s="1"/>
  <c r="H498" i="2"/>
  <c r="J498" i="2" s="1"/>
  <c r="H497" i="2"/>
  <c r="J497" i="2" s="1"/>
  <c r="H496" i="2"/>
  <c r="J496" i="2" s="1"/>
  <c r="H495" i="2"/>
  <c r="J495" i="2" s="1"/>
  <c r="H494" i="2"/>
  <c r="J494" i="2" s="1"/>
  <c r="H493" i="2"/>
  <c r="J493" i="2" s="1"/>
  <c r="H492" i="2"/>
  <c r="J492" i="2" s="1"/>
  <c r="H490" i="2"/>
  <c r="J490" i="2" s="1"/>
  <c r="H489" i="2"/>
  <c r="J489" i="2" s="1"/>
  <c r="H488" i="2"/>
  <c r="J488" i="2" s="1"/>
  <c r="H487" i="2"/>
  <c r="J487" i="2" s="1"/>
  <c r="H486" i="2"/>
  <c r="J486" i="2" s="1"/>
  <c r="H485" i="2"/>
  <c r="J485" i="2" s="1"/>
  <c r="H484" i="2"/>
  <c r="J484" i="2" s="1"/>
  <c r="H483" i="2"/>
  <c r="J483" i="2" s="1"/>
  <c r="H482" i="2"/>
  <c r="J482" i="2" s="1"/>
  <c r="H481" i="2"/>
  <c r="J481" i="2" s="1"/>
  <c r="H480" i="2"/>
  <c r="J480" i="2" s="1"/>
  <c r="H479" i="2"/>
  <c r="J479" i="2" s="1"/>
  <c r="H478" i="2"/>
  <c r="J478" i="2" s="1"/>
  <c r="H477" i="2"/>
  <c r="J477" i="2" s="1"/>
  <c r="H476" i="2"/>
  <c r="J476" i="2" s="1"/>
  <c r="H475" i="2"/>
  <c r="J475" i="2" s="1"/>
  <c r="H474" i="2"/>
  <c r="J474" i="2" s="1"/>
  <c r="H473" i="2"/>
  <c r="J473" i="2" s="1"/>
  <c r="H472" i="2"/>
  <c r="J472" i="2" s="1"/>
  <c r="H471" i="2"/>
  <c r="J471" i="2" s="1"/>
  <c r="H470" i="2"/>
  <c r="J470" i="2" s="1"/>
  <c r="H468" i="2"/>
  <c r="J468" i="2" s="1"/>
  <c r="H467" i="2"/>
  <c r="J467" i="2" s="1"/>
  <c r="H466" i="2"/>
  <c r="J466" i="2" s="1"/>
  <c r="H465" i="2"/>
  <c r="J465" i="2" s="1"/>
  <c r="H464" i="2"/>
  <c r="J464" i="2" s="1"/>
  <c r="H463" i="2"/>
  <c r="J463" i="2" s="1"/>
  <c r="H462" i="2"/>
  <c r="J462" i="2" s="1"/>
  <c r="H461" i="2"/>
  <c r="J461" i="2" s="1"/>
  <c r="H460" i="2"/>
  <c r="J460" i="2" s="1"/>
  <c r="H459" i="2"/>
  <c r="J459" i="2" s="1"/>
  <c r="H458" i="2"/>
  <c r="J458" i="2" s="1"/>
  <c r="H457" i="2"/>
  <c r="J457" i="2" s="1"/>
  <c r="H456" i="2"/>
  <c r="J456" i="2" s="1"/>
  <c r="H455" i="2"/>
  <c r="J455" i="2" s="1"/>
  <c r="H454" i="2"/>
  <c r="J454" i="2" s="1"/>
  <c r="H453" i="2"/>
  <c r="J453" i="2" s="1"/>
  <c r="H452" i="2"/>
  <c r="J452" i="2" s="1"/>
  <c r="H451" i="2"/>
  <c r="J451" i="2" s="1"/>
  <c r="H450" i="2"/>
  <c r="J450" i="2" s="1"/>
  <c r="H449" i="2"/>
  <c r="J449" i="2" s="1"/>
  <c r="H448" i="2"/>
  <c r="J448" i="2" s="1"/>
  <c r="H447" i="2"/>
  <c r="J447" i="2" s="1"/>
  <c r="H446" i="2"/>
  <c r="J446" i="2" s="1"/>
  <c r="H445" i="2"/>
  <c r="J445" i="2" s="1"/>
  <c r="H444" i="2"/>
  <c r="J444" i="2" s="1"/>
  <c r="H443" i="2"/>
  <c r="J443" i="2" s="1"/>
  <c r="H442" i="2"/>
  <c r="J442" i="2" s="1"/>
  <c r="H441" i="2"/>
  <c r="J441" i="2" s="1"/>
  <c r="H440" i="2"/>
  <c r="J440" i="2" s="1"/>
  <c r="H439" i="2"/>
  <c r="J439" i="2" s="1"/>
  <c r="H438" i="2"/>
  <c r="J438" i="2" s="1"/>
  <c r="H437" i="2"/>
  <c r="J437" i="2" s="1"/>
  <c r="H436" i="2"/>
  <c r="J436" i="2" s="1"/>
  <c r="H435" i="2"/>
  <c r="J435" i="2" s="1"/>
  <c r="H434" i="2"/>
  <c r="J434" i="2" s="1"/>
  <c r="H433" i="2"/>
  <c r="J433" i="2" s="1"/>
  <c r="H432" i="2"/>
  <c r="J432" i="2" s="1"/>
  <c r="H431" i="2"/>
  <c r="J431" i="2" s="1"/>
  <c r="H430" i="2"/>
  <c r="J430" i="2" s="1"/>
  <c r="H429" i="2"/>
  <c r="J429" i="2" s="1"/>
  <c r="H428" i="2"/>
  <c r="J428" i="2" s="1"/>
  <c r="H427" i="2"/>
  <c r="J427" i="2" s="1"/>
  <c r="H426" i="2"/>
  <c r="J426" i="2" s="1"/>
  <c r="H425" i="2"/>
  <c r="J425" i="2" s="1"/>
  <c r="H424" i="2"/>
  <c r="J424" i="2" s="1"/>
  <c r="H423" i="2"/>
  <c r="J423" i="2" s="1"/>
  <c r="H422" i="2"/>
  <c r="J422" i="2" s="1"/>
  <c r="H421" i="2"/>
  <c r="J421" i="2" s="1"/>
  <c r="H420" i="2"/>
  <c r="J420" i="2" s="1"/>
  <c r="H419" i="2"/>
  <c r="J419" i="2" s="1"/>
  <c r="H418" i="2"/>
  <c r="J418" i="2" s="1"/>
  <c r="H417" i="2"/>
  <c r="J417" i="2" s="1"/>
  <c r="H416" i="2"/>
  <c r="J416" i="2" s="1"/>
  <c r="H415" i="2"/>
  <c r="J415" i="2" s="1"/>
  <c r="H414" i="2"/>
  <c r="J414" i="2" s="1"/>
  <c r="H413" i="2"/>
  <c r="J413" i="2" s="1"/>
  <c r="H412" i="2"/>
  <c r="J412" i="2" s="1"/>
  <c r="H411" i="2"/>
  <c r="J411" i="2" s="1"/>
  <c r="H410" i="2"/>
  <c r="J410" i="2" s="1"/>
  <c r="H409" i="2"/>
  <c r="J409" i="2" s="1"/>
  <c r="H408" i="2"/>
  <c r="J408" i="2" s="1"/>
  <c r="H407" i="2"/>
  <c r="J407" i="2" s="1"/>
  <c r="H406" i="2"/>
  <c r="H405" i="2"/>
  <c r="J405" i="2" s="1"/>
  <c r="H404" i="2"/>
  <c r="J404" i="2" s="1"/>
  <c r="H403" i="2"/>
  <c r="J403" i="2" s="1"/>
  <c r="H402" i="2"/>
  <c r="J402" i="2" s="1"/>
  <c r="H401" i="2"/>
  <c r="J401" i="2" s="1"/>
  <c r="H400" i="2"/>
  <c r="J400" i="2" s="1"/>
  <c r="H399" i="2"/>
  <c r="J399" i="2" s="1"/>
  <c r="H398" i="2"/>
  <c r="J398" i="2" s="1"/>
  <c r="H397" i="2"/>
  <c r="J397" i="2" s="1"/>
  <c r="H396" i="2"/>
  <c r="J396" i="2" s="1"/>
  <c r="H395" i="2"/>
  <c r="J395" i="2" s="1"/>
  <c r="H394" i="2"/>
  <c r="J394" i="2" s="1"/>
  <c r="H393" i="2"/>
  <c r="J393" i="2" s="1"/>
  <c r="H392" i="2"/>
  <c r="J392" i="2" s="1"/>
  <c r="H391" i="2"/>
  <c r="J391" i="2" s="1"/>
  <c r="H390" i="2"/>
  <c r="J390" i="2" s="1"/>
  <c r="H389" i="2"/>
  <c r="J389" i="2" s="1"/>
  <c r="H388" i="2"/>
  <c r="J388" i="2" s="1"/>
  <c r="H387" i="2"/>
  <c r="J387" i="2" s="1"/>
  <c r="H386" i="2"/>
  <c r="J386" i="2" s="1"/>
  <c r="H385" i="2"/>
  <c r="J385" i="2" s="1"/>
  <c r="H384" i="2"/>
  <c r="J384" i="2" s="1"/>
  <c r="H383" i="2"/>
  <c r="J383" i="2" s="1"/>
  <c r="H382" i="2"/>
  <c r="J382" i="2" s="1"/>
  <c r="H381" i="2"/>
  <c r="J381" i="2" s="1"/>
  <c r="H379" i="2"/>
  <c r="J379" i="2" s="1"/>
  <c r="K380" i="2" s="1"/>
  <c r="H377" i="2"/>
  <c r="J377" i="2" s="1"/>
  <c r="K378" i="2" s="1"/>
  <c r="H375" i="2"/>
  <c r="J375" i="2" s="1"/>
  <c r="H374" i="2"/>
  <c r="J374" i="2" s="1"/>
  <c r="H373" i="2"/>
  <c r="J373" i="2" s="1"/>
  <c r="H372" i="2"/>
  <c r="J372" i="2" s="1"/>
  <c r="H371" i="2"/>
  <c r="J371" i="2" s="1"/>
  <c r="H370" i="2"/>
  <c r="J370" i="2" s="1"/>
  <c r="H369" i="2"/>
  <c r="J369" i="2" s="1"/>
  <c r="H368" i="2"/>
  <c r="J368" i="2" s="1"/>
  <c r="H367" i="2"/>
  <c r="J367" i="2" s="1"/>
  <c r="I365" i="2"/>
  <c r="H365" i="2"/>
  <c r="H363" i="2"/>
  <c r="J363" i="2" s="1"/>
  <c r="H362" i="2"/>
  <c r="J362" i="2" s="1"/>
  <c r="H361" i="2"/>
  <c r="J361" i="2" s="1"/>
  <c r="H360" i="2"/>
  <c r="J360" i="2" s="1"/>
  <c r="H359" i="2"/>
  <c r="J359" i="2" s="1"/>
  <c r="H358" i="2"/>
  <c r="J358" i="2" s="1"/>
  <c r="H357" i="2"/>
  <c r="J357" i="2" s="1"/>
  <c r="H356" i="2"/>
  <c r="J356" i="2" s="1"/>
  <c r="H355" i="2"/>
  <c r="J355" i="2" s="1"/>
  <c r="H354" i="2"/>
  <c r="J354" i="2" s="1"/>
  <c r="H353" i="2"/>
  <c r="J353" i="2" s="1"/>
  <c r="J350" i="2"/>
  <c r="H349" i="2"/>
  <c r="J349" i="2" s="1"/>
  <c r="I348" i="2"/>
  <c r="H348" i="2"/>
  <c r="I347" i="2"/>
  <c r="H347" i="2"/>
  <c r="H346" i="2"/>
  <c r="J346" i="2" s="1"/>
  <c r="H345" i="2"/>
  <c r="J345" i="2" s="1"/>
  <c r="H344" i="2"/>
  <c r="J344" i="2" s="1"/>
  <c r="H343" i="2"/>
  <c r="J343" i="2" s="1"/>
  <c r="H342" i="2"/>
  <c r="J342" i="2" s="1"/>
  <c r="H341" i="2"/>
  <c r="J341" i="2" s="1"/>
  <c r="H340" i="2"/>
  <c r="J340" i="2" s="1"/>
  <c r="I339" i="2"/>
  <c r="H339" i="2"/>
  <c r="I338" i="2"/>
  <c r="H338" i="2"/>
  <c r="I337" i="2"/>
  <c r="H337" i="2"/>
  <c r="I336" i="2"/>
  <c r="H336" i="2"/>
  <c r="I335" i="2"/>
  <c r="H335" i="2"/>
  <c r="I334" i="2"/>
  <c r="H334" i="2"/>
  <c r="I333" i="2"/>
  <c r="H333" i="2"/>
  <c r="I332" i="2"/>
  <c r="H332" i="2"/>
  <c r="I331" i="2"/>
  <c r="H331" i="2"/>
  <c r="I330" i="2"/>
  <c r="H330" i="2"/>
  <c r="H329" i="2"/>
  <c r="J329" i="2" s="1"/>
  <c r="H328" i="2"/>
  <c r="J328" i="2" s="1"/>
  <c r="H327" i="2"/>
  <c r="J327" i="2" s="1"/>
  <c r="H326" i="2"/>
  <c r="J326" i="2" s="1"/>
  <c r="H325" i="2"/>
  <c r="J325" i="2" s="1"/>
  <c r="H324" i="2"/>
  <c r="J324" i="2" s="1"/>
  <c r="H323" i="2"/>
  <c r="J323" i="2" s="1"/>
  <c r="H322" i="2"/>
  <c r="J322" i="2" s="1"/>
  <c r="H321" i="2"/>
  <c r="J321" i="2" s="1"/>
  <c r="I320" i="2"/>
  <c r="H320" i="2"/>
  <c r="I319" i="2"/>
  <c r="H319" i="2"/>
  <c r="I318" i="2"/>
  <c r="H318" i="2"/>
  <c r="H317" i="2"/>
  <c r="J317" i="2" s="1"/>
  <c r="H316" i="2"/>
  <c r="J316" i="2" s="1"/>
  <c r="H315" i="2"/>
  <c r="J315" i="2" s="1"/>
  <c r="H314" i="2"/>
  <c r="J314" i="2" s="1"/>
  <c r="H313" i="2"/>
  <c r="J313" i="2" s="1"/>
  <c r="H312" i="2"/>
  <c r="J312" i="2" s="1"/>
  <c r="H311" i="2"/>
  <c r="J311" i="2" s="1"/>
  <c r="H310" i="2"/>
  <c r="J310" i="2" s="1"/>
  <c r="H309" i="2"/>
  <c r="J309" i="2" s="1"/>
  <c r="H308" i="2"/>
  <c r="J308" i="2" s="1"/>
  <c r="H307" i="2"/>
  <c r="J307" i="2" s="1"/>
  <c r="H306" i="2"/>
  <c r="J306" i="2" s="1"/>
  <c r="H305" i="2"/>
  <c r="J305" i="2" s="1"/>
  <c r="H304" i="2"/>
  <c r="J304" i="2" s="1"/>
  <c r="H303" i="2"/>
  <c r="J303" i="2" s="1"/>
  <c r="H302" i="2"/>
  <c r="J302" i="2" s="1"/>
  <c r="H301" i="2"/>
  <c r="J301" i="2" s="1"/>
  <c r="H300" i="2"/>
  <c r="J300" i="2" s="1"/>
  <c r="H299" i="2"/>
  <c r="J299" i="2" s="1"/>
  <c r="H298" i="2"/>
  <c r="J298" i="2" s="1"/>
  <c r="H297" i="2"/>
  <c r="J297" i="2" s="1"/>
  <c r="H296" i="2"/>
  <c r="J296" i="2" s="1"/>
  <c r="H295" i="2"/>
  <c r="J295" i="2" s="1"/>
  <c r="H294" i="2"/>
  <c r="J294" i="2" s="1"/>
  <c r="H293" i="2"/>
  <c r="J293" i="2" s="1"/>
  <c r="H292" i="2"/>
  <c r="J292" i="2" s="1"/>
  <c r="H291" i="2"/>
  <c r="J291" i="2" s="1"/>
  <c r="H290" i="2"/>
  <c r="J290" i="2" s="1"/>
  <c r="H289" i="2"/>
  <c r="J289" i="2" s="1"/>
  <c r="H288" i="2"/>
  <c r="J288" i="2" s="1"/>
  <c r="H287" i="2"/>
  <c r="J287" i="2" s="1"/>
  <c r="H286" i="2"/>
  <c r="J286" i="2" s="1"/>
  <c r="H285" i="2"/>
  <c r="J285" i="2" s="1"/>
  <c r="H284" i="2"/>
  <c r="J284" i="2" s="1"/>
  <c r="H283" i="2"/>
  <c r="J283" i="2" s="1"/>
  <c r="H282" i="2"/>
  <c r="J282" i="2" s="1"/>
  <c r="H281" i="2"/>
  <c r="J281" i="2" s="1"/>
  <c r="H280" i="2"/>
  <c r="J280" i="2" s="1"/>
  <c r="H279" i="2"/>
  <c r="J279" i="2" s="1"/>
  <c r="H278" i="2"/>
  <c r="J278" i="2" s="1"/>
  <c r="H277" i="2"/>
  <c r="J277" i="2" s="1"/>
  <c r="H276" i="2"/>
  <c r="J276" i="2" s="1"/>
  <c r="H275" i="2"/>
  <c r="J275" i="2" s="1"/>
  <c r="H274" i="2"/>
  <c r="J274" i="2" s="1"/>
  <c r="H273" i="2"/>
  <c r="J273" i="2" s="1"/>
  <c r="H272" i="2"/>
  <c r="J272" i="2" s="1"/>
  <c r="H271" i="2"/>
  <c r="J271" i="2" s="1"/>
  <c r="H270" i="2"/>
  <c r="J270" i="2" s="1"/>
  <c r="H269" i="2"/>
  <c r="J269" i="2" s="1"/>
  <c r="H267" i="2"/>
  <c r="J267" i="2" s="1"/>
  <c r="H266" i="2"/>
  <c r="J266" i="2" s="1"/>
  <c r="H265" i="2"/>
  <c r="J265" i="2" s="1"/>
  <c r="H264" i="2"/>
  <c r="J264" i="2" s="1"/>
  <c r="H263" i="2"/>
  <c r="J263" i="2" s="1"/>
  <c r="H262" i="2"/>
  <c r="J262" i="2" s="1"/>
  <c r="H261" i="2"/>
  <c r="J261" i="2" s="1"/>
  <c r="H260" i="2"/>
  <c r="J260" i="2" s="1"/>
  <c r="H259" i="2"/>
  <c r="J259" i="2" s="1"/>
  <c r="H258" i="2"/>
  <c r="J258" i="2" s="1"/>
  <c r="H257" i="2"/>
  <c r="J257" i="2" s="1"/>
  <c r="H256" i="2"/>
  <c r="J256" i="2" s="1"/>
  <c r="H255" i="2"/>
  <c r="J255" i="2" s="1"/>
  <c r="H254" i="2"/>
  <c r="J254" i="2" s="1"/>
  <c r="H253" i="2"/>
  <c r="J253" i="2" s="1"/>
  <c r="H252" i="2"/>
  <c r="J252" i="2" s="1"/>
  <c r="H251" i="2"/>
  <c r="J251" i="2" s="1"/>
  <c r="H250" i="2"/>
  <c r="J250" i="2" s="1"/>
  <c r="H249" i="2"/>
  <c r="J249" i="2" s="1"/>
  <c r="H248" i="2"/>
  <c r="J248" i="2" s="1"/>
  <c r="H247" i="2"/>
  <c r="J247" i="2" s="1"/>
  <c r="H246" i="2"/>
  <c r="J246" i="2" s="1"/>
  <c r="H245" i="2"/>
  <c r="J245" i="2" s="1"/>
  <c r="H244" i="2"/>
  <c r="J244" i="2" s="1"/>
  <c r="H243" i="2"/>
  <c r="J243" i="2" s="1"/>
  <c r="H242" i="2"/>
  <c r="J242" i="2" s="1"/>
  <c r="H241" i="2"/>
  <c r="J241" i="2" s="1"/>
  <c r="H240" i="2"/>
  <c r="J240" i="2" s="1"/>
  <c r="H239" i="2"/>
  <c r="J239" i="2" s="1"/>
  <c r="H238" i="2"/>
  <c r="J238" i="2" s="1"/>
  <c r="H237" i="2"/>
  <c r="J237" i="2" s="1"/>
  <c r="H236" i="2"/>
  <c r="J236" i="2" s="1"/>
  <c r="H235" i="2"/>
  <c r="J235" i="2" s="1"/>
  <c r="H234" i="2"/>
  <c r="J234" i="2" s="1"/>
  <c r="H233" i="2"/>
  <c r="J233" i="2" s="1"/>
  <c r="H232" i="2"/>
  <c r="J232" i="2" s="1"/>
  <c r="H231" i="2"/>
  <c r="J231" i="2" s="1"/>
  <c r="H230" i="2"/>
  <c r="J230" i="2" s="1"/>
  <c r="H229" i="2"/>
  <c r="J229" i="2" s="1"/>
  <c r="H228" i="2"/>
  <c r="J228" i="2" s="1"/>
  <c r="H227" i="2"/>
  <c r="J227" i="2" s="1"/>
  <c r="H226" i="2"/>
  <c r="J226" i="2" s="1"/>
  <c r="H225" i="2"/>
  <c r="J225" i="2" s="1"/>
  <c r="H224" i="2"/>
  <c r="J224" i="2" s="1"/>
  <c r="H223" i="2"/>
  <c r="J223" i="2" s="1"/>
  <c r="H222" i="2"/>
  <c r="J222" i="2" s="1"/>
  <c r="H221" i="2"/>
  <c r="J221" i="2" s="1"/>
  <c r="H220" i="2"/>
  <c r="J220" i="2" s="1"/>
  <c r="H219" i="2"/>
  <c r="J219" i="2" s="1"/>
  <c r="H218" i="2"/>
  <c r="J218" i="2" s="1"/>
  <c r="H217" i="2"/>
  <c r="J217" i="2" s="1"/>
  <c r="H216" i="2"/>
  <c r="J216" i="2" s="1"/>
  <c r="H215" i="2"/>
  <c r="J215" i="2" s="1"/>
  <c r="H214" i="2"/>
  <c r="J214" i="2" s="1"/>
  <c r="H213" i="2"/>
  <c r="J213" i="2" s="1"/>
  <c r="H212" i="2"/>
  <c r="J212" i="2" s="1"/>
  <c r="H211" i="2"/>
  <c r="J211" i="2" s="1"/>
  <c r="H210" i="2"/>
  <c r="J210" i="2" s="1"/>
  <c r="H209" i="2"/>
  <c r="J209" i="2" s="1"/>
  <c r="H208" i="2"/>
  <c r="J208" i="2" s="1"/>
  <c r="H207" i="2"/>
  <c r="J207" i="2" s="1"/>
  <c r="H206" i="2"/>
  <c r="J206" i="2" s="1"/>
  <c r="H205" i="2"/>
  <c r="J205" i="2" s="1"/>
  <c r="H204" i="2"/>
  <c r="J204" i="2" s="1"/>
  <c r="H203" i="2"/>
  <c r="J203" i="2" s="1"/>
  <c r="H202" i="2"/>
  <c r="J202" i="2" s="1"/>
  <c r="H201" i="2"/>
  <c r="J201" i="2" s="1"/>
  <c r="H200" i="2"/>
  <c r="J200" i="2" s="1"/>
  <c r="H199" i="2"/>
  <c r="J199" i="2" s="1"/>
  <c r="H198" i="2"/>
  <c r="J198" i="2" s="1"/>
  <c r="H197" i="2"/>
  <c r="J197" i="2" s="1"/>
  <c r="H196" i="2"/>
  <c r="J196" i="2" s="1"/>
  <c r="H195" i="2"/>
  <c r="J195" i="2" s="1"/>
  <c r="H194" i="2"/>
  <c r="J194" i="2" s="1"/>
  <c r="H193" i="2"/>
  <c r="J193" i="2" s="1"/>
  <c r="H192" i="2"/>
  <c r="J192" i="2" s="1"/>
  <c r="H191" i="2"/>
  <c r="J191" i="2" s="1"/>
  <c r="H190" i="2"/>
  <c r="J190" i="2" s="1"/>
  <c r="H189" i="2"/>
  <c r="J189" i="2" s="1"/>
  <c r="H188" i="2"/>
  <c r="J188" i="2" s="1"/>
  <c r="H187" i="2"/>
  <c r="J187" i="2" s="1"/>
  <c r="H186" i="2"/>
  <c r="J186" i="2" s="1"/>
  <c r="H185" i="2"/>
  <c r="J185" i="2" s="1"/>
  <c r="H184" i="2"/>
  <c r="J184" i="2" s="1"/>
  <c r="H183" i="2"/>
  <c r="J183" i="2" s="1"/>
  <c r="H182" i="2"/>
  <c r="J182" i="2" s="1"/>
  <c r="H180" i="2"/>
  <c r="J180" i="2" s="1"/>
  <c r="H179" i="2"/>
  <c r="J179" i="2" s="1"/>
  <c r="H178" i="2"/>
  <c r="J178" i="2" s="1"/>
  <c r="H177" i="2"/>
  <c r="J177" i="2" s="1"/>
  <c r="H176" i="2"/>
  <c r="J176" i="2" s="1"/>
  <c r="H175" i="2"/>
  <c r="J175" i="2" s="1"/>
  <c r="H174" i="2"/>
  <c r="J174" i="2" s="1"/>
  <c r="H173" i="2"/>
  <c r="J173" i="2" s="1"/>
  <c r="H172" i="2"/>
  <c r="J172" i="2" s="1"/>
  <c r="H171" i="2"/>
  <c r="J171" i="2" s="1"/>
  <c r="H170" i="2"/>
  <c r="J170" i="2" s="1"/>
  <c r="H169" i="2"/>
  <c r="J169" i="2" s="1"/>
  <c r="H168" i="2"/>
  <c r="J168" i="2" s="1"/>
  <c r="H167" i="2"/>
  <c r="J167" i="2" s="1"/>
  <c r="H166" i="2"/>
  <c r="J166" i="2" s="1"/>
  <c r="H165" i="2"/>
  <c r="J165" i="2" s="1"/>
  <c r="H164" i="2"/>
  <c r="J164" i="2" s="1"/>
  <c r="H162" i="2"/>
  <c r="J162" i="2" s="1"/>
  <c r="H161" i="2"/>
  <c r="J161" i="2" s="1"/>
  <c r="H160" i="2"/>
  <c r="J160" i="2" s="1"/>
  <c r="H159" i="2"/>
  <c r="J159" i="2" s="1"/>
  <c r="H158" i="2"/>
  <c r="J158" i="2" s="1"/>
  <c r="H157" i="2"/>
  <c r="J157" i="2" s="1"/>
  <c r="H156" i="2"/>
  <c r="J156" i="2" s="1"/>
  <c r="H155" i="2"/>
  <c r="J155" i="2" s="1"/>
  <c r="H154" i="2"/>
  <c r="J154" i="2" s="1"/>
  <c r="H153" i="2"/>
  <c r="J153" i="2" s="1"/>
  <c r="H152" i="2"/>
  <c r="J152" i="2" s="1"/>
  <c r="H151" i="2"/>
  <c r="J151" i="2" s="1"/>
  <c r="H150" i="2"/>
  <c r="J150" i="2" s="1"/>
  <c r="H149" i="2"/>
  <c r="J149" i="2" s="1"/>
  <c r="H148" i="2"/>
  <c r="J148" i="2" s="1"/>
  <c r="H147" i="2"/>
  <c r="J147" i="2" s="1"/>
  <c r="H146" i="2"/>
  <c r="J146" i="2" s="1"/>
  <c r="H145" i="2"/>
  <c r="J145" i="2" s="1"/>
  <c r="H144" i="2"/>
  <c r="J144" i="2" s="1"/>
  <c r="H143" i="2"/>
  <c r="J143" i="2" s="1"/>
  <c r="H142" i="2"/>
  <c r="J142" i="2" s="1"/>
  <c r="H141" i="2"/>
  <c r="J141" i="2" s="1"/>
  <c r="H140" i="2"/>
  <c r="J140" i="2" s="1"/>
  <c r="H139" i="2"/>
  <c r="J139" i="2" s="1"/>
  <c r="H138" i="2"/>
  <c r="J138" i="2" s="1"/>
  <c r="H137" i="2"/>
  <c r="J137" i="2" s="1"/>
  <c r="H136" i="2"/>
  <c r="J136" i="2" s="1"/>
  <c r="H135" i="2"/>
  <c r="J135" i="2" s="1"/>
  <c r="H134" i="2"/>
  <c r="J134" i="2" s="1"/>
  <c r="H133" i="2"/>
  <c r="J133" i="2" s="1"/>
  <c r="H132" i="2"/>
  <c r="J132" i="2" s="1"/>
  <c r="H131" i="2"/>
  <c r="J131" i="2" s="1"/>
  <c r="H130" i="2"/>
  <c r="J130" i="2" s="1"/>
  <c r="H129" i="2"/>
  <c r="J129" i="2" s="1"/>
  <c r="H128" i="2"/>
  <c r="J128" i="2" s="1"/>
  <c r="H127" i="2"/>
  <c r="J127" i="2" s="1"/>
  <c r="H126" i="2"/>
  <c r="J126" i="2" s="1"/>
  <c r="I125" i="2"/>
  <c r="H125" i="2"/>
  <c r="H124" i="2"/>
  <c r="J124" i="2" s="1"/>
  <c r="H123" i="2"/>
  <c r="J123" i="2" s="1"/>
  <c r="H122" i="2"/>
  <c r="J122" i="2" s="1"/>
  <c r="H121" i="2"/>
  <c r="J121" i="2" s="1"/>
  <c r="H120" i="2"/>
  <c r="J120" i="2" s="1"/>
  <c r="H119" i="2"/>
  <c r="J119" i="2" s="1"/>
  <c r="H118" i="2"/>
  <c r="J118" i="2" s="1"/>
  <c r="H117" i="2"/>
  <c r="J117" i="2" s="1"/>
  <c r="H116" i="2"/>
  <c r="J116" i="2" s="1"/>
  <c r="H115" i="2"/>
  <c r="J115" i="2" s="1"/>
  <c r="H114" i="2"/>
  <c r="J114" i="2" s="1"/>
  <c r="H113" i="2"/>
  <c r="J113" i="2" s="1"/>
  <c r="H112" i="2"/>
  <c r="J112" i="2" s="1"/>
  <c r="H111" i="2"/>
  <c r="J111" i="2" s="1"/>
  <c r="H110" i="2"/>
  <c r="J110" i="2" s="1"/>
  <c r="H109" i="2"/>
  <c r="J109" i="2" s="1"/>
  <c r="H108" i="2"/>
  <c r="J108" i="2" s="1"/>
  <c r="H107" i="2"/>
  <c r="J107" i="2" s="1"/>
  <c r="H106" i="2"/>
  <c r="J106" i="2" s="1"/>
  <c r="H105" i="2"/>
  <c r="J105" i="2" s="1"/>
  <c r="H104" i="2"/>
  <c r="J104" i="2" s="1"/>
  <c r="H103" i="2"/>
  <c r="J103" i="2" s="1"/>
  <c r="H102" i="2"/>
  <c r="J102" i="2" s="1"/>
  <c r="H101" i="2"/>
  <c r="J101" i="2" s="1"/>
  <c r="H100" i="2"/>
  <c r="J100" i="2" s="1"/>
  <c r="H99" i="2"/>
  <c r="J99" i="2" s="1"/>
  <c r="H98" i="2"/>
  <c r="J98" i="2" s="1"/>
  <c r="H97" i="2"/>
  <c r="J97" i="2" s="1"/>
  <c r="H96" i="2"/>
  <c r="J96" i="2" s="1"/>
  <c r="H95" i="2"/>
  <c r="J95" i="2" s="1"/>
  <c r="H93" i="2"/>
  <c r="J93" i="2" s="1"/>
  <c r="H92" i="2"/>
  <c r="J92" i="2" s="1"/>
  <c r="H91" i="2"/>
  <c r="J91" i="2" s="1"/>
  <c r="H90" i="2"/>
  <c r="J90" i="2" s="1"/>
  <c r="H89" i="2"/>
  <c r="J89" i="2" s="1"/>
  <c r="H88" i="2"/>
  <c r="J88" i="2" s="1"/>
  <c r="H87" i="2"/>
  <c r="J87" i="2" s="1"/>
  <c r="H86" i="2"/>
  <c r="J86" i="2" s="1"/>
  <c r="H85" i="2"/>
  <c r="J85" i="2" s="1"/>
  <c r="H84" i="2"/>
  <c r="J84" i="2" s="1"/>
  <c r="H83" i="2"/>
  <c r="J83" i="2" s="1"/>
  <c r="H82" i="2"/>
  <c r="J82" i="2" s="1"/>
  <c r="H81" i="2"/>
  <c r="J81" i="2" s="1"/>
  <c r="H80" i="2"/>
  <c r="J80" i="2" s="1"/>
  <c r="H79" i="2"/>
  <c r="J79" i="2" s="1"/>
  <c r="H78" i="2"/>
  <c r="J78" i="2" s="1"/>
  <c r="H76" i="2"/>
  <c r="J76" i="2" s="1"/>
  <c r="H75" i="2"/>
  <c r="J75" i="2" s="1"/>
  <c r="H74" i="2"/>
  <c r="J74" i="2" s="1"/>
  <c r="H73" i="2"/>
  <c r="J73" i="2" s="1"/>
  <c r="H72" i="2"/>
  <c r="J72" i="2" s="1"/>
  <c r="I71" i="2"/>
  <c r="H71" i="2"/>
  <c r="H70" i="2"/>
  <c r="J70" i="2" s="1"/>
  <c r="H69" i="2"/>
  <c r="J69" i="2" s="1"/>
  <c r="H38" i="2"/>
  <c r="J38" i="2" s="1"/>
  <c r="H34" i="2"/>
  <c r="J34" i="2" s="1"/>
  <c r="H33" i="2"/>
  <c r="J33" i="2" s="1"/>
  <c r="H32" i="2"/>
  <c r="J32" i="2" s="1"/>
  <c r="H31" i="2"/>
  <c r="J31" i="2" s="1"/>
  <c r="H29" i="2"/>
  <c r="J29" i="2" s="1"/>
  <c r="H30" i="2"/>
  <c r="J30" i="2" s="1"/>
  <c r="H27" i="2"/>
  <c r="J27" i="2" s="1"/>
  <c r="H26" i="2"/>
  <c r="J26" i="2" s="1"/>
  <c r="H24" i="2"/>
  <c r="J24" i="2" s="1"/>
  <c r="H23" i="2"/>
  <c r="J23" i="2" s="1"/>
  <c r="I22" i="2"/>
  <c r="H22" i="2"/>
  <c r="H21" i="2"/>
  <c r="J21" i="2" s="1"/>
  <c r="H20" i="2"/>
  <c r="J20" i="2" s="1"/>
  <c r="H19" i="2"/>
  <c r="J19" i="2" s="1"/>
  <c r="H18" i="2"/>
  <c r="J18" i="2" s="1"/>
  <c r="H17" i="2"/>
  <c r="J17" i="2" s="1"/>
  <c r="H15" i="2"/>
  <c r="J15" i="2" s="1"/>
  <c r="D14" i="2"/>
  <c r="H14" i="2" s="1"/>
  <c r="J14" i="2" s="1"/>
  <c r="H13" i="2"/>
  <c r="J13" i="2" s="1"/>
  <c r="H12" i="2"/>
  <c r="J12" i="2" s="1"/>
  <c r="H11" i="2"/>
  <c r="J11" i="2" s="1"/>
  <c r="J530" i="2" l="1"/>
  <c r="J642" i="2"/>
  <c r="J71" i="2"/>
  <c r="J553" i="2"/>
  <c r="K31" i="2"/>
  <c r="K37" i="2"/>
  <c r="J22" i="2"/>
  <c r="J331" i="2"/>
  <c r="J333" i="2"/>
  <c r="J335" i="2"/>
  <c r="J337" i="2"/>
  <c r="J578" i="2"/>
  <c r="J695" i="2"/>
  <c r="J338" i="2"/>
  <c r="J543" i="2"/>
  <c r="J557" i="2"/>
  <c r="K375" i="2"/>
  <c r="K67" i="2"/>
  <c r="K52" i="2"/>
  <c r="H163" i="2"/>
  <c r="J163" i="2" s="1"/>
  <c r="H181" i="2"/>
  <c r="J181" i="2" s="1"/>
  <c r="H268" i="2"/>
  <c r="J268" i="2" s="1"/>
  <c r="J318" i="2"/>
  <c r="J320" i="2"/>
  <c r="J348" i="2"/>
  <c r="J580" i="2"/>
  <c r="J694" i="2"/>
  <c r="J784" i="2"/>
  <c r="K788" i="2" s="1"/>
  <c r="K312" i="2"/>
  <c r="J561" i="2"/>
  <c r="J336" i="2"/>
  <c r="K533" i="2"/>
  <c r="J757" i="2"/>
  <c r="K491" i="2"/>
  <c r="K16" i="2"/>
  <c r="J319" i="2"/>
  <c r="J332" i="2"/>
  <c r="J334" i="2"/>
  <c r="J339" i="2"/>
  <c r="J347" i="2"/>
  <c r="K639" i="2"/>
  <c r="K780" i="2"/>
  <c r="K77" i="2"/>
  <c r="K526" i="2"/>
  <c r="K795" i="2"/>
  <c r="J536" i="2"/>
  <c r="K537" i="2" s="1"/>
  <c r="J565" i="2"/>
  <c r="J696" i="2"/>
  <c r="K608" i="2"/>
  <c r="K28" i="2"/>
  <c r="K25" i="2"/>
  <c r="K68" i="2"/>
  <c r="K94" i="2"/>
  <c r="K469" i="2"/>
  <c r="J509" i="2"/>
  <c r="K515" i="2" s="1"/>
  <c r="J125" i="2"/>
  <c r="J330" i="2"/>
  <c r="J365" i="2"/>
  <c r="K614" i="2"/>
  <c r="J558" i="2"/>
  <c r="K587" i="2"/>
  <c r="K791" i="2"/>
  <c r="K560" i="2" l="1"/>
  <c r="K582" i="2"/>
  <c r="K376" i="2"/>
  <c r="K368" i="2"/>
  <c r="K349" i="2"/>
  <c r="K770" i="2"/>
  <c r="K322" i="2"/>
  <c r="K570" i="2"/>
  <c r="K339" i="2"/>
  <c r="K797" i="2" l="1"/>
  <c r="N44" i="7" l="1"/>
  <c r="O44" i="7" s="1"/>
  <c r="N11" i="7" l="1"/>
  <c r="O11" i="7" s="1"/>
  <c r="N39" i="7" l="1"/>
  <c r="O39" i="7" s="1"/>
  <c r="N43" i="7" l="1"/>
  <c r="O43" i="7" l="1"/>
  <c r="O42" i="7" s="1"/>
  <c r="N42" i="7"/>
  <c r="N37" i="7" l="1"/>
  <c r="O37" i="7" s="1"/>
  <c r="N12" i="7"/>
  <c r="O12" i="7" s="1"/>
  <c r="N23" i="7"/>
  <c r="O23" i="7" s="1"/>
  <c r="N13" i="7"/>
  <c r="O13" i="7" s="1"/>
  <c r="N38" i="7"/>
  <c r="O38" i="7" s="1"/>
  <c r="N19" i="7" l="1"/>
  <c r="N40" i="7"/>
  <c r="O40" i="7" s="1"/>
  <c r="N22" i="7"/>
  <c r="O22" i="7" s="1"/>
  <c r="N21" i="7" l="1"/>
  <c r="O21" i="7"/>
  <c r="N36" i="7"/>
  <c r="C14" i="7"/>
  <c r="N34" i="7"/>
  <c r="O34" i="7" s="1"/>
  <c r="O19" i="7"/>
  <c r="O15" i="7" s="1"/>
  <c r="N15" i="7"/>
  <c r="C11" i="7" l="1"/>
  <c r="O36" i="7"/>
  <c r="C18" i="7"/>
  <c r="D14" i="7"/>
  <c r="N32" i="7"/>
  <c r="N31" i="7"/>
  <c r="O31" i="7" s="1"/>
  <c r="D18" i="7" l="1"/>
  <c r="N46" i="7"/>
  <c r="O46" i="7" s="1"/>
  <c r="C21" i="7"/>
  <c r="D21" i="7" s="1"/>
  <c r="D11" i="7"/>
  <c r="O32" i="7"/>
  <c r="N30" i="7"/>
  <c r="O30" i="7" s="1"/>
  <c r="N29" i="7" l="1"/>
  <c r="N51" i="7" s="1"/>
  <c r="O29" i="7"/>
  <c r="O51" i="7" s="1"/>
  <c r="B746" i="24"/>
  <c r="B772" i="24"/>
  <c r="B757" i="24"/>
  <c r="B14" i="26" l="1"/>
  <c r="B15" i="26" l="1"/>
  <c r="B16" i="26" l="1"/>
  <c r="B17" i="26" l="1"/>
  <c r="B18" i="26" l="1"/>
  <c r="B20" i="26" l="1"/>
  <c r="B21" i="26" l="1"/>
  <c r="B22" i="26" l="1"/>
  <c r="B23" i="26" l="1"/>
  <c r="B24" i="26" l="1"/>
  <c r="B25" i="26" l="1"/>
  <c r="B26" i="26" l="1"/>
  <c r="B27" i="26" l="1"/>
  <c r="B28" i="26" l="1"/>
  <c r="B29" i="26" l="1"/>
  <c r="B30" i="26" l="1"/>
  <c r="B31" i="26" l="1"/>
  <c r="B32" i="26" l="1"/>
  <c r="B33" i="26" l="1"/>
  <c r="B34" i="26" l="1"/>
  <c r="B35" i="26" l="1"/>
  <c r="B36" i="26" l="1"/>
  <c r="B37" i="26" l="1"/>
  <c r="B38" i="26" l="1"/>
  <c r="B39" i="26" l="1"/>
  <c r="B40" i="26" l="1"/>
  <c r="B41" i="26" l="1"/>
  <c r="B43" i="26" l="1"/>
  <c r="B42" i="26" l="1"/>
  <c r="B44" i="26" s="1"/>
  <c r="B48" i="26" s="1"/>
  <c r="C1908" i="25"/>
  <c r="I1908" i="25"/>
  <c r="B1908" i="25"/>
  <c r="B1107" i="25"/>
  <c r="B1086" i="25"/>
  <c r="B1415" i="25"/>
  <c r="B1465" i="25"/>
  <c r="B520" i="25"/>
  <c r="B155" i="25"/>
  <c r="B2048" i="25"/>
  <c r="B317" i="25"/>
  <c r="B1269" i="25"/>
  <c r="B749" i="25"/>
  <c r="B493" i="25"/>
  <c r="B750" i="35"/>
  <c r="B2010" i="25"/>
  <c r="B303" i="25"/>
  <c r="B1312" i="25"/>
  <c r="B1422" i="25"/>
  <c r="B448" i="39"/>
  <c r="B477" i="6"/>
  <c r="B1592" i="25"/>
  <c r="B1501" i="25"/>
  <c r="B91" i="25"/>
  <c r="B422" i="25"/>
  <c r="B1382" i="25"/>
  <c r="B609" i="35"/>
  <c r="B698" i="25"/>
  <c r="B561" i="25"/>
  <c r="B899" i="25"/>
  <c r="B177" i="25"/>
  <c r="B1281" i="25"/>
  <c r="B193" i="25"/>
  <c r="B1699" i="25"/>
  <c r="B242" i="25"/>
  <c r="B139" i="25"/>
  <c r="B252" i="25"/>
  <c r="B1946" i="25"/>
  <c r="B238" i="25"/>
  <c r="B500" i="25"/>
  <c r="B1515" i="25"/>
  <c r="B1743" i="25"/>
  <c r="C1170" i="33"/>
  <c r="B601" i="25"/>
  <c r="B513" i="25"/>
  <c r="B1243" i="25"/>
  <c r="B1543" i="25"/>
  <c r="B1508" i="25"/>
  <c r="B1246" i="25"/>
  <c r="B887" i="25"/>
  <c r="B727" i="25"/>
  <c r="B1178" i="25"/>
  <c r="B1321" i="25"/>
  <c r="B1416" i="25"/>
  <c r="B1797" i="25"/>
  <c r="B1503" i="25"/>
  <c r="B502" i="25"/>
  <c r="B1215" i="25"/>
  <c r="B731" i="25"/>
  <c r="B1793" i="25"/>
  <c r="B1117" i="25"/>
  <c r="B2029" i="25"/>
  <c r="B76" i="25"/>
  <c r="B285" i="25"/>
  <c r="B292" i="25"/>
  <c r="B789" i="25"/>
  <c r="B1863" i="25"/>
  <c r="B461" i="2"/>
  <c r="B270" i="25"/>
  <c r="B323" i="25"/>
  <c r="B798" i="37"/>
  <c r="B1092" i="25"/>
  <c r="B1298" i="25"/>
  <c r="B1460" i="25"/>
  <c r="B1848" i="25"/>
  <c r="B1886" i="25"/>
  <c r="B1906" i="25"/>
  <c r="B770" i="31"/>
  <c r="B1970" i="25"/>
  <c r="B1231" i="25"/>
  <c r="B550" i="25"/>
  <c r="B939" i="25"/>
  <c r="B553" i="25"/>
  <c r="B1080" i="25"/>
  <c r="B633" i="6"/>
  <c r="B1485" i="25"/>
  <c r="B558" i="25"/>
  <c r="B1344" i="25"/>
  <c r="B20" i="25"/>
  <c r="B1272" i="25"/>
  <c r="B431" i="25"/>
  <c r="B1176" i="25"/>
  <c r="B1220" i="25"/>
  <c r="B2019" i="25"/>
  <c r="B2011" i="25"/>
  <c r="B730" i="25"/>
  <c r="B1307" i="25"/>
  <c r="B614" i="25"/>
  <c r="B820" i="25"/>
  <c r="B484" i="25"/>
  <c r="B56" i="25"/>
  <c r="B1347" i="25"/>
  <c r="B1983" i="25"/>
  <c r="B449" i="39"/>
  <c r="B1247" i="25"/>
  <c r="B626" i="25"/>
  <c r="B1170" i="25"/>
  <c r="B748" i="25"/>
  <c r="B622" i="25"/>
  <c r="B97" i="25"/>
  <c r="B1795" i="25"/>
  <c r="B1252" i="25"/>
  <c r="B1830" i="25"/>
  <c r="B878" i="25"/>
  <c r="B1029" i="25"/>
  <c r="B770" i="40"/>
  <c r="B1012" i="25"/>
  <c r="B212" i="25"/>
  <c r="B1934" i="25"/>
  <c r="B1974" i="25"/>
  <c r="B783" i="40"/>
  <c r="B1509" i="25"/>
  <c r="B435" i="2"/>
  <c r="B884" i="25"/>
  <c r="B455" i="25"/>
  <c r="B758" i="38"/>
  <c r="B817" i="37"/>
  <c r="B152" i="25"/>
  <c r="B591" i="25"/>
  <c r="B262" i="25"/>
  <c r="B1710" i="25"/>
  <c r="B1718" i="25"/>
  <c r="B1003" i="25"/>
  <c r="B436" i="2"/>
  <c r="B1892" i="25"/>
  <c r="B1672" i="25"/>
  <c r="B1735" i="25"/>
  <c r="B566" i="25"/>
  <c r="B1322" i="25"/>
  <c r="B1549" i="25"/>
  <c r="B668" i="25"/>
  <c r="B1950" i="25"/>
  <c r="B1112" i="25"/>
  <c r="B1775" i="25"/>
  <c r="B1537" i="25"/>
  <c r="B1292" i="25"/>
  <c r="B1985" i="25"/>
  <c r="B683" i="25"/>
  <c r="B652" i="25"/>
  <c r="B875" i="25"/>
  <c r="B2052" i="25"/>
  <c r="B1542" i="25"/>
  <c r="B162" i="25"/>
  <c r="B1553" i="25"/>
  <c r="B16" i="25"/>
  <c r="B1855" i="25"/>
  <c r="B72" i="25"/>
  <c r="B808" i="25"/>
  <c r="B1517" i="25"/>
  <c r="B756" i="31"/>
  <c r="B1276" i="25"/>
  <c r="B1046" i="25"/>
  <c r="B1849" i="25"/>
  <c r="B1771" i="25"/>
  <c r="B1607" i="25"/>
  <c r="B1137" i="25"/>
  <c r="B1720" i="25"/>
  <c r="B772" i="38"/>
  <c r="B1524" i="25"/>
  <c r="B1901" i="25"/>
  <c r="B1163" i="25"/>
  <c r="B1520" i="25"/>
  <c r="B655" i="25"/>
  <c r="B302" i="25"/>
  <c r="B1370" i="25"/>
  <c r="B962" i="25"/>
  <c r="B235" i="25"/>
  <c r="B737" i="25"/>
  <c r="B1505" i="25"/>
  <c r="B984" i="25"/>
  <c r="B933" i="25"/>
  <c r="B1462" i="25"/>
  <c r="B1600" i="25"/>
  <c r="B672" i="25"/>
  <c r="B481" i="25"/>
  <c r="B748" i="36"/>
  <c r="B1669" i="25"/>
  <c r="B1346" i="25"/>
  <c r="B1546" i="25"/>
  <c r="B734" i="25"/>
  <c r="B1249" i="25"/>
  <c r="B986" i="25"/>
  <c r="B567" i="25"/>
  <c r="B1024" i="25"/>
  <c r="B786" i="40"/>
  <c r="B936" i="25"/>
  <c r="B2069" i="25"/>
  <c r="B610" i="38"/>
  <c r="B429" i="25"/>
  <c r="B1809" i="25"/>
  <c r="B855" i="25"/>
  <c r="B456" i="2"/>
  <c r="B835" i="25"/>
  <c r="B1038" i="25"/>
  <c r="B1523" i="25"/>
  <c r="B609" i="25"/>
  <c r="B450" i="2"/>
  <c r="B1992" i="25"/>
  <c r="B455" i="2"/>
  <c r="B475" i="5"/>
  <c r="B1456" i="25"/>
  <c r="B580" i="25"/>
  <c r="B468" i="39"/>
  <c r="B1721" i="25"/>
  <c r="B555" i="25"/>
  <c r="B1867" i="25"/>
  <c r="B385" i="25"/>
  <c r="B1274" i="25"/>
  <c r="B1006" i="25"/>
  <c r="B1430" i="25"/>
  <c r="B862" i="25"/>
  <c r="B590" i="40"/>
  <c r="B1502" i="25"/>
  <c r="B748" i="35"/>
  <c r="B1106" i="25"/>
  <c r="B457" i="25"/>
  <c r="B454" i="2"/>
  <c r="B2039" i="25"/>
  <c r="B854" i="25"/>
  <c r="B1496" i="25"/>
  <c r="B1937" i="25"/>
  <c r="B623" i="25"/>
  <c r="B805" i="37"/>
  <c r="B1447" i="25"/>
  <c r="B1168" i="25"/>
  <c r="B1900" i="25"/>
  <c r="B342" i="25"/>
  <c r="B350" i="25"/>
  <c r="B663" i="25"/>
  <c r="B230" i="25"/>
  <c r="B1472" i="25"/>
  <c r="B638" i="25"/>
  <c r="B690" i="25"/>
  <c r="B28" i="25"/>
  <c r="B974" i="25"/>
  <c r="B452" i="6"/>
  <c r="B176" i="25"/>
  <c r="B467" i="25"/>
  <c r="B1702" i="25"/>
  <c r="B278" i="25"/>
  <c r="B667" i="25"/>
  <c r="B1028" i="25"/>
  <c r="B471" i="25"/>
  <c r="B1504" i="25"/>
  <c r="B534" i="25"/>
  <c r="B387" i="25"/>
  <c r="B1268" i="25"/>
  <c r="B130" i="25"/>
  <c r="B499" i="25"/>
  <c r="B1940" i="25"/>
  <c r="I1940" i="25"/>
  <c r="B754" i="25"/>
  <c r="B778" i="25"/>
  <c r="B1328" i="25"/>
  <c r="B131" i="25"/>
  <c r="B769" i="36"/>
  <c r="B1180" i="25"/>
  <c r="B325" i="25"/>
  <c r="B326" i="25"/>
  <c r="B833" i="37"/>
  <c r="B447" i="25"/>
  <c r="B1132" i="25"/>
  <c r="B1684" i="25"/>
  <c r="B841" i="25"/>
  <c r="B607" i="36"/>
  <c r="B1750" i="25"/>
  <c r="B496" i="25"/>
  <c r="B543" i="25"/>
  <c r="B779" i="25"/>
  <c r="B1157" i="25"/>
  <c r="B1914" i="25"/>
  <c r="B228" i="25"/>
  <c r="B576" i="25"/>
  <c r="B1724" i="25"/>
  <c r="B453" i="39"/>
  <c r="B1760" i="25"/>
  <c r="B311" i="25"/>
  <c r="B1094" i="25"/>
  <c r="B214" i="25"/>
  <c r="B173" i="25"/>
  <c r="B917" i="25"/>
  <c r="B1455" i="25"/>
  <c r="B111" i="25"/>
  <c r="B1364" i="25"/>
  <c r="B712" i="25"/>
  <c r="B1194" i="25"/>
  <c r="B2006" i="25"/>
  <c r="B627" i="2"/>
  <c r="B1119" i="25"/>
  <c r="B1154" i="25"/>
  <c r="B1525" i="25"/>
  <c r="B930" i="25"/>
  <c r="B143" i="25"/>
  <c r="B793" i="28"/>
  <c r="B2044" i="25"/>
  <c r="B1709" i="25"/>
  <c r="B180" i="25"/>
  <c r="C898" i="33"/>
  <c r="B1354" i="25"/>
  <c r="B288" i="25"/>
  <c r="B2055" i="25"/>
  <c r="B121" i="25"/>
  <c r="B853" i="25"/>
  <c r="B814" i="25"/>
  <c r="B606" i="35"/>
  <c r="B449" i="2"/>
  <c r="B464" i="25"/>
  <c r="B630" i="25"/>
  <c r="B1765" i="25"/>
  <c r="B62" i="25"/>
  <c r="B475" i="25"/>
  <c r="B400" i="25"/>
  <c r="B827" i="25"/>
  <c r="B1881" i="25"/>
  <c r="B1498" i="25"/>
  <c r="B1333" i="25"/>
  <c r="B287" i="25"/>
  <c r="B1467" i="25"/>
  <c r="B679" i="25"/>
  <c r="B241" i="25"/>
  <c r="B74" i="25"/>
  <c r="B535" i="25"/>
  <c r="B928" i="25"/>
  <c r="B136" i="25"/>
  <c r="B106" i="25"/>
  <c r="B474" i="39"/>
  <c r="B1581" i="25"/>
  <c r="B1349" i="25"/>
  <c r="B1632" i="25"/>
  <c r="B706" i="25"/>
  <c r="B1784" i="25"/>
  <c r="B469" i="39"/>
  <c r="B1661" i="25"/>
  <c r="B641" i="25"/>
  <c r="B1142" i="25"/>
  <c r="B625" i="39"/>
  <c r="B610" i="31"/>
  <c r="B1772" i="25"/>
  <c r="B223" i="25"/>
  <c r="B224" i="25"/>
  <c r="B404" i="25"/>
  <c r="B657" i="37"/>
  <c r="B904" i="25"/>
  <c r="B1851" i="25"/>
  <c r="B425" i="25"/>
  <c r="B1030" i="25"/>
  <c r="B449" i="25"/>
  <c r="B1676" i="25"/>
  <c r="B1642" i="25"/>
  <c r="B1126" i="25"/>
  <c r="B1258" i="25"/>
  <c r="B645" i="25"/>
  <c r="B1085" i="25"/>
  <c r="B678" i="25"/>
  <c r="B310" i="25"/>
  <c r="B1311" i="25"/>
  <c r="B441" i="25"/>
  <c r="B164" i="25"/>
  <c r="B839" i="25"/>
  <c r="B1529" i="25"/>
  <c r="B781" i="25"/>
  <c r="B51" i="25"/>
  <c r="B471" i="2"/>
  <c r="B1716" i="25"/>
  <c r="B80" i="25"/>
  <c r="B1184" i="25"/>
  <c r="B1283" i="25"/>
  <c r="B45" i="25"/>
  <c r="B1421" i="25"/>
  <c r="B480" i="25"/>
  <c r="B1570" i="25"/>
  <c r="B1197" i="25"/>
  <c r="B858" i="25"/>
  <c r="B44" i="25"/>
  <c r="B2035" i="25"/>
  <c r="B348" i="25"/>
  <c r="B1340" i="25"/>
  <c r="B40" i="25"/>
  <c r="B437" i="25"/>
  <c r="B1359" i="25"/>
  <c r="B1384" i="25"/>
  <c r="B264" i="25"/>
  <c r="B140" i="25"/>
  <c r="B1399" i="25"/>
  <c r="B1133" i="25"/>
  <c r="B587" i="25"/>
  <c r="B931" i="25"/>
  <c r="B546" i="25"/>
  <c r="B1894" i="25"/>
  <c r="B1982" i="25"/>
  <c r="B810" i="25"/>
  <c r="B868" i="25"/>
  <c r="B329" i="25"/>
  <c r="B733" i="25"/>
  <c r="B411" i="25"/>
  <c r="B1878" i="25"/>
  <c r="B1865" i="25"/>
  <c r="B894" i="25"/>
  <c r="B1538" i="25"/>
  <c r="B960" i="25"/>
  <c r="B68" i="25"/>
  <c r="B194" i="25"/>
  <c r="B220" i="25"/>
  <c r="B390" i="25"/>
  <c r="B526" i="25"/>
  <c r="B1438" i="25"/>
  <c r="B1595" i="25"/>
  <c r="B1807" i="25"/>
  <c r="B1567" i="25"/>
  <c r="C1149" i="33"/>
  <c r="B954" i="25"/>
  <c r="B1725" i="25"/>
  <c r="B1212" i="25"/>
  <c r="B408" i="25"/>
  <c r="B1018" i="25"/>
  <c r="B857" i="25"/>
  <c r="B110" i="25"/>
  <c r="B315" i="25"/>
  <c r="B666" i="25"/>
  <c r="B402" i="25"/>
  <c r="B309" i="25"/>
  <c r="B2042" i="25"/>
  <c r="B320" i="25"/>
  <c r="B770" i="38"/>
  <c r="B1118" i="25"/>
  <c r="B1978" i="25"/>
  <c r="B766" i="25"/>
  <c r="B343" i="25"/>
  <c r="B190" i="25"/>
  <c r="B1910" i="25"/>
  <c r="B1551" i="25"/>
  <c r="B1728" i="25"/>
  <c r="C1126" i="33"/>
  <c r="B1305" i="25"/>
  <c r="B189" i="25"/>
  <c r="B141" i="25"/>
  <c r="B1814" i="25"/>
  <c r="B1400" i="25"/>
  <c r="B436" i="25"/>
  <c r="B451" i="5"/>
  <c r="B1971" i="25"/>
  <c r="B124" i="25"/>
  <c r="B1273" i="25"/>
  <c r="B150" i="25"/>
  <c r="B748" i="40"/>
  <c r="B756" i="41"/>
  <c r="B1134" i="25"/>
  <c r="B1257" i="25"/>
  <c r="B1390" i="25"/>
  <c r="B341" i="25"/>
  <c r="B273" i="25"/>
  <c r="B772" i="25"/>
  <c r="B725" i="25"/>
  <c r="B1792" i="25"/>
  <c r="B751" i="25"/>
  <c r="B313" i="25"/>
  <c r="B1159" i="25"/>
  <c r="B339" i="25"/>
  <c r="C1168" i="33"/>
  <c r="B1554" i="25"/>
  <c r="B145" i="25"/>
  <c r="B1798" i="25"/>
  <c r="B879" i="25"/>
  <c r="B1090" i="25"/>
  <c r="B2062" i="25"/>
  <c r="B1917" i="25"/>
  <c r="B1259" i="25"/>
  <c r="B2012" i="25"/>
  <c r="B606" i="31"/>
  <c r="B463" i="5"/>
  <c r="B757" i="31"/>
  <c r="B765" i="25"/>
  <c r="B17" i="25"/>
  <c r="B1845" i="25"/>
  <c r="B90" i="25"/>
  <c r="B298" i="25"/>
  <c r="B1994" i="25"/>
  <c r="B26" i="25"/>
  <c r="B427" i="25"/>
  <c r="B1143" i="25"/>
  <c r="B290" i="25"/>
  <c r="B721" i="25"/>
  <c r="B564" i="25"/>
  <c r="B2016" i="25"/>
  <c r="B1343" i="25"/>
  <c r="B1707" i="25"/>
  <c r="B1634" i="25"/>
  <c r="B1116" i="25"/>
  <c r="B332" i="25"/>
  <c r="B300" i="25"/>
  <c r="B371" i="39"/>
  <c r="B316" i="25"/>
  <c r="B1976" i="25"/>
  <c r="B169" i="25"/>
  <c r="B1316" i="25"/>
  <c r="B1650" i="25"/>
  <c r="B423" i="25"/>
  <c r="B1458" i="25"/>
  <c r="B1453" i="25"/>
  <c r="B503" i="25"/>
  <c r="B43" i="25"/>
  <c r="B1236" i="25"/>
  <c r="B848" i="25"/>
  <c r="B1166" i="25"/>
  <c r="B687" i="25"/>
  <c r="B398" i="25"/>
  <c r="B1758" i="25"/>
  <c r="B473" i="2"/>
  <c r="B2050" i="25"/>
  <c r="B1469" i="25"/>
  <c r="B473" i="6"/>
  <c r="B201" i="25"/>
  <c r="B1526" i="25"/>
  <c r="C1169" i="33"/>
  <c r="B787" i="28"/>
  <c r="B851" i="25"/>
  <c r="B622" i="6"/>
  <c r="B769" i="31"/>
  <c r="B1301" i="25"/>
  <c r="B1620" i="25"/>
  <c r="B521" i="25"/>
  <c r="B1478" i="25"/>
  <c r="B440" i="25"/>
  <c r="B1843" i="25"/>
  <c r="B785" i="31"/>
  <c r="B816" i="37"/>
  <c r="B1434" i="25"/>
  <c r="B1713" i="25"/>
  <c r="B1131" i="25"/>
  <c r="B738" i="25"/>
  <c r="B646" i="25"/>
  <c r="B1997" i="25"/>
  <c r="B716" i="25"/>
  <c r="B607" i="31"/>
  <c r="B985" i="25"/>
  <c r="B1912" i="25"/>
  <c r="B1237" i="25"/>
  <c r="B1850" i="25"/>
  <c r="B476" i="25"/>
  <c r="B382" i="25"/>
  <c r="B1454" i="25"/>
  <c r="B818" i="37"/>
  <c r="B1280" i="25"/>
  <c r="B1829" i="25"/>
  <c r="B120" i="25"/>
  <c r="B1210" i="25"/>
  <c r="B1531" i="25"/>
  <c r="B1813" i="25"/>
  <c r="B1528" i="25"/>
  <c r="B1120" i="25"/>
  <c r="B750" i="41"/>
  <c r="B1511" i="25"/>
  <c r="B1924" i="25"/>
  <c r="B1473" i="25"/>
  <c r="B876" i="25"/>
  <c r="B1374" i="25"/>
  <c r="B1841" i="25"/>
  <c r="B610" i="25"/>
  <c r="B1083" i="25"/>
  <c r="B958" i="25"/>
  <c r="B1958" i="25"/>
  <c r="B1218" i="25"/>
  <c r="B609" i="41"/>
  <c r="B2034" i="25"/>
  <c r="B846" i="25"/>
  <c r="B1622" i="25"/>
  <c r="B2020" i="25"/>
  <c r="B790" i="31"/>
  <c r="B1516" i="25"/>
  <c r="B1319" i="25"/>
  <c r="B259" i="25"/>
  <c r="B905" i="25"/>
  <c r="B773" i="25"/>
  <c r="B1899" i="25"/>
  <c r="B283" i="25"/>
  <c r="B644" i="25"/>
  <c r="B2054" i="25"/>
  <c r="B662" i="25"/>
  <c r="B229" i="25"/>
  <c r="B1008" i="25"/>
  <c r="B122" i="25"/>
  <c r="B545" i="25"/>
  <c r="B1277" i="25"/>
  <c r="B474" i="5"/>
  <c r="B1647" i="25"/>
  <c r="B211" i="25"/>
  <c r="B191" i="25"/>
  <c r="B1762" i="25"/>
  <c r="B1902" i="25"/>
  <c r="B406" i="25"/>
  <c r="B2064" i="25"/>
  <c r="B689" i="25"/>
  <c r="B1853" i="25"/>
  <c r="B769" i="40"/>
  <c r="B1138" i="25"/>
  <c r="B1089" i="25"/>
  <c r="B1782" i="25"/>
  <c r="B1729" i="25"/>
  <c r="B554" i="25"/>
  <c r="B1009" i="25"/>
  <c r="B844" i="25"/>
  <c r="B750" i="25"/>
  <c r="B1398" i="25"/>
  <c r="B1757" i="25"/>
  <c r="B815" i="25"/>
  <c r="B956" i="25"/>
  <c r="B877" i="25"/>
  <c r="B2049" i="25"/>
  <c r="B757" i="38"/>
  <c r="B1310" i="25"/>
  <c r="B864" i="25"/>
  <c r="B94" i="25"/>
  <c r="B1691" i="25"/>
  <c r="B466" i="25"/>
  <c r="B533" i="25"/>
  <c r="B226" i="25"/>
  <c r="B965" i="25"/>
  <c r="B605" i="25"/>
  <c r="B786" i="38"/>
  <c r="B378" i="25"/>
  <c r="B492" i="25"/>
  <c r="B674" i="25"/>
  <c r="B1947" i="25"/>
  <c r="B1753" i="25"/>
  <c r="B112" i="25"/>
  <c r="B676" i="25"/>
  <c r="B1787" i="25"/>
  <c r="B950" i="25"/>
  <c r="B1824" i="25"/>
  <c r="B790" i="41"/>
  <c r="B134" i="25"/>
  <c r="B635" i="25"/>
  <c r="B1870" i="25"/>
  <c r="B453" i="25"/>
  <c r="B1919" i="25"/>
  <c r="B185" i="25"/>
  <c r="B1858" i="25"/>
  <c r="B1314" i="25"/>
  <c r="B272" i="25"/>
  <c r="B1639" i="25"/>
  <c r="B891" i="25"/>
  <c r="B1785" i="25"/>
  <c r="B1368" i="25"/>
  <c r="B1124" i="25"/>
  <c r="B948" i="25"/>
  <c r="B635" i="6"/>
  <c r="B1654" i="25"/>
  <c r="B156" i="25"/>
  <c r="B267" i="25"/>
  <c r="B843" i="25"/>
  <c r="B1626" i="25"/>
  <c r="B861" i="25"/>
  <c r="B113" i="25"/>
  <c r="B1861" i="25"/>
  <c r="B629" i="6"/>
  <c r="B741" i="25"/>
  <c r="B347" i="25"/>
  <c r="B254" i="25"/>
  <c r="B753" i="28"/>
  <c r="B397" i="25"/>
  <c r="B1362" i="25"/>
  <c r="B1944" i="25"/>
  <c r="B2036" i="25"/>
  <c r="B340" i="25"/>
  <c r="B787" i="25"/>
  <c r="B1609" i="25"/>
  <c r="B352" i="25"/>
  <c r="B188" i="25"/>
  <c r="B1087" i="25"/>
  <c r="B1423" i="25"/>
  <c r="B828" i="25"/>
  <c r="B633" i="5"/>
  <c r="B1379" i="25"/>
  <c r="C1167" i="33"/>
  <c r="B871" i="25"/>
  <c r="B1859" i="25"/>
  <c r="B1385" i="25"/>
  <c r="B1140" i="25"/>
  <c r="B1419" i="25"/>
  <c r="B1324" i="25"/>
  <c r="B1698" i="25"/>
  <c r="B756" i="25"/>
  <c r="B389" i="25"/>
  <c r="B245" i="25"/>
  <c r="B279" i="25"/>
  <c r="B1613" i="25"/>
  <c r="B1980" i="25"/>
  <c r="B370" i="25"/>
  <c r="B450" i="25"/>
  <c r="B757" i="36"/>
  <c r="B53" i="25"/>
  <c r="B505" i="25"/>
  <c r="B979" i="25"/>
  <c r="B1196" i="25"/>
  <c r="B525" i="25"/>
  <c r="B749" i="38"/>
  <c r="B416" i="25"/>
  <c r="B606" i="40"/>
  <c r="B1723" i="25"/>
  <c r="B1662" i="25"/>
  <c r="B1957" i="25"/>
  <c r="B785" i="40"/>
  <c r="B1016" i="25"/>
  <c r="B902" i="25"/>
  <c r="B1911" i="25"/>
  <c r="B1875" i="25"/>
  <c r="B1560" i="25"/>
  <c r="B442" i="6"/>
  <c r="B508" i="25"/>
  <c r="B271" i="25"/>
  <c r="B1872" i="25"/>
  <c r="B1888" i="25"/>
  <c r="B1405" i="25"/>
  <c r="B1966" i="25"/>
  <c r="B1687" i="25"/>
  <c r="B1569" i="25"/>
  <c r="B975" i="25"/>
  <c r="B258" i="25"/>
  <c r="B565" i="25"/>
  <c r="B307" i="25"/>
  <c r="B420" i="25"/>
  <c r="B441" i="5"/>
  <c r="B1011" i="25"/>
  <c r="B1147" i="25"/>
  <c r="B1646" i="25"/>
  <c r="B949" i="25"/>
  <c r="B308" i="25"/>
  <c r="B1020" i="25"/>
  <c r="B816" i="25"/>
  <c r="B1522" i="25"/>
  <c r="B369" i="25"/>
  <c r="B2007" i="25"/>
  <c r="B1105" i="25"/>
  <c r="B452" i="39"/>
  <c r="B461" i="39"/>
  <c r="B1414" i="25"/>
  <c r="B630" i="5"/>
  <c r="B1679" i="25"/>
  <c r="B327" i="25"/>
  <c r="B1088" i="25"/>
  <c r="B1489" i="25"/>
  <c r="B1675" i="25"/>
  <c r="B1169" i="25"/>
  <c r="B221" i="25"/>
  <c r="B619" i="2"/>
  <c r="B2026" i="25"/>
  <c r="B1470" i="25"/>
  <c r="B1591" i="25"/>
  <c r="B724" i="25"/>
  <c r="B451" i="6"/>
  <c r="B643" i="25"/>
  <c r="B771" i="41"/>
  <c r="B1803" i="25"/>
  <c r="B1420" i="25"/>
  <c r="B1995" i="25"/>
  <c r="B763" i="25"/>
  <c r="B1263" i="25"/>
  <c r="B1822" i="25"/>
  <c r="B2015" i="25"/>
  <c r="B276" i="25"/>
  <c r="B785" i="35"/>
  <c r="B1014" i="25"/>
  <c r="B1866" i="25"/>
  <c r="B951" i="25"/>
  <c r="B1187" i="25"/>
  <c r="B590" i="41"/>
  <c r="B1512" i="25"/>
  <c r="B1653" i="25"/>
  <c r="B295" i="25"/>
  <c r="B149" i="25"/>
  <c r="B785" i="36"/>
  <c r="B671" i="25"/>
  <c r="B1042" i="25"/>
  <c r="B718" i="25"/>
  <c r="B598" i="25"/>
  <c r="B1973" i="25"/>
  <c r="B610" i="28"/>
  <c r="B758" i="25"/>
  <c r="B2005" i="25"/>
  <c r="B1990" i="25"/>
  <c r="B1338" i="25"/>
  <c r="B2066" i="25"/>
  <c r="B773" i="28"/>
  <c r="B64" i="25"/>
  <c r="B621" i="5"/>
  <c r="B1905" i="25"/>
  <c r="B1583" i="25"/>
  <c r="B1514" i="25"/>
  <c r="B1100" i="25"/>
  <c r="B893" i="25"/>
  <c r="B786" i="36"/>
  <c r="B1342" i="25"/>
  <c r="B1091" i="25"/>
  <c r="B771" i="35"/>
  <c r="B1440" i="25"/>
  <c r="B457" i="6"/>
  <c r="B1335" i="25"/>
  <c r="B1054" i="25"/>
  <c r="B2027" i="25"/>
  <c r="B463" i="39"/>
  <c r="B27" i="25"/>
  <c r="B1468" i="25"/>
  <c r="B331" i="25"/>
  <c r="B144" i="25"/>
  <c r="B443" i="25"/>
  <c r="B759" i="28"/>
  <c r="B1929" i="25"/>
  <c r="B610" i="41"/>
  <c r="B1879" i="25"/>
  <c r="B319" i="25"/>
  <c r="B1789" i="25"/>
  <c r="B658" i="25"/>
  <c r="B805" i="25"/>
  <c r="B869" i="25"/>
  <c r="B1575" i="25"/>
  <c r="B898" i="25"/>
  <c r="B777" i="25"/>
  <c r="B454" i="25"/>
  <c r="B867" i="25"/>
  <c r="B654" i="37"/>
  <c r="B394" i="25"/>
  <c r="B1552" i="25"/>
  <c r="B829" i="25"/>
  <c r="B364" i="25"/>
  <c r="B1304" i="25"/>
  <c r="B1733" i="25"/>
  <c r="B1927" i="25"/>
  <c r="B559" i="25"/>
  <c r="B1386" i="25"/>
  <c r="B719" i="25"/>
  <c r="B1977" i="25"/>
  <c r="B619" i="39"/>
  <c r="B1979" i="25"/>
  <c r="B934" i="25"/>
  <c r="B1599" i="25"/>
  <c r="B462" i="25"/>
  <c r="B607" i="35"/>
  <c r="B1149" i="25"/>
  <c r="B786" i="28"/>
  <c r="B261" i="25"/>
  <c r="B1031" i="25"/>
  <c r="B856" i="25"/>
  <c r="B1802" i="25"/>
  <c r="B912" i="25"/>
  <c r="B1481" i="25"/>
  <c r="B963" i="25"/>
  <c r="B812" i="25"/>
  <c r="B757" i="35"/>
  <c r="B1442" i="25"/>
  <c r="B1623" i="25"/>
  <c r="B651" i="25"/>
  <c r="B126" i="25"/>
  <c r="B753" i="25"/>
  <c r="B362" i="25"/>
  <c r="B1463" i="25"/>
  <c r="B1409" i="25"/>
  <c r="B784" i="35"/>
  <c r="B590" i="36"/>
  <c r="B1811" i="25"/>
  <c r="B470" i="39"/>
  <c r="B624" i="39"/>
  <c r="B1041" i="25"/>
  <c r="B926" i="25"/>
  <c r="B383" i="25"/>
  <c r="B459" i="5"/>
  <c r="B1604" i="25"/>
  <c r="B1572" i="25"/>
  <c r="B123" i="25"/>
  <c r="B1913" i="25"/>
  <c r="B695" i="25"/>
  <c r="B1961" i="25"/>
  <c r="B1270" i="25"/>
  <c r="B1817" i="25"/>
  <c r="B771" i="25"/>
  <c r="B832" i="37"/>
  <c r="B1796" i="25"/>
  <c r="B1339" i="25"/>
  <c r="B647" i="25"/>
  <c r="B485" i="25"/>
  <c r="B69" i="25"/>
  <c r="B1989" i="25"/>
  <c r="C1137" i="33"/>
  <c r="B157" i="25"/>
  <c r="B768" i="25"/>
  <c r="B834" i="37"/>
  <c r="B1697" i="25"/>
  <c r="B597" i="25"/>
  <c r="B370" i="39"/>
  <c r="B1565" i="25"/>
  <c r="B203" i="25"/>
  <c r="B1745" i="25"/>
  <c r="B1748" i="25"/>
  <c r="B1768" i="25"/>
  <c r="B1479" i="25"/>
  <c r="B472" i="25"/>
  <c r="B1336" i="25"/>
  <c r="B744" i="25"/>
  <c r="B1611" i="25"/>
  <c r="B682" i="25"/>
  <c r="B1930" i="25"/>
  <c r="B775" i="28"/>
  <c r="B665" i="25"/>
  <c r="B655" i="37"/>
  <c r="B563" i="25"/>
  <c r="B1366" i="25"/>
  <c r="B1693" i="25"/>
  <c r="B896" i="25"/>
  <c r="B1145" i="25"/>
  <c r="B305" i="25"/>
  <c r="B509" i="25"/>
  <c r="B1358" i="25"/>
  <c r="B702" i="25"/>
  <c r="B1428" i="25"/>
  <c r="B785" i="38"/>
  <c r="B2045" i="25"/>
  <c r="B42" i="25"/>
  <c r="B874" i="25"/>
  <c r="B1217" i="25"/>
  <c r="B1922" i="25"/>
  <c r="B453" i="5"/>
  <c r="B1744" i="25"/>
  <c r="B1819" i="25"/>
  <c r="B516" i="25"/>
  <c r="B552" i="25"/>
  <c r="B642" i="25"/>
  <c r="B1756" i="25"/>
  <c r="B1005" i="25"/>
  <c r="B293" i="25"/>
  <c r="B328" i="25"/>
  <c r="B1561" i="25"/>
  <c r="B605" i="35"/>
  <c r="B438" i="25"/>
  <c r="B1847" i="25"/>
  <c r="B401" i="25"/>
  <c r="B1313" i="25"/>
  <c r="B1746" i="25"/>
  <c r="B473" i="25"/>
  <c r="B932" i="25"/>
  <c r="B711" i="25"/>
  <c r="B30" i="25"/>
  <c r="B640" i="25"/>
  <c r="B798" i="25"/>
  <c r="B1856" i="25"/>
  <c r="B1497" i="25"/>
  <c r="B1238" i="25"/>
  <c r="B1705" i="25"/>
  <c r="B129" i="25"/>
  <c r="B2000" i="25"/>
  <c r="B771" i="38"/>
  <c r="B831" i="37"/>
  <c r="B504" i="25"/>
  <c r="B609" i="31"/>
  <c r="B528" i="25"/>
  <c r="B756" i="36"/>
  <c r="B732" i="25"/>
  <c r="B2001" i="25"/>
  <c r="B1267" i="25"/>
  <c r="B103" i="25"/>
  <c r="B1637" i="25"/>
  <c r="B782" i="25"/>
  <c r="B1239" i="25"/>
  <c r="B1129" i="25"/>
  <c r="B910" i="25"/>
  <c r="B1909" i="25"/>
  <c r="B1967" i="25"/>
  <c r="B629" i="5"/>
  <c r="B439" i="25"/>
  <c r="B1625" i="25"/>
  <c r="B1988" i="25"/>
  <c r="B872" i="25"/>
  <c r="B1741" i="25"/>
  <c r="B728" i="25"/>
  <c r="B253" i="25"/>
  <c r="B1834" i="25"/>
  <c r="B2004" i="25"/>
  <c r="B1800" i="25"/>
  <c r="B1474" i="25"/>
  <c r="B1222" i="25"/>
  <c r="B1801" i="25"/>
  <c r="B612" i="25"/>
  <c r="B457" i="5"/>
  <c r="B1363" i="25"/>
  <c r="B1353" i="25"/>
  <c r="B1835" i="25"/>
  <c r="B838" i="37"/>
  <c r="B367" i="25"/>
  <c r="B1027" i="25"/>
  <c r="B593" i="28"/>
  <c r="B494" i="25"/>
  <c r="B1433" i="25"/>
  <c r="B1717" i="25"/>
  <c r="B1127" i="25"/>
  <c r="B1999" i="25"/>
  <c r="B617" i="25"/>
  <c r="B1701" i="25"/>
  <c r="B1303" i="25"/>
  <c r="B100" i="25"/>
  <c r="B1838" i="25"/>
  <c r="B396" i="25"/>
  <c r="B586" i="25"/>
  <c r="B2053" i="25"/>
  <c r="B1081" i="25"/>
  <c r="B1448" i="25"/>
  <c r="B795" i="25"/>
  <c r="B1114" i="25"/>
  <c r="B1874" i="25"/>
  <c r="B590" i="25"/>
  <c r="B2031" i="25"/>
  <c r="B474" i="6"/>
  <c r="B1254" i="25"/>
  <c r="B196" i="25"/>
  <c r="B1540" i="25"/>
  <c r="B1806" i="25"/>
  <c r="B1082" i="25"/>
  <c r="B1635" i="25"/>
  <c r="B1130" i="25"/>
  <c r="B200" i="25"/>
  <c r="B978" i="25"/>
  <c r="B1673" i="25"/>
  <c r="B413" i="25"/>
  <c r="B1736" i="25"/>
  <c r="B631" i="2"/>
  <c r="B2065" i="25"/>
  <c r="B1128" i="25"/>
  <c r="B1589" i="25"/>
  <c r="B469" i="25"/>
  <c r="B1712" i="25"/>
  <c r="B1330" i="25"/>
  <c r="B657" i="25"/>
  <c r="B1730" i="25"/>
  <c r="B263" i="25"/>
  <c r="B713" i="25"/>
  <c r="B419" i="25"/>
  <c r="B610" i="40"/>
  <c r="B1175" i="25"/>
  <c r="B946" i="25"/>
  <c r="B1425" i="25"/>
  <c r="B819" i="25"/>
  <c r="B1963" i="25"/>
  <c r="B547" i="25"/>
  <c r="B1235" i="25"/>
  <c r="B605" i="36"/>
  <c r="B1518" i="25"/>
  <c r="B1532" i="25"/>
  <c r="B1331" i="25"/>
  <c r="B1580" i="25"/>
  <c r="B630" i="2"/>
  <c r="B632" i="6"/>
  <c r="B1146" i="25"/>
  <c r="B132" i="25"/>
  <c r="B249" i="25"/>
  <c r="B2032" i="25"/>
  <c r="B1172" i="25"/>
  <c r="B1348" i="25"/>
  <c r="B527" i="25"/>
  <c r="B2061" i="25"/>
  <c r="B785" i="41"/>
  <c r="B768" i="41"/>
  <c r="B925" i="25"/>
  <c r="B1418" i="25"/>
  <c r="B464" i="39"/>
  <c r="B1181" i="25"/>
  <c r="B1234" i="25"/>
  <c r="B430" i="25"/>
  <c r="B1576" i="25"/>
  <c r="B1558" i="25"/>
  <c r="B1972" i="25"/>
  <c r="B1559" i="25"/>
  <c r="B405" i="25"/>
  <c r="B1539" i="25"/>
  <c r="B786" i="41"/>
  <c r="B1844" i="25"/>
  <c r="B817" i="25"/>
  <c r="B792" i="25"/>
  <c r="B439" i="2"/>
  <c r="B800" i="25"/>
  <c r="B368" i="25"/>
  <c r="B1219" i="25"/>
  <c r="B819" i="37"/>
  <c r="B1329" i="25"/>
  <c r="B722" i="25"/>
  <c r="B1286" i="25"/>
  <c r="B86" i="25"/>
  <c r="B1696" i="25"/>
  <c r="B482" i="25"/>
  <c r="B452" i="5"/>
  <c r="B1285" i="25"/>
  <c r="B788" i="25"/>
  <c r="B590" i="35"/>
  <c r="B529" i="25"/>
  <c r="B1657" i="25"/>
  <c r="B1761" i="25"/>
  <c r="B1643" i="25"/>
  <c r="B1926" i="25"/>
  <c r="B359" i="25"/>
  <c r="B165" i="25"/>
  <c r="B1584" i="25"/>
  <c r="B785" i="25"/>
  <c r="B1674" i="25"/>
  <c r="B207" i="25"/>
  <c r="B1883" i="25"/>
  <c r="B161" i="25"/>
  <c r="B1846" i="25"/>
  <c r="B71" i="25"/>
  <c r="B1769" i="25"/>
  <c r="B1898" i="25"/>
  <c r="B127" i="25"/>
  <c r="B1840" i="25"/>
  <c r="B664" i="25"/>
  <c r="B1507" i="25"/>
  <c r="B375" i="25"/>
  <c r="B384" i="25"/>
  <c r="B1571" i="25"/>
  <c r="B1013" i="25"/>
  <c r="B101" i="25"/>
  <c r="B472" i="2"/>
  <c r="B1767" i="25"/>
  <c r="B1417" i="25"/>
  <c r="B540" i="25"/>
  <c r="B1770" i="25"/>
  <c r="B206" i="25"/>
  <c r="B1948" i="25"/>
  <c r="B1189" i="25"/>
  <c r="B1686" i="25"/>
  <c r="B1260" i="25"/>
  <c r="B1451" i="25"/>
  <c r="B1063" i="25"/>
  <c r="B454" i="6"/>
  <c r="B915" i="25"/>
  <c r="B198" i="25"/>
  <c r="B981" i="25"/>
  <c r="B1747" i="25"/>
  <c r="B284" i="25"/>
  <c r="B1897" i="25"/>
  <c r="B491" i="25"/>
  <c r="B1960" i="25"/>
  <c r="B1568" i="25"/>
  <c r="B96" i="25"/>
  <c r="B1956" i="25"/>
  <c r="B250" i="25"/>
  <c r="B1186" i="25"/>
  <c r="B1361" i="25"/>
  <c r="B548" i="25"/>
  <c r="B1393" i="25"/>
  <c r="B333" i="25"/>
  <c r="B85" i="25"/>
  <c r="B1044" i="25"/>
  <c r="B1889" i="25"/>
  <c r="B1738" i="25"/>
  <c r="B1484" i="25"/>
  <c r="B621" i="25"/>
  <c r="B1928" i="25"/>
  <c r="B1868" i="25"/>
  <c r="B95" i="25"/>
  <c r="B613" i="28"/>
  <c r="B218" i="25"/>
  <c r="B432" i="25"/>
  <c r="B531" i="25"/>
  <c r="B1387" i="25"/>
  <c r="B908" i="25"/>
  <c r="B451" i="2"/>
  <c r="B1678" i="25"/>
  <c r="B1862" i="25"/>
  <c r="B775" i="25"/>
  <c r="B609" i="40"/>
  <c r="B573" i="25"/>
  <c r="B859" i="25"/>
  <c r="B769" i="41"/>
  <c r="B1938" i="25"/>
  <c r="B1715" i="25"/>
  <c r="B2008" i="25"/>
  <c r="B634" i="5"/>
  <c r="B374" i="25"/>
  <c r="B693" i="25"/>
  <c r="B1040" i="25"/>
  <c r="B621" i="6"/>
  <c r="B944" i="25"/>
  <c r="B312" i="25"/>
  <c r="B233" i="25"/>
  <c r="B685" i="25"/>
  <c r="B1548" i="25"/>
  <c r="B895" i="25"/>
  <c r="B133" i="25"/>
  <c r="B1839" i="25"/>
  <c r="B1062" i="25"/>
  <c r="B1690" i="25"/>
  <c r="B583" i="25"/>
  <c r="B714" i="25"/>
  <c r="B1557" i="25"/>
  <c r="B1987" i="25"/>
  <c r="B762" i="25"/>
  <c r="B1582" i="25"/>
  <c r="B532" i="25"/>
  <c r="B452" i="25"/>
  <c r="B1061" i="25"/>
  <c r="B345" i="25"/>
  <c r="B761" i="25"/>
  <c r="B756" i="40"/>
  <c r="B752" i="25"/>
  <c r="B1964" i="25"/>
  <c r="B603" i="25"/>
  <c r="B205" i="25"/>
  <c r="B1144" i="25"/>
  <c r="C918" i="33"/>
  <c r="B12" i="25"/>
  <c r="B25" i="25"/>
  <c r="B836" i="25"/>
  <c r="B2024" i="25"/>
  <c r="B147" i="25"/>
  <c r="B1779" i="25"/>
  <c r="B1816" i="25"/>
  <c r="B625" i="25"/>
  <c r="B1644" i="25"/>
  <c r="B114" i="25"/>
  <c r="B391" i="25"/>
  <c r="B1918" i="25"/>
  <c r="B1122" i="25"/>
  <c r="B1825" i="25"/>
  <c r="B1445" i="25"/>
  <c r="B79" i="25"/>
  <c r="B584" i="25"/>
  <c r="B488" i="25"/>
  <c r="B927" i="25"/>
  <c r="B751" i="28"/>
  <c r="B1424" i="25"/>
  <c r="B1095" i="25"/>
  <c r="B1904" i="25"/>
  <c r="B1749" i="25"/>
  <c r="B578" i="25"/>
  <c r="B783" i="31"/>
  <c r="B1869" i="25"/>
  <c r="B174" i="25"/>
  <c r="B623" i="39"/>
  <c r="B1318" i="25"/>
  <c r="B1996" i="25"/>
  <c r="B498" i="25"/>
  <c r="B901" i="25"/>
  <c r="B757" i="40"/>
  <c r="B606" i="41"/>
  <c r="B1831" i="25"/>
  <c r="B1261" i="25"/>
  <c r="B179" i="25"/>
  <c r="B368" i="39"/>
  <c r="B1605" i="25"/>
  <c r="B1300" i="25"/>
  <c r="B609" i="28"/>
  <c r="B66" i="25"/>
  <c r="B217" i="25"/>
  <c r="B142" i="25"/>
  <c r="B417" i="25"/>
  <c r="B170" i="25"/>
  <c r="B1389" i="25"/>
  <c r="B70" i="25"/>
  <c r="B1842" i="25"/>
  <c r="B776" i="25"/>
  <c r="B1556" i="25"/>
  <c r="B1920" i="25"/>
  <c r="B1788" i="25"/>
  <c r="B1265" i="25"/>
  <c r="B701" i="25"/>
  <c r="B653" i="25"/>
  <c r="B403" i="25"/>
  <c r="B897" i="25"/>
  <c r="B768" i="31"/>
  <c r="B913" i="25"/>
  <c r="B686" i="25"/>
  <c r="B438" i="6"/>
  <c r="B1638" i="25"/>
  <c r="B929" i="25"/>
  <c r="B1150" i="25"/>
  <c r="B1355" i="25"/>
  <c r="B369" i="39"/>
  <c r="B1573" i="25"/>
  <c r="B656" i="25"/>
  <c r="B1968" i="25"/>
  <c r="C913" i="33"/>
  <c r="B629" i="25"/>
  <c r="B395" i="25"/>
  <c r="B669" i="25"/>
  <c r="B729" i="25"/>
  <c r="B570" i="25"/>
  <c r="B1564" i="25"/>
  <c r="B470" i="25"/>
  <c r="B923" i="25"/>
  <c r="B459" i="6"/>
  <c r="B1202" i="25"/>
  <c r="B1826" i="25"/>
  <c r="B1648" i="25"/>
  <c r="B524" i="25"/>
  <c r="B618" i="39"/>
  <c r="B703" i="25"/>
  <c r="B1320" i="25"/>
  <c r="B388" i="25"/>
  <c r="B610" i="39"/>
  <c r="B1506" i="25"/>
  <c r="B1156" i="25"/>
  <c r="B1290" i="25"/>
  <c r="B772" i="40"/>
  <c r="B717" i="25"/>
  <c r="B1586" i="25"/>
  <c r="B377" i="25"/>
  <c r="B1108" i="25"/>
  <c r="B231" i="25"/>
  <c r="B1790" i="25"/>
  <c r="B1242" i="25"/>
  <c r="B109" i="25"/>
  <c r="B1476" i="25"/>
  <c r="B1221" i="25"/>
  <c r="B1628" i="25"/>
  <c r="B764" i="25"/>
  <c r="B556" i="25"/>
  <c r="B774" i="28"/>
  <c r="B1161" i="25"/>
  <c r="B172" i="25"/>
  <c r="B1103" i="25"/>
  <c r="B1630" i="25"/>
  <c r="B760" i="25"/>
  <c r="B865" i="25"/>
  <c r="B1688" i="25"/>
  <c r="B2033" i="25"/>
  <c r="B1590" i="25"/>
  <c r="B1763" i="25"/>
  <c r="B1102" i="25"/>
  <c r="B1550" i="25"/>
  <c r="B790" i="25"/>
  <c r="B225" i="25"/>
  <c r="B572" i="25"/>
  <c r="B707" i="25"/>
  <c r="B82" i="25"/>
  <c r="B1617" i="25"/>
  <c r="B1369" i="25"/>
  <c r="B542" i="25"/>
  <c r="B1884" i="25"/>
  <c r="B1200" i="25"/>
  <c r="B47" i="25"/>
  <c r="B355" i="25"/>
  <c r="B870" i="25"/>
  <c r="B1490" i="25"/>
  <c r="B346" i="25"/>
  <c r="B151" i="25"/>
  <c r="B757" i="25"/>
  <c r="B118" i="25"/>
  <c r="B881" i="25"/>
  <c r="B980" i="25"/>
  <c r="B791" i="38"/>
  <c r="B845" i="25"/>
  <c r="B48" i="25"/>
  <c r="B1519" i="25"/>
  <c r="B428" i="25"/>
  <c r="B88" i="25"/>
  <c r="B195" i="25"/>
  <c r="B444" i="25"/>
  <c r="B673" i="25"/>
  <c r="B372" i="25"/>
  <c r="B22" i="25"/>
  <c r="B973" i="25"/>
  <c r="B745" i="25"/>
  <c r="B976" i="25"/>
  <c r="B801" i="25"/>
  <c r="B1923" i="25"/>
  <c r="B489" i="25"/>
  <c r="B1808" i="25"/>
  <c r="B1165" i="25"/>
  <c r="B636" i="5"/>
  <c r="B372" i="39"/>
  <c r="B747" i="25"/>
  <c r="B1376" i="25"/>
  <c r="B594" i="25"/>
  <c r="B770" i="36"/>
  <c r="B424" i="25"/>
  <c r="B1309" i="25"/>
  <c r="B617" i="39"/>
  <c r="B2046" i="25"/>
  <c r="B790" i="36"/>
  <c r="B102" i="25"/>
  <c r="B784" i="36"/>
  <c r="B490" i="25"/>
  <c r="B720" i="25"/>
  <c r="B1877" i="25"/>
  <c r="B2003" i="25"/>
  <c r="B1682" i="25"/>
  <c r="B239" i="25"/>
  <c r="B2002" i="25"/>
  <c r="B448" i="2"/>
  <c r="B1579" i="25"/>
  <c r="B620" i="2"/>
  <c r="B1153" i="25"/>
  <c r="B938" i="25"/>
  <c r="B519" i="25"/>
  <c r="B441" i="6"/>
  <c r="B1429" i="25"/>
  <c r="B187" i="25"/>
  <c r="B467" i="39"/>
  <c r="B983" i="25"/>
  <c r="B935" i="25"/>
  <c r="B1656" i="25"/>
  <c r="B840" i="25"/>
  <c r="B1288" i="25"/>
  <c r="B620" i="25"/>
  <c r="B314" i="25"/>
  <c r="B1533" i="25"/>
  <c r="B1598" i="25"/>
  <c r="B475" i="2"/>
  <c r="B1459" i="25"/>
  <c r="B1351" i="25"/>
  <c r="B1021" i="25"/>
  <c r="B1815" i="25"/>
  <c r="B1160" i="25"/>
  <c r="B29" i="25"/>
  <c r="B1240" i="25"/>
  <c r="B108" i="25"/>
  <c r="B474" i="25"/>
  <c r="B830" i="25"/>
  <c r="B49" i="25"/>
  <c r="B1158" i="25"/>
  <c r="B24" i="25"/>
  <c r="B577" i="25"/>
  <c r="B522" i="25"/>
  <c r="B770" i="41"/>
  <c r="B1804" i="25"/>
  <c r="B1408" i="25"/>
  <c r="B399" i="25"/>
  <c r="B1799" i="25"/>
  <c r="B790" i="35"/>
  <c r="B1380" i="25"/>
  <c r="B955" i="25"/>
  <c r="B361" i="25"/>
  <c r="B160" i="25"/>
  <c r="B708" i="25"/>
  <c r="B568" i="25"/>
  <c r="B199" i="25"/>
  <c r="B1190" i="25"/>
  <c r="B1962" i="25"/>
  <c r="B620" i="39"/>
  <c r="B1195" i="25"/>
  <c r="B1037" i="25"/>
  <c r="B1431" i="25"/>
  <c r="B1615" i="25"/>
  <c r="B21" i="25"/>
  <c r="B178" i="25"/>
  <c r="B723" i="25"/>
  <c r="B208" i="25"/>
  <c r="B1854" i="25"/>
  <c r="B380" i="25"/>
  <c r="B2013" i="25"/>
  <c r="B796" i="37"/>
  <c r="B696" i="25"/>
  <c r="B344" i="25"/>
  <c r="B1293" i="25"/>
  <c r="B1432" i="25"/>
  <c r="B1544" i="25"/>
  <c r="B1998" i="25"/>
  <c r="B107" i="25"/>
  <c r="B1833" i="25"/>
  <c r="B924" i="25"/>
  <c r="B1827" i="25"/>
  <c r="B363" i="25"/>
  <c r="B265" i="25"/>
  <c r="B750" i="40"/>
  <c r="B634" i="6"/>
  <c r="B1660" i="25"/>
  <c r="B1297" i="25"/>
  <c r="B1594" i="25"/>
  <c r="B1596" i="25"/>
  <c r="B451" i="25"/>
  <c r="B306" i="25"/>
  <c r="B1446" i="25"/>
  <c r="B478" i="25"/>
  <c r="B146" i="25"/>
  <c r="B1677" i="25"/>
  <c r="B1953" i="25"/>
  <c r="B244" i="25"/>
  <c r="B789" i="28"/>
  <c r="B1649" i="25"/>
  <c r="B202" i="25"/>
  <c r="B115" i="25"/>
  <c r="B1659" i="25"/>
  <c r="B465" i="39"/>
  <c r="B755" i="25"/>
  <c r="B1356" i="25"/>
  <c r="B184" i="25"/>
  <c r="B1109" i="25"/>
  <c r="B1706" i="25"/>
  <c r="B1039" i="25"/>
  <c r="B906" i="25"/>
  <c r="B33" i="25"/>
  <c r="B98" i="25"/>
  <c r="B2071" i="25"/>
  <c r="B735" i="25"/>
  <c r="B418" i="25"/>
  <c r="B634" i="2"/>
  <c r="B296" i="25"/>
  <c r="B1113" i="25"/>
  <c r="B821" i="25"/>
  <c r="B1993" i="25"/>
  <c r="B1759" i="25"/>
  <c r="B1115" i="25"/>
  <c r="B1766" i="25"/>
  <c r="B822" i="25"/>
  <c r="C1128" i="33"/>
  <c r="B1984" i="25"/>
  <c r="B837" i="25"/>
  <c r="B1616" i="25"/>
  <c r="B463" i="6"/>
  <c r="B1289" i="25"/>
  <c r="B501" i="25"/>
  <c r="B769" i="38"/>
  <c r="B260" i="25"/>
  <c r="B1873" i="25"/>
  <c r="B624" i="25"/>
  <c r="B1227" i="25"/>
  <c r="B1097" i="25"/>
  <c r="B512" i="25"/>
  <c r="B2063" i="25"/>
  <c r="B445" i="25"/>
  <c r="B442" i="25"/>
  <c r="B826" i="25"/>
  <c r="B1545" i="25"/>
  <c r="B1668" i="25"/>
  <c r="B472" i="5"/>
  <c r="B1852" i="25"/>
  <c r="B268" i="25"/>
  <c r="B1326" i="25"/>
  <c r="B1871" i="25"/>
  <c r="B574" i="25"/>
  <c r="B1773" i="25"/>
  <c r="B289" i="25"/>
  <c r="B1232" i="25"/>
  <c r="B2009" i="25"/>
  <c r="B684" i="25"/>
  <c r="B219" i="25"/>
  <c r="B475" i="6"/>
  <c r="B324" i="25"/>
  <c r="B1198" i="25"/>
  <c r="B421" i="25"/>
  <c r="B823" i="25"/>
  <c r="B632" i="5"/>
  <c r="B1279" i="25"/>
  <c r="B771" i="31"/>
  <c r="B1241" i="25"/>
  <c r="B1341" i="25"/>
  <c r="B1703" i="25"/>
  <c r="B1593" i="25"/>
  <c r="B610" i="36"/>
  <c r="B2021" i="25"/>
  <c r="B1477" i="25"/>
  <c r="B636" i="6"/>
  <c r="B1780" i="25"/>
  <c r="B1751" i="25"/>
  <c r="B83" i="25"/>
  <c r="B1104" i="25"/>
  <c r="B677" i="25"/>
  <c r="B274" i="25"/>
  <c r="B628" i="2"/>
  <c r="B607" i="41"/>
  <c r="B1275" i="25"/>
  <c r="B215" i="25"/>
  <c r="B634" i="25"/>
  <c r="B1045" i="25"/>
  <c r="B1954" i="25"/>
  <c r="B458" i="25"/>
  <c r="B1110" i="25"/>
  <c r="B1986" i="25"/>
  <c r="B166" i="25"/>
  <c r="B768" i="40"/>
  <c r="B660" i="25"/>
  <c r="B1228" i="25"/>
  <c r="B675" i="25"/>
  <c r="B19" i="25"/>
  <c r="B922" i="25"/>
  <c r="B119" i="25"/>
  <c r="B832" i="25"/>
  <c r="B297" i="25"/>
  <c r="B1093" i="25"/>
  <c r="B1360" i="25"/>
  <c r="B850" i="25"/>
  <c r="B336" i="25"/>
  <c r="B1019" i="25"/>
  <c r="B483" i="25"/>
  <c r="B849" i="25"/>
  <c r="B631" i="5"/>
  <c r="B251" i="25"/>
  <c r="B970" i="25"/>
  <c r="B1148" i="25"/>
  <c r="B1764" i="25"/>
  <c r="B825" i="25"/>
  <c r="B622" i="39"/>
  <c r="B65" i="25"/>
  <c r="B1182" i="25"/>
  <c r="B183" i="25"/>
  <c r="B759" i="25"/>
  <c r="B1266" i="25"/>
  <c r="B186" i="25"/>
  <c r="B171" i="25"/>
  <c r="B1949" i="25"/>
  <c r="B1683" i="25"/>
  <c r="B786" i="35"/>
  <c r="B153" i="25"/>
  <c r="B748" i="31"/>
  <c r="B649" i="25"/>
  <c r="B771" i="40"/>
  <c r="B1931" i="25"/>
  <c r="B204" i="25"/>
  <c r="B366" i="25"/>
  <c r="B1284" i="25"/>
  <c r="B299" i="25"/>
  <c r="B692" i="25"/>
  <c r="B104" i="25"/>
  <c r="B831" i="25"/>
  <c r="B2017" i="25"/>
  <c r="B1727" i="25"/>
  <c r="B768" i="35"/>
  <c r="B1510" i="25"/>
  <c r="B358" i="25"/>
  <c r="B392" i="25"/>
  <c r="B820" i="37"/>
  <c r="B337" i="25"/>
  <c r="B304" i="25"/>
  <c r="B440" i="2"/>
  <c r="B409" i="25"/>
  <c r="B1731" i="25"/>
  <c r="B1436" i="25"/>
  <c r="B1244" i="25"/>
  <c r="B148" i="25"/>
  <c r="B1251" i="25"/>
  <c r="B1002" i="25"/>
  <c r="B1555" i="25"/>
  <c r="B639" i="25"/>
  <c r="B784" i="31"/>
  <c r="B349" i="25"/>
  <c r="B1907" i="25"/>
  <c r="B633" i="2"/>
  <c r="B772" i="28"/>
  <c r="B1932" i="25"/>
  <c r="B517" i="25"/>
  <c r="B883" i="25"/>
  <c r="B681" i="25"/>
  <c r="B1096" i="25"/>
  <c r="B371" i="25"/>
  <c r="B1495" i="25"/>
  <c r="B1952" i="25"/>
  <c r="B1805" i="25"/>
  <c r="B888" i="25"/>
  <c r="B691" i="25"/>
  <c r="B602" i="25"/>
  <c r="B1064" i="25"/>
  <c r="B248" i="25"/>
  <c r="B11" i="25"/>
  <c r="B1665" i="25"/>
  <c r="B605" i="40"/>
  <c r="B15" i="25"/>
  <c r="B919" i="25"/>
  <c r="B1282" i="25"/>
  <c r="B50" i="25"/>
  <c r="B495" i="25"/>
  <c r="B1004" i="25"/>
  <c r="B787" i="38"/>
  <c r="B746" i="25"/>
  <c r="B1752" i="25"/>
  <c r="B280" i="25"/>
  <c r="B1754" i="25"/>
  <c r="B1655" i="25"/>
  <c r="B1177" i="25"/>
  <c r="B942" i="25"/>
  <c r="B330" i="25"/>
  <c r="B1325" i="25"/>
  <c r="B1352" i="25"/>
  <c r="B92" i="25"/>
  <c r="B813" i="25"/>
  <c r="B456" i="6"/>
  <c r="B549" i="25"/>
  <c r="B1323" i="25"/>
  <c r="B1179" i="25"/>
  <c r="B1975" i="25"/>
  <c r="B497" i="25"/>
  <c r="B630" i="6"/>
  <c r="B1562" i="25"/>
  <c r="B608" i="28"/>
  <c r="B773" i="38"/>
  <c r="B803" i="25"/>
  <c r="B453" i="6"/>
  <c r="B518" i="25"/>
  <c r="B560" i="25"/>
  <c r="B1373" i="25"/>
  <c r="B632" i="25"/>
  <c r="C1148" i="33"/>
  <c r="B1406" i="25"/>
  <c r="B608" i="38"/>
  <c r="B860" i="25"/>
  <c r="B885" i="25"/>
  <c r="B940" i="25"/>
  <c r="B1895" i="25"/>
  <c r="B1689" i="25"/>
  <c r="B338" i="25"/>
  <c r="B1821" i="25"/>
  <c r="B631" i="6"/>
  <c r="B1903" i="25"/>
  <c r="B1711" i="25"/>
  <c r="B281" i="25"/>
  <c r="B626" i="2"/>
  <c r="B334" i="25"/>
  <c r="B60" i="25"/>
  <c r="B607" i="25"/>
  <c r="B1015" i="25"/>
  <c r="B1737" i="25"/>
  <c r="B1651" i="25"/>
  <c r="B1151" i="25"/>
  <c r="B1719" i="25"/>
  <c r="B1357" i="25"/>
  <c r="B1466" i="25"/>
  <c r="B909" i="25"/>
  <c r="B1915" i="25"/>
  <c r="B446" i="25"/>
  <c r="B237" i="25"/>
  <c r="B1627" i="25"/>
  <c r="B58" i="25"/>
  <c r="B966" i="25"/>
  <c r="B786" i="31"/>
  <c r="B889" i="25"/>
  <c r="B1601" i="25"/>
  <c r="B1394" i="25"/>
  <c r="B465" i="25"/>
  <c r="B880" i="25"/>
  <c r="B2037" i="25"/>
  <c r="B89" i="25"/>
  <c r="B1935" i="25"/>
  <c r="C914" i="33"/>
  <c r="B627" i="25"/>
  <c r="B1818" i="25"/>
  <c r="B216" i="25"/>
  <c r="B1614" i="25"/>
  <c r="B1633" i="25"/>
  <c r="B609" i="36"/>
  <c r="B1315" i="25"/>
  <c r="B619" i="25"/>
  <c r="B842" i="25"/>
  <c r="B916" i="25"/>
  <c r="B607" i="40"/>
  <c r="B138" i="25"/>
  <c r="B1921" i="25"/>
  <c r="B784" i="25"/>
  <c r="B1680" i="25"/>
  <c r="B658" i="37"/>
  <c r="B650" i="25"/>
  <c r="B1291" i="25"/>
  <c r="B1832" i="25"/>
  <c r="B105" i="25"/>
  <c r="B809" i="25"/>
  <c r="B538" i="25"/>
  <c r="B1755" i="25"/>
  <c r="B1337" i="25"/>
  <c r="B456" i="5"/>
  <c r="B1945" i="25"/>
  <c r="B2070" i="25"/>
  <c r="B769" i="25"/>
  <c r="B530" i="25"/>
  <c r="B286" i="25"/>
  <c r="B1577" i="25"/>
  <c r="C1135" i="33"/>
  <c r="B1201" i="25"/>
  <c r="B514" i="25"/>
  <c r="B414" i="25"/>
  <c r="B460" i="25"/>
  <c r="B2056" i="25"/>
  <c r="B1652" i="25"/>
  <c r="B1295" i="25"/>
  <c r="B802" i="25"/>
  <c r="B386" i="25"/>
  <c r="B756" i="35"/>
  <c r="B1378" i="25"/>
  <c r="B1410" i="25"/>
  <c r="B507" i="25"/>
  <c r="B784" i="38"/>
  <c r="B481" i="39"/>
  <c r="B590" i="31"/>
  <c r="B760" i="28"/>
  <c r="B1381" i="25"/>
  <c r="B595" i="25"/>
  <c r="B882" i="25"/>
  <c r="B472" i="6"/>
  <c r="B757" i="41"/>
  <c r="B1695" i="25"/>
  <c r="B1629" i="25"/>
  <c r="B477" i="5"/>
  <c r="B1412" i="25"/>
  <c r="B1141" i="25"/>
  <c r="B873" i="25"/>
  <c r="B1396" i="25"/>
  <c r="B1098" i="25"/>
  <c r="B360" i="25"/>
  <c r="B1864" i="25"/>
  <c r="B477" i="25"/>
  <c r="B266" i="25"/>
  <c r="B1395" i="25"/>
  <c r="B824" i="25"/>
  <c r="B632" i="2"/>
  <c r="B434" i="25"/>
  <c r="B688" i="25"/>
  <c r="B461" i="25"/>
  <c r="B437" i="5"/>
  <c r="B715" i="25"/>
  <c r="B562" i="25"/>
  <c r="B1499" i="25"/>
  <c r="B636" i="25"/>
  <c r="B1483" i="25"/>
  <c r="B670" i="25"/>
  <c r="B1624" i="25"/>
  <c r="B769" i="35"/>
  <c r="B1578" i="25"/>
  <c r="B1641" i="25"/>
  <c r="B209" i="25"/>
  <c r="B743" i="25"/>
  <c r="B806" i="25"/>
  <c r="B381" i="25"/>
  <c r="B638" i="37"/>
  <c r="B506" i="25"/>
  <c r="B1480" i="25"/>
  <c r="B770" i="25"/>
  <c r="B1171" i="25"/>
  <c r="B31" i="25"/>
  <c r="B937" i="25"/>
  <c r="B772" i="36"/>
  <c r="B1541" i="25"/>
  <c r="B704" i="25"/>
  <c r="B1174" i="25"/>
  <c r="B772" i="31"/>
  <c r="B907" i="25"/>
  <c r="B833" i="25"/>
  <c r="B697" i="25"/>
  <c r="B592" i="25"/>
  <c r="B1264" i="25"/>
  <c r="B1367" i="25"/>
  <c r="B1211" i="25"/>
  <c r="B616" i="25"/>
  <c r="B222" i="25"/>
  <c r="B811" i="25"/>
  <c r="B604" i="25"/>
  <c r="B774" i="25"/>
  <c r="B379" i="25"/>
  <c r="B544" i="25"/>
  <c r="B742" i="25"/>
  <c r="B1500" i="25"/>
  <c r="B1332" i="25"/>
  <c r="B852" i="25"/>
  <c r="B269" i="25"/>
  <c r="B748" i="41"/>
  <c r="B900" i="25"/>
  <c r="B452" i="2"/>
  <c r="B243" i="25"/>
  <c r="B433" i="25"/>
  <c r="B1173" i="25"/>
  <c r="B1534" i="25"/>
  <c r="B1278" i="25"/>
  <c r="B611" i="38"/>
  <c r="B786" i="25"/>
  <c r="B694" i="25"/>
  <c r="B1025" i="25"/>
  <c r="B236" i="25"/>
  <c r="B1486" i="25"/>
  <c r="B1427" i="25"/>
  <c r="B886" i="25"/>
  <c r="B1262" i="25"/>
  <c r="B621" i="39"/>
  <c r="C915" i="33"/>
  <c r="B39" i="25"/>
  <c r="B1250" i="25"/>
  <c r="B59" i="25"/>
  <c r="B1991" i="25"/>
  <c r="B1255" i="25"/>
  <c r="B277" i="25"/>
  <c r="B1513" i="25"/>
  <c r="B1402" i="25"/>
  <c r="B158" i="25"/>
  <c r="B2038" i="25"/>
  <c r="B557" i="25"/>
  <c r="B35" i="25"/>
  <c r="B1734" i="25"/>
  <c r="B32" i="25"/>
  <c r="B365" i="25"/>
  <c r="B1209" i="25"/>
  <c r="B628" i="6"/>
  <c r="B523" i="25"/>
  <c r="B793" i="25"/>
  <c r="B1587" i="25"/>
  <c r="B168" i="25"/>
  <c r="B736" i="25"/>
  <c r="B351" i="25"/>
  <c r="B61" i="25"/>
  <c r="B796" i="25"/>
  <c r="B1306" i="25"/>
  <c r="B34" i="25"/>
  <c r="B450" i="5"/>
  <c r="B1610" i="25"/>
  <c r="B1026" i="25"/>
  <c r="B1828" i="25"/>
  <c r="B953" i="25"/>
  <c r="B1618" i="25"/>
  <c r="B1403" i="25"/>
  <c r="B1942" i="25"/>
  <c r="B1437" i="25"/>
  <c r="B1233" i="25"/>
  <c r="B569" i="25"/>
  <c r="B2043" i="25"/>
  <c r="B84" i="25"/>
  <c r="B1939" i="25"/>
  <c r="B1317" i="25"/>
  <c r="B700" i="25"/>
  <c r="B1155" i="25"/>
  <c r="B1229" i="25"/>
  <c r="B210" i="25"/>
  <c r="B740" i="25"/>
  <c r="B612" i="28"/>
  <c r="B1812" i="25"/>
  <c r="B511" i="25"/>
  <c r="B54" i="25"/>
  <c r="B67" i="25"/>
  <c r="B167" i="25"/>
  <c r="B770" i="35"/>
  <c r="B1487" i="25"/>
  <c r="B818" i="25"/>
  <c r="B593" i="25"/>
  <c r="B1664" i="25"/>
  <c r="B863" i="25"/>
  <c r="B1308" i="25"/>
  <c r="B585" i="25"/>
  <c r="B1023" i="25"/>
  <c r="B920" i="25"/>
  <c r="B1022" i="25"/>
  <c r="B1101" i="25"/>
  <c r="B579" i="25"/>
  <c r="B1820" i="25"/>
  <c r="B1891" i="25"/>
  <c r="B571" i="25"/>
  <c r="B1164" i="25"/>
  <c r="B1597" i="25"/>
  <c r="B1574" i="25"/>
  <c r="B610" i="35"/>
  <c r="B804" i="37"/>
  <c r="B1588" i="25"/>
  <c r="B246" i="25"/>
  <c r="B1969" i="25"/>
  <c r="B2030" i="25"/>
  <c r="B463" i="25"/>
  <c r="B1253" i="25"/>
  <c r="B73" i="25"/>
  <c r="B1123" i="25"/>
  <c r="B1449" i="25"/>
  <c r="B1365" i="25"/>
  <c r="B606" i="38"/>
  <c r="B1714" i="25"/>
  <c r="B1547" i="25"/>
  <c r="B804" i="25"/>
  <c r="B159" i="25"/>
  <c r="B1494" i="25"/>
  <c r="B234" i="25"/>
  <c r="B1296" i="25"/>
  <c r="B282" i="25"/>
  <c r="B1925" i="25"/>
  <c r="B659" i="25"/>
  <c r="B1111" i="25"/>
  <c r="B1563" i="25"/>
  <c r="B1388" i="25"/>
  <c r="B959" i="25"/>
  <c r="B1327" i="25"/>
  <c r="B699" i="25"/>
  <c r="B476" i="6"/>
  <c r="B458" i="5"/>
  <c r="B1471" i="25"/>
  <c r="B1256" i="25"/>
  <c r="C1150" i="33"/>
  <c r="B1663" i="25"/>
  <c r="B1667" i="25"/>
  <c r="B783" i="36"/>
  <c r="B1585" i="25"/>
  <c r="B788" i="28"/>
  <c r="B1602" i="25"/>
  <c r="B1786" i="25"/>
  <c r="B807" i="25"/>
  <c r="B799" i="25"/>
  <c r="B1860" i="25"/>
  <c r="B2022" i="25"/>
  <c r="B240" i="25"/>
  <c r="B1658" i="25"/>
  <c r="B654" i="25"/>
  <c r="B1404" i="25"/>
  <c r="B1492" i="25"/>
  <c r="B14" i="25"/>
  <c r="B1203" i="25"/>
  <c r="B55" i="25"/>
  <c r="B257" i="25"/>
  <c r="B510" i="25"/>
  <c r="B78" i="25"/>
  <c r="B23" i="25"/>
  <c r="B1493" i="25"/>
  <c r="B977" i="25"/>
  <c r="B435" i="25"/>
  <c r="B1885" i="25"/>
  <c r="B255" i="25"/>
  <c r="B1965" i="25"/>
  <c r="B783" i="35"/>
  <c r="B1527" i="25"/>
  <c r="B1372" i="25"/>
  <c r="B750" i="36"/>
  <c r="B780" i="25"/>
  <c r="B376" i="25"/>
  <c r="B726" i="25"/>
  <c r="B1214" i="25"/>
  <c r="B256" i="25"/>
  <c r="B591" i="38"/>
  <c r="B588" i="25"/>
  <c r="B2028" i="25"/>
  <c r="B335" i="25"/>
  <c r="B486" i="25"/>
  <c r="B415" i="25"/>
  <c r="B582" i="25"/>
  <c r="C1174" i="33"/>
  <c r="B2047" i="25"/>
  <c r="B1951" i="25"/>
  <c r="B357" i="25"/>
  <c r="B437" i="6"/>
  <c r="B479" i="25"/>
  <c r="B373" i="25"/>
  <c r="B1943" i="25"/>
  <c r="B613" i="25"/>
  <c r="B1774" i="25"/>
  <c r="B1566" i="25"/>
  <c r="B1670" i="25"/>
  <c r="B606" i="36"/>
  <c r="B473" i="5"/>
  <c r="B1007" i="25"/>
  <c r="B1299" i="25"/>
  <c r="B41" i="25"/>
  <c r="B599" i="25"/>
  <c r="B116" i="25"/>
  <c r="B1407" i="25"/>
  <c r="B1708" i="25"/>
  <c r="B438" i="5"/>
  <c r="B1475" i="25"/>
  <c r="B1401" i="25"/>
  <c r="B1411" i="25"/>
  <c r="B1726" i="25"/>
  <c r="B1783" i="25"/>
  <c r="B628" i="25"/>
  <c r="B1981" i="25"/>
  <c r="B1461" i="25"/>
  <c r="B232" i="25"/>
  <c r="B1457" i="25"/>
  <c r="B468" i="25"/>
  <c r="B1694" i="25"/>
  <c r="B1837" i="25"/>
  <c r="B393" i="25"/>
  <c r="B1941" i="25"/>
  <c r="B450" i="6"/>
  <c r="B1099" i="25"/>
  <c r="B1704" i="25"/>
  <c r="B903" i="25"/>
  <c r="B1121" i="25"/>
  <c r="B154" i="25"/>
  <c r="B1810" i="25"/>
  <c r="B1350" i="25"/>
  <c r="B1065" i="25"/>
  <c r="B1791" i="25"/>
  <c r="B631" i="25"/>
  <c r="B1413" i="25"/>
  <c r="B135" i="25"/>
  <c r="B2067" i="25"/>
  <c r="B1294" i="25"/>
  <c r="B63" i="25"/>
  <c r="C1152" i="33"/>
  <c r="B605" i="41"/>
  <c r="B1043" i="25"/>
  <c r="B1375" i="25"/>
  <c r="B705" i="25"/>
  <c r="B637" i="25"/>
  <c r="B407" i="25"/>
  <c r="B1876" i="25"/>
  <c r="B1681" i="25"/>
  <c r="B294" i="25"/>
  <c r="B75" i="25"/>
  <c r="B539" i="25"/>
  <c r="B1777" i="25"/>
  <c r="B866" i="25"/>
  <c r="B1955" i="25"/>
  <c r="B611" i="39"/>
  <c r="B797" i="25"/>
  <c r="B1391" i="25"/>
  <c r="B2025" i="25"/>
  <c r="B661" i="25"/>
  <c r="B771" i="36"/>
  <c r="B1213" i="25"/>
  <c r="B1619" i="25"/>
  <c r="B596" i="25"/>
  <c r="B13" i="25"/>
  <c r="B1608" i="25"/>
  <c r="B1823" i="25"/>
  <c r="C1151" i="33"/>
  <c r="B1640" i="25"/>
  <c r="B459" i="25"/>
  <c r="B1671" i="25"/>
  <c r="B964" i="25"/>
  <c r="B1631" i="25"/>
  <c r="B77" i="25"/>
  <c r="B1397" i="25"/>
  <c r="B633" i="25"/>
  <c r="B750" i="31"/>
  <c r="B628" i="5"/>
  <c r="B81" i="25"/>
  <c r="B1135" i="25"/>
  <c r="B536" i="25"/>
  <c r="B470" i="2"/>
  <c r="B618" i="25"/>
  <c r="B454" i="5"/>
  <c r="B892" i="25"/>
  <c r="B1136" i="25"/>
  <c r="B1776" i="25"/>
  <c r="B1740" i="25"/>
  <c r="B589" i="25"/>
  <c r="B1621" i="25"/>
  <c r="B1371" i="25"/>
  <c r="B197" i="25"/>
  <c r="B1535" i="25"/>
  <c r="B2023" i="25"/>
  <c r="B1345" i="25"/>
  <c r="B1916" i="25"/>
  <c r="B914" i="25"/>
  <c r="B137" i="25"/>
  <c r="B890" i="25"/>
  <c r="B87" i="25"/>
  <c r="B99" i="25"/>
  <c r="B1836" i="25"/>
  <c r="B537" i="25"/>
  <c r="B784" i="40"/>
  <c r="B1334" i="25"/>
  <c r="B128" i="25"/>
  <c r="B622" i="5"/>
  <c r="B1271" i="25"/>
  <c r="B2014" i="25"/>
  <c r="B834" i="25"/>
  <c r="B606" i="25"/>
  <c r="B322" i="25"/>
  <c r="B911" i="25"/>
  <c r="B354" i="25"/>
  <c r="C917" i="33"/>
  <c r="B957" i="25"/>
  <c r="B1781" i="25"/>
  <c r="B838" i="25"/>
  <c r="B448" i="25"/>
  <c r="B1287" i="25"/>
  <c r="B275" i="25"/>
  <c r="B790" i="40"/>
  <c r="B600" i="25"/>
  <c r="B318" i="25"/>
  <c r="B1936" i="25"/>
  <c r="B487" i="25"/>
  <c r="B247" i="25"/>
  <c r="B607" i="38"/>
  <c r="B1742" i="25"/>
  <c r="B751" i="38"/>
  <c r="B982" i="25"/>
  <c r="B767" i="25"/>
  <c r="B605" i="31"/>
  <c r="B653" i="37"/>
  <c r="B1444" i="25"/>
  <c r="B1530" i="25"/>
  <c r="B739" i="25"/>
  <c r="B709" i="25"/>
  <c r="B227" i="25"/>
  <c r="B921" i="25"/>
  <c r="B1216" i="25"/>
  <c r="B575" i="25"/>
  <c r="B1450" i="25"/>
  <c r="B456" i="25"/>
  <c r="B1880" i="25"/>
  <c r="B353" i="25"/>
  <c r="B1959" i="25"/>
  <c r="B442" i="5"/>
  <c r="B1739" i="25"/>
  <c r="B1426" i="25"/>
  <c r="B163" i="25"/>
  <c r="B1443" i="25"/>
  <c r="B581" i="25"/>
  <c r="B648" i="25"/>
  <c r="B125" i="25"/>
  <c r="B52" i="25"/>
  <c r="B1435" i="25"/>
  <c r="B551" i="25"/>
  <c r="B57" i="25"/>
  <c r="B1152" i="25"/>
  <c r="B1188" i="25"/>
  <c r="B1017" i="25"/>
  <c r="B182" i="25"/>
  <c r="B321" i="25"/>
  <c r="B772" i="41"/>
  <c r="B783" i="41"/>
  <c r="B426" i="25"/>
  <c r="B768" i="36"/>
  <c r="B175" i="25"/>
  <c r="B791" i="25"/>
  <c r="B1896" i="25"/>
  <c r="B615" i="25"/>
  <c r="B291" i="25"/>
  <c r="B1606" i="25"/>
  <c r="B1692" i="25"/>
  <c r="B2018" i="25"/>
  <c r="B918" i="25"/>
  <c r="B412" i="25"/>
  <c r="B611" i="25"/>
  <c r="B213" i="25"/>
  <c r="B847" i="25"/>
  <c r="B1464" i="25"/>
  <c r="B1890" i="25"/>
  <c r="B1162" i="25"/>
  <c r="B945" i="25"/>
  <c r="B474" i="2"/>
  <c r="B1392" i="25"/>
  <c r="B680" i="25"/>
  <c r="B941" i="25"/>
  <c r="B476" i="5"/>
  <c r="B1248" i="25"/>
  <c r="B457" i="2"/>
  <c r="B794" i="25"/>
  <c r="B117" i="25"/>
  <c r="B1645" i="25"/>
  <c r="B1491" i="25"/>
  <c r="B635" i="5"/>
  <c r="B1441" i="25"/>
  <c r="B710" i="25"/>
  <c r="B1685" i="25"/>
  <c r="B1857" i="25"/>
  <c r="B771" i="28"/>
  <c r="B458" i="6"/>
  <c r="B541" i="25"/>
  <c r="B1302" i="25"/>
  <c r="B783" i="25"/>
  <c r="B1084" i="25"/>
  <c r="B356" i="25"/>
  <c r="B410" i="25"/>
  <c r="B1125" i="25"/>
  <c r="B1636" i="25"/>
  <c r="B1521" i="25"/>
  <c r="B1666" i="25"/>
  <c r="B772" i="35"/>
  <c r="B947" i="25"/>
  <c r="B608" i="25"/>
  <c r="B2051" i="25"/>
  <c r="B629" i="2"/>
  <c r="B784" i="41"/>
  <c r="B2068" i="25"/>
  <c r="B961" i="25"/>
  <c r="B1882" i="25"/>
  <c r="B1245" i="25"/>
  <c r="B93" i="25"/>
  <c r="B192" i="25"/>
  <c r="B1377" i="25"/>
  <c r="B1794" i="25"/>
  <c r="B1167" i="25"/>
  <c r="B1191" i="25"/>
  <c r="B1139" i="25"/>
  <c r="B1199" i="25"/>
  <c r="B1452" i="25"/>
  <c r="B1732" i="25"/>
  <c r="B1010" i="25"/>
  <c r="B1482" i="25"/>
  <c r="B462" i="39"/>
  <c r="B1722" i="25"/>
  <c r="B181" i="25"/>
  <c r="B1933" i="25"/>
  <c r="B1439" i="25"/>
  <c r="B1700" i="25"/>
  <c r="B301" i="25"/>
  <c r="B515" i="25"/>
  <c r="B1893" i="25"/>
  <c r="B1488" i="25"/>
  <c r="B1778" i="25"/>
  <c r="B1536" i="25"/>
</calcChain>
</file>

<file path=xl/comments1.xml><?xml version="1.0" encoding="utf-8"?>
<comments xmlns="http://schemas.openxmlformats.org/spreadsheetml/2006/main">
  <authors>
    <author>Lourdes Meireles Sánchez</author>
    <author>Luis Enrique Delince Zapata</author>
  </authors>
  <commentList>
    <comment ref="D13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0" authorId="1" shapeId="0">
      <text>
        <r>
          <rPr>
            <b/>
            <sz val="9"/>
            <color indexed="81"/>
            <rFont val="Tahoma"/>
            <family val="2"/>
          </rPr>
          <t>Luis Enrique Delince Zapata:</t>
        </r>
        <r>
          <rPr>
            <sz val="9"/>
            <color indexed="81"/>
            <rFont val="Tahoma"/>
            <family val="2"/>
          </rPr>
          <t xml:space="preserve">
El valor total de el plan annual aumenta debido a que se incluyeron 20 camiones cisternas por ordenes del ing. Mazara.</t>
        </r>
      </text>
    </comment>
  </commentList>
</comments>
</file>

<file path=xl/comments10.xml><?xml version="1.0" encoding="utf-8"?>
<comments xmlns="http://schemas.openxmlformats.org/spreadsheetml/2006/main">
  <authors>
    <author>Lourdes Meireles Sánchez</author>
  </authors>
  <commentList>
    <comment ref="D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1.xml><?xml version="1.0" encoding="utf-8"?>
<comments xmlns="http://schemas.openxmlformats.org/spreadsheetml/2006/main">
  <authors>
    <author>Lourdes Meireles Sánchez</author>
  </authors>
  <commentList>
    <comment ref="D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12.xml><?xml version="1.0" encoding="utf-8"?>
<comments xmlns="http://schemas.openxmlformats.org/spreadsheetml/2006/main">
  <authors>
    <author>Lourdes Meireles Sánchez</author>
  </authors>
  <commentList>
    <comment ref="D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Luis Enrique Delince Zapata</author>
  </authors>
  <commentList>
    <comment ref="D69" authorId="0" shapeId="0">
      <text>
        <r>
          <rPr>
            <b/>
            <sz val="9"/>
            <color indexed="81"/>
            <rFont val="Tahoma"/>
            <family val="2"/>
          </rPr>
          <t>Luis Enrique Delince Zapata:</t>
        </r>
        <r>
          <rPr>
            <sz val="9"/>
            <color indexed="81"/>
            <rFont val="Tahoma"/>
            <family val="2"/>
          </rPr>
          <t xml:space="preserve">
BATERIA 15/12 DE POLO INVERSO HAY 4
</t>
        </r>
      </text>
    </comment>
    <comment ref="D70" authorId="0" shapeId="0">
      <text>
        <r>
          <rPr>
            <b/>
            <sz val="9"/>
            <color indexed="81"/>
            <rFont val="Tahoma"/>
            <family val="2"/>
          </rPr>
          <t>Luis Enrique Delince Zapata:</t>
        </r>
        <r>
          <rPr>
            <sz val="9"/>
            <color indexed="81"/>
            <rFont val="Tahoma"/>
            <family val="2"/>
          </rPr>
          <t xml:space="preserve">
BATERIA 17/12/ CON TORILLOS HAY 4</t>
        </r>
      </text>
    </comment>
    <comment ref="D1040" authorId="0" shapeId="0">
      <text>
        <r>
          <rPr>
            <b/>
            <sz val="9"/>
            <color indexed="81"/>
            <rFont val="Tahoma"/>
            <family val="2"/>
          </rPr>
          <t>Luis Enrique Delince Zapata:</t>
        </r>
        <r>
          <rPr>
            <sz val="9"/>
            <color indexed="81"/>
            <rFont val="Tahoma"/>
            <family val="2"/>
          </rPr>
          <t xml:space="preserve">
LCD 19 PULGADAS
</t>
        </r>
      </text>
    </comment>
  </commentList>
</comments>
</file>

<file path=xl/comments3.xml><?xml version="1.0" encoding="utf-8"?>
<comments xmlns="http://schemas.openxmlformats.org/spreadsheetml/2006/main">
  <authors>
    <author>Luis Enrique Delince Zapata</author>
  </authors>
  <commentList>
    <comment ref="B12" authorId="0" shapeId="0">
      <text>
        <r>
          <rPr>
            <b/>
            <sz val="9"/>
            <color indexed="81"/>
            <rFont val="Tahoma"/>
            <family val="2"/>
          </rPr>
          <t>Luis Enrique Delince Zapata: Luis Enrique Delince Zapata:
El valor total de el plan annual aumenta debido a que se incluyeron 20 camiones cisternas por ordenes del ing. Mazara.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Lourdes Meireles Sánchez</author>
  </authors>
  <commentList>
    <comment ref="D18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Lourdes Meireles Sánchez</author>
  </authors>
  <commentList>
    <comment ref="D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Lourdes Meireles Sánchez</author>
  </authors>
  <commentList>
    <comment ref="E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>
  <authors>
    <author>Lourdes Meireles Sánchez</author>
  </authors>
  <commentList>
    <comment ref="D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8.xml><?xml version="1.0" encoding="utf-8"?>
<comments xmlns="http://schemas.openxmlformats.org/spreadsheetml/2006/main">
  <authors>
    <author>Lourdes Meireles Sánchez</author>
  </authors>
  <commentList>
    <comment ref="D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Lourdes Meireles Sánchez</author>
    <author>Sonia Del Carmen Domínguez Javier</author>
  </authors>
  <commentList>
    <comment ref="D15" authorId="0" shapeId="0">
      <text>
        <r>
          <rPr>
            <b/>
            <sz val="9"/>
            <color indexed="81"/>
            <rFont val="Tahoma"/>
            <family val="2"/>
          </rPr>
          <t>Lourdes Meireles Sánchez: Cantidad comprada actualmente 800 en la adenda del co2014 y 300 actuales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128" authorId="1" shapeId="0">
      <text>
        <r>
          <rPr>
            <b/>
            <sz val="9"/>
            <color indexed="81"/>
            <rFont val="Tahoma"/>
            <family val="2"/>
          </rPr>
          <t>Sonia Del Carmen Domínguez Javier: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<sst xmlns="http://schemas.openxmlformats.org/spreadsheetml/2006/main" count="105663" uniqueCount="2673">
  <si>
    <t>SNCC.F.053</t>
  </si>
  <si>
    <t>NOMBRE DE LA ENTIDAD: INSTITUTO NACIONAL DE AGUA POTABLE Y ALCANTARILLADO (INAPA)</t>
  </si>
  <si>
    <t>FECHA DE NECESIDAD</t>
  </si>
  <si>
    <t xml:space="preserve">CÓDIGO DEL CATÁLOGO DE BIENES Y SERVICIOS (CBS) </t>
  </si>
  <si>
    <t>DESCRIPCIÓN DE LA COMPRA O CONTRATACIÓN</t>
  </si>
  <si>
    <t>UNIDAD DE MEDIDA</t>
  </si>
  <si>
    <t>PRIMER TRIMESTRE</t>
  </si>
  <si>
    <t>SEGUNDO TRIMESTRE</t>
  </si>
  <si>
    <t>TERCER TRIMESTRE</t>
  </si>
  <si>
    <t>CUARTO TRIMESTRE</t>
  </si>
  <si>
    <t>CANTIDAD TOTAL</t>
  </si>
  <si>
    <t>PRECIO UNITARIO ESTIMADO</t>
  </si>
  <si>
    <t>COSTO TOTAL UNITARIO ESTIMADO</t>
  </si>
  <si>
    <t xml:space="preserve"> PROCEDIMIENTO DE SELECCIÓN </t>
  </si>
  <si>
    <t>FUENTE DE FINANCIAMIENTO</t>
  </si>
  <si>
    <t>COMPRA MENOR</t>
  </si>
  <si>
    <t>1214 - Elementos y gases</t>
  </si>
  <si>
    <t>UDS</t>
  </si>
  <si>
    <t>LICITACIÓN PÚBLICA NACIONAL</t>
  </si>
  <si>
    <t>ASIGNACION PRESUPUESTARIA</t>
  </si>
  <si>
    <t xml:space="preserve">1010 - Animales vivos </t>
  </si>
  <si>
    <t>LICITACIÓN PÚBLICA INTERNACIONAL</t>
  </si>
  <si>
    <t>RECURSOS INTERNOS</t>
  </si>
  <si>
    <t>TANQUES</t>
  </si>
  <si>
    <t>HIPOCLORITO DE CALCIO HTH TAMBORES DE 45 KGS</t>
  </si>
  <si>
    <t>TAMBORES</t>
  </si>
  <si>
    <t>1014 - Artículos de talabartería y arreos</t>
  </si>
  <si>
    <t>COMPARACIÓN DE PRECIOS</t>
  </si>
  <si>
    <t>1015 - Semillas, bulbos, plántulas y esquejes</t>
  </si>
  <si>
    <t>SULFATO DE ALUMINIO EN  FUNDAS DE 50 KGS</t>
  </si>
  <si>
    <t>FDAS</t>
  </si>
  <si>
    <t>1016 - Productos de floricultura y silvicultura</t>
  </si>
  <si>
    <t>COMPRA DIRECTA</t>
  </si>
  <si>
    <t>GLS</t>
  </si>
  <si>
    <t>1512 - Lubricantes, aceites, grasas y anticorrosivos</t>
  </si>
  <si>
    <t>TANQUE</t>
  </si>
  <si>
    <t>1113 - Productos animales no comestibles</t>
  </si>
  <si>
    <t>1114 - Chatarra y materiales de desecho</t>
  </si>
  <si>
    <t>1116 - Tejidos y materiales de cuero</t>
  </si>
  <si>
    <t>1117 - Aleaciones</t>
  </si>
  <si>
    <t>1118 - Óxido metálico</t>
  </si>
  <si>
    <t>2210 - Maquinaria y equipo pesado de construcción</t>
  </si>
  <si>
    <t>JUEGO DE LLAVE MECANICA 3/8 HASTA 1/4</t>
  </si>
  <si>
    <t>1119 - Desechos metálicos y chatarra</t>
  </si>
  <si>
    <t>KIT DE JUNTA INFERIOR Y SUPERIOR</t>
  </si>
  <si>
    <t>1213 - Materiales explosivos</t>
  </si>
  <si>
    <t>2510 - Vehículos de motor</t>
  </si>
  <si>
    <t>CASQUILLO DE BIELA</t>
  </si>
  <si>
    <t>1311 - Resinas y colofonias y otros materiales derivados de resina</t>
  </si>
  <si>
    <t xml:space="preserve">DIFERENCIAL </t>
  </si>
  <si>
    <t>1511 - Combustibles gaseosos y aditivos</t>
  </si>
  <si>
    <t>GATO HIDRAULICO DE 30 TON</t>
  </si>
  <si>
    <t>1513 - Combustible para reactores nucleares</t>
  </si>
  <si>
    <t>GOMAS 225/70 R16</t>
  </si>
  <si>
    <t>GOMAS 265/70 R16</t>
  </si>
  <si>
    <t xml:space="preserve">KIT DE ANILLAS </t>
  </si>
  <si>
    <t>2517 - Componentes y sistemas de transporte</t>
  </si>
  <si>
    <t xml:space="preserve">PISTONES </t>
  </si>
  <si>
    <t xml:space="preserve">2518 - Carrocerías y remolques  </t>
  </si>
  <si>
    <t>RODAMIENTOS TIPO CAJA DE BOLA</t>
  </si>
  <si>
    <t>2610 - Fuentes de energía</t>
  </si>
  <si>
    <t>BATERIA 15/12</t>
  </si>
  <si>
    <t>2711 - Herramientas de mano</t>
  </si>
  <si>
    <t>BATERIA 17/12</t>
  </si>
  <si>
    <t>BATERIA 21/12</t>
  </si>
  <si>
    <t>BATERIA 24/12</t>
  </si>
  <si>
    <t>BATERIA 27/12</t>
  </si>
  <si>
    <t>2714 - Herramientas especializadas de automoción</t>
  </si>
  <si>
    <t>ALICATE DE PRESION</t>
  </si>
  <si>
    <t>UD</t>
  </si>
  <si>
    <t>3017 - Puertas y ventanas y vidrio</t>
  </si>
  <si>
    <t>3018 - Instalaciones de baño</t>
  </si>
  <si>
    <t xml:space="preserve">MARCO DE SEGUETA </t>
  </si>
  <si>
    <t>3019 - Equipo de apoyo para Construcción y Mantenimiento</t>
  </si>
  <si>
    <t>3022 - Estructuras Permanentes</t>
  </si>
  <si>
    <t>3111 - Extrusiones</t>
  </si>
  <si>
    <t>RASTRILLO METALICO DE JARDIN</t>
  </si>
  <si>
    <t>3113 - Forjaduras</t>
  </si>
  <si>
    <t>SERRUCHO DE 18"</t>
  </si>
  <si>
    <t>3115 - Cuerda y cadena y cable y alambre y correa</t>
  </si>
  <si>
    <t>3116 - Ferretería</t>
  </si>
  <si>
    <t>3121 - Pinturas y tapa poros y acabados</t>
  </si>
  <si>
    <t>3123 - Materia prima en placas o barras labradas</t>
  </si>
  <si>
    <t>ADAPTADORES HEMBRADE 3 PVC</t>
  </si>
  <si>
    <t>3124 - Óptica industrial</t>
  </si>
  <si>
    <t>ADAPTADORES MACHO 1/2 PVC</t>
  </si>
  <si>
    <t>3125 - Sistemas de control neumático, hidráulico o eléctrico</t>
  </si>
  <si>
    <t>ADAPTADORES MACHO DE 3/4 PVC</t>
  </si>
  <si>
    <t>3126 - Cubiertas, cajas y envolturas</t>
  </si>
  <si>
    <t>ADAPTADORES MACHO DE 1 PVC</t>
  </si>
  <si>
    <t>3127 - Piezas hechas a máquina</t>
  </si>
  <si>
    <t>ADAPATDORES MACHO DE 4 PVC</t>
  </si>
  <si>
    <t>3130 - Forjas labradas</t>
  </si>
  <si>
    <t>PIES</t>
  </si>
  <si>
    <t>3910 - Lámparas y bombillas y componentes para lámparas</t>
  </si>
  <si>
    <t>3911 - Iluminación, artefactos y accesorios</t>
  </si>
  <si>
    <t>3912 - Equipos, suministros y componentes eléctricos</t>
  </si>
  <si>
    <t>4015 - Bombas y compresores industriales</t>
  </si>
  <si>
    <t>CABLE ACERO COBREADO DESNUDO No. 2 AWG 7 HILOS</t>
  </si>
  <si>
    <t>4112 - Suministros y accesorios de laboratorio</t>
  </si>
  <si>
    <t>CABLE ACERO GALZANIZADO 3/8</t>
  </si>
  <si>
    <t>4212 - Equipos y suministros veterinarios</t>
  </si>
  <si>
    <t>ROLLOS</t>
  </si>
  <si>
    <t>ARANDELA PLANA DE 5/16</t>
  </si>
  <si>
    <t>4220 - Productos de hacer imágenes diagnósticas médicas y de medicina nuclear</t>
  </si>
  <si>
    <t>ABRAZADERA DE PVC DE 2 X 1/2</t>
  </si>
  <si>
    <t>4222 - Productos para administración intravenosa y arterial</t>
  </si>
  <si>
    <t>BROCHAS No. 4</t>
  </si>
  <si>
    <t>4224 - Productos medicinales de deportes y prostético y ortopédico</t>
  </si>
  <si>
    <t>4227 - Productos de resucitación y anestesia y respiratorio</t>
  </si>
  <si>
    <t>CARRETILLA TIPO JEEP</t>
  </si>
  <si>
    <t>4229 - Productos quirúrgicos</t>
  </si>
  <si>
    <t>CEMENTO PVC  1GLS</t>
  </si>
  <si>
    <t>4319 - Dispositivos de comunicaciones y accesorios</t>
  </si>
  <si>
    <t>4320 - Componentes para tecnología de la información, difusión o telecomunicaciones</t>
  </si>
  <si>
    <t>4321 - Equipo informático y accesorios</t>
  </si>
  <si>
    <t>4322 - Datos-voz, equipo de red multimedia, plataformas y accesorios</t>
  </si>
  <si>
    <t>4323 - Software</t>
  </si>
  <si>
    <t>4410 - Maquinaria, suministros y accesorios de oficina</t>
  </si>
  <si>
    <t>4411 - Accesorios de oficina y escritorio</t>
  </si>
  <si>
    <t>4412 - Suministros de oficina</t>
  </si>
  <si>
    <t>4512 - Equipo de vídeo, filmación o fotografía</t>
  </si>
  <si>
    <t>4618 - Seguridad y protección personal</t>
  </si>
  <si>
    <t>4710 - Tratamiento, suministros y eliminación de agua y aguas residuales</t>
  </si>
  <si>
    <t>4713 - Suministros de limpieza</t>
  </si>
  <si>
    <t>CONO</t>
  </si>
  <si>
    <t>4924 - Equipo de recreo y parques infantiles y equipo y suministros de natación y de spa</t>
  </si>
  <si>
    <t>CONO DE ALIVIO PARA EXTERIOR</t>
  </si>
  <si>
    <t>5011 - Productos de carne y aves de corral</t>
  </si>
  <si>
    <t>COUPLING DE 1/2 PVC</t>
  </si>
  <si>
    <t>5013 - Productos lácteos y huevos</t>
  </si>
  <si>
    <t>COUPLING DE 3/4 PVC</t>
  </si>
  <si>
    <t>5015 - Aceites y grasas comestibles</t>
  </si>
  <si>
    <t>COUPLING DE 2 PVC</t>
  </si>
  <si>
    <t>5016 - Chocolates, azúcares, edulcorantes y productos de confitería</t>
  </si>
  <si>
    <t>COUPLING DE 3 PVC</t>
  </si>
  <si>
    <t>5017 - Condimentos y conservantes</t>
  </si>
  <si>
    <t>CUBETAS</t>
  </si>
  <si>
    <t>5020 - Bebidas</t>
  </si>
  <si>
    <t>CUBO DE MEZCLA No. 10</t>
  </si>
  <si>
    <t>5021 - Tabaco y productos de fumar y substitutos</t>
  </si>
  <si>
    <t>5022 - Productos de Cereales y Legumbres</t>
  </si>
  <si>
    <t>5110 - Medicamentos antiinfecciosos</t>
  </si>
  <si>
    <t>5124 - Fármacos que afectan a los oídos, los ojos, la nariz y la piel</t>
  </si>
  <si>
    <t>ESPATULA NO. 4</t>
  </si>
  <si>
    <t>5210 - Revestimientos de suelos</t>
  </si>
  <si>
    <t>5216 - Electrónica de consumo</t>
  </si>
  <si>
    <t>5310 - Ropa</t>
  </si>
  <si>
    <t>GUANTES DE GOMA</t>
  </si>
  <si>
    <t>PARES</t>
  </si>
  <si>
    <t>5313 - Artículos de tocador</t>
  </si>
  <si>
    <t>5314 - Fuentes y accesorios de costura</t>
  </si>
  <si>
    <t>5410 - Joyería</t>
  </si>
  <si>
    <t>5510 - Medios impresos</t>
  </si>
  <si>
    <t>LANILLAS</t>
  </si>
  <si>
    <t>7016 - Fauna y flora</t>
  </si>
  <si>
    <t>LINTERNAS</t>
  </si>
  <si>
    <t>7110 - Servicios de minería</t>
  </si>
  <si>
    <t>LLAVE AJUSTABLE DE 17"</t>
  </si>
  <si>
    <t>7112 - Servicios de mantenimiento y construcción de perforación de pozos</t>
  </si>
  <si>
    <t>LLAVE AJUSTABLE DE 19"</t>
  </si>
  <si>
    <t>7113 - Servicios de aumento de la extracción producción de gas y petróleo</t>
  </si>
  <si>
    <t>LLAVE  DE 3/4"</t>
  </si>
  <si>
    <t>7115 - Servicios de procesar y gestión de datos del aceite y gas</t>
  </si>
  <si>
    <t>LLAVE MECANICA DE ESTRIA HASTA 1"</t>
  </si>
  <si>
    <t>7116 - Servicios de gerencia del proyecto de aceite y gas del pozo</t>
  </si>
  <si>
    <t>7210 - Construcción de edificios, atención, mantenimiento y servicios de reparaciones</t>
  </si>
  <si>
    <t>7213 - Construcción general de edificios</t>
  </si>
  <si>
    <t>7310 - Industrias de plásticos y productos químicos</t>
  </si>
  <si>
    <t>7311 - Industrias de la madera y el papel</t>
  </si>
  <si>
    <t>LLAVE AJUSTABLE 12</t>
  </si>
  <si>
    <t>7312 - Industrias del metal y de minerales</t>
  </si>
  <si>
    <t>LLAVE DE PASO DE 3/4 HG</t>
  </si>
  <si>
    <t>7315 - Servicios de apoyo a la fabricación</t>
  </si>
  <si>
    <t>LONA DE TELA</t>
  </si>
  <si>
    <t>7318 - Servicios de labrado y procesado</t>
  </si>
  <si>
    <t>7610 - Servicios de descontaminación</t>
  </si>
  <si>
    <t>MANGUERA AZUL REFORZADA 3"</t>
  </si>
  <si>
    <t>7611 - Servicios de limpieza y de consejería</t>
  </si>
  <si>
    <t>MANGUERA DE PRESION DE 1"</t>
  </si>
  <si>
    <t>7612 - Eliminación y tratamiento de desechos</t>
  </si>
  <si>
    <t>MANGUERA TIPO BOMBERO 50 PIES</t>
  </si>
  <si>
    <t>7710 - Gestión medioambiental</t>
  </si>
  <si>
    <t>7712 - Seguimiento, control y rehabilitación de la contaminación</t>
  </si>
  <si>
    <t>PICHUETES DE 1 1/2" 400 PSI</t>
  </si>
  <si>
    <t>8015 - Política comercial y servicios</t>
  </si>
  <si>
    <t>FILTRO VEGETAL PARA AIRE ACONDICIONADO</t>
  </si>
  <si>
    <t>8113 - Estadística</t>
  </si>
  <si>
    <t>SOGA 3/4 PLASTICA</t>
  </si>
  <si>
    <t>LBS</t>
  </si>
  <si>
    <t>8114 - Tecnologías de fabricación</t>
  </si>
  <si>
    <t>TAPE DE GOMA</t>
  </si>
  <si>
    <t>8211 - Escritura y traducciones</t>
  </si>
  <si>
    <t xml:space="preserve">TAPE DE VINYL </t>
  </si>
  <si>
    <t>8212 -  Servicios de reproducción</t>
  </si>
  <si>
    <t>TAPE PLASTICO</t>
  </si>
  <si>
    <t>8213 - Servicios fotográficos</t>
  </si>
  <si>
    <t>8215 - Artistas e intérpretes profesionales</t>
  </si>
  <si>
    <t>8310 - Servicios públicos</t>
  </si>
  <si>
    <t>8311 - Servicios de medios de telecomunicaciones</t>
  </si>
  <si>
    <t>8312 - Servicios de información</t>
  </si>
  <si>
    <t>8410 - Finanzas de desarrollo</t>
  </si>
  <si>
    <t>TEE ACERO PLATILLADO 200 MM X 4</t>
  </si>
  <si>
    <t>8413 - Servicios de seguros y jubilación</t>
  </si>
  <si>
    <t>8514 - Medicina alternativa y holística</t>
  </si>
  <si>
    <t>TUERCA DE 3/8''</t>
  </si>
  <si>
    <t>TUERCA DE 7/16''</t>
  </si>
  <si>
    <t>PINTURA DE MANTENIMIENTO</t>
  </si>
  <si>
    <t>CAJAS</t>
  </si>
  <si>
    <t>LAMPARA FLUORESCENTES TIPO SECADOR 220 V</t>
  </si>
  <si>
    <t>CONECTOR DE EMPALME TIPO MANGA 350 MCM</t>
  </si>
  <si>
    <t>CONECTOR DE OJO TERMINAL 350 MCM</t>
  </si>
  <si>
    <t>ELECTRO BOMBA SUMERGIBLE 310 GPM 1750 RPM</t>
  </si>
  <si>
    <t>BOMBA SUMERGIBLE DE 2 HP 3450 RPM</t>
  </si>
  <si>
    <t>ELECTRO BOMBA SUMERGIBLE 20 GPM 3500 RPM</t>
  </si>
  <si>
    <t>ELECTRO BOMBA SUMERGIBLE 30 GPM 3450 RPM</t>
  </si>
  <si>
    <t>ELECTRO BOMBA SUMERGIBLE 50 GPM 3450 RPM</t>
  </si>
  <si>
    <t>ELECTRO BOMBA SUMERGIBLE 55 GPM 3450 RPM MOTOR 2 HP</t>
  </si>
  <si>
    <t>ELECTRO BOMBA SUMERGIBLE 55 GPM 3450 RPM MOTOR 5 HP</t>
  </si>
  <si>
    <t>ELECTRO BOMBA SUMERGIBLE 70 GPM 3450 RPM MOTOR 5 HP</t>
  </si>
  <si>
    <t>BOMBA SUMERGIBLE DE 170 GPM 3450 RPM MOTOR 2 HP</t>
  </si>
  <si>
    <t>ELECTRO BOMBA SUMERGIBLE 200 GPM MOTOR 7.5 HP</t>
  </si>
  <si>
    <t>ELECTRO BOMBA SUMERGIBLE 200 GPM MOTOR 3450 RPM 60HP</t>
  </si>
  <si>
    <t>ELECTRO BOMBA HORIZONTAL MONOBLOK DE 3/4 HF, 12GPM 1 PH</t>
  </si>
  <si>
    <t>ELECTRO BOMBA CENTRIFUGA 140 GPM 3500 RPM 10 HP</t>
  </si>
  <si>
    <t xml:space="preserve">ELECTRO BOMBA CENTRIFUGA  60 GPM  120 TDH DE 20 HP </t>
  </si>
  <si>
    <t>CAJA DE CONTROL PARA BOMBA SUMERGIBLE</t>
  </si>
  <si>
    <t>BARRAS ROSCADAS 3/8 PARA BOMBA</t>
  </si>
  <si>
    <t>BARRAS ROSCADAS 7/16 PARA BOMBA</t>
  </si>
  <si>
    <t xml:space="preserve">COLUMNAS DE 3" X 10' HG </t>
  </si>
  <si>
    <t>ANTORCHA</t>
  </si>
  <si>
    <t>KIT DE COMPARADORES DE CLORO Y PH</t>
  </si>
  <si>
    <t>NEVERA DE 10 QT</t>
  </si>
  <si>
    <t>CABLE DE TELEFONO DE INTERIOR DE 4 HILOS</t>
  </si>
  <si>
    <t>ROLLO</t>
  </si>
  <si>
    <t>CABLE DE PUÑO DE TELEFONO</t>
  </si>
  <si>
    <t>APARATO TELEFONICO</t>
  </si>
  <si>
    <t>MICROFONO INALAMBRICO EW135-PG3-A</t>
  </si>
  <si>
    <t>MINI DVD CAM</t>
  </si>
  <si>
    <t>CD REGRABABLES</t>
  </si>
  <si>
    <t>DVD REGRABABLES</t>
  </si>
  <si>
    <t>ARCHIVO DE METAL 8 1/2 X 11 4 GAVETAS</t>
  </si>
  <si>
    <t>ARCHIVO DE METAL 8 1/2 X 11 2 GAVETAS</t>
  </si>
  <si>
    <t xml:space="preserve">ARCHIVO TIPO ARMARIO DE 6 PIES </t>
  </si>
  <si>
    <t>FOTOCOPIADORA</t>
  </si>
  <si>
    <t>MAQUINA DE ESCRIBIR</t>
  </si>
  <si>
    <t>MAQUINA SUMADORA</t>
  </si>
  <si>
    <t>MESA RECTANGULAR DE 3 MTS</t>
  </si>
  <si>
    <t>SILLAS</t>
  </si>
  <si>
    <t>SILLA SECRETARIAL</t>
  </si>
  <si>
    <t>SILLONES SEMI-EJECUTIVO</t>
  </si>
  <si>
    <t>ESCRITORIO PARA COMPUTADORA</t>
  </si>
  <si>
    <t>ESPIRALES  DE TODOS LOS TAMAÑOS</t>
  </si>
  <si>
    <t>GANCHO PARA FOLDERS</t>
  </si>
  <si>
    <t>GOMAS DE BORRAR</t>
  </si>
  <si>
    <t>CAJITAS</t>
  </si>
  <si>
    <t>JUEGO DE BANDEJA DE ESCRITORIO</t>
  </si>
  <si>
    <t>RELOJ DE PARED</t>
  </si>
  <si>
    <t>SELLO GOMIGRAFO</t>
  </si>
  <si>
    <t>SELLO PRETINTADO</t>
  </si>
  <si>
    <t>TIJERAS DE OFICINA</t>
  </si>
  <si>
    <t>LOGOS GRANDES IMPRESOS</t>
  </si>
  <si>
    <t>BATERIA RECARGABLE AA Y AAA</t>
  </si>
  <si>
    <t>CARPETAS DE 3"</t>
  </si>
  <si>
    <t>CINTA EPSON 8750</t>
  </si>
  <si>
    <t>LIBROS RECORD DE 500 PAGINAS</t>
  </si>
  <si>
    <t>RESMA</t>
  </si>
  <si>
    <t>PAPEL BOND 18 X 24 PARA PLOTTER</t>
  </si>
  <si>
    <t>PAPEL CONTINUO 14 7/8 X 11</t>
  </si>
  <si>
    <t>PAPEL TIMBRADO EN HILO</t>
  </si>
  <si>
    <t>REGLAS</t>
  </si>
  <si>
    <t>SACA GRAPAS</t>
  </si>
  <si>
    <t>TAPE DE OFICINA 3M</t>
  </si>
  <si>
    <t>CAMARA FOTOGRAFIA CON BATERIAS RECARGABLES 14.4 MPX</t>
  </si>
  <si>
    <t>CASCOS PROTECTOR</t>
  </si>
  <si>
    <t>CHALECOS LUMINICOS PARA PROTECCION</t>
  </si>
  <si>
    <t>LENTES DE PROTECCION</t>
  </si>
  <si>
    <t>MASCARILLAS DE PAPEL</t>
  </si>
  <si>
    <t>4712 - Equipo de limpieza</t>
  </si>
  <si>
    <t>ZAFACONES</t>
  </si>
  <si>
    <t>SWAPERS DE ALGODON No. 20 C/PALO</t>
  </si>
  <si>
    <t>PAPEL INDUSTRIAL</t>
  </si>
  <si>
    <t>AMBIENTADORES</t>
  </si>
  <si>
    <t>ATOMIZADORES</t>
  </si>
  <si>
    <t xml:space="preserve">BRILLO VERDE </t>
  </si>
  <si>
    <t xml:space="preserve">CLORO  </t>
  </si>
  <si>
    <t>.</t>
  </si>
  <si>
    <t>DESCALIN</t>
  </si>
  <si>
    <t>GALON</t>
  </si>
  <si>
    <t>DETERGENTE LIQUIDO</t>
  </si>
  <si>
    <t>GALONES</t>
  </si>
  <si>
    <t>DESINFECTANTE</t>
  </si>
  <si>
    <t>ESCOBILLONES DE PLASTICO</t>
  </si>
  <si>
    <t>JABON LIQUIDO</t>
  </si>
  <si>
    <t xml:space="preserve">PINESPUMA </t>
  </si>
  <si>
    <t>5214 - Aparatos electrodomésticos</t>
  </si>
  <si>
    <t>COMPRESOR PARA AIRE DE 18000 BTU 220V</t>
  </si>
  <si>
    <t>COMPRESOR PARA AIRE DE 24000 BTU 220V</t>
  </si>
  <si>
    <t>COMPRESOR PARA AIRE DE 60000 BTU 220V</t>
  </si>
  <si>
    <t>GRECA ELECTRICA PARA CAFÉ</t>
  </si>
  <si>
    <t>NEVERA DE 14 PIES CUBICOS</t>
  </si>
  <si>
    <t>BEBEDERO</t>
  </si>
  <si>
    <t>POLOSHIRT</t>
  </si>
  <si>
    <t xml:space="preserve">BOTAS DE CUERO </t>
  </si>
  <si>
    <t>TARJETAS DE PRESENTACION</t>
  </si>
  <si>
    <t>TIPO DE EMPRESA</t>
  </si>
  <si>
    <t>ACIDO MURIATICO</t>
  </si>
  <si>
    <t>ACIDO CLOHIDRICO</t>
  </si>
  <si>
    <t>FCOS</t>
  </si>
  <si>
    <t>ACIDO SULFURICO</t>
  </si>
  <si>
    <t>CLORURO DE SODIO</t>
  </si>
  <si>
    <t>CLORURO DE BARIO</t>
  </si>
  <si>
    <t>KG</t>
  </si>
  <si>
    <t>HIDROXIDO DE AMONIO</t>
  </si>
  <si>
    <t>GLICEROL</t>
  </si>
  <si>
    <t>FRASCO</t>
  </si>
  <si>
    <t>EXTRACTOR KDK</t>
  </si>
  <si>
    <t xml:space="preserve">IMPULSOR DE BOMBA </t>
  </si>
  <si>
    <t>VELCRO PARA CABLES TIPO ROLLO</t>
  </si>
  <si>
    <t xml:space="preserve">ESCANER </t>
  </si>
  <si>
    <t>CABLE VGA PARA MONITOR</t>
  </si>
  <si>
    <t>CALCULADORA</t>
  </si>
  <si>
    <t>PURIFICADOR DE AIRE</t>
  </si>
  <si>
    <t>MAQUINA ROTULADORA</t>
  </si>
  <si>
    <t>PIZARRA ROTAFOLIO</t>
  </si>
  <si>
    <t>SOBRES</t>
  </si>
  <si>
    <t>CHALECO EN DRILL CON EL LOGO DEL INAPA</t>
  </si>
  <si>
    <t xml:space="preserve">CINTA DE SEGURIDAD </t>
  </si>
  <si>
    <t xml:space="preserve">ARNES DE SEGURIDAD </t>
  </si>
  <si>
    <t>EXTINTOR ABC</t>
  </si>
  <si>
    <t>FLECHA PARA EXTINTOR</t>
  </si>
  <si>
    <t>LIMPIA CRISTALES</t>
  </si>
  <si>
    <t>JEANS COLOR AZUL OSCURO</t>
  </si>
  <si>
    <t>GORRA</t>
  </si>
  <si>
    <t>CREDENZA</t>
  </si>
  <si>
    <t>SOFA</t>
  </si>
  <si>
    <t>BANCADA DE ESPERA</t>
  </si>
  <si>
    <t>BASE AEREA TV</t>
  </si>
  <si>
    <t>CARRITO DESLIZANTE PARA TRASLADAR TANQUE OXIGENO</t>
  </si>
  <si>
    <t>PANELES PARA ESTACIONES DE TRABAJO</t>
  </si>
  <si>
    <t>CORTINAS VENECIANAS</t>
  </si>
  <si>
    <t>ARTICULOS PARA DECORACION NAVIDEÑA</t>
  </si>
  <si>
    <t>MYPIMES</t>
  </si>
  <si>
    <t>Pie lineal</t>
  </si>
  <si>
    <t>Libra</t>
  </si>
  <si>
    <t>JUNTAS REDUCTURAS A ASBESTO CEMENTO TIPO B, Ø10"</t>
  </si>
  <si>
    <t>JUNTAS REDUCTURAS A ASBESTO CEMENTO TIPO B, Ø12"</t>
  </si>
  <si>
    <t>JUNTAS REDUCTURAS A ASBESTO CEMENTO TIPO B, Ø16"</t>
  </si>
  <si>
    <t>JUNTAS REDUCTURAS A ASBESTO CEMENTO TIPO B, Ø2"</t>
  </si>
  <si>
    <t>JUNTAS REDUCTURAS A ASBESTO CEMENTO TIPO B, Ø3"</t>
  </si>
  <si>
    <t>JUNTAS REDUCTURAS A ASBESTO CEMENTO TIPO B, Ø4"</t>
  </si>
  <si>
    <t>JUNTAS REDUCTURAS A ASBESTO CEMENTO TIPO B, Ø6"</t>
  </si>
  <si>
    <t>JUNTAS REDUCTURAS A ASBESTO CEMENTO TIPO B, Ø8"</t>
  </si>
  <si>
    <t>JUNTAS REDUCTURAS A ASBESTO CEMENTO TIPO C, Ø10"</t>
  </si>
  <si>
    <t>JUNTAS REDUCTURAS A ASBESTO CEMENTO TIPO C, Ø12"</t>
  </si>
  <si>
    <t>JUNTAS REDUCTURAS A ASBESTO CEMENTO TIPO C, Ø16"</t>
  </si>
  <si>
    <t>JUNTAS REDUCTURAS A ASBESTO CEMENTO TIPO C, Ø2"</t>
  </si>
  <si>
    <t>JUNTAS REDUCTURAS A ASBESTO CEMENTO TIPO C, Ø3"</t>
  </si>
  <si>
    <t>JUNTAS REDUCTURAS A ASBESTO CEMENTO TIPO C, Ø4"</t>
  </si>
  <si>
    <t>JUNTAS REDUCTURAS A ASBESTO CEMENTO TIPO C, Ø6"</t>
  </si>
  <si>
    <t>JUNTAS REDUCTURAS A ASBESTO CEMENTO TIPO C, Ø8"</t>
  </si>
  <si>
    <t>JUNTAS REDUCTURAS A ASBESTO CEMENTO TIPO D, Ø10"</t>
  </si>
  <si>
    <t>JUNTAS REDUCTURAS A ASBESTO CEMENTO TIPO D, Ø12"</t>
  </si>
  <si>
    <t>JUNTAS REDUCTURAS A ASBESTO CEMENTO TIPO D, Ø2"</t>
  </si>
  <si>
    <t>JUNTAS REDUCTURAS A ASBESTO CEMENTO TIPO D, Ø3"</t>
  </si>
  <si>
    <t>JUNTAS REDUCTURAS A ASBESTO CEMENTO TIPO D, Ø4"</t>
  </si>
  <si>
    <t>JUNTAS REDUCTURAS A ASBESTO CEMENTO TIPO D, Ø6"</t>
  </si>
  <si>
    <t>JUNTAS REDUCTURAS A ASBESTO CEMENTO TIPO D, Ø8"</t>
  </si>
  <si>
    <t>LLAVE DE PASO BOLA DE BRONCE Ø1/2"</t>
  </si>
  <si>
    <t>REDUCCION PVC PRESION DE Ø3/4" A Ø1/2"</t>
  </si>
  <si>
    <t>TUBERIAS PVC SCH-32.5 L=19 Ø6"</t>
  </si>
  <si>
    <t>TUBERIAS PVC SCH-32.5 L=19 Ø8"</t>
  </si>
  <si>
    <t>TUBERIAS PVC SCH-40 L=19' Ø1/2"</t>
  </si>
  <si>
    <t>TUBERIAS PVC SCH-40 L=19' Ø3/4"</t>
  </si>
  <si>
    <t>TUBERIAS PVC SCH-40 L=19' Ø1"</t>
  </si>
  <si>
    <t>TUBERIAS PVC SCH-40 L=19' Ø1 1/2"</t>
  </si>
  <si>
    <t>TUBERIAS PVC SCH-40 L=19' Ø2"</t>
  </si>
  <si>
    <t>TUBERIAS PVC SDR-21 L=19' Ø1"</t>
  </si>
  <si>
    <t>TUBERIAS PVC SDR-21 L=19' Ø2"</t>
  </si>
  <si>
    <t>TUBERIAS PVC SDR-26 L=19' Ø3"</t>
  </si>
  <si>
    <t>TUBERIAS PVC SDR-26 L=19' Ø4"</t>
  </si>
  <si>
    <t>TUBERIAS PVC SDR-26 L=19' Ø6"</t>
  </si>
  <si>
    <t>TUBERIAS PVC SDR-26 L=19' Ø8"</t>
  </si>
  <si>
    <t>TUBERIAS PVC SDR-26 L=19' Ø10"</t>
  </si>
  <si>
    <t>TUBERIAS PVC SDR-26 L=19' Ø12"</t>
  </si>
  <si>
    <t>TUBERIAS PVC SDR-26 L=19' Ø16"</t>
  </si>
  <si>
    <t>TUBERIAS PVC SDR-26 L=19' Ø20"</t>
  </si>
  <si>
    <t xml:space="preserve">UNIONES PVC PRESION Ø1/2" </t>
  </si>
  <si>
    <t xml:space="preserve">UNIONES PVC PRESION Ø3/4" </t>
  </si>
  <si>
    <t xml:space="preserve">UNIONES PVC PRESION Ø1" </t>
  </si>
  <si>
    <t>PAPEL BOND 20  8 1/2" X 11"</t>
  </si>
  <si>
    <t>PAPEL BOND 20  8 1/2" X 14"</t>
  </si>
  <si>
    <t>BOLIGRAFOS AZULES 0.5 mm CAJAS 12 UDS</t>
  </si>
  <si>
    <t>BOLIGRAFOS NEGROS 0.5 mm CAJAS DE 12 UDS</t>
  </si>
  <si>
    <t>LAPIZ CARBON HB= 2 CAJAS DE 12 UDS</t>
  </si>
  <si>
    <t>CORRECTOR LIQUIDO EN BOTELLA BLANCO 20 ML CAJAS DE 12 UDS</t>
  </si>
  <si>
    <t>FOLDERS 8 1/2 X 11 AMARILLO EN CAJA DE 100 UDS</t>
  </si>
  <si>
    <t>FOLDERS 8 1/2 X 13 AMARILLO EN CAJA DE 100 UDS</t>
  </si>
  <si>
    <t>BANDITA DE GOMA</t>
  </si>
  <si>
    <t>CLIPS DE BILLETEROS GRANDES DE 2 PULG.  CAJAS DE 12</t>
  </si>
  <si>
    <t>CLIPS DE BILLETEROS MEDIANOS DE 1 PULG. CAJAS DE 12</t>
  </si>
  <si>
    <t>TIJERAS DE 7"</t>
  </si>
  <si>
    <t>GRAPADORAS DE METAL CAPACIDAD 25 HOJAS</t>
  </si>
  <si>
    <t>CINTA ADHESIVA</t>
  </si>
  <si>
    <t>GRAPAS STANDARS</t>
  </si>
  <si>
    <t>RESALTADORES ROSADO</t>
  </si>
  <si>
    <t>RESALTADORES AMARILLO</t>
  </si>
  <si>
    <t>RESALTADORES MAMEY</t>
  </si>
  <si>
    <t>LIBRETA RAYADA 8 1/2" X 11"</t>
  </si>
  <si>
    <t>LIBRETA RAYADA 5" X 7"</t>
  </si>
  <si>
    <t>POST-IT PEQUEÑO 1 1/2" X 1 1/2"</t>
  </si>
  <si>
    <t>POST-IT MEDIANO 3" X 3"</t>
  </si>
  <si>
    <t>POST-IT GRANDE 3" X 5"</t>
  </si>
  <si>
    <t>PENDAFLEX 8 1/2" X 11"</t>
  </si>
  <si>
    <t>CD EN BLANCO</t>
  </si>
  <si>
    <t>RESMAS</t>
  </si>
  <si>
    <t>UND</t>
  </si>
  <si>
    <t>UNDS</t>
  </si>
  <si>
    <t>MIPYMES</t>
  </si>
  <si>
    <t>TOTAL DE COMPRAS DEL 2014</t>
  </si>
  <si>
    <t>NIPLES PLATILLADOS EN ACERO Ø2" X 12"</t>
  </si>
  <si>
    <t>NIPLES PLATILLADOS EN ACERO Ø3" X 12"</t>
  </si>
  <si>
    <t>NIPLES PLATILLADOS EN ACERO Ø4" X 12"</t>
  </si>
  <si>
    <t>NIPLES PLATILLADOS EN ACERO Ø6" X 12"</t>
  </si>
  <si>
    <t>NIPLES PLATILLADOS EN ACERO Ø8" X 12"</t>
  </si>
  <si>
    <t>Columna1</t>
  </si>
  <si>
    <t>CLORO GAS ENVASADO EN CILINDROS DE 2000 LBS (INLCUYE CILINDROS)</t>
  </si>
  <si>
    <t>CLORO GAS ENVASADO EN CILINDROS DE 150 LBS (CILINDROS PROPIEDAD DEL INAPA)</t>
  </si>
  <si>
    <t>FAX UX45</t>
  </si>
  <si>
    <t>FOTOCOPIADORA  ARM 237</t>
  </si>
  <si>
    <t>CEPILLO DE FIBRA PLASTICA</t>
  </si>
  <si>
    <t xml:space="preserve">PALA DE CORTE REDONDA </t>
  </si>
  <si>
    <t>PALA CUADRADA</t>
  </si>
  <si>
    <t>TIJERAS DE JARDIN</t>
  </si>
  <si>
    <t>PICO CON PALO</t>
  </si>
  <si>
    <t>LIMA TRIANGULAR</t>
  </si>
  <si>
    <t>CANDADOS  GRANDE</t>
  </si>
  <si>
    <t xml:space="preserve">CEPILLO DE ACERO  CON MANGO </t>
  </si>
  <si>
    <t xml:space="preserve">CEPILLO DE ACERO  SIN MANGO </t>
  </si>
  <si>
    <t>GUANTES  CUERO</t>
  </si>
  <si>
    <t>CORTADORA DE GRAMA PORTATIL</t>
  </si>
  <si>
    <t>NEVERA EJECUTIVAS</t>
  </si>
  <si>
    <t>COSTO TOTAL POR CÓDIGO DE CATÁLOGO DE BIENES Y SERVICIOS (CBS)</t>
  </si>
  <si>
    <t>PRODUCTOS QUIMICOS</t>
  </si>
  <si>
    <t>LUBRICANTES</t>
  </si>
  <si>
    <t>CAMIONETA DIESEL DOBLE CABINA AUTOMATICA MODELO 2013</t>
  </si>
  <si>
    <t>2613 - Generación de energía</t>
  </si>
  <si>
    <t>MICRO CAMIONETAS DE 1 CABINA DE 2 PUERTAS MODELO 2013</t>
  </si>
  <si>
    <t>2612 - Alambres, cables o arneses</t>
  </si>
  <si>
    <t>REDUCCION PVC PRESION DE Ø1" A Ø1/2"</t>
  </si>
  <si>
    <t>REDUCCION PVC PRESION DE Ø2" A Ø1/2"</t>
  </si>
  <si>
    <t>REDUCCION PVC PRESION DE Ø3" A Ø2"</t>
  </si>
  <si>
    <t>REDUCCION PVC PRESION DE Ø4" A Ø3/4"</t>
  </si>
  <si>
    <t>REDUCCION PVC PRESION DE Ø4" A Ø3"</t>
  </si>
  <si>
    <t>VALVULA DE BOLA DE Ø1/2"</t>
  </si>
  <si>
    <t>VALVULA DE BOLA DE Ø3/4"</t>
  </si>
  <si>
    <t>VALVULA DE BOLA DE Ø1"</t>
  </si>
  <si>
    <t>VALVULA DE BOLA DE Ø1  1/2"</t>
  </si>
  <si>
    <t>VALVULA DE BOLA DE Ø2"</t>
  </si>
  <si>
    <t>PLAN ANUAL DE COMPRAS Y CONTRATACIONES AÑO 2015</t>
  </si>
  <si>
    <t>MANGUERA PLASTICA DE 100 PIES Y Ø1/2"</t>
  </si>
  <si>
    <t>ALICATE MECANICO</t>
  </si>
  <si>
    <t>LLAVE STILSON DE 14</t>
  </si>
  <si>
    <t>LLAVE STILSON DE 17</t>
  </si>
  <si>
    <t>LLAVE STILSON DE 19</t>
  </si>
  <si>
    <t>LLAVE STILSON DE 18</t>
  </si>
  <si>
    <t>LLAVE STILSON DE 24</t>
  </si>
  <si>
    <t>MARTILLO</t>
  </si>
  <si>
    <t>MANGUERA DE PRESION DE DOBLE REVESTIMIENTO 50 PIES Y Ø1 1/2"</t>
  </si>
  <si>
    <t>CEPILLOS PLASTICOS</t>
  </si>
  <si>
    <t>YARDAS</t>
  </si>
  <si>
    <t>HOJAS DE SEGUETA ROJA</t>
  </si>
  <si>
    <t>CINCEL DE PUNTA</t>
  </si>
  <si>
    <t>COUPLING DE 1 PVC</t>
  </si>
  <si>
    <t>TONER HP LASER JET 05A (CE505A)</t>
  </si>
  <si>
    <t>TONER HP LASER JET 85A (CE285A)</t>
  </si>
  <si>
    <t>TONER SHARP AL-1000</t>
  </si>
  <si>
    <t>CARTUCHO HP DESJET 21 (C9351A) BLACK</t>
  </si>
  <si>
    <t>CARTUCHO HP DESJET 22 (C9352A) TRICOLOR</t>
  </si>
  <si>
    <t>CARTUCHO HP 60 NEGRO (CC643W)</t>
  </si>
  <si>
    <t>CARTUCHO HP 60 COLOR (CC640W)</t>
  </si>
  <si>
    <t>CARTUCHO HP 95 TRICOLOR</t>
  </si>
  <si>
    <t xml:space="preserve">CARTUCHO HP DESKJET 98 (C9364W) </t>
  </si>
  <si>
    <t>CARTUCHO HP 27 NEGRO</t>
  </si>
  <si>
    <t>CARTUCHO HP DEKJET 122 NEGRO (CH561H)</t>
  </si>
  <si>
    <t>CARTUCHOS HP DESKJET 122 TRICOLOR (CH562H)</t>
  </si>
  <si>
    <t>CARTUCHO HP 56 (C6656AL)</t>
  </si>
  <si>
    <t>CARTUCHO HP 74 BLACK (CB335W)</t>
  </si>
  <si>
    <t>CARTUCHO HP 75 TRICOLOR (CB337W)</t>
  </si>
  <si>
    <t xml:space="preserve">CARTUCHO HP 92 </t>
  </si>
  <si>
    <t>CARTUCHO HP DESKJET TRICOLOR 93 (C9361W)</t>
  </si>
  <si>
    <t xml:space="preserve">CARTUCHO HP 94 </t>
  </si>
  <si>
    <t>CARTUCHO HP BLACK 96 (C8767W)</t>
  </si>
  <si>
    <t>CARTUCHO HP TRICOLOR  97 (C9363W)</t>
  </si>
  <si>
    <t>CARTUCHO 17 LEXMARK</t>
  </si>
  <si>
    <t>CARTUCHO 26 LEXMARK</t>
  </si>
  <si>
    <t xml:space="preserve">TONER HP LASER JET 304A (CC530A) BLACK </t>
  </si>
  <si>
    <t>TONER HP LASER JET 304A (CC531A) CYAN</t>
  </si>
  <si>
    <t>TONER HP LASER JET 304A (CC532A) YELLOW</t>
  </si>
  <si>
    <t>TONER HP LASER JET 304A (CC533A) MAGENTA</t>
  </si>
  <si>
    <t>TONER LASER JET 14A (CF214A)</t>
  </si>
  <si>
    <t>TONER HP LASER JET 125A (CB540A) NEGRO</t>
  </si>
  <si>
    <t>TONER HP LASER JET 4615 NEGRO</t>
  </si>
  <si>
    <t>TONER HP LASER JET 4615 AMARILLO</t>
  </si>
  <si>
    <t>TONER HP LASER JET 4615 AZUL</t>
  </si>
  <si>
    <t>TONER HP LASER JET 4615 ROSADO</t>
  </si>
  <si>
    <t>TONER HP LASER JET 64A (CC364A)</t>
  </si>
  <si>
    <t>TONER LASER JET 12A (Q2612A)</t>
  </si>
  <si>
    <t>TONER LASER JET Q6470</t>
  </si>
  <si>
    <t>TONER LASER JET Q6471</t>
  </si>
  <si>
    <t>TONER LASER JET Q6472</t>
  </si>
  <si>
    <t>TONER LASER JET Q6473</t>
  </si>
  <si>
    <t>TONER LASER JET 126A (CE310A) NEGRO</t>
  </si>
  <si>
    <t>TONER LASER JET 126A (CE311A) AZUL</t>
  </si>
  <si>
    <t>TONER LASER JET 126A (CE312A) AMARILLO</t>
  </si>
  <si>
    <t>TONER LASER JET 126A (CE313A) ROSADO</t>
  </si>
  <si>
    <t>TONER LASER JET 126A (CE314A) TAMBOR</t>
  </si>
  <si>
    <t>TONER AL-204-TD</t>
  </si>
  <si>
    <t>TONER LASER JET 305A NEGRO</t>
  </si>
  <si>
    <t>TONER LASER JET 305A ROSADO</t>
  </si>
  <si>
    <t>TONER LASER JET 305A AZUL</t>
  </si>
  <si>
    <t>TONER LASER JET 305A AMARILLO</t>
  </si>
  <si>
    <t>TONER HP LASER JET 78 (CE278A)</t>
  </si>
  <si>
    <t>TONER AL-C1B2208</t>
  </si>
  <si>
    <t>TONER LASER JET 131A NEGRO (CF210A)</t>
  </si>
  <si>
    <t>TONER LASER JET 131A AZUL</t>
  </si>
  <si>
    <t>TONER LASER JET 131 A  MAGENTA</t>
  </si>
  <si>
    <t>TONER LASER JET 131 A AMARILLO</t>
  </si>
  <si>
    <t>TONER HP LASER JET 55A (CE255A)</t>
  </si>
  <si>
    <t>TONER HP LASER JET PRO 500 COLOR 507A (CE401A)</t>
  </si>
  <si>
    <t>TONER HP LASER JET PRO 500 COLOR 507A (CE402A)</t>
  </si>
  <si>
    <t>TONER HP LASER JET PRO 500 COLOR 507A (CE403A)</t>
  </si>
  <si>
    <t>TONER HP LASER JET PRO 500 COLOR 507A (CE400A)</t>
  </si>
  <si>
    <t>CARTUCHO HP OFFICE JET 4500 DESKTOP CC 653A (BLACK)</t>
  </si>
  <si>
    <t>CARTUCHO HP OFFICE JET 4500 DESKTOP CC 656A (TRICOLOR)</t>
  </si>
  <si>
    <t xml:space="preserve">FILTRO DE ACEITE REF. PH3614 </t>
  </si>
  <si>
    <t>FILTRO DE ACEITE REF. PH8A</t>
  </si>
  <si>
    <t>FILTRO DE ACEITE REF. PH3950</t>
  </si>
  <si>
    <t>FILTRO DE ACEITE REF. MDO69782</t>
  </si>
  <si>
    <t>FILTRO DE AIRE REF. 17801-56-010</t>
  </si>
  <si>
    <t>FILTRO DE AIRE REF. 17801-54180</t>
  </si>
  <si>
    <t>FILTRO DE AIRE REF. 16546-2S600</t>
  </si>
  <si>
    <t>FILTRO DE AIRE REF. 8-94334-906</t>
  </si>
  <si>
    <t>FILTRO DE AIRE REF. MD620563</t>
  </si>
  <si>
    <t>FILTRO DE AIRE REF.17801-06010</t>
  </si>
  <si>
    <t>FILTRO DE GASOIL REF. 23370</t>
  </si>
  <si>
    <t>FILTRO DE GASOIL REF. 23303</t>
  </si>
  <si>
    <t>FILTRO DE GASOIL REF. FC-1806</t>
  </si>
  <si>
    <t>FILTRO DE GASOIL REF. 23303-54011</t>
  </si>
  <si>
    <t>FILTRO DE GASOIL REF. MB220900</t>
  </si>
  <si>
    <t>GOMAS 700X16</t>
  </si>
  <si>
    <t>GOMAS 11R 24.5</t>
  </si>
  <si>
    <t>GOMAS 255/70 R16</t>
  </si>
  <si>
    <t>GOMAS 225/70R15</t>
  </si>
  <si>
    <t>GOMAS 265/70R15</t>
  </si>
  <si>
    <t>GOMAS 165/70R 14</t>
  </si>
  <si>
    <t>GOMAS 1100/R20</t>
  </si>
  <si>
    <t>GOMAS 1200/R20</t>
  </si>
  <si>
    <t>GOMAS 275/65/R18</t>
  </si>
  <si>
    <t>GOMAS 275/65/R17</t>
  </si>
  <si>
    <t>GOMAS 195/R15</t>
  </si>
  <si>
    <t>GOMAS 195/R14</t>
  </si>
  <si>
    <t>BATERIA 13/12</t>
  </si>
  <si>
    <t>BATERIA 9/12</t>
  </si>
  <si>
    <t>CEPILLO DE PARED PLASTICO</t>
  </si>
  <si>
    <t>LINTERNA RECARGABLE</t>
  </si>
  <si>
    <t>ESCURRIDOR DE GOMA (SACA AGUA)</t>
  </si>
  <si>
    <t>AZADA CON SU PALO</t>
  </si>
  <si>
    <t>BOTAS DE GOMA No. 43</t>
  </si>
  <si>
    <t>BOTAS DE GOMA No. 45</t>
  </si>
  <si>
    <t>CINTA METRICA DE 50 MT</t>
  </si>
  <si>
    <t>ESCALERA DE ALUMINIO EXTENSIBLE 24 PIE</t>
  </si>
  <si>
    <t>BOMBA DE ACHIQUE Ø3" CON SUS ACCESORIOS</t>
  </si>
  <si>
    <t>8011 - Servicios de Recursos Humanos</t>
  </si>
  <si>
    <t>BONOS CON DENOMINACION DE RD$ 500,00</t>
  </si>
  <si>
    <t>BONOS DE BONIFICACION DE RD$ 1000,00</t>
  </si>
  <si>
    <t>BONOS DE NOMINACION DE RD $ 2000.00</t>
  </si>
  <si>
    <t>CLAMPS DE 6" ACERO,  CIEGO</t>
  </si>
  <si>
    <t>CLAMPS DE 8" ACERO,  CIEGO</t>
  </si>
  <si>
    <t>CLAMPS PVC 2  A  Ø3/4", ATORNILLADO</t>
  </si>
  <si>
    <t>CLAMPS PVC 2  A Ø1/2", ATORNILLADO</t>
  </si>
  <si>
    <t>CLAMPS PVC 3  A Ø1/2", ATORNILLADO</t>
  </si>
  <si>
    <t>CLAMPS PVC 3 A Ø3/4", ATORNILLADO</t>
  </si>
  <si>
    <t>CLAMPS PVC 4 A Ø1/2", ATORNILLADO</t>
  </si>
  <si>
    <t xml:space="preserve">CLAMPS PVC 4 A Ø3/4", ATORNILLADO </t>
  </si>
  <si>
    <t>CLAMPS PVC 6 A Ø1/2", ATORNILLADO</t>
  </si>
  <si>
    <t>CLAMPS PVC 6 A Ø3/4", ATORNILLADO</t>
  </si>
  <si>
    <t>CLAMPS PVC 6 A Ø1", ATORNILLADO</t>
  </si>
  <si>
    <t>CLAMPS PVC 8 A Ø1/2", ATORNILLADO</t>
  </si>
  <si>
    <t>CLAMPS PVC 8 A Ø3/4", ATORNILLADO</t>
  </si>
  <si>
    <t>CLAMPS PVC 8 A Ø1", ATORNILLADO</t>
  </si>
  <si>
    <t>CODO 4*90º PVC PRESION</t>
  </si>
  <si>
    <t>CODO 2*90º PVC PRESION</t>
  </si>
  <si>
    <t>CODO 3*90º PVC PRESION</t>
  </si>
  <si>
    <t xml:space="preserve">CODO 1/2*90º PVC PRESION </t>
  </si>
  <si>
    <t>CODO 3/4*90º PVC PRESION</t>
  </si>
  <si>
    <t>CODO 1*90º PVC PRESION</t>
  </si>
  <si>
    <t>COUPLING DE 4 PVC</t>
  </si>
  <si>
    <t>DESTORNILLADOR DE ESTRIA 12"</t>
  </si>
  <si>
    <t>DESTORNILLADOR DE ESTRIA 10"</t>
  </si>
  <si>
    <t>DESTORNILLADOR PLANO 10"</t>
  </si>
  <si>
    <t>DESTORNILLADOR PLANO 12"</t>
  </si>
  <si>
    <t>LLAVE DE PASO DE BOLA DE BRONCE Ø3/4"</t>
  </si>
  <si>
    <t>REDUCCION PVC PRESIO DE  Ø4" A  Ø2"</t>
  </si>
  <si>
    <t>REDUCCION PVC PRESION DE Ø6" A  Ø4"</t>
  </si>
  <si>
    <t>REDUCCION PVC PRESION DE Ø8" A  Ø4"</t>
  </si>
  <si>
    <t>REUDCCION PVC PRESION DE Ø8" A  Ø6"</t>
  </si>
  <si>
    <t>TEE ACERO, e= 1/4" 2" X 2"</t>
  </si>
  <si>
    <t>TEE ACERO, e= 1/4" 3" X 3"</t>
  </si>
  <si>
    <t>TEE ACERO, e= 1/4" 4" X 4"</t>
  </si>
  <si>
    <t>TEE ACERO, e= 1/4" 6" X 6"</t>
  </si>
  <si>
    <t>TEE ACERO, e= 3/8" 8" X 8"</t>
  </si>
  <si>
    <t>TEE ACERO, e= 3/8" 10" X 10"</t>
  </si>
  <si>
    <t>TEE ACERO, e= 3/8" 12" X 12"</t>
  </si>
  <si>
    <t>TEE ACERO, e= 3/8" 16" X 16"</t>
  </si>
  <si>
    <t>TEE ACERO, e= 3/8" 20" X 20"</t>
  </si>
  <si>
    <t>CODO 2*90º ACERO e=1/4"</t>
  </si>
  <si>
    <t>CODO 3*90º ACERO e=1/4"</t>
  </si>
  <si>
    <t>CODO 4*90º ACERO e=1/4"</t>
  </si>
  <si>
    <t>CODO 6*90º ACERO e=1/4"</t>
  </si>
  <si>
    <t>CODO 8*90º ACERO e=3/8"</t>
  </si>
  <si>
    <t>CODO 10*90º ACERO e=3/8"</t>
  </si>
  <si>
    <t>CODO 12*90º ACERO e=3/8"</t>
  </si>
  <si>
    <t>CODO 16*90º ACERO e=3/8"</t>
  </si>
  <si>
    <t>CODO 20*90º ACERO e=3/8"</t>
  </si>
  <si>
    <t>CODO 2*45º ACERO e=1/4"</t>
  </si>
  <si>
    <t>CODO 3*45º ACERO e=1/4"</t>
  </si>
  <si>
    <t>CODO 4*45º ACERO e=1/4"</t>
  </si>
  <si>
    <t>CODO 6*45º ACERO e=1/4"</t>
  </si>
  <si>
    <t>CODO 8*45º ACERO e=3/8"</t>
  </si>
  <si>
    <t>CODO 10*45º ACERO e=3/8"</t>
  </si>
  <si>
    <t>CODO 12*45º ACERO e=3/8"</t>
  </si>
  <si>
    <t>CODO 16*45º ACERO e=3/8"</t>
  </si>
  <si>
    <t>CODO 20*45º ACERO e=3/8"</t>
  </si>
  <si>
    <t xml:space="preserve">VALVULA Ø6" HF TIPO MARIPOSA PARA 300 PSI </t>
  </si>
  <si>
    <t xml:space="preserve">VALVULA Ø8" HF TIPO MARIPOSA PARA 300 PSI </t>
  </si>
  <si>
    <t xml:space="preserve">VALVULA Ø10" HF TIPO MARIPOSA PARA 300 PSI </t>
  </si>
  <si>
    <t xml:space="preserve">VALVULA Ø12" HF TIPO MARIPOSA PARA 300 PSI </t>
  </si>
  <si>
    <t>TEE PVC PRESION Ø1/2 x 1/2"</t>
  </si>
  <si>
    <t>TEE PVC PRESION Ø3/4 x 3/4"</t>
  </si>
  <si>
    <t>TEE PVC PRESION Ø3 x 3"</t>
  </si>
  <si>
    <t>TEE PVC PRESION Ø4" x 4"</t>
  </si>
  <si>
    <t>TEE PVC PRESEION Ø1" x 1"</t>
  </si>
  <si>
    <t>TEE PVC PRESION Ø2" x 2"</t>
  </si>
  <si>
    <t>JUNTAS TIPO DRESSER 2" ACERO</t>
  </si>
  <si>
    <t>JUNTAS  TIPO DRESSER 3" ACERO</t>
  </si>
  <si>
    <t>JUNTAS  TIPO DRESSER 4" ACERO</t>
  </si>
  <si>
    <t>JUNTAS  TIPO DRESSER 6" ACERO</t>
  </si>
  <si>
    <t>JUNTAS  TIPO DRESSER 8" ACERO</t>
  </si>
  <si>
    <t>JUNTAS  TIPO DRESSER 10" ACERO</t>
  </si>
  <si>
    <t>JUNTAS  TIPO DRESSER 12" ACERO</t>
  </si>
  <si>
    <t>JUNTAS  TIPO DRESSER 16" ACERO</t>
  </si>
  <si>
    <t>JUNTAS  TIPO DRESSER 20" ACERO</t>
  </si>
  <si>
    <t>JUNTAS  TIPO DRESSER 24" ACERO</t>
  </si>
  <si>
    <t>TAPONES DE 1/2" PVC PRESION</t>
  </si>
  <si>
    <t>TAPONES DE 3/4" PVC PRESION</t>
  </si>
  <si>
    <t>TAPONES DE 2" PVC PRESION</t>
  </si>
  <si>
    <t>TAPONES DE 3" PVC PRESION</t>
  </si>
  <si>
    <t>TAPONES DE 4" PVC PRESION</t>
  </si>
  <si>
    <t>TAPONES DE 1" PVC PRESION</t>
  </si>
  <si>
    <t>TAPONES DE 1 1/2" PVC PRESION</t>
  </si>
  <si>
    <t>COUPLING DE 1 1/2 PVC</t>
  </si>
  <si>
    <t>VALVULA DE COMPUERTA, ROSCADA Y  CUADRANTE PARA 150PSI DE Ø3", CON SUS DOS NIPLES ROSCADO DE 1´</t>
  </si>
  <si>
    <t>VALVULA DE COMPUERTA, ROSCADA Y  CUADRANTE PARA 150PSI DE Ø2", CON SUS DOS NIPLES ROSCADO DE 1´</t>
  </si>
  <si>
    <t>VALVULA DE COMPUERTA, ROSCADA Y  CUADRANTE PARA 150PSI DE Ø4", CON SUS DOS NIPLES ROSCADO DE 1´</t>
  </si>
  <si>
    <t>VALVULA DE COMPUERTA, PLATILLADA Y  CUADRANTE PARA 150PSI. Ø3", CON SUS DOS NIPLES PLATILLADOS, CON SU JUNTA DE GOMA, TORNILLOS Y TUERCAS</t>
  </si>
  <si>
    <t>VALVULA DE COMPUERTA, PLATILLADA Y  CUADRANTE PARA 150PSI. Ø4", CON SUS DOS NIPLES PLATILLADOS, CON SU JUNTA DE GOMA, TORNILLOS Y TUERCAS</t>
  </si>
  <si>
    <t>VALVULA DE COMPUERTA, PLATILLADA Y CUADRANTE PARA 150PSI. Ø6", CON SUS DOS NIPLES PLATILLADOS, CON SU JUNTA DE GOMA, TORNILLOS Y TUERCAS</t>
  </si>
  <si>
    <t>VALVULA DE COMPUERTA, PLATILLADA Y CUADRANTE  PARA 150PSI. Ø8", CON SUS DOS NIPLES PLATILLADOS, CON SU JUNTA DE GOMA, TORNILLOS Y TUERCAS</t>
  </si>
  <si>
    <t>VALVULA DE COMPUERTA, PLATILLADA Y CUADRANTE PARA 150PSI. Ø10", CON SUS DOS NIPLES PLATILLADOS, CON SU JUNTA DE GOMA, TORNILLOS Y TUERCAS</t>
  </si>
  <si>
    <t>VALVULA DE COMPUERTA, PLATILLADA Y  CUADRANTE PARA 150PSI. Ø12", CON SUS DOS NIPLES PLATILLADOS, CON SU JUNTA DE GOMA, TORNILLOS Y TUERCAS</t>
  </si>
  <si>
    <t>VALVULA DE COMPUERTA, PLATILLADA Y CUADRANTE PARA 150PSI. Ø16", CON SUS DOS NIPLES PLATILLADOS, CON SU JUNTA DE GOMA, TORNILLOS Y TUERCAS</t>
  </si>
  <si>
    <t>VALVULA DE COMPUERTA, PLATILLADA Y  CUADRANTE PARA 150PSI. Ø2", CON SUS DOS NIPLES PLATILLADOS, CON SU JUNTA DE GOMA, TORNILLOS Y TUERCAS</t>
  </si>
  <si>
    <t>VALVULA  DE COMPUERTA, PLATILLADA Y VOLANTA PARA 150PSI, Ø2", CON SUS DOS NIPLES PLATILLADOS, CON SU JUNTA DE GOMA, TORNILLOS Y TUERCAS</t>
  </si>
  <si>
    <t>VALVULA  DE COMPUERTA, PLATILLADA Y VOLANTA PARA 150PSI, Ø3", CON SUS DOS NIPLES PLATILLADOS, CON SU JUNTA DE GOMA, TORNILLOS Y TUERCAS</t>
  </si>
  <si>
    <t>VALVULA  DE COMPUERTA, PLATILLADA Y VOLANTA PARA 150PSI, Ø4", CON SUS DOS NIPLES PLATILLADOS, CON SU JUNTA DE GOMA, TORNILLOS Y TUERCAS</t>
  </si>
  <si>
    <t>VALVULA  DE COMPUERTA, PLATILLADA Y VOLANTA PARA 150PSI, Ø6", CON SUS DOS NIPLES PLATILLADOS, CON SU JUNTA DE GOMA, TORNILLOS Y TUERCAS</t>
  </si>
  <si>
    <t>VALVULA  DE COMPUERTA, PLATILLADA Y VOLANTA PARA 150PSI, Ø8", CON SUS DOS NIPLES PLATILLADOS, CON SU JUNTA DE GOMA, TORNILLOS Y TUERCAS</t>
  </si>
  <si>
    <t>VALVULA  DE COMPUERTA, PLATILLADA Y VOLANTA PARA 150PSI, Ø12", CON SUS DOS NIPLES PLATILLADOS, CON SU JUNTA DE GOMA, TORNILLOS Y TUERCAS</t>
  </si>
  <si>
    <t>VALVULA  DE COMPUERTA, PLATILLADA Y VOLANTA PARA 150PSI, Ø16", CON SUS DOS NIPLES PLATILLADOS, CON SU JUNTA DE GOMA, TORNILLOS Y TUERCAS</t>
  </si>
  <si>
    <t>VALVULA DE COMPUERTA, VASTAGO DESLIZABLE Y VOLANTA PARA 150 PSI Ø6", CON SUS DOS NIPLES PLATILLADOS, CON SU JUNTA DE GOMA, TORNILLOS Y TUERCAS</t>
  </si>
  <si>
    <t>VALVULA DE COMPUERTA, VASTAGO DESLIZABLE Y VOLANTA PARA 150 PSI Ø8", CON SUS DOS NIPLES PLATILLADOS, CON SU JUNTA DE GOMA, TORNILLOS Y TUERCAS</t>
  </si>
  <si>
    <t>VALVULA DE COMPUERTA, VASTAGO DESLIZABLE Y VOLANTA PARA 150 PSI Ø16", CON SUS DOS NIPLES PLATILLADOS, CON SU JUNTA DE GOMA, TORNILLOS Y TUERCAS</t>
  </si>
  <si>
    <t>VALVULA DE COMPUERTA, VASTAGO DESLIZABLE Y VOLANTA PARA 150 PSI Ø10", CON SUS DOS NIPLES PLATILLADOS, CON SU JUNTA DE GOMA, TORNILLOS Y TUERCAS</t>
  </si>
  <si>
    <t>VALVULA  Ø6" HF DE COMPUERTA Y VOLANTA PARA 300 PSI, CON SUS DOS NIPLES PLATILLADOS, CON SU JUNTA DE GOMA, TORNILLOS Y TUERCAS</t>
  </si>
  <si>
    <t>VALVULA  Ø8" HF DE COMPUERTA Y VOLANTA PARA 300 PSI, CON SUS DOS NIPLES PLATILLADOS, CON SU JUNTA DE GOMA, TORNILLOS Y TUERCAS</t>
  </si>
  <si>
    <t>VALVULA Ø10" HF DE COMPUERTA Y VOLANTA PARA 300 PSI , CON SUS DOS NIPLES PLATILLADOS, CON SU JUNTA DE GOMA, TORNILLOS Y TUERCAS</t>
  </si>
  <si>
    <t>VALVULA  Ø12" HF DE COMPUERTA Y VOLANTA PARA 300 PSI, CON SUS DOS NIPLES PLATILLADOS, CON SU JUNTA DE GOMA, TORNILLOS Y TUERCAS</t>
  </si>
  <si>
    <t>VALVULA DE AIRE Ø1/2", INCLUYE DOS NIPLES ROSCADOS DE 1´ Y LLAVE DE PASO</t>
  </si>
  <si>
    <t>VALVULA DE AIRE  Ø3/4", INCLUYE DOS NIPLES ROSCADOS DE 1´ Y LLAVE DE PASO</t>
  </si>
  <si>
    <t>VALVULA DE AIRE Ø1", INCLUYE DOS NIPLES ROSCADOS DE 1´ Y LLAVE DE PASO</t>
  </si>
  <si>
    <t>VALVULA DE AIRE Ø2", INCLUYE DOS NIPLES ROSCADOS DE 1´ Y LLAVE DE PASO</t>
  </si>
  <si>
    <t>VALVULA DE AIRE Ø4", INCLUYE DOS NIPLES ROSCADOS DE 1´ Y LLAVE DE PASO</t>
  </si>
  <si>
    <t>VALVULA DE AIRE  Ø6", INCLUYE DOS NIPLES ROSCADOS DE 1´ Y LLAVE DE PASO</t>
  </si>
  <si>
    <t>CLAMPS DE 6" A 1/2" ACERO</t>
  </si>
  <si>
    <t>CLAMPS DE 6" A 3/4" ACERO</t>
  </si>
  <si>
    <t>CLAMPS DE 8" A 3/4" ACERO</t>
  </si>
  <si>
    <t>CLAMPS DE 12" A 3" ACERO</t>
  </si>
  <si>
    <t>CLAMPS DE 12" A 4" ACERO</t>
  </si>
  <si>
    <t>CLAMPS DE 16" A 6" ACERO</t>
  </si>
  <si>
    <t>CLAMPS DE 12'' ACERO,  CIEGO</t>
  </si>
  <si>
    <t>CLAMPS DE 16'' ACERO,  CIEGO</t>
  </si>
  <si>
    <t>TUBERIAS PVC SCH-32.5 L=19 Ø4"</t>
  </si>
  <si>
    <t>TUBERIA DE HG L=20´ Ø1  1/2"</t>
  </si>
  <si>
    <t>TUBERIA DE HG L=20´ Ø2"</t>
  </si>
  <si>
    <t>TUBOS DE ACERO  L=20' e=3/8" Ø20"</t>
  </si>
  <si>
    <t>TUBOS DE ACERO  L=20' e=3/8" Ø16"</t>
  </si>
  <si>
    <t>TUBOS DE ACERO  L=20' e=3/8" Ø12"</t>
  </si>
  <si>
    <t>TUBOS DE ACERO  L=20' e=3/8" Ø10"</t>
  </si>
  <si>
    <t>TUBOS DE ACERO  L=20' e=3/8" Ø8"</t>
  </si>
  <si>
    <t>TUBOS DE ACERO  L=20' e=3/8" Ø6"</t>
  </si>
  <si>
    <t>TUBOS DE ACERO  L=20' e=1/4" Ø10"</t>
  </si>
  <si>
    <t>TUBOS DE ACERO  L=20' e=1/4" Ø6"</t>
  </si>
  <si>
    <t>TUBOS DE ACERO  L=20' e=1/4" Ø4"</t>
  </si>
  <si>
    <t>ACEITE 20 W-50 (55GLS)</t>
  </si>
  <si>
    <t>ACEITE DE MOTOR 25W60 (55GLS)</t>
  </si>
  <si>
    <t>ACEITE DE MOTOR 15W40 (55GLS)</t>
  </si>
  <si>
    <t>ACEITE HIDRAULICO ISO 68 (55GLS)</t>
  </si>
  <si>
    <t>CAJA</t>
  </si>
  <si>
    <t>LIQUIDO DE FRENOS (CAJA DE 12UDS)</t>
  </si>
  <si>
    <t>GRASA PESADA PARA ALTA TEMPERATURA</t>
  </si>
  <si>
    <t>CUBETA</t>
  </si>
  <si>
    <t>SACO</t>
  </si>
  <si>
    <t xml:space="preserve">DETERGENTE EN POLVO </t>
  </si>
  <si>
    <t>RECOGERDOR DE BASURA</t>
  </si>
  <si>
    <t>ESCOBILLA LIMPIA BAÑOS</t>
  </si>
  <si>
    <t>BRILLO GRIS MAQUINITA</t>
  </si>
  <si>
    <t>MAQUINA PODADORA DE RUEDA</t>
  </si>
  <si>
    <t>LINTERNA GRANDE RECARGABLE</t>
  </si>
  <si>
    <t>MACHETE DE 22"</t>
  </si>
  <si>
    <t>CINTA METRICA DE 8"</t>
  </si>
  <si>
    <t>MANDARRIA DE 8 LBS</t>
  </si>
  <si>
    <t>LLAVES COMBINADAS 12"</t>
  </si>
  <si>
    <t>LLAVES COMBINADAS 13"</t>
  </si>
  <si>
    <t>LLAVES COMBINADAS 14"</t>
  </si>
  <si>
    <t>LLAVES COMBINADAS 15"</t>
  </si>
  <si>
    <t>LLAVES COMBINADAS 17"</t>
  </si>
  <si>
    <t>LLAVES COMBINADAS 19"</t>
  </si>
  <si>
    <t>LLAVES COMBINADAS 21"</t>
  </si>
  <si>
    <t>DETERGENTE EN POLVO DE 1,000GR</t>
  </si>
  <si>
    <t>FUNDA</t>
  </si>
  <si>
    <t>ESCOBA PLASTICA CON SU PALO</t>
  </si>
  <si>
    <t>SEPARADORES DE CARPETA</t>
  </si>
  <si>
    <t>BOLIGRAFOS ROJOS 0.5 mm CAJAS DE 12 UDS</t>
  </si>
  <si>
    <t>CINTA DE EMPAQUE</t>
  </si>
  <si>
    <t>CHINCHETAS</t>
  </si>
  <si>
    <t>FELPAS NEGRAS</t>
  </si>
  <si>
    <t>FELPAS AZULES</t>
  </si>
  <si>
    <t>CARPETAS DE 4"</t>
  </si>
  <si>
    <t>CARPETAS DE 2"</t>
  </si>
  <si>
    <t>CARPETAS DE 1"</t>
  </si>
  <si>
    <t>MARCADORES NEGROS</t>
  </si>
  <si>
    <t>4413 - Suministros de oficina</t>
  </si>
  <si>
    <t>4414 - Suministros de oficina</t>
  </si>
  <si>
    <t>MARCADORES AZUL</t>
  </si>
  <si>
    <t>MARCADORES ROJO</t>
  </si>
  <si>
    <t>PAPEL PARA SUMADORA</t>
  </si>
  <si>
    <t>SACAPUNTAS</t>
  </si>
  <si>
    <t>TINTA AZUL PARA ALMOHADILLAS</t>
  </si>
  <si>
    <t>PAPEL CARBON AZUL</t>
  </si>
  <si>
    <t>CLIPS GRANDES</t>
  </si>
  <si>
    <t>CLIP PEQUEÑOS</t>
  </si>
  <si>
    <t>PENDAFLEX 8 1/2" X 13"</t>
  </si>
  <si>
    <t>PERFORADORA PARA 2 HOYOS</t>
  </si>
  <si>
    <t>GOMAS 8.15 x 15</t>
  </si>
  <si>
    <t>BATERIA 31/12</t>
  </si>
  <si>
    <t>CEMENTO PVC 1/4 GLS</t>
  </si>
  <si>
    <t>1/4 DE GLS</t>
  </si>
  <si>
    <t>TALONARIO DC-5</t>
  </si>
  <si>
    <t>POLIMERO NO IONICO EN TANQUES DE 45KGS</t>
  </si>
  <si>
    <t>COLUMNAS DE 6" X 10' ACERO CON CUOPLING</t>
  </si>
  <si>
    <t>COLUMNAS DE 8" X 10' ACERO CON CUOPLING</t>
  </si>
  <si>
    <t>GUIAS DE BRONCE DE  (PARA EJES DE 1 1/4" O 1 1/2") Ø6"</t>
  </si>
  <si>
    <t>MANOMETROS DE 0-300 PSI, SUMERGIDO EN GLILCERINA</t>
  </si>
  <si>
    <t>MANOMETROS DE 0-400 PSI, SUMERGIDO EN GLILCERINA</t>
  </si>
  <si>
    <t>MANOMETROS DE 0-600 PSI, SUMERGIDO EN GLILCERINA</t>
  </si>
  <si>
    <t>TOMACORRIENTES 120V</t>
  </si>
  <si>
    <t>CONECTOR TIPO CUÑA I/0 No. 12</t>
  </si>
  <si>
    <t>MINUBUS DE 15 PASAJEROS</t>
  </si>
  <si>
    <t>CERTIFICACION Y SOFTWARE DE GESTION DE LOS SERVICIOS TIC</t>
  </si>
  <si>
    <t>SISTEMA DE SOPORTE TOMA DE DECISIONES</t>
  </si>
  <si>
    <t>SOFTWARE DE SEGURIDAD TI (ISO/IEC 270002, FORTIGATE 60D Y FORTIGATE 600C)</t>
  </si>
  <si>
    <t>SERVIDORES DELL POWEREDG R610</t>
  </si>
  <si>
    <t>TARJETA DE RED PARA MODULO DE FIBRA PARA SERVIDOR HP PROLIANT ML350 GEN8</t>
  </si>
  <si>
    <t>SOBRE MANILA 14'' X 17"</t>
  </si>
  <si>
    <t>SOBRE MANILA 8 1/2" X 11"</t>
  </si>
  <si>
    <t>ACEITE DE TRASNMISION AUTOMATICA</t>
  </si>
  <si>
    <t>ACEITE DE TRANSMISION MECANICA</t>
  </si>
  <si>
    <t>ADAPTADORES HEMBRA 1/2 PVC</t>
  </si>
  <si>
    <t>ADAPTADORES HEMBRA 1 PVC</t>
  </si>
  <si>
    <t>TONER HP LASER JET 49A</t>
  </si>
  <si>
    <t>TONER HP LASER JET Q6000A</t>
  </si>
  <si>
    <t>TONER HP LASER JET Q6001A</t>
  </si>
  <si>
    <t>TONER HP LASER JET Q6002A</t>
  </si>
  <si>
    <t>TONER HP LASER JET Q6003A</t>
  </si>
  <si>
    <t>TONER HP LASER JET Q7553A</t>
  </si>
  <si>
    <t>TONER HP LASER JET CB435A</t>
  </si>
  <si>
    <t>TONER HP LASER JET CB436A</t>
  </si>
  <si>
    <t>TONER HP LASER JET 12A</t>
  </si>
  <si>
    <t>TUBERIAS PVC SCH-32.5 L=19 Ø12"</t>
  </si>
  <si>
    <t>TUBOS DE ACERO  L=20' e=1/4" Ø3"</t>
  </si>
  <si>
    <t>VALVULA DE BOLA DE Ø3"</t>
  </si>
  <si>
    <t>VALVULA DE BOLA DE Ø4"</t>
  </si>
  <si>
    <t>ALAMBRE AWG NO.12</t>
  </si>
  <si>
    <t>ALAMBRE AWG NO. 10</t>
  </si>
  <si>
    <t>ALAMBRE AWG NO.8</t>
  </si>
  <si>
    <t>ALAMBRE AWG NO.6</t>
  </si>
  <si>
    <t>ALAMBRE AWG NO.4</t>
  </si>
  <si>
    <t>ALAMBRE AWG NO.2</t>
  </si>
  <si>
    <t>ALAMBRE AWG NO. 1/0</t>
  </si>
  <si>
    <t>ALAMBRE AWG NO. 2/0</t>
  </si>
  <si>
    <t>ALAMBRE AWG NO. 3/0</t>
  </si>
  <si>
    <t>ALAMBRE AWG NO. 4/0</t>
  </si>
  <si>
    <t>CABLE URD #2, AL 33%</t>
  </si>
  <si>
    <t>CABLE URD #2, AL 100%</t>
  </si>
  <si>
    <t>CONO DE ALIVIO COMPLETO, ESPIGA Y PROTECCIÓN EXTERIOR</t>
  </si>
  <si>
    <t>ARRANCADORES MAGNÉTICOS 460 V, TIPO AUTOTRANSFORMADOR PARA 350HP, 460V, 3Ø, TIPO AUTO-TRANSFORMADOR</t>
  </si>
  <si>
    <t>ARRANCADORES MAGNÉTICOS 460 V, TIPO AUTOTRANSFORMADOR PARA 300HP, 460V, 3Ø, TIPO AUTO-TRANSFORMADOR</t>
  </si>
  <si>
    <t>ARRANCADORES MAGNÉTICOS 460 V, TIPO AUTOTRANSFORMADOR PARA 200HP, 460V, 3Ø, TIPO AUTO-TRANSFORMADOR</t>
  </si>
  <si>
    <t>ARRANCADORES MAGNÉTICOS 460 V, TIPO AUTOTRANSFORMADOR PARA 100HP, 460V, 3Ø, TIPO PART WINDING</t>
  </si>
  <si>
    <t>ARRANCADORES MAGNÉTICOS 460 V, TIPO AUTOTRANSFORMADOR PARA 75HP, 460V, 3Ø, TIPO PART WINDING</t>
  </si>
  <si>
    <t>ARRANCADORES MAGNÉTICOS 460 V, TIPO AUTOTRANSFORMADOR PARA 60HP, 460V, 3Ø, TIPO PART WINDING</t>
  </si>
  <si>
    <t>ARRANCADORES MAGNÉTICOS  460 V, TIPO AUTOTRANSFORMADOR PARA 50HP, 460V, 3Ø, TIPO PART WINDING</t>
  </si>
  <si>
    <t>ARRANCADORES MAGNÉTICOS 460 V, TIPO AUTOTRANSFORMADOR PARA 30HP, 460V, 3Ø, TIPO PART WINDING</t>
  </si>
  <si>
    <t>ARRANCADORES MAGNÉTICOS PARA 20HP, 460V, 3Ø, TIPO DIRECTO A LÍNEA</t>
  </si>
  <si>
    <t xml:space="preserve">ARRANCADORES MAGNÉTICOS 30 HP, 460 V,  3Ø, DIRECTO A LÍNEAS </t>
  </si>
  <si>
    <t>ARRANCADORES MAGNÉTICOS PARA 60HP, 460V, 3Ø, DIRECTO A LÍNEA</t>
  </si>
  <si>
    <t>BREAKERS DE TRES POLOS, INDUSTRIAL, 600 VOLTIOS 60 AMPERES</t>
  </si>
  <si>
    <t>BREAKERS DE TRES POLOS, INDUSTRIAL, 600 VOLTIOS 100 AMPERES</t>
  </si>
  <si>
    <t>BREAKERS DE TRES POLOS, INDUSTRIAL, 600 VOLTIOS 125 AMPERES</t>
  </si>
  <si>
    <t>BREAKERS DE TRES POLOS, INDUSTRIAL, 600 VOLTIOS 150 AMPERES</t>
  </si>
  <si>
    <t>BREAKERS DE TRES POLOS, INDUSTRIAL, 600 VOLTIOS 200 AMPERES</t>
  </si>
  <si>
    <t>BREAKERS DE TRES POLOS, INDUSTRIAL, 600 VOLTIOS 225 AMPERES</t>
  </si>
  <si>
    <t>BREAKERS DE TRES POLOS, INDUSTRIAL, 600 VOLTIOS 250 AMPERES</t>
  </si>
  <si>
    <t>BREAKERS DE TRES POLOS, INDUSTRIAL, 600 VOLTIOS 300 AMPERES</t>
  </si>
  <si>
    <t>BREAKERS DE TRES POLOS, INDUSTRIAL, 600 VOLTIOS 400 AMPERES</t>
  </si>
  <si>
    <t>BREAKERS DE TRES POLOS, INDUSTRIAL, 600 VOLTIOS 450 AMPERES</t>
  </si>
  <si>
    <t>CONDUCTORES ELÉCTRICOS, PARA INSTALACIÓN DE MOTORES ELÉCTRICOS SUMERGIBLES (AMERICANO O EUROPEO) ALAMBRE DE VINIL CALIBRE 14 X 2 HILOS</t>
  </si>
  <si>
    <t>CONDUCTORES ELÉCTRICOS, PARA INSTALACIÓN DE MOTORES ELÉCTRICOS SUMERGIBLES (AMERICANO O EUROPEO) ALAMBRE DE VINIL CALIBRE 10 X 4 HILOS</t>
  </si>
  <si>
    <t>CONDUCTORES ELÉCTRICOS, PARA INSTALACIÓN DE MOTORES ELÉCTRICOS SUMERGIBLES (AMERICANO O EUROPEO) ALAMBRE DE VINIL CALIBRE 8 X 4 HILOS</t>
  </si>
  <si>
    <t>CONDUCTORES ELÉCTRICOS, PARA INSTALACIÓN DE MOTORES ELÉCTRICOS SUMERGIBLES (AMERICANO O EUROPEO) ALAMBRE DE VINIL CALIBRE 6 X 4 HILOS</t>
  </si>
  <si>
    <t>CONDUCTORES ELÉCTRICOS, PARA INSTALACIÓN DE MOTORES ELÉCTRICOS SUMERGIBLES (AMERICANO O EUROPEO) ALAMBRE DE VINIL CALIBRE 4 X 4 HILOS</t>
  </si>
  <si>
    <t>CONDUCTORES ELÉCTRICOS, PARA INSTALACIÓN DE MOTORES ELÉCTRICOS SUMERGIBLES (AMERICANO O EUROPEO) ALAMBRE FORRO DE GOMA 85.01 MM X 4 HILOS,  (NO. 3/0 X 4 HILOS)</t>
  </si>
  <si>
    <t>CONTACTORES MAGNÉTICOS, CON BOBINA A 220 VOLTIOS, VOLTAJE DE POTENCIA 480 VOL. (BAJO LA NORMA NEMA) 15 HP</t>
  </si>
  <si>
    <t>CONTACTORES MAGNÉTICOS, CON BOBINA A 220 VOLTIOS, VOLTAJE DE POTENCIA 480 VOL. (BAJO LA NORMA NEMA) 20 HP</t>
  </si>
  <si>
    <t>CONTACTORES MAGNÉTICOS, CON BOBINA A 220 VOLTIOS, VOLTAJE DE POTENCIA 480 VOL. (BAJO LA NORMA NEMA) 25 HP</t>
  </si>
  <si>
    <t>CONTACTORES MAGNÉTICOS, CON BOBINA A 220 VOLTIOS, VOLTAJE DE POTENCIA 480 VOL. (BAJO LA NORMA NEMA) 30 HP</t>
  </si>
  <si>
    <t>CONTACTORES MAGNÉTICOS, CON BOBINA A 220 VOLTIOS, VOLTAJE DE POTENCIA 480 VOL. (BAJO LA NORMA NEMA) 40 HP</t>
  </si>
  <si>
    <t>CONTACTORES MAGNÉTICOS, CON BOBINA A 220 VOLTIOS, VOLTAJE DE POTENCIA 480 VOL. (BAJO LA NORMA NEMA) 60 HP</t>
  </si>
  <si>
    <t>CONTACTORES MAGNÉTICOS, CON BOBINA A 220 VOLTIOS, VOLTAJE DE POTENCIA 480 VOL. (BAJO LA NORMA NEMA) 75 HP</t>
  </si>
  <si>
    <t>CONTACTORES MAGNÉTICOS, CON BOBINA A 220 VOLTIOS, VOLTAJE DE POTENCIA 480 VOL. (BAJO LA NORMA NEMA) 100 HP</t>
  </si>
  <si>
    <t>CONTACTORES MAGNÉTICOS, CON BOBINA A 220 VOLTIOS, VOLTAJE DE POTENCIA 480 VOL. (BAJO LA NORMA NEMA) 125 HP</t>
  </si>
  <si>
    <t>CONTACTORES MAGNÉTICOS, CON BOBINA A 220 VOLTIOS, VOLTAJE DE POTENCIA 480 VOL. (BAJO LA NORMA NEMA) 150 HP</t>
  </si>
  <si>
    <t>CONTACTORES MAGNÉTICOS, CON BOBINA A 220 VOLTIOS, VOLTAJE DE POTENCIA 480 VOL. (BAJO LA NORMA NEMA) 200 HP</t>
  </si>
  <si>
    <t>MOTORES ELÉCTRICOS SUMERGIBLES, 3Ø, 230 /460 VOLTIOS, 60HZ, 1.15 FS, 3,450 RPM 2 HP NEMA 4</t>
  </si>
  <si>
    <t>MOTORES ELÉCTRICOS SUMERGIBLES, 3Ø, 230 /460 VOLTIOS, 60HZ, 1.15 FS, 3,450 RPM 5 HP NEMA 4</t>
  </si>
  <si>
    <t>MOTORES ELÉCTRICOS SUMERGIBLES, 3Ø, 230 /460 VOLTIOS, 60HZ, 1.15 FS, 3,450 RPM 30 HP NEMA 6</t>
  </si>
  <si>
    <t>MOTORES ELÉCTRICOS SUMERGIBLES, 3Ø, 230 /460 VOLTIOS, 60HZ, 1.15 FS, 3,450 RPM 40 HP NEMA 6</t>
  </si>
  <si>
    <t>MOTORES ELÉCTRICOS SUMERGIBLES, 3Ø, 230 /460 VOLTIOS, 60HZ, 1.15 FS, 3,450 RPM 50 HP NEMA 6</t>
  </si>
  <si>
    <t>MOTORES ELÉCTRICOS SUMERGIBLES, 3Ø, 230 /460 VOLTIOS, 60HZ, 1.15 FS, 3,450 RPM 60 HP NEMA 6</t>
  </si>
  <si>
    <t>MOTORES ELÉCTRICOS SUMERGIBLES, 3Ø, 230 /460 VOLTIOS, 60HZ, 1.15 FS, 3,450 RPM 60 HP NEMA 8</t>
  </si>
  <si>
    <t>MOTORES ELÉCTRICOS SUMERGIBLES, 3Ø, 230 /460 VOLTIOS, 60HZ, 1.15 FS, 3,450 RPM 75 HP NEMA 8</t>
  </si>
  <si>
    <t>MOTORES ELÉCTRICOS SUMERGIBLES, 3Ø, 230 /460 VOLTIOS, 60HZ, 1.15 FS, 3,450 RPM 125 HP NEMA 8</t>
  </si>
  <si>
    <t>TRANSFORMADORES 1Ø, 60HZ, SUMERGIDOS EN ACEITE, 7.2/12.47 KV, 120/240V, TIPO POSTE, HOMOLGADOS CON IDÉNTICA IMPEDANCIA 15 KVA</t>
  </si>
  <si>
    <t>TRANSFORMADORES 1Ø, 60HZ, SUMERGIDOS EN ACEITE, 7.2/12.47 KV, 240/480V, TIPO POSTE HOMOLGADOS CON IDÉNTICA IMPEDANCIA 37.5 KVA</t>
  </si>
  <si>
    <t>TRANSFORMADORES 1Ø, 60HZ, SUMERGIDOS EN ACEITE, 7.2/12.47 KV, 240/480V, TIPO POSTE HOMOLGADOS CON IDÉNTICA IMPEDANCIA 50 KVA</t>
  </si>
  <si>
    <t>TRANSFORMADORES 1Ø, 60HZ, SUMERGIDOS EN ACEITE, 7.2/12.47 KV, 240/480V, TIPO POSTE HOMOLGADOS CON IDÉNTICA IMPEDANCIA 75 KVA</t>
  </si>
  <si>
    <t>TRANSFORMADORES 1Ø, 60HZ, SUMERGIDOS EN ACEITE, 7.2/12.47 KV, 240/480V, TIPO POSTE HOMOLGADOS CON IDÉNTICA IMPEDANCIA 167 KVA</t>
  </si>
  <si>
    <t>TRANSFORMADORES SECOS, PARA CONTROL ELÉCTRICO 1 KVA, VOLTAJE PRIMARIO 480V-VOLTAJE SECUNDARIO 120V/240V</t>
  </si>
  <si>
    <t>TRANSFORMADORES SECOS, PARA CONTROL ELÉCTRICO 0.5 KVA, VOLTAJE PRIMARIO 480V-VOLTAJE SECUNDARIO 120V/240V</t>
  </si>
  <si>
    <t>TRANSFORMADORES SECOS, PARA CONTROL ELÉCTRICO 0.3 KVA, VOLTAJE PRIMARIO 480V-VOLTAJE SECUNDARIO 120V/240V</t>
  </si>
  <si>
    <t>TRANSFORMADORES SECOS, PARA ILUMINACIÓN NEMA 3R 1.5 KVA, VOLTAJE PRIMARIO 480V-VOLTAJE SECUNDARIO 120V/240V.</t>
  </si>
  <si>
    <t>TRANSFORMADORES SECOS, PARA ILUMINACIÓN NEMA 3R 2.0 KVA, VOLTAJE PRIMARIO 480V-VOLTAJE SECUNDARIO 120V/240V.</t>
  </si>
  <si>
    <t>TRANSFORMADORES SECOS, PARA ILUMINACIÓN NEMA 3R 3.0KVA, VOLTAJE PRIMARIO 480V-VOLTAJE SECUNDARIO 120V/240V.</t>
  </si>
  <si>
    <t>CONECTORES #2, TIPO SILLITA, SENCILLO</t>
  </si>
  <si>
    <t>CONECTORES #2/0, TIPO SILLITA, SENCILLO</t>
  </si>
  <si>
    <t>CONECTORES #4/0, TIPO SILLITA, SENCILLO</t>
  </si>
  <si>
    <t>CONECTORES #350 MCM, TIPO SILLITA, SENCILLO</t>
  </si>
  <si>
    <t>CONECTORES #350 MCM, TIPO SILLITA, DOBLE</t>
  </si>
  <si>
    <t>CONTROLES DE NIVEL A 230V, CON PAR DE ELECTRODOS</t>
  </si>
  <si>
    <t>CONTROLES DE NIVEL A 460V, CON PAR DE ELECTRODOS</t>
  </si>
  <si>
    <t>TRANSFORMADOR ELECTRÓNICO PARA LÁMPARA FLUORESCENTE 32 WATTS, 120V</t>
  </si>
  <si>
    <t>AISLADORES TIPO CAMPANA, PARA 15KV</t>
  </si>
  <si>
    <t>AISLADORES TIPO PIN (55-5)</t>
  </si>
  <si>
    <t>AISLADORES VARILLA DE TIERRA, CON SU CONECTOR 5/8"X 8'</t>
  </si>
  <si>
    <t>EMPAQUETADURAS TEFLONADAS Ø 1/4"</t>
  </si>
  <si>
    <t>EMPAQUETADURAS TEFLONADAS Ø 3/8"</t>
  </si>
  <si>
    <t>EMPAQUETADURAS TEFLONADAS Ø 5/16"</t>
  </si>
  <si>
    <t>EMPAQUETADURAS TEFLONADAS Ø 1/2"</t>
  </si>
  <si>
    <t xml:space="preserve">LICENCIAS PARA SWITCHES CISCO </t>
  </si>
  <si>
    <t>LICENCIAS DE ANTIVIRUS Y SOFTWARE CENTRAL DE MONITOREO MALWARE, SPYWARE</t>
  </si>
  <si>
    <t/>
  </si>
  <si>
    <t>DISCOS DUROS (ESTACIONES DE TRABAJO) PARA EL STOCK DE EQUIPOS Y SUPLIR LAS NECESIDADES DE LAS DIFERENTES DEPENDENCIAS</t>
  </si>
  <si>
    <t>MEMORIAS DDR  PARA EL STOCK DE EQUIPOS Y SUPLIR LAS NECESIDADES DE LAS DIFERENTES DEPENDENCIAS</t>
  </si>
  <si>
    <t>TECLADOS PARA EL STOCK DE EQUIPOS Y SUPLIR LAS NECESIDADES DE LAS DIFERENTES DEPENDENCIAS</t>
  </si>
  <si>
    <t>MOUSE PARA EL STOCK DE EQUIPOS Y SUPLIR LAS NECESIDADES DE LAS DIFERENTES DEPENDENCIAS</t>
  </si>
  <si>
    <t>COMPUTADORAS PARA EL STOCK DE EQUIPOS Y SUPLIR LAS NECESIDADES DE LAS DIFERENTES DEPENDENCIAS</t>
  </si>
  <si>
    <t>KIT PROFESIONAL DE REDES</t>
  </si>
  <si>
    <t>UPS PARA EL STOCK DE EQUIPOS Y SUPLIR LAS NECESIDADES DE LAS DIFERENTES DEPENDENCIAS</t>
  </si>
  <si>
    <t>DISPOSITIVO NAS TIPO MD1000 PARA MANEJO DE BACKUP</t>
  </si>
  <si>
    <t>DISPOSITIVO NAS TIPO MD3000 PARA MANEJO DE BACKUP</t>
  </si>
  <si>
    <t>QUEMADORAS DE DVD PARA EL STOCK DE EQUIPOS Y SUPLIR LAS NECESIDADES  DE LAS DIFERENTES DEPENDENCIAS</t>
  </si>
  <si>
    <t>PATH CORDS DE 7 PIES  PARA EL STOCK DE EQUIPOS Y SUPLIR LAS NECESIDADES  DE LAS DIFERENTES DEPENDENCIAS</t>
  </si>
  <si>
    <t>VALVULA DE COMPUERTA, VASTAGO DESLIZABLE Y VOLANTA PARA 150 PSI Ø 20", CON SUS DOS NIPLES PLATILLADOS, CON SU JUNTA DE GOMA, TORNILLOS Y TUERCAS</t>
  </si>
  <si>
    <t>VALVULA DE COMPUERTA, VASTAGO DESLIZABLE Y VOLANTA PARA 150 PSI Ø 24", CON SUS DOS NIPLES PLATILLADOS, CON SU JUNTA DE GOMA, TORNILLOS Y TUERCAS</t>
  </si>
  <si>
    <t>VALVULA DE AIRE Ø1 1/2", INCLUYE DOS NIPLES ROSCADOS DE 1´ Y LLAVE DE PASO</t>
  </si>
  <si>
    <t>VALVULA DE AIRE Ø3", INCLUYE DOS NIPLES ROSCADOS DE 1´ Y LLAVE DE PASO</t>
  </si>
  <si>
    <t>Comparacion de Precios</t>
  </si>
  <si>
    <t>TOTAL DE COMPRAS DEL 2015</t>
  </si>
  <si>
    <t>VALVULA DE AIRE DE DOBLE ACCION DE Ø4", INCLUYE DOS NIPLES ROSCADOS DE 1´ Y LLAVE DE PASO</t>
  </si>
  <si>
    <t>VALVULA DE AIRE DE DOBLE ACCION DE Ø6", INCLUYE DOS NIPLES ROSCADOS DE 1´ Y LLAVE DE PASO</t>
  </si>
  <si>
    <t>VALVULA DE COMPUERTA, VASTAGO DESLIZABLE Y VOLANTA PARA 150 PSI Ø20", CON SUS DOS NIPLES PLATILLADOS, CON SU JUNTA DE GOMA, TORNILLOS Y TUERCAS</t>
  </si>
  <si>
    <t>VALVULA DE COMPUERTA, VASTAGO DESLIZABLE Y VOLANTA PARA 150 PSI Ø24", CON SUS DOS NIPLES PLATILLADOS, CON SU JUNTA DE GOMA, TORNILLOS Y TUERCAS</t>
  </si>
  <si>
    <t>ALAMBRE DE VINIL CALIBRE 14 X 2 HILOS</t>
  </si>
  <si>
    <t>ALAMBRE DE VINIL CALIBRE 10 X 4 HILOS</t>
  </si>
  <si>
    <t>ALAMBRE DE VINIL CALIBRE 8 X 4 HILOS</t>
  </si>
  <si>
    <t>ALAMBRE DE VINIL CALIBRE 6 X 4 HILOS</t>
  </si>
  <si>
    <t>ALAMBRE DE VINIL CALIBRE 4 X 4 HILOS</t>
  </si>
  <si>
    <t>ALAMBRE FORRO DE GOMA 85.01 MM X 4 HILOS,  (NO. 3/0 X 4 HILOS)</t>
  </si>
  <si>
    <t>CILINDRO PARA CLORO GAS DE 150LB, INCLUYE VALVULA</t>
  </si>
  <si>
    <t>LINTERNAS GRANDES RECARGABLES</t>
  </si>
  <si>
    <t>CANDADOS GRANDES</t>
  </si>
  <si>
    <t>CORTADORA DE GRAMA PORTÁTIL</t>
  </si>
  <si>
    <t>CAJA DE HERRAMIENTAS DE 24” EQUIPADA</t>
  </si>
  <si>
    <t>COMPRA DE CLORADORES CONPLETO PARA LOS ACUEDUCTOS DETALLADOS ABAJO,  DE RANGO 0-25, 0-50, 0-100 Y A 500,  DIRECTO Y POR SOLUCION ó AL VACIO).</t>
  </si>
  <si>
    <t xml:space="preserve">MANGUERA DE  3/8, ETUBING-150,PARA SISTEMA DE CLORACIÓN </t>
  </si>
  <si>
    <t>MANGUERA DE 5/8 ETUBING- 550,  PARA CLORADORES DE 500 LIBS.</t>
  </si>
  <si>
    <t>INYECTOR COMPLETO</t>
  </si>
  <si>
    <t>ESCALA COMPLETA</t>
  </si>
  <si>
    <t>LLAVE PARA ABRIR CILINDRO DE CLORO ACC-CC-W-100</t>
  </si>
  <si>
    <t>VALVULA SHERWOOD PARA CILINDRO</t>
  </si>
  <si>
    <t>DOSIFICADORES DE CLORO EN PASTILLA</t>
  </si>
  <si>
    <t>MEMORIAS DDR3  PARA EL STOCK DE EQUIPOS Y SUPLIR LAS NECESIDADES DE LAS DIFERENTES DEPENDENCIAS</t>
  </si>
  <si>
    <t>PATH CORDS DE 3 PIES  PARA EL STOCK DE EQUIPOS Y SUPLIR LAS NECESIDADES  DE LAS DIFERENTES DEPENDENCIAS</t>
  </si>
  <si>
    <t>CONECTORES JACK</t>
  </si>
  <si>
    <t>Cable UTP CAT6</t>
  </si>
  <si>
    <t>DISCOS DUROS HP 450GB SAS PARA AUMENTAR LA CAPACIDAD DE ALMACENAMIENTO.</t>
  </si>
  <si>
    <t>DISCOS DUROS DELL 1TB SAS PARA AUMENTAR LA CAPACIDAD DE ALMACENAMIENTO.</t>
  </si>
  <si>
    <t>TARJETA DE RED PARA MODULO DE FIBRA PARA SERVIDOR HP PROLIANT DL360P GEN8</t>
  </si>
  <si>
    <t>TARJETA DE RED PARA MODULO DE FIBRA PARA SERVIDOR HP PROLIANT ML350P GEN8</t>
  </si>
  <si>
    <t>SWITCH 48 PUERTOS POE CISCO PARA CAMBIAR TODOS LOS PUNTOS DE INAPA A POE.CON LICENCIA.</t>
  </si>
  <si>
    <t>PHOTOSHOP CC</t>
  </si>
  <si>
    <t>DREAMWEABER CC</t>
  </si>
  <si>
    <t>LICENCIAS DE FORTINET 600C</t>
  </si>
  <si>
    <t xml:space="preserve">SOFTWARE ANTISPAM </t>
  </si>
  <si>
    <t>GPS GARMIN ETRX 20</t>
  </si>
  <si>
    <t>CAMARA DIGITAL A PRUEBA DE AGUA Y GOLPES</t>
  </si>
  <si>
    <t>ESCANER A COLOR</t>
  </si>
  <si>
    <t>4111 - Instrumentos de medida, observación y ensayo</t>
  </si>
  <si>
    <t>CORRENTOMETRO-MOLINETE MEDIDOR DE VELOCIDAD DE LA CORRIENTE CON HELICE DE PLASTICO</t>
  </si>
  <si>
    <t>MODELO GEO-RIO PEQUEÑO, AFORADOR Y BATIMETRICO PARA RIOS DE AGUAS POCO PROFUNDAS</t>
  </si>
  <si>
    <t>REGLA DE MADERA METRADA</t>
  </si>
  <si>
    <t>BOTAS DE TRABAJO SUELA POLIUERETANO NEGRO</t>
  </si>
  <si>
    <t>GUANTES DE SEGURIDAD DE CUERO</t>
  </si>
  <si>
    <t>SONDA TLC TEMPERATURA, NIVEL, CONDUCTIVIDAD MODELO 107</t>
  </si>
  <si>
    <t>NIVEL PARA AGUAS MRCACIONES LASER MODELO 102</t>
  </si>
  <si>
    <t>OHMMAPPER GEOMETRICS RESISTIVITY MAPPING</t>
  </si>
  <si>
    <t>MAPA HIDROGEOLOGICO RD</t>
  </si>
  <si>
    <t>JUEGO DE CARTAS TOPOGRAFICAS (150 CARTAS) 1:50</t>
  </si>
  <si>
    <t>ARNES DE SEGURIDAD 9-059-7</t>
  </si>
  <si>
    <t>ZAPAPICO 5 LBS</t>
  </si>
  <si>
    <t>MACHETE TRAMONTINA</t>
  </si>
  <si>
    <t>CABO P/PICO 900MM</t>
  </si>
  <si>
    <t>MOCHILA DE CAMPO PARA LLEVAR EQUIPOS VARIOS</t>
  </si>
  <si>
    <t>LEVANTAMIENTO TOPOGRÁFICO ACUEDUCTO MÚLTIPLE LAS LOMAS, PROVINCIA AZUA</t>
  </si>
  <si>
    <t>LEVANTAMIENTO TOPOGRÁFICO ACUEDUCTO LOS GUINEOS-LOS SEGUNDOS-LA CEIBA, NEYBA, PROVINCIA BAHORUCO</t>
  </si>
  <si>
    <t>LEVANTAMIENTO TOPOGRÁFICO SECTOR MANUEL BUENO, PROVINCIA DAJABÓN</t>
  </si>
  <si>
    <t>LEVANTAMIENTO TOPOGRÁFICO ACUEDUCTO MÚLTIPLE ARENOSO, PROVINCIA DUARTE</t>
  </si>
  <si>
    <t>LEVANTAMIENTO TOPOGRÁFICO ALCANTARILLADO PLUVIAL COMUNIDAD DE AGUAYO, PROVINCIA DUARTE</t>
  </si>
  <si>
    <t>LEVANTAMIENTO TOPOGRÁFICO ACUEDUCTO LOMA LA JOYA, SAN FRANCISCO DE MACORÍS, PROVINCIA DUARTE</t>
  </si>
  <si>
    <t>LEVANTAMIENTO TOPOGRÁFICO ACUEDUCTO MICHES, PROVINCIA EL SEIBÓ</t>
  </si>
  <si>
    <t>SECTORES VILLA GUERRERO Y COLINAS DE DON GUILLERMO, PROVINCIA EL SEIBÓ</t>
  </si>
  <si>
    <t>LEVANTAMIENTO TOPOGRÁFICO SECTORES CRISTO SALVADOR Y CRISTO REDENTOR, PROVINCIA ELÍAS PIÑA</t>
  </si>
  <si>
    <t>LEVANTAMIENTO TOPOGRÁFICO COMUNIDAD LA ROSA, PROVINCIA ELÍAS PINA</t>
  </si>
  <si>
    <t>LEVANTAMIENTO TOPOGRAFICO ALCANTARILLADO SANITARIO SABANA DE MAR, PROVINCIA HATO MAYOR</t>
  </si>
  <si>
    <t>LEVANTAMIENTO TOPOGRÁFICO AC. LA OTRA BANDA-EL MACAO, PROVINCIA LA ALTAGRACIA</t>
  </si>
  <si>
    <t>LEVANTAMIENTO TOPOGRÁFICO ACUEDUCTO LA PLAYITA BOCA DE YUMA, PROVINCIA LA ALTAGRACIA</t>
  </si>
  <si>
    <t>LEVANTAMIENTO TOPOGRÁFICO ACUEDUCTO LOS MARRANITOS, MUNICIPIO JARABACOA, PROVINCIA LA VEGA</t>
  </si>
  <si>
    <t>LEVANTAMIENTO TOPOGRÁFICO ACUEDUCTO MÚLTIPLE LAS YAYAS-JAMO-COLÓN-SABANETA-BARRANCA-BACUÍ, PROVINCIA LA VEGA</t>
  </si>
  <si>
    <t>LEVANTAMIENTO TOPOGRÁFICO ALCANTARILLADO PLUVIAL DE BONAO, CALLE DUARTE, PROVINCIA MONSEÑOR NOUEL</t>
  </si>
  <si>
    <t>LEVANTAMIENTO TOPOGRÁFICO ACUEDUCTO MÚLTIPLE BLANCO, PROVINCIA MONSEÑOR NOUEL</t>
  </si>
  <si>
    <t>LEVANTAMIENTO TOPOGRÁFICO ACUEDUCTO LOS ARROCES, PROVINCIA MONSEÑOR NOUEL</t>
  </si>
  <si>
    <t>LEVANTAMIENTO TOPOGRÁFICO REFORZAMIENTO ACUEDUCTO SONADOR, PROVINCIA MONSEÑOR NOUEL</t>
  </si>
  <si>
    <t>LEVANTAMIENTO TOPOGRÁFICO ALCANTARILLADO SANITARIO DE BONAO, PROVINCIA MONSEÑOR NOUEL</t>
  </si>
  <si>
    <t>LEVANTAMIENTO TOPOGRÁFICO DISTRITO MUNICIPAL VILLA SONADOR, PROVINCIA MONSEÑOR NOUEL</t>
  </si>
  <si>
    <t>LEVANTAMIENTO TOPOGRÁFICO ACUEDUCTO SABANA GRANDE DE BOYA, PROVINCIA MONTE PLATA</t>
  </si>
  <si>
    <t>LEVANTAMIENTO TOPOGRÁFICO COMUNIDADES SABANA DE LOS JAVIELES, CARRIZAL, PILANCÓN  BAYAGUANA, PROVINCIA MONTE PLATA</t>
  </si>
  <si>
    <t>LEVANTAMIENTO TOPOGRÁFICO ACUEDUCTO ESPERALVILLO, PROVINCIA MONTE PLATA</t>
  </si>
  <si>
    <t>LEVANTAMIENTO TOPOGRÁFICO ACUEDUCTO MAJAGUAL, PROVINCIA MONTE PLATA</t>
  </si>
  <si>
    <t xml:space="preserve"> LEVANTAMIENTO TOPOGRÁFICO AC. ANTÓN SÁNCHEZ, BAYAGUANA, PROVINCIA MONTE PLATA</t>
  </si>
  <si>
    <t>LEVANTAMIENTO TOPOGRÁFICO REDES DE DISTRIBUCIÓN DE LAS COMUNIDADES DE LA CUESTA DEL JOBO Y LA MINA  Y  NUEVA ZONA PARA  DEPÓSITO REGULADOR, YAMASÁ, PROVINCIA MONTE PLATA</t>
  </si>
  <si>
    <t>LEVANTAMIENTO TOPOGRÁFICO ALCANTARILLADO SANITARIO DE BANI, PROVINCIA PERAVIA</t>
  </si>
  <si>
    <t>ACUEDUCTO BARRIO LA ALTAGRACIA Y LAS FLORES, PROVINCIA PERAVIA</t>
  </si>
  <si>
    <t>LEVANTAMIENTO TOPOGRÁFICO ALCANTARILLADO SANITARIO BANI EXTENSIÓN SECTORES MARÍA CARLITA Y 30 DE MAYO, PROVINCIA PERAVIA</t>
  </si>
  <si>
    <t>ALCANTARILLADO SANITARIO BANI SECTORES CAJUILITO NORTE Y RESIDENCIAL SERRET, PROVINCIA PERAVIA</t>
  </si>
  <si>
    <t>LEVANTAMIENTO TOPOGRÁFICO ACUEDUCTO  AGUAS BUENAS, MUNICIPIO DE SÁNCHEZ, PROVINCIA SAMANÁ</t>
  </si>
  <si>
    <t>LEVANTAMIENTO TOPOGRÁFICO ACUEDUCTO EL CATEY, PROVINCIA SAMANÁ</t>
  </si>
  <si>
    <t>LEVANTAMIENTO TOPOGRÁFICO ALCANTARILLADO SANITARIO EL CATEY, PROVINCIA SAMANÁ</t>
  </si>
  <si>
    <t>LEVANTAMIENTO TOPOGRÁFICO REDES LAS TERRENAS, LOS PUENTES-LOS NARANJOS-LAS GUAZARAS-LAGUNA GRANDE, PROVINCIA SAMANÁ</t>
  </si>
  <si>
    <t>LEVANTAMIENTO TOPOGRÁFICO REDES LAS TERRENAS LAGUNA GRANDE, PROVINCIA SAMANÁ</t>
  </si>
  <si>
    <t>LEVANTAMIENTO TOPOGRÁFICO ACUEDUCTO MÚLTIPLE LAS TERRENAS, PROVINCIA SAMANÁ</t>
  </si>
  <si>
    <t>LEVANTAMIENTO TOPOGRÁFICO EVALUACIÓN AC. MALPÁEZ, PROVINCIA SAN CRISTÓBAL</t>
  </si>
  <si>
    <t>LEVANTAMIENTO TOPOGRÁFICO RED  DE DISTRIBUCIÓN SECTORES INVI-CEA, LOS MORMONES Y CAÑADA DE HAITÍ MEJÍA, HAINA, PROVINCIA SAN CRISTÓBAL</t>
  </si>
  <si>
    <t>LEVANTAMIENTO TOPOGRÁFICO RED DE DISTRIBUCIÓN SECTORES MARGARA, EL QUILOMBO Y EL TRONCO, HAINA, PROVINCIA SAN CRISTÓBAL</t>
  </si>
  <si>
    <t>LEVANTAMIENTO TOPOGRÁFICO ACUEDUCTO EL PINAR, PROVINCIA SAN JOSÉ DE OCOA</t>
  </si>
  <si>
    <t>LEVANTAMIENTO TOPOGRÁFICO ACUEDUCTO LOS CAMBRONES , PROVINCIA SAN JUAN</t>
  </si>
  <si>
    <t>LEVANTAMIENTO TOPOGRÁFICO COMUNIDADES CARPINTERO, LA CANA Y MAMÓN , PROVINCIA SAN JUAN</t>
  </si>
  <si>
    <t>LEVANTAMIENTO TOPOGRÁFICO AC. CARRERA DE YEGUA-ESCONDIDO, PROVINCIA SAN JUAN</t>
  </si>
  <si>
    <t>LEVANTAMIENTO TOPOGRÁFICO ACUEDUCTO SABANETA, PROVINCIA SAN JUAN</t>
  </si>
  <si>
    <t>LEVANTAMIENTO TOPOGRÁFICO ACUEDUCTO MÚLTIPLE LA ZANJA, PROVINCIA SAN JUAN</t>
  </si>
  <si>
    <t>LEVANTAMIENTO TOPOGRÁFICO CARRERA DE YEGUA, PROVINCIA SAN JUAN</t>
  </si>
  <si>
    <t>LEVANTAMIENTO TOPOGRÁFICO PLANTA DE TRATAMIENTO DEL ACUEDUCTO EL PUERTO, PROVINCIA SAN PEDRO DE MACORÍS</t>
  </si>
  <si>
    <t>LEVANTAMIENTO TOPOGRÁFICO ACUEDUCTO JUAN DOLIO-GUAYACANES, PROVINCIA SAN PEDRO DE MACORÍS</t>
  </si>
  <si>
    <t>LEVANTAMIENTO TOPOGRÁFICO PLANTA DE AGUAS RESIDUALES DE FANTINO 50 LPS, PROVINCIA SÁNCHEZ RAMÍREZ</t>
  </si>
  <si>
    <t>LEVANTAMIENTO TOPOGRÁFICO LÍNEA DE CONDUCCIÓN LA COLECITA, PROVINCIA SÁNCHEZ RAMÍREZ</t>
  </si>
  <si>
    <t>LEVANTAMIENTO TOPOGRÁFICO ACUEDUCTO FANTINO-SECTOR MARÍA TRINIDAD SÁNCHEZ, PROVINCIA SÁNCHEZ RAMÍREZ</t>
  </si>
  <si>
    <t>LEVANTAMIENTO TOPOGRÁFICO LÍNEA DE IMPULSIÓN BARRIOS LOS GUANDULES Y BALAGUER , PROVINCIA SANTIAGO</t>
  </si>
  <si>
    <t>LEVANTAMIENTO TOPOGRÁFICO SECTOR VALLE VERDE, MUNICIPIO HATO DEL YAQUE , PROVINCIA SANTIAGO</t>
  </si>
  <si>
    <t>LEVANTAMIENTO TOPOGRÁFICO EL PINO, PROVINCIA SANTIAGO RODRÍGUEZ</t>
  </si>
  <si>
    <t>LEVANTAMIENTO TOPOGRÁFICO COMPLEMENTO DE REDES Y UBICACIÓN ZONA DEPÓSITO REGULADOR ACUEDUCTO HACIENDA ESTRELLA , PROVINCIA SANTO DOMINGO NORTE</t>
  </si>
  <si>
    <t>LEVANTAMIENTO TOPOGRÁFICO LÍNEA IMPULSIÓN AC. DAMAJAGUA , PROVINCIA VALVERDE</t>
  </si>
  <si>
    <t>LEVANTAMIENTO TOPOGRÁFICO RED DE ABASTECIMIENTO AGUA POTABLE, COMUNIDAD DE JAIBÓN , PROVINCIA VALVERDE</t>
  </si>
  <si>
    <t>ESTUDIO GEOTECNICO EN DIFERENTES PROVINCIAS</t>
  </si>
  <si>
    <t xml:space="preserve">REHABILITACION Y REMOSAMIENTO DE LOS DEPARTAMENTOS PERTENECIENTES A LA DIRECCION DE INGENIERIA (DEP. EVALUACION DE COSTOS, DEP DISEÑO DE OBRAS, DEP PLANTA FISICA, DEP DEP DE GESTION AMBIENTAL Y DEP DE CAPACITACION Y DESARROLLO) </t>
  </si>
  <si>
    <t>7112 - Servicios de Mantenimiento y Construccion de Perforacion de Pozos</t>
  </si>
  <si>
    <t>REHABILITACION DE 5 POZOS AFECTADOS POR LA SEQUIA EN LA PROVINCIA PERAVIA</t>
  </si>
  <si>
    <t>REHABILITACION DE 3 POZOS EXISTENTES EN LAS COMUNIDADES LA BARBACOA Y EL LIMON, PROVINCIA SAMANA</t>
  </si>
  <si>
    <t>LIMPIEZA, DESARROLLO POR PISTONEA Y AFORO A POZOS EN VARIOS ACUEDUCTOS EN SAN CRISTOBAL, PROVINCIA SAN CRISTOBAL</t>
  </si>
  <si>
    <t>LIMPIEZA DE POZOS EXISTENTES</t>
  </si>
  <si>
    <t>AFORO DE POZOS</t>
  </si>
  <si>
    <t>CONSTRUCCION DE NUEVOS POZOS</t>
  </si>
  <si>
    <t>LAURYL TRYPTOSE BROTH, FRASCOS DE 500G</t>
  </si>
  <si>
    <t>EC. MEDIUM BROTH WITH MUG, FRASCOS DE 500G</t>
  </si>
  <si>
    <t>BILI VERDE BRILLANTE AL 2%, FRASCO DE 500G</t>
  </si>
  <si>
    <t>PLATE COUNT AGAR, 500G</t>
  </si>
  <si>
    <t>TRYPTONE SOYA AGAR, FRASCO DE 500G</t>
  </si>
  <si>
    <t>EC.MEDIUM, FRASCOS DE 500G</t>
  </si>
  <si>
    <t>GRAMOS</t>
  </si>
  <si>
    <t>SULFATO DE MERCURIO, EN POLVO, FRASCO DE 100G GRADO ANALITICO</t>
  </si>
  <si>
    <t>SULFATO DE PLATA, EN POLVO, FRASCO DE 100G, GRADO ANALITICO</t>
  </si>
  <si>
    <t>SULFATO DE SODIO (ANHIDROUS) FRASCO DE 500G</t>
  </si>
  <si>
    <t>CLOROPLATINATO DE POTASIO, FRASCO DE 5G GRADO ANALITICO</t>
  </si>
  <si>
    <t>NITRATO DE PLATA,  FRASCO DE 100G GRADO ANALITICO</t>
  </si>
  <si>
    <t>CROMATO DE POTASIO, FRASCO DE 500G GRADO ANALITICO</t>
  </si>
  <si>
    <t>ERIOCHROMO BLACK T. , FRASCO DE 25G GRADO ANALITICO</t>
  </si>
  <si>
    <t>MUREXIDA(C₈H₈N₆O₆), FRASCO DE 5G, GRADO ANALITICO</t>
  </si>
  <si>
    <t>CLORURO COBALTOSO(COCL₂6H₂O), FRASCO DE 5G GRADO ANALITICO</t>
  </si>
  <si>
    <t>DICROMATO DE POTASIO (K₂Cr₂o₇), FRASCO DE 100G GRADO ANALITICO</t>
  </si>
  <si>
    <t>ACIDO CLORHIDRICO ACS PLUS, FRASCO DE 2.5 LITROS CON UN MAXIMO DE CLORO LIBRE DE 04. PPM Y UN MAXIMO DE HIERRO - 0.1 PPM, GRADO REACTIVO</t>
  </si>
  <si>
    <t>ACIDO SULFURICO (H₂SO₄) F.W.98.08, FRASCO DE 2.5 LITROS, GRADO REACTIVO</t>
  </si>
  <si>
    <t>HIDROXIDO DE AMONIO (NH₄OH), FRASCO DE 2.5 LITROS GRADO REACTIVO</t>
  </si>
  <si>
    <t>ACIDO SULFAMIC, EN CRISTAL, FRASCO DE 100G</t>
  </si>
  <si>
    <t>SULFIDE 1, CATALOGO 1816-32, FRASCO DE 100 ML</t>
  </si>
  <si>
    <t>SULFIDE 2, CATALOGO 1817-32, FRASCO DE 100 ML</t>
  </si>
  <si>
    <t>SALICILATO DE AMMONIA, CATALOGO26532-99, PK/100</t>
  </si>
  <si>
    <t>CYANURATE DE AMONIA , CATALOGO26531-99 PK/100</t>
  </si>
  <si>
    <t>FERROVER, CATALOGO 21057-69 PK/100</t>
  </si>
  <si>
    <t>NITRIVER 3, CATALOGO 21071-69 PK/100</t>
  </si>
  <si>
    <t>NITRAVER 5, CATOLICO 21071-69 PK/100</t>
  </si>
  <si>
    <t>PHOSVER 3 PWD PLWS 10ML PK/100</t>
  </si>
  <si>
    <t>REACTIVO SPADNS PARA  FLORUROS, FRASCO DE 500 ML</t>
  </si>
  <si>
    <t>SOLUCION ESTANDAR DE CONDUCTIVIDAD 1413 µS/CM FRASCO DE 500 ML</t>
  </si>
  <si>
    <t>ALCOHOL ISOPROPILICO AL 70%</t>
  </si>
  <si>
    <t>LITROS</t>
  </si>
  <si>
    <t>ML</t>
  </si>
  <si>
    <t>PAQUETE</t>
  </si>
  <si>
    <t>PIPETAS AUTOMATICAS MONOCANAL, CALIBRADAS CON VOLUMEN DE 1-5 ML</t>
  </si>
  <si>
    <t>UNIDAD</t>
  </si>
  <si>
    <t>PIPETAS AUTOMATICAS MONOCANAL, CALIBRADAS CON VOLUMEN DE 1-10 ML</t>
  </si>
  <si>
    <t>RACK/SOPORTE 60 PUNTAS AUTOCLAVABLES, PARA PIPETAS AUTOMATICAS DE 1-5ML CON CAJA Y PUNTAS INCLUIDAS</t>
  </si>
  <si>
    <t>RACK/SOPORTES DE 60 PUNTAS AUTOCLAVABLES, PARA PIPETAS AUTOMATICAS DE 1-10ML CON CAJA Y PUNTAS INCLUIDAS</t>
  </si>
  <si>
    <t>TUBOS DURHAM 6 X 50 MM, PAQUETES DE 72 TUBOS</t>
  </si>
  <si>
    <t xml:space="preserve">TUBOS DE ENSAYO 18 X 150MM, MARCA PYREX, CON SUS TAPAS </t>
  </si>
  <si>
    <t>GRUESA</t>
  </si>
  <si>
    <t>CANASTOS DE ALUMINIO, REDONDO, TAMAÑO 10 X 6"</t>
  </si>
  <si>
    <t>GRADILLAS DE POLIPROPILENO, 60 PLAZAS, PARA TUBOS DE 18 X 150 MM</t>
  </si>
  <si>
    <t>DISPENSADOR DE LIQUIDOS, DE 10 ML, CON DIVISION DE 0.25 ML Y RESERVORIO DE UN LITRO DE CAPACIDAD</t>
  </si>
  <si>
    <t>PLACAS DE CONTACTO (PLACAS RODAC) 60 X 14 MM, PLASTICAS, ESTERILES</t>
  </si>
  <si>
    <t>BATAS DE LABORATORIO EN TELA DE POLIESTER Y ALGODÓN, COLOR BLANCO, MANGAS LARGAS, TAMAÑO SMALL (S)</t>
  </si>
  <si>
    <t>FUNDA ZIPLOC DE 16.5CMX8.2 CM CAJA DE 40</t>
  </si>
  <si>
    <t>BATAS DE LABORATORIO EN TELA DE POLIESTER Y ALGODÓN, COLOR BLANCO, MANGAS LARGAS, TAMAÑO MEDIUM  (M)</t>
  </si>
  <si>
    <t>BATAS DE LABORATORIO EN TELA DE POLIESTER Y ALGODÓN, COLOR BLANCO, MANGAS LARGAS, TAMAÑO LARGE  (L)</t>
  </si>
  <si>
    <t>BATAS DE LABORATORIO EN TELA DE POLIESTER Y ALGODÓN, COLOR BLANCO, MANGAS LARGAS, TAMAÑO EXTRA LARGE  (XL)</t>
  </si>
  <si>
    <t>GORROS DE TELA PARA HIELO, DE 9" (PULGADAS)</t>
  </si>
  <si>
    <t>TERMOS DE 2 GALONES DE CAPACIDAD, BOCA ANCHA</t>
  </si>
  <si>
    <t>TERMOS PEQUEÑOS, DE UN GALON DE CAPACIDAD, BOCA ANCHA</t>
  </si>
  <si>
    <t>NEVERITAS PLASTICAS DE 10 QTS. DE CAPACIDAD</t>
  </si>
  <si>
    <t>NON-WOVEN SHOE COVER (CUBIERTA PARA ZAPATOS), TAMAÑO REGULAR, (CAJAS DE 3 PAQUETES)</t>
  </si>
  <si>
    <t>STANDARD METHODS FOR THE EXAMINATION OF WATER &amp; WASTEWATER, 22 EDITION-2012 (METODOS ESTANDAR PARA EL EXAMEN DE AGUAS Y AGUAS RESIDUALES, 22 EDICION DEL AÑO 2012)</t>
  </si>
  <si>
    <t>FRASCO DE CRISTAL TRANSPARENTE, DE BOROCILICATO CON TAPA DE BAQUELITA DE 120 ML</t>
  </si>
  <si>
    <t>FRASCOS</t>
  </si>
  <si>
    <t xml:space="preserve">FILTRO  DE MEMBRANA CON POROS DE0.2 A 0.22 MICRAS CON DIAMETRO DE 47 MM        </t>
  </si>
  <si>
    <t>ASAS BACTERIOLOGICAS DE ACERO INOXIDAABLE, DE 3MM DE DIAMETRO</t>
  </si>
  <si>
    <t>ESCOBILLAS PARA LAVAR TUBOS DE CULTIVOS DE 18 X 150 MM, CON PROTECCION DE ALGODÓN</t>
  </si>
  <si>
    <t>GUANTES DESECHABLES, TAMAÑO SMALL (S)</t>
  </si>
  <si>
    <t>GUANTES DESECHABLES, SIN LATEX, TAMAÑO SMALL (S)</t>
  </si>
  <si>
    <t>MASCARILLAS DESECHABLES, CON AMARRE</t>
  </si>
  <si>
    <t>BRILLO VERDE CON ESPONJA</t>
  </si>
  <si>
    <t>GAS PARA NEVERAS, (LATA DE REFRIGERANTE)</t>
  </si>
  <si>
    <t>LATA</t>
  </si>
  <si>
    <t>FILTRO PARA NEVERA 25G (MEDIANO)</t>
  </si>
  <si>
    <t>GAS PROPANO, LLENADO TANQUE DE 100 LIBRAS</t>
  </si>
  <si>
    <t>PILAS DE 1.5V, TRIPE A  DE PACK/4</t>
  </si>
  <si>
    <t>PILAS DE 1.5V, DOBLE A DE PACK/4</t>
  </si>
  <si>
    <t>PAPEL DE ALUMINIO, ROLLO HEAVY DUTY, DE 12" X 500 FT</t>
  </si>
  <si>
    <t>JABON LIQUIDO PARA LAS MANOS</t>
  </si>
  <si>
    <t xml:space="preserve">GUANTES DE GOMA, TAMAÑO SMALL (S), </t>
  </si>
  <si>
    <t>GUANTES DE GOMA, TAMAÑO MEDIUM (M)</t>
  </si>
  <si>
    <t>ALARMTAERMDYGROMETER (TERMOMETRO, ALARMA Y MEDIDOR DE HUMEDAD), CON LAS SIGUIENTES ESPECIFICACIONES: HUMEDAD RELATIVA DE 20 A 80%, RESOLUCION DE 0.1% RH, RANGO DE HUMEDAD RELATIVA DE 1 A 99%; RANGO DE TEMPERATURA DE -40 A 70 0C, CON CERTIFICADO TRAZABLE AL NIST.</t>
  </si>
  <si>
    <t>TERMOMETRO PARA HORNO, RANGO DE +35 0C A +200 0C, CON SUBDIVISIONES DE 1 0C, DE 145 MM, CALIBRADO Y TRAZABLE AL NIST, CON CERTIFICADO DE CALIBRACION INCLUIDO</t>
  </si>
  <si>
    <t>TERMOMETRO PARA AUTOCLAVE, RAGO DE 850C A 135 0C, CON SUBDIVISIONES DE 1 0C, DE 200 MM, CALIBRADOS Y TRAZABLES AL NIST, CON CERTIFICADO DE CALIBRACION INCLUIDO</t>
  </si>
  <si>
    <t>TERMOMETRO FRIO-TEMP, ENVIO-SAFE, PARA INCUBADORA CON RANGO DE 15 0C A 50 OC, CON DIVISION DE 0.5 0C, DE 5.3" (135 MM), CON CERTIFICADO DE CALIBRACION ISO 17025 INCLUIDO</t>
  </si>
  <si>
    <t>TERMOMETRO PATRON O DE REFERENCIA, DIGITAL, DE -10 A 250 0C, CON PRECISION DE 0.01, CON SONDA Y CERTIFICADO DE CALIBRACION INCLUIDOS</t>
  </si>
  <si>
    <t>TERMOMETRO DIGITAL, CON SONDA DE TEMPERATURA, RANGO DE -40 A 70 0C, CON CALIBRACION ISO 17025 Y CERTIFICADO DE CALIBRACION AL NIST.</t>
  </si>
  <si>
    <t>RESISTENCIA ELECTRICA DE INMERSION VYCOR, DE 240V-2500W, MODELO A 440367 (PARA DESTILADOR MEGA-PURE, 3A, WATER STEEL)</t>
  </si>
  <si>
    <t>GABINETE PARA ALMACENAJE DE LIQUIDOS INFLAMABLES, DE 4 GALONES DE CAPACIDAD.  DIMENSIONES: 18" X 17 1/2" X 22 1/4" (46 X 45 X 57 CMS)</t>
  </si>
  <si>
    <t>BLOCK CALENTADOR, DIGITAL, DE 120 V, CON DIMENSIONES DE 31.5 DE LARGO X 20.3 DE DIAMETRO X 8.9 DE ALTURA</t>
  </si>
  <si>
    <t>STAN DE 3 POSICIONES PARA PIPETAS AUTOMATICAS MONOCANAL</t>
  </si>
  <si>
    <t>BLOCK DE CALEFACCION MODULAR, ESTANDAR, DE 16 ORIFICIOS DE 13.0 MM</t>
  </si>
  <si>
    <t>AUTOCLAVE AUTOMATICO DE MESA, DE 50 LITROS DE CAPACIDAD, DE 220 V, MONOFASICO</t>
  </si>
  <si>
    <t>LAVADOR/ENJUAGADOR DE PIPETAS NALGENE (PIPET WASHERS/RINSERS), CON DIMENSIONES DE 16" L (41 CMS).</t>
  </si>
  <si>
    <t>REFRIGERADOR INCUBADORA PARA DBO, CON CAPACIDAD DE 20 PIES CUBICOS, CON CONTROL MICROPROCESADOR DE TEMPERATURA, RANGO DE TEMPERATURA DE -10 0C A +50 0C; UNIFORMIDAD DE +0.5 0C A 20 0C; VOLTAJE DE 115V, 60 Hz, 7.0 A.  DIMENSIONES INTERIOR: D X W X H 50.8 x 67.3 x 144.8 CMS.  DIMENSION EXTERIOR: L X W X H 82 x 92 x 191 CMS.</t>
  </si>
  <si>
    <t>FILTROS HEPA,, DE 3 PIES, PARA USO EN LA CAMPANA DE FLUJO LAMINAR MODELO 36000, # DE PARTE 1489000</t>
  </si>
  <si>
    <t>PREFILTROS HEPA, DE 3 PIES, PARA USO EN LA CAMPANA DE FLUJO LAMINAR MODELO 36000, # DE PARTE 3768900</t>
  </si>
  <si>
    <t>SONDA DE PH - HQ-40d, MODELO PHC 301-01, CON CERTIFICADO DE CALIBRACION INCLUIDO</t>
  </si>
  <si>
    <t>SONDA DE CONDUCTIVIDAD HQ40D, MODELO CDC 401-01, CON CERTIFICADO DE CALIBRACION ÑINCLUIDO</t>
  </si>
  <si>
    <t>LLAVE DEFREGADERO, ALTA</t>
  </si>
  <si>
    <t>BOILER (CALDERA) PIEZA PARA DESTILADOR DE CRISTAL MEGA-PURE 3A, PARTE #401204 (ITEM P)</t>
  </si>
  <si>
    <t>LLAVE DE PASO DE DRENAJE, PIEZA PARA EL DESTILADOR DE CRISTALMEGA-PURE 3A, PARTE #410038 (ITEM K)</t>
  </si>
  <si>
    <t>ABRAZADERA, PIEZA PARA EL DESTILADOR DE CRISTAL MEGA-PURE 3A, PARTE #410141 (ITEM D)</t>
  </si>
  <si>
    <t>HI-TEMP CUT OFF SWICTH (INTERRUPTOR), PIEZA PARA EL DESTILADOR DE CRISTAL MEGA-PURE 3A, PARTE #410131</t>
  </si>
  <si>
    <t>FUSIBLE 12A-250V ABC, PIEZA PARA EL DESTILADOR DE CRISTAL MEGA-PURE, PARTE #FZX4</t>
  </si>
  <si>
    <t>TURBIDIMETRO 2100Q, PORTABLE, CON RANGO DE 0-1000 NTU Y RESOLUCION 0.01</t>
  </si>
  <si>
    <t>ALARM TIMER (TEMPORIZADOR DE ALARMA), PROGRAMABLE, VOLUMEN DE ALARMA AJUSTABLE, CON LUZ DE LED INTERMITENTE, DIGITOS DE ALERTA GRANDES, CON CALIBRACION ISO 17025, CON CERTIFICADO DE CALIBRACION INCLUIDO</t>
  </si>
  <si>
    <t>INCUBADORA CON CHAQUETA DE AGUA, DIGITAL, DE 120V, DIMENSIONES INTERIOR: 21.3"W X 26.8"H X 20.0" F-B; DIMENSION EXTERIOR: 26.3"W X 39.5"H X 25.0" F-B, CON CAPACIDAD DE 6.60 PIES CUBICOS</t>
  </si>
  <si>
    <t>BALANZA DIGITAL, DE MESA, CON SONDA Y COMPENSACION AUTOMATICA DE TEMPERATURA, QUE MIDA EL % DE SALINIDAD Y SOLIDOS TOTALES DISUELTOS, DE 115 V, CON CERTIFICADO DE CALIBRACION INCLUIDO</t>
  </si>
  <si>
    <t>PHMETRO DIGITAL, DE MESA, CON ELECTRODO Y COMEPENSACION AUTOMATICA DE TEMPERATURA, DE 115V CON CERTIFICADO DE CALIBRACION INCLUIDO</t>
  </si>
  <si>
    <t>SONDA DE OXIGENO DISUELTO, LUMINISCENT-HQ40D LDO101-01, CON CERTIFICADO DE CALIBRACION INCLUIDO</t>
  </si>
  <si>
    <t>ARMARIO DE METAL DE DOS PUERTAS</t>
  </si>
  <si>
    <t>SOPORTE PARA ELECTRODOS, CON BRAZOS DE MULTIPLES POSICIONES</t>
  </si>
  <si>
    <t>ABLANDADOR DE AGUA CON CAPACIDAD DE 07-10 GPH, VALVULA DE ENTRADA TY SALIDA DE 1.0", TIPO DE VALVULAS 5600-a; VOLUMEN DE RESINA 1.0 PIES CUBICO, DENSIDAD DE LA RESINA 51 LIBS/PIES CUBICOS; DIMENSIONES 9" X 48", ESTRUCTURA FIBERGLASS CALIDAD UNO (1)</t>
  </si>
  <si>
    <t>AMPOLLAS BIOINDICADORAS, PARA EL CONTROL DE ESTERILIZACION DEL AUTOCLAVE, CAJA DE 15 AMPOLLAS</t>
  </si>
  <si>
    <t>DISCO MICROFIBRA GLASS, GRADO (MGA), DIAMETRO DE 47 MM, CAJA DE 100 UNIDADES</t>
  </si>
  <si>
    <t>TIRILLAS INDICADORAS PARA ESTERILIZACION BIOLOGICA EN SECO, TAMAÑO ESTANDAR 6 X 30 MM, PAQUETE DE 100</t>
  </si>
  <si>
    <t>CINTA INDICADORA PARA AUTOCLAVE</t>
  </si>
  <si>
    <t xml:space="preserve">CALIBRACION DE EQUIPOS </t>
  </si>
  <si>
    <t>MANTENIMIENTO DE EQUIPOS</t>
  </si>
  <si>
    <t>REPARACION DE EQUIPOS</t>
  </si>
  <si>
    <t xml:space="preserve">MARCADORES PUNTA FINA </t>
  </si>
  <si>
    <t>ALICATE PARA ELECTRICISTA</t>
  </si>
  <si>
    <t>CINCEL PLANO</t>
  </si>
  <si>
    <t>MACETA DE 8 LBS</t>
  </si>
  <si>
    <t>MACETA DE 3 LBS</t>
  </si>
  <si>
    <t>MACETA DE 2 LBS</t>
  </si>
  <si>
    <t>MACETA DE 5 LBS</t>
  </si>
  <si>
    <t>MARTILLO DE BOLA 1 LIBRA</t>
  </si>
  <si>
    <t>MARTILLO DE BOLA 2 LIBRA</t>
  </si>
  <si>
    <t>MARTILLO DE BOLA 3 LIBRA</t>
  </si>
  <si>
    <t>MARTILLO DE BOLA 4 LIBRA</t>
  </si>
  <si>
    <t>SERRUCHO DE 15"</t>
  </si>
  <si>
    <t>DESTORNILLADOR PLANO</t>
  </si>
  <si>
    <t>DESTORNILLADOR ESTRIA</t>
  </si>
  <si>
    <t>JUEGO</t>
  </si>
  <si>
    <t>LLAVE AJUSTABLE DE 8"</t>
  </si>
  <si>
    <t>LLAVE AJUSTABLE DE 10"</t>
  </si>
  <si>
    <t>LLAVE AJUSTABLE DE 12"</t>
  </si>
  <si>
    <t>LLAVE STILSON DE 8</t>
  </si>
  <si>
    <t>LLAVE STILSON DE 12</t>
  </si>
  <si>
    <t>LLAVE STILSON DE 36</t>
  </si>
  <si>
    <t>LLAVE ALLEN</t>
  </si>
  <si>
    <t>CUBOS MILIMETRICOS</t>
  </si>
  <si>
    <t>CUBO UNIVERSAL</t>
  </si>
  <si>
    <t>LLAVE ESPAÑOLA COMBINADA A PULGADAS</t>
  </si>
  <si>
    <t>LLAVE ESPAÑOLA COMBINADA A MILIMETRICOS</t>
  </si>
  <si>
    <t>LLAVE CADENA 14</t>
  </si>
  <si>
    <t>LLAVE CADENA 18</t>
  </si>
  <si>
    <t>LLAVE CADENA 26</t>
  </si>
  <si>
    <t>LLAVE CADENA 36</t>
  </si>
  <si>
    <t>NIVEL DE MENISCO</t>
  </si>
  <si>
    <t>HACHA CON SU PALO</t>
  </si>
  <si>
    <t>COA</t>
  </si>
  <si>
    <t>CINTA METRICA DE 5"</t>
  </si>
  <si>
    <t>CLAMPS DE 6" A 1" HF</t>
  </si>
  <si>
    <t>CLAMPS DE 6" A 2" HF</t>
  </si>
  <si>
    <t>CLAMPS DE 6" A 3" HF</t>
  </si>
  <si>
    <t>CLAMPS DE 6" A 4" HF</t>
  </si>
  <si>
    <t>CLAMPS DE 8" A 1" HF</t>
  </si>
  <si>
    <t>CLAMPS DE 8" A 2" HF</t>
  </si>
  <si>
    <t>CLAMPS DE 8" A 3" HF</t>
  </si>
  <si>
    <t>CLAMPS DE 8" A 4" HF</t>
  </si>
  <si>
    <t>CLAMPS DE 12" A 1/2" HF</t>
  </si>
  <si>
    <t>CLAMPS DE 12" A 3/4" HF</t>
  </si>
  <si>
    <t>CLAMPS DE 12" A 1" HF</t>
  </si>
  <si>
    <t>CLAMPS DE 12" A 2" HF</t>
  </si>
  <si>
    <t>CLAMPS DE 12" A 3" HF</t>
  </si>
  <si>
    <t>CLAMPS DE 12" A 4" HF</t>
  </si>
  <si>
    <t>CLAMPS DE 16" A 3" HF</t>
  </si>
  <si>
    <t>CLAMPS DE 16" A 4" HF</t>
  </si>
  <si>
    <t>CLAMPS DE 16" A 6" HF</t>
  </si>
  <si>
    <t>CLAMPS DE 20" A 3" HF</t>
  </si>
  <si>
    <t>CLAMPS DE 20" A 4" HF</t>
  </si>
  <si>
    <t>CLAMPS DE Ø1/2" HF,  CIEGO</t>
  </si>
  <si>
    <t>CLAMPS DE Ø3/4" HF,  CIEGO</t>
  </si>
  <si>
    <t>CLAMPS DE Ø1" HF,  CIEGO</t>
  </si>
  <si>
    <t>CLAMPS DE Ø2" HF,  CIEGO</t>
  </si>
  <si>
    <t>CLAMPS DE Ø3" HF,  CIEGO</t>
  </si>
  <si>
    <t>CLAMPS DE Ø4" HF,  CIEGO</t>
  </si>
  <si>
    <t>CLAMPS DE Ø6" HF,  CIEGO</t>
  </si>
  <si>
    <t>CLAMPS DE Ø8" HF,  CIEGO</t>
  </si>
  <si>
    <t>CLAMPS DE Ø10" HF,  CIEGO</t>
  </si>
  <si>
    <t>CLAMPS DE Ø12" HF,  CIEGO</t>
  </si>
  <si>
    <t>CLAMPS DE Ø16" HF,  CIEGO</t>
  </si>
  <si>
    <t>CLAMPS DE Ø20" HF,  CIEGO</t>
  </si>
  <si>
    <t>JUNTAS REDUCTURAS A ASBESTO CEMENTO TIPO B, Ø20"</t>
  </si>
  <si>
    <t>JUNTAS REDUCTURAS A ASBESTO CEMENTO TIPO C, Ø20"</t>
  </si>
  <si>
    <t>TUBERIA DE HG L=20´ Ø4"</t>
  </si>
  <si>
    <t>TUBERIA DE HG L=20´ Ø3"</t>
  </si>
  <si>
    <t>APARTARRAYOS DE 3KV</t>
  </si>
  <si>
    <t xml:space="preserve">COLUMNAS DE 4" X 10' HG </t>
  </si>
  <si>
    <t>COLUMNAS DE 10" X 10' ACERO CON COUPLING</t>
  </si>
  <si>
    <t>Eje de acero inoxidable, Ø1"x10', roscado en ambos extremos, con sus couplings</t>
  </si>
  <si>
    <t>Eje de acero inoxidable, Ø1-¼"x10', roscado en ambos extremos, con sus couplings</t>
  </si>
  <si>
    <t>Eje de acero inoxidable, Ø1-3/16"x10', roscado en ambos extremos, con sus couplings</t>
  </si>
  <si>
    <t>Eje de acero inoxidable, Ø1-½"x10', roscado en ambos extremos, con sus couplings</t>
  </si>
  <si>
    <t>Eje de acero inoxidable, Ø1-11/16"x10', roscado en ambos extremos, con sus couplings</t>
  </si>
  <si>
    <t>Eje de acero inoxidable, Ø1-¾"x10', roscado en ambos extremos, con sus couplings</t>
  </si>
  <si>
    <t>Eje de acero inoxidable, Ø2-11/16"x5', tuerca de ajuste y coñero, con couplings</t>
  </si>
  <si>
    <t>Arrancador suave (Soft Starter), 300HP, 460V</t>
  </si>
  <si>
    <t>Arrancador suave (Soft Starter), 200HP, 460V</t>
  </si>
  <si>
    <t>Arrancador suave (Soft Starter), 150HP, 460V</t>
  </si>
  <si>
    <t>ELECTROBOMBA HORIZONTAL 1.5HP, 1Ø, 115/230V, 3500 RPM</t>
  </si>
  <si>
    <t>ELECTROBOMBA HORIZONTAL 2.0HP, 1Ø, 115/230V, 3500 RPM</t>
  </si>
  <si>
    <t>ELECTROBOMBA HORIZONTAL 3.0HP, 1Ø, 115/230V, 3500 RPM</t>
  </si>
  <si>
    <t>ELECTROBOMBAS SUMERGIBLE, 1.00HP, 230V, 1Ø, 60HZ, CON SU CAJA DE CONTROL, 3500 RPM</t>
  </si>
  <si>
    <t>ELECTROBOMBA SUMERGIBLE 5HP, 1Ø, 115/230V, 3500 RPM, CON SU CAJA DE CONTROL, 3500 RPM</t>
  </si>
  <si>
    <t xml:space="preserve">BARRAS ROSCADAS 1/2 </t>
  </si>
  <si>
    <t>BARRAS ROSCADAS 3/4</t>
  </si>
  <si>
    <t>BOMBA DE ACHIQUE Ø2" CON SUS ACCESORIOS</t>
  </si>
  <si>
    <t>BOMBA DE ACHIQUE Ø4" CON SUS ACCESORIOS</t>
  </si>
  <si>
    <t>BOMBA DE ACHIQUE Ø6" CON SUS ACCESORIOS</t>
  </si>
  <si>
    <t>REPARACION BOMBA VERTICAL Ø20"</t>
  </si>
  <si>
    <t>REPARACION MOTOR VERTICAL 800HP</t>
  </si>
  <si>
    <t>REPARACION BOMBA VERTICAL Ø18"</t>
  </si>
  <si>
    <t>REPARACION MOTOR VERTICAL 500HP</t>
  </si>
  <si>
    <t>REPARACION BOMBA VERTICAL Ø12"</t>
  </si>
  <si>
    <t>REPARACION BOMBA VERTICAL Ø10"</t>
  </si>
  <si>
    <t>REPARACION BOMBA VERTICAL Ø8"</t>
  </si>
  <si>
    <t>REPARACION BOMBA VERTICAL Ø6"</t>
  </si>
  <si>
    <t>REPARACION BOMBA VERTICAL Ø4"</t>
  </si>
  <si>
    <t>REPARACION BOMBAS HORIZONTALES</t>
  </si>
  <si>
    <t>REPARACION BOMBAS HORIZONTALES PARA CLORO</t>
  </si>
  <si>
    <t>REPARACION MOTOR VERTICAL 400HP</t>
  </si>
  <si>
    <t>REPARACION MOTOR VERTICAL 350HP</t>
  </si>
  <si>
    <t>REPARACION MOTOR VERTICAL 300HP</t>
  </si>
  <si>
    <t>REPARACION MOTOR VERTICAL 250HP</t>
  </si>
  <si>
    <t>REPARACION MOTOR VERTICAL 200HP</t>
  </si>
  <si>
    <t>REPARACION MOTOR VERTICAL 150HP</t>
  </si>
  <si>
    <t>REPARACION MOTOR VERTICAL 125HP</t>
  </si>
  <si>
    <t>REPARACION MOTOR VERTICAL 100HP</t>
  </si>
  <si>
    <t>REPARACION MOTOR VERTICAL 75HP</t>
  </si>
  <si>
    <t>REPARACION MOTOR VERTICAL 60HP</t>
  </si>
  <si>
    <t>REPARACION MOTOR VERTICAL 50HP</t>
  </si>
  <si>
    <t>REPARACION MOTOR VERTICAL 40HP</t>
  </si>
  <si>
    <t>REPARACION MOTOR VERTICAL 30HP</t>
  </si>
  <si>
    <t>REPARACION MOTOR VERTICAL 25HP</t>
  </si>
  <si>
    <t>REPARACION MOTOR VERTICAL 20HP</t>
  </si>
  <si>
    <t>REPARACION MOTOR VERTICAL 15HP</t>
  </si>
  <si>
    <t>REPARACION MOTOR VERTICAL 10HP</t>
  </si>
  <si>
    <t>REPARACION DE TRANSFORMADORES</t>
  </si>
  <si>
    <t>MASCARAS PARA SOLDAR</t>
  </si>
  <si>
    <t>UNIFORMES OVERALL</t>
  </si>
  <si>
    <t>CAMISAS</t>
  </si>
  <si>
    <t>BOTAS DE GOMA No. 41-43</t>
  </si>
  <si>
    <t>BOTAS DE GOMA No. 44-48</t>
  </si>
  <si>
    <t>CAPAS DE AGUA</t>
  </si>
  <si>
    <t>DETECTORES DE METAL</t>
  </si>
  <si>
    <t>DETECTORES DE FUGA</t>
  </si>
  <si>
    <t>CORRELADOR ULTRASONICO ACUSTICO</t>
  </si>
  <si>
    <t>MEDIDORES DE CAUDALES ELECTRONICO</t>
  </si>
  <si>
    <t xml:space="preserve">PINTURA ACRILICA AZUL TURQUEZA </t>
  </si>
  <si>
    <t xml:space="preserve">PINTURA ACRILICA  BLANCO 00 </t>
  </si>
  <si>
    <t>PLAN ANUAL DE COMPRAS Y CONTRATACIONES AÑO 2016</t>
  </si>
  <si>
    <t>SERVICIO DE USO DE EQUIPOS DE COMPAÑÍA PUBLICITARIA, CAMARA DE VIDEO, TRIPODE, GRABACION, EDICION, COLOCACION DE VOZ EN OFF, ENTRE OTROS</t>
  </si>
  <si>
    <t>CAMPAÑA PUBLICITARIA EN NOTICIERO Y PROGRAMAS</t>
  </si>
  <si>
    <t>ALQUILER DE MOTORES PROPIEDAD DE MENSAJEROS EXTERNOS.</t>
  </si>
  <si>
    <t>Reparaciones y Mantenimiento</t>
  </si>
  <si>
    <t>Combustible</t>
  </si>
  <si>
    <t>LLAVE AJUSTABLE DE 18"</t>
  </si>
  <si>
    <t>1510 - Combustibles</t>
  </si>
  <si>
    <t>GASOLINA REGULAR</t>
  </si>
  <si>
    <t>GASOIL REGULAR</t>
  </si>
  <si>
    <t>Total</t>
  </si>
  <si>
    <t>Publicidad y Medios impresos</t>
  </si>
  <si>
    <t>Productos de Papel, Carton e impresos</t>
  </si>
  <si>
    <t>Gasolina</t>
  </si>
  <si>
    <t>Gasoil</t>
  </si>
  <si>
    <t>Gas GLP</t>
  </si>
  <si>
    <t>Lubricantes</t>
  </si>
  <si>
    <t>Combustibles y Quimicos</t>
  </si>
  <si>
    <t>Materiales de Limpieza</t>
  </si>
  <si>
    <t>Utiles de cocina</t>
  </si>
  <si>
    <t>Productos electricos</t>
  </si>
  <si>
    <t>Otros repuestos y accesorio menores</t>
  </si>
  <si>
    <t>Productos y utiles varios</t>
  </si>
  <si>
    <t>Productos y utilis varios</t>
  </si>
  <si>
    <t>Mobiliario</t>
  </si>
  <si>
    <t>Muebles de oficina</t>
  </si>
  <si>
    <t>Equipos de Computos</t>
  </si>
  <si>
    <t>Electrodomesticos</t>
  </si>
  <si>
    <t>Vehiculos y equipos de transporte</t>
  </si>
  <si>
    <t>Sistemas de Aires acondiconado, calefaccion y refrigeracion</t>
  </si>
  <si>
    <t>equipo de comunicación, telecomunicaciones</t>
  </si>
  <si>
    <t>Equipo de generacion electrica</t>
  </si>
  <si>
    <t xml:space="preserve">Maquinarias, equipos y herramientas </t>
  </si>
  <si>
    <t>Herramientas</t>
  </si>
  <si>
    <t>Bienes Intangibles</t>
  </si>
  <si>
    <t>Programas de informaticas</t>
  </si>
  <si>
    <t>licencias</t>
  </si>
  <si>
    <t>Otras Gratificaciones/ Bonos</t>
  </si>
  <si>
    <t>Otras Gratificaciones/Bonos</t>
  </si>
  <si>
    <t>Utiles de escritorio</t>
  </si>
  <si>
    <t>Químicos</t>
  </si>
  <si>
    <t>CARRITO DESLIZANTE ºPARA TRASLADAR TANQUE OXIGENO</t>
  </si>
  <si>
    <t>Monto Total PACC 2016</t>
  </si>
  <si>
    <t>Rubros que se pueden cargar a SNIP</t>
  </si>
  <si>
    <t>Total Rubros que se pueden cargar al SNIP</t>
  </si>
  <si>
    <t>Monto Anual</t>
  </si>
  <si>
    <t>Monto Mensual</t>
  </si>
  <si>
    <t>Equipo de comunicación, telecomunicaciones</t>
  </si>
  <si>
    <t>Deferencia (Lo que sería cargos de Gastos Corrientes por año)</t>
  </si>
  <si>
    <t>Montos por rubro según el PACC</t>
  </si>
  <si>
    <t>ALIMENTOS/REFRIGERIO</t>
  </si>
  <si>
    <t>ALQUILERES/DECORACION</t>
  </si>
  <si>
    <t>MONTAJES/INAUGURACION</t>
  </si>
  <si>
    <t>BARRAS ROSCADAS 5/8</t>
  </si>
  <si>
    <t>TUERCA DE 5/8</t>
  </si>
  <si>
    <t>TUERCA DE 1/2</t>
  </si>
  <si>
    <t>TUERCA DE 3/8</t>
  </si>
  <si>
    <t>TORNILLO 1/2x2 1/2</t>
  </si>
  <si>
    <t>TORNILLO 5/8x 2 1/2</t>
  </si>
  <si>
    <t>PENETRANTE WD40</t>
  </si>
  <si>
    <t>DISCO DE CORTE PEQUEÑO</t>
  </si>
  <si>
    <t>DISCO DE CORTE GRANDE</t>
  </si>
  <si>
    <t>CORONA DE ALAMBRE PARA PULIDORA</t>
  </si>
  <si>
    <t>BROCHAS No. 2</t>
  </si>
  <si>
    <t>THINNER</t>
  </si>
  <si>
    <t>ADAPTADORES HEMBRA 3/4 PVC</t>
  </si>
  <si>
    <t>OXIDO ROJO</t>
  </si>
  <si>
    <t>JUNTA DE CERA</t>
  </si>
  <si>
    <t>TEFLON</t>
  </si>
  <si>
    <t>SILICON</t>
  </si>
  <si>
    <t>INSTITUTO NACIONAL DE AGUAS POTABLES Y ALCANTARILLADOS</t>
  </si>
  <si>
    <t>INAPA</t>
  </si>
  <si>
    <t>Anual</t>
  </si>
  <si>
    <t>Mensual</t>
  </si>
  <si>
    <t>Plan Anual de Compras y Contrataciones INAPA 2016 (PACC)</t>
  </si>
  <si>
    <t>Preliminar- Solicitado General</t>
  </si>
  <si>
    <t>** Año De la Superación del Analfabetismo**</t>
  </si>
  <si>
    <t>Obras (Levantamiento Top. Y Pozo)</t>
  </si>
  <si>
    <t xml:space="preserve"> Presupuesto Aprobado 2016</t>
  </si>
  <si>
    <t xml:space="preserve">Solicitado de Asignación Presupuestaria </t>
  </si>
  <si>
    <t>Solicitado</t>
  </si>
  <si>
    <t>Aprobado</t>
  </si>
  <si>
    <t>Recaudaciones</t>
  </si>
  <si>
    <t>FONDO GENERAL</t>
  </si>
  <si>
    <t>Energía Eléctrica</t>
  </si>
  <si>
    <t>Nómina de Personal</t>
  </si>
  <si>
    <t>Tesorería dela Seguridad Social</t>
  </si>
  <si>
    <t>INGRESOS Y GASTOS  FIJOS SEGÚN REGISTROS CONTABLES</t>
  </si>
  <si>
    <t>Ingresos Internos por Recaudaciones</t>
  </si>
  <si>
    <t>Asignación Presupuestaria para Nómina</t>
  </si>
  <si>
    <t>Gastos en Personal</t>
  </si>
  <si>
    <t>Gastos en Evaluaciones Técnicas</t>
  </si>
  <si>
    <t>Alquiler de Equipo de Transporte (camiones de agua y camionetas)</t>
  </si>
  <si>
    <t>Reparación y mantenimiento de maquinarias y equipos (equipos de bombeo)</t>
  </si>
  <si>
    <t>Productos Químicos</t>
  </si>
  <si>
    <t>Combustibles y Lubricantes</t>
  </si>
  <si>
    <t>Suministro (Compra de materiales, tuberias y piezas especiales)</t>
  </si>
  <si>
    <t>Fondos para mantenimiento operacional</t>
  </si>
  <si>
    <t>Otros Gastos Administrativos y Comerciales</t>
  </si>
  <si>
    <t>Gastos Fijos Operacionales</t>
  </si>
  <si>
    <t>Ingresos</t>
  </si>
  <si>
    <t>TOTAL GENERAL DE INGRESOS</t>
  </si>
  <si>
    <t>TOTAL GENERAL DE GASTOS</t>
  </si>
  <si>
    <t>DEFICIT</t>
  </si>
  <si>
    <t>POLIMERO NO IONICO EN TANQUES DE 200KGS</t>
  </si>
  <si>
    <t>2410 - Maquinaria y equipo para manejo de materiales</t>
  </si>
  <si>
    <t>SERVICIO DE GRUA Y TRANSPORTE</t>
  </si>
  <si>
    <t>HORAS</t>
  </si>
  <si>
    <t>RODAJE DE EQUIPOS</t>
  </si>
  <si>
    <t>KMS</t>
  </si>
  <si>
    <t>CAMIONETA DIESEL DOBLE CABINA MECANICA MODELO 2016</t>
  </si>
  <si>
    <t>CAMION CISTERNA</t>
  </si>
  <si>
    <t>CAMION CAMA LARGA</t>
  </si>
  <si>
    <t>CAMION CAMA CORTA</t>
  </si>
  <si>
    <t>CAMION GRUA 20 TN</t>
  </si>
  <si>
    <t>CAMION GRUA CON CAMA 12 TN</t>
  </si>
  <si>
    <t>SCANER PARA AUTOMOVIL JAPONES Y AMERICANO</t>
  </si>
  <si>
    <t>GOMAS 245/70 /R16</t>
  </si>
  <si>
    <t>GOMAS 6.50 X10</t>
  </si>
  <si>
    <t>GOMAS 7.50 X 12</t>
  </si>
  <si>
    <t>SOPORTE PARA BATERIAS (GANCHOS)</t>
  </si>
  <si>
    <t>LICENCIAS DE ANTIVIRUS</t>
  </si>
  <si>
    <t>LICENCIA DE AUTO CAD 2015</t>
  </si>
  <si>
    <t>CIVIL 3D</t>
  </si>
  <si>
    <t>SEWER GEMS</t>
  </si>
  <si>
    <t>CYPE CAD</t>
  </si>
  <si>
    <t>WATER GEMS</t>
  </si>
  <si>
    <t>LICENCIAS MICROSOFT</t>
  </si>
  <si>
    <t>TONER WORDCENTRE XEROX</t>
  </si>
  <si>
    <t>TONER XEROX</t>
  </si>
  <si>
    <t>MANITAS LIMPIAS</t>
  </si>
  <si>
    <t>Dispensador de manitas limpias</t>
  </si>
  <si>
    <t>DETERGENTE EN POLVO</t>
  </si>
  <si>
    <t>SACOS</t>
  </si>
  <si>
    <t>FUNDA DE BASURA PARA SAFACON</t>
  </si>
  <si>
    <t>FUNDA DE BASURA DE 55 GRANDES</t>
  </si>
  <si>
    <t>IMPRESIÓN DE FACTURAS COMERCIALES</t>
  </si>
  <si>
    <t>REMOSAMIENTO DE SEGUNDO NIVEL DEL EDIFICIO ING. MARCO RODRIGUEZ</t>
  </si>
  <si>
    <t>FIESTA NAVIDEÑA</t>
  </si>
  <si>
    <t>DATACENTER/ DIGITALIZACIOn</t>
  </si>
  <si>
    <t>CILINDRO DE TONER XEROX</t>
  </si>
  <si>
    <t>BATERIA 25/12</t>
  </si>
  <si>
    <t>MICRONDAS 950W</t>
  </si>
  <si>
    <t>PINTURA ACRILICA  AZUL POSITI1VO</t>
  </si>
  <si>
    <t>PINTURA ACRILICA  MARFIL</t>
  </si>
  <si>
    <t>PLAYWOOD 4X8X3</t>
  </si>
  <si>
    <t>TORNILLO 2X8</t>
  </si>
  <si>
    <t>TORNILLO 2</t>
  </si>
  <si>
    <t>TARUGO AZULES</t>
  </si>
  <si>
    <t>GALONES DE COLA</t>
  </si>
  <si>
    <t>CEMENTO DE CONTACTO</t>
  </si>
  <si>
    <t>PLANCHA DE CHAPILLA EN CAOBA</t>
  </si>
  <si>
    <t>TORNILLO 3X14</t>
  </si>
  <si>
    <t>PINTURA COLOR LADRILLO</t>
  </si>
  <si>
    <t>TORNILLO 2X10</t>
  </si>
  <si>
    <t>BANDEJA DE PINTURA PLASTICA</t>
  </si>
  <si>
    <t>SISTEMA DE INSTALACION DE PARARAYOS</t>
  </si>
  <si>
    <t>SERV.</t>
  </si>
  <si>
    <t>JUNTAS REDUCTURAS TIPO COBRAS, Ø16"</t>
  </si>
  <si>
    <t>CABEZAL DE IMPRESION HP72 GRAY</t>
  </si>
  <si>
    <t>CABEZAL DE IMPRESION HP72 MAGENTA</t>
  </si>
  <si>
    <t>CABEZAL DE IMPRESION HP72 MATTE BLACK</t>
  </si>
  <si>
    <t>CARTUCHO HP 72 BLACK</t>
  </si>
  <si>
    <t>CARTUCHO HP 72 GREY</t>
  </si>
  <si>
    <t>CARTUCHO HP MAGENTA</t>
  </si>
  <si>
    <t>MOTORES ELECTRICOS SUMERGIBLES DE 40P TRIFASICO</t>
  </si>
  <si>
    <t>MOTORES ELECTRICOS SUMERGIBLES 30HP TRIFASICO</t>
  </si>
  <si>
    <t>ALAMBRE SUMERGIBLE 6/4</t>
  </si>
  <si>
    <t>CONTACTORES MAGNÉTICOS, 220 VOLTIOS, 300 AMP</t>
  </si>
  <si>
    <t>REALY TERMICO 135 AMP</t>
  </si>
  <si>
    <t>DISPENSADOR DE CLORO</t>
  </si>
  <si>
    <t>PISCINA WATERWAY</t>
  </si>
  <si>
    <t>RESISTENCIA ELECTRICA PARA DESTILADOR DE AGUA CAP. 2G</t>
  </si>
  <si>
    <t>JUNTA AUTOCLAVE MARKETFORGETH</t>
  </si>
  <si>
    <t>FRASCO DE CRISTAL TRANSPARENTE DE BOROSILICATO 120ML</t>
  </si>
  <si>
    <t>TUBO 6X50</t>
  </si>
  <si>
    <t xml:space="preserve">ASAS BACTERIOLOGIC DE ACERO INOXIDABLE </t>
  </si>
  <si>
    <t>GRABILLAS DE POLIPROPIRENO 60 PLAZAS</t>
  </si>
  <si>
    <t>JABON LIQUIDO SIN FOSFATO</t>
  </si>
  <si>
    <t>DISCO GRADO</t>
  </si>
  <si>
    <t>FARDO</t>
  </si>
  <si>
    <t>ELECTRO BOMBA SUMERGIBLE DE 15HP, 230V, 60HZ, 1</t>
  </si>
  <si>
    <t>ALAMBRE DE VINIL NO. 14/2</t>
  </si>
  <si>
    <t>DECORACION NAVIDEÑA</t>
  </si>
  <si>
    <t>CODIGO  ETICO INSTITUCIONAL</t>
  </si>
  <si>
    <t>IMPRESIÓN DE SEÑALIZACIONES (MISIO, VISION, VALORES)</t>
  </si>
  <si>
    <t>LAMPARA TIPO COBRA 250W, 220V</t>
  </si>
  <si>
    <t>LAMPARA TIPO COBRA 120V</t>
  </si>
  <si>
    <t>LAMPARA TIPO COBRA 175V, 220W</t>
  </si>
  <si>
    <t>LAMPARA TIPO SECADOR 175W, 110V</t>
  </si>
  <si>
    <t>LAMPARA TIPO SECADOR 250W, 220V</t>
  </si>
  <si>
    <t>LAMPARA FLUORESCENTES TIPO SECADOR DEE 48, 32WATTS</t>
  </si>
  <si>
    <t>ALAMBRE THW 350 MCM</t>
  </si>
  <si>
    <t>ALAMBRE ELECTRICO NO. 10</t>
  </si>
  <si>
    <t>ALAMBRE DE COBRE NO. 2 7 HILOS</t>
  </si>
  <si>
    <t>ALAMBRE SUMERGIBLE 10/3</t>
  </si>
  <si>
    <t>ALAMBRE SUMERGIBLE 10/4</t>
  </si>
  <si>
    <t>ALAMBRE TRIPLE 2/0 CON TRES HILOS AISLADOS A 600V</t>
  </si>
  <si>
    <t>ALAMBRE SUMERGIBLE 4/4</t>
  </si>
  <si>
    <t>ALAMBRE MULTIFIBRA 2/0</t>
  </si>
  <si>
    <t>ALAMBRE VINIL 3/10</t>
  </si>
  <si>
    <t>CHECK VERTICAL ROSCADO Ø4</t>
  </si>
  <si>
    <t>CHECK HORIZONTAL Ø4, 125 PSI PLATILLADO</t>
  </si>
  <si>
    <t>CHECK HORIZONTAL Ø6, PLATILLADO CON 16 TORNILLOS Y JUNTAS DE GOMAS</t>
  </si>
  <si>
    <t>CHECK HORIZONTAL Ø6, PLATILLADO CON JUNTA DE GOMA 8 AGUJEROS</t>
  </si>
  <si>
    <t>CHECK HORIZONTAL HF Ø6, PLATILLADO P125 PSI</t>
  </si>
  <si>
    <t>CHECK HORIZONTAL HF Ø4, PLATILLADO JUANTA DE GOMA Y TORNILLO PARA 150 PSI</t>
  </si>
  <si>
    <t>CHECK HORIZONTAL Ø8, PLATILLADO CON 16 TORNILLOS Y JUNTA DE GOMA 300PSI 9 AGUJEROS</t>
  </si>
  <si>
    <t>VALVULA CHECK 8 HORIZONTAL 8 OYOS 250PSI PLATILLADA CON JUNTA DE GOMA Y TORNILLOS</t>
  </si>
  <si>
    <t>VALVULA Ø3, PLATILLADA DE CUADRANTE CON SUS NIPLES GOMAS Y TORNILLOS P150 PSI</t>
  </si>
  <si>
    <t xml:space="preserve">VALVULA DE COMPUERTA 4'' PLATILLADA 150 PSI CON JUNTA DE GOMA Y TORNILLOS CON SUS PLATILLOS COMPLETOS </t>
  </si>
  <si>
    <t>VALVULA HF DE Ø3 ROSCADA Y CUADRANTE CON SUS NIPLES COMPAñEROS GOMAS Y TORNILLOS PARA 150 PSI</t>
  </si>
  <si>
    <t>VALVULA HF Ø3 ROSCADA Y CUADRANTE CON SUS NIPLES COMPAÑEROS 125 PSI</t>
  </si>
  <si>
    <t>VALVULA Ø8 HF PLATILLADA Y CUADRANTE NIPLES PLATILLADOS CON JUNTAS Y TORNILLOS 150 PSI (COMPLETO)</t>
  </si>
  <si>
    <t>VALVULA Ø6 HF PLATILLADA Y CUADRANTE NIPLES PLATILLADOS CON JUNTAS Y TORNILLOS 150 PSI (COMPLETO)</t>
  </si>
  <si>
    <t>VALVUL;A DE COMPUERTA PLATILLADA Y CUADRANTE PARA 150 PSI Ø12 CON SUS DOS NIPLES PLATILLADOS CON SU JUNTA DE GOMA Y TORNILLOS COMPLETA</t>
  </si>
  <si>
    <t>VALVULA DE COMPUERTA PLATILLADA Y CUADRANTE PARA 150 PSI Ø4 CON SUS DOS NIPLES PLATILLADOS</t>
  </si>
  <si>
    <t>VALVULA DE COMPUERTA VASTAGO DESLIZANTE Y VOLANTA PARA 150PSI Ø8 CON SUS DOS NIPLES PLATILLADOS</t>
  </si>
  <si>
    <t>VALVULA Ø4 125 PSI PLATILLADA CON SU VOLANTA</t>
  </si>
  <si>
    <t>VALVULA Ø3 125 PSI DESCARGADA LIBRE PLATILLADA CON SU VOLANTA</t>
  </si>
  <si>
    <t>CAJA TELESCOPICA REGISTRO TELESCOPICO PARA VALVULA DE 6</t>
  </si>
  <si>
    <t>VALVULA HF Ø6 VASTAGO FIJO PLATILLADO Y CUADRANTE CONJUNTO DE GOMAS Y TORNILLOS PARA 125 PSI CON SUS NIPLES</t>
  </si>
  <si>
    <t>VALVULA Ø4 PLATILLADAS CON 16 AGUJEROS Y JUNTAS 250 PSI</t>
  </si>
  <si>
    <t xml:space="preserve">VALVULAS Ø4 HF ROSCADA Y CUADRANTE COMPETA 150 PSI </t>
  </si>
  <si>
    <t>VALVULA HF  Ø4 VASTAGO FIJO PLATILLADA Y CUADRANTE CON JUNTA DE GOMAS Y TORNILLOS 125 PSI,</t>
  </si>
  <si>
    <t>VALVULA  HF Ø12 VASTAGO FIJO PLATILLADA Y CUADRANTE CON JUNTA DE GOMA Y TORNILLOS PARA 125 PSI CON SUS DOS TORNILLOS</t>
  </si>
  <si>
    <t>VALVULA HF Ø12 VASTAGO FIJO PLATILLADA Y VOLANTA CON JUNTA DE GOMA Y TORNILLO PARA 125 PSI CON SUS DOS PLATILLOS</t>
  </si>
  <si>
    <t>FUSIBLE DE 150 AMP 600V, TIPO CARTUCHO</t>
  </si>
  <si>
    <t>MONITORES DE FASE A 460V, 3Ø 60HZ, CONTRA ALTO Y BAJO VOLTAJE, PERDIDA E INVERSION  DE FASE</t>
  </si>
  <si>
    <t>BOQUILLA (NOXXIE) MARCA VAC-ON REFERENCIA 681-0960</t>
  </si>
  <si>
    <t>MAIN BREAKERS 600 AMPERES 460 VOLTIO Ø3</t>
  </si>
  <si>
    <t>BREAKERS DE 175 AMP 600V Ø3</t>
  </si>
  <si>
    <t>BREAKERS 225 AMP, Ø3 60K</t>
  </si>
  <si>
    <t>BREAKERS 400 AMP, Ø3 690 VAC CON CONECTOR TIPO SILLA</t>
  </si>
  <si>
    <t>BREAKERS INDUSTRIAL 250AMP, Ø3 600 V, 60HZ</t>
  </si>
  <si>
    <t>BREAKERS 80 AMP Ø3 60 V</t>
  </si>
  <si>
    <t xml:space="preserve">BREAKERS 80 AMP, Ø30600V </t>
  </si>
  <si>
    <t>ELECTRODOS 7018X108</t>
  </si>
  <si>
    <t>ELECTRODO 6013X1/8</t>
  </si>
  <si>
    <t>ELECTRODO 1/8</t>
  </si>
  <si>
    <t>TRANSFER MANUAL DE 800 AMP 460V TRES FASES 300 HZ</t>
  </si>
  <si>
    <t>VALVULA SOLENOIDE Ø1/2 120V, DOS VIAS</t>
  </si>
  <si>
    <t>VALVULA SOLENOIDE 220V, CINCO VIAS 1/4 ACTUADOS</t>
  </si>
  <si>
    <t xml:space="preserve">VALVULA CHECK Ø8 HORIZONTAL 8 HOYOS 250PSI PLATILLADA CON JUNTAS DE GOMAS Y TORNILLOS </t>
  </si>
  <si>
    <t>INVERSOR TIPO 3K W UPS SESUCIDAD 100 24VDC4 KW SOBRE LOS 220V /110 CON 8 BATERIAS 6 VOL. CICLO PROFUNDO GELATINA PARA UNA TEMPERATURA DE 30C, PARA SISTEMA DE AUTORIZACION O PLC DE LAS ACTAS.</t>
  </si>
  <si>
    <t>TUBERIAS PVC SDR-26 L=19' Ø2" CON JUNTA DE GOMA</t>
  </si>
  <si>
    <t>TUBERIAS PVC SDR-32.5 L=19 Ø12"</t>
  </si>
  <si>
    <t>TUBOS Ø2'' X 20'' EN H. N. CON SU COUPLING</t>
  </si>
  <si>
    <t xml:space="preserve">TAPONES DE 1/2 </t>
  </si>
  <si>
    <t>TAPONES DE 3/4</t>
  </si>
  <si>
    <t>CODO 6*90º PVC PRESION</t>
  </si>
  <si>
    <t>COUPLING DE 6 PVC</t>
  </si>
  <si>
    <t>COUPLING DE 4 EN HIERRO NEGRO</t>
  </si>
  <si>
    <t xml:space="preserve">CAJA TELESCOPICA </t>
  </si>
  <si>
    <t>CURVA  Ø6 PVC (SDR-26)</t>
  </si>
  <si>
    <t>CAUDILIMETRO ULTRASONICO MODELO PCR-TDS 100 HS TOSMI50MM-70M TASS1 20MM2'' A 27'' TEMPERATURA 0C-70C RANGO DE VELOCIDAD DE 00.0% M/S-30M/S 1.0% DEL VALR DE MEDICION</t>
  </si>
  <si>
    <t>PRENSA DE BANCO DE 6</t>
  </si>
  <si>
    <t>GUANTE AISLANTE PARA 12000KV PARA ALTA TENSION 4 PARES</t>
  </si>
  <si>
    <t>TUBOS FLUORECENTES DE 32 WATTS</t>
  </si>
  <si>
    <t>TUBOS FLUORECENTES DE 20 WATTS</t>
  </si>
  <si>
    <t>FOTOCELDA PARA LAMPARA DE 220V</t>
  </si>
  <si>
    <t>ROSETA DE PORCELANA</t>
  </si>
  <si>
    <t>BOMBILLO DE MERCURIO 175W, 220V</t>
  </si>
  <si>
    <t>BOMBILLO INCANDECENTE DE BAJO CONSUMO 110V</t>
  </si>
  <si>
    <t>LLAVE DE PASO DE 1 PALANCA</t>
  </si>
  <si>
    <t>CLAN K8X1 HIERRO</t>
  </si>
  <si>
    <t>TERMINAL MACHO 1'' NPT 16U-116</t>
  </si>
  <si>
    <t>MANGUERA DE SAE100R2AT DE 1''</t>
  </si>
  <si>
    <t>MAGUERA  16952 X 328'C/116</t>
  </si>
  <si>
    <t>FILTRO SECADOR DE AIRE 163S, Ø3/8'' SOLDABLE</t>
  </si>
  <si>
    <t>TANQUE DE COMBUSTIBLE METALICO PARA 200 GALONES</t>
  </si>
  <si>
    <t>VARITAS DE PLATA</t>
  </si>
  <si>
    <t>GOMA AISLANTE 7/8 X 3/8 (TUBO 6)</t>
  </si>
  <si>
    <t xml:space="preserve">PIZAS DE SOLDAR </t>
  </si>
  <si>
    <t>CARETA DE SOLDAR</t>
  </si>
  <si>
    <t>LENTES DE SOLDAR NEGROS</t>
  </si>
  <si>
    <t>PALOTE PARA CUBO</t>
  </si>
  <si>
    <t>CHICHARRA</t>
  </si>
  <si>
    <t>TALADRO</t>
  </si>
  <si>
    <t>MECHA DE PERFORAR</t>
  </si>
  <si>
    <t>MACHO DE 1/4 A 1/3</t>
  </si>
  <si>
    <t>UNION DE DRESSER Ø3/4</t>
  </si>
  <si>
    <t>UNION DE DRESSER Ø1 1/2</t>
  </si>
  <si>
    <t>NIPLE Ø1/2</t>
  </si>
  <si>
    <t>NIPLE Ø2</t>
  </si>
  <si>
    <t>NIPLE ROSCADOS Ø4X12</t>
  </si>
  <si>
    <t xml:space="preserve">UNIONES PVC PRESION Ø2" </t>
  </si>
  <si>
    <t xml:space="preserve">TOMACORRIENTE DE 110V </t>
  </si>
  <si>
    <t>INTERRUPTOR DOBLE DE 110V</t>
  </si>
  <si>
    <t>CABLE DE GOMA NO. 10/2</t>
  </si>
  <si>
    <t>DIFERENCIAL ELECTRICO DE 1 TON 220V 60HZ Ø1 CON SU CONTROL</t>
  </si>
  <si>
    <t>TORNILLO DE 1</t>
  </si>
  <si>
    <t>TORNILLO 5/8x 14</t>
  </si>
  <si>
    <t>TORNILLO TIRAFONDO 1/8 X 1/4</t>
  </si>
  <si>
    <t>TORNILLO ALLEN INOX 3/8X1</t>
  </si>
  <si>
    <t>TORNILLO EXAGONEAL DE 1/2X2</t>
  </si>
  <si>
    <t>TONILLO DE ESPACIAMENTO GALVANIZADO 5/8X12</t>
  </si>
  <si>
    <t>LIMPIADOR DE CONTACTO</t>
  </si>
  <si>
    <t>BOTAS PARA SOLDAR PUNTAS DE ACERO 10</t>
  </si>
  <si>
    <t>BOTAS PARA SOLDAR PUNTAS DE ACERO 9</t>
  </si>
  <si>
    <t>BOTAS PARA SOLDAR PUNTAS DE ACERO 8</t>
  </si>
  <si>
    <t>BOTAS DE CUERO NEGRO 8</t>
  </si>
  <si>
    <t>BOTAS DE CUERNO NEGRO 8 1/2</t>
  </si>
  <si>
    <t>BOTAS DE CUEROO NEGRO 9</t>
  </si>
  <si>
    <t>BOTAS DE CUERO NEGRO 9 1/2</t>
  </si>
  <si>
    <t>BOTAS DE CUERO NEGRO 10</t>
  </si>
  <si>
    <t>CONOS DE ALIVIO COMPLETO (ESPICA Y PROTECCION EXTERIOR)</t>
  </si>
  <si>
    <t>4619 - Seguridad y protección personal</t>
  </si>
  <si>
    <t>MANDARRIA DE 3 LIBRAS</t>
  </si>
  <si>
    <t>DIODO RECTIFICADOR</t>
  </si>
  <si>
    <t>REJILLAS FALK</t>
  </si>
  <si>
    <t>VARA PERTICA TELESCOPICA DE 35'DE FIBRA DE VIDRIO CON RECUBRIMIENTO EXOPICO RELLENO DE ESPUMA POLIURETANO CAPACIDAD DIELECTICA DE 100 KV POR PIE</t>
  </si>
  <si>
    <t>BOMBILLA DE METAL HALIDA R1500, MULTIVAPOR, MVR, 1500/HBU, 200VOLT, 1500 WATTS 4200K</t>
  </si>
  <si>
    <t>CONECTOR TIPO PENNO PARTIDO PARA CABLE  NO. 2</t>
  </si>
  <si>
    <t>CONECTOR DE COBRE PARA BUSHING 350 MCM</t>
  </si>
  <si>
    <t>CONECTOR DE COBRE TIPO PERNO  PARTIDO DE COBRE NO. 4/0 (DE COBRE)</t>
  </si>
  <si>
    <t>CONECTOR DE CUÑA NO. 2</t>
  </si>
  <si>
    <t>CONECTOR ELASTICO TIPO CUÑA 4/0 AWG-2CU</t>
  </si>
  <si>
    <t>CONECTOR DE CUÑA PRECION AWG 10-2CU</t>
  </si>
  <si>
    <t>CONECTOR DE 5/8 PARA VANILLA DE TIERRA</t>
  </si>
  <si>
    <t>CABLE ACERO ELECTRICONO. 2</t>
  </si>
  <si>
    <t>CABLE NO. 1/0</t>
  </si>
  <si>
    <t>CABLE SUMERGIBLE  10/4 HILOS</t>
  </si>
  <si>
    <t>SILLONES EJECUTIVOS</t>
  </si>
  <si>
    <t>ESCRITORIOS EJECUTIVOS</t>
  </si>
  <si>
    <t>ESCRITORIOS STANDAR (CON GAVETAS)</t>
  </si>
  <si>
    <t>RODAMIENTO NO. 7226B</t>
  </si>
  <si>
    <t>RODAMIENTO NO. 6219ZC3</t>
  </si>
  <si>
    <t>CANDADO DE 51MM, GANCHO DE ACERO ENDURECIDO RANURADE LLAVE CUBIERTA, DOBLE BLOQUEO CON ESFERA, PARA USO DE EXTERIORES</t>
  </si>
  <si>
    <t>ARTICULO GENERICO (BALASTRO ELECTRICO DE 23W, 120V, 60HZ)</t>
  </si>
  <si>
    <t>TRANSFER MANUAL DE 150 AMP, 600V, 3Ø 60HZ, CON LUCES DE PILOTO ENCLAVAMIENTO</t>
  </si>
  <si>
    <t>DISCO DE SIERRA 60 DIENTES 5/8</t>
  </si>
  <si>
    <t>DISCO DE SIERRA 32 DIENTES 5/8</t>
  </si>
  <si>
    <t>MARTILLO DE CUñA 16OZ</t>
  </si>
  <si>
    <t>CLAVADORA  NT50AE2 CALIBRE 18/5-2</t>
  </si>
  <si>
    <t>CLAVOS  PDPA 75 3/4, PARA 100/1</t>
  </si>
  <si>
    <t>CLAVOS PDPW  100 1, PARA 100/1</t>
  </si>
  <si>
    <t>CLAVOS PDPA 150 3/4, PARA 100/1</t>
  </si>
  <si>
    <t>NIPLE PLATILLADOS DE Ø3HN</t>
  </si>
  <si>
    <t>TUBO DE Ø2 CON SU COUPLING</t>
  </si>
  <si>
    <t xml:space="preserve"> CHECK HORIZONTAL PLATILLADO Ø3, 150 PSI</t>
  </si>
  <si>
    <t>MANTENIMIENTO DE MOTORS</t>
  </si>
  <si>
    <t>CAJA INGLETA PARA SERRUCHO 95IB19212S</t>
  </si>
  <si>
    <t>LAMPARA LED PARA EL EXTERIOR, CON SU FOTOCELDA, 120 VAC</t>
  </si>
  <si>
    <t>BOMBILLO 20W, LUZ BLANCA</t>
  </si>
  <si>
    <t>TANQUE REFRIGERANTE 22 / TANQUE 30LB DUPOIT</t>
  </si>
  <si>
    <t>IMPRESIÓN DE BROUCHURE )2 TIPOS</t>
  </si>
  <si>
    <t>CAMARAS DE SEGURIDAD 360 GRADOS DE ROTOR</t>
  </si>
  <si>
    <t>VCR DE SEGGURIDAD Y VIGILANCIA</t>
  </si>
  <si>
    <t>DISCO DUROS DE 2 TERRABITES</t>
  </si>
  <si>
    <t>PANTALLAS PLANAS 20 LED</t>
  </si>
  <si>
    <t>SERVICIO DE INSTALACION DE EQUIPOS DE SEGURIDAD</t>
  </si>
  <si>
    <t>Ascensor para la institucion</t>
  </si>
  <si>
    <t>CÓDIGO DEL CATÁLOGO DE BIENES Y SERVICIOS (CBS) 2</t>
  </si>
  <si>
    <t>DESCRIPCIÓN DE LA COMPRA O CONTRATACIÓN2</t>
  </si>
  <si>
    <t>PRIMER TRIMESTRE ENERO - ABRIL 2016</t>
  </si>
  <si>
    <t>COSTO TOTAL POR CÓDIGO DE CATÁLOGO DE BIENES Y SERVICIOS PROMEDIO (CBS)</t>
  </si>
  <si>
    <t>PYMES</t>
  </si>
  <si>
    <t>FECHA</t>
  </si>
  <si>
    <t>CLORO GAS CILINDROS DE 150 LBS (CILINDROS PROPIEDAD DEL INAPA)</t>
  </si>
  <si>
    <t>LICITACION</t>
  </si>
  <si>
    <t>BIENES</t>
  </si>
  <si>
    <t xml:space="preserve">BIENES </t>
  </si>
  <si>
    <t>SERVICIO</t>
  </si>
  <si>
    <t>COMPARACION DE PRECIOS</t>
  </si>
  <si>
    <t>SERVICIOS</t>
  </si>
  <si>
    <t>23/02/216</t>
  </si>
  <si>
    <t>2701/2016</t>
  </si>
  <si>
    <t>BIEN / SERVICIOS</t>
  </si>
  <si>
    <t>DETERGENTE LIQUIDO CONCENTRADO</t>
  </si>
  <si>
    <t>DETERGENTE LICQUIDO LSBCONCO</t>
  </si>
  <si>
    <t xml:space="preserve">SOLUCION ESTANDAR DE PH 4,00 LUPAC, FRASCO DE 500 ML, CON CERTIFICADO DE ANALISIS INCLUIDO </t>
  </si>
  <si>
    <t xml:space="preserve">SOLUCION ESTANDAR DE PH 7,00 LUPAC, FRASCO DE 500 ML, CON CERTIFICADO DE ANALISIS INCLUIDO </t>
  </si>
  <si>
    <t xml:space="preserve">SOLUCION ESTANDAR DE PH 10,00 LUPAC, FRASCO DE 500 ML, CON CERTIFICADO DE ANALISIS INCLUIDO </t>
  </si>
  <si>
    <t>CABEZAL DE DESCARGA TIPO CUELLO DE GANSO Ø6''</t>
  </si>
  <si>
    <t>5507 - Medios impresos</t>
  </si>
  <si>
    <t>5508 - Medios impresos</t>
  </si>
  <si>
    <t>5509 - Medios impresos</t>
  </si>
  <si>
    <t>PINS METALICO PM 3/4 DIAMETRO CON RESINA</t>
  </si>
  <si>
    <t>SOMBRILLAS</t>
  </si>
  <si>
    <t>15//02/2016</t>
  </si>
  <si>
    <t>PLASTICO PARA CARNET KIT 500</t>
  </si>
  <si>
    <t>COMPRA DEBAJO UMBRAL</t>
  </si>
  <si>
    <t>CINTA DATACARD</t>
  </si>
  <si>
    <t>CLIP PARA CARDNET</t>
  </si>
  <si>
    <t>2511 - Vehículos de motor</t>
  </si>
  <si>
    <t>2512 - Vehículos de motor</t>
  </si>
  <si>
    <t>2513 - Vehículos de motor</t>
  </si>
  <si>
    <t>KIT GLP 8 CILINDROS GLP</t>
  </si>
  <si>
    <t>TANQUE CILINDRO 100 LITROS</t>
  </si>
  <si>
    <t>SERVICIO DE INSTALACION KIT</t>
  </si>
  <si>
    <t>2509 - Vehículos de motor</t>
  </si>
  <si>
    <t>SERVICIO DE REPARACIONES DE VEHICULO JEEP</t>
  </si>
  <si>
    <t>3115 - Ferretería</t>
  </si>
  <si>
    <t>VALVULA HIDRAULICA SOSTENEDORA DE PRESION, PLASTILLADA PARA UNA PRESION DE TRABAJO DE 150 PSI. ACTUADORA EN ACERO INOXIDABLE, CON PILOTO SENSOR.</t>
  </si>
  <si>
    <t>3913 - Equipos, suministros y componentes eléctricos</t>
  </si>
  <si>
    <t>CABLE NO. 8 4 HILOS</t>
  </si>
  <si>
    <t>ARRANCADOR MAGNETICO, PO DIRECTO A LINEA CON MECANISMO PARA 40 HP, 460V, 3Ø, CON SU BREAKER, PROTECCION DE ALTO Y BAJO VOLTAJE, MONITOR DE FASE Y CONTROLES DE NEMA 1</t>
  </si>
  <si>
    <t>CONECTOR RECTO L.T. Ø2</t>
  </si>
  <si>
    <t>ALAMBRE SUMERGIBLE NO. 8/4</t>
  </si>
  <si>
    <t>CABEZAL TIPO CUELLO DE GANSO Ø4'', LISO EN SALIDA ROSCADA EN LA ENTRADA</t>
  </si>
  <si>
    <t>VALVULA Ø4, VASTAGO ASCENDENTE, CON JUNTAS DE GOMAS Y TORNILLOS, PLATILLADA</t>
  </si>
  <si>
    <t>COLUMNAS DE 4'' X 20'' CON SU COUPLING</t>
  </si>
  <si>
    <t>MOTOR ELECTRICO SUMERGIBLE DE 10HP, 3Ø, 460V, 60HZ, 3450 RPM, Ø6''</t>
  </si>
  <si>
    <t>ELECTROBOMBA SUMERGIBLE CON CAPACIDAD DE 330 GPM, CONTRA 370 PIES DE TDH, ACOPLADA A MOTOR DE 50HP, 3</t>
  </si>
  <si>
    <t>ELECTROBOMBA SUMERGIBLE CON CAPACIDAD DE 300 GPM, CONTRA 300 PIES DE TDH, ACOPLADA A MOTOR DE 40HP, 3Ø, 60HZ, 3450 RPM</t>
  </si>
  <si>
    <t>TUBO GALVANIZADO Ø2'' X 10' PIES ROSCA Y COUPLING</t>
  </si>
  <si>
    <t>ELECTROBOMBA SUMERGIBLE DE 250 GPM VS 332 PIES DE TDH, CON MOTOR DE 30HP, 240/480/V,3Ø, 3450 RPM</t>
  </si>
  <si>
    <t>ELECTROBOMBA SUMERGIBLE DE 150 GPM VS 318 PIES DE TDH, CON MOTOR DE 20 HP, 240/480/V, 3Ø, 3450 RPM</t>
  </si>
  <si>
    <t>COLUMNAS DE HIERRO NEGRO Ø3'' CON SU COUPLING</t>
  </si>
  <si>
    <t>CABLE NO. 14/2</t>
  </si>
  <si>
    <t>TANQUE PRESURIZADOS</t>
  </si>
  <si>
    <t>SERVICIO MANTENIMIENTO CAMION SUCCIONADOR INTERNACIONAL</t>
  </si>
  <si>
    <t>SERVICIO REPARACION CAMION SUCCIONADOR INTERNACIONAL</t>
  </si>
  <si>
    <t>MOTOR ELECTRICO VERTICAL DE 1 HP, 3Ø, 460V, 60HZ, 1750 RPM EJE SOLIDO CON CAPACIDAD DE OPERAR CON SUSTANCIAS CORROSIVAS</t>
  </si>
  <si>
    <t>ELECTRO BOMBA SUMERGIBLE 280GPM, VS, 310 PIES DE TDH, ACOPLADA A MOTOR DE 40 HP, 3Ø, 460V, 3450 RPM, Ø6''</t>
  </si>
  <si>
    <t>ELECTRO BOMBA SUMERGIBLE DE 40 GPM/ VS 200 PIES DE TDH, CON MOTOR DE 3 HP, 1Ø, 3470RPM, Ø1 1/2'', CON SU CAJA DE CONTROL</t>
  </si>
  <si>
    <t>ELECTROBOMBA SUMERGIBLE DE 37 GPM VS 375 PIES DE TDH ACOPLADA A MOTOR DE 5 HP, 1Ø, 230V, 3450 RPM,  02164'', DESCARGA DE Ø2'' CON SU CAJA DE CONTROL</t>
  </si>
  <si>
    <t>POWER SUPPLY  UF-F30EE PARA ASCENSOR DE INAPA</t>
  </si>
  <si>
    <t>Levantamiento Topográfico correspondiente a la FASE I,  para el Proyecto  Desarrollo Turístico de Pedernales y Cabo Rojo, Provincia Pedernales, en Zona de Campos de Pozos y Líneas de Impulsión.Nota 1: El área se corresponde al Ítem 3 (Zona de Pozos), con unos trece pozos ubicados en distintas partes  pero conectados mediante la línea de impulsión indicado en el Ítem 1, 2 (línea de impulsión a campo traviesa y línea de impulsión en carretera)</t>
  </si>
  <si>
    <t>SERVICIO DE REPARACION ASCENSOR DE LA INSTITUCION</t>
  </si>
  <si>
    <t>TUBO 3/4</t>
  </si>
  <si>
    <t>TORNILLO 2 1/2 X 10</t>
  </si>
  <si>
    <t>DESTORNILLADOR #2X4</t>
  </si>
  <si>
    <t>DESTORNILLADOS # 3X4</t>
  </si>
  <si>
    <t>HOJA DE SIERRA</t>
  </si>
  <si>
    <t>ESPATULAS DE METAL</t>
  </si>
  <si>
    <t>ROLO PARA PINTAR</t>
  </si>
  <si>
    <t>MONTAPELO SINTETICO 1 1/4''</t>
  </si>
  <si>
    <t>BROCHAS No. 3</t>
  </si>
  <si>
    <t>TABLERO HIDROFUGO ENCAP CLANCO 4X8X5/8 2C</t>
  </si>
  <si>
    <t>COLUMNAS DE 4'X 5 CON SUS COUPLING</t>
  </si>
  <si>
    <t>PERCHA DE TRES BOLAS CON SUS AISLADORES</t>
  </si>
  <si>
    <t>TRANSFER MANUAL DE 250 AMP, 600 VOLTIOS, CON LUCES PILOTO Y ENCLAVAMIENTO MECANICO</t>
  </si>
  <si>
    <t>ARRANCADOR MAGNETICO TIPO SOFT START, PARA 125 HP, 460V, 3Ø CON TODOS SUS ELEMENTOS DE PROTECCION, LUZ PILOTO Y BOTONERA DE MARCHA Y PARADA</t>
  </si>
  <si>
    <t>CHECK HORIZONTAL PLATILLADO Ø10'' PLATILLADO CON 16 TORNILLOS Y JUNTA DE GOMA, 600 PSI</t>
  </si>
  <si>
    <t>ARRANCADOR MAGNETICO TIPO DIRECTO A LINEA PARA MOTOR DE 40 HP, 3Ø, 460V, 60HZ, CON TODAS SUS PROTECCIONES, BOTONERA DE MARCHA Y PARADA, LUZ INDICADORA</t>
  </si>
  <si>
    <t>MOTOR SUMERGIBLE DE 25 HP, 60HZ, 460V, 3Ø, 3450 ROM</t>
  </si>
  <si>
    <t>ARRANCADOR MAGNETICO TIPO SOFT START, PARA 600 HP, 460V, 3Ø, CON TODOS SUS ELEMENTOS DE MARCHA Y PARADA, LUZ PILOTO</t>
  </si>
  <si>
    <t>VALVULA TIPO MARIPOSA Ø6'', 300 PSI, 12 HOYOS, PLATILLADO</t>
  </si>
  <si>
    <t>BREAKER INDUSTRIAL DE 2500 AMP, Ø3, 600 V, 60HZ</t>
  </si>
  <si>
    <t>TUBO IMC Ø3'' X 10''</t>
  </si>
  <si>
    <t>CONSULET Ø3''</t>
  </si>
  <si>
    <t>CURVA PVC ELECTRICO Ø3''</t>
  </si>
  <si>
    <t>ABRAZADERA UNITRUS DE 3''</t>
  </si>
  <si>
    <t>RIEL UNITRUS DE 1/2'' X 10''</t>
  </si>
  <si>
    <t>TORNILLO DE Ø3/8 X 2,5''</t>
  </si>
  <si>
    <t>BATERIA CICLO PROFUNDO 6V, 225 AMP</t>
  </si>
  <si>
    <t>CABLE MULTIFIBRA NO. 2/0 5 (1 PIE DE LARGO CON TERMINAL DE OJO EN AMBOS EXTREMOS)</t>
  </si>
  <si>
    <t>CABLE MULTIFIBRA NO. 2/0 5 (5 PIE DE LARGO CON TERMINAL DE OJO EN AMBOS EXTREMOS)</t>
  </si>
  <si>
    <t>COLUMNA Ø6'' X 5' CON SU COUPLING</t>
  </si>
  <si>
    <t>ARRANCADOR MAGNETICO 30HP, 3Ø, 230/460V,  60HZ, DIRECTO A LINEA, CON SUS ELEMENTOS DE PROTECCION (LUZ PILOTO, BOTONERA DE MARCHA Y PARADA)</t>
  </si>
  <si>
    <t>ARRANCADOR MAGNETICO PARA MOTOR DE 40 HP, 3Ø, 460V, CON TODOS SUS ELEMENTOS DE PROTECCION, LUZ PILO.</t>
  </si>
  <si>
    <t>ARRANCADOR MAGNETICO PARA MOTOR DE 50 HP, 3Ø, 460V, CON TODOS SUS ELEMENTOS DE PROTECCION, LUZ PILO.</t>
  </si>
  <si>
    <t>BLANQUEADOR DE PISOS</t>
  </si>
  <si>
    <t>COMPRACION DE PRECIOS</t>
  </si>
  <si>
    <t>COMPARACION DE RECIOS</t>
  </si>
  <si>
    <t>SEGUNDO TRIMESTRE ABRIL - JUNIO</t>
  </si>
  <si>
    <t>TERCER TRIMESTRE JULIO - SEPTIEMBRE</t>
  </si>
  <si>
    <t>CUARTO TRIMESTRE OCTUBRE - DICIEMBRE</t>
  </si>
  <si>
    <t>GOMAS 1000 X 20</t>
  </si>
  <si>
    <t xml:space="preserve">COMPRA MENOR </t>
  </si>
  <si>
    <t>02/12/205</t>
  </si>
  <si>
    <t>RELAY TERMICO 135 AMP</t>
  </si>
  <si>
    <t>TEMPORIZADOR ANALOGO 0-60SEG. 220V</t>
  </si>
  <si>
    <t>15/12/215</t>
  </si>
  <si>
    <t>PARTICIPACION ARTISTICA</t>
  </si>
  <si>
    <t>DISPENSADOR DE CLORO EN PASTILLA FLOTANTE</t>
  </si>
  <si>
    <t>ALQUILER DE SALON PARA EVENTOS</t>
  </si>
  <si>
    <t>MONTAJE EVENTO FIESTA NAVIDEÑA</t>
  </si>
  <si>
    <t>REFRIGERIO FIESTA NAVIDEÑA</t>
  </si>
  <si>
    <t>COMPUTADORAS COMPLETA (CORE I5, 8GB DE RAM, 500 DISCO DURO), TECLADO,MOUSE.'</t>
  </si>
  <si>
    <t>MONITOR  FLAT 19´´, VGA DISPLAYPORT</t>
  </si>
  <si>
    <t>COMPUTADORAS COMPLETA (CORE I5, 8GB DE RAM, 500 DISCO DURO), TECLADO,MOUSE.MONITOR 19'</t>
  </si>
  <si>
    <t>SOFTWARE DE GESTION DE LICENCIAS AQUARIUS DMS PRO (PACK 1 USER LICENSES)</t>
  </si>
  <si>
    <t>SOFTWARE DE GESTION DE LICENCIAS  (1) AQUARIUS DMS PRO (PACK 6 USER LICENSES) (2)</t>
  </si>
  <si>
    <t>MEMORIA  SD KINGTON 16 GBCLASS 4</t>
  </si>
  <si>
    <t>VALVULA SOLENOIDE 220V, CINCO VIAS 1/4 ACTUADOS Ø2''</t>
  </si>
  <si>
    <t>CLORO EN PASTILLA EMBASADO EN TAMBOR DE 50KGS</t>
  </si>
  <si>
    <t>ZAPATILLAS DE CUERO DIAMETRO 1 7/8''</t>
  </si>
  <si>
    <t>ZAPATILLAS DE CUERO DIAMETRO 2''</t>
  </si>
  <si>
    <t>SERVICIO TECNICO DE REMOSAMIENTO DE LA DIRECCION COMERCIAL EN EL SEGUNDO NIVEL DEL EDIFICIO MARCO RODRIGUEZ INAPA</t>
  </si>
  <si>
    <t>BATERIA PARA UPS 12V 7,2 A</t>
  </si>
  <si>
    <t>SERVICIO DE LIMPIEZA DUCTOS AIRE AC.</t>
  </si>
  <si>
    <t>ELECTROBOMBA CENTRIFUGA SUMERGIBLE CON CAPACIDAD DE 100 GPM VS 150 PIES DE TDH, ACOPLADA A MOTOR DE 7,5, 230V 1Ø, 3,450 RPM CON SU CAJA DE CONTROL</t>
  </si>
  <si>
    <t>ELECTROBOMBA CENTRIFUGA SUMERGIBLE CON CAPACIDAD DE 58 GPM VS 170 PIES TDH, ACOPLADA A MOTOR DE 5 HP. 230V, 1Ø, 3450 RPM CON SU CAJA DE CONTROL</t>
  </si>
  <si>
    <t>TINTA ROJA PARA SELLOS</t>
  </si>
  <si>
    <t xml:space="preserve">INSTITUTO NACION AL DE AGUAS POTABLES Y ALCANTARILLADOS </t>
  </si>
  <si>
    <t>RESUMEN GENERAL DEL PLAN ANUAL DE COMPRAS Y CONTRATACIONES PRIMER TRIMESTRE ENERO - MARZO 2016</t>
  </si>
  <si>
    <t>COSTO TOTAL POR CÓDIGO EN RD$</t>
  </si>
  <si>
    <t>UDSS</t>
  </si>
  <si>
    <t>PAQUETES</t>
  </si>
  <si>
    <t>UDS.</t>
  </si>
  <si>
    <t>18332 - NUEVOS PROYECTOS DE PROTECCION HIDRICA</t>
  </si>
  <si>
    <t>18332 - PROYECTOS DE EDUCACION, SOBRE USO RACIONAL DE AGUA</t>
  </si>
  <si>
    <t>19411 - PUBLICIDAD</t>
  </si>
  <si>
    <t>18332 - Proyectos de Fuente Hidrica Ejecutandose con Sur Futuro, según Convenio en Etapa Final</t>
  </si>
  <si>
    <t>UNIDS</t>
  </si>
  <si>
    <t>uds</t>
  </si>
  <si>
    <t>LAMPARA FLUORECENTES, DE 2 X 4 PIES, 32 WATTS, COMPLETA</t>
  </si>
  <si>
    <t>CUT-OUTS 15 KV 200 AMPERES</t>
  </si>
  <si>
    <t>CUT-OUTS 15 KV 100 AMPERES</t>
  </si>
  <si>
    <t>APARTARRAYOS DE 9KV</t>
  </si>
  <si>
    <t>APARTARRAYOS DE 220V, SECUNDARIO</t>
  </si>
  <si>
    <t>APARTARRAYOS DE 480V, SECUNDARIO</t>
  </si>
  <si>
    <t>ACEITE PARA MOTOR 2 TIEMPOS</t>
  </si>
  <si>
    <t>ACEITE PARA MOTOR 4 TIEMPOS</t>
  </si>
  <si>
    <t>AGUA PARA BAERIAS</t>
  </si>
  <si>
    <t>ALAMBRE CONDUCTOR #10 AWG NEGRO</t>
  </si>
  <si>
    <t>ALAMBRE CONDUCTOR #10 AWG ROJO</t>
  </si>
  <si>
    <t>ALAMBRE DE ALUMINIO 2/0 TRIPLE 3HILOS</t>
  </si>
  <si>
    <t>ALAMBRE DE COBRE #12</t>
  </si>
  <si>
    <t>ALICATE ELECTRICO</t>
  </si>
  <si>
    <t>AMPERIMETRO</t>
  </si>
  <si>
    <t>ARRANCADOR MAGNETICO PARA MOTOR DE 100HP, TRIFASICO 460 VOLTIOS</t>
  </si>
  <si>
    <t>ARRANCADOR MAGNETICO PARA MOTOR DE 20HP, TRIFASICO 460 VOLTIOS</t>
  </si>
  <si>
    <t>ARRANCADOR MAGNETICO PARA MOTOR DE 30HP, TRIFASICO 460 VOLTIOS</t>
  </si>
  <si>
    <t>ARRANCADOR MAGNETICO PARA MOTOR DE 40HP, TRIFASICO 460 VOLTIOS</t>
  </si>
  <si>
    <t>ARRANCADOR MAGNETICO PARA MOTOR DE 75HP, TRIFASICO 460 VOLTIOS</t>
  </si>
  <si>
    <t>ALAMBRE CONDUCTOR #12AWG</t>
  </si>
  <si>
    <t>CURVAS DE 1/2" PVC SDR-26</t>
  </si>
  <si>
    <t>DIFERENCIAL DE 5 TONELADAS</t>
  </si>
  <si>
    <t>ENCHUFES PARA TERMILES</t>
  </si>
  <si>
    <t>CURVAS DE 3/4 "PVC SDR-26</t>
  </si>
  <si>
    <t>FUSIBLE CC-TRON, 600V, FNQ-R-2-1/2</t>
  </si>
  <si>
    <t>SEPO PARA COLUMNA DE TUBERIAS 8"</t>
  </si>
  <si>
    <t>MOTORES ELÉCTRICOS SUMERGIBLES, 3Ø, 230 /460 VOLTIOS, 60HZ, 1.15 FS, 3,450 RPM 7.5 HP NEMA 6</t>
  </si>
  <si>
    <t>MOTORES ELÉCTRICOS SUMERGIBLES, 3Ø, 230 /460 VOLTIOS, 60HZ, 1.15 FS, 3,450 RPM 20HP NEMA 6</t>
  </si>
  <si>
    <t>MOTORES ELECTRICOS MONOFASICO SUMERGIBLE, 230 VOLTIOS, 3,450 RPM 3HP CON CAJA DE CONTROL</t>
  </si>
  <si>
    <t>MOTORES ELECTRICOS MONOFASICO SUMERGIBLE, 230 VOLTIOS, 3,450 RPM 5HP CON CAJA DE CONTROL</t>
  </si>
  <si>
    <t>MOTORES ELECTRICOS MONOFASICO SUMERGIBLE, 230 VOLTIOS, 3,450 RPM 7.5HP CON CAJA DE CONTROL</t>
  </si>
  <si>
    <t>ELECTROBOMBAS HORIZONTAL, 0.75HP, 1Ø, 115/230V, TIPO MONOBLOCK, 3500 RPM, 20 GPM VS 100 PIES TDH</t>
  </si>
  <si>
    <t>ELECTROBOMBAS HORIZONTAL, 1.00HP, 230V, 1Ø, 60HZ, CON SU CAJA DE CONTROL, 3500 RPM</t>
  </si>
  <si>
    <t>TRANSFORMADORES 1Ø, 60HZ, SUMERGIDOS EN ACEITE, 7.2/12.47 KV, 120/240V, TIPO POSTE, HOMOLGADOS CON IDÉNTICA IMPEDANCIA 25 KVA</t>
  </si>
  <si>
    <t>TRANSFORMADORES 1Ø, 60HZ, SUMERGIDOS EN ACEITE, 7.2/12.47 KV, 120/240V, TIPO POSTE, HOMOLGADOS CON IDÉNTICA IMPEDANCIA 37.5 KVA</t>
  </si>
  <si>
    <t>TRANSFORMADORES 1Ø, 60HZ, SUMERGIDOS EN ACEITE, 7.2/12.47 KV, 240/480V, TIPO POSTE, HOMOLGADOS CON IDÉNTICA IMPEDANCIA 15 KVA</t>
  </si>
  <si>
    <t>TRANSFORMADORES 1Ø, 60HZ, SUMERGIDOS EN ACEITE, 7.2/12.47 KV, 240/480V, TIPO POSTE, HOMOLGADOS CON IDÉNTICA IMPEDANCIA 25 KVA</t>
  </si>
  <si>
    <t>TRANSFORMADORES 1Ø, 60HZ, SUMERGIDOS EN ACEITE, 7.2/12.47 KV, 240/480V, TIPO POSTE HOMOLGADOS CON IDÉNTICA IMPEDANCIA 100 KVA</t>
  </si>
  <si>
    <t>COMBUSTIBLE</t>
  </si>
  <si>
    <t>MAQUINARIA</t>
  </si>
  <si>
    <t>18332 - Proyectos de educación, sobre uso racional de agua</t>
  </si>
  <si>
    <t>19411 - Publicidad</t>
  </si>
  <si>
    <t>MOTO-SOLDADORA Y GENERADOR ELECTRICO GASOIL</t>
  </si>
  <si>
    <t>PRENSA PARA TUBERIA HG Ø-6"</t>
  </si>
  <si>
    <t>RELAY TRIFASICO CON CONTACTORES AUXILIARES NO Y NC P/15 HP</t>
  </si>
  <si>
    <t>RELAY TRIFASICO CON CONTACTORES AUXILIARES NO Y NC P/25 HP</t>
  </si>
  <si>
    <t>RETENEDORA #470565</t>
  </si>
  <si>
    <t>RETENEDORA #472164</t>
  </si>
  <si>
    <t>RETENEDORA #6307SNR</t>
  </si>
  <si>
    <t>RETENEDORA #6212ZNR</t>
  </si>
  <si>
    <t>SEPO PARA COLUMNA DE TUBERIA 6"</t>
  </si>
  <si>
    <t>GUANTE CON AISLANTE DE GOMA</t>
  </si>
  <si>
    <t>GUANTE DE TELA PARA OBREROS</t>
  </si>
  <si>
    <t xml:space="preserve">INTERRUPTOR DOBLE  </t>
  </si>
  <si>
    <t>INTERRUPTOR TRIPLE</t>
  </si>
  <si>
    <t>JUEGO DE LLAVES DE CUBOS</t>
  </si>
  <si>
    <t>LIMA REDONDA</t>
  </si>
  <si>
    <t>MONITORES DE FASE A 460 VOLTIOS, CONTRA PERDIDA DE FASE E INVERSION DE GIRO CON SU BASE</t>
  </si>
  <si>
    <t>MONITORES DE FASE A 230 VOLTIOS, CONTRA PERDIDA DE FASE E INVERSION DE GIRO CON SU BASE</t>
  </si>
  <si>
    <t>DIRECCION DE CALIDAD DEL AGUA</t>
  </si>
  <si>
    <t>PLAN ANUAL DE COMPRAS Y CONTRATACIONES AÑO 2017</t>
  </si>
  <si>
    <t>SULFATO DE ALUMINIO LIQUIDO GRADO B  EN KGRS.</t>
  </si>
  <si>
    <t>TRICLORO EN PASTILLA (CUBETA 50 KG)</t>
  </si>
  <si>
    <t>ASCENSOR DE LA INSTITUCION</t>
  </si>
  <si>
    <t>SERVICIO DE REPARACION DE VEHICULO JEEP</t>
  </si>
  <si>
    <t xml:space="preserve">TANQUE PRESURIZADOS </t>
  </si>
  <si>
    <t>SERVICIO DE INSTALACION KIT GLP</t>
  </si>
  <si>
    <t>BATERIA PARA UPS 12V 7, 2A</t>
  </si>
  <si>
    <t>DESTORNILLADOR  # 2X4</t>
  </si>
  <si>
    <t>TUBO DE 3/4</t>
  </si>
  <si>
    <t>CONDULET</t>
  </si>
  <si>
    <t>3117 - Ferretería</t>
  </si>
  <si>
    <t>CABLE NO. 8, 4 HILOS</t>
  </si>
  <si>
    <t>MOTOR ELECTRICO VERTICAL DE 40 HP, 460V, 3Ø, 1775 RPM, 60HZ, EJE HUECO, MECANISMO DE NO REVERSION</t>
  </si>
  <si>
    <t>CABEZAL DE DESCARGA TIPO CUELLO DE GANZO Ø6''</t>
  </si>
  <si>
    <t>SOLUCION ESTANDAR DE PH 10,00 LUPAC, FRASCO DE 500ML, CON CERTIFICADO DE ANALISIS INCLUIDO.</t>
  </si>
  <si>
    <t>SOLUCION ESTANDAR DE PH 7,00 LUPAC, FRASCO DE 500ML, CON CERTIFICADO DE ANALISIS INCLUIDO.</t>
  </si>
  <si>
    <t>SOLUCION ESTANDAR DE PH 4,00 LUPAC, FRASCO DE 500ML, CON CERTIFICADO DE ANALISIS INCLUIDO.</t>
  </si>
  <si>
    <t>DETERGENTE LIQUIDO LABCONCO</t>
  </si>
  <si>
    <t>CETRIMIDE AGAR, FRASCO DE 500G</t>
  </si>
  <si>
    <t>SULFA VER 4, CATALOGO 21067-69 PK DE 100</t>
  </si>
  <si>
    <t xml:space="preserve">  PUNTAS AUTOCLAVABLES, PARA PIPETAS AUTOMATICAS DE 1-5ML, PAQUETE DE 60 </t>
  </si>
  <si>
    <t xml:space="preserve"> PUNTAS AUTOCLAVABLES, PARA PIPETAS AUTOMATICAS DE 1-10ML , PAQUETE DE 60</t>
  </si>
  <si>
    <t xml:space="preserve">DISPENSADOR DE LIQUIDOS, DE 10 ML, CON DIVISION DE 0.25 ML </t>
  </si>
  <si>
    <t>PLACAS DE CONTACTO (PLACAS RODAC) 60 X 14 MM, PLASTICAS, ESTERILES, CALAS DE 20 UNIDADES</t>
  </si>
  <si>
    <t>TERMOMETRO DE REFERENCIA, DIGITAL, DE -30 A 250 0C, CON PRECISION DE 0.01,  Y CERTIFICADO DE CALIBRACION INCLUIDOS</t>
  </si>
  <si>
    <t>AUTOCLAVE AUTOMATICO DE MESA, DE 35 LITROS DE CAPACIDAD, DE 220 V, MONOFASICO</t>
  </si>
  <si>
    <t>MECHEROS DE ALTA TEMPERATURA</t>
  </si>
  <si>
    <t>BAÑO DE MARIA DE CIRCULACION, 120V, CON TAPA, DIGITAL, DE 19 LITROS DE CAPACIDAD</t>
  </si>
  <si>
    <t>LLAVE DE FREGADERO, ALTA</t>
  </si>
  <si>
    <t xml:space="preserve">ENCUADERNACION </t>
  </si>
  <si>
    <t>TELEVISOR DE 32 PULGADAS,  DE PARED,CON DVD INTEGRADO</t>
  </si>
  <si>
    <t>TEMPORIZADOR ANALOGO 0-60 SEG. 220</t>
  </si>
  <si>
    <t>TURBIDIM ETRO LASER</t>
  </si>
  <si>
    <t>ESPECTROFOTOMETRO, DR 6000</t>
  </si>
  <si>
    <t>BALANZA DIGITAL, DE MESA, , DE 115 V, CON CERTIFICADO DE CALIBRACION INCLUIDO</t>
  </si>
  <si>
    <t>150,000,00</t>
  </si>
  <si>
    <t>150,.000.00</t>
  </si>
  <si>
    <t>PHMETRO /CONDUCTIMETRO DIGITAL, DE MESA, CON ELECTRODO Y COMEPENSACION AUTOMATICA DE TEMPERATURA, DE 115V CON CERTIFICADO DE CALIBRACION INCLUIDO</t>
  </si>
  <si>
    <t>EQUIPO HQ40D MULTIPARAMETRO PORTABLE METERS</t>
  </si>
  <si>
    <t>CARTUCHOS PARA DESIONIZADOR</t>
  </si>
  <si>
    <t>PEACHIMETRO DE MESA, DIGITAL CON ELECTRODO, COMPENSACION AUTOMATICA DE TEMPERATURA, 115V, CERTIFICADO DE CALIBRACION INCLUIDO</t>
  </si>
  <si>
    <t>PILAS CONGELADOR PARA PRESERVACION DE TEMPERATURA</t>
  </si>
  <si>
    <t>NEVERA DE 10 PIES CUBICO, DE UN CUERPO</t>
  </si>
  <si>
    <t>REPARACION EQUIPO ABSORCION ATOMICA</t>
  </si>
  <si>
    <t>ACREDITACION DE LABORATORIO</t>
  </si>
  <si>
    <t>COMPUTADORAS COMPLETA (CORE I5, 8GB DE RAM, 500 DISCO DURO), TECLADO,MOUSE Y MONITOR 19'</t>
  </si>
  <si>
    <t>MONITOR FLAT 19'' VGA, DISPLAYPORT</t>
  </si>
  <si>
    <t>IMPRESORA</t>
  </si>
  <si>
    <t>CAPACITACION</t>
  </si>
  <si>
    <t>MODEMS</t>
  </si>
  <si>
    <t>ARCHIVO DE METAL 8 1/2 X 11 4 GAVETAS (SON DE ESCRITORIO)</t>
  </si>
  <si>
    <t>PERFORADORA DE ESPIRAL CONTINUO</t>
  </si>
  <si>
    <t>SOBRES TIMBRADO</t>
  </si>
  <si>
    <t>SOBRE MANILA MEDIANO</t>
  </si>
  <si>
    <t>CARTUCHO NEGRO 35A</t>
  </si>
  <si>
    <t>TONER LASER  NEGRO (210A)</t>
  </si>
  <si>
    <t>TONER LASER  AMARILLO (212A)</t>
  </si>
  <si>
    <t>TONER LASER  AZUL (221A)</t>
  </si>
  <si>
    <t>TONER LASER  MAGENTA (213A)</t>
  </si>
  <si>
    <t>TONER 35A</t>
  </si>
  <si>
    <t>TONER FAL-211A</t>
  </si>
  <si>
    <t>TONER FAL-212 A</t>
  </si>
  <si>
    <t>TONER FAL-213A</t>
  </si>
  <si>
    <t>TONER FAL-210a</t>
  </si>
  <si>
    <t>DISPENSADOR DE CLORO EN PASTILLAS FLOTANTES</t>
  </si>
  <si>
    <t>CLORO EN PASTILLA EMBASADO EN TAMBOR DE 50 HGS</t>
  </si>
  <si>
    <t>PINS METALICOS  PM 3/4 DIAMETRO CON RESINA</t>
  </si>
  <si>
    <t>5511 - Medios impresos</t>
  </si>
  <si>
    <t>SOMBRILLA</t>
  </si>
  <si>
    <t>PLASTICO PVC PARA CARNET 500</t>
  </si>
  <si>
    <t>TOTAL DE COMPRAS DEL 2016</t>
  </si>
  <si>
    <t>DIRECCION DE INGENIERIA</t>
  </si>
  <si>
    <t>LICENCIAS CIVIL 3D</t>
  </si>
  <si>
    <t>4324 - Software</t>
  </si>
  <si>
    <t>4325 - Software</t>
  </si>
  <si>
    <t>4326 - Software</t>
  </si>
  <si>
    <t>COMPUTADORA CAPACIDAD DISCO DURO 1000 GIGABYTES, VELOCIDAD DEL PROCESADOR 4.0 GIGAHERTZ, PROCESADOR INTEL CORE i7 4TA GENERACION, MEMORIA RAM 16 GIGABYTES, MEMORIA DE VIDEO 4000 MEGABYTES, DISCO DURO DE ITB</t>
  </si>
  <si>
    <t>DISCOS EXTERNOS PARA EL STOCK DE EQUIPOS Y SUPLIR LAS NECESIDADES  DE LAS DIFERENTES DEPENDENCIAS 5TB</t>
  </si>
  <si>
    <t>PAPEL CONTINUO 24X36 PARA PLOTTER</t>
  </si>
  <si>
    <t>CARTUCHO HP 72 AMARILLO PARA DESIGNJET T610/T1100 69 ML TRAMO 3 JAULA</t>
  </si>
  <si>
    <t>CARTUCHO HP 72 CIAN  PARA DESIGNJET T610/T1100 69 ML TRAMO 3 JAULA</t>
  </si>
  <si>
    <t>CARTUCHO HP 72 GRIS  PARA DESIGNJET T610/T1100 69 ML TRAMO 3 JAULA</t>
  </si>
  <si>
    <t>CARTUCHO HP 72 MAGENTA  PARA DESIGNJET T610/T1100 69 ML TRAMO 3 JAULA</t>
  </si>
  <si>
    <t>CARTUCHO HP 72 NEGRO  PARA DESIGNJET T610/T1100 69 ML TRAMO 3 JAULA</t>
  </si>
  <si>
    <t>CARTUCHO HP 72 NEGRO MATE  PARA DESIGNJET T610/T1100 69 ML TRAMO 3 JAULA</t>
  </si>
  <si>
    <t>TONER HP LASER JET 435A</t>
  </si>
  <si>
    <t>TONER HP LASER JET 14A (CF214A)</t>
  </si>
  <si>
    <t>Columna2</t>
  </si>
  <si>
    <t>WATER CAD</t>
  </si>
  <si>
    <t>4327 - Software</t>
  </si>
  <si>
    <t xml:space="preserve">MICRO STATION </t>
  </si>
  <si>
    <t>4328 - Software</t>
  </si>
  <si>
    <t xml:space="preserve">ARGIS </t>
  </si>
  <si>
    <t xml:space="preserve">UDS </t>
  </si>
  <si>
    <t>4329 - Software</t>
  </si>
  <si>
    <t xml:space="preserve">TEKLA STRUCTURE </t>
  </si>
  <si>
    <t>4330 - Software</t>
  </si>
  <si>
    <t>MIDAS GPS NX</t>
  </si>
  <si>
    <t>4331 - Software</t>
  </si>
  <si>
    <t xml:space="preserve">MIDAS  GEMS </t>
  </si>
  <si>
    <t>4332 - Software</t>
  </si>
  <si>
    <t>SUIT STRUCTURAL AUTO DESK</t>
  </si>
  <si>
    <t>AQUACHEM 2016</t>
  </si>
  <si>
    <t>HIDROGEOANALYST</t>
  </si>
  <si>
    <t>ES-105/PSLBG, TOTAL STATION</t>
  </si>
  <si>
    <t>COLECTOR DE SATOS S-10</t>
  </si>
  <si>
    <t>TRIPODE DE MADERA</t>
  </si>
  <si>
    <t>NIVEL AUTOMATICO AT-B4</t>
  </si>
  <si>
    <t>MIRA DE 5M</t>
  </si>
  <si>
    <t>JALON PORTA-PRISMA (3.7M)</t>
  </si>
  <si>
    <t>PORTA PRISMA C/TARJETA</t>
  </si>
  <si>
    <t>PRISMA</t>
  </si>
  <si>
    <t>CINTA METRICA DE 5 MTS</t>
  </si>
  <si>
    <t>CINTA METRICA DE 20 MTS</t>
  </si>
  <si>
    <t>CASCO PROTECTOR</t>
  </si>
  <si>
    <t xml:space="preserve">SONDA TLC TEMPERATURA, NIVEL, CONDUCTIVIDAD ELECTRICA MODELO 107 </t>
  </si>
  <si>
    <t>LLAVE STILLSON 12''</t>
  </si>
  <si>
    <t>LLAVE STILLSON 18''</t>
  </si>
  <si>
    <t>LLAVE STILLSON 24''</t>
  </si>
  <si>
    <t>LEVANTAMIENTOS TOPOGRAFICOS A NIVEL NACIONAL</t>
  </si>
  <si>
    <t>PROTECCCION FUENTE HIDRICAS GUAYABAL Y LA SIEMBRA EN EJECUCION</t>
  </si>
  <si>
    <t>PROYECCION DE FUENTES HIDRICA CERCADO-JORGILLO EN EJECUCION</t>
  </si>
  <si>
    <t>PREMIO ECOLOGICO SIEMBRA DE AGUA EN PROCESO</t>
  </si>
  <si>
    <t>PROYECTOS DE FUENTE HIDRICA EJECUTANDOSE CON SUR FUTURO, SEGÚN CONVENIO EN ETAPA FINAL</t>
  </si>
  <si>
    <t>PROTECCION DE FUENTES HIDRICAS SAN JOSE DE OCOA</t>
  </si>
  <si>
    <t>PROTECCION DE FUENTES HIDRICAS SAMANA, MICRO-CUENCA RIO SAN JUAN</t>
  </si>
  <si>
    <t xml:space="preserve">FONDOS INTERNOS </t>
  </si>
  <si>
    <t>INICIATIVAS PAGO POR SERVICIOS AMBIENTALES</t>
  </si>
  <si>
    <t>FONDO DE CONTINGENCIA PARA GESTION DE RIESGOS (PLAN DE EMERGENCIA, PLAN DE REDUCCION DE RIESGOS A DESASTRES EN APS, SITEMAS DE ALERTA TEMPRANA APS</t>
  </si>
  <si>
    <t>NUEVOS PROYECTOS DE PROTECCION HIDRICA</t>
  </si>
  <si>
    <t>PROYECTOS DE EDUCACION, SOBRE USO RACIONAL DE AGUA ADP-INAPA</t>
  </si>
  <si>
    <t>CHARLAS INFORMALES SOBRE USO AGUA EN PROVINCIALES (ESCUELAS, JUNTAS DE VECINOS, IGLESIAS, COMUNITARIAS).</t>
  </si>
  <si>
    <t>PROYECTOS DE EDUCACION, SOBRE USO RACIONAL DE AGUA</t>
  </si>
  <si>
    <t>REMOZAMIENTO DE LA DIRECCION COMERCIAL EN EL SEGUNDO NIVEL DEL EDIFICIO MARCO RODRIGUEZ, SANTO DOMINGO</t>
  </si>
  <si>
    <t>DIRECCION DE RECURSOS HUMANOS</t>
  </si>
  <si>
    <r>
      <t xml:space="preserve">MASCARILLAS DESECHABLES, </t>
    </r>
    <r>
      <rPr>
        <sz val="10"/>
        <color rgb="FFFF0000"/>
        <rFont val="Arial Narrow"/>
        <family val="2"/>
      </rPr>
      <t>PARA OXIGENO</t>
    </r>
    <r>
      <rPr>
        <sz val="10"/>
        <rFont val="Arial Narrow"/>
        <family val="2"/>
      </rPr>
      <t xml:space="preserve"> CON AMARRE</t>
    </r>
  </si>
  <si>
    <t>ESFINOMANOMATRO DE PARED</t>
  </si>
  <si>
    <t>TIRAS PRUEBAS DE GLUCOSA</t>
  </si>
  <si>
    <t>DEXAMETAZONA 5.2MG EN AMPOLLA</t>
  </si>
  <si>
    <t xml:space="preserve">DICLOFENAC SÓDICO 100MG </t>
  </si>
  <si>
    <t>DICLOFENAC EN AMPOLLAS Y PASTILLAS</t>
  </si>
  <si>
    <t>OMEPRAZOL 40MG (CAPSULA)</t>
  </si>
  <si>
    <t>ACETAMINOFÉN 500MG</t>
  </si>
  <si>
    <t>BROMHEXINA</t>
  </si>
  <si>
    <t>AMOXICILINA 500MG (CAPSULA)</t>
  </si>
  <si>
    <t>CIPROFLOXACINA 500MG (TABLETAS)</t>
  </si>
  <si>
    <t>DIFENAMINA TABLETAS DE 25MG (COMPRIMIDOS)</t>
  </si>
  <si>
    <t>CAPTROPIL 50MG (COMPRIMIDOS)</t>
  </si>
  <si>
    <t>ACIDO CLAVULAMICO (COMPRIMIDOS)</t>
  </si>
  <si>
    <t>PENICILINA BENZATINICA 2.4</t>
  </si>
  <si>
    <t>FENDRAMIN DE 10MG/ML AMPOLLA</t>
  </si>
  <si>
    <t>FUROSEMIDA 40MG AMPOLLA</t>
  </si>
  <si>
    <t>SOBRE ANTIÁCIDO</t>
  </si>
  <si>
    <t>ELIXER</t>
  </si>
  <si>
    <t>SALBUTAMOL SOLUCIÓN PARA NEUBULIZAR</t>
  </si>
  <si>
    <t>ASPIRINA</t>
  </si>
  <si>
    <t xml:space="preserve">HIDROCORTISONA </t>
  </si>
  <si>
    <t>GUANTES DESECHABLES</t>
  </si>
  <si>
    <t>GUANTES ESTÉRIL</t>
  </si>
  <si>
    <t>GASAS</t>
  </si>
  <si>
    <t>PAQUETES ALGODÓN</t>
  </si>
  <si>
    <t>FRASCO DE ALCOHOL</t>
  </si>
  <si>
    <t>JERINGUILLAS DE 3CC</t>
  </si>
  <si>
    <t>JERINGUILLAS DE 5CC</t>
  </si>
  <si>
    <t>JERINGUILLAS DE 10CC</t>
  </si>
  <si>
    <t>CAJA BAJA LENGUA (100 UNIDADES)</t>
  </si>
  <si>
    <t>FRASCO DE YODO</t>
  </si>
  <si>
    <t>FRASCO DE AGUA OXIGENADA</t>
  </si>
  <si>
    <t>SOLUCIÓN SALINA</t>
  </si>
  <si>
    <t>ZO</t>
  </si>
  <si>
    <t>TERMÓMETRO</t>
  </si>
  <si>
    <t>ESFINOMANOMETRO MANUAL</t>
  </si>
  <si>
    <t>ESTETOSCOPIO MECÁNICO</t>
  </si>
  <si>
    <t>ESTETOSCOPIO</t>
  </si>
  <si>
    <t>OTOSCOPIO</t>
  </si>
  <si>
    <t>TANQUE DE OXÍGENO 100LB</t>
  </si>
  <si>
    <t>NITOR MEDIDOR DE LA GLUCOSA</t>
  </si>
  <si>
    <t>IMPRESORAS HP LASERJET PRO 100 M177FW</t>
  </si>
  <si>
    <t>COMPUTADORAS COMPLETA (CORE I5, 8GB DE RAM, 500 DISCO DURO), TECLADO,MOUSE Y MONITOR 19' (PARA RECURSOS HUMANOS Y PARA ACUEDUCTOS)</t>
  </si>
  <si>
    <r>
      <t xml:space="preserve">GRAPADORAS DE METAL CAPACIDAD </t>
    </r>
    <r>
      <rPr>
        <b/>
        <sz val="10"/>
        <color rgb="FFFF0000"/>
        <rFont val="Arial Narrow"/>
        <family val="2"/>
      </rPr>
      <t>GRANDE</t>
    </r>
  </si>
  <si>
    <t>EGA</t>
  </si>
  <si>
    <r>
      <t xml:space="preserve">FOLDERS 8 1/2 X 11 AMARILLO EN CAJA DE 100 UDS </t>
    </r>
    <r>
      <rPr>
        <b/>
        <sz val="10"/>
        <rFont val="Arial Narrow"/>
        <family val="2"/>
      </rPr>
      <t>CON LOGO CARPETA</t>
    </r>
  </si>
  <si>
    <t>FOLDERS 8 1/2 X 11 DE 2 DIVISIONES (PARTITION) VERDE</t>
  </si>
  <si>
    <t>LIBROS RECORD DE 150 PAGINAS</t>
  </si>
  <si>
    <t>LIBROS RECORD DE 300 PAGINAS</t>
  </si>
  <si>
    <t>PAPEL TIMBRADO NORMAL</t>
  </si>
  <si>
    <t>PERFORADORA PARA 3 HOYOS</t>
  </si>
  <si>
    <t>RESALTADORES AZUL</t>
  </si>
  <si>
    <t>RESALTADORES VERDE</t>
  </si>
  <si>
    <t>CAJA SOBRES TIMBRADOS</t>
  </si>
  <si>
    <t>SOBRE MANILA 8 1/2" X 13"</t>
  </si>
  <si>
    <t>SOBRE MANILA PEQUEÑO</t>
  </si>
  <si>
    <t>LABELS</t>
  </si>
  <si>
    <t>TONER HP LASERJET MFP M725</t>
  </si>
  <si>
    <t>TALONARIO DC-5 DE RECETARIO MEDICO</t>
  </si>
  <si>
    <t>DEPARTAMENTO REGIONAL SAN JUAN - ELIAS PIÑA</t>
  </si>
  <si>
    <t>PACC 2017 PROVINCIAS DESARROLLADAS (BARAHONA, BAHORUCO,INDEPENDENCIA, SAN PEDRO, SAN JUAN Y SAN CRISTOBAL)</t>
  </si>
  <si>
    <t>ACEITE HIDRAULICO</t>
  </si>
  <si>
    <t>ACEITE 2 T PARA MOTOCICLETA 1/4</t>
  </si>
  <si>
    <t>ACEITE MOTOR DE GASOLINA 1/4</t>
  </si>
  <si>
    <t>ACEITE DE MOTOR DIESEL  1/4</t>
  </si>
  <si>
    <t>GRASAS LUBRICANTE CAT</t>
  </si>
  <si>
    <t>PIONJAR 120 ATLAS COPCO (Combined Rock Drill/Breaker)</t>
  </si>
  <si>
    <t>COMPACTADOR DE IMPACTOS (MAQUITO)</t>
  </si>
  <si>
    <t>LUMINARIAS HALOGENAS DOBLES CON CARRO TRANSPORTADOR 2000 W</t>
  </si>
  <si>
    <t>LUMINARIAS HALOGENAS DOBLES CON PEDESTAL 500 W</t>
  </si>
  <si>
    <t>MOTOCORTADORA MANUAL DE DISCOS C/MOTOR COMBUSTION INTERNA (EK7651H)</t>
  </si>
  <si>
    <t>GOMAS 1100 X 20</t>
  </si>
  <si>
    <t>GOMAS 245/R15</t>
  </si>
  <si>
    <t>GOMAS 19.5L24</t>
  </si>
  <si>
    <t>GOMAS 12.5 X 80 X 18</t>
  </si>
  <si>
    <t xml:space="preserve">BATERIA  PARA INVERSOR </t>
  </si>
  <si>
    <t>Pala de Corte (Cuadrada)</t>
  </si>
  <si>
    <t>Palos Para Pico (Trupper)</t>
  </si>
  <si>
    <t>SERRUCHO DE 24"</t>
  </si>
  <si>
    <t xml:space="preserve">PINZAS DE SOLDAR </t>
  </si>
  <si>
    <t>Llave # 13</t>
  </si>
  <si>
    <t>LLAVE CADENA Ø6</t>
  </si>
  <si>
    <t>LLAVE CADENA Ø8</t>
  </si>
  <si>
    <t>LLAVE STILSON DE 16</t>
  </si>
  <si>
    <t>LLAVE AJUSTABLE DE 16"</t>
  </si>
  <si>
    <t>Abrazadera de ½”</t>
  </si>
  <si>
    <t>Abrazadera de 2x ¾”</t>
  </si>
  <si>
    <t>Abrazadera de 3x ½”</t>
  </si>
  <si>
    <t>Abrazadera de 6/2</t>
  </si>
  <si>
    <t>Abrazaderas de 2x ½”</t>
  </si>
  <si>
    <t>Abrazaderas de 2x ¾”</t>
  </si>
  <si>
    <t>Adaptador Hembra de ½” pvc</t>
  </si>
  <si>
    <t>Adaptador Hembra de 3/4" pvc</t>
  </si>
  <si>
    <t>Arena Reposicion Asiento Tuberias</t>
  </si>
  <si>
    <t>Cadena de 3/8" de Hierro</t>
  </si>
  <si>
    <t>CAJA DE HERRAMIENTA DE PLOMERIA</t>
  </si>
  <si>
    <t>Cajas Telecospicas de H.F. Para Válvulas</t>
  </si>
  <si>
    <t>Caliche Para Relleno Zanjas</t>
  </si>
  <si>
    <t>Candados de 2"</t>
  </si>
  <si>
    <t>LLAVES STILLSON 8"</t>
  </si>
  <si>
    <t>Cemento Solvente Para PVC</t>
  </si>
  <si>
    <t>Cinta Delimitadora Amarilla (Advertencia Peligro)</t>
  </si>
  <si>
    <t>Cinta Delimitadora Roja  (Advertencia Peligro)</t>
  </si>
  <si>
    <t>Cinta Métrica</t>
  </si>
  <si>
    <t>Cinta Teflón 1" Ancho</t>
  </si>
  <si>
    <t>Cinta Teflón 1/2" Ancho</t>
  </si>
  <si>
    <t>Cinta Teflón 3/4" Ancho</t>
  </si>
  <si>
    <r>
      <t xml:space="preserve">Clamp 2" x </t>
    </r>
    <r>
      <rPr>
        <b/>
        <sz val="10"/>
        <color theme="1"/>
        <rFont val="Arial Narrow"/>
        <family val="2"/>
      </rPr>
      <t>½” de Acero</t>
    </r>
  </si>
  <si>
    <t>Clamp 2" x ¾” de Acero</t>
  </si>
  <si>
    <t>Clamp de 3" x ¾” de Acero</t>
  </si>
  <si>
    <t>Clan de 4" X ¾” de Acero</t>
  </si>
  <si>
    <t>CLAMPS DE 6" ACERO</t>
  </si>
  <si>
    <t>CLAMPS DE 8" ACERO</t>
  </si>
  <si>
    <t>CLAMPS DE 12 ACERO</t>
  </si>
  <si>
    <t>CLAMPS DE 2 PVC</t>
  </si>
  <si>
    <t>CLAMPS DE 3 PVC</t>
  </si>
  <si>
    <t>CLAMPS DE 4 PVC</t>
  </si>
  <si>
    <t>CLAMPS DE 6 PVC</t>
  </si>
  <si>
    <t>Juego de Terraja</t>
  </si>
  <si>
    <t>Llave Chorro de ½” Bronce</t>
  </si>
  <si>
    <t>Llave Chorro de ¾” Bronce</t>
  </si>
  <si>
    <t>Llave de Paso ½” Bronce</t>
  </si>
  <si>
    <t>Llave de Paso ½” pvc</t>
  </si>
  <si>
    <t>Llave Paso de ¾” Bronce</t>
  </si>
  <si>
    <t>Llave Paso de ¾” pvc</t>
  </si>
  <si>
    <r>
      <t xml:space="preserve">Codos de </t>
    </r>
    <r>
      <rPr>
        <sz val="10"/>
        <color theme="1"/>
        <rFont val="Arial Narrow"/>
        <family val="2"/>
      </rPr>
      <t>½” H.G.</t>
    </r>
  </si>
  <si>
    <r>
      <t xml:space="preserve">Codos de </t>
    </r>
    <r>
      <rPr>
        <sz val="10"/>
        <color theme="1"/>
        <rFont val="Arial Narrow"/>
        <family val="2"/>
      </rPr>
      <t>½” pvc de Presión</t>
    </r>
  </si>
  <si>
    <t>Codos de ¾” H.G.</t>
  </si>
  <si>
    <t>Codos de ¾” pvc de Presión</t>
  </si>
  <si>
    <t>Codos de 1 ” H.G.</t>
  </si>
  <si>
    <t>Codos de 1 ” pvc de Presión</t>
  </si>
  <si>
    <r>
      <t>Codos de 1</t>
    </r>
    <r>
      <rPr>
        <sz val="10"/>
        <color theme="1"/>
        <rFont val="Arial Narrow"/>
        <family val="2"/>
      </rPr>
      <t>½” pvc de Presión</t>
    </r>
  </si>
  <si>
    <t>Codos de 2” P.V.C.  SCH-80</t>
  </si>
  <si>
    <t>Codos de 2” pvc de Presión</t>
  </si>
  <si>
    <t>Codos de 3” pvc de Presión</t>
  </si>
  <si>
    <t>Codos de 4” pvc de Presión</t>
  </si>
  <si>
    <t>Codos de 4” pvc  SCH-80</t>
  </si>
  <si>
    <t>Codos de 6” pvc de Presión</t>
  </si>
  <si>
    <t>CODO DE 1/2 PVC</t>
  </si>
  <si>
    <t>CODO 4 X 90 PRESION</t>
  </si>
  <si>
    <t>CODO 1  PVC</t>
  </si>
  <si>
    <t>CODOS 2 X 90 ACERO</t>
  </si>
  <si>
    <t>CODOS 2 X 90 PRESION</t>
  </si>
  <si>
    <t>CODOS 3 X 90 PRESION</t>
  </si>
  <si>
    <t>FOCOS GRANDE LINTERNA</t>
  </si>
  <si>
    <t>Coupling de ¾ H.G.</t>
  </si>
  <si>
    <t>Coupling de 1" H.G.</t>
  </si>
  <si>
    <t>Junta Dresser de 1”pvc</t>
  </si>
  <si>
    <t>Juntas Dresser de  ½”pvc</t>
  </si>
  <si>
    <t>Juntas Dresser de ¾”pvc</t>
  </si>
  <si>
    <t>Juntas Dresser de 1 ½”pvc</t>
  </si>
  <si>
    <t>ESCALERA DE ALUMINIO EXTENSIBLE 12 PIE</t>
  </si>
  <si>
    <t>GOMA AISLANTE 7/8 X 3/8 (TUBO 2)</t>
  </si>
  <si>
    <t>GOMA AISLANTE 7/8 X 3/8 (TUBO 3)</t>
  </si>
  <si>
    <t>GOMA AISLANTE 7/8 X 3/8 (TUBO 4)</t>
  </si>
  <si>
    <t>GOMA AISLANTE 7/8 X 3/8 (TUBO 8)</t>
  </si>
  <si>
    <t>GOMA AISLANTE 7/8 X 3/8 (TUBO 12)</t>
  </si>
  <si>
    <t>Unión Dresser de 1” pvc</t>
  </si>
  <si>
    <t>Union Universal SCH-80 de 2"</t>
  </si>
  <si>
    <t>Union Universal SCH-80 de 4"</t>
  </si>
  <si>
    <t xml:space="preserve">JUNTAS DRESSER </t>
  </si>
  <si>
    <t>Juntas Dresser de 2" de Acero</t>
  </si>
  <si>
    <t>Juntas Reductora Dresser de 12”  de Acero Tipo C</t>
  </si>
  <si>
    <t>Juntas Reductora Dresser de 12”  de Acero Tipo D</t>
  </si>
  <si>
    <t>Juntas Reductora Dresser de 3”  de Acero Tipo C</t>
  </si>
  <si>
    <t>Juntas Reductora Dresser de 3”  de Acero Tipo D</t>
  </si>
  <si>
    <t>Juntas Reductora Dresser de 4”  de Acero Tipo C</t>
  </si>
  <si>
    <t>Juntas Reductora Dresser de 4”  de Acero Tipo D</t>
  </si>
  <si>
    <t>Juntas Reductora Dresser de 6”  de Acero Tipo C</t>
  </si>
  <si>
    <t>Juntas Reductora Dresser de 6”  de Acero Tipo D</t>
  </si>
  <si>
    <t>Juntas Reductora Dresser de 8”  de Acero Tipo C</t>
  </si>
  <si>
    <t>Juntas Reductora Dresser de 8”  de Acero Tipo D</t>
  </si>
  <si>
    <t>JUNTAS DRESSER 12" HG</t>
  </si>
  <si>
    <t>JUNTAS DRESSER 16" REDUCTORAS TIPO B HG</t>
  </si>
  <si>
    <t>JUNTAS DRESSER 2" HG</t>
  </si>
  <si>
    <t>JUNTAS DRESSER 3" HG</t>
  </si>
  <si>
    <t>JUNTAS DRESSER 4" HG</t>
  </si>
  <si>
    <t>JUNTAS DRESSER 6" HG</t>
  </si>
  <si>
    <t>JUNTAS DRESSER 8" HG</t>
  </si>
  <si>
    <t>JUNTAS REDUCTORAS A ASBESTO CEMENTO TIPO B, Ø4"</t>
  </si>
  <si>
    <t>JUNTAS TIPO DRESSER Ø12"</t>
  </si>
  <si>
    <t>JUNTAS TIPO DRESSER Ø16"</t>
  </si>
  <si>
    <t>JUNTAS TIPO DRESSER Ø2"</t>
  </si>
  <si>
    <t>JUNTAS TIPO DRESSER Ø20"</t>
  </si>
  <si>
    <t>JUNTAS TIPO DRESSER Ø24"</t>
  </si>
  <si>
    <t>JUNTAS TIPO DRESSER Ø3"</t>
  </si>
  <si>
    <t>JUNTAS TIPO DRESSER Ø4"</t>
  </si>
  <si>
    <t>JUNTAS TIPO DRESSER Ø6"</t>
  </si>
  <si>
    <t>JUNTAS TIPO DRESSER Ø8"</t>
  </si>
  <si>
    <t>MOTOR PARA SULFATO Y POLIMERO</t>
  </si>
  <si>
    <t>MODULO PARA PLC</t>
  </si>
  <si>
    <t xml:space="preserve">VALVULAS SELENOIDES </t>
  </si>
  <si>
    <t>RELAY DE PANEL</t>
  </si>
  <si>
    <t>FUSIBLE PARA CONTROL DE MOTOR DE 800 HP</t>
  </si>
  <si>
    <t>FUSIBLE DE 150 AMPERE TIPO CARTUCHO</t>
  </si>
  <si>
    <t>EQUIPO DE OSICORTE</t>
  </si>
  <si>
    <t>JUNTAS REDUCTURAS A ASBESTO CEMENTO TIPO D, Ø20"</t>
  </si>
  <si>
    <t>MANGUERA AZUL REFORZADA 2"</t>
  </si>
  <si>
    <t>MANGUERA AZUL REFORZADA 4"</t>
  </si>
  <si>
    <t>Niple de 1 1/2" X 12"H.G.</t>
  </si>
  <si>
    <t>Niple de 1 1/2" X 6"H.G.</t>
  </si>
  <si>
    <t>Niple de 1" X 12"H.G.</t>
  </si>
  <si>
    <t>Niple de 1" X 6"H.G.</t>
  </si>
  <si>
    <t>Niple de 1/2" X 12"H.G.</t>
  </si>
  <si>
    <t>Niple de 1/2" X 6"H.G.</t>
  </si>
  <si>
    <t>Niple de 2" X 12"H.G.</t>
  </si>
  <si>
    <t>Niple de 2" X 6"H.G.</t>
  </si>
  <si>
    <t>Niple de 3" X 12"H.G.</t>
  </si>
  <si>
    <t>Niple de 3/4" X 12"H.G.</t>
  </si>
  <si>
    <t>Niple de 3/4" X 6"H.G.</t>
  </si>
  <si>
    <t>Niple de 4" X 12"H.G.</t>
  </si>
  <si>
    <t>RODAMIENTO NO. 6211ZZ</t>
  </si>
  <si>
    <t>RODAMIENTO NO. 6215ZZ</t>
  </si>
  <si>
    <t>RODAMIENTO NO. 6203</t>
  </si>
  <si>
    <t>RODAMIENTO NO. 6206</t>
  </si>
  <si>
    <t>RODAMIENTO NO. 6310ZZJC3</t>
  </si>
  <si>
    <t>RODAMIENTO NO. 6210ZZJC3</t>
  </si>
  <si>
    <t>RODAMIENTO NO. 6307</t>
  </si>
  <si>
    <t>RODAMIENTO NO. 7310B</t>
  </si>
  <si>
    <t>RODAMIENTO NO. 6212ZZ</t>
  </si>
  <si>
    <t>RODAMIENTO NO. 7314B</t>
  </si>
  <si>
    <t>RODAMIENTO NO. 6309</t>
  </si>
  <si>
    <t>Reducción 1x ¾”pvc tipo Bushing</t>
  </si>
  <si>
    <t>Reducción de 1 x ¾” pvc tipo Bushing</t>
  </si>
  <si>
    <t>Reducción de 1½”  X 1 pvc tipo Bushing</t>
  </si>
  <si>
    <t>Reducción de 2" X 1½” pvc tipo Bushing</t>
  </si>
  <si>
    <t>Reducción de 3 x 2” pvc tipo Bushing</t>
  </si>
  <si>
    <t>Reducción. de ¾”x ½” pvc tipo Bushing</t>
  </si>
  <si>
    <t xml:space="preserve">Soga 1" de Cabuya </t>
  </si>
  <si>
    <t xml:space="preserve">Soga 1/2" de Cabuya </t>
  </si>
  <si>
    <t>Soga 1/2" de Nylon</t>
  </si>
  <si>
    <t xml:space="preserve">Soga 3/4" de Cabuya </t>
  </si>
  <si>
    <t>Soga 3/4" de Nylon</t>
  </si>
  <si>
    <t>Tapón de 1" HG</t>
  </si>
  <si>
    <t>Tapón de 1"pvc</t>
  </si>
  <si>
    <t>Tapón de 2" pvc</t>
  </si>
  <si>
    <t>Tarugos 1/2" Plomo</t>
  </si>
  <si>
    <t>Tarugos 1/4" Plomo</t>
  </si>
  <si>
    <t>Tarugos 3/4" Plomo</t>
  </si>
  <si>
    <t>Tarugos 3/8" Plomo</t>
  </si>
  <si>
    <t>Tarugos 5/16" Plomo</t>
  </si>
  <si>
    <t>TAPONES HEMBRAS PVC PRESION Ø1"</t>
  </si>
  <si>
    <t>TAPONES HEMBRAS PVC PRESION Ø 1 1/2"</t>
  </si>
  <si>
    <t>TAPONES HEMBRAS PVC PRESION  Ø2"</t>
  </si>
  <si>
    <t>TAPONES HEMBRAS PVC PRESION Ø3"</t>
  </si>
  <si>
    <t>TAPONES HEMBRAS PVC PRESION Ø4"</t>
  </si>
  <si>
    <t>TAPONES HEMBRAS PVC PRESION Ø6"</t>
  </si>
  <si>
    <t>TAPONES DE 2" PVC</t>
  </si>
  <si>
    <t>TAPONES DE 3" PVC</t>
  </si>
  <si>
    <t>TAPONES DE 4" PVC</t>
  </si>
  <si>
    <t>TUERCA DE 3/4</t>
  </si>
  <si>
    <t>Tee de ½” H.G.</t>
  </si>
  <si>
    <t>Tee de ½” pvc de Presión</t>
  </si>
  <si>
    <t>Tee de ¾” H.G.</t>
  </si>
  <si>
    <t>Tee de ¾” pvc de Presión</t>
  </si>
  <si>
    <t>Tee de 1 ” H.G.</t>
  </si>
  <si>
    <t>Tee de 1 ” pvc de Presión</t>
  </si>
  <si>
    <t>Tee de 1½” H.G.</t>
  </si>
  <si>
    <t>Tee de 1½” pvc de Presión</t>
  </si>
  <si>
    <t>Tee de 2” Acero</t>
  </si>
  <si>
    <t>Tee de 2” H.G.</t>
  </si>
  <si>
    <t>Tee de 2” PVC  SCH-80</t>
  </si>
  <si>
    <t>Tee de 2” pvc de Presión</t>
  </si>
  <si>
    <t>Tee de 3” Acero</t>
  </si>
  <si>
    <t>Tee de 3” H.G.</t>
  </si>
  <si>
    <t>TEE PVC PRESION 4"X 4"</t>
  </si>
  <si>
    <t xml:space="preserve">TEE PVC PRESION 6" X 6" </t>
  </si>
  <si>
    <t>Tee de 3” pvc de Presión</t>
  </si>
  <si>
    <t>Tee de 4” Acero</t>
  </si>
  <si>
    <t>Tee de 4” H.G.</t>
  </si>
  <si>
    <t>Tee de 4” pvc de Presión</t>
  </si>
  <si>
    <t>Tee de 4” pvc SCH-80</t>
  </si>
  <si>
    <t>Tee de 6” Acero</t>
  </si>
  <si>
    <t>Tee de 6” pvc</t>
  </si>
  <si>
    <t>Tee de 6” pvc de Presión</t>
  </si>
  <si>
    <t>Thinner</t>
  </si>
  <si>
    <t>Tornillos Tipo Diablito 1 1/2"</t>
  </si>
  <si>
    <t>Tornillos Tipo Diablito 2"</t>
  </si>
  <si>
    <t>Tornillos Tirafondo Rosca Completa Cabeza Avellanada 1/4" x 1 1/2"</t>
  </si>
  <si>
    <t>Tornillos Tirafondo Rosca Completa Cabeza Avellanada 1/4" x 1"</t>
  </si>
  <si>
    <t>Tornillos Tirafondo Rosca Completa Cabeza Avellanada 3/16" x 1"</t>
  </si>
  <si>
    <t>Tornillos Tirafondo Rosca Completa Cabeza Avellanada 3/16" x 3/4"</t>
  </si>
  <si>
    <t>Tornillos Tirafondo Rosca Completa Cabeza Avellanada 5/16" x 1 1/2"</t>
  </si>
  <si>
    <t>Tornillos Tirafondo Rosca Completa Cabeza Avellanada 5/16" x 2"</t>
  </si>
  <si>
    <t>Tornillos Tirafondo Rosca Completa Cabeza Hexagonal 1/4" x 1 1/2"</t>
  </si>
  <si>
    <t>Tornillos Tirafondo Rosca Completa Cabeza Hexagonal 1/4" x 1"</t>
  </si>
  <si>
    <t>Tornillos Tirafondo Rosca Completa Cabeza Hexagonal 3/16" x 1"</t>
  </si>
  <si>
    <t>Tornillos Tirafondo Rosca Completa Cabeza Hexagonal 3/16" x 3/4"</t>
  </si>
  <si>
    <t>Tornillos Tirafondo Rosca Completa Cabeza Hexagonal 5/16" x 1 1/2"</t>
  </si>
  <si>
    <t>Tornillos Tirafondo Rosca Completa Cabeza Hexagonal 5/16" x 2"</t>
  </si>
  <si>
    <t>Tornillos Tirafondo Rosca Completa Cabeza Redonda Estrellada 1/4" x 1 1/2"</t>
  </si>
  <si>
    <t>Tornillos Tirafondo Rosca Completa Cabeza Redonda Estrellada 1/4" x 1"</t>
  </si>
  <si>
    <t>Tornillos Tirafondo Rosca Completa Cabeza Redonda Estrellada 3/16" x 1"</t>
  </si>
  <si>
    <t>Tornillos Tirafondo Rosca Completa Cabeza Redonda Estrellada 3/16" x 3/4"</t>
  </si>
  <si>
    <t>Tornillos Tirafondo Rosca Completa Cabeza Redonda Estrellada 5/16" x 1 1/2"</t>
  </si>
  <si>
    <t>Tornillos Tirafondo Rosca Completa Cabeza Redonda Estrellada 5/16" x 2"</t>
  </si>
  <si>
    <t>tubo de  2” pvc sdr-26</t>
  </si>
  <si>
    <t>Tubo de ½” HG</t>
  </si>
  <si>
    <t>Tubo de ½” P.V.C.  SCH-40</t>
  </si>
  <si>
    <t>Tubo de ¾” HG</t>
  </si>
  <si>
    <t>Tubo de ¾” P.V.C.  SCH-40</t>
  </si>
  <si>
    <t>Tubo de 1” HG</t>
  </si>
  <si>
    <t>Tubo de 1” P.V.C.  SCH-40</t>
  </si>
  <si>
    <t>Tubo de 1½” HG</t>
  </si>
  <si>
    <t>Tubo de 1½” P.V.C.  SCH-40</t>
  </si>
  <si>
    <t>Tubo de 12" pvc SDR-26</t>
  </si>
  <si>
    <t>Tubo de 12’’ de Acero</t>
  </si>
  <si>
    <t>Tubo de 16" pvc SDR-26</t>
  </si>
  <si>
    <t xml:space="preserve">tubo de 16’’ pvc  sdr-26     </t>
  </si>
  <si>
    <t>Tubo de 2” HG</t>
  </si>
  <si>
    <t>Tubo de 2” P.V.C.  SCH-40</t>
  </si>
  <si>
    <t>Tubo de 2” P.V.C.  SCH-80</t>
  </si>
  <si>
    <t>Tubo de 20" PVC-SDR-26</t>
  </si>
  <si>
    <t>Tubo de 24” PVC-SDR-26</t>
  </si>
  <si>
    <t>Tubo de 3" pvc SDR-26</t>
  </si>
  <si>
    <t>Tubo de 3’’ de Acero</t>
  </si>
  <si>
    <t>Tubo de 4" pvc SDR-26</t>
  </si>
  <si>
    <t>Tubo de 4” P.V.C.  SCH-80</t>
  </si>
  <si>
    <t>Tubo de 4’’ de Acero</t>
  </si>
  <si>
    <t>Tubo de 6" pvc SDR-26</t>
  </si>
  <si>
    <t>Tubo de 6’’ de Acero</t>
  </si>
  <si>
    <t>Tubo de 8" pvc SDR-26</t>
  </si>
  <si>
    <t>Tubo de 8’’ de Acero</t>
  </si>
  <si>
    <t>TORNILLO ALLEN INOX 1/4 X1</t>
  </si>
  <si>
    <t>TUBOS DE ACERO  L=19' e=1/4" Ø6"</t>
  </si>
  <si>
    <t>TUBOS DE ACERO  L=19' e=1/4" Ø8"</t>
  </si>
  <si>
    <t>TUBOS DE ACERO  L=19' e=1/4" Ø12"</t>
  </si>
  <si>
    <t>TUBOS DE PVC  L=19' e=1/4" Ø16"</t>
  </si>
  <si>
    <t>TUBOS DE ACERO  L=19' e=3/8" Ø4"</t>
  </si>
  <si>
    <t>TUBOS DE ACERO  L=19' e=3/8" Ø6"</t>
  </si>
  <si>
    <t>TUBOS DE ACERO  L=19' e=3/8" Ø12"</t>
  </si>
  <si>
    <t>TUBOS DE ACERO  L=19' e=3/8" Ø16"</t>
  </si>
  <si>
    <t>CONDULET  Ø2"</t>
  </si>
  <si>
    <t>CONDULET  Ø3"</t>
  </si>
  <si>
    <t>CONDULET Ø4</t>
  </si>
  <si>
    <t>Válvula de 02” HF Platillada C/Niples, Tornillos, Juntas de Goma y Vástago Fijo</t>
  </si>
  <si>
    <t>Válvula de 02” HF Roscada C/Niples y Vástago Fijo</t>
  </si>
  <si>
    <t>Válvula de 03”  HF Platillada C/Niples, Tornillos, Juntas de Goma y Vástago Fijo</t>
  </si>
  <si>
    <t>Válvula de 03” HF Roscada C/Niples y Vástago Fijo</t>
  </si>
  <si>
    <t>Válvula de 04”  HF Platillada C/Niples, Tornillos, Juntas de Goma y Vástago Fijo</t>
  </si>
  <si>
    <t>Válvula de 04” HF  Roscada C/Niples y Vástago Fijo</t>
  </si>
  <si>
    <t>Válvula de 06”  HF Platillada C/Niples, Tornillos, Juntas de Goma y Vástago Fijo</t>
  </si>
  <si>
    <t>Válvula de 06” HF Roscada C/Niples y Vástago Fijo</t>
  </si>
  <si>
    <t>Válvula de 08”  HF Platillada C/Niples, Tornillos, Juntas de Goma y Vástago Fijo</t>
  </si>
  <si>
    <t>Válvula de 08” HF  Roscada C/Niples y Vástago Fijo</t>
  </si>
  <si>
    <t>Válvula de 12”  HF Platillada C/Niples, Tornillos, Juntas de Goma y Vástago Fijo</t>
  </si>
  <si>
    <t>Válvula de 12” HF  Roscada C/Niples y Vástago Fijo</t>
  </si>
  <si>
    <t>Válvula de 16”  HF Platillada C/Niples, Tornillos, Juntas de Goma y Vástago Fijo</t>
  </si>
  <si>
    <t>Válvula de 16” HF  Roscada C/Niples y Vástago Fijo</t>
  </si>
  <si>
    <t>Vidrio de Soldar</t>
  </si>
  <si>
    <t>VALVULA Ø2", PLATILLADA DE CUADRANTE CON SUS NIPLES GOMAS Y TORNILLOS P150 PSI</t>
  </si>
  <si>
    <t>VALVULA HF Ø20 VASTAGO FIJO PLATILLADA Y VOLANTA CON JUNTA DE GOMA Y TORNILLO PARA 125 PSI CON SUS DOS PLATILLOS (SEDIMENTADORES DE PLANTA)</t>
  </si>
  <si>
    <t>VALVULA HF Ø16 VASTAGO FIJO PLATILLADA Y VOLANTA CON JUNTA DE GOMA Y TORNILLO PARA 125 PSI CON SUS DOS PLATILLOS (SEDIMENTADORES DE PLANTA)</t>
  </si>
  <si>
    <t>VALVULA DE COMPUERTA, VASTAGO DESLIZABLE Y VOLANTA PARA 150 PSI Ø12", CON SUS DOS NIPLES PLATILLADOS, CON SU JUNTA DE GOMA, TORNILLOS Y TUERCAS</t>
  </si>
  <si>
    <t xml:space="preserve">VALVULA Ø20" HF TIPO MARIPOSA PARA 300 PSI </t>
  </si>
  <si>
    <t xml:space="preserve">VALVULA Ø16" HF TIPO MARIPOSA PARA 300 PSI </t>
  </si>
  <si>
    <t>VALVULA DE AIRE  Ø6", INCLUYE DOS NIPLES ROSCADOS DE 1´ Y LLAVE DE PASO DE DOBLE ACCION</t>
  </si>
  <si>
    <t>Lámparas tipo Secador para poste a 220 Voltios.</t>
  </si>
  <si>
    <t>GUIAS DE BRONCE DE  (PARA EJES DE 1 1/4" O 1 1/2") Ø4"</t>
  </si>
  <si>
    <t>Aceite para motor 2 tiempos</t>
  </si>
  <si>
    <t>Aceite para motor 4 tiempos, POULAN PROWEEDEATER</t>
  </si>
  <si>
    <t>Agua para Baterias</t>
  </si>
  <si>
    <t>Alambre conductor #10 AWG Negro</t>
  </si>
  <si>
    <t>Alambre conductor #10 AWG Rojo</t>
  </si>
  <si>
    <t>Alambre conductor #12AWG</t>
  </si>
  <si>
    <t>Alambre de Aluminio 2/0 Triple 3Hilos</t>
  </si>
  <si>
    <t>Alambre de Cobre #12</t>
  </si>
  <si>
    <t>Alicate Eléctrico</t>
  </si>
  <si>
    <t>Amperímetro</t>
  </si>
  <si>
    <t>Arrancador Magnético para motor de 100HP, Trifásico 460 Voltios.</t>
  </si>
  <si>
    <t>Arrancador Magnético para motor de 20HP, Trifásico 460 Voltios</t>
  </si>
  <si>
    <t>Arrancador Magnético para motor de 30HP, Trifásico 460 Voltios</t>
  </si>
  <si>
    <t>Arrancador Magnético para motor de 40HP, Trifásico 460 Voltios</t>
  </si>
  <si>
    <t>Arrancador Magnético para motor de 75HP, Trifásico 460 Voltios.</t>
  </si>
  <si>
    <t>ALAMBRE SUMERGIBLE 2/4</t>
  </si>
  <si>
    <t>Curvas de 1/2" PVC SDR-26</t>
  </si>
  <si>
    <t>Curvas de 3/4" PVC SDR-26</t>
  </si>
  <si>
    <t>Diferencial de 5 Toneladas</t>
  </si>
  <si>
    <t>Enchufes para Termiles</t>
  </si>
  <si>
    <t>Fusible CC-TRON, 600V, FNQ-R-2-1/2</t>
  </si>
  <si>
    <t>DIFERENCIAL ELECTRICO DE 3 TON 220V 60HZ Ø1 CON SU CONTROL</t>
  </si>
  <si>
    <t>Conectores de Aluminio Tipo Sillita 2/0</t>
  </si>
  <si>
    <t>Conectores de Cobre Tipo H-2/0</t>
  </si>
  <si>
    <t>Conectores para terminales 4/0</t>
  </si>
  <si>
    <t>Conectores para terminales 500MCM</t>
  </si>
  <si>
    <t>Correas Tairrat de  1/4</t>
  </si>
  <si>
    <t>Tairrat de 1  1/4"</t>
  </si>
  <si>
    <t>Sepo Para Columna de Tuberia 8"</t>
  </si>
  <si>
    <t>SPRAI PENETRANTE</t>
  </si>
  <si>
    <t>Guante con Aislante de Goma</t>
  </si>
  <si>
    <t>Guante de Tela Para Obreros</t>
  </si>
  <si>
    <t>Interruptor Doble</t>
  </si>
  <si>
    <t>Interruptor Triple</t>
  </si>
  <si>
    <t>Juego de Llaves de Cubos</t>
  </si>
  <si>
    <t>Lima Redonda</t>
  </si>
  <si>
    <t>LOVEJOY #36405</t>
  </si>
  <si>
    <t>Moto-Soldadora y Generador Electrico Gasoil</t>
  </si>
  <si>
    <t>Prensa para tubería HG Ø2-6"</t>
  </si>
  <si>
    <t>Relay Trifásico con Contactos Auxiliares NO y NC  P/15 hp</t>
  </si>
  <si>
    <t>Relay Trifásico con Contactos Auxiliares NO y NC  P/25 hp</t>
  </si>
  <si>
    <t>Retenedora #470565</t>
  </si>
  <si>
    <t>Retenedora #472164</t>
  </si>
  <si>
    <t>Retenedora #6307SNR</t>
  </si>
  <si>
    <t>Rodamiento #6212ZNR</t>
  </si>
  <si>
    <t>Rodamiento #6310.2ZR.C3.L386</t>
  </si>
  <si>
    <t>Rodamiento #6311/C3</t>
  </si>
  <si>
    <t>Rodamiento #6312ZZ</t>
  </si>
  <si>
    <t>Sepo Para Columna de Tuberia 10"</t>
  </si>
  <si>
    <t>Sepo Para Columna de Tuberia 12"</t>
  </si>
  <si>
    <t>Sepo Para Columna de Tuberia 6"</t>
  </si>
  <si>
    <t>MANOMETROS DE 0-100 PSI, SUMERGIDO EN GLILCERINA</t>
  </si>
  <si>
    <t>MANOMETROS DE 0-60 PSI</t>
  </si>
  <si>
    <t>Arrancador Suave SOFT STARTER 350 hp</t>
  </si>
  <si>
    <t>Bombillas de Mercurio de 220Volt.</t>
  </si>
  <si>
    <t>Breacker de 1,200 Amp. Para Switch de Transferencia Automatica.</t>
  </si>
  <si>
    <t>Breaker de 20 AMP</t>
  </si>
  <si>
    <t>Breaker de 40 AMP</t>
  </si>
  <si>
    <t>Breaker Trifásico 690 Volts. A 60 AMP</t>
  </si>
  <si>
    <t>Breaker Trifásico 690 Volts. A 80 AMP</t>
  </si>
  <si>
    <t>Breaker Trifásico 690 Volts. A 90 AMP</t>
  </si>
  <si>
    <t>Breaker Trifásico a 690 Voltios. 125 AMP P/Motor de 75HP</t>
  </si>
  <si>
    <t>Breaker Trifásico a 690 Voltios. 150 AMP</t>
  </si>
  <si>
    <t>Breaker Trifásico a 690 Voltios. 200 AMP</t>
  </si>
  <si>
    <t>Breaker Trifásico a 690 Voltios. 80 AMP P/Motor de 60HP</t>
  </si>
  <si>
    <t>Cajas de Breaker</t>
  </si>
  <si>
    <t>BREAKERS DE 150 AMP 600V Ø3</t>
  </si>
  <si>
    <t>BREAKERS 300 AMP, Ø3 690 VAC CON CONECTOR TIPO SILLA</t>
  </si>
  <si>
    <t>BREAKERS INDUSTRIAL 200AMP, Ø3 600 V, 60HZ</t>
  </si>
  <si>
    <t>Monitores de Fase Trifásico Regulado a 20% a 440Voltios</t>
  </si>
  <si>
    <t>MOTORES ELÉCTRICOS SUMERGIBLES, 1Ø, 230 /460 VOLTIOS, 60HZ, 1.15 FS, 3,450 RPM 7.5 HP NEMA 6</t>
  </si>
  <si>
    <t>Electrobomba Sumergible no Atascable de 1500GPM vs 100pie de TDH, con motor de 60HP, 3Ø,4560V, conexión PART WINDING</t>
  </si>
  <si>
    <t>Electrobomba Sumergible no Atascable de 2500GPM vs 100pie de TDH, con motor de 100HP, 3Ø,4560V, conexión PART WINDING</t>
  </si>
  <si>
    <t>Panel Electrico Combinado para 60HP, 3Ø, 60Hz, 460V, tipo PART WINDING, con proteccion de sobre carga, bajo y alto voltaje, perdida e inversion de fase</t>
  </si>
  <si>
    <t>Panel Electrico Combinado para 60HP, 3Ø, 60Hz, 460V, tipo ESTRELLA DELTA, con proteccion de sobre carga, bajo y alto voltaje, perdida e inversion de fase</t>
  </si>
  <si>
    <t>BATERIA CICLO PROFUNDO 6V, 225 AMP, gelatina</t>
  </si>
  <si>
    <t>BARRAS ROSCADAS 1/2 PARA juntas</t>
  </si>
  <si>
    <t>Temporizador TYPE: JSZ3F OFF DELAY</t>
  </si>
  <si>
    <t>Temporizador TYPE: STEPF OFF DELAY</t>
  </si>
  <si>
    <t>Temporizadores On-Line, 30Seg-30M con su base 120 Voltios</t>
  </si>
  <si>
    <t>Temporizadores On-Line, 30Seg-30M con su base, 220 Voltios.</t>
  </si>
  <si>
    <t>Tomas Corriente 110V</t>
  </si>
  <si>
    <t>Tomas Corriente 220V</t>
  </si>
  <si>
    <t>Tubos Fluorecente 32W x 4'</t>
  </si>
  <si>
    <t>Unidad de Relays  Térmica P/80 AMP (60-100)</t>
  </si>
  <si>
    <t>Tape 33 - Súper 3M - Plastico Vinyl</t>
  </si>
  <si>
    <t>Tape 3M - Goma</t>
  </si>
  <si>
    <t>Motor electrico Horizontal De eje solido de 2 HP, 3Ø, a 220V,</t>
  </si>
  <si>
    <t>Atrapa mariposas(P/sacar materiales solidos) de los sedimentadores.</t>
  </si>
  <si>
    <t>und</t>
  </si>
  <si>
    <t>DATACENTER/ DIGITALIZACION</t>
  </si>
  <si>
    <t>WINFLUID</t>
  </si>
  <si>
    <t>ARCHIVO DE METAL 8 1/2 X 11 4 GAVETAS (DE ESCRITORIO)</t>
  </si>
  <si>
    <t>SOBRILLA GRANDE</t>
  </si>
  <si>
    <t xml:space="preserve">SACAPUNTAS ELECTRICO </t>
  </si>
  <si>
    <t>CINTA MAQUINA DE ESCRIBIR ELECTRICA  NO.188</t>
  </si>
  <si>
    <t xml:space="preserve">SOBRES MANILA 8 1/2 X 14 CAJAS </t>
  </si>
  <si>
    <t xml:space="preserve">SOBRES MANILA 8 1/2 Z 16 </t>
  </si>
  <si>
    <t>ROLLO PAPEL 3 COPIAS (PRINTER P. VENTA)</t>
  </si>
  <si>
    <t>TONER HP 35A</t>
  </si>
  <si>
    <t>TONER HP 278A</t>
  </si>
  <si>
    <t xml:space="preserve">CINTA PARA PRINTER EPSON TM-U220D </t>
  </si>
  <si>
    <t>TONER SHARP AL-100 TD</t>
  </si>
  <si>
    <t>TONER CANON CE505X/CRG-119II/319II/719H-EP719H</t>
  </si>
  <si>
    <t xml:space="preserve">LETREROS DE ADVERTENCIA DEL INAPA </t>
  </si>
  <si>
    <t>PODADORA DE HILO CON MOTOR DE COMBUSTION INTERNA (2 TIEMPOS)</t>
  </si>
  <si>
    <t>ESTUFA  DE 20</t>
  </si>
  <si>
    <t>TELEVISION PANASONIC LCD 32</t>
  </si>
  <si>
    <t>BOTAS DE GOMA No. 40</t>
  </si>
  <si>
    <t>BOTAS DE GOMA No. 41</t>
  </si>
  <si>
    <t>BOTAS DE GOMA No. 42</t>
  </si>
  <si>
    <t>BOTAS DE GOMA No. 47</t>
  </si>
  <si>
    <t>REHABILITACION DE 6 POZOS EXISTENTES EN LAS COMUNIDADES EL ROSARIO, EL HATICO, EL GUANAL, MATAYAYA, BARRANCA, LOS CAMBRONES Y CAÑAFISTOL</t>
  </si>
  <si>
    <t>LEVANTAMIENTO TOPOGRAFICO ALCANTARILLADO SANITARIO DE LOS SECTORES LOS CORBANOS, PROVINCIA SAN JUAN</t>
  </si>
  <si>
    <t>LEVANTAMIENTO TOPOGRAFICO Y DISEÑO PARA LA CONSTRUCCION DEL ACUEDUCTO DE RANCHO COPEY - EL CARRIL</t>
  </si>
  <si>
    <t>LEVANTAMIENTO TOPOGRAFICO Y DISEÑO PARA LA CONSTRUCCION DEL ACUEDUCTO DE EL CAPA, SAN JUAN</t>
  </si>
  <si>
    <t>LEVANTAMIENTO TOPOGRAFICO PARA EL ALCANTARILLADO SANITARIO Y COLOCACION DE LAS REDES DE DISTRIBUCION DE AGUA POTABLE EN EL SECTOR LOS MAESTROS, SAN JUAN</t>
  </si>
  <si>
    <t>LEVANTAMIENTO TOPOGRAFICO PARA LA COLOCACION DE LA REDES DE DISTRIBUCION DE AGUA POTABLE EN EL SECTOR HERMANAS MIRABAL, SAN JUAN</t>
  </si>
  <si>
    <t>LEVANTAMIENTO TOPOGRAFICO PARA LA SUSTITUCION DE LA LINEA DE CONDUCCION DEL ACUEDUCTO DE LOS CORBANOS, SAN JUAN</t>
  </si>
  <si>
    <t>LEVANTAMIENTO TOPOGRAFICO PARA EL DISEÑO Y COLOCACION DE LA LINEA DE INMPULSION DE HOGARES CREA, SAN JUAN</t>
  </si>
  <si>
    <t>LEVANTAMIENTO TOPOGRAFICO PARA EL ALCANTARILLADO SANITARIO EN EL MUNICIPIO DE JUAN DE HERRERA, PROVINCIA SAN JUAN</t>
  </si>
  <si>
    <t>LEVANTAMIENTO TOPOGRAFICO PARA EL ALCANTARILLADO SANITARIO EN EL MUNICIPIO DE BOHECHIO, PROVINCIA SAN JUAN</t>
  </si>
  <si>
    <t>LEVANTAMIENTO TOPOGRAFICO PARA EL ALCANTARILLADO SANITARIO EN EL MUNICIPIO DE VALLEJUELO, PROVINCIA SAN JUAN</t>
  </si>
  <si>
    <t>LEVANTAMIENTO TOPOGRAFICO PARA EL ALCANTARILLADO SANITARIO EN EL MUNICIPIO DE EL CERCADO, PROVINCIA SAN JUAN</t>
  </si>
  <si>
    <t>DISEÑO Y CONSTRUCCION DEL EDIFICIO REGIONAL INAPA, SAN JUAN - ELIAS PIÑA</t>
  </si>
  <si>
    <t>hay que colocar goma roja</t>
  </si>
  <si>
    <t>verificar el presupuesto hecho al bid… primera acapite parte final</t>
  </si>
  <si>
    <t xml:space="preserve"> </t>
  </si>
  <si>
    <t>ACEITE DE TRANSMISION MECANICA 80W90</t>
  </si>
  <si>
    <t>ACEITE W-50 (55GLS)</t>
  </si>
  <si>
    <t>COOLANT 50/50</t>
  </si>
  <si>
    <t>GRASA PESADA PARA ALTA TEMPERATURA 85W-140</t>
  </si>
  <si>
    <t>JUEGO DE LLAVE MECANICA MILIMETRICAS</t>
  </si>
  <si>
    <t>JUEGO DE LLAVE MECANICA EN PULGADAS</t>
  </si>
  <si>
    <t>SERVICIO DE TRANSPORTE DE CONTENEDORES</t>
  </si>
  <si>
    <t>SERVICIO DE TRANSPORTE DE REPARACION DE ASCENSOR</t>
  </si>
  <si>
    <t xml:space="preserve">SERVICIO DE REPARACION DE VEHICULO </t>
  </si>
  <si>
    <t>MINIBUS 15 PASAJEROS</t>
  </si>
  <si>
    <t>VEHICULOS LIVIANOS TIPO JEEPETA</t>
  </si>
  <si>
    <t>CAMION PERFORADOR</t>
  </si>
  <si>
    <t>MONTACARGAS</t>
  </si>
  <si>
    <t xml:space="preserve">CAMION SUCCIONADOR </t>
  </si>
  <si>
    <t>ELEVADORES DE CUATRO PINES PARA MANTENIMIENTO DE VEHICULOS.</t>
  </si>
  <si>
    <t>CAMION PATANA CON SU COLA DE 40 PIES</t>
  </si>
  <si>
    <t>NEUMATICOS CAMION 7.00-16 12PR 115/111J T494</t>
  </si>
  <si>
    <t>TUBO NEUMATICOS 7.00R16 R230</t>
  </si>
  <si>
    <t>NEUMATICOS 7.00-15 8PR T494</t>
  </si>
  <si>
    <t>TUBO NEUMATICOS 7.00-15 TR75A</t>
  </si>
  <si>
    <t>NEUMATICO 225/70R16 102/99S HT684 II (CR)</t>
  </si>
  <si>
    <t xml:space="preserve">NEUMATICOS VEHICULOS LIVIANO 225/70R15 100S </t>
  </si>
  <si>
    <t xml:space="preserve">NEUMATICOS 245/70R16 106S </t>
  </si>
  <si>
    <t>NEUMATICO 265/70R16 111S A/T(CR)</t>
  </si>
  <si>
    <t>NEUMATICO VEHICULOS LIVIANO 245/70R16 111S A/T D694</t>
  </si>
  <si>
    <t>NEUMATICO VEHICULOS LIVIANO 255/70R16 109S  A/T</t>
  </si>
  <si>
    <t>NEUMATICO VEHICULOS LIVIANO 255/70R15 108S  INDY500</t>
  </si>
  <si>
    <t>195R14C 8PR 106/104Q FIRESTONE CV3000 (CR)</t>
  </si>
  <si>
    <t>195R15C 8PR 106/104Q FIRESTONE TRANSFORCE H/T (CR)</t>
  </si>
  <si>
    <t>NEUMATICO 235/60R16 99S A/T</t>
  </si>
  <si>
    <t>NEUMATICO 165/70R14 81T F-590</t>
  </si>
  <si>
    <t>NEUMATICO 235/70R16 104S A/T</t>
  </si>
  <si>
    <t xml:space="preserve">NEUMATICO 185/65R15 88T </t>
  </si>
  <si>
    <t>NEUMATICO 12.00R20 154/150K 18PR M840 TH</t>
  </si>
  <si>
    <t>NEUMATICO 11.00R20 16PR 150/146K M857 TH</t>
  </si>
  <si>
    <t>TUBO NEUMATICO 11.00R20 TR78A</t>
  </si>
  <si>
    <t>NEUMATICO 10.00R20 16PR 146/143K  M840</t>
  </si>
  <si>
    <t>TUBO NEUMATICO 10.00R20 TR78A</t>
  </si>
  <si>
    <t>NEUMATICO 11R22.5 16PR FS-567 (BR)</t>
  </si>
  <si>
    <t>NEUMATICO 265/65R18 112S A/T RH-S</t>
  </si>
  <si>
    <t xml:space="preserve">NEUMATICO 6.50-10 </t>
  </si>
  <si>
    <t>NEUMATICO 7.00 X 12 /5.00  M2 (macizas)</t>
  </si>
  <si>
    <t>NEUMATICO 7.00 X 12 14PR T-900</t>
  </si>
  <si>
    <t xml:space="preserve">TUBO NEUMATICO 7.00-12 </t>
  </si>
  <si>
    <t xml:space="preserve">NEUMATICO 6.50-10 10PR </t>
  </si>
  <si>
    <t>NEUMATICO 6.50-10 STANDARD (maciza)</t>
  </si>
  <si>
    <t xml:space="preserve">TUBO NEUMATICO 6.50-10 </t>
  </si>
  <si>
    <t>NEUMATICO 9.00R20 14PR 140/137K M857 (combinado)</t>
  </si>
  <si>
    <t xml:space="preserve">9.00R20 TUBO NEUMATICO V.L </t>
  </si>
  <si>
    <t>NEUMATICO 11R24.5 16PR R250 (carretera)</t>
  </si>
  <si>
    <t>NEUMATICO 11R24.5 16PR M853 (combinado)</t>
  </si>
  <si>
    <t>NEUMATICO 19.5I/24R4 RETRO PALA</t>
  </si>
  <si>
    <t>NEUMATICO 12.5/80-18R4 RETRO PALA</t>
  </si>
  <si>
    <t>JUEGO DE CUBO AMERICANO PULGADA</t>
  </si>
  <si>
    <t>JUEGO DE CUBO MILIMETRICO</t>
  </si>
  <si>
    <t>CUBOS DE IMPACTO 10</t>
  </si>
  <si>
    <t>CUBOS DE IMPACTO 12</t>
  </si>
  <si>
    <t>CUBOS DE IMPACTO 13</t>
  </si>
  <si>
    <t>CUBOS DE IMPACTO 14</t>
  </si>
  <si>
    <t>CUBOS DE IMPACTO 15</t>
  </si>
  <si>
    <t>CUBOS DE IMPACTO 16</t>
  </si>
  <si>
    <t>CUBOS DE IMPACTO 17</t>
  </si>
  <si>
    <t>CUBOS DE IMPACTO 18</t>
  </si>
  <si>
    <t>CUBOS DE IMPACTO 19</t>
  </si>
  <si>
    <t>CUBOS DE IMPACTO 20</t>
  </si>
  <si>
    <t>CUBOS DE IMPACTO 21</t>
  </si>
  <si>
    <t>CUBOS DE IMPACTO 22</t>
  </si>
  <si>
    <t>CUBOS DE IMPACTO 24</t>
  </si>
  <si>
    <t xml:space="preserve">CUBOS DE IMPACTO 1 </t>
  </si>
  <si>
    <t>CUBOS DE IMPACTO 1 1/2</t>
  </si>
  <si>
    <t>CUBOS DE IMPACTO 1 3/4</t>
  </si>
  <si>
    <t>CUBOS DE IMPACTO 1/2</t>
  </si>
  <si>
    <t>CUBOS DE IMPACTO 3/4</t>
  </si>
  <si>
    <t>CUBOS DE IMPACTO 9/16</t>
  </si>
  <si>
    <t>RASTRILLO ARAÑA PARA HOJAS</t>
  </si>
  <si>
    <t>GUANTES DE MANGA LARGA PARA JARDINERIA</t>
  </si>
  <si>
    <t>MANGUERA DE 75 PIES REFORZADA</t>
  </si>
  <si>
    <t>IMPRESORA A COLOR</t>
  </si>
  <si>
    <t>EGA GRANDE</t>
  </si>
  <si>
    <t>FECHEROS</t>
  </si>
  <si>
    <t>TINTA NEGRA PARA SELLOS</t>
  </si>
  <si>
    <t>ALMOHADILLA PARA SELLOS</t>
  </si>
  <si>
    <t>CARTUCHO HP LASER JET P1102W</t>
  </si>
  <si>
    <t>TONER HP 51A)</t>
  </si>
  <si>
    <t>TONER LASER JET PRO 1320 HP</t>
  </si>
  <si>
    <t>TONER HP LASER JET PRO MFP M22DW</t>
  </si>
  <si>
    <t>TONER HP LASER JET MFPM725 HP</t>
  </si>
  <si>
    <t>TONER XEROX 4150</t>
  </si>
  <si>
    <t>GRABADORA</t>
  </si>
  <si>
    <t>MAQUINA DE RAYOS X</t>
  </si>
  <si>
    <t>DETECTOR DE METALES</t>
  </si>
  <si>
    <t>INSTALACION Y PROGRAMACION</t>
  </si>
  <si>
    <t>ACEITE PARA MANTENIMIENTO DE ACERO</t>
  </si>
  <si>
    <t>ESMERIL PARA BRILLAR ACERO</t>
  </si>
  <si>
    <t>BAMBA DESTAPA CAÑOS</t>
  </si>
  <si>
    <t>ALFOMBRA DE GOMA AZUL</t>
  </si>
  <si>
    <t>NEVERA EJECUTIVA</t>
  </si>
  <si>
    <t>BOTAS DE CUERO NEGRO 8 1/2</t>
  </si>
  <si>
    <t>BOTAS DE CUERO NEGRO 9</t>
  </si>
  <si>
    <t>BOTAS DE TRABAJO SUELA DE POLIURETANO NEGRO</t>
  </si>
  <si>
    <t>UNIFORMES SECRETARIALES</t>
  </si>
  <si>
    <t>CAMISETAS AZULES CON CUELLO</t>
  </si>
  <si>
    <t>SELLOS PRETINTADOS</t>
  </si>
  <si>
    <t>REMOSAMIENTO DE LA OFICINA DE LA DIRECCION ADMINISTRATIVA Y FINANCIERA</t>
  </si>
  <si>
    <t>BOTELLONES DE AGUA DE 5 GALONES</t>
  </si>
  <si>
    <t xml:space="preserve">DEPARTAMENTO DE COMUNICACIONES Y RELACIONES PUBLICAS </t>
  </si>
  <si>
    <t>MOTOCICLETAS</t>
  </si>
  <si>
    <t>PROYECTOR</t>
  </si>
  <si>
    <t>ARCHIVO DE METAL 8 1/2 X 13 4 GAVETAS</t>
  </si>
  <si>
    <t>ARCHIVO DE METAL 8 1/2 X 13 2 GAVETAS</t>
  </si>
  <si>
    <t>SACAPUNTAS ELECTRICOS</t>
  </si>
  <si>
    <t>0</t>
  </si>
  <si>
    <t>36</t>
  </si>
  <si>
    <t>48</t>
  </si>
  <si>
    <t>24</t>
  </si>
  <si>
    <t>TINTA AZUL PARA SELLOS</t>
  </si>
  <si>
    <t>LASER &amp; LINK JET LABELS 1 1/2  X  4  (CAJAS DE 1400)</t>
  </si>
  <si>
    <t>LABEL PARA ROTULACION DE CD Y DVD  LB 2034 (PAQUETES DE 200)</t>
  </si>
  <si>
    <t>CAMARAS DE VIDEO</t>
  </si>
  <si>
    <t>CAMARAS FOTOGRAFICAS</t>
  </si>
  <si>
    <t>TRIPODE PARA CAMARA DE VIDEO</t>
  </si>
  <si>
    <t>LLUCES PARA CAMARA DE VIDEO</t>
  </si>
  <si>
    <t>CABLES USB</t>
  </si>
  <si>
    <t>CABLES USB PARA CAMARAS DIGITALES</t>
  </si>
  <si>
    <t>CARGADORES DE BATERIAS AA  Y AAA</t>
  </si>
  <si>
    <t>BATERIAS DE LARGA DURACION PARA CAMARAS FOTOGRAFICAS</t>
  </si>
  <si>
    <t xml:space="preserve">GRECA ELECTRICA PARA CAFÉ </t>
  </si>
  <si>
    <t>CAFETERA ELECTRICA  25 LITROS (Para Protocolo)</t>
  </si>
  <si>
    <t>NEVERA EJECUTIVAS (Comunicaciones y Protocolo)</t>
  </si>
  <si>
    <t>BEBEDERO (Comunicaciones y Protocolo)</t>
  </si>
  <si>
    <t>DVD PLAYER</t>
  </si>
  <si>
    <t>RADIO</t>
  </si>
  <si>
    <t>PROTOCOLO:</t>
  </si>
  <si>
    <t>COPAS DE AGUA</t>
  </si>
  <si>
    <t>TAZAS DE CAFÉ</t>
  </si>
  <si>
    <t>TAZAS DE CAFÉ CON LECHE</t>
  </si>
  <si>
    <t>CUCHARAS PARA AZUCAR</t>
  </si>
  <si>
    <t>AZUCARERAS GRANDES</t>
  </si>
  <si>
    <t xml:space="preserve">BANDEJAS DE METAL GRANDE </t>
  </si>
  <si>
    <t>THERMO PARA CAFÉ GRANDE</t>
  </si>
  <si>
    <t>THERMO PARA LECHE GRANDE</t>
  </si>
  <si>
    <t>LIBRETAS TIMBRADAS</t>
  </si>
  <si>
    <t>ENCUADERNACIONES:</t>
  </si>
  <si>
    <t>SINTESIS PERIODISTICA</t>
  </si>
  <si>
    <t>INFORMES</t>
  </si>
  <si>
    <t xml:space="preserve">PUBLICIDAD: </t>
  </si>
  <si>
    <t>ALQUILER DE MOTORES PROPIEDAD DE MENSAJEROS EXTERNOS. (PARA TRANSPORTAR MATERIAL DE PUBLICIDAD)</t>
  </si>
  <si>
    <t>ELABORACION DE DOCUMENTAL PARA TV</t>
  </si>
  <si>
    <t>CONTRATO PARA COLOCACION DE CUÑAS POR TV (05 CONTRATOS A RD$50,000.00 PESOS MENSUALES CADA UNO)</t>
  </si>
  <si>
    <t>CONTRATO PARA COLOCACION DE CUÑAS POR RADIO (05 CONTRATOS A RD$50,000.00 PESOS MENSUALES CADA UNO)</t>
  </si>
  <si>
    <t>CONTRATO PARA PERIODICOS DIGITALES (10 CONTRATOS A RD$20,000.00 PESOS MENSUALES CADA UNO)</t>
  </si>
  <si>
    <t>PUBLICACIONES EN LOS PERIODICOS (100 PUBLICACIONES) COSTO APROXIMADO RD$40,000.00</t>
  </si>
  <si>
    <t>SUSCRIPCION ANUAL DE PERIODICOS:</t>
  </si>
  <si>
    <t>LISTIN DIARIO (CINCO EJEMPLARES DIARIOS), PRECIO POR  AÑO RD$3,450.00</t>
  </si>
  <si>
    <t>PERIODICO HOY (CUATRO EJEMPLARES DIARIOS), PRECIO POR  AÑO RD$2,700.00</t>
  </si>
  <si>
    <t>PERIODICO EL NACIONAL (CINCO EJEMPLARES DIARIOS), PRECIO POR  AÑO RD$4,325.00</t>
  </si>
  <si>
    <t>PERIODICO EL CARIBE Y EL PAIS (CUATRO EJEMPLARES DIARIOS), PRECIO POR AÑO RD$3,100.00</t>
  </si>
  <si>
    <t>PERIODICO EL NUEVO DIARIO (TRES EJEMPLARES DIARIOS). PRECIO POR AÑO RD$2,191.00</t>
  </si>
  <si>
    <t>PERIODICO LA INFORMACION (DOS EJEMPLARES DIARIOS) PRECIO POR AÑO RD$1,600.00</t>
  </si>
  <si>
    <t>200</t>
  </si>
  <si>
    <t>100</t>
  </si>
  <si>
    <t>50</t>
  </si>
  <si>
    <t>MEDIDORES 1"</t>
  </si>
  <si>
    <t>MEDIDORES 1 1/2"</t>
  </si>
  <si>
    <t>MEDIDORES 3/4"</t>
  </si>
  <si>
    <t>MEDIDORES 2"</t>
  </si>
  <si>
    <t>MEDIDORES 3"</t>
  </si>
  <si>
    <t>MEDIDORES 4"</t>
  </si>
  <si>
    <t>MEDIDORES 6"</t>
  </si>
  <si>
    <t>MEDIDORES 8"</t>
  </si>
  <si>
    <t>MEDIDORES 12"</t>
  </si>
  <si>
    <t>PINTURA ACRILICA  AZUL POSIVO</t>
  </si>
  <si>
    <t>LICENCIA  AUTOCAD 2015 PARA 11 USUARIOS</t>
  </si>
  <si>
    <t xml:space="preserve">LICENCIA  ARCGIS 2015 </t>
  </si>
  <si>
    <t>TINTA EPSON CIAN 6642</t>
  </si>
  <si>
    <t>TINTA EPSON MAGENTA 6643</t>
  </si>
  <si>
    <t>TINTA EPSON YELLOW 6644</t>
  </si>
  <si>
    <t>TINTA EPSON BLACK 6641</t>
  </si>
  <si>
    <t>TONER XEROX D110</t>
  </si>
  <si>
    <t>TONER XEROX WORKCENTRE 3225</t>
  </si>
  <si>
    <t>PUBLICIDAD ESCRITA Y AUDIOVISUAL</t>
  </si>
  <si>
    <t>IMPRESORA HP LSAER JET PRO CP1025 Nw COLOR</t>
  </si>
  <si>
    <t>ESCRITORIO PEQUEÑO CON TOPE DE CRISTAL</t>
  </si>
  <si>
    <t>FOLDERS CON LOGO INAPA</t>
  </si>
  <si>
    <t>SERVICIO DE CONSULTORIA  FORTALECIMIENTO DEL PLAN ESTRATEGICO INSTITUCIONAL</t>
  </si>
  <si>
    <t>SERVICIO DE CONSULTORIA ANALISIS ESTADISTICO INSTITUCIONAL</t>
  </si>
  <si>
    <t>DESARROLLAR SOFTWARE DE APLICACIÓN DE INFORMATICA DE ESTADISTICAS PARA EL INAPA</t>
  </si>
  <si>
    <t xml:space="preserve">SERVICIO DE CONSULTORIA FORTALECIMIENTO INSTITUCIONAL DE PROCESOS </t>
  </si>
  <si>
    <t>LIBRA</t>
  </si>
  <si>
    <t>SERVICIO DE CONSULTORIA  PARA SEGUIMIENTO A LA IMPLEMENTACION DEL PLAN ESTRATÉGICO 2016-2020</t>
  </si>
  <si>
    <t>SERVICIO DE CONSULTORIA DIAGNOSTICO Y CREACION DEL SISTEMA  ESTADÍSTICO INSTITUCIONAL</t>
  </si>
  <si>
    <t>SERVICIO DE CONSULTORIA CONTINUIDAD DE PLAN DE CONTINUIDAD DE NEGOCIOS TECNOLOGIA</t>
  </si>
  <si>
    <t>SERVICIO DE CONSULTORIA PARA REDISEÑO Y DOCUMENTACION DE LOS PROCESOS</t>
  </si>
  <si>
    <t>GASOLINA</t>
  </si>
  <si>
    <t>8010 - SERVICIOS DE CONSULTORIA</t>
  </si>
  <si>
    <t>8010 - Servicios de consultoría</t>
  </si>
  <si>
    <t xml:space="preserve">CONOS </t>
  </si>
  <si>
    <t>PINTURA ACRILICA BLANCO 00</t>
  </si>
  <si>
    <t>ANIVERSARIO INAPA</t>
  </si>
  <si>
    <t>CONGRESOS INTERNACIONALES Y TALLERES</t>
  </si>
  <si>
    <t>7710 - PROYECTOS DE FUENTE HIDRICA EJECUTANDOSE CON SUR FUTURO, SEGÚN CONVENIO EN ETAPA FINAL</t>
  </si>
  <si>
    <t>7710 - Proyecto de fuente hídrica ejecutándose con su futuro, según convenio en etapa final</t>
  </si>
  <si>
    <t>77101 - Nuevos proyectos de protección hídrica</t>
  </si>
  <si>
    <t>77101 - NUEVOS PROYECTOS DE PROTECCION HIDRICA</t>
  </si>
  <si>
    <t>IMPRESORA DE PUNTO DE VENTA )PARA CAJAS DE OFICINAS COMERCIALES</t>
  </si>
  <si>
    <t>** Luis Enrique Delince Zapata:
El valor total de el plan annual aumenta debido a que se incluyeron 20 camiones cisternas por ordenes del ing. Mazara.</t>
  </si>
  <si>
    <t>Reduccion del PACC 2017</t>
  </si>
  <si>
    <t>Monto Estimado a ser cargado al PACC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</si>
</sst>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RD$&quot;#,##0.00_);[Red]\(&quot;RD$&quot;#,##0.00\)"/>
    <numFmt numFmtId="43" formatCode="_(* #,##0.00_);_(* \(#,##0.00\);_(* &quot;-&quot;??_);_(@_)"/>
    <numFmt numFmtId="164" formatCode="_-* #,##0.00\ _€_-;\-* #,##0.00\ _€_-;_-* &quot;-&quot;??\ _€_-;_-@_-"/>
    <numFmt numFmtId="165" formatCode="&quot;RD$&quot;#,##0.00"/>
    <numFmt numFmtId="166" formatCode="0.00_)"/>
  </numFmts>
  <fonts count="8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name val="Arial Narrow"/>
      <family val="2"/>
    </font>
    <font>
      <b/>
      <sz val="12"/>
      <name val="Arial"/>
      <family val="2"/>
    </font>
    <font>
      <sz val="12"/>
      <name val="Arial Narrow"/>
      <family val="2"/>
    </font>
    <font>
      <b/>
      <sz val="16"/>
      <name val="Arial Narrow"/>
      <family val="2"/>
    </font>
    <font>
      <b/>
      <sz val="20"/>
      <name val="Arial Narrow"/>
      <family val="2"/>
    </font>
    <font>
      <b/>
      <sz val="14"/>
      <name val="Arial Narrow"/>
      <family val="2"/>
    </font>
    <font>
      <b/>
      <sz val="18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2"/>
      <name val="Arial Narrow"/>
      <family val="2"/>
    </font>
    <font>
      <sz val="12"/>
      <name val="Arial Narrow"/>
      <family val="2"/>
    </font>
    <font>
      <b/>
      <sz val="13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10"/>
      <name val="Times New Roman"/>
      <family val="1"/>
    </font>
    <font>
      <sz val="12"/>
      <color rgb="FFFF0000"/>
      <name val="Arial Narrow"/>
      <family val="2"/>
    </font>
    <font>
      <sz val="12"/>
      <name val="Arial Narrow"/>
      <family val="2"/>
    </font>
    <font>
      <b/>
      <sz val="12"/>
      <color rgb="FFFF0000"/>
      <name val="Arial Narrow"/>
      <family val="2"/>
    </font>
    <font>
      <sz val="16"/>
      <name val="Arial Narrow"/>
      <family val="2"/>
    </font>
    <font>
      <sz val="12"/>
      <name val="3019"/>
    </font>
    <font>
      <b/>
      <sz val="12"/>
      <name val="3019"/>
    </font>
    <font>
      <b/>
      <sz val="18"/>
      <name val="3019"/>
    </font>
    <font>
      <b/>
      <sz val="11"/>
      <color theme="1"/>
      <name val="Calibri"/>
      <family val="2"/>
      <scheme val="minor"/>
    </font>
    <font>
      <b/>
      <sz val="11"/>
      <name val="Arial Narrow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name val="Arial Narrow"/>
      <family val="2"/>
    </font>
    <font>
      <i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rgb="FFFF0000"/>
      <name val="Arial Narrow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sz val="10"/>
      <name val="Arial Narrow"/>
      <family val="2"/>
    </font>
    <font>
      <b/>
      <sz val="14"/>
      <name val="Arial Narrow"/>
      <family val="2"/>
    </font>
    <font>
      <b/>
      <sz val="12"/>
      <color theme="1"/>
      <name val="3019"/>
    </font>
    <font>
      <b/>
      <sz val="13"/>
      <color rgb="FFFF0000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sz val="12"/>
      <color theme="1"/>
      <name val="Arial Narrow"/>
      <family val="2"/>
    </font>
    <font>
      <sz val="13"/>
      <name val="Arial Narrow"/>
      <family val="2"/>
    </font>
    <font>
      <sz val="13"/>
      <color theme="1"/>
      <name val="Arial Narrow"/>
      <family val="2"/>
    </font>
    <font>
      <sz val="10"/>
      <color theme="1"/>
      <name val="Arial Narrow"/>
      <family val="2"/>
    </font>
    <font>
      <sz val="12"/>
      <name val="Arial Narrow"/>
      <family val="2"/>
    </font>
    <font>
      <sz val="10"/>
      <name val="Arial Narrow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Arial Narrow"/>
      <family val="2"/>
    </font>
    <font>
      <sz val="12"/>
      <name val="Arial"/>
      <family val="2"/>
    </font>
    <font>
      <sz val="12"/>
      <name val="Arial Narrow"/>
      <family val="2"/>
    </font>
    <font>
      <sz val="10"/>
      <name val="Arial Narrow"/>
      <family val="2"/>
    </font>
    <font>
      <sz val="12"/>
      <name val="Cambria"/>
      <family val="1"/>
    </font>
    <font>
      <sz val="11"/>
      <name val="Calibri"/>
      <family val="2"/>
      <scheme val="minor"/>
    </font>
    <font>
      <sz val="11"/>
      <name val="3019"/>
    </font>
    <font>
      <sz val="12"/>
      <name val="Arial"/>
      <family val="2"/>
    </font>
    <font>
      <sz val="10"/>
      <color rgb="FF000000"/>
      <name val="Arial Narrow"/>
      <family val="2"/>
    </font>
    <font>
      <sz val="12"/>
      <color theme="3" tint="0.59999389629810485"/>
      <name val="Arial Narrow"/>
      <family val="2"/>
    </font>
    <font>
      <b/>
      <sz val="12"/>
      <color theme="4" tint="0.39997558519241921"/>
      <name val="Arial Narrow"/>
      <family val="2"/>
    </font>
    <font>
      <sz val="12"/>
      <color theme="4" tint="0.79998168889431442"/>
      <name val="Arial Narrow"/>
      <family val="2"/>
    </font>
    <font>
      <sz val="12"/>
      <color theme="4" tint="0.59999389629810485"/>
      <name val="Arial Narrow"/>
      <family val="2"/>
    </font>
    <font>
      <sz val="10"/>
      <color theme="4" tint="0.79998168889431442"/>
      <name val="Arial Narrow"/>
      <family val="2"/>
    </font>
    <font>
      <sz val="10"/>
      <color theme="4" tint="0.59999389629810485"/>
      <name val="Arial Narrow"/>
      <family val="2"/>
    </font>
    <font>
      <sz val="11"/>
      <color rgb="FF3F3F76"/>
      <name val="Calibri"/>
      <family val="2"/>
      <scheme val="minor"/>
    </font>
    <font>
      <sz val="10"/>
      <color rgb="FFFF0000"/>
      <name val="Arial Narrow"/>
      <family val="2"/>
    </font>
    <font>
      <b/>
      <sz val="10"/>
      <color rgb="FFFF0000"/>
      <name val="Arial Narrow"/>
      <family val="2"/>
    </font>
    <font>
      <b/>
      <sz val="25"/>
      <name val="Arial"/>
      <family val="2"/>
    </font>
    <font>
      <b/>
      <sz val="35"/>
      <name val="Arial Narrow"/>
      <family val="2"/>
    </font>
    <font>
      <b/>
      <sz val="48"/>
      <name val="Arial Narrow"/>
      <family val="2"/>
    </font>
    <font>
      <b/>
      <sz val="34"/>
      <name val="Arial Narrow"/>
      <family val="2"/>
    </font>
    <font>
      <b/>
      <sz val="10"/>
      <color theme="1"/>
      <name val="Arial Narrow"/>
      <family val="2"/>
    </font>
    <font>
      <sz val="10"/>
      <name val="3019"/>
    </font>
    <font>
      <sz val="11"/>
      <color indexed="8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sz val="12"/>
      <color rgb="FFFF0000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rgb="FFFFCC99"/>
      </patternFill>
    </fill>
    <fill>
      <patternFill patternType="solid">
        <fgColor indexed="65"/>
        <bgColor rgb="FF000000"/>
      </patternFill>
    </fill>
    <fill>
      <patternFill patternType="solid">
        <fgColor theme="3" tint="0.59999389629810485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FFFFCC"/>
      </patternFill>
    </fill>
    <fill>
      <patternFill patternType="solid">
        <fgColor rgb="FFFFFFFF"/>
        <bgColor rgb="FF000000"/>
      </patternFill>
    </fill>
    <fill>
      <patternFill patternType="solid">
        <fgColor rgb="FFFF000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29">
    <xf numFmtId="0" fontId="0" fillId="0" borderId="0"/>
    <xf numFmtId="43" fontId="1" fillId="0" borderId="0" applyFont="0" applyFill="0" applyBorder="0" applyAlignment="0" applyProtection="0"/>
    <xf numFmtId="0" fontId="1" fillId="0" borderId="0"/>
    <xf numFmtId="0" fontId="66" fillId="19" borderId="26" applyNumberFormat="0" applyAlignment="0" applyProtection="0"/>
    <xf numFmtId="43" fontId="7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76" fillId="0" borderId="0"/>
    <xf numFmtId="0" fontId="76" fillId="0" borderId="0"/>
    <xf numFmtId="0" fontId="1" fillId="0" borderId="0"/>
    <xf numFmtId="0" fontId="76" fillId="0" borderId="0"/>
    <xf numFmtId="0" fontId="77" fillId="0" borderId="0"/>
    <xf numFmtId="0" fontId="75" fillId="0" borderId="0"/>
    <xf numFmtId="0" fontId="76" fillId="0" borderId="0"/>
    <xf numFmtId="0" fontId="76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1" fillId="23" borderId="27" applyNumberFormat="0" applyFont="0" applyAlignment="0" applyProtection="0"/>
    <xf numFmtId="166" fontId="50" fillId="0" borderId="0"/>
  </cellStyleXfs>
  <cellXfs count="586">
    <xf numFmtId="0" fontId="0" fillId="0" borderId="0" xfId="0"/>
    <xf numFmtId="0" fontId="7" fillId="0" borderId="0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textRotation="90" wrapText="1"/>
    </xf>
    <xf numFmtId="0" fontId="2" fillId="2" borderId="5" xfId="0" applyFont="1" applyFill="1" applyBorder="1" applyAlignment="1">
      <alignment horizontal="center" vertical="center" wrapText="1"/>
    </xf>
    <xf numFmtId="0" fontId="7" fillId="2" borderId="12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14" fontId="4" fillId="0" borderId="1" xfId="0" applyNumberFormat="1" applyFont="1" applyBorder="1" applyAlignment="1">
      <alignment horizontal="center" vertical="center" wrapText="1"/>
    </xf>
    <xf numFmtId="14" fontId="4" fillId="0" borderId="2" xfId="0" applyNumberFormat="1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vertical="center" wrapText="1"/>
    </xf>
    <xf numFmtId="0" fontId="4" fillId="0" borderId="3" xfId="0" applyFont="1" applyBorder="1" applyAlignment="1">
      <alignment horizontal="center" vertical="center" wrapText="1"/>
    </xf>
    <xf numFmtId="0" fontId="2" fillId="2" borderId="5" xfId="0" applyFont="1" applyFill="1" applyBorder="1" applyAlignment="1">
      <alignment vertical="center" wrapText="1"/>
    </xf>
    <xf numFmtId="0" fontId="4" fillId="0" borderId="9" xfId="0" applyFon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165" fontId="4" fillId="0" borderId="0" xfId="0" applyNumberFormat="1" applyFont="1" applyBorder="1" applyAlignment="1">
      <alignment vertical="center" wrapText="1"/>
    </xf>
    <xf numFmtId="165" fontId="4" fillId="5" borderId="0" xfId="0" applyNumberFormat="1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horizontal="left" vertical="center" wrapText="1"/>
    </xf>
    <xf numFmtId="0" fontId="4" fillId="5" borderId="0" xfId="0" applyFont="1" applyFill="1" applyBorder="1" applyAlignment="1">
      <alignment vertical="center" wrapText="1"/>
    </xf>
    <xf numFmtId="165" fontId="9" fillId="0" borderId="0" xfId="0" applyNumberFormat="1" applyFont="1" applyBorder="1" applyAlignment="1">
      <alignment vertical="center" wrapText="1"/>
    </xf>
    <xf numFmtId="0" fontId="9" fillId="4" borderId="9" xfId="0" applyFont="1" applyFill="1" applyBorder="1" applyAlignment="1">
      <alignment vertical="center" wrapText="1"/>
    </xf>
    <xf numFmtId="0" fontId="4" fillId="4" borderId="0" xfId="0" applyFont="1" applyFill="1" applyBorder="1" applyAlignment="1">
      <alignment vertical="center" wrapText="1"/>
    </xf>
    <xf numFmtId="165" fontId="4" fillId="4" borderId="0" xfId="0" applyNumberFormat="1" applyFont="1" applyFill="1" applyBorder="1" applyAlignment="1">
      <alignment vertical="center" wrapText="1"/>
    </xf>
    <xf numFmtId="165" fontId="9" fillId="4" borderId="0" xfId="0" applyNumberFormat="1" applyFont="1" applyFill="1" applyBorder="1" applyAlignment="1">
      <alignment vertical="center" wrapText="1"/>
    </xf>
    <xf numFmtId="0" fontId="2" fillId="4" borderId="0" xfId="0" applyFont="1" applyFill="1" applyBorder="1" applyAlignment="1">
      <alignment vertical="center" wrapText="1"/>
    </xf>
    <xf numFmtId="0" fontId="4" fillId="4" borderId="0" xfId="0" applyNumberFormat="1" applyFont="1" applyFill="1" applyBorder="1" applyAlignment="1">
      <alignment horizontal="left" vertical="center" wrapText="1"/>
    </xf>
    <xf numFmtId="0" fontId="11" fillId="0" borderId="0" xfId="0" applyFont="1" applyBorder="1" applyAlignment="1">
      <alignment vertical="center" wrapText="1"/>
    </xf>
    <xf numFmtId="165" fontId="11" fillId="5" borderId="0" xfId="0" applyNumberFormat="1" applyFont="1" applyFill="1" applyBorder="1" applyAlignment="1">
      <alignment vertical="center" wrapText="1"/>
    </xf>
    <xf numFmtId="0" fontId="10" fillId="0" borderId="0" xfId="0" applyFont="1" applyBorder="1" applyAlignment="1">
      <alignment vertical="center" wrapText="1"/>
    </xf>
    <xf numFmtId="165" fontId="11" fillId="0" borderId="0" xfId="0" applyNumberFormat="1" applyFont="1" applyBorder="1" applyAlignment="1">
      <alignment vertical="center" wrapText="1"/>
    </xf>
    <xf numFmtId="0" fontId="11" fillId="0" borderId="9" xfId="0" applyFont="1" applyBorder="1" applyAlignment="1">
      <alignment vertical="center" wrapText="1"/>
    </xf>
    <xf numFmtId="0" fontId="8" fillId="3" borderId="10" xfId="0" applyFont="1" applyFill="1" applyBorder="1" applyAlignment="1">
      <alignment vertical="center" wrapText="1"/>
    </xf>
    <xf numFmtId="0" fontId="8" fillId="3" borderId="11" xfId="0" applyFont="1" applyFill="1" applyBorder="1" applyAlignment="1">
      <alignment vertical="center" wrapText="1"/>
    </xf>
    <xf numFmtId="165" fontId="8" fillId="3" borderId="11" xfId="0" applyNumberFormat="1" applyFont="1" applyFill="1" applyBorder="1" applyAlignment="1">
      <alignment vertical="center" wrapText="1"/>
    </xf>
    <xf numFmtId="0" fontId="4" fillId="3" borderId="11" xfId="0" applyFont="1" applyFill="1" applyBorder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43" fontId="4" fillId="0" borderId="0" xfId="1" applyFont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 wrapText="1"/>
    </xf>
    <xf numFmtId="0" fontId="4" fillId="4" borderId="0" xfId="0" applyNumberFormat="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1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0" xfId="1" applyNumberFormat="1" applyFont="1" applyBorder="1" applyAlignment="1">
      <alignment vertical="center"/>
    </xf>
    <xf numFmtId="165" fontId="4" fillId="0" borderId="0" xfId="0" applyNumberFormat="1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4" fillId="5" borderId="0" xfId="0" applyFont="1" applyFill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9" fillId="4" borderId="9" xfId="0" applyFont="1" applyFill="1" applyBorder="1" applyAlignment="1">
      <alignment vertical="center"/>
    </xf>
    <xf numFmtId="0" fontId="4" fillId="4" borderId="0" xfId="0" applyFont="1" applyFill="1" applyBorder="1" applyAlignment="1">
      <alignment vertical="center"/>
    </xf>
    <xf numFmtId="0" fontId="4" fillId="4" borderId="0" xfId="0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top" wrapText="1"/>
    </xf>
    <xf numFmtId="43" fontId="9" fillId="4" borderId="0" xfId="1" applyFont="1" applyFill="1" applyBorder="1" applyAlignment="1">
      <alignment horizontal="center" vertical="center" wrapText="1"/>
    </xf>
    <xf numFmtId="0" fontId="4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vertical="center"/>
    </xf>
    <xf numFmtId="0" fontId="12" fillId="0" borderId="9" xfId="0" applyFont="1" applyBorder="1" applyAlignment="1">
      <alignment vertical="center" wrapText="1"/>
    </xf>
    <xf numFmtId="0" fontId="12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165" fontId="12" fillId="0" borderId="0" xfId="0" applyNumberFormat="1" applyFont="1" applyBorder="1" applyAlignment="1">
      <alignment vertical="center" wrapText="1"/>
    </xf>
    <xf numFmtId="165" fontId="12" fillId="5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43" fontId="4" fillId="0" borderId="0" xfId="1" applyFont="1" applyFill="1" applyBorder="1" applyAlignment="1">
      <alignment horizontal="center" vertical="center" wrapText="1"/>
    </xf>
    <xf numFmtId="165" fontId="4" fillId="0" borderId="0" xfId="0" applyNumberFormat="1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165" fontId="13" fillId="3" borderId="11" xfId="0" applyNumberFormat="1" applyFont="1" applyFill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5" fillId="4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 applyAlignment="1">
      <alignment horizontal="left" wrapText="1"/>
    </xf>
    <xf numFmtId="0" fontId="14" fillId="0" borderId="0" xfId="0" applyFont="1" applyFill="1" applyBorder="1" applyAlignment="1">
      <alignment horizontal="left" vertical="center" wrapText="1"/>
    </xf>
    <xf numFmtId="0" fontId="14" fillId="0" borderId="0" xfId="0" applyFont="1" applyBorder="1" applyAlignment="1">
      <alignment vertical="top" wrapText="1"/>
    </xf>
    <xf numFmtId="0" fontId="15" fillId="4" borderId="0" xfId="0" applyFont="1" applyFill="1" applyBorder="1" applyAlignment="1">
      <alignment vertical="top" wrapText="1"/>
    </xf>
    <xf numFmtId="0" fontId="15" fillId="3" borderId="11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4" fillId="6" borderId="0" xfId="0" applyFont="1" applyFill="1" applyBorder="1" applyAlignment="1">
      <alignment horizontal="center" vertical="center" wrapText="1"/>
    </xf>
    <xf numFmtId="0" fontId="4" fillId="6" borderId="9" xfId="0" applyFont="1" applyFill="1" applyBorder="1" applyAlignment="1">
      <alignment vertical="center" wrapText="1"/>
    </xf>
    <xf numFmtId="0" fontId="14" fillId="6" borderId="0" xfId="0" applyFont="1" applyFill="1" applyBorder="1" applyAlignment="1">
      <alignment vertical="center" wrapText="1"/>
    </xf>
    <xf numFmtId="0" fontId="4" fillId="6" borderId="0" xfId="0" applyNumberFormat="1" applyFont="1" applyFill="1" applyBorder="1" applyAlignment="1">
      <alignment horizontal="center" vertical="center" wrapText="1"/>
    </xf>
    <xf numFmtId="165" fontId="4" fillId="6" borderId="0" xfId="0" applyNumberFormat="1" applyFont="1" applyFill="1" applyBorder="1" applyAlignment="1">
      <alignment vertical="center" wrapText="1"/>
    </xf>
    <xf numFmtId="0" fontId="14" fillId="7" borderId="0" xfId="0" applyFont="1" applyFill="1" applyBorder="1" applyAlignment="1">
      <alignment vertical="center" wrapText="1"/>
    </xf>
    <xf numFmtId="0" fontId="4" fillId="7" borderId="0" xfId="0" applyFont="1" applyFill="1" applyBorder="1" applyAlignment="1">
      <alignment horizontal="center" vertical="center" wrapText="1"/>
    </xf>
    <xf numFmtId="0" fontId="4" fillId="7" borderId="0" xfId="0" applyNumberFormat="1" applyFont="1" applyFill="1" applyBorder="1" applyAlignment="1">
      <alignment horizontal="center" vertical="center" wrapText="1"/>
    </xf>
    <xf numFmtId="165" fontId="4" fillId="7" borderId="0" xfId="0" applyNumberFormat="1" applyFont="1" applyFill="1" applyBorder="1" applyAlignment="1">
      <alignment vertical="center" wrapText="1"/>
    </xf>
    <xf numFmtId="0" fontId="14" fillId="8" borderId="0" xfId="0" applyFont="1" applyFill="1" applyBorder="1" applyAlignment="1">
      <alignment vertical="center" wrapText="1"/>
    </xf>
    <xf numFmtId="0" fontId="4" fillId="8" borderId="0" xfId="0" applyFont="1" applyFill="1" applyBorder="1" applyAlignment="1">
      <alignment horizontal="center" vertical="center" wrapText="1"/>
    </xf>
    <xf numFmtId="0" fontId="4" fillId="8" borderId="0" xfId="0" applyNumberFormat="1" applyFont="1" applyFill="1" applyBorder="1" applyAlignment="1">
      <alignment horizontal="center" vertical="center" wrapText="1"/>
    </xf>
    <xf numFmtId="165" fontId="4" fillId="8" borderId="0" xfId="0" applyNumberFormat="1" applyFont="1" applyFill="1" applyBorder="1" applyAlignment="1">
      <alignment vertical="center" wrapText="1"/>
    </xf>
    <xf numFmtId="165" fontId="7" fillId="6" borderId="0" xfId="0" applyNumberFormat="1" applyFont="1" applyFill="1" applyBorder="1" applyAlignment="1">
      <alignment vertical="center" wrapText="1"/>
    </xf>
    <xf numFmtId="165" fontId="7" fillId="8" borderId="0" xfId="0" applyNumberFormat="1" applyFont="1" applyFill="1" applyBorder="1" applyAlignment="1">
      <alignment vertical="center" wrapText="1"/>
    </xf>
    <xf numFmtId="0" fontId="4" fillId="7" borderId="9" xfId="0" applyFont="1" applyFill="1" applyBorder="1" applyAlignment="1">
      <alignment vertical="center" wrapText="1"/>
    </xf>
    <xf numFmtId="0" fontId="11" fillId="7" borderId="9" xfId="0" applyFont="1" applyFill="1" applyBorder="1" applyAlignment="1">
      <alignment vertical="center" wrapText="1"/>
    </xf>
    <xf numFmtId="43" fontId="4" fillId="7" borderId="0" xfId="1" applyFont="1" applyFill="1" applyBorder="1" applyAlignment="1">
      <alignment horizontal="center" vertical="center" wrapText="1"/>
    </xf>
    <xf numFmtId="165" fontId="7" fillId="7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4" fillId="9" borderId="9" xfId="0" applyFont="1" applyFill="1" applyBorder="1" applyAlignment="1">
      <alignment vertical="center" wrapText="1"/>
    </xf>
    <xf numFmtId="0" fontId="14" fillId="9" borderId="0" xfId="0" applyFont="1" applyFill="1" applyBorder="1" applyAlignment="1">
      <alignment vertical="center" wrapText="1"/>
    </xf>
    <xf numFmtId="0" fontId="4" fillId="9" borderId="0" xfId="0" applyFont="1" applyFill="1" applyBorder="1" applyAlignment="1">
      <alignment horizontal="center" vertical="center" wrapText="1"/>
    </xf>
    <xf numFmtId="0" fontId="4" fillId="9" borderId="0" xfId="0" applyNumberFormat="1" applyFont="1" applyFill="1" applyBorder="1" applyAlignment="1">
      <alignment horizontal="center" vertical="center" wrapText="1"/>
    </xf>
    <xf numFmtId="165" fontId="4" fillId="9" borderId="0" xfId="0" applyNumberFormat="1" applyFont="1" applyFill="1" applyBorder="1" applyAlignment="1">
      <alignment vertical="center" wrapText="1"/>
    </xf>
    <xf numFmtId="0" fontId="4" fillId="9" borderId="0" xfId="0" applyFont="1" applyFill="1" applyBorder="1" applyAlignment="1">
      <alignment vertical="center" wrapText="1"/>
    </xf>
    <xf numFmtId="0" fontId="2" fillId="9" borderId="0" xfId="0" applyFont="1" applyFill="1" applyBorder="1" applyAlignment="1">
      <alignment vertical="center" wrapText="1"/>
    </xf>
    <xf numFmtId="0" fontId="4" fillId="9" borderId="0" xfId="0" applyNumberFormat="1" applyFont="1" applyFill="1" applyBorder="1" applyAlignment="1">
      <alignment horizontal="left" vertical="center" wrapText="1"/>
    </xf>
    <xf numFmtId="165" fontId="7" fillId="9" borderId="0" xfId="0" applyNumberFormat="1" applyFont="1" applyFill="1" applyBorder="1" applyAlignment="1">
      <alignment vertical="center" wrapText="1"/>
    </xf>
    <xf numFmtId="0" fontId="4" fillId="10" borderId="9" xfId="0" applyFont="1" applyFill="1" applyBorder="1" applyAlignment="1">
      <alignment vertical="center" wrapText="1"/>
    </xf>
    <xf numFmtId="0" fontId="14" fillId="10" borderId="0" xfId="0" applyFont="1" applyFill="1" applyBorder="1" applyAlignment="1">
      <alignment vertical="center" wrapText="1"/>
    </xf>
    <xf numFmtId="0" fontId="4" fillId="10" borderId="0" xfId="0" applyFont="1" applyFill="1" applyBorder="1" applyAlignment="1">
      <alignment horizontal="center" vertical="center" wrapText="1"/>
    </xf>
    <xf numFmtId="0" fontId="4" fillId="10" borderId="0" xfId="0" applyNumberFormat="1" applyFont="1" applyFill="1" applyBorder="1" applyAlignment="1">
      <alignment horizontal="center" vertical="center" wrapText="1"/>
    </xf>
    <xf numFmtId="165" fontId="4" fillId="10" borderId="0" xfId="0" applyNumberFormat="1" applyFont="1" applyFill="1" applyBorder="1" applyAlignment="1">
      <alignment vertical="center" wrapText="1"/>
    </xf>
    <xf numFmtId="0" fontId="4" fillId="10" borderId="0" xfId="0" applyFont="1" applyFill="1" applyBorder="1" applyAlignment="1">
      <alignment vertical="center" wrapText="1"/>
    </xf>
    <xf numFmtId="0" fontId="2" fillId="10" borderId="0" xfId="0" applyFont="1" applyFill="1" applyBorder="1" applyAlignment="1">
      <alignment vertical="center" wrapText="1"/>
    </xf>
    <xf numFmtId="0" fontId="4" fillId="10" borderId="0" xfId="0" applyNumberFormat="1" applyFont="1" applyFill="1" applyBorder="1" applyAlignment="1">
      <alignment horizontal="left" vertical="center" wrapText="1"/>
    </xf>
    <xf numFmtId="165" fontId="7" fillId="10" borderId="0" xfId="0" applyNumberFormat="1" applyFont="1" applyFill="1" applyBorder="1" applyAlignment="1">
      <alignment vertical="center" wrapText="1"/>
    </xf>
    <xf numFmtId="0" fontId="4" fillId="3" borderId="9" xfId="0" applyFont="1" applyFill="1" applyBorder="1" applyAlignment="1">
      <alignment vertical="center" wrapText="1"/>
    </xf>
    <xf numFmtId="0" fontId="14" fillId="3" borderId="0" xfId="0" applyFont="1" applyFill="1" applyBorder="1" applyAlignment="1">
      <alignment vertical="center" wrapText="1"/>
    </xf>
    <xf numFmtId="0" fontId="4" fillId="3" borderId="0" xfId="0" applyFont="1" applyFill="1" applyBorder="1" applyAlignment="1">
      <alignment horizontal="center" vertical="center" wrapText="1"/>
    </xf>
    <xf numFmtId="165" fontId="4" fillId="3" borderId="0" xfId="0" applyNumberFormat="1" applyFont="1" applyFill="1" applyBorder="1" applyAlignment="1">
      <alignment vertical="center" wrapText="1"/>
    </xf>
    <xf numFmtId="165" fontId="9" fillId="9" borderId="0" xfId="0" applyNumberFormat="1" applyFont="1" applyFill="1" applyBorder="1" applyAlignment="1">
      <alignment vertical="center" wrapText="1"/>
    </xf>
    <xf numFmtId="43" fontId="4" fillId="10" borderId="0" xfId="1" applyFont="1" applyFill="1" applyBorder="1" applyAlignment="1">
      <alignment horizontal="center" vertical="center" wrapText="1"/>
    </xf>
    <xf numFmtId="0" fontId="11" fillId="10" borderId="9" xfId="0" applyFont="1" applyFill="1" applyBorder="1" applyAlignment="1">
      <alignment vertical="center" wrapText="1"/>
    </xf>
    <xf numFmtId="0" fontId="11" fillId="11" borderId="9" xfId="0" applyFont="1" applyFill="1" applyBorder="1" applyAlignment="1">
      <alignment vertical="center" wrapText="1"/>
    </xf>
    <xf numFmtId="0" fontId="14" fillId="11" borderId="0" xfId="0" applyFont="1" applyFill="1" applyBorder="1" applyAlignment="1">
      <alignment vertical="center" wrapText="1"/>
    </xf>
    <xf numFmtId="0" fontId="4" fillId="11" borderId="0" xfId="0" applyFont="1" applyFill="1" applyBorder="1" applyAlignment="1">
      <alignment horizontal="center" vertical="center" wrapText="1"/>
    </xf>
    <xf numFmtId="43" fontId="4" fillId="11" borderId="0" xfId="1" applyFont="1" applyFill="1" applyBorder="1" applyAlignment="1">
      <alignment horizontal="center" vertical="center" wrapText="1"/>
    </xf>
    <xf numFmtId="165" fontId="4" fillId="11" borderId="0" xfId="0" applyNumberFormat="1" applyFont="1" applyFill="1" applyBorder="1" applyAlignment="1">
      <alignment vertical="center" wrapText="1"/>
    </xf>
    <xf numFmtId="0" fontId="4" fillId="11" borderId="9" xfId="0" applyFont="1" applyFill="1" applyBorder="1" applyAlignment="1">
      <alignment vertical="center" wrapText="1"/>
    </xf>
    <xf numFmtId="165" fontId="7" fillId="11" borderId="0" xfId="0" applyNumberFormat="1" applyFont="1" applyFill="1" applyBorder="1" applyAlignment="1">
      <alignment vertical="center" wrapText="1"/>
    </xf>
    <xf numFmtId="0" fontId="11" fillId="3" borderId="9" xfId="0" applyFont="1" applyFill="1" applyBorder="1" applyAlignment="1">
      <alignment vertical="center" wrapText="1"/>
    </xf>
    <xf numFmtId="43" fontId="4" fillId="3" borderId="0" xfId="1" applyFont="1" applyFill="1" applyBorder="1" applyAlignment="1">
      <alignment horizontal="center" vertical="center" wrapText="1"/>
    </xf>
    <xf numFmtId="165" fontId="7" fillId="3" borderId="0" xfId="0" applyNumberFormat="1" applyFont="1" applyFill="1" applyBorder="1" applyAlignment="1">
      <alignment vertical="center" wrapText="1"/>
    </xf>
    <xf numFmtId="0" fontId="17" fillId="0" borderId="0" xfId="0" applyFont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43" fontId="4" fillId="4" borderId="0" xfId="1" applyFont="1" applyFill="1" applyBorder="1" applyAlignment="1">
      <alignment horizontal="center" vertical="center" wrapText="1"/>
    </xf>
    <xf numFmtId="0" fontId="17" fillId="0" borderId="0" xfId="0" applyFont="1" applyBorder="1" applyAlignment="1">
      <alignment vertical="center" wrapText="1"/>
    </xf>
    <xf numFmtId="0" fontId="4" fillId="8" borderId="9" xfId="0" applyFont="1" applyFill="1" applyBorder="1" applyAlignment="1">
      <alignment vertical="center" wrapText="1"/>
    </xf>
    <xf numFmtId="0" fontId="4" fillId="11" borderId="0" xfId="0" applyNumberFormat="1" applyFont="1" applyFill="1" applyBorder="1" applyAlignment="1">
      <alignment horizontal="center" vertical="center" wrapText="1"/>
    </xf>
    <xf numFmtId="0" fontId="12" fillId="11" borderId="9" xfId="0" applyFont="1" applyFill="1" applyBorder="1" applyAlignment="1">
      <alignment vertical="center" wrapText="1"/>
    </xf>
    <xf numFmtId="43" fontId="4" fillId="8" borderId="0" xfId="1" applyFont="1" applyFill="1" applyBorder="1" applyAlignment="1">
      <alignment horizontal="center" vertical="center" wrapText="1"/>
    </xf>
    <xf numFmtId="0" fontId="11" fillId="8" borderId="9" xfId="0" applyFont="1" applyFill="1" applyBorder="1" applyAlignment="1">
      <alignment vertical="center" wrapText="1"/>
    </xf>
    <xf numFmtId="0" fontId="4" fillId="12" borderId="0" xfId="0" applyFont="1" applyFill="1" applyBorder="1" applyAlignment="1">
      <alignment horizontal="center" vertical="center" wrapText="1"/>
    </xf>
    <xf numFmtId="0" fontId="11" fillId="12" borderId="9" xfId="0" applyFont="1" applyFill="1" applyBorder="1" applyAlignment="1">
      <alignment vertical="center" wrapText="1"/>
    </xf>
    <xf numFmtId="0" fontId="14" fillId="12" borderId="0" xfId="0" applyFont="1" applyFill="1" applyBorder="1" applyAlignment="1">
      <alignment vertical="center" wrapText="1"/>
    </xf>
    <xf numFmtId="43" fontId="4" fillId="12" borderId="0" xfId="1" applyFont="1" applyFill="1" applyBorder="1" applyAlignment="1">
      <alignment horizontal="center" vertical="center" wrapText="1"/>
    </xf>
    <xf numFmtId="165" fontId="4" fillId="12" borderId="0" xfId="0" applyNumberFormat="1" applyFont="1" applyFill="1" applyBorder="1" applyAlignment="1">
      <alignment vertical="center" wrapText="1"/>
    </xf>
    <xf numFmtId="0" fontId="4" fillId="12" borderId="9" xfId="0" applyFont="1" applyFill="1" applyBorder="1" applyAlignment="1">
      <alignment vertical="center" wrapText="1"/>
    </xf>
    <xf numFmtId="0" fontId="11" fillId="13" borderId="9" xfId="0" applyFont="1" applyFill="1" applyBorder="1" applyAlignment="1">
      <alignment vertical="center" wrapText="1"/>
    </xf>
    <xf numFmtId="0" fontId="14" fillId="13" borderId="0" xfId="0" applyFont="1" applyFill="1" applyBorder="1" applyAlignment="1">
      <alignment vertical="center" wrapText="1"/>
    </xf>
    <xf numFmtId="0" fontId="4" fillId="13" borderId="0" xfId="0" applyFont="1" applyFill="1" applyBorder="1" applyAlignment="1">
      <alignment horizontal="center" vertical="center" wrapText="1"/>
    </xf>
    <xf numFmtId="43" fontId="4" fillId="13" borderId="0" xfId="1" applyFont="1" applyFill="1" applyBorder="1" applyAlignment="1">
      <alignment horizontal="center" vertical="center" wrapText="1"/>
    </xf>
    <xf numFmtId="165" fontId="4" fillId="13" borderId="0" xfId="0" applyNumberFormat="1" applyFont="1" applyFill="1" applyBorder="1" applyAlignment="1">
      <alignment vertical="center" wrapText="1"/>
    </xf>
    <xf numFmtId="0" fontId="4" fillId="13" borderId="9" xfId="0" applyFont="1" applyFill="1" applyBorder="1" applyAlignment="1">
      <alignment vertical="center" wrapText="1"/>
    </xf>
    <xf numFmtId="165" fontId="19" fillId="4" borderId="0" xfId="0" applyNumberFormat="1" applyFont="1" applyFill="1" applyBorder="1" applyAlignment="1">
      <alignment vertical="center" wrapText="1"/>
    </xf>
    <xf numFmtId="0" fontId="4" fillId="14" borderId="9" xfId="0" applyFont="1" applyFill="1" applyBorder="1" applyAlignment="1">
      <alignment vertical="center" wrapText="1"/>
    </xf>
    <xf numFmtId="0" fontId="14" fillId="14" borderId="0" xfId="0" applyFont="1" applyFill="1" applyBorder="1" applyAlignment="1">
      <alignment vertical="center" wrapText="1"/>
    </xf>
    <xf numFmtId="0" fontId="4" fillId="14" borderId="0" xfId="0" applyFont="1" applyFill="1" applyBorder="1" applyAlignment="1">
      <alignment horizontal="center" vertical="center" wrapText="1"/>
    </xf>
    <xf numFmtId="0" fontId="4" fillId="14" borderId="0" xfId="0" applyNumberFormat="1" applyFont="1" applyFill="1" applyBorder="1" applyAlignment="1">
      <alignment horizontal="center" vertical="center" wrapText="1"/>
    </xf>
    <xf numFmtId="165" fontId="4" fillId="14" borderId="0" xfId="0" applyNumberFormat="1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165" fontId="7" fillId="0" borderId="0" xfId="0" applyNumberFormat="1" applyFont="1" applyBorder="1" applyAlignment="1">
      <alignment vertical="center" wrapText="1"/>
    </xf>
    <xf numFmtId="165" fontId="9" fillId="0" borderId="0" xfId="0" applyNumberFormat="1" applyFont="1" applyFill="1" applyBorder="1" applyAlignment="1">
      <alignment vertical="center"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20" fillId="0" borderId="0" xfId="0" applyFont="1" applyAlignment="1">
      <alignment vertical="center" wrapText="1"/>
    </xf>
    <xf numFmtId="165" fontId="14" fillId="0" borderId="0" xfId="0" applyNumberFormat="1" applyFont="1" applyFill="1" applyBorder="1" applyAlignment="1">
      <alignment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vertical="center" wrapText="1"/>
    </xf>
    <xf numFmtId="0" fontId="22" fillId="4" borderId="9" xfId="0" applyFont="1" applyFill="1" applyBorder="1" applyAlignment="1">
      <alignment vertical="center" wrapText="1"/>
    </xf>
    <xf numFmtId="0" fontId="21" fillId="0" borderId="9" xfId="0" applyFont="1" applyFill="1" applyBorder="1" applyAlignment="1">
      <alignment vertical="center" wrapText="1"/>
    </xf>
    <xf numFmtId="0" fontId="22" fillId="4" borderId="9" xfId="0" applyFont="1" applyFill="1" applyBorder="1" applyAlignment="1">
      <alignment vertical="center"/>
    </xf>
    <xf numFmtId="0" fontId="23" fillId="3" borderId="10" xfId="0" applyFont="1" applyFill="1" applyBorder="1" applyAlignment="1">
      <alignment vertical="center" wrapText="1"/>
    </xf>
    <xf numFmtId="165" fontId="9" fillId="3" borderId="11" xfId="0" applyNumberFormat="1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center"/>
    </xf>
    <xf numFmtId="0" fontId="16" fillId="0" borderId="0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43" fontId="0" fillId="0" borderId="0" xfId="1" applyFont="1"/>
    <xf numFmtId="43" fontId="0" fillId="0" borderId="0" xfId="1" applyFont="1" applyAlignment="1">
      <alignment vertical="center"/>
    </xf>
    <xf numFmtId="0" fontId="24" fillId="0" borderId="0" xfId="0" applyFont="1"/>
    <xf numFmtId="43" fontId="24" fillId="0" borderId="0" xfId="1" applyFont="1"/>
    <xf numFmtId="43" fontId="24" fillId="15" borderId="0" xfId="1" applyFont="1" applyFill="1"/>
    <xf numFmtId="0" fontId="24" fillId="0" borderId="0" xfId="0" applyFont="1" applyAlignment="1">
      <alignment wrapText="1"/>
    </xf>
    <xf numFmtId="0" fontId="24" fillId="15" borderId="0" xfId="0" applyFont="1" applyFill="1" applyAlignment="1">
      <alignment wrapText="1"/>
    </xf>
    <xf numFmtId="0" fontId="24" fillId="0" borderId="13" xfId="0" applyFont="1" applyBorder="1"/>
    <xf numFmtId="0" fontId="24" fillId="0" borderId="13" xfId="0" applyFont="1" applyBorder="1" applyAlignment="1">
      <alignment wrapText="1"/>
    </xf>
    <xf numFmtId="43" fontId="24" fillId="0" borderId="13" xfId="1" applyFont="1" applyBorder="1"/>
    <xf numFmtId="0" fontId="28" fillId="0" borderId="0" xfId="0" applyFont="1"/>
    <xf numFmtId="43" fontId="28" fillId="0" borderId="0" xfId="1" applyFont="1" applyAlignment="1">
      <alignment vertical="center"/>
    </xf>
    <xf numFmtId="0" fontId="24" fillId="0" borderId="0" xfId="0" applyFont="1" applyAlignment="1">
      <alignment vertical="center" wrapText="1"/>
    </xf>
    <xf numFmtId="43" fontId="24" fillId="0" borderId="0" xfId="1" applyFont="1" applyAlignment="1">
      <alignment vertical="center"/>
    </xf>
    <xf numFmtId="0" fontId="24" fillId="0" borderId="13" xfId="0" applyFont="1" applyBorder="1" applyAlignment="1">
      <alignment vertical="center" wrapText="1"/>
    </xf>
    <xf numFmtId="43" fontId="24" fillId="0" borderId="13" xfId="1" applyFont="1" applyBorder="1" applyAlignment="1">
      <alignment vertical="center"/>
    </xf>
    <xf numFmtId="43" fontId="24" fillId="15" borderId="0" xfId="1" applyFont="1" applyFill="1" applyAlignment="1">
      <alignment vertical="center"/>
    </xf>
    <xf numFmtId="0" fontId="24" fillId="0" borderId="0" xfId="0" applyFont="1" applyAlignment="1">
      <alignment vertical="center"/>
    </xf>
    <xf numFmtId="0" fontId="24" fillId="0" borderId="13" xfId="0" applyFont="1" applyBorder="1" applyAlignment="1">
      <alignment vertical="center"/>
    </xf>
    <xf numFmtId="0" fontId="0" fillId="0" borderId="0" xfId="0" applyAlignment="1">
      <alignment vertical="center" wrapText="1"/>
    </xf>
    <xf numFmtId="0" fontId="24" fillId="15" borderId="0" xfId="0" applyFont="1" applyFill="1" applyAlignment="1">
      <alignment vertical="center" wrapText="1"/>
    </xf>
    <xf numFmtId="0" fontId="27" fillId="0" borderId="0" xfId="0" applyFont="1" applyAlignment="1">
      <alignment horizontal="center"/>
    </xf>
    <xf numFmtId="0" fontId="29" fillId="0" borderId="0" xfId="0" applyFont="1" applyFill="1" applyBorder="1" applyAlignment="1">
      <alignment horizontal="center" vertical="center" wrapText="1"/>
    </xf>
    <xf numFmtId="43" fontId="28" fillId="0" borderId="0" xfId="1" applyFont="1" applyFill="1"/>
    <xf numFmtId="43" fontId="0" fillId="0" borderId="0" xfId="1" applyFont="1" applyFill="1"/>
    <xf numFmtId="43" fontId="26" fillId="0" borderId="0" xfId="1" applyFont="1" applyFill="1"/>
    <xf numFmtId="0" fontId="0" fillId="0" borderId="0" xfId="0" applyFill="1" applyAlignment="1">
      <alignment horizontal="left"/>
    </xf>
    <xf numFmtId="43" fontId="28" fillId="0" borderId="0" xfId="1" applyFont="1" applyFill="1" applyAlignment="1">
      <alignment vertical="center"/>
    </xf>
    <xf numFmtId="43" fontId="0" fillId="0" borderId="0" xfId="1" applyFont="1" applyFill="1" applyAlignment="1">
      <alignment vertical="center"/>
    </xf>
    <xf numFmtId="43" fontId="26" fillId="15" borderId="0" xfId="1" applyFont="1" applyFill="1" applyAlignment="1">
      <alignment vertical="center"/>
    </xf>
    <xf numFmtId="43" fontId="24" fillId="0" borderId="0" xfId="1" applyFont="1" applyAlignment="1">
      <alignment horizontal="center" vertical="center"/>
    </xf>
    <xf numFmtId="43" fontId="24" fillId="0" borderId="0" xfId="1" applyFont="1" applyFill="1" applyAlignment="1">
      <alignment horizontal="center" vertical="center"/>
    </xf>
    <xf numFmtId="0" fontId="0" fillId="0" borderId="13" xfId="0" applyBorder="1"/>
    <xf numFmtId="0" fontId="0" fillId="0" borderId="13" xfId="0" applyBorder="1" applyAlignment="1">
      <alignment vertical="center"/>
    </xf>
    <xf numFmtId="43" fontId="31" fillId="0" borderId="0" xfId="1" applyFont="1" applyFill="1" applyAlignment="1">
      <alignment vertical="center"/>
    </xf>
    <xf numFmtId="43" fontId="24" fillId="0" borderId="0" xfId="1" applyFont="1" applyAlignment="1">
      <alignment horizontal="center"/>
    </xf>
    <xf numFmtId="0" fontId="24" fillId="0" borderId="0" xfId="0" applyFont="1" applyAlignment="1">
      <alignment horizontal="center" vertical="center"/>
    </xf>
    <xf numFmtId="0" fontId="0" fillId="15" borderId="0" xfId="0" applyFill="1"/>
    <xf numFmtId="43" fontId="32" fillId="15" borderId="0" xfId="1" applyFont="1" applyFill="1" applyAlignment="1">
      <alignment vertical="center"/>
    </xf>
    <xf numFmtId="43" fontId="31" fillId="0" borderId="0" xfId="1" applyFont="1"/>
    <xf numFmtId="0" fontId="28" fillId="0" borderId="0" xfId="0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4" fillId="15" borderId="0" xfId="0" applyFont="1" applyFill="1" applyAlignment="1">
      <alignment vertical="center"/>
    </xf>
    <xf numFmtId="0" fontId="0" fillId="0" borderId="0" xfId="0" applyFill="1" applyAlignment="1">
      <alignment horizontal="left" vertical="center"/>
    </xf>
    <xf numFmtId="0" fontId="28" fillId="0" borderId="0" xfId="0" applyFont="1" applyAlignment="1">
      <alignment vertical="center" wrapText="1"/>
    </xf>
    <xf numFmtId="0" fontId="28" fillId="0" borderId="13" xfId="0" applyFont="1" applyBorder="1" applyAlignment="1">
      <alignment vertical="center"/>
    </xf>
    <xf numFmtId="43" fontId="28" fillId="0" borderId="13" xfId="1" applyFont="1" applyBorder="1" applyAlignment="1">
      <alignment vertical="center"/>
    </xf>
    <xf numFmtId="43" fontId="28" fillId="0" borderId="13" xfId="1" applyFont="1" applyFill="1" applyBorder="1" applyAlignment="1">
      <alignment vertical="center"/>
    </xf>
    <xf numFmtId="0" fontId="29" fillId="0" borderId="0" xfId="0" applyFont="1" applyBorder="1" applyAlignment="1">
      <alignment horizontal="center" vertical="center" wrapText="1"/>
    </xf>
    <xf numFmtId="0" fontId="29" fillId="4" borderId="0" xfId="0" applyFont="1" applyFill="1" applyBorder="1" applyAlignment="1">
      <alignment horizontal="center" vertical="center" wrapText="1"/>
    </xf>
    <xf numFmtId="0" fontId="29" fillId="4" borderId="0" xfId="0" applyNumberFormat="1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center" vertical="center" wrapText="1"/>
    </xf>
    <xf numFmtId="0" fontId="29" fillId="0" borderId="0" xfId="0" applyNumberFormat="1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/>
    </xf>
    <xf numFmtId="0" fontId="25" fillId="3" borderId="11" xfId="0" applyFont="1" applyFill="1" applyBorder="1" applyAlignment="1">
      <alignment horizontal="center" vertical="center" wrapText="1"/>
    </xf>
    <xf numFmtId="0" fontId="2" fillId="16" borderId="0" xfId="0" applyFont="1" applyFill="1" applyBorder="1" applyAlignment="1">
      <alignment vertical="center" wrapText="1"/>
    </xf>
    <xf numFmtId="0" fontId="4" fillId="0" borderId="0" xfId="1" applyNumberFormat="1" applyFont="1" applyBorder="1" applyAlignment="1">
      <alignment horizontal="center" vertical="center"/>
    </xf>
    <xf numFmtId="165" fontId="4" fillId="0" borderId="0" xfId="0" applyNumberFormat="1" applyFont="1" applyBorder="1" applyAlignment="1">
      <alignment horizontal="center" vertical="center"/>
    </xf>
    <xf numFmtId="165" fontId="4" fillId="0" borderId="0" xfId="0" applyNumberFormat="1" applyFont="1" applyBorder="1" applyAlignment="1">
      <alignment horizontal="right" vertical="center"/>
    </xf>
    <xf numFmtId="165" fontId="4" fillId="0" borderId="0" xfId="0" applyNumberFormat="1" applyFont="1" applyBorder="1" applyAlignment="1">
      <alignment horizontal="right" vertical="center" wrapText="1"/>
    </xf>
    <xf numFmtId="165" fontId="4" fillId="0" borderId="0" xfId="0" applyNumberFormat="1" applyFont="1" applyBorder="1" applyAlignment="1">
      <alignment horizontal="center" vertical="center" wrapText="1"/>
    </xf>
    <xf numFmtId="0" fontId="29" fillId="0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Alignment="1">
      <alignment vertical="center" wrapText="1"/>
    </xf>
    <xf numFmtId="0" fontId="37" fillId="0" borderId="0" xfId="0" applyFont="1" applyBorder="1" applyAlignment="1">
      <alignment vertical="center" wrapText="1"/>
    </xf>
    <xf numFmtId="165" fontId="36" fillId="0" borderId="0" xfId="0" applyNumberFormat="1" applyFont="1" applyBorder="1" applyAlignment="1">
      <alignment vertical="center" wrapText="1"/>
    </xf>
    <xf numFmtId="0" fontId="36" fillId="0" borderId="0" xfId="0" applyFont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4" fillId="18" borderId="15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wrapText="1"/>
    </xf>
    <xf numFmtId="0" fontId="7" fillId="2" borderId="16" xfId="0" applyFont="1" applyFill="1" applyBorder="1" applyAlignment="1">
      <alignment horizontal="center" vertical="center" textRotation="90" wrapText="1"/>
    </xf>
    <xf numFmtId="0" fontId="38" fillId="2" borderId="12" xfId="0" applyFont="1" applyFill="1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165" fontId="9" fillId="18" borderId="17" xfId="0" applyNumberFormat="1" applyFont="1" applyFill="1" applyBorder="1" applyAlignment="1">
      <alignment vertical="center" wrapText="1"/>
    </xf>
    <xf numFmtId="165" fontId="9" fillId="17" borderId="17" xfId="0" applyNumberFormat="1" applyFont="1" applyFill="1" applyBorder="1" applyAlignment="1">
      <alignment vertical="center" wrapText="1"/>
    </xf>
    <xf numFmtId="0" fontId="21" fillId="18" borderId="14" xfId="0" applyFont="1" applyFill="1" applyBorder="1" applyAlignment="1">
      <alignment horizontal="center" vertical="center" wrapText="1"/>
    </xf>
    <xf numFmtId="165" fontId="9" fillId="17" borderId="17" xfId="0" applyNumberFormat="1" applyFont="1" applyFill="1" applyBorder="1" applyAlignment="1">
      <alignment horizontal="center" vertical="center" wrapText="1"/>
    </xf>
    <xf numFmtId="165" fontId="9" fillId="18" borderId="17" xfId="0" applyNumberFormat="1" applyFont="1" applyFill="1" applyBorder="1" applyAlignment="1">
      <alignment horizontal="center" vertical="center" wrapText="1"/>
    </xf>
    <xf numFmtId="165" fontId="4" fillId="17" borderId="17" xfId="0" applyNumberFormat="1" applyFont="1" applyFill="1" applyBorder="1" applyAlignment="1">
      <alignment vertical="center" wrapText="1"/>
    </xf>
    <xf numFmtId="165" fontId="4" fillId="18" borderId="17" xfId="0" applyNumberFormat="1" applyFont="1" applyFill="1" applyBorder="1" applyAlignment="1">
      <alignment vertical="center" wrapText="1"/>
    </xf>
    <xf numFmtId="0" fontId="4" fillId="4" borderId="17" xfId="0" applyFont="1" applyFill="1" applyBorder="1" applyAlignment="1">
      <alignment horizontal="center" vertical="center" wrapText="1"/>
    </xf>
    <xf numFmtId="0" fontId="4" fillId="4" borderId="15" xfId="0" applyFont="1" applyFill="1" applyBorder="1" applyAlignment="1">
      <alignment horizontal="center" vertical="center"/>
    </xf>
    <xf numFmtId="0" fontId="15" fillId="4" borderId="17" xfId="0" applyFont="1" applyFill="1" applyBorder="1" applyAlignment="1">
      <alignment vertical="center" wrapText="1"/>
    </xf>
    <xf numFmtId="14" fontId="9" fillId="17" borderId="17" xfId="0" applyNumberFormat="1" applyFont="1" applyFill="1" applyBorder="1" applyAlignment="1">
      <alignment horizontal="center" vertical="center" wrapText="1"/>
    </xf>
    <xf numFmtId="14" fontId="9" fillId="18" borderId="17" xfId="0" applyNumberFormat="1" applyFont="1" applyFill="1" applyBorder="1" applyAlignment="1">
      <alignment horizontal="center" vertical="center" wrapText="1"/>
    </xf>
    <xf numFmtId="0" fontId="17" fillId="18" borderId="15" xfId="0" applyFont="1" applyFill="1" applyBorder="1" applyAlignment="1">
      <alignment horizontal="center" vertical="center" wrapText="1"/>
    </xf>
    <xf numFmtId="165" fontId="19" fillId="18" borderId="17" xfId="0" applyNumberFormat="1" applyFont="1" applyFill="1" applyBorder="1" applyAlignment="1">
      <alignment vertical="center" wrapText="1"/>
    </xf>
    <xf numFmtId="165" fontId="19" fillId="18" borderId="17" xfId="0" applyNumberFormat="1" applyFont="1" applyFill="1" applyBorder="1" applyAlignment="1">
      <alignment horizontal="center" vertical="center" wrapText="1"/>
    </xf>
    <xf numFmtId="165" fontId="19" fillId="17" borderId="17" xfId="0" applyNumberFormat="1" applyFont="1" applyFill="1" applyBorder="1" applyAlignment="1">
      <alignment vertical="center" wrapText="1"/>
    </xf>
    <xf numFmtId="14" fontId="19" fillId="17" borderId="17" xfId="0" applyNumberFormat="1" applyFont="1" applyFill="1" applyBorder="1" applyAlignment="1">
      <alignment horizontal="center" vertical="center" wrapText="1"/>
    </xf>
    <xf numFmtId="165" fontId="19" fillId="17" borderId="17" xfId="0" applyNumberFormat="1" applyFont="1" applyFill="1" applyBorder="1" applyAlignment="1">
      <alignment horizontal="center" vertical="center" wrapText="1"/>
    </xf>
    <xf numFmtId="14" fontId="19" fillId="18" borderId="17" xfId="0" applyNumberFormat="1" applyFont="1" applyFill="1" applyBorder="1" applyAlignment="1">
      <alignment horizontal="center" vertical="center" wrapText="1"/>
    </xf>
    <xf numFmtId="14" fontId="7" fillId="2" borderId="16" xfId="0" applyNumberFormat="1" applyFont="1" applyFill="1" applyBorder="1" applyAlignment="1">
      <alignment horizontal="center" vertical="center" wrapText="1"/>
    </xf>
    <xf numFmtId="14" fontId="4" fillId="18" borderId="17" xfId="0" applyNumberFormat="1" applyFont="1" applyFill="1" applyBorder="1" applyAlignment="1">
      <alignment horizontal="center" vertical="center" wrapText="1"/>
    </xf>
    <xf numFmtId="14" fontId="4" fillId="4" borderId="0" xfId="0" applyNumberFormat="1" applyFont="1" applyFill="1" applyBorder="1" applyAlignment="1">
      <alignment horizontal="center" vertical="center" wrapText="1"/>
    </xf>
    <xf numFmtId="14" fontId="4" fillId="4" borderId="17" xfId="0" applyNumberFormat="1" applyFont="1" applyFill="1" applyBorder="1" applyAlignment="1">
      <alignment horizontal="center" vertical="center" wrapText="1"/>
    </xf>
    <xf numFmtId="14" fontId="15" fillId="4" borderId="17" xfId="0" applyNumberFormat="1" applyFont="1" applyFill="1" applyBorder="1" applyAlignment="1">
      <alignment vertical="center" wrapText="1"/>
    </xf>
    <xf numFmtId="14" fontId="15" fillId="4" borderId="0" xfId="0" applyNumberFormat="1" applyFont="1" applyFill="1" applyBorder="1" applyAlignment="1">
      <alignment vertical="center" wrapText="1"/>
    </xf>
    <xf numFmtId="14" fontId="4" fillId="4" borderId="15" xfId="0" applyNumberFormat="1" applyFont="1" applyFill="1" applyBorder="1" applyAlignment="1">
      <alignment horizontal="center" vertical="center"/>
    </xf>
    <xf numFmtId="0" fontId="21" fillId="0" borderId="0" xfId="0" applyFont="1" applyBorder="1" applyAlignment="1">
      <alignment vertical="center" wrapText="1"/>
    </xf>
    <xf numFmtId="0" fontId="39" fillId="4" borderId="9" xfId="0" applyFont="1" applyFill="1" applyBorder="1" applyAlignment="1">
      <alignment vertical="center" wrapText="1"/>
    </xf>
    <xf numFmtId="0" fontId="9" fillId="4" borderId="0" xfId="0" applyFont="1" applyFill="1" applyBorder="1" applyAlignment="1">
      <alignment vertical="center"/>
    </xf>
    <xf numFmtId="0" fontId="4" fillId="18" borderId="18" xfId="0" applyFont="1" applyFill="1" applyBorder="1" applyAlignment="1">
      <alignment horizontal="center" vertical="center" wrapText="1"/>
    </xf>
    <xf numFmtId="165" fontId="4" fillId="17" borderId="19" xfId="0" applyNumberFormat="1" applyFont="1" applyFill="1" applyBorder="1" applyAlignment="1">
      <alignment vertical="center" wrapText="1"/>
    </xf>
    <xf numFmtId="0" fontId="13" fillId="2" borderId="16" xfId="0" applyFont="1" applyFill="1" applyBorder="1" applyAlignment="1">
      <alignment horizontal="center" vertical="center" wrapText="1"/>
    </xf>
    <xf numFmtId="165" fontId="13" fillId="4" borderId="15" xfId="0" applyNumberFormat="1" applyFont="1" applyFill="1" applyBorder="1" applyAlignment="1">
      <alignment horizontal="center" vertical="center"/>
    </xf>
    <xf numFmtId="165" fontId="13" fillId="4" borderId="0" xfId="0" applyNumberFormat="1" applyFont="1" applyFill="1" applyBorder="1" applyAlignment="1">
      <alignment horizontal="center" vertical="center" wrapText="1"/>
    </xf>
    <xf numFmtId="165" fontId="13" fillId="18" borderId="17" xfId="0" applyNumberFormat="1" applyFont="1" applyFill="1" applyBorder="1" applyAlignment="1">
      <alignment horizontal="center" vertical="center" wrapText="1"/>
    </xf>
    <xf numFmtId="165" fontId="13" fillId="17" borderId="17" xfId="0" applyNumberFormat="1" applyFont="1" applyFill="1" applyBorder="1" applyAlignment="1">
      <alignment horizontal="center" vertical="center" wrapText="1"/>
    </xf>
    <xf numFmtId="165" fontId="13" fillId="4" borderId="17" xfId="0" applyNumberFormat="1" applyFont="1" applyFill="1" applyBorder="1" applyAlignment="1">
      <alignment horizontal="center" vertical="center" wrapText="1"/>
    </xf>
    <xf numFmtId="165" fontId="40" fillId="18" borderId="17" xfId="0" applyNumberFormat="1" applyFont="1" applyFill="1" applyBorder="1" applyAlignment="1">
      <alignment horizontal="center" vertical="center" wrapText="1"/>
    </xf>
    <xf numFmtId="165" fontId="40" fillId="17" borderId="17" xfId="0" applyNumberFormat="1" applyFont="1" applyFill="1" applyBorder="1" applyAlignment="1">
      <alignment horizontal="center" vertical="center" wrapText="1"/>
    </xf>
    <xf numFmtId="0" fontId="29" fillId="0" borderId="0" xfId="1" applyNumberFormat="1" applyFont="1" applyBorder="1" applyAlignment="1">
      <alignment horizontal="center" vertical="center" wrapText="1"/>
    </xf>
    <xf numFmtId="0" fontId="42" fillId="0" borderId="0" xfId="0" applyFont="1" applyBorder="1" applyAlignment="1">
      <alignment vertical="center" wrapText="1"/>
    </xf>
    <xf numFmtId="165" fontId="41" fillId="0" borderId="0" xfId="0" applyNumberFormat="1" applyFont="1" applyFill="1" applyBorder="1" applyAlignment="1">
      <alignment vertical="center" wrapText="1"/>
    </xf>
    <xf numFmtId="165" fontId="41" fillId="0" borderId="0" xfId="0" applyNumberFormat="1" applyFont="1" applyBorder="1" applyAlignment="1">
      <alignment vertical="center" wrapText="1"/>
    </xf>
    <xf numFmtId="165" fontId="17" fillId="17" borderId="17" xfId="0" applyNumberFormat="1" applyFont="1" applyFill="1" applyBorder="1" applyAlignment="1">
      <alignment vertical="center" wrapText="1"/>
    </xf>
    <xf numFmtId="0" fontId="43" fillId="18" borderId="15" xfId="0" applyFont="1" applyFill="1" applyBorder="1" applyAlignment="1">
      <alignment horizontal="center" vertical="center" wrapText="1"/>
    </xf>
    <xf numFmtId="165" fontId="43" fillId="17" borderId="17" xfId="0" applyNumberFormat="1" applyFont="1" applyFill="1" applyBorder="1" applyAlignment="1">
      <alignment vertical="center" wrapText="1"/>
    </xf>
    <xf numFmtId="165" fontId="44" fillId="18" borderId="17" xfId="0" applyNumberFormat="1" applyFont="1" applyFill="1" applyBorder="1" applyAlignment="1">
      <alignment horizontal="center" vertical="center" wrapText="1"/>
    </xf>
    <xf numFmtId="165" fontId="44" fillId="17" borderId="17" xfId="0" applyNumberFormat="1" applyFont="1" applyFill="1" applyBorder="1" applyAlignment="1">
      <alignment horizontal="center" vertical="center" wrapText="1"/>
    </xf>
    <xf numFmtId="165" fontId="4" fillId="17" borderId="17" xfId="0" applyNumberFormat="1" applyFont="1" applyFill="1" applyBorder="1" applyAlignment="1">
      <alignment horizontal="center" vertical="center" wrapText="1"/>
    </xf>
    <xf numFmtId="165" fontId="4" fillId="18" borderId="17" xfId="0" applyNumberFormat="1" applyFont="1" applyFill="1" applyBorder="1" applyAlignment="1">
      <alignment horizontal="center" vertical="center" wrapText="1"/>
    </xf>
    <xf numFmtId="14" fontId="4" fillId="17" borderId="17" xfId="0" applyNumberFormat="1" applyFont="1" applyFill="1" applyBorder="1" applyAlignment="1">
      <alignment horizontal="center" vertical="center" wrapText="1"/>
    </xf>
    <xf numFmtId="165" fontId="45" fillId="17" borderId="17" xfId="0" applyNumberFormat="1" applyFont="1" applyFill="1" applyBorder="1" applyAlignment="1">
      <alignment horizontal="center" vertical="center" wrapText="1"/>
    </xf>
    <xf numFmtId="14" fontId="43" fillId="17" borderId="17" xfId="0" applyNumberFormat="1" applyFont="1" applyFill="1" applyBorder="1" applyAlignment="1">
      <alignment horizontal="center" vertical="center" wrapText="1"/>
    </xf>
    <xf numFmtId="165" fontId="43" fillId="17" borderId="17" xfId="0" applyNumberFormat="1" applyFont="1" applyFill="1" applyBorder="1" applyAlignment="1">
      <alignment horizontal="center" vertical="center" wrapText="1"/>
    </xf>
    <xf numFmtId="165" fontId="43" fillId="18" borderId="17" xfId="0" applyNumberFormat="1" applyFont="1" applyFill="1" applyBorder="1" applyAlignment="1">
      <alignment vertical="center" wrapText="1"/>
    </xf>
    <xf numFmtId="165" fontId="45" fillId="18" borderId="17" xfId="0" applyNumberFormat="1" applyFont="1" applyFill="1" applyBorder="1" applyAlignment="1">
      <alignment horizontal="center" vertical="center" wrapText="1"/>
    </xf>
    <xf numFmtId="14" fontId="43" fillId="18" borderId="17" xfId="0" applyNumberFormat="1" applyFont="1" applyFill="1" applyBorder="1" applyAlignment="1">
      <alignment horizontal="center" vertical="center" wrapText="1"/>
    </xf>
    <xf numFmtId="165" fontId="4" fillId="18" borderId="19" xfId="0" applyNumberFormat="1" applyFont="1" applyFill="1" applyBorder="1" applyAlignment="1">
      <alignment vertical="center" wrapText="1"/>
    </xf>
    <xf numFmtId="14" fontId="4" fillId="18" borderId="19" xfId="0" applyNumberFormat="1" applyFont="1" applyFill="1" applyBorder="1" applyAlignment="1">
      <alignment horizontal="center" vertical="center" wrapText="1"/>
    </xf>
    <xf numFmtId="165" fontId="4" fillId="18" borderId="19" xfId="0" applyNumberFormat="1" applyFont="1" applyFill="1" applyBorder="1" applyAlignment="1">
      <alignment horizontal="center" vertical="center" wrapText="1"/>
    </xf>
    <xf numFmtId="165" fontId="17" fillId="18" borderId="17" xfId="0" applyNumberFormat="1" applyFont="1" applyFill="1" applyBorder="1" applyAlignment="1">
      <alignment vertical="center" wrapText="1"/>
    </xf>
    <xf numFmtId="14" fontId="17" fillId="18" borderId="17" xfId="0" applyNumberFormat="1" applyFont="1" applyFill="1" applyBorder="1" applyAlignment="1">
      <alignment horizontal="center" vertical="center" wrapText="1"/>
    </xf>
    <xf numFmtId="165" fontId="17" fillId="18" borderId="17" xfId="0" applyNumberFormat="1" applyFont="1" applyFill="1" applyBorder="1" applyAlignment="1">
      <alignment horizontal="center" vertical="center" wrapText="1"/>
    </xf>
    <xf numFmtId="14" fontId="4" fillId="17" borderId="17" xfId="0" applyNumberFormat="1" applyFont="1" applyFill="1" applyBorder="1" applyAlignment="1">
      <alignment vertical="center" wrapText="1"/>
    </xf>
    <xf numFmtId="0" fontId="46" fillId="4" borderId="0" xfId="0" applyFont="1" applyFill="1" applyBorder="1" applyAlignment="1">
      <alignment vertical="center" wrapText="1"/>
    </xf>
    <xf numFmtId="0" fontId="4" fillId="18" borderId="17" xfId="0" applyFont="1" applyFill="1" applyBorder="1" applyAlignment="1">
      <alignment horizontal="center" vertical="center" wrapText="1"/>
    </xf>
    <xf numFmtId="165" fontId="13" fillId="3" borderId="15" xfId="0" applyNumberFormat="1" applyFont="1" applyFill="1" applyBorder="1" applyAlignment="1">
      <alignment horizontal="center" vertical="center"/>
    </xf>
    <xf numFmtId="14" fontId="4" fillId="18" borderId="17" xfId="0" applyNumberFormat="1" applyFont="1" applyFill="1" applyBorder="1" applyAlignment="1">
      <alignment vertical="center" wrapText="1"/>
    </xf>
    <xf numFmtId="0" fontId="48" fillId="0" borderId="0" xfId="0" applyFont="1" applyBorder="1" applyAlignment="1">
      <alignment vertical="center" wrapText="1"/>
    </xf>
    <xf numFmtId="0" fontId="47" fillId="0" borderId="0" xfId="0" applyFont="1" applyBorder="1" applyAlignment="1">
      <alignment horizontal="center" vertical="center" wrapText="1"/>
    </xf>
    <xf numFmtId="165" fontId="47" fillId="0" borderId="0" xfId="0" applyNumberFormat="1" applyFont="1" applyBorder="1" applyAlignment="1">
      <alignment vertical="center" wrapText="1"/>
    </xf>
    <xf numFmtId="165" fontId="47" fillId="0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4" fillId="17" borderId="17" xfId="0" applyFont="1" applyFill="1" applyBorder="1" applyAlignment="1">
      <alignment horizontal="center" vertical="center" wrapText="1"/>
    </xf>
    <xf numFmtId="0" fontId="50" fillId="16" borderId="20" xfId="0" applyFont="1" applyFill="1" applyBorder="1" applyAlignment="1">
      <alignment horizontal="left" vertical="center" wrapText="1"/>
    </xf>
    <xf numFmtId="4" fontId="50" fillId="16" borderId="20" xfId="0" applyNumberFormat="1" applyFont="1" applyFill="1" applyBorder="1" applyAlignment="1">
      <alignment horizontal="right" vertical="center" wrapText="1"/>
    </xf>
    <xf numFmtId="0" fontId="50" fillId="16" borderId="21" xfId="0" applyFont="1" applyFill="1" applyBorder="1" applyAlignment="1">
      <alignment horizontal="left" vertical="center"/>
    </xf>
    <xf numFmtId="165" fontId="3" fillId="16" borderId="20" xfId="0" applyNumberFormat="1" applyFont="1" applyFill="1" applyBorder="1" applyAlignment="1">
      <alignment horizontal="right" vertical="center" wrapText="1"/>
    </xf>
    <xf numFmtId="0" fontId="49" fillId="16" borderId="22" xfId="0" applyFont="1" applyFill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5" fontId="51" fillId="0" borderId="0" xfId="0" applyNumberFormat="1" applyFont="1" applyBorder="1" applyAlignment="1">
      <alignment vertical="center" wrapText="1"/>
    </xf>
    <xf numFmtId="165" fontId="51" fillId="0" borderId="0" xfId="0" applyNumberFormat="1" applyFont="1" applyFill="1" applyBorder="1" applyAlignment="1">
      <alignment vertical="center" wrapText="1"/>
    </xf>
    <xf numFmtId="4" fontId="52" fillId="16" borderId="20" xfId="0" applyNumberFormat="1" applyFont="1" applyFill="1" applyBorder="1" applyAlignment="1">
      <alignment horizontal="right" vertical="center" wrapText="1"/>
    </xf>
    <xf numFmtId="0" fontId="53" fillId="0" borderId="9" xfId="0" applyFont="1" applyBorder="1" applyAlignment="1">
      <alignment vertical="center" wrapText="1"/>
    </xf>
    <xf numFmtId="0" fontId="54" fillId="0" borderId="0" xfId="0" applyFont="1" applyBorder="1" applyAlignment="1">
      <alignment vertical="center" wrapText="1"/>
    </xf>
    <xf numFmtId="165" fontId="53" fillId="0" borderId="0" xfId="0" applyNumberFormat="1" applyFont="1" applyBorder="1" applyAlignment="1">
      <alignment vertical="center" wrapText="1"/>
    </xf>
    <xf numFmtId="0" fontId="4" fillId="0" borderId="25" xfId="0" applyFont="1" applyFill="1" applyBorder="1" applyAlignment="1">
      <alignment vertical="center" wrapText="1"/>
    </xf>
    <xf numFmtId="0" fontId="25" fillId="0" borderId="0" xfId="0" applyFont="1" applyBorder="1" applyAlignment="1">
      <alignment horizontal="center" vertical="center" wrapText="1"/>
    </xf>
    <xf numFmtId="3" fontId="29" fillId="0" borderId="0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165" fontId="53" fillId="0" borderId="0" xfId="0" applyNumberFormat="1" applyFont="1" applyFill="1" applyBorder="1" applyAlignment="1">
      <alignment vertical="center" wrapText="1"/>
    </xf>
    <xf numFmtId="0" fontId="29" fillId="0" borderId="0" xfId="1" applyNumberFormat="1" applyFont="1" applyBorder="1" applyAlignment="1">
      <alignment horizontal="center" vertical="center"/>
    </xf>
    <xf numFmtId="37" fontId="29" fillId="0" borderId="0" xfId="0" applyNumberFormat="1" applyFont="1" applyFill="1" applyBorder="1" applyAlignment="1">
      <alignment horizontal="center" vertical="center" wrapText="1"/>
    </xf>
    <xf numFmtId="37" fontId="29" fillId="0" borderId="0" xfId="1" applyNumberFormat="1" applyFont="1" applyFill="1" applyBorder="1" applyAlignment="1">
      <alignment horizontal="center" vertical="center"/>
    </xf>
    <xf numFmtId="0" fontId="57" fillId="0" borderId="0" xfId="0" applyFont="1" applyBorder="1" applyAlignment="1">
      <alignment horizontal="center" vertical="center" wrapText="1"/>
    </xf>
    <xf numFmtId="0" fontId="29" fillId="4" borderId="0" xfId="0" applyNumberFormat="1" applyFont="1" applyFill="1" applyBorder="1" applyAlignment="1">
      <alignment horizontal="center" vertical="center"/>
    </xf>
    <xf numFmtId="165" fontId="29" fillId="4" borderId="0" xfId="0" applyNumberFormat="1" applyFont="1" applyFill="1" applyBorder="1" applyAlignment="1">
      <alignment horizontal="center" vertical="center" wrapText="1"/>
    </xf>
    <xf numFmtId="0" fontId="25" fillId="3" borderId="11" xfId="0" applyNumberFormat="1" applyFont="1" applyFill="1" applyBorder="1" applyAlignment="1">
      <alignment horizontal="center" vertical="center" wrapText="1"/>
    </xf>
    <xf numFmtId="0" fontId="29" fillId="4" borderId="0" xfId="0" applyFont="1" applyFill="1" applyBorder="1" applyAlignment="1">
      <alignment horizontal="center" vertical="center"/>
    </xf>
    <xf numFmtId="0" fontId="2" fillId="0" borderId="0" xfId="0" applyFont="1" applyAlignment="1">
      <alignment vertical="center" wrapText="1"/>
    </xf>
    <xf numFmtId="4" fontId="58" fillId="16" borderId="20" xfId="0" applyNumberFormat="1" applyFont="1" applyFill="1" applyBorder="1" applyAlignment="1">
      <alignment horizontal="right" vertical="center" wrapText="1"/>
    </xf>
    <xf numFmtId="165" fontId="0" fillId="0" borderId="0" xfId="0" applyNumberFormat="1"/>
    <xf numFmtId="1" fontId="14" fillId="0" borderId="0" xfId="1" applyNumberFormat="1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wrapText="1"/>
    </xf>
    <xf numFmtId="0" fontId="14" fillId="0" borderId="0" xfId="0" applyFont="1" applyFill="1" applyBorder="1" applyAlignment="1">
      <alignment horizontal="center" wrapText="1"/>
    </xf>
    <xf numFmtId="3" fontId="46" fillId="0" borderId="0" xfId="2" applyNumberFormat="1" applyFont="1" applyFill="1" applyBorder="1" applyAlignment="1">
      <alignment horizontal="center" wrapText="1"/>
    </xf>
    <xf numFmtId="0" fontId="46" fillId="0" borderId="0" xfId="2" applyFont="1" applyFill="1" applyBorder="1" applyAlignment="1">
      <alignment horizontal="left" vertical="center" wrapText="1"/>
    </xf>
    <xf numFmtId="0" fontId="46" fillId="0" borderId="0" xfId="2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center"/>
    </xf>
    <xf numFmtId="3" fontId="14" fillId="0" borderId="0" xfId="0" applyNumberFormat="1" applyFont="1" applyFill="1" applyBorder="1" applyAlignment="1">
      <alignment horizontal="center" wrapText="1"/>
    </xf>
    <xf numFmtId="0" fontId="2" fillId="0" borderId="0" xfId="0" applyFont="1" applyAlignment="1">
      <alignment vertical="center" wrapText="1"/>
    </xf>
    <xf numFmtId="0" fontId="14" fillId="0" borderId="9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left" vertical="top" wrapText="1"/>
    </xf>
    <xf numFmtId="0" fontId="59" fillId="0" borderId="0" xfId="0" applyFont="1" applyFill="1" applyBorder="1" applyAlignment="1">
      <alignment horizontal="center" wrapText="1"/>
    </xf>
    <xf numFmtId="1" fontId="14" fillId="0" borderId="0" xfId="1" applyNumberFormat="1" applyFont="1" applyFill="1" applyBorder="1" applyAlignment="1">
      <alignment horizontal="center" wrapText="1"/>
    </xf>
    <xf numFmtId="0" fontId="59" fillId="0" borderId="0" xfId="0" applyFont="1" applyFill="1" applyBorder="1" applyAlignment="1">
      <alignment horizontal="left" vertical="center" wrapText="1"/>
    </xf>
    <xf numFmtId="0" fontId="46" fillId="0" borderId="0" xfId="2" applyFont="1" applyFill="1" applyBorder="1" applyAlignment="1">
      <alignment vertical="center" wrapText="1"/>
    </xf>
    <xf numFmtId="0" fontId="46" fillId="0" borderId="0" xfId="2" applyFont="1" applyFill="1" applyBorder="1" applyAlignment="1">
      <alignment horizontal="center"/>
    </xf>
    <xf numFmtId="0" fontId="59" fillId="0" borderId="0" xfId="0" applyFont="1" applyFill="1" applyBorder="1" applyAlignment="1">
      <alignment vertical="center" wrapText="1"/>
    </xf>
    <xf numFmtId="0" fontId="22" fillId="4" borderId="0" xfId="0" applyFont="1" applyFill="1" applyBorder="1" applyAlignment="1">
      <alignment vertical="center" wrapText="1"/>
    </xf>
    <xf numFmtId="0" fontId="46" fillId="0" borderId="0" xfId="2" applyFont="1" applyFill="1" applyBorder="1" applyAlignment="1">
      <alignment wrapText="1"/>
    </xf>
    <xf numFmtId="0" fontId="55" fillId="0" borderId="0" xfId="0" applyFont="1" applyAlignment="1">
      <alignment wrapText="1"/>
    </xf>
    <xf numFmtId="165" fontId="60" fillId="4" borderId="0" xfId="0" applyNumberFormat="1" applyFont="1" applyFill="1" applyBorder="1" applyAlignment="1">
      <alignment vertical="center" wrapText="1"/>
    </xf>
    <xf numFmtId="43" fontId="60" fillId="4" borderId="0" xfId="1" applyFont="1" applyFill="1" applyBorder="1" applyAlignment="1">
      <alignment horizontal="center" vertical="center" wrapText="1"/>
    </xf>
    <xf numFmtId="165" fontId="61" fillId="4" borderId="0" xfId="0" applyNumberFormat="1" applyFont="1" applyFill="1" applyBorder="1" applyAlignment="1">
      <alignment vertical="center"/>
    </xf>
    <xf numFmtId="165" fontId="62" fillId="0" borderId="0" xfId="0" applyNumberFormat="1" applyFont="1" applyBorder="1" applyAlignment="1">
      <alignment vertical="center" wrapText="1"/>
    </xf>
    <xf numFmtId="165" fontId="63" fillId="0" borderId="0" xfId="0" applyNumberFormat="1" applyFont="1" applyBorder="1" applyAlignment="1">
      <alignment vertical="center" wrapText="1"/>
    </xf>
    <xf numFmtId="165" fontId="64" fillId="0" borderId="0" xfId="0" applyNumberFormat="1" applyFont="1" applyFill="1" applyBorder="1" applyAlignment="1">
      <alignment vertical="center" wrapText="1"/>
    </xf>
    <xf numFmtId="165" fontId="63" fillId="0" borderId="0" xfId="0" applyNumberFormat="1" applyFont="1" applyFill="1" applyBorder="1" applyAlignment="1">
      <alignment vertical="center" wrapText="1"/>
    </xf>
    <xf numFmtId="165" fontId="62" fillId="0" borderId="0" xfId="0" applyNumberFormat="1" applyFont="1" applyFill="1" applyBorder="1" applyAlignment="1">
      <alignment vertical="center" wrapText="1"/>
    </xf>
    <xf numFmtId="165" fontId="63" fillId="0" borderId="0" xfId="0" applyNumberFormat="1" applyFont="1" applyBorder="1" applyAlignment="1">
      <alignment vertical="center"/>
    </xf>
    <xf numFmtId="0" fontId="2" fillId="16" borderId="0" xfId="0" applyFont="1" applyFill="1" applyAlignment="1">
      <alignment vertical="center" wrapText="1"/>
    </xf>
    <xf numFmtId="0" fontId="20" fillId="16" borderId="0" xfId="0" applyFont="1" applyFill="1" applyAlignment="1">
      <alignment vertical="center" wrapText="1"/>
    </xf>
    <xf numFmtId="0" fontId="4" fillId="16" borderId="0" xfId="0" applyFont="1" applyFill="1" applyAlignment="1">
      <alignment vertical="center" wrapText="1"/>
    </xf>
    <xf numFmtId="0" fontId="2" fillId="16" borderId="0" xfId="0" applyFont="1" applyFill="1" applyBorder="1" applyAlignment="1">
      <alignment vertical="center"/>
    </xf>
    <xf numFmtId="0" fontId="8" fillId="16" borderId="11" xfId="0" applyFont="1" applyFill="1" applyBorder="1" applyAlignment="1">
      <alignment vertical="center" wrapText="1"/>
    </xf>
    <xf numFmtId="165" fontId="62" fillId="0" borderId="0" xfId="0" applyNumberFormat="1" applyFont="1" applyBorder="1" applyAlignment="1">
      <alignment vertical="center"/>
    </xf>
    <xf numFmtId="165" fontId="65" fillId="0" borderId="0" xfId="0" applyNumberFormat="1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14" fillId="18" borderId="15" xfId="0" applyFont="1" applyFill="1" applyBorder="1" applyAlignment="1">
      <alignment vertical="center" wrapText="1"/>
    </xf>
    <xf numFmtId="165" fontId="4" fillId="18" borderId="15" xfId="0" applyNumberFormat="1" applyFont="1" applyFill="1" applyBorder="1" applyAlignment="1">
      <alignment vertical="center" wrapText="1"/>
    </xf>
    <xf numFmtId="0" fontId="4" fillId="18" borderId="15" xfId="0" applyFont="1" applyFill="1" applyBorder="1" applyAlignment="1">
      <alignment vertical="center" wrapText="1"/>
    </xf>
    <xf numFmtId="0" fontId="9" fillId="0" borderId="0" xfId="0" applyFont="1" applyAlignment="1">
      <alignment horizontal="center" vertical="center" wrapText="1"/>
    </xf>
    <xf numFmtId="0" fontId="9" fillId="4" borderId="0" xfId="0" applyFont="1" applyFill="1" applyBorder="1" applyAlignment="1">
      <alignment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vertical="center" wrapText="1"/>
    </xf>
    <xf numFmtId="0" fontId="4" fillId="16" borderId="0" xfId="0" applyFont="1" applyFill="1" applyBorder="1" applyAlignment="1">
      <alignment vertical="center" wrapText="1"/>
    </xf>
    <xf numFmtId="0" fontId="9" fillId="4" borderId="0" xfId="0" applyNumberFormat="1" applyFont="1" applyFill="1" applyBorder="1" applyAlignment="1">
      <alignment horizontal="left" vertical="center" wrapText="1"/>
    </xf>
    <xf numFmtId="0" fontId="29" fillId="0" borderId="0" xfId="0" applyFont="1" applyBorder="1" applyAlignment="1">
      <alignment vertical="center"/>
    </xf>
    <xf numFmtId="43" fontId="4" fillId="0" borderId="0" xfId="1" applyFont="1" applyBorder="1" applyAlignment="1">
      <alignment horizontal="left" vertical="center" wrapText="1"/>
    </xf>
    <xf numFmtId="0" fontId="21" fillId="0" borderId="0" xfId="0" applyFont="1" applyBorder="1" applyAlignment="1">
      <alignment horizontal="center" vertical="center" wrapText="1"/>
    </xf>
    <xf numFmtId="0" fontId="4" fillId="5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right" vertical="center" wrapText="1"/>
    </xf>
    <xf numFmtId="0" fontId="4" fillId="0" borderId="0" xfId="0" applyNumberFormat="1" applyFont="1" applyBorder="1" applyAlignment="1">
      <alignment horizontal="right" vertical="center" wrapText="1"/>
    </xf>
    <xf numFmtId="0" fontId="29" fillId="4" borderId="0" xfId="0" applyFont="1" applyFill="1" applyBorder="1" applyAlignment="1">
      <alignment vertical="center"/>
    </xf>
    <xf numFmtId="165" fontId="9" fillId="4" borderId="0" xfId="0" applyNumberFormat="1" applyFont="1" applyFill="1" applyBorder="1" applyAlignment="1">
      <alignment vertical="center"/>
    </xf>
    <xf numFmtId="0" fontId="4" fillId="17" borderId="15" xfId="0" applyNumberFormat="1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 wrapText="1"/>
    </xf>
    <xf numFmtId="0" fontId="4" fillId="0" borderId="0" xfId="0" applyNumberFormat="1" applyFont="1" applyAlignment="1">
      <alignment horizontal="center" vertical="center" wrapText="1"/>
    </xf>
    <xf numFmtId="165" fontId="4" fillId="0" borderId="0" xfId="0" applyNumberFormat="1" applyFont="1" applyAlignment="1">
      <alignment vertical="center" wrapText="1"/>
    </xf>
    <xf numFmtId="0" fontId="4" fillId="18" borderId="14" xfId="0" applyFont="1" applyFill="1" applyBorder="1" applyAlignment="1">
      <alignment vertical="center" wrapText="1"/>
    </xf>
    <xf numFmtId="0" fontId="4" fillId="20" borderId="0" xfId="0" applyFont="1" applyFill="1" applyBorder="1" applyAlignment="1">
      <alignment vertical="center" wrapText="1"/>
    </xf>
    <xf numFmtId="0" fontId="4" fillId="20" borderId="0" xfId="0" applyNumberFormat="1" applyFont="1" applyFill="1" applyBorder="1" applyAlignment="1">
      <alignment vertical="center" wrapText="1"/>
    </xf>
    <xf numFmtId="0" fontId="4" fillId="21" borderId="0" xfId="0" applyFont="1" applyFill="1" applyBorder="1" applyAlignment="1">
      <alignment vertical="center" wrapText="1"/>
    </xf>
    <xf numFmtId="0" fontId="4" fillId="21" borderId="0" xfId="0" applyNumberFormat="1" applyFont="1" applyFill="1" applyBorder="1" applyAlignment="1">
      <alignment vertical="center" wrapText="1"/>
    </xf>
    <xf numFmtId="43" fontId="4" fillId="20" borderId="0" xfId="1" applyFont="1" applyFill="1" applyBorder="1" applyAlignment="1">
      <alignment vertical="center" wrapText="1"/>
    </xf>
    <xf numFmtId="0" fontId="9" fillId="0" borderId="9" xfId="0" applyFont="1" applyBorder="1" applyAlignment="1">
      <alignment vertical="center" wrapText="1"/>
    </xf>
    <xf numFmtId="165" fontId="4" fillId="21" borderId="0" xfId="0" applyNumberFormat="1" applyFont="1" applyFill="1" applyBorder="1" applyAlignment="1">
      <alignment vertical="center" wrapText="1"/>
    </xf>
    <xf numFmtId="0" fontId="4" fillId="22" borderId="11" xfId="0" applyFont="1" applyFill="1" applyBorder="1" applyAlignment="1">
      <alignment vertical="center" wrapText="1"/>
    </xf>
    <xf numFmtId="0" fontId="55" fillId="0" borderId="0" xfId="0" applyFont="1"/>
    <xf numFmtId="0" fontId="56" fillId="0" borderId="0" xfId="0" applyFont="1" applyAlignment="1">
      <alignment vertical="center"/>
    </xf>
    <xf numFmtId="3" fontId="2" fillId="0" borderId="0" xfId="0" applyNumberFormat="1" applyFont="1" applyAlignment="1">
      <alignment horizontal="center" wrapText="1"/>
    </xf>
    <xf numFmtId="3" fontId="2" fillId="0" borderId="0" xfId="0" applyNumberFormat="1" applyFont="1" applyAlignment="1">
      <alignment horizontal="center" vertical="center" wrapText="1"/>
    </xf>
    <xf numFmtId="0" fontId="69" fillId="0" borderId="0" xfId="0" applyFont="1" applyAlignment="1">
      <alignment horizontal="left" vertical="center" wrapText="1"/>
    </xf>
    <xf numFmtId="14" fontId="4" fillId="0" borderId="0" xfId="0" applyNumberFormat="1" applyFont="1" applyBorder="1" applyAlignment="1">
      <alignment horizontal="center" vertical="center" wrapText="1"/>
    </xf>
    <xf numFmtId="0" fontId="70" fillId="0" borderId="0" xfId="0" applyFont="1" applyBorder="1" applyAlignment="1">
      <alignment vertical="center" wrapText="1"/>
    </xf>
    <xf numFmtId="0" fontId="5" fillId="0" borderId="0" xfId="0" applyFont="1" applyBorder="1" applyAlignment="1">
      <alignment vertical="center" wrapText="1"/>
    </xf>
    <xf numFmtId="0" fontId="71" fillId="0" borderId="0" xfId="0" applyFont="1" applyBorder="1" applyAlignment="1">
      <alignment vertical="center" wrapText="1"/>
    </xf>
    <xf numFmtId="0" fontId="72" fillId="0" borderId="0" xfId="0" applyFont="1" applyAlignment="1">
      <alignment vertical="center" wrapText="1"/>
    </xf>
    <xf numFmtId="3" fontId="2" fillId="0" borderId="0" xfId="0" applyNumberFormat="1" applyFont="1" applyBorder="1" applyAlignment="1">
      <alignment horizontal="center" wrapText="1"/>
    </xf>
    <xf numFmtId="3" fontId="2" fillId="0" borderId="0" xfId="0" applyNumberFormat="1" applyFont="1" applyBorder="1" applyAlignment="1">
      <alignment horizontal="center" vertical="center" wrapText="1"/>
    </xf>
    <xf numFmtId="3" fontId="4" fillId="0" borderId="0" xfId="0" applyNumberFormat="1" applyFont="1" applyBorder="1" applyAlignment="1">
      <alignment horizontal="center" wrapText="1"/>
    </xf>
    <xf numFmtId="3" fontId="4" fillId="0" borderId="0" xfId="0" applyNumberFormat="1" applyFont="1" applyBorder="1" applyAlignment="1">
      <alignment horizontal="center" vertical="center" wrapText="1"/>
    </xf>
    <xf numFmtId="3" fontId="7" fillId="0" borderId="0" xfId="0" applyNumberFormat="1" applyFont="1" applyFill="1" applyBorder="1" applyAlignment="1">
      <alignment horizontal="center" vertical="center" wrapText="1"/>
    </xf>
    <xf numFmtId="3" fontId="7" fillId="2" borderId="8" xfId="0" applyNumberFormat="1" applyFont="1" applyFill="1" applyBorder="1" applyAlignment="1">
      <alignment horizontal="center" textRotation="90" wrapText="1"/>
    </xf>
    <xf numFmtId="3" fontId="7" fillId="2" borderId="8" xfId="0" applyNumberFormat="1" applyFont="1" applyFill="1" applyBorder="1" applyAlignment="1">
      <alignment horizontal="center" vertical="center" wrapText="1"/>
    </xf>
    <xf numFmtId="0" fontId="66" fillId="19" borderId="26" xfId="3" applyAlignment="1">
      <alignment horizontal="center" vertical="center" wrapText="1"/>
    </xf>
    <xf numFmtId="165" fontId="15" fillId="0" borderId="0" xfId="0" applyNumberFormat="1" applyFont="1" applyFill="1" applyBorder="1" applyAlignment="1">
      <alignment vertical="center" wrapText="1"/>
    </xf>
    <xf numFmtId="0" fontId="15" fillId="0" borderId="9" xfId="0" applyFont="1" applyFill="1" applyBorder="1" applyAlignment="1">
      <alignment vertical="center" wrapText="1"/>
    </xf>
    <xf numFmtId="0" fontId="15" fillId="0" borderId="0" xfId="0" applyFont="1" applyFill="1" applyBorder="1" applyAlignment="1">
      <alignment vertical="center" wrapText="1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16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/>
    </xf>
    <xf numFmtId="3" fontId="14" fillId="0" borderId="0" xfId="1" applyNumberFormat="1" applyFont="1" applyFill="1" applyBorder="1" applyAlignment="1">
      <alignment horizontal="center"/>
    </xf>
    <xf numFmtId="3" fontId="14" fillId="0" borderId="0" xfId="1" applyNumberFormat="1" applyFont="1" applyFill="1" applyBorder="1" applyAlignment="1">
      <alignment horizontal="center" wrapText="1"/>
    </xf>
    <xf numFmtId="165" fontId="14" fillId="0" borderId="0" xfId="0" applyNumberFormat="1" applyFont="1" applyFill="1" applyBorder="1" applyAlignment="1">
      <alignment horizontal="center" vertical="center" wrapText="1"/>
    </xf>
    <xf numFmtId="0" fontId="14" fillId="0" borderId="0" xfId="1" applyNumberFormat="1" applyFont="1" applyFill="1" applyBorder="1" applyAlignment="1">
      <alignment horizontal="center" vertical="center"/>
    </xf>
    <xf numFmtId="165" fontId="14" fillId="0" borderId="0" xfId="0" applyNumberFormat="1" applyFont="1" applyFill="1" applyBorder="1" applyAlignment="1">
      <alignment horizontal="right" vertical="center"/>
    </xf>
    <xf numFmtId="165" fontId="14" fillId="0" borderId="0" xfId="0" applyNumberFormat="1" applyFont="1" applyFill="1" applyBorder="1" applyAlignment="1">
      <alignment horizontal="right" vertical="center" wrapText="1"/>
    </xf>
    <xf numFmtId="0" fontId="15" fillId="0" borderId="0" xfId="0" applyNumberFormat="1" applyFont="1" applyFill="1" applyBorder="1" applyAlignment="1">
      <alignment horizontal="left"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165" fontId="14" fillId="0" borderId="0" xfId="0" applyNumberFormat="1" applyFont="1" applyFill="1" applyBorder="1" applyAlignment="1">
      <alignment vertical="center"/>
    </xf>
    <xf numFmtId="43" fontId="14" fillId="0" borderId="0" xfId="1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wrapText="1"/>
    </xf>
    <xf numFmtId="0" fontId="46" fillId="0" borderId="0" xfId="2" applyFont="1" applyFill="1" applyBorder="1"/>
    <xf numFmtId="0" fontId="14" fillId="0" borderId="0" xfId="2" applyFont="1" applyFill="1" applyBorder="1" applyAlignment="1">
      <alignment vertical="center" wrapText="1"/>
    </xf>
    <xf numFmtId="0" fontId="59" fillId="0" borderId="0" xfId="0" applyFont="1" applyFill="1" applyBorder="1"/>
    <xf numFmtId="0" fontId="73" fillId="0" borderId="0" xfId="2" applyFont="1" applyFill="1" applyBorder="1" applyAlignment="1">
      <alignment vertical="center" wrapText="1"/>
    </xf>
    <xf numFmtId="0" fontId="73" fillId="0" borderId="9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right" vertical="center" wrapText="1"/>
    </xf>
    <xf numFmtId="0" fontId="14" fillId="0" borderId="0" xfId="0" applyNumberFormat="1" applyFont="1" applyFill="1" applyBorder="1" applyAlignment="1">
      <alignment horizontal="right" vertical="center" wrapText="1"/>
    </xf>
    <xf numFmtId="0" fontId="14" fillId="16" borderId="0" xfId="0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left" vertical="center"/>
    </xf>
    <xf numFmtId="0" fontId="15" fillId="0" borderId="9" xfId="0" applyFont="1" applyFill="1" applyBorder="1" applyAlignment="1">
      <alignment vertical="center"/>
    </xf>
    <xf numFmtId="3" fontId="14" fillId="0" borderId="0" xfId="0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/>
    </xf>
    <xf numFmtId="165" fontId="15" fillId="0" borderId="0" xfId="0" applyNumberFormat="1" applyFont="1" applyFill="1" applyBorder="1" applyAlignment="1">
      <alignment vertical="center"/>
    </xf>
    <xf numFmtId="43" fontId="15" fillId="0" borderId="0" xfId="1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vertical="center" wrapText="1"/>
    </xf>
    <xf numFmtId="0" fontId="15" fillId="0" borderId="11" xfId="0" applyFont="1" applyFill="1" applyBorder="1" applyAlignment="1">
      <alignment horizontal="center" vertical="center" wrapText="1"/>
    </xf>
    <xf numFmtId="3" fontId="15" fillId="0" borderId="11" xfId="0" applyNumberFormat="1" applyFont="1" applyFill="1" applyBorder="1" applyAlignment="1">
      <alignment horizontal="center" wrapText="1"/>
    </xf>
    <xf numFmtId="3" fontId="15" fillId="0" borderId="11" xfId="0" applyNumberFormat="1" applyFont="1" applyFill="1" applyBorder="1" applyAlignment="1">
      <alignment horizontal="center" vertical="center" wrapText="1"/>
    </xf>
    <xf numFmtId="165" fontId="15" fillId="0" borderId="11" xfId="0" applyNumberFormat="1" applyFont="1" applyFill="1" applyBorder="1" applyAlignment="1">
      <alignment vertical="center" wrapText="1"/>
    </xf>
    <xf numFmtId="0" fontId="14" fillId="4" borderId="0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/>
    </xf>
    <xf numFmtId="0" fontId="14" fillId="0" borderId="0" xfId="1" applyNumberFormat="1" applyFont="1" applyBorder="1" applyAlignment="1">
      <alignment horizontal="center" vertical="center"/>
    </xf>
    <xf numFmtId="0" fontId="9" fillId="4" borderId="0" xfId="0" applyNumberFormat="1" applyFont="1" applyFill="1" applyBorder="1" applyAlignment="1">
      <alignment horizontal="center" vertical="center" wrapText="1"/>
    </xf>
    <xf numFmtId="0" fontId="14" fillId="4" borderId="0" xfId="0" applyNumberFormat="1" applyFont="1" applyFill="1" applyBorder="1" applyAlignment="1">
      <alignment horizontal="center" vertical="center" wrapText="1"/>
    </xf>
    <xf numFmtId="165" fontId="14" fillId="0" borderId="0" xfId="0" applyNumberFormat="1" applyFont="1" applyBorder="1" applyAlignment="1">
      <alignment horizontal="center" vertical="center" wrapText="1"/>
    </xf>
    <xf numFmtId="165" fontId="14" fillId="0" borderId="0" xfId="0" applyNumberFormat="1" applyFont="1" applyBorder="1" applyAlignment="1">
      <alignment vertical="center" wrapText="1"/>
    </xf>
    <xf numFmtId="0" fontId="14" fillId="0" borderId="0" xfId="0" applyNumberFormat="1" applyFont="1" applyBorder="1" applyAlignment="1">
      <alignment horizontal="center" vertical="center" wrapText="1"/>
    </xf>
    <xf numFmtId="0" fontId="14" fillId="0" borderId="0" xfId="0" applyFont="1" applyBorder="1" applyAlignment="1">
      <alignment vertical="center"/>
    </xf>
    <xf numFmtId="0" fontId="14" fillId="0" borderId="0" xfId="1" applyNumberFormat="1" applyFont="1" applyBorder="1" applyAlignment="1">
      <alignment vertical="center"/>
    </xf>
    <xf numFmtId="0" fontId="67" fillId="0" borderId="0" xfId="0" applyFont="1" applyBorder="1" applyAlignment="1">
      <alignment horizontal="center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9" xfId="0" applyFont="1" applyBorder="1" applyAlignment="1">
      <alignment vertical="center" wrapText="1"/>
    </xf>
    <xf numFmtId="43" fontId="14" fillId="0" borderId="0" xfId="1" applyFont="1" applyBorder="1" applyAlignment="1">
      <alignment horizontal="center" vertical="center" wrapText="1"/>
    </xf>
    <xf numFmtId="43" fontId="14" fillId="0" borderId="0" xfId="1" applyFont="1" applyFill="1" applyBorder="1" applyAlignment="1">
      <alignment horizontal="center" vertical="center" wrapText="1"/>
    </xf>
    <xf numFmtId="0" fontId="14" fillId="4" borderId="0" xfId="0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49" fontId="4" fillId="0" borderId="0" xfId="1" applyNumberFormat="1" applyFont="1" applyBorder="1" applyAlignment="1">
      <alignment horizontal="center" vertical="center" wrapText="1"/>
    </xf>
    <xf numFmtId="49" fontId="4" fillId="0" borderId="0" xfId="1" applyNumberFormat="1" applyFont="1" applyFill="1" applyBorder="1" applyAlignment="1">
      <alignment horizontal="center" vertical="center" wrapText="1"/>
    </xf>
    <xf numFmtId="49" fontId="4" fillId="0" borderId="0" xfId="1" applyNumberFormat="1" applyFont="1" applyBorder="1" applyAlignment="1">
      <alignment horizontal="center" vertical="center"/>
    </xf>
    <xf numFmtId="49" fontId="4" fillId="0" borderId="0" xfId="0" applyNumberFormat="1" applyFont="1" applyBorder="1" applyAlignment="1">
      <alignment horizontal="center" vertical="center" wrapText="1"/>
    </xf>
    <xf numFmtId="0" fontId="4" fillId="0" borderId="0" xfId="1" applyNumberFormat="1" applyFont="1" applyBorder="1" applyAlignment="1">
      <alignment horizontal="center"/>
    </xf>
    <xf numFmtId="0" fontId="4" fillId="0" borderId="0" xfId="1" applyNumberFormat="1" applyFont="1" applyBorder="1" applyAlignment="1">
      <alignment horizontal="center" wrapText="1"/>
    </xf>
    <xf numFmtId="0" fontId="16" fillId="9" borderId="0" xfId="0" applyFont="1" applyFill="1" applyBorder="1" applyAlignment="1">
      <alignment horizontal="left" wrapText="1"/>
    </xf>
    <xf numFmtId="0" fontId="16" fillId="9" borderId="0" xfId="0" applyFont="1" applyFill="1" applyBorder="1" applyAlignment="1">
      <alignment horizontal="left"/>
    </xf>
    <xf numFmtId="0" fontId="4" fillId="0" borderId="0" xfId="1" applyNumberFormat="1" applyFont="1" applyFill="1" applyBorder="1" applyAlignment="1">
      <alignment horizontal="center" vertical="center" wrapText="1"/>
    </xf>
    <xf numFmtId="0" fontId="14" fillId="9" borderId="0" xfId="0" applyFont="1" applyFill="1" applyBorder="1" applyAlignment="1">
      <alignment horizontal="left" vertical="center" wrapText="1"/>
    </xf>
    <xf numFmtId="0" fontId="4" fillId="4" borderId="0" xfId="1" applyNumberFormat="1" applyFont="1" applyFill="1" applyBorder="1" applyAlignment="1">
      <alignment horizontal="center" vertical="center" wrapText="1"/>
    </xf>
    <xf numFmtId="43" fontId="8" fillId="3" borderId="11" xfId="1" applyFont="1" applyFill="1" applyBorder="1" applyAlignment="1">
      <alignment horizontal="center" vertical="center" wrapText="1"/>
    </xf>
    <xf numFmtId="0" fontId="4" fillId="9" borderId="0" xfId="1" applyNumberFormat="1" applyFont="1" applyFill="1" applyBorder="1" applyAlignment="1">
      <alignment horizontal="center" vertical="center" wrapText="1"/>
    </xf>
    <xf numFmtId="0" fontId="21" fillId="9" borderId="9" xfId="0" applyFont="1" applyFill="1" applyBorder="1" applyAlignment="1">
      <alignment vertical="center" wrapText="1"/>
    </xf>
    <xf numFmtId="0" fontId="4" fillId="4" borderId="9" xfId="0" applyFont="1" applyFill="1" applyBorder="1" applyAlignment="1">
      <alignment vertical="center" wrapText="1"/>
    </xf>
    <xf numFmtId="0" fontId="14" fillId="4" borderId="0" xfId="0" applyFont="1" applyFill="1" applyBorder="1" applyAlignment="1">
      <alignment vertical="center" wrapText="1"/>
    </xf>
    <xf numFmtId="0" fontId="50" fillId="24" borderId="0" xfId="0" applyFont="1" applyFill="1" applyBorder="1" applyAlignment="1">
      <alignment horizontal="left" vertical="center" wrapText="1"/>
    </xf>
    <xf numFmtId="4" fontId="50" fillId="24" borderId="0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vertical="center" wrapText="1"/>
    </xf>
    <xf numFmtId="1" fontId="29" fillId="0" borderId="0" xfId="1" applyNumberFormat="1" applyFont="1" applyFill="1" applyBorder="1" applyAlignment="1">
      <alignment horizontal="center" vertical="center"/>
    </xf>
    <xf numFmtId="165" fontId="29" fillId="0" borderId="0" xfId="0" applyNumberFormat="1" applyFont="1" applyFill="1" applyBorder="1" applyAlignment="1">
      <alignment vertical="center" wrapText="1"/>
    </xf>
    <xf numFmtId="0" fontId="78" fillId="0" borderId="0" xfId="0" applyFont="1" applyBorder="1" applyAlignment="1">
      <alignment horizontal="center" vertical="center" wrapText="1"/>
    </xf>
    <xf numFmtId="0" fontId="79" fillId="0" borderId="0" xfId="0" applyFont="1" applyBorder="1" applyAlignment="1">
      <alignment horizontal="center" vertical="center" wrapText="1"/>
    </xf>
    <xf numFmtId="165" fontId="78" fillId="0" borderId="0" xfId="0" applyNumberFormat="1" applyFont="1" applyBorder="1" applyAlignment="1">
      <alignment vertical="center" wrapText="1"/>
    </xf>
    <xf numFmtId="0" fontId="59" fillId="0" borderId="0" xfId="0" applyFont="1" applyFill="1" applyBorder="1" applyAlignment="1">
      <alignment horizontal="center" vertical="center"/>
    </xf>
    <xf numFmtId="4" fontId="50" fillId="4" borderId="20" xfId="0" applyNumberFormat="1" applyFont="1" applyFill="1" applyBorder="1" applyAlignment="1">
      <alignment horizontal="right" vertical="center" wrapText="1"/>
    </xf>
    <xf numFmtId="4" fontId="58" fillId="4" borderId="20" xfId="0" applyNumberFormat="1" applyFont="1" applyFill="1" applyBorder="1" applyAlignment="1">
      <alignment horizontal="right" vertical="center" wrapText="1"/>
    </xf>
    <xf numFmtId="0" fontId="39" fillId="25" borderId="9" xfId="0" applyFont="1" applyFill="1" applyBorder="1" applyAlignment="1">
      <alignment vertical="center" wrapText="1"/>
    </xf>
    <xf numFmtId="0" fontId="22" fillId="25" borderId="9" xfId="0" applyFont="1" applyFill="1" applyBorder="1" applyAlignment="1">
      <alignment vertical="center" wrapText="1"/>
    </xf>
    <xf numFmtId="165" fontId="9" fillId="25" borderId="0" xfId="0" applyNumberFormat="1" applyFont="1" applyFill="1" applyBorder="1" applyAlignment="1">
      <alignment vertical="center" wrapText="1"/>
    </xf>
    <xf numFmtId="3" fontId="29" fillId="0" borderId="0" xfId="0" applyNumberFormat="1" applyFont="1" applyFill="1" applyBorder="1" applyAlignment="1">
      <alignment horizontal="center" vertical="center" wrapText="1"/>
    </xf>
    <xf numFmtId="3" fontId="80" fillId="0" borderId="0" xfId="2" applyNumberFormat="1" applyFont="1" applyFill="1" applyBorder="1" applyAlignment="1">
      <alignment horizontal="center" vertical="center" wrapText="1"/>
    </xf>
    <xf numFmtId="0" fontId="25" fillId="4" borderId="0" xfId="0" applyFont="1" applyFill="1" applyBorder="1" applyAlignment="1">
      <alignment horizontal="left" vertical="center" wrapText="1"/>
    </xf>
    <xf numFmtId="0" fontId="22" fillId="25" borderId="0" xfId="0" applyFont="1" applyFill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9" fillId="25" borderId="9" xfId="0" applyFont="1" applyFill="1" applyBorder="1" applyAlignment="1">
      <alignment vertical="center" wrapText="1"/>
    </xf>
    <xf numFmtId="0" fontId="22" fillId="25" borderId="9" xfId="0" applyFont="1" applyFill="1" applyBorder="1" applyAlignment="1">
      <alignment vertical="center"/>
    </xf>
    <xf numFmtId="0" fontId="15" fillId="25" borderId="0" xfId="0" applyFont="1" applyFill="1" applyBorder="1" applyAlignment="1">
      <alignment vertical="center" wrapText="1"/>
    </xf>
    <xf numFmtId="0" fontId="22" fillId="0" borderId="9" xfId="0" applyFont="1" applyBorder="1" applyAlignment="1">
      <alignment vertical="center" wrapText="1"/>
    </xf>
    <xf numFmtId="4" fontId="81" fillId="4" borderId="20" xfId="0" applyNumberFormat="1" applyFont="1" applyFill="1" applyBorder="1" applyAlignment="1">
      <alignment horizontal="right" vertical="center" wrapText="1"/>
    </xf>
    <xf numFmtId="4" fontId="50" fillId="16" borderId="0" xfId="0" applyNumberFormat="1" applyFont="1" applyFill="1" applyAlignment="1">
      <alignment horizontal="right" vertical="center" wrapText="1"/>
    </xf>
    <xf numFmtId="0" fontId="81" fillId="16" borderId="0" xfId="0" applyFont="1" applyFill="1" applyAlignment="1">
      <alignment horizontal="left" vertical="center" wrapText="1"/>
    </xf>
    <xf numFmtId="1" fontId="14" fillId="0" borderId="0" xfId="1" applyNumberFormat="1" applyFont="1" applyFill="1" applyBorder="1" applyAlignment="1">
      <alignment horizontal="center" vertical="center"/>
    </xf>
    <xf numFmtId="8" fontId="0" fillId="0" borderId="0" xfId="0" applyNumberFormat="1"/>
    <xf numFmtId="0" fontId="2" fillId="0" borderId="0" xfId="0" applyFont="1" applyAlignment="1">
      <alignment vertical="center" wrapText="1"/>
    </xf>
    <xf numFmtId="0" fontId="5" fillId="0" borderId="0" xfId="0" applyFont="1" applyBorder="1" applyAlignment="1">
      <alignment horizontal="left" vertical="center" wrapText="1"/>
    </xf>
    <xf numFmtId="0" fontId="9" fillId="0" borderId="0" xfId="0" applyFont="1" applyAlignment="1">
      <alignment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6" xfId="0" applyFont="1" applyFill="1" applyBorder="1" applyAlignment="1">
      <alignment horizontal="center" vertical="center" wrapText="1"/>
    </xf>
    <xf numFmtId="0" fontId="6" fillId="0" borderId="0" xfId="0" applyFont="1" applyBorder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24" fillId="0" borderId="0" xfId="0" applyFont="1" applyAlignment="1">
      <alignment horizontal="center" vertical="center"/>
    </xf>
    <xf numFmtId="43" fontId="26" fillId="0" borderId="0" xfId="1" applyFont="1" applyFill="1" applyAlignment="1">
      <alignment horizontal="center"/>
    </xf>
    <xf numFmtId="0" fontId="27" fillId="0" borderId="0" xfId="0" applyFont="1" applyAlignment="1">
      <alignment horizontal="center"/>
    </xf>
    <xf numFmtId="43" fontId="24" fillId="0" borderId="0" xfId="1" applyFont="1" applyFill="1" applyAlignment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28" fillId="0" borderId="0" xfId="0" applyFont="1" applyAlignment="1">
      <alignment horizontal="center"/>
    </xf>
    <xf numFmtId="0" fontId="30" fillId="0" borderId="0" xfId="0" applyFont="1" applyAlignment="1">
      <alignment horizontal="center"/>
    </xf>
    <xf numFmtId="0" fontId="49" fillId="16" borderId="4" xfId="0" applyFont="1" applyFill="1" applyBorder="1" applyAlignment="1">
      <alignment horizontal="center" vertical="center" wrapText="1"/>
    </xf>
    <xf numFmtId="0" fontId="49" fillId="16" borderId="6" xfId="0" applyFont="1" applyFill="1" applyBorder="1" applyAlignment="1">
      <alignment horizontal="center" vertical="center" wrapText="1"/>
    </xf>
    <xf numFmtId="0" fontId="3" fillId="16" borderId="9" xfId="0" applyFont="1" applyFill="1" applyBorder="1" applyAlignment="1">
      <alignment horizontal="center" vertical="center" wrapText="1"/>
    </xf>
    <xf numFmtId="0" fontId="3" fillId="16" borderId="23" xfId="0" applyFont="1" applyFill="1" applyBorder="1" applyAlignment="1">
      <alignment horizontal="center" vertical="center" wrapText="1"/>
    </xf>
    <xf numFmtId="0" fontId="3" fillId="16" borderId="10" xfId="0" applyFont="1" applyFill="1" applyBorder="1" applyAlignment="1">
      <alignment horizontal="center" vertical="center" wrapText="1"/>
    </xf>
    <xf numFmtId="0" fontId="3" fillId="16" borderId="24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7" fillId="2" borderId="5" xfId="0" applyFont="1" applyFill="1" applyBorder="1" applyAlignment="1">
      <alignment horizontal="left" vertical="center" wrapText="1"/>
    </xf>
    <xf numFmtId="0" fontId="70" fillId="0" borderId="0" xfId="0" applyFont="1" applyBorder="1" applyAlignment="1">
      <alignment horizontal="center" vertical="center" wrapText="1"/>
    </xf>
    <xf numFmtId="0" fontId="71" fillId="0" borderId="0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 wrapText="1"/>
    </xf>
    <xf numFmtId="3" fontId="7" fillId="2" borderId="4" xfId="0" applyNumberFormat="1" applyFont="1" applyFill="1" applyBorder="1" applyAlignment="1">
      <alignment horizontal="center" wrapText="1"/>
    </xf>
    <xf numFmtId="3" fontId="7" fillId="2" borderId="5" xfId="0" applyNumberFormat="1" applyFont="1" applyFill="1" applyBorder="1" applyAlignment="1">
      <alignment horizontal="center" wrapText="1"/>
    </xf>
    <xf numFmtId="3" fontId="7" fillId="2" borderId="6" xfId="0" applyNumberFormat="1" applyFont="1" applyFill="1" applyBorder="1" applyAlignment="1">
      <alignment horizontal="center" wrapText="1"/>
    </xf>
  </cellXfs>
  <cellStyles count="29">
    <cellStyle name="Comma 2" xfId="4"/>
    <cellStyle name="Comma 3" xfId="5"/>
    <cellStyle name="Comma 4" xfId="6"/>
    <cellStyle name="Entrada" xfId="3" builtinId="20"/>
    <cellStyle name="Millares" xfId="1" builtinId="3"/>
    <cellStyle name="Millares 2" xfId="7"/>
    <cellStyle name="Millares 2 2" xfId="8"/>
    <cellStyle name="Millares 2 3" xfId="9"/>
    <cellStyle name="Millares 3" xfId="10"/>
    <cellStyle name="Millares 3 2" xfId="11"/>
    <cellStyle name="Millares 4" xfId="12"/>
    <cellStyle name="Millares 5" xfId="13"/>
    <cellStyle name="Millares 6" xfId="14"/>
    <cellStyle name="Normal" xfId="0" builtinId="0"/>
    <cellStyle name="Normal 10" xfId="15"/>
    <cellStyle name="Normal 2" xfId="16"/>
    <cellStyle name="Normal 2 2" xfId="17"/>
    <cellStyle name="Normal 2 3" xfId="18"/>
    <cellStyle name="Normal 2 4" xfId="19"/>
    <cellStyle name="Normal 2 5" xfId="28"/>
    <cellStyle name="Normal 3" xfId="2"/>
    <cellStyle name="Normal 3 2" xfId="20"/>
    <cellStyle name="Normal 4" xfId="21"/>
    <cellStyle name="Normal 5" xfId="22"/>
    <cellStyle name="Normal 6" xfId="23"/>
    <cellStyle name="Normal 7" xfId="24"/>
    <cellStyle name="Normal 8" xfId="25"/>
    <cellStyle name="Normal 9" xfId="26"/>
    <cellStyle name="Note 2" xfId="27"/>
  </cellStyles>
  <dxfs count="50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rgb="FF000000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65" formatCode="&quot;RD$&quot;#,##0.00"/>
      <fill>
        <patternFill patternType="none">
          <fgColor indexed="64"/>
          <bgColor auto="1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65" formatCode="&quot;RD$&quot;#,##0.00"/>
      <fill>
        <patternFill patternType="none">
          <fgColor indexed="64"/>
          <bgColor auto="1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165" formatCode="&quot;RD$&quot;#,##0.00"/>
      <fill>
        <patternFill patternType="none">
          <fgColor indexed="64"/>
          <bgColor auto="1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numFmt numFmtId="3" formatCode="#,##0"/>
      <fill>
        <patternFill patternType="none">
          <fgColor indexed="64"/>
          <bgColor auto="1"/>
        </patternFill>
      </fill>
      <alignment horizontal="center" vertical="bottom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 style="medium">
          <color auto="1"/>
        </left>
        <right/>
        <top/>
        <bottom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fill>
        <patternFill patternType="none">
          <fgColor indexed="64"/>
          <bgColor auto="1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rgb="FF000000"/>
        </patternFill>
      </fill>
      <alignment vertical="center" wrapText="1" indent="0" justifyLastLine="0" shrinkToFit="0" readingOrder="0"/>
      <border diagonalUp="0" diagonalDown="0" outlin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fill>
        <patternFill>
          <fgColor rgb="FF000000"/>
        </patternFill>
      </fill>
      <alignment vertical="center" wrapText="1" indent="0" justifyLastLine="0" shrinkToFit="0" readingOrder="0"/>
      <border diagonalUp="0" diagonalDow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rgb="FF000000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rgb="FF000000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rgb="FF000000"/>
          <bgColor rgb="FFFFFFFF"/>
        </patternFill>
      </fill>
      <alignment horizontal="left" vertical="center" textRotation="0" wrapText="1" indent="0" justifyLastLine="0" shrinkToFit="0" readingOrder="0"/>
      <border diagonalUp="0" diagonalDown="0" outlin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4" formatCode="#,##0.00"/>
      <fill>
        <patternFill>
          <bgColor theme="0"/>
        </patternFill>
      </fill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bgColor theme="0"/>
        </patternFill>
      </fill>
      <alignment horizontal="left" vertical="center" textRotation="0" wrapText="1" indent="0" justifyLastLine="0" shrinkToFit="0" readingOrder="0"/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>
          <fgColor rgb="FF000000"/>
          <bgColor rgb="FFFFFFFF"/>
        </patternFill>
      </fill>
      <alignment horizontal="left" vertical="center" textRotation="0" wrapText="1" indent="0" justifyLastLine="0" shrinkToFit="0" readingOrder="0"/>
      <border diagonalUp="0" diagonalDown="0" outline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fill>
        <patternFill patternType="solid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fill>
        <patternFill>
          <fgColor indexed="64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rgb="FF000000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fill>
        <patternFill patternType="solid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fill>
        <patternFill>
          <fgColor indexed="64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rgb="FF000000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fill>
        <patternFill patternType="solid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fill>
        <patternFill>
          <fgColor indexed="64"/>
        </patternFill>
      </fill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rgb="FF000000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165" formatCode="&quot;RD$&quot;#,##0.00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numFmt numFmtId="0" formatCode="General"/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 Narrow"/>
        <scheme val="none"/>
      </font>
      <alignment horizontal="center" vertical="center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alignment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 Narrow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alignment horizontal="general" vertical="center" textRotation="0" wrapText="1" indent="0" justifyLastLine="0" shrinkToFit="0" readingOrder="0"/>
      <border diagonalUp="0" diagonalDown="0" outline="0">
        <left style="medium">
          <color auto="1"/>
        </left>
        <right/>
        <top/>
        <bottom/>
      </border>
    </dxf>
    <dxf>
      <alignment vertical="center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 Narrow"/>
        <scheme val="none"/>
      </font>
      <fill>
        <patternFill>
          <fgColor indexed="64"/>
        </patternFill>
      </fill>
      <alignment vertical="center" wrapText="1" indent="0" justifyLastLine="0" shrinkToFit="0" readingOrder="0"/>
      <border diagonalUp="0" diagonalDown="0" outline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Arial Narrow"/>
        <scheme val="none"/>
      </font>
      <fill>
        <patternFill patternType="solid">
          <fgColor indexed="64"/>
          <bgColor theme="5" tint="0.39997558519241921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colors>
    <mruColors>
      <color rgb="FF666699"/>
      <color rgb="FF66FF66"/>
      <color rgb="FF99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dLbls>
            <c:dLbl>
              <c:idx val="36"/>
              <c:showLegendKey val="0"/>
              <c:showVal val="1"/>
              <c:showCatName val="0"/>
              <c:showSerName val="1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'Resumen 2017'!$A$7:$A$43</c:f>
              <c:strCache>
                <c:ptCount val="37"/>
                <c:pt idx="0">
                  <c:v>1214 - Elementos y gases</c:v>
                </c:pt>
                <c:pt idx="1">
                  <c:v>1512 - Lubricantes, aceites, grasas y anticorrosivos</c:v>
                </c:pt>
                <c:pt idx="2">
                  <c:v>1510 - Combustibles</c:v>
                </c:pt>
                <c:pt idx="3">
                  <c:v>2210 - Maquinaria y equipo pesado de construcción</c:v>
                </c:pt>
                <c:pt idx="4">
                  <c:v>2410 - Maquinaria y equipo para manejo de materiales</c:v>
                </c:pt>
                <c:pt idx="5">
                  <c:v>2510 - Vehículos de motor</c:v>
                </c:pt>
                <c:pt idx="6">
                  <c:v>2517 - Componentes y sistemas de transporte</c:v>
                </c:pt>
                <c:pt idx="7">
                  <c:v>2711 - Herramientas de mano</c:v>
                </c:pt>
                <c:pt idx="8">
                  <c:v>3019 - Equipo de apoyo para Construcción y Mantenimiento</c:v>
                </c:pt>
                <c:pt idx="9">
                  <c:v>3116 - Ferretería</c:v>
                </c:pt>
                <c:pt idx="10">
                  <c:v>3121 - Pinturas y tapa poros y acabados</c:v>
                </c:pt>
                <c:pt idx="11">
                  <c:v>3911 - Iluminación, artefactos y accesorios</c:v>
                </c:pt>
                <c:pt idx="12">
                  <c:v>3912 - Equipos, suministros y componentes eléctricos</c:v>
                </c:pt>
                <c:pt idx="13">
                  <c:v>4015 - Bombas y compresores industriales</c:v>
                </c:pt>
                <c:pt idx="14">
                  <c:v>4111 - Instrumentos de medida, observación y ensayo</c:v>
                </c:pt>
                <c:pt idx="15">
                  <c:v>4112 - Suministros y accesorios de laboratorio</c:v>
                </c:pt>
                <c:pt idx="16">
                  <c:v>4319 - Dispositivos de comunicaciones y accesorios</c:v>
                </c:pt>
                <c:pt idx="17">
                  <c:v>4321 - Equipo informático y accesorios</c:v>
                </c:pt>
                <c:pt idx="18">
                  <c:v>4323 - Software</c:v>
                </c:pt>
                <c:pt idx="19">
                  <c:v>4410 - Maquinaria, suministros y accesorios de oficina</c:v>
                </c:pt>
                <c:pt idx="20">
                  <c:v>4411 - Accesorios de oficina y escritorio</c:v>
                </c:pt>
                <c:pt idx="21">
                  <c:v>4412 - Suministros de oficina</c:v>
                </c:pt>
                <c:pt idx="22">
                  <c:v>4512 - Equipo de vídeo, filmación o fotografía</c:v>
                </c:pt>
                <c:pt idx="23">
                  <c:v>4618 - Seguridad y protección personal</c:v>
                </c:pt>
                <c:pt idx="24">
                  <c:v>4712 - Equipo de limpieza</c:v>
                </c:pt>
                <c:pt idx="25">
                  <c:v>4713 - Suministros de limpieza</c:v>
                </c:pt>
                <c:pt idx="26">
                  <c:v>5214 - Aparatos electrodomésticos</c:v>
                </c:pt>
                <c:pt idx="27">
                  <c:v>5310 - Ropa</c:v>
                </c:pt>
                <c:pt idx="28">
                  <c:v>5510 - Medios impresos</c:v>
                </c:pt>
                <c:pt idx="29">
                  <c:v>7112 - Servicios de Mantenimiento y Construccion de Perforacion de Pozos</c:v>
                </c:pt>
                <c:pt idx="30">
                  <c:v>7213 - Construcción general de edificios</c:v>
                </c:pt>
                <c:pt idx="31">
                  <c:v>8011 - Servicios de Recursos Humanos</c:v>
                </c:pt>
                <c:pt idx="32">
                  <c:v>18332 - Proyectos de Fuente Hidrica Ejecutandose con Sur Futuro, según Convenio en Etapa Final</c:v>
                </c:pt>
                <c:pt idx="33">
                  <c:v>18332 - NUEVOS PROYECTOS DE PROTECCION HIDRICA</c:v>
                </c:pt>
                <c:pt idx="34">
                  <c:v>18332 - PROYECTOS DE EDUCACION, SOBRE USO RACIONAL DE AGUA</c:v>
                </c:pt>
                <c:pt idx="35">
                  <c:v>19411 - PUBLICIDAD</c:v>
                </c:pt>
                <c:pt idx="36">
                  <c:v>8010 - SERVICIOS DE CONSULTORIA</c:v>
                </c:pt>
              </c:strCache>
            </c:strRef>
          </c:cat>
          <c:val>
            <c:numRef>
              <c:f>'Resumen 2017'!$B$7:$B$43</c:f>
              <c:numCache>
                <c:formatCode>#,##0.00</c:formatCode>
                <c:ptCount val="37"/>
                <c:pt idx="0">
                  <c:v>225630137.44</c:v>
                </c:pt>
                <c:pt idx="1">
                  <c:v>5219669.8810000001</c:v>
                </c:pt>
                <c:pt idx="2">
                  <c:v>54959121</c:v>
                </c:pt>
                <c:pt idx="3">
                  <c:v>1360500</c:v>
                </c:pt>
                <c:pt idx="4">
                  <c:v>7414000</c:v>
                </c:pt>
                <c:pt idx="5">
                  <c:v>170308422.79999998</c:v>
                </c:pt>
                <c:pt idx="6">
                  <c:v>4452849.4800000004</c:v>
                </c:pt>
                <c:pt idx="7">
                  <c:v>11989711.699999997</c:v>
                </c:pt>
                <c:pt idx="8">
                  <c:v>6071000</c:v>
                </c:pt>
                <c:pt idx="9">
                  <c:v>399967503.18215001</c:v>
                </c:pt>
                <c:pt idx="10">
                  <c:v>24492388</c:v>
                </c:pt>
                <c:pt idx="11">
                  <c:v>15658335.6</c:v>
                </c:pt>
                <c:pt idx="12">
                  <c:v>608847708.8599999</c:v>
                </c:pt>
                <c:pt idx="13">
                  <c:v>211081045.60000002</c:v>
                </c:pt>
                <c:pt idx="14">
                  <c:v>3910810.67</c:v>
                </c:pt>
                <c:pt idx="15">
                  <c:v>20233965.850000005</c:v>
                </c:pt>
                <c:pt idx="16">
                  <c:v>1004002.1371900827</c:v>
                </c:pt>
                <c:pt idx="17">
                  <c:v>7369599</c:v>
                </c:pt>
                <c:pt idx="18">
                  <c:v>10775971.150000002</c:v>
                </c:pt>
                <c:pt idx="19">
                  <c:v>6416218.7575000003</c:v>
                </c:pt>
                <c:pt idx="20">
                  <c:v>487333.04000000004</c:v>
                </c:pt>
                <c:pt idx="21">
                  <c:v>24527742.123381291</c:v>
                </c:pt>
                <c:pt idx="22">
                  <c:v>4826387</c:v>
                </c:pt>
                <c:pt idx="23">
                  <c:v>17920879.848511878</c:v>
                </c:pt>
                <c:pt idx="24">
                  <c:v>713552</c:v>
                </c:pt>
                <c:pt idx="25">
                  <c:v>1392288.4</c:v>
                </c:pt>
                <c:pt idx="26">
                  <c:v>3246303.0266666668</c:v>
                </c:pt>
                <c:pt idx="27">
                  <c:v>4287734</c:v>
                </c:pt>
                <c:pt idx="28">
                  <c:v>5977770.3499999996</c:v>
                </c:pt>
                <c:pt idx="29">
                  <c:v>28629730.299999997</c:v>
                </c:pt>
                <c:pt idx="30">
                  <c:v>15096171.310000001</c:v>
                </c:pt>
                <c:pt idx="31">
                  <c:v>32670540</c:v>
                </c:pt>
                <c:pt idx="32">
                  <c:v>15234914.536000002</c:v>
                </c:pt>
                <c:pt idx="33">
                  <c:v>20095898</c:v>
                </c:pt>
                <c:pt idx="34">
                  <c:v>6345000</c:v>
                </c:pt>
                <c:pt idx="35">
                  <c:v>5613100</c:v>
                </c:pt>
                <c:pt idx="36">
                  <c:v>11500000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7267904"/>
        <c:axId val="227268464"/>
      </c:barChart>
      <c:catAx>
        <c:axId val="2272679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crossAx val="227268464"/>
        <c:crosses val="autoZero"/>
        <c:auto val="1"/>
        <c:lblAlgn val="ctr"/>
        <c:lblOffset val="100"/>
        <c:noMultiLvlLbl val="0"/>
      </c:catAx>
      <c:valAx>
        <c:axId val="227268464"/>
        <c:scaling>
          <c:orientation val="minMax"/>
        </c:scaling>
        <c:delete val="0"/>
        <c:axPos val="b"/>
        <c:majorGridlines/>
        <c:title>
          <c:overlay val="0"/>
        </c:title>
        <c:numFmt formatCode="#,##0.00" sourceLinked="1"/>
        <c:majorTickMark val="none"/>
        <c:minorTickMark val="none"/>
        <c:tickLblPos val="nextTo"/>
        <c:crossAx val="2272679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847726"/>
          <a:ext cx="1206501" cy="473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847726"/>
          <a:ext cx="1206501" cy="473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1004608"/>
          <a:ext cx="2507698" cy="9816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1</xdr:row>
      <xdr:rowOff>66676</xdr:rowOff>
    </xdr:from>
    <xdr:to>
      <xdr:col>0</xdr:col>
      <xdr:colOff>1301750</xdr:colOff>
      <xdr:row>4</xdr:row>
      <xdr:rowOff>1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295276"/>
          <a:ext cx="12065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6902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95248</xdr:colOff>
      <xdr:row>2</xdr:row>
      <xdr:rowOff>66674</xdr:rowOff>
    </xdr:from>
    <xdr:to>
      <xdr:col>4</xdr:col>
      <xdr:colOff>250220</xdr:colOff>
      <xdr:row>8</xdr:row>
      <xdr:rowOff>190498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b="13762"/>
        <a:stretch/>
      </xdr:blipFill>
      <xdr:spPr bwMode="auto">
        <a:xfrm>
          <a:off x="247648" y="685799"/>
          <a:ext cx="6289072" cy="21431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12</xdr:col>
      <xdr:colOff>2357439</xdr:colOff>
      <xdr:row>1</xdr:row>
      <xdr:rowOff>166688</xdr:rowOff>
    </xdr:from>
    <xdr:to>
      <xdr:col>14</xdr:col>
      <xdr:colOff>261938</xdr:colOff>
      <xdr:row>8</xdr:row>
      <xdr:rowOff>95249</xdr:rowOff>
    </xdr:to>
    <xdr:pic>
      <xdr:nvPicPr>
        <xdr:cNvPr id="3" name="Picture" descr="INAPA[1].jpg"/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 bwMode="auto">
        <a:xfrm>
          <a:off x="16740189" y="395288"/>
          <a:ext cx="1990724" cy="23383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6902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6902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6902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6902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1301750</xdr:colOff>
      <xdr:row>4</xdr:row>
      <xdr:rowOff>59532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1206501" cy="4786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6902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2</xdr:row>
      <xdr:rowOff>66676</xdr:rowOff>
    </xdr:from>
    <xdr:to>
      <xdr:col>0</xdr:col>
      <xdr:colOff>758825</xdr:colOff>
      <xdr:row>3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2</xdr:row>
      <xdr:rowOff>223558</xdr:rowOff>
    </xdr:from>
    <xdr:to>
      <xdr:col>0</xdr:col>
      <xdr:colOff>757898</xdr:colOff>
      <xdr:row>4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6902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66675</xdr:rowOff>
    </xdr:from>
    <xdr:to>
      <xdr:col>0</xdr:col>
      <xdr:colOff>1301750</xdr:colOff>
      <xdr:row>4</xdr:row>
      <xdr:rowOff>107324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0"/>
          <a:ext cx="1206501" cy="52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66675</xdr:rowOff>
    </xdr:from>
    <xdr:to>
      <xdr:col>0</xdr:col>
      <xdr:colOff>1301750</xdr:colOff>
      <xdr:row>4</xdr:row>
      <xdr:rowOff>107324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0"/>
          <a:ext cx="1206501" cy="52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2</xdr:row>
      <xdr:rowOff>66675</xdr:rowOff>
    </xdr:from>
    <xdr:to>
      <xdr:col>0</xdr:col>
      <xdr:colOff>1301750</xdr:colOff>
      <xdr:row>4</xdr:row>
      <xdr:rowOff>107324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533400"/>
          <a:ext cx="1206501" cy="5264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95251</xdr:colOff>
      <xdr:row>0</xdr:row>
      <xdr:rowOff>47625</xdr:rowOff>
    </xdr:from>
    <xdr:to>
      <xdr:col>1</xdr:col>
      <xdr:colOff>137583</xdr:colOff>
      <xdr:row>2</xdr:row>
      <xdr:rowOff>43304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1" y="47625"/>
          <a:ext cx="455082" cy="503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209549</xdr:colOff>
      <xdr:row>1</xdr:row>
      <xdr:rowOff>23811</xdr:rowOff>
    </xdr:from>
    <xdr:to>
      <xdr:col>25</xdr:col>
      <xdr:colOff>104774</xdr:colOff>
      <xdr:row>52</xdr:row>
      <xdr:rowOff>19049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4</xdr:row>
      <xdr:rowOff>66676</xdr:rowOff>
    </xdr:from>
    <xdr:to>
      <xdr:col>0</xdr:col>
      <xdr:colOff>758825</xdr:colOff>
      <xdr:row>5</xdr:row>
      <xdr:rowOff>111079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12192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4</xdr:row>
      <xdr:rowOff>66676</xdr:rowOff>
    </xdr:from>
    <xdr:to>
      <xdr:col>0</xdr:col>
      <xdr:colOff>758825</xdr:colOff>
      <xdr:row>5</xdr:row>
      <xdr:rowOff>111079</xdr:rowOff>
    </xdr:to>
    <xdr:pic>
      <xdr:nvPicPr>
        <xdr:cNvPr id="3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1219201"/>
          <a:ext cx="663576" cy="27300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50425</xdr:colOff>
      <xdr:row>4</xdr:row>
      <xdr:rowOff>223558</xdr:rowOff>
    </xdr:from>
    <xdr:to>
      <xdr:col>0</xdr:col>
      <xdr:colOff>757898</xdr:colOff>
      <xdr:row>6</xdr:row>
      <xdr:rowOff>147918</xdr:rowOff>
    </xdr:to>
    <xdr:pic>
      <xdr:nvPicPr>
        <xdr:cNvPr id="4" name="Picture 1" descr="Logo DGCP FH azul obscuro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50425" y="1376083"/>
          <a:ext cx="707473" cy="41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485774</xdr:colOff>
      <xdr:row>35</xdr:row>
      <xdr:rowOff>76200</xdr:rowOff>
    </xdr:to>
    <xdr:pic>
      <xdr:nvPicPr>
        <xdr:cNvPr id="2" name="1 Imagen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1062037" y="-1062037"/>
          <a:ext cx="6743700" cy="88677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95249</xdr:colOff>
      <xdr:row>1</xdr:row>
      <xdr:rowOff>66676</xdr:rowOff>
    </xdr:from>
    <xdr:to>
      <xdr:col>0</xdr:col>
      <xdr:colOff>1301750</xdr:colOff>
      <xdr:row>4</xdr:row>
      <xdr:rowOff>1</xdr:rowOff>
    </xdr:to>
    <xdr:pic>
      <xdr:nvPicPr>
        <xdr:cNvPr id="2" name="Picture 1" descr="Logo DGCP FH azul obscur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5249" y="295276"/>
          <a:ext cx="1206501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apa.gob.do/Users/elsa.santana.INAPA/AppData/Local/Microsoft/Windows/Temporary%20Internet%20Files/Content.Outlook/PIYCJBGB/Plan%20Anual%20de%20Compras%20y%20Contrataciones%202017%2c%20INAPA%2030.09.16%20CASI%20LIST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inapa.gob.do/Users/francisco.vasquez/Desktop/PLAN%20COMPRA%202016/Plan%20de%20Compras%202016%20Direccion%20comercial%20consolid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C 2017"/>
      <sheetName val="SNCC-F053 PACC 2015 01"/>
      <sheetName val="SNCC-F053 PACC 2015 (2)"/>
      <sheetName val="SNCC-F053 PACC 2015 (3)"/>
      <sheetName val="Planilla General Seguimieno PAC"/>
      <sheetName val="Hoja1"/>
      <sheetName val="Resumen 2017"/>
      <sheetName val="Plan Anual de Compras y Contrat"/>
    </sheetNames>
    <sheetDataSet>
      <sheetData sheetId="0">
        <row r="1047">
          <cell r="B1047" t="str">
            <v>Conectores de Aluminio Tipo Sillita 2/0</v>
          </cell>
        </row>
        <row r="1048">
          <cell r="B1048" t="str">
            <v>Conectores de Cobre Tipo H-2/0</v>
          </cell>
        </row>
        <row r="1049">
          <cell r="B1049" t="str">
            <v>Conectores para terminales 4/0</v>
          </cell>
        </row>
        <row r="1050">
          <cell r="B1050" t="str">
            <v>Conectores para terminales 500MCM</v>
          </cell>
        </row>
        <row r="1051">
          <cell r="B1051" t="str">
            <v>Correas Tairrat de  1/4</v>
          </cell>
        </row>
        <row r="1052">
          <cell r="B1052" t="str">
            <v>Tairrat de 1  1/4"</v>
          </cell>
        </row>
        <row r="1075">
          <cell r="B1075" t="str">
            <v>Rodamiento #6310.2ZR.C3.L386</v>
          </cell>
        </row>
        <row r="1076">
          <cell r="B1076" t="str">
            <v>Rodamiento #6311/C3</v>
          </cell>
        </row>
        <row r="1077">
          <cell r="B1077" t="str">
            <v>Rodamiento #6312ZZ</v>
          </cell>
        </row>
        <row r="1078">
          <cell r="B1078" t="str">
            <v>Sepo Para Columna de Tuberia 10"</v>
          </cell>
        </row>
        <row r="1079">
          <cell r="B1079" t="str">
            <v>Sepo Para Columna de Tuberia 12"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NCC-F053 PACC 2016 (2)"/>
      <sheetName val="SNCC-F053 PACC 2016"/>
      <sheetName val="SNCC-F053 PACC 2015 01"/>
      <sheetName val="SNCC-F053 PACC 2015 (2)"/>
      <sheetName val="Hoja1"/>
      <sheetName val="SNCC-F053 PACC 2016 (3)"/>
      <sheetName val="Plan de Compras 2016 Direccion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id="3" name="Tabla1321124" displayName="Tabla1321124" ref="A10:N2071" insertRowShift="1" totalsRowShown="0" headerRowDxfId="508" dataDxfId="507" totalsRowDxfId="506">
  <autoFilter ref="A10:N2071"/>
  <sortState ref="A13:O894">
    <sortCondition ref="A10:A892"/>
  </sortState>
  <tableColumns count="14">
    <tableColumn id="1" name="CÓDIGO DEL CATÁLOGO DE BIENES Y SERVICIOS (CBS) " dataDxfId="505" totalsRowDxfId="504"/>
    <tableColumn id="2" name="DESCRIPCIÓN DE LA COMPRA O CONTRATACIÓN" dataDxfId="503"/>
    <tableColumn id="18" name="UNIDAD DE MEDIDA" dataDxfId="502" totalsRowDxfId="501"/>
    <tableColumn id="3" name="PRIMER TRIMESTRE" dataDxfId="500" totalsRowDxfId="499"/>
    <tableColumn id="4" name="SEGUNDO TRIMESTRE" dataDxfId="498" totalsRowDxfId="497"/>
    <tableColumn id="5" name="TERCER TRIMESTRE" dataDxfId="496" totalsRowDxfId="495"/>
    <tableColumn id="12" name="CUARTO TRIMESTRE" dataDxfId="494" totalsRowDxfId="493"/>
    <tableColumn id="7" name="CANTIDAD TOTAL" dataDxfId="492" totalsRowDxfId="491"/>
    <tableColumn id="20" name="PRECIO UNITARIO ESTIMADO" dataDxfId="490" totalsRowDxfId="489"/>
    <tableColumn id="6" name="COSTO TOTAL UNITARIO ESTIMADO" dataDxfId="488" totalsRowDxfId="487"/>
    <tableColumn id="10" name="COSTO TOTAL POR CÓDIGO DE CATÁLOGO DE BIENES Y SERVICIOS (CBS)" dataDxfId="486" totalsRowDxfId="485"/>
    <tableColumn id="14" name=" PROCEDIMIENTO DE SELECCIÓN " dataDxfId="484" totalsRowDxfId="483"/>
    <tableColumn id="17" name="FUENTE DE FINANCIAMIENTO" dataDxfId="482" totalsRowDxfId="481"/>
    <tableColumn id="9" name="TIPO DE EMPRESA" dataDxfId="480" totalsRowDxfId="479"/>
  </tableColumns>
  <tableStyleInfo name="TableStyleMedium9" showFirstColumn="0" showLastColumn="0" showRowStripes="1" showColumnStripes="0"/>
</table>
</file>

<file path=xl/tables/table10.xml><?xml version="1.0" encoding="utf-8"?>
<table xmlns="http://schemas.openxmlformats.org/spreadsheetml/2006/main" id="11" name="Tabla132112412" displayName="Tabla132112412" ref="B12:O1906" insertRowShift="1" totalsRowShown="0" headerRowDxfId="246" dataDxfId="245" totalsRowDxfId="244">
  <autoFilter ref="B12:O1906"/>
  <sortState ref="B13:P894">
    <sortCondition ref="B10:B892"/>
  </sortState>
  <tableColumns count="14">
    <tableColumn id="1" name="CÓDIGO DEL CATÁLOGO DE BIENES Y SERVICIOS (CBS) " dataDxfId="243" totalsRowDxfId="242"/>
    <tableColumn id="2" name="DESCRIPCIÓN DE LA COMPRA O CONTRATACIÓN" dataDxfId="241" totalsRowDxfId="240"/>
    <tableColumn id="18" name="UNIDAD DE MEDIDA" dataDxfId="239" totalsRowDxfId="238"/>
    <tableColumn id="3" name="PRIMER TRIMESTRE" dataDxfId="237" totalsRowDxfId="236"/>
    <tableColumn id="4" name="SEGUNDO TRIMESTRE" dataDxfId="235" totalsRowDxfId="234"/>
    <tableColumn id="5" name="TERCER TRIMESTRE" dataDxfId="233" totalsRowDxfId="232"/>
    <tableColumn id="12" name="CUARTO TRIMESTRE" dataDxfId="231" totalsRowDxfId="230"/>
    <tableColumn id="7" name="CANTIDAD TOTAL" dataDxfId="229" totalsRowDxfId="228"/>
    <tableColumn id="20" name="PRECIO UNITARIO ESTIMADO" dataDxfId="227" totalsRowDxfId="226"/>
    <tableColumn id="6" name="COSTO TOTAL UNITARIO ESTIMADO" dataDxfId="225" totalsRowDxfId="224"/>
    <tableColumn id="10" name="COSTO TOTAL POR CÓDIGO DE CATÁLOGO DE BIENES Y SERVICIOS (CBS)" dataDxfId="223" totalsRowDxfId="222"/>
    <tableColumn id="14" name=" PROCEDIMIENTO DE SELECCIÓN " dataDxfId="221" totalsRowDxfId="220"/>
    <tableColumn id="17" name="FUENTE DE FINANCIAMIENTO" dataDxfId="219" totalsRowDxfId="218"/>
    <tableColumn id="9" name="TIPO DE EMPRESA" dataDxfId="217" totalsRowDxfId="216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id="12" name="Tabla132112413" displayName="Tabla132112413" ref="A12:N1423" insertRowShift="1" totalsRowShown="0" headerRowDxfId="215" dataDxfId="214" totalsRowDxfId="213">
  <autoFilter ref="A12:N1423"/>
  <sortState ref="A13:O894">
    <sortCondition ref="A10:A892"/>
  </sortState>
  <tableColumns count="14">
    <tableColumn id="1" name="CÓDIGO DEL CATÁLOGO DE BIENES Y SERVICIOS (CBS) " dataDxfId="212" totalsRowDxfId="211"/>
    <tableColumn id="2" name="DESCRIPCIÓN DE LA COMPRA O CONTRATACIÓN" dataDxfId="210" totalsRowDxfId="209"/>
    <tableColumn id="18" name="UNIDAD DE MEDIDA" dataDxfId="208" totalsRowDxfId="207"/>
    <tableColumn id="3" name="PRIMER TRIMESTRE" dataDxfId="206" totalsRowDxfId="205"/>
    <tableColumn id="4" name="SEGUNDO TRIMESTRE" dataDxfId="204" totalsRowDxfId="203"/>
    <tableColumn id="5" name="TERCER TRIMESTRE" dataDxfId="202" totalsRowDxfId="201"/>
    <tableColumn id="12" name="CUARTO TRIMESTRE" dataDxfId="200" totalsRowDxfId="199"/>
    <tableColumn id="7" name="CANTIDAD TOTAL" dataDxfId="198" totalsRowDxfId="197"/>
    <tableColumn id="20" name="PRECIO UNITARIO ESTIMADO" dataDxfId="196" totalsRowDxfId="195"/>
    <tableColumn id="6" name="COSTO TOTAL UNITARIO ESTIMADO" dataDxfId="194" totalsRowDxfId="193"/>
    <tableColumn id="10" name="COSTO TOTAL POR CÓDIGO DE CATÁLOGO DE BIENES Y SERVICIOS (CBS)" dataDxfId="192" totalsRowDxfId="191"/>
    <tableColumn id="14" name=" PROCEDIMIENTO DE SELECCIÓN " dataDxfId="190" totalsRowDxfId="189"/>
    <tableColumn id="17" name="FUENTE DE FINANCIAMIENTO" dataDxfId="188" totalsRowDxfId="187"/>
    <tableColumn id="9" name="TIPO DE EMPRESA" dataDxfId="186" totalsRowDxfId="185"/>
  </tableColumns>
  <tableStyleInfo name="TableStyleMedium9" showFirstColumn="0" showLastColumn="0" showRowStripes="1" showColumnStripes="0"/>
</table>
</file>

<file path=xl/tables/table12.xml><?xml version="1.0" encoding="utf-8"?>
<table xmlns="http://schemas.openxmlformats.org/spreadsheetml/2006/main" id="13" name="Tabla132112414" displayName="Tabla132112414" ref="A12:N1423" insertRowShift="1" totalsRowShown="0" headerRowDxfId="184" dataDxfId="183" totalsRowDxfId="182">
  <autoFilter ref="A12:N1423"/>
  <sortState ref="A13:O894">
    <sortCondition ref="A10:A892"/>
  </sortState>
  <tableColumns count="14">
    <tableColumn id="1" name="CÓDIGO DEL CATÁLOGO DE BIENES Y SERVICIOS (CBS) " dataDxfId="181" totalsRowDxfId="180"/>
    <tableColumn id="2" name="DESCRIPCIÓN DE LA COMPRA O CONTRATACIÓN" dataDxfId="179" totalsRowDxfId="178"/>
    <tableColumn id="18" name="UNIDAD DE MEDIDA" dataDxfId="177" totalsRowDxfId="176"/>
    <tableColumn id="3" name="PRIMER TRIMESTRE" dataDxfId="175" totalsRowDxfId="174"/>
    <tableColumn id="4" name="SEGUNDO TRIMESTRE" dataDxfId="173" totalsRowDxfId="172"/>
    <tableColumn id="5" name="TERCER TRIMESTRE" dataDxfId="171" totalsRowDxfId="170"/>
    <tableColumn id="12" name="CUARTO TRIMESTRE" dataDxfId="169" totalsRowDxfId="168"/>
    <tableColumn id="7" name="CANTIDAD TOTAL" dataDxfId="167" totalsRowDxfId="166"/>
    <tableColumn id="20" name="PRECIO UNITARIO ESTIMADO" dataDxfId="165" totalsRowDxfId="164"/>
    <tableColumn id="6" name="COSTO TOTAL UNITARIO ESTIMADO" dataDxfId="163" totalsRowDxfId="162"/>
    <tableColumn id="10" name="COSTO TOTAL POR CÓDIGO DE CATÁLOGO DE BIENES Y SERVICIOS (CBS)" dataDxfId="161" totalsRowDxfId="160"/>
    <tableColumn id="14" name=" PROCEDIMIENTO DE SELECCIÓN " dataDxfId="159" totalsRowDxfId="158"/>
    <tableColumn id="17" name="FUENTE DE FINANCIAMIENTO" dataDxfId="157" totalsRowDxfId="156"/>
    <tableColumn id="9" name="TIPO DE EMPRESA" dataDxfId="155" totalsRowDxfId="154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id="14" name="Tabla132112415" displayName="Tabla132112415" ref="A12:N1496" insertRowShift="1" totalsRowShown="0" headerRowDxfId="153" dataDxfId="152" totalsRowDxfId="151">
  <autoFilter ref="A12:N1496"/>
  <sortState ref="A13:O894">
    <sortCondition ref="A10:A892"/>
  </sortState>
  <tableColumns count="14">
    <tableColumn id="1" name="CÓDIGO DEL CATÁLOGO DE BIENES Y SERVICIOS (CBS) " dataDxfId="150" totalsRowDxfId="149"/>
    <tableColumn id="2" name="DESCRIPCIÓN DE LA COMPRA O CONTRATACIÓN" dataDxfId="148" totalsRowDxfId="147"/>
    <tableColumn id="18" name="UNIDAD DE MEDIDA" dataDxfId="146" totalsRowDxfId="145"/>
    <tableColumn id="3" name="PRIMER TRIMESTRE" dataDxfId="144" totalsRowDxfId="143"/>
    <tableColumn id="4" name="SEGUNDO TRIMESTRE" dataDxfId="142" totalsRowDxfId="141"/>
    <tableColumn id="5" name="TERCER TRIMESTRE" dataDxfId="140" totalsRowDxfId="139"/>
    <tableColumn id="12" name="CUARTO TRIMESTRE" dataDxfId="138" totalsRowDxfId="137"/>
    <tableColumn id="7" name="CANTIDAD TOTAL" dataDxfId="136" totalsRowDxfId="135"/>
    <tableColumn id="20" name="PRECIO UNITARIO ESTIMADO" dataDxfId="134" totalsRowDxfId="133"/>
    <tableColumn id="6" name="COSTO TOTAL UNITARIO ESTIMADO" dataDxfId="132" totalsRowDxfId="131"/>
    <tableColumn id="10" name="COSTO TOTAL POR CÓDIGO DE CATÁLOGO DE BIENES Y SERVICIOS (CBS)" dataDxfId="130" totalsRowDxfId="129"/>
    <tableColumn id="14" name=" PROCEDIMIENTO DE SELECCIÓN " dataDxfId="128" totalsRowDxfId="127"/>
    <tableColumn id="17" name="FUENTE DE FINANCIAMIENTO" dataDxfId="126" totalsRowDxfId="125"/>
    <tableColumn id="9" name="TIPO DE EMPRESA" dataDxfId="124" totalsRowDxfId="123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id="15" name="Tabla132112416" displayName="Tabla132112416" ref="A12:N1473" insertRowShift="1" totalsRowShown="0" headerRowDxfId="122" dataDxfId="121" totalsRowDxfId="120">
  <autoFilter ref="A12:N1473"/>
  <sortState ref="A13:O894">
    <sortCondition ref="A10:A892"/>
  </sortState>
  <tableColumns count="14">
    <tableColumn id="1" name="CÓDIGO DEL CATÁLOGO DE BIENES Y SERVICIOS (CBS) " dataDxfId="119" totalsRowDxfId="118"/>
    <tableColumn id="2" name="DESCRIPCIÓN DE LA COMPRA O CONTRATACIÓN" dataDxfId="117" totalsRowDxfId="116"/>
    <tableColumn id="18" name="UNIDAD DE MEDIDA" dataDxfId="115" totalsRowDxfId="114"/>
    <tableColumn id="3" name="PRIMER TRIMESTRE" dataDxfId="113" totalsRowDxfId="112"/>
    <tableColumn id="4" name="SEGUNDO TRIMESTRE" dataDxfId="111" totalsRowDxfId="110"/>
    <tableColumn id="5" name="TERCER TRIMESTRE" dataDxfId="109" totalsRowDxfId="108"/>
    <tableColumn id="12" name="CUARTO TRIMESTRE" dataDxfId="107" totalsRowDxfId="106"/>
    <tableColumn id="7" name="CANTIDAD TOTAL" dataDxfId="105" totalsRowDxfId="104"/>
    <tableColumn id="20" name="PRECIO UNITARIO ESTIMADO" dataDxfId="103" totalsRowDxfId="102"/>
    <tableColumn id="6" name="COSTO TOTAL UNITARIO ESTIMADO" dataDxfId="101" totalsRowDxfId="100"/>
    <tableColumn id="10" name="COSTO TOTAL POR CÓDIGO DE CATÁLOGO DE BIENES Y SERVICIOS (CBS)" dataDxfId="99" totalsRowDxfId="98"/>
    <tableColumn id="14" name=" PROCEDIMIENTO DE SELECCIÓN " dataDxfId="97" totalsRowDxfId="96"/>
    <tableColumn id="17" name="FUENTE DE FINANCIAMIENTO" dataDxfId="95" totalsRowDxfId="94"/>
    <tableColumn id="9" name="TIPO DE EMPRESA" dataDxfId="93" totalsRowDxfId="92"/>
  </tableColumns>
  <tableStyleInfo name="TableStyleMedium9" showFirstColumn="0" showLastColumn="0" showRowStripes="1" showColumnStripes="0"/>
</table>
</file>

<file path=xl/tables/table15.xml><?xml version="1.0" encoding="utf-8"?>
<table xmlns="http://schemas.openxmlformats.org/spreadsheetml/2006/main" id="16" name="Tabla1325" displayName="Tabla1325" ref="A10:N794" insertRowShift="1" totalsRowCount="1" headerRowDxfId="91" dataDxfId="90">
  <autoFilter ref="A10:N793"/>
  <sortState ref="A11:O892">
    <sortCondition ref="A10:A892"/>
  </sortState>
  <tableColumns count="14">
    <tableColumn id="1" name="CÓDIGO DEL CATÁLOGO DE BIENES Y SERVICIOS (CBS) " dataDxfId="89" totalsRowDxfId="88"/>
    <tableColumn id="2" name="DESCRIPCIÓN DE LA COMPRA O CONTRATACIÓN" dataDxfId="87" totalsRowDxfId="86"/>
    <tableColumn id="18" name="UNIDAD DE MEDIDA" dataDxfId="85" totalsRowDxfId="84"/>
    <tableColumn id="3" name="PRIMER TRIMESTRE" dataDxfId="83" totalsRowDxfId="82">
      <calculatedColumnFormula>+'[2]SNCC-F053 PACC 2016 (2)'!V11</calculatedColumnFormula>
    </tableColumn>
    <tableColumn id="4" name="SEGUNDO TRIMESTRE" dataDxfId="81" totalsRowDxfId="80">
      <calculatedColumnFormula>+[2]!Tabla1324[[#This Row],[SEGUNDO TRIMESTRE]]</calculatedColumnFormula>
    </tableColumn>
    <tableColumn id="5" name="TERCER TRIMESTRE" dataDxfId="79" totalsRowDxfId="78">
      <calculatedColumnFormula>+[2]!Tabla1324[[#This Row],[TERCER TRIMESTRE]]</calculatedColumnFormula>
    </tableColumn>
    <tableColumn id="12" name="CUARTO TRIMESTRE" dataDxfId="77" totalsRowDxfId="76">
      <calculatedColumnFormula>+[2]!Tabla1324[[#This Row],[CUARTO TRIMESTRE]]</calculatedColumnFormula>
    </tableColumn>
    <tableColumn id="7" name="CANTIDAD TOTAL" dataDxfId="75" totalsRowDxfId="74">
      <calculatedColumnFormula>SUM(Tabla1325[[#This Row],[PRIMER TRIMESTRE]:[CUARTO TRIMESTRE]])</calculatedColumnFormula>
    </tableColumn>
    <tableColumn id="20" name="PRECIO UNITARIO ESTIMADO" dataDxfId="73" totalsRowDxfId="72"/>
    <tableColumn id="6" name="COSTO TOTAL UNITARIO ESTIMADO" dataDxfId="71" totalsRowDxfId="70">
      <calculatedColumnFormula>+H11*I11</calculatedColumnFormula>
    </tableColumn>
    <tableColumn id="10" name="COSTO TOTAL POR CÓDIGO DE CATÁLOGO DE BIENES Y SERVICIOS (CBS)" dataDxfId="69" totalsRowDxfId="68">
      <calculatedColumnFormula>SUM(J11:J11)</calculatedColumnFormula>
    </tableColumn>
    <tableColumn id="14" name=" PROCEDIMIENTO DE SELECCIÓN " dataDxfId="67" totalsRowDxfId="66"/>
    <tableColumn id="17" name="FUENTE DE FINANCIAMIENTO" dataDxfId="65" totalsRowDxfId="64"/>
    <tableColumn id="9" name="TIPO DE EMPRESA" dataDxfId="63" totalsRowDxfId="62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id="17" name="Tabla132112418" displayName="Tabla132112418" ref="A12:N1431" insertRowShift="1" totalsRowShown="0" headerRowDxfId="61" dataDxfId="60" totalsRowDxfId="59">
  <autoFilter ref="A12:N1431"/>
  <sortState ref="A13:O894">
    <sortCondition ref="A10:A892"/>
  </sortState>
  <tableColumns count="14">
    <tableColumn id="1" name="CÓDIGO DEL CATÁLOGO DE BIENES Y SERVICIOS (CBS) " dataDxfId="58" totalsRowDxfId="57"/>
    <tableColumn id="2" name="DESCRIPCIÓN DE LA COMPRA O CONTRATACIÓN" dataDxfId="56" totalsRowDxfId="55"/>
    <tableColumn id="18" name="UNIDAD DE MEDIDA" dataDxfId="54" totalsRowDxfId="53"/>
    <tableColumn id="3" name="PRIMER TRIMESTRE" dataDxfId="52" totalsRowDxfId="51"/>
    <tableColumn id="4" name="SEGUNDO TRIMESTRE" dataDxfId="50" totalsRowDxfId="49"/>
    <tableColumn id="5" name="TERCER TRIMESTRE" dataDxfId="48" totalsRowDxfId="47"/>
    <tableColumn id="12" name="CUARTO TRIMESTRE" dataDxfId="46" totalsRowDxfId="45"/>
    <tableColumn id="7" name="CANTIDAD TOTAL" dataDxfId="44" totalsRowDxfId="43"/>
    <tableColumn id="20" name="PRECIO UNITARIO ESTIMADO" dataDxfId="42" totalsRowDxfId="41"/>
    <tableColumn id="6" name="COSTO TOTAL UNITARIO ESTIMADO" dataDxfId="40" totalsRowDxfId="39"/>
    <tableColumn id="10" name="COSTO TOTAL POR CÓDIGO DE CATÁLOGO DE BIENES Y SERVICIOS (CBS)" dataDxfId="38" totalsRowDxfId="37"/>
    <tableColumn id="14" name=" PROCEDIMIENTO DE SELECCIÓN " dataDxfId="36" totalsRowDxfId="35"/>
    <tableColumn id="17" name="FUENTE DE FINANCIAMIENTO" dataDxfId="34" totalsRowDxfId="33"/>
    <tableColumn id="9" name="TIPO DE EMPRESA" dataDxfId="32" totalsRowDxfId="31"/>
  </tableColumns>
  <tableStyleInfo name="TableStyleMedium9" showFirstColumn="0" showLastColumn="0" showRowStripes="1" showColumnStripes="0"/>
</table>
</file>

<file path=xl/tables/table17.xml><?xml version="1.0" encoding="utf-8"?>
<table xmlns="http://schemas.openxmlformats.org/spreadsheetml/2006/main" id="18" name="Tabla132112419" displayName="Tabla132112419" ref="A12:N1423" insertRowShift="1" totalsRowShown="0" headerRowDxfId="30" dataDxfId="29" totalsRowDxfId="28">
  <autoFilter ref="A12:N1423"/>
  <sortState ref="A13:O894">
    <sortCondition ref="A10:A892"/>
  </sortState>
  <tableColumns count="14">
    <tableColumn id="1" name="CÓDIGO DEL CATÁLOGO DE BIENES Y SERVICIOS (CBS) " dataDxfId="27" totalsRowDxfId="26"/>
    <tableColumn id="2" name="DESCRIPCIÓN DE LA COMPRA O CONTRATACIÓN" dataDxfId="25" totalsRowDxfId="24"/>
    <tableColumn id="18" name="UNIDAD DE MEDIDA" dataDxfId="23" totalsRowDxfId="22"/>
    <tableColumn id="3" name="PRIMER TRIMESTRE" dataDxfId="21" totalsRowDxfId="20"/>
    <tableColumn id="4" name="SEGUNDO TRIMESTRE" dataDxfId="19" totalsRowDxfId="18"/>
    <tableColumn id="5" name="TERCER TRIMESTRE" dataDxfId="17" totalsRowDxfId="16"/>
    <tableColumn id="12" name="CUARTO TRIMESTRE" dataDxfId="15" totalsRowDxfId="14"/>
    <tableColumn id="7" name="CANTIDAD TOTAL" dataDxfId="13" totalsRowDxfId="12"/>
    <tableColumn id="20" name="PRECIO UNITARIO ESTIMADO" dataDxfId="11" totalsRowDxfId="10"/>
    <tableColumn id="6" name="COSTO TOTAL UNITARIO ESTIMADO" dataDxfId="9" totalsRowDxfId="8"/>
    <tableColumn id="10" name="COSTO TOTAL POR CÓDIGO DE CATÁLOGO DE BIENES Y SERVICIOS (CBS)" dataDxfId="7" totalsRowDxfId="6"/>
    <tableColumn id="14" name=" PROCEDIMIENTO DE SELECCIÓN " dataDxfId="5" totalsRowDxfId="4"/>
    <tableColumn id="17" name="FUENTE DE FINANCIAMIENTO" dataDxfId="3" totalsRowDxfId="2"/>
    <tableColumn id="9" name="TIPO DE EMPRESA" dataDxfId="1" totalsRowDxfId="0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2" name="Tabla1323" displayName="Tabla1323" ref="A10:O797" insertRowShift="1" totalsRowShown="0" headerRowDxfId="478" dataDxfId="477">
  <autoFilter ref="A10:O797"/>
  <sortState ref="A11:O892">
    <sortCondition ref="A10:A892"/>
  </sortState>
  <tableColumns count="15">
    <tableColumn id="1" name="CÓDIGO DEL CATÁLOGO DE BIENES Y SERVICIOS (CBS) " dataDxfId="476" totalsRowDxfId="475"/>
    <tableColumn id="2" name="DESCRIPCIÓN DE LA COMPRA O CONTRATACIÓN" dataDxfId="474" totalsRowDxfId="473"/>
    <tableColumn id="18" name="UNIDAD DE MEDIDA" dataDxfId="472" totalsRowDxfId="471"/>
    <tableColumn id="3" name="PRIMER TRIMESTRE" dataDxfId="470" totalsRowDxfId="469"/>
    <tableColumn id="4" name="SEGUNDO TRIMESTRE" dataDxfId="468" totalsRowDxfId="467"/>
    <tableColumn id="5" name="TERCER TRIMESTRE" dataDxfId="466" totalsRowDxfId="465"/>
    <tableColumn id="12" name="CUARTO TRIMESTRE" dataDxfId="464" totalsRowDxfId="463"/>
    <tableColumn id="7" name="CANTIDAD TOTAL" dataDxfId="462" totalsRowDxfId="461">
      <calculatedColumnFormula>SUM(#REF!)</calculatedColumnFormula>
    </tableColumn>
    <tableColumn id="20" name="PRECIO UNITARIO ESTIMADO" dataDxfId="460" totalsRowDxfId="459"/>
    <tableColumn id="6" name="COSTO TOTAL UNITARIO ESTIMADO" dataDxfId="458" totalsRowDxfId="457">
      <calculatedColumnFormula>+H11*I11</calculatedColumnFormula>
    </tableColumn>
    <tableColumn id="10" name="COSTO TOTAL POR CÓDIGO DE CATÁLOGO DE BIENES Y SERVICIOS (CBS)" dataDxfId="456" totalsRowDxfId="455">
      <calculatedColumnFormula>SUM(J11:J11)</calculatedColumnFormula>
    </tableColumn>
    <tableColumn id="14" name=" PROCEDIMIENTO DE SELECCIÓN " dataDxfId="454" totalsRowDxfId="453"/>
    <tableColumn id="17" name="FUENTE DE FINANCIAMIENTO" dataDxfId="452" totalsRowDxfId="451"/>
    <tableColumn id="9" name="TIPO DE EMPRESA" dataDxfId="450" totalsRowDxfId="449"/>
    <tableColumn id="8" name="Columna1" dataDxfId="448" totalsRowDxfId="447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5" name="Tabla1326" displayName="Tabla1326" ref="A10:O797" insertRowShift="1" totalsRowShown="0" headerRowDxfId="446" dataDxfId="445">
  <autoFilter ref="A10:O797"/>
  <sortState ref="A11:O892">
    <sortCondition ref="A10:A892"/>
  </sortState>
  <tableColumns count="15">
    <tableColumn id="1" name="CÓDIGO DEL CATÁLOGO DE BIENES Y SERVICIOS (CBS) " dataDxfId="444" totalsRowDxfId="443"/>
    <tableColumn id="2" name="DESCRIPCIÓN DE LA COMPRA O CONTRATACIÓN" dataDxfId="442" totalsRowDxfId="441"/>
    <tableColumn id="18" name="UNIDAD DE MEDIDA" dataDxfId="440" totalsRowDxfId="439"/>
    <tableColumn id="3" name="PRIMER TRIMESTRE" dataDxfId="438" totalsRowDxfId="437"/>
    <tableColumn id="4" name="SEGUNDO TRIMESTRE" dataDxfId="436" totalsRowDxfId="435"/>
    <tableColumn id="5" name="TERCER TRIMESTRE" dataDxfId="434" totalsRowDxfId="433"/>
    <tableColumn id="12" name="CUARTO TRIMESTRE" dataDxfId="432" totalsRowDxfId="431"/>
    <tableColumn id="7" name="CANTIDAD TOTAL" dataDxfId="430" totalsRowDxfId="429">
      <calculatedColumnFormula>SUM(#REF!)</calculatedColumnFormula>
    </tableColumn>
    <tableColumn id="20" name="PRECIO UNITARIO ESTIMADO" dataDxfId="428" totalsRowDxfId="427"/>
    <tableColumn id="6" name="COSTO TOTAL UNITARIO ESTIMADO" dataDxfId="426" totalsRowDxfId="425">
      <calculatedColumnFormula>+H11*I11</calculatedColumnFormula>
    </tableColumn>
    <tableColumn id="10" name="COSTO TOTAL POR CÓDIGO DE CATÁLOGO DE BIENES Y SERVICIOS (CBS)" dataDxfId="424" totalsRowDxfId="423">
      <calculatedColumnFormula>SUM(J11:J11)</calculatedColumnFormula>
    </tableColumn>
    <tableColumn id="14" name=" PROCEDIMIENTO DE SELECCIÓN " dataDxfId="422" totalsRowDxfId="421"/>
    <tableColumn id="17" name="FUENTE DE FINANCIAMIENTO" dataDxfId="420" totalsRowDxfId="419"/>
    <tableColumn id="9" name="TIPO DE EMPRESA" dataDxfId="418" totalsRowDxfId="417"/>
    <tableColumn id="8" name="Columna1" dataDxfId="416" totalsRowDxfId="415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6" name="Tabla13267" displayName="Tabla13267" ref="A10:O797" insertRowShift="1" totalsRowShown="0" headerRowDxfId="414" dataDxfId="413">
  <autoFilter ref="A10:O797"/>
  <sortState ref="A11:O892">
    <sortCondition ref="A10:A892"/>
  </sortState>
  <tableColumns count="15">
    <tableColumn id="1" name="CÓDIGO DEL CATÁLOGO DE BIENES Y SERVICIOS (CBS) " dataDxfId="412" totalsRowDxfId="411"/>
    <tableColumn id="2" name="DESCRIPCIÓN DE LA COMPRA O CONTRATACIÓN" dataDxfId="410" totalsRowDxfId="409"/>
    <tableColumn id="18" name="UNIDAD DE MEDIDA" dataDxfId="408" totalsRowDxfId="407"/>
    <tableColumn id="3" name="PRIMER TRIMESTRE" dataDxfId="406" totalsRowDxfId="405"/>
    <tableColumn id="4" name="SEGUNDO TRIMESTRE" dataDxfId="404" totalsRowDxfId="403"/>
    <tableColumn id="5" name="TERCER TRIMESTRE" dataDxfId="402" totalsRowDxfId="401"/>
    <tableColumn id="12" name="CUARTO TRIMESTRE" dataDxfId="400" totalsRowDxfId="399"/>
    <tableColumn id="7" name="CANTIDAD TOTAL" dataDxfId="398" totalsRowDxfId="397">
      <calculatedColumnFormula>SUM(#REF!)</calculatedColumnFormula>
    </tableColumn>
    <tableColumn id="20" name="PRECIO UNITARIO ESTIMADO" dataDxfId="396" totalsRowDxfId="395"/>
    <tableColumn id="6" name="COSTO TOTAL UNITARIO ESTIMADO" dataDxfId="394" totalsRowDxfId="393">
      <calculatedColumnFormula>+H11*I11</calculatedColumnFormula>
    </tableColumn>
    <tableColumn id="10" name="COSTO TOTAL POR CÓDIGO DE CATÁLOGO DE BIENES Y SERVICIOS (CBS)" dataDxfId="392" totalsRowDxfId="391">
      <calculatedColumnFormula>SUM(J11:J11)</calculatedColumnFormula>
    </tableColumn>
    <tableColumn id="14" name=" PROCEDIMIENTO DE SELECCIÓN " dataDxfId="390" totalsRowDxfId="389"/>
    <tableColumn id="17" name="FUENTE DE FINANCIAMIENTO" dataDxfId="388" totalsRowDxfId="387"/>
    <tableColumn id="9" name="TIPO DE EMPRESA" dataDxfId="386" totalsRowDxfId="385"/>
    <tableColumn id="8" name="Columna1" dataDxfId="384" totalsRowDxfId="383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4" name="Tabla132111655" displayName="Tabla132111655" ref="A6:C45" insertRowShift="1" totalsRowShown="0" headerRowDxfId="382" dataDxfId="380" totalsRowDxfId="379" headerRowBorderDxfId="381">
  <autoFilter ref="A6:C45"/>
  <sortState ref="A14:O895">
    <sortCondition ref="A10:A892"/>
  </sortState>
  <tableColumns count="3">
    <tableColumn id="1" name="CÓDIGO DEL CATÁLOGO DE BIENES Y SERVICIOS (CBS) " dataDxfId="378" totalsRowDxfId="377"/>
    <tableColumn id="10" name="COSTO TOTAL POR CÓDIGO EN RD$" dataDxfId="376" totalsRowDxfId="375">
      <calculatedColumnFormula>SUM(#REF!)</calculatedColumnFormula>
    </tableColumn>
    <tableColumn id="2" name="Columna1" dataDxfId="374" totalsRowDxfId="373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1" name="Tabla13211242" displayName="Tabla13211242" ref="A15:O1458" insertRowShift="1" totalsRowShown="0" headerRowDxfId="372" dataDxfId="371" totalsRowDxfId="370">
  <autoFilter ref="A15:O1458"/>
  <sortState ref="A16:O897">
    <sortCondition ref="A10:A892"/>
  </sortState>
  <tableColumns count="15">
    <tableColumn id="1" name="CÓDIGO DEL CATÁLOGO DE BIENES Y SERVICIOS (CBS) " dataDxfId="369" totalsRowDxfId="368"/>
    <tableColumn id="2" name="DESCRIPCIÓN DE LA COMPRA O CONTRATACIÓN" dataDxfId="367" totalsRowDxfId="366"/>
    <tableColumn id="18" name="UNIDAD DE MEDIDA" dataDxfId="365" totalsRowDxfId="364"/>
    <tableColumn id="3" name="PRIMER TRIMESTRE" dataDxfId="363" totalsRowDxfId="362"/>
    <tableColumn id="4" name="SEGUNDO TRIMESTRE" dataDxfId="361" totalsRowDxfId="360"/>
    <tableColumn id="5" name="TERCER TRIMESTRE" dataDxfId="359" totalsRowDxfId="358"/>
    <tableColumn id="12" name="CUARTO TRIMESTRE" dataDxfId="357" totalsRowDxfId="356"/>
    <tableColumn id="7" name="CANTIDAD TOTAL" dataDxfId="355" totalsRowDxfId="354"/>
    <tableColumn id="20" name="PRECIO UNITARIO ESTIMADO" dataDxfId="353" totalsRowDxfId="352"/>
    <tableColumn id="6" name="COSTO TOTAL UNITARIO ESTIMADO" dataDxfId="351" totalsRowDxfId="350"/>
    <tableColumn id="10" name="COSTO TOTAL POR CÓDIGO DE CATÁLOGO DE BIENES Y SERVICIOS (CBS)" dataDxfId="349" totalsRowDxfId="348"/>
    <tableColumn id="14" name=" PROCEDIMIENTO DE SELECCIÓN " dataDxfId="347" totalsRowDxfId="346"/>
    <tableColumn id="17" name="FUENTE DE FINANCIAMIENTO" dataDxfId="345" totalsRowDxfId="344"/>
    <tableColumn id="9" name="TIPO DE EMPRESA" dataDxfId="343" totalsRowDxfId="342"/>
    <tableColumn id="8" name="Columna1" dataDxfId="341" totalsRowDxfId="340"/>
  </tableColumns>
  <tableStyleInfo name="TableStyleMedium9" showFirstColumn="0" showLastColumn="0" showRowStripes="1" showColumnStripes="0"/>
</table>
</file>

<file path=xl/tables/table7.xml><?xml version="1.0" encoding="utf-8"?>
<table xmlns="http://schemas.openxmlformats.org/spreadsheetml/2006/main" id="7" name="Tabla1324" displayName="Tabla1324" ref="A10:N78" insertRowShift="1" totalsRowCount="1" headerRowDxfId="339" dataDxfId="338">
  <autoFilter ref="A10:N77"/>
  <sortState ref="A11:O892">
    <sortCondition ref="A10:A892"/>
  </sortState>
  <tableColumns count="14">
    <tableColumn id="1" name="CÓDIGO DEL CATÁLOGO DE BIENES Y SERVICIOS (CBS) " dataDxfId="337" totalsRowDxfId="336"/>
    <tableColumn id="2" name="DESCRIPCIÓN DE LA COMPRA O CONTRATACIÓN" dataDxfId="335" totalsRowDxfId="334"/>
    <tableColumn id="18" name="UNIDAD DE MEDIDA" dataDxfId="333" totalsRowDxfId="332"/>
    <tableColumn id="3" name="PRIMER TRIMESTRE" dataDxfId="331" totalsRowDxfId="330"/>
    <tableColumn id="4" name="SEGUNDO TRIMESTRE" dataDxfId="329" totalsRowDxfId="328"/>
    <tableColumn id="5" name="TERCER TRIMESTRE" dataDxfId="327" totalsRowDxfId="326"/>
    <tableColumn id="12" name="CUARTO TRIMESTRE" dataDxfId="325" totalsRowDxfId="324"/>
    <tableColumn id="7" name="CANTIDAD TOTAL" dataDxfId="323" totalsRowDxfId="322">
      <calculatedColumnFormula>SUM(#REF!)</calculatedColumnFormula>
    </tableColumn>
    <tableColumn id="20" name="PRECIO UNITARIO ESTIMADO" dataDxfId="321" totalsRowDxfId="320"/>
    <tableColumn id="6" name="COSTO TOTAL UNITARIO ESTIMADO" dataDxfId="319" totalsRowDxfId="318">
      <calculatedColumnFormula>+H11*I11</calculatedColumnFormula>
    </tableColumn>
    <tableColumn id="10" name="COSTO TOTAL POR CÓDIGO DE CATÁLOGO DE BIENES Y SERVICIOS (CBS)" dataDxfId="317" totalsRowDxfId="316">
      <calculatedColumnFormula>SUM(J11:J11)</calculatedColumnFormula>
    </tableColumn>
    <tableColumn id="14" name=" PROCEDIMIENTO DE SELECCIÓN " dataDxfId="315" totalsRowDxfId="314"/>
    <tableColumn id="17" name="FUENTE DE FINANCIAMIENTO" dataDxfId="313" totalsRowDxfId="312"/>
    <tableColumn id="9" name="TIPO DE EMPRESA" dataDxfId="311" totalsRowDxfId="310"/>
  </tableColumns>
  <tableStyleInfo name="TableStyleMedium9" showFirstColumn="0" showLastColumn="0" showRowStripes="1" showColumnStripes="0"/>
</table>
</file>

<file path=xl/tables/table8.xml><?xml version="1.0" encoding="utf-8"?>
<table xmlns="http://schemas.openxmlformats.org/spreadsheetml/2006/main" id="8" name="Tabla13242" displayName="Tabla13242" ref="A10:P148" insertRowShift="1" totalsRowCount="1" headerRowDxfId="309" dataDxfId="308">
  <autoFilter ref="A10:P147"/>
  <sortState ref="A11:O78">
    <sortCondition ref="A10:A892"/>
  </sortState>
  <tableColumns count="16">
    <tableColumn id="1" name="CÓDIGO DEL CATÁLOGO DE BIENES Y SERVICIOS (CBS) " dataDxfId="307" totalsRowDxfId="306"/>
    <tableColumn id="2" name="DESCRIPCIÓN DE LA COMPRA O CONTRATACIÓN" dataDxfId="305" totalsRowDxfId="304"/>
    <tableColumn id="18" name="UNIDAD DE MEDIDA" dataDxfId="303" totalsRowDxfId="302"/>
    <tableColumn id="3" name="PRIMER TRIMESTRE" dataDxfId="301" totalsRowDxfId="300"/>
    <tableColumn id="4" name="SEGUNDO TRIMESTRE" dataDxfId="299" totalsRowDxfId="298"/>
    <tableColumn id="5" name="TERCER TRIMESTRE" dataDxfId="297" totalsRowDxfId="296"/>
    <tableColumn id="12" name="CUARTO TRIMESTRE" dataDxfId="295" totalsRowDxfId="294"/>
    <tableColumn id="7" name="CANTIDAD TOTAL" dataDxfId="293" totalsRowDxfId="292">
      <calculatedColumnFormula>SUM(#REF!)</calculatedColumnFormula>
    </tableColumn>
    <tableColumn id="20" name="PRECIO UNITARIO ESTIMADO" dataDxfId="291" totalsRowDxfId="290"/>
    <tableColumn id="6" name="COSTO TOTAL UNITARIO ESTIMADO" dataDxfId="289" totalsRowDxfId="288">
      <calculatedColumnFormula>+H11*I11</calculatedColumnFormula>
    </tableColumn>
    <tableColumn id="10" name="COSTO TOTAL POR CÓDIGO DE CATÁLOGO DE BIENES Y SERVICIOS (CBS)" dataDxfId="287" totalsRowDxfId="286">
      <calculatedColumnFormula>SUM(J11:J11)</calculatedColumnFormula>
    </tableColumn>
    <tableColumn id="14" name=" PROCEDIMIENTO DE SELECCIÓN " dataDxfId="285" totalsRowDxfId="284"/>
    <tableColumn id="17" name="FUENTE DE FINANCIAMIENTO" dataDxfId="283" totalsRowDxfId="282"/>
    <tableColumn id="9" name="TIPO DE EMPRESA" dataDxfId="281" totalsRowDxfId="280"/>
    <tableColumn id="8" name="Columna1" dataDxfId="279"/>
    <tableColumn id="11" name="Columna2" dataDxfId="278"/>
  </tableColumns>
  <tableStyleInfo name="TableStyleMedium9" showFirstColumn="0" showLastColumn="0" showRowStripes="1" showColumnStripes="0"/>
</table>
</file>

<file path=xl/tables/table9.xml><?xml version="1.0" encoding="utf-8"?>
<table xmlns="http://schemas.openxmlformats.org/spreadsheetml/2006/main" id="9" name="Tabla132112410" displayName="Tabla132112410" ref="A12:N1481" insertRowShift="1" totalsRowShown="0" headerRowDxfId="277" dataDxfId="276" totalsRowDxfId="275">
  <autoFilter ref="A12:N1481"/>
  <sortState ref="A13:O894">
    <sortCondition ref="A10:A892"/>
  </sortState>
  <tableColumns count="14">
    <tableColumn id="1" name="CÓDIGO DEL CATÁLOGO DE BIENES Y SERVICIOS (CBS) " dataDxfId="274" totalsRowDxfId="273"/>
    <tableColumn id="2" name="DESCRIPCIÓN DE LA COMPRA O CONTRATACIÓN" dataDxfId="272" totalsRowDxfId="271"/>
    <tableColumn id="18" name="UNIDAD DE MEDIDA" dataDxfId="270" totalsRowDxfId="269"/>
    <tableColumn id="3" name="PRIMER TRIMESTRE" dataDxfId="268" totalsRowDxfId="267"/>
    <tableColumn id="4" name="SEGUNDO TRIMESTRE" dataDxfId="266" totalsRowDxfId="265"/>
    <tableColumn id="5" name="TERCER TRIMESTRE" dataDxfId="264" totalsRowDxfId="263"/>
    <tableColumn id="12" name="CUARTO TRIMESTRE" dataDxfId="262" totalsRowDxfId="261"/>
    <tableColumn id="7" name="CANTIDAD TOTAL" dataDxfId="260" totalsRowDxfId="259"/>
    <tableColumn id="20" name="PRECIO UNITARIO ESTIMADO" dataDxfId="258" totalsRowDxfId="257"/>
    <tableColumn id="6" name="COSTO TOTAL UNITARIO ESTIMADO" dataDxfId="256" totalsRowDxfId="255"/>
    <tableColumn id="10" name="COSTO TOTAL POR CÓDIGO DE CATÁLOGO DE BIENES Y SERVICIOS (CBS)" dataDxfId="254" totalsRowDxfId="253"/>
    <tableColumn id="14" name=" PROCEDIMIENTO DE SELECCIÓN " dataDxfId="252" totalsRowDxfId="251"/>
    <tableColumn id="17" name="FUENTE DE FINANCIAMIENTO" dataDxfId="250" totalsRowDxfId="249"/>
    <tableColumn id="9" name="TIPO DE EMPRESA" dataDxfId="248" totalsRowDxfId="24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5" Type="http://schemas.openxmlformats.org/officeDocument/2006/relationships/comments" Target="../comments5.xml"/><Relationship Id="rId4" Type="http://schemas.openxmlformats.org/officeDocument/2006/relationships/table" Target="../tables/table9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5" Type="http://schemas.openxmlformats.org/officeDocument/2006/relationships/comments" Target="../comments6.xml"/><Relationship Id="rId4" Type="http://schemas.openxmlformats.org/officeDocument/2006/relationships/table" Target="../tables/table10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13.xml"/><Relationship Id="rId4" Type="http://schemas.openxmlformats.org/officeDocument/2006/relationships/comments" Target="../comments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Relationship Id="rId5" Type="http://schemas.openxmlformats.org/officeDocument/2006/relationships/comments" Target="../comments8.xml"/><Relationship Id="rId4" Type="http://schemas.openxmlformats.org/officeDocument/2006/relationships/table" Target="../tables/table1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Relationship Id="rId5" Type="http://schemas.openxmlformats.org/officeDocument/2006/relationships/comments" Target="../comments9.xml"/><Relationship Id="rId4" Type="http://schemas.openxmlformats.org/officeDocument/2006/relationships/table" Target="../tables/table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0.xml"/><Relationship Id="rId4" Type="http://schemas.openxmlformats.org/officeDocument/2006/relationships/table" Target="../tables/table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11.xml"/><Relationship Id="rId4" Type="http://schemas.openxmlformats.org/officeDocument/2006/relationships/table" Target="../tables/table16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9.xml"/><Relationship Id="rId4" Type="http://schemas.openxmlformats.org/officeDocument/2006/relationships/comments" Target="../comments1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Relationship Id="rId5" Type="http://schemas.openxmlformats.org/officeDocument/2006/relationships/comments" Target="../comments3.xml"/><Relationship Id="rId4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Relationship Id="rId5" Type="http://schemas.openxmlformats.org/officeDocument/2006/relationships/comments" Target="../comments4.xml"/><Relationship Id="rId4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BS2086"/>
  <sheetViews>
    <sheetView tabSelected="1" topLeftCell="A70" zoomScale="70" zoomScaleNormal="70" workbookViewId="0">
      <selection activeCell="J81" sqref="J81"/>
    </sheetView>
  </sheetViews>
  <sheetFormatPr baseColWidth="10" defaultColWidth="11.42578125" defaultRowHeight="30.75" customHeight="1"/>
  <cols>
    <col min="1" max="1" width="47.140625" style="332" customWidth="1"/>
    <col min="2" max="2" width="51.7109375" style="332" customWidth="1"/>
    <col min="3" max="3" width="13.425781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21.5703125" style="332" customWidth="1"/>
    <col min="10" max="10" width="47.42578125" style="332" bestFit="1" customWidth="1"/>
    <col min="11" max="11" width="32.42578125" style="332" customWidth="1"/>
    <col min="12" max="12" width="32.140625" style="332" customWidth="1"/>
    <col min="13" max="13" width="25.85546875" style="332" customWidth="1"/>
    <col min="14" max="14" width="12.5703125" style="37" customWidth="1"/>
    <col min="15" max="71" width="11.42578125" style="392"/>
    <col min="72" max="16384" width="11.42578125" style="332"/>
  </cols>
  <sheetData>
    <row r="1" spans="1:71" ht="18.75" thickBot="1"/>
    <row r="2" spans="1:71" ht="18">
      <c r="A2" s="7" t="s">
        <v>0</v>
      </c>
      <c r="N2" s="8">
        <v>42332</v>
      </c>
    </row>
    <row r="3" spans="1:71" ht="18">
      <c r="A3" s="554"/>
      <c r="N3" s="9"/>
    </row>
    <row r="4" spans="1:71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71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71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393"/>
      <c r="P6" s="393"/>
      <c r="Q6" s="393"/>
      <c r="R6" s="393"/>
      <c r="S6" s="393"/>
      <c r="T6" s="393"/>
      <c r="U6" s="393"/>
      <c r="V6" s="393"/>
      <c r="W6" s="393"/>
      <c r="X6" s="393"/>
      <c r="Y6" s="393"/>
      <c r="Z6" s="393"/>
      <c r="AA6" s="393"/>
      <c r="AB6" s="393"/>
      <c r="AC6" s="393"/>
      <c r="AD6" s="393"/>
      <c r="AE6" s="393"/>
      <c r="AF6" s="393"/>
      <c r="AG6" s="393"/>
      <c r="AH6" s="393"/>
      <c r="AI6" s="393"/>
      <c r="AJ6" s="393"/>
      <c r="AK6" s="393"/>
      <c r="AL6" s="393"/>
      <c r="AM6" s="393"/>
      <c r="AN6" s="393"/>
      <c r="AO6" s="393"/>
      <c r="AP6" s="393"/>
      <c r="AQ6" s="393"/>
      <c r="AR6" s="393"/>
      <c r="AS6" s="393"/>
      <c r="AT6" s="393"/>
      <c r="AU6" s="393"/>
      <c r="AV6" s="393"/>
      <c r="AW6" s="393"/>
      <c r="AX6" s="393"/>
      <c r="AY6" s="393"/>
      <c r="AZ6" s="393"/>
      <c r="BA6" s="393"/>
      <c r="BB6" s="393"/>
      <c r="BC6" s="393"/>
      <c r="BD6" s="393"/>
      <c r="BE6" s="393"/>
      <c r="BF6" s="393"/>
      <c r="BG6" s="393"/>
      <c r="BH6" s="393"/>
      <c r="BI6" s="393"/>
      <c r="BJ6" s="393"/>
      <c r="BK6" s="393"/>
      <c r="BL6" s="393"/>
      <c r="BM6" s="393"/>
      <c r="BN6" s="393"/>
      <c r="BO6" s="393"/>
      <c r="BP6" s="393"/>
      <c r="BQ6" s="393"/>
      <c r="BR6" s="393"/>
      <c r="BS6" s="393"/>
    </row>
    <row r="7" spans="1:71" s="172" customFormat="1" ht="15.75" customHeight="1">
      <c r="A7" s="556" t="s">
        <v>1281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  <c r="O7" s="394"/>
      <c r="P7" s="394"/>
      <c r="Q7" s="394"/>
      <c r="R7" s="394"/>
      <c r="S7" s="394"/>
      <c r="T7" s="394"/>
      <c r="U7" s="394"/>
      <c r="V7" s="394"/>
      <c r="W7" s="394"/>
      <c r="X7" s="394"/>
      <c r="Y7" s="394"/>
      <c r="Z7" s="394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94"/>
      <c r="BC7" s="394"/>
      <c r="BD7" s="394"/>
      <c r="BE7" s="394"/>
      <c r="BF7" s="394"/>
      <c r="BG7" s="394"/>
      <c r="BH7" s="394"/>
      <c r="BI7" s="394"/>
      <c r="BJ7" s="394"/>
      <c r="BK7" s="394"/>
      <c r="BL7" s="394"/>
      <c r="BM7" s="394"/>
      <c r="BN7" s="394"/>
      <c r="BO7" s="394"/>
      <c r="BP7" s="394"/>
      <c r="BQ7" s="394"/>
      <c r="BR7" s="394"/>
      <c r="BS7" s="394"/>
    </row>
    <row r="8" spans="1:71" ht="18.75" thickBot="1"/>
    <row r="9" spans="1:71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71" s="12" customFormat="1" ht="167.25" customHeight="1">
      <c r="A10" s="2" t="s">
        <v>3</v>
      </c>
      <c r="B10" s="3" t="s">
        <v>4</v>
      </c>
      <c r="C10" s="3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3" t="s">
        <v>10</v>
      </c>
      <c r="I10" s="3" t="s">
        <v>11</v>
      </c>
      <c r="J10" s="3" t="s">
        <v>12</v>
      </c>
      <c r="K10" s="3" t="s">
        <v>442</v>
      </c>
      <c r="L10" s="3" t="s">
        <v>13</v>
      </c>
      <c r="M10" s="3" t="s">
        <v>14</v>
      </c>
      <c r="N10" s="3" t="s">
        <v>305</v>
      </c>
      <c r="O10" s="243"/>
      <c r="P10" s="243"/>
      <c r="Q10" s="243"/>
      <c r="R10" s="243"/>
      <c r="S10" s="243"/>
      <c r="T10" s="243"/>
      <c r="U10" s="243"/>
      <c r="V10" s="243"/>
      <c r="W10" s="243"/>
      <c r="X10" s="243"/>
      <c r="Y10" s="243"/>
      <c r="Z10" s="243"/>
      <c r="AA10" s="243"/>
      <c r="AB10" s="243"/>
      <c r="AC10" s="243"/>
      <c r="AD10" s="243"/>
      <c r="AE10" s="243"/>
      <c r="AF10" s="243"/>
      <c r="AG10" s="243"/>
      <c r="AH10" s="243"/>
      <c r="AI10" s="243"/>
      <c r="AJ10" s="243"/>
      <c r="AK10" s="243"/>
      <c r="AL10" s="243"/>
      <c r="AM10" s="243"/>
      <c r="AN10" s="243"/>
      <c r="AO10" s="243"/>
      <c r="AP10" s="243"/>
      <c r="AQ10" s="243"/>
      <c r="AR10" s="243"/>
      <c r="AS10" s="243"/>
      <c r="AT10" s="243"/>
      <c r="AU10" s="243"/>
      <c r="AV10" s="243"/>
      <c r="AW10" s="243"/>
      <c r="AX10" s="243"/>
      <c r="AY10" s="243"/>
      <c r="AZ10" s="243"/>
      <c r="BA10" s="243"/>
      <c r="BB10" s="243"/>
      <c r="BC10" s="243"/>
      <c r="BD10" s="243"/>
      <c r="BE10" s="243"/>
      <c r="BF10" s="243"/>
      <c r="BG10" s="243"/>
      <c r="BH10" s="243"/>
      <c r="BI10" s="243"/>
      <c r="BJ10" s="243"/>
      <c r="BK10" s="243"/>
      <c r="BL10" s="243"/>
      <c r="BM10" s="243"/>
      <c r="BN10" s="243"/>
      <c r="BO10" s="243"/>
      <c r="BP10" s="243"/>
      <c r="BQ10" s="243"/>
      <c r="BR10" s="243"/>
      <c r="BS10" s="243"/>
    </row>
    <row r="11" spans="1:71" s="12" customFormat="1" ht="46.5" customHeight="1">
      <c r="A11" s="178" t="s">
        <v>16</v>
      </c>
      <c r="B11" s="178" t="str">
        <f ca="1">+UPPER(Tabla1321124[[#This Row],[DESCRIPCIÓN DE LA COMPRA O CONTRATACIÓN]])</f>
        <v>CLORO GAS ENVASADO EN CILINDROS DE 150 LBS (CILINDROS PROPIEDAD DEL INAPA)</v>
      </c>
      <c r="C11" s="39" t="s">
        <v>17</v>
      </c>
      <c r="D11" s="236">
        <v>664</v>
      </c>
      <c r="E11" s="236">
        <v>664</v>
      </c>
      <c r="F11" s="236">
        <v>664</v>
      </c>
      <c r="G11" s="236">
        <v>664</v>
      </c>
      <c r="H11" s="236">
        <f>SUM(Tabla1321124[[#This Row],[PRIMER TRIMESTRE]:[CUARTO TRIMESTRE]])</f>
        <v>2656</v>
      </c>
      <c r="I11" s="17">
        <v>5393</v>
      </c>
      <c r="J11" s="17">
        <f>+Tabla1321124[[#This Row],[CANTIDAD TOTAL]]*Tabla1321124[[#This Row],[PRECIO UNITARIO ESTIMADO]]</f>
        <v>14323808</v>
      </c>
      <c r="K11" s="21"/>
      <c r="L11" s="16" t="s">
        <v>18</v>
      </c>
      <c r="M11" s="16" t="s">
        <v>19</v>
      </c>
      <c r="N11" s="16"/>
      <c r="O11" s="243"/>
      <c r="P11" s="243"/>
      <c r="Q11" s="243"/>
      <c r="R11" s="243"/>
      <c r="S11" s="243"/>
      <c r="T11" s="243"/>
      <c r="U11" s="243"/>
      <c r="V11" s="243"/>
      <c r="W11" s="243"/>
      <c r="X11" s="243"/>
      <c r="Y11" s="243"/>
      <c r="Z11" s="243"/>
      <c r="AA11" s="243"/>
      <c r="AB11" s="243"/>
      <c r="AC11" s="243"/>
      <c r="AD11" s="243"/>
      <c r="AE11" s="243"/>
      <c r="AF11" s="243"/>
      <c r="AG11" s="243"/>
      <c r="AH11" s="243"/>
      <c r="AI11" s="243"/>
      <c r="AJ11" s="243"/>
      <c r="AK11" s="243"/>
      <c r="AL11" s="243"/>
      <c r="AM11" s="243"/>
      <c r="AN11" s="243"/>
      <c r="AO11" s="243"/>
      <c r="AP11" s="243"/>
      <c r="AQ11" s="243"/>
      <c r="AR11" s="243"/>
      <c r="AS11" s="243"/>
      <c r="AT11" s="243"/>
      <c r="AU11" s="243"/>
      <c r="AV11" s="243"/>
      <c r="AW11" s="243"/>
      <c r="AX11" s="243"/>
      <c r="AY11" s="243"/>
      <c r="AZ11" s="243"/>
      <c r="BA11" s="243"/>
      <c r="BB11" s="243"/>
      <c r="BC11" s="243"/>
      <c r="BD11" s="243"/>
      <c r="BE11" s="243"/>
      <c r="BF11" s="243"/>
      <c r="BG11" s="243"/>
      <c r="BH11" s="243"/>
      <c r="BI11" s="243"/>
      <c r="BJ11" s="243"/>
      <c r="BK11" s="243"/>
      <c r="BL11" s="243"/>
      <c r="BM11" s="243"/>
      <c r="BN11" s="243"/>
      <c r="BO11" s="243"/>
      <c r="BP11" s="243"/>
      <c r="BQ11" s="243"/>
      <c r="BR11" s="243"/>
      <c r="BS11" s="243"/>
    </row>
    <row r="12" spans="1:71" s="12" customFormat="1" ht="31.5">
      <c r="A12" s="178" t="s">
        <v>16</v>
      </c>
      <c r="B12" s="178" t="str">
        <f ca="1">+UPPER(Tabla1321124[[#This Row],[DESCRIPCIÓN DE LA COMPRA O CONTRATACIÓN]])</f>
        <v>CLORO GAS ENVASADO EN CILINDROS DE 2000 LBS (INLCUYE CILINDROS)</v>
      </c>
      <c r="C12" s="39" t="s">
        <v>17</v>
      </c>
      <c r="D12" s="236">
        <v>297</v>
      </c>
      <c r="E12" s="236">
        <v>318</v>
      </c>
      <c r="F12" s="236">
        <v>318</v>
      </c>
      <c r="G12" s="236">
        <v>303</v>
      </c>
      <c r="H12" s="236">
        <f>SUM(Tabla1321124[[#This Row],[PRIMER TRIMESTRE]:[CUARTO TRIMESTRE]])</f>
        <v>1236</v>
      </c>
      <c r="I12" s="17">
        <v>46090</v>
      </c>
      <c r="J12" s="17">
        <f>+Tabla1321124[[#This Row],[CANTIDAD TOTAL]]*Tabla1321124[[#This Row],[PRECIO UNITARIO ESTIMADO]]</f>
        <v>56967240</v>
      </c>
      <c r="K12" s="17"/>
      <c r="L12" s="16" t="s">
        <v>18</v>
      </c>
      <c r="M12" s="16" t="s">
        <v>19</v>
      </c>
      <c r="N12" s="39"/>
      <c r="O12" s="243"/>
      <c r="P12" s="243"/>
      <c r="Q12" s="243"/>
      <c r="R12" s="243"/>
      <c r="S12" s="243"/>
      <c r="T12" s="243"/>
      <c r="U12" s="243"/>
      <c r="V12" s="243"/>
      <c r="W12" s="243"/>
      <c r="X12" s="243"/>
      <c r="Y12" s="243"/>
      <c r="Z12" s="243"/>
      <c r="AA12" s="243"/>
      <c r="AB12" s="243"/>
      <c r="AC12" s="243"/>
      <c r="AD12" s="243"/>
      <c r="AE12" s="243"/>
      <c r="AF12" s="243"/>
      <c r="AG12" s="243"/>
      <c r="AH12" s="243"/>
      <c r="AI12" s="243"/>
      <c r="AJ12" s="243"/>
      <c r="AK12" s="243"/>
      <c r="AL12" s="243"/>
      <c r="AM12" s="243"/>
      <c r="AN12" s="243"/>
      <c r="AO12" s="243"/>
      <c r="AP12" s="243"/>
      <c r="AQ12" s="243"/>
      <c r="AR12" s="243"/>
      <c r="AS12" s="243"/>
      <c r="AT12" s="243"/>
      <c r="AU12" s="243"/>
      <c r="AV12" s="243"/>
      <c r="AW12" s="243"/>
      <c r="AX12" s="243"/>
      <c r="AY12" s="243"/>
      <c r="AZ12" s="243"/>
      <c r="BA12" s="243"/>
      <c r="BB12" s="243"/>
      <c r="BC12" s="243"/>
      <c r="BD12" s="243"/>
      <c r="BE12" s="243"/>
      <c r="BF12" s="243"/>
      <c r="BG12" s="243"/>
      <c r="BH12" s="243"/>
      <c r="BI12" s="243"/>
      <c r="BJ12" s="243"/>
      <c r="BK12" s="243"/>
      <c r="BL12" s="243"/>
      <c r="BM12" s="243"/>
      <c r="BN12" s="243"/>
      <c r="BO12" s="243"/>
      <c r="BP12" s="243"/>
      <c r="BQ12" s="243"/>
      <c r="BR12" s="243"/>
      <c r="BS12" s="243"/>
    </row>
    <row r="13" spans="1:71" s="12" customFormat="1" ht="34.5" customHeight="1">
      <c r="A13" s="178" t="s">
        <v>16</v>
      </c>
      <c r="B13" s="178" t="str">
        <f ca="1">+UPPER(Tabla1321124[[#This Row],[DESCRIPCIÓN DE LA COMPRA O CONTRATACIÓN]])</f>
        <v>HIPOCLORITO DE CALCIO HTH TAMBORES DE 45 KGS</v>
      </c>
      <c r="C13" s="39" t="s">
        <v>25</v>
      </c>
      <c r="D13" s="210">
        <v>1525</v>
      </c>
      <c r="E13" s="210">
        <v>1570</v>
      </c>
      <c r="F13" s="210">
        <v>1585</v>
      </c>
      <c r="G13" s="210">
        <v>1525</v>
      </c>
      <c r="H13" s="236">
        <f>SUM(Tabla1321124[[#This Row],[PRIMER TRIMESTRE]:[CUARTO TRIMESTRE]])</f>
        <v>6205</v>
      </c>
      <c r="I13" s="17">
        <v>4962</v>
      </c>
      <c r="J13" s="17">
        <f>+Tabla1321124[[#This Row],[CANTIDAD TOTAL]]*Tabla1321124[[#This Row],[PRECIO UNITARIO ESTIMADO]]</f>
        <v>30789210</v>
      </c>
      <c r="K13" s="17"/>
      <c r="L13" s="16" t="s">
        <v>18</v>
      </c>
      <c r="M13" s="16" t="s">
        <v>19</v>
      </c>
      <c r="N13" s="39"/>
      <c r="O13" s="243"/>
      <c r="P13" s="243"/>
      <c r="Q13" s="243"/>
      <c r="R13" s="243"/>
      <c r="S13" s="243"/>
      <c r="T13" s="243"/>
      <c r="U13" s="243"/>
      <c r="V13" s="243"/>
      <c r="W13" s="243"/>
      <c r="X13" s="243"/>
      <c r="Y13" s="243"/>
      <c r="Z13" s="243"/>
      <c r="AA13" s="243"/>
      <c r="AB13" s="243"/>
      <c r="AC13" s="243"/>
      <c r="AD13" s="243"/>
      <c r="AE13" s="243"/>
      <c r="AF13" s="243"/>
      <c r="AG13" s="243"/>
      <c r="AH13" s="243"/>
      <c r="AI13" s="243"/>
      <c r="AJ13" s="243"/>
      <c r="AK13" s="243"/>
      <c r="AL13" s="243"/>
      <c r="AM13" s="243"/>
      <c r="AN13" s="243"/>
      <c r="AO13" s="243"/>
      <c r="AP13" s="243"/>
      <c r="AQ13" s="243"/>
      <c r="AR13" s="243"/>
      <c r="AS13" s="243"/>
      <c r="AT13" s="243"/>
      <c r="AU13" s="243"/>
      <c r="AV13" s="243"/>
      <c r="AW13" s="243"/>
      <c r="AX13" s="243"/>
      <c r="AY13" s="243"/>
      <c r="AZ13" s="243"/>
      <c r="BA13" s="243"/>
      <c r="BB13" s="243"/>
      <c r="BC13" s="243"/>
      <c r="BD13" s="243"/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43"/>
      <c r="BP13" s="243"/>
      <c r="BQ13" s="243"/>
      <c r="BR13" s="243"/>
      <c r="BS13" s="243"/>
    </row>
    <row r="14" spans="1:71" s="12" customFormat="1" ht="36" customHeight="1">
      <c r="A14" s="178" t="s">
        <v>16</v>
      </c>
      <c r="B14" s="178" t="str">
        <f ca="1">+UPPER(Tabla1321124[[#This Row],[DESCRIPCIÓN DE LA COMPRA O CONTRATACIÓN]])</f>
        <v>POLIMERO NO IONICO EN TANQUES DE 200KGS</v>
      </c>
      <c r="C14" s="39" t="s">
        <v>23</v>
      </c>
      <c r="D14" s="210">
        <v>11</v>
      </c>
      <c r="E14" s="210">
        <v>14</v>
      </c>
      <c r="F14" s="210">
        <v>14</v>
      </c>
      <c r="G14" s="210">
        <v>11</v>
      </c>
      <c r="H14" s="236">
        <f>SUM(Tabla1321124[[#This Row],[PRIMER TRIMESTRE]:[CUARTO TRIMESTRE]])</f>
        <v>50</v>
      </c>
      <c r="I14" s="17">
        <v>27775</v>
      </c>
      <c r="J14" s="17">
        <f>+Tabla1321124[[#This Row],[CANTIDAD TOTAL]]*Tabla1321124[[#This Row],[PRECIO UNITARIO ESTIMADO]]</f>
        <v>1388750</v>
      </c>
      <c r="K14" s="17"/>
      <c r="L14" s="16" t="s">
        <v>15</v>
      </c>
      <c r="M14" s="16" t="s">
        <v>19</v>
      </c>
      <c r="N14" s="39" t="s">
        <v>342</v>
      </c>
      <c r="O14" s="243"/>
      <c r="P14" s="243"/>
      <c r="Q14" s="243"/>
      <c r="R14" s="243"/>
      <c r="S14" s="243"/>
      <c r="T14" s="243"/>
      <c r="U14" s="243"/>
      <c r="V14" s="243"/>
      <c r="W14" s="243"/>
      <c r="X14" s="243"/>
      <c r="Y14" s="243"/>
      <c r="Z14" s="243"/>
      <c r="AA14" s="243"/>
      <c r="AB14" s="243"/>
      <c r="AC14" s="243"/>
      <c r="AD14" s="243"/>
      <c r="AE14" s="243"/>
      <c r="AF14" s="243"/>
      <c r="AG14" s="243"/>
      <c r="AH14" s="243"/>
      <c r="AI14" s="243"/>
      <c r="AJ14" s="243"/>
      <c r="AK14" s="243"/>
      <c r="AL14" s="243"/>
      <c r="AM14" s="243"/>
      <c r="AN14" s="243"/>
      <c r="AO14" s="243"/>
      <c r="AP14" s="243"/>
      <c r="AQ14" s="243"/>
      <c r="AR14" s="243"/>
      <c r="AS14" s="243"/>
      <c r="AT14" s="243"/>
      <c r="AU14" s="243"/>
      <c r="AV14" s="243"/>
      <c r="AW14" s="243"/>
      <c r="AX14" s="243"/>
      <c r="AY14" s="243"/>
      <c r="AZ14" s="243"/>
      <c r="BA14" s="243"/>
      <c r="BB14" s="243"/>
      <c r="BC14" s="243"/>
      <c r="BD14" s="243"/>
      <c r="BE14" s="243"/>
      <c r="BF14" s="243"/>
      <c r="BG14" s="243"/>
      <c r="BH14" s="243"/>
      <c r="BI14" s="243"/>
      <c r="BJ14" s="243"/>
      <c r="BK14" s="243"/>
      <c r="BL14" s="243"/>
      <c r="BM14" s="243"/>
      <c r="BN14" s="243"/>
      <c r="BO14" s="243"/>
      <c r="BP14" s="243"/>
      <c r="BQ14" s="243"/>
      <c r="BR14" s="243"/>
      <c r="BS14" s="243"/>
    </row>
    <row r="15" spans="1:71" s="12" customFormat="1" ht="41.25" customHeight="1">
      <c r="A15" s="178" t="s">
        <v>16</v>
      </c>
      <c r="B15" s="178" t="str">
        <f ca="1">+UPPER(Tabla1321124[[#This Row],[DESCRIPCIÓN DE LA COMPRA O CONTRATACIÓN]])</f>
        <v>SULFATO DE ALUMINIO EN  FUNDAS DE 50 KGS</v>
      </c>
      <c r="C15" s="39" t="s">
        <v>30</v>
      </c>
      <c r="D15" s="236">
        <v>27850</v>
      </c>
      <c r="E15" s="236">
        <v>28450</v>
      </c>
      <c r="F15" s="236">
        <v>19950</v>
      </c>
      <c r="G15" s="236">
        <v>20350</v>
      </c>
      <c r="H15" s="236">
        <f>SUM(Tabla1321124[[#This Row],[PRIMER TRIMESTRE]:[CUARTO TRIMESTRE]])</f>
        <v>96600</v>
      </c>
      <c r="I15" s="17">
        <v>1189.6199999999999</v>
      </c>
      <c r="J15" s="17">
        <f>+Tabla1321124[[#This Row],[CANTIDAD TOTAL]]*Tabla1321124[[#This Row],[PRECIO UNITARIO ESTIMADO]]</f>
        <v>114917291.99999999</v>
      </c>
      <c r="K15" s="17"/>
      <c r="L15" s="16" t="s">
        <v>18</v>
      </c>
      <c r="M15" s="16" t="s">
        <v>19</v>
      </c>
      <c r="N15" s="39"/>
      <c r="O15" s="243"/>
      <c r="P15" s="243"/>
      <c r="Q15" s="243"/>
      <c r="R15" s="243"/>
      <c r="S15" s="243"/>
      <c r="T15" s="243"/>
      <c r="U15" s="243"/>
      <c r="V15" s="243"/>
      <c r="W15" s="243"/>
      <c r="X15" s="243"/>
      <c r="Y15" s="243"/>
      <c r="Z15" s="243"/>
      <c r="AA15" s="243"/>
      <c r="AB15" s="243"/>
      <c r="AC15" s="243"/>
      <c r="AD15" s="243"/>
      <c r="AE15" s="243"/>
      <c r="AF15" s="243"/>
      <c r="AG15" s="243"/>
      <c r="AH15" s="243"/>
      <c r="AI15" s="243"/>
      <c r="AJ15" s="243"/>
      <c r="AK15" s="243"/>
      <c r="AL15" s="243"/>
      <c r="AM15" s="243"/>
      <c r="AN15" s="243"/>
      <c r="AO15" s="243"/>
      <c r="AP15" s="243"/>
      <c r="AQ15" s="243"/>
      <c r="AR15" s="243"/>
      <c r="AS15" s="243"/>
      <c r="AT15" s="243"/>
      <c r="AU15" s="243"/>
      <c r="AV15" s="243"/>
      <c r="AW15" s="243"/>
      <c r="AX15" s="243"/>
      <c r="AY15" s="243"/>
      <c r="AZ15" s="243"/>
      <c r="BA15" s="243"/>
      <c r="BB15" s="243"/>
      <c r="BC15" s="243"/>
      <c r="BD15" s="243"/>
      <c r="BE15" s="243"/>
      <c r="BF15" s="243"/>
      <c r="BG15" s="243"/>
      <c r="BH15" s="243"/>
      <c r="BI15" s="243"/>
      <c r="BJ15" s="243"/>
      <c r="BK15" s="243"/>
      <c r="BL15" s="243"/>
      <c r="BM15" s="243"/>
      <c r="BN15" s="243"/>
      <c r="BO15" s="243"/>
      <c r="BP15" s="243"/>
      <c r="BQ15" s="243"/>
      <c r="BR15" s="243"/>
      <c r="BS15" s="243"/>
    </row>
    <row r="16" spans="1:71" s="12" customFormat="1" ht="30.75" customHeight="1">
      <c r="A16" s="178" t="s">
        <v>16</v>
      </c>
      <c r="B16" s="178" t="str">
        <f ca="1">+UPPER(Tabla1321124[[#This Row],[DESCRIPCIÓN DE LA COMPRA O CONTRATACIÓN]])</f>
        <v>SULFATO DE ALUMINIO LIQUIDO GRADO B  EN KGRS.</v>
      </c>
      <c r="C16" s="39" t="s">
        <v>30</v>
      </c>
      <c r="D16" s="236">
        <v>55752</v>
      </c>
      <c r="E16" s="236">
        <v>55752</v>
      </c>
      <c r="F16" s="236">
        <v>55752</v>
      </c>
      <c r="G16" s="236">
        <v>55752</v>
      </c>
      <c r="H16" s="236">
        <f>SUM(Tabla1321124[[#This Row],[PRIMER TRIMESTRE]:[CUARTO TRIMESTRE]])</f>
        <v>223008</v>
      </c>
      <c r="I16" s="17">
        <v>24.68</v>
      </c>
      <c r="J16" s="17">
        <f>+Tabla1321124[[#This Row],[CANTIDAD TOTAL]]*Tabla1321124[[#This Row],[PRECIO UNITARIO ESTIMADO]]</f>
        <v>5503837.4399999995</v>
      </c>
      <c r="K16" s="17"/>
      <c r="L16" s="16" t="s">
        <v>18</v>
      </c>
      <c r="M16" s="16" t="s">
        <v>19</v>
      </c>
      <c r="N16" s="39"/>
      <c r="O16" s="243"/>
      <c r="P16" s="243"/>
      <c r="Q16" s="243"/>
      <c r="R16" s="243"/>
      <c r="S16" s="243"/>
      <c r="T16" s="243"/>
      <c r="U16" s="243"/>
      <c r="V16" s="243"/>
      <c r="W16" s="243"/>
      <c r="X16" s="243"/>
      <c r="Y16" s="243"/>
      <c r="Z16" s="243"/>
      <c r="AA16" s="243"/>
      <c r="AB16" s="243"/>
      <c r="AC16" s="243"/>
      <c r="AD16" s="243"/>
      <c r="AE16" s="243"/>
      <c r="AF16" s="243"/>
      <c r="AG16" s="243"/>
      <c r="AH16" s="243"/>
      <c r="AI16" s="243"/>
      <c r="AJ16" s="243"/>
      <c r="AK16" s="243"/>
      <c r="AL16" s="243"/>
      <c r="AM16" s="243"/>
      <c r="AN16" s="243"/>
      <c r="AO16" s="243"/>
      <c r="AP16" s="243"/>
      <c r="AQ16" s="243"/>
      <c r="AR16" s="243"/>
      <c r="AS16" s="243"/>
      <c r="AT16" s="243"/>
      <c r="AU16" s="243"/>
      <c r="AV16" s="243"/>
      <c r="AW16" s="243"/>
      <c r="AX16" s="243"/>
      <c r="AY16" s="243"/>
      <c r="AZ16" s="243"/>
      <c r="BA16" s="243"/>
      <c r="BB16" s="243"/>
      <c r="BC16" s="243"/>
      <c r="BD16" s="243"/>
      <c r="BE16" s="243"/>
      <c r="BF16" s="243"/>
      <c r="BG16" s="243"/>
      <c r="BH16" s="243"/>
      <c r="BI16" s="243"/>
      <c r="BJ16" s="243"/>
      <c r="BK16" s="243"/>
      <c r="BL16" s="243"/>
      <c r="BM16" s="243"/>
      <c r="BN16" s="243"/>
      <c r="BO16" s="243"/>
      <c r="BP16" s="243"/>
      <c r="BQ16" s="243"/>
      <c r="BR16" s="243"/>
      <c r="BS16" s="243"/>
    </row>
    <row r="17" spans="1:71" s="169" customFormat="1" ht="31.5">
      <c r="A17" s="178" t="s">
        <v>16</v>
      </c>
      <c r="B17" s="178" t="str">
        <f ca="1">+UPPER(Tabla1321124[[#This Row],[DESCRIPCIÓN DE LA COMPRA O CONTRATACIÓN]])</f>
        <v>TRICLORO EN PASTILLA (CUBETA 50 KG)</v>
      </c>
      <c r="C17" s="39" t="s">
        <v>17</v>
      </c>
      <c r="D17" s="236">
        <v>29</v>
      </c>
      <c r="E17" s="236">
        <v>29</v>
      </c>
      <c r="F17" s="236">
        <v>29</v>
      </c>
      <c r="G17" s="236">
        <v>29</v>
      </c>
      <c r="H17" s="236">
        <f>SUM(Tabla1321124[[#This Row],[PRIMER TRIMESTRE]:[CUARTO TRIMESTRE]])</f>
        <v>116</v>
      </c>
      <c r="I17" s="17">
        <v>15000</v>
      </c>
      <c r="J17" s="17">
        <f>+Tabla1321124[[#This Row],[CANTIDAD TOTAL]]*Tabla1321124[[#This Row],[PRECIO UNITARIO ESTIMADO]]</f>
        <v>1740000</v>
      </c>
      <c r="K17" s="387">
        <f>SUM(J11:J17)</f>
        <v>225630137.44</v>
      </c>
      <c r="L17" s="16" t="s">
        <v>27</v>
      </c>
      <c r="M17" s="16" t="s">
        <v>19</v>
      </c>
      <c r="N17" s="39"/>
      <c r="O17" s="243"/>
      <c r="P17" s="243"/>
      <c r="Q17" s="243"/>
      <c r="R17" s="243"/>
      <c r="S17" s="243"/>
      <c r="T17" s="243"/>
      <c r="U17" s="243"/>
      <c r="V17" s="243"/>
      <c r="W17" s="243"/>
      <c r="X17" s="243"/>
      <c r="Y17" s="243"/>
      <c r="Z17" s="243"/>
      <c r="AA17" s="243"/>
      <c r="AB17" s="243"/>
      <c r="AC17" s="243"/>
      <c r="AD17" s="243"/>
      <c r="AE17" s="243"/>
      <c r="AF17" s="243"/>
      <c r="AG17" s="243"/>
      <c r="AH17" s="243"/>
      <c r="AI17" s="243"/>
      <c r="AJ17" s="243"/>
      <c r="AK17" s="243"/>
      <c r="AL17" s="243"/>
      <c r="AM17" s="243"/>
      <c r="AN17" s="243"/>
      <c r="AO17" s="243"/>
      <c r="AP17" s="243"/>
      <c r="AQ17" s="243"/>
      <c r="AR17" s="243"/>
      <c r="AS17" s="243"/>
      <c r="AT17" s="243"/>
      <c r="AU17" s="243"/>
      <c r="AV17" s="243"/>
      <c r="AW17" s="243"/>
      <c r="AX17" s="243"/>
      <c r="AY17" s="243"/>
      <c r="AZ17" s="243"/>
      <c r="BA17" s="243"/>
      <c r="BB17" s="243"/>
      <c r="BC17" s="243"/>
      <c r="BD17" s="243"/>
      <c r="BE17" s="243"/>
      <c r="BF17" s="243"/>
      <c r="BG17" s="243"/>
      <c r="BH17" s="243"/>
      <c r="BI17" s="243"/>
      <c r="BJ17" s="243"/>
      <c r="BK17" s="243"/>
      <c r="BL17" s="243"/>
      <c r="BM17" s="243"/>
      <c r="BN17" s="243"/>
      <c r="BO17" s="243"/>
      <c r="BP17" s="243"/>
      <c r="BQ17" s="243"/>
      <c r="BR17" s="243"/>
      <c r="BS17" s="243"/>
    </row>
    <row r="18" spans="1:71" s="169" customFormat="1" ht="35.25" customHeight="1">
      <c r="A18" s="543" t="s">
        <v>16</v>
      </c>
      <c r="B18" s="380" t="s">
        <v>443</v>
      </c>
      <c r="C18" s="237"/>
      <c r="D18" s="237"/>
      <c r="E18" s="237"/>
      <c r="F18" s="237"/>
      <c r="G18" s="237"/>
      <c r="H18" s="238"/>
      <c r="I18" s="238"/>
      <c r="J18" s="24"/>
      <c r="K18" s="25">
        <f>SUM(J11:J17)</f>
        <v>225630137.44</v>
      </c>
      <c r="L18" s="23"/>
      <c r="M18" s="23"/>
      <c r="N18" s="42"/>
      <c r="O18" s="243"/>
      <c r="P18" s="243"/>
      <c r="Q18" s="243"/>
      <c r="R18" s="243"/>
      <c r="S18" s="243"/>
      <c r="T18" s="243"/>
      <c r="U18" s="243"/>
      <c r="V18" s="243"/>
      <c r="W18" s="243"/>
      <c r="X18" s="243"/>
      <c r="Y18" s="243"/>
      <c r="Z18" s="243"/>
      <c r="AA18" s="243"/>
      <c r="AB18" s="243"/>
      <c r="AC18" s="243"/>
      <c r="AD18" s="243"/>
      <c r="AE18" s="243"/>
      <c r="AF18" s="243"/>
      <c r="AG18" s="243"/>
      <c r="AH18" s="243"/>
      <c r="AI18" s="243"/>
      <c r="AJ18" s="243"/>
      <c r="AK18" s="243"/>
      <c r="AL18" s="243"/>
      <c r="AM18" s="243"/>
      <c r="AN18" s="243"/>
      <c r="AO18" s="243"/>
      <c r="AP18" s="243"/>
      <c r="AQ18" s="243"/>
      <c r="AR18" s="243"/>
      <c r="AS18" s="243"/>
      <c r="AT18" s="243"/>
      <c r="AU18" s="243"/>
      <c r="AV18" s="243"/>
      <c r="AW18" s="243"/>
      <c r="AX18" s="243"/>
      <c r="AY18" s="243"/>
      <c r="AZ18" s="243"/>
      <c r="BA18" s="243"/>
      <c r="BB18" s="243"/>
      <c r="BC18" s="243"/>
      <c r="BD18" s="243"/>
      <c r="BE18" s="243"/>
      <c r="BF18" s="243"/>
      <c r="BG18" s="243"/>
      <c r="BH18" s="243"/>
      <c r="BI18" s="243"/>
      <c r="BJ18" s="243"/>
      <c r="BK18" s="243"/>
      <c r="BL18" s="243"/>
      <c r="BM18" s="243"/>
      <c r="BN18" s="243"/>
      <c r="BO18" s="243"/>
      <c r="BP18" s="243"/>
      <c r="BQ18" s="243"/>
      <c r="BR18" s="243"/>
      <c r="BS18" s="243"/>
    </row>
    <row r="19" spans="1:71" s="169" customFormat="1" ht="41.25" customHeight="1">
      <c r="A19" s="178" t="s">
        <v>34</v>
      </c>
      <c r="B19" s="178" t="str">
        <f ca="1">+UPPER(Tabla1321124[[#This Row],[DESCRIPCIÓN DE LA COMPRA O CONTRATACIÓN]])</f>
        <v>0</v>
      </c>
      <c r="C19" s="39" t="s">
        <v>35</v>
      </c>
      <c r="D19" s="210">
        <f>10+2</f>
        <v>12</v>
      </c>
      <c r="E19" s="210">
        <v>2</v>
      </c>
      <c r="F19" s="210">
        <f>10+2</f>
        <v>12</v>
      </c>
      <c r="G19" s="210">
        <v>1</v>
      </c>
      <c r="H19" s="249">
        <f>SUM(Tabla1321124[[#This Row],[PRIMER TRIMESTRE]:[CUARTO TRIMESTRE]])</f>
        <v>27</v>
      </c>
      <c r="I19" s="17">
        <v>31896.55</v>
      </c>
      <c r="J19" s="72">
        <f>+Tabla1321124[[#This Row],[CANTIDAD TOTAL]]*Tabla1321124[[#This Row],[PRECIO UNITARIO ESTIMADO]]</f>
        <v>861206.85</v>
      </c>
      <c r="K19" s="72"/>
      <c r="L19" s="16" t="s">
        <v>27</v>
      </c>
      <c r="M19" s="73" t="s">
        <v>22</v>
      </c>
      <c r="N19" s="70" t="s">
        <v>418</v>
      </c>
      <c r="O19" s="243"/>
      <c r="P19" s="243"/>
      <c r="Q19" s="243"/>
      <c r="R19" s="243"/>
      <c r="S19" s="243"/>
      <c r="T19" s="243"/>
      <c r="U19" s="243"/>
      <c r="V19" s="243"/>
      <c r="W19" s="243"/>
      <c r="X19" s="243"/>
      <c r="Y19" s="243"/>
      <c r="Z19" s="243"/>
      <c r="AA19" s="243"/>
      <c r="AB19" s="243"/>
      <c r="AC19" s="243"/>
      <c r="AD19" s="243"/>
      <c r="AE19" s="243"/>
      <c r="AF19" s="243"/>
      <c r="AG19" s="243"/>
      <c r="AH19" s="243"/>
      <c r="AI19" s="243"/>
      <c r="AJ19" s="243"/>
      <c r="AK19" s="243"/>
      <c r="AL19" s="243"/>
      <c r="AM19" s="243"/>
      <c r="AN19" s="243"/>
      <c r="AO19" s="243"/>
      <c r="AP19" s="243"/>
      <c r="AQ19" s="243"/>
      <c r="AR19" s="243"/>
      <c r="AS19" s="243"/>
      <c r="AT19" s="243"/>
      <c r="AU19" s="243"/>
      <c r="AV19" s="243"/>
      <c r="AW19" s="243"/>
      <c r="AX19" s="243"/>
      <c r="AY19" s="243"/>
      <c r="AZ19" s="243"/>
      <c r="BA19" s="243"/>
      <c r="BB19" s="243"/>
      <c r="BC19" s="243"/>
      <c r="BD19" s="243"/>
      <c r="BE19" s="243"/>
      <c r="BF19" s="243"/>
      <c r="BG19" s="243"/>
      <c r="BH19" s="243"/>
      <c r="BI19" s="243"/>
      <c r="BJ19" s="243"/>
      <c r="BK19" s="243"/>
      <c r="BL19" s="243"/>
      <c r="BM19" s="243"/>
      <c r="BN19" s="243"/>
      <c r="BO19" s="243"/>
      <c r="BP19" s="243"/>
      <c r="BQ19" s="243"/>
      <c r="BR19" s="243"/>
      <c r="BS19" s="243"/>
    </row>
    <row r="20" spans="1:71" s="169" customFormat="1" ht="41.25" customHeight="1">
      <c r="A20" s="178" t="s">
        <v>34</v>
      </c>
      <c r="B20" s="178" t="str">
        <f ca="1">+UPPER(Tabla1321124[[#This Row],[DESCRIPCIÓN DE LA COMPRA O CONTRATACIÓN]])</f>
        <v>ACEITE 20 W-50 (55GLS)</v>
      </c>
      <c r="C20" s="39" t="s">
        <v>35</v>
      </c>
      <c r="D20" s="210">
        <v>10</v>
      </c>
      <c r="E20" s="210">
        <v>10</v>
      </c>
      <c r="F20" s="210">
        <v>10</v>
      </c>
      <c r="G20" s="210">
        <v>10</v>
      </c>
      <c r="H20" s="249">
        <f>SUM(Tabla1321124[[#This Row],[PRIMER TRIMESTRE]:[CUARTO TRIMESTRE]])</f>
        <v>40</v>
      </c>
      <c r="I20" s="17">
        <v>28017.24</v>
      </c>
      <c r="J20" s="72">
        <f>+Tabla1321124[[#This Row],[CANTIDAD TOTAL]]*Tabla1321124[[#This Row],[PRECIO UNITARIO ESTIMADO]]</f>
        <v>1120689.6000000001</v>
      </c>
      <c r="K20" s="171"/>
      <c r="L20" s="16" t="s">
        <v>27</v>
      </c>
      <c r="M20" s="73" t="s">
        <v>22</v>
      </c>
      <c r="N20" s="70" t="s">
        <v>418</v>
      </c>
      <c r="O20" s="243"/>
      <c r="P20" s="243"/>
      <c r="Q20" s="243"/>
      <c r="R20" s="243"/>
      <c r="S20" s="243"/>
      <c r="T20" s="243"/>
      <c r="U20" s="243"/>
      <c r="V20" s="243"/>
      <c r="W20" s="243"/>
      <c r="X20" s="243"/>
      <c r="Y20" s="243"/>
      <c r="Z20" s="243"/>
      <c r="AA20" s="243"/>
      <c r="AB20" s="243"/>
      <c r="AC20" s="243"/>
      <c r="AD20" s="243"/>
      <c r="AE20" s="243"/>
      <c r="AF20" s="243"/>
      <c r="AG20" s="243"/>
      <c r="AH20" s="243"/>
      <c r="AI20" s="243"/>
      <c r="AJ20" s="243"/>
      <c r="AK20" s="243"/>
      <c r="AL20" s="243"/>
      <c r="AM20" s="243"/>
      <c r="AN20" s="243"/>
      <c r="AO20" s="243"/>
      <c r="AP20" s="243"/>
      <c r="AQ20" s="243"/>
      <c r="AR20" s="243"/>
      <c r="AS20" s="243"/>
      <c r="AT20" s="243"/>
      <c r="AU20" s="243"/>
      <c r="AV20" s="243"/>
      <c r="AW20" s="243"/>
      <c r="AX20" s="243"/>
      <c r="AY20" s="243"/>
      <c r="AZ20" s="243"/>
      <c r="BA20" s="243"/>
      <c r="BB20" s="243"/>
      <c r="BC20" s="243"/>
      <c r="BD20" s="243"/>
      <c r="BE20" s="243"/>
      <c r="BF20" s="243"/>
      <c r="BG20" s="243"/>
      <c r="BH20" s="243"/>
      <c r="BI20" s="243"/>
      <c r="BJ20" s="243"/>
      <c r="BK20" s="243"/>
      <c r="BL20" s="243"/>
      <c r="BM20" s="243"/>
      <c r="BN20" s="243"/>
      <c r="BO20" s="243"/>
      <c r="BP20" s="243"/>
      <c r="BQ20" s="243"/>
      <c r="BR20" s="243"/>
      <c r="BS20" s="243"/>
    </row>
    <row r="21" spans="1:71" s="169" customFormat="1" ht="41.25" customHeight="1">
      <c r="A21" s="178" t="s">
        <v>34</v>
      </c>
      <c r="B21" s="178" t="str">
        <f ca="1">+UPPER(Tabla1321124[[#This Row],[DESCRIPCIÓN DE LA COMPRA O CONTRATACIÓN]])</f>
        <v>ACEITE DE MOTOR 25W60 (55GLS)</v>
      </c>
      <c r="C21" s="39" t="s">
        <v>35</v>
      </c>
      <c r="D21" s="210">
        <f>8+1</f>
        <v>9</v>
      </c>
      <c r="E21" s="210">
        <v>3</v>
      </c>
      <c r="F21" s="210">
        <f>8+1</f>
        <v>9</v>
      </c>
      <c r="G21" s="210">
        <v>3</v>
      </c>
      <c r="H21" s="249">
        <f>SUM(Tabla1321124[[#This Row],[PRIMER TRIMESTRE]:[CUARTO TRIMESTRE]])</f>
        <v>24</v>
      </c>
      <c r="I21" s="17">
        <v>23612</v>
      </c>
      <c r="J21" s="72">
        <f>+Tabla1321124[[#This Row],[CANTIDAD TOTAL]]*Tabla1321124[[#This Row],[PRECIO UNITARIO ESTIMADO]]</f>
        <v>566688</v>
      </c>
      <c r="K21" s="72"/>
      <c r="L21" s="16" t="s">
        <v>27</v>
      </c>
      <c r="M21" s="73" t="s">
        <v>22</v>
      </c>
      <c r="N21" s="70" t="s">
        <v>418</v>
      </c>
      <c r="O21" s="243"/>
      <c r="P21" s="243"/>
      <c r="Q21" s="243"/>
      <c r="R21" s="243"/>
      <c r="S21" s="243"/>
      <c r="T21" s="243"/>
      <c r="U21" s="243"/>
      <c r="V21" s="243"/>
      <c r="W21" s="243"/>
      <c r="X21" s="243"/>
      <c r="Y21" s="243"/>
      <c r="Z21" s="243"/>
      <c r="AA21" s="243"/>
      <c r="AB21" s="243"/>
      <c r="AC21" s="243"/>
      <c r="AD21" s="243"/>
      <c r="AE21" s="243"/>
      <c r="AF21" s="243"/>
      <c r="AG21" s="243"/>
      <c r="AH21" s="243"/>
      <c r="AI21" s="243"/>
      <c r="AJ21" s="243"/>
      <c r="AK21" s="243"/>
      <c r="AL21" s="243"/>
      <c r="AM21" s="243"/>
      <c r="AN21" s="243"/>
      <c r="AO21" s="243"/>
      <c r="AP21" s="243"/>
      <c r="AQ21" s="243"/>
      <c r="AR21" s="243"/>
      <c r="AS21" s="243"/>
      <c r="AT21" s="243"/>
      <c r="AU21" s="243"/>
      <c r="AV21" s="243"/>
      <c r="AW21" s="243"/>
      <c r="AX21" s="243"/>
      <c r="AY21" s="243"/>
      <c r="AZ21" s="243"/>
      <c r="BA21" s="243"/>
      <c r="BB21" s="243"/>
      <c r="BC21" s="243"/>
      <c r="BD21" s="243"/>
      <c r="BE21" s="243"/>
      <c r="BF21" s="243"/>
      <c r="BG21" s="243"/>
      <c r="BH21" s="243"/>
      <c r="BI21" s="243"/>
      <c r="BJ21" s="243"/>
      <c r="BK21" s="243"/>
      <c r="BL21" s="243"/>
      <c r="BM21" s="243"/>
      <c r="BN21" s="243"/>
      <c r="BO21" s="243"/>
      <c r="BP21" s="243"/>
      <c r="BQ21" s="243"/>
      <c r="BR21" s="243"/>
      <c r="BS21" s="243"/>
    </row>
    <row r="22" spans="1:71" s="169" customFormat="1" ht="41.25" customHeight="1">
      <c r="A22" s="178" t="s">
        <v>34</v>
      </c>
      <c r="B22" s="178" t="str">
        <f ca="1">+UPPER(Tabla1321124[[#This Row],[DESCRIPCIÓN DE LA COMPRA O CONTRATACIÓN]])</f>
        <v>ACEITE DE MOTOR 15W40 (55GLS)</v>
      </c>
      <c r="C22" s="39" t="s">
        <v>35</v>
      </c>
      <c r="D22" s="210">
        <v>10</v>
      </c>
      <c r="E22" s="210">
        <v>5</v>
      </c>
      <c r="F22" s="210">
        <v>10</v>
      </c>
      <c r="G22" s="210">
        <v>5</v>
      </c>
      <c r="H22" s="249">
        <f>SUM(Tabla1321124[[#This Row],[PRIMER TRIMESTRE]:[CUARTO TRIMESTRE]])</f>
        <v>30</v>
      </c>
      <c r="I22" s="17">
        <v>23112.13</v>
      </c>
      <c r="J22" s="72">
        <f>+Tabla1321124[[#This Row],[CANTIDAD TOTAL]]*Tabla1321124[[#This Row],[PRECIO UNITARIO ESTIMADO]]</f>
        <v>693363.9</v>
      </c>
      <c r="K22" s="72"/>
      <c r="L22" s="16" t="s">
        <v>27</v>
      </c>
      <c r="M22" s="73" t="s">
        <v>22</v>
      </c>
      <c r="N22" s="70" t="s">
        <v>418</v>
      </c>
      <c r="O22" s="243"/>
      <c r="P22" s="243"/>
      <c r="Q22" s="243"/>
      <c r="R22" s="243"/>
      <c r="S22" s="243"/>
      <c r="T22" s="243"/>
      <c r="U22" s="243"/>
      <c r="V22" s="243"/>
      <c r="W22" s="243"/>
      <c r="X22" s="243"/>
      <c r="Y22" s="243"/>
      <c r="Z22" s="243"/>
      <c r="AA22" s="243"/>
      <c r="AB22" s="243"/>
      <c r="AC22" s="243"/>
      <c r="AD22" s="243"/>
      <c r="AE22" s="243"/>
      <c r="AF22" s="243"/>
      <c r="AG22" s="243"/>
      <c r="AH22" s="243"/>
      <c r="AI22" s="243"/>
      <c r="AJ22" s="243"/>
      <c r="AK22" s="243"/>
      <c r="AL22" s="243"/>
      <c r="AM22" s="243"/>
      <c r="AN22" s="243"/>
      <c r="AO22" s="243"/>
      <c r="AP22" s="243"/>
      <c r="AQ22" s="243"/>
      <c r="AR22" s="243"/>
      <c r="AS22" s="243"/>
      <c r="AT22" s="243"/>
      <c r="AU22" s="243"/>
      <c r="AV22" s="243"/>
      <c r="AW22" s="243"/>
      <c r="AX22" s="243"/>
      <c r="AY22" s="243"/>
      <c r="AZ22" s="243"/>
      <c r="BA22" s="243"/>
      <c r="BB22" s="243"/>
      <c r="BC22" s="243"/>
      <c r="BD22" s="243"/>
      <c r="BE22" s="243"/>
      <c r="BF22" s="243"/>
      <c r="BG22" s="243"/>
      <c r="BH22" s="243"/>
      <c r="BI22" s="243"/>
      <c r="BJ22" s="243"/>
      <c r="BK22" s="243"/>
      <c r="BL22" s="243"/>
      <c r="BM22" s="243"/>
      <c r="BN22" s="243"/>
      <c r="BO22" s="243"/>
      <c r="BP22" s="243"/>
      <c r="BQ22" s="243"/>
      <c r="BR22" s="243"/>
      <c r="BS22" s="243"/>
    </row>
    <row r="23" spans="1:71" s="169" customFormat="1" ht="41.25" customHeight="1">
      <c r="A23" s="178" t="s">
        <v>34</v>
      </c>
      <c r="B23" s="178" t="str">
        <f ca="1">+UPPER(Tabla1321124[[#This Row],[DESCRIPCIÓN DE LA COMPRA O CONTRATACIÓN]])</f>
        <v>ACEITE W-50 (55GLS)</v>
      </c>
      <c r="C23" s="39" t="s">
        <v>35</v>
      </c>
      <c r="D23" s="210">
        <v>5</v>
      </c>
      <c r="E23" s="210"/>
      <c r="F23" s="210">
        <v>5</v>
      </c>
      <c r="G23" s="210"/>
      <c r="H23" s="249">
        <f>SUM(Tabla1321124[[#This Row],[PRIMER TRIMESTRE]:[CUARTO TRIMESTRE]])</f>
        <v>10</v>
      </c>
      <c r="I23" s="17">
        <v>28017.24</v>
      </c>
      <c r="J23" s="72">
        <f>+Tabla1321124[[#This Row],[CANTIDAD TOTAL]]*Tabla1321124[[#This Row],[PRECIO UNITARIO ESTIMADO]]</f>
        <v>280172.40000000002</v>
      </c>
      <c r="K23" s="341"/>
      <c r="L23" s="16" t="s">
        <v>27</v>
      </c>
      <c r="M23" s="73" t="s">
        <v>22</v>
      </c>
      <c r="N23" s="70" t="s">
        <v>418</v>
      </c>
      <c r="O23" s="243"/>
      <c r="P23" s="243"/>
      <c r="Q23" s="243"/>
      <c r="R23" s="243"/>
      <c r="S23" s="243"/>
      <c r="T23" s="243"/>
      <c r="U23" s="243"/>
      <c r="V23" s="243"/>
      <c r="W23" s="243"/>
      <c r="X23" s="243"/>
      <c r="Y23" s="243"/>
      <c r="Z23" s="243"/>
      <c r="AA23" s="243"/>
      <c r="AB23" s="243"/>
      <c r="AC23" s="243"/>
      <c r="AD23" s="243"/>
      <c r="AE23" s="243"/>
      <c r="AF23" s="243"/>
      <c r="AG23" s="243"/>
      <c r="AH23" s="243"/>
      <c r="AI23" s="243"/>
      <c r="AJ23" s="243"/>
      <c r="AK23" s="243"/>
      <c r="AL23" s="243"/>
      <c r="AM23" s="243"/>
      <c r="AN23" s="243"/>
      <c r="AO23" s="243"/>
      <c r="AP23" s="243"/>
      <c r="AQ23" s="243"/>
      <c r="AR23" s="243"/>
      <c r="AS23" s="243"/>
      <c r="AT23" s="243"/>
      <c r="AU23" s="243"/>
      <c r="AV23" s="243"/>
      <c r="AW23" s="243"/>
      <c r="AX23" s="243"/>
      <c r="AY23" s="243"/>
      <c r="AZ23" s="243"/>
      <c r="BA23" s="243"/>
      <c r="BB23" s="243"/>
      <c r="BC23" s="243"/>
      <c r="BD23" s="243"/>
      <c r="BE23" s="243"/>
      <c r="BF23" s="243"/>
      <c r="BG23" s="243"/>
      <c r="BH23" s="243"/>
      <c r="BI23" s="243"/>
      <c r="BJ23" s="243"/>
      <c r="BK23" s="243"/>
      <c r="BL23" s="243"/>
      <c r="BM23" s="243"/>
      <c r="BN23" s="243"/>
      <c r="BO23" s="243"/>
      <c r="BP23" s="243"/>
      <c r="BQ23" s="243"/>
      <c r="BR23" s="243"/>
      <c r="BS23" s="243"/>
    </row>
    <row r="24" spans="1:71" s="169" customFormat="1" ht="41.25" customHeight="1">
      <c r="A24" s="178" t="s">
        <v>34</v>
      </c>
      <c r="B24" s="178" t="str">
        <f ca="1">+UPPER(Tabla1321124[[#This Row],[DESCRIPCIÓN DE LA COMPRA O CONTRATACIÓN]])</f>
        <v>ACEITE 20 W-50 (55GLS)</v>
      </c>
      <c r="C24" s="39" t="s">
        <v>35</v>
      </c>
      <c r="D24" s="210">
        <v>5</v>
      </c>
      <c r="E24" s="210"/>
      <c r="F24" s="210">
        <v>5</v>
      </c>
      <c r="G24" s="210"/>
      <c r="H24" s="249">
        <f>SUM(Tabla1321124[[#This Row],[PRIMER TRIMESTRE]:[CUARTO TRIMESTRE]])</f>
        <v>10</v>
      </c>
      <c r="I24" s="17">
        <v>28017.24</v>
      </c>
      <c r="J24" s="72">
        <f>+Tabla1321124[[#This Row],[CANTIDAD TOTAL]]*Tabla1321124[[#This Row],[PRECIO UNITARIO ESTIMADO]]</f>
        <v>280172.40000000002</v>
      </c>
      <c r="K24" s="341"/>
      <c r="L24" s="16" t="s">
        <v>27</v>
      </c>
      <c r="M24" s="73" t="s">
        <v>22</v>
      </c>
      <c r="N24" s="70" t="s">
        <v>418</v>
      </c>
      <c r="O24" s="243"/>
      <c r="P24" s="243"/>
      <c r="Q24" s="243"/>
      <c r="R24" s="243"/>
      <c r="S24" s="243"/>
      <c r="T24" s="243"/>
      <c r="U24" s="243"/>
      <c r="V24" s="243"/>
      <c r="W24" s="243"/>
      <c r="X24" s="243"/>
      <c r="Y24" s="243"/>
      <c r="Z24" s="243"/>
      <c r="AA24" s="243"/>
      <c r="AB24" s="243"/>
      <c r="AC24" s="243"/>
      <c r="AD24" s="243"/>
      <c r="AE24" s="243"/>
      <c r="AF24" s="243"/>
      <c r="AG24" s="243"/>
      <c r="AH24" s="243"/>
      <c r="AI24" s="243"/>
      <c r="AJ24" s="243"/>
      <c r="AK24" s="243"/>
      <c r="AL24" s="243"/>
      <c r="AM24" s="243"/>
      <c r="AN24" s="243"/>
      <c r="AO24" s="243"/>
      <c r="AP24" s="243"/>
      <c r="AQ24" s="243"/>
      <c r="AR24" s="243"/>
      <c r="AS24" s="243"/>
      <c r="AT24" s="243"/>
      <c r="AU24" s="243"/>
      <c r="AV24" s="243"/>
      <c r="AW24" s="243"/>
      <c r="AX24" s="243"/>
      <c r="AY24" s="243"/>
      <c r="AZ24" s="243"/>
      <c r="BA24" s="243"/>
      <c r="BB24" s="243"/>
      <c r="BC24" s="243"/>
      <c r="BD24" s="243"/>
      <c r="BE24" s="243"/>
      <c r="BF24" s="243"/>
      <c r="BG24" s="243"/>
      <c r="BH24" s="243"/>
      <c r="BI24" s="243"/>
      <c r="BJ24" s="243"/>
      <c r="BK24" s="243"/>
      <c r="BL24" s="243"/>
      <c r="BM24" s="243"/>
      <c r="BN24" s="243"/>
      <c r="BO24" s="243"/>
      <c r="BP24" s="243"/>
      <c r="BQ24" s="243"/>
      <c r="BR24" s="243"/>
      <c r="BS24" s="243"/>
    </row>
    <row r="25" spans="1:71" s="169" customFormat="1" ht="41.25" customHeight="1">
      <c r="A25" s="178" t="s">
        <v>34</v>
      </c>
      <c r="B25" s="178" t="str">
        <f ca="1">+UPPER(Tabla1321124[[#This Row],[DESCRIPCIÓN DE LA COMPRA O CONTRATACIÓN]])</f>
        <v>COOLANT 50/50</v>
      </c>
      <c r="C25" s="39" t="s">
        <v>35</v>
      </c>
      <c r="D25" s="210">
        <v>10</v>
      </c>
      <c r="E25" s="210"/>
      <c r="F25" s="210">
        <v>10</v>
      </c>
      <c r="G25" s="210"/>
      <c r="H25" s="249">
        <f>SUM(Tabla1321124[[#This Row],[PRIMER TRIMESTRE]:[CUARTO TRIMESTRE]])</f>
        <v>20</v>
      </c>
      <c r="I25" s="17">
        <v>28017.24</v>
      </c>
      <c r="J25" s="72">
        <f>+Tabla1321124[[#This Row],[CANTIDAD TOTAL]]*Tabla1321124[[#This Row],[PRECIO UNITARIO ESTIMADO]]</f>
        <v>560344.80000000005</v>
      </c>
      <c r="K25" s="341"/>
      <c r="L25" s="16" t="s">
        <v>27</v>
      </c>
      <c r="M25" s="73" t="s">
        <v>22</v>
      </c>
      <c r="N25" s="70" t="s">
        <v>418</v>
      </c>
      <c r="O25" s="243"/>
      <c r="P25" s="243"/>
      <c r="Q25" s="243"/>
      <c r="R25" s="243"/>
      <c r="S25" s="243"/>
      <c r="T25" s="243"/>
      <c r="U25" s="243"/>
      <c r="V25" s="243"/>
      <c r="W25" s="243"/>
      <c r="X25" s="243"/>
      <c r="Y25" s="243"/>
      <c r="Z25" s="243"/>
      <c r="AA25" s="243"/>
      <c r="AB25" s="243"/>
      <c r="AC25" s="243"/>
      <c r="AD25" s="243"/>
      <c r="AE25" s="243"/>
      <c r="AF25" s="243"/>
      <c r="AG25" s="243"/>
      <c r="AH25" s="243"/>
      <c r="AI25" s="243"/>
      <c r="AJ25" s="243"/>
      <c r="AK25" s="243"/>
      <c r="AL25" s="243"/>
      <c r="AM25" s="243"/>
      <c r="AN25" s="243"/>
      <c r="AO25" s="243"/>
      <c r="AP25" s="243"/>
      <c r="AQ25" s="243"/>
      <c r="AR25" s="243"/>
      <c r="AS25" s="243"/>
      <c r="AT25" s="243"/>
      <c r="AU25" s="243"/>
      <c r="AV25" s="243"/>
      <c r="AW25" s="243"/>
      <c r="AX25" s="243"/>
      <c r="AY25" s="243"/>
      <c r="AZ25" s="243"/>
      <c r="BA25" s="243"/>
      <c r="BB25" s="243"/>
      <c r="BC25" s="243"/>
      <c r="BD25" s="243"/>
      <c r="BE25" s="243"/>
      <c r="BF25" s="243"/>
      <c r="BG25" s="243"/>
      <c r="BH25" s="243"/>
      <c r="BI25" s="243"/>
      <c r="BJ25" s="243"/>
      <c r="BK25" s="243"/>
      <c r="BL25" s="243"/>
      <c r="BM25" s="243"/>
      <c r="BN25" s="243"/>
      <c r="BO25" s="243"/>
      <c r="BP25" s="243"/>
      <c r="BQ25" s="243"/>
      <c r="BR25" s="243"/>
      <c r="BS25" s="243"/>
    </row>
    <row r="26" spans="1:71" s="26" customFormat="1" ht="41.25" customHeight="1">
      <c r="A26" s="178" t="s">
        <v>34</v>
      </c>
      <c r="B26" s="178" t="str">
        <f ca="1">+UPPER(Tabla1321124[[#This Row],[DESCRIPCIÓN DE LA COMPRA O CONTRATACIÓN]])</f>
        <v>ACEITE DE TRANSMISION MECANICA</v>
      </c>
      <c r="C26" s="39" t="s">
        <v>35</v>
      </c>
      <c r="D26" s="210">
        <f>5+2</f>
        <v>7</v>
      </c>
      <c r="E26" s="210"/>
      <c r="F26" s="210">
        <f>5+1</f>
        <v>6</v>
      </c>
      <c r="G26" s="210"/>
      <c r="H26" s="249">
        <f>SUM(Tabla1321124[[#This Row],[PRIMER TRIMESTRE]:[CUARTO TRIMESTRE]])</f>
        <v>13</v>
      </c>
      <c r="I26" s="17">
        <v>24630.67</v>
      </c>
      <c r="J26" s="72">
        <f>+Tabla1321124[[#This Row],[CANTIDAD TOTAL]]*Tabla1321124[[#This Row],[PRECIO UNITARIO ESTIMADO]]</f>
        <v>320198.70999999996</v>
      </c>
      <c r="K26" s="72"/>
      <c r="L26" s="16" t="s">
        <v>27</v>
      </c>
      <c r="M26" s="73" t="s">
        <v>22</v>
      </c>
      <c r="N26" s="70" t="s">
        <v>418</v>
      </c>
      <c r="O26" s="243"/>
      <c r="P26" s="243"/>
      <c r="Q26" s="243"/>
      <c r="R26" s="243"/>
      <c r="S26" s="243"/>
      <c r="T26" s="243"/>
      <c r="U26" s="243"/>
      <c r="V26" s="243"/>
      <c r="W26" s="243"/>
      <c r="X26" s="243"/>
      <c r="Y26" s="243"/>
      <c r="Z26" s="243"/>
      <c r="AA26" s="243"/>
      <c r="AB26" s="243"/>
      <c r="AC26" s="243"/>
      <c r="AD26" s="243"/>
      <c r="AE26" s="243"/>
      <c r="AF26" s="243"/>
      <c r="AG26" s="243"/>
      <c r="AH26" s="243"/>
      <c r="AI26" s="243"/>
      <c r="AJ26" s="243"/>
      <c r="AK26" s="243"/>
      <c r="AL26" s="243"/>
      <c r="AM26" s="243"/>
      <c r="AN26" s="243"/>
      <c r="AO26" s="243"/>
      <c r="AP26" s="243"/>
      <c r="AQ26" s="243"/>
      <c r="AR26" s="243"/>
      <c r="AS26" s="243"/>
      <c r="AT26" s="243"/>
      <c r="AU26" s="243"/>
      <c r="AV26" s="243"/>
      <c r="AW26" s="243"/>
      <c r="AX26" s="243"/>
      <c r="AY26" s="243"/>
      <c r="AZ26" s="243"/>
      <c r="BA26" s="243"/>
      <c r="BB26" s="243"/>
      <c r="BC26" s="243"/>
      <c r="BD26" s="243"/>
      <c r="BE26" s="243"/>
      <c r="BF26" s="243"/>
      <c r="BG26" s="243"/>
      <c r="BH26" s="243"/>
      <c r="BI26" s="243"/>
      <c r="BJ26" s="243"/>
      <c r="BK26" s="243"/>
      <c r="BL26" s="243"/>
      <c r="BM26" s="243"/>
      <c r="BN26" s="243"/>
      <c r="BO26" s="243"/>
      <c r="BP26" s="243"/>
      <c r="BQ26" s="243"/>
      <c r="BR26" s="243"/>
      <c r="BS26" s="243"/>
    </row>
    <row r="27" spans="1:71" s="26" customFormat="1" ht="41.25" customHeight="1">
      <c r="A27" s="178" t="s">
        <v>34</v>
      </c>
      <c r="B27" s="178" t="str">
        <f ca="1">+UPPER(Tabla1321124[[#This Row],[DESCRIPCIÓN DE LA COMPRA O CONTRATACIÓN]])</f>
        <v>ACEITE DE TRASNMISION AUTOMATICA</v>
      </c>
      <c r="C27" s="39" t="s">
        <v>35</v>
      </c>
      <c r="D27" s="210">
        <f>2+1</f>
        <v>3</v>
      </c>
      <c r="E27" s="210"/>
      <c r="F27" s="210">
        <f>2+1</f>
        <v>3</v>
      </c>
      <c r="G27" s="210"/>
      <c r="H27" s="249">
        <f>SUM(Tabla1321124[[#This Row],[PRIMER TRIMESTRE]:[CUARTO TRIMESTRE]])</f>
        <v>6</v>
      </c>
      <c r="I27" s="17">
        <f>+I26*1.05</f>
        <v>25862.2035</v>
      </c>
      <c r="J27" s="72">
        <f>+Tabla1321124[[#This Row],[CANTIDAD TOTAL]]*Tabla1321124[[#This Row],[PRECIO UNITARIO ESTIMADO]]</f>
        <v>155173.22099999999</v>
      </c>
      <c r="K27" s="72"/>
      <c r="L27" s="16" t="s">
        <v>27</v>
      </c>
      <c r="M27" s="73" t="s">
        <v>22</v>
      </c>
      <c r="N27" s="70" t="s">
        <v>418</v>
      </c>
      <c r="O27" s="243"/>
      <c r="P27" s="243"/>
      <c r="Q27" s="243"/>
      <c r="R27" s="243"/>
      <c r="S27" s="243"/>
      <c r="T27" s="243"/>
      <c r="U27" s="243"/>
      <c r="V27" s="243"/>
      <c r="W27" s="243"/>
      <c r="X27" s="243"/>
      <c r="Y27" s="243"/>
      <c r="Z27" s="243"/>
      <c r="AA27" s="243"/>
      <c r="AB27" s="243"/>
      <c r="AC27" s="243"/>
      <c r="AD27" s="243"/>
      <c r="AE27" s="243"/>
      <c r="AF27" s="243"/>
      <c r="AG27" s="243"/>
      <c r="AH27" s="243"/>
      <c r="AI27" s="243"/>
      <c r="AJ27" s="243"/>
      <c r="AK27" s="243"/>
      <c r="AL27" s="243"/>
      <c r="AM27" s="243"/>
      <c r="AN27" s="243"/>
      <c r="AO27" s="243"/>
      <c r="AP27" s="243"/>
      <c r="AQ27" s="243"/>
      <c r="AR27" s="243"/>
      <c r="AS27" s="243"/>
      <c r="AT27" s="243"/>
      <c r="AU27" s="243"/>
      <c r="AV27" s="243"/>
      <c r="AW27" s="243"/>
      <c r="AX27" s="243"/>
      <c r="AY27" s="243"/>
      <c r="AZ27" s="243"/>
      <c r="BA27" s="243"/>
      <c r="BB27" s="243"/>
      <c r="BC27" s="243"/>
      <c r="BD27" s="243"/>
      <c r="BE27" s="243"/>
      <c r="BF27" s="243"/>
      <c r="BG27" s="243"/>
      <c r="BH27" s="243"/>
      <c r="BI27" s="243"/>
      <c r="BJ27" s="243"/>
      <c r="BK27" s="243"/>
      <c r="BL27" s="243"/>
      <c r="BM27" s="243"/>
      <c r="BN27" s="243"/>
      <c r="BO27" s="243"/>
      <c r="BP27" s="243"/>
      <c r="BQ27" s="243"/>
      <c r="BR27" s="243"/>
      <c r="BS27" s="243"/>
    </row>
    <row r="28" spans="1:71" s="26" customFormat="1" ht="41.25" customHeight="1">
      <c r="A28" s="178" t="s">
        <v>34</v>
      </c>
      <c r="B28" s="178" t="str">
        <f ca="1">+UPPER(Tabla1321124[[#This Row],[DESCRIPCIÓN DE LA COMPRA O CONTRATACIÓN]])</f>
        <v>GRASA PESADA PARA ALTA TEMPERATURA</v>
      </c>
      <c r="C28" s="39" t="s">
        <v>721</v>
      </c>
      <c r="D28" s="210">
        <f>15+2</f>
        <v>17</v>
      </c>
      <c r="E28" s="210">
        <f>10+2</f>
        <v>12</v>
      </c>
      <c r="F28" s="210">
        <f>15+2</f>
        <v>17</v>
      </c>
      <c r="G28" s="210">
        <f>10+2</f>
        <v>12</v>
      </c>
      <c r="H28" s="249">
        <f>SUM(Tabla1321124[[#This Row],[PRIMER TRIMESTRE]:[CUARTO TRIMESTRE]])</f>
        <v>58</v>
      </c>
      <c r="I28" s="17">
        <v>3700</v>
      </c>
      <c r="J28" s="72">
        <f>+Tabla1321124[[#This Row],[CANTIDAD TOTAL]]*Tabla1321124[[#This Row],[PRECIO UNITARIO ESTIMADO]]</f>
        <v>214600</v>
      </c>
      <c r="K28" s="72"/>
      <c r="L28" s="16" t="s">
        <v>27</v>
      </c>
      <c r="M28" s="73" t="s">
        <v>22</v>
      </c>
      <c r="N28" s="70" t="s">
        <v>418</v>
      </c>
      <c r="O28" s="243"/>
      <c r="P28" s="243"/>
      <c r="Q28" s="243"/>
      <c r="R28" s="243"/>
      <c r="S28" s="243"/>
      <c r="T28" s="243"/>
      <c r="U28" s="243"/>
      <c r="V28" s="243"/>
      <c r="W28" s="243"/>
      <c r="X28" s="243"/>
      <c r="Y28" s="243"/>
      <c r="Z28" s="243"/>
      <c r="AA28" s="243"/>
      <c r="AB28" s="243"/>
      <c r="AC28" s="243"/>
      <c r="AD28" s="243"/>
      <c r="AE28" s="243"/>
      <c r="AF28" s="243"/>
      <c r="AG28" s="243"/>
      <c r="AH28" s="243"/>
      <c r="AI28" s="243"/>
      <c r="AJ28" s="243"/>
      <c r="AK28" s="243"/>
      <c r="AL28" s="243"/>
      <c r="AM28" s="243"/>
      <c r="AN28" s="243"/>
      <c r="AO28" s="243"/>
      <c r="AP28" s="243"/>
      <c r="AQ28" s="243"/>
      <c r="AR28" s="243"/>
      <c r="AS28" s="243"/>
      <c r="AT28" s="243"/>
      <c r="AU28" s="243"/>
      <c r="AV28" s="243"/>
      <c r="AW28" s="243"/>
      <c r="AX28" s="243"/>
      <c r="AY28" s="243"/>
      <c r="AZ28" s="243"/>
      <c r="BA28" s="243"/>
      <c r="BB28" s="243"/>
      <c r="BC28" s="243"/>
      <c r="BD28" s="243"/>
      <c r="BE28" s="243"/>
      <c r="BF28" s="243"/>
      <c r="BG28" s="243"/>
      <c r="BH28" s="243"/>
      <c r="BI28" s="243"/>
      <c r="BJ28" s="243"/>
      <c r="BK28" s="243"/>
      <c r="BL28" s="243"/>
      <c r="BM28" s="243"/>
      <c r="BN28" s="243"/>
      <c r="BO28" s="243"/>
      <c r="BP28" s="243"/>
      <c r="BQ28" s="243"/>
      <c r="BR28" s="243"/>
      <c r="BS28" s="243"/>
    </row>
    <row r="29" spans="1:71" s="26" customFormat="1" ht="41.25" customHeight="1">
      <c r="A29" s="178" t="s">
        <v>34</v>
      </c>
      <c r="B29" s="178" t="str">
        <f ca="1">+UPPER(Tabla1321124[[#This Row],[DESCRIPCIÓN DE LA COMPRA O CONTRATACIÓN]])</f>
        <v>ACEITE HIDRAULICO</v>
      </c>
      <c r="C29" s="39" t="s">
        <v>35</v>
      </c>
      <c r="D29" s="362">
        <v>1</v>
      </c>
      <c r="E29" s="362"/>
      <c r="F29" s="362">
        <v>1</v>
      </c>
      <c r="G29" s="362"/>
      <c r="H29" s="249">
        <f>SUM(Tabla1321124[[#This Row],[PRIMER TRIMESTRE]:[CUARTO TRIMESTRE]])</f>
        <v>2</v>
      </c>
      <c r="I29" s="17">
        <v>890</v>
      </c>
      <c r="J29" s="72">
        <f>+Tabla1321124[[#This Row],[CANTIDAD TOTAL]]*Tabla1321124[[#This Row],[PRECIO UNITARIO ESTIMADO]]</f>
        <v>1780</v>
      </c>
      <c r="K29" s="175"/>
      <c r="L29" s="16" t="s">
        <v>27</v>
      </c>
      <c r="M29" s="73" t="s">
        <v>22</v>
      </c>
      <c r="N29" s="70" t="s">
        <v>418</v>
      </c>
      <c r="O29" s="243"/>
      <c r="P29" s="243"/>
      <c r="Q29" s="243"/>
      <c r="R29" s="243"/>
      <c r="S29" s="243"/>
      <c r="T29" s="243"/>
      <c r="U29" s="243"/>
      <c r="V29" s="243"/>
      <c r="W29" s="243"/>
      <c r="X29" s="243"/>
      <c r="Y29" s="243"/>
      <c r="Z29" s="243"/>
      <c r="AA29" s="243"/>
      <c r="AB29" s="243"/>
      <c r="AC29" s="243"/>
      <c r="AD29" s="243"/>
      <c r="AE29" s="243"/>
      <c r="AF29" s="243"/>
      <c r="AG29" s="243"/>
      <c r="AH29" s="243"/>
      <c r="AI29" s="243"/>
      <c r="AJ29" s="243"/>
      <c r="AK29" s="243"/>
      <c r="AL29" s="243"/>
      <c r="AM29" s="243"/>
      <c r="AN29" s="243"/>
      <c r="AO29" s="243"/>
      <c r="AP29" s="243"/>
      <c r="AQ29" s="243"/>
      <c r="AR29" s="243"/>
      <c r="AS29" s="243"/>
      <c r="AT29" s="243"/>
      <c r="AU29" s="243"/>
      <c r="AV29" s="243"/>
      <c r="AW29" s="243"/>
      <c r="AX29" s="243"/>
      <c r="AY29" s="243"/>
      <c r="AZ29" s="243"/>
      <c r="BA29" s="243"/>
      <c r="BB29" s="243"/>
      <c r="BC29" s="243"/>
      <c r="BD29" s="243"/>
      <c r="BE29" s="243"/>
      <c r="BF29" s="243"/>
      <c r="BG29" s="243"/>
      <c r="BH29" s="243"/>
      <c r="BI29" s="243"/>
      <c r="BJ29" s="243"/>
      <c r="BK29" s="243"/>
      <c r="BL29" s="243"/>
      <c r="BM29" s="243"/>
      <c r="BN29" s="243"/>
      <c r="BO29" s="243"/>
      <c r="BP29" s="243"/>
      <c r="BQ29" s="243"/>
      <c r="BR29" s="243"/>
      <c r="BS29" s="243"/>
    </row>
    <row r="30" spans="1:71" s="26" customFormat="1" ht="41.25" customHeight="1">
      <c r="A30" s="178" t="s">
        <v>34</v>
      </c>
      <c r="B30" s="178" t="str">
        <f ca="1">+UPPER(Tabla1321124[[#This Row],[DESCRIPCIÓN DE LA COMPRA O CONTRATACIÓN]])</f>
        <v>ACEITE 2 T PARA MOTOCICLETA 1/4</v>
      </c>
      <c r="C30" s="39" t="s">
        <v>290</v>
      </c>
      <c r="D30" s="362">
        <v>8</v>
      </c>
      <c r="E30" s="362">
        <v>8</v>
      </c>
      <c r="F30" s="362">
        <v>8</v>
      </c>
      <c r="G30" s="362">
        <v>8</v>
      </c>
      <c r="H30" s="249">
        <f>SUM(Tabla1321124[[#This Row],[PRIMER TRIMESTRE]:[CUARTO TRIMESTRE]])</f>
        <v>32</v>
      </c>
      <c r="I30" s="17">
        <v>350</v>
      </c>
      <c r="J30" s="72">
        <f>+Tabla1321124[[#This Row],[CANTIDAD TOTAL]]*Tabla1321124[[#This Row],[PRECIO UNITARIO ESTIMADO]]</f>
        <v>11200</v>
      </c>
      <c r="K30" s="175"/>
      <c r="L30" s="16" t="s">
        <v>27</v>
      </c>
      <c r="M30" s="73" t="s">
        <v>22</v>
      </c>
      <c r="N30" s="70" t="s">
        <v>418</v>
      </c>
      <c r="O30" s="243"/>
      <c r="P30" s="243"/>
      <c r="Q30" s="243"/>
      <c r="R30" s="243"/>
      <c r="S30" s="243"/>
      <c r="T30" s="243"/>
      <c r="U30" s="243"/>
      <c r="V30" s="243"/>
      <c r="W30" s="243"/>
      <c r="X30" s="243"/>
      <c r="Y30" s="243"/>
      <c r="Z30" s="243"/>
      <c r="AA30" s="243"/>
      <c r="AB30" s="243"/>
      <c r="AC30" s="243"/>
      <c r="AD30" s="243"/>
      <c r="AE30" s="243"/>
      <c r="AF30" s="243"/>
      <c r="AG30" s="243"/>
      <c r="AH30" s="243"/>
      <c r="AI30" s="243"/>
      <c r="AJ30" s="243"/>
      <c r="AK30" s="243"/>
      <c r="AL30" s="243"/>
      <c r="AM30" s="243"/>
      <c r="AN30" s="243"/>
      <c r="AO30" s="243"/>
      <c r="AP30" s="243"/>
      <c r="AQ30" s="243"/>
      <c r="AR30" s="243"/>
      <c r="AS30" s="243"/>
      <c r="AT30" s="243"/>
      <c r="AU30" s="243"/>
      <c r="AV30" s="243"/>
      <c r="AW30" s="243"/>
      <c r="AX30" s="243"/>
      <c r="AY30" s="243"/>
      <c r="AZ30" s="243"/>
      <c r="BA30" s="243"/>
      <c r="BB30" s="243"/>
      <c r="BC30" s="243"/>
      <c r="BD30" s="243"/>
      <c r="BE30" s="243"/>
      <c r="BF30" s="243"/>
      <c r="BG30" s="243"/>
      <c r="BH30" s="243"/>
      <c r="BI30" s="243"/>
      <c r="BJ30" s="243"/>
      <c r="BK30" s="243"/>
      <c r="BL30" s="243"/>
      <c r="BM30" s="243"/>
      <c r="BN30" s="243"/>
      <c r="BO30" s="243"/>
      <c r="BP30" s="243"/>
      <c r="BQ30" s="243"/>
      <c r="BR30" s="243"/>
      <c r="BS30" s="243"/>
    </row>
    <row r="31" spans="1:71" s="26" customFormat="1" ht="41.25" customHeight="1">
      <c r="A31" s="178" t="s">
        <v>34</v>
      </c>
      <c r="B31" s="178" t="str">
        <f ca="1">+UPPER(Tabla1321124[[#This Row],[DESCRIPCIÓN DE LA COMPRA O CONTRATACIÓN]])</f>
        <v>ACEITE MOTOR DE GASOLINA 1/4</v>
      </c>
      <c r="C31" s="39" t="s">
        <v>290</v>
      </c>
      <c r="D31" s="362">
        <v>8</v>
      </c>
      <c r="E31" s="362">
        <v>8</v>
      </c>
      <c r="F31" s="362">
        <v>8</v>
      </c>
      <c r="G31" s="362">
        <v>8</v>
      </c>
      <c r="H31" s="249">
        <f>SUM(Tabla1321124[[#This Row],[PRIMER TRIMESTRE]:[CUARTO TRIMESTRE]])</f>
        <v>32</v>
      </c>
      <c r="I31" s="17">
        <v>1350</v>
      </c>
      <c r="J31" s="72">
        <f>+Tabla1321124[[#This Row],[CANTIDAD TOTAL]]*Tabla1321124[[#This Row],[PRECIO UNITARIO ESTIMADO]]</f>
        <v>43200</v>
      </c>
      <c r="K31" s="175"/>
      <c r="L31" s="16" t="s">
        <v>27</v>
      </c>
      <c r="M31" s="73" t="s">
        <v>22</v>
      </c>
      <c r="N31" s="70" t="s">
        <v>418</v>
      </c>
      <c r="O31" s="243"/>
      <c r="P31" s="243"/>
      <c r="Q31" s="243"/>
      <c r="R31" s="243"/>
      <c r="S31" s="243"/>
      <c r="T31" s="243"/>
      <c r="U31" s="243"/>
      <c r="V31" s="243"/>
      <c r="W31" s="243"/>
      <c r="X31" s="243"/>
      <c r="Y31" s="243"/>
      <c r="Z31" s="243"/>
      <c r="AA31" s="243"/>
      <c r="AB31" s="243"/>
      <c r="AC31" s="243"/>
      <c r="AD31" s="243"/>
      <c r="AE31" s="243"/>
      <c r="AF31" s="243"/>
      <c r="AG31" s="243"/>
      <c r="AH31" s="243"/>
      <c r="AI31" s="243"/>
      <c r="AJ31" s="243"/>
      <c r="AK31" s="243"/>
      <c r="AL31" s="243"/>
      <c r="AM31" s="243"/>
      <c r="AN31" s="243"/>
      <c r="AO31" s="243"/>
      <c r="AP31" s="243"/>
      <c r="AQ31" s="243"/>
      <c r="AR31" s="243"/>
      <c r="AS31" s="243"/>
      <c r="AT31" s="243"/>
      <c r="AU31" s="243"/>
      <c r="AV31" s="243"/>
      <c r="AW31" s="243"/>
      <c r="AX31" s="243"/>
      <c r="AY31" s="243"/>
      <c r="AZ31" s="243"/>
      <c r="BA31" s="243"/>
      <c r="BB31" s="243"/>
      <c r="BC31" s="243"/>
      <c r="BD31" s="243"/>
      <c r="BE31" s="243"/>
      <c r="BF31" s="243"/>
      <c r="BG31" s="243"/>
      <c r="BH31" s="243"/>
      <c r="BI31" s="243"/>
      <c r="BJ31" s="243"/>
      <c r="BK31" s="243"/>
      <c r="BL31" s="243"/>
      <c r="BM31" s="243"/>
      <c r="BN31" s="243"/>
      <c r="BO31" s="243"/>
      <c r="BP31" s="243"/>
      <c r="BQ31" s="243"/>
      <c r="BR31" s="243"/>
      <c r="BS31" s="243"/>
    </row>
    <row r="32" spans="1:71" s="169" customFormat="1" ht="41.25" customHeight="1">
      <c r="A32" s="178" t="s">
        <v>34</v>
      </c>
      <c r="B32" s="178" t="str">
        <f ca="1">+UPPER(Tabla1321124[[#This Row],[DESCRIPCIÓN DE LA COMPRA O CONTRATACIÓN]])</f>
        <v>ACEITE DE MOTOR DIESEL  1/4</v>
      </c>
      <c r="C32" s="39" t="s">
        <v>35</v>
      </c>
      <c r="D32" s="362">
        <v>1</v>
      </c>
      <c r="E32" s="362">
        <v>1</v>
      </c>
      <c r="F32" s="362">
        <v>1</v>
      </c>
      <c r="G32" s="362">
        <v>1</v>
      </c>
      <c r="H32" s="249">
        <f>SUM(Tabla1321124[[#This Row],[PRIMER TRIMESTRE]:[CUARTO TRIMESTRE]])</f>
        <v>4</v>
      </c>
      <c r="I32" s="17">
        <v>1570</v>
      </c>
      <c r="J32" s="72">
        <f>+Tabla1321124[[#This Row],[CANTIDAD TOTAL]]*Tabla1321124[[#This Row],[PRECIO UNITARIO ESTIMADO]]</f>
        <v>6280</v>
      </c>
      <c r="K32" s="175"/>
      <c r="L32" s="16" t="s">
        <v>27</v>
      </c>
      <c r="M32" s="73" t="s">
        <v>22</v>
      </c>
      <c r="N32" s="70" t="s">
        <v>418</v>
      </c>
      <c r="O32" s="243"/>
      <c r="P32" s="243"/>
      <c r="Q32" s="243"/>
      <c r="R32" s="243"/>
      <c r="S32" s="243"/>
      <c r="T32" s="243"/>
      <c r="U32" s="243"/>
      <c r="V32" s="243"/>
      <c r="W32" s="243"/>
      <c r="X32" s="243"/>
      <c r="Y32" s="243"/>
      <c r="Z32" s="243"/>
      <c r="AA32" s="243"/>
      <c r="AB32" s="243"/>
      <c r="AC32" s="243"/>
      <c r="AD32" s="243"/>
      <c r="AE32" s="243"/>
      <c r="AF32" s="243"/>
      <c r="AG32" s="243"/>
      <c r="AH32" s="243"/>
      <c r="AI32" s="243"/>
      <c r="AJ32" s="243"/>
      <c r="AK32" s="243"/>
      <c r="AL32" s="243"/>
      <c r="AM32" s="243"/>
      <c r="AN32" s="243"/>
      <c r="AO32" s="243"/>
      <c r="AP32" s="243"/>
      <c r="AQ32" s="243"/>
      <c r="AR32" s="243"/>
      <c r="AS32" s="243"/>
      <c r="AT32" s="243"/>
      <c r="AU32" s="243"/>
      <c r="AV32" s="243"/>
      <c r="AW32" s="243"/>
      <c r="AX32" s="243"/>
      <c r="AY32" s="243"/>
      <c r="AZ32" s="243"/>
      <c r="BA32" s="243"/>
      <c r="BB32" s="243"/>
      <c r="BC32" s="243"/>
      <c r="BD32" s="243"/>
      <c r="BE32" s="243"/>
      <c r="BF32" s="243"/>
      <c r="BG32" s="243"/>
      <c r="BH32" s="243"/>
      <c r="BI32" s="243"/>
      <c r="BJ32" s="243"/>
      <c r="BK32" s="243"/>
      <c r="BL32" s="243"/>
      <c r="BM32" s="243"/>
      <c r="BN32" s="243"/>
      <c r="BO32" s="243"/>
      <c r="BP32" s="243"/>
      <c r="BQ32" s="243"/>
      <c r="BR32" s="243"/>
      <c r="BS32" s="243"/>
    </row>
    <row r="33" spans="1:71" s="169" customFormat="1" ht="41.25" customHeight="1">
      <c r="A33" s="178" t="s">
        <v>34</v>
      </c>
      <c r="B33" s="178" t="str">
        <f ca="1">+UPPER(Tabla1321124[[#This Row],[DESCRIPCIÓN DE LA COMPRA O CONTRATACIÓN]])</f>
        <v>GRASAS LUBRICANTE CAT</v>
      </c>
      <c r="C33" s="39" t="s">
        <v>35</v>
      </c>
      <c r="D33" s="362">
        <v>1</v>
      </c>
      <c r="E33" s="362"/>
      <c r="F33" s="362"/>
      <c r="G33" s="362"/>
      <c r="H33" s="249">
        <f>SUM(Tabla1321124[[#This Row],[PRIMER TRIMESTRE]:[CUARTO TRIMESTRE]])</f>
        <v>1</v>
      </c>
      <c r="I33" s="17">
        <v>2200</v>
      </c>
      <c r="J33" s="72">
        <f>+Tabla1321124[[#This Row],[CANTIDAD TOTAL]]*Tabla1321124[[#This Row],[PRECIO UNITARIO ESTIMADO]]</f>
        <v>2200</v>
      </c>
      <c r="K33" s="175"/>
      <c r="L33" s="16" t="s">
        <v>27</v>
      </c>
      <c r="M33" s="73" t="s">
        <v>22</v>
      </c>
      <c r="N33" s="70" t="s">
        <v>418</v>
      </c>
      <c r="O33" s="243"/>
      <c r="P33" s="243"/>
      <c r="Q33" s="243"/>
      <c r="R33" s="243"/>
      <c r="S33" s="243"/>
      <c r="T33" s="243"/>
      <c r="U33" s="243"/>
      <c r="V33" s="243"/>
      <c r="W33" s="243"/>
      <c r="X33" s="243"/>
      <c r="Y33" s="243"/>
      <c r="Z33" s="243"/>
      <c r="AA33" s="243"/>
      <c r="AB33" s="243"/>
      <c r="AC33" s="243"/>
      <c r="AD33" s="243"/>
      <c r="AE33" s="243"/>
      <c r="AF33" s="243"/>
      <c r="AG33" s="243"/>
      <c r="AH33" s="243"/>
      <c r="AI33" s="243"/>
      <c r="AJ33" s="243"/>
      <c r="AK33" s="243"/>
      <c r="AL33" s="243"/>
      <c r="AM33" s="243"/>
      <c r="AN33" s="243"/>
      <c r="AO33" s="243"/>
      <c r="AP33" s="243"/>
      <c r="AQ33" s="243"/>
      <c r="AR33" s="243"/>
      <c r="AS33" s="243"/>
      <c r="AT33" s="243"/>
      <c r="AU33" s="243"/>
      <c r="AV33" s="243"/>
      <c r="AW33" s="243"/>
      <c r="AX33" s="243"/>
      <c r="AY33" s="243"/>
      <c r="AZ33" s="243"/>
      <c r="BA33" s="243"/>
      <c r="BB33" s="243"/>
      <c r="BC33" s="243"/>
      <c r="BD33" s="243"/>
      <c r="BE33" s="243"/>
      <c r="BF33" s="243"/>
      <c r="BG33" s="243"/>
      <c r="BH33" s="243"/>
      <c r="BI33" s="243"/>
      <c r="BJ33" s="243"/>
      <c r="BK33" s="243"/>
      <c r="BL33" s="243"/>
      <c r="BM33" s="243"/>
      <c r="BN33" s="243"/>
      <c r="BO33" s="243"/>
      <c r="BP33" s="243"/>
      <c r="BQ33" s="243"/>
      <c r="BR33" s="243"/>
      <c r="BS33" s="243"/>
    </row>
    <row r="34" spans="1:71" s="26" customFormat="1" ht="41.25" customHeight="1">
      <c r="A34" s="178" t="s">
        <v>34</v>
      </c>
      <c r="B34" s="178" t="str">
        <f ca="1">+UPPER(Tabla1321124[[#This Row],[DESCRIPCIÓN DE LA COMPRA O CONTRATACIÓN]])</f>
        <v>LIQUIDO DE FRENOS (CAJA DE 12UDS)</v>
      </c>
      <c r="C34" s="39" t="s">
        <v>718</v>
      </c>
      <c r="D34" s="210">
        <f>41+1+12</f>
        <v>54</v>
      </c>
      <c r="E34" s="210">
        <v>11</v>
      </c>
      <c r="F34" s="210">
        <f>40+12</f>
        <v>52</v>
      </c>
      <c r="G34" s="210">
        <v>11</v>
      </c>
      <c r="H34" s="249">
        <f>SUM(Tabla1321124[[#This Row],[PRIMER TRIMESTRE]:[CUARTO TRIMESTRE]])</f>
        <v>128</v>
      </c>
      <c r="I34" s="17">
        <v>800</v>
      </c>
      <c r="J34" s="72">
        <f>+Tabla1321124[[#This Row],[CANTIDAD TOTAL]]*Tabla1321124[[#This Row],[PRECIO UNITARIO ESTIMADO]]</f>
        <v>102400</v>
      </c>
      <c r="K34" s="390">
        <f>SUM(J19:J34)</f>
        <v>5219669.8810000001</v>
      </c>
      <c r="L34" s="16" t="s">
        <v>27</v>
      </c>
      <c r="M34" s="73" t="s">
        <v>22</v>
      </c>
      <c r="N34" s="70" t="s">
        <v>418</v>
      </c>
      <c r="O34" s="243"/>
      <c r="P34" s="243"/>
      <c r="Q34" s="243"/>
      <c r="R34" s="243"/>
      <c r="S34" s="243"/>
      <c r="T34" s="243"/>
      <c r="U34" s="243"/>
      <c r="V34" s="243"/>
      <c r="W34" s="243"/>
      <c r="X34" s="243"/>
      <c r="Y34" s="243"/>
      <c r="Z34" s="243"/>
      <c r="AA34" s="243"/>
      <c r="AB34" s="243"/>
      <c r="AC34" s="243"/>
      <c r="AD34" s="243"/>
      <c r="AE34" s="243"/>
      <c r="AF34" s="243"/>
      <c r="AG34" s="243"/>
      <c r="AH34" s="243"/>
      <c r="AI34" s="243"/>
      <c r="AJ34" s="243"/>
      <c r="AK34" s="243"/>
      <c r="AL34" s="243"/>
      <c r="AM34" s="243"/>
      <c r="AN34" s="243"/>
      <c r="AO34" s="243"/>
      <c r="AP34" s="243"/>
      <c r="AQ34" s="243"/>
      <c r="AR34" s="243"/>
      <c r="AS34" s="243"/>
      <c r="AT34" s="243"/>
      <c r="AU34" s="243"/>
      <c r="AV34" s="243"/>
      <c r="AW34" s="243"/>
      <c r="AX34" s="243"/>
      <c r="AY34" s="243"/>
      <c r="AZ34" s="243"/>
      <c r="BA34" s="243"/>
      <c r="BB34" s="243"/>
      <c r="BC34" s="243"/>
      <c r="BD34" s="243"/>
      <c r="BE34" s="243"/>
      <c r="BF34" s="243"/>
      <c r="BG34" s="243"/>
      <c r="BH34" s="243"/>
      <c r="BI34" s="243"/>
      <c r="BJ34" s="243"/>
      <c r="BK34" s="243"/>
      <c r="BL34" s="243"/>
      <c r="BM34" s="243"/>
      <c r="BN34" s="243"/>
      <c r="BO34" s="243"/>
      <c r="BP34" s="243"/>
      <c r="BQ34" s="243"/>
      <c r="BR34" s="243"/>
      <c r="BS34" s="243"/>
    </row>
    <row r="35" spans="1:71" s="12" customFormat="1" ht="41.25" customHeight="1">
      <c r="A35" s="538" t="s">
        <v>34</v>
      </c>
      <c r="B35" s="380" t="str">
        <f ca="1">+UPPER(Tabla1321124[[#This Row],[DESCRIPCIÓN DE LA COMPRA O CONTRATACIÓN]])</f>
        <v>LUBRICANTES</v>
      </c>
      <c r="C35" s="237"/>
      <c r="D35" s="237"/>
      <c r="E35" s="237"/>
      <c r="F35" s="237"/>
      <c r="G35" s="237"/>
      <c r="H35" s="238"/>
      <c r="I35" s="238"/>
      <c r="J35" s="24"/>
      <c r="K35" s="25">
        <f>SUM(J19:J34)</f>
        <v>5219669.8810000001</v>
      </c>
      <c r="L35" s="23"/>
      <c r="M35" s="23"/>
      <c r="N35" s="42"/>
      <c r="O35" s="243"/>
      <c r="P35" s="243"/>
      <c r="Q35" s="243"/>
      <c r="R35" s="243"/>
      <c r="S35" s="243"/>
      <c r="T35" s="243"/>
      <c r="U35" s="243"/>
      <c r="V35" s="243"/>
      <c r="W35" s="243"/>
      <c r="X35" s="243"/>
      <c r="Y35" s="243"/>
      <c r="Z35" s="243"/>
      <c r="AA35" s="243"/>
      <c r="AB35" s="243"/>
      <c r="AC35" s="243"/>
      <c r="AD35" s="243"/>
      <c r="AE35" s="243"/>
      <c r="AF35" s="243"/>
      <c r="AG35" s="243"/>
      <c r="AH35" s="243"/>
      <c r="AI35" s="243"/>
      <c r="AJ35" s="243"/>
      <c r="AK35" s="243"/>
      <c r="AL35" s="243"/>
      <c r="AM35" s="243"/>
      <c r="AN35" s="243"/>
      <c r="AO35" s="243"/>
      <c r="AP35" s="243"/>
      <c r="AQ35" s="243"/>
      <c r="AR35" s="243"/>
      <c r="AS35" s="243"/>
      <c r="AT35" s="243"/>
      <c r="AU35" s="243"/>
      <c r="AV35" s="243"/>
      <c r="AW35" s="243"/>
      <c r="AX35" s="243"/>
      <c r="AY35" s="243"/>
      <c r="AZ35" s="243"/>
      <c r="BA35" s="243"/>
      <c r="BB35" s="243"/>
      <c r="BC35" s="243"/>
      <c r="BD35" s="243"/>
      <c r="BE35" s="243"/>
      <c r="BF35" s="243"/>
      <c r="BG35" s="243"/>
      <c r="BH35" s="243"/>
      <c r="BI35" s="243"/>
      <c r="BJ35" s="243"/>
      <c r="BK35" s="243"/>
      <c r="BL35" s="243"/>
      <c r="BM35" s="243"/>
      <c r="BN35" s="243"/>
      <c r="BO35" s="243"/>
      <c r="BP35" s="243"/>
      <c r="BQ35" s="243"/>
      <c r="BR35" s="243"/>
      <c r="BS35" s="243"/>
    </row>
    <row r="36" spans="1:71" s="12" customFormat="1" ht="41.25" customHeight="1">
      <c r="A36" s="180" t="s">
        <v>1288</v>
      </c>
      <c r="B36" s="77" t="s">
        <v>1290</v>
      </c>
      <c r="C36" s="39" t="s">
        <v>33</v>
      </c>
      <c r="D36" s="210">
        <v>86800</v>
      </c>
      <c r="E36" s="210">
        <v>80150</v>
      </c>
      <c r="F36" s="210">
        <v>81200</v>
      </c>
      <c r="G36" s="210">
        <v>83200</v>
      </c>
      <c r="H36" s="249">
        <f>SUM(Tabla1321124[[#This Row],[PRIMER TRIMESTRE]:[CUARTO TRIMESTRE]])</f>
        <v>331350</v>
      </c>
      <c r="I36" s="17">
        <v>144.9</v>
      </c>
      <c r="J36" s="72">
        <f>+H36*I36</f>
        <v>48012615</v>
      </c>
      <c r="K36" s="72"/>
      <c r="L36" s="16" t="s">
        <v>18</v>
      </c>
      <c r="M36" s="73" t="s">
        <v>19</v>
      </c>
      <c r="N36" s="70"/>
      <c r="O36" s="243"/>
      <c r="P36" s="243"/>
      <c r="Q36" s="243"/>
      <c r="R36" s="243"/>
      <c r="S36" s="243"/>
      <c r="T36" s="243"/>
      <c r="U36" s="243"/>
      <c r="V36" s="243"/>
      <c r="W36" s="243"/>
      <c r="X36" s="243"/>
      <c r="Y36" s="243"/>
      <c r="Z36" s="243"/>
      <c r="AA36" s="243"/>
      <c r="AB36" s="243"/>
      <c r="AC36" s="243"/>
      <c r="AD36" s="243"/>
      <c r="AE36" s="243"/>
      <c r="AF36" s="243"/>
      <c r="AG36" s="243"/>
      <c r="AH36" s="243"/>
      <c r="AI36" s="243"/>
      <c r="AJ36" s="243"/>
      <c r="AK36" s="243"/>
      <c r="AL36" s="243"/>
      <c r="AM36" s="243"/>
      <c r="AN36" s="243"/>
      <c r="AO36" s="243"/>
      <c r="AP36" s="243"/>
      <c r="AQ36" s="243"/>
      <c r="AR36" s="243"/>
      <c r="AS36" s="243"/>
      <c r="AT36" s="243"/>
      <c r="AU36" s="243"/>
      <c r="AV36" s="243"/>
      <c r="AW36" s="243"/>
      <c r="AX36" s="243"/>
      <c r="AY36" s="243"/>
      <c r="AZ36" s="243"/>
      <c r="BA36" s="243"/>
      <c r="BB36" s="243"/>
      <c r="BC36" s="243"/>
      <c r="BD36" s="243"/>
      <c r="BE36" s="243"/>
      <c r="BF36" s="243"/>
      <c r="BG36" s="243"/>
      <c r="BH36" s="243"/>
      <c r="BI36" s="243"/>
      <c r="BJ36" s="243"/>
      <c r="BK36" s="243"/>
      <c r="BL36" s="243"/>
      <c r="BM36" s="243"/>
      <c r="BN36" s="243"/>
      <c r="BO36" s="243"/>
      <c r="BP36" s="243"/>
      <c r="BQ36" s="243"/>
      <c r="BR36" s="243"/>
      <c r="BS36" s="243"/>
    </row>
    <row r="37" spans="1:71" s="12" customFormat="1" ht="41.25" customHeight="1">
      <c r="A37" s="180" t="s">
        <v>1288</v>
      </c>
      <c r="B37" s="77" t="s">
        <v>2658</v>
      </c>
      <c r="C37" s="39" t="s">
        <v>33</v>
      </c>
      <c r="D37" s="210">
        <v>11360</v>
      </c>
      <c r="E37" s="210">
        <v>11860</v>
      </c>
      <c r="F37" s="210">
        <v>12360</v>
      </c>
      <c r="G37" s="210">
        <v>12360</v>
      </c>
      <c r="H37" s="249">
        <f>SUM(Tabla1321124[[#This Row],[PRIMER TRIMESTRE]:[CUARTO TRIMESTRE]])</f>
        <v>47940</v>
      </c>
      <c r="I37" s="17">
        <v>144.9</v>
      </c>
      <c r="J37" s="72">
        <f>+H37*I37</f>
        <v>6946506</v>
      </c>
      <c r="K37" s="389">
        <f>SUM(J36:J37)</f>
        <v>54959121</v>
      </c>
      <c r="L37" s="16" t="s">
        <v>18</v>
      </c>
      <c r="M37" s="73" t="s">
        <v>19</v>
      </c>
      <c r="N37" s="70"/>
      <c r="O37" s="243"/>
      <c r="P37" s="243"/>
      <c r="Q37" s="243"/>
      <c r="R37" s="243"/>
      <c r="S37" s="243"/>
      <c r="T37" s="243"/>
      <c r="U37" s="243"/>
      <c r="V37" s="243"/>
      <c r="W37" s="243"/>
      <c r="X37" s="243"/>
      <c r="Y37" s="243"/>
      <c r="Z37" s="243"/>
      <c r="AA37" s="243"/>
      <c r="AB37" s="243"/>
      <c r="AC37" s="243"/>
      <c r="AD37" s="243"/>
      <c r="AE37" s="243"/>
      <c r="AF37" s="243"/>
      <c r="AG37" s="243"/>
      <c r="AH37" s="243"/>
      <c r="AI37" s="243"/>
      <c r="AJ37" s="243"/>
      <c r="AK37" s="243"/>
      <c r="AL37" s="243"/>
      <c r="AM37" s="243"/>
      <c r="AN37" s="243"/>
      <c r="AO37" s="243"/>
      <c r="AP37" s="243"/>
      <c r="AQ37" s="243"/>
      <c r="AR37" s="243"/>
      <c r="AS37" s="243"/>
      <c r="AT37" s="243"/>
      <c r="AU37" s="243"/>
      <c r="AV37" s="243"/>
      <c r="AW37" s="243"/>
      <c r="AX37" s="243"/>
      <c r="AY37" s="243"/>
      <c r="AZ37" s="243"/>
      <c r="BA37" s="243"/>
      <c r="BB37" s="243"/>
      <c r="BC37" s="243"/>
      <c r="BD37" s="243"/>
      <c r="BE37" s="243"/>
      <c r="BF37" s="243"/>
      <c r="BG37" s="243"/>
      <c r="BH37" s="243"/>
      <c r="BI37" s="243"/>
      <c r="BJ37" s="243"/>
      <c r="BK37" s="243"/>
      <c r="BL37" s="243"/>
      <c r="BM37" s="243"/>
      <c r="BN37" s="243"/>
      <c r="BO37" s="243"/>
      <c r="BP37" s="243"/>
      <c r="BQ37" s="243"/>
      <c r="BR37" s="243"/>
      <c r="BS37" s="243"/>
    </row>
    <row r="38" spans="1:71" s="12" customFormat="1" ht="41.25" customHeight="1">
      <c r="A38" s="537" t="s">
        <v>1288</v>
      </c>
      <c r="B38" s="76" t="s">
        <v>1819</v>
      </c>
      <c r="C38" s="42"/>
      <c r="D38" s="237"/>
      <c r="E38" s="237"/>
      <c r="F38" s="237"/>
      <c r="G38" s="237"/>
      <c r="H38" s="43"/>
      <c r="I38" s="43"/>
      <c r="J38" s="24"/>
      <c r="K38" s="25">
        <f>SUM(J36:J37)</f>
        <v>54959121</v>
      </c>
      <c r="L38" s="23"/>
      <c r="M38" s="23"/>
      <c r="N38" s="42"/>
      <c r="O38" s="243"/>
      <c r="P38" s="243"/>
      <c r="Q38" s="243"/>
      <c r="R38" s="243"/>
      <c r="S38" s="243"/>
      <c r="T38" s="243"/>
      <c r="U38" s="243"/>
      <c r="V38" s="243"/>
      <c r="W38" s="243"/>
      <c r="X38" s="243"/>
      <c r="Y38" s="243"/>
      <c r="Z38" s="243"/>
      <c r="AA38" s="243"/>
      <c r="AB38" s="243"/>
      <c r="AC38" s="243"/>
      <c r="AD38" s="243"/>
      <c r="AE38" s="243"/>
      <c r="AF38" s="243"/>
      <c r="AG38" s="243"/>
      <c r="AH38" s="243"/>
      <c r="AI38" s="243"/>
      <c r="AJ38" s="243"/>
      <c r="AK38" s="243"/>
      <c r="AL38" s="243"/>
      <c r="AM38" s="243"/>
      <c r="AN38" s="243"/>
      <c r="AO38" s="243"/>
      <c r="AP38" s="243"/>
      <c r="AQ38" s="243"/>
      <c r="AR38" s="243"/>
      <c r="AS38" s="243"/>
      <c r="AT38" s="243"/>
      <c r="AU38" s="243"/>
      <c r="AV38" s="243"/>
      <c r="AW38" s="243"/>
      <c r="AX38" s="243"/>
      <c r="AY38" s="243"/>
      <c r="AZ38" s="243"/>
      <c r="BA38" s="243"/>
      <c r="BB38" s="243"/>
      <c r="BC38" s="243"/>
      <c r="BD38" s="243"/>
      <c r="BE38" s="243"/>
      <c r="BF38" s="243"/>
      <c r="BG38" s="243"/>
      <c r="BH38" s="243"/>
      <c r="BI38" s="243"/>
      <c r="BJ38" s="243"/>
      <c r="BK38" s="243"/>
      <c r="BL38" s="243"/>
      <c r="BM38" s="243"/>
      <c r="BN38" s="243"/>
      <c r="BO38" s="243"/>
      <c r="BP38" s="243"/>
      <c r="BQ38" s="243"/>
      <c r="BR38" s="243"/>
      <c r="BS38" s="243"/>
    </row>
    <row r="39" spans="1:71" s="12" customFormat="1" ht="41.25" customHeight="1">
      <c r="A39" s="178" t="s">
        <v>41</v>
      </c>
      <c r="B39" s="364" t="str">
        <f ca="1">+UPPER(Tabla1321124[[#This Row],[DESCRIPCIÓN DE LA COMPRA O CONTRATACIÓN]])</f>
        <v>PIONJAR 120 ATLAS COPCO (COMBINED ROCK DRILL/BREAKER)</v>
      </c>
      <c r="C39" s="39" t="s">
        <v>416</v>
      </c>
      <c r="D39" s="210">
        <v>4</v>
      </c>
      <c r="E39" s="210"/>
      <c r="F39" s="210"/>
      <c r="G39" s="210"/>
      <c r="H39" s="540">
        <f>+Tabla1321124[[#This Row],[PRIMER TRIMESTRE]]+Tabla1321124[[#This Row],[SEGUNDO TRIMESTRE]]+Tabla1321124[[#This Row],[TERCER TRIMESTRE]]+Tabla1321124[[#This Row],[CUARTO TRIMESTRE]]</f>
        <v>4</v>
      </c>
      <c r="I39" s="17">
        <v>15000</v>
      </c>
      <c r="J39" s="17">
        <f>+Tabla1321124[[#This Row],[CANTIDAD TOTAL]]*Tabla1321124[[#This Row],[PRECIO UNITARIO ESTIMADO]]</f>
        <v>60000</v>
      </c>
      <c r="K39" s="175"/>
      <c r="L39" s="16" t="s">
        <v>15</v>
      </c>
      <c r="M39" s="16" t="s">
        <v>22</v>
      </c>
      <c r="N39" s="39" t="s">
        <v>418</v>
      </c>
      <c r="O39" s="243"/>
      <c r="P39" s="243"/>
      <c r="Q39" s="243"/>
      <c r="R39" s="243"/>
      <c r="S39" s="243"/>
      <c r="T39" s="243"/>
      <c r="U39" s="243"/>
      <c r="V39" s="243"/>
      <c r="W39" s="243"/>
      <c r="X39" s="243"/>
      <c r="Y39" s="243"/>
      <c r="Z39" s="243"/>
      <c r="AA39" s="243"/>
      <c r="AB39" s="243"/>
      <c r="AC39" s="243"/>
      <c r="AD39" s="243"/>
      <c r="AE39" s="243"/>
      <c r="AF39" s="243"/>
      <c r="AG39" s="243"/>
      <c r="AH39" s="243"/>
      <c r="AI39" s="243"/>
      <c r="AJ39" s="243"/>
      <c r="AK39" s="243"/>
      <c r="AL39" s="243"/>
      <c r="AM39" s="243"/>
      <c r="AN39" s="243"/>
      <c r="AO39" s="243"/>
      <c r="AP39" s="243"/>
      <c r="AQ39" s="243"/>
      <c r="AR39" s="243"/>
      <c r="AS39" s="243"/>
      <c r="AT39" s="243"/>
      <c r="AU39" s="243"/>
      <c r="AV39" s="243"/>
      <c r="AW39" s="243"/>
      <c r="AX39" s="243"/>
      <c r="AY39" s="243"/>
      <c r="AZ39" s="243"/>
      <c r="BA39" s="243"/>
      <c r="BB39" s="243"/>
      <c r="BC39" s="243"/>
      <c r="BD39" s="243"/>
      <c r="BE39" s="243"/>
      <c r="BF39" s="243"/>
      <c r="BG39" s="243"/>
      <c r="BH39" s="243"/>
      <c r="BI39" s="243"/>
      <c r="BJ39" s="243"/>
      <c r="BK39" s="243"/>
      <c r="BL39" s="243"/>
      <c r="BM39" s="243"/>
      <c r="BN39" s="243"/>
      <c r="BO39" s="243"/>
      <c r="BP39" s="243"/>
      <c r="BQ39" s="243"/>
      <c r="BR39" s="243"/>
      <c r="BS39" s="243"/>
    </row>
    <row r="40" spans="1:71" s="12" customFormat="1" ht="41.25" customHeight="1">
      <c r="A40" s="178" t="s">
        <v>41</v>
      </c>
      <c r="B40" s="364" t="str">
        <f ca="1">+UPPER(Tabla1321124[[#This Row],[DESCRIPCIÓN DE LA COMPRA O CONTRATACIÓN]])</f>
        <v>COMPACTADOR DE IMPACTOS (MAQUITO)</v>
      </c>
      <c r="C40" s="39" t="s">
        <v>416</v>
      </c>
      <c r="D40" s="541">
        <v>3</v>
      </c>
      <c r="E40" s="210"/>
      <c r="F40" s="210"/>
      <c r="G40" s="210"/>
      <c r="H40" s="540">
        <f>+Tabla1321124[[#This Row],[PRIMER TRIMESTRE]]+Tabla1321124[[#This Row],[SEGUNDO TRIMESTRE]]+Tabla1321124[[#This Row],[TERCER TRIMESTRE]]+Tabla1321124[[#This Row],[CUARTO TRIMESTRE]]</f>
        <v>3</v>
      </c>
      <c r="I40" s="17">
        <v>25000</v>
      </c>
      <c r="J40" s="17">
        <f>+Tabla1321124[[#This Row],[CANTIDAD TOTAL]]*Tabla1321124[[#This Row],[PRECIO UNITARIO ESTIMADO]]</f>
        <v>75000</v>
      </c>
      <c r="K40" s="175"/>
      <c r="L40" s="16" t="s">
        <v>15</v>
      </c>
      <c r="M40" s="16" t="s">
        <v>22</v>
      </c>
      <c r="N40" s="39" t="s">
        <v>418</v>
      </c>
      <c r="O40" s="243"/>
      <c r="P40" s="243"/>
      <c r="Q40" s="243"/>
      <c r="R40" s="243"/>
      <c r="S40" s="243"/>
      <c r="T40" s="243"/>
      <c r="U40" s="243"/>
      <c r="V40" s="243"/>
      <c r="W40" s="243"/>
      <c r="X40" s="243"/>
      <c r="Y40" s="243"/>
      <c r="Z40" s="243"/>
      <c r="AA40" s="243"/>
      <c r="AB40" s="243"/>
      <c r="AC40" s="243"/>
      <c r="AD40" s="243"/>
      <c r="AE40" s="243"/>
      <c r="AF40" s="243"/>
      <c r="AG40" s="243"/>
      <c r="AH40" s="243"/>
      <c r="AI40" s="243"/>
      <c r="AJ40" s="243"/>
      <c r="AK40" s="243"/>
      <c r="AL40" s="243"/>
      <c r="AM40" s="243"/>
      <c r="AN40" s="243"/>
      <c r="AO40" s="243"/>
      <c r="AP40" s="243"/>
      <c r="AQ40" s="243"/>
      <c r="AR40" s="243"/>
      <c r="AS40" s="243"/>
      <c r="AT40" s="243"/>
      <c r="AU40" s="243"/>
      <c r="AV40" s="243"/>
      <c r="AW40" s="243"/>
      <c r="AX40" s="243"/>
      <c r="AY40" s="243"/>
      <c r="AZ40" s="243"/>
      <c r="BA40" s="243"/>
      <c r="BB40" s="243"/>
      <c r="BC40" s="243"/>
      <c r="BD40" s="243"/>
      <c r="BE40" s="243"/>
      <c r="BF40" s="243"/>
      <c r="BG40" s="243"/>
      <c r="BH40" s="243"/>
      <c r="BI40" s="243"/>
      <c r="BJ40" s="243"/>
      <c r="BK40" s="243"/>
      <c r="BL40" s="243"/>
      <c r="BM40" s="243"/>
      <c r="BN40" s="243"/>
      <c r="BO40" s="243"/>
      <c r="BP40" s="243"/>
      <c r="BQ40" s="243"/>
      <c r="BR40" s="243"/>
      <c r="BS40" s="243"/>
    </row>
    <row r="41" spans="1:71" s="26" customFormat="1" ht="41.25" customHeight="1">
      <c r="A41" s="178" t="s">
        <v>41</v>
      </c>
      <c r="B41" s="364" t="str">
        <f ca="1">+UPPER(Tabla1321124[[#This Row],[DESCRIPCIÓN DE LA COMPRA O CONTRATACIÓN]])</f>
        <v>LUMINARIAS HALOGENAS DOBLES CON CARRO TRANSPORTADOR 2000 W</v>
      </c>
      <c r="C41" s="39" t="s">
        <v>416</v>
      </c>
      <c r="D41" s="541">
        <v>1</v>
      </c>
      <c r="E41" s="210"/>
      <c r="F41" s="210"/>
      <c r="G41" s="210"/>
      <c r="H41" s="540">
        <f>+Tabla1321124[[#This Row],[PRIMER TRIMESTRE]]+Tabla1321124[[#This Row],[SEGUNDO TRIMESTRE]]+Tabla1321124[[#This Row],[TERCER TRIMESTRE]]+Tabla1321124[[#This Row],[CUARTO TRIMESTRE]]</f>
        <v>1</v>
      </c>
      <c r="I41" s="17">
        <v>13000</v>
      </c>
      <c r="J41" s="17">
        <f>+Tabla1321124[[#This Row],[CANTIDAD TOTAL]]*Tabla1321124[[#This Row],[PRECIO UNITARIO ESTIMADO]]</f>
        <v>13000</v>
      </c>
      <c r="K41" s="175"/>
      <c r="L41" s="16" t="s">
        <v>15</v>
      </c>
      <c r="M41" s="16" t="s">
        <v>22</v>
      </c>
      <c r="N41" s="39" t="s">
        <v>418</v>
      </c>
      <c r="O41" s="243"/>
      <c r="P41" s="243"/>
      <c r="Q41" s="243"/>
      <c r="R41" s="243"/>
      <c r="S41" s="243"/>
      <c r="T41" s="243"/>
      <c r="U41" s="243"/>
      <c r="V41" s="243"/>
      <c r="W41" s="243"/>
      <c r="X41" s="243"/>
      <c r="Y41" s="243"/>
      <c r="Z41" s="243"/>
      <c r="AA41" s="243"/>
      <c r="AB41" s="243"/>
      <c r="AC41" s="243"/>
      <c r="AD41" s="243"/>
      <c r="AE41" s="243"/>
      <c r="AF41" s="243"/>
      <c r="AG41" s="243"/>
      <c r="AH41" s="243"/>
      <c r="AI41" s="243"/>
      <c r="AJ41" s="243"/>
      <c r="AK41" s="243"/>
      <c r="AL41" s="243"/>
      <c r="AM41" s="243"/>
      <c r="AN41" s="243"/>
      <c r="AO41" s="243"/>
      <c r="AP41" s="243"/>
      <c r="AQ41" s="243"/>
      <c r="AR41" s="243"/>
      <c r="AS41" s="243"/>
      <c r="AT41" s="243"/>
      <c r="AU41" s="243"/>
      <c r="AV41" s="243"/>
      <c r="AW41" s="243"/>
      <c r="AX41" s="243"/>
      <c r="AY41" s="243"/>
      <c r="AZ41" s="243"/>
      <c r="BA41" s="243"/>
      <c r="BB41" s="243"/>
      <c r="BC41" s="243"/>
      <c r="BD41" s="243"/>
      <c r="BE41" s="243"/>
      <c r="BF41" s="243"/>
      <c r="BG41" s="243"/>
      <c r="BH41" s="243"/>
      <c r="BI41" s="243"/>
      <c r="BJ41" s="243"/>
      <c r="BK41" s="243"/>
      <c r="BL41" s="243"/>
      <c r="BM41" s="243"/>
      <c r="BN41" s="243"/>
      <c r="BO41" s="243"/>
      <c r="BP41" s="243"/>
      <c r="BQ41" s="243"/>
      <c r="BR41" s="243"/>
      <c r="BS41" s="243"/>
    </row>
    <row r="42" spans="1:71" s="55" customFormat="1" ht="41.25" customHeight="1">
      <c r="A42" s="178" t="s">
        <v>41</v>
      </c>
      <c r="B42" s="364" t="str">
        <f ca="1">+UPPER(Tabla1321124[[#This Row],[DESCRIPCIÓN DE LA COMPRA O CONTRATACIÓN]])</f>
        <v>LUMINARIAS HALOGENAS DOBLES CON PEDESTAL 500 W</v>
      </c>
      <c r="C42" s="39" t="s">
        <v>416</v>
      </c>
      <c r="D42" s="541">
        <v>3</v>
      </c>
      <c r="E42" s="210"/>
      <c r="F42" s="210"/>
      <c r="G42" s="210"/>
      <c r="H42" s="540">
        <f>+Tabla1321124[[#This Row],[PRIMER TRIMESTRE]]+Tabla1321124[[#This Row],[SEGUNDO TRIMESTRE]]+Tabla1321124[[#This Row],[TERCER TRIMESTRE]]+Tabla1321124[[#This Row],[CUARTO TRIMESTRE]]</f>
        <v>3</v>
      </c>
      <c r="I42" s="17">
        <v>11500</v>
      </c>
      <c r="J42" s="17">
        <f>+Tabla1321124[[#This Row],[CANTIDAD TOTAL]]*Tabla1321124[[#This Row],[PRECIO UNITARIO ESTIMADO]]</f>
        <v>34500</v>
      </c>
      <c r="K42" s="175"/>
      <c r="L42" s="16" t="s">
        <v>15</v>
      </c>
      <c r="M42" s="16" t="s">
        <v>22</v>
      </c>
      <c r="N42" s="39" t="s">
        <v>418</v>
      </c>
      <c r="O42" s="395"/>
      <c r="P42" s="395"/>
      <c r="Q42" s="395"/>
      <c r="R42" s="395"/>
      <c r="S42" s="395"/>
      <c r="T42" s="395"/>
      <c r="U42" s="395"/>
      <c r="V42" s="395"/>
      <c r="W42" s="395"/>
      <c r="X42" s="395"/>
      <c r="Y42" s="395"/>
      <c r="Z42" s="395"/>
      <c r="AA42" s="395"/>
      <c r="AB42" s="395"/>
      <c r="AC42" s="395"/>
      <c r="AD42" s="395"/>
      <c r="AE42" s="395"/>
      <c r="AF42" s="395"/>
      <c r="AG42" s="395"/>
      <c r="AH42" s="395"/>
      <c r="AI42" s="395"/>
      <c r="AJ42" s="395"/>
      <c r="AK42" s="395"/>
      <c r="AL42" s="395"/>
      <c r="AM42" s="395"/>
      <c r="AN42" s="395"/>
      <c r="AO42" s="395"/>
      <c r="AP42" s="395"/>
      <c r="AQ42" s="395"/>
      <c r="AR42" s="395"/>
      <c r="AS42" s="395"/>
      <c r="AT42" s="395"/>
      <c r="AU42" s="395"/>
      <c r="AV42" s="395"/>
      <c r="AW42" s="395"/>
      <c r="AX42" s="395"/>
      <c r="AY42" s="395"/>
      <c r="AZ42" s="395"/>
      <c r="BA42" s="395"/>
      <c r="BB42" s="395"/>
      <c r="BC42" s="395"/>
      <c r="BD42" s="395"/>
      <c r="BE42" s="395"/>
      <c r="BF42" s="395"/>
      <c r="BG42" s="395"/>
      <c r="BH42" s="395"/>
      <c r="BI42" s="395"/>
      <c r="BJ42" s="395"/>
      <c r="BK42" s="395"/>
      <c r="BL42" s="395"/>
      <c r="BM42" s="395"/>
      <c r="BN42" s="395"/>
      <c r="BO42" s="395"/>
      <c r="BP42" s="395"/>
      <c r="BQ42" s="395"/>
      <c r="BR42" s="395"/>
      <c r="BS42" s="395"/>
    </row>
    <row r="43" spans="1:71" s="55" customFormat="1" ht="41.25" customHeight="1">
      <c r="A43" s="178" t="s">
        <v>41</v>
      </c>
      <c r="B43" s="77" t="str">
        <f ca="1">+UPPER(Tabla1321124[[#This Row],[DESCRIPCIÓN DE LA COMPRA O CONTRATACIÓN]])</f>
        <v>MOTOCORTADORA MANUAL DE DISCOS C/MOTOR COMBUSTION INTERNA (EK7651H)</v>
      </c>
      <c r="C43" s="39" t="s">
        <v>17</v>
      </c>
      <c r="D43" s="210">
        <v>2</v>
      </c>
      <c r="E43" s="210"/>
      <c r="F43" s="210"/>
      <c r="G43" s="210"/>
      <c r="H43" s="540">
        <f>+Tabla1321124[[#This Row],[PRIMER TRIMESTRE]]+Tabla1321124[[#This Row],[SEGUNDO TRIMESTRE]]+Tabla1321124[[#This Row],[TERCER TRIMESTRE]]+Tabla1321124[[#This Row],[CUARTO TRIMESTRE]]</f>
        <v>2</v>
      </c>
      <c r="I43" s="17">
        <v>18000</v>
      </c>
      <c r="J43" s="17">
        <f>+Tabla1321124[[#This Row],[CANTIDAD TOTAL]]*Tabla1321124[[#This Row],[PRECIO UNITARIO ESTIMADO]]</f>
        <v>36000</v>
      </c>
      <c r="K43" s="175"/>
      <c r="L43" s="16" t="s">
        <v>15</v>
      </c>
      <c r="M43" s="16" t="s">
        <v>22</v>
      </c>
      <c r="N43" s="39" t="s">
        <v>418</v>
      </c>
      <c r="O43" s="395"/>
      <c r="P43" s="395"/>
      <c r="Q43" s="395"/>
      <c r="R43" s="395"/>
      <c r="S43" s="395"/>
      <c r="T43" s="395"/>
      <c r="U43" s="395"/>
      <c r="V43" s="395"/>
      <c r="W43" s="395"/>
      <c r="X43" s="395"/>
      <c r="Y43" s="395"/>
      <c r="Z43" s="395"/>
      <c r="AA43" s="395"/>
      <c r="AB43" s="395"/>
      <c r="AC43" s="395"/>
      <c r="AD43" s="395"/>
      <c r="AE43" s="395"/>
      <c r="AF43" s="395"/>
      <c r="AG43" s="395"/>
      <c r="AH43" s="395"/>
      <c r="AI43" s="395"/>
      <c r="AJ43" s="395"/>
      <c r="AK43" s="395"/>
      <c r="AL43" s="395"/>
      <c r="AM43" s="395"/>
      <c r="AN43" s="395"/>
      <c r="AO43" s="395"/>
      <c r="AP43" s="395"/>
      <c r="AQ43" s="395"/>
      <c r="AR43" s="395"/>
      <c r="AS43" s="395"/>
      <c r="AT43" s="395"/>
      <c r="AU43" s="395"/>
      <c r="AV43" s="395"/>
      <c r="AW43" s="395"/>
      <c r="AX43" s="395"/>
      <c r="AY43" s="395"/>
      <c r="AZ43" s="395"/>
      <c r="BA43" s="395"/>
      <c r="BB43" s="395"/>
      <c r="BC43" s="395"/>
      <c r="BD43" s="395"/>
      <c r="BE43" s="395"/>
      <c r="BF43" s="395"/>
      <c r="BG43" s="395"/>
      <c r="BH43" s="395"/>
      <c r="BI43" s="395"/>
      <c r="BJ43" s="395"/>
      <c r="BK43" s="395"/>
      <c r="BL43" s="395"/>
      <c r="BM43" s="395"/>
      <c r="BN43" s="395"/>
      <c r="BO43" s="395"/>
      <c r="BP43" s="395"/>
      <c r="BQ43" s="395"/>
      <c r="BR43" s="395"/>
      <c r="BS43" s="395"/>
    </row>
    <row r="44" spans="1:71" s="55" customFormat="1" ht="41.25" customHeight="1">
      <c r="A44" s="178" t="s">
        <v>41</v>
      </c>
      <c r="B44" s="77" t="str">
        <f ca="1">+UPPER(Tabla1321124[[#This Row],[DESCRIPCIÓN DE LA COMPRA O CONTRATACIÓN]])</f>
        <v>JUEGO DE LLAVE MECANICA 3/8 HASTA 1/4</v>
      </c>
      <c r="C44" s="39" t="s">
        <v>17</v>
      </c>
      <c r="D44" s="210">
        <f>12+5</f>
        <v>17</v>
      </c>
      <c r="E44" s="210">
        <v>2</v>
      </c>
      <c r="F44" s="210">
        <f>12+2</f>
        <v>14</v>
      </c>
      <c r="G44" s="210">
        <v>2</v>
      </c>
      <c r="H44" s="540">
        <f>+Tabla1321124[[#This Row],[PRIMER TRIMESTRE]]+Tabla1321124[[#This Row],[SEGUNDO TRIMESTRE]]+Tabla1321124[[#This Row],[TERCER TRIMESTRE]]+Tabla1321124[[#This Row],[CUARTO TRIMESTRE]]</f>
        <v>35</v>
      </c>
      <c r="I44" s="17">
        <v>18000</v>
      </c>
      <c r="J44" s="17">
        <f>+Tabla1321124[[#This Row],[CANTIDAD TOTAL]]*Tabla1321124[[#This Row],[PRECIO UNITARIO ESTIMADO]]</f>
        <v>630000</v>
      </c>
      <c r="K44" s="17"/>
      <c r="L44" s="16" t="s">
        <v>15</v>
      </c>
      <c r="M44" s="16" t="s">
        <v>22</v>
      </c>
      <c r="N44" s="39" t="s">
        <v>418</v>
      </c>
      <c r="O44" s="395"/>
      <c r="P44" s="395"/>
      <c r="Q44" s="395"/>
      <c r="R44" s="395"/>
      <c r="S44" s="395"/>
      <c r="T44" s="395"/>
      <c r="U44" s="395"/>
      <c r="V44" s="395"/>
      <c r="W44" s="395"/>
      <c r="X44" s="395"/>
      <c r="Y44" s="395"/>
      <c r="Z44" s="395"/>
      <c r="AA44" s="395"/>
      <c r="AB44" s="395"/>
      <c r="AC44" s="395"/>
      <c r="AD44" s="395"/>
      <c r="AE44" s="395"/>
      <c r="AF44" s="395"/>
      <c r="AG44" s="395"/>
      <c r="AH44" s="395"/>
      <c r="AI44" s="395"/>
      <c r="AJ44" s="395"/>
      <c r="AK44" s="395"/>
      <c r="AL44" s="395"/>
      <c r="AM44" s="395"/>
      <c r="AN44" s="395"/>
      <c r="AO44" s="395"/>
      <c r="AP44" s="395"/>
      <c r="AQ44" s="395"/>
      <c r="AR44" s="395"/>
      <c r="AS44" s="395"/>
      <c r="AT44" s="395"/>
      <c r="AU44" s="395"/>
      <c r="AV44" s="395"/>
      <c r="AW44" s="395"/>
      <c r="AX44" s="395"/>
      <c r="AY44" s="395"/>
      <c r="AZ44" s="395"/>
      <c r="BA44" s="395"/>
      <c r="BB44" s="395"/>
      <c r="BC44" s="395"/>
      <c r="BD44" s="395"/>
      <c r="BE44" s="395"/>
      <c r="BF44" s="395"/>
      <c r="BG44" s="395"/>
      <c r="BH44" s="395"/>
      <c r="BI44" s="395"/>
      <c r="BJ44" s="395"/>
      <c r="BK44" s="395"/>
      <c r="BL44" s="395"/>
      <c r="BM44" s="395"/>
      <c r="BN44" s="395"/>
      <c r="BO44" s="395"/>
      <c r="BP44" s="395"/>
      <c r="BQ44" s="395"/>
      <c r="BR44" s="395"/>
      <c r="BS44" s="395"/>
    </row>
    <row r="45" spans="1:71" s="55" customFormat="1" ht="41.25" customHeight="1">
      <c r="A45" s="178" t="s">
        <v>41</v>
      </c>
      <c r="B45" s="77" t="str">
        <f ca="1">+UPPER(Tabla1321124[[#This Row],[DESCRIPCIÓN DE LA COMPRA O CONTRATACIÓN]])</f>
        <v>KIT DE JUNTA INFERIOR Y SUPERIOR</v>
      </c>
      <c r="C45" s="39" t="s">
        <v>17</v>
      </c>
      <c r="D45" s="210">
        <f>12+2</f>
        <v>14</v>
      </c>
      <c r="E45" s="210">
        <v>2</v>
      </c>
      <c r="F45" s="210">
        <f>12+2</f>
        <v>14</v>
      </c>
      <c r="G45" s="210">
        <v>2</v>
      </c>
      <c r="H45" s="540">
        <f>+Tabla1321124[[#This Row],[PRIMER TRIMESTRE]]+Tabla1321124[[#This Row],[SEGUNDO TRIMESTRE]]+Tabla1321124[[#This Row],[TERCER TRIMESTRE]]+Tabla1321124[[#This Row],[CUARTO TRIMESTRE]]</f>
        <v>32</v>
      </c>
      <c r="I45" s="17">
        <v>16000</v>
      </c>
      <c r="J45" s="17">
        <f>+Tabla1321124[[#This Row],[CANTIDAD TOTAL]]*Tabla1321124[[#This Row],[PRECIO UNITARIO ESTIMADO]]</f>
        <v>512000</v>
      </c>
      <c r="K45" s="387">
        <f>SUM(J39:J45)</f>
        <v>1360500</v>
      </c>
      <c r="L45" s="16" t="s">
        <v>15</v>
      </c>
      <c r="M45" s="16" t="s">
        <v>22</v>
      </c>
      <c r="N45" s="39" t="s">
        <v>418</v>
      </c>
      <c r="O45" s="395"/>
      <c r="P45" s="395"/>
      <c r="Q45" s="395"/>
      <c r="R45" s="395"/>
      <c r="S45" s="395"/>
      <c r="T45" s="395"/>
      <c r="U45" s="395"/>
      <c r="V45" s="395"/>
      <c r="W45" s="395"/>
      <c r="X45" s="395"/>
      <c r="Y45" s="395"/>
      <c r="Z45" s="395"/>
      <c r="AA45" s="395"/>
      <c r="AB45" s="395"/>
      <c r="AC45" s="395"/>
      <c r="AD45" s="395"/>
      <c r="AE45" s="395"/>
      <c r="AF45" s="395"/>
      <c r="AG45" s="395"/>
      <c r="AH45" s="395"/>
      <c r="AI45" s="395"/>
      <c r="AJ45" s="395"/>
      <c r="AK45" s="395"/>
      <c r="AL45" s="395"/>
      <c r="AM45" s="395"/>
      <c r="AN45" s="395"/>
      <c r="AO45" s="395"/>
      <c r="AP45" s="395"/>
      <c r="AQ45" s="395"/>
      <c r="AR45" s="395"/>
      <c r="AS45" s="395"/>
      <c r="AT45" s="395"/>
      <c r="AU45" s="395"/>
      <c r="AV45" s="395"/>
      <c r="AW45" s="395"/>
      <c r="AX45" s="395"/>
      <c r="AY45" s="395"/>
      <c r="AZ45" s="395"/>
      <c r="BA45" s="395"/>
      <c r="BB45" s="395"/>
      <c r="BC45" s="395"/>
      <c r="BD45" s="395"/>
      <c r="BE45" s="395"/>
      <c r="BF45" s="395"/>
      <c r="BG45" s="395"/>
      <c r="BH45" s="395"/>
      <c r="BI45" s="395"/>
      <c r="BJ45" s="395"/>
      <c r="BK45" s="395"/>
      <c r="BL45" s="395"/>
      <c r="BM45" s="395"/>
      <c r="BN45" s="395"/>
      <c r="BO45" s="395"/>
      <c r="BP45" s="395"/>
      <c r="BQ45" s="395"/>
      <c r="BR45" s="395"/>
      <c r="BS45" s="395"/>
    </row>
    <row r="46" spans="1:71" s="55" customFormat="1" ht="41.25" customHeight="1">
      <c r="A46" s="538" t="s">
        <v>41</v>
      </c>
      <c r="B46" s="542" t="s">
        <v>1820</v>
      </c>
      <c r="C46" s="237"/>
      <c r="D46" s="237"/>
      <c r="E46" s="237"/>
      <c r="F46" s="237"/>
      <c r="G46" s="237"/>
      <c r="H46" s="238"/>
      <c r="I46" s="238"/>
      <c r="J46" s="24"/>
      <c r="K46" s="25">
        <f>SUM(J39:J45)</f>
        <v>1360500</v>
      </c>
      <c r="L46" s="23"/>
      <c r="M46" s="23"/>
      <c r="N46" s="42"/>
      <c r="O46" s="395"/>
      <c r="P46" s="395"/>
      <c r="Q46" s="395"/>
      <c r="R46" s="395"/>
      <c r="S46" s="395"/>
      <c r="T46" s="395"/>
      <c r="U46" s="395"/>
      <c r="V46" s="395"/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/>
      <c r="AQ46" s="395"/>
      <c r="AR46" s="395"/>
      <c r="AS46" s="395"/>
      <c r="AT46" s="395"/>
      <c r="AU46" s="395"/>
      <c r="AV46" s="395"/>
      <c r="AW46" s="395"/>
      <c r="AX46" s="395"/>
      <c r="AY46" s="395"/>
      <c r="AZ46" s="395"/>
      <c r="BA46" s="395"/>
      <c r="BB46" s="395"/>
      <c r="BC46" s="395"/>
      <c r="BD46" s="395"/>
      <c r="BE46" s="395"/>
      <c r="BF46" s="395"/>
      <c r="BG46" s="395"/>
      <c r="BH46" s="395"/>
      <c r="BI46" s="395"/>
      <c r="BJ46" s="395"/>
      <c r="BK46" s="395"/>
      <c r="BL46" s="395"/>
      <c r="BM46" s="395"/>
      <c r="BN46" s="395"/>
      <c r="BO46" s="395"/>
      <c r="BP46" s="395"/>
      <c r="BQ46" s="395"/>
      <c r="BR46" s="395"/>
      <c r="BS46" s="395"/>
    </row>
    <row r="47" spans="1:71" s="55" customFormat="1" ht="41.25" customHeight="1">
      <c r="A47" s="178" t="s">
        <v>1386</v>
      </c>
      <c r="B47" s="178" t="str">
        <f ca="1">+UPPER(Tabla1321124[[#This Row],[DESCRIPCIÓN DE LA COMPRA O CONTRATACIÓN]])</f>
        <v>SERVICIO DE GRUA Y TRANSPORTE</v>
      </c>
      <c r="C47" s="39" t="s">
        <v>1388</v>
      </c>
      <c r="D47" s="241">
        <v>250</v>
      </c>
      <c r="E47" s="241">
        <v>250</v>
      </c>
      <c r="F47" s="241">
        <v>250</v>
      </c>
      <c r="G47" s="241">
        <v>250</v>
      </c>
      <c r="H47" s="351">
        <f>SUM(Tabla1321124[[#This Row],[PRIMER TRIMESTRE]:[CUARTO TRIMESTRE]])</f>
        <v>1000</v>
      </c>
      <c r="I47" s="17">
        <v>2500</v>
      </c>
      <c r="J47" s="246">
        <f>+H47*I47</f>
        <v>2500000</v>
      </c>
      <c r="K47" s="50"/>
      <c r="L47" s="16" t="s">
        <v>27</v>
      </c>
      <c r="M47" s="77" t="s">
        <v>22</v>
      </c>
      <c r="N47" s="53"/>
      <c r="O47" s="395"/>
      <c r="P47" s="395"/>
      <c r="Q47" s="395"/>
      <c r="R47" s="395"/>
      <c r="S47" s="395"/>
      <c r="T47" s="395"/>
      <c r="U47" s="395"/>
      <c r="V47" s="395"/>
      <c r="W47" s="395"/>
      <c r="X47" s="395"/>
      <c r="Y47" s="395"/>
      <c r="Z47" s="395"/>
      <c r="AA47" s="395"/>
      <c r="AB47" s="395"/>
      <c r="AC47" s="395"/>
      <c r="AD47" s="395"/>
      <c r="AE47" s="395"/>
      <c r="AF47" s="395"/>
      <c r="AG47" s="395"/>
      <c r="AH47" s="395"/>
      <c r="AI47" s="395"/>
      <c r="AJ47" s="395"/>
      <c r="AK47" s="395"/>
      <c r="AL47" s="395"/>
      <c r="AM47" s="395"/>
      <c r="AN47" s="395"/>
      <c r="AO47" s="395"/>
      <c r="AP47" s="395"/>
      <c r="AQ47" s="395"/>
      <c r="AR47" s="395"/>
      <c r="AS47" s="395"/>
      <c r="AT47" s="395"/>
      <c r="AU47" s="395"/>
      <c r="AV47" s="395"/>
      <c r="AW47" s="395"/>
      <c r="AX47" s="395"/>
      <c r="AY47" s="395"/>
      <c r="AZ47" s="395"/>
      <c r="BA47" s="395"/>
      <c r="BB47" s="395"/>
      <c r="BC47" s="395"/>
      <c r="BD47" s="395"/>
      <c r="BE47" s="395"/>
      <c r="BF47" s="395"/>
      <c r="BG47" s="395"/>
      <c r="BH47" s="395"/>
      <c r="BI47" s="395"/>
      <c r="BJ47" s="395"/>
      <c r="BK47" s="395"/>
      <c r="BL47" s="395"/>
      <c r="BM47" s="395"/>
      <c r="BN47" s="395"/>
      <c r="BO47" s="395"/>
      <c r="BP47" s="395"/>
      <c r="BQ47" s="395"/>
      <c r="BR47" s="395"/>
      <c r="BS47" s="395"/>
    </row>
    <row r="48" spans="1:71" s="55" customFormat="1" ht="41.25" customHeight="1">
      <c r="A48" s="178" t="s">
        <v>1386</v>
      </c>
      <c r="B48" s="178" t="str">
        <f ca="1">+UPPER(Tabla1321124[[#This Row],[DESCRIPCIÓN DE LA COMPRA O CONTRATACIÓN]])</f>
        <v>TANQUE DE COMBUSTIBLE METALICO PARA 200 GALONES</v>
      </c>
      <c r="C48" s="39" t="s">
        <v>35</v>
      </c>
      <c r="D48" s="351"/>
      <c r="E48" s="351"/>
      <c r="F48" s="351"/>
      <c r="G48" s="351"/>
      <c r="H48" s="351">
        <f>SUM(Tabla1321124[[#This Row],[PRIMER TRIMESTRE]:[CUARTO TRIMESTRE]])</f>
        <v>0</v>
      </c>
      <c r="I48" s="17">
        <v>29000</v>
      </c>
      <c r="J48" s="246">
        <f t="shared" ref="J48:J54" si="0">+H48*I48</f>
        <v>0</v>
      </c>
      <c r="K48" s="17"/>
      <c r="L48" s="16" t="s">
        <v>27</v>
      </c>
      <c r="M48" s="16" t="s">
        <v>22</v>
      </c>
      <c r="N48" s="39" t="s">
        <v>418</v>
      </c>
      <c r="O48" s="395"/>
      <c r="P48" s="395"/>
      <c r="Q48" s="395"/>
      <c r="R48" s="395"/>
      <c r="S48" s="395"/>
      <c r="T48" s="395"/>
      <c r="U48" s="395"/>
      <c r="V48" s="395"/>
      <c r="W48" s="395"/>
      <c r="X48" s="395"/>
      <c r="Y48" s="395"/>
      <c r="Z48" s="395"/>
      <c r="AA48" s="395"/>
      <c r="AB48" s="395"/>
      <c r="AC48" s="395"/>
      <c r="AD48" s="395"/>
      <c r="AE48" s="395"/>
      <c r="AF48" s="395"/>
      <c r="AG48" s="395"/>
      <c r="AH48" s="395"/>
      <c r="AI48" s="395"/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/>
      <c r="AY48" s="395"/>
      <c r="AZ48" s="395"/>
      <c r="BA48" s="395"/>
      <c r="BB48" s="395"/>
      <c r="BC48" s="395"/>
      <c r="BD48" s="395"/>
      <c r="BE48" s="395"/>
      <c r="BF48" s="395"/>
      <c r="BG48" s="395"/>
      <c r="BH48" s="395"/>
      <c r="BI48" s="395"/>
      <c r="BJ48" s="395"/>
      <c r="BK48" s="395"/>
      <c r="BL48" s="395"/>
      <c r="BM48" s="395"/>
      <c r="BN48" s="395"/>
      <c r="BO48" s="395"/>
      <c r="BP48" s="395"/>
      <c r="BQ48" s="395"/>
      <c r="BR48" s="395"/>
      <c r="BS48" s="395"/>
    </row>
    <row r="49" spans="1:71" s="55" customFormat="1" ht="41.25" customHeight="1">
      <c r="A49" s="178" t="s">
        <v>1386</v>
      </c>
      <c r="B49" s="178" t="str">
        <f ca="1">+UPPER(Tabla1321124[[#This Row],[DESCRIPCIÓN DE LA COMPRA O CONTRATACIÓN]])</f>
        <v>ASCENSOR DE LA INSTITUCION</v>
      </c>
      <c r="C49" s="39" t="s">
        <v>17</v>
      </c>
      <c r="D49" s="299"/>
      <c r="E49" s="299"/>
      <c r="F49" s="299"/>
      <c r="G49" s="299"/>
      <c r="H49" s="351">
        <f>SUM(Tabla1321124[[#This Row],[PRIMER TRIMESTRE]:[CUARTO TRIMESTRE]])</f>
        <v>0</v>
      </c>
      <c r="I49" s="17">
        <v>4000000</v>
      </c>
      <c r="J49" s="246">
        <f t="shared" si="0"/>
        <v>0</v>
      </c>
      <c r="K49" s="252"/>
      <c r="L49" s="16" t="s">
        <v>18</v>
      </c>
      <c r="M49" s="16" t="s">
        <v>22</v>
      </c>
      <c r="N49" s="253"/>
      <c r="O49" s="395"/>
      <c r="P49" s="395"/>
      <c r="Q49" s="395"/>
      <c r="R49" s="395"/>
      <c r="S49" s="395"/>
      <c r="T49" s="395"/>
      <c r="U49" s="395"/>
      <c r="V49" s="395"/>
      <c r="W49" s="395"/>
      <c r="X49" s="395"/>
      <c r="Y49" s="395"/>
      <c r="Z49" s="395"/>
      <c r="AA49" s="395"/>
      <c r="AB49" s="395"/>
      <c r="AC49" s="395"/>
      <c r="AD49" s="395"/>
      <c r="AE49" s="395"/>
      <c r="AF49" s="395"/>
      <c r="AG49" s="395"/>
      <c r="AH49" s="395"/>
      <c r="AI49" s="395"/>
      <c r="AJ49" s="395"/>
      <c r="AK49" s="395"/>
      <c r="AL49" s="395"/>
      <c r="AM49" s="395"/>
      <c r="AN49" s="395"/>
      <c r="AO49" s="395"/>
      <c r="AP49" s="395"/>
      <c r="AQ49" s="395"/>
      <c r="AR49" s="395"/>
      <c r="AS49" s="395"/>
      <c r="AT49" s="395"/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/>
      <c r="BM49" s="395"/>
      <c r="BN49" s="395"/>
      <c r="BO49" s="395"/>
      <c r="BP49" s="395"/>
      <c r="BQ49" s="395"/>
      <c r="BR49" s="395"/>
      <c r="BS49" s="395"/>
    </row>
    <row r="50" spans="1:71" s="26" customFormat="1" ht="41.25" customHeight="1">
      <c r="A50" s="178" t="s">
        <v>1386</v>
      </c>
      <c r="B50" s="178" t="str">
        <f ca="1">+UPPER(Tabla1321124[[#This Row],[DESCRIPCIÓN DE LA COMPRA O CONTRATACIÓN]])</f>
        <v>SERVICIO DE TRANSPORTE DE CONTENEDORES</v>
      </c>
      <c r="C50" s="39" t="s">
        <v>17</v>
      </c>
      <c r="D50" s="299">
        <v>15</v>
      </c>
      <c r="E50" s="299">
        <v>35</v>
      </c>
      <c r="F50" s="299">
        <v>15</v>
      </c>
      <c r="G50" s="299">
        <v>35</v>
      </c>
      <c r="H50" s="299">
        <f>Tabla1321124[[#This Row],[CUARTO TRIMESTRE]]+Tabla1321124[[#This Row],[TERCER TRIMESTRE]]+Tabla1321124[[#This Row],[SEGUNDO TRIMESTRE]]+Tabla1321124[[#This Row],[PRIMER TRIMESTRE]]</f>
        <v>100</v>
      </c>
      <c r="I50" s="17">
        <v>12000</v>
      </c>
      <c r="J50" s="246">
        <f t="shared" si="0"/>
        <v>1200000</v>
      </c>
      <c r="K50" s="17"/>
      <c r="L50" s="16" t="s">
        <v>18</v>
      </c>
      <c r="M50" s="16" t="s">
        <v>22</v>
      </c>
      <c r="N50" s="39"/>
      <c r="O50" s="243"/>
      <c r="P50" s="243"/>
      <c r="Q50" s="243"/>
      <c r="R50" s="243"/>
      <c r="S50" s="243"/>
      <c r="T50" s="243"/>
      <c r="U50" s="243"/>
      <c r="V50" s="243"/>
      <c r="W50" s="243"/>
      <c r="X50" s="243"/>
      <c r="Y50" s="243"/>
      <c r="Z50" s="243"/>
      <c r="AA50" s="243"/>
      <c r="AB50" s="243"/>
      <c r="AC50" s="243"/>
      <c r="AD50" s="243"/>
      <c r="AE50" s="243"/>
      <c r="AF50" s="243"/>
      <c r="AG50" s="243"/>
      <c r="AH50" s="243"/>
      <c r="AI50" s="243"/>
      <c r="AJ50" s="243"/>
      <c r="AK50" s="243"/>
      <c r="AL50" s="243"/>
      <c r="AM50" s="243"/>
      <c r="AN50" s="243"/>
      <c r="AO50" s="243"/>
      <c r="AP50" s="243"/>
      <c r="AQ50" s="243"/>
      <c r="AR50" s="243"/>
      <c r="AS50" s="243"/>
      <c r="AT50" s="243"/>
      <c r="AU50" s="243"/>
      <c r="AV50" s="243"/>
      <c r="AW50" s="243"/>
      <c r="AX50" s="243"/>
      <c r="AY50" s="243"/>
      <c r="AZ50" s="243"/>
      <c r="BA50" s="243"/>
      <c r="BB50" s="243"/>
      <c r="BC50" s="243"/>
      <c r="BD50" s="243"/>
      <c r="BE50" s="243"/>
      <c r="BF50" s="243"/>
      <c r="BG50" s="243"/>
      <c r="BH50" s="243"/>
      <c r="BI50" s="243"/>
      <c r="BJ50" s="243"/>
      <c r="BK50" s="243"/>
      <c r="BL50" s="243"/>
      <c r="BM50" s="243"/>
      <c r="BN50" s="243"/>
      <c r="BO50" s="243"/>
      <c r="BP50" s="243"/>
      <c r="BQ50" s="243"/>
      <c r="BR50" s="243"/>
      <c r="BS50" s="243"/>
    </row>
    <row r="51" spans="1:71" s="26" customFormat="1" ht="41.25" customHeight="1">
      <c r="A51" s="178" t="s">
        <v>1386</v>
      </c>
      <c r="B51" s="178" t="str">
        <f ca="1">+UPPER(Tabla1321124[[#This Row],[DESCRIPCIÓN DE LA COMPRA O CONTRATACIÓN]])</f>
        <v>SERVICIO DE TRANSPORTE DE REPARACION DE ASCENSOR</v>
      </c>
      <c r="C51" s="39" t="s">
        <v>17</v>
      </c>
      <c r="D51" s="299">
        <v>3</v>
      </c>
      <c r="E51" s="299">
        <v>3</v>
      </c>
      <c r="F51" s="299">
        <v>3</v>
      </c>
      <c r="G51" s="299">
        <v>3</v>
      </c>
      <c r="H51" s="299">
        <f>Tabla1321124[[#This Row],[CUARTO TRIMESTRE]]+Tabla1321124[[#This Row],[TERCER TRIMESTRE]]+Tabla1321124[[#This Row],[SEGUNDO TRIMESTRE]]+Tabla1321124[[#This Row],[PRIMER TRIMESTRE]]</f>
        <v>12</v>
      </c>
      <c r="I51" s="17">
        <v>20000</v>
      </c>
      <c r="J51" s="246">
        <f t="shared" si="0"/>
        <v>240000</v>
      </c>
      <c r="K51" s="17"/>
      <c r="L51" s="16" t="s">
        <v>18</v>
      </c>
      <c r="M51" s="16" t="s">
        <v>22</v>
      </c>
      <c r="N51" s="39"/>
      <c r="O51" s="243"/>
      <c r="P51" s="243"/>
      <c r="Q51" s="243"/>
      <c r="R51" s="243"/>
      <c r="S51" s="243"/>
      <c r="T51" s="243"/>
      <c r="U51" s="243"/>
      <c r="V51" s="243"/>
      <c r="W51" s="243"/>
      <c r="X51" s="243"/>
      <c r="Y51" s="243"/>
      <c r="Z51" s="243"/>
      <c r="AA51" s="243"/>
      <c r="AB51" s="243"/>
      <c r="AC51" s="243"/>
      <c r="AD51" s="243"/>
      <c r="AE51" s="243"/>
      <c r="AF51" s="243"/>
      <c r="AG51" s="243"/>
      <c r="AH51" s="243"/>
      <c r="AI51" s="243"/>
      <c r="AJ51" s="243"/>
      <c r="AK51" s="243"/>
      <c r="AL51" s="243"/>
      <c r="AM51" s="243"/>
      <c r="AN51" s="243"/>
      <c r="AO51" s="243"/>
      <c r="AP51" s="243"/>
      <c r="AQ51" s="243"/>
      <c r="AR51" s="243"/>
      <c r="AS51" s="243"/>
      <c r="AT51" s="243"/>
      <c r="AU51" s="243"/>
      <c r="AV51" s="243"/>
      <c r="AW51" s="243"/>
      <c r="AX51" s="243"/>
      <c r="AY51" s="243"/>
      <c r="AZ51" s="243"/>
      <c r="BA51" s="243"/>
      <c r="BB51" s="243"/>
      <c r="BC51" s="243"/>
      <c r="BD51" s="243"/>
      <c r="BE51" s="243"/>
      <c r="BF51" s="243"/>
      <c r="BG51" s="243"/>
      <c r="BH51" s="243"/>
      <c r="BI51" s="243"/>
      <c r="BJ51" s="243"/>
      <c r="BK51" s="243"/>
      <c r="BL51" s="243"/>
      <c r="BM51" s="243"/>
      <c r="BN51" s="243"/>
      <c r="BO51" s="243"/>
      <c r="BP51" s="243"/>
      <c r="BQ51" s="243"/>
      <c r="BR51" s="243"/>
      <c r="BS51" s="243"/>
    </row>
    <row r="52" spans="1:71" s="111" customFormat="1" ht="41.25" customHeight="1">
      <c r="A52" s="178" t="s">
        <v>1386</v>
      </c>
      <c r="B52" s="178" t="str">
        <f ca="1">+UPPER(Tabla1321124[[#This Row],[DESCRIPCIÓN DE LA COMPRA O CONTRATACIÓN]])</f>
        <v>POWER SUPPLY  UF-F30EE PARA ASCENSOR DE INAPA</v>
      </c>
      <c r="C52" s="39" t="s">
        <v>17</v>
      </c>
      <c r="D52" s="299"/>
      <c r="E52" s="299"/>
      <c r="F52" s="299"/>
      <c r="G52" s="299"/>
      <c r="H52" s="299">
        <f>Tabla1321124[[#This Row],[CUARTO TRIMESTRE]]+Tabla1321124[[#This Row],[TERCER TRIMESTRE]]+Tabla1321124[[#This Row],[SEGUNDO TRIMESTRE]]+Tabla1321124[[#This Row],[PRIMER TRIMESTRE]]</f>
        <v>0</v>
      </c>
      <c r="I52" s="17">
        <v>0</v>
      </c>
      <c r="J52" s="246">
        <f t="shared" si="0"/>
        <v>0</v>
      </c>
      <c r="K52" s="17"/>
      <c r="L52" s="16" t="s">
        <v>18</v>
      </c>
      <c r="M52" s="16" t="s">
        <v>22</v>
      </c>
      <c r="N52" s="39"/>
      <c r="O52" s="243"/>
      <c r="P52" s="243"/>
      <c r="Q52" s="243"/>
      <c r="R52" s="243"/>
      <c r="S52" s="243"/>
      <c r="T52" s="243"/>
      <c r="U52" s="243"/>
      <c r="V52" s="243"/>
      <c r="W52" s="243"/>
      <c r="X52" s="243"/>
      <c r="Y52" s="243"/>
      <c r="Z52" s="243"/>
      <c r="AA52" s="243"/>
      <c r="AB52" s="243"/>
      <c r="AC52" s="243"/>
      <c r="AD52" s="243"/>
      <c r="AE52" s="243"/>
      <c r="AF52" s="243"/>
      <c r="AG52" s="243"/>
      <c r="AH52" s="243"/>
      <c r="AI52" s="243"/>
      <c r="AJ52" s="243"/>
      <c r="AK52" s="243"/>
      <c r="AL52" s="243"/>
      <c r="AM52" s="243"/>
      <c r="AN52" s="243"/>
      <c r="AO52" s="243"/>
      <c r="AP52" s="243"/>
      <c r="AQ52" s="243"/>
      <c r="AR52" s="243"/>
      <c r="AS52" s="243"/>
      <c r="AT52" s="243"/>
      <c r="AU52" s="243"/>
      <c r="AV52" s="243"/>
      <c r="AW52" s="243"/>
      <c r="AX52" s="243"/>
      <c r="AY52" s="243"/>
      <c r="AZ52" s="243"/>
      <c r="BA52" s="243"/>
      <c r="BB52" s="243"/>
      <c r="BC52" s="243"/>
      <c r="BD52" s="243"/>
      <c r="BE52" s="243"/>
      <c r="BF52" s="243"/>
      <c r="BG52" s="243"/>
      <c r="BH52" s="243"/>
      <c r="BI52" s="243"/>
      <c r="BJ52" s="243"/>
      <c r="BK52" s="243"/>
      <c r="BL52" s="243"/>
      <c r="BM52" s="243"/>
      <c r="BN52" s="243"/>
      <c r="BO52" s="243"/>
      <c r="BP52" s="243"/>
      <c r="BQ52" s="243"/>
      <c r="BR52" s="243"/>
      <c r="BS52" s="243"/>
    </row>
    <row r="53" spans="1:71" s="111" customFormat="1" ht="41.25" customHeight="1">
      <c r="A53" s="178" t="s">
        <v>1386</v>
      </c>
      <c r="B53" s="178" t="str">
        <f ca="1">+UPPER(Tabla1321124[[#This Row],[DESCRIPCIÓN DE LA COMPRA O CONTRATACIÓN]])</f>
        <v>SERVICIO DE REPARACION ASCENSOR DE LA INSTITUCION</v>
      </c>
      <c r="C53" s="39" t="s">
        <v>17</v>
      </c>
      <c r="D53" s="299"/>
      <c r="E53" s="299"/>
      <c r="F53" s="299"/>
      <c r="G53" s="299"/>
      <c r="H53" s="299">
        <f>Tabla1321124[[#This Row],[CUARTO TRIMESTRE]]+Tabla1321124[[#This Row],[TERCER TRIMESTRE]]+Tabla1321124[[#This Row],[SEGUNDO TRIMESTRE]]+Tabla1321124[[#This Row],[PRIMER TRIMESTRE]]</f>
        <v>0</v>
      </c>
      <c r="I53" s="17">
        <v>0</v>
      </c>
      <c r="J53" s="246">
        <f t="shared" si="0"/>
        <v>0</v>
      </c>
      <c r="K53" s="17"/>
      <c r="L53" s="16" t="s">
        <v>18</v>
      </c>
      <c r="M53" s="16" t="s">
        <v>22</v>
      </c>
      <c r="N53" s="39"/>
      <c r="O53" s="243"/>
      <c r="P53" s="243"/>
      <c r="Q53" s="243"/>
      <c r="R53" s="243"/>
      <c r="S53" s="243"/>
      <c r="T53" s="243"/>
      <c r="U53" s="243"/>
      <c r="V53" s="243"/>
      <c r="W53" s="243"/>
      <c r="X53" s="243"/>
      <c r="Y53" s="243"/>
      <c r="Z53" s="243"/>
      <c r="AA53" s="243"/>
      <c r="AB53" s="243"/>
      <c r="AC53" s="243"/>
      <c r="AD53" s="243"/>
      <c r="AE53" s="243"/>
      <c r="AF53" s="243"/>
      <c r="AG53" s="243"/>
      <c r="AH53" s="243"/>
      <c r="AI53" s="243"/>
      <c r="AJ53" s="243"/>
      <c r="AK53" s="243"/>
      <c r="AL53" s="243"/>
      <c r="AM53" s="243"/>
      <c r="AN53" s="243"/>
      <c r="AO53" s="243"/>
      <c r="AP53" s="243"/>
      <c r="AQ53" s="243"/>
      <c r="AR53" s="243"/>
      <c r="AS53" s="243"/>
      <c r="AT53" s="243"/>
      <c r="AU53" s="243"/>
      <c r="AV53" s="243"/>
      <c r="AW53" s="243"/>
      <c r="AX53" s="243"/>
      <c r="AY53" s="243"/>
      <c r="AZ53" s="243"/>
      <c r="BA53" s="243"/>
      <c r="BB53" s="243"/>
      <c r="BC53" s="243"/>
      <c r="BD53" s="243"/>
      <c r="BE53" s="243"/>
      <c r="BF53" s="243"/>
      <c r="BG53" s="243"/>
      <c r="BH53" s="243"/>
      <c r="BI53" s="243"/>
      <c r="BJ53" s="243"/>
      <c r="BK53" s="243"/>
      <c r="BL53" s="243"/>
      <c r="BM53" s="243"/>
      <c r="BN53" s="243"/>
      <c r="BO53" s="243"/>
      <c r="BP53" s="243"/>
      <c r="BQ53" s="243"/>
      <c r="BR53" s="243"/>
      <c r="BS53" s="243"/>
    </row>
    <row r="54" spans="1:71" s="111" customFormat="1" ht="41.25" customHeight="1">
      <c r="A54" s="178" t="s">
        <v>1386</v>
      </c>
      <c r="B54" s="178" t="str">
        <f ca="1">+UPPER(Tabla1321124[[#This Row],[DESCRIPCIÓN DE LA COMPRA O CONTRATACIÓN]])</f>
        <v>SERVICIO DE LIMPIEZA DUCTOS AIRE AC.</v>
      </c>
      <c r="C54" s="39" t="s">
        <v>17</v>
      </c>
      <c r="D54" s="299">
        <v>2</v>
      </c>
      <c r="E54" s="299">
        <v>1</v>
      </c>
      <c r="F54" s="299">
        <v>2</v>
      </c>
      <c r="G54" s="299">
        <v>1</v>
      </c>
      <c r="H54" s="299">
        <f>Tabla1321124[[#This Row],[CUARTO TRIMESTRE]]+Tabla1321124[[#This Row],[TERCER TRIMESTRE]]+Tabla1321124[[#This Row],[SEGUNDO TRIMESTRE]]+Tabla1321124[[#This Row],[PRIMER TRIMESTRE]]</f>
        <v>6</v>
      </c>
      <c r="I54" s="246">
        <v>25000</v>
      </c>
      <c r="J54" s="246">
        <f t="shared" si="0"/>
        <v>150000</v>
      </c>
      <c r="K54" s="330"/>
      <c r="L54" s="16" t="s">
        <v>27</v>
      </c>
      <c r="M54" s="16" t="s">
        <v>22</v>
      </c>
      <c r="N54" s="329"/>
      <c r="O54" s="243"/>
      <c r="P54" s="243"/>
      <c r="Q54" s="243"/>
      <c r="R54" s="243"/>
      <c r="S54" s="243"/>
      <c r="T54" s="243"/>
      <c r="U54" s="243"/>
      <c r="V54" s="243"/>
      <c r="W54" s="243"/>
      <c r="X54" s="243"/>
      <c r="Y54" s="243"/>
      <c r="Z54" s="243"/>
      <c r="AA54" s="243"/>
      <c r="AB54" s="243"/>
      <c r="AC54" s="243"/>
      <c r="AD54" s="243"/>
      <c r="AE54" s="243"/>
      <c r="AF54" s="243"/>
      <c r="AG54" s="243"/>
      <c r="AH54" s="243"/>
      <c r="AI54" s="243"/>
      <c r="AJ54" s="243"/>
      <c r="AK54" s="243"/>
      <c r="AL54" s="243"/>
      <c r="AM54" s="243"/>
      <c r="AN54" s="243"/>
      <c r="AO54" s="243"/>
      <c r="AP54" s="243"/>
      <c r="AQ54" s="243"/>
      <c r="AR54" s="243"/>
      <c r="AS54" s="243"/>
      <c r="AT54" s="243"/>
      <c r="AU54" s="243"/>
      <c r="AV54" s="243"/>
      <c r="AW54" s="243"/>
      <c r="AX54" s="243"/>
      <c r="AY54" s="243"/>
      <c r="AZ54" s="243"/>
      <c r="BA54" s="243"/>
      <c r="BB54" s="243"/>
      <c r="BC54" s="243"/>
      <c r="BD54" s="243"/>
      <c r="BE54" s="243"/>
      <c r="BF54" s="243"/>
      <c r="BG54" s="243"/>
      <c r="BH54" s="243"/>
      <c r="BI54" s="243"/>
      <c r="BJ54" s="243"/>
      <c r="BK54" s="243"/>
      <c r="BL54" s="243"/>
      <c r="BM54" s="243"/>
      <c r="BN54" s="243"/>
      <c r="BO54" s="243"/>
      <c r="BP54" s="243"/>
      <c r="BQ54" s="243"/>
      <c r="BR54" s="243"/>
      <c r="BS54" s="243"/>
    </row>
    <row r="55" spans="1:71" s="111" customFormat="1" ht="41.25" customHeight="1">
      <c r="A55" s="178" t="s">
        <v>1386</v>
      </c>
      <c r="B55" s="178" t="str">
        <f ca="1">+UPPER(Tabla1321124[[#This Row],[DESCRIPCIÓN DE LA COMPRA O CONTRATACIÓN]])</f>
        <v>RODAJE DE EQUIPOS</v>
      </c>
      <c r="C55" s="39" t="s">
        <v>1390</v>
      </c>
      <c r="D55" s="241">
        <v>3000</v>
      </c>
      <c r="E55" s="241">
        <v>3000</v>
      </c>
      <c r="F55" s="241">
        <v>3000</v>
      </c>
      <c r="G55" s="241">
        <v>3000</v>
      </c>
      <c r="H55" s="351">
        <f>SUM(Tabla1321124[[#This Row],[PRIMER TRIMESTRE]:[CUARTO TRIMESTRE]])</f>
        <v>12000</v>
      </c>
      <c r="I55" s="17">
        <v>277</v>
      </c>
      <c r="J55" s="246">
        <f>Tabla1321124[[#This Row],[PRECIO UNITARIO ESTIMADO]]*Tabla1321124[[#This Row],[CANTIDAD TOTAL]]</f>
        <v>3324000</v>
      </c>
      <c r="K55" s="391">
        <f>SUM(J47:J55)</f>
        <v>7414000</v>
      </c>
      <c r="L55" s="16" t="s">
        <v>27</v>
      </c>
      <c r="M55" s="16" t="s">
        <v>22</v>
      </c>
      <c r="N55" s="53"/>
      <c r="O55" s="243"/>
      <c r="P55" s="243"/>
      <c r="Q55" s="243"/>
      <c r="R55" s="243"/>
      <c r="S55" s="243"/>
      <c r="T55" s="243"/>
      <c r="U55" s="243"/>
      <c r="V55" s="243"/>
      <c r="W55" s="243"/>
      <c r="X55" s="243"/>
      <c r="Y55" s="243"/>
      <c r="Z55" s="243"/>
      <c r="AA55" s="243"/>
      <c r="AB55" s="243"/>
      <c r="AC55" s="243"/>
      <c r="AD55" s="243"/>
      <c r="AE55" s="243"/>
      <c r="AF55" s="243"/>
      <c r="AG55" s="243"/>
      <c r="AH55" s="243"/>
      <c r="AI55" s="243"/>
      <c r="AJ55" s="243"/>
      <c r="AK55" s="243"/>
      <c r="AL55" s="243"/>
      <c r="AM55" s="243"/>
      <c r="AN55" s="243"/>
      <c r="AO55" s="243"/>
      <c r="AP55" s="243"/>
      <c r="AQ55" s="243"/>
      <c r="AR55" s="243"/>
      <c r="AS55" s="243"/>
      <c r="AT55" s="243"/>
      <c r="AU55" s="243"/>
      <c r="AV55" s="243"/>
      <c r="AW55" s="243"/>
      <c r="AX55" s="243"/>
      <c r="AY55" s="243"/>
      <c r="AZ55" s="243"/>
      <c r="BA55" s="243"/>
      <c r="BB55" s="243"/>
      <c r="BC55" s="243"/>
      <c r="BD55" s="243"/>
      <c r="BE55" s="243"/>
      <c r="BF55" s="243"/>
      <c r="BG55" s="243"/>
      <c r="BH55" s="243"/>
      <c r="BI55" s="243"/>
      <c r="BJ55" s="243"/>
      <c r="BK55" s="243"/>
      <c r="BL55" s="243"/>
      <c r="BM55" s="243"/>
      <c r="BN55" s="243"/>
      <c r="BO55" s="243"/>
      <c r="BP55" s="243"/>
      <c r="BQ55" s="243"/>
      <c r="BR55" s="243"/>
      <c r="BS55" s="243"/>
    </row>
    <row r="56" spans="1:71" s="111" customFormat="1" ht="41.25" customHeight="1">
      <c r="A56" s="538" t="s">
        <v>1386</v>
      </c>
      <c r="B56" s="76" t="str">
        <f ca="1">+UPPER(Tabla1321124[[#This Row],[DESCRIPCIÓN DE LA COMPRA O CONTRATACIÓN]])</f>
        <v/>
      </c>
      <c r="C56" s="76"/>
      <c r="D56" s="237"/>
      <c r="E56" s="237"/>
      <c r="F56" s="237"/>
      <c r="G56" s="237"/>
      <c r="H56" s="238"/>
      <c r="I56" s="238"/>
      <c r="J56" s="24"/>
      <c r="K56" s="25">
        <f>SUM(J47:J55)</f>
        <v>7414000</v>
      </c>
      <c r="L56" s="23"/>
      <c r="M56" s="23"/>
      <c r="N56" s="42"/>
      <c r="O56" s="243"/>
      <c r="P56" s="243"/>
      <c r="Q56" s="243"/>
      <c r="R56" s="243"/>
      <c r="S56" s="243"/>
      <c r="T56" s="243"/>
      <c r="U56" s="243"/>
      <c r="V56" s="243"/>
      <c r="W56" s="243"/>
      <c r="X56" s="243"/>
      <c r="Y56" s="243"/>
      <c r="Z56" s="243"/>
      <c r="AA56" s="243"/>
      <c r="AB56" s="243"/>
      <c r="AC56" s="243"/>
      <c r="AD56" s="243"/>
      <c r="AE56" s="243"/>
      <c r="AF56" s="243"/>
      <c r="AG56" s="243"/>
      <c r="AH56" s="243"/>
      <c r="AI56" s="243"/>
      <c r="AJ56" s="243"/>
      <c r="AK56" s="243"/>
      <c r="AL56" s="243"/>
      <c r="AM56" s="243"/>
      <c r="AN56" s="243"/>
      <c r="AO56" s="243"/>
      <c r="AP56" s="243"/>
      <c r="AQ56" s="243"/>
      <c r="AR56" s="243"/>
      <c r="AS56" s="243"/>
      <c r="AT56" s="243"/>
      <c r="AU56" s="243"/>
      <c r="AV56" s="243"/>
      <c r="AW56" s="243"/>
      <c r="AX56" s="243"/>
      <c r="AY56" s="243"/>
      <c r="AZ56" s="243"/>
      <c r="BA56" s="243"/>
      <c r="BB56" s="243"/>
      <c r="BC56" s="243"/>
      <c r="BD56" s="243"/>
      <c r="BE56" s="243"/>
      <c r="BF56" s="243"/>
      <c r="BG56" s="243"/>
      <c r="BH56" s="243"/>
      <c r="BI56" s="243"/>
      <c r="BJ56" s="243"/>
      <c r="BK56" s="243"/>
      <c r="BL56" s="243"/>
      <c r="BM56" s="243"/>
      <c r="BN56" s="243"/>
      <c r="BO56" s="243"/>
      <c r="BP56" s="243"/>
      <c r="BQ56" s="243"/>
      <c r="BR56" s="243"/>
      <c r="BS56" s="243"/>
    </row>
    <row r="57" spans="1:71" s="111" customFormat="1" ht="41.25" customHeight="1">
      <c r="A57" s="178" t="s">
        <v>1672</v>
      </c>
      <c r="B57" s="178" t="str">
        <f ca="1">+UPPER(Tabla1321124[[#This Row],[DESCRIPCIÓN DE LA COMPRA O CONTRATACIÓN]])</f>
        <v xml:space="preserve">SERVICIO DE REPARACION DE VEHICULO </v>
      </c>
      <c r="C57" s="39" t="s">
        <v>17</v>
      </c>
      <c r="D57" s="351">
        <v>30</v>
      </c>
      <c r="E57" s="351">
        <v>30</v>
      </c>
      <c r="F57" s="351">
        <v>30</v>
      </c>
      <c r="G57" s="351">
        <v>30</v>
      </c>
      <c r="H57" s="351">
        <f>Tabla1321124[[#This Row],[CUARTO TRIMESTRE]]+Tabla1321124[[#This Row],[TERCER TRIMESTRE]]+Tabla1321124[[#This Row],[SEGUNDO TRIMESTRE]]+Tabla1321124[[#This Row],[PRIMER TRIMESTRE]]</f>
        <v>120</v>
      </c>
      <c r="I57" s="17">
        <v>45000</v>
      </c>
      <c r="J57" s="246">
        <f>Tabla1321124[[#This Row],[PRECIO UNITARIO ESTIMADO]]*Tabla1321124[[#This Row],[CANTIDAD TOTAL]]</f>
        <v>5400000</v>
      </c>
      <c r="K57" s="244"/>
      <c r="L57" s="16" t="s">
        <v>18</v>
      </c>
      <c r="M57" s="16" t="s">
        <v>22</v>
      </c>
      <c r="N57" s="16"/>
      <c r="O57" s="243"/>
      <c r="P57" s="243"/>
      <c r="Q57" s="243"/>
      <c r="R57" s="243"/>
      <c r="S57" s="243"/>
      <c r="T57" s="243"/>
      <c r="U57" s="243"/>
      <c r="V57" s="243"/>
      <c r="W57" s="243"/>
      <c r="X57" s="243"/>
      <c r="Y57" s="243"/>
      <c r="Z57" s="243"/>
      <c r="AA57" s="243"/>
      <c r="AB57" s="243"/>
      <c r="AC57" s="243"/>
      <c r="AD57" s="243"/>
      <c r="AE57" s="243"/>
      <c r="AF57" s="243"/>
      <c r="AG57" s="243"/>
      <c r="AH57" s="243"/>
      <c r="AI57" s="243"/>
      <c r="AJ57" s="243"/>
      <c r="AK57" s="243"/>
      <c r="AL57" s="243"/>
      <c r="AM57" s="243"/>
      <c r="AN57" s="243"/>
      <c r="AO57" s="243"/>
      <c r="AP57" s="243"/>
      <c r="AQ57" s="243"/>
      <c r="AR57" s="243"/>
      <c r="AS57" s="243"/>
      <c r="AT57" s="243"/>
      <c r="AU57" s="243"/>
      <c r="AV57" s="243"/>
      <c r="AW57" s="243"/>
      <c r="AX57" s="243"/>
      <c r="AY57" s="243"/>
      <c r="AZ57" s="243"/>
      <c r="BA57" s="243"/>
      <c r="BB57" s="243"/>
      <c r="BC57" s="243"/>
      <c r="BD57" s="243"/>
      <c r="BE57" s="243"/>
      <c r="BF57" s="243"/>
      <c r="BG57" s="243"/>
      <c r="BH57" s="243"/>
      <c r="BI57" s="243"/>
      <c r="BJ57" s="243"/>
      <c r="BK57" s="243"/>
      <c r="BL57" s="243"/>
      <c r="BM57" s="243"/>
      <c r="BN57" s="243"/>
      <c r="BO57" s="243"/>
      <c r="BP57" s="243"/>
      <c r="BQ57" s="243"/>
      <c r="BR57" s="243"/>
      <c r="BS57" s="243"/>
    </row>
    <row r="58" spans="1:71" s="111" customFormat="1" ht="41.25" customHeight="1">
      <c r="A58" s="178" t="s">
        <v>1672</v>
      </c>
      <c r="B58" s="178" t="str">
        <f ca="1">+UPPER(Tabla1321124[[#This Row],[DESCRIPCIÓN DE LA COMPRA O CONTRATACIÓN]])</f>
        <v>CAMIONETA DIESEL DOBLE CABINA MECANICA MODELO 2016</v>
      </c>
      <c r="C58" s="39" t="s">
        <v>17</v>
      </c>
      <c r="D58" s="351">
        <v>6</v>
      </c>
      <c r="E58" s="351">
        <v>6</v>
      </c>
      <c r="F58" s="351">
        <v>6</v>
      </c>
      <c r="G58" s="351">
        <v>6</v>
      </c>
      <c r="H58" s="351">
        <f>SUM(Tabla1321124[[#This Row],[PRIMER TRIMESTRE]:[CUARTO TRIMESTRE]])</f>
        <v>24</v>
      </c>
      <c r="I58" s="17">
        <v>1136476.48</v>
      </c>
      <c r="J58" s="246">
        <f>Tabla1321124[[#This Row],[PRECIO UNITARIO ESTIMADO]]*Tabla1321124[[#This Row],[CANTIDAD TOTAL]]</f>
        <v>27275435.52</v>
      </c>
      <c r="K58" s="77"/>
      <c r="L58" s="16" t="s">
        <v>18</v>
      </c>
      <c r="M58" s="16" t="s">
        <v>22</v>
      </c>
      <c r="N58" s="16"/>
      <c r="O58" s="243"/>
      <c r="P58" s="243"/>
      <c r="Q58" s="243"/>
      <c r="R58" s="243"/>
      <c r="S58" s="243"/>
      <c r="T58" s="243"/>
      <c r="U58" s="243"/>
      <c r="V58" s="243"/>
      <c r="W58" s="243"/>
      <c r="X58" s="243"/>
      <c r="Y58" s="243"/>
      <c r="Z58" s="243"/>
      <c r="AA58" s="243"/>
      <c r="AB58" s="243"/>
      <c r="AC58" s="243"/>
      <c r="AD58" s="243"/>
      <c r="AE58" s="243"/>
      <c r="AF58" s="243"/>
      <c r="AG58" s="243"/>
      <c r="AH58" s="243"/>
      <c r="AI58" s="243"/>
      <c r="AJ58" s="243"/>
      <c r="AK58" s="243"/>
      <c r="AL58" s="243"/>
      <c r="AM58" s="243"/>
      <c r="AN58" s="243"/>
      <c r="AO58" s="243"/>
      <c r="AP58" s="243"/>
      <c r="AQ58" s="243"/>
      <c r="AR58" s="243"/>
      <c r="AS58" s="243"/>
      <c r="AT58" s="243"/>
      <c r="AU58" s="243"/>
      <c r="AV58" s="243"/>
      <c r="AW58" s="243"/>
      <c r="AX58" s="243"/>
      <c r="AY58" s="243"/>
      <c r="AZ58" s="243"/>
      <c r="BA58" s="243"/>
      <c r="BB58" s="243"/>
      <c r="BC58" s="243"/>
      <c r="BD58" s="243"/>
      <c r="BE58" s="243"/>
      <c r="BF58" s="243"/>
      <c r="BG58" s="243"/>
      <c r="BH58" s="243"/>
      <c r="BI58" s="243"/>
      <c r="BJ58" s="243"/>
      <c r="BK58" s="243"/>
      <c r="BL58" s="243"/>
      <c r="BM58" s="243"/>
      <c r="BN58" s="243"/>
      <c r="BO58" s="243"/>
      <c r="BP58" s="243"/>
      <c r="BQ58" s="243"/>
      <c r="BR58" s="243"/>
      <c r="BS58" s="243"/>
    </row>
    <row r="59" spans="1:71" s="111" customFormat="1" ht="41.25" customHeight="1">
      <c r="A59" s="178" t="s">
        <v>1672</v>
      </c>
      <c r="B59" s="178" t="str">
        <f ca="1">+UPPER(Tabla1321124[[#This Row],[DESCRIPCIÓN DE LA COMPRA O CONTRATACIÓN]])</f>
        <v>MOTOCICLETAS</v>
      </c>
      <c r="C59" s="39" t="s">
        <v>17</v>
      </c>
      <c r="D59" s="299"/>
      <c r="E59" s="299">
        <v>2</v>
      </c>
      <c r="F59" s="299"/>
      <c r="G59" s="299"/>
      <c r="H59" s="299">
        <f>Tabla1321124[[#This Row],[CUARTO TRIMESTRE]]+Tabla1321124[[#This Row],[TERCER TRIMESTRE]]+Tabla1321124[[#This Row],[SEGUNDO TRIMESTRE]]+Tabla1321124[[#This Row],[PRIMER TRIMESTRE]]</f>
        <v>2</v>
      </c>
      <c r="I59" s="17">
        <v>40000</v>
      </c>
      <c r="J59" s="246">
        <f>Tabla1321124[[#This Row],[PRECIO UNITARIO ESTIMADO]]*Tabla1321124[[#This Row],[CANTIDAD TOTAL]]</f>
        <v>80000</v>
      </c>
      <c r="K59" s="350"/>
      <c r="L59" s="16" t="s">
        <v>18</v>
      </c>
      <c r="M59" s="16" t="s">
        <v>22</v>
      </c>
      <c r="N59" s="16"/>
      <c r="O59" s="243"/>
      <c r="P59" s="243"/>
      <c r="Q59" s="243"/>
      <c r="R59" s="243"/>
      <c r="S59" s="243"/>
      <c r="T59" s="243"/>
      <c r="U59" s="243"/>
      <c r="V59" s="243"/>
      <c r="W59" s="243"/>
      <c r="X59" s="243"/>
      <c r="Y59" s="243"/>
      <c r="Z59" s="243"/>
      <c r="AA59" s="243"/>
      <c r="AB59" s="243"/>
      <c r="AC59" s="243"/>
      <c r="AD59" s="243"/>
      <c r="AE59" s="243"/>
      <c r="AF59" s="243"/>
      <c r="AG59" s="243"/>
      <c r="AH59" s="243"/>
      <c r="AI59" s="243"/>
      <c r="AJ59" s="243"/>
      <c r="AK59" s="243"/>
      <c r="AL59" s="243"/>
      <c r="AM59" s="243"/>
      <c r="AN59" s="243"/>
      <c r="AO59" s="243"/>
      <c r="AP59" s="243"/>
      <c r="AQ59" s="243"/>
      <c r="AR59" s="243"/>
      <c r="AS59" s="243"/>
      <c r="AT59" s="243"/>
      <c r="AU59" s="243"/>
      <c r="AV59" s="243"/>
      <c r="AW59" s="243"/>
      <c r="AX59" s="243"/>
      <c r="AY59" s="243"/>
      <c r="AZ59" s="243"/>
      <c r="BA59" s="243"/>
      <c r="BB59" s="243"/>
      <c r="BC59" s="243"/>
      <c r="BD59" s="243"/>
      <c r="BE59" s="243"/>
      <c r="BF59" s="243"/>
      <c r="BG59" s="243"/>
      <c r="BH59" s="243"/>
      <c r="BI59" s="243"/>
      <c r="BJ59" s="243"/>
      <c r="BK59" s="243"/>
      <c r="BL59" s="243"/>
      <c r="BM59" s="243"/>
      <c r="BN59" s="243"/>
      <c r="BO59" s="243"/>
      <c r="BP59" s="243"/>
      <c r="BQ59" s="243"/>
      <c r="BR59" s="243"/>
      <c r="BS59" s="243"/>
    </row>
    <row r="60" spans="1:71" s="111" customFormat="1" ht="41.25" customHeight="1">
      <c r="A60" s="178" t="s">
        <v>1672</v>
      </c>
      <c r="B60" s="178" t="str">
        <f ca="1">+UPPER(Tabla1321124[[#This Row],[DESCRIPCIÓN DE LA COMPRA O CONTRATACIÓN]])</f>
        <v>CAMION CISTERNA</v>
      </c>
      <c r="C60" s="39" t="s">
        <v>17</v>
      </c>
      <c r="D60" s="210"/>
      <c r="E60" s="210">
        <v>2</v>
      </c>
      <c r="F60" s="210"/>
      <c r="G60" s="210"/>
      <c r="H60" s="210">
        <f>Tabla1321124[[#This Row],[CUARTO TRIMESTRE]]+Tabla1321124[[#This Row],[TERCER TRIMESTRE]]+Tabla1321124[[#This Row],[SEGUNDO TRIMESTRE]]++Tabla1321124[[#This Row],[PRIMER TRIMESTRE]]</f>
        <v>2</v>
      </c>
      <c r="I60" s="17">
        <v>2600000</v>
      </c>
      <c r="J60" s="17">
        <f>Tabla1321124[[#This Row],[PRECIO UNITARIO ESTIMADO]]*Tabla1321124[[#This Row],[CANTIDAD TOTAL]]</f>
        <v>5200000</v>
      </c>
      <c r="K60" s="77"/>
      <c r="L60" s="16" t="s">
        <v>18</v>
      </c>
      <c r="M60" s="16" t="s">
        <v>22</v>
      </c>
      <c r="N60" s="16"/>
      <c r="O60" s="243"/>
      <c r="P60" s="243"/>
      <c r="Q60" s="243"/>
      <c r="R60" s="243"/>
      <c r="S60" s="243"/>
      <c r="T60" s="243"/>
      <c r="U60" s="243"/>
      <c r="V60" s="243"/>
      <c r="W60" s="243"/>
      <c r="X60" s="243"/>
      <c r="Y60" s="243"/>
      <c r="Z60" s="243"/>
      <c r="AA60" s="243"/>
      <c r="AB60" s="243"/>
      <c r="AC60" s="243"/>
      <c r="AD60" s="243"/>
      <c r="AE60" s="243"/>
      <c r="AF60" s="243"/>
      <c r="AG60" s="243"/>
      <c r="AH60" s="243"/>
      <c r="AI60" s="243"/>
      <c r="AJ60" s="243"/>
      <c r="AK60" s="243"/>
      <c r="AL60" s="243"/>
      <c r="AM60" s="243"/>
      <c r="AN60" s="243"/>
      <c r="AO60" s="243"/>
      <c r="AP60" s="243"/>
      <c r="AQ60" s="243"/>
      <c r="AR60" s="243"/>
      <c r="AS60" s="243"/>
      <c r="AT60" s="243"/>
      <c r="AU60" s="243"/>
      <c r="AV60" s="243"/>
      <c r="AW60" s="243"/>
      <c r="AX60" s="243"/>
      <c r="AY60" s="243"/>
      <c r="AZ60" s="243"/>
      <c r="BA60" s="243"/>
      <c r="BB60" s="243"/>
      <c r="BC60" s="243"/>
      <c r="BD60" s="243"/>
      <c r="BE60" s="243"/>
      <c r="BF60" s="243"/>
      <c r="BG60" s="243"/>
      <c r="BH60" s="243"/>
      <c r="BI60" s="243"/>
      <c r="BJ60" s="243"/>
      <c r="BK60" s="243"/>
      <c r="BL60" s="243"/>
      <c r="BM60" s="243"/>
      <c r="BN60" s="243"/>
      <c r="BO60" s="243"/>
      <c r="BP60" s="243"/>
      <c r="BQ60" s="243"/>
      <c r="BR60" s="243"/>
      <c r="BS60" s="243"/>
    </row>
    <row r="61" spans="1:71" s="111" customFormat="1" ht="41.25" customHeight="1">
      <c r="A61" s="178" t="s">
        <v>1672</v>
      </c>
      <c r="B61" s="178" t="str">
        <f ca="1">+UPPER(Tabla1321124[[#This Row],[DESCRIPCIÓN DE LA COMPRA O CONTRATACIÓN]])</f>
        <v>MINIBUS 15 PASAJEROS</v>
      </c>
      <c r="C61" s="39" t="s">
        <v>17</v>
      </c>
      <c r="D61" s="210"/>
      <c r="E61" s="210">
        <v>1</v>
      </c>
      <c r="F61" s="210"/>
      <c r="G61" s="210">
        <v>1</v>
      </c>
      <c r="H61" s="249">
        <f>Tabla1321124[[#This Row],[CUARTO TRIMESTRE]]+Tabla1321124[[#This Row],[SEGUNDO TRIMESTRE]]</f>
        <v>2</v>
      </c>
      <c r="I61" s="17">
        <v>1500000</v>
      </c>
      <c r="J61" s="246">
        <f>Tabla1321124[[#This Row],[PRECIO UNITARIO ESTIMADO]]*Tabla1321124[[#This Row],[CANTIDAD TOTAL]]</f>
        <v>3000000</v>
      </c>
      <c r="K61" s="341"/>
      <c r="L61" s="16" t="s">
        <v>18</v>
      </c>
      <c r="M61" s="16" t="s">
        <v>22</v>
      </c>
      <c r="N61" s="16"/>
      <c r="O61" s="243"/>
      <c r="P61" s="243"/>
      <c r="Q61" s="243"/>
      <c r="R61" s="243"/>
      <c r="S61" s="243"/>
      <c r="T61" s="243"/>
      <c r="U61" s="243"/>
      <c r="V61" s="243"/>
      <c r="W61" s="243"/>
      <c r="X61" s="243"/>
      <c r="Y61" s="243"/>
      <c r="Z61" s="243"/>
      <c r="AA61" s="243"/>
      <c r="AB61" s="243"/>
      <c r="AC61" s="243"/>
      <c r="AD61" s="243"/>
      <c r="AE61" s="243"/>
      <c r="AF61" s="243"/>
      <c r="AG61" s="243"/>
      <c r="AH61" s="243"/>
      <c r="AI61" s="243"/>
      <c r="AJ61" s="243"/>
      <c r="AK61" s="243"/>
      <c r="AL61" s="243"/>
      <c r="AM61" s="243"/>
      <c r="AN61" s="243"/>
      <c r="AO61" s="243"/>
      <c r="AP61" s="243"/>
      <c r="AQ61" s="243"/>
      <c r="AR61" s="243"/>
      <c r="AS61" s="243"/>
      <c r="AT61" s="243"/>
      <c r="AU61" s="243"/>
      <c r="AV61" s="243"/>
      <c r="AW61" s="243"/>
      <c r="AX61" s="243"/>
      <c r="AY61" s="243"/>
      <c r="AZ61" s="243"/>
      <c r="BA61" s="243"/>
      <c r="BB61" s="243"/>
      <c r="BC61" s="243"/>
      <c r="BD61" s="243"/>
      <c r="BE61" s="243"/>
      <c r="BF61" s="243"/>
      <c r="BG61" s="243"/>
      <c r="BH61" s="243"/>
      <c r="BI61" s="243"/>
      <c r="BJ61" s="243"/>
      <c r="BK61" s="243"/>
      <c r="BL61" s="243"/>
      <c r="BM61" s="243"/>
      <c r="BN61" s="243"/>
      <c r="BO61" s="243"/>
      <c r="BP61" s="243"/>
      <c r="BQ61" s="243"/>
      <c r="BR61" s="243"/>
      <c r="BS61" s="243"/>
    </row>
    <row r="62" spans="1:71" s="111" customFormat="1" ht="41.25" customHeight="1">
      <c r="A62" s="178" t="s">
        <v>1672</v>
      </c>
      <c r="B62" s="178" t="str">
        <f ca="1">+UPPER(Tabla1321124[[#This Row],[DESCRIPCIÓN DE LA COMPRA O CONTRATACIÓN]])</f>
        <v>VEHICULO LIVIANO TIPO JEEPETA</v>
      </c>
      <c r="C62" s="39" t="s">
        <v>1771</v>
      </c>
      <c r="D62" s="210">
        <v>2</v>
      </c>
      <c r="E62" s="210"/>
      <c r="F62" s="210">
        <v>2</v>
      </c>
      <c r="G62" s="210"/>
      <c r="H62" s="249">
        <f>Tabla1321124[[#This Row],[CUARTO TRIMESTRE]]+Tabla1321124[[#This Row],[TERCER TRIMESTRE]]+Tabla1321124[[#This Row],[SEGUNDO TRIMESTRE]]+Tabla1321124[[#This Row],[PRIMER TRIMESTRE]]</f>
        <v>4</v>
      </c>
      <c r="I62" s="17">
        <v>1500000</v>
      </c>
      <c r="J62" s="246">
        <f>Tabla1321124[[#This Row],[PRECIO UNITARIO ESTIMADO]]*Tabla1321124[[#This Row],[CANTIDAD TOTAL]]</f>
        <v>6000000</v>
      </c>
      <c r="K62" s="341"/>
      <c r="L62" s="16" t="s">
        <v>18</v>
      </c>
      <c r="M62" s="16" t="s">
        <v>22</v>
      </c>
      <c r="N62" s="16"/>
      <c r="O62" s="243"/>
      <c r="P62" s="243"/>
      <c r="Q62" s="243"/>
      <c r="R62" s="243"/>
      <c r="S62" s="243"/>
      <c r="T62" s="243"/>
      <c r="U62" s="243"/>
      <c r="V62" s="243"/>
      <c r="W62" s="243"/>
      <c r="X62" s="243"/>
      <c r="Y62" s="243"/>
      <c r="Z62" s="243"/>
      <c r="AA62" s="243"/>
      <c r="AB62" s="243"/>
      <c r="AC62" s="243"/>
      <c r="AD62" s="243"/>
      <c r="AE62" s="243"/>
      <c r="AF62" s="243"/>
      <c r="AG62" s="243"/>
      <c r="AH62" s="243"/>
      <c r="AI62" s="243"/>
      <c r="AJ62" s="243"/>
      <c r="AK62" s="243"/>
      <c r="AL62" s="243"/>
      <c r="AM62" s="243"/>
      <c r="AN62" s="243"/>
      <c r="AO62" s="243"/>
      <c r="AP62" s="243"/>
      <c r="AQ62" s="243"/>
      <c r="AR62" s="243"/>
      <c r="AS62" s="243"/>
      <c r="AT62" s="243"/>
      <c r="AU62" s="243"/>
      <c r="AV62" s="243"/>
      <c r="AW62" s="243"/>
      <c r="AX62" s="243"/>
      <c r="AY62" s="243"/>
      <c r="AZ62" s="243"/>
      <c r="BA62" s="243"/>
      <c r="BB62" s="243"/>
      <c r="BC62" s="243"/>
      <c r="BD62" s="243"/>
      <c r="BE62" s="243"/>
      <c r="BF62" s="243"/>
      <c r="BG62" s="243"/>
      <c r="BH62" s="243"/>
      <c r="BI62" s="243"/>
      <c r="BJ62" s="243"/>
      <c r="BK62" s="243"/>
      <c r="BL62" s="243"/>
      <c r="BM62" s="243"/>
      <c r="BN62" s="243"/>
      <c r="BO62" s="243"/>
      <c r="BP62" s="243"/>
      <c r="BQ62" s="243"/>
      <c r="BR62" s="243"/>
      <c r="BS62" s="243"/>
    </row>
    <row r="63" spans="1:71" s="111" customFormat="1" ht="41.25" customHeight="1">
      <c r="A63" s="178" t="s">
        <v>1672</v>
      </c>
      <c r="B63" s="178" t="str">
        <f ca="1">+UPPER(Tabla1321124[[#This Row],[DESCRIPCIÓN DE LA COMPRA O CONTRATACIÓN]])</f>
        <v>KIT GLP 8 CILINDROS GLP</v>
      </c>
      <c r="C63" s="39" t="s">
        <v>17</v>
      </c>
      <c r="D63" s="210"/>
      <c r="E63" s="210"/>
      <c r="F63" s="210">
        <v>1</v>
      </c>
      <c r="G63" s="210"/>
      <c r="H63" s="249">
        <f>Tabla1321124[[#This Row],[CUARTO TRIMESTRE]]+Tabla1321124[[#This Row],[TERCER TRIMESTRE]]+Tabla1321124[[#This Row],[SEGUNDO TRIMESTRE]]+Tabla1321124[[#This Row],[PRIMER TRIMESTRE]]</f>
        <v>1</v>
      </c>
      <c r="I63" s="17">
        <v>50000</v>
      </c>
      <c r="J63" s="246">
        <f>Tabla1321124[[#This Row],[PRECIO UNITARIO ESTIMADO]]*Tabla1321124[[#This Row],[CANTIDAD TOTAL]]</f>
        <v>50000</v>
      </c>
      <c r="K63" s="72"/>
      <c r="L63" s="16" t="s">
        <v>18</v>
      </c>
      <c r="M63" s="16" t="s">
        <v>22</v>
      </c>
      <c r="N63" s="16"/>
      <c r="O63" s="243"/>
      <c r="P63" s="243"/>
      <c r="Q63" s="243"/>
      <c r="R63" s="243"/>
      <c r="S63" s="243"/>
      <c r="T63" s="243"/>
      <c r="U63" s="243"/>
      <c r="V63" s="243"/>
      <c r="W63" s="243"/>
      <c r="X63" s="243"/>
      <c r="Y63" s="243"/>
      <c r="Z63" s="243"/>
      <c r="AA63" s="243"/>
      <c r="AB63" s="243"/>
      <c r="AC63" s="243"/>
      <c r="AD63" s="243"/>
      <c r="AE63" s="243"/>
      <c r="AF63" s="243"/>
      <c r="AG63" s="243"/>
      <c r="AH63" s="243"/>
      <c r="AI63" s="243"/>
      <c r="AJ63" s="243"/>
      <c r="AK63" s="243"/>
      <c r="AL63" s="243"/>
      <c r="AM63" s="243"/>
      <c r="AN63" s="243"/>
      <c r="AO63" s="243"/>
      <c r="AP63" s="243"/>
      <c r="AQ63" s="243"/>
      <c r="AR63" s="243"/>
      <c r="AS63" s="243"/>
      <c r="AT63" s="243"/>
      <c r="AU63" s="243"/>
      <c r="AV63" s="243"/>
      <c r="AW63" s="243"/>
      <c r="AX63" s="243"/>
      <c r="AY63" s="243"/>
      <c r="AZ63" s="243"/>
      <c r="BA63" s="243"/>
      <c r="BB63" s="243"/>
      <c r="BC63" s="243"/>
      <c r="BD63" s="243"/>
      <c r="BE63" s="243"/>
      <c r="BF63" s="243"/>
      <c r="BG63" s="243"/>
      <c r="BH63" s="243"/>
      <c r="BI63" s="243"/>
      <c r="BJ63" s="243"/>
      <c r="BK63" s="243"/>
      <c r="BL63" s="243"/>
      <c r="BM63" s="243"/>
      <c r="BN63" s="243"/>
      <c r="BO63" s="243"/>
      <c r="BP63" s="243"/>
      <c r="BQ63" s="243"/>
      <c r="BR63" s="243"/>
      <c r="BS63" s="243"/>
    </row>
    <row r="64" spans="1:71" s="111" customFormat="1" ht="41.25" customHeight="1">
      <c r="A64" s="178" t="s">
        <v>1672</v>
      </c>
      <c r="B64" s="178" t="str">
        <f ca="1">+UPPER(Tabla1321124[[#This Row],[DESCRIPCIÓN DE LA COMPRA O CONTRATACIÓN]])</f>
        <v>TANQUE CILINDRO 100 LITROS</v>
      </c>
      <c r="C64" s="39" t="s">
        <v>17</v>
      </c>
      <c r="D64" s="210"/>
      <c r="E64" s="210"/>
      <c r="F64" s="210">
        <v>1</v>
      </c>
      <c r="G64" s="210"/>
      <c r="H64" s="249">
        <f>Tabla1321124[[#This Row],[CUARTO TRIMESTRE]]+Tabla1321124[[#This Row],[TERCER TRIMESTRE]]+Tabla1321124[[#This Row],[SEGUNDO TRIMESTRE]]+Tabla1321124[[#This Row],[PRIMER TRIMESTRE]]</f>
        <v>1</v>
      </c>
      <c r="I64" s="17">
        <v>5500</v>
      </c>
      <c r="J64" s="246">
        <f>Tabla1321124[[#This Row],[PRECIO UNITARIO ESTIMADO]]*Tabla1321124[[#This Row],[CANTIDAD TOTAL]]</f>
        <v>5500</v>
      </c>
      <c r="K64" s="72"/>
      <c r="L64" s="16" t="s">
        <v>18</v>
      </c>
      <c r="M64" s="16" t="s">
        <v>22</v>
      </c>
      <c r="N64" s="16"/>
      <c r="O64" s="243"/>
      <c r="P64" s="243"/>
      <c r="Q64" s="243"/>
      <c r="R64" s="243"/>
      <c r="S64" s="243"/>
      <c r="T64" s="243"/>
      <c r="U64" s="243"/>
      <c r="V64" s="243"/>
      <c r="W64" s="243"/>
      <c r="X64" s="243"/>
      <c r="Y64" s="243"/>
      <c r="Z64" s="243"/>
      <c r="AA64" s="243"/>
      <c r="AB64" s="243"/>
      <c r="AC64" s="243"/>
      <c r="AD64" s="243"/>
      <c r="AE64" s="243"/>
      <c r="AF64" s="243"/>
      <c r="AG64" s="243"/>
      <c r="AH64" s="243"/>
      <c r="AI64" s="243"/>
      <c r="AJ64" s="243"/>
      <c r="AK64" s="243"/>
      <c r="AL64" s="243"/>
      <c r="AM64" s="243"/>
      <c r="AN64" s="243"/>
      <c r="AO64" s="243"/>
      <c r="AP64" s="243"/>
      <c r="AQ64" s="243"/>
      <c r="AR64" s="243"/>
      <c r="AS64" s="243"/>
      <c r="AT64" s="243"/>
      <c r="AU64" s="243"/>
      <c r="AV64" s="243"/>
      <c r="AW64" s="243"/>
      <c r="AX64" s="243"/>
      <c r="AY64" s="243"/>
      <c r="AZ64" s="243"/>
      <c r="BA64" s="243"/>
      <c r="BB64" s="243"/>
      <c r="BC64" s="243"/>
      <c r="BD64" s="243"/>
      <c r="BE64" s="243"/>
      <c r="BF64" s="243"/>
      <c r="BG64" s="243"/>
      <c r="BH64" s="243"/>
      <c r="BI64" s="243"/>
      <c r="BJ64" s="243"/>
      <c r="BK64" s="243"/>
      <c r="BL64" s="243"/>
      <c r="BM64" s="243"/>
      <c r="BN64" s="243"/>
      <c r="BO64" s="243"/>
      <c r="BP64" s="243"/>
      <c r="BQ64" s="243"/>
      <c r="BR64" s="243"/>
      <c r="BS64" s="243"/>
    </row>
    <row r="65" spans="1:71" s="111" customFormat="1" ht="41.25" customHeight="1">
      <c r="A65" s="178" t="s">
        <v>1672</v>
      </c>
      <c r="B65" s="178" t="str">
        <f ca="1">+UPPER(Tabla1321124[[#This Row],[DESCRIPCIÓN DE LA COMPRA O CONTRATACIÓN]])</f>
        <v xml:space="preserve">TANQUE PRESURIZADOS </v>
      </c>
      <c r="C65" s="39" t="s">
        <v>17</v>
      </c>
      <c r="D65" s="210"/>
      <c r="E65" s="210"/>
      <c r="F65" s="210">
        <v>1</v>
      </c>
      <c r="G65" s="210"/>
      <c r="H65" s="249">
        <f>Tabla1321124[[#This Row],[CUARTO TRIMESTRE]]+Tabla1321124[[#This Row],[TERCER TRIMESTRE]]+Tabla1321124[[#This Row],[SEGUNDO TRIMESTRE]]+Tabla1321124[[#This Row],[PRIMER TRIMESTRE]]</f>
        <v>1</v>
      </c>
      <c r="I65" s="17">
        <v>3500</v>
      </c>
      <c r="J65" s="246">
        <f>Tabla1321124[[#This Row],[PRECIO UNITARIO ESTIMADO]]*Tabla1321124[[#This Row],[CANTIDAD TOTAL]]</f>
        <v>3500</v>
      </c>
      <c r="K65" s="72"/>
      <c r="L65" s="16" t="s">
        <v>18</v>
      </c>
      <c r="M65" s="16" t="s">
        <v>22</v>
      </c>
      <c r="N65" s="16"/>
      <c r="O65" s="243"/>
      <c r="P65" s="243"/>
      <c r="Q65" s="243"/>
      <c r="R65" s="243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  <c r="AE65" s="243"/>
      <c r="AF65" s="243"/>
      <c r="AG65" s="243"/>
      <c r="AH65" s="243"/>
      <c r="AI65" s="243"/>
      <c r="AJ65" s="243"/>
      <c r="AK65" s="243"/>
      <c r="AL65" s="243"/>
      <c r="AM65" s="243"/>
      <c r="AN65" s="243"/>
      <c r="AO65" s="243"/>
      <c r="AP65" s="243"/>
      <c r="AQ65" s="243"/>
      <c r="AR65" s="243"/>
      <c r="AS65" s="243"/>
      <c r="AT65" s="243"/>
      <c r="AU65" s="243"/>
      <c r="AV65" s="243"/>
      <c r="AW65" s="243"/>
      <c r="AX65" s="243"/>
      <c r="AY65" s="243"/>
      <c r="AZ65" s="243"/>
      <c r="BA65" s="243"/>
      <c r="BB65" s="243"/>
      <c r="BC65" s="243"/>
      <c r="BD65" s="243"/>
      <c r="BE65" s="243"/>
      <c r="BF65" s="243"/>
      <c r="BG65" s="243"/>
      <c r="BH65" s="243"/>
      <c r="BI65" s="243"/>
      <c r="BJ65" s="243"/>
      <c r="BK65" s="243"/>
      <c r="BL65" s="243"/>
      <c r="BM65" s="243"/>
      <c r="BN65" s="243"/>
      <c r="BO65" s="243"/>
      <c r="BP65" s="243"/>
      <c r="BQ65" s="243"/>
      <c r="BR65" s="243"/>
      <c r="BS65" s="243"/>
    </row>
    <row r="66" spans="1:71" s="111" customFormat="1" ht="41.25" customHeight="1">
      <c r="A66" s="178" t="s">
        <v>1672</v>
      </c>
      <c r="B66" s="178" t="str">
        <f ca="1">+UPPER(Tabla1321124[[#This Row],[DESCRIPCIÓN DE LA COMPRA O CONTRATACIÓN]])</f>
        <v>SERVICIO DE INSTALACION KIT GLP</v>
      </c>
      <c r="C66" s="39" t="s">
        <v>17</v>
      </c>
      <c r="D66" s="210"/>
      <c r="E66" s="210"/>
      <c r="F66" s="210">
        <v>1</v>
      </c>
      <c r="G66" s="210"/>
      <c r="H66" s="249">
        <f>Tabla1321124[[#This Row],[CUARTO TRIMESTRE]]+Tabla1321124[[#This Row],[TERCER TRIMESTRE]]+Tabla1321124[[#This Row],[SEGUNDO TRIMESTRE]]+Tabla1321124[[#This Row],[PRIMER TRIMESTRE]]</f>
        <v>1</v>
      </c>
      <c r="I66" s="17">
        <v>15000</v>
      </c>
      <c r="J66" s="246">
        <f>Tabla1321124[[#This Row],[PRECIO UNITARIO ESTIMADO]]*Tabla1321124[[#This Row],[CANTIDAD TOTAL]]</f>
        <v>15000</v>
      </c>
      <c r="K66" s="72"/>
      <c r="L66" s="16" t="s">
        <v>18</v>
      </c>
      <c r="M66" s="16" t="s">
        <v>22</v>
      </c>
      <c r="N66" s="16"/>
      <c r="O66" s="243"/>
      <c r="P66" s="243"/>
      <c r="Q66" s="243"/>
      <c r="R66" s="243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  <c r="AE66" s="243"/>
      <c r="AF66" s="243"/>
      <c r="AG66" s="243"/>
      <c r="AH66" s="243"/>
      <c r="AI66" s="243"/>
      <c r="AJ66" s="243"/>
      <c r="AK66" s="243"/>
      <c r="AL66" s="243"/>
      <c r="AM66" s="243"/>
      <c r="AN66" s="243"/>
      <c r="AO66" s="243"/>
      <c r="AP66" s="243"/>
      <c r="AQ66" s="243"/>
      <c r="AR66" s="243"/>
      <c r="AS66" s="243"/>
      <c r="AT66" s="243"/>
      <c r="AU66" s="243"/>
      <c r="AV66" s="243"/>
      <c r="AW66" s="243"/>
      <c r="AX66" s="243"/>
      <c r="AY66" s="243"/>
      <c r="AZ66" s="243"/>
      <c r="BA66" s="243"/>
      <c r="BB66" s="243"/>
      <c r="BC66" s="243"/>
      <c r="BD66" s="243"/>
      <c r="BE66" s="243"/>
      <c r="BF66" s="243"/>
      <c r="BG66" s="243"/>
      <c r="BH66" s="243"/>
      <c r="BI66" s="243"/>
      <c r="BJ66" s="243"/>
      <c r="BK66" s="243"/>
      <c r="BL66" s="243"/>
      <c r="BM66" s="243"/>
      <c r="BN66" s="243"/>
      <c r="BO66" s="243"/>
      <c r="BP66" s="243"/>
      <c r="BQ66" s="243"/>
      <c r="BR66" s="243"/>
      <c r="BS66" s="243"/>
    </row>
    <row r="67" spans="1:71" s="111" customFormat="1" ht="41.25" customHeight="1">
      <c r="A67" s="178" t="s">
        <v>1672</v>
      </c>
      <c r="B67" s="178" t="str">
        <f ca="1">+UPPER(Tabla1321124[[#This Row],[DESCRIPCIÓN DE LA COMPRA O CONTRATACIÓN]])</f>
        <v>SERVICIO MANTENIMIENTO CAMION SUCCIONADOR INTERNACIONAL</v>
      </c>
      <c r="C67" s="39" t="s">
        <v>17</v>
      </c>
      <c r="D67" s="210"/>
      <c r="E67" s="210"/>
      <c r="F67" s="210">
        <v>1</v>
      </c>
      <c r="G67" s="210"/>
      <c r="H67" s="249">
        <f>Tabla1321124[[#This Row],[CUARTO TRIMESTRE]]+Tabla1321124[[#This Row],[TERCER TRIMESTRE]]+Tabla1321124[[#This Row],[SEGUNDO TRIMESTRE]]+Tabla1321124[[#This Row],[PRIMER TRIMESTRE]]</f>
        <v>1</v>
      </c>
      <c r="I67" s="17">
        <v>20000</v>
      </c>
      <c r="J67" s="246">
        <f>Tabla1321124[[#This Row],[PRECIO UNITARIO ESTIMADO]]*Tabla1321124[[#This Row],[CANTIDAD TOTAL]]</f>
        <v>20000</v>
      </c>
      <c r="K67" s="72"/>
      <c r="L67" s="16" t="s">
        <v>18</v>
      </c>
      <c r="M67" s="16" t="s">
        <v>22</v>
      </c>
      <c r="N67" s="16"/>
      <c r="O67" s="243"/>
      <c r="P67" s="243"/>
      <c r="Q67" s="243"/>
      <c r="R67" s="243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  <c r="AE67" s="243"/>
      <c r="AF67" s="243"/>
      <c r="AG67" s="243"/>
      <c r="AH67" s="243"/>
      <c r="AI67" s="243"/>
      <c r="AJ67" s="243"/>
      <c r="AK67" s="243"/>
      <c r="AL67" s="243"/>
      <c r="AM67" s="243"/>
      <c r="AN67" s="243"/>
      <c r="AO67" s="243"/>
      <c r="AP67" s="243"/>
      <c r="AQ67" s="243"/>
      <c r="AR67" s="243"/>
      <c r="AS67" s="243"/>
      <c r="AT67" s="243"/>
      <c r="AU67" s="243"/>
      <c r="AV67" s="243"/>
      <c r="AW67" s="243"/>
      <c r="AX67" s="243"/>
      <c r="AY67" s="243"/>
      <c r="AZ67" s="243"/>
      <c r="BA67" s="243"/>
      <c r="BB67" s="243"/>
      <c r="BC67" s="243"/>
      <c r="BD67" s="243"/>
      <c r="BE67" s="243"/>
      <c r="BF67" s="243"/>
      <c r="BG67" s="243"/>
      <c r="BH67" s="243"/>
      <c r="BI67" s="243"/>
      <c r="BJ67" s="243"/>
      <c r="BK67" s="243"/>
      <c r="BL67" s="243"/>
      <c r="BM67" s="243"/>
      <c r="BN67" s="243"/>
      <c r="BO67" s="243"/>
      <c r="BP67" s="243"/>
      <c r="BQ67" s="243"/>
      <c r="BR67" s="243"/>
      <c r="BS67" s="243"/>
    </row>
    <row r="68" spans="1:71" s="111" customFormat="1" ht="41.25" customHeight="1">
      <c r="A68" s="178" t="s">
        <v>1672</v>
      </c>
      <c r="B68" s="178" t="str">
        <f ca="1">+UPPER(Tabla1321124[[#This Row],[DESCRIPCIÓN DE LA COMPRA O CONTRATACIÓN]])</f>
        <v>SERVICIO REPARACION CAMION SUCCIONADOR INTERNACIONAL</v>
      </c>
      <c r="C68" s="39" t="s">
        <v>17</v>
      </c>
      <c r="D68" s="210"/>
      <c r="E68" s="210"/>
      <c r="F68" s="210">
        <v>1</v>
      </c>
      <c r="G68" s="210"/>
      <c r="H68" s="249">
        <f>Tabla1321124[[#This Row],[CUARTO TRIMESTRE]]+Tabla1321124[[#This Row],[TERCER TRIMESTRE]]+Tabla1321124[[#This Row],[SEGUNDO TRIMESTRE]]+Tabla1321124[[#This Row],[PRIMER TRIMESTRE]]</f>
        <v>1</v>
      </c>
      <c r="I68" s="17">
        <v>25000</v>
      </c>
      <c r="J68" s="246">
        <f>Tabla1321124[[#This Row],[PRECIO UNITARIO ESTIMADO]]*Tabla1321124[[#This Row],[CANTIDAD TOTAL]]</f>
        <v>25000</v>
      </c>
      <c r="K68" s="72"/>
      <c r="L68" s="16" t="s">
        <v>18</v>
      </c>
      <c r="M68" s="16" t="s">
        <v>22</v>
      </c>
      <c r="N68" s="16"/>
      <c r="O68" s="243"/>
      <c r="P68" s="243"/>
      <c r="Q68" s="243"/>
      <c r="R68" s="243"/>
      <c r="S68" s="243"/>
      <c r="T68" s="243"/>
      <c r="U68" s="243"/>
      <c r="V68" s="243"/>
      <c r="W68" s="243"/>
      <c r="X68" s="243"/>
      <c r="Y68" s="243"/>
      <c r="Z68" s="243"/>
      <c r="AA68" s="243"/>
      <c r="AB68" s="243"/>
      <c r="AC68" s="243"/>
      <c r="AD68" s="243"/>
      <c r="AE68" s="243"/>
      <c r="AF68" s="243"/>
      <c r="AG68" s="243"/>
      <c r="AH68" s="243"/>
      <c r="AI68" s="243"/>
      <c r="AJ68" s="243"/>
      <c r="AK68" s="243"/>
      <c r="AL68" s="243"/>
      <c r="AM68" s="243"/>
      <c r="AN68" s="243"/>
      <c r="AO68" s="243"/>
      <c r="AP68" s="243"/>
      <c r="AQ68" s="243"/>
      <c r="AR68" s="243"/>
      <c r="AS68" s="243"/>
      <c r="AT68" s="243"/>
      <c r="AU68" s="243"/>
      <c r="AV68" s="243"/>
      <c r="AW68" s="243"/>
      <c r="AX68" s="243"/>
      <c r="AY68" s="243"/>
      <c r="AZ68" s="243"/>
      <c r="BA68" s="243"/>
      <c r="BB68" s="243"/>
      <c r="BC68" s="243"/>
      <c r="BD68" s="243"/>
      <c r="BE68" s="243"/>
      <c r="BF68" s="243"/>
      <c r="BG68" s="243"/>
      <c r="BH68" s="243"/>
      <c r="BI68" s="243"/>
      <c r="BJ68" s="243"/>
      <c r="BK68" s="243"/>
      <c r="BL68" s="243"/>
      <c r="BM68" s="243"/>
      <c r="BN68" s="243"/>
      <c r="BO68" s="243"/>
      <c r="BP68" s="243"/>
      <c r="BQ68" s="243"/>
      <c r="BR68" s="243"/>
      <c r="BS68" s="243"/>
    </row>
    <row r="69" spans="1:71" s="111" customFormat="1" ht="41.25" customHeight="1">
      <c r="A69" s="178" t="s">
        <v>1672</v>
      </c>
      <c r="B69" s="178" t="str">
        <f ca="1">+UPPER(Tabla1321124[[#This Row],[DESCRIPCIÓN DE LA COMPRA O CONTRATACIÓN]])</f>
        <v>CAMION CAMA LARGA</v>
      </c>
      <c r="C69" s="39" t="s">
        <v>17</v>
      </c>
      <c r="D69" s="210">
        <v>1</v>
      </c>
      <c r="E69" s="210"/>
      <c r="F69" s="210">
        <v>1</v>
      </c>
      <c r="G69" s="210"/>
      <c r="H69" s="210">
        <f>SUM(Tabla1321124[[#This Row],[PRIMER TRIMESTRE]:[CUARTO TRIMESTRE]])</f>
        <v>2</v>
      </c>
      <c r="I69" s="17">
        <v>1400000</v>
      </c>
      <c r="J69" s="246">
        <f>Tabla1321124[[#This Row],[PRECIO UNITARIO ESTIMADO]]*Tabla1321124[[#This Row],[CANTIDAD TOTAL]]</f>
        <v>2800000</v>
      </c>
      <c r="K69" s="77"/>
      <c r="L69" s="16" t="s">
        <v>18</v>
      </c>
      <c r="M69" s="16" t="s">
        <v>22</v>
      </c>
      <c r="N69" s="16"/>
      <c r="O69" s="243"/>
      <c r="P69" s="243"/>
      <c r="Q69" s="243"/>
      <c r="R69" s="243"/>
      <c r="S69" s="243"/>
      <c r="T69" s="243"/>
      <c r="U69" s="243"/>
      <c r="V69" s="243"/>
      <c r="W69" s="243"/>
      <c r="X69" s="243"/>
      <c r="Y69" s="243"/>
      <c r="Z69" s="243"/>
      <c r="AA69" s="243"/>
      <c r="AB69" s="243"/>
      <c r="AC69" s="243"/>
      <c r="AD69" s="243"/>
      <c r="AE69" s="243"/>
      <c r="AF69" s="243"/>
      <c r="AG69" s="243"/>
      <c r="AH69" s="243"/>
      <c r="AI69" s="243"/>
      <c r="AJ69" s="243"/>
      <c r="AK69" s="243"/>
      <c r="AL69" s="243"/>
      <c r="AM69" s="243"/>
      <c r="AN69" s="243"/>
      <c r="AO69" s="243"/>
      <c r="AP69" s="243"/>
      <c r="AQ69" s="243"/>
      <c r="AR69" s="243"/>
      <c r="AS69" s="243"/>
      <c r="AT69" s="243"/>
      <c r="AU69" s="243"/>
      <c r="AV69" s="243"/>
      <c r="AW69" s="243"/>
      <c r="AX69" s="243"/>
      <c r="AY69" s="243"/>
      <c r="AZ69" s="243"/>
      <c r="BA69" s="243"/>
      <c r="BB69" s="243"/>
      <c r="BC69" s="243"/>
      <c r="BD69" s="243"/>
      <c r="BE69" s="243"/>
      <c r="BF69" s="243"/>
      <c r="BG69" s="243"/>
      <c r="BH69" s="243"/>
      <c r="BI69" s="243"/>
      <c r="BJ69" s="243"/>
      <c r="BK69" s="243"/>
      <c r="BL69" s="243"/>
      <c r="BM69" s="243"/>
      <c r="BN69" s="243"/>
      <c r="BO69" s="243"/>
      <c r="BP69" s="243"/>
      <c r="BQ69" s="243"/>
      <c r="BR69" s="243"/>
      <c r="BS69" s="243"/>
    </row>
    <row r="70" spans="1:71" s="111" customFormat="1" ht="41.25" customHeight="1">
      <c r="A70" s="178" t="s">
        <v>1672</v>
      </c>
      <c r="B70" s="178" t="str">
        <f ca="1">+UPPER(Tabla1321124[[#This Row],[DESCRIPCIÓN DE LA COMPRA O CONTRATACIÓN]])</f>
        <v>CAMION CAMA CORTA</v>
      </c>
      <c r="C70" s="39" t="s">
        <v>17</v>
      </c>
      <c r="D70" s="210">
        <v>3</v>
      </c>
      <c r="E70" s="210"/>
      <c r="F70" s="210">
        <v>3</v>
      </c>
      <c r="G70" s="210"/>
      <c r="H70" s="210">
        <f>SUM(Tabla1321124[[#This Row],[PRIMER TRIMESTRE]:[CUARTO TRIMESTRE]])</f>
        <v>6</v>
      </c>
      <c r="I70" s="17">
        <v>1400000</v>
      </c>
      <c r="J70" s="246">
        <f>Tabla1321124[[#This Row],[PRECIO UNITARIO ESTIMADO]]*Tabla1321124[[#This Row],[CANTIDAD TOTAL]]</f>
        <v>8400000</v>
      </c>
      <c r="K70" s="77"/>
      <c r="L70" s="16" t="s">
        <v>18</v>
      </c>
      <c r="M70" s="16" t="s">
        <v>22</v>
      </c>
      <c r="N70" s="16"/>
      <c r="O70" s="243"/>
      <c r="P70" s="243"/>
      <c r="Q70" s="243"/>
      <c r="R70" s="243"/>
      <c r="S70" s="243"/>
      <c r="T70" s="243"/>
      <c r="U70" s="243"/>
      <c r="V70" s="243"/>
      <c r="W70" s="243"/>
      <c r="X70" s="243"/>
      <c r="Y70" s="243"/>
      <c r="Z70" s="243"/>
      <c r="AA70" s="243"/>
      <c r="AB70" s="243"/>
      <c r="AC70" s="243"/>
      <c r="AD70" s="243"/>
      <c r="AE70" s="243"/>
      <c r="AF70" s="243"/>
      <c r="AG70" s="243"/>
      <c r="AH70" s="243"/>
      <c r="AI70" s="243"/>
      <c r="AJ70" s="243"/>
      <c r="AK70" s="243"/>
      <c r="AL70" s="243"/>
      <c r="AM70" s="243"/>
      <c r="AN70" s="243"/>
      <c r="AO70" s="243"/>
      <c r="AP70" s="243"/>
      <c r="AQ70" s="243"/>
      <c r="AR70" s="243"/>
      <c r="AS70" s="243"/>
      <c r="AT70" s="243"/>
      <c r="AU70" s="243"/>
      <c r="AV70" s="243"/>
      <c r="AW70" s="243"/>
      <c r="AX70" s="243"/>
      <c r="AY70" s="243"/>
      <c r="AZ70" s="243"/>
      <c r="BA70" s="243"/>
      <c r="BB70" s="243"/>
      <c r="BC70" s="243"/>
      <c r="BD70" s="243"/>
      <c r="BE70" s="243"/>
      <c r="BF70" s="243"/>
      <c r="BG70" s="243"/>
      <c r="BH70" s="243"/>
      <c r="BI70" s="243"/>
      <c r="BJ70" s="243"/>
      <c r="BK70" s="243"/>
      <c r="BL70" s="243"/>
      <c r="BM70" s="243"/>
      <c r="BN70" s="243"/>
      <c r="BO70" s="243"/>
      <c r="BP70" s="243"/>
      <c r="BQ70" s="243"/>
      <c r="BR70" s="243"/>
      <c r="BS70" s="243"/>
    </row>
    <row r="71" spans="1:71" s="111" customFormat="1" ht="41.25" customHeight="1">
      <c r="A71" s="178" t="s">
        <v>1672</v>
      </c>
      <c r="B71" s="178" t="str">
        <f ca="1">+UPPER(Tabla1321124[[#This Row],[DESCRIPCIÓN DE LA COMPRA O CONTRATACIÓN]])</f>
        <v>CAMION PERFORADOR</v>
      </c>
      <c r="C71" s="39" t="s">
        <v>17</v>
      </c>
      <c r="D71" s="210"/>
      <c r="E71" s="210">
        <v>1</v>
      </c>
      <c r="F71" s="210"/>
      <c r="G71" s="210"/>
      <c r="H71" s="249">
        <f>Tabla1321124[[#This Row],[CUARTO TRIMESTRE]]+Tabla1321124[[#This Row],[TERCER TRIMESTRE]]+Tabla1321124[[#This Row],[SEGUNDO TRIMESTRE]]+Tabla1321124[[#This Row],[PRIMER TRIMESTRE]]</f>
        <v>1</v>
      </c>
      <c r="I71" s="17">
        <v>7000000</v>
      </c>
      <c r="J71" s="246">
        <f>Tabla1321124[[#This Row],[PRECIO UNITARIO ESTIMADO]]*Tabla1321124[[#This Row],[CANTIDAD TOTAL]]</f>
        <v>7000000</v>
      </c>
      <c r="K71" s="341"/>
      <c r="L71" s="16" t="s">
        <v>18</v>
      </c>
      <c r="M71" s="16" t="s">
        <v>22</v>
      </c>
      <c r="N71" s="16"/>
      <c r="O71" s="243"/>
      <c r="P71" s="243"/>
      <c r="Q71" s="243"/>
      <c r="R71" s="243"/>
      <c r="S71" s="243"/>
      <c r="T71" s="243"/>
      <c r="U71" s="243"/>
      <c r="V71" s="243"/>
      <c r="W71" s="243"/>
      <c r="X71" s="243"/>
      <c r="Y71" s="243"/>
      <c r="Z71" s="243"/>
      <c r="AA71" s="243"/>
      <c r="AB71" s="243"/>
      <c r="AC71" s="243"/>
      <c r="AD71" s="243"/>
      <c r="AE71" s="243"/>
      <c r="AF71" s="243"/>
      <c r="AG71" s="243"/>
      <c r="AH71" s="243"/>
      <c r="AI71" s="243"/>
      <c r="AJ71" s="243"/>
      <c r="AK71" s="243"/>
      <c r="AL71" s="243"/>
      <c r="AM71" s="243"/>
      <c r="AN71" s="243"/>
      <c r="AO71" s="243"/>
      <c r="AP71" s="243"/>
      <c r="AQ71" s="243"/>
      <c r="AR71" s="243"/>
      <c r="AS71" s="243"/>
      <c r="AT71" s="243"/>
      <c r="AU71" s="243"/>
      <c r="AV71" s="243"/>
      <c r="AW71" s="243"/>
      <c r="AX71" s="243"/>
      <c r="AY71" s="243"/>
      <c r="AZ71" s="243"/>
      <c r="BA71" s="243"/>
      <c r="BB71" s="243"/>
      <c r="BC71" s="243"/>
      <c r="BD71" s="243"/>
      <c r="BE71" s="243"/>
      <c r="BF71" s="243"/>
      <c r="BG71" s="243"/>
      <c r="BH71" s="243"/>
      <c r="BI71" s="243"/>
      <c r="BJ71" s="243"/>
      <c r="BK71" s="243"/>
      <c r="BL71" s="243"/>
      <c r="BM71" s="243"/>
      <c r="BN71" s="243"/>
      <c r="BO71" s="243"/>
      <c r="BP71" s="243"/>
      <c r="BQ71" s="243"/>
      <c r="BR71" s="243"/>
      <c r="BS71" s="243"/>
    </row>
    <row r="72" spans="1:71" s="111" customFormat="1" ht="41.25" customHeight="1">
      <c r="A72" s="178" t="s">
        <v>1672</v>
      </c>
      <c r="B72" s="178" t="str">
        <f ca="1">+UPPER(Tabla1321124[[#This Row],[DESCRIPCIÓN DE LA COMPRA O CONTRATACIÓN]])</f>
        <v>CAMION SUCCIONADOR</v>
      </c>
      <c r="C72" s="39" t="s">
        <v>17</v>
      </c>
      <c r="D72" s="210"/>
      <c r="E72" s="210">
        <v>1</v>
      </c>
      <c r="F72" s="210"/>
      <c r="G72" s="210">
        <v>1</v>
      </c>
      <c r="H72" s="249">
        <f>Tabla1321124[[#This Row],[CUARTO TRIMESTRE]]+Tabla1321124[[#This Row],[TERCER TRIMESTRE]]+Tabla1321124[[#This Row],[PRIMER TRIMESTRE]]+Tabla1321124[[#This Row],[SEGUNDO TRIMESTRE]]</f>
        <v>2</v>
      </c>
      <c r="I72" s="17">
        <v>13800000</v>
      </c>
      <c r="J72" s="246">
        <f>Tabla1321124[[#This Row],[PRECIO UNITARIO ESTIMADO]]*Tabla1321124[[#This Row],[CANTIDAD TOTAL]]</f>
        <v>27600000</v>
      </c>
      <c r="K72" s="341"/>
      <c r="L72" s="16" t="s">
        <v>18</v>
      </c>
      <c r="M72" s="16" t="s">
        <v>22</v>
      </c>
      <c r="N72" s="16"/>
      <c r="O72" s="243"/>
      <c r="P72" s="243"/>
      <c r="Q72" s="243"/>
      <c r="R72" s="243"/>
      <c r="S72" s="243"/>
      <c r="T72" s="243"/>
      <c r="U72" s="243"/>
      <c r="V72" s="243"/>
      <c r="W72" s="243"/>
      <c r="X72" s="243"/>
      <c r="Y72" s="243"/>
      <c r="Z72" s="243"/>
      <c r="AA72" s="243"/>
      <c r="AB72" s="243"/>
      <c r="AC72" s="243"/>
      <c r="AD72" s="243"/>
      <c r="AE72" s="243"/>
      <c r="AF72" s="243"/>
      <c r="AG72" s="243"/>
      <c r="AH72" s="243"/>
      <c r="AI72" s="243"/>
      <c r="AJ72" s="243"/>
      <c r="AK72" s="243"/>
      <c r="AL72" s="243"/>
      <c r="AM72" s="243"/>
      <c r="AN72" s="243"/>
      <c r="AO72" s="243"/>
      <c r="AP72" s="243"/>
      <c r="AQ72" s="243"/>
      <c r="AR72" s="243"/>
      <c r="AS72" s="243"/>
      <c r="AT72" s="243"/>
      <c r="AU72" s="243"/>
      <c r="AV72" s="243"/>
      <c r="AW72" s="243"/>
      <c r="AX72" s="243"/>
      <c r="AY72" s="243"/>
      <c r="AZ72" s="243"/>
      <c r="BA72" s="243"/>
      <c r="BB72" s="243"/>
      <c r="BC72" s="243"/>
      <c r="BD72" s="243"/>
      <c r="BE72" s="243"/>
      <c r="BF72" s="243"/>
      <c r="BG72" s="243"/>
      <c r="BH72" s="243"/>
      <c r="BI72" s="243"/>
      <c r="BJ72" s="243"/>
      <c r="BK72" s="243"/>
      <c r="BL72" s="243"/>
      <c r="BM72" s="243"/>
      <c r="BN72" s="243"/>
      <c r="BO72" s="243"/>
      <c r="BP72" s="243"/>
      <c r="BQ72" s="243"/>
      <c r="BR72" s="243"/>
      <c r="BS72" s="243"/>
    </row>
    <row r="73" spans="1:71" s="111" customFormat="1" ht="41.25" customHeight="1">
      <c r="A73" s="178" t="s">
        <v>1672</v>
      </c>
      <c r="B73" s="178" t="str">
        <f ca="1">+UPPER(Tabla1321124[[#This Row],[DESCRIPCIÓN DE LA COMPRA O CONTRATACIÓN]])</f>
        <v>MONTA CARGAS</v>
      </c>
      <c r="C73" s="39" t="s">
        <v>17</v>
      </c>
      <c r="D73" s="210"/>
      <c r="E73" s="210"/>
      <c r="F73" s="210">
        <v>1</v>
      </c>
      <c r="G73" s="210"/>
      <c r="H73" s="249">
        <f>Tabla1321124[[#This Row],[CUARTO TRIMESTRE]]+Tabla1321124[[#This Row],[TERCER TRIMESTRE]]+Tabla1321124[[#This Row],[SEGUNDO TRIMESTRE]]+Tabla1321124[[#This Row],[PRIMER TRIMESTRE]]</f>
        <v>1</v>
      </c>
      <c r="I73" s="17">
        <v>980000</v>
      </c>
      <c r="J73" s="246">
        <f>Tabla1321124[[#This Row],[PRECIO UNITARIO ESTIMADO]]*Tabla1321124[[#This Row],[CANTIDAD TOTAL]]</f>
        <v>980000</v>
      </c>
      <c r="K73" s="341"/>
      <c r="L73" s="16" t="s">
        <v>18</v>
      </c>
      <c r="M73" s="16" t="s">
        <v>22</v>
      </c>
      <c r="N73" s="16"/>
      <c r="O73" s="243"/>
      <c r="P73" s="243"/>
      <c r="Q73" s="243"/>
      <c r="R73" s="243"/>
      <c r="S73" s="243"/>
      <c r="T73" s="243"/>
      <c r="U73" s="243"/>
      <c r="V73" s="243"/>
      <c r="W73" s="243"/>
      <c r="X73" s="243"/>
      <c r="Y73" s="243"/>
      <c r="Z73" s="243"/>
      <c r="AA73" s="243"/>
      <c r="AB73" s="243"/>
      <c r="AC73" s="243"/>
      <c r="AD73" s="243"/>
      <c r="AE73" s="243"/>
      <c r="AF73" s="243"/>
      <c r="AG73" s="243"/>
      <c r="AH73" s="243"/>
      <c r="AI73" s="243"/>
      <c r="AJ73" s="243"/>
      <c r="AK73" s="243"/>
      <c r="AL73" s="243"/>
      <c r="AM73" s="243"/>
      <c r="AN73" s="243"/>
      <c r="AO73" s="243"/>
      <c r="AP73" s="243"/>
      <c r="AQ73" s="243"/>
      <c r="AR73" s="243"/>
      <c r="AS73" s="243"/>
      <c r="AT73" s="243"/>
      <c r="AU73" s="243"/>
      <c r="AV73" s="243"/>
      <c r="AW73" s="243"/>
      <c r="AX73" s="243"/>
      <c r="AY73" s="243"/>
      <c r="AZ73" s="243"/>
      <c r="BA73" s="243"/>
      <c r="BB73" s="243"/>
      <c r="BC73" s="243"/>
      <c r="BD73" s="243"/>
      <c r="BE73" s="243"/>
      <c r="BF73" s="243"/>
      <c r="BG73" s="243"/>
      <c r="BH73" s="243"/>
      <c r="BI73" s="243"/>
      <c r="BJ73" s="243"/>
      <c r="BK73" s="243"/>
      <c r="BL73" s="243"/>
      <c r="BM73" s="243"/>
      <c r="BN73" s="243"/>
      <c r="BO73" s="243"/>
      <c r="BP73" s="243"/>
      <c r="BQ73" s="243"/>
      <c r="BR73" s="243"/>
      <c r="BS73" s="243"/>
    </row>
    <row r="74" spans="1:71" s="111" customFormat="1" ht="41.25" customHeight="1">
      <c r="A74" s="178" t="s">
        <v>1672</v>
      </c>
      <c r="B74" s="178" t="str">
        <f ca="1">+UPPER(Tabla1321124[[#This Row],[DESCRIPCIÓN DE LA COMPRA O CONTRATACIÓN]])</f>
        <v>ELEVADORES DE CUATRO PINES PARA MANTENIMIENTO DE VEHICULOS</v>
      </c>
      <c r="C74" s="39" t="s">
        <v>17</v>
      </c>
      <c r="D74" s="210">
        <v>2</v>
      </c>
      <c r="E74" s="210"/>
      <c r="F74" s="210"/>
      <c r="G74" s="210"/>
      <c r="H74" s="249">
        <f>Tabla1321124[[#This Row],[CUARTO TRIMESTRE]]+Tabla1321124[[#This Row],[TERCER TRIMESTRE]]+Tabla1321124[[#This Row],[SEGUNDO TRIMESTRE]]+Tabla1321124[[#This Row],[PRIMER TRIMESTRE]]</f>
        <v>2</v>
      </c>
      <c r="I74" s="17">
        <v>260000</v>
      </c>
      <c r="J74" s="246">
        <f>Tabla1321124[[#This Row],[PRECIO UNITARIO ESTIMADO]]*Tabla1321124[[#This Row],[CANTIDAD TOTAL]]</f>
        <v>520000</v>
      </c>
      <c r="K74" s="341"/>
      <c r="L74" s="16" t="s">
        <v>18</v>
      </c>
      <c r="M74" s="16" t="s">
        <v>22</v>
      </c>
      <c r="N74" s="16"/>
      <c r="O74" s="243"/>
      <c r="P74" s="243"/>
      <c r="Q74" s="243"/>
      <c r="R74" s="243"/>
      <c r="S74" s="243"/>
      <c r="T74" s="243"/>
      <c r="U74" s="243"/>
      <c r="V74" s="243"/>
      <c r="W74" s="243"/>
      <c r="X74" s="243"/>
      <c r="Y74" s="243"/>
      <c r="Z74" s="243"/>
      <c r="AA74" s="243"/>
      <c r="AB74" s="243"/>
      <c r="AC74" s="243"/>
      <c r="AD74" s="243"/>
      <c r="AE74" s="243"/>
      <c r="AF74" s="243"/>
      <c r="AG74" s="243"/>
      <c r="AH74" s="243"/>
      <c r="AI74" s="243"/>
      <c r="AJ74" s="243"/>
      <c r="AK74" s="243"/>
      <c r="AL74" s="243"/>
      <c r="AM74" s="243"/>
      <c r="AN74" s="243"/>
      <c r="AO74" s="243"/>
      <c r="AP74" s="243"/>
      <c r="AQ74" s="243"/>
      <c r="AR74" s="243"/>
      <c r="AS74" s="243"/>
      <c r="AT74" s="243"/>
      <c r="AU74" s="243"/>
      <c r="AV74" s="243"/>
      <c r="AW74" s="243"/>
      <c r="AX74" s="243"/>
      <c r="AY74" s="243"/>
      <c r="AZ74" s="243"/>
      <c r="BA74" s="243"/>
      <c r="BB74" s="243"/>
      <c r="BC74" s="243"/>
      <c r="BD74" s="243"/>
      <c r="BE74" s="243"/>
      <c r="BF74" s="243"/>
      <c r="BG74" s="243"/>
      <c r="BH74" s="243"/>
      <c r="BI74" s="243"/>
      <c r="BJ74" s="243"/>
      <c r="BK74" s="243"/>
      <c r="BL74" s="243"/>
      <c r="BM74" s="243"/>
      <c r="BN74" s="243"/>
      <c r="BO74" s="243"/>
      <c r="BP74" s="243"/>
      <c r="BQ74" s="243"/>
      <c r="BR74" s="243"/>
      <c r="BS74" s="243"/>
    </row>
    <row r="75" spans="1:71" s="111" customFormat="1" ht="41.25" customHeight="1">
      <c r="A75" s="178" t="s">
        <v>1672</v>
      </c>
      <c r="B75" s="178" t="str">
        <f ca="1">+UPPER(Tabla1321124[[#This Row],[DESCRIPCIÓN DE LA COMPRA O CONTRATACIÓN]])</f>
        <v>CAMION GRUA 20 TN</v>
      </c>
      <c r="C75" s="39" t="s">
        <v>17</v>
      </c>
      <c r="D75" s="210">
        <v>1</v>
      </c>
      <c r="E75" s="210"/>
      <c r="F75" s="210"/>
      <c r="G75" s="210"/>
      <c r="H75" s="210">
        <f>SUM(Tabla1321124[[#This Row],[PRIMER TRIMESTRE]:[CUARTO TRIMESTRE]])</f>
        <v>1</v>
      </c>
      <c r="I75" s="17">
        <v>11500000</v>
      </c>
      <c r="J75" s="246">
        <f>Tabla1321124[[#This Row],[PRECIO UNITARIO ESTIMADO]]*Tabla1321124[[#This Row],[CANTIDAD TOTAL]]</f>
        <v>11500000</v>
      </c>
      <c r="K75" s="77"/>
      <c r="L75" s="16" t="s">
        <v>18</v>
      </c>
      <c r="M75" s="16" t="s">
        <v>22</v>
      </c>
      <c r="N75" s="16"/>
      <c r="O75" s="243"/>
      <c r="P75" s="243"/>
      <c r="Q75" s="243"/>
      <c r="R75" s="243"/>
      <c r="S75" s="243"/>
      <c r="T75" s="243"/>
      <c r="U75" s="243"/>
      <c r="V75" s="243"/>
      <c r="W75" s="243"/>
      <c r="X75" s="243"/>
      <c r="Y75" s="243"/>
      <c r="Z75" s="243"/>
      <c r="AA75" s="243"/>
      <c r="AB75" s="243"/>
      <c r="AC75" s="243"/>
      <c r="AD75" s="243"/>
      <c r="AE75" s="243"/>
      <c r="AF75" s="243"/>
      <c r="AG75" s="243"/>
      <c r="AH75" s="243"/>
      <c r="AI75" s="243"/>
      <c r="AJ75" s="243"/>
      <c r="AK75" s="243"/>
      <c r="AL75" s="243"/>
      <c r="AM75" s="243"/>
      <c r="AN75" s="243"/>
      <c r="AO75" s="243"/>
      <c r="AP75" s="243"/>
      <c r="AQ75" s="243"/>
      <c r="AR75" s="243"/>
      <c r="AS75" s="243"/>
      <c r="AT75" s="243"/>
      <c r="AU75" s="243"/>
      <c r="AV75" s="243"/>
      <c r="AW75" s="243"/>
      <c r="AX75" s="243"/>
      <c r="AY75" s="243"/>
      <c r="AZ75" s="243"/>
      <c r="BA75" s="243"/>
      <c r="BB75" s="243"/>
      <c r="BC75" s="243"/>
      <c r="BD75" s="243"/>
      <c r="BE75" s="243"/>
      <c r="BF75" s="243"/>
      <c r="BG75" s="243"/>
      <c r="BH75" s="243"/>
      <c r="BI75" s="243"/>
      <c r="BJ75" s="243"/>
      <c r="BK75" s="243"/>
      <c r="BL75" s="243"/>
      <c r="BM75" s="243"/>
      <c r="BN75" s="243"/>
      <c r="BO75" s="243"/>
      <c r="BP75" s="243"/>
      <c r="BQ75" s="243"/>
      <c r="BR75" s="243"/>
      <c r="BS75" s="243"/>
    </row>
    <row r="76" spans="1:71" s="169" customFormat="1" ht="41.25" customHeight="1">
      <c r="A76" s="178" t="s">
        <v>1672</v>
      </c>
      <c r="B76" s="178" t="str">
        <f ca="1">+UPPER(Tabla1321124[[#This Row],[DESCRIPCIÓN DE LA COMPRA O CONTRATACIÓN]])</f>
        <v>CAMION GRUA CON CAMA 12 TN</v>
      </c>
      <c r="C76" s="39" t="s">
        <v>17</v>
      </c>
      <c r="D76" s="210"/>
      <c r="E76" s="210">
        <f>1+1</f>
        <v>2</v>
      </c>
      <c r="F76" s="210"/>
      <c r="G76" s="210">
        <v>1</v>
      </c>
      <c r="H76" s="210">
        <f>SUM(Tabla1321124[[#This Row],[PRIMER TRIMESTRE]:[CUARTO TRIMESTRE]])</f>
        <v>3</v>
      </c>
      <c r="I76" s="17">
        <v>8120000</v>
      </c>
      <c r="J76" s="246">
        <f>Tabla1321124[[#This Row],[PRECIO UNITARIO ESTIMADO]]*Tabla1321124[[#This Row],[CANTIDAD TOTAL]]</f>
        <v>24360000</v>
      </c>
      <c r="K76" s="77"/>
      <c r="L76" s="16" t="s">
        <v>18</v>
      </c>
      <c r="M76" s="16" t="s">
        <v>22</v>
      </c>
      <c r="N76" s="16"/>
      <c r="O76" s="243"/>
      <c r="P76" s="243"/>
      <c r="Q76" s="243"/>
      <c r="R76" s="243"/>
      <c r="S76" s="243"/>
      <c r="T76" s="243"/>
      <c r="U76" s="243"/>
      <c r="V76" s="243"/>
      <c r="W76" s="243"/>
      <c r="X76" s="243"/>
      <c r="Y76" s="243"/>
      <c r="Z76" s="243"/>
      <c r="AA76" s="243"/>
      <c r="AB76" s="243"/>
      <c r="AC76" s="243"/>
      <c r="AD76" s="243"/>
      <c r="AE76" s="243"/>
      <c r="AF76" s="243"/>
      <c r="AG76" s="243"/>
      <c r="AH76" s="243"/>
      <c r="AI76" s="243"/>
      <c r="AJ76" s="243"/>
      <c r="AK76" s="243"/>
      <c r="AL76" s="243"/>
      <c r="AM76" s="243"/>
      <c r="AN76" s="243"/>
      <c r="AO76" s="243"/>
      <c r="AP76" s="243"/>
      <c r="AQ76" s="243"/>
      <c r="AR76" s="243"/>
      <c r="AS76" s="243"/>
      <c r="AT76" s="243"/>
      <c r="AU76" s="243"/>
      <c r="AV76" s="243"/>
      <c r="AW76" s="243"/>
      <c r="AX76" s="243"/>
      <c r="AY76" s="243"/>
      <c r="AZ76" s="243"/>
      <c r="BA76" s="243"/>
      <c r="BB76" s="243"/>
      <c r="BC76" s="243"/>
      <c r="BD76" s="243"/>
      <c r="BE76" s="243"/>
      <c r="BF76" s="243"/>
      <c r="BG76" s="243"/>
      <c r="BH76" s="243"/>
      <c r="BI76" s="243"/>
      <c r="BJ76" s="243"/>
      <c r="BK76" s="243"/>
      <c r="BL76" s="243"/>
      <c r="BM76" s="243"/>
      <c r="BN76" s="243"/>
      <c r="BO76" s="243"/>
      <c r="BP76" s="243"/>
      <c r="BQ76" s="243"/>
      <c r="BR76" s="243"/>
      <c r="BS76" s="243"/>
    </row>
    <row r="77" spans="1:71" s="169" customFormat="1" ht="41.25" customHeight="1">
      <c r="A77" s="178" t="s">
        <v>1672</v>
      </c>
      <c r="B77" s="178" t="str">
        <f ca="1">+UPPER(Tabla1321124[[#This Row],[DESCRIPCIÓN DE LA COMPRA O CONTRATACIÓN]])</f>
        <v>CAMION GURA CON CAMA DE 15 A 25 TONELADAS</v>
      </c>
      <c r="C77" s="39" t="s">
        <v>17</v>
      </c>
      <c r="D77" s="210"/>
      <c r="E77" s="210">
        <v>1</v>
      </c>
      <c r="F77" s="210"/>
      <c r="G77" s="210">
        <v>1</v>
      </c>
      <c r="H77" s="249">
        <f>Tabla1321124[[#This Row],[CUARTO TRIMESTRE]]+Tabla1321124[[#This Row],[TERCER TRIMESTRE]]+Tabla1321124[[#This Row],[SEGUNDO TRIMESTRE]]+Tabla1321124[[#This Row],[PRIMER TRIMESTRE]]</f>
        <v>2</v>
      </c>
      <c r="I77" s="17">
        <v>8120000</v>
      </c>
      <c r="J77" s="246">
        <f>Tabla1321124[[#This Row],[PRECIO UNITARIO ESTIMADO]]*Tabla1321124[[#This Row],[CANTIDAD TOTAL]]</f>
        <v>16240000</v>
      </c>
      <c r="K77" s="341"/>
      <c r="L77" s="16" t="s">
        <v>18</v>
      </c>
      <c r="M77" s="16" t="s">
        <v>22</v>
      </c>
      <c r="N77" s="16"/>
      <c r="O77" s="243"/>
      <c r="P77" s="243"/>
      <c r="Q77" s="243"/>
      <c r="R77" s="243"/>
      <c r="S77" s="243"/>
      <c r="T77" s="243"/>
      <c r="U77" s="243"/>
      <c r="V77" s="243"/>
      <c r="W77" s="243"/>
      <c r="X77" s="243"/>
      <c r="Y77" s="243"/>
      <c r="Z77" s="243"/>
      <c r="AA77" s="243"/>
      <c r="AB77" s="243"/>
      <c r="AC77" s="243"/>
      <c r="AD77" s="243"/>
      <c r="AE77" s="243"/>
      <c r="AF77" s="243"/>
      <c r="AG77" s="243"/>
      <c r="AH77" s="243"/>
      <c r="AI77" s="243"/>
      <c r="AJ77" s="243"/>
      <c r="AK77" s="243"/>
      <c r="AL77" s="243"/>
      <c r="AM77" s="243"/>
      <c r="AN77" s="243"/>
      <c r="AO77" s="243"/>
      <c r="AP77" s="243"/>
      <c r="AQ77" s="243"/>
      <c r="AR77" s="243"/>
      <c r="AS77" s="243"/>
      <c r="AT77" s="243"/>
      <c r="AU77" s="243"/>
      <c r="AV77" s="243"/>
      <c r="AW77" s="243"/>
      <c r="AX77" s="243"/>
      <c r="AY77" s="243"/>
      <c r="AZ77" s="243"/>
      <c r="BA77" s="243"/>
      <c r="BB77" s="243"/>
      <c r="BC77" s="243"/>
      <c r="BD77" s="243"/>
      <c r="BE77" s="243"/>
      <c r="BF77" s="243"/>
      <c r="BG77" s="243"/>
      <c r="BH77" s="243"/>
      <c r="BI77" s="243"/>
      <c r="BJ77" s="243"/>
      <c r="BK77" s="243"/>
      <c r="BL77" s="243"/>
      <c r="BM77" s="243"/>
      <c r="BN77" s="243"/>
      <c r="BO77" s="243"/>
      <c r="BP77" s="243"/>
      <c r="BQ77" s="243"/>
      <c r="BR77" s="243"/>
      <c r="BS77" s="243"/>
    </row>
    <row r="78" spans="1:71" s="169" customFormat="1" ht="41.25" customHeight="1">
      <c r="A78" s="178" t="s">
        <v>1672</v>
      </c>
      <c r="B78" s="178" t="str">
        <f ca="1">+UPPER(Tabla1321124[[#This Row],[DESCRIPCIÓN DE LA COMPRA O CONTRATACIÓN]])</f>
        <v>CAMION PATANA CON SU COLA DE 40 PIES</v>
      </c>
      <c r="C78" s="39" t="s">
        <v>17</v>
      </c>
      <c r="D78" s="210"/>
      <c r="E78" s="210">
        <v>1</v>
      </c>
      <c r="F78" s="210"/>
      <c r="G78" s="210"/>
      <c r="H78" s="249">
        <f>Tabla1321124[[#This Row],[CUARTO TRIMESTRE]]+Tabla1321124[[#This Row],[TERCER TRIMESTRE]]+Tabla1321124[[#This Row],[SEGUNDO TRIMESTRE]]+Tabla1321124[[#This Row],[PRIMER TRIMESTRE]]</f>
        <v>1</v>
      </c>
      <c r="I78" s="17">
        <v>6500000</v>
      </c>
      <c r="J78" s="246">
        <f>Tabla1321124[[#This Row],[PRECIO UNITARIO ESTIMADO]]*Tabla1321124[[#This Row],[CANTIDAD TOTAL]]</f>
        <v>6500000</v>
      </c>
      <c r="K78" s="341"/>
      <c r="L78" s="16" t="s">
        <v>18</v>
      </c>
      <c r="M78" s="16" t="s">
        <v>22</v>
      </c>
      <c r="N78" s="16"/>
      <c r="O78" s="243"/>
      <c r="P78" s="243"/>
      <c r="Q78" s="243"/>
      <c r="R78" s="243"/>
      <c r="S78" s="243"/>
      <c r="T78" s="243"/>
      <c r="U78" s="243"/>
      <c r="V78" s="243"/>
      <c r="W78" s="243"/>
      <c r="X78" s="243"/>
      <c r="Y78" s="243"/>
      <c r="Z78" s="243"/>
      <c r="AA78" s="243"/>
      <c r="AB78" s="243"/>
      <c r="AC78" s="243"/>
      <c r="AD78" s="243"/>
      <c r="AE78" s="243"/>
      <c r="AF78" s="243"/>
      <c r="AG78" s="243"/>
      <c r="AH78" s="243"/>
      <c r="AI78" s="243"/>
      <c r="AJ78" s="243"/>
      <c r="AK78" s="243"/>
      <c r="AL78" s="243"/>
      <c r="AM78" s="243"/>
      <c r="AN78" s="243"/>
      <c r="AO78" s="243"/>
      <c r="AP78" s="243"/>
      <c r="AQ78" s="243"/>
      <c r="AR78" s="243"/>
      <c r="AS78" s="243"/>
      <c r="AT78" s="243"/>
      <c r="AU78" s="243"/>
      <c r="AV78" s="243"/>
      <c r="AW78" s="243"/>
      <c r="AX78" s="243"/>
      <c r="AY78" s="243"/>
      <c r="AZ78" s="243"/>
      <c r="BA78" s="243"/>
      <c r="BB78" s="243"/>
      <c r="BC78" s="243"/>
      <c r="BD78" s="243"/>
      <c r="BE78" s="243"/>
      <c r="BF78" s="243"/>
      <c r="BG78" s="243"/>
      <c r="BH78" s="243"/>
      <c r="BI78" s="243"/>
      <c r="BJ78" s="243"/>
      <c r="BK78" s="243"/>
      <c r="BL78" s="243"/>
      <c r="BM78" s="243"/>
      <c r="BN78" s="243"/>
      <c r="BO78" s="243"/>
      <c r="BP78" s="243"/>
      <c r="BQ78" s="243"/>
      <c r="BR78" s="243"/>
      <c r="BS78" s="243"/>
    </row>
    <row r="79" spans="1:71" s="169" customFormat="1" ht="41.25" customHeight="1">
      <c r="A79" s="178" t="s">
        <v>1672</v>
      </c>
      <c r="B79" s="178" t="str">
        <f ca="1">+UPPER(Tabla1321124[[#This Row],[DESCRIPCIÓN DE LA COMPRA O CONTRATACIÓN]])</f>
        <v>MANTENIMIENTO DE MOTORS</v>
      </c>
      <c r="C79" s="39" t="s">
        <v>17</v>
      </c>
      <c r="D79" s="210">
        <v>3</v>
      </c>
      <c r="E79" s="210">
        <v>3</v>
      </c>
      <c r="F79" s="210">
        <v>3</v>
      </c>
      <c r="G79" s="210">
        <v>3</v>
      </c>
      <c r="H79" s="210">
        <f>SUM(Tabla1321124[[#This Row],[PRIMER TRIMESTRE]:[CUARTO TRIMESTRE]])</f>
        <v>12</v>
      </c>
      <c r="I79" s="17">
        <v>58223</v>
      </c>
      <c r="J79" s="246">
        <f>Tabla1321124[[#This Row],[PRECIO UNITARIO ESTIMADO]]*Tabla1321124[[#This Row],[CANTIDAD TOTAL]]</f>
        <v>698676</v>
      </c>
      <c r="K79" s="72"/>
      <c r="L79" s="16" t="s">
        <v>18</v>
      </c>
      <c r="M79" s="16" t="s">
        <v>22</v>
      </c>
      <c r="N79" s="16" t="s">
        <v>418</v>
      </c>
      <c r="O79" s="243"/>
      <c r="P79" s="243"/>
      <c r="Q79" s="243"/>
      <c r="R79" s="243"/>
      <c r="S79" s="243"/>
      <c r="T79" s="243"/>
      <c r="U79" s="243"/>
      <c r="V79" s="243"/>
      <c r="W79" s="243"/>
      <c r="X79" s="243"/>
      <c r="Y79" s="243"/>
      <c r="Z79" s="243"/>
      <c r="AA79" s="243"/>
      <c r="AB79" s="243"/>
      <c r="AC79" s="243"/>
      <c r="AD79" s="243"/>
      <c r="AE79" s="243"/>
      <c r="AF79" s="243"/>
      <c r="AG79" s="243"/>
      <c r="AH79" s="243"/>
      <c r="AI79" s="243"/>
      <c r="AJ79" s="243"/>
      <c r="AK79" s="243"/>
      <c r="AL79" s="243"/>
      <c r="AM79" s="243"/>
      <c r="AN79" s="243"/>
      <c r="AO79" s="243"/>
      <c r="AP79" s="243"/>
      <c r="AQ79" s="243"/>
      <c r="AR79" s="243"/>
      <c r="AS79" s="243"/>
      <c r="AT79" s="243"/>
      <c r="AU79" s="243"/>
      <c r="AV79" s="243"/>
      <c r="AW79" s="243"/>
      <c r="AX79" s="243"/>
      <c r="AY79" s="243"/>
      <c r="AZ79" s="243"/>
      <c r="BA79" s="243"/>
      <c r="BB79" s="243"/>
      <c r="BC79" s="243"/>
      <c r="BD79" s="243"/>
      <c r="BE79" s="243"/>
      <c r="BF79" s="243"/>
      <c r="BG79" s="243"/>
      <c r="BH79" s="243"/>
      <c r="BI79" s="243"/>
      <c r="BJ79" s="243"/>
      <c r="BK79" s="243"/>
      <c r="BL79" s="243"/>
      <c r="BM79" s="243"/>
      <c r="BN79" s="243"/>
      <c r="BO79" s="243"/>
      <c r="BP79" s="243"/>
      <c r="BQ79" s="243"/>
      <c r="BR79" s="243"/>
      <c r="BS79" s="243"/>
    </row>
    <row r="80" spans="1:71" s="169" customFormat="1" ht="41.25" customHeight="1">
      <c r="A80" s="178" t="s">
        <v>1672</v>
      </c>
      <c r="B80" s="178" t="str">
        <f ca="1">+UPPER(Tabla1321124[[#This Row],[DESCRIPCIÓN DE LA COMPRA O CONTRATACIÓN]])</f>
        <v>SCANER PARA AUTOMOVIL JAPONES Y AMERICANO</v>
      </c>
      <c r="C80" s="39" t="s">
        <v>17</v>
      </c>
      <c r="D80" s="210">
        <v>1</v>
      </c>
      <c r="E80" s="210"/>
      <c r="F80" s="210"/>
      <c r="G80" s="210"/>
      <c r="H80" s="210">
        <f>SUM(Tabla1321124[[#This Row],[PRIMER TRIMESTRE]:[CUARTO TRIMESTRE]])</f>
        <v>1</v>
      </c>
      <c r="I80" s="17">
        <v>55000</v>
      </c>
      <c r="J80" s="246">
        <f>Tabla1321124[[#This Row],[PRECIO UNITARIO ESTIMADO]]*Tabla1321124[[#This Row],[CANTIDAD TOTAL]]</f>
        <v>55000</v>
      </c>
      <c r="K80" s="77"/>
      <c r="L80" s="16" t="s">
        <v>18</v>
      </c>
      <c r="M80" s="16" t="s">
        <v>22</v>
      </c>
      <c r="N80" s="16" t="s">
        <v>418</v>
      </c>
      <c r="O80" s="243"/>
      <c r="P80" s="243"/>
      <c r="Q80" s="243"/>
      <c r="R80" s="243"/>
      <c r="S80" s="243"/>
      <c r="T80" s="243"/>
      <c r="U80" s="243"/>
      <c r="V80" s="243"/>
      <c r="W80" s="243"/>
      <c r="X80" s="243"/>
      <c r="Y80" s="243"/>
      <c r="Z80" s="243"/>
      <c r="AA80" s="243"/>
      <c r="AB80" s="243"/>
      <c r="AC80" s="243"/>
      <c r="AD80" s="243"/>
      <c r="AE80" s="243"/>
      <c r="AF80" s="243"/>
      <c r="AG80" s="243"/>
      <c r="AH80" s="243"/>
      <c r="AI80" s="243"/>
      <c r="AJ80" s="243"/>
      <c r="AK80" s="243"/>
      <c r="AL80" s="243"/>
      <c r="AM80" s="243"/>
      <c r="AN80" s="243"/>
      <c r="AO80" s="243"/>
      <c r="AP80" s="243"/>
      <c r="AQ80" s="243"/>
      <c r="AR80" s="243"/>
      <c r="AS80" s="243"/>
      <c r="AT80" s="243"/>
      <c r="AU80" s="243"/>
      <c r="AV80" s="243"/>
      <c r="AW80" s="243"/>
      <c r="AX80" s="243"/>
      <c r="AY80" s="243"/>
      <c r="AZ80" s="243"/>
      <c r="BA80" s="243"/>
      <c r="BB80" s="243"/>
      <c r="BC80" s="243"/>
      <c r="BD80" s="243"/>
      <c r="BE80" s="243"/>
      <c r="BF80" s="243"/>
      <c r="BG80" s="243"/>
      <c r="BH80" s="243"/>
      <c r="BI80" s="243"/>
      <c r="BJ80" s="243"/>
      <c r="BK80" s="243"/>
      <c r="BL80" s="243"/>
      <c r="BM80" s="243"/>
      <c r="BN80" s="243"/>
      <c r="BO80" s="243"/>
      <c r="BP80" s="243"/>
      <c r="BQ80" s="243"/>
      <c r="BR80" s="243"/>
      <c r="BS80" s="243"/>
    </row>
    <row r="81" spans="1:71" s="169" customFormat="1" ht="41.25" customHeight="1">
      <c r="A81" s="178" t="s">
        <v>1672</v>
      </c>
      <c r="B81" s="178" t="str">
        <f ca="1">+UPPER(Tabla1321124[[#This Row],[DESCRIPCIÓN DE LA COMPRA O CONTRATACIÓN]])</f>
        <v>NEUMATICOS CAMION 7.00-16 12PR 115/111J T494</v>
      </c>
      <c r="C81" s="39" t="s">
        <v>17</v>
      </c>
      <c r="D81" s="210">
        <v>25</v>
      </c>
      <c r="E81" s="210">
        <v>25</v>
      </c>
      <c r="F81" s="210">
        <v>25</v>
      </c>
      <c r="G81" s="210">
        <v>25</v>
      </c>
      <c r="H81" s="351">
        <f>Tabla1321124[[#This Row],[CUARTO TRIMESTRE]]+Tabla1321124[[#This Row],[TERCER TRIMESTRE]]+Tabla1321124[[#This Row],[SEGUNDO TRIMESTRE]]+Tabla1321124[[#This Row],[PRIMER TRIMESTRE]]</f>
        <v>100</v>
      </c>
      <c r="I81" s="17">
        <v>9480</v>
      </c>
      <c r="J81" s="246">
        <f>Tabla1321124[[#This Row],[PRECIO UNITARIO ESTIMADO]]*Tabla1321124[[#This Row],[CANTIDAD TOTAL]]</f>
        <v>948000</v>
      </c>
      <c r="K81" s="72"/>
      <c r="L81" s="16" t="s">
        <v>18</v>
      </c>
      <c r="M81" s="16" t="s">
        <v>22</v>
      </c>
      <c r="N81" s="16" t="s">
        <v>418</v>
      </c>
      <c r="O81" s="243"/>
      <c r="P81" s="243"/>
      <c r="Q81" s="243"/>
      <c r="R81" s="243"/>
      <c r="S81" s="243"/>
      <c r="T81" s="243"/>
      <c r="U81" s="243"/>
      <c r="V81" s="243"/>
      <c r="W81" s="243"/>
      <c r="X81" s="243"/>
      <c r="Y81" s="243"/>
      <c r="Z81" s="243"/>
      <c r="AA81" s="243"/>
      <c r="AB81" s="243"/>
      <c r="AC81" s="243"/>
      <c r="AD81" s="243"/>
      <c r="AE81" s="243"/>
      <c r="AF81" s="243"/>
      <c r="AG81" s="243"/>
      <c r="AH81" s="243"/>
      <c r="AI81" s="243"/>
      <c r="AJ81" s="243"/>
      <c r="AK81" s="243"/>
      <c r="AL81" s="243"/>
      <c r="AM81" s="243"/>
      <c r="AN81" s="243"/>
      <c r="AO81" s="243"/>
      <c r="AP81" s="243"/>
      <c r="AQ81" s="243"/>
      <c r="AR81" s="243"/>
      <c r="AS81" s="243"/>
      <c r="AT81" s="243"/>
      <c r="AU81" s="243"/>
      <c r="AV81" s="243"/>
      <c r="AW81" s="243"/>
      <c r="AX81" s="243"/>
      <c r="AY81" s="243"/>
      <c r="AZ81" s="243"/>
      <c r="BA81" s="243"/>
      <c r="BB81" s="243"/>
      <c r="BC81" s="243"/>
      <c r="BD81" s="243"/>
      <c r="BE81" s="243"/>
      <c r="BF81" s="243"/>
      <c r="BG81" s="243"/>
      <c r="BH81" s="243"/>
      <c r="BI81" s="243"/>
      <c r="BJ81" s="243"/>
      <c r="BK81" s="243"/>
      <c r="BL81" s="243"/>
      <c r="BM81" s="243"/>
      <c r="BN81" s="243"/>
      <c r="BO81" s="243"/>
      <c r="BP81" s="243"/>
      <c r="BQ81" s="243"/>
      <c r="BR81" s="243"/>
      <c r="BS81" s="243"/>
    </row>
    <row r="82" spans="1:71" s="169" customFormat="1" ht="41.25" customHeight="1">
      <c r="A82" s="178" t="s">
        <v>1672</v>
      </c>
      <c r="B82" s="178" t="str">
        <f ca="1">+UPPER(Tabla1321124[[#This Row],[DESCRIPCIÓN DE LA COMPRA O CONTRATACIÓN]])</f>
        <v>TUBO NEUMATICOS 7.00R16 R230</v>
      </c>
      <c r="C82" s="39" t="s">
        <v>17</v>
      </c>
      <c r="D82" s="210">
        <v>60</v>
      </c>
      <c r="E82" s="210"/>
      <c r="F82" s="210">
        <v>60</v>
      </c>
      <c r="G82" s="210"/>
      <c r="H82" s="351">
        <f>Tabla1321124[[#This Row],[CUARTO TRIMESTRE]]+Tabla1321124[[#This Row],[TERCER TRIMESTRE]]+Tabla1321124[[#This Row],[SEGUNDO TRIMESTRE]]+Tabla1321124[[#This Row],[PRIMER TRIMESTRE]]</f>
        <v>120</v>
      </c>
      <c r="I82" s="17">
        <v>1300</v>
      </c>
      <c r="J82" s="246">
        <f>Tabla1321124[[#This Row],[PRECIO UNITARIO ESTIMADO]]*Tabla1321124[[#This Row],[CANTIDAD TOTAL]]</f>
        <v>156000</v>
      </c>
      <c r="K82" s="72"/>
      <c r="L82" s="16" t="s">
        <v>18</v>
      </c>
      <c r="M82" s="16" t="s">
        <v>22</v>
      </c>
      <c r="N82" s="16" t="s">
        <v>418</v>
      </c>
      <c r="O82" s="243"/>
      <c r="P82" s="243"/>
      <c r="Q82" s="243"/>
      <c r="R82" s="243"/>
      <c r="S82" s="243"/>
      <c r="T82" s="243"/>
      <c r="U82" s="243"/>
      <c r="V82" s="243"/>
      <c r="W82" s="243"/>
      <c r="X82" s="243"/>
      <c r="Y82" s="243"/>
      <c r="Z82" s="243"/>
      <c r="AA82" s="243"/>
      <c r="AB82" s="243"/>
      <c r="AC82" s="243"/>
      <c r="AD82" s="243"/>
      <c r="AE82" s="243"/>
      <c r="AF82" s="243"/>
      <c r="AG82" s="243"/>
      <c r="AH82" s="243"/>
      <c r="AI82" s="243"/>
      <c r="AJ82" s="243"/>
      <c r="AK82" s="243"/>
      <c r="AL82" s="243"/>
      <c r="AM82" s="243"/>
      <c r="AN82" s="243"/>
      <c r="AO82" s="243"/>
      <c r="AP82" s="243"/>
      <c r="AQ82" s="243"/>
      <c r="AR82" s="243"/>
      <c r="AS82" s="243"/>
      <c r="AT82" s="243"/>
      <c r="AU82" s="243"/>
      <c r="AV82" s="243"/>
      <c r="AW82" s="243"/>
      <c r="AX82" s="243"/>
      <c r="AY82" s="243"/>
      <c r="AZ82" s="243"/>
      <c r="BA82" s="243"/>
      <c r="BB82" s="243"/>
      <c r="BC82" s="243"/>
      <c r="BD82" s="243"/>
      <c r="BE82" s="243"/>
      <c r="BF82" s="243"/>
      <c r="BG82" s="243"/>
      <c r="BH82" s="243"/>
      <c r="BI82" s="243"/>
      <c r="BJ82" s="243"/>
      <c r="BK82" s="243"/>
      <c r="BL82" s="243"/>
      <c r="BM82" s="243"/>
      <c r="BN82" s="243"/>
      <c r="BO82" s="243"/>
      <c r="BP82" s="243"/>
      <c r="BQ82" s="243"/>
      <c r="BR82" s="243"/>
      <c r="BS82" s="243"/>
    </row>
    <row r="83" spans="1:71" s="169" customFormat="1" ht="41.25" customHeight="1">
      <c r="A83" s="178" t="s">
        <v>1672</v>
      </c>
      <c r="B83" s="178" t="str">
        <f ca="1">+UPPER(Tabla1321124[[#This Row],[DESCRIPCIÓN DE LA COMPRA O CONTRATACIÓN]])</f>
        <v>NEUMATICOS 7.00-15 8PR T494</v>
      </c>
      <c r="C83" s="39" t="s">
        <v>17</v>
      </c>
      <c r="D83" s="210">
        <v>24</v>
      </c>
      <c r="E83" s="210"/>
      <c r="F83" s="210">
        <v>24</v>
      </c>
      <c r="G83" s="210"/>
      <c r="H83" s="351">
        <f>Tabla1321124[[#This Row],[CUARTO TRIMESTRE]]+Tabla1321124[[#This Row],[TERCER TRIMESTRE]]+Tabla1321124[[#This Row],[SEGUNDO TRIMESTRE]]+Tabla1321124[[#This Row],[PRIMER TRIMESTRE]]</f>
        <v>48</v>
      </c>
      <c r="I83" s="17">
        <v>8600</v>
      </c>
      <c r="J83" s="246">
        <f>Tabla1321124[[#This Row],[PRECIO UNITARIO ESTIMADO]]*Tabla1321124[[#This Row],[CANTIDAD TOTAL]]</f>
        <v>412800</v>
      </c>
      <c r="K83" s="72"/>
      <c r="L83" s="16" t="s">
        <v>18</v>
      </c>
      <c r="M83" s="16" t="s">
        <v>22</v>
      </c>
      <c r="N83" s="16" t="s">
        <v>418</v>
      </c>
      <c r="O83" s="243"/>
      <c r="P83" s="243"/>
      <c r="Q83" s="243"/>
      <c r="R83" s="243"/>
      <c r="S83" s="243"/>
      <c r="T83" s="243"/>
      <c r="U83" s="243"/>
      <c r="V83" s="243"/>
      <c r="W83" s="243"/>
      <c r="X83" s="243"/>
      <c r="Y83" s="243"/>
      <c r="Z83" s="243"/>
      <c r="AA83" s="243"/>
      <c r="AB83" s="243"/>
      <c r="AC83" s="243"/>
      <c r="AD83" s="243"/>
      <c r="AE83" s="243"/>
      <c r="AF83" s="243"/>
      <c r="AG83" s="243"/>
      <c r="AH83" s="243"/>
      <c r="AI83" s="243"/>
      <c r="AJ83" s="243"/>
      <c r="AK83" s="243"/>
      <c r="AL83" s="243"/>
      <c r="AM83" s="243"/>
      <c r="AN83" s="243"/>
      <c r="AO83" s="243"/>
      <c r="AP83" s="243"/>
      <c r="AQ83" s="243"/>
      <c r="AR83" s="243"/>
      <c r="AS83" s="243"/>
      <c r="AT83" s="243"/>
      <c r="AU83" s="243"/>
      <c r="AV83" s="243"/>
      <c r="AW83" s="243"/>
      <c r="AX83" s="243"/>
      <c r="AY83" s="243"/>
      <c r="AZ83" s="243"/>
      <c r="BA83" s="243"/>
      <c r="BB83" s="243"/>
      <c r="BC83" s="243"/>
      <c r="BD83" s="243"/>
      <c r="BE83" s="243"/>
      <c r="BF83" s="243"/>
      <c r="BG83" s="243"/>
      <c r="BH83" s="243"/>
      <c r="BI83" s="243"/>
      <c r="BJ83" s="243"/>
      <c r="BK83" s="243"/>
      <c r="BL83" s="243"/>
      <c r="BM83" s="243"/>
      <c r="BN83" s="243"/>
      <c r="BO83" s="243"/>
      <c r="BP83" s="243"/>
      <c r="BQ83" s="243"/>
      <c r="BR83" s="243"/>
      <c r="BS83" s="243"/>
    </row>
    <row r="84" spans="1:71" s="169" customFormat="1" ht="41.25" customHeight="1">
      <c r="A84" s="178" t="s">
        <v>1672</v>
      </c>
      <c r="B84" s="178" t="str">
        <f ca="1">+UPPER(Tabla1321124[[#This Row],[DESCRIPCIÓN DE LA COMPRA O CONTRATACIÓN]])</f>
        <v>TUBO NEUMATICOS 7.00-15 TR75A</v>
      </c>
      <c r="C84" s="39" t="s">
        <v>17</v>
      </c>
      <c r="D84" s="210">
        <v>24</v>
      </c>
      <c r="E84" s="210"/>
      <c r="F84" s="210">
        <v>24</v>
      </c>
      <c r="G84" s="210"/>
      <c r="H84" s="351">
        <f>Tabla1321124[[#This Row],[CUARTO TRIMESTRE]]+Tabla1321124[[#This Row],[TERCER TRIMESTRE]]+Tabla1321124[[#This Row],[SEGUNDO TRIMESTRE]]+Tabla1321124[[#This Row],[PRIMER TRIMESTRE]]</f>
        <v>48</v>
      </c>
      <c r="I84" s="17">
        <v>1200</v>
      </c>
      <c r="J84" s="246">
        <f>Tabla1321124[[#This Row],[PRECIO UNITARIO ESTIMADO]]*Tabla1321124[[#This Row],[CANTIDAD TOTAL]]</f>
        <v>57600</v>
      </c>
      <c r="K84" s="72"/>
      <c r="L84" s="16" t="s">
        <v>18</v>
      </c>
      <c r="M84" s="16" t="s">
        <v>22</v>
      </c>
      <c r="N84" s="16" t="s">
        <v>418</v>
      </c>
      <c r="O84" s="243"/>
      <c r="P84" s="243"/>
      <c r="Q84" s="243"/>
      <c r="R84" s="243"/>
      <c r="S84" s="243"/>
      <c r="T84" s="243"/>
      <c r="U84" s="243"/>
      <c r="V84" s="243"/>
      <c r="W84" s="243"/>
      <c r="X84" s="243"/>
      <c r="Y84" s="243"/>
      <c r="Z84" s="243"/>
      <c r="AA84" s="243"/>
      <c r="AB84" s="243"/>
      <c r="AC84" s="243"/>
      <c r="AD84" s="243"/>
      <c r="AE84" s="243"/>
      <c r="AF84" s="243"/>
      <c r="AG84" s="243"/>
      <c r="AH84" s="243"/>
      <c r="AI84" s="243"/>
      <c r="AJ84" s="243"/>
      <c r="AK84" s="243"/>
      <c r="AL84" s="243"/>
      <c r="AM84" s="243"/>
      <c r="AN84" s="243"/>
      <c r="AO84" s="243"/>
      <c r="AP84" s="243"/>
      <c r="AQ84" s="243"/>
      <c r="AR84" s="243"/>
      <c r="AS84" s="243"/>
      <c r="AT84" s="243"/>
      <c r="AU84" s="243"/>
      <c r="AV84" s="243"/>
      <c r="AW84" s="243"/>
      <c r="AX84" s="243"/>
      <c r="AY84" s="243"/>
      <c r="AZ84" s="243"/>
      <c r="BA84" s="243"/>
      <c r="BB84" s="243"/>
      <c r="BC84" s="243"/>
      <c r="BD84" s="243"/>
      <c r="BE84" s="243"/>
      <c r="BF84" s="243"/>
      <c r="BG84" s="243"/>
      <c r="BH84" s="243"/>
      <c r="BI84" s="243"/>
      <c r="BJ84" s="243"/>
      <c r="BK84" s="243"/>
      <c r="BL84" s="243"/>
      <c r="BM84" s="243"/>
      <c r="BN84" s="243"/>
      <c r="BO84" s="243"/>
      <c r="BP84" s="243"/>
      <c r="BQ84" s="243"/>
      <c r="BR84" s="243"/>
      <c r="BS84" s="243"/>
    </row>
    <row r="85" spans="1:71" s="169" customFormat="1" ht="41.25" customHeight="1">
      <c r="A85" s="178" t="s">
        <v>1672</v>
      </c>
      <c r="B85" s="178" t="str">
        <f ca="1">+UPPER(Tabla1321124[[#This Row],[DESCRIPCIÓN DE LA COMPRA O CONTRATACIÓN]])</f>
        <v>NEUMATICO 225/70R16 102/99S HT684 II (CR)</v>
      </c>
      <c r="C85" s="39" t="s">
        <v>17</v>
      </c>
      <c r="D85" s="210">
        <f>24+4+12+1</f>
        <v>41</v>
      </c>
      <c r="E85" s="210">
        <v>1</v>
      </c>
      <c r="F85" s="210">
        <f>24+1</f>
        <v>25</v>
      </c>
      <c r="G85" s="210">
        <v>1</v>
      </c>
      <c r="H85" s="351">
        <f>Tabla1321124[[#This Row],[CUARTO TRIMESTRE]]+Tabla1321124[[#This Row],[TERCER TRIMESTRE]]+Tabla1321124[[#This Row],[SEGUNDO TRIMESTRE]]+Tabla1321124[[#This Row],[PRIMER TRIMESTRE]]</f>
        <v>68</v>
      </c>
      <c r="I85" s="17">
        <v>7500</v>
      </c>
      <c r="J85" s="246">
        <f>Tabla1321124[[#This Row],[PRECIO UNITARIO ESTIMADO]]*Tabla1321124[[#This Row],[CANTIDAD TOTAL]]</f>
        <v>510000</v>
      </c>
      <c r="K85" s="72"/>
      <c r="L85" s="16" t="s">
        <v>18</v>
      </c>
      <c r="M85" s="16" t="s">
        <v>22</v>
      </c>
      <c r="N85" s="16" t="s">
        <v>418</v>
      </c>
      <c r="O85" s="243"/>
      <c r="P85" s="243"/>
      <c r="Q85" s="243"/>
      <c r="R85" s="243"/>
      <c r="S85" s="243"/>
      <c r="T85" s="243"/>
      <c r="U85" s="243"/>
      <c r="V85" s="243"/>
      <c r="W85" s="243"/>
      <c r="X85" s="243"/>
      <c r="Y85" s="243"/>
      <c r="Z85" s="243"/>
      <c r="AA85" s="243"/>
      <c r="AB85" s="243"/>
      <c r="AC85" s="243"/>
      <c r="AD85" s="243"/>
      <c r="AE85" s="243"/>
      <c r="AF85" s="243"/>
      <c r="AG85" s="243"/>
      <c r="AH85" s="243"/>
      <c r="AI85" s="243"/>
      <c r="AJ85" s="243"/>
      <c r="AK85" s="243"/>
      <c r="AL85" s="243"/>
      <c r="AM85" s="243"/>
      <c r="AN85" s="243"/>
      <c r="AO85" s="243"/>
      <c r="AP85" s="243"/>
      <c r="AQ85" s="243"/>
      <c r="AR85" s="243"/>
      <c r="AS85" s="243"/>
      <c r="AT85" s="243"/>
      <c r="AU85" s="243"/>
      <c r="AV85" s="243"/>
      <c r="AW85" s="243"/>
      <c r="AX85" s="243"/>
      <c r="AY85" s="243"/>
      <c r="AZ85" s="243"/>
      <c r="BA85" s="243"/>
      <c r="BB85" s="243"/>
      <c r="BC85" s="243"/>
      <c r="BD85" s="243"/>
      <c r="BE85" s="243"/>
      <c r="BF85" s="243"/>
      <c r="BG85" s="243"/>
      <c r="BH85" s="243"/>
      <c r="BI85" s="243"/>
      <c r="BJ85" s="243"/>
      <c r="BK85" s="243"/>
      <c r="BL85" s="243"/>
      <c r="BM85" s="243"/>
      <c r="BN85" s="243"/>
      <c r="BO85" s="243"/>
      <c r="BP85" s="243"/>
      <c r="BQ85" s="243"/>
      <c r="BR85" s="243"/>
      <c r="BS85" s="243"/>
    </row>
    <row r="86" spans="1:71" s="169" customFormat="1" ht="41.25" customHeight="1">
      <c r="A86" s="178" t="s">
        <v>1672</v>
      </c>
      <c r="B86" s="178" t="str">
        <f ca="1">+UPPER(Tabla1321124[[#This Row],[DESCRIPCIÓN DE LA COMPRA O CONTRATACIÓN]])</f>
        <v xml:space="preserve">NEUMATICOS VEHICULOS LIVIANO 225/70R15 100S </v>
      </c>
      <c r="C86" s="39" t="s">
        <v>17</v>
      </c>
      <c r="D86" s="210">
        <v>40</v>
      </c>
      <c r="E86" s="210"/>
      <c r="F86" s="210">
        <v>40</v>
      </c>
      <c r="G86" s="210"/>
      <c r="H86" s="351">
        <f>Tabla1321124[[#This Row],[CUARTO TRIMESTRE]]+Tabla1321124[[#This Row],[TERCER TRIMESTRE]]+Tabla1321124[[#This Row],[SEGUNDO TRIMESTRE]]+Tabla1321124[[#This Row],[PRIMER TRIMESTRE]]</f>
        <v>80</v>
      </c>
      <c r="I86" s="17">
        <v>7500</v>
      </c>
      <c r="J86" s="246">
        <f>Tabla1321124[[#This Row],[PRECIO UNITARIO ESTIMADO]]*Tabla1321124[[#This Row],[CANTIDAD TOTAL]]</f>
        <v>600000</v>
      </c>
      <c r="K86" s="72"/>
      <c r="L86" s="16" t="s">
        <v>18</v>
      </c>
      <c r="M86" s="16" t="s">
        <v>22</v>
      </c>
      <c r="N86" s="16" t="s">
        <v>418</v>
      </c>
      <c r="O86" s="243"/>
      <c r="P86" s="243"/>
      <c r="Q86" s="243"/>
      <c r="R86" s="243"/>
      <c r="S86" s="243"/>
      <c r="T86" s="243"/>
      <c r="U86" s="243"/>
      <c r="V86" s="243"/>
      <c r="W86" s="243"/>
      <c r="X86" s="243"/>
      <c r="Y86" s="243"/>
      <c r="Z86" s="243"/>
      <c r="AA86" s="243"/>
      <c r="AB86" s="243"/>
      <c r="AC86" s="243"/>
      <c r="AD86" s="243"/>
      <c r="AE86" s="243"/>
      <c r="AF86" s="243"/>
      <c r="AG86" s="243"/>
      <c r="AH86" s="243"/>
      <c r="AI86" s="243"/>
      <c r="AJ86" s="243"/>
      <c r="AK86" s="243"/>
      <c r="AL86" s="243"/>
      <c r="AM86" s="243"/>
      <c r="AN86" s="243"/>
      <c r="AO86" s="243"/>
      <c r="AP86" s="243"/>
      <c r="AQ86" s="243"/>
      <c r="AR86" s="243"/>
      <c r="AS86" s="243"/>
      <c r="AT86" s="243"/>
      <c r="AU86" s="243"/>
      <c r="AV86" s="243"/>
      <c r="AW86" s="243"/>
      <c r="AX86" s="243"/>
      <c r="AY86" s="243"/>
      <c r="AZ86" s="243"/>
      <c r="BA86" s="243"/>
      <c r="BB86" s="243"/>
      <c r="BC86" s="243"/>
      <c r="BD86" s="243"/>
      <c r="BE86" s="243"/>
      <c r="BF86" s="243"/>
      <c r="BG86" s="243"/>
      <c r="BH86" s="243"/>
      <c r="BI86" s="243"/>
      <c r="BJ86" s="243"/>
      <c r="BK86" s="243"/>
      <c r="BL86" s="243"/>
      <c r="BM86" s="243"/>
      <c r="BN86" s="243"/>
      <c r="BO86" s="243"/>
      <c r="BP86" s="243"/>
      <c r="BQ86" s="243"/>
      <c r="BR86" s="243"/>
      <c r="BS86" s="243"/>
    </row>
    <row r="87" spans="1:71" s="169" customFormat="1" ht="41.25" customHeight="1">
      <c r="A87" s="178" t="s">
        <v>1672</v>
      </c>
      <c r="B87" s="178" t="str">
        <f ca="1">+UPPER(Tabla1321124[[#This Row],[DESCRIPCIÓN DE LA COMPRA O CONTRATACIÓN]])</f>
        <v xml:space="preserve">NEUMATICOS 245/70R16 106S </v>
      </c>
      <c r="C87" s="39" t="s">
        <v>17</v>
      </c>
      <c r="D87" s="210">
        <v>55</v>
      </c>
      <c r="E87" s="210"/>
      <c r="F87" s="210">
        <v>55</v>
      </c>
      <c r="G87" s="210"/>
      <c r="H87" s="351">
        <f>Tabla1321124[[#This Row],[CUARTO TRIMESTRE]]+Tabla1321124[[#This Row],[TERCER TRIMESTRE]]+Tabla1321124[[#This Row],[SEGUNDO TRIMESTRE]]+Tabla1321124[[#This Row],[PRIMER TRIMESTRE]]</f>
        <v>110</v>
      </c>
      <c r="I87" s="17">
        <v>9700</v>
      </c>
      <c r="J87" s="246">
        <f>Tabla1321124[[#This Row],[PRECIO UNITARIO ESTIMADO]]*Tabla1321124[[#This Row],[CANTIDAD TOTAL]]</f>
        <v>1067000</v>
      </c>
      <c r="K87" s="72"/>
      <c r="L87" s="16" t="s">
        <v>18</v>
      </c>
      <c r="M87" s="16" t="s">
        <v>22</v>
      </c>
      <c r="N87" s="16" t="s">
        <v>418</v>
      </c>
      <c r="O87" s="243"/>
      <c r="P87" s="243"/>
      <c r="Q87" s="243"/>
      <c r="R87" s="243"/>
      <c r="S87" s="243"/>
      <c r="T87" s="243"/>
      <c r="U87" s="243"/>
      <c r="V87" s="243"/>
      <c r="W87" s="243"/>
      <c r="X87" s="243"/>
      <c r="Y87" s="243"/>
      <c r="Z87" s="243"/>
      <c r="AA87" s="243"/>
      <c r="AB87" s="243"/>
      <c r="AC87" s="243"/>
      <c r="AD87" s="243"/>
      <c r="AE87" s="243"/>
      <c r="AF87" s="243"/>
      <c r="AG87" s="243"/>
      <c r="AH87" s="243"/>
      <c r="AI87" s="243"/>
      <c r="AJ87" s="243"/>
      <c r="AK87" s="243"/>
      <c r="AL87" s="243"/>
      <c r="AM87" s="243"/>
      <c r="AN87" s="243"/>
      <c r="AO87" s="243"/>
      <c r="AP87" s="243"/>
      <c r="AQ87" s="243"/>
      <c r="AR87" s="243"/>
      <c r="AS87" s="243"/>
      <c r="AT87" s="243"/>
      <c r="AU87" s="243"/>
      <c r="AV87" s="243"/>
      <c r="AW87" s="243"/>
      <c r="AX87" s="243"/>
      <c r="AY87" s="243"/>
      <c r="AZ87" s="243"/>
      <c r="BA87" s="243"/>
      <c r="BB87" s="243"/>
      <c r="BC87" s="243"/>
      <c r="BD87" s="243"/>
      <c r="BE87" s="243"/>
      <c r="BF87" s="243"/>
      <c r="BG87" s="243"/>
      <c r="BH87" s="243"/>
      <c r="BI87" s="243"/>
      <c r="BJ87" s="243"/>
      <c r="BK87" s="243"/>
      <c r="BL87" s="243"/>
      <c r="BM87" s="243"/>
      <c r="BN87" s="243"/>
      <c r="BO87" s="243"/>
      <c r="BP87" s="243"/>
      <c r="BQ87" s="243"/>
      <c r="BR87" s="243"/>
      <c r="BS87" s="243"/>
    </row>
    <row r="88" spans="1:71" s="169" customFormat="1" ht="41.25" customHeight="1">
      <c r="A88" s="178" t="s">
        <v>1672</v>
      </c>
      <c r="B88" s="178" t="str">
        <f ca="1">+UPPER(Tabla1321124[[#This Row],[DESCRIPCIÓN DE LA COMPRA O CONTRATACIÓN]])</f>
        <v>NEUMATICO 265/70R16 111S A/T(CR)</v>
      </c>
      <c r="C88" s="39" t="s">
        <v>17</v>
      </c>
      <c r="D88" s="210">
        <f>40+4</f>
        <v>44</v>
      </c>
      <c r="E88" s="210"/>
      <c r="F88" s="210">
        <v>40</v>
      </c>
      <c r="G88" s="210"/>
      <c r="H88" s="351">
        <f>Tabla1321124[[#This Row],[CUARTO TRIMESTRE]]+Tabla1321124[[#This Row],[TERCER TRIMESTRE]]+Tabla1321124[[#This Row],[SEGUNDO TRIMESTRE]]+Tabla1321124[[#This Row],[PRIMER TRIMESTRE]]</f>
        <v>84</v>
      </c>
      <c r="I88" s="17">
        <v>9500</v>
      </c>
      <c r="J88" s="246">
        <f>Tabla1321124[[#This Row],[PRECIO UNITARIO ESTIMADO]]*Tabla1321124[[#This Row],[CANTIDAD TOTAL]]</f>
        <v>798000</v>
      </c>
      <c r="K88" s="72"/>
      <c r="L88" s="16" t="s">
        <v>18</v>
      </c>
      <c r="M88" s="16" t="s">
        <v>22</v>
      </c>
      <c r="N88" s="16" t="s">
        <v>418</v>
      </c>
      <c r="O88" s="243"/>
      <c r="P88" s="243"/>
      <c r="Q88" s="243"/>
      <c r="R88" s="243"/>
      <c r="S88" s="243"/>
      <c r="T88" s="243"/>
      <c r="U88" s="243"/>
      <c r="V88" s="243"/>
      <c r="W88" s="243"/>
      <c r="X88" s="243"/>
      <c r="Y88" s="243"/>
      <c r="Z88" s="243"/>
      <c r="AA88" s="243"/>
      <c r="AB88" s="243"/>
      <c r="AC88" s="243"/>
      <c r="AD88" s="243"/>
      <c r="AE88" s="243"/>
      <c r="AF88" s="243"/>
      <c r="AG88" s="243"/>
      <c r="AH88" s="243"/>
      <c r="AI88" s="243"/>
      <c r="AJ88" s="243"/>
      <c r="AK88" s="243"/>
      <c r="AL88" s="243"/>
      <c r="AM88" s="243"/>
      <c r="AN88" s="243"/>
      <c r="AO88" s="243"/>
      <c r="AP88" s="243"/>
      <c r="AQ88" s="243"/>
      <c r="AR88" s="243"/>
      <c r="AS88" s="243"/>
      <c r="AT88" s="243"/>
      <c r="AU88" s="243"/>
      <c r="AV88" s="243"/>
      <c r="AW88" s="243"/>
      <c r="AX88" s="243"/>
      <c r="AY88" s="243"/>
      <c r="AZ88" s="243"/>
      <c r="BA88" s="243"/>
      <c r="BB88" s="243"/>
      <c r="BC88" s="243"/>
      <c r="BD88" s="243"/>
      <c r="BE88" s="243"/>
      <c r="BF88" s="243"/>
      <c r="BG88" s="243"/>
      <c r="BH88" s="243"/>
      <c r="BI88" s="243"/>
      <c r="BJ88" s="243"/>
      <c r="BK88" s="243"/>
      <c r="BL88" s="243"/>
      <c r="BM88" s="243"/>
      <c r="BN88" s="243"/>
      <c r="BO88" s="243"/>
      <c r="BP88" s="243"/>
      <c r="BQ88" s="243"/>
      <c r="BR88" s="243"/>
      <c r="BS88" s="243"/>
    </row>
    <row r="89" spans="1:71" s="169" customFormat="1" ht="41.25" customHeight="1">
      <c r="A89" s="178" t="s">
        <v>1672</v>
      </c>
      <c r="B89" s="178" t="str">
        <f ca="1">+UPPER(Tabla1321124[[#This Row],[DESCRIPCIÓN DE LA COMPRA O CONTRATACIÓN]])</f>
        <v>NEUMATICO VEHICULOS LIVIANO 245/70R16 111S A/T D694</v>
      </c>
      <c r="C89" s="39" t="s">
        <v>17</v>
      </c>
      <c r="D89" s="210">
        <v>30</v>
      </c>
      <c r="E89" s="210"/>
      <c r="F89" s="210">
        <v>30</v>
      </c>
      <c r="G89" s="210"/>
      <c r="H89" s="351">
        <f>Tabla1321124[[#This Row],[CUARTO TRIMESTRE]]+Tabla1321124[[#This Row],[TERCER TRIMESTRE]]+Tabla1321124[[#This Row],[SEGUNDO TRIMESTRE]]+Tabla1321124[[#This Row],[PRIMER TRIMESTRE]]</f>
        <v>60</v>
      </c>
      <c r="I89" s="17">
        <v>9279.9</v>
      </c>
      <c r="J89" s="246">
        <f>Tabla1321124[[#This Row],[PRECIO UNITARIO ESTIMADO]]*Tabla1321124[[#This Row],[CANTIDAD TOTAL]]</f>
        <v>556794</v>
      </c>
      <c r="K89" s="72"/>
      <c r="L89" s="16" t="s">
        <v>18</v>
      </c>
      <c r="M89" s="16" t="s">
        <v>22</v>
      </c>
      <c r="N89" s="16" t="s">
        <v>418</v>
      </c>
      <c r="O89" s="243"/>
      <c r="P89" s="243"/>
      <c r="Q89" s="243"/>
      <c r="R89" s="243"/>
      <c r="S89" s="243"/>
      <c r="T89" s="243"/>
      <c r="U89" s="243"/>
      <c r="V89" s="243"/>
      <c r="W89" s="243"/>
      <c r="X89" s="243"/>
      <c r="Y89" s="243"/>
      <c r="Z89" s="243"/>
      <c r="AA89" s="243"/>
      <c r="AB89" s="243"/>
      <c r="AC89" s="243"/>
      <c r="AD89" s="243"/>
      <c r="AE89" s="243"/>
      <c r="AF89" s="243"/>
      <c r="AG89" s="243"/>
      <c r="AH89" s="243"/>
      <c r="AI89" s="243"/>
      <c r="AJ89" s="243"/>
      <c r="AK89" s="243"/>
      <c r="AL89" s="243"/>
      <c r="AM89" s="243"/>
      <c r="AN89" s="243"/>
      <c r="AO89" s="243"/>
      <c r="AP89" s="243"/>
      <c r="AQ89" s="243"/>
      <c r="AR89" s="243"/>
      <c r="AS89" s="243"/>
      <c r="AT89" s="243"/>
      <c r="AU89" s="243"/>
      <c r="AV89" s="243"/>
      <c r="AW89" s="243"/>
      <c r="AX89" s="243"/>
      <c r="AY89" s="243"/>
      <c r="AZ89" s="243"/>
      <c r="BA89" s="243"/>
      <c r="BB89" s="243"/>
      <c r="BC89" s="243"/>
      <c r="BD89" s="243"/>
      <c r="BE89" s="243"/>
      <c r="BF89" s="243"/>
      <c r="BG89" s="243"/>
      <c r="BH89" s="243"/>
      <c r="BI89" s="243"/>
      <c r="BJ89" s="243"/>
      <c r="BK89" s="243"/>
      <c r="BL89" s="243"/>
      <c r="BM89" s="243"/>
      <c r="BN89" s="243"/>
      <c r="BO89" s="243"/>
      <c r="BP89" s="243"/>
      <c r="BQ89" s="243"/>
      <c r="BR89" s="243"/>
      <c r="BS89" s="243"/>
    </row>
    <row r="90" spans="1:71" s="169" customFormat="1" ht="41.25" customHeight="1">
      <c r="A90" s="178" t="s">
        <v>1672</v>
      </c>
      <c r="B90" s="178" t="str">
        <f ca="1">+UPPER(Tabla1321124[[#This Row],[DESCRIPCIÓN DE LA COMPRA O CONTRATACIÓN]])</f>
        <v>NEUMATICO VEHICULOS LIVIANO 245/70R15 111S A/T D695</v>
      </c>
      <c r="C90" s="39" t="s">
        <v>17</v>
      </c>
      <c r="D90" s="210">
        <v>4</v>
      </c>
      <c r="E90" s="210"/>
      <c r="F90" s="210">
        <v>4</v>
      </c>
      <c r="G90" s="210"/>
      <c r="H90" s="299">
        <v>8</v>
      </c>
      <c r="I90" s="17">
        <v>7000</v>
      </c>
      <c r="J90" s="246">
        <f>Tabla1321124[[#This Row],[PRECIO UNITARIO ESTIMADO]]*Tabla1321124[[#This Row],[CANTIDAD TOTAL]]</f>
        <v>56000</v>
      </c>
      <c r="K90" s="72"/>
      <c r="L90" s="16" t="s">
        <v>18</v>
      </c>
      <c r="M90" s="16" t="s">
        <v>22</v>
      </c>
      <c r="N90" s="16" t="s">
        <v>418</v>
      </c>
      <c r="O90" s="243"/>
      <c r="P90" s="243"/>
      <c r="Q90" s="243"/>
      <c r="R90" s="243"/>
      <c r="S90" s="243"/>
      <c r="T90" s="243"/>
      <c r="U90" s="243"/>
      <c r="V90" s="243"/>
      <c r="W90" s="243"/>
      <c r="X90" s="243"/>
      <c r="Y90" s="243"/>
      <c r="Z90" s="243"/>
      <c r="AA90" s="243"/>
      <c r="AB90" s="243"/>
      <c r="AC90" s="243"/>
      <c r="AD90" s="243"/>
      <c r="AE90" s="243"/>
      <c r="AF90" s="243"/>
      <c r="AG90" s="243"/>
      <c r="AH90" s="243"/>
      <c r="AI90" s="243"/>
      <c r="AJ90" s="243"/>
      <c r="AK90" s="243"/>
      <c r="AL90" s="243"/>
      <c r="AM90" s="243"/>
      <c r="AN90" s="243"/>
      <c r="AO90" s="243"/>
      <c r="AP90" s="243"/>
      <c r="AQ90" s="243"/>
      <c r="AR90" s="243"/>
      <c r="AS90" s="243"/>
      <c r="AT90" s="243"/>
      <c r="AU90" s="243"/>
      <c r="AV90" s="243"/>
      <c r="AW90" s="243"/>
      <c r="AX90" s="243"/>
      <c r="AY90" s="243"/>
      <c r="AZ90" s="243"/>
      <c r="BA90" s="243"/>
      <c r="BB90" s="243"/>
      <c r="BC90" s="243"/>
      <c r="BD90" s="243"/>
      <c r="BE90" s="243"/>
      <c r="BF90" s="243"/>
      <c r="BG90" s="243"/>
      <c r="BH90" s="243"/>
      <c r="BI90" s="243"/>
      <c r="BJ90" s="243"/>
      <c r="BK90" s="243"/>
      <c r="BL90" s="243"/>
      <c r="BM90" s="243"/>
      <c r="BN90" s="243"/>
      <c r="BO90" s="243"/>
      <c r="BP90" s="243"/>
      <c r="BQ90" s="243"/>
      <c r="BR90" s="243"/>
      <c r="BS90" s="243"/>
    </row>
    <row r="91" spans="1:71" s="169" customFormat="1" ht="41.25" customHeight="1">
      <c r="A91" s="178" t="s">
        <v>1672</v>
      </c>
      <c r="B91" s="178" t="str">
        <f ca="1">+UPPER(Tabla1321124[[#This Row],[DESCRIPCIÓN DE LA COMPRA O CONTRATACIÓN]])</f>
        <v>NEUMATICO VEHICULOS LIVIANO 255/70R16 109S  A/T</v>
      </c>
      <c r="C91" s="39" t="s">
        <v>17</v>
      </c>
      <c r="D91" s="210">
        <v>40</v>
      </c>
      <c r="E91" s="210"/>
      <c r="F91" s="210">
        <v>40</v>
      </c>
      <c r="G91" s="210"/>
      <c r="H91" s="351">
        <f>Tabla1321124[[#This Row],[CUARTO TRIMESTRE]]+Tabla1321124[[#This Row],[TERCER TRIMESTRE]]+Tabla1321124[[#This Row],[SEGUNDO TRIMESTRE]]+Tabla1321124[[#This Row],[PRIMER TRIMESTRE]]</f>
        <v>80</v>
      </c>
      <c r="I91" s="17">
        <v>9279.9</v>
      </c>
      <c r="J91" s="246">
        <f>Tabla1321124[[#This Row],[PRECIO UNITARIO ESTIMADO]]*Tabla1321124[[#This Row],[CANTIDAD TOTAL]]</f>
        <v>742392</v>
      </c>
      <c r="K91" s="72"/>
      <c r="L91" s="16" t="s">
        <v>18</v>
      </c>
      <c r="M91" s="16" t="s">
        <v>22</v>
      </c>
      <c r="N91" s="16" t="s">
        <v>418</v>
      </c>
      <c r="O91" s="243"/>
      <c r="P91" s="243"/>
      <c r="Q91" s="243"/>
      <c r="R91" s="243"/>
      <c r="S91" s="243"/>
      <c r="T91" s="243"/>
      <c r="U91" s="243"/>
      <c r="V91" s="243"/>
      <c r="W91" s="243"/>
      <c r="X91" s="243"/>
      <c r="Y91" s="243"/>
      <c r="Z91" s="243"/>
      <c r="AA91" s="243"/>
      <c r="AB91" s="243"/>
      <c r="AC91" s="243"/>
      <c r="AD91" s="243"/>
      <c r="AE91" s="243"/>
      <c r="AF91" s="243"/>
      <c r="AG91" s="243"/>
      <c r="AH91" s="243"/>
      <c r="AI91" s="243"/>
      <c r="AJ91" s="243"/>
      <c r="AK91" s="243"/>
      <c r="AL91" s="243"/>
      <c r="AM91" s="243"/>
      <c r="AN91" s="243"/>
      <c r="AO91" s="243"/>
      <c r="AP91" s="243"/>
      <c r="AQ91" s="243"/>
      <c r="AR91" s="243"/>
      <c r="AS91" s="243"/>
      <c r="AT91" s="243"/>
      <c r="AU91" s="243"/>
      <c r="AV91" s="243"/>
      <c r="AW91" s="243"/>
      <c r="AX91" s="243"/>
      <c r="AY91" s="243"/>
      <c r="AZ91" s="243"/>
      <c r="BA91" s="243"/>
      <c r="BB91" s="243"/>
      <c r="BC91" s="243"/>
      <c r="BD91" s="243"/>
      <c r="BE91" s="243"/>
      <c r="BF91" s="243"/>
      <c r="BG91" s="243"/>
      <c r="BH91" s="243"/>
      <c r="BI91" s="243"/>
      <c r="BJ91" s="243"/>
      <c r="BK91" s="243"/>
      <c r="BL91" s="243"/>
      <c r="BM91" s="243"/>
      <c r="BN91" s="243"/>
      <c r="BO91" s="243"/>
      <c r="BP91" s="243"/>
      <c r="BQ91" s="243"/>
      <c r="BR91" s="243"/>
      <c r="BS91" s="243"/>
    </row>
    <row r="92" spans="1:71" s="169" customFormat="1" ht="41.25" customHeight="1">
      <c r="A92" s="178" t="s">
        <v>1672</v>
      </c>
      <c r="B92" s="178" t="str">
        <f ca="1">+UPPER(Tabla1321124[[#This Row],[DESCRIPCIÓN DE LA COMPRA O CONTRATACIÓN]])</f>
        <v>NEUMATICO VEHICULOS LIVIANO 255/70R15 108S  INDY500</v>
      </c>
      <c r="C92" s="39" t="s">
        <v>17</v>
      </c>
      <c r="D92" s="210">
        <v>40</v>
      </c>
      <c r="E92" s="210"/>
      <c r="F92" s="210">
        <v>40</v>
      </c>
      <c r="G92" s="210"/>
      <c r="H92" s="351">
        <f>Tabla1321124[[#This Row],[CUARTO TRIMESTRE]]+Tabla1321124[[#This Row],[TERCER TRIMESTRE]]+Tabla1321124[[#This Row],[SEGUNDO TRIMESTRE]]+Tabla1321124[[#This Row],[PRIMER TRIMESTRE]]</f>
        <v>80</v>
      </c>
      <c r="I92" s="17">
        <v>9850</v>
      </c>
      <c r="J92" s="246">
        <f>Tabla1321124[[#This Row],[PRECIO UNITARIO ESTIMADO]]*Tabla1321124[[#This Row],[CANTIDAD TOTAL]]</f>
        <v>788000</v>
      </c>
      <c r="K92" s="72"/>
      <c r="L92" s="16" t="s">
        <v>18</v>
      </c>
      <c r="M92" s="16" t="s">
        <v>22</v>
      </c>
      <c r="N92" s="16" t="s">
        <v>418</v>
      </c>
      <c r="O92" s="243"/>
      <c r="P92" s="243"/>
      <c r="Q92" s="243"/>
      <c r="R92" s="243"/>
      <c r="S92" s="243"/>
      <c r="T92" s="243"/>
      <c r="U92" s="243"/>
      <c r="V92" s="243"/>
      <c r="W92" s="243"/>
      <c r="X92" s="243"/>
      <c r="Y92" s="243"/>
      <c r="Z92" s="243"/>
      <c r="AA92" s="243"/>
      <c r="AB92" s="243"/>
      <c r="AC92" s="243"/>
      <c r="AD92" s="243"/>
      <c r="AE92" s="243"/>
      <c r="AF92" s="243"/>
      <c r="AG92" s="243"/>
      <c r="AH92" s="243"/>
      <c r="AI92" s="243"/>
      <c r="AJ92" s="243"/>
      <c r="AK92" s="243"/>
      <c r="AL92" s="243"/>
      <c r="AM92" s="243"/>
      <c r="AN92" s="243"/>
      <c r="AO92" s="243"/>
      <c r="AP92" s="243"/>
      <c r="AQ92" s="243"/>
      <c r="AR92" s="243"/>
      <c r="AS92" s="243"/>
      <c r="AT92" s="243"/>
      <c r="AU92" s="243"/>
      <c r="AV92" s="243"/>
      <c r="AW92" s="243"/>
      <c r="AX92" s="243"/>
      <c r="AY92" s="243"/>
      <c r="AZ92" s="243"/>
      <c r="BA92" s="243"/>
      <c r="BB92" s="243"/>
      <c r="BC92" s="243"/>
      <c r="BD92" s="243"/>
      <c r="BE92" s="243"/>
      <c r="BF92" s="243"/>
      <c r="BG92" s="243"/>
      <c r="BH92" s="243"/>
      <c r="BI92" s="243"/>
      <c r="BJ92" s="243"/>
      <c r="BK92" s="243"/>
      <c r="BL92" s="243"/>
      <c r="BM92" s="243"/>
      <c r="BN92" s="243"/>
      <c r="BO92" s="243"/>
      <c r="BP92" s="243"/>
      <c r="BQ92" s="243"/>
      <c r="BR92" s="243"/>
      <c r="BS92" s="243"/>
    </row>
    <row r="93" spans="1:71" s="169" customFormat="1" ht="41.25" customHeight="1">
      <c r="A93" s="178" t="s">
        <v>1672</v>
      </c>
      <c r="B93" s="178" t="str">
        <f ca="1">+UPPER(Tabla1321124[[#This Row],[DESCRIPCIÓN DE LA COMPRA O CONTRATACIÓN]])</f>
        <v>195R14C 8PR 106/104Q FIRESTONE CV3000 (CR)</v>
      </c>
      <c r="C93" s="39" t="s">
        <v>17</v>
      </c>
      <c r="D93" s="210">
        <v>20</v>
      </c>
      <c r="E93" s="210"/>
      <c r="F93" s="210">
        <v>20</v>
      </c>
      <c r="G93" s="210"/>
      <c r="H93" s="351">
        <f>Tabla1321124[[#This Row],[CUARTO TRIMESTRE]]+Tabla1321124[[#This Row],[TERCER TRIMESTRE]]+Tabla1321124[[#This Row],[SEGUNDO TRIMESTRE]]+Tabla1321124[[#This Row],[PRIMER TRIMESTRE]]</f>
        <v>40</v>
      </c>
      <c r="I93" s="17">
        <v>7480</v>
      </c>
      <c r="J93" s="246">
        <f>Tabla1321124[[#This Row],[PRECIO UNITARIO ESTIMADO]]*Tabla1321124[[#This Row],[CANTIDAD TOTAL]]</f>
        <v>299200</v>
      </c>
      <c r="K93" s="72"/>
      <c r="L93" s="16" t="s">
        <v>18</v>
      </c>
      <c r="M93" s="16" t="s">
        <v>22</v>
      </c>
      <c r="N93" s="16" t="s">
        <v>418</v>
      </c>
      <c r="O93" s="243"/>
      <c r="P93" s="243"/>
      <c r="Q93" s="243"/>
      <c r="R93" s="243"/>
      <c r="S93" s="243"/>
      <c r="T93" s="243"/>
      <c r="U93" s="243"/>
      <c r="V93" s="243"/>
      <c r="W93" s="243"/>
      <c r="X93" s="243"/>
      <c r="Y93" s="243"/>
      <c r="Z93" s="243"/>
      <c r="AA93" s="243"/>
      <c r="AB93" s="243"/>
      <c r="AC93" s="243"/>
      <c r="AD93" s="243"/>
      <c r="AE93" s="243"/>
      <c r="AF93" s="243"/>
      <c r="AG93" s="243"/>
      <c r="AH93" s="243"/>
      <c r="AI93" s="243"/>
      <c r="AJ93" s="243"/>
      <c r="AK93" s="243"/>
      <c r="AL93" s="243"/>
      <c r="AM93" s="243"/>
      <c r="AN93" s="243"/>
      <c r="AO93" s="243"/>
      <c r="AP93" s="243"/>
      <c r="AQ93" s="243"/>
      <c r="AR93" s="243"/>
      <c r="AS93" s="243"/>
      <c r="AT93" s="243"/>
      <c r="AU93" s="243"/>
      <c r="AV93" s="243"/>
      <c r="AW93" s="243"/>
      <c r="AX93" s="243"/>
      <c r="AY93" s="243"/>
      <c r="AZ93" s="243"/>
      <c r="BA93" s="243"/>
      <c r="BB93" s="243"/>
      <c r="BC93" s="243"/>
      <c r="BD93" s="243"/>
      <c r="BE93" s="243"/>
      <c r="BF93" s="243"/>
      <c r="BG93" s="243"/>
      <c r="BH93" s="243"/>
      <c r="BI93" s="243"/>
      <c r="BJ93" s="243"/>
      <c r="BK93" s="243"/>
      <c r="BL93" s="243"/>
      <c r="BM93" s="243"/>
      <c r="BN93" s="243"/>
      <c r="BO93" s="243"/>
      <c r="BP93" s="243"/>
      <c r="BQ93" s="243"/>
      <c r="BR93" s="243"/>
      <c r="BS93" s="243"/>
    </row>
    <row r="94" spans="1:71" s="169" customFormat="1" ht="41.25" customHeight="1">
      <c r="A94" s="178" t="s">
        <v>1672</v>
      </c>
      <c r="B94" s="178" t="str">
        <f ca="1">+UPPER(Tabla1321124[[#This Row],[DESCRIPCIÓN DE LA COMPRA O CONTRATACIÓN]])</f>
        <v>195R15C 8PR 106/104Q FIRESTONE TRANSFORCE H/T (CR)</v>
      </c>
      <c r="C94" s="39" t="s">
        <v>17</v>
      </c>
      <c r="D94" s="210">
        <v>20</v>
      </c>
      <c r="E94" s="210"/>
      <c r="F94" s="210">
        <v>20</v>
      </c>
      <c r="G94" s="210"/>
      <c r="H94" s="351">
        <f>Tabla1321124[[#This Row],[CUARTO TRIMESTRE]]+Tabla1321124[[#This Row],[TERCER TRIMESTRE]]+Tabla1321124[[#This Row],[SEGUNDO TRIMESTRE]]+Tabla1321124[[#This Row],[PRIMER TRIMESTRE]]</f>
        <v>40</v>
      </c>
      <c r="I94" s="17">
        <v>6500</v>
      </c>
      <c r="J94" s="246">
        <f>Tabla1321124[[#This Row],[PRECIO UNITARIO ESTIMADO]]*Tabla1321124[[#This Row],[CANTIDAD TOTAL]]</f>
        <v>260000</v>
      </c>
      <c r="K94" s="72"/>
      <c r="L94" s="16" t="s">
        <v>18</v>
      </c>
      <c r="M94" s="16" t="s">
        <v>22</v>
      </c>
      <c r="N94" s="16" t="s">
        <v>418</v>
      </c>
      <c r="O94" s="243"/>
      <c r="P94" s="243"/>
      <c r="Q94" s="243"/>
      <c r="R94" s="243"/>
      <c r="S94" s="243"/>
      <c r="T94" s="243"/>
      <c r="U94" s="243"/>
      <c r="V94" s="243"/>
      <c r="W94" s="243"/>
      <c r="X94" s="243"/>
      <c r="Y94" s="243"/>
      <c r="Z94" s="243"/>
      <c r="AA94" s="243"/>
      <c r="AB94" s="243"/>
      <c r="AC94" s="243"/>
      <c r="AD94" s="243"/>
      <c r="AE94" s="243"/>
      <c r="AF94" s="243"/>
      <c r="AG94" s="243"/>
      <c r="AH94" s="243"/>
      <c r="AI94" s="243"/>
      <c r="AJ94" s="243"/>
      <c r="AK94" s="243"/>
      <c r="AL94" s="243"/>
      <c r="AM94" s="243"/>
      <c r="AN94" s="243"/>
      <c r="AO94" s="243"/>
      <c r="AP94" s="243"/>
      <c r="AQ94" s="243"/>
      <c r="AR94" s="243"/>
      <c r="AS94" s="243"/>
      <c r="AT94" s="243"/>
      <c r="AU94" s="243"/>
      <c r="AV94" s="243"/>
      <c r="AW94" s="243"/>
      <c r="AX94" s="243"/>
      <c r="AY94" s="243"/>
      <c r="AZ94" s="243"/>
      <c r="BA94" s="243"/>
      <c r="BB94" s="243"/>
      <c r="BC94" s="243"/>
      <c r="BD94" s="243"/>
      <c r="BE94" s="243"/>
      <c r="BF94" s="243"/>
      <c r="BG94" s="243"/>
      <c r="BH94" s="243"/>
      <c r="BI94" s="243"/>
      <c r="BJ94" s="243"/>
      <c r="BK94" s="243"/>
      <c r="BL94" s="243"/>
      <c r="BM94" s="243"/>
      <c r="BN94" s="243"/>
      <c r="BO94" s="243"/>
      <c r="BP94" s="243"/>
      <c r="BQ94" s="243"/>
      <c r="BR94" s="243"/>
      <c r="BS94" s="243"/>
    </row>
    <row r="95" spans="1:71" s="169" customFormat="1" ht="41.25" customHeight="1">
      <c r="A95" s="178" t="s">
        <v>1672</v>
      </c>
      <c r="B95" s="178" t="str">
        <f ca="1">+UPPER(Tabla1321124[[#This Row],[DESCRIPCIÓN DE LA COMPRA O CONTRATACIÓN]])</f>
        <v>NEUMATICO 235/60R16 99S A/T</v>
      </c>
      <c r="C95" s="39" t="s">
        <v>17</v>
      </c>
      <c r="D95" s="210">
        <v>8</v>
      </c>
      <c r="E95" s="210"/>
      <c r="F95" s="210"/>
      <c r="G95" s="210"/>
      <c r="H95" s="351">
        <f>Tabla1321124[[#This Row],[CUARTO TRIMESTRE]]+Tabla1321124[[#This Row],[TERCER TRIMESTRE]]+Tabla1321124[[#This Row],[SEGUNDO TRIMESTRE]]+Tabla1321124[[#This Row],[PRIMER TRIMESTRE]]</f>
        <v>8</v>
      </c>
      <c r="I95" s="17">
        <v>7043.16</v>
      </c>
      <c r="J95" s="246">
        <f>Tabla1321124[[#This Row],[PRECIO UNITARIO ESTIMADO]]*Tabla1321124[[#This Row],[CANTIDAD TOTAL]]</f>
        <v>56345.279999999999</v>
      </c>
      <c r="K95" s="72"/>
      <c r="L95" s="16" t="s">
        <v>18</v>
      </c>
      <c r="M95" s="16" t="s">
        <v>22</v>
      </c>
      <c r="N95" s="16" t="s">
        <v>418</v>
      </c>
      <c r="O95" s="243"/>
      <c r="P95" s="243"/>
      <c r="Q95" s="243"/>
      <c r="R95" s="243"/>
      <c r="S95" s="243"/>
      <c r="T95" s="243"/>
      <c r="U95" s="243"/>
      <c r="V95" s="243"/>
      <c r="W95" s="243"/>
      <c r="X95" s="243"/>
      <c r="Y95" s="243"/>
      <c r="Z95" s="243"/>
      <c r="AA95" s="243"/>
      <c r="AB95" s="243"/>
      <c r="AC95" s="243"/>
      <c r="AD95" s="243"/>
      <c r="AE95" s="243"/>
      <c r="AF95" s="243"/>
      <c r="AG95" s="243"/>
      <c r="AH95" s="243"/>
      <c r="AI95" s="243"/>
      <c r="AJ95" s="243"/>
      <c r="AK95" s="243"/>
      <c r="AL95" s="243"/>
      <c r="AM95" s="243"/>
      <c r="AN95" s="243"/>
      <c r="AO95" s="243"/>
      <c r="AP95" s="243"/>
      <c r="AQ95" s="243"/>
      <c r="AR95" s="243"/>
      <c r="AS95" s="243"/>
      <c r="AT95" s="243"/>
      <c r="AU95" s="243"/>
      <c r="AV95" s="243"/>
      <c r="AW95" s="243"/>
      <c r="AX95" s="243"/>
      <c r="AY95" s="243"/>
      <c r="AZ95" s="243"/>
      <c r="BA95" s="243"/>
      <c r="BB95" s="243"/>
      <c r="BC95" s="243"/>
      <c r="BD95" s="243"/>
      <c r="BE95" s="243"/>
      <c r="BF95" s="243"/>
      <c r="BG95" s="243"/>
      <c r="BH95" s="243"/>
      <c r="BI95" s="243"/>
      <c r="BJ95" s="243"/>
      <c r="BK95" s="243"/>
      <c r="BL95" s="243"/>
      <c r="BM95" s="243"/>
      <c r="BN95" s="243"/>
      <c r="BO95" s="243"/>
      <c r="BP95" s="243"/>
      <c r="BQ95" s="243"/>
      <c r="BR95" s="243"/>
      <c r="BS95" s="243"/>
    </row>
    <row r="96" spans="1:71" s="169" customFormat="1" ht="41.25" customHeight="1">
      <c r="A96" s="178" t="s">
        <v>1672</v>
      </c>
      <c r="B96" s="178" t="str">
        <f ca="1">+UPPER(Tabla1321124[[#This Row],[DESCRIPCIÓN DE LA COMPRA O CONTRATACIÓN]])</f>
        <v>NEUMATICO 165/70R14 81T F-590</v>
      </c>
      <c r="C96" s="39" t="s">
        <v>17</v>
      </c>
      <c r="D96" s="210">
        <v>24</v>
      </c>
      <c r="E96" s="210">
        <v>1</v>
      </c>
      <c r="F96" s="210">
        <v>24</v>
      </c>
      <c r="G96" s="210"/>
      <c r="H96" s="351">
        <f>Tabla1321124[[#This Row],[CUARTO TRIMESTRE]]+Tabla1321124[[#This Row],[TERCER TRIMESTRE]]+Tabla1321124[[#This Row],[SEGUNDO TRIMESTRE]]+Tabla1321124[[#This Row],[PRIMER TRIMESTRE]]</f>
        <v>49</v>
      </c>
      <c r="I96" s="17">
        <v>4500</v>
      </c>
      <c r="J96" s="246">
        <f>Tabla1321124[[#This Row],[PRECIO UNITARIO ESTIMADO]]*Tabla1321124[[#This Row],[CANTIDAD TOTAL]]</f>
        <v>220500</v>
      </c>
      <c r="K96" s="72"/>
      <c r="L96" s="16" t="s">
        <v>18</v>
      </c>
      <c r="M96" s="16" t="s">
        <v>22</v>
      </c>
      <c r="N96" s="16" t="s">
        <v>418</v>
      </c>
      <c r="O96" s="243"/>
      <c r="P96" s="243"/>
      <c r="Q96" s="243"/>
      <c r="R96" s="243"/>
      <c r="S96" s="243"/>
      <c r="T96" s="243"/>
      <c r="U96" s="243"/>
      <c r="V96" s="243"/>
      <c r="W96" s="243"/>
      <c r="X96" s="243"/>
      <c r="Y96" s="243"/>
      <c r="Z96" s="243"/>
      <c r="AA96" s="243"/>
      <c r="AB96" s="243"/>
      <c r="AC96" s="243"/>
      <c r="AD96" s="243"/>
      <c r="AE96" s="243"/>
      <c r="AF96" s="243"/>
      <c r="AG96" s="243"/>
      <c r="AH96" s="243"/>
      <c r="AI96" s="243"/>
      <c r="AJ96" s="243"/>
      <c r="AK96" s="243"/>
      <c r="AL96" s="243"/>
      <c r="AM96" s="243"/>
      <c r="AN96" s="243"/>
      <c r="AO96" s="243"/>
      <c r="AP96" s="243"/>
      <c r="AQ96" s="243"/>
      <c r="AR96" s="243"/>
      <c r="AS96" s="243"/>
      <c r="AT96" s="243"/>
      <c r="AU96" s="243"/>
      <c r="AV96" s="243"/>
      <c r="AW96" s="243"/>
      <c r="AX96" s="243"/>
      <c r="AY96" s="243"/>
      <c r="AZ96" s="243"/>
      <c r="BA96" s="243"/>
      <c r="BB96" s="243"/>
      <c r="BC96" s="243"/>
      <c r="BD96" s="243"/>
      <c r="BE96" s="243"/>
      <c r="BF96" s="243"/>
      <c r="BG96" s="243"/>
      <c r="BH96" s="243"/>
      <c r="BI96" s="243"/>
      <c r="BJ96" s="243"/>
      <c r="BK96" s="243"/>
      <c r="BL96" s="243"/>
      <c r="BM96" s="243"/>
      <c r="BN96" s="243"/>
      <c r="BO96" s="243"/>
      <c r="BP96" s="243"/>
      <c r="BQ96" s="243"/>
      <c r="BR96" s="243"/>
      <c r="BS96" s="243"/>
    </row>
    <row r="97" spans="1:71" s="169" customFormat="1" ht="41.25" customHeight="1">
      <c r="A97" s="178" t="s">
        <v>1672</v>
      </c>
      <c r="B97" s="178" t="str">
        <f ca="1">+UPPER(Tabla1321124[[#This Row],[DESCRIPCIÓN DE LA COMPRA O CONTRATACIÓN]])</f>
        <v>NEUMATICO 235/70R16 104S A/T</v>
      </c>
      <c r="C97" s="39" t="s">
        <v>17</v>
      </c>
      <c r="D97" s="210">
        <v>32</v>
      </c>
      <c r="E97" s="210"/>
      <c r="F97" s="210">
        <v>32</v>
      </c>
      <c r="G97" s="210"/>
      <c r="H97" s="351">
        <f>Tabla1321124[[#This Row],[CUARTO TRIMESTRE]]+Tabla1321124[[#This Row],[TERCER TRIMESTRE]]+Tabla1321124[[#This Row],[SEGUNDO TRIMESTRE]]+Tabla1321124[[#This Row],[PRIMER TRIMESTRE]]</f>
        <v>64</v>
      </c>
      <c r="I97" s="17">
        <v>7500</v>
      </c>
      <c r="J97" s="246">
        <f>Tabla1321124[[#This Row],[PRECIO UNITARIO ESTIMADO]]*Tabla1321124[[#This Row],[CANTIDAD TOTAL]]</f>
        <v>480000</v>
      </c>
      <c r="K97" s="72"/>
      <c r="L97" s="16" t="s">
        <v>18</v>
      </c>
      <c r="M97" s="16" t="s">
        <v>22</v>
      </c>
      <c r="N97" s="16" t="s">
        <v>418</v>
      </c>
      <c r="O97" s="243"/>
      <c r="P97" s="243"/>
      <c r="Q97" s="243"/>
      <c r="R97" s="243"/>
      <c r="S97" s="243"/>
      <c r="T97" s="243"/>
      <c r="U97" s="243"/>
      <c r="V97" s="243"/>
      <c r="W97" s="243"/>
      <c r="X97" s="243"/>
      <c r="Y97" s="243"/>
      <c r="Z97" s="243"/>
      <c r="AA97" s="243"/>
      <c r="AB97" s="243"/>
      <c r="AC97" s="243"/>
      <c r="AD97" s="243"/>
      <c r="AE97" s="243"/>
      <c r="AF97" s="243"/>
      <c r="AG97" s="243"/>
      <c r="AH97" s="243"/>
      <c r="AI97" s="243"/>
      <c r="AJ97" s="243"/>
      <c r="AK97" s="243"/>
      <c r="AL97" s="243"/>
      <c r="AM97" s="243"/>
      <c r="AN97" s="243"/>
      <c r="AO97" s="243"/>
      <c r="AP97" s="243"/>
      <c r="AQ97" s="243"/>
      <c r="AR97" s="243"/>
      <c r="AS97" s="243"/>
      <c r="AT97" s="243"/>
      <c r="AU97" s="243"/>
      <c r="AV97" s="243"/>
      <c r="AW97" s="243"/>
      <c r="AX97" s="243"/>
      <c r="AY97" s="243"/>
      <c r="AZ97" s="243"/>
      <c r="BA97" s="243"/>
      <c r="BB97" s="243"/>
      <c r="BC97" s="243"/>
      <c r="BD97" s="243"/>
      <c r="BE97" s="243"/>
      <c r="BF97" s="243"/>
      <c r="BG97" s="243"/>
      <c r="BH97" s="243"/>
      <c r="BI97" s="243"/>
      <c r="BJ97" s="243"/>
      <c r="BK97" s="243"/>
      <c r="BL97" s="243"/>
      <c r="BM97" s="243"/>
      <c r="BN97" s="243"/>
      <c r="BO97" s="243"/>
      <c r="BP97" s="243"/>
      <c r="BQ97" s="243"/>
      <c r="BR97" s="243"/>
      <c r="BS97" s="243"/>
    </row>
    <row r="98" spans="1:71" s="169" customFormat="1" ht="41.25" customHeight="1">
      <c r="A98" s="178" t="s">
        <v>1672</v>
      </c>
      <c r="B98" s="178" t="str">
        <f ca="1">+UPPER(Tabla1321124[[#This Row],[DESCRIPCIÓN DE LA COMPRA O CONTRATACIÓN]])</f>
        <v xml:space="preserve">NEUMATICO 185/65R15 88T </v>
      </c>
      <c r="C98" s="39" t="s">
        <v>17</v>
      </c>
      <c r="D98" s="210">
        <v>4</v>
      </c>
      <c r="E98" s="210"/>
      <c r="F98" s="210"/>
      <c r="G98" s="210"/>
      <c r="H98" s="351">
        <f>Tabla1321124[[#This Row],[CUARTO TRIMESTRE]]+Tabla1321124[[#This Row],[TERCER TRIMESTRE]]+Tabla1321124[[#This Row],[SEGUNDO TRIMESTRE]]+Tabla1321124[[#This Row],[PRIMER TRIMESTRE]]</f>
        <v>4</v>
      </c>
      <c r="I98" s="17">
        <v>6500</v>
      </c>
      <c r="J98" s="246">
        <f>Tabla1321124[[#This Row],[PRECIO UNITARIO ESTIMADO]]*Tabla1321124[[#This Row],[CANTIDAD TOTAL]]</f>
        <v>26000</v>
      </c>
      <c r="K98" s="72"/>
      <c r="L98" s="16" t="s">
        <v>18</v>
      </c>
      <c r="M98" s="16" t="s">
        <v>22</v>
      </c>
      <c r="N98" s="16" t="s">
        <v>418</v>
      </c>
      <c r="O98" s="243"/>
      <c r="P98" s="243"/>
      <c r="Q98" s="243"/>
      <c r="R98" s="243"/>
      <c r="S98" s="243"/>
      <c r="T98" s="243"/>
      <c r="U98" s="243"/>
      <c r="V98" s="243"/>
      <c r="W98" s="243"/>
      <c r="X98" s="243"/>
      <c r="Y98" s="243"/>
      <c r="Z98" s="243"/>
      <c r="AA98" s="243"/>
      <c r="AB98" s="243"/>
      <c r="AC98" s="243"/>
      <c r="AD98" s="243"/>
      <c r="AE98" s="243"/>
      <c r="AF98" s="243"/>
      <c r="AG98" s="243"/>
      <c r="AH98" s="243"/>
      <c r="AI98" s="243"/>
      <c r="AJ98" s="243"/>
      <c r="AK98" s="243"/>
      <c r="AL98" s="243"/>
      <c r="AM98" s="243"/>
      <c r="AN98" s="243"/>
      <c r="AO98" s="243"/>
      <c r="AP98" s="243"/>
      <c r="AQ98" s="243"/>
      <c r="AR98" s="243"/>
      <c r="AS98" s="243"/>
      <c r="AT98" s="243"/>
      <c r="AU98" s="243"/>
      <c r="AV98" s="243"/>
      <c r="AW98" s="243"/>
      <c r="AX98" s="243"/>
      <c r="AY98" s="243"/>
      <c r="AZ98" s="243"/>
      <c r="BA98" s="243"/>
      <c r="BB98" s="243"/>
      <c r="BC98" s="243"/>
      <c r="BD98" s="243"/>
      <c r="BE98" s="243"/>
      <c r="BF98" s="243"/>
      <c r="BG98" s="243"/>
      <c r="BH98" s="243"/>
      <c r="BI98" s="243"/>
      <c r="BJ98" s="243"/>
      <c r="BK98" s="243"/>
      <c r="BL98" s="243"/>
      <c r="BM98" s="243"/>
      <c r="BN98" s="243"/>
      <c r="BO98" s="243"/>
      <c r="BP98" s="243"/>
      <c r="BQ98" s="243"/>
      <c r="BR98" s="243"/>
      <c r="BS98" s="243"/>
    </row>
    <row r="99" spans="1:71" s="169" customFormat="1" ht="41.25" customHeight="1">
      <c r="A99" s="178" t="s">
        <v>1672</v>
      </c>
      <c r="B99" s="178" t="str">
        <f ca="1">+UPPER(Tabla1321124[[#This Row],[DESCRIPCIÓN DE LA COMPRA O CONTRATACIÓN]])</f>
        <v xml:space="preserve">NEUMATICO 195/R15 </v>
      </c>
      <c r="C99" s="39" t="s">
        <v>17</v>
      </c>
      <c r="D99" s="210">
        <v>8</v>
      </c>
      <c r="E99" s="210"/>
      <c r="F99" s="210"/>
      <c r="G99" s="210"/>
      <c r="H99" s="299">
        <f>Tabla1321124[[#This Row],[CUARTO TRIMESTRE]]+Tabla1321124[[#This Row],[TERCER TRIMESTRE]]+Tabla1321124[[#This Row],[SEGUNDO TRIMESTRE]]+Tabla1321124[[#This Row],[PRIMER TRIMESTRE]]</f>
        <v>8</v>
      </c>
      <c r="I99" s="17">
        <v>7200</v>
      </c>
      <c r="J99" s="246">
        <f>Tabla1321124[[#This Row],[PRECIO UNITARIO ESTIMADO]]*Tabla1321124[[#This Row],[CANTIDAD TOTAL]]</f>
        <v>57600</v>
      </c>
      <c r="K99" s="72"/>
      <c r="L99" s="16" t="s">
        <v>18</v>
      </c>
      <c r="M99" s="16" t="s">
        <v>22</v>
      </c>
      <c r="N99" s="16" t="s">
        <v>418</v>
      </c>
      <c r="O99" s="243"/>
      <c r="P99" s="243"/>
      <c r="Q99" s="243"/>
      <c r="R99" s="243"/>
      <c r="S99" s="243"/>
      <c r="T99" s="243"/>
      <c r="U99" s="243"/>
      <c r="V99" s="243"/>
      <c r="W99" s="243"/>
      <c r="X99" s="243"/>
      <c r="Y99" s="243"/>
      <c r="Z99" s="243"/>
      <c r="AA99" s="243"/>
      <c r="AB99" s="243"/>
      <c r="AC99" s="243"/>
      <c r="AD99" s="243"/>
      <c r="AE99" s="243"/>
      <c r="AF99" s="243"/>
      <c r="AG99" s="243"/>
      <c r="AH99" s="243"/>
      <c r="AI99" s="243"/>
      <c r="AJ99" s="243"/>
      <c r="AK99" s="243"/>
      <c r="AL99" s="243"/>
      <c r="AM99" s="243"/>
      <c r="AN99" s="243"/>
      <c r="AO99" s="243"/>
      <c r="AP99" s="243"/>
      <c r="AQ99" s="243"/>
      <c r="AR99" s="243"/>
      <c r="AS99" s="243"/>
      <c r="AT99" s="243"/>
      <c r="AU99" s="243"/>
      <c r="AV99" s="243"/>
      <c r="AW99" s="243"/>
      <c r="AX99" s="243"/>
      <c r="AY99" s="243"/>
      <c r="AZ99" s="243"/>
      <c r="BA99" s="243"/>
      <c r="BB99" s="243"/>
      <c r="BC99" s="243"/>
      <c r="BD99" s="243"/>
      <c r="BE99" s="243"/>
      <c r="BF99" s="243"/>
      <c r="BG99" s="243"/>
      <c r="BH99" s="243"/>
      <c r="BI99" s="243"/>
      <c r="BJ99" s="243"/>
      <c r="BK99" s="243"/>
      <c r="BL99" s="243"/>
      <c r="BM99" s="243"/>
      <c r="BN99" s="243"/>
      <c r="BO99" s="243"/>
      <c r="BP99" s="243"/>
      <c r="BQ99" s="243"/>
      <c r="BR99" s="243"/>
      <c r="BS99" s="243"/>
    </row>
    <row r="100" spans="1:71" s="169" customFormat="1" ht="41.25" customHeight="1">
      <c r="A100" s="178" t="s">
        <v>1672</v>
      </c>
      <c r="B100" s="178" t="str">
        <f ca="1">+UPPER(Tabla1321124[[#This Row],[DESCRIPCIÓN DE LA COMPRA O CONTRATACIÓN]])</f>
        <v>NEUMATICO 12.00R20 154/150K 18PR M840 TH</v>
      </c>
      <c r="C100" s="39" t="s">
        <v>17</v>
      </c>
      <c r="D100" s="210">
        <v>20</v>
      </c>
      <c r="E100" s="210"/>
      <c r="F100" s="210">
        <v>20</v>
      </c>
      <c r="G100" s="210"/>
      <c r="H100" s="351">
        <f>Tabla1321124[[#This Row],[CUARTO TRIMESTRE]]+Tabla1321124[[#This Row],[TERCER TRIMESTRE]]+Tabla1321124[[#This Row],[SEGUNDO TRIMESTRE]]+Tabla1321124[[#This Row],[PRIMER TRIMESTRE]]</f>
        <v>40</v>
      </c>
      <c r="I100" s="17">
        <v>24500</v>
      </c>
      <c r="J100" s="246">
        <f>Tabla1321124[[#This Row],[PRECIO UNITARIO ESTIMADO]]*Tabla1321124[[#This Row],[CANTIDAD TOTAL]]</f>
        <v>980000</v>
      </c>
      <c r="K100" s="72"/>
      <c r="L100" s="16" t="s">
        <v>18</v>
      </c>
      <c r="M100" s="16" t="s">
        <v>22</v>
      </c>
      <c r="N100" s="16" t="s">
        <v>418</v>
      </c>
      <c r="O100" s="243"/>
      <c r="P100" s="243"/>
      <c r="Q100" s="243"/>
      <c r="R100" s="243"/>
      <c r="S100" s="243"/>
      <c r="T100" s="243"/>
      <c r="U100" s="243"/>
      <c r="V100" s="243"/>
      <c r="W100" s="243"/>
      <c r="X100" s="243"/>
      <c r="Y100" s="243"/>
      <c r="Z100" s="243"/>
      <c r="AA100" s="243"/>
      <c r="AB100" s="243"/>
      <c r="AC100" s="243"/>
      <c r="AD100" s="243"/>
      <c r="AE100" s="243"/>
      <c r="AF100" s="243"/>
      <c r="AG100" s="243"/>
      <c r="AH100" s="243"/>
      <c r="AI100" s="243"/>
      <c r="AJ100" s="243"/>
      <c r="AK100" s="243"/>
      <c r="AL100" s="243"/>
      <c r="AM100" s="243"/>
      <c r="AN100" s="243"/>
      <c r="AO100" s="243"/>
      <c r="AP100" s="243"/>
      <c r="AQ100" s="243"/>
      <c r="AR100" s="243"/>
      <c r="AS100" s="243"/>
      <c r="AT100" s="243"/>
      <c r="AU100" s="243"/>
      <c r="AV100" s="243"/>
      <c r="AW100" s="243"/>
      <c r="AX100" s="243"/>
      <c r="AY100" s="243"/>
      <c r="AZ100" s="243"/>
      <c r="BA100" s="243"/>
      <c r="BB100" s="243"/>
      <c r="BC100" s="243"/>
      <c r="BD100" s="243"/>
      <c r="BE100" s="243"/>
      <c r="BF100" s="243"/>
      <c r="BG100" s="243"/>
      <c r="BH100" s="243"/>
      <c r="BI100" s="243"/>
      <c r="BJ100" s="243"/>
      <c r="BK100" s="243"/>
      <c r="BL100" s="243"/>
      <c r="BM100" s="243"/>
      <c r="BN100" s="243"/>
      <c r="BO100" s="243"/>
      <c r="BP100" s="243"/>
      <c r="BQ100" s="243"/>
      <c r="BR100" s="243"/>
      <c r="BS100" s="243"/>
    </row>
    <row r="101" spans="1:71" s="169" customFormat="1" ht="41.25" customHeight="1">
      <c r="A101" s="178" t="s">
        <v>1672</v>
      </c>
      <c r="B101" s="178" t="str">
        <f ca="1">+UPPER(Tabla1321124[[#This Row],[DESCRIPCIÓN DE LA COMPRA O CONTRATACIÓN]])</f>
        <v>NEUMATICO 11.00R20 16PR 150/146K M857 TH</v>
      </c>
      <c r="C101" s="39" t="s">
        <v>17</v>
      </c>
      <c r="D101" s="210">
        <v>20</v>
      </c>
      <c r="E101" s="210"/>
      <c r="F101" s="210">
        <v>20</v>
      </c>
      <c r="G101" s="210"/>
      <c r="H101" s="351">
        <f>Tabla1321124[[#This Row],[CUARTO TRIMESTRE]]+Tabla1321124[[#This Row],[TERCER TRIMESTRE]]+Tabla1321124[[#This Row],[SEGUNDO TRIMESTRE]]+Tabla1321124[[#This Row],[PRIMER TRIMESTRE]]</f>
        <v>40</v>
      </c>
      <c r="I101" s="17">
        <v>24500</v>
      </c>
      <c r="J101" s="246">
        <f>Tabla1321124[[#This Row],[PRECIO UNITARIO ESTIMADO]]*Tabla1321124[[#This Row],[CANTIDAD TOTAL]]</f>
        <v>980000</v>
      </c>
      <c r="K101" s="72"/>
      <c r="L101" s="16" t="s">
        <v>18</v>
      </c>
      <c r="M101" s="16" t="s">
        <v>22</v>
      </c>
      <c r="N101" s="16" t="s">
        <v>418</v>
      </c>
      <c r="O101" s="243"/>
      <c r="P101" s="243"/>
      <c r="Q101" s="243"/>
      <c r="R101" s="243"/>
      <c r="S101" s="243"/>
      <c r="T101" s="243"/>
      <c r="U101" s="243"/>
      <c r="V101" s="243"/>
      <c r="W101" s="243"/>
      <c r="X101" s="243"/>
      <c r="Y101" s="243"/>
      <c r="Z101" s="243"/>
      <c r="AA101" s="243"/>
      <c r="AB101" s="243"/>
      <c r="AC101" s="243"/>
      <c r="AD101" s="243"/>
      <c r="AE101" s="243"/>
      <c r="AF101" s="243"/>
      <c r="AG101" s="243"/>
      <c r="AH101" s="243"/>
      <c r="AI101" s="243"/>
      <c r="AJ101" s="243"/>
      <c r="AK101" s="243"/>
      <c r="AL101" s="243"/>
      <c r="AM101" s="243"/>
      <c r="AN101" s="243"/>
      <c r="AO101" s="243"/>
      <c r="AP101" s="243"/>
      <c r="AQ101" s="243"/>
      <c r="AR101" s="243"/>
      <c r="AS101" s="243"/>
      <c r="AT101" s="243"/>
      <c r="AU101" s="243"/>
      <c r="AV101" s="243"/>
      <c r="AW101" s="243"/>
      <c r="AX101" s="243"/>
      <c r="AY101" s="243"/>
      <c r="AZ101" s="243"/>
      <c r="BA101" s="243"/>
      <c r="BB101" s="243"/>
      <c r="BC101" s="243"/>
      <c r="BD101" s="243"/>
      <c r="BE101" s="243"/>
      <c r="BF101" s="243"/>
      <c r="BG101" s="243"/>
      <c r="BH101" s="243"/>
      <c r="BI101" s="243"/>
      <c r="BJ101" s="243"/>
      <c r="BK101" s="243"/>
      <c r="BL101" s="243"/>
      <c r="BM101" s="243"/>
      <c r="BN101" s="243"/>
      <c r="BO101" s="243"/>
      <c r="BP101" s="243"/>
      <c r="BQ101" s="243"/>
      <c r="BR101" s="243"/>
      <c r="BS101" s="243"/>
    </row>
    <row r="102" spans="1:71" s="169" customFormat="1" ht="41.25" customHeight="1">
      <c r="A102" s="178" t="s">
        <v>1672</v>
      </c>
      <c r="B102" s="178" t="str">
        <f ca="1">+UPPER(Tabla1321124[[#This Row],[DESCRIPCIÓN DE LA COMPRA O CONTRATACIÓN]])</f>
        <v>TUBO NEUMATICO 11.00R20 TR78A</v>
      </c>
      <c r="C102" s="39" t="s">
        <v>17</v>
      </c>
      <c r="D102" s="210">
        <v>50</v>
      </c>
      <c r="E102" s="210"/>
      <c r="F102" s="210">
        <v>50</v>
      </c>
      <c r="G102" s="210"/>
      <c r="H102" s="351">
        <f>Tabla1321124[[#This Row],[CUARTO TRIMESTRE]]+Tabla1321124[[#This Row],[TERCER TRIMESTRE]]+Tabla1321124[[#This Row],[SEGUNDO TRIMESTRE]]+Tabla1321124[[#This Row],[PRIMER TRIMESTRE]]</f>
        <v>100</v>
      </c>
      <c r="I102" s="17">
        <v>1800</v>
      </c>
      <c r="J102" s="246">
        <f>Tabla1321124[[#This Row],[PRECIO UNITARIO ESTIMADO]]*Tabla1321124[[#This Row],[CANTIDAD TOTAL]]</f>
        <v>180000</v>
      </c>
      <c r="K102" s="72"/>
      <c r="L102" s="16" t="s">
        <v>18</v>
      </c>
      <c r="M102" s="16" t="s">
        <v>22</v>
      </c>
      <c r="N102" s="16" t="s">
        <v>418</v>
      </c>
      <c r="O102" s="243"/>
      <c r="P102" s="243"/>
      <c r="Q102" s="243"/>
      <c r="R102" s="243"/>
      <c r="S102" s="243"/>
      <c r="T102" s="243"/>
      <c r="U102" s="243"/>
      <c r="V102" s="243"/>
      <c r="W102" s="243"/>
      <c r="X102" s="243"/>
      <c r="Y102" s="243"/>
      <c r="Z102" s="243"/>
      <c r="AA102" s="243"/>
      <c r="AB102" s="243"/>
      <c r="AC102" s="243"/>
      <c r="AD102" s="243"/>
      <c r="AE102" s="243"/>
      <c r="AF102" s="243"/>
      <c r="AG102" s="243"/>
      <c r="AH102" s="243"/>
      <c r="AI102" s="243"/>
      <c r="AJ102" s="243"/>
      <c r="AK102" s="243"/>
      <c r="AL102" s="243"/>
      <c r="AM102" s="243"/>
      <c r="AN102" s="243"/>
      <c r="AO102" s="243"/>
      <c r="AP102" s="243"/>
      <c r="AQ102" s="243"/>
      <c r="AR102" s="243"/>
      <c r="AS102" s="243"/>
      <c r="AT102" s="243"/>
      <c r="AU102" s="243"/>
      <c r="AV102" s="243"/>
      <c r="AW102" s="243"/>
      <c r="AX102" s="243"/>
      <c r="AY102" s="243"/>
      <c r="AZ102" s="243"/>
      <c r="BA102" s="243"/>
      <c r="BB102" s="243"/>
      <c r="BC102" s="243"/>
      <c r="BD102" s="243"/>
      <c r="BE102" s="243"/>
      <c r="BF102" s="243"/>
      <c r="BG102" s="243"/>
      <c r="BH102" s="243"/>
      <c r="BI102" s="243"/>
      <c r="BJ102" s="243"/>
      <c r="BK102" s="243"/>
      <c r="BL102" s="243"/>
      <c r="BM102" s="243"/>
      <c r="BN102" s="243"/>
      <c r="BO102" s="243"/>
      <c r="BP102" s="243"/>
      <c r="BQ102" s="243"/>
      <c r="BR102" s="243"/>
      <c r="BS102" s="243"/>
    </row>
    <row r="103" spans="1:71" s="169" customFormat="1" ht="41.25" customHeight="1">
      <c r="A103" s="178" t="s">
        <v>1672</v>
      </c>
      <c r="B103" s="178" t="str">
        <f ca="1">+UPPER(Tabla1321124[[#This Row],[DESCRIPCIÓN DE LA COMPRA O CONTRATACIÓN]])</f>
        <v>NEUMATICO 10.00R20 16PR 146/143K  M840</v>
      </c>
      <c r="C103" s="39" t="s">
        <v>17</v>
      </c>
      <c r="D103" s="210">
        <v>20</v>
      </c>
      <c r="E103" s="210"/>
      <c r="F103" s="210">
        <v>20</v>
      </c>
      <c r="G103" s="210"/>
      <c r="H103" s="351">
        <f>Tabla1321124[[#This Row],[CUARTO TRIMESTRE]]+Tabla1321124[[#This Row],[TERCER TRIMESTRE]]+Tabla1321124[[#This Row],[SEGUNDO TRIMESTRE]]+Tabla1321124[[#This Row],[PRIMER TRIMESTRE]]</f>
        <v>40</v>
      </c>
      <c r="I103" s="17">
        <v>24500</v>
      </c>
      <c r="J103" s="246">
        <f>Tabla1321124[[#This Row],[PRECIO UNITARIO ESTIMADO]]*Tabla1321124[[#This Row],[CANTIDAD TOTAL]]</f>
        <v>980000</v>
      </c>
      <c r="K103" s="72"/>
      <c r="L103" s="16" t="s">
        <v>18</v>
      </c>
      <c r="M103" s="16" t="s">
        <v>22</v>
      </c>
      <c r="N103" s="16" t="s">
        <v>418</v>
      </c>
      <c r="O103" s="243"/>
      <c r="P103" s="243"/>
      <c r="Q103" s="243"/>
      <c r="R103" s="243"/>
      <c r="S103" s="243"/>
      <c r="T103" s="243"/>
      <c r="U103" s="243"/>
      <c r="V103" s="243"/>
      <c r="W103" s="243"/>
      <c r="X103" s="243"/>
      <c r="Y103" s="243"/>
      <c r="Z103" s="243"/>
      <c r="AA103" s="243"/>
      <c r="AB103" s="243"/>
      <c r="AC103" s="243"/>
      <c r="AD103" s="243"/>
      <c r="AE103" s="243"/>
      <c r="AF103" s="243"/>
      <c r="AG103" s="243"/>
      <c r="AH103" s="243"/>
      <c r="AI103" s="243"/>
      <c r="AJ103" s="243"/>
      <c r="AK103" s="243"/>
      <c r="AL103" s="243"/>
      <c r="AM103" s="243"/>
      <c r="AN103" s="243"/>
      <c r="AO103" s="243"/>
      <c r="AP103" s="243"/>
      <c r="AQ103" s="243"/>
      <c r="AR103" s="243"/>
      <c r="AS103" s="243"/>
      <c r="AT103" s="243"/>
      <c r="AU103" s="243"/>
      <c r="AV103" s="243"/>
      <c r="AW103" s="243"/>
      <c r="AX103" s="243"/>
      <c r="AY103" s="243"/>
      <c r="AZ103" s="243"/>
      <c r="BA103" s="243"/>
      <c r="BB103" s="243"/>
      <c r="BC103" s="243"/>
      <c r="BD103" s="243"/>
      <c r="BE103" s="243"/>
      <c r="BF103" s="243"/>
      <c r="BG103" s="243"/>
      <c r="BH103" s="243"/>
      <c r="BI103" s="243"/>
      <c r="BJ103" s="243"/>
      <c r="BK103" s="243"/>
      <c r="BL103" s="243"/>
      <c r="BM103" s="243"/>
      <c r="BN103" s="243"/>
      <c r="BO103" s="243"/>
      <c r="BP103" s="243"/>
      <c r="BQ103" s="243"/>
      <c r="BR103" s="243"/>
      <c r="BS103" s="243"/>
    </row>
    <row r="104" spans="1:71" s="169" customFormat="1" ht="41.25" customHeight="1">
      <c r="A104" s="178" t="s">
        <v>1672</v>
      </c>
      <c r="B104" s="178" t="str">
        <f ca="1">+UPPER(Tabla1321124[[#This Row],[DESCRIPCIÓN DE LA COMPRA O CONTRATACIÓN]])</f>
        <v>TUBO NEUMATICO 10.00R20 TR78A</v>
      </c>
      <c r="C104" s="39" t="s">
        <v>17</v>
      </c>
      <c r="D104" s="210">
        <v>50</v>
      </c>
      <c r="E104" s="210"/>
      <c r="F104" s="210">
        <v>50</v>
      </c>
      <c r="G104" s="210"/>
      <c r="H104" s="351">
        <f>Tabla1321124[[#This Row],[CUARTO TRIMESTRE]]+Tabla1321124[[#This Row],[TERCER TRIMESTRE]]+Tabla1321124[[#This Row],[SEGUNDO TRIMESTRE]]+Tabla1321124[[#This Row],[PRIMER TRIMESTRE]]</f>
        <v>100</v>
      </c>
      <c r="I104" s="17">
        <v>1800</v>
      </c>
      <c r="J104" s="246">
        <f>Tabla1321124[[#This Row],[PRECIO UNITARIO ESTIMADO]]*Tabla1321124[[#This Row],[CANTIDAD TOTAL]]</f>
        <v>180000</v>
      </c>
      <c r="K104" s="72"/>
      <c r="L104" s="16" t="s">
        <v>18</v>
      </c>
      <c r="M104" s="16" t="s">
        <v>22</v>
      </c>
      <c r="N104" s="16" t="s">
        <v>418</v>
      </c>
      <c r="O104" s="243"/>
      <c r="P104" s="243"/>
      <c r="Q104" s="243"/>
      <c r="R104" s="243"/>
      <c r="S104" s="243"/>
      <c r="T104" s="243"/>
      <c r="U104" s="243"/>
      <c r="V104" s="243"/>
      <c r="W104" s="243"/>
      <c r="X104" s="243"/>
      <c r="Y104" s="243"/>
      <c r="Z104" s="243"/>
      <c r="AA104" s="243"/>
      <c r="AB104" s="243"/>
      <c r="AC104" s="243"/>
      <c r="AD104" s="243"/>
      <c r="AE104" s="243"/>
      <c r="AF104" s="243"/>
      <c r="AG104" s="243"/>
      <c r="AH104" s="243"/>
      <c r="AI104" s="243"/>
      <c r="AJ104" s="243"/>
      <c r="AK104" s="243"/>
      <c r="AL104" s="243"/>
      <c r="AM104" s="243"/>
      <c r="AN104" s="243"/>
      <c r="AO104" s="243"/>
      <c r="AP104" s="243"/>
      <c r="AQ104" s="243"/>
      <c r="AR104" s="243"/>
      <c r="AS104" s="243"/>
      <c r="AT104" s="243"/>
      <c r="AU104" s="243"/>
      <c r="AV104" s="243"/>
      <c r="AW104" s="243"/>
      <c r="AX104" s="243"/>
      <c r="AY104" s="243"/>
      <c r="AZ104" s="243"/>
      <c r="BA104" s="243"/>
      <c r="BB104" s="243"/>
      <c r="BC104" s="243"/>
      <c r="BD104" s="243"/>
      <c r="BE104" s="243"/>
      <c r="BF104" s="243"/>
      <c r="BG104" s="243"/>
      <c r="BH104" s="243"/>
      <c r="BI104" s="243"/>
      <c r="BJ104" s="243"/>
      <c r="BK104" s="243"/>
      <c r="BL104" s="243"/>
      <c r="BM104" s="243"/>
      <c r="BN104" s="243"/>
      <c r="BO104" s="243"/>
      <c r="BP104" s="243"/>
      <c r="BQ104" s="243"/>
      <c r="BR104" s="243"/>
      <c r="BS104" s="243"/>
    </row>
    <row r="105" spans="1:71" s="169" customFormat="1" ht="41.25" customHeight="1">
      <c r="A105" s="178" t="s">
        <v>1672</v>
      </c>
      <c r="B105" s="178" t="str">
        <f ca="1">+UPPER(Tabla1321124[[#This Row],[DESCRIPCIÓN DE LA COMPRA O CONTRATACIÓN]])</f>
        <v>NEUMATICO 11R22.5 16PR FS-567 (BR)</v>
      </c>
      <c r="C105" s="39" t="s">
        <v>17</v>
      </c>
      <c r="D105" s="210">
        <v>20</v>
      </c>
      <c r="E105" s="210"/>
      <c r="F105" s="210">
        <v>20</v>
      </c>
      <c r="G105" s="210"/>
      <c r="H105" s="351">
        <f>Tabla1321124[[#This Row],[CUARTO TRIMESTRE]]+Tabla1321124[[#This Row],[TERCER TRIMESTRE]]+Tabla1321124[[#This Row],[SEGUNDO TRIMESTRE]]+Tabla1321124[[#This Row],[PRIMER TRIMESTRE]]</f>
        <v>40</v>
      </c>
      <c r="I105" s="17">
        <v>24500</v>
      </c>
      <c r="J105" s="246">
        <f>Tabla1321124[[#This Row],[PRECIO UNITARIO ESTIMADO]]*Tabla1321124[[#This Row],[CANTIDAD TOTAL]]</f>
        <v>980000</v>
      </c>
      <c r="K105" s="72"/>
      <c r="L105" s="16" t="s">
        <v>18</v>
      </c>
      <c r="M105" s="16" t="s">
        <v>22</v>
      </c>
      <c r="N105" s="16" t="s">
        <v>418</v>
      </c>
      <c r="O105" s="243"/>
      <c r="P105" s="243"/>
      <c r="Q105" s="243"/>
      <c r="R105" s="243"/>
      <c r="S105" s="243"/>
      <c r="T105" s="243"/>
      <c r="U105" s="243"/>
      <c r="V105" s="243"/>
      <c r="W105" s="243"/>
      <c r="X105" s="243"/>
      <c r="Y105" s="243"/>
      <c r="Z105" s="243"/>
      <c r="AA105" s="243"/>
      <c r="AB105" s="243"/>
      <c r="AC105" s="243"/>
      <c r="AD105" s="243"/>
      <c r="AE105" s="243"/>
      <c r="AF105" s="243"/>
      <c r="AG105" s="243"/>
      <c r="AH105" s="243"/>
      <c r="AI105" s="243"/>
      <c r="AJ105" s="243"/>
      <c r="AK105" s="243"/>
      <c r="AL105" s="243"/>
      <c r="AM105" s="243"/>
      <c r="AN105" s="243"/>
      <c r="AO105" s="243"/>
      <c r="AP105" s="243"/>
      <c r="AQ105" s="243"/>
      <c r="AR105" s="243"/>
      <c r="AS105" s="243"/>
      <c r="AT105" s="243"/>
      <c r="AU105" s="243"/>
      <c r="AV105" s="243"/>
      <c r="AW105" s="243"/>
      <c r="AX105" s="243"/>
      <c r="AY105" s="243"/>
      <c r="AZ105" s="243"/>
      <c r="BA105" s="243"/>
      <c r="BB105" s="243"/>
      <c r="BC105" s="243"/>
      <c r="BD105" s="243"/>
      <c r="BE105" s="243"/>
      <c r="BF105" s="243"/>
      <c r="BG105" s="243"/>
      <c r="BH105" s="243"/>
      <c r="BI105" s="243"/>
      <c r="BJ105" s="243"/>
      <c r="BK105" s="243"/>
      <c r="BL105" s="243"/>
      <c r="BM105" s="243"/>
      <c r="BN105" s="243"/>
      <c r="BO105" s="243"/>
      <c r="BP105" s="243"/>
      <c r="BQ105" s="243"/>
      <c r="BR105" s="243"/>
      <c r="BS105" s="243"/>
    </row>
    <row r="106" spans="1:71" s="169" customFormat="1" ht="41.25" customHeight="1">
      <c r="A106" s="178" t="s">
        <v>1672</v>
      </c>
      <c r="B106" s="178" t="str">
        <f ca="1">+UPPER(Tabla1321124[[#This Row],[DESCRIPCIÓN DE LA COMPRA O CONTRATACIÓN]])</f>
        <v>NEUMATICO 265/65R18 112S A/T RH-S</v>
      </c>
      <c r="C106" s="39" t="s">
        <v>17</v>
      </c>
      <c r="D106" s="210">
        <v>4</v>
      </c>
      <c r="E106" s="210"/>
      <c r="F106" s="210"/>
      <c r="G106" s="210"/>
      <c r="H106" s="351">
        <f>Tabla1321124[[#This Row],[CUARTO TRIMESTRE]]+Tabla1321124[[#This Row],[TERCER TRIMESTRE]]+Tabla1321124[[#This Row],[SEGUNDO TRIMESTRE]]+Tabla1321124[[#This Row],[PRIMER TRIMESTRE]]</f>
        <v>4</v>
      </c>
      <c r="I106" s="17">
        <v>12510</v>
      </c>
      <c r="J106" s="246">
        <f>Tabla1321124[[#This Row],[PRECIO UNITARIO ESTIMADO]]*Tabla1321124[[#This Row],[CANTIDAD TOTAL]]</f>
        <v>50040</v>
      </c>
      <c r="K106" s="72"/>
      <c r="L106" s="16" t="s">
        <v>18</v>
      </c>
      <c r="M106" s="16" t="s">
        <v>22</v>
      </c>
      <c r="N106" s="16" t="s">
        <v>418</v>
      </c>
      <c r="O106" s="243"/>
      <c r="P106" s="243"/>
      <c r="Q106" s="243"/>
      <c r="R106" s="243"/>
      <c r="S106" s="243"/>
      <c r="T106" s="243"/>
      <c r="U106" s="243"/>
      <c r="V106" s="243"/>
      <c r="W106" s="243"/>
      <c r="X106" s="243"/>
      <c r="Y106" s="243"/>
      <c r="Z106" s="243"/>
      <c r="AA106" s="243"/>
      <c r="AB106" s="243"/>
      <c r="AC106" s="243"/>
      <c r="AD106" s="243"/>
      <c r="AE106" s="243"/>
      <c r="AF106" s="243"/>
      <c r="AG106" s="243"/>
      <c r="AH106" s="243"/>
      <c r="AI106" s="243"/>
      <c r="AJ106" s="243"/>
      <c r="AK106" s="243"/>
      <c r="AL106" s="243"/>
      <c r="AM106" s="243"/>
      <c r="AN106" s="243"/>
      <c r="AO106" s="243"/>
      <c r="AP106" s="243"/>
      <c r="AQ106" s="243"/>
      <c r="AR106" s="243"/>
      <c r="AS106" s="243"/>
      <c r="AT106" s="243"/>
      <c r="AU106" s="243"/>
      <c r="AV106" s="243"/>
      <c r="AW106" s="243"/>
      <c r="AX106" s="243"/>
      <c r="AY106" s="243"/>
      <c r="AZ106" s="243"/>
      <c r="BA106" s="243"/>
      <c r="BB106" s="243"/>
      <c r="BC106" s="243"/>
      <c r="BD106" s="243"/>
      <c r="BE106" s="243"/>
      <c r="BF106" s="243"/>
      <c r="BG106" s="243"/>
      <c r="BH106" s="243"/>
      <c r="BI106" s="243"/>
      <c r="BJ106" s="243"/>
      <c r="BK106" s="243"/>
      <c r="BL106" s="243"/>
      <c r="BM106" s="243"/>
      <c r="BN106" s="243"/>
      <c r="BO106" s="243"/>
      <c r="BP106" s="243"/>
      <c r="BQ106" s="243"/>
      <c r="BR106" s="243"/>
      <c r="BS106" s="243"/>
    </row>
    <row r="107" spans="1:71" s="169" customFormat="1" ht="41.25" customHeight="1">
      <c r="A107" s="178" t="s">
        <v>1672</v>
      </c>
      <c r="B107" s="178" t="str">
        <f ca="1">+UPPER(Tabla1321124[[#This Row],[DESCRIPCIÓN DE LA COMPRA O CONTRATACIÓN]])</f>
        <v xml:space="preserve">NEUMATICO 6.50-10 </v>
      </c>
      <c r="C107" s="39" t="s">
        <v>17</v>
      </c>
      <c r="D107" s="210"/>
      <c r="E107" s="210"/>
      <c r="F107" s="210">
        <v>2</v>
      </c>
      <c r="G107" s="210"/>
      <c r="H107" s="351">
        <f>Tabla1321124[[#This Row],[CUARTO TRIMESTRE]]+Tabla1321124[[#This Row],[TERCER TRIMESTRE]]+Tabla1321124[[#This Row],[SEGUNDO TRIMESTRE]]+Tabla1321124[[#This Row],[PRIMER TRIMESTRE]]</f>
        <v>2</v>
      </c>
      <c r="I107" s="17">
        <v>12500</v>
      </c>
      <c r="J107" s="246">
        <f>Tabla1321124[[#This Row],[PRECIO UNITARIO ESTIMADO]]*Tabla1321124[[#This Row],[CANTIDAD TOTAL]]</f>
        <v>25000</v>
      </c>
      <c r="K107" s="72"/>
      <c r="L107" s="16" t="s">
        <v>18</v>
      </c>
      <c r="M107" s="16" t="s">
        <v>22</v>
      </c>
      <c r="N107" s="16" t="s">
        <v>418</v>
      </c>
      <c r="O107" s="243"/>
      <c r="P107" s="243"/>
      <c r="Q107" s="243"/>
      <c r="R107" s="243"/>
      <c r="S107" s="243"/>
      <c r="T107" s="243"/>
      <c r="U107" s="243"/>
      <c r="V107" s="243"/>
      <c r="W107" s="243"/>
      <c r="X107" s="243"/>
      <c r="Y107" s="243"/>
      <c r="Z107" s="243"/>
      <c r="AA107" s="243"/>
      <c r="AB107" s="243"/>
      <c r="AC107" s="243"/>
      <c r="AD107" s="243"/>
      <c r="AE107" s="243"/>
      <c r="AF107" s="243"/>
      <c r="AG107" s="243"/>
      <c r="AH107" s="243"/>
      <c r="AI107" s="243"/>
      <c r="AJ107" s="243"/>
      <c r="AK107" s="243"/>
      <c r="AL107" s="243"/>
      <c r="AM107" s="243"/>
      <c r="AN107" s="243"/>
      <c r="AO107" s="243"/>
      <c r="AP107" s="243"/>
      <c r="AQ107" s="243"/>
      <c r="AR107" s="243"/>
      <c r="AS107" s="243"/>
      <c r="AT107" s="243"/>
      <c r="AU107" s="243"/>
      <c r="AV107" s="243"/>
      <c r="AW107" s="243"/>
      <c r="AX107" s="243"/>
      <c r="AY107" s="243"/>
      <c r="AZ107" s="243"/>
      <c r="BA107" s="243"/>
      <c r="BB107" s="243"/>
      <c r="BC107" s="243"/>
      <c r="BD107" s="243"/>
      <c r="BE107" s="243"/>
      <c r="BF107" s="243"/>
      <c r="BG107" s="243"/>
      <c r="BH107" s="243"/>
      <c r="BI107" s="243"/>
      <c r="BJ107" s="243"/>
      <c r="BK107" s="243"/>
      <c r="BL107" s="243"/>
      <c r="BM107" s="243"/>
      <c r="BN107" s="243"/>
      <c r="BO107" s="243"/>
      <c r="BP107" s="243"/>
      <c r="BQ107" s="243"/>
      <c r="BR107" s="243"/>
      <c r="BS107" s="243"/>
    </row>
    <row r="108" spans="1:71" s="169" customFormat="1" ht="41.25" customHeight="1">
      <c r="A108" s="178" t="s">
        <v>1672</v>
      </c>
      <c r="B108" s="178" t="str">
        <f ca="1">+UPPER(Tabla1321124[[#This Row],[DESCRIPCIÓN DE LA COMPRA O CONTRATACIÓN]])</f>
        <v>NEUMATICO 7.00 X 12 /5.00  M2 (MACIZAS)</v>
      </c>
      <c r="C108" s="39" t="s">
        <v>17</v>
      </c>
      <c r="D108" s="210"/>
      <c r="E108" s="210"/>
      <c r="F108" s="210">
        <v>2</v>
      </c>
      <c r="G108" s="210"/>
      <c r="H108" s="351">
        <f>Tabla1321124[[#This Row],[CUARTO TRIMESTRE]]+Tabla1321124[[#This Row],[TERCER TRIMESTRE]]+Tabla1321124[[#This Row],[SEGUNDO TRIMESTRE]]+Tabla1321124[[#This Row],[PRIMER TRIMESTRE]]</f>
        <v>2</v>
      </c>
      <c r="I108" s="17">
        <v>14000</v>
      </c>
      <c r="J108" s="246">
        <f>Tabla1321124[[#This Row],[PRECIO UNITARIO ESTIMADO]]*Tabla1321124[[#This Row],[CANTIDAD TOTAL]]</f>
        <v>28000</v>
      </c>
      <c r="K108" s="72"/>
      <c r="L108" s="16" t="s">
        <v>18</v>
      </c>
      <c r="M108" s="16" t="s">
        <v>22</v>
      </c>
      <c r="N108" s="16" t="s">
        <v>418</v>
      </c>
      <c r="O108" s="243"/>
      <c r="P108" s="243"/>
      <c r="Q108" s="243"/>
      <c r="R108" s="243"/>
      <c r="S108" s="243"/>
      <c r="T108" s="243"/>
      <c r="U108" s="243"/>
      <c r="V108" s="243"/>
      <c r="W108" s="243"/>
      <c r="X108" s="243"/>
      <c r="Y108" s="243"/>
      <c r="Z108" s="243"/>
      <c r="AA108" s="243"/>
      <c r="AB108" s="243"/>
      <c r="AC108" s="243"/>
      <c r="AD108" s="243"/>
      <c r="AE108" s="243"/>
      <c r="AF108" s="243"/>
      <c r="AG108" s="243"/>
      <c r="AH108" s="243"/>
      <c r="AI108" s="243"/>
      <c r="AJ108" s="243"/>
      <c r="AK108" s="243"/>
      <c r="AL108" s="243"/>
      <c r="AM108" s="243"/>
      <c r="AN108" s="243"/>
      <c r="AO108" s="243"/>
      <c r="AP108" s="243"/>
      <c r="AQ108" s="243"/>
      <c r="AR108" s="243"/>
      <c r="AS108" s="243"/>
      <c r="AT108" s="243"/>
      <c r="AU108" s="243"/>
      <c r="AV108" s="243"/>
      <c r="AW108" s="243"/>
      <c r="AX108" s="243"/>
      <c r="AY108" s="243"/>
      <c r="AZ108" s="243"/>
      <c r="BA108" s="243"/>
      <c r="BB108" s="243"/>
      <c r="BC108" s="243"/>
      <c r="BD108" s="243"/>
      <c r="BE108" s="243"/>
      <c r="BF108" s="243"/>
      <c r="BG108" s="243"/>
      <c r="BH108" s="243"/>
      <c r="BI108" s="243"/>
      <c r="BJ108" s="243"/>
      <c r="BK108" s="243"/>
      <c r="BL108" s="243"/>
      <c r="BM108" s="243"/>
      <c r="BN108" s="243"/>
      <c r="BO108" s="243"/>
      <c r="BP108" s="243"/>
      <c r="BQ108" s="243"/>
      <c r="BR108" s="243"/>
      <c r="BS108" s="243"/>
    </row>
    <row r="109" spans="1:71" s="243" customFormat="1" ht="41.25" customHeight="1">
      <c r="A109" s="178" t="s">
        <v>1672</v>
      </c>
      <c r="B109" s="178" t="str">
        <f ca="1">+UPPER(Tabla1321124[[#This Row],[DESCRIPCIÓN DE LA COMPRA O CONTRATACIÓN]])</f>
        <v>NEUMATICO 7.00 X 12 14PR T-900</v>
      </c>
      <c r="C109" s="39" t="s">
        <v>17</v>
      </c>
      <c r="D109" s="210"/>
      <c r="E109" s="210"/>
      <c r="F109" s="210">
        <v>2</v>
      </c>
      <c r="G109" s="210"/>
      <c r="H109" s="351">
        <f>Tabla1321124[[#This Row],[CUARTO TRIMESTRE]]+Tabla1321124[[#This Row],[TERCER TRIMESTRE]]+Tabla1321124[[#This Row],[SEGUNDO TRIMESTRE]]+Tabla1321124[[#This Row],[PRIMER TRIMESTRE]]</f>
        <v>2</v>
      </c>
      <c r="I109" s="17">
        <v>12500</v>
      </c>
      <c r="J109" s="246">
        <f>Tabla1321124[[#This Row],[PRECIO UNITARIO ESTIMADO]]*Tabla1321124[[#This Row],[CANTIDAD TOTAL]]</f>
        <v>25000</v>
      </c>
      <c r="K109" s="72"/>
      <c r="L109" s="16" t="s">
        <v>18</v>
      </c>
      <c r="M109" s="16" t="s">
        <v>22</v>
      </c>
      <c r="N109" s="16" t="s">
        <v>418</v>
      </c>
    </row>
    <row r="110" spans="1:71" s="169" customFormat="1" ht="41.25" customHeight="1">
      <c r="A110" s="178" t="s">
        <v>1672</v>
      </c>
      <c r="B110" s="178" t="str">
        <f ca="1">+UPPER(Tabla1321124[[#This Row],[DESCRIPCIÓN DE LA COMPRA O CONTRATACIÓN]])</f>
        <v xml:space="preserve">NEUMATICO 7.50 X 12 </v>
      </c>
      <c r="C110" s="39" t="s">
        <v>17</v>
      </c>
      <c r="D110" s="210">
        <v>8</v>
      </c>
      <c r="E110" s="210"/>
      <c r="F110" s="210"/>
      <c r="G110" s="210"/>
      <c r="H110" s="299">
        <f>Tabla1321124[[#This Row],[CUARTO TRIMESTRE]]+Tabla1321124[[#This Row],[TERCER TRIMESTRE]]+Tabla1321124[[#This Row],[SEGUNDO TRIMESTRE]]+Tabla1321124[[#This Row],[PRIMER TRIMESTRE]]</f>
        <v>8</v>
      </c>
      <c r="I110" s="17">
        <v>2200</v>
      </c>
      <c r="J110" s="246">
        <f>Tabla1321124[[#This Row],[PRECIO UNITARIO ESTIMADO]]*Tabla1321124[[#This Row],[CANTIDAD TOTAL]]</f>
        <v>17600</v>
      </c>
      <c r="K110" s="72"/>
      <c r="L110" s="16" t="s">
        <v>18</v>
      </c>
      <c r="M110" s="16" t="s">
        <v>22</v>
      </c>
      <c r="N110" s="16" t="s">
        <v>418</v>
      </c>
      <c r="O110" s="243"/>
      <c r="P110" s="243"/>
      <c r="Q110" s="243"/>
      <c r="R110" s="243"/>
      <c r="S110" s="243"/>
      <c r="T110" s="243"/>
      <c r="U110" s="243"/>
      <c r="V110" s="243"/>
      <c r="W110" s="243"/>
      <c r="X110" s="243"/>
      <c r="Y110" s="243"/>
      <c r="Z110" s="243"/>
      <c r="AA110" s="243"/>
      <c r="AB110" s="243"/>
      <c r="AC110" s="243"/>
      <c r="AD110" s="243"/>
      <c r="AE110" s="243"/>
      <c r="AF110" s="243"/>
      <c r="AG110" s="243"/>
      <c r="AH110" s="243"/>
      <c r="AI110" s="243"/>
      <c r="AJ110" s="243"/>
      <c r="AK110" s="243"/>
      <c r="AL110" s="243"/>
      <c r="AM110" s="243"/>
      <c r="AN110" s="243"/>
      <c r="AO110" s="243"/>
      <c r="AP110" s="243"/>
      <c r="AQ110" s="243"/>
      <c r="AR110" s="243"/>
      <c r="AS110" s="243"/>
      <c r="AT110" s="243"/>
      <c r="AU110" s="243"/>
      <c r="AV110" s="243"/>
      <c r="AW110" s="243"/>
      <c r="AX110" s="243"/>
      <c r="AY110" s="243"/>
      <c r="AZ110" s="243"/>
      <c r="BA110" s="243"/>
      <c r="BB110" s="243"/>
      <c r="BC110" s="243"/>
      <c r="BD110" s="243"/>
      <c r="BE110" s="243"/>
      <c r="BF110" s="243"/>
      <c r="BG110" s="243"/>
      <c r="BH110" s="243"/>
      <c r="BI110" s="243"/>
      <c r="BJ110" s="243"/>
      <c r="BK110" s="243"/>
      <c r="BL110" s="243"/>
      <c r="BM110" s="243"/>
      <c r="BN110" s="243"/>
      <c r="BO110" s="243"/>
      <c r="BP110" s="243"/>
      <c r="BQ110" s="243"/>
      <c r="BR110" s="243"/>
      <c r="BS110" s="243"/>
    </row>
    <row r="111" spans="1:71" s="169" customFormat="1" ht="41.25" customHeight="1">
      <c r="A111" s="178" t="s">
        <v>1672</v>
      </c>
      <c r="B111" s="178" t="str">
        <f ca="1">+UPPER(Tabla1321124[[#This Row],[DESCRIPCIÓN DE LA COMPRA O CONTRATACIÓN]])</f>
        <v xml:space="preserve">TUBO NEUMATICO 7.00-12 </v>
      </c>
      <c r="C111" s="39" t="s">
        <v>17</v>
      </c>
      <c r="D111" s="210"/>
      <c r="E111" s="210"/>
      <c r="F111" s="210">
        <v>2</v>
      </c>
      <c r="G111" s="210"/>
      <c r="H111" s="351">
        <f>Tabla1321124[[#This Row],[CUARTO TRIMESTRE]]+Tabla1321124[[#This Row],[TERCER TRIMESTRE]]+Tabla1321124[[#This Row],[SEGUNDO TRIMESTRE]]+Tabla1321124[[#This Row],[PRIMER TRIMESTRE]]</f>
        <v>2</v>
      </c>
      <c r="I111" s="17">
        <v>1800</v>
      </c>
      <c r="J111" s="246">
        <f>Tabla1321124[[#This Row],[PRECIO UNITARIO ESTIMADO]]*Tabla1321124[[#This Row],[CANTIDAD TOTAL]]</f>
        <v>3600</v>
      </c>
      <c r="K111" s="72"/>
      <c r="L111" s="16" t="s">
        <v>18</v>
      </c>
      <c r="M111" s="16" t="s">
        <v>22</v>
      </c>
      <c r="N111" s="16" t="s">
        <v>418</v>
      </c>
      <c r="O111" s="243"/>
      <c r="P111" s="243"/>
      <c r="Q111" s="243"/>
      <c r="R111" s="243"/>
      <c r="S111" s="243"/>
      <c r="T111" s="243"/>
      <c r="U111" s="243"/>
      <c r="V111" s="243"/>
      <c r="W111" s="243"/>
      <c r="X111" s="243"/>
      <c r="Y111" s="243"/>
      <c r="Z111" s="243"/>
      <c r="AA111" s="243"/>
      <c r="AB111" s="243"/>
      <c r="AC111" s="243"/>
      <c r="AD111" s="243"/>
      <c r="AE111" s="243"/>
      <c r="AF111" s="243"/>
      <c r="AG111" s="243"/>
      <c r="AH111" s="243"/>
      <c r="AI111" s="243"/>
      <c r="AJ111" s="243"/>
      <c r="AK111" s="243"/>
      <c r="AL111" s="243"/>
      <c r="AM111" s="243"/>
      <c r="AN111" s="243"/>
      <c r="AO111" s="243"/>
      <c r="AP111" s="243"/>
      <c r="AQ111" s="243"/>
      <c r="AR111" s="243"/>
      <c r="AS111" s="243"/>
      <c r="AT111" s="243"/>
      <c r="AU111" s="243"/>
      <c r="AV111" s="243"/>
      <c r="AW111" s="243"/>
      <c r="AX111" s="243"/>
      <c r="AY111" s="243"/>
      <c r="AZ111" s="243"/>
      <c r="BA111" s="243"/>
      <c r="BB111" s="243"/>
      <c r="BC111" s="243"/>
      <c r="BD111" s="243"/>
      <c r="BE111" s="243"/>
      <c r="BF111" s="243"/>
      <c r="BG111" s="243"/>
      <c r="BH111" s="243"/>
      <c r="BI111" s="243"/>
      <c r="BJ111" s="243"/>
      <c r="BK111" s="243"/>
      <c r="BL111" s="243"/>
      <c r="BM111" s="243"/>
      <c r="BN111" s="243"/>
      <c r="BO111" s="243"/>
      <c r="BP111" s="243"/>
      <c r="BQ111" s="243"/>
      <c r="BR111" s="243"/>
      <c r="BS111" s="243"/>
    </row>
    <row r="112" spans="1:71" s="169" customFormat="1" ht="41.25" customHeight="1">
      <c r="A112" s="178" t="s">
        <v>1672</v>
      </c>
      <c r="B112" s="178" t="str">
        <f ca="1">+UPPER(Tabla1321124[[#This Row],[DESCRIPCIÓN DE LA COMPRA O CONTRATACIÓN]])</f>
        <v xml:space="preserve">NEUMATICO 6.50-10 10PR </v>
      </c>
      <c r="C112" s="39" t="s">
        <v>17</v>
      </c>
      <c r="D112" s="210"/>
      <c r="E112" s="210"/>
      <c r="F112" s="210">
        <v>2</v>
      </c>
      <c r="G112" s="210"/>
      <c r="H112" s="351">
        <f>Tabla1321124[[#This Row],[CUARTO TRIMESTRE]]+Tabla1321124[[#This Row],[TERCER TRIMESTRE]]+Tabla1321124[[#This Row],[SEGUNDO TRIMESTRE]]+Tabla1321124[[#This Row],[PRIMER TRIMESTRE]]</f>
        <v>2</v>
      </c>
      <c r="I112" s="17">
        <v>1500</v>
      </c>
      <c r="J112" s="246">
        <f>Tabla1321124[[#This Row],[PRECIO UNITARIO ESTIMADO]]*Tabla1321124[[#This Row],[CANTIDAD TOTAL]]</f>
        <v>3000</v>
      </c>
      <c r="K112" s="72"/>
      <c r="L112" s="16" t="s">
        <v>18</v>
      </c>
      <c r="M112" s="16" t="s">
        <v>22</v>
      </c>
      <c r="N112" s="16" t="s">
        <v>418</v>
      </c>
      <c r="O112" s="243"/>
      <c r="P112" s="243"/>
      <c r="Q112" s="243"/>
      <c r="R112" s="243"/>
      <c r="S112" s="243"/>
      <c r="T112" s="243"/>
      <c r="U112" s="243"/>
      <c r="V112" s="243"/>
      <c r="W112" s="243"/>
      <c r="X112" s="243"/>
      <c r="Y112" s="243"/>
      <c r="Z112" s="243"/>
      <c r="AA112" s="243"/>
      <c r="AB112" s="243"/>
      <c r="AC112" s="243"/>
      <c r="AD112" s="243"/>
      <c r="AE112" s="243"/>
      <c r="AF112" s="243"/>
      <c r="AG112" s="243"/>
      <c r="AH112" s="243"/>
      <c r="AI112" s="243"/>
      <c r="AJ112" s="243"/>
      <c r="AK112" s="243"/>
      <c r="AL112" s="243"/>
      <c r="AM112" s="243"/>
      <c r="AN112" s="243"/>
      <c r="AO112" s="243"/>
      <c r="AP112" s="243"/>
      <c r="AQ112" s="243"/>
      <c r="AR112" s="243"/>
      <c r="AS112" s="243"/>
      <c r="AT112" s="243"/>
      <c r="AU112" s="243"/>
      <c r="AV112" s="243"/>
      <c r="AW112" s="243"/>
      <c r="AX112" s="243"/>
      <c r="AY112" s="243"/>
      <c r="AZ112" s="243"/>
      <c r="BA112" s="243"/>
      <c r="BB112" s="243"/>
      <c r="BC112" s="243"/>
      <c r="BD112" s="243"/>
      <c r="BE112" s="243"/>
      <c r="BF112" s="243"/>
      <c r="BG112" s="243"/>
      <c r="BH112" s="243"/>
      <c r="BI112" s="243"/>
      <c r="BJ112" s="243"/>
      <c r="BK112" s="243"/>
      <c r="BL112" s="243"/>
      <c r="BM112" s="243"/>
      <c r="BN112" s="243"/>
      <c r="BO112" s="243"/>
      <c r="BP112" s="243"/>
      <c r="BQ112" s="243"/>
      <c r="BR112" s="243"/>
      <c r="BS112" s="243"/>
    </row>
    <row r="113" spans="1:71" s="169" customFormat="1" ht="41.25" customHeight="1">
      <c r="A113" s="178" t="s">
        <v>1672</v>
      </c>
      <c r="B113" s="178" t="str">
        <f ca="1">+UPPER(Tabla1321124[[#This Row],[DESCRIPCIÓN DE LA COMPRA O CONTRATACIÓN]])</f>
        <v>NEUMATICO 6.50-10 STANDARD (MACIZA)</v>
      </c>
      <c r="C113" s="39" t="s">
        <v>17</v>
      </c>
      <c r="D113" s="210"/>
      <c r="E113" s="210"/>
      <c r="F113" s="210">
        <v>2</v>
      </c>
      <c r="G113" s="210"/>
      <c r="H113" s="351">
        <f>Tabla1321124[[#This Row],[CUARTO TRIMESTRE]]+Tabla1321124[[#This Row],[TERCER TRIMESTRE]]+Tabla1321124[[#This Row],[SEGUNDO TRIMESTRE]]+Tabla1321124[[#This Row],[PRIMER TRIMESTRE]]</f>
        <v>2</v>
      </c>
      <c r="I113" s="17">
        <v>14500</v>
      </c>
      <c r="J113" s="246">
        <f>Tabla1321124[[#This Row],[PRECIO UNITARIO ESTIMADO]]*Tabla1321124[[#This Row],[CANTIDAD TOTAL]]</f>
        <v>29000</v>
      </c>
      <c r="K113" s="72"/>
      <c r="L113" s="16" t="s">
        <v>18</v>
      </c>
      <c r="M113" s="16" t="s">
        <v>22</v>
      </c>
      <c r="N113" s="16" t="s">
        <v>418</v>
      </c>
      <c r="O113" s="243"/>
      <c r="P113" s="243"/>
      <c r="Q113" s="243"/>
      <c r="R113" s="243"/>
      <c r="S113" s="243"/>
      <c r="T113" s="243"/>
      <c r="U113" s="243"/>
      <c r="V113" s="243"/>
      <c r="W113" s="243"/>
      <c r="X113" s="243"/>
      <c r="Y113" s="243"/>
      <c r="Z113" s="243"/>
      <c r="AA113" s="243"/>
      <c r="AB113" s="243"/>
      <c r="AC113" s="243"/>
      <c r="AD113" s="243"/>
      <c r="AE113" s="243"/>
      <c r="AF113" s="243"/>
      <c r="AG113" s="243"/>
      <c r="AH113" s="243"/>
      <c r="AI113" s="243"/>
      <c r="AJ113" s="243"/>
      <c r="AK113" s="243"/>
      <c r="AL113" s="243"/>
      <c r="AM113" s="243"/>
      <c r="AN113" s="243"/>
      <c r="AO113" s="243"/>
      <c r="AP113" s="243"/>
      <c r="AQ113" s="243"/>
      <c r="AR113" s="243"/>
      <c r="AS113" s="243"/>
      <c r="AT113" s="243"/>
      <c r="AU113" s="243"/>
      <c r="AV113" s="243"/>
      <c r="AW113" s="243"/>
      <c r="AX113" s="243"/>
      <c r="AY113" s="243"/>
      <c r="AZ113" s="243"/>
      <c r="BA113" s="243"/>
      <c r="BB113" s="243"/>
      <c r="BC113" s="243"/>
      <c r="BD113" s="243"/>
      <c r="BE113" s="243"/>
      <c r="BF113" s="243"/>
      <c r="BG113" s="243"/>
      <c r="BH113" s="243"/>
      <c r="BI113" s="243"/>
      <c r="BJ113" s="243"/>
      <c r="BK113" s="243"/>
      <c r="BL113" s="243"/>
      <c r="BM113" s="243"/>
      <c r="BN113" s="243"/>
      <c r="BO113" s="243"/>
      <c r="BP113" s="243"/>
      <c r="BQ113" s="243"/>
      <c r="BR113" s="243"/>
      <c r="BS113" s="243"/>
    </row>
    <row r="114" spans="1:71" s="169" customFormat="1" ht="41.25" customHeight="1">
      <c r="A114" s="178" t="s">
        <v>1672</v>
      </c>
      <c r="B114" s="178" t="str">
        <f ca="1">+UPPER(Tabla1321124[[#This Row],[DESCRIPCIÓN DE LA COMPRA O CONTRATACIÓN]])</f>
        <v xml:space="preserve">TUBO NEUMATICO 6.50-10 </v>
      </c>
      <c r="C114" s="39" t="s">
        <v>17</v>
      </c>
      <c r="D114" s="210"/>
      <c r="E114" s="210"/>
      <c r="F114" s="210">
        <v>2</v>
      </c>
      <c r="G114" s="210"/>
      <c r="H114" s="351">
        <f>Tabla1321124[[#This Row],[CUARTO TRIMESTRE]]+Tabla1321124[[#This Row],[TERCER TRIMESTRE]]+Tabla1321124[[#This Row],[SEGUNDO TRIMESTRE]]+Tabla1321124[[#This Row],[PRIMER TRIMESTRE]]</f>
        <v>2</v>
      </c>
      <c r="I114" s="17">
        <v>1500</v>
      </c>
      <c r="J114" s="246">
        <f>Tabla1321124[[#This Row],[PRECIO UNITARIO ESTIMADO]]*Tabla1321124[[#This Row],[CANTIDAD TOTAL]]</f>
        <v>3000</v>
      </c>
      <c r="K114" s="72"/>
      <c r="L114" s="16" t="s">
        <v>18</v>
      </c>
      <c r="M114" s="16" t="s">
        <v>22</v>
      </c>
      <c r="N114" s="16" t="s">
        <v>418</v>
      </c>
      <c r="O114" s="243"/>
      <c r="P114" s="243"/>
      <c r="Q114" s="243"/>
      <c r="R114" s="243"/>
      <c r="S114" s="243"/>
      <c r="T114" s="243"/>
      <c r="U114" s="243"/>
      <c r="V114" s="243"/>
      <c r="W114" s="243"/>
      <c r="X114" s="243"/>
      <c r="Y114" s="243"/>
      <c r="Z114" s="243"/>
      <c r="AA114" s="243"/>
      <c r="AB114" s="243"/>
      <c r="AC114" s="243"/>
      <c r="AD114" s="243"/>
      <c r="AE114" s="243"/>
      <c r="AF114" s="243"/>
      <c r="AG114" s="243"/>
      <c r="AH114" s="243"/>
      <c r="AI114" s="243"/>
      <c r="AJ114" s="243"/>
      <c r="AK114" s="243"/>
      <c r="AL114" s="243"/>
      <c r="AM114" s="243"/>
      <c r="AN114" s="243"/>
      <c r="AO114" s="243"/>
      <c r="AP114" s="243"/>
      <c r="AQ114" s="243"/>
      <c r="AR114" s="243"/>
      <c r="AS114" s="243"/>
      <c r="AT114" s="243"/>
      <c r="AU114" s="243"/>
      <c r="AV114" s="243"/>
      <c r="AW114" s="243"/>
      <c r="AX114" s="243"/>
      <c r="AY114" s="243"/>
      <c r="AZ114" s="243"/>
      <c r="BA114" s="243"/>
      <c r="BB114" s="243"/>
      <c r="BC114" s="243"/>
      <c r="BD114" s="243"/>
      <c r="BE114" s="243"/>
      <c r="BF114" s="243"/>
      <c r="BG114" s="243"/>
      <c r="BH114" s="243"/>
      <c r="BI114" s="243"/>
      <c r="BJ114" s="243"/>
      <c r="BK114" s="243"/>
      <c r="BL114" s="243"/>
      <c r="BM114" s="243"/>
      <c r="BN114" s="243"/>
      <c r="BO114" s="243"/>
      <c r="BP114" s="243"/>
      <c r="BQ114" s="243"/>
      <c r="BR114" s="243"/>
      <c r="BS114" s="243"/>
    </row>
    <row r="115" spans="1:71" s="169" customFormat="1" ht="41.25" customHeight="1">
      <c r="A115" s="178" t="s">
        <v>1672</v>
      </c>
      <c r="B115" s="178" t="str">
        <f ca="1">+UPPER(Tabla1321124[[#This Row],[DESCRIPCIÓN DE LA COMPRA O CONTRATACIÓN]])</f>
        <v>NEUMATICO 9.00R20 14PR 140/137K M857 (COMBINADO)</v>
      </c>
      <c r="C115" s="39" t="s">
        <v>17</v>
      </c>
      <c r="D115" s="210">
        <v>30</v>
      </c>
      <c r="E115" s="210"/>
      <c r="F115" s="210">
        <v>30</v>
      </c>
      <c r="G115" s="210"/>
      <c r="H115" s="351">
        <f>Tabla1321124[[#This Row],[CUARTO TRIMESTRE]]+Tabla1321124[[#This Row],[TERCER TRIMESTRE]]+Tabla1321124[[#This Row],[SEGUNDO TRIMESTRE]]+Tabla1321124[[#This Row],[PRIMER TRIMESTRE]]</f>
        <v>60</v>
      </c>
      <c r="I115" s="17">
        <v>16000</v>
      </c>
      <c r="J115" s="246">
        <f>Tabla1321124[[#This Row],[PRECIO UNITARIO ESTIMADO]]*Tabla1321124[[#This Row],[CANTIDAD TOTAL]]</f>
        <v>960000</v>
      </c>
      <c r="K115" s="72"/>
      <c r="L115" s="16" t="s">
        <v>18</v>
      </c>
      <c r="M115" s="16" t="s">
        <v>22</v>
      </c>
      <c r="N115" s="16" t="s">
        <v>418</v>
      </c>
      <c r="O115" s="243"/>
      <c r="P115" s="243"/>
      <c r="Q115" s="243"/>
      <c r="R115" s="243"/>
      <c r="S115" s="243"/>
      <c r="T115" s="243"/>
      <c r="U115" s="243"/>
      <c r="V115" s="243"/>
      <c r="W115" s="243"/>
      <c r="X115" s="243"/>
      <c r="Y115" s="243"/>
      <c r="Z115" s="243"/>
      <c r="AA115" s="243"/>
      <c r="AB115" s="243"/>
      <c r="AC115" s="243"/>
      <c r="AD115" s="243"/>
      <c r="AE115" s="243"/>
      <c r="AF115" s="243"/>
      <c r="AG115" s="243"/>
      <c r="AH115" s="243"/>
      <c r="AI115" s="243"/>
      <c r="AJ115" s="243"/>
      <c r="AK115" s="243"/>
      <c r="AL115" s="243"/>
      <c r="AM115" s="243"/>
      <c r="AN115" s="243"/>
      <c r="AO115" s="243"/>
      <c r="AP115" s="243"/>
      <c r="AQ115" s="243"/>
      <c r="AR115" s="243"/>
      <c r="AS115" s="243"/>
      <c r="AT115" s="243"/>
      <c r="AU115" s="243"/>
      <c r="AV115" s="243"/>
      <c r="AW115" s="243"/>
      <c r="AX115" s="243"/>
      <c r="AY115" s="243"/>
      <c r="AZ115" s="243"/>
      <c r="BA115" s="243"/>
      <c r="BB115" s="243"/>
      <c r="BC115" s="243"/>
      <c r="BD115" s="243"/>
      <c r="BE115" s="243"/>
      <c r="BF115" s="243"/>
      <c r="BG115" s="243"/>
      <c r="BH115" s="243"/>
      <c r="BI115" s="243"/>
      <c r="BJ115" s="243"/>
      <c r="BK115" s="243"/>
      <c r="BL115" s="243"/>
      <c r="BM115" s="243"/>
      <c r="BN115" s="243"/>
      <c r="BO115" s="243"/>
      <c r="BP115" s="243"/>
      <c r="BQ115" s="243"/>
      <c r="BR115" s="243"/>
      <c r="BS115" s="243"/>
    </row>
    <row r="116" spans="1:71" s="26" customFormat="1" ht="41.25" customHeight="1">
      <c r="A116" s="178" t="s">
        <v>1672</v>
      </c>
      <c r="B116" s="178" t="str">
        <f ca="1">+UPPER(Tabla1321124[[#This Row],[DESCRIPCIÓN DE LA COMPRA O CONTRATACIÓN]])</f>
        <v xml:space="preserve">9.00R20 TUBO NEUMATICO V.L </v>
      </c>
      <c r="C116" s="39" t="s">
        <v>17</v>
      </c>
      <c r="D116" s="210">
        <v>60</v>
      </c>
      <c r="E116" s="210"/>
      <c r="F116" s="210">
        <v>60</v>
      </c>
      <c r="G116" s="210"/>
      <c r="H116" s="351">
        <f>Tabla1321124[[#This Row],[CUARTO TRIMESTRE]]+Tabla1321124[[#This Row],[TERCER TRIMESTRE]]+Tabla1321124[[#This Row],[SEGUNDO TRIMESTRE]]+Tabla1321124[[#This Row],[PRIMER TRIMESTRE]]</f>
        <v>120</v>
      </c>
      <c r="I116" s="17">
        <v>2300</v>
      </c>
      <c r="J116" s="246">
        <f>Tabla1321124[[#This Row],[PRECIO UNITARIO ESTIMADO]]*Tabla1321124[[#This Row],[CANTIDAD TOTAL]]</f>
        <v>276000</v>
      </c>
      <c r="K116" s="72"/>
      <c r="L116" s="16" t="s">
        <v>18</v>
      </c>
      <c r="M116" s="16" t="s">
        <v>22</v>
      </c>
      <c r="N116" s="16" t="s">
        <v>418</v>
      </c>
      <c r="O116" s="243"/>
      <c r="P116" s="243"/>
      <c r="Q116" s="243"/>
      <c r="R116" s="243"/>
      <c r="S116" s="243"/>
      <c r="T116" s="243"/>
      <c r="U116" s="243"/>
      <c r="V116" s="243"/>
      <c r="W116" s="243"/>
      <c r="X116" s="243"/>
      <c r="Y116" s="243"/>
      <c r="Z116" s="243"/>
      <c r="AA116" s="243"/>
      <c r="AB116" s="243"/>
      <c r="AC116" s="243"/>
      <c r="AD116" s="243"/>
      <c r="AE116" s="243"/>
      <c r="AF116" s="243"/>
      <c r="AG116" s="243"/>
      <c r="AH116" s="243"/>
      <c r="AI116" s="243"/>
      <c r="AJ116" s="243"/>
      <c r="AK116" s="243"/>
      <c r="AL116" s="243"/>
      <c r="AM116" s="243"/>
      <c r="AN116" s="243"/>
      <c r="AO116" s="243"/>
      <c r="AP116" s="243"/>
      <c r="AQ116" s="243"/>
      <c r="AR116" s="243"/>
      <c r="AS116" s="243"/>
      <c r="AT116" s="243"/>
      <c r="AU116" s="243"/>
      <c r="AV116" s="243"/>
      <c r="AW116" s="243"/>
      <c r="AX116" s="243"/>
      <c r="AY116" s="243"/>
      <c r="AZ116" s="243"/>
      <c r="BA116" s="243"/>
      <c r="BB116" s="243"/>
      <c r="BC116" s="243"/>
      <c r="BD116" s="243"/>
      <c r="BE116" s="243"/>
      <c r="BF116" s="243"/>
      <c r="BG116" s="243"/>
      <c r="BH116" s="243"/>
      <c r="BI116" s="243"/>
      <c r="BJ116" s="243"/>
      <c r="BK116" s="243"/>
      <c r="BL116" s="243"/>
      <c r="BM116" s="243"/>
      <c r="BN116" s="243"/>
      <c r="BO116" s="243"/>
      <c r="BP116" s="243"/>
      <c r="BQ116" s="243"/>
      <c r="BR116" s="243"/>
      <c r="BS116" s="243"/>
    </row>
    <row r="117" spans="1:71" s="169" customFormat="1" ht="41.25" customHeight="1">
      <c r="A117" s="178" t="s">
        <v>1672</v>
      </c>
      <c r="B117" s="178" t="str">
        <f ca="1">+UPPER(Tabla1321124[[#This Row],[DESCRIPCIÓN DE LA COMPRA O CONTRATACIÓN]])</f>
        <v>NEUMATICO 11R24.5 16PR R250 (CARRETERA)</v>
      </c>
      <c r="C117" s="39" t="s">
        <v>17</v>
      </c>
      <c r="D117" s="210">
        <v>15</v>
      </c>
      <c r="E117" s="210"/>
      <c r="F117" s="210">
        <v>15</v>
      </c>
      <c r="G117" s="210"/>
      <c r="H117" s="351">
        <f>Tabla1321124[[#This Row],[CUARTO TRIMESTRE]]+Tabla1321124[[#This Row],[TERCER TRIMESTRE]]+Tabla1321124[[#This Row],[SEGUNDO TRIMESTRE]]+Tabla1321124[[#This Row],[PRIMER TRIMESTRE]]</f>
        <v>30</v>
      </c>
      <c r="I117" s="17">
        <v>31680</v>
      </c>
      <c r="J117" s="246">
        <f>Tabla1321124[[#This Row],[PRECIO UNITARIO ESTIMADO]]*Tabla1321124[[#This Row],[CANTIDAD TOTAL]]</f>
        <v>950400</v>
      </c>
      <c r="K117" s="72"/>
      <c r="L117" s="16" t="s">
        <v>18</v>
      </c>
      <c r="M117" s="16" t="s">
        <v>22</v>
      </c>
      <c r="N117" s="16" t="s">
        <v>418</v>
      </c>
      <c r="O117" s="243"/>
      <c r="P117" s="243"/>
      <c r="Q117" s="243"/>
      <c r="R117" s="243"/>
      <c r="S117" s="243"/>
      <c r="T117" s="243"/>
      <c r="U117" s="243"/>
      <c r="V117" s="243"/>
      <c r="W117" s="243"/>
      <c r="X117" s="243"/>
      <c r="Y117" s="243"/>
      <c r="Z117" s="243"/>
      <c r="AA117" s="243"/>
      <c r="AB117" s="243"/>
      <c r="AC117" s="243"/>
      <c r="AD117" s="243"/>
      <c r="AE117" s="243"/>
      <c r="AF117" s="243"/>
      <c r="AG117" s="243"/>
      <c r="AH117" s="243"/>
      <c r="AI117" s="243"/>
      <c r="AJ117" s="243"/>
      <c r="AK117" s="243"/>
      <c r="AL117" s="243"/>
      <c r="AM117" s="243"/>
      <c r="AN117" s="243"/>
      <c r="AO117" s="243"/>
      <c r="AP117" s="243"/>
      <c r="AQ117" s="243"/>
      <c r="AR117" s="243"/>
      <c r="AS117" s="243"/>
      <c r="AT117" s="243"/>
      <c r="AU117" s="243"/>
      <c r="AV117" s="243"/>
      <c r="AW117" s="243"/>
      <c r="AX117" s="243"/>
      <c r="AY117" s="243"/>
      <c r="AZ117" s="243"/>
      <c r="BA117" s="243"/>
      <c r="BB117" s="243"/>
      <c r="BC117" s="243"/>
      <c r="BD117" s="243"/>
      <c r="BE117" s="243"/>
      <c r="BF117" s="243"/>
      <c r="BG117" s="243"/>
      <c r="BH117" s="243"/>
      <c r="BI117" s="243"/>
      <c r="BJ117" s="243"/>
      <c r="BK117" s="243"/>
      <c r="BL117" s="243"/>
      <c r="BM117" s="243"/>
      <c r="BN117" s="243"/>
      <c r="BO117" s="243"/>
      <c r="BP117" s="243"/>
      <c r="BQ117" s="243"/>
      <c r="BR117" s="243"/>
      <c r="BS117" s="243"/>
    </row>
    <row r="118" spans="1:71" s="169" customFormat="1" ht="41.25" customHeight="1">
      <c r="A118" s="178" t="s">
        <v>1672</v>
      </c>
      <c r="B118" s="178" t="str">
        <f ca="1">+UPPER(Tabla1321124[[#This Row],[DESCRIPCIÓN DE LA COMPRA O CONTRATACIÓN]])</f>
        <v>NEUMATICO 11R24.5 16PR M853 (COMBINADO)</v>
      </c>
      <c r="C118" s="39" t="s">
        <v>17</v>
      </c>
      <c r="D118" s="210">
        <v>15</v>
      </c>
      <c r="E118" s="210"/>
      <c r="F118" s="210">
        <v>15</v>
      </c>
      <c r="G118" s="210"/>
      <c r="H118" s="351">
        <f>Tabla1321124[[#This Row],[CUARTO TRIMESTRE]]+Tabla1321124[[#This Row],[TERCER TRIMESTRE]]+Tabla1321124[[#This Row],[SEGUNDO TRIMESTRE]]+Tabla1321124[[#This Row],[PRIMER TRIMESTRE]]</f>
        <v>30</v>
      </c>
      <c r="I118" s="17">
        <v>31680</v>
      </c>
      <c r="J118" s="246">
        <f>Tabla1321124[[#This Row],[PRECIO UNITARIO ESTIMADO]]*Tabla1321124[[#This Row],[CANTIDAD TOTAL]]</f>
        <v>950400</v>
      </c>
      <c r="K118" s="72"/>
      <c r="L118" s="16" t="s">
        <v>18</v>
      </c>
      <c r="M118" s="16" t="s">
        <v>22</v>
      </c>
      <c r="N118" s="16" t="s">
        <v>418</v>
      </c>
      <c r="O118" s="243"/>
      <c r="P118" s="243"/>
      <c r="Q118" s="243"/>
      <c r="R118" s="243"/>
      <c r="S118" s="243"/>
      <c r="T118" s="243"/>
      <c r="U118" s="243"/>
      <c r="V118" s="243"/>
      <c r="W118" s="243"/>
      <c r="X118" s="243"/>
      <c r="Y118" s="243"/>
      <c r="Z118" s="243"/>
      <c r="AA118" s="243"/>
      <c r="AB118" s="243"/>
      <c r="AC118" s="243"/>
      <c r="AD118" s="243"/>
      <c r="AE118" s="243"/>
      <c r="AF118" s="243"/>
      <c r="AG118" s="243"/>
      <c r="AH118" s="243"/>
      <c r="AI118" s="243"/>
      <c r="AJ118" s="243"/>
      <c r="AK118" s="243"/>
      <c r="AL118" s="243"/>
      <c r="AM118" s="243"/>
      <c r="AN118" s="243"/>
      <c r="AO118" s="243"/>
      <c r="AP118" s="243"/>
      <c r="AQ118" s="243"/>
      <c r="AR118" s="243"/>
      <c r="AS118" s="243"/>
      <c r="AT118" s="243"/>
      <c r="AU118" s="243"/>
      <c r="AV118" s="243"/>
      <c r="AW118" s="243"/>
      <c r="AX118" s="243"/>
      <c r="AY118" s="243"/>
      <c r="AZ118" s="243"/>
      <c r="BA118" s="243"/>
      <c r="BB118" s="243"/>
      <c r="BC118" s="243"/>
      <c r="BD118" s="243"/>
      <c r="BE118" s="243"/>
      <c r="BF118" s="243"/>
      <c r="BG118" s="243"/>
      <c r="BH118" s="243"/>
      <c r="BI118" s="243"/>
      <c r="BJ118" s="243"/>
      <c r="BK118" s="243"/>
      <c r="BL118" s="243"/>
      <c r="BM118" s="243"/>
      <c r="BN118" s="243"/>
      <c r="BO118" s="243"/>
      <c r="BP118" s="243"/>
      <c r="BQ118" s="243"/>
      <c r="BR118" s="243"/>
      <c r="BS118" s="243"/>
    </row>
    <row r="119" spans="1:71" s="169" customFormat="1" ht="41.25" customHeight="1">
      <c r="A119" s="178" t="s">
        <v>1672</v>
      </c>
      <c r="B119" s="178" t="str">
        <f ca="1">+UPPER(Tabla1321124[[#This Row],[DESCRIPCIÓN DE LA COMPRA O CONTRATACIÓN]])</f>
        <v>NEUMATICO 19.5I/24R4 RETRO PALA</v>
      </c>
      <c r="C119" s="39" t="s">
        <v>17</v>
      </c>
      <c r="D119" s="210">
        <f>12+2</f>
        <v>14</v>
      </c>
      <c r="E119" s="210"/>
      <c r="F119" s="210"/>
      <c r="G119" s="210"/>
      <c r="H119" s="351">
        <f>Tabla1321124[[#This Row],[CUARTO TRIMESTRE]]+Tabla1321124[[#This Row],[TERCER TRIMESTRE]]+Tabla1321124[[#This Row],[SEGUNDO TRIMESTRE]]+Tabla1321124[[#This Row],[PRIMER TRIMESTRE]]</f>
        <v>14</v>
      </c>
      <c r="I119" s="17">
        <v>31680</v>
      </c>
      <c r="J119" s="246">
        <f>Tabla1321124[[#This Row],[PRECIO UNITARIO ESTIMADO]]*Tabla1321124[[#This Row],[CANTIDAD TOTAL]]</f>
        <v>443520</v>
      </c>
      <c r="K119" s="72"/>
      <c r="L119" s="16" t="s">
        <v>18</v>
      </c>
      <c r="M119" s="16" t="s">
        <v>22</v>
      </c>
      <c r="N119" s="16" t="s">
        <v>418</v>
      </c>
      <c r="O119" s="243"/>
      <c r="P119" s="243"/>
      <c r="Q119" s="243"/>
      <c r="R119" s="243"/>
      <c r="S119" s="243"/>
      <c r="T119" s="243"/>
      <c r="U119" s="243"/>
      <c r="V119" s="243"/>
      <c r="W119" s="243"/>
      <c r="X119" s="243"/>
      <c r="Y119" s="243"/>
      <c r="Z119" s="243"/>
      <c r="AA119" s="243"/>
      <c r="AB119" s="243"/>
      <c r="AC119" s="243"/>
      <c r="AD119" s="243"/>
      <c r="AE119" s="243"/>
      <c r="AF119" s="243"/>
      <c r="AG119" s="243"/>
      <c r="AH119" s="243"/>
      <c r="AI119" s="243"/>
      <c r="AJ119" s="243"/>
      <c r="AK119" s="243"/>
      <c r="AL119" s="243"/>
      <c r="AM119" s="243"/>
      <c r="AN119" s="243"/>
      <c r="AO119" s="243"/>
      <c r="AP119" s="243"/>
      <c r="AQ119" s="243"/>
      <c r="AR119" s="243"/>
      <c r="AS119" s="243"/>
      <c r="AT119" s="243"/>
      <c r="AU119" s="243"/>
      <c r="AV119" s="243"/>
      <c r="AW119" s="243"/>
      <c r="AX119" s="243"/>
      <c r="AY119" s="243"/>
      <c r="AZ119" s="243"/>
      <c r="BA119" s="243"/>
      <c r="BB119" s="243"/>
      <c r="BC119" s="243"/>
      <c r="BD119" s="243"/>
      <c r="BE119" s="243"/>
      <c r="BF119" s="243"/>
      <c r="BG119" s="243"/>
      <c r="BH119" s="243"/>
      <c r="BI119" s="243"/>
      <c r="BJ119" s="243"/>
      <c r="BK119" s="243"/>
      <c r="BL119" s="243"/>
      <c r="BM119" s="243"/>
      <c r="BN119" s="243"/>
      <c r="BO119" s="243"/>
      <c r="BP119" s="243"/>
      <c r="BQ119" s="243"/>
      <c r="BR119" s="243"/>
      <c r="BS119" s="243"/>
    </row>
    <row r="120" spans="1:71" s="169" customFormat="1" ht="41.25" customHeight="1">
      <c r="A120" s="178" t="s">
        <v>1672</v>
      </c>
      <c r="B120" s="178" t="str">
        <f ca="1">+UPPER(Tabla1321124[[#This Row],[DESCRIPCIÓN DE LA COMPRA O CONTRATACIÓN]])</f>
        <v>NEUMATICO 12.5/80-18R4 RETRO PALA</v>
      </c>
      <c r="C120" s="39" t="s">
        <v>17</v>
      </c>
      <c r="D120" s="210">
        <f>12+2</f>
        <v>14</v>
      </c>
      <c r="E120" s="210"/>
      <c r="F120" s="210"/>
      <c r="G120" s="210"/>
      <c r="H120" s="351">
        <f>Tabla1321124[[#This Row],[CUARTO TRIMESTRE]]+Tabla1321124[[#This Row],[TERCER TRIMESTRE]]+Tabla1321124[[#This Row],[SEGUNDO TRIMESTRE]]+Tabla1321124[[#This Row],[PRIMER TRIMESTRE]]</f>
        <v>14</v>
      </c>
      <c r="I120" s="17">
        <v>31680</v>
      </c>
      <c r="J120" s="246">
        <f>Tabla1321124[[#This Row],[PRECIO UNITARIO ESTIMADO]]*Tabla1321124[[#This Row],[CANTIDAD TOTAL]]</f>
        <v>443520</v>
      </c>
      <c r="K120" s="390">
        <f>SUM(J57:J120)</f>
        <v>170308422.79999998</v>
      </c>
      <c r="L120" s="16" t="s">
        <v>18</v>
      </c>
      <c r="M120" s="16" t="s">
        <v>22</v>
      </c>
      <c r="N120" s="16" t="s">
        <v>418</v>
      </c>
      <c r="O120" s="243"/>
      <c r="P120" s="243"/>
      <c r="Q120" s="243"/>
      <c r="R120" s="243"/>
      <c r="S120" s="243"/>
      <c r="T120" s="243"/>
      <c r="U120" s="243"/>
      <c r="V120" s="243"/>
      <c r="W120" s="243"/>
      <c r="X120" s="243"/>
      <c r="Y120" s="243"/>
      <c r="Z120" s="243"/>
      <c r="AA120" s="243"/>
      <c r="AB120" s="243"/>
      <c r="AC120" s="243"/>
      <c r="AD120" s="243"/>
      <c r="AE120" s="243"/>
      <c r="AF120" s="243"/>
      <c r="AG120" s="243"/>
      <c r="AH120" s="243"/>
      <c r="AI120" s="243"/>
      <c r="AJ120" s="243"/>
      <c r="AK120" s="243"/>
      <c r="AL120" s="243"/>
      <c r="AM120" s="243"/>
      <c r="AN120" s="243"/>
      <c r="AO120" s="243"/>
      <c r="AP120" s="243"/>
      <c r="AQ120" s="243"/>
      <c r="AR120" s="243"/>
      <c r="AS120" s="243"/>
      <c r="AT120" s="243"/>
      <c r="AU120" s="243"/>
      <c r="AV120" s="243"/>
      <c r="AW120" s="243"/>
      <c r="AX120" s="243"/>
      <c r="AY120" s="243"/>
      <c r="AZ120" s="243"/>
      <c r="BA120" s="243"/>
      <c r="BB120" s="243"/>
      <c r="BC120" s="243"/>
      <c r="BD120" s="243"/>
      <c r="BE120" s="243"/>
      <c r="BF120" s="243"/>
      <c r="BG120" s="243"/>
      <c r="BH120" s="243"/>
      <c r="BI120" s="243"/>
      <c r="BJ120" s="243"/>
      <c r="BK120" s="243"/>
      <c r="BL120" s="243"/>
      <c r="BM120" s="243"/>
      <c r="BN120" s="243"/>
      <c r="BO120" s="243"/>
      <c r="BP120" s="243"/>
      <c r="BQ120" s="243"/>
      <c r="BR120" s="243"/>
      <c r="BS120" s="243"/>
    </row>
    <row r="121" spans="1:71" s="169" customFormat="1" ht="41.25" customHeight="1">
      <c r="A121" s="538" t="s">
        <v>1672</v>
      </c>
      <c r="B121" s="43" t="str">
        <f ca="1">+UPPER(Tabla1321124[[#This Row],[DESCRIPCIÓN DE LA COMPRA O CONTRATACIÓN]])</f>
        <v/>
      </c>
      <c r="C121" s="238"/>
      <c r="D121" s="238"/>
      <c r="E121" s="238"/>
      <c r="F121" s="238"/>
      <c r="G121" s="238"/>
      <c r="H121" s="238"/>
      <c r="I121" s="238"/>
      <c r="J121" s="24"/>
      <c r="K121" s="25">
        <f>SUM(J57:J120)</f>
        <v>170308422.79999998</v>
      </c>
      <c r="L121" s="24"/>
      <c r="M121" s="24"/>
      <c r="N121" s="24"/>
      <c r="O121" s="243"/>
      <c r="P121" s="243"/>
      <c r="Q121" s="243"/>
      <c r="R121" s="243"/>
      <c r="S121" s="243"/>
      <c r="T121" s="243"/>
      <c r="U121" s="243"/>
      <c r="V121" s="243"/>
      <c r="W121" s="243"/>
      <c r="X121" s="243"/>
      <c r="Y121" s="243"/>
      <c r="Z121" s="243"/>
      <c r="AA121" s="243"/>
      <c r="AB121" s="243"/>
      <c r="AC121" s="243"/>
      <c r="AD121" s="243"/>
      <c r="AE121" s="243"/>
      <c r="AF121" s="243"/>
      <c r="AG121" s="243"/>
      <c r="AH121" s="243"/>
      <c r="AI121" s="243"/>
      <c r="AJ121" s="243"/>
      <c r="AK121" s="243"/>
      <c r="AL121" s="243"/>
      <c r="AM121" s="243"/>
      <c r="AN121" s="243"/>
      <c r="AO121" s="243"/>
      <c r="AP121" s="243"/>
      <c r="AQ121" s="243"/>
      <c r="AR121" s="243"/>
      <c r="AS121" s="243"/>
      <c r="AT121" s="243"/>
      <c r="AU121" s="243"/>
      <c r="AV121" s="243"/>
      <c r="AW121" s="243"/>
      <c r="AX121" s="243"/>
      <c r="AY121" s="243"/>
      <c r="AZ121" s="243"/>
      <c r="BA121" s="243"/>
      <c r="BB121" s="243"/>
      <c r="BC121" s="243"/>
      <c r="BD121" s="243"/>
      <c r="BE121" s="243"/>
      <c r="BF121" s="243"/>
      <c r="BG121" s="243"/>
      <c r="BH121" s="243"/>
      <c r="BI121" s="243"/>
      <c r="BJ121" s="243"/>
      <c r="BK121" s="243"/>
      <c r="BL121" s="243"/>
      <c r="BM121" s="243"/>
      <c r="BN121" s="243"/>
      <c r="BO121" s="243"/>
      <c r="BP121" s="243"/>
      <c r="BQ121" s="243"/>
      <c r="BR121" s="243"/>
      <c r="BS121" s="243"/>
    </row>
    <row r="122" spans="1:71" s="169" customFormat="1" ht="41.25" customHeight="1">
      <c r="A122" s="178" t="s">
        <v>56</v>
      </c>
      <c r="B122" s="178" t="str">
        <f ca="1">+UPPER(Tabla1321124[[#This Row],[DESCRIPCIÓN DE LA COMPRA O CONTRATACIÓN]])</f>
        <v>BATERIA 9/12</v>
      </c>
      <c r="C122" s="39" t="s">
        <v>17</v>
      </c>
      <c r="D122" s="210">
        <f>10+7</f>
        <v>17</v>
      </c>
      <c r="E122" s="210"/>
      <c r="F122" s="210">
        <v>10</v>
      </c>
      <c r="G122" s="210"/>
      <c r="H122" s="249">
        <f>SUM(Tabla1321124[[#This Row],[PRIMER TRIMESTRE]:[CUARTO TRIMESTRE]])</f>
        <v>27</v>
      </c>
      <c r="I122" s="17">
        <v>4500</v>
      </c>
      <c r="J122" s="72">
        <f>+H122*I122</f>
        <v>121500</v>
      </c>
      <c r="K122" s="72"/>
      <c r="L122" s="16" t="s">
        <v>27</v>
      </c>
      <c r="M122" s="16" t="s">
        <v>22</v>
      </c>
      <c r="N122" s="16" t="s">
        <v>418</v>
      </c>
      <c r="O122" s="243"/>
      <c r="P122" s="243"/>
      <c r="Q122" s="243"/>
      <c r="R122" s="243"/>
      <c r="S122" s="243"/>
      <c r="T122" s="243"/>
      <c r="U122" s="243"/>
      <c r="V122" s="243"/>
      <c r="W122" s="243"/>
      <c r="X122" s="243"/>
      <c r="Y122" s="243"/>
      <c r="Z122" s="243"/>
      <c r="AA122" s="243"/>
      <c r="AB122" s="243"/>
      <c r="AC122" s="243"/>
      <c r="AD122" s="243"/>
      <c r="AE122" s="243"/>
      <c r="AF122" s="243"/>
      <c r="AG122" s="243"/>
      <c r="AH122" s="243"/>
      <c r="AI122" s="243"/>
      <c r="AJ122" s="243"/>
      <c r="AK122" s="243"/>
      <c r="AL122" s="243"/>
      <c r="AM122" s="243"/>
      <c r="AN122" s="243"/>
      <c r="AO122" s="243"/>
      <c r="AP122" s="243"/>
      <c r="AQ122" s="243"/>
      <c r="AR122" s="243"/>
      <c r="AS122" s="243"/>
      <c r="AT122" s="243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</row>
    <row r="123" spans="1:71" s="169" customFormat="1" ht="41.25" customHeight="1">
      <c r="A123" s="178" t="s">
        <v>56</v>
      </c>
      <c r="B123" s="178" t="str">
        <f ca="1">+UPPER(Tabla1321124[[#This Row],[DESCRIPCIÓN DE LA COMPRA O CONTRATACIÓN]])</f>
        <v>BATERIA 13/12</v>
      </c>
      <c r="C123" s="39" t="s">
        <v>17</v>
      </c>
      <c r="D123" s="210">
        <f>20+1</f>
        <v>21</v>
      </c>
      <c r="E123" s="210"/>
      <c r="F123" s="210">
        <v>20</v>
      </c>
      <c r="G123" s="210"/>
      <c r="H123" s="249">
        <f>SUM(Tabla1321124[[#This Row],[PRIMER TRIMESTRE]:[CUARTO TRIMESTRE]])</f>
        <v>41</v>
      </c>
      <c r="I123" s="17">
        <v>6800</v>
      </c>
      <c r="J123" s="72">
        <f t="shared" ref="J123:J153" si="1">+H123*I123</f>
        <v>278800</v>
      </c>
      <c r="K123" s="72"/>
      <c r="L123" s="16" t="s">
        <v>27</v>
      </c>
      <c r="M123" s="16" t="s">
        <v>22</v>
      </c>
      <c r="N123" s="16" t="s">
        <v>418</v>
      </c>
      <c r="O123" s="243"/>
      <c r="P123" s="243"/>
      <c r="Q123" s="243"/>
      <c r="R123" s="243"/>
      <c r="S123" s="243"/>
      <c r="T123" s="243"/>
      <c r="U123" s="243"/>
      <c r="V123" s="243"/>
      <c r="W123" s="243"/>
      <c r="X123" s="243"/>
      <c r="Y123" s="243"/>
      <c r="Z123" s="243"/>
      <c r="AA123" s="243"/>
      <c r="AB123" s="243"/>
      <c r="AC123" s="243"/>
      <c r="AD123" s="243"/>
      <c r="AE123" s="243"/>
      <c r="AF123" s="243"/>
      <c r="AG123" s="243"/>
      <c r="AH123" s="243"/>
      <c r="AI123" s="243"/>
      <c r="AJ123" s="243"/>
      <c r="AK123" s="243"/>
      <c r="AL123" s="243"/>
      <c r="AM123" s="243"/>
      <c r="AN123" s="243"/>
      <c r="AO123" s="243"/>
      <c r="AP123" s="243"/>
      <c r="AQ123" s="243"/>
      <c r="AR123" s="243"/>
      <c r="AS123" s="243"/>
      <c r="AT123" s="243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</row>
    <row r="124" spans="1:71" s="169" customFormat="1" ht="41.25" customHeight="1">
      <c r="A124" s="178" t="s">
        <v>56</v>
      </c>
      <c r="B124" s="178" t="str">
        <f ca="1">+UPPER(Tabla1321124[[#This Row],[DESCRIPCIÓN DE LA COMPRA O CONTRATACIÓN]])</f>
        <v>BATERIA 15/12</v>
      </c>
      <c r="C124" s="39" t="s">
        <v>17</v>
      </c>
      <c r="D124" s="210">
        <f>30+3+17</f>
        <v>50</v>
      </c>
      <c r="E124" s="210"/>
      <c r="F124" s="210">
        <v>30</v>
      </c>
      <c r="G124" s="210"/>
      <c r="H124" s="249">
        <f>SUM(Tabla1321124[[#This Row],[PRIMER TRIMESTRE]:[CUARTO TRIMESTRE]])</f>
        <v>80</v>
      </c>
      <c r="I124" s="17">
        <f>3600*1.2</f>
        <v>4320</v>
      </c>
      <c r="J124" s="72">
        <f t="shared" si="1"/>
        <v>345600</v>
      </c>
      <c r="K124" s="72"/>
      <c r="L124" s="16" t="s">
        <v>27</v>
      </c>
      <c r="M124" s="16" t="s">
        <v>22</v>
      </c>
      <c r="N124" s="16" t="s">
        <v>418</v>
      </c>
      <c r="O124" s="243"/>
      <c r="P124" s="243"/>
      <c r="Q124" s="243"/>
      <c r="R124" s="243"/>
      <c r="S124" s="243"/>
      <c r="T124" s="243"/>
      <c r="U124" s="243"/>
      <c r="V124" s="243"/>
      <c r="W124" s="243"/>
      <c r="X124" s="243"/>
      <c r="Y124" s="243"/>
      <c r="Z124" s="243"/>
      <c r="AA124" s="243"/>
      <c r="AB124" s="243"/>
      <c r="AC124" s="243"/>
      <c r="AD124" s="243"/>
      <c r="AE124" s="243"/>
      <c r="AF124" s="243"/>
      <c r="AG124" s="243"/>
      <c r="AH124" s="243"/>
      <c r="AI124" s="243"/>
      <c r="AJ124" s="243"/>
      <c r="AK124" s="243"/>
      <c r="AL124" s="243"/>
      <c r="AM124" s="243"/>
      <c r="AN124" s="243"/>
      <c r="AO124" s="243"/>
      <c r="AP124" s="243"/>
      <c r="AQ124" s="243"/>
      <c r="AR124" s="243"/>
      <c r="AS124" s="243"/>
      <c r="AT124" s="243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</row>
    <row r="125" spans="1:71" s="169" customFormat="1" ht="41.25" customHeight="1">
      <c r="A125" s="178" t="s">
        <v>56</v>
      </c>
      <c r="B125" s="178" t="str">
        <f ca="1">+UPPER(Tabla1321124[[#This Row],[DESCRIPCIÓN DE LA COMPRA O CONTRATACIÓN]])</f>
        <v>BATERIA 17/12</v>
      </c>
      <c r="C125" s="39" t="s">
        <v>17</v>
      </c>
      <c r="D125" s="210">
        <v>40</v>
      </c>
      <c r="E125" s="210">
        <v>40</v>
      </c>
      <c r="F125" s="210">
        <v>40</v>
      </c>
      <c r="G125" s="210">
        <v>35</v>
      </c>
      <c r="H125" s="249">
        <f>SUM(Tabla1321124[[#This Row],[PRIMER TRIMESTRE]:[CUARTO TRIMESTRE]])</f>
        <v>155</v>
      </c>
      <c r="I125" s="17">
        <v>6409</v>
      </c>
      <c r="J125" s="72">
        <f t="shared" si="1"/>
        <v>993395</v>
      </c>
      <c r="K125" s="72"/>
      <c r="L125" s="16" t="s">
        <v>27</v>
      </c>
      <c r="M125" s="16" t="s">
        <v>22</v>
      </c>
      <c r="N125" s="16" t="s">
        <v>418</v>
      </c>
      <c r="O125" s="243"/>
      <c r="P125" s="243"/>
      <c r="Q125" s="243"/>
      <c r="R125" s="243"/>
      <c r="S125" s="243"/>
      <c r="T125" s="243"/>
      <c r="U125" s="243"/>
      <c r="V125" s="243"/>
      <c r="W125" s="243"/>
      <c r="X125" s="243"/>
      <c r="Y125" s="243"/>
      <c r="Z125" s="243"/>
      <c r="AA125" s="243"/>
      <c r="AB125" s="243"/>
      <c r="AC125" s="243"/>
      <c r="AD125" s="243"/>
      <c r="AE125" s="243"/>
      <c r="AF125" s="243"/>
      <c r="AG125" s="243"/>
      <c r="AH125" s="243"/>
      <c r="AI125" s="243"/>
      <c r="AJ125" s="243"/>
      <c r="AK125" s="243"/>
      <c r="AL125" s="243"/>
      <c r="AM125" s="243"/>
      <c r="AN125" s="243"/>
      <c r="AO125" s="243"/>
      <c r="AP125" s="243"/>
      <c r="AQ125" s="243"/>
      <c r="AR125" s="243"/>
      <c r="AS125" s="243"/>
      <c r="AT125" s="243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</row>
    <row r="126" spans="1:71" s="111" customFormat="1" ht="41.25" customHeight="1">
      <c r="A126" s="178" t="s">
        <v>56</v>
      </c>
      <c r="B126" s="178" t="str">
        <f ca="1">+UPPER(Tabla1321124[[#This Row],[DESCRIPCIÓN DE LA COMPRA O CONTRATACIÓN]])</f>
        <v>BATERIA 21/12</v>
      </c>
      <c r="C126" s="39" t="s">
        <v>17</v>
      </c>
      <c r="D126" s="210">
        <f>46+3</f>
        <v>49</v>
      </c>
      <c r="E126" s="210">
        <v>15</v>
      </c>
      <c r="F126" s="210">
        <v>10</v>
      </c>
      <c r="G126" s="210">
        <v>15</v>
      </c>
      <c r="H126" s="249">
        <f>SUM(Tabla1321124[[#This Row],[PRIMER TRIMESTRE]:[CUARTO TRIMESTRE]])</f>
        <v>89</v>
      </c>
      <c r="I126" s="17">
        <v>6500</v>
      </c>
      <c r="J126" s="72">
        <f t="shared" si="1"/>
        <v>578500</v>
      </c>
      <c r="K126" s="72"/>
      <c r="L126" s="16" t="s">
        <v>27</v>
      </c>
      <c r="M126" s="16" t="s">
        <v>22</v>
      </c>
      <c r="N126" s="16" t="s">
        <v>418</v>
      </c>
      <c r="O126" s="243"/>
      <c r="P126" s="243"/>
      <c r="Q126" s="243"/>
      <c r="R126" s="243"/>
      <c r="S126" s="243"/>
      <c r="T126" s="243"/>
      <c r="U126" s="243"/>
      <c r="V126" s="243"/>
      <c r="W126" s="243"/>
      <c r="X126" s="243"/>
      <c r="Y126" s="243"/>
      <c r="Z126" s="243"/>
      <c r="AA126" s="243"/>
      <c r="AB126" s="243"/>
      <c r="AC126" s="243"/>
      <c r="AD126" s="243"/>
      <c r="AE126" s="243"/>
      <c r="AF126" s="243"/>
      <c r="AG126" s="243"/>
      <c r="AH126" s="243"/>
      <c r="AI126" s="243"/>
      <c r="AJ126" s="243"/>
      <c r="AK126" s="243"/>
      <c r="AL126" s="243"/>
      <c r="AM126" s="243"/>
      <c r="AN126" s="243"/>
      <c r="AO126" s="243"/>
      <c r="AP126" s="243"/>
      <c r="AQ126" s="243"/>
      <c r="AR126" s="243"/>
      <c r="AS126" s="243"/>
      <c r="AT126" s="243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</row>
    <row r="127" spans="1:71" s="111" customFormat="1" ht="41.25" customHeight="1">
      <c r="A127" s="178" t="s">
        <v>56</v>
      </c>
      <c r="B127" s="178" t="str">
        <f ca="1">+UPPER(Tabla1321124[[#This Row],[DESCRIPCIÓN DE LA COMPRA O CONTRATACIÓN]])</f>
        <v>BATERIA 24/12</v>
      </c>
      <c r="C127" s="39" t="s">
        <v>17</v>
      </c>
      <c r="D127" s="210">
        <v>26</v>
      </c>
      <c r="E127" s="210"/>
      <c r="F127" s="210">
        <v>10</v>
      </c>
      <c r="G127" s="210"/>
      <c r="H127" s="249">
        <f>SUM(Tabla1321124[[#This Row],[PRIMER TRIMESTRE]:[CUARTO TRIMESTRE]])</f>
        <v>36</v>
      </c>
      <c r="I127" s="17">
        <v>6500</v>
      </c>
      <c r="J127" s="72">
        <f t="shared" si="1"/>
        <v>234000</v>
      </c>
      <c r="K127" s="72"/>
      <c r="L127" s="16" t="s">
        <v>27</v>
      </c>
      <c r="M127" s="16" t="s">
        <v>22</v>
      </c>
      <c r="N127" s="16" t="s">
        <v>418</v>
      </c>
      <c r="O127" s="243"/>
      <c r="P127" s="243"/>
      <c r="Q127" s="243"/>
      <c r="R127" s="243"/>
      <c r="S127" s="243"/>
      <c r="T127" s="243"/>
      <c r="U127" s="243"/>
      <c r="V127" s="243"/>
      <c r="W127" s="243"/>
      <c r="X127" s="243"/>
      <c r="Y127" s="243"/>
      <c r="Z127" s="243"/>
      <c r="AA127" s="243"/>
      <c r="AB127" s="243"/>
      <c r="AC127" s="243"/>
      <c r="AD127" s="243"/>
      <c r="AE127" s="243"/>
      <c r="AF127" s="243"/>
      <c r="AG127" s="243"/>
      <c r="AH127" s="243"/>
      <c r="AI127" s="243"/>
      <c r="AJ127" s="243"/>
      <c r="AK127" s="243"/>
      <c r="AL127" s="243"/>
      <c r="AM127" s="243"/>
      <c r="AN127" s="243"/>
      <c r="AO127" s="243"/>
      <c r="AP127" s="243"/>
      <c r="AQ127" s="243"/>
      <c r="AR127" s="243"/>
      <c r="AS127" s="243"/>
      <c r="AT127" s="243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</row>
    <row r="128" spans="1:71" s="26" customFormat="1" ht="41.25" customHeight="1">
      <c r="A128" s="178" t="s">
        <v>56</v>
      </c>
      <c r="B128" s="178" t="str">
        <f ca="1">+UPPER(Tabla1321124[[#This Row],[DESCRIPCIÓN DE LA COMPRA O CONTRATACIÓN]])</f>
        <v>BATERIA 25/12</v>
      </c>
      <c r="C128" s="39" t="s">
        <v>17</v>
      </c>
      <c r="D128" s="210">
        <f>28+2</f>
        <v>30</v>
      </c>
      <c r="E128" s="210">
        <v>8</v>
      </c>
      <c r="F128" s="210">
        <v>10</v>
      </c>
      <c r="G128" s="210">
        <v>8</v>
      </c>
      <c r="H128" s="249">
        <f>SUM(Tabla1321124[[#This Row],[PRIMER TRIMESTRE]:[CUARTO TRIMESTRE]])</f>
        <v>56</v>
      </c>
      <c r="I128" s="17">
        <v>7965.33</v>
      </c>
      <c r="J128" s="72">
        <f t="shared" si="1"/>
        <v>446058.48</v>
      </c>
      <c r="K128" s="72"/>
      <c r="L128" s="16" t="s">
        <v>27</v>
      </c>
      <c r="M128" s="16" t="s">
        <v>22</v>
      </c>
      <c r="N128" s="16" t="s">
        <v>418</v>
      </c>
      <c r="O128" s="243"/>
      <c r="P128" s="243"/>
      <c r="Q128" s="243"/>
      <c r="R128" s="243"/>
      <c r="S128" s="243"/>
      <c r="T128" s="243"/>
      <c r="U128" s="243"/>
      <c r="V128" s="243"/>
      <c r="W128" s="243"/>
      <c r="X128" s="243"/>
      <c r="Y128" s="243"/>
      <c r="Z128" s="243"/>
      <c r="AA128" s="243"/>
      <c r="AB128" s="243"/>
      <c r="AC128" s="243"/>
      <c r="AD128" s="243"/>
      <c r="AE128" s="243"/>
      <c r="AF128" s="243"/>
      <c r="AG128" s="243"/>
      <c r="AH128" s="243"/>
      <c r="AI128" s="243"/>
      <c r="AJ128" s="243"/>
      <c r="AK128" s="243"/>
      <c r="AL128" s="243"/>
      <c r="AM128" s="243"/>
      <c r="AN128" s="243"/>
      <c r="AO128" s="243"/>
      <c r="AP128" s="243"/>
      <c r="AQ128" s="243"/>
      <c r="AR128" s="243"/>
      <c r="AS128" s="243"/>
      <c r="AT128" s="243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</row>
    <row r="129" spans="1:71" s="12" customFormat="1" ht="41.25" customHeight="1">
      <c r="A129" s="178" t="s">
        <v>56</v>
      </c>
      <c r="B129" s="178" t="str">
        <f ca="1">+UPPER(Tabla1321124[[#This Row],[DESCRIPCIÓN DE LA COMPRA O CONTRATACIÓN]])</f>
        <v>BATERIA 27/12</v>
      </c>
      <c r="C129" s="39" t="s">
        <v>17</v>
      </c>
      <c r="D129" s="210">
        <v>38</v>
      </c>
      <c r="E129" s="210">
        <v>5</v>
      </c>
      <c r="F129" s="210">
        <v>10</v>
      </c>
      <c r="G129" s="210">
        <v>5</v>
      </c>
      <c r="H129" s="249">
        <f>SUM(Tabla1321124[[#This Row],[PRIMER TRIMESTRE]:[CUARTO TRIMESTRE]])</f>
        <v>58</v>
      </c>
      <c r="I129" s="17">
        <v>9976</v>
      </c>
      <c r="J129" s="72">
        <f t="shared" si="1"/>
        <v>578608</v>
      </c>
      <c r="K129" s="72"/>
      <c r="L129" s="16" t="s">
        <v>27</v>
      </c>
      <c r="M129" s="16" t="s">
        <v>22</v>
      </c>
      <c r="N129" s="16" t="s">
        <v>418</v>
      </c>
      <c r="O129" s="243"/>
      <c r="P129" s="243"/>
      <c r="Q129" s="243"/>
      <c r="R129" s="243"/>
      <c r="S129" s="243"/>
      <c r="T129" s="243"/>
      <c r="U129" s="243"/>
      <c r="V129" s="243"/>
      <c r="W129" s="243"/>
      <c r="X129" s="243"/>
      <c r="Y129" s="243"/>
      <c r="Z129" s="243"/>
      <c r="AA129" s="243"/>
      <c r="AB129" s="243"/>
      <c r="AC129" s="243"/>
      <c r="AD129" s="243"/>
      <c r="AE129" s="243"/>
      <c r="AF129" s="243"/>
      <c r="AG129" s="243"/>
      <c r="AH129" s="243"/>
      <c r="AI129" s="243"/>
      <c r="AJ129" s="243"/>
      <c r="AK129" s="243"/>
      <c r="AL129" s="243"/>
      <c r="AM129" s="243"/>
      <c r="AN129" s="243"/>
      <c r="AO129" s="243"/>
      <c r="AP129" s="243"/>
      <c r="AQ129" s="243"/>
      <c r="AR129" s="243"/>
      <c r="AS129" s="243"/>
      <c r="AT129" s="243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</row>
    <row r="130" spans="1:71" s="12" customFormat="1" ht="41.25" customHeight="1">
      <c r="A130" s="178" t="s">
        <v>56</v>
      </c>
      <c r="B130" s="178" t="str">
        <f ca="1">+UPPER(Tabla1321124[[#This Row],[DESCRIPCIÓN DE LA COMPRA O CONTRATACIÓN]])</f>
        <v>BATERIA PARA UPS 12V 7, 2A</v>
      </c>
      <c r="C130" s="39" t="s">
        <v>17</v>
      </c>
      <c r="D130" s="210">
        <v>4</v>
      </c>
      <c r="E130" s="210"/>
      <c r="F130" s="210"/>
      <c r="G130" s="210"/>
      <c r="H130" s="249">
        <f>SUM(Tabla1321124[[#This Row],[PRIMER TRIMESTRE]:[CUARTO TRIMESTRE]])</f>
        <v>4</v>
      </c>
      <c r="I130" s="17">
        <v>1500</v>
      </c>
      <c r="J130" s="72">
        <f t="shared" si="1"/>
        <v>6000</v>
      </c>
      <c r="K130" s="331"/>
      <c r="L130" s="16" t="s">
        <v>27</v>
      </c>
      <c r="M130" s="16" t="s">
        <v>22</v>
      </c>
      <c r="N130" s="16" t="s">
        <v>418</v>
      </c>
      <c r="O130" s="243"/>
      <c r="P130" s="243"/>
      <c r="Q130" s="243"/>
      <c r="R130" s="243"/>
      <c r="S130" s="243"/>
      <c r="T130" s="243"/>
      <c r="U130" s="243"/>
      <c r="V130" s="243"/>
      <c r="W130" s="243"/>
      <c r="X130" s="243"/>
      <c r="Y130" s="243"/>
      <c r="Z130" s="243"/>
      <c r="AA130" s="243"/>
      <c r="AB130" s="243"/>
      <c r="AC130" s="243"/>
      <c r="AD130" s="243"/>
      <c r="AE130" s="243"/>
      <c r="AF130" s="243"/>
      <c r="AG130" s="243"/>
      <c r="AH130" s="243"/>
      <c r="AI130" s="243"/>
      <c r="AJ130" s="243"/>
      <c r="AK130" s="243"/>
      <c r="AL130" s="243"/>
      <c r="AM130" s="243"/>
      <c r="AN130" s="243"/>
      <c r="AO130" s="243"/>
      <c r="AP130" s="243"/>
      <c r="AQ130" s="243"/>
      <c r="AR130" s="243"/>
      <c r="AS130" s="243"/>
      <c r="AT130" s="243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</row>
    <row r="131" spans="1:71" s="12" customFormat="1" ht="41.25" customHeight="1">
      <c r="A131" s="178" t="s">
        <v>56</v>
      </c>
      <c r="B131" s="178" t="str">
        <f ca="1">+UPPER(Tabla1321124[[#This Row],[DESCRIPCIÓN DE LA COMPRA O CONTRATACIÓN]])</f>
        <v>BATERIA 31/12</v>
      </c>
      <c r="C131" s="39" t="s">
        <v>17</v>
      </c>
      <c r="D131" s="210">
        <v>34</v>
      </c>
      <c r="E131" s="210">
        <v>4</v>
      </c>
      <c r="F131" s="210">
        <v>10</v>
      </c>
      <c r="G131" s="210">
        <v>4</v>
      </c>
      <c r="H131" s="249">
        <f>SUM(Tabla1321124[[#This Row],[PRIMER TRIMESTRE]:[CUARTO TRIMESTRE]])</f>
        <v>52</v>
      </c>
      <c r="I131" s="17">
        <v>11500</v>
      </c>
      <c r="J131" s="72">
        <f t="shared" si="1"/>
        <v>598000</v>
      </c>
      <c r="K131" s="72"/>
      <c r="L131" s="16" t="s">
        <v>27</v>
      </c>
      <c r="M131" s="16" t="s">
        <v>22</v>
      </c>
      <c r="N131" s="16" t="s">
        <v>418</v>
      </c>
      <c r="O131" s="243"/>
      <c r="P131" s="243"/>
      <c r="Q131" s="243"/>
      <c r="R131" s="243"/>
      <c r="S131" s="243"/>
      <c r="T131" s="243"/>
      <c r="U131" s="243"/>
      <c r="V131" s="243"/>
      <c r="W131" s="243"/>
      <c r="X131" s="243"/>
      <c r="Y131" s="243"/>
      <c r="Z131" s="243"/>
      <c r="AA131" s="243"/>
      <c r="AB131" s="243"/>
      <c r="AC131" s="243"/>
      <c r="AD131" s="243"/>
      <c r="AE131" s="243"/>
      <c r="AF131" s="243"/>
      <c r="AG131" s="243"/>
      <c r="AH131" s="243"/>
      <c r="AI131" s="243"/>
      <c r="AJ131" s="243"/>
      <c r="AK131" s="243"/>
      <c r="AL131" s="243"/>
      <c r="AM131" s="243"/>
      <c r="AN131" s="243"/>
      <c r="AO131" s="243"/>
      <c r="AP131" s="243"/>
      <c r="AQ131" s="243"/>
      <c r="AR131" s="243"/>
      <c r="AS131" s="243"/>
      <c r="AT131" s="243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</row>
    <row r="132" spans="1:71" s="12" customFormat="1" ht="41.25" customHeight="1">
      <c r="A132" s="178" t="s">
        <v>56</v>
      </c>
      <c r="B132" s="178" t="str">
        <f ca="1">+UPPER(Tabla1321124[[#This Row],[DESCRIPCIÓN DE LA COMPRA O CONTRATACIÓN]])</f>
        <v>SOPORTE PARA BATERIAS (GANCHOS)</v>
      </c>
      <c r="C132" s="39" t="s">
        <v>17</v>
      </c>
      <c r="D132" s="210"/>
      <c r="E132" s="210"/>
      <c r="F132" s="210"/>
      <c r="G132" s="210"/>
      <c r="H132" s="210">
        <f>SUM(Tabla1321124[[#This Row],[PRIMER TRIMESTRE]:[CUARTO TRIMESTRE]])</f>
        <v>0</v>
      </c>
      <c r="I132" s="17">
        <v>250</v>
      </c>
      <c r="J132" s="72">
        <f t="shared" si="1"/>
        <v>0</v>
      </c>
      <c r="K132" s="72"/>
      <c r="L132" s="16" t="s">
        <v>27</v>
      </c>
      <c r="M132" s="16" t="s">
        <v>22</v>
      </c>
      <c r="N132" s="16" t="s">
        <v>418</v>
      </c>
      <c r="O132" s="243"/>
      <c r="P132" s="243"/>
      <c r="Q132" s="243"/>
      <c r="R132" s="243"/>
      <c r="S132" s="243"/>
      <c r="T132" s="243"/>
      <c r="U132" s="243"/>
      <c r="V132" s="243"/>
      <c r="W132" s="243"/>
      <c r="X132" s="243"/>
      <c r="Y132" s="243"/>
      <c r="Z132" s="243"/>
      <c r="AA132" s="243"/>
      <c r="AB132" s="243"/>
      <c r="AC132" s="243"/>
      <c r="AD132" s="243"/>
      <c r="AE132" s="243"/>
      <c r="AF132" s="243"/>
      <c r="AG132" s="243"/>
      <c r="AH132" s="243"/>
      <c r="AI132" s="243"/>
      <c r="AJ132" s="243"/>
      <c r="AK132" s="243"/>
      <c r="AL132" s="243"/>
      <c r="AM132" s="243"/>
      <c r="AN132" s="243"/>
      <c r="AO132" s="243"/>
      <c r="AP132" s="243"/>
      <c r="AQ132" s="243"/>
      <c r="AR132" s="243"/>
      <c r="AS132" s="243"/>
      <c r="AT132" s="243"/>
      <c r="AU132" s="243"/>
      <c r="AV132" s="243"/>
      <c r="AW132" s="243"/>
      <c r="AX132" s="243"/>
      <c r="AY132" s="243"/>
      <c r="AZ132" s="243"/>
      <c r="BA132" s="243"/>
      <c r="BB132" s="243"/>
      <c r="BC132" s="243"/>
      <c r="BD132" s="243"/>
      <c r="BE132" s="243"/>
      <c r="BF132" s="243"/>
      <c r="BG132" s="243"/>
      <c r="BH132" s="243"/>
      <c r="BI132" s="243"/>
      <c r="BJ132" s="243"/>
      <c r="BK132" s="243"/>
      <c r="BL132" s="243"/>
      <c r="BM132" s="243"/>
      <c r="BN132" s="243"/>
      <c r="BO132" s="243"/>
      <c r="BP132" s="243"/>
      <c r="BQ132" s="243"/>
      <c r="BR132" s="243"/>
      <c r="BS132" s="243"/>
    </row>
    <row r="133" spans="1:71" s="12" customFormat="1" ht="41.25" customHeight="1">
      <c r="A133" s="178" t="s">
        <v>56</v>
      </c>
      <c r="B133" s="178" t="str">
        <f ca="1">+UPPER(Tabla1321124[[#This Row],[DESCRIPCIÓN DE LA COMPRA O CONTRATACIÓN]])</f>
        <v>JUEGO DE CUBO AMERICANO PULGADA</v>
      </c>
      <c r="C133" s="39" t="s">
        <v>17</v>
      </c>
      <c r="D133" s="210">
        <v>4</v>
      </c>
      <c r="E133" s="210"/>
      <c r="F133" s="210">
        <v>4</v>
      </c>
      <c r="G133" s="210"/>
      <c r="H133" s="351">
        <f>Tabla1321124[[#This Row],[CUARTO TRIMESTRE]]+Tabla1321124[[#This Row],[TERCER TRIMESTRE]]+Tabla1321124[[#This Row],[SEGUNDO TRIMESTRE]]+Tabla1321124[[#This Row],[PRIMER TRIMESTRE]]</f>
        <v>8</v>
      </c>
      <c r="I133" s="17">
        <v>9600</v>
      </c>
      <c r="J133" s="72">
        <f t="shared" si="1"/>
        <v>76800</v>
      </c>
      <c r="K133" s="72"/>
      <c r="L133" s="16" t="s">
        <v>27</v>
      </c>
      <c r="M133" s="16" t="s">
        <v>22</v>
      </c>
      <c r="N133" s="16" t="s">
        <v>418</v>
      </c>
      <c r="O133" s="243"/>
      <c r="P133" s="243"/>
      <c r="Q133" s="243"/>
      <c r="R133" s="243"/>
      <c r="S133" s="243"/>
      <c r="T133" s="243"/>
      <c r="U133" s="243"/>
      <c r="V133" s="243"/>
      <c r="W133" s="243"/>
      <c r="X133" s="243"/>
      <c r="Y133" s="243"/>
      <c r="Z133" s="243"/>
      <c r="AA133" s="243"/>
      <c r="AB133" s="243"/>
      <c r="AC133" s="243"/>
      <c r="AD133" s="243"/>
      <c r="AE133" s="243"/>
      <c r="AF133" s="243"/>
      <c r="AG133" s="243"/>
      <c r="AH133" s="243"/>
      <c r="AI133" s="243"/>
      <c r="AJ133" s="243"/>
      <c r="AK133" s="243"/>
      <c r="AL133" s="243"/>
      <c r="AM133" s="243"/>
      <c r="AN133" s="243"/>
      <c r="AO133" s="243"/>
      <c r="AP133" s="243"/>
      <c r="AQ133" s="243"/>
      <c r="AR133" s="243"/>
      <c r="AS133" s="243"/>
      <c r="AT133" s="243"/>
      <c r="AU133" s="243"/>
      <c r="AV133" s="243"/>
      <c r="AW133" s="243"/>
      <c r="AX133" s="243"/>
      <c r="AY133" s="243"/>
      <c r="AZ133" s="243"/>
      <c r="BA133" s="243"/>
      <c r="BB133" s="243"/>
      <c r="BC133" s="243"/>
      <c r="BD133" s="243"/>
      <c r="BE133" s="243"/>
      <c r="BF133" s="243"/>
      <c r="BG133" s="243"/>
      <c r="BH133" s="243"/>
      <c r="BI133" s="243"/>
      <c r="BJ133" s="243"/>
      <c r="BK133" s="243"/>
      <c r="BL133" s="243"/>
      <c r="BM133" s="243"/>
      <c r="BN133" s="243"/>
      <c r="BO133" s="243"/>
      <c r="BP133" s="243"/>
      <c r="BQ133" s="243"/>
      <c r="BR133" s="243"/>
      <c r="BS133" s="243"/>
    </row>
    <row r="134" spans="1:71" s="12" customFormat="1" ht="41.25" customHeight="1">
      <c r="A134" s="178" t="s">
        <v>56</v>
      </c>
      <c r="B134" s="178" t="str">
        <f ca="1">+UPPER(Tabla1321124[[#This Row],[DESCRIPCIÓN DE LA COMPRA O CONTRATACIÓN]])</f>
        <v>JUEGO DE CUBO MILIMETRICO</v>
      </c>
      <c r="C134" s="39" t="s">
        <v>17</v>
      </c>
      <c r="D134" s="210">
        <v>4</v>
      </c>
      <c r="E134" s="210"/>
      <c r="F134" s="210">
        <v>4</v>
      </c>
      <c r="G134" s="210"/>
      <c r="H134" s="351">
        <f>Tabla1321124[[#This Row],[CUARTO TRIMESTRE]]+Tabla1321124[[#This Row],[TERCER TRIMESTRE]]+Tabla1321124[[#This Row],[SEGUNDO TRIMESTRE]]+Tabla1321124[[#This Row],[PRIMER TRIMESTRE]]</f>
        <v>8</v>
      </c>
      <c r="I134" s="17">
        <v>9600</v>
      </c>
      <c r="J134" s="72">
        <f t="shared" si="1"/>
        <v>76800</v>
      </c>
      <c r="K134" s="72"/>
      <c r="L134" s="16" t="s">
        <v>27</v>
      </c>
      <c r="M134" s="16" t="s">
        <v>22</v>
      </c>
      <c r="N134" s="16" t="s">
        <v>418</v>
      </c>
      <c r="O134" s="243"/>
      <c r="P134" s="243"/>
      <c r="Q134" s="243"/>
      <c r="R134" s="243"/>
      <c r="S134" s="243"/>
      <c r="T134" s="243"/>
      <c r="U134" s="243"/>
      <c r="V134" s="243"/>
      <c r="W134" s="243"/>
      <c r="X134" s="243"/>
      <c r="Y134" s="243"/>
      <c r="Z134" s="243"/>
      <c r="AA134" s="243"/>
      <c r="AB134" s="243"/>
      <c r="AC134" s="243"/>
      <c r="AD134" s="243"/>
      <c r="AE134" s="243"/>
      <c r="AF134" s="243"/>
      <c r="AG134" s="243"/>
      <c r="AH134" s="243"/>
      <c r="AI134" s="243"/>
      <c r="AJ134" s="243"/>
      <c r="AK134" s="243"/>
      <c r="AL134" s="243"/>
      <c r="AM134" s="243"/>
      <c r="AN134" s="243"/>
      <c r="AO134" s="243"/>
      <c r="AP134" s="243"/>
      <c r="AQ134" s="243"/>
      <c r="AR134" s="243"/>
      <c r="AS134" s="243"/>
      <c r="AT134" s="243"/>
      <c r="AU134" s="243"/>
      <c r="AV134" s="243"/>
      <c r="AW134" s="243"/>
      <c r="AX134" s="243"/>
      <c r="AY134" s="243"/>
      <c r="AZ134" s="243"/>
      <c r="BA134" s="243"/>
      <c r="BB134" s="243"/>
      <c r="BC134" s="243"/>
      <c r="BD134" s="243"/>
      <c r="BE134" s="243"/>
      <c r="BF134" s="243"/>
      <c r="BG134" s="243"/>
      <c r="BH134" s="243"/>
      <c r="BI134" s="243"/>
      <c r="BJ134" s="243"/>
      <c r="BK134" s="243"/>
      <c r="BL134" s="243"/>
      <c r="BM134" s="243"/>
      <c r="BN134" s="243"/>
      <c r="BO134" s="243"/>
      <c r="BP134" s="243"/>
      <c r="BQ134" s="243"/>
      <c r="BR134" s="243"/>
      <c r="BS134" s="243"/>
    </row>
    <row r="135" spans="1:71" s="12" customFormat="1" ht="41.25" customHeight="1">
      <c r="A135" s="178" t="s">
        <v>56</v>
      </c>
      <c r="B135" s="178" t="str">
        <f ca="1">+UPPER(Tabla1321124[[#This Row],[DESCRIPCIÓN DE LA COMPRA O CONTRATACIÓN]])</f>
        <v>CUBOS DE IMPACTO 10</v>
      </c>
      <c r="C135" s="39" t="s">
        <v>17</v>
      </c>
      <c r="D135" s="210">
        <v>12</v>
      </c>
      <c r="E135" s="210"/>
      <c r="F135" s="210"/>
      <c r="G135" s="210"/>
      <c r="H135" s="351">
        <f>Tabla1321124[[#This Row],[CUARTO TRIMESTRE]]+Tabla1321124[[#This Row],[TERCER TRIMESTRE]]+Tabla1321124[[#This Row],[SEGUNDO TRIMESTRE]]+Tabla1321124[[#This Row],[PRIMER TRIMESTRE]]</f>
        <v>12</v>
      </c>
      <c r="I135" s="17">
        <v>350</v>
      </c>
      <c r="J135" s="72">
        <f t="shared" si="1"/>
        <v>4200</v>
      </c>
      <c r="K135" s="72"/>
      <c r="L135" s="16" t="s">
        <v>27</v>
      </c>
      <c r="M135" s="16" t="s">
        <v>22</v>
      </c>
      <c r="N135" s="16" t="s">
        <v>418</v>
      </c>
      <c r="O135" s="243"/>
      <c r="P135" s="243"/>
      <c r="Q135" s="243"/>
      <c r="R135" s="243"/>
      <c r="S135" s="243"/>
      <c r="T135" s="243"/>
      <c r="U135" s="243"/>
      <c r="V135" s="243"/>
      <c r="W135" s="243"/>
      <c r="X135" s="243"/>
      <c r="Y135" s="243"/>
      <c r="Z135" s="243"/>
      <c r="AA135" s="243"/>
      <c r="AB135" s="243"/>
      <c r="AC135" s="243"/>
      <c r="AD135" s="243"/>
      <c r="AE135" s="243"/>
      <c r="AF135" s="243"/>
      <c r="AG135" s="243"/>
      <c r="AH135" s="243"/>
      <c r="AI135" s="243"/>
      <c r="AJ135" s="243"/>
      <c r="AK135" s="243"/>
      <c r="AL135" s="243"/>
      <c r="AM135" s="243"/>
      <c r="AN135" s="243"/>
      <c r="AO135" s="243"/>
      <c r="AP135" s="243"/>
      <c r="AQ135" s="243"/>
      <c r="AR135" s="243"/>
      <c r="AS135" s="243"/>
      <c r="AT135" s="243"/>
      <c r="AU135" s="243"/>
      <c r="AV135" s="243"/>
      <c r="AW135" s="243"/>
      <c r="AX135" s="243"/>
      <c r="AY135" s="243"/>
      <c r="AZ135" s="243"/>
      <c r="BA135" s="243"/>
      <c r="BB135" s="243"/>
      <c r="BC135" s="243"/>
      <c r="BD135" s="243"/>
      <c r="BE135" s="243"/>
      <c r="BF135" s="243"/>
      <c r="BG135" s="243"/>
      <c r="BH135" s="243"/>
      <c r="BI135" s="243"/>
      <c r="BJ135" s="243"/>
      <c r="BK135" s="243"/>
      <c r="BL135" s="243"/>
      <c r="BM135" s="243"/>
      <c r="BN135" s="243"/>
      <c r="BO135" s="243"/>
      <c r="BP135" s="243"/>
      <c r="BQ135" s="243"/>
      <c r="BR135" s="243"/>
      <c r="BS135" s="243"/>
    </row>
    <row r="136" spans="1:71" s="12" customFormat="1" ht="41.25" customHeight="1">
      <c r="A136" s="178" t="s">
        <v>56</v>
      </c>
      <c r="B136" s="178" t="str">
        <f ca="1">+UPPER(Tabla1321124[[#This Row],[DESCRIPCIÓN DE LA COMPRA O CONTRATACIÓN]])</f>
        <v>CUBOS DE IMPACTO 12</v>
      </c>
      <c r="C136" s="39" t="s">
        <v>17</v>
      </c>
      <c r="D136" s="210">
        <v>12</v>
      </c>
      <c r="E136" s="210"/>
      <c r="F136" s="210"/>
      <c r="G136" s="210"/>
      <c r="H136" s="351">
        <f>Tabla1321124[[#This Row],[CUARTO TRIMESTRE]]+Tabla1321124[[#This Row],[TERCER TRIMESTRE]]+Tabla1321124[[#This Row],[SEGUNDO TRIMESTRE]]+Tabla1321124[[#This Row],[PRIMER TRIMESTRE]]</f>
        <v>12</v>
      </c>
      <c r="I136" s="17">
        <v>360</v>
      </c>
      <c r="J136" s="72">
        <f t="shared" si="1"/>
        <v>4320</v>
      </c>
      <c r="K136" s="72"/>
      <c r="L136" s="16" t="s">
        <v>27</v>
      </c>
      <c r="M136" s="16" t="s">
        <v>22</v>
      </c>
      <c r="N136" s="16" t="s">
        <v>418</v>
      </c>
      <c r="O136" s="243"/>
      <c r="P136" s="243"/>
      <c r="Q136" s="243"/>
      <c r="R136" s="243"/>
      <c r="S136" s="243"/>
      <c r="T136" s="243"/>
      <c r="U136" s="243"/>
      <c r="V136" s="243"/>
      <c r="W136" s="243"/>
      <c r="X136" s="243"/>
      <c r="Y136" s="243"/>
      <c r="Z136" s="243"/>
      <c r="AA136" s="243"/>
      <c r="AB136" s="243"/>
      <c r="AC136" s="243"/>
      <c r="AD136" s="243"/>
      <c r="AE136" s="243"/>
      <c r="AF136" s="243"/>
      <c r="AG136" s="243"/>
      <c r="AH136" s="243"/>
      <c r="AI136" s="243"/>
      <c r="AJ136" s="243"/>
      <c r="AK136" s="243"/>
      <c r="AL136" s="243"/>
      <c r="AM136" s="243"/>
      <c r="AN136" s="243"/>
      <c r="AO136" s="243"/>
      <c r="AP136" s="243"/>
      <c r="AQ136" s="243"/>
      <c r="AR136" s="243"/>
      <c r="AS136" s="243"/>
      <c r="AT136" s="243"/>
      <c r="AU136" s="243"/>
      <c r="AV136" s="243"/>
      <c r="AW136" s="243"/>
      <c r="AX136" s="243"/>
      <c r="AY136" s="243"/>
      <c r="AZ136" s="243"/>
      <c r="BA136" s="243"/>
      <c r="BB136" s="243"/>
      <c r="BC136" s="243"/>
      <c r="BD136" s="243"/>
      <c r="BE136" s="243"/>
      <c r="BF136" s="243"/>
      <c r="BG136" s="243"/>
      <c r="BH136" s="243"/>
      <c r="BI136" s="243"/>
      <c r="BJ136" s="243"/>
      <c r="BK136" s="243"/>
      <c r="BL136" s="243"/>
      <c r="BM136" s="243"/>
      <c r="BN136" s="243"/>
      <c r="BO136" s="243"/>
      <c r="BP136" s="243"/>
      <c r="BQ136" s="243"/>
      <c r="BR136" s="243"/>
      <c r="BS136" s="243"/>
    </row>
    <row r="137" spans="1:71" s="12" customFormat="1" ht="41.25" customHeight="1">
      <c r="A137" s="178" t="s">
        <v>56</v>
      </c>
      <c r="B137" s="178" t="str">
        <f ca="1">+UPPER(Tabla1321124[[#This Row],[DESCRIPCIÓN DE LA COMPRA O CONTRATACIÓN]])</f>
        <v>CUBOS DE IMPACTO 13</v>
      </c>
      <c r="C137" s="39" t="s">
        <v>17</v>
      </c>
      <c r="D137" s="210">
        <v>12</v>
      </c>
      <c r="E137" s="210"/>
      <c r="F137" s="210"/>
      <c r="G137" s="210"/>
      <c r="H137" s="351">
        <f>Tabla1321124[[#This Row],[CUARTO TRIMESTRE]]+Tabla1321124[[#This Row],[TERCER TRIMESTRE]]+Tabla1321124[[#This Row],[SEGUNDO TRIMESTRE]]+Tabla1321124[[#This Row],[PRIMER TRIMESTRE]]</f>
        <v>12</v>
      </c>
      <c r="I137" s="17">
        <v>370</v>
      </c>
      <c r="J137" s="72">
        <f t="shared" si="1"/>
        <v>4440</v>
      </c>
      <c r="K137" s="72"/>
      <c r="L137" s="16" t="s">
        <v>27</v>
      </c>
      <c r="M137" s="16" t="s">
        <v>22</v>
      </c>
      <c r="N137" s="16" t="s">
        <v>418</v>
      </c>
      <c r="O137" s="243"/>
      <c r="P137" s="243"/>
      <c r="Q137" s="243"/>
      <c r="R137" s="243"/>
      <c r="S137" s="243"/>
      <c r="T137" s="243"/>
      <c r="U137" s="243"/>
      <c r="V137" s="243"/>
      <c r="W137" s="243"/>
      <c r="X137" s="243"/>
      <c r="Y137" s="243"/>
      <c r="Z137" s="243"/>
      <c r="AA137" s="243"/>
      <c r="AB137" s="243"/>
      <c r="AC137" s="243"/>
      <c r="AD137" s="243"/>
      <c r="AE137" s="243"/>
      <c r="AF137" s="243"/>
      <c r="AG137" s="243"/>
      <c r="AH137" s="243"/>
      <c r="AI137" s="243"/>
      <c r="AJ137" s="243"/>
      <c r="AK137" s="243"/>
      <c r="AL137" s="243"/>
      <c r="AM137" s="243"/>
      <c r="AN137" s="243"/>
      <c r="AO137" s="243"/>
      <c r="AP137" s="243"/>
      <c r="AQ137" s="243"/>
      <c r="AR137" s="243"/>
      <c r="AS137" s="243"/>
      <c r="AT137" s="243"/>
      <c r="AU137" s="243"/>
      <c r="AV137" s="243"/>
      <c r="AW137" s="243"/>
      <c r="AX137" s="243"/>
      <c r="AY137" s="243"/>
      <c r="AZ137" s="243"/>
      <c r="BA137" s="243"/>
      <c r="BB137" s="243"/>
      <c r="BC137" s="243"/>
      <c r="BD137" s="243"/>
      <c r="BE137" s="243"/>
      <c r="BF137" s="243"/>
      <c r="BG137" s="243"/>
      <c r="BH137" s="243"/>
      <c r="BI137" s="243"/>
      <c r="BJ137" s="243"/>
      <c r="BK137" s="243"/>
      <c r="BL137" s="243"/>
      <c r="BM137" s="243"/>
      <c r="BN137" s="243"/>
      <c r="BO137" s="243"/>
      <c r="BP137" s="243"/>
      <c r="BQ137" s="243"/>
      <c r="BR137" s="243"/>
      <c r="BS137" s="243"/>
    </row>
    <row r="138" spans="1:71" s="12" customFormat="1" ht="41.25" customHeight="1">
      <c r="A138" s="178" t="s">
        <v>56</v>
      </c>
      <c r="B138" s="178" t="str">
        <f ca="1">+UPPER(Tabla1321124[[#This Row],[DESCRIPCIÓN DE LA COMPRA O CONTRATACIÓN]])</f>
        <v>CUBOS DE IMPACTO 14</v>
      </c>
      <c r="C138" s="39" t="s">
        <v>17</v>
      </c>
      <c r="D138" s="210">
        <v>12</v>
      </c>
      <c r="E138" s="210"/>
      <c r="F138" s="210"/>
      <c r="G138" s="210"/>
      <c r="H138" s="351">
        <f>Tabla1321124[[#This Row],[CUARTO TRIMESTRE]]+Tabla1321124[[#This Row],[TERCER TRIMESTRE]]+Tabla1321124[[#This Row],[SEGUNDO TRIMESTRE]]+Tabla1321124[[#This Row],[PRIMER TRIMESTRE]]</f>
        <v>12</v>
      </c>
      <c r="I138" s="17">
        <v>380</v>
      </c>
      <c r="J138" s="72">
        <f t="shared" si="1"/>
        <v>4560</v>
      </c>
      <c r="K138" s="72"/>
      <c r="L138" s="16" t="s">
        <v>27</v>
      </c>
      <c r="M138" s="16" t="s">
        <v>22</v>
      </c>
      <c r="N138" s="16" t="s">
        <v>418</v>
      </c>
      <c r="O138" s="243"/>
      <c r="P138" s="243"/>
      <c r="Q138" s="243"/>
      <c r="R138" s="243"/>
      <c r="S138" s="243"/>
      <c r="T138" s="243"/>
      <c r="U138" s="243"/>
      <c r="V138" s="243"/>
      <c r="W138" s="243"/>
      <c r="X138" s="243"/>
      <c r="Y138" s="243"/>
      <c r="Z138" s="243"/>
      <c r="AA138" s="243"/>
      <c r="AB138" s="243"/>
      <c r="AC138" s="243"/>
      <c r="AD138" s="243"/>
      <c r="AE138" s="243"/>
      <c r="AF138" s="243"/>
      <c r="AG138" s="243"/>
      <c r="AH138" s="243"/>
      <c r="AI138" s="243"/>
      <c r="AJ138" s="243"/>
      <c r="AK138" s="243"/>
      <c r="AL138" s="243"/>
      <c r="AM138" s="243"/>
      <c r="AN138" s="243"/>
      <c r="AO138" s="243"/>
      <c r="AP138" s="243"/>
      <c r="AQ138" s="243"/>
      <c r="AR138" s="243"/>
      <c r="AS138" s="243"/>
      <c r="AT138" s="243"/>
      <c r="AU138" s="243"/>
      <c r="AV138" s="243"/>
      <c r="AW138" s="243"/>
      <c r="AX138" s="243"/>
      <c r="AY138" s="243"/>
      <c r="AZ138" s="243"/>
      <c r="BA138" s="243"/>
      <c r="BB138" s="243"/>
      <c r="BC138" s="243"/>
      <c r="BD138" s="243"/>
      <c r="BE138" s="243"/>
      <c r="BF138" s="243"/>
      <c r="BG138" s="243"/>
      <c r="BH138" s="243"/>
      <c r="BI138" s="243"/>
      <c r="BJ138" s="243"/>
      <c r="BK138" s="243"/>
      <c r="BL138" s="243"/>
      <c r="BM138" s="243"/>
      <c r="BN138" s="243"/>
      <c r="BO138" s="243"/>
      <c r="BP138" s="243"/>
      <c r="BQ138" s="243"/>
      <c r="BR138" s="243"/>
      <c r="BS138" s="243"/>
    </row>
    <row r="139" spans="1:71" s="12" customFormat="1" ht="41.25" customHeight="1">
      <c r="A139" s="178" t="s">
        <v>56</v>
      </c>
      <c r="B139" s="178" t="str">
        <f ca="1">+UPPER(Tabla1321124[[#This Row],[DESCRIPCIÓN DE LA COMPRA O CONTRATACIÓN]])</f>
        <v>CUBOS DE IMPACTO 15</v>
      </c>
      <c r="C139" s="39" t="s">
        <v>17</v>
      </c>
      <c r="D139" s="210">
        <v>12</v>
      </c>
      <c r="E139" s="210"/>
      <c r="F139" s="210"/>
      <c r="G139" s="210"/>
      <c r="H139" s="351">
        <f>Tabla1321124[[#This Row],[CUARTO TRIMESTRE]]+Tabla1321124[[#This Row],[TERCER TRIMESTRE]]+Tabla1321124[[#This Row],[SEGUNDO TRIMESTRE]]+Tabla1321124[[#This Row],[PRIMER TRIMESTRE]]</f>
        <v>12</v>
      </c>
      <c r="I139" s="17">
        <v>399</v>
      </c>
      <c r="J139" s="72">
        <f t="shared" si="1"/>
        <v>4788</v>
      </c>
      <c r="K139" s="72"/>
      <c r="L139" s="16" t="s">
        <v>27</v>
      </c>
      <c r="M139" s="16" t="s">
        <v>22</v>
      </c>
      <c r="N139" s="16" t="s">
        <v>418</v>
      </c>
      <c r="O139" s="243"/>
      <c r="P139" s="243"/>
      <c r="Q139" s="243"/>
      <c r="R139" s="243"/>
      <c r="S139" s="243"/>
      <c r="T139" s="243"/>
      <c r="U139" s="243"/>
      <c r="V139" s="243"/>
      <c r="W139" s="243"/>
      <c r="X139" s="243"/>
      <c r="Y139" s="243"/>
      <c r="Z139" s="243"/>
      <c r="AA139" s="243"/>
      <c r="AB139" s="243"/>
      <c r="AC139" s="243"/>
      <c r="AD139" s="243"/>
      <c r="AE139" s="243"/>
      <c r="AF139" s="243"/>
      <c r="AG139" s="243"/>
      <c r="AH139" s="243"/>
      <c r="AI139" s="243"/>
      <c r="AJ139" s="243"/>
      <c r="AK139" s="243"/>
      <c r="AL139" s="243"/>
      <c r="AM139" s="243"/>
      <c r="AN139" s="243"/>
      <c r="AO139" s="243"/>
      <c r="AP139" s="243"/>
      <c r="AQ139" s="243"/>
      <c r="AR139" s="243"/>
      <c r="AS139" s="243"/>
      <c r="AT139" s="243"/>
      <c r="AU139" s="243"/>
      <c r="AV139" s="243"/>
      <c r="AW139" s="243"/>
      <c r="AX139" s="243"/>
      <c r="AY139" s="243"/>
      <c r="AZ139" s="243"/>
      <c r="BA139" s="243"/>
      <c r="BB139" s="243"/>
      <c r="BC139" s="243"/>
      <c r="BD139" s="243"/>
      <c r="BE139" s="243"/>
      <c r="BF139" s="243"/>
      <c r="BG139" s="243"/>
      <c r="BH139" s="243"/>
      <c r="BI139" s="243"/>
      <c r="BJ139" s="243"/>
      <c r="BK139" s="243"/>
      <c r="BL139" s="243"/>
      <c r="BM139" s="243"/>
      <c r="BN139" s="243"/>
      <c r="BO139" s="243"/>
      <c r="BP139" s="243"/>
      <c r="BQ139" s="243"/>
      <c r="BR139" s="243"/>
      <c r="BS139" s="243"/>
    </row>
    <row r="140" spans="1:71" s="12" customFormat="1" ht="41.25" customHeight="1">
      <c r="A140" s="178" t="s">
        <v>56</v>
      </c>
      <c r="B140" s="178" t="str">
        <f ca="1">+UPPER(Tabla1321124[[#This Row],[DESCRIPCIÓN DE LA COMPRA O CONTRATACIÓN]])</f>
        <v>CUBOS DE IMPACTO 16</v>
      </c>
      <c r="C140" s="39" t="s">
        <v>17</v>
      </c>
      <c r="D140" s="210">
        <v>12</v>
      </c>
      <c r="E140" s="210"/>
      <c r="F140" s="210"/>
      <c r="G140" s="210"/>
      <c r="H140" s="351">
        <f>Tabla1321124[[#This Row],[CUARTO TRIMESTRE]]+Tabla1321124[[#This Row],[TERCER TRIMESTRE]]+Tabla1321124[[#This Row],[SEGUNDO TRIMESTRE]]+Tabla1321124[[#This Row],[PRIMER TRIMESTRE]]</f>
        <v>12</v>
      </c>
      <c r="I140" s="17">
        <v>420</v>
      </c>
      <c r="J140" s="72">
        <f t="shared" si="1"/>
        <v>5040</v>
      </c>
      <c r="K140" s="72"/>
      <c r="L140" s="16" t="s">
        <v>27</v>
      </c>
      <c r="M140" s="16" t="s">
        <v>22</v>
      </c>
      <c r="N140" s="16" t="s">
        <v>418</v>
      </c>
      <c r="O140" s="243"/>
      <c r="P140" s="243"/>
      <c r="Q140" s="243"/>
      <c r="R140" s="243"/>
      <c r="S140" s="243"/>
      <c r="T140" s="243"/>
      <c r="U140" s="243"/>
      <c r="V140" s="243"/>
      <c r="W140" s="243"/>
      <c r="X140" s="243"/>
      <c r="Y140" s="243"/>
      <c r="Z140" s="243"/>
      <c r="AA140" s="243"/>
      <c r="AB140" s="243"/>
      <c r="AC140" s="243"/>
      <c r="AD140" s="243"/>
      <c r="AE140" s="243"/>
      <c r="AF140" s="243"/>
      <c r="AG140" s="243"/>
      <c r="AH140" s="243"/>
      <c r="AI140" s="243"/>
      <c r="AJ140" s="243"/>
      <c r="AK140" s="243"/>
      <c r="AL140" s="243"/>
      <c r="AM140" s="243"/>
      <c r="AN140" s="243"/>
      <c r="AO140" s="243"/>
      <c r="AP140" s="243"/>
      <c r="AQ140" s="243"/>
      <c r="AR140" s="243"/>
      <c r="AS140" s="243"/>
      <c r="AT140" s="243"/>
      <c r="AU140" s="243"/>
      <c r="AV140" s="243"/>
      <c r="AW140" s="243"/>
      <c r="AX140" s="243"/>
      <c r="AY140" s="243"/>
      <c r="AZ140" s="243"/>
      <c r="BA140" s="243"/>
      <c r="BB140" s="243"/>
      <c r="BC140" s="243"/>
      <c r="BD140" s="243"/>
      <c r="BE140" s="243"/>
      <c r="BF140" s="243"/>
      <c r="BG140" s="243"/>
      <c r="BH140" s="243"/>
      <c r="BI140" s="243"/>
      <c r="BJ140" s="243"/>
      <c r="BK140" s="243"/>
      <c r="BL140" s="243"/>
      <c r="BM140" s="243"/>
      <c r="BN140" s="243"/>
      <c r="BO140" s="243"/>
      <c r="BP140" s="243"/>
      <c r="BQ140" s="243"/>
      <c r="BR140" s="243"/>
      <c r="BS140" s="243"/>
    </row>
    <row r="141" spans="1:71" s="12" customFormat="1" ht="41.25" customHeight="1">
      <c r="A141" s="178" t="s">
        <v>56</v>
      </c>
      <c r="B141" s="178" t="str">
        <f ca="1">+UPPER(Tabla1321124[[#This Row],[DESCRIPCIÓN DE LA COMPRA O CONTRATACIÓN]])</f>
        <v>CUBOS DE IMPACTO 17</v>
      </c>
      <c r="C141" s="39" t="s">
        <v>17</v>
      </c>
      <c r="D141" s="210">
        <v>12</v>
      </c>
      <c r="E141" s="210"/>
      <c r="F141" s="210"/>
      <c r="G141" s="210"/>
      <c r="H141" s="351">
        <f>Tabla1321124[[#This Row],[CUARTO TRIMESTRE]]+Tabla1321124[[#This Row],[TERCER TRIMESTRE]]+Tabla1321124[[#This Row],[SEGUNDO TRIMESTRE]]+Tabla1321124[[#This Row],[PRIMER TRIMESTRE]]</f>
        <v>12</v>
      </c>
      <c r="I141" s="17">
        <v>430</v>
      </c>
      <c r="J141" s="72">
        <f t="shared" si="1"/>
        <v>5160</v>
      </c>
      <c r="K141" s="72"/>
      <c r="L141" s="16" t="s">
        <v>27</v>
      </c>
      <c r="M141" s="16" t="s">
        <v>22</v>
      </c>
      <c r="N141" s="16" t="s">
        <v>418</v>
      </c>
      <c r="O141" s="243"/>
      <c r="P141" s="243"/>
      <c r="Q141" s="243"/>
      <c r="R141" s="243"/>
      <c r="S141" s="243"/>
      <c r="T141" s="243"/>
      <c r="U141" s="243"/>
      <c r="V141" s="243"/>
      <c r="W141" s="243"/>
      <c r="X141" s="243"/>
      <c r="Y141" s="243"/>
      <c r="Z141" s="243"/>
      <c r="AA141" s="243"/>
      <c r="AB141" s="243"/>
      <c r="AC141" s="243"/>
      <c r="AD141" s="243"/>
      <c r="AE141" s="243"/>
      <c r="AF141" s="243"/>
      <c r="AG141" s="243"/>
      <c r="AH141" s="243"/>
      <c r="AI141" s="243"/>
      <c r="AJ141" s="243"/>
      <c r="AK141" s="243"/>
      <c r="AL141" s="243"/>
      <c r="AM141" s="243"/>
      <c r="AN141" s="243"/>
      <c r="AO141" s="243"/>
      <c r="AP141" s="243"/>
      <c r="AQ141" s="243"/>
      <c r="AR141" s="243"/>
      <c r="AS141" s="243"/>
      <c r="AT141" s="243"/>
      <c r="AU141" s="243"/>
      <c r="AV141" s="243"/>
      <c r="AW141" s="243"/>
      <c r="AX141" s="243"/>
      <c r="AY141" s="243"/>
      <c r="AZ141" s="243"/>
      <c r="BA141" s="243"/>
      <c r="BB141" s="243"/>
      <c r="BC141" s="243"/>
      <c r="BD141" s="243"/>
      <c r="BE141" s="243"/>
      <c r="BF141" s="243"/>
      <c r="BG141" s="243"/>
      <c r="BH141" s="243"/>
      <c r="BI141" s="243"/>
      <c r="BJ141" s="243"/>
      <c r="BK141" s="243"/>
      <c r="BL141" s="243"/>
      <c r="BM141" s="243"/>
      <c r="BN141" s="243"/>
      <c r="BO141" s="243"/>
      <c r="BP141" s="243"/>
      <c r="BQ141" s="243"/>
      <c r="BR141" s="243"/>
      <c r="BS141" s="243"/>
    </row>
    <row r="142" spans="1:71" s="12" customFormat="1" ht="41.25" customHeight="1">
      <c r="A142" s="178" t="s">
        <v>56</v>
      </c>
      <c r="B142" s="178" t="str">
        <f ca="1">+UPPER(Tabla1321124[[#This Row],[DESCRIPCIÓN DE LA COMPRA O CONTRATACIÓN]])</f>
        <v>CUBOS DE IMPACTO 18</v>
      </c>
      <c r="C142" s="39" t="s">
        <v>17</v>
      </c>
      <c r="D142" s="210">
        <v>12</v>
      </c>
      <c r="E142" s="210"/>
      <c r="F142" s="210"/>
      <c r="G142" s="210"/>
      <c r="H142" s="351">
        <f>Tabla1321124[[#This Row],[CUARTO TRIMESTRE]]+Tabla1321124[[#This Row],[TERCER TRIMESTRE]]+Tabla1321124[[#This Row],[SEGUNDO TRIMESTRE]]+Tabla1321124[[#This Row],[PRIMER TRIMESTRE]]</f>
        <v>12</v>
      </c>
      <c r="I142" s="17">
        <v>445</v>
      </c>
      <c r="J142" s="72">
        <f t="shared" si="1"/>
        <v>5340</v>
      </c>
      <c r="K142" s="72"/>
      <c r="L142" s="16" t="s">
        <v>27</v>
      </c>
      <c r="M142" s="16" t="s">
        <v>22</v>
      </c>
      <c r="N142" s="16" t="s">
        <v>418</v>
      </c>
      <c r="O142" s="243"/>
      <c r="P142" s="243"/>
      <c r="Q142" s="243"/>
      <c r="R142" s="243"/>
      <c r="S142" s="243"/>
      <c r="T142" s="243"/>
      <c r="U142" s="243"/>
      <c r="V142" s="243"/>
      <c r="W142" s="243"/>
      <c r="X142" s="243"/>
      <c r="Y142" s="243"/>
      <c r="Z142" s="243"/>
      <c r="AA142" s="243"/>
      <c r="AB142" s="243"/>
      <c r="AC142" s="243"/>
      <c r="AD142" s="243"/>
      <c r="AE142" s="243"/>
      <c r="AF142" s="243"/>
      <c r="AG142" s="243"/>
      <c r="AH142" s="243"/>
      <c r="AI142" s="243"/>
      <c r="AJ142" s="243"/>
      <c r="AK142" s="243"/>
      <c r="AL142" s="243"/>
      <c r="AM142" s="243"/>
      <c r="AN142" s="243"/>
      <c r="AO142" s="243"/>
      <c r="AP142" s="243"/>
      <c r="AQ142" s="243"/>
      <c r="AR142" s="243"/>
      <c r="AS142" s="243"/>
      <c r="AT142" s="243"/>
      <c r="AU142" s="243"/>
      <c r="AV142" s="243"/>
      <c r="AW142" s="243"/>
      <c r="AX142" s="243"/>
      <c r="AY142" s="243"/>
      <c r="AZ142" s="243"/>
      <c r="BA142" s="243"/>
      <c r="BB142" s="243"/>
      <c r="BC142" s="243"/>
      <c r="BD142" s="243"/>
      <c r="BE142" s="243"/>
      <c r="BF142" s="243"/>
      <c r="BG142" s="243"/>
      <c r="BH142" s="243"/>
      <c r="BI142" s="243"/>
      <c r="BJ142" s="243"/>
      <c r="BK142" s="243"/>
      <c r="BL142" s="243"/>
      <c r="BM142" s="243"/>
      <c r="BN142" s="243"/>
      <c r="BO142" s="243"/>
      <c r="BP142" s="243"/>
      <c r="BQ142" s="243"/>
      <c r="BR142" s="243"/>
      <c r="BS142" s="243"/>
    </row>
    <row r="143" spans="1:71" s="12" customFormat="1" ht="41.25" customHeight="1">
      <c r="A143" s="178" t="s">
        <v>56</v>
      </c>
      <c r="B143" s="178" t="str">
        <f ca="1">+UPPER(Tabla1321124[[#This Row],[DESCRIPCIÓN DE LA COMPRA O CONTRATACIÓN]])</f>
        <v>CUBOS DE IMPACTO 19</v>
      </c>
      <c r="C143" s="39" t="s">
        <v>17</v>
      </c>
      <c r="D143" s="210">
        <v>12</v>
      </c>
      <c r="E143" s="210"/>
      <c r="F143" s="210"/>
      <c r="G143" s="210"/>
      <c r="H143" s="351">
        <f>Tabla1321124[[#This Row],[CUARTO TRIMESTRE]]+Tabla1321124[[#This Row],[TERCER TRIMESTRE]]+Tabla1321124[[#This Row],[SEGUNDO TRIMESTRE]]+Tabla1321124[[#This Row],[PRIMER TRIMESTRE]]</f>
        <v>12</v>
      </c>
      <c r="I143" s="17">
        <v>550</v>
      </c>
      <c r="J143" s="72">
        <f t="shared" si="1"/>
        <v>6600</v>
      </c>
      <c r="K143" s="72"/>
      <c r="L143" s="16" t="s">
        <v>27</v>
      </c>
      <c r="M143" s="16" t="s">
        <v>22</v>
      </c>
      <c r="N143" s="16" t="s">
        <v>418</v>
      </c>
      <c r="O143" s="243"/>
      <c r="P143" s="243"/>
      <c r="Q143" s="243"/>
      <c r="R143" s="243"/>
      <c r="S143" s="243"/>
      <c r="T143" s="243"/>
      <c r="U143" s="243"/>
      <c r="V143" s="243"/>
      <c r="W143" s="243"/>
      <c r="X143" s="243"/>
      <c r="Y143" s="243"/>
      <c r="Z143" s="243"/>
      <c r="AA143" s="243"/>
      <c r="AB143" s="243"/>
      <c r="AC143" s="243"/>
      <c r="AD143" s="243"/>
      <c r="AE143" s="243"/>
      <c r="AF143" s="243"/>
      <c r="AG143" s="243"/>
      <c r="AH143" s="243"/>
      <c r="AI143" s="243"/>
      <c r="AJ143" s="243"/>
      <c r="AK143" s="243"/>
      <c r="AL143" s="243"/>
      <c r="AM143" s="243"/>
      <c r="AN143" s="243"/>
      <c r="AO143" s="243"/>
      <c r="AP143" s="243"/>
      <c r="AQ143" s="243"/>
      <c r="AR143" s="243"/>
      <c r="AS143" s="243"/>
      <c r="AT143" s="243"/>
      <c r="AU143" s="243"/>
      <c r="AV143" s="243"/>
      <c r="AW143" s="243"/>
      <c r="AX143" s="243"/>
      <c r="AY143" s="243"/>
      <c r="AZ143" s="243"/>
      <c r="BA143" s="243"/>
      <c r="BB143" s="243"/>
      <c r="BC143" s="243"/>
      <c r="BD143" s="243"/>
      <c r="BE143" s="243"/>
      <c r="BF143" s="243"/>
      <c r="BG143" s="243"/>
      <c r="BH143" s="243"/>
      <c r="BI143" s="243"/>
      <c r="BJ143" s="243"/>
      <c r="BK143" s="243"/>
      <c r="BL143" s="243"/>
      <c r="BM143" s="243"/>
      <c r="BN143" s="243"/>
      <c r="BO143" s="243"/>
      <c r="BP143" s="243"/>
      <c r="BQ143" s="243"/>
      <c r="BR143" s="243"/>
      <c r="BS143" s="243"/>
    </row>
    <row r="144" spans="1:71" s="12" customFormat="1" ht="41.25" customHeight="1">
      <c r="A144" s="178" t="s">
        <v>56</v>
      </c>
      <c r="B144" s="178" t="str">
        <f ca="1">+UPPER(Tabla1321124[[#This Row],[DESCRIPCIÓN DE LA COMPRA O CONTRATACIÓN]])</f>
        <v>CUBOS DE IMPACTO 20</v>
      </c>
      <c r="C144" s="39" t="s">
        <v>17</v>
      </c>
      <c r="D144" s="210">
        <v>12</v>
      </c>
      <c r="E144" s="210"/>
      <c r="F144" s="210"/>
      <c r="G144" s="210"/>
      <c r="H144" s="351">
        <f>Tabla1321124[[#This Row],[CUARTO TRIMESTRE]]+Tabla1321124[[#This Row],[TERCER TRIMESTRE]]+Tabla1321124[[#This Row],[SEGUNDO TRIMESTRE]]+Tabla1321124[[#This Row],[PRIMER TRIMESTRE]]</f>
        <v>12</v>
      </c>
      <c r="I144" s="17">
        <v>650</v>
      </c>
      <c r="J144" s="72">
        <f t="shared" si="1"/>
        <v>7800</v>
      </c>
      <c r="K144" s="72"/>
      <c r="L144" s="16" t="s">
        <v>27</v>
      </c>
      <c r="M144" s="16" t="s">
        <v>22</v>
      </c>
      <c r="N144" s="16" t="s">
        <v>418</v>
      </c>
      <c r="O144" s="243"/>
      <c r="P144" s="243"/>
      <c r="Q144" s="243"/>
      <c r="R144" s="243"/>
      <c r="S144" s="243"/>
      <c r="T144" s="243"/>
      <c r="U144" s="243"/>
      <c r="V144" s="243"/>
      <c r="W144" s="243"/>
      <c r="X144" s="243"/>
      <c r="Y144" s="243"/>
      <c r="Z144" s="243"/>
      <c r="AA144" s="243"/>
      <c r="AB144" s="243"/>
      <c r="AC144" s="243"/>
      <c r="AD144" s="243"/>
      <c r="AE144" s="243"/>
      <c r="AF144" s="243"/>
      <c r="AG144" s="243"/>
      <c r="AH144" s="243"/>
      <c r="AI144" s="243"/>
      <c r="AJ144" s="243"/>
      <c r="AK144" s="243"/>
      <c r="AL144" s="243"/>
      <c r="AM144" s="243"/>
      <c r="AN144" s="243"/>
      <c r="AO144" s="243"/>
      <c r="AP144" s="243"/>
      <c r="AQ144" s="243"/>
      <c r="AR144" s="243"/>
      <c r="AS144" s="243"/>
      <c r="AT144" s="243"/>
      <c r="AU144" s="243"/>
      <c r="AV144" s="243"/>
      <c r="AW144" s="243"/>
      <c r="AX144" s="243"/>
      <c r="AY144" s="243"/>
      <c r="AZ144" s="243"/>
      <c r="BA144" s="243"/>
      <c r="BB144" s="243"/>
      <c r="BC144" s="243"/>
      <c r="BD144" s="243"/>
      <c r="BE144" s="243"/>
      <c r="BF144" s="243"/>
      <c r="BG144" s="243"/>
      <c r="BH144" s="243"/>
      <c r="BI144" s="243"/>
      <c r="BJ144" s="243"/>
      <c r="BK144" s="243"/>
      <c r="BL144" s="243"/>
      <c r="BM144" s="243"/>
      <c r="BN144" s="243"/>
      <c r="BO144" s="243"/>
      <c r="BP144" s="243"/>
      <c r="BQ144" s="243"/>
      <c r="BR144" s="243"/>
      <c r="BS144" s="243"/>
    </row>
    <row r="145" spans="1:71" s="12" customFormat="1" ht="41.25" customHeight="1">
      <c r="A145" s="178" t="s">
        <v>56</v>
      </c>
      <c r="B145" s="178" t="str">
        <f ca="1">+UPPER(Tabla1321124[[#This Row],[DESCRIPCIÓN DE LA COMPRA O CONTRATACIÓN]])</f>
        <v>CUBOS DE IMPACTO 21</v>
      </c>
      <c r="C145" s="39" t="s">
        <v>17</v>
      </c>
      <c r="D145" s="210">
        <v>12</v>
      </c>
      <c r="E145" s="210"/>
      <c r="F145" s="210"/>
      <c r="G145" s="210"/>
      <c r="H145" s="351">
        <f>Tabla1321124[[#This Row],[CUARTO TRIMESTRE]]+Tabla1321124[[#This Row],[TERCER TRIMESTRE]]+Tabla1321124[[#This Row],[SEGUNDO TRIMESTRE]]+Tabla1321124[[#This Row],[PRIMER TRIMESTRE]]</f>
        <v>12</v>
      </c>
      <c r="I145" s="17">
        <v>650</v>
      </c>
      <c r="J145" s="72">
        <f t="shared" si="1"/>
        <v>7800</v>
      </c>
      <c r="K145" s="72"/>
      <c r="L145" s="16" t="s">
        <v>27</v>
      </c>
      <c r="M145" s="16" t="s">
        <v>22</v>
      </c>
      <c r="N145" s="16" t="s">
        <v>418</v>
      </c>
      <c r="O145" s="243"/>
      <c r="P145" s="243"/>
      <c r="Q145" s="243"/>
      <c r="R145" s="243"/>
      <c r="S145" s="243"/>
      <c r="T145" s="243"/>
      <c r="U145" s="243"/>
      <c r="V145" s="243"/>
      <c r="W145" s="243"/>
      <c r="X145" s="243"/>
      <c r="Y145" s="243"/>
      <c r="Z145" s="243"/>
      <c r="AA145" s="243"/>
      <c r="AB145" s="243"/>
      <c r="AC145" s="243"/>
      <c r="AD145" s="243"/>
      <c r="AE145" s="243"/>
      <c r="AF145" s="243"/>
      <c r="AG145" s="243"/>
      <c r="AH145" s="243"/>
      <c r="AI145" s="243"/>
      <c r="AJ145" s="243"/>
      <c r="AK145" s="243"/>
      <c r="AL145" s="243"/>
      <c r="AM145" s="243"/>
      <c r="AN145" s="243"/>
      <c r="AO145" s="243"/>
      <c r="AP145" s="243"/>
      <c r="AQ145" s="243"/>
      <c r="AR145" s="243"/>
      <c r="AS145" s="243"/>
      <c r="AT145" s="243"/>
      <c r="AU145" s="243"/>
      <c r="AV145" s="243"/>
      <c r="AW145" s="243"/>
      <c r="AX145" s="243"/>
      <c r="AY145" s="243"/>
      <c r="AZ145" s="243"/>
      <c r="BA145" s="243"/>
      <c r="BB145" s="243"/>
      <c r="BC145" s="243"/>
      <c r="BD145" s="243"/>
      <c r="BE145" s="243"/>
      <c r="BF145" s="243"/>
      <c r="BG145" s="243"/>
      <c r="BH145" s="243"/>
      <c r="BI145" s="243"/>
      <c r="BJ145" s="243"/>
      <c r="BK145" s="243"/>
      <c r="BL145" s="243"/>
      <c r="BM145" s="243"/>
      <c r="BN145" s="243"/>
      <c r="BO145" s="243"/>
      <c r="BP145" s="243"/>
      <c r="BQ145" s="243"/>
      <c r="BR145" s="243"/>
      <c r="BS145" s="243"/>
    </row>
    <row r="146" spans="1:71" s="12" customFormat="1" ht="41.25" customHeight="1">
      <c r="A146" s="178" t="s">
        <v>56</v>
      </c>
      <c r="B146" s="178" t="str">
        <f ca="1">+UPPER(Tabla1321124[[#This Row],[DESCRIPCIÓN DE LA COMPRA O CONTRATACIÓN]])</f>
        <v>CUBOS DE IMPACTO 22</v>
      </c>
      <c r="C146" s="39" t="s">
        <v>17</v>
      </c>
      <c r="D146" s="210">
        <v>12</v>
      </c>
      <c r="E146" s="210"/>
      <c r="F146" s="210"/>
      <c r="G146" s="210"/>
      <c r="H146" s="351">
        <f>Tabla1321124[[#This Row],[CUARTO TRIMESTRE]]+Tabla1321124[[#This Row],[TERCER TRIMESTRE]]+Tabla1321124[[#This Row],[SEGUNDO TRIMESTRE]]+Tabla1321124[[#This Row],[PRIMER TRIMESTRE]]</f>
        <v>12</v>
      </c>
      <c r="I146" s="17">
        <v>650</v>
      </c>
      <c r="J146" s="72">
        <f t="shared" si="1"/>
        <v>7800</v>
      </c>
      <c r="K146" s="72"/>
      <c r="L146" s="16" t="s">
        <v>27</v>
      </c>
      <c r="M146" s="16" t="s">
        <v>22</v>
      </c>
      <c r="N146" s="16" t="s">
        <v>418</v>
      </c>
      <c r="O146" s="243"/>
      <c r="P146" s="243"/>
      <c r="Q146" s="243"/>
      <c r="R146" s="243"/>
      <c r="S146" s="243"/>
      <c r="T146" s="243"/>
      <c r="U146" s="243"/>
      <c r="V146" s="243"/>
      <c r="W146" s="243"/>
      <c r="X146" s="243"/>
      <c r="Y146" s="243"/>
      <c r="Z146" s="243"/>
      <c r="AA146" s="243"/>
      <c r="AB146" s="243"/>
      <c r="AC146" s="243"/>
      <c r="AD146" s="243"/>
      <c r="AE146" s="243"/>
      <c r="AF146" s="243"/>
      <c r="AG146" s="243"/>
      <c r="AH146" s="243"/>
      <c r="AI146" s="243"/>
      <c r="AJ146" s="243"/>
      <c r="AK146" s="243"/>
      <c r="AL146" s="243"/>
      <c r="AM146" s="243"/>
      <c r="AN146" s="243"/>
      <c r="AO146" s="243"/>
      <c r="AP146" s="243"/>
      <c r="AQ146" s="243"/>
      <c r="AR146" s="243"/>
      <c r="AS146" s="243"/>
      <c r="AT146" s="243"/>
      <c r="AU146" s="243"/>
      <c r="AV146" s="243"/>
      <c r="AW146" s="243"/>
      <c r="AX146" s="243"/>
      <c r="AY146" s="243"/>
      <c r="AZ146" s="243"/>
      <c r="BA146" s="243"/>
      <c r="BB146" s="243"/>
      <c r="BC146" s="243"/>
      <c r="BD146" s="243"/>
      <c r="BE146" s="243"/>
      <c r="BF146" s="243"/>
      <c r="BG146" s="243"/>
      <c r="BH146" s="243"/>
      <c r="BI146" s="243"/>
      <c r="BJ146" s="243"/>
      <c r="BK146" s="243"/>
      <c r="BL146" s="243"/>
      <c r="BM146" s="243"/>
      <c r="BN146" s="243"/>
      <c r="BO146" s="243"/>
      <c r="BP146" s="243"/>
      <c r="BQ146" s="243"/>
      <c r="BR146" s="243"/>
      <c r="BS146" s="243"/>
    </row>
    <row r="147" spans="1:71" s="12" customFormat="1" ht="41.25" customHeight="1">
      <c r="A147" s="178" t="s">
        <v>56</v>
      </c>
      <c r="B147" s="178" t="str">
        <f ca="1">+UPPER(Tabla1321124[[#This Row],[DESCRIPCIÓN DE LA COMPRA O CONTRATACIÓN]])</f>
        <v>CUBOS DE IMPACTO 24</v>
      </c>
      <c r="C147" s="39" t="s">
        <v>17</v>
      </c>
      <c r="D147" s="210">
        <v>12</v>
      </c>
      <c r="E147" s="210"/>
      <c r="F147" s="210"/>
      <c r="G147" s="210"/>
      <c r="H147" s="351">
        <f>Tabla1321124[[#This Row],[CUARTO TRIMESTRE]]+Tabla1321124[[#This Row],[TERCER TRIMESTRE]]+Tabla1321124[[#This Row],[SEGUNDO TRIMESTRE]]+Tabla1321124[[#This Row],[PRIMER TRIMESTRE]]</f>
        <v>12</v>
      </c>
      <c r="I147" s="17">
        <v>750</v>
      </c>
      <c r="J147" s="72">
        <f t="shared" si="1"/>
        <v>9000</v>
      </c>
      <c r="K147" s="72"/>
      <c r="L147" s="16" t="s">
        <v>27</v>
      </c>
      <c r="M147" s="16" t="s">
        <v>22</v>
      </c>
      <c r="N147" s="16" t="s">
        <v>418</v>
      </c>
      <c r="O147" s="243"/>
      <c r="P147" s="243"/>
      <c r="Q147" s="243"/>
      <c r="R147" s="243"/>
      <c r="S147" s="243"/>
      <c r="T147" s="243"/>
      <c r="U147" s="243"/>
      <c r="V147" s="243"/>
      <c r="W147" s="243"/>
      <c r="X147" s="243"/>
      <c r="Y147" s="243"/>
      <c r="Z147" s="243"/>
      <c r="AA147" s="243"/>
      <c r="AB147" s="243"/>
      <c r="AC147" s="243"/>
      <c r="AD147" s="243"/>
      <c r="AE147" s="243"/>
      <c r="AF147" s="243"/>
      <c r="AG147" s="243"/>
      <c r="AH147" s="243"/>
      <c r="AI147" s="243"/>
      <c r="AJ147" s="243"/>
      <c r="AK147" s="243"/>
      <c r="AL147" s="243"/>
      <c r="AM147" s="243"/>
      <c r="AN147" s="243"/>
      <c r="AO147" s="243"/>
      <c r="AP147" s="243"/>
      <c r="AQ147" s="243"/>
      <c r="AR147" s="243"/>
      <c r="AS147" s="243"/>
      <c r="AT147" s="243"/>
      <c r="AU147" s="243"/>
      <c r="AV147" s="243"/>
      <c r="AW147" s="243"/>
      <c r="AX147" s="243"/>
      <c r="AY147" s="243"/>
      <c r="AZ147" s="243"/>
      <c r="BA147" s="243"/>
      <c r="BB147" s="243"/>
      <c r="BC147" s="243"/>
      <c r="BD147" s="243"/>
      <c r="BE147" s="243"/>
      <c r="BF147" s="243"/>
      <c r="BG147" s="243"/>
      <c r="BH147" s="243"/>
      <c r="BI147" s="243"/>
      <c r="BJ147" s="243"/>
      <c r="BK147" s="243"/>
      <c r="BL147" s="243"/>
      <c r="BM147" s="243"/>
      <c r="BN147" s="243"/>
      <c r="BO147" s="243"/>
      <c r="BP147" s="243"/>
      <c r="BQ147" s="243"/>
      <c r="BR147" s="243"/>
      <c r="BS147" s="243"/>
    </row>
    <row r="148" spans="1:71" s="12" customFormat="1" ht="41.25" customHeight="1">
      <c r="A148" s="178" t="s">
        <v>56</v>
      </c>
      <c r="B148" s="178" t="str">
        <f ca="1">+UPPER(Tabla1321124[[#This Row],[DESCRIPCIÓN DE LA COMPRA O CONTRATACIÓN]])</f>
        <v xml:space="preserve">CUBOS DE IMPACTO 1 </v>
      </c>
      <c r="C148" s="39" t="s">
        <v>17</v>
      </c>
      <c r="D148" s="210">
        <v>12</v>
      </c>
      <c r="E148" s="210"/>
      <c r="F148" s="210"/>
      <c r="G148" s="210"/>
      <c r="H148" s="351">
        <f>Tabla1321124[[#This Row],[CUARTO TRIMESTRE]]+Tabla1321124[[#This Row],[TERCER TRIMESTRE]]+Tabla1321124[[#This Row],[SEGUNDO TRIMESTRE]]+Tabla1321124[[#This Row],[PRIMER TRIMESTRE]]</f>
        <v>12</v>
      </c>
      <c r="I148" s="17">
        <v>650</v>
      </c>
      <c r="J148" s="72">
        <f t="shared" si="1"/>
        <v>7800</v>
      </c>
      <c r="K148" s="72"/>
      <c r="L148" s="16" t="s">
        <v>27</v>
      </c>
      <c r="M148" s="16" t="s">
        <v>22</v>
      </c>
      <c r="N148" s="16" t="s">
        <v>418</v>
      </c>
      <c r="O148" s="243"/>
      <c r="P148" s="243"/>
      <c r="Q148" s="243"/>
      <c r="R148" s="243"/>
      <c r="S148" s="243"/>
      <c r="T148" s="243"/>
      <c r="U148" s="243"/>
      <c r="V148" s="243"/>
      <c r="W148" s="243"/>
      <c r="X148" s="243"/>
      <c r="Y148" s="243"/>
      <c r="Z148" s="243"/>
      <c r="AA148" s="243"/>
      <c r="AB148" s="243"/>
      <c r="AC148" s="243"/>
      <c r="AD148" s="243"/>
      <c r="AE148" s="243"/>
      <c r="AF148" s="243"/>
      <c r="AG148" s="243"/>
      <c r="AH148" s="243"/>
      <c r="AI148" s="243"/>
      <c r="AJ148" s="243"/>
      <c r="AK148" s="243"/>
      <c r="AL148" s="243"/>
      <c r="AM148" s="243"/>
      <c r="AN148" s="243"/>
      <c r="AO148" s="243"/>
      <c r="AP148" s="243"/>
      <c r="AQ148" s="243"/>
      <c r="AR148" s="243"/>
      <c r="AS148" s="243"/>
      <c r="AT148" s="243"/>
      <c r="AU148" s="243"/>
      <c r="AV148" s="243"/>
      <c r="AW148" s="243"/>
      <c r="AX148" s="243"/>
      <c r="AY148" s="243"/>
      <c r="AZ148" s="243"/>
      <c r="BA148" s="243"/>
      <c r="BB148" s="243"/>
      <c r="BC148" s="243"/>
      <c r="BD148" s="243"/>
      <c r="BE148" s="243"/>
      <c r="BF148" s="243"/>
      <c r="BG148" s="243"/>
      <c r="BH148" s="243"/>
      <c r="BI148" s="243"/>
      <c r="BJ148" s="243"/>
      <c r="BK148" s="243"/>
      <c r="BL148" s="243"/>
      <c r="BM148" s="243"/>
      <c r="BN148" s="243"/>
      <c r="BO148" s="243"/>
      <c r="BP148" s="243"/>
      <c r="BQ148" s="243"/>
      <c r="BR148" s="243"/>
      <c r="BS148" s="243"/>
    </row>
    <row r="149" spans="1:71" s="12" customFormat="1" ht="41.25" customHeight="1">
      <c r="A149" s="178" t="s">
        <v>56</v>
      </c>
      <c r="B149" s="178" t="str">
        <f ca="1">+UPPER(Tabla1321124[[#This Row],[DESCRIPCIÓN DE LA COMPRA O CONTRATACIÓN]])</f>
        <v>CUBOS DE IMPACTO 1 1/2</v>
      </c>
      <c r="C149" s="39" t="s">
        <v>17</v>
      </c>
      <c r="D149" s="210">
        <v>12</v>
      </c>
      <c r="E149" s="210"/>
      <c r="F149" s="210"/>
      <c r="G149" s="210"/>
      <c r="H149" s="351">
        <f>Tabla1321124[[#This Row],[CUARTO TRIMESTRE]]+Tabla1321124[[#This Row],[TERCER TRIMESTRE]]+Tabla1321124[[#This Row],[SEGUNDO TRIMESTRE]]+Tabla1321124[[#This Row],[PRIMER TRIMESTRE]]</f>
        <v>12</v>
      </c>
      <c r="I149" s="17">
        <v>750</v>
      </c>
      <c r="J149" s="72">
        <f t="shared" si="1"/>
        <v>9000</v>
      </c>
      <c r="K149" s="72"/>
      <c r="L149" s="16" t="s">
        <v>27</v>
      </c>
      <c r="M149" s="16" t="s">
        <v>22</v>
      </c>
      <c r="N149" s="16" t="s">
        <v>418</v>
      </c>
      <c r="O149" s="243"/>
      <c r="P149" s="243"/>
      <c r="Q149" s="243"/>
      <c r="R149" s="243"/>
      <c r="S149" s="243"/>
      <c r="T149" s="243"/>
      <c r="U149" s="243"/>
      <c r="V149" s="243"/>
      <c r="W149" s="243"/>
      <c r="X149" s="243"/>
      <c r="Y149" s="243"/>
      <c r="Z149" s="243"/>
      <c r="AA149" s="243"/>
      <c r="AB149" s="243"/>
      <c r="AC149" s="243"/>
      <c r="AD149" s="243"/>
      <c r="AE149" s="243"/>
      <c r="AF149" s="243"/>
      <c r="AG149" s="243"/>
      <c r="AH149" s="243"/>
      <c r="AI149" s="243"/>
      <c r="AJ149" s="243"/>
      <c r="AK149" s="243"/>
      <c r="AL149" s="243"/>
      <c r="AM149" s="243"/>
      <c r="AN149" s="243"/>
      <c r="AO149" s="243"/>
      <c r="AP149" s="243"/>
      <c r="AQ149" s="243"/>
      <c r="AR149" s="243"/>
      <c r="AS149" s="243"/>
      <c r="AT149" s="243"/>
      <c r="AU149" s="243"/>
      <c r="AV149" s="243"/>
      <c r="AW149" s="243"/>
      <c r="AX149" s="243"/>
      <c r="AY149" s="243"/>
      <c r="AZ149" s="243"/>
      <c r="BA149" s="243"/>
      <c r="BB149" s="243"/>
      <c r="BC149" s="243"/>
      <c r="BD149" s="243"/>
      <c r="BE149" s="243"/>
      <c r="BF149" s="243"/>
      <c r="BG149" s="243"/>
      <c r="BH149" s="243"/>
      <c r="BI149" s="243"/>
      <c r="BJ149" s="243"/>
      <c r="BK149" s="243"/>
      <c r="BL149" s="243"/>
      <c r="BM149" s="243"/>
      <c r="BN149" s="243"/>
      <c r="BO149" s="243"/>
      <c r="BP149" s="243"/>
      <c r="BQ149" s="243"/>
      <c r="BR149" s="243"/>
      <c r="BS149" s="243"/>
    </row>
    <row r="150" spans="1:71" s="12" customFormat="1" ht="41.25" customHeight="1">
      <c r="A150" s="178" t="s">
        <v>56</v>
      </c>
      <c r="B150" s="178" t="str">
        <f ca="1">+UPPER(Tabla1321124[[#This Row],[DESCRIPCIÓN DE LA COMPRA O CONTRATACIÓN]])</f>
        <v>CUBOS DE IMPACTO 1 3/4</v>
      </c>
      <c r="C150" s="39" t="s">
        <v>17</v>
      </c>
      <c r="D150" s="210">
        <v>12</v>
      </c>
      <c r="E150" s="210"/>
      <c r="F150" s="210"/>
      <c r="G150" s="210"/>
      <c r="H150" s="351">
        <f>Tabla1321124[[#This Row],[CUARTO TRIMESTRE]]+Tabla1321124[[#This Row],[TERCER TRIMESTRE]]+Tabla1321124[[#This Row],[SEGUNDO TRIMESTRE]]+Tabla1321124[[#This Row],[PRIMER TRIMESTRE]]</f>
        <v>12</v>
      </c>
      <c r="I150" s="17">
        <v>725</v>
      </c>
      <c r="J150" s="72">
        <f t="shared" si="1"/>
        <v>8700</v>
      </c>
      <c r="K150" s="72"/>
      <c r="L150" s="16" t="s">
        <v>27</v>
      </c>
      <c r="M150" s="16" t="s">
        <v>22</v>
      </c>
      <c r="N150" s="16" t="s">
        <v>418</v>
      </c>
      <c r="O150" s="243"/>
      <c r="P150" s="243"/>
      <c r="Q150" s="243"/>
      <c r="R150" s="243"/>
      <c r="S150" s="243"/>
      <c r="T150" s="243"/>
      <c r="U150" s="243"/>
      <c r="V150" s="243"/>
      <c r="W150" s="243"/>
      <c r="X150" s="243"/>
      <c r="Y150" s="243"/>
      <c r="Z150" s="243"/>
      <c r="AA150" s="243"/>
      <c r="AB150" s="243"/>
      <c r="AC150" s="243"/>
      <c r="AD150" s="243"/>
      <c r="AE150" s="243"/>
      <c r="AF150" s="243"/>
      <c r="AG150" s="243"/>
      <c r="AH150" s="243"/>
      <c r="AI150" s="243"/>
      <c r="AJ150" s="243"/>
      <c r="AK150" s="243"/>
      <c r="AL150" s="243"/>
      <c r="AM150" s="243"/>
      <c r="AN150" s="243"/>
      <c r="AO150" s="243"/>
      <c r="AP150" s="243"/>
      <c r="AQ150" s="243"/>
      <c r="AR150" s="243"/>
      <c r="AS150" s="243"/>
      <c r="AT150" s="243"/>
      <c r="AU150" s="243"/>
      <c r="AV150" s="243"/>
      <c r="AW150" s="243"/>
      <c r="AX150" s="243"/>
      <c r="AY150" s="243"/>
      <c r="AZ150" s="243"/>
      <c r="BA150" s="243"/>
      <c r="BB150" s="243"/>
      <c r="BC150" s="243"/>
      <c r="BD150" s="243"/>
      <c r="BE150" s="243"/>
      <c r="BF150" s="243"/>
      <c r="BG150" s="243"/>
      <c r="BH150" s="243"/>
      <c r="BI150" s="243"/>
      <c r="BJ150" s="243"/>
      <c r="BK150" s="243"/>
      <c r="BL150" s="243"/>
      <c r="BM150" s="243"/>
      <c r="BN150" s="243"/>
      <c r="BO150" s="243"/>
      <c r="BP150" s="243"/>
      <c r="BQ150" s="243"/>
      <c r="BR150" s="243"/>
      <c r="BS150" s="243"/>
    </row>
    <row r="151" spans="1:71" s="12" customFormat="1" ht="41.25" customHeight="1">
      <c r="A151" s="178" t="s">
        <v>56</v>
      </c>
      <c r="B151" s="178" t="str">
        <f ca="1">+UPPER(Tabla1321124[[#This Row],[DESCRIPCIÓN DE LA COMPRA O CONTRATACIÓN]])</f>
        <v>CUBOS DE IMPACTO 1/2</v>
      </c>
      <c r="C151" s="39" t="s">
        <v>17</v>
      </c>
      <c r="D151" s="210">
        <v>12</v>
      </c>
      <c r="E151" s="210"/>
      <c r="F151" s="210"/>
      <c r="G151" s="210"/>
      <c r="H151" s="351">
        <f>Tabla1321124[[#This Row],[CUARTO TRIMESTRE]]+Tabla1321124[[#This Row],[TERCER TRIMESTRE]]+Tabla1321124[[#This Row],[SEGUNDO TRIMESTRE]]+Tabla1321124[[#This Row],[PRIMER TRIMESTRE]]</f>
        <v>12</v>
      </c>
      <c r="I151" s="17">
        <v>450</v>
      </c>
      <c r="J151" s="72">
        <f t="shared" si="1"/>
        <v>5400</v>
      </c>
      <c r="K151" s="72"/>
      <c r="L151" s="16" t="s">
        <v>27</v>
      </c>
      <c r="M151" s="16" t="s">
        <v>22</v>
      </c>
      <c r="N151" s="16" t="s">
        <v>418</v>
      </c>
      <c r="O151" s="243"/>
      <c r="P151" s="243"/>
      <c r="Q151" s="243"/>
      <c r="R151" s="243"/>
      <c r="S151" s="243"/>
      <c r="T151" s="243"/>
      <c r="U151" s="243"/>
      <c r="V151" s="243"/>
      <c r="W151" s="243"/>
      <c r="X151" s="243"/>
      <c r="Y151" s="243"/>
      <c r="Z151" s="243"/>
      <c r="AA151" s="243"/>
      <c r="AB151" s="243"/>
      <c r="AC151" s="243"/>
      <c r="AD151" s="243"/>
      <c r="AE151" s="243"/>
      <c r="AF151" s="243"/>
      <c r="AG151" s="243"/>
      <c r="AH151" s="243"/>
      <c r="AI151" s="243"/>
      <c r="AJ151" s="243"/>
      <c r="AK151" s="243"/>
      <c r="AL151" s="243"/>
      <c r="AM151" s="243"/>
      <c r="AN151" s="243"/>
      <c r="AO151" s="243"/>
      <c r="AP151" s="243"/>
      <c r="AQ151" s="243"/>
      <c r="AR151" s="243"/>
      <c r="AS151" s="243"/>
      <c r="AT151" s="243"/>
      <c r="AU151" s="243"/>
      <c r="AV151" s="243"/>
      <c r="AW151" s="243"/>
      <c r="AX151" s="243"/>
      <c r="AY151" s="243"/>
      <c r="AZ151" s="243"/>
      <c r="BA151" s="243"/>
      <c r="BB151" s="243"/>
      <c r="BC151" s="243"/>
      <c r="BD151" s="243"/>
      <c r="BE151" s="243"/>
      <c r="BF151" s="243"/>
      <c r="BG151" s="243"/>
      <c r="BH151" s="243"/>
      <c r="BI151" s="243"/>
      <c r="BJ151" s="243"/>
      <c r="BK151" s="243"/>
      <c r="BL151" s="243"/>
      <c r="BM151" s="243"/>
      <c r="BN151" s="243"/>
      <c r="BO151" s="243"/>
      <c r="BP151" s="243"/>
      <c r="BQ151" s="243"/>
      <c r="BR151" s="243"/>
      <c r="BS151" s="243"/>
    </row>
    <row r="152" spans="1:71" s="12" customFormat="1" ht="41.25" customHeight="1">
      <c r="A152" s="178" t="s">
        <v>56</v>
      </c>
      <c r="B152" s="178" t="str">
        <f ca="1">+UPPER(Tabla1321124[[#This Row],[DESCRIPCIÓN DE LA COMPRA O CONTRATACIÓN]])</f>
        <v>CUBOS DE IMPACTO 3/4</v>
      </c>
      <c r="C152" s="39" t="s">
        <v>17</v>
      </c>
      <c r="D152" s="210">
        <v>12</v>
      </c>
      <c r="E152" s="210"/>
      <c r="F152" s="210"/>
      <c r="G152" s="210"/>
      <c r="H152" s="351">
        <f>Tabla1321124[[#This Row],[CUARTO TRIMESTRE]]+Tabla1321124[[#This Row],[TERCER TRIMESTRE]]+Tabla1321124[[#This Row],[SEGUNDO TRIMESTRE]]+Tabla1321124[[#This Row],[PRIMER TRIMESTRE]]</f>
        <v>12</v>
      </c>
      <c r="I152" s="17">
        <v>485</v>
      </c>
      <c r="J152" s="72">
        <f t="shared" si="1"/>
        <v>5820</v>
      </c>
      <c r="K152" s="72"/>
      <c r="L152" s="16" t="s">
        <v>27</v>
      </c>
      <c r="M152" s="16" t="s">
        <v>22</v>
      </c>
      <c r="N152" s="16" t="s">
        <v>418</v>
      </c>
      <c r="O152" s="243"/>
      <c r="P152" s="243"/>
      <c r="Q152" s="243"/>
      <c r="R152" s="243"/>
      <c r="S152" s="243"/>
      <c r="T152" s="243"/>
      <c r="U152" s="243"/>
      <c r="V152" s="243"/>
      <c r="W152" s="243"/>
      <c r="X152" s="243"/>
      <c r="Y152" s="243"/>
      <c r="Z152" s="243"/>
      <c r="AA152" s="243"/>
      <c r="AB152" s="243"/>
      <c r="AC152" s="243"/>
      <c r="AD152" s="243"/>
      <c r="AE152" s="243"/>
      <c r="AF152" s="243"/>
      <c r="AG152" s="243"/>
      <c r="AH152" s="243"/>
      <c r="AI152" s="243"/>
      <c r="AJ152" s="243"/>
      <c r="AK152" s="243"/>
      <c r="AL152" s="243"/>
      <c r="AM152" s="243"/>
      <c r="AN152" s="243"/>
      <c r="AO152" s="243"/>
      <c r="AP152" s="243"/>
      <c r="AQ152" s="243"/>
      <c r="AR152" s="243"/>
      <c r="AS152" s="243"/>
      <c r="AT152" s="243"/>
      <c r="AU152" s="243"/>
      <c r="AV152" s="243"/>
      <c r="AW152" s="243"/>
      <c r="AX152" s="243"/>
      <c r="AY152" s="243"/>
      <c r="AZ152" s="243"/>
      <c r="BA152" s="243"/>
      <c r="BB152" s="243"/>
      <c r="BC152" s="243"/>
      <c r="BD152" s="243"/>
      <c r="BE152" s="243"/>
      <c r="BF152" s="243"/>
      <c r="BG152" s="243"/>
      <c r="BH152" s="243"/>
      <c r="BI152" s="243"/>
      <c r="BJ152" s="243"/>
      <c r="BK152" s="243"/>
      <c r="BL152" s="243"/>
      <c r="BM152" s="243"/>
      <c r="BN152" s="243"/>
      <c r="BO152" s="243"/>
      <c r="BP152" s="243"/>
      <c r="BQ152" s="243"/>
      <c r="BR152" s="243"/>
      <c r="BS152" s="243"/>
    </row>
    <row r="153" spans="1:71" s="12" customFormat="1" ht="41.25" customHeight="1">
      <c r="A153" s="178" t="s">
        <v>56</v>
      </c>
      <c r="B153" s="178" t="str">
        <f ca="1">+UPPER(Tabla1321124[[#This Row],[DESCRIPCIÓN DE LA COMPRA O CONTRATACIÓN]])</f>
        <v>CUBOS DE IMPACTO 9/16</v>
      </c>
      <c r="C153" s="39" t="s">
        <v>17</v>
      </c>
      <c r="D153" s="210">
        <v>12</v>
      </c>
      <c r="E153" s="210"/>
      <c r="F153" s="210"/>
      <c r="G153" s="210"/>
      <c r="H153" s="351">
        <f>Tabla1321124[[#This Row],[CUARTO TRIMESTRE]]+Tabla1321124[[#This Row],[TERCER TRIMESTRE]]+Tabla1321124[[#This Row],[SEGUNDO TRIMESTRE]]+Tabla1321124[[#This Row],[PRIMER TRIMESTRE]]</f>
        <v>12</v>
      </c>
      <c r="I153" s="17">
        <v>435</v>
      </c>
      <c r="J153" s="72">
        <f t="shared" si="1"/>
        <v>5220</v>
      </c>
      <c r="K153" s="389">
        <f>SUM(J122:J153)</f>
        <v>4452849.4800000004</v>
      </c>
      <c r="L153" s="16" t="s">
        <v>27</v>
      </c>
      <c r="M153" s="16" t="s">
        <v>22</v>
      </c>
      <c r="N153" s="16" t="s">
        <v>418</v>
      </c>
      <c r="O153" s="243"/>
      <c r="P153" s="243"/>
      <c r="Q153" s="243"/>
      <c r="R153" s="243"/>
      <c r="S153" s="243"/>
      <c r="T153" s="243"/>
      <c r="U153" s="243"/>
      <c r="V153" s="243"/>
      <c r="W153" s="243"/>
      <c r="X153" s="243"/>
      <c r="Y153" s="243"/>
      <c r="Z153" s="243"/>
      <c r="AA153" s="243"/>
      <c r="AB153" s="243"/>
      <c r="AC153" s="243"/>
      <c r="AD153" s="243"/>
      <c r="AE153" s="243"/>
      <c r="AF153" s="243"/>
      <c r="AG153" s="243"/>
      <c r="AH153" s="243"/>
      <c r="AI153" s="243"/>
      <c r="AJ153" s="243"/>
      <c r="AK153" s="243"/>
      <c r="AL153" s="243"/>
      <c r="AM153" s="243"/>
      <c r="AN153" s="243"/>
      <c r="AO153" s="243"/>
      <c r="AP153" s="243"/>
      <c r="AQ153" s="243"/>
      <c r="AR153" s="243"/>
      <c r="AS153" s="243"/>
      <c r="AT153" s="243"/>
      <c r="AU153" s="243"/>
      <c r="AV153" s="243"/>
      <c r="AW153" s="243"/>
      <c r="AX153" s="243"/>
      <c r="AY153" s="243"/>
      <c r="AZ153" s="243"/>
      <c r="BA153" s="243"/>
      <c r="BB153" s="243"/>
      <c r="BC153" s="243"/>
      <c r="BD153" s="243"/>
      <c r="BE153" s="243"/>
      <c r="BF153" s="243"/>
      <c r="BG153" s="243"/>
      <c r="BH153" s="243"/>
      <c r="BI153" s="243"/>
      <c r="BJ153" s="243"/>
      <c r="BK153" s="243"/>
      <c r="BL153" s="243"/>
      <c r="BM153" s="243"/>
      <c r="BN153" s="243"/>
      <c r="BO153" s="243"/>
      <c r="BP153" s="243"/>
      <c r="BQ153" s="243"/>
      <c r="BR153" s="243"/>
      <c r="BS153" s="243"/>
    </row>
    <row r="154" spans="1:71" s="12" customFormat="1" ht="41.25" customHeight="1">
      <c r="A154" s="538" t="s">
        <v>56</v>
      </c>
      <c r="B154" s="76" t="str">
        <f ca="1">+UPPER(Tabla1321124[[#This Row],[DESCRIPCIÓN DE LA COMPRA O CONTRATACIÓN]])</f>
        <v/>
      </c>
      <c r="C154" s="237"/>
      <c r="D154" s="237"/>
      <c r="E154" s="237"/>
      <c r="F154" s="237"/>
      <c r="G154" s="237"/>
      <c r="H154" s="238"/>
      <c r="I154" s="238"/>
      <c r="J154" s="383"/>
      <c r="K154" s="25">
        <f>SUM(J122:J153)</f>
        <v>4452849.4800000004</v>
      </c>
      <c r="L154" s="383"/>
      <c r="M154" s="383"/>
      <c r="N154" s="383"/>
      <c r="O154" s="243"/>
      <c r="P154" s="243"/>
      <c r="Q154" s="243"/>
      <c r="R154" s="243"/>
      <c r="S154" s="243"/>
      <c r="T154" s="243"/>
      <c r="U154" s="243"/>
      <c r="V154" s="243"/>
      <c r="W154" s="243"/>
      <c r="X154" s="243"/>
      <c r="Y154" s="243"/>
      <c r="Z154" s="243"/>
      <c r="AA154" s="243"/>
      <c r="AB154" s="243"/>
      <c r="AC154" s="243"/>
      <c r="AD154" s="243"/>
      <c r="AE154" s="243"/>
      <c r="AF154" s="243"/>
      <c r="AG154" s="243"/>
      <c r="AH154" s="243"/>
      <c r="AI154" s="243"/>
      <c r="AJ154" s="243"/>
      <c r="AK154" s="243"/>
      <c r="AL154" s="243"/>
      <c r="AM154" s="243"/>
      <c r="AN154" s="243"/>
      <c r="AO154" s="243"/>
      <c r="AP154" s="243"/>
      <c r="AQ154" s="243"/>
      <c r="AR154" s="243"/>
      <c r="AS154" s="243"/>
      <c r="AT154" s="243"/>
      <c r="AU154" s="243"/>
      <c r="AV154" s="243"/>
      <c r="AW154" s="243"/>
      <c r="AX154" s="243"/>
      <c r="AY154" s="243"/>
      <c r="AZ154" s="243"/>
      <c r="BA154" s="243"/>
      <c r="BB154" s="243"/>
      <c r="BC154" s="243"/>
      <c r="BD154" s="243"/>
      <c r="BE154" s="243"/>
      <c r="BF154" s="243"/>
      <c r="BG154" s="243"/>
      <c r="BH154" s="243"/>
      <c r="BI154" s="243"/>
      <c r="BJ154" s="243"/>
      <c r="BK154" s="243"/>
      <c r="BL154" s="243"/>
      <c r="BM154" s="243"/>
      <c r="BN154" s="243"/>
      <c r="BO154" s="243"/>
      <c r="BP154" s="243"/>
      <c r="BQ154" s="243"/>
      <c r="BR154" s="243"/>
      <c r="BS154" s="243"/>
    </row>
    <row r="155" spans="1:71" s="12" customFormat="1" ht="41.25" customHeight="1">
      <c r="A155" s="178" t="s">
        <v>62</v>
      </c>
      <c r="B155" s="178" t="str">
        <f ca="1">+UPPER(Tabla1321124[[#This Row],[DESCRIPCIÓN DE LA COMPRA O CONTRATACIÓN]])</f>
        <v>ALICATE DE PRESION</v>
      </c>
      <c r="C155" s="39" t="s">
        <v>69</v>
      </c>
      <c r="D155" s="210">
        <f>26+35</f>
        <v>61</v>
      </c>
      <c r="E155" s="210">
        <f>5+3</f>
        <v>8</v>
      </c>
      <c r="F155" s="210">
        <f>30+13</f>
        <v>43</v>
      </c>
      <c r="G155" s="210">
        <f>5+3</f>
        <v>8</v>
      </c>
      <c r="H155" s="249">
        <f>SUM(Tabla1321124[[#This Row],[PRIMER TRIMESTRE]:[CUARTO TRIMESTRE]])</f>
        <v>120</v>
      </c>
      <c r="I155" s="17">
        <v>320.89999999999998</v>
      </c>
      <c r="J155" s="17">
        <f>+Tabla1321124[[#This Row],[CANTIDAD TOTAL]]*Tabla1321124[[#This Row],[PRECIO UNITARIO ESTIMADO]]</f>
        <v>38508</v>
      </c>
      <c r="K155" s="17"/>
      <c r="L155" s="16" t="s">
        <v>27</v>
      </c>
      <c r="M155" s="16" t="s">
        <v>22</v>
      </c>
      <c r="N155" s="16" t="s">
        <v>418</v>
      </c>
      <c r="O155" s="243"/>
      <c r="P155" s="243"/>
      <c r="Q155" s="243"/>
      <c r="R155" s="243"/>
      <c r="S155" s="243"/>
      <c r="T155" s="243"/>
      <c r="U155" s="243"/>
      <c r="V155" s="243"/>
      <c r="W155" s="243"/>
      <c r="X155" s="243"/>
      <c r="Y155" s="243"/>
      <c r="Z155" s="243"/>
      <c r="AA155" s="243"/>
      <c r="AB155" s="243"/>
      <c r="AC155" s="243"/>
      <c r="AD155" s="243"/>
      <c r="AE155" s="243"/>
      <c r="AF155" s="243"/>
      <c r="AG155" s="243"/>
      <c r="AH155" s="243"/>
      <c r="AI155" s="243"/>
      <c r="AJ155" s="243"/>
      <c r="AK155" s="243"/>
      <c r="AL155" s="243"/>
      <c r="AM155" s="243"/>
      <c r="AN155" s="243"/>
      <c r="AO155" s="243"/>
      <c r="AP155" s="243"/>
      <c r="AQ155" s="243"/>
      <c r="AR155" s="243"/>
      <c r="AS155" s="243"/>
      <c r="AT155" s="243"/>
      <c r="AU155" s="243"/>
      <c r="AV155" s="243"/>
      <c r="AW155" s="243"/>
      <c r="AX155" s="243"/>
      <c r="AY155" s="243"/>
      <c r="AZ155" s="243"/>
      <c r="BA155" s="243"/>
      <c r="BB155" s="243"/>
      <c r="BC155" s="243"/>
      <c r="BD155" s="243"/>
      <c r="BE155" s="243"/>
      <c r="BF155" s="243"/>
      <c r="BG155" s="243"/>
      <c r="BH155" s="243"/>
      <c r="BI155" s="243"/>
      <c r="BJ155" s="243"/>
      <c r="BK155" s="243"/>
      <c r="BL155" s="243"/>
      <c r="BM155" s="243"/>
      <c r="BN155" s="243"/>
      <c r="BO155" s="243"/>
      <c r="BP155" s="243"/>
      <c r="BQ155" s="243"/>
      <c r="BR155" s="243"/>
      <c r="BS155" s="243"/>
    </row>
    <row r="156" spans="1:71" s="12" customFormat="1" ht="41.25" customHeight="1">
      <c r="A156" s="178" t="s">
        <v>62</v>
      </c>
      <c r="B156" s="178" t="str">
        <f ca="1">+UPPER(Tabla1321124[[#This Row],[DESCRIPCIÓN DE LA COMPRA O CONTRATACIÓN]])</f>
        <v>ALICATE MECANICO</v>
      </c>
      <c r="C156" s="39" t="s">
        <v>69</v>
      </c>
      <c r="D156" s="210">
        <f>26+13</f>
        <v>39</v>
      </c>
      <c r="E156" s="210">
        <f>6+23</f>
        <v>29</v>
      </c>
      <c r="F156" s="210">
        <f>30+3</f>
        <v>33</v>
      </c>
      <c r="G156" s="210">
        <f>5+23</f>
        <v>28</v>
      </c>
      <c r="H156" s="249">
        <f>SUM(Tabla1321124[[#This Row],[PRIMER TRIMESTRE]:[CUARTO TRIMESTRE]])</f>
        <v>129</v>
      </c>
      <c r="I156" s="17">
        <v>561.17999999999995</v>
      </c>
      <c r="J156" s="17">
        <f>+Tabla1321124[[#This Row],[CANTIDAD TOTAL]]*Tabla1321124[[#This Row],[PRECIO UNITARIO ESTIMADO]]</f>
        <v>72392.219999999987</v>
      </c>
      <c r="K156" s="17"/>
      <c r="L156" s="16" t="s">
        <v>27</v>
      </c>
      <c r="M156" s="16" t="s">
        <v>22</v>
      </c>
      <c r="N156" s="16" t="s">
        <v>418</v>
      </c>
      <c r="O156" s="243"/>
      <c r="P156" s="243"/>
      <c r="Q156" s="243"/>
      <c r="R156" s="243"/>
      <c r="S156" s="243"/>
      <c r="T156" s="243"/>
      <c r="U156" s="243"/>
      <c r="V156" s="243"/>
      <c r="W156" s="243"/>
      <c r="X156" s="243"/>
      <c r="Y156" s="243"/>
      <c r="Z156" s="243"/>
      <c r="AA156" s="243"/>
      <c r="AB156" s="243"/>
      <c r="AC156" s="243"/>
      <c r="AD156" s="243"/>
      <c r="AE156" s="243"/>
      <c r="AF156" s="243"/>
      <c r="AG156" s="243"/>
      <c r="AH156" s="243"/>
      <c r="AI156" s="243"/>
      <c r="AJ156" s="243"/>
      <c r="AK156" s="243"/>
      <c r="AL156" s="243"/>
      <c r="AM156" s="243"/>
      <c r="AN156" s="243"/>
      <c r="AO156" s="243"/>
      <c r="AP156" s="243"/>
      <c r="AQ156" s="243"/>
      <c r="AR156" s="243"/>
      <c r="AS156" s="243"/>
      <c r="AT156" s="243"/>
      <c r="AU156" s="243"/>
      <c r="AV156" s="243"/>
      <c r="AW156" s="243"/>
      <c r="AX156" s="243"/>
      <c r="AY156" s="243"/>
      <c r="AZ156" s="243"/>
      <c r="BA156" s="243"/>
      <c r="BB156" s="243"/>
      <c r="BC156" s="243"/>
      <c r="BD156" s="243"/>
      <c r="BE156" s="243"/>
      <c r="BF156" s="243"/>
      <c r="BG156" s="243"/>
      <c r="BH156" s="243"/>
      <c r="BI156" s="243"/>
      <c r="BJ156" s="243"/>
      <c r="BK156" s="243"/>
      <c r="BL156" s="243"/>
      <c r="BM156" s="243"/>
      <c r="BN156" s="243"/>
      <c r="BO156" s="243"/>
      <c r="BP156" s="243"/>
      <c r="BQ156" s="243"/>
      <c r="BR156" s="243"/>
      <c r="BS156" s="243"/>
    </row>
    <row r="157" spans="1:71" s="12" customFormat="1" ht="41.25" customHeight="1">
      <c r="A157" s="178" t="s">
        <v>62</v>
      </c>
      <c r="B157" s="178" t="str">
        <f ca="1">+UPPER(Tabla1321124[[#This Row],[DESCRIPCIÓN DE LA COMPRA O CONTRATACIÓN]])</f>
        <v>ALICATE PARA ELECTRICISTA</v>
      </c>
      <c r="C157" s="39" t="s">
        <v>69</v>
      </c>
      <c r="D157" s="210">
        <f>18+6</f>
        <v>24</v>
      </c>
      <c r="E157" s="210">
        <v>5</v>
      </c>
      <c r="F157" s="210">
        <f>22+2</f>
        <v>24</v>
      </c>
      <c r="G157" s="210">
        <v>5</v>
      </c>
      <c r="H157" s="249">
        <f>SUM(Tabla1321124[[#This Row],[PRIMER TRIMESTRE]:[CUARTO TRIMESTRE]])</f>
        <v>58</v>
      </c>
      <c r="I157" s="17">
        <v>1900</v>
      </c>
      <c r="J157" s="17">
        <f>+Tabla1321124[[#This Row],[CANTIDAD TOTAL]]*Tabla1321124[[#This Row],[PRECIO UNITARIO ESTIMADO]]</f>
        <v>110200</v>
      </c>
      <c r="K157" s="17"/>
      <c r="L157" s="16" t="s">
        <v>27</v>
      </c>
      <c r="M157" s="16" t="s">
        <v>22</v>
      </c>
      <c r="N157" s="16" t="s">
        <v>418</v>
      </c>
      <c r="O157" s="243"/>
      <c r="P157" s="243"/>
      <c r="Q157" s="243"/>
      <c r="R157" s="243"/>
      <c r="S157" s="243"/>
      <c r="T157" s="243"/>
      <c r="U157" s="243"/>
      <c r="V157" s="243"/>
      <c r="W157" s="243"/>
      <c r="X157" s="243"/>
      <c r="Y157" s="243"/>
      <c r="Z157" s="243"/>
      <c r="AA157" s="243"/>
      <c r="AB157" s="243"/>
      <c r="AC157" s="243"/>
      <c r="AD157" s="243"/>
      <c r="AE157" s="243"/>
      <c r="AF157" s="243"/>
      <c r="AG157" s="243"/>
      <c r="AH157" s="243"/>
      <c r="AI157" s="243"/>
      <c r="AJ157" s="243"/>
      <c r="AK157" s="243"/>
      <c r="AL157" s="243"/>
      <c r="AM157" s="243"/>
      <c r="AN157" s="243"/>
      <c r="AO157" s="243"/>
      <c r="AP157" s="243"/>
      <c r="AQ157" s="243"/>
      <c r="AR157" s="243"/>
      <c r="AS157" s="243"/>
      <c r="AT157" s="243"/>
      <c r="AU157" s="243"/>
      <c r="AV157" s="243"/>
      <c r="AW157" s="243"/>
      <c r="AX157" s="243"/>
      <c r="AY157" s="243"/>
      <c r="AZ157" s="243"/>
      <c r="BA157" s="243"/>
      <c r="BB157" s="243"/>
      <c r="BC157" s="243"/>
      <c r="BD157" s="243"/>
      <c r="BE157" s="243"/>
      <c r="BF157" s="243"/>
      <c r="BG157" s="243"/>
      <c r="BH157" s="243"/>
      <c r="BI157" s="243"/>
      <c r="BJ157" s="243"/>
      <c r="BK157" s="243"/>
      <c r="BL157" s="243"/>
      <c r="BM157" s="243"/>
      <c r="BN157" s="243"/>
      <c r="BO157" s="243"/>
      <c r="BP157" s="243"/>
      <c r="BQ157" s="243"/>
      <c r="BR157" s="243"/>
      <c r="BS157" s="243"/>
    </row>
    <row r="158" spans="1:71" s="12" customFormat="1" ht="41.25" customHeight="1">
      <c r="A158" s="178" t="s">
        <v>62</v>
      </c>
      <c r="B158" s="178" t="str">
        <f ca="1">+UPPER(Tabla1321124[[#This Row],[DESCRIPCIÓN DE LA COMPRA O CONTRATACIÓN]])</f>
        <v>AZADA CON SU PALO</v>
      </c>
      <c r="C158" s="39" t="s">
        <v>17</v>
      </c>
      <c r="D158" s="210">
        <v>20</v>
      </c>
      <c r="E158" s="210">
        <v>20</v>
      </c>
      <c r="F158" s="210">
        <v>20</v>
      </c>
      <c r="G158" s="210">
        <v>20</v>
      </c>
      <c r="H158" s="249">
        <f>SUM(Tabla1321124[[#This Row],[PRIMER TRIMESTRE]:[CUARTO TRIMESTRE]])</f>
        <v>80</v>
      </c>
      <c r="I158" s="17">
        <v>350</v>
      </c>
      <c r="J158" s="17">
        <f>+Tabla1321124[[#This Row],[CANTIDAD TOTAL]]*Tabla1321124[[#This Row],[PRECIO UNITARIO ESTIMADO]]</f>
        <v>28000</v>
      </c>
      <c r="K158" s="17"/>
      <c r="L158" s="16" t="s">
        <v>27</v>
      </c>
      <c r="M158" s="16" t="s">
        <v>22</v>
      </c>
      <c r="N158" s="16" t="s">
        <v>418</v>
      </c>
      <c r="O158" s="243"/>
      <c r="P158" s="243"/>
      <c r="Q158" s="243"/>
      <c r="R158" s="243"/>
      <c r="S158" s="243"/>
      <c r="T158" s="243"/>
      <c r="U158" s="243"/>
      <c r="V158" s="243"/>
      <c r="W158" s="243"/>
      <c r="X158" s="243"/>
      <c r="Y158" s="243"/>
      <c r="Z158" s="243"/>
      <c r="AA158" s="243"/>
      <c r="AB158" s="243"/>
      <c r="AC158" s="243"/>
      <c r="AD158" s="243"/>
      <c r="AE158" s="243"/>
      <c r="AF158" s="243"/>
      <c r="AG158" s="243"/>
      <c r="AH158" s="243"/>
      <c r="AI158" s="243"/>
      <c r="AJ158" s="243"/>
      <c r="AK158" s="243"/>
      <c r="AL158" s="243"/>
      <c r="AM158" s="243"/>
      <c r="AN158" s="243"/>
      <c r="AO158" s="243"/>
      <c r="AP158" s="243"/>
      <c r="AQ158" s="243"/>
      <c r="AR158" s="243"/>
      <c r="AS158" s="243"/>
      <c r="AT158" s="243"/>
      <c r="AU158" s="243"/>
      <c r="AV158" s="243"/>
      <c r="AW158" s="243"/>
      <c r="AX158" s="243"/>
      <c r="AY158" s="243"/>
      <c r="AZ158" s="243"/>
      <c r="BA158" s="243"/>
      <c r="BB158" s="243"/>
      <c r="BC158" s="243"/>
      <c r="BD158" s="243"/>
      <c r="BE158" s="243"/>
      <c r="BF158" s="243"/>
      <c r="BG158" s="243"/>
      <c r="BH158" s="243"/>
      <c r="BI158" s="243"/>
      <c r="BJ158" s="243"/>
      <c r="BK158" s="243"/>
      <c r="BL158" s="243"/>
      <c r="BM158" s="243"/>
      <c r="BN158" s="243"/>
      <c r="BO158" s="243"/>
      <c r="BP158" s="243"/>
      <c r="BQ158" s="243"/>
      <c r="BR158" s="243"/>
      <c r="BS158" s="243"/>
    </row>
    <row r="159" spans="1:71" s="12" customFormat="1" ht="41.25" customHeight="1">
      <c r="A159" s="178" t="s">
        <v>62</v>
      </c>
      <c r="B159" s="178" t="str">
        <f ca="1">+UPPER(Tabla1321124[[#This Row],[DESCRIPCIÓN DE LA COMPRA O CONTRATACIÓN]])</f>
        <v>CINCEL DE PUNTA</v>
      </c>
      <c r="C159" s="39" t="s">
        <v>17</v>
      </c>
      <c r="D159" s="210">
        <f>517+10</f>
        <v>527</v>
      </c>
      <c r="E159" s="210">
        <f>505+25</f>
        <v>530</v>
      </c>
      <c r="F159" s="210">
        <f>520+5</f>
        <v>525</v>
      </c>
      <c r="G159" s="210">
        <f>505+25</f>
        <v>530</v>
      </c>
      <c r="H159" s="249">
        <f>SUM(Tabla1321124[[#This Row],[PRIMER TRIMESTRE]:[CUARTO TRIMESTRE]])</f>
        <v>2112</v>
      </c>
      <c r="I159" s="17">
        <v>450.4</v>
      </c>
      <c r="J159" s="17">
        <f>+Tabla1321124[[#This Row],[CANTIDAD TOTAL]]*Tabla1321124[[#This Row],[PRECIO UNITARIO ESTIMADO]]</f>
        <v>951244.79999999993</v>
      </c>
      <c r="K159" s="17"/>
      <c r="L159" s="16" t="s">
        <v>27</v>
      </c>
      <c r="M159" s="16" t="s">
        <v>22</v>
      </c>
      <c r="N159" s="16" t="s">
        <v>418</v>
      </c>
      <c r="O159" s="243"/>
      <c r="P159" s="243"/>
      <c r="Q159" s="243"/>
      <c r="R159" s="243"/>
      <c r="S159" s="243"/>
      <c r="T159" s="243"/>
      <c r="U159" s="243"/>
      <c r="V159" s="243"/>
      <c r="W159" s="243"/>
      <c r="X159" s="243"/>
      <c r="Y159" s="243"/>
      <c r="Z159" s="243"/>
      <c r="AA159" s="243"/>
      <c r="AB159" s="243"/>
      <c r="AC159" s="243"/>
      <c r="AD159" s="243"/>
      <c r="AE159" s="243"/>
      <c r="AF159" s="243"/>
      <c r="AG159" s="243"/>
      <c r="AH159" s="243"/>
      <c r="AI159" s="243"/>
      <c r="AJ159" s="243"/>
      <c r="AK159" s="243"/>
      <c r="AL159" s="243"/>
      <c r="AM159" s="243"/>
      <c r="AN159" s="243"/>
      <c r="AO159" s="243"/>
      <c r="AP159" s="243"/>
      <c r="AQ159" s="243"/>
      <c r="AR159" s="243"/>
      <c r="AS159" s="243"/>
      <c r="AT159" s="243"/>
      <c r="AU159" s="243"/>
      <c r="AV159" s="243"/>
      <c r="AW159" s="243"/>
      <c r="AX159" s="243"/>
      <c r="AY159" s="243"/>
      <c r="AZ159" s="243"/>
      <c r="BA159" s="243"/>
      <c r="BB159" s="243"/>
      <c r="BC159" s="243"/>
      <c r="BD159" s="243"/>
      <c r="BE159" s="243"/>
      <c r="BF159" s="243"/>
      <c r="BG159" s="243"/>
      <c r="BH159" s="243"/>
      <c r="BI159" s="243"/>
      <c r="BJ159" s="243"/>
      <c r="BK159" s="243"/>
      <c r="BL159" s="243"/>
      <c r="BM159" s="243"/>
      <c r="BN159" s="243"/>
      <c r="BO159" s="243"/>
      <c r="BP159" s="243"/>
      <c r="BQ159" s="243"/>
      <c r="BR159" s="243"/>
      <c r="BS159" s="243"/>
    </row>
    <row r="160" spans="1:71" s="12" customFormat="1" ht="41.25" customHeight="1">
      <c r="A160" s="178" t="s">
        <v>62</v>
      </c>
      <c r="B160" s="178" t="str">
        <f ca="1">+UPPER(Tabla1321124[[#This Row],[DESCRIPCIÓN DE LA COMPRA O CONTRATACIÓN]])</f>
        <v>CINCEL PLANO</v>
      </c>
      <c r="C160" s="39" t="s">
        <v>17</v>
      </c>
      <c r="D160" s="210">
        <f>7+6</f>
        <v>13</v>
      </c>
      <c r="E160" s="210">
        <f>5+5</f>
        <v>10</v>
      </c>
      <c r="F160" s="210">
        <f>10+5</f>
        <v>15</v>
      </c>
      <c r="G160" s="210">
        <f>5+5</f>
        <v>10</v>
      </c>
      <c r="H160" s="249">
        <f>SUM(Tabla1321124[[#This Row],[PRIMER TRIMESTRE]:[CUARTO TRIMESTRE]])</f>
        <v>48</v>
      </c>
      <c r="I160" s="17">
        <v>450.4</v>
      </c>
      <c r="J160" s="17">
        <f>+Tabla1321124[[#This Row],[CANTIDAD TOTAL]]*Tabla1321124[[#This Row],[PRECIO UNITARIO ESTIMADO]]</f>
        <v>21619.199999999997</v>
      </c>
      <c r="K160" s="17"/>
      <c r="L160" s="16" t="s">
        <v>27</v>
      </c>
      <c r="M160" s="16" t="s">
        <v>22</v>
      </c>
      <c r="N160" s="16" t="s">
        <v>418</v>
      </c>
      <c r="O160" s="243"/>
      <c r="P160" s="243"/>
      <c r="Q160" s="243"/>
      <c r="R160" s="243"/>
      <c r="S160" s="243"/>
      <c r="T160" s="243"/>
      <c r="U160" s="243"/>
      <c r="V160" s="243"/>
      <c r="W160" s="243"/>
      <c r="X160" s="243"/>
      <c r="Y160" s="243"/>
      <c r="Z160" s="243"/>
      <c r="AA160" s="243"/>
      <c r="AB160" s="243"/>
      <c r="AC160" s="243"/>
      <c r="AD160" s="243"/>
      <c r="AE160" s="243"/>
      <c r="AF160" s="243"/>
      <c r="AG160" s="243"/>
      <c r="AH160" s="243"/>
      <c r="AI160" s="243"/>
      <c r="AJ160" s="243"/>
      <c r="AK160" s="243"/>
      <c r="AL160" s="243"/>
      <c r="AM160" s="243"/>
      <c r="AN160" s="243"/>
      <c r="AO160" s="243"/>
      <c r="AP160" s="243"/>
      <c r="AQ160" s="243"/>
      <c r="AR160" s="243"/>
      <c r="AS160" s="243"/>
      <c r="AT160" s="243"/>
      <c r="AU160" s="243"/>
      <c r="AV160" s="243"/>
      <c r="AW160" s="243"/>
      <c r="AX160" s="243"/>
      <c r="AY160" s="243"/>
      <c r="AZ160" s="243"/>
      <c r="BA160" s="243"/>
      <c r="BB160" s="243"/>
      <c r="BC160" s="243"/>
      <c r="BD160" s="243"/>
      <c r="BE160" s="243"/>
      <c r="BF160" s="243"/>
      <c r="BG160" s="243"/>
      <c r="BH160" s="243"/>
      <c r="BI160" s="243"/>
      <c r="BJ160" s="243"/>
      <c r="BK160" s="243"/>
      <c r="BL160" s="243"/>
      <c r="BM160" s="243"/>
      <c r="BN160" s="243"/>
      <c r="BO160" s="243"/>
      <c r="BP160" s="243"/>
      <c r="BQ160" s="243"/>
      <c r="BR160" s="243"/>
      <c r="BS160" s="243"/>
    </row>
    <row r="161" spans="1:71" s="12" customFormat="1" ht="41.25" customHeight="1">
      <c r="A161" s="178" t="s">
        <v>62</v>
      </c>
      <c r="B161" s="178" t="str">
        <f ca="1">+UPPER(Tabla1321124[[#This Row],[DESCRIPCIÓN DE LA COMPRA O CONTRATACIÓN]])</f>
        <v>CORTADORA DE GRAMA PORTATIL</v>
      </c>
      <c r="C161" s="39" t="s">
        <v>17</v>
      </c>
      <c r="D161" s="210">
        <f>2+21</f>
        <v>23</v>
      </c>
      <c r="E161" s="210">
        <v>11</v>
      </c>
      <c r="F161" s="210">
        <f>2+11</f>
        <v>13</v>
      </c>
      <c r="G161" s="210">
        <v>11</v>
      </c>
      <c r="H161" s="249">
        <f>SUM(Tabla1321124[[#This Row],[PRIMER TRIMESTRE]:[CUARTO TRIMESTRE]])</f>
        <v>58</v>
      </c>
      <c r="I161" s="17">
        <v>7000</v>
      </c>
      <c r="J161" s="17">
        <f>+Tabla1321124[[#This Row],[CANTIDAD TOTAL]]*Tabla1321124[[#This Row],[PRECIO UNITARIO ESTIMADO]]</f>
        <v>406000</v>
      </c>
      <c r="K161" s="17"/>
      <c r="L161" s="16" t="s">
        <v>27</v>
      </c>
      <c r="M161" s="16" t="s">
        <v>22</v>
      </c>
      <c r="N161" s="16" t="s">
        <v>418</v>
      </c>
      <c r="O161" s="243"/>
      <c r="P161" s="243"/>
      <c r="Q161" s="243"/>
      <c r="R161" s="243"/>
      <c r="S161" s="243"/>
      <c r="T161" s="243"/>
      <c r="U161" s="243"/>
      <c r="V161" s="243"/>
      <c r="W161" s="243"/>
      <c r="X161" s="243"/>
      <c r="Y161" s="243"/>
      <c r="Z161" s="243"/>
      <c r="AA161" s="243"/>
      <c r="AB161" s="243"/>
      <c r="AC161" s="243"/>
      <c r="AD161" s="243"/>
      <c r="AE161" s="243"/>
      <c r="AF161" s="243"/>
      <c r="AG161" s="243"/>
      <c r="AH161" s="243"/>
      <c r="AI161" s="243"/>
      <c r="AJ161" s="243"/>
      <c r="AK161" s="243"/>
      <c r="AL161" s="243"/>
      <c r="AM161" s="243"/>
      <c r="AN161" s="243"/>
      <c r="AO161" s="243"/>
      <c r="AP161" s="243"/>
      <c r="AQ161" s="243"/>
      <c r="AR161" s="243"/>
      <c r="AS161" s="243"/>
      <c r="AT161" s="243"/>
      <c r="AU161" s="243"/>
      <c r="AV161" s="243"/>
      <c r="AW161" s="243"/>
      <c r="AX161" s="243"/>
      <c r="AY161" s="243"/>
      <c r="AZ161" s="243"/>
      <c r="BA161" s="243"/>
      <c r="BB161" s="243"/>
      <c r="BC161" s="243"/>
      <c r="BD161" s="243"/>
      <c r="BE161" s="243"/>
      <c r="BF161" s="243"/>
      <c r="BG161" s="243"/>
      <c r="BH161" s="243"/>
      <c r="BI161" s="243"/>
      <c r="BJ161" s="243"/>
      <c r="BK161" s="243"/>
      <c r="BL161" s="243"/>
      <c r="BM161" s="243"/>
      <c r="BN161" s="243"/>
      <c r="BO161" s="243"/>
      <c r="BP161" s="243"/>
      <c r="BQ161" s="243"/>
      <c r="BR161" s="243"/>
      <c r="BS161" s="243"/>
    </row>
    <row r="162" spans="1:71" s="12" customFormat="1" ht="41.25" customHeight="1">
      <c r="A162" s="178" t="s">
        <v>62</v>
      </c>
      <c r="B162" s="178" t="str">
        <f ca="1">+UPPER(Tabla1321124[[#This Row],[DESCRIPCIÓN DE LA COMPRA O CONTRATACIÓN]])</f>
        <v>LIMA TRIANGULAR</v>
      </c>
      <c r="C162" s="39" t="s">
        <v>17</v>
      </c>
      <c r="D162" s="210">
        <f>66+104</f>
        <v>170</v>
      </c>
      <c r="E162" s="210">
        <f>5+29</f>
        <v>34</v>
      </c>
      <c r="F162" s="210">
        <f>10+29</f>
        <v>39</v>
      </c>
      <c r="G162" s="210">
        <f>5+29</f>
        <v>34</v>
      </c>
      <c r="H162" s="249">
        <f>SUM(Tabla1321124[[#This Row],[PRIMER TRIMESTRE]:[CUARTO TRIMESTRE]])</f>
        <v>277</v>
      </c>
      <c r="I162" s="17">
        <v>110</v>
      </c>
      <c r="J162" s="17">
        <f>+Tabla1321124[[#This Row],[CANTIDAD TOTAL]]*Tabla1321124[[#This Row],[PRECIO UNITARIO ESTIMADO]]</f>
        <v>30470</v>
      </c>
      <c r="K162" s="17"/>
      <c r="L162" s="16" t="s">
        <v>27</v>
      </c>
      <c r="M162" s="16" t="s">
        <v>22</v>
      </c>
      <c r="N162" s="16" t="s">
        <v>418</v>
      </c>
      <c r="O162" s="243"/>
      <c r="P162" s="243"/>
      <c r="Q162" s="243"/>
      <c r="R162" s="243"/>
      <c r="S162" s="243"/>
      <c r="T162" s="243"/>
      <c r="U162" s="243"/>
      <c r="V162" s="243"/>
      <c r="W162" s="243"/>
      <c r="X162" s="243"/>
      <c r="Y162" s="243"/>
      <c r="Z162" s="243"/>
      <c r="AA162" s="243"/>
      <c r="AB162" s="243"/>
      <c r="AC162" s="243"/>
      <c r="AD162" s="243"/>
      <c r="AE162" s="243"/>
      <c r="AF162" s="243"/>
      <c r="AG162" s="243"/>
      <c r="AH162" s="243"/>
      <c r="AI162" s="243"/>
      <c r="AJ162" s="243"/>
      <c r="AK162" s="243"/>
      <c r="AL162" s="243"/>
      <c r="AM162" s="243"/>
      <c r="AN162" s="243"/>
      <c r="AO162" s="243"/>
      <c r="AP162" s="243"/>
      <c r="AQ162" s="243"/>
      <c r="AR162" s="243"/>
      <c r="AS162" s="243"/>
      <c r="AT162" s="243"/>
      <c r="AU162" s="243"/>
      <c r="AV162" s="243"/>
      <c r="AW162" s="243"/>
      <c r="AX162" s="243"/>
      <c r="AY162" s="243"/>
      <c r="AZ162" s="243"/>
      <c r="BA162" s="243"/>
      <c r="BB162" s="243"/>
      <c r="BC162" s="243"/>
      <c r="BD162" s="243"/>
      <c r="BE162" s="243"/>
      <c r="BF162" s="243"/>
      <c r="BG162" s="243"/>
      <c r="BH162" s="243"/>
      <c r="BI162" s="243"/>
      <c r="BJ162" s="243"/>
      <c r="BK162" s="243"/>
      <c r="BL162" s="243"/>
      <c r="BM162" s="243"/>
      <c r="BN162" s="243"/>
      <c r="BO162" s="243"/>
      <c r="BP162" s="243"/>
      <c r="BQ162" s="243"/>
      <c r="BR162" s="243"/>
      <c r="BS162" s="243"/>
    </row>
    <row r="163" spans="1:71" s="12" customFormat="1" ht="41.25" customHeight="1">
      <c r="A163" s="178" t="s">
        <v>62</v>
      </c>
      <c r="B163" s="178" t="str">
        <f ca="1">+UPPER(Tabla1321124[[#This Row],[DESCRIPCIÓN DE LA COMPRA O CONTRATACIÓN]])</f>
        <v>MACHETE DE 22"</v>
      </c>
      <c r="C163" s="39" t="s">
        <v>17</v>
      </c>
      <c r="D163" s="210">
        <f>16+80</f>
        <v>96</v>
      </c>
      <c r="E163" s="210">
        <f>5+25</f>
        <v>30</v>
      </c>
      <c r="F163" s="210">
        <f>20+29</f>
        <v>49</v>
      </c>
      <c r="G163" s="210">
        <f>5+115</f>
        <v>120</v>
      </c>
      <c r="H163" s="249">
        <f>SUM(Tabla1321124[[#This Row],[PRIMER TRIMESTRE]:[CUARTO TRIMESTRE]])</f>
        <v>295</v>
      </c>
      <c r="I163" s="17">
        <v>260</v>
      </c>
      <c r="J163" s="17">
        <f>+Tabla1321124[[#This Row],[CANTIDAD TOTAL]]*Tabla1321124[[#This Row],[PRECIO UNITARIO ESTIMADO]]</f>
        <v>76700</v>
      </c>
      <c r="K163" s="17"/>
      <c r="L163" s="16" t="s">
        <v>27</v>
      </c>
      <c r="M163" s="16" t="s">
        <v>22</v>
      </c>
      <c r="N163" s="16" t="s">
        <v>418</v>
      </c>
      <c r="O163" s="243"/>
      <c r="P163" s="243"/>
      <c r="Q163" s="243"/>
      <c r="R163" s="243"/>
      <c r="S163" s="243"/>
      <c r="T163" s="243"/>
      <c r="U163" s="243"/>
      <c r="V163" s="243"/>
      <c r="W163" s="243"/>
      <c r="X163" s="243"/>
      <c r="Y163" s="243"/>
      <c r="Z163" s="243"/>
      <c r="AA163" s="243"/>
      <c r="AB163" s="243"/>
      <c r="AC163" s="243"/>
      <c r="AD163" s="243"/>
      <c r="AE163" s="243"/>
      <c r="AF163" s="243"/>
      <c r="AG163" s="243"/>
      <c r="AH163" s="243"/>
      <c r="AI163" s="243"/>
      <c r="AJ163" s="243"/>
      <c r="AK163" s="243"/>
      <c r="AL163" s="243"/>
      <c r="AM163" s="243"/>
      <c r="AN163" s="243"/>
      <c r="AO163" s="243"/>
      <c r="AP163" s="243"/>
      <c r="AQ163" s="243"/>
      <c r="AR163" s="243"/>
      <c r="AS163" s="243"/>
      <c r="AT163" s="243"/>
      <c r="AU163" s="243"/>
      <c r="AV163" s="243"/>
      <c r="AW163" s="243"/>
      <c r="AX163" s="243"/>
      <c r="AY163" s="243"/>
      <c r="AZ163" s="243"/>
      <c r="BA163" s="243"/>
      <c r="BB163" s="243"/>
      <c r="BC163" s="243"/>
      <c r="BD163" s="243"/>
      <c r="BE163" s="243"/>
      <c r="BF163" s="243"/>
      <c r="BG163" s="243"/>
      <c r="BH163" s="243"/>
      <c r="BI163" s="243"/>
      <c r="BJ163" s="243"/>
      <c r="BK163" s="243"/>
      <c r="BL163" s="243"/>
      <c r="BM163" s="243"/>
      <c r="BN163" s="243"/>
      <c r="BO163" s="243"/>
      <c r="BP163" s="243"/>
      <c r="BQ163" s="243"/>
      <c r="BR163" s="243"/>
      <c r="BS163" s="243"/>
    </row>
    <row r="164" spans="1:71" s="12" customFormat="1" ht="41.25" customHeight="1">
      <c r="A164" s="178" t="s">
        <v>62</v>
      </c>
      <c r="B164" s="178" t="str">
        <f ca="1">+UPPER(Tabla1321124[[#This Row],[DESCRIPCIÓN DE LA COMPRA O CONTRATACIÓN]])</f>
        <v>MANDARRIA DE 8 LBS</v>
      </c>
      <c r="C164" s="39" t="s">
        <v>17</v>
      </c>
      <c r="D164" s="210">
        <f>106+33</f>
        <v>139</v>
      </c>
      <c r="E164" s="210">
        <v>95</v>
      </c>
      <c r="F164" s="210">
        <f>110+3</f>
        <v>113</v>
      </c>
      <c r="G164" s="210">
        <v>95</v>
      </c>
      <c r="H164" s="249">
        <f>SUM(Tabla1321124[[#This Row],[PRIMER TRIMESTRE]:[CUARTO TRIMESTRE]])</f>
        <v>442</v>
      </c>
      <c r="I164" s="17">
        <v>375</v>
      </c>
      <c r="J164" s="17">
        <f>+Tabla1321124[[#This Row],[CANTIDAD TOTAL]]*Tabla1321124[[#This Row],[PRECIO UNITARIO ESTIMADO]]</f>
        <v>165750</v>
      </c>
      <c r="K164" s="17"/>
      <c r="L164" s="16" t="s">
        <v>27</v>
      </c>
      <c r="M164" s="16" t="s">
        <v>22</v>
      </c>
      <c r="N164" s="16" t="s">
        <v>418</v>
      </c>
      <c r="O164" s="243"/>
      <c r="P164" s="243"/>
      <c r="Q164" s="243"/>
      <c r="R164" s="243"/>
      <c r="S164" s="243"/>
      <c r="T164" s="243"/>
      <c r="U164" s="243"/>
      <c r="V164" s="243"/>
      <c r="W164" s="243"/>
      <c r="X164" s="243"/>
      <c r="Y164" s="243"/>
      <c r="Z164" s="243"/>
      <c r="AA164" s="243"/>
      <c r="AB164" s="243"/>
      <c r="AC164" s="243"/>
      <c r="AD164" s="243"/>
      <c r="AE164" s="243"/>
      <c r="AF164" s="243"/>
      <c r="AG164" s="243"/>
      <c r="AH164" s="243"/>
      <c r="AI164" s="243"/>
      <c r="AJ164" s="243"/>
      <c r="AK164" s="243"/>
      <c r="AL164" s="243"/>
      <c r="AM164" s="243"/>
      <c r="AN164" s="243"/>
      <c r="AO164" s="243"/>
      <c r="AP164" s="243"/>
      <c r="AQ164" s="243"/>
      <c r="AR164" s="243"/>
      <c r="AS164" s="243"/>
      <c r="AT164" s="243"/>
      <c r="AU164" s="243"/>
      <c r="AV164" s="243"/>
      <c r="AW164" s="243"/>
      <c r="AX164" s="243"/>
      <c r="AY164" s="243"/>
      <c r="AZ164" s="243"/>
      <c r="BA164" s="243"/>
      <c r="BB164" s="243"/>
      <c r="BC164" s="243"/>
      <c r="BD164" s="243"/>
      <c r="BE164" s="243"/>
      <c r="BF164" s="243"/>
      <c r="BG164" s="243"/>
      <c r="BH164" s="243"/>
      <c r="BI164" s="243"/>
      <c r="BJ164" s="243"/>
      <c r="BK164" s="243"/>
      <c r="BL164" s="243"/>
      <c r="BM164" s="243"/>
      <c r="BN164" s="243"/>
      <c r="BO164" s="243"/>
      <c r="BP164" s="243"/>
      <c r="BQ164" s="243"/>
      <c r="BR164" s="243"/>
      <c r="BS164" s="243"/>
    </row>
    <row r="165" spans="1:71" s="12" customFormat="1" ht="41.25" customHeight="1">
      <c r="A165" s="178" t="s">
        <v>62</v>
      </c>
      <c r="B165" s="178" t="str">
        <f ca="1">+UPPER(Tabla1321124[[#This Row],[DESCRIPCIÓN DE LA COMPRA O CONTRATACIÓN]])</f>
        <v>MANDARRIA DE 3 LIBRAS</v>
      </c>
      <c r="C165" s="39" t="s">
        <v>17</v>
      </c>
      <c r="D165" s="210">
        <f>11+53</f>
        <v>64</v>
      </c>
      <c r="E165" s="240">
        <f>5+3</f>
        <v>8</v>
      </c>
      <c r="F165" s="240">
        <f>20+53</f>
        <v>73</v>
      </c>
      <c r="G165" s="210">
        <f>5+53</f>
        <v>58</v>
      </c>
      <c r="H165" s="249">
        <f>SUM(Tabla1321124[[#This Row],[PRIMER TRIMESTRE]:[CUARTO TRIMESTRE]])</f>
        <v>203</v>
      </c>
      <c r="I165" s="17">
        <v>425</v>
      </c>
      <c r="J165" s="17">
        <f>+Tabla1321124[[#This Row],[CANTIDAD TOTAL]]*Tabla1321124[[#This Row],[PRECIO UNITARIO ESTIMADO]]</f>
        <v>86275</v>
      </c>
      <c r="K165" s="17"/>
      <c r="L165" s="16" t="s">
        <v>27</v>
      </c>
      <c r="M165" s="16" t="s">
        <v>22</v>
      </c>
      <c r="N165" s="16" t="s">
        <v>418</v>
      </c>
      <c r="O165" s="243"/>
      <c r="P165" s="243"/>
      <c r="Q165" s="243"/>
      <c r="R165" s="243"/>
      <c r="S165" s="243"/>
      <c r="T165" s="243"/>
      <c r="U165" s="243"/>
      <c r="V165" s="243"/>
      <c r="W165" s="243"/>
      <c r="X165" s="243"/>
      <c r="Y165" s="243"/>
      <c r="Z165" s="243"/>
      <c r="AA165" s="243"/>
      <c r="AB165" s="243"/>
      <c r="AC165" s="243"/>
      <c r="AD165" s="243"/>
      <c r="AE165" s="243"/>
      <c r="AF165" s="243"/>
      <c r="AG165" s="243"/>
      <c r="AH165" s="243"/>
      <c r="AI165" s="243"/>
      <c r="AJ165" s="243"/>
      <c r="AK165" s="243"/>
      <c r="AL165" s="243"/>
      <c r="AM165" s="243"/>
      <c r="AN165" s="243"/>
      <c r="AO165" s="243"/>
      <c r="AP165" s="243"/>
      <c r="AQ165" s="243"/>
      <c r="AR165" s="243"/>
      <c r="AS165" s="243"/>
      <c r="AT165" s="243"/>
      <c r="AU165" s="243"/>
      <c r="AV165" s="243"/>
      <c r="AW165" s="243"/>
      <c r="AX165" s="243"/>
      <c r="AY165" s="243"/>
      <c r="AZ165" s="243"/>
      <c r="BA165" s="243"/>
      <c r="BB165" s="243"/>
      <c r="BC165" s="243"/>
      <c r="BD165" s="243"/>
      <c r="BE165" s="243"/>
      <c r="BF165" s="243"/>
      <c r="BG165" s="243"/>
      <c r="BH165" s="243"/>
      <c r="BI165" s="243"/>
      <c r="BJ165" s="243"/>
      <c r="BK165" s="243"/>
      <c r="BL165" s="243"/>
      <c r="BM165" s="243"/>
      <c r="BN165" s="243"/>
      <c r="BO165" s="243"/>
      <c r="BP165" s="243"/>
      <c r="BQ165" s="243"/>
      <c r="BR165" s="243"/>
      <c r="BS165" s="243"/>
    </row>
    <row r="166" spans="1:71" s="12" customFormat="1" ht="41.25" customHeight="1">
      <c r="A166" s="178" t="s">
        <v>62</v>
      </c>
      <c r="B166" s="178" t="str">
        <f ca="1">+UPPER(Tabla1321124[[#This Row],[DESCRIPCIÓN DE LA COMPRA O CONTRATACIÓN]])</f>
        <v xml:space="preserve">MARCO DE SEGUETA </v>
      </c>
      <c r="C166" s="39" t="s">
        <v>17</v>
      </c>
      <c r="D166" s="70">
        <v>1100</v>
      </c>
      <c r="E166" s="70">
        <v>500</v>
      </c>
      <c r="F166" s="70">
        <v>1100</v>
      </c>
      <c r="G166" s="70">
        <v>500</v>
      </c>
      <c r="H166" s="249">
        <f>SUM(Tabla1321124[[#This Row],[PRIMER TRIMESTRE]:[CUARTO TRIMESTRE]])</f>
        <v>3200</v>
      </c>
      <c r="I166" s="17">
        <v>295</v>
      </c>
      <c r="J166" s="17">
        <f>+Tabla1321124[[#This Row],[CANTIDAD TOTAL]]*Tabla1321124[[#This Row],[PRECIO UNITARIO ESTIMADO]]</f>
        <v>944000</v>
      </c>
      <c r="K166" s="17"/>
      <c r="L166" s="16" t="s">
        <v>27</v>
      </c>
      <c r="M166" s="16" t="s">
        <v>22</v>
      </c>
      <c r="N166" s="16" t="s">
        <v>418</v>
      </c>
      <c r="O166" s="243"/>
      <c r="P166" s="243"/>
      <c r="Q166" s="243"/>
      <c r="R166" s="243"/>
      <c r="S166" s="243"/>
      <c r="T166" s="243"/>
      <c r="U166" s="243"/>
      <c r="V166" s="243"/>
      <c r="W166" s="243"/>
      <c r="X166" s="243"/>
      <c r="Y166" s="243"/>
      <c r="Z166" s="243"/>
      <c r="AA166" s="243"/>
      <c r="AB166" s="243"/>
      <c r="AC166" s="243"/>
      <c r="AD166" s="243"/>
      <c r="AE166" s="243"/>
      <c r="AF166" s="243"/>
      <c r="AG166" s="243"/>
      <c r="AH166" s="243"/>
      <c r="AI166" s="243"/>
      <c r="AJ166" s="243"/>
      <c r="AK166" s="243"/>
      <c r="AL166" s="243"/>
      <c r="AM166" s="243"/>
      <c r="AN166" s="243"/>
      <c r="AO166" s="243"/>
      <c r="AP166" s="243"/>
      <c r="AQ166" s="243"/>
      <c r="AR166" s="243"/>
      <c r="AS166" s="243"/>
      <c r="AT166" s="243"/>
      <c r="AU166" s="243"/>
      <c r="AV166" s="243"/>
      <c r="AW166" s="243"/>
      <c r="AX166" s="243"/>
      <c r="AY166" s="243"/>
      <c r="AZ166" s="243"/>
      <c r="BA166" s="243"/>
      <c r="BB166" s="243"/>
      <c r="BC166" s="243"/>
      <c r="BD166" s="243"/>
      <c r="BE166" s="243"/>
      <c r="BF166" s="243"/>
      <c r="BG166" s="243"/>
      <c r="BH166" s="243"/>
      <c r="BI166" s="243"/>
      <c r="BJ166" s="243"/>
      <c r="BK166" s="243"/>
      <c r="BL166" s="243"/>
      <c r="BM166" s="243"/>
      <c r="BN166" s="243"/>
      <c r="BO166" s="243"/>
      <c r="BP166" s="243"/>
      <c r="BQ166" s="243"/>
      <c r="BR166" s="243"/>
      <c r="BS166" s="243"/>
    </row>
    <row r="167" spans="1:71" s="12" customFormat="1" ht="41.25" customHeight="1">
      <c r="A167" s="178" t="s">
        <v>62</v>
      </c>
      <c r="B167" s="178" t="str">
        <f ca="1">+UPPER(Tabla1321124[[#This Row],[DESCRIPCIÓN DE LA COMPRA O CONTRATACIÓN]])</f>
        <v>MARTILLO</v>
      </c>
      <c r="C167" s="39" t="s">
        <v>17</v>
      </c>
      <c r="D167" s="210">
        <f>18+9</f>
        <v>27</v>
      </c>
      <c r="E167" s="210">
        <f>5+5</f>
        <v>10</v>
      </c>
      <c r="F167" s="210">
        <f>20+5</f>
        <v>25</v>
      </c>
      <c r="G167" s="210">
        <f>5+55</f>
        <v>60</v>
      </c>
      <c r="H167" s="249">
        <f>SUM(Tabla1321124[[#This Row],[PRIMER TRIMESTRE]:[CUARTO TRIMESTRE]])</f>
        <v>122</v>
      </c>
      <c r="I167" s="17">
        <v>852.71</v>
      </c>
      <c r="J167" s="17">
        <f>+Tabla1321124[[#This Row],[CANTIDAD TOTAL]]*Tabla1321124[[#This Row],[PRECIO UNITARIO ESTIMADO]]</f>
        <v>104030.62000000001</v>
      </c>
      <c r="K167" s="17"/>
      <c r="L167" s="16" t="s">
        <v>27</v>
      </c>
      <c r="M167" s="16" t="s">
        <v>22</v>
      </c>
      <c r="N167" s="16" t="s">
        <v>418</v>
      </c>
      <c r="O167" s="243"/>
      <c r="P167" s="243"/>
      <c r="Q167" s="243"/>
      <c r="R167" s="243"/>
      <c r="S167" s="243"/>
      <c r="T167" s="243"/>
      <c r="U167" s="243"/>
      <c r="V167" s="243"/>
      <c r="W167" s="243"/>
      <c r="X167" s="243"/>
      <c r="Y167" s="243"/>
      <c r="Z167" s="243"/>
      <c r="AA167" s="243"/>
      <c r="AB167" s="243"/>
      <c r="AC167" s="243"/>
      <c r="AD167" s="243"/>
      <c r="AE167" s="243"/>
      <c r="AF167" s="243"/>
      <c r="AG167" s="243"/>
      <c r="AH167" s="243"/>
      <c r="AI167" s="243"/>
      <c r="AJ167" s="243"/>
      <c r="AK167" s="243"/>
      <c r="AL167" s="243"/>
      <c r="AM167" s="243"/>
      <c r="AN167" s="243"/>
      <c r="AO167" s="243"/>
      <c r="AP167" s="243"/>
      <c r="AQ167" s="243"/>
      <c r="AR167" s="243"/>
      <c r="AS167" s="243"/>
      <c r="AT167" s="243"/>
      <c r="AU167" s="243"/>
      <c r="AV167" s="243"/>
      <c r="AW167" s="243"/>
      <c r="AX167" s="243"/>
      <c r="AY167" s="243"/>
      <c r="AZ167" s="243"/>
      <c r="BA167" s="243"/>
      <c r="BB167" s="243"/>
      <c r="BC167" s="243"/>
      <c r="BD167" s="243"/>
      <c r="BE167" s="243"/>
      <c r="BF167" s="243"/>
      <c r="BG167" s="243"/>
      <c r="BH167" s="243"/>
      <c r="BI167" s="243"/>
      <c r="BJ167" s="243"/>
      <c r="BK167" s="243"/>
      <c r="BL167" s="243"/>
      <c r="BM167" s="243"/>
      <c r="BN167" s="243"/>
      <c r="BO167" s="243"/>
      <c r="BP167" s="243"/>
      <c r="BQ167" s="243"/>
      <c r="BR167" s="243"/>
      <c r="BS167" s="243"/>
    </row>
    <row r="168" spans="1:71" s="12" customFormat="1" ht="41.25" customHeight="1">
      <c r="A168" s="178" t="s">
        <v>62</v>
      </c>
      <c r="B168" s="178" t="str">
        <f ca="1">+UPPER(Tabla1321124[[#This Row],[DESCRIPCIÓN DE LA COMPRA O CONTRATACIÓN]])</f>
        <v>MARTILLO DE BOLA 1 LIBRA</v>
      </c>
      <c r="C168" s="39" t="s">
        <v>17</v>
      </c>
      <c r="D168" s="236">
        <f>6+7</f>
        <v>13</v>
      </c>
      <c r="E168" s="236">
        <v>5</v>
      </c>
      <c r="F168" s="236">
        <f>10+2</f>
        <v>12</v>
      </c>
      <c r="G168" s="236">
        <v>5</v>
      </c>
      <c r="H168" s="240">
        <f>SUM(Tabla1321124[[#This Row],[PRIMER TRIMESTRE]:[CUARTO TRIMESTRE]])</f>
        <v>35</v>
      </c>
      <c r="I168" s="17">
        <v>600</v>
      </c>
      <c r="J168" s="17">
        <f>+Tabla1321124[[#This Row],[CANTIDAD TOTAL]]*Tabla1321124[[#This Row],[PRECIO UNITARIO ESTIMADO]]</f>
        <v>21000</v>
      </c>
      <c r="K168" s="17"/>
      <c r="L168" s="16" t="s">
        <v>27</v>
      </c>
      <c r="M168" s="16" t="s">
        <v>22</v>
      </c>
      <c r="N168" s="16" t="s">
        <v>418</v>
      </c>
      <c r="O168" s="243"/>
      <c r="P168" s="243"/>
      <c r="Q168" s="243"/>
      <c r="R168" s="243"/>
      <c r="S168" s="243"/>
      <c r="T168" s="243"/>
      <c r="U168" s="243"/>
      <c r="V168" s="243"/>
      <c r="W168" s="243"/>
      <c r="X168" s="243"/>
      <c r="Y168" s="243"/>
      <c r="Z168" s="243"/>
      <c r="AA168" s="243"/>
      <c r="AB168" s="243"/>
      <c r="AC168" s="243"/>
      <c r="AD168" s="243"/>
      <c r="AE168" s="243"/>
      <c r="AF168" s="243"/>
      <c r="AG168" s="243"/>
      <c r="AH168" s="243"/>
      <c r="AI168" s="243"/>
      <c r="AJ168" s="243"/>
      <c r="AK168" s="243"/>
      <c r="AL168" s="243"/>
      <c r="AM168" s="243"/>
      <c r="AN168" s="243"/>
      <c r="AO168" s="243"/>
      <c r="AP168" s="243"/>
      <c r="AQ168" s="243"/>
      <c r="AR168" s="243"/>
      <c r="AS168" s="243"/>
      <c r="AT168" s="243"/>
      <c r="AU168" s="243"/>
      <c r="AV168" s="243"/>
      <c r="AW168" s="243"/>
      <c r="AX168" s="243"/>
      <c r="AY168" s="243"/>
      <c r="AZ168" s="243"/>
      <c r="BA168" s="243"/>
      <c r="BB168" s="243"/>
      <c r="BC168" s="243"/>
      <c r="BD168" s="243"/>
      <c r="BE168" s="243"/>
      <c r="BF168" s="243"/>
      <c r="BG168" s="243"/>
      <c r="BH168" s="243"/>
      <c r="BI168" s="243"/>
      <c r="BJ168" s="243"/>
      <c r="BK168" s="243"/>
      <c r="BL168" s="243"/>
      <c r="BM168" s="243"/>
      <c r="BN168" s="243"/>
      <c r="BO168" s="243"/>
      <c r="BP168" s="243"/>
      <c r="BQ168" s="243"/>
      <c r="BR168" s="243"/>
      <c r="BS168" s="243"/>
    </row>
    <row r="169" spans="1:71" s="12" customFormat="1" ht="41.25" customHeight="1">
      <c r="A169" s="178" t="s">
        <v>62</v>
      </c>
      <c r="B169" s="178" t="str">
        <f ca="1">+UPPER(Tabla1321124[[#This Row],[DESCRIPCIÓN DE LA COMPRA O CONTRATACIÓN]])</f>
        <v>MARTILLO DE BOLA 2 LIBRA</v>
      </c>
      <c r="C169" s="39" t="s">
        <v>17</v>
      </c>
      <c r="D169" s="236">
        <f>12+2</f>
        <v>14</v>
      </c>
      <c r="E169" s="236">
        <v>5</v>
      </c>
      <c r="F169" s="236">
        <f>20+2</f>
        <v>22</v>
      </c>
      <c r="G169" s="236">
        <v>5</v>
      </c>
      <c r="H169" s="236">
        <f>SUM(Tabla1321124[[#This Row],[PRIMER TRIMESTRE]:[CUARTO TRIMESTRE]])</f>
        <v>46</v>
      </c>
      <c r="I169" s="17">
        <v>700</v>
      </c>
      <c r="J169" s="17">
        <f>+Tabla1321124[[#This Row],[CANTIDAD TOTAL]]*Tabla1321124[[#This Row],[PRECIO UNITARIO ESTIMADO]]</f>
        <v>32200</v>
      </c>
      <c r="K169" s="17"/>
      <c r="L169" s="16" t="s">
        <v>27</v>
      </c>
      <c r="M169" s="16" t="s">
        <v>22</v>
      </c>
      <c r="N169" s="16" t="s">
        <v>418</v>
      </c>
      <c r="O169" s="243"/>
      <c r="P169" s="243"/>
      <c r="Q169" s="243"/>
      <c r="R169" s="243"/>
      <c r="S169" s="243"/>
      <c r="T169" s="243"/>
      <c r="U169" s="243"/>
      <c r="V169" s="243"/>
      <c r="W169" s="243"/>
      <c r="X169" s="243"/>
      <c r="Y169" s="243"/>
      <c r="Z169" s="243"/>
      <c r="AA169" s="243"/>
      <c r="AB169" s="243"/>
      <c r="AC169" s="243"/>
      <c r="AD169" s="243"/>
      <c r="AE169" s="243"/>
      <c r="AF169" s="243"/>
      <c r="AG169" s="243"/>
      <c r="AH169" s="243"/>
      <c r="AI169" s="243"/>
      <c r="AJ169" s="243"/>
      <c r="AK169" s="243"/>
      <c r="AL169" s="243"/>
      <c r="AM169" s="243"/>
      <c r="AN169" s="243"/>
      <c r="AO169" s="243"/>
      <c r="AP169" s="243"/>
      <c r="AQ169" s="243"/>
      <c r="AR169" s="243"/>
      <c r="AS169" s="243"/>
      <c r="AT169" s="243"/>
      <c r="AU169" s="243"/>
      <c r="AV169" s="243"/>
      <c r="AW169" s="243"/>
      <c r="AX169" s="243"/>
      <c r="AY169" s="243"/>
      <c r="AZ169" s="243"/>
      <c r="BA169" s="243"/>
      <c r="BB169" s="243"/>
      <c r="BC169" s="243"/>
      <c r="BD169" s="243"/>
      <c r="BE169" s="243"/>
      <c r="BF169" s="243"/>
      <c r="BG169" s="243"/>
      <c r="BH169" s="243"/>
      <c r="BI169" s="243"/>
      <c r="BJ169" s="243"/>
      <c r="BK169" s="243"/>
      <c r="BL169" s="243"/>
      <c r="BM169" s="243"/>
      <c r="BN169" s="243"/>
      <c r="BO169" s="243"/>
      <c r="BP169" s="243"/>
      <c r="BQ169" s="243"/>
      <c r="BR169" s="243"/>
      <c r="BS169" s="243"/>
    </row>
    <row r="170" spans="1:71" s="12" customFormat="1" ht="41.25" customHeight="1">
      <c r="A170" s="178" t="s">
        <v>62</v>
      </c>
      <c r="B170" s="178" t="str">
        <f ca="1">+UPPER(Tabla1321124[[#This Row],[DESCRIPCIÓN DE LA COMPRA O CONTRATACIÓN]])</f>
        <v>DISCO DE SIERRA 60 DIENTES 5/8</v>
      </c>
      <c r="C170" s="39" t="s">
        <v>17</v>
      </c>
      <c r="D170" s="236">
        <f>11+3</f>
        <v>14</v>
      </c>
      <c r="E170" s="236">
        <v>53</v>
      </c>
      <c r="F170" s="236">
        <f>15+3</f>
        <v>18</v>
      </c>
      <c r="G170" s="236">
        <v>5</v>
      </c>
      <c r="H170" s="236">
        <f>SUM(Tabla1321124[[#This Row],[PRIMER TRIMESTRE]:[CUARTO TRIMESTRE]])</f>
        <v>90</v>
      </c>
      <c r="I170" s="17">
        <v>835</v>
      </c>
      <c r="J170" s="17">
        <f>+Tabla1321124[[#This Row],[CANTIDAD TOTAL]]*Tabla1321124[[#This Row],[PRECIO UNITARIO ESTIMADO]]</f>
        <v>75150</v>
      </c>
      <c r="K170" s="17"/>
      <c r="L170" s="16" t="s">
        <v>27</v>
      </c>
      <c r="M170" s="16" t="s">
        <v>22</v>
      </c>
      <c r="N170" s="16" t="s">
        <v>418</v>
      </c>
      <c r="O170" s="243"/>
      <c r="P170" s="243"/>
      <c r="Q170" s="243"/>
      <c r="R170" s="243"/>
      <c r="S170" s="243"/>
      <c r="T170" s="243"/>
      <c r="U170" s="243"/>
      <c r="V170" s="243"/>
      <c r="W170" s="243"/>
      <c r="X170" s="243"/>
      <c r="Y170" s="243"/>
      <c r="Z170" s="243"/>
      <c r="AA170" s="243"/>
      <c r="AB170" s="243"/>
      <c r="AC170" s="243"/>
      <c r="AD170" s="243"/>
      <c r="AE170" s="243"/>
      <c r="AF170" s="243"/>
      <c r="AG170" s="243"/>
      <c r="AH170" s="243"/>
      <c r="AI170" s="243"/>
      <c r="AJ170" s="243"/>
      <c r="AK170" s="243"/>
      <c r="AL170" s="243"/>
      <c r="AM170" s="243"/>
      <c r="AN170" s="243"/>
      <c r="AO170" s="243"/>
      <c r="AP170" s="243"/>
      <c r="AQ170" s="243"/>
      <c r="AR170" s="243"/>
      <c r="AS170" s="243"/>
      <c r="AT170" s="243"/>
      <c r="AU170" s="243"/>
      <c r="AV170" s="243"/>
      <c r="AW170" s="243"/>
      <c r="AX170" s="243"/>
      <c r="AY170" s="243"/>
      <c r="AZ170" s="243"/>
      <c r="BA170" s="243"/>
      <c r="BB170" s="243"/>
      <c r="BC170" s="243"/>
      <c r="BD170" s="243"/>
      <c r="BE170" s="243"/>
      <c r="BF170" s="243"/>
      <c r="BG170" s="243"/>
      <c r="BH170" s="243"/>
      <c r="BI170" s="243"/>
      <c r="BJ170" s="243"/>
      <c r="BK170" s="243"/>
      <c r="BL170" s="243"/>
      <c r="BM170" s="243"/>
      <c r="BN170" s="243"/>
      <c r="BO170" s="243"/>
      <c r="BP170" s="243"/>
      <c r="BQ170" s="243"/>
      <c r="BR170" s="243"/>
      <c r="BS170" s="243"/>
    </row>
    <row r="171" spans="1:71" s="12" customFormat="1" ht="41.25" customHeight="1">
      <c r="A171" s="178" t="s">
        <v>62</v>
      </c>
      <c r="B171" s="178" t="str">
        <f ca="1">+UPPER(Tabla1321124[[#This Row],[DESCRIPCIÓN DE LA COMPRA O CONTRATACIÓN]])</f>
        <v>DISCO DE SIERRA 32 DIENTES 5/8</v>
      </c>
      <c r="C171" s="39" t="s">
        <v>17</v>
      </c>
      <c r="D171" s="236">
        <v>11</v>
      </c>
      <c r="E171" s="236">
        <v>5</v>
      </c>
      <c r="F171" s="236">
        <v>15</v>
      </c>
      <c r="G171" s="236">
        <f>5+3</f>
        <v>8</v>
      </c>
      <c r="H171" s="236">
        <f>SUM(Tabla1321124[[#This Row],[PRIMER TRIMESTRE]:[CUARTO TRIMESTRE]])</f>
        <v>39</v>
      </c>
      <c r="I171" s="17">
        <v>618</v>
      </c>
      <c r="J171" s="17">
        <f>+Tabla1321124[[#This Row],[CANTIDAD TOTAL]]*Tabla1321124[[#This Row],[PRECIO UNITARIO ESTIMADO]]</f>
        <v>24102</v>
      </c>
      <c r="K171" s="17"/>
      <c r="L171" s="16" t="s">
        <v>27</v>
      </c>
      <c r="M171" s="16" t="s">
        <v>22</v>
      </c>
      <c r="N171" s="16" t="s">
        <v>418</v>
      </c>
      <c r="O171" s="243"/>
      <c r="P171" s="243"/>
      <c r="Q171" s="243"/>
      <c r="R171" s="243"/>
      <c r="S171" s="243"/>
      <c r="T171" s="243"/>
      <c r="U171" s="243"/>
      <c r="V171" s="243"/>
      <c r="W171" s="243"/>
      <c r="X171" s="243"/>
      <c r="Y171" s="243"/>
      <c r="Z171" s="243"/>
      <c r="AA171" s="243"/>
      <c r="AB171" s="243"/>
      <c r="AC171" s="243"/>
      <c r="AD171" s="243"/>
      <c r="AE171" s="243"/>
      <c r="AF171" s="243"/>
      <c r="AG171" s="243"/>
      <c r="AH171" s="243"/>
      <c r="AI171" s="243"/>
      <c r="AJ171" s="243"/>
      <c r="AK171" s="243"/>
      <c r="AL171" s="243"/>
      <c r="AM171" s="243"/>
      <c r="AN171" s="243"/>
      <c r="AO171" s="243"/>
      <c r="AP171" s="243"/>
      <c r="AQ171" s="243"/>
      <c r="AR171" s="243"/>
      <c r="AS171" s="243"/>
      <c r="AT171" s="243"/>
      <c r="AU171" s="243"/>
      <c r="AV171" s="243"/>
      <c r="AW171" s="243"/>
      <c r="AX171" s="243"/>
      <c r="AY171" s="243"/>
      <c r="AZ171" s="243"/>
      <c r="BA171" s="243"/>
      <c r="BB171" s="243"/>
      <c r="BC171" s="243"/>
      <c r="BD171" s="243"/>
      <c r="BE171" s="243"/>
      <c r="BF171" s="243"/>
      <c r="BG171" s="243"/>
      <c r="BH171" s="243"/>
      <c r="BI171" s="243"/>
      <c r="BJ171" s="243"/>
      <c r="BK171" s="243"/>
      <c r="BL171" s="243"/>
      <c r="BM171" s="243"/>
      <c r="BN171" s="243"/>
      <c r="BO171" s="243"/>
      <c r="BP171" s="243"/>
      <c r="BQ171" s="243"/>
      <c r="BR171" s="243"/>
      <c r="BS171" s="243"/>
    </row>
    <row r="172" spans="1:71" s="12" customFormat="1" ht="41.25" customHeight="1">
      <c r="A172" s="178" t="s">
        <v>62</v>
      </c>
      <c r="B172" s="178" t="str">
        <f ca="1">+UPPER(Tabla1321124[[#This Row],[DESCRIPCIÓN DE LA COMPRA O CONTRATACIÓN]])</f>
        <v>HOJA DE SIERRA</v>
      </c>
      <c r="C172" s="39" t="s">
        <v>17</v>
      </c>
      <c r="D172" s="236">
        <v>5</v>
      </c>
      <c r="E172" s="236">
        <v>0</v>
      </c>
      <c r="F172" s="236">
        <v>5</v>
      </c>
      <c r="G172" s="236">
        <v>0</v>
      </c>
      <c r="H172" s="236">
        <f>SUM(Tabla1321124[[#This Row],[PRIMER TRIMESTRE]:[CUARTO TRIMESTRE]])</f>
        <v>10</v>
      </c>
      <c r="I172" s="17">
        <v>325</v>
      </c>
      <c r="J172" s="17">
        <f>+Tabla1321124[[#This Row],[CANTIDAD TOTAL]]*Tabla1321124[[#This Row],[PRECIO UNITARIO ESTIMADO]]</f>
        <v>3250</v>
      </c>
      <c r="K172" s="302"/>
      <c r="L172" s="16" t="s">
        <v>27</v>
      </c>
      <c r="M172" s="16" t="s">
        <v>22</v>
      </c>
      <c r="N172" s="16" t="s">
        <v>418</v>
      </c>
      <c r="O172" s="243"/>
      <c r="P172" s="243"/>
      <c r="Q172" s="243"/>
      <c r="R172" s="243"/>
      <c r="S172" s="243"/>
      <c r="T172" s="243"/>
      <c r="U172" s="243"/>
      <c r="V172" s="243"/>
      <c r="W172" s="243"/>
      <c r="X172" s="243"/>
      <c r="Y172" s="243"/>
      <c r="Z172" s="243"/>
      <c r="AA172" s="243"/>
      <c r="AB172" s="243"/>
      <c r="AC172" s="243"/>
      <c r="AD172" s="243"/>
      <c r="AE172" s="243"/>
      <c r="AF172" s="243"/>
      <c r="AG172" s="243"/>
      <c r="AH172" s="243"/>
      <c r="AI172" s="243"/>
      <c r="AJ172" s="243"/>
      <c r="AK172" s="243"/>
      <c r="AL172" s="243"/>
      <c r="AM172" s="243"/>
      <c r="AN172" s="243"/>
      <c r="AO172" s="243"/>
      <c r="AP172" s="243"/>
      <c r="AQ172" s="243"/>
      <c r="AR172" s="243"/>
      <c r="AS172" s="243"/>
      <c r="AT172" s="243"/>
      <c r="AU172" s="243"/>
      <c r="AV172" s="243"/>
      <c r="AW172" s="243"/>
      <c r="AX172" s="243"/>
      <c r="AY172" s="243"/>
      <c r="AZ172" s="243"/>
      <c r="BA172" s="243"/>
      <c r="BB172" s="243"/>
      <c r="BC172" s="243"/>
      <c r="BD172" s="243"/>
      <c r="BE172" s="243"/>
      <c r="BF172" s="243"/>
      <c r="BG172" s="243"/>
      <c r="BH172" s="243"/>
      <c r="BI172" s="243"/>
      <c r="BJ172" s="243"/>
      <c r="BK172" s="243"/>
      <c r="BL172" s="243"/>
      <c r="BM172" s="243"/>
      <c r="BN172" s="243"/>
      <c r="BO172" s="243"/>
      <c r="BP172" s="243"/>
      <c r="BQ172" s="243"/>
      <c r="BR172" s="243"/>
      <c r="BS172" s="243"/>
    </row>
    <row r="173" spans="1:71" s="12" customFormat="1" ht="41.25" customHeight="1">
      <c r="A173" s="178" t="s">
        <v>62</v>
      </c>
      <c r="B173" s="178" t="str">
        <f ca="1">+UPPER(Tabla1321124[[#This Row],[DESCRIPCIÓN DE LA COMPRA O CONTRATACIÓN]])</f>
        <v>MARTILLO DE CUÑA 16OZ</v>
      </c>
      <c r="C173" s="39" t="s">
        <v>17</v>
      </c>
      <c r="D173" s="236">
        <f>6+1</f>
        <v>7</v>
      </c>
      <c r="E173" s="236">
        <v>5</v>
      </c>
      <c r="F173" s="236">
        <v>10</v>
      </c>
      <c r="G173" s="236">
        <v>5</v>
      </c>
      <c r="H173" s="236">
        <f>SUM(Tabla1321124[[#This Row],[PRIMER TRIMESTRE]:[CUARTO TRIMESTRE]])</f>
        <v>27</v>
      </c>
      <c r="I173" s="17">
        <v>280</v>
      </c>
      <c r="J173" s="17">
        <f>+Tabla1321124[[#This Row],[CANTIDAD TOTAL]]*Tabla1321124[[#This Row],[PRECIO UNITARIO ESTIMADO]]</f>
        <v>7560</v>
      </c>
      <c r="K173" s="17"/>
      <c r="L173" s="16" t="s">
        <v>27</v>
      </c>
      <c r="M173" s="16" t="s">
        <v>22</v>
      </c>
      <c r="N173" s="16" t="s">
        <v>418</v>
      </c>
      <c r="O173" s="243"/>
      <c r="P173" s="243"/>
      <c r="Q173" s="243"/>
      <c r="R173" s="243"/>
      <c r="S173" s="243"/>
      <c r="T173" s="243"/>
      <c r="U173" s="243"/>
      <c r="V173" s="243"/>
      <c r="W173" s="243"/>
      <c r="X173" s="243"/>
      <c r="Y173" s="243"/>
      <c r="Z173" s="243"/>
      <c r="AA173" s="243"/>
      <c r="AB173" s="243"/>
      <c r="AC173" s="243"/>
      <c r="AD173" s="243"/>
      <c r="AE173" s="243"/>
      <c r="AF173" s="243"/>
      <c r="AG173" s="243"/>
      <c r="AH173" s="243"/>
      <c r="AI173" s="243"/>
      <c r="AJ173" s="243"/>
      <c r="AK173" s="243"/>
      <c r="AL173" s="243"/>
      <c r="AM173" s="243"/>
      <c r="AN173" s="243"/>
      <c r="AO173" s="243"/>
      <c r="AP173" s="243"/>
      <c r="AQ173" s="243"/>
      <c r="AR173" s="243"/>
      <c r="AS173" s="243"/>
      <c r="AT173" s="243"/>
      <c r="AU173" s="243"/>
      <c r="AV173" s="243"/>
      <c r="AW173" s="243"/>
      <c r="AX173" s="243"/>
      <c r="AY173" s="243"/>
      <c r="AZ173" s="243"/>
      <c r="BA173" s="243"/>
      <c r="BB173" s="243"/>
      <c r="BC173" s="243"/>
      <c r="BD173" s="243"/>
      <c r="BE173" s="243"/>
      <c r="BF173" s="243"/>
      <c r="BG173" s="243"/>
      <c r="BH173" s="243"/>
      <c r="BI173" s="243"/>
      <c r="BJ173" s="243"/>
      <c r="BK173" s="243"/>
      <c r="BL173" s="243"/>
      <c r="BM173" s="243"/>
      <c r="BN173" s="243"/>
      <c r="BO173" s="243"/>
      <c r="BP173" s="243"/>
      <c r="BQ173" s="243"/>
      <c r="BR173" s="243"/>
      <c r="BS173" s="243"/>
    </row>
    <row r="174" spans="1:71" s="12" customFormat="1" ht="41.25" customHeight="1">
      <c r="A174" s="178" t="s">
        <v>62</v>
      </c>
      <c r="B174" s="178" t="str">
        <f ca="1">+UPPER(Tabla1321124[[#This Row],[DESCRIPCIÓN DE LA COMPRA O CONTRATACIÓN]])</f>
        <v>CLAVADORA  NT50AE2 CALIBRE 18/5-2</v>
      </c>
      <c r="C174" s="39" t="s">
        <v>17</v>
      </c>
      <c r="D174" s="236"/>
      <c r="E174" s="236"/>
      <c r="F174" s="236"/>
      <c r="G174" s="236"/>
      <c r="H174" s="236">
        <f>SUM(Tabla1321124[[#This Row],[PRIMER TRIMESTRE]:[CUARTO TRIMESTRE]])</f>
        <v>0</v>
      </c>
      <c r="I174" s="17">
        <v>447.46</v>
      </c>
      <c r="J174" s="17">
        <f>+Tabla1321124[[#This Row],[CANTIDAD TOTAL]]*Tabla1321124[[#This Row],[PRECIO UNITARIO ESTIMADO]]</f>
        <v>0</v>
      </c>
      <c r="K174" s="17"/>
      <c r="L174" s="16" t="s">
        <v>27</v>
      </c>
      <c r="M174" s="16" t="s">
        <v>22</v>
      </c>
      <c r="N174" s="16" t="s">
        <v>418</v>
      </c>
      <c r="O174" s="243"/>
      <c r="P174" s="243"/>
      <c r="Q174" s="243"/>
      <c r="R174" s="243"/>
      <c r="S174" s="243"/>
      <c r="T174" s="243"/>
      <c r="U174" s="243"/>
      <c r="V174" s="243"/>
      <c r="W174" s="243"/>
      <c r="X174" s="243"/>
      <c r="Y174" s="243"/>
      <c r="Z174" s="243"/>
      <c r="AA174" s="243"/>
      <c r="AB174" s="243"/>
      <c r="AC174" s="243"/>
      <c r="AD174" s="243"/>
      <c r="AE174" s="243"/>
      <c r="AF174" s="243"/>
      <c r="AG174" s="243"/>
      <c r="AH174" s="243"/>
      <c r="AI174" s="243"/>
      <c r="AJ174" s="243"/>
      <c r="AK174" s="243"/>
      <c r="AL174" s="243"/>
      <c r="AM174" s="243"/>
      <c r="AN174" s="243"/>
      <c r="AO174" s="243"/>
      <c r="AP174" s="243"/>
      <c r="AQ174" s="243"/>
      <c r="AR174" s="243"/>
      <c r="AS174" s="243"/>
      <c r="AT174" s="243"/>
      <c r="AU174" s="243"/>
      <c r="AV174" s="243"/>
      <c r="AW174" s="243"/>
      <c r="AX174" s="243"/>
      <c r="AY174" s="243"/>
      <c r="AZ174" s="243"/>
      <c r="BA174" s="243"/>
      <c r="BB174" s="243"/>
      <c r="BC174" s="243"/>
      <c r="BD174" s="243"/>
      <c r="BE174" s="243"/>
      <c r="BF174" s="243"/>
      <c r="BG174" s="243"/>
      <c r="BH174" s="243"/>
      <c r="BI174" s="243"/>
      <c r="BJ174" s="243"/>
      <c r="BK174" s="243"/>
      <c r="BL174" s="243"/>
      <c r="BM174" s="243"/>
      <c r="BN174" s="243"/>
      <c r="BO174" s="243"/>
      <c r="BP174" s="243"/>
      <c r="BQ174" s="243"/>
      <c r="BR174" s="243"/>
      <c r="BS174" s="243"/>
    </row>
    <row r="175" spans="1:71" s="12" customFormat="1" ht="41.25" customHeight="1">
      <c r="A175" s="178" t="s">
        <v>62</v>
      </c>
      <c r="B175" s="178" t="str">
        <f ca="1">+UPPER(Tabla1321124[[#This Row],[DESCRIPCIÓN DE LA COMPRA O CONTRATACIÓN]])</f>
        <v>CLAVOS  PDPA 75 3/4, PARA 100/1</v>
      </c>
      <c r="C175" s="39" t="s">
        <v>718</v>
      </c>
      <c r="D175" s="236"/>
      <c r="E175" s="236"/>
      <c r="F175" s="236"/>
      <c r="G175" s="236"/>
      <c r="H175" s="236">
        <f>SUM(Tabla1321124[[#This Row],[PRIMER TRIMESTRE]:[CUARTO TRIMESTRE]])</f>
        <v>0</v>
      </c>
      <c r="I175" s="17">
        <v>452.8</v>
      </c>
      <c r="J175" s="17">
        <f>+Tabla1321124[[#This Row],[CANTIDAD TOTAL]]*Tabla1321124[[#This Row],[PRECIO UNITARIO ESTIMADO]]</f>
        <v>0</v>
      </c>
      <c r="K175" s="17"/>
      <c r="L175" s="16" t="s">
        <v>27</v>
      </c>
      <c r="M175" s="16" t="s">
        <v>22</v>
      </c>
      <c r="N175" s="16" t="s">
        <v>418</v>
      </c>
      <c r="O175" s="243"/>
      <c r="P175" s="243"/>
      <c r="Q175" s="243"/>
      <c r="R175" s="243"/>
      <c r="S175" s="243"/>
      <c r="T175" s="243"/>
      <c r="U175" s="243"/>
      <c r="V175" s="243"/>
      <c r="W175" s="243"/>
      <c r="X175" s="243"/>
      <c r="Y175" s="243"/>
      <c r="Z175" s="243"/>
      <c r="AA175" s="243"/>
      <c r="AB175" s="243"/>
      <c r="AC175" s="243"/>
      <c r="AD175" s="243"/>
      <c r="AE175" s="243"/>
      <c r="AF175" s="243"/>
      <c r="AG175" s="243"/>
      <c r="AH175" s="243"/>
      <c r="AI175" s="243"/>
      <c r="AJ175" s="243"/>
      <c r="AK175" s="243"/>
      <c r="AL175" s="243"/>
      <c r="AM175" s="243"/>
      <c r="AN175" s="243"/>
      <c r="AO175" s="243"/>
      <c r="AP175" s="243"/>
      <c r="AQ175" s="243"/>
      <c r="AR175" s="243"/>
      <c r="AS175" s="243"/>
      <c r="AT175" s="243"/>
      <c r="AU175" s="243"/>
      <c r="AV175" s="243"/>
      <c r="AW175" s="243"/>
      <c r="AX175" s="243"/>
      <c r="AY175" s="243"/>
      <c r="AZ175" s="243"/>
      <c r="BA175" s="243"/>
      <c r="BB175" s="243"/>
      <c r="BC175" s="243"/>
      <c r="BD175" s="243"/>
      <c r="BE175" s="243"/>
      <c r="BF175" s="243"/>
      <c r="BG175" s="243"/>
      <c r="BH175" s="243"/>
      <c r="BI175" s="243"/>
      <c r="BJ175" s="243"/>
      <c r="BK175" s="243"/>
      <c r="BL175" s="243"/>
      <c r="BM175" s="243"/>
      <c r="BN175" s="243"/>
      <c r="BO175" s="243"/>
      <c r="BP175" s="243"/>
      <c r="BQ175" s="243"/>
      <c r="BR175" s="243"/>
      <c r="BS175" s="243"/>
    </row>
    <row r="176" spans="1:71" s="12" customFormat="1" ht="41.25" customHeight="1">
      <c r="A176" s="178" t="s">
        <v>62</v>
      </c>
      <c r="B176" s="178" t="str">
        <f ca="1">+UPPER(Tabla1321124[[#This Row],[DESCRIPCIÓN DE LA COMPRA O CONTRATACIÓN]])</f>
        <v>CLAVOS PDPW  100 1, PARA 100/1</v>
      </c>
      <c r="C176" s="39" t="s">
        <v>718</v>
      </c>
      <c r="D176" s="236"/>
      <c r="E176" s="236"/>
      <c r="F176" s="236"/>
      <c r="G176" s="236"/>
      <c r="H176" s="236">
        <f>SUM(Tabla1321124[[#This Row],[PRIMER TRIMESTRE]:[CUARTO TRIMESTRE]])</f>
        <v>0</v>
      </c>
      <c r="I176" s="17">
        <v>431</v>
      </c>
      <c r="J176" s="17">
        <f>+Tabla1321124[[#This Row],[CANTIDAD TOTAL]]*Tabla1321124[[#This Row],[PRECIO UNITARIO ESTIMADO]]</f>
        <v>0</v>
      </c>
      <c r="K176" s="17"/>
      <c r="L176" s="16" t="s">
        <v>27</v>
      </c>
      <c r="M176" s="16" t="s">
        <v>22</v>
      </c>
      <c r="N176" s="16" t="s">
        <v>418</v>
      </c>
      <c r="O176" s="243"/>
      <c r="P176" s="243"/>
      <c r="Q176" s="243"/>
      <c r="R176" s="243"/>
      <c r="S176" s="243"/>
      <c r="T176" s="243"/>
      <c r="U176" s="243"/>
      <c r="V176" s="243"/>
      <c r="W176" s="243"/>
      <c r="X176" s="243"/>
      <c r="Y176" s="243"/>
      <c r="Z176" s="243"/>
      <c r="AA176" s="243"/>
      <c r="AB176" s="243"/>
      <c r="AC176" s="243"/>
      <c r="AD176" s="243"/>
      <c r="AE176" s="243"/>
      <c r="AF176" s="243"/>
      <c r="AG176" s="243"/>
      <c r="AH176" s="243"/>
      <c r="AI176" s="243"/>
      <c r="AJ176" s="243"/>
      <c r="AK176" s="243"/>
      <c r="AL176" s="243"/>
      <c r="AM176" s="243"/>
      <c r="AN176" s="243"/>
      <c r="AO176" s="243"/>
      <c r="AP176" s="243"/>
      <c r="AQ176" s="243"/>
      <c r="AR176" s="243"/>
      <c r="AS176" s="243"/>
      <c r="AT176" s="243"/>
      <c r="AU176" s="243"/>
      <c r="AV176" s="243"/>
      <c r="AW176" s="243"/>
      <c r="AX176" s="243"/>
      <c r="AY176" s="243"/>
      <c r="AZ176" s="243"/>
      <c r="BA176" s="243"/>
      <c r="BB176" s="243"/>
      <c r="BC176" s="243"/>
      <c r="BD176" s="243"/>
      <c r="BE176" s="243"/>
      <c r="BF176" s="243"/>
      <c r="BG176" s="243"/>
      <c r="BH176" s="243"/>
      <c r="BI176" s="243"/>
      <c r="BJ176" s="243"/>
      <c r="BK176" s="243"/>
      <c r="BL176" s="243"/>
      <c r="BM176" s="243"/>
      <c r="BN176" s="243"/>
      <c r="BO176" s="243"/>
      <c r="BP176" s="243"/>
      <c r="BQ176" s="243"/>
      <c r="BR176" s="243"/>
      <c r="BS176" s="243"/>
    </row>
    <row r="177" spans="1:71" s="12" customFormat="1" ht="41.25" customHeight="1">
      <c r="A177" s="178" t="s">
        <v>62</v>
      </c>
      <c r="B177" s="178" t="str">
        <f ca="1">+UPPER(Tabla1321124[[#This Row],[DESCRIPCIÓN DE LA COMPRA O CONTRATACIÓN]])</f>
        <v>CLAVOS PDPA 150 3/4, PARA 100/1</v>
      </c>
      <c r="C177" s="39" t="s">
        <v>718</v>
      </c>
      <c r="D177" s="236"/>
      <c r="E177" s="236"/>
      <c r="F177" s="236"/>
      <c r="G177" s="236"/>
      <c r="H177" s="236">
        <f>SUM(Tabla1321124[[#This Row],[PRIMER TRIMESTRE]:[CUARTO TRIMESTRE]])</f>
        <v>0</v>
      </c>
      <c r="I177" s="17">
        <v>145.30000000000001</v>
      </c>
      <c r="J177" s="17">
        <f>+Tabla1321124[[#This Row],[CANTIDAD TOTAL]]*Tabla1321124[[#This Row],[PRECIO UNITARIO ESTIMADO]]</f>
        <v>0</v>
      </c>
      <c r="K177" s="17"/>
      <c r="L177" s="16" t="s">
        <v>27</v>
      </c>
      <c r="M177" s="16" t="s">
        <v>22</v>
      </c>
      <c r="N177" s="16" t="s">
        <v>418</v>
      </c>
      <c r="O177" s="243"/>
      <c r="P177" s="243"/>
      <c r="Q177" s="243"/>
      <c r="R177" s="243"/>
      <c r="S177" s="243"/>
      <c r="T177" s="243"/>
      <c r="U177" s="243"/>
      <c r="V177" s="243"/>
      <c r="W177" s="243"/>
      <c r="X177" s="243"/>
      <c r="Y177" s="243"/>
      <c r="Z177" s="243"/>
      <c r="AA177" s="243"/>
      <c r="AB177" s="243"/>
      <c r="AC177" s="243"/>
      <c r="AD177" s="243"/>
      <c r="AE177" s="243"/>
      <c r="AF177" s="243"/>
      <c r="AG177" s="243"/>
      <c r="AH177" s="243"/>
      <c r="AI177" s="243"/>
      <c r="AJ177" s="243"/>
      <c r="AK177" s="243"/>
      <c r="AL177" s="243"/>
      <c r="AM177" s="243"/>
      <c r="AN177" s="243"/>
      <c r="AO177" s="243"/>
      <c r="AP177" s="243"/>
      <c r="AQ177" s="243"/>
      <c r="AR177" s="243"/>
      <c r="AS177" s="243"/>
      <c r="AT177" s="243"/>
      <c r="AU177" s="243"/>
      <c r="AV177" s="243"/>
      <c r="AW177" s="243"/>
      <c r="AX177" s="243"/>
      <c r="AY177" s="243"/>
      <c r="AZ177" s="243"/>
      <c r="BA177" s="243"/>
      <c r="BB177" s="243"/>
      <c r="BC177" s="243"/>
      <c r="BD177" s="243"/>
      <c r="BE177" s="243"/>
      <c r="BF177" s="243"/>
      <c r="BG177" s="243"/>
      <c r="BH177" s="243"/>
      <c r="BI177" s="243"/>
      <c r="BJ177" s="243"/>
      <c r="BK177" s="243"/>
      <c r="BL177" s="243"/>
      <c r="BM177" s="243"/>
      <c r="BN177" s="243"/>
      <c r="BO177" s="243"/>
      <c r="BP177" s="243"/>
      <c r="BQ177" s="243"/>
      <c r="BR177" s="243"/>
      <c r="BS177" s="243"/>
    </row>
    <row r="178" spans="1:71" s="12" customFormat="1" ht="41.25" customHeight="1">
      <c r="A178" s="178" t="s">
        <v>62</v>
      </c>
      <c r="B178" s="178" t="str">
        <f ca="1">+UPPER(Tabla1321124[[#This Row],[DESCRIPCIÓN DE LA COMPRA O CONTRATACIÓN]])</f>
        <v>MARTILLO DE BOLA 3 LIBRA</v>
      </c>
      <c r="C178" s="39" t="s">
        <v>17</v>
      </c>
      <c r="D178" s="236">
        <v>3</v>
      </c>
      <c r="E178" s="236"/>
      <c r="F178" s="236"/>
      <c r="G178" s="236"/>
      <c r="H178" s="240">
        <f>SUM(Tabla1321124[[#This Row],[PRIMER TRIMESTRE]:[CUARTO TRIMESTRE]])</f>
        <v>3</v>
      </c>
      <c r="I178" s="17">
        <v>800</v>
      </c>
      <c r="J178" s="17">
        <f>+Tabla1321124[[#This Row],[CANTIDAD TOTAL]]*Tabla1321124[[#This Row],[PRECIO UNITARIO ESTIMADO]]</f>
        <v>2400</v>
      </c>
      <c r="K178" s="17"/>
      <c r="L178" s="16" t="s">
        <v>27</v>
      </c>
      <c r="M178" s="16" t="s">
        <v>22</v>
      </c>
      <c r="N178" s="16" t="s">
        <v>418</v>
      </c>
      <c r="O178" s="243"/>
      <c r="P178" s="243"/>
      <c r="Q178" s="243"/>
      <c r="R178" s="243"/>
      <c r="S178" s="243"/>
      <c r="T178" s="243"/>
      <c r="U178" s="243"/>
      <c r="V178" s="243"/>
      <c r="W178" s="243"/>
      <c r="X178" s="243"/>
      <c r="Y178" s="243"/>
      <c r="Z178" s="243"/>
      <c r="AA178" s="243"/>
      <c r="AB178" s="243"/>
      <c r="AC178" s="243"/>
      <c r="AD178" s="243"/>
      <c r="AE178" s="243"/>
      <c r="AF178" s="243"/>
      <c r="AG178" s="243"/>
      <c r="AH178" s="243"/>
      <c r="AI178" s="243"/>
      <c r="AJ178" s="243"/>
      <c r="AK178" s="243"/>
      <c r="AL178" s="243"/>
      <c r="AM178" s="243"/>
      <c r="AN178" s="243"/>
      <c r="AO178" s="243"/>
      <c r="AP178" s="243"/>
      <c r="AQ178" s="243"/>
      <c r="AR178" s="243"/>
      <c r="AS178" s="243"/>
      <c r="AT178" s="243"/>
      <c r="AU178" s="243"/>
      <c r="AV178" s="243"/>
      <c r="AW178" s="243"/>
      <c r="AX178" s="243"/>
      <c r="AY178" s="243"/>
      <c r="AZ178" s="243"/>
      <c r="BA178" s="243"/>
      <c r="BB178" s="243"/>
      <c r="BC178" s="243"/>
      <c r="BD178" s="243"/>
      <c r="BE178" s="243"/>
      <c r="BF178" s="243"/>
      <c r="BG178" s="243"/>
      <c r="BH178" s="243"/>
      <c r="BI178" s="243"/>
      <c r="BJ178" s="243"/>
      <c r="BK178" s="243"/>
      <c r="BL178" s="243"/>
      <c r="BM178" s="243"/>
      <c r="BN178" s="243"/>
      <c r="BO178" s="243"/>
      <c r="BP178" s="243"/>
      <c r="BQ178" s="243"/>
      <c r="BR178" s="243"/>
      <c r="BS178" s="243"/>
    </row>
    <row r="179" spans="1:71" s="12" customFormat="1" ht="41.25" customHeight="1">
      <c r="A179" s="178" t="s">
        <v>62</v>
      </c>
      <c r="B179" s="178" t="str">
        <f ca="1">+UPPER(Tabla1321124[[#This Row],[DESCRIPCIÓN DE LA COMPRA O CONTRATACIÓN]])</f>
        <v>MARTILLO DE BOLA 4 LIBRA</v>
      </c>
      <c r="C179" s="39" t="s">
        <v>17</v>
      </c>
      <c r="D179" s="236">
        <v>3</v>
      </c>
      <c r="E179" s="236"/>
      <c r="F179" s="236"/>
      <c r="G179" s="236"/>
      <c r="H179" s="240">
        <f>SUM(Tabla1321124[[#This Row],[PRIMER TRIMESTRE]:[CUARTO TRIMESTRE]])</f>
        <v>3</v>
      </c>
      <c r="I179" s="17">
        <v>900</v>
      </c>
      <c r="J179" s="17">
        <f>+Tabla1321124[[#This Row],[CANTIDAD TOTAL]]*Tabla1321124[[#This Row],[PRECIO UNITARIO ESTIMADO]]</f>
        <v>2700</v>
      </c>
      <c r="K179" s="17"/>
      <c r="L179" s="16" t="s">
        <v>27</v>
      </c>
      <c r="M179" s="16" t="s">
        <v>22</v>
      </c>
      <c r="N179" s="16" t="s">
        <v>418</v>
      </c>
      <c r="O179" s="243"/>
      <c r="P179" s="243"/>
      <c r="Q179" s="243"/>
      <c r="R179" s="243"/>
      <c r="S179" s="243"/>
      <c r="T179" s="243"/>
      <c r="U179" s="243"/>
      <c r="V179" s="243"/>
      <c r="W179" s="243"/>
      <c r="X179" s="243"/>
      <c r="Y179" s="243"/>
      <c r="Z179" s="243"/>
      <c r="AA179" s="243"/>
      <c r="AB179" s="243"/>
      <c r="AC179" s="243"/>
      <c r="AD179" s="243"/>
      <c r="AE179" s="243"/>
      <c r="AF179" s="243"/>
      <c r="AG179" s="243"/>
      <c r="AH179" s="243"/>
      <c r="AI179" s="243"/>
      <c r="AJ179" s="243"/>
      <c r="AK179" s="243"/>
      <c r="AL179" s="243"/>
      <c r="AM179" s="243"/>
      <c r="AN179" s="243"/>
      <c r="AO179" s="243"/>
      <c r="AP179" s="243"/>
      <c r="AQ179" s="243"/>
      <c r="AR179" s="243"/>
      <c r="AS179" s="243"/>
      <c r="AT179" s="243"/>
      <c r="AU179" s="243"/>
      <c r="AV179" s="243"/>
      <c r="AW179" s="243"/>
      <c r="AX179" s="243"/>
      <c r="AY179" s="243"/>
      <c r="AZ179" s="243"/>
      <c r="BA179" s="243"/>
      <c r="BB179" s="243"/>
      <c r="BC179" s="243"/>
      <c r="BD179" s="243"/>
      <c r="BE179" s="243"/>
      <c r="BF179" s="243"/>
      <c r="BG179" s="243"/>
      <c r="BH179" s="243"/>
      <c r="BI179" s="243"/>
      <c r="BJ179" s="243"/>
      <c r="BK179" s="243"/>
      <c r="BL179" s="243"/>
      <c r="BM179" s="243"/>
      <c r="BN179" s="243"/>
      <c r="BO179" s="243"/>
      <c r="BP179" s="243"/>
      <c r="BQ179" s="243"/>
      <c r="BR179" s="243"/>
      <c r="BS179" s="243"/>
    </row>
    <row r="180" spans="1:71" s="12" customFormat="1" ht="41.25" customHeight="1">
      <c r="A180" s="178" t="s">
        <v>62</v>
      </c>
      <c r="B180" s="178" t="str">
        <f ca="1">+UPPER(Tabla1321124[[#This Row],[DESCRIPCIÓN DE LA COMPRA O CONTRATACIÓN]])</f>
        <v>MACETA DE 8 LBS</v>
      </c>
      <c r="C180" s="39" t="s">
        <v>17</v>
      </c>
      <c r="D180" s="236">
        <v>1</v>
      </c>
      <c r="E180" s="236"/>
      <c r="F180" s="236"/>
      <c r="G180" s="236"/>
      <c r="H180" s="240">
        <f>SUM(Tabla1321124[[#This Row],[PRIMER TRIMESTRE]:[CUARTO TRIMESTRE]])</f>
        <v>1</v>
      </c>
      <c r="I180" s="17">
        <v>375</v>
      </c>
      <c r="J180" s="17">
        <f>+Tabla1321124[[#This Row],[CANTIDAD TOTAL]]*Tabla1321124[[#This Row],[PRECIO UNITARIO ESTIMADO]]</f>
        <v>375</v>
      </c>
      <c r="K180" s="17"/>
      <c r="L180" s="16" t="s">
        <v>27</v>
      </c>
      <c r="M180" s="16" t="s">
        <v>22</v>
      </c>
      <c r="N180" s="16" t="s">
        <v>418</v>
      </c>
      <c r="O180" s="243"/>
      <c r="P180" s="243"/>
      <c r="Q180" s="243"/>
      <c r="R180" s="243"/>
      <c r="S180" s="243"/>
      <c r="T180" s="243"/>
      <c r="U180" s="243"/>
      <c r="V180" s="243"/>
      <c r="W180" s="243"/>
      <c r="X180" s="243"/>
      <c r="Y180" s="243"/>
      <c r="Z180" s="243"/>
      <c r="AA180" s="243"/>
      <c r="AB180" s="243"/>
      <c r="AC180" s="243"/>
      <c r="AD180" s="243"/>
      <c r="AE180" s="243"/>
      <c r="AF180" s="243"/>
      <c r="AG180" s="243"/>
      <c r="AH180" s="243"/>
      <c r="AI180" s="243"/>
      <c r="AJ180" s="243"/>
      <c r="AK180" s="243"/>
      <c r="AL180" s="243"/>
      <c r="AM180" s="243"/>
      <c r="AN180" s="243"/>
      <c r="AO180" s="243"/>
      <c r="AP180" s="243"/>
      <c r="AQ180" s="243"/>
      <c r="AR180" s="243"/>
      <c r="AS180" s="243"/>
      <c r="AT180" s="243"/>
      <c r="AU180" s="243"/>
      <c r="AV180" s="243"/>
      <c r="AW180" s="243"/>
      <c r="AX180" s="243"/>
      <c r="AY180" s="243"/>
      <c r="AZ180" s="243"/>
      <c r="BA180" s="243"/>
      <c r="BB180" s="243"/>
      <c r="BC180" s="243"/>
      <c r="BD180" s="243"/>
      <c r="BE180" s="243"/>
      <c r="BF180" s="243"/>
      <c r="BG180" s="243"/>
      <c r="BH180" s="243"/>
      <c r="BI180" s="243"/>
      <c r="BJ180" s="243"/>
      <c r="BK180" s="243"/>
      <c r="BL180" s="243"/>
      <c r="BM180" s="243"/>
      <c r="BN180" s="243"/>
      <c r="BO180" s="243"/>
      <c r="BP180" s="243"/>
      <c r="BQ180" s="243"/>
      <c r="BR180" s="243"/>
      <c r="BS180" s="243"/>
    </row>
    <row r="181" spans="1:71" s="12" customFormat="1" ht="41.25" customHeight="1">
      <c r="A181" s="178" t="s">
        <v>62</v>
      </c>
      <c r="B181" s="178" t="str">
        <f ca="1">+UPPER(Tabla1321124[[#This Row],[DESCRIPCIÓN DE LA COMPRA O CONTRATACIÓN]])</f>
        <v>MACETA DE 3 LBS</v>
      </c>
      <c r="C181" s="39" t="s">
        <v>17</v>
      </c>
      <c r="D181" s="236">
        <f>3+1</f>
        <v>4</v>
      </c>
      <c r="E181" s="236"/>
      <c r="F181" s="236">
        <v>1</v>
      </c>
      <c r="G181" s="236"/>
      <c r="H181" s="240">
        <f>SUM(Tabla1321124[[#This Row],[PRIMER TRIMESTRE]:[CUARTO TRIMESTRE]])</f>
        <v>5</v>
      </c>
      <c r="I181" s="17">
        <v>1300</v>
      </c>
      <c r="J181" s="17">
        <f>+Tabla1321124[[#This Row],[CANTIDAD TOTAL]]*Tabla1321124[[#This Row],[PRECIO UNITARIO ESTIMADO]]</f>
        <v>6500</v>
      </c>
      <c r="K181" s="17"/>
      <c r="L181" s="16" t="s">
        <v>27</v>
      </c>
      <c r="M181" s="16" t="s">
        <v>22</v>
      </c>
      <c r="N181" s="16" t="s">
        <v>418</v>
      </c>
      <c r="O181" s="243"/>
      <c r="P181" s="243"/>
      <c r="Q181" s="243"/>
      <c r="R181" s="243"/>
      <c r="S181" s="243"/>
      <c r="T181" s="243"/>
      <c r="U181" s="243"/>
      <c r="V181" s="243"/>
      <c r="W181" s="243"/>
      <c r="X181" s="243"/>
      <c r="Y181" s="243"/>
      <c r="Z181" s="243"/>
      <c r="AA181" s="243"/>
      <c r="AB181" s="243"/>
      <c r="AC181" s="243"/>
      <c r="AD181" s="243"/>
      <c r="AE181" s="243"/>
      <c r="AF181" s="243"/>
      <c r="AG181" s="243"/>
      <c r="AH181" s="243"/>
      <c r="AI181" s="243"/>
      <c r="AJ181" s="243"/>
      <c r="AK181" s="243"/>
      <c r="AL181" s="243"/>
      <c r="AM181" s="243"/>
      <c r="AN181" s="243"/>
      <c r="AO181" s="243"/>
      <c r="AP181" s="243"/>
      <c r="AQ181" s="243"/>
      <c r="AR181" s="243"/>
      <c r="AS181" s="243"/>
      <c r="AT181" s="243"/>
      <c r="AU181" s="243"/>
      <c r="AV181" s="243"/>
      <c r="AW181" s="243"/>
      <c r="AX181" s="243"/>
      <c r="AY181" s="243"/>
      <c r="AZ181" s="243"/>
      <c r="BA181" s="243"/>
      <c r="BB181" s="243"/>
      <c r="BC181" s="243"/>
      <c r="BD181" s="243"/>
      <c r="BE181" s="243"/>
      <c r="BF181" s="243"/>
      <c r="BG181" s="243"/>
      <c r="BH181" s="243"/>
      <c r="BI181" s="243"/>
      <c r="BJ181" s="243"/>
      <c r="BK181" s="243"/>
      <c r="BL181" s="243"/>
      <c r="BM181" s="243"/>
      <c r="BN181" s="243"/>
      <c r="BO181" s="243"/>
      <c r="BP181" s="243"/>
      <c r="BQ181" s="243"/>
      <c r="BR181" s="243"/>
      <c r="BS181" s="243"/>
    </row>
    <row r="182" spans="1:71" s="26" customFormat="1" ht="41.25" customHeight="1">
      <c r="A182" s="178" t="s">
        <v>62</v>
      </c>
      <c r="B182" s="178" t="str">
        <f ca="1">+UPPER(Tabla1321124[[#This Row],[DESCRIPCIÓN DE LA COMPRA O CONTRATACIÓN]])</f>
        <v>MACETA DE 2 LBS</v>
      </c>
      <c r="C182" s="39" t="s">
        <v>17</v>
      </c>
      <c r="D182" s="236">
        <f>2+1</f>
        <v>3</v>
      </c>
      <c r="E182" s="236"/>
      <c r="F182" s="236"/>
      <c r="G182" s="236"/>
      <c r="H182" s="240">
        <f>SUM(Tabla1321124[[#This Row],[PRIMER TRIMESTRE]:[CUARTO TRIMESTRE]])</f>
        <v>3</v>
      </c>
      <c r="I182" s="17">
        <v>900</v>
      </c>
      <c r="J182" s="17">
        <f>+Tabla1321124[[#This Row],[CANTIDAD TOTAL]]*Tabla1321124[[#This Row],[PRECIO UNITARIO ESTIMADO]]</f>
        <v>2700</v>
      </c>
      <c r="K182" s="17"/>
      <c r="L182" s="16" t="s">
        <v>27</v>
      </c>
      <c r="M182" s="16" t="s">
        <v>22</v>
      </c>
      <c r="N182" s="16" t="s">
        <v>418</v>
      </c>
      <c r="O182" s="243"/>
      <c r="P182" s="243"/>
      <c r="Q182" s="243"/>
      <c r="R182" s="243"/>
      <c r="S182" s="243"/>
      <c r="T182" s="243"/>
      <c r="U182" s="243"/>
      <c r="V182" s="243"/>
      <c r="W182" s="243"/>
      <c r="X182" s="243"/>
      <c r="Y182" s="243"/>
      <c r="Z182" s="243"/>
      <c r="AA182" s="243"/>
      <c r="AB182" s="243"/>
      <c r="AC182" s="243"/>
      <c r="AD182" s="243"/>
      <c r="AE182" s="243"/>
      <c r="AF182" s="243"/>
      <c r="AG182" s="243"/>
      <c r="AH182" s="243"/>
      <c r="AI182" s="243"/>
      <c r="AJ182" s="243"/>
      <c r="AK182" s="243"/>
      <c r="AL182" s="243"/>
      <c r="AM182" s="243"/>
      <c r="AN182" s="243"/>
      <c r="AO182" s="243"/>
      <c r="AP182" s="243"/>
      <c r="AQ182" s="243"/>
      <c r="AR182" s="243"/>
      <c r="AS182" s="243"/>
      <c r="AT182" s="243"/>
      <c r="AU182" s="243"/>
      <c r="AV182" s="243"/>
      <c r="AW182" s="243"/>
      <c r="AX182" s="243"/>
      <c r="AY182" s="243"/>
      <c r="AZ182" s="243"/>
      <c r="BA182" s="243"/>
      <c r="BB182" s="243"/>
      <c r="BC182" s="243"/>
      <c r="BD182" s="243"/>
      <c r="BE182" s="243"/>
      <c r="BF182" s="243"/>
      <c r="BG182" s="243"/>
      <c r="BH182" s="243"/>
      <c r="BI182" s="243"/>
      <c r="BJ182" s="243"/>
      <c r="BK182" s="243"/>
      <c r="BL182" s="243"/>
      <c r="BM182" s="243"/>
      <c r="BN182" s="243"/>
      <c r="BO182" s="243"/>
      <c r="BP182" s="243"/>
      <c r="BQ182" s="243"/>
      <c r="BR182" s="243"/>
      <c r="BS182" s="243"/>
    </row>
    <row r="183" spans="1:71" s="26" customFormat="1" ht="41.25" customHeight="1">
      <c r="A183" s="178" t="s">
        <v>62</v>
      </c>
      <c r="B183" s="178" t="str">
        <f ca="1">+UPPER(Tabla1321124[[#This Row],[DESCRIPCIÓN DE LA COMPRA O CONTRATACIÓN]])</f>
        <v>MACETA DE 5 LBS</v>
      </c>
      <c r="C183" s="39" t="s">
        <v>17</v>
      </c>
      <c r="D183" s="236">
        <v>3</v>
      </c>
      <c r="E183" s="236"/>
      <c r="F183" s="236"/>
      <c r="G183" s="236"/>
      <c r="H183" s="240">
        <f>SUM(Tabla1321124[[#This Row],[PRIMER TRIMESTRE]:[CUARTO TRIMESTRE]])</f>
        <v>3</v>
      </c>
      <c r="I183" s="17">
        <v>1800</v>
      </c>
      <c r="J183" s="17">
        <f>+Tabla1321124[[#This Row],[CANTIDAD TOTAL]]*Tabla1321124[[#This Row],[PRECIO UNITARIO ESTIMADO]]</f>
        <v>5400</v>
      </c>
      <c r="K183" s="17"/>
      <c r="L183" s="16" t="s">
        <v>27</v>
      </c>
      <c r="M183" s="16" t="s">
        <v>22</v>
      </c>
      <c r="N183" s="16" t="s">
        <v>418</v>
      </c>
      <c r="O183" s="243"/>
      <c r="P183" s="243"/>
      <c r="Q183" s="243"/>
      <c r="R183" s="243"/>
      <c r="S183" s="243"/>
      <c r="T183" s="243"/>
      <c r="U183" s="243"/>
      <c r="V183" s="243"/>
      <c r="W183" s="243"/>
      <c r="X183" s="243"/>
      <c r="Y183" s="243"/>
      <c r="Z183" s="243"/>
      <c r="AA183" s="243"/>
      <c r="AB183" s="243"/>
      <c r="AC183" s="243"/>
      <c r="AD183" s="243"/>
      <c r="AE183" s="243"/>
      <c r="AF183" s="243"/>
      <c r="AG183" s="243"/>
      <c r="AH183" s="243"/>
      <c r="AI183" s="243"/>
      <c r="AJ183" s="243"/>
      <c r="AK183" s="243"/>
      <c r="AL183" s="243"/>
      <c r="AM183" s="243"/>
      <c r="AN183" s="243"/>
      <c r="AO183" s="243"/>
      <c r="AP183" s="243"/>
      <c r="AQ183" s="243"/>
      <c r="AR183" s="243"/>
      <c r="AS183" s="243"/>
      <c r="AT183" s="243"/>
      <c r="AU183" s="243"/>
      <c r="AV183" s="243"/>
      <c r="AW183" s="243"/>
      <c r="AX183" s="243"/>
      <c r="AY183" s="243"/>
      <c r="AZ183" s="243"/>
      <c r="BA183" s="243"/>
      <c r="BB183" s="243"/>
      <c r="BC183" s="243"/>
      <c r="BD183" s="243"/>
      <c r="BE183" s="243"/>
      <c r="BF183" s="243"/>
      <c r="BG183" s="243"/>
      <c r="BH183" s="243"/>
      <c r="BI183" s="243"/>
      <c r="BJ183" s="243"/>
      <c r="BK183" s="243"/>
      <c r="BL183" s="243"/>
      <c r="BM183" s="243"/>
      <c r="BN183" s="243"/>
      <c r="BO183" s="243"/>
      <c r="BP183" s="243"/>
      <c r="BQ183" s="243"/>
      <c r="BR183" s="243"/>
      <c r="BS183" s="243"/>
    </row>
    <row r="184" spans="1:71" s="26" customFormat="1" ht="41.25" customHeight="1">
      <c r="A184" s="178" t="s">
        <v>62</v>
      </c>
      <c r="B184" s="178" t="str">
        <f ca="1">+UPPER(Tabla1321124[[#This Row],[DESCRIPCIÓN DE LA COMPRA O CONTRATACIÓN]])</f>
        <v>MONTAPELO SINTETICO 1 1/4''</v>
      </c>
      <c r="C184" s="39" t="s">
        <v>17</v>
      </c>
      <c r="D184" s="236">
        <v>1</v>
      </c>
      <c r="E184" s="236"/>
      <c r="F184" s="236"/>
      <c r="G184" s="236"/>
      <c r="H184" s="240">
        <v>0</v>
      </c>
      <c r="I184" s="17">
        <v>0</v>
      </c>
      <c r="J184" s="17">
        <f>+Tabla1321124[[#This Row],[CANTIDAD TOTAL]]*Tabla1321124[[#This Row],[PRECIO UNITARIO ESTIMADO]]</f>
        <v>0</v>
      </c>
      <c r="K184" s="17"/>
      <c r="L184" s="16" t="s">
        <v>27</v>
      </c>
      <c r="M184" s="16" t="s">
        <v>22</v>
      </c>
      <c r="N184" s="16" t="s">
        <v>418</v>
      </c>
      <c r="O184" s="243"/>
      <c r="P184" s="243"/>
      <c r="Q184" s="243"/>
      <c r="R184" s="243"/>
      <c r="S184" s="243"/>
      <c r="T184" s="243"/>
      <c r="U184" s="243"/>
      <c r="V184" s="243"/>
      <c r="W184" s="243"/>
      <c r="X184" s="243"/>
      <c r="Y184" s="243"/>
      <c r="Z184" s="243"/>
      <c r="AA184" s="243"/>
      <c r="AB184" s="243"/>
      <c r="AC184" s="243"/>
      <c r="AD184" s="243"/>
      <c r="AE184" s="243"/>
      <c r="AF184" s="243"/>
      <c r="AG184" s="243"/>
      <c r="AH184" s="243"/>
      <c r="AI184" s="243"/>
      <c r="AJ184" s="243"/>
      <c r="AK184" s="243"/>
      <c r="AL184" s="243"/>
      <c r="AM184" s="243"/>
      <c r="AN184" s="243"/>
      <c r="AO184" s="243"/>
      <c r="AP184" s="243"/>
      <c r="AQ184" s="243"/>
      <c r="AR184" s="243"/>
      <c r="AS184" s="243"/>
      <c r="AT184" s="243"/>
      <c r="AU184" s="243"/>
      <c r="AV184" s="243"/>
      <c r="AW184" s="243"/>
      <c r="AX184" s="243"/>
      <c r="AY184" s="243"/>
      <c r="AZ184" s="243"/>
      <c r="BA184" s="243"/>
      <c r="BB184" s="243"/>
      <c r="BC184" s="243"/>
      <c r="BD184" s="243"/>
      <c r="BE184" s="243"/>
      <c r="BF184" s="243"/>
      <c r="BG184" s="243"/>
      <c r="BH184" s="243"/>
      <c r="BI184" s="243"/>
      <c r="BJ184" s="243"/>
      <c r="BK184" s="243"/>
      <c r="BL184" s="243"/>
      <c r="BM184" s="243"/>
      <c r="BN184" s="243"/>
      <c r="BO184" s="243"/>
      <c r="BP184" s="243"/>
      <c r="BQ184" s="243"/>
      <c r="BR184" s="243"/>
      <c r="BS184" s="243"/>
    </row>
    <row r="185" spans="1:71" s="26" customFormat="1" ht="41.25" customHeight="1">
      <c r="A185" s="178" t="s">
        <v>62</v>
      </c>
      <c r="B185" s="178" t="str">
        <f ca="1">+UPPER(Tabla1321124[[#This Row],[DESCRIPCIÓN DE LA COMPRA O CONTRATACIÓN]])</f>
        <v>PALA CUADRADA</v>
      </c>
      <c r="C185" s="39" t="s">
        <v>17</v>
      </c>
      <c r="D185" s="210">
        <v>15</v>
      </c>
      <c r="E185" s="210"/>
      <c r="F185" s="210"/>
      <c r="G185" s="210"/>
      <c r="H185" s="249">
        <f>SUM(Tabla1321124[[#This Row],[PRIMER TRIMESTRE]:[CUARTO TRIMESTRE]])</f>
        <v>15</v>
      </c>
      <c r="I185" s="17">
        <v>350</v>
      </c>
      <c r="J185" s="17">
        <f>+Tabla1321124[[#This Row],[CANTIDAD TOTAL]]*Tabla1321124[[#This Row],[PRECIO UNITARIO ESTIMADO]]</f>
        <v>5250</v>
      </c>
      <c r="K185" s="17"/>
      <c r="L185" s="16" t="s">
        <v>27</v>
      </c>
      <c r="M185" s="16" t="s">
        <v>22</v>
      </c>
      <c r="N185" s="16" t="s">
        <v>418</v>
      </c>
      <c r="O185" s="243"/>
      <c r="P185" s="243"/>
      <c r="Q185" s="243"/>
      <c r="R185" s="243"/>
      <c r="S185" s="243"/>
      <c r="T185" s="243"/>
      <c r="U185" s="243"/>
      <c r="V185" s="243"/>
      <c r="W185" s="243"/>
      <c r="X185" s="243"/>
      <c r="Y185" s="243"/>
      <c r="Z185" s="243"/>
      <c r="AA185" s="243"/>
      <c r="AB185" s="243"/>
      <c r="AC185" s="243"/>
      <c r="AD185" s="243"/>
      <c r="AE185" s="243"/>
      <c r="AF185" s="243"/>
      <c r="AG185" s="243"/>
      <c r="AH185" s="243"/>
      <c r="AI185" s="243"/>
      <c r="AJ185" s="243"/>
      <c r="AK185" s="243"/>
      <c r="AL185" s="243"/>
      <c r="AM185" s="243"/>
      <c r="AN185" s="243"/>
      <c r="AO185" s="243"/>
      <c r="AP185" s="243"/>
      <c r="AQ185" s="243"/>
      <c r="AR185" s="243"/>
      <c r="AS185" s="243"/>
      <c r="AT185" s="243"/>
      <c r="AU185" s="243"/>
      <c r="AV185" s="243"/>
      <c r="AW185" s="243"/>
      <c r="AX185" s="243"/>
      <c r="AY185" s="243"/>
      <c r="AZ185" s="243"/>
      <c r="BA185" s="243"/>
      <c r="BB185" s="243"/>
      <c r="BC185" s="243"/>
      <c r="BD185" s="243"/>
      <c r="BE185" s="243"/>
      <c r="BF185" s="243"/>
      <c r="BG185" s="243"/>
      <c r="BH185" s="243"/>
      <c r="BI185" s="243"/>
      <c r="BJ185" s="243"/>
      <c r="BK185" s="243"/>
      <c r="BL185" s="243"/>
      <c r="BM185" s="243"/>
      <c r="BN185" s="243"/>
      <c r="BO185" s="243"/>
      <c r="BP185" s="243"/>
      <c r="BQ185" s="243"/>
      <c r="BR185" s="243"/>
      <c r="BS185" s="243"/>
    </row>
    <row r="186" spans="1:71" s="26" customFormat="1" ht="41.25" customHeight="1">
      <c r="A186" s="178" t="s">
        <v>62</v>
      </c>
      <c r="B186" s="178" t="str">
        <f ca="1">+UPPER(Tabla1321124[[#This Row],[DESCRIPCIÓN DE LA COMPRA O CONTRATACIÓN]])</f>
        <v xml:space="preserve">PALA DE CORTE REDONDA </v>
      </c>
      <c r="C186" s="39" t="s">
        <v>17</v>
      </c>
      <c r="D186" s="70">
        <v>650</v>
      </c>
      <c r="E186" s="70">
        <v>650</v>
      </c>
      <c r="F186" s="70">
        <v>600</v>
      </c>
      <c r="G186" s="70">
        <v>600</v>
      </c>
      <c r="H186" s="249">
        <f>SUM(Tabla1321124[[#This Row],[PRIMER TRIMESTRE]:[CUARTO TRIMESTRE]])</f>
        <v>2500</v>
      </c>
      <c r="I186" s="17">
        <v>397.45</v>
      </c>
      <c r="J186" s="17">
        <f>+Tabla1321124[[#This Row],[CANTIDAD TOTAL]]*Tabla1321124[[#This Row],[PRECIO UNITARIO ESTIMADO]]</f>
        <v>993625</v>
      </c>
      <c r="K186" s="17"/>
      <c r="L186" s="16" t="s">
        <v>27</v>
      </c>
      <c r="M186" s="16" t="s">
        <v>22</v>
      </c>
      <c r="N186" s="16" t="s">
        <v>418</v>
      </c>
      <c r="O186" s="243"/>
      <c r="P186" s="243"/>
      <c r="Q186" s="243"/>
      <c r="R186" s="243"/>
      <c r="S186" s="243"/>
      <c r="T186" s="243"/>
      <c r="U186" s="243"/>
      <c r="V186" s="243"/>
      <c r="W186" s="243"/>
      <c r="X186" s="243"/>
      <c r="Y186" s="243"/>
      <c r="Z186" s="243"/>
      <c r="AA186" s="243"/>
      <c r="AB186" s="243"/>
      <c r="AC186" s="243"/>
      <c r="AD186" s="243"/>
      <c r="AE186" s="243"/>
      <c r="AF186" s="243"/>
      <c r="AG186" s="243"/>
      <c r="AH186" s="243"/>
      <c r="AI186" s="243"/>
      <c r="AJ186" s="243"/>
      <c r="AK186" s="243"/>
      <c r="AL186" s="243"/>
      <c r="AM186" s="243"/>
      <c r="AN186" s="243"/>
      <c r="AO186" s="243"/>
      <c r="AP186" s="243"/>
      <c r="AQ186" s="243"/>
      <c r="AR186" s="243"/>
      <c r="AS186" s="243"/>
      <c r="AT186" s="243"/>
      <c r="AU186" s="243"/>
      <c r="AV186" s="243"/>
      <c r="AW186" s="243"/>
      <c r="AX186" s="243"/>
      <c r="AY186" s="243"/>
      <c r="AZ186" s="243"/>
      <c r="BA186" s="243"/>
      <c r="BB186" s="243"/>
      <c r="BC186" s="243"/>
      <c r="BD186" s="243"/>
      <c r="BE186" s="243"/>
      <c r="BF186" s="243"/>
      <c r="BG186" s="243"/>
      <c r="BH186" s="243"/>
      <c r="BI186" s="243"/>
      <c r="BJ186" s="243"/>
      <c r="BK186" s="243"/>
      <c r="BL186" s="243"/>
      <c r="BM186" s="243"/>
      <c r="BN186" s="243"/>
      <c r="BO186" s="243"/>
      <c r="BP186" s="243"/>
      <c r="BQ186" s="243"/>
      <c r="BR186" s="243"/>
      <c r="BS186" s="243"/>
    </row>
    <row r="187" spans="1:71" s="12" customFormat="1" ht="41.25" customHeight="1">
      <c r="A187" s="178" t="s">
        <v>62</v>
      </c>
      <c r="B187" s="178" t="str">
        <f ca="1">+UPPER(Tabla1321124[[#This Row],[DESCRIPCIÓN DE LA COMPRA O CONTRATACIÓN]])</f>
        <v>ZAPAPICO 5 LBS</v>
      </c>
      <c r="C187" s="39" t="s">
        <v>17</v>
      </c>
      <c r="D187" s="236">
        <v>17</v>
      </c>
      <c r="E187" s="236">
        <v>12</v>
      </c>
      <c r="F187" s="236">
        <v>12</v>
      </c>
      <c r="G187" s="236">
        <v>12</v>
      </c>
      <c r="H187" s="240">
        <f>SUM(Tabla1321124[[#This Row],[PRIMER TRIMESTRE]:[CUARTO TRIMESTRE]])</f>
        <v>53</v>
      </c>
      <c r="I187" s="17">
        <v>400.75</v>
      </c>
      <c r="J187" s="17">
        <f>+Tabla1321124[[#This Row],[CANTIDAD TOTAL]]*Tabla1321124[[#This Row],[PRECIO UNITARIO ESTIMADO]]</f>
        <v>21239.75</v>
      </c>
      <c r="K187" s="17"/>
      <c r="L187" s="16" t="s">
        <v>27</v>
      </c>
      <c r="M187" s="16" t="s">
        <v>22</v>
      </c>
      <c r="N187" s="16" t="s">
        <v>418</v>
      </c>
      <c r="O187" s="243"/>
      <c r="P187" s="243"/>
      <c r="Q187" s="243"/>
      <c r="R187" s="243"/>
      <c r="S187" s="243"/>
      <c r="T187" s="243"/>
      <c r="U187" s="243"/>
      <c r="V187" s="243"/>
      <c r="W187" s="243"/>
      <c r="X187" s="243"/>
      <c r="Y187" s="243"/>
      <c r="Z187" s="243"/>
      <c r="AA187" s="243"/>
      <c r="AB187" s="243"/>
      <c r="AC187" s="243"/>
      <c r="AD187" s="243"/>
      <c r="AE187" s="243"/>
      <c r="AF187" s="243"/>
      <c r="AG187" s="243"/>
      <c r="AH187" s="243"/>
      <c r="AI187" s="243"/>
      <c r="AJ187" s="243"/>
      <c r="AK187" s="243"/>
      <c r="AL187" s="243"/>
      <c r="AM187" s="243"/>
      <c r="AN187" s="243"/>
      <c r="AO187" s="243"/>
      <c r="AP187" s="243"/>
      <c r="AQ187" s="243"/>
      <c r="AR187" s="243"/>
      <c r="AS187" s="243"/>
      <c r="AT187" s="243"/>
      <c r="AU187" s="243"/>
      <c r="AV187" s="243"/>
      <c r="AW187" s="243"/>
      <c r="AX187" s="243"/>
      <c r="AY187" s="243"/>
      <c r="AZ187" s="243"/>
      <c r="BA187" s="243"/>
      <c r="BB187" s="243"/>
      <c r="BC187" s="243"/>
      <c r="BD187" s="243"/>
      <c r="BE187" s="243"/>
      <c r="BF187" s="243"/>
      <c r="BG187" s="243"/>
      <c r="BH187" s="243"/>
      <c r="BI187" s="243"/>
      <c r="BJ187" s="243"/>
      <c r="BK187" s="243"/>
      <c r="BL187" s="243"/>
      <c r="BM187" s="243"/>
      <c r="BN187" s="243"/>
      <c r="BO187" s="243"/>
      <c r="BP187" s="243"/>
      <c r="BQ187" s="243"/>
      <c r="BR187" s="243"/>
      <c r="BS187" s="243"/>
    </row>
    <row r="188" spans="1:71" s="12" customFormat="1" ht="41.25" customHeight="1">
      <c r="A188" s="178" t="s">
        <v>62</v>
      </c>
      <c r="B188" s="178" t="str">
        <f ca="1">+UPPER(Tabla1321124[[#This Row],[DESCRIPCIÓN DE LA COMPRA O CONTRATACIÓN]])</f>
        <v>PALA DE CORTE (CUADRADA)</v>
      </c>
      <c r="C188" s="39" t="s">
        <v>17</v>
      </c>
      <c r="D188" s="368">
        <v>10</v>
      </c>
      <c r="E188" s="369">
        <v>5</v>
      </c>
      <c r="F188" s="369">
        <v>5</v>
      </c>
      <c r="G188" s="369">
        <v>5</v>
      </c>
      <c r="H188" s="240">
        <f>SUM(Tabla1321124[[#This Row],[PRIMER TRIMESTRE]:[CUARTO TRIMESTRE]])</f>
        <v>25</v>
      </c>
      <c r="I188" s="17">
        <v>500</v>
      </c>
      <c r="J188" s="17">
        <f>+Tabla1321124[[#This Row],[CANTIDAD TOTAL]]*Tabla1321124[[#This Row],[PRECIO UNITARIO ESTIMADO]]</f>
        <v>12500</v>
      </c>
      <c r="K188" s="175"/>
      <c r="L188" s="16" t="s">
        <v>27</v>
      </c>
      <c r="M188" s="16" t="s">
        <v>22</v>
      </c>
      <c r="N188" s="16" t="s">
        <v>418</v>
      </c>
      <c r="O188" s="243"/>
      <c r="P188" s="243"/>
      <c r="Q188" s="243"/>
      <c r="R188" s="243"/>
      <c r="S188" s="243"/>
      <c r="T188" s="243"/>
      <c r="U188" s="243"/>
      <c r="V188" s="243"/>
      <c r="W188" s="243"/>
      <c r="X188" s="243"/>
      <c r="Y188" s="243"/>
      <c r="Z188" s="243"/>
      <c r="AA188" s="243"/>
      <c r="AB188" s="243"/>
      <c r="AC188" s="243"/>
      <c r="AD188" s="243"/>
      <c r="AE188" s="243"/>
      <c r="AF188" s="243"/>
      <c r="AG188" s="243"/>
      <c r="AH188" s="243"/>
      <c r="AI188" s="243"/>
      <c r="AJ188" s="243"/>
      <c r="AK188" s="243"/>
      <c r="AL188" s="243"/>
      <c r="AM188" s="243"/>
      <c r="AN188" s="243"/>
      <c r="AO188" s="243"/>
      <c r="AP188" s="243"/>
      <c r="AQ188" s="243"/>
      <c r="AR188" s="243"/>
      <c r="AS188" s="243"/>
      <c r="AT188" s="243"/>
      <c r="AU188" s="243"/>
      <c r="AV188" s="243"/>
      <c r="AW188" s="243"/>
      <c r="AX188" s="243"/>
      <c r="AY188" s="243"/>
      <c r="AZ188" s="243"/>
      <c r="BA188" s="243"/>
      <c r="BB188" s="243"/>
      <c r="BC188" s="243"/>
      <c r="BD188" s="243"/>
      <c r="BE188" s="243"/>
      <c r="BF188" s="243"/>
      <c r="BG188" s="243"/>
      <c r="BH188" s="243"/>
      <c r="BI188" s="243"/>
      <c r="BJ188" s="243"/>
      <c r="BK188" s="243"/>
      <c r="BL188" s="243"/>
      <c r="BM188" s="243"/>
      <c r="BN188" s="243"/>
      <c r="BO188" s="243"/>
      <c r="BP188" s="243"/>
      <c r="BQ188" s="243"/>
      <c r="BR188" s="243"/>
      <c r="BS188" s="243"/>
    </row>
    <row r="189" spans="1:71" s="12" customFormat="1" ht="41.25" customHeight="1">
      <c r="A189" s="178" t="s">
        <v>62</v>
      </c>
      <c r="B189" s="178" t="str">
        <f ca="1">+UPPER(Tabla1321124[[#This Row],[DESCRIPCIÓN DE LA COMPRA O CONTRATACIÓN]])</f>
        <v>PALOS PARA PICO (TRUPPER)</v>
      </c>
      <c r="C189" s="39" t="s">
        <v>17</v>
      </c>
      <c r="D189" s="365">
        <v>5</v>
      </c>
      <c r="E189" s="365">
        <v>5</v>
      </c>
      <c r="F189" s="365">
        <v>5</v>
      </c>
      <c r="G189" s="365">
        <v>5</v>
      </c>
      <c r="H189" s="240">
        <f>SUM(Tabla1321124[[#This Row],[PRIMER TRIMESTRE]:[CUARTO TRIMESTRE]])</f>
        <v>20</v>
      </c>
      <c r="I189" s="17">
        <v>325</v>
      </c>
      <c r="J189" s="17">
        <f>+Tabla1321124[[#This Row],[CANTIDAD TOTAL]]*Tabla1321124[[#This Row],[PRECIO UNITARIO ESTIMADO]]</f>
        <v>6500</v>
      </c>
      <c r="K189" s="175"/>
      <c r="L189" s="16" t="s">
        <v>27</v>
      </c>
      <c r="M189" s="16" t="s">
        <v>22</v>
      </c>
      <c r="N189" s="16" t="s">
        <v>418</v>
      </c>
      <c r="O189" s="243"/>
      <c r="P189" s="243"/>
      <c r="Q189" s="243"/>
      <c r="R189" s="243"/>
      <c r="S189" s="243"/>
      <c r="T189" s="243"/>
      <c r="U189" s="243"/>
      <c r="V189" s="243"/>
      <c r="W189" s="243"/>
      <c r="X189" s="243"/>
      <c r="Y189" s="243"/>
      <c r="Z189" s="243"/>
      <c r="AA189" s="243"/>
      <c r="AB189" s="243"/>
      <c r="AC189" s="243"/>
      <c r="AD189" s="243"/>
      <c r="AE189" s="243"/>
      <c r="AF189" s="243"/>
      <c r="AG189" s="243"/>
      <c r="AH189" s="243"/>
      <c r="AI189" s="243"/>
      <c r="AJ189" s="243"/>
      <c r="AK189" s="243"/>
      <c r="AL189" s="243"/>
      <c r="AM189" s="243"/>
      <c r="AN189" s="243"/>
      <c r="AO189" s="243"/>
      <c r="AP189" s="243"/>
      <c r="AQ189" s="243"/>
      <c r="AR189" s="243"/>
      <c r="AS189" s="243"/>
      <c r="AT189" s="243"/>
      <c r="AU189" s="243"/>
      <c r="AV189" s="243"/>
      <c r="AW189" s="243"/>
      <c r="AX189" s="243"/>
      <c r="AY189" s="243"/>
      <c r="AZ189" s="243"/>
      <c r="BA189" s="243"/>
      <c r="BB189" s="243"/>
      <c r="BC189" s="243"/>
      <c r="BD189" s="243"/>
      <c r="BE189" s="243"/>
      <c r="BF189" s="243"/>
      <c r="BG189" s="243"/>
      <c r="BH189" s="243"/>
      <c r="BI189" s="243"/>
      <c r="BJ189" s="243"/>
      <c r="BK189" s="243"/>
      <c r="BL189" s="243"/>
      <c r="BM189" s="243"/>
      <c r="BN189" s="243"/>
      <c r="BO189" s="243"/>
      <c r="BP189" s="243"/>
      <c r="BQ189" s="243"/>
      <c r="BR189" s="243"/>
      <c r="BS189" s="243"/>
    </row>
    <row r="190" spans="1:71" s="12" customFormat="1" ht="41.25" customHeight="1">
      <c r="A190" s="178" t="s">
        <v>62</v>
      </c>
      <c r="B190" s="178" t="str">
        <f ca="1">+UPPER(Tabla1321124[[#This Row],[DESCRIPCIÓN DE LA COMPRA O CONTRATACIÓN]])</f>
        <v>MACHETE TRAMONTINA</v>
      </c>
      <c r="C190" s="39" t="s">
        <v>17</v>
      </c>
      <c r="D190" s="236">
        <v>22</v>
      </c>
      <c r="E190" s="236">
        <v>12</v>
      </c>
      <c r="F190" s="236">
        <v>12</v>
      </c>
      <c r="G190" s="236">
        <v>12</v>
      </c>
      <c r="H190" s="240">
        <f>SUM(Tabla1321124[[#This Row],[PRIMER TRIMESTRE]:[CUARTO TRIMESTRE]])</f>
        <v>58</v>
      </c>
      <c r="I190" s="17">
        <v>216</v>
      </c>
      <c r="J190" s="17">
        <f>+Tabla1321124[[#This Row],[CANTIDAD TOTAL]]*Tabla1321124[[#This Row],[PRECIO UNITARIO ESTIMADO]]</f>
        <v>12528</v>
      </c>
      <c r="K190" s="17"/>
      <c r="L190" s="16" t="s">
        <v>27</v>
      </c>
      <c r="M190" s="16" t="s">
        <v>22</v>
      </c>
      <c r="N190" s="16" t="s">
        <v>418</v>
      </c>
      <c r="O190" s="243"/>
      <c r="P190" s="243"/>
      <c r="Q190" s="243"/>
      <c r="R190" s="243"/>
      <c r="S190" s="243"/>
      <c r="T190" s="243"/>
      <c r="U190" s="243"/>
      <c r="V190" s="243"/>
      <c r="W190" s="243"/>
      <c r="X190" s="243"/>
      <c r="Y190" s="243"/>
      <c r="Z190" s="243"/>
      <c r="AA190" s="243"/>
      <c r="AB190" s="243"/>
      <c r="AC190" s="243"/>
      <c r="AD190" s="243"/>
      <c r="AE190" s="243"/>
      <c r="AF190" s="243"/>
      <c r="AG190" s="243"/>
      <c r="AH190" s="243"/>
      <c r="AI190" s="243"/>
      <c r="AJ190" s="243"/>
      <c r="AK190" s="243"/>
      <c r="AL190" s="243"/>
      <c r="AM190" s="243"/>
      <c r="AN190" s="243"/>
      <c r="AO190" s="243"/>
      <c r="AP190" s="243"/>
      <c r="AQ190" s="243"/>
      <c r="AR190" s="243"/>
      <c r="AS190" s="243"/>
      <c r="AT190" s="243"/>
      <c r="AU190" s="243"/>
      <c r="AV190" s="243"/>
      <c r="AW190" s="243"/>
      <c r="AX190" s="243"/>
      <c r="AY190" s="243"/>
      <c r="AZ190" s="243"/>
      <c r="BA190" s="243"/>
      <c r="BB190" s="243"/>
      <c r="BC190" s="243"/>
      <c r="BD190" s="243"/>
      <c r="BE190" s="243"/>
      <c r="BF190" s="243"/>
      <c r="BG190" s="243"/>
      <c r="BH190" s="243"/>
      <c r="BI190" s="243"/>
      <c r="BJ190" s="243"/>
      <c r="BK190" s="243"/>
      <c r="BL190" s="243"/>
      <c r="BM190" s="243"/>
      <c r="BN190" s="243"/>
      <c r="BO190" s="243"/>
      <c r="BP190" s="243"/>
      <c r="BQ190" s="243"/>
      <c r="BR190" s="243"/>
      <c r="BS190" s="243"/>
    </row>
    <row r="191" spans="1:71" s="12" customFormat="1" ht="41.25" customHeight="1">
      <c r="A191" s="178" t="s">
        <v>62</v>
      </c>
      <c r="B191" s="178" t="str">
        <f ca="1">+UPPER(Tabla1321124[[#This Row],[DESCRIPCIÓN DE LA COMPRA O CONTRATACIÓN]])</f>
        <v>CABO P/PICO 900MM</v>
      </c>
      <c r="C191" s="39" t="s">
        <v>17</v>
      </c>
      <c r="D191" s="236">
        <v>18</v>
      </c>
      <c r="E191" s="236">
        <v>8</v>
      </c>
      <c r="F191" s="236">
        <v>8</v>
      </c>
      <c r="G191" s="236">
        <v>8</v>
      </c>
      <c r="H191" s="240">
        <f>SUM(Tabla1321124[[#This Row],[PRIMER TRIMESTRE]:[CUARTO TRIMESTRE]])</f>
        <v>42</v>
      </c>
      <c r="I191" s="17">
        <v>249.67</v>
      </c>
      <c r="J191" s="17">
        <f>+Tabla1321124[[#This Row],[CANTIDAD TOTAL]]*Tabla1321124[[#This Row],[PRECIO UNITARIO ESTIMADO]]</f>
        <v>10486.14</v>
      </c>
      <c r="K191" s="17"/>
      <c r="L191" s="16" t="s">
        <v>27</v>
      </c>
      <c r="M191" s="16" t="s">
        <v>22</v>
      </c>
      <c r="N191" s="16" t="s">
        <v>418</v>
      </c>
      <c r="O191" s="243"/>
      <c r="P191" s="243"/>
      <c r="Q191" s="243"/>
      <c r="R191" s="243"/>
      <c r="S191" s="243"/>
      <c r="T191" s="243"/>
      <c r="U191" s="243"/>
      <c r="V191" s="243"/>
      <c r="W191" s="243"/>
      <c r="X191" s="243"/>
      <c r="Y191" s="243"/>
      <c r="Z191" s="243"/>
      <c r="AA191" s="243"/>
      <c r="AB191" s="243"/>
      <c r="AC191" s="243"/>
      <c r="AD191" s="243"/>
      <c r="AE191" s="243"/>
      <c r="AF191" s="243"/>
      <c r="AG191" s="243"/>
      <c r="AH191" s="243"/>
      <c r="AI191" s="243"/>
      <c r="AJ191" s="243"/>
      <c r="AK191" s="243"/>
      <c r="AL191" s="243"/>
      <c r="AM191" s="243"/>
      <c r="AN191" s="243"/>
      <c r="AO191" s="243"/>
      <c r="AP191" s="243"/>
      <c r="AQ191" s="243"/>
      <c r="AR191" s="243"/>
      <c r="AS191" s="243"/>
      <c r="AT191" s="243"/>
      <c r="AU191" s="243"/>
      <c r="AV191" s="243"/>
      <c r="AW191" s="243"/>
      <c r="AX191" s="243"/>
      <c r="AY191" s="243"/>
      <c r="AZ191" s="243"/>
      <c r="BA191" s="243"/>
      <c r="BB191" s="243"/>
      <c r="BC191" s="243"/>
      <c r="BD191" s="243"/>
      <c r="BE191" s="243"/>
      <c r="BF191" s="243"/>
      <c r="BG191" s="243"/>
      <c r="BH191" s="243"/>
      <c r="BI191" s="243"/>
      <c r="BJ191" s="243"/>
      <c r="BK191" s="243"/>
      <c r="BL191" s="243"/>
      <c r="BM191" s="243"/>
      <c r="BN191" s="243"/>
      <c r="BO191" s="243"/>
      <c r="BP191" s="243"/>
      <c r="BQ191" s="243"/>
      <c r="BR191" s="243"/>
      <c r="BS191" s="243"/>
    </row>
    <row r="192" spans="1:71" s="12" customFormat="1" ht="41.25" customHeight="1">
      <c r="A192" s="178" t="s">
        <v>62</v>
      </c>
      <c r="B192" s="178" t="str">
        <f ca="1">+UPPER(Tabla1321124[[#This Row],[DESCRIPCIÓN DE LA COMPRA O CONTRATACIÓN]])</f>
        <v>PICO CON PALO</v>
      </c>
      <c r="C192" s="39" t="s">
        <v>17</v>
      </c>
      <c r="D192" s="70">
        <v>300</v>
      </c>
      <c r="E192" s="70">
        <v>150</v>
      </c>
      <c r="F192" s="70">
        <v>300</v>
      </c>
      <c r="G192" s="70">
        <v>150</v>
      </c>
      <c r="H192" s="240">
        <f>SUM(Tabla1321124[[#This Row],[PRIMER TRIMESTRE]:[CUARTO TRIMESTRE]])</f>
        <v>900</v>
      </c>
      <c r="I192" s="17">
        <v>1120.9100000000001</v>
      </c>
      <c r="J192" s="17">
        <f>+Tabla1321124[[#This Row],[CANTIDAD TOTAL]]*Tabla1321124[[#This Row],[PRECIO UNITARIO ESTIMADO]]</f>
        <v>1008819.0000000001</v>
      </c>
      <c r="K192" s="70"/>
      <c r="L192" s="16" t="s">
        <v>27</v>
      </c>
      <c r="M192" s="16" t="s">
        <v>22</v>
      </c>
      <c r="N192" s="16" t="s">
        <v>418</v>
      </c>
      <c r="O192" s="243"/>
      <c r="P192" s="243"/>
      <c r="Q192" s="243"/>
      <c r="R192" s="243"/>
      <c r="S192" s="243"/>
      <c r="T192" s="243"/>
      <c r="U192" s="243"/>
      <c r="V192" s="243"/>
      <c r="W192" s="243"/>
      <c r="X192" s="243"/>
      <c r="Y192" s="243"/>
      <c r="Z192" s="243"/>
      <c r="AA192" s="243"/>
      <c r="AB192" s="243"/>
      <c r="AC192" s="243"/>
      <c r="AD192" s="243"/>
      <c r="AE192" s="243"/>
      <c r="AF192" s="243"/>
      <c r="AG192" s="243"/>
      <c r="AH192" s="243"/>
      <c r="AI192" s="243"/>
      <c r="AJ192" s="243"/>
      <c r="AK192" s="243"/>
      <c r="AL192" s="243"/>
      <c r="AM192" s="243"/>
      <c r="AN192" s="243"/>
      <c r="AO192" s="243"/>
      <c r="AP192" s="243"/>
      <c r="AQ192" s="243"/>
      <c r="AR192" s="243"/>
      <c r="AS192" s="243"/>
      <c r="AT192" s="243"/>
      <c r="AU192" s="243"/>
      <c r="AV192" s="243"/>
      <c r="AW192" s="243"/>
      <c r="AX192" s="243"/>
      <c r="AY192" s="243"/>
      <c r="AZ192" s="243"/>
      <c r="BA192" s="243"/>
      <c r="BB192" s="243"/>
      <c r="BC192" s="243"/>
      <c r="BD192" s="243"/>
      <c r="BE192" s="243"/>
      <c r="BF192" s="243"/>
      <c r="BG192" s="243"/>
      <c r="BH192" s="243"/>
      <c r="BI192" s="243"/>
      <c r="BJ192" s="243"/>
      <c r="BK192" s="243"/>
      <c r="BL192" s="243"/>
      <c r="BM192" s="243"/>
      <c r="BN192" s="243"/>
      <c r="BO192" s="243"/>
      <c r="BP192" s="243"/>
      <c r="BQ192" s="243"/>
      <c r="BR192" s="243"/>
      <c r="BS192" s="243"/>
    </row>
    <row r="193" spans="1:71" s="12" customFormat="1" ht="41.25" customHeight="1">
      <c r="A193" s="178" t="s">
        <v>62</v>
      </c>
      <c r="B193" s="178" t="str">
        <f ca="1">+UPPER(Tabla1321124[[#This Row],[DESCRIPCIÓN DE LA COMPRA O CONTRATACIÓN]])</f>
        <v>RASTRILLO METALICO DE JARDIN</v>
      </c>
      <c r="C193" s="39" t="s">
        <v>17</v>
      </c>
      <c r="D193" s="210">
        <f>10+25</f>
        <v>35</v>
      </c>
      <c r="E193" s="210">
        <v>45</v>
      </c>
      <c r="F193" s="210">
        <f>10+20</f>
        <v>30</v>
      </c>
      <c r="G193" s="210">
        <v>45</v>
      </c>
      <c r="H193" s="240">
        <f>SUM(Tabla1321124[[#This Row],[PRIMER TRIMESTRE]:[CUARTO TRIMESTRE]])</f>
        <v>155</v>
      </c>
      <c r="I193" s="17">
        <v>100.57</v>
      </c>
      <c r="J193" s="17">
        <f>+Tabla1321124[[#This Row],[CANTIDAD TOTAL]]*Tabla1321124[[#This Row],[PRECIO UNITARIO ESTIMADO]]</f>
        <v>15588.349999999999</v>
      </c>
      <c r="K193" s="17"/>
      <c r="L193" s="16" t="s">
        <v>27</v>
      </c>
      <c r="M193" s="16" t="s">
        <v>22</v>
      </c>
      <c r="N193" s="16" t="s">
        <v>418</v>
      </c>
      <c r="O193" s="243"/>
      <c r="P193" s="243"/>
      <c r="Q193" s="243"/>
      <c r="R193" s="243"/>
      <c r="S193" s="243"/>
      <c r="T193" s="243"/>
      <c r="U193" s="243"/>
      <c r="V193" s="243"/>
      <c r="W193" s="243"/>
      <c r="X193" s="243"/>
      <c r="Y193" s="243"/>
      <c r="Z193" s="243"/>
      <c r="AA193" s="243"/>
      <c r="AB193" s="243"/>
      <c r="AC193" s="243"/>
      <c r="AD193" s="243"/>
      <c r="AE193" s="243"/>
      <c r="AF193" s="243"/>
      <c r="AG193" s="243"/>
      <c r="AH193" s="243"/>
      <c r="AI193" s="243"/>
      <c r="AJ193" s="243"/>
      <c r="AK193" s="243"/>
      <c r="AL193" s="243"/>
      <c r="AM193" s="243"/>
      <c r="AN193" s="243"/>
      <c r="AO193" s="243"/>
      <c r="AP193" s="243"/>
      <c r="AQ193" s="243"/>
      <c r="AR193" s="243"/>
      <c r="AS193" s="243"/>
      <c r="AT193" s="243"/>
      <c r="AU193" s="243"/>
      <c r="AV193" s="243"/>
      <c r="AW193" s="243"/>
      <c r="AX193" s="243"/>
      <c r="AY193" s="243"/>
      <c r="AZ193" s="243"/>
      <c r="BA193" s="243"/>
      <c r="BB193" s="243"/>
      <c r="BC193" s="243"/>
      <c r="BD193" s="243"/>
      <c r="BE193" s="243"/>
      <c r="BF193" s="243"/>
      <c r="BG193" s="243"/>
      <c r="BH193" s="243"/>
      <c r="BI193" s="243"/>
      <c r="BJ193" s="243"/>
      <c r="BK193" s="243"/>
      <c r="BL193" s="243"/>
      <c r="BM193" s="243"/>
      <c r="BN193" s="243"/>
      <c r="BO193" s="243"/>
      <c r="BP193" s="243"/>
      <c r="BQ193" s="243"/>
      <c r="BR193" s="243"/>
      <c r="BS193" s="243"/>
    </row>
    <row r="194" spans="1:71" s="12" customFormat="1" ht="41.25" customHeight="1">
      <c r="A194" s="178" t="s">
        <v>62</v>
      </c>
      <c r="B194" s="178" t="str">
        <f ca="1">+UPPER(Tabla1321124[[#This Row],[DESCRIPCIÓN DE LA COMPRA O CONTRATACIÓN]])</f>
        <v>TIJERAS DE JARDIN</v>
      </c>
      <c r="C194" s="39" t="s">
        <v>17</v>
      </c>
      <c r="D194" s="210">
        <f>2+7</f>
        <v>9</v>
      </c>
      <c r="E194" s="210">
        <f>1+2</f>
        <v>3</v>
      </c>
      <c r="F194" s="210">
        <f>1+2</f>
        <v>3</v>
      </c>
      <c r="G194" s="210">
        <f>1+10</f>
        <v>11</v>
      </c>
      <c r="H194" s="240">
        <f>SUM(Tabla1321124[[#This Row],[PRIMER TRIMESTRE]:[CUARTO TRIMESTRE]])</f>
        <v>26</v>
      </c>
      <c r="I194" s="17">
        <v>1144.23</v>
      </c>
      <c r="J194" s="17">
        <f>+Tabla1321124[[#This Row],[CANTIDAD TOTAL]]*Tabla1321124[[#This Row],[PRECIO UNITARIO ESTIMADO]]</f>
        <v>29749.98</v>
      </c>
      <c r="K194" s="17"/>
      <c r="L194" s="16" t="s">
        <v>27</v>
      </c>
      <c r="M194" s="16" t="s">
        <v>22</v>
      </c>
      <c r="N194" s="16" t="s">
        <v>418</v>
      </c>
      <c r="O194" s="243"/>
      <c r="P194" s="243"/>
      <c r="Q194" s="243"/>
      <c r="R194" s="243"/>
      <c r="S194" s="243"/>
      <c r="T194" s="243"/>
      <c r="U194" s="243"/>
      <c r="V194" s="243"/>
      <c r="W194" s="243"/>
      <c r="X194" s="243"/>
      <c r="Y194" s="243"/>
      <c r="Z194" s="243"/>
      <c r="AA194" s="243"/>
      <c r="AB194" s="243"/>
      <c r="AC194" s="243"/>
      <c r="AD194" s="243"/>
      <c r="AE194" s="243"/>
      <c r="AF194" s="243"/>
      <c r="AG194" s="243"/>
      <c r="AH194" s="243"/>
      <c r="AI194" s="243"/>
      <c r="AJ194" s="243"/>
      <c r="AK194" s="243"/>
      <c r="AL194" s="243"/>
      <c r="AM194" s="243"/>
      <c r="AN194" s="243"/>
      <c r="AO194" s="243"/>
      <c r="AP194" s="243"/>
      <c r="AQ194" s="243"/>
      <c r="AR194" s="243"/>
      <c r="AS194" s="243"/>
      <c r="AT194" s="243"/>
      <c r="AU194" s="243"/>
      <c r="AV194" s="243"/>
      <c r="AW194" s="243"/>
      <c r="AX194" s="243"/>
      <c r="AY194" s="243"/>
      <c r="AZ194" s="243"/>
      <c r="BA194" s="243"/>
      <c r="BB194" s="243"/>
      <c r="BC194" s="243"/>
      <c r="BD194" s="243"/>
      <c r="BE194" s="243"/>
      <c r="BF194" s="243"/>
      <c r="BG194" s="243"/>
      <c r="BH194" s="243"/>
      <c r="BI194" s="243"/>
      <c r="BJ194" s="243"/>
      <c r="BK194" s="243"/>
      <c r="BL194" s="243"/>
      <c r="BM194" s="243"/>
      <c r="BN194" s="243"/>
      <c r="BO194" s="243"/>
      <c r="BP194" s="243"/>
      <c r="BQ194" s="243"/>
      <c r="BR194" s="243"/>
      <c r="BS194" s="243"/>
    </row>
    <row r="195" spans="1:71" s="12" customFormat="1" ht="41.25" customHeight="1">
      <c r="A195" s="178" t="s">
        <v>62</v>
      </c>
      <c r="B195" s="178" t="str">
        <f ca="1">+UPPER(Tabla1321124[[#This Row],[DESCRIPCIÓN DE LA COMPRA O CONTRATACIÓN]])</f>
        <v>TIJERAS DE JARDIN</v>
      </c>
      <c r="C195" s="39" t="s">
        <v>17</v>
      </c>
      <c r="D195" s="210">
        <v>10</v>
      </c>
      <c r="E195" s="210"/>
      <c r="F195" s="210">
        <v>10</v>
      </c>
      <c r="G195" s="210"/>
      <c r="H195" s="240">
        <f>SUM(Tabla1321124[[#This Row],[PRIMER TRIMESTRE]:[CUARTO TRIMESTRE]])</f>
        <v>20</v>
      </c>
      <c r="I195" s="17">
        <v>280</v>
      </c>
      <c r="J195" s="17">
        <f>+Tabla1321124[[#This Row],[CANTIDAD TOTAL]]*Tabla1321124[[#This Row],[PRECIO UNITARIO ESTIMADO]]</f>
        <v>5600</v>
      </c>
      <c r="K195" s="17"/>
      <c r="L195" s="16" t="s">
        <v>27</v>
      </c>
      <c r="M195" s="16" t="s">
        <v>22</v>
      </c>
      <c r="N195" s="16" t="s">
        <v>418</v>
      </c>
      <c r="O195" s="243"/>
      <c r="P195" s="243"/>
      <c r="Q195" s="243"/>
      <c r="R195" s="243"/>
      <c r="S195" s="243"/>
      <c r="T195" s="243"/>
      <c r="U195" s="243"/>
      <c r="V195" s="243"/>
      <c r="W195" s="243"/>
      <c r="X195" s="243"/>
      <c r="Y195" s="243"/>
      <c r="Z195" s="243"/>
      <c r="AA195" s="243"/>
      <c r="AB195" s="243"/>
      <c r="AC195" s="243"/>
      <c r="AD195" s="243"/>
      <c r="AE195" s="243"/>
      <c r="AF195" s="243"/>
      <c r="AG195" s="243"/>
      <c r="AH195" s="243"/>
      <c r="AI195" s="243"/>
      <c r="AJ195" s="243"/>
      <c r="AK195" s="243"/>
      <c r="AL195" s="243"/>
      <c r="AM195" s="243"/>
      <c r="AN195" s="243"/>
      <c r="AO195" s="243"/>
      <c r="AP195" s="243"/>
      <c r="AQ195" s="243"/>
      <c r="AR195" s="243"/>
      <c r="AS195" s="243"/>
      <c r="AT195" s="243"/>
      <c r="AU195" s="243"/>
      <c r="AV195" s="243"/>
      <c r="AW195" s="243"/>
      <c r="AX195" s="243"/>
      <c r="AY195" s="243"/>
      <c r="AZ195" s="243"/>
      <c r="BA195" s="243"/>
      <c r="BB195" s="243"/>
      <c r="BC195" s="243"/>
      <c r="BD195" s="243"/>
      <c r="BE195" s="243"/>
      <c r="BF195" s="243"/>
      <c r="BG195" s="243"/>
      <c r="BH195" s="243"/>
      <c r="BI195" s="243"/>
      <c r="BJ195" s="243"/>
      <c r="BK195" s="243"/>
      <c r="BL195" s="243"/>
      <c r="BM195" s="243"/>
      <c r="BN195" s="243"/>
      <c r="BO195" s="243"/>
      <c r="BP195" s="243"/>
      <c r="BQ195" s="243"/>
      <c r="BR195" s="243"/>
      <c r="BS195" s="243"/>
    </row>
    <row r="196" spans="1:71" s="12" customFormat="1" ht="41.25" customHeight="1">
      <c r="A196" s="178" t="s">
        <v>62</v>
      </c>
      <c r="B196" s="178" t="str">
        <f ca="1">+UPPER(Tabla1321124[[#This Row],[DESCRIPCIÓN DE LA COMPRA O CONTRATACIÓN]])</f>
        <v>SERRUCHO DE 15"</v>
      </c>
      <c r="C196" s="39" t="s">
        <v>17</v>
      </c>
      <c r="D196" s="210">
        <v>10</v>
      </c>
      <c r="E196" s="210"/>
      <c r="F196" s="210"/>
      <c r="G196" s="210"/>
      <c r="H196" s="240">
        <f>SUM(Tabla1321124[[#This Row],[PRIMER TRIMESTRE]:[CUARTO TRIMESTRE]])</f>
        <v>10</v>
      </c>
      <c r="I196" s="17">
        <v>377</v>
      </c>
      <c r="J196" s="17">
        <f>+Tabla1321124[[#This Row],[CANTIDAD TOTAL]]*Tabla1321124[[#This Row],[PRECIO UNITARIO ESTIMADO]]</f>
        <v>3770</v>
      </c>
      <c r="K196" s="17"/>
      <c r="L196" s="16" t="s">
        <v>27</v>
      </c>
      <c r="M196" s="16" t="s">
        <v>22</v>
      </c>
      <c r="N196" s="16" t="s">
        <v>418</v>
      </c>
      <c r="O196" s="243"/>
      <c r="P196" s="243"/>
      <c r="Q196" s="243"/>
      <c r="R196" s="243"/>
      <c r="S196" s="243"/>
      <c r="T196" s="243"/>
      <c r="U196" s="243"/>
      <c r="V196" s="243"/>
      <c r="W196" s="243"/>
      <c r="X196" s="243"/>
      <c r="Y196" s="243"/>
      <c r="Z196" s="243"/>
      <c r="AA196" s="243"/>
      <c r="AB196" s="243"/>
      <c r="AC196" s="243"/>
      <c r="AD196" s="243"/>
      <c r="AE196" s="243"/>
      <c r="AF196" s="243"/>
      <c r="AG196" s="243"/>
      <c r="AH196" s="243"/>
      <c r="AI196" s="243"/>
      <c r="AJ196" s="243"/>
      <c r="AK196" s="243"/>
      <c r="AL196" s="243"/>
      <c r="AM196" s="243"/>
      <c r="AN196" s="243"/>
      <c r="AO196" s="243"/>
      <c r="AP196" s="243"/>
      <c r="AQ196" s="243"/>
      <c r="AR196" s="243"/>
      <c r="AS196" s="243"/>
      <c r="AT196" s="243"/>
      <c r="AU196" s="243"/>
      <c r="AV196" s="243"/>
      <c r="AW196" s="243"/>
      <c r="AX196" s="243"/>
      <c r="AY196" s="243"/>
      <c r="AZ196" s="243"/>
      <c r="BA196" s="243"/>
      <c r="BB196" s="243"/>
      <c r="BC196" s="243"/>
      <c r="BD196" s="243"/>
      <c r="BE196" s="243"/>
      <c r="BF196" s="243"/>
      <c r="BG196" s="243"/>
      <c r="BH196" s="243"/>
      <c r="BI196" s="243"/>
      <c r="BJ196" s="243"/>
      <c r="BK196" s="243"/>
      <c r="BL196" s="243"/>
      <c r="BM196" s="243"/>
      <c r="BN196" s="243"/>
      <c r="BO196" s="243"/>
      <c r="BP196" s="243"/>
      <c r="BQ196" s="243"/>
      <c r="BR196" s="243"/>
      <c r="BS196" s="243"/>
    </row>
    <row r="197" spans="1:71" s="12" customFormat="1" ht="41.25" customHeight="1">
      <c r="A197" s="178" t="s">
        <v>62</v>
      </c>
      <c r="B197" s="178" t="str">
        <f ca="1">+UPPER(Tabla1321124[[#This Row],[DESCRIPCIÓN DE LA COMPRA O CONTRATACIÓN]])</f>
        <v>SERRUCHO DE 18"</v>
      </c>
      <c r="C197" s="39" t="s">
        <v>17</v>
      </c>
      <c r="D197" s="236">
        <f>91+14</f>
        <v>105</v>
      </c>
      <c r="E197" s="236">
        <f>88+5</f>
        <v>93</v>
      </c>
      <c r="F197" s="236">
        <f>88+11</f>
        <v>99</v>
      </c>
      <c r="G197" s="236">
        <f>88+5</f>
        <v>93</v>
      </c>
      <c r="H197" s="240">
        <f>SUM(Tabla1321124[[#This Row],[PRIMER TRIMESTRE]:[CUARTO TRIMESTRE]])</f>
        <v>390</v>
      </c>
      <c r="I197" s="17">
        <v>377</v>
      </c>
      <c r="J197" s="17">
        <f>+Tabla1321124[[#This Row],[CANTIDAD TOTAL]]*Tabla1321124[[#This Row],[PRECIO UNITARIO ESTIMADO]]</f>
        <v>147030</v>
      </c>
      <c r="K197" s="17"/>
      <c r="L197" s="16" t="s">
        <v>27</v>
      </c>
      <c r="M197" s="16" t="s">
        <v>22</v>
      </c>
      <c r="N197" s="16" t="s">
        <v>418</v>
      </c>
      <c r="O197" s="243"/>
      <c r="P197" s="243"/>
      <c r="Q197" s="243"/>
      <c r="R197" s="243"/>
      <c r="S197" s="243"/>
      <c r="T197" s="243"/>
      <c r="U197" s="243"/>
      <c r="V197" s="243"/>
      <c r="W197" s="243"/>
      <c r="X197" s="243"/>
      <c r="Y197" s="243"/>
      <c r="Z197" s="243"/>
      <c r="AA197" s="243"/>
      <c r="AB197" s="243"/>
      <c r="AC197" s="243"/>
      <c r="AD197" s="243"/>
      <c r="AE197" s="243"/>
      <c r="AF197" s="243"/>
      <c r="AG197" s="243"/>
      <c r="AH197" s="243"/>
      <c r="AI197" s="243"/>
      <c r="AJ197" s="243"/>
      <c r="AK197" s="243"/>
      <c r="AL197" s="243"/>
      <c r="AM197" s="243"/>
      <c r="AN197" s="243"/>
      <c r="AO197" s="243"/>
      <c r="AP197" s="243"/>
      <c r="AQ197" s="243"/>
      <c r="AR197" s="243"/>
      <c r="AS197" s="243"/>
      <c r="AT197" s="243"/>
      <c r="AU197" s="243"/>
      <c r="AV197" s="243"/>
      <c r="AW197" s="243"/>
      <c r="AX197" s="243"/>
      <c r="AY197" s="243"/>
      <c r="AZ197" s="243"/>
      <c r="BA197" s="243"/>
      <c r="BB197" s="243"/>
      <c r="BC197" s="243"/>
      <c r="BD197" s="243"/>
      <c r="BE197" s="243"/>
      <c r="BF197" s="243"/>
      <c r="BG197" s="243"/>
      <c r="BH197" s="243"/>
      <c r="BI197" s="243"/>
      <c r="BJ197" s="243"/>
      <c r="BK197" s="243"/>
      <c r="BL197" s="243"/>
      <c r="BM197" s="243"/>
      <c r="BN197" s="243"/>
      <c r="BO197" s="243"/>
      <c r="BP197" s="243"/>
      <c r="BQ197" s="243"/>
      <c r="BR197" s="243"/>
      <c r="BS197" s="243"/>
    </row>
    <row r="198" spans="1:71" s="12" customFormat="1" ht="41.25" customHeight="1">
      <c r="A198" s="178" t="s">
        <v>62</v>
      </c>
      <c r="B198" s="178" t="str">
        <f ca="1">+UPPER(Tabla1321124[[#This Row],[DESCRIPCIÓN DE LA COMPRA O CONTRATACIÓN]])</f>
        <v>SERRUCHO DE 24"</v>
      </c>
      <c r="C198" s="39" t="s">
        <v>17</v>
      </c>
      <c r="D198" s="365">
        <v>4</v>
      </c>
      <c r="E198" s="365">
        <v>0</v>
      </c>
      <c r="F198" s="365">
        <v>4</v>
      </c>
      <c r="G198" s="365">
        <v>0</v>
      </c>
      <c r="H198" s="240">
        <f>SUM(Tabla1321124[[#This Row],[PRIMER TRIMESTRE]:[CUARTO TRIMESTRE]])</f>
        <v>8</v>
      </c>
      <c r="I198" s="17">
        <v>375</v>
      </c>
      <c r="J198" s="246">
        <f>+Tabla1321124[[#This Row],[CANTIDAD TOTAL]]*Tabla1321124[[#This Row],[PRECIO UNITARIO ESTIMADO]]</f>
        <v>3000</v>
      </c>
      <c r="K198" s="175"/>
      <c r="L198" s="16" t="s">
        <v>27</v>
      </c>
      <c r="M198" s="16" t="s">
        <v>22</v>
      </c>
      <c r="N198" s="16" t="s">
        <v>418</v>
      </c>
      <c r="O198" s="243"/>
      <c r="P198" s="243"/>
      <c r="Q198" s="243"/>
      <c r="R198" s="243"/>
      <c r="S198" s="243"/>
      <c r="T198" s="243"/>
      <c r="U198" s="243"/>
      <c r="V198" s="243"/>
      <c r="W198" s="243"/>
      <c r="X198" s="243"/>
      <c r="Y198" s="243"/>
      <c r="Z198" s="243"/>
      <c r="AA198" s="243"/>
      <c r="AB198" s="243"/>
      <c r="AC198" s="243"/>
      <c r="AD198" s="243"/>
      <c r="AE198" s="243"/>
      <c r="AF198" s="243"/>
      <c r="AG198" s="243"/>
      <c r="AH198" s="243"/>
      <c r="AI198" s="243"/>
      <c r="AJ198" s="243"/>
      <c r="AK198" s="243"/>
      <c r="AL198" s="243"/>
      <c r="AM198" s="243"/>
      <c r="AN198" s="243"/>
      <c r="AO198" s="243"/>
      <c r="AP198" s="243"/>
      <c r="AQ198" s="243"/>
      <c r="AR198" s="243"/>
      <c r="AS198" s="243"/>
      <c r="AT198" s="243"/>
      <c r="AU198" s="243"/>
      <c r="AV198" s="243"/>
      <c r="AW198" s="243"/>
      <c r="AX198" s="243"/>
      <c r="AY198" s="243"/>
      <c r="AZ198" s="243"/>
      <c r="BA198" s="243"/>
      <c r="BB198" s="243"/>
      <c r="BC198" s="243"/>
      <c r="BD198" s="243"/>
      <c r="BE198" s="243"/>
      <c r="BF198" s="243"/>
      <c r="BG198" s="243"/>
      <c r="BH198" s="243"/>
      <c r="BI198" s="243"/>
      <c r="BJ198" s="243"/>
      <c r="BK198" s="243"/>
      <c r="BL198" s="243"/>
      <c r="BM198" s="243"/>
      <c r="BN198" s="243"/>
      <c r="BO198" s="243"/>
      <c r="BP198" s="243"/>
      <c r="BQ198" s="243"/>
      <c r="BR198" s="243"/>
      <c r="BS198" s="243"/>
    </row>
    <row r="199" spans="1:71" s="12" customFormat="1" ht="41.25" customHeight="1">
      <c r="A199" s="178" t="s">
        <v>62</v>
      </c>
      <c r="B199" s="178" t="str">
        <f ca="1">+UPPER(Tabla1321124[[#This Row],[DESCRIPCIÓN DE LA COMPRA O CONTRATACIÓN]])</f>
        <v>HACHA CON SU PALO</v>
      </c>
      <c r="C199" s="39" t="s">
        <v>17</v>
      </c>
      <c r="D199" s="236">
        <v>5</v>
      </c>
      <c r="E199" s="236">
        <v>5</v>
      </c>
      <c r="F199" s="236">
        <v>5</v>
      </c>
      <c r="G199" s="236">
        <v>5</v>
      </c>
      <c r="H199" s="240">
        <f>SUM(Tabla1321124[[#This Row],[PRIMER TRIMESTRE]:[CUARTO TRIMESTRE]])</f>
        <v>20</v>
      </c>
      <c r="I199" s="17">
        <v>350</v>
      </c>
      <c r="J199" s="246">
        <f>+Tabla1321124[[#This Row],[CANTIDAD TOTAL]]*Tabla1321124[[#This Row],[PRECIO UNITARIO ESTIMADO]]</f>
        <v>7000</v>
      </c>
      <c r="K199" s="17"/>
      <c r="L199" s="16" t="s">
        <v>27</v>
      </c>
      <c r="M199" s="16" t="s">
        <v>22</v>
      </c>
      <c r="N199" s="16" t="s">
        <v>418</v>
      </c>
      <c r="O199" s="243"/>
      <c r="P199" s="243"/>
      <c r="Q199" s="243"/>
      <c r="R199" s="243"/>
      <c r="S199" s="243"/>
      <c r="T199" s="243"/>
      <c r="U199" s="243"/>
      <c r="V199" s="243"/>
      <c r="W199" s="243"/>
      <c r="X199" s="243"/>
      <c r="Y199" s="243"/>
      <c r="Z199" s="243"/>
      <c r="AA199" s="243"/>
      <c r="AB199" s="243"/>
      <c r="AC199" s="243"/>
      <c r="AD199" s="243"/>
      <c r="AE199" s="243"/>
      <c r="AF199" s="243"/>
      <c r="AG199" s="243"/>
      <c r="AH199" s="243"/>
      <c r="AI199" s="243"/>
      <c r="AJ199" s="243"/>
      <c r="AK199" s="243"/>
      <c r="AL199" s="243"/>
      <c r="AM199" s="243"/>
      <c r="AN199" s="243"/>
      <c r="AO199" s="243"/>
      <c r="AP199" s="243"/>
      <c r="AQ199" s="243"/>
      <c r="AR199" s="243"/>
      <c r="AS199" s="243"/>
      <c r="AT199" s="243"/>
      <c r="AU199" s="243"/>
      <c r="AV199" s="243"/>
      <c r="AW199" s="243"/>
      <c r="AX199" s="243"/>
      <c r="AY199" s="243"/>
      <c r="AZ199" s="243"/>
      <c r="BA199" s="243"/>
      <c r="BB199" s="243"/>
      <c r="BC199" s="243"/>
      <c r="BD199" s="243"/>
      <c r="BE199" s="243"/>
      <c r="BF199" s="243"/>
      <c r="BG199" s="243"/>
      <c r="BH199" s="243"/>
      <c r="BI199" s="243"/>
      <c r="BJ199" s="243"/>
      <c r="BK199" s="243"/>
      <c r="BL199" s="243"/>
      <c r="BM199" s="243"/>
      <c r="BN199" s="243"/>
      <c r="BO199" s="243"/>
      <c r="BP199" s="243"/>
      <c r="BQ199" s="243"/>
      <c r="BR199" s="243"/>
      <c r="BS199" s="243"/>
    </row>
    <row r="200" spans="1:71" s="12" customFormat="1" ht="41.25" customHeight="1">
      <c r="A200" s="178" t="s">
        <v>62</v>
      </c>
      <c r="B200" s="178" t="str">
        <f ca="1">+UPPER(Tabla1321124[[#This Row],[DESCRIPCIÓN DE LA COMPRA O CONTRATACIÓN]])</f>
        <v>COA</v>
      </c>
      <c r="C200" s="39" t="s">
        <v>17</v>
      </c>
      <c r="D200" s="236">
        <v>5</v>
      </c>
      <c r="E200" s="236">
        <v>3</v>
      </c>
      <c r="F200" s="236">
        <v>3</v>
      </c>
      <c r="G200" s="236">
        <v>3</v>
      </c>
      <c r="H200" s="240">
        <f>SUM(Tabla1321124[[#This Row],[PRIMER TRIMESTRE]:[CUARTO TRIMESTRE]])</f>
        <v>14</v>
      </c>
      <c r="I200" s="17">
        <v>350</v>
      </c>
      <c r="J200" s="246">
        <f>+Tabla1321124[[#This Row],[CANTIDAD TOTAL]]*Tabla1321124[[#This Row],[PRECIO UNITARIO ESTIMADO]]</f>
        <v>4900</v>
      </c>
      <c r="K200" s="17"/>
      <c r="L200" s="16" t="s">
        <v>27</v>
      </c>
      <c r="M200" s="16" t="s">
        <v>22</v>
      </c>
      <c r="N200" s="16" t="s">
        <v>418</v>
      </c>
      <c r="O200" s="243"/>
      <c r="P200" s="243"/>
      <c r="Q200" s="243"/>
      <c r="R200" s="243"/>
      <c r="S200" s="243"/>
      <c r="T200" s="243"/>
      <c r="U200" s="243"/>
      <c r="V200" s="243"/>
      <c r="W200" s="243"/>
      <c r="X200" s="243"/>
      <c r="Y200" s="243"/>
      <c r="Z200" s="243"/>
      <c r="AA200" s="243"/>
      <c r="AB200" s="243"/>
      <c r="AC200" s="243"/>
      <c r="AD200" s="243"/>
      <c r="AE200" s="243"/>
      <c r="AF200" s="243"/>
      <c r="AG200" s="243"/>
      <c r="AH200" s="243"/>
      <c r="AI200" s="243"/>
      <c r="AJ200" s="243"/>
      <c r="AK200" s="243"/>
      <c r="AL200" s="243"/>
      <c r="AM200" s="243"/>
      <c r="AN200" s="243"/>
      <c r="AO200" s="243"/>
      <c r="AP200" s="243"/>
      <c r="AQ200" s="243"/>
      <c r="AR200" s="243"/>
      <c r="AS200" s="243"/>
      <c r="AT200" s="243"/>
      <c r="AU200" s="243"/>
      <c r="AV200" s="243"/>
      <c r="AW200" s="243"/>
      <c r="AX200" s="243"/>
      <c r="AY200" s="243"/>
      <c r="AZ200" s="243"/>
      <c r="BA200" s="243"/>
      <c r="BB200" s="243"/>
      <c r="BC200" s="243"/>
      <c r="BD200" s="243"/>
      <c r="BE200" s="243"/>
      <c r="BF200" s="243"/>
      <c r="BG200" s="243"/>
      <c r="BH200" s="243"/>
      <c r="BI200" s="243"/>
      <c r="BJ200" s="243"/>
      <c r="BK200" s="243"/>
      <c r="BL200" s="243"/>
      <c r="BM200" s="243"/>
      <c r="BN200" s="243"/>
      <c r="BO200" s="243"/>
      <c r="BP200" s="243"/>
      <c r="BQ200" s="243"/>
      <c r="BR200" s="243"/>
      <c r="BS200" s="243"/>
    </row>
    <row r="201" spans="1:71" s="12" customFormat="1" ht="41.25" customHeight="1">
      <c r="A201" s="178" t="s">
        <v>62</v>
      </c>
      <c r="B201" s="178" t="str">
        <f ca="1">+UPPER(Tabla1321124[[#This Row],[DESCRIPCIÓN DE LA COMPRA O CONTRATACIÓN]])</f>
        <v>PALOTE PARA CUBO</v>
      </c>
      <c r="C201" s="39" t="s">
        <v>17</v>
      </c>
      <c r="D201" s="236">
        <f>6+5</f>
        <v>11</v>
      </c>
      <c r="E201" s="236">
        <v>5</v>
      </c>
      <c r="F201" s="236">
        <f>10+3</f>
        <v>13</v>
      </c>
      <c r="G201" s="236">
        <v>5</v>
      </c>
      <c r="H201" s="240">
        <f>SUM(Tabla1321124[[#This Row],[PRIMER TRIMESTRE]:[CUARTO TRIMESTRE]])</f>
        <v>34</v>
      </c>
      <c r="I201" s="17">
        <v>220.66</v>
      </c>
      <c r="J201" s="17">
        <f>+Tabla1321124[[#This Row],[CANTIDAD TOTAL]]*Tabla1321124[[#This Row],[PRECIO UNITARIO ESTIMADO]]</f>
        <v>7502.44</v>
      </c>
      <c r="K201" s="17"/>
      <c r="L201" s="16" t="s">
        <v>27</v>
      </c>
      <c r="M201" s="16" t="s">
        <v>22</v>
      </c>
      <c r="N201" s="16" t="s">
        <v>418</v>
      </c>
      <c r="O201" s="243"/>
      <c r="P201" s="243"/>
      <c r="Q201" s="243"/>
      <c r="R201" s="243"/>
      <c r="S201" s="243"/>
      <c r="T201" s="243"/>
      <c r="U201" s="243"/>
      <c r="V201" s="243"/>
      <c r="W201" s="243"/>
      <c r="X201" s="243"/>
      <c r="Y201" s="243"/>
      <c r="Z201" s="243"/>
      <c r="AA201" s="243"/>
      <c r="AB201" s="243"/>
      <c r="AC201" s="243"/>
      <c r="AD201" s="243"/>
      <c r="AE201" s="243"/>
      <c r="AF201" s="243"/>
      <c r="AG201" s="243"/>
      <c r="AH201" s="243"/>
      <c r="AI201" s="243"/>
      <c r="AJ201" s="243"/>
      <c r="AK201" s="243"/>
      <c r="AL201" s="243"/>
      <c r="AM201" s="243"/>
      <c r="AN201" s="243"/>
      <c r="AO201" s="243"/>
      <c r="AP201" s="243"/>
      <c r="AQ201" s="243"/>
      <c r="AR201" s="243"/>
      <c r="AS201" s="243"/>
      <c r="AT201" s="243"/>
      <c r="AU201" s="243"/>
      <c r="AV201" s="243"/>
      <c r="AW201" s="243"/>
      <c r="AX201" s="243"/>
      <c r="AY201" s="243"/>
      <c r="AZ201" s="243"/>
      <c r="BA201" s="243"/>
      <c r="BB201" s="243"/>
      <c r="BC201" s="243"/>
      <c r="BD201" s="243"/>
      <c r="BE201" s="243"/>
      <c r="BF201" s="243"/>
      <c r="BG201" s="243"/>
      <c r="BH201" s="243"/>
      <c r="BI201" s="243"/>
      <c r="BJ201" s="243"/>
      <c r="BK201" s="243"/>
      <c r="BL201" s="243"/>
      <c r="BM201" s="243"/>
      <c r="BN201" s="243"/>
      <c r="BO201" s="243"/>
      <c r="BP201" s="243"/>
      <c r="BQ201" s="243"/>
      <c r="BR201" s="243"/>
      <c r="BS201" s="243"/>
    </row>
    <row r="202" spans="1:71" s="12" customFormat="1" ht="41.25" customHeight="1">
      <c r="A202" s="178" t="s">
        <v>62</v>
      </c>
      <c r="B202" s="178" t="str">
        <f ca="1">+UPPER(Tabla1321124[[#This Row],[DESCRIPCIÓN DE LA COMPRA O CONTRATACIÓN]])</f>
        <v>CHICHARRA</v>
      </c>
      <c r="C202" s="39" t="s">
        <v>17</v>
      </c>
      <c r="D202" s="236">
        <f>6+5</f>
        <v>11</v>
      </c>
      <c r="E202" s="236">
        <v>5</v>
      </c>
      <c r="F202" s="236">
        <f>10+3</f>
        <v>13</v>
      </c>
      <c r="G202" s="236">
        <v>5</v>
      </c>
      <c r="H202" s="240">
        <f>SUM(Tabla1321124[[#This Row],[PRIMER TRIMESTRE]:[CUARTO TRIMESTRE]])</f>
        <v>34</v>
      </c>
      <c r="I202" s="17">
        <v>353.52</v>
      </c>
      <c r="J202" s="17">
        <f>+Tabla1321124[[#This Row],[CANTIDAD TOTAL]]*Tabla1321124[[#This Row],[PRECIO UNITARIO ESTIMADO]]</f>
        <v>12019.68</v>
      </c>
      <c r="K202" s="17"/>
      <c r="L202" s="16" t="s">
        <v>27</v>
      </c>
      <c r="M202" s="16" t="s">
        <v>22</v>
      </c>
      <c r="N202" s="16" t="s">
        <v>418</v>
      </c>
      <c r="O202" s="243"/>
      <c r="P202" s="243"/>
      <c r="Q202" s="243"/>
      <c r="R202" s="243"/>
      <c r="S202" s="243"/>
      <c r="T202" s="243"/>
      <c r="U202" s="243"/>
      <c r="V202" s="243"/>
      <c r="W202" s="243"/>
      <c r="X202" s="243"/>
      <c r="Y202" s="243"/>
      <c r="Z202" s="243"/>
      <c r="AA202" s="243"/>
      <c r="AB202" s="243"/>
      <c r="AC202" s="243"/>
      <c r="AD202" s="243"/>
      <c r="AE202" s="243"/>
      <c r="AF202" s="243"/>
      <c r="AG202" s="243"/>
      <c r="AH202" s="243"/>
      <c r="AI202" s="243"/>
      <c r="AJ202" s="243"/>
      <c r="AK202" s="243"/>
      <c r="AL202" s="243"/>
      <c r="AM202" s="243"/>
      <c r="AN202" s="243"/>
      <c r="AO202" s="243"/>
      <c r="AP202" s="243"/>
      <c r="AQ202" s="243"/>
      <c r="AR202" s="243"/>
      <c r="AS202" s="243"/>
      <c r="AT202" s="243"/>
      <c r="AU202" s="243"/>
      <c r="AV202" s="243"/>
      <c r="AW202" s="243"/>
      <c r="AX202" s="243"/>
      <c r="AY202" s="243"/>
      <c r="AZ202" s="243"/>
      <c r="BA202" s="243"/>
      <c r="BB202" s="243"/>
      <c r="BC202" s="243"/>
      <c r="BD202" s="243"/>
      <c r="BE202" s="243"/>
      <c r="BF202" s="243"/>
      <c r="BG202" s="243"/>
      <c r="BH202" s="243"/>
      <c r="BI202" s="243"/>
      <c r="BJ202" s="243"/>
      <c r="BK202" s="243"/>
      <c r="BL202" s="243"/>
      <c r="BM202" s="243"/>
      <c r="BN202" s="243"/>
      <c r="BO202" s="243"/>
      <c r="BP202" s="243"/>
      <c r="BQ202" s="243"/>
      <c r="BR202" s="243"/>
      <c r="BS202" s="243"/>
    </row>
    <row r="203" spans="1:71" s="12" customFormat="1" ht="41.25" customHeight="1">
      <c r="A203" s="178" t="s">
        <v>62</v>
      </c>
      <c r="B203" s="178" t="str">
        <f ca="1">+UPPER(Tabla1321124[[#This Row],[DESCRIPCIÓN DE LA COMPRA O CONTRATACIÓN]])</f>
        <v>MECHA DE PERFORAR</v>
      </c>
      <c r="C203" s="39" t="s">
        <v>17</v>
      </c>
      <c r="D203" s="236">
        <f>9+28</f>
        <v>37</v>
      </c>
      <c r="E203" s="236">
        <f>5+3</f>
        <v>8</v>
      </c>
      <c r="F203" s="236">
        <f>10+3</f>
        <v>13</v>
      </c>
      <c r="G203" s="236">
        <f>5+3</f>
        <v>8</v>
      </c>
      <c r="H203" s="240">
        <f>SUM(Tabla1321124[[#This Row],[PRIMER TRIMESTRE]:[CUARTO TRIMESTRE]])</f>
        <v>66</v>
      </c>
      <c r="I203" s="17">
        <v>147.30000000000001</v>
      </c>
      <c r="J203" s="17">
        <f>+Tabla1321124[[#This Row],[CANTIDAD TOTAL]]*Tabla1321124[[#This Row],[PRECIO UNITARIO ESTIMADO]]</f>
        <v>9721.8000000000011</v>
      </c>
      <c r="K203" s="17"/>
      <c r="L203" s="16" t="s">
        <v>27</v>
      </c>
      <c r="M203" s="16" t="s">
        <v>22</v>
      </c>
      <c r="N203" s="16" t="s">
        <v>418</v>
      </c>
      <c r="O203" s="243"/>
      <c r="P203" s="243"/>
      <c r="Q203" s="243"/>
      <c r="R203" s="243"/>
      <c r="S203" s="243"/>
      <c r="T203" s="243"/>
      <c r="U203" s="243"/>
      <c r="V203" s="243"/>
      <c r="W203" s="243"/>
      <c r="X203" s="243"/>
      <c r="Y203" s="243"/>
      <c r="Z203" s="243"/>
      <c r="AA203" s="243"/>
      <c r="AB203" s="243"/>
      <c r="AC203" s="243"/>
      <c r="AD203" s="243"/>
      <c r="AE203" s="243"/>
      <c r="AF203" s="243"/>
      <c r="AG203" s="243"/>
      <c r="AH203" s="243"/>
      <c r="AI203" s="243"/>
      <c r="AJ203" s="243"/>
      <c r="AK203" s="243"/>
      <c r="AL203" s="243"/>
      <c r="AM203" s="243"/>
      <c r="AN203" s="243"/>
      <c r="AO203" s="243"/>
      <c r="AP203" s="243"/>
      <c r="AQ203" s="243"/>
      <c r="AR203" s="243"/>
      <c r="AS203" s="243"/>
      <c r="AT203" s="243"/>
      <c r="AU203" s="243"/>
      <c r="AV203" s="243"/>
      <c r="AW203" s="243"/>
      <c r="AX203" s="243"/>
      <c r="AY203" s="243"/>
      <c r="AZ203" s="243"/>
      <c r="BA203" s="243"/>
      <c r="BB203" s="243"/>
      <c r="BC203" s="243"/>
      <c r="BD203" s="243"/>
      <c r="BE203" s="243"/>
      <c r="BF203" s="243"/>
      <c r="BG203" s="243"/>
      <c r="BH203" s="243"/>
      <c r="BI203" s="243"/>
      <c r="BJ203" s="243"/>
      <c r="BK203" s="243"/>
      <c r="BL203" s="243"/>
      <c r="BM203" s="243"/>
      <c r="BN203" s="243"/>
      <c r="BO203" s="243"/>
      <c r="BP203" s="243"/>
      <c r="BQ203" s="243"/>
      <c r="BR203" s="243"/>
      <c r="BS203" s="243"/>
    </row>
    <row r="204" spans="1:71" s="12" customFormat="1" ht="41.25" customHeight="1">
      <c r="A204" s="178" t="s">
        <v>62</v>
      </c>
      <c r="B204" s="178" t="str">
        <f ca="1">+UPPER(Tabla1321124[[#This Row],[DESCRIPCIÓN DE LA COMPRA O CONTRATACIÓN]])</f>
        <v>TALADRO</v>
      </c>
      <c r="C204" s="39" t="s">
        <v>17</v>
      </c>
      <c r="D204" s="236">
        <f>6+3</f>
        <v>9</v>
      </c>
      <c r="E204" s="236">
        <v>5</v>
      </c>
      <c r="F204" s="236">
        <f>10+1</f>
        <v>11</v>
      </c>
      <c r="G204" s="236">
        <v>5</v>
      </c>
      <c r="H204" s="240">
        <f>SUM(Tabla1321124[[#This Row],[PRIMER TRIMESTRE]:[CUARTO TRIMESTRE]])</f>
        <v>30</v>
      </c>
      <c r="I204" s="17">
        <v>6490.63</v>
      </c>
      <c r="J204" s="17">
        <f>+Tabla1321124[[#This Row],[CANTIDAD TOTAL]]*Tabla1321124[[#This Row],[PRECIO UNITARIO ESTIMADO]]</f>
        <v>194718.9</v>
      </c>
      <c r="K204" s="17"/>
      <c r="L204" s="16" t="s">
        <v>27</v>
      </c>
      <c r="M204" s="16" t="s">
        <v>22</v>
      </c>
      <c r="N204" s="16" t="s">
        <v>418</v>
      </c>
      <c r="O204" s="243"/>
      <c r="P204" s="243"/>
      <c r="Q204" s="243"/>
      <c r="R204" s="243"/>
      <c r="S204" s="243"/>
      <c r="T204" s="243"/>
      <c r="U204" s="243"/>
      <c r="V204" s="243"/>
      <c r="W204" s="243"/>
      <c r="X204" s="243"/>
      <c r="Y204" s="243"/>
      <c r="Z204" s="243"/>
      <c r="AA204" s="243"/>
      <c r="AB204" s="243"/>
      <c r="AC204" s="243"/>
      <c r="AD204" s="243"/>
      <c r="AE204" s="243"/>
      <c r="AF204" s="243"/>
      <c r="AG204" s="243"/>
      <c r="AH204" s="243"/>
      <c r="AI204" s="243"/>
      <c r="AJ204" s="243"/>
      <c r="AK204" s="243"/>
      <c r="AL204" s="243"/>
      <c r="AM204" s="243"/>
      <c r="AN204" s="243"/>
      <c r="AO204" s="243"/>
      <c r="AP204" s="243"/>
      <c r="AQ204" s="243"/>
      <c r="AR204" s="243"/>
      <c r="AS204" s="243"/>
      <c r="AT204" s="243"/>
      <c r="AU204" s="243"/>
      <c r="AV204" s="243"/>
      <c r="AW204" s="243"/>
      <c r="AX204" s="243"/>
      <c r="AY204" s="243"/>
      <c r="AZ204" s="243"/>
      <c r="BA204" s="243"/>
      <c r="BB204" s="243"/>
      <c r="BC204" s="243"/>
      <c r="BD204" s="243"/>
      <c r="BE204" s="243"/>
      <c r="BF204" s="243"/>
      <c r="BG204" s="243"/>
      <c r="BH204" s="243"/>
      <c r="BI204" s="243"/>
      <c r="BJ204" s="243"/>
      <c r="BK204" s="243"/>
      <c r="BL204" s="243"/>
      <c r="BM204" s="243"/>
      <c r="BN204" s="243"/>
      <c r="BO204" s="243"/>
      <c r="BP204" s="243"/>
      <c r="BQ204" s="243"/>
      <c r="BR204" s="243"/>
      <c r="BS204" s="243"/>
    </row>
    <row r="205" spans="1:71" s="12" customFormat="1" ht="41.25" customHeight="1">
      <c r="A205" s="178" t="s">
        <v>62</v>
      </c>
      <c r="B205" s="178" t="str">
        <f ca="1">+UPPER(Tabla1321124[[#This Row],[DESCRIPCIÓN DE LA COMPRA O CONTRATACIÓN]])</f>
        <v xml:space="preserve">PIZAS DE SOLDAR </v>
      </c>
      <c r="C205" s="39" t="s">
        <v>17</v>
      </c>
      <c r="D205" s="236">
        <f>7+2</f>
        <v>9</v>
      </c>
      <c r="E205" s="236">
        <v>5</v>
      </c>
      <c r="F205" s="236">
        <v>10</v>
      </c>
      <c r="G205" s="236">
        <v>5</v>
      </c>
      <c r="H205" s="240">
        <f>SUM(Tabla1321124[[#This Row],[PRIMER TRIMESTRE]:[CUARTO TRIMESTRE]])</f>
        <v>29</v>
      </c>
      <c r="I205" s="17">
        <v>597.1</v>
      </c>
      <c r="J205" s="17">
        <f>+Tabla1321124[[#This Row],[CANTIDAD TOTAL]]*Tabla1321124[[#This Row],[PRECIO UNITARIO ESTIMADO]]</f>
        <v>17315.900000000001</v>
      </c>
      <c r="K205" s="17"/>
      <c r="L205" s="16" t="s">
        <v>27</v>
      </c>
      <c r="M205" s="16" t="s">
        <v>22</v>
      </c>
      <c r="N205" s="16" t="s">
        <v>418</v>
      </c>
      <c r="O205" s="243"/>
      <c r="P205" s="243"/>
      <c r="Q205" s="243"/>
      <c r="R205" s="243"/>
      <c r="S205" s="243"/>
      <c r="T205" s="243"/>
      <c r="U205" s="243"/>
      <c r="V205" s="243"/>
      <c r="W205" s="243"/>
      <c r="X205" s="243"/>
      <c r="Y205" s="243"/>
      <c r="Z205" s="243"/>
      <c r="AA205" s="243"/>
      <c r="AB205" s="243"/>
      <c r="AC205" s="243"/>
      <c r="AD205" s="243"/>
      <c r="AE205" s="243"/>
      <c r="AF205" s="243"/>
      <c r="AG205" s="243"/>
      <c r="AH205" s="243"/>
      <c r="AI205" s="243"/>
      <c r="AJ205" s="243"/>
      <c r="AK205" s="243"/>
      <c r="AL205" s="243"/>
      <c r="AM205" s="243"/>
      <c r="AN205" s="243"/>
      <c r="AO205" s="243"/>
      <c r="AP205" s="243"/>
      <c r="AQ205" s="243"/>
      <c r="AR205" s="243"/>
      <c r="AS205" s="243"/>
      <c r="AT205" s="243"/>
      <c r="AU205" s="243"/>
      <c r="AV205" s="243"/>
      <c r="AW205" s="243"/>
      <c r="AX205" s="243"/>
      <c r="AY205" s="243"/>
      <c r="AZ205" s="243"/>
      <c r="BA205" s="243"/>
      <c r="BB205" s="243"/>
      <c r="BC205" s="243"/>
      <c r="BD205" s="243"/>
      <c r="BE205" s="243"/>
      <c r="BF205" s="243"/>
      <c r="BG205" s="243"/>
      <c r="BH205" s="243"/>
      <c r="BI205" s="243"/>
      <c r="BJ205" s="243"/>
      <c r="BK205" s="243"/>
      <c r="BL205" s="243"/>
      <c r="BM205" s="243"/>
      <c r="BN205" s="243"/>
      <c r="BO205" s="243"/>
      <c r="BP205" s="243"/>
      <c r="BQ205" s="243"/>
      <c r="BR205" s="243"/>
      <c r="BS205" s="243"/>
    </row>
    <row r="206" spans="1:71" s="12" customFormat="1" ht="41.25" customHeight="1">
      <c r="A206" s="178" t="s">
        <v>62</v>
      </c>
      <c r="B206" s="178" t="str">
        <f ca="1">+UPPER(Tabla1321124[[#This Row],[DESCRIPCIÓN DE LA COMPRA O CONTRATACIÓN]])</f>
        <v>CAJA DE HERRAMIENTAS DE 24” EQUIPADA</v>
      </c>
      <c r="C206" s="39" t="s">
        <v>17</v>
      </c>
      <c r="D206" s="236">
        <f>6+5</f>
        <v>11</v>
      </c>
      <c r="E206" s="236">
        <f>6+3</f>
        <v>9</v>
      </c>
      <c r="F206" s="236">
        <f>10+6</f>
        <v>16</v>
      </c>
      <c r="G206" s="236">
        <f>5+3</f>
        <v>8</v>
      </c>
      <c r="H206" s="240">
        <f>SUM(Tabla1321124[[#This Row],[PRIMER TRIMESTRE]:[CUARTO TRIMESTRE]])</f>
        <v>44</v>
      </c>
      <c r="I206" s="17">
        <v>5000</v>
      </c>
      <c r="J206" s="17">
        <f>+Tabla1321124[[#This Row],[CANTIDAD TOTAL]]*Tabla1321124[[#This Row],[PRECIO UNITARIO ESTIMADO]]</f>
        <v>220000</v>
      </c>
      <c r="K206" s="17"/>
      <c r="L206" s="16" t="s">
        <v>27</v>
      </c>
      <c r="M206" s="16" t="s">
        <v>22</v>
      </c>
      <c r="N206" s="16" t="s">
        <v>418</v>
      </c>
      <c r="O206" s="243"/>
      <c r="P206" s="243"/>
      <c r="Q206" s="243"/>
      <c r="R206" s="243"/>
      <c r="S206" s="243"/>
      <c r="T206" s="243"/>
      <c r="U206" s="243"/>
      <c r="V206" s="243"/>
      <c r="W206" s="243"/>
      <c r="X206" s="243"/>
      <c r="Y206" s="243"/>
      <c r="Z206" s="243"/>
      <c r="AA206" s="243"/>
      <c r="AB206" s="243"/>
      <c r="AC206" s="243"/>
      <c r="AD206" s="243"/>
      <c r="AE206" s="243"/>
      <c r="AF206" s="243"/>
      <c r="AG206" s="243"/>
      <c r="AH206" s="243"/>
      <c r="AI206" s="243"/>
      <c r="AJ206" s="243"/>
      <c r="AK206" s="243"/>
      <c r="AL206" s="243"/>
      <c r="AM206" s="243"/>
      <c r="AN206" s="243"/>
      <c r="AO206" s="243"/>
      <c r="AP206" s="243"/>
      <c r="AQ206" s="243"/>
      <c r="AR206" s="243"/>
      <c r="AS206" s="243"/>
      <c r="AT206" s="243"/>
      <c r="AU206" s="243"/>
      <c r="AV206" s="243"/>
      <c r="AW206" s="243"/>
      <c r="AX206" s="243"/>
      <c r="AY206" s="243"/>
      <c r="AZ206" s="243"/>
      <c r="BA206" s="243"/>
      <c r="BB206" s="243"/>
      <c r="BC206" s="243"/>
      <c r="BD206" s="243"/>
      <c r="BE206" s="243"/>
      <c r="BF206" s="243"/>
      <c r="BG206" s="243"/>
      <c r="BH206" s="243"/>
      <c r="BI206" s="243"/>
      <c r="BJ206" s="243"/>
      <c r="BK206" s="243"/>
      <c r="BL206" s="243"/>
      <c r="BM206" s="243"/>
      <c r="BN206" s="243"/>
      <c r="BO206" s="243"/>
      <c r="BP206" s="243"/>
      <c r="BQ206" s="243"/>
      <c r="BR206" s="243"/>
      <c r="BS206" s="243"/>
    </row>
    <row r="207" spans="1:71" s="12" customFormat="1" ht="41.25" customHeight="1">
      <c r="A207" s="178" t="s">
        <v>62</v>
      </c>
      <c r="B207" s="178" t="str">
        <f ca="1">+UPPER(Tabla1321124[[#This Row],[DESCRIPCIÓN DE LA COMPRA O CONTRATACIÓN]])</f>
        <v xml:space="preserve">CEPILLO DE ACERO  CON MANGO </v>
      </c>
      <c r="C207" s="39" t="s">
        <v>17</v>
      </c>
      <c r="D207" s="210">
        <f>10+63</f>
        <v>73</v>
      </c>
      <c r="E207" s="210">
        <f>5+10</f>
        <v>15</v>
      </c>
      <c r="F207" s="210">
        <f>10+35</f>
        <v>45</v>
      </c>
      <c r="G207" s="210">
        <f>5+10</f>
        <v>15</v>
      </c>
      <c r="H207" s="240">
        <f>SUM(Tabla1321124[[#This Row],[PRIMER TRIMESTRE]:[CUARTO TRIMESTRE]])</f>
        <v>148</v>
      </c>
      <c r="I207" s="17">
        <v>125</v>
      </c>
      <c r="J207" s="17">
        <f>+Tabla1321124[[#This Row],[CANTIDAD TOTAL]]*Tabla1321124[[#This Row],[PRECIO UNITARIO ESTIMADO]]</f>
        <v>18500</v>
      </c>
      <c r="K207" s="17"/>
      <c r="L207" s="16" t="s">
        <v>27</v>
      </c>
      <c r="M207" s="16" t="s">
        <v>22</v>
      </c>
      <c r="N207" s="16" t="s">
        <v>418</v>
      </c>
      <c r="O207" s="243"/>
      <c r="P207" s="243"/>
      <c r="Q207" s="243"/>
      <c r="R207" s="243"/>
      <c r="S207" s="243"/>
      <c r="T207" s="243"/>
      <c r="U207" s="243"/>
      <c r="V207" s="243"/>
      <c r="W207" s="243"/>
      <c r="X207" s="243"/>
      <c r="Y207" s="243"/>
      <c r="Z207" s="243"/>
      <c r="AA207" s="243"/>
      <c r="AB207" s="243"/>
      <c r="AC207" s="243"/>
      <c r="AD207" s="243"/>
      <c r="AE207" s="243"/>
      <c r="AF207" s="243"/>
      <c r="AG207" s="243"/>
      <c r="AH207" s="243"/>
      <c r="AI207" s="243"/>
      <c r="AJ207" s="243"/>
      <c r="AK207" s="243"/>
      <c r="AL207" s="243"/>
      <c r="AM207" s="243"/>
      <c r="AN207" s="243"/>
      <c r="AO207" s="243"/>
      <c r="AP207" s="243"/>
      <c r="AQ207" s="243"/>
      <c r="AR207" s="243"/>
      <c r="AS207" s="243"/>
      <c r="AT207" s="243"/>
      <c r="AU207" s="243"/>
      <c r="AV207" s="243"/>
      <c r="AW207" s="243"/>
      <c r="AX207" s="243"/>
      <c r="AY207" s="243"/>
      <c r="AZ207" s="243"/>
      <c r="BA207" s="243"/>
      <c r="BB207" s="243"/>
      <c r="BC207" s="243"/>
      <c r="BD207" s="243"/>
      <c r="BE207" s="243"/>
      <c r="BF207" s="243"/>
      <c r="BG207" s="243"/>
      <c r="BH207" s="243"/>
      <c r="BI207" s="243"/>
      <c r="BJ207" s="243"/>
      <c r="BK207" s="243"/>
      <c r="BL207" s="243"/>
      <c r="BM207" s="243"/>
      <c r="BN207" s="243"/>
      <c r="BO207" s="243"/>
      <c r="BP207" s="243"/>
      <c r="BQ207" s="243"/>
      <c r="BR207" s="243"/>
      <c r="BS207" s="243"/>
    </row>
    <row r="208" spans="1:71" s="12" customFormat="1" ht="41.25" customHeight="1">
      <c r="A208" s="178" t="s">
        <v>62</v>
      </c>
      <c r="B208" s="178" t="str">
        <f ca="1">+UPPER(Tabla1321124[[#This Row],[DESCRIPCIÓN DE LA COMPRA O CONTRATACIÓN]])</f>
        <v xml:space="preserve">CEPILLO DE ACERO  SIN MANGO </v>
      </c>
      <c r="C208" s="39" t="s">
        <v>17</v>
      </c>
      <c r="D208" s="210">
        <v>633</v>
      </c>
      <c r="E208" s="210">
        <f>5+458</f>
        <v>463</v>
      </c>
      <c r="F208" s="210">
        <f>10+28</f>
        <v>38</v>
      </c>
      <c r="G208" s="210">
        <f>5+558</f>
        <v>563</v>
      </c>
      <c r="H208" s="240">
        <f>SUM(Tabla1321124[[#This Row],[PRIMER TRIMESTRE]:[CUARTO TRIMESTRE]])</f>
        <v>1697</v>
      </c>
      <c r="I208" s="17">
        <v>80</v>
      </c>
      <c r="J208" s="17">
        <f>+Tabla1321124[[#This Row],[CANTIDAD TOTAL]]*Tabla1321124[[#This Row],[PRECIO UNITARIO ESTIMADO]]</f>
        <v>135760</v>
      </c>
      <c r="K208" s="17"/>
      <c r="L208" s="16" t="s">
        <v>27</v>
      </c>
      <c r="M208" s="16" t="s">
        <v>22</v>
      </c>
      <c r="N208" s="16" t="s">
        <v>418</v>
      </c>
      <c r="O208" s="243"/>
      <c r="P208" s="243"/>
      <c r="Q208" s="243"/>
      <c r="R208" s="243"/>
      <c r="S208" s="243"/>
      <c r="T208" s="243"/>
      <c r="U208" s="243"/>
      <c r="V208" s="243"/>
      <c r="W208" s="243"/>
      <c r="X208" s="243"/>
      <c r="Y208" s="243"/>
      <c r="Z208" s="243"/>
      <c r="AA208" s="243"/>
      <c r="AB208" s="243"/>
      <c r="AC208" s="243"/>
      <c r="AD208" s="243"/>
      <c r="AE208" s="243"/>
      <c r="AF208" s="243"/>
      <c r="AG208" s="243"/>
      <c r="AH208" s="243"/>
      <c r="AI208" s="243"/>
      <c r="AJ208" s="243"/>
      <c r="AK208" s="243"/>
      <c r="AL208" s="243"/>
      <c r="AM208" s="243"/>
      <c r="AN208" s="243"/>
      <c r="AO208" s="243"/>
      <c r="AP208" s="243"/>
      <c r="AQ208" s="243"/>
      <c r="AR208" s="243"/>
      <c r="AS208" s="243"/>
      <c r="AT208" s="243"/>
      <c r="AU208" s="243"/>
      <c r="AV208" s="243"/>
      <c r="AW208" s="243"/>
      <c r="AX208" s="243"/>
      <c r="AY208" s="243"/>
      <c r="AZ208" s="243"/>
      <c r="BA208" s="243"/>
      <c r="BB208" s="243"/>
      <c r="BC208" s="243"/>
      <c r="BD208" s="243"/>
      <c r="BE208" s="243"/>
      <c r="BF208" s="243"/>
      <c r="BG208" s="243"/>
      <c r="BH208" s="243"/>
      <c r="BI208" s="243"/>
      <c r="BJ208" s="243"/>
      <c r="BK208" s="243"/>
      <c r="BL208" s="243"/>
      <c r="BM208" s="243"/>
      <c r="BN208" s="243"/>
      <c r="BO208" s="243"/>
      <c r="BP208" s="243"/>
      <c r="BQ208" s="243"/>
      <c r="BR208" s="243"/>
      <c r="BS208" s="243"/>
    </row>
    <row r="209" spans="1:71" s="169" customFormat="1" ht="41.25" customHeight="1">
      <c r="A209" s="178" t="s">
        <v>62</v>
      </c>
      <c r="B209" s="178" t="str">
        <f ca="1">+UPPER(Tabla1321124[[#This Row],[DESCRIPCIÓN DE LA COMPRA O CONTRATACIÓN]])</f>
        <v>CEPILLO DE FIBRA PLASTICA</v>
      </c>
      <c r="C209" s="39" t="s">
        <v>17</v>
      </c>
      <c r="D209" s="210">
        <v>23</v>
      </c>
      <c r="E209" s="210">
        <v>298</v>
      </c>
      <c r="F209" s="210">
        <v>23</v>
      </c>
      <c r="G209" s="210">
        <v>298</v>
      </c>
      <c r="H209" s="240">
        <f>SUM(Tabla1321124[[#This Row],[PRIMER TRIMESTRE]:[CUARTO TRIMESTRE]])</f>
        <v>642</v>
      </c>
      <c r="I209" s="17">
        <v>46.8</v>
      </c>
      <c r="J209" s="17">
        <f>+Tabla1321124[[#This Row],[CANTIDAD TOTAL]]*Tabla1321124[[#This Row],[PRECIO UNITARIO ESTIMADO]]</f>
        <v>30045.599999999999</v>
      </c>
      <c r="K209" s="17"/>
      <c r="L209" s="16" t="s">
        <v>27</v>
      </c>
      <c r="M209" s="16" t="s">
        <v>22</v>
      </c>
      <c r="N209" s="16" t="s">
        <v>418</v>
      </c>
      <c r="O209" s="243"/>
      <c r="P209" s="243"/>
      <c r="Q209" s="243"/>
      <c r="R209" s="243"/>
      <c r="S209" s="243"/>
      <c r="T209" s="243"/>
      <c r="U209" s="243"/>
      <c r="V209" s="243"/>
      <c r="W209" s="243"/>
      <c r="X209" s="243"/>
      <c r="Y209" s="243"/>
      <c r="Z209" s="243"/>
      <c r="AA209" s="243"/>
      <c r="AB209" s="243"/>
      <c r="AC209" s="243"/>
      <c r="AD209" s="243"/>
      <c r="AE209" s="243"/>
      <c r="AF209" s="243"/>
      <c r="AG209" s="243"/>
      <c r="AH209" s="243"/>
      <c r="AI209" s="243"/>
      <c r="AJ209" s="243"/>
      <c r="AK209" s="243"/>
      <c r="AL209" s="243"/>
      <c r="AM209" s="243"/>
      <c r="AN209" s="243"/>
      <c r="AO209" s="243"/>
      <c r="AP209" s="243"/>
      <c r="AQ209" s="243"/>
      <c r="AR209" s="243"/>
      <c r="AS209" s="243"/>
      <c r="AT209" s="243"/>
      <c r="AU209" s="243"/>
      <c r="AV209" s="243"/>
      <c r="AW209" s="243"/>
      <c r="AX209" s="243"/>
      <c r="AY209" s="243"/>
      <c r="AZ209" s="243"/>
      <c r="BA209" s="243"/>
      <c r="BB209" s="243"/>
      <c r="BC209" s="243"/>
      <c r="BD209" s="243"/>
      <c r="BE209" s="243"/>
      <c r="BF209" s="243"/>
      <c r="BG209" s="243"/>
      <c r="BH209" s="243"/>
      <c r="BI209" s="243"/>
      <c r="BJ209" s="243"/>
      <c r="BK209" s="243"/>
      <c r="BL209" s="243"/>
      <c r="BM209" s="243"/>
      <c r="BN209" s="243"/>
      <c r="BO209" s="243"/>
      <c r="BP209" s="243"/>
      <c r="BQ209" s="243"/>
      <c r="BR209" s="243"/>
      <c r="BS209" s="243"/>
    </row>
    <row r="210" spans="1:71" s="169" customFormat="1" ht="41.25" customHeight="1">
      <c r="A210" s="178" t="s">
        <v>62</v>
      </c>
      <c r="B210" s="178" t="str">
        <f ca="1">+UPPER(Tabla1321124[[#This Row],[DESCRIPCIÓN DE LA COMPRA O CONTRATACIÓN]])</f>
        <v>CUBO DE MEZCLA NO. 10</v>
      </c>
      <c r="C210" s="39" t="s">
        <v>17</v>
      </c>
      <c r="D210" s="210">
        <f>2+13</f>
        <v>15</v>
      </c>
      <c r="E210" s="210">
        <v>158</v>
      </c>
      <c r="F210" s="210">
        <v>10</v>
      </c>
      <c r="G210" s="210">
        <v>8</v>
      </c>
      <c r="H210" s="240">
        <f>SUM(Tabla1321124[[#This Row],[PRIMER TRIMESTRE]:[CUARTO TRIMESTRE]])</f>
        <v>191</v>
      </c>
      <c r="I210" s="17">
        <v>180</v>
      </c>
      <c r="J210" s="17">
        <f>+Tabla1321124[[#This Row],[CANTIDAD TOTAL]]*Tabla1321124[[#This Row],[PRECIO UNITARIO ESTIMADO]]</f>
        <v>34380</v>
      </c>
      <c r="K210" s="17"/>
      <c r="L210" s="16" t="s">
        <v>27</v>
      </c>
      <c r="M210" s="16" t="s">
        <v>22</v>
      </c>
      <c r="N210" s="16" t="s">
        <v>418</v>
      </c>
      <c r="O210" s="243"/>
      <c r="P210" s="243"/>
      <c r="Q210" s="243"/>
      <c r="R210" s="243"/>
      <c r="S210" s="243"/>
      <c r="T210" s="243"/>
      <c r="U210" s="243"/>
      <c r="V210" s="243"/>
      <c r="W210" s="243"/>
      <c r="X210" s="243"/>
      <c r="Y210" s="243"/>
      <c r="Z210" s="243"/>
      <c r="AA210" s="243"/>
      <c r="AB210" s="243"/>
      <c r="AC210" s="243"/>
      <c r="AD210" s="243"/>
      <c r="AE210" s="243"/>
      <c r="AF210" s="243"/>
      <c r="AG210" s="243"/>
      <c r="AH210" s="243"/>
      <c r="AI210" s="243"/>
      <c r="AJ210" s="243"/>
      <c r="AK210" s="243"/>
      <c r="AL210" s="243"/>
      <c r="AM210" s="243"/>
      <c r="AN210" s="243"/>
      <c r="AO210" s="243"/>
      <c r="AP210" s="243"/>
      <c r="AQ210" s="243"/>
      <c r="AR210" s="243"/>
      <c r="AS210" s="243"/>
      <c r="AT210" s="243"/>
      <c r="AU210" s="243"/>
      <c r="AV210" s="243"/>
      <c r="AW210" s="243"/>
      <c r="AX210" s="243"/>
      <c r="AY210" s="243"/>
      <c r="AZ210" s="243"/>
      <c r="BA210" s="243"/>
      <c r="BB210" s="243"/>
      <c r="BC210" s="243"/>
      <c r="BD210" s="243"/>
      <c r="BE210" s="243"/>
      <c r="BF210" s="243"/>
      <c r="BG210" s="243"/>
      <c r="BH210" s="243"/>
      <c r="BI210" s="243"/>
      <c r="BJ210" s="243"/>
      <c r="BK210" s="243"/>
      <c r="BL210" s="243"/>
      <c r="BM210" s="243"/>
      <c r="BN210" s="243"/>
      <c r="BO210" s="243"/>
      <c r="BP210" s="243"/>
      <c r="BQ210" s="243"/>
      <c r="BR210" s="243"/>
      <c r="BS210" s="243"/>
    </row>
    <row r="211" spans="1:71" s="12" customFormat="1" ht="41.25" customHeight="1">
      <c r="A211" s="178" t="s">
        <v>62</v>
      </c>
      <c r="B211" s="178" t="str">
        <f ca="1">+UPPER(Tabla1321124[[#This Row],[DESCRIPCIÓN DE LA COMPRA O CONTRATACIÓN]])</f>
        <v>CUBOS MILIMETRICOS</v>
      </c>
      <c r="C211" s="39" t="s">
        <v>1162</v>
      </c>
      <c r="D211" s="236">
        <v>2</v>
      </c>
      <c r="E211" s="236">
        <v>0</v>
      </c>
      <c r="F211" s="236">
        <v>0</v>
      </c>
      <c r="G211" s="236">
        <v>0</v>
      </c>
      <c r="H211" s="240">
        <f>SUM(Tabla1321124[[#This Row],[PRIMER TRIMESTRE]:[CUARTO TRIMESTRE]])</f>
        <v>2</v>
      </c>
      <c r="I211" s="17">
        <v>11000</v>
      </c>
      <c r="J211" s="17">
        <f>+Tabla1321124[[#This Row],[CANTIDAD TOTAL]]*Tabla1321124[[#This Row],[PRECIO UNITARIO ESTIMADO]]</f>
        <v>22000</v>
      </c>
      <c r="K211" s="17"/>
      <c r="L211" s="16" t="s">
        <v>27</v>
      </c>
      <c r="M211" s="16" t="s">
        <v>22</v>
      </c>
      <c r="N211" s="16" t="s">
        <v>418</v>
      </c>
      <c r="O211" s="243"/>
      <c r="P211" s="243"/>
      <c r="Q211" s="243"/>
      <c r="R211" s="243"/>
      <c r="S211" s="243"/>
      <c r="T211" s="243"/>
      <c r="U211" s="243"/>
      <c r="V211" s="243"/>
      <c r="W211" s="243"/>
      <c r="X211" s="243"/>
      <c r="Y211" s="243"/>
      <c r="Z211" s="243"/>
      <c r="AA211" s="243"/>
      <c r="AB211" s="243"/>
      <c r="AC211" s="243"/>
      <c r="AD211" s="243"/>
      <c r="AE211" s="243"/>
      <c r="AF211" s="243"/>
      <c r="AG211" s="243"/>
      <c r="AH211" s="243"/>
      <c r="AI211" s="243"/>
      <c r="AJ211" s="243"/>
      <c r="AK211" s="243"/>
      <c r="AL211" s="243"/>
      <c r="AM211" s="243"/>
      <c r="AN211" s="243"/>
      <c r="AO211" s="243"/>
      <c r="AP211" s="243"/>
      <c r="AQ211" s="243"/>
      <c r="AR211" s="243"/>
      <c r="AS211" s="243"/>
      <c r="AT211" s="243"/>
      <c r="AU211" s="243"/>
      <c r="AV211" s="243"/>
      <c r="AW211" s="243"/>
      <c r="AX211" s="243"/>
      <c r="AY211" s="243"/>
      <c r="AZ211" s="243"/>
      <c r="BA211" s="243"/>
      <c r="BB211" s="243"/>
      <c r="BC211" s="243"/>
      <c r="BD211" s="243"/>
      <c r="BE211" s="243"/>
      <c r="BF211" s="243"/>
      <c r="BG211" s="243"/>
      <c r="BH211" s="243"/>
      <c r="BI211" s="243"/>
      <c r="BJ211" s="243"/>
      <c r="BK211" s="243"/>
      <c r="BL211" s="243"/>
      <c r="BM211" s="243"/>
      <c r="BN211" s="243"/>
      <c r="BO211" s="243"/>
      <c r="BP211" s="243"/>
      <c r="BQ211" s="243"/>
      <c r="BR211" s="243"/>
      <c r="BS211" s="243"/>
    </row>
    <row r="212" spans="1:71" s="12" customFormat="1" ht="41.25" customHeight="1">
      <c r="A212" s="178" t="s">
        <v>62</v>
      </c>
      <c r="B212" s="178" t="str">
        <f ca="1">+UPPER(Tabla1321124[[#This Row],[DESCRIPCIÓN DE LA COMPRA O CONTRATACIÓN]])</f>
        <v>CUBO UNIVERSAL</v>
      </c>
      <c r="C212" s="39" t="s">
        <v>1162</v>
      </c>
      <c r="D212" s="236">
        <v>2</v>
      </c>
      <c r="E212" s="236"/>
      <c r="F212" s="236"/>
      <c r="G212" s="236"/>
      <c r="H212" s="240">
        <f>SUM(Tabla1321124[[#This Row],[PRIMER TRIMESTRE]:[CUARTO TRIMESTRE]])</f>
        <v>2</v>
      </c>
      <c r="I212" s="17">
        <v>11000</v>
      </c>
      <c r="J212" s="17">
        <f>+Tabla1321124[[#This Row],[CANTIDAD TOTAL]]*Tabla1321124[[#This Row],[PRECIO UNITARIO ESTIMADO]]</f>
        <v>22000</v>
      </c>
      <c r="K212" s="17"/>
      <c r="L212" s="16" t="s">
        <v>27</v>
      </c>
      <c r="M212" s="16" t="s">
        <v>22</v>
      </c>
      <c r="N212" s="16" t="s">
        <v>418</v>
      </c>
      <c r="O212" s="243"/>
      <c r="P212" s="243"/>
      <c r="Q212" s="243"/>
      <c r="R212" s="243"/>
      <c r="S212" s="243"/>
      <c r="T212" s="243"/>
      <c r="U212" s="243"/>
      <c r="V212" s="243"/>
      <c r="W212" s="243"/>
      <c r="X212" s="243"/>
      <c r="Y212" s="243"/>
      <c r="Z212" s="243"/>
      <c r="AA212" s="243"/>
      <c r="AB212" s="243"/>
      <c r="AC212" s="243"/>
      <c r="AD212" s="243"/>
      <c r="AE212" s="243"/>
      <c r="AF212" s="243"/>
      <c r="AG212" s="243"/>
      <c r="AH212" s="243"/>
      <c r="AI212" s="243"/>
      <c r="AJ212" s="243"/>
      <c r="AK212" s="243"/>
      <c r="AL212" s="243"/>
      <c r="AM212" s="243"/>
      <c r="AN212" s="243"/>
      <c r="AO212" s="243"/>
      <c r="AP212" s="243"/>
      <c r="AQ212" s="243"/>
      <c r="AR212" s="243"/>
      <c r="AS212" s="243"/>
      <c r="AT212" s="243"/>
      <c r="AU212" s="243"/>
      <c r="AV212" s="243"/>
      <c r="AW212" s="243"/>
      <c r="AX212" s="243"/>
      <c r="AY212" s="243"/>
      <c r="AZ212" s="243"/>
      <c r="BA212" s="243"/>
      <c r="BB212" s="243"/>
      <c r="BC212" s="243"/>
      <c r="BD212" s="243"/>
      <c r="BE212" s="243"/>
      <c r="BF212" s="243"/>
      <c r="BG212" s="243"/>
      <c r="BH212" s="243"/>
      <c r="BI212" s="243"/>
      <c r="BJ212" s="243"/>
      <c r="BK212" s="243"/>
      <c r="BL212" s="243"/>
      <c r="BM212" s="243"/>
      <c r="BN212" s="243"/>
      <c r="BO212" s="243"/>
      <c r="BP212" s="243"/>
      <c r="BQ212" s="243"/>
      <c r="BR212" s="243"/>
      <c r="BS212" s="243"/>
    </row>
    <row r="213" spans="1:71" s="12" customFormat="1" ht="41.25" customHeight="1">
      <c r="A213" s="178" t="s">
        <v>62</v>
      </c>
      <c r="B213" s="178" t="str">
        <f ca="1">+UPPER(Tabla1321124[[#This Row],[DESCRIPCIÓN DE LA COMPRA O CONTRATACIÓN]])</f>
        <v>BROCHAS NO. 2</v>
      </c>
      <c r="C213" s="39" t="s">
        <v>17</v>
      </c>
      <c r="D213" s="236">
        <f>10+15</f>
        <v>25</v>
      </c>
      <c r="E213" s="236"/>
      <c r="F213" s="236">
        <v>5</v>
      </c>
      <c r="G213" s="236"/>
      <c r="H213" s="240">
        <f>SUM(Tabla1321124[[#This Row],[PRIMER TRIMESTRE]:[CUARTO TRIMESTRE]])</f>
        <v>30</v>
      </c>
      <c r="I213" s="17">
        <v>29.5</v>
      </c>
      <c r="J213" s="17">
        <f>+Tabla1321124[[#This Row],[CANTIDAD TOTAL]]*Tabla1321124[[#This Row],[PRECIO UNITARIO ESTIMADO]]</f>
        <v>885</v>
      </c>
      <c r="K213" s="17"/>
      <c r="L213" s="16" t="s">
        <v>27</v>
      </c>
      <c r="M213" s="16" t="s">
        <v>22</v>
      </c>
      <c r="N213" s="16" t="s">
        <v>418</v>
      </c>
      <c r="O213" s="243"/>
      <c r="P213" s="243"/>
      <c r="Q213" s="243"/>
      <c r="R213" s="243"/>
      <c r="S213" s="243"/>
      <c r="T213" s="243"/>
      <c r="U213" s="243"/>
      <c r="V213" s="243"/>
      <c r="W213" s="243"/>
      <c r="X213" s="243"/>
      <c r="Y213" s="243"/>
      <c r="Z213" s="243"/>
      <c r="AA213" s="243"/>
      <c r="AB213" s="243"/>
      <c r="AC213" s="243"/>
      <c r="AD213" s="243"/>
      <c r="AE213" s="243"/>
      <c r="AF213" s="243"/>
      <c r="AG213" s="243"/>
      <c r="AH213" s="243"/>
      <c r="AI213" s="243"/>
      <c r="AJ213" s="243"/>
      <c r="AK213" s="243"/>
      <c r="AL213" s="243"/>
      <c r="AM213" s="243"/>
      <c r="AN213" s="243"/>
      <c r="AO213" s="243"/>
      <c r="AP213" s="243"/>
      <c r="AQ213" s="243"/>
      <c r="AR213" s="243"/>
      <c r="AS213" s="243"/>
      <c r="AT213" s="243"/>
      <c r="AU213" s="243"/>
      <c r="AV213" s="243"/>
      <c r="AW213" s="243"/>
      <c r="AX213" s="243"/>
      <c r="AY213" s="243"/>
      <c r="AZ213" s="243"/>
      <c r="BA213" s="243"/>
      <c r="BB213" s="243"/>
      <c r="BC213" s="243"/>
      <c r="BD213" s="243"/>
      <c r="BE213" s="243"/>
      <c r="BF213" s="243"/>
      <c r="BG213" s="243"/>
      <c r="BH213" s="243"/>
      <c r="BI213" s="243"/>
      <c r="BJ213" s="243"/>
      <c r="BK213" s="243"/>
      <c r="BL213" s="243"/>
      <c r="BM213" s="243"/>
      <c r="BN213" s="243"/>
      <c r="BO213" s="243"/>
      <c r="BP213" s="243"/>
      <c r="BQ213" s="243"/>
      <c r="BR213" s="243"/>
      <c r="BS213" s="243"/>
    </row>
    <row r="214" spans="1:71" s="12" customFormat="1" ht="41.25" customHeight="1">
      <c r="A214" s="178" t="s">
        <v>62</v>
      </c>
      <c r="B214" s="178" t="str">
        <f ca="1">+UPPER(Tabla1321124[[#This Row],[DESCRIPCIÓN DE LA COMPRA O CONTRATACIÓN]])</f>
        <v>BROCHAS NO. 3</v>
      </c>
      <c r="C214" s="39" t="s">
        <v>17</v>
      </c>
      <c r="D214" s="236">
        <f>10+19</f>
        <v>29</v>
      </c>
      <c r="E214" s="236">
        <v>2</v>
      </c>
      <c r="F214" s="236">
        <v>7</v>
      </c>
      <c r="G214" s="236">
        <v>2</v>
      </c>
      <c r="H214" s="240">
        <f>SUM(Tabla1321124[[#This Row],[PRIMER TRIMESTRE]:[CUARTO TRIMESTRE]])</f>
        <v>40</v>
      </c>
      <c r="I214" s="17">
        <v>45</v>
      </c>
      <c r="J214" s="17">
        <f>+Tabla1321124[[#This Row],[CANTIDAD TOTAL]]*Tabla1321124[[#This Row],[PRECIO UNITARIO ESTIMADO]]</f>
        <v>1800</v>
      </c>
      <c r="K214" s="17"/>
      <c r="L214" s="16" t="s">
        <v>27</v>
      </c>
      <c r="M214" s="16" t="s">
        <v>22</v>
      </c>
      <c r="N214" s="16" t="s">
        <v>418</v>
      </c>
      <c r="O214" s="243"/>
      <c r="P214" s="243"/>
      <c r="Q214" s="243"/>
      <c r="R214" s="243"/>
      <c r="S214" s="243"/>
      <c r="T214" s="243"/>
      <c r="U214" s="243"/>
      <c r="V214" s="243"/>
      <c r="W214" s="243"/>
      <c r="X214" s="243"/>
      <c r="Y214" s="243"/>
      <c r="Z214" s="243"/>
      <c r="AA214" s="243"/>
      <c r="AB214" s="243"/>
      <c r="AC214" s="243"/>
      <c r="AD214" s="243"/>
      <c r="AE214" s="243"/>
      <c r="AF214" s="243"/>
      <c r="AG214" s="243"/>
      <c r="AH214" s="243"/>
      <c r="AI214" s="243"/>
      <c r="AJ214" s="243"/>
      <c r="AK214" s="243"/>
      <c r="AL214" s="243"/>
      <c r="AM214" s="243"/>
      <c r="AN214" s="243"/>
      <c r="AO214" s="243"/>
      <c r="AP214" s="243"/>
      <c r="AQ214" s="243"/>
      <c r="AR214" s="243"/>
      <c r="AS214" s="243"/>
      <c r="AT214" s="243"/>
      <c r="AU214" s="243"/>
      <c r="AV214" s="243"/>
      <c r="AW214" s="243"/>
      <c r="AX214" s="243"/>
      <c r="AY214" s="243"/>
      <c r="AZ214" s="243"/>
      <c r="BA214" s="243"/>
      <c r="BB214" s="243"/>
      <c r="BC214" s="243"/>
      <c r="BD214" s="243"/>
      <c r="BE214" s="243"/>
      <c r="BF214" s="243"/>
      <c r="BG214" s="243"/>
      <c r="BH214" s="243"/>
      <c r="BI214" s="243"/>
      <c r="BJ214" s="243"/>
      <c r="BK214" s="243"/>
      <c r="BL214" s="243"/>
      <c r="BM214" s="243"/>
      <c r="BN214" s="243"/>
      <c r="BO214" s="243"/>
      <c r="BP214" s="243"/>
      <c r="BQ214" s="243"/>
      <c r="BR214" s="243"/>
      <c r="BS214" s="243"/>
    </row>
    <row r="215" spans="1:71" s="12" customFormat="1" ht="41.25" customHeight="1">
      <c r="A215" s="178" t="s">
        <v>62</v>
      </c>
      <c r="B215" s="178" t="str">
        <f ca="1">+UPPER(Tabla1321124[[#This Row],[DESCRIPCIÓN DE LA COMPRA O CONTRATACIÓN]])</f>
        <v>BROCHAS NO. 4</v>
      </c>
      <c r="C215" s="39" t="s">
        <v>17</v>
      </c>
      <c r="D215" s="210">
        <f>22+15</f>
        <v>37</v>
      </c>
      <c r="E215" s="210">
        <v>5</v>
      </c>
      <c r="F215" s="210">
        <f>18+5</f>
        <v>23</v>
      </c>
      <c r="G215" s="210">
        <v>0</v>
      </c>
      <c r="H215" s="240">
        <f>SUM(Tabla1321124[[#This Row],[PRIMER TRIMESTRE]:[CUARTO TRIMESTRE]])</f>
        <v>65</v>
      </c>
      <c r="I215" s="17">
        <v>86.24</v>
      </c>
      <c r="J215" s="17">
        <f>+Tabla1321124[[#This Row],[CANTIDAD TOTAL]]*Tabla1321124[[#This Row],[PRECIO UNITARIO ESTIMADO]]</f>
        <v>5605.5999999999995</v>
      </c>
      <c r="K215" s="72"/>
      <c r="L215" s="16" t="s">
        <v>27</v>
      </c>
      <c r="M215" s="16" t="s">
        <v>22</v>
      </c>
      <c r="N215" s="16" t="s">
        <v>418</v>
      </c>
      <c r="O215" s="243"/>
      <c r="P215" s="243"/>
      <c r="Q215" s="243"/>
      <c r="R215" s="243"/>
      <c r="S215" s="243"/>
      <c r="T215" s="243"/>
      <c r="U215" s="243"/>
      <c r="V215" s="243"/>
      <c r="W215" s="243"/>
      <c r="X215" s="243"/>
      <c r="Y215" s="243"/>
      <c r="Z215" s="243"/>
      <c r="AA215" s="243"/>
      <c r="AB215" s="243"/>
      <c r="AC215" s="243"/>
      <c r="AD215" s="243"/>
      <c r="AE215" s="243"/>
      <c r="AF215" s="243"/>
      <c r="AG215" s="243"/>
      <c r="AH215" s="243"/>
      <c r="AI215" s="243"/>
      <c r="AJ215" s="243"/>
      <c r="AK215" s="243"/>
      <c r="AL215" s="243"/>
      <c r="AM215" s="243"/>
      <c r="AN215" s="243"/>
      <c r="AO215" s="243"/>
      <c r="AP215" s="243"/>
      <c r="AQ215" s="243"/>
      <c r="AR215" s="243"/>
      <c r="AS215" s="243"/>
      <c r="AT215" s="243"/>
      <c r="AU215" s="243"/>
      <c r="AV215" s="243"/>
      <c r="AW215" s="243"/>
      <c r="AX215" s="243"/>
      <c r="AY215" s="243"/>
      <c r="AZ215" s="243"/>
      <c r="BA215" s="243"/>
      <c r="BB215" s="243"/>
      <c r="BC215" s="243"/>
      <c r="BD215" s="243"/>
      <c r="BE215" s="243"/>
      <c r="BF215" s="243"/>
      <c r="BG215" s="243"/>
      <c r="BH215" s="243"/>
      <c r="BI215" s="243"/>
      <c r="BJ215" s="243"/>
      <c r="BK215" s="243"/>
      <c r="BL215" s="243"/>
      <c r="BM215" s="243"/>
      <c r="BN215" s="243"/>
      <c r="BO215" s="243"/>
      <c r="BP215" s="243"/>
      <c r="BQ215" s="243"/>
      <c r="BR215" s="243"/>
      <c r="BS215" s="243"/>
    </row>
    <row r="216" spans="1:71" s="12" customFormat="1" ht="41.25" customHeight="1">
      <c r="A216" s="178" t="s">
        <v>62</v>
      </c>
      <c r="B216" s="178" t="str">
        <f ca="1">+UPPER(Tabla1321124[[#This Row],[DESCRIPCIÓN DE LA COMPRA O CONTRATACIÓN]])</f>
        <v>DESTORNILLADOR DE ESTRIA 12"</v>
      </c>
      <c r="C216" s="39" t="s">
        <v>17</v>
      </c>
      <c r="D216" s="210">
        <f>18+28</f>
        <v>46</v>
      </c>
      <c r="E216" s="210">
        <f>6+15</f>
        <v>21</v>
      </c>
      <c r="F216" s="210">
        <f>22+24</f>
        <v>46</v>
      </c>
      <c r="G216" s="210">
        <f>5+15</f>
        <v>20</v>
      </c>
      <c r="H216" s="240">
        <f>SUM(Tabla1321124[[#This Row],[PRIMER TRIMESTRE]:[CUARTO TRIMESTRE]])</f>
        <v>133</v>
      </c>
      <c r="I216" s="17">
        <v>153.05000000000001</v>
      </c>
      <c r="J216" s="17">
        <f>+Tabla1321124[[#This Row],[CANTIDAD TOTAL]]*Tabla1321124[[#This Row],[PRECIO UNITARIO ESTIMADO]]</f>
        <v>20355.650000000001</v>
      </c>
      <c r="K216" s="17"/>
      <c r="L216" s="16" t="s">
        <v>27</v>
      </c>
      <c r="M216" s="16" t="s">
        <v>22</v>
      </c>
      <c r="N216" s="16" t="s">
        <v>418</v>
      </c>
      <c r="O216" s="243"/>
      <c r="P216" s="243"/>
      <c r="Q216" s="243"/>
      <c r="R216" s="243"/>
      <c r="S216" s="243"/>
      <c r="T216" s="243"/>
      <c r="U216" s="243"/>
      <c r="V216" s="243"/>
      <c r="W216" s="243"/>
      <c r="X216" s="243"/>
      <c r="Y216" s="243"/>
      <c r="Z216" s="243"/>
      <c r="AA216" s="243"/>
      <c r="AB216" s="243"/>
      <c r="AC216" s="243"/>
      <c r="AD216" s="243"/>
      <c r="AE216" s="243"/>
      <c r="AF216" s="243"/>
      <c r="AG216" s="243"/>
      <c r="AH216" s="243"/>
      <c r="AI216" s="243"/>
      <c r="AJ216" s="243"/>
      <c r="AK216" s="243"/>
      <c r="AL216" s="243"/>
      <c r="AM216" s="243"/>
      <c r="AN216" s="243"/>
      <c r="AO216" s="243"/>
      <c r="AP216" s="243"/>
      <c r="AQ216" s="243"/>
      <c r="AR216" s="243"/>
      <c r="AS216" s="243"/>
      <c r="AT216" s="243"/>
      <c r="AU216" s="243"/>
      <c r="AV216" s="243"/>
      <c r="AW216" s="243"/>
      <c r="AX216" s="243"/>
      <c r="AY216" s="243"/>
      <c r="AZ216" s="243"/>
      <c r="BA216" s="243"/>
      <c r="BB216" s="243"/>
      <c r="BC216" s="243"/>
      <c r="BD216" s="243"/>
      <c r="BE216" s="243"/>
      <c r="BF216" s="243"/>
      <c r="BG216" s="243"/>
      <c r="BH216" s="243"/>
      <c r="BI216" s="243"/>
      <c r="BJ216" s="243"/>
      <c r="BK216" s="243"/>
      <c r="BL216" s="243"/>
      <c r="BM216" s="243"/>
      <c r="BN216" s="243"/>
      <c r="BO216" s="243"/>
      <c r="BP216" s="243"/>
      <c r="BQ216" s="243"/>
      <c r="BR216" s="243"/>
      <c r="BS216" s="243"/>
    </row>
    <row r="217" spans="1:71" s="12" customFormat="1" ht="41.25" customHeight="1">
      <c r="A217" s="178" t="s">
        <v>62</v>
      </c>
      <c r="B217" s="178" t="str">
        <f ca="1">+UPPER(Tabla1321124[[#This Row],[DESCRIPCIÓN DE LA COMPRA O CONTRATACIÓN]])</f>
        <v>DESTORNILLADOR DE ESTRIA 10"</v>
      </c>
      <c r="C217" s="39" t="s">
        <v>17</v>
      </c>
      <c r="D217" s="210">
        <f>18+22</f>
        <v>40</v>
      </c>
      <c r="E217" s="210">
        <f>6+15</f>
        <v>21</v>
      </c>
      <c r="F217" s="210">
        <f>22+20</f>
        <v>42</v>
      </c>
      <c r="G217" s="210">
        <f>5+15</f>
        <v>20</v>
      </c>
      <c r="H217" s="240">
        <f>SUM(Tabla1321124[[#This Row],[PRIMER TRIMESTRE]:[CUARTO TRIMESTRE]])</f>
        <v>123</v>
      </c>
      <c r="I217" s="17">
        <v>72.88</v>
      </c>
      <c r="J217" s="17">
        <f>+Tabla1321124[[#This Row],[CANTIDAD TOTAL]]*Tabla1321124[[#This Row],[PRECIO UNITARIO ESTIMADO]]</f>
        <v>8964.24</v>
      </c>
      <c r="K217" s="17"/>
      <c r="L217" s="16" t="s">
        <v>27</v>
      </c>
      <c r="M217" s="16" t="s">
        <v>22</v>
      </c>
      <c r="N217" s="16" t="s">
        <v>418</v>
      </c>
      <c r="O217" s="243"/>
      <c r="P217" s="243"/>
      <c r="Q217" s="243"/>
      <c r="R217" s="243"/>
      <c r="S217" s="243"/>
      <c r="T217" s="243"/>
      <c r="U217" s="243"/>
      <c r="V217" s="243"/>
      <c r="W217" s="243"/>
      <c r="X217" s="243"/>
      <c r="Y217" s="243"/>
      <c r="Z217" s="243"/>
      <c r="AA217" s="243"/>
      <c r="AB217" s="243"/>
      <c r="AC217" s="243"/>
      <c r="AD217" s="243"/>
      <c r="AE217" s="243"/>
      <c r="AF217" s="243"/>
      <c r="AG217" s="243"/>
      <c r="AH217" s="243"/>
      <c r="AI217" s="243"/>
      <c r="AJ217" s="243"/>
      <c r="AK217" s="243"/>
      <c r="AL217" s="243"/>
      <c r="AM217" s="243"/>
      <c r="AN217" s="243"/>
      <c r="AO217" s="243"/>
      <c r="AP217" s="243"/>
      <c r="AQ217" s="243"/>
      <c r="AR217" s="243"/>
      <c r="AS217" s="243"/>
      <c r="AT217" s="243"/>
      <c r="AU217" s="243"/>
      <c r="AV217" s="243"/>
      <c r="AW217" s="243"/>
      <c r="AX217" s="243"/>
      <c r="AY217" s="243"/>
      <c r="AZ217" s="243"/>
      <c r="BA217" s="243"/>
      <c r="BB217" s="243"/>
      <c r="BC217" s="243"/>
      <c r="BD217" s="243"/>
      <c r="BE217" s="243"/>
      <c r="BF217" s="243"/>
      <c r="BG217" s="243"/>
      <c r="BH217" s="243"/>
      <c r="BI217" s="243"/>
      <c r="BJ217" s="243"/>
      <c r="BK217" s="243"/>
      <c r="BL217" s="243"/>
      <c r="BM217" s="243"/>
      <c r="BN217" s="243"/>
      <c r="BO217" s="243"/>
      <c r="BP217" s="243"/>
      <c r="BQ217" s="243"/>
      <c r="BR217" s="243"/>
      <c r="BS217" s="243"/>
    </row>
    <row r="218" spans="1:71" s="12" customFormat="1" ht="41.25" customHeight="1">
      <c r="A218" s="178" t="s">
        <v>62</v>
      </c>
      <c r="B218" s="178" t="str">
        <f ca="1">+UPPER(Tabla1321124[[#This Row],[DESCRIPCIÓN DE LA COMPRA O CONTRATACIÓN]])</f>
        <v>DESTORNILLADOR PLANO 10"</v>
      </c>
      <c r="C218" s="39" t="s">
        <v>17</v>
      </c>
      <c r="D218" s="210">
        <f>18+26</f>
        <v>44</v>
      </c>
      <c r="E218" s="210">
        <f>6+15</f>
        <v>21</v>
      </c>
      <c r="F218" s="210">
        <f>22+24</f>
        <v>46</v>
      </c>
      <c r="G218" s="210">
        <f>5+15</f>
        <v>20</v>
      </c>
      <c r="H218" s="240">
        <f>SUM(Tabla1321124[[#This Row],[PRIMER TRIMESTRE]:[CUARTO TRIMESTRE]])</f>
        <v>131</v>
      </c>
      <c r="I218" s="17">
        <v>86</v>
      </c>
      <c r="J218" s="17">
        <f>+Tabla1321124[[#This Row],[CANTIDAD TOTAL]]*Tabla1321124[[#This Row],[PRECIO UNITARIO ESTIMADO]]</f>
        <v>11266</v>
      </c>
      <c r="K218" s="17"/>
      <c r="L218" s="16" t="s">
        <v>27</v>
      </c>
      <c r="M218" s="16" t="s">
        <v>22</v>
      </c>
      <c r="N218" s="16" t="s">
        <v>418</v>
      </c>
      <c r="O218" s="243"/>
      <c r="P218" s="243"/>
      <c r="Q218" s="243"/>
      <c r="R218" s="243"/>
      <c r="S218" s="243"/>
      <c r="T218" s="243"/>
      <c r="U218" s="243"/>
      <c r="V218" s="243"/>
      <c r="W218" s="243"/>
      <c r="X218" s="243"/>
      <c r="Y218" s="243"/>
      <c r="Z218" s="243"/>
      <c r="AA218" s="243"/>
      <c r="AB218" s="243"/>
      <c r="AC218" s="243"/>
      <c r="AD218" s="243"/>
      <c r="AE218" s="243"/>
      <c r="AF218" s="243"/>
      <c r="AG218" s="243"/>
      <c r="AH218" s="243"/>
      <c r="AI218" s="243"/>
      <c r="AJ218" s="243"/>
      <c r="AK218" s="243"/>
      <c r="AL218" s="243"/>
      <c r="AM218" s="243"/>
      <c r="AN218" s="243"/>
      <c r="AO218" s="243"/>
      <c r="AP218" s="243"/>
      <c r="AQ218" s="243"/>
      <c r="AR218" s="243"/>
      <c r="AS218" s="243"/>
      <c r="AT218" s="243"/>
      <c r="AU218" s="243"/>
      <c r="AV218" s="243"/>
      <c r="AW218" s="243"/>
      <c r="AX218" s="243"/>
      <c r="AY218" s="243"/>
      <c r="AZ218" s="243"/>
      <c r="BA218" s="243"/>
      <c r="BB218" s="243"/>
      <c r="BC218" s="243"/>
      <c r="BD218" s="243"/>
      <c r="BE218" s="243"/>
      <c r="BF218" s="243"/>
      <c r="BG218" s="243"/>
      <c r="BH218" s="243"/>
      <c r="BI218" s="243"/>
      <c r="BJ218" s="243"/>
      <c r="BK218" s="243"/>
      <c r="BL218" s="243"/>
      <c r="BM218" s="243"/>
      <c r="BN218" s="243"/>
      <c r="BO218" s="243"/>
      <c r="BP218" s="243"/>
      <c r="BQ218" s="243"/>
      <c r="BR218" s="243"/>
      <c r="BS218" s="243"/>
    </row>
    <row r="219" spans="1:71" s="12" customFormat="1" ht="41.25" customHeight="1">
      <c r="A219" s="178" t="s">
        <v>62</v>
      </c>
      <c r="B219" s="178" t="str">
        <f ca="1">+UPPER(Tabla1321124[[#This Row],[DESCRIPCIÓN DE LA COMPRA O CONTRATACIÓN]])</f>
        <v>DESTORNILLADOR PLANO 12"</v>
      </c>
      <c r="C219" s="39" t="s">
        <v>17</v>
      </c>
      <c r="D219" s="210">
        <f>6+23</f>
        <v>29</v>
      </c>
      <c r="E219" s="210">
        <f>6+13</f>
        <v>19</v>
      </c>
      <c r="F219" s="210">
        <f>10+18</f>
        <v>28</v>
      </c>
      <c r="G219" s="210">
        <f>5+13</f>
        <v>18</v>
      </c>
      <c r="H219" s="240">
        <f>SUM(Tabla1321124[[#This Row],[PRIMER TRIMESTRE]:[CUARTO TRIMESTRE]])</f>
        <v>94</v>
      </c>
      <c r="I219" s="17">
        <v>158.88</v>
      </c>
      <c r="J219" s="17">
        <f>+Tabla1321124[[#This Row],[CANTIDAD TOTAL]]*Tabla1321124[[#This Row],[PRECIO UNITARIO ESTIMADO]]</f>
        <v>14934.72</v>
      </c>
      <c r="K219" s="17"/>
      <c r="L219" s="16" t="s">
        <v>27</v>
      </c>
      <c r="M219" s="16" t="s">
        <v>22</v>
      </c>
      <c r="N219" s="16" t="s">
        <v>418</v>
      </c>
      <c r="O219" s="243"/>
      <c r="P219" s="243"/>
      <c r="Q219" s="243"/>
      <c r="R219" s="243"/>
      <c r="S219" s="243"/>
      <c r="T219" s="243"/>
      <c r="U219" s="243"/>
      <c r="V219" s="243"/>
      <c r="W219" s="243"/>
      <c r="X219" s="243"/>
      <c r="Y219" s="243"/>
      <c r="Z219" s="243"/>
      <c r="AA219" s="243"/>
      <c r="AB219" s="243"/>
      <c r="AC219" s="243"/>
      <c r="AD219" s="243"/>
      <c r="AE219" s="243"/>
      <c r="AF219" s="243"/>
      <c r="AG219" s="243"/>
      <c r="AH219" s="243"/>
      <c r="AI219" s="243"/>
      <c r="AJ219" s="243"/>
      <c r="AK219" s="243"/>
      <c r="AL219" s="243"/>
      <c r="AM219" s="243"/>
      <c r="AN219" s="243"/>
      <c r="AO219" s="243"/>
      <c r="AP219" s="243"/>
      <c r="AQ219" s="243"/>
      <c r="AR219" s="243"/>
      <c r="AS219" s="243"/>
      <c r="AT219" s="243"/>
      <c r="AU219" s="243"/>
      <c r="AV219" s="243"/>
      <c r="AW219" s="243"/>
      <c r="AX219" s="243"/>
      <c r="AY219" s="243"/>
      <c r="AZ219" s="243"/>
      <c r="BA219" s="243"/>
      <c r="BB219" s="243"/>
      <c r="BC219" s="243"/>
      <c r="BD219" s="243"/>
      <c r="BE219" s="243"/>
      <c r="BF219" s="243"/>
      <c r="BG219" s="243"/>
      <c r="BH219" s="243"/>
      <c r="BI219" s="243"/>
      <c r="BJ219" s="243"/>
      <c r="BK219" s="243"/>
      <c r="BL219" s="243"/>
      <c r="BM219" s="243"/>
      <c r="BN219" s="243"/>
      <c r="BO219" s="243"/>
      <c r="BP219" s="243"/>
      <c r="BQ219" s="243"/>
      <c r="BR219" s="243"/>
      <c r="BS219" s="243"/>
    </row>
    <row r="220" spans="1:71" s="12" customFormat="1" ht="41.25" customHeight="1">
      <c r="A220" s="178" t="s">
        <v>62</v>
      </c>
      <c r="B220" s="178" t="str">
        <f ca="1">+UPPER(Tabla1321124[[#This Row],[DESCRIPCIÓN DE LA COMPRA O CONTRATACIÓN]])</f>
        <v>DESTORNILLADOR PLANO</v>
      </c>
      <c r="C220" s="39" t="s">
        <v>1162</v>
      </c>
      <c r="D220" s="236">
        <f>6+13</f>
        <v>19</v>
      </c>
      <c r="E220" s="236">
        <v>6</v>
      </c>
      <c r="F220" s="236">
        <v>10</v>
      </c>
      <c r="G220" s="236">
        <v>5</v>
      </c>
      <c r="H220" s="240">
        <f>SUM(Tabla1321124[[#This Row],[PRIMER TRIMESTRE]:[CUARTO TRIMESTRE]])</f>
        <v>40</v>
      </c>
      <c r="I220" s="17">
        <v>2000</v>
      </c>
      <c r="J220" s="17">
        <f>+Tabla1321124[[#This Row],[CANTIDAD TOTAL]]*Tabla1321124[[#This Row],[PRECIO UNITARIO ESTIMADO]]</f>
        <v>80000</v>
      </c>
      <c r="K220" s="17"/>
      <c r="L220" s="16" t="s">
        <v>27</v>
      </c>
      <c r="M220" s="16" t="s">
        <v>22</v>
      </c>
      <c r="N220" s="16" t="s">
        <v>418</v>
      </c>
      <c r="O220" s="243"/>
      <c r="P220" s="243"/>
      <c r="Q220" s="243"/>
      <c r="R220" s="243"/>
      <c r="S220" s="243"/>
      <c r="T220" s="243"/>
      <c r="U220" s="243"/>
      <c r="V220" s="243"/>
      <c r="W220" s="243"/>
      <c r="X220" s="243"/>
      <c r="Y220" s="243"/>
      <c r="Z220" s="243"/>
      <c r="AA220" s="243"/>
      <c r="AB220" s="243"/>
      <c r="AC220" s="243"/>
      <c r="AD220" s="243"/>
      <c r="AE220" s="243"/>
      <c r="AF220" s="243"/>
      <c r="AG220" s="243"/>
      <c r="AH220" s="243"/>
      <c r="AI220" s="243"/>
      <c r="AJ220" s="243"/>
      <c r="AK220" s="243"/>
      <c r="AL220" s="243"/>
      <c r="AM220" s="243"/>
      <c r="AN220" s="243"/>
      <c r="AO220" s="243"/>
      <c r="AP220" s="243"/>
      <c r="AQ220" s="243"/>
      <c r="AR220" s="243"/>
      <c r="AS220" s="243"/>
      <c r="AT220" s="243"/>
      <c r="AU220" s="243"/>
      <c r="AV220" s="243"/>
      <c r="AW220" s="243"/>
      <c r="AX220" s="243"/>
      <c r="AY220" s="243"/>
      <c r="AZ220" s="243"/>
      <c r="BA220" s="243"/>
      <c r="BB220" s="243"/>
      <c r="BC220" s="243"/>
      <c r="BD220" s="243"/>
      <c r="BE220" s="243"/>
      <c r="BF220" s="243"/>
      <c r="BG220" s="243"/>
      <c r="BH220" s="243"/>
      <c r="BI220" s="243"/>
      <c r="BJ220" s="243"/>
      <c r="BK220" s="243"/>
      <c r="BL220" s="243"/>
      <c r="BM220" s="243"/>
      <c r="BN220" s="243"/>
      <c r="BO220" s="243"/>
      <c r="BP220" s="243"/>
      <c r="BQ220" s="243"/>
      <c r="BR220" s="243"/>
      <c r="BS220" s="243"/>
    </row>
    <row r="221" spans="1:71" s="12" customFormat="1" ht="41.25" customHeight="1">
      <c r="A221" s="178" t="s">
        <v>62</v>
      </c>
      <c r="B221" s="178" t="str">
        <f ca="1">+UPPER(Tabla1321124[[#This Row],[DESCRIPCIÓN DE LA COMPRA O CONTRATACIÓN]])</f>
        <v>DESTORNILLADOR ESTRIA</v>
      </c>
      <c r="C221" s="39" t="s">
        <v>1162</v>
      </c>
      <c r="D221" s="236">
        <f>6+8</f>
        <v>14</v>
      </c>
      <c r="E221" s="236">
        <v>6</v>
      </c>
      <c r="F221" s="236">
        <f>10+8</f>
        <v>18</v>
      </c>
      <c r="G221" s="236">
        <v>5</v>
      </c>
      <c r="H221" s="240">
        <f>SUM(Tabla1321124[[#This Row],[PRIMER TRIMESTRE]:[CUARTO TRIMESTRE]])</f>
        <v>43</v>
      </c>
      <c r="I221" s="17">
        <v>2000</v>
      </c>
      <c r="J221" s="17">
        <f>+Tabla1321124[[#This Row],[CANTIDAD TOTAL]]*Tabla1321124[[#This Row],[PRECIO UNITARIO ESTIMADO]]</f>
        <v>86000</v>
      </c>
      <c r="K221" s="17"/>
      <c r="L221" s="16" t="s">
        <v>27</v>
      </c>
      <c r="M221" s="16" t="s">
        <v>22</v>
      </c>
      <c r="N221" s="16" t="s">
        <v>418</v>
      </c>
      <c r="O221" s="243"/>
      <c r="P221" s="243"/>
      <c r="Q221" s="243"/>
      <c r="R221" s="243"/>
      <c r="S221" s="243"/>
      <c r="T221" s="243"/>
      <c r="U221" s="243"/>
      <c r="V221" s="243"/>
      <c r="W221" s="243"/>
      <c r="X221" s="243"/>
      <c r="Y221" s="243"/>
      <c r="Z221" s="243"/>
      <c r="AA221" s="243"/>
      <c r="AB221" s="243"/>
      <c r="AC221" s="243"/>
      <c r="AD221" s="243"/>
      <c r="AE221" s="243"/>
      <c r="AF221" s="243"/>
      <c r="AG221" s="243"/>
      <c r="AH221" s="243"/>
      <c r="AI221" s="243"/>
      <c r="AJ221" s="243"/>
      <c r="AK221" s="243"/>
      <c r="AL221" s="243"/>
      <c r="AM221" s="243"/>
      <c r="AN221" s="243"/>
      <c r="AO221" s="243"/>
      <c r="AP221" s="243"/>
      <c r="AQ221" s="243"/>
      <c r="AR221" s="243"/>
      <c r="AS221" s="243"/>
      <c r="AT221" s="243"/>
      <c r="AU221" s="243"/>
      <c r="AV221" s="243"/>
      <c r="AW221" s="243"/>
      <c r="AX221" s="243"/>
      <c r="AY221" s="243"/>
      <c r="AZ221" s="243"/>
      <c r="BA221" s="243"/>
      <c r="BB221" s="243"/>
      <c r="BC221" s="243"/>
      <c r="BD221" s="243"/>
      <c r="BE221" s="243"/>
      <c r="BF221" s="243"/>
      <c r="BG221" s="243"/>
      <c r="BH221" s="243"/>
      <c r="BI221" s="243"/>
      <c r="BJ221" s="243"/>
      <c r="BK221" s="243"/>
      <c r="BL221" s="243"/>
      <c r="BM221" s="243"/>
      <c r="BN221" s="243"/>
      <c r="BO221" s="243"/>
      <c r="BP221" s="243"/>
      <c r="BQ221" s="243"/>
      <c r="BR221" s="243"/>
      <c r="BS221" s="243"/>
    </row>
    <row r="222" spans="1:71" s="12" customFormat="1" ht="41.25" customHeight="1">
      <c r="A222" s="178" t="s">
        <v>62</v>
      </c>
      <c r="B222" s="178" t="str">
        <f ca="1">+UPPER(Tabla1321124[[#This Row],[DESCRIPCIÓN DE LA COMPRA O CONTRATACIÓN]])</f>
        <v>DESTORNILLADOR  # 2X4</v>
      </c>
      <c r="C222" s="39" t="s">
        <v>17</v>
      </c>
      <c r="D222" s="236">
        <v>3</v>
      </c>
      <c r="E222" s="236">
        <v>1</v>
      </c>
      <c r="F222" s="236"/>
      <c r="G222" s="236"/>
      <c r="H222" s="240">
        <f>SUM(Tabla1321124[[#This Row],[PRIMER TRIMESTRE]:[CUARTO TRIMESTRE]])</f>
        <v>4</v>
      </c>
      <c r="I222" s="17">
        <v>350</v>
      </c>
      <c r="J222" s="17">
        <f>+Tabla1321124[[#This Row],[CANTIDAD TOTAL]]*Tabla1321124[[#This Row],[PRECIO UNITARIO ESTIMADO]]</f>
        <v>1400</v>
      </c>
      <c r="K222" s="302"/>
      <c r="L222" s="16" t="s">
        <v>27</v>
      </c>
      <c r="M222" s="16" t="s">
        <v>22</v>
      </c>
      <c r="N222" s="16" t="s">
        <v>418</v>
      </c>
      <c r="O222" s="243"/>
      <c r="P222" s="243"/>
      <c r="Q222" s="243"/>
      <c r="R222" s="243"/>
      <c r="S222" s="243"/>
      <c r="T222" s="243"/>
      <c r="U222" s="243"/>
      <c r="V222" s="243"/>
      <c r="W222" s="243"/>
      <c r="X222" s="243"/>
      <c r="Y222" s="243"/>
      <c r="Z222" s="243"/>
      <c r="AA222" s="243"/>
      <c r="AB222" s="243"/>
      <c r="AC222" s="243"/>
      <c r="AD222" s="243"/>
      <c r="AE222" s="243"/>
      <c r="AF222" s="243"/>
      <c r="AG222" s="243"/>
      <c r="AH222" s="243"/>
      <c r="AI222" s="243"/>
      <c r="AJ222" s="243"/>
      <c r="AK222" s="243"/>
      <c r="AL222" s="243"/>
      <c r="AM222" s="243"/>
      <c r="AN222" s="243"/>
      <c r="AO222" s="243"/>
      <c r="AP222" s="243"/>
      <c r="AQ222" s="243"/>
      <c r="AR222" s="243"/>
      <c r="AS222" s="243"/>
      <c r="AT222" s="243"/>
      <c r="AU222" s="243"/>
      <c r="AV222" s="243"/>
      <c r="AW222" s="243"/>
      <c r="AX222" s="243"/>
      <c r="AY222" s="243"/>
      <c r="AZ222" s="243"/>
      <c r="BA222" s="243"/>
      <c r="BB222" s="243"/>
      <c r="BC222" s="243"/>
      <c r="BD222" s="243"/>
      <c r="BE222" s="243"/>
      <c r="BF222" s="243"/>
      <c r="BG222" s="243"/>
      <c r="BH222" s="243"/>
      <c r="BI222" s="243"/>
      <c r="BJ222" s="243"/>
      <c r="BK222" s="243"/>
      <c r="BL222" s="243"/>
      <c r="BM222" s="243"/>
      <c r="BN222" s="243"/>
      <c r="BO222" s="243"/>
      <c r="BP222" s="243"/>
      <c r="BQ222" s="243"/>
      <c r="BR222" s="243"/>
      <c r="BS222" s="243"/>
    </row>
    <row r="223" spans="1:71" s="12" customFormat="1" ht="41.25" customHeight="1">
      <c r="A223" s="178" t="s">
        <v>62</v>
      </c>
      <c r="B223" s="178" t="str">
        <f ca="1">+UPPER(Tabla1321124[[#This Row],[DESCRIPCIÓN DE LA COMPRA O CONTRATACIÓN]])</f>
        <v>DESTORNILLADOS # 3X4</v>
      </c>
      <c r="C223" s="39" t="s">
        <v>17</v>
      </c>
      <c r="D223" s="236">
        <v>3</v>
      </c>
      <c r="E223" s="236">
        <v>1</v>
      </c>
      <c r="F223" s="236"/>
      <c r="G223" s="236"/>
      <c r="H223" s="240">
        <f>SUM(Tabla1321124[[#This Row],[PRIMER TRIMESTRE]:[CUARTO TRIMESTRE]])</f>
        <v>4</v>
      </c>
      <c r="I223" s="17">
        <v>375</v>
      </c>
      <c r="J223" s="17">
        <f>+Tabla1321124[[#This Row],[CANTIDAD TOTAL]]*Tabla1321124[[#This Row],[PRECIO UNITARIO ESTIMADO]]</f>
        <v>1500</v>
      </c>
      <c r="K223" s="17"/>
      <c r="L223" s="16" t="s">
        <v>27</v>
      </c>
      <c r="M223" s="16" t="s">
        <v>22</v>
      </c>
      <c r="N223" s="16" t="s">
        <v>418</v>
      </c>
      <c r="O223" s="243"/>
      <c r="P223" s="243"/>
      <c r="Q223" s="243"/>
      <c r="R223" s="243"/>
      <c r="S223" s="243"/>
      <c r="T223" s="243"/>
      <c r="U223" s="243"/>
      <c r="V223" s="243"/>
      <c r="W223" s="243"/>
      <c r="X223" s="243"/>
      <c r="Y223" s="243"/>
      <c r="Z223" s="243"/>
      <c r="AA223" s="243"/>
      <c r="AB223" s="243"/>
      <c r="AC223" s="243"/>
      <c r="AD223" s="243"/>
      <c r="AE223" s="243"/>
      <c r="AF223" s="243"/>
      <c r="AG223" s="243"/>
      <c r="AH223" s="243"/>
      <c r="AI223" s="243"/>
      <c r="AJ223" s="243"/>
      <c r="AK223" s="243"/>
      <c r="AL223" s="243"/>
      <c r="AM223" s="243"/>
      <c r="AN223" s="243"/>
      <c r="AO223" s="243"/>
      <c r="AP223" s="243"/>
      <c r="AQ223" s="243"/>
      <c r="AR223" s="243"/>
      <c r="AS223" s="243"/>
      <c r="AT223" s="243"/>
      <c r="AU223" s="243"/>
      <c r="AV223" s="243"/>
      <c r="AW223" s="243"/>
      <c r="AX223" s="243"/>
      <c r="AY223" s="243"/>
      <c r="AZ223" s="243"/>
      <c r="BA223" s="243"/>
      <c r="BB223" s="243"/>
      <c r="BC223" s="243"/>
      <c r="BD223" s="243"/>
      <c r="BE223" s="243"/>
      <c r="BF223" s="243"/>
      <c r="BG223" s="243"/>
      <c r="BH223" s="243"/>
      <c r="BI223" s="243"/>
      <c r="BJ223" s="243"/>
      <c r="BK223" s="243"/>
      <c r="BL223" s="243"/>
      <c r="BM223" s="243"/>
      <c r="BN223" s="243"/>
      <c r="BO223" s="243"/>
      <c r="BP223" s="243"/>
      <c r="BQ223" s="243"/>
      <c r="BR223" s="243"/>
      <c r="BS223" s="243"/>
    </row>
    <row r="224" spans="1:71" s="12" customFormat="1" ht="41.25" customHeight="1">
      <c r="A224" s="178" t="s">
        <v>62</v>
      </c>
      <c r="B224" s="178" t="str">
        <f ca="1">+UPPER(Tabla1321124[[#This Row],[DESCRIPCIÓN DE LA COMPRA O CONTRATACIÓN]])</f>
        <v>ESPATULA NO. 4</v>
      </c>
      <c r="C224" s="39" t="s">
        <v>17</v>
      </c>
      <c r="D224" s="210">
        <f>4+15</f>
        <v>19</v>
      </c>
      <c r="E224" s="210">
        <v>75</v>
      </c>
      <c r="F224" s="210">
        <v>15</v>
      </c>
      <c r="G224" s="210">
        <v>75</v>
      </c>
      <c r="H224" s="240">
        <f>SUM(Tabla1321124[[#This Row],[PRIMER TRIMESTRE]:[CUARTO TRIMESTRE]])</f>
        <v>184</v>
      </c>
      <c r="I224" s="17">
        <v>62.87</v>
      </c>
      <c r="J224" s="17">
        <f>+Tabla1321124[[#This Row],[CANTIDAD TOTAL]]*Tabla1321124[[#This Row],[PRECIO UNITARIO ESTIMADO]]</f>
        <v>11568.08</v>
      </c>
      <c r="K224" s="17"/>
      <c r="L224" s="16" t="s">
        <v>27</v>
      </c>
      <c r="M224" s="16" t="s">
        <v>22</v>
      </c>
      <c r="N224" s="16" t="s">
        <v>418</v>
      </c>
      <c r="O224" s="243"/>
      <c r="P224" s="243"/>
      <c r="Q224" s="243"/>
      <c r="R224" s="243"/>
      <c r="S224" s="243"/>
      <c r="T224" s="243"/>
      <c r="U224" s="243"/>
      <c r="V224" s="243"/>
      <c r="W224" s="243"/>
      <c r="X224" s="243"/>
      <c r="Y224" s="243"/>
      <c r="Z224" s="243"/>
      <c r="AA224" s="243"/>
      <c r="AB224" s="243"/>
      <c r="AC224" s="243"/>
      <c r="AD224" s="243"/>
      <c r="AE224" s="243"/>
      <c r="AF224" s="243"/>
      <c r="AG224" s="243"/>
      <c r="AH224" s="243"/>
      <c r="AI224" s="243"/>
      <c r="AJ224" s="243"/>
      <c r="AK224" s="243"/>
      <c r="AL224" s="243"/>
      <c r="AM224" s="243"/>
      <c r="AN224" s="243"/>
      <c r="AO224" s="243"/>
      <c r="AP224" s="243"/>
      <c r="AQ224" s="243"/>
      <c r="AR224" s="243"/>
      <c r="AS224" s="243"/>
      <c r="AT224" s="243"/>
      <c r="AU224" s="243"/>
      <c r="AV224" s="243"/>
      <c r="AW224" s="243"/>
      <c r="AX224" s="243"/>
      <c r="AY224" s="243"/>
      <c r="AZ224" s="243"/>
      <c r="BA224" s="243"/>
      <c r="BB224" s="243"/>
      <c r="BC224" s="243"/>
      <c r="BD224" s="243"/>
      <c r="BE224" s="243"/>
      <c r="BF224" s="243"/>
      <c r="BG224" s="243"/>
      <c r="BH224" s="243"/>
      <c r="BI224" s="243"/>
      <c r="BJ224" s="243"/>
      <c r="BK224" s="243"/>
      <c r="BL224" s="243"/>
      <c r="BM224" s="243"/>
      <c r="BN224" s="243"/>
      <c r="BO224" s="243"/>
      <c r="BP224" s="243"/>
      <c r="BQ224" s="243"/>
      <c r="BR224" s="243"/>
      <c r="BS224" s="243"/>
    </row>
    <row r="225" spans="1:71" s="12" customFormat="1" ht="41.25" customHeight="1">
      <c r="A225" s="178" t="s">
        <v>62</v>
      </c>
      <c r="B225" s="178" t="str">
        <f ca="1">+UPPER(Tabla1321124[[#This Row],[DESCRIPCIÓN DE LA COMPRA O CONTRATACIÓN]])</f>
        <v>ESPATULAS DE METAL</v>
      </c>
      <c r="C225" s="39" t="s">
        <v>17</v>
      </c>
      <c r="D225" s="210">
        <f>2+20</f>
        <v>22</v>
      </c>
      <c r="E225" s="210">
        <v>20</v>
      </c>
      <c r="F225" s="210">
        <f>2+20</f>
        <v>22</v>
      </c>
      <c r="G225" s="210">
        <v>20</v>
      </c>
      <c r="H225" s="240">
        <f>SUM(Tabla1321124[[#This Row],[PRIMER TRIMESTRE]:[CUARTO TRIMESTRE]])</f>
        <v>84</v>
      </c>
      <c r="I225" s="17">
        <v>275</v>
      </c>
      <c r="J225" s="17">
        <f>+Tabla1321124[[#This Row],[CANTIDAD TOTAL]]*Tabla1321124[[#This Row],[PRECIO UNITARIO ESTIMADO]]</f>
        <v>23100</v>
      </c>
      <c r="K225" s="17"/>
      <c r="L225" s="16" t="s">
        <v>27</v>
      </c>
      <c r="M225" s="16" t="s">
        <v>22</v>
      </c>
      <c r="N225" s="16" t="s">
        <v>418</v>
      </c>
      <c r="O225" s="243"/>
      <c r="P225" s="243"/>
      <c r="Q225" s="243"/>
      <c r="R225" s="243"/>
      <c r="S225" s="243"/>
      <c r="T225" s="243"/>
      <c r="U225" s="243"/>
      <c r="V225" s="243"/>
      <c r="W225" s="243"/>
      <c r="X225" s="243"/>
      <c r="Y225" s="243"/>
      <c r="Z225" s="243"/>
      <c r="AA225" s="243"/>
      <c r="AB225" s="243"/>
      <c r="AC225" s="243"/>
      <c r="AD225" s="243"/>
      <c r="AE225" s="243"/>
      <c r="AF225" s="243"/>
      <c r="AG225" s="243"/>
      <c r="AH225" s="243"/>
      <c r="AI225" s="243"/>
      <c r="AJ225" s="243"/>
      <c r="AK225" s="243"/>
      <c r="AL225" s="243"/>
      <c r="AM225" s="243"/>
      <c r="AN225" s="243"/>
      <c r="AO225" s="243"/>
      <c r="AP225" s="243"/>
      <c r="AQ225" s="243"/>
      <c r="AR225" s="243"/>
      <c r="AS225" s="243"/>
      <c r="AT225" s="243"/>
      <c r="AU225" s="243"/>
      <c r="AV225" s="243"/>
      <c r="AW225" s="243"/>
      <c r="AX225" s="243"/>
      <c r="AY225" s="243"/>
      <c r="AZ225" s="243"/>
      <c r="BA225" s="243"/>
      <c r="BB225" s="243"/>
      <c r="BC225" s="243"/>
      <c r="BD225" s="243"/>
      <c r="BE225" s="243"/>
      <c r="BF225" s="243"/>
      <c r="BG225" s="243"/>
      <c r="BH225" s="243"/>
      <c r="BI225" s="243"/>
      <c r="BJ225" s="243"/>
      <c r="BK225" s="243"/>
      <c r="BL225" s="243"/>
      <c r="BM225" s="243"/>
      <c r="BN225" s="243"/>
      <c r="BO225" s="243"/>
      <c r="BP225" s="243"/>
      <c r="BQ225" s="243"/>
      <c r="BR225" s="243"/>
      <c r="BS225" s="243"/>
    </row>
    <row r="226" spans="1:71" s="12" customFormat="1" ht="41.25" customHeight="1">
      <c r="A226" s="178" t="s">
        <v>62</v>
      </c>
      <c r="B226" s="178" t="str">
        <f ca="1">+UPPER(Tabla1321124[[#This Row],[DESCRIPCIÓN DE LA COMPRA O CONTRATACIÓN]])</f>
        <v>ROLO PARA PINTAR</v>
      </c>
      <c r="C226" s="39" t="s">
        <v>17</v>
      </c>
      <c r="D226" s="210">
        <f>20+15</f>
        <v>35</v>
      </c>
      <c r="E226" s="210">
        <v>5</v>
      </c>
      <c r="F226" s="210">
        <v>5</v>
      </c>
      <c r="G226" s="210">
        <v>5</v>
      </c>
      <c r="H226" s="240">
        <f>SUM(Tabla1321124[[#This Row],[PRIMER TRIMESTRE]:[CUARTO TRIMESTRE]])</f>
        <v>50</v>
      </c>
      <c r="I226" s="17">
        <v>250</v>
      </c>
      <c r="J226" s="17">
        <f>+Tabla1321124[[#This Row],[CANTIDAD TOTAL]]*Tabla1321124[[#This Row],[PRECIO UNITARIO ESTIMADO]]</f>
        <v>12500</v>
      </c>
      <c r="K226" s="17"/>
      <c r="L226" s="16" t="s">
        <v>27</v>
      </c>
      <c r="M226" s="16" t="s">
        <v>22</v>
      </c>
      <c r="N226" s="16" t="s">
        <v>418</v>
      </c>
      <c r="O226" s="243"/>
      <c r="P226" s="243"/>
      <c r="Q226" s="243"/>
      <c r="R226" s="243"/>
      <c r="S226" s="243"/>
      <c r="T226" s="243"/>
      <c r="U226" s="243"/>
      <c r="V226" s="243"/>
      <c r="W226" s="243"/>
      <c r="X226" s="243"/>
      <c r="Y226" s="243"/>
      <c r="Z226" s="243"/>
      <c r="AA226" s="243"/>
      <c r="AB226" s="243"/>
      <c r="AC226" s="243"/>
      <c r="AD226" s="243"/>
      <c r="AE226" s="243"/>
      <c r="AF226" s="243"/>
      <c r="AG226" s="243"/>
      <c r="AH226" s="243"/>
      <c r="AI226" s="243"/>
      <c r="AJ226" s="243"/>
      <c r="AK226" s="243"/>
      <c r="AL226" s="243"/>
      <c r="AM226" s="243"/>
      <c r="AN226" s="243"/>
      <c r="AO226" s="243"/>
      <c r="AP226" s="243"/>
      <c r="AQ226" s="243"/>
      <c r="AR226" s="243"/>
      <c r="AS226" s="243"/>
      <c r="AT226" s="243"/>
      <c r="AU226" s="243"/>
      <c r="AV226" s="243"/>
      <c r="AW226" s="243"/>
      <c r="AX226" s="243"/>
      <c r="AY226" s="243"/>
      <c r="AZ226" s="243"/>
      <c r="BA226" s="243"/>
      <c r="BB226" s="243"/>
      <c r="BC226" s="243"/>
      <c r="BD226" s="243"/>
      <c r="BE226" s="243"/>
      <c r="BF226" s="243"/>
      <c r="BG226" s="243"/>
      <c r="BH226" s="243"/>
      <c r="BI226" s="243"/>
      <c r="BJ226" s="243"/>
      <c r="BK226" s="243"/>
      <c r="BL226" s="243"/>
      <c r="BM226" s="243"/>
      <c r="BN226" s="243"/>
      <c r="BO226" s="243"/>
      <c r="BP226" s="243"/>
      <c r="BQ226" s="243"/>
      <c r="BR226" s="243"/>
      <c r="BS226" s="243"/>
    </row>
    <row r="227" spans="1:71" s="12" customFormat="1" ht="41.25" customHeight="1">
      <c r="A227" s="178" t="s">
        <v>62</v>
      </c>
      <c r="B227" s="178" t="str">
        <f ca="1">+UPPER(Tabla1321124[[#This Row],[DESCRIPCIÓN DE LA COMPRA O CONTRATACIÓN]])</f>
        <v>LLAVE ESPAÑOLA COMBINADA A PULGADAS</v>
      </c>
      <c r="C227" s="39" t="s">
        <v>1162</v>
      </c>
      <c r="D227" s="236">
        <f>6+7</f>
        <v>13</v>
      </c>
      <c r="E227" s="236">
        <f>5+6</f>
        <v>11</v>
      </c>
      <c r="F227" s="236">
        <f>10+6</f>
        <v>16</v>
      </c>
      <c r="G227" s="236">
        <f>5+6</f>
        <v>11</v>
      </c>
      <c r="H227" s="240">
        <f>SUM(Tabla1321124[[#This Row],[PRIMER TRIMESTRE]:[CUARTO TRIMESTRE]])</f>
        <v>51</v>
      </c>
      <c r="I227" s="17">
        <v>7800</v>
      </c>
      <c r="J227" s="17">
        <f>+Tabla1321124[[#This Row],[CANTIDAD TOTAL]]*Tabla1321124[[#This Row],[PRECIO UNITARIO ESTIMADO]]</f>
        <v>397800</v>
      </c>
      <c r="K227" s="17"/>
      <c r="L227" s="16" t="s">
        <v>27</v>
      </c>
      <c r="M227" s="16" t="s">
        <v>22</v>
      </c>
      <c r="N227" s="16" t="s">
        <v>418</v>
      </c>
      <c r="O227" s="243"/>
      <c r="P227" s="243"/>
      <c r="Q227" s="243"/>
      <c r="R227" s="243"/>
      <c r="S227" s="243"/>
      <c r="T227" s="243"/>
      <c r="U227" s="243"/>
      <c r="V227" s="243"/>
      <c r="W227" s="243"/>
      <c r="X227" s="243"/>
      <c r="Y227" s="243"/>
      <c r="Z227" s="243"/>
      <c r="AA227" s="243"/>
      <c r="AB227" s="243"/>
      <c r="AC227" s="243"/>
      <c r="AD227" s="243"/>
      <c r="AE227" s="243"/>
      <c r="AF227" s="243"/>
      <c r="AG227" s="243"/>
      <c r="AH227" s="243"/>
      <c r="AI227" s="243"/>
      <c r="AJ227" s="243"/>
      <c r="AK227" s="243"/>
      <c r="AL227" s="243"/>
      <c r="AM227" s="243"/>
      <c r="AN227" s="243"/>
      <c r="AO227" s="243"/>
      <c r="AP227" s="243"/>
      <c r="AQ227" s="243"/>
      <c r="AR227" s="243"/>
      <c r="AS227" s="243"/>
      <c r="AT227" s="243"/>
      <c r="AU227" s="243"/>
      <c r="AV227" s="243"/>
      <c r="AW227" s="243"/>
      <c r="AX227" s="243"/>
      <c r="AY227" s="243"/>
      <c r="AZ227" s="243"/>
      <c r="BA227" s="243"/>
      <c r="BB227" s="243"/>
      <c r="BC227" s="243"/>
      <c r="BD227" s="243"/>
      <c r="BE227" s="243"/>
      <c r="BF227" s="243"/>
      <c r="BG227" s="243"/>
      <c r="BH227" s="243"/>
      <c r="BI227" s="243"/>
      <c r="BJ227" s="243"/>
      <c r="BK227" s="243"/>
      <c r="BL227" s="243"/>
      <c r="BM227" s="243"/>
      <c r="BN227" s="243"/>
      <c r="BO227" s="243"/>
      <c r="BP227" s="243"/>
      <c r="BQ227" s="243"/>
      <c r="BR227" s="243"/>
      <c r="BS227" s="243"/>
    </row>
    <row r="228" spans="1:71" s="12" customFormat="1" ht="41.25" customHeight="1">
      <c r="A228" s="178" t="s">
        <v>62</v>
      </c>
      <c r="B228" s="178" t="str">
        <f ca="1">+UPPER(Tabla1321124[[#This Row],[DESCRIPCIÓN DE LA COMPRA O CONTRATACIÓN]])</f>
        <v>LLAVE ESPAÑOLA COMBINADA A MILIMETRICOS</v>
      </c>
      <c r="C228" s="39" t="s">
        <v>1162</v>
      </c>
      <c r="D228" s="236">
        <f>6+6</f>
        <v>12</v>
      </c>
      <c r="E228" s="236">
        <f>5+5</f>
        <v>10</v>
      </c>
      <c r="F228" s="236">
        <f>10+5</f>
        <v>15</v>
      </c>
      <c r="G228" s="236">
        <f>5+5</f>
        <v>10</v>
      </c>
      <c r="H228" s="240">
        <f>SUM(Tabla1321124[[#This Row],[PRIMER TRIMESTRE]:[CUARTO TRIMESTRE]])</f>
        <v>47</v>
      </c>
      <c r="I228" s="17">
        <v>7800</v>
      </c>
      <c r="J228" s="17">
        <f>+Tabla1321124[[#This Row],[CANTIDAD TOTAL]]*Tabla1321124[[#This Row],[PRECIO UNITARIO ESTIMADO]]</f>
        <v>366600</v>
      </c>
      <c r="K228" s="17"/>
      <c r="L228" s="16" t="s">
        <v>27</v>
      </c>
      <c r="M228" s="16" t="s">
        <v>22</v>
      </c>
      <c r="N228" s="16" t="s">
        <v>418</v>
      </c>
      <c r="O228" s="243"/>
      <c r="P228" s="243"/>
      <c r="Q228" s="243"/>
      <c r="R228" s="243"/>
      <c r="S228" s="243"/>
      <c r="T228" s="243"/>
      <c r="U228" s="243"/>
      <c r="V228" s="243"/>
      <c r="W228" s="243"/>
      <c r="X228" s="243"/>
      <c r="Y228" s="243"/>
      <c r="Z228" s="243"/>
      <c r="AA228" s="243"/>
      <c r="AB228" s="243"/>
      <c r="AC228" s="243"/>
      <c r="AD228" s="243"/>
      <c r="AE228" s="243"/>
      <c r="AF228" s="243"/>
      <c r="AG228" s="243"/>
      <c r="AH228" s="243"/>
      <c r="AI228" s="243"/>
      <c r="AJ228" s="243"/>
      <c r="AK228" s="243"/>
      <c r="AL228" s="243"/>
      <c r="AM228" s="243"/>
      <c r="AN228" s="243"/>
      <c r="AO228" s="243"/>
      <c r="AP228" s="243"/>
      <c r="AQ228" s="243"/>
      <c r="AR228" s="243"/>
      <c r="AS228" s="243"/>
      <c r="AT228" s="243"/>
      <c r="AU228" s="243"/>
      <c r="AV228" s="243"/>
      <c r="AW228" s="243"/>
      <c r="AX228" s="243"/>
      <c r="AY228" s="243"/>
      <c r="AZ228" s="243"/>
      <c r="BA228" s="243"/>
      <c r="BB228" s="243"/>
      <c r="BC228" s="243"/>
      <c r="BD228" s="243"/>
      <c r="BE228" s="243"/>
      <c r="BF228" s="243"/>
      <c r="BG228" s="243"/>
      <c r="BH228" s="243"/>
      <c r="BI228" s="243"/>
      <c r="BJ228" s="243"/>
      <c r="BK228" s="243"/>
      <c r="BL228" s="243"/>
      <c r="BM228" s="243"/>
      <c r="BN228" s="243"/>
      <c r="BO228" s="243"/>
      <c r="BP228" s="243"/>
      <c r="BQ228" s="243"/>
      <c r="BR228" s="243"/>
      <c r="BS228" s="243"/>
    </row>
    <row r="229" spans="1:71" s="12" customFormat="1" ht="41.25" customHeight="1">
      <c r="A229" s="178" t="s">
        <v>62</v>
      </c>
      <c r="B229" s="178" t="str">
        <f ca="1">+UPPER(Tabla1321124[[#This Row],[DESCRIPCIÓN DE LA COMPRA O CONTRATACIÓN]])</f>
        <v>LLAVE NO. 13</v>
      </c>
      <c r="C229" s="39" t="s">
        <v>17</v>
      </c>
      <c r="D229" s="368">
        <v>4</v>
      </c>
      <c r="E229" s="369">
        <v>0</v>
      </c>
      <c r="F229" s="369">
        <v>2</v>
      </c>
      <c r="G229" s="369">
        <v>0</v>
      </c>
      <c r="H229" s="240">
        <f>SUM(Tabla1321124[[#This Row],[PRIMER TRIMESTRE]:[CUARTO TRIMESTRE]])</f>
        <v>6</v>
      </c>
      <c r="I229" s="17">
        <v>315</v>
      </c>
      <c r="J229" s="17">
        <f>+Tabla1321124[[#This Row],[CANTIDAD TOTAL]]*Tabla1321124[[#This Row],[PRECIO UNITARIO ESTIMADO]]</f>
        <v>1890</v>
      </c>
      <c r="K229" s="175"/>
      <c r="L229" s="16" t="s">
        <v>27</v>
      </c>
      <c r="M229" s="16" t="s">
        <v>22</v>
      </c>
      <c r="N229" s="16" t="s">
        <v>418</v>
      </c>
      <c r="O229" s="243"/>
      <c r="P229" s="243"/>
      <c r="Q229" s="243"/>
      <c r="R229" s="243"/>
      <c r="S229" s="243"/>
      <c r="T229" s="243"/>
      <c r="U229" s="243"/>
      <c r="V229" s="243"/>
      <c r="W229" s="243"/>
      <c r="X229" s="243"/>
      <c r="Y229" s="243"/>
      <c r="Z229" s="243"/>
      <c r="AA229" s="243"/>
      <c r="AB229" s="243"/>
      <c r="AC229" s="243"/>
      <c r="AD229" s="243"/>
      <c r="AE229" s="243"/>
      <c r="AF229" s="243"/>
      <c r="AG229" s="243"/>
      <c r="AH229" s="243"/>
      <c r="AI229" s="243"/>
      <c r="AJ229" s="243"/>
      <c r="AK229" s="243"/>
      <c r="AL229" s="243"/>
      <c r="AM229" s="243"/>
      <c r="AN229" s="243"/>
      <c r="AO229" s="243"/>
      <c r="AP229" s="243"/>
      <c r="AQ229" s="243"/>
      <c r="AR229" s="243"/>
      <c r="AS229" s="243"/>
      <c r="AT229" s="243"/>
      <c r="AU229" s="243"/>
      <c r="AV229" s="243"/>
      <c r="AW229" s="243"/>
      <c r="AX229" s="243"/>
      <c r="AY229" s="243"/>
      <c r="AZ229" s="243"/>
      <c r="BA229" s="243"/>
      <c r="BB229" s="243"/>
      <c r="BC229" s="243"/>
      <c r="BD229" s="243"/>
      <c r="BE229" s="243"/>
      <c r="BF229" s="243"/>
      <c r="BG229" s="243"/>
      <c r="BH229" s="243"/>
      <c r="BI229" s="243"/>
      <c r="BJ229" s="243"/>
      <c r="BK229" s="243"/>
      <c r="BL229" s="243"/>
      <c r="BM229" s="243"/>
      <c r="BN229" s="243"/>
      <c r="BO229" s="243"/>
      <c r="BP229" s="243"/>
      <c r="BQ229" s="243"/>
      <c r="BR229" s="243"/>
      <c r="BS229" s="243"/>
    </row>
    <row r="230" spans="1:71" s="12" customFormat="1" ht="41.25" customHeight="1">
      <c r="A230" s="178" t="s">
        <v>62</v>
      </c>
      <c r="B230" s="178" t="str">
        <f ca="1">+UPPER(Tabla1321124[[#This Row],[DESCRIPCIÓN DE LA COMPRA O CONTRATACIÓN]])</f>
        <v>LLAVE CADENA 14</v>
      </c>
      <c r="C230" s="39" t="s">
        <v>17</v>
      </c>
      <c r="D230" s="236">
        <f>6+3</f>
        <v>9</v>
      </c>
      <c r="E230" s="236">
        <v>5</v>
      </c>
      <c r="F230" s="236">
        <f>10+1</f>
        <v>11</v>
      </c>
      <c r="G230" s="236">
        <v>5</v>
      </c>
      <c r="H230" s="240">
        <f>SUM(Tabla1321124[[#This Row],[PRIMER TRIMESTRE]:[CUARTO TRIMESTRE]])</f>
        <v>30</v>
      </c>
      <c r="I230" s="17">
        <v>5500</v>
      </c>
      <c r="J230" s="17">
        <f>+Tabla1321124[[#This Row],[CANTIDAD TOTAL]]*Tabla1321124[[#This Row],[PRECIO UNITARIO ESTIMADO]]</f>
        <v>165000</v>
      </c>
      <c r="K230" s="17"/>
      <c r="L230" s="16" t="s">
        <v>27</v>
      </c>
      <c r="M230" s="16" t="s">
        <v>22</v>
      </c>
      <c r="N230" s="16" t="s">
        <v>418</v>
      </c>
      <c r="O230" s="243"/>
      <c r="P230" s="243"/>
      <c r="Q230" s="243"/>
      <c r="R230" s="243"/>
      <c r="S230" s="243"/>
      <c r="T230" s="243"/>
      <c r="U230" s="243"/>
      <c r="V230" s="243"/>
      <c r="W230" s="243"/>
      <c r="X230" s="243"/>
      <c r="Y230" s="243"/>
      <c r="Z230" s="243"/>
      <c r="AA230" s="243"/>
      <c r="AB230" s="243"/>
      <c r="AC230" s="243"/>
      <c r="AD230" s="243"/>
      <c r="AE230" s="243"/>
      <c r="AF230" s="243"/>
      <c r="AG230" s="243"/>
      <c r="AH230" s="243"/>
      <c r="AI230" s="243"/>
      <c r="AJ230" s="243"/>
      <c r="AK230" s="243"/>
      <c r="AL230" s="243"/>
      <c r="AM230" s="243"/>
      <c r="AN230" s="243"/>
      <c r="AO230" s="243"/>
      <c r="AP230" s="243"/>
      <c r="AQ230" s="243"/>
      <c r="AR230" s="243"/>
      <c r="AS230" s="243"/>
      <c r="AT230" s="243"/>
      <c r="AU230" s="243"/>
      <c r="AV230" s="243"/>
      <c r="AW230" s="243"/>
      <c r="AX230" s="243"/>
      <c r="AY230" s="243"/>
      <c r="AZ230" s="243"/>
      <c r="BA230" s="243"/>
      <c r="BB230" s="243"/>
      <c r="BC230" s="243"/>
      <c r="BD230" s="243"/>
      <c r="BE230" s="243"/>
      <c r="BF230" s="243"/>
      <c r="BG230" s="243"/>
      <c r="BH230" s="243"/>
      <c r="BI230" s="243"/>
      <c r="BJ230" s="243"/>
      <c r="BK230" s="243"/>
      <c r="BL230" s="243"/>
      <c r="BM230" s="243"/>
      <c r="BN230" s="243"/>
      <c r="BO230" s="243"/>
      <c r="BP230" s="243"/>
      <c r="BQ230" s="243"/>
      <c r="BR230" s="243"/>
      <c r="BS230" s="243"/>
    </row>
    <row r="231" spans="1:71" s="12" customFormat="1" ht="41.25" customHeight="1">
      <c r="A231" s="178" t="s">
        <v>62</v>
      </c>
      <c r="B231" s="178" t="str">
        <f ca="1">+UPPER(Tabla1321124[[#This Row],[DESCRIPCIÓN DE LA COMPRA O CONTRATACIÓN]])</f>
        <v>LLAVE CADENA 18</v>
      </c>
      <c r="C231" s="39" t="s">
        <v>17</v>
      </c>
      <c r="D231" s="236">
        <f>6+2</f>
        <v>8</v>
      </c>
      <c r="E231" s="236">
        <f>5+1</f>
        <v>6</v>
      </c>
      <c r="F231" s="236">
        <v>10</v>
      </c>
      <c r="G231" s="236">
        <f>5+1</f>
        <v>6</v>
      </c>
      <c r="H231" s="240">
        <f>SUM(Tabla1321124[[#This Row],[PRIMER TRIMESTRE]:[CUARTO TRIMESTRE]])</f>
        <v>30</v>
      </c>
      <c r="I231" s="17">
        <v>7000</v>
      </c>
      <c r="J231" s="17">
        <f>+Tabla1321124[[#This Row],[CANTIDAD TOTAL]]*Tabla1321124[[#This Row],[PRECIO UNITARIO ESTIMADO]]</f>
        <v>210000</v>
      </c>
      <c r="K231" s="17"/>
      <c r="L231" s="16" t="s">
        <v>27</v>
      </c>
      <c r="M231" s="16" t="s">
        <v>22</v>
      </c>
      <c r="N231" s="16" t="s">
        <v>418</v>
      </c>
      <c r="O231" s="243"/>
      <c r="P231" s="243"/>
      <c r="Q231" s="243"/>
      <c r="R231" s="243"/>
      <c r="S231" s="243"/>
      <c r="T231" s="243"/>
      <c r="U231" s="243"/>
      <c r="V231" s="243"/>
      <c r="W231" s="243"/>
      <c r="X231" s="243"/>
      <c r="Y231" s="243"/>
      <c r="Z231" s="243"/>
      <c r="AA231" s="243"/>
      <c r="AB231" s="243"/>
      <c r="AC231" s="243"/>
      <c r="AD231" s="243"/>
      <c r="AE231" s="243"/>
      <c r="AF231" s="243"/>
      <c r="AG231" s="243"/>
      <c r="AH231" s="243"/>
      <c r="AI231" s="243"/>
      <c r="AJ231" s="243"/>
      <c r="AK231" s="243"/>
      <c r="AL231" s="243"/>
      <c r="AM231" s="243"/>
      <c r="AN231" s="243"/>
      <c r="AO231" s="243"/>
      <c r="AP231" s="243"/>
      <c r="AQ231" s="243"/>
      <c r="AR231" s="243"/>
      <c r="AS231" s="243"/>
      <c r="AT231" s="243"/>
      <c r="AU231" s="243"/>
      <c r="AV231" s="243"/>
      <c r="AW231" s="243"/>
      <c r="AX231" s="243"/>
      <c r="AY231" s="243"/>
      <c r="AZ231" s="243"/>
      <c r="BA231" s="243"/>
      <c r="BB231" s="243"/>
      <c r="BC231" s="243"/>
      <c r="BD231" s="243"/>
      <c r="BE231" s="243"/>
      <c r="BF231" s="243"/>
      <c r="BG231" s="243"/>
      <c r="BH231" s="243"/>
      <c r="BI231" s="243"/>
      <c r="BJ231" s="243"/>
      <c r="BK231" s="243"/>
      <c r="BL231" s="243"/>
      <c r="BM231" s="243"/>
      <c r="BN231" s="243"/>
      <c r="BO231" s="243"/>
      <c r="BP231" s="243"/>
      <c r="BQ231" s="243"/>
      <c r="BR231" s="243"/>
      <c r="BS231" s="243"/>
    </row>
    <row r="232" spans="1:71" s="12" customFormat="1" ht="41.25" customHeight="1">
      <c r="A232" s="178" t="s">
        <v>62</v>
      </c>
      <c r="B232" s="178" t="str">
        <f ca="1">+UPPER(Tabla1321124[[#This Row],[DESCRIPCIÓN DE LA COMPRA O CONTRATACIÓN]])</f>
        <v>LLAVE CADENA 26</v>
      </c>
      <c r="C232" s="39" t="s">
        <v>17</v>
      </c>
      <c r="D232" s="236">
        <f>6+2</f>
        <v>8</v>
      </c>
      <c r="E232" s="236">
        <f>5+1</f>
        <v>6</v>
      </c>
      <c r="F232" s="236">
        <v>10</v>
      </c>
      <c r="G232" s="236">
        <f>5+1</f>
        <v>6</v>
      </c>
      <c r="H232" s="240">
        <f>SUM(Tabla1321124[[#This Row],[PRIMER TRIMESTRE]:[CUARTO TRIMESTRE]])</f>
        <v>30</v>
      </c>
      <c r="I232" s="17">
        <v>9000</v>
      </c>
      <c r="J232" s="17">
        <f>+Tabla1321124[[#This Row],[CANTIDAD TOTAL]]*Tabla1321124[[#This Row],[PRECIO UNITARIO ESTIMADO]]</f>
        <v>270000</v>
      </c>
      <c r="K232" s="17"/>
      <c r="L232" s="16" t="s">
        <v>27</v>
      </c>
      <c r="M232" s="16" t="s">
        <v>22</v>
      </c>
      <c r="N232" s="16" t="s">
        <v>418</v>
      </c>
      <c r="O232" s="243"/>
      <c r="P232" s="243"/>
      <c r="Q232" s="243"/>
      <c r="R232" s="243"/>
      <c r="S232" s="243"/>
      <c r="T232" s="243"/>
      <c r="U232" s="243"/>
      <c r="V232" s="243"/>
      <c r="W232" s="243"/>
      <c r="X232" s="243"/>
      <c r="Y232" s="243"/>
      <c r="Z232" s="243"/>
      <c r="AA232" s="243"/>
      <c r="AB232" s="243"/>
      <c r="AC232" s="243"/>
      <c r="AD232" s="243"/>
      <c r="AE232" s="243"/>
      <c r="AF232" s="243"/>
      <c r="AG232" s="243"/>
      <c r="AH232" s="243"/>
      <c r="AI232" s="243"/>
      <c r="AJ232" s="243"/>
      <c r="AK232" s="243"/>
      <c r="AL232" s="243"/>
      <c r="AM232" s="243"/>
      <c r="AN232" s="243"/>
      <c r="AO232" s="243"/>
      <c r="AP232" s="243"/>
      <c r="AQ232" s="243"/>
      <c r="AR232" s="243"/>
      <c r="AS232" s="243"/>
      <c r="AT232" s="243"/>
      <c r="AU232" s="243"/>
      <c r="AV232" s="243"/>
      <c r="AW232" s="243"/>
      <c r="AX232" s="243"/>
      <c r="AY232" s="243"/>
      <c r="AZ232" s="243"/>
      <c r="BA232" s="243"/>
      <c r="BB232" s="243"/>
      <c r="BC232" s="243"/>
      <c r="BD232" s="243"/>
      <c r="BE232" s="243"/>
      <c r="BF232" s="243"/>
      <c r="BG232" s="243"/>
      <c r="BH232" s="243"/>
      <c r="BI232" s="243"/>
      <c r="BJ232" s="243"/>
      <c r="BK232" s="243"/>
      <c r="BL232" s="243"/>
      <c r="BM232" s="243"/>
      <c r="BN232" s="243"/>
      <c r="BO232" s="243"/>
      <c r="BP232" s="243"/>
      <c r="BQ232" s="243"/>
      <c r="BR232" s="243"/>
      <c r="BS232" s="243"/>
    </row>
    <row r="233" spans="1:71" s="12" customFormat="1" ht="41.25" customHeight="1">
      <c r="A233" s="178" t="s">
        <v>62</v>
      </c>
      <c r="B233" s="178" t="str">
        <f ca="1">+UPPER(Tabla1321124[[#This Row],[DESCRIPCIÓN DE LA COMPRA O CONTRATACIÓN]])</f>
        <v>LLAVE CADENA Ø6</v>
      </c>
      <c r="C233" s="39" t="s">
        <v>17</v>
      </c>
      <c r="D233" s="370"/>
      <c r="E233" s="370">
        <v>1</v>
      </c>
      <c r="F233" s="370"/>
      <c r="G233" s="370">
        <v>1</v>
      </c>
      <c r="H233" s="240">
        <f>SUM(Tabla1321124[[#This Row],[PRIMER TRIMESTRE]:[CUARTO TRIMESTRE]])</f>
        <v>2</v>
      </c>
      <c r="I233" s="17">
        <v>6500</v>
      </c>
      <c r="J233" s="17">
        <f>+Tabla1321124[[#This Row],[CANTIDAD TOTAL]]*Tabla1321124[[#This Row],[PRECIO UNITARIO ESTIMADO]]</f>
        <v>13000</v>
      </c>
      <c r="K233" s="175"/>
      <c r="L233" s="16" t="s">
        <v>27</v>
      </c>
      <c r="M233" s="16" t="s">
        <v>22</v>
      </c>
      <c r="N233" s="16" t="s">
        <v>418</v>
      </c>
      <c r="O233" s="243"/>
      <c r="P233" s="243"/>
      <c r="Q233" s="243"/>
      <c r="R233" s="243"/>
      <c r="S233" s="243"/>
      <c r="T233" s="243"/>
      <c r="U233" s="243"/>
      <c r="V233" s="243"/>
      <c r="W233" s="243"/>
      <c r="X233" s="243"/>
      <c r="Y233" s="243"/>
      <c r="Z233" s="243"/>
      <c r="AA233" s="243"/>
      <c r="AB233" s="243"/>
      <c r="AC233" s="243"/>
      <c r="AD233" s="243"/>
      <c r="AE233" s="243"/>
      <c r="AF233" s="243"/>
      <c r="AG233" s="243"/>
      <c r="AH233" s="243"/>
      <c r="AI233" s="243"/>
      <c r="AJ233" s="243"/>
      <c r="AK233" s="243"/>
      <c r="AL233" s="243"/>
      <c r="AM233" s="243"/>
      <c r="AN233" s="243"/>
      <c r="AO233" s="243"/>
      <c r="AP233" s="243"/>
      <c r="AQ233" s="243"/>
      <c r="AR233" s="243"/>
      <c r="AS233" s="243"/>
      <c r="AT233" s="243"/>
      <c r="AU233" s="243"/>
      <c r="AV233" s="243"/>
      <c r="AW233" s="243"/>
      <c r="AX233" s="243"/>
      <c r="AY233" s="243"/>
      <c r="AZ233" s="243"/>
      <c r="BA233" s="243"/>
      <c r="BB233" s="243"/>
      <c r="BC233" s="243"/>
      <c r="BD233" s="243"/>
      <c r="BE233" s="243"/>
      <c r="BF233" s="243"/>
      <c r="BG233" s="243"/>
      <c r="BH233" s="243"/>
      <c r="BI233" s="243"/>
      <c r="BJ233" s="243"/>
      <c r="BK233" s="243"/>
      <c r="BL233" s="243"/>
      <c r="BM233" s="243"/>
      <c r="BN233" s="243"/>
      <c r="BO233" s="243"/>
      <c r="BP233" s="243"/>
      <c r="BQ233" s="243"/>
      <c r="BR233" s="243"/>
      <c r="BS233" s="243"/>
    </row>
    <row r="234" spans="1:71" s="12" customFormat="1" ht="41.25" customHeight="1">
      <c r="A234" s="178" t="s">
        <v>62</v>
      </c>
      <c r="B234" s="178" t="str">
        <f ca="1">+UPPER(Tabla1321124[[#This Row],[DESCRIPCIÓN DE LA COMPRA O CONTRATACIÓN]])</f>
        <v>LLAVE CADENA Ø8</v>
      </c>
      <c r="C234" s="39" t="s">
        <v>17</v>
      </c>
      <c r="D234" s="370"/>
      <c r="E234" s="370">
        <v>1</v>
      </c>
      <c r="F234" s="370"/>
      <c r="G234" s="370">
        <v>1</v>
      </c>
      <c r="H234" s="240">
        <f>SUM(Tabla1321124[[#This Row],[PRIMER TRIMESTRE]:[CUARTO TRIMESTRE]])</f>
        <v>2</v>
      </c>
      <c r="I234" s="17">
        <v>7200</v>
      </c>
      <c r="J234" s="17">
        <f>+Tabla1321124[[#This Row],[CANTIDAD TOTAL]]*Tabla1321124[[#This Row],[PRECIO UNITARIO ESTIMADO]]</f>
        <v>14400</v>
      </c>
      <c r="K234" s="175"/>
      <c r="L234" s="16" t="s">
        <v>27</v>
      </c>
      <c r="M234" s="16" t="s">
        <v>22</v>
      </c>
      <c r="N234" s="16" t="s">
        <v>418</v>
      </c>
      <c r="O234" s="243"/>
      <c r="P234" s="243"/>
      <c r="Q234" s="243"/>
      <c r="R234" s="243"/>
      <c r="S234" s="243"/>
      <c r="T234" s="243"/>
      <c r="U234" s="243"/>
      <c r="V234" s="243"/>
      <c r="W234" s="243"/>
      <c r="X234" s="243"/>
      <c r="Y234" s="243"/>
      <c r="Z234" s="243"/>
      <c r="AA234" s="243"/>
      <c r="AB234" s="243"/>
      <c r="AC234" s="243"/>
      <c r="AD234" s="243"/>
      <c r="AE234" s="243"/>
      <c r="AF234" s="243"/>
      <c r="AG234" s="243"/>
      <c r="AH234" s="243"/>
      <c r="AI234" s="243"/>
      <c r="AJ234" s="243"/>
      <c r="AK234" s="243"/>
      <c r="AL234" s="243"/>
      <c r="AM234" s="243"/>
      <c r="AN234" s="243"/>
      <c r="AO234" s="243"/>
      <c r="AP234" s="243"/>
      <c r="AQ234" s="243"/>
      <c r="AR234" s="243"/>
      <c r="AS234" s="243"/>
      <c r="AT234" s="243"/>
      <c r="AU234" s="243"/>
      <c r="AV234" s="243"/>
      <c r="AW234" s="243"/>
      <c r="AX234" s="243"/>
      <c r="AY234" s="243"/>
      <c r="AZ234" s="243"/>
      <c r="BA234" s="243"/>
      <c r="BB234" s="243"/>
      <c r="BC234" s="243"/>
      <c r="BD234" s="243"/>
      <c r="BE234" s="243"/>
      <c r="BF234" s="243"/>
      <c r="BG234" s="243"/>
      <c r="BH234" s="243"/>
      <c r="BI234" s="243"/>
      <c r="BJ234" s="243"/>
      <c r="BK234" s="243"/>
      <c r="BL234" s="243"/>
      <c r="BM234" s="243"/>
      <c r="BN234" s="243"/>
      <c r="BO234" s="243"/>
      <c r="BP234" s="243"/>
      <c r="BQ234" s="243"/>
      <c r="BR234" s="243"/>
      <c r="BS234" s="243"/>
    </row>
    <row r="235" spans="1:71" s="12" customFormat="1" ht="41.25" customHeight="1">
      <c r="A235" s="178" t="s">
        <v>62</v>
      </c>
      <c r="B235" s="178" t="str">
        <f ca="1">+UPPER(Tabla1321124[[#This Row],[DESCRIPCIÓN DE LA COMPRA O CONTRATACIÓN]])</f>
        <v>LLAVE CADENA 36</v>
      </c>
      <c r="C235" s="39" t="s">
        <v>17</v>
      </c>
      <c r="D235" s="236">
        <f>6+3</f>
        <v>9</v>
      </c>
      <c r="E235" s="236">
        <f>5+1</f>
        <v>6</v>
      </c>
      <c r="F235" s="236">
        <f>10+1</f>
        <v>11</v>
      </c>
      <c r="G235" s="236">
        <f>5+1</f>
        <v>6</v>
      </c>
      <c r="H235" s="240">
        <f>SUM(Tabla1321124[[#This Row],[PRIMER TRIMESTRE]:[CUARTO TRIMESTRE]])</f>
        <v>32</v>
      </c>
      <c r="I235" s="17">
        <v>11600</v>
      </c>
      <c r="J235" s="17">
        <f>+Tabla1321124[[#This Row],[CANTIDAD TOTAL]]*Tabla1321124[[#This Row],[PRECIO UNITARIO ESTIMADO]]</f>
        <v>371200</v>
      </c>
      <c r="K235" s="17"/>
      <c r="L235" s="16" t="s">
        <v>27</v>
      </c>
      <c r="M235" s="16" t="s">
        <v>22</v>
      </c>
      <c r="N235" s="16" t="s">
        <v>418</v>
      </c>
      <c r="O235" s="243"/>
      <c r="P235" s="243"/>
      <c r="Q235" s="243"/>
      <c r="R235" s="243"/>
      <c r="S235" s="243"/>
      <c r="T235" s="243"/>
      <c r="U235" s="243"/>
      <c r="V235" s="243"/>
      <c r="W235" s="243"/>
      <c r="X235" s="243"/>
      <c r="Y235" s="243"/>
      <c r="Z235" s="243"/>
      <c r="AA235" s="243"/>
      <c r="AB235" s="243"/>
      <c r="AC235" s="243"/>
      <c r="AD235" s="243"/>
      <c r="AE235" s="243"/>
      <c r="AF235" s="243"/>
      <c r="AG235" s="243"/>
      <c r="AH235" s="243"/>
      <c r="AI235" s="243"/>
      <c r="AJ235" s="243"/>
      <c r="AK235" s="243"/>
      <c r="AL235" s="243"/>
      <c r="AM235" s="243"/>
      <c r="AN235" s="243"/>
      <c r="AO235" s="243"/>
      <c r="AP235" s="243"/>
      <c r="AQ235" s="243"/>
      <c r="AR235" s="243"/>
      <c r="AS235" s="243"/>
      <c r="AT235" s="243"/>
      <c r="AU235" s="243"/>
      <c r="AV235" s="243"/>
      <c r="AW235" s="243"/>
      <c r="AX235" s="243"/>
      <c r="AY235" s="243"/>
      <c r="AZ235" s="243"/>
      <c r="BA235" s="243"/>
      <c r="BB235" s="243"/>
      <c r="BC235" s="243"/>
      <c r="BD235" s="243"/>
      <c r="BE235" s="243"/>
      <c r="BF235" s="243"/>
      <c r="BG235" s="243"/>
      <c r="BH235" s="243"/>
      <c r="BI235" s="243"/>
      <c r="BJ235" s="243"/>
      <c r="BK235" s="243"/>
      <c r="BL235" s="243"/>
      <c r="BM235" s="243"/>
      <c r="BN235" s="243"/>
      <c r="BO235" s="243"/>
      <c r="BP235" s="243"/>
      <c r="BQ235" s="243"/>
      <c r="BR235" s="243"/>
      <c r="BS235" s="243"/>
    </row>
    <row r="236" spans="1:71" s="12" customFormat="1" ht="41.25" customHeight="1">
      <c r="A236" s="178" t="s">
        <v>62</v>
      </c>
      <c r="B236" s="178" t="str">
        <f ca="1">+UPPER(Tabla1321124[[#This Row],[DESCRIPCIÓN DE LA COMPRA O CONTRATACIÓN]])</f>
        <v>NIVEL DE MENISCO</v>
      </c>
      <c r="C236" s="39" t="s">
        <v>17</v>
      </c>
      <c r="D236" s="236">
        <f>6+5</f>
        <v>11</v>
      </c>
      <c r="E236" s="236">
        <v>5</v>
      </c>
      <c r="F236" s="236">
        <f>10+3</f>
        <v>13</v>
      </c>
      <c r="G236" s="236">
        <v>5</v>
      </c>
      <c r="H236" s="240">
        <f>SUM(Tabla1321124[[#This Row],[PRIMER TRIMESTRE]:[CUARTO TRIMESTRE]])</f>
        <v>34</v>
      </c>
      <c r="I236" s="17">
        <v>11600</v>
      </c>
      <c r="J236" s="17">
        <f>+Tabla1321124[[#This Row],[CANTIDAD TOTAL]]*Tabla1321124[[#This Row],[PRECIO UNITARIO ESTIMADO]]</f>
        <v>394400</v>
      </c>
      <c r="K236" s="17"/>
      <c r="L236" s="16" t="s">
        <v>27</v>
      </c>
      <c r="M236" s="16" t="s">
        <v>22</v>
      </c>
      <c r="N236" s="16" t="s">
        <v>418</v>
      </c>
      <c r="O236" s="243"/>
      <c r="P236" s="243"/>
      <c r="Q236" s="243"/>
      <c r="R236" s="243"/>
      <c r="S236" s="243"/>
      <c r="T236" s="243"/>
      <c r="U236" s="243"/>
      <c r="V236" s="243"/>
      <c r="W236" s="243"/>
      <c r="X236" s="243"/>
      <c r="Y236" s="243"/>
      <c r="Z236" s="243"/>
      <c r="AA236" s="243"/>
      <c r="AB236" s="243"/>
      <c r="AC236" s="243"/>
      <c r="AD236" s="243"/>
      <c r="AE236" s="243"/>
      <c r="AF236" s="243"/>
      <c r="AG236" s="243"/>
      <c r="AH236" s="243"/>
      <c r="AI236" s="243"/>
      <c r="AJ236" s="243"/>
      <c r="AK236" s="243"/>
      <c r="AL236" s="243"/>
      <c r="AM236" s="243"/>
      <c r="AN236" s="243"/>
      <c r="AO236" s="243"/>
      <c r="AP236" s="243"/>
      <c r="AQ236" s="243"/>
      <c r="AR236" s="243"/>
      <c r="AS236" s="243"/>
      <c r="AT236" s="243"/>
      <c r="AU236" s="243"/>
      <c r="AV236" s="243"/>
      <c r="AW236" s="243"/>
      <c r="AX236" s="243"/>
      <c r="AY236" s="243"/>
      <c r="AZ236" s="243"/>
      <c r="BA236" s="243"/>
      <c r="BB236" s="243"/>
      <c r="BC236" s="243"/>
      <c r="BD236" s="243"/>
      <c r="BE236" s="243"/>
      <c r="BF236" s="243"/>
      <c r="BG236" s="243"/>
      <c r="BH236" s="243"/>
      <c r="BI236" s="243"/>
      <c r="BJ236" s="243"/>
      <c r="BK236" s="243"/>
      <c r="BL236" s="243"/>
      <c r="BM236" s="243"/>
      <c r="BN236" s="243"/>
      <c r="BO236" s="243"/>
      <c r="BP236" s="243"/>
      <c r="BQ236" s="243"/>
      <c r="BR236" s="243"/>
      <c r="BS236" s="243"/>
    </row>
    <row r="237" spans="1:71" s="12" customFormat="1" ht="41.25" customHeight="1">
      <c r="A237" s="178" t="s">
        <v>62</v>
      </c>
      <c r="B237" s="178" t="str">
        <f ca="1">+UPPER(Tabla1321124[[#This Row],[DESCRIPCIÓN DE LA COMPRA O CONTRATACIÓN]])</f>
        <v>LLAVE AJUSTABLE DE 8"</v>
      </c>
      <c r="C237" s="39" t="s">
        <v>17</v>
      </c>
      <c r="D237" s="236">
        <f>6+8</f>
        <v>14</v>
      </c>
      <c r="E237" s="236">
        <f>5+7</f>
        <v>12</v>
      </c>
      <c r="F237" s="236">
        <f>10+8</f>
        <v>18</v>
      </c>
      <c r="G237" s="236">
        <f t="shared" ref="G237:G242" si="2">5+5</f>
        <v>10</v>
      </c>
      <c r="H237" s="240">
        <f>SUM(Tabla1321124[[#This Row],[PRIMER TRIMESTRE]:[CUARTO TRIMESTRE]])</f>
        <v>54</v>
      </c>
      <c r="I237" s="17">
        <v>400</v>
      </c>
      <c r="J237" s="17">
        <f>+Tabla1321124[[#This Row],[CANTIDAD TOTAL]]*Tabla1321124[[#This Row],[PRECIO UNITARIO ESTIMADO]]</f>
        <v>21600</v>
      </c>
      <c r="K237" s="17"/>
      <c r="L237" s="16" t="s">
        <v>27</v>
      </c>
      <c r="M237" s="16" t="s">
        <v>22</v>
      </c>
      <c r="N237" s="16" t="s">
        <v>418</v>
      </c>
      <c r="O237" s="243"/>
      <c r="P237" s="243"/>
      <c r="Q237" s="243"/>
      <c r="R237" s="243"/>
      <c r="S237" s="243"/>
      <c r="T237" s="243"/>
      <c r="U237" s="243"/>
      <c r="V237" s="243"/>
      <c r="W237" s="243"/>
      <c r="X237" s="243"/>
      <c r="Y237" s="243"/>
      <c r="Z237" s="243"/>
      <c r="AA237" s="243"/>
      <c r="AB237" s="243"/>
      <c r="AC237" s="243"/>
      <c r="AD237" s="243"/>
      <c r="AE237" s="243"/>
      <c r="AF237" s="243"/>
      <c r="AG237" s="243"/>
      <c r="AH237" s="243"/>
      <c r="AI237" s="243"/>
      <c r="AJ237" s="243"/>
      <c r="AK237" s="243"/>
      <c r="AL237" s="243"/>
      <c r="AM237" s="243"/>
      <c r="AN237" s="243"/>
      <c r="AO237" s="243"/>
      <c r="AP237" s="243"/>
      <c r="AQ237" s="243"/>
      <c r="AR237" s="243"/>
      <c r="AS237" s="243"/>
      <c r="AT237" s="243"/>
      <c r="AU237" s="243"/>
      <c r="AV237" s="243"/>
      <c r="AW237" s="243"/>
      <c r="AX237" s="243"/>
      <c r="AY237" s="243"/>
      <c r="AZ237" s="243"/>
      <c r="BA237" s="243"/>
      <c r="BB237" s="243"/>
      <c r="BC237" s="243"/>
      <c r="BD237" s="243"/>
      <c r="BE237" s="243"/>
      <c r="BF237" s="243"/>
      <c r="BG237" s="243"/>
      <c r="BH237" s="243"/>
      <c r="BI237" s="243"/>
      <c r="BJ237" s="243"/>
      <c r="BK237" s="243"/>
      <c r="BL237" s="243"/>
      <c r="BM237" s="243"/>
      <c r="BN237" s="243"/>
      <c r="BO237" s="243"/>
      <c r="BP237" s="243"/>
      <c r="BQ237" s="243"/>
      <c r="BR237" s="243"/>
      <c r="BS237" s="243"/>
    </row>
    <row r="238" spans="1:71" s="12" customFormat="1" ht="41.25" customHeight="1">
      <c r="A238" s="178" t="s">
        <v>62</v>
      </c>
      <c r="B238" s="178" t="str">
        <f ca="1">+UPPER(Tabla1321124[[#This Row],[DESCRIPCIÓN DE LA COMPRA O CONTRATACIÓN]])</f>
        <v>LLAVE AJUSTABLE DE 10"</v>
      </c>
      <c r="C238" s="39" t="s">
        <v>17</v>
      </c>
      <c r="D238" s="236">
        <f>6+8</f>
        <v>14</v>
      </c>
      <c r="E238" s="236">
        <f>5+5</f>
        <v>10</v>
      </c>
      <c r="F238" s="236">
        <f>10+8</f>
        <v>18</v>
      </c>
      <c r="G238" s="236">
        <f t="shared" si="2"/>
        <v>10</v>
      </c>
      <c r="H238" s="240">
        <f>SUM(Tabla1321124[[#This Row],[PRIMER TRIMESTRE]:[CUARTO TRIMESTRE]])</f>
        <v>52</v>
      </c>
      <c r="I238" s="17">
        <v>650</v>
      </c>
      <c r="J238" s="17">
        <f>+Tabla1321124[[#This Row],[CANTIDAD TOTAL]]*Tabla1321124[[#This Row],[PRECIO UNITARIO ESTIMADO]]</f>
        <v>33800</v>
      </c>
      <c r="K238" s="17"/>
      <c r="L238" s="16" t="s">
        <v>27</v>
      </c>
      <c r="M238" s="16" t="s">
        <v>22</v>
      </c>
      <c r="N238" s="16" t="s">
        <v>418</v>
      </c>
      <c r="O238" s="243"/>
      <c r="P238" s="243"/>
      <c r="Q238" s="243"/>
      <c r="R238" s="243"/>
      <c r="S238" s="243"/>
      <c r="T238" s="243"/>
      <c r="U238" s="243"/>
      <c r="V238" s="243"/>
      <c r="W238" s="243"/>
      <c r="X238" s="243"/>
      <c r="Y238" s="243"/>
      <c r="Z238" s="243"/>
      <c r="AA238" s="243"/>
      <c r="AB238" s="243"/>
      <c r="AC238" s="243"/>
      <c r="AD238" s="243"/>
      <c r="AE238" s="243"/>
      <c r="AF238" s="243"/>
      <c r="AG238" s="243"/>
      <c r="AH238" s="243"/>
      <c r="AI238" s="243"/>
      <c r="AJ238" s="243"/>
      <c r="AK238" s="243"/>
      <c r="AL238" s="243"/>
      <c r="AM238" s="243"/>
      <c r="AN238" s="243"/>
      <c r="AO238" s="243"/>
      <c r="AP238" s="243"/>
      <c r="AQ238" s="243"/>
      <c r="AR238" s="243"/>
      <c r="AS238" s="243"/>
      <c r="AT238" s="243"/>
      <c r="AU238" s="243"/>
      <c r="AV238" s="243"/>
      <c r="AW238" s="243"/>
      <c r="AX238" s="243"/>
      <c r="AY238" s="243"/>
      <c r="AZ238" s="243"/>
      <c r="BA238" s="243"/>
      <c r="BB238" s="243"/>
      <c r="BC238" s="243"/>
      <c r="BD238" s="243"/>
      <c r="BE238" s="243"/>
      <c r="BF238" s="243"/>
      <c r="BG238" s="243"/>
      <c r="BH238" s="243"/>
      <c r="BI238" s="243"/>
      <c r="BJ238" s="243"/>
      <c r="BK238" s="243"/>
      <c r="BL238" s="243"/>
      <c r="BM238" s="243"/>
      <c r="BN238" s="243"/>
      <c r="BO238" s="243"/>
      <c r="BP238" s="243"/>
      <c r="BQ238" s="243"/>
      <c r="BR238" s="243"/>
      <c r="BS238" s="243"/>
    </row>
    <row r="239" spans="1:71" s="12" customFormat="1" ht="41.25" customHeight="1">
      <c r="A239" s="178" t="s">
        <v>62</v>
      </c>
      <c r="B239" s="178" t="str">
        <f ca="1">+UPPER(Tabla1321124[[#This Row],[DESCRIPCIÓN DE LA COMPRA O CONTRATACIÓN]])</f>
        <v>LLAVE AJUSTABLE DE 12"</v>
      </c>
      <c r="C239" s="39" t="s">
        <v>17</v>
      </c>
      <c r="D239" s="236">
        <f>18+8</f>
        <v>26</v>
      </c>
      <c r="E239" s="236">
        <f>5+5</f>
        <v>10</v>
      </c>
      <c r="F239" s="236">
        <f>10+8</f>
        <v>18</v>
      </c>
      <c r="G239" s="236">
        <f t="shared" si="2"/>
        <v>10</v>
      </c>
      <c r="H239" s="240">
        <f>SUM(Tabla1321124[[#This Row],[PRIMER TRIMESTRE]:[CUARTO TRIMESTRE]])</f>
        <v>64</v>
      </c>
      <c r="I239" s="17">
        <v>1300</v>
      </c>
      <c r="J239" s="17">
        <f>+Tabla1321124[[#This Row],[CANTIDAD TOTAL]]*Tabla1321124[[#This Row],[PRECIO UNITARIO ESTIMADO]]</f>
        <v>83200</v>
      </c>
      <c r="K239" s="17"/>
      <c r="L239" s="16" t="s">
        <v>27</v>
      </c>
      <c r="M239" s="16" t="s">
        <v>22</v>
      </c>
      <c r="N239" s="16" t="s">
        <v>418</v>
      </c>
      <c r="O239" s="243"/>
      <c r="P239" s="243"/>
      <c r="Q239" s="243"/>
      <c r="R239" s="243"/>
      <c r="S239" s="243"/>
      <c r="T239" s="243"/>
      <c r="U239" s="243"/>
      <c r="V239" s="243"/>
      <c r="W239" s="243"/>
      <c r="X239" s="243"/>
      <c r="Y239" s="243"/>
      <c r="Z239" s="243"/>
      <c r="AA239" s="243"/>
      <c r="AB239" s="243"/>
      <c r="AC239" s="243"/>
      <c r="AD239" s="243"/>
      <c r="AE239" s="243"/>
      <c r="AF239" s="243"/>
      <c r="AG239" s="243"/>
      <c r="AH239" s="243"/>
      <c r="AI239" s="243"/>
      <c r="AJ239" s="243"/>
      <c r="AK239" s="243"/>
      <c r="AL239" s="243"/>
      <c r="AM239" s="243"/>
      <c r="AN239" s="243"/>
      <c r="AO239" s="243"/>
      <c r="AP239" s="243"/>
      <c r="AQ239" s="243"/>
      <c r="AR239" s="243"/>
      <c r="AS239" s="243"/>
      <c r="AT239" s="243"/>
      <c r="AU239" s="243"/>
      <c r="AV239" s="243"/>
      <c r="AW239" s="243"/>
      <c r="AX239" s="243"/>
      <c r="AY239" s="243"/>
      <c r="AZ239" s="243"/>
      <c r="BA239" s="243"/>
      <c r="BB239" s="243"/>
      <c r="BC239" s="243"/>
      <c r="BD239" s="243"/>
      <c r="BE239" s="243"/>
      <c r="BF239" s="243"/>
      <c r="BG239" s="243"/>
      <c r="BH239" s="243"/>
      <c r="BI239" s="243"/>
      <c r="BJ239" s="243"/>
      <c r="BK239" s="243"/>
      <c r="BL239" s="243"/>
      <c r="BM239" s="243"/>
      <c r="BN239" s="243"/>
      <c r="BO239" s="243"/>
      <c r="BP239" s="243"/>
      <c r="BQ239" s="243"/>
      <c r="BR239" s="243"/>
      <c r="BS239" s="243"/>
    </row>
    <row r="240" spans="1:71" s="12" customFormat="1" ht="41.25" customHeight="1">
      <c r="A240" s="178" t="s">
        <v>62</v>
      </c>
      <c r="B240" s="178" t="str">
        <f ca="1">+UPPER(Tabla1321124[[#This Row],[DESCRIPCIÓN DE LA COMPRA O CONTRATACIÓN]])</f>
        <v>LLAVE AJUSTABLE DE 17"</v>
      </c>
      <c r="C240" s="39" t="s">
        <v>17</v>
      </c>
      <c r="D240" s="236">
        <f>6+12</f>
        <v>18</v>
      </c>
      <c r="E240" s="236">
        <f>5+5</f>
        <v>10</v>
      </c>
      <c r="F240" s="236">
        <f>10+12</f>
        <v>22</v>
      </c>
      <c r="G240" s="236">
        <f t="shared" si="2"/>
        <v>10</v>
      </c>
      <c r="H240" s="240">
        <f>SUM(Tabla1321124[[#This Row],[PRIMER TRIMESTRE]:[CUARTO TRIMESTRE]])</f>
        <v>60</v>
      </c>
      <c r="I240" s="17">
        <v>1120</v>
      </c>
      <c r="J240" s="17">
        <f>+Tabla1321124[[#This Row],[CANTIDAD TOTAL]]*Tabla1321124[[#This Row],[PRECIO UNITARIO ESTIMADO]]</f>
        <v>67200</v>
      </c>
      <c r="K240" s="17"/>
      <c r="L240" s="16" t="s">
        <v>27</v>
      </c>
      <c r="M240" s="16" t="s">
        <v>22</v>
      </c>
      <c r="N240" s="16" t="s">
        <v>418</v>
      </c>
      <c r="O240" s="243"/>
      <c r="P240" s="243"/>
      <c r="Q240" s="243"/>
      <c r="R240" s="243"/>
      <c r="S240" s="243"/>
      <c r="T240" s="243"/>
      <c r="U240" s="243"/>
      <c r="V240" s="243"/>
      <c r="W240" s="243"/>
      <c r="X240" s="243"/>
      <c r="Y240" s="243"/>
      <c r="Z240" s="243"/>
      <c r="AA240" s="243"/>
      <c r="AB240" s="243"/>
      <c r="AC240" s="243"/>
      <c r="AD240" s="243"/>
      <c r="AE240" s="243"/>
      <c r="AF240" s="243"/>
      <c r="AG240" s="243"/>
      <c r="AH240" s="243"/>
      <c r="AI240" s="243"/>
      <c r="AJ240" s="243"/>
      <c r="AK240" s="243"/>
      <c r="AL240" s="243"/>
      <c r="AM240" s="243"/>
      <c r="AN240" s="243"/>
      <c r="AO240" s="243"/>
      <c r="AP240" s="243"/>
      <c r="AQ240" s="243"/>
      <c r="AR240" s="243"/>
      <c r="AS240" s="243"/>
      <c r="AT240" s="243"/>
      <c r="AU240" s="243"/>
      <c r="AV240" s="243"/>
      <c r="AW240" s="243"/>
      <c r="AX240" s="243"/>
      <c r="AY240" s="243"/>
      <c r="AZ240" s="243"/>
      <c r="BA240" s="243"/>
      <c r="BB240" s="243"/>
      <c r="BC240" s="243"/>
      <c r="BD240" s="243"/>
      <c r="BE240" s="243"/>
      <c r="BF240" s="243"/>
      <c r="BG240" s="243"/>
      <c r="BH240" s="243"/>
      <c r="BI240" s="243"/>
      <c r="BJ240" s="243"/>
      <c r="BK240" s="243"/>
      <c r="BL240" s="243"/>
      <c r="BM240" s="243"/>
      <c r="BN240" s="243"/>
      <c r="BO240" s="243"/>
      <c r="BP240" s="243"/>
      <c r="BQ240" s="243"/>
      <c r="BR240" s="243"/>
      <c r="BS240" s="243"/>
    </row>
    <row r="241" spans="1:71" s="12" customFormat="1" ht="41.25" customHeight="1">
      <c r="A241" s="178" t="s">
        <v>62</v>
      </c>
      <c r="B241" s="178" t="str">
        <f ca="1">+UPPER(Tabla1321124[[#This Row],[DESCRIPCIÓN DE LA COMPRA O CONTRATACIÓN]])</f>
        <v>LLAVE AJUSTABLE DE 18"</v>
      </c>
      <c r="C241" s="39" t="s">
        <v>17</v>
      </c>
      <c r="D241" s="236">
        <f>6+8</f>
        <v>14</v>
      </c>
      <c r="E241" s="236">
        <f>5+5</f>
        <v>10</v>
      </c>
      <c r="F241" s="236">
        <f>10+8</f>
        <v>18</v>
      </c>
      <c r="G241" s="236">
        <f t="shared" si="2"/>
        <v>10</v>
      </c>
      <c r="H241" s="240">
        <f>SUM(Tabla1321124[[#This Row],[PRIMER TRIMESTRE]:[CUARTO TRIMESTRE]])</f>
        <v>52</v>
      </c>
      <c r="I241" s="17">
        <v>2700</v>
      </c>
      <c r="J241" s="17">
        <f>+Tabla1321124[[#This Row],[CANTIDAD TOTAL]]*Tabla1321124[[#This Row],[PRECIO UNITARIO ESTIMADO]]</f>
        <v>140400</v>
      </c>
      <c r="K241" s="17"/>
      <c r="L241" s="16" t="s">
        <v>27</v>
      </c>
      <c r="M241" s="16" t="s">
        <v>22</v>
      </c>
      <c r="N241" s="16" t="s">
        <v>418</v>
      </c>
      <c r="O241" s="243"/>
      <c r="P241" s="243"/>
      <c r="Q241" s="243"/>
      <c r="R241" s="243"/>
      <c r="S241" s="243"/>
      <c r="T241" s="243"/>
      <c r="U241" s="243"/>
      <c r="V241" s="243"/>
      <c r="W241" s="243"/>
      <c r="X241" s="243"/>
      <c r="Y241" s="243"/>
      <c r="Z241" s="243"/>
      <c r="AA241" s="243"/>
      <c r="AB241" s="243"/>
      <c r="AC241" s="243"/>
      <c r="AD241" s="243"/>
      <c r="AE241" s="243"/>
      <c r="AF241" s="243"/>
      <c r="AG241" s="243"/>
      <c r="AH241" s="243"/>
      <c r="AI241" s="243"/>
      <c r="AJ241" s="243"/>
      <c r="AK241" s="243"/>
      <c r="AL241" s="243"/>
      <c r="AM241" s="243"/>
      <c r="AN241" s="243"/>
      <c r="AO241" s="243"/>
      <c r="AP241" s="243"/>
      <c r="AQ241" s="243"/>
      <c r="AR241" s="243"/>
      <c r="AS241" s="243"/>
      <c r="AT241" s="243"/>
      <c r="AU241" s="243"/>
      <c r="AV241" s="243"/>
      <c r="AW241" s="243"/>
      <c r="AX241" s="243"/>
      <c r="AY241" s="243"/>
      <c r="AZ241" s="243"/>
      <c r="BA241" s="243"/>
      <c r="BB241" s="243"/>
      <c r="BC241" s="243"/>
      <c r="BD241" s="243"/>
      <c r="BE241" s="243"/>
      <c r="BF241" s="243"/>
      <c r="BG241" s="243"/>
      <c r="BH241" s="243"/>
      <c r="BI241" s="243"/>
      <c r="BJ241" s="243"/>
      <c r="BK241" s="243"/>
      <c r="BL241" s="243"/>
      <c r="BM241" s="243"/>
      <c r="BN241" s="243"/>
      <c r="BO241" s="243"/>
      <c r="BP241" s="243"/>
      <c r="BQ241" s="243"/>
      <c r="BR241" s="243"/>
      <c r="BS241" s="243"/>
    </row>
    <row r="242" spans="1:71" s="12" customFormat="1" ht="41.25" customHeight="1">
      <c r="A242" s="178" t="s">
        <v>62</v>
      </c>
      <c r="B242" s="178" t="str">
        <f ca="1">+UPPER(Tabla1321124[[#This Row],[DESCRIPCIÓN DE LA COMPRA O CONTRATACIÓN]])</f>
        <v>LLAVE AJUSTABLE DE 19"</v>
      </c>
      <c r="C242" s="39" t="s">
        <v>17</v>
      </c>
      <c r="D242" s="210">
        <f>23+10</f>
        <v>33</v>
      </c>
      <c r="E242" s="210">
        <f>5+11</f>
        <v>16</v>
      </c>
      <c r="F242" s="210">
        <f>10+10</f>
        <v>20</v>
      </c>
      <c r="G242" s="210">
        <f t="shared" si="2"/>
        <v>10</v>
      </c>
      <c r="H242" s="240">
        <f>SUM(Tabla1321124[[#This Row],[PRIMER TRIMESTRE]:[CUARTO TRIMESTRE]])</f>
        <v>79</v>
      </c>
      <c r="I242" s="17">
        <v>1908</v>
      </c>
      <c r="J242" s="17">
        <f>+Tabla1321124[[#This Row],[CANTIDAD TOTAL]]*Tabla1321124[[#This Row],[PRECIO UNITARIO ESTIMADO]]</f>
        <v>150732</v>
      </c>
      <c r="K242" s="17"/>
      <c r="L242" s="16" t="s">
        <v>27</v>
      </c>
      <c r="M242" s="16" t="s">
        <v>22</v>
      </c>
      <c r="N242" s="16" t="s">
        <v>418</v>
      </c>
      <c r="O242" s="243"/>
      <c r="P242" s="243"/>
      <c r="Q242" s="243"/>
      <c r="R242" s="243"/>
      <c r="S242" s="243"/>
      <c r="T242" s="243"/>
      <c r="U242" s="243"/>
      <c r="V242" s="243"/>
      <c r="W242" s="243"/>
      <c r="X242" s="243"/>
      <c r="Y242" s="243"/>
      <c r="Z242" s="243"/>
      <c r="AA242" s="243"/>
      <c r="AB242" s="243"/>
      <c r="AC242" s="243"/>
      <c r="AD242" s="243"/>
      <c r="AE242" s="243"/>
      <c r="AF242" s="243"/>
      <c r="AG242" s="243"/>
      <c r="AH242" s="243"/>
      <c r="AI242" s="243"/>
      <c r="AJ242" s="243"/>
      <c r="AK242" s="243"/>
      <c r="AL242" s="243"/>
      <c r="AM242" s="243"/>
      <c r="AN242" s="243"/>
      <c r="AO242" s="243"/>
      <c r="AP242" s="243"/>
      <c r="AQ242" s="243"/>
      <c r="AR242" s="243"/>
      <c r="AS242" s="243"/>
      <c r="AT242" s="243"/>
      <c r="AU242" s="243"/>
      <c r="AV242" s="243"/>
      <c r="AW242" s="243"/>
      <c r="AX242" s="243"/>
      <c r="AY242" s="243"/>
      <c r="AZ242" s="243"/>
      <c r="BA242" s="243"/>
      <c r="BB242" s="243"/>
      <c r="BC242" s="243"/>
      <c r="BD242" s="243"/>
      <c r="BE242" s="243"/>
      <c r="BF242" s="243"/>
      <c r="BG242" s="243"/>
      <c r="BH242" s="243"/>
      <c r="BI242" s="243"/>
      <c r="BJ242" s="243"/>
      <c r="BK242" s="243"/>
      <c r="BL242" s="243"/>
      <c r="BM242" s="243"/>
      <c r="BN242" s="243"/>
      <c r="BO242" s="243"/>
      <c r="BP242" s="243"/>
      <c r="BQ242" s="243"/>
      <c r="BR242" s="243"/>
      <c r="BS242" s="243"/>
    </row>
    <row r="243" spans="1:71" s="12" customFormat="1" ht="41.25" customHeight="1">
      <c r="A243" s="178" t="s">
        <v>62</v>
      </c>
      <c r="B243" s="178" t="str">
        <f ca="1">+UPPER(Tabla1321124[[#This Row],[DESCRIPCIÓN DE LA COMPRA O CONTRATACIÓN]])</f>
        <v>LLAVE DE PASO DE 1 PALANCA</v>
      </c>
      <c r="C243" s="39" t="s">
        <v>17</v>
      </c>
      <c r="D243" s="210">
        <v>9</v>
      </c>
      <c r="E243" s="210">
        <v>6</v>
      </c>
      <c r="F243" s="210">
        <v>6</v>
      </c>
      <c r="G243" s="210">
        <v>6</v>
      </c>
      <c r="H243" s="240">
        <f>SUM(Tabla1321124[[#This Row],[PRIMER TRIMESTRE]:[CUARTO TRIMESTRE]])</f>
        <v>27</v>
      </c>
      <c r="I243" s="17">
        <v>506.75</v>
      </c>
      <c r="J243" s="17">
        <f>+Tabla1321124[[#This Row],[CANTIDAD TOTAL]]*Tabla1321124[[#This Row],[PRECIO UNITARIO ESTIMADO]]</f>
        <v>13682.25</v>
      </c>
      <c r="K243" s="17"/>
      <c r="L243" s="16" t="s">
        <v>27</v>
      </c>
      <c r="M243" s="16" t="s">
        <v>22</v>
      </c>
      <c r="N243" s="16" t="s">
        <v>418</v>
      </c>
      <c r="O243" s="243"/>
      <c r="P243" s="243"/>
      <c r="Q243" s="243"/>
      <c r="R243" s="243"/>
      <c r="S243" s="243"/>
      <c r="T243" s="243"/>
      <c r="U243" s="243"/>
      <c r="V243" s="243"/>
      <c r="W243" s="243"/>
      <c r="X243" s="243"/>
      <c r="Y243" s="243"/>
      <c r="Z243" s="243"/>
      <c r="AA243" s="243"/>
      <c r="AB243" s="243"/>
      <c r="AC243" s="243"/>
      <c r="AD243" s="243"/>
      <c r="AE243" s="243"/>
      <c r="AF243" s="243"/>
      <c r="AG243" s="243"/>
      <c r="AH243" s="243"/>
      <c r="AI243" s="243"/>
      <c r="AJ243" s="243"/>
      <c r="AK243" s="243"/>
      <c r="AL243" s="243"/>
      <c r="AM243" s="243"/>
      <c r="AN243" s="243"/>
      <c r="AO243" s="243"/>
      <c r="AP243" s="243"/>
      <c r="AQ243" s="243"/>
      <c r="AR243" s="243"/>
      <c r="AS243" s="243"/>
      <c r="AT243" s="243"/>
      <c r="AU243" s="243"/>
      <c r="AV243" s="243"/>
      <c r="AW243" s="243"/>
      <c r="AX243" s="243"/>
      <c r="AY243" s="243"/>
      <c r="AZ243" s="243"/>
      <c r="BA243" s="243"/>
      <c r="BB243" s="243"/>
      <c r="BC243" s="243"/>
      <c r="BD243" s="243"/>
      <c r="BE243" s="243"/>
      <c r="BF243" s="243"/>
      <c r="BG243" s="243"/>
      <c r="BH243" s="243"/>
      <c r="BI243" s="243"/>
      <c r="BJ243" s="243"/>
      <c r="BK243" s="243"/>
      <c r="BL243" s="243"/>
      <c r="BM243" s="243"/>
      <c r="BN243" s="243"/>
      <c r="BO243" s="243"/>
      <c r="BP243" s="243"/>
      <c r="BQ243" s="243"/>
      <c r="BR243" s="243"/>
      <c r="BS243" s="243"/>
    </row>
    <row r="244" spans="1:71" s="12" customFormat="1" ht="41.25" customHeight="1">
      <c r="A244" s="178" t="s">
        <v>62</v>
      </c>
      <c r="B244" s="178" t="str">
        <f ca="1">+UPPER(Tabla1321124[[#This Row],[DESCRIPCIÓN DE LA COMPRA O CONTRATACIÓN]])</f>
        <v>LLAVE  DE 3/4"</v>
      </c>
      <c r="C244" s="39" t="s">
        <v>17</v>
      </c>
      <c r="D244" s="210">
        <v>31</v>
      </c>
      <c r="E244" s="210">
        <v>86</v>
      </c>
      <c r="F244" s="210">
        <v>26</v>
      </c>
      <c r="G244" s="210">
        <v>86</v>
      </c>
      <c r="H244" s="240">
        <f>SUM(Tabla1321124[[#This Row],[PRIMER TRIMESTRE]:[CUARTO TRIMESTRE]])</f>
        <v>229</v>
      </c>
      <c r="I244" s="17">
        <v>29</v>
      </c>
      <c r="J244" s="17">
        <f>+Tabla1321124[[#This Row],[CANTIDAD TOTAL]]*Tabla1321124[[#This Row],[PRECIO UNITARIO ESTIMADO]]</f>
        <v>6641</v>
      </c>
      <c r="K244" s="17"/>
      <c r="L244" s="16" t="s">
        <v>27</v>
      </c>
      <c r="M244" s="16" t="s">
        <v>22</v>
      </c>
      <c r="N244" s="16" t="s">
        <v>418</v>
      </c>
      <c r="O244" s="243"/>
      <c r="P244" s="243"/>
      <c r="Q244" s="243"/>
      <c r="R244" s="243"/>
      <c r="S244" s="243"/>
      <c r="T244" s="243"/>
      <c r="U244" s="243"/>
      <c r="V244" s="243"/>
      <c r="W244" s="243"/>
      <c r="X244" s="243"/>
      <c r="Y244" s="243"/>
      <c r="Z244" s="243"/>
      <c r="AA244" s="243"/>
      <c r="AB244" s="243"/>
      <c r="AC244" s="243"/>
      <c r="AD244" s="243"/>
      <c r="AE244" s="243"/>
      <c r="AF244" s="243"/>
      <c r="AG244" s="243"/>
      <c r="AH244" s="243"/>
      <c r="AI244" s="243"/>
      <c r="AJ244" s="243"/>
      <c r="AK244" s="243"/>
      <c r="AL244" s="243"/>
      <c r="AM244" s="243"/>
      <c r="AN244" s="243"/>
      <c r="AO244" s="243"/>
      <c r="AP244" s="243"/>
      <c r="AQ244" s="243"/>
      <c r="AR244" s="243"/>
      <c r="AS244" s="243"/>
      <c r="AT244" s="243"/>
      <c r="AU244" s="243"/>
      <c r="AV244" s="243"/>
      <c r="AW244" s="243"/>
      <c r="AX244" s="243"/>
      <c r="AY244" s="243"/>
      <c r="AZ244" s="243"/>
      <c r="BA244" s="243"/>
      <c r="BB244" s="243"/>
      <c r="BC244" s="243"/>
      <c r="BD244" s="243"/>
      <c r="BE244" s="243"/>
      <c r="BF244" s="243"/>
      <c r="BG244" s="243"/>
      <c r="BH244" s="243"/>
      <c r="BI244" s="243"/>
      <c r="BJ244" s="243"/>
      <c r="BK244" s="243"/>
      <c r="BL244" s="243"/>
      <c r="BM244" s="243"/>
      <c r="BN244" s="243"/>
      <c r="BO244" s="243"/>
      <c r="BP244" s="243"/>
      <c r="BQ244" s="243"/>
      <c r="BR244" s="243"/>
      <c r="BS244" s="243"/>
    </row>
    <row r="245" spans="1:71" s="12" customFormat="1" ht="41.25" customHeight="1">
      <c r="A245" s="178" t="s">
        <v>62</v>
      </c>
      <c r="B245" s="178" t="str">
        <f ca="1">+UPPER(Tabla1321124[[#This Row],[DESCRIPCIÓN DE LA COMPRA O CONTRATACIÓN]])</f>
        <v>LLAVE DE PASO BOLA DE BRONCE Ø1/2"</v>
      </c>
      <c r="C245" s="39" t="s">
        <v>17</v>
      </c>
      <c r="D245" s="210">
        <v>12</v>
      </c>
      <c r="E245" s="210">
        <v>209</v>
      </c>
      <c r="F245" s="210">
        <v>9</v>
      </c>
      <c r="G245" s="210">
        <v>209</v>
      </c>
      <c r="H245" s="240">
        <f>SUM(Tabla1321124[[#This Row],[PRIMER TRIMESTRE]:[CUARTO TRIMESTRE]])</f>
        <v>439</v>
      </c>
      <c r="I245" s="17">
        <v>75.400000000000006</v>
      </c>
      <c r="J245" s="17">
        <f>+Tabla1321124[[#This Row],[CANTIDAD TOTAL]]*Tabla1321124[[#This Row],[PRECIO UNITARIO ESTIMADO]]</f>
        <v>33100.600000000006</v>
      </c>
      <c r="K245" s="17"/>
      <c r="L245" s="16" t="s">
        <v>27</v>
      </c>
      <c r="M245" s="16" t="s">
        <v>22</v>
      </c>
      <c r="N245" s="16" t="s">
        <v>418</v>
      </c>
      <c r="O245" s="243"/>
      <c r="P245" s="243"/>
      <c r="Q245" s="243"/>
      <c r="R245" s="243"/>
      <c r="S245" s="243"/>
      <c r="T245" s="243"/>
      <c r="U245" s="243"/>
      <c r="V245" s="243"/>
      <c r="W245" s="243"/>
      <c r="X245" s="243"/>
      <c r="Y245" s="243"/>
      <c r="Z245" s="243"/>
      <c r="AA245" s="243"/>
      <c r="AB245" s="243"/>
      <c r="AC245" s="243"/>
      <c r="AD245" s="243"/>
      <c r="AE245" s="243"/>
      <c r="AF245" s="243"/>
      <c r="AG245" s="243"/>
      <c r="AH245" s="243"/>
      <c r="AI245" s="243"/>
      <c r="AJ245" s="243"/>
      <c r="AK245" s="243"/>
      <c r="AL245" s="243"/>
      <c r="AM245" s="243"/>
      <c r="AN245" s="243"/>
      <c r="AO245" s="243"/>
      <c r="AP245" s="243"/>
      <c r="AQ245" s="243"/>
      <c r="AR245" s="243"/>
      <c r="AS245" s="243"/>
      <c r="AT245" s="243"/>
      <c r="AU245" s="243"/>
      <c r="AV245" s="243"/>
      <c r="AW245" s="243"/>
      <c r="AX245" s="243"/>
      <c r="AY245" s="243"/>
      <c r="AZ245" s="243"/>
      <c r="BA245" s="243"/>
      <c r="BB245" s="243"/>
      <c r="BC245" s="243"/>
      <c r="BD245" s="243"/>
      <c r="BE245" s="243"/>
      <c r="BF245" s="243"/>
      <c r="BG245" s="243"/>
      <c r="BH245" s="243"/>
      <c r="BI245" s="243"/>
      <c r="BJ245" s="243"/>
      <c r="BK245" s="243"/>
      <c r="BL245" s="243"/>
      <c r="BM245" s="243"/>
      <c r="BN245" s="243"/>
      <c r="BO245" s="243"/>
      <c r="BP245" s="243"/>
      <c r="BQ245" s="243"/>
      <c r="BR245" s="243"/>
      <c r="BS245" s="243"/>
    </row>
    <row r="246" spans="1:71" s="12" customFormat="1" ht="41.25" customHeight="1">
      <c r="A246" s="178" t="s">
        <v>62</v>
      </c>
      <c r="B246" s="178" t="str">
        <f ca="1">+UPPER(Tabla1321124[[#This Row],[DESCRIPCIÓN DE LA COMPRA O CONTRATACIÓN]])</f>
        <v>LLAVE DE PASO DE BOLA DE BRONCE Ø3/4"</v>
      </c>
      <c r="C246" s="39" t="s">
        <v>17</v>
      </c>
      <c r="D246" s="210">
        <v>9</v>
      </c>
      <c r="E246" s="210">
        <v>206</v>
      </c>
      <c r="F246" s="210">
        <v>6</v>
      </c>
      <c r="G246" s="210">
        <v>206</v>
      </c>
      <c r="H246" s="240">
        <f>SUM(Tabla1321124[[#This Row],[PRIMER TRIMESTRE]:[CUARTO TRIMESTRE]])</f>
        <v>427</v>
      </c>
      <c r="I246" s="17">
        <v>90</v>
      </c>
      <c r="J246" s="17">
        <f>+Tabla1321124[[#This Row],[CANTIDAD TOTAL]]*Tabla1321124[[#This Row],[PRECIO UNITARIO ESTIMADO]]</f>
        <v>38430</v>
      </c>
      <c r="K246" s="17"/>
      <c r="L246" s="16" t="s">
        <v>27</v>
      </c>
      <c r="M246" s="16" t="s">
        <v>22</v>
      </c>
      <c r="N246" s="16" t="s">
        <v>418</v>
      </c>
      <c r="O246" s="243"/>
      <c r="P246" s="243"/>
      <c r="Q246" s="243"/>
      <c r="R246" s="243"/>
      <c r="S246" s="243"/>
      <c r="T246" s="243"/>
      <c r="U246" s="243"/>
      <c r="V246" s="243"/>
      <c r="W246" s="243"/>
      <c r="X246" s="243"/>
      <c r="Y246" s="243"/>
      <c r="Z246" s="243"/>
      <c r="AA246" s="243"/>
      <c r="AB246" s="243"/>
      <c r="AC246" s="243"/>
      <c r="AD246" s="243"/>
      <c r="AE246" s="243"/>
      <c r="AF246" s="243"/>
      <c r="AG246" s="243"/>
      <c r="AH246" s="243"/>
      <c r="AI246" s="243"/>
      <c r="AJ246" s="243"/>
      <c r="AK246" s="243"/>
      <c r="AL246" s="243"/>
      <c r="AM246" s="243"/>
      <c r="AN246" s="243"/>
      <c r="AO246" s="243"/>
      <c r="AP246" s="243"/>
      <c r="AQ246" s="243"/>
      <c r="AR246" s="243"/>
      <c r="AS246" s="243"/>
      <c r="AT246" s="243"/>
      <c r="AU246" s="243"/>
      <c r="AV246" s="243"/>
      <c r="AW246" s="243"/>
      <c r="AX246" s="243"/>
      <c r="AY246" s="243"/>
      <c r="AZ246" s="243"/>
      <c r="BA246" s="243"/>
      <c r="BB246" s="243"/>
      <c r="BC246" s="243"/>
      <c r="BD246" s="243"/>
      <c r="BE246" s="243"/>
      <c r="BF246" s="243"/>
      <c r="BG246" s="243"/>
      <c r="BH246" s="243"/>
      <c r="BI246" s="243"/>
      <c r="BJ246" s="243"/>
      <c r="BK246" s="243"/>
      <c r="BL246" s="243"/>
      <c r="BM246" s="243"/>
      <c r="BN246" s="243"/>
      <c r="BO246" s="243"/>
      <c r="BP246" s="243"/>
      <c r="BQ246" s="243"/>
      <c r="BR246" s="243"/>
      <c r="BS246" s="243"/>
    </row>
    <row r="247" spans="1:71" s="12" customFormat="1" ht="41.25" customHeight="1">
      <c r="A247" s="178" t="s">
        <v>62</v>
      </c>
      <c r="B247" s="178" t="str">
        <f ca="1">+UPPER(Tabla1321124[[#This Row],[DESCRIPCIÓN DE LA COMPRA O CONTRATACIÓN]])</f>
        <v>LLAVE MECANICA DE ESTRIA HASTA 1"</v>
      </c>
      <c r="C247" s="39" t="s">
        <v>17</v>
      </c>
      <c r="D247" s="210">
        <f>11+7</f>
        <v>18</v>
      </c>
      <c r="E247" s="210">
        <f>5+6</f>
        <v>11</v>
      </c>
      <c r="F247" s="210">
        <f>10+4</f>
        <v>14</v>
      </c>
      <c r="G247" s="210">
        <v>5</v>
      </c>
      <c r="H247" s="240">
        <f>SUM(Tabla1321124[[#This Row],[PRIMER TRIMESTRE]:[CUARTO TRIMESTRE]])</f>
        <v>48</v>
      </c>
      <c r="I247" s="17">
        <v>3419.05</v>
      </c>
      <c r="J247" s="17">
        <f>+Tabla1321124[[#This Row],[CANTIDAD TOTAL]]*Tabla1321124[[#This Row],[PRECIO UNITARIO ESTIMADO]]</f>
        <v>164114.40000000002</v>
      </c>
      <c r="K247" s="17"/>
      <c r="L247" s="16" t="s">
        <v>27</v>
      </c>
      <c r="M247" s="16" t="s">
        <v>22</v>
      </c>
      <c r="N247" s="16" t="s">
        <v>418</v>
      </c>
      <c r="O247" s="243"/>
      <c r="P247" s="243"/>
      <c r="Q247" s="243"/>
      <c r="R247" s="243"/>
      <c r="S247" s="243"/>
      <c r="T247" s="243"/>
      <c r="U247" s="243"/>
      <c r="V247" s="243"/>
      <c r="W247" s="243"/>
      <c r="X247" s="243"/>
      <c r="Y247" s="243"/>
      <c r="Z247" s="243"/>
      <c r="AA247" s="243"/>
      <c r="AB247" s="243"/>
      <c r="AC247" s="243"/>
      <c r="AD247" s="243"/>
      <c r="AE247" s="243"/>
      <c r="AF247" s="243"/>
      <c r="AG247" s="243"/>
      <c r="AH247" s="243"/>
      <c r="AI247" s="243"/>
      <c r="AJ247" s="243"/>
      <c r="AK247" s="243"/>
      <c r="AL247" s="243"/>
      <c r="AM247" s="243"/>
      <c r="AN247" s="243"/>
      <c r="AO247" s="243"/>
      <c r="AP247" s="243"/>
      <c r="AQ247" s="243"/>
      <c r="AR247" s="243"/>
      <c r="AS247" s="243"/>
      <c r="AT247" s="243"/>
      <c r="AU247" s="243"/>
      <c r="AV247" s="243"/>
      <c r="AW247" s="243"/>
      <c r="AX247" s="243"/>
      <c r="AY247" s="243"/>
      <c r="AZ247" s="243"/>
      <c r="BA247" s="243"/>
      <c r="BB247" s="243"/>
      <c r="BC247" s="243"/>
      <c r="BD247" s="243"/>
      <c r="BE247" s="243"/>
      <c r="BF247" s="243"/>
      <c r="BG247" s="243"/>
      <c r="BH247" s="243"/>
      <c r="BI247" s="243"/>
      <c r="BJ247" s="243"/>
      <c r="BK247" s="243"/>
      <c r="BL247" s="243"/>
      <c r="BM247" s="243"/>
      <c r="BN247" s="243"/>
      <c r="BO247" s="243"/>
      <c r="BP247" s="243"/>
      <c r="BQ247" s="243"/>
      <c r="BR247" s="243"/>
      <c r="BS247" s="243"/>
    </row>
    <row r="248" spans="1:71" s="12" customFormat="1" ht="41.25" customHeight="1">
      <c r="A248" s="178" t="s">
        <v>62</v>
      </c>
      <c r="B248" s="178" t="str">
        <f ca="1">+UPPER(Tabla1321124[[#This Row],[DESCRIPCIÓN DE LA COMPRA O CONTRATACIÓN]])</f>
        <v>LLAVE STILSON DE 8</v>
      </c>
      <c r="C248" s="39" t="s">
        <v>17</v>
      </c>
      <c r="D248" s="236">
        <f>6+13</f>
        <v>19</v>
      </c>
      <c r="E248" s="236">
        <f>5+8</f>
        <v>13</v>
      </c>
      <c r="F248" s="236">
        <f>10+8</f>
        <v>18</v>
      </c>
      <c r="G248" s="236">
        <f>5+8</f>
        <v>13</v>
      </c>
      <c r="H248" s="240">
        <f>SUM(Tabla1321124[[#This Row],[PRIMER TRIMESTRE]:[CUARTO TRIMESTRE]])</f>
        <v>63</v>
      </c>
      <c r="I248" s="17">
        <v>400</v>
      </c>
      <c r="J248" s="17">
        <f>+Tabla1321124[[#This Row],[CANTIDAD TOTAL]]*Tabla1321124[[#This Row],[PRECIO UNITARIO ESTIMADO]]</f>
        <v>25200</v>
      </c>
      <c r="K248" s="17"/>
      <c r="L248" s="16" t="s">
        <v>27</v>
      </c>
      <c r="M248" s="16" t="s">
        <v>22</v>
      </c>
      <c r="N248" s="16" t="s">
        <v>418</v>
      </c>
      <c r="O248" s="243"/>
      <c r="P248" s="243"/>
      <c r="Q248" s="243"/>
      <c r="R248" s="243"/>
      <c r="S248" s="243"/>
      <c r="T248" s="243"/>
      <c r="U248" s="243"/>
      <c r="V248" s="243"/>
      <c r="W248" s="243"/>
      <c r="X248" s="243"/>
      <c r="Y248" s="243"/>
      <c r="Z248" s="243"/>
      <c r="AA248" s="243"/>
      <c r="AB248" s="243"/>
      <c r="AC248" s="243"/>
      <c r="AD248" s="243"/>
      <c r="AE248" s="243"/>
      <c r="AF248" s="243"/>
      <c r="AG248" s="243"/>
      <c r="AH248" s="243"/>
      <c r="AI248" s="243"/>
      <c r="AJ248" s="243"/>
      <c r="AK248" s="243"/>
      <c r="AL248" s="243"/>
      <c r="AM248" s="243"/>
      <c r="AN248" s="243"/>
      <c r="AO248" s="243"/>
      <c r="AP248" s="243"/>
      <c r="AQ248" s="243"/>
      <c r="AR248" s="243"/>
      <c r="AS248" s="243"/>
      <c r="AT248" s="243"/>
      <c r="AU248" s="243"/>
      <c r="AV248" s="243"/>
      <c r="AW248" s="243"/>
      <c r="AX248" s="243"/>
      <c r="AY248" s="243"/>
      <c r="AZ248" s="243"/>
      <c r="BA248" s="243"/>
      <c r="BB248" s="243"/>
      <c r="BC248" s="243"/>
      <c r="BD248" s="243"/>
      <c r="BE248" s="243"/>
      <c r="BF248" s="243"/>
      <c r="BG248" s="243"/>
      <c r="BH248" s="243"/>
      <c r="BI248" s="243"/>
      <c r="BJ248" s="243"/>
      <c r="BK248" s="243"/>
      <c r="BL248" s="243"/>
      <c r="BM248" s="243"/>
      <c r="BN248" s="243"/>
      <c r="BO248" s="243"/>
      <c r="BP248" s="243"/>
      <c r="BQ248" s="243"/>
      <c r="BR248" s="243"/>
      <c r="BS248" s="243"/>
    </row>
    <row r="249" spans="1:71" s="12" customFormat="1" ht="41.25" customHeight="1">
      <c r="A249" s="178" t="s">
        <v>62</v>
      </c>
      <c r="B249" s="178" t="str">
        <f ca="1">+UPPER(Tabla1321124[[#This Row],[DESCRIPCIÓN DE LA COMPRA O CONTRATACIÓN]])</f>
        <v>LLAVE STILSON DE 12</v>
      </c>
      <c r="C249" s="39" t="s">
        <v>17</v>
      </c>
      <c r="D249" s="236">
        <f>6+10</f>
        <v>16</v>
      </c>
      <c r="E249" s="236">
        <f>5+5</f>
        <v>10</v>
      </c>
      <c r="F249" s="236">
        <f>10+5</f>
        <v>15</v>
      </c>
      <c r="G249" s="236">
        <f>5+5</f>
        <v>10</v>
      </c>
      <c r="H249" s="240">
        <f>SUM(Tabla1321124[[#This Row],[PRIMER TRIMESTRE]:[CUARTO TRIMESTRE]])</f>
        <v>51</v>
      </c>
      <c r="I249" s="17">
        <v>1300</v>
      </c>
      <c r="J249" s="17">
        <f>+Tabla1321124[[#This Row],[CANTIDAD TOTAL]]*Tabla1321124[[#This Row],[PRECIO UNITARIO ESTIMADO]]</f>
        <v>66300</v>
      </c>
      <c r="K249" s="17"/>
      <c r="L249" s="16" t="s">
        <v>27</v>
      </c>
      <c r="M249" s="16" t="s">
        <v>22</v>
      </c>
      <c r="N249" s="16" t="s">
        <v>418</v>
      </c>
      <c r="O249" s="243"/>
      <c r="P249" s="243"/>
      <c r="Q249" s="243"/>
      <c r="R249" s="243"/>
      <c r="S249" s="243"/>
      <c r="T249" s="243"/>
      <c r="U249" s="243"/>
      <c r="V249" s="243"/>
      <c r="W249" s="243"/>
      <c r="X249" s="243"/>
      <c r="Y249" s="243"/>
      <c r="Z249" s="243"/>
      <c r="AA249" s="243"/>
      <c r="AB249" s="243"/>
      <c r="AC249" s="243"/>
      <c r="AD249" s="243"/>
      <c r="AE249" s="243"/>
      <c r="AF249" s="243"/>
      <c r="AG249" s="243"/>
      <c r="AH249" s="243"/>
      <c r="AI249" s="243"/>
      <c r="AJ249" s="243"/>
      <c r="AK249" s="243"/>
      <c r="AL249" s="243"/>
      <c r="AM249" s="243"/>
      <c r="AN249" s="243"/>
      <c r="AO249" s="243"/>
      <c r="AP249" s="243"/>
      <c r="AQ249" s="243"/>
      <c r="AR249" s="243"/>
      <c r="AS249" s="243"/>
      <c r="AT249" s="243"/>
      <c r="AU249" s="243"/>
      <c r="AV249" s="243"/>
      <c r="AW249" s="243"/>
      <c r="AX249" s="243"/>
      <c r="AY249" s="243"/>
      <c r="AZ249" s="243"/>
      <c r="BA249" s="243"/>
      <c r="BB249" s="243"/>
      <c r="BC249" s="243"/>
      <c r="BD249" s="243"/>
      <c r="BE249" s="243"/>
      <c r="BF249" s="243"/>
      <c r="BG249" s="243"/>
      <c r="BH249" s="243"/>
      <c r="BI249" s="243"/>
      <c r="BJ249" s="243"/>
      <c r="BK249" s="243"/>
      <c r="BL249" s="243"/>
      <c r="BM249" s="243"/>
      <c r="BN249" s="243"/>
      <c r="BO249" s="243"/>
      <c r="BP249" s="243"/>
      <c r="BQ249" s="243"/>
      <c r="BR249" s="243"/>
      <c r="BS249" s="243"/>
    </row>
    <row r="250" spans="1:71" s="12" customFormat="1" ht="41.25" customHeight="1">
      <c r="A250" s="178" t="s">
        <v>62</v>
      </c>
      <c r="B250" s="178" t="str">
        <f ca="1">+UPPER(Tabla1321124[[#This Row],[DESCRIPCIÓN DE LA COMPRA O CONTRATACIÓN]])</f>
        <v>LLAVE STILSON DE 14</v>
      </c>
      <c r="C250" s="39" t="s">
        <v>17</v>
      </c>
      <c r="D250" s="210">
        <f>88+10</f>
        <v>98</v>
      </c>
      <c r="E250" s="210">
        <f>85+9</f>
        <v>94</v>
      </c>
      <c r="F250" s="210">
        <f>90+5</f>
        <v>95</v>
      </c>
      <c r="G250" s="210">
        <f>85+5</f>
        <v>90</v>
      </c>
      <c r="H250" s="240">
        <f>SUM(Tabla1321124[[#This Row],[PRIMER TRIMESTRE]:[CUARTO TRIMESTRE]])</f>
        <v>377</v>
      </c>
      <c r="I250" s="17">
        <v>1896.06</v>
      </c>
      <c r="J250" s="17">
        <f>+Tabla1321124[[#This Row],[CANTIDAD TOTAL]]*Tabla1321124[[#This Row],[PRECIO UNITARIO ESTIMADO]]</f>
        <v>714814.62</v>
      </c>
      <c r="K250" s="17"/>
      <c r="L250" s="16" t="s">
        <v>27</v>
      </c>
      <c r="M250" s="16" t="s">
        <v>22</v>
      </c>
      <c r="N250" s="16" t="s">
        <v>418</v>
      </c>
      <c r="O250" s="243"/>
      <c r="P250" s="243"/>
      <c r="Q250" s="243"/>
      <c r="R250" s="243"/>
      <c r="S250" s="243"/>
      <c r="T250" s="243"/>
      <c r="U250" s="243"/>
      <c r="V250" s="243"/>
      <c r="W250" s="243"/>
      <c r="X250" s="243"/>
      <c r="Y250" s="243"/>
      <c r="Z250" s="243"/>
      <c r="AA250" s="243"/>
      <c r="AB250" s="243"/>
      <c r="AC250" s="243"/>
      <c r="AD250" s="243"/>
      <c r="AE250" s="243"/>
      <c r="AF250" s="243"/>
      <c r="AG250" s="243"/>
      <c r="AH250" s="243"/>
      <c r="AI250" s="243"/>
      <c r="AJ250" s="243"/>
      <c r="AK250" s="243"/>
      <c r="AL250" s="243"/>
      <c r="AM250" s="243"/>
      <c r="AN250" s="243"/>
      <c r="AO250" s="243"/>
      <c r="AP250" s="243"/>
      <c r="AQ250" s="243"/>
      <c r="AR250" s="243"/>
      <c r="AS250" s="243"/>
      <c r="AT250" s="243"/>
      <c r="AU250" s="243"/>
      <c r="AV250" s="243"/>
      <c r="AW250" s="243"/>
      <c r="AX250" s="243"/>
      <c r="AY250" s="243"/>
      <c r="AZ250" s="243"/>
      <c r="BA250" s="243"/>
      <c r="BB250" s="243"/>
      <c r="BC250" s="243"/>
      <c r="BD250" s="243"/>
      <c r="BE250" s="243"/>
      <c r="BF250" s="243"/>
      <c r="BG250" s="243"/>
      <c r="BH250" s="243"/>
      <c r="BI250" s="243"/>
      <c r="BJ250" s="243"/>
      <c r="BK250" s="243"/>
      <c r="BL250" s="243"/>
      <c r="BM250" s="243"/>
      <c r="BN250" s="243"/>
      <c r="BO250" s="243"/>
      <c r="BP250" s="243"/>
      <c r="BQ250" s="243"/>
      <c r="BR250" s="243"/>
      <c r="BS250" s="243"/>
    </row>
    <row r="251" spans="1:71" s="12" customFormat="1" ht="41.25" customHeight="1">
      <c r="A251" s="178" t="s">
        <v>62</v>
      </c>
      <c r="B251" s="178" t="str">
        <f ca="1">+UPPER(Tabla1321124[[#This Row],[DESCRIPCIÓN DE LA COMPRA O CONTRATACIÓN]])</f>
        <v>LLAVE STILSON DE 16</v>
      </c>
      <c r="C251" s="39" t="s">
        <v>17</v>
      </c>
      <c r="D251" s="365">
        <v>3</v>
      </c>
      <c r="E251" s="365"/>
      <c r="F251" s="365"/>
      <c r="G251" s="365"/>
      <c r="H251" s="240">
        <f>SUM(Tabla1321124[[#This Row],[PRIMER TRIMESTRE]:[CUARTO TRIMESTRE]])</f>
        <v>3</v>
      </c>
      <c r="I251" s="17">
        <v>2130</v>
      </c>
      <c r="J251" s="17">
        <f>+Tabla1321124[[#This Row],[CANTIDAD TOTAL]]*Tabla1321124[[#This Row],[PRECIO UNITARIO ESTIMADO]]</f>
        <v>6390</v>
      </c>
      <c r="K251" s="175"/>
      <c r="L251" s="16" t="s">
        <v>27</v>
      </c>
      <c r="M251" s="16" t="s">
        <v>22</v>
      </c>
      <c r="N251" s="16" t="s">
        <v>418</v>
      </c>
      <c r="O251" s="243"/>
      <c r="P251" s="243"/>
      <c r="Q251" s="243"/>
      <c r="R251" s="243"/>
      <c r="S251" s="243"/>
      <c r="T251" s="243"/>
      <c r="U251" s="243"/>
      <c r="V251" s="243"/>
      <c r="W251" s="243"/>
      <c r="X251" s="243"/>
      <c r="Y251" s="243"/>
      <c r="Z251" s="243"/>
      <c r="AA251" s="243"/>
      <c r="AB251" s="243"/>
      <c r="AC251" s="243"/>
      <c r="AD251" s="243"/>
      <c r="AE251" s="243"/>
      <c r="AF251" s="243"/>
      <c r="AG251" s="243"/>
      <c r="AH251" s="243"/>
      <c r="AI251" s="243"/>
      <c r="AJ251" s="243"/>
      <c r="AK251" s="243"/>
      <c r="AL251" s="243"/>
      <c r="AM251" s="243"/>
      <c r="AN251" s="243"/>
      <c r="AO251" s="243"/>
      <c r="AP251" s="243"/>
      <c r="AQ251" s="243"/>
      <c r="AR251" s="243"/>
      <c r="AS251" s="243"/>
      <c r="AT251" s="243"/>
      <c r="AU251" s="243"/>
      <c r="AV251" s="243"/>
      <c r="AW251" s="243"/>
      <c r="AX251" s="243"/>
      <c r="AY251" s="243"/>
      <c r="AZ251" s="243"/>
      <c r="BA251" s="243"/>
      <c r="BB251" s="243"/>
      <c r="BC251" s="243"/>
      <c r="BD251" s="243"/>
      <c r="BE251" s="243"/>
      <c r="BF251" s="243"/>
      <c r="BG251" s="243"/>
      <c r="BH251" s="243"/>
      <c r="BI251" s="243"/>
      <c r="BJ251" s="243"/>
      <c r="BK251" s="243"/>
      <c r="BL251" s="243"/>
      <c r="BM251" s="243"/>
      <c r="BN251" s="243"/>
      <c r="BO251" s="243"/>
      <c r="BP251" s="243"/>
      <c r="BQ251" s="243"/>
      <c r="BR251" s="243"/>
      <c r="BS251" s="243"/>
    </row>
    <row r="252" spans="1:71" s="12" customFormat="1" ht="41.25" customHeight="1">
      <c r="A252" s="178" t="s">
        <v>62</v>
      </c>
      <c r="B252" s="178" t="str">
        <f ca="1">+UPPER(Tabla1321124[[#This Row],[DESCRIPCIÓN DE LA COMPRA O CONTRATACIÓN]])</f>
        <v>LLAVE STILSON DE 17</v>
      </c>
      <c r="C252" s="39" t="s">
        <v>17</v>
      </c>
      <c r="D252" s="210">
        <f>92+14</f>
        <v>106</v>
      </c>
      <c r="E252" s="210">
        <f>85+20</f>
        <v>105</v>
      </c>
      <c r="F252" s="210">
        <f>90+5</f>
        <v>95</v>
      </c>
      <c r="G252" s="210">
        <f>85+15</f>
        <v>100</v>
      </c>
      <c r="H252" s="240">
        <f>SUM(Tabla1321124[[#This Row],[PRIMER TRIMESTRE]:[CUARTO TRIMESTRE]])</f>
        <v>406</v>
      </c>
      <c r="I252" s="17">
        <v>2320</v>
      </c>
      <c r="J252" s="17">
        <f>+Tabla1321124[[#This Row],[CANTIDAD TOTAL]]*Tabla1321124[[#This Row],[PRECIO UNITARIO ESTIMADO]]</f>
        <v>941920</v>
      </c>
      <c r="K252" s="17"/>
      <c r="L252" s="16" t="s">
        <v>27</v>
      </c>
      <c r="M252" s="16" t="s">
        <v>22</v>
      </c>
      <c r="N252" s="16" t="s">
        <v>418</v>
      </c>
      <c r="O252" s="243"/>
      <c r="P252" s="243"/>
      <c r="Q252" s="243"/>
      <c r="R252" s="243"/>
      <c r="S252" s="243"/>
      <c r="T252" s="243"/>
      <c r="U252" s="243"/>
      <c r="V252" s="243"/>
      <c r="W252" s="243"/>
      <c r="X252" s="243"/>
      <c r="Y252" s="243"/>
      <c r="Z252" s="243"/>
      <c r="AA252" s="243"/>
      <c r="AB252" s="243"/>
      <c r="AC252" s="243"/>
      <c r="AD252" s="243"/>
      <c r="AE252" s="243"/>
      <c r="AF252" s="243"/>
      <c r="AG252" s="243"/>
      <c r="AH252" s="243"/>
      <c r="AI252" s="243"/>
      <c r="AJ252" s="243"/>
      <c r="AK252" s="243"/>
      <c r="AL252" s="243"/>
      <c r="AM252" s="243"/>
      <c r="AN252" s="243"/>
      <c r="AO252" s="243"/>
      <c r="AP252" s="243"/>
      <c r="AQ252" s="243"/>
      <c r="AR252" s="243"/>
      <c r="AS252" s="243"/>
      <c r="AT252" s="243"/>
      <c r="AU252" s="243"/>
      <c r="AV252" s="243"/>
      <c r="AW252" s="243"/>
      <c r="AX252" s="243"/>
      <c r="AY252" s="243"/>
      <c r="AZ252" s="243"/>
      <c r="BA252" s="243"/>
      <c r="BB252" s="243"/>
      <c r="BC252" s="243"/>
      <c r="BD252" s="243"/>
      <c r="BE252" s="243"/>
      <c r="BF252" s="243"/>
      <c r="BG252" s="243"/>
      <c r="BH252" s="243"/>
      <c r="BI252" s="243"/>
      <c r="BJ252" s="243"/>
      <c r="BK252" s="243"/>
      <c r="BL252" s="243"/>
      <c r="BM252" s="243"/>
      <c r="BN252" s="243"/>
      <c r="BO252" s="243"/>
      <c r="BP252" s="243"/>
      <c r="BQ252" s="243"/>
      <c r="BR252" s="243"/>
      <c r="BS252" s="243"/>
    </row>
    <row r="253" spans="1:71" s="12" customFormat="1" ht="41.25" customHeight="1">
      <c r="A253" s="178" t="s">
        <v>62</v>
      </c>
      <c r="B253" s="178" t="str">
        <f ca="1">+UPPER(Tabla1321124[[#This Row],[DESCRIPCIÓN DE LA COMPRA O CONTRATACIÓN]])</f>
        <v>LLAVE STILSON DE 18</v>
      </c>
      <c r="C253" s="39" t="s">
        <v>17</v>
      </c>
      <c r="D253" s="210">
        <f>12+14</f>
        <v>26</v>
      </c>
      <c r="E253" s="210">
        <f>5+20</f>
        <v>25</v>
      </c>
      <c r="F253" s="210">
        <f>10+5</f>
        <v>15</v>
      </c>
      <c r="G253" s="210">
        <f>5+20</f>
        <v>25</v>
      </c>
      <c r="H253" s="240">
        <f>SUM(Tabla1321124[[#This Row],[PRIMER TRIMESTRE]:[CUARTO TRIMESTRE]])</f>
        <v>91</v>
      </c>
      <c r="I253" s="17">
        <v>2682</v>
      </c>
      <c r="J253" s="17">
        <f>+Tabla1321124[[#This Row],[CANTIDAD TOTAL]]*Tabla1321124[[#This Row],[PRECIO UNITARIO ESTIMADO]]</f>
        <v>244062</v>
      </c>
      <c r="K253" s="17"/>
      <c r="L253" s="16" t="s">
        <v>27</v>
      </c>
      <c r="M253" s="16" t="s">
        <v>22</v>
      </c>
      <c r="N253" s="16" t="s">
        <v>418</v>
      </c>
      <c r="O253" s="243"/>
      <c r="P253" s="243"/>
      <c r="Q253" s="243"/>
      <c r="R253" s="243"/>
      <c r="S253" s="243"/>
      <c r="T253" s="243"/>
      <c r="U253" s="243"/>
      <c r="V253" s="243"/>
      <c r="W253" s="243"/>
      <c r="X253" s="243"/>
      <c r="Y253" s="243"/>
      <c r="Z253" s="243"/>
      <c r="AA253" s="243"/>
      <c r="AB253" s="243"/>
      <c r="AC253" s="243"/>
      <c r="AD253" s="243"/>
      <c r="AE253" s="243"/>
      <c r="AF253" s="243"/>
      <c r="AG253" s="243"/>
      <c r="AH253" s="243"/>
      <c r="AI253" s="243"/>
      <c r="AJ253" s="243"/>
      <c r="AK253" s="243"/>
      <c r="AL253" s="243"/>
      <c r="AM253" s="243"/>
      <c r="AN253" s="243"/>
      <c r="AO253" s="243"/>
      <c r="AP253" s="243"/>
      <c r="AQ253" s="243"/>
      <c r="AR253" s="243"/>
      <c r="AS253" s="243"/>
      <c r="AT253" s="243"/>
      <c r="AU253" s="243"/>
      <c r="AV253" s="243"/>
      <c r="AW253" s="243"/>
      <c r="AX253" s="243"/>
      <c r="AY253" s="243"/>
      <c r="AZ253" s="243"/>
      <c r="BA253" s="243"/>
      <c r="BB253" s="243"/>
      <c r="BC253" s="243"/>
      <c r="BD253" s="243"/>
      <c r="BE253" s="243"/>
      <c r="BF253" s="243"/>
      <c r="BG253" s="243"/>
      <c r="BH253" s="243"/>
      <c r="BI253" s="243"/>
      <c r="BJ253" s="243"/>
      <c r="BK253" s="243"/>
      <c r="BL253" s="243"/>
      <c r="BM253" s="243"/>
      <c r="BN253" s="243"/>
      <c r="BO253" s="243"/>
      <c r="BP253" s="243"/>
      <c r="BQ253" s="243"/>
      <c r="BR253" s="243"/>
      <c r="BS253" s="243"/>
    </row>
    <row r="254" spans="1:71" s="12" customFormat="1" ht="41.25" customHeight="1">
      <c r="A254" s="178" t="s">
        <v>62</v>
      </c>
      <c r="B254" s="178" t="str">
        <f ca="1">+UPPER(Tabla1321124[[#This Row],[DESCRIPCIÓN DE LA COMPRA O CONTRATACIÓN]])</f>
        <v>LLAVE STILSON DE 19</v>
      </c>
      <c r="C254" s="39" t="s">
        <v>17</v>
      </c>
      <c r="D254" s="210">
        <f>22+11</f>
        <v>33</v>
      </c>
      <c r="E254" s="210">
        <f>15+25</f>
        <v>40</v>
      </c>
      <c r="F254" s="210">
        <f>20+2</f>
        <v>22</v>
      </c>
      <c r="G254" s="210">
        <f>15+25</f>
        <v>40</v>
      </c>
      <c r="H254" s="240">
        <f>SUM(Tabla1321124[[#This Row],[PRIMER TRIMESTRE]:[CUARTO TRIMESTRE]])</f>
        <v>135</v>
      </c>
      <c r="I254" s="17">
        <v>50</v>
      </c>
      <c r="J254" s="17">
        <f>+Tabla1321124[[#This Row],[CANTIDAD TOTAL]]*Tabla1321124[[#This Row],[PRECIO UNITARIO ESTIMADO]]</f>
        <v>6750</v>
      </c>
      <c r="K254" s="17"/>
      <c r="L254" s="16" t="s">
        <v>27</v>
      </c>
      <c r="M254" s="16" t="s">
        <v>22</v>
      </c>
      <c r="N254" s="16" t="s">
        <v>418</v>
      </c>
      <c r="O254" s="243"/>
      <c r="P254" s="243"/>
      <c r="Q254" s="243"/>
      <c r="R254" s="243"/>
      <c r="S254" s="243"/>
      <c r="T254" s="243"/>
      <c r="U254" s="243"/>
      <c r="V254" s="243"/>
      <c r="W254" s="243"/>
      <c r="X254" s="243"/>
      <c r="Y254" s="243"/>
      <c r="Z254" s="243"/>
      <c r="AA254" s="243"/>
      <c r="AB254" s="243"/>
      <c r="AC254" s="243"/>
      <c r="AD254" s="243"/>
      <c r="AE254" s="243"/>
      <c r="AF254" s="243"/>
      <c r="AG254" s="243"/>
      <c r="AH254" s="243"/>
      <c r="AI254" s="243"/>
      <c r="AJ254" s="243"/>
      <c r="AK254" s="243"/>
      <c r="AL254" s="243"/>
      <c r="AM254" s="243"/>
      <c r="AN254" s="243"/>
      <c r="AO254" s="243"/>
      <c r="AP254" s="243"/>
      <c r="AQ254" s="243"/>
      <c r="AR254" s="243"/>
      <c r="AS254" s="243"/>
      <c r="AT254" s="243"/>
      <c r="AU254" s="243"/>
      <c r="AV254" s="243"/>
      <c r="AW254" s="243"/>
      <c r="AX254" s="243"/>
      <c r="AY254" s="243"/>
      <c r="AZ254" s="243"/>
      <c r="BA254" s="243"/>
      <c r="BB254" s="243"/>
      <c r="BC254" s="243"/>
      <c r="BD254" s="243"/>
      <c r="BE254" s="243"/>
      <c r="BF254" s="243"/>
      <c r="BG254" s="243"/>
      <c r="BH254" s="243"/>
      <c r="BI254" s="243"/>
      <c r="BJ254" s="243"/>
      <c r="BK254" s="243"/>
      <c r="BL254" s="243"/>
      <c r="BM254" s="243"/>
      <c r="BN254" s="243"/>
      <c r="BO254" s="243"/>
      <c r="BP254" s="243"/>
      <c r="BQ254" s="243"/>
      <c r="BR254" s="243"/>
      <c r="BS254" s="243"/>
    </row>
    <row r="255" spans="1:71" s="12" customFormat="1" ht="41.25" customHeight="1">
      <c r="A255" s="178" t="s">
        <v>62</v>
      </c>
      <c r="B255" s="178" t="str">
        <f ca="1">+UPPER(Tabla1321124[[#This Row],[DESCRIPCIÓN DE LA COMPRA O CONTRATACIÓN]])</f>
        <v>LLAVE STILSON DE 24</v>
      </c>
      <c r="C255" s="39" t="s">
        <v>17</v>
      </c>
      <c r="D255" s="210">
        <f>12+12</f>
        <v>24</v>
      </c>
      <c r="E255" s="210">
        <v>5</v>
      </c>
      <c r="F255" s="210">
        <v>10</v>
      </c>
      <c r="G255" s="210">
        <v>5</v>
      </c>
      <c r="H255" s="240">
        <f>SUM(Tabla1321124[[#This Row],[PRIMER TRIMESTRE]:[CUARTO TRIMESTRE]])</f>
        <v>44</v>
      </c>
      <c r="I255" s="17">
        <v>1746.26</v>
      </c>
      <c r="J255" s="17">
        <f>+Tabla1321124[[#This Row],[CANTIDAD TOTAL]]*Tabla1321124[[#This Row],[PRECIO UNITARIO ESTIMADO]]</f>
        <v>76835.44</v>
      </c>
      <c r="K255" s="17"/>
      <c r="L255" s="16" t="s">
        <v>27</v>
      </c>
      <c r="M255" s="16" t="s">
        <v>22</v>
      </c>
      <c r="N255" s="16" t="s">
        <v>418</v>
      </c>
      <c r="O255" s="243"/>
      <c r="P255" s="243"/>
      <c r="Q255" s="243"/>
      <c r="R255" s="243"/>
      <c r="S255" s="243"/>
      <c r="T255" s="243"/>
      <c r="U255" s="243"/>
      <c r="V255" s="243"/>
      <c r="W255" s="243"/>
      <c r="X255" s="243"/>
      <c r="Y255" s="243"/>
      <c r="Z255" s="243"/>
      <c r="AA255" s="243"/>
      <c r="AB255" s="243"/>
      <c r="AC255" s="243"/>
      <c r="AD255" s="243"/>
      <c r="AE255" s="243"/>
      <c r="AF255" s="243"/>
      <c r="AG255" s="243"/>
      <c r="AH255" s="243"/>
      <c r="AI255" s="243"/>
      <c r="AJ255" s="243"/>
      <c r="AK255" s="243"/>
      <c r="AL255" s="243"/>
      <c r="AM255" s="243"/>
      <c r="AN255" s="243"/>
      <c r="AO255" s="243"/>
      <c r="AP255" s="243"/>
      <c r="AQ255" s="243"/>
      <c r="AR255" s="243"/>
      <c r="AS255" s="243"/>
      <c r="AT255" s="243"/>
      <c r="AU255" s="243"/>
      <c r="AV255" s="243"/>
      <c r="AW255" s="243"/>
      <c r="AX255" s="243"/>
      <c r="AY255" s="243"/>
      <c r="AZ255" s="243"/>
      <c r="BA255" s="243"/>
      <c r="BB255" s="243"/>
      <c r="BC255" s="243"/>
      <c r="BD255" s="243"/>
      <c r="BE255" s="243"/>
      <c r="BF255" s="243"/>
      <c r="BG255" s="243"/>
      <c r="BH255" s="243"/>
      <c r="BI255" s="243"/>
      <c r="BJ255" s="243"/>
      <c r="BK255" s="243"/>
      <c r="BL255" s="243"/>
      <c r="BM255" s="243"/>
      <c r="BN255" s="243"/>
      <c r="BO255" s="243"/>
      <c r="BP255" s="243"/>
      <c r="BQ255" s="243"/>
      <c r="BR255" s="243"/>
      <c r="BS255" s="243"/>
    </row>
    <row r="256" spans="1:71" s="12" customFormat="1" ht="41.25" customHeight="1">
      <c r="A256" s="178" t="s">
        <v>62</v>
      </c>
      <c r="B256" s="178" t="str">
        <f ca="1">+UPPER(Tabla1321124[[#This Row],[DESCRIPCIÓN DE LA COMPRA O CONTRATACIÓN]])</f>
        <v>LLAVE STILSON DE 36</v>
      </c>
      <c r="C256" s="39" t="s">
        <v>17</v>
      </c>
      <c r="D256" s="210">
        <f>6+5</f>
        <v>11</v>
      </c>
      <c r="E256" s="210">
        <v>5</v>
      </c>
      <c r="F256" s="210">
        <v>10</v>
      </c>
      <c r="G256" s="210">
        <v>5</v>
      </c>
      <c r="H256" s="240">
        <f>SUM(Tabla1321124[[#This Row],[PRIMER TRIMESTRE]:[CUARTO TRIMESTRE]])</f>
        <v>31</v>
      </c>
      <c r="I256" s="17">
        <v>6800</v>
      </c>
      <c r="J256" s="17">
        <f>+Tabla1321124[[#This Row],[CANTIDAD TOTAL]]*Tabla1321124[[#This Row],[PRECIO UNITARIO ESTIMADO]]</f>
        <v>210800</v>
      </c>
      <c r="K256" s="17"/>
      <c r="L256" s="16" t="s">
        <v>27</v>
      </c>
      <c r="M256" s="16" t="s">
        <v>22</v>
      </c>
      <c r="N256" s="16" t="s">
        <v>418</v>
      </c>
      <c r="O256" s="243"/>
      <c r="P256" s="243"/>
      <c r="Q256" s="243"/>
      <c r="R256" s="243"/>
      <c r="S256" s="243"/>
      <c r="T256" s="243"/>
      <c r="U256" s="243"/>
      <c r="V256" s="243"/>
      <c r="W256" s="243"/>
      <c r="X256" s="243"/>
      <c r="Y256" s="243"/>
      <c r="Z256" s="243"/>
      <c r="AA256" s="243"/>
      <c r="AB256" s="243"/>
      <c r="AC256" s="243"/>
      <c r="AD256" s="243"/>
      <c r="AE256" s="243"/>
      <c r="AF256" s="243"/>
      <c r="AG256" s="243"/>
      <c r="AH256" s="243"/>
      <c r="AI256" s="243"/>
      <c r="AJ256" s="243"/>
      <c r="AK256" s="243"/>
      <c r="AL256" s="243"/>
      <c r="AM256" s="243"/>
      <c r="AN256" s="243"/>
      <c r="AO256" s="243"/>
      <c r="AP256" s="243"/>
      <c r="AQ256" s="243"/>
      <c r="AR256" s="243"/>
      <c r="AS256" s="243"/>
      <c r="AT256" s="243"/>
      <c r="AU256" s="243"/>
      <c r="AV256" s="243"/>
      <c r="AW256" s="243"/>
      <c r="AX256" s="243"/>
      <c r="AY256" s="243"/>
      <c r="AZ256" s="243"/>
      <c r="BA256" s="243"/>
      <c r="BB256" s="243"/>
      <c r="BC256" s="243"/>
      <c r="BD256" s="243"/>
      <c r="BE256" s="243"/>
      <c r="BF256" s="243"/>
      <c r="BG256" s="243"/>
      <c r="BH256" s="243"/>
      <c r="BI256" s="243"/>
      <c r="BJ256" s="243"/>
      <c r="BK256" s="243"/>
      <c r="BL256" s="243"/>
      <c r="BM256" s="243"/>
      <c r="BN256" s="243"/>
      <c r="BO256" s="243"/>
      <c r="BP256" s="243"/>
      <c r="BQ256" s="243"/>
      <c r="BR256" s="243"/>
      <c r="BS256" s="243"/>
    </row>
    <row r="257" spans="1:71" s="12" customFormat="1" ht="41.25" customHeight="1">
      <c r="A257" s="178" t="s">
        <v>62</v>
      </c>
      <c r="B257" s="178" t="str">
        <f ca="1">+UPPER(Tabla1321124[[#This Row],[DESCRIPCIÓN DE LA COMPRA O CONTRATACIÓN]])</f>
        <v>LLAVE AJUSTABLE DE 16"</v>
      </c>
      <c r="C257" s="39" t="s">
        <v>17</v>
      </c>
      <c r="D257" s="365"/>
      <c r="E257" s="365">
        <v>2</v>
      </c>
      <c r="F257" s="365"/>
      <c r="G257" s="365"/>
      <c r="H257" s="240">
        <f>SUM(Tabla1321124[[#This Row],[PRIMER TRIMESTRE]:[CUARTO TRIMESTRE]])</f>
        <v>2</v>
      </c>
      <c r="I257" s="17">
        <v>980</v>
      </c>
      <c r="J257" s="17">
        <f>+Tabla1321124[[#This Row],[CANTIDAD TOTAL]]*Tabla1321124[[#This Row],[PRECIO UNITARIO ESTIMADO]]</f>
        <v>1960</v>
      </c>
      <c r="K257" s="175"/>
      <c r="L257" s="16" t="s">
        <v>27</v>
      </c>
      <c r="M257" s="16" t="s">
        <v>22</v>
      </c>
      <c r="N257" s="16" t="s">
        <v>418</v>
      </c>
      <c r="O257" s="243"/>
      <c r="P257" s="243"/>
      <c r="Q257" s="243"/>
      <c r="R257" s="243"/>
      <c r="S257" s="243"/>
      <c r="T257" s="243"/>
      <c r="U257" s="243"/>
      <c r="V257" s="243"/>
      <c r="W257" s="243"/>
      <c r="X257" s="243"/>
      <c r="Y257" s="243"/>
      <c r="Z257" s="243"/>
      <c r="AA257" s="243"/>
      <c r="AB257" s="243"/>
      <c r="AC257" s="243"/>
      <c r="AD257" s="243"/>
      <c r="AE257" s="243"/>
      <c r="AF257" s="243"/>
      <c r="AG257" s="243"/>
      <c r="AH257" s="243"/>
      <c r="AI257" s="243"/>
      <c r="AJ257" s="243"/>
      <c r="AK257" s="243"/>
      <c r="AL257" s="243"/>
      <c r="AM257" s="243"/>
      <c r="AN257" s="243"/>
      <c r="AO257" s="243"/>
      <c r="AP257" s="243"/>
      <c r="AQ257" s="243"/>
      <c r="AR257" s="243"/>
      <c r="AS257" s="243"/>
      <c r="AT257" s="243"/>
      <c r="AU257" s="243"/>
      <c r="AV257" s="243"/>
      <c r="AW257" s="243"/>
      <c r="AX257" s="243"/>
      <c r="AY257" s="243"/>
      <c r="AZ257" s="243"/>
      <c r="BA257" s="243"/>
      <c r="BB257" s="243"/>
      <c r="BC257" s="243"/>
      <c r="BD257" s="243"/>
      <c r="BE257" s="243"/>
      <c r="BF257" s="243"/>
      <c r="BG257" s="243"/>
      <c r="BH257" s="243"/>
      <c r="BI257" s="243"/>
      <c r="BJ257" s="243"/>
      <c r="BK257" s="243"/>
      <c r="BL257" s="243"/>
      <c r="BM257" s="243"/>
      <c r="BN257" s="243"/>
      <c r="BO257" s="243"/>
      <c r="BP257" s="243"/>
      <c r="BQ257" s="243"/>
      <c r="BR257" s="243"/>
      <c r="BS257" s="243"/>
    </row>
    <row r="258" spans="1:71" s="12" customFormat="1" ht="41.25" customHeight="1">
      <c r="A258" s="178" t="s">
        <v>62</v>
      </c>
      <c r="B258" s="178" t="str">
        <f ca="1">+UPPER(Tabla1321124[[#This Row],[DESCRIPCIÓN DE LA COMPRA O CONTRATACIÓN]])</f>
        <v>LLAVE AJUSTABLE 12</v>
      </c>
      <c r="C258" s="39" t="s">
        <v>17</v>
      </c>
      <c r="D258" s="210">
        <f>6+11</f>
        <v>17</v>
      </c>
      <c r="E258" s="210"/>
      <c r="F258" s="210"/>
      <c r="G258" s="210"/>
      <c r="H258" s="240">
        <f>SUM(Tabla1321124[[#This Row],[PRIMER TRIMESTRE]:[CUARTO TRIMESTRE]])</f>
        <v>17</v>
      </c>
      <c r="I258" s="17">
        <v>458.2</v>
      </c>
      <c r="J258" s="17">
        <f>+Tabla1321124[[#This Row],[CANTIDAD TOTAL]]*Tabla1321124[[#This Row],[PRECIO UNITARIO ESTIMADO]]</f>
        <v>7789.4</v>
      </c>
      <c r="K258" s="17"/>
      <c r="L258" s="16" t="s">
        <v>27</v>
      </c>
      <c r="M258" s="16" t="s">
        <v>22</v>
      </c>
      <c r="N258" s="16" t="s">
        <v>418</v>
      </c>
      <c r="O258" s="243"/>
      <c r="P258" s="243"/>
      <c r="Q258" s="243"/>
      <c r="R258" s="243"/>
      <c r="S258" s="243"/>
      <c r="T258" s="243"/>
      <c r="U258" s="243"/>
      <c r="V258" s="243"/>
      <c r="W258" s="243"/>
      <c r="X258" s="243"/>
      <c r="Y258" s="243"/>
      <c r="Z258" s="243"/>
      <c r="AA258" s="243"/>
      <c r="AB258" s="243"/>
      <c r="AC258" s="243"/>
      <c r="AD258" s="243"/>
      <c r="AE258" s="243"/>
      <c r="AF258" s="243"/>
      <c r="AG258" s="243"/>
      <c r="AH258" s="243"/>
      <c r="AI258" s="243"/>
      <c r="AJ258" s="243"/>
      <c r="AK258" s="243"/>
      <c r="AL258" s="243"/>
      <c r="AM258" s="243"/>
      <c r="AN258" s="243"/>
      <c r="AO258" s="243"/>
      <c r="AP258" s="243"/>
      <c r="AQ258" s="243"/>
      <c r="AR258" s="243"/>
      <c r="AS258" s="243"/>
      <c r="AT258" s="243"/>
      <c r="AU258" s="243"/>
      <c r="AV258" s="243"/>
      <c r="AW258" s="243"/>
      <c r="AX258" s="243"/>
      <c r="AY258" s="243"/>
      <c r="AZ258" s="243"/>
      <c r="BA258" s="243"/>
      <c r="BB258" s="243"/>
      <c r="BC258" s="243"/>
      <c r="BD258" s="243"/>
      <c r="BE258" s="243"/>
      <c r="BF258" s="243"/>
      <c r="BG258" s="243"/>
      <c r="BH258" s="243"/>
      <c r="BI258" s="243"/>
      <c r="BJ258" s="243"/>
      <c r="BK258" s="243"/>
      <c r="BL258" s="243"/>
      <c r="BM258" s="243"/>
      <c r="BN258" s="243"/>
      <c r="BO258" s="243"/>
      <c r="BP258" s="243"/>
      <c r="BQ258" s="243"/>
      <c r="BR258" s="243"/>
      <c r="BS258" s="243"/>
    </row>
    <row r="259" spans="1:71" s="12" customFormat="1" ht="41.25" customHeight="1">
      <c r="A259" s="178" t="s">
        <v>62</v>
      </c>
      <c r="B259" s="178" t="str">
        <f ca="1">+UPPER(Tabla1321124[[#This Row],[DESCRIPCIÓN DE LA COMPRA O CONTRATACIÓN]])</f>
        <v>LLAVE DE PASO DE 3/4 HG</v>
      </c>
      <c r="C259" s="39" t="s">
        <v>17</v>
      </c>
      <c r="D259" s="210">
        <v>20</v>
      </c>
      <c r="E259" s="210">
        <v>3</v>
      </c>
      <c r="F259" s="210">
        <v>10</v>
      </c>
      <c r="G259" s="210">
        <v>0</v>
      </c>
      <c r="H259" s="240">
        <f>SUM(Tabla1321124[[#This Row],[PRIMER TRIMESTRE]:[CUARTO TRIMESTRE]])</f>
        <v>33</v>
      </c>
      <c r="I259" s="17">
        <v>90</v>
      </c>
      <c r="J259" s="17">
        <f>+Tabla1321124[[#This Row],[CANTIDAD TOTAL]]*Tabla1321124[[#This Row],[PRECIO UNITARIO ESTIMADO]]</f>
        <v>2970</v>
      </c>
      <c r="K259" s="17"/>
      <c r="L259" s="16" t="s">
        <v>27</v>
      </c>
      <c r="M259" s="16" t="s">
        <v>22</v>
      </c>
      <c r="N259" s="16" t="s">
        <v>418</v>
      </c>
      <c r="O259" s="243"/>
      <c r="P259" s="243"/>
      <c r="Q259" s="243"/>
      <c r="R259" s="243"/>
      <c r="S259" s="243"/>
      <c r="T259" s="243"/>
      <c r="U259" s="243"/>
      <c r="V259" s="243"/>
      <c r="W259" s="243"/>
      <c r="X259" s="243"/>
      <c r="Y259" s="243"/>
      <c r="Z259" s="243"/>
      <c r="AA259" s="243"/>
      <c r="AB259" s="243"/>
      <c r="AC259" s="243"/>
      <c r="AD259" s="243"/>
      <c r="AE259" s="243"/>
      <c r="AF259" s="243"/>
      <c r="AG259" s="243"/>
      <c r="AH259" s="243"/>
      <c r="AI259" s="243"/>
      <c r="AJ259" s="243"/>
      <c r="AK259" s="243"/>
      <c r="AL259" s="243"/>
      <c r="AM259" s="243"/>
      <c r="AN259" s="243"/>
      <c r="AO259" s="243"/>
      <c r="AP259" s="243"/>
      <c r="AQ259" s="243"/>
      <c r="AR259" s="243"/>
      <c r="AS259" s="243"/>
      <c r="AT259" s="243"/>
      <c r="AU259" s="243"/>
      <c r="AV259" s="243"/>
      <c r="AW259" s="243"/>
      <c r="AX259" s="243"/>
      <c r="AY259" s="243"/>
      <c r="AZ259" s="243"/>
      <c r="BA259" s="243"/>
      <c r="BB259" s="243"/>
      <c r="BC259" s="243"/>
      <c r="BD259" s="243"/>
      <c r="BE259" s="243"/>
      <c r="BF259" s="243"/>
      <c r="BG259" s="243"/>
      <c r="BH259" s="243"/>
      <c r="BI259" s="243"/>
      <c r="BJ259" s="243"/>
      <c r="BK259" s="243"/>
      <c r="BL259" s="243"/>
      <c r="BM259" s="243"/>
      <c r="BN259" s="243"/>
      <c r="BO259" s="243"/>
      <c r="BP259" s="243"/>
      <c r="BQ259" s="243"/>
      <c r="BR259" s="243"/>
      <c r="BS259" s="243"/>
    </row>
    <row r="260" spans="1:71" s="12" customFormat="1" ht="41.25" customHeight="1">
      <c r="A260" s="178" t="s">
        <v>62</v>
      </c>
      <c r="B260" s="178" t="str">
        <f ca="1">+UPPER(Tabla1321124[[#This Row],[DESCRIPCIÓN DE LA COMPRA O CONTRATACIÓN]])</f>
        <v>LLAVES COMBINADAS 12"</v>
      </c>
      <c r="C260" s="39" t="s">
        <v>17</v>
      </c>
      <c r="D260" s="210">
        <f t="shared" ref="D260:D266" si="3">18+8</f>
        <v>26</v>
      </c>
      <c r="E260" s="210">
        <f>5+28</f>
        <v>33</v>
      </c>
      <c r="F260" s="210">
        <f t="shared" ref="F260:F266" si="4">22+3</f>
        <v>25</v>
      </c>
      <c r="G260" s="210">
        <f t="shared" ref="G260:G266" si="5">5+28</f>
        <v>33</v>
      </c>
      <c r="H260" s="240">
        <f>SUM(Tabla1321124[[#This Row],[PRIMER TRIMESTRE]:[CUARTO TRIMESTRE]])</f>
        <v>117</v>
      </c>
      <c r="I260" s="17">
        <v>142.85</v>
      </c>
      <c r="J260" s="17">
        <f>+Tabla1321124[[#This Row],[CANTIDAD TOTAL]]*Tabla1321124[[#This Row],[PRECIO UNITARIO ESTIMADO]]</f>
        <v>16713.45</v>
      </c>
      <c r="K260" s="17"/>
      <c r="L260" s="16" t="s">
        <v>27</v>
      </c>
      <c r="M260" s="16" t="s">
        <v>22</v>
      </c>
      <c r="N260" s="16" t="s">
        <v>418</v>
      </c>
      <c r="O260" s="243"/>
      <c r="P260" s="243"/>
      <c r="Q260" s="243"/>
      <c r="R260" s="243"/>
      <c r="S260" s="243"/>
      <c r="T260" s="243"/>
      <c r="U260" s="243"/>
      <c r="V260" s="243"/>
      <c r="W260" s="243"/>
      <c r="X260" s="243"/>
      <c r="Y260" s="243"/>
      <c r="Z260" s="243"/>
      <c r="AA260" s="243"/>
      <c r="AB260" s="243"/>
      <c r="AC260" s="243"/>
      <c r="AD260" s="243"/>
      <c r="AE260" s="243"/>
      <c r="AF260" s="243"/>
      <c r="AG260" s="243"/>
      <c r="AH260" s="243"/>
      <c r="AI260" s="243"/>
      <c r="AJ260" s="243"/>
      <c r="AK260" s="243"/>
      <c r="AL260" s="243"/>
      <c r="AM260" s="243"/>
      <c r="AN260" s="243"/>
      <c r="AO260" s="243"/>
      <c r="AP260" s="243"/>
      <c r="AQ260" s="243"/>
      <c r="AR260" s="243"/>
      <c r="AS260" s="243"/>
      <c r="AT260" s="243"/>
      <c r="AU260" s="243"/>
      <c r="AV260" s="243"/>
      <c r="AW260" s="243"/>
      <c r="AX260" s="243"/>
      <c r="AY260" s="243"/>
      <c r="AZ260" s="243"/>
      <c r="BA260" s="243"/>
      <c r="BB260" s="243"/>
      <c r="BC260" s="243"/>
      <c r="BD260" s="243"/>
      <c r="BE260" s="243"/>
      <c r="BF260" s="243"/>
      <c r="BG260" s="243"/>
      <c r="BH260" s="243"/>
      <c r="BI260" s="243"/>
      <c r="BJ260" s="243"/>
      <c r="BK260" s="243"/>
      <c r="BL260" s="243"/>
      <c r="BM260" s="243"/>
      <c r="BN260" s="243"/>
      <c r="BO260" s="243"/>
      <c r="BP260" s="243"/>
      <c r="BQ260" s="243"/>
      <c r="BR260" s="243"/>
      <c r="BS260" s="243"/>
    </row>
    <row r="261" spans="1:71" s="12" customFormat="1" ht="41.25" customHeight="1">
      <c r="A261" s="178" t="s">
        <v>62</v>
      </c>
      <c r="B261" s="178" t="str">
        <f ca="1">+UPPER(Tabla1321124[[#This Row],[DESCRIPCIÓN DE LA COMPRA O CONTRATACIÓN]])</f>
        <v>LLAVES COMBINADAS 13"</v>
      </c>
      <c r="C261" s="39" t="s">
        <v>17</v>
      </c>
      <c r="D261" s="210">
        <f t="shared" si="3"/>
        <v>26</v>
      </c>
      <c r="E261" s="210">
        <f>5+28</f>
        <v>33</v>
      </c>
      <c r="F261" s="210">
        <f t="shared" si="4"/>
        <v>25</v>
      </c>
      <c r="G261" s="210">
        <f t="shared" si="5"/>
        <v>33</v>
      </c>
      <c r="H261" s="240">
        <f>SUM(Tabla1321124[[#This Row],[PRIMER TRIMESTRE]:[CUARTO TRIMESTRE]])</f>
        <v>117</v>
      </c>
      <c r="I261" s="17">
        <v>39.56</v>
      </c>
      <c r="J261" s="17">
        <f>+Tabla1321124[[#This Row],[CANTIDAD TOTAL]]*Tabla1321124[[#This Row],[PRECIO UNITARIO ESTIMADO]]</f>
        <v>4628.5200000000004</v>
      </c>
      <c r="K261" s="17"/>
      <c r="L261" s="16" t="s">
        <v>27</v>
      </c>
      <c r="M261" s="16" t="s">
        <v>22</v>
      </c>
      <c r="N261" s="16" t="s">
        <v>418</v>
      </c>
      <c r="O261" s="243"/>
      <c r="P261" s="243"/>
      <c r="Q261" s="243"/>
      <c r="R261" s="243"/>
      <c r="S261" s="243"/>
      <c r="T261" s="243"/>
      <c r="U261" s="243"/>
      <c r="V261" s="243"/>
      <c r="W261" s="243"/>
      <c r="X261" s="243"/>
      <c r="Y261" s="243"/>
      <c r="Z261" s="243"/>
      <c r="AA261" s="243"/>
      <c r="AB261" s="243"/>
      <c r="AC261" s="243"/>
      <c r="AD261" s="243"/>
      <c r="AE261" s="243"/>
      <c r="AF261" s="243"/>
      <c r="AG261" s="243"/>
      <c r="AH261" s="243"/>
      <c r="AI261" s="243"/>
      <c r="AJ261" s="243"/>
      <c r="AK261" s="243"/>
      <c r="AL261" s="243"/>
      <c r="AM261" s="243"/>
      <c r="AN261" s="243"/>
      <c r="AO261" s="243"/>
      <c r="AP261" s="243"/>
      <c r="AQ261" s="243"/>
      <c r="AR261" s="243"/>
      <c r="AS261" s="243"/>
      <c r="AT261" s="243"/>
      <c r="AU261" s="243"/>
      <c r="AV261" s="243"/>
      <c r="AW261" s="243"/>
      <c r="AX261" s="243"/>
      <c r="AY261" s="243"/>
      <c r="AZ261" s="243"/>
      <c r="BA261" s="243"/>
      <c r="BB261" s="243"/>
      <c r="BC261" s="243"/>
      <c r="BD261" s="243"/>
      <c r="BE261" s="243"/>
      <c r="BF261" s="243"/>
      <c r="BG261" s="243"/>
      <c r="BH261" s="243"/>
      <c r="BI261" s="243"/>
      <c r="BJ261" s="243"/>
      <c r="BK261" s="243"/>
      <c r="BL261" s="243"/>
      <c r="BM261" s="243"/>
      <c r="BN261" s="243"/>
      <c r="BO261" s="243"/>
      <c r="BP261" s="243"/>
      <c r="BQ261" s="243"/>
      <c r="BR261" s="243"/>
      <c r="BS261" s="243"/>
    </row>
    <row r="262" spans="1:71" s="12" customFormat="1" ht="41.25" customHeight="1">
      <c r="A262" s="178" t="s">
        <v>62</v>
      </c>
      <c r="B262" s="178" t="str">
        <f ca="1">+UPPER(Tabla1321124[[#This Row],[DESCRIPCIÓN DE LA COMPRA O CONTRATACIÓN]])</f>
        <v>LLAVES COMBINADAS 14"</v>
      </c>
      <c r="C262" s="39" t="s">
        <v>17</v>
      </c>
      <c r="D262" s="210">
        <f t="shared" si="3"/>
        <v>26</v>
      </c>
      <c r="E262" s="210">
        <f>5+28</f>
        <v>33</v>
      </c>
      <c r="F262" s="210">
        <f t="shared" si="4"/>
        <v>25</v>
      </c>
      <c r="G262" s="210">
        <f t="shared" si="5"/>
        <v>33</v>
      </c>
      <c r="H262" s="240">
        <f>SUM(Tabla1321124[[#This Row],[PRIMER TRIMESTRE]:[CUARTO TRIMESTRE]])</f>
        <v>117</v>
      </c>
      <c r="I262" s="17">
        <v>41.8</v>
      </c>
      <c r="J262" s="17">
        <f>+Tabla1321124[[#This Row],[CANTIDAD TOTAL]]*Tabla1321124[[#This Row],[PRECIO UNITARIO ESTIMADO]]</f>
        <v>4890.5999999999995</v>
      </c>
      <c r="K262" s="17"/>
      <c r="L262" s="16" t="s">
        <v>27</v>
      </c>
      <c r="M262" s="16" t="s">
        <v>22</v>
      </c>
      <c r="N262" s="16" t="s">
        <v>418</v>
      </c>
      <c r="O262" s="243"/>
      <c r="P262" s="243"/>
      <c r="Q262" s="243"/>
      <c r="R262" s="243"/>
      <c r="S262" s="243"/>
      <c r="T262" s="243"/>
      <c r="U262" s="243"/>
      <c r="V262" s="243"/>
      <c r="W262" s="243"/>
      <c r="X262" s="243"/>
      <c r="Y262" s="243"/>
      <c r="Z262" s="243"/>
      <c r="AA262" s="243"/>
      <c r="AB262" s="243"/>
      <c r="AC262" s="243"/>
      <c r="AD262" s="243"/>
      <c r="AE262" s="243"/>
      <c r="AF262" s="243"/>
      <c r="AG262" s="243"/>
      <c r="AH262" s="243"/>
      <c r="AI262" s="243"/>
      <c r="AJ262" s="243"/>
      <c r="AK262" s="243"/>
      <c r="AL262" s="243"/>
      <c r="AM262" s="243"/>
      <c r="AN262" s="243"/>
      <c r="AO262" s="243"/>
      <c r="AP262" s="243"/>
      <c r="AQ262" s="243"/>
      <c r="AR262" s="243"/>
      <c r="AS262" s="243"/>
      <c r="AT262" s="243"/>
      <c r="AU262" s="243"/>
      <c r="AV262" s="243"/>
      <c r="AW262" s="243"/>
      <c r="AX262" s="243"/>
      <c r="AY262" s="243"/>
      <c r="AZ262" s="243"/>
      <c r="BA262" s="243"/>
      <c r="BB262" s="243"/>
      <c r="BC262" s="243"/>
      <c r="BD262" s="243"/>
      <c r="BE262" s="243"/>
      <c r="BF262" s="243"/>
      <c r="BG262" s="243"/>
      <c r="BH262" s="243"/>
      <c r="BI262" s="243"/>
      <c r="BJ262" s="243"/>
      <c r="BK262" s="243"/>
      <c r="BL262" s="243"/>
      <c r="BM262" s="243"/>
      <c r="BN262" s="243"/>
      <c r="BO262" s="243"/>
      <c r="BP262" s="243"/>
      <c r="BQ262" s="243"/>
      <c r="BR262" s="243"/>
      <c r="BS262" s="243"/>
    </row>
    <row r="263" spans="1:71" s="26" customFormat="1" ht="41.25" customHeight="1">
      <c r="A263" s="178" t="s">
        <v>62</v>
      </c>
      <c r="B263" s="178" t="str">
        <f ca="1">+UPPER(Tabla1321124[[#This Row],[DESCRIPCIÓN DE LA COMPRA O CONTRATACIÓN]])</f>
        <v>LLAVES COMBINADAS 15"</v>
      </c>
      <c r="C263" s="39" t="s">
        <v>17</v>
      </c>
      <c r="D263" s="210">
        <f t="shared" si="3"/>
        <v>26</v>
      </c>
      <c r="E263" s="210">
        <f>5+28</f>
        <v>33</v>
      </c>
      <c r="F263" s="210">
        <f t="shared" si="4"/>
        <v>25</v>
      </c>
      <c r="G263" s="210">
        <f t="shared" si="5"/>
        <v>33</v>
      </c>
      <c r="H263" s="240">
        <f>SUM(Tabla1321124[[#This Row],[PRIMER TRIMESTRE]:[CUARTO TRIMESTRE]])</f>
        <v>117</v>
      </c>
      <c r="I263" s="17">
        <v>50.27</v>
      </c>
      <c r="J263" s="17">
        <f>+Tabla1321124[[#This Row],[CANTIDAD TOTAL]]*Tabla1321124[[#This Row],[PRECIO UNITARIO ESTIMADO]]</f>
        <v>5881.59</v>
      </c>
      <c r="K263" s="17"/>
      <c r="L263" s="16" t="s">
        <v>27</v>
      </c>
      <c r="M263" s="16" t="s">
        <v>22</v>
      </c>
      <c r="N263" s="16" t="s">
        <v>418</v>
      </c>
      <c r="O263" s="243"/>
      <c r="P263" s="243"/>
      <c r="Q263" s="243"/>
      <c r="R263" s="243"/>
      <c r="S263" s="243"/>
      <c r="T263" s="243"/>
      <c r="U263" s="243"/>
      <c r="V263" s="243"/>
      <c r="W263" s="243"/>
      <c r="X263" s="243"/>
      <c r="Y263" s="243"/>
      <c r="Z263" s="243"/>
      <c r="AA263" s="243"/>
      <c r="AB263" s="243"/>
      <c r="AC263" s="243"/>
      <c r="AD263" s="243"/>
      <c r="AE263" s="243"/>
      <c r="AF263" s="243"/>
      <c r="AG263" s="243"/>
      <c r="AH263" s="243"/>
      <c r="AI263" s="243"/>
      <c r="AJ263" s="243"/>
      <c r="AK263" s="243"/>
      <c r="AL263" s="243"/>
      <c r="AM263" s="243"/>
      <c r="AN263" s="243"/>
      <c r="AO263" s="243"/>
      <c r="AP263" s="243"/>
      <c r="AQ263" s="243"/>
      <c r="AR263" s="243"/>
      <c r="AS263" s="243"/>
      <c r="AT263" s="243"/>
      <c r="AU263" s="243"/>
      <c r="AV263" s="243"/>
      <c r="AW263" s="243"/>
      <c r="AX263" s="243"/>
      <c r="AY263" s="243"/>
      <c r="AZ263" s="243"/>
      <c r="BA263" s="243"/>
      <c r="BB263" s="243"/>
      <c r="BC263" s="243"/>
      <c r="BD263" s="243"/>
      <c r="BE263" s="243"/>
      <c r="BF263" s="243"/>
      <c r="BG263" s="243"/>
      <c r="BH263" s="243"/>
      <c r="BI263" s="243"/>
      <c r="BJ263" s="243"/>
      <c r="BK263" s="243"/>
      <c r="BL263" s="243"/>
      <c r="BM263" s="243"/>
      <c r="BN263" s="243"/>
      <c r="BO263" s="243"/>
      <c r="BP263" s="243"/>
      <c r="BQ263" s="243"/>
      <c r="BR263" s="243"/>
      <c r="BS263" s="243"/>
    </row>
    <row r="264" spans="1:71" s="55" customFormat="1" ht="41.25" customHeight="1">
      <c r="A264" s="178" t="s">
        <v>62</v>
      </c>
      <c r="B264" s="178" t="str">
        <f ca="1">+UPPER(Tabla1321124[[#This Row],[DESCRIPCIÓN DE LA COMPRA O CONTRATACIÓN]])</f>
        <v>LLAVES COMBINADAS 17"</v>
      </c>
      <c r="C264" s="39" t="s">
        <v>17</v>
      </c>
      <c r="D264" s="210">
        <f t="shared" si="3"/>
        <v>26</v>
      </c>
      <c r="E264" s="210">
        <f>5+25</f>
        <v>30</v>
      </c>
      <c r="F264" s="210">
        <f t="shared" si="4"/>
        <v>25</v>
      </c>
      <c r="G264" s="210">
        <f t="shared" si="5"/>
        <v>33</v>
      </c>
      <c r="H264" s="240">
        <f>SUM(Tabla1321124[[#This Row],[PRIMER TRIMESTRE]:[CUARTO TRIMESTRE]])</f>
        <v>114</v>
      </c>
      <c r="I264" s="17">
        <v>60.89</v>
      </c>
      <c r="J264" s="17">
        <f>+Tabla1321124[[#This Row],[CANTIDAD TOTAL]]*Tabla1321124[[#This Row],[PRECIO UNITARIO ESTIMADO]]</f>
        <v>6941.46</v>
      </c>
      <c r="K264" s="17"/>
      <c r="L264" s="16" t="s">
        <v>27</v>
      </c>
      <c r="M264" s="16" t="s">
        <v>22</v>
      </c>
      <c r="N264" s="16" t="s">
        <v>418</v>
      </c>
      <c r="O264" s="395"/>
      <c r="P264" s="395"/>
      <c r="Q264" s="395"/>
      <c r="R264" s="395"/>
      <c r="S264" s="395"/>
      <c r="T264" s="395"/>
      <c r="U264" s="395"/>
      <c r="V264" s="395"/>
      <c r="W264" s="395"/>
      <c r="X264" s="395"/>
      <c r="Y264" s="395"/>
      <c r="Z264" s="395"/>
      <c r="AA264" s="395"/>
      <c r="AB264" s="395"/>
      <c r="AC264" s="395"/>
      <c r="AD264" s="395"/>
      <c r="AE264" s="395"/>
      <c r="AF264" s="395"/>
      <c r="AG264" s="395"/>
      <c r="AH264" s="395"/>
      <c r="AI264" s="395"/>
      <c r="AJ264" s="395"/>
      <c r="AK264" s="395"/>
      <c r="AL264" s="395"/>
      <c r="AM264" s="395"/>
      <c r="AN264" s="395"/>
      <c r="AO264" s="395"/>
      <c r="AP264" s="395"/>
      <c r="AQ264" s="395"/>
      <c r="AR264" s="395"/>
      <c r="AS264" s="395"/>
      <c r="AT264" s="395"/>
      <c r="AU264" s="395"/>
      <c r="AV264" s="395"/>
      <c r="AW264" s="395"/>
      <c r="AX264" s="395"/>
      <c r="AY264" s="395"/>
      <c r="AZ264" s="395"/>
      <c r="BA264" s="395"/>
      <c r="BB264" s="395"/>
      <c r="BC264" s="395"/>
      <c r="BD264" s="395"/>
      <c r="BE264" s="395"/>
      <c r="BF264" s="395"/>
      <c r="BG264" s="395"/>
      <c r="BH264" s="395"/>
      <c r="BI264" s="395"/>
      <c r="BJ264" s="395"/>
      <c r="BK264" s="395"/>
      <c r="BL264" s="395"/>
      <c r="BM264" s="395"/>
      <c r="BN264" s="395"/>
      <c r="BO264" s="395"/>
      <c r="BP264" s="395"/>
      <c r="BQ264" s="395"/>
      <c r="BR264" s="395"/>
      <c r="BS264" s="395"/>
    </row>
    <row r="265" spans="1:71" s="55" customFormat="1" ht="41.25" customHeight="1">
      <c r="A265" s="178" t="s">
        <v>62</v>
      </c>
      <c r="B265" s="178" t="str">
        <f ca="1">+UPPER(Tabla1321124[[#This Row],[DESCRIPCIÓN DE LA COMPRA O CONTRATACIÓN]])</f>
        <v>LLAVES COMBINADAS 19"</v>
      </c>
      <c r="C265" s="39" t="s">
        <v>17</v>
      </c>
      <c r="D265" s="210">
        <f t="shared" si="3"/>
        <v>26</v>
      </c>
      <c r="E265" s="210">
        <f>5+28</f>
        <v>33</v>
      </c>
      <c r="F265" s="210">
        <f t="shared" si="4"/>
        <v>25</v>
      </c>
      <c r="G265" s="210">
        <f t="shared" si="5"/>
        <v>33</v>
      </c>
      <c r="H265" s="240">
        <f>SUM(Tabla1321124[[#This Row],[PRIMER TRIMESTRE]:[CUARTO TRIMESTRE]])</f>
        <v>117</v>
      </c>
      <c r="I265" s="17">
        <v>65.36</v>
      </c>
      <c r="J265" s="17">
        <f>+Tabla1321124[[#This Row],[CANTIDAD TOTAL]]*Tabla1321124[[#This Row],[PRECIO UNITARIO ESTIMADO]]</f>
        <v>7647.12</v>
      </c>
      <c r="K265" s="17"/>
      <c r="L265" s="16" t="s">
        <v>27</v>
      </c>
      <c r="M265" s="16" t="s">
        <v>22</v>
      </c>
      <c r="N265" s="16" t="s">
        <v>418</v>
      </c>
      <c r="O265" s="395"/>
      <c r="P265" s="395"/>
      <c r="Q265" s="395"/>
      <c r="R265" s="395"/>
      <c r="S265" s="395"/>
      <c r="T265" s="395"/>
      <c r="U265" s="395"/>
      <c r="V265" s="395"/>
      <c r="W265" s="395"/>
      <c r="X265" s="395"/>
      <c r="Y265" s="395"/>
      <c r="Z265" s="395"/>
      <c r="AA265" s="395"/>
      <c r="AB265" s="395"/>
      <c r="AC265" s="395"/>
      <c r="AD265" s="395"/>
      <c r="AE265" s="395"/>
      <c r="AF265" s="395"/>
      <c r="AG265" s="395"/>
      <c r="AH265" s="395"/>
      <c r="AI265" s="395"/>
      <c r="AJ265" s="395"/>
      <c r="AK265" s="395"/>
      <c r="AL265" s="395"/>
      <c r="AM265" s="395"/>
      <c r="AN265" s="395"/>
      <c r="AO265" s="395"/>
      <c r="AP265" s="395"/>
      <c r="AQ265" s="395"/>
      <c r="AR265" s="395"/>
      <c r="AS265" s="395"/>
      <c r="AT265" s="395"/>
      <c r="AU265" s="395"/>
      <c r="AV265" s="395"/>
      <c r="AW265" s="395"/>
      <c r="AX265" s="395"/>
      <c r="AY265" s="395"/>
      <c r="AZ265" s="395"/>
      <c r="BA265" s="395"/>
      <c r="BB265" s="395"/>
      <c r="BC265" s="395"/>
      <c r="BD265" s="395"/>
      <c r="BE265" s="395"/>
      <c r="BF265" s="395"/>
      <c r="BG265" s="395"/>
      <c r="BH265" s="395"/>
      <c r="BI265" s="395"/>
      <c r="BJ265" s="395"/>
      <c r="BK265" s="395"/>
      <c r="BL265" s="395"/>
      <c r="BM265" s="395"/>
      <c r="BN265" s="395"/>
      <c r="BO265" s="395"/>
      <c r="BP265" s="395"/>
      <c r="BQ265" s="395"/>
      <c r="BR265" s="395"/>
      <c r="BS265" s="395"/>
    </row>
    <row r="266" spans="1:71" s="55" customFormat="1" ht="41.25" customHeight="1">
      <c r="A266" s="178" t="s">
        <v>62</v>
      </c>
      <c r="B266" s="178" t="str">
        <f ca="1">+UPPER(Tabla1321124[[#This Row],[DESCRIPCIÓN DE LA COMPRA O CONTRATACIÓN]])</f>
        <v>LLAVES COMBINADAS 21"</v>
      </c>
      <c r="C266" s="39" t="s">
        <v>17</v>
      </c>
      <c r="D266" s="210">
        <f t="shared" si="3"/>
        <v>26</v>
      </c>
      <c r="E266" s="210">
        <f>5+28</f>
        <v>33</v>
      </c>
      <c r="F266" s="210">
        <f t="shared" si="4"/>
        <v>25</v>
      </c>
      <c r="G266" s="210">
        <f t="shared" si="5"/>
        <v>33</v>
      </c>
      <c r="H266" s="240">
        <f>SUM(Tabla1321124[[#This Row],[PRIMER TRIMESTRE]:[CUARTO TRIMESTRE]])</f>
        <v>117</v>
      </c>
      <c r="I266" s="17">
        <v>352.74</v>
      </c>
      <c r="J266" s="17">
        <f>+Tabla1321124[[#This Row],[CANTIDAD TOTAL]]*Tabla1321124[[#This Row],[PRECIO UNITARIO ESTIMADO]]</f>
        <v>41270.58</v>
      </c>
      <c r="K266" s="17"/>
      <c r="L266" s="16" t="s">
        <v>27</v>
      </c>
      <c r="M266" s="16" t="s">
        <v>22</v>
      </c>
      <c r="N266" s="16" t="s">
        <v>418</v>
      </c>
      <c r="O266" s="395"/>
      <c r="P266" s="395"/>
      <c r="Q266" s="395"/>
      <c r="R266" s="395"/>
      <c r="S266" s="395"/>
      <c r="T266" s="395"/>
      <c r="U266" s="395"/>
      <c r="V266" s="395"/>
      <c r="W266" s="395"/>
      <c r="X266" s="395"/>
      <c r="Y266" s="395"/>
      <c r="Z266" s="395"/>
      <c r="AA266" s="395"/>
      <c r="AB266" s="395"/>
      <c r="AC266" s="395"/>
      <c r="AD266" s="395"/>
      <c r="AE266" s="395"/>
      <c r="AF266" s="395"/>
      <c r="AG266" s="395"/>
      <c r="AH266" s="395"/>
      <c r="AI266" s="395"/>
      <c r="AJ266" s="395"/>
      <c r="AK266" s="395"/>
      <c r="AL266" s="395"/>
      <c r="AM266" s="395"/>
      <c r="AN266" s="395"/>
      <c r="AO266" s="395"/>
      <c r="AP266" s="395"/>
      <c r="AQ266" s="395"/>
      <c r="AR266" s="395"/>
      <c r="AS266" s="395"/>
      <c r="AT266" s="395"/>
      <c r="AU266" s="395"/>
      <c r="AV266" s="395"/>
      <c r="AW266" s="395"/>
      <c r="AX266" s="395"/>
      <c r="AY266" s="395"/>
      <c r="AZ266" s="395"/>
      <c r="BA266" s="395"/>
      <c r="BB266" s="395"/>
      <c r="BC266" s="395"/>
      <c r="BD266" s="395"/>
      <c r="BE266" s="395"/>
      <c r="BF266" s="395"/>
      <c r="BG266" s="395"/>
      <c r="BH266" s="395"/>
      <c r="BI266" s="395"/>
      <c r="BJ266" s="395"/>
      <c r="BK266" s="395"/>
      <c r="BL266" s="395"/>
      <c r="BM266" s="395"/>
      <c r="BN266" s="395"/>
      <c r="BO266" s="395"/>
      <c r="BP266" s="395"/>
      <c r="BQ266" s="395"/>
      <c r="BR266" s="395"/>
      <c r="BS266" s="395"/>
    </row>
    <row r="267" spans="1:71" s="55" customFormat="1" ht="41.25" customHeight="1">
      <c r="A267" s="178" t="s">
        <v>62</v>
      </c>
      <c r="B267" s="178" t="str">
        <f ca="1">+UPPER(Tabla1321124[[#This Row],[DESCRIPCIÓN DE LA COMPRA O CONTRATACIÓN]])</f>
        <v>LLAVE ALLEN</v>
      </c>
      <c r="C267" s="39" t="s">
        <v>1162</v>
      </c>
      <c r="D267" s="236">
        <f>28+5</f>
        <v>33</v>
      </c>
      <c r="E267" s="236">
        <v>5</v>
      </c>
      <c r="F267" s="236">
        <v>10</v>
      </c>
      <c r="G267" s="236">
        <f>5+3</f>
        <v>8</v>
      </c>
      <c r="H267" s="240">
        <f>SUM(Tabla1321124[[#This Row],[PRIMER TRIMESTRE]:[CUARTO TRIMESTRE]])</f>
        <v>56</v>
      </c>
      <c r="I267" s="17">
        <v>2300</v>
      </c>
      <c r="J267" s="17">
        <f>+Tabla1321124[[#This Row],[CANTIDAD TOTAL]]*Tabla1321124[[#This Row],[PRECIO UNITARIO ESTIMADO]]</f>
        <v>128800</v>
      </c>
      <c r="K267" s="387">
        <f>SUM(J155:J267)</f>
        <v>11989711.699999997</v>
      </c>
      <c r="L267" s="16" t="s">
        <v>27</v>
      </c>
      <c r="M267" s="16" t="s">
        <v>22</v>
      </c>
      <c r="N267" s="16" t="s">
        <v>418</v>
      </c>
      <c r="O267" s="395"/>
      <c r="P267" s="395"/>
      <c r="Q267" s="395"/>
      <c r="R267" s="395"/>
      <c r="S267" s="395"/>
      <c r="T267" s="395"/>
      <c r="U267" s="395"/>
      <c r="V267" s="395"/>
      <c r="W267" s="395"/>
      <c r="X267" s="395"/>
      <c r="Y267" s="395"/>
      <c r="Z267" s="395"/>
      <c r="AA267" s="395"/>
      <c r="AB267" s="395"/>
      <c r="AC267" s="395"/>
      <c r="AD267" s="395"/>
      <c r="AE267" s="395"/>
      <c r="AF267" s="395"/>
      <c r="AG267" s="395"/>
      <c r="AH267" s="395"/>
      <c r="AI267" s="395"/>
      <c r="AJ267" s="395"/>
      <c r="AK267" s="395"/>
      <c r="AL267" s="395"/>
      <c r="AM267" s="395"/>
      <c r="AN267" s="395"/>
      <c r="AO267" s="395"/>
      <c r="AP267" s="395"/>
      <c r="AQ267" s="395"/>
      <c r="AR267" s="395"/>
      <c r="AS267" s="395"/>
      <c r="AT267" s="395"/>
      <c r="AU267" s="395"/>
      <c r="AV267" s="395"/>
      <c r="AW267" s="395"/>
      <c r="AX267" s="395"/>
      <c r="AY267" s="395"/>
      <c r="AZ267" s="395"/>
      <c r="BA267" s="395"/>
      <c r="BB267" s="395"/>
      <c r="BC267" s="395"/>
      <c r="BD267" s="395"/>
      <c r="BE267" s="395"/>
      <c r="BF267" s="395"/>
      <c r="BG267" s="395"/>
      <c r="BH267" s="395"/>
      <c r="BI267" s="395"/>
      <c r="BJ267" s="395"/>
      <c r="BK267" s="395"/>
      <c r="BL267" s="395"/>
      <c r="BM267" s="395"/>
      <c r="BN267" s="395"/>
      <c r="BO267" s="395"/>
      <c r="BP267" s="395"/>
      <c r="BQ267" s="395"/>
      <c r="BR267" s="395"/>
      <c r="BS267" s="395"/>
    </row>
    <row r="268" spans="1:71" s="26" customFormat="1" ht="41.25" customHeight="1">
      <c r="A268" s="179" t="s">
        <v>62</v>
      </c>
      <c r="B268" s="76" t="str">
        <f ca="1">+UPPER(Tabla1321124[[#This Row],[DESCRIPCIÓN DE LA COMPRA O CONTRATACIÓN]])</f>
        <v/>
      </c>
      <c r="C268" s="237"/>
      <c r="D268" s="237"/>
      <c r="E268" s="237"/>
      <c r="F268" s="237"/>
      <c r="G268" s="237"/>
      <c r="H268" s="238"/>
      <c r="I268" s="238"/>
      <c r="J268" s="383"/>
      <c r="K268" s="25">
        <f>SUM(J155:J267)</f>
        <v>11989711.699999997</v>
      </c>
      <c r="L268" s="383"/>
      <c r="M268" s="383"/>
      <c r="N268" s="383"/>
      <c r="O268" s="243"/>
      <c r="P268" s="243"/>
      <c r="Q268" s="243"/>
      <c r="R268" s="243"/>
      <c r="S268" s="243"/>
      <c r="T268" s="243"/>
      <c r="U268" s="243"/>
      <c r="V268" s="243"/>
      <c r="W268" s="243"/>
      <c r="X268" s="243"/>
      <c r="Y268" s="243"/>
      <c r="Z268" s="243"/>
      <c r="AA268" s="243"/>
      <c r="AB268" s="243"/>
      <c r="AC268" s="243"/>
      <c r="AD268" s="243"/>
      <c r="AE268" s="243"/>
      <c r="AF268" s="243"/>
      <c r="AG268" s="243"/>
      <c r="AH268" s="243"/>
      <c r="AI268" s="243"/>
      <c r="AJ268" s="243"/>
      <c r="AK268" s="243"/>
      <c r="AL268" s="243"/>
      <c r="AM268" s="243"/>
      <c r="AN268" s="243"/>
      <c r="AO268" s="243"/>
      <c r="AP268" s="243"/>
      <c r="AQ268" s="243"/>
      <c r="AR268" s="243"/>
      <c r="AS268" s="243"/>
      <c r="AT268" s="243"/>
      <c r="AU268" s="243"/>
      <c r="AV268" s="243"/>
      <c r="AW268" s="243"/>
      <c r="AX268" s="243"/>
      <c r="AY268" s="243"/>
      <c r="AZ268" s="243"/>
      <c r="BA268" s="243"/>
      <c r="BB268" s="243"/>
      <c r="BC268" s="243"/>
      <c r="BD268" s="243"/>
      <c r="BE268" s="243"/>
      <c r="BF268" s="243"/>
      <c r="BG268" s="243"/>
      <c r="BH268" s="243"/>
      <c r="BI268" s="243"/>
      <c r="BJ268" s="243"/>
      <c r="BK268" s="243"/>
      <c r="BL268" s="243"/>
      <c r="BM268" s="243"/>
      <c r="BN268" s="243"/>
      <c r="BO268" s="243"/>
      <c r="BP268" s="243"/>
      <c r="BQ268" s="243"/>
      <c r="BR268" s="243"/>
      <c r="BS268" s="243"/>
    </row>
    <row r="269" spans="1:71" s="12" customFormat="1" ht="41.25" customHeight="1">
      <c r="A269" s="178" t="s">
        <v>73</v>
      </c>
      <c r="B269" s="75" t="str">
        <f ca="1">+UPPER(Tabla1321124[[#This Row],[DESCRIPCIÓN DE LA COMPRA O CONTRATACIÓN]])</f>
        <v>DETECTORES DE METAL</v>
      </c>
      <c r="C269" s="39" t="s">
        <v>17</v>
      </c>
      <c r="D269" s="241">
        <v>2</v>
      </c>
      <c r="E269" s="241">
        <v>2</v>
      </c>
      <c r="F269" s="241">
        <v>2</v>
      </c>
      <c r="G269" s="241">
        <v>2</v>
      </c>
      <c r="H269" s="351">
        <f>SUM(Tabla1321124[[#This Row],[PRIMER TRIMESTRE]:[CUARTO TRIMESTRE]])</f>
        <v>8</v>
      </c>
      <c r="I269" s="17">
        <v>239750</v>
      </c>
      <c r="J269" s="52">
        <f>+H269*I269</f>
        <v>1918000</v>
      </c>
      <c r="K269" s="50"/>
      <c r="L269" s="16" t="s">
        <v>18</v>
      </c>
      <c r="M269" s="16" t="s">
        <v>22</v>
      </c>
      <c r="N269" s="16" t="s">
        <v>418</v>
      </c>
      <c r="O269" s="243"/>
      <c r="P269" s="243"/>
      <c r="Q269" s="243"/>
      <c r="R269" s="243"/>
      <c r="S269" s="243"/>
      <c r="T269" s="243"/>
      <c r="U269" s="243"/>
      <c r="V269" s="243"/>
      <c r="W269" s="243"/>
      <c r="X269" s="243"/>
      <c r="Y269" s="243"/>
      <c r="Z269" s="243"/>
      <c r="AA269" s="243"/>
      <c r="AB269" s="243"/>
      <c r="AC269" s="243"/>
      <c r="AD269" s="243"/>
      <c r="AE269" s="243"/>
      <c r="AF269" s="243"/>
      <c r="AG269" s="243"/>
      <c r="AH269" s="243"/>
      <c r="AI269" s="243"/>
      <c r="AJ269" s="243"/>
      <c r="AK269" s="243"/>
      <c r="AL269" s="243"/>
      <c r="AM269" s="243"/>
      <c r="AN269" s="243"/>
      <c r="AO269" s="243"/>
      <c r="AP269" s="243"/>
      <c r="AQ269" s="243"/>
      <c r="AR269" s="243"/>
      <c r="AS269" s="243"/>
      <c r="AT269" s="243"/>
      <c r="AU269" s="243"/>
      <c r="AV269" s="243"/>
      <c r="AW269" s="243"/>
      <c r="AX269" s="243"/>
      <c r="AY269" s="243"/>
      <c r="AZ269" s="243"/>
      <c r="BA269" s="243"/>
      <c r="BB269" s="243"/>
      <c r="BC269" s="243"/>
      <c r="BD269" s="243"/>
      <c r="BE269" s="243"/>
      <c r="BF269" s="243"/>
      <c r="BG269" s="243"/>
      <c r="BH269" s="243"/>
      <c r="BI269" s="243"/>
      <c r="BJ269" s="243"/>
      <c r="BK269" s="243"/>
      <c r="BL269" s="243"/>
      <c r="BM269" s="243"/>
      <c r="BN269" s="243"/>
      <c r="BO269" s="243"/>
      <c r="BP269" s="243"/>
      <c r="BQ269" s="243"/>
      <c r="BR269" s="243"/>
      <c r="BS269" s="243"/>
    </row>
    <row r="270" spans="1:71" s="12" customFormat="1" ht="41.25" customHeight="1">
      <c r="A270" s="178" t="s">
        <v>73</v>
      </c>
      <c r="B270" s="75" t="str">
        <f ca="1">+UPPER(Tabla1321124[[#This Row],[DESCRIPCIÓN DE LA COMPRA O CONTRATACIÓN]])</f>
        <v>DETECTORES DE FUGA</v>
      </c>
      <c r="C270" s="39" t="s">
        <v>17</v>
      </c>
      <c r="D270" s="241">
        <f>3+2</f>
        <v>5</v>
      </c>
      <c r="E270" s="241">
        <v>2</v>
      </c>
      <c r="F270" s="241">
        <v>3</v>
      </c>
      <c r="G270" s="241">
        <v>2</v>
      </c>
      <c r="H270" s="351">
        <f>SUM(Tabla1321124[[#This Row],[PRIMER TRIMESTRE]:[CUARTO TRIMESTRE]])</f>
        <v>12</v>
      </c>
      <c r="I270" s="17">
        <v>37500</v>
      </c>
      <c r="J270" s="52">
        <f>+H270*I270</f>
        <v>450000</v>
      </c>
      <c r="K270" s="50"/>
      <c r="L270" s="16" t="s">
        <v>18</v>
      </c>
      <c r="M270" s="16" t="s">
        <v>22</v>
      </c>
      <c r="N270" s="16" t="s">
        <v>418</v>
      </c>
      <c r="O270" s="243"/>
      <c r="P270" s="243"/>
      <c r="Q270" s="243"/>
      <c r="R270" s="243"/>
      <c r="S270" s="243"/>
      <c r="T270" s="243"/>
      <c r="U270" s="243"/>
      <c r="V270" s="243"/>
      <c r="W270" s="243"/>
      <c r="X270" s="243"/>
      <c r="Y270" s="243"/>
      <c r="Z270" s="243"/>
      <c r="AA270" s="243"/>
      <c r="AB270" s="243"/>
      <c r="AC270" s="243"/>
      <c r="AD270" s="243"/>
      <c r="AE270" s="243"/>
      <c r="AF270" s="243"/>
      <c r="AG270" s="243"/>
      <c r="AH270" s="243"/>
      <c r="AI270" s="243"/>
      <c r="AJ270" s="243"/>
      <c r="AK270" s="243"/>
      <c r="AL270" s="243"/>
      <c r="AM270" s="243"/>
      <c r="AN270" s="243"/>
      <c r="AO270" s="243"/>
      <c r="AP270" s="243"/>
      <c r="AQ270" s="243"/>
      <c r="AR270" s="243"/>
      <c r="AS270" s="243"/>
      <c r="AT270" s="243"/>
      <c r="AU270" s="243"/>
      <c r="AV270" s="243"/>
      <c r="AW270" s="243"/>
      <c r="AX270" s="243"/>
      <c r="AY270" s="243"/>
      <c r="AZ270" s="243"/>
      <c r="BA270" s="243"/>
      <c r="BB270" s="243"/>
      <c r="BC270" s="243"/>
      <c r="BD270" s="243"/>
      <c r="BE270" s="243"/>
      <c r="BF270" s="243"/>
      <c r="BG270" s="243"/>
      <c r="BH270" s="243"/>
      <c r="BI270" s="243"/>
      <c r="BJ270" s="243"/>
      <c r="BK270" s="243"/>
      <c r="BL270" s="243"/>
      <c r="BM270" s="243"/>
      <c r="BN270" s="243"/>
      <c r="BO270" s="243"/>
      <c r="BP270" s="243"/>
      <c r="BQ270" s="243"/>
      <c r="BR270" s="243"/>
      <c r="BS270" s="243"/>
    </row>
    <row r="271" spans="1:71" s="12" customFormat="1" ht="41.25" customHeight="1">
      <c r="A271" s="178" t="s">
        <v>73</v>
      </c>
      <c r="B271" s="75" t="str">
        <f ca="1">+UPPER(Tabla1321124[[#This Row],[DESCRIPCIÓN DE LA COMPRA O CONTRATACIÓN]])</f>
        <v>CORRELADOR ULTRASONICO ACUSTICO</v>
      </c>
      <c r="C271" s="39" t="s">
        <v>17</v>
      </c>
      <c r="D271" s="241">
        <v>1</v>
      </c>
      <c r="E271" s="241">
        <v>1</v>
      </c>
      <c r="F271" s="241"/>
      <c r="G271" s="241">
        <v>1</v>
      </c>
      <c r="H271" s="351">
        <f>SUM(Tabla1321124[[#This Row],[PRIMER TRIMESTRE]:[CUARTO TRIMESTRE]])</f>
        <v>3</v>
      </c>
      <c r="I271" s="17">
        <v>301000</v>
      </c>
      <c r="J271" s="52">
        <f>+H271*I271</f>
        <v>903000</v>
      </c>
      <c r="K271" s="50"/>
      <c r="L271" s="16" t="s">
        <v>18</v>
      </c>
      <c r="M271" s="16" t="s">
        <v>22</v>
      </c>
      <c r="N271" s="16" t="s">
        <v>418</v>
      </c>
      <c r="O271" s="243"/>
      <c r="P271" s="243"/>
      <c r="Q271" s="243"/>
      <c r="R271" s="243"/>
      <c r="S271" s="243"/>
      <c r="T271" s="243"/>
      <c r="U271" s="243"/>
      <c r="V271" s="243"/>
      <c r="W271" s="243"/>
      <c r="X271" s="243"/>
      <c r="Y271" s="243"/>
      <c r="Z271" s="243"/>
      <c r="AA271" s="243"/>
      <c r="AB271" s="243"/>
      <c r="AC271" s="243"/>
      <c r="AD271" s="243"/>
      <c r="AE271" s="243"/>
      <c r="AF271" s="243"/>
      <c r="AG271" s="243"/>
      <c r="AH271" s="243"/>
      <c r="AI271" s="243"/>
      <c r="AJ271" s="243"/>
      <c r="AK271" s="243"/>
      <c r="AL271" s="243"/>
      <c r="AM271" s="243"/>
      <c r="AN271" s="243"/>
      <c r="AO271" s="243"/>
      <c r="AP271" s="243"/>
      <c r="AQ271" s="243"/>
      <c r="AR271" s="243"/>
      <c r="AS271" s="243"/>
      <c r="AT271" s="243"/>
      <c r="AU271" s="243"/>
      <c r="AV271" s="243"/>
      <c r="AW271" s="243"/>
      <c r="AX271" s="243"/>
      <c r="AY271" s="243"/>
      <c r="AZ271" s="243"/>
      <c r="BA271" s="243"/>
      <c r="BB271" s="243"/>
      <c r="BC271" s="243"/>
      <c r="BD271" s="243"/>
      <c r="BE271" s="243"/>
      <c r="BF271" s="243"/>
      <c r="BG271" s="243"/>
      <c r="BH271" s="243"/>
      <c r="BI271" s="243"/>
      <c r="BJ271" s="243"/>
      <c r="BK271" s="243"/>
      <c r="BL271" s="243"/>
      <c r="BM271" s="243"/>
      <c r="BN271" s="243"/>
      <c r="BO271" s="243"/>
      <c r="BP271" s="243"/>
      <c r="BQ271" s="243"/>
      <c r="BR271" s="243"/>
      <c r="BS271" s="243"/>
    </row>
    <row r="272" spans="1:71" s="12" customFormat="1" ht="41.25" customHeight="1">
      <c r="A272" s="178" t="s">
        <v>73</v>
      </c>
      <c r="B272" s="75" t="str">
        <f ca="1">+UPPER(Tabla1321124[[#This Row],[DESCRIPCIÓN DE LA COMPRA O CONTRATACIÓN]])</f>
        <v>MEDIDORES DE CAUDALES ELECTRONICO</v>
      </c>
      <c r="C272" s="39" t="s">
        <v>17</v>
      </c>
      <c r="D272" s="241">
        <v>2</v>
      </c>
      <c r="E272" s="241">
        <v>2</v>
      </c>
      <c r="F272" s="241">
        <v>2</v>
      </c>
      <c r="G272" s="241">
        <v>2</v>
      </c>
      <c r="H272" s="351">
        <f>SUM(Tabla1321124[[#This Row],[PRIMER TRIMESTRE]:[CUARTO TRIMESTRE]])</f>
        <v>8</v>
      </c>
      <c r="I272" s="17">
        <v>350000</v>
      </c>
      <c r="J272" s="52">
        <f>+H272*I272</f>
        <v>2800000</v>
      </c>
      <c r="K272" s="397">
        <f>SUM(J269:J272)</f>
        <v>6071000</v>
      </c>
      <c r="L272" s="16" t="s">
        <v>18</v>
      </c>
      <c r="M272" s="16" t="s">
        <v>22</v>
      </c>
      <c r="N272" s="16" t="s">
        <v>418</v>
      </c>
      <c r="O272" s="243"/>
      <c r="P272" s="243"/>
      <c r="Q272" s="243"/>
      <c r="R272" s="243"/>
      <c r="S272" s="243"/>
      <c r="T272" s="243"/>
      <c r="U272" s="243"/>
      <c r="V272" s="243"/>
      <c r="W272" s="243"/>
      <c r="X272" s="243"/>
      <c r="Y272" s="243"/>
      <c r="Z272" s="243"/>
      <c r="AA272" s="243"/>
      <c r="AB272" s="243"/>
      <c r="AC272" s="243"/>
      <c r="AD272" s="243"/>
      <c r="AE272" s="243"/>
      <c r="AF272" s="243"/>
      <c r="AG272" s="243"/>
      <c r="AH272" s="243"/>
      <c r="AI272" s="243"/>
      <c r="AJ272" s="243"/>
      <c r="AK272" s="243"/>
      <c r="AL272" s="243"/>
      <c r="AM272" s="243"/>
      <c r="AN272" s="243"/>
      <c r="AO272" s="243"/>
      <c r="AP272" s="243"/>
      <c r="AQ272" s="243"/>
      <c r="AR272" s="243"/>
      <c r="AS272" s="243"/>
      <c r="AT272" s="243"/>
      <c r="AU272" s="243"/>
      <c r="AV272" s="243"/>
      <c r="AW272" s="243"/>
      <c r="AX272" s="243"/>
      <c r="AY272" s="243"/>
      <c r="AZ272" s="243"/>
      <c r="BA272" s="243"/>
      <c r="BB272" s="243"/>
      <c r="BC272" s="243"/>
      <c r="BD272" s="243"/>
      <c r="BE272" s="243"/>
      <c r="BF272" s="243"/>
      <c r="BG272" s="243"/>
      <c r="BH272" s="243"/>
      <c r="BI272" s="243"/>
      <c r="BJ272" s="243"/>
      <c r="BK272" s="243"/>
      <c r="BL272" s="243"/>
      <c r="BM272" s="243"/>
      <c r="BN272" s="243"/>
      <c r="BO272" s="243"/>
      <c r="BP272" s="243"/>
      <c r="BQ272" s="243"/>
      <c r="BR272" s="243"/>
      <c r="BS272" s="243"/>
    </row>
    <row r="273" spans="1:71" s="12" customFormat="1" ht="41.25" customHeight="1">
      <c r="A273" s="538" t="s">
        <v>73</v>
      </c>
      <c r="B273" s="76" t="str">
        <f ca="1">+UPPER(Tabla1321124[[#This Row],[DESCRIPCIÓN DE LA COMPRA O CONTRATACIÓN]])</f>
        <v/>
      </c>
      <c r="C273" s="237"/>
      <c r="D273" s="237"/>
      <c r="E273" s="237"/>
      <c r="F273" s="237"/>
      <c r="G273" s="237"/>
      <c r="H273" s="238"/>
      <c r="I273" s="238"/>
      <c r="J273" s="383"/>
      <c r="K273" s="25">
        <f>SUM(J269:J272)</f>
        <v>6071000</v>
      </c>
      <c r="L273" s="383"/>
      <c r="M273" s="383"/>
      <c r="N273" s="383"/>
      <c r="O273" s="243"/>
      <c r="P273" s="243"/>
      <c r="Q273" s="243"/>
      <c r="R273" s="243"/>
      <c r="S273" s="243"/>
      <c r="T273" s="243"/>
      <c r="U273" s="243"/>
      <c r="V273" s="243"/>
      <c r="W273" s="243"/>
      <c r="X273" s="243"/>
      <c r="Y273" s="243"/>
      <c r="Z273" s="243"/>
      <c r="AA273" s="243"/>
      <c r="AB273" s="243"/>
      <c r="AC273" s="243"/>
      <c r="AD273" s="243"/>
      <c r="AE273" s="243"/>
      <c r="AF273" s="243"/>
      <c r="AG273" s="243"/>
      <c r="AH273" s="243"/>
      <c r="AI273" s="243"/>
      <c r="AJ273" s="243"/>
      <c r="AK273" s="243"/>
      <c r="AL273" s="243"/>
      <c r="AM273" s="243"/>
      <c r="AN273" s="243"/>
      <c r="AO273" s="243"/>
      <c r="AP273" s="243"/>
      <c r="AQ273" s="243"/>
      <c r="AR273" s="243"/>
      <c r="AS273" s="243"/>
      <c r="AT273" s="243"/>
      <c r="AU273" s="243"/>
      <c r="AV273" s="243"/>
      <c r="AW273" s="243"/>
      <c r="AX273" s="243"/>
      <c r="AY273" s="243"/>
      <c r="AZ273" s="243"/>
      <c r="BA273" s="243"/>
      <c r="BB273" s="243"/>
      <c r="BC273" s="243"/>
      <c r="BD273" s="243"/>
      <c r="BE273" s="243"/>
      <c r="BF273" s="243"/>
      <c r="BG273" s="243"/>
      <c r="BH273" s="243"/>
      <c r="BI273" s="243"/>
      <c r="BJ273" s="243"/>
      <c r="BK273" s="243"/>
      <c r="BL273" s="243"/>
      <c r="BM273" s="243"/>
      <c r="BN273" s="243"/>
      <c r="BO273" s="243"/>
      <c r="BP273" s="243"/>
      <c r="BQ273" s="243"/>
      <c r="BR273" s="243"/>
      <c r="BS273" s="243"/>
    </row>
    <row r="274" spans="1:71" s="12" customFormat="1" ht="41.25" customHeight="1">
      <c r="A274" s="178" t="s">
        <v>80</v>
      </c>
      <c r="B274" s="178" t="str">
        <f ca="1">+UPPER(Tabla1321124[[#This Row],[DESCRIPCIÓN DE LA COMPRA O CONTRATACIÓN]])</f>
        <v>ABRAZADERA DE ½”</v>
      </c>
      <c r="C274" s="39" t="s">
        <v>69</v>
      </c>
      <c r="D274" s="236">
        <v>12</v>
      </c>
      <c r="E274" s="236">
        <v>12</v>
      </c>
      <c r="F274" s="236">
        <v>12</v>
      </c>
      <c r="G274" s="236"/>
      <c r="H274" s="240">
        <f>SUM(Tabla1321124[[#This Row],[PRIMER TRIMESTRE]:[CUARTO TRIMESTRE]])</f>
        <v>36</v>
      </c>
      <c r="I274" s="17">
        <v>34</v>
      </c>
      <c r="J274" s="17">
        <f>+Tabla1321124[[#This Row],[CANTIDAD TOTAL]]*Tabla1321124[[#This Row],[PRECIO UNITARIO ESTIMADO]]</f>
        <v>1224</v>
      </c>
      <c r="K274" s="175"/>
      <c r="L274" s="16" t="s">
        <v>18</v>
      </c>
      <c r="M274" s="16" t="s">
        <v>22</v>
      </c>
      <c r="N274" s="16" t="s">
        <v>418</v>
      </c>
      <c r="O274" s="243"/>
      <c r="P274" s="243"/>
      <c r="Q274" s="243"/>
      <c r="R274" s="243"/>
      <c r="S274" s="243"/>
      <c r="T274" s="243"/>
      <c r="U274" s="243"/>
      <c r="V274" s="243"/>
      <c r="W274" s="243"/>
      <c r="X274" s="243"/>
      <c r="Y274" s="243"/>
      <c r="Z274" s="243"/>
      <c r="AA274" s="243"/>
      <c r="AB274" s="243"/>
      <c r="AC274" s="243"/>
      <c r="AD274" s="243"/>
      <c r="AE274" s="243"/>
      <c r="AF274" s="243"/>
      <c r="AG274" s="243"/>
      <c r="AH274" s="243"/>
      <c r="AI274" s="243"/>
      <c r="AJ274" s="243"/>
      <c r="AK274" s="243"/>
      <c r="AL274" s="243"/>
      <c r="AM274" s="243"/>
      <c r="AN274" s="243"/>
      <c r="AO274" s="243"/>
      <c r="AP274" s="243"/>
      <c r="AQ274" s="243"/>
      <c r="AR274" s="243"/>
      <c r="AS274" s="243"/>
      <c r="AT274" s="243"/>
      <c r="AU274" s="243"/>
      <c r="AV274" s="243"/>
      <c r="AW274" s="243"/>
      <c r="AX274" s="243"/>
      <c r="AY274" s="243"/>
      <c r="AZ274" s="243"/>
      <c r="BA274" s="243"/>
      <c r="BB274" s="243"/>
      <c r="BC274" s="243"/>
      <c r="BD274" s="243"/>
      <c r="BE274" s="243"/>
      <c r="BF274" s="243"/>
      <c r="BG274" s="243"/>
      <c r="BH274" s="243"/>
      <c r="BI274" s="243"/>
      <c r="BJ274" s="243"/>
      <c r="BK274" s="243"/>
      <c r="BL274" s="243"/>
      <c r="BM274" s="243"/>
      <c r="BN274" s="243"/>
      <c r="BO274" s="243"/>
      <c r="BP274" s="243"/>
      <c r="BQ274" s="243"/>
      <c r="BR274" s="243"/>
      <c r="BS274" s="243"/>
    </row>
    <row r="275" spans="1:71" s="12" customFormat="1" ht="41.25" customHeight="1">
      <c r="A275" s="178" t="s">
        <v>80</v>
      </c>
      <c r="B275" s="178" t="str">
        <f ca="1">+UPPER(Tabla1321124[[#This Row],[DESCRIPCIÓN DE LA COMPRA O CONTRATACIÓN]])</f>
        <v>ABRAZADERA DE 2X ¾”</v>
      </c>
      <c r="C275" s="39" t="s">
        <v>69</v>
      </c>
      <c r="D275" s="236">
        <v>6</v>
      </c>
      <c r="E275" s="236">
        <v>2</v>
      </c>
      <c r="F275" s="236">
        <v>2</v>
      </c>
      <c r="G275" s="236"/>
      <c r="H275" s="240">
        <f>SUM(Tabla1321124[[#This Row],[PRIMER TRIMESTRE]:[CUARTO TRIMESTRE]])</f>
        <v>10</v>
      </c>
      <c r="I275" s="17">
        <v>41</v>
      </c>
      <c r="J275" s="17">
        <f>+Tabla1321124[[#This Row],[CANTIDAD TOTAL]]*Tabla1321124[[#This Row],[PRECIO UNITARIO ESTIMADO]]</f>
        <v>410</v>
      </c>
      <c r="K275" s="175"/>
      <c r="L275" s="16" t="s">
        <v>18</v>
      </c>
      <c r="M275" s="16" t="s">
        <v>22</v>
      </c>
      <c r="N275" s="16" t="s">
        <v>418</v>
      </c>
      <c r="O275" s="243"/>
      <c r="P275" s="243"/>
      <c r="Q275" s="243"/>
      <c r="R275" s="243"/>
      <c r="S275" s="243"/>
      <c r="T275" s="243"/>
      <c r="U275" s="243"/>
      <c r="V275" s="243"/>
      <c r="W275" s="243"/>
      <c r="X275" s="243"/>
      <c r="Y275" s="243"/>
      <c r="Z275" s="243"/>
      <c r="AA275" s="243"/>
      <c r="AB275" s="243"/>
      <c r="AC275" s="243"/>
      <c r="AD275" s="243"/>
      <c r="AE275" s="243"/>
      <c r="AF275" s="243"/>
      <c r="AG275" s="243"/>
      <c r="AH275" s="243"/>
      <c r="AI275" s="243"/>
      <c r="AJ275" s="243"/>
      <c r="AK275" s="243"/>
      <c r="AL275" s="243"/>
      <c r="AM275" s="243"/>
      <c r="AN275" s="243"/>
      <c r="AO275" s="243"/>
      <c r="AP275" s="243"/>
      <c r="AQ275" s="243"/>
      <c r="AR275" s="243"/>
      <c r="AS275" s="243"/>
      <c r="AT275" s="243"/>
      <c r="AU275" s="243"/>
      <c r="AV275" s="243"/>
      <c r="AW275" s="243"/>
      <c r="AX275" s="243"/>
      <c r="AY275" s="243"/>
      <c r="AZ275" s="243"/>
      <c r="BA275" s="243"/>
      <c r="BB275" s="243"/>
      <c r="BC275" s="243"/>
      <c r="BD275" s="243"/>
      <c r="BE275" s="243"/>
      <c r="BF275" s="243"/>
      <c r="BG275" s="243"/>
      <c r="BH275" s="243"/>
      <c r="BI275" s="243"/>
      <c r="BJ275" s="243"/>
      <c r="BK275" s="243"/>
      <c r="BL275" s="243"/>
      <c r="BM275" s="243"/>
      <c r="BN275" s="243"/>
      <c r="BO275" s="243"/>
      <c r="BP275" s="243"/>
      <c r="BQ275" s="243"/>
      <c r="BR275" s="243"/>
      <c r="BS275" s="243"/>
    </row>
    <row r="276" spans="1:71" s="12" customFormat="1" ht="41.25" customHeight="1">
      <c r="A276" s="178" t="s">
        <v>80</v>
      </c>
      <c r="B276" s="178" t="str">
        <f ca="1">+UPPER(Tabla1321124[[#This Row],[DESCRIPCIÓN DE LA COMPRA O CONTRATACIÓN]])</f>
        <v>ABRAZADERA DE 3X ½”</v>
      </c>
      <c r="C276" s="39" t="s">
        <v>69</v>
      </c>
      <c r="D276" s="236">
        <v>2</v>
      </c>
      <c r="E276" s="236">
        <v>1</v>
      </c>
      <c r="F276" s="236">
        <v>1</v>
      </c>
      <c r="G276" s="236"/>
      <c r="H276" s="240">
        <f>SUM(Tabla1321124[[#This Row],[PRIMER TRIMESTRE]:[CUARTO TRIMESTRE]])</f>
        <v>4</v>
      </c>
      <c r="I276" s="17">
        <v>56</v>
      </c>
      <c r="J276" s="17">
        <f>+Tabla1321124[[#This Row],[CANTIDAD TOTAL]]*Tabla1321124[[#This Row],[PRECIO UNITARIO ESTIMADO]]</f>
        <v>224</v>
      </c>
      <c r="K276" s="175"/>
      <c r="L276" s="16" t="s">
        <v>18</v>
      </c>
      <c r="M276" s="16" t="s">
        <v>22</v>
      </c>
      <c r="N276" s="16" t="s">
        <v>418</v>
      </c>
      <c r="O276" s="243"/>
      <c r="P276" s="243"/>
      <c r="Q276" s="243"/>
      <c r="R276" s="243"/>
      <c r="S276" s="243"/>
      <c r="T276" s="243"/>
      <c r="U276" s="243"/>
      <c r="V276" s="243"/>
      <c r="W276" s="243"/>
      <c r="X276" s="243"/>
      <c r="Y276" s="243"/>
      <c r="Z276" s="243"/>
      <c r="AA276" s="243"/>
      <c r="AB276" s="243"/>
      <c r="AC276" s="243"/>
      <c r="AD276" s="243"/>
      <c r="AE276" s="243"/>
      <c r="AF276" s="243"/>
      <c r="AG276" s="243"/>
      <c r="AH276" s="243"/>
      <c r="AI276" s="243"/>
      <c r="AJ276" s="243"/>
      <c r="AK276" s="243"/>
      <c r="AL276" s="243"/>
      <c r="AM276" s="243"/>
      <c r="AN276" s="243"/>
      <c r="AO276" s="243"/>
      <c r="AP276" s="243"/>
      <c r="AQ276" s="243"/>
      <c r="AR276" s="243"/>
      <c r="AS276" s="243"/>
      <c r="AT276" s="243"/>
      <c r="AU276" s="243"/>
      <c r="AV276" s="243"/>
      <c r="AW276" s="243"/>
      <c r="AX276" s="243"/>
      <c r="AY276" s="243"/>
      <c r="AZ276" s="243"/>
      <c r="BA276" s="243"/>
      <c r="BB276" s="243"/>
      <c r="BC276" s="243"/>
      <c r="BD276" s="243"/>
      <c r="BE276" s="243"/>
      <c r="BF276" s="243"/>
      <c r="BG276" s="243"/>
      <c r="BH276" s="243"/>
      <c r="BI276" s="243"/>
      <c r="BJ276" s="243"/>
      <c r="BK276" s="243"/>
      <c r="BL276" s="243"/>
      <c r="BM276" s="243"/>
      <c r="BN276" s="243"/>
      <c r="BO276" s="243"/>
      <c r="BP276" s="243"/>
      <c r="BQ276" s="243"/>
      <c r="BR276" s="243"/>
      <c r="BS276" s="243"/>
    </row>
    <row r="277" spans="1:71" s="12" customFormat="1" ht="41.25" customHeight="1">
      <c r="A277" s="178" t="s">
        <v>80</v>
      </c>
      <c r="B277" s="178" t="str">
        <f ca="1">+UPPER(Tabla1321124[[#This Row],[DESCRIPCIÓN DE LA COMPRA O CONTRATACIÓN]])</f>
        <v>ABRAZADERA DE 6/2</v>
      </c>
      <c r="C277" s="39" t="s">
        <v>69</v>
      </c>
      <c r="D277" s="236">
        <v>1</v>
      </c>
      <c r="E277" s="236">
        <v>0</v>
      </c>
      <c r="F277" s="236">
        <v>1</v>
      </c>
      <c r="G277" s="236"/>
      <c r="H277" s="240">
        <f>SUM(Tabla1321124[[#This Row],[PRIMER TRIMESTRE]:[CUARTO TRIMESTRE]])</f>
        <v>2</v>
      </c>
      <c r="I277" s="17">
        <v>65</v>
      </c>
      <c r="J277" s="17">
        <f>+Tabla1321124[[#This Row],[CANTIDAD TOTAL]]*Tabla1321124[[#This Row],[PRECIO UNITARIO ESTIMADO]]</f>
        <v>130</v>
      </c>
      <c r="K277" s="175"/>
      <c r="L277" s="16" t="s">
        <v>18</v>
      </c>
      <c r="M277" s="16" t="s">
        <v>22</v>
      </c>
      <c r="N277" s="16" t="s">
        <v>418</v>
      </c>
      <c r="O277" s="243"/>
      <c r="P277" s="243"/>
      <c r="Q277" s="243"/>
      <c r="R277" s="243"/>
      <c r="S277" s="243"/>
      <c r="T277" s="243"/>
      <c r="U277" s="243"/>
      <c r="V277" s="243"/>
      <c r="W277" s="243"/>
      <c r="X277" s="243"/>
      <c r="Y277" s="243"/>
      <c r="Z277" s="243"/>
      <c r="AA277" s="243"/>
      <c r="AB277" s="243"/>
      <c r="AC277" s="243"/>
      <c r="AD277" s="243"/>
      <c r="AE277" s="243"/>
      <c r="AF277" s="243"/>
      <c r="AG277" s="243"/>
      <c r="AH277" s="243"/>
      <c r="AI277" s="243"/>
      <c r="AJ277" s="243"/>
      <c r="AK277" s="243"/>
      <c r="AL277" s="243"/>
      <c r="AM277" s="243"/>
      <c r="AN277" s="243"/>
      <c r="AO277" s="243"/>
      <c r="AP277" s="243"/>
      <c r="AQ277" s="243"/>
      <c r="AR277" s="243"/>
      <c r="AS277" s="243"/>
      <c r="AT277" s="243"/>
      <c r="AU277" s="243"/>
      <c r="AV277" s="243"/>
      <c r="AW277" s="243"/>
      <c r="AX277" s="243"/>
      <c r="AY277" s="243"/>
      <c r="AZ277" s="243"/>
      <c r="BA277" s="243"/>
      <c r="BB277" s="243"/>
      <c r="BC277" s="243"/>
      <c r="BD277" s="243"/>
      <c r="BE277" s="243"/>
      <c r="BF277" s="243"/>
      <c r="BG277" s="243"/>
      <c r="BH277" s="243"/>
      <c r="BI277" s="243"/>
      <c r="BJ277" s="243"/>
      <c r="BK277" s="243"/>
      <c r="BL277" s="243"/>
      <c r="BM277" s="243"/>
      <c r="BN277" s="243"/>
      <c r="BO277" s="243"/>
      <c r="BP277" s="243"/>
      <c r="BQ277" s="243"/>
      <c r="BR277" s="243"/>
      <c r="BS277" s="243"/>
    </row>
    <row r="278" spans="1:71" s="12" customFormat="1" ht="41.25" customHeight="1">
      <c r="A278" s="178" t="s">
        <v>80</v>
      </c>
      <c r="B278" s="178" t="str">
        <f ca="1">+UPPER(Tabla1321124[[#This Row],[DESCRIPCIÓN DE LA COMPRA O CONTRATACIÓN]])</f>
        <v>ABRAZADERAS DE 2X ½”</v>
      </c>
      <c r="C278" s="39" t="s">
        <v>69</v>
      </c>
      <c r="D278" s="236">
        <v>2</v>
      </c>
      <c r="E278" s="236">
        <v>0</v>
      </c>
      <c r="F278" s="236">
        <v>1</v>
      </c>
      <c r="G278" s="236"/>
      <c r="H278" s="240">
        <f>SUM(Tabla1321124[[#This Row],[PRIMER TRIMESTRE]:[CUARTO TRIMESTRE]])</f>
        <v>3</v>
      </c>
      <c r="I278" s="17">
        <v>74</v>
      </c>
      <c r="J278" s="17">
        <f>+Tabla1321124[[#This Row],[CANTIDAD TOTAL]]*Tabla1321124[[#This Row],[PRECIO UNITARIO ESTIMADO]]</f>
        <v>222</v>
      </c>
      <c r="K278" s="175"/>
      <c r="L278" s="16" t="s">
        <v>18</v>
      </c>
      <c r="M278" s="16" t="s">
        <v>22</v>
      </c>
      <c r="N278" s="16" t="s">
        <v>418</v>
      </c>
      <c r="O278" s="243"/>
      <c r="P278" s="243"/>
      <c r="Q278" s="243"/>
      <c r="R278" s="243"/>
      <c r="S278" s="243"/>
      <c r="T278" s="243"/>
      <c r="U278" s="243"/>
      <c r="V278" s="243"/>
      <c r="W278" s="243"/>
      <c r="X278" s="243"/>
      <c r="Y278" s="243"/>
      <c r="Z278" s="243"/>
      <c r="AA278" s="243"/>
      <c r="AB278" s="243"/>
      <c r="AC278" s="243"/>
      <c r="AD278" s="243"/>
      <c r="AE278" s="243"/>
      <c r="AF278" s="243"/>
      <c r="AG278" s="243"/>
      <c r="AH278" s="243"/>
      <c r="AI278" s="243"/>
      <c r="AJ278" s="243"/>
      <c r="AK278" s="243"/>
      <c r="AL278" s="243"/>
      <c r="AM278" s="243"/>
      <c r="AN278" s="243"/>
      <c r="AO278" s="243"/>
      <c r="AP278" s="243"/>
      <c r="AQ278" s="243"/>
      <c r="AR278" s="243"/>
      <c r="AS278" s="243"/>
      <c r="AT278" s="243"/>
      <c r="AU278" s="243"/>
      <c r="AV278" s="243"/>
      <c r="AW278" s="243"/>
      <c r="AX278" s="243"/>
      <c r="AY278" s="243"/>
      <c r="AZ278" s="243"/>
      <c r="BA278" s="243"/>
      <c r="BB278" s="243"/>
      <c r="BC278" s="243"/>
      <c r="BD278" s="243"/>
      <c r="BE278" s="243"/>
      <c r="BF278" s="243"/>
      <c r="BG278" s="243"/>
      <c r="BH278" s="243"/>
      <c r="BI278" s="243"/>
      <c r="BJ278" s="243"/>
      <c r="BK278" s="243"/>
      <c r="BL278" s="243"/>
      <c r="BM278" s="243"/>
      <c r="BN278" s="243"/>
      <c r="BO278" s="243"/>
      <c r="BP278" s="243"/>
      <c r="BQ278" s="243"/>
      <c r="BR278" s="243"/>
      <c r="BS278" s="243"/>
    </row>
    <row r="279" spans="1:71" s="12" customFormat="1" ht="41.25" customHeight="1">
      <c r="A279" s="178" t="s">
        <v>80</v>
      </c>
      <c r="B279" s="178" t="str">
        <f ca="1">+UPPER(Tabla1321124[[#This Row],[DESCRIPCIÓN DE LA COMPRA O CONTRATACIÓN]])</f>
        <v>ABRAZADERAS DE 2X ¾”</v>
      </c>
      <c r="C279" s="39" t="s">
        <v>69</v>
      </c>
      <c r="D279" s="236">
        <v>2</v>
      </c>
      <c r="E279" s="236">
        <v>1</v>
      </c>
      <c r="F279" s="236">
        <v>1</v>
      </c>
      <c r="G279" s="236"/>
      <c r="H279" s="240">
        <f>SUM(Tabla1321124[[#This Row],[PRIMER TRIMESTRE]:[CUARTO TRIMESTRE]])</f>
        <v>4</v>
      </c>
      <c r="I279" s="17">
        <v>80</v>
      </c>
      <c r="J279" s="17">
        <f>+Tabla1321124[[#This Row],[CANTIDAD TOTAL]]*Tabla1321124[[#This Row],[PRECIO UNITARIO ESTIMADO]]</f>
        <v>320</v>
      </c>
      <c r="K279" s="175"/>
      <c r="L279" s="16" t="s">
        <v>18</v>
      </c>
      <c r="M279" s="16" t="s">
        <v>22</v>
      </c>
      <c r="N279" s="16" t="s">
        <v>418</v>
      </c>
      <c r="O279" s="243"/>
      <c r="P279" s="243"/>
      <c r="Q279" s="243"/>
      <c r="R279" s="243"/>
      <c r="S279" s="243"/>
      <c r="T279" s="243"/>
      <c r="U279" s="243"/>
      <c r="V279" s="243"/>
      <c r="W279" s="243"/>
      <c r="X279" s="243"/>
      <c r="Y279" s="243"/>
      <c r="Z279" s="243"/>
      <c r="AA279" s="243"/>
      <c r="AB279" s="243"/>
      <c r="AC279" s="243"/>
      <c r="AD279" s="243"/>
      <c r="AE279" s="243"/>
      <c r="AF279" s="243"/>
      <c r="AG279" s="243"/>
      <c r="AH279" s="243"/>
      <c r="AI279" s="243"/>
      <c r="AJ279" s="243"/>
      <c r="AK279" s="243"/>
      <c r="AL279" s="243"/>
      <c r="AM279" s="243"/>
      <c r="AN279" s="243"/>
      <c r="AO279" s="243"/>
      <c r="AP279" s="243"/>
      <c r="AQ279" s="243"/>
      <c r="AR279" s="243"/>
      <c r="AS279" s="243"/>
      <c r="AT279" s="243"/>
      <c r="AU279" s="243"/>
      <c r="AV279" s="243"/>
      <c r="AW279" s="243"/>
      <c r="AX279" s="243"/>
      <c r="AY279" s="243"/>
      <c r="AZ279" s="243"/>
      <c r="BA279" s="243"/>
      <c r="BB279" s="243"/>
      <c r="BC279" s="243"/>
      <c r="BD279" s="243"/>
      <c r="BE279" s="243"/>
      <c r="BF279" s="243"/>
      <c r="BG279" s="243"/>
      <c r="BH279" s="243"/>
      <c r="BI279" s="243"/>
      <c r="BJ279" s="243"/>
      <c r="BK279" s="243"/>
      <c r="BL279" s="243"/>
      <c r="BM279" s="243"/>
      <c r="BN279" s="243"/>
      <c r="BO279" s="243"/>
      <c r="BP279" s="243"/>
      <c r="BQ279" s="243"/>
      <c r="BR279" s="243"/>
      <c r="BS279" s="243"/>
    </row>
    <row r="280" spans="1:71" s="12" customFormat="1" ht="41.25" customHeight="1">
      <c r="A280" s="178" t="s">
        <v>80</v>
      </c>
      <c r="B280" s="178" t="str">
        <f ca="1">+UPPER(Tabla1321124[[#This Row],[DESCRIPCIÓN DE LA COMPRA O CONTRATACIÓN]])</f>
        <v>ADAPTADORES HEMBRA 1/2 PVC</v>
      </c>
      <c r="C280" s="39" t="s">
        <v>69</v>
      </c>
      <c r="D280" s="236">
        <v>10000</v>
      </c>
      <c r="E280" s="236">
        <v>10000</v>
      </c>
      <c r="F280" s="236">
        <v>10000</v>
      </c>
      <c r="G280" s="236">
        <v>10000</v>
      </c>
      <c r="H280" s="240">
        <f>SUM(Tabla1321124[[#This Row],[PRIMER TRIMESTRE]:[CUARTO TRIMESTRE]])</f>
        <v>40000</v>
      </c>
      <c r="I280" s="17">
        <v>5.46</v>
      </c>
      <c r="J280" s="17">
        <f>+Tabla1321124[[#This Row],[CANTIDAD TOTAL]]*Tabla1321124[[#This Row],[PRECIO UNITARIO ESTIMADO]]</f>
        <v>218400</v>
      </c>
      <c r="K280" s="17"/>
      <c r="L280" s="16" t="s">
        <v>18</v>
      </c>
      <c r="M280" s="16" t="s">
        <v>22</v>
      </c>
      <c r="N280" s="16" t="s">
        <v>418</v>
      </c>
      <c r="O280" s="243"/>
      <c r="P280" s="243"/>
      <c r="Q280" s="243"/>
      <c r="R280" s="243"/>
      <c r="S280" s="243"/>
      <c r="T280" s="243"/>
      <c r="U280" s="243"/>
      <c r="V280" s="243"/>
      <c r="W280" s="243"/>
      <c r="X280" s="243"/>
      <c r="Y280" s="243"/>
      <c r="Z280" s="243"/>
      <c r="AA280" s="243"/>
      <c r="AB280" s="243"/>
      <c r="AC280" s="243"/>
      <c r="AD280" s="243"/>
      <c r="AE280" s="243"/>
      <c r="AF280" s="243"/>
      <c r="AG280" s="243"/>
      <c r="AH280" s="243"/>
      <c r="AI280" s="243"/>
      <c r="AJ280" s="243"/>
      <c r="AK280" s="243"/>
      <c r="AL280" s="243"/>
      <c r="AM280" s="243"/>
      <c r="AN280" s="243"/>
      <c r="AO280" s="243"/>
      <c r="AP280" s="243"/>
      <c r="AQ280" s="243"/>
      <c r="AR280" s="243"/>
      <c r="AS280" s="243"/>
      <c r="AT280" s="243"/>
      <c r="AU280" s="243"/>
      <c r="AV280" s="243"/>
      <c r="AW280" s="243"/>
      <c r="AX280" s="243"/>
      <c r="AY280" s="243"/>
      <c r="AZ280" s="243"/>
      <c r="BA280" s="243"/>
      <c r="BB280" s="243"/>
      <c r="BC280" s="243"/>
      <c r="BD280" s="243"/>
      <c r="BE280" s="243"/>
      <c r="BF280" s="243"/>
      <c r="BG280" s="243"/>
      <c r="BH280" s="243"/>
      <c r="BI280" s="243"/>
      <c r="BJ280" s="243"/>
      <c r="BK280" s="243"/>
      <c r="BL280" s="243"/>
      <c r="BM280" s="243"/>
      <c r="BN280" s="243"/>
      <c r="BO280" s="243"/>
      <c r="BP280" s="243"/>
      <c r="BQ280" s="243"/>
      <c r="BR280" s="243"/>
      <c r="BS280" s="243"/>
    </row>
    <row r="281" spans="1:71" s="12" customFormat="1" ht="41.25" customHeight="1">
      <c r="A281" s="178" t="s">
        <v>80</v>
      </c>
      <c r="B281" s="178" t="str">
        <f ca="1">+UPPER(Tabla1321124[[#This Row],[DESCRIPCIÓN DE LA COMPRA O CONTRATACIÓN]])</f>
        <v>ADAPTADORES HEMBRA 3/4 PVC</v>
      </c>
      <c r="C281" s="39" t="s">
        <v>69</v>
      </c>
      <c r="D281" s="236">
        <v>500</v>
      </c>
      <c r="E281" s="236">
        <v>500</v>
      </c>
      <c r="F281" s="236">
        <v>500</v>
      </c>
      <c r="G281" s="236">
        <v>500</v>
      </c>
      <c r="H281" s="240">
        <f>SUM(Tabla1321124[[#This Row],[PRIMER TRIMESTRE]:[CUARTO TRIMESTRE]])</f>
        <v>2000</v>
      </c>
      <c r="I281" s="17">
        <v>8</v>
      </c>
      <c r="J281" s="17">
        <f>+Tabla1321124[[#This Row],[CANTIDAD TOTAL]]*Tabla1321124[[#This Row],[PRECIO UNITARIO ESTIMADO]]</f>
        <v>16000</v>
      </c>
      <c r="K281" s="17"/>
      <c r="L281" s="16" t="s">
        <v>18</v>
      </c>
      <c r="M281" s="16" t="s">
        <v>22</v>
      </c>
      <c r="N281" s="16" t="s">
        <v>418</v>
      </c>
      <c r="O281" s="243"/>
      <c r="P281" s="243"/>
      <c r="Q281" s="243"/>
      <c r="R281" s="243"/>
      <c r="S281" s="243"/>
      <c r="T281" s="243"/>
      <c r="U281" s="243"/>
      <c r="V281" s="243"/>
      <c r="W281" s="243"/>
      <c r="X281" s="243"/>
      <c r="Y281" s="243"/>
      <c r="Z281" s="243"/>
      <c r="AA281" s="243"/>
      <c r="AB281" s="243"/>
      <c r="AC281" s="243"/>
      <c r="AD281" s="243"/>
      <c r="AE281" s="243"/>
      <c r="AF281" s="243"/>
      <c r="AG281" s="243"/>
      <c r="AH281" s="243"/>
      <c r="AI281" s="243"/>
      <c r="AJ281" s="243"/>
      <c r="AK281" s="243"/>
      <c r="AL281" s="243"/>
      <c r="AM281" s="243"/>
      <c r="AN281" s="243"/>
      <c r="AO281" s="243"/>
      <c r="AP281" s="243"/>
      <c r="AQ281" s="243"/>
      <c r="AR281" s="243"/>
      <c r="AS281" s="243"/>
      <c r="AT281" s="243"/>
      <c r="AU281" s="243"/>
      <c r="AV281" s="243"/>
      <c r="AW281" s="243"/>
      <c r="AX281" s="243"/>
      <c r="AY281" s="243"/>
      <c r="AZ281" s="243"/>
      <c r="BA281" s="243"/>
      <c r="BB281" s="243"/>
      <c r="BC281" s="243"/>
      <c r="BD281" s="243"/>
      <c r="BE281" s="243"/>
      <c r="BF281" s="243"/>
      <c r="BG281" s="243"/>
      <c r="BH281" s="243"/>
      <c r="BI281" s="243"/>
      <c r="BJ281" s="243"/>
      <c r="BK281" s="243"/>
      <c r="BL281" s="243"/>
      <c r="BM281" s="243"/>
      <c r="BN281" s="243"/>
      <c r="BO281" s="243"/>
      <c r="BP281" s="243"/>
      <c r="BQ281" s="243"/>
      <c r="BR281" s="243"/>
      <c r="BS281" s="243"/>
    </row>
    <row r="282" spans="1:71" s="12" customFormat="1" ht="41.25" customHeight="1">
      <c r="A282" s="178" t="s">
        <v>80</v>
      </c>
      <c r="B282" s="178" t="str">
        <f ca="1">+UPPER(Tabla1321124[[#This Row],[DESCRIPCIÓN DE LA COMPRA O CONTRATACIÓN]])</f>
        <v>ADAPTADORES HEMBRA 1 PVC</v>
      </c>
      <c r="C282" s="39" t="s">
        <v>69</v>
      </c>
      <c r="D282" s="236">
        <v>10000</v>
      </c>
      <c r="E282" s="236">
        <v>10000</v>
      </c>
      <c r="F282" s="236">
        <v>10000</v>
      </c>
      <c r="G282" s="236">
        <v>10000</v>
      </c>
      <c r="H282" s="240">
        <f>SUM(Tabla1321124[[#This Row],[PRIMER TRIMESTRE]:[CUARTO TRIMESTRE]])</f>
        <v>40000</v>
      </c>
      <c r="I282" s="17">
        <v>6.4</v>
      </c>
      <c r="J282" s="17">
        <f>+Tabla1321124[[#This Row],[CANTIDAD TOTAL]]*Tabla1321124[[#This Row],[PRECIO UNITARIO ESTIMADO]]</f>
        <v>256000</v>
      </c>
      <c r="K282" s="17"/>
      <c r="L282" s="16" t="s">
        <v>18</v>
      </c>
      <c r="M282" s="16" t="s">
        <v>22</v>
      </c>
      <c r="N282" s="16" t="s">
        <v>418</v>
      </c>
      <c r="O282" s="243"/>
      <c r="P282" s="243"/>
      <c r="Q282" s="243"/>
      <c r="R282" s="243"/>
      <c r="S282" s="243"/>
      <c r="T282" s="243"/>
      <c r="U282" s="243"/>
      <c r="V282" s="243"/>
      <c r="W282" s="243"/>
      <c r="X282" s="243"/>
      <c r="Y282" s="243"/>
      <c r="Z282" s="243"/>
      <c r="AA282" s="243"/>
      <c r="AB282" s="243"/>
      <c r="AC282" s="243"/>
      <c r="AD282" s="243"/>
      <c r="AE282" s="243"/>
      <c r="AF282" s="243"/>
      <c r="AG282" s="243"/>
      <c r="AH282" s="243"/>
      <c r="AI282" s="243"/>
      <c r="AJ282" s="243"/>
      <c r="AK282" s="243"/>
      <c r="AL282" s="243"/>
      <c r="AM282" s="243"/>
      <c r="AN282" s="243"/>
      <c r="AO282" s="243"/>
      <c r="AP282" s="243"/>
      <c r="AQ282" s="243"/>
      <c r="AR282" s="243"/>
      <c r="AS282" s="243"/>
      <c r="AT282" s="243"/>
      <c r="AU282" s="243"/>
      <c r="AV282" s="243"/>
      <c r="AW282" s="243"/>
      <c r="AX282" s="243"/>
      <c r="AY282" s="243"/>
      <c r="AZ282" s="243"/>
      <c r="BA282" s="243"/>
      <c r="BB282" s="243"/>
      <c r="BC282" s="243"/>
      <c r="BD282" s="243"/>
      <c r="BE282" s="243"/>
      <c r="BF282" s="243"/>
      <c r="BG282" s="243"/>
      <c r="BH282" s="243"/>
      <c r="BI282" s="243"/>
      <c r="BJ282" s="243"/>
      <c r="BK282" s="243"/>
      <c r="BL282" s="243"/>
      <c r="BM282" s="243"/>
      <c r="BN282" s="243"/>
      <c r="BO282" s="243"/>
      <c r="BP282" s="243"/>
      <c r="BQ282" s="243"/>
      <c r="BR282" s="243"/>
      <c r="BS282" s="243"/>
    </row>
    <row r="283" spans="1:71" s="12" customFormat="1" ht="41.25" customHeight="1">
      <c r="A283" s="178" t="s">
        <v>80</v>
      </c>
      <c r="B283" s="178" t="str">
        <f ca="1">+UPPER(Tabla1321124[[#This Row],[DESCRIPCIÓN DE LA COMPRA O CONTRATACIÓN]])</f>
        <v>ADAPTADORES HEMBRADE 3 PVC</v>
      </c>
      <c r="C283" s="39" t="s">
        <v>69</v>
      </c>
      <c r="D283" s="236">
        <v>500</v>
      </c>
      <c r="E283" s="236">
        <v>500</v>
      </c>
      <c r="F283" s="236">
        <v>500</v>
      </c>
      <c r="G283" s="236">
        <v>500</v>
      </c>
      <c r="H283" s="240">
        <f>SUM(Tabla1321124[[#This Row],[PRIMER TRIMESTRE]:[CUARTO TRIMESTRE]])</f>
        <v>2000</v>
      </c>
      <c r="I283" s="17">
        <v>290</v>
      </c>
      <c r="J283" s="17">
        <f>+Tabla1321124[[#This Row],[CANTIDAD TOTAL]]*Tabla1321124[[#This Row],[PRECIO UNITARIO ESTIMADO]]</f>
        <v>580000</v>
      </c>
      <c r="K283" s="17"/>
      <c r="L283" s="16" t="s">
        <v>18</v>
      </c>
      <c r="M283" s="16" t="s">
        <v>22</v>
      </c>
      <c r="N283" s="16" t="s">
        <v>418</v>
      </c>
      <c r="O283" s="243"/>
      <c r="P283" s="243"/>
      <c r="Q283" s="243"/>
      <c r="R283" s="243"/>
      <c r="S283" s="243"/>
      <c r="T283" s="243"/>
      <c r="U283" s="243"/>
      <c r="V283" s="243"/>
      <c r="W283" s="243"/>
      <c r="X283" s="243"/>
      <c r="Y283" s="243"/>
      <c r="Z283" s="243"/>
      <c r="AA283" s="243"/>
      <c r="AB283" s="243"/>
      <c r="AC283" s="243"/>
      <c r="AD283" s="243"/>
      <c r="AE283" s="243"/>
      <c r="AF283" s="243"/>
      <c r="AG283" s="243"/>
      <c r="AH283" s="243"/>
      <c r="AI283" s="243"/>
      <c r="AJ283" s="243"/>
      <c r="AK283" s="243"/>
      <c r="AL283" s="243"/>
      <c r="AM283" s="243"/>
      <c r="AN283" s="243"/>
      <c r="AO283" s="243"/>
      <c r="AP283" s="243"/>
      <c r="AQ283" s="243"/>
      <c r="AR283" s="243"/>
      <c r="AS283" s="243"/>
      <c r="AT283" s="243"/>
      <c r="AU283" s="243"/>
      <c r="AV283" s="243"/>
      <c r="AW283" s="243"/>
      <c r="AX283" s="243"/>
      <c r="AY283" s="243"/>
      <c r="AZ283" s="243"/>
      <c r="BA283" s="243"/>
      <c r="BB283" s="243"/>
      <c r="BC283" s="243"/>
      <c r="BD283" s="243"/>
      <c r="BE283" s="243"/>
      <c r="BF283" s="243"/>
      <c r="BG283" s="243"/>
      <c r="BH283" s="243"/>
      <c r="BI283" s="243"/>
      <c r="BJ283" s="243"/>
      <c r="BK283" s="243"/>
      <c r="BL283" s="243"/>
      <c r="BM283" s="243"/>
      <c r="BN283" s="243"/>
      <c r="BO283" s="243"/>
      <c r="BP283" s="243"/>
      <c r="BQ283" s="243"/>
      <c r="BR283" s="243"/>
      <c r="BS283" s="243"/>
    </row>
    <row r="284" spans="1:71" s="12" customFormat="1" ht="41.25" customHeight="1">
      <c r="A284" s="178" t="s">
        <v>80</v>
      </c>
      <c r="B284" s="178" t="str">
        <f ca="1">+UPPER(Tabla1321124[[#This Row],[DESCRIPCIÓN DE LA COMPRA O CONTRATACIÓN]])</f>
        <v>MACHO DE 1/4 A 1/3</v>
      </c>
      <c r="C284" s="39" t="s">
        <v>69</v>
      </c>
      <c r="D284" s="236">
        <v>2</v>
      </c>
      <c r="E284" s="236"/>
      <c r="F284" s="236"/>
      <c r="G284" s="236"/>
      <c r="H284" s="240">
        <f>SUM(Tabla1321124[[#This Row],[PRIMER TRIMESTRE]:[CUARTO TRIMESTRE]])</f>
        <v>2</v>
      </c>
      <c r="I284" s="17">
        <v>3200</v>
      </c>
      <c r="J284" s="17">
        <f>+Tabla1321124[[#This Row],[CANTIDAD TOTAL]]*Tabla1321124[[#This Row],[PRECIO UNITARIO ESTIMADO]]</f>
        <v>6400</v>
      </c>
      <c r="K284" s="17"/>
      <c r="L284" s="16" t="s">
        <v>18</v>
      </c>
      <c r="M284" s="16" t="s">
        <v>22</v>
      </c>
      <c r="N284" s="16" t="s">
        <v>418</v>
      </c>
      <c r="O284" s="243"/>
      <c r="P284" s="243"/>
      <c r="Q284" s="243"/>
      <c r="R284" s="243"/>
      <c r="S284" s="243"/>
      <c r="T284" s="243"/>
      <c r="U284" s="243"/>
      <c r="V284" s="243"/>
      <c r="W284" s="243"/>
      <c r="X284" s="243"/>
      <c r="Y284" s="243"/>
      <c r="Z284" s="243"/>
      <c r="AA284" s="243"/>
      <c r="AB284" s="243"/>
      <c r="AC284" s="243"/>
      <c r="AD284" s="243"/>
      <c r="AE284" s="243"/>
      <c r="AF284" s="243"/>
      <c r="AG284" s="243"/>
      <c r="AH284" s="243"/>
      <c r="AI284" s="243"/>
      <c r="AJ284" s="243"/>
      <c r="AK284" s="243"/>
      <c r="AL284" s="243"/>
      <c r="AM284" s="243"/>
      <c r="AN284" s="243"/>
      <c r="AO284" s="243"/>
      <c r="AP284" s="243"/>
      <c r="AQ284" s="243"/>
      <c r="AR284" s="243"/>
      <c r="AS284" s="243"/>
      <c r="AT284" s="243"/>
      <c r="AU284" s="243"/>
      <c r="AV284" s="243"/>
      <c r="AW284" s="243"/>
      <c r="AX284" s="243"/>
      <c r="AY284" s="243"/>
      <c r="AZ284" s="243"/>
      <c r="BA284" s="243"/>
      <c r="BB284" s="243"/>
      <c r="BC284" s="243"/>
      <c r="BD284" s="243"/>
      <c r="BE284" s="243"/>
      <c r="BF284" s="243"/>
      <c r="BG284" s="243"/>
      <c r="BH284" s="243"/>
      <c r="BI284" s="243"/>
      <c r="BJ284" s="243"/>
      <c r="BK284" s="243"/>
      <c r="BL284" s="243"/>
      <c r="BM284" s="243"/>
      <c r="BN284" s="243"/>
      <c r="BO284" s="243"/>
      <c r="BP284" s="243"/>
      <c r="BQ284" s="243"/>
      <c r="BR284" s="243"/>
      <c r="BS284" s="243"/>
    </row>
    <row r="285" spans="1:71" s="12" customFormat="1" ht="41.25" customHeight="1">
      <c r="A285" s="178" t="s">
        <v>80</v>
      </c>
      <c r="B285" s="178" t="str">
        <f ca="1">+UPPER(Tabla1321124[[#This Row],[DESCRIPCIÓN DE LA COMPRA O CONTRATACIÓN]])</f>
        <v>ADAPTADORES MACHO 1/2 PVC</v>
      </c>
      <c r="C285" s="39" t="s">
        <v>69</v>
      </c>
      <c r="D285" s="236">
        <v>7000</v>
      </c>
      <c r="E285" s="236">
        <v>7000</v>
      </c>
      <c r="F285" s="236">
        <v>7000</v>
      </c>
      <c r="G285" s="236">
        <v>7000</v>
      </c>
      <c r="H285" s="240">
        <f>SUM(Tabla1321124[[#This Row],[PRIMER TRIMESTRE]:[CUARTO TRIMESTRE]])</f>
        <v>28000</v>
      </c>
      <c r="I285" s="17">
        <v>4.0599999999999996</v>
      </c>
      <c r="J285" s="17">
        <f>+Tabla1321124[[#This Row],[CANTIDAD TOTAL]]*Tabla1321124[[#This Row],[PRECIO UNITARIO ESTIMADO]]</f>
        <v>113679.99999999999</v>
      </c>
      <c r="K285" s="17"/>
      <c r="L285" s="16" t="s">
        <v>18</v>
      </c>
      <c r="M285" s="16" t="s">
        <v>22</v>
      </c>
      <c r="N285" s="16" t="s">
        <v>418</v>
      </c>
      <c r="O285" s="243"/>
      <c r="P285" s="243"/>
      <c r="Q285" s="243"/>
      <c r="R285" s="243"/>
      <c r="S285" s="243"/>
      <c r="T285" s="243"/>
      <c r="U285" s="243"/>
      <c r="V285" s="243"/>
      <c r="W285" s="243"/>
      <c r="X285" s="243"/>
      <c r="Y285" s="243"/>
      <c r="Z285" s="243"/>
      <c r="AA285" s="243"/>
      <c r="AB285" s="243"/>
      <c r="AC285" s="243"/>
      <c r="AD285" s="243"/>
      <c r="AE285" s="243"/>
      <c r="AF285" s="243"/>
      <c r="AG285" s="243"/>
      <c r="AH285" s="243"/>
      <c r="AI285" s="243"/>
      <c r="AJ285" s="243"/>
      <c r="AK285" s="243"/>
      <c r="AL285" s="243"/>
      <c r="AM285" s="243"/>
      <c r="AN285" s="243"/>
      <c r="AO285" s="243"/>
      <c r="AP285" s="243"/>
      <c r="AQ285" s="243"/>
      <c r="AR285" s="243"/>
      <c r="AS285" s="243"/>
      <c r="AT285" s="243"/>
      <c r="AU285" s="243"/>
      <c r="AV285" s="243"/>
      <c r="AW285" s="243"/>
      <c r="AX285" s="243"/>
      <c r="AY285" s="243"/>
      <c r="AZ285" s="243"/>
      <c r="BA285" s="243"/>
      <c r="BB285" s="243"/>
      <c r="BC285" s="243"/>
      <c r="BD285" s="243"/>
      <c r="BE285" s="243"/>
      <c r="BF285" s="243"/>
      <c r="BG285" s="243"/>
      <c r="BH285" s="243"/>
      <c r="BI285" s="243"/>
      <c r="BJ285" s="243"/>
      <c r="BK285" s="243"/>
      <c r="BL285" s="243"/>
      <c r="BM285" s="243"/>
      <c r="BN285" s="243"/>
      <c r="BO285" s="243"/>
      <c r="BP285" s="243"/>
      <c r="BQ285" s="243"/>
      <c r="BR285" s="243"/>
      <c r="BS285" s="243"/>
    </row>
    <row r="286" spans="1:71" s="12" customFormat="1" ht="41.25" customHeight="1">
      <c r="A286" s="178" t="s">
        <v>80</v>
      </c>
      <c r="B286" s="178" t="str">
        <f ca="1">+UPPER(Tabla1321124[[#This Row],[DESCRIPCIÓN DE LA COMPRA O CONTRATACIÓN]])</f>
        <v>ADAPTADORES MACHO DE 3/4 PVC</v>
      </c>
      <c r="C286" s="39" t="s">
        <v>69</v>
      </c>
      <c r="D286" s="236">
        <v>8000</v>
      </c>
      <c r="E286" s="236">
        <v>8000</v>
      </c>
      <c r="F286" s="236">
        <v>8000</v>
      </c>
      <c r="G286" s="236">
        <v>8000</v>
      </c>
      <c r="H286" s="240">
        <f>SUM(Tabla1321124[[#This Row],[PRIMER TRIMESTRE]:[CUARTO TRIMESTRE]])</f>
        <v>32000</v>
      </c>
      <c r="I286" s="17">
        <v>3.71</v>
      </c>
      <c r="J286" s="17">
        <f>+Tabla1321124[[#This Row],[CANTIDAD TOTAL]]*Tabla1321124[[#This Row],[PRECIO UNITARIO ESTIMADO]]</f>
        <v>118720</v>
      </c>
      <c r="K286" s="17"/>
      <c r="L286" s="16" t="s">
        <v>18</v>
      </c>
      <c r="M286" s="16" t="s">
        <v>22</v>
      </c>
      <c r="N286" s="16" t="s">
        <v>418</v>
      </c>
      <c r="O286" s="243"/>
      <c r="P286" s="243"/>
      <c r="Q286" s="243"/>
      <c r="R286" s="243"/>
      <c r="S286" s="243"/>
      <c r="T286" s="243"/>
      <c r="U286" s="243"/>
      <c r="V286" s="243"/>
      <c r="W286" s="243"/>
      <c r="X286" s="243"/>
      <c r="Y286" s="243"/>
      <c r="Z286" s="243"/>
      <c r="AA286" s="243"/>
      <c r="AB286" s="243"/>
      <c r="AC286" s="243"/>
      <c r="AD286" s="243"/>
      <c r="AE286" s="243"/>
      <c r="AF286" s="243"/>
      <c r="AG286" s="243"/>
      <c r="AH286" s="243"/>
      <c r="AI286" s="243"/>
      <c r="AJ286" s="243"/>
      <c r="AK286" s="243"/>
      <c r="AL286" s="243"/>
      <c r="AM286" s="243"/>
      <c r="AN286" s="243"/>
      <c r="AO286" s="243"/>
      <c r="AP286" s="243"/>
      <c r="AQ286" s="243"/>
      <c r="AR286" s="243"/>
      <c r="AS286" s="243"/>
      <c r="AT286" s="243"/>
      <c r="AU286" s="243"/>
      <c r="AV286" s="243"/>
      <c r="AW286" s="243"/>
      <c r="AX286" s="243"/>
      <c r="AY286" s="243"/>
      <c r="AZ286" s="243"/>
      <c r="BA286" s="243"/>
      <c r="BB286" s="243"/>
      <c r="BC286" s="243"/>
      <c r="BD286" s="243"/>
      <c r="BE286" s="243"/>
      <c r="BF286" s="243"/>
      <c r="BG286" s="243"/>
      <c r="BH286" s="243"/>
      <c r="BI286" s="243"/>
      <c r="BJ286" s="243"/>
      <c r="BK286" s="243"/>
      <c r="BL286" s="243"/>
      <c r="BM286" s="243"/>
      <c r="BN286" s="243"/>
      <c r="BO286" s="243"/>
      <c r="BP286" s="243"/>
      <c r="BQ286" s="243"/>
      <c r="BR286" s="243"/>
      <c r="BS286" s="243"/>
    </row>
    <row r="287" spans="1:71" s="12" customFormat="1" ht="41.25" customHeight="1">
      <c r="A287" s="178" t="s">
        <v>80</v>
      </c>
      <c r="B287" s="178" t="str">
        <f ca="1">+UPPER(Tabla1321124[[#This Row],[DESCRIPCIÓN DE LA COMPRA O CONTRATACIÓN]])</f>
        <v>BANDEJA DE PINTURA PLASTICA</v>
      </c>
      <c r="C287" s="39" t="s">
        <v>69</v>
      </c>
      <c r="D287" s="236">
        <v>12</v>
      </c>
      <c r="E287" s="236"/>
      <c r="F287" s="236">
        <v>7</v>
      </c>
      <c r="G287" s="236"/>
      <c r="H287" s="240">
        <f>SUM(Tabla1321124[[#This Row],[PRIMER TRIMESTRE]:[CUARTO TRIMESTRE]])</f>
        <v>19</v>
      </c>
      <c r="I287" s="17">
        <v>125</v>
      </c>
      <c r="J287" s="17">
        <f>+Tabla1321124[[#This Row],[CANTIDAD TOTAL]]*Tabla1321124[[#This Row],[PRECIO UNITARIO ESTIMADO]]</f>
        <v>2375</v>
      </c>
      <c r="K287" s="17"/>
      <c r="L287" s="16" t="s">
        <v>18</v>
      </c>
      <c r="M287" s="16" t="s">
        <v>22</v>
      </c>
      <c r="N287" s="16" t="s">
        <v>418</v>
      </c>
      <c r="O287" s="243"/>
      <c r="P287" s="243"/>
      <c r="Q287" s="243"/>
      <c r="R287" s="243"/>
      <c r="S287" s="243"/>
      <c r="T287" s="243"/>
      <c r="U287" s="243"/>
      <c r="V287" s="243"/>
      <c r="W287" s="243"/>
      <c r="X287" s="243"/>
      <c r="Y287" s="243"/>
      <c r="Z287" s="243"/>
      <c r="AA287" s="243"/>
      <c r="AB287" s="243"/>
      <c r="AC287" s="243"/>
      <c r="AD287" s="243"/>
      <c r="AE287" s="243"/>
      <c r="AF287" s="243"/>
      <c r="AG287" s="243"/>
      <c r="AH287" s="243"/>
      <c r="AI287" s="243"/>
      <c r="AJ287" s="243"/>
      <c r="AK287" s="243"/>
      <c r="AL287" s="243"/>
      <c r="AM287" s="243"/>
      <c r="AN287" s="243"/>
      <c r="AO287" s="243"/>
      <c r="AP287" s="243"/>
      <c r="AQ287" s="243"/>
      <c r="AR287" s="243"/>
      <c r="AS287" s="243"/>
      <c r="AT287" s="243"/>
      <c r="AU287" s="243"/>
      <c r="AV287" s="243"/>
      <c r="AW287" s="243"/>
      <c r="AX287" s="243"/>
      <c r="AY287" s="243"/>
      <c r="AZ287" s="243"/>
      <c r="BA287" s="243"/>
      <c r="BB287" s="243"/>
      <c r="BC287" s="243"/>
      <c r="BD287" s="243"/>
      <c r="BE287" s="243"/>
      <c r="BF287" s="243"/>
      <c r="BG287" s="243"/>
      <c r="BH287" s="243"/>
      <c r="BI287" s="243"/>
      <c r="BJ287" s="243"/>
      <c r="BK287" s="243"/>
      <c r="BL287" s="243"/>
      <c r="BM287" s="243"/>
      <c r="BN287" s="243"/>
      <c r="BO287" s="243"/>
      <c r="BP287" s="243"/>
      <c r="BQ287" s="243"/>
      <c r="BR287" s="243"/>
      <c r="BS287" s="243"/>
    </row>
    <row r="288" spans="1:71" s="12" customFormat="1" ht="41.25" customHeight="1">
      <c r="A288" s="178" t="s">
        <v>80</v>
      </c>
      <c r="B288" s="178" t="str">
        <f ca="1">+UPPER(Tabla1321124[[#This Row],[DESCRIPCIÓN DE LA COMPRA O CONTRATACIÓN]])</f>
        <v>ADAPTADORES MACHO DE 1 PVC</v>
      </c>
      <c r="C288" s="39" t="s">
        <v>69</v>
      </c>
      <c r="D288" s="236">
        <v>9000</v>
      </c>
      <c r="E288" s="236">
        <v>9000</v>
      </c>
      <c r="F288" s="236">
        <v>9000</v>
      </c>
      <c r="G288" s="236">
        <v>9000</v>
      </c>
      <c r="H288" s="240">
        <f>SUM(Tabla1321124[[#This Row],[PRIMER TRIMESTRE]:[CUARTO TRIMESTRE]])</f>
        <v>36000</v>
      </c>
      <c r="I288" s="17">
        <v>7.3</v>
      </c>
      <c r="J288" s="17">
        <f>+Tabla1321124[[#This Row],[CANTIDAD TOTAL]]*Tabla1321124[[#This Row],[PRECIO UNITARIO ESTIMADO]]</f>
        <v>262800</v>
      </c>
      <c r="K288" s="17"/>
      <c r="L288" s="16" t="s">
        <v>18</v>
      </c>
      <c r="M288" s="16" t="s">
        <v>22</v>
      </c>
      <c r="N288" s="16" t="s">
        <v>418</v>
      </c>
      <c r="O288" s="243"/>
      <c r="P288" s="243"/>
      <c r="Q288" s="243"/>
      <c r="R288" s="243"/>
      <c r="S288" s="243"/>
      <c r="T288" s="243"/>
      <c r="U288" s="243"/>
      <c r="V288" s="243"/>
      <c r="W288" s="243"/>
      <c r="X288" s="243"/>
      <c r="Y288" s="243"/>
      <c r="Z288" s="243"/>
      <c r="AA288" s="243"/>
      <c r="AB288" s="243"/>
      <c r="AC288" s="243"/>
      <c r="AD288" s="243"/>
      <c r="AE288" s="243"/>
      <c r="AF288" s="243"/>
      <c r="AG288" s="243"/>
      <c r="AH288" s="243"/>
      <c r="AI288" s="243"/>
      <c r="AJ288" s="243"/>
      <c r="AK288" s="243"/>
      <c r="AL288" s="243"/>
      <c r="AM288" s="243"/>
      <c r="AN288" s="243"/>
      <c r="AO288" s="243"/>
      <c r="AP288" s="243"/>
      <c r="AQ288" s="243"/>
      <c r="AR288" s="243"/>
      <c r="AS288" s="243"/>
      <c r="AT288" s="243"/>
      <c r="AU288" s="243"/>
      <c r="AV288" s="243"/>
      <c r="AW288" s="243"/>
      <c r="AX288" s="243"/>
      <c r="AY288" s="243"/>
      <c r="AZ288" s="243"/>
      <c r="BA288" s="243"/>
      <c r="BB288" s="243"/>
      <c r="BC288" s="243"/>
      <c r="BD288" s="243"/>
      <c r="BE288" s="243"/>
      <c r="BF288" s="243"/>
      <c r="BG288" s="243"/>
      <c r="BH288" s="243"/>
      <c r="BI288" s="243"/>
      <c r="BJ288" s="243"/>
      <c r="BK288" s="243"/>
      <c r="BL288" s="243"/>
      <c r="BM288" s="243"/>
      <c r="BN288" s="243"/>
      <c r="BO288" s="243"/>
      <c r="BP288" s="243"/>
      <c r="BQ288" s="243"/>
      <c r="BR288" s="243"/>
      <c r="BS288" s="243"/>
    </row>
    <row r="289" spans="1:71" s="12" customFormat="1" ht="41.25" customHeight="1">
      <c r="A289" s="178" t="s">
        <v>80</v>
      </c>
      <c r="B289" s="178" t="str">
        <f ca="1">+UPPER(Tabla1321124[[#This Row],[DESCRIPCIÓN DE LA COMPRA O CONTRATACIÓN]])</f>
        <v>ADAPTADORES MACHO DE 4 PVC</v>
      </c>
      <c r="C289" s="39" t="s">
        <v>69</v>
      </c>
      <c r="D289" s="236">
        <f>575+5</f>
        <v>580</v>
      </c>
      <c r="E289" s="236">
        <f>575+5</f>
        <v>580</v>
      </c>
      <c r="F289" s="236">
        <f>575+5</f>
        <v>580</v>
      </c>
      <c r="G289" s="236">
        <f>575+5</f>
        <v>580</v>
      </c>
      <c r="H289" s="240">
        <f>SUM(Tabla1321124[[#This Row],[PRIMER TRIMESTRE]:[CUARTO TRIMESTRE]])</f>
        <v>2320</v>
      </c>
      <c r="I289" s="17">
        <v>162.82</v>
      </c>
      <c r="J289" s="17">
        <f>+Tabla1321124[[#This Row],[CANTIDAD TOTAL]]*Tabla1321124[[#This Row],[PRECIO UNITARIO ESTIMADO]]</f>
        <v>377742.39999999997</v>
      </c>
      <c r="K289" s="340"/>
      <c r="L289" s="16" t="s">
        <v>18</v>
      </c>
      <c r="M289" s="16" t="s">
        <v>22</v>
      </c>
      <c r="N289" s="16" t="s">
        <v>418</v>
      </c>
      <c r="O289" s="243"/>
      <c r="P289" s="243"/>
      <c r="Q289" s="243"/>
      <c r="R289" s="243"/>
      <c r="S289" s="243"/>
      <c r="T289" s="243"/>
      <c r="U289" s="243"/>
      <c r="V289" s="243"/>
      <c r="W289" s="243"/>
      <c r="X289" s="243"/>
      <c r="Y289" s="243"/>
      <c r="Z289" s="243"/>
      <c r="AA289" s="243"/>
      <c r="AB289" s="243"/>
      <c r="AC289" s="243"/>
      <c r="AD289" s="243"/>
      <c r="AE289" s="243"/>
      <c r="AF289" s="243"/>
      <c r="AG289" s="243"/>
      <c r="AH289" s="243"/>
      <c r="AI289" s="243"/>
      <c r="AJ289" s="243"/>
      <c r="AK289" s="243"/>
      <c r="AL289" s="243"/>
      <c r="AM289" s="243"/>
      <c r="AN289" s="243"/>
      <c r="AO289" s="243"/>
      <c r="AP289" s="243"/>
      <c r="AQ289" s="243"/>
      <c r="AR289" s="243"/>
      <c r="AS289" s="243"/>
      <c r="AT289" s="243"/>
      <c r="AU289" s="243"/>
      <c r="AV289" s="243"/>
      <c r="AW289" s="243"/>
      <c r="AX289" s="243"/>
      <c r="AY289" s="243"/>
      <c r="AZ289" s="243"/>
      <c r="BA289" s="243"/>
      <c r="BB289" s="243"/>
      <c r="BC289" s="243"/>
      <c r="BD289" s="243"/>
      <c r="BE289" s="243"/>
      <c r="BF289" s="243"/>
      <c r="BG289" s="243"/>
      <c r="BH289" s="243"/>
      <c r="BI289" s="243"/>
      <c r="BJ289" s="243"/>
      <c r="BK289" s="243"/>
      <c r="BL289" s="243"/>
      <c r="BM289" s="243"/>
      <c r="BN289" s="243"/>
      <c r="BO289" s="243"/>
      <c r="BP289" s="243"/>
      <c r="BQ289" s="243"/>
      <c r="BR289" s="243"/>
      <c r="BS289" s="243"/>
    </row>
    <row r="290" spans="1:71" s="12" customFormat="1" ht="41.25" customHeight="1">
      <c r="A290" s="178" t="s">
        <v>80</v>
      </c>
      <c r="B290" s="178" t="str">
        <f ca="1">+UPPER(Tabla1321124[[#This Row],[DESCRIPCIÓN DE LA COMPRA O CONTRATACIÓN]])</f>
        <v>ADAPTADOR HEMBRA DE ½” PVC</v>
      </c>
      <c r="C290" s="39" t="s">
        <v>69</v>
      </c>
      <c r="D290" s="368">
        <v>205</v>
      </c>
      <c r="E290" s="368">
        <v>205</v>
      </c>
      <c r="F290" s="368">
        <v>205</v>
      </c>
      <c r="G290" s="368">
        <v>205</v>
      </c>
      <c r="H290" s="240">
        <f>SUM(Tabla1321124[[#This Row],[PRIMER TRIMESTRE]:[CUARTO TRIMESTRE]])</f>
        <v>820</v>
      </c>
      <c r="I290" s="17">
        <v>110</v>
      </c>
      <c r="J290" s="17">
        <f>+Tabla1321124[[#This Row],[CANTIDAD TOTAL]]*Tabla1321124[[#This Row],[PRECIO UNITARIO ESTIMADO]]</f>
        <v>90200</v>
      </c>
      <c r="K290" s="175"/>
      <c r="L290" s="16" t="s">
        <v>18</v>
      </c>
      <c r="M290" s="16" t="s">
        <v>22</v>
      </c>
      <c r="N290" s="16" t="s">
        <v>418</v>
      </c>
      <c r="O290" s="243"/>
      <c r="P290" s="243"/>
      <c r="Q290" s="243"/>
      <c r="R290" s="243"/>
      <c r="S290" s="243"/>
      <c r="T290" s="243"/>
      <c r="U290" s="243"/>
      <c r="V290" s="243"/>
      <c r="W290" s="243"/>
      <c r="X290" s="243"/>
      <c r="Y290" s="243"/>
      <c r="Z290" s="243"/>
      <c r="AA290" s="243"/>
      <c r="AB290" s="243"/>
      <c r="AC290" s="243"/>
      <c r="AD290" s="243"/>
      <c r="AE290" s="243"/>
      <c r="AF290" s="243"/>
      <c r="AG290" s="243"/>
      <c r="AH290" s="243"/>
      <c r="AI290" s="243"/>
      <c r="AJ290" s="243"/>
      <c r="AK290" s="243"/>
      <c r="AL290" s="243"/>
      <c r="AM290" s="243"/>
      <c r="AN290" s="243"/>
      <c r="AO290" s="243"/>
      <c r="AP290" s="243"/>
      <c r="AQ290" s="243"/>
      <c r="AR290" s="243"/>
      <c r="AS290" s="243"/>
      <c r="AT290" s="243"/>
      <c r="AU290" s="243"/>
      <c r="AV290" s="243"/>
      <c r="AW290" s="243"/>
      <c r="AX290" s="243"/>
      <c r="AY290" s="243"/>
      <c r="AZ290" s="243"/>
      <c r="BA290" s="243"/>
      <c r="BB290" s="243"/>
      <c r="BC290" s="243"/>
      <c r="BD290" s="243"/>
      <c r="BE290" s="243"/>
      <c r="BF290" s="243"/>
      <c r="BG290" s="243"/>
      <c r="BH290" s="243"/>
      <c r="BI290" s="243"/>
      <c r="BJ290" s="243"/>
      <c r="BK290" s="243"/>
      <c r="BL290" s="243"/>
      <c r="BM290" s="243"/>
      <c r="BN290" s="243"/>
      <c r="BO290" s="243"/>
      <c r="BP290" s="243"/>
      <c r="BQ290" s="243"/>
      <c r="BR290" s="243"/>
      <c r="BS290" s="243"/>
    </row>
    <row r="291" spans="1:71" s="12" customFormat="1" ht="41.25" customHeight="1">
      <c r="A291" s="178" t="s">
        <v>80</v>
      </c>
      <c r="B291" s="178" t="str">
        <f ca="1">+UPPER(Tabla1321124[[#This Row],[DESCRIPCIÓN DE LA COMPRA O CONTRATACIÓN]])</f>
        <v>ADAPTADOR HEMBRA DE 3/4" PVC</v>
      </c>
      <c r="C291" s="39" t="s">
        <v>69</v>
      </c>
      <c r="D291" s="368">
        <v>195</v>
      </c>
      <c r="E291" s="368">
        <v>195</v>
      </c>
      <c r="F291" s="368">
        <v>195</v>
      </c>
      <c r="G291" s="368">
        <v>195</v>
      </c>
      <c r="H291" s="240">
        <f>SUM(Tabla1321124[[#This Row],[PRIMER TRIMESTRE]:[CUARTO TRIMESTRE]])</f>
        <v>780</v>
      </c>
      <c r="I291" s="17">
        <v>135</v>
      </c>
      <c r="J291" s="17">
        <f>+Tabla1321124[[#This Row],[CANTIDAD TOTAL]]*Tabla1321124[[#This Row],[PRECIO UNITARIO ESTIMADO]]</f>
        <v>105300</v>
      </c>
      <c r="K291" s="175"/>
      <c r="L291" s="16" t="s">
        <v>18</v>
      </c>
      <c r="M291" s="16" t="s">
        <v>22</v>
      </c>
      <c r="N291" s="16" t="s">
        <v>418</v>
      </c>
      <c r="O291" s="243"/>
      <c r="P291" s="243"/>
      <c r="Q291" s="243"/>
      <c r="R291" s="243"/>
      <c r="S291" s="243"/>
      <c r="T291" s="243"/>
      <c r="U291" s="243"/>
      <c r="V291" s="243"/>
      <c r="W291" s="243"/>
      <c r="X291" s="243"/>
      <c r="Y291" s="243"/>
      <c r="Z291" s="243"/>
      <c r="AA291" s="243"/>
      <c r="AB291" s="243"/>
      <c r="AC291" s="243"/>
      <c r="AD291" s="243"/>
      <c r="AE291" s="243"/>
      <c r="AF291" s="243"/>
      <c r="AG291" s="243"/>
      <c r="AH291" s="243"/>
      <c r="AI291" s="243"/>
      <c r="AJ291" s="243"/>
      <c r="AK291" s="243"/>
      <c r="AL291" s="243"/>
      <c r="AM291" s="243"/>
      <c r="AN291" s="243"/>
      <c r="AO291" s="243"/>
      <c r="AP291" s="243"/>
      <c r="AQ291" s="243"/>
      <c r="AR291" s="243"/>
      <c r="AS291" s="243"/>
      <c r="AT291" s="243"/>
      <c r="AU291" s="243"/>
      <c r="AV291" s="243"/>
      <c r="AW291" s="243"/>
      <c r="AX291" s="243"/>
      <c r="AY291" s="243"/>
      <c r="AZ291" s="243"/>
      <c r="BA291" s="243"/>
      <c r="BB291" s="243"/>
      <c r="BC291" s="243"/>
      <c r="BD291" s="243"/>
      <c r="BE291" s="243"/>
      <c r="BF291" s="243"/>
      <c r="BG291" s="243"/>
      <c r="BH291" s="243"/>
      <c r="BI291" s="243"/>
      <c r="BJ291" s="243"/>
      <c r="BK291" s="243"/>
      <c r="BL291" s="243"/>
      <c r="BM291" s="243"/>
      <c r="BN291" s="243"/>
      <c r="BO291" s="243"/>
      <c r="BP291" s="243"/>
      <c r="BQ291" s="243"/>
      <c r="BR291" s="243"/>
      <c r="BS291" s="243"/>
    </row>
    <row r="292" spans="1:71" s="12" customFormat="1" ht="41.25" customHeight="1">
      <c r="A292" s="178" t="s">
        <v>80</v>
      </c>
      <c r="B292" s="178" t="str">
        <f ca="1">+UPPER(Tabla1321124[[#This Row],[DESCRIPCIÓN DE LA COMPRA O CONTRATACIÓN]])</f>
        <v>ARENA REPOSICION ASIENTO TUBERIAS</v>
      </c>
      <c r="C292" s="39" t="s">
        <v>2653</v>
      </c>
      <c r="D292" s="368">
        <v>10</v>
      </c>
      <c r="E292" s="369">
        <v>10</v>
      </c>
      <c r="F292" s="369">
        <v>10</v>
      </c>
      <c r="G292" s="369">
        <v>10</v>
      </c>
      <c r="H292" s="240">
        <f>SUM(Tabla1321124[[#This Row],[PRIMER TRIMESTRE]:[CUARTO TRIMESTRE]])</f>
        <v>40</v>
      </c>
      <c r="I292" s="17">
        <v>365</v>
      </c>
      <c r="J292" s="17">
        <f>+Tabla1321124[[#This Row],[CANTIDAD TOTAL]]*Tabla1321124[[#This Row],[PRECIO UNITARIO ESTIMADO]]</f>
        <v>14600</v>
      </c>
      <c r="K292" s="175"/>
      <c r="L292" s="16" t="s">
        <v>18</v>
      </c>
      <c r="M292" s="16" t="s">
        <v>22</v>
      </c>
      <c r="N292" s="16" t="s">
        <v>418</v>
      </c>
      <c r="O292" s="243"/>
      <c r="P292" s="243"/>
      <c r="Q292" s="243"/>
      <c r="R292" s="243"/>
      <c r="S292" s="243"/>
      <c r="T292" s="243"/>
      <c r="U292" s="243"/>
      <c r="V292" s="243"/>
      <c r="W292" s="243"/>
      <c r="X292" s="243"/>
      <c r="Y292" s="243"/>
      <c r="Z292" s="243"/>
      <c r="AA292" s="243"/>
      <c r="AB292" s="243"/>
      <c r="AC292" s="243"/>
      <c r="AD292" s="243"/>
      <c r="AE292" s="243"/>
      <c r="AF292" s="243"/>
      <c r="AG292" s="243"/>
      <c r="AH292" s="243"/>
      <c r="AI292" s="243"/>
      <c r="AJ292" s="243"/>
      <c r="AK292" s="243"/>
      <c r="AL292" s="243"/>
      <c r="AM292" s="243"/>
      <c r="AN292" s="243"/>
      <c r="AO292" s="243"/>
      <c r="AP292" s="243"/>
      <c r="AQ292" s="243"/>
      <c r="AR292" s="243"/>
      <c r="AS292" s="243"/>
      <c r="AT292" s="243"/>
      <c r="AU292" s="243"/>
      <c r="AV292" s="243"/>
      <c r="AW292" s="243"/>
      <c r="AX292" s="243"/>
      <c r="AY292" s="243"/>
      <c r="AZ292" s="243"/>
      <c r="BA292" s="243"/>
      <c r="BB292" s="243"/>
      <c r="BC292" s="243"/>
      <c r="BD292" s="243"/>
      <c r="BE292" s="243"/>
      <c r="BF292" s="243"/>
      <c r="BG292" s="243"/>
      <c r="BH292" s="243"/>
      <c r="BI292" s="243"/>
      <c r="BJ292" s="243"/>
      <c r="BK292" s="243"/>
      <c r="BL292" s="243"/>
      <c r="BM292" s="243"/>
      <c r="BN292" s="243"/>
      <c r="BO292" s="243"/>
      <c r="BP292" s="243"/>
      <c r="BQ292" s="243"/>
      <c r="BR292" s="243"/>
      <c r="BS292" s="243"/>
    </row>
    <row r="293" spans="1:71" s="12" customFormat="1" ht="41.25" customHeight="1">
      <c r="A293" s="178" t="s">
        <v>80</v>
      </c>
      <c r="B293" s="178" t="str">
        <f ca="1">+UPPER(Tabla1321124[[#This Row],[DESCRIPCIÓN DE LA COMPRA O CONTRATACIÓN]])</f>
        <v>CADENA DE 3/8" DE HIERRO</v>
      </c>
      <c r="C293" s="39" t="s">
        <v>93</v>
      </c>
      <c r="D293" s="368">
        <v>50</v>
      </c>
      <c r="E293" s="369">
        <v>0</v>
      </c>
      <c r="F293" s="369">
        <v>25</v>
      </c>
      <c r="G293" s="369">
        <v>0</v>
      </c>
      <c r="H293" s="240">
        <f>SUM(Tabla1321124[[#This Row],[PRIMER TRIMESTRE]:[CUARTO TRIMESTRE]])</f>
        <v>75</v>
      </c>
      <c r="I293" s="17">
        <v>375</v>
      </c>
      <c r="J293" s="17">
        <f>+Tabla1321124[[#This Row],[CANTIDAD TOTAL]]*Tabla1321124[[#This Row],[PRECIO UNITARIO ESTIMADO]]</f>
        <v>28125</v>
      </c>
      <c r="K293" s="175"/>
      <c r="L293" s="16" t="s">
        <v>18</v>
      </c>
      <c r="M293" s="16" t="s">
        <v>22</v>
      </c>
      <c r="N293" s="16" t="s">
        <v>418</v>
      </c>
      <c r="O293" s="243"/>
      <c r="P293" s="243"/>
      <c r="Q293" s="243"/>
      <c r="R293" s="243"/>
      <c r="S293" s="243"/>
      <c r="T293" s="243"/>
      <c r="U293" s="243"/>
      <c r="V293" s="243"/>
      <c r="W293" s="243"/>
      <c r="X293" s="243"/>
      <c r="Y293" s="243"/>
      <c r="Z293" s="243"/>
      <c r="AA293" s="243"/>
      <c r="AB293" s="243"/>
      <c r="AC293" s="243"/>
      <c r="AD293" s="243"/>
      <c r="AE293" s="243"/>
      <c r="AF293" s="243"/>
      <c r="AG293" s="243"/>
      <c r="AH293" s="243"/>
      <c r="AI293" s="243"/>
      <c r="AJ293" s="243"/>
      <c r="AK293" s="243"/>
      <c r="AL293" s="243"/>
      <c r="AM293" s="243"/>
      <c r="AN293" s="243"/>
      <c r="AO293" s="243"/>
      <c r="AP293" s="243"/>
      <c r="AQ293" s="243"/>
      <c r="AR293" s="243"/>
      <c r="AS293" s="243"/>
      <c r="AT293" s="243"/>
      <c r="AU293" s="243"/>
      <c r="AV293" s="243"/>
      <c r="AW293" s="243"/>
      <c r="AX293" s="243"/>
      <c r="AY293" s="243"/>
      <c r="AZ293" s="243"/>
      <c r="BA293" s="243"/>
      <c r="BB293" s="243"/>
      <c r="BC293" s="243"/>
      <c r="BD293" s="243"/>
      <c r="BE293" s="243"/>
      <c r="BF293" s="243"/>
      <c r="BG293" s="243"/>
      <c r="BH293" s="243"/>
      <c r="BI293" s="243"/>
      <c r="BJ293" s="243"/>
      <c r="BK293" s="243"/>
      <c r="BL293" s="243"/>
      <c r="BM293" s="243"/>
      <c r="BN293" s="243"/>
      <c r="BO293" s="243"/>
      <c r="BP293" s="243"/>
      <c r="BQ293" s="243"/>
      <c r="BR293" s="243"/>
      <c r="BS293" s="243"/>
    </row>
    <row r="294" spans="1:71" s="12" customFormat="1" ht="41.25" customHeight="1">
      <c r="A294" s="178" t="s">
        <v>80</v>
      </c>
      <c r="B294" s="178" t="str">
        <f ca="1">+UPPER(Tabla1321124[[#This Row],[DESCRIPCIÓN DE LA COMPRA O CONTRATACIÓN]])</f>
        <v>CAJA DE HERRAMIENTA DE PLOMERIA</v>
      </c>
      <c r="C294" s="39" t="s">
        <v>69</v>
      </c>
      <c r="D294" s="365">
        <v>15</v>
      </c>
      <c r="E294" s="365">
        <v>0</v>
      </c>
      <c r="F294" s="365">
        <v>0</v>
      </c>
      <c r="G294" s="365">
        <v>0</v>
      </c>
      <c r="H294" s="240">
        <f>SUM(Tabla1321124[[#This Row],[PRIMER TRIMESTRE]:[CUARTO TRIMESTRE]])</f>
        <v>15</v>
      </c>
      <c r="I294" s="17">
        <v>1565</v>
      </c>
      <c r="J294" s="17">
        <f>+Tabla1321124[[#This Row],[CANTIDAD TOTAL]]*Tabla1321124[[#This Row],[PRECIO UNITARIO ESTIMADO]]</f>
        <v>23475</v>
      </c>
      <c r="K294" s="175"/>
      <c r="L294" s="16" t="s">
        <v>18</v>
      </c>
      <c r="M294" s="16" t="s">
        <v>22</v>
      </c>
      <c r="N294" s="16" t="s">
        <v>418</v>
      </c>
      <c r="O294" s="243"/>
      <c r="P294" s="243"/>
      <c r="Q294" s="243"/>
      <c r="R294" s="243"/>
      <c r="S294" s="243"/>
      <c r="T294" s="243"/>
      <c r="U294" s="243"/>
      <c r="V294" s="243"/>
      <c r="W294" s="243"/>
      <c r="X294" s="243"/>
      <c r="Y294" s="243"/>
      <c r="Z294" s="243"/>
      <c r="AA294" s="243"/>
      <c r="AB294" s="243"/>
      <c r="AC294" s="243"/>
      <c r="AD294" s="243"/>
      <c r="AE294" s="243"/>
      <c r="AF294" s="243"/>
      <c r="AG294" s="243"/>
      <c r="AH294" s="243"/>
      <c r="AI294" s="243"/>
      <c r="AJ294" s="243"/>
      <c r="AK294" s="243"/>
      <c r="AL294" s="243"/>
      <c r="AM294" s="243"/>
      <c r="AN294" s="243"/>
      <c r="AO294" s="243"/>
      <c r="AP294" s="243"/>
      <c r="AQ294" s="243"/>
      <c r="AR294" s="243"/>
      <c r="AS294" s="243"/>
      <c r="AT294" s="243"/>
      <c r="AU294" s="243"/>
      <c r="AV294" s="243"/>
      <c r="AW294" s="243"/>
      <c r="AX294" s="243"/>
      <c r="AY294" s="243"/>
      <c r="AZ294" s="243"/>
      <c r="BA294" s="243"/>
      <c r="BB294" s="243"/>
      <c r="BC294" s="243"/>
      <c r="BD294" s="243"/>
      <c r="BE294" s="243"/>
      <c r="BF294" s="243"/>
      <c r="BG294" s="243"/>
      <c r="BH294" s="243"/>
      <c r="BI294" s="243"/>
      <c r="BJ294" s="243"/>
      <c r="BK294" s="243"/>
      <c r="BL294" s="243"/>
      <c r="BM294" s="243"/>
      <c r="BN294" s="243"/>
      <c r="BO294" s="243"/>
      <c r="BP294" s="243"/>
      <c r="BQ294" s="243"/>
      <c r="BR294" s="243"/>
      <c r="BS294" s="243"/>
    </row>
    <row r="295" spans="1:71" s="12" customFormat="1" ht="41.25" customHeight="1">
      <c r="A295" s="178" t="s">
        <v>80</v>
      </c>
      <c r="B295" s="178" t="str">
        <f ca="1">+UPPER(Tabla1321124[[#This Row],[DESCRIPCIÓN DE LA COMPRA O CONTRATACIÓN]])</f>
        <v>CAJAS TELECOSPICAS DE H.F. PARA VÁLVULAS</v>
      </c>
      <c r="C295" s="39" t="s">
        <v>69</v>
      </c>
      <c r="D295" s="365">
        <v>10</v>
      </c>
      <c r="E295" s="365">
        <v>5</v>
      </c>
      <c r="F295" s="365">
        <v>5</v>
      </c>
      <c r="G295" s="365">
        <v>5</v>
      </c>
      <c r="H295" s="240">
        <f>SUM(Tabla1321124[[#This Row],[PRIMER TRIMESTRE]:[CUARTO TRIMESTRE]])</f>
        <v>25</v>
      </c>
      <c r="I295" s="17">
        <v>1780</v>
      </c>
      <c r="J295" s="17">
        <f>+Tabla1321124[[#This Row],[CANTIDAD TOTAL]]*Tabla1321124[[#This Row],[PRECIO UNITARIO ESTIMADO]]</f>
        <v>44500</v>
      </c>
      <c r="K295" s="175"/>
      <c r="L295" s="16" t="s">
        <v>18</v>
      </c>
      <c r="M295" s="16" t="s">
        <v>22</v>
      </c>
      <c r="N295" s="16" t="s">
        <v>418</v>
      </c>
      <c r="O295" s="243"/>
      <c r="P295" s="243"/>
      <c r="Q295" s="243"/>
      <c r="R295" s="243"/>
      <c r="S295" s="243"/>
      <c r="T295" s="243"/>
      <c r="U295" s="243"/>
      <c r="V295" s="243"/>
      <c r="W295" s="243"/>
      <c r="X295" s="243"/>
      <c r="Y295" s="243"/>
      <c r="Z295" s="243"/>
      <c r="AA295" s="243"/>
      <c r="AB295" s="243"/>
      <c r="AC295" s="243"/>
      <c r="AD295" s="243"/>
      <c r="AE295" s="243"/>
      <c r="AF295" s="243"/>
      <c r="AG295" s="243"/>
      <c r="AH295" s="243"/>
      <c r="AI295" s="243"/>
      <c r="AJ295" s="243"/>
      <c r="AK295" s="243"/>
      <c r="AL295" s="243"/>
      <c r="AM295" s="243"/>
      <c r="AN295" s="243"/>
      <c r="AO295" s="243"/>
      <c r="AP295" s="243"/>
      <c r="AQ295" s="243"/>
      <c r="AR295" s="243"/>
      <c r="AS295" s="243"/>
      <c r="AT295" s="243"/>
      <c r="AU295" s="243"/>
      <c r="AV295" s="243"/>
      <c r="AW295" s="243"/>
      <c r="AX295" s="243"/>
      <c r="AY295" s="243"/>
      <c r="AZ295" s="243"/>
      <c r="BA295" s="243"/>
      <c r="BB295" s="243"/>
      <c r="BC295" s="243"/>
      <c r="BD295" s="243"/>
      <c r="BE295" s="243"/>
      <c r="BF295" s="243"/>
      <c r="BG295" s="243"/>
      <c r="BH295" s="243"/>
      <c r="BI295" s="243"/>
      <c r="BJ295" s="243"/>
      <c r="BK295" s="243"/>
      <c r="BL295" s="243"/>
      <c r="BM295" s="243"/>
      <c r="BN295" s="243"/>
      <c r="BO295" s="243"/>
      <c r="BP295" s="243"/>
      <c r="BQ295" s="243"/>
      <c r="BR295" s="243"/>
      <c r="BS295" s="243"/>
    </row>
    <row r="296" spans="1:71" s="12" customFormat="1" ht="41.25" customHeight="1">
      <c r="A296" s="178" t="s">
        <v>80</v>
      </c>
      <c r="B296" s="178" t="str">
        <f ca="1">+UPPER(Tabla1321124[[#This Row],[DESCRIPCIÓN DE LA COMPRA O CONTRATACIÓN]])</f>
        <v>CALICHE PARA RELLENO ZANJAS</v>
      </c>
      <c r="C296" s="39" t="s">
        <v>2653</v>
      </c>
      <c r="D296" s="365">
        <v>100</v>
      </c>
      <c r="E296" s="365">
        <v>100</v>
      </c>
      <c r="F296" s="365">
        <v>100</v>
      </c>
      <c r="G296" s="365">
        <v>100</v>
      </c>
      <c r="H296" s="240">
        <f>SUM(Tabla1321124[[#This Row],[PRIMER TRIMESTRE]:[CUARTO TRIMESTRE]])</f>
        <v>400</v>
      </c>
      <c r="I296" s="17">
        <v>560</v>
      </c>
      <c r="J296" s="17">
        <f>+Tabla1321124[[#This Row],[CANTIDAD TOTAL]]*Tabla1321124[[#This Row],[PRECIO UNITARIO ESTIMADO]]</f>
        <v>224000</v>
      </c>
      <c r="K296" s="175"/>
      <c r="L296" s="16" t="s">
        <v>18</v>
      </c>
      <c r="M296" s="16" t="s">
        <v>22</v>
      </c>
      <c r="N296" s="16" t="s">
        <v>418</v>
      </c>
      <c r="O296" s="243"/>
      <c r="P296" s="243"/>
      <c r="Q296" s="243"/>
      <c r="R296" s="243"/>
      <c r="S296" s="243"/>
      <c r="T296" s="243"/>
      <c r="U296" s="243"/>
      <c r="V296" s="243"/>
      <c r="W296" s="243"/>
      <c r="X296" s="243"/>
      <c r="Y296" s="243"/>
      <c r="Z296" s="243"/>
      <c r="AA296" s="243"/>
      <c r="AB296" s="243"/>
      <c r="AC296" s="243"/>
      <c r="AD296" s="243"/>
      <c r="AE296" s="243"/>
      <c r="AF296" s="243"/>
      <c r="AG296" s="243"/>
      <c r="AH296" s="243"/>
      <c r="AI296" s="243"/>
      <c r="AJ296" s="243"/>
      <c r="AK296" s="243"/>
      <c r="AL296" s="243"/>
      <c r="AM296" s="243"/>
      <c r="AN296" s="243"/>
      <c r="AO296" s="243"/>
      <c r="AP296" s="243"/>
      <c r="AQ296" s="243"/>
      <c r="AR296" s="243"/>
      <c r="AS296" s="243"/>
      <c r="AT296" s="243"/>
      <c r="AU296" s="243"/>
      <c r="AV296" s="243"/>
      <c r="AW296" s="243"/>
      <c r="AX296" s="243"/>
      <c r="AY296" s="243"/>
      <c r="AZ296" s="243"/>
      <c r="BA296" s="243"/>
      <c r="BB296" s="243"/>
      <c r="BC296" s="243"/>
      <c r="BD296" s="243"/>
      <c r="BE296" s="243"/>
      <c r="BF296" s="243"/>
      <c r="BG296" s="243"/>
      <c r="BH296" s="243"/>
      <c r="BI296" s="243"/>
      <c r="BJ296" s="243"/>
      <c r="BK296" s="243"/>
      <c r="BL296" s="243"/>
      <c r="BM296" s="243"/>
      <c r="BN296" s="243"/>
      <c r="BO296" s="243"/>
      <c r="BP296" s="243"/>
      <c r="BQ296" s="243"/>
      <c r="BR296" s="243"/>
      <c r="BS296" s="243"/>
    </row>
    <row r="297" spans="1:71" s="12" customFormat="1" ht="41.25" customHeight="1">
      <c r="A297" s="178" t="s">
        <v>80</v>
      </c>
      <c r="B297" s="178" t="str">
        <f ca="1">+UPPER(Tabla1321124[[#This Row],[DESCRIPCIÓN DE LA COMPRA O CONTRATACIÓN]])</f>
        <v>CANDADOS DE 2"</v>
      </c>
      <c r="C297" s="39" t="s">
        <v>69</v>
      </c>
      <c r="D297" s="368">
        <v>10</v>
      </c>
      <c r="E297" s="369">
        <v>5</v>
      </c>
      <c r="F297" s="369">
        <v>5</v>
      </c>
      <c r="G297" s="369">
        <v>5</v>
      </c>
      <c r="H297" s="240">
        <f>SUM(Tabla1321124[[#This Row],[PRIMER TRIMESTRE]:[CUARTO TRIMESTRE]])</f>
        <v>25</v>
      </c>
      <c r="I297" s="17">
        <v>350</v>
      </c>
      <c r="J297" s="17">
        <f>+Tabla1321124[[#This Row],[CANTIDAD TOTAL]]*Tabla1321124[[#This Row],[PRECIO UNITARIO ESTIMADO]]</f>
        <v>8750</v>
      </c>
      <c r="K297" s="175"/>
      <c r="L297" s="16" t="s">
        <v>18</v>
      </c>
      <c r="M297" s="16" t="s">
        <v>22</v>
      </c>
      <c r="N297" s="16" t="s">
        <v>418</v>
      </c>
      <c r="O297" s="243"/>
      <c r="P297" s="243"/>
      <c r="Q297" s="243"/>
      <c r="R297" s="243"/>
      <c r="S297" s="243"/>
      <c r="T297" s="243"/>
      <c r="U297" s="243"/>
      <c r="V297" s="243"/>
      <c r="W297" s="243"/>
      <c r="X297" s="243"/>
      <c r="Y297" s="243"/>
      <c r="Z297" s="243"/>
      <c r="AA297" s="243"/>
      <c r="AB297" s="243"/>
      <c r="AC297" s="243"/>
      <c r="AD297" s="243"/>
      <c r="AE297" s="243"/>
      <c r="AF297" s="243"/>
      <c r="AG297" s="243"/>
      <c r="AH297" s="243"/>
      <c r="AI297" s="243"/>
      <c r="AJ297" s="243"/>
      <c r="AK297" s="243"/>
      <c r="AL297" s="243"/>
      <c r="AM297" s="243"/>
      <c r="AN297" s="243"/>
      <c r="AO297" s="243"/>
      <c r="AP297" s="243"/>
      <c r="AQ297" s="243"/>
      <c r="AR297" s="243"/>
      <c r="AS297" s="243"/>
      <c r="AT297" s="243"/>
      <c r="AU297" s="243"/>
      <c r="AV297" s="243"/>
      <c r="AW297" s="243"/>
      <c r="AX297" s="243"/>
      <c r="AY297" s="243"/>
      <c r="AZ297" s="243"/>
      <c r="BA297" s="243"/>
      <c r="BB297" s="243"/>
      <c r="BC297" s="243"/>
      <c r="BD297" s="243"/>
      <c r="BE297" s="243"/>
      <c r="BF297" s="243"/>
      <c r="BG297" s="243"/>
      <c r="BH297" s="243"/>
      <c r="BI297" s="243"/>
      <c r="BJ297" s="243"/>
      <c r="BK297" s="243"/>
      <c r="BL297" s="243"/>
      <c r="BM297" s="243"/>
      <c r="BN297" s="243"/>
      <c r="BO297" s="243"/>
      <c r="BP297" s="243"/>
      <c r="BQ297" s="243"/>
      <c r="BR297" s="243"/>
      <c r="BS297" s="243"/>
    </row>
    <row r="298" spans="1:71" s="12" customFormat="1" ht="41.25" customHeight="1">
      <c r="A298" s="178" t="s">
        <v>80</v>
      </c>
      <c r="B298" s="178" t="str">
        <f ca="1">+UPPER(Tabla1321124[[#This Row],[DESCRIPCIÓN DE LA COMPRA O CONTRATACIÓN]])</f>
        <v>LLAVES STILLSON 8"</v>
      </c>
      <c r="C298" s="39" t="s">
        <v>69</v>
      </c>
      <c r="D298" s="365">
        <v>5</v>
      </c>
      <c r="E298" s="365">
        <v>0</v>
      </c>
      <c r="F298" s="365">
        <v>0</v>
      </c>
      <c r="G298" s="365">
        <v>0</v>
      </c>
      <c r="H298" s="240">
        <f>SUM(Tabla1321124[[#This Row],[PRIMER TRIMESTRE]:[CUARTO TRIMESTRE]])</f>
        <v>5</v>
      </c>
      <c r="I298" s="17">
        <v>410</v>
      </c>
      <c r="J298" s="17">
        <f>+Tabla1321124[[#This Row],[CANTIDAD TOTAL]]*Tabla1321124[[#This Row],[PRECIO UNITARIO ESTIMADO]]</f>
        <v>2050</v>
      </c>
      <c r="K298" s="175"/>
      <c r="L298" s="16" t="s">
        <v>18</v>
      </c>
      <c r="M298" s="16" t="s">
        <v>22</v>
      </c>
      <c r="N298" s="16" t="s">
        <v>418</v>
      </c>
      <c r="O298" s="243"/>
      <c r="P298" s="243"/>
      <c r="Q298" s="243"/>
      <c r="R298" s="243"/>
      <c r="S298" s="243"/>
      <c r="T298" s="243"/>
      <c r="U298" s="243"/>
      <c r="V298" s="243"/>
      <c r="W298" s="243"/>
      <c r="X298" s="243"/>
      <c r="Y298" s="243"/>
      <c r="Z298" s="243"/>
      <c r="AA298" s="243"/>
      <c r="AB298" s="243"/>
      <c r="AC298" s="243"/>
      <c r="AD298" s="243"/>
      <c r="AE298" s="243"/>
      <c r="AF298" s="243"/>
      <c r="AG298" s="243"/>
      <c r="AH298" s="243"/>
      <c r="AI298" s="243"/>
      <c r="AJ298" s="243"/>
      <c r="AK298" s="243"/>
      <c r="AL298" s="243"/>
      <c r="AM298" s="243"/>
      <c r="AN298" s="243"/>
      <c r="AO298" s="243"/>
      <c r="AP298" s="243"/>
      <c r="AQ298" s="243"/>
      <c r="AR298" s="243"/>
      <c r="AS298" s="243"/>
      <c r="AT298" s="243"/>
      <c r="AU298" s="243"/>
      <c r="AV298" s="243"/>
      <c r="AW298" s="243"/>
      <c r="AX298" s="243"/>
      <c r="AY298" s="243"/>
      <c r="AZ298" s="243"/>
      <c r="BA298" s="243"/>
      <c r="BB298" s="243"/>
      <c r="BC298" s="243"/>
      <c r="BD298" s="243"/>
      <c r="BE298" s="243"/>
      <c r="BF298" s="243"/>
      <c r="BG298" s="243"/>
      <c r="BH298" s="243"/>
      <c r="BI298" s="243"/>
      <c r="BJ298" s="243"/>
      <c r="BK298" s="243"/>
      <c r="BL298" s="243"/>
      <c r="BM298" s="243"/>
      <c r="BN298" s="243"/>
      <c r="BO298" s="243"/>
      <c r="BP298" s="243"/>
      <c r="BQ298" s="243"/>
      <c r="BR298" s="243"/>
      <c r="BS298" s="243"/>
    </row>
    <row r="299" spans="1:71" s="12" customFormat="1" ht="41.25" customHeight="1">
      <c r="A299" s="178" t="s">
        <v>80</v>
      </c>
      <c r="B299" s="178" t="str">
        <f ca="1">+UPPER(Tabla1321124[[#This Row],[DESCRIPCIÓN DE LA COMPRA O CONTRATACIÓN]])</f>
        <v>CABLE ACERO COBREADO DESNUDO NO. 2 AWG 7 HILOS</v>
      </c>
      <c r="C299" s="39" t="s">
        <v>93</v>
      </c>
      <c r="D299" s="236">
        <v>500</v>
      </c>
      <c r="E299" s="236">
        <v>500</v>
      </c>
      <c r="F299" s="236">
        <v>500</v>
      </c>
      <c r="G299" s="236">
        <v>500</v>
      </c>
      <c r="H299" s="240">
        <f>SUM(Tabla1321124[[#This Row],[PRIMER TRIMESTRE]:[CUARTO TRIMESTRE]])</f>
        <v>2000</v>
      </c>
      <c r="I299" s="17">
        <v>272.60000000000002</v>
      </c>
      <c r="J299" s="17">
        <f>+Tabla1321124[[#This Row],[CANTIDAD TOTAL]]*Tabla1321124[[#This Row],[PRECIO UNITARIO ESTIMADO]]</f>
        <v>545200</v>
      </c>
      <c r="K299" s="17"/>
      <c r="L299" s="16" t="s">
        <v>18</v>
      </c>
      <c r="M299" s="16" t="s">
        <v>22</v>
      </c>
      <c r="N299" s="16" t="s">
        <v>418</v>
      </c>
      <c r="O299" s="243"/>
      <c r="P299" s="243"/>
      <c r="Q299" s="243"/>
      <c r="R299" s="243"/>
      <c r="S299" s="243"/>
      <c r="T299" s="243"/>
      <c r="U299" s="243"/>
      <c r="V299" s="243"/>
      <c r="W299" s="243"/>
      <c r="X299" s="243"/>
      <c r="Y299" s="243"/>
      <c r="Z299" s="243"/>
      <c r="AA299" s="243"/>
      <c r="AB299" s="243"/>
      <c r="AC299" s="243"/>
      <c r="AD299" s="243"/>
      <c r="AE299" s="243"/>
      <c r="AF299" s="243"/>
      <c r="AG299" s="243"/>
      <c r="AH299" s="243"/>
      <c r="AI299" s="243"/>
      <c r="AJ299" s="243"/>
      <c r="AK299" s="243"/>
      <c r="AL299" s="243"/>
      <c r="AM299" s="243"/>
      <c r="AN299" s="243"/>
      <c r="AO299" s="243"/>
      <c r="AP299" s="243"/>
      <c r="AQ299" s="243"/>
      <c r="AR299" s="243"/>
      <c r="AS299" s="243"/>
      <c r="AT299" s="243"/>
      <c r="AU299" s="243"/>
      <c r="AV299" s="243"/>
      <c r="AW299" s="243"/>
      <c r="AX299" s="243"/>
      <c r="AY299" s="243"/>
      <c r="AZ299" s="243"/>
      <c r="BA299" s="243"/>
      <c r="BB299" s="243"/>
      <c r="BC299" s="243"/>
      <c r="BD299" s="243"/>
      <c r="BE299" s="243"/>
      <c r="BF299" s="243"/>
      <c r="BG299" s="243"/>
      <c r="BH299" s="243"/>
      <c r="BI299" s="243"/>
      <c r="BJ299" s="243"/>
      <c r="BK299" s="243"/>
      <c r="BL299" s="243"/>
      <c r="BM299" s="243"/>
      <c r="BN299" s="243"/>
      <c r="BO299" s="243"/>
      <c r="BP299" s="243"/>
      <c r="BQ299" s="243"/>
      <c r="BR299" s="243"/>
      <c r="BS299" s="243"/>
    </row>
    <row r="300" spans="1:71" s="12" customFormat="1" ht="41.25" customHeight="1">
      <c r="A300" s="178" t="s">
        <v>80</v>
      </c>
      <c r="B300" s="178" t="str">
        <f ca="1">+UPPER(Tabla1321124[[#This Row],[DESCRIPCIÓN DE LA COMPRA O CONTRATACIÓN]])</f>
        <v>CABLE ACERO ELECTRICONO. 2</v>
      </c>
      <c r="C300" s="39" t="s">
        <v>93</v>
      </c>
      <c r="D300" s="236">
        <f>500+500</f>
        <v>1000</v>
      </c>
      <c r="E300" s="236">
        <v>500</v>
      </c>
      <c r="F300" s="236">
        <v>500</v>
      </c>
      <c r="G300" s="236">
        <v>500</v>
      </c>
      <c r="H300" s="240">
        <f>SUM(Tabla1321124[[#This Row],[PRIMER TRIMESTRE]:[CUARTO TRIMESTRE]])</f>
        <v>2500</v>
      </c>
      <c r="I300" s="17">
        <v>57</v>
      </c>
      <c r="J300" s="17">
        <f>+Tabla1321124[[#This Row],[CANTIDAD TOTAL]]*Tabla1321124[[#This Row],[PRECIO UNITARIO ESTIMADO]]</f>
        <v>142500</v>
      </c>
      <c r="K300" s="17"/>
      <c r="L300" s="16" t="s">
        <v>18</v>
      </c>
      <c r="M300" s="16" t="s">
        <v>22</v>
      </c>
      <c r="N300" s="16" t="s">
        <v>418</v>
      </c>
      <c r="O300" s="243"/>
      <c r="P300" s="243"/>
      <c r="Q300" s="243"/>
      <c r="R300" s="243"/>
      <c r="S300" s="243"/>
      <c r="T300" s="243"/>
      <c r="U300" s="243"/>
      <c r="V300" s="243"/>
      <c r="W300" s="243"/>
      <c r="X300" s="243"/>
      <c r="Y300" s="243"/>
      <c r="Z300" s="243"/>
      <c r="AA300" s="243"/>
      <c r="AB300" s="243"/>
      <c r="AC300" s="243"/>
      <c r="AD300" s="243"/>
      <c r="AE300" s="243"/>
      <c r="AF300" s="243"/>
      <c r="AG300" s="243"/>
      <c r="AH300" s="243"/>
      <c r="AI300" s="243"/>
      <c r="AJ300" s="243"/>
      <c r="AK300" s="243"/>
      <c r="AL300" s="243"/>
      <c r="AM300" s="243"/>
      <c r="AN300" s="243"/>
      <c r="AO300" s="243"/>
      <c r="AP300" s="243"/>
      <c r="AQ300" s="243"/>
      <c r="AR300" s="243"/>
      <c r="AS300" s="243"/>
      <c r="AT300" s="243"/>
      <c r="AU300" s="243"/>
      <c r="AV300" s="243"/>
      <c r="AW300" s="243"/>
      <c r="AX300" s="243"/>
      <c r="AY300" s="243"/>
      <c r="AZ300" s="243"/>
      <c r="BA300" s="243"/>
      <c r="BB300" s="243"/>
      <c r="BC300" s="243"/>
      <c r="BD300" s="243"/>
      <c r="BE300" s="243"/>
      <c r="BF300" s="243"/>
      <c r="BG300" s="243"/>
      <c r="BH300" s="243"/>
      <c r="BI300" s="243"/>
      <c r="BJ300" s="243"/>
      <c r="BK300" s="243"/>
      <c r="BL300" s="243"/>
      <c r="BM300" s="243"/>
      <c r="BN300" s="243"/>
      <c r="BO300" s="243"/>
      <c r="BP300" s="243"/>
      <c r="BQ300" s="243"/>
      <c r="BR300" s="243"/>
      <c r="BS300" s="243"/>
    </row>
    <row r="301" spans="1:71" s="12" customFormat="1" ht="41.25" customHeight="1">
      <c r="A301" s="178" t="s">
        <v>80</v>
      </c>
      <c r="B301" s="178" t="str">
        <f ca="1">+UPPER(Tabla1321124[[#This Row],[DESCRIPCIÓN DE LA COMPRA O CONTRATACIÓN]])</f>
        <v>CABLE ACERO GALZANIZADO 3/8</v>
      </c>
      <c r="C301" s="39" t="s">
        <v>93</v>
      </c>
      <c r="D301" s="236">
        <f>500+500</f>
        <v>1000</v>
      </c>
      <c r="E301" s="236">
        <v>500</v>
      </c>
      <c r="F301" s="236">
        <v>500</v>
      </c>
      <c r="G301" s="236">
        <v>500</v>
      </c>
      <c r="H301" s="240">
        <f>SUM(Tabla1321124[[#This Row],[PRIMER TRIMESTRE]:[CUARTO TRIMESTRE]])</f>
        <v>2500</v>
      </c>
      <c r="I301" s="17">
        <v>30.16</v>
      </c>
      <c r="J301" s="17">
        <f>+Tabla1321124[[#This Row],[CANTIDAD TOTAL]]*Tabla1321124[[#This Row],[PRECIO UNITARIO ESTIMADO]]</f>
        <v>75400</v>
      </c>
      <c r="K301" s="17"/>
      <c r="L301" s="16" t="s">
        <v>18</v>
      </c>
      <c r="M301" s="16" t="s">
        <v>22</v>
      </c>
      <c r="N301" s="16" t="s">
        <v>418</v>
      </c>
      <c r="O301" s="243"/>
      <c r="P301" s="243"/>
      <c r="Q301" s="243"/>
      <c r="R301" s="243"/>
      <c r="S301" s="243"/>
      <c r="T301" s="243"/>
      <c r="U301" s="243"/>
      <c r="V301" s="243"/>
      <c r="W301" s="243"/>
      <c r="X301" s="243"/>
      <c r="Y301" s="243"/>
      <c r="Z301" s="243"/>
      <c r="AA301" s="243"/>
      <c r="AB301" s="243"/>
      <c r="AC301" s="243"/>
      <c r="AD301" s="243"/>
      <c r="AE301" s="243"/>
      <c r="AF301" s="243"/>
      <c r="AG301" s="243"/>
      <c r="AH301" s="243"/>
      <c r="AI301" s="243"/>
      <c r="AJ301" s="243"/>
      <c r="AK301" s="243"/>
      <c r="AL301" s="243"/>
      <c r="AM301" s="243"/>
      <c r="AN301" s="243"/>
      <c r="AO301" s="243"/>
      <c r="AP301" s="243"/>
      <c r="AQ301" s="243"/>
      <c r="AR301" s="243"/>
      <c r="AS301" s="243"/>
      <c r="AT301" s="243"/>
      <c r="AU301" s="243"/>
      <c r="AV301" s="243"/>
      <c r="AW301" s="243"/>
      <c r="AX301" s="243"/>
      <c r="AY301" s="243"/>
      <c r="AZ301" s="243"/>
      <c r="BA301" s="243"/>
      <c r="BB301" s="243"/>
      <c r="BC301" s="243"/>
      <c r="BD301" s="243"/>
      <c r="BE301" s="243"/>
      <c r="BF301" s="243"/>
      <c r="BG301" s="243"/>
      <c r="BH301" s="243"/>
      <c r="BI301" s="243"/>
      <c r="BJ301" s="243"/>
      <c r="BK301" s="243"/>
      <c r="BL301" s="243"/>
      <c r="BM301" s="243"/>
      <c r="BN301" s="243"/>
      <c r="BO301" s="243"/>
      <c r="BP301" s="243"/>
      <c r="BQ301" s="243"/>
      <c r="BR301" s="243"/>
      <c r="BS301" s="243"/>
    </row>
    <row r="302" spans="1:71" s="12" customFormat="1" ht="41.25" customHeight="1">
      <c r="A302" s="178" t="s">
        <v>80</v>
      </c>
      <c r="B302" s="178" t="str">
        <f ca="1">+UPPER(Tabla1321124[[#This Row],[DESCRIPCIÓN DE LA COMPRA O CONTRATACIÓN]])</f>
        <v>CABLE MULTIFIBRA NO. 2/0 5 (1 PIE DE LARGO CON TERMINAL DE OJO EN AMBOS EXTREMOS)</v>
      </c>
      <c r="C302" s="39" t="s">
        <v>17</v>
      </c>
      <c r="D302" s="236">
        <v>110</v>
      </c>
      <c r="E302" s="236">
        <v>10</v>
      </c>
      <c r="F302" s="236">
        <v>10</v>
      </c>
      <c r="G302" s="236">
        <v>10</v>
      </c>
      <c r="H302" s="240">
        <f>SUM(Tabla1321124[[#This Row],[PRIMER TRIMESTRE]:[CUARTO TRIMESTRE]])</f>
        <v>140</v>
      </c>
      <c r="I302" s="17">
        <v>0</v>
      </c>
      <c r="J302" s="17">
        <f>+Tabla1321124[[#This Row],[CANTIDAD TOTAL]]*Tabla1321124[[#This Row],[PRECIO UNITARIO ESTIMADO]]</f>
        <v>0</v>
      </c>
      <c r="K302" s="302"/>
      <c r="L302" s="16" t="s">
        <v>18</v>
      </c>
      <c r="M302" s="16" t="s">
        <v>22</v>
      </c>
      <c r="N302" s="16" t="s">
        <v>418</v>
      </c>
      <c r="O302" s="243"/>
      <c r="P302" s="243"/>
      <c r="Q302" s="243"/>
      <c r="R302" s="243"/>
      <c r="S302" s="243"/>
      <c r="T302" s="243"/>
      <c r="U302" s="243"/>
      <c r="V302" s="243"/>
      <c r="W302" s="243"/>
      <c r="X302" s="243"/>
      <c r="Y302" s="243"/>
      <c r="Z302" s="243"/>
      <c r="AA302" s="243"/>
      <c r="AB302" s="243"/>
      <c r="AC302" s="243"/>
      <c r="AD302" s="243"/>
      <c r="AE302" s="243"/>
      <c r="AF302" s="243"/>
      <c r="AG302" s="243"/>
      <c r="AH302" s="243"/>
      <c r="AI302" s="243"/>
      <c r="AJ302" s="243"/>
      <c r="AK302" s="243"/>
      <c r="AL302" s="243"/>
      <c r="AM302" s="243"/>
      <c r="AN302" s="243"/>
      <c r="AO302" s="243"/>
      <c r="AP302" s="243"/>
      <c r="AQ302" s="243"/>
      <c r="AR302" s="243"/>
      <c r="AS302" s="243"/>
      <c r="AT302" s="243"/>
      <c r="AU302" s="243"/>
      <c r="AV302" s="243"/>
      <c r="AW302" s="243"/>
      <c r="AX302" s="243"/>
      <c r="AY302" s="243"/>
      <c r="AZ302" s="243"/>
      <c r="BA302" s="243"/>
      <c r="BB302" s="243"/>
      <c r="BC302" s="243"/>
      <c r="BD302" s="243"/>
      <c r="BE302" s="243"/>
      <c r="BF302" s="243"/>
      <c r="BG302" s="243"/>
      <c r="BH302" s="243"/>
      <c r="BI302" s="243"/>
      <c r="BJ302" s="243"/>
      <c r="BK302" s="243"/>
      <c r="BL302" s="243"/>
      <c r="BM302" s="243"/>
      <c r="BN302" s="243"/>
      <c r="BO302" s="243"/>
      <c r="BP302" s="243"/>
      <c r="BQ302" s="243"/>
      <c r="BR302" s="243"/>
      <c r="BS302" s="243"/>
    </row>
    <row r="303" spans="1:71" s="12" customFormat="1" ht="41.25" customHeight="1">
      <c r="A303" s="178" t="s">
        <v>80</v>
      </c>
      <c r="B303" s="178" t="str">
        <f ca="1">+UPPER(Tabla1321124[[#This Row],[DESCRIPCIÓN DE LA COMPRA O CONTRATACIÓN]])</f>
        <v>CABLE MULTIFIBRA NO. 2/0 5 (5 PIE DE LARGO CON TERMINAL DE OJO EN AMBOS EXTREMOS)</v>
      </c>
      <c r="C303" s="39" t="s">
        <v>17</v>
      </c>
      <c r="D303" s="236">
        <v>10</v>
      </c>
      <c r="E303" s="236">
        <v>10</v>
      </c>
      <c r="F303" s="236">
        <v>10</v>
      </c>
      <c r="G303" s="236">
        <v>10</v>
      </c>
      <c r="H303" s="240">
        <f>SUM(Tabla1321124[[#This Row],[PRIMER TRIMESTRE]:[CUARTO TRIMESTRE]])</f>
        <v>40</v>
      </c>
      <c r="I303" s="17">
        <v>0</v>
      </c>
      <c r="J303" s="17">
        <f>+Tabla1321124[[#This Row],[CANTIDAD TOTAL]]*Tabla1321124[[#This Row],[PRECIO UNITARIO ESTIMADO]]</f>
        <v>0</v>
      </c>
      <c r="K303" s="302"/>
      <c r="L303" s="16" t="s">
        <v>18</v>
      </c>
      <c r="M303" s="16" t="s">
        <v>22</v>
      </c>
      <c r="N303" s="16" t="s">
        <v>418</v>
      </c>
      <c r="O303" s="243"/>
      <c r="P303" s="243"/>
      <c r="Q303" s="243"/>
      <c r="R303" s="243"/>
      <c r="S303" s="243"/>
      <c r="T303" s="243"/>
      <c r="U303" s="243"/>
      <c r="V303" s="243"/>
      <c r="W303" s="243"/>
      <c r="X303" s="243"/>
      <c r="Y303" s="243"/>
      <c r="Z303" s="243"/>
      <c r="AA303" s="243"/>
      <c r="AB303" s="243"/>
      <c r="AC303" s="243"/>
      <c r="AD303" s="243"/>
      <c r="AE303" s="243"/>
      <c r="AF303" s="243"/>
      <c r="AG303" s="243"/>
      <c r="AH303" s="243"/>
      <c r="AI303" s="243"/>
      <c r="AJ303" s="243"/>
      <c r="AK303" s="243"/>
      <c r="AL303" s="243"/>
      <c r="AM303" s="243"/>
      <c r="AN303" s="243"/>
      <c r="AO303" s="243"/>
      <c r="AP303" s="243"/>
      <c r="AQ303" s="243"/>
      <c r="AR303" s="243"/>
      <c r="AS303" s="243"/>
      <c r="AT303" s="243"/>
      <c r="AU303" s="243"/>
      <c r="AV303" s="243"/>
      <c r="AW303" s="243"/>
      <c r="AX303" s="243"/>
      <c r="AY303" s="243"/>
      <c r="AZ303" s="243"/>
      <c r="BA303" s="243"/>
      <c r="BB303" s="243"/>
      <c r="BC303" s="243"/>
      <c r="BD303" s="243"/>
      <c r="BE303" s="243"/>
      <c r="BF303" s="243"/>
      <c r="BG303" s="243"/>
      <c r="BH303" s="243"/>
      <c r="BI303" s="243"/>
      <c r="BJ303" s="243"/>
      <c r="BK303" s="243"/>
      <c r="BL303" s="243"/>
      <c r="BM303" s="243"/>
      <c r="BN303" s="243"/>
      <c r="BO303" s="243"/>
      <c r="BP303" s="243"/>
      <c r="BQ303" s="243"/>
      <c r="BR303" s="243"/>
      <c r="BS303" s="243"/>
    </row>
    <row r="304" spans="1:71" s="12" customFormat="1" ht="41.25" customHeight="1">
      <c r="A304" s="178" t="s">
        <v>80</v>
      </c>
      <c r="B304" s="178" t="str">
        <f ca="1">+UPPER(Tabla1321124[[#This Row],[DESCRIPCIÓN DE LA COMPRA O CONTRATACIÓN]])</f>
        <v>ABRAZADERA DE PVC DE 2 X 1/2</v>
      </c>
      <c r="C304" s="39" t="s">
        <v>17</v>
      </c>
      <c r="D304" s="236">
        <v>50</v>
      </c>
      <c r="E304" s="236">
        <v>50</v>
      </c>
      <c r="F304" s="236">
        <v>50</v>
      </c>
      <c r="G304" s="236">
        <v>50</v>
      </c>
      <c r="H304" s="240">
        <f>SUM(Tabla1321124[[#This Row],[PRIMER TRIMESTRE]:[CUARTO TRIMESTRE]])</f>
        <v>200</v>
      </c>
      <c r="I304" s="17">
        <v>33.64</v>
      </c>
      <c r="J304" s="17">
        <f>+Tabla1321124[[#This Row],[CANTIDAD TOTAL]]*Tabla1321124[[#This Row],[PRECIO UNITARIO ESTIMADO]]</f>
        <v>6728</v>
      </c>
      <c r="K304" s="17"/>
      <c r="L304" s="16" t="s">
        <v>18</v>
      </c>
      <c r="M304" s="16" t="s">
        <v>22</v>
      </c>
      <c r="N304" s="16" t="s">
        <v>418</v>
      </c>
      <c r="O304" s="243"/>
      <c r="P304" s="243"/>
      <c r="Q304" s="243"/>
      <c r="R304" s="243"/>
      <c r="S304" s="243"/>
      <c r="T304" s="243"/>
      <c r="U304" s="243"/>
      <c r="V304" s="243"/>
      <c r="W304" s="243"/>
      <c r="X304" s="243"/>
      <c r="Y304" s="243"/>
      <c r="Z304" s="243"/>
      <c r="AA304" s="243"/>
      <c r="AB304" s="243"/>
      <c r="AC304" s="243"/>
      <c r="AD304" s="243"/>
      <c r="AE304" s="243"/>
      <c r="AF304" s="243"/>
      <c r="AG304" s="243"/>
      <c r="AH304" s="243"/>
      <c r="AI304" s="243"/>
      <c r="AJ304" s="243"/>
      <c r="AK304" s="243"/>
      <c r="AL304" s="243"/>
      <c r="AM304" s="243"/>
      <c r="AN304" s="243"/>
      <c r="AO304" s="243"/>
      <c r="AP304" s="243"/>
      <c r="AQ304" s="243"/>
      <c r="AR304" s="243"/>
      <c r="AS304" s="243"/>
      <c r="AT304" s="243"/>
      <c r="AU304" s="243"/>
      <c r="AV304" s="243"/>
      <c r="AW304" s="243"/>
      <c r="AX304" s="243"/>
      <c r="AY304" s="243"/>
      <c r="AZ304" s="243"/>
      <c r="BA304" s="243"/>
      <c r="BB304" s="243"/>
      <c r="BC304" s="243"/>
      <c r="BD304" s="243"/>
      <c r="BE304" s="243"/>
      <c r="BF304" s="243"/>
      <c r="BG304" s="243"/>
      <c r="BH304" s="243"/>
      <c r="BI304" s="243"/>
      <c r="BJ304" s="243"/>
      <c r="BK304" s="243"/>
      <c r="BL304" s="243"/>
      <c r="BM304" s="243"/>
      <c r="BN304" s="243"/>
      <c r="BO304" s="243"/>
      <c r="BP304" s="243"/>
      <c r="BQ304" s="243"/>
      <c r="BR304" s="243"/>
      <c r="BS304" s="243"/>
    </row>
    <row r="305" spans="1:71" s="12" customFormat="1" ht="41.25" customHeight="1">
      <c r="A305" s="178" t="s">
        <v>80</v>
      </c>
      <c r="B305" s="178" t="str">
        <f ca="1">+UPPER(Tabla1321124[[#This Row],[DESCRIPCIÓN DE LA COMPRA O CONTRATACIÓN]])</f>
        <v>ABRAZADERA UNITRUS DE 3''</v>
      </c>
      <c r="C305" s="39" t="s">
        <v>17</v>
      </c>
      <c r="D305" s="236">
        <v>20</v>
      </c>
      <c r="E305" s="236">
        <v>20</v>
      </c>
      <c r="F305" s="236">
        <v>20</v>
      </c>
      <c r="G305" s="236">
        <v>20</v>
      </c>
      <c r="H305" s="240">
        <f>SUM(Tabla1321124[[#This Row],[PRIMER TRIMESTRE]:[CUARTO TRIMESTRE]])</f>
        <v>80</v>
      </c>
      <c r="I305" s="17">
        <v>0</v>
      </c>
      <c r="J305" s="17">
        <f>+Tabla1321124[[#This Row],[CANTIDAD TOTAL]]*Tabla1321124[[#This Row],[PRECIO UNITARIO ESTIMADO]]</f>
        <v>0</v>
      </c>
      <c r="K305" s="302"/>
      <c r="L305" s="16" t="s">
        <v>18</v>
      </c>
      <c r="M305" s="16" t="s">
        <v>22</v>
      </c>
      <c r="N305" s="16" t="s">
        <v>418</v>
      </c>
      <c r="O305" s="243"/>
      <c r="P305" s="243"/>
      <c r="Q305" s="243"/>
      <c r="R305" s="243"/>
      <c r="S305" s="243"/>
      <c r="T305" s="243"/>
      <c r="U305" s="243"/>
      <c r="V305" s="243"/>
      <c r="W305" s="243"/>
      <c r="X305" s="243"/>
      <c r="Y305" s="243"/>
      <c r="Z305" s="243"/>
      <c r="AA305" s="243"/>
      <c r="AB305" s="243"/>
      <c r="AC305" s="243"/>
      <c r="AD305" s="243"/>
      <c r="AE305" s="243"/>
      <c r="AF305" s="243"/>
      <c r="AG305" s="243"/>
      <c r="AH305" s="243"/>
      <c r="AI305" s="243"/>
      <c r="AJ305" s="243"/>
      <c r="AK305" s="243"/>
      <c r="AL305" s="243"/>
      <c r="AM305" s="243"/>
      <c r="AN305" s="243"/>
      <c r="AO305" s="243"/>
      <c r="AP305" s="243"/>
      <c r="AQ305" s="243"/>
      <c r="AR305" s="243"/>
      <c r="AS305" s="243"/>
      <c r="AT305" s="243"/>
      <c r="AU305" s="243"/>
      <c r="AV305" s="243"/>
      <c r="AW305" s="243"/>
      <c r="AX305" s="243"/>
      <c r="AY305" s="243"/>
      <c r="AZ305" s="243"/>
      <c r="BA305" s="243"/>
      <c r="BB305" s="243"/>
      <c r="BC305" s="243"/>
      <c r="BD305" s="243"/>
      <c r="BE305" s="243"/>
      <c r="BF305" s="243"/>
      <c r="BG305" s="243"/>
      <c r="BH305" s="243"/>
      <c r="BI305" s="243"/>
      <c r="BJ305" s="243"/>
      <c r="BK305" s="243"/>
      <c r="BL305" s="243"/>
      <c r="BM305" s="243"/>
      <c r="BN305" s="243"/>
      <c r="BO305" s="243"/>
      <c r="BP305" s="243"/>
      <c r="BQ305" s="243"/>
      <c r="BR305" s="243"/>
      <c r="BS305" s="243"/>
    </row>
    <row r="306" spans="1:71" s="12" customFormat="1" ht="41.25" customHeight="1">
      <c r="A306" s="178" t="s">
        <v>80</v>
      </c>
      <c r="B306" s="178" t="str">
        <f ca="1">+UPPER(Tabla1321124[[#This Row],[DESCRIPCIÓN DE LA COMPRA O CONTRATACIÓN]])</f>
        <v>CARRETILLA TIPO JEEP</v>
      </c>
      <c r="C306" s="39" t="s">
        <v>17</v>
      </c>
      <c r="D306" s="236">
        <f>19+11</f>
        <v>30</v>
      </c>
      <c r="E306" s="236">
        <f>18+6</f>
        <v>24</v>
      </c>
      <c r="F306" s="210">
        <f>17+6</f>
        <v>23</v>
      </c>
      <c r="G306" s="210">
        <f>18+6</f>
        <v>24</v>
      </c>
      <c r="H306" s="240">
        <f>SUM(Tabla1321124[[#This Row],[PRIMER TRIMESTRE]:[CUARTO TRIMESTRE]])</f>
        <v>101</v>
      </c>
      <c r="I306" s="17">
        <v>5823.23</v>
      </c>
      <c r="J306" s="17">
        <f>+Tabla1321124[[#This Row],[CANTIDAD TOTAL]]*Tabla1321124[[#This Row],[PRECIO UNITARIO ESTIMADO]]</f>
        <v>588146.23</v>
      </c>
      <c r="K306" s="17"/>
      <c r="L306" s="16" t="s">
        <v>18</v>
      </c>
      <c r="M306" s="16" t="s">
        <v>22</v>
      </c>
      <c r="N306" s="16" t="s">
        <v>418</v>
      </c>
      <c r="O306" s="243"/>
      <c r="P306" s="243"/>
      <c r="Q306" s="243"/>
      <c r="R306" s="243"/>
      <c r="S306" s="243"/>
      <c r="T306" s="243"/>
      <c r="U306" s="243"/>
      <c r="V306" s="243"/>
      <c r="W306" s="243"/>
      <c r="X306" s="243"/>
      <c r="Y306" s="243"/>
      <c r="Z306" s="243"/>
      <c r="AA306" s="243"/>
      <c r="AB306" s="243"/>
      <c r="AC306" s="243"/>
      <c r="AD306" s="243"/>
      <c r="AE306" s="243"/>
      <c r="AF306" s="243"/>
      <c r="AG306" s="243"/>
      <c r="AH306" s="243"/>
      <c r="AI306" s="243"/>
      <c r="AJ306" s="243"/>
      <c r="AK306" s="243"/>
      <c r="AL306" s="243"/>
      <c r="AM306" s="243"/>
      <c r="AN306" s="243"/>
      <c r="AO306" s="243"/>
      <c r="AP306" s="243"/>
      <c r="AQ306" s="243"/>
      <c r="AR306" s="243"/>
      <c r="AS306" s="243"/>
      <c r="AT306" s="243"/>
      <c r="AU306" s="243"/>
      <c r="AV306" s="243"/>
      <c r="AW306" s="243"/>
      <c r="AX306" s="243"/>
      <c r="AY306" s="243"/>
      <c r="AZ306" s="243"/>
      <c r="BA306" s="243"/>
      <c r="BB306" s="243"/>
      <c r="BC306" s="243"/>
      <c r="BD306" s="243"/>
      <c r="BE306" s="243"/>
      <c r="BF306" s="243"/>
      <c r="BG306" s="243"/>
      <c r="BH306" s="243"/>
      <c r="BI306" s="243"/>
      <c r="BJ306" s="243"/>
      <c r="BK306" s="243"/>
      <c r="BL306" s="243"/>
      <c r="BM306" s="243"/>
      <c r="BN306" s="243"/>
      <c r="BO306" s="243"/>
      <c r="BP306" s="243"/>
      <c r="BQ306" s="243"/>
      <c r="BR306" s="243"/>
      <c r="BS306" s="243"/>
    </row>
    <row r="307" spans="1:71" s="12" customFormat="1" ht="41.25" customHeight="1">
      <c r="A307" s="178" t="s">
        <v>80</v>
      </c>
      <c r="B307" s="178" t="str">
        <f ca="1">+UPPER(Tabla1321124[[#This Row],[DESCRIPCIÓN DE LA COMPRA O CONTRATACIÓN]])</f>
        <v>CEMENTO PVC  1GLS</v>
      </c>
      <c r="C307" s="39" t="s">
        <v>288</v>
      </c>
      <c r="D307" s="236">
        <f>37+5+35</f>
        <v>77</v>
      </c>
      <c r="E307" s="210">
        <f>38+15</f>
        <v>53</v>
      </c>
      <c r="F307" s="210">
        <f>37+35</f>
        <v>72</v>
      </c>
      <c r="G307" s="210">
        <f>38+15</f>
        <v>53</v>
      </c>
      <c r="H307" s="240">
        <f>SUM(Tabla1321124[[#This Row],[PRIMER TRIMESTRE]:[CUARTO TRIMESTRE]])</f>
        <v>255</v>
      </c>
      <c r="I307" s="17">
        <v>1624</v>
      </c>
      <c r="J307" s="17">
        <f>+Tabla1321124[[#This Row],[CANTIDAD TOTAL]]*Tabla1321124[[#This Row],[PRECIO UNITARIO ESTIMADO]]</f>
        <v>414120</v>
      </c>
      <c r="K307" s="17"/>
      <c r="L307" s="16" t="s">
        <v>18</v>
      </c>
      <c r="M307" s="16" t="s">
        <v>22</v>
      </c>
      <c r="N307" s="16" t="s">
        <v>418</v>
      </c>
      <c r="O307" s="243"/>
      <c r="P307" s="243"/>
      <c r="Q307" s="243"/>
      <c r="R307" s="243"/>
      <c r="S307" s="243"/>
      <c r="T307" s="243"/>
      <c r="U307" s="243"/>
      <c r="V307" s="243"/>
      <c r="W307" s="243"/>
      <c r="X307" s="243"/>
      <c r="Y307" s="243"/>
      <c r="Z307" s="243"/>
      <c r="AA307" s="243"/>
      <c r="AB307" s="243"/>
      <c r="AC307" s="243"/>
      <c r="AD307" s="243"/>
      <c r="AE307" s="243"/>
      <c r="AF307" s="243"/>
      <c r="AG307" s="243"/>
      <c r="AH307" s="243"/>
      <c r="AI307" s="243"/>
      <c r="AJ307" s="243"/>
      <c r="AK307" s="243"/>
      <c r="AL307" s="243"/>
      <c r="AM307" s="243"/>
      <c r="AN307" s="243"/>
      <c r="AO307" s="243"/>
      <c r="AP307" s="243"/>
      <c r="AQ307" s="243"/>
      <c r="AR307" s="243"/>
      <c r="AS307" s="243"/>
      <c r="AT307" s="243"/>
      <c r="AU307" s="243"/>
      <c r="AV307" s="243"/>
      <c r="AW307" s="243"/>
      <c r="AX307" s="243"/>
      <c r="AY307" s="243"/>
      <c r="AZ307" s="243"/>
      <c r="BA307" s="243"/>
      <c r="BB307" s="243"/>
      <c r="BC307" s="243"/>
      <c r="BD307" s="243"/>
      <c r="BE307" s="243"/>
      <c r="BF307" s="243"/>
      <c r="BG307" s="243"/>
      <c r="BH307" s="243"/>
      <c r="BI307" s="243"/>
      <c r="BJ307" s="243"/>
      <c r="BK307" s="243"/>
      <c r="BL307" s="243"/>
      <c r="BM307" s="243"/>
      <c r="BN307" s="243"/>
      <c r="BO307" s="243"/>
      <c r="BP307" s="243"/>
      <c r="BQ307" s="243"/>
      <c r="BR307" s="243"/>
      <c r="BS307" s="243"/>
    </row>
    <row r="308" spans="1:71" s="12" customFormat="1" ht="41.25" customHeight="1">
      <c r="A308" s="178" t="s">
        <v>80</v>
      </c>
      <c r="B308" s="178" t="str">
        <f ca="1">+UPPER(Tabla1321124[[#This Row],[DESCRIPCIÓN DE LA COMPRA O CONTRATACIÓN]])</f>
        <v>CEMENTO SOLVENTE PARA PVC</v>
      </c>
      <c r="C308" s="39" t="s">
        <v>33</v>
      </c>
      <c r="D308" s="368">
        <v>22</v>
      </c>
      <c r="E308" s="369">
        <v>41</v>
      </c>
      <c r="F308" s="369">
        <v>41</v>
      </c>
      <c r="G308" s="369">
        <v>21</v>
      </c>
      <c r="H308" s="240">
        <f>SUM(Tabla1321124[[#This Row],[PRIMER TRIMESTRE]:[CUARTO TRIMESTRE]])</f>
        <v>125</v>
      </c>
      <c r="I308" s="17">
        <v>1750</v>
      </c>
      <c r="J308" s="17">
        <f>+Tabla1321124[[#This Row],[CANTIDAD TOTAL]]*Tabla1321124[[#This Row],[PRECIO UNITARIO ESTIMADO]]</f>
        <v>218750</v>
      </c>
      <c r="K308" s="175"/>
      <c r="L308" s="16" t="s">
        <v>18</v>
      </c>
      <c r="M308" s="16" t="s">
        <v>22</v>
      </c>
      <c r="N308" s="16" t="s">
        <v>418</v>
      </c>
      <c r="O308" s="243"/>
      <c r="P308" s="243"/>
      <c r="Q308" s="243"/>
      <c r="R308" s="243"/>
      <c r="S308" s="243"/>
      <c r="T308" s="243"/>
      <c r="U308" s="243"/>
      <c r="V308" s="243"/>
      <c r="W308" s="243"/>
      <c r="X308" s="243"/>
      <c r="Y308" s="243"/>
      <c r="Z308" s="243"/>
      <c r="AA308" s="243"/>
      <c r="AB308" s="243"/>
      <c r="AC308" s="243"/>
      <c r="AD308" s="243"/>
      <c r="AE308" s="243"/>
      <c r="AF308" s="243"/>
      <c r="AG308" s="243"/>
      <c r="AH308" s="243"/>
      <c r="AI308" s="243"/>
      <c r="AJ308" s="243"/>
      <c r="AK308" s="243"/>
      <c r="AL308" s="243"/>
      <c r="AM308" s="243"/>
      <c r="AN308" s="243"/>
      <c r="AO308" s="243"/>
      <c r="AP308" s="243"/>
      <c r="AQ308" s="243"/>
      <c r="AR308" s="243"/>
      <c r="AS308" s="243"/>
      <c r="AT308" s="243"/>
      <c r="AU308" s="243"/>
      <c r="AV308" s="243"/>
      <c r="AW308" s="243"/>
      <c r="AX308" s="243"/>
      <c r="AY308" s="243"/>
      <c r="AZ308" s="243"/>
      <c r="BA308" s="243"/>
      <c r="BB308" s="243"/>
      <c r="BC308" s="243"/>
      <c r="BD308" s="243"/>
      <c r="BE308" s="243"/>
      <c r="BF308" s="243"/>
      <c r="BG308" s="243"/>
      <c r="BH308" s="243"/>
      <c r="BI308" s="243"/>
      <c r="BJ308" s="243"/>
      <c r="BK308" s="243"/>
      <c r="BL308" s="243"/>
      <c r="BM308" s="243"/>
      <c r="BN308" s="243"/>
      <c r="BO308" s="243"/>
      <c r="BP308" s="243"/>
      <c r="BQ308" s="243"/>
      <c r="BR308" s="243"/>
      <c r="BS308" s="243"/>
    </row>
    <row r="309" spans="1:71" s="12" customFormat="1" ht="41.25" customHeight="1">
      <c r="A309" s="178" t="s">
        <v>80</v>
      </c>
      <c r="B309" s="178" t="str">
        <f ca="1">+UPPER(Tabla1321124[[#This Row],[DESCRIPCIÓN DE LA COMPRA O CONTRATACIÓN]])</f>
        <v>CEMENTO PVC 1/4 GLS</v>
      </c>
      <c r="C309" s="39" t="s">
        <v>767</v>
      </c>
      <c r="D309" s="236">
        <v>1250</v>
      </c>
      <c r="E309" s="210">
        <v>1250</v>
      </c>
      <c r="F309" s="210">
        <v>1250</v>
      </c>
      <c r="G309" s="210">
        <v>1250</v>
      </c>
      <c r="H309" s="240">
        <f>SUM(Tabla1321124[[#This Row],[PRIMER TRIMESTRE]:[CUARTO TRIMESTRE]])</f>
        <v>5000</v>
      </c>
      <c r="I309" s="17">
        <v>470</v>
      </c>
      <c r="J309" s="17">
        <f>+Tabla1321124[[#This Row],[CANTIDAD TOTAL]]*Tabla1321124[[#This Row],[PRECIO UNITARIO ESTIMADO]]</f>
        <v>2350000</v>
      </c>
      <c r="K309" s="17"/>
      <c r="L309" s="16" t="s">
        <v>18</v>
      </c>
      <c r="M309" s="16" t="s">
        <v>22</v>
      </c>
      <c r="N309" s="16" t="s">
        <v>418</v>
      </c>
      <c r="O309" s="243"/>
      <c r="P309" s="243"/>
      <c r="Q309" s="243"/>
      <c r="R309" s="243"/>
      <c r="S309" s="243"/>
      <c r="T309" s="243"/>
      <c r="U309" s="243"/>
      <c r="V309" s="243"/>
      <c r="W309" s="243"/>
      <c r="X309" s="243"/>
      <c r="Y309" s="243"/>
      <c r="Z309" s="243"/>
      <c r="AA309" s="243"/>
      <c r="AB309" s="243"/>
      <c r="AC309" s="243"/>
      <c r="AD309" s="243"/>
      <c r="AE309" s="243"/>
      <c r="AF309" s="243"/>
      <c r="AG309" s="243"/>
      <c r="AH309" s="243"/>
      <c r="AI309" s="243"/>
      <c r="AJ309" s="243"/>
      <c r="AK309" s="243"/>
      <c r="AL309" s="243"/>
      <c r="AM309" s="243"/>
      <c r="AN309" s="243"/>
      <c r="AO309" s="243"/>
      <c r="AP309" s="243"/>
      <c r="AQ309" s="243"/>
      <c r="AR309" s="243"/>
      <c r="AS309" s="243"/>
      <c r="AT309" s="243"/>
      <c r="AU309" s="243"/>
      <c r="AV309" s="243"/>
      <c r="AW309" s="243"/>
      <c r="AX309" s="243"/>
      <c r="AY309" s="243"/>
      <c r="AZ309" s="243"/>
      <c r="BA309" s="243"/>
      <c r="BB309" s="243"/>
      <c r="BC309" s="243"/>
      <c r="BD309" s="243"/>
      <c r="BE309" s="243"/>
      <c r="BF309" s="243"/>
      <c r="BG309" s="243"/>
      <c r="BH309" s="243"/>
      <c r="BI309" s="243"/>
      <c r="BJ309" s="243"/>
      <c r="BK309" s="243"/>
      <c r="BL309" s="243"/>
      <c r="BM309" s="243"/>
      <c r="BN309" s="243"/>
      <c r="BO309" s="243"/>
      <c r="BP309" s="243"/>
      <c r="BQ309" s="243"/>
      <c r="BR309" s="243"/>
      <c r="BS309" s="243"/>
    </row>
    <row r="310" spans="1:71" s="12" customFormat="1" ht="41.25" customHeight="1">
      <c r="A310" s="178" t="s">
        <v>80</v>
      </c>
      <c r="B310" s="178" t="str">
        <f ca="1">+UPPER(Tabla1321124[[#This Row],[DESCRIPCIÓN DE LA COMPRA O CONTRATACIÓN]])</f>
        <v>CAJA INGLETA PARA SERRUCHO 95IB19212S</v>
      </c>
      <c r="C310" s="39" t="s">
        <v>17</v>
      </c>
      <c r="D310" s="236"/>
      <c r="E310" s="210"/>
      <c r="F310" s="210"/>
      <c r="G310" s="210"/>
      <c r="H310" s="240">
        <f>SUM(Tabla1321124[[#This Row],[PRIMER TRIMESTRE]:[CUARTO TRIMESTRE]])</f>
        <v>0</v>
      </c>
      <c r="I310" s="17">
        <v>1784.1</v>
      </c>
      <c r="J310" s="17">
        <f>+Tabla1321124[[#This Row],[CANTIDAD TOTAL]]*Tabla1321124[[#This Row],[PRECIO UNITARIO ESTIMADO]]</f>
        <v>0</v>
      </c>
      <c r="K310" s="17"/>
      <c r="L310" s="16" t="s">
        <v>18</v>
      </c>
      <c r="M310" s="16" t="s">
        <v>22</v>
      </c>
      <c r="N310" s="16" t="s">
        <v>418</v>
      </c>
      <c r="O310" s="243"/>
      <c r="P310" s="243"/>
      <c r="Q310" s="243"/>
      <c r="R310" s="243"/>
      <c r="S310" s="243"/>
      <c r="T310" s="243"/>
      <c r="U310" s="243"/>
      <c r="V310" s="243"/>
      <c r="W310" s="243"/>
      <c r="X310" s="243"/>
      <c r="Y310" s="243"/>
      <c r="Z310" s="243"/>
      <c r="AA310" s="243"/>
      <c r="AB310" s="243"/>
      <c r="AC310" s="243"/>
      <c r="AD310" s="243"/>
      <c r="AE310" s="243"/>
      <c r="AF310" s="243"/>
      <c r="AG310" s="243"/>
      <c r="AH310" s="243"/>
      <c r="AI310" s="243"/>
      <c r="AJ310" s="243"/>
      <c r="AK310" s="243"/>
      <c r="AL310" s="243"/>
      <c r="AM310" s="243"/>
      <c r="AN310" s="243"/>
      <c r="AO310" s="243"/>
      <c r="AP310" s="243"/>
      <c r="AQ310" s="243"/>
      <c r="AR310" s="243"/>
      <c r="AS310" s="243"/>
      <c r="AT310" s="243"/>
      <c r="AU310" s="243"/>
      <c r="AV310" s="243"/>
      <c r="AW310" s="243"/>
      <c r="AX310" s="243"/>
      <c r="AY310" s="243"/>
      <c r="AZ310" s="243"/>
      <c r="BA310" s="243"/>
      <c r="BB310" s="243"/>
      <c r="BC310" s="243"/>
      <c r="BD310" s="243"/>
      <c r="BE310" s="243"/>
      <c r="BF310" s="243"/>
      <c r="BG310" s="243"/>
      <c r="BH310" s="243"/>
      <c r="BI310" s="243"/>
      <c r="BJ310" s="243"/>
      <c r="BK310" s="243"/>
      <c r="BL310" s="243"/>
      <c r="BM310" s="243"/>
      <c r="BN310" s="243"/>
      <c r="BO310" s="243"/>
      <c r="BP310" s="243"/>
      <c r="BQ310" s="243"/>
      <c r="BR310" s="243"/>
      <c r="BS310" s="243"/>
    </row>
    <row r="311" spans="1:71" s="12" customFormat="1" ht="41.25" customHeight="1">
      <c r="A311" s="178" t="s">
        <v>80</v>
      </c>
      <c r="B311" s="178" t="str">
        <f ca="1">+UPPER(Tabla1321124[[#This Row],[DESCRIPCIÓN DE LA COMPRA O CONTRATACIÓN]])</f>
        <v>CEMENTO DE CONTACTO</v>
      </c>
      <c r="C311" s="39" t="s">
        <v>288</v>
      </c>
      <c r="D311" s="236">
        <v>10</v>
      </c>
      <c r="E311" s="210"/>
      <c r="F311" s="210"/>
      <c r="G311" s="210"/>
      <c r="H311" s="240">
        <f>SUM(Tabla1321124[[#This Row],[PRIMER TRIMESTRE]:[CUARTO TRIMESTRE]])</f>
        <v>10</v>
      </c>
      <c r="I311" s="17">
        <v>1395</v>
      </c>
      <c r="J311" s="17">
        <f>+Tabla1321124[[#This Row],[CANTIDAD TOTAL]]*Tabla1321124[[#This Row],[PRECIO UNITARIO ESTIMADO]]</f>
        <v>13950</v>
      </c>
      <c r="K311" s="17"/>
      <c r="L311" s="16" t="s">
        <v>18</v>
      </c>
      <c r="M311" s="16" t="s">
        <v>22</v>
      </c>
      <c r="N311" s="16" t="s">
        <v>418</v>
      </c>
      <c r="O311" s="243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3"/>
      <c r="AC311" s="243"/>
      <c r="AD311" s="243"/>
      <c r="AE311" s="243"/>
      <c r="AF311" s="243"/>
      <c r="AG311" s="243"/>
      <c r="AH311" s="243"/>
      <c r="AI311" s="243"/>
      <c r="AJ311" s="243"/>
      <c r="AK311" s="243"/>
      <c r="AL311" s="243"/>
      <c r="AM311" s="243"/>
      <c r="AN311" s="243"/>
      <c r="AO311" s="243"/>
      <c r="AP311" s="243"/>
      <c r="AQ311" s="243"/>
      <c r="AR311" s="243"/>
      <c r="AS311" s="243"/>
      <c r="AT311" s="243"/>
      <c r="AU311" s="243"/>
      <c r="AV311" s="243"/>
      <c r="AW311" s="243"/>
      <c r="AX311" s="243"/>
      <c r="AY311" s="243"/>
      <c r="AZ311" s="243"/>
      <c r="BA311" s="243"/>
      <c r="BB311" s="243"/>
      <c r="BC311" s="243"/>
      <c r="BD311" s="243"/>
      <c r="BE311" s="243"/>
      <c r="BF311" s="243"/>
      <c r="BG311" s="243"/>
      <c r="BH311" s="243"/>
      <c r="BI311" s="243"/>
      <c r="BJ311" s="243"/>
      <c r="BK311" s="243"/>
      <c r="BL311" s="243"/>
      <c r="BM311" s="243"/>
      <c r="BN311" s="243"/>
      <c r="BO311" s="243"/>
      <c r="BP311" s="243"/>
      <c r="BQ311" s="243"/>
      <c r="BR311" s="243"/>
      <c r="BS311" s="243"/>
    </row>
    <row r="312" spans="1:71" s="12" customFormat="1" ht="41.25" customHeight="1">
      <c r="A312" s="178" t="s">
        <v>80</v>
      </c>
      <c r="B312" s="178" t="str">
        <f ca="1">+UPPER(Tabla1321124[[#This Row],[DESCRIPCIÓN DE LA COMPRA O CONTRATACIÓN]])</f>
        <v>CANDADOS GRANDES</v>
      </c>
      <c r="C312" s="39" t="s">
        <v>17</v>
      </c>
      <c r="D312" s="236">
        <f>45+60</f>
        <v>105</v>
      </c>
      <c r="E312" s="210">
        <f>30+35</f>
        <v>65</v>
      </c>
      <c r="F312" s="210">
        <f>30+60</f>
        <v>90</v>
      </c>
      <c r="G312" s="210">
        <f>30+35</f>
        <v>65</v>
      </c>
      <c r="H312" s="240">
        <f>SUM(Tabla1321124[[#This Row],[PRIMER TRIMESTRE]:[CUARTO TRIMESTRE]])</f>
        <v>325</v>
      </c>
      <c r="I312" s="17">
        <v>94</v>
      </c>
      <c r="J312" s="17">
        <f>+Tabla1321124[[#This Row],[CANTIDAD TOTAL]]*Tabla1321124[[#This Row],[PRECIO UNITARIO ESTIMADO]]</f>
        <v>30550</v>
      </c>
      <c r="K312" s="17"/>
      <c r="L312" s="16" t="s">
        <v>18</v>
      </c>
      <c r="M312" s="16" t="s">
        <v>22</v>
      </c>
      <c r="N312" s="16" t="s">
        <v>418</v>
      </c>
      <c r="O312" s="243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3"/>
      <c r="AC312" s="243"/>
      <c r="AD312" s="243"/>
      <c r="AE312" s="243"/>
      <c r="AF312" s="243"/>
      <c r="AG312" s="243"/>
      <c r="AH312" s="243"/>
      <c r="AI312" s="243"/>
      <c r="AJ312" s="243"/>
      <c r="AK312" s="243"/>
      <c r="AL312" s="243"/>
      <c r="AM312" s="243"/>
      <c r="AN312" s="243"/>
      <c r="AO312" s="243"/>
      <c r="AP312" s="243"/>
      <c r="AQ312" s="243"/>
      <c r="AR312" s="243"/>
      <c r="AS312" s="243"/>
      <c r="AT312" s="243"/>
      <c r="AU312" s="243"/>
      <c r="AV312" s="243"/>
      <c r="AW312" s="243"/>
      <c r="AX312" s="243"/>
      <c r="AY312" s="243"/>
      <c r="AZ312" s="243"/>
      <c r="BA312" s="243"/>
      <c r="BB312" s="243"/>
      <c r="BC312" s="243"/>
      <c r="BD312" s="243"/>
      <c r="BE312" s="243"/>
      <c r="BF312" s="243"/>
      <c r="BG312" s="243"/>
      <c r="BH312" s="243"/>
      <c r="BI312" s="243"/>
      <c r="BJ312" s="243"/>
      <c r="BK312" s="243"/>
      <c r="BL312" s="243"/>
      <c r="BM312" s="243"/>
      <c r="BN312" s="243"/>
      <c r="BO312" s="243"/>
      <c r="BP312" s="243"/>
      <c r="BQ312" s="243"/>
      <c r="BR312" s="243"/>
      <c r="BS312" s="243"/>
    </row>
    <row r="313" spans="1:71" s="12" customFormat="1" ht="41.25" customHeight="1">
      <c r="A313" s="178" t="s">
        <v>80</v>
      </c>
      <c r="B313" s="178" t="str">
        <f ca="1">+UPPER(Tabla1321124[[#This Row],[DESCRIPCIÓN DE LA COMPRA O CONTRATACIÓN]])</f>
        <v>ARTICULO GENERICO (BALASTRO ELECTRICO DE 23W, 120V, 60HZ)</v>
      </c>
      <c r="C313" s="39" t="s">
        <v>17</v>
      </c>
      <c r="D313" s="210">
        <v>1000</v>
      </c>
      <c r="E313" s="210">
        <v>500</v>
      </c>
      <c r="F313" s="210">
        <v>1000</v>
      </c>
      <c r="G313" s="210">
        <v>500</v>
      </c>
      <c r="H313" s="240">
        <f>SUM(Tabla1321124[[#This Row],[PRIMER TRIMESTRE]:[CUARTO TRIMESTRE]])</f>
        <v>3000</v>
      </c>
      <c r="I313" s="17">
        <v>573.88</v>
      </c>
      <c r="J313" s="17">
        <f>+Tabla1321124[[#This Row],[CANTIDAD TOTAL]]*Tabla1321124[[#This Row],[PRECIO UNITARIO ESTIMADO]]</f>
        <v>1721640</v>
      </c>
      <c r="K313" s="17"/>
      <c r="L313" s="16" t="s">
        <v>18</v>
      </c>
      <c r="M313" s="16" t="s">
        <v>22</v>
      </c>
      <c r="N313" s="16" t="s">
        <v>418</v>
      </c>
      <c r="O313" s="243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  <c r="AA313" s="243"/>
      <c r="AB313" s="243"/>
      <c r="AC313" s="243"/>
      <c r="AD313" s="243"/>
      <c r="AE313" s="243"/>
      <c r="AF313" s="243"/>
      <c r="AG313" s="243"/>
      <c r="AH313" s="243"/>
      <c r="AI313" s="243"/>
      <c r="AJ313" s="243"/>
      <c r="AK313" s="243"/>
      <c r="AL313" s="243"/>
      <c r="AM313" s="243"/>
      <c r="AN313" s="243"/>
      <c r="AO313" s="243"/>
      <c r="AP313" s="243"/>
      <c r="AQ313" s="243"/>
      <c r="AR313" s="243"/>
      <c r="AS313" s="243"/>
      <c r="AT313" s="243"/>
      <c r="AU313" s="243"/>
      <c r="AV313" s="243"/>
      <c r="AW313" s="243"/>
      <c r="AX313" s="243"/>
      <c r="AY313" s="243"/>
      <c r="AZ313" s="243"/>
      <c r="BA313" s="243"/>
      <c r="BB313" s="243"/>
      <c r="BC313" s="243"/>
      <c r="BD313" s="243"/>
      <c r="BE313" s="243"/>
      <c r="BF313" s="243"/>
      <c r="BG313" s="243"/>
      <c r="BH313" s="243"/>
      <c r="BI313" s="243"/>
      <c r="BJ313" s="243"/>
      <c r="BK313" s="243"/>
      <c r="BL313" s="243"/>
      <c r="BM313" s="243"/>
      <c r="BN313" s="243"/>
      <c r="BO313" s="243"/>
      <c r="BP313" s="243"/>
      <c r="BQ313" s="243"/>
      <c r="BR313" s="243"/>
      <c r="BS313" s="243"/>
    </row>
    <row r="314" spans="1:71" s="12" customFormat="1" ht="41.25" customHeight="1">
      <c r="A314" s="178" t="s">
        <v>80</v>
      </c>
      <c r="B314" s="178" t="str">
        <f ca="1">+UPPER(Tabla1321124[[#This Row],[DESCRIPCIÓN DE LA COMPRA O CONTRATACIÓN]])</f>
        <v>CINTA DELIMITADORA AMARILLA (ADVERTENCIA PELIGRO)</v>
      </c>
      <c r="C314" s="39" t="s">
        <v>17</v>
      </c>
      <c r="D314" s="368">
        <v>5</v>
      </c>
      <c r="E314" s="369">
        <v>5</v>
      </c>
      <c r="F314" s="369">
        <v>5</v>
      </c>
      <c r="G314" s="369">
        <v>5</v>
      </c>
      <c r="H314" s="240">
        <f>SUM(Tabla1321124[[#This Row],[PRIMER TRIMESTRE]:[CUARTO TRIMESTRE]])</f>
        <v>20</v>
      </c>
      <c r="I314" s="17">
        <v>357</v>
      </c>
      <c r="J314" s="17">
        <f>+Tabla1321124[[#This Row],[CANTIDAD TOTAL]]*Tabla1321124[[#This Row],[PRECIO UNITARIO ESTIMADO]]</f>
        <v>7140</v>
      </c>
      <c r="K314" s="175"/>
      <c r="L314" s="16" t="s">
        <v>18</v>
      </c>
      <c r="M314" s="16" t="s">
        <v>22</v>
      </c>
      <c r="N314" s="16" t="s">
        <v>418</v>
      </c>
      <c r="O314" s="243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  <c r="AA314" s="243"/>
      <c r="AB314" s="243"/>
      <c r="AC314" s="243"/>
      <c r="AD314" s="243"/>
      <c r="AE314" s="243"/>
      <c r="AF314" s="243"/>
      <c r="AG314" s="243"/>
      <c r="AH314" s="243"/>
      <c r="AI314" s="243"/>
      <c r="AJ314" s="243"/>
      <c r="AK314" s="243"/>
      <c r="AL314" s="243"/>
      <c r="AM314" s="243"/>
      <c r="AN314" s="243"/>
      <c r="AO314" s="243"/>
      <c r="AP314" s="243"/>
      <c r="AQ314" s="243"/>
      <c r="AR314" s="243"/>
      <c r="AS314" s="243"/>
      <c r="AT314" s="243"/>
      <c r="AU314" s="243"/>
      <c r="AV314" s="243"/>
      <c r="AW314" s="243"/>
      <c r="AX314" s="243"/>
      <c r="AY314" s="243"/>
      <c r="AZ314" s="243"/>
      <c r="BA314" s="243"/>
      <c r="BB314" s="243"/>
      <c r="BC314" s="243"/>
      <c r="BD314" s="243"/>
      <c r="BE314" s="243"/>
      <c r="BF314" s="243"/>
      <c r="BG314" s="243"/>
      <c r="BH314" s="243"/>
      <c r="BI314" s="243"/>
      <c r="BJ314" s="243"/>
      <c r="BK314" s="243"/>
      <c r="BL314" s="243"/>
      <c r="BM314" s="243"/>
      <c r="BN314" s="243"/>
      <c r="BO314" s="243"/>
      <c r="BP314" s="243"/>
      <c r="BQ314" s="243"/>
      <c r="BR314" s="243"/>
      <c r="BS314" s="243"/>
    </row>
    <row r="315" spans="1:71" s="12" customFormat="1" ht="41.25" customHeight="1">
      <c r="A315" s="178" t="s">
        <v>80</v>
      </c>
      <c r="B315" s="178" t="str">
        <f ca="1">+UPPER(Tabla1321124[[#This Row],[DESCRIPCIÓN DE LA COMPRA O CONTRATACIÓN]])</f>
        <v>CINTA DELIMITADORA ROJA  (ADVERTENCIA PELIGRO)</v>
      </c>
      <c r="C315" s="39" t="s">
        <v>17</v>
      </c>
      <c r="D315" s="368">
        <v>5</v>
      </c>
      <c r="E315" s="369">
        <v>5</v>
      </c>
      <c r="F315" s="369">
        <v>5</v>
      </c>
      <c r="G315" s="369">
        <v>5</v>
      </c>
      <c r="H315" s="240">
        <f>SUM(Tabla1321124[[#This Row],[PRIMER TRIMESTRE]:[CUARTO TRIMESTRE]])</f>
        <v>20</v>
      </c>
      <c r="I315" s="17">
        <v>357</v>
      </c>
      <c r="J315" s="17">
        <f>+Tabla1321124[[#This Row],[CANTIDAD TOTAL]]*Tabla1321124[[#This Row],[PRECIO UNITARIO ESTIMADO]]</f>
        <v>7140</v>
      </c>
      <c r="K315" s="175"/>
      <c r="L315" s="16" t="s">
        <v>18</v>
      </c>
      <c r="M315" s="16" t="s">
        <v>22</v>
      </c>
      <c r="N315" s="16" t="s">
        <v>418</v>
      </c>
      <c r="O315" s="243"/>
      <c r="P315" s="243"/>
      <c r="Q315" s="243"/>
      <c r="R315" s="243"/>
      <c r="S315" s="243"/>
      <c r="T315" s="243"/>
      <c r="U315" s="243"/>
      <c r="V315" s="243"/>
      <c r="W315" s="243"/>
      <c r="X315" s="243"/>
      <c r="Y315" s="243"/>
      <c r="Z315" s="243"/>
      <c r="AA315" s="243"/>
      <c r="AB315" s="243"/>
      <c r="AC315" s="243"/>
      <c r="AD315" s="243"/>
      <c r="AE315" s="243"/>
      <c r="AF315" s="243"/>
      <c r="AG315" s="243"/>
      <c r="AH315" s="243"/>
      <c r="AI315" s="243"/>
      <c r="AJ315" s="243"/>
      <c r="AK315" s="243"/>
      <c r="AL315" s="243"/>
      <c r="AM315" s="243"/>
      <c r="AN315" s="243"/>
      <c r="AO315" s="243"/>
      <c r="AP315" s="243"/>
      <c r="AQ315" s="243"/>
      <c r="AR315" s="243"/>
      <c r="AS315" s="243"/>
      <c r="AT315" s="243"/>
      <c r="AU315" s="243"/>
      <c r="AV315" s="243"/>
      <c r="AW315" s="243"/>
      <c r="AX315" s="243"/>
      <c r="AY315" s="243"/>
      <c r="AZ315" s="243"/>
      <c r="BA315" s="243"/>
      <c r="BB315" s="243"/>
      <c r="BC315" s="243"/>
      <c r="BD315" s="243"/>
      <c r="BE315" s="243"/>
      <c r="BF315" s="243"/>
      <c r="BG315" s="243"/>
      <c r="BH315" s="243"/>
      <c r="BI315" s="243"/>
      <c r="BJ315" s="243"/>
      <c r="BK315" s="243"/>
      <c r="BL315" s="243"/>
      <c r="BM315" s="243"/>
      <c r="BN315" s="243"/>
      <c r="BO315" s="243"/>
      <c r="BP315" s="243"/>
      <c r="BQ315" s="243"/>
      <c r="BR315" s="243"/>
      <c r="BS315" s="243"/>
    </row>
    <row r="316" spans="1:71" s="12" customFormat="1" ht="41.25" customHeight="1">
      <c r="A316" s="178" t="s">
        <v>80</v>
      </c>
      <c r="B316" s="178" t="str">
        <f ca="1">+UPPER(Tabla1321124[[#This Row],[DESCRIPCIÓN DE LA COMPRA O CONTRATACIÓN]])</f>
        <v>CINTA MÉTRICA</v>
      </c>
      <c r="C316" s="39" t="s">
        <v>17</v>
      </c>
      <c r="D316" s="368">
        <v>3</v>
      </c>
      <c r="E316" s="369">
        <v>1</v>
      </c>
      <c r="F316" s="369">
        <v>1</v>
      </c>
      <c r="G316" s="369">
        <v>1</v>
      </c>
      <c r="H316" s="240">
        <f>SUM(Tabla1321124[[#This Row],[PRIMER TRIMESTRE]:[CUARTO TRIMESTRE]])</f>
        <v>6</v>
      </c>
      <c r="I316" s="17">
        <v>2678</v>
      </c>
      <c r="J316" s="17">
        <f>+Tabla1321124[[#This Row],[CANTIDAD TOTAL]]*Tabla1321124[[#This Row],[PRECIO UNITARIO ESTIMADO]]</f>
        <v>16068</v>
      </c>
      <c r="K316" s="175"/>
      <c r="L316" s="16" t="s">
        <v>18</v>
      </c>
      <c r="M316" s="16" t="s">
        <v>22</v>
      </c>
      <c r="N316" s="16" t="s">
        <v>418</v>
      </c>
      <c r="O316" s="243"/>
      <c r="P316" s="243"/>
      <c r="Q316" s="243"/>
      <c r="R316" s="243"/>
      <c r="S316" s="243"/>
      <c r="T316" s="243"/>
      <c r="U316" s="243"/>
      <c r="V316" s="243"/>
      <c r="W316" s="243"/>
      <c r="X316" s="243"/>
      <c r="Y316" s="243"/>
      <c r="Z316" s="243"/>
      <c r="AA316" s="243"/>
      <c r="AB316" s="243"/>
      <c r="AC316" s="243"/>
      <c r="AD316" s="243"/>
      <c r="AE316" s="243"/>
      <c r="AF316" s="243"/>
      <c r="AG316" s="243"/>
      <c r="AH316" s="243"/>
      <c r="AI316" s="243"/>
      <c r="AJ316" s="243"/>
      <c r="AK316" s="243"/>
      <c r="AL316" s="243"/>
      <c r="AM316" s="243"/>
      <c r="AN316" s="243"/>
      <c r="AO316" s="243"/>
      <c r="AP316" s="243"/>
      <c r="AQ316" s="243"/>
      <c r="AR316" s="243"/>
      <c r="AS316" s="243"/>
      <c r="AT316" s="243"/>
      <c r="AU316" s="243"/>
      <c r="AV316" s="243"/>
      <c r="AW316" s="243"/>
      <c r="AX316" s="243"/>
      <c r="AY316" s="243"/>
      <c r="AZ316" s="243"/>
      <c r="BA316" s="243"/>
      <c r="BB316" s="243"/>
      <c r="BC316" s="243"/>
      <c r="BD316" s="243"/>
      <c r="BE316" s="243"/>
      <c r="BF316" s="243"/>
      <c r="BG316" s="243"/>
      <c r="BH316" s="243"/>
      <c r="BI316" s="243"/>
      <c r="BJ316" s="243"/>
      <c r="BK316" s="243"/>
      <c r="BL316" s="243"/>
      <c r="BM316" s="243"/>
      <c r="BN316" s="243"/>
      <c r="BO316" s="243"/>
      <c r="BP316" s="243"/>
      <c r="BQ316" s="243"/>
      <c r="BR316" s="243"/>
      <c r="BS316" s="243"/>
    </row>
    <row r="317" spans="1:71" s="12" customFormat="1" ht="41.25" customHeight="1">
      <c r="A317" s="178" t="s">
        <v>80</v>
      </c>
      <c r="B317" s="178" t="str">
        <f ca="1">+UPPER(Tabla1321124[[#This Row],[DESCRIPCIÓN DE LA COMPRA O CONTRATACIÓN]])</f>
        <v>CINTA TEFLÓN 1" ANCHO</v>
      </c>
      <c r="C317" s="39" t="s">
        <v>17</v>
      </c>
      <c r="D317" s="368">
        <v>10</v>
      </c>
      <c r="E317" s="369">
        <v>10</v>
      </c>
      <c r="F317" s="369">
        <v>10</v>
      </c>
      <c r="G317" s="369">
        <v>10</v>
      </c>
      <c r="H317" s="240">
        <f>SUM(Tabla1321124[[#This Row],[PRIMER TRIMESTRE]:[CUARTO TRIMESTRE]])</f>
        <v>40</v>
      </c>
      <c r="I317" s="17">
        <v>3500</v>
      </c>
      <c r="J317" s="17">
        <f>+Tabla1321124[[#This Row],[CANTIDAD TOTAL]]*Tabla1321124[[#This Row],[PRECIO UNITARIO ESTIMADO]]</f>
        <v>140000</v>
      </c>
      <c r="K317" s="175"/>
      <c r="L317" s="16" t="s">
        <v>18</v>
      </c>
      <c r="M317" s="16" t="s">
        <v>22</v>
      </c>
      <c r="N317" s="16" t="s">
        <v>418</v>
      </c>
      <c r="O317" s="243"/>
      <c r="P317" s="243"/>
      <c r="Q317" s="243"/>
      <c r="R317" s="243"/>
      <c r="S317" s="243"/>
      <c r="T317" s="243"/>
      <c r="U317" s="243"/>
      <c r="V317" s="243"/>
      <c r="W317" s="243"/>
      <c r="X317" s="243"/>
      <c r="Y317" s="243"/>
      <c r="Z317" s="243"/>
      <c r="AA317" s="243"/>
      <c r="AB317" s="243"/>
      <c r="AC317" s="243"/>
      <c r="AD317" s="243"/>
      <c r="AE317" s="243"/>
      <c r="AF317" s="243"/>
      <c r="AG317" s="243"/>
      <c r="AH317" s="243"/>
      <c r="AI317" s="243"/>
      <c r="AJ317" s="243"/>
      <c r="AK317" s="243"/>
      <c r="AL317" s="243"/>
      <c r="AM317" s="243"/>
      <c r="AN317" s="243"/>
      <c r="AO317" s="243"/>
      <c r="AP317" s="243"/>
      <c r="AQ317" s="243"/>
      <c r="AR317" s="243"/>
      <c r="AS317" s="243"/>
      <c r="AT317" s="243"/>
      <c r="AU317" s="243"/>
      <c r="AV317" s="243"/>
      <c r="AW317" s="243"/>
      <c r="AX317" s="243"/>
      <c r="AY317" s="243"/>
      <c r="AZ317" s="243"/>
      <c r="BA317" s="243"/>
      <c r="BB317" s="243"/>
      <c r="BC317" s="243"/>
      <c r="BD317" s="243"/>
      <c r="BE317" s="243"/>
      <c r="BF317" s="243"/>
      <c r="BG317" s="243"/>
      <c r="BH317" s="243"/>
      <c r="BI317" s="243"/>
      <c r="BJ317" s="243"/>
      <c r="BK317" s="243"/>
      <c r="BL317" s="243"/>
      <c r="BM317" s="243"/>
      <c r="BN317" s="243"/>
      <c r="BO317" s="243"/>
      <c r="BP317" s="243"/>
      <c r="BQ317" s="243"/>
      <c r="BR317" s="243"/>
      <c r="BS317" s="243"/>
    </row>
    <row r="318" spans="1:71" s="12" customFormat="1" ht="41.25" customHeight="1">
      <c r="A318" s="178" t="s">
        <v>80</v>
      </c>
      <c r="B318" s="178" t="str">
        <f ca="1">+UPPER(Tabla1321124[[#This Row],[DESCRIPCIÓN DE LA COMPRA O CONTRATACIÓN]])</f>
        <v>CINTA TEFLÓN 1/2" ANCHO</v>
      </c>
      <c r="C318" s="39" t="s">
        <v>69</v>
      </c>
      <c r="D318" s="368">
        <v>20</v>
      </c>
      <c r="E318" s="369">
        <v>20</v>
      </c>
      <c r="F318" s="369">
        <v>20</v>
      </c>
      <c r="G318" s="369">
        <v>20</v>
      </c>
      <c r="H318" s="240">
        <f>SUM(Tabla1321124[[#This Row],[PRIMER TRIMESTRE]:[CUARTO TRIMESTRE]])</f>
        <v>80</v>
      </c>
      <c r="I318" s="17">
        <v>4000</v>
      </c>
      <c r="J318" s="17">
        <f>+Tabla1321124[[#This Row],[CANTIDAD TOTAL]]*Tabla1321124[[#This Row],[PRECIO UNITARIO ESTIMADO]]</f>
        <v>320000</v>
      </c>
      <c r="K318" s="175"/>
      <c r="L318" s="16" t="s">
        <v>18</v>
      </c>
      <c r="M318" s="16" t="s">
        <v>22</v>
      </c>
      <c r="N318" s="16" t="s">
        <v>418</v>
      </c>
      <c r="O318" s="243"/>
      <c r="P318" s="243"/>
      <c r="Q318" s="243"/>
      <c r="R318" s="243"/>
      <c r="S318" s="243"/>
      <c r="T318" s="243"/>
      <c r="U318" s="243"/>
      <c r="V318" s="243"/>
      <c r="W318" s="243"/>
      <c r="X318" s="243"/>
      <c r="Y318" s="243"/>
      <c r="Z318" s="243"/>
      <c r="AA318" s="243"/>
      <c r="AB318" s="243"/>
      <c r="AC318" s="243"/>
      <c r="AD318" s="243"/>
      <c r="AE318" s="243"/>
      <c r="AF318" s="243"/>
      <c r="AG318" s="243"/>
      <c r="AH318" s="243"/>
      <c r="AI318" s="243"/>
      <c r="AJ318" s="243"/>
      <c r="AK318" s="243"/>
      <c r="AL318" s="243"/>
      <c r="AM318" s="243"/>
      <c r="AN318" s="243"/>
      <c r="AO318" s="243"/>
      <c r="AP318" s="243"/>
      <c r="AQ318" s="243"/>
      <c r="AR318" s="243"/>
      <c r="AS318" s="243"/>
      <c r="AT318" s="243"/>
      <c r="AU318" s="243"/>
      <c r="AV318" s="243"/>
      <c r="AW318" s="243"/>
      <c r="AX318" s="243"/>
      <c r="AY318" s="243"/>
      <c r="AZ318" s="243"/>
      <c r="BA318" s="243"/>
      <c r="BB318" s="243"/>
      <c r="BC318" s="243"/>
      <c r="BD318" s="243"/>
      <c r="BE318" s="243"/>
      <c r="BF318" s="243"/>
      <c r="BG318" s="243"/>
      <c r="BH318" s="243"/>
      <c r="BI318" s="243"/>
      <c r="BJ318" s="243"/>
      <c r="BK318" s="243"/>
      <c r="BL318" s="243"/>
      <c r="BM318" s="243"/>
      <c r="BN318" s="243"/>
      <c r="BO318" s="243"/>
      <c r="BP318" s="243"/>
      <c r="BQ318" s="243"/>
      <c r="BR318" s="243"/>
      <c r="BS318" s="243"/>
    </row>
    <row r="319" spans="1:71" s="12" customFormat="1" ht="41.25" customHeight="1">
      <c r="A319" s="178" t="s">
        <v>80</v>
      </c>
      <c r="B319" s="178" t="str">
        <f ca="1">+UPPER(Tabla1321124[[#This Row],[DESCRIPCIÓN DE LA COMPRA O CONTRATACIÓN]])</f>
        <v>CINTA TEFLÓN 3/4" ANCHO</v>
      </c>
      <c r="C319" s="39" t="s">
        <v>69</v>
      </c>
      <c r="D319" s="368">
        <v>20</v>
      </c>
      <c r="E319" s="369">
        <v>20</v>
      </c>
      <c r="F319" s="369">
        <v>10</v>
      </c>
      <c r="G319" s="369">
        <v>10</v>
      </c>
      <c r="H319" s="240">
        <f>SUM(Tabla1321124[[#This Row],[PRIMER TRIMESTRE]:[CUARTO TRIMESTRE]])</f>
        <v>60</v>
      </c>
      <c r="I319" s="17">
        <v>4500</v>
      </c>
      <c r="J319" s="17">
        <f>+Tabla1321124[[#This Row],[CANTIDAD TOTAL]]*Tabla1321124[[#This Row],[PRECIO UNITARIO ESTIMADO]]</f>
        <v>270000</v>
      </c>
      <c r="K319" s="175"/>
      <c r="L319" s="16" t="s">
        <v>18</v>
      </c>
      <c r="M319" s="16" t="s">
        <v>22</v>
      </c>
      <c r="N319" s="16" t="s">
        <v>418</v>
      </c>
      <c r="O319" s="243"/>
      <c r="P319" s="243"/>
      <c r="Q319" s="243"/>
      <c r="R319" s="243"/>
      <c r="S319" s="243"/>
      <c r="T319" s="243"/>
      <c r="U319" s="243"/>
      <c r="V319" s="243"/>
      <c r="W319" s="243"/>
      <c r="X319" s="243"/>
      <c r="Y319" s="243"/>
      <c r="Z319" s="243"/>
      <c r="AA319" s="243"/>
      <c r="AB319" s="243"/>
      <c r="AC319" s="243"/>
      <c r="AD319" s="243"/>
      <c r="AE319" s="243"/>
      <c r="AF319" s="243"/>
      <c r="AG319" s="243"/>
      <c r="AH319" s="243"/>
      <c r="AI319" s="243"/>
      <c r="AJ319" s="243"/>
      <c r="AK319" s="243"/>
      <c r="AL319" s="243"/>
      <c r="AM319" s="243"/>
      <c r="AN319" s="243"/>
      <c r="AO319" s="243"/>
      <c r="AP319" s="243"/>
      <c r="AQ319" s="243"/>
      <c r="AR319" s="243"/>
      <c r="AS319" s="243"/>
      <c r="AT319" s="243"/>
      <c r="AU319" s="243"/>
      <c r="AV319" s="243"/>
      <c r="AW319" s="243"/>
      <c r="AX319" s="243"/>
      <c r="AY319" s="243"/>
      <c r="AZ319" s="243"/>
      <c r="BA319" s="243"/>
      <c r="BB319" s="243"/>
      <c r="BC319" s="243"/>
      <c r="BD319" s="243"/>
      <c r="BE319" s="243"/>
      <c r="BF319" s="243"/>
      <c r="BG319" s="243"/>
      <c r="BH319" s="243"/>
      <c r="BI319" s="243"/>
      <c r="BJ319" s="243"/>
      <c r="BK319" s="243"/>
      <c r="BL319" s="243"/>
      <c r="BM319" s="243"/>
      <c r="BN319" s="243"/>
      <c r="BO319" s="243"/>
      <c r="BP319" s="243"/>
      <c r="BQ319" s="243"/>
      <c r="BR319" s="243"/>
      <c r="BS319" s="243"/>
    </row>
    <row r="320" spans="1:71" s="12" customFormat="1" ht="41.25" customHeight="1">
      <c r="A320" s="178" t="s">
        <v>80</v>
      </c>
      <c r="B320" s="178" t="str">
        <f ca="1">+UPPER(Tabla1321124[[#This Row],[DESCRIPCIÓN DE LA COMPRA O CONTRATACIÓN]])</f>
        <v>CANDADO DE 51MM, GANCHO DE ACERO ENDURECIDO RANURADE LLAVE CUBIERTA, DOBLE BLOQUEO CON ESFERA, PARA USO DE EXTERIORES</v>
      </c>
      <c r="C320" s="39" t="s">
        <v>17</v>
      </c>
      <c r="D320" s="210">
        <v>38</v>
      </c>
      <c r="E320" s="210">
        <v>38</v>
      </c>
      <c r="F320" s="210">
        <v>38</v>
      </c>
      <c r="G320" s="210">
        <v>38</v>
      </c>
      <c r="H320" s="240">
        <f>SUM(Tabla1321124[[#This Row],[PRIMER TRIMESTRE]:[CUARTO TRIMESTRE]])</f>
        <v>152</v>
      </c>
      <c r="I320" s="17">
        <v>223.86</v>
      </c>
      <c r="J320" s="17">
        <f>+Tabla1321124[[#This Row],[CANTIDAD TOTAL]]*Tabla1321124[[#This Row],[PRECIO UNITARIO ESTIMADO]]</f>
        <v>34026.720000000001</v>
      </c>
      <c r="K320" s="17"/>
      <c r="L320" s="16" t="s">
        <v>18</v>
      </c>
      <c r="M320" s="16" t="s">
        <v>22</v>
      </c>
      <c r="N320" s="16" t="s">
        <v>418</v>
      </c>
      <c r="O320" s="243"/>
      <c r="P320" s="243"/>
      <c r="Q320" s="243"/>
      <c r="R320" s="243"/>
      <c r="S320" s="243"/>
      <c r="T320" s="243"/>
      <c r="U320" s="243"/>
      <c r="V320" s="243"/>
      <c r="W320" s="243"/>
      <c r="X320" s="243"/>
      <c r="Y320" s="243"/>
      <c r="Z320" s="243"/>
      <c r="AA320" s="243"/>
      <c r="AB320" s="243"/>
      <c r="AC320" s="243"/>
      <c r="AD320" s="243"/>
      <c r="AE320" s="243"/>
      <c r="AF320" s="243"/>
      <c r="AG320" s="243"/>
      <c r="AH320" s="243"/>
      <c r="AI320" s="243"/>
      <c r="AJ320" s="243"/>
      <c r="AK320" s="243"/>
      <c r="AL320" s="243"/>
      <c r="AM320" s="243"/>
      <c r="AN320" s="243"/>
      <c r="AO320" s="243"/>
      <c r="AP320" s="243"/>
      <c r="AQ320" s="243"/>
      <c r="AR320" s="243"/>
      <c r="AS320" s="243"/>
      <c r="AT320" s="243"/>
      <c r="AU320" s="243"/>
      <c r="AV320" s="243"/>
      <c r="AW320" s="243"/>
      <c r="AX320" s="243"/>
      <c r="AY320" s="243"/>
      <c r="AZ320" s="243"/>
      <c r="BA320" s="243"/>
      <c r="BB320" s="243"/>
      <c r="BC320" s="243"/>
      <c r="BD320" s="243"/>
      <c r="BE320" s="243"/>
      <c r="BF320" s="243"/>
      <c r="BG320" s="243"/>
      <c r="BH320" s="243"/>
      <c r="BI320" s="243"/>
      <c r="BJ320" s="243"/>
      <c r="BK320" s="243"/>
      <c r="BL320" s="243"/>
      <c r="BM320" s="243"/>
      <c r="BN320" s="243"/>
      <c r="BO320" s="243"/>
      <c r="BP320" s="243"/>
      <c r="BQ320" s="243"/>
      <c r="BR320" s="243"/>
      <c r="BS320" s="243"/>
    </row>
    <row r="321" spans="1:71" s="12" customFormat="1" ht="41.25" customHeight="1">
      <c r="A321" s="178" t="s">
        <v>80</v>
      </c>
      <c r="B321" s="178" t="str">
        <f ca="1">+UPPER(Tabla1321124[[#This Row],[DESCRIPCIÓN DE LA COMPRA O CONTRATACIÓN]])</f>
        <v>CINTA METRICA DE 5"</v>
      </c>
      <c r="C321" s="39" t="s">
        <v>17</v>
      </c>
      <c r="D321" s="236">
        <f>3+9</f>
        <v>12</v>
      </c>
      <c r="E321" s="210">
        <v>4</v>
      </c>
      <c r="F321" s="210">
        <v>4</v>
      </c>
      <c r="G321" s="210">
        <v>4</v>
      </c>
      <c r="H321" s="240">
        <f>SUM(Tabla1321124[[#This Row],[PRIMER TRIMESTRE]:[CUARTO TRIMESTRE]])</f>
        <v>24</v>
      </c>
      <c r="I321" s="17">
        <v>175</v>
      </c>
      <c r="J321" s="17">
        <f>+Tabla1321124[[#This Row],[CANTIDAD TOTAL]]*Tabla1321124[[#This Row],[PRECIO UNITARIO ESTIMADO]]</f>
        <v>4200</v>
      </c>
      <c r="K321" s="17"/>
      <c r="L321" s="16" t="s">
        <v>18</v>
      </c>
      <c r="M321" s="16" t="s">
        <v>22</v>
      </c>
      <c r="N321" s="16" t="s">
        <v>418</v>
      </c>
      <c r="O321" s="243"/>
      <c r="P321" s="243"/>
      <c r="Q321" s="243"/>
      <c r="R321" s="243"/>
      <c r="S321" s="243"/>
      <c r="T321" s="243"/>
      <c r="U321" s="243"/>
      <c r="V321" s="243"/>
      <c r="W321" s="243"/>
      <c r="X321" s="243"/>
      <c r="Y321" s="243"/>
      <c r="Z321" s="243"/>
      <c r="AA321" s="243"/>
      <c r="AB321" s="243"/>
      <c r="AC321" s="243"/>
      <c r="AD321" s="243"/>
      <c r="AE321" s="243"/>
      <c r="AF321" s="243"/>
      <c r="AG321" s="243"/>
      <c r="AH321" s="243"/>
      <c r="AI321" s="243"/>
      <c r="AJ321" s="243"/>
      <c r="AK321" s="243"/>
      <c r="AL321" s="243"/>
      <c r="AM321" s="243"/>
      <c r="AN321" s="243"/>
      <c r="AO321" s="243"/>
      <c r="AP321" s="243"/>
      <c r="AQ321" s="243"/>
      <c r="AR321" s="243"/>
      <c r="AS321" s="243"/>
      <c r="AT321" s="243"/>
      <c r="AU321" s="243"/>
      <c r="AV321" s="243"/>
      <c r="AW321" s="243"/>
      <c r="AX321" s="243"/>
      <c r="AY321" s="243"/>
      <c r="AZ321" s="243"/>
      <c r="BA321" s="243"/>
      <c r="BB321" s="243"/>
      <c r="BC321" s="243"/>
      <c r="BD321" s="243"/>
      <c r="BE321" s="243"/>
      <c r="BF321" s="243"/>
      <c r="BG321" s="243"/>
      <c r="BH321" s="243"/>
      <c r="BI321" s="243"/>
      <c r="BJ321" s="243"/>
      <c r="BK321" s="243"/>
      <c r="BL321" s="243"/>
      <c r="BM321" s="243"/>
      <c r="BN321" s="243"/>
      <c r="BO321" s="243"/>
      <c r="BP321" s="243"/>
      <c r="BQ321" s="243"/>
      <c r="BR321" s="243"/>
      <c r="BS321" s="243"/>
    </row>
    <row r="322" spans="1:71" s="12" customFormat="1" ht="41.25" customHeight="1">
      <c r="A322" s="178" t="s">
        <v>80</v>
      </c>
      <c r="B322" s="178" t="str">
        <f ca="1">+UPPER(Tabla1321124[[#This Row],[DESCRIPCIÓN DE LA COMPRA O CONTRATACIÓN]])</f>
        <v>CINTA METRICA DE 8"</v>
      </c>
      <c r="C322" s="39" t="s">
        <v>17</v>
      </c>
      <c r="D322" s="236">
        <f>12+9</f>
        <v>21</v>
      </c>
      <c r="E322" s="210">
        <f>10+4</f>
        <v>14</v>
      </c>
      <c r="F322" s="210">
        <f>10+4</f>
        <v>14</v>
      </c>
      <c r="G322" s="210">
        <f>10+4</f>
        <v>14</v>
      </c>
      <c r="H322" s="240">
        <f>SUM(Tabla1321124[[#This Row],[PRIMER TRIMESTRE]:[CUARTO TRIMESTRE]])</f>
        <v>63</v>
      </c>
      <c r="I322" s="17">
        <v>246.34</v>
      </c>
      <c r="J322" s="17">
        <f>+Tabla1321124[[#This Row],[CANTIDAD TOTAL]]*Tabla1321124[[#This Row],[PRECIO UNITARIO ESTIMADO]]</f>
        <v>15519.42</v>
      </c>
      <c r="K322" s="17"/>
      <c r="L322" s="16" t="s">
        <v>18</v>
      </c>
      <c r="M322" s="16" t="s">
        <v>22</v>
      </c>
      <c r="N322" s="16" t="s">
        <v>418</v>
      </c>
      <c r="O322" s="243"/>
      <c r="P322" s="243"/>
      <c r="Q322" s="243"/>
      <c r="R322" s="243"/>
      <c r="S322" s="243"/>
      <c r="T322" s="243"/>
      <c r="U322" s="243"/>
      <c r="V322" s="243"/>
      <c r="W322" s="243"/>
      <c r="X322" s="243"/>
      <c r="Y322" s="243"/>
      <c r="Z322" s="243"/>
      <c r="AA322" s="243"/>
      <c r="AB322" s="243"/>
      <c r="AC322" s="243"/>
      <c r="AD322" s="243"/>
      <c r="AE322" s="243"/>
      <c r="AF322" s="243"/>
      <c r="AG322" s="243"/>
      <c r="AH322" s="243"/>
      <c r="AI322" s="243"/>
      <c r="AJ322" s="243"/>
      <c r="AK322" s="243"/>
      <c r="AL322" s="243"/>
      <c r="AM322" s="243"/>
      <c r="AN322" s="243"/>
      <c r="AO322" s="243"/>
      <c r="AP322" s="243"/>
      <c r="AQ322" s="243"/>
      <c r="AR322" s="243"/>
      <c r="AS322" s="243"/>
      <c r="AT322" s="243"/>
      <c r="AU322" s="243"/>
      <c r="AV322" s="243"/>
      <c r="AW322" s="243"/>
      <c r="AX322" s="243"/>
      <c r="AY322" s="243"/>
      <c r="AZ322" s="243"/>
      <c r="BA322" s="243"/>
      <c r="BB322" s="243"/>
      <c r="BC322" s="243"/>
      <c r="BD322" s="243"/>
      <c r="BE322" s="243"/>
      <c r="BF322" s="243"/>
      <c r="BG322" s="243"/>
      <c r="BH322" s="243"/>
      <c r="BI322" s="243"/>
      <c r="BJ322" s="243"/>
      <c r="BK322" s="243"/>
      <c r="BL322" s="243"/>
      <c r="BM322" s="243"/>
      <c r="BN322" s="243"/>
      <c r="BO322" s="243"/>
      <c r="BP322" s="243"/>
      <c r="BQ322" s="243"/>
      <c r="BR322" s="243"/>
      <c r="BS322" s="243"/>
    </row>
    <row r="323" spans="1:71" s="12" customFormat="1" ht="41.25" customHeight="1">
      <c r="A323" s="178" t="s">
        <v>80</v>
      </c>
      <c r="B323" s="178" t="str">
        <f ca="1">+UPPER(Tabla1321124[[#This Row],[DESCRIPCIÓN DE LA COMPRA O CONTRATACIÓN]])</f>
        <v>CINTA METRICA DE 50 MT</v>
      </c>
      <c r="C323" s="39" t="s">
        <v>17</v>
      </c>
      <c r="D323" s="236">
        <f>28+2+4</f>
        <v>34</v>
      </c>
      <c r="E323" s="210">
        <v>28</v>
      </c>
      <c r="F323" s="210">
        <f>27+2</f>
        <v>29</v>
      </c>
      <c r="G323" s="210">
        <v>28</v>
      </c>
      <c r="H323" s="240">
        <f>SUM(Tabla1321124[[#This Row],[PRIMER TRIMESTRE]:[CUARTO TRIMESTRE]])</f>
        <v>119</v>
      </c>
      <c r="I323" s="17">
        <v>4100</v>
      </c>
      <c r="J323" s="17">
        <f>+Tabla1321124[[#This Row],[CANTIDAD TOTAL]]*Tabla1321124[[#This Row],[PRECIO UNITARIO ESTIMADO]]</f>
        <v>487900</v>
      </c>
      <c r="K323" s="17"/>
      <c r="L323" s="16" t="s">
        <v>18</v>
      </c>
      <c r="M323" s="16" t="s">
        <v>22</v>
      </c>
      <c r="N323" s="16" t="s">
        <v>418</v>
      </c>
      <c r="O323" s="243"/>
      <c r="P323" s="243"/>
      <c r="Q323" s="243"/>
      <c r="R323" s="243"/>
      <c r="S323" s="243"/>
      <c r="T323" s="243"/>
      <c r="U323" s="243"/>
      <c r="V323" s="243"/>
      <c r="W323" s="243"/>
      <c r="X323" s="243"/>
      <c r="Y323" s="243"/>
      <c r="Z323" s="243"/>
      <c r="AA323" s="243"/>
      <c r="AB323" s="243"/>
      <c r="AC323" s="243"/>
      <c r="AD323" s="243"/>
      <c r="AE323" s="243"/>
      <c r="AF323" s="243"/>
      <c r="AG323" s="243"/>
      <c r="AH323" s="243"/>
      <c r="AI323" s="243"/>
      <c r="AJ323" s="243"/>
      <c r="AK323" s="243"/>
      <c r="AL323" s="243"/>
      <c r="AM323" s="243"/>
      <c r="AN323" s="243"/>
      <c r="AO323" s="243"/>
      <c r="AP323" s="243"/>
      <c r="AQ323" s="243"/>
      <c r="AR323" s="243"/>
      <c r="AS323" s="243"/>
      <c r="AT323" s="243"/>
      <c r="AU323" s="243"/>
      <c r="AV323" s="243"/>
      <c r="AW323" s="243"/>
      <c r="AX323" s="243"/>
      <c r="AY323" s="243"/>
      <c r="AZ323" s="243"/>
      <c r="BA323" s="243"/>
      <c r="BB323" s="243"/>
      <c r="BC323" s="243"/>
      <c r="BD323" s="243"/>
      <c r="BE323" s="243"/>
      <c r="BF323" s="243"/>
      <c r="BG323" s="243"/>
      <c r="BH323" s="243"/>
      <c r="BI323" s="243"/>
      <c r="BJ323" s="243"/>
      <c r="BK323" s="243"/>
      <c r="BL323" s="243"/>
      <c r="BM323" s="243"/>
      <c r="BN323" s="243"/>
      <c r="BO323" s="243"/>
      <c r="BP323" s="243"/>
      <c r="BQ323" s="243"/>
      <c r="BR323" s="243"/>
      <c r="BS323" s="243"/>
    </row>
    <row r="324" spans="1:71" s="12" customFormat="1" ht="41.25" customHeight="1">
      <c r="A324" s="178" t="s">
        <v>80</v>
      </c>
      <c r="B324" s="178" t="str">
        <f ca="1">+UPPER(Tabla1321124[[#This Row],[DESCRIPCIÓN DE LA COMPRA O CONTRATACIÓN]])</f>
        <v>CINTA PARA ALCANTARILLADOS</v>
      </c>
      <c r="C324" s="39" t="s">
        <v>17</v>
      </c>
      <c r="D324" s="236">
        <v>1</v>
      </c>
      <c r="E324" s="210">
        <v>1</v>
      </c>
      <c r="F324" s="210">
        <v>1</v>
      </c>
      <c r="G324" s="210">
        <v>1</v>
      </c>
      <c r="H324" s="240">
        <f>SUM(Tabla1321124[[#This Row],[PRIMER TRIMESTRE]:[CUARTO TRIMESTRE]])</f>
        <v>4</v>
      </c>
      <c r="I324" s="17">
        <v>5000</v>
      </c>
      <c r="J324" s="17">
        <f>+Tabla1321124[[#This Row],[CANTIDAD TOTAL]]*Tabla1321124[[#This Row],[PRECIO UNITARIO ESTIMADO]]</f>
        <v>20000</v>
      </c>
      <c r="K324" s="345"/>
      <c r="L324" s="16" t="s">
        <v>18</v>
      </c>
      <c r="M324" s="16" t="s">
        <v>22</v>
      </c>
      <c r="N324" s="16" t="s">
        <v>418</v>
      </c>
      <c r="O324" s="243"/>
      <c r="P324" s="243"/>
      <c r="Q324" s="243"/>
      <c r="R324" s="243"/>
      <c r="S324" s="243"/>
      <c r="T324" s="243"/>
      <c r="U324" s="243"/>
      <c r="V324" s="243"/>
      <c r="W324" s="243"/>
      <c r="X324" s="243"/>
      <c r="Y324" s="243"/>
      <c r="Z324" s="243"/>
      <c r="AA324" s="243"/>
      <c r="AB324" s="243"/>
      <c r="AC324" s="243"/>
      <c r="AD324" s="243"/>
      <c r="AE324" s="243"/>
      <c r="AF324" s="243"/>
      <c r="AG324" s="243"/>
      <c r="AH324" s="243"/>
      <c r="AI324" s="243"/>
      <c r="AJ324" s="243"/>
      <c r="AK324" s="243"/>
      <c r="AL324" s="243"/>
      <c r="AM324" s="243"/>
      <c r="AN324" s="243"/>
      <c r="AO324" s="243"/>
      <c r="AP324" s="243"/>
      <c r="AQ324" s="243"/>
      <c r="AR324" s="243"/>
      <c r="AS324" s="243"/>
      <c r="AT324" s="243"/>
      <c r="AU324" s="243"/>
      <c r="AV324" s="243"/>
      <c r="AW324" s="243"/>
      <c r="AX324" s="243"/>
      <c r="AY324" s="243"/>
      <c r="AZ324" s="243"/>
      <c r="BA324" s="243"/>
      <c r="BB324" s="243"/>
      <c r="BC324" s="243"/>
      <c r="BD324" s="243"/>
      <c r="BE324" s="243"/>
      <c r="BF324" s="243"/>
      <c r="BG324" s="243"/>
      <c r="BH324" s="243"/>
      <c r="BI324" s="243"/>
      <c r="BJ324" s="243"/>
      <c r="BK324" s="243"/>
      <c r="BL324" s="243"/>
      <c r="BM324" s="243"/>
      <c r="BN324" s="243"/>
      <c r="BO324" s="243"/>
      <c r="BP324" s="243"/>
      <c r="BQ324" s="243"/>
      <c r="BR324" s="243"/>
      <c r="BS324" s="243"/>
    </row>
    <row r="325" spans="1:71" s="12" customFormat="1" ht="41.25" customHeight="1">
      <c r="A325" s="178" t="s">
        <v>80</v>
      </c>
      <c r="B325" s="178" t="str">
        <f ca="1">+UPPER(Tabla1321124[[#This Row],[DESCRIPCIÓN DE LA COMPRA O CONTRATACIÓN]])</f>
        <v>CILINDRO PARA CLORO GAS DE 150LB, INCLUYE VALVULA</v>
      </c>
      <c r="C325" s="39" t="s">
        <v>17</v>
      </c>
      <c r="D325" s="236">
        <v>20</v>
      </c>
      <c r="E325" s="210"/>
      <c r="F325" s="210">
        <v>10</v>
      </c>
      <c r="G325" s="210"/>
      <c r="H325" s="240">
        <f>SUM(Tabla1321124[[#This Row],[PRIMER TRIMESTRE]:[CUARTO TRIMESTRE]])</f>
        <v>30</v>
      </c>
      <c r="I325" s="17">
        <v>31500</v>
      </c>
      <c r="J325" s="17">
        <f>+Tabla1321124[[#This Row],[CANTIDAD TOTAL]]*Tabla1321124[[#This Row],[PRECIO UNITARIO ESTIMADO]]</f>
        <v>945000</v>
      </c>
      <c r="K325" s="17"/>
      <c r="L325" s="16" t="s">
        <v>18</v>
      </c>
      <c r="M325" s="16" t="s">
        <v>22</v>
      </c>
      <c r="N325" s="16"/>
      <c r="O325" s="243"/>
      <c r="P325" s="243"/>
      <c r="Q325" s="243"/>
      <c r="R325" s="243"/>
      <c r="S325" s="243"/>
      <c r="T325" s="243"/>
      <c r="U325" s="243"/>
      <c r="V325" s="243"/>
      <c r="W325" s="243"/>
      <c r="X325" s="243"/>
      <c r="Y325" s="243"/>
      <c r="Z325" s="243"/>
      <c r="AA325" s="243"/>
      <c r="AB325" s="243"/>
      <c r="AC325" s="243"/>
      <c r="AD325" s="243"/>
      <c r="AE325" s="243"/>
      <c r="AF325" s="243"/>
      <c r="AG325" s="243"/>
      <c r="AH325" s="243"/>
      <c r="AI325" s="243"/>
      <c r="AJ325" s="243"/>
      <c r="AK325" s="243"/>
      <c r="AL325" s="243"/>
      <c r="AM325" s="243"/>
      <c r="AN325" s="243"/>
      <c r="AO325" s="243"/>
      <c r="AP325" s="243"/>
      <c r="AQ325" s="243"/>
      <c r="AR325" s="243"/>
      <c r="AS325" s="243"/>
      <c r="AT325" s="243"/>
      <c r="AU325" s="243"/>
      <c r="AV325" s="243"/>
      <c r="AW325" s="243"/>
      <c r="AX325" s="243"/>
      <c r="AY325" s="243"/>
      <c r="AZ325" s="243"/>
      <c r="BA325" s="243"/>
      <c r="BB325" s="243"/>
      <c r="BC325" s="243"/>
      <c r="BD325" s="243"/>
      <c r="BE325" s="243"/>
      <c r="BF325" s="243"/>
      <c r="BG325" s="243"/>
      <c r="BH325" s="243"/>
      <c r="BI325" s="243"/>
      <c r="BJ325" s="243"/>
      <c r="BK325" s="243"/>
      <c r="BL325" s="243"/>
      <c r="BM325" s="243"/>
      <c r="BN325" s="243"/>
      <c r="BO325" s="243"/>
      <c r="BP325" s="243"/>
      <c r="BQ325" s="243"/>
      <c r="BR325" s="243"/>
      <c r="BS325" s="243"/>
    </row>
    <row r="326" spans="1:71" s="12" customFormat="1" ht="41.25" customHeight="1">
      <c r="A326" s="178" t="s">
        <v>80</v>
      </c>
      <c r="B326" s="178" t="str">
        <f ca="1">+UPPER(Tabla1321124[[#This Row],[DESCRIPCIÓN DE LA COMPRA O CONTRATACIÓN]])</f>
        <v>CARETA DE SOLDAR</v>
      </c>
      <c r="C326" s="39" t="s">
        <v>17</v>
      </c>
      <c r="D326" s="236">
        <f>10+4</f>
        <v>14</v>
      </c>
      <c r="E326" s="236">
        <v>10</v>
      </c>
      <c r="F326" s="236">
        <f>10+2</f>
        <v>12</v>
      </c>
      <c r="G326" s="236">
        <v>10</v>
      </c>
      <c r="H326" s="240">
        <f>SUM(Tabla1321124[[#This Row],[PRIMER TRIMESTRE]:[CUARTO TRIMESTRE]])</f>
        <v>46</v>
      </c>
      <c r="I326" s="17">
        <v>324</v>
      </c>
      <c r="J326" s="17">
        <f>+Tabla1321124[[#This Row],[CANTIDAD TOTAL]]*Tabla1321124[[#This Row],[PRECIO UNITARIO ESTIMADO]]</f>
        <v>14904</v>
      </c>
      <c r="K326" s="17"/>
      <c r="L326" s="16" t="s">
        <v>18</v>
      </c>
      <c r="M326" s="16" t="s">
        <v>22</v>
      </c>
      <c r="N326" s="16"/>
      <c r="O326" s="243"/>
      <c r="P326" s="243"/>
      <c r="Q326" s="243"/>
      <c r="R326" s="243"/>
      <c r="S326" s="243"/>
      <c r="T326" s="243"/>
      <c r="U326" s="243"/>
      <c r="V326" s="243"/>
      <c r="W326" s="243"/>
      <c r="X326" s="243"/>
      <c r="Y326" s="243"/>
      <c r="Z326" s="243"/>
      <c r="AA326" s="243"/>
      <c r="AB326" s="243"/>
      <c r="AC326" s="243"/>
      <c r="AD326" s="243"/>
      <c r="AE326" s="243"/>
      <c r="AF326" s="243"/>
      <c r="AG326" s="243"/>
      <c r="AH326" s="243"/>
      <c r="AI326" s="243"/>
      <c r="AJ326" s="243"/>
      <c r="AK326" s="243"/>
      <c r="AL326" s="243"/>
      <c r="AM326" s="243"/>
      <c r="AN326" s="243"/>
      <c r="AO326" s="243"/>
      <c r="AP326" s="243"/>
      <c r="AQ326" s="243"/>
      <c r="AR326" s="243"/>
      <c r="AS326" s="243"/>
      <c r="AT326" s="243"/>
      <c r="AU326" s="243"/>
      <c r="AV326" s="243"/>
      <c r="AW326" s="243"/>
      <c r="AX326" s="243"/>
      <c r="AY326" s="243"/>
      <c r="AZ326" s="243"/>
      <c r="BA326" s="243"/>
      <c r="BB326" s="243"/>
      <c r="BC326" s="243"/>
      <c r="BD326" s="243"/>
      <c r="BE326" s="243"/>
      <c r="BF326" s="243"/>
      <c r="BG326" s="243"/>
      <c r="BH326" s="243"/>
      <c r="BI326" s="243"/>
      <c r="BJ326" s="243"/>
      <c r="BK326" s="243"/>
      <c r="BL326" s="243"/>
      <c r="BM326" s="243"/>
      <c r="BN326" s="243"/>
      <c r="BO326" s="243"/>
      <c r="BP326" s="243"/>
      <c r="BQ326" s="243"/>
      <c r="BR326" s="243"/>
      <c r="BS326" s="243"/>
    </row>
    <row r="327" spans="1:71" s="12" customFormat="1" ht="41.25" customHeight="1">
      <c r="A327" s="178" t="s">
        <v>80</v>
      </c>
      <c r="B327" s="178" t="str">
        <f ca="1">+UPPER(Tabla1321124[[#This Row],[DESCRIPCIÓN DE LA COMPRA O CONTRATACIÓN]])</f>
        <v>DIODO RECTIFICADOR</v>
      </c>
      <c r="C327" s="39" t="s">
        <v>17</v>
      </c>
      <c r="D327" s="236">
        <f>40+5</f>
        <v>45</v>
      </c>
      <c r="E327" s="236">
        <v>10</v>
      </c>
      <c r="F327" s="236">
        <v>10</v>
      </c>
      <c r="G327" s="236">
        <v>20</v>
      </c>
      <c r="H327" s="240">
        <f>SUM(Tabla1321124[[#This Row],[PRIMER TRIMESTRE]:[CUARTO TRIMESTRE]])</f>
        <v>85</v>
      </c>
      <c r="I327" s="17">
        <v>196.4</v>
      </c>
      <c r="J327" s="17">
        <f>+Tabla1321124[[#This Row],[CANTIDAD TOTAL]]*Tabla1321124[[#This Row],[PRECIO UNITARIO ESTIMADO]]</f>
        <v>16694</v>
      </c>
      <c r="K327" s="17"/>
      <c r="L327" s="16" t="s">
        <v>18</v>
      </c>
      <c r="M327" s="16" t="s">
        <v>22</v>
      </c>
      <c r="N327" s="16"/>
      <c r="O327" s="243"/>
      <c r="P327" s="243"/>
      <c r="Q327" s="243"/>
      <c r="R327" s="243"/>
      <c r="S327" s="243"/>
      <c r="T327" s="243"/>
      <c r="U327" s="243"/>
      <c r="V327" s="243"/>
      <c r="W327" s="243"/>
      <c r="X327" s="243"/>
      <c r="Y327" s="243"/>
      <c r="Z327" s="243"/>
      <c r="AA327" s="243"/>
      <c r="AB327" s="243"/>
      <c r="AC327" s="243"/>
      <c r="AD327" s="243"/>
      <c r="AE327" s="243"/>
      <c r="AF327" s="243"/>
      <c r="AG327" s="243"/>
      <c r="AH327" s="243"/>
      <c r="AI327" s="243"/>
      <c r="AJ327" s="243"/>
      <c r="AK327" s="243"/>
      <c r="AL327" s="243"/>
      <c r="AM327" s="243"/>
      <c r="AN327" s="243"/>
      <c r="AO327" s="243"/>
      <c r="AP327" s="243"/>
      <c r="AQ327" s="243"/>
      <c r="AR327" s="243"/>
      <c r="AS327" s="243"/>
      <c r="AT327" s="243"/>
      <c r="AU327" s="243"/>
      <c r="AV327" s="243"/>
      <c r="AW327" s="243"/>
      <c r="AX327" s="243"/>
      <c r="AY327" s="243"/>
      <c r="AZ327" s="243"/>
      <c r="BA327" s="243"/>
      <c r="BB327" s="243"/>
      <c r="BC327" s="243"/>
      <c r="BD327" s="243"/>
      <c r="BE327" s="243"/>
      <c r="BF327" s="243"/>
      <c r="BG327" s="243"/>
      <c r="BH327" s="243"/>
      <c r="BI327" s="243"/>
      <c r="BJ327" s="243"/>
      <c r="BK327" s="243"/>
      <c r="BL327" s="243"/>
      <c r="BM327" s="243"/>
      <c r="BN327" s="243"/>
      <c r="BO327" s="243"/>
      <c r="BP327" s="243"/>
      <c r="BQ327" s="243"/>
      <c r="BR327" s="243"/>
      <c r="BS327" s="243"/>
    </row>
    <row r="328" spans="1:71" s="12" customFormat="1" ht="41.25" customHeight="1">
      <c r="A328" s="178" t="s">
        <v>80</v>
      </c>
      <c r="B328" s="178" t="str">
        <f ca="1">+UPPER(Tabla1321124[[#This Row],[DESCRIPCIÓN DE LA COMPRA O CONTRATACIÓN]])</f>
        <v>LENTES DE SOLDAR NEGROS</v>
      </c>
      <c r="C328" s="39" t="s">
        <v>17</v>
      </c>
      <c r="D328" s="236">
        <v>24</v>
      </c>
      <c r="E328" s="236">
        <v>24</v>
      </c>
      <c r="F328" s="236">
        <v>24</v>
      </c>
      <c r="G328" s="236">
        <v>24</v>
      </c>
      <c r="H328" s="240">
        <f>SUM(Tabla1321124[[#This Row],[PRIMER TRIMESTRE]:[CUARTO TRIMESTRE]])</f>
        <v>96</v>
      </c>
      <c r="I328" s="17">
        <v>390</v>
      </c>
      <c r="J328" s="17">
        <f>+Tabla1321124[[#This Row],[CANTIDAD TOTAL]]*Tabla1321124[[#This Row],[PRECIO UNITARIO ESTIMADO]]</f>
        <v>37440</v>
      </c>
      <c r="K328" s="17"/>
      <c r="L328" s="16" t="s">
        <v>18</v>
      </c>
      <c r="M328" s="16" t="s">
        <v>22</v>
      </c>
      <c r="N328" s="16"/>
      <c r="O328" s="243"/>
      <c r="P328" s="243"/>
      <c r="Q328" s="243"/>
      <c r="R328" s="243"/>
      <c r="S328" s="243"/>
      <c r="T328" s="243"/>
      <c r="U328" s="243"/>
      <c r="V328" s="243"/>
      <c r="W328" s="243"/>
      <c r="X328" s="243"/>
      <c r="Y328" s="243"/>
      <c r="Z328" s="243"/>
      <c r="AA328" s="243"/>
      <c r="AB328" s="243"/>
      <c r="AC328" s="243"/>
      <c r="AD328" s="243"/>
      <c r="AE328" s="243"/>
      <c r="AF328" s="243"/>
      <c r="AG328" s="243"/>
      <c r="AH328" s="243"/>
      <c r="AI328" s="243"/>
      <c r="AJ328" s="243"/>
      <c r="AK328" s="243"/>
      <c r="AL328" s="243"/>
      <c r="AM328" s="243"/>
      <c r="AN328" s="243"/>
      <c r="AO328" s="243"/>
      <c r="AP328" s="243"/>
      <c r="AQ328" s="243"/>
      <c r="AR328" s="243"/>
      <c r="AS328" s="243"/>
      <c r="AT328" s="243"/>
      <c r="AU328" s="243"/>
      <c r="AV328" s="243"/>
      <c r="AW328" s="243"/>
      <c r="AX328" s="243"/>
      <c r="AY328" s="243"/>
      <c r="AZ328" s="243"/>
      <c r="BA328" s="243"/>
      <c r="BB328" s="243"/>
      <c r="BC328" s="243"/>
      <c r="BD328" s="243"/>
      <c r="BE328" s="243"/>
      <c r="BF328" s="243"/>
      <c r="BG328" s="243"/>
      <c r="BH328" s="243"/>
      <c r="BI328" s="243"/>
      <c r="BJ328" s="243"/>
      <c r="BK328" s="243"/>
      <c r="BL328" s="243"/>
      <c r="BM328" s="243"/>
      <c r="BN328" s="243"/>
      <c r="BO328" s="243"/>
      <c r="BP328" s="243"/>
      <c r="BQ328" s="243"/>
      <c r="BR328" s="243"/>
      <c r="BS328" s="243"/>
    </row>
    <row r="329" spans="1:71" s="12" customFormat="1" ht="41.25" customHeight="1">
      <c r="A329" s="178" t="s">
        <v>80</v>
      </c>
      <c r="B329" s="178" t="str">
        <f ca="1">+UPPER(Tabla1321124[[#This Row],[DESCRIPCIÓN DE LA COMPRA O CONTRATACIÓN]])</f>
        <v xml:space="preserve">MANGUERA DE  3/8, ETUBING-150,PARA SISTEMA DE CLORACIÓN </v>
      </c>
      <c r="C329" s="39" t="s">
        <v>93</v>
      </c>
      <c r="D329" s="236">
        <v>600</v>
      </c>
      <c r="E329" s="236">
        <f>500+100</f>
        <v>600</v>
      </c>
      <c r="F329" s="236">
        <v>600</v>
      </c>
      <c r="G329" s="236">
        <v>600</v>
      </c>
      <c r="H329" s="240">
        <f>SUM(Tabla1321124[[#This Row],[PRIMER TRIMESTRE]:[CUARTO TRIMESTRE]])</f>
        <v>2400</v>
      </c>
      <c r="I329" s="17">
        <v>125</v>
      </c>
      <c r="J329" s="17">
        <f>+Tabla1321124[[#This Row],[CANTIDAD TOTAL]]*Tabla1321124[[#This Row],[PRECIO UNITARIO ESTIMADO]]</f>
        <v>300000</v>
      </c>
      <c r="K329" s="17"/>
      <c r="L329" s="16" t="s">
        <v>18</v>
      </c>
      <c r="M329" s="16" t="s">
        <v>22</v>
      </c>
      <c r="N329" s="16"/>
      <c r="O329" s="243"/>
      <c r="P329" s="243"/>
      <c r="Q329" s="243"/>
      <c r="R329" s="243"/>
      <c r="S329" s="243"/>
      <c r="T329" s="243"/>
      <c r="U329" s="243"/>
      <c r="V329" s="243"/>
      <c r="W329" s="243"/>
      <c r="X329" s="243"/>
      <c r="Y329" s="243"/>
      <c r="Z329" s="243"/>
      <c r="AA329" s="243"/>
      <c r="AB329" s="243"/>
      <c r="AC329" s="243"/>
      <c r="AD329" s="243"/>
      <c r="AE329" s="243"/>
      <c r="AF329" s="243"/>
      <c r="AG329" s="243"/>
      <c r="AH329" s="243"/>
      <c r="AI329" s="243"/>
      <c r="AJ329" s="243"/>
      <c r="AK329" s="243"/>
      <c r="AL329" s="243"/>
      <c r="AM329" s="243"/>
      <c r="AN329" s="243"/>
      <c r="AO329" s="243"/>
      <c r="AP329" s="243"/>
      <c r="AQ329" s="243"/>
      <c r="AR329" s="243"/>
      <c r="AS329" s="243"/>
      <c r="AT329" s="243"/>
      <c r="AU329" s="243"/>
      <c r="AV329" s="243"/>
      <c r="AW329" s="243"/>
      <c r="AX329" s="243"/>
      <c r="AY329" s="243"/>
      <c r="AZ329" s="243"/>
      <c r="BA329" s="243"/>
      <c r="BB329" s="243"/>
      <c r="BC329" s="243"/>
      <c r="BD329" s="243"/>
      <c r="BE329" s="243"/>
      <c r="BF329" s="243"/>
      <c r="BG329" s="243"/>
      <c r="BH329" s="243"/>
      <c r="BI329" s="243"/>
      <c r="BJ329" s="243"/>
      <c r="BK329" s="243"/>
      <c r="BL329" s="243"/>
      <c r="BM329" s="243"/>
      <c r="BN329" s="243"/>
      <c r="BO329" s="243"/>
      <c r="BP329" s="243"/>
      <c r="BQ329" s="243"/>
      <c r="BR329" s="243"/>
      <c r="BS329" s="243"/>
    </row>
    <row r="330" spans="1:71" s="12" customFormat="1" ht="41.25" customHeight="1">
      <c r="A330" s="178" t="s">
        <v>80</v>
      </c>
      <c r="B330" s="178" t="str">
        <f ca="1">+UPPER(Tabla1321124[[#This Row],[DESCRIPCIÓN DE LA COMPRA O CONTRATACIÓN]])</f>
        <v>MANGUERA DE 5/8 ETUBING- 550,  PARA CLORADORES DE 500 LIBS.</v>
      </c>
      <c r="C330" s="39" t="s">
        <v>93</v>
      </c>
      <c r="D330" s="236">
        <v>200</v>
      </c>
      <c r="E330" s="236">
        <v>200</v>
      </c>
      <c r="F330" s="236">
        <v>200</v>
      </c>
      <c r="G330" s="236">
        <v>200</v>
      </c>
      <c r="H330" s="240">
        <f>SUM(Tabla1321124[[#This Row],[PRIMER TRIMESTRE]:[CUARTO TRIMESTRE]])</f>
        <v>800</v>
      </c>
      <c r="I330" s="17">
        <v>150</v>
      </c>
      <c r="J330" s="17">
        <f>+Tabla1321124[[#This Row],[CANTIDAD TOTAL]]*Tabla1321124[[#This Row],[PRECIO UNITARIO ESTIMADO]]</f>
        <v>120000</v>
      </c>
      <c r="K330" s="17"/>
      <c r="L330" s="16" t="s">
        <v>18</v>
      </c>
      <c r="M330" s="16" t="s">
        <v>22</v>
      </c>
      <c r="N330" s="16"/>
      <c r="O330" s="243"/>
      <c r="P330" s="243"/>
      <c r="Q330" s="243"/>
      <c r="R330" s="243"/>
      <c r="S330" s="243"/>
      <c r="T330" s="243"/>
      <c r="U330" s="243"/>
      <c r="V330" s="243"/>
      <c r="W330" s="243"/>
      <c r="X330" s="243"/>
      <c r="Y330" s="243"/>
      <c r="Z330" s="243"/>
      <c r="AA330" s="243"/>
      <c r="AB330" s="243"/>
      <c r="AC330" s="243"/>
      <c r="AD330" s="243"/>
      <c r="AE330" s="243"/>
      <c r="AF330" s="243"/>
      <c r="AG330" s="243"/>
      <c r="AH330" s="243"/>
      <c r="AI330" s="243"/>
      <c r="AJ330" s="243"/>
      <c r="AK330" s="243"/>
      <c r="AL330" s="243"/>
      <c r="AM330" s="243"/>
      <c r="AN330" s="243"/>
      <c r="AO330" s="243"/>
      <c r="AP330" s="243"/>
      <c r="AQ330" s="243"/>
      <c r="AR330" s="243"/>
      <c r="AS330" s="243"/>
      <c r="AT330" s="243"/>
      <c r="AU330" s="243"/>
      <c r="AV330" s="243"/>
      <c r="AW330" s="243"/>
      <c r="AX330" s="243"/>
      <c r="AY330" s="243"/>
      <c r="AZ330" s="243"/>
      <c r="BA330" s="243"/>
      <c r="BB330" s="243"/>
      <c r="BC330" s="243"/>
      <c r="BD330" s="243"/>
      <c r="BE330" s="243"/>
      <c r="BF330" s="243"/>
      <c r="BG330" s="243"/>
      <c r="BH330" s="243"/>
      <c r="BI330" s="243"/>
      <c r="BJ330" s="243"/>
      <c r="BK330" s="243"/>
      <c r="BL330" s="243"/>
      <c r="BM330" s="243"/>
      <c r="BN330" s="243"/>
      <c r="BO330" s="243"/>
      <c r="BP330" s="243"/>
      <c r="BQ330" s="243"/>
      <c r="BR330" s="243"/>
      <c r="BS330" s="243"/>
    </row>
    <row r="331" spans="1:71" s="12" customFormat="1" ht="41.25" customHeight="1">
      <c r="A331" s="178" t="s">
        <v>80</v>
      </c>
      <c r="B331" s="178" t="str">
        <f ca="1">+UPPER(Tabla1321124[[#This Row],[DESCRIPCIÓN DE LA COMPRA O CONTRATACIÓN]])</f>
        <v>INYECTOR COMPLETO</v>
      </c>
      <c r="C331" s="39" t="s">
        <v>17</v>
      </c>
      <c r="D331" s="236">
        <f>3+6</f>
        <v>9</v>
      </c>
      <c r="E331" s="236">
        <f>2+4</f>
        <v>6</v>
      </c>
      <c r="F331" s="236">
        <f>3+6</f>
        <v>9</v>
      </c>
      <c r="G331" s="236">
        <f>2+4</f>
        <v>6</v>
      </c>
      <c r="H331" s="240">
        <f>SUM(Tabla1321124[[#This Row],[PRIMER TRIMESTRE]:[CUARTO TRIMESTRE]])</f>
        <v>30</v>
      </c>
      <c r="I331" s="17">
        <v>25000</v>
      </c>
      <c r="J331" s="17">
        <f>+Tabla1321124[[#This Row],[CANTIDAD TOTAL]]*Tabla1321124[[#This Row],[PRECIO UNITARIO ESTIMADO]]</f>
        <v>750000</v>
      </c>
      <c r="K331" s="17"/>
      <c r="L331" s="16" t="s">
        <v>18</v>
      </c>
      <c r="M331" s="16" t="s">
        <v>22</v>
      </c>
      <c r="N331" s="16"/>
      <c r="O331" s="243"/>
      <c r="P331" s="243"/>
      <c r="Q331" s="243"/>
      <c r="R331" s="243"/>
      <c r="S331" s="243"/>
      <c r="T331" s="243"/>
      <c r="U331" s="243"/>
      <c r="V331" s="243"/>
      <c r="W331" s="243"/>
      <c r="X331" s="243"/>
      <c r="Y331" s="243"/>
      <c r="Z331" s="243"/>
      <c r="AA331" s="243"/>
      <c r="AB331" s="243"/>
      <c r="AC331" s="243"/>
      <c r="AD331" s="243"/>
      <c r="AE331" s="243"/>
      <c r="AF331" s="243"/>
      <c r="AG331" s="243"/>
      <c r="AH331" s="243"/>
      <c r="AI331" s="243"/>
      <c r="AJ331" s="243"/>
      <c r="AK331" s="243"/>
      <c r="AL331" s="243"/>
      <c r="AM331" s="243"/>
      <c r="AN331" s="243"/>
      <c r="AO331" s="243"/>
      <c r="AP331" s="243"/>
      <c r="AQ331" s="243"/>
      <c r="AR331" s="243"/>
      <c r="AS331" s="243"/>
      <c r="AT331" s="243"/>
      <c r="AU331" s="243"/>
      <c r="AV331" s="243"/>
      <c r="AW331" s="243"/>
      <c r="AX331" s="243"/>
      <c r="AY331" s="243"/>
      <c r="AZ331" s="243"/>
      <c r="BA331" s="243"/>
      <c r="BB331" s="243"/>
      <c r="BC331" s="243"/>
      <c r="BD331" s="243"/>
      <c r="BE331" s="243"/>
      <c r="BF331" s="243"/>
      <c r="BG331" s="243"/>
      <c r="BH331" s="243"/>
      <c r="BI331" s="243"/>
      <c r="BJ331" s="243"/>
      <c r="BK331" s="243"/>
      <c r="BL331" s="243"/>
      <c r="BM331" s="243"/>
      <c r="BN331" s="243"/>
      <c r="BO331" s="243"/>
      <c r="BP331" s="243"/>
      <c r="BQ331" s="243"/>
      <c r="BR331" s="243"/>
      <c r="BS331" s="243"/>
    </row>
    <row r="332" spans="1:71" s="12" customFormat="1" ht="41.25" customHeight="1">
      <c r="A332" s="178" t="s">
        <v>80</v>
      </c>
      <c r="B332" s="178" t="str">
        <f ca="1">+UPPER(Tabla1321124[[#This Row],[DESCRIPCIÓN DE LA COMPRA O CONTRATACIÓN]])</f>
        <v>ESCALA COMPLETA</v>
      </c>
      <c r="C332" s="39" t="s">
        <v>17</v>
      </c>
      <c r="D332" s="236">
        <f>3+8</f>
        <v>11</v>
      </c>
      <c r="E332" s="236">
        <f>2+6</f>
        <v>8</v>
      </c>
      <c r="F332" s="236">
        <f>3+8</f>
        <v>11</v>
      </c>
      <c r="G332" s="236">
        <f>2+6</f>
        <v>8</v>
      </c>
      <c r="H332" s="240">
        <f>SUM(Tabla1321124[[#This Row],[PRIMER TRIMESTRE]:[CUARTO TRIMESTRE]])</f>
        <v>38</v>
      </c>
      <c r="I332" s="17">
        <v>10000</v>
      </c>
      <c r="J332" s="17">
        <f>+Tabla1321124[[#This Row],[CANTIDAD TOTAL]]*Tabla1321124[[#This Row],[PRECIO UNITARIO ESTIMADO]]</f>
        <v>380000</v>
      </c>
      <c r="K332" s="17"/>
      <c r="L332" s="16" t="s">
        <v>18</v>
      </c>
      <c r="M332" s="16" t="s">
        <v>22</v>
      </c>
      <c r="N332" s="16"/>
      <c r="O332" s="243"/>
      <c r="P332" s="243"/>
      <c r="Q332" s="243"/>
      <c r="R332" s="243"/>
      <c r="S332" s="243"/>
      <c r="T332" s="243"/>
      <c r="U332" s="243"/>
      <c r="V332" s="243"/>
      <c r="W332" s="243"/>
      <c r="X332" s="243"/>
      <c r="Y332" s="243"/>
      <c r="Z332" s="243"/>
      <c r="AA332" s="243"/>
      <c r="AB332" s="243"/>
      <c r="AC332" s="243"/>
      <c r="AD332" s="243"/>
      <c r="AE332" s="243"/>
      <c r="AF332" s="243"/>
      <c r="AG332" s="243"/>
      <c r="AH332" s="243"/>
      <c r="AI332" s="243"/>
      <c r="AJ332" s="243"/>
      <c r="AK332" s="243"/>
      <c r="AL332" s="243"/>
      <c r="AM332" s="243"/>
      <c r="AN332" s="243"/>
      <c r="AO332" s="243"/>
      <c r="AP332" s="243"/>
      <c r="AQ332" s="243"/>
      <c r="AR332" s="243"/>
      <c r="AS332" s="243"/>
      <c r="AT332" s="243"/>
      <c r="AU332" s="243"/>
      <c r="AV332" s="243"/>
      <c r="AW332" s="243"/>
      <c r="AX332" s="243"/>
      <c r="AY332" s="243"/>
      <c r="AZ332" s="243"/>
      <c r="BA332" s="243"/>
      <c r="BB332" s="243"/>
      <c r="BC332" s="243"/>
      <c r="BD332" s="243"/>
      <c r="BE332" s="243"/>
      <c r="BF332" s="243"/>
      <c r="BG332" s="243"/>
      <c r="BH332" s="243"/>
      <c r="BI332" s="243"/>
      <c r="BJ332" s="243"/>
      <c r="BK332" s="243"/>
      <c r="BL332" s="243"/>
      <c r="BM332" s="243"/>
      <c r="BN332" s="243"/>
      <c r="BO332" s="243"/>
      <c r="BP332" s="243"/>
      <c r="BQ332" s="243"/>
      <c r="BR332" s="243"/>
      <c r="BS332" s="243"/>
    </row>
    <row r="333" spans="1:71" s="12" customFormat="1" ht="41.25" customHeight="1">
      <c r="A333" s="178" t="s">
        <v>80</v>
      </c>
      <c r="B333" s="178" t="str">
        <f ca="1">+UPPER(Tabla1321124[[#This Row],[DESCRIPCIÓN DE LA COMPRA O CONTRATACIÓN]])</f>
        <v>LLAVE PARA ABRIR CILINDRO DE CLORO ACC-CC-W-100</v>
      </c>
      <c r="C333" s="39" t="s">
        <v>17</v>
      </c>
      <c r="D333" s="236">
        <f>15+15</f>
        <v>30</v>
      </c>
      <c r="E333" s="236">
        <f>15+15</f>
        <v>30</v>
      </c>
      <c r="F333" s="236">
        <f>15+15</f>
        <v>30</v>
      </c>
      <c r="G333" s="236">
        <f>15+15</f>
        <v>30</v>
      </c>
      <c r="H333" s="240">
        <f>SUM(Tabla1321124[[#This Row],[PRIMER TRIMESTRE]:[CUARTO TRIMESTRE]])</f>
        <v>120</v>
      </c>
      <c r="I333" s="17">
        <v>1000</v>
      </c>
      <c r="J333" s="17">
        <f>+Tabla1321124[[#This Row],[CANTIDAD TOTAL]]*Tabla1321124[[#This Row],[PRECIO UNITARIO ESTIMADO]]</f>
        <v>120000</v>
      </c>
      <c r="K333" s="17"/>
      <c r="L333" s="16" t="s">
        <v>18</v>
      </c>
      <c r="M333" s="16" t="s">
        <v>22</v>
      </c>
      <c r="N333" s="16"/>
      <c r="O333" s="243"/>
      <c r="P333" s="243"/>
      <c r="Q333" s="243"/>
      <c r="R333" s="243"/>
      <c r="S333" s="243"/>
      <c r="T333" s="243"/>
      <c r="U333" s="243"/>
      <c r="V333" s="243"/>
      <c r="W333" s="243"/>
      <c r="X333" s="243"/>
      <c r="Y333" s="243"/>
      <c r="Z333" s="243"/>
      <c r="AA333" s="243"/>
      <c r="AB333" s="243"/>
      <c r="AC333" s="243"/>
      <c r="AD333" s="243"/>
      <c r="AE333" s="243"/>
      <c r="AF333" s="243"/>
      <c r="AG333" s="243"/>
      <c r="AH333" s="243"/>
      <c r="AI333" s="243"/>
      <c r="AJ333" s="243"/>
      <c r="AK333" s="243"/>
      <c r="AL333" s="243"/>
      <c r="AM333" s="243"/>
      <c r="AN333" s="243"/>
      <c r="AO333" s="243"/>
      <c r="AP333" s="243"/>
      <c r="AQ333" s="243"/>
      <c r="AR333" s="243"/>
      <c r="AS333" s="243"/>
      <c r="AT333" s="243"/>
      <c r="AU333" s="243"/>
      <c r="AV333" s="243"/>
      <c r="AW333" s="243"/>
      <c r="AX333" s="243"/>
      <c r="AY333" s="243"/>
      <c r="AZ333" s="243"/>
      <c r="BA333" s="243"/>
      <c r="BB333" s="243"/>
      <c r="BC333" s="243"/>
      <c r="BD333" s="243"/>
      <c r="BE333" s="243"/>
      <c r="BF333" s="243"/>
      <c r="BG333" s="243"/>
      <c r="BH333" s="243"/>
      <c r="BI333" s="243"/>
      <c r="BJ333" s="243"/>
      <c r="BK333" s="243"/>
      <c r="BL333" s="243"/>
      <c r="BM333" s="243"/>
      <c r="BN333" s="243"/>
      <c r="BO333" s="243"/>
      <c r="BP333" s="243"/>
      <c r="BQ333" s="243"/>
      <c r="BR333" s="243"/>
      <c r="BS333" s="243"/>
    </row>
    <row r="334" spans="1:71" s="12" customFormat="1" ht="41.25" customHeight="1">
      <c r="A334" s="178" t="s">
        <v>80</v>
      </c>
      <c r="B334" s="178" t="str">
        <f ca="1">+UPPER(Tabla1321124[[#This Row],[DESCRIPCIÓN DE LA COMPRA O CONTRATACIÓN]])</f>
        <v>VALVULA SHERWOOD PARA CILINDRO</v>
      </c>
      <c r="C334" s="39" t="s">
        <v>17</v>
      </c>
      <c r="D334" s="236">
        <f>37+7</f>
        <v>44</v>
      </c>
      <c r="E334" s="236">
        <f>38+5</f>
        <v>43</v>
      </c>
      <c r="F334" s="236">
        <f>37+5</f>
        <v>42</v>
      </c>
      <c r="G334" s="236">
        <f>38+5</f>
        <v>43</v>
      </c>
      <c r="H334" s="240">
        <f>SUM(Tabla1321124[[#This Row],[PRIMER TRIMESTRE]:[CUARTO TRIMESTRE]])</f>
        <v>172</v>
      </c>
      <c r="I334" s="17">
        <v>2500</v>
      </c>
      <c r="J334" s="17">
        <f>+Tabla1321124[[#This Row],[CANTIDAD TOTAL]]*Tabla1321124[[#This Row],[PRECIO UNITARIO ESTIMADO]]</f>
        <v>430000</v>
      </c>
      <c r="K334" s="17"/>
      <c r="L334" s="16" t="s">
        <v>18</v>
      </c>
      <c r="M334" s="16" t="s">
        <v>22</v>
      </c>
      <c r="N334" s="16"/>
      <c r="O334" s="243"/>
      <c r="P334" s="243"/>
      <c r="Q334" s="243"/>
      <c r="R334" s="243"/>
      <c r="S334" s="243"/>
      <c r="T334" s="243"/>
      <c r="U334" s="243"/>
      <c r="V334" s="243"/>
      <c r="W334" s="243"/>
      <c r="X334" s="243"/>
      <c r="Y334" s="243"/>
      <c r="Z334" s="243"/>
      <c r="AA334" s="243"/>
      <c r="AB334" s="243"/>
      <c r="AC334" s="243"/>
      <c r="AD334" s="243"/>
      <c r="AE334" s="243"/>
      <c r="AF334" s="243"/>
      <c r="AG334" s="243"/>
      <c r="AH334" s="243"/>
      <c r="AI334" s="243"/>
      <c r="AJ334" s="243"/>
      <c r="AK334" s="243"/>
      <c r="AL334" s="243"/>
      <c r="AM334" s="243"/>
      <c r="AN334" s="243"/>
      <c r="AO334" s="243"/>
      <c r="AP334" s="243"/>
      <c r="AQ334" s="243"/>
      <c r="AR334" s="243"/>
      <c r="AS334" s="243"/>
      <c r="AT334" s="243"/>
      <c r="AU334" s="243"/>
      <c r="AV334" s="243"/>
      <c r="AW334" s="243"/>
      <c r="AX334" s="243"/>
      <c r="AY334" s="243"/>
      <c r="AZ334" s="243"/>
      <c r="BA334" s="243"/>
      <c r="BB334" s="243"/>
      <c r="BC334" s="243"/>
      <c r="BD334" s="243"/>
      <c r="BE334" s="243"/>
      <c r="BF334" s="243"/>
      <c r="BG334" s="243"/>
      <c r="BH334" s="243"/>
      <c r="BI334" s="243"/>
      <c r="BJ334" s="243"/>
      <c r="BK334" s="243"/>
      <c r="BL334" s="243"/>
      <c r="BM334" s="243"/>
      <c r="BN334" s="243"/>
      <c r="BO334" s="243"/>
      <c r="BP334" s="243"/>
      <c r="BQ334" s="243"/>
      <c r="BR334" s="243"/>
      <c r="BS334" s="243"/>
    </row>
    <row r="335" spans="1:71" s="12" customFormat="1" ht="41.25" customHeight="1">
      <c r="A335" s="178" t="s">
        <v>80</v>
      </c>
      <c r="B335" s="178" t="str">
        <f ca="1">+UPPER(Tabla1321124[[#This Row],[DESCRIPCIÓN DE LA COMPRA O CONTRATACIÓN]])</f>
        <v>DOSIFICADORES DE CLORO EN PASTILLA</v>
      </c>
      <c r="C335" s="39" t="s">
        <v>17</v>
      </c>
      <c r="D335" s="236">
        <f>20+12</f>
        <v>32</v>
      </c>
      <c r="E335" s="236">
        <v>20</v>
      </c>
      <c r="F335" s="236">
        <f>20+12</f>
        <v>32</v>
      </c>
      <c r="G335" s="236">
        <v>20</v>
      </c>
      <c r="H335" s="240">
        <f>SUM(Tabla1321124[[#This Row],[PRIMER TRIMESTRE]:[CUARTO TRIMESTRE]])</f>
        <v>104</v>
      </c>
      <c r="I335" s="17">
        <v>5000</v>
      </c>
      <c r="J335" s="17">
        <f>+Tabla1321124[[#This Row],[CANTIDAD TOTAL]]*Tabla1321124[[#This Row],[PRECIO UNITARIO ESTIMADO]]</f>
        <v>520000</v>
      </c>
      <c r="K335" s="17"/>
      <c r="L335" s="16" t="s">
        <v>18</v>
      </c>
      <c r="M335" s="16" t="s">
        <v>22</v>
      </c>
      <c r="N335" s="16"/>
      <c r="O335" s="243"/>
      <c r="P335" s="243"/>
      <c r="Q335" s="243"/>
      <c r="R335" s="243"/>
      <c r="S335" s="243"/>
      <c r="T335" s="243"/>
      <c r="U335" s="243"/>
      <c r="V335" s="243"/>
      <c r="W335" s="243"/>
      <c r="X335" s="243"/>
      <c r="Y335" s="243"/>
      <c r="Z335" s="243"/>
      <c r="AA335" s="243"/>
      <c r="AB335" s="243"/>
      <c r="AC335" s="243"/>
      <c r="AD335" s="243"/>
      <c r="AE335" s="243"/>
      <c r="AF335" s="243"/>
      <c r="AG335" s="243"/>
      <c r="AH335" s="243"/>
      <c r="AI335" s="243"/>
      <c r="AJ335" s="243"/>
      <c r="AK335" s="243"/>
      <c r="AL335" s="243"/>
      <c r="AM335" s="243"/>
      <c r="AN335" s="243"/>
      <c r="AO335" s="243"/>
      <c r="AP335" s="243"/>
      <c r="AQ335" s="243"/>
      <c r="AR335" s="243"/>
      <c r="AS335" s="243"/>
      <c r="AT335" s="243"/>
      <c r="AU335" s="243"/>
      <c r="AV335" s="243"/>
      <c r="AW335" s="243"/>
      <c r="AX335" s="243"/>
      <c r="AY335" s="243"/>
      <c r="AZ335" s="243"/>
      <c r="BA335" s="243"/>
      <c r="BB335" s="243"/>
      <c r="BC335" s="243"/>
      <c r="BD335" s="243"/>
      <c r="BE335" s="243"/>
      <c r="BF335" s="243"/>
      <c r="BG335" s="243"/>
      <c r="BH335" s="243"/>
      <c r="BI335" s="243"/>
      <c r="BJ335" s="243"/>
      <c r="BK335" s="243"/>
      <c r="BL335" s="243"/>
      <c r="BM335" s="243"/>
      <c r="BN335" s="243"/>
      <c r="BO335" s="243"/>
      <c r="BP335" s="243"/>
      <c r="BQ335" s="243"/>
      <c r="BR335" s="243"/>
      <c r="BS335" s="243"/>
    </row>
    <row r="336" spans="1:71" s="12" customFormat="1" ht="41.25" customHeight="1">
      <c r="A336" s="178" t="s">
        <v>80</v>
      </c>
      <c r="B336" s="178" t="str">
        <f ca="1">+UPPER(Tabla1321124[[#This Row],[DESCRIPCIÓN DE LA COMPRA O CONTRATACIÓN]])</f>
        <v>CHECK HORIZONTAL Ø2"</v>
      </c>
      <c r="C336" s="39" t="s">
        <v>17</v>
      </c>
      <c r="D336" s="352">
        <v>4</v>
      </c>
      <c r="E336" s="352">
        <v>4</v>
      </c>
      <c r="F336" s="352">
        <v>4</v>
      </c>
      <c r="G336" s="352">
        <v>4</v>
      </c>
      <c r="H336" s="240">
        <f>SUM(Tabla1321124[[#This Row],[PRIMER TRIMESTRE]:[CUARTO TRIMESTRE]])</f>
        <v>16</v>
      </c>
      <c r="I336" s="17">
        <v>2500</v>
      </c>
      <c r="J336" s="17">
        <f>+Tabla1321124[[#This Row],[CANTIDAD TOTAL]]*Tabla1321124[[#This Row],[PRECIO UNITARIO ESTIMADO]]</f>
        <v>40000</v>
      </c>
      <c r="K336" s="345"/>
      <c r="L336" s="16" t="s">
        <v>18</v>
      </c>
      <c r="M336" s="16" t="s">
        <v>22</v>
      </c>
      <c r="N336" s="16"/>
      <c r="O336" s="243"/>
      <c r="P336" s="243"/>
      <c r="Q336" s="243"/>
      <c r="R336" s="243"/>
      <c r="S336" s="243"/>
      <c r="T336" s="243"/>
      <c r="U336" s="243"/>
      <c r="V336" s="243"/>
      <c r="W336" s="243"/>
      <c r="X336" s="243"/>
      <c r="Y336" s="243"/>
      <c r="Z336" s="243"/>
      <c r="AA336" s="243"/>
      <c r="AB336" s="243"/>
      <c r="AC336" s="243"/>
      <c r="AD336" s="243"/>
      <c r="AE336" s="243"/>
      <c r="AF336" s="243"/>
      <c r="AG336" s="243"/>
      <c r="AH336" s="243"/>
      <c r="AI336" s="243"/>
      <c r="AJ336" s="243"/>
      <c r="AK336" s="243"/>
      <c r="AL336" s="243"/>
      <c r="AM336" s="243"/>
      <c r="AN336" s="243"/>
      <c r="AO336" s="243"/>
      <c r="AP336" s="243"/>
      <c r="AQ336" s="243"/>
      <c r="AR336" s="243"/>
      <c r="AS336" s="243"/>
      <c r="AT336" s="243"/>
      <c r="AU336" s="243"/>
      <c r="AV336" s="243"/>
      <c r="AW336" s="243"/>
      <c r="AX336" s="243"/>
      <c r="AY336" s="243"/>
      <c r="AZ336" s="243"/>
      <c r="BA336" s="243"/>
      <c r="BB336" s="243"/>
      <c r="BC336" s="243"/>
      <c r="BD336" s="243"/>
      <c r="BE336" s="243"/>
      <c r="BF336" s="243"/>
      <c r="BG336" s="243"/>
      <c r="BH336" s="243"/>
      <c r="BI336" s="243"/>
      <c r="BJ336" s="243"/>
      <c r="BK336" s="243"/>
      <c r="BL336" s="243"/>
      <c r="BM336" s="243"/>
      <c r="BN336" s="243"/>
      <c r="BO336" s="243"/>
      <c r="BP336" s="243"/>
      <c r="BQ336" s="243"/>
      <c r="BR336" s="243"/>
      <c r="BS336" s="243"/>
    </row>
    <row r="337" spans="1:71" s="12" customFormat="1" ht="41.25" customHeight="1">
      <c r="A337" s="178" t="s">
        <v>80</v>
      </c>
      <c r="B337" s="178" t="str">
        <f ca="1">+UPPER(Tabla1321124[[#This Row],[DESCRIPCIÓN DE LA COMPRA O CONTRATACIÓN]])</f>
        <v>CHECK HORIZONTAL Ø3"</v>
      </c>
      <c r="C337" s="39" t="s">
        <v>17</v>
      </c>
      <c r="D337" s="352">
        <v>4</v>
      </c>
      <c r="E337" s="352">
        <v>4</v>
      </c>
      <c r="F337" s="352">
        <v>4</v>
      </c>
      <c r="G337" s="352">
        <v>4</v>
      </c>
      <c r="H337" s="240">
        <f>SUM(Tabla1321124[[#This Row],[PRIMER TRIMESTRE]:[CUARTO TRIMESTRE]])</f>
        <v>16</v>
      </c>
      <c r="I337" s="17">
        <v>6800</v>
      </c>
      <c r="J337" s="17">
        <f>+Tabla1321124[[#This Row],[CANTIDAD TOTAL]]*Tabla1321124[[#This Row],[PRECIO UNITARIO ESTIMADO]]</f>
        <v>108800</v>
      </c>
      <c r="K337" s="345"/>
      <c r="L337" s="16" t="s">
        <v>18</v>
      </c>
      <c r="M337" s="16" t="s">
        <v>22</v>
      </c>
      <c r="N337" s="16"/>
      <c r="O337" s="243"/>
      <c r="P337" s="243"/>
      <c r="Q337" s="243"/>
      <c r="R337" s="243"/>
      <c r="S337" s="243"/>
      <c r="T337" s="243"/>
      <c r="U337" s="243"/>
      <c r="V337" s="243"/>
      <c r="W337" s="243"/>
      <c r="X337" s="243"/>
      <c r="Y337" s="243"/>
      <c r="Z337" s="243"/>
      <c r="AA337" s="243"/>
      <c r="AB337" s="243"/>
      <c r="AC337" s="243"/>
      <c r="AD337" s="243"/>
      <c r="AE337" s="243"/>
      <c r="AF337" s="243"/>
      <c r="AG337" s="243"/>
      <c r="AH337" s="243"/>
      <c r="AI337" s="243"/>
      <c r="AJ337" s="243"/>
      <c r="AK337" s="243"/>
      <c r="AL337" s="243"/>
      <c r="AM337" s="243"/>
      <c r="AN337" s="243"/>
      <c r="AO337" s="243"/>
      <c r="AP337" s="243"/>
      <c r="AQ337" s="243"/>
      <c r="AR337" s="243"/>
      <c r="AS337" s="243"/>
      <c r="AT337" s="243"/>
      <c r="AU337" s="243"/>
      <c r="AV337" s="243"/>
      <c r="AW337" s="243"/>
      <c r="AX337" s="243"/>
      <c r="AY337" s="243"/>
      <c r="AZ337" s="243"/>
      <c r="BA337" s="243"/>
      <c r="BB337" s="243"/>
      <c r="BC337" s="243"/>
      <c r="BD337" s="243"/>
      <c r="BE337" s="243"/>
      <c r="BF337" s="243"/>
      <c r="BG337" s="243"/>
      <c r="BH337" s="243"/>
      <c r="BI337" s="243"/>
      <c r="BJ337" s="243"/>
      <c r="BK337" s="243"/>
      <c r="BL337" s="243"/>
      <c r="BM337" s="243"/>
      <c r="BN337" s="243"/>
      <c r="BO337" s="243"/>
      <c r="BP337" s="243"/>
      <c r="BQ337" s="243"/>
      <c r="BR337" s="243"/>
      <c r="BS337" s="243"/>
    </row>
    <row r="338" spans="1:71" s="12" customFormat="1" ht="41.25" customHeight="1">
      <c r="A338" s="178" t="s">
        <v>80</v>
      </c>
      <c r="B338" s="178" t="str">
        <f ca="1">+UPPER(Tabla1321124[[#This Row],[DESCRIPCIÓN DE LA COMPRA O CONTRATACIÓN]])</f>
        <v>CHECK HORIZONTAL Ø6"</v>
      </c>
      <c r="C338" s="39" t="s">
        <v>17</v>
      </c>
      <c r="D338" s="352">
        <v>4</v>
      </c>
      <c r="E338" s="352">
        <v>4</v>
      </c>
      <c r="F338" s="352">
        <v>4</v>
      </c>
      <c r="G338" s="352">
        <v>4</v>
      </c>
      <c r="H338" s="240">
        <f>SUM(Tabla1321124[[#This Row],[PRIMER TRIMESTRE]:[CUARTO TRIMESTRE]])</f>
        <v>16</v>
      </c>
      <c r="I338" s="17">
        <v>18300</v>
      </c>
      <c r="J338" s="17">
        <f>+Tabla1321124[[#This Row],[CANTIDAD TOTAL]]*Tabla1321124[[#This Row],[PRECIO UNITARIO ESTIMADO]]</f>
        <v>292800</v>
      </c>
      <c r="K338" s="345"/>
      <c r="L338" s="16" t="s">
        <v>18</v>
      </c>
      <c r="M338" s="16" t="s">
        <v>22</v>
      </c>
      <c r="N338" s="16"/>
      <c r="O338" s="243"/>
      <c r="P338" s="243"/>
      <c r="Q338" s="243"/>
      <c r="R338" s="243"/>
      <c r="S338" s="243"/>
      <c r="T338" s="243"/>
      <c r="U338" s="243"/>
      <c r="V338" s="243"/>
      <c r="W338" s="243"/>
      <c r="X338" s="243"/>
      <c r="Y338" s="243"/>
      <c r="Z338" s="243"/>
      <c r="AA338" s="243"/>
      <c r="AB338" s="243"/>
      <c r="AC338" s="243"/>
      <c r="AD338" s="243"/>
      <c r="AE338" s="243"/>
      <c r="AF338" s="243"/>
      <c r="AG338" s="243"/>
      <c r="AH338" s="243"/>
      <c r="AI338" s="243"/>
      <c r="AJ338" s="243"/>
      <c r="AK338" s="243"/>
      <c r="AL338" s="243"/>
      <c r="AM338" s="243"/>
      <c r="AN338" s="243"/>
      <c r="AO338" s="243"/>
      <c r="AP338" s="243"/>
      <c r="AQ338" s="243"/>
      <c r="AR338" s="243"/>
      <c r="AS338" s="243"/>
      <c r="AT338" s="243"/>
      <c r="AU338" s="243"/>
      <c r="AV338" s="243"/>
      <c r="AW338" s="243"/>
      <c r="AX338" s="243"/>
      <c r="AY338" s="243"/>
      <c r="AZ338" s="243"/>
      <c r="BA338" s="243"/>
      <c r="BB338" s="243"/>
      <c r="BC338" s="243"/>
      <c r="BD338" s="243"/>
      <c r="BE338" s="243"/>
      <c r="BF338" s="243"/>
      <c r="BG338" s="243"/>
      <c r="BH338" s="243"/>
      <c r="BI338" s="243"/>
      <c r="BJ338" s="243"/>
      <c r="BK338" s="243"/>
      <c r="BL338" s="243"/>
      <c r="BM338" s="243"/>
      <c r="BN338" s="243"/>
      <c r="BO338" s="243"/>
      <c r="BP338" s="243"/>
      <c r="BQ338" s="243"/>
      <c r="BR338" s="243"/>
      <c r="BS338" s="243"/>
    </row>
    <row r="339" spans="1:71" s="12" customFormat="1" ht="41.25" customHeight="1">
      <c r="A339" s="178" t="s">
        <v>80</v>
      </c>
      <c r="B339" s="178" t="str">
        <f ca="1">+UPPER(Tabla1321124[[#This Row],[DESCRIPCIÓN DE LA COMPRA O CONTRATACIÓN]])</f>
        <v>CHECK HORIZONTAL Ø8"</v>
      </c>
      <c r="C339" s="39" t="s">
        <v>17</v>
      </c>
      <c r="D339" s="352">
        <v>4</v>
      </c>
      <c r="E339" s="352">
        <v>4</v>
      </c>
      <c r="F339" s="352">
        <v>4</v>
      </c>
      <c r="G339" s="352">
        <v>4</v>
      </c>
      <c r="H339" s="240">
        <f>SUM(Tabla1321124[[#This Row],[PRIMER TRIMESTRE]:[CUARTO TRIMESTRE]])</f>
        <v>16</v>
      </c>
      <c r="I339" s="17">
        <v>35000</v>
      </c>
      <c r="J339" s="17">
        <f>+Tabla1321124[[#This Row],[CANTIDAD TOTAL]]*Tabla1321124[[#This Row],[PRECIO UNITARIO ESTIMADO]]</f>
        <v>560000</v>
      </c>
      <c r="K339" s="345"/>
      <c r="L339" s="16" t="s">
        <v>18</v>
      </c>
      <c r="M339" s="16" t="s">
        <v>22</v>
      </c>
      <c r="N339" s="16"/>
      <c r="O339" s="243"/>
      <c r="P339" s="243"/>
      <c r="Q339" s="243"/>
      <c r="R339" s="243"/>
      <c r="S339" s="243"/>
      <c r="T339" s="243"/>
      <c r="U339" s="243"/>
      <c r="V339" s="243"/>
      <c r="W339" s="243"/>
      <c r="X339" s="243"/>
      <c r="Y339" s="243"/>
      <c r="Z339" s="243"/>
      <c r="AA339" s="243"/>
      <c r="AB339" s="243"/>
      <c r="AC339" s="243"/>
      <c r="AD339" s="243"/>
      <c r="AE339" s="243"/>
      <c r="AF339" s="243"/>
      <c r="AG339" s="243"/>
      <c r="AH339" s="243"/>
      <c r="AI339" s="243"/>
      <c r="AJ339" s="243"/>
      <c r="AK339" s="243"/>
      <c r="AL339" s="243"/>
      <c r="AM339" s="243"/>
      <c r="AN339" s="243"/>
      <c r="AO339" s="243"/>
      <c r="AP339" s="243"/>
      <c r="AQ339" s="243"/>
      <c r="AR339" s="243"/>
      <c r="AS339" s="243"/>
      <c r="AT339" s="243"/>
      <c r="AU339" s="243"/>
      <c r="AV339" s="243"/>
      <c r="AW339" s="243"/>
      <c r="AX339" s="243"/>
      <c r="AY339" s="243"/>
      <c r="AZ339" s="243"/>
      <c r="BA339" s="243"/>
      <c r="BB339" s="243"/>
      <c r="BC339" s="243"/>
      <c r="BD339" s="243"/>
      <c r="BE339" s="243"/>
      <c r="BF339" s="243"/>
      <c r="BG339" s="243"/>
      <c r="BH339" s="243"/>
      <c r="BI339" s="243"/>
      <c r="BJ339" s="243"/>
      <c r="BK339" s="243"/>
      <c r="BL339" s="243"/>
      <c r="BM339" s="243"/>
      <c r="BN339" s="243"/>
      <c r="BO339" s="243"/>
      <c r="BP339" s="243"/>
      <c r="BQ339" s="243"/>
      <c r="BR339" s="243"/>
      <c r="BS339" s="243"/>
    </row>
    <row r="340" spans="1:71" s="12" customFormat="1" ht="41.25" customHeight="1">
      <c r="A340" s="178" t="s">
        <v>80</v>
      </c>
      <c r="B340" s="178" t="str">
        <f ca="1">+UPPER(Tabla1321124[[#This Row],[DESCRIPCIÓN DE LA COMPRA O CONTRATACIÓN]])</f>
        <v>CHECK HORIZONTAL Ø12"</v>
      </c>
      <c r="C340" s="39" t="s">
        <v>17</v>
      </c>
      <c r="D340" s="352">
        <v>4</v>
      </c>
      <c r="E340" s="352">
        <v>4</v>
      </c>
      <c r="F340" s="352">
        <v>4</v>
      </c>
      <c r="G340" s="352">
        <v>4</v>
      </c>
      <c r="H340" s="240">
        <f>SUM(Tabla1321124[[#This Row],[PRIMER TRIMESTRE]:[CUARTO TRIMESTRE]])</f>
        <v>16</v>
      </c>
      <c r="I340" s="17">
        <v>60000</v>
      </c>
      <c r="J340" s="17">
        <f>+Tabla1321124[[#This Row],[CANTIDAD TOTAL]]*Tabla1321124[[#This Row],[PRECIO UNITARIO ESTIMADO]]</f>
        <v>960000</v>
      </c>
      <c r="K340" s="345"/>
      <c r="L340" s="16" t="s">
        <v>18</v>
      </c>
      <c r="M340" s="16" t="s">
        <v>22</v>
      </c>
      <c r="N340" s="16"/>
      <c r="O340" s="243"/>
      <c r="P340" s="243"/>
      <c r="Q340" s="243"/>
      <c r="R340" s="243"/>
      <c r="S340" s="243"/>
      <c r="T340" s="243"/>
      <c r="U340" s="243"/>
      <c r="V340" s="243"/>
      <c r="W340" s="243"/>
      <c r="X340" s="243"/>
      <c r="Y340" s="243"/>
      <c r="Z340" s="243"/>
      <c r="AA340" s="243"/>
      <c r="AB340" s="243"/>
      <c r="AC340" s="243"/>
      <c r="AD340" s="243"/>
      <c r="AE340" s="243"/>
      <c r="AF340" s="243"/>
      <c r="AG340" s="243"/>
      <c r="AH340" s="243"/>
      <c r="AI340" s="243"/>
      <c r="AJ340" s="243"/>
      <c r="AK340" s="243"/>
      <c r="AL340" s="243"/>
      <c r="AM340" s="243"/>
      <c r="AN340" s="243"/>
      <c r="AO340" s="243"/>
      <c r="AP340" s="243"/>
      <c r="AQ340" s="243"/>
      <c r="AR340" s="243"/>
      <c r="AS340" s="243"/>
      <c r="AT340" s="243"/>
      <c r="AU340" s="243"/>
      <c r="AV340" s="243"/>
      <c r="AW340" s="243"/>
      <c r="AX340" s="243"/>
      <c r="AY340" s="243"/>
      <c r="AZ340" s="243"/>
      <c r="BA340" s="243"/>
      <c r="BB340" s="243"/>
      <c r="BC340" s="243"/>
      <c r="BD340" s="243"/>
      <c r="BE340" s="243"/>
      <c r="BF340" s="243"/>
      <c r="BG340" s="243"/>
      <c r="BH340" s="243"/>
      <c r="BI340" s="243"/>
      <c r="BJ340" s="243"/>
      <c r="BK340" s="243"/>
      <c r="BL340" s="243"/>
      <c r="BM340" s="243"/>
      <c r="BN340" s="243"/>
      <c r="BO340" s="243"/>
      <c r="BP340" s="243"/>
      <c r="BQ340" s="243"/>
      <c r="BR340" s="243"/>
      <c r="BS340" s="243"/>
    </row>
    <row r="341" spans="1:71" s="12" customFormat="1" ht="41.25" customHeight="1">
      <c r="A341" s="178" t="s">
        <v>80</v>
      </c>
      <c r="B341" s="178" t="str">
        <f ca="1">+UPPER(Tabla1321124[[#This Row],[DESCRIPCIÓN DE LA COMPRA O CONTRATACIÓN]])</f>
        <v>CHECK VERTICAL Ø2"</v>
      </c>
      <c r="C341" s="39" t="s">
        <v>17</v>
      </c>
      <c r="D341" s="352">
        <v>1</v>
      </c>
      <c r="E341" s="352">
        <v>1</v>
      </c>
      <c r="F341" s="352">
        <v>1</v>
      </c>
      <c r="G341" s="352">
        <v>1</v>
      </c>
      <c r="H341" s="240">
        <f>SUM(Tabla1321124[[#This Row],[PRIMER TRIMESTRE]:[CUARTO TRIMESTRE]])</f>
        <v>4</v>
      </c>
      <c r="I341" s="17">
        <v>2500</v>
      </c>
      <c r="J341" s="17">
        <f>+Tabla1321124[[#This Row],[CANTIDAD TOTAL]]*Tabla1321124[[#This Row],[PRECIO UNITARIO ESTIMADO]]</f>
        <v>10000</v>
      </c>
      <c r="K341" s="345"/>
      <c r="L341" s="16" t="s">
        <v>18</v>
      </c>
      <c r="M341" s="16" t="s">
        <v>22</v>
      </c>
      <c r="N341" s="16"/>
      <c r="O341" s="243"/>
      <c r="P341" s="243"/>
      <c r="Q341" s="243"/>
      <c r="R341" s="243"/>
      <c r="S341" s="243"/>
      <c r="T341" s="243"/>
      <c r="U341" s="243"/>
      <c r="V341" s="243"/>
      <c r="W341" s="243"/>
      <c r="X341" s="243"/>
      <c r="Y341" s="243"/>
      <c r="Z341" s="243"/>
      <c r="AA341" s="243"/>
      <c r="AB341" s="243"/>
      <c r="AC341" s="243"/>
      <c r="AD341" s="243"/>
      <c r="AE341" s="243"/>
      <c r="AF341" s="243"/>
      <c r="AG341" s="243"/>
      <c r="AH341" s="243"/>
      <c r="AI341" s="243"/>
      <c r="AJ341" s="243"/>
      <c r="AK341" s="243"/>
      <c r="AL341" s="243"/>
      <c r="AM341" s="243"/>
      <c r="AN341" s="243"/>
      <c r="AO341" s="243"/>
      <c r="AP341" s="243"/>
      <c r="AQ341" s="243"/>
      <c r="AR341" s="243"/>
      <c r="AS341" s="243"/>
      <c r="AT341" s="243"/>
      <c r="AU341" s="243"/>
      <c r="AV341" s="243"/>
      <c r="AW341" s="243"/>
      <c r="AX341" s="243"/>
      <c r="AY341" s="243"/>
      <c r="AZ341" s="243"/>
      <c r="BA341" s="243"/>
      <c r="BB341" s="243"/>
      <c r="BC341" s="243"/>
      <c r="BD341" s="243"/>
      <c r="BE341" s="243"/>
      <c r="BF341" s="243"/>
      <c r="BG341" s="243"/>
      <c r="BH341" s="243"/>
      <c r="BI341" s="243"/>
      <c r="BJ341" s="243"/>
      <c r="BK341" s="243"/>
      <c r="BL341" s="243"/>
      <c r="BM341" s="243"/>
      <c r="BN341" s="243"/>
      <c r="BO341" s="243"/>
      <c r="BP341" s="243"/>
      <c r="BQ341" s="243"/>
      <c r="BR341" s="243"/>
      <c r="BS341" s="243"/>
    </row>
    <row r="342" spans="1:71" s="12" customFormat="1" ht="41.25" customHeight="1">
      <c r="A342" s="178" t="s">
        <v>80</v>
      </c>
      <c r="B342" s="178" t="str">
        <f ca="1">+UPPER(Tabla1321124[[#This Row],[DESCRIPCIÓN DE LA COMPRA O CONTRATACIÓN]])</f>
        <v>CHECK VERTICAL Ø3"</v>
      </c>
      <c r="C342" s="39" t="s">
        <v>17</v>
      </c>
      <c r="D342" s="352">
        <v>1</v>
      </c>
      <c r="E342" s="352">
        <v>1</v>
      </c>
      <c r="F342" s="352">
        <v>1</v>
      </c>
      <c r="G342" s="352">
        <v>1</v>
      </c>
      <c r="H342" s="240">
        <f>SUM(Tabla1321124[[#This Row],[PRIMER TRIMESTRE]:[CUARTO TRIMESTRE]])</f>
        <v>4</v>
      </c>
      <c r="I342" s="17">
        <v>6800</v>
      </c>
      <c r="J342" s="17">
        <f>+Tabla1321124[[#This Row],[CANTIDAD TOTAL]]*Tabla1321124[[#This Row],[PRECIO UNITARIO ESTIMADO]]</f>
        <v>27200</v>
      </c>
      <c r="K342" s="345"/>
      <c r="L342" s="16" t="s">
        <v>18</v>
      </c>
      <c r="M342" s="16" t="s">
        <v>22</v>
      </c>
      <c r="N342" s="16"/>
      <c r="O342" s="243"/>
      <c r="P342" s="243"/>
      <c r="Q342" s="243"/>
      <c r="R342" s="243"/>
      <c r="S342" s="243"/>
      <c r="T342" s="243"/>
      <c r="U342" s="243"/>
      <c r="V342" s="243"/>
      <c r="W342" s="243"/>
      <c r="X342" s="243"/>
      <c r="Y342" s="243"/>
      <c r="Z342" s="243"/>
      <c r="AA342" s="243"/>
      <c r="AB342" s="243"/>
      <c r="AC342" s="243"/>
      <c r="AD342" s="243"/>
      <c r="AE342" s="243"/>
      <c r="AF342" s="243"/>
      <c r="AG342" s="243"/>
      <c r="AH342" s="243"/>
      <c r="AI342" s="243"/>
      <c r="AJ342" s="243"/>
      <c r="AK342" s="243"/>
      <c r="AL342" s="243"/>
      <c r="AM342" s="243"/>
      <c r="AN342" s="243"/>
      <c r="AO342" s="243"/>
      <c r="AP342" s="243"/>
      <c r="AQ342" s="243"/>
      <c r="AR342" s="243"/>
      <c r="AS342" s="243"/>
      <c r="AT342" s="243"/>
      <c r="AU342" s="243"/>
      <c r="AV342" s="243"/>
      <c r="AW342" s="243"/>
      <c r="AX342" s="243"/>
      <c r="AY342" s="243"/>
      <c r="AZ342" s="243"/>
      <c r="BA342" s="243"/>
      <c r="BB342" s="243"/>
      <c r="BC342" s="243"/>
      <c r="BD342" s="243"/>
      <c r="BE342" s="243"/>
      <c r="BF342" s="243"/>
      <c r="BG342" s="243"/>
      <c r="BH342" s="243"/>
      <c r="BI342" s="243"/>
      <c r="BJ342" s="243"/>
      <c r="BK342" s="243"/>
      <c r="BL342" s="243"/>
      <c r="BM342" s="243"/>
      <c r="BN342" s="243"/>
      <c r="BO342" s="243"/>
      <c r="BP342" s="243"/>
      <c r="BQ342" s="243"/>
      <c r="BR342" s="243"/>
      <c r="BS342" s="243"/>
    </row>
    <row r="343" spans="1:71" s="12" customFormat="1" ht="41.25" customHeight="1">
      <c r="A343" s="178" t="s">
        <v>80</v>
      </c>
      <c r="B343" s="178" t="str">
        <f ca="1">+UPPER(Tabla1321124[[#This Row],[DESCRIPCIÓN DE LA COMPRA O CONTRATACIÓN]])</f>
        <v>CHECK VERTICAL Ø6"</v>
      </c>
      <c r="C343" s="39" t="s">
        <v>17</v>
      </c>
      <c r="D343" s="352">
        <v>1</v>
      </c>
      <c r="E343" s="352">
        <v>1</v>
      </c>
      <c r="F343" s="352">
        <v>1</v>
      </c>
      <c r="G343" s="352">
        <v>1</v>
      </c>
      <c r="H343" s="240">
        <f>SUM(Tabla1321124[[#This Row],[PRIMER TRIMESTRE]:[CUARTO TRIMESTRE]])</f>
        <v>4</v>
      </c>
      <c r="I343" s="17">
        <v>18300</v>
      </c>
      <c r="J343" s="17">
        <f>+Tabla1321124[[#This Row],[CANTIDAD TOTAL]]*Tabla1321124[[#This Row],[PRECIO UNITARIO ESTIMADO]]</f>
        <v>73200</v>
      </c>
      <c r="K343" s="345"/>
      <c r="L343" s="16" t="s">
        <v>18</v>
      </c>
      <c r="M343" s="16" t="s">
        <v>22</v>
      </c>
      <c r="N343" s="16"/>
      <c r="O343" s="243"/>
      <c r="P343" s="243"/>
      <c r="Q343" s="243"/>
      <c r="R343" s="243"/>
      <c r="S343" s="243"/>
      <c r="T343" s="243"/>
      <c r="U343" s="243"/>
      <c r="V343" s="243"/>
      <c r="W343" s="243"/>
      <c r="X343" s="243"/>
      <c r="Y343" s="243"/>
      <c r="Z343" s="243"/>
      <c r="AA343" s="243"/>
      <c r="AB343" s="243"/>
      <c r="AC343" s="243"/>
      <c r="AD343" s="243"/>
      <c r="AE343" s="243"/>
      <c r="AF343" s="243"/>
      <c r="AG343" s="243"/>
      <c r="AH343" s="243"/>
      <c r="AI343" s="243"/>
      <c r="AJ343" s="243"/>
      <c r="AK343" s="243"/>
      <c r="AL343" s="243"/>
      <c r="AM343" s="243"/>
      <c r="AN343" s="243"/>
      <c r="AO343" s="243"/>
      <c r="AP343" s="243"/>
      <c r="AQ343" s="243"/>
      <c r="AR343" s="243"/>
      <c r="AS343" s="243"/>
      <c r="AT343" s="243"/>
      <c r="AU343" s="243"/>
      <c r="AV343" s="243"/>
      <c r="AW343" s="243"/>
      <c r="AX343" s="243"/>
      <c r="AY343" s="243"/>
      <c r="AZ343" s="243"/>
      <c r="BA343" s="243"/>
      <c r="BB343" s="243"/>
      <c r="BC343" s="243"/>
      <c r="BD343" s="243"/>
      <c r="BE343" s="243"/>
      <c r="BF343" s="243"/>
      <c r="BG343" s="243"/>
      <c r="BH343" s="243"/>
      <c r="BI343" s="243"/>
      <c r="BJ343" s="243"/>
      <c r="BK343" s="243"/>
      <c r="BL343" s="243"/>
      <c r="BM343" s="243"/>
      <c r="BN343" s="243"/>
      <c r="BO343" s="243"/>
      <c r="BP343" s="243"/>
      <c r="BQ343" s="243"/>
      <c r="BR343" s="243"/>
      <c r="BS343" s="243"/>
    </row>
    <row r="344" spans="1:71" s="12" customFormat="1" ht="41.25" customHeight="1">
      <c r="A344" s="178" t="s">
        <v>80</v>
      </c>
      <c r="B344" s="178" t="str">
        <f ca="1">+UPPER(Tabla1321124[[#This Row],[DESCRIPCIÓN DE LA COMPRA O CONTRATACIÓN]])</f>
        <v>CHECK VERTICAL Ø8"</v>
      </c>
      <c r="C344" s="39" t="s">
        <v>17</v>
      </c>
      <c r="D344" s="352">
        <v>1</v>
      </c>
      <c r="E344" s="352">
        <v>1</v>
      </c>
      <c r="F344" s="352">
        <v>1</v>
      </c>
      <c r="G344" s="352">
        <v>1</v>
      </c>
      <c r="H344" s="240">
        <f>SUM(Tabla1321124[[#This Row],[PRIMER TRIMESTRE]:[CUARTO TRIMESTRE]])</f>
        <v>4</v>
      </c>
      <c r="I344" s="17">
        <v>35000</v>
      </c>
      <c r="J344" s="17">
        <f>+Tabla1321124[[#This Row],[CANTIDAD TOTAL]]*Tabla1321124[[#This Row],[PRECIO UNITARIO ESTIMADO]]</f>
        <v>140000</v>
      </c>
      <c r="K344" s="345"/>
      <c r="L344" s="16" t="s">
        <v>18</v>
      </c>
      <c r="M344" s="16" t="s">
        <v>22</v>
      </c>
      <c r="N344" s="16"/>
      <c r="O344" s="243"/>
      <c r="P344" s="243"/>
      <c r="Q344" s="243"/>
      <c r="R344" s="243"/>
      <c r="S344" s="243"/>
      <c r="T344" s="243"/>
      <c r="U344" s="243"/>
      <c r="V344" s="243"/>
      <c r="W344" s="243"/>
      <c r="X344" s="243"/>
      <c r="Y344" s="243"/>
      <c r="Z344" s="243"/>
      <c r="AA344" s="243"/>
      <c r="AB344" s="243"/>
      <c r="AC344" s="243"/>
      <c r="AD344" s="243"/>
      <c r="AE344" s="243"/>
      <c r="AF344" s="243"/>
      <c r="AG344" s="243"/>
      <c r="AH344" s="243"/>
      <c r="AI344" s="243"/>
      <c r="AJ344" s="243"/>
      <c r="AK344" s="243"/>
      <c r="AL344" s="243"/>
      <c r="AM344" s="243"/>
      <c r="AN344" s="243"/>
      <c r="AO344" s="243"/>
      <c r="AP344" s="243"/>
      <c r="AQ344" s="243"/>
      <c r="AR344" s="243"/>
      <c r="AS344" s="243"/>
      <c r="AT344" s="243"/>
      <c r="AU344" s="243"/>
      <c r="AV344" s="243"/>
      <c r="AW344" s="243"/>
      <c r="AX344" s="243"/>
      <c r="AY344" s="243"/>
      <c r="AZ344" s="243"/>
      <c r="BA344" s="243"/>
      <c r="BB344" s="243"/>
      <c r="BC344" s="243"/>
      <c r="BD344" s="243"/>
      <c r="BE344" s="243"/>
      <c r="BF344" s="243"/>
      <c r="BG344" s="243"/>
      <c r="BH344" s="243"/>
      <c r="BI344" s="243"/>
      <c r="BJ344" s="243"/>
      <c r="BK344" s="243"/>
      <c r="BL344" s="243"/>
      <c r="BM344" s="243"/>
      <c r="BN344" s="243"/>
      <c r="BO344" s="243"/>
      <c r="BP344" s="243"/>
      <c r="BQ344" s="243"/>
      <c r="BR344" s="243"/>
      <c r="BS344" s="243"/>
    </row>
    <row r="345" spans="1:71" s="12" customFormat="1" ht="41.25" customHeight="1">
      <c r="A345" s="178" t="s">
        <v>80</v>
      </c>
      <c r="B345" s="178" t="str">
        <f ca="1">+UPPER(Tabla1321124[[#This Row],[DESCRIPCIÓN DE LA COMPRA O CONTRATACIÓN]])</f>
        <v>CHECK VERTICAL Ø12"</v>
      </c>
      <c r="C345" s="39" t="s">
        <v>17</v>
      </c>
      <c r="D345" s="352">
        <v>1</v>
      </c>
      <c r="E345" s="352">
        <v>1</v>
      </c>
      <c r="F345" s="352">
        <v>1</v>
      </c>
      <c r="G345" s="352">
        <v>1</v>
      </c>
      <c r="H345" s="240">
        <f>SUM(Tabla1321124[[#This Row],[PRIMER TRIMESTRE]:[CUARTO TRIMESTRE]])</f>
        <v>4</v>
      </c>
      <c r="I345" s="17">
        <v>60000</v>
      </c>
      <c r="J345" s="17">
        <f>+Tabla1321124[[#This Row],[CANTIDAD TOTAL]]*Tabla1321124[[#This Row],[PRECIO UNITARIO ESTIMADO]]</f>
        <v>240000</v>
      </c>
      <c r="K345" s="345"/>
      <c r="L345" s="16" t="s">
        <v>18</v>
      </c>
      <c r="M345" s="16" t="s">
        <v>22</v>
      </c>
      <c r="N345" s="16"/>
      <c r="O345" s="243"/>
      <c r="P345" s="243"/>
      <c r="Q345" s="243"/>
      <c r="R345" s="243"/>
      <c r="S345" s="243"/>
      <c r="T345" s="243"/>
      <c r="U345" s="243"/>
      <c r="V345" s="243"/>
      <c r="W345" s="243"/>
      <c r="X345" s="243"/>
      <c r="Y345" s="243"/>
      <c r="Z345" s="243"/>
      <c r="AA345" s="243"/>
      <c r="AB345" s="243"/>
      <c r="AC345" s="243"/>
      <c r="AD345" s="243"/>
      <c r="AE345" s="243"/>
      <c r="AF345" s="243"/>
      <c r="AG345" s="243"/>
      <c r="AH345" s="243"/>
      <c r="AI345" s="243"/>
      <c r="AJ345" s="243"/>
      <c r="AK345" s="243"/>
      <c r="AL345" s="243"/>
      <c r="AM345" s="243"/>
      <c r="AN345" s="243"/>
      <c r="AO345" s="243"/>
      <c r="AP345" s="243"/>
      <c r="AQ345" s="243"/>
      <c r="AR345" s="243"/>
      <c r="AS345" s="243"/>
      <c r="AT345" s="243"/>
      <c r="AU345" s="243"/>
      <c r="AV345" s="243"/>
      <c r="AW345" s="243"/>
      <c r="AX345" s="243"/>
      <c r="AY345" s="243"/>
      <c r="AZ345" s="243"/>
      <c r="BA345" s="243"/>
      <c r="BB345" s="243"/>
      <c r="BC345" s="243"/>
      <c r="BD345" s="243"/>
      <c r="BE345" s="243"/>
      <c r="BF345" s="243"/>
      <c r="BG345" s="243"/>
      <c r="BH345" s="243"/>
      <c r="BI345" s="243"/>
      <c r="BJ345" s="243"/>
      <c r="BK345" s="243"/>
      <c r="BL345" s="243"/>
      <c r="BM345" s="243"/>
      <c r="BN345" s="243"/>
      <c r="BO345" s="243"/>
      <c r="BP345" s="243"/>
      <c r="BQ345" s="243"/>
      <c r="BR345" s="243"/>
      <c r="BS345" s="243"/>
    </row>
    <row r="346" spans="1:71" s="12" customFormat="1" ht="41.25" customHeight="1">
      <c r="A346" s="178" t="s">
        <v>80</v>
      </c>
      <c r="B346" s="178" t="str">
        <f ca="1">+UPPER(Tabla1321124[[#This Row],[DESCRIPCIÓN DE LA COMPRA O CONTRATACIÓN]])</f>
        <v>JUEGO DE TERRAJA</v>
      </c>
      <c r="C346" s="39" t="s">
        <v>17</v>
      </c>
      <c r="D346" s="365">
        <v>1</v>
      </c>
      <c r="E346" s="365">
        <v>0</v>
      </c>
      <c r="F346" s="365">
        <v>0</v>
      </c>
      <c r="G346" s="365">
        <v>0</v>
      </c>
      <c r="H346" s="240">
        <f>SUM(Tabla1321124[[#This Row],[PRIMER TRIMESTRE]:[CUARTO TRIMESTRE]])</f>
        <v>1</v>
      </c>
      <c r="I346" s="17">
        <v>850</v>
      </c>
      <c r="J346" s="17">
        <f>+Tabla1321124[[#This Row],[CANTIDAD TOTAL]]*Tabla1321124[[#This Row],[PRECIO UNITARIO ESTIMADO]]</f>
        <v>850</v>
      </c>
      <c r="K346" s="175"/>
      <c r="L346" s="16" t="s">
        <v>18</v>
      </c>
      <c r="M346" s="16" t="s">
        <v>22</v>
      </c>
      <c r="N346" s="16"/>
      <c r="O346" s="243"/>
      <c r="P346" s="243"/>
      <c r="Q346" s="243"/>
      <c r="R346" s="243"/>
      <c r="S346" s="243"/>
      <c r="T346" s="243"/>
      <c r="U346" s="243"/>
      <c r="V346" s="243"/>
      <c r="W346" s="243"/>
      <c r="X346" s="243"/>
      <c r="Y346" s="243"/>
      <c r="Z346" s="243"/>
      <c r="AA346" s="243"/>
      <c r="AB346" s="243"/>
      <c r="AC346" s="243"/>
      <c r="AD346" s="243"/>
      <c r="AE346" s="243"/>
      <c r="AF346" s="243"/>
      <c r="AG346" s="243"/>
      <c r="AH346" s="243"/>
      <c r="AI346" s="243"/>
      <c r="AJ346" s="243"/>
      <c r="AK346" s="243"/>
      <c r="AL346" s="243"/>
      <c r="AM346" s="243"/>
      <c r="AN346" s="243"/>
      <c r="AO346" s="243"/>
      <c r="AP346" s="243"/>
      <c r="AQ346" s="243"/>
      <c r="AR346" s="243"/>
      <c r="AS346" s="243"/>
      <c r="AT346" s="243"/>
      <c r="AU346" s="243"/>
      <c r="AV346" s="243"/>
      <c r="AW346" s="243"/>
      <c r="AX346" s="243"/>
      <c r="AY346" s="243"/>
      <c r="AZ346" s="243"/>
      <c r="BA346" s="243"/>
      <c r="BB346" s="243"/>
      <c r="BC346" s="243"/>
      <c r="BD346" s="243"/>
      <c r="BE346" s="243"/>
      <c r="BF346" s="243"/>
      <c r="BG346" s="243"/>
      <c r="BH346" s="243"/>
      <c r="BI346" s="243"/>
      <c r="BJ346" s="243"/>
      <c r="BK346" s="243"/>
      <c r="BL346" s="243"/>
      <c r="BM346" s="243"/>
      <c r="BN346" s="243"/>
      <c r="BO346" s="243"/>
      <c r="BP346" s="243"/>
      <c r="BQ346" s="243"/>
      <c r="BR346" s="243"/>
      <c r="BS346" s="243"/>
    </row>
    <row r="347" spans="1:71" s="12" customFormat="1" ht="41.25" customHeight="1">
      <c r="A347" s="178" t="s">
        <v>80</v>
      </c>
      <c r="B347" s="178" t="str">
        <f ca="1">+UPPER(Tabla1321124[[#This Row],[DESCRIPCIÓN DE LA COMPRA O CONTRATACIÓN]])</f>
        <v>LLAVE CHORRO DE ½” BRONCE</v>
      </c>
      <c r="C347" s="39" t="s">
        <v>149</v>
      </c>
      <c r="D347" s="368">
        <v>4</v>
      </c>
      <c r="E347" s="369">
        <v>4</v>
      </c>
      <c r="F347" s="369">
        <v>4</v>
      </c>
      <c r="G347" s="369">
        <v>4</v>
      </c>
      <c r="H347" s="240">
        <f>SUM(Tabla1321124[[#This Row],[PRIMER TRIMESTRE]:[CUARTO TRIMESTRE]])</f>
        <v>16</v>
      </c>
      <c r="I347" s="17">
        <v>250</v>
      </c>
      <c r="J347" s="17">
        <f>+Tabla1321124[[#This Row],[CANTIDAD TOTAL]]*Tabla1321124[[#This Row],[PRECIO UNITARIO ESTIMADO]]</f>
        <v>4000</v>
      </c>
      <c r="K347" s="175"/>
      <c r="L347" s="16" t="s">
        <v>18</v>
      </c>
      <c r="M347" s="16" t="s">
        <v>22</v>
      </c>
      <c r="N347" s="16"/>
      <c r="O347" s="243"/>
      <c r="P347" s="243"/>
      <c r="Q347" s="243"/>
      <c r="R347" s="243"/>
      <c r="S347" s="243"/>
      <c r="T347" s="243"/>
      <c r="U347" s="243"/>
      <c r="V347" s="243"/>
      <c r="W347" s="243"/>
      <c r="X347" s="243"/>
      <c r="Y347" s="243"/>
      <c r="Z347" s="243"/>
      <c r="AA347" s="243"/>
      <c r="AB347" s="243"/>
      <c r="AC347" s="243"/>
      <c r="AD347" s="243"/>
      <c r="AE347" s="243"/>
      <c r="AF347" s="243"/>
      <c r="AG347" s="243"/>
      <c r="AH347" s="243"/>
      <c r="AI347" s="243"/>
      <c r="AJ347" s="243"/>
      <c r="AK347" s="243"/>
      <c r="AL347" s="243"/>
      <c r="AM347" s="243"/>
      <c r="AN347" s="243"/>
      <c r="AO347" s="243"/>
      <c r="AP347" s="243"/>
      <c r="AQ347" s="243"/>
      <c r="AR347" s="243"/>
      <c r="AS347" s="243"/>
      <c r="AT347" s="243"/>
      <c r="AU347" s="243"/>
      <c r="AV347" s="243"/>
      <c r="AW347" s="243"/>
      <c r="AX347" s="243"/>
      <c r="AY347" s="243"/>
      <c r="AZ347" s="243"/>
      <c r="BA347" s="243"/>
      <c r="BB347" s="243"/>
      <c r="BC347" s="243"/>
      <c r="BD347" s="243"/>
      <c r="BE347" s="243"/>
      <c r="BF347" s="243"/>
      <c r="BG347" s="243"/>
      <c r="BH347" s="243"/>
      <c r="BI347" s="243"/>
      <c r="BJ347" s="243"/>
      <c r="BK347" s="243"/>
      <c r="BL347" s="243"/>
      <c r="BM347" s="243"/>
      <c r="BN347" s="243"/>
      <c r="BO347" s="243"/>
      <c r="BP347" s="243"/>
      <c r="BQ347" s="243"/>
      <c r="BR347" s="243"/>
      <c r="BS347" s="243"/>
    </row>
    <row r="348" spans="1:71" s="12" customFormat="1" ht="41.25" customHeight="1">
      <c r="A348" s="178" t="s">
        <v>80</v>
      </c>
      <c r="B348" s="178" t="str">
        <f ca="1">+UPPER(Tabla1321124[[#This Row],[DESCRIPCIÓN DE LA COMPRA O CONTRATACIÓN]])</f>
        <v>LLAVE CHORRO DE ¾” BRONCE</v>
      </c>
      <c r="C348" s="39" t="s">
        <v>149</v>
      </c>
      <c r="D348" s="368">
        <v>4</v>
      </c>
      <c r="E348" s="369">
        <v>4</v>
      </c>
      <c r="F348" s="369">
        <v>4</v>
      </c>
      <c r="G348" s="369">
        <v>4</v>
      </c>
      <c r="H348" s="240">
        <f>SUM(Tabla1321124[[#This Row],[PRIMER TRIMESTRE]:[CUARTO TRIMESTRE]])</f>
        <v>16</v>
      </c>
      <c r="I348" s="17">
        <v>275</v>
      </c>
      <c r="J348" s="17">
        <f>+Tabla1321124[[#This Row],[CANTIDAD TOTAL]]*Tabla1321124[[#This Row],[PRECIO UNITARIO ESTIMADO]]</f>
        <v>4400</v>
      </c>
      <c r="K348" s="175"/>
      <c r="L348" s="16" t="s">
        <v>18</v>
      </c>
      <c r="M348" s="16" t="s">
        <v>22</v>
      </c>
      <c r="N348" s="16"/>
      <c r="O348" s="243"/>
      <c r="P348" s="243"/>
      <c r="Q348" s="243"/>
      <c r="R348" s="243"/>
      <c r="S348" s="243"/>
      <c r="T348" s="243"/>
      <c r="U348" s="243"/>
      <c r="V348" s="243"/>
      <c r="W348" s="243"/>
      <c r="X348" s="243"/>
      <c r="Y348" s="243"/>
      <c r="Z348" s="243"/>
      <c r="AA348" s="243"/>
      <c r="AB348" s="243"/>
      <c r="AC348" s="243"/>
      <c r="AD348" s="243"/>
      <c r="AE348" s="243"/>
      <c r="AF348" s="243"/>
      <c r="AG348" s="243"/>
      <c r="AH348" s="243"/>
      <c r="AI348" s="243"/>
      <c r="AJ348" s="243"/>
      <c r="AK348" s="243"/>
      <c r="AL348" s="243"/>
      <c r="AM348" s="243"/>
      <c r="AN348" s="243"/>
      <c r="AO348" s="243"/>
      <c r="AP348" s="243"/>
      <c r="AQ348" s="243"/>
      <c r="AR348" s="243"/>
      <c r="AS348" s="243"/>
      <c r="AT348" s="243"/>
      <c r="AU348" s="243"/>
      <c r="AV348" s="243"/>
      <c r="AW348" s="243"/>
      <c r="AX348" s="243"/>
      <c r="AY348" s="243"/>
      <c r="AZ348" s="243"/>
      <c r="BA348" s="243"/>
      <c r="BB348" s="243"/>
      <c r="BC348" s="243"/>
      <c r="BD348" s="243"/>
      <c r="BE348" s="243"/>
      <c r="BF348" s="243"/>
      <c r="BG348" s="243"/>
      <c r="BH348" s="243"/>
      <c r="BI348" s="243"/>
      <c r="BJ348" s="243"/>
      <c r="BK348" s="243"/>
      <c r="BL348" s="243"/>
      <c r="BM348" s="243"/>
      <c r="BN348" s="243"/>
      <c r="BO348" s="243"/>
      <c r="BP348" s="243"/>
      <c r="BQ348" s="243"/>
      <c r="BR348" s="243"/>
      <c r="BS348" s="243"/>
    </row>
    <row r="349" spans="1:71" s="12" customFormat="1" ht="41.25" customHeight="1">
      <c r="A349" s="178" t="s">
        <v>80</v>
      </c>
      <c r="B349" s="178" t="str">
        <f ca="1">+UPPER(Tabla1321124[[#This Row],[DESCRIPCIÓN DE LA COMPRA O CONTRATACIÓN]])</f>
        <v>LLAVE DE PASO ½” BRONCE</v>
      </c>
      <c r="C349" s="39" t="s">
        <v>17</v>
      </c>
      <c r="D349" s="368">
        <v>4</v>
      </c>
      <c r="E349" s="369">
        <v>4</v>
      </c>
      <c r="F349" s="369">
        <v>4</v>
      </c>
      <c r="G349" s="369">
        <v>4</v>
      </c>
      <c r="H349" s="240">
        <f>SUM(Tabla1321124[[#This Row],[PRIMER TRIMESTRE]:[CUARTO TRIMESTRE]])</f>
        <v>16</v>
      </c>
      <c r="I349" s="17">
        <v>300</v>
      </c>
      <c r="J349" s="17">
        <f>+Tabla1321124[[#This Row],[CANTIDAD TOTAL]]*Tabla1321124[[#This Row],[PRECIO UNITARIO ESTIMADO]]</f>
        <v>4800</v>
      </c>
      <c r="K349" s="175"/>
      <c r="L349" s="16" t="s">
        <v>18</v>
      </c>
      <c r="M349" s="16" t="s">
        <v>22</v>
      </c>
      <c r="N349" s="16"/>
      <c r="O349" s="243"/>
      <c r="P349" s="243"/>
      <c r="Q349" s="243"/>
      <c r="R349" s="243"/>
      <c r="S349" s="243"/>
      <c r="T349" s="243"/>
      <c r="U349" s="243"/>
      <c r="V349" s="243"/>
      <c r="W349" s="243"/>
      <c r="X349" s="243"/>
      <c r="Y349" s="243"/>
      <c r="Z349" s="243"/>
      <c r="AA349" s="243"/>
      <c r="AB349" s="243"/>
      <c r="AC349" s="243"/>
      <c r="AD349" s="243"/>
      <c r="AE349" s="243"/>
      <c r="AF349" s="243"/>
      <c r="AG349" s="243"/>
      <c r="AH349" s="243"/>
      <c r="AI349" s="243"/>
      <c r="AJ349" s="243"/>
      <c r="AK349" s="243"/>
      <c r="AL349" s="243"/>
      <c r="AM349" s="243"/>
      <c r="AN349" s="243"/>
      <c r="AO349" s="243"/>
      <c r="AP349" s="243"/>
      <c r="AQ349" s="243"/>
      <c r="AR349" s="243"/>
      <c r="AS349" s="243"/>
      <c r="AT349" s="243"/>
      <c r="AU349" s="243"/>
      <c r="AV349" s="243"/>
      <c r="AW349" s="243"/>
      <c r="AX349" s="243"/>
      <c r="AY349" s="243"/>
      <c r="AZ349" s="243"/>
      <c r="BA349" s="243"/>
      <c r="BB349" s="243"/>
      <c r="BC349" s="243"/>
      <c r="BD349" s="243"/>
      <c r="BE349" s="243"/>
      <c r="BF349" s="243"/>
      <c r="BG349" s="243"/>
      <c r="BH349" s="243"/>
      <c r="BI349" s="243"/>
      <c r="BJ349" s="243"/>
      <c r="BK349" s="243"/>
      <c r="BL349" s="243"/>
      <c r="BM349" s="243"/>
      <c r="BN349" s="243"/>
      <c r="BO349" s="243"/>
      <c r="BP349" s="243"/>
      <c r="BQ349" s="243"/>
      <c r="BR349" s="243"/>
      <c r="BS349" s="243"/>
    </row>
    <row r="350" spans="1:71" s="12" customFormat="1" ht="41.25" customHeight="1">
      <c r="A350" s="178" t="s">
        <v>80</v>
      </c>
      <c r="B350" s="178" t="str">
        <f ca="1">+UPPER(Tabla1321124[[#This Row],[DESCRIPCIÓN DE LA COMPRA O CONTRATACIÓN]])</f>
        <v>LLAVE DE PASO ½” PVC</v>
      </c>
      <c r="C350" s="39" t="s">
        <v>17</v>
      </c>
      <c r="D350" s="368">
        <v>4</v>
      </c>
      <c r="E350" s="369">
        <v>4</v>
      </c>
      <c r="F350" s="369">
        <v>4</v>
      </c>
      <c r="G350" s="369">
        <v>4</v>
      </c>
      <c r="H350" s="240">
        <f>SUM(Tabla1321124[[#This Row],[PRIMER TRIMESTRE]:[CUARTO TRIMESTRE]])</f>
        <v>16</v>
      </c>
      <c r="I350" s="17">
        <v>150</v>
      </c>
      <c r="J350" s="17">
        <f>+Tabla1321124[[#This Row],[CANTIDAD TOTAL]]*Tabla1321124[[#This Row],[PRECIO UNITARIO ESTIMADO]]</f>
        <v>2400</v>
      </c>
      <c r="K350" s="175"/>
      <c r="L350" s="16" t="s">
        <v>18</v>
      </c>
      <c r="M350" s="16" t="s">
        <v>22</v>
      </c>
      <c r="N350" s="16"/>
      <c r="O350" s="243"/>
      <c r="P350" s="243"/>
      <c r="Q350" s="243"/>
      <c r="R350" s="243"/>
      <c r="S350" s="243"/>
      <c r="T350" s="243"/>
      <c r="U350" s="243"/>
      <c r="V350" s="243"/>
      <c r="W350" s="243"/>
      <c r="X350" s="243"/>
      <c r="Y350" s="243"/>
      <c r="Z350" s="243"/>
      <c r="AA350" s="243"/>
      <c r="AB350" s="243"/>
      <c r="AC350" s="243"/>
      <c r="AD350" s="243"/>
      <c r="AE350" s="243"/>
      <c r="AF350" s="243"/>
      <c r="AG350" s="243"/>
      <c r="AH350" s="243"/>
      <c r="AI350" s="243"/>
      <c r="AJ350" s="243"/>
      <c r="AK350" s="243"/>
      <c r="AL350" s="243"/>
      <c r="AM350" s="243"/>
      <c r="AN350" s="243"/>
      <c r="AO350" s="243"/>
      <c r="AP350" s="243"/>
      <c r="AQ350" s="243"/>
      <c r="AR350" s="243"/>
      <c r="AS350" s="243"/>
      <c r="AT350" s="243"/>
      <c r="AU350" s="243"/>
      <c r="AV350" s="243"/>
      <c r="AW350" s="243"/>
      <c r="AX350" s="243"/>
      <c r="AY350" s="243"/>
      <c r="AZ350" s="243"/>
      <c r="BA350" s="243"/>
      <c r="BB350" s="243"/>
      <c r="BC350" s="243"/>
      <c r="BD350" s="243"/>
      <c r="BE350" s="243"/>
      <c r="BF350" s="243"/>
      <c r="BG350" s="243"/>
      <c r="BH350" s="243"/>
      <c r="BI350" s="243"/>
      <c r="BJ350" s="243"/>
      <c r="BK350" s="243"/>
      <c r="BL350" s="243"/>
      <c r="BM350" s="243"/>
      <c r="BN350" s="243"/>
      <c r="BO350" s="243"/>
      <c r="BP350" s="243"/>
      <c r="BQ350" s="243"/>
      <c r="BR350" s="243"/>
      <c r="BS350" s="243"/>
    </row>
    <row r="351" spans="1:71" s="12" customFormat="1" ht="41.25" customHeight="1">
      <c r="A351" s="178" t="s">
        <v>80</v>
      </c>
      <c r="B351" s="178" t="str">
        <f ca="1">+UPPER(Tabla1321124[[#This Row],[DESCRIPCIÓN DE LA COMPRA O CONTRATACIÓN]])</f>
        <v>LLAVE PASO DE ¾” BRONCE</v>
      </c>
      <c r="C351" s="39" t="s">
        <v>17</v>
      </c>
      <c r="D351" s="368">
        <v>4</v>
      </c>
      <c r="E351" s="369">
        <v>4</v>
      </c>
      <c r="F351" s="369">
        <v>4</v>
      </c>
      <c r="G351" s="369">
        <v>4</v>
      </c>
      <c r="H351" s="240">
        <f>SUM(Tabla1321124[[#This Row],[PRIMER TRIMESTRE]:[CUARTO TRIMESTRE]])</f>
        <v>16</v>
      </c>
      <c r="I351" s="17">
        <v>178</v>
      </c>
      <c r="J351" s="17">
        <f>+Tabla1321124[[#This Row],[CANTIDAD TOTAL]]*Tabla1321124[[#This Row],[PRECIO UNITARIO ESTIMADO]]</f>
        <v>2848</v>
      </c>
      <c r="K351" s="175"/>
      <c r="L351" s="16" t="s">
        <v>18</v>
      </c>
      <c r="M351" s="16" t="s">
        <v>22</v>
      </c>
      <c r="N351" s="16"/>
      <c r="O351" s="243"/>
      <c r="P351" s="243"/>
      <c r="Q351" s="243"/>
      <c r="R351" s="243"/>
      <c r="S351" s="243"/>
      <c r="T351" s="243"/>
      <c r="U351" s="243"/>
      <c r="V351" s="243"/>
      <c r="W351" s="243"/>
      <c r="X351" s="243"/>
      <c r="Y351" s="243"/>
      <c r="Z351" s="243"/>
      <c r="AA351" s="243"/>
      <c r="AB351" s="243"/>
      <c r="AC351" s="243"/>
      <c r="AD351" s="243"/>
      <c r="AE351" s="243"/>
      <c r="AF351" s="243"/>
      <c r="AG351" s="243"/>
      <c r="AH351" s="243"/>
      <c r="AI351" s="243"/>
      <c r="AJ351" s="243"/>
      <c r="AK351" s="243"/>
      <c r="AL351" s="243"/>
      <c r="AM351" s="243"/>
      <c r="AN351" s="243"/>
      <c r="AO351" s="243"/>
      <c r="AP351" s="243"/>
      <c r="AQ351" s="243"/>
      <c r="AR351" s="243"/>
      <c r="AS351" s="243"/>
      <c r="AT351" s="243"/>
      <c r="AU351" s="243"/>
      <c r="AV351" s="243"/>
      <c r="AW351" s="243"/>
      <c r="AX351" s="243"/>
      <c r="AY351" s="243"/>
      <c r="AZ351" s="243"/>
      <c r="BA351" s="243"/>
      <c r="BB351" s="243"/>
      <c r="BC351" s="243"/>
      <c r="BD351" s="243"/>
      <c r="BE351" s="243"/>
      <c r="BF351" s="243"/>
      <c r="BG351" s="243"/>
      <c r="BH351" s="243"/>
      <c r="BI351" s="243"/>
      <c r="BJ351" s="243"/>
      <c r="BK351" s="243"/>
      <c r="BL351" s="243"/>
      <c r="BM351" s="243"/>
      <c r="BN351" s="243"/>
      <c r="BO351" s="243"/>
      <c r="BP351" s="243"/>
      <c r="BQ351" s="243"/>
      <c r="BR351" s="243"/>
      <c r="BS351" s="243"/>
    </row>
    <row r="352" spans="1:71" s="12" customFormat="1" ht="41.25" customHeight="1">
      <c r="A352" s="178" t="s">
        <v>80</v>
      </c>
      <c r="B352" s="178" t="str">
        <f ca="1">+UPPER(Tabla1321124[[#This Row],[DESCRIPCIÓN DE LA COMPRA O CONTRATACIÓN]])</f>
        <v>LLAVE PASO DE ¾” PVC</v>
      </c>
      <c r="C352" s="39" t="s">
        <v>17</v>
      </c>
      <c r="D352" s="368">
        <v>4</v>
      </c>
      <c r="E352" s="369">
        <v>4</v>
      </c>
      <c r="F352" s="369">
        <v>4</v>
      </c>
      <c r="G352" s="369">
        <v>4</v>
      </c>
      <c r="H352" s="240">
        <f>SUM(Tabla1321124[[#This Row],[PRIMER TRIMESTRE]:[CUARTO TRIMESTRE]])</f>
        <v>16</v>
      </c>
      <c r="I352" s="17">
        <v>190</v>
      </c>
      <c r="J352" s="17">
        <f>+Tabla1321124[[#This Row],[CANTIDAD TOTAL]]*Tabla1321124[[#This Row],[PRECIO UNITARIO ESTIMADO]]</f>
        <v>3040</v>
      </c>
      <c r="K352" s="175"/>
      <c r="L352" s="16" t="s">
        <v>18</v>
      </c>
      <c r="M352" s="16" t="s">
        <v>22</v>
      </c>
      <c r="N352" s="16"/>
      <c r="O352" s="243"/>
      <c r="P352" s="243"/>
      <c r="Q352" s="243"/>
      <c r="R352" s="243"/>
      <c r="S352" s="243"/>
      <c r="T352" s="243"/>
      <c r="U352" s="243"/>
      <c r="V352" s="243"/>
      <c r="W352" s="243"/>
      <c r="X352" s="243"/>
      <c r="Y352" s="243"/>
      <c r="Z352" s="243"/>
      <c r="AA352" s="243"/>
      <c r="AB352" s="243"/>
      <c r="AC352" s="243"/>
      <c r="AD352" s="243"/>
      <c r="AE352" s="243"/>
      <c r="AF352" s="243"/>
      <c r="AG352" s="243"/>
      <c r="AH352" s="243"/>
      <c r="AI352" s="243"/>
      <c r="AJ352" s="243"/>
      <c r="AK352" s="243"/>
      <c r="AL352" s="243"/>
      <c r="AM352" s="243"/>
      <c r="AN352" s="243"/>
      <c r="AO352" s="243"/>
      <c r="AP352" s="243"/>
      <c r="AQ352" s="243"/>
      <c r="AR352" s="243"/>
      <c r="AS352" s="243"/>
      <c r="AT352" s="243"/>
      <c r="AU352" s="243"/>
      <c r="AV352" s="243"/>
      <c r="AW352" s="243"/>
      <c r="AX352" s="243"/>
      <c r="AY352" s="243"/>
      <c r="AZ352" s="243"/>
      <c r="BA352" s="243"/>
      <c r="BB352" s="243"/>
      <c r="BC352" s="243"/>
      <c r="BD352" s="243"/>
      <c r="BE352" s="243"/>
      <c r="BF352" s="243"/>
      <c r="BG352" s="243"/>
      <c r="BH352" s="243"/>
      <c r="BI352" s="243"/>
      <c r="BJ352" s="243"/>
      <c r="BK352" s="243"/>
      <c r="BL352" s="243"/>
      <c r="BM352" s="243"/>
      <c r="BN352" s="243"/>
      <c r="BO352" s="243"/>
      <c r="BP352" s="243"/>
      <c r="BQ352" s="243"/>
      <c r="BR352" s="243"/>
      <c r="BS352" s="243"/>
    </row>
    <row r="353" spans="1:71" s="12" customFormat="1" ht="41.25" customHeight="1">
      <c r="A353" s="178" t="s">
        <v>80</v>
      </c>
      <c r="B353" s="178" t="str">
        <f ca="1">+UPPER(Tabla1321124[[#This Row],[DESCRIPCIÓN DE LA COMPRA O CONTRATACIÓN]])</f>
        <v>CLAMP 2" X ½” DE ACERO</v>
      </c>
      <c r="C353" s="39" t="s">
        <v>69</v>
      </c>
      <c r="D353" s="368">
        <v>10</v>
      </c>
      <c r="E353" s="374">
        <v>4</v>
      </c>
      <c r="F353" s="369">
        <v>4</v>
      </c>
      <c r="G353" s="369">
        <v>4</v>
      </c>
      <c r="H353" s="240">
        <f>SUM(Tabla1321124[[#This Row],[PRIMER TRIMESTRE]:[CUARTO TRIMESTRE]])</f>
        <v>22</v>
      </c>
      <c r="I353" s="17">
        <v>850</v>
      </c>
      <c r="J353" s="17">
        <f>+Tabla1321124[[#This Row],[CANTIDAD TOTAL]]*Tabla1321124[[#This Row],[PRECIO UNITARIO ESTIMADO]]</f>
        <v>18700</v>
      </c>
      <c r="K353" s="175"/>
      <c r="L353" s="16" t="s">
        <v>18</v>
      </c>
      <c r="M353" s="16" t="s">
        <v>22</v>
      </c>
      <c r="N353" s="16"/>
      <c r="O353" s="243"/>
      <c r="P353" s="243"/>
      <c r="Q353" s="243"/>
      <c r="R353" s="243"/>
      <c r="S353" s="243"/>
      <c r="T353" s="243"/>
      <c r="U353" s="243"/>
      <c r="V353" s="243"/>
      <c r="W353" s="243"/>
      <c r="X353" s="243"/>
      <c r="Y353" s="243"/>
      <c r="Z353" s="243"/>
      <c r="AA353" s="243"/>
      <c r="AB353" s="243"/>
      <c r="AC353" s="243"/>
      <c r="AD353" s="243"/>
      <c r="AE353" s="243"/>
      <c r="AF353" s="243"/>
      <c r="AG353" s="243"/>
      <c r="AH353" s="243"/>
      <c r="AI353" s="243"/>
      <c r="AJ353" s="243"/>
      <c r="AK353" s="243"/>
      <c r="AL353" s="243"/>
      <c r="AM353" s="243"/>
      <c r="AN353" s="243"/>
      <c r="AO353" s="243"/>
      <c r="AP353" s="243"/>
      <c r="AQ353" s="243"/>
      <c r="AR353" s="243"/>
      <c r="AS353" s="243"/>
      <c r="AT353" s="243"/>
      <c r="AU353" s="243"/>
      <c r="AV353" s="243"/>
      <c r="AW353" s="243"/>
      <c r="AX353" s="243"/>
      <c r="AY353" s="243"/>
      <c r="AZ353" s="243"/>
      <c r="BA353" s="243"/>
      <c r="BB353" s="243"/>
      <c r="BC353" s="243"/>
      <c r="BD353" s="243"/>
      <c r="BE353" s="243"/>
      <c r="BF353" s="243"/>
      <c r="BG353" s="243"/>
      <c r="BH353" s="243"/>
      <c r="BI353" s="243"/>
      <c r="BJ353" s="243"/>
      <c r="BK353" s="243"/>
      <c r="BL353" s="243"/>
      <c r="BM353" s="243"/>
      <c r="BN353" s="243"/>
      <c r="BO353" s="243"/>
      <c r="BP353" s="243"/>
      <c r="BQ353" s="243"/>
      <c r="BR353" s="243"/>
      <c r="BS353" s="243"/>
    </row>
    <row r="354" spans="1:71" s="12" customFormat="1" ht="41.25" customHeight="1">
      <c r="A354" s="178" t="s">
        <v>80</v>
      </c>
      <c r="B354" s="178" t="str">
        <f ca="1">+UPPER(Tabla1321124[[#This Row],[DESCRIPCIÓN DE LA COMPRA O CONTRATACIÓN]])</f>
        <v>CLAMP 2" X ¾” DE ACERO</v>
      </c>
      <c r="C354" s="39" t="s">
        <v>69</v>
      </c>
      <c r="D354" s="368">
        <v>10</v>
      </c>
      <c r="E354" s="374">
        <v>4</v>
      </c>
      <c r="F354" s="374">
        <v>4</v>
      </c>
      <c r="G354" s="374">
        <v>4</v>
      </c>
      <c r="H354" s="240">
        <f>SUM(Tabla1321124[[#This Row],[PRIMER TRIMESTRE]:[CUARTO TRIMESTRE]])</f>
        <v>22</v>
      </c>
      <c r="I354" s="17">
        <v>825</v>
      </c>
      <c r="J354" s="17">
        <f>+Tabla1321124[[#This Row],[CANTIDAD TOTAL]]*Tabla1321124[[#This Row],[PRECIO UNITARIO ESTIMADO]]</f>
        <v>18150</v>
      </c>
      <c r="K354" s="175"/>
      <c r="L354" s="16" t="s">
        <v>18</v>
      </c>
      <c r="M354" s="16" t="s">
        <v>22</v>
      </c>
      <c r="N354" s="16"/>
      <c r="O354" s="243"/>
      <c r="P354" s="243"/>
      <c r="Q354" s="243"/>
      <c r="R354" s="243"/>
      <c r="S354" s="243"/>
      <c r="T354" s="243"/>
      <c r="U354" s="243"/>
      <c r="V354" s="243"/>
      <c r="W354" s="243"/>
      <c r="X354" s="243"/>
      <c r="Y354" s="243"/>
      <c r="Z354" s="243"/>
      <c r="AA354" s="243"/>
      <c r="AB354" s="243"/>
      <c r="AC354" s="243"/>
      <c r="AD354" s="243"/>
      <c r="AE354" s="243"/>
      <c r="AF354" s="243"/>
      <c r="AG354" s="243"/>
      <c r="AH354" s="243"/>
      <c r="AI354" s="243"/>
      <c r="AJ354" s="243"/>
      <c r="AK354" s="243"/>
      <c r="AL354" s="243"/>
      <c r="AM354" s="243"/>
      <c r="AN354" s="243"/>
      <c r="AO354" s="243"/>
      <c r="AP354" s="243"/>
      <c r="AQ354" s="243"/>
      <c r="AR354" s="243"/>
      <c r="AS354" s="243"/>
      <c r="AT354" s="243"/>
      <c r="AU354" s="243"/>
      <c r="AV354" s="243"/>
      <c r="AW354" s="243"/>
      <c r="AX354" s="243"/>
      <c r="AY354" s="243"/>
      <c r="AZ354" s="243"/>
      <c r="BA354" s="243"/>
      <c r="BB354" s="243"/>
      <c r="BC354" s="243"/>
      <c r="BD354" s="243"/>
      <c r="BE354" s="243"/>
      <c r="BF354" s="243"/>
      <c r="BG354" s="243"/>
      <c r="BH354" s="243"/>
      <c r="BI354" s="243"/>
      <c r="BJ354" s="243"/>
      <c r="BK354" s="243"/>
      <c r="BL354" s="243"/>
      <c r="BM354" s="243"/>
      <c r="BN354" s="243"/>
      <c r="BO354" s="243"/>
      <c r="BP354" s="243"/>
      <c r="BQ354" s="243"/>
      <c r="BR354" s="243"/>
      <c r="BS354" s="243"/>
    </row>
    <row r="355" spans="1:71" s="12" customFormat="1" ht="41.25" customHeight="1">
      <c r="A355" s="178" t="s">
        <v>80</v>
      </c>
      <c r="B355" s="178" t="str">
        <f ca="1">+UPPER(Tabla1321124[[#This Row],[DESCRIPCIÓN DE LA COMPRA O CONTRATACIÓN]])</f>
        <v>CLAMP DE 3" X ¾” DE ACERO</v>
      </c>
      <c r="C355" s="39" t="s">
        <v>69</v>
      </c>
      <c r="D355" s="368">
        <v>10</v>
      </c>
      <c r="E355" s="374">
        <v>4</v>
      </c>
      <c r="F355" s="374">
        <v>4</v>
      </c>
      <c r="G355" s="374">
        <v>4</v>
      </c>
      <c r="H355" s="240">
        <f>SUM(Tabla1321124[[#This Row],[PRIMER TRIMESTRE]:[CUARTO TRIMESTRE]])</f>
        <v>22</v>
      </c>
      <c r="I355" s="17">
        <v>850</v>
      </c>
      <c r="J355" s="17">
        <f>+Tabla1321124[[#This Row],[CANTIDAD TOTAL]]*Tabla1321124[[#This Row],[PRECIO UNITARIO ESTIMADO]]</f>
        <v>18700</v>
      </c>
      <c r="K355" s="175"/>
      <c r="L355" s="16" t="s">
        <v>18</v>
      </c>
      <c r="M355" s="16" t="s">
        <v>22</v>
      </c>
      <c r="N355" s="16"/>
      <c r="O355" s="243"/>
      <c r="P355" s="243"/>
      <c r="Q355" s="243"/>
      <c r="R355" s="243"/>
      <c r="S355" s="243"/>
      <c r="T355" s="243"/>
      <c r="U355" s="243"/>
      <c r="V355" s="243"/>
      <c r="W355" s="243"/>
      <c r="X355" s="243"/>
      <c r="Y355" s="243"/>
      <c r="Z355" s="243"/>
      <c r="AA355" s="243"/>
      <c r="AB355" s="243"/>
      <c r="AC355" s="243"/>
      <c r="AD355" s="243"/>
      <c r="AE355" s="243"/>
      <c r="AF355" s="243"/>
      <c r="AG355" s="243"/>
      <c r="AH355" s="243"/>
      <c r="AI355" s="243"/>
      <c r="AJ355" s="243"/>
      <c r="AK355" s="243"/>
      <c r="AL355" s="243"/>
      <c r="AM355" s="243"/>
      <c r="AN355" s="243"/>
      <c r="AO355" s="243"/>
      <c r="AP355" s="243"/>
      <c r="AQ355" s="243"/>
      <c r="AR355" s="243"/>
      <c r="AS355" s="243"/>
      <c r="AT355" s="243"/>
      <c r="AU355" s="243"/>
      <c r="AV355" s="243"/>
      <c r="AW355" s="243"/>
      <c r="AX355" s="243"/>
      <c r="AY355" s="243"/>
      <c r="AZ355" s="243"/>
      <c r="BA355" s="243"/>
      <c r="BB355" s="243"/>
      <c r="BC355" s="243"/>
      <c r="BD355" s="243"/>
      <c r="BE355" s="243"/>
      <c r="BF355" s="243"/>
      <c r="BG355" s="243"/>
      <c r="BH355" s="243"/>
      <c r="BI355" s="243"/>
      <c r="BJ355" s="243"/>
      <c r="BK355" s="243"/>
      <c r="BL355" s="243"/>
      <c r="BM355" s="243"/>
      <c r="BN355" s="243"/>
      <c r="BO355" s="243"/>
      <c r="BP355" s="243"/>
      <c r="BQ355" s="243"/>
      <c r="BR355" s="243"/>
      <c r="BS355" s="243"/>
    </row>
    <row r="356" spans="1:71" s="12" customFormat="1" ht="41.25" customHeight="1">
      <c r="A356" s="178" t="s">
        <v>80</v>
      </c>
      <c r="B356" s="178" t="str">
        <f ca="1">+UPPER(Tabla1321124[[#This Row],[DESCRIPCIÓN DE LA COMPRA O CONTRATACIÓN]])</f>
        <v>CLAN DE 4" X ¾” DE ACERO</v>
      </c>
      <c r="C356" s="39" t="s">
        <v>69</v>
      </c>
      <c r="D356" s="368">
        <v>10</v>
      </c>
      <c r="E356" s="374">
        <v>4</v>
      </c>
      <c r="F356" s="374">
        <v>4</v>
      </c>
      <c r="G356" s="374">
        <v>4</v>
      </c>
      <c r="H356" s="240">
        <f>SUM(Tabla1321124[[#This Row],[PRIMER TRIMESTRE]:[CUARTO TRIMESTRE]])</f>
        <v>22</v>
      </c>
      <c r="I356" s="17">
        <v>825</v>
      </c>
      <c r="J356" s="17">
        <f>+Tabla1321124[[#This Row],[CANTIDAD TOTAL]]*Tabla1321124[[#This Row],[PRECIO UNITARIO ESTIMADO]]</f>
        <v>18150</v>
      </c>
      <c r="K356" s="175"/>
      <c r="L356" s="16" t="s">
        <v>18</v>
      </c>
      <c r="M356" s="16" t="s">
        <v>22</v>
      </c>
      <c r="N356" s="16"/>
      <c r="O356" s="243"/>
      <c r="P356" s="243"/>
      <c r="Q356" s="243"/>
      <c r="R356" s="243"/>
      <c r="S356" s="243"/>
      <c r="T356" s="243"/>
      <c r="U356" s="243"/>
      <c r="V356" s="243"/>
      <c r="W356" s="243"/>
      <c r="X356" s="243"/>
      <c r="Y356" s="243"/>
      <c r="Z356" s="243"/>
      <c r="AA356" s="243"/>
      <c r="AB356" s="243"/>
      <c r="AC356" s="243"/>
      <c r="AD356" s="243"/>
      <c r="AE356" s="243"/>
      <c r="AF356" s="243"/>
      <c r="AG356" s="243"/>
      <c r="AH356" s="243"/>
      <c r="AI356" s="243"/>
      <c r="AJ356" s="243"/>
      <c r="AK356" s="243"/>
      <c r="AL356" s="243"/>
      <c r="AM356" s="243"/>
      <c r="AN356" s="243"/>
      <c r="AO356" s="243"/>
      <c r="AP356" s="243"/>
      <c r="AQ356" s="243"/>
      <c r="AR356" s="243"/>
      <c r="AS356" s="243"/>
      <c r="AT356" s="243"/>
      <c r="AU356" s="243"/>
      <c r="AV356" s="243"/>
      <c r="AW356" s="243"/>
      <c r="AX356" s="243"/>
      <c r="AY356" s="243"/>
      <c r="AZ356" s="243"/>
      <c r="BA356" s="243"/>
      <c r="BB356" s="243"/>
      <c r="BC356" s="243"/>
      <c r="BD356" s="243"/>
      <c r="BE356" s="243"/>
      <c r="BF356" s="243"/>
      <c r="BG356" s="243"/>
      <c r="BH356" s="243"/>
      <c r="BI356" s="243"/>
      <c r="BJ356" s="243"/>
      <c r="BK356" s="243"/>
      <c r="BL356" s="243"/>
      <c r="BM356" s="243"/>
      <c r="BN356" s="243"/>
      <c r="BO356" s="243"/>
      <c r="BP356" s="243"/>
      <c r="BQ356" s="243"/>
      <c r="BR356" s="243"/>
      <c r="BS356" s="243"/>
    </row>
    <row r="357" spans="1:71" s="12" customFormat="1" ht="41.25" customHeight="1">
      <c r="A357" s="178" t="s">
        <v>80</v>
      </c>
      <c r="B357" s="178" t="str">
        <f ca="1">+UPPER(Tabla1321124[[#This Row],[DESCRIPCIÓN DE LA COMPRA O CONTRATACIÓN]])</f>
        <v>CLAMPS DE 6" ACERO</v>
      </c>
      <c r="C357" s="39" t="s">
        <v>17</v>
      </c>
      <c r="D357" s="362">
        <v>5</v>
      </c>
      <c r="E357" s="362"/>
      <c r="F357" s="362">
        <v>5</v>
      </c>
      <c r="G357" s="362"/>
      <c r="H357" s="240">
        <f>SUM(Tabla1321124[[#This Row],[PRIMER TRIMESTRE]:[CUARTO TRIMESTRE]])</f>
        <v>10</v>
      </c>
      <c r="I357" s="17">
        <v>825</v>
      </c>
      <c r="J357" s="17">
        <f>+Tabla1321124[[#This Row],[CANTIDAD TOTAL]]*Tabla1321124[[#This Row],[PRECIO UNITARIO ESTIMADO]]</f>
        <v>8250</v>
      </c>
      <c r="K357" s="175"/>
      <c r="L357" s="16" t="s">
        <v>18</v>
      </c>
      <c r="M357" s="16" t="s">
        <v>22</v>
      </c>
      <c r="N357" s="16"/>
      <c r="O357" s="243"/>
      <c r="P357" s="243"/>
      <c r="Q357" s="243"/>
      <c r="R357" s="243"/>
      <c r="S357" s="243"/>
      <c r="T357" s="243"/>
      <c r="U357" s="243"/>
      <c r="V357" s="243"/>
      <c r="W357" s="243"/>
      <c r="X357" s="243"/>
      <c r="Y357" s="243"/>
      <c r="Z357" s="243"/>
      <c r="AA357" s="243"/>
      <c r="AB357" s="243"/>
      <c r="AC357" s="243"/>
      <c r="AD357" s="243"/>
      <c r="AE357" s="243"/>
      <c r="AF357" s="243"/>
      <c r="AG357" s="243"/>
      <c r="AH357" s="243"/>
      <c r="AI357" s="243"/>
      <c r="AJ357" s="243"/>
      <c r="AK357" s="243"/>
      <c r="AL357" s="243"/>
      <c r="AM357" s="243"/>
      <c r="AN357" s="243"/>
      <c r="AO357" s="243"/>
      <c r="AP357" s="243"/>
      <c r="AQ357" s="243"/>
      <c r="AR357" s="243"/>
      <c r="AS357" s="243"/>
      <c r="AT357" s="243"/>
      <c r="AU357" s="243"/>
      <c r="AV357" s="243"/>
      <c r="AW357" s="243"/>
      <c r="AX357" s="243"/>
      <c r="AY357" s="243"/>
      <c r="AZ357" s="243"/>
      <c r="BA357" s="243"/>
      <c r="BB357" s="243"/>
      <c r="BC357" s="243"/>
      <c r="BD357" s="243"/>
      <c r="BE357" s="243"/>
      <c r="BF357" s="243"/>
      <c r="BG357" s="243"/>
      <c r="BH357" s="243"/>
      <c r="BI357" s="243"/>
      <c r="BJ357" s="243"/>
      <c r="BK357" s="243"/>
      <c r="BL357" s="243"/>
      <c r="BM357" s="243"/>
      <c r="BN357" s="243"/>
      <c r="BO357" s="243"/>
      <c r="BP357" s="243"/>
      <c r="BQ357" s="243"/>
      <c r="BR357" s="243"/>
      <c r="BS357" s="243"/>
    </row>
    <row r="358" spans="1:71" s="12" customFormat="1" ht="41.25" customHeight="1">
      <c r="A358" s="178" t="s">
        <v>80</v>
      </c>
      <c r="B358" s="178" t="str">
        <f ca="1">+UPPER(Tabla1321124[[#This Row],[DESCRIPCIÓN DE LA COMPRA O CONTRATACIÓN]])</f>
        <v>CLAMPS DE 8" ACERO</v>
      </c>
      <c r="C358" s="39" t="s">
        <v>17</v>
      </c>
      <c r="D358" s="362">
        <v>5</v>
      </c>
      <c r="E358" s="362"/>
      <c r="F358" s="362">
        <v>5</v>
      </c>
      <c r="G358" s="362"/>
      <c r="H358" s="240">
        <f>SUM(Tabla1321124[[#This Row],[PRIMER TRIMESTRE]:[CUARTO TRIMESTRE]])</f>
        <v>10</v>
      </c>
      <c r="I358" s="17">
        <v>850</v>
      </c>
      <c r="J358" s="17">
        <f>+Tabla1321124[[#This Row],[CANTIDAD TOTAL]]*Tabla1321124[[#This Row],[PRECIO UNITARIO ESTIMADO]]</f>
        <v>8500</v>
      </c>
      <c r="K358" s="175"/>
      <c r="L358" s="16" t="s">
        <v>18</v>
      </c>
      <c r="M358" s="16" t="s">
        <v>22</v>
      </c>
      <c r="N358" s="16"/>
      <c r="O358" s="243"/>
      <c r="P358" s="243"/>
      <c r="Q358" s="243"/>
      <c r="R358" s="243"/>
      <c r="S358" s="243"/>
      <c r="T358" s="243"/>
      <c r="U358" s="243"/>
      <c r="V358" s="243"/>
      <c r="W358" s="243"/>
      <c r="X358" s="243"/>
      <c r="Y358" s="243"/>
      <c r="Z358" s="243"/>
      <c r="AA358" s="243"/>
      <c r="AB358" s="243"/>
      <c r="AC358" s="243"/>
      <c r="AD358" s="243"/>
      <c r="AE358" s="243"/>
      <c r="AF358" s="243"/>
      <c r="AG358" s="243"/>
      <c r="AH358" s="243"/>
      <c r="AI358" s="243"/>
      <c r="AJ358" s="243"/>
      <c r="AK358" s="243"/>
      <c r="AL358" s="243"/>
      <c r="AM358" s="243"/>
      <c r="AN358" s="243"/>
      <c r="AO358" s="243"/>
      <c r="AP358" s="243"/>
      <c r="AQ358" s="243"/>
      <c r="AR358" s="243"/>
      <c r="AS358" s="243"/>
      <c r="AT358" s="243"/>
      <c r="AU358" s="243"/>
      <c r="AV358" s="243"/>
      <c r="AW358" s="243"/>
      <c r="AX358" s="243"/>
      <c r="AY358" s="243"/>
      <c r="AZ358" s="243"/>
      <c r="BA358" s="243"/>
      <c r="BB358" s="243"/>
      <c r="BC358" s="243"/>
      <c r="BD358" s="243"/>
      <c r="BE358" s="243"/>
      <c r="BF358" s="243"/>
      <c r="BG358" s="243"/>
      <c r="BH358" s="243"/>
      <c r="BI358" s="243"/>
      <c r="BJ358" s="243"/>
      <c r="BK358" s="243"/>
      <c r="BL358" s="243"/>
      <c r="BM358" s="243"/>
      <c r="BN358" s="243"/>
      <c r="BO358" s="243"/>
      <c r="BP358" s="243"/>
      <c r="BQ358" s="243"/>
      <c r="BR358" s="243"/>
      <c r="BS358" s="243"/>
    </row>
    <row r="359" spans="1:71" s="12" customFormat="1" ht="41.25" customHeight="1">
      <c r="A359" s="178" t="s">
        <v>80</v>
      </c>
      <c r="B359" s="178" t="str">
        <f ca="1">+UPPER(Tabla1321124[[#This Row],[DESCRIPCIÓN DE LA COMPRA O CONTRATACIÓN]])</f>
        <v>CLAMPS DE 12 ACERO</v>
      </c>
      <c r="C359" s="39" t="s">
        <v>17</v>
      </c>
      <c r="D359" s="362">
        <v>6</v>
      </c>
      <c r="E359" s="362"/>
      <c r="F359" s="362">
        <v>6</v>
      </c>
      <c r="G359" s="362"/>
      <c r="H359" s="240">
        <f>SUM(Tabla1321124[[#This Row],[PRIMER TRIMESTRE]:[CUARTO TRIMESTRE]])</f>
        <v>12</v>
      </c>
      <c r="I359" s="17">
        <v>850</v>
      </c>
      <c r="J359" s="17">
        <f>+Tabla1321124[[#This Row],[CANTIDAD TOTAL]]*Tabla1321124[[#This Row],[PRECIO UNITARIO ESTIMADO]]</f>
        <v>10200</v>
      </c>
      <c r="K359" s="175"/>
      <c r="L359" s="16" t="s">
        <v>18</v>
      </c>
      <c r="M359" s="16" t="s">
        <v>22</v>
      </c>
      <c r="N359" s="16"/>
      <c r="O359" s="243"/>
      <c r="P359" s="243"/>
      <c r="Q359" s="243"/>
      <c r="R359" s="243"/>
      <c r="S359" s="243"/>
      <c r="T359" s="243"/>
      <c r="U359" s="243"/>
      <c r="V359" s="243"/>
      <c r="W359" s="243"/>
      <c r="X359" s="243"/>
      <c r="Y359" s="243"/>
      <c r="Z359" s="243"/>
      <c r="AA359" s="243"/>
      <c r="AB359" s="243"/>
      <c r="AC359" s="243"/>
      <c r="AD359" s="243"/>
      <c r="AE359" s="243"/>
      <c r="AF359" s="243"/>
      <c r="AG359" s="243"/>
      <c r="AH359" s="243"/>
      <c r="AI359" s="243"/>
      <c r="AJ359" s="243"/>
      <c r="AK359" s="243"/>
      <c r="AL359" s="243"/>
      <c r="AM359" s="243"/>
      <c r="AN359" s="243"/>
      <c r="AO359" s="243"/>
      <c r="AP359" s="243"/>
      <c r="AQ359" s="243"/>
      <c r="AR359" s="243"/>
      <c r="AS359" s="243"/>
      <c r="AT359" s="243"/>
      <c r="AU359" s="243"/>
      <c r="AV359" s="243"/>
      <c r="AW359" s="243"/>
      <c r="AX359" s="243"/>
      <c r="AY359" s="243"/>
      <c r="AZ359" s="243"/>
      <c r="BA359" s="243"/>
      <c r="BB359" s="243"/>
      <c r="BC359" s="243"/>
      <c r="BD359" s="243"/>
      <c r="BE359" s="243"/>
      <c r="BF359" s="243"/>
      <c r="BG359" s="243"/>
      <c r="BH359" s="243"/>
      <c r="BI359" s="243"/>
      <c r="BJ359" s="243"/>
      <c r="BK359" s="243"/>
      <c r="BL359" s="243"/>
      <c r="BM359" s="243"/>
      <c r="BN359" s="243"/>
      <c r="BO359" s="243"/>
      <c r="BP359" s="243"/>
      <c r="BQ359" s="243"/>
      <c r="BR359" s="243"/>
      <c r="BS359" s="243"/>
    </row>
    <row r="360" spans="1:71" s="12" customFormat="1" ht="41.25" customHeight="1">
      <c r="A360" s="178" t="s">
        <v>80</v>
      </c>
      <c r="B360" s="178" t="str">
        <f ca="1">+UPPER(Tabla1321124[[#This Row],[DESCRIPCIÓN DE LA COMPRA O CONTRATACIÓN]])</f>
        <v>CLAMPS DE 2 PVC</v>
      </c>
      <c r="C360" s="39" t="s">
        <v>17</v>
      </c>
      <c r="D360" s="362">
        <v>80</v>
      </c>
      <c r="E360" s="362"/>
      <c r="F360" s="362">
        <v>80</v>
      </c>
      <c r="G360" s="362"/>
      <c r="H360" s="240">
        <f>SUM(Tabla1321124[[#This Row],[PRIMER TRIMESTRE]:[CUARTO TRIMESTRE]])</f>
        <v>160</v>
      </c>
      <c r="I360" s="17">
        <v>850</v>
      </c>
      <c r="J360" s="17">
        <f>+Tabla1321124[[#This Row],[CANTIDAD TOTAL]]*Tabla1321124[[#This Row],[PRECIO UNITARIO ESTIMADO]]</f>
        <v>136000</v>
      </c>
      <c r="K360" s="175"/>
      <c r="L360" s="16" t="s">
        <v>18</v>
      </c>
      <c r="M360" s="16" t="s">
        <v>22</v>
      </c>
      <c r="N360" s="16"/>
      <c r="O360" s="243"/>
      <c r="P360" s="243"/>
      <c r="Q360" s="243"/>
      <c r="R360" s="243"/>
      <c r="S360" s="243"/>
      <c r="T360" s="243"/>
      <c r="U360" s="243"/>
      <c r="V360" s="243"/>
      <c r="W360" s="243"/>
      <c r="X360" s="243"/>
      <c r="Y360" s="243"/>
      <c r="Z360" s="243"/>
      <c r="AA360" s="243"/>
      <c r="AB360" s="243"/>
      <c r="AC360" s="243"/>
      <c r="AD360" s="243"/>
      <c r="AE360" s="243"/>
      <c r="AF360" s="243"/>
      <c r="AG360" s="243"/>
      <c r="AH360" s="243"/>
      <c r="AI360" s="243"/>
      <c r="AJ360" s="243"/>
      <c r="AK360" s="243"/>
      <c r="AL360" s="243"/>
      <c r="AM360" s="243"/>
      <c r="AN360" s="243"/>
      <c r="AO360" s="243"/>
      <c r="AP360" s="243"/>
      <c r="AQ360" s="243"/>
      <c r="AR360" s="243"/>
      <c r="AS360" s="243"/>
      <c r="AT360" s="243"/>
      <c r="AU360" s="243"/>
      <c r="AV360" s="243"/>
      <c r="AW360" s="243"/>
      <c r="AX360" s="243"/>
      <c r="AY360" s="243"/>
      <c r="AZ360" s="243"/>
      <c r="BA360" s="243"/>
      <c r="BB360" s="243"/>
      <c r="BC360" s="243"/>
      <c r="BD360" s="243"/>
      <c r="BE360" s="243"/>
      <c r="BF360" s="243"/>
      <c r="BG360" s="243"/>
      <c r="BH360" s="243"/>
      <c r="BI360" s="243"/>
      <c r="BJ360" s="243"/>
      <c r="BK360" s="243"/>
      <c r="BL360" s="243"/>
      <c r="BM360" s="243"/>
      <c r="BN360" s="243"/>
      <c r="BO360" s="243"/>
      <c r="BP360" s="243"/>
      <c r="BQ360" s="243"/>
      <c r="BR360" s="243"/>
      <c r="BS360" s="243"/>
    </row>
    <row r="361" spans="1:71" s="12" customFormat="1" ht="41.25" customHeight="1">
      <c r="A361" s="178" t="s">
        <v>80</v>
      </c>
      <c r="B361" s="178" t="str">
        <f ca="1">+UPPER(Tabla1321124[[#This Row],[DESCRIPCIÓN DE LA COMPRA O CONTRATACIÓN]])</f>
        <v>CLAMPS DE 3 PVC</v>
      </c>
      <c r="C361" s="39" t="s">
        <v>17</v>
      </c>
      <c r="D361" s="362">
        <v>80</v>
      </c>
      <c r="E361" s="362"/>
      <c r="F361" s="362">
        <v>80</v>
      </c>
      <c r="G361" s="362"/>
      <c r="H361" s="240">
        <f>SUM(Tabla1321124[[#This Row],[PRIMER TRIMESTRE]:[CUARTO TRIMESTRE]])</f>
        <v>160</v>
      </c>
      <c r="I361" s="17">
        <v>875</v>
      </c>
      <c r="J361" s="17">
        <f>+Tabla1321124[[#This Row],[CANTIDAD TOTAL]]*Tabla1321124[[#This Row],[PRECIO UNITARIO ESTIMADO]]</f>
        <v>140000</v>
      </c>
      <c r="K361" s="175"/>
      <c r="L361" s="16" t="s">
        <v>18</v>
      </c>
      <c r="M361" s="16" t="s">
        <v>22</v>
      </c>
      <c r="N361" s="16"/>
      <c r="O361" s="243"/>
      <c r="P361" s="243"/>
      <c r="Q361" s="243"/>
      <c r="R361" s="243"/>
      <c r="S361" s="243"/>
      <c r="T361" s="243"/>
      <c r="U361" s="243"/>
      <c r="V361" s="243"/>
      <c r="W361" s="243"/>
      <c r="X361" s="243"/>
      <c r="Y361" s="243"/>
      <c r="Z361" s="243"/>
      <c r="AA361" s="243"/>
      <c r="AB361" s="243"/>
      <c r="AC361" s="243"/>
      <c r="AD361" s="243"/>
      <c r="AE361" s="243"/>
      <c r="AF361" s="243"/>
      <c r="AG361" s="243"/>
      <c r="AH361" s="243"/>
      <c r="AI361" s="243"/>
      <c r="AJ361" s="243"/>
      <c r="AK361" s="243"/>
      <c r="AL361" s="243"/>
      <c r="AM361" s="243"/>
      <c r="AN361" s="243"/>
      <c r="AO361" s="243"/>
      <c r="AP361" s="243"/>
      <c r="AQ361" s="243"/>
      <c r="AR361" s="243"/>
      <c r="AS361" s="243"/>
      <c r="AT361" s="243"/>
      <c r="AU361" s="243"/>
      <c r="AV361" s="243"/>
      <c r="AW361" s="243"/>
      <c r="AX361" s="243"/>
      <c r="AY361" s="243"/>
      <c r="AZ361" s="243"/>
      <c r="BA361" s="243"/>
      <c r="BB361" s="243"/>
      <c r="BC361" s="243"/>
      <c r="BD361" s="243"/>
      <c r="BE361" s="243"/>
      <c r="BF361" s="243"/>
      <c r="BG361" s="243"/>
      <c r="BH361" s="243"/>
      <c r="BI361" s="243"/>
      <c r="BJ361" s="243"/>
      <c r="BK361" s="243"/>
      <c r="BL361" s="243"/>
      <c r="BM361" s="243"/>
      <c r="BN361" s="243"/>
      <c r="BO361" s="243"/>
      <c r="BP361" s="243"/>
      <c r="BQ361" s="243"/>
      <c r="BR361" s="243"/>
      <c r="BS361" s="243"/>
    </row>
    <row r="362" spans="1:71" s="12" customFormat="1" ht="41.25" customHeight="1">
      <c r="A362" s="178" t="s">
        <v>80</v>
      </c>
      <c r="B362" s="178" t="str">
        <f ca="1">+UPPER(Tabla1321124[[#This Row],[DESCRIPCIÓN DE LA COMPRA O CONTRATACIÓN]])</f>
        <v>CLAMPS DE 4 PVC</v>
      </c>
      <c r="C362" s="39" t="s">
        <v>17</v>
      </c>
      <c r="D362" s="362">
        <v>80</v>
      </c>
      <c r="E362" s="362"/>
      <c r="F362" s="362">
        <v>80</v>
      </c>
      <c r="G362" s="362"/>
      <c r="H362" s="240">
        <f>SUM(Tabla1321124[[#This Row],[PRIMER TRIMESTRE]:[CUARTO TRIMESTRE]])</f>
        <v>160</v>
      </c>
      <c r="I362" s="17">
        <v>875</v>
      </c>
      <c r="J362" s="17">
        <f>+Tabla1321124[[#This Row],[CANTIDAD TOTAL]]*Tabla1321124[[#This Row],[PRECIO UNITARIO ESTIMADO]]</f>
        <v>140000</v>
      </c>
      <c r="K362" s="175"/>
      <c r="L362" s="16" t="s">
        <v>18</v>
      </c>
      <c r="M362" s="16" t="s">
        <v>22</v>
      </c>
      <c r="N362" s="16"/>
      <c r="O362" s="243"/>
      <c r="P362" s="243"/>
      <c r="Q362" s="243"/>
      <c r="R362" s="243"/>
      <c r="S362" s="243"/>
      <c r="T362" s="243"/>
      <c r="U362" s="243"/>
      <c r="V362" s="243"/>
      <c r="W362" s="243"/>
      <c r="X362" s="243"/>
      <c r="Y362" s="243"/>
      <c r="Z362" s="243"/>
      <c r="AA362" s="243"/>
      <c r="AB362" s="243"/>
      <c r="AC362" s="243"/>
      <c r="AD362" s="243"/>
      <c r="AE362" s="243"/>
      <c r="AF362" s="243"/>
      <c r="AG362" s="243"/>
      <c r="AH362" s="243"/>
      <c r="AI362" s="243"/>
      <c r="AJ362" s="243"/>
      <c r="AK362" s="243"/>
      <c r="AL362" s="243"/>
      <c r="AM362" s="243"/>
      <c r="AN362" s="243"/>
      <c r="AO362" s="243"/>
      <c r="AP362" s="243"/>
      <c r="AQ362" s="243"/>
      <c r="AR362" s="243"/>
      <c r="AS362" s="243"/>
      <c r="AT362" s="243"/>
      <c r="AU362" s="243"/>
      <c r="AV362" s="243"/>
      <c r="AW362" s="243"/>
      <c r="AX362" s="243"/>
      <c r="AY362" s="243"/>
      <c r="AZ362" s="243"/>
      <c r="BA362" s="243"/>
      <c r="BB362" s="243"/>
      <c r="BC362" s="243"/>
      <c r="BD362" s="243"/>
      <c r="BE362" s="243"/>
      <c r="BF362" s="243"/>
      <c r="BG362" s="243"/>
      <c r="BH362" s="243"/>
      <c r="BI362" s="243"/>
      <c r="BJ362" s="243"/>
      <c r="BK362" s="243"/>
      <c r="BL362" s="243"/>
      <c r="BM362" s="243"/>
      <c r="BN362" s="243"/>
      <c r="BO362" s="243"/>
      <c r="BP362" s="243"/>
      <c r="BQ362" s="243"/>
      <c r="BR362" s="243"/>
      <c r="BS362" s="243"/>
    </row>
    <row r="363" spans="1:71" s="12" customFormat="1" ht="41.25" customHeight="1">
      <c r="A363" s="178" t="s">
        <v>80</v>
      </c>
      <c r="B363" s="178" t="str">
        <f ca="1">+UPPER(Tabla1321124[[#This Row],[DESCRIPCIÓN DE LA COMPRA O CONTRATACIÓN]])</f>
        <v>CLAMPS DE 6 PVC</v>
      </c>
      <c r="C363" s="39" t="s">
        <v>17</v>
      </c>
      <c r="D363" s="362">
        <v>5</v>
      </c>
      <c r="E363" s="362">
        <v>5</v>
      </c>
      <c r="F363" s="362">
        <v>5</v>
      </c>
      <c r="G363" s="362">
        <v>5</v>
      </c>
      <c r="H363" s="240">
        <f>SUM(Tabla1321124[[#This Row],[PRIMER TRIMESTRE]:[CUARTO TRIMESTRE]])</f>
        <v>20</v>
      </c>
      <c r="I363" s="17">
        <v>850</v>
      </c>
      <c r="J363" s="17">
        <f>+Tabla1321124[[#This Row],[CANTIDAD TOTAL]]*Tabla1321124[[#This Row],[PRECIO UNITARIO ESTIMADO]]</f>
        <v>17000</v>
      </c>
      <c r="K363" s="175"/>
      <c r="L363" s="16" t="s">
        <v>18</v>
      </c>
      <c r="M363" s="16" t="s">
        <v>22</v>
      </c>
      <c r="N363" s="16"/>
      <c r="O363" s="243"/>
      <c r="P363" s="243"/>
      <c r="Q363" s="243"/>
      <c r="R363" s="243"/>
      <c r="S363" s="243"/>
      <c r="T363" s="243"/>
      <c r="U363" s="243"/>
      <c r="V363" s="243"/>
      <c r="W363" s="243"/>
      <c r="X363" s="243"/>
      <c r="Y363" s="243"/>
      <c r="Z363" s="243"/>
      <c r="AA363" s="243"/>
      <c r="AB363" s="243"/>
      <c r="AC363" s="243"/>
      <c r="AD363" s="243"/>
      <c r="AE363" s="243"/>
      <c r="AF363" s="243"/>
      <c r="AG363" s="243"/>
      <c r="AH363" s="243"/>
      <c r="AI363" s="243"/>
      <c r="AJ363" s="243"/>
      <c r="AK363" s="243"/>
      <c r="AL363" s="243"/>
      <c r="AM363" s="243"/>
      <c r="AN363" s="243"/>
      <c r="AO363" s="243"/>
      <c r="AP363" s="243"/>
      <c r="AQ363" s="243"/>
      <c r="AR363" s="243"/>
      <c r="AS363" s="243"/>
      <c r="AT363" s="243"/>
      <c r="AU363" s="243"/>
      <c r="AV363" s="243"/>
      <c r="AW363" s="243"/>
      <c r="AX363" s="243"/>
      <c r="AY363" s="243"/>
      <c r="AZ363" s="243"/>
      <c r="BA363" s="243"/>
      <c r="BB363" s="243"/>
      <c r="BC363" s="243"/>
      <c r="BD363" s="243"/>
      <c r="BE363" s="243"/>
      <c r="BF363" s="243"/>
      <c r="BG363" s="243"/>
      <c r="BH363" s="243"/>
      <c r="BI363" s="243"/>
      <c r="BJ363" s="243"/>
      <c r="BK363" s="243"/>
      <c r="BL363" s="243"/>
      <c r="BM363" s="243"/>
      <c r="BN363" s="243"/>
      <c r="BO363" s="243"/>
      <c r="BP363" s="243"/>
      <c r="BQ363" s="243"/>
      <c r="BR363" s="243"/>
      <c r="BS363" s="243"/>
    </row>
    <row r="364" spans="1:71" s="12" customFormat="1" ht="41.25" customHeight="1">
      <c r="A364" s="178" t="s">
        <v>80</v>
      </c>
      <c r="B364" s="178" t="str">
        <f ca="1">+UPPER(Tabla1321124[[#This Row],[DESCRIPCIÓN DE LA COMPRA O CONTRATACIÓN]])</f>
        <v>CLAMPS DE 6" A 1/2" ACERO</v>
      </c>
      <c r="C364" s="39" t="s">
        <v>17</v>
      </c>
      <c r="D364" s="236">
        <f>10+22</f>
        <v>32</v>
      </c>
      <c r="E364" s="210">
        <f>10+12</f>
        <v>22</v>
      </c>
      <c r="F364" s="210">
        <f>10+17</f>
        <v>27</v>
      </c>
      <c r="G364" s="210">
        <f>10+12</f>
        <v>22</v>
      </c>
      <c r="H364" s="240">
        <f>SUM(Tabla1321124[[#This Row],[PRIMER TRIMESTRE]:[CUARTO TRIMESTRE]])</f>
        <v>103</v>
      </c>
      <c r="I364" s="17">
        <v>850</v>
      </c>
      <c r="J364" s="17">
        <f>+Tabla1321124[[#This Row],[CANTIDAD TOTAL]]*Tabla1321124[[#This Row],[PRECIO UNITARIO ESTIMADO]]</f>
        <v>87550</v>
      </c>
      <c r="K364" s="17"/>
      <c r="L364" s="16" t="s">
        <v>18</v>
      </c>
      <c r="M364" s="16" t="s">
        <v>22</v>
      </c>
      <c r="N364" s="16" t="s">
        <v>418</v>
      </c>
      <c r="O364" s="243"/>
      <c r="P364" s="243"/>
      <c r="Q364" s="243"/>
      <c r="R364" s="243"/>
      <c r="S364" s="243"/>
      <c r="T364" s="243"/>
      <c r="U364" s="243"/>
      <c r="V364" s="243"/>
      <c r="W364" s="243"/>
      <c r="X364" s="243"/>
      <c r="Y364" s="243"/>
      <c r="Z364" s="243"/>
      <c r="AA364" s="243"/>
      <c r="AB364" s="243"/>
      <c r="AC364" s="243"/>
      <c r="AD364" s="243"/>
      <c r="AE364" s="243"/>
      <c r="AF364" s="243"/>
      <c r="AG364" s="243"/>
      <c r="AH364" s="243"/>
      <c r="AI364" s="243"/>
      <c r="AJ364" s="243"/>
      <c r="AK364" s="243"/>
      <c r="AL364" s="243"/>
      <c r="AM364" s="243"/>
      <c r="AN364" s="243"/>
      <c r="AO364" s="243"/>
      <c r="AP364" s="243"/>
      <c r="AQ364" s="243"/>
      <c r="AR364" s="243"/>
      <c r="AS364" s="243"/>
      <c r="AT364" s="243"/>
      <c r="AU364" s="243"/>
      <c r="AV364" s="243"/>
      <c r="AW364" s="243"/>
      <c r="AX364" s="243"/>
      <c r="AY364" s="243"/>
      <c r="AZ364" s="243"/>
      <c r="BA364" s="243"/>
      <c r="BB364" s="243"/>
      <c r="BC364" s="243"/>
      <c r="BD364" s="243"/>
      <c r="BE364" s="243"/>
      <c r="BF364" s="243"/>
      <c r="BG364" s="243"/>
      <c r="BH364" s="243"/>
      <c r="BI364" s="243"/>
      <c r="BJ364" s="243"/>
      <c r="BK364" s="243"/>
      <c r="BL364" s="243"/>
      <c r="BM364" s="243"/>
      <c r="BN364" s="243"/>
      <c r="BO364" s="243"/>
      <c r="BP364" s="243"/>
      <c r="BQ364" s="243"/>
      <c r="BR364" s="243"/>
      <c r="BS364" s="243"/>
    </row>
    <row r="365" spans="1:71" s="12" customFormat="1" ht="41.25" customHeight="1">
      <c r="A365" s="178" t="s">
        <v>80</v>
      </c>
      <c r="B365" s="178" t="str">
        <f ca="1">+UPPER(Tabla1321124[[#This Row],[DESCRIPCIÓN DE LA COMPRA O CONTRATACIÓN]])</f>
        <v>CLAMPS DE 6" A 3/4" ACERO</v>
      </c>
      <c r="C365" s="39" t="s">
        <v>17</v>
      </c>
      <c r="D365" s="236">
        <f>10+22</f>
        <v>32</v>
      </c>
      <c r="E365" s="210">
        <f>10+12</f>
        <v>22</v>
      </c>
      <c r="F365" s="210">
        <f>10+17</f>
        <v>27</v>
      </c>
      <c r="G365" s="210">
        <f>10+12</f>
        <v>22</v>
      </c>
      <c r="H365" s="240">
        <f>SUM(Tabla1321124[[#This Row],[PRIMER TRIMESTRE]:[CUARTO TRIMESTRE]])</f>
        <v>103</v>
      </c>
      <c r="I365" s="17">
        <v>850</v>
      </c>
      <c r="J365" s="17">
        <f>+Tabla1321124[[#This Row],[CANTIDAD TOTAL]]*Tabla1321124[[#This Row],[PRECIO UNITARIO ESTIMADO]]</f>
        <v>87550</v>
      </c>
      <c r="K365" s="17"/>
      <c r="L365" s="16" t="s">
        <v>18</v>
      </c>
      <c r="M365" s="16" t="s">
        <v>22</v>
      </c>
      <c r="N365" s="16" t="s">
        <v>418</v>
      </c>
      <c r="O365" s="243"/>
      <c r="P365" s="243"/>
      <c r="Q365" s="243"/>
      <c r="R365" s="243"/>
      <c r="S365" s="243"/>
      <c r="T365" s="243"/>
      <c r="U365" s="243"/>
      <c r="V365" s="243"/>
      <c r="W365" s="243"/>
      <c r="X365" s="243"/>
      <c r="Y365" s="243"/>
      <c r="Z365" s="243"/>
      <c r="AA365" s="243"/>
      <c r="AB365" s="243"/>
      <c r="AC365" s="243"/>
      <c r="AD365" s="243"/>
      <c r="AE365" s="243"/>
      <c r="AF365" s="243"/>
      <c r="AG365" s="243"/>
      <c r="AH365" s="243"/>
      <c r="AI365" s="243"/>
      <c r="AJ365" s="243"/>
      <c r="AK365" s="243"/>
      <c r="AL365" s="243"/>
      <c r="AM365" s="243"/>
      <c r="AN365" s="243"/>
      <c r="AO365" s="243"/>
      <c r="AP365" s="243"/>
      <c r="AQ365" s="243"/>
      <c r="AR365" s="243"/>
      <c r="AS365" s="243"/>
      <c r="AT365" s="243"/>
      <c r="AU365" s="243"/>
      <c r="AV365" s="243"/>
      <c r="AW365" s="243"/>
      <c r="AX365" s="243"/>
      <c r="AY365" s="243"/>
      <c r="AZ365" s="243"/>
      <c r="BA365" s="243"/>
      <c r="BB365" s="243"/>
      <c r="BC365" s="243"/>
      <c r="BD365" s="243"/>
      <c r="BE365" s="243"/>
      <c r="BF365" s="243"/>
      <c r="BG365" s="243"/>
      <c r="BH365" s="243"/>
      <c r="BI365" s="243"/>
      <c r="BJ365" s="243"/>
      <c r="BK365" s="243"/>
      <c r="BL365" s="243"/>
      <c r="BM365" s="243"/>
      <c r="BN365" s="243"/>
      <c r="BO365" s="243"/>
      <c r="BP365" s="243"/>
      <c r="BQ365" s="243"/>
      <c r="BR365" s="243"/>
      <c r="BS365" s="243"/>
    </row>
    <row r="366" spans="1:71" s="12" customFormat="1" ht="41.25" customHeight="1">
      <c r="A366" s="178" t="s">
        <v>80</v>
      </c>
      <c r="B366" s="178" t="str">
        <f ca="1">+UPPER(Tabla1321124[[#This Row],[DESCRIPCIÓN DE LA COMPRA O CONTRATACIÓN]])</f>
        <v>CLAMPS DE 6" A 1" HF</v>
      </c>
      <c r="C366" s="39" t="s">
        <v>17</v>
      </c>
      <c r="D366" s="236">
        <v>17</v>
      </c>
      <c r="E366" s="210">
        <v>12</v>
      </c>
      <c r="F366" s="210">
        <v>17</v>
      </c>
      <c r="G366" s="210">
        <v>12</v>
      </c>
      <c r="H366" s="240">
        <f>SUM(Tabla1321124[[#This Row],[PRIMER TRIMESTRE]:[CUARTO TRIMESTRE]])</f>
        <v>58</v>
      </c>
      <c r="I366" s="17">
        <v>850</v>
      </c>
      <c r="J366" s="17">
        <f>+Tabla1321124[[#This Row],[CANTIDAD TOTAL]]*Tabla1321124[[#This Row],[PRECIO UNITARIO ESTIMADO]]</f>
        <v>49300</v>
      </c>
      <c r="K366" s="17"/>
      <c r="L366" s="16" t="s">
        <v>18</v>
      </c>
      <c r="M366" s="16" t="s">
        <v>22</v>
      </c>
      <c r="N366" s="16" t="s">
        <v>418</v>
      </c>
      <c r="O366" s="243"/>
      <c r="P366" s="243"/>
      <c r="Q366" s="243"/>
      <c r="R366" s="243"/>
      <c r="S366" s="243"/>
      <c r="T366" s="243"/>
      <c r="U366" s="243"/>
      <c r="V366" s="243"/>
      <c r="W366" s="243"/>
      <c r="X366" s="243"/>
      <c r="Y366" s="243"/>
      <c r="Z366" s="243"/>
      <c r="AA366" s="243"/>
      <c r="AB366" s="243"/>
      <c r="AC366" s="243"/>
      <c r="AD366" s="243"/>
      <c r="AE366" s="243"/>
      <c r="AF366" s="243"/>
      <c r="AG366" s="243"/>
      <c r="AH366" s="243"/>
      <c r="AI366" s="243"/>
      <c r="AJ366" s="243"/>
      <c r="AK366" s="243"/>
      <c r="AL366" s="243"/>
      <c r="AM366" s="243"/>
      <c r="AN366" s="243"/>
      <c r="AO366" s="243"/>
      <c r="AP366" s="243"/>
      <c r="AQ366" s="243"/>
      <c r="AR366" s="243"/>
      <c r="AS366" s="243"/>
      <c r="AT366" s="243"/>
      <c r="AU366" s="243"/>
      <c r="AV366" s="243"/>
      <c r="AW366" s="243"/>
      <c r="AX366" s="243"/>
      <c r="AY366" s="243"/>
      <c r="AZ366" s="243"/>
      <c r="BA366" s="243"/>
      <c r="BB366" s="243"/>
      <c r="BC366" s="243"/>
      <c r="BD366" s="243"/>
      <c r="BE366" s="243"/>
      <c r="BF366" s="243"/>
      <c r="BG366" s="243"/>
      <c r="BH366" s="243"/>
      <c r="BI366" s="243"/>
      <c r="BJ366" s="243"/>
      <c r="BK366" s="243"/>
      <c r="BL366" s="243"/>
      <c r="BM366" s="243"/>
      <c r="BN366" s="243"/>
      <c r="BO366" s="243"/>
      <c r="BP366" s="243"/>
      <c r="BQ366" s="243"/>
      <c r="BR366" s="243"/>
      <c r="BS366" s="243"/>
    </row>
    <row r="367" spans="1:71" s="12" customFormat="1" ht="41.25" customHeight="1">
      <c r="A367" s="178" t="s">
        <v>80</v>
      </c>
      <c r="B367" s="178" t="str">
        <f ca="1">+UPPER(Tabla1321124[[#This Row],[DESCRIPCIÓN DE LA COMPRA O CONTRATACIÓN]])</f>
        <v>CLAMPS DE 6" A 2" HF</v>
      </c>
      <c r="C367" s="39" t="s">
        <v>17</v>
      </c>
      <c r="D367" s="236">
        <v>17</v>
      </c>
      <c r="E367" s="210">
        <v>12</v>
      </c>
      <c r="F367" s="210">
        <v>12</v>
      </c>
      <c r="G367" s="210">
        <v>12</v>
      </c>
      <c r="H367" s="240">
        <f>SUM(Tabla1321124[[#This Row],[PRIMER TRIMESTRE]:[CUARTO TRIMESTRE]])</f>
        <v>53</v>
      </c>
      <c r="I367" s="17">
        <v>850</v>
      </c>
      <c r="J367" s="17">
        <f>+Tabla1321124[[#This Row],[CANTIDAD TOTAL]]*Tabla1321124[[#This Row],[PRECIO UNITARIO ESTIMADO]]</f>
        <v>45050</v>
      </c>
      <c r="K367" s="17"/>
      <c r="L367" s="16" t="s">
        <v>18</v>
      </c>
      <c r="M367" s="16" t="s">
        <v>22</v>
      </c>
      <c r="N367" s="16" t="s">
        <v>418</v>
      </c>
      <c r="O367" s="243"/>
      <c r="P367" s="243"/>
      <c r="Q367" s="243"/>
      <c r="R367" s="243"/>
      <c r="S367" s="243"/>
      <c r="T367" s="243"/>
      <c r="U367" s="243"/>
      <c r="V367" s="243"/>
      <c r="W367" s="243"/>
      <c r="X367" s="243"/>
      <c r="Y367" s="243"/>
      <c r="Z367" s="243"/>
      <c r="AA367" s="243"/>
      <c r="AB367" s="243"/>
      <c r="AC367" s="243"/>
      <c r="AD367" s="243"/>
      <c r="AE367" s="243"/>
      <c r="AF367" s="243"/>
      <c r="AG367" s="243"/>
      <c r="AH367" s="243"/>
      <c r="AI367" s="243"/>
      <c r="AJ367" s="243"/>
      <c r="AK367" s="243"/>
      <c r="AL367" s="243"/>
      <c r="AM367" s="243"/>
      <c r="AN367" s="243"/>
      <c r="AO367" s="243"/>
      <c r="AP367" s="243"/>
      <c r="AQ367" s="243"/>
      <c r="AR367" s="243"/>
      <c r="AS367" s="243"/>
      <c r="AT367" s="243"/>
      <c r="AU367" s="243"/>
      <c r="AV367" s="243"/>
      <c r="AW367" s="243"/>
      <c r="AX367" s="243"/>
      <c r="AY367" s="243"/>
      <c r="AZ367" s="243"/>
      <c r="BA367" s="243"/>
      <c r="BB367" s="243"/>
      <c r="BC367" s="243"/>
      <c r="BD367" s="243"/>
      <c r="BE367" s="243"/>
      <c r="BF367" s="243"/>
      <c r="BG367" s="243"/>
      <c r="BH367" s="243"/>
      <c r="BI367" s="243"/>
      <c r="BJ367" s="243"/>
      <c r="BK367" s="243"/>
      <c r="BL367" s="243"/>
      <c r="BM367" s="243"/>
      <c r="BN367" s="243"/>
      <c r="BO367" s="243"/>
      <c r="BP367" s="243"/>
      <c r="BQ367" s="243"/>
      <c r="BR367" s="243"/>
      <c r="BS367" s="243"/>
    </row>
    <row r="368" spans="1:71" s="12" customFormat="1" ht="41.25" customHeight="1">
      <c r="A368" s="178" t="s">
        <v>80</v>
      </c>
      <c r="B368" s="178" t="str">
        <f ca="1">+UPPER(Tabla1321124[[#This Row],[DESCRIPCIÓN DE LA COMPRA O CONTRATACIÓN]])</f>
        <v>CLAMPS DE 6" A 3" HF</v>
      </c>
      <c r="C368" s="39" t="s">
        <v>17</v>
      </c>
      <c r="D368" s="236">
        <v>19</v>
      </c>
      <c r="E368" s="210">
        <v>14</v>
      </c>
      <c r="F368" s="210">
        <v>19</v>
      </c>
      <c r="G368" s="210">
        <v>14</v>
      </c>
      <c r="H368" s="240">
        <f>SUM(Tabla1321124[[#This Row],[PRIMER TRIMESTRE]:[CUARTO TRIMESTRE]])</f>
        <v>66</v>
      </c>
      <c r="I368" s="17">
        <v>850</v>
      </c>
      <c r="J368" s="17">
        <f>+Tabla1321124[[#This Row],[CANTIDAD TOTAL]]*Tabla1321124[[#This Row],[PRECIO UNITARIO ESTIMADO]]</f>
        <v>56100</v>
      </c>
      <c r="K368" s="17"/>
      <c r="L368" s="16" t="s">
        <v>18</v>
      </c>
      <c r="M368" s="16" t="s">
        <v>22</v>
      </c>
      <c r="N368" s="16" t="s">
        <v>418</v>
      </c>
      <c r="O368" s="243"/>
      <c r="P368" s="243"/>
      <c r="Q368" s="243"/>
      <c r="R368" s="243"/>
      <c r="S368" s="243"/>
      <c r="T368" s="243"/>
      <c r="U368" s="243"/>
      <c r="V368" s="243"/>
      <c r="W368" s="243"/>
      <c r="X368" s="243"/>
      <c r="Y368" s="243"/>
      <c r="Z368" s="243"/>
      <c r="AA368" s="243"/>
      <c r="AB368" s="243"/>
      <c r="AC368" s="243"/>
      <c r="AD368" s="243"/>
      <c r="AE368" s="243"/>
      <c r="AF368" s="243"/>
      <c r="AG368" s="243"/>
      <c r="AH368" s="243"/>
      <c r="AI368" s="243"/>
      <c r="AJ368" s="243"/>
      <c r="AK368" s="243"/>
      <c r="AL368" s="243"/>
      <c r="AM368" s="243"/>
      <c r="AN368" s="243"/>
      <c r="AO368" s="243"/>
      <c r="AP368" s="243"/>
      <c r="AQ368" s="243"/>
      <c r="AR368" s="243"/>
      <c r="AS368" s="243"/>
      <c r="AT368" s="243"/>
      <c r="AU368" s="243"/>
      <c r="AV368" s="243"/>
      <c r="AW368" s="243"/>
      <c r="AX368" s="243"/>
      <c r="AY368" s="243"/>
      <c r="AZ368" s="243"/>
      <c r="BA368" s="243"/>
      <c r="BB368" s="243"/>
      <c r="BC368" s="243"/>
      <c r="BD368" s="243"/>
      <c r="BE368" s="243"/>
      <c r="BF368" s="243"/>
      <c r="BG368" s="243"/>
      <c r="BH368" s="243"/>
      <c r="BI368" s="243"/>
      <c r="BJ368" s="243"/>
      <c r="BK368" s="243"/>
      <c r="BL368" s="243"/>
      <c r="BM368" s="243"/>
      <c r="BN368" s="243"/>
      <c r="BO368" s="243"/>
      <c r="BP368" s="243"/>
      <c r="BQ368" s="243"/>
      <c r="BR368" s="243"/>
      <c r="BS368" s="243"/>
    </row>
    <row r="369" spans="1:71" s="12" customFormat="1" ht="41.25" customHeight="1">
      <c r="A369" s="178" t="s">
        <v>80</v>
      </c>
      <c r="B369" s="178" t="str">
        <f ca="1">+UPPER(Tabla1321124[[#This Row],[DESCRIPCIÓN DE LA COMPRA O CONTRATACIÓN]])</f>
        <v>CLAMPS DE 6" A 4" HF</v>
      </c>
      <c r="C369" s="39" t="s">
        <v>17</v>
      </c>
      <c r="D369" s="236">
        <v>24</v>
      </c>
      <c r="E369" s="210">
        <v>14</v>
      </c>
      <c r="F369" s="210">
        <v>19</v>
      </c>
      <c r="G369" s="210">
        <v>14</v>
      </c>
      <c r="H369" s="240">
        <f>SUM(Tabla1321124[[#This Row],[PRIMER TRIMESTRE]:[CUARTO TRIMESTRE]])</f>
        <v>71</v>
      </c>
      <c r="I369" s="17">
        <v>850</v>
      </c>
      <c r="J369" s="17">
        <f>+Tabla1321124[[#This Row],[CANTIDAD TOTAL]]*Tabla1321124[[#This Row],[PRECIO UNITARIO ESTIMADO]]</f>
        <v>60350</v>
      </c>
      <c r="K369" s="17"/>
      <c r="L369" s="16" t="s">
        <v>18</v>
      </c>
      <c r="M369" s="16" t="s">
        <v>22</v>
      </c>
      <c r="N369" s="16" t="s">
        <v>418</v>
      </c>
      <c r="O369" s="243"/>
      <c r="P369" s="243"/>
      <c r="Q369" s="243"/>
      <c r="R369" s="243"/>
      <c r="S369" s="243"/>
      <c r="T369" s="243"/>
      <c r="U369" s="243"/>
      <c r="V369" s="243"/>
      <c r="W369" s="243"/>
      <c r="X369" s="243"/>
      <c r="Y369" s="243"/>
      <c r="Z369" s="243"/>
      <c r="AA369" s="243"/>
      <c r="AB369" s="243"/>
      <c r="AC369" s="243"/>
      <c r="AD369" s="243"/>
      <c r="AE369" s="243"/>
      <c r="AF369" s="243"/>
      <c r="AG369" s="243"/>
      <c r="AH369" s="243"/>
      <c r="AI369" s="243"/>
      <c r="AJ369" s="243"/>
      <c r="AK369" s="243"/>
      <c r="AL369" s="243"/>
      <c r="AM369" s="243"/>
      <c r="AN369" s="243"/>
      <c r="AO369" s="243"/>
      <c r="AP369" s="243"/>
      <c r="AQ369" s="243"/>
      <c r="AR369" s="243"/>
      <c r="AS369" s="243"/>
      <c r="AT369" s="243"/>
      <c r="AU369" s="243"/>
      <c r="AV369" s="243"/>
      <c r="AW369" s="243"/>
      <c r="AX369" s="243"/>
      <c r="AY369" s="243"/>
      <c r="AZ369" s="243"/>
      <c r="BA369" s="243"/>
      <c r="BB369" s="243"/>
      <c r="BC369" s="243"/>
      <c r="BD369" s="243"/>
      <c r="BE369" s="243"/>
      <c r="BF369" s="243"/>
      <c r="BG369" s="243"/>
      <c r="BH369" s="243"/>
      <c r="BI369" s="243"/>
      <c r="BJ369" s="243"/>
      <c r="BK369" s="243"/>
      <c r="BL369" s="243"/>
      <c r="BM369" s="243"/>
      <c r="BN369" s="243"/>
      <c r="BO369" s="243"/>
      <c r="BP369" s="243"/>
      <c r="BQ369" s="243"/>
      <c r="BR369" s="243"/>
      <c r="BS369" s="243"/>
    </row>
    <row r="370" spans="1:71" s="12" customFormat="1" ht="41.25" customHeight="1">
      <c r="A370" s="178" t="s">
        <v>80</v>
      </c>
      <c r="B370" s="178" t="str">
        <f ca="1">+UPPER(Tabla1321124[[#This Row],[DESCRIPCIÓN DE LA COMPRA O CONTRATACIÓN]])</f>
        <v>CLAMPS DE 8" A 3/4" ACERO</v>
      </c>
      <c r="C370" s="39" t="s">
        <v>17</v>
      </c>
      <c r="D370" s="236">
        <f>10+1</f>
        <v>11</v>
      </c>
      <c r="E370" s="210">
        <f>10+3</f>
        <v>13</v>
      </c>
      <c r="F370" s="210">
        <f>10+8</f>
        <v>18</v>
      </c>
      <c r="G370" s="210">
        <f>10+3</f>
        <v>13</v>
      </c>
      <c r="H370" s="240">
        <f>SUM(Tabla1321124[[#This Row],[PRIMER TRIMESTRE]:[CUARTO TRIMESTRE]])</f>
        <v>55</v>
      </c>
      <c r="I370" s="17">
        <v>970</v>
      </c>
      <c r="J370" s="17">
        <f>+Tabla1321124[[#This Row],[CANTIDAD TOTAL]]*Tabla1321124[[#This Row],[PRECIO UNITARIO ESTIMADO]]</f>
        <v>53350</v>
      </c>
      <c r="K370" s="17"/>
      <c r="L370" s="16" t="s">
        <v>18</v>
      </c>
      <c r="M370" s="16" t="s">
        <v>22</v>
      </c>
      <c r="N370" s="16" t="s">
        <v>418</v>
      </c>
      <c r="O370" s="243"/>
      <c r="P370" s="243"/>
      <c r="Q370" s="243"/>
      <c r="R370" s="243"/>
      <c r="S370" s="243"/>
      <c r="T370" s="243"/>
      <c r="U370" s="243"/>
      <c r="V370" s="243"/>
      <c r="W370" s="243"/>
      <c r="X370" s="243"/>
      <c r="Y370" s="243"/>
      <c r="Z370" s="243"/>
      <c r="AA370" s="243"/>
      <c r="AB370" s="243"/>
      <c r="AC370" s="243"/>
      <c r="AD370" s="243"/>
      <c r="AE370" s="243"/>
      <c r="AF370" s="243"/>
      <c r="AG370" s="243"/>
      <c r="AH370" s="243"/>
      <c r="AI370" s="243"/>
      <c r="AJ370" s="243"/>
      <c r="AK370" s="243"/>
      <c r="AL370" s="243"/>
      <c r="AM370" s="243"/>
      <c r="AN370" s="243"/>
      <c r="AO370" s="243"/>
      <c r="AP370" s="243"/>
      <c r="AQ370" s="243"/>
      <c r="AR370" s="243"/>
      <c r="AS370" s="243"/>
      <c r="AT370" s="243"/>
      <c r="AU370" s="243"/>
      <c r="AV370" s="243"/>
      <c r="AW370" s="243"/>
      <c r="AX370" s="243"/>
      <c r="AY370" s="243"/>
      <c r="AZ370" s="243"/>
      <c r="BA370" s="243"/>
      <c r="BB370" s="243"/>
      <c r="BC370" s="243"/>
      <c r="BD370" s="243"/>
      <c r="BE370" s="243"/>
      <c r="BF370" s="243"/>
      <c r="BG370" s="243"/>
      <c r="BH370" s="243"/>
      <c r="BI370" s="243"/>
      <c r="BJ370" s="243"/>
      <c r="BK370" s="243"/>
      <c r="BL370" s="243"/>
      <c r="BM370" s="243"/>
      <c r="BN370" s="243"/>
      <c r="BO370" s="243"/>
      <c r="BP370" s="243"/>
      <c r="BQ370" s="243"/>
      <c r="BR370" s="243"/>
      <c r="BS370" s="243"/>
    </row>
    <row r="371" spans="1:71" s="12" customFormat="1" ht="41.25" customHeight="1">
      <c r="A371" s="178" t="s">
        <v>80</v>
      </c>
      <c r="B371" s="178" t="str">
        <f ca="1">+UPPER(Tabla1321124[[#This Row],[DESCRIPCIÓN DE LA COMPRA O CONTRATACIÓN]])</f>
        <v>CLAMPS DE 8" A 1" HF</v>
      </c>
      <c r="C371" s="39" t="s">
        <v>17</v>
      </c>
      <c r="D371" s="236">
        <v>7</v>
      </c>
      <c r="E371" s="210">
        <v>2</v>
      </c>
      <c r="F371" s="210">
        <v>7</v>
      </c>
      <c r="G371" s="210">
        <v>2</v>
      </c>
      <c r="H371" s="240">
        <f>SUM(Tabla1321124[[#This Row],[PRIMER TRIMESTRE]:[CUARTO TRIMESTRE]])</f>
        <v>18</v>
      </c>
      <c r="I371" s="17">
        <v>850</v>
      </c>
      <c r="J371" s="17">
        <f>+Tabla1321124[[#This Row],[CANTIDAD TOTAL]]*Tabla1321124[[#This Row],[PRECIO UNITARIO ESTIMADO]]</f>
        <v>15300</v>
      </c>
      <c r="K371" s="17"/>
      <c r="L371" s="16" t="s">
        <v>18</v>
      </c>
      <c r="M371" s="16" t="s">
        <v>22</v>
      </c>
      <c r="N371" s="16" t="s">
        <v>418</v>
      </c>
      <c r="O371" s="243"/>
      <c r="P371" s="243"/>
      <c r="Q371" s="243"/>
      <c r="R371" s="243"/>
      <c r="S371" s="243"/>
      <c r="T371" s="243"/>
      <c r="U371" s="243"/>
      <c r="V371" s="243"/>
      <c r="W371" s="243"/>
      <c r="X371" s="243"/>
      <c r="Y371" s="243"/>
      <c r="Z371" s="243"/>
      <c r="AA371" s="243"/>
      <c r="AB371" s="243"/>
      <c r="AC371" s="243"/>
      <c r="AD371" s="243"/>
      <c r="AE371" s="243"/>
      <c r="AF371" s="243"/>
      <c r="AG371" s="243"/>
      <c r="AH371" s="243"/>
      <c r="AI371" s="243"/>
      <c r="AJ371" s="243"/>
      <c r="AK371" s="243"/>
      <c r="AL371" s="243"/>
      <c r="AM371" s="243"/>
      <c r="AN371" s="243"/>
      <c r="AO371" s="243"/>
      <c r="AP371" s="243"/>
      <c r="AQ371" s="243"/>
      <c r="AR371" s="243"/>
      <c r="AS371" s="243"/>
      <c r="AT371" s="243"/>
      <c r="AU371" s="243"/>
      <c r="AV371" s="243"/>
      <c r="AW371" s="243"/>
      <c r="AX371" s="243"/>
      <c r="AY371" s="243"/>
      <c r="AZ371" s="243"/>
      <c r="BA371" s="243"/>
      <c r="BB371" s="243"/>
      <c r="BC371" s="243"/>
      <c r="BD371" s="243"/>
      <c r="BE371" s="243"/>
      <c r="BF371" s="243"/>
      <c r="BG371" s="243"/>
      <c r="BH371" s="243"/>
      <c r="BI371" s="243"/>
      <c r="BJ371" s="243"/>
      <c r="BK371" s="243"/>
      <c r="BL371" s="243"/>
      <c r="BM371" s="243"/>
      <c r="BN371" s="243"/>
      <c r="BO371" s="243"/>
      <c r="BP371" s="243"/>
      <c r="BQ371" s="243"/>
      <c r="BR371" s="243"/>
      <c r="BS371" s="243"/>
    </row>
    <row r="372" spans="1:71" s="12" customFormat="1" ht="41.25" customHeight="1">
      <c r="A372" s="178" t="s">
        <v>80</v>
      </c>
      <c r="B372" s="178" t="str">
        <f ca="1">+UPPER(Tabla1321124[[#This Row],[DESCRIPCIÓN DE LA COMPRA O CONTRATACIÓN]])</f>
        <v>CLAMPS DE 8" A 2" HF</v>
      </c>
      <c r="C372" s="39" t="s">
        <v>17</v>
      </c>
      <c r="D372" s="236">
        <v>7</v>
      </c>
      <c r="E372" s="210">
        <v>2</v>
      </c>
      <c r="F372" s="210">
        <v>7</v>
      </c>
      <c r="G372" s="210">
        <v>2</v>
      </c>
      <c r="H372" s="240">
        <f>SUM(Tabla1321124[[#This Row],[PRIMER TRIMESTRE]:[CUARTO TRIMESTRE]])</f>
        <v>18</v>
      </c>
      <c r="I372" s="17">
        <v>850</v>
      </c>
      <c r="J372" s="17">
        <f>+Tabla1321124[[#This Row],[CANTIDAD TOTAL]]*Tabla1321124[[#This Row],[PRECIO UNITARIO ESTIMADO]]</f>
        <v>15300</v>
      </c>
      <c r="K372" s="17"/>
      <c r="L372" s="16" t="s">
        <v>18</v>
      </c>
      <c r="M372" s="16" t="s">
        <v>22</v>
      </c>
      <c r="N372" s="16" t="s">
        <v>418</v>
      </c>
      <c r="O372" s="243"/>
      <c r="P372" s="243"/>
      <c r="Q372" s="243"/>
      <c r="R372" s="243"/>
      <c r="S372" s="243"/>
      <c r="T372" s="243"/>
      <c r="U372" s="243"/>
      <c r="V372" s="243"/>
      <c r="W372" s="243"/>
      <c r="X372" s="243"/>
      <c r="Y372" s="243"/>
      <c r="Z372" s="243"/>
      <c r="AA372" s="243"/>
      <c r="AB372" s="243"/>
      <c r="AC372" s="243"/>
      <c r="AD372" s="243"/>
      <c r="AE372" s="243"/>
      <c r="AF372" s="243"/>
      <c r="AG372" s="243"/>
      <c r="AH372" s="243"/>
      <c r="AI372" s="243"/>
      <c r="AJ372" s="243"/>
      <c r="AK372" s="243"/>
      <c r="AL372" s="243"/>
      <c r="AM372" s="243"/>
      <c r="AN372" s="243"/>
      <c r="AO372" s="243"/>
      <c r="AP372" s="243"/>
      <c r="AQ372" s="243"/>
      <c r="AR372" s="243"/>
      <c r="AS372" s="243"/>
      <c r="AT372" s="243"/>
      <c r="AU372" s="243"/>
      <c r="AV372" s="243"/>
      <c r="AW372" s="243"/>
      <c r="AX372" s="243"/>
      <c r="AY372" s="243"/>
      <c r="AZ372" s="243"/>
      <c r="BA372" s="243"/>
      <c r="BB372" s="243"/>
      <c r="BC372" s="243"/>
      <c r="BD372" s="243"/>
      <c r="BE372" s="243"/>
      <c r="BF372" s="243"/>
      <c r="BG372" s="243"/>
      <c r="BH372" s="243"/>
      <c r="BI372" s="243"/>
      <c r="BJ372" s="243"/>
      <c r="BK372" s="243"/>
      <c r="BL372" s="243"/>
      <c r="BM372" s="243"/>
      <c r="BN372" s="243"/>
      <c r="BO372" s="243"/>
      <c r="BP372" s="243"/>
      <c r="BQ372" s="243"/>
      <c r="BR372" s="243"/>
      <c r="BS372" s="243"/>
    </row>
    <row r="373" spans="1:71" s="12" customFormat="1" ht="41.25" customHeight="1">
      <c r="A373" s="178" t="s">
        <v>80</v>
      </c>
      <c r="B373" s="178" t="str">
        <f ca="1">+UPPER(Tabla1321124[[#This Row],[DESCRIPCIÓN DE LA COMPRA O CONTRATACIÓN]])</f>
        <v>CLAMPS DE 8" A 3" HF</v>
      </c>
      <c r="C373" s="39" t="s">
        <v>17</v>
      </c>
      <c r="D373" s="236">
        <v>7</v>
      </c>
      <c r="E373" s="210">
        <v>2</v>
      </c>
      <c r="F373" s="210">
        <v>7</v>
      </c>
      <c r="G373" s="210">
        <v>2</v>
      </c>
      <c r="H373" s="240">
        <f>SUM(Tabla1321124[[#This Row],[PRIMER TRIMESTRE]:[CUARTO TRIMESTRE]])</f>
        <v>18</v>
      </c>
      <c r="I373" s="17">
        <v>850</v>
      </c>
      <c r="J373" s="17">
        <f>+Tabla1321124[[#This Row],[CANTIDAD TOTAL]]*Tabla1321124[[#This Row],[PRECIO UNITARIO ESTIMADO]]</f>
        <v>15300</v>
      </c>
      <c r="K373" s="17"/>
      <c r="L373" s="16" t="s">
        <v>18</v>
      </c>
      <c r="M373" s="16" t="s">
        <v>22</v>
      </c>
      <c r="N373" s="16" t="s">
        <v>418</v>
      </c>
      <c r="O373" s="243"/>
      <c r="P373" s="243"/>
      <c r="Q373" s="243"/>
      <c r="R373" s="243"/>
      <c r="S373" s="243"/>
      <c r="T373" s="243"/>
      <c r="U373" s="243"/>
      <c r="V373" s="243"/>
      <c r="W373" s="243"/>
      <c r="X373" s="243"/>
      <c r="Y373" s="243"/>
      <c r="Z373" s="243"/>
      <c r="AA373" s="243"/>
      <c r="AB373" s="243"/>
      <c r="AC373" s="243"/>
      <c r="AD373" s="243"/>
      <c r="AE373" s="243"/>
      <c r="AF373" s="243"/>
      <c r="AG373" s="243"/>
      <c r="AH373" s="243"/>
      <c r="AI373" s="243"/>
      <c r="AJ373" s="243"/>
      <c r="AK373" s="243"/>
      <c r="AL373" s="243"/>
      <c r="AM373" s="243"/>
      <c r="AN373" s="243"/>
      <c r="AO373" s="243"/>
      <c r="AP373" s="243"/>
      <c r="AQ373" s="243"/>
      <c r="AR373" s="243"/>
      <c r="AS373" s="243"/>
      <c r="AT373" s="243"/>
      <c r="AU373" s="243"/>
      <c r="AV373" s="243"/>
      <c r="AW373" s="243"/>
      <c r="AX373" s="243"/>
      <c r="AY373" s="243"/>
      <c r="AZ373" s="243"/>
      <c r="BA373" s="243"/>
      <c r="BB373" s="243"/>
      <c r="BC373" s="243"/>
      <c r="BD373" s="243"/>
      <c r="BE373" s="243"/>
      <c r="BF373" s="243"/>
      <c r="BG373" s="243"/>
      <c r="BH373" s="243"/>
      <c r="BI373" s="243"/>
      <c r="BJ373" s="243"/>
      <c r="BK373" s="243"/>
      <c r="BL373" s="243"/>
      <c r="BM373" s="243"/>
      <c r="BN373" s="243"/>
      <c r="BO373" s="243"/>
      <c r="BP373" s="243"/>
      <c r="BQ373" s="243"/>
      <c r="BR373" s="243"/>
      <c r="BS373" s="243"/>
    </row>
    <row r="374" spans="1:71" s="12" customFormat="1" ht="41.25" customHeight="1">
      <c r="A374" s="178" t="s">
        <v>80</v>
      </c>
      <c r="B374" s="178" t="str">
        <f ca="1">+UPPER(Tabla1321124[[#This Row],[DESCRIPCIÓN DE LA COMPRA O CONTRATACIÓN]])</f>
        <v>CLAMPS DE 8" A 4" HF</v>
      </c>
      <c r="C374" s="39" t="s">
        <v>17</v>
      </c>
      <c r="D374" s="236">
        <v>7</v>
      </c>
      <c r="E374" s="210">
        <v>2</v>
      </c>
      <c r="F374" s="210">
        <v>7</v>
      </c>
      <c r="G374" s="210">
        <v>2</v>
      </c>
      <c r="H374" s="240">
        <f>SUM(Tabla1321124[[#This Row],[PRIMER TRIMESTRE]:[CUARTO TRIMESTRE]])</f>
        <v>18</v>
      </c>
      <c r="I374" s="17">
        <v>850</v>
      </c>
      <c r="J374" s="17">
        <f>+Tabla1321124[[#This Row],[CANTIDAD TOTAL]]*Tabla1321124[[#This Row],[PRECIO UNITARIO ESTIMADO]]</f>
        <v>15300</v>
      </c>
      <c r="K374" s="17"/>
      <c r="L374" s="16" t="s">
        <v>18</v>
      </c>
      <c r="M374" s="16" t="s">
        <v>22</v>
      </c>
      <c r="N374" s="16" t="s">
        <v>418</v>
      </c>
      <c r="O374" s="243"/>
      <c r="P374" s="243"/>
      <c r="Q374" s="243"/>
      <c r="R374" s="243"/>
      <c r="S374" s="243"/>
      <c r="T374" s="243"/>
      <c r="U374" s="243"/>
      <c r="V374" s="243"/>
      <c r="W374" s="243"/>
      <c r="X374" s="243"/>
      <c r="Y374" s="243"/>
      <c r="Z374" s="243"/>
      <c r="AA374" s="243"/>
      <c r="AB374" s="243"/>
      <c r="AC374" s="243"/>
      <c r="AD374" s="243"/>
      <c r="AE374" s="243"/>
      <c r="AF374" s="243"/>
      <c r="AG374" s="243"/>
      <c r="AH374" s="243"/>
      <c r="AI374" s="243"/>
      <c r="AJ374" s="243"/>
      <c r="AK374" s="243"/>
      <c r="AL374" s="243"/>
      <c r="AM374" s="243"/>
      <c r="AN374" s="243"/>
      <c r="AO374" s="243"/>
      <c r="AP374" s="243"/>
      <c r="AQ374" s="243"/>
      <c r="AR374" s="243"/>
      <c r="AS374" s="243"/>
      <c r="AT374" s="243"/>
      <c r="AU374" s="243"/>
      <c r="AV374" s="243"/>
      <c r="AW374" s="243"/>
      <c r="AX374" s="243"/>
      <c r="AY374" s="243"/>
      <c r="AZ374" s="243"/>
      <c r="BA374" s="243"/>
      <c r="BB374" s="243"/>
      <c r="BC374" s="243"/>
      <c r="BD374" s="243"/>
      <c r="BE374" s="243"/>
      <c r="BF374" s="243"/>
      <c r="BG374" s="243"/>
      <c r="BH374" s="243"/>
      <c r="BI374" s="243"/>
      <c r="BJ374" s="243"/>
      <c r="BK374" s="243"/>
      <c r="BL374" s="243"/>
      <c r="BM374" s="243"/>
      <c r="BN374" s="243"/>
      <c r="BO374" s="243"/>
      <c r="BP374" s="243"/>
      <c r="BQ374" s="243"/>
      <c r="BR374" s="243"/>
      <c r="BS374" s="243"/>
    </row>
    <row r="375" spans="1:71" s="12" customFormat="1" ht="41.25" customHeight="1">
      <c r="A375" s="178" t="s">
        <v>80</v>
      </c>
      <c r="B375" s="178" t="str">
        <f ca="1">+UPPER(Tabla1321124[[#This Row],[DESCRIPCIÓN DE LA COMPRA O CONTRATACIÓN]])</f>
        <v>CLAMPS DE 12" A 1/2" HF</v>
      </c>
      <c r="C375" s="39" t="s">
        <v>17</v>
      </c>
      <c r="D375" s="236">
        <v>12</v>
      </c>
      <c r="E375" s="210">
        <v>1</v>
      </c>
      <c r="F375" s="210">
        <v>6</v>
      </c>
      <c r="G375" s="210">
        <v>1</v>
      </c>
      <c r="H375" s="240">
        <f>SUM(Tabla1321124[[#This Row],[PRIMER TRIMESTRE]:[CUARTO TRIMESTRE]])</f>
        <v>20</v>
      </c>
      <c r="I375" s="17">
        <v>970</v>
      </c>
      <c r="J375" s="17">
        <f>+Tabla1321124[[#This Row],[CANTIDAD TOTAL]]*Tabla1321124[[#This Row],[PRECIO UNITARIO ESTIMADO]]</f>
        <v>19400</v>
      </c>
      <c r="K375" s="17"/>
      <c r="L375" s="16" t="s">
        <v>18</v>
      </c>
      <c r="M375" s="16" t="s">
        <v>22</v>
      </c>
      <c r="N375" s="16" t="s">
        <v>418</v>
      </c>
      <c r="O375" s="243"/>
      <c r="P375" s="243"/>
      <c r="Q375" s="243"/>
      <c r="R375" s="243"/>
      <c r="S375" s="243"/>
      <c r="T375" s="243"/>
      <c r="U375" s="243"/>
      <c r="V375" s="243"/>
      <c r="W375" s="243"/>
      <c r="X375" s="243"/>
      <c r="Y375" s="243"/>
      <c r="Z375" s="243"/>
      <c r="AA375" s="243"/>
      <c r="AB375" s="243"/>
      <c r="AC375" s="243"/>
      <c r="AD375" s="243"/>
      <c r="AE375" s="243"/>
      <c r="AF375" s="243"/>
      <c r="AG375" s="243"/>
      <c r="AH375" s="243"/>
      <c r="AI375" s="243"/>
      <c r="AJ375" s="243"/>
      <c r="AK375" s="243"/>
      <c r="AL375" s="243"/>
      <c r="AM375" s="243"/>
      <c r="AN375" s="243"/>
      <c r="AO375" s="243"/>
      <c r="AP375" s="243"/>
      <c r="AQ375" s="243"/>
      <c r="AR375" s="243"/>
      <c r="AS375" s="243"/>
      <c r="AT375" s="243"/>
      <c r="AU375" s="243"/>
      <c r="AV375" s="243"/>
      <c r="AW375" s="243"/>
      <c r="AX375" s="243"/>
      <c r="AY375" s="243"/>
      <c r="AZ375" s="243"/>
      <c r="BA375" s="243"/>
      <c r="BB375" s="243"/>
      <c r="BC375" s="243"/>
      <c r="BD375" s="243"/>
      <c r="BE375" s="243"/>
      <c r="BF375" s="243"/>
      <c r="BG375" s="243"/>
      <c r="BH375" s="243"/>
      <c r="BI375" s="243"/>
      <c r="BJ375" s="243"/>
      <c r="BK375" s="243"/>
      <c r="BL375" s="243"/>
      <c r="BM375" s="243"/>
      <c r="BN375" s="243"/>
      <c r="BO375" s="243"/>
      <c r="BP375" s="243"/>
      <c r="BQ375" s="243"/>
      <c r="BR375" s="243"/>
      <c r="BS375" s="243"/>
    </row>
    <row r="376" spans="1:71" s="12" customFormat="1" ht="41.25" customHeight="1">
      <c r="A376" s="178" t="s">
        <v>80</v>
      </c>
      <c r="B376" s="178" t="str">
        <f ca="1">+UPPER(Tabla1321124[[#This Row],[DESCRIPCIÓN DE LA COMPRA O CONTRATACIÓN]])</f>
        <v>CLAMPS DE 12" A 3/4" HF</v>
      </c>
      <c r="C376" s="39" t="s">
        <v>17</v>
      </c>
      <c r="D376" s="236">
        <v>11</v>
      </c>
      <c r="E376" s="210">
        <v>1</v>
      </c>
      <c r="F376" s="210">
        <v>1</v>
      </c>
      <c r="G376" s="210">
        <v>1</v>
      </c>
      <c r="H376" s="240">
        <f>SUM(Tabla1321124[[#This Row],[PRIMER TRIMESTRE]:[CUARTO TRIMESTRE]])</f>
        <v>14</v>
      </c>
      <c r="I376" s="17">
        <v>970</v>
      </c>
      <c r="J376" s="17">
        <f>+Tabla1321124[[#This Row],[CANTIDAD TOTAL]]*Tabla1321124[[#This Row],[PRECIO UNITARIO ESTIMADO]]</f>
        <v>13580</v>
      </c>
      <c r="K376" s="17"/>
      <c r="L376" s="16" t="s">
        <v>18</v>
      </c>
      <c r="M376" s="16" t="s">
        <v>22</v>
      </c>
      <c r="N376" s="16" t="s">
        <v>418</v>
      </c>
      <c r="O376" s="243"/>
      <c r="P376" s="243"/>
      <c r="Q376" s="243"/>
      <c r="R376" s="243"/>
      <c r="S376" s="243"/>
      <c r="T376" s="243"/>
      <c r="U376" s="243"/>
      <c r="V376" s="243"/>
      <c r="W376" s="243"/>
      <c r="X376" s="243"/>
      <c r="Y376" s="243"/>
      <c r="Z376" s="243"/>
      <c r="AA376" s="243"/>
      <c r="AB376" s="243"/>
      <c r="AC376" s="243"/>
      <c r="AD376" s="243"/>
      <c r="AE376" s="243"/>
      <c r="AF376" s="243"/>
      <c r="AG376" s="243"/>
      <c r="AH376" s="243"/>
      <c r="AI376" s="243"/>
      <c r="AJ376" s="243"/>
      <c r="AK376" s="243"/>
      <c r="AL376" s="243"/>
      <c r="AM376" s="243"/>
      <c r="AN376" s="243"/>
      <c r="AO376" s="243"/>
      <c r="AP376" s="243"/>
      <c r="AQ376" s="243"/>
      <c r="AR376" s="243"/>
      <c r="AS376" s="243"/>
      <c r="AT376" s="243"/>
      <c r="AU376" s="243"/>
      <c r="AV376" s="243"/>
      <c r="AW376" s="243"/>
      <c r="AX376" s="243"/>
      <c r="AY376" s="243"/>
      <c r="AZ376" s="243"/>
      <c r="BA376" s="243"/>
      <c r="BB376" s="243"/>
      <c r="BC376" s="243"/>
      <c r="BD376" s="243"/>
      <c r="BE376" s="243"/>
      <c r="BF376" s="243"/>
      <c r="BG376" s="243"/>
      <c r="BH376" s="243"/>
      <c r="BI376" s="243"/>
      <c r="BJ376" s="243"/>
      <c r="BK376" s="243"/>
      <c r="BL376" s="243"/>
      <c r="BM376" s="243"/>
      <c r="BN376" s="243"/>
      <c r="BO376" s="243"/>
      <c r="BP376" s="243"/>
      <c r="BQ376" s="243"/>
      <c r="BR376" s="243"/>
      <c r="BS376" s="243"/>
    </row>
    <row r="377" spans="1:71" s="12" customFormat="1" ht="41.25" customHeight="1">
      <c r="A377" s="178" t="s">
        <v>80</v>
      </c>
      <c r="B377" s="178" t="str">
        <f ca="1">+UPPER(Tabla1321124[[#This Row],[DESCRIPCIÓN DE LA COMPRA O CONTRATACIÓN]])</f>
        <v>CLAMPS DE 12" A 1" HF</v>
      </c>
      <c r="C377" s="39" t="s">
        <v>17</v>
      </c>
      <c r="D377" s="236">
        <v>6</v>
      </c>
      <c r="E377" s="210">
        <v>1</v>
      </c>
      <c r="F377" s="210">
        <v>6</v>
      </c>
      <c r="G377" s="210">
        <v>1</v>
      </c>
      <c r="H377" s="240">
        <f>SUM(Tabla1321124[[#This Row],[PRIMER TRIMESTRE]:[CUARTO TRIMESTRE]])</f>
        <v>14</v>
      </c>
      <c r="I377" s="17">
        <v>970</v>
      </c>
      <c r="J377" s="17">
        <f>+Tabla1321124[[#This Row],[CANTIDAD TOTAL]]*Tabla1321124[[#This Row],[PRECIO UNITARIO ESTIMADO]]</f>
        <v>13580</v>
      </c>
      <c r="K377" s="17"/>
      <c r="L377" s="16" t="s">
        <v>18</v>
      </c>
      <c r="M377" s="16" t="s">
        <v>22</v>
      </c>
      <c r="N377" s="16" t="s">
        <v>418</v>
      </c>
      <c r="O377" s="243"/>
      <c r="P377" s="243"/>
      <c r="Q377" s="243"/>
      <c r="R377" s="243"/>
      <c r="S377" s="243"/>
      <c r="T377" s="243"/>
      <c r="U377" s="243"/>
      <c r="V377" s="243"/>
      <c r="W377" s="243"/>
      <c r="X377" s="243"/>
      <c r="Y377" s="243"/>
      <c r="Z377" s="243"/>
      <c r="AA377" s="243"/>
      <c r="AB377" s="243"/>
      <c r="AC377" s="243"/>
      <c r="AD377" s="243"/>
      <c r="AE377" s="243"/>
      <c r="AF377" s="243"/>
      <c r="AG377" s="243"/>
      <c r="AH377" s="243"/>
      <c r="AI377" s="243"/>
      <c r="AJ377" s="243"/>
      <c r="AK377" s="243"/>
      <c r="AL377" s="243"/>
      <c r="AM377" s="243"/>
      <c r="AN377" s="243"/>
      <c r="AO377" s="243"/>
      <c r="AP377" s="243"/>
      <c r="AQ377" s="243"/>
      <c r="AR377" s="243"/>
      <c r="AS377" s="243"/>
      <c r="AT377" s="243"/>
      <c r="AU377" s="243"/>
      <c r="AV377" s="243"/>
      <c r="AW377" s="243"/>
      <c r="AX377" s="243"/>
      <c r="AY377" s="243"/>
      <c r="AZ377" s="243"/>
      <c r="BA377" s="243"/>
      <c r="BB377" s="243"/>
      <c r="BC377" s="243"/>
      <c r="BD377" s="243"/>
      <c r="BE377" s="243"/>
      <c r="BF377" s="243"/>
      <c r="BG377" s="243"/>
      <c r="BH377" s="243"/>
      <c r="BI377" s="243"/>
      <c r="BJ377" s="243"/>
      <c r="BK377" s="243"/>
      <c r="BL377" s="243"/>
      <c r="BM377" s="243"/>
      <c r="BN377" s="243"/>
      <c r="BO377" s="243"/>
      <c r="BP377" s="243"/>
      <c r="BQ377" s="243"/>
      <c r="BR377" s="243"/>
      <c r="BS377" s="243"/>
    </row>
    <row r="378" spans="1:71" s="12" customFormat="1" ht="41.25" customHeight="1">
      <c r="A378" s="178" t="s">
        <v>80</v>
      </c>
      <c r="B378" s="178" t="str">
        <f ca="1">+UPPER(Tabla1321124[[#This Row],[DESCRIPCIÓN DE LA COMPRA O CONTRATACIÓN]])</f>
        <v>CLAMPS DE 12" A 2" HF</v>
      </c>
      <c r="C378" s="39" t="s">
        <v>17</v>
      </c>
      <c r="D378" s="236">
        <v>6</v>
      </c>
      <c r="E378" s="210">
        <v>1</v>
      </c>
      <c r="F378" s="210">
        <v>6</v>
      </c>
      <c r="G378" s="210">
        <v>1</v>
      </c>
      <c r="H378" s="240">
        <f>SUM(Tabla1321124[[#This Row],[PRIMER TRIMESTRE]:[CUARTO TRIMESTRE]])</f>
        <v>14</v>
      </c>
      <c r="I378" s="17">
        <v>970</v>
      </c>
      <c r="J378" s="17">
        <f>+Tabla1321124[[#This Row],[CANTIDAD TOTAL]]*Tabla1321124[[#This Row],[PRECIO UNITARIO ESTIMADO]]</f>
        <v>13580</v>
      </c>
      <c r="K378" s="17"/>
      <c r="L378" s="16" t="s">
        <v>18</v>
      </c>
      <c r="M378" s="16" t="s">
        <v>22</v>
      </c>
      <c r="N378" s="16" t="s">
        <v>418</v>
      </c>
      <c r="O378" s="243"/>
      <c r="P378" s="243"/>
      <c r="Q378" s="243"/>
      <c r="R378" s="243"/>
      <c r="S378" s="243"/>
      <c r="T378" s="243"/>
      <c r="U378" s="243"/>
      <c r="V378" s="243"/>
      <c r="W378" s="243"/>
      <c r="X378" s="243"/>
      <c r="Y378" s="243"/>
      <c r="Z378" s="243"/>
      <c r="AA378" s="243"/>
      <c r="AB378" s="243"/>
      <c r="AC378" s="243"/>
      <c r="AD378" s="243"/>
      <c r="AE378" s="243"/>
      <c r="AF378" s="243"/>
      <c r="AG378" s="243"/>
      <c r="AH378" s="243"/>
      <c r="AI378" s="243"/>
      <c r="AJ378" s="243"/>
      <c r="AK378" s="243"/>
      <c r="AL378" s="243"/>
      <c r="AM378" s="243"/>
      <c r="AN378" s="243"/>
      <c r="AO378" s="243"/>
      <c r="AP378" s="243"/>
      <c r="AQ378" s="243"/>
      <c r="AR378" s="243"/>
      <c r="AS378" s="243"/>
      <c r="AT378" s="243"/>
      <c r="AU378" s="243"/>
      <c r="AV378" s="243"/>
      <c r="AW378" s="243"/>
      <c r="AX378" s="243"/>
      <c r="AY378" s="243"/>
      <c r="AZ378" s="243"/>
      <c r="BA378" s="243"/>
      <c r="BB378" s="243"/>
      <c r="BC378" s="243"/>
      <c r="BD378" s="243"/>
      <c r="BE378" s="243"/>
      <c r="BF378" s="243"/>
      <c r="BG378" s="243"/>
      <c r="BH378" s="243"/>
      <c r="BI378" s="243"/>
      <c r="BJ378" s="243"/>
      <c r="BK378" s="243"/>
      <c r="BL378" s="243"/>
      <c r="BM378" s="243"/>
      <c r="BN378" s="243"/>
      <c r="BO378" s="243"/>
      <c r="BP378" s="243"/>
      <c r="BQ378" s="243"/>
      <c r="BR378" s="243"/>
      <c r="BS378" s="243"/>
    </row>
    <row r="379" spans="1:71" s="12" customFormat="1" ht="41.25" customHeight="1">
      <c r="A379" s="178" t="s">
        <v>80</v>
      </c>
      <c r="B379" s="178" t="str">
        <f ca="1">+UPPER(Tabla1321124[[#This Row],[DESCRIPCIÓN DE LA COMPRA O CONTRATACIÓN]])</f>
        <v>CLAMPS DE 12" A 3" HF</v>
      </c>
      <c r="C379" s="39" t="s">
        <v>17</v>
      </c>
      <c r="D379" s="236">
        <f>15+6</f>
        <v>21</v>
      </c>
      <c r="E379" s="210">
        <f>15+1</f>
        <v>16</v>
      </c>
      <c r="F379" s="210">
        <f>15+6</f>
        <v>21</v>
      </c>
      <c r="G379" s="210">
        <f>15+1</f>
        <v>16</v>
      </c>
      <c r="H379" s="240">
        <f>SUM(Tabla1321124[[#This Row],[PRIMER TRIMESTRE]:[CUARTO TRIMESTRE]])</f>
        <v>74</v>
      </c>
      <c r="I379" s="17">
        <v>970</v>
      </c>
      <c r="J379" s="17">
        <f>+Tabla1321124[[#This Row],[CANTIDAD TOTAL]]*Tabla1321124[[#This Row],[PRECIO UNITARIO ESTIMADO]]</f>
        <v>71780</v>
      </c>
      <c r="K379" s="17"/>
      <c r="L379" s="16" t="s">
        <v>18</v>
      </c>
      <c r="M379" s="16" t="s">
        <v>22</v>
      </c>
      <c r="N379" s="16" t="s">
        <v>418</v>
      </c>
      <c r="O379" s="243"/>
      <c r="P379" s="243"/>
      <c r="Q379" s="243"/>
      <c r="R379" s="243"/>
      <c r="S379" s="243"/>
      <c r="T379" s="243"/>
      <c r="U379" s="243"/>
      <c r="V379" s="243"/>
      <c r="W379" s="243"/>
      <c r="X379" s="243"/>
      <c r="Y379" s="243"/>
      <c r="Z379" s="243"/>
      <c r="AA379" s="243"/>
      <c r="AB379" s="243"/>
      <c r="AC379" s="243"/>
      <c r="AD379" s="243"/>
      <c r="AE379" s="243"/>
      <c r="AF379" s="243"/>
      <c r="AG379" s="243"/>
      <c r="AH379" s="243"/>
      <c r="AI379" s="243"/>
      <c r="AJ379" s="243"/>
      <c r="AK379" s="243"/>
      <c r="AL379" s="243"/>
      <c r="AM379" s="243"/>
      <c r="AN379" s="243"/>
      <c r="AO379" s="243"/>
      <c r="AP379" s="243"/>
      <c r="AQ379" s="243"/>
      <c r="AR379" s="243"/>
      <c r="AS379" s="243"/>
      <c r="AT379" s="243"/>
      <c r="AU379" s="243"/>
      <c r="AV379" s="243"/>
      <c r="AW379" s="243"/>
      <c r="AX379" s="243"/>
      <c r="AY379" s="243"/>
      <c r="AZ379" s="243"/>
      <c r="BA379" s="243"/>
      <c r="BB379" s="243"/>
      <c r="BC379" s="243"/>
      <c r="BD379" s="243"/>
      <c r="BE379" s="243"/>
      <c r="BF379" s="243"/>
      <c r="BG379" s="243"/>
      <c r="BH379" s="243"/>
      <c r="BI379" s="243"/>
      <c r="BJ379" s="243"/>
      <c r="BK379" s="243"/>
      <c r="BL379" s="243"/>
      <c r="BM379" s="243"/>
      <c r="BN379" s="243"/>
      <c r="BO379" s="243"/>
      <c r="BP379" s="243"/>
      <c r="BQ379" s="243"/>
      <c r="BR379" s="243"/>
      <c r="BS379" s="243"/>
    </row>
    <row r="380" spans="1:71" s="12" customFormat="1" ht="41.25" customHeight="1">
      <c r="A380" s="178" t="s">
        <v>80</v>
      </c>
      <c r="B380" s="178" t="str">
        <f ca="1">+UPPER(Tabla1321124[[#This Row],[DESCRIPCIÓN DE LA COMPRA O CONTRATACIÓN]])</f>
        <v>CLAMPS DE 12" A 4" HF</v>
      </c>
      <c r="C380" s="39" t="s">
        <v>17</v>
      </c>
      <c r="D380" s="236">
        <f>5+6</f>
        <v>11</v>
      </c>
      <c r="E380" s="210">
        <f>5+1</f>
        <v>6</v>
      </c>
      <c r="F380" s="210">
        <f>5+6</f>
        <v>11</v>
      </c>
      <c r="G380" s="210">
        <f>5+1</f>
        <v>6</v>
      </c>
      <c r="H380" s="240">
        <f>SUM(Tabla1321124[[#This Row],[PRIMER TRIMESTRE]:[CUARTO TRIMESTRE]])</f>
        <v>34</v>
      </c>
      <c r="I380" s="17">
        <v>1870</v>
      </c>
      <c r="J380" s="17">
        <f>+Tabla1321124[[#This Row],[CANTIDAD TOTAL]]*Tabla1321124[[#This Row],[PRECIO UNITARIO ESTIMADO]]</f>
        <v>63580</v>
      </c>
      <c r="K380" s="17"/>
      <c r="L380" s="16" t="s">
        <v>18</v>
      </c>
      <c r="M380" s="16" t="s">
        <v>22</v>
      </c>
      <c r="N380" s="16" t="s">
        <v>418</v>
      </c>
      <c r="O380" s="243"/>
      <c r="P380" s="243"/>
      <c r="Q380" s="243"/>
      <c r="R380" s="243"/>
      <c r="S380" s="243"/>
      <c r="T380" s="243"/>
      <c r="U380" s="243"/>
      <c r="V380" s="243"/>
      <c r="W380" s="243"/>
      <c r="X380" s="243"/>
      <c r="Y380" s="243"/>
      <c r="Z380" s="243"/>
      <c r="AA380" s="243"/>
      <c r="AB380" s="243"/>
      <c r="AC380" s="243"/>
      <c r="AD380" s="243"/>
      <c r="AE380" s="243"/>
      <c r="AF380" s="243"/>
      <c r="AG380" s="243"/>
      <c r="AH380" s="243"/>
      <c r="AI380" s="243"/>
      <c r="AJ380" s="243"/>
      <c r="AK380" s="243"/>
      <c r="AL380" s="243"/>
      <c r="AM380" s="243"/>
      <c r="AN380" s="243"/>
      <c r="AO380" s="243"/>
      <c r="AP380" s="243"/>
      <c r="AQ380" s="243"/>
      <c r="AR380" s="243"/>
      <c r="AS380" s="243"/>
      <c r="AT380" s="243"/>
      <c r="AU380" s="243"/>
      <c r="AV380" s="243"/>
      <c r="AW380" s="243"/>
      <c r="AX380" s="243"/>
      <c r="AY380" s="243"/>
      <c r="AZ380" s="243"/>
      <c r="BA380" s="243"/>
      <c r="BB380" s="243"/>
      <c r="BC380" s="243"/>
      <c r="BD380" s="243"/>
      <c r="BE380" s="243"/>
      <c r="BF380" s="243"/>
      <c r="BG380" s="243"/>
      <c r="BH380" s="243"/>
      <c r="BI380" s="243"/>
      <c r="BJ380" s="243"/>
      <c r="BK380" s="243"/>
      <c r="BL380" s="243"/>
      <c r="BM380" s="243"/>
      <c r="BN380" s="243"/>
      <c r="BO380" s="243"/>
      <c r="BP380" s="243"/>
      <c r="BQ380" s="243"/>
      <c r="BR380" s="243"/>
      <c r="BS380" s="243"/>
    </row>
    <row r="381" spans="1:71" s="12" customFormat="1" ht="41.25" customHeight="1">
      <c r="A381" s="178" t="s">
        <v>80</v>
      </c>
      <c r="B381" s="178" t="str">
        <f ca="1">+UPPER(Tabla1321124[[#This Row],[DESCRIPCIÓN DE LA COMPRA O CONTRATACIÓN]])</f>
        <v>CLAMPS DE 16" A 3" HF</v>
      </c>
      <c r="C381" s="39" t="s">
        <v>17</v>
      </c>
      <c r="D381" s="236">
        <v>6</v>
      </c>
      <c r="E381" s="210">
        <v>1</v>
      </c>
      <c r="F381" s="210">
        <v>6</v>
      </c>
      <c r="G381" s="210">
        <v>1</v>
      </c>
      <c r="H381" s="240">
        <f>SUM(Tabla1321124[[#This Row],[PRIMER TRIMESTRE]:[CUARTO TRIMESTRE]])</f>
        <v>14</v>
      </c>
      <c r="I381" s="17">
        <v>2150</v>
      </c>
      <c r="J381" s="17">
        <f>+Tabla1321124[[#This Row],[CANTIDAD TOTAL]]*Tabla1321124[[#This Row],[PRECIO UNITARIO ESTIMADO]]</f>
        <v>30100</v>
      </c>
      <c r="K381" s="17"/>
      <c r="L381" s="16" t="s">
        <v>18</v>
      </c>
      <c r="M381" s="16" t="s">
        <v>22</v>
      </c>
      <c r="N381" s="16" t="s">
        <v>418</v>
      </c>
      <c r="O381" s="243"/>
      <c r="P381" s="243"/>
      <c r="Q381" s="243"/>
      <c r="R381" s="243"/>
      <c r="S381" s="243"/>
      <c r="T381" s="243"/>
      <c r="U381" s="243"/>
      <c r="V381" s="243"/>
      <c r="W381" s="243"/>
      <c r="X381" s="243"/>
      <c r="Y381" s="243"/>
      <c r="Z381" s="243"/>
      <c r="AA381" s="243"/>
      <c r="AB381" s="243"/>
      <c r="AC381" s="243"/>
      <c r="AD381" s="243"/>
      <c r="AE381" s="243"/>
      <c r="AF381" s="243"/>
      <c r="AG381" s="243"/>
      <c r="AH381" s="243"/>
      <c r="AI381" s="243"/>
      <c r="AJ381" s="243"/>
      <c r="AK381" s="243"/>
      <c r="AL381" s="243"/>
      <c r="AM381" s="243"/>
      <c r="AN381" s="243"/>
      <c r="AO381" s="243"/>
      <c r="AP381" s="243"/>
      <c r="AQ381" s="243"/>
      <c r="AR381" s="243"/>
      <c r="AS381" s="243"/>
      <c r="AT381" s="243"/>
      <c r="AU381" s="243"/>
      <c r="AV381" s="243"/>
      <c r="AW381" s="243"/>
      <c r="AX381" s="243"/>
      <c r="AY381" s="243"/>
      <c r="AZ381" s="243"/>
      <c r="BA381" s="243"/>
      <c r="BB381" s="243"/>
      <c r="BC381" s="243"/>
      <c r="BD381" s="243"/>
      <c r="BE381" s="243"/>
      <c r="BF381" s="243"/>
      <c r="BG381" s="243"/>
      <c r="BH381" s="243"/>
      <c r="BI381" s="243"/>
      <c r="BJ381" s="243"/>
      <c r="BK381" s="243"/>
      <c r="BL381" s="243"/>
      <c r="BM381" s="243"/>
      <c r="BN381" s="243"/>
      <c r="BO381" s="243"/>
      <c r="BP381" s="243"/>
      <c r="BQ381" s="243"/>
      <c r="BR381" s="243"/>
      <c r="BS381" s="243"/>
    </row>
    <row r="382" spans="1:71" s="12" customFormat="1" ht="41.25" customHeight="1">
      <c r="A382" s="178" t="s">
        <v>80</v>
      </c>
      <c r="B382" s="178" t="str">
        <f ca="1">+UPPER(Tabla1321124[[#This Row],[DESCRIPCIÓN DE LA COMPRA O CONTRATACIÓN]])</f>
        <v>CLAMPS DE 16" A 4" HF</v>
      </c>
      <c r="C382" s="39" t="s">
        <v>17</v>
      </c>
      <c r="D382" s="236">
        <v>6</v>
      </c>
      <c r="E382" s="210">
        <v>1</v>
      </c>
      <c r="F382" s="210">
        <v>6</v>
      </c>
      <c r="G382" s="210">
        <v>1</v>
      </c>
      <c r="H382" s="240">
        <f>SUM(Tabla1321124[[#This Row],[PRIMER TRIMESTRE]:[CUARTO TRIMESTRE]])</f>
        <v>14</v>
      </c>
      <c r="I382" s="17">
        <v>2860</v>
      </c>
      <c r="J382" s="17">
        <f>+Tabla1321124[[#This Row],[CANTIDAD TOTAL]]*Tabla1321124[[#This Row],[PRECIO UNITARIO ESTIMADO]]</f>
        <v>40040</v>
      </c>
      <c r="K382" s="17"/>
      <c r="L382" s="16" t="s">
        <v>18</v>
      </c>
      <c r="M382" s="16" t="s">
        <v>22</v>
      </c>
      <c r="N382" s="16" t="s">
        <v>418</v>
      </c>
      <c r="O382" s="243"/>
      <c r="P382" s="243"/>
      <c r="Q382" s="243"/>
      <c r="R382" s="243"/>
      <c r="S382" s="243"/>
      <c r="T382" s="243"/>
      <c r="U382" s="243"/>
      <c r="V382" s="243"/>
      <c r="W382" s="243"/>
      <c r="X382" s="243"/>
      <c r="Y382" s="243"/>
      <c r="Z382" s="243"/>
      <c r="AA382" s="243"/>
      <c r="AB382" s="243"/>
      <c r="AC382" s="243"/>
      <c r="AD382" s="243"/>
      <c r="AE382" s="243"/>
      <c r="AF382" s="243"/>
      <c r="AG382" s="243"/>
      <c r="AH382" s="243"/>
      <c r="AI382" s="243"/>
      <c r="AJ382" s="243"/>
      <c r="AK382" s="243"/>
      <c r="AL382" s="243"/>
      <c r="AM382" s="243"/>
      <c r="AN382" s="243"/>
      <c r="AO382" s="243"/>
      <c r="AP382" s="243"/>
      <c r="AQ382" s="243"/>
      <c r="AR382" s="243"/>
      <c r="AS382" s="243"/>
      <c r="AT382" s="243"/>
      <c r="AU382" s="243"/>
      <c r="AV382" s="243"/>
      <c r="AW382" s="243"/>
      <c r="AX382" s="243"/>
      <c r="AY382" s="243"/>
      <c r="AZ382" s="243"/>
      <c r="BA382" s="243"/>
      <c r="BB382" s="243"/>
      <c r="BC382" s="243"/>
      <c r="BD382" s="243"/>
      <c r="BE382" s="243"/>
      <c r="BF382" s="243"/>
      <c r="BG382" s="243"/>
      <c r="BH382" s="243"/>
      <c r="BI382" s="243"/>
      <c r="BJ382" s="243"/>
      <c r="BK382" s="243"/>
      <c r="BL382" s="243"/>
      <c r="BM382" s="243"/>
      <c r="BN382" s="243"/>
      <c r="BO382" s="243"/>
      <c r="BP382" s="243"/>
      <c r="BQ382" s="243"/>
      <c r="BR382" s="243"/>
      <c r="BS382" s="243"/>
    </row>
    <row r="383" spans="1:71" s="12" customFormat="1" ht="41.25" customHeight="1">
      <c r="A383" s="178" t="s">
        <v>80</v>
      </c>
      <c r="B383" s="178" t="str">
        <f ca="1">+UPPER(Tabla1321124[[#This Row],[DESCRIPCIÓN DE LA COMPRA O CONTRATACIÓN]])</f>
        <v>CLAMPS DE 16" A 6" HF</v>
      </c>
      <c r="C383" s="39" t="s">
        <v>17</v>
      </c>
      <c r="D383" s="236">
        <f>5+6</f>
        <v>11</v>
      </c>
      <c r="E383" s="210">
        <f>5+1</f>
        <v>6</v>
      </c>
      <c r="F383" s="210">
        <f>5+6</f>
        <v>11</v>
      </c>
      <c r="G383" s="210">
        <v>51</v>
      </c>
      <c r="H383" s="240">
        <f>SUM(Tabla1321124[[#This Row],[PRIMER TRIMESTRE]:[CUARTO TRIMESTRE]])</f>
        <v>79</v>
      </c>
      <c r="I383" s="17">
        <v>2860</v>
      </c>
      <c r="J383" s="17">
        <f>+Tabla1321124[[#This Row],[CANTIDAD TOTAL]]*Tabla1321124[[#This Row],[PRECIO UNITARIO ESTIMADO]]</f>
        <v>225940</v>
      </c>
      <c r="K383" s="17"/>
      <c r="L383" s="16" t="s">
        <v>18</v>
      </c>
      <c r="M383" s="16" t="s">
        <v>22</v>
      </c>
      <c r="N383" s="16" t="s">
        <v>418</v>
      </c>
      <c r="O383" s="243"/>
      <c r="P383" s="243"/>
      <c r="Q383" s="243"/>
      <c r="R383" s="243"/>
      <c r="S383" s="243"/>
      <c r="T383" s="243"/>
      <c r="U383" s="243"/>
      <c r="V383" s="243"/>
      <c r="W383" s="243"/>
      <c r="X383" s="243"/>
      <c r="Y383" s="243"/>
      <c r="Z383" s="243"/>
      <c r="AA383" s="243"/>
      <c r="AB383" s="243"/>
      <c r="AC383" s="243"/>
      <c r="AD383" s="243"/>
      <c r="AE383" s="243"/>
      <c r="AF383" s="243"/>
      <c r="AG383" s="243"/>
      <c r="AH383" s="243"/>
      <c r="AI383" s="243"/>
      <c r="AJ383" s="243"/>
      <c r="AK383" s="243"/>
      <c r="AL383" s="243"/>
      <c r="AM383" s="243"/>
      <c r="AN383" s="243"/>
      <c r="AO383" s="243"/>
      <c r="AP383" s="243"/>
      <c r="AQ383" s="243"/>
      <c r="AR383" s="243"/>
      <c r="AS383" s="243"/>
      <c r="AT383" s="243"/>
      <c r="AU383" s="243"/>
      <c r="AV383" s="243"/>
      <c r="AW383" s="243"/>
      <c r="AX383" s="243"/>
      <c r="AY383" s="243"/>
      <c r="AZ383" s="243"/>
      <c r="BA383" s="243"/>
      <c r="BB383" s="243"/>
      <c r="BC383" s="243"/>
      <c r="BD383" s="243"/>
      <c r="BE383" s="243"/>
      <c r="BF383" s="243"/>
      <c r="BG383" s="243"/>
      <c r="BH383" s="243"/>
      <c r="BI383" s="243"/>
      <c r="BJ383" s="243"/>
      <c r="BK383" s="243"/>
      <c r="BL383" s="243"/>
      <c r="BM383" s="243"/>
      <c r="BN383" s="243"/>
      <c r="BO383" s="243"/>
      <c r="BP383" s="243"/>
      <c r="BQ383" s="243"/>
      <c r="BR383" s="243"/>
      <c r="BS383" s="243"/>
    </row>
    <row r="384" spans="1:71" s="12" customFormat="1" ht="41.25" customHeight="1">
      <c r="A384" s="178" t="s">
        <v>80</v>
      </c>
      <c r="B384" s="178" t="str">
        <f ca="1">+UPPER(Tabla1321124[[#This Row],[DESCRIPCIÓN DE LA COMPRA O CONTRATACIÓN]])</f>
        <v>CLAMPS DE 20" A 3" HF</v>
      </c>
      <c r="C384" s="39" t="s">
        <v>17</v>
      </c>
      <c r="D384" s="236">
        <v>6</v>
      </c>
      <c r="E384" s="210">
        <v>1</v>
      </c>
      <c r="F384" s="210">
        <v>6</v>
      </c>
      <c r="G384" s="210">
        <v>1</v>
      </c>
      <c r="H384" s="240">
        <f>SUM(Tabla1321124[[#This Row],[PRIMER TRIMESTRE]:[CUARTO TRIMESTRE]])</f>
        <v>14</v>
      </c>
      <c r="I384" s="17">
        <v>2860</v>
      </c>
      <c r="J384" s="17">
        <f>+Tabla1321124[[#This Row],[CANTIDAD TOTAL]]*Tabla1321124[[#This Row],[PRECIO UNITARIO ESTIMADO]]</f>
        <v>40040</v>
      </c>
      <c r="K384" s="17"/>
      <c r="L384" s="16" t="s">
        <v>18</v>
      </c>
      <c r="M384" s="16" t="s">
        <v>22</v>
      </c>
      <c r="N384" s="16" t="s">
        <v>418</v>
      </c>
      <c r="O384" s="243"/>
      <c r="P384" s="243"/>
      <c r="Q384" s="243"/>
      <c r="R384" s="243"/>
      <c r="S384" s="243"/>
      <c r="T384" s="243"/>
      <c r="U384" s="243"/>
      <c r="V384" s="243"/>
      <c r="W384" s="243"/>
      <c r="X384" s="243"/>
      <c r="Y384" s="243"/>
      <c r="Z384" s="243"/>
      <c r="AA384" s="243"/>
      <c r="AB384" s="243"/>
      <c r="AC384" s="243"/>
      <c r="AD384" s="243"/>
      <c r="AE384" s="243"/>
      <c r="AF384" s="243"/>
      <c r="AG384" s="243"/>
      <c r="AH384" s="243"/>
      <c r="AI384" s="243"/>
      <c r="AJ384" s="243"/>
      <c r="AK384" s="243"/>
      <c r="AL384" s="243"/>
      <c r="AM384" s="243"/>
      <c r="AN384" s="243"/>
      <c r="AO384" s="243"/>
      <c r="AP384" s="243"/>
      <c r="AQ384" s="243"/>
      <c r="AR384" s="243"/>
      <c r="AS384" s="243"/>
      <c r="AT384" s="243"/>
      <c r="AU384" s="243"/>
      <c r="AV384" s="243"/>
      <c r="AW384" s="243"/>
      <c r="AX384" s="243"/>
      <c r="AY384" s="243"/>
      <c r="AZ384" s="243"/>
      <c r="BA384" s="243"/>
      <c r="BB384" s="243"/>
      <c r="BC384" s="243"/>
      <c r="BD384" s="243"/>
      <c r="BE384" s="243"/>
      <c r="BF384" s="243"/>
      <c r="BG384" s="243"/>
      <c r="BH384" s="243"/>
      <c r="BI384" s="243"/>
      <c r="BJ384" s="243"/>
      <c r="BK384" s="243"/>
      <c r="BL384" s="243"/>
      <c r="BM384" s="243"/>
      <c r="BN384" s="243"/>
      <c r="BO384" s="243"/>
      <c r="BP384" s="243"/>
      <c r="BQ384" s="243"/>
      <c r="BR384" s="243"/>
      <c r="BS384" s="243"/>
    </row>
    <row r="385" spans="1:71" s="12" customFormat="1" ht="41.25" customHeight="1">
      <c r="A385" s="178" t="s">
        <v>80</v>
      </c>
      <c r="B385" s="178" t="str">
        <f ca="1">+UPPER(Tabla1321124[[#This Row],[DESCRIPCIÓN DE LA COMPRA O CONTRATACIÓN]])</f>
        <v>CLAMPS DE 20" A 4" HF</v>
      </c>
      <c r="C385" s="39" t="s">
        <v>17</v>
      </c>
      <c r="D385" s="236">
        <v>6</v>
      </c>
      <c r="E385" s="210">
        <v>1</v>
      </c>
      <c r="F385" s="210">
        <v>6</v>
      </c>
      <c r="G385" s="210">
        <v>1</v>
      </c>
      <c r="H385" s="240">
        <f>SUM(Tabla1321124[[#This Row],[PRIMER TRIMESTRE]:[CUARTO TRIMESTRE]])</f>
        <v>14</v>
      </c>
      <c r="I385" s="17">
        <v>2860</v>
      </c>
      <c r="J385" s="17">
        <f>+Tabla1321124[[#This Row],[CANTIDAD TOTAL]]*Tabla1321124[[#This Row],[PRECIO UNITARIO ESTIMADO]]</f>
        <v>40040</v>
      </c>
      <c r="K385" s="17"/>
      <c r="L385" s="16" t="s">
        <v>18</v>
      </c>
      <c r="M385" s="16" t="s">
        <v>22</v>
      </c>
      <c r="N385" s="16" t="s">
        <v>418</v>
      </c>
      <c r="O385" s="243"/>
      <c r="P385" s="243"/>
      <c r="Q385" s="243"/>
      <c r="R385" s="243"/>
      <c r="S385" s="243"/>
      <c r="T385" s="243"/>
      <c r="U385" s="243"/>
      <c r="V385" s="243"/>
      <c r="W385" s="243"/>
      <c r="X385" s="243"/>
      <c r="Y385" s="243"/>
      <c r="Z385" s="243"/>
      <c r="AA385" s="243"/>
      <c r="AB385" s="243"/>
      <c r="AC385" s="243"/>
      <c r="AD385" s="243"/>
      <c r="AE385" s="243"/>
      <c r="AF385" s="243"/>
      <c r="AG385" s="243"/>
      <c r="AH385" s="243"/>
      <c r="AI385" s="243"/>
      <c r="AJ385" s="243"/>
      <c r="AK385" s="243"/>
      <c r="AL385" s="243"/>
      <c r="AM385" s="243"/>
      <c r="AN385" s="243"/>
      <c r="AO385" s="243"/>
      <c r="AP385" s="243"/>
      <c r="AQ385" s="243"/>
      <c r="AR385" s="243"/>
      <c r="AS385" s="243"/>
      <c r="AT385" s="243"/>
      <c r="AU385" s="243"/>
      <c r="AV385" s="243"/>
      <c r="AW385" s="243"/>
      <c r="AX385" s="243"/>
      <c r="AY385" s="243"/>
      <c r="AZ385" s="243"/>
      <c r="BA385" s="243"/>
      <c r="BB385" s="243"/>
      <c r="BC385" s="243"/>
      <c r="BD385" s="243"/>
      <c r="BE385" s="243"/>
      <c r="BF385" s="243"/>
      <c r="BG385" s="243"/>
      <c r="BH385" s="243"/>
      <c r="BI385" s="243"/>
      <c r="BJ385" s="243"/>
      <c r="BK385" s="243"/>
      <c r="BL385" s="243"/>
      <c r="BM385" s="243"/>
      <c r="BN385" s="243"/>
      <c r="BO385" s="243"/>
      <c r="BP385" s="243"/>
      <c r="BQ385" s="243"/>
      <c r="BR385" s="243"/>
      <c r="BS385" s="243"/>
    </row>
    <row r="386" spans="1:71" s="12" customFormat="1" ht="41.25" customHeight="1">
      <c r="A386" s="178" t="s">
        <v>80</v>
      </c>
      <c r="B386" s="178" t="str">
        <f ca="1">+UPPER(Tabla1321124[[#This Row],[DESCRIPCIÓN DE LA COMPRA O CONTRATACIÓN]])</f>
        <v>CLAMPS DE 12" A 3" ACERO</v>
      </c>
      <c r="C386" s="39" t="s">
        <v>17</v>
      </c>
      <c r="D386" s="236">
        <v>6</v>
      </c>
      <c r="E386" s="210">
        <v>1</v>
      </c>
      <c r="F386" s="210">
        <v>6</v>
      </c>
      <c r="G386" s="210">
        <v>1</v>
      </c>
      <c r="H386" s="240">
        <f>SUM(Tabla1321124[[#This Row],[PRIMER TRIMESTRE]:[CUARTO TRIMESTRE]])</f>
        <v>14</v>
      </c>
      <c r="I386" s="17">
        <v>1870</v>
      </c>
      <c r="J386" s="17">
        <f>+Tabla1321124[[#This Row],[CANTIDAD TOTAL]]*Tabla1321124[[#This Row],[PRECIO UNITARIO ESTIMADO]]</f>
        <v>26180</v>
      </c>
      <c r="K386" s="17"/>
      <c r="L386" s="16" t="s">
        <v>18</v>
      </c>
      <c r="M386" s="16" t="s">
        <v>22</v>
      </c>
      <c r="N386" s="16" t="s">
        <v>418</v>
      </c>
      <c r="O386" s="243"/>
      <c r="P386" s="243"/>
      <c r="Q386" s="243"/>
      <c r="R386" s="243"/>
      <c r="S386" s="243"/>
      <c r="T386" s="243"/>
      <c r="U386" s="243"/>
      <c r="V386" s="243"/>
      <c r="W386" s="243"/>
      <c r="X386" s="243"/>
      <c r="Y386" s="243"/>
      <c r="Z386" s="243"/>
      <c r="AA386" s="243"/>
      <c r="AB386" s="243"/>
      <c r="AC386" s="243"/>
      <c r="AD386" s="243"/>
      <c r="AE386" s="243"/>
      <c r="AF386" s="243"/>
      <c r="AG386" s="243"/>
      <c r="AH386" s="243"/>
      <c r="AI386" s="243"/>
      <c r="AJ386" s="243"/>
      <c r="AK386" s="243"/>
      <c r="AL386" s="243"/>
      <c r="AM386" s="243"/>
      <c r="AN386" s="243"/>
      <c r="AO386" s="243"/>
      <c r="AP386" s="243"/>
      <c r="AQ386" s="243"/>
      <c r="AR386" s="243"/>
      <c r="AS386" s="243"/>
      <c r="AT386" s="243"/>
      <c r="AU386" s="243"/>
      <c r="AV386" s="243"/>
      <c r="AW386" s="243"/>
      <c r="AX386" s="243"/>
      <c r="AY386" s="243"/>
      <c r="AZ386" s="243"/>
      <c r="BA386" s="243"/>
      <c r="BB386" s="243"/>
      <c r="BC386" s="243"/>
      <c r="BD386" s="243"/>
      <c r="BE386" s="243"/>
      <c r="BF386" s="243"/>
      <c r="BG386" s="243"/>
      <c r="BH386" s="243"/>
      <c r="BI386" s="243"/>
      <c r="BJ386" s="243"/>
      <c r="BK386" s="243"/>
      <c r="BL386" s="243"/>
      <c r="BM386" s="243"/>
      <c r="BN386" s="243"/>
      <c r="BO386" s="243"/>
      <c r="BP386" s="243"/>
      <c r="BQ386" s="243"/>
      <c r="BR386" s="243"/>
      <c r="BS386" s="243"/>
    </row>
    <row r="387" spans="1:71" s="12" customFormat="1" ht="41.25" customHeight="1">
      <c r="A387" s="178" t="s">
        <v>80</v>
      </c>
      <c r="B387" s="178" t="str">
        <f ca="1">+UPPER(Tabla1321124[[#This Row],[DESCRIPCIÓN DE LA COMPRA O CONTRATACIÓN]])</f>
        <v>CLAMPS DE 12" A 4" ACERO</v>
      </c>
      <c r="C387" s="39" t="s">
        <v>17</v>
      </c>
      <c r="D387" s="236">
        <v>6</v>
      </c>
      <c r="E387" s="236">
        <v>1</v>
      </c>
      <c r="F387" s="236">
        <v>6</v>
      </c>
      <c r="G387" s="236">
        <v>1</v>
      </c>
      <c r="H387" s="240">
        <f>SUM(Tabla1321124[[#This Row],[PRIMER TRIMESTRE]:[CUARTO TRIMESTRE]])</f>
        <v>14</v>
      </c>
      <c r="I387" s="17">
        <v>2150</v>
      </c>
      <c r="J387" s="17">
        <f>+Tabla1321124[[#This Row],[CANTIDAD TOTAL]]*Tabla1321124[[#This Row],[PRECIO UNITARIO ESTIMADO]]</f>
        <v>30100</v>
      </c>
      <c r="K387" s="17"/>
      <c r="L387" s="16" t="s">
        <v>18</v>
      </c>
      <c r="M387" s="16" t="s">
        <v>22</v>
      </c>
      <c r="N387" s="16" t="s">
        <v>418</v>
      </c>
      <c r="O387" s="243"/>
      <c r="P387" s="243"/>
      <c r="Q387" s="243"/>
      <c r="R387" s="243"/>
      <c r="S387" s="243"/>
      <c r="T387" s="243"/>
      <c r="U387" s="243"/>
      <c r="V387" s="243"/>
      <c r="W387" s="243"/>
      <c r="X387" s="243"/>
      <c r="Y387" s="243"/>
      <c r="Z387" s="243"/>
      <c r="AA387" s="243"/>
      <c r="AB387" s="243"/>
      <c r="AC387" s="243"/>
      <c r="AD387" s="243"/>
      <c r="AE387" s="243"/>
      <c r="AF387" s="243"/>
      <c r="AG387" s="243"/>
      <c r="AH387" s="243"/>
      <c r="AI387" s="243"/>
      <c r="AJ387" s="243"/>
      <c r="AK387" s="243"/>
      <c r="AL387" s="243"/>
      <c r="AM387" s="243"/>
      <c r="AN387" s="243"/>
      <c r="AO387" s="243"/>
      <c r="AP387" s="243"/>
      <c r="AQ387" s="243"/>
      <c r="AR387" s="243"/>
      <c r="AS387" s="243"/>
      <c r="AT387" s="243"/>
      <c r="AU387" s="243"/>
      <c r="AV387" s="243"/>
      <c r="AW387" s="243"/>
      <c r="AX387" s="243"/>
      <c r="AY387" s="243"/>
      <c r="AZ387" s="243"/>
      <c r="BA387" s="243"/>
      <c r="BB387" s="243"/>
      <c r="BC387" s="243"/>
      <c r="BD387" s="243"/>
      <c r="BE387" s="243"/>
      <c r="BF387" s="243"/>
      <c r="BG387" s="243"/>
      <c r="BH387" s="243"/>
      <c r="BI387" s="243"/>
      <c r="BJ387" s="243"/>
      <c r="BK387" s="243"/>
      <c r="BL387" s="243"/>
      <c r="BM387" s="243"/>
      <c r="BN387" s="243"/>
      <c r="BO387" s="243"/>
      <c r="BP387" s="243"/>
      <c r="BQ387" s="243"/>
      <c r="BR387" s="243"/>
      <c r="BS387" s="243"/>
    </row>
    <row r="388" spans="1:71" s="12" customFormat="1" ht="41.25" customHeight="1">
      <c r="A388" s="178" t="s">
        <v>80</v>
      </c>
      <c r="B388" s="178" t="str">
        <f ca="1">+UPPER(Tabla1321124[[#This Row],[DESCRIPCIÓN DE LA COMPRA O CONTRATACIÓN]])</f>
        <v>CLAMPS DE 16" A 6" ACERO</v>
      </c>
      <c r="C388" s="39" t="s">
        <v>17</v>
      </c>
      <c r="D388" s="236">
        <v>6</v>
      </c>
      <c r="E388" s="236">
        <v>1</v>
      </c>
      <c r="F388" s="236">
        <v>6</v>
      </c>
      <c r="G388" s="236">
        <v>1</v>
      </c>
      <c r="H388" s="240">
        <f>SUM(Tabla1321124[[#This Row],[PRIMER TRIMESTRE]:[CUARTO TRIMESTRE]])</f>
        <v>14</v>
      </c>
      <c r="I388" s="17">
        <v>2860</v>
      </c>
      <c r="J388" s="17">
        <f>+Tabla1321124[[#This Row],[CANTIDAD TOTAL]]*Tabla1321124[[#This Row],[PRECIO UNITARIO ESTIMADO]]</f>
        <v>40040</v>
      </c>
      <c r="K388" s="17"/>
      <c r="L388" s="16" t="s">
        <v>18</v>
      </c>
      <c r="M388" s="16" t="s">
        <v>22</v>
      </c>
      <c r="N388" s="16" t="s">
        <v>418</v>
      </c>
      <c r="O388" s="243"/>
      <c r="P388" s="243"/>
      <c r="Q388" s="243"/>
      <c r="R388" s="243"/>
      <c r="S388" s="243"/>
      <c r="T388" s="243"/>
      <c r="U388" s="243"/>
      <c r="V388" s="243"/>
      <c r="W388" s="243"/>
      <c r="X388" s="243"/>
      <c r="Y388" s="243"/>
      <c r="Z388" s="243"/>
      <c r="AA388" s="243"/>
      <c r="AB388" s="243"/>
      <c r="AC388" s="243"/>
      <c r="AD388" s="243"/>
      <c r="AE388" s="243"/>
      <c r="AF388" s="243"/>
      <c r="AG388" s="243"/>
      <c r="AH388" s="243"/>
      <c r="AI388" s="243"/>
      <c r="AJ388" s="243"/>
      <c r="AK388" s="243"/>
      <c r="AL388" s="243"/>
      <c r="AM388" s="243"/>
      <c r="AN388" s="243"/>
      <c r="AO388" s="243"/>
      <c r="AP388" s="243"/>
      <c r="AQ388" s="243"/>
      <c r="AR388" s="243"/>
      <c r="AS388" s="243"/>
      <c r="AT388" s="243"/>
      <c r="AU388" s="243"/>
      <c r="AV388" s="243"/>
      <c r="AW388" s="243"/>
      <c r="AX388" s="243"/>
      <c r="AY388" s="243"/>
      <c r="AZ388" s="243"/>
      <c r="BA388" s="243"/>
      <c r="BB388" s="243"/>
      <c r="BC388" s="243"/>
      <c r="BD388" s="243"/>
      <c r="BE388" s="243"/>
      <c r="BF388" s="243"/>
      <c r="BG388" s="243"/>
      <c r="BH388" s="243"/>
      <c r="BI388" s="243"/>
      <c r="BJ388" s="243"/>
      <c r="BK388" s="243"/>
      <c r="BL388" s="243"/>
      <c r="BM388" s="243"/>
      <c r="BN388" s="243"/>
      <c r="BO388" s="243"/>
      <c r="BP388" s="243"/>
      <c r="BQ388" s="243"/>
      <c r="BR388" s="243"/>
      <c r="BS388" s="243"/>
    </row>
    <row r="389" spans="1:71" s="12" customFormat="1" ht="41.25" customHeight="1">
      <c r="A389" s="178" t="s">
        <v>80</v>
      </c>
      <c r="B389" s="178" t="str">
        <f ca="1">+UPPER(Tabla1321124[[#This Row],[DESCRIPCIÓN DE LA COMPRA O CONTRATACIÓN]])</f>
        <v>CLAMPS DE Ø1/2" HF,  CIEGO</v>
      </c>
      <c r="C389" s="39" t="s">
        <v>17</v>
      </c>
      <c r="D389" s="236">
        <v>12</v>
      </c>
      <c r="E389" s="236">
        <v>2</v>
      </c>
      <c r="F389" s="236">
        <v>12</v>
      </c>
      <c r="G389" s="236">
        <v>2</v>
      </c>
      <c r="H389" s="240">
        <f>SUM(Tabla1321124[[#This Row],[PRIMER TRIMESTRE]:[CUARTO TRIMESTRE]])</f>
        <v>28</v>
      </c>
      <c r="I389" s="17">
        <v>250</v>
      </c>
      <c r="J389" s="17">
        <f>+Tabla1321124[[#This Row],[CANTIDAD TOTAL]]*Tabla1321124[[#This Row],[PRECIO UNITARIO ESTIMADO]]</f>
        <v>7000</v>
      </c>
      <c r="K389" s="17"/>
      <c r="L389" s="16" t="s">
        <v>18</v>
      </c>
      <c r="M389" s="16" t="s">
        <v>22</v>
      </c>
      <c r="N389" s="16" t="s">
        <v>418</v>
      </c>
      <c r="O389" s="243"/>
      <c r="P389" s="243"/>
      <c r="Q389" s="243"/>
      <c r="R389" s="243"/>
      <c r="S389" s="243"/>
      <c r="T389" s="243"/>
      <c r="U389" s="243"/>
      <c r="V389" s="243"/>
      <c r="W389" s="243"/>
      <c r="X389" s="243"/>
      <c r="Y389" s="243"/>
      <c r="Z389" s="243"/>
      <c r="AA389" s="243"/>
      <c r="AB389" s="243"/>
      <c r="AC389" s="243"/>
      <c r="AD389" s="243"/>
      <c r="AE389" s="243"/>
      <c r="AF389" s="243"/>
      <c r="AG389" s="243"/>
      <c r="AH389" s="243"/>
      <c r="AI389" s="243"/>
      <c r="AJ389" s="243"/>
      <c r="AK389" s="243"/>
      <c r="AL389" s="243"/>
      <c r="AM389" s="243"/>
      <c r="AN389" s="243"/>
      <c r="AO389" s="243"/>
      <c r="AP389" s="243"/>
      <c r="AQ389" s="243"/>
      <c r="AR389" s="243"/>
      <c r="AS389" s="243"/>
      <c r="AT389" s="243"/>
      <c r="AU389" s="243"/>
      <c r="AV389" s="243"/>
      <c r="AW389" s="243"/>
      <c r="AX389" s="243"/>
      <c r="AY389" s="243"/>
      <c r="AZ389" s="243"/>
      <c r="BA389" s="243"/>
      <c r="BB389" s="243"/>
      <c r="BC389" s="243"/>
      <c r="BD389" s="243"/>
      <c r="BE389" s="243"/>
      <c r="BF389" s="243"/>
      <c r="BG389" s="243"/>
      <c r="BH389" s="243"/>
      <c r="BI389" s="243"/>
      <c r="BJ389" s="243"/>
      <c r="BK389" s="243"/>
      <c r="BL389" s="243"/>
      <c r="BM389" s="243"/>
      <c r="BN389" s="243"/>
      <c r="BO389" s="243"/>
      <c r="BP389" s="243"/>
      <c r="BQ389" s="243"/>
      <c r="BR389" s="243"/>
      <c r="BS389" s="243"/>
    </row>
    <row r="390" spans="1:71" s="12" customFormat="1" ht="41.25" customHeight="1">
      <c r="A390" s="178" t="s">
        <v>80</v>
      </c>
      <c r="B390" s="178" t="str">
        <f ca="1">+UPPER(Tabla1321124[[#This Row],[DESCRIPCIÓN DE LA COMPRA O CONTRATACIÓN]])</f>
        <v>CLAMPS DE Ø3/4" HF,  CIEGO</v>
      </c>
      <c r="C390" s="39" t="s">
        <v>17</v>
      </c>
      <c r="D390" s="236">
        <v>12</v>
      </c>
      <c r="E390" s="236">
        <v>2</v>
      </c>
      <c r="F390" s="236">
        <v>12</v>
      </c>
      <c r="G390" s="236">
        <v>2</v>
      </c>
      <c r="H390" s="240">
        <f>SUM(Tabla1321124[[#This Row],[PRIMER TRIMESTRE]:[CUARTO TRIMESTRE]])</f>
        <v>28</v>
      </c>
      <c r="I390" s="17">
        <v>275</v>
      </c>
      <c r="J390" s="17">
        <f>+Tabla1321124[[#This Row],[CANTIDAD TOTAL]]*Tabla1321124[[#This Row],[PRECIO UNITARIO ESTIMADO]]</f>
        <v>7700</v>
      </c>
      <c r="K390" s="17"/>
      <c r="L390" s="16" t="s">
        <v>18</v>
      </c>
      <c r="M390" s="16" t="s">
        <v>22</v>
      </c>
      <c r="N390" s="16" t="s">
        <v>418</v>
      </c>
      <c r="O390" s="243"/>
      <c r="P390" s="243"/>
      <c r="Q390" s="243"/>
      <c r="R390" s="243"/>
      <c r="S390" s="243"/>
      <c r="T390" s="243"/>
      <c r="U390" s="243"/>
      <c r="V390" s="243"/>
      <c r="W390" s="243"/>
      <c r="X390" s="243"/>
      <c r="Y390" s="243"/>
      <c r="Z390" s="243"/>
      <c r="AA390" s="243"/>
      <c r="AB390" s="243"/>
      <c r="AC390" s="243"/>
      <c r="AD390" s="243"/>
      <c r="AE390" s="243"/>
      <c r="AF390" s="243"/>
      <c r="AG390" s="243"/>
      <c r="AH390" s="243"/>
      <c r="AI390" s="243"/>
      <c r="AJ390" s="243"/>
      <c r="AK390" s="243"/>
      <c r="AL390" s="243"/>
      <c r="AM390" s="243"/>
      <c r="AN390" s="243"/>
      <c r="AO390" s="243"/>
      <c r="AP390" s="243"/>
      <c r="AQ390" s="243"/>
      <c r="AR390" s="243"/>
      <c r="AS390" s="243"/>
      <c r="AT390" s="243"/>
      <c r="AU390" s="243"/>
      <c r="AV390" s="243"/>
      <c r="AW390" s="243"/>
      <c r="AX390" s="243"/>
      <c r="AY390" s="243"/>
      <c r="AZ390" s="243"/>
      <c r="BA390" s="243"/>
      <c r="BB390" s="243"/>
      <c r="BC390" s="243"/>
      <c r="BD390" s="243"/>
      <c r="BE390" s="243"/>
      <c r="BF390" s="243"/>
      <c r="BG390" s="243"/>
      <c r="BH390" s="243"/>
      <c r="BI390" s="243"/>
      <c r="BJ390" s="243"/>
      <c r="BK390" s="243"/>
      <c r="BL390" s="243"/>
      <c r="BM390" s="243"/>
      <c r="BN390" s="243"/>
      <c r="BO390" s="243"/>
      <c r="BP390" s="243"/>
      <c r="BQ390" s="243"/>
      <c r="BR390" s="243"/>
      <c r="BS390" s="243"/>
    </row>
    <row r="391" spans="1:71" s="12" customFormat="1" ht="41.25" customHeight="1">
      <c r="A391" s="178" t="s">
        <v>80</v>
      </c>
      <c r="B391" s="178" t="str">
        <f ca="1">+UPPER(Tabla1321124[[#This Row],[DESCRIPCIÓN DE LA COMPRA O CONTRATACIÓN]])</f>
        <v>CLAMPS DE Ø1" HF,  CIEGO</v>
      </c>
      <c r="C391" s="39" t="s">
        <v>17</v>
      </c>
      <c r="D391" s="236">
        <v>12</v>
      </c>
      <c r="E391" s="236">
        <v>2</v>
      </c>
      <c r="F391" s="236">
        <v>12</v>
      </c>
      <c r="G391" s="236">
        <v>2</v>
      </c>
      <c r="H391" s="240">
        <f>SUM(Tabla1321124[[#This Row],[PRIMER TRIMESTRE]:[CUARTO TRIMESTRE]])</f>
        <v>28</v>
      </c>
      <c r="I391" s="17">
        <v>300</v>
      </c>
      <c r="J391" s="17">
        <f>+Tabla1321124[[#This Row],[CANTIDAD TOTAL]]*Tabla1321124[[#This Row],[PRECIO UNITARIO ESTIMADO]]</f>
        <v>8400</v>
      </c>
      <c r="K391" s="17"/>
      <c r="L391" s="16" t="s">
        <v>18</v>
      </c>
      <c r="M391" s="16" t="s">
        <v>22</v>
      </c>
      <c r="N391" s="16" t="s">
        <v>418</v>
      </c>
      <c r="O391" s="243"/>
      <c r="P391" s="243"/>
      <c r="Q391" s="243"/>
      <c r="R391" s="243"/>
      <c r="S391" s="243"/>
      <c r="T391" s="243"/>
      <c r="U391" s="243"/>
      <c r="V391" s="243"/>
      <c r="W391" s="243"/>
      <c r="X391" s="243"/>
      <c r="Y391" s="243"/>
      <c r="Z391" s="243"/>
      <c r="AA391" s="243"/>
      <c r="AB391" s="243"/>
      <c r="AC391" s="243"/>
      <c r="AD391" s="243"/>
      <c r="AE391" s="243"/>
      <c r="AF391" s="243"/>
      <c r="AG391" s="243"/>
      <c r="AH391" s="243"/>
      <c r="AI391" s="243"/>
      <c r="AJ391" s="243"/>
      <c r="AK391" s="243"/>
      <c r="AL391" s="243"/>
      <c r="AM391" s="243"/>
      <c r="AN391" s="243"/>
      <c r="AO391" s="243"/>
      <c r="AP391" s="243"/>
      <c r="AQ391" s="243"/>
      <c r="AR391" s="243"/>
      <c r="AS391" s="243"/>
      <c r="AT391" s="243"/>
      <c r="AU391" s="243"/>
      <c r="AV391" s="243"/>
      <c r="AW391" s="243"/>
      <c r="AX391" s="243"/>
      <c r="AY391" s="243"/>
      <c r="AZ391" s="243"/>
      <c r="BA391" s="243"/>
      <c r="BB391" s="243"/>
      <c r="BC391" s="243"/>
      <c r="BD391" s="243"/>
      <c r="BE391" s="243"/>
      <c r="BF391" s="243"/>
      <c r="BG391" s="243"/>
      <c r="BH391" s="243"/>
      <c r="BI391" s="243"/>
      <c r="BJ391" s="243"/>
      <c r="BK391" s="243"/>
      <c r="BL391" s="243"/>
      <c r="BM391" s="243"/>
      <c r="BN391" s="243"/>
      <c r="BO391" s="243"/>
      <c r="BP391" s="243"/>
      <c r="BQ391" s="243"/>
      <c r="BR391" s="243"/>
      <c r="BS391" s="243"/>
    </row>
    <row r="392" spans="1:71" s="12" customFormat="1" ht="41.25" customHeight="1">
      <c r="A392" s="178" t="s">
        <v>80</v>
      </c>
      <c r="B392" s="178" t="str">
        <f ca="1">+UPPER(Tabla1321124[[#This Row],[DESCRIPCIÓN DE LA COMPRA O CONTRATACIÓN]])</f>
        <v>CLAMPS DE Ø2" HF,  CIEGO</v>
      </c>
      <c r="C392" s="39" t="s">
        <v>17</v>
      </c>
      <c r="D392" s="236">
        <v>12</v>
      </c>
      <c r="E392" s="236">
        <v>2</v>
      </c>
      <c r="F392" s="236">
        <v>12</v>
      </c>
      <c r="G392" s="236">
        <v>2</v>
      </c>
      <c r="H392" s="240">
        <f>SUM(Tabla1321124[[#This Row],[PRIMER TRIMESTRE]:[CUARTO TRIMESTRE]])</f>
        <v>28</v>
      </c>
      <c r="I392" s="17">
        <v>400</v>
      </c>
      <c r="J392" s="17">
        <f>+Tabla1321124[[#This Row],[CANTIDAD TOTAL]]*Tabla1321124[[#This Row],[PRECIO UNITARIO ESTIMADO]]</f>
        <v>11200</v>
      </c>
      <c r="K392" s="17"/>
      <c r="L392" s="16" t="s">
        <v>18</v>
      </c>
      <c r="M392" s="16" t="s">
        <v>22</v>
      </c>
      <c r="N392" s="16" t="s">
        <v>418</v>
      </c>
      <c r="O392" s="243"/>
      <c r="P392" s="243"/>
      <c r="Q392" s="243"/>
      <c r="R392" s="243"/>
      <c r="S392" s="243"/>
      <c r="T392" s="243"/>
      <c r="U392" s="243"/>
      <c r="V392" s="243"/>
      <c r="W392" s="243"/>
      <c r="X392" s="243"/>
      <c r="Y392" s="243"/>
      <c r="Z392" s="243"/>
      <c r="AA392" s="243"/>
      <c r="AB392" s="243"/>
      <c r="AC392" s="243"/>
      <c r="AD392" s="243"/>
      <c r="AE392" s="243"/>
      <c r="AF392" s="243"/>
      <c r="AG392" s="243"/>
      <c r="AH392" s="243"/>
      <c r="AI392" s="243"/>
      <c r="AJ392" s="243"/>
      <c r="AK392" s="243"/>
      <c r="AL392" s="243"/>
      <c r="AM392" s="243"/>
      <c r="AN392" s="243"/>
      <c r="AO392" s="243"/>
      <c r="AP392" s="243"/>
      <c r="AQ392" s="243"/>
      <c r="AR392" s="243"/>
      <c r="AS392" s="243"/>
      <c r="AT392" s="243"/>
      <c r="AU392" s="243"/>
      <c r="AV392" s="243"/>
      <c r="AW392" s="243"/>
      <c r="AX392" s="243"/>
      <c r="AY392" s="243"/>
      <c r="AZ392" s="243"/>
      <c r="BA392" s="243"/>
      <c r="BB392" s="243"/>
      <c r="BC392" s="243"/>
      <c r="BD392" s="243"/>
      <c r="BE392" s="243"/>
      <c r="BF392" s="243"/>
      <c r="BG392" s="243"/>
      <c r="BH392" s="243"/>
      <c r="BI392" s="243"/>
      <c r="BJ392" s="243"/>
      <c r="BK392" s="243"/>
      <c r="BL392" s="243"/>
      <c r="BM392" s="243"/>
      <c r="BN392" s="243"/>
      <c r="BO392" s="243"/>
      <c r="BP392" s="243"/>
      <c r="BQ392" s="243"/>
      <c r="BR392" s="243"/>
      <c r="BS392" s="243"/>
    </row>
    <row r="393" spans="1:71" s="12" customFormat="1" ht="41.25" customHeight="1">
      <c r="A393" s="178" t="s">
        <v>80</v>
      </c>
      <c r="B393" s="178" t="str">
        <f ca="1">+UPPER(Tabla1321124[[#This Row],[DESCRIPCIÓN DE LA COMPRA O CONTRATACIÓN]])</f>
        <v>CLAMPS DE Ø3" HF,  CIEGO</v>
      </c>
      <c r="C393" s="39" t="s">
        <v>17</v>
      </c>
      <c r="D393" s="236">
        <v>12</v>
      </c>
      <c r="E393" s="236">
        <v>2</v>
      </c>
      <c r="F393" s="236">
        <v>12</v>
      </c>
      <c r="G393" s="236">
        <v>2</v>
      </c>
      <c r="H393" s="240">
        <f>SUM(Tabla1321124[[#This Row],[PRIMER TRIMESTRE]:[CUARTO TRIMESTRE]])</f>
        <v>28</v>
      </c>
      <c r="I393" s="17">
        <v>600</v>
      </c>
      <c r="J393" s="17">
        <f>+Tabla1321124[[#This Row],[CANTIDAD TOTAL]]*Tabla1321124[[#This Row],[PRECIO UNITARIO ESTIMADO]]</f>
        <v>16800</v>
      </c>
      <c r="K393" s="17"/>
      <c r="L393" s="16" t="s">
        <v>18</v>
      </c>
      <c r="M393" s="16" t="s">
        <v>22</v>
      </c>
      <c r="N393" s="16" t="s">
        <v>418</v>
      </c>
      <c r="O393" s="243"/>
      <c r="P393" s="243"/>
      <c r="Q393" s="243"/>
      <c r="R393" s="243"/>
      <c r="S393" s="243"/>
      <c r="T393" s="243"/>
      <c r="U393" s="243"/>
      <c r="V393" s="243"/>
      <c r="W393" s="243"/>
      <c r="X393" s="243"/>
      <c r="Y393" s="243"/>
      <c r="Z393" s="243"/>
      <c r="AA393" s="243"/>
      <c r="AB393" s="243"/>
      <c r="AC393" s="243"/>
      <c r="AD393" s="243"/>
      <c r="AE393" s="243"/>
      <c r="AF393" s="243"/>
      <c r="AG393" s="243"/>
      <c r="AH393" s="243"/>
      <c r="AI393" s="243"/>
      <c r="AJ393" s="243"/>
      <c r="AK393" s="243"/>
      <c r="AL393" s="243"/>
      <c r="AM393" s="243"/>
      <c r="AN393" s="243"/>
      <c r="AO393" s="243"/>
      <c r="AP393" s="243"/>
      <c r="AQ393" s="243"/>
      <c r="AR393" s="243"/>
      <c r="AS393" s="243"/>
      <c r="AT393" s="243"/>
      <c r="AU393" s="243"/>
      <c r="AV393" s="243"/>
      <c r="AW393" s="243"/>
      <c r="AX393" s="243"/>
      <c r="AY393" s="243"/>
      <c r="AZ393" s="243"/>
      <c r="BA393" s="243"/>
      <c r="BB393" s="243"/>
      <c r="BC393" s="243"/>
      <c r="BD393" s="243"/>
      <c r="BE393" s="243"/>
      <c r="BF393" s="243"/>
      <c r="BG393" s="243"/>
      <c r="BH393" s="243"/>
      <c r="BI393" s="243"/>
      <c r="BJ393" s="243"/>
      <c r="BK393" s="243"/>
      <c r="BL393" s="243"/>
      <c r="BM393" s="243"/>
      <c r="BN393" s="243"/>
      <c r="BO393" s="243"/>
      <c r="BP393" s="243"/>
      <c r="BQ393" s="243"/>
      <c r="BR393" s="243"/>
      <c r="BS393" s="243"/>
    </row>
    <row r="394" spans="1:71" s="12" customFormat="1" ht="41.25" customHeight="1">
      <c r="A394" s="178" t="s">
        <v>80</v>
      </c>
      <c r="B394" s="178" t="str">
        <f ca="1">+UPPER(Tabla1321124[[#This Row],[DESCRIPCIÓN DE LA COMPRA O CONTRATACIÓN]])</f>
        <v>CLAMPS DE Ø4" HF,  CIEGO</v>
      </c>
      <c r="C394" s="39" t="s">
        <v>17</v>
      </c>
      <c r="D394" s="236">
        <v>12</v>
      </c>
      <c r="E394" s="236">
        <v>2</v>
      </c>
      <c r="F394" s="236">
        <v>12</v>
      </c>
      <c r="G394" s="236">
        <v>2</v>
      </c>
      <c r="H394" s="240">
        <f>SUM(Tabla1321124[[#This Row],[PRIMER TRIMESTRE]:[CUARTO TRIMESTRE]])</f>
        <v>28</v>
      </c>
      <c r="I394" s="17">
        <v>800</v>
      </c>
      <c r="J394" s="17">
        <f>+Tabla1321124[[#This Row],[CANTIDAD TOTAL]]*Tabla1321124[[#This Row],[PRECIO UNITARIO ESTIMADO]]</f>
        <v>22400</v>
      </c>
      <c r="K394" s="17"/>
      <c r="L394" s="16" t="s">
        <v>18</v>
      </c>
      <c r="M394" s="16" t="s">
        <v>22</v>
      </c>
      <c r="N394" s="16" t="s">
        <v>418</v>
      </c>
      <c r="O394" s="243"/>
      <c r="P394" s="243"/>
      <c r="Q394" s="243"/>
      <c r="R394" s="243"/>
      <c r="S394" s="243"/>
      <c r="T394" s="243"/>
      <c r="U394" s="243"/>
      <c r="V394" s="243"/>
      <c r="W394" s="243"/>
      <c r="X394" s="243"/>
      <c r="Y394" s="243"/>
      <c r="Z394" s="243"/>
      <c r="AA394" s="243"/>
      <c r="AB394" s="243"/>
      <c r="AC394" s="243"/>
      <c r="AD394" s="243"/>
      <c r="AE394" s="243"/>
      <c r="AF394" s="243"/>
      <c r="AG394" s="243"/>
      <c r="AH394" s="243"/>
      <c r="AI394" s="243"/>
      <c r="AJ394" s="243"/>
      <c r="AK394" s="243"/>
      <c r="AL394" s="243"/>
      <c r="AM394" s="243"/>
      <c r="AN394" s="243"/>
      <c r="AO394" s="243"/>
      <c r="AP394" s="243"/>
      <c r="AQ394" s="243"/>
      <c r="AR394" s="243"/>
      <c r="AS394" s="243"/>
      <c r="AT394" s="243"/>
      <c r="AU394" s="243"/>
      <c r="AV394" s="243"/>
      <c r="AW394" s="243"/>
      <c r="AX394" s="243"/>
      <c r="AY394" s="243"/>
      <c r="AZ394" s="243"/>
      <c r="BA394" s="243"/>
      <c r="BB394" s="243"/>
      <c r="BC394" s="243"/>
      <c r="BD394" s="243"/>
      <c r="BE394" s="243"/>
      <c r="BF394" s="243"/>
      <c r="BG394" s="243"/>
      <c r="BH394" s="243"/>
      <c r="BI394" s="243"/>
      <c r="BJ394" s="243"/>
      <c r="BK394" s="243"/>
      <c r="BL394" s="243"/>
      <c r="BM394" s="243"/>
      <c r="BN394" s="243"/>
      <c r="BO394" s="243"/>
      <c r="BP394" s="243"/>
      <c r="BQ394" s="243"/>
      <c r="BR394" s="243"/>
      <c r="BS394" s="243"/>
    </row>
    <row r="395" spans="1:71" s="12" customFormat="1" ht="41.25" customHeight="1">
      <c r="A395" s="178" t="s">
        <v>80</v>
      </c>
      <c r="B395" s="178" t="str">
        <f ca="1">+UPPER(Tabla1321124[[#This Row],[DESCRIPCIÓN DE LA COMPRA O CONTRATACIÓN]])</f>
        <v>CLAMPS DE Ø6" HF,  CIEGO</v>
      </c>
      <c r="C395" s="39" t="s">
        <v>17</v>
      </c>
      <c r="D395" s="236">
        <f>10+12</f>
        <v>22</v>
      </c>
      <c r="E395" s="236">
        <f>10+2</f>
        <v>12</v>
      </c>
      <c r="F395" s="236">
        <f>10+12</f>
        <v>22</v>
      </c>
      <c r="G395" s="236">
        <f>10+2</f>
        <v>12</v>
      </c>
      <c r="H395" s="240">
        <f>SUM(Tabla1321124[[#This Row],[PRIMER TRIMESTRE]:[CUARTO TRIMESTRE]])</f>
        <v>68</v>
      </c>
      <c r="I395" s="17">
        <v>1200</v>
      </c>
      <c r="J395" s="17">
        <f>+Tabla1321124[[#This Row],[CANTIDAD TOTAL]]*Tabla1321124[[#This Row],[PRECIO UNITARIO ESTIMADO]]</f>
        <v>81600</v>
      </c>
      <c r="K395" s="17"/>
      <c r="L395" s="16" t="s">
        <v>18</v>
      </c>
      <c r="M395" s="16" t="s">
        <v>22</v>
      </c>
      <c r="N395" s="16" t="s">
        <v>418</v>
      </c>
      <c r="O395" s="243"/>
      <c r="P395" s="243"/>
      <c r="Q395" s="243"/>
      <c r="R395" s="243"/>
      <c r="S395" s="243"/>
      <c r="T395" s="243"/>
      <c r="U395" s="243"/>
      <c r="V395" s="243"/>
      <c r="W395" s="243"/>
      <c r="X395" s="243"/>
      <c r="Y395" s="243"/>
      <c r="Z395" s="243"/>
      <c r="AA395" s="243"/>
      <c r="AB395" s="243"/>
      <c r="AC395" s="243"/>
      <c r="AD395" s="243"/>
      <c r="AE395" s="243"/>
      <c r="AF395" s="243"/>
      <c r="AG395" s="243"/>
      <c r="AH395" s="243"/>
      <c r="AI395" s="243"/>
      <c r="AJ395" s="243"/>
      <c r="AK395" s="243"/>
      <c r="AL395" s="243"/>
      <c r="AM395" s="243"/>
      <c r="AN395" s="243"/>
      <c r="AO395" s="243"/>
      <c r="AP395" s="243"/>
      <c r="AQ395" s="243"/>
      <c r="AR395" s="243"/>
      <c r="AS395" s="243"/>
      <c r="AT395" s="243"/>
      <c r="AU395" s="243"/>
      <c r="AV395" s="243"/>
      <c r="AW395" s="243"/>
      <c r="AX395" s="243"/>
      <c r="AY395" s="243"/>
      <c r="AZ395" s="243"/>
      <c r="BA395" s="243"/>
      <c r="BB395" s="243"/>
      <c r="BC395" s="243"/>
      <c r="BD395" s="243"/>
      <c r="BE395" s="243"/>
      <c r="BF395" s="243"/>
      <c r="BG395" s="243"/>
      <c r="BH395" s="243"/>
      <c r="BI395" s="243"/>
      <c r="BJ395" s="243"/>
      <c r="BK395" s="243"/>
      <c r="BL395" s="243"/>
      <c r="BM395" s="243"/>
      <c r="BN395" s="243"/>
      <c r="BO395" s="243"/>
      <c r="BP395" s="243"/>
      <c r="BQ395" s="243"/>
      <c r="BR395" s="243"/>
      <c r="BS395" s="243"/>
    </row>
    <row r="396" spans="1:71" s="12" customFormat="1" ht="41.25" customHeight="1">
      <c r="A396" s="178" t="s">
        <v>80</v>
      </c>
      <c r="B396" s="178" t="str">
        <f ca="1">+UPPER(Tabla1321124[[#This Row],[DESCRIPCIÓN DE LA COMPRA O CONTRATACIÓN]])</f>
        <v>CLAMPS DE Ø8" HF,  CIEGO</v>
      </c>
      <c r="C396" s="39" t="s">
        <v>17</v>
      </c>
      <c r="D396" s="236">
        <f>10+12</f>
        <v>22</v>
      </c>
      <c r="E396" s="236">
        <f>10+2</f>
        <v>12</v>
      </c>
      <c r="F396" s="236">
        <f>10+12</f>
        <v>22</v>
      </c>
      <c r="G396" s="236">
        <f>10+2</f>
        <v>12</v>
      </c>
      <c r="H396" s="240">
        <f>SUM(Tabla1321124[[#This Row],[PRIMER TRIMESTRE]:[CUARTO TRIMESTRE]])</f>
        <v>68</v>
      </c>
      <c r="I396" s="17">
        <v>1600</v>
      </c>
      <c r="J396" s="17">
        <f>+Tabla1321124[[#This Row],[CANTIDAD TOTAL]]*Tabla1321124[[#This Row],[PRECIO UNITARIO ESTIMADO]]</f>
        <v>108800</v>
      </c>
      <c r="K396" s="17"/>
      <c r="L396" s="16" t="s">
        <v>18</v>
      </c>
      <c r="M396" s="16" t="s">
        <v>22</v>
      </c>
      <c r="N396" s="16" t="s">
        <v>418</v>
      </c>
      <c r="O396" s="243"/>
      <c r="P396" s="243"/>
      <c r="Q396" s="243"/>
      <c r="R396" s="243"/>
      <c r="S396" s="243"/>
      <c r="T396" s="243"/>
      <c r="U396" s="243"/>
      <c r="V396" s="243"/>
      <c r="W396" s="243"/>
      <c r="X396" s="243"/>
      <c r="Y396" s="243"/>
      <c r="Z396" s="243"/>
      <c r="AA396" s="243"/>
      <c r="AB396" s="243"/>
      <c r="AC396" s="243"/>
      <c r="AD396" s="243"/>
      <c r="AE396" s="243"/>
      <c r="AF396" s="243"/>
      <c r="AG396" s="243"/>
      <c r="AH396" s="243"/>
      <c r="AI396" s="243"/>
      <c r="AJ396" s="243"/>
      <c r="AK396" s="243"/>
      <c r="AL396" s="243"/>
      <c r="AM396" s="243"/>
      <c r="AN396" s="243"/>
      <c r="AO396" s="243"/>
      <c r="AP396" s="243"/>
      <c r="AQ396" s="243"/>
      <c r="AR396" s="243"/>
      <c r="AS396" s="243"/>
      <c r="AT396" s="243"/>
      <c r="AU396" s="243"/>
      <c r="AV396" s="243"/>
      <c r="AW396" s="243"/>
      <c r="AX396" s="243"/>
      <c r="AY396" s="243"/>
      <c r="AZ396" s="243"/>
      <c r="BA396" s="243"/>
      <c r="BB396" s="243"/>
      <c r="BC396" s="243"/>
      <c r="BD396" s="243"/>
      <c r="BE396" s="243"/>
      <c r="BF396" s="243"/>
      <c r="BG396" s="243"/>
      <c r="BH396" s="243"/>
      <c r="BI396" s="243"/>
      <c r="BJ396" s="243"/>
      <c r="BK396" s="243"/>
      <c r="BL396" s="243"/>
      <c r="BM396" s="243"/>
      <c r="BN396" s="243"/>
      <c r="BO396" s="243"/>
      <c r="BP396" s="243"/>
      <c r="BQ396" s="243"/>
      <c r="BR396" s="243"/>
      <c r="BS396" s="243"/>
    </row>
    <row r="397" spans="1:71" s="12" customFormat="1" ht="41.25" customHeight="1">
      <c r="A397" s="178" t="s">
        <v>80</v>
      </c>
      <c r="B397" s="178" t="str">
        <f ca="1">+UPPER(Tabla1321124[[#This Row],[DESCRIPCIÓN DE LA COMPRA O CONTRATACIÓN]])</f>
        <v>CLAMPS DE Ø10" HF,  CIEGO</v>
      </c>
      <c r="C397" s="39" t="s">
        <v>17</v>
      </c>
      <c r="D397" s="236">
        <v>2</v>
      </c>
      <c r="E397" s="236">
        <v>2</v>
      </c>
      <c r="F397" s="236">
        <v>2</v>
      </c>
      <c r="G397" s="236">
        <v>2</v>
      </c>
      <c r="H397" s="240">
        <f>SUM(Tabla1321124[[#This Row],[PRIMER TRIMESTRE]:[CUARTO TRIMESTRE]])</f>
        <v>8</v>
      </c>
      <c r="I397" s="17">
        <v>1800</v>
      </c>
      <c r="J397" s="17">
        <f>+Tabla1321124[[#This Row],[CANTIDAD TOTAL]]*Tabla1321124[[#This Row],[PRECIO UNITARIO ESTIMADO]]</f>
        <v>14400</v>
      </c>
      <c r="K397" s="17"/>
      <c r="L397" s="16" t="s">
        <v>18</v>
      </c>
      <c r="M397" s="16" t="s">
        <v>22</v>
      </c>
      <c r="N397" s="16" t="s">
        <v>418</v>
      </c>
      <c r="O397" s="243"/>
      <c r="P397" s="243"/>
      <c r="Q397" s="243"/>
      <c r="R397" s="243"/>
      <c r="S397" s="243"/>
      <c r="T397" s="243"/>
      <c r="U397" s="243"/>
      <c r="V397" s="243"/>
      <c r="W397" s="243"/>
      <c r="X397" s="243"/>
      <c r="Y397" s="243"/>
      <c r="Z397" s="243"/>
      <c r="AA397" s="243"/>
      <c r="AB397" s="243"/>
      <c r="AC397" s="243"/>
      <c r="AD397" s="243"/>
      <c r="AE397" s="243"/>
      <c r="AF397" s="243"/>
      <c r="AG397" s="243"/>
      <c r="AH397" s="243"/>
      <c r="AI397" s="243"/>
      <c r="AJ397" s="243"/>
      <c r="AK397" s="243"/>
      <c r="AL397" s="243"/>
      <c r="AM397" s="243"/>
      <c r="AN397" s="243"/>
      <c r="AO397" s="243"/>
      <c r="AP397" s="243"/>
      <c r="AQ397" s="243"/>
      <c r="AR397" s="243"/>
      <c r="AS397" s="243"/>
      <c r="AT397" s="243"/>
      <c r="AU397" s="243"/>
      <c r="AV397" s="243"/>
      <c r="AW397" s="243"/>
      <c r="AX397" s="243"/>
      <c r="AY397" s="243"/>
      <c r="AZ397" s="243"/>
      <c r="BA397" s="243"/>
      <c r="BB397" s="243"/>
      <c r="BC397" s="243"/>
      <c r="BD397" s="243"/>
      <c r="BE397" s="243"/>
      <c r="BF397" s="243"/>
      <c r="BG397" s="243"/>
      <c r="BH397" s="243"/>
      <c r="BI397" s="243"/>
      <c r="BJ397" s="243"/>
      <c r="BK397" s="243"/>
      <c r="BL397" s="243"/>
      <c r="BM397" s="243"/>
      <c r="BN397" s="243"/>
      <c r="BO397" s="243"/>
      <c r="BP397" s="243"/>
      <c r="BQ397" s="243"/>
      <c r="BR397" s="243"/>
      <c r="BS397" s="243"/>
    </row>
    <row r="398" spans="1:71" s="12" customFormat="1" ht="41.25" customHeight="1">
      <c r="A398" s="178" t="s">
        <v>80</v>
      </c>
      <c r="B398" s="178" t="str">
        <f ca="1">+UPPER(Tabla1321124[[#This Row],[DESCRIPCIÓN DE LA COMPRA O CONTRATACIÓN]])</f>
        <v>CLAMPS DE Ø12" HF,  CIEGO</v>
      </c>
      <c r="C398" s="39" t="s">
        <v>17</v>
      </c>
      <c r="D398" s="236">
        <f>1+12</f>
        <v>13</v>
      </c>
      <c r="E398" s="236">
        <f>10+2</f>
        <v>12</v>
      </c>
      <c r="F398" s="236">
        <f>10+12</f>
        <v>22</v>
      </c>
      <c r="G398" s="236">
        <f>10+2</f>
        <v>12</v>
      </c>
      <c r="H398" s="240">
        <f>SUM(Tabla1321124[[#This Row],[PRIMER TRIMESTRE]:[CUARTO TRIMESTRE]])</f>
        <v>59</v>
      </c>
      <c r="I398" s="17">
        <v>2000</v>
      </c>
      <c r="J398" s="17">
        <f>+Tabla1321124[[#This Row],[CANTIDAD TOTAL]]*Tabla1321124[[#This Row],[PRECIO UNITARIO ESTIMADO]]</f>
        <v>118000</v>
      </c>
      <c r="K398" s="17"/>
      <c r="L398" s="16" t="s">
        <v>18</v>
      </c>
      <c r="M398" s="16" t="s">
        <v>22</v>
      </c>
      <c r="N398" s="16" t="s">
        <v>418</v>
      </c>
      <c r="O398" s="243"/>
      <c r="P398" s="243"/>
      <c r="Q398" s="243"/>
      <c r="R398" s="243"/>
      <c r="S398" s="243"/>
      <c r="T398" s="243"/>
      <c r="U398" s="243"/>
      <c r="V398" s="243"/>
      <c r="W398" s="243"/>
      <c r="X398" s="243"/>
      <c r="Y398" s="243"/>
      <c r="Z398" s="243"/>
      <c r="AA398" s="243"/>
      <c r="AB398" s="243"/>
      <c r="AC398" s="243"/>
      <c r="AD398" s="243"/>
      <c r="AE398" s="243"/>
      <c r="AF398" s="243"/>
      <c r="AG398" s="243"/>
      <c r="AH398" s="243"/>
      <c r="AI398" s="243"/>
      <c r="AJ398" s="243"/>
      <c r="AK398" s="243"/>
      <c r="AL398" s="243"/>
      <c r="AM398" s="243"/>
      <c r="AN398" s="243"/>
      <c r="AO398" s="243"/>
      <c r="AP398" s="243"/>
      <c r="AQ398" s="243"/>
      <c r="AR398" s="243"/>
      <c r="AS398" s="243"/>
      <c r="AT398" s="243"/>
      <c r="AU398" s="243"/>
      <c r="AV398" s="243"/>
      <c r="AW398" s="243"/>
      <c r="AX398" s="243"/>
      <c r="AY398" s="243"/>
      <c r="AZ398" s="243"/>
      <c r="BA398" s="243"/>
      <c r="BB398" s="243"/>
      <c r="BC398" s="243"/>
      <c r="BD398" s="243"/>
      <c r="BE398" s="243"/>
      <c r="BF398" s="243"/>
      <c r="BG398" s="243"/>
      <c r="BH398" s="243"/>
      <c r="BI398" s="243"/>
      <c r="BJ398" s="243"/>
      <c r="BK398" s="243"/>
      <c r="BL398" s="243"/>
      <c r="BM398" s="243"/>
      <c r="BN398" s="243"/>
      <c r="BO398" s="243"/>
      <c r="BP398" s="243"/>
      <c r="BQ398" s="243"/>
      <c r="BR398" s="243"/>
      <c r="BS398" s="243"/>
    </row>
    <row r="399" spans="1:71" s="12" customFormat="1" ht="41.25" customHeight="1">
      <c r="A399" s="178" t="s">
        <v>80</v>
      </c>
      <c r="B399" s="178" t="str">
        <f ca="1">+UPPER(Tabla1321124[[#This Row],[DESCRIPCIÓN DE LA COMPRA O CONTRATACIÓN]])</f>
        <v>CLAMPS DE Ø16" HF,  CIEGO</v>
      </c>
      <c r="C399" s="39" t="s">
        <v>17</v>
      </c>
      <c r="D399" s="236">
        <f>10+12</f>
        <v>22</v>
      </c>
      <c r="E399" s="236">
        <f>10+2</f>
        <v>12</v>
      </c>
      <c r="F399" s="236">
        <f>10+12</f>
        <v>22</v>
      </c>
      <c r="G399" s="236">
        <f>10+2</f>
        <v>12</v>
      </c>
      <c r="H399" s="240">
        <f>SUM(Tabla1321124[[#This Row],[PRIMER TRIMESTRE]:[CUARTO TRIMESTRE]])</f>
        <v>68</v>
      </c>
      <c r="I399" s="17">
        <v>3200</v>
      </c>
      <c r="J399" s="17">
        <f>+Tabla1321124[[#This Row],[CANTIDAD TOTAL]]*Tabla1321124[[#This Row],[PRECIO UNITARIO ESTIMADO]]</f>
        <v>217600</v>
      </c>
      <c r="K399" s="17"/>
      <c r="L399" s="16" t="s">
        <v>18</v>
      </c>
      <c r="M399" s="16" t="s">
        <v>22</v>
      </c>
      <c r="N399" s="16" t="s">
        <v>418</v>
      </c>
      <c r="O399" s="243"/>
      <c r="P399" s="243"/>
      <c r="Q399" s="243"/>
      <c r="R399" s="243"/>
      <c r="S399" s="243"/>
      <c r="T399" s="243"/>
      <c r="U399" s="243"/>
      <c r="V399" s="243"/>
      <c r="W399" s="243"/>
      <c r="X399" s="243"/>
      <c r="Y399" s="243"/>
      <c r="Z399" s="243"/>
      <c r="AA399" s="243"/>
      <c r="AB399" s="243"/>
      <c r="AC399" s="243"/>
      <c r="AD399" s="243"/>
      <c r="AE399" s="243"/>
      <c r="AF399" s="243"/>
      <c r="AG399" s="243"/>
      <c r="AH399" s="243"/>
      <c r="AI399" s="243"/>
      <c r="AJ399" s="243"/>
      <c r="AK399" s="243"/>
      <c r="AL399" s="243"/>
      <c r="AM399" s="243"/>
      <c r="AN399" s="243"/>
      <c r="AO399" s="243"/>
      <c r="AP399" s="243"/>
      <c r="AQ399" s="243"/>
      <c r="AR399" s="243"/>
      <c r="AS399" s="243"/>
      <c r="AT399" s="243"/>
      <c r="AU399" s="243"/>
      <c r="AV399" s="243"/>
      <c r="AW399" s="243"/>
      <c r="AX399" s="243"/>
      <c r="AY399" s="243"/>
      <c r="AZ399" s="243"/>
      <c r="BA399" s="243"/>
      <c r="BB399" s="243"/>
      <c r="BC399" s="243"/>
      <c r="BD399" s="243"/>
      <c r="BE399" s="243"/>
      <c r="BF399" s="243"/>
      <c r="BG399" s="243"/>
      <c r="BH399" s="243"/>
      <c r="BI399" s="243"/>
      <c r="BJ399" s="243"/>
      <c r="BK399" s="243"/>
      <c r="BL399" s="243"/>
      <c r="BM399" s="243"/>
      <c r="BN399" s="243"/>
      <c r="BO399" s="243"/>
      <c r="BP399" s="243"/>
      <c r="BQ399" s="243"/>
      <c r="BR399" s="243"/>
      <c r="BS399" s="243"/>
    </row>
    <row r="400" spans="1:71" s="12" customFormat="1" ht="41.25" customHeight="1">
      <c r="A400" s="178" t="s">
        <v>80</v>
      </c>
      <c r="B400" s="178" t="str">
        <f ca="1">+UPPER(Tabla1321124[[#This Row],[DESCRIPCIÓN DE LA COMPRA O CONTRATACIÓN]])</f>
        <v>CLAMPS DE Ø20" HF,  CIEGO</v>
      </c>
      <c r="C400" s="39" t="s">
        <v>17</v>
      </c>
      <c r="D400" s="236">
        <v>7</v>
      </c>
      <c r="E400" s="236">
        <v>2</v>
      </c>
      <c r="F400" s="236">
        <v>7</v>
      </c>
      <c r="G400" s="236">
        <v>2</v>
      </c>
      <c r="H400" s="240">
        <f>SUM(Tabla1321124[[#This Row],[PRIMER TRIMESTRE]:[CUARTO TRIMESTRE]])</f>
        <v>18</v>
      </c>
      <c r="I400" s="17">
        <v>3800</v>
      </c>
      <c r="J400" s="17">
        <f>+Tabla1321124[[#This Row],[CANTIDAD TOTAL]]*Tabla1321124[[#This Row],[PRECIO UNITARIO ESTIMADO]]</f>
        <v>68400</v>
      </c>
      <c r="K400" s="17"/>
      <c r="L400" s="16" t="s">
        <v>18</v>
      </c>
      <c r="M400" s="16" t="s">
        <v>22</v>
      </c>
      <c r="N400" s="16" t="s">
        <v>418</v>
      </c>
      <c r="O400" s="243"/>
      <c r="P400" s="243"/>
      <c r="Q400" s="243"/>
      <c r="R400" s="243"/>
      <c r="S400" s="243"/>
      <c r="T400" s="243"/>
      <c r="U400" s="243"/>
      <c r="V400" s="243"/>
      <c r="W400" s="243"/>
      <c r="X400" s="243"/>
      <c r="Y400" s="243"/>
      <c r="Z400" s="243"/>
      <c r="AA400" s="243"/>
      <c r="AB400" s="243"/>
      <c r="AC400" s="243"/>
      <c r="AD400" s="243"/>
      <c r="AE400" s="243"/>
      <c r="AF400" s="243"/>
      <c r="AG400" s="243"/>
      <c r="AH400" s="243"/>
      <c r="AI400" s="243"/>
      <c r="AJ400" s="243"/>
      <c r="AK400" s="243"/>
      <c r="AL400" s="243"/>
      <c r="AM400" s="243"/>
      <c r="AN400" s="243"/>
      <c r="AO400" s="243"/>
      <c r="AP400" s="243"/>
      <c r="AQ400" s="243"/>
      <c r="AR400" s="243"/>
      <c r="AS400" s="243"/>
      <c r="AT400" s="243"/>
      <c r="AU400" s="243"/>
      <c r="AV400" s="243"/>
      <c r="AW400" s="243"/>
      <c r="AX400" s="243"/>
      <c r="AY400" s="243"/>
      <c r="AZ400" s="243"/>
      <c r="BA400" s="243"/>
      <c r="BB400" s="243"/>
      <c r="BC400" s="243"/>
      <c r="BD400" s="243"/>
      <c r="BE400" s="243"/>
      <c r="BF400" s="243"/>
      <c r="BG400" s="243"/>
      <c r="BH400" s="243"/>
      <c r="BI400" s="243"/>
      <c r="BJ400" s="243"/>
      <c r="BK400" s="243"/>
      <c r="BL400" s="243"/>
      <c r="BM400" s="243"/>
      <c r="BN400" s="243"/>
      <c r="BO400" s="243"/>
      <c r="BP400" s="243"/>
      <c r="BQ400" s="243"/>
      <c r="BR400" s="243"/>
      <c r="BS400" s="243"/>
    </row>
    <row r="401" spans="1:71" s="12" customFormat="1" ht="41.25" customHeight="1">
      <c r="A401" s="178" t="s">
        <v>80</v>
      </c>
      <c r="B401" s="178" t="str">
        <f ca="1">+UPPER(Tabla1321124[[#This Row],[DESCRIPCIÓN DE LA COMPRA O CONTRATACIÓN]])</f>
        <v>CLAMPS PVC 2  A Ø1/2", ATORNILLADO</v>
      </c>
      <c r="C401" s="39" t="s">
        <v>17</v>
      </c>
      <c r="D401" s="236">
        <v>100</v>
      </c>
      <c r="E401" s="236">
        <v>100</v>
      </c>
      <c r="F401" s="236">
        <v>100</v>
      </c>
      <c r="G401" s="236">
        <v>100</v>
      </c>
      <c r="H401" s="240">
        <f>SUM(Tabla1321124[[#This Row],[PRIMER TRIMESTRE]:[CUARTO TRIMESTRE]])</f>
        <v>400</v>
      </c>
      <c r="I401" s="17">
        <v>29</v>
      </c>
      <c r="J401" s="17">
        <f>+Tabla1321124[[#This Row],[CANTIDAD TOTAL]]*Tabla1321124[[#This Row],[PRECIO UNITARIO ESTIMADO]]</f>
        <v>11600</v>
      </c>
      <c r="K401" s="17"/>
      <c r="L401" s="16" t="s">
        <v>18</v>
      </c>
      <c r="M401" s="16" t="s">
        <v>22</v>
      </c>
      <c r="N401" s="16" t="s">
        <v>418</v>
      </c>
      <c r="O401" s="243"/>
      <c r="P401" s="243"/>
      <c r="Q401" s="243"/>
      <c r="R401" s="243"/>
      <c r="S401" s="243"/>
      <c r="T401" s="243"/>
      <c r="U401" s="243"/>
      <c r="V401" s="243"/>
      <c r="W401" s="243"/>
      <c r="X401" s="243"/>
      <c r="Y401" s="243"/>
      <c r="Z401" s="243"/>
      <c r="AA401" s="243"/>
      <c r="AB401" s="243"/>
      <c r="AC401" s="243"/>
      <c r="AD401" s="243"/>
      <c r="AE401" s="243"/>
      <c r="AF401" s="243"/>
      <c r="AG401" s="243"/>
      <c r="AH401" s="243"/>
      <c r="AI401" s="243"/>
      <c r="AJ401" s="243"/>
      <c r="AK401" s="243"/>
      <c r="AL401" s="243"/>
      <c r="AM401" s="243"/>
      <c r="AN401" s="243"/>
      <c r="AO401" s="243"/>
      <c r="AP401" s="243"/>
      <c r="AQ401" s="243"/>
      <c r="AR401" s="243"/>
      <c r="AS401" s="243"/>
      <c r="AT401" s="243"/>
      <c r="AU401" s="243"/>
      <c r="AV401" s="243"/>
      <c r="AW401" s="243"/>
      <c r="AX401" s="243"/>
      <c r="AY401" s="243"/>
      <c r="AZ401" s="243"/>
      <c r="BA401" s="243"/>
      <c r="BB401" s="243"/>
      <c r="BC401" s="243"/>
      <c r="BD401" s="243"/>
      <c r="BE401" s="243"/>
      <c r="BF401" s="243"/>
      <c r="BG401" s="243"/>
      <c r="BH401" s="243"/>
      <c r="BI401" s="243"/>
      <c r="BJ401" s="243"/>
      <c r="BK401" s="243"/>
      <c r="BL401" s="243"/>
      <c r="BM401" s="243"/>
      <c r="BN401" s="243"/>
      <c r="BO401" s="243"/>
      <c r="BP401" s="243"/>
      <c r="BQ401" s="243"/>
      <c r="BR401" s="243"/>
      <c r="BS401" s="243"/>
    </row>
    <row r="402" spans="1:71" s="12" customFormat="1" ht="41.25" customHeight="1">
      <c r="A402" s="178" t="s">
        <v>80</v>
      </c>
      <c r="B402" s="178" t="str">
        <f ca="1">+UPPER(Tabla1321124[[#This Row],[DESCRIPCIÓN DE LA COMPRA O CONTRATACIÓN]])</f>
        <v>CLAMPS PVC 2  A  Ø3/4", ATORNILLADO</v>
      </c>
      <c r="C402" s="39" t="s">
        <v>17</v>
      </c>
      <c r="D402" s="236">
        <v>100</v>
      </c>
      <c r="E402" s="236">
        <v>100</v>
      </c>
      <c r="F402" s="236">
        <v>100</v>
      </c>
      <c r="G402" s="236">
        <v>100</v>
      </c>
      <c r="H402" s="240">
        <f>SUM(Tabla1321124[[#This Row],[PRIMER TRIMESTRE]:[CUARTO TRIMESTRE]])</f>
        <v>400</v>
      </c>
      <c r="I402" s="17">
        <v>31.16</v>
      </c>
      <c r="J402" s="17">
        <f>+Tabla1321124[[#This Row],[CANTIDAD TOTAL]]*Tabla1321124[[#This Row],[PRECIO UNITARIO ESTIMADO]]</f>
        <v>12464</v>
      </c>
      <c r="K402" s="17"/>
      <c r="L402" s="16" t="s">
        <v>18</v>
      </c>
      <c r="M402" s="16" t="s">
        <v>22</v>
      </c>
      <c r="N402" s="16" t="s">
        <v>418</v>
      </c>
      <c r="O402" s="243"/>
      <c r="P402" s="243"/>
      <c r="Q402" s="243"/>
      <c r="R402" s="243"/>
      <c r="S402" s="243"/>
      <c r="T402" s="243"/>
      <c r="U402" s="243"/>
      <c r="V402" s="243"/>
      <c r="W402" s="243"/>
      <c r="X402" s="243"/>
      <c r="Y402" s="243"/>
      <c r="Z402" s="243"/>
      <c r="AA402" s="243"/>
      <c r="AB402" s="243"/>
      <c r="AC402" s="243"/>
      <c r="AD402" s="243"/>
      <c r="AE402" s="243"/>
      <c r="AF402" s="243"/>
      <c r="AG402" s="243"/>
      <c r="AH402" s="243"/>
      <c r="AI402" s="243"/>
      <c r="AJ402" s="243"/>
      <c r="AK402" s="243"/>
      <c r="AL402" s="243"/>
      <c r="AM402" s="243"/>
      <c r="AN402" s="243"/>
      <c r="AO402" s="243"/>
      <c r="AP402" s="243"/>
      <c r="AQ402" s="243"/>
      <c r="AR402" s="243"/>
      <c r="AS402" s="243"/>
      <c r="AT402" s="243"/>
      <c r="AU402" s="243"/>
      <c r="AV402" s="243"/>
      <c r="AW402" s="243"/>
      <c r="AX402" s="243"/>
      <c r="AY402" s="243"/>
      <c r="AZ402" s="243"/>
      <c r="BA402" s="243"/>
      <c r="BB402" s="243"/>
      <c r="BC402" s="243"/>
      <c r="BD402" s="243"/>
      <c r="BE402" s="243"/>
      <c r="BF402" s="243"/>
      <c r="BG402" s="243"/>
      <c r="BH402" s="243"/>
      <c r="BI402" s="243"/>
      <c r="BJ402" s="243"/>
      <c r="BK402" s="243"/>
      <c r="BL402" s="243"/>
      <c r="BM402" s="243"/>
      <c r="BN402" s="243"/>
      <c r="BO402" s="243"/>
      <c r="BP402" s="243"/>
      <c r="BQ402" s="243"/>
      <c r="BR402" s="243"/>
      <c r="BS402" s="243"/>
    </row>
    <row r="403" spans="1:71" s="12" customFormat="1" ht="41.25" customHeight="1">
      <c r="A403" s="178" t="s">
        <v>80</v>
      </c>
      <c r="B403" s="178" t="str">
        <f ca="1">+UPPER(Tabla1321124[[#This Row],[DESCRIPCIÓN DE LA COMPRA O CONTRATACIÓN]])</f>
        <v>CLAMPS PVC 3  A Ø1/2", ATORNILLADO</v>
      </c>
      <c r="C403" s="39" t="s">
        <v>17</v>
      </c>
      <c r="D403" s="236">
        <f>25+25</f>
        <v>50</v>
      </c>
      <c r="E403" s="236">
        <f>25+5</f>
        <v>30</v>
      </c>
      <c r="F403" s="236">
        <f>25+25</f>
        <v>50</v>
      </c>
      <c r="G403" s="236">
        <f>25+5</f>
        <v>30</v>
      </c>
      <c r="H403" s="240">
        <f>SUM(Tabla1321124[[#This Row],[PRIMER TRIMESTRE]:[CUARTO TRIMESTRE]])</f>
        <v>160</v>
      </c>
      <c r="I403" s="17">
        <v>54.52</v>
      </c>
      <c r="J403" s="17">
        <f>+Tabla1321124[[#This Row],[CANTIDAD TOTAL]]*Tabla1321124[[#This Row],[PRECIO UNITARIO ESTIMADO]]</f>
        <v>8723.2000000000007</v>
      </c>
      <c r="K403" s="17"/>
      <c r="L403" s="16" t="s">
        <v>18</v>
      </c>
      <c r="M403" s="16" t="s">
        <v>22</v>
      </c>
      <c r="N403" s="16" t="s">
        <v>418</v>
      </c>
      <c r="O403" s="243"/>
      <c r="P403" s="243"/>
      <c r="Q403" s="243"/>
      <c r="R403" s="243"/>
      <c r="S403" s="243"/>
      <c r="T403" s="243"/>
      <c r="U403" s="243"/>
      <c r="V403" s="243"/>
      <c r="W403" s="243"/>
      <c r="X403" s="243"/>
      <c r="Y403" s="243"/>
      <c r="Z403" s="243"/>
      <c r="AA403" s="243"/>
      <c r="AB403" s="243"/>
      <c r="AC403" s="243"/>
      <c r="AD403" s="243"/>
      <c r="AE403" s="243"/>
      <c r="AF403" s="243"/>
      <c r="AG403" s="243"/>
      <c r="AH403" s="243"/>
      <c r="AI403" s="243"/>
      <c r="AJ403" s="243"/>
      <c r="AK403" s="243"/>
      <c r="AL403" s="243"/>
      <c r="AM403" s="243"/>
      <c r="AN403" s="243"/>
      <c r="AO403" s="243"/>
      <c r="AP403" s="243"/>
      <c r="AQ403" s="243"/>
      <c r="AR403" s="243"/>
      <c r="AS403" s="243"/>
      <c r="AT403" s="243"/>
      <c r="AU403" s="243"/>
      <c r="AV403" s="243"/>
      <c r="AW403" s="243"/>
      <c r="AX403" s="243"/>
      <c r="AY403" s="243"/>
      <c r="AZ403" s="243"/>
      <c r="BA403" s="243"/>
      <c r="BB403" s="243"/>
      <c r="BC403" s="243"/>
      <c r="BD403" s="243"/>
      <c r="BE403" s="243"/>
      <c r="BF403" s="243"/>
      <c r="BG403" s="243"/>
      <c r="BH403" s="243"/>
      <c r="BI403" s="243"/>
      <c r="BJ403" s="243"/>
      <c r="BK403" s="243"/>
      <c r="BL403" s="243"/>
      <c r="BM403" s="243"/>
      <c r="BN403" s="243"/>
      <c r="BO403" s="243"/>
      <c r="BP403" s="243"/>
      <c r="BQ403" s="243"/>
      <c r="BR403" s="243"/>
      <c r="BS403" s="243"/>
    </row>
    <row r="404" spans="1:71" s="12" customFormat="1" ht="41.25" customHeight="1">
      <c r="A404" s="178" t="s">
        <v>80</v>
      </c>
      <c r="B404" s="178" t="str">
        <f ca="1">+UPPER(Tabla1321124[[#This Row],[DESCRIPCIÓN DE LA COMPRA O CONTRATACIÓN]])</f>
        <v>CLAMPS PVC 3 A Ø3/4", ATORNILLADO</v>
      </c>
      <c r="C404" s="39" t="s">
        <v>17</v>
      </c>
      <c r="D404" s="236">
        <f>25+25</f>
        <v>50</v>
      </c>
      <c r="E404" s="236">
        <f>25+5</f>
        <v>30</v>
      </c>
      <c r="F404" s="236">
        <f>25+25</f>
        <v>50</v>
      </c>
      <c r="G404" s="236">
        <f>25+5</f>
        <v>30</v>
      </c>
      <c r="H404" s="240">
        <f>SUM(Tabla1321124[[#This Row],[PRIMER TRIMESTRE]:[CUARTO TRIMESTRE]])</f>
        <v>160</v>
      </c>
      <c r="I404" s="17">
        <v>55.84</v>
      </c>
      <c r="J404" s="17">
        <f>+Tabla1321124[[#This Row],[CANTIDAD TOTAL]]*Tabla1321124[[#This Row],[PRECIO UNITARIO ESTIMADO]]</f>
        <v>8934.4000000000015</v>
      </c>
      <c r="K404" s="17"/>
      <c r="L404" s="16" t="s">
        <v>18</v>
      </c>
      <c r="M404" s="16" t="s">
        <v>22</v>
      </c>
      <c r="N404" s="16" t="s">
        <v>418</v>
      </c>
      <c r="O404" s="243"/>
      <c r="P404" s="243"/>
      <c r="Q404" s="243"/>
      <c r="R404" s="243"/>
      <c r="S404" s="243"/>
      <c r="T404" s="243"/>
      <c r="U404" s="243"/>
      <c r="V404" s="243"/>
      <c r="W404" s="243"/>
      <c r="X404" s="243"/>
      <c r="Y404" s="243"/>
      <c r="Z404" s="243"/>
      <c r="AA404" s="243"/>
      <c r="AB404" s="243"/>
      <c r="AC404" s="243"/>
      <c r="AD404" s="243"/>
      <c r="AE404" s="243"/>
      <c r="AF404" s="243"/>
      <c r="AG404" s="243"/>
      <c r="AH404" s="243"/>
      <c r="AI404" s="243"/>
      <c r="AJ404" s="243"/>
      <c r="AK404" s="243"/>
      <c r="AL404" s="243"/>
      <c r="AM404" s="243"/>
      <c r="AN404" s="243"/>
      <c r="AO404" s="243"/>
      <c r="AP404" s="243"/>
      <c r="AQ404" s="243"/>
      <c r="AR404" s="243"/>
      <c r="AS404" s="243"/>
      <c r="AT404" s="243"/>
      <c r="AU404" s="243"/>
      <c r="AV404" s="243"/>
      <c r="AW404" s="243"/>
      <c r="AX404" s="243"/>
      <c r="AY404" s="243"/>
      <c r="AZ404" s="243"/>
      <c r="BA404" s="243"/>
      <c r="BB404" s="243"/>
      <c r="BC404" s="243"/>
      <c r="BD404" s="243"/>
      <c r="BE404" s="243"/>
      <c r="BF404" s="243"/>
      <c r="BG404" s="243"/>
      <c r="BH404" s="243"/>
      <c r="BI404" s="243"/>
      <c r="BJ404" s="243"/>
      <c r="BK404" s="243"/>
      <c r="BL404" s="243"/>
      <c r="BM404" s="243"/>
      <c r="BN404" s="243"/>
      <c r="BO404" s="243"/>
      <c r="BP404" s="243"/>
      <c r="BQ404" s="243"/>
      <c r="BR404" s="243"/>
      <c r="BS404" s="243"/>
    </row>
    <row r="405" spans="1:71" s="12" customFormat="1" ht="41.25" customHeight="1">
      <c r="A405" s="178" t="s">
        <v>80</v>
      </c>
      <c r="B405" s="178" t="str">
        <f ca="1">+UPPER(Tabla1321124[[#This Row],[DESCRIPCIÓN DE LA COMPRA O CONTRATACIÓN]])</f>
        <v>CLAMPS PVC 4 A Ø1/2", ATORNILLADO</v>
      </c>
      <c r="C405" s="39" t="s">
        <v>17</v>
      </c>
      <c r="D405" s="236">
        <f>45+25</f>
        <v>70</v>
      </c>
      <c r="E405" s="236">
        <f>45+5</f>
        <v>50</v>
      </c>
      <c r="F405" s="236">
        <f>45+25</f>
        <v>70</v>
      </c>
      <c r="G405" s="236">
        <f>45+5</f>
        <v>50</v>
      </c>
      <c r="H405" s="240">
        <f>SUM(Tabla1321124[[#This Row],[PRIMER TRIMESTRE]:[CUARTO TRIMESTRE]])</f>
        <v>240</v>
      </c>
      <c r="I405" s="17">
        <v>67.28</v>
      </c>
      <c r="J405" s="17">
        <f>+Tabla1321124[[#This Row],[CANTIDAD TOTAL]]*Tabla1321124[[#This Row],[PRECIO UNITARIO ESTIMADO]]</f>
        <v>16147.2</v>
      </c>
      <c r="K405" s="17"/>
      <c r="L405" s="16" t="s">
        <v>18</v>
      </c>
      <c r="M405" s="16" t="s">
        <v>22</v>
      </c>
      <c r="N405" s="16" t="s">
        <v>418</v>
      </c>
      <c r="O405" s="243"/>
      <c r="P405" s="243"/>
      <c r="Q405" s="243"/>
      <c r="R405" s="243"/>
      <c r="S405" s="243"/>
      <c r="T405" s="243"/>
      <c r="U405" s="243"/>
      <c r="V405" s="243"/>
      <c r="W405" s="243"/>
      <c r="X405" s="243"/>
      <c r="Y405" s="243"/>
      <c r="Z405" s="243"/>
      <c r="AA405" s="243"/>
      <c r="AB405" s="243"/>
      <c r="AC405" s="243"/>
      <c r="AD405" s="243"/>
      <c r="AE405" s="243"/>
      <c r="AF405" s="243"/>
      <c r="AG405" s="243"/>
      <c r="AH405" s="243"/>
      <c r="AI405" s="243"/>
      <c r="AJ405" s="243"/>
      <c r="AK405" s="243"/>
      <c r="AL405" s="243"/>
      <c r="AM405" s="243"/>
      <c r="AN405" s="243"/>
      <c r="AO405" s="243"/>
      <c r="AP405" s="243"/>
      <c r="AQ405" s="243"/>
      <c r="AR405" s="243"/>
      <c r="AS405" s="243"/>
      <c r="AT405" s="243"/>
      <c r="AU405" s="243"/>
      <c r="AV405" s="243"/>
      <c r="AW405" s="243"/>
      <c r="AX405" s="243"/>
      <c r="AY405" s="243"/>
      <c r="AZ405" s="243"/>
      <c r="BA405" s="243"/>
      <c r="BB405" s="243"/>
      <c r="BC405" s="243"/>
      <c r="BD405" s="243"/>
      <c r="BE405" s="243"/>
      <c r="BF405" s="243"/>
      <c r="BG405" s="243"/>
      <c r="BH405" s="243"/>
      <c r="BI405" s="243"/>
      <c r="BJ405" s="243"/>
      <c r="BK405" s="243"/>
      <c r="BL405" s="243"/>
      <c r="BM405" s="243"/>
      <c r="BN405" s="243"/>
      <c r="BO405" s="243"/>
      <c r="BP405" s="243"/>
      <c r="BQ405" s="243"/>
      <c r="BR405" s="243"/>
      <c r="BS405" s="243"/>
    </row>
    <row r="406" spans="1:71" s="12" customFormat="1" ht="41.25" customHeight="1">
      <c r="A406" s="178" t="s">
        <v>80</v>
      </c>
      <c r="B406" s="178" t="str">
        <f ca="1">+UPPER(Tabla1321124[[#This Row],[DESCRIPCIÓN DE LA COMPRA O CONTRATACIÓN]])</f>
        <v xml:space="preserve">CLAMPS PVC 4 A Ø3/4", ATORNILLADO </v>
      </c>
      <c r="C406" s="39" t="s">
        <v>17</v>
      </c>
      <c r="D406" s="236">
        <f>15+25</f>
        <v>40</v>
      </c>
      <c r="E406" s="236">
        <f>15+5</f>
        <v>20</v>
      </c>
      <c r="F406" s="236">
        <f>15+25</f>
        <v>40</v>
      </c>
      <c r="G406" s="236">
        <f>15+5</f>
        <v>20</v>
      </c>
      <c r="H406" s="240">
        <f>SUM(Tabla1321124[[#This Row],[PRIMER TRIMESTRE]:[CUARTO TRIMESTRE]])</f>
        <v>120</v>
      </c>
      <c r="I406" s="17">
        <v>68.28</v>
      </c>
      <c r="J406" s="17">
        <f>+Tabla1321124[[#This Row],[CANTIDAD TOTAL]]*Tabla1321124[[#This Row],[PRECIO UNITARIO ESTIMADO]]</f>
        <v>8193.6</v>
      </c>
      <c r="K406" s="17"/>
      <c r="L406" s="16" t="s">
        <v>18</v>
      </c>
      <c r="M406" s="16" t="s">
        <v>22</v>
      </c>
      <c r="N406" s="16" t="s">
        <v>418</v>
      </c>
      <c r="O406" s="243"/>
      <c r="P406" s="243"/>
      <c r="Q406" s="243"/>
      <c r="R406" s="243"/>
      <c r="S406" s="243"/>
      <c r="T406" s="243"/>
      <c r="U406" s="243"/>
      <c r="V406" s="243"/>
      <c r="W406" s="243"/>
      <c r="X406" s="243"/>
      <c r="Y406" s="243"/>
      <c r="Z406" s="243"/>
      <c r="AA406" s="243"/>
      <c r="AB406" s="243"/>
      <c r="AC406" s="243"/>
      <c r="AD406" s="243"/>
      <c r="AE406" s="243"/>
      <c r="AF406" s="243"/>
      <c r="AG406" s="243"/>
      <c r="AH406" s="243"/>
      <c r="AI406" s="243"/>
      <c r="AJ406" s="243"/>
      <c r="AK406" s="243"/>
      <c r="AL406" s="243"/>
      <c r="AM406" s="243"/>
      <c r="AN406" s="243"/>
      <c r="AO406" s="243"/>
      <c r="AP406" s="243"/>
      <c r="AQ406" s="243"/>
      <c r="AR406" s="243"/>
      <c r="AS406" s="243"/>
      <c r="AT406" s="243"/>
      <c r="AU406" s="243"/>
      <c r="AV406" s="243"/>
      <c r="AW406" s="243"/>
      <c r="AX406" s="243"/>
      <c r="AY406" s="243"/>
      <c r="AZ406" s="243"/>
      <c r="BA406" s="243"/>
      <c r="BB406" s="243"/>
      <c r="BC406" s="243"/>
      <c r="BD406" s="243"/>
      <c r="BE406" s="243"/>
      <c r="BF406" s="243"/>
      <c r="BG406" s="243"/>
      <c r="BH406" s="243"/>
      <c r="BI406" s="243"/>
      <c r="BJ406" s="243"/>
      <c r="BK406" s="243"/>
      <c r="BL406" s="243"/>
      <c r="BM406" s="243"/>
      <c r="BN406" s="243"/>
      <c r="BO406" s="243"/>
      <c r="BP406" s="243"/>
      <c r="BQ406" s="243"/>
      <c r="BR406" s="243"/>
      <c r="BS406" s="243"/>
    </row>
    <row r="407" spans="1:71" s="12" customFormat="1" ht="41.25" customHeight="1">
      <c r="A407" s="178" t="s">
        <v>80</v>
      </c>
      <c r="B407" s="178" t="str">
        <f ca="1">+UPPER(Tabla1321124[[#This Row],[DESCRIPCIÓN DE LA COMPRA O CONTRATACIÓN]])</f>
        <v>CLAMPS PVC 6 A Ø1/2", ATORNILLADO</v>
      </c>
      <c r="C407" s="39" t="s">
        <v>17</v>
      </c>
      <c r="D407" s="236">
        <v>50</v>
      </c>
      <c r="E407" s="236">
        <v>50</v>
      </c>
      <c r="F407" s="236">
        <v>50</v>
      </c>
      <c r="G407" s="236">
        <v>50</v>
      </c>
      <c r="H407" s="240">
        <f>SUM(Tabla1321124[[#This Row],[PRIMER TRIMESTRE]:[CUARTO TRIMESTRE]])</f>
        <v>200</v>
      </c>
      <c r="I407" s="17">
        <v>80</v>
      </c>
      <c r="J407" s="17">
        <f>+Tabla1321124[[#This Row],[CANTIDAD TOTAL]]*Tabla1321124[[#This Row],[PRECIO UNITARIO ESTIMADO]]</f>
        <v>16000</v>
      </c>
      <c r="K407" s="17"/>
      <c r="L407" s="16" t="s">
        <v>18</v>
      </c>
      <c r="M407" s="16" t="s">
        <v>22</v>
      </c>
      <c r="N407" s="16" t="s">
        <v>418</v>
      </c>
      <c r="O407" s="243"/>
      <c r="P407" s="243"/>
      <c r="Q407" s="243"/>
      <c r="R407" s="243"/>
      <c r="S407" s="243"/>
      <c r="T407" s="243"/>
      <c r="U407" s="243"/>
      <c r="V407" s="243"/>
      <c r="W407" s="243"/>
      <c r="X407" s="243"/>
      <c r="Y407" s="243"/>
      <c r="Z407" s="243"/>
      <c r="AA407" s="243"/>
      <c r="AB407" s="243"/>
      <c r="AC407" s="243"/>
      <c r="AD407" s="243"/>
      <c r="AE407" s="243"/>
      <c r="AF407" s="243"/>
      <c r="AG407" s="243"/>
      <c r="AH407" s="243"/>
      <c r="AI407" s="243"/>
      <c r="AJ407" s="243"/>
      <c r="AK407" s="243"/>
      <c r="AL407" s="243"/>
      <c r="AM407" s="243"/>
      <c r="AN407" s="243"/>
      <c r="AO407" s="243"/>
      <c r="AP407" s="243"/>
      <c r="AQ407" s="243"/>
      <c r="AR407" s="243"/>
      <c r="AS407" s="243"/>
      <c r="AT407" s="243"/>
      <c r="AU407" s="243"/>
      <c r="AV407" s="243"/>
      <c r="AW407" s="243"/>
      <c r="AX407" s="243"/>
      <c r="AY407" s="243"/>
      <c r="AZ407" s="243"/>
      <c r="BA407" s="243"/>
      <c r="BB407" s="243"/>
      <c r="BC407" s="243"/>
      <c r="BD407" s="243"/>
      <c r="BE407" s="243"/>
      <c r="BF407" s="243"/>
      <c r="BG407" s="243"/>
      <c r="BH407" s="243"/>
      <c r="BI407" s="243"/>
      <c r="BJ407" s="243"/>
      <c r="BK407" s="243"/>
      <c r="BL407" s="243"/>
      <c r="BM407" s="243"/>
      <c r="BN407" s="243"/>
      <c r="BO407" s="243"/>
      <c r="BP407" s="243"/>
      <c r="BQ407" s="243"/>
      <c r="BR407" s="243"/>
      <c r="BS407" s="243"/>
    </row>
    <row r="408" spans="1:71" s="12" customFormat="1" ht="41.25" customHeight="1">
      <c r="A408" s="178" t="s">
        <v>80</v>
      </c>
      <c r="B408" s="178" t="str">
        <f ca="1">+UPPER(Tabla1321124[[#This Row],[DESCRIPCIÓN DE LA COMPRA O CONTRATACIÓN]])</f>
        <v>CLAMPS PVC 6 A Ø3/4", ATORNILLADO</v>
      </c>
      <c r="C408" s="39" t="s">
        <v>17</v>
      </c>
      <c r="D408" s="236">
        <f>10+25</f>
        <v>35</v>
      </c>
      <c r="E408" s="236">
        <f>10+5</f>
        <v>15</v>
      </c>
      <c r="F408" s="236">
        <f>10+25</f>
        <v>35</v>
      </c>
      <c r="G408" s="236">
        <f>10+5</f>
        <v>15</v>
      </c>
      <c r="H408" s="240">
        <f>SUM(Tabla1321124[[#This Row],[PRIMER TRIMESTRE]:[CUARTO TRIMESTRE]])</f>
        <v>100</v>
      </c>
      <c r="I408" s="17">
        <v>85</v>
      </c>
      <c r="J408" s="17">
        <f>+Tabla1321124[[#This Row],[CANTIDAD TOTAL]]*Tabla1321124[[#This Row],[PRECIO UNITARIO ESTIMADO]]</f>
        <v>8500</v>
      </c>
      <c r="K408" s="17"/>
      <c r="L408" s="16" t="s">
        <v>18</v>
      </c>
      <c r="M408" s="16" t="s">
        <v>22</v>
      </c>
      <c r="N408" s="16" t="s">
        <v>418</v>
      </c>
      <c r="O408" s="243"/>
      <c r="P408" s="243"/>
      <c r="Q408" s="243"/>
      <c r="R408" s="243"/>
      <c r="S408" s="243"/>
      <c r="T408" s="243"/>
      <c r="U408" s="243"/>
      <c r="V408" s="243"/>
      <c r="W408" s="243"/>
      <c r="X408" s="243"/>
      <c r="Y408" s="243"/>
      <c r="Z408" s="243"/>
      <c r="AA408" s="243"/>
      <c r="AB408" s="243"/>
      <c r="AC408" s="243"/>
      <c r="AD408" s="243"/>
      <c r="AE408" s="243"/>
      <c r="AF408" s="243"/>
      <c r="AG408" s="243"/>
      <c r="AH408" s="243"/>
      <c r="AI408" s="243"/>
      <c r="AJ408" s="243"/>
      <c r="AK408" s="243"/>
      <c r="AL408" s="243"/>
      <c r="AM408" s="243"/>
      <c r="AN408" s="243"/>
      <c r="AO408" s="243"/>
      <c r="AP408" s="243"/>
      <c r="AQ408" s="243"/>
      <c r="AR408" s="243"/>
      <c r="AS408" s="243"/>
      <c r="AT408" s="243"/>
      <c r="AU408" s="243"/>
      <c r="AV408" s="243"/>
      <c r="AW408" s="243"/>
      <c r="AX408" s="243"/>
      <c r="AY408" s="243"/>
      <c r="AZ408" s="243"/>
      <c r="BA408" s="243"/>
      <c r="BB408" s="243"/>
      <c r="BC408" s="243"/>
      <c r="BD408" s="243"/>
      <c r="BE408" s="243"/>
      <c r="BF408" s="243"/>
      <c r="BG408" s="243"/>
      <c r="BH408" s="243"/>
      <c r="BI408" s="243"/>
      <c r="BJ408" s="243"/>
      <c r="BK408" s="243"/>
      <c r="BL408" s="243"/>
      <c r="BM408" s="243"/>
      <c r="BN408" s="243"/>
      <c r="BO408" s="243"/>
      <c r="BP408" s="243"/>
      <c r="BQ408" s="243"/>
      <c r="BR408" s="243"/>
      <c r="BS408" s="243"/>
    </row>
    <row r="409" spans="1:71" s="12" customFormat="1" ht="41.25" customHeight="1">
      <c r="A409" s="178" t="s">
        <v>80</v>
      </c>
      <c r="B409" s="178" t="str">
        <f ca="1">+UPPER(Tabla1321124[[#This Row],[DESCRIPCIÓN DE LA COMPRA O CONTRATACIÓN]])</f>
        <v>CLAMPS PVC 6 A Ø1", ATORNILLADO</v>
      </c>
      <c r="C409" s="39" t="s">
        <v>17</v>
      </c>
      <c r="D409" s="236">
        <v>5</v>
      </c>
      <c r="E409" s="236">
        <v>5</v>
      </c>
      <c r="F409" s="236">
        <v>5</v>
      </c>
      <c r="G409" s="236">
        <v>5</v>
      </c>
      <c r="H409" s="240">
        <f>SUM(Tabla1321124[[#This Row],[PRIMER TRIMESTRE]:[CUARTO TRIMESTRE]])</f>
        <v>20</v>
      </c>
      <c r="I409" s="17">
        <v>1044.3</v>
      </c>
      <c r="J409" s="17">
        <f>+Tabla1321124[[#This Row],[CANTIDAD TOTAL]]*Tabla1321124[[#This Row],[PRECIO UNITARIO ESTIMADO]]</f>
        <v>20886</v>
      </c>
      <c r="K409" s="17"/>
      <c r="L409" s="16" t="s">
        <v>18</v>
      </c>
      <c r="M409" s="16" t="s">
        <v>22</v>
      </c>
      <c r="N409" s="16" t="s">
        <v>418</v>
      </c>
      <c r="O409" s="243"/>
      <c r="P409" s="243"/>
      <c r="Q409" s="243"/>
      <c r="R409" s="243"/>
      <c r="S409" s="243"/>
      <c r="T409" s="243"/>
      <c r="U409" s="243"/>
      <c r="V409" s="243"/>
      <c r="W409" s="243"/>
      <c r="X409" s="243"/>
      <c r="Y409" s="243"/>
      <c r="Z409" s="243"/>
      <c r="AA409" s="243"/>
      <c r="AB409" s="243"/>
      <c r="AC409" s="243"/>
      <c r="AD409" s="243"/>
      <c r="AE409" s="243"/>
      <c r="AF409" s="243"/>
      <c r="AG409" s="243"/>
      <c r="AH409" s="243"/>
      <c r="AI409" s="243"/>
      <c r="AJ409" s="243"/>
      <c r="AK409" s="243"/>
      <c r="AL409" s="243"/>
      <c r="AM409" s="243"/>
      <c r="AN409" s="243"/>
      <c r="AO409" s="243"/>
      <c r="AP409" s="243"/>
      <c r="AQ409" s="243"/>
      <c r="AR409" s="243"/>
      <c r="AS409" s="243"/>
      <c r="AT409" s="243"/>
      <c r="AU409" s="243"/>
      <c r="AV409" s="243"/>
      <c r="AW409" s="243"/>
      <c r="AX409" s="243"/>
      <c r="AY409" s="243"/>
      <c r="AZ409" s="243"/>
      <c r="BA409" s="243"/>
      <c r="BB409" s="243"/>
      <c r="BC409" s="243"/>
      <c r="BD409" s="243"/>
      <c r="BE409" s="243"/>
      <c r="BF409" s="243"/>
      <c r="BG409" s="243"/>
      <c r="BH409" s="243"/>
      <c r="BI409" s="243"/>
      <c r="BJ409" s="243"/>
      <c r="BK409" s="243"/>
      <c r="BL409" s="243"/>
      <c r="BM409" s="243"/>
      <c r="BN409" s="243"/>
      <c r="BO409" s="243"/>
      <c r="BP409" s="243"/>
      <c r="BQ409" s="243"/>
      <c r="BR409" s="243"/>
      <c r="BS409" s="243"/>
    </row>
    <row r="410" spans="1:71" s="12" customFormat="1" ht="41.25" customHeight="1">
      <c r="A410" s="178" t="s">
        <v>80</v>
      </c>
      <c r="B410" s="178" t="str">
        <f ca="1">+UPPER(Tabla1321124[[#This Row],[DESCRIPCIÓN DE LA COMPRA O CONTRATACIÓN]])</f>
        <v>CLAMPS PVC 8 A Ø1/2", ATORNILLADO</v>
      </c>
      <c r="C410" s="39" t="s">
        <v>17</v>
      </c>
      <c r="D410" s="236">
        <v>10</v>
      </c>
      <c r="E410" s="236">
        <v>10</v>
      </c>
      <c r="F410" s="236">
        <v>10</v>
      </c>
      <c r="G410" s="236">
        <v>10</v>
      </c>
      <c r="H410" s="240">
        <f>SUM(Tabla1321124[[#This Row],[PRIMER TRIMESTRE]:[CUARTO TRIMESTRE]])</f>
        <v>40</v>
      </c>
      <c r="I410" s="17">
        <v>1000</v>
      </c>
      <c r="J410" s="17">
        <f>+Tabla1321124[[#This Row],[CANTIDAD TOTAL]]*Tabla1321124[[#This Row],[PRECIO UNITARIO ESTIMADO]]</f>
        <v>40000</v>
      </c>
      <c r="K410" s="17"/>
      <c r="L410" s="16" t="s">
        <v>18</v>
      </c>
      <c r="M410" s="16" t="s">
        <v>22</v>
      </c>
      <c r="N410" s="16" t="s">
        <v>418</v>
      </c>
      <c r="O410" s="243"/>
      <c r="P410" s="243"/>
      <c r="Q410" s="243"/>
      <c r="R410" s="243"/>
      <c r="S410" s="243"/>
      <c r="T410" s="243"/>
      <c r="U410" s="243"/>
      <c r="V410" s="243"/>
      <c r="W410" s="243"/>
      <c r="X410" s="243"/>
      <c r="Y410" s="243"/>
      <c r="Z410" s="243"/>
      <c r="AA410" s="243"/>
      <c r="AB410" s="243"/>
      <c r="AC410" s="243"/>
      <c r="AD410" s="243"/>
      <c r="AE410" s="243"/>
      <c r="AF410" s="243"/>
      <c r="AG410" s="243"/>
      <c r="AH410" s="243"/>
      <c r="AI410" s="243"/>
      <c r="AJ410" s="243"/>
      <c r="AK410" s="243"/>
      <c r="AL410" s="243"/>
      <c r="AM410" s="243"/>
      <c r="AN410" s="243"/>
      <c r="AO410" s="243"/>
      <c r="AP410" s="243"/>
      <c r="AQ410" s="243"/>
      <c r="AR410" s="243"/>
      <c r="AS410" s="243"/>
      <c r="AT410" s="243"/>
      <c r="AU410" s="243"/>
      <c r="AV410" s="243"/>
      <c r="AW410" s="243"/>
      <c r="AX410" s="243"/>
      <c r="AY410" s="243"/>
      <c r="AZ410" s="243"/>
      <c r="BA410" s="243"/>
      <c r="BB410" s="243"/>
      <c r="BC410" s="243"/>
      <c r="BD410" s="243"/>
      <c r="BE410" s="243"/>
      <c r="BF410" s="243"/>
      <c r="BG410" s="243"/>
      <c r="BH410" s="243"/>
      <c r="BI410" s="243"/>
      <c r="BJ410" s="243"/>
      <c r="BK410" s="243"/>
      <c r="BL410" s="243"/>
      <c r="BM410" s="243"/>
      <c r="BN410" s="243"/>
      <c r="BO410" s="243"/>
      <c r="BP410" s="243"/>
      <c r="BQ410" s="243"/>
      <c r="BR410" s="243"/>
      <c r="BS410" s="243"/>
    </row>
    <row r="411" spans="1:71" s="12" customFormat="1" ht="41.25" customHeight="1">
      <c r="A411" s="178" t="s">
        <v>80</v>
      </c>
      <c r="B411" s="178" t="str">
        <f ca="1">+UPPER(Tabla1321124[[#This Row],[DESCRIPCIÓN DE LA COMPRA O CONTRATACIÓN]])</f>
        <v>CLAMPS PVC 8 A Ø3/4", ATORNILLADO</v>
      </c>
      <c r="C411" s="39" t="s">
        <v>17</v>
      </c>
      <c r="D411" s="236">
        <v>10</v>
      </c>
      <c r="E411" s="236">
        <v>10</v>
      </c>
      <c r="F411" s="236">
        <v>10</v>
      </c>
      <c r="G411" s="236">
        <v>10</v>
      </c>
      <c r="H411" s="240">
        <f>SUM(Tabla1321124[[#This Row],[PRIMER TRIMESTRE]:[CUARTO TRIMESTRE]])</f>
        <v>40</v>
      </c>
      <c r="I411" s="17">
        <v>1144.5999999999999</v>
      </c>
      <c r="J411" s="17">
        <f>+Tabla1321124[[#This Row],[CANTIDAD TOTAL]]*Tabla1321124[[#This Row],[PRECIO UNITARIO ESTIMADO]]</f>
        <v>45784</v>
      </c>
      <c r="K411" s="17"/>
      <c r="L411" s="16" t="s">
        <v>18</v>
      </c>
      <c r="M411" s="16" t="s">
        <v>22</v>
      </c>
      <c r="N411" s="16" t="s">
        <v>418</v>
      </c>
      <c r="O411" s="243"/>
      <c r="P411" s="243"/>
      <c r="Q411" s="243"/>
      <c r="R411" s="243"/>
      <c r="S411" s="243"/>
      <c r="T411" s="243"/>
      <c r="U411" s="243"/>
      <c r="V411" s="243"/>
      <c r="W411" s="243"/>
      <c r="X411" s="243"/>
      <c r="Y411" s="243"/>
      <c r="Z411" s="243"/>
      <c r="AA411" s="243"/>
      <c r="AB411" s="243"/>
      <c r="AC411" s="243"/>
      <c r="AD411" s="243"/>
      <c r="AE411" s="243"/>
      <c r="AF411" s="243"/>
      <c r="AG411" s="243"/>
      <c r="AH411" s="243"/>
      <c r="AI411" s="243"/>
      <c r="AJ411" s="243"/>
      <c r="AK411" s="243"/>
      <c r="AL411" s="243"/>
      <c r="AM411" s="243"/>
      <c r="AN411" s="243"/>
      <c r="AO411" s="243"/>
      <c r="AP411" s="243"/>
      <c r="AQ411" s="243"/>
      <c r="AR411" s="243"/>
      <c r="AS411" s="243"/>
      <c r="AT411" s="243"/>
      <c r="AU411" s="243"/>
      <c r="AV411" s="243"/>
      <c r="AW411" s="243"/>
      <c r="AX411" s="243"/>
      <c r="AY411" s="243"/>
      <c r="AZ411" s="243"/>
      <c r="BA411" s="243"/>
      <c r="BB411" s="243"/>
      <c r="BC411" s="243"/>
      <c r="BD411" s="243"/>
      <c r="BE411" s="243"/>
      <c r="BF411" s="243"/>
      <c r="BG411" s="243"/>
      <c r="BH411" s="243"/>
      <c r="BI411" s="243"/>
      <c r="BJ411" s="243"/>
      <c r="BK411" s="243"/>
      <c r="BL411" s="243"/>
      <c r="BM411" s="243"/>
      <c r="BN411" s="243"/>
      <c r="BO411" s="243"/>
      <c r="BP411" s="243"/>
      <c r="BQ411" s="243"/>
      <c r="BR411" s="243"/>
      <c r="BS411" s="243"/>
    </row>
    <row r="412" spans="1:71" s="12" customFormat="1" ht="41.25" customHeight="1">
      <c r="A412" s="178" t="s">
        <v>80</v>
      </c>
      <c r="B412" s="178" t="str">
        <f ca="1">+UPPER(Tabla1321124[[#This Row],[DESCRIPCIÓN DE LA COMPRA O CONTRATACIÓN]])</f>
        <v>CLAMPS PVC 8 A Ø1", ATORNILLADO</v>
      </c>
      <c r="C412" s="39" t="s">
        <v>17</v>
      </c>
      <c r="D412" s="236">
        <v>5</v>
      </c>
      <c r="E412" s="236">
        <v>5</v>
      </c>
      <c r="F412" s="236">
        <v>5</v>
      </c>
      <c r="G412" s="236">
        <v>5</v>
      </c>
      <c r="H412" s="240">
        <f>SUM(Tabla1321124[[#This Row],[PRIMER TRIMESTRE]:[CUARTO TRIMESTRE]])</f>
        <v>20</v>
      </c>
      <c r="I412" s="17">
        <v>1534</v>
      </c>
      <c r="J412" s="17">
        <f>+Tabla1321124[[#This Row],[CANTIDAD TOTAL]]*Tabla1321124[[#This Row],[PRECIO UNITARIO ESTIMADO]]</f>
        <v>30680</v>
      </c>
      <c r="K412" s="17"/>
      <c r="L412" s="16" t="s">
        <v>18</v>
      </c>
      <c r="M412" s="16" t="s">
        <v>22</v>
      </c>
      <c r="N412" s="16" t="s">
        <v>418</v>
      </c>
      <c r="O412" s="243"/>
      <c r="P412" s="243"/>
      <c r="Q412" s="243"/>
      <c r="R412" s="243"/>
      <c r="S412" s="243"/>
      <c r="T412" s="243"/>
      <c r="U412" s="243"/>
      <c r="V412" s="243"/>
      <c r="W412" s="243"/>
      <c r="X412" s="243"/>
      <c r="Y412" s="243"/>
      <c r="Z412" s="243"/>
      <c r="AA412" s="243"/>
      <c r="AB412" s="243"/>
      <c r="AC412" s="243"/>
      <c r="AD412" s="243"/>
      <c r="AE412" s="243"/>
      <c r="AF412" s="243"/>
      <c r="AG412" s="243"/>
      <c r="AH412" s="243"/>
      <c r="AI412" s="243"/>
      <c r="AJ412" s="243"/>
      <c r="AK412" s="243"/>
      <c r="AL412" s="243"/>
      <c r="AM412" s="243"/>
      <c r="AN412" s="243"/>
      <c r="AO412" s="243"/>
      <c r="AP412" s="243"/>
      <c r="AQ412" s="243"/>
      <c r="AR412" s="243"/>
      <c r="AS412" s="243"/>
      <c r="AT412" s="243"/>
      <c r="AU412" s="243"/>
      <c r="AV412" s="243"/>
      <c r="AW412" s="243"/>
      <c r="AX412" s="243"/>
      <c r="AY412" s="243"/>
      <c r="AZ412" s="243"/>
      <c r="BA412" s="243"/>
      <c r="BB412" s="243"/>
      <c r="BC412" s="243"/>
      <c r="BD412" s="243"/>
      <c r="BE412" s="243"/>
      <c r="BF412" s="243"/>
      <c r="BG412" s="243"/>
      <c r="BH412" s="243"/>
      <c r="BI412" s="243"/>
      <c r="BJ412" s="243"/>
      <c r="BK412" s="243"/>
      <c r="BL412" s="243"/>
      <c r="BM412" s="243"/>
      <c r="BN412" s="243"/>
      <c r="BO412" s="243"/>
      <c r="BP412" s="243"/>
      <c r="BQ412" s="243"/>
      <c r="BR412" s="243"/>
      <c r="BS412" s="243"/>
    </row>
    <row r="413" spans="1:71" s="12" customFormat="1" ht="41.25" customHeight="1">
      <c r="A413" s="178" t="s">
        <v>80</v>
      </c>
      <c r="B413" s="178" t="str">
        <f ca="1">+UPPER(Tabla1321124[[#This Row],[DESCRIPCIÓN DE LA COMPRA O CONTRATACIÓN]])</f>
        <v>CLAN K8X1 HIERRO</v>
      </c>
      <c r="C413" s="39" t="s">
        <v>17</v>
      </c>
      <c r="D413" s="236"/>
      <c r="E413" s="236"/>
      <c r="F413" s="236"/>
      <c r="G413" s="236"/>
      <c r="H413" s="240">
        <f>SUM(Tabla1321124[[#This Row],[PRIMER TRIMESTRE]:[CUARTO TRIMESTRE]])</f>
        <v>0</v>
      </c>
      <c r="I413" s="17">
        <v>910</v>
      </c>
      <c r="J413" s="17">
        <f>+Tabla1321124[[#This Row],[CANTIDAD TOTAL]]*Tabla1321124[[#This Row],[PRECIO UNITARIO ESTIMADO]]</f>
        <v>0</v>
      </c>
      <c r="K413" s="17"/>
      <c r="L413" s="16" t="s">
        <v>18</v>
      </c>
      <c r="M413" s="16" t="s">
        <v>22</v>
      </c>
      <c r="N413" s="16" t="s">
        <v>418</v>
      </c>
      <c r="O413" s="243"/>
      <c r="P413" s="243"/>
      <c r="Q413" s="243"/>
      <c r="R413" s="243"/>
      <c r="S413" s="243"/>
      <c r="T413" s="243"/>
      <c r="U413" s="243"/>
      <c r="V413" s="243"/>
      <c r="W413" s="243"/>
      <c r="X413" s="243"/>
      <c r="Y413" s="243"/>
      <c r="Z413" s="243"/>
      <c r="AA413" s="243"/>
      <c r="AB413" s="243"/>
      <c r="AC413" s="243"/>
      <c r="AD413" s="243"/>
      <c r="AE413" s="243"/>
      <c r="AF413" s="243"/>
      <c r="AG413" s="243"/>
      <c r="AH413" s="243"/>
      <c r="AI413" s="243"/>
      <c r="AJ413" s="243"/>
      <c r="AK413" s="243"/>
      <c r="AL413" s="243"/>
      <c r="AM413" s="243"/>
      <c r="AN413" s="243"/>
      <c r="AO413" s="243"/>
      <c r="AP413" s="243"/>
      <c r="AQ413" s="243"/>
      <c r="AR413" s="243"/>
      <c r="AS413" s="243"/>
      <c r="AT413" s="243"/>
      <c r="AU413" s="243"/>
      <c r="AV413" s="243"/>
      <c r="AW413" s="243"/>
      <c r="AX413" s="243"/>
      <c r="AY413" s="243"/>
      <c r="AZ413" s="243"/>
      <c r="BA413" s="243"/>
      <c r="BB413" s="243"/>
      <c r="BC413" s="243"/>
      <c r="BD413" s="243"/>
      <c r="BE413" s="243"/>
      <c r="BF413" s="243"/>
      <c r="BG413" s="243"/>
      <c r="BH413" s="243"/>
      <c r="BI413" s="243"/>
      <c r="BJ413" s="243"/>
      <c r="BK413" s="243"/>
      <c r="BL413" s="243"/>
      <c r="BM413" s="243"/>
      <c r="BN413" s="243"/>
      <c r="BO413" s="243"/>
      <c r="BP413" s="243"/>
      <c r="BQ413" s="243"/>
      <c r="BR413" s="243"/>
      <c r="BS413" s="243"/>
    </row>
    <row r="414" spans="1:71" s="12" customFormat="1" ht="41.25" customHeight="1">
      <c r="A414" s="178" t="s">
        <v>80</v>
      </c>
      <c r="B414" s="178" t="str">
        <f ca="1">+UPPER(Tabla1321124[[#This Row],[DESCRIPCIÓN DE LA COMPRA O CONTRATACIÓN]])</f>
        <v>FOCOS GRANDE LINTERNA</v>
      </c>
      <c r="C414" s="39" t="s">
        <v>17</v>
      </c>
      <c r="D414" s="362">
        <v>5</v>
      </c>
      <c r="E414" s="362"/>
      <c r="F414" s="362">
        <v>5</v>
      </c>
      <c r="G414" s="362"/>
      <c r="H414" s="240">
        <f>SUM(Tabla1321124[[#This Row],[PRIMER TRIMESTRE]:[CUARTO TRIMESTRE]])</f>
        <v>10</v>
      </c>
      <c r="I414" s="17">
        <v>450</v>
      </c>
      <c r="J414" s="17">
        <f>+Tabla1321124[[#This Row],[CANTIDAD TOTAL]]*Tabla1321124[[#This Row],[PRECIO UNITARIO ESTIMADO]]</f>
        <v>4500</v>
      </c>
      <c r="K414" s="175"/>
      <c r="L414" s="16" t="s">
        <v>18</v>
      </c>
      <c r="M414" s="16" t="s">
        <v>22</v>
      </c>
      <c r="N414" s="16"/>
      <c r="O414" s="243"/>
      <c r="P414" s="243"/>
      <c r="Q414" s="243"/>
      <c r="R414" s="243"/>
      <c r="S414" s="243"/>
      <c r="T414" s="243"/>
      <c r="U414" s="243"/>
      <c r="V414" s="243"/>
      <c r="W414" s="243"/>
      <c r="X414" s="243"/>
      <c r="Y414" s="243"/>
      <c r="Z414" s="243"/>
      <c r="AA414" s="243"/>
      <c r="AB414" s="243"/>
      <c r="AC414" s="243"/>
      <c r="AD414" s="243"/>
      <c r="AE414" s="243"/>
      <c r="AF414" s="243"/>
      <c r="AG414" s="243"/>
      <c r="AH414" s="243"/>
      <c r="AI414" s="243"/>
      <c r="AJ414" s="243"/>
      <c r="AK414" s="243"/>
      <c r="AL414" s="243"/>
      <c r="AM414" s="243"/>
      <c r="AN414" s="243"/>
      <c r="AO414" s="243"/>
      <c r="AP414" s="243"/>
      <c r="AQ414" s="243"/>
      <c r="AR414" s="243"/>
      <c r="AS414" s="243"/>
      <c r="AT414" s="243"/>
      <c r="AU414" s="243"/>
      <c r="AV414" s="243"/>
      <c r="AW414" s="243"/>
      <c r="AX414" s="243"/>
      <c r="AY414" s="243"/>
      <c r="AZ414" s="243"/>
      <c r="BA414" s="243"/>
      <c r="BB414" s="243"/>
      <c r="BC414" s="243"/>
      <c r="BD414" s="243"/>
      <c r="BE414" s="243"/>
      <c r="BF414" s="243"/>
      <c r="BG414" s="243"/>
      <c r="BH414" s="243"/>
      <c r="BI414" s="243"/>
      <c r="BJ414" s="243"/>
      <c r="BK414" s="243"/>
      <c r="BL414" s="243"/>
      <c r="BM414" s="243"/>
      <c r="BN414" s="243"/>
      <c r="BO414" s="243"/>
      <c r="BP414" s="243"/>
      <c r="BQ414" s="243"/>
      <c r="BR414" s="243"/>
      <c r="BS414" s="243"/>
    </row>
    <row r="415" spans="1:71" s="12" customFormat="1" ht="41.25" customHeight="1">
      <c r="A415" s="178" t="s">
        <v>80</v>
      </c>
      <c r="B415" s="178" t="str">
        <f ca="1">+UPPER(Tabla1321124[[#This Row],[DESCRIPCIÓN DE LA COMPRA O CONTRATACIÓN]])</f>
        <v>LONA DE TELA</v>
      </c>
      <c r="C415" s="39" t="s">
        <v>17</v>
      </c>
      <c r="D415" s="362">
        <v>2</v>
      </c>
      <c r="E415" s="362"/>
      <c r="F415" s="362">
        <v>2</v>
      </c>
      <c r="G415" s="362"/>
      <c r="H415" s="240">
        <f>SUM(Tabla1321124[[#This Row],[PRIMER TRIMESTRE]:[CUARTO TRIMESTRE]])</f>
        <v>4</v>
      </c>
      <c r="I415" s="17">
        <v>1200</v>
      </c>
      <c r="J415" s="17">
        <f>+Tabla1321124[[#This Row],[CANTIDAD TOTAL]]*Tabla1321124[[#This Row],[PRECIO UNITARIO ESTIMADO]]</f>
        <v>4800</v>
      </c>
      <c r="K415" s="175"/>
      <c r="L415" s="16" t="s">
        <v>18</v>
      </c>
      <c r="M415" s="16" t="s">
        <v>22</v>
      </c>
      <c r="N415" s="16"/>
      <c r="O415" s="243"/>
      <c r="P415" s="243"/>
      <c r="Q415" s="243"/>
      <c r="R415" s="243"/>
      <c r="S415" s="243"/>
      <c r="T415" s="243"/>
      <c r="U415" s="243"/>
      <c r="V415" s="243"/>
      <c r="W415" s="243"/>
      <c r="X415" s="243"/>
      <c r="Y415" s="243"/>
      <c r="Z415" s="243"/>
      <c r="AA415" s="243"/>
      <c r="AB415" s="243"/>
      <c r="AC415" s="243"/>
      <c r="AD415" s="243"/>
      <c r="AE415" s="243"/>
      <c r="AF415" s="243"/>
      <c r="AG415" s="243"/>
      <c r="AH415" s="243"/>
      <c r="AI415" s="243"/>
      <c r="AJ415" s="243"/>
      <c r="AK415" s="243"/>
      <c r="AL415" s="243"/>
      <c r="AM415" s="243"/>
      <c r="AN415" s="243"/>
      <c r="AO415" s="243"/>
      <c r="AP415" s="243"/>
      <c r="AQ415" s="243"/>
      <c r="AR415" s="243"/>
      <c r="AS415" s="243"/>
      <c r="AT415" s="243"/>
      <c r="AU415" s="243"/>
      <c r="AV415" s="243"/>
      <c r="AW415" s="243"/>
      <c r="AX415" s="243"/>
      <c r="AY415" s="243"/>
      <c r="AZ415" s="243"/>
      <c r="BA415" s="243"/>
      <c r="BB415" s="243"/>
      <c r="BC415" s="243"/>
      <c r="BD415" s="243"/>
      <c r="BE415" s="243"/>
      <c r="BF415" s="243"/>
      <c r="BG415" s="243"/>
      <c r="BH415" s="243"/>
      <c r="BI415" s="243"/>
      <c r="BJ415" s="243"/>
      <c r="BK415" s="243"/>
      <c r="BL415" s="243"/>
      <c r="BM415" s="243"/>
      <c r="BN415" s="243"/>
      <c r="BO415" s="243"/>
      <c r="BP415" s="243"/>
      <c r="BQ415" s="243"/>
      <c r="BR415" s="243"/>
      <c r="BS415" s="243"/>
    </row>
    <row r="416" spans="1:71" s="12" customFormat="1" ht="41.25" customHeight="1">
      <c r="A416" s="178" t="s">
        <v>80</v>
      </c>
      <c r="B416" s="178" t="str">
        <f ca="1">+UPPER(Tabla1321124[[#This Row],[DESCRIPCIÓN DE LA COMPRA O CONTRATACIÓN]])</f>
        <v>COUPLING DE ¾ H.G.</v>
      </c>
      <c r="C416" s="39" t="s">
        <v>17</v>
      </c>
      <c r="D416" s="368">
        <v>40</v>
      </c>
      <c r="E416" s="368">
        <v>20</v>
      </c>
      <c r="F416" s="368">
        <v>20</v>
      </c>
      <c r="G416" s="368">
        <v>20</v>
      </c>
      <c r="H416" s="240">
        <f>SUM(Tabla1321124[[#This Row],[PRIMER TRIMESTRE]:[CUARTO TRIMESTRE]])</f>
        <v>100</v>
      </c>
      <c r="I416" s="17">
        <v>750</v>
      </c>
      <c r="J416" s="17">
        <f>+Tabla1321124[[#This Row],[CANTIDAD TOTAL]]*Tabla1321124[[#This Row],[PRECIO UNITARIO ESTIMADO]]</f>
        <v>75000</v>
      </c>
      <c r="K416" s="175"/>
      <c r="L416" s="16" t="s">
        <v>18</v>
      </c>
      <c r="M416" s="16" t="s">
        <v>22</v>
      </c>
      <c r="N416" s="16"/>
      <c r="O416" s="243"/>
      <c r="P416" s="243"/>
      <c r="Q416" s="243"/>
      <c r="R416" s="243"/>
      <c r="S416" s="243"/>
      <c r="T416" s="243"/>
      <c r="U416" s="243"/>
      <c r="V416" s="243"/>
      <c r="W416" s="243"/>
      <c r="X416" s="243"/>
      <c r="Y416" s="243"/>
      <c r="Z416" s="243"/>
      <c r="AA416" s="243"/>
      <c r="AB416" s="243"/>
      <c r="AC416" s="243"/>
      <c r="AD416" s="243"/>
      <c r="AE416" s="243"/>
      <c r="AF416" s="243"/>
      <c r="AG416" s="243"/>
      <c r="AH416" s="243"/>
      <c r="AI416" s="243"/>
      <c r="AJ416" s="243"/>
      <c r="AK416" s="243"/>
      <c r="AL416" s="243"/>
      <c r="AM416" s="243"/>
      <c r="AN416" s="243"/>
      <c r="AO416" s="243"/>
      <c r="AP416" s="243"/>
      <c r="AQ416" s="243"/>
      <c r="AR416" s="243"/>
      <c r="AS416" s="243"/>
      <c r="AT416" s="243"/>
      <c r="AU416" s="243"/>
      <c r="AV416" s="243"/>
      <c r="AW416" s="243"/>
      <c r="AX416" s="243"/>
      <c r="AY416" s="243"/>
      <c r="AZ416" s="243"/>
      <c r="BA416" s="243"/>
      <c r="BB416" s="243"/>
      <c r="BC416" s="243"/>
      <c r="BD416" s="243"/>
      <c r="BE416" s="243"/>
      <c r="BF416" s="243"/>
      <c r="BG416" s="243"/>
      <c r="BH416" s="243"/>
      <c r="BI416" s="243"/>
      <c r="BJ416" s="243"/>
      <c r="BK416" s="243"/>
      <c r="BL416" s="243"/>
      <c r="BM416" s="243"/>
      <c r="BN416" s="243"/>
      <c r="BO416" s="243"/>
      <c r="BP416" s="243"/>
      <c r="BQ416" s="243"/>
      <c r="BR416" s="243"/>
      <c r="BS416" s="243"/>
    </row>
    <row r="417" spans="1:71" s="12" customFormat="1" ht="41.25" customHeight="1">
      <c r="A417" s="178" t="s">
        <v>80</v>
      </c>
      <c r="B417" s="178" t="str">
        <f ca="1">+UPPER(Tabla1321124[[#This Row],[DESCRIPCIÓN DE LA COMPRA O CONTRATACIÓN]])</f>
        <v>COUPLING DE 1" H.G.</v>
      </c>
      <c r="C417" s="39" t="s">
        <v>17</v>
      </c>
      <c r="D417" s="368">
        <v>40</v>
      </c>
      <c r="E417" s="368">
        <v>20</v>
      </c>
      <c r="F417" s="368">
        <v>20</v>
      </c>
      <c r="G417" s="368">
        <v>20</v>
      </c>
      <c r="H417" s="240">
        <f>SUM(Tabla1321124[[#This Row],[PRIMER TRIMESTRE]:[CUARTO TRIMESTRE]])</f>
        <v>100</v>
      </c>
      <c r="I417" s="17">
        <v>750</v>
      </c>
      <c r="J417" s="17">
        <f>+Tabla1321124[[#This Row],[CANTIDAD TOTAL]]*Tabla1321124[[#This Row],[PRECIO UNITARIO ESTIMADO]]</f>
        <v>75000</v>
      </c>
      <c r="K417" s="175"/>
      <c r="L417" s="16" t="s">
        <v>18</v>
      </c>
      <c r="M417" s="16" t="s">
        <v>22</v>
      </c>
      <c r="N417" s="16"/>
      <c r="O417" s="243"/>
      <c r="P417" s="243"/>
      <c r="Q417" s="243"/>
      <c r="R417" s="243"/>
      <c r="S417" s="243"/>
      <c r="T417" s="243"/>
      <c r="U417" s="243"/>
      <c r="V417" s="243"/>
      <c r="W417" s="243"/>
      <c r="X417" s="243"/>
      <c r="Y417" s="243"/>
      <c r="Z417" s="243"/>
      <c r="AA417" s="243"/>
      <c r="AB417" s="243"/>
      <c r="AC417" s="243"/>
      <c r="AD417" s="243"/>
      <c r="AE417" s="243"/>
      <c r="AF417" s="243"/>
      <c r="AG417" s="243"/>
      <c r="AH417" s="243"/>
      <c r="AI417" s="243"/>
      <c r="AJ417" s="243"/>
      <c r="AK417" s="243"/>
      <c r="AL417" s="243"/>
      <c r="AM417" s="243"/>
      <c r="AN417" s="243"/>
      <c r="AO417" s="243"/>
      <c r="AP417" s="243"/>
      <c r="AQ417" s="243"/>
      <c r="AR417" s="243"/>
      <c r="AS417" s="243"/>
      <c r="AT417" s="243"/>
      <c r="AU417" s="243"/>
      <c r="AV417" s="243"/>
      <c r="AW417" s="243"/>
      <c r="AX417" s="243"/>
      <c r="AY417" s="243"/>
      <c r="AZ417" s="243"/>
      <c r="BA417" s="243"/>
      <c r="BB417" s="243"/>
      <c r="BC417" s="243"/>
      <c r="BD417" s="243"/>
      <c r="BE417" s="243"/>
      <c r="BF417" s="243"/>
      <c r="BG417" s="243"/>
      <c r="BH417" s="243"/>
      <c r="BI417" s="243"/>
      <c r="BJ417" s="243"/>
      <c r="BK417" s="243"/>
      <c r="BL417" s="243"/>
      <c r="BM417" s="243"/>
      <c r="BN417" s="243"/>
      <c r="BO417" s="243"/>
      <c r="BP417" s="243"/>
      <c r="BQ417" s="243"/>
      <c r="BR417" s="243"/>
      <c r="BS417" s="243"/>
    </row>
    <row r="418" spans="1:71" s="12" customFormat="1" ht="41.25" customHeight="1">
      <c r="A418" s="178" t="s">
        <v>80</v>
      </c>
      <c r="B418" s="178" t="str">
        <f ca="1">+UPPER(Tabla1321124[[#This Row],[DESCRIPCIÓN DE LA COMPRA O CONTRATACIÓN]])</f>
        <v>JUNTA DRESSER DE 1”PVC</v>
      </c>
      <c r="C418" s="39" t="s">
        <v>17</v>
      </c>
      <c r="D418" s="368">
        <v>25</v>
      </c>
      <c r="E418" s="369">
        <v>25</v>
      </c>
      <c r="F418" s="369">
        <v>25</v>
      </c>
      <c r="G418" s="369">
        <v>25</v>
      </c>
      <c r="H418" s="240">
        <f>SUM(Tabla1321124[[#This Row],[PRIMER TRIMESTRE]:[CUARTO TRIMESTRE]])</f>
        <v>100</v>
      </c>
      <c r="I418" s="17">
        <v>850</v>
      </c>
      <c r="J418" s="17">
        <f>+Tabla1321124[[#This Row],[CANTIDAD TOTAL]]*Tabla1321124[[#This Row],[PRECIO UNITARIO ESTIMADO]]</f>
        <v>85000</v>
      </c>
      <c r="K418" s="175"/>
      <c r="L418" s="16" t="s">
        <v>18</v>
      </c>
      <c r="M418" s="16" t="s">
        <v>22</v>
      </c>
      <c r="N418" s="16"/>
      <c r="O418" s="243"/>
      <c r="P418" s="243"/>
      <c r="Q418" s="243"/>
      <c r="R418" s="243"/>
      <c r="S418" s="243"/>
      <c r="T418" s="243"/>
      <c r="U418" s="243"/>
      <c r="V418" s="243"/>
      <c r="W418" s="243"/>
      <c r="X418" s="243"/>
      <c r="Y418" s="243"/>
      <c r="Z418" s="243"/>
      <c r="AA418" s="243"/>
      <c r="AB418" s="243"/>
      <c r="AC418" s="243"/>
      <c r="AD418" s="243"/>
      <c r="AE418" s="243"/>
      <c r="AF418" s="243"/>
      <c r="AG418" s="243"/>
      <c r="AH418" s="243"/>
      <c r="AI418" s="243"/>
      <c r="AJ418" s="243"/>
      <c r="AK418" s="243"/>
      <c r="AL418" s="243"/>
      <c r="AM418" s="243"/>
      <c r="AN418" s="243"/>
      <c r="AO418" s="243"/>
      <c r="AP418" s="243"/>
      <c r="AQ418" s="243"/>
      <c r="AR418" s="243"/>
      <c r="AS418" s="243"/>
      <c r="AT418" s="243"/>
      <c r="AU418" s="243"/>
      <c r="AV418" s="243"/>
      <c r="AW418" s="243"/>
      <c r="AX418" s="243"/>
      <c r="AY418" s="243"/>
      <c r="AZ418" s="243"/>
      <c r="BA418" s="243"/>
      <c r="BB418" s="243"/>
      <c r="BC418" s="243"/>
      <c r="BD418" s="243"/>
      <c r="BE418" s="243"/>
      <c r="BF418" s="243"/>
      <c r="BG418" s="243"/>
      <c r="BH418" s="243"/>
      <c r="BI418" s="243"/>
      <c r="BJ418" s="243"/>
      <c r="BK418" s="243"/>
      <c r="BL418" s="243"/>
      <c r="BM418" s="243"/>
      <c r="BN418" s="243"/>
      <c r="BO418" s="243"/>
      <c r="BP418" s="243"/>
      <c r="BQ418" s="243"/>
      <c r="BR418" s="243"/>
      <c r="BS418" s="243"/>
    </row>
    <row r="419" spans="1:71" s="12" customFormat="1" ht="41.25" customHeight="1">
      <c r="A419" s="178" t="s">
        <v>80</v>
      </c>
      <c r="B419" s="178" t="str">
        <f ca="1">+UPPER(Tabla1321124[[#This Row],[DESCRIPCIÓN DE LA COMPRA O CONTRATACIÓN]])</f>
        <v>JUNTAS DRESSER DE  ½”PVC</v>
      </c>
      <c r="C419" s="39" t="s">
        <v>17</v>
      </c>
      <c r="D419" s="368">
        <v>25</v>
      </c>
      <c r="E419" s="369">
        <v>25</v>
      </c>
      <c r="F419" s="369">
        <v>25</v>
      </c>
      <c r="G419" s="369">
        <v>25</v>
      </c>
      <c r="H419" s="240">
        <f>SUM(Tabla1321124[[#This Row],[PRIMER TRIMESTRE]:[CUARTO TRIMESTRE]])</f>
        <v>100</v>
      </c>
      <c r="I419" s="17">
        <v>850</v>
      </c>
      <c r="J419" s="17">
        <f>+Tabla1321124[[#This Row],[CANTIDAD TOTAL]]*Tabla1321124[[#This Row],[PRECIO UNITARIO ESTIMADO]]</f>
        <v>85000</v>
      </c>
      <c r="K419" s="175"/>
      <c r="L419" s="16" t="s">
        <v>18</v>
      </c>
      <c r="M419" s="16" t="s">
        <v>22</v>
      </c>
      <c r="N419" s="16"/>
      <c r="O419" s="243"/>
      <c r="P419" s="243"/>
      <c r="Q419" s="243"/>
      <c r="R419" s="243"/>
      <c r="S419" s="243"/>
      <c r="T419" s="243"/>
      <c r="U419" s="243"/>
      <c r="V419" s="243"/>
      <c r="W419" s="243"/>
      <c r="X419" s="243"/>
      <c r="Y419" s="243"/>
      <c r="Z419" s="243"/>
      <c r="AA419" s="243"/>
      <c r="AB419" s="243"/>
      <c r="AC419" s="243"/>
      <c r="AD419" s="243"/>
      <c r="AE419" s="243"/>
      <c r="AF419" s="243"/>
      <c r="AG419" s="243"/>
      <c r="AH419" s="243"/>
      <c r="AI419" s="243"/>
      <c r="AJ419" s="243"/>
      <c r="AK419" s="243"/>
      <c r="AL419" s="243"/>
      <c r="AM419" s="243"/>
      <c r="AN419" s="243"/>
      <c r="AO419" s="243"/>
      <c r="AP419" s="243"/>
      <c r="AQ419" s="243"/>
      <c r="AR419" s="243"/>
      <c r="AS419" s="243"/>
      <c r="AT419" s="243"/>
      <c r="AU419" s="243"/>
      <c r="AV419" s="243"/>
      <c r="AW419" s="243"/>
      <c r="AX419" s="243"/>
      <c r="AY419" s="243"/>
      <c r="AZ419" s="243"/>
      <c r="BA419" s="243"/>
      <c r="BB419" s="243"/>
      <c r="BC419" s="243"/>
      <c r="BD419" s="243"/>
      <c r="BE419" s="243"/>
      <c r="BF419" s="243"/>
      <c r="BG419" s="243"/>
      <c r="BH419" s="243"/>
      <c r="BI419" s="243"/>
      <c r="BJ419" s="243"/>
      <c r="BK419" s="243"/>
      <c r="BL419" s="243"/>
      <c r="BM419" s="243"/>
      <c r="BN419" s="243"/>
      <c r="BO419" s="243"/>
      <c r="BP419" s="243"/>
      <c r="BQ419" s="243"/>
      <c r="BR419" s="243"/>
      <c r="BS419" s="243"/>
    </row>
    <row r="420" spans="1:71" s="12" customFormat="1" ht="41.25" customHeight="1">
      <c r="A420" s="178" t="s">
        <v>80</v>
      </c>
      <c r="B420" s="178" t="str">
        <f ca="1">+UPPER(Tabla1321124[[#This Row],[DESCRIPCIÓN DE LA COMPRA O CONTRATACIÓN]])</f>
        <v>JUNTAS DRESSER DE ¾”PVC</v>
      </c>
      <c r="C420" s="39" t="s">
        <v>17</v>
      </c>
      <c r="D420" s="368">
        <v>50</v>
      </c>
      <c r="E420" s="369">
        <v>25</v>
      </c>
      <c r="F420" s="369">
        <v>50</v>
      </c>
      <c r="G420" s="369">
        <v>25</v>
      </c>
      <c r="H420" s="240">
        <f>SUM(Tabla1321124[[#This Row],[PRIMER TRIMESTRE]:[CUARTO TRIMESTRE]])</f>
        <v>150</v>
      </c>
      <c r="I420" s="17">
        <v>950</v>
      </c>
      <c r="J420" s="17">
        <f>+Tabla1321124[[#This Row],[CANTIDAD TOTAL]]*Tabla1321124[[#This Row],[PRECIO UNITARIO ESTIMADO]]</f>
        <v>142500</v>
      </c>
      <c r="K420" s="175"/>
      <c r="L420" s="16" t="s">
        <v>18</v>
      </c>
      <c r="M420" s="16" t="s">
        <v>22</v>
      </c>
      <c r="N420" s="16"/>
      <c r="O420" s="243"/>
      <c r="P420" s="243"/>
      <c r="Q420" s="243"/>
      <c r="R420" s="243"/>
      <c r="S420" s="243"/>
      <c r="T420" s="243"/>
      <c r="U420" s="243"/>
      <c r="V420" s="243"/>
      <c r="W420" s="243"/>
      <c r="X420" s="243"/>
      <c r="Y420" s="243"/>
      <c r="Z420" s="243"/>
      <c r="AA420" s="243"/>
      <c r="AB420" s="243"/>
      <c r="AC420" s="243"/>
      <c r="AD420" s="243"/>
      <c r="AE420" s="243"/>
      <c r="AF420" s="243"/>
      <c r="AG420" s="243"/>
      <c r="AH420" s="243"/>
      <c r="AI420" s="243"/>
      <c r="AJ420" s="243"/>
      <c r="AK420" s="243"/>
      <c r="AL420" s="243"/>
      <c r="AM420" s="243"/>
      <c r="AN420" s="243"/>
      <c r="AO420" s="243"/>
      <c r="AP420" s="243"/>
      <c r="AQ420" s="243"/>
      <c r="AR420" s="243"/>
      <c r="AS420" s="243"/>
      <c r="AT420" s="243"/>
      <c r="AU420" s="243"/>
      <c r="AV420" s="243"/>
      <c r="AW420" s="243"/>
      <c r="AX420" s="243"/>
      <c r="AY420" s="243"/>
      <c r="AZ420" s="243"/>
      <c r="BA420" s="243"/>
      <c r="BB420" s="243"/>
      <c r="BC420" s="243"/>
      <c r="BD420" s="243"/>
      <c r="BE420" s="243"/>
      <c r="BF420" s="243"/>
      <c r="BG420" s="243"/>
      <c r="BH420" s="243"/>
      <c r="BI420" s="243"/>
      <c r="BJ420" s="243"/>
      <c r="BK420" s="243"/>
      <c r="BL420" s="243"/>
      <c r="BM420" s="243"/>
      <c r="BN420" s="243"/>
      <c r="BO420" s="243"/>
      <c r="BP420" s="243"/>
      <c r="BQ420" s="243"/>
      <c r="BR420" s="243"/>
      <c r="BS420" s="243"/>
    </row>
    <row r="421" spans="1:71" s="12" customFormat="1" ht="41.25" customHeight="1">
      <c r="A421" s="178" t="s">
        <v>80</v>
      </c>
      <c r="B421" s="178" t="str">
        <f ca="1">+UPPER(Tabla1321124[[#This Row],[DESCRIPCIÓN DE LA COMPRA O CONTRATACIÓN]])</f>
        <v>JUNTAS DRESSER DE 1 ½”PVC</v>
      </c>
      <c r="C421" s="39" t="s">
        <v>17</v>
      </c>
      <c r="D421" s="368">
        <v>25</v>
      </c>
      <c r="E421" s="369">
        <v>25</v>
      </c>
      <c r="F421" s="369">
        <v>25</v>
      </c>
      <c r="G421" s="369">
        <v>25</v>
      </c>
      <c r="H421" s="240">
        <f>SUM(Tabla1321124[[#This Row],[PRIMER TRIMESTRE]:[CUARTO TRIMESTRE]])</f>
        <v>100</v>
      </c>
      <c r="I421" s="17">
        <v>950</v>
      </c>
      <c r="J421" s="17">
        <f>+Tabla1321124[[#This Row],[CANTIDAD TOTAL]]*Tabla1321124[[#This Row],[PRECIO UNITARIO ESTIMADO]]</f>
        <v>95000</v>
      </c>
      <c r="K421" s="175"/>
      <c r="L421" s="16" t="s">
        <v>18</v>
      </c>
      <c r="M421" s="16" t="s">
        <v>22</v>
      </c>
      <c r="N421" s="16"/>
      <c r="O421" s="243"/>
      <c r="P421" s="243"/>
      <c r="Q421" s="243"/>
      <c r="R421" s="243"/>
      <c r="S421" s="243"/>
      <c r="T421" s="243"/>
      <c r="U421" s="243"/>
      <c r="V421" s="243"/>
      <c r="W421" s="243"/>
      <c r="X421" s="243"/>
      <c r="Y421" s="243"/>
      <c r="Z421" s="243"/>
      <c r="AA421" s="243"/>
      <c r="AB421" s="243"/>
      <c r="AC421" s="243"/>
      <c r="AD421" s="243"/>
      <c r="AE421" s="243"/>
      <c r="AF421" s="243"/>
      <c r="AG421" s="243"/>
      <c r="AH421" s="243"/>
      <c r="AI421" s="243"/>
      <c r="AJ421" s="243"/>
      <c r="AK421" s="243"/>
      <c r="AL421" s="243"/>
      <c r="AM421" s="243"/>
      <c r="AN421" s="243"/>
      <c r="AO421" s="243"/>
      <c r="AP421" s="243"/>
      <c r="AQ421" s="243"/>
      <c r="AR421" s="243"/>
      <c r="AS421" s="243"/>
      <c r="AT421" s="243"/>
      <c r="AU421" s="243"/>
      <c r="AV421" s="243"/>
      <c r="AW421" s="243"/>
      <c r="AX421" s="243"/>
      <c r="AY421" s="243"/>
      <c r="AZ421" s="243"/>
      <c r="BA421" s="243"/>
      <c r="BB421" s="243"/>
      <c r="BC421" s="243"/>
      <c r="BD421" s="243"/>
      <c r="BE421" s="243"/>
      <c r="BF421" s="243"/>
      <c r="BG421" s="243"/>
      <c r="BH421" s="243"/>
      <c r="BI421" s="243"/>
      <c r="BJ421" s="243"/>
      <c r="BK421" s="243"/>
      <c r="BL421" s="243"/>
      <c r="BM421" s="243"/>
      <c r="BN421" s="243"/>
      <c r="BO421" s="243"/>
      <c r="BP421" s="243"/>
      <c r="BQ421" s="243"/>
      <c r="BR421" s="243"/>
      <c r="BS421" s="243"/>
    </row>
    <row r="422" spans="1:71" s="12" customFormat="1" ht="41.25" customHeight="1">
      <c r="A422" s="178" t="s">
        <v>80</v>
      </c>
      <c r="B422" s="178" t="str">
        <f ca="1">+UPPER(Tabla1321124[[#This Row],[DESCRIPCIÓN DE LA COMPRA O CONTRATACIÓN]])</f>
        <v>CODO 1  PVC</v>
      </c>
      <c r="C422" s="39" t="s">
        <v>17</v>
      </c>
      <c r="D422" s="362">
        <v>50</v>
      </c>
      <c r="E422" s="362">
        <v>50</v>
      </c>
      <c r="F422" s="362">
        <v>50</v>
      </c>
      <c r="G422" s="362">
        <v>50</v>
      </c>
      <c r="H422" s="240">
        <f>SUM(Tabla1321124[[#This Row],[PRIMER TRIMESTRE]:[CUARTO TRIMESTRE]])</f>
        <v>200</v>
      </c>
      <c r="I422" s="17">
        <v>547</v>
      </c>
      <c r="J422" s="17">
        <f>+Tabla1321124[[#This Row],[CANTIDAD TOTAL]]*Tabla1321124[[#This Row],[PRECIO UNITARIO ESTIMADO]]</f>
        <v>109400</v>
      </c>
      <c r="K422" s="175"/>
      <c r="L422" s="16" t="s">
        <v>18</v>
      </c>
      <c r="M422" s="16" t="s">
        <v>22</v>
      </c>
      <c r="N422" s="16"/>
      <c r="O422" s="243"/>
      <c r="P422" s="243"/>
      <c r="Q422" s="243"/>
      <c r="R422" s="243"/>
      <c r="S422" s="243"/>
      <c r="T422" s="243"/>
      <c r="U422" s="243"/>
      <c r="V422" s="243"/>
      <c r="W422" s="243"/>
      <c r="X422" s="243"/>
      <c r="Y422" s="243"/>
      <c r="Z422" s="243"/>
      <c r="AA422" s="243"/>
      <c r="AB422" s="243"/>
      <c r="AC422" s="243"/>
      <c r="AD422" s="243"/>
      <c r="AE422" s="243"/>
      <c r="AF422" s="243"/>
      <c r="AG422" s="243"/>
      <c r="AH422" s="243"/>
      <c r="AI422" s="243"/>
      <c r="AJ422" s="243"/>
      <c r="AK422" s="243"/>
      <c r="AL422" s="243"/>
      <c r="AM422" s="243"/>
      <c r="AN422" s="243"/>
      <c r="AO422" s="243"/>
      <c r="AP422" s="243"/>
      <c r="AQ422" s="243"/>
      <c r="AR422" s="243"/>
      <c r="AS422" s="243"/>
      <c r="AT422" s="243"/>
      <c r="AU422" s="243"/>
      <c r="AV422" s="243"/>
      <c r="AW422" s="243"/>
      <c r="AX422" s="243"/>
      <c r="AY422" s="243"/>
      <c r="AZ422" s="243"/>
      <c r="BA422" s="243"/>
      <c r="BB422" s="243"/>
      <c r="BC422" s="243"/>
      <c r="BD422" s="243"/>
      <c r="BE422" s="243"/>
      <c r="BF422" s="243"/>
      <c r="BG422" s="243"/>
      <c r="BH422" s="243"/>
      <c r="BI422" s="243"/>
      <c r="BJ422" s="243"/>
      <c r="BK422" s="243"/>
      <c r="BL422" s="243"/>
      <c r="BM422" s="243"/>
      <c r="BN422" s="243"/>
      <c r="BO422" s="243"/>
      <c r="BP422" s="243"/>
      <c r="BQ422" s="243"/>
      <c r="BR422" s="243"/>
      <c r="BS422" s="243"/>
    </row>
    <row r="423" spans="1:71" s="12" customFormat="1" ht="41.25" customHeight="1">
      <c r="A423" s="178" t="s">
        <v>80</v>
      </c>
      <c r="B423" s="178" t="str">
        <f ca="1">+UPPER(Tabla1321124[[#This Row],[DESCRIPCIÓN DE LA COMPRA O CONTRATACIÓN]])</f>
        <v>CODOS 2 X 90 ACERO</v>
      </c>
      <c r="C423" s="39" t="s">
        <v>17</v>
      </c>
      <c r="D423" s="362">
        <v>5</v>
      </c>
      <c r="E423" s="362"/>
      <c r="F423" s="362">
        <v>5</v>
      </c>
      <c r="G423" s="362"/>
      <c r="H423" s="240">
        <f>SUM(Tabla1321124[[#This Row],[PRIMER TRIMESTRE]:[CUARTO TRIMESTRE]])</f>
        <v>10</v>
      </c>
      <c r="I423" s="17">
        <v>550</v>
      </c>
      <c r="J423" s="17">
        <f>+Tabla1321124[[#This Row],[CANTIDAD TOTAL]]*Tabla1321124[[#This Row],[PRECIO UNITARIO ESTIMADO]]</f>
        <v>5500</v>
      </c>
      <c r="K423" s="175"/>
      <c r="L423" s="16" t="s">
        <v>18</v>
      </c>
      <c r="M423" s="16" t="s">
        <v>22</v>
      </c>
      <c r="N423" s="16"/>
      <c r="O423" s="243"/>
      <c r="P423" s="243"/>
      <c r="Q423" s="243"/>
      <c r="R423" s="243"/>
      <c r="S423" s="243"/>
      <c r="T423" s="243"/>
      <c r="U423" s="243"/>
      <c r="V423" s="243"/>
      <c r="W423" s="243"/>
      <c r="X423" s="243"/>
      <c r="Y423" s="243"/>
      <c r="Z423" s="243"/>
      <c r="AA423" s="243"/>
      <c r="AB423" s="243"/>
      <c r="AC423" s="243"/>
      <c r="AD423" s="243"/>
      <c r="AE423" s="243"/>
      <c r="AF423" s="243"/>
      <c r="AG423" s="243"/>
      <c r="AH423" s="243"/>
      <c r="AI423" s="243"/>
      <c r="AJ423" s="243"/>
      <c r="AK423" s="243"/>
      <c r="AL423" s="243"/>
      <c r="AM423" s="243"/>
      <c r="AN423" s="243"/>
      <c r="AO423" s="243"/>
      <c r="AP423" s="243"/>
      <c r="AQ423" s="243"/>
      <c r="AR423" s="243"/>
      <c r="AS423" s="243"/>
      <c r="AT423" s="243"/>
      <c r="AU423" s="243"/>
      <c r="AV423" s="243"/>
      <c r="AW423" s="243"/>
      <c r="AX423" s="243"/>
      <c r="AY423" s="243"/>
      <c r="AZ423" s="243"/>
      <c r="BA423" s="243"/>
      <c r="BB423" s="243"/>
      <c r="BC423" s="243"/>
      <c r="BD423" s="243"/>
      <c r="BE423" s="243"/>
      <c r="BF423" s="243"/>
      <c r="BG423" s="243"/>
      <c r="BH423" s="243"/>
      <c r="BI423" s="243"/>
      <c r="BJ423" s="243"/>
      <c r="BK423" s="243"/>
      <c r="BL423" s="243"/>
      <c r="BM423" s="243"/>
      <c r="BN423" s="243"/>
      <c r="BO423" s="243"/>
      <c r="BP423" s="243"/>
      <c r="BQ423" s="243"/>
      <c r="BR423" s="243"/>
      <c r="BS423" s="243"/>
    </row>
    <row r="424" spans="1:71" s="12" customFormat="1" ht="41.25" customHeight="1">
      <c r="A424" s="178" t="s">
        <v>80</v>
      </c>
      <c r="B424" s="178" t="str">
        <f ca="1">+UPPER(Tabla1321124[[#This Row],[DESCRIPCIÓN DE LA COMPRA O CONTRATACIÓN]])</f>
        <v>CODOS 2 X 90 PRESION</v>
      </c>
      <c r="C424" s="39" t="s">
        <v>17</v>
      </c>
      <c r="D424" s="362">
        <v>10</v>
      </c>
      <c r="E424" s="362">
        <v>10</v>
      </c>
      <c r="F424" s="362">
        <v>10</v>
      </c>
      <c r="G424" s="362">
        <v>10</v>
      </c>
      <c r="H424" s="240">
        <f>SUM(Tabla1321124[[#This Row],[PRIMER TRIMESTRE]:[CUARTO TRIMESTRE]])</f>
        <v>40</v>
      </c>
      <c r="I424" s="17">
        <v>600</v>
      </c>
      <c r="J424" s="17">
        <f>+Tabla1321124[[#This Row],[CANTIDAD TOTAL]]*Tabla1321124[[#This Row],[PRECIO UNITARIO ESTIMADO]]</f>
        <v>24000</v>
      </c>
      <c r="K424" s="175"/>
      <c r="L424" s="16" t="s">
        <v>18</v>
      </c>
      <c r="M424" s="16" t="s">
        <v>22</v>
      </c>
      <c r="N424" s="16"/>
      <c r="O424" s="243"/>
      <c r="P424" s="243"/>
      <c r="Q424" s="243"/>
      <c r="R424" s="243"/>
      <c r="S424" s="243"/>
      <c r="T424" s="243"/>
      <c r="U424" s="243"/>
      <c r="V424" s="243"/>
      <c r="W424" s="243"/>
      <c r="X424" s="243"/>
      <c r="Y424" s="243"/>
      <c r="Z424" s="243"/>
      <c r="AA424" s="243"/>
      <c r="AB424" s="243"/>
      <c r="AC424" s="243"/>
      <c r="AD424" s="243"/>
      <c r="AE424" s="243"/>
      <c r="AF424" s="243"/>
      <c r="AG424" s="243"/>
      <c r="AH424" s="243"/>
      <c r="AI424" s="243"/>
      <c r="AJ424" s="243"/>
      <c r="AK424" s="243"/>
      <c r="AL424" s="243"/>
      <c r="AM424" s="243"/>
      <c r="AN424" s="243"/>
      <c r="AO424" s="243"/>
      <c r="AP424" s="243"/>
      <c r="AQ424" s="243"/>
      <c r="AR424" s="243"/>
      <c r="AS424" s="243"/>
      <c r="AT424" s="243"/>
      <c r="AU424" s="243"/>
      <c r="AV424" s="243"/>
      <c r="AW424" s="243"/>
      <c r="AX424" s="243"/>
      <c r="AY424" s="243"/>
      <c r="AZ424" s="243"/>
      <c r="BA424" s="243"/>
      <c r="BB424" s="243"/>
      <c r="BC424" s="243"/>
      <c r="BD424" s="243"/>
      <c r="BE424" s="243"/>
      <c r="BF424" s="243"/>
      <c r="BG424" s="243"/>
      <c r="BH424" s="243"/>
      <c r="BI424" s="243"/>
      <c r="BJ424" s="243"/>
      <c r="BK424" s="243"/>
      <c r="BL424" s="243"/>
      <c r="BM424" s="243"/>
      <c r="BN424" s="243"/>
      <c r="BO424" s="243"/>
      <c r="BP424" s="243"/>
      <c r="BQ424" s="243"/>
      <c r="BR424" s="243"/>
      <c r="BS424" s="243"/>
    </row>
    <row r="425" spans="1:71" s="12" customFormat="1" ht="41.25" customHeight="1">
      <c r="A425" s="178" t="s">
        <v>80</v>
      </c>
      <c r="B425" s="178" t="str">
        <f ca="1">+UPPER(Tabla1321124[[#This Row],[DESCRIPCIÓN DE LA COMPRA O CONTRATACIÓN]])</f>
        <v>CODOS 3 X 90 PRESION</v>
      </c>
      <c r="C425" s="39" t="s">
        <v>17</v>
      </c>
      <c r="D425" s="362">
        <v>5</v>
      </c>
      <c r="E425" s="362">
        <v>5</v>
      </c>
      <c r="F425" s="362">
        <v>5</v>
      </c>
      <c r="G425" s="362">
        <v>5</v>
      </c>
      <c r="H425" s="240">
        <f>SUM(Tabla1321124[[#This Row],[PRIMER TRIMESTRE]:[CUARTO TRIMESTRE]])</f>
        <v>20</v>
      </c>
      <c r="I425" s="17">
        <v>700</v>
      </c>
      <c r="J425" s="17">
        <f>+Tabla1321124[[#This Row],[CANTIDAD TOTAL]]*Tabla1321124[[#This Row],[PRECIO UNITARIO ESTIMADO]]</f>
        <v>14000</v>
      </c>
      <c r="K425" s="175"/>
      <c r="L425" s="16" t="s">
        <v>18</v>
      </c>
      <c r="M425" s="16" t="s">
        <v>22</v>
      </c>
      <c r="N425" s="16"/>
      <c r="O425" s="243"/>
      <c r="P425" s="243"/>
      <c r="Q425" s="243"/>
      <c r="R425" s="243"/>
      <c r="S425" s="243"/>
      <c r="T425" s="243"/>
      <c r="U425" s="243"/>
      <c r="V425" s="243"/>
      <c r="W425" s="243"/>
      <c r="X425" s="243"/>
      <c r="Y425" s="243"/>
      <c r="Z425" s="243"/>
      <c r="AA425" s="243"/>
      <c r="AB425" s="243"/>
      <c r="AC425" s="243"/>
      <c r="AD425" s="243"/>
      <c r="AE425" s="243"/>
      <c r="AF425" s="243"/>
      <c r="AG425" s="243"/>
      <c r="AH425" s="243"/>
      <c r="AI425" s="243"/>
      <c r="AJ425" s="243"/>
      <c r="AK425" s="243"/>
      <c r="AL425" s="243"/>
      <c r="AM425" s="243"/>
      <c r="AN425" s="243"/>
      <c r="AO425" s="243"/>
      <c r="AP425" s="243"/>
      <c r="AQ425" s="243"/>
      <c r="AR425" s="243"/>
      <c r="AS425" s="243"/>
      <c r="AT425" s="243"/>
      <c r="AU425" s="243"/>
      <c r="AV425" s="243"/>
      <c r="AW425" s="243"/>
      <c r="AX425" s="243"/>
      <c r="AY425" s="243"/>
      <c r="AZ425" s="243"/>
      <c r="BA425" s="243"/>
      <c r="BB425" s="243"/>
      <c r="BC425" s="243"/>
      <c r="BD425" s="243"/>
      <c r="BE425" s="243"/>
      <c r="BF425" s="243"/>
      <c r="BG425" s="243"/>
      <c r="BH425" s="243"/>
      <c r="BI425" s="243"/>
      <c r="BJ425" s="243"/>
      <c r="BK425" s="243"/>
      <c r="BL425" s="243"/>
      <c r="BM425" s="243"/>
      <c r="BN425" s="243"/>
      <c r="BO425" s="243"/>
      <c r="BP425" s="243"/>
      <c r="BQ425" s="243"/>
      <c r="BR425" s="243"/>
      <c r="BS425" s="243"/>
    </row>
    <row r="426" spans="1:71" s="12" customFormat="1" ht="41.25" customHeight="1">
      <c r="A426" s="178" t="s">
        <v>80</v>
      </c>
      <c r="B426" s="178" t="str">
        <f ca="1">+UPPER(Tabla1321124[[#This Row],[DESCRIPCIÓN DE LA COMPRA O CONTRATACIÓN]])</f>
        <v xml:space="preserve">CODO 1/2*90º PVC PRESION </v>
      </c>
      <c r="C426" s="39" t="s">
        <v>17</v>
      </c>
      <c r="D426" s="352">
        <v>400</v>
      </c>
      <c r="E426" s="352">
        <v>400</v>
      </c>
      <c r="F426" s="352">
        <v>400</v>
      </c>
      <c r="G426" s="352">
        <v>400</v>
      </c>
      <c r="H426" s="240">
        <f>SUM(Tabla1321124[[#This Row],[PRIMER TRIMESTRE]:[CUARTO TRIMESTRE]])</f>
        <v>1600</v>
      </c>
      <c r="I426" s="17">
        <v>6.37</v>
      </c>
      <c r="J426" s="17">
        <f>+Tabla1321124[[#This Row],[CANTIDAD TOTAL]]*Tabla1321124[[#This Row],[PRECIO UNITARIO ESTIMADO]]</f>
        <v>10192</v>
      </c>
      <c r="K426" s="17"/>
      <c r="L426" s="16" t="s">
        <v>18</v>
      </c>
      <c r="M426" s="16" t="s">
        <v>22</v>
      </c>
      <c r="N426" s="16" t="s">
        <v>418</v>
      </c>
      <c r="O426" s="243"/>
      <c r="P426" s="243"/>
      <c r="Q426" s="243"/>
      <c r="R426" s="243"/>
      <c r="S426" s="243"/>
      <c r="T426" s="243"/>
      <c r="U426" s="243"/>
      <c r="V426" s="243"/>
      <c r="W426" s="243"/>
      <c r="X426" s="243"/>
      <c r="Y426" s="243"/>
      <c r="Z426" s="243"/>
      <c r="AA426" s="243"/>
      <c r="AB426" s="243"/>
      <c r="AC426" s="243"/>
      <c r="AD426" s="243"/>
      <c r="AE426" s="243"/>
      <c r="AF426" s="243"/>
      <c r="AG426" s="243"/>
      <c r="AH426" s="243"/>
      <c r="AI426" s="243"/>
      <c r="AJ426" s="243"/>
      <c r="AK426" s="243"/>
      <c r="AL426" s="243"/>
      <c r="AM426" s="243"/>
      <c r="AN426" s="243"/>
      <c r="AO426" s="243"/>
      <c r="AP426" s="243"/>
      <c r="AQ426" s="243"/>
      <c r="AR426" s="243"/>
      <c r="AS426" s="243"/>
      <c r="AT426" s="243"/>
      <c r="AU426" s="243"/>
      <c r="AV426" s="243"/>
      <c r="AW426" s="243"/>
      <c r="AX426" s="243"/>
      <c r="AY426" s="243"/>
      <c r="AZ426" s="243"/>
      <c r="BA426" s="243"/>
      <c r="BB426" s="243"/>
      <c r="BC426" s="243"/>
      <c r="BD426" s="243"/>
      <c r="BE426" s="243"/>
      <c r="BF426" s="243"/>
      <c r="BG426" s="243"/>
      <c r="BH426" s="243"/>
      <c r="BI426" s="243"/>
      <c r="BJ426" s="243"/>
      <c r="BK426" s="243"/>
      <c r="BL426" s="243"/>
      <c r="BM426" s="243"/>
      <c r="BN426" s="243"/>
      <c r="BO426" s="243"/>
      <c r="BP426" s="243"/>
      <c r="BQ426" s="243"/>
      <c r="BR426" s="243"/>
      <c r="BS426" s="243"/>
    </row>
    <row r="427" spans="1:71" s="12" customFormat="1" ht="41.25" customHeight="1">
      <c r="A427" s="178" t="s">
        <v>80</v>
      </c>
      <c r="B427" s="178" t="str">
        <f ca="1">+UPPER(Tabla1321124[[#This Row],[DESCRIPCIÓN DE LA COMPRA O CONTRATACIÓN]])</f>
        <v>CODO 3/4*90º PVC PRESION</v>
      </c>
      <c r="C427" s="39" t="s">
        <v>17</v>
      </c>
      <c r="D427" s="352">
        <v>300</v>
      </c>
      <c r="E427" s="352">
        <v>300</v>
      </c>
      <c r="F427" s="352">
        <v>300</v>
      </c>
      <c r="G427" s="352">
        <v>300</v>
      </c>
      <c r="H427" s="240">
        <f>SUM(Tabla1321124[[#This Row],[PRIMER TRIMESTRE]:[CUARTO TRIMESTRE]])</f>
        <v>1200</v>
      </c>
      <c r="I427" s="17">
        <v>11.82</v>
      </c>
      <c r="J427" s="17">
        <f>+Tabla1321124[[#This Row],[CANTIDAD TOTAL]]*Tabla1321124[[#This Row],[PRECIO UNITARIO ESTIMADO]]</f>
        <v>14184</v>
      </c>
      <c r="K427" s="17"/>
      <c r="L427" s="16" t="s">
        <v>18</v>
      </c>
      <c r="M427" s="16" t="s">
        <v>22</v>
      </c>
      <c r="N427" s="16" t="s">
        <v>418</v>
      </c>
      <c r="O427" s="243"/>
      <c r="P427" s="243"/>
      <c r="Q427" s="243"/>
      <c r="R427" s="243"/>
      <c r="S427" s="243"/>
      <c r="T427" s="243"/>
      <c r="U427" s="243"/>
      <c r="V427" s="243"/>
      <c r="W427" s="243"/>
      <c r="X427" s="243"/>
      <c r="Y427" s="243"/>
      <c r="Z427" s="243"/>
      <c r="AA427" s="243"/>
      <c r="AB427" s="243"/>
      <c r="AC427" s="243"/>
      <c r="AD427" s="243"/>
      <c r="AE427" s="243"/>
      <c r="AF427" s="243"/>
      <c r="AG427" s="243"/>
      <c r="AH427" s="243"/>
      <c r="AI427" s="243"/>
      <c r="AJ427" s="243"/>
      <c r="AK427" s="243"/>
      <c r="AL427" s="243"/>
      <c r="AM427" s="243"/>
      <c r="AN427" s="243"/>
      <c r="AO427" s="243"/>
      <c r="AP427" s="243"/>
      <c r="AQ427" s="243"/>
      <c r="AR427" s="243"/>
      <c r="AS427" s="243"/>
      <c r="AT427" s="243"/>
      <c r="AU427" s="243"/>
      <c r="AV427" s="243"/>
      <c r="AW427" s="243"/>
      <c r="AX427" s="243"/>
      <c r="AY427" s="243"/>
      <c r="AZ427" s="243"/>
      <c r="BA427" s="243"/>
      <c r="BB427" s="243"/>
      <c r="BC427" s="243"/>
      <c r="BD427" s="243"/>
      <c r="BE427" s="243"/>
      <c r="BF427" s="243"/>
      <c r="BG427" s="243"/>
      <c r="BH427" s="243"/>
      <c r="BI427" s="243"/>
      <c r="BJ427" s="243"/>
      <c r="BK427" s="243"/>
      <c r="BL427" s="243"/>
      <c r="BM427" s="243"/>
      <c r="BN427" s="243"/>
      <c r="BO427" s="243"/>
      <c r="BP427" s="243"/>
      <c r="BQ427" s="243"/>
      <c r="BR427" s="243"/>
      <c r="BS427" s="243"/>
    </row>
    <row r="428" spans="1:71" s="12" customFormat="1" ht="41.25" customHeight="1">
      <c r="A428" s="178" t="s">
        <v>80</v>
      </c>
      <c r="B428" s="178" t="str">
        <f ca="1">+UPPER(Tabla1321124[[#This Row],[DESCRIPCIÓN DE LA COMPRA O CONTRATACIÓN]])</f>
        <v>CODO 1*90º PVC PRESION</v>
      </c>
      <c r="C428" s="39" t="s">
        <v>17</v>
      </c>
      <c r="D428" s="352">
        <f>25+75</f>
        <v>100</v>
      </c>
      <c r="E428" s="352">
        <f>25+75</f>
        <v>100</v>
      </c>
      <c r="F428" s="352">
        <f>25+75</f>
        <v>100</v>
      </c>
      <c r="G428" s="352">
        <f>25+75</f>
        <v>100</v>
      </c>
      <c r="H428" s="240">
        <f>SUM(Tabla1321124[[#This Row],[PRIMER TRIMESTRE]:[CUARTO TRIMESTRE]])</f>
        <v>400</v>
      </c>
      <c r="I428" s="17">
        <v>15.46</v>
      </c>
      <c r="J428" s="17">
        <f>+Tabla1321124[[#This Row],[CANTIDAD TOTAL]]*Tabla1321124[[#This Row],[PRECIO UNITARIO ESTIMADO]]</f>
        <v>6184</v>
      </c>
      <c r="K428" s="17"/>
      <c r="L428" s="16" t="s">
        <v>18</v>
      </c>
      <c r="M428" s="16" t="s">
        <v>22</v>
      </c>
      <c r="N428" s="16" t="s">
        <v>418</v>
      </c>
      <c r="O428" s="243"/>
      <c r="P428" s="243"/>
      <c r="Q428" s="243"/>
      <c r="R428" s="243"/>
      <c r="S428" s="243"/>
      <c r="T428" s="243"/>
      <c r="U428" s="243"/>
      <c r="V428" s="243"/>
      <c r="W428" s="243"/>
      <c r="X428" s="243"/>
      <c r="Y428" s="243"/>
      <c r="Z428" s="243"/>
      <c r="AA428" s="243"/>
      <c r="AB428" s="243"/>
      <c r="AC428" s="243"/>
      <c r="AD428" s="243"/>
      <c r="AE428" s="243"/>
      <c r="AF428" s="243"/>
      <c r="AG428" s="243"/>
      <c r="AH428" s="243"/>
      <c r="AI428" s="243"/>
      <c r="AJ428" s="243"/>
      <c r="AK428" s="243"/>
      <c r="AL428" s="243"/>
      <c r="AM428" s="243"/>
      <c r="AN428" s="243"/>
      <c r="AO428" s="243"/>
      <c r="AP428" s="243"/>
      <c r="AQ428" s="243"/>
      <c r="AR428" s="243"/>
      <c r="AS428" s="243"/>
      <c r="AT428" s="243"/>
      <c r="AU428" s="243"/>
      <c r="AV428" s="243"/>
      <c r="AW428" s="243"/>
      <c r="AX428" s="243"/>
      <c r="AY428" s="243"/>
      <c r="AZ428" s="243"/>
      <c r="BA428" s="243"/>
      <c r="BB428" s="243"/>
      <c r="BC428" s="243"/>
      <c r="BD428" s="243"/>
      <c r="BE428" s="243"/>
      <c r="BF428" s="243"/>
      <c r="BG428" s="243"/>
      <c r="BH428" s="243"/>
      <c r="BI428" s="243"/>
      <c r="BJ428" s="243"/>
      <c r="BK428" s="243"/>
      <c r="BL428" s="243"/>
      <c r="BM428" s="243"/>
      <c r="BN428" s="243"/>
      <c r="BO428" s="243"/>
      <c r="BP428" s="243"/>
      <c r="BQ428" s="243"/>
      <c r="BR428" s="243"/>
      <c r="BS428" s="243"/>
    </row>
    <row r="429" spans="1:71" s="12" customFormat="1" ht="41.25" customHeight="1">
      <c r="A429" s="178" t="s">
        <v>80</v>
      </c>
      <c r="B429" s="178" t="str">
        <f ca="1">+UPPER(Tabla1321124[[#This Row],[DESCRIPCIÓN DE LA COMPRA O CONTRATACIÓN]])</f>
        <v>CODO 2*90º PVC PRESION</v>
      </c>
      <c r="C429" s="39" t="s">
        <v>17</v>
      </c>
      <c r="D429" s="352">
        <f>25+75</f>
        <v>100</v>
      </c>
      <c r="E429" s="352">
        <f>25+75</f>
        <v>100</v>
      </c>
      <c r="F429" s="352">
        <f>25+50</f>
        <v>75</v>
      </c>
      <c r="G429" s="352">
        <f>25+25</f>
        <v>50</v>
      </c>
      <c r="H429" s="240">
        <f>SUM(Tabla1321124[[#This Row],[PRIMER TRIMESTRE]:[CUARTO TRIMESTRE]])</f>
        <v>325</v>
      </c>
      <c r="I429" s="17">
        <v>103.84</v>
      </c>
      <c r="J429" s="17">
        <f>+Tabla1321124[[#This Row],[CANTIDAD TOTAL]]*Tabla1321124[[#This Row],[PRECIO UNITARIO ESTIMADO]]</f>
        <v>33748</v>
      </c>
      <c r="K429" s="17"/>
      <c r="L429" s="16" t="s">
        <v>18</v>
      </c>
      <c r="M429" s="16" t="s">
        <v>22</v>
      </c>
      <c r="N429" s="16" t="s">
        <v>418</v>
      </c>
      <c r="O429" s="243"/>
      <c r="P429" s="243"/>
      <c r="Q429" s="243"/>
      <c r="R429" s="243"/>
      <c r="S429" s="243"/>
      <c r="T429" s="243"/>
      <c r="U429" s="243"/>
      <c r="V429" s="243"/>
      <c r="W429" s="243"/>
      <c r="X429" s="243"/>
      <c r="Y429" s="243"/>
      <c r="Z429" s="243"/>
      <c r="AA429" s="243"/>
      <c r="AB429" s="243"/>
      <c r="AC429" s="243"/>
      <c r="AD429" s="243"/>
      <c r="AE429" s="243"/>
      <c r="AF429" s="243"/>
      <c r="AG429" s="243"/>
      <c r="AH429" s="243"/>
      <c r="AI429" s="243"/>
      <c r="AJ429" s="243"/>
      <c r="AK429" s="243"/>
      <c r="AL429" s="243"/>
      <c r="AM429" s="243"/>
      <c r="AN429" s="243"/>
      <c r="AO429" s="243"/>
      <c r="AP429" s="243"/>
      <c r="AQ429" s="243"/>
      <c r="AR429" s="243"/>
      <c r="AS429" s="243"/>
      <c r="AT429" s="243"/>
      <c r="AU429" s="243"/>
      <c r="AV429" s="243"/>
      <c r="AW429" s="243"/>
      <c r="AX429" s="243"/>
      <c r="AY429" s="243"/>
      <c r="AZ429" s="243"/>
      <c r="BA429" s="243"/>
      <c r="BB429" s="243"/>
      <c r="BC429" s="243"/>
      <c r="BD429" s="243"/>
      <c r="BE429" s="243"/>
      <c r="BF429" s="243"/>
      <c r="BG429" s="243"/>
      <c r="BH429" s="243"/>
      <c r="BI429" s="243"/>
      <c r="BJ429" s="243"/>
      <c r="BK429" s="243"/>
      <c r="BL429" s="243"/>
      <c r="BM429" s="243"/>
      <c r="BN429" s="243"/>
      <c r="BO429" s="243"/>
      <c r="BP429" s="243"/>
      <c r="BQ429" s="243"/>
      <c r="BR429" s="243"/>
      <c r="BS429" s="243"/>
    </row>
    <row r="430" spans="1:71" s="12" customFormat="1" ht="41.25" customHeight="1">
      <c r="A430" s="178" t="s">
        <v>80</v>
      </c>
      <c r="B430" s="178" t="str">
        <f ca="1">+UPPER(Tabla1321124[[#This Row],[DESCRIPCIÓN DE LA COMPRA O CONTRATACIÓN]])</f>
        <v>CODO 3*90º PVC PRESION</v>
      </c>
      <c r="C430" s="39" t="s">
        <v>17</v>
      </c>
      <c r="D430" s="352">
        <f>2+52</f>
        <v>54</v>
      </c>
      <c r="E430" s="352">
        <f>25+0</f>
        <v>25</v>
      </c>
      <c r="F430" s="352">
        <f>25+27</f>
        <v>52</v>
      </c>
      <c r="G430" s="352">
        <v>25</v>
      </c>
      <c r="H430" s="240">
        <f>SUM(Tabla1321124[[#This Row],[PRIMER TRIMESTRE]:[CUARTO TRIMESTRE]])</f>
        <v>156</v>
      </c>
      <c r="I430" s="17">
        <v>22.42</v>
      </c>
      <c r="J430" s="17">
        <f>+Tabla1321124[[#This Row],[CANTIDAD TOTAL]]*Tabla1321124[[#This Row],[PRECIO UNITARIO ESTIMADO]]</f>
        <v>3497.5200000000004</v>
      </c>
      <c r="K430" s="17"/>
      <c r="L430" s="16" t="s">
        <v>18</v>
      </c>
      <c r="M430" s="16" t="s">
        <v>22</v>
      </c>
      <c r="N430" s="16" t="s">
        <v>418</v>
      </c>
      <c r="O430" s="243"/>
      <c r="P430" s="243"/>
      <c r="Q430" s="243"/>
      <c r="R430" s="243"/>
      <c r="S430" s="243"/>
      <c r="T430" s="243"/>
      <c r="U430" s="243"/>
      <c r="V430" s="243"/>
      <c r="W430" s="243"/>
      <c r="X430" s="243"/>
      <c r="Y430" s="243"/>
      <c r="Z430" s="243"/>
      <c r="AA430" s="243"/>
      <c r="AB430" s="243"/>
      <c r="AC430" s="243"/>
      <c r="AD430" s="243"/>
      <c r="AE430" s="243"/>
      <c r="AF430" s="243"/>
      <c r="AG430" s="243"/>
      <c r="AH430" s="243"/>
      <c r="AI430" s="243"/>
      <c r="AJ430" s="243"/>
      <c r="AK430" s="243"/>
      <c r="AL430" s="243"/>
      <c r="AM430" s="243"/>
      <c r="AN430" s="243"/>
      <c r="AO430" s="243"/>
      <c r="AP430" s="243"/>
      <c r="AQ430" s="243"/>
      <c r="AR430" s="243"/>
      <c r="AS430" s="243"/>
      <c r="AT430" s="243"/>
      <c r="AU430" s="243"/>
      <c r="AV430" s="243"/>
      <c r="AW430" s="243"/>
      <c r="AX430" s="243"/>
      <c r="AY430" s="243"/>
      <c r="AZ430" s="243"/>
      <c r="BA430" s="243"/>
      <c r="BB430" s="243"/>
      <c r="BC430" s="243"/>
      <c r="BD430" s="243"/>
      <c r="BE430" s="243"/>
      <c r="BF430" s="243"/>
      <c r="BG430" s="243"/>
      <c r="BH430" s="243"/>
      <c r="BI430" s="243"/>
      <c r="BJ430" s="243"/>
      <c r="BK430" s="243"/>
      <c r="BL430" s="243"/>
      <c r="BM430" s="243"/>
      <c r="BN430" s="243"/>
      <c r="BO430" s="243"/>
      <c r="BP430" s="243"/>
      <c r="BQ430" s="243"/>
      <c r="BR430" s="243"/>
      <c r="BS430" s="243"/>
    </row>
    <row r="431" spans="1:71" s="12" customFormat="1" ht="41.25" customHeight="1">
      <c r="A431" s="178" t="s">
        <v>80</v>
      </c>
      <c r="B431" s="178" t="str">
        <f ca="1">+UPPER(Tabla1321124[[#This Row],[DESCRIPCIÓN DE LA COMPRA O CONTRATACIÓN]])</f>
        <v>CODO 4*90º PVC PRESION</v>
      </c>
      <c r="C431" s="39" t="s">
        <v>17</v>
      </c>
      <c r="D431" s="352">
        <f>25+52</f>
        <v>77</v>
      </c>
      <c r="E431" s="352">
        <v>25</v>
      </c>
      <c r="F431" s="352">
        <f>25+27</f>
        <v>52</v>
      </c>
      <c r="G431" s="352">
        <v>25</v>
      </c>
      <c r="H431" s="240">
        <f>SUM(Tabla1321124[[#This Row],[PRIMER TRIMESTRE]:[CUARTO TRIMESTRE]])</f>
        <v>179</v>
      </c>
      <c r="I431" s="17">
        <v>489.7</v>
      </c>
      <c r="J431" s="17">
        <f>+Tabla1321124[[#This Row],[CANTIDAD TOTAL]]*Tabla1321124[[#This Row],[PRECIO UNITARIO ESTIMADO]]</f>
        <v>87656.3</v>
      </c>
      <c r="K431" s="17"/>
      <c r="L431" s="16" t="s">
        <v>18</v>
      </c>
      <c r="M431" s="16" t="s">
        <v>22</v>
      </c>
      <c r="N431" s="16" t="s">
        <v>418</v>
      </c>
      <c r="O431" s="243"/>
      <c r="P431" s="243"/>
      <c r="Q431" s="243"/>
      <c r="R431" s="243"/>
      <c r="S431" s="243"/>
      <c r="T431" s="243"/>
      <c r="U431" s="243"/>
      <c r="V431" s="243"/>
      <c r="W431" s="243"/>
      <c r="X431" s="243"/>
      <c r="Y431" s="243"/>
      <c r="Z431" s="243"/>
      <c r="AA431" s="243"/>
      <c r="AB431" s="243"/>
      <c r="AC431" s="243"/>
      <c r="AD431" s="243"/>
      <c r="AE431" s="243"/>
      <c r="AF431" s="243"/>
      <c r="AG431" s="243"/>
      <c r="AH431" s="243"/>
      <c r="AI431" s="243"/>
      <c r="AJ431" s="243"/>
      <c r="AK431" s="243"/>
      <c r="AL431" s="243"/>
      <c r="AM431" s="243"/>
      <c r="AN431" s="243"/>
      <c r="AO431" s="243"/>
      <c r="AP431" s="243"/>
      <c r="AQ431" s="243"/>
      <c r="AR431" s="243"/>
      <c r="AS431" s="243"/>
      <c r="AT431" s="243"/>
      <c r="AU431" s="243"/>
      <c r="AV431" s="243"/>
      <c r="AW431" s="243"/>
      <c r="AX431" s="243"/>
      <c r="AY431" s="243"/>
      <c r="AZ431" s="243"/>
      <c r="BA431" s="243"/>
      <c r="BB431" s="243"/>
      <c r="BC431" s="243"/>
      <c r="BD431" s="243"/>
      <c r="BE431" s="243"/>
      <c r="BF431" s="243"/>
      <c r="BG431" s="243"/>
      <c r="BH431" s="243"/>
      <c r="BI431" s="243"/>
      <c r="BJ431" s="243"/>
      <c r="BK431" s="243"/>
      <c r="BL431" s="243"/>
      <c r="BM431" s="243"/>
      <c r="BN431" s="243"/>
      <c r="BO431" s="243"/>
      <c r="BP431" s="243"/>
      <c r="BQ431" s="243"/>
      <c r="BR431" s="243"/>
      <c r="BS431" s="243"/>
    </row>
    <row r="432" spans="1:71" s="12" customFormat="1" ht="41.25" customHeight="1">
      <c r="A432" s="178" t="s">
        <v>80</v>
      </c>
      <c r="B432" s="178" t="str">
        <f ca="1">+UPPER(Tabla1321124[[#This Row],[DESCRIPCIÓN DE LA COMPRA O CONTRATACIÓN]])</f>
        <v>CODO 6*90º PVC PRESION</v>
      </c>
      <c r="C432" s="39" t="s">
        <v>17</v>
      </c>
      <c r="D432" s="236">
        <v>50</v>
      </c>
      <c r="E432" s="236"/>
      <c r="F432" s="236">
        <v>25</v>
      </c>
      <c r="G432" s="236"/>
      <c r="H432" s="240">
        <f>SUM(Tabla1321124[[#This Row],[PRIMER TRIMESTRE]:[CUARTO TRIMESTRE]])</f>
        <v>75</v>
      </c>
      <c r="I432" s="17">
        <v>486.29</v>
      </c>
      <c r="J432" s="17">
        <f>+Tabla1321124[[#This Row],[CANTIDAD TOTAL]]*Tabla1321124[[#This Row],[PRECIO UNITARIO ESTIMADO]]</f>
        <v>36471.75</v>
      </c>
      <c r="K432" s="17"/>
      <c r="L432" s="16" t="s">
        <v>18</v>
      </c>
      <c r="M432" s="16" t="s">
        <v>22</v>
      </c>
      <c r="N432" s="16" t="s">
        <v>418</v>
      </c>
      <c r="O432" s="243"/>
      <c r="P432" s="243"/>
      <c r="Q432" s="243"/>
      <c r="R432" s="243"/>
      <c r="S432" s="243"/>
      <c r="T432" s="243"/>
      <c r="U432" s="243"/>
      <c r="V432" s="243"/>
      <c r="W432" s="243"/>
      <c r="X432" s="243"/>
      <c r="Y432" s="243"/>
      <c r="Z432" s="243"/>
      <c r="AA432" s="243"/>
      <c r="AB432" s="243"/>
      <c r="AC432" s="243"/>
      <c r="AD432" s="243"/>
      <c r="AE432" s="243"/>
      <c r="AF432" s="243"/>
      <c r="AG432" s="243"/>
      <c r="AH432" s="243"/>
      <c r="AI432" s="243"/>
      <c r="AJ432" s="243"/>
      <c r="AK432" s="243"/>
      <c r="AL432" s="243"/>
      <c r="AM432" s="243"/>
      <c r="AN432" s="243"/>
      <c r="AO432" s="243"/>
      <c r="AP432" s="243"/>
      <c r="AQ432" s="243"/>
      <c r="AR432" s="243"/>
      <c r="AS432" s="243"/>
      <c r="AT432" s="243"/>
      <c r="AU432" s="243"/>
      <c r="AV432" s="243"/>
      <c r="AW432" s="243"/>
      <c r="AX432" s="243"/>
      <c r="AY432" s="243"/>
      <c r="AZ432" s="243"/>
      <c r="BA432" s="243"/>
      <c r="BB432" s="243"/>
      <c r="BC432" s="243"/>
      <c r="BD432" s="243"/>
      <c r="BE432" s="243"/>
      <c r="BF432" s="243"/>
      <c r="BG432" s="243"/>
      <c r="BH432" s="243"/>
      <c r="BI432" s="243"/>
      <c r="BJ432" s="243"/>
      <c r="BK432" s="243"/>
      <c r="BL432" s="243"/>
      <c r="BM432" s="243"/>
      <c r="BN432" s="243"/>
      <c r="BO432" s="243"/>
      <c r="BP432" s="243"/>
      <c r="BQ432" s="243"/>
      <c r="BR432" s="243"/>
      <c r="BS432" s="243"/>
    </row>
    <row r="433" spans="1:71" s="12" customFormat="1" ht="41.25" customHeight="1">
      <c r="A433" s="178" t="s">
        <v>80</v>
      </c>
      <c r="B433" s="178" t="str">
        <f ca="1">+UPPER(Tabla1321124[[#This Row],[DESCRIPCIÓN DE LA COMPRA O CONTRATACIÓN]])</f>
        <v>CODO 2*90º ACERO E=1/4"</v>
      </c>
      <c r="C433" s="39" t="s">
        <v>17</v>
      </c>
      <c r="D433" s="236">
        <v>10</v>
      </c>
      <c r="E433" s="236">
        <v>10</v>
      </c>
      <c r="F433" s="236">
        <v>10</v>
      </c>
      <c r="G433" s="236">
        <v>10</v>
      </c>
      <c r="H433" s="240">
        <f>SUM(Tabla1321124[[#This Row],[PRIMER TRIMESTRE]:[CUARTO TRIMESTRE]])</f>
        <v>40</v>
      </c>
      <c r="I433" s="17">
        <v>767</v>
      </c>
      <c r="J433" s="17">
        <f>+Tabla1321124[[#This Row],[CANTIDAD TOTAL]]*Tabla1321124[[#This Row],[PRECIO UNITARIO ESTIMADO]]</f>
        <v>30680</v>
      </c>
      <c r="K433" s="17"/>
      <c r="L433" s="16" t="s">
        <v>18</v>
      </c>
      <c r="M433" s="16" t="s">
        <v>22</v>
      </c>
      <c r="N433" s="16" t="s">
        <v>418</v>
      </c>
      <c r="O433" s="243"/>
      <c r="P433" s="243"/>
      <c r="Q433" s="243"/>
      <c r="R433" s="243"/>
      <c r="S433" s="243"/>
      <c r="T433" s="243"/>
      <c r="U433" s="243"/>
      <c r="V433" s="243"/>
      <c r="W433" s="243"/>
      <c r="X433" s="243"/>
      <c r="Y433" s="243"/>
      <c r="Z433" s="243"/>
      <c r="AA433" s="243"/>
      <c r="AB433" s="243"/>
      <c r="AC433" s="243"/>
      <c r="AD433" s="243"/>
      <c r="AE433" s="243"/>
      <c r="AF433" s="243"/>
      <c r="AG433" s="243"/>
      <c r="AH433" s="243"/>
      <c r="AI433" s="243"/>
      <c r="AJ433" s="243"/>
      <c r="AK433" s="243"/>
      <c r="AL433" s="243"/>
      <c r="AM433" s="243"/>
      <c r="AN433" s="243"/>
      <c r="AO433" s="243"/>
      <c r="AP433" s="243"/>
      <c r="AQ433" s="243"/>
      <c r="AR433" s="243"/>
      <c r="AS433" s="243"/>
      <c r="AT433" s="243"/>
      <c r="AU433" s="243"/>
      <c r="AV433" s="243"/>
      <c r="AW433" s="243"/>
      <c r="AX433" s="243"/>
      <c r="AY433" s="243"/>
      <c r="AZ433" s="243"/>
      <c r="BA433" s="243"/>
      <c r="BB433" s="243"/>
      <c r="BC433" s="243"/>
      <c r="BD433" s="243"/>
      <c r="BE433" s="243"/>
      <c r="BF433" s="243"/>
      <c r="BG433" s="243"/>
      <c r="BH433" s="243"/>
      <c r="BI433" s="243"/>
      <c r="BJ433" s="243"/>
      <c r="BK433" s="243"/>
      <c r="BL433" s="243"/>
      <c r="BM433" s="243"/>
      <c r="BN433" s="243"/>
      <c r="BO433" s="243"/>
      <c r="BP433" s="243"/>
      <c r="BQ433" s="243"/>
      <c r="BR433" s="243"/>
      <c r="BS433" s="243"/>
    </row>
    <row r="434" spans="1:71" s="12" customFormat="1" ht="41.25" customHeight="1">
      <c r="A434" s="178" t="s">
        <v>80</v>
      </c>
      <c r="B434" s="178" t="str">
        <f ca="1">+UPPER(Tabla1321124[[#This Row],[DESCRIPCIÓN DE LA COMPRA O CONTRATACIÓN]])</f>
        <v>CODO 3*90º ACERO E=1/4"</v>
      </c>
      <c r="C434" s="39" t="s">
        <v>17</v>
      </c>
      <c r="D434" s="236">
        <v>10</v>
      </c>
      <c r="E434" s="236">
        <v>10</v>
      </c>
      <c r="F434" s="236">
        <v>10</v>
      </c>
      <c r="G434" s="236">
        <v>10</v>
      </c>
      <c r="H434" s="240">
        <f>SUM(Tabla1321124[[#This Row],[PRIMER TRIMESTRE]:[CUARTO TRIMESTRE]])</f>
        <v>40</v>
      </c>
      <c r="I434" s="17">
        <v>1003</v>
      </c>
      <c r="J434" s="17">
        <f>+Tabla1321124[[#This Row],[CANTIDAD TOTAL]]*Tabla1321124[[#This Row],[PRECIO UNITARIO ESTIMADO]]</f>
        <v>40120</v>
      </c>
      <c r="K434" s="17"/>
      <c r="L434" s="16" t="s">
        <v>18</v>
      </c>
      <c r="M434" s="16" t="s">
        <v>22</v>
      </c>
      <c r="N434" s="16" t="s">
        <v>418</v>
      </c>
      <c r="O434" s="243"/>
      <c r="P434" s="243"/>
      <c r="Q434" s="243"/>
      <c r="R434" s="243"/>
      <c r="S434" s="243"/>
      <c r="T434" s="243"/>
      <c r="U434" s="243"/>
      <c r="V434" s="243"/>
      <c r="W434" s="243"/>
      <c r="X434" s="243"/>
      <c r="Y434" s="243"/>
      <c r="Z434" s="243"/>
      <c r="AA434" s="243"/>
      <c r="AB434" s="243"/>
      <c r="AC434" s="243"/>
      <c r="AD434" s="243"/>
      <c r="AE434" s="243"/>
      <c r="AF434" s="243"/>
      <c r="AG434" s="243"/>
      <c r="AH434" s="243"/>
      <c r="AI434" s="243"/>
      <c r="AJ434" s="243"/>
      <c r="AK434" s="243"/>
      <c r="AL434" s="243"/>
      <c r="AM434" s="243"/>
      <c r="AN434" s="243"/>
      <c r="AO434" s="243"/>
      <c r="AP434" s="243"/>
      <c r="AQ434" s="243"/>
      <c r="AR434" s="243"/>
      <c r="AS434" s="243"/>
      <c r="AT434" s="243"/>
      <c r="AU434" s="243"/>
      <c r="AV434" s="243"/>
      <c r="AW434" s="243"/>
      <c r="AX434" s="243"/>
      <c r="AY434" s="243"/>
      <c r="AZ434" s="243"/>
      <c r="BA434" s="243"/>
      <c r="BB434" s="243"/>
      <c r="BC434" s="243"/>
      <c r="BD434" s="243"/>
      <c r="BE434" s="243"/>
      <c r="BF434" s="243"/>
      <c r="BG434" s="243"/>
      <c r="BH434" s="243"/>
      <c r="BI434" s="243"/>
      <c r="BJ434" s="243"/>
      <c r="BK434" s="243"/>
      <c r="BL434" s="243"/>
      <c r="BM434" s="243"/>
      <c r="BN434" s="243"/>
      <c r="BO434" s="243"/>
      <c r="BP434" s="243"/>
      <c r="BQ434" s="243"/>
      <c r="BR434" s="243"/>
      <c r="BS434" s="243"/>
    </row>
    <row r="435" spans="1:71" s="12" customFormat="1" ht="41.25" customHeight="1">
      <c r="A435" s="178" t="s">
        <v>80</v>
      </c>
      <c r="B435" s="178" t="str">
        <f ca="1">+UPPER(Tabla1321124[[#This Row],[DESCRIPCIÓN DE LA COMPRA O CONTRATACIÓN]])</f>
        <v>CODO 4*90º ACERO E=1/4"</v>
      </c>
      <c r="C435" s="39" t="s">
        <v>17</v>
      </c>
      <c r="D435" s="352">
        <f>50+10</f>
        <v>60</v>
      </c>
      <c r="E435" s="352">
        <f>50+10</f>
        <v>60</v>
      </c>
      <c r="F435" s="352">
        <f>50+10</f>
        <v>60</v>
      </c>
      <c r="G435" s="352">
        <f>50+10</f>
        <v>60</v>
      </c>
      <c r="H435" s="240">
        <f>SUM(Tabla1321124[[#This Row],[PRIMER TRIMESTRE]:[CUARTO TRIMESTRE]])</f>
        <v>240</v>
      </c>
      <c r="I435" s="17">
        <v>1357</v>
      </c>
      <c r="J435" s="17">
        <f>+Tabla1321124[[#This Row],[CANTIDAD TOTAL]]*Tabla1321124[[#This Row],[PRECIO UNITARIO ESTIMADO]]</f>
        <v>325680</v>
      </c>
      <c r="K435" s="17"/>
      <c r="L435" s="16" t="s">
        <v>18</v>
      </c>
      <c r="M435" s="16" t="s">
        <v>22</v>
      </c>
      <c r="N435" s="16" t="s">
        <v>418</v>
      </c>
      <c r="O435" s="243"/>
      <c r="P435" s="243"/>
      <c r="Q435" s="243"/>
      <c r="R435" s="243"/>
      <c r="S435" s="243"/>
      <c r="T435" s="243"/>
      <c r="U435" s="243"/>
      <c r="V435" s="243"/>
      <c r="W435" s="243"/>
      <c r="X435" s="243"/>
      <c r="Y435" s="243"/>
      <c r="Z435" s="243"/>
      <c r="AA435" s="243"/>
      <c r="AB435" s="243"/>
      <c r="AC435" s="243"/>
      <c r="AD435" s="243"/>
      <c r="AE435" s="243"/>
      <c r="AF435" s="243"/>
      <c r="AG435" s="243"/>
      <c r="AH435" s="243"/>
      <c r="AI435" s="243"/>
      <c r="AJ435" s="243"/>
      <c r="AK435" s="243"/>
      <c r="AL435" s="243"/>
      <c r="AM435" s="243"/>
      <c r="AN435" s="243"/>
      <c r="AO435" s="243"/>
      <c r="AP435" s="243"/>
      <c r="AQ435" s="243"/>
      <c r="AR435" s="243"/>
      <c r="AS435" s="243"/>
      <c r="AT435" s="243"/>
      <c r="AU435" s="243"/>
      <c r="AV435" s="243"/>
      <c r="AW435" s="243"/>
      <c r="AX435" s="243"/>
      <c r="AY435" s="243"/>
      <c r="AZ435" s="243"/>
      <c r="BA435" s="243"/>
      <c r="BB435" s="243"/>
      <c r="BC435" s="243"/>
      <c r="BD435" s="243"/>
      <c r="BE435" s="243"/>
      <c r="BF435" s="243"/>
      <c r="BG435" s="243"/>
      <c r="BH435" s="243"/>
      <c r="BI435" s="243"/>
      <c r="BJ435" s="243"/>
      <c r="BK435" s="243"/>
      <c r="BL435" s="243"/>
      <c r="BM435" s="243"/>
      <c r="BN435" s="243"/>
      <c r="BO435" s="243"/>
      <c r="BP435" s="243"/>
      <c r="BQ435" s="243"/>
      <c r="BR435" s="243"/>
      <c r="BS435" s="243"/>
    </row>
    <row r="436" spans="1:71" s="12" customFormat="1" ht="41.25" customHeight="1">
      <c r="A436" s="178" t="s">
        <v>80</v>
      </c>
      <c r="B436" s="178" t="str">
        <f ca="1">+UPPER(Tabla1321124[[#This Row],[DESCRIPCIÓN DE LA COMPRA O CONTRATACIÓN]])</f>
        <v>CODO 6*90º ACERO E=1/4"</v>
      </c>
      <c r="C436" s="39" t="s">
        <v>17</v>
      </c>
      <c r="D436" s="352">
        <f t="shared" ref="D436:G437" si="6">50+5</f>
        <v>55</v>
      </c>
      <c r="E436" s="352">
        <f t="shared" si="6"/>
        <v>55</v>
      </c>
      <c r="F436" s="352">
        <f t="shared" si="6"/>
        <v>55</v>
      </c>
      <c r="G436" s="352">
        <f t="shared" si="6"/>
        <v>55</v>
      </c>
      <c r="H436" s="240">
        <f>SUM(Tabla1321124[[#This Row],[PRIMER TRIMESTRE]:[CUARTO TRIMESTRE]])</f>
        <v>220</v>
      </c>
      <c r="I436" s="17">
        <v>2950</v>
      </c>
      <c r="J436" s="17">
        <f>+Tabla1321124[[#This Row],[CANTIDAD TOTAL]]*Tabla1321124[[#This Row],[PRECIO UNITARIO ESTIMADO]]</f>
        <v>649000</v>
      </c>
      <c r="K436" s="17"/>
      <c r="L436" s="16" t="s">
        <v>18</v>
      </c>
      <c r="M436" s="16" t="s">
        <v>22</v>
      </c>
      <c r="N436" s="16" t="s">
        <v>418</v>
      </c>
      <c r="O436" s="243"/>
      <c r="P436" s="243"/>
      <c r="Q436" s="243"/>
      <c r="R436" s="243"/>
      <c r="S436" s="243"/>
      <c r="T436" s="243"/>
      <c r="U436" s="243"/>
      <c r="V436" s="243"/>
      <c r="W436" s="243"/>
      <c r="X436" s="243"/>
      <c r="Y436" s="243"/>
      <c r="Z436" s="243"/>
      <c r="AA436" s="243"/>
      <c r="AB436" s="243"/>
      <c r="AC436" s="243"/>
      <c r="AD436" s="243"/>
      <c r="AE436" s="243"/>
      <c r="AF436" s="243"/>
      <c r="AG436" s="243"/>
      <c r="AH436" s="243"/>
      <c r="AI436" s="243"/>
      <c r="AJ436" s="243"/>
      <c r="AK436" s="243"/>
      <c r="AL436" s="243"/>
      <c r="AM436" s="243"/>
      <c r="AN436" s="243"/>
      <c r="AO436" s="243"/>
      <c r="AP436" s="243"/>
      <c r="AQ436" s="243"/>
      <c r="AR436" s="243"/>
      <c r="AS436" s="243"/>
      <c r="AT436" s="243"/>
      <c r="AU436" s="243"/>
      <c r="AV436" s="243"/>
      <c r="AW436" s="243"/>
      <c r="AX436" s="243"/>
      <c r="AY436" s="243"/>
      <c r="AZ436" s="243"/>
      <c r="BA436" s="243"/>
      <c r="BB436" s="243"/>
      <c r="BC436" s="243"/>
      <c r="BD436" s="243"/>
      <c r="BE436" s="243"/>
      <c r="BF436" s="243"/>
      <c r="BG436" s="243"/>
      <c r="BH436" s="243"/>
      <c r="BI436" s="243"/>
      <c r="BJ436" s="243"/>
      <c r="BK436" s="243"/>
      <c r="BL436" s="243"/>
      <c r="BM436" s="243"/>
      <c r="BN436" s="243"/>
      <c r="BO436" s="243"/>
      <c r="BP436" s="243"/>
      <c r="BQ436" s="243"/>
      <c r="BR436" s="243"/>
      <c r="BS436" s="243"/>
    </row>
    <row r="437" spans="1:71" s="12" customFormat="1" ht="41.25" customHeight="1">
      <c r="A437" s="178" t="s">
        <v>80</v>
      </c>
      <c r="B437" s="178" t="str">
        <f ca="1">+UPPER(Tabla1321124[[#This Row],[DESCRIPCIÓN DE LA COMPRA O CONTRATACIÓN]])</f>
        <v>CODO 8*90º ACERO E=3/8"</v>
      </c>
      <c r="C437" s="39" t="s">
        <v>17</v>
      </c>
      <c r="D437" s="352">
        <f t="shared" si="6"/>
        <v>55</v>
      </c>
      <c r="E437" s="352">
        <f t="shared" si="6"/>
        <v>55</v>
      </c>
      <c r="F437" s="352">
        <f t="shared" si="6"/>
        <v>55</v>
      </c>
      <c r="G437" s="352">
        <f t="shared" si="6"/>
        <v>55</v>
      </c>
      <c r="H437" s="240">
        <f>SUM(Tabla1321124[[#This Row],[PRIMER TRIMESTRE]:[CUARTO TRIMESTRE]])</f>
        <v>220</v>
      </c>
      <c r="I437" s="17">
        <v>4484</v>
      </c>
      <c r="J437" s="17">
        <f>+Tabla1321124[[#This Row],[CANTIDAD TOTAL]]*Tabla1321124[[#This Row],[PRECIO UNITARIO ESTIMADO]]</f>
        <v>986480</v>
      </c>
      <c r="K437" s="17"/>
      <c r="L437" s="16" t="s">
        <v>18</v>
      </c>
      <c r="M437" s="16" t="s">
        <v>22</v>
      </c>
      <c r="N437" s="16" t="s">
        <v>418</v>
      </c>
      <c r="O437" s="243"/>
      <c r="P437" s="243"/>
      <c r="Q437" s="243"/>
      <c r="R437" s="243"/>
      <c r="S437" s="243"/>
      <c r="T437" s="243"/>
      <c r="U437" s="243"/>
      <c r="V437" s="243"/>
      <c r="W437" s="243"/>
      <c r="X437" s="243"/>
      <c r="Y437" s="243"/>
      <c r="Z437" s="243"/>
      <c r="AA437" s="243"/>
      <c r="AB437" s="243"/>
      <c r="AC437" s="243"/>
      <c r="AD437" s="243"/>
      <c r="AE437" s="243"/>
      <c r="AF437" s="243"/>
      <c r="AG437" s="243"/>
      <c r="AH437" s="243"/>
      <c r="AI437" s="243"/>
      <c r="AJ437" s="243"/>
      <c r="AK437" s="243"/>
      <c r="AL437" s="243"/>
      <c r="AM437" s="243"/>
      <c r="AN437" s="243"/>
      <c r="AO437" s="243"/>
      <c r="AP437" s="243"/>
      <c r="AQ437" s="243"/>
      <c r="AR437" s="243"/>
      <c r="AS437" s="243"/>
      <c r="AT437" s="243"/>
      <c r="AU437" s="243"/>
      <c r="AV437" s="243"/>
      <c r="AW437" s="243"/>
      <c r="AX437" s="243"/>
      <c r="AY437" s="243"/>
      <c r="AZ437" s="243"/>
      <c r="BA437" s="243"/>
      <c r="BB437" s="243"/>
      <c r="BC437" s="243"/>
      <c r="BD437" s="243"/>
      <c r="BE437" s="243"/>
      <c r="BF437" s="243"/>
      <c r="BG437" s="243"/>
      <c r="BH437" s="243"/>
      <c r="BI437" s="243"/>
      <c r="BJ437" s="243"/>
      <c r="BK437" s="243"/>
      <c r="BL437" s="243"/>
      <c r="BM437" s="243"/>
      <c r="BN437" s="243"/>
      <c r="BO437" s="243"/>
      <c r="BP437" s="243"/>
      <c r="BQ437" s="243"/>
      <c r="BR437" s="243"/>
      <c r="BS437" s="243"/>
    </row>
    <row r="438" spans="1:71" s="12" customFormat="1" ht="41.25" customHeight="1">
      <c r="A438" s="178" t="s">
        <v>80</v>
      </c>
      <c r="B438" s="178" t="str">
        <f ca="1">+UPPER(Tabla1321124[[#This Row],[DESCRIPCIÓN DE LA COMPRA O CONTRATACIÓN]])</f>
        <v>CODO 10*90º ACERO E=3/8"</v>
      </c>
      <c r="C438" s="39" t="s">
        <v>17</v>
      </c>
      <c r="D438" s="352">
        <v>2</v>
      </c>
      <c r="E438" s="352">
        <v>2</v>
      </c>
      <c r="F438" s="352">
        <v>2</v>
      </c>
      <c r="G438" s="352">
        <v>2</v>
      </c>
      <c r="H438" s="240">
        <f>SUM(Tabla1321124[[#This Row],[PRIMER TRIMESTRE]:[CUARTO TRIMESTRE]])</f>
        <v>8</v>
      </c>
      <c r="I438" s="17">
        <v>6372</v>
      </c>
      <c r="J438" s="17">
        <f>+Tabla1321124[[#This Row],[CANTIDAD TOTAL]]*Tabla1321124[[#This Row],[PRECIO UNITARIO ESTIMADO]]</f>
        <v>50976</v>
      </c>
      <c r="K438" s="17"/>
      <c r="L438" s="16" t="s">
        <v>18</v>
      </c>
      <c r="M438" s="16" t="s">
        <v>22</v>
      </c>
      <c r="N438" s="16" t="s">
        <v>418</v>
      </c>
      <c r="O438" s="243"/>
      <c r="P438" s="243"/>
      <c r="Q438" s="243"/>
      <c r="R438" s="243"/>
      <c r="S438" s="243"/>
      <c r="T438" s="243"/>
      <c r="U438" s="243"/>
      <c r="V438" s="243"/>
      <c r="W438" s="243"/>
      <c r="X438" s="243"/>
      <c r="Y438" s="243"/>
      <c r="Z438" s="243"/>
      <c r="AA438" s="243"/>
      <c r="AB438" s="243"/>
      <c r="AC438" s="243"/>
      <c r="AD438" s="243"/>
      <c r="AE438" s="243"/>
      <c r="AF438" s="243"/>
      <c r="AG438" s="243"/>
      <c r="AH438" s="243"/>
      <c r="AI438" s="243"/>
      <c r="AJ438" s="243"/>
      <c r="AK438" s="243"/>
      <c r="AL438" s="243"/>
      <c r="AM438" s="243"/>
      <c r="AN438" s="243"/>
      <c r="AO438" s="243"/>
      <c r="AP438" s="243"/>
      <c r="AQ438" s="243"/>
      <c r="AR438" s="243"/>
      <c r="AS438" s="243"/>
      <c r="AT438" s="243"/>
      <c r="AU438" s="243"/>
      <c r="AV438" s="243"/>
      <c r="AW438" s="243"/>
      <c r="AX438" s="243"/>
      <c r="AY438" s="243"/>
      <c r="AZ438" s="243"/>
      <c r="BA438" s="243"/>
      <c r="BB438" s="243"/>
      <c r="BC438" s="243"/>
      <c r="BD438" s="243"/>
      <c r="BE438" s="243"/>
      <c r="BF438" s="243"/>
      <c r="BG438" s="243"/>
      <c r="BH438" s="243"/>
      <c r="BI438" s="243"/>
      <c r="BJ438" s="243"/>
      <c r="BK438" s="243"/>
      <c r="BL438" s="243"/>
      <c r="BM438" s="243"/>
      <c r="BN438" s="243"/>
      <c r="BO438" s="243"/>
      <c r="BP438" s="243"/>
      <c r="BQ438" s="243"/>
      <c r="BR438" s="243"/>
      <c r="BS438" s="243"/>
    </row>
    <row r="439" spans="1:71" s="12" customFormat="1" ht="41.25" customHeight="1">
      <c r="A439" s="178" t="s">
        <v>80</v>
      </c>
      <c r="B439" s="178" t="str">
        <f ca="1">+UPPER(Tabla1321124[[#This Row],[DESCRIPCIÓN DE LA COMPRA O CONTRATACIÓN]])</f>
        <v>CODO 12*90º ACERO E=3/8"</v>
      </c>
      <c r="C439" s="39" t="s">
        <v>17</v>
      </c>
      <c r="D439" s="236">
        <v>5</v>
      </c>
      <c r="E439" s="236">
        <v>5</v>
      </c>
      <c r="F439" s="236">
        <v>5</v>
      </c>
      <c r="G439" s="236">
        <v>5</v>
      </c>
      <c r="H439" s="240">
        <f>SUM(Tabla1321124[[#This Row],[PRIMER TRIMESTRE]:[CUARTO TRIMESTRE]])</f>
        <v>20</v>
      </c>
      <c r="I439" s="17">
        <v>11092</v>
      </c>
      <c r="J439" s="17">
        <f>+Tabla1321124[[#This Row],[CANTIDAD TOTAL]]*Tabla1321124[[#This Row],[PRECIO UNITARIO ESTIMADO]]</f>
        <v>221840</v>
      </c>
      <c r="K439" s="17"/>
      <c r="L439" s="16" t="s">
        <v>18</v>
      </c>
      <c r="M439" s="16" t="s">
        <v>22</v>
      </c>
      <c r="N439" s="16" t="s">
        <v>418</v>
      </c>
      <c r="O439" s="243"/>
      <c r="P439" s="243"/>
      <c r="Q439" s="243"/>
      <c r="R439" s="243"/>
      <c r="S439" s="243"/>
      <c r="T439" s="243"/>
      <c r="U439" s="243"/>
      <c r="V439" s="243"/>
      <c r="W439" s="243"/>
      <c r="X439" s="243"/>
      <c r="Y439" s="243"/>
      <c r="Z439" s="243"/>
      <c r="AA439" s="243"/>
      <c r="AB439" s="243"/>
      <c r="AC439" s="243"/>
      <c r="AD439" s="243"/>
      <c r="AE439" s="243"/>
      <c r="AF439" s="243"/>
      <c r="AG439" s="243"/>
      <c r="AH439" s="243"/>
      <c r="AI439" s="243"/>
      <c r="AJ439" s="243"/>
      <c r="AK439" s="243"/>
      <c r="AL439" s="243"/>
      <c r="AM439" s="243"/>
      <c r="AN439" s="243"/>
      <c r="AO439" s="243"/>
      <c r="AP439" s="243"/>
      <c r="AQ439" s="243"/>
      <c r="AR439" s="243"/>
      <c r="AS439" s="243"/>
      <c r="AT439" s="243"/>
      <c r="AU439" s="243"/>
      <c r="AV439" s="243"/>
      <c r="AW439" s="243"/>
      <c r="AX439" s="243"/>
      <c r="AY439" s="243"/>
      <c r="AZ439" s="243"/>
      <c r="BA439" s="243"/>
      <c r="BB439" s="243"/>
      <c r="BC439" s="243"/>
      <c r="BD439" s="243"/>
      <c r="BE439" s="243"/>
      <c r="BF439" s="243"/>
      <c r="BG439" s="243"/>
      <c r="BH439" s="243"/>
      <c r="BI439" s="243"/>
      <c r="BJ439" s="243"/>
      <c r="BK439" s="243"/>
      <c r="BL439" s="243"/>
      <c r="BM439" s="243"/>
      <c r="BN439" s="243"/>
      <c r="BO439" s="243"/>
      <c r="BP439" s="243"/>
      <c r="BQ439" s="243"/>
      <c r="BR439" s="243"/>
      <c r="BS439" s="243"/>
    </row>
    <row r="440" spans="1:71" s="12" customFormat="1" ht="41.25" customHeight="1">
      <c r="A440" s="178" t="s">
        <v>80</v>
      </c>
      <c r="B440" s="178" t="str">
        <f ca="1">+UPPER(Tabla1321124[[#This Row],[DESCRIPCIÓN DE LA COMPRA O CONTRATACIÓN]])</f>
        <v>CODO 16*90º ACERO E=3/8"</v>
      </c>
      <c r="C440" s="39" t="s">
        <v>17</v>
      </c>
      <c r="D440" s="236">
        <v>5</v>
      </c>
      <c r="E440" s="236">
        <v>5</v>
      </c>
      <c r="F440" s="236">
        <v>5</v>
      </c>
      <c r="G440" s="236">
        <v>5</v>
      </c>
      <c r="H440" s="240">
        <f>SUM(Tabla1321124[[#This Row],[PRIMER TRIMESTRE]:[CUARTO TRIMESTRE]])</f>
        <v>20</v>
      </c>
      <c r="I440" s="17">
        <v>13924</v>
      </c>
      <c r="J440" s="17">
        <f>+Tabla1321124[[#This Row],[CANTIDAD TOTAL]]*Tabla1321124[[#This Row],[PRECIO UNITARIO ESTIMADO]]</f>
        <v>278480</v>
      </c>
      <c r="K440" s="17"/>
      <c r="L440" s="16" t="s">
        <v>18</v>
      </c>
      <c r="M440" s="16" t="s">
        <v>22</v>
      </c>
      <c r="N440" s="16" t="s">
        <v>418</v>
      </c>
      <c r="O440" s="243"/>
      <c r="P440" s="243"/>
      <c r="Q440" s="243"/>
      <c r="R440" s="243"/>
      <c r="S440" s="243"/>
      <c r="T440" s="243"/>
      <c r="U440" s="243"/>
      <c r="V440" s="243"/>
      <c r="W440" s="243"/>
      <c r="X440" s="243"/>
      <c r="Y440" s="243"/>
      <c r="Z440" s="243"/>
      <c r="AA440" s="243"/>
      <c r="AB440" s="243"/>
      <c r="AC440" s="243"/>
      <c r="AD440" s="243"/>
      <c r="AE440" s="243"/>
      <c r="AF440" s="243"/>
      <c r="AG440" s="243"/>
      <c r="AH440" s="243"/>
      <c r="AI440" s="243"/>
      <c r="AJ440" s="243"/>
      <c r="AK440" s="243"/>
      <c r="AL440" s="243"/>
      <c r="AM440" s="243"/>
      <c r="AN440" s="243"/>
      <c r="AO440" s="243"/>
      <c r="AP440" s="243"/>
      <c r="AQ440" s="243"/>
      <c r="AR440" s="243"/>
      <c r="AS440" s="243"/>
      <c r="AT440" s="243"/>
      <c r="AU440" s="243"/>
      <c r="AV440" s="243"/>
      <c r="AW440" s="243"/>
      <c r="AX440" s="243"/>
      <c r="AY440" s="243"/>
      <c r="AZ440" s="243"/>
      <c r="BA440" s="243"/>
      <c r="BB440" s="243"/>
      <c r="BC440" s="243"/>
      <c r="BD440" s="243"/>
      <c r="BE440" s="243"/>
      <c r="BF440" s="243"/>
      <c r="BG440" s="243"/>
      <c r="BH440" s="243"/>
      <c r="BI440" s="243"/>
      <c r="BJ440" s="243"/>
      <c r="BK440" s="243"/>
      <c r="BL440" s="243"/>
      <c r="BM440" s="243"/>
      <c r="BN440" s="243"/>
      <c r="BO440" s="243"/>
      <c r="BP440" s="243"/>
      <c r="BQ440" s="243"/>
      <c r="BR440" s="243"/>
      <c r="BS440" s="243"/>
    </row>
    <row r="441" spans="1:71" s="12" customFormat="1" ht="41.25" customHeight="1">
      <c r="A441" s="178" t="s">
        <v>80</v>
      </c>
      <c r="B441" s="178" t="str">
        <f ca="1">+UPPER(Tabla1321124[[#This Row],[DESCRIPCIÓN DE LA COMPRA O CONTRATACIÓN]])</f>
        <v>CODO 20*90º ACERO E=3/8"</v>
      </c>
      <c r="C441" s="39" t="s">
        <v>17</v>
      </c>
      <c r="D441" s="236">
        <v>5</v>
      </c>
      <c r="E441" s="236"/>
      <c r="F441" s="236">
        <v>5</v>
      </c>
      <c r="G441" s="236">
        <v>5</v>
      </c>
      <c r="H441" s="240">
        <f>SUM(Tabla1321124[[#This Row],[PRIMER TRIMESTRE]:[CUARTO TRIMESTRE]])</f>
        <v>15</v>
      </c>
      <c r="I441" s="17">
        <v>20886</v>
      </c>
      <c r="J441" s="17">
        <f>+Tabla1321124[[#This Row],[CANTIDAD TOTAL]]*Tabla1321124[[#This Row],[PRECIO UNITARIO ESTIMADO]]</f>
        <v>313290</v>
      </c>
      <c r="K441" s="17"/>
      <c r="L441" s="16" t="s">
        <v>18</v>
      </c>
      <c r="M441" s="16" t="s">
        <v>22</v>
      </c>
      <c r="N441" s="16" t="s">
        <v>418</v>
      </c>
      <c r="O441" s="243"/>
      <c r="P441" s="243"/>
      <c r="Q441" s="243"/>
      <c r="R441" s="243"/>
      <c r="S441" s="243"/>
      <c r="T441" s="243"/>
      <c r="U441" s="243"/>
      <c r="V441" s="243"/>
      <c r="W441" s="243"/>
      <c r="X441" s="243"/>
      <c r="Y441" s="243"/>
      <c r="Z441" s="243"/>
      <c r="AA441" s="243"/>
      <c r="AB441" s="243"/>
      <c r="AC441" s="243"/>
      <c r="AD441" s="243"/>
      <c r="AE441" s="243"/>
      <c r="AF441" s="243"/>
      <c r="AG441" s="243"/>
      <c r="AH441" s="243"/>
      <c r="AI441" s="243"/>
      <c r="AJ441" s="243"/>
      <c r="AK441" s="243"/>
      <c r="AL441" s="243"/>
      <c r="AM441" s="243"/>
      <c r="AN441" s="243"/>
      <c r="AO441" s="243"/>
      <c r="AP441" s="243"/>
      <c r="AQ441" s="243"/>
      <c r="AR441" s="243"/>
      <c r="AS441" s="243"/>
      <c r="AT441" s="243"/>
      <c r="AU441" s="243"/>
      <c r="AV441" s="243"/>
      <c r="AW441" s="243"/>
      <c r="AX441" s="243"/>
      <c r="AY441" s="243"/>
      <c r="AZ441" s="243"/>
      <c r="BA441" s="243"/>
      <c r="BB441" s="243"/>
      <c r="BC441" s="243"/>
      <c r="BD441" s="243"/>
      <c r="BE441" s="243"/>
      <c r="BF441" s="243"/>
      <c r="BG441" s="243"/>
      <c r="BH441" s="243"/>
      <c r="BI441" s="243"/>
      <c r="BJ441" s="243"/>
      <c r="BK441" s="243"/>
      <c r="BL441" s="243"/>
      <c r="BM441" s="243"/>
      <c r="BN441" s="243"/>
      <c r="BO441" s="243"/>
      <c r="BP441" s="243"/>
      <c r="BQ441" s="243"/>
      <c r="BR441" s="243"/>
      <c r="BS441" s="243"/>
    </row>
    <row r="442" spans="1:71" s="12" customFormat="1" ht="41.25" customHeight="1">
      <c r="A442" s="178" t="s">
        <v>80</v>
      </c>
      <c r="B442" s="178" t="str">
        <f ca="1">+UPPER(Tabla1321124[[#This Row],[DESCRIPCIÓN DE LA COMPRA O CONTRATACIÓN]])</f>
        <v>CODO 2*45º ACERO E=1/4"</v>
      </c>
      <c r="C442" s="39" t="s">
        <v>17</v>
      </c>
      <c r="D442" s="236">
        <v>10</v>
      </c>
      <c r="E442" s="236">
        <v>10</v>
      </c>
      <c r="F442" s="236">
        <v>10</v>
      </c>
      <c r="G442" s="236">
        <v>10</v>
      </c>
      <c r="H442" s="240">
        <f>SUM(Tabla1321124[[#This Row],[PRIMER TRIMESTRE]:[CUARTO TRIMESTRE]])</f>
        <v>40</v>
      </c>
      <c r="I442" s="17">
        <v>1121</v>
      </c>
      <c r="J442" s="17">
        <f>+Tabla1321124[[#This Row],[CANTIDAD TOTAL]]*Tabla1321124[[#This Row],[PRECIO UNITARIO ESTIMADO]]</f>
        <v>44840</v>
      </c>
      <c r="K442" s="17"/>
      <c r="L442" s="16" t="s">
        <v>18</v>
      </c>
      <c r="M442" s="16" t="s">
        <v>22</v>
      </c>
      <c r="N442" s="16" t="s">
        <v>418</v>
      </c>
      <c r="O442" s="243"/>
      <c r="P442" s="243"/>
      <c r="Q442" s="243"/>
      <c r="R442" s="243"/>
      <c r="S442" s="243"/>
      <c r="T442" s="243"/>
      <c r="U442" s="243"/>
      <c r="V442" s="243"/>
      <c r="W442" s="243"/>
      <c r="X442" s="243"/>
      <c r="Y442" s="243"/>
      <c r="Z442" s="243"/>
      <c r="AA442" s="243"/>
      <c r="AB442" s="243"/>
      <c r="AC442" s="243"/>
      <c r="AD442" s="243"/>
      <c r="AE442" s="243"/>
      <c r="AF442" s="243"/>
      <c r="AG442" s="243"/>
      <c r="AH442" s="243"/>
      <c r="AI442" s="243"/>
      <c r="AJ442" s="243"/>
      <c r="AK442" s="243"/>
      <c r="AL442" s="243"/>
      <c r="AM442" s="243"/>
      <c r="AN442" s="243"/>
      <c r="AO442" s="243"/>
      <c r="AP442" s="243"/>
      <c r="AQ442" s="243"/>
      <c r="AR442" s="243"/>
      <c r="AS442" s="243"/>
      <c r="AT442" s="243"/>
      <c r="AU442" s="243"/>
      <c r="AV442" s="243"/>
      <c r="AW442" s="243"/>
      <c r="AX442" s="243"/>
      <c r="AY442" s="243"/>
      <c r="AZ442" s="243"/>
      <c r="BA442" s="243"/>
      <c r="BB442" s="243"/>
      <c r="BC442" s="243"/>
      <c r="BD442" s="243"/>
      <c r="BE442" s="243"/>
      <c r="BF442" s="243"/>
      <c r="BG442" s="243"/>
      <c r="BH442" s="243"/>
      <c r="BI442" s="243"/>
      <c r="BJ442" s="243"/>
      <c r="BK442" s="243"/>
      <c r="BL442" s="243"/>
      <c r="BM442" s="243"/>
      <c r="BN442" s="243"/>
      <c r="BO442" s="243"/>
      <c r="BP442" s="243"/>
      <c r="BQ442" s="243"/>
      <c r="BR442" s="243"/>
      <c r="BS442" s="243"/>
    </row>
    <row r="443" spans="1:71" s="12" customFormat="1" ht="41.25" customHeight="1">
      <c r="A443" s="178" t="s">
        <v>80</v>
      </c>
      <c r="B443" s="178" t="str">
        <f ca="1">+UPPER(Tabla1321124[[#This Row],[DESCRIPCIÓN DE LA COMPRA O CONTRATACIÓN]])</f>
        <v>CODO 3*45º ACERO E=1/4"</v>
      </c>
      <c r="C443" s="39" t="s">
        <v>17</v>
      </c>
      <c r="D443" s="236">
        <v>10</v>
      </c>
      <c r="E443" s="236">
        <v>10</v>
      </c>
      <c r="F443" s="236">
        <v>10</v>
      </c>
      <c r="G443" s="236">
        <v>10</v>
      </c>
      <c r="H443" s="240">
        <f>SUM(Tabla1321124[[#This Row],[PRIMER TRIMESTRE]:[CUARTO TRIMESTRE]])</f>
        <v>40</v>
      </c>
      <c r="I443" s="17">
        <v>1239</v>
      </c>
      <c r="J443" s="17">
        <f>+Tabla1321124[[#This Row],[CANTIDAD TOTAL]]*Tabla1321124[[#This Row],[PRECIO UNITARIO ESTIMADO]]</f>
        <v>49560</v>
      </c>
      <c r="K443" s="17"/>
      <c r="L443" s="16" t="s">
        <v>18</v>
      </c>
      <c r="M443" s="16" t="s">
        <v>22</v>
      </c>
      <c r="N443" s="16" t="s">
        <v>418</v>
      </c>
      <c r="O443" s="243"/>
      <c r="P443" s="243"/>
      <c r="Q443" s="243"/>
      <c r="R443" s="243"/>
      <c r="S443" s="243"/>
      <c r="T443" s="243"/>
      <c r="U443" s="243"/>
      <c r="V443" s="243"/>
      <c r="W443" s="243"/>
      <c r="X443" s="243"/>
      <c r="Y443" s="243"/>
      <c r="Z443" s="243"/>
      <c r="AA443" s="243"/>
      <c r="AB443" s="243"/>
      <c r="AC443" s="243"/>
      <c r="AD443" s="243"/>
      <c r="AE443" s="243"/>
      <c r="AF443" s="243"/>
      <c r="AG443" s="243"/>
      <c r="AH443" s="243"/>
      <c r="AI443" s="243"/>
      <c r="AJ443" s="243"/>
      <c r="AK443" s="243"/>
      <c r="AL443" s="243"/>
      <c r="AM443" s="243"/>
      <c r="AN443" s="243"/>
      <c r="AO443" s="243"/>
      <c r="AP443" s="243"/>
      <c r="AQ443" s="243"/>
      <c r="AR443" s="243"/>
      <c r="AS443" s="243"/>
      <c r="AT443" s="243"/>
      <c r="AU443" s="243"/>
      <c r="AV443" s="243"/>
      <c r="AW443" s="243"/>
      <c r="AX443" s="243"/>
      <c r="AY443" s="243"/>
      <c r="AZ443" s="243"/>
      <c r="BA443" s="243"/>
      <c r="BB443" s="243"/>
      <c r="BC443" s="243"/>
      <c r="BD443" s="243"/>
      <c r="BE443" s="243"/>
      <c r="BF443" s="243"/>
      <c r="BG443" s="243"/>
      <c r="BH443" s="243"/>
      <c r="BI443" s="243"/>
      <c r="BJ443" s="243"/>
      <c r="BK443" s="243"/>
      <c r="BL443" s="243"/>
      <c r="BM443" s="243"/>
      <c r="BN443" s="243"/>
      <c r="BO443" s="243"/>
      <c r="BP443" s="243"/>
      <c r="BQ443" s="243"/>
      <c r="BR443" s="243"/>
      <c r="BS443" s="243"/>
    </row>
    <row r="444" spans="1:71" s="12" customFormat="1" ht="41.25" customHeight="1">
      <c r="A444" s="178" t="s">
        <v>80</v>
      </c>
      <c r="B444" s="178" t="str">
        <f ca="1">+UPPER(Tabla1321124[[#This Row],[DESCRIPCIÓN DE LA COMPRA O CONTRATACIÓN]])</f>
        <v>CODO 4*45º ACERO E=1/4"</v>
      </c>
      <c r="C444" s="39" t="s">
        <v>17</v>
      </c>
      <c r="D444" s="352">
        <f t="shared" ref="D444:E446" si="7">15+10</f>
        <v>25</v>
      </c>
      <c r="E444" s="352">
        <f t="shared" si="7"/>
        <v>25</v>
      </c>
      <c r="F444" s="352">
        <f t="shared" ref="F444:G446" si="8">10+10</f>
        <v>20</v>
      </c>
      <c r="G444" s="352">
        <f t="shared" si="8"/>
        <v>20</v>
      </c>
      <c r="H444" s="240">
        <f>SUM(Tabla1321124[[#This Row],[PRIMER TRIMESTRE]:[CUARTO TRIMESTRE]])</f>
        <v>90</v>
      </c>
      <c r="I444" s="17">
        <v>1593</v>
      </c>
      <c r="J444" s="17">
        <f>+Tabla1321124[[#This Row],[CANTIDAD TOTAL]]*Tabla1321124[[#This Row],[PRECIO UNITARIO ESTIMADO]]</f>
        <v>143370</v>
      </c>
      <c r="K444" s="17"/>
      <c r="L444" s="16" t="s">
        <v>18</v>
      </c>
      <c r="M444" s="16" t="s">
        <v>22</v>
      </c>
      <c r="N444" s="16" t="s">
        <v>418</v>
      </c>
      <c r="O444" s="243"/>
      <c r="P444" s="243"/>
      <c r="Q444" s="243"/>
      <c r="R444" s="243"/>
      <c r="S444" s="243"/>
      <c r="T444" s="243"/>
      <c r="U444" s="243"/>
      <c r="V444" s="243"/>
      <c r="W444" s="243"/>
      <c r="X444" s="243"/>
      <c r="Y444" s="243"/>
      <c r="Z444" s="243"/>
      <c r="AA444" s="243"/>
      <c r="AB444" s="243"/>
      <c r="AC444" s="243"/>
      <c r="AD444" s="243"/>
      <c r="AE444" s="243"/>
      <c r="AF444" s="243"/>
      <c r="AG444" s="243"/>
      <c r="AH444" s="243"/>
      <c r="AI444" s="243"/>
      <c r="AJ444" s="243"/>
      <c r="AK444" s="243"/>
      <c r="AL444" s="243"/>
      <c r="AM444" s="243"/>
      <c r="AN444" s="243"/>
      <c r="AO444" s="243"/>
      <c r="AP444" s="243"/>
      <c r="AQ444" s="243"/>
      <c r="AR444" s="243"/>
      <c r="AS444" s="243"/>
      <c r="AT444" s="243"/>
      <c r="AU444" s="243"/>
      <c r="AV444" s="243"/>
      <c r="AW444" s="243"/>
      <c r="AX444" s="243"/>
      <c r="AY444" s="243"/>
      <c r="AZ444" s="243"/>
      <c r="BA444" s="243"/>
      <c r="BB444" s="243"/>
      <c r="BC444" s="243"/>
      <c r="BD444" s="243"/>
      <c r="BE444" s="243"/>
      <c r="BF444" s="243"/>
      <c r="BG444" s="243"/>
      <c r="BH444" s="243"/>
      <c r="BI444" s="243"/>
      <c r="BJ444" s="243"/>
      <c r="BK444" s="243"/>
      <c r="BL444" s="243"/>
      <c r="BM444" s="243"/>
      <c r="BN444" s="243"/>
      <c r="BO444" s="243"/>
      <c r="BP444" s="243"/>
      <c r="BQ444" s="243"/>
      <c r="BR444" s="243"/>
      <c r="BS444" s="243"/>
    </row>
    <row r="445" spans="1:71" s="12" customFormat="1" ht="41.25" customHeight="1">
      <c r="A445" s="178" t="s">
        <v>80</v>
      </c>
      <c r="B445" s="178" t="str">
        <f ca="1">+UPPER(Tabla1321124[[#This Row],[DESCRIPCIÓN DE LA COMPRA O CONTRATACIÓN]])</f>
        <v>CODO 6*45º ACERO E=1/4"</v>
      </c>
      <c r="C445" s="39" t="s">
        <v>17</v>
      </c>
      <c r="D445" s="352">
        <f t="shared" si="7"/>
        <v>25</v>
      </c>
      <c r="E445" s="352">
        <f t="shared" si="7"/>
        <v>25</v>
      </c>
      <c r="F445" s="352">
        <f t="shared" si="8"/>
        <v>20</v>
      </c>
      <c r="G445" s="352">
        <f t="shared" si="8"/>
        <v>20</v>
      </c>
      <c r="H445" s="240">
        <f>SUM(Tabla1321124[[#This Row],[PRIMER TRIMESTRE]:[CUARTO TRIMESTRE]])</f>
        <v>90</v>
      </c>
      <c r="I445" s="17">
        <v>3717</v>
      </c>
      <c r="J445" s="17">
        <f>+Tabla1321124[[#This Row],[CANTIDAD TOTAL]]*Tabla1321124[[#This Row],[PRECIO UNITARIO ESTIMADO]]</f>
        <v>334530</v>
      </c>
      <c r="K445" s="17"/>
      <c r="L445" s="16" t="s">
        <v>18</v>
      </c>
      <c r="M445" s="16" t="s">
        <v>22</v>
      </c>
      <c r="N445" s="16" t="s">
        <v>418</v>
      </c>
      <c r="O445" s="243"/>
      <c r="P445" s="243"/>
      <c r="Q445" s="243"/>
      <c r="R445" s="243"/>
      <c r="S445" s="243"/>
      <c r="T445" s="243"/>
      <c r="U445" s="243"/>
      <c r="V445" s="243"/>
      <c r="W445" s="243"/>
      <c r="X445" s="243"/>
      <c r="Y445" s="243"/>
      <c r="Z445" s="243"/>
      <c r="AA445" s="243"/>
      <c r="AB445" s="243"/>
      <c r="AC445" s="243"/>
      <c r="AD445" s="243"/>
      <c r="AE445" s="243"/>
      <c r="AF445" s="243"/>
      <c r="AG445" s="243"/>
      <c r="AH445" s="243"/>
      <c r="AI445" s="243"/>
      <c r="AJ445" s="243"/>
      <c r="AK445" s="243"/>
      <c r="AL445" s="243"/>
      <c r="AM445" s="243"/>
      <c r="AN445" s="243"/>
      <c r="AO445" s="243"/>
      <c r="AP445" s="243"/>
      <c r="AQ445" s="243"/>
      <c r="AR445" s="243"/>
      <c r="AS445" s="243"/>
      <c r="AT445" s="243"/>
      <c r="AU445" s="243"/>
      <c r="AV445" s="243"/>
      <c r="AW445" s="243"/>
      <c r="AX445" s="243"/>
      <c r="AY445" s="243"/>
      <c r="AZ445" s="243"/>
      <c r="BA445" s="243"/>
      <c r="BB445" s="243"/>
      <c r="BC445" s="243"/>
      <c r="BD445" s="243"/>
      <c r="BE445" s="243"/>
      <c r="BF445" s="243"/>
      <c r="BG445" s="243"/>
      <c r="BH445" s="243"/>
      <c r="BI445" s="243"/>
      <c r="BJ445" s="243"/>
      <c r="BK445" s="243"/>
      <c r="BL445" s="243"/>
      <c r="BM445" s="243"/>
      <c r="BN445" s="243"/>
      <c r="BO445" s="243"/>
      <c r="BP445" s="243"/>
      <c r="BQ445" s="243"/>
      <c r="BR445" s="243"/>
      <c r="BS445" s="243"/>
    </row>
    <row r="446" spans="1:71" s="12" customFormat="1" ht="41.25" customHeight="1">
      <c r="A446" s="178" t="s">
        <v>80</v>
      </c>
      <c r="B446" s="178" t="str">
        <f ca="1">+UPPER(Tabla1321124[[#This Row],[DESCRIPCIÓN DE LA COMPRA O CONTRATACIÓN]])</f>
        <v>CODO 8*45º ACERO E=3/8"</v>
      </c>
      <c r="C446" s="39" t="s">
        <v>17</v>
      </c>
      <c r="D446" s="352">
        <f t="shared" si="7"/>
        <v>25</v>
      </c>
      <c r="E446" s="352">
        <f t="shared" si="7"/>
        <v>25</v>
      </c>
      <c r="F446" s="352">
        <f t="shared" si="8"/>
        <v>20</v>
      </c>
      <c r="G446" s="352">
        <f t="shared" si="8"/>
        <v>20</v>
      </c>
      <c r="H446" s="240">
        <f>SUM(Tabla1321124[[#This Row],[PRIMER TRIMESTRE]:[CUARTO TRIMESTRE]])</f>
        <v>90</v>
      </c>
      <c r="I446" s="17">
        <v>5133</v>
      </c>
      <c r="J446" s="17">
        <f>+Tabla1321124[[#This Row],[CANTIDAD TOTAL]]*Tabla1321124[[#This Row],[PRECIO UNITARIO ESTIMADO]]</f>
        <v>461970</v>
      </c>
      <c r="K446" s="17"/>
      <c r="L446" s="16" t="s">
        <v>18</v>
      </c>
      <c r="M446" s="16" t="s">
        <v>22</v>
      </c>
      <c r="N446" s="16" t="s">
        <v>418</v>
      </c>
      <c r="O446" s="243"/>
      <c r="P446" s="243"/>
      <c r="Q446" s="243"/>
      <c r="R446" s="243"/>
      <c r="S446" s="243"/>
      <c r="T446" s="243"/>
      <c r="U446" s="243"/>
      <c r="V446" s="243"/>
      <c r="W446" s="243"/>
      <c r="X446" s="243"/>
      <c r="Y446" s="243"/>
      <c r="Z446" s="243"/>
      <c r="AA446" s="243"/>
      <c r="AB446" s="243"/>
      <c r="AC446" s="243"/>
      <c r="AD446" s="243"/>
      <c r="AE446" s="243"/>
      <c r="AF446" s="243"/>
      <c r="AG446" s="243"/>
      <c r="AH446" s="243"/>
      <c r="AI446" s="243"/>
      <c r="AJ446" s="243"/>
      <c r="AK446" s="243"/>
      <c r="AL446" s="243"/>
      <c r="AM446" s="243"/>
      <c r="AN446" s="243"/>
      <c r="AO446" s="243"/>
      <c r="AP446" s="243"/>
      <c r="AQ446" s="243"/>
      <c r="AR446" s="243"/>
      <c r="AS446" s="243"/>
      <c r="AT446" s="243"/>
      <c r="AU446" s="243"/>
      <c r="AV446" s="243"/>
      <c r="AW446" s="243"/>
      <c r="AX446" s="243"/>
      <c r="AY446" s="243"/>
      <c r="AZ446" s="243"/>
      <c r="BA446" s="243"/>
      <c r="BB446" s="243"/>
      <c r="BC446" s="243"/>
      <c r="BD446" s="243"/>
      <c r="BE446" s="243"/>
      <c r="BF446" s="243"/>
      <c r="BG446" s="243"/>
      <c r="BH446" s="243"/>
      <c r="BI446" s="243"/>
      <c r="BJ446" s="243"/>
      <c r="BK446" s="243"/>
      <c r="BL446" s="243"/>
      <c r="BM446" s="243"/>
      <c r="BN446" s="243"/>
      <c r="BO446" s="243"/>
      <c r="BP446" s="243"/>
      <c r="BQ446" s="243"/>
      <c r="BR446" s="243"/>
      <c r="BS446" s="243"/>
    </row>
    <row r="447" spans="1:71" s="12" customFormat="1" ht="41.25" customHeight="1">
      <c r="A447" s="178" t="s">
        <v>80</v>
      </c>
      <c r="B447" s="178" t="str">
        <f ca="1">+UPPER(Tabla1321124[[#This Row],[DESCRIPCIÓN DE LA COMPRA O CONTRATACIÓN]])</f>
        <v>CODO 10*45º ACERO E=3/8"</v>
      </c>
      <c r="C447" s="39" t="s">
        <v>17</v>
      </c>
      <c r="D447" s="236"/>
      <c r="E447" s="236"/>
      <c r="F447" s="236"/>
      <c r="G447" s="236"/>
      <c r="H447" s="240">
        <f>SUM(Tabla1321124[[#This Row],[PRIMER TRIMESTRE]:[CUARTO TRIMESTRE]])</f>
        <v>0</v>
      </c>
      <c r="I447" s="17">
        <v>7127</v>
      </c>
      <c r="J447" s="17">
        <f>+Tabla1321124[[#This Row],[CANTIDAD TOTAL]]*Tabla1321124[[#This Row],[PRECIO UNITARIO ESTIMADO]]</f>
        <v>0</v>
      </c>
      <c r="K447" s="17"/>
      <c r="L447" s="16" t="s">
        <v>18</v>
      </c>
      <c r="M447" s="16" t="s">
        <v>22</v>
      </c>
      <c r="N447" s="16" t="s">
        <v>418</v>
      </c>
      <c r="O447" s="243"/>
      <c r="P447" s="243"/>
      <c r="Q447" s="243"/>
      <c r="R447" s="243"/>
      <c r="S447" s="243"/>
      <c r="T447" s="243"/>
      <c r="U447" s="243"/>
      <c r="V447" s="243"/>
      <c r="W447" s="243"/>
      <c r="X447" s="243"/>
      <c r="Y447" s="243"/>
      <c r="Z447" s="243"/>
      <c r="AA447" s="243"/>
      <c r="AB447" s="243"/>
      <c r="AC447" s="243"/>
      <c r="AD447" s="243"/>
      <c r="AE447" s="243"/>
      <c r="AF447" s="243"/>
      <c r="AG447" s="243"/>
      <c r="AH447" s="243"/>
      <c r="AI447" s="243"/>
      <c r="AJ447" s="243"/>
      <c r="AK447" s="243"/>
      <c r="AL447" s="243"/>
      <c r="AM447" s="243"/>
      <c r="AN447" s="243"/>
      <c r="AO447" s="243"/>
      <c r="AP447" s="243"/>
      <c r="AQ447" s="243"/>
      <c r="AR447" s="243"/>
      <c r="AS447" s="243"/>
      <c r="AT447" s="243"/>
      <c r="AU447" s="243"/>
      <c r="AV447" s="243"/>
      <c r="AW447" s="243"/>
      <c r="AX447" s="243"/>
      <c r="AY447" s="243"/>
      <c r="AZ447" s="243"/>
      <c r="BA447" s="243"/>
      <c r="BB447" s="243"/>
      <c r="BC447" s="243"/>
      <c r="BD447" s="243"/>
      <c r="BE447" s="243"/>
      <c r="BF447" s="243"/>
      <c r="BG447" s="243"/>
      <c r="BH447" s="243"/>
      <c r="BI447" s="243"/>
      <c r="BJ447" s="243"/>
      <c r="BK447" s="243"/>
      <c r="BL447" s="243"/>
      <c r="BM447" s="243"/>
      <c r="BN447" s="243"/>
      <c r="BO447" s="243"/>
      <c r="BP447" s="243"/>
      <c r="BQ447" s="243"/>
      <c r="BR447" s="243"/>
      <c r="BS447" s="243"/>
    </row>
    <row r="448" spans="1:71" s="12" customFormat="1" ht="41.25" customHeight="1">
      <c r="A448" s="178" t="s">
        <v>80</v>
      </c>
      <c r="B448" s="178" t="str">
        <f ca="1">+UPPER(Tabla1321124[[#This Row],[DESCRIPCIÓN DE LA COMPRA O CONTRATACIÓN]])</f>
        <v>CODO 12*45º ACERO E=3/8"</v>
      </c>
      <c r="C448" s="39" t="s">
        <v>17</v>
      </c>
      <c r="D448" s="352">
        <f>15+5</f>
        <v>20</v>
      </c>
      <c r="E448" s="352">
        <f>15+5</f>
        <v>20</v>
      </c>
      <c r="F448" s="352">
        <f>10+5</f>
        <v>15</v>
      </c>
      <c r="G448" s="352">
        <f>10+5</f>
        <v>15</v>
      </c>
      <c r="H448" s="240">
        <f>SUM(Tabla1321124[[#This Row],[PRIMER TRIMESTRE]:[CUARTO TRIMESTRE]])</f>
        <v>70</v>
      </c>
      <c r="I448" s="17">
        <v>12580</v>
      </c>
      <c r="J448" s="17">
        <f>+Tabla1321124[[#This Row],[CANTIDAD TOTAL]]*Tabla1321124[[#This Row],[PRECIO UNITARIO ESTIMADO]]</f>
        <v>880600</v>
      </c>
      <c r="K448" s="17"/>
      <c r="L448" s="16" t="s">
        <v>18</v>
      </c>
      <c r="M448" s="16" t="s">
        <v>22</v>
      </c>
      <c r="N448" s="16" t="s">
        <v>418</v>
      </c>
      <c r="O448" s="243"/>
      <c r="P448" s="243"/>
      <c r="Q448" s="243"/>
      <c r="R448" s="243"/>
      <c r="S448" s="243"/>
      <c r="T448" s="243"/>
      <c r="U448" s="243"/>
      <c r="V448" s="243"/>
      <c r="W448" s="243"/>
      <c r="X448" s="243"/>
      <c r="Y448" s="243"/>
      <c r="Z448" s="243"/>
      <c r="AA448" s="243"/>
      <c r="AB448" s="243"/>
      <c r="AC448" s="243"/>
      <c r="AD448" s="243"/>
      <c r="AE448" s="243"/>
      <c r="AF448" s="243"/>
      <c r="AG448" s="243"/>
      <c r="AH448" s="243"/>
      <c r="AI448" s="243"/>
      <c r="AJ448" s="243"/>
      <c r="AK448" s="243"/>
      <c r="AL448" s="243"/>
      <c r="AM448" s="243"/>
      <c r="AN448" s="243"/>
      <c r="AO448" s="243"/>
      <c r="AP448" s="243"/>
      <c r="AQ448" s="243"/>
      <c r="AR448" s="243"/>
      <c r="AS448" s="243"/>
      <c r="AT448" s="243"/>
      <c r="AU448" s="243"/>
      <c r="AV448" s="243"/>
      <c r="AW448" s="243"/>
      <c r="AX448" s="243"/>
      <c r="AY448" s="243"/>
      <c r="AZ448" s="243"/>
      <c r="BA448" s="243"/>
      <c r="BB448" s="243"/>
      <c r="BC448" s="243"/>
      <c r="BD448" s="243"/>
      <c r="BE448" s="243"/>
      <c r="BF448" s="243"/>
      <c r="BG448" s="243"/>
      <c r="BH448" s="243"/>
      <c r="BI448" s="243"/>
      <c r="BJ448" s="243"/>
      <c r="BK448" s="243"/>
      <c r="BL448" s="243"/>
      <c r="BM448" s="243"/>
      <c r="BN448" s="243"/>
      <c r="BO448" s="243"/>
      <c r="BP448" s="243"/>
      <c r="BQ448" s="243"/>
      <c r="BR448" s="243"/>
      <c r="BS448" s="243"/>
    </row>
    <row r="449" spans="1:71" s="12" customFormat="1" ht="41.25" customHeight="1">
      <c r="A449" s="178" t="s">
        <v>80</v>
      </c>
      <c r="B449" s="178" t="str">
        <f ca="1">+UPPER(Tabla1321124[[#This Row],[DESCRIPCIÓN DE LA COMPRA O CONTRATACIÓN]])</f>
        <v>CODO 16*45º ACERO E=3/8"</v>
      </c>
      <c r="C449" s="39" t="s">
        <v>17</v>
      </c>
      <c r="D449" s="352">
        <f>15+5</f>
        <v>20</v>
      </c>
      <c r="E449" s="352">
        <f>15+5</f>
        <v>20</v>
      </c>
      <c r="F449" s="352">
        <f>10+5</f>
        <v>15</v>
      </c>
      <c r="G449" s="352">
        <f>10+5</f>
        <v>15</v>
      </c>
      <c r="H449" s="240">
        <f>SUM(Tabla1321124[[#This Row],[PRIMER TRIMESTRE]:[CUARTO TRIMESTRE]])</f>
        <v>70</v>
      </c>
      <c r="I449" s="17">
        <v>15045</v>
      </c>
      <c r="J449" s="17">
        <f>+Tabla1321124[[#This Row],[CANTIDAD TOTAL]]*Tabla1321124[[#This Row],[PRECIO UNITARIO ESTIMADO]]</f>
        <v>1053150</v>
      </c>
      <c r="K449" s="17"/>
      <c r="L449" s="16" t="s">
        <v>18</v>
      </c>
      <c r="M449" s="16" t="s">
        <v>22</v>
      </c>
      <c r="N449" s="16" t="s">
        <v>418</v>
      </c>
      <c r="O449" s="243"/>
      <c r="P449" s="243"/>
      <c r="Q449" s="243"/>
      <c r="R449" s="243"/>
      <c r="S449" s="243"/>
      <c r="T449" s="243"/>
      <c r="U449" s="243"/>
      <c r="V449" s="243"/>
      <c r="W449" s="243"/>
      <c r="X449" s="243"/>
      <c r="Y449" s="243"/>
      <c r="Z449" s="243"/>
      <c r="AA449" s="243"/>
      <c r="AB449" s="243"/>
      <c r="AC449" s="243"/>
      <c r="AD449" s="243"/>
      <c r="AE449" s="243"/>
      <c r="AF449" s="243"/>
      <c r="AG449" s="243"/>
      <c r="AH449" s="243"/>
      <c r="AI449" s="243"/>
      <c r="AJ449" s="243"/>
      <c r="AK449" s="243"/>
      <c r="AL449" s="243"/>
      <c r="AM449" s="243"/>
      <c r="AN449" s="243"/>
      <c r="AO449" s="243"/>
      <c r="AP449" s="243"/>
      <c r="AQ449" s="243"/>
      <c r="AR449" s="243"/>
      <c r="AS449" s="243"/>
      <c r="AT449" s="243"/>
      <c r="AU449" s="243"/>
      <c r="AV449" s="243"/>
      <c r="AW449" s="243"/>
      <c r="AX449" s="243"/>
      <c r="AY449" s="243"/>
      <c r="AZ449" s="243"/>
      <c r="BA449" s="243"/>
      <c r="BB449" s="243"/>
      <c r="BC449" s="243"/>
      <c r="BD449" s="243"/>
      <c r="BE449" s="243"/>
      <c r="BF449" s="243"/>
      <c r="BG449" s="243"/>
      <c r="BH449" s="243"/>
      <c r="BI449" s="243"/>
      <c r="BJ449" s="243"/>
      <c r="BK449" s="243"/>
      <c r="BL449" s="243"/>
      <c r="BM449" s="243"/>
      <c r="BN449" s="243"/>
      <c r="BO449" s="243"/>
      <c r="BP449" s="243"/>
      <c r="BQ449" s="243"/>
      <c r="BR449" s="243"/>
      <c r="BS449" s="243"/>
    </row>
    <row r="450" spans="1:71" s="12" customFormat="1" ht="41.25" customHeight="1">
      <c r="A450" s="178" t="s">
        <v>80</v>
      </c>
      <c r="B450" s="178" t="str">
        <f ca="1">+UPPER(Tabla1321124[[#This Row],[DESCRIPCIÓN DE LA COMPRA O CONTRATACIÓN]])</f>
        <v>CODO 20*45º ACERO E=3/8"</v>
      </c>
      <c r="C450" s="39" t="s">
        <v>17</v>
      </c>
      <c r="D450" s="236">
        <v>5</v>
      </c>
      <c r="E450" s="236"/>
      <c r="F450" s="236">
        <v>5</v>
      </c>
      <c r="G450" s="236"/>
      <c r="H450" s="240">
        <f>SUM(Tabla1321124[[#This Row],[PRIMER TRIMESTRE]:[CUARTO TRIMESTRE]])</f>
        <v>10</v>
      </c>
      <c r="I450" s="17">
        <v>22396.400000000001</v>
      </c>
      <c r="J450" s="17">
        <f>+Tabla1321124[[#This Row],[CANTIDAD TOTAL]]*Tabla1321124[[#This Row],[PRECIO UNITARIO ESTIMADO]]</f>
        <v>223964</v>
      </c>
      <c r="K450" s="17"/>
      <c r="L450" s="16" t="s">
        <v>18</v>
      </c>
      <c r="M450" s="16" t="s">
        <v>22</v>
      </c>
      <c r="N450" s="16" t="s">
        <v>418</v>
      </c>
      <c r="O450" s="243"/>
      <c r="P450" s="243"/>
      <c r="Q450" s="243"/>
      <c r="R450" s="243"/>
      <c r="S450" s="243"/>
      <c r="T450" s="243"/>
      <c r="U450" s="243"/>
      <c r="V450" s="243"/>
      <c r="W450" s="243"/>
      <c r="X450" s="243"/>
      <c r="Y450" s="243"/>
      <c r="Z450" s="243"/>
      <c r="AA450" s="243"/>
      <c r="AB450" s="243"/>
      <c r="AC450" s="243"/>
      <c r="AD450" s="243"/>
      <c r="AE450" s="243"/>
      <c r="AF450" s="243"/>
      <c r="AG450" s="243"/>
      <c r="AH450" s="243"/>
      <c r="AI450" s="243"/>
      <c r="AJ450" s="243"/>
      <c r="AK450" s="243"/>
      <c r="AL450" s="243"/>
      <c r="AM450" s="243"/>
      <c r="AN450" s="243"/>
      <c r="AO450" s="243"/>
      <c r="AP450" s="243"/>
      <c r="AQ450" s="243"/>
      <c r="AR450" s="243"/>
      <c r="AS450" s="243"/>
      <c r="AT450" s="243"/>
      <c r="AU450" s="243"/>
      <c r="AV450" s="243"/>
      <c r="AW450" s="243"/>
      <c r="AX450" s="243"/>
      <c r="AY450" s="243"/>
      <c r="AZ450" s="243"/>
      <c r="BA450" s="243"/>
      <c r="BB450" s="243"/>
      <c r="BC450" s="243"/>
      <c r="BD450" s="243"/>
      <c r="BE450" s="243"/>
      <c r="BF450" s="243"/>
      <c r="BG450" s="243"/>
      <c r="BH450" s="243"/>
      <c r="BI450" s="243"/>
      <c r="BJ450" s="243"/>
      <c r="BK450" s="243"/>
      <c r="BL450" s="243"/>
      <c r="BM450" s="243"/>
      <c r="BN450" s="243"/>
      <c r="BO450" s="243"/>
      <c r="BP450" s="243"/>
      <c r="BQ450" s="243"/>
      <c r="BR450" s="243"/>
      <c r="BS450" s="243"/>
    </row>
    <row r="451" spans="1:71" s="12" customFormat="1" ht="41.25" customHeight="1">
      <c r="A451" s="178" t="s">
        <v>80</v>
      </c>
      <c r="B451" s="178" t="str">
        <f ca="1">+UPPER(Tabla1321124[[#This Row],[DESCRIPCIÓN DE LA COMPRA O CONTRATACIÓN]])</f>
        <v>COUPLING DE 1/2 PVC</v>
      </c>
      <c r="C451" s="39" t="s">
        <v>17</v>
      </c>
      <c r="D451" s="236">
        <v>15000</v>
      </c>
      <c r="E451" s="236">
        <v>15000</v>
      </c>
      <c r="F451" s="236">
        <v>15000</v>
      </c>
      <c r="G451" s="236">
        <v>15000</v>
      </c>
      <c r="H451" s="240">
        <f>SUM(Tabla1321124[[#This Row],[PRIMER TRIMESTRE]:[CUARTO TRIMESTRE]])</f>
        <v>60000</v>
      </c>
      <c r="I451" s="17">
        <v>3.52</v>
      </c>
      <c r="J451" s="17">
        <f>+Tabla1321124[[#This Row],[CANTIDAD TOTAL]]*Tabla1321124[[#This Row],[PRECIO UNITARIO ESTIMADO]]</f>
        <v>211200</v>
      </c>
      <c r="K451" s="17"/>
      <c r="L451" s="16" t="s">
        <v>18</v>
      </c>
      <c r="M451" s="16" t="s">
        <v>22</v>
      </c>
      <c r="N451" s="16" t="s">
        <v>418</v>
      </c>
      <c r="O451" s="243"/>
      <c r="P451" s="243"/>
      <c r="Q451" s="243"/>
      <c r="R451" s="243"/>
      <c r="S451" s="243"/>
      <c r="T451" s="243"/>
      <c r="U451" s="243"/>
      <c r="V451" s="243"/>
      <c r="W451" s="243"/>
      <c r="X451" s="243"/>
      <c r="Y451" s="243"/>
      <c r="Z451" s="243"/>
      <c r="AA451" s="243"/>
      <c r="AB451" s="243"/>
      <c r="AC451" s="243"/>
      <c r="AD451" s="243"/>
      <c r="AE451" s="243"/>
      <c r="AF451" s="243"/>
      <c r="AG451" s="243"/>
      <c r="AH451" s="243"/>
      <c r="AI451" s="243"/>
      <c r="AJ451" s="243"/>
      <c r="AK451" s="243"/>
      <c r="AL451" s="243"/>
      <c r="AM451" s="243"/>
      <c r="AN451" s="243"/>
      <c r="AO451" s="243"/>
      <c r="AP451" s="243"/>
      <c r="AQ451" s="243"/>
      <c r="AR451" s="243"/>
      <c r="AS451" s="243"/>
      <c r="AT451" s="243"/>
      <c r="AU451" s="243"/>
      <c r="AV451" s="243"/>
      <c r="AW451" s="243"/>
      <c r="AX451" s="243"/>
      <c r="AY451" s="243"/>
      <c r="AZ451" s="243"/>
      <c r="BA451" s="243"/>
      <c r="BB451" s="243"/>
      <c r="BC451" s="243"/>
      <c r="BD451" s="243"/>
      <c r="BE451" s="243"/>
      <c r="BF451" s="243"/>
      <c r="BG451" s="243"/>
      <c r="BH451" s="243"/>
      <c r="BI451" s="243"/>
      <c r="BJ451" s="243"/>
      <c r="BK451" s="243"/>
      <c r="BL451" s="243"/>
      <c r="BM451" s="243"/>
      <c r="BN451" s="243"/>
      <c r="BO451" s="243"/>
      <c r="BP451" s="243"/>
      <c r="BQ451" s="243"/>
      <c r="BR451" s="243"/>
      <c r="BS451" s="243"/>
    </row>
    <row r="452" spans="1:71" s="12" customFormat="1" ht="41.25" customHeight="1">
      <c r="A452" s="178" t="s">
        <v>80</v>
      </c>
      <c r="B452" s="178" t="str">
        <f ca="1">+UPPER(Tabla1321124[[#This Row],[DESCRIPCIÓN DE LA COMPRA O CONTRATACIÓN]])</f>
        <v>COUPLING DE 3/4 PVC</v>
      </c>
      <c r="C452" s="39" t="s">
        <v>17</v>
      </c>
      <c r="D452" s="236">
        <v>15000</v>
      </c>
      <c r="E452" s="236">
        <v>15000</v>
      </c>
      <c r="F452" s="236">
        <v>15000</v>
      </c>
      <c r="G452" s="236">
        <v>15000</v>
      </c>
      <c r="H452" s="240">
        <f>SUM(Tabla1321124[[#This Row],[PRIMER TRIMESTRE]:[CUARTO TRIMESTRE]])</f>
        <v>60000</v>
      </c>
      <c r="I452" s="17">
        <v>5.86</v>
      </c>
      <c r="J452" s="17">
        <f>+Tabla1321124[[#This Row],[CANTIDAD TOTAL]]*Tabla1321124[[#This Row],[PRECIO UNITARIO ESTIMADO]]</f>
        <v>351600</v>
      </c>
      <c r="K452" s="17"/>
      <c r="L452" s="16" t="s">
        <v>18</v>
      </c>
      <c r="M452" s="16" t="s">
        <v>22</v>
      </c>
      <c r="N452" s="16" t="s">
        <v>418</v>
      </c>
      <c r="O452" s="243"/>
      <c r="P452" s="243"/>
      <c r="Q452" s="243"/>
      <c r="R452" s="243"/>
      <c r="S452" s="243"/>
      <c r="T452" s="243"/>
      <c r="U452" s="243"/>
      <c r="V452" s="243"/>
      <c r="W452" s="243"/>
      <c r="X452" s="243"/>
      <c r="Y452" s="243"/>
      <c r="Z452" s="243"/>
      <c r="AA452" s="243"/>
      <c r="AB452" s="243"/>
      <c r="AC452" s="243"/>
      <c r="AD452" s="243"/>
      <c r="AE452" s="243"/>
      <c r="AF452" s="243"/>
      <c r="AG452" s="243"/>
      <c r="AH452" s="243"/>
      <c r="AI452" s="243"/>
      <c r="AJ452" s="243"/>
      <c r="AK452" s="243"/>
      <c r="AL452" s="243"/>
      <c r="AM452" s="243"/>
      <c r="AN452" s="243"/>
      <c r="AO452" s="243"/>
      <c r="AP452" s="243"/>
      <c r="AQ452" s="243"/>
      <c r="AR452" s="243"/>
      <c r="AS452" s="243"/>
      <c r="AT452" s="243"/>
      <c r="AU452" s="243"/>
      <c r="AV452" s="243"/>
      <c r="AW452" s="243"/>
      <c r="AX452" s="243"/>
      <c r="AY452" s="243"/>
      <c r="AZ452" s="243"/>
      <c r="BA452" s="243"/>
      <c r="BB452" s="243"/>
      <c r="BC452" s="243"/>
      <c r="BD452" s="243"/>
      <c r="BE452" s="243"/>
      <c r="BF452" s="243"/>
      <c r="BG452" s="243"/>
      <c r="BH452" s="243"/>
      <c r="BI452" s="243"/>
      <c r="BJ452" s="243"/>
      <c r="BK452" s="243"/>
      <c r="BL452" s="243"/>
      <c r="BM452" s="243"/>
      <c r="BN452" s="243"/>
      <c r="BO452" s="243"/>
      <c r="BP452" s="243"/>
      <c r="BQ452" s="243"/>
      <c r="BR452" s="243"/>
      <c r="BS452" s="243"/>
    </row>
    <row r="453" spans="1:71" s="12" customFormat="1" ht="41.25" customHeight="1">
      <c r="A453" s="178" t="s">
        <v>80</v>
      </c>
      <c r="B453" s="178" t="str">
        <f ca="1">+UPPER(Tabla1321124[[#This Row],[DESCRIPCIÓN DE LA COMPRA O CONTRATACIÓN]])</f>
        <v>COUPLING DE 1 PVC</v>
      </c>
      <c r="C453" s="39" t="s">
        <v>17</v>
      </c>
      <c r="D453" s="236">
        <v>2000</v>
      </c>
      <c r="E453" s="236">
        <v>2000</v>
      </c>
      <c r="F453" s="236">
        <v>2000</v>
      </c>
      <c r="G453" s="236">
        <v>2000</v>
      </c>
      <c r="H453" s="240">
        <f>SUM(Tabla1321124[[#This Row],[PRIMER TRIMESTRE]:[CUARTO TRIMESTRE]])</f>
        <v>8000</v>
      </c>
      <c r="I453" s="17">
        <v>15.46</v>
      </c>
      <c r="J453" s="17">
        <f>+Tabla1321124[[#This Row],[CANTIDAD TOTAL]]*Tabla1321124[[#This Row],[PRECIO UNITARIO ESTIMADO]]</f>
        <v>123680</v>
      </c>
      <c r="K453" s="17"/>
      <c r="L453" s="16" t="s">
        <v>18</v>
      </c>
      <c r="M453" s="16" t="s">
        <v>22</v>
      </c>
      <c r="N453" s="16" t="s">
        <v>418</v>
      </c>
      <c r="O453" s="243"/>
      <c r="P453" s="243"/>
      <c r="Q453" s="243"/>
      <c r="R453" s="243"/>
      <c r="S453" s="243"/>
      <c r="T453" s="243"/>
      <c r="U453" s="243"/>
      <c r="V453" s="243"/>
      <c r="W453" s="243"/>
      <c r="X453" s="243"/>
      <c r="Y453" s="243"/>
      <c r="Z453" s="243"/>
      <c r="AA453" s="243"/>
      <c r="AB453" s="243"/>
      <c r="AC453" s="243"/>
      <c r="AD453" s="243"/>
      <c r="AE453" s="243"/>
      <c r="AF453" s="243"/>
      <c r="AG453" s="243"/>
      <c r="AH453" s="243"/>
      <c r="AI453" s="243"/>
      <c r="AJ453" s="243"/>
      <c r="AK453" s="243"/>
      <c r="AL453" s="243"/>
      <c r="AM453" s="243"/>
      <c r="AN453" s="243"/>
      <c r="AO453" s="243"/>
      <c r="AP453" s="243"/>
      <c r="AQ453" s="243"/>
      <c r="AR453" s="243"/>
      <c r="AS453" s="243"/>
      <c r="AT453" s="243"/>
      <c r="AU453" s="243"/>
      <c r="AV453" s="243"/>
      <c r="AW453" s="243"/>
      <c r="AX453" s="243"/>
      <c r="AY453" s="243"/>
      <c r="AZ453" s="243"/>
      <c r="BA453" s="243"/>
      <c r="BB453" s="243"/>
      <c r="BC453" s="243"/>
      <c r="BD453" s="243"/>
      <c r="BE453" s="243"/>
      <c r="BF453" s="243"/>
      <c r="BG453" s="243"/>
      <c r="BH453" s="243"/>
      <c r="BI453" s="243"/>
      <c r="BJ453" s="243"/>
      <c r="BK453" s="243"/>
      <c r="BL453" s="243"/>
      <c r="BM453" s="243"/>
      <c r="BN453" s="243"/>
      <c r="BO453" s="243"/>
      <c r="BP453" s="243"/>
      <c r="BQ453" s="243"/>
      <c r="BR453" s="243"/>
      <c r="BS453" s="243"/>
    </row>
    <row r="454" spans="1:71" s="12" customFormat="1" ht="41.25" customHeight="1">
      <c r="A454" s="178" t="s">
        <v>80</v>
      </c>
      <c r="B454" s="178" t="str">
        <f ca="1">+UPPER(Tabla1321124[[#This Row],[DESCRIPCIÓN DE LA COMPRA O CONTRATACIÓN]])</f>
        <v>COUPLING DE 1 1/2 PVC</v>
      </c>
      <c r="C454" s="39" t="s">
        <v>17</v>
      </c>
      <c r="D454" s="236">
        <v>90</v>
      </c>
      <c r="E454" s="236">
        <f>50+40</f>
        <v>90</v>
      </c>
      <c r="F454" s="236">
        <f>50+40</f>
        <v>90</v>
      </c>
      <c r="G454" s="236">
        <f>50+40</f>
        <v>90</v>
      </c>
      <c r="H454" s="240">
        <f>SUM(Tabla1321124[[#This Row],[PRIMER TRIMESTRE]:[CUARTO TRIMESTRE]])</f>
        <v>360</v>
      </c>
      <c r="I454" s="17">
        <v>15.46</v>
      </c>
      <c r="J454" s="17">
        <f>+Tabla1321124[[#This Row],[CANTIDAD TOTAL]]*Tabla1321124[[#This Row],[PRECIO UNITARIO ESTIMADO]]</f>
        <v>5565.6</v>
      </c>
      <c r="K454" s="17"/>
      <c r="L454" s="16" t="s">
        <v>18</v>
      </c>
      <c r="M454" s="16" t="s">
        <v>22</v>
      </c>
      <c r="N454" s="16" t="s">
        <v>418</v>
      </c>
      <c r="O454" s="243"/>
      <c r="P454" s="243"/>
      <c r="Q454" s="243"/>
      <c r="R454" s="243"/>
      <c r="S454" s="243"/>
      <c r="T454" s="243"/>
      <c r="U454" s="243"/>
      <c r="V454" s="243"/>
      <c r="W454" s="243"/>
      <c r="X454" s="243"/>
      <c r="Y454" s="243"/>
      <c r="Z454" s="243"/>
      <c r="AA454" s="243"/>
      <c r="AB454" s="243"/>
      <c r="AC454" s="243"/>
      <c r="AD454" s="243"/>
      <c r="AE454" s="243"/>
      <c r="AF454" s="243"/>
      <c r="AG454" s="243"/>
      <c r="AH454" s="243"/>
      <c r="AI454" s="243"/>
      <c r="AJ454" s="243"/>
      <c r="AK454" s="243"/>
      <c r="AL454" s="243"/>
      <c r="AM454" s="243"/>
      <c r="AN454" s="243"/>
      <c r="AO454" s="243"/>
      <c r="AP454" s="243"/>
      <c r="AQ454" s="243"/>
      <c r="AR454" s="243"/>
      <c r="AS454" s="243"/>
      <c r="AT454" s="243"/>
      <c r="AU454" s="243"/>
      <c r="AV454" s="243"/>
      <c r="AW454" s="243"/>
      <c r="AX454" s="243"/>
      <c r="AY454" s="243"/>
      <c r="AZ454" s="243"/>
      <c r="BA454" s="243"/>
      <c r="BB454" s="243"/>
      <c r="BC454" s="243"/>
      <c r="BD454" s="243"/>
      <c r="BE454" s="243"/>
      <c r="BF454" s="243"/>
      <c r="BG454" s="243"/>
      <c r="BH454" s="243"/>
      <c r="BI454" s="243"/>
      <c r="BJ454" s="243"/>
      <c r="BK454" s="243"/>
      <c r="BL454" s="243"/>
      <c r="BM454" s="243"/>
      <c r="BN454" s="243"/>
      <c r="BO454" s="243"/>
      <c r="BP454" s="243"/>
      <c r="BQ454" s="243"/>
      <c r="BR454" s="243"/>
      <c r="BS454" s="243"/>
    </row>
    <row r="455" spans="1:71" s="12" customFormat="1" ht="41.25" customHeight="1">
      <c r="A455" s="178" t="s">
        <v>80</v>
      </c>
      <c r="B455" s="178" t="str">
        <f ca="1">+UPPER(Tabla1321124[[#This Row],[DESCRIPCIÓN DE LA COMPRA O CONTRATACIÓN]])</f>
        <v>COUPLING DE 2 PVC</v>
      </c>
      <c r="C455" s="39" t="s">
        <v>17</v>
      </c>
      <c r="D455" s="236">
        <v>1000</v>
      </c>
      <c r="E455" s="236">
        <v>1000</v>
      </c>
      <c r="F455" s="236">
        <v>500</v>
      </c>
      <c r="G455" s="236">
        <v>500</v>
      </c>
      <c r="H455" s="240">
        <f>SUM(Tabla1321124[[#This Row],[PRIMER TRIMESTRE]:[CUARTO TRIMESTRE]])</f>
        <v>3000</v>
      </c>
      <c r="I455" s="17">
        <v>40.17</v>
      </c>
      <c r="J455" s="17">
        <f>+Tabla1321124[[#This Row],[CANTIDAD TOTAL]]*Tabla1321124[[#This Row],[PRECIO UNITARIO ESTIMADO]]</f>
        <v>120510</v>
      </c>
      <c r="K455" s="17"/>
      <c r="L455" s="16" t="s">
        <v>18</v>
      </c>
      <c r="M455" s="16" t="s">
        <v>22</v>
      </c>
      <c r="N455" s="16" t="s">
        <v>418</v>
      </c>
      <c r="O455" s="243"/>
      <c r="P455" s="243"/>
      <c r="Q455" s="243"/>
      <c r="R455" s="243"/>
      <c r="S455" s="243"/>
      <c r="T455" s="243"/>
      <c r="U455" s="243"/>
      <c r="V455" s="243"/>
      <c r="W455" s="243"/>
      <c r="X455" s="243"/>
      <c r="Y455" s="243"/>
      <c r="Z455" s="243"/>
      <c r="AA455" s="243"/>
      <c r="AB455" s="243"/>
      <c r="AC455" s="243"/>
      <c r="AD455" s="243"/>
      <c r="AE455" s="243"/>
      <c r="AF455" s="243"/>
      <c r="AG455" s="243"/>
      <c r="AH455" s="243"/>
      <c r="AI455" s="243"/>
      <c r="AJ455" s="243"/>
      <c r="AK455" s="243"/>
      <c r="AL455" s="243"/>
      <c r="AM455" s="243"/>
      <c r="AN455" s="243"/>
      <c r="AO455" s="243"/>
      <c r="AP455" s="243"/>
      <c r="AQ455" s="243"/>
      <c r="AR455" s="243"/>
      <c r="AS455" s="243"/>
      <c r="AT455" s="243"/>
      <c r="AU455" s="243"/>
      <c r="AV455" s="243"/>
      <c r="AW455" s="243"/>
      <c r="AX455" s="243"/>
      <c r="AY455" s="243"/>
      <c r="AZ455" s="243"/>
      <c r="BA455" s="243"/>
      <c r="BB455" s="243"/>
      <c r="BC455" s="243"/>
      <c r="BD455" s="243"/>
      <c r="BE455" s="243"/>
      <c r="BF455" s="243"/>
      <c r="BG455" s="243"/>
      <c r="BH455" s="243"/>
      <c r="BI455" s="243"/>
      <c r="BJ455" s="243"/>
      <c r="BK455" s="243"/>
      <c r="BL455" s="243"/>
      <c r="BM455" s="243"/>
      <c r="BN455" s="243"/>
      <c r="BO455" s="243"/>
      <c r="BP455" s="243"/>
      <c r="BQ455" s="243"/>
      <c r="BR455" s="243"/>
      <c r="BS455" s="243"/>
    </row>
    <row r="456" spans="1:71" s="12" customFormat="1" ht="41.25" customHeight="1">
      <c r="A456" s="178" t="s">
        <v>80</v>
      </c>
      <c r="B456" s="178" t="str">
        <f ca="1">+UPPER(Tabla1321124[[#This Row],[DESCRIPCIÓN DE LA COMPRA O CONTRATACIÓN]])</f>
        <v>COUPLING DE 3 PVC</v>
      </c>
      <c r="C456" s="39" t="s">
        <v>17</v>
      </c>
      <c r="D456" s="236">
        <f t="shared" ref="D456:G457" si="9">100+112</f>
        <v>212</v>
      </c>
      <c r="E456" s="236">
        <f t="shared" si="9"/>
        <v>212</v>
      </c>
      <c r="F456" s="236">
        <f t="shared" si="9"/>
        <v>212</v>
      </c>
      <c r="G456" s="236">
        <f t="shared" si="9"/>
        <v>212</v>
      </c>
      <c r="H456" s="240">
        <f>SUM(Tabla1321124[[#This Row],[PRIMER TRIMESTRE]:[CUARTO TRIMESTRE]])</f>
        <v>848</v>
      </c>
      <c r="I456" s="17">
        <v>116.85</v>
      </c>
      <c r="J456" s="17">
        <f>+Tabla1321124[[#This Row],[CANTIDAD TOTAL]]*Tabla1321124[[#This Row],[PRECIO UNITARIO ESTIMADO]]</f>
        <v>99088.799999999988</v>
      </c>
      <c r="K456" s="17"/>
      <c r="L456" s="16" t="s">
        <v>18</v>
      </c>
      <c r="M456" s="16" t="s">
        <v>22</v>
      </c>
      <c r="N456" s="16" t="s">
        <v>418</v>
      </c>
      <c r="O456" s="243"/>
      <c r="P456" s="243"/>
      <c r="Q456" s="243"/>
      <c r="R456" s="243"/>
      <c r="S456" s="243"/>
      <c r="T456" s="243"/>
      <c r="U456" s="243"/>
      <c r="V456" s="243"/>
      <c r="W456" s="243"/>
      <c r="X456" s="243"/>
      <c r="Y456" s="243"/>
      <c r="Z456" s="243"/>
      <c r="AA456" s="243"/>
      <c r="AB456" s="243"/>
      <c r="AC456" s="243"/>
      <c r="AD456" s="243"/>
      <c r="AE456" s="243"/>
      <c r="AF456" s="243"/>
      <c r="AG456" s="243"/>
      <c r="AH456" s="243"/>
      <c r="AI456" s="243"/>
      <c r="AJ456" s="243"/>
      <c r="AK456" s="243"/>
      <c r="AL456" s="243"/>
      <c r="AM456" s="243"/>
      <c r="AN456" s="243"/>
      <c r="AO456" s="243"/>
      <c r="AP456" s="243"/>
      <c r="AQ456" s="243"/>
      <c r="AR456" s="243"/>
      <c r="AS456" s="243"/>
      <c r="AT456" s="243"/>
      <c r="AU456" s="243"/>
      <c r="AV456" s="243"/>
      <c r="AW456" s="243"/>
      <c r="AX456" s="243"/>
      <c r="AY456" s="243"/>
      <c r="AZ456" s="243"/>
      <c r="BA456" s="243"/>
      <c r="BB456" s="243"/>
      <c r="BC456" s="243"/>
      <c r="BD456" s="243"/>
      <c r="BE456" s="243"/>
      <c r="BF456" s="243"/>
      <c r="BG456" s="243"/>
      <c r="BH456" s="243"/>
      <c r="BI456" s="243"/>
      <c r="BJ456" s="243"/>
      <c r="BK456" s="243"/>
      <c r="BL456" s="243"/>
      <c r="BM456" s="243"/>
      <c r="BN456" s="243"/>
      <c r="BO456" s="243"/>
      <c r="BP456" s="243"/>
      <c r="BQ456" s="243"/>
      <c r="BR456" s="243"/>
      <c r="BS456" s="243"/>
    </row>
    <row r="457" spans="1:71" s="12" customFormat="1" ht="41.25" customHeight="1">
      <c r="A457" s="178" t="s">
        <v>80</v>
      </c>
      <c r="B457" s="178" t="str">
        <f ca="1">+UPPER(Tabla1321124[[#This Row],[DESCRIPCIÓN DE LA COMPRA O CONTRATACIÓN]])</f>
        <v>COUPLING DE 4 PVC</v>
      </c>
      <c r="C457" s="39" t="s">
        <v>17</v>
      </c>
      <c r="D457" s="236">
        <f t="shared" si="9"/>
        <v>212</v>
      </c>
      <c r="E457" s="236">
        <f t="shared" si="9"/>
        <v>212</v>
      </c>
      <c r="F457" s="236">
        <f t="shared" si="9"/>
        <v>212</v>
      </c>
      <c r="G457" s="236">
        <f t="shared" si="9"/>
        <v>212</v>
      </c>
      <c r="H457" s="240">
        <f>SUM(Tabla1321124[[#This Row],[PRIMER TRIMESTRE]:[CUARTO TRIMESTRE]])</f>
        <v>848</v>
      </c>
      <c r="I457" s="17">
        <v>107.31</v>
      </c>
      <c r="J457" s="17">
        <f>+Tabla1321124[[#This Row],[CANTIDAD TOTAL]]*Tabla1321124[[#This Row],[PRECIO UNITARIO ESTIMADO]]</f>
        <v>90998.88</v>
      </c>
      <c r="K457" s="17"/>
      <c r="L457" s="16" t="s">
        <v>18</v>
      </c>
      <c r="M457" s="16" t="s">
        <v>22</v>
      </c>
      <c r="N457" s="16" t="s">
        <v>418</v>
      </c>
      <c r="O457" s="243"/>
      <c r="P457" s="243"/>
      <c r="Q457" s="243"/>
      <c r="R457" s="243"/>
      <c r="S457" s="243"/>
      <c r="T457" s="243"/>
      <c r="U457" s="243"/>
      <c r="V457" s="243"/>
      <c r="W457" s="243"/>
      <c r="X457" s="243"/>
      <c r="Y457" s="243"/>
      <c r="Z457" s="243"/>
      <c r="AA457" s="243"/>
      <c r="AB457" s="243"/>
      <c r="AC457" s="243"/>
      <c r="AD457" s="243"/>
      <c r="AE457" s="243"/>
      <c r="AF457" s="243"/>
      <c r="AG457" s="243"/>
      <c r="AH457" s="243"/>
      <c r="AI457" s="243"/>
      <c r="AJ457" s="243"/>
      <c r="AK457" s="243"/>
      <c r="AL457" s="243"/>
      <c r="AM457" s="243"/>
      <c r="AN457" s="243"/>
      <c r="AO457" s="243"/>
      <c r="AP457" s="243"/>
      <c r="AQ457" s="243"/>
      <c r="AR457" s="243"/>
      <c r="AS457" s="243"/>
      <c r="AT457" s="243"/>
      <c r="AU457" s="243"/>
      <c r="AV457" s="243"/>
      <c r="AW457" s="243"/>
      <c r="AX457" s="243"/>
      <c r="AY457" s="243"/>
      <c r="AZ457" s="243"/>
      <c r="BA457" s="243"/>
      <c r="BB457" s="243"/>
      <c r="BC457" s="243"/>
      <c r="BD457" s="243"/>
      <c r="BE457" s="243"/>
      <c r="BF457" s="243"/>
      <c r="BG457" s="243"/>
      <c r="BH457" s="243"/>
      <c r="BI457" s="243"/>
      <c r="BJ457" s="243"/>
      <c r="BK457" s="243"/>
      <c r="BL457" s="243"/>
      <c r="BM457" s="243"/>
      <c r="BN457" s="243"/>
      <c r="BO457" s="243"/>
      <c r="BP457" s="243"/>
      <c r="BQ457" s="243"/>
      <c r="BR457" s="243"/>
      <c r="BS457" s="243"/>
    </row>
    <row r="458" spans="1:71" s="12" customFormat="1" ht="41.25" customHeight="1">
      <c r="A458" s="178" t="s">
        <v>80</v>
      </c>
      <c r="B458" s="178" t="str">
        <f ca="1">+UPPER(Tabla1321124[[#This Row],[DESCRIPCIÓN DE LA COMPRA O CONTRATACIÓN]])</f>
        <v>COUPLING DE 6 PVC</v>
      </c>
      <c r="C458" s="39" t="s">
        <v>17</v>
      </c>
      <c r="D458" s="236">
        <v>27</v>
      </c>
      <c r="E458" s="236">
        <v>27</v>
      </c>
      <c r="F458" s="236">
        <v>27</v>
      </c>
      <c r="G458" s="236">
        <v>27</v>
      </c>
      <c r="H458" s="240">
        <f>SUM(Tabla1321124[[#This Row],[PRIMER TRIMESTRE]:[CUARTO TRIMESTRE]])</f>
        <v>108</v>
      </c>
      <c r="I458" s="17">
        <v>300</v>
      </c>
      <c r="J458" s="17">
        <f>+Tabla1321124[[#This Row],[CANTIDAD TOTAL]]*Tabla1321124[[#This Row],[PRECIO UNITARIO ESTIMADO]]</f>
        <v>32400</v>
      </c>
      <c r="K458" s="17"/>
      <c r="L458" s="16" t="s">
        <v>18</v>
      </c>
      <c r="M458" s="16" t="s">
        <v>22</v>
      </c>
      <c r="N458" s="16" t="s">
        <v>418</v>
      </c>
      <c r="O458" s="243"/>
      <c r="P458" s="243"/>
      <c r="Q458" s="243"/>
      <c r="R458" s="243"/>
      <c r="S458" s="243"/>
      <c r="T458" s="243"/>
      <c r="U458" s="243"/>
      <c r="V458" s="243"/>
      <c r="W458" s="243"/>
      <c r="X458" s="243"/>
      <c r="Y458" s="243"/>
      <c r="Z458" s="243"/>
      <c r="AA458" s="243"/>
      <c r="AB458" s="243"/>
      <c r="AC458" s="243"/>
      <c r="AD458" s="243"/>
      <c r="AE458" s="243"/>
      <c r="AF458" s="243"/>
      <c r="AG458" s="243"/>
      <c r="AH458" s="243"/>
      <c r="AI458" s="243"/>
      <c r="AJ458" s="243"/>
      <c r="AK458" s="243"/>
      <c r="AL458" s="243"/>
      <c r="AM458" s="243"/>
      <c r="AN458" s="243"/>
      <c r="AO458" s="243"/>
      <c r="AP458" s="243"/>
      <c r="AQ458" s="243"/>
      <c r="AR458" s="243"/>
      <c r="AS458" s="243"/>
      <c r="AT458" s="243"/>
      <c r="AU458" s="243"/>
      <c r="AV458" s="243"/>
      <c r="AW458" s="243"/>
      <c r="AX458" s="243"/>
      <c r="AY458" s="243"/>
      <c r="AZ458" s="243"/>
      <c r="BA458" s="243"/>
      <c r="BB458" s="243"/>
      <c r="BC458" s="243"/>
      <c r="BD458" s="243"/>
      <c r="BE458" s="243"/>
      <c r="BF458" s="243"/>
      <c r="BG458" s="243"/>
      <c r="BH458" s="243"/>
      <c r="BI458" s="243"/>
      <c r="BJ458" s="243"/>
      <c r="BK458" s="243"/>
      <c r="BL458" s="243"/>
      <c r="BM458" s="243"/>
      <c r="BN458" s="243"/>
      <c r="BO458" s="243"/>
      <c r="BP458" s="243"/>
      <c r="BQ458" s="243"/>
      <c r="BR458" s="243"/>
      <c r="BS458" s="243"/>
    </row>
    <row r="459" spans="1:71" s="12" customFormat="1" ht="41.25" customHeight="1">
      <c r="A459" s="178" t="s">
        <v>80</v>
      </c>
      <c r="B459" s="178" t="str">
        <f ca="1">+UPPER(Tabla1321124[[#This Row],[DESCRIPCIÓN DE LA COMPRA O CONTRATACIÓN]])</f>
        <v>COUPLING DE 4 EN HIERRO NEGRO</v>
      </c>
      <c r="C459" s="39" t="s">
        <v>17</v>
      </c>
      <c r="D459" s="236">
        <f>10+17</f>
        <v>27</v>
      </c>
      <c r="E459" s="236">
        <f>25+14</f>
        <v>39</v>
      </c>
      <c r="F459" s="236">
        <f>25+14</f>
        <v>39</v>
      </c>
      <c r="G459" s="236">
        <f>50+14</f>
        <v>64</v>
      </c>
      <c r="H459" s="240">
        <f>SUM(Tabla1321124[[#This Row],[PRIMER TRIMESTRE]:[CUARTO TRIMESTRE]])</f>
        <v>169</v>
      </c>
      <c r="I459" s="17">
        <v>845.5</v>
      </c>
      <c r="J459" s="17">
        <f>+Tabla1321124[[#This Row],[CANTIDAD TOTAL]]*Tabla1321124[[#This Row],[PRECIO UNITARIO ESTIMADO]]</f>
        <v>142889.5</v>
      </c>
      <c r="K459" s="17"/>
      <c r="L459" s="16" t="s">
        <v>18</v>
      </c>
      <c r="M459" s="16" t="s">
        <v>22</v>
      </c>
      <c r="N459" s="16" t="s">
        <v>418</v>
      </c>
      <c r="O459" s="243"/>
      <c r="P459" s="243"/>
      <c r="Q459" s="243"/>
      <c r="R459" s="243"/>
      <c r="S459" s="243"/>
      <c r="T459" s="243"/>
      <c r="U459" s="243"/>
      <c r="V459" s="243"/>
      <c r="W459" s="243"/>
      <c r="X459" s="243"/>
      <c r="Y459" s="243"/>
      <c r="Z459" s="243"/>
      <c r="AA459" s="243"/>
      <c r="AB459" s="243"/>
      <c r="AC459" s="243"/>
      <c r="AD459" s="243"/>
      <c r="AE459" s="243"/>
      <c r="AF459" s="243"/>
      <c r="AG459" s="243"/>
      <c r="AH459" s="243"/>
      <c r="AI459" s="243"/>
      <c r="AJ459" s="243"/>
      <c r="AK459" s="243"/>
      <c r="AL459" s="243"/>
      <c r="AM459" s="243"/>
      <c r="AN459" s="243"/>
      <c r="AO459" s="243"/>
      <c r="AP459" s="243"/>
      <c r="AQ459" s="243"/>
      <c r="AR459" s="243"/>
      <c r="AS459" s="243"/>
      <c r="AT459" s="243"/>
      <c r="AU459" s="243"/>
      <c r="AV459" s="243"/>
      <c r="AW459" s="243"/>
      <c r="AX459" s="243"/>
      <c r="AY459" s="243"/>
      <c r="AZ459" s="243"/>
      <c r="BA459" s="243"/>
      <c r="BB459" s="243"/>
      <c r="BC459" s="243"/>
      <c r="BD459" s="243"/>
      <c r="BE459" s="243"/>
      <c r="BF459" s="243"/>
      <c r="BG459" s="243"/>
      <c r="BH459" s="243"/>
      <c r="BI459" s="243"/>
      <c r="BJ459" s="243"/>
      <c r="BK459" s="243"/>
      <c r="BL459" s="243"/>
      <c r="BM459" s="243"/>
      <c r="BN459" s="243"/>
      <c r="BO459" s="243"/>
      <c r="BP459" s="243"/>
      <c r="BQ459" s="243"/>
      <c r="BR459" s="243"/>
      <c r="BS459" s="243"/>
    </row>
    <row r="460" spans="1:71" s="12" customFormat="1" ht="41.25" customHeight="1">
      <c r="A460" s="178" t="s">
        <v>80</v>
      </c>
      <c r="B460" s="178" t="str">
        <f ca="1">+UPPER(Tabla1321124[[#This Row],[DESCRIPCIÓN DE LA COMPRA O CONTRATACIÓN]])</f>
        <v>CURVA  Ø6 PVC (SDR-26)</v>
      </c>
      <c r="C460" s="39" t="s">
        <v>17</v>
      </c>
      <c r="D460" s="236">
        <v>18</v>
      </c>
      <c r="E460" s="236">
        <v>13</v>
      </c>
      <c r="F460" s="236">
        <v>18</v>
      </c>
      <c r="G460" s="236">
        <v>13</v>
      </c>
      <c r="H460" s="240">
        <f>SUM(Tabla1321124[[#This Row],[PRIMER TRIMESTRE]:[CUARTO TRIMESTRE]])</f>
        <v>62</v>
      </c>
      <c r="I460" s="17">
        <v>3192.99</v>
      </c>
      <c r="J460" s="17">
        <f>+Tabla1321124[[#This Row],[CANTIDAD TOTAL]]*Tabla1321124[[#This Row],[PRECIO UNITARIO ESTIMADO]]</f>
        <v>197965.37999999998</v>
      </c>
      <c r="K460" s="17"/>
      <c r="L460" s="16" t="s">
        <v>18</v>
      </c>
      <c r="M460" s="16" t="s">
        <v>22</v>
      </c>
      <c r="N460" s="16" t="s">
        <v>418</v>
      </c>
      <c r="O460" s="243"/>
      <c r="P460" s="243"/>
      <c r="Q460" s="243"/>
      <c r="R460" s="243"/>
      <c r="S460" s="243"/>
      <c r="T460" s="243"/>
      <c r="U460" s="243"/>
      <c r="V460" s="243"/>
      <c r="W460" s="243"/>
      <c r="X460" s="243"/>
      <c r="Y460" s="243"/>
      <c r="Z460" s="243"/>
      <c r="AA460" s="243"/>
      <c r="AB460" s="243"/>
      <c r="AC460" s="243"/>
      <c r="AD460" s="243"/>
      <c r="AE460" s="243"/>
      <c r="AF460" s="243"/>
      <c r="AG460" s="243"/>
      <c r="AH460" s="243"/>
      <c r="AI460" s="243"/>
      <c r="AJ460" s="243"/>
      <c r="AK460" s="243"/>
      <c r="AL460" s="243"/>
      <c r="AM460" s="243"/>
      <c r="AN460" s="243"/>
      <c r="AO460" s="243"/>
      <c r="AP460" s="243"/>
      <c r="AQ460" s="243"/>
      <c r="AR460" s="243"/>
      <c r="AS460" s="243"/>
      <c r="AT460" s="243"/>
      <c r="AU460" s="243"/>
      <c r="AV460" s="243"/>
      <c r="AW460" s="243"/>
      <c r="AX460" s="243"/>
      <c r="AY460" s="243"/>
      <c r="AZ460" s="243"/>
      <c r="BA460" s="243"/>
      <c r="BB460" s="243"/>
      <c r="BC460" s="243"/>
      <c r="BD460" s="243"/>
      <c r="BE460" s="243"/>
      <c r="BF460" s="243"/>
      <c r="BG460" s="243"/>
      <c r="BH460" s="243"/>
      <c r="BI460" s="243"/>
      <c r="BJ460" s="243"/>
      <c r="BK460" s="243"/>
      <c r="BL460" s="243"/>
      <c r="BM460" s="243"/>
      <c r="BN460" s="243"/>
      <c r="BO460" s="243"/>
      <c r="BP460" s="243"/>
      <c r="BQ460" s="243"/>
      <c r="BR460" s="243"/>
      <c r="BS460" s="243"/>
    </row>
    <row r="461" spans="1:71" s="12" customFormat="1" ht="68.25" customHeight="1">
      <c r="A461" s="178" t="s">
        <v>80</v>
      </c>
      <c r="B461" s="178" t="str">
        <f ca="1">+UPPER(Tabla1321124[[#This Row],[DESCRIPCIÓN DE LA COMPRA O CONTRATACIÓN]])</f>
        <v>CURVA PVC ELECTRICO Ø3''</v>
      </c>
      <c r="C461" s="39" t="s">
        <v>17</v>
      </c>
      <c r="D461" s="236">
        <v>15</v>
      </c>
      <c r="E461" s="236">
        <v>15</v>
      </c>
      <c r="F461" s="236">
        <v>15</v>
      </c>
      <c r="G461" s="236">
        <v>15</v>
      </c>
      <c r="H461" s="240">
        <f>SUM(Tabla1321124[[#This Row],[PRIMER TRIMESTRE]:[CUARTO TRIMESTRE]])</f>
        <v>60</v>
      </c>
      <c r="I461" s="17">
        <v>550</v>
      </c>
      <c r="J461" s="17">
        <f>+Tabla1321124[[#This Row],[CANTIDAD TOTAL]]*Tabla1321124[[#This Row],[PRECIO UNITARIO ESTIMADO]]</f>
        <v>33000</v>
      </c>
      <c r="K461" s="302"/>
      <c r="L461" s="16" t="s">
        <v>18</v>
      </c>
      <c r="M461" s="16" t="s">
        <v>22</v>
      </c>
      <c r="N461" s="16" t="s">
        <v>418</v>
      </c>
      <c r="O461" s="243"/>
      <c r="P461" s="243"/>
      <c r="Q461" s="243"/>
      <c r="R461" s="243"/>
      <c r="S461" s="243"/>
      <c r="T461" s="243"/>
      <c r="U461" s="243"/>
      <c r="V461" s="243"/>
      <c r="W461" s="243"/>
      <c r="X461" s="243"/>
      <c r="Y461" s="243"/>
      <c r="Z461" s="243"/>
      <c r="AA461" s="243"/>
      <c r="AB461" s="243"/>
      <c r="AC461" s="243"/>
      <c r="AD461" s="243"/>
      <c r="AE461" s="243"/>
      <c r="AF461" s="243"/>
      <c r="AG461" s="243"/>
      <c r="AH461" s="243"/>
      <c r="AI461" s="243"/>
      <c r="AJ461" s="243"/>
      <c r="AK461" s="243"/>
      <c r="AL461" s="243"/>
      <c r="AM461" s="243"/>
      <c r="AN461" s="243"/>
      <c r="AO461" s="243"/>
      <c r="AP461" s="243"/>
      <c r="AQ461" s="243"/>
      <c r="AR461" s="243"/>
      <c r="AS461" s="243"/>
      <c r="AT461" s="243"/>
      <c r="AU461" s="243"/>
      <c r="AV461" s="243"/>
      <c r="AW461" s="243"/>
      <c r="AX461" s="243"/>
      <c r="AY461" s="243"/>
      <c r="AZ461" s="243"/>
      <c r="BA461" s="243"/>
      <c r="BB461" s="243"/>
      <c r="BC461" s="243"/>
      <c r="BD461" s="243"/>
      <c r="BE461" s="243"/>
      <c r="BF461" s="243"/>
      <c r="BG461" s="243"/>
      <c r="BH461" s="243"/>
      <c r="BI461" s="243"/>
      <c r="BJ461" s="243"/>
      <c r="BK461" s="243"/>
      <c r="BL461" s="243"/>
      <c r="BM461" s="243"/>
      <c r="BN461" s="243"/>
      <c r="BO461" s="243"/>
      <c r="BP461" s="243"/>
      <c r="BQ461" s="243"/>
      <c r="BR461" s="243"/>
      <c r="BS461" s="243"/>
    </row>
    <row r="462" spans="1:71" s="12" customFormat="1" ht="71.25" customHeight="1">
      <c r="A462" s="178" t="s">
        <v>80</v>
      </c>
      <c r="B462" s="178" t="str">
        <f ca="1">+UPPER(Tabla1321124[[#This Row],[DESCRIPCIÓN DE LA COMPRA O CONTRATACIÓN]])</f>
        <v>CAUDILIMETRO ULTRASONICO MODELO PCR-TDS 100 HS TOSMI50MM-70M TASS1 20MM2'' A 27'' TEMPERATURA 0C-70C RANGO DE VELOCIDAD DE 00.0% M/S-30M/S 1.0% DEL VALR DE MEDICION</v>
      </c>
      <c r="C462" s="39" t="s">
        <v>17</v>
      </c>
      <c r="D462" s="236">
        <f>2+2</f>
        <v>4</v>
      </c>
      <c r="E462" s="236"/>
      <c r="F462" s="236"/>
      <c r="G462" s="236"/>
      <c r="H462" s="240">
        <f>SUM(Tabla1321124[[#This Row],[PRIMER TRIMESTRE]:[CUARTO TRIMESTRE]])</f>
        <v>4</v>
      </c>
      <c r="I462" s="17">
        <v>45017.279999999999</v>
      </c>
      <c r="J462" s="17">
        <f>+Tabla1321124[[#This Row],[CANTIDAD TOTAL]]*Tabla1321124[[#This Row],[PRECIO UNITARIO ESTIMADO]]</f>
        <v>180069.12</v>
      </c>
      <c r="K462" s="17"/>
      <c r="L462" s="16" t="s">
        <v>18</v>
      </c>
      <c r="M462" s="16" t="s">
        <v>22</v>
      </c>
      <c r="N462" s="16" t="s">
        <v>418</v>
      </c>
      <c r="O462" s="243"/>
      <c r="P462" s="243"/>
      <c r="Q462" s="243"/>
      <c r="R462" s="243"/>
      <c r="S462" s="243"/>
      <c r="T462" s="243"/>
      <c r="U462" s="243"/>
      <c r="V462" s="243"/>
      <c r="W462" s="243"/>
      <c r="X462" s="243"/>
      <c r="Y462" s="243"/>
      <c r="Z462" s="243"/>
      <c r="AA462" s="243"/>
      <c r="AB462" s="243"/>
      <c r="AC462" s="243"/>
      <c r="AD462" s="243"/>
      <c r="AE462" s="243"/>
      <c r="AF462" s="243"/>
      <c r="AG462" s="243"/>
      <c r="AH462" s="243"/>
      <c r="AI462" s="243"/>
      <c r="AJ462" s="243"/>
      <c r="AK462" s="243"/>
      <c r="AL462" s="243"/>
      <c r="AM462" s="243"/>
      <c r="AN462" s="243"/>
      <c r="AO462" s="243"/>
      <c r="AP462" s="243"/>
      <c r="AQ462" s="243"/>
      <c r="AR462" s="243"/>
      <c r="AS462" s="243"/>
      <c r="AT462" s="243"/>
      <c r="AU462" s="243"/>
      <c r="AV462" s="243"/>
      <c r="AW462" s="243"/>
      <c r="AX462" s="243"/>
      <c r="AY462" s="243"/>
      <c r="AZ462" s="243"/>
      <c r="BA462" s="243"/>
      <c r="BB462" s="243"/>
      <c r="BC462" s="243"/>
      <c r="BD462" s="243"/>
      <c r="BE462" s="243"/>
      <c r="BF462" s="243"/>
      <c r="BG462" s="243"/>
      <c r="BH462" s="243"/>
      <c r="BI462" s="243"/>
      <c r="BJ462" s="243"/>
      <c r="BK462" s="243"/>
      <c r="BL462" s="243"/>
      <c r="BM462" s="243"/>
      <c r="BN462" s="243"/>
      <c r="BO462" s="243"/>
      <c r="BP462" s="243"/>
      <c r="BQ462" s="243"/>
      <c r="BR462" s="243"/>
      <c r="BS462" s="243"/>
    </row>
    <row r="463" spans="1:71" s="12" customFormat="1" ht="41.25" customHeight="1">
      <c r="A463" s="178" t="s">
        <v>80</v>
      </c>
      <c r="B463" s="178" t="str">
        <f ca="1">+UPPER(Tabla1321124[[#This Row],[DESCRIPCIÓN DE LA COMPRA O CONTRATACIÓN]])</f>
        <v>PENETRANTE WD40</v>
      </c>
      <c r="C463" s="39" t="s">
        <v>17</v>
      </c>
      <c r="D463" s="236">
        <f>40+10</f>
        <v>50</v>
      </c>
      <c r="E463" s="236">
        <f>10+10</f>
        <v>20</v>
      </c>
      <c r="F463" s="236">
        <f>10+10</f>
        <v>20</v>
      </c>
      <c r="G463" s="236">
        <f>10+10</f>
        <v>20</v>
      </c>
      <c r="H463" s="240">
        <f>SUM(Tabla1321124[[#This Row],[PRIMER TRIMESTRE]:[CUARTO TRIMESTRE]])</f>
        <v>110</v>
      </c>
      <c r="I463" s="17">
        <v>348.1</v>
      </c>
      <c r="J463" s="17">
        <f>+Tabla1321124[[#This Row],[CANTIDAD TOTAL]]*Tabla1321124[[#This Row],[PRECIO UNITARIO ESTIMADO]]</f>
        <v>38291</v>
      </c>
      <c r="K463" s="17"/>
      <c r="L463" s="16" t="s">
        <v>18</v>
      </c>
      <c r="M463" s="16" t="s">
        <v>22</v>
      </c>
      <c r="N463" s="16" t="s">
        <v>418</v>
      </c>
      <c r="O463" s="243"/>
      <c r="P463" s="243"/>
      <c r="Q463" s="243"/>
      <c r="R463" s="243"/>
      <c r="S463" s="243"/>
      <c r="T463" s="243"/>
      <c r="U463" s="243"/>
      <c r="V463" s="243"/>
      <c r="W463" s="243"/>
      <c r="X463" s="243"/>
      <c r="Y463" s="243"/>
      <c r="Z463" s="243"/>
      <c r="AA463" s="243"/>
      <c r="AB463" s="243"/>
      <c r="AC463" s="243"/>
      <c r="AD463" s="243"/>
      <c r="AE463" s="243"/>
      <c r="AF463" s="243"/>
      <c r="AG463" s="243"/>
      <c r="AH463" s="243"/>
      <c r="AI463" s="243"/>
      <c r="AJ463" s="243"/>
      <c r="AK463" s="243"/>
      <c r="AL463" s="243"/>
      <c r="AM463" s="243"/>
      <c r="AN463" s="243"/>
      <c r="AO463" s="243"/>
      <c r="AP463" s="243"/>
      <c r="AQ463" s="243"/>
      <c r="AR463" s="243"/>
      <c r="AS463" s="243"/>
      <c r="AT463" s="243"/>
      <c r="AU463" s="243"/>
      <c r="AV463" s="243"/>
      <c r="AW463" s="243"/>
      <c r="AX463" s="243"/>
      <c r="AY463" s="243"/>
      <c r="AZ463" s="243"/>
      <c r="BA463" s="243"/>
      <c r="BB463" s="243"/>
      <c r="BC463" s="243"/>
      <c r="BD463" s="243"/>
      <c r="BE463" s="243"/>
      <c r="BF463" s="243"/>
      <c r="BG463" s="243"/>
      <c r="BH463" s="243"/>
      <c r="BI463" s="243"/>
      <c r="BJ463" s="243"/>
      <c r="BK463" s="243"/>
      <c r="BL463" s="243"/>
      <c r="BM463" s="243"/>
      <c r="BN463" s="243"/>
      <c r="BO463" s="243"/>
      <c r="BP463" s="243"/>
      <c r="BQ463" s="243"/>
      <c r="BR463" s="243"/>
      <c r="BS463" s="243"/>
    </row>
    <row r="464" spans="1:71" s="12" customFormat="1" ht="41.25" customHeight="1">
      <c r="A464" s="178" t="s">
        <v>80</v>
      </c>
      <c r="B464" s="178" t="str">
        <f ca="1">+UPPER(Tabla1321124[[#This Row],[DESCRIPCIÓN DE LA COMPRA O CONTRATACIÓN]])</f>
        <v>PRENSA DE BANCO DE 6</v>
      </c>
      <c r="C464" s="39" t="s">
        <v>17</v>
      </c>
      <c r="D464" s="236">
        <f>8+1</f>
        <v>9</v>
      </c>
      <c r="E464" s="236">
        <f>1+0</f>
        <v>1</v>
      </c>
      <c r="F464" s="236">
        <v>4</v>
      </c>
      <c r="G464" s="236">
        <v>2</v>
      </c>
      <c r="H464" s="240">
        <f>SUM(Tabla1321124[[#This Row],[PRIMER TRIMESTRE]:[CUARTO TRIMESTRE]])</f>
        <v>16</v>
      </c>
      <c r="I464" s="17">
        <v>7623.81</v>
      </c>
      <c r="J464" s="17">
        <f>+Tabla1321124[[#This Row],[CANTIDAD TOTAL]]*Tabla1321124[[#This Row],[PRECIO UNITARIO ESTIMADO]]</f>
        <v>121980.96</v>
      </c>
      <c r="K464" s="17"/>
      <c r="L464" s="16" t="s">
        <v>18</v>
      </c>
      <c r="M464" s="16" t="s">
        <v>22</v>
      </c>
      <c r="N464" s="16" t="s">
        <v>418</v>
      </c>
      <c r="O464" s="243"/>
      <c r="P464" s="243"/>
      <c r="Q464" s="243"/>
      <c r="R464" s="243"/>
      <c r="S464" s="243"/>
      <c r="T464" s="243"/>
      <c r="U464" s="243"/>
      <c r="V464" s="243"/>
      <c r="W464" s="243"/>
      <c r="X464" s="243"/>
      <c r="Y464" s="243"/>
      <c r="Z464" s="243"/>
      <c r="AA464" s="243"/>
      <c r="AB464" s="243"/>
      <c r="AC464" s="243"/>
      <c r="AD464" s="243"/>
      <c r="AE464" s="243"/>
      <c r="AF464" s="243"/>
      <c r="AG464" s="243"/>
      <c r="AH464" s="243"/>
      <c r="AI464" s="243"/>
      <c r="AJ464" s="243"/>
      <c r="AK464" s="243"/>
      <c r="AL464" s="243"/>
      <c r="AM464" s="243"/>
      <c r="AN464" s="243"/>
      <c r="AO464" s="243"/>
      <c r="AP464" s="243"/>
      <c r="AQ464" s="243"/>
      <c r="AR464" s="243"/>
      <c r="AS464" s="243"/>
      <c r="AT464" s="243"/>
      <c r="AU464" s="243"/>
      <c r="AV464" s="243"/>
      <c r="AW464" s="243"/>
      <c r="AX464" s="243"/>
      <c r="AY464" s="243"/>
      <c r="AZ464" s="243"/>
      <c r="BA464" s="243"/>
      <c r="BB464" s="243"/>
      <c r="BC464" s="243"/>
      <c r="BD464" s="243"/>
      <c r="BE464" s="243"/>
      <c r="BF464" s="243"/>
      <c r="BG464" s="243"/>
      <c r="BH464" s="243"/>
      <c r="BI464" s="243"/>
      <c r="BJ464" s="243"/>
      <c r="BK464" s="243"/>
      <c r="BL464" s="243"/>
      <c r="BM464" s="243"/>
      <c r="BN464" s="243"/>
      <c r="BO464" s="243"/>
      <c r="BP464" s="243"/>
      <c r="BQ464" s="243"/>
      <c r="BR464" s="243"/>
      <c r="BS464" s="243"/>
    </row>
    <row r="465" spans="1:71" s="12" customFormat="1" ht="41.25" customHeight="1">
      <c r="A465" s="178" t="s">
        <v>80</v>
      </c>
      <c r="B465" s="178" t="str">
        <f ca="1">+UPPER(Tabla1321124[[#This Row],[DESCRIPCIÓN DE LA COMPRA O CONTRATACIÓN]])</f>
        <v>DISCO DE CORTE PEQUEÑO</v>
      </c>
      <c r="C465" s="39" t="s">
        <v>17</v>
      </c>
      <c r="D465" s="236">
        <f>10+56</f>
        <v>66</v>
      </c>
      <c r="E465" s="236">
        <f>5+56</f>
        <v>61</v>
      </c>
      <c r="F465" s="236">
        <f>5+56</f>
        <v>61</v>
      </c>
      <c r="G465" s="236">
        <f>5+56</f>
        <v>61</v>
      </c>
      <c r="H465" s="240">
        <f>SUM(Tabla1321124[[#This Row],[PRIMER TRIMESTRE]:[CUARTO TRIMESTRE]])</f>
        <v>249</v>
      </c>
      <c r="I465" s="17">
        <v>88.5</v>
      </c>
      <c r="J465" s="17">
        <f>+Tabla1321124[[#This Row],[CANTIDAD TOTAL]]*Tabla1321124[[#This Row],[PRECIO UNITARIO ESTIMADO]]</f>
        <v>22036.5</v>
      </c>
      <c r="K465" s="17"/>
      <c r="L465" s="16" t="s">
        <v>18</v>
      </c>
      <c r="M465" s="16" t="s">
        <v>22</v>
      </c>
      <c r="N465" s="16" t="s">
        <v>418</v>
      </c>
      <c r="O465" s="243"/>
      <c r="P465" s="243"/>
      <c r="Q465" s="243"/>
      <c r="R465" s="243"/>
      <c r="S465" s="243"/>
      <c r="T465" s="243"/>
      <c r="U465" s="243"/>
      <c r="V465" s="243"/>
      <c r="W465" s="243"/>
      <c r="X465" s="243"/>
      <c r="Y465" s="243"/>
      <c r="Z465" s="243"/>
      <c r="AA465" s="243"/>
      <c r="AB465" s="243"/>
      <c r="AC465" s="243"/>
      <c r="AD465" s="243"/>
      <c r="AE465" s="243"/>
      <c r="AF465" s="243"/>
      <c r="AG465" s="243"/>
      <c r="AH465" s="243"/>
      <c r="AI465" s="243"/>
      <c r="AJ465" s="243"/>
      <c r="AK465" s="243"/>
      <c r="AL465" s="243"/>
      <c r="AM465" s="243"/>
      <c r="AN465" s="243"/>
      <c r="AO465" s="243"/>
      <c r="AP465" s="243"/>
      <c r="AQ465" s="243"/>
      <c r="AR465" s="243"/>
      <c r="AS465" s="243"/>
      <c r="AT465" s="243"/>
      <c r="AU465" s="243"/>
      <c r="AV465" s="243"/>
      <c r="AW465" s="243"/>
      <c r="AX465" s="243"/>
      <c r="AY465" s="243"/>
      <c r="AZ465" s="243"/>
      <c r="BA465" s="243"/>
      <c r="BB465" s="243"/>
      <c r="BC465" s="243"/>
      <c r="BD465" s="243"/>
      <c r="BE465" s="243"/>
      <c r="BF465" s="243"/>
      <c r="BG465" s="243"/>
      <c r="BH465" s="243"/>
      <c r="BI465" s="243"/>
      <c r="BJ465" s="243"/>
      <c r="BK465" s="243"/>
      <c r="BL465" s="243"/>
      <c r="BM465" s="243"/>
      <c r="BN465" s="243"/>
      <c r="BO465" s="243"/>
      <c r="BP465" s="243"/>
      <c r="BQ465" s="243"/>
      <c r="BR465" s="243"/>
      <c r="BS465" s="243"/>
    </row>
    <row r="466" spans="1:71" s="12" customFormat="1" ht="41.25" customHeight="1">
      <c r="A466" s="178" t="s">
        <v>80</v>
      </c>
      <c r="B466" s="178" t="str">
        <f ca="1">+UPPER(Tabla1321124[[#This Row],[DESCRIPCIÓN DE LA COMPRA O CONTRATACIÓN]])</f>
        <v>DISCO DE CORTE GRANDE</v>
      </c>
      <c r="C466" s="39" t="s">
        <v>17</v>
      </c>
      <c r="D466" s="236">
        <f>10+13</f>
        <v>23</v>
      </c>
      <c r="E466" s="236">
        <f>5+13</f>
        <v>18</v>
      </c>
      <c r="F466" s="236">
        <f>5+13</f>
        <v>18</v>
      </c>
      <c r="G466" s="236">
        <f>5+13</f>
        <v>18</v>
      </c>
      <c r="H466" s="240">
        <f>SUM(Tabla1321124[[#This Row],[PRIMER TRIMESTRE]:[CUARTO TRIMESTRE]])</f>
        <v>77</v>
      </c>
      <c r="I466" s="17">
        <v>165.2</v>
      </c>
      <c r="J466" s="17">
        <f>+Tabla1321124[[#This Row],[CANTIDAD TOTAL]]*Tabla1321124[[#This Row],[PRECIO UNITARIO ESTIMADO]]</f>
        <v>12720.4</v>
      </c>
      <c r="K466" s="17"/>
      <c r="L466" s="16" t="s">
        <v>18</v>
      </c>
      <c r="M466" s="16" t="s">
        <v>22</v>
      </c>
      <c r="N466" s="16" t="s">
        <v>418</v>
      </c>
      <c r="O466" s="243"/>
      <c r="P466" s="243"/>
      <c r="Q466" s="243"/>
      <c r="R466" s="243"/>
      <c r="S466" s="243"/>
      <c r="T466" s="243"/>
      <c r="U466" s="243"/>
      <c r="V466" s="243"/>
      <c r="W466" s="243"/>
      <c r="X466" s="243"/>
      <c r="Y466" s="243"/>
      <c r="Z466" s="243"/>
      <c r="AA466" s="243"/>
      <c r="AB466" s="243"/>
      <c r="AC466" s="243"/>
      <c r="AD466" s="243"/>
      <c r="AE466" s="243"/>
      <c r="AF466" s="243"/>
      <c r="AG466" s="243"/>
      <c r="AH466" s="243"/>
      <c r="AI466" s="243"/>
      <c r="AJ466" s="243"/>
      <c r="AK466" s="243"/>
      <c r="AL466" s="243"/>
      <c r="AM466" s="243"/>
      <c r="AN466" s="243"/>
      <c r="AO466" s="243"/>
      <c r="AP466" s="243"/>
      <c r="AQ466" s="243"/>
      <c r="AR466" s="243"/>
      <c r="AS466" s="243"/>
      <c r="AT466" s="243"/>
      <c r="AU466" s="243"/>
      <c r="AV466" s="243"/>
      <c r="AW466" s="243"/>
      <c r="AX466" s="243"/>
      <c r="AY466" s="243"/>
      <c r="AZ466" s="243"/>
      <c r="BA466" s="243"/>
      <c r="BB466" s="243"/>
      <c r="BC466" s="243"/>
      <c r="BD466" s="243"/>
      <c r="BE466" s="243"/>
      <c r="BF466" s="243"/>
      <c r="BG466" s="243"/>
      <c r="BH466" s="243"/>
      <c r="BI466" s="243"/>
      <c r="BJ466" s="243"/>
      <c r="BK466" s="243"/>
      <c r="BL466" s="243"/>
      <c r="BM466" s="243"/>
      <c r="BN466" s="243"/>
      <c r="BO466" s="243"/>
      <c r="BP466" s="243"/>
      <c r="BQ466" s="243"/>
      <c r="BR466" s="243"/>
      <c r="BS466" s="243"/>
    </row>
    <row r="467" spans="1:71" s="12" customFormat="1" ht="41.25" customHeight="1">
      <c r="A467" s="178" t="s">
        <v>80</v>
      </c>
      <c r="B467" s="178" t="str">
        <f ca="1">+UPPER(Tabla1321124[[#This Row],[DESCRIPCIÓN DE LA COMPRA O CONTRATACIÓN]])</f>
        <v>CORONA DE ALAMBRE PARA PULIDORA</v>
      </c>
      <c r="C467" s="39" t="s">
        <v>17</v>
      </c>
      <c r="D467" s="236">
        <f>3+4</f>
        <v>7</v>
      </c>
      <c r="E467" s="236"/>
      <c r="F467" s="236">
        <v>3</v>
      </c>
      <c r="G467" s="236">
        <v>1</v>
      </c>
      <c r="H467" s="240">
        <f>SUM(Tabla1321124[[#This Row],[PRIMER TRIMESTRE]:[CUARTO TRIMESTRE]])</f>
        <v>11</v>
      </c>
      <c r="I467" s="17">
        <v>855.5</v>
      </c>
      <c r="J467" s="17">
        <f>+Tabla1321124[[#This Row],[CANTIDAD TOTAL]]*Tabla1321124[[#This Row],[PRECIO UNITARIO ESTIMADO]]</f>
        <v>9410.5</v>
      </c>
      <c r="K467" s="17"/>
      <c r="L467" s="16" t="s">
        <v>18</v>
      </c>
      <c r="M467" s="16" t="s">
        <v>22</v>
      </c>
      <c r="N467" s="16" t="s">
        <v>418</v>
      </c>
      <c r="O467" s="243"/>
      <c r="P467" s="243"/>
      <c r="Q467" s="243"/>
      <c r="R467" s="243"/>
      <c r="S467" s="243"/>
      <c r="T467" s="243"/>
      <c r="U467" s="243"/>
      <c r="V467" s="243"/>
      <c r="W467" s="243"/>
      <c r="X467" s="243"/>
      <c r="Y467" s="243"/>
      <c r="Z467" s="243"/>
      <c r="AA467" s="243"/>
      <c r="AB467" s="243"/>
      <c r="AC467" s="243"/>
      <c r="AD467" s="243"/>
      <c r="AE467" s="243"/>
      <c r="AF467" s="243"/>
      <c r="AG467" s="243"/>
      <c r="AH467" s="243"/>
      <c r="AI467" s="243"/>
      <c r="AJ467" s="243"/>
      <c r="AK467" s="243"/>
      <c r="AL467" s="243"/>
      <c r="AM467" s="243"/>
      <c r="AN467" s="243"/>
      <c r="AO467" s="243"/>
      <c r="AP467" s="243"/>
      <c r="AQ467" s="243"/>
      <c r="AR467" s="243"/>
      <c r="AS467" s="243"/>
      <c r="AT467" s="243"/>
      <c r="AU467" s="243"/>
      <c r="AV467" s="243"/>
      <c r="AW467" s="243"/>
      <c r="AX467" s="243"/>
      <c r="AY467" s="243"/>
      <c r="AZ467" s="243"/>
      <c r="BA467" s="243"/>
      <c r="BB467" s="243"/>
      <c r="BC467" s="243"/>
      <c r="BD467" s="243"/>
      <c r="BE467" s="243"/>
      <c r="BF467" s="243"/>
      <c r="BG467" s="243"/>
      <c r="BH467" s="243"/>
      <c r="BI467" s="243"/>
      <c r="BJ467" s="243"/>
      <c r="BK467" s="243"/>
      <c r="BL467" s="243"/>
      <c r="BM467" s="243"/>
      <c r="BN467" s="243"/>
      <c r="BO467" s="243"/>
      <c r="BP467" s="243"/>
      <c r="BQ467" s="243"/>
      <c r="BR467" s="243"/>
      <c r="BS467" s="243"/>
    </row>
    <row r="468" spans="1:71" s="12" customFormat="1" ht="41.25" customHeight="1">
      <c r="A468" s="178" t="s">
        <v>80</v>
      </c>
      <c r="B468" s="178" t="str">
        <f ca="1">+UPPER(Tabla1321124[[#This Row],[DESCRIPCIÓN DE LA COMPRA O CONTRATACIÓN]])</f>
        <v>ESCALERA DE ALUMINIO EXTENSIBLE 24 PIE</v>
      </c>
      <c r="C468" s="39" t="s">
        <v>17</v>
      </c>
      <c r="D468" s="236">
        <f>17+2</f>
        <v>19</v>
      </c>
      <c r="E468" s="236">
        <v>18</v>
      </c>
      <c r="F468" s="236">
        <v>17</v>
      </c>
      <c r="G468" s="236">
        <v>18</v>
      </c>
      <c r="H468" s="240">
        <f>SUM(Tabla1321124[[#This Row],[PRIMER TRIMESTRE]:[CUARTO TRIMESTRE]])</f>
        <v>72</v>
      </c>
      <c r="I468" s="17">
        <v>12159.7</v>
      </c>
      <c r="J468" s="17">
        <f>+Tabla1321124[[#This Row],[CANTIDAD TOTAL]]*Tabla1321124[[#This Row],[PRECIO UNITARIO ESTIMADO]]</f>
        <v>875498.4</v>
      </c>
      <c r="K468" s="17"/>
      <c r="L468" s="16" t="s">
        <v>18</v>
      </c>
      <c r="M468" s="16" t="s">
        <v>22</v>
      </c>
      <c r="N468" s="16" t="s">
        <v>418</v>
      </c>
      <c r="O468" s="243"/>
      <c r="P468" s="243"/>
      <c r="Q468" s="243"/>
      <c r="R468" s="243"/>
      <c r="S468" s="243"/>
      <c r="T468" s="243"/>
      <c r="U468" s="243"/>
      <c r="V468" s="243"/>
      <c r="W468" s="243"/>
      <c r="X468" s="243"/>
      <c r="Y468" s="243"/>
      <c r="Z468" s="243"/>
      <c r="AA468" s="243"/>
      <c r="AB468" s="243"/>
      <c r="AC468" s="243"/>
      <c r="AD468" s="243"/>
      <c r="AE468" s="243"/>
      <c r="AF468" s="243"/>
      <c r="AG468" s="243"/>
      <c r="AH468" s="243"/>
      <c r="AI468" s="243"/>
      <c r="AJ468" s="243"/>
      <c r="AK468" s="243"/>
      <c r="AL468" s="243"/>
      <c r="AM468" s="243"/>
      <c r="AN468" s="243"/>
      <c r="AO468" s="243"/>
      <c r="AP468" s="243"/>
      <c r="AQ468" s="243"/>
      <c r="AR468" s="243"/>
      <c r="AS468" s="243"/>
      <c r="AT468" s="243"/>
      <c r="AU468" s="243"/>
      <c r="AV468" s="243"/>
      <c r="AW468" s="243"/>
      <c r="AX468" s="243"/>
      <c r="AY468" s="243"/>
      <c r="AZ468" s="243"/>
      <c r="BA468" s="243"/>
      <c r="BB468" s="243"/>
      <c r="BC468" s="243"/>
      <c r="BD468" s="243"/>
      <c r="BE468" s="243"/>
      <c r="BF468" s="243"/>
      <c r="BG468" s="243"/>
      <c r="BH468" s="243"/>
      <c r="BI468" s="243"/>
      <c r="BJ468" s="243"/>
      <c r="BK468" s="243"/>
      <c r="BL468" s="243"/>
      <c r="BM468" s="243"/>
      <c r="BN468" s="243"/>
      <c r="BO468" s="243"/>
      <c r="BP468" s="243"/>
      <c r="BQ468" s="243"/>
      <c r="BR468" s="243"/>
      <c r="BS468" s="243"/>
    </row>
    <row r="469" spans="1:71" s="12" customFormat="1" ht="41.25" customHeight="1">
      <c r="A469" s="178" t="s">
        <v>80</v>
      </c>
      <c r="B469" s="178" t="str">
        <f ca="1">+UPPER(Tabla1321124[[#This Row],[DESCRIPCIÓN DE LA COMPRA O CONTRATACIÓN]])</f>
        <v>FILTRO VEGETAL PARA AIRE ACONDICIONADO</v>
      </c>
      <c r="C469" s="39" t="s">
        <v>17</v>
      </c>
      <c r="D469" s="236">
        <f>25+4</f>
        <v>29</v>
      </c>
      <c r="E469" s="236">
        <f>25+4</f>
        <v>29</v>
      </c>
      <c r="F469" s="236">
        <f>25+4</f>
        <v>29</v>
      </c>
      <c r="G469" s="236">
        <f>25+4</f>
        <v>29</v>
      </c>
      <c r="H469" s="240">
        <f>SUM(Tabla1321124[[#This Row],[PRIMER TRIMESTRE]:[CUARTO TRIMESTRE]])</f>
        <v>116</v>
      </c>
      <c r="I469" s="17">
        <v>2600</v>
      </c>
      <c r="J469" s="17">
        <f>+Tabla1321124[[#This Row],[CANTIDAD TOTAL]]*Tabla1321124[[#This Row],[PRECIO UNITARIO ESTIMADO]]</f>
        <v>301600</v>
      </c>
      <c r="K469" s="17"/>
      <c r="L469" s="16" t="s">
        <v>18</v>
      </c>
      <c r="M469" s="16" t="s">
        <v>22</v>
      </c>
      <c r="N469" s="16" t="s">
        <v>418</v>
      </c>
      <c r="O469" s="243"/>
      <c r="P469" s="243"/>
      <c r="Q469" s="243"/>
      <c r="R469" s="243"/>
      <c r="S469" s="243"/>
      <c r="T469" s="243"/>
      <c r="U469" s="243"/>
      <c r="V469" s="243"/>
      <c r="W469" s="243"/>
      <c r="X469" s="243"/>
      <c r="Y469" s="243"/>
      <c r="Z469" s="243"/>
      <c r="AA469" s="243"/>
      <c r="AB469" s="243"/>
      <c r="AC469" s="243"/>
      <c r="AD469" s="243"/>
      <c r="AE469" s="243"/>
      <c r="AF469" s="243"/>
      <c r="AG469" s="243"/>
      <c r="AH469" s="243"/>
      <c r="AI469" s="243"/>
      <c r="AJ469" s="243"/>
      <c r="AK469" s="243"/>
      <c r="AL469" s="243"/>
      <c r="AM469" s="243"/>
      <c r="AN469" s="243"/>
      <c r="AO469" s="243"/>
      <c r="AP469" s="243"/>
      <c r="AQ469" s="243"/>
      <c r="AR469" s="243"/>
      <c r="AS469" s="243"/>
      <c r="AT469" s="243"/>
      <c r="AU469" s="243"/>
      <c r="AV469" s="243"/>
      <c r="AW469" s="243"/>
      <c r="AX469" s="243"/>
      <c r="AY469" s="243"/>
      <c r="AZ469" s="243"/>
      <c r="BA469" s="243"/>
      <c r="BB469" s="243"/>
      <c r="BC469" s="243"/>
      <c r="BD469" s="243"/>
      <c r="BE469" s="243"/>
      <c r="BF469" s="243"/>
      <c r="BG469" s="243"/>
      <c r="BH469" s="243"/>
      <c r="BI469" s="243"/>
      <c r="BJ469" s="243"/>
      <c r="BK469" s="243"/>
      <c r="BL469" s="243"/>
      <c r="BM469" s="243"/>
      <c r="BN469" s="243"/>
      <c r="BO469" s="243"/>
      <c r="BP469" s="243"/>
      <c r="BQ469" s="243"/>
      <c r="BR469" s="243"/>
      <c r="BS469" s="243"/>
    </row>
    <row r="470" spans="1:71" s="12" customFormat="1" ht="41.25" customHeight="1">
      <c r="A470" s="178" t="s">
        <v>80</v>
      </c>
      <c r="B470" s="178" t="str">
        <f ca="1">+UPPER(Tabla1321124[[#This Row],[DESCRIPCIÓN DE LA COMPRA O CONTRATACIÓN]])</f>
        <v>FILTRO SECADOR DE AIRE 163S, Ø3/8'' SOLDABLE</v>
      </c>
      <c r="C470" s="39" t="s">
        <v>17</v>
      </c>
      <c r="D470" s="236">
        <v>25</v>
      </c>
      <c r="E470" s="236">
        <v>25</v>
      </c>
      <c r="F470" s="236">
        <v>25</v>
      </c>
      <c r="G470" s="236">
        <v>25</v>
      </c>
      <c r="H470" s="240">
        <f>SUM(Tabla1321124[[#This Row],[PRIMER TRIMESTRE]:[CUARTO TRIMESTRE]])</f>
        <v>100</v>
      </c>
      <c r="I470" s="17">
        <v>317.27</v>
      </c>
      <c r="J470" s="17">
        <f>+Tabla1321124[[#This Row],[CANTIDAD TOTAL]]*Tabla1321124[[#This Row],[PRECIO UNITARIO ESTIMADO]]</f>
        <v>31727</v>
      </c>
      <c r="K470" s="17"/>
      <c r="L470" s="16" t="s">
        <v>18</v>
      </c>
      <c r="M470" s="16" t="s">
        <v>22</v>
      </c>
      <c r="N470" s="16" t="s">
        <v>418</v>
      </c>
      <c r="O470" s="243"/>
      <c r="P470" s="243"/>
      <c r="Q470" s="243"/>
      <c r="R470" s="243"/>
      <c r="S470" s="243"/>
      <c r="T470" s="243"/>
      <c r="U470" s="243"/>
      <c r="V470" s="243"/>
      <c r="W470" s="243"/>
      <c r="X470" s="243"/>
      <c r="Y470" s="243"/>
      <c r="Z470" s="243"/>
      <c r="AA470" s="243"/>
      <c r="AB470" s="243"/>
      <c r="AC470" s="243"/>
      <c r="AD470" s="243"/>
      <c r="AE470" s="243"/>
      <c r="AF470" s="243"/>
      <c r="AG470" s="243"/>
      <c r="AH470" s="243"/>
      <c r="AI470" s="243"/>
      <c r="AJ470" s="243"/>
      <c r="AK470" s="243"/>
      <c r="AL470" s="243"/>
      <c r="AM470" s="243"/>
      <c r="AN470" s="243"/>
      <c r="AO470" s="243"/>
      <c r="AP470" s="243"/>
      <c r="AQ470" s="243"/>
      <c r="AR470" s="243"/>
      <c r="AS470" s="243"/>
      <c r="AT470" s="243"/>
      <c r="AU470" s="243"/>
      <c r="AV470" s="243"/>
      <c r="AW470" s="243"/>
      <c r="AX470" s="243"/>
      <c r="AY470" s="243"/>
      <c r="AZ470" s="243"/>
      <c r="BA470" s="243"/>
      <c r="BB470" s="243"/>
      <c r="BC470" s="243"/>
      <c r="BD470" s="243"/>
      <c r="BE470" s="243"/>
      <c r="BF470" s="243"/>
      <c r="BG470" s="243"/>
      <c r="BH470" s="243"/>
      <c r="BI470" s="243"/>
      <c r="BJ470" s="243"/>
      <c r="BK470" s="243"/>
      <c r="BL470" s="243"/>
      <c r="BM470" s="243"/>
      <c r="BN470" s="243"/>
      <c r="BO470" s="243"/>
      <c r="BP470" s="243"/>
      <c r="BQ470" s="243"/>
      <c r="BR470" s="243"/>
      <c r="BS470" s="243"/>
    </row>
    <row r="471" spans="1:71" s="12" customFormat="1" ht="41.25" customHeight="1">
      <c r="A471" s="178" t="s">
        <v>80</v>
      </c>
      <c r="B471" s="178" t="str">
        <f ca="1">+UPPER(Tabla1321124[[#This Row],[DESCRIPCIÓN DE LA COMPRA O CONTRATACIÓN]])</f>
        <v>GUANTES DE MANGA LARGA PARA JARDINERA</v>
      </c>
      <c r="C471" s="39" t="s">
        <v>149</v>
      </c>
      <c r="D471" s="236">
        <v>2</v>
      </c>
      <c r="E471" s="236">
        <v>1</v>
      </c>
      <c r="F471" s="236">
        <v>1</v>
      </c>
      <c r="G471" s="236">
        <v>1</v>
      </c>
      <c r="H471" s="240">
        <f>SUM(Tabla1321124[[#This Row],[PRIMER TRIMESTRE]:[CUARTO TRIMESTRE]])</f>
        <v>5</v>
      </c>
      <c r="I471" s="17">
        <v>127.6</v>
      </c>
      <c r="J471" s="17">
        <f>+Tabla1321124[[#This Row],[CANTIDAD TOTAL]]*Tabla1321124[[#This Row],[PRECIO UNITARIO ESTIMADO]]</f>
        <v>638</v>
      </c>
      <c r="K471" s="17"/>
      <c r="L471" s="16" t="s">
        <v>18</v>
      </c>
      <c r="M471" s="16" t="s">
        <v>22</v>
      </c>
      <c r="N471" s="16" t="s">
        <v>418</v>
      </c>
      <c r="O471" s="243"/>
      <c r="P471" s="243"/>
      <c r="Q471" s="243"/>
      <c r="R471" s="243"/>
      <c r="S471" s="243"/>
      <c r="T471" s="243"/>
      <c r="U471" s="243"/>
      <c r="V471" s="243"/>
      <c r="W471" s="243"/>
      <c r="X471" s="243"/>
      <c r="Y471" s="243"/>
      <c r="Z471" s="243"/>
      <c r="AA471" s="243"/>
      <c r="AB471" s="243"/>
      <c r="AC471" s="243"/>
      <c r="AD471" s="243"/>
      <c r="AE471" s="243"/>
      <c r="AF471" s="243"/>
      <c r="AG471" s="243"/>
      <c r="AH471" s="243"/>
      <c r="AI471" s="243"/>
      <c r="AJ471" s="243"/>
      <c r="AK471" s="243"/>
      <c r="AL471" s="243"/>
      <c r="AM471" s="243"/>
      <c r="AN471" s="243"/>
      <c r="AO471" s="243"/>
      <c r="AP471" s="243"/>
      <c r="AQ471" s="243"/>
      <c r="AR471" s="243"/>
      <c r="AS471" s="243"/>
      <c r="AT471" s="243"/>
      <c r="AU471" s="243"/>
      <c r="AV471" s="243"/>
      <c r="AW471" s="243"/>
      <c r="AX471" s="243"/>
      <c r="AY471" s="243"/>
      <c r="AZ471" s="243"/>
      <c r="BA471" s="243"/>
      <c r="BB471" s="243"/>
      <c r="BC471" s="243"/>
      <c r="BD471" s="243"/>
      <c r="BE471" s="243"/>
      <c r="BF471" s="243"/>
      <c r="BG471" s="243"/>
      <c r="BH471" s="243"/>
      <c r="BI471" s="243"/>
      <c r="BJ471" s="243"/>
      <c r="BK471" s="243"/>
      <c r="BL471" s="243"/>
      <c r="BM471" s="243"/>
      <c r="BN471" s="243"/>
      <c r="BO471" s="243"/>
      <c r="BP471" s="243"/>
      <c r="BQ471" s="243"/>
      <c r="BR471" s="243"/>
      <c r="BS471" s="243"/>
    </row>
    <row r="472" spans="1:71" s="12" customFormat="1" ht="41.25" customHeight="1">
      <c r="A472" s="178" t="s">
        <v>80</v>
      </c>
      <c r="B472" s="178" t="str">
        <f ca="1">+UPPER(Tabla1321124[[#This Row],[DESCRIPCIÓN DE LA COMPRA O CONTRATACIÓN]])</f>
        <v>GUANTES DE GOMA</v>
      </c>
      <c r="C472" s="39" t="s">
        <v>149</v>
      </c>
      <c r="D472" s="370">
        <v>150</v>
      </c>
      <c r="E472" s="370">
        <v>150</v>
      </c>
      <c r="F472" s="370">
        <v>150</v>
      </c>
      <c r="G472" s="370">
        <v>150</v>
      </c>
      <c r="H472" s="240">
        <f>SUM(Tabla1321124[[#This Row],[PRIMER TRIMESTRE]:[CUARTO TRIMESTRE]])</f>
        <v>600</v>
      </c>
      <c r="I472" s="17">
        <v>127.6</v>
      </c>
      <c r="J472" s="17">
        <f>+Tabla1321124[[#This Row],[CANTIDAD TOTAL]]*Tabla1321124[[#This Row],[PRECIO UNITARIO ESTIMADO]]</f>
        <v>76560</v>
      </c>
      <c r="K472" s="175"/>
      <c r="L472" s="16" t="s">
        <v>18</v>
      </c>
      <c r="M472" s="16" t="s">
        <v>22</v>
      </c>
      <c r="N472" s="16" t="s">
        <v>418</v>
      </c>
      <c r="O472" s="243"/>
      <c r="P472" s="243"/>
      <c r="Q472" s="243"/>
      <c r="R472" s="243"/>
      <c r="S472" s="243"/>
      <c r="T472" s="243"/>
      <c r="U472" s="243"/>
      <c r="V472" s="243"/>
      <c r="W472" s="243"/>
      <c r="X472" s="243"/>
      <c r="Y472" s="243"/>
      <c r="Z472" s="243"/>
      <c r="AA472" s="243"/>
      <c r="AB472" s="243"/>
      <c r="AC472" s="243"/>
      <c r="AD472" s="243"/>
      <c r="AE472" s="243"/>
      <c r="AF472" s="243"/>
      <c r="AG472" s="243"/>
      <c r="AH472" s="243"/>
      <c r="AI472" s="243"/>
      <c r="AJ472" s="243"/>
      <c r="AK472" s="243"/>
      <c r="AL472" s="243"/>
      <c r="AM472" s="243"/>
      <c r="AN472" s="243"/>
      <c r="AO472" s="243"/>
      <c r="AP472" s="243"/>
      <c r="AQ472" s="243"/>
      <c r="AR472" s="243"/>
      <c r="AS472" s="243"/>
      <c r="AT472" s="243"/>
      <c r="AU472" s="243"/>
      <c r="AV472" s="243"/>
      <c r="AW472" s="243"/>
      <c r="AX472" s="243"/>
      <c r="AY472" s="243"/>
      <c r="AZ472" s="243"/>
      <c r="BA472" s="243"/>
      <c r="BB472" s="243"/>
      <c r="BC472" s="243"/>
      <c r="BD472" s="243"/>
      <c r="BE472" s="243"/>
      <c r="BF472" s="243"/>
      <c r="BG472" s="243"/>
      <c r="BH472" s="243"/>
      <c r="BI472" s="243"/>
      <c r="BJ472" s="243"/>
      <c r="BK472" s="243"/>
      <c r="BL472" s="243"/>
      <c r="BM472" s="243"/>
      <c r="BN472" s="243"/>
      <c r="BO472" s="243"/>
      <c r="BP472" s="243"/>
      <c r="BQ472" s="243"/>
      <c r="BR472" s="243"/>
      <c r="BS472" s="243"/>
    </row>
    <row r="473" spans="1:71" s="12" customFormat="1" ht="41.25" customHeight="1">
      <c r="A473" s="178" t="s">
        <v>80</v>
      </c>
      <c r="B473" s="178" t="str">
        <f ca="1">+UPPER(Tabla1321124[[#This Row],[DESCRIPCIÓN DE LA COMPRA O CONTRATACIÓN]])</f>
        <v>GALONES DE COLA</v>
      </c>
      <c r="C473" s="39" t="s">
        <v>290</v>
      </c>
      <c r="D473" s="236">
        <v>1</v>
      </c>
      <c r="E473" s="236"/>
      <c r="F473" s="236"/>
      <c r="G473" s="236"/>
      <c r="H473" s="240">
        <f>SUM(Tabla1321124[[#This Row],[PRIMER TRIMESTRE]:[CUARTO TRIMESTRE]])</f>
        <v>1</v>
      </c>
      <c r="I473" s="17">
        <v>793.52</v>
      </c>
      <c r="J473" s="17">
        <f>+Tabla1321124[[#This Row],[CANTIDAD TOTAL]]*Tabla1321124[[#This Row],[PRECIO UNITARIO ESTIMADO]]</f>
        <v>793.52</v>
      </c>
      <c r="K473" s="17"/>
      <c r="L473" s="16" t="s">
        <v>18</v>
      </c>
      <c r="M473" s="16" t="s">
        <v>22</v>
      </c>
      <c r="N473" s="16" t="s">
        <v>418</v>
      </c>
      <c r="O473" s="243"/>
      <c r="P473" s="243"/>
      <c r="Q473" s="243"/>
      <c r="R473" s="243"/>
      <c r="S473" s="243"/>
      <c r="T473" s="243"/>
      <c r="U473" s="243"/>
      <c r="V473" s="243"/>
      <c r="W473" s="243"/>
      <c r="X473" s="243"/>
      <c r="Y473" s="243"/>
      <c r="Z473" s="243"/>
      <c r="AA473" s="243"/>
      <c r="AB473" s="243"/>
      <c r="AC473" s="243"/>
      <c r="AD473" s="243"/>
      <c r="AE473" s="243"/>
      <c r="AF473" s="243"/>
      <c r="AG473" s="243"/>
      <c r="AH473" s="243"/>
      <c r="AI473" s="243"/>
      <c r="AJ473" s="243"/>
      <c r="AK473" s="243"/>
      <c r="AL473" s="243"/>
      <c r="AM473" s="243"/>
      <c r="AN473" s="243"/>
      <c r="AO473" s="243"/>
      <c r="AP473" s="243"/>
      <c r="AQ473" s="243"/>
      <c r="AR473" s="243"/>
      <c r="AS473" s="243"/>
      <c r="AT473" s="243"/>
      <c r="AU473" s="243"/>
      <c r="AV473" s="243"/>
      <c r="AW473" s="243"/>
      <c r="AX473" s="243"/>
      <c r="AY473" s="243"/>
      <c r="AZ473" s="243"/>
      <c r="BA473" s="243"/>
      <c r="BB473" s="243"/>
      <c r="BC473" s="243"/>
      <c r="BD473" s="243"/>
      <c r="BE473" s="243"/>
      <c r="BF473" s="243"/>
      <c r="BG473" s="243"/>
      <c r="BH473" s="243"/>
      <c r="BI473" s="243"/>
      <c r="BJ473" s="243"/>
      <c r="BK473" s="243"/>
      <c r="BL473" s="243"/>
      <c r="BM473" s="243"/>
      <c r="BN473" s="243"/>
      <c r="BO473" s="243"/>
      <c r="BP473" s="243"/>
      <c r="BQ473" s="243"/>
      <c r="BR473" s="243"/>
      <c r="BS473" s="243"/>
    </row>
    <row r="474" spans="1:71" s="12" customFormat="1" ht="41.25" customHeight="1">
      <c r="A474" s="178" t="s">
        <v>80</v>
      </c>
      <c r="B474" s="178" t="str">
        <f ca="1">+UPPER(Tabla1321124[[#This Row],[DESCRIPCIÓN DE LA COMPRA O CONTRATACIÓN]])</f>
        <v>GUANTES  CUERO</v>
      </c>
      <c r="C474" s="39" t="s">
        <v>149</v>
      </c>
      <c r="D474" s="236">
        <v>600</v>
      </c>
      <c r="E474" s="236">
        <v>600</v>
      </c>
      <c r="F474" s="236">
        <v>600</v>
      </c>
      <c r="G474" s="236">
        <v>600</v>
      </c>
      <c r="H474" s="240">
        <f>SUM(Tabla1321124[[#This Row],[PRIMER TRIMESTRE]:[CUARTO TRIMESTRE]])</f>
        <v>2400</v>
      </c>
      <c r="I474" s="17">
        <v>123.91</v>
      </c>
      <c r="J474" s="17">
        <f>+Tabla1321124[[#This Row],[CANTIDAD TOTAL]]*Tabla1321124[[#This Row],[PRECIO UNITARIO ESTIMADO]]</f>
        <v>297384</v>
      </c>
      <c r="K474" s="17"/>
      <c r="L474" s="16" t="s">
        <v>18</v>
      </c>
      <c r="M474" s="16" t="s">
        <v>22</v>
      </c>
      <c r="N474" s="16" t="s">
        <v>418</v>
      </c>
      <c r="O474" s="243"/>
      <c r="P474" s="243"/>
      <c r="Q474" s="243"/>
      <c r="R474" s="243"/>
      <c r="S474" s="243"/>
      <c r="T474" s="243"/>
      <c r="U474" s="243"/>
      <c r="V474" s="243"/>
      <c r="W474" s="243"/>
      <c r="X474" s="243"/>
      <c r="Y474" s="243"/>
      <c r="Z474" s="243"/>
      <c r="AA474" s="243"/>
      <c r="AB474" s="243"/>
      <c r="AC474" s="243"/>
      <c r="AD474" s="243"/>
      <c r="AE474" s="243"/>
      <c r="AF474" s="243"/>
      <c r="AG474" s="243"/>
      <c r="AH474" s="243"/>
      <c r="AI474" s="243"/>
      <c r="AJ474" s="243"/>
      <c r="AK474" s="243"/>
      <c r="AL474" s="243"/>
      <c r="AM474" s="243"/>
      <c r="AN474" s="243"/>
      <c r="AO474" s="243"/>
      <c r="AP474" s="243"/>
      <c r="AQ474" s="243"/>
      <c r="AR474" s="243"/>
      <c r="AS474" s="243"/>
      <c r="AT474" s="243"/>
      <c r="AU474" s="243"/>
      <c r="AV474" s="243"/>
      <c r="AW474" s="243"/>
      <c r="AX474" s="243"/>
      <c r="AY474" s="243"/>
      <c r="AZ474" s="243"/>
      <c r="BA474" s="243"/>
      <c r="BB474" s="243"/>
      <c r="BC474" s="243"/>
      <c r="BD474" s="243"/>
      <c r="BE474" s="243"/>
      <c r="BF474" s="243"/>
      <c r="BG474" s="243"/>
      <c r="BH474" s="243"/>
      <c r="BI474" s="243"/>
      <c r="BJ474" s="243"/>
      <c r="BK474" s="243"/>
      <c r="BL474" s="243"/>
      <c r="BM474" s="243"/>
      <c r="BN474" s="243"/>
      <c r="BO474" s="243"/>
      <c r="BP474" s="243"/>
      <c r="BQ474" s="243"/>
      <c r="BR474" s="243"/>
      <c r="BS474" s="243"/>
    </row>
    <row r="475" spans="1:71" s="12" customFormat="1" ht="41.25" customHeight="1">
      <c r="A475" s="178" t="s">
        <v>80</v>
      </c>
      <c r="B475" s="178" t="str">
        <f ca="1">+UPPER(Tabla1321124[[#This Row],[DESCRIPCIÓN DE LA COMPRA O CONTRATACIÓN]])</f>
        <v>GOMA AISLANTE 7/8 X 3/8 (TUBO 2)</v>
      </c>
      <c r="C475" s="39" t="s">
        <v>17</v>
      </c>
      <c r="D475" s="370">
        <f t="shared" ref="D475:G479" si="10">10+10</f>
        <v>20</v>
      </c>
      <c r="E475" s="370">
        <f t="shared" si="10"/>
        <v>20</v>
      </c>
      <c r="F475" s="370">
        <f t="shared" si="10"/>
        <v>20</v>
      </c>
      <c r="G475" s="370">
        <f t="shared" si="10"/>
        <v>20</v>
      </c>
      <c r="H475" s="240">
        <f>SUM(Tabla1321124[[#This Row],[PRIMER TRIMESTRE]:[CUARTO TRIMESTRE]])</f>
        <v>80</v>
      </c>
      <c r="I475" s="17">
        <v>536.16999999999996</v>
      </c>
      <c r="J475" s="17">
        <f>+Tabla1321124[[#This Row],[CANTIDAD TOTAL]]*Tabla1321124[[#This Row],[PRECIO UNITARIO ESTIMADO]]</f>
        <v>42893.599999999999</v>
      </c>
      <c r="K475" s="175"/>
      <c r="L475" s="16" t="s">
        <v>18</v>
      </c>
      <c r="M475" s="16" t="s">
        <v>22</v>
      </c>
      <c r="N475" s="16" t="s">
        <v>418</v>
      </c>
      <c r="O475" s="243"/>
      <c r="P475" s="243"/>
      <c r="Q475" s="243"/>
      <c r="R475" s="243"/>
      <c r="S475" s="243"/>
      <c r="T475" s="243"/>
      <c r="U475" s="243"/>
      <c r="V475" s="243"/>
      <c r="W475" s="243"/>
      <c r="X475" s="243"/>
      <c r="Y475" s="243"/>
      <c r="Z475" s="243"/>
      <c r="AA475" s="243"/>
      <c r="AB475" s="243"/>
      <c r="AC475" s="243"/>
      <c r="AD475" s="243"/>
      <c r="AE475" s="243"/>
      <c r="AF475" s="243"/>
      <c r="AG475" s="243"/>
      <c r="AH475" s="243"/>
      <c r="AI475" s="243"/>
      <c r="AJ475" s="243"/>
      <c r="AK475" s="243"/>
      <c r="AL475" s="243"/>
      <c r="AM475" s="243"/>
      <c r="AN475" s="243"/>
      <c r="AO475" s="243"/>
      <c r="AP475" s="243"/>
      <c r="AQ475" s="243"/>
      <c r="AR475" s="243"/>
      <c r="AS475" s="243"/>
      <c r="AT475" s="243"/>
      <c r="AU475" s="243"/>
      <c r="AV475" s="243"/>
      <c r="AW475" s="243"/>
      <c r="AX475" s="243"/>
      <c r="AY475" s="243"/>
      <c r="AZ475" s="243"/>
      <c r="BA475" s="243"/>
      <c r="BB475" s="243"/>
      <c r="BC475" s="243"/>
      <c r="BD475" s="243"/>
      <c r="BE475" s="243"/>
      <c r="BF475" s="243"/>
      <c r="BG475" s="243"/>
      <c r="BH475" s="243"/>
      <c r="BI475" s="243"/>
      <c r="BJ475" s="243"/>
      <c r="BK475" s="243"/>
      <c r="BL475" s="243"/>
      <c r="BM475" s="243"/>
      <c r="BN475" s="243"/>
      <c r="BO475" s="243"/>
      <c r="BP475" s="243"/>
      <c r="BQ475" s="243"/>
      <c r="BR475" s="243"/>
      <c r="BS475" s="243"/>
    </row>
    <row r="476" spans="1:71" s="12" customFormat="1" ht="41.25" customHeight="1">
      <c r="A476" s="178" t="s">
        <v>80</v>
      </c>
      <c r="B476" s="178" t="str">
        <f ca="1">+UPPER(Tabla1321124[[#This Row],[DESCRIPCIÓN DE LA COMPRA O CONTRATACIÓN]])</f>
        <v>GOMA AISLANTE 7/8 X 3/8 (TUBO 3)</v>
      </c>
      <c r="C476" s="39" t="s">
        <v>17</v>
      </c>
      <c r="D476" s="370">
        <f t="shared" si="10"/>
        <v>20</v>
      </c>
      <c r="E476" s="370">
        <f t="shared" si="10"/>
        <v>20</v>
      </c>
      <c r="F476" s="370">
        <f t="shared" si="10"/>
        <v>20</v>
      </c>
      <c r="G476" s="370">
        <f t="shared" si="10"/>
        <v>20</v>
      </c>
      <c r="H476" s="240">
        <f>SUM(Tabla1321124[[#This Row],[PRIMER TRIMESTRE]:[CUARTO TRIMESTRE]])</f>
        <v>80</v>
      </c>
      <c r="I476" s="17">
        <v>536.16999999999996</v>
      </c>
      <c r="J476" s="17">
        <f>+Tabla1321124[[#This Row],[CANTIDAD TOTAL]]*Tabla1321124[[#This Row],[PRECIO UNITARIO ESTIMADO]]</f>
        <v>42893.599999999999</v>
      </c>
      <c r="K476" s="175"/>
      <c r="L476" s="16" t="s">
        <v>18</v>
      </c>
      <c r="M476" s="16" t="s">
        <v>22</v>
      </c>
      <c r="N476" s="16" t="s">
        <v>418</v>
      </c>
      <c r="O476" s="243"/>
      <c r="P476" s="243"/>
      <c r="Q476" s="243"/>
      <c r="R476" s="243"/>
      <c r="S476" s="243"/>
      <c r="T476" s="243"/>
      <c r="U476" s="243"/>
      <c r="V476" s="243"/>
      <c r="W476" s="243"/>
      <c r="X476" s="243"/>
      <c r="Y476" s="243"/>
      <c r="Z476" s="243"/>
      <c r="AA476" s="243"/>
      <c r="AB476" s="243"/>
      <c r="AC476" s="243"/>
      <c r="AD476" s="243"/>
      <c r="AE476" s="243"/>
      <c r="AF476" s="243"/>
      <c r="AG476" s="243"/>
      <c r="AH476" s="243"/>
      <c r="AI476" s="243"/>
      <c r="AJ476" s="243"/>
      <c r="AK476" s="243"/>
      <c r="AL476" s="243"/>
      <c r="AM476" s="243"/>
      <c r="AN476" s="243"/>
      <c r="AO476" s="243"/>
      <c r="AP476" s="243"/>
      <c r="AQ476" s="243"/>
      <c r="AR476" s="243"/>
      <c r="AS476" s="243"/>
      <c r="AT476" s="243"/>
      <c r="AU476" s="243"/>
      <c r="AV476" s="243"/>
      <c r="AW476" s="243"/>
      <c r="AX476" s="243"/>
      <c r="AY476" s="243"/>
      <c r="AZ476" s="243"/>
      <c r="BA476" s="243"/>
      <c r="BB476" s="243"/>
      <c r="BC476" s="243"/>
      <c r="BD476" s="243"/>
      <c r="BE476" s="243"/>
      <c r="BF476" s="243"/>
      <c r="BG476" s="243"/>
      <c r="BH476" s="243"/>
      <c r="BI476" s="243"/>
      <c r="BJ476" s="243"/>
      <c r="BK476" s="243"/>
      <c r="BL476" s="243"/>
      <c r="BM476" s="243"/>
      <c r="BN476" s="243"/>
      <c r="BO476" s="243"/>
      <c r="BP476" s="243"/>
      <c r="BQ476" s="243"/>
      <c r="BR476" s="243"/>
      <c r="BS476" s="243"/>
    </row>
    <row r="477" spans="1:71" s="12" customFormat="1" ht="41.25" customHeight="1">
      <c r="A477" s="178" t="s">
        <v>80</v>
      </c>
      <c r="B477" s="178" t="str">
        <f ca="1">+UPPER(Tabla1321124[[#This Row],[DESCRIPCIÓN DE LA COMPRA O CONTRATACIÓN]])</f>
        <v>GOMA AISLANTE 7/8 X 3/8 (TUBO 4)</v>
      </c>
      <c r="C477" s="39" t="s">
        <v>17</v>
      </c>
      <c r="D477" s="370">
        <f t="shared" si="10"/>
        <v>20</v>
      </c>
      <c r="E477" s="370">
        <f t="shared" si="10"/>
        <v>20</v>
      </c>
      <c r="F477" s="370">
        <f t="shared" si="10"/>
        <v>20</v>
      </c>
      <c r="G477" s="370">
        <f t="shared" si="10"/>
        <v>20</v>
      </c>
      <c r="H477" s="240">
        <f>SUM(Tabla1321124[[#This Row],[PRIMER TRIMESTRE]:[CUARTO TRIMESTRE]])</f>
        <v>80</v>
      </c>
      <c r="I477" s="17">
        <v>536.16999999999996</v>
      </c>
      <c r="J477" s="17">
        <f>+Tabla1321124[[#This Row],[CANTIDAD TOTAL]]*Tabla1321124[[#This Row],[PRECIO UNITARIO ESTIMADO]]</f>
        <v>42893.599999999999</v>
      </c>
      <c r="K477" s="175"/>
      <c r="L477" s="16" t="s">
        <v>18</v>
      </c>
      <c r="M477" s="16" t="s">
        <v>22</v>
      </c>
      <c r="N477" s="16" t="s">
        <v>418</v>
      </c>
      <c r="O477" s="243"/>
      <c r="P477" s="243"/>
      <c r="Q477" s="243"/>
      <c r="R477" s="243"/>
      <c r="S477" s="243"/>
      <c r="T477" s="243"/>
      <c r="U477" s="243"/>
      <c r="V477" s="243"/>
      <c r="W477" s="243"/>
      <c r="X477" s="243"/>
      <c r="Y477" s="243"/>
      <c r="Z477" s="243"/>
      <c r="AA477" s="243"/>
      <c r="AB477" s="243"/>
      <c r="AC477" s="243"/>
      <c r="AD477" s="243"/>
      <c r="AE477" s="243"/>
      <c r="AF477" s="243"/>
      <c r="AG477" s="243"/>
      <c r="AH477" s="243"/>
      <c r="AI477" s="243"/>
      <c r="AJ477" s="243"/>
      <c r="AK477" s="243"/>
      <c r="AL477" s="243"/>
      <c r="AM477" s="243"/>
      <c r="AN477" s="243"/>
      <c r="AO477" s="243"/>
      <c r="AP477" s="243"/>
      <c r="AQ477" s="243"/>
      <c r="AR477" s="243"/>
      <c r="AS477" s="243"/>
      <c r="AT477" s="243"/>
      <c r="AU477" s="243"/>
      <c r="AV477" s="243"/>
      <c r="AW477" s="243"/>
      <c r="AX477" s="243"/>
      <c r="AY477" s="243"/>
      <c r="AZ477" s="243"/>
      <c r="BA477" s="243"/>
      <c r="BB477" s="243"/>
      <c r="BC477" s="243"/>
      <c r="BD477" s="243"/>
      <c r="BE477" s="243"/>
      <c r="BF477" s="243"/>
      <c r="BG477" s="243"/>
      <c r="BH477" s="243"/>
      <c r="BI477" s="243"/>
      <c r="BJ477" s="243"/>
      <c r="BK477" s="243"/>
      <c r="BL477" s="243"/>
      <c r="BM477" s="243"/>
      <c r="BN477" s="243"/>
      <c r="BO477" s="243"/>
      <c r="BP477" s="243"/>
      <c r="BQ477" s="243"/>
      <c r="BR477" s="243"/>
      <c r="BS477" s="243"/>
    </row>
    <row r="478" spans="1:71" s="12" customFormat="1" ht="41.25" customHeight="1">
      <c r="A478" s="178" t="s">
        <v>80</v>
      </c>
      <c r="B478" s="178" t="str">
        <f ca="1">+UPPER(Tabla1321124[[#This Row],[DESCRIPCIÓN DE LA COMPRA O CONTRATACIÓN]])</f>
        <v>GOMA AISLANTE 7/8 X 3/8 (TUBO 6)</v>
      </c>
      <c r="C478" s="39" t="s">
        <v>17</v>
      </c>
      <c r="D478" s="370">
        <f t="shared" si="10"/>
        <v>20</v>
      </c>
      <c r="E478" s="370">
        <f t="shared" si="10"/>
        <v>20</v>
      </c>
      <c r="F478" s="370">
        <f t="shared" si="10"/>
        <v>20</v>
      </c>
      <c r="G478" s="370">
        <f t="shared" si="10"/>
        <v>20</v>
      </c>
      <c r="H478" s="240">
        <f>SUM(Tabla1321124[[#This Row],[PRIMER TRIMESTRE]:[CUARTO TRIMESTRE]])</f>
        <v>80</v>
      </c>
      <c r="I478" s="17">
        <v>536.16999999999996</v>
      </c>
      <c r="J478" s="17">
        <f>+Tabla1321124[[#This Row],[CANTIDAD TOTAL]]*Tabla1321124[[#This Row],[PRECIO UNITARIO ESTIMADO]]</f>
        <v>42893.599999999999</v>
      </c>
      <c r="K478" s="175"/>
      <c r="L478" s="16" t="s">
        <v>18</v>
      </c>
      <c r="M478" s="16" t="s">
        <v>22</v>
      </c>
      <c r="N478" s="16" t="s">
        <v>418</v>
      </c>
      <c r="O478" s="243"/>
      <c r="P478" s="243"/>
      <c r="Q478" s="243"/>
      <c r="R478" s="243"/>
      <c r="S478" s="243"/>
      <c r="T478" s="243"/>
      <c r="U478" s="243"/>
      <c r="V478" s="243"/>
      <c r="W478" s="243"/>
      <c r="X478" s="243"/>
      <c r="Y478" s="243"/>
      <c r="Z478" s="243"/>
      <c r="AA478" s="243"/>
      <c r="AB478" s="243"/>
      <c r="AC478" s="243"/>
      <c r="AD478" s="243"/>
      <c r="AE478" s="243"/>
      <c r="AF478" s="243"/>
      <c r="AG478" s="243"/>
      <c r="AH478" s="243"/>
      <c r="AI478" s="243"/>
      <c r="AJ478" s="243"/>
      <c r="AK478" s="243"/>
      <c r="AL478" s="243"/>
      <c r="AM478" s="243"/>
      <c r="AN478" s="243"/>
      <c r="AO478" s="243"/>
      <c r="AP478" s="243"/>
      <c r="AQ478" s="243"/>
      <c r="AR478" s="243"/>
      <c r="AS478" s="243"/>
      <c r="AT478" s="243"/>
      <c r="AU478" s="243"/>
      <c r="AV478" s="243"/>
      <c r="AW478" s="243"/>
      <c r="AX478" s="243"/>
      <c r="AY478" s="243"/>
      <c r="AZ478" s="243"/>
      <c r="BA478" s="243"/>
      <c r="BB478" s="243"/>
      <c r="BC478" s="243"/>
      <c r="BD478" s="243"/>
      <c r="BE478" s="243"/>
      <c r="BF478" s="243"/>
      <c r="BG478" s="243"/>
      <c r="BH478" s="243"/>
      <c r="BI478" s="243"/>
      <c r="BJ478" s="243"/>
      <c r="BK478" s="243"/>
      <c r="BL478" s="243"/>
      <c r="BM478" s="243"/>
      <c r="BN478" s="243"/>
      <c r="BO478" s="243"/>
      <c r="BP478" s="243"/>
      <c r="BQ478" s="243"/>
      <c r="BR478" s="243"/>
      <c r="BS478" s="243"/>
    </row>
    <row r="479" spans="1:71" s="12" customFormat="1" ht="41.25" customHeight="1">
      <c r="A479" s="178" t="s">
        <v>80</v>
      </c>
      <c r="B479" s="178" t="str">
        <f ca="1">+UPPER(Tabla1321124[[#This Row],[DESCRIPCIÓN DE LA COMPRA O CONTRATACIÓN]])</f>
        <v>GOMA AISLANTE 7/8 X 3/8 (TUBO 8)</v>
      </c>
      <c r="C479" s="39" t="s">
        <v>17</v>
      </c>
      <c r="D479" s="370">
        <f t="shared" si="10"/>
        <v>20</v>
      </c>
      <c r="E479" s="370">
        <f t="shared" si="10"/>
        <v>20</v>
      </c>
      <c r="F479" s="370">
        <f t="shared" si="10"/>
        <v>20</v>
      </c>
      <c r="G479" s="370">
        <f t="shared" si="10"/>
        <v>20</v>
      </c>
      <c r="H479" s="240">
        <f>SUM(Tabla1321124[[#This Row],[PRIMER TRIMESTRE]:[CUARTO TRIMESTRE]])</f>
        <v>80</v>
      </c>
      <c r="I479" s="17">
        <v>536.16999999999996</v>
      </c>
      <c r="J479" s="17">
        <f>+Tabla1321124[[#This Row],[CANTIDAD TOTAL]]*Tabla1321124[[#This Row],[PRECIO UNITARIO ESTIMADO]]</f>
        <v>42893.599999999999</v>
      </c>
      <c r="K479" s="175"/>
      <c r="L479" s="16" t="s">
        <v>18</v>
      </c>
      <c r="M479" s="16" t="s">
        <v>22</v>
      </c>
      <c r="N479" s="16" t="s">
        <v>418</v>
      </c>
      <c r="O479" s="243"/>
      <c r="P479" s="243"/>
      <c r="Q479" s="243"/>
      <c r="R479" s="243"/>
      <c r="S479" s="243"/>
      <c r="T479" s="243"/>
      <c r="U479" s="243"/>
      <c r="V479" s="243"/>
      <c r="W479" s="243"/>
      <c r="X479" s="243"/>
      <c r="Y479" s="243"/>
      <c r="Z479" s="243"/>
      <c r="AA479" s="243"/>
      <c r="AB479" s="243"/>
      <c r="AC479" s="243"/>
      <c r="AD479" s="243"/>
      <c r="AE479" s="243"/>
      <c r="AF479" s="243"/>
      <c r="AG479" s="243"/>
      <c r="AH479" s="243"/>
      <c r="AI479" s="243"/>
      <c r="AJ479" s="243"/>
      <c r="AK479" s="243"/>
      <c r="AL479" s="243"/>
      <c r="AM479" s="243"/>
      <c r="AN479" s="243"/>
      <c r="AO479" s="243"/>
      <c r="AP479" s="243"/>
      <c r="AQ479" s="243"/>
      <c r="AR479" s="243"/>
      <c r="AS479" s="243"/>
      <c r="AT479" s="243"/>
      <c r="AU479" s="243"/>
      <c r="AV479" s="243"/>
      <c r="AW479" s="243"/>
      <c r="AX479" s="243"/>
      <c r="AY479" s="243"/>
      <c r="AZ479" s="243"/>
      <c r="BA479" s="243"/>
      <c r="BB479" s="243"/>
      <c r="BC479" s="243"/>
      <c r="BD479" s="243"/>
      <c r="BE479" s="243"/>
      <c r="BF479" s="243"/>
      <c r="BG479" s="243"/>
      <c r="BH479" s="243"/>
      <c r="BI479" s="243"/>
      <c r="BJ479" s="243"/>
      <c r="BK479" s="243"/>
      <c r="BL479" s="243"/>
      <c r="BM479" s="243"/>
      <c r="BN479" s="243"/>
      <c r="BO479" s="243"/>
      <c r="BP479" s="243"/>
      <c r="BQ479" s="243"/>
      <c r="BR479" s="243"/>
      <c r="BS479" s="243"/>
    </row>
    <row r="480" spans="1:71" s="12" customFormat="1" ht="41.25" customHeight="1">
      <c r="A480" s="178" t="s">
        <v>80</v>
      </c>
      <c r="B480" s="178" t="str">
        <f ca="1">+UPPER(Tabla1321124[[#This Row],[DESCRIPCIÓN DE LA COMPRA O CONTRATACIÓN]])</f>
        <v>GOMA AISLANTE 7/8 X 3/8 (TUBO 12)</v>
      </c>
      <c r="C480" s="39" t="s">
        <v>17</v>
      </c>
      <c r="D480" s="236">
        <v>10</v>
      </c>
      <c r="E480" s="236">
        <v>10</v>
      </c>
      <c r="F480" s="236">
        <v>10</v>
      </c>
      <c r="G480" s="236">
        <v>10</v>
      </c>
      <c r="H480" s="240">
        <f>SUM(Tabla1321124[[#This Row],[PRIMER TRIMESTRE]:[CUARTO TRIMESTRE]])</f>
        <v>40</v>
      </c>
      <c r="I480" s="17">
        <v>536.16999999999996</v>
      </c>
      <c r="J480" s="17">
        <f>+Tabla1321124[[#This Row],[CANTIDAD TOTAL]]*Tabla1321124[[#This Row],[PRECIO UNITARIO ESTIMADO]]</f>
        <v>21446.799999999999</v>
      </c>
      <c r="K480" s="17"/>
      <c r="L480" s="16" t="s">
        <v>18</v>
      </c>
      <c r="M480" s="16" t="s">
        <v>22</v>
      </c>
      <c r="N480" s="16" t="s">
        <v>418</v>
      </c>
      <c r="O480" s="243"/>
      <c r="P480" s="243"/>
      <c r="Q480" s="243"/>
      <c r="R480" s="243"/>
      <c r="S480" s="243"/>
      <c r="T480" s="243"/>
      <c r="U480" s="243"/>
      <c r="V480" s="243"/>
      <c r="W480" s="243"/>
      <c r="X480" s="243"/>
      <c r="Y480" s="243"/>
      <c r="Z480" s="243"/>
      <c r="AA480" s="243"/>
      <c r="AB480" s="243"/>
      <c r="AC480" s="243"/>
      <c r="AD480" s="243"/>
      <c r="AE480" s="243"/>
      <c r="AF480" s="243"/>
      <c r="AG480" s="243"/>
      <c r="AH480" s="243"/>
      <c r="AI480" s="243"/>
      <c r="AJ480" s="243"/>
      <c r="AK480" s="243"/>
      <c r="AL480" s="243"/>
      <c r="AM480" s="243"/>
      <c r="AN480" s="243"/>
      <c r="AO480" s="243"/>
      <c r="AP480" s="243"/>
      <c r="AQ480" s="243"/>
      <c r="AR480" s="243"/>
      <c r="AS480" s="243"/>
      <c r="AT480" s="243"/>
      <c r="AU480" s="243"/>
      <c r="AV480" s="243"/>
      <c r="AW480" s="243"/>
      <c r="AX480" s="243"/>
      <c r="AY480" s="243"/>
      <c r="AZ480" s="243"/>
      <c r="BA480" s="243"/>
      <c r="BB480" s="243"/>
      <c r="BC480" s="243"/>
      <c r="BD480" s="243"/>
      <c r="BE480" s="243"/>
      <c r="BF480" s="243"/>
      <c r="BG480" s="243"/>
      <c r="BH480" s="243"/>
      <c r="BI480" s="243"/>
      <c r="BJ480" s="243"/>
      <c r="BK480" s="243"/>
      <c r="BL480" s="243"/>
      <c r="BM480" s="243"/>
      <c r="BN480" s="243"/>
      <c r="BO480" s="243"/>
      <c r="BP480" s="243"/>
      <c r="BQ480" s="243"/>
      <c r="BR480" s="243"/>
      <c r="BS480" s="243"/>
    </row>
    <row r="481" spans="1:71" s="12" customFormat="1" ht="41.25" customHeight="1">
      <c r="A481" s="178" t="s">
        <v>80</v>
      </c>
      <c r="B481" s="178" t="str">
        <f ca="1">+UPPER(Tabla1321124[[#This Row],[DESCRIPCIÓN DE LA COMPRA O CONTRATACIÓN]])</f>
        <v>GUANTE AISLANTE PARA 12000KV PARA ALTA TENSION 4 PARES</v>
      </c>
      <c r="C481" s="39" t="s">
        <v>149</v>
      </c>
      <c r="D481" s="236">
        <v>4</v>
      </c>
      <c r="E481" s="236">
        <v>4</v>
      </c>
      <c r="F481" s="236">
        <v>4</v>
      </c>
      <c r="G481" s="236">
        <v>4</v>
      </c>
      <c r="H481" s="240">
        <f>SUM(Tabla1321124[[#This Row],[PRIMER TRIMESTRE]:[CUARTO TRIMESTRE]])</f>
        <v>16</v>
      </c>
      <c r="I481" s="17">
        <v>560</v>
      </c>
      <c r="J481" s="17">
        <f>+Tabla1321124[[#This Row],[CANTIDAD TOTAL]]*Tabla1321124[[#This Row],[PRECIO UNITARIO ESTIMADO]]</f>
        <v>8960</v>
      </c>
      <c r="K481" s="17"/>
      <c r="L481" s="16" t="s">
        <v>18</v>
      </c>
      <c r="M481" s="16" t="s">
        <v>22</v>
      </c>
      <c r="N481" s="16" t="s">
        <v>418</v>
      </c>
      <c r="O481" s="243"/>
      <c r="P481" s="243"/>
      <c r="Q481" s="243"/>
      <c r="R481" s="243"/>
      <c r="S481" s="243"/>
      <c r="T481" s="243"/>
      <c r="U481" s="243"/>
      <c r="V481" s="243"/>
      <c r="W481" s="243"/>
      <c r="X481" s="243"/>
      <c r="Y481" s="243"/>
      <c r="Z481" s="243"/>
      <c r="AA481" s="243"/>
      <c r="AB481" s="243"/>
      <c r="AC481" s="243"/>
      <c r="AD481" s="243"/>
      <c r="AE481" s="243"/>
      <c r="AF481" s="243"/>
      <c r="AG481" s="243"/>
      <c r="AH481" s="243"/>
      <c r="AI481" s="243"/>
      <c r="AJ481" s="243"/>
      <c r="AK481" s="243"/>
      <c r="AL481" s="243"/>
      <c r="AM481" s="243"/>
      <c r="AN481" s="243"/>
      <c r="AO481" s="243"/>
      <c r="AP481" s="243"/>
      <c r="AQ481" s="243"/>
      <c r="AR481" s="243"/>
      <c r="AS481" s="243"/>
      <c r="AT481" s="243"/>
      <c r="AU481" s="243"/>
      <c r="AV481" s="243"/>
      <c r="AW481" s="243"/>
      <c r="AX481" s="243"/>
      <c r="AY481" s="243"/>
      <c r="AZ481" s="243"/>
      <c r="BA481" s="243"/>
      <c r="BB481" s="243"/>
      <c r="BC481" s="243"/>
      <c r="BD481" s="243"/>
      <c r="BE481" s="243"/>
      <c r="BF481" s="243"/>
      <c r="BG481" s="243"/>
      <c r="BH481" s="243"/>
      <c r="BI481" s="243"/>
      <c r="BJ481" s="243"/>
      <c r="BK481" s="243"/>
      <c r="BL481" s="243"/>
      <c r="BM481" s="243"/>
      <c r="BN481" s="243"/>
      <c r="BO481" s="243"/>
      <c r="BP481" s="243"/>
      <c r="BQ481" s="243"/>
      <c r="BR481" s="243"/>
      <c r="BS481" s="243"/>
    </row>
    <row r="482" spans="1:71" s="12" customFormat="1" ht="41.25" customHeight="1">
      <c r="A482" s="178" t="s">
        <v>80</v>
      </c>
      <c r="B482" s="178" t="str">
        <f ca="1">+UPPER(Tabla1321124[[#This Row],[DESCRIPCIÓN DE LA COMPRA O CONTRATACIÓN]])</f>
        <v>HOJAS DE SEGUETA ROJA</v>
      </c>
      <c r="C482" s="39" t="s">
        <v>17</v>
      </c>
      <c r="D482" s="236">
        <v>400</v>
      </c>
      <c r="E482" s="210">
        <v>400</v>
      </c>
      <c r="F482" s="236">
        <v>400</v>
      </c>
      <c r="G482" s="236">
        <v>400</v>
      </c>
      <c r="H482" s="240">
        <f>SUM(Tabla1321124[[#This Row],[PRIMER TRIMESTRE]:[CUARTO TRIMESTRE]])</f>
        <v>1600</v>
      </c>
      <c r="I482" s="17">
        <v>55.38</v>
      </c>
      <c r="J482" s="17">
        <f>+Tabla1321124[[#This Row],[CANTIDAD TOTAL]]*Tabla1321124[[#This Row],[PRECIO UNITARIO ESTIMADO]]</f>
        <v>88608</v>
      </c>
      <c r="K482" s="17"/>
      <c r="L482" s="16" t="s">
        <v>18</v>
      </c>
      <c r="M482" s="16" t="s">
        <v>22</v>
      </c>
      <c r="N482" s="16" t="s">
        <v>418</v>
      </c>
      <c r="O482" s="243"/>
      <c r="P482" s="243"/>
      <c r="Q482" s="243"/>
      <c r="R482" s="243"/>
      <c r="S482" s="243"/>
      <c r="T482" s="243"/>
      <c r="U482" s="243"/>
      <c r="V482" s="243"/>
      <c r="W482" s="243"/>
      <c r="X482" s="243"/>
      <c r="Y482" s="243"/>
      <c r="Z482" s="243"/>
      <c r="AA482" s="243"/>
      <c r="AB482" s="243"/>
      <c r="AC482" s="243"/>
      <c r="AD482" s="243"/>
      <c r="AE482" s="243"/>
      <c r="AF482" s="243"/>
      <c r="AG482" s="243"/>
      <c r="AH482" s="243"/>
      <c r="AI482" s="243"/>
      <c r="AJ482" s="243"/>
      <c r="AK482" s="243"/>
      <c r="AL482" s="243"/>
      <c r="AM482" s="243"/>
      <c r="AN482" s="243"/>
      <c r="AO482" s="243"/>
      <c r="AP482" s="243"/>
      <c r="AQ482" s="243"/>
      <c r="AR482" s="243"/>
      <c r="AS482" s="243"/>
      <c r="AT482" s="243"/>
      <c r="AU482" s="243"/>
      <c r="AV482" s="243"/>
      <c r="AW482" s="243"/>
      <c r="AX482" s="243"/>
      <c r="AY482" s="243"/>
      <c r="AZ482" s="243"/>
      <c r="BA482" s="243"/>
      <c r="BB482" s="243"/>
      <c r="BC482" s="243"/>
      <c r="BD482" s="243"/>
      <c r="BE482" s="243"/>
      <c r="BF482" s="243"/>
      <c r="BG482" s="243"/>
      <c r="BH482" s="243"/>
      <c r="BI482" s="243"/>
      <c r="BJ482" s="243"/>
      <c r="BK482" s="243"/>
      <c r="BL482" s="243"/>
      <c r="BM482" s="243"/>
      <c r="BN482" s="243"/>
      <c r="BO482" s="243"/>
      <c r="BP482" s="243"/>
      <c r="BQ482" s="243"/>
      <c r="BR482" s="243"/>
      <c r="BS482" s="243"/>
    </row>
    <row r="483" spans="1:71" s="12" customFormat="1" ht="41.25" customHeight="1">
      <c r="A483" s="178" t="s">
        <v>80</v>
      </c>
      <c r="B483" s="178" t="str">
        <f ca="1">+UPPER(Tabla1321124[[#This Row],[DESCRIPCIÓN DE LA COMPRA O CONTRATACIÓN]])</f>
        <v>JUNTA DE CERA</v>
      </c>
      <c r="C483" s="39" t="s">
        <v>17</v>
      </c>
      <c r="D483" s="236">
        <v>3</v>
      </c>
      <c r="E483" s="210">
        <v>3</v>
      </c>
      <c r="F483" s="236">
        <v>3</v>
      </c>
      <c r="G483" s="236">
        <v>3</v>
      </c>
      <c r="H483" s="240">
        <f>SUM(Tabla1321124[[#This Row],[PRIMER TRIMESTRE]:[CUARTO TRIMESTRE]])</f>
        <v>12</v>
      </c>
      <c r="I483" s="17">
        <v>85</v>
      </c>
      <c r="J483" s="17">
        <f>+Tabla1321124[[#This Row],[CANTIDAD TOTAL]]*Tabla1321124[[#This Row],[PRECIO UNITARIO ESTIMADO]]</f>
        <v>1020</v>
      </c>
      <c r="K483" s="17"/>
      <c r="L483" s="16" t="s">
        <v>18</v>
      </c>
      <c r="M483" s="16" t="s">
        <v>22</v>
      </c>
      <c r="N483" s="16" t="s">
        <v>418</v>
      </c>
      <c r="O483" s="243"/>
      <c r="P483" s="243"/>
      <c r="Q483" s="243"/>
      <c r="R483" s="243"/>
      <c r="S483" s="243"/>
      <c r="T483" s="243"/>
      <c r="U483" s="243"/>
      <c r="V483" s="243"/>
      <c r="W483" s="243"/>
      <c r="X483" s="243"/>
      <c r="Y483" s="243"/>
      <c r="Z483" s="243"/>
      <c r="AA483" s="243"/>
      <c r="AB483" s="243"/>
      <c r="AC483" s="243"/>
      <c r="AD483" s="243"/>
      <c r="AE483" s="243"/>
      <c r="AF483" s="243"/>
      <c r="AG483" s="243"/>
      <c r="AH483" s="243"/>
      <c r="AI483" s="243"/>
      <c r="AJ483" s="243"/>
      <c r="AK483" s="243"/>
      <c r="AL483" s="243"/>
      <c r="AM483" s="243"/>
      <c r="AN483" s="243"/>
      <c r="AO483" s="243"/>
      <c r="AP483" s="243"/>
      <c r="AQ483" s="243"/>
      <c r="AR483" s="243"/>
      <c r="AS483" s="243"/>
      <c r="AT483" s="243"/>
      <c r="AU483" s="243"/>
      <c r="AV483" s="243"/>
      <c r="AW483" s="243"/>
      <c r="AX483" s="243"/>
      <c r="AY483" s="243"/>
      <c r="AZ483" s="243"/>
      <c r="BA483" s="243"/>
      <c r="BB483" s="243"/>
      <c r="BC483" s="243"/>
      <c r="BD483" s="243"/>
      <c r="BE483" s="243"/>
      <c r="BF483" s="243"/>
      <c r="BG483" s="243"/>
      <c r="BH483" s="243"/>
      <c r="BI483" s="243"/>
      <c r="BJ483" s="243"/>
      <c r="BK483" s="243"/>
      <c r="BL483" s="243"/>
      <c r="BM483" s="243"/>
      <c r="BN483" s="243"/>
      <c r="BO483" s="243"/>
      <c r="BP483" s="243"/>
      <c r="BQ483" s="243"/>
      <c r="BR483" s="243"/>
      <c r="BS483" s="243"/>
    </row>
    <row r="484" spans="1:71" s="12" customFormat="1" ht="41.25" customHeight="1">
      <c r="A484" s="178" t="s">
        <v>80</v>
      </c>
      <c r="B484" s="178" t="str">
        <f ca="1">+UPPER(Tabla1321124[[#This Row],[DESCRIPCIÓN DE LA COMPRA O CONTRATACIÓN]])</f>
        <v>REJILLAS FALK</v>
      </c>
      <c r="C484" s="39" t="s">
        <v>17</v>
      </c>
      <c r="D484" s="236">
        <v>25</v>
      </c>
      <c r="E484" s="210">
        <v>12</v>
      </c>
      <c r="F484" s="236">
        <v>12</v>
      </c>
      <c r="G484" s="236"/>
      <c r="H484" s="240">
        <f>SUM(Tabla1321124[[#This Row],[PRIMER TRIMESTRE]:[CUARTO TRIMESTRE]])</f>
        <v>49</v>
      </c>
      <c r="I484" s="17">
        <v>196.4</v>
      </c>
      <c r="J484" s="17">
        <f>+Tabla1321124[[#This Row],[CANTIDAD TOTAL]]*Tabla1321124[[#This Row],[PRECIO UNITARIO ESTIMADO]]</f>
        <v>9623.6</v>
      </c>
      <c r="K484" s="17"/>
      <c r="L484" s="16" t="s">
        <v>18</v>
      </c>
      <c r="M484" s="16" t="s">
        <v>22</v>
      </c>
      <c r="N484" s="16" t="s">
        <v>418</v>
      </c>
      <c r="O484" s="243"/>
      <c r="P484" s="243"/>
      <c r="Q484" s="243"/>
      <c r="R484" s="243"/>
      <c r="S484" s="243"/>
      <c r="T484" s="243"/>
      <c r="U484" s="243"/>
      <c r="V484" s="243"/>
      <c r="W484" s="243"/>
      <c r="X484" s="243"/>
      <c r="Y484" s="243"/>
      <c r="Z484" s="243"/>
      <c r="AA484" s="243"/>
      <c r="AB484" s="243"/>
      <c r="AC484" s="243"/>
      <c r="AD484" s="243"/>
      <c r="AE484" s="243"/>
      <c r="AF484" s="243"/>
      <c r="AG484" s="243"/>
      <c r="AH484" s="243"/>
      <c r="AI484" s="243"/>
      <c r="AJ484" s="243"/>
      <c r="AK484" s="243"/>
      <c r="AL484" s="243"/>
      <c r="AM484" s="243"/>
      <c r="AN484" s="243"/>
      <c r="AO484" s="243"/>
      <c r="AP484" s="243"/>
      <c r="AQ484" s="243"/>
      <c r="AR484" s="243"/>
      <c r="AS484" s="243"/>
      <c r="AT484" s="243"/>
      <c r="AU484" s="243"/>
      <c r="AV484" s="243"/>
      <c r="AW484" s="243"/>
      <c r="AX484" s="243"/>
      <c r="AY484" s="243"/>
      <c r="AZ484" s="243"/>
      <c r="BA484" s="243"/>
      <c r="BB484" s="243"/>
      <c r="BC484" s="243"/>
      <c r="BD484" s="243"/>
      <c r="BE484" s="243"/>
      <c r="BF484" s="243"/>
      <c r="BG484" s="243"/>
      <c r="BH484" s="243"/>
      <c r="BI484" s="243"/>
      <c r="BJ484" s="243"/>
      <c r="BK484" s="243"/>
      <c r="BL484" s="243"/>
      <c r="BM484" s="243"/>
      <c r="BN484" s="243"/>
      <c r="BO484" s="243"/>
      <c r="BP484" s="243"/>
      <c r="BQ484" s="243"/>
      <c r="BR484" s="243"/>
      <c r="BS484" s="243"/>
    </row>
    <row r="485" spans="1:71" s="12" customFormat="1" ht="41.25" customHeight="1">
      <c r="A485" s="178" t="s">
        <v>80</v>
      </c>
      <c r="B485" s="178" t="str">
        <f ca="1">+UPPER(Tabla1321124[[#This Row],[DESCRIPCIÓN DE LA COMPRA O CONTRATACIÓN]])</f>
        <v>TEFLON</v>
      </c>
      <c r="C485" s="39" t="s">
        <v>17</v>
      </c>
      <c r="D485" s="236">
        <v>300</v>
      </c>
      <c r="E485" s="210">
        <v>300</v>
      </c>
      <c r="F485" s="236">
        <v>300</v>
      </c>
      <c r="G485" s="236">
        <v>300</v>
      </c>
      <c r="H485" s="240">
        <f>SUM(Tabla1321124[[#This Row],[PRIMER TRIMESTRE]:[CUARTO TRIMESTRE]])</f>
        <v>1200</v>
      </c>
      <c r="I485" s="17">
        <v>55</v>
      </c>
      <c r="J485" s="17">
        <f>+Tabla1321124[[#This Row],[CANTIDAD TOTAL]]*Tabla1321124[[#This Row],[PRECIO UNITARIO ESTIMADO]]</f>
        <v>66000</v>
      </c>
      <c r="K485" s="17"/>
      <c r="L485" s="16" t="s">
        <v>18</v>
      </c>
      <c r="M485" s="16" t="s">
        <v>22</v>
      </c>
      <c r="N485" s="16" t="s">
        <v>418</v>
      </c>
      <c r="O485" s="243"/>
      <c r="P485" s="243"/>
      <c r="Q485" s="243"/>
      <c r="R485" s="243"/>
      <c r="S485" s="243"/>
      <c r="T485" s="243"/>
      <c r="U485" s="243"/>
      <c r="V485" s="243"/>
      <c r="W485" s="243"/>
      <c r="X485" s="243"/>
      <c r="Y485" s="243"/>
      <c r="Z485" s="243"/>
      <c r="AA485" s="243"/>
      <c r="AB485" s="243"/>
      <c r="AC485" s="243"/>
      <c r="AD485" s="243"/>
      <c r="AE485" s="243"/>
      <c r="AF485" s="243"/>
      <c r="AG485" s="243"/>
      <c r="AH485" s="243"/>
      <c r="AI485" s="243"/>
      <c r="AJ485" s="243"/>
      <c r="AK485" s="243"/>
      <c r="AL485" s="243"/>
      <c r="AM485" s="243"/>
      <c r="AN485" s="243"/>
      <c r="AO485" s="243"/>
      <c r="AP485" s="243"/>
      <c r="AQ485" s="243"/>
      <c r="AR485" s="243"/>
      <c r="AS485" s="243"/>
      <c r="AT485" s="243"/>
      <c r="AU485" s="243"/>
      <c r="AV485" s="243"/>
      <c r="AW485" s="243"/>
      <c r="AX485" s="243"/>
      <c r="AY485" s="243"/>
      <c r="AZ485" s="243"/>
      <c r="BA485" s="243"/>
      <c r="BB485" s="243"/>
      <c r="BC485" s="243"/>
      <c r="BD485" s="243"/>
      <c r="BE485" s="243"/>
      <c r="BF485" s="243"/>
      <c r="BG485" s="243"/>
      <c r="BH485" s="243"/>
      <c r="BI485" s="243"/>
      <c r="BJ485" s="243"/>
      <c r="BK485" s="243"/>
      <c r="BL485" s="243"/>
      <c r="BM485" s="243"/>
      <c r="BN485" s="243"/>
      <c r="BO485" s="243"/>
      <c r="BP485" s="243"/>
      <c r="BQ485" s="243"/>
      <c r="BR485" s="243"/>
      <c r="BS485" s="243"/>
    </row>
    <row r="486" spans="1:71" s="12" customFormat="1" ht="41.25" customHeight="1">
      <c r="A486" s="178" t="s">
        <v>80</v>
      </c>
      <c r="B486" s="178" t="str">
        <f ca="1">+UPPER(Tabla1321124[[#This Row],[DESCRIPCIÓN DE LA COMPRA O CONTRATACIÓN]])</f>
        <v>TABLERO HIDROFUGO ENCAP CLANCO 4X8X5/8 2C</v>
      </c>
      <c r="C486" s="39" t="s">
        <v>17</v>
      </c>
      <c r="D486" s="236">
        <v>50</v>
      </c>
      <c r="E486" s="210">
        <v>50</v>
      </c>
      <c r="F486" s="236">
        <v>50</v>
      </c>
      <c r="G486" s="236">
        <v>50</v>
      </c>
      <c r="H486" s="240">
        <f>SUM(Tabla1321124[[#This Row],[PRIMER TRIMESTRE]:[CUARTO TRIMESTRE]])</f>
        <v>200</v>
      </c>
      <c r="I486" s="17">
        <v>0</v>
      </c>
      <c r="J486" s="17">
        <f>+Tabla1321124[[#This Row],[CANTIDAD TOTAL]]*Tabla1321124[[#This Row],[PRECIO UNITARIO ESTIMADO]]</f>
        <v>0</v>
      </c>
      <c r="K486" s="17"/>
      <c r="L486" s="16" t="s">
        <v>18</v>
      </c>
      <c r="M486" s="16" t="s">
        <v>22</v>
      </c>
      <c r="N486" s="16" t="s">
        <v>418</v>
      </c>
      <c r="O486" s="243"/>
      <c r="P486" s="243"/>
      <c r="Q486" s="243"/>
      <c r="R486" s="243"/>
      <c r="S486" s="243"/>
      <c r="T486" s="243"/>
      <c r="U486" s="243"/>
      <c r="V486" s="243"/>
      <c r="W486" s="243"/>
      <c r="X486" s="243"/>
      <c r="Y486" s="243"/>
      <c r="Z486" s="243"/>
      <c r="AA486" s="243"/>
      <c r="AB486" s="243"/>
      <c r="AC486" s="243"/>
      <c r="AD486" s="243"/>
      <c r="AE486" s="243"/>
      <c r="AF486" s="243"/>
      <c r="AG486" s="243"/>
      <c r="AH486" s="243"/>
      <c r="AI486" s="243"/>
      <c r="AJ486" s="243"/>
      <c r="AK486" s="243"/>
      <c r="AL486" s="243"/>
      <c r="AM486" s="243"/>
      <c r="AN486" s="243"/>
      <c r="AO486" s="243"/>
      <c r="AP486" s="243"/>
      <c r="AQ486" s="243"/>
      <c r="AR486" s="243"/>
      <c r="AS486" s="243"/>
      <c r="AT486" s="243"/>
      <c r="AU486" s="243"/>
      <c r="AV486" s="243"/>
      <c r="AW486" s="243"/>
      <c r="AX486" s="243"/>
      <c r="AY486" s="243"/>
      <c r="AZ486" s="243"/>
      <c r="BA486" s="243"/>
      <c r="BB486" s="243"/>
      <c r="BC486" s="243"/>
      <c r="BD486" s="243"/>
      <c r="BE486" s="243"/>
      <c r="BF486" s="243"/>
      <c r="BG486" s="243"/>
      <c r="BH486" s="243"/>
      <c r="BI486" s="243"/>
      <c r="BJ486" s="243"/>
      <c r="BK486" s="243"/>
      <c r="BL486" s="243"/>
      <c r="BM486" s="243"/>
      <c r="BN486" s="243"/>
      <c r="BO486" s="243"/>
      <c r="BP486" s="243"/>
      <c r="BQ486" s="243"/>
      <c r="BR486" s="243"/>
      <c r="BS486" s="243"/>
    </row>
    <row r="487" spans="1:71" s="12" customFormat="1" ht="41.25" customHeight="1">
      <c r="A487" s="178" t="s">
        <v>80</v>
      </c>
      <c r="B487" s="178" t="str">
        <f ca="1">+UPPER(Tabla1321124[[#This Row],[DESCRIPCIÓN DE LA COMPRA O CONTRATACIÓN]])</f>
        <v>UNION DE DRESSER Ø1 1/2</v>
      </c>
      <c r="C487" s="39" t="s">
        <v>17</v>
      </c>
      <c r="D487" s="236">
        <v>35</v>
      </c>
      <c r="E487" s="236">
        <v>15</v>
      </c>
      <c r="F487" s="236">
        <v>30</v>
      </c>
      <c r="G487" s="236">
        <v>15</v>
      </c>
      <c r="H487" s="240">
        <f>SUM(Tabla1321124[[#This Row],[PRIMER TRIMESTRE]:[CUARTO TRIMESTRE]])</f>
        <v>95</v>
      </c>
      <c r="I487" s="17">
        <v>108.41</v>
      </c>
      <c r="J487" s="17">
        <f>+Tabla1321124[[#This Row],[CANTIDAD TOTAL]]*Tabla1321124[[#This Row],[PRECIO UNITARIO ESTIMADO]]</f>
        <v>10298.949999999999</v>
      </c>
      <c r="K487" s="17"/>
      <c r="L487" s="16" t="s">
        <v>18</v>
      </c>
      <c r="M487" s="16" t="s">
        <v>22</v>
      </c>
      <c r="N487" s="16" t="s">
        <v>418</v>
      </c>
      <c r="O487" s="243"/>
      <c r="P487" s="243"/>
      <c r="Q487" s="243"/>
      <c r="R487" s="243"/>
      <c r="S487" s="243"/>
      <c r="T487" s="243"/>
      <c r="U487" s="243"/>
      <c r="V487" s="243"/>
      <c r="W487" s="243"/>
      <c r="X487" s="243"/>
      <c r="Y487" s="243"/>
      <c r="Z487" s="243"/>
      <c r="AA487" s="243"/>
      <c r="AB487" s="243"/>
      <c r="AC487" s="243"/>
      <c r="AD487" s="243"/>
      <c r="AE487" s="243"/>
      <c r="AF487" s="243"/>
      <c r="AG487" s="243"/>
      <c r="AH487" s="243"/>
      <c r="AI487" s="243"/>
      <c r="AJ487" s="243"/>
      <c r="AK487" s="243"/>
      <c r="AL487" s="243"/>
      <c r="AM487" s="243"/>
      <c r="AN487" s="243"/>
      <c r="AO487" s="243"/>
      <c r="AP487" s="243"/>
      <c r="AQ487" s="243"/>
      <c r="AR487" s="243"/>
      <c r="AS487" s="243"/>
      <c r="AT487" s="243"/>
      <c r="AU487" s="243"/>
      <c r="AV487" s="243"/>
      <c r="AW487" s="243"/>
      <c r="AX487" s="243"/>
      <c r="AY487" s="243"/>
      <c r="AZ487" s="243"/>
      <c r="BA487" s="243"/>
      <c r="BB487" s="243"/>
      <c r="BC487" s="243"/>
      <c r="BD487" s="243"/>
      <c r="BE487" s="243"/>
      <c r="BF487" s="243"/>
      <c r="BG487" s="243"/>
      <c r="BH487" s="243"/>
      <c r="BI487" s="243"/>
      <c r="BJ487" s="243"/>
      <c r="BK487" s="243"/>
      <c r="BL487" s="243"/>
      <c r="BM487" s="243"/>
      <c r="BN487" s="243"/>
      <c r="BO487" s="243"/>
      <c r="BP487" s="243"/>
      <c r="BQ487" s="243"/>
      <c r="BR487" s="243"/>
      <c r="BS487" s="243"/>
    </row>
    <row r="488" spans="1:71" s="12" customFormat="1" ht="41.25" customHeight="1">
      <c r="A488" s="178" t="s">
        <v>80</v>
      </c>
      <c r="B488" s="178" t="str">
        <f ca="1">+UPPER(Tabla1321124[[#This Row],[DESCRIPCIÓN DE LA COMPRA O CONTRATACIÓN]])</f>
        <v>UNION DE DRESSER Ø3/4</v>
      </c>
      <c r="C488" s="39" t="s">
        <v>17</v>
      </c>
      <c r="D488" s="236">
        <v>120</v>
      </c>
      <c r="E488" s="236">
        <v>110</v>
      </c>
      <c r="F488" s="236">
        <v>120</v>
      </c>
      <c r="G488" s="236">
        <v>110</v>
      </c>
      <c r="H488" s="240">
        <f>SUM(Tabla1321124[[#This Row],[PRIMER TRIMESTRE]:[CUARTO TRIMESTRE]])</f>
        <v>460</v>
      </c>
      <c r="I488" s="17">
        <v>23.1</v>
      </c>
      <c r="J488" s="17">
        <f>+Tabla1321124[[#This Row],[CANTIDAD TOTAL]]*Tabla1321124[[#This Row],[PRECIO UNITARIO ESTIMADO]]</f>
        <v>10626</v>
      </c>
      <c r="K488" s="17"/>
      <c r="L488" s="16" t="s">
        <v>18</v>
      </c>
      <c r="M488" s="16" t="s">
        <v>22</v>
      </c>
      <c r="N488" s="16" t="s">
        <v>418</v>
      </c>
      <c r="O488" s="243"/>
      <c r="P488" s="243"/>
      <c r="Q488" s="243"/>
      <c r="R488" s="243"/>
      <c r="S488" s="243"/>
      <c r="T488" s="243"/>
      <c r="U488" s="243"/>
      <c r="V488" s="243"/>
      <c r="W488" s="243"/>
      <c r="X488" s="243"/>
      <c r="Y488" s="243"/>
      <c r="Z488" s="243"/>
      <c r="AA488" s="243"/>
      <c r="AB488" s="243"/>
      <c r="AC488" s="243"/>
      <c r="AD488" s="243"/>
      <c r="AE488" s="243"/>
      <c r="AF488" s="243"/>
      <c r="AG488" s="243"/>
      <c r="AH488" s="243"/>
      <c r="AI488" s="243"/>
      <c r="AJ488" s="243"/>
      <c r="AK488" s="243"/>
      <c r="AL488" s="243"/>
      <c r="AM488" s="243"/>
      <c r="AN488" s="243"/>
      <c r="AO488" s="243"/>
      <c r="AP488" s="243"/>
      <c r="AQ488" s="243"/>
      <c r="AR488" s="243"/>
      <c r="AS488" s="243"/>
      <c r="AT488" s="243"/>
      <c r="AU488" s="243"/>
      <c r="AV488" s="243"/>
      <c r="AW488" s="243"/>
      <c r="AX488" s="243"/>
      <c r="AY488" s="243"/>
      <c r="AZ488" s="243"/>
      <c r="BA488" s="243"/>
      <c r="BB488" s="243"/>
      <c r="BC488" s="243"/>
      <c r="BD488" s="243"/>
      <c r="BE488" s="243"/>
      <c r="BF488" s="243"/>
      <c r="BG488" s="243"/>
      <c r="BH488" s="243"/>
      <c r="BI488" s="243"/>
      <c r="BJ488" s="243"/>
      <c r="BK488" s="243"/>
      <c r="BL488" s="243"/>
      <c r="BM488" s="243"/>
      <c r="BN488" s="243"/>
      <c r="BO488" s="243"/>
      <c r="BP488" s="243"/>
      <c r="BQ488" s="243"/>
      <c r="BR488" s="243"/>
      <c r="BS488" s="243"/>
    </row>
    <row r="489" spans="1:71" s="12" customFormat="1" ht="41.25" customHeight="1">
      <c r="A489" s="178" t="s">
        <v>80</v>
      </c>
      <c r="B489" s="178" t="str">
        <f ca="1">+UPPER(Tabla1321124[[#This Row],[DESCRIPCIÓN DE LA COMPRA O CONTRATACIÓN]])</f>
        <v>UNIÓN DRESSER DE 1” PVC</v>
      </c>
      <c r="C489" s="39" t="s">
        <v>17</v>
      </c>
      <c r="D489" s="369">
        <v>10</v>
      </c>
      <c r="E489" s="369">
        <v>5</v>
      </c>
      <c r="F489" s="369">
        <v>5</v>
      </c>
      <c r="G489" s="369">
        <v>5</v>
      </c>
      <c r="H489" s="240">
        <f>SUM(Tabla1321124[[#This Row],[PRIMER TRIMESTRE]:[CUARTO TRIMESTRE]])</f>
        <v>25</v>
      </c>
      <c r="I489" s="17">
        <v>350</v>
      </c>
      <c r="J489" s="17">
        <f>+Tabla1321124[[#This Row],[CANTIDAD TOTAL]]*Tabla1321124[[#This Row],[PRECIO UNITARIO ESTIMADO]]</f>
        <v>8750</v>
      </c>
      <c r="K489" s="175"/>
      <c r="L489" s="16" t="s">
        <v>18</v>
      </c>
      <c r="M489" s="16" t="s">
        <v>22</v>
      </c>
      <c r="N489" s="16"/>
      <c r="O489" s="243"/>
      <c r="P489" s="243"/>
      <c r="Q489" s="243"/>
      <c r="R489" s="243"/>
      <c r="S489" s="243"/>
      <c r="T489" s="243"/>
      <c r="U489" s="243"/>
      <c r="V489" s="243"/>
      <c r="W489" s="243"/>
      <c r="X489" s="243"/>
      <c r="Y489" s="243"/>
      <c r="Z489" s="243"/>
      <c r="AA489" s="243"/>
      <c r="AB489" s="243"/>
      <c r="AC489" s="243"/>
      <c r="AD489" s="243"/>
      <c r="AE489" s="243"/>
      <c r="AF489" s="243"/>
      <c r="AG489" s="243"/>
      <c r="AH489" s="243"/>
      <c r="AI489" s="243"/>
      <c r="AJ489" s="243"/>
      <c r="AK489" s="243"/>
      <c r="AL489" s="243"/>
      <c r="AM489" s="243"/>
      <c r="AN489" s="243"/>
      <c r="AO489" s="243"/>
      <c r="AP489" s="243"/>
      <c r="AQ489" s="243"/>
      <c r="AR489" s="243"/>
      <c r="AS489" s="243"/>
      <c r="AT489" s="243"/>
      <c r="AU489" s="243"/>
      <c r="AV489" s="243"/>
      <c r="AW489" s="243"/>
      <c r="AX489" s="243"/>
      <c r="AY489" s="243"/>
      <c r="AZ489" s="243"/>
      <c r="BA489" s="243"/>
      <c r="BB489" s="243"/>
      <c r="BC489" s="243"/>
      <c r="BD489" s="243"/>
      <c r="BE489" s="243"/>
      <c r="BF489" s="243"/>
      <c r="BG489" s="243"/>
      <c r="BH489" s="243"/>
      <c r="BI489" s="243"/>
      <c r="BJ489" s="243"/>
      <c r="BK489" s="243"/>
      <c r="BL489" s="243"/>
      <c r="BM489" s="243"/>
      <c r="BN489" s="243"/>
      <c r="BO489" s="243"/>
      <c r="BP489" s="243"/>
      <c r="BQ489" s="243"/>
      <c r="BR489" s="243"/>
      <c r="BS489" s="243"/>
    </row>
    <row r="490" spans="1:71" s="12" customFormat="1" ht="41.25" customHeight="1">
      <c r="A490" s="178" t="s">
        <v>80</v>
      </c>
      <c r="B490" s="178" t="str">
        <f ca="1">+UPPER(Tabla1321124[[#This Row],[DESCRIPCIÓN DE LA COMPRA O CONTRATACIÓN]])</f>
        <v>UNION UNIVERSAL SCH-80 DE 2"</v>
      </c>
      <c r="C490" s="39" t="s">
        <v>17</v>
      </c>
      <c r="D490" s="368">
        <v>3</v>
      </c>
      <c r="E490" s="369">
        <v>3</v>
      </c>
      <c r="F490" s="369">
        <v>3</v>
      </c>
      <c r="G490" s="369">
        <v>3</v>
      </c>
      <c r="H490" s="240">
        <f>SUM(Tabla1321124[[#This Row],[PRIMER TRIMESTRE]:[CUARTO TRIMESTRE]])</f>
        <v>12</v>
      </c>
      <c r="I490" s="17">
        <v>450</v>
      </c>
      <c r="J490" s="17">
        <f>+Tabla1321124[[#This Row],[CANTIDAD TOTAL]]*Tabla1321124[[#This Row],[PRECIO UNITARIO ESTIMADO]]</f>
        <v>5400</v>
      </c>
      <c r="K490" s="175"/>
      <c r="L490" s="16" t="s">
        <v>18</v>
      </c>
      <c r="M490" s="16" t="s">
        <v>22</v>
      </c>
      <c r="N490" s="16"/>
      <c r="O490" s="243"/>
      <c r="P490" s="243"/>
      <c r="Q490" s="243"/>
      <c r="R490" s="243"/>
      <c r="S490" s="243"/>
      <c r="T490" s="243"/>
      <c r="U490" s="243"/>
      <c r="V490" s="243"/>
      <c r="W490" s="243"/>
      <c r="X490" s="243"/>
      <c r="Y490" s="243"/>
      <c r="Z490" s="243"/>
      <c r="AA490" s="243"/>
      <c r="AB490" s="243"/>
      <c r="AC490" s="243"/>
      <c r="AD490" s="243"/>
      <c r="AE490" s="243"/>
      <c r="AF490" s="243"/>
      <c r="AG490" s="243"/>
      <c r="AH490" s="243"/>
      <c r="AI490" s="243"/>
      <c r="AJ490" s="243"/>
      <c r="AK490" s="243"/>
      <c r="AL490" s="243"/>
      <c r="AM490" s="243"/>
      <c r="AN490" s="243"/>
      <c r="AO490" s="243"/>
      <c r="AP490" s="243"/>
      <c r="AQ490" s="243"/>
      <c r="AR490" s="243"/>
      <c r="AS490" s="243"/>
      <c r="AT490" s="243"/>
      <c r="AU490" s="243"/>
      <c r="AV490" s="243"/>
      <c r="AW490" s="243"/>
      <c r="AX490" s="243"/>
      <c r="AY490" s="243"/>
      <c r="AZ490" s="243"/>
      <c r="BA490" s="243"/>
      <c r="BB490" s="243"/>
      <c r="BC490" s="243"/>
      <c r="BD490" s="243"/>
      <c r="BE490" s="243"/>
      <c r="BF490" s="243"/>
      <c r="BG490" s="243"/>
      <c r="BH490" s="243"/>
      <c r="BI490" s="243"/>
      <c r="BJ490" s="243"/>
      <c r="BK490" s="243"/>
      <c r="BL490" s="243"/>
      <c r="BM490" s="243"/>
      <c r="BN490" s="243"/>
      <c r="BO490" s="243"/>
      <c r="BP490" s="243"/>
      <c r="BQ490" s="243"/>
      <c r="BR490" s="243"/>
      <c r="BS490" s="243"/>
    </row>
    <row r="491" spans="1:71" s="12" customFormat="1" ht="41.25" customHeight="1">
      <c r="A491" s="178" t="s">
        <v>80</v>
      </c>
      <c r="B491" s="178" t="str">
        <f ca="1">+UPPER(Tabla1321124[[#This Row],[DESCRIPCIÓN DE LA COMPRA O CONTRATACIÓN]])</f>
        <v>UNION UNIVERSAL SCH-80 DE 4"</v>
      </c>
      <c r="C491" s="39" t="s">
        <v>17</v>
      </c>
      <c r="D491" s="369">
        <v>3</v>
      </c>
      <c r="E491" s="369">
        <v>3</v>
      </c>
      <c r="F491" s="369">
        <v>3</v>
      </c>
      <c r="G491" s="369">
        <v>3</v>
      </c>
      <c r="H491" s="240">
        <f>SUM(Tabla1321124[[#This Row],[PRIMER TRIMESTRE]:[CUARTO TRIMESTRE]])</f>
        <v>12</v>
      </c>
      <c r="I491" s="17">
        <v>550</v>
      </c>
      <c r="J491" s="17">
        <f>+Tabla1321124[[#This Row],[CANTIDAD TOTAL]]*Tabla1321124[[#This Row],[PRECIO UNITARIO ESTIMADO]]</f>
        <v>6600</v>
      </c>
      <c r="K491" s="175"/>
      <c r="L491" s="16" t="s">
        <v>18</v>
      </c>
      <c r="M491" s="16" t="s">
        <v>22</v>
      </c>
      <c r="N491" s="16"/>
      <c r="O491" s="243"/>
      <c r="P491" s="243"/>
      <c r="Q491" s="243"/>
      <c r="R491" s="243"/>
      <c r="S491" s="243"/>
      <c r="T491" s="243"/>
      <c r="U491" s="243"/>
      <c r="V491" s="243"/>
      <c r="W491" s="243"/>
      <c r="X491" s="243"/>
      <c r="Y491" s="243"/>
      <c r="Z491" s="243"/>
      <c r="AA491" s="243"/>
      <c r="AB491" s="243"/>
      <c r="AC491" s="243"/>
      <c r="AD491" s="243"/>
      <c r="AE491" s="243"/>
      <c r="AF491" s="243"/>
      <c r="AG491" s="243"/>
      <c r="AH491" s="243"/>
      <c r="AI491" s="243"/>
      <c r="AJ491" s="243"/>
      <c r="AK491" s="243"/>
      <c r="AL491" s="243"/>
      <c r="AM491" s="243"/>
      <c r="AN491" s="243"/>
      <c r="AO491" s="243"/>
      <c r="AP491" s="243"/>
      <c r="AQ491" s="243"/>
      <c r="AR491" s="243"/>
      <c r="AS491" s="243"/>
      <c r="AT491" s="243"/>
      <c r="AU491" s="243"/>
      <c r="AV491" s="243"/>
      <c r="AW491" s="243"/>
      <c r="AX491" s="243"/>
      <c r="AY491" s="243"/>
      <c r="AZ491" s="243"/>
      <c r="BA491" s="243"/>
      <c r="BB491" s="243"/>
      <c r="BC491" s="243"/>
      <c r="BD491" s="243"/>
      <c r="BE491" s="243"/>
      <c r="BF491" s="243"/>
      <c r="BG491" s="243"/>
      <c r="BH491" s="243"/>
      <c r="BI491" s="243"/>
      <c r="BJ491" s="243"/>
      <c r="BK491" s="243"/>
      <c r="BL491" s="243"/>
      <c r="BM491" s="243"/>
      <c r="BN491" s="243"/>
      <c r="BO491" s="243"/>
      <c r="BP491" s="243"/>
      <c r="BQ491" s="243"/>
      <c r="BR491" s="243"/>
      <c r="BS491" s="243"/>
    </row>
    <row r="492" spans="1:71" s="12" customFormat="1" ht="41.25" customHeight="1">
      <c r="A492" s="178" t="s">
        <v>80</v>
      </c>
      <c r="B492" s="178" t="str">
        <f ca="1">+UPPER(Tabla1321124[[#This Row],[DESCRIPCIÓN DE LA COMPRA O CONTRATACIÓN]])</f>
        <v>SILICON</v>
      </c>
      <c r="C492" s="39" t="s">
        <v>17</v>
      </c>
      <c r="D492" s="236">
        <f>25+14</f>
        <v>39</v>
      </c>
      <c r="E492" s="210">
        <f>25+14</f>
        <v>39</v>
      </c>
      <c r="F492" s="236">
        <f>25+10</f>
        <v>35</v>
      </c>
      <c r="G492" s="236">
        <f>25+10</f>
        <v>35</v>
      </c>
      <c r="H492" s="240">
        <f>SUM(Tabla1321124[[#This Row],[PRIMER TRIMESTRE]:[CUARTO TRIMESTRE]])</f>
        <v>148</v>
      </c>
      <c r="I492" s="17">
        <v>210</v>
      </c>
      <c r="J492" s="17">
        <f>+Tabla1321124[[#This Row],[CANTIDAD TOTAL]]*Tabla1321124[[#This Row],[PRECIO UNITARIO ESTIMADO]]</f>
        <v>31080</v>
      </c>
      <c r="K492" s="17"/>
      <c r="L492" s="16" t="s">
        <v>18</v>
      </c>
      <c r="M492" s="16" t="s">
        <v>22</v>
      </c>
      <c r="N492" s="16" t="s">
        <v>418</v>
      </c>
      <c r="O492" s="243"/>
      <c r="P492" s="243"/>
      <c r="Q492" s="243"/>
      <c r="R492" s="243"/>
      <c r="S492" s="243"/>
      <c r="T492" s="243"/>
      <c r="U492" s="243"/>
      <c r="V492" s="243"/>
      <c r="W492" s="243"/>
      <c r="X492" s="243"/>
      <c r="Y492" s="243"/>
      <c r="Z492" s="243"/>
      <c r="AA492" s="243"/>
      <c r="AB492" s="243"/>
      <c r="AC492" s="243"/>
      <c r="AD492" s="243"/>
      <c r="AE492" s="243"/>
      <c r="AF492" s="243"/>
      <c r="AG492" s="243"/>
      <c r="AH492" s="243"/>
      <c r="AI492" s="243"/>
      <c r="AJ492" s="243"/>
      <c r="AK492" s="243"/>
      <c r="AL492" s="243"/>
      <c r="AM492" s="243"/>
      <c r="AN492" s="243"/>
      <c r="AO492" s="243"/>
      <c r="AP492" s="243"/>
      <c r="AQ492" s="243"/>
      <c r="AR492" s="243"/>
      <c r="AS492" s="243"/>
      <c r="AT492" s="243"/>
      <c r="AU492" s="243"/>
      <c r="AV492" s="243"/>
      <c r="AW492" s="243"/>
      <c r="AX492" s="243"/>
      <c r="AY492" s="243"/>
      <c r="AZ492" s="243"/>
      <c r="BA492" s="243"/>
      <c r="BB492" s="243"/>
      <c r="BC492" s="243"/>
      <c r="BD492" s="243"/>
      <c r="BE492" s="243"/>
      <c r="BF492" s="243"/>
      <c r="BG492" s="243"/>
      <c r="BH492" s="243"/>
      <c r="BI492" s="243"/>
      <c r="BJ492" s="243"/>
      <c r="BK492" s="243"/>
      <c r="BL492" s="243"/>
      <c r="BM492" s="243"/>
      <c r="BN492" s="243"/>
      <c r="BO492" s="243"/>
      <c r="BP492" s="243"/>
      <c r="BQ492" s="243"/>
      <c r="BR492" s="243"/>
      <c r="BS492" s="243"/>
    </row>
    <row r="493" spans="1:71" s="12" customFormat="1" ht="41.25" customHeight="1">
      <c r="A493" s="178" t="s">
        <v>80</v>
      </c>
      <c r="B493" s="178" t="str">
        <f ca="1">+UPPER(Tabla1321124[[#This Row],[DESCRIPCIÓN DE LA COMPRA O CONTRATACIÓN]])</f>
        <v xml:space="preserve">JUNTAS DRESSER </v>
      </c>
      <c r="C493" s="39" t="s">
        <v>17</v>
      </c>
      <c r="D493" s="370">
        <v>70</v>
      </c>
      <c r="E493" s="370">
        <v>70</v>
      </c>
      <c r="F493" s="370">
        <v>70</v>
      </c>
      <c r="G493" s="370">
        <v>70</v>
      </c>
      <c r="H493" s="240">
        <f>SUM(Tabla1321124[[#This Row],[PRIMER TRIMESTRE]:[CUARTO TRIMESTRE]])</f>
        <v>280</v>
      </c>
      <c r="I493" s="17">
        <v>731.35</v>
      </c>
      <c r="J493" s="17">
        <f>+Tabla1321124[[#This Row],[CANTIDAD TOTAL]]*Tabla1321124[[#This Row],[PRECIO UNITARIO ESTIMADO]]</f>
        <v>204778</v>
      </c>
      <c r="K493" s="175"/>
      <c r="L493" s="16" t="s">
        <v>18</v>
      </c>
      <c r="M493" s="16" t="s">
        <v>22</v>
      </c>
      <c r="N493" s="16" t="s">
        <v>418</v>
      </c>
      <c r="O493" s="243"/>
      <c r="P493" s="243"/>
      <c r="Q493" s="243"/>
      <c r="R493" s="243"/>
      <c r="S493" s="243"/>
      <c r="T493" s="243"/>
      <c r="U493" s="243"/>
      <c r="V493" s="243"/>
      <c r="W493" s="243"/>
      <c r="X493" s="243"/>
      <c r="Y493" s="243"/>
      <c r="Z493" s="243"/>
      <c r="AA493" s="243"/>
      <c r="AB493" s="243"/>
      <c r="AC493" s="243"/>
      <c r="AD493" s="243"/>
      <c r="AE493" s="243"/>
      <c r="AF493" s="243"/>
      <c r="AG493" s="243"/>
      <c r="AH493" s="243"/>
      <c r="AI493" s="243"/>
      <c r="AJ493" s="243"/>
      <c r="AK493" s="243"/>
      <c r="AL493" s="243"/>
      <c r="AM493" s="243"/>
      <c r="AN493" s="243"/>
      <c r="AO493" s="243"/>
      <c r="AP493" s="243"/>
      <c r="AQ493" s="243"/>
      <c r="AR493" s="243"/>
      <c r="AS493" s="243"/>
      <c r="AT493" s="243"/>
      <c r="AU493" s="243"/>
      <c r="AV493" s="243"/>
      <c r="AW493" s="243"/>
      <c r="AX493" s="243"/>
      <c r="AY493" s="243"/>
      <c r="AZ493" s="243"/>
      <c r="BA493" s="243"/>
      <c r="BB493" s="243"/>
      <c r="BC493" s="243"/>
      <c r="BD493" s="243"/>
      <c r="BE493" s="243"/>
      <c r="BF493" s="243"/>
      <c r="BG493" s="243"/>
      <c r="BH493" s="243"/>
      <c r="BI493" s="243"/>
      <c r="BJ493" s="243"/>
      <c r="BK493" s="243"/>
      <c r="BL493" s="243"/>
      <c r="BM493" s="243"/>
      <c r="BN493" s="243"/>
      <c r="BO493" s="243"/>
      <c r="BP493" s="243"/>
      <c r="BQ493" s="243"/>
      <c r="BR493" s="243"/>
      <c r="BS493" s="243"/>
    </row>
    <row r="494" spans="1:71" s="12" customFormat="1" ht="41.25" customHeight="1">
      <c r="A494" s="178" t="s">
        <v>80</v>
      </c>
      <c r="B494" s="178" t="str">
        <f ca="1">+UPPER(Tabla1321124[[#This Row],[DESCRIPCIÓN DE LA COMPRA O CONTRATACIÓN]])</f>
        <v>JUNTAS TIPO DRESSER 2" ACERO</v>
      </c>
      <c r="C494" s="39" t="s">
        <v>17</v>
      </c>
      <c r="D494" s="352">
        <v>500</v>
      </c>
      <c r="E494" s="352">
        <v>600</v>
      </c>
      <c r="F494" s="352">
        <v>600</v>
      </c>
      <c r="G494" s="352">
        <v>500</v>
      </c>
      <c r="H494" s="240">
        <f>SUM(Tabla1321124[[#This Row],[PRIMER TRIMESTRE]:[CUARTO TRIMESTRE]])</f>
        <v>2200</v>
      </c>
      <c r="I494" s="17">
        <v>731.35</v>
      </c>
      <c r="J494" s="17">
        <f>+Tabla1321124[[#This Row],[CANTIDAD TOTAL]]*Tabla1321124[[#This Row],[PRECIO UNITARIO ESTIMADO]]</f>
        <v>1608970</v>
      </c>
      <c r="K494" s="17"/>
      <c r="L494" s="16" t="s">
        <v>18</v>
      </c>
      <c r="M494" s="16" t="s">
        <v>22</v>
      </c>
      <c r="N494" s="16" t="s">
        <v>418</v>
      </c>
      <c r="O494" s="243"/>
      <c r="P494" s="243"/>
      <c r="Q494" s="243"/>
      <c r="R494" s="243"/>
      <c r="S494" s="243"/>
      <c r="T494" s="243"/>
      <c r="U494" s="243"/>
      <c r="V494" s="243"/>
      <c r="W494" s="243"/>
      <c r="X494" s="243"/>
      <c r="Y494" s="243"/>
      <c r="Z494" s="243"/>
      <c r="AA494" s="243"/>
      <c r="AB494" s="243"/>
      <c r="AC494" s="243"/>
      <c r="AD494" s="243"/>
      <c r="AE494" s="243"/>
      <c r="AF494" s="243"/>
      <c r="AG494" s="243"/>
      <c r="AH494" s="243"/>
      <c r="AI494" s="243"/>
      <c r="AJ494" s="243"/>
      <c r="AK494" s="243"/>
      <c r="AL494" s="243"/>
      <c r="AM494" s="243"/>
      <c r="AN494" s="243"/>
      <c r="AO494" s="243"/>
      <c r="AP494" s="243"/>
      <c r="AQ494" s="243"/>
      <c r="AR494" s="243"/>
      <c r="AS494" s="243"/>
      <c r="AT494" s="243"/>
      <c r="AU494" s="243"/>
      <c r="AV494" s="243"/>
      <c r="AW494" s="243"/>
      <c r="AX494" s="243"/>
      <c r="AY494" s="243"/>
      <c r="AZ494" s="243"/>
      <c r="BA494" s="243"/>
      <c r="BB494" s="243"/>
      <c r="BC494" s="243"/>
      <c r="BD494" s="243"/>
      <c r="BE494" s="243"/>
      <c r="BF494" s="243"/>
      <c r="BG494" s="243"/>
      <c r="BH494" s="243"/>
      <c r="BI494" s="243"/>
      <c r="BJ494" s="243"/>
      <c r="BK494" s="243"/>
      <c r="BL494" s="243"/>
      <c r="BM494" s="243"/>
      <c r="BN494" s="243"/>
      <c r="BO494" s="243"/>
      <c r="BP494" s="243"/>
      <c r="BQ494" s="243"/>
      <c r="BR494" s="243"/>
      <c r="BS494" s="243"/>
    </row>
    <row r="495" spans="1:71" s="12" customFormat="1" ht="41.25" customHeight="1">
      <c r="A495" s="178" t="s">
        <v>80</v>
      </c>
      <c r="B495" s="178" t="str">
        <f ca="1">+UPPER(Tabla1321124[[#This Row],[DESCRIPCIÓN DE LA COMPRA O CONTRATACIÓN]])</f>
        <v>JUNTAS  TIPO DRESSER 3" ACERO</v>
      </c>
      <c r="C495" s="39" t="s">
        <v>17</v>
      </c>
      <c r="D495" s="352">
        <v>500</v>
      </c>
      <c r="E495" s="352">
        <v>500</v>
      </c>
      <c r="F495" s="352">
        <v>500</v>
      </c>
      <c r="G495" s="352">
        <v>500</v>
      </c>
      <c r="H495" s="240">
        <f>SUM(Tabla1321124[[#This Row],[PRIMER TRIMESTRE]:[CUARTO TRIMESTRE]])</f>
        <v>2000</v>
      </c>
      <c r="I495" s="17">
        <v>1013.28</v>
      </c>
      <c r="J495" s="17">
        <f>+Tabla1321124[[#This Row],[CANTIDAD TOTAL]]*Tabla1321124[[#This Row],[PRECIO UNITARIO ESTIMADO]]</f>
        <v>2026560</v>
      </c>
      <c r="K495" s="17"/>
      <c r="L495" s="16" t="s">
        <v>18</v>
      </c>
      <c r="M495" s="16" t="s">
        <v>22</v>
      </c>
      <c r="N495" s="16" t="s">
        <v>418</v>
      </c>
      <c r="O495" s="243"/>
      <c r="P495" s="243"/>
      <c r="Q495" s="243"/>
      <c r="R495" s="243"/>
      <c r="S495" s="243"/>
      <c r="T495" s="243"/>
      <c r="U495" s="243"/>
      <c r="V495" s="243"/>
      <c r="W495" s="243"/>
      <c r="X495" s="243"/>
      <c r="Y495" s="243"/>
      <c r="Z495" s="243"/>
      <c r="AA495" s="243"/>
      <c r="AB495" s="243"/>
      <c r="AC495" s="243"/>
      <c r="AD495" s="243"/>
      <c r="AE495" s="243"/>
      <c r="AF495" s="243"/>
      <c r="AG495" s="243"/>
      <c r="AH495" s="243"/>
      <c r="AI495" s="243"/>
      <c r="AJ495" s="243"/>
      <c r="AK495" s="243"/>
      <c r="AL495" s="243"/>
      <c r="AM495" s="243"/>
      <c r="AN495" s="243"/>
      <c r="AO495" s="243"/>
      <c r="AP495" s="243"/>
      <c r="AQ495" s="243"/>
      <c r="AR495" s="243"/>
      <c r="AS495" s="243"/>
      <c r="AT495" s="243"/>
      <c r="AU495" s="243"/>
      <c r="AV495" s="243"/>
      <c r="AW495" s="243"/>
      <c r="AX495" s="243"/>
      <c r="AY495" s="243"/>
      <c r="AZ495" s="243"/>
      <c r="BA495" s="243"/>
      <c r="BB495" s="243"/>
      <c r="BC495" s="243"/>
      <c r="BD495" s="243"/>
      <c r="BE495" s="243"/>
      <c r="BF495" s="243"/>
      <c r="BG495" s="243"/>
      <c r="BH495" s="243"/>
      <c r="BI495" s="243"/>
      <c r="BJ495" s="243"/>
      <c r="BK495" s="243"/>
      <c r="BL495" s="243"/>
      <c r="BM495" s="243"/>
      <c r="BN495" s="243"/>
      <c r="BO495" s="243"/>
      <c r="BP495" s="243"/>
      <c r="BQ495" s="243"/>
      <c r="BR495" s="243"/>
      <c r="BS495" s="243"/>
    </row>
    <row r="496" spans="1:71" s="12" customFormat="1" ht="41.25" customHeight="1">
      <c r="A496" s="178" t="s">
        <v>80</v>
      </c>
      <c r="B496" s="178" t="str">
        <f ca="1">+UPPER(Tabla1321124[[#This Row],[DESCRIPCIÓN DE LA COMPRA O CONTRATACIÓN]])</f>
        <v>JUNTAS  TIPO DRESSER 4" ACERO</v>
      </c>
      <c r="C496" s="39" t="s">
        <v>17</v>
      </c>
      <c r="D496" s="352">
        <v>500</v>
      </c>
      <c r="E496" s="352">
        <v>500</v>
      </c>
      <c r="F496" s="352">
        <v>500</v>
      </c>
      <c r="G496" s="352">
        <v>500</v>
      </c>
      <c r="H496" s="240">
        <f>SUM(Tabla1321124[[#This Row],[PRIMER TRIMESTRE]:[CUARTO TRIMESTRE]])</f>
        <v>2000</v>
      </c>
      <c r="I496" s="17">
        <v>1196.97</v>
      </c>
      <c r="J496" s="17">
        <f>+Tabla1321124[[#This Row],[CANTIDAD TOTAL]]*Tabla1321124[[#This Row],[PRECIO UNITARIO ESTIMADO]]</f>
        <v>2393940</v>
      </c>
      <c r="K496" s="17"/>
      <c r="L496" s="16" t="s">
        <v>18</v>
      </c>
      <c r="M496" s="16" t="s">
        <v>22</v>
      </c>
      <c r="N496" s="16" t="s">
        <v>418</v>
      </c>
      <c r="O496" s="243"/>
      <c r="P496" s="243"/>
      <c r="Q496" s="243"/>
      <c r="R496" s="243"/>
      <c r="S496" s="243"/>
      <c r="T496" s="243"/>
      <c r="U496" s="243"/>
      <c r="V496" s="243"/>
      <c r="W496" s="243"/>
      <c r="X496" s="243"/>
      <c r="Y496" s="243"/>
      <c r="Z496" s="243"/>
      <c r="AA496" s="243"/>
      <c r="AB496" s="243"/>
      <c r="AC496" s="243"/>
      <c r="AD496" s="243"/>
      <c r="AE496" s="243"/>
      <c r="AF496" s="243"/>
      <c r="AG496" s="243"/>
      <c r="AH496" s="243"/>
      <c r="AI496" s="243"/>
      <c r="AJ496" s="243"/>
      <c r="AK496" s="243"/>
      <c r="AL496" s="243"/>
      <c r="AM496" s="243"/>
      <c r="AN496" s="243"/>
      <c r="AO496" s="243"/>
      <c r="AP496" s="243"/>
      <c r="AQ496" s="243"/>
      <c r="AR496" s="243"/>
      <c r="AS496" s="243"/>
      <c r="AT496" s="243"/>
      <c r="AU496" s="243"/>
      <c r="AV496" s="243"/>
      <c r="AW496" s="243"/>
      <c r="AX496" s="243"/>
      <c r="AY496" s="243"/>
      <c r="AZ496" s="243"/>
      <c r="BA496" s="243"/>
      <c r="BB496" s="243"/>
      <c r="BC496" s="243"/>
      <c r="BD496" s="243"/>
      <c r="BE496" s="243"/>
      <c r="BF496" s="243"/>
      <c r="BG496" s="243"/>
      <c r="BH496" s="243"/>
      <c r="BI496" s="243"/>
      <c r="BJ496" s="243"/>
      <c r="BK496" s="243"/>
      <c r="BL496" s="243"/>
      <c r="BM496" s="243"/>
      <c r="BN496" s="243"/>
      <c r="BO496" s="243"/>
      <c r="BP496" s="243"/>
      <c r="BQ496" s="243"/>
      <c r="BR496" s="243"/>
      <c r="BS496" s="243"/>
    </row>
    <row r="497" spans="1:71" s="12" customFormat="1" ht="41.25" customHeight="1">
      <c r="A497" s="178" t="s">
        <v>80</v>
      </c>
      <c r="B497" s="178" t="str">
        <f ca="1">+UPPER(Tabla1321124[[#This Row],[DESCRIPCIÓN DE LA COMPRA O CONTRATACIÓN]])</f>
        <v>JUNTAS  TIPO DRESSER 6" ACERO</v>
      </c>
      <c r="C497" s="39" t="s">
        <v>17</v>
      </c>
      <c r="D497" s="352">
        <v>400</v>
      </c>
      <c r="E497" s="352">
        <v>400</v>
      </c>
      <c r="F497" s="352">
        <v>400</v>
      </c>
      <c r="G497" s="352">
        <v>400</v>
      </c>
      <c r="H497" s="240">
        <f>SUM(Tabla1321124[[#This Row],[PRIMER TRIMESTRE]:[CUARTO TRIMESTRE]])</f>
        <v>1600</v>
      </c>
      <c r="I497" s="17">
        <v>1882.41</v>
      </c>
      <c r="J497" s="17">
        <f>+Tabla1321124[[#This Row],[CANTIDAD TOTAL]]*Tabla1321124[[#This Row],[PRECIO UNITARIO ESTIMADO]]</f>
        <v>3011856</v>
      </c>
      <c r="K497" s="17"/>
      <c r="L497" s="16" t="s">
        <v>18</v>
      </c>
      <c r="M497" s="16" t="s">
        <v>22</v>
      </c>
      <c r="N497" s="16" t="s">
        <v>418</v>
      </c>
      <c r="O497" s="243"/>
      <c r="P497" s="243"/>
      <c r="Q497" s="243"/>
      <c r="R497" s="243"/>
      <c r="S497" s="243"/>
      <c r="T497" s="243"/>
      <c r="U497" s="243"/>
      <c r="V497" s="243"/>
      <c r="W497" s="243"/>
      <c r="X497" s="243"/>
      <c r="Y497" s="243"/>
      <c r="Z497" s="243"/>
      <c r="AA497" s="243"/>
      <c r="AB497" s="243"/>
      <c r="AC497" s="243"/>
      <c r="AD497" s="243"/>
      <c r="AE497" s="243"/>
      <c r="AF497" s="243"/>
      <c r="AG497" s="243"/>
      <c r="AH497" s="243"/>
      <c r="AI497" s="243"/>
      <c r="AJ497" s="243"/>
      <c r="AK497" s="243"/>
      <c r="AL497" s="243"/>
      <c r="AM497" s="243"/>
      <c r="AN497" s="243"/>
      <c r="AO497" s="243"/>
      <c r="AP497" s="243"/>
      <c r="AQ497" s="243"/>
      <c r="AR497" s="243"/>
      <c r="AS497" s="243"/>
      <c r="AT497" s="243"/>
      <c r="AU497" s="243"/>
      <c r="AV497" s="243"/>
      <c r="AW497" s="243"/>
      <c r="AX497" s="243"/>
      <c r="AY497" s="243"/>
      <c r="AZ497" s="243"/>
      <c r="BA497" s="243"/>
      <c r="BB497" s="243"/>
      <c r="BC497" s="243"/>
      <c r="BD497" s="243"/>
      <c r="BE497" s="243"/>
      <c r="BF497" s="243"/>
      <c r="BG497" s="243"/>
      <c r="BH497" s="243"/>
      <c r="BI497" s="243"/>
      <c r="BJ497" s="243"/>
      <c r="BK497" s="243"/>
      <c r="BL497" s="243"/>
      <c r="BM497" s="243"/>
      <c r="BN497" s="243"/>
      <c r="BO497" s="243"/>
      <c r="BP497" s="243"/>
      <c r="BQ497" s="243"/>
      <c r="BR497" s="243"/>
      <c r="BS497" s="243"/>
    </row>
    <row r="498" spans="1:71" s="12" customFormat="1" ht="41.25" customHeight="1">
      <c r="A498" s="178" t="s">
        <v>80</v>
      </c>
      <c r="B498" s="178" t="str">
        <f ca="1">+UPPER(Tabla1321124[[#This Row],[DESCRIPCIÓN DE LA COMPRA O CONTRATACIÓN]])</f>
        <v>JUNTAS  TIPO DRESSER 8" ACERO</v>
      </c>
      <c r="C498" s="39" t="s">
        <v>17</v>
      </c>
      <c r="D498" s="352">
        <v>500</v>
      </c>
      <c r="E498" s="352">
        <v>500</v>
      </c>
      <c r="F498" s="352">
        <v>500</v>
      </c>
      <c r="G498" s="352">
        <v>500</v>
      </c>
      <c r="H498" s="240">
        <f>SUM(Tabla1321124[[#This Row],[PRIMER TRIMESTRE]:[CUARTO TRIMESTRE]])</f>
        <v>2000</v>
      </c>
      <c r="I498" s="17">
        <v>2110.4699999999998</v>
      </c>
      <c r="J498" s="17">
        <f>+Tabla1321124[[#This Row],[CANTIDAD TOTAL]]*Tabla1321124[[#This Row],[PRECIO UNITARIO ESTIMADO]]</f>
        <v>4220940</v>
      </c>
      <c r="K498" s="17"/>
      <c r="L498" s="16" t="s">
        <v>18</v>
      </c>
      <c r="M498" s="16" t="s">
        <v>22</v>
      </c>
      <c r="N498" s="16" t="s">
        <v>418</v>
      </c>
      <c r="O498" s="243"/>
      <c r="P498" s="243"/>
      <c r="Q498" s="243"/>
      <c r="R498" s="243"/>
      <c r="S498" s="243"/>
      <c r="T498" s="243"/>
      <c r="U498" s="243"/>
      <c r="V498" s="243"/>
      <c r="W498" s="243"/>
      <c r="X498" s="243"/>
      <c r="Y498" s="243"/>
      <c r="Z498" s="243"/>
      <c r="AA498" s="243"/>
      <c r="AB498" s="243"/>
      <c r="AC498" s="243"/>
      <c r="AD498" s="243"/>
      <c r="AE498" s="243"/>
      <c r="AF498" s="243"/>
      <c r="AG498" s="243"/>
      <c r="AH498" s="243"/>
      <c r="AI498" s="243"/>
      <c r="AJ498" s="243"/>
      <c r="AK498" s="243"/>
      <c r="AL498" s="243"/>
      <c r="AM498" s="243"/>
      <c r="AN498" s="243"/>
      <c r="AO498" s="243"/>
      <c r="AP498" s="243"/>
      <c r="AQ498" s="243"/>
      <c r="AR498" s="243"/>
      <c r="AS498" s="243"/>
      <c r="AT498" s="243"/>
      <c r="AU498" s="243"/>
      <c r="AV498" s="243"/>
      <c r="AW498" s="243"/>
      <c r="AX498" s="243"/>
      <c r="AY498" s="243"/>
      <c r="AZ498" s="243"/>
      <c r="BA498" s="243"/>
      <c r="BB498" s="243"/>
      <c r="BC498" s="243"/>
      <c r="BD498" s="243"/>
      <c r="BE498" s="243"/>
      <c r="BF498" s="243"/>
      <c r="BG498" s="243"/>
      <c r="BH498" s="243"/>
      <c r="BI498" s="243"/>
      <c r="BJ498" s="243"/>
      <c r="BK498" s="243"/>
      <c r="BL498" s="243"/>
      <c r="BM498" s="243"/>
      <c r="BN498" s="243"/>
      <c r="BO498" s="243"/>
      <c r="BP498" s="243"/>
      <c r="BQ498" s="243"/>
      <c r="BR498" s="243"/>
      <c r="BS498" s="243"/>
    </row>
    <row r="499" spans="1:71" s="12" customFormat="1" ht="41.25" customHeight="1">
      <c r="A499" s="178" t="s">
        <v>80</v>
      </c>
      <c r="B499" s="178" t="str">
        <f ca="1">+UPPER(Tabla1321124[[#This Row],[DESCRIPCIÓN DE LA COMPRA O CONTRATACIÓN]])</f>
        <v>JUNTAS  TIPO DRESSER 10" ACERO</v>
      </c>
      <c r="C499" s="39" t="s">
        <v>17</v>
      </c>
      <c r="D499" s="352">
        <v>100</v>
      </c>
      <c r="E499" s="352">
        <v>100</v>
      </c>
      <c r="F499" s="352">
        <v>100</v>
      </c>
      <c r="G499" s="352">
        <v>100</v>
      </c>
      <c r="H499" s="240">
        <f>SUM(Tabla1321124[[#This Row],[PRIMER TRIMESTRE]:[CUARTO TRIMESTRE]])</f>
        <v>400</v>
      </c>
      <c r="I499" s="17">
        <v>2920.5</v>
      </c>
      <c r="J499" s="17">
        <f>+Tabla1321124[[#This Row],[CANTIDAD TOTAL]]*Tabla1321124[[#This Row],[PRECIO UNITARIO ESTIMADO]]</f>
        <v>1168200</v>
      </c>
      <c r="K499" s="17"/>
      <c r="L499" s="16" t="s">
        <v>18</v>
      </c>
      <c r="M499" s="16" t="s">
        <v>22</v>
      </c>
      <c r="N499" s="16" t="s">
        <v>418</v>
      </c>
      <c r="O499" s="243"/>
      <c r="P499" s="243"/>
      <c r="Q499" s="243"/>
      <c r="R499" s="243"/>
      <c r="S499" s="243"/>
      <c r="T499" s="243"/>
      <c r="U499" s="243"/>
      <c r="V499" s="243"/>
      <c r="W499" s="243"/>
      <c r="X499" s="243"/>
      <c r="Y499" s="243"/>
      <c r="Z499" s="243"/>
      <c r="AA499" s="243"/>
      <c r="AB499" s="243"/>
      <c r="AC499" s="243"/>
      <c r="AD499" s="243"/>
      <c r="AE499" s="243"/>
      <c r="AF499" s="243"/>
      <c r="AG499" s="243"/>
      <c r="AH499" s="243"/>
      <c r="AI499" s="243"/>
      <c r="AJ499" s="243"/>
      <c r="AK499" s="243"/>
      <c r="AL499" s="243"/>
      <c r="AM499" s="243"/>
      <c r="AN499" s="243"/>
      <c r="AO499" s="243"/>
      <c r="AP499" s="243"/>
      <c r="AQ499" s="243"/>
      <c r="AR499" s="243"/>
      <c r="AS499" s="243"/>
      <c r="AT499" s="243"/>
      <c r="AU499" s="243"/>
      <c r="AV499" s="243"/>
      <c r="AW499" s="243"/>
      <c r="AX499" s="243"/>
      <c r="AY499" s="243"/>
      <c r="AZ499" s="243"/>
      <c r="BA499" s="243"/>
      <c r="BB499" s="243"/>
      <c r="BC499" s="243"/>
      <c r="BD499" s="243"/>
      <c r="BE499" s="243"/>
      <c r="BF499" s="243"/>
      <c r="BG499" s="243"/>
      <c r="BH499" s="243"/>
      <c r="BI499" s="243"/>
      <c r="BJ499" s="243"/>
      <c r="BK499" s="243"/>
      <c r="BL499" s="243"/>
      <c r="BM499" s="243"/>
      <c r="BN499" s="243"/>
      <c r="BO499" s="243"/>
      <c r="BP499" s="243"/>
      <c r="BQ499" s="243"/>
      <c r="BR499" s="243"/>
      <c r="BS499" s="243"/>
    </row>
    <row r="500" spans="1:71" s="12" customFormat="1" ht="41.25" customHeight="1">
      <c r="A500" s="178" t="s">
        <v>80</v>
      </c>
      <c r="B500" s="178" t="str">
        <f ca="1">+UPPER(Tabla1321124[[#This Row],[DESCRIPCIÓN DE LA COMPRA O CONTRATACIÓN]])</f>
        <v>JUNTAS  TIPO DRESSER 12" ACERO</v>
      </c>
      <c r="C500" s="39" t="s">
        <v>17</v>
      </c>
      <c r="D500" s="352">
        <v>200</v>
      </c>
      <c r="E500" s="352">
        <v>200</v>
      </c>
      <c r="F500" s="352">
        <v>200</v>
      </c>
      <c r="G500" s="352">
        <v>200</v>
      </c>
      <c r="H500" s="240">
        <f>SUM(Tabla1321124[[#This Row],[PRIMER TRIMESTRE]:[CUARTO TRIMESTRE]])</f>
        <v>800</v>
      </c>
      <c r="I500" s="17">
        <v>2919.76</v>
      </c>
      <c r="J500" s="17">
        <f>+Tabla1321124[[#This Row],[CANTIDAD TOTAL]]*Tabla1321124[[#This Row],[PRECIO UNITARIO ESTIMADO]]</f>
        <v>2335808</v>
      </c>
      <c r="K500" s="17"/>
      <c r="L500" s="16" t="s">
        <v>18</v>
      </c>
      <c r="M500" s="16" t="s">
        <v>22</v>
      </c>
      <c r="N500" s="16" t="s">
        <v>418</v>
      </c>
      <c r="O500" s="243"/>
      <c r="P500" s="243"/>
      <c r="Q500" s="243"/>
      <c r="R500" s="243"/>
      <c r="S500" s="243"/>
      <c r="T500" s="243"/>
      <c r="U500" s="243"/>
      <c r="V500" s="243"/>
      <c r="W500" s="243"/>
      <c r="X500" s="243"/>
      <c r="Y500" s="243"/>
      <c r="Z500" s="243"/>
      <c r="AA500" s="243"/>
      <c r="AB500" s="243"/>
      <c r="AC500" s="243"/>
      <c r="AD500" s="243"/>
      <c r="AE500" s="243"/>
      <c r="AF500" s="243"/>
      <c r="AG500" s="243"/>
      <c r="AH500" s="243"/>
      <c r="AI500" s="243"/>
      <c r="AJ500" s="243"/>
      <c r="AK500" s="243"/>
      <c r="AL500" s="243"/>
      <c r="AM500" s="243"/>
      <c r="AN500" s="243"/>
      <c r="AO500" s="243"/>
      <c r="AP500" s="243"/>
      <c r="AQ500" s="243"/>
      <c r="AR500" s="243"/>
      <c r="AS500" s="243"/>
      <c r="AT500" s="243"/>
      <c r="AU500" s="243"/>
      <c r="AV500" s="243"/>
      <c r="AW500" s="243"/>
      <c r="AX500" s="243"/>
      <c r="AY500" s="243"/>
      <c r="AZ500" s="243"/>
      <c r="BA500" s="243"/>
      <c r="BB500" s="243"/>
      <c r="BC500" s="243"/>
      <c r="BD500" s="243"/>
      <c r="BE500" s="243"/>
      <c r="BF500" s="243"/>
      <c r="BG500" s="243"/>
      <c r="BH500" s="243"/>
      <c r="BI500" s="243"/>
      <c r="BJ500" s="243"/>
      <c r="BK500" s="243"/>
      <c r="BL500" s="243"/>
      <c r="BM500" s="243"/>
      <c r="BN500" s="243"/>
      <c r="BO500" s="243"/>
      <c r="BP500" s="243"/>
      <c r="BQ500" s="243"/>
      <c r="BR500" s="243"/>
      <c r="BS500" s="243"/>
    </row>
    <row r="501" spans="1:71" s="12" customFormat="1" ht="41.25" customHeight="1">
      <c r="A501" s="178" t="s">
        <v>80</v>
      </c>
      <c r="B501" s="178" t="str">
        <f ca="1">+UPPER(Tabla1321124[[#This Row],[DESCRIPCIÓN DE LA COMPRA O CONTRATACIÓN]])</f>
        <v>JUNTAS  TIPO DRESSER 16" ACERO</v>
      </c>
      <c r="C501" s="39" t="s">
        <v>17</v>
      </c>
      <c r="D501" s="352">
        <v>200</v>
      </c>
      <c r="E501" s="352">
        <v>200</v>
      </c>
      <c r="F501" s="352">
        <v>200</v>
      </c>
      <c r="G501" s="352">
        <v>200</v>
      </c>
      <c r="H501" s="240">
        <f>SUM(Tabla1321124[[#This Row],[PRIMER TRIMESTRE]:[CUARTO TRIMESTRE]])</f>
        <v>800</v>
      </c>
      <c r="I501" s="17">
        <v>5347.76</v>
      </c>
      <c r="J501" s="17">
        <f>+Tabla1321124[[#This Row],[CANTIDAD TOTAL]]*Tabla1321124[[#This Row],[PRECIO UNITARIO ESTIMADO]]</f>
        <v>4278208</v>
      </c>
      <c r="K501" s="17"/>
      <c r="L501" s="16" t="s">
        <v>18</v>
      </c>
      <c r="M501" s="16" t="s">
        <v>22</v>
      </c>
      <c r="N501" s="16" t="s">
        <v>418</v>
      </c>
      <c r="O501" s="243"/>
      <c r="P501" s="243"/>
      <c r="Q501" s="243"/>
      <c r="R501" s="243"/>
      <c r="S501" s="243"/>
      <c r="T501" s="243"/>
      <c r="U501" s="243"/>
      <c r="V501" s="243"/>
      <c r="W501" s="243"/>
      <c r="X501" s="243"/>
      <c r="Y501" s="243"/>
      <c r="Z501" s="243"/>
      <c r="AA501" s="243"/>
      <c r="AB501" s="243"/>
      <c r="AC501" s="243"/>
      <c r="AD501" s="243"/>
      <c r="AE501" s="243"/>
      <c r="AF501" s="243"/>
      <c r="AG501" s="243"/>
      <c r="AH501" s="243"/>
      <c r="AI501" s="243"/>
      <c r="AJ501" s="243"/>
      <c r="AK501" s="243"/>
      <c r="AL501" s="243"/>
      <c r="AM501" s="243"/>
      <c r="AN501" s="243"/>
      <c r="AO501" s="243"/>
      <c r="AP501" s="243"/>
      <c r="AQ501" s="243"/>
      <c r="AR501" s="243"/>
      <c r="AS501" s="243"/>
      <c r="AT501" s="243"/>
      <c r="AU501" s="243"/>
      <c r="AV501" s="243"/>
      <c r="AW501" s="243"/>
      <c r="AX501" s="243"/>
      <c r="AY501" s="243"/>
      <c r="AZ501" s="243"/>
      <c r="BA501" s="243"/>
      <c r="BB501" s="243"/>
      <c r="BC501" s="243"/>
      <c r="BD501" s="243"/>
      <c r="BE501" s="243"/>
      <c r="BF501" s="243"/>
      <c r="BG501" s="243"/>
      <c r="BH501" s="243"/>
      <c r="BI501" s="243"/>
      <c r="BJ501" s="243"/>
      <c r="BK501" s="243"/>
      <c r="BL501" s="243"/>
      <c r="BM501" s="243"/>
      <c r="BN501" s="243"/>
      <c r="BO501" s="243"/>
      <c r="BP501" s="243"/>
      <c r="BQ501" s="243"/>
      <c r="BR501" s="243"/>
      <c r="BS501" s="243"/>
    </row>
    <row r="502" spans="1:71" s="12" customFormat="1" ht="41.25" customHeight="1">
      <c r="A502" s="178" t="s">
        <v>80</v>
      </c>
      <c r="B502" s="178" t="str">
        <f ca="1">+UPPER(Tabla1321124[[#This Row],[DESCRIPCIÓN DE LA COMPRA O CONTRATACIÓN]])</f>
        <v>JUNTAS  TIPO DRESSER 20" ACERO</v>
      </c>
      <c r="C502" s="39" t="s">
        <v>17</v>
      </c>
      <c r="D502" s="352">
        <v>100</v>
      </c>
      <c r="E502" s="352">
        <v>100</v>
      </c>
      <c r="F502" s="352">
        <v>100</v>
      </c>
      <c r="G502" s="352">
        <v>100</v>
      </c>
      <c r="H502" s="240">
        <f>SUM(Tabla1321124[[#This Row],[PRIMER TRIMESTRE]:[CUARTO TRIMESTRE]])</f>
        <v>400</v>
      </c>
      <c r="I502" s="17">
        <v>9696.06</v>
      </c>
      <c r="J502" s="17">
        <f>+Tabla1321124[[#This Row],[CANTIDAD TOTAL]]*Tabla1321124[[#This Row],[PRECIO UNITARIO ESTIMADO]]</f>
        <v>3878424</v>
      </c>
      <c r="K502" s="17"/>
      <c r="L502" s="16" t="s">
        <v>18</v>
      </c>
      <c r="M502" s="16" t="s">
        <v>22</v>
      </c>
      <c r="N502" s="16" t="s">
        <v>418</v>
      </c>
      <c r="O502" s="243"/>
      <c r="P502" s="243"/>
      <c r="Q502" s="243"/>
      <c r="R502" s="243"/>
      <c r="S502" s="243"/>
      <c r="T502" s="243"/>
      <c r="U502" s="243"/>
      <c r="V502" s="243"/>
      <c r="W502" s="243"/>
      <c r="X502" s="243"/>
      <c r="Y502" s="243"/>
      <c r="Z502" s="243"/>
      <c r="AA502" s="243"/>
      <c r="AB502" s="243"/>
      <c r="AC502" s="243"/>
      <c r="AD502" s="243"/>
      <c r="AE502" s="243"/>
      <c r="AF502" s="243"/>
      <c r="AG502" s="243"/>
      <c r="AH502" s="243"/>
      <c r="AI502" s="243"/>
      <c r="AJ502" s="243"/>
      <c r="AK502" s="243"/>
      <c r="AL502" s="243"/>
      <c r="AM502" s="243"/>
      <c r="AN502" s="243"/>
      <c r="AO502" s="243"/>
      <c r="AP502" s="243"/>
      <c r="AQ502" s="243"/>
      <c r="AR502" s="243"/>
      <c r="AS502" s="243"/>
      <c r="AT502" s="243"/>
      <c r="AU502" s="243"/>
      <c r="AV502" s="243"/>
      <c r="AW502" s="243"/>
      <c r="AX502" s="243"/>
      <c r="AY502" s="243"/>
      <c r="AZ502" s="243"/>
      <c r="BA502" s="243"/>
      <c r="BB502" s="243"/>
      <c r="BC502" s="243"/>
      <c r="BD502" s="243"/>
      <c r="BE502" s="243"/>
      <c r="BF502" s="243"/>
      <c r="BG502" s="243"/>
      <c r="BH502" s="243"/>
      <c r="BI502" s="243"/>
      <c r="BJ502" s="243"/>
      <c r="BK502" s="243"/>
      <c r="BL502" s="243"/>
      <c r="BM502" s="243"/>
      <c r="BN502" s="243"/>
      <c r="BO502" s="243"/>
      <c r="BP502" s="243"/>
      <c r="BQ502" s="243"/>
      <c r="BR502" s="243"/>
      <c r="BS502" s="243"/>
    </row>
    <row r="503" spans="1:71" s="12" customFormat="1" ht="41.25" customHeight="1">
      <c r="A503" s="178" t="s">
        <v>80</v>
      </c>
      <c r="B503" s="178" t="str">
        <f ca="1">+UPPER(Tabla1321124[[#This Row],[DESCRIPCIÓN DE LA COMPRA O CONTRATACIÓN]])</f>
        <v>JUNTAS  TIPO DRESSER 24" ACERO</v>
      </c>
      <c r="C503" s="39" t="s">
        <v>17</v>
      </c>
      <c r="D503" s="352">
        <f>40+30</f>
        <v>70</v>
      </c>
      <c r="E503" s="352">
        <f>40+30</f>
        <v>70</v>
      </c>
      <c r="F503" s="352">
        <f>40+30</f>
        <v>70</v>
      </c>
      <c r="G503" s="352">
        <f>40+30</f>
        <v>70</v>
      </c>
      <c r="H503" s="240">
        <f>SUM(Tabla1321124[[#This Row],[PRIMER TRIMESTRE]:[CUARTO TRIMESTRE]])</f>
        <v>280</v>
      </c>
      <c r="I503" s="17">
        <v>13263.2</v>
      </c>
      <c r="J503" s="17">
        <f>+Tabla1321124[[#This Row],[CANTIDAD TOTAL]]*Tabla1321124[[#This Row],[PRECIO UNITARIO ESTIMADO]]</f>
        <v>3713696</v>
      </c>
      <c r="K503" s="17"/>
      <c r="L503" s="16" t="s">
        <v>18</v>
      </c>
      <c r="M503" s="16" t="s">
        <v>22</v>
      </c>
      <c r="N503" s="16" t="s">
        <v>418</v>
      </c>
      <c r="O503" s="243"/>
      <c r="P503" s="243"/>
      <c r="Q503" s="243"/>
      <c r="R503" s="243"/>
      <c r="S503" s="243"/>
      <c r="T503" s="243"/>
      <c r="U503" s="243"/>
      <c r="V503" s="243"/>
      <c r="W503" s="243"/>
      <c r="X503" s="243"/>
      <c r="Y503" s="243"/>
      <c r="Z503" s="243"/>
      <c r="AA503" s="243"/>
      <c r="AB503" s="243"/>
      <c r="AC503" s="243"/>
      <c r="AD503" s="243"/>
      <c r="AE503" s="243"/>
      <c r="AF503" s="243"/>
      <c r="AG503" s="243"/>
      <c r="AH503" s="243"/>
      <c r="AI503" s="243"/>
      <c r="AJ503" s="243"/>
      <c r="AK503" s="243"/>
      <c r="AL503" s="243"/>
      <c r="AM503" s="243"/>
      <c r="AN503" s="243"/>
      <c r="AO503" s="243"/>
      <c r="AP503" s="243"/>
      <c r="AQ503" s="243"/>
      <c r="AR503" s="243"/>
      <c r="AS503" s="243"/>
      <c r="AT503" s="243"/>
      <c r="AU503" s="243"/>
      <c r="AV503" s="243"/>
      <c r="AW503" s="243"/>
      <c r="AX503" s="243"/>
      <c r="AY503" s="243"/>
      <c r="AZ503" s="243"/>
      <c r="BA503" s="243"/>
      <c r="BB503" s="243"/>
      <c r="BC503" s="243"/>
      <c r="BD503" s="243"/>
      <c r="BE503" s="243"/>
      <c r="BF503" s="243"/>
      <c r="BG503" s="243"/>
      <c r="BH503" s="243"/>
      <c r="BI503" s="243"/>
      <c r="BJ503" s="243"/>
      <c r="BK503" s="243"/>
      <c r="BL503" s="243"/>
      <c r="BM503" s="243"/>
      <c r="BN503" s="243"/>
      <c r="BO503" s="243"/>
      <c r="BP503" s="243"/>
      <c r="BQ503" s="243"/>
      <c r="BR503" s="243"/>
      <c r="BS503" s="243"/>
    </row>
    <row r="504" spans="1:71" s="12" customFormat="1" ht="41.25" customHeight="1">
      <c r="A504" s="178" t="s">
        <v>80</v>
      </c>
      <c r="B504" s="178" t="str">
        <f ca="1">+UPPER(Tabla1321124[[#This Row],[DESCRIPCIÓN DE LA COMPRA O CONTRATACIÓN]])</f>
        <v>JUNTAS REDUCTORA DRESSER DE 12”  DE ACERO TIPO C</v>
      </c>
      <c r="C504" s="39" t="s">
        <v>17</v>
      </c>
      <c r="D504" s="368">
        <v>25</v>
      </c>
      <c r="E504" s="368">
        <v>10</v>
      </c>
      <c r="F504" s="368">
        <v>10</v>
      </c>
      <c r="G504" s="368">
        <v>10</v>
      </c>
      <c r="H504" s="240">
        <f>SUM(Tabla1321124[[#This Row],[PRIMER TRIMESTRE]:[CUARTO TRIMESTRE]])</f>
        <v>55</v>
      </c>
      <c r="I504" s="17">
        <v>4800</v>
      </c>
      <c r="J504" s="17">
        <f>+Tabla1321124[[#This Row],[CANTIDAD TOTAL]]*Tabla1321124[[#This Row],[PRECIO UNITARIO ESTIMADO]]</f>
        <v>264000</v>
      </c>
      <c r="K504" s="175"/>
      <c r="L504" s="16" t="s">
        <v>18</v>
      </c>
      <c r="M504" s="16" t="s">
        <v>22</v>
      </c>
      <c r="N504" s="16"/>
      <c r="O504" s="243"/>
      <c r="P504" s="243"/>
      <c r="Q504" s="243"/>
      <c r="R504" s="243"/>
      <c r="S504" s="243"/>
      <c r="T504" s="243"/>
      <c r="U504" s="243"/>
      <c r="V504" s="243"/>
      <c r="W504" s="243"/>
      <c r="X504" s="243"/>
      <c r="Y504" s="243"/>
      <c r="Z504" s="243"/>
      <c r="AA504" s="243"/>
      <c r="AB504" s="243"/>
      <c r="AC504" s="243"/>
      <c r="AD504" s="243"/>
      <c r="AE504" s="243"/>
      <c r="AF504" s="243"/>
      <c r="AG504" s="243"/>
      <c r="AH504" s="243"/>
      <c r="AI504" s="243"/>
      <c r="AJ504" s="243"/>
      <c r="AK504" s="243"/>
      <c r="AL504" s="243"/>
      <c r="AM504" s="243"/>
      <c r="AN504" s="243"/>
      <c r="AO504" s="243"/>
      <c r="AP504" s="243"/>
      <c r="AQ504" s="243"/>
      <c r="AR504" s="243"/>
      <c r="AS504" s="243"/>
      <c r="AT504" s="243"/>
      <c r="AU504" s="243"/>
      <c r="AV504" s="243"/>
      <c r="AW504" s="243"/>
      <c r="AX504" s="243"/>
      <c r="AY504" s="243"/>
      <c r="AZ504" s="243"/>
      <c r="BA504" s="243"/>
      <c r="BB504" s="243"/>
      <c r="BC504" s="243"/>
      <c r="BD504" s="243"/>
      <c r="BE504" s="243"/>
      <c r="BF504" s="243"/>
      <c r="BG504" s="243"/>
      <c r="BH504" s="243"/>
      <c r="BI504" s="243"/>
      <c r="BJ504" s="243"/>
      <c r="BK504" s="243"/>
      <c r="BL504" s="243"/>
      <c r="BM504" s="243"/>
      <c r="BN504" s="243"/>
      <c r="BO504" s="243"/>
      <c r="BP504" s="243"/>
      <c r="BQ504" s="243"/>
      <c r="BR504" s="243"/>
      <c r="BS504" s="243"/>
    </row>
    <row r="505" spans="1:71" s="12" customFormat="1" ht="41.25" customHeight="1">
      <c r="A505" s="178" t="s">
        <v>80</v>
      </c>
      <c r="B505" s="178" t="str">
        <f ca="1">+UPPER(Tabla1321124[[#This Row],[DESCRIPCIÓN DE LA COMPRA O CONTRATACIÓN]])</f>
        <v>JUNTAS REDUCTORA DRESSER DE 12”  DE ACERO TIPO D</v>
      </c>
      <c r="C505" s="39" t="s">
        <v>17</v>
      </c>
      <c r="D505" s="368">
        <v>10</v>
      </c>
      <c r="E505" s="368">
        <v>10</v>
      </c>
      <c r="F505" s="368">
        <v>10</v>
      </c>
      <c r="G505" s="368">
        <v>10</v>
      </c>
      <c r="H505" s="240">
        <f>SUM(Tabla1321124[[#This Row],[PRIMER TRIMESTRE]:[CUARTO TRIMESTRE]])</f>
        <v>40</v>
      </c>
      <c r="I505" s="17">
        <v>5200</v>
      </c>
      <c r="J505" s="17">
        <f>+Tabla1321124[[#This Row],[CANTIDAD TOTAL]]*Tabla1321124[[#This Row],[PRECIO UNITARIO ESTIMADO]]</f>
        <v>208000</v>
      </c>
      <c r="K505" s="175"/>
      <c r="L505" s="16" t="s">
        <v>18</v>
      </c>
      <c r="M505" s="16" t="s">
        <v>22</v>
      </c>
      <c r="N505" s="16"/>
      <c r="O505" s="243"/>
      <c r="P505" s="243"/>
      <c r="Q505" s="243"/>
      <c r="R505" s="243"/>
      <c r="S505" s="243"/>
      <c r="T505" s="243"/>
      <c r="U505" s="243"/>
      <c r="V505" s="243"/>
      <c r="W505" s="243"/>
      <c r="X505" s="243"/>
      <c r="Y505" s="243"/>
      <c r="Z505" s="243"/>
      <c r="AA505" s="243"/>
      <c r="AB505" s="243"/>
      <c r="AC505" s="243"/>
      <c r="AD505" s="243"/>
      <c r="AE505" s="243"/>
      <c r="AF505" s="243"/>
      <c r="AG505" s="243"/>
      <c r="AH505" s="243"/>
      <c r="AI505" s="243"/>
      <c r="AJ505" s="243"/>
      <c r="AK505" s="243"/>
      <c r="AL505" s="243"/>
      <c r="AM505" s="243"/>
      <c r="AN505" s="243"/>
      <c r="AO505" s="243"/>
      <c r="AP505" s="243"/>
      <c r="AQ505" s="243"/>
      <c r="AR505" s="243"/>
      <c r="AS505" s="243"/>
      <c r="AT505" s="243"/>
      <c r="AU505" s="243"/>
      <c r="AV505" s="243"/>
      <c r="AW505" s="243"/>
      <c r="AX505" s="243"/>
      <c r="AY505" s="243"/>
      <c r="AZ505" s="243"/>
      <c r="BA505" s="243"/>
      <c r="BB505" s="243"/>
      <c r="BC505" s="243"/>
      <c r="BD505" s="243"/>
      <c r="BE505" s="243"/>
      <c r="BF505" s="243"/>
      <c r="BG505" s="243"/>
      <c r="BH505" s="243"/>
      <c r="BI505" s="243"/>
      <c r="BJ505" s="243"/>
      <c r="BK505" s="243"/>
      <c r="BL505" s="243"/>
      <c r="BM505" s="243"/>
      <c r="BN505" s="243"/>
      <c r="BO505" s="243"/>
      <c r="BP505" s="243"/>
      <c r="BQ505" s="243"/>
      <c r="BR505" s="243"/>
      <c r="BS505" s="243"/>
    </row>
    <row r="506" spans="1:71" s="12" customFormat="1" ht="41.25" customHeight="1">
      <c r="A506" s="178" t="s">
        <v>80</v>
      </c>
      <c r="B506" s="178" t="str">
        <f ca="1">+UPPER(Tabla1321124[[#This Row],[DESCRIPCIÓN DE LA COMPRA O CONTRATACIÓN]])</f>
        <v>JUNTAS REDUCTORA DRESSER DE 3”  DE ACERO TIPO C</v>
      </c>
      <c r="C506" s="39" t="s">
        <v>17</v>
      </c>
      <c r="D506" s="368">
        <v>10</v>
      </c>
      <c r="E506" s="368">
        <v>10</v>
      </c>
      <c r="F506" s="368">
        <v>10</v>
      </c>
      <c r="G506" s="368">
        <v>10</v>
      </c>
      <c r="H506" s="240">
        <f>SUM(Tabla1321124[[#This Row],[PRIMER TRIMESTRE]:[CUARTO TRIMESTRE]])</f>
        <v>40</v>
      </c>
      <c r="I506" s="17">
        <v>1125</v>
      </c>
      <c r="J506" s="17">
        <f>+Tabla1321124[[#This Row],[CANTIDAD TOTAL]]*Tabla1321124[[#This Row],[PRECIO UNITARIO ESTIMADO]]</f>
        <v>45000</v>
      </c>
      <c r="K506" s="175"/>
      <c r="L506" s="16" t="s">
        <v>18</v>
      </c>
      <c r="M506" s="16" t="s">
        <v>22</v>
      </c>
      <c r="N506" s="16"/>
      <c r="O506" s="243"/>
      <c r="P506" s="243"/>
      <c r="Q506" s="243"/>
      <c r="R506" s="243"/>
      <c r="S506" s="243"/>
      <c r="T506" s="243"/>
      <c r="U506" s="243"/>
      <c r="V506" s="243"/>
      <c r="W506" s="243"/>
      <c r="X506" s="243"/>
      <c r="Y506" s="243"/>
      <c r="Z506" s="243"/>
      <c r="AA506" s="243"/>
      <c r="AB506" s="243"/>
      <c r="AC506" s="243"/>
      <c r="AD506" s="243"/>
      <c r="AE506" s="243"/>
      <c r="AF506" s="243"/>
      <c r="AG506" s="243"/>
      <c r="AH506" s="243"/>
      <c r="AI506" s="243"/>
      <c r="AJ506" s="243"/>
      <c r="AK506" s="243"/>
      <c r="AL506" s="243"/>
      <c r="AM506" s="243"/>
      <c r="AN506" s="243"/>
      <c r="AO506" s="243"/>
      <c r="AP506" s="243"/>
      <c r="AQ506" s="243"/>
      <c r="AR506" s="243"/>
      <c r="AS506" s="243"/>
      <c r="AT506" s="243"/>
      <c r="AU506" s="243"/>
      <c r="AV506" s="243"/>
      <c r="AW506" s="243"/>
      <c r="AX506" s="243"/>
      <c r="AY506" s="243"/>
      <c r="AZ506" s="243"/>
      <c r="BA506" s="243"/>
      <c r="BB506" s="243"/>
      <c r="BC506" s="243"/>
      <c r="BD506" s="243"/>
      <c r="BE506" s="243"/>
      <c r="BF506" s="243"/>
      <c r="BG506" s="243"/>
      <c r="BH506" s="243"/>
      <c r="BI506" s="243"/>
      <c r="BJ506" s="243"/>
      <c r="BK506" s="243"/>
      <c r="BL506" s="243"/>
      <c r="BM506" s="243"/>
      <c r="BN506" s="243"/>
      <c r="BO506" s="243"/>
      <c r="BP506" s="243"/>
      <c r="BQ506" s="243"/>
      <c r="BR506" s="243"/>
      <c r="BS506" s="243"/>
    </row>
    <row r="507" spans="1:71" s="12" customFormat="1" ht="41.25" customHeight="1">
      <c r="A507" s="178" t="s">
        <v>80</v>
      </c>
      <c r="B507" s="178" t="str">
        <f ca="1">+UPPER(Tabla1321124[[#This Row],[DESCRIPCIÓN DE LA COMPRA O CONTRATACIÓN]])</f>
        <v>JUNTAS REDUCTORA DRESSER DE 3”  DE ACERO TIPO D</v>
      </c>
      <c r="C507" s="39" t="s">
        <v>17</v>
      </c>
      <c r="D507" s="368">
        <v>10</v>
      </c>
      <c r="E507" s="368">
        <v>10</v>
      </c>
      <c r="F507" s="368">
        <v>10</v>
      </c>
      <c r="G507" s="368">
        <v>10</v>
      </c>
      <c r="H507" s="240">
        <f>SUM(Tabla1321124[[#This Row],[PRIMER TRIMESTRE]:[CUARTO TRIMESTRE]])</f>
        <v>40</v>
      </c>
      <c r="I507" s="17">
        <v>1580</v>
      </c>
      <c r="J507" s="17">
        <f>+Tabla1321124[[#This Row],[CANTIDAD TOTAL]]*Tabla1321124[[#This Row],[PRECIO UNITARIO ESTIMADO]]</f>
        <v>63200</v>
      </c>
      <c r="K507" s="175"/>
      <c r="L507" s="16" t="s">
        <v>18</v>
      </c>
      <c r="M507" s="16" t="s">
        <v>22</v>
      </c>
      <c r="N507" s="16"/>
      <c r="O507" s="243"/>
      <c r="P507" s="243"/>
      <c r="Q507" s="243"/>
      <c r="R507" s="243"/>
      <c r="S507" s="243"/>
      <c r="T507" s="243"/>
      <c r="U507" s="243"/>
      <c r="V507" s="243"/>
      <c r="W507" s="243"/>
      <c r="X507" s="243"/>
      <c r="Y507" s="243"/>
      <c r="Z507" s="243"/>
      <c r="AA507" s="243"/>
      <c r="AB507" s="243"/>
      <c r="AC507" s="243"/>
      <c r="AD507" s="243"/>
      <c r="AE507" s="243"/>
      <c r="AF507" s="243"/>
      <c r="AG507" s="243"/>
      <c r="AH507" s="243"/>
      <c r="AI507" s="243"/>
      <c r="AJ507" s="243"/>
      <c r="AK507" s="243"/>
      <c r="AL507" s="243"/>
      <c r="AM507" s="243"/>
      <c r="AN507" s="243"/>
      <c r="AO507" s="243"/>
      <c r="AP507" s="243"/>
      <c r="AQ507" s="243"/>
      <c r="AR507" s="243"/>
      <c r="AS507" s="243"/>
      <c r="AT507" s="243"/>
      <c r="AU507" s="243"/>
      <c r="AV507" s="243"/>
      <c r="AW507" s="243"/>
      <c r="AX507" s="243"/>
      <c r="AY507" s="243"/>
      <c r="AZ507" s="243"/>
      <c r="BA507" s="243"/>
      <c r="BB507" s="243"/>
      <c r="BC507" s="243"/>
      <c r="BD507" s="243"/>
      <c r="BE507" s="243"/>
      <c r="BF507" s="243"/>
      <c r="BG507" s="243"/>
      <c r="BH507" s="243"/>
      <c r="BI507" s="243"/>
      <c r="BJ507" s="243"/>
      <c r="BK507" s="243"/>
      <c r="BL507" s="243"/>
      <c r="BM507" s="243"/>
      <c r="BN507" s="243"/>
      <c r="BO507" s="243"/>
      <c r="BP507" s="243"/>
      <c r="BQ507" s="243"/>
      <c r="BR507" s="243"/>
      <c r="BS507" s="243"/>
    </row>
    <row r="508" spans="1:71" s="12" customFormat="1" ht="41.25" customHeight="1">
      <c r="A508" s="178" t="s">
        <v>80</v>
      </c>
      <c r="B508" s="178" t="str">
        <f ca="1">+UPPER(Tabla1321124[[#This Row],[DESCRIPCIÓN DE LA COMPRA O CONTRATACIÓN]])</f>
        <v>JUNTAS REDUCTORA DRESSER DE 4”  DE ACERO TIPO C</v>
      </c>
      <c r="C508" s="39" t="s">
        <v>17</v>
      </c>
      <c r="D508" s="368">
        <v>10</v>
      </c>
      <c r="E508" s="368">
        <v>10</v>
      </c>
      <c r="F508" s="368">
        <v>10</v>
      </c>
      <c r="G508" s="368">
        <v>10</v>
      </c>
      <c r="H508" s="240">
        <f>SUM(Tabla1321124[[#This Row],[PRIMER TRIMESTRE]:[CUARTO TRIMESTRE]])</f>
        <v>40</v>
      </c>
      <c r="I508" s="17">
        <v>2200</v>
      </c>
      <c r="J508" s="17">
        <f>+Tabla1321124[[#This Row],[CANTIDAD TOTAL]]*Tabla1321124[[#This Row],[PRECIO UNITARIO ESTIMADO]]</f>
        <v>88000</v>
      </c>
      <c r="K508" s="175"/>
      <c r="L508" s="16" t="s">
        <v>18</v>
      </c>
      <c r="M508" s="16" t="s">
        <v>22</v>
      </c>
      <c r="N508" s="16"/>
      <c r="O508" s="243"/>
      <c r="P508" s="243"/>
      <c r="Q508" s="243"/>
      <c r="R508" s="243"/>
      <c r="S508" s="243"/>
      <c r="T508" s="243"/>
      <c r="U508" s="243"/>
      <c r="V508" s="243"/>
      <c r="W508" s="243"/>
      <c r="X508" s="243"/>
      <c r="Y508" s="243"/>
      <c r="Z508" s="243"/>
      <c r="AA508" s="243"/>
      <c r="AB508" s="243"/>
      <c r="AC508" s="243"/>
      <c r="AD508" s="243"/>
      <c r="AE508" s="243"/>
      <c r="AF508" s="243"/>
      <c r="AG508" s="243"/>
      <c r="AH508" s="243"/>
      <c r="AI508" s="243"/>
      <c r="AJ508" s="243"/>
      <c r="AK508" s="243"/>
      <c r="AL508" s="243"/>
      <c r="AM508" s="243"/>
      <c r="AN508" s="243"/>
      <c r="AO508" s="243"/>
      <c r="AP508" s="243"/>
      <c r="AQ508" s="243"/>
      <c r="AR508" s="243"/>
      <c r="AS508" s="243"/>
      <c r="AT508" s="243"/>
      <c r="AU508" s="243"/>
      <c r="AV508" s="243"/>
      <c r="AW508" s="243"/>
      <c r="AX508" s="243"/>
      <c r="AY508" s="243"/>
      <c r="AZ508" s="243"/>
      <c r="BA508" s="243"/>
      <c r="BB508" s="243"/>
      <c r="BC508" s="243"/>
      <c r="BD508" s="243"/>
      <c r="BE508" s="243"/>
      <c r="BF508" s="243"/>
      <c r="BG508" s="243"/>
      <c r="BH508" s="243"/>
      <c r="BI508" s="243"/>
      <c r="BJ508" s="243"/>
      <c r="BK508" s="243"/>
      <c r="BL508" s="243"/>
      <c r="BM508" s="243"/>
      <c r="BN508" s="243"/>
      <c r="BO508" s="243"/>
      <c r="BP508" s="243"/>
      <c r="BQ508" s="243"/>
      <c r="BR508" s="243"/>
      <c r="BS508" s="243"/>
    </row>
    <row r="509" spans="1:71" s="12" customFormat="1" ht="41.25" customHeight="1">
      <c r="A509" s="178" t="s">
        <v>80</v>
      </c>
      <c r="B509" s="178" t="str">
        <f ca="1">+UPPER(Tabla1321124[[#This Row],[DESCRIPCIÓN DE LA COMPRA O CONTRATACIÓN]])</f>
        <v>JUNTAS REDUCTORA DRESSER DE 4”  DE ACERO TIPO D</v>
      </c>
      <c r="C509" s="39" t="s">
        <v>17</v>
      </c>
      <c r="D509" s="368">
        <v>10</v>
      </c>
      <c r="E509" s="368">
        <v>10</v>
      </c>
      <c r="F509" s="368">
        <v>10</v>
      </c>
      <c r="G509" s="368">
        <v>10</v>
      </c>
      <c r="H509" s="240">
        <f>SUM(Tabla1321124[[#This Row],[PRIMER TRIMESTRE]:[CUARTO TRIMESTRE]])</f>
        <v>40</v>
      </c>
      <c r="I509" s="17">
        <v>2600</v>
      </c>
      <c r="J509" s="17">
        <f>+Tabla1321124[[#This Row],[CANTIDAD TOTAL]]*Tabla1321124[[#This Row],[PRECIO UNITARIO ESTIMADO]]</f>
        <v>104000</v>
      </c>
      <c r="K509" s="175"/>
      <c r="L509" s="16" t="s">
        <v>18</v>
      </c>
      <c r="M509" s="16" t="s">
        <v>22</v>
      </c>
      <c r="N509" s="16"/>
      <c r="O509" s="243"/>
      <c r="P509" s="243"/>
      <c r="Q509" s="243"/>
      <c r="R509" s="243"/>
      <c r="S509" s="243"/>
      <c r="T509" s="243"/>
      <c r="U509" s="243"/>
      <c r="V509" s="243"/>
      <c r="W509" s="243"/>
      <c r="X509" s="243"/>
      <c r="Y509" s="243"/>
      <c r="Z509" s="243"/>
      <c r="AA509" s="243"/>
      <c r="AB509" s="243"/>
      <c r="AC509" s="243"/>
      <c r="AD509" s="243"/>
      <c r="AE509" s="243"/>
      <c r="AF509" s="243"/>
      <c r="AG509" s="243"/>
      <c r="AH509" s="243"/>
      <c r="AI509" s="243"/>
      <c r="AJ509" s="243"/>
      <c r="AK509" s="243"/>
      <c r="AL509" s="243"/>
      <c r="AM509" s="243"/>
      <c r="AN509" s="243"/>
      <c r="AO509" s="243"/>
      <c r="AP509" s="243"/>
      <c r="AQ509" s="243"/>
      <c r="AR509" s="243"/>
      <c r="AS509" s="243"/>
      <c r="AT509" s="243"/>
      <c r="AU509" s="243"/>
      <c r="AV509" s="243"/>
      <c r="AW509" s="243"/>
      <c r="AX509" s="243"/>
      <c r="AY509" s="243"/>
      <c r="AZ509" s="243"/>
      <c r="BA509" s="243"/>
      <c r="BB509" s="243"/>
      <c r="BC509" s="243"/>
      <c r="BD509" s="243"/>
      <c r="BE509" s="243"/>
      <c r="BF509" s="243"/>
      <c r="BG509" s="243"/>
      <c r="BH509" s="243"/>
      <c r="BI509" s="243"/>
      <c r="BJ509" s="243"/>
      <c r="BK509" s="243"/>
      <c r="BL509" s="243"/>
      <c r="BM509" s="243"/>
      <c r="BN509" s="243"/>
      <c r="BO509" s="243"/>
      <c r="BP509" s="243"/>
      <c r="BQ509" s="243"/>
      <c r="BR509" s="243"/>
      <c r="BS509" s="243"/>
    </row>
    <row r="510" spans="1:71" s="12" customFormat="1" ht="41.25" customHeight="1">
      <c r="A510" s="178" t="s">
        <v>80</v>
      </c>
      <c r="B510" s="178" t="str">
        <f ca="1">+UPPER(Tabla1321124[[#This Row],[DESCRIPCIÓN DE LA COMPRA O CONTRATACIÓN]])</f>
        <v>JUNTAS REDUCTORA DRESSER DE 6”  DE ACERO TIPO C</v>
      </c>
      <c r="C510" s="39" t="s">
        <v>17</v>
      </c>
      <c r="D510" s="368">
        <v>10</v>
      </c>
      <c r="E510" s="368">
        <v>10</v>
      </c>
      <c r="F510" s="368">
        <v>10</v>
      </c>
      <c r="G510" s="368">
        <v>10</v>
      </c>
      <c r="H510" s="240">
        <f>SUM(Tabla1321124[[#This Row],[PRIMER TRIMESTRE]:[CUARTO TRIMESTRE]])</f>
        <v>40</v>
      </c>
      <c r="I510" s="17">
        <v>4330</v>
      </c>
      <c r="J510" s="17">
        <f>+Tabla1321124[[#This Row],[CANTIDAD TOTAL]]*Tabla1321124[[#This Row],[PRECIO UNITARIO ESTIMADO]]</f>
        <v>173200</v>
      </c>
      <c r="K510" s="175"/>
      <c r="L510" s="16" t="s">
        <v>18</v>
      </c>
      <c r="M510" s="16" t="s">
        <v>22</v>
      </c>
      <c r="N510" s="16"/>
      <c r="O510" s="243"/>
      <c r="P510" s="243"/>
      <c r="Q510" s="243"/>
      <c r="R510" s="243"/>
      <c r="S510" s="243"/>
      <c r="T510" s="243"/>
      <c r="U510" s="243"/>
      <c r="V510" s="243"/>
      <c r="W510" s="243"/>
      <c r="X510" s="243"/>
      <c r="Y510" s="243"/>
      <c r="Z510" s="243"/>
      <c r="AA510" s="243"/>
      <c r="AB510" s="243"/>
      <c r="AC510" s="243"/>
      <c r="AD510" s="243"/>
      <c r="AE510" s="243"/>
      <c r="AF510" s="243"/>
      <c r="AG510" s="243"/>
      <c r="AH510" s="243"/>
      <c r="AI510" s="243"/>
      <c r="AJ510" s="243"/>
      <c r="AK510" s="243"/>
      <c r="AL510" s="243"/>
      <c r="AM510" s="243"/>
      <c r="AN510" s="243"/>
      <c r="AO510" s="243"/>
      <c r="AP510" s="243"/>
      <c r="AQ510" s="243"/>
      <c r="AR510" s="243"/>
      <c r="AS510" s="243"/>
      <c r="AT510" s="243"/>
      <c r="AU510" s="243"/>
      <c r="AV510" s="243"/>
      <c r="AW510" s="243"/>
      <c r="AX510" s="243"/>
      <c r="AY510" s="243"/>
      <c r="AZ510" s="243"/>
      <c r="BA510" s="243"/>
      <c r="BB510" s="243"/>
      <c r="BC510" s="243"/>
      <c r="BD510" s="243"/>
      <c r="BE510" s="243"/>
      <c r="BF510" s="243"/>
      <c r="BG510" s="243"/>
      <c r="BH510" s="243"/>
      <c r="BI510" s="243"/>
      <c r="BJ510" s="243"/>
      <c r="BK510" s="243"/>
      <c r="BL510" s="243"/>
      <c r="BM510" s="243"/>
      <c r="BN510" s="243"/>
      <c r="BO510" s="243"/>
      <c r="BP510" s="243"/>
      <c r="BQ510" s="243"/>
      <c r="BR510" s="243"/>
      <c r="BS510" s="243"/>
    </row>
    <row r="511" spans="1:71" s="12" customFormat="1" ht="41.25" customHeight="1">
      <c r="A511" s="178" t="s">
        <v>80</v>
      </c>
      <c r="B511" s="178" t="str">
        <f ca="1">+UPPER(Tabla1321124[[#This Row],[DESCRIPCIÓN DE LA COMPRA O CONTRATACIÓN]])</f>
        <v>JUNTAS REDUCTORA DRESSER DE 6”  DE ACERO TIPO D</v>
      </c>
      <c r="C511" s="39" t="s">
        <v>17</v>
      </c>
      <c r="D511" s="368">
        <v>10</v>
      </c>
      <c r="E511" s="368">
        <v>10</v>
      </c>
      <c r="F511" s="368">
        <v>10</v>
      </c>
      <c r="G511" s="368">
        <v>10</v>
      </c>
      <c r="H511" s="240">
        <f>SUM(Tabla1321124[[#This Row],[PRIMER TRIMESTRE]:[CUARTO TRIMESTRE]])</f>
        <v>40</v>
      </c>
      <c r="I511" s="17">
        <v>5600</v>
      </c>
      <c r="J511" s="17">
        <f>+Tabla1321124[[#This Row],[CANTIDAD TOTAL]]*Tabla1321124[[#This Row],[PRECIO UNITARIO ESTIMADO]]</f>
        <v>224000</v>
      </c>
      <c r="K511" s="175"/>
      <c r="L511" s="16" t="s">
        <v>18</v>
      </c>
      <c r="M511" s="16" t="s">
        <v>22</v>
      </c>
      <c r="N511" s="16"/>
      <c r="O511" s="243"/>
      <c r="P511" s="243"/>
      <c r="Q511" s="243"/>
      <c r="R511" s="243"/>
      <c r="S511" s="243"/>
      <c r="T511" s="243"/>
      <c r="U511" s="243"/>
      <c r="V511" s="243"/>
      <c r="W511" s="243"/>
      <c r="X511" s="243"/>
      <c r="Y511" s="243"/>
      <c r="Z511" s="243"/>
      <c r="AA511" s="243"/>
      <c r="AB511" s="243"/>
      <c r="AC511" s="243"/>
      <c r="AD511" s="243"/>
      <c r="AE511" s="243"/>
      <c r="AF511" s="243"/>
      <c r="AG511" s="243"/>
      <c r="AH511" s="243"/>
      <c r="AI511" s="243"/>
      <c r="AJ511" s="243"/>
      <c r="AK511" s="243"/>
      <c r="AL511" s="243"/>
      <c r="AM511" s="243"/>
      <c r="AN511" s="243"/>
      <c r="AO511" s="243"/>
      <c r="AP511" s="243"/>
      <c r="AQ511" s="243"/>
      <c r="AR511" s="243"/>
      <c r="AS511" s="243"/>
      <c r="AT511" s="243"/>
      <c r="AU511" s="243"/>
      <c r="AV511" s="243"/>
      <c r="AW511" s="243"/>
      <c r="AX511" s="243"/>
      <c r="AY511" s="243"/>
      <c r="AZ511" s="243"/>
      <c r="BA511" s="243"/>
      <c r="BB511" s="243"/>
      <c r="BC511" s="243"/>
      <c r="BD511" s="243"/>
      <c r="BE511" s="243"/>
      <c r="BF511" s="243"/>
      <c r="BG511" s="243"/>
      <c r="BH511" s="243"/>
      <c r="BI511" s="243"/>
      <c r="BJ511" s="243"/>
      <c r="BK511" s="243"/>
      <c r="BL511" s="243"/>
      <c r="BM511" s="243"/>
      <c r="BN511" s="243"/>
      <c r="BO511" s="243"/>
      <c r="BP511" s="243"/>
      <c r="BQ511" s="243"/>
      <c r="BR511" s="243"/>
      <c r="BS511" s="243"/>
    </row>
    <row r="512" spans="1:71" s="12" customFormat="1" ht="41.25" customHeight="1">
      <c r="A512" s="178" t="s">
        <v>80</v>
      </c>
      <c r="B512" s="178" t="str">
        <f ca="1">+UPPER(Tabla1321124[[#This Row],[DESCRIPCIÓN DE LA COMPRA O CONTRATACIÓN]])</f>
        <v>JUNTAS REDUCTORA DRESSER DE 8”  DE ACERO TIPO C</v>
      </c>
      <c r="C512" s="39" t="s">
        <v>17</v>
      </c>
      <c r="D512" s="368">
        <v>10</v>
      </c>
      <c r="E512" s="368">
        <v>10</v>
      </c>
      <c r="F512" s="368">
        <v>10</v>
      </c>
      <c r="G512" s="368">
        <v>10</v>
      </c>
      <c r="H512" s="240">
        <f>SUM(Tabla1321124[[#This Row],[PRIMER TRIMESTRE]:[CUARTO TRIMESTRE]])</f>
        <v>40</v>
      </c>
      <c r="I512" s="17">
        <v>6100</v>
      </c>
      <c r="J512" s="17">
        <f>+Tabla1321124[[#This Row],[CANTIDAD TOTAL]]*Tabla1321124[[#This Row],[PRECIO UNITARIO ESTIMADO]]</f>
        <v>244000</v>
      </c>
      <c r="K512" s="175"/>
      <c r="L512" s="16" t="s">
        <v>18</v>
      </c>
      <c r="M512" s="16" t="s">
        <v>22</v>
      </c>
      <c r="N512" s="16"/>
      <c r="O512" s="243"/>
      <c r="P512" s="243"/>
      <c r="Q512" s="243"/>
      <c r="R512" s="243"/>
      <c r="S512" s="243"/>
      <c r="T512" s="243"/>
      <c r="U512" s="243"/>
      <c r="V512" s="243"/>
      <c r="W512" s="243"/>
      <c r="X512" s="243"/>
      <c r="Y512" s="243"/>
      <c r="Z512" s="243"/>
      <c r="AA512" s="243"/>
      <c r="AB512" s="243"/>
      <c r="AC512" s="243"/>
      <c r="AD512" s="243"/>
      <c r="AE512" s="243"/>
      <c r="AF512" s="243"/>
      <c r="AG512" s="243"/>
      <c r="AH512" s="243"/>
      <c r="AI512" s="243"/>
      <c r="AJ512" s="243"/>
      <c r="AK512" s="243"/>
      <c r="AL512" s="243"/>
      <c r="AM512" s="243"/>
      <c r="AN512" s="243"/>
      <c r="AO512" s="243"/>
      <c r="AP512" s="243"/>
      <c r="AQ512" s="243"/>
      <c r="AR512" s="243"/>
      <c r="AS512" s="243"/>
      <c r="AT512" s="243"/>
      <c r="AU512" s="243"/>
      <c r="AV512" s="243"/>
      <c r="AW512" s="243"/>
      <c r="AX512" s="243"/>
      <c r="AY512" s="243"/>
      <c r="AZ512" s="243"/>
      <c r="BA512" s="243"/>
      <c r="BB512" s="243"/>
      <c r="BC512" s="243"/>
      <c r="BD512" s="243"/>
      <c r="BE512" s="243"/>
      <c r="BF512" s="243"/>
      <c r="BG512" s="243"/>
      <c r="BH512" s="243"/>
      <c r="BI512" s="243"/>
      <c r="BJ512" s="243"/>
      <c r="BK512" s="243"/>
      <c r="BL512" s="243"/>
      <c r="BM512" s="243"/>
      <c r="BN512" s="243"/>
      <c r="BO512" s="243"/>
      <c r="BP512" s="243"/>
      <c r="BQ512" s="243"/>
      <c r="BR512" s="243"/>
      <c r="BS512" s="243"/>
    </row>
    <row r="513" spans="1:71" s="12" customFormat="1" ht="41.25" customHeight="1">
      <c r="A513" s="178" t="s">
        <v>80</v>
      </c>
      <c r="B513" s="178" t="str">
        <f ca="1">+UPPER(Tabla1321124[[#This Row],[DESCRIPCIÓN DE LA COMPRA O CONTRATACIÓN]])</f>
        <v>JUNTAS REDUCTORA DRESSER DE 8”  DE ACERO TIPO D</v>
      </c>
      <c r="C513" s="39" t="s">
        <v>17</v>
      </c>
      <c r="D513" s="368">
        <v>10</v>
      </c>
      <c r="E513" s="368">
        <v>10</v>
      </c>
      <c r="F513" s="368">
        <v>10</v>
      </c>
      <c r="G513" s="368">
        <v>10</v>
      </c>
      <c r="H513" s="240">
        <f>SUM(Tabla1321124[[#This Row],[PRIMER TRIMESTRE]:[CUARTO TRIMESTRE]])</f>
        <v>40</v>
      </c>
      <c r="I513" s="17">
        <v>6900</v>
      </c>
      <c r="J513" s="17">
        <f>+Tabla1321124[[#This Row],[CANTIDAD TOTAL]]*Tabla1321124[[#This Row],[PRECIO UNITARIO ESTIMADO]]</f>
        <v>276000</v>
      </c>
      <c r="K513" s="175"/>
      <c r="L513" s="16" t="s">
        <v>18</v>
      </c>
      <c r="M513" s="16" t="s">
        <v>22</v>
      </c>
      <c r="N513" s="16"/>
      <c r="O513" s="243"/>
      <c r="P513" s="243"/>
      <c r="Q513" s="243"/>
      <c r="R513" s="243"/>
      <c r="S513" s="243"/>
      <c r="T513" s="243"/>
      <c r="U513" s="243"/>
      <c r="V513" s="243"/>
      <c r="W513" s="243"/>
      <c r="X513" s="243"/>
      <c r="Y513" s="243"/>
      <c r="Z513" s="243"/>
      <c r="AA513" s="243"/>
      <c r="AB513" s="243"/>
      <c r="AC513" s="243"/>
      <c r="AD513" s="243"/>
      <c r="AE513" s="243"/>
      <c r="AF513" s="243"/>
      <c r="AG513" s="243"/>
      <c r="AH513" s="243"/>
      <c r="AI513" s="243"/>
      <c r="AJ513" s="243"/>
      <c r="AK513" s="243"/>
      <c r="AL513" s="243"/>
      <c r="AM513" s="243"/>
      <c r="AN513" s="243"/>
      <c r="AO513" s="243"/>
      <c r="AP513" s="243"/>
      <c r="AQ513" s="243"/>
      <c r="AR513" s="243"/>
      <c r="AS513" s="243"/>
      <c r="AT513" s="243"/>
      <c r="AU513" s="243"/>
      <c r="AV513" s="243"/>
      <c r="AW513" s="243"/>
      <c r="AX513" s="243"/>
      <c r="AY513" s="243"/>
      <c r="AZ513" s="243"/>
      <c r="BA513" s="243"/>
      <c r="BB513" s="243"/>
      <c r="BC513" s="243"/>
      <c r="BD513" s="243"/>
      <c r="BE513" s="243"/>
      <c r="BF513" s="243"/>
      <c r="BG513" s="243"/>
      <c r="BH513" s="243"/>
      <c r="BI513" s="243"/>
      <c r="BJ513" s="243"/>
      <c r="BK513" s="243"/>
      <c r="BL513" s="243"/>
      <c r="BM513" s="243"/>
      <c r="BN513" s="243"/>
      <c r="BO513" s="243"/>
      <c r="BP513" s="243"/>
      <c r="BQ513" s="243"/>
      <c r="BR513" s="243"/>
      <c r="BS513" s="243"/>
    </row>
    <row r="514" spans="1:71" s="12" customFormat="1" ht="41.25" customHeight="1">
      <c r="A514" s="178" t="s">
        <v>80</v>
      </c>
      <c r="B514" s="178" t="str">
        <f ca="1">+UPPER(Tabla1321124[[#This Row],[DESCRIPCIÓN DE LA COMPRA O CONTRATACIÓN]])</f>
        <v>JUNTAS DRESSER 12" HG</v>
      </c>
      <c r="C514" s="39" t="s">
        <v>17</v>
      </c>
      <c r="D514" s="362">
        <v>2</v>
      </c>
      <c r="E514" s="362"/>
      <c r="F514" s="362">
        <v>2</v>
      </c>
      <c r="G514" s="362"/>
      <c r="H514" s="240">
        <f>SUM(Tabla1321124[[#This Row],[PRIMER TRIMESTRE]:[CUARTO TRIMESTRE]])</f>
        <v>4</v>
      </c>
      <c r="I514" s="17">
        <v>13500</v>
      </c>
      <c r="J514" s="17">
        <f>+Tabla1321124[[#This Row],[CANTIDAD TOTAL]]*Tabla1321124[[#This Row],[PRECIO UNITARIO ESTIMADO]]</f>
        <v>54000</v>
      </c>
      <c r="K514" s="175"/>
      <c r="L514" s="16" t="s">
        <v>18</v>
      </c>
      <c r="M514" s="16" t="s">
        <v>22</v>
      </c>
      <c r="N514" s="16"/>
      <c r="O514" s="243"/>
      <c r="P514" s="243"/>
      <c r="Q514" s="243"/>
      <c r="R514" s="243"/>
      <c r="S514" s="243"/>
      <c r="T514" s="243"/>
      <c r="U514" s="243"/>
      <c r="V514" s="243"/>
      <c r="W514" s="243"/>
      <c r="X514" s="243"/>
      <c r="Y514" s="243"/>
      <c r="Z514" s="243"/>
      <c r="AA514" s="243"/>
      <c r="AB514" s="243"/>
      <c r="AC514" s="243"/>
      <c r="AD514" s="243"/>
      <c r="AE514" s="243"/>
      <c r="AF514" s="243"/>
      <c r="AG514" s="243"/>
      <c r="AH514" s="243"/>
      <c r="AI514" s="243"/>
      <c r="AJ514" s="243"/>
      <c r="AK514" s="243"/>
      <c r="AL514" s="243"/>
      <c r="AM514" s="243"/>
      <c r="AN514" s="243"/>
      <c r="AO514" s="243"/>
      <c r="AP514" s="243"/>
      <c r="AQ514" s="243"/>
      <c r="AR514" s="243"/>
      <c r="AS514" s="243"/>
      <c r="AT514" s="243"/>
      <c r="AU514" s="243"/>
      <c r="AV514" s="243"/>
      <c r="AW514" s="243"/>
      <c r="AX514" s="243"/>
      <c r="AY514" s="243"/>
      <c r="AZ514" s="243"/>
      <c r="BA514" s="243"/>
      <c r="BB514" s="243"/>
      <c r="BC514" s="243"/>
      <c r="BD514" s="243"/>
      <c r="BE514" s="243"/>
      <c r="BF514" s="243"/>
      <c r="BG514" s="243"/>
      <c r="BH514" s="243"/>
      <c r="BI514" s="243"/>
      <c r="BJ514" s="243"/>
      <c r="BK514" s="243"/>
      <c r="BL514" s="243"/>
      <c r="BM514" s="243"/>
      <c r="BN514" s="243"/>
      <c r="BO514" s="243"/>
      <c r="BP514" s="243"/>
      <c r="BQ514" s="243"/>
      <c r="BR514" s="243"/>
      <c r="BS514" s="243"/>
    </row>
    <row r="515" spans="1:71" s="12" customFormat="1" ht="41.25" customHeight="1">
      <c r="A515" s="178" t="s">
        <v>80</v>
      </c>
      <c r="B515" s="178" t="str">
        <f ca="1">+UPPER(Tabla1321124[[#This Row],[DESCRIPCIÓN DE LA COMPRA O CONTRATACIÓN]])</f>
        <v>JUNTAS DRESSER 16" REDUCTORAS TIPO B HG</v>
      </c>
      <c r="C515" s="39" t="s">
        <v>17</v>
      </c>
      <c r="D515" s="362">
        <v>10</v>
      </c>
      <c r="E515" s="362"/>
      <c r="F515" s="362">
        <v>10</v>
      </c>
      <c r="G515" s="362"/>
      <c r="H515" s="240">
        <f>SUM(Tabla1321124[[#This Row],[PRIMER TRIMESTRE]:[CUARTO TRIMESTRE]])</f>
        <v>20</v>
      </c>
      <c r="I515" s="17">
        <v>7500</v>
      </c>
      <c r="J515" s="17">
        <f>+Tabla1321124[[#This Row],[CANTIDAD TOTAL]]*Tabla1321124[[#This Row],[PRECIO UNITARIO ESTIMADO]]</f>
        <v>150000</v>
      </c>
      <c r="K515" s="175"/>
      <c r="L515" s="16" t="s">
        <v>18</v>
      </c>
      <c r="M515" s="16" t="s">
        <v>22</v>
      </c>
      <c r="N515" s="16"/>
      <c r="O515" s="243"/>
      <c r="P515" s="243"/>
      <c r="Q515" s="243"/>
      <c r="R515" s="243"/>
      <c r="S515" s="243"/>
      <c r="T515" s="243"/>
      <c r="U515" s="243"/>
      <c r="V515" s="243"/>
      <c r="W515" s="243"/>
      <c r="X515" s="243"/>
      <c r="Y515" s="243"/>
      <c r="Z515" s="243"/>
      <c r="AA515" s="243"/>
      <c r="AB515" s="243"/>
      <c r="AC515" s="243"/>
      <c r="AD515" s="243"/>
      <c r="AE515" s="243"/>
      <c r="AF515" s="243"/>
      <c r="AG515" s="243"/>
      <c r="AH515" s="243"/>
      <c r="AI515" s="243"/>
      <c r="AJ515" s="243"/>
      <c r="AK515" s="243"/>
      <c r="AL515" s="243"/>
      <c r="AM515" s="243"/>
      <c r="AN515" s="243"/>
      <c r="AO515" s="243"/>
      <c r="AP515" s="243"/>
      <c r="AQ515" s="243"/>
      <c r="AR515" s="243"/>
      <c r="AS515" s="243"/>
      <c r="AT515" s="243"/>
      <c r="AU515" s="243"/>
      <c r="AV515" s="243"/>
      <c r="AW515" s="243"/>
      <c r="AX515" s="243"/>
      <c r="AY515" s="243"/>
      <c r="AZ515" s="243"/>
      <c r="BA515" s="243"/>
      <c r="BB515" s="243"/>
      <c r="BC515" s="243"/>
      <c r="BD515" s="243"/>
      <c r="BE515" s="243"/>
      <c r="BF515" s="243"/>
      <c r="BG515" s="243"/>
      <c r="BH515" s="243"/>
      <c r="BI515" s="243"/>
      <c r="BJ515" s="243"/>
      <c r="BK515" s="243"/>
      <c r="BL515" s="243"/>
      <c r="BM515" s="243"/>
      <c r="BN515" s="243"/>
      <c r="BO515" s="243"/>
      <c r="BP515" s="243"/>
      <c r="BQ515" s="243"/>
      <c r="BR515" s="243"/>
      <c r="BS515" s="243"/>
    </row>
    <row r="516" spans="1:71" s="12" customFormat="1" ht="41.25" customHeight="1">
      <c r="A516" s="178" t="s">
        <v>80</v>
      </c>
      <c r="B516" s="178" t="str">
        <f ca="1">+UPPER(Tabla1321124[[#This Row],[DESCRIPCIÓN DE LA COMPRA O CONTRATACIÓN]])</f>
        <v>JUNTAS DRESSER 2" HG</v>
      </c>
      <c r="C516" s="39" t="s">
        <v>17</v>
      </c>
      <c r="D516" s="362">
        <v>50</v>
      </c>
      <c r="E516" s="362"/>
      <c r="F516" s="362">
        <v>50</v>
      </c>
      <c r="G516" s="362"/>
      <c r="H516" s="240">
        <f>SUM(Tabla1321124[[#This Row],[PRIMER TRIMESTRE]:[CUARTO TRIMESTRE]])</f>
        <v>100</v>
      </c>
      <c r="I516" s="17">
        <v>5700</v>
      </c>
      <c r="J516" s="17">
        <f>+Tabla1321124[[#This Row],[CANTIDAD TOTAL]]*Tabla1321124[[#This Row],[PRECIO UNITARIO ESTIMADO]]</f>
        <v>570000</v>
      </c>
      <c r="K516" s="175"/>
      <c r="L516" s="16" t="s">
        <v>18</v>
      </c>
      <c r="M516" s="16" t="s">
        <v>22</v>
      </c>
      <c r="N516" s="16"/>
      <c r="O516" s="243"/>
      <c r="P516" s="243"/>
      <c r="Q516" s="243"/>
      <c r="R516" s="243"/>
      <c r="S516" s="243"/>
      <c r="T516" s="243"/>
      <c r="U516" s="243"/>
      <c r="V516" s="243"/>
      <c r="W516" s="243"/>
      <c r="X516" s="243"/>
      <c r="Y516" s="243"/>
      <c r="Z516" s="243"/>
      <c r="AA516" s="243"/>
      <c r="AB516" s="243"/>
      <c r="AC516" s="243"/>
      <c r="AD516" s="243"/>
      <c r="AE516" s="243"/>
      <c r="AF516" s="243"/>
      <c r="AG516" s="243"/>
      <c r="AH516" s="243"/>
      <c r="AI516" s="243"/>
      <c r="AJ516" s="243"/>
      <c r="AK516" s="243"/>
      <c r="AL516" s="243"/>
      <c r="AM516" s="243"/>
      <c r="AN516" s="243"/>
      <c r="AO516" s="243"/>
      <c r="AP516" s="243"/>
      <c r="AQ516" s="243"/>
      <c r="AR516" s="243"/>
      <c r="AS516" s="243"/>
      <c r="AT516" s="243"/>
      <c r="AU516" s="243"/>
      <c r="AV516" s="243"/>
      <c r="AW516" s="243"/>
      <c r="AX516" s="243"/>
      <c r="AY516" s="243"/>
      <c r="AZ516" s="243"/>
      <c r="BA516" s="243"/>
      <c r="BB516" s="243"/>
      <c r="BC516" s="243"/>
      <c r="BD516" s="243"/>
      <c r="BE516" s="243"/>
      <c r="BF516" s="243"/>
      <c r="BG516" s="243"/>
      <c r="BH516" s="243"/>
      <c r="BI516" s="243"/>
      <c r="BJ516" s="243"/>
      <c r="BK516" s="243"/>
      <c r="BL516" s="243"/>
      <c r="BM516" s="243"/>
      <c r="BN516" s="243"/>
      <c r="BO516" s="243"/>
      <c r="BP516" s="243"/>
      <c r="BQ516" s="243"/>
      <c r="BR516" s="243"/>
      <c r="BS516" s="243"/>
    </row>
    <row r="517" spans="1:71" s="12" customFormat="1" ht="41.25" customHeight="1">
      <c r="A517" s="178" t="s">
        <v>80</v>
      </c>
      <c r="B517" s="178" t="str">
        <f ca="1">+UPPER(Tabla1321124[[#This Row],[DESCRIPCIÓN DE LA COMPRA O CONTRATACIÓN]])</f>
        <v>JUNTAS DRESSER 3" HG</v>
      </c>
      <c r="C517" s="39" t="s">
        <v>17</v>
      </c>
      <c r="D517" s="362">
        <v>50</v>
      </c>
      <c r="E517" s="362"/>
      <c r="F517" s="362">
        <v>50</v>
      </c>
      <c r="G517" s="362"/>
      <c r="H517" s="240">
        <f>SUM(Tabla1321124[[#This Row],[PRIMER TRIMESTRE]:[CUARTO TRIMESTRE]])</f>
        <v>100</v>
      </c>
      <c r="I517" s="17">
        <v>6300</v>
      </c>
      <c r="J517" s="17">
        <f>+Tabla1321124[[#This Row],[CANTIDAD TOTAL]]*Tabla1321124[[#This Row],[PRECIO UNITARIO ESTIMADO]]</f>
        <v>630000</v>
      </c>
      <c r="K517" s="175"/>
      <c r="L517" s="16" t="s">
        <v>18</v>
      </c>
      <c r="M517" s="16" t="s">
        <v>22</v>
      </c>
      <c r="N517" s="16"/>
      <c r="O517" s="243"/>
      <c r="P517" s="243"/>
      <c r="Q517" s="243"/>
      <c r="R517" s="243"/>
      <c r="S517" s="243"/>
      <c r="T517" s="243"/>
      <c r="U517" s="243"/>
      <c r="V517" s="243"/>
      <c r="W517" s="243"/>
      <c r="X517" s="243"/>
      <c r="Y517" s="243"/>
      <c r="Z517" s="243"/>
      <c r="AA517" s="243"/>
      <c r="AB517" s="243"/>
      <c r="AC517" s="243"/>
      <c r="AD517" s="243"/>
      <c r="AE517" s="243"/>
      <c r="AF517" s="243"/>
      <c r="AG517" s="243"/>
      <c r="AH517" s="243"/>
      <c r="AI517" s="243"/>
      <c r="AJ517" s="243"/>
      <c r="AK517" s="243"/>
      <c r="AL517" s="243"/>
      <c r="AM517" s="243"/>
      <c r="AN517" s="243"/>
      <c r="AO517" s="243"/>
      <c r="AP517" s="243"/>
      <c r="AQ517" s="243"/>
      <c r="AR517" s="243"/>
      <c r="AS517" s="243"/>
      <c r="AT517" s="243"/>
      <c r="AU517" s="243"/>
      <c r="AV517" s="243"/>
      <c r="AW517" s="243"/>
      <c r="AX517" s="243"/>
      <c r="AY517" s="243"/>
      <c r="AZ517" s="243"/>
      <c r="BA517" s="243"/>
      <c r="BB517" s="243"/>
      <c r="BC517" s="243"/>
      <c r="BD517" s="243"/>
      <c r="BE517" s="243"/>
      <c r="BF517" s="243"/>
      <c r="BG517" s="243"/>
      <c r="BH517" s="243"/>
      <c r="BI517" s="243"/>
      <c r="BJ517" s="243"/>
      <c r="BK517" s="243"/>
      <c r="BL517" s="243"/>
      <c r="BM517" s="243"/>
      <c r="BN517" s="243"/>
      <c r="BO517" s="243"/>
      <c r="BP517" s="243"/>
      <c r="BQ517" s="243"/>
      <c r="BR517" s="243"/>
      <c r="BS517" s="243"/>
    </row>
    <row r="518" spans="1:71" s="12" customFormat="1" ht="41.25" customHeight="1">
      <c r="A518" s="178" t="s">
        <v>80</v>
      </c>
      <c r="B518" s="178" t="str">
        <f ca="1">+UPPER(Tabla1321124[[#This Row],[DESCRIPCIÓN DE LA COMPRA O CONTRATACIÓN]])</f>
        <v>JUNTAS DRESSER 4" HG</v>
      </c>
      <c r="C518" s="39" t="s">
        <v>17</v>
      </c>
      <c r="D518" s="362">
        <v>50</v>
      </c>
      <c r="E518" s="362"/>
      <c r="F518" s="362">
        <v>50</v>
      </c>
      <c r="G518" s="362"/>
      <c r="H518" s="240">
        <f>SUM(Tabla1321124[[#This Row],[PRIMER TRIMESTRE]:[CUARTO TRIMESTRE]])</f>
        <v>100</v>
      </c>
      <c r="I518" s="17">
        <v>7000</v>
      </c>
      <c r="J518" s="17">
        <f>+Tabla1321124[[#This Row],[CANTIDAD TOTAL]]*Tabla1321124[[#This Row],[PRECIO UNITARIO ESTIMADO]]</f>
        <v>700000</v>
      </c>
      <c r="K518" s="175"/>
      <c r="L518" s="16" t="s">
        <v>18</v>
      </c>
      <c r="M518" s="16" t="s">
        <v>22</v>
      </c>
      <c r="N518" s="16"/>
      <c r="O518" s="243"/>
      <c r="P518" s="243"/>
      <c r="Q518" s="243"/>
      <c r="R518" s="243"/>
      <c r="S518" s="243"/>
      <c r="T518" s="243"/>
      <c r="U518" s="243"/>
      <c r="V518" s="243"/>
      <c r="W518" s="243"/>
      <c r="X518" s="243"/>
      <c r="Y518" s="243"/>
      <c r="Z518" s="243"/>
      <c r="AA518" s="243"/>
      <c r="AB518" s="243"/>
      <c r="AC518" s="243"/>
      <c r="AD518" s="243"/>
      <c r="AE518" s="243"/>
      <c r="AF518" s="243"/>
      <c r="AG518" s="243"/>
      <c r="AH518" s="243"/>
      <c r="AI518" s="243"/>
      <c r="AJ518" s="243"/>
      <c r="AK518" s="243"/>
      <c r="AL518" s="243"/>
      <c r="AM518" s="243"/>
      <c r="AN518" s="243"/>
      <c r="AO518" s="243"/>
      <c r="AP518" s="243"/>
      <c r="AQ518" s="243"/>
      <c r="AR518" s="243"/>
      <c r="AS518" s="243"/>
      <c r="AT518" s="243"/>
      <c r="AU518" s="243"/>
      <c r="AV518" s="243"/>
      <c r="AW518" s="243"/>
      <c r="AX518" s="243"/>
      <c r="AY518" s="243"/>
      <c r="AZ518" s="243"/>
      <c r="BA518" s="243"/>
      <c r="BB518" s="243"/>
      <c r="BC518" s="243"/>
      <c r="BD518" s="243"/>
      <c r="BE518" s="243"/>
      <c r="BF518" s="243"/>
      <c r="BG518" s="243"/>
      <c r="BH518" s="243"/>
      <c r="BI518" s="243"/>
      <c r="BJ518" s="243"/>
      <c r="BK518" s="243"/>
      <c r="BL518" s="243"/>
      <c r="BM518" s="243"/>
      <c r="BN518" s="243"/>
      <c r="BO518" s="243"/>
      <c r="BP518" s="243"/>
      <c r="BQ518" s="243"/>
      <c r="BR518" s="243"/>
      <c r="BS518" s="243"/>
    </row>
    <row r="519" spans="1:71" s="12" customFormat="1" ht="41.25" customHeight="1">
      <c r="A519" s="178" t="s">
        <v>80</v>
      </c>
      <c r="B519" s="178" t="str">
        <f ca="1">+UPPER(Tabla1321124[[#This Row],[DESCRIPCIÓN DE LA COMPRA O CONTRATACIÓN]])</f>
        <v>JUNTAS DRESSER 6" HG</v>
      </c>
      <c r="C519" s="39" t="s">
        <v>17</v>
      </c>
      <c r="D519" s="362">
        <v>50</v>
      </c>
      <c r="E519" s="362"/>
      <c r="F519" s="362">
        <v>50</v>
      </c>
      <c r="G519" s="362"/>
      <c r="H519" s="240">
        <f>SUM(Tabla1321124[[#This Row],[PRIMER TRIMESTRE]:[CUARTO TRIMESTRE]])</f>
        <v>100</v>
      </c>
      <c r="I519" s="17">
        <v>8500</v>
      </c>
      <c r="J519" s="17">
        <f>+Tabla1321124[[#This Row],[CANTIDAD TOTAL]]*Tabla1321124[[#This Row],[PRECIO UNITARIO ESTIMADO]]</f>
        <v>850000</v>
      </c>
      <c r="K519" s="175"/>
      <c r="L519" s="16" t="s">
        <v>18</v>
      </c>
      <c r="M519" s="16" t="s">
        <v>22</v>
      </c>
      <c r="N519" s="16"/>
      <c r="O519" s="243"/>
      <c r="P519" s="243"/>
      <c r="Q519" s="243"/>
      <c r="R519" s="243"/>
      <c r="S519" s="243"/>
      <c r="T519" s="243"/>
      <c r="U519" s="243"/>
      <c r="V519" s="243"/>
      <c r="W519" s="243"/>
      <c r="X519" s="243"/>
      <c r="Y519" s="243"/>
      <c r="Z519" s="243"/>
      <c r="AA519" s="243"/>
      <c r="AB519" s="243"/>
      <c r="AC519" s="243"/>
      <c r="AD519" s="243"/>
      <c r="AE519" s="243"/>
      <c r="AF519" s="243"/>
      <c r="AG519" s="243"/>
      <c r="AH519" s="243"/>
      <c r="AI519" s="243"/>
      <c r="AJ519" s="243"/>
      <c r="AK519" s="243"/>
      <c r="AL519" s="243"/>
      <c r="AM519" s="243"/>
      <c r="AN519" s="243"/>
      <c r="AO519" s="243"/>
      <c r="AP519" s="243"/>
      <c r="AQ519" s="243"/>
      <c r="AR519" s="243"/>
      <c r="AS519" s="243"/>
      <c r="AT519" s="243"/>
      <c r="AU519" s="243"/>
      <c r="AV519" s="243"/>
      <c r="AW519" s="243"/>
      <c r="AX519" s="243"/>
      <c r="AY519" s="243"/>
      <c r="AZ519" s="243"/>
      <c r="BA519" s="243"/>
      <c r="BB519" s="243"/>
      <c r="BC519" s="243"/>
      <c r="BD519" s="243"/>
      <c r="BE519" s="243"/>
      <c r="BF519" s="243"/>
      <c r="BG519" s="243"/>
      <c r="BH519" s="243"/>
      <c r="BI519" s="243"/>
      <c r="BJ519" s="243"/>
      <c r="BK519" s="243"/>
      <c r="BL519" s="243"/>
      <c r="BM519" s="243"/>
      <c r="BN519" s="243"/>
      <c r="BO519" s="243"/>
      <c r="BP519" s="243"/>
      <c r="BQ519" s="243"/>
      <c r="BR519" s="243"/>
      <c r="BS519" s="243"/>
    </row>
    <row r="520" spans="1:71" s="12" customFormat="1" ht="41.25" customHeight="1">
      <c r="A520" s="178" t="s">
        <v>80</v>
      </c>
      <c r="B520" s="178" t="str">
        <f ca="1">+UPPER(Tabla1321124[[#This Row],[DESCRIPCIÓN DE LA COMPRA O CONTRATACIÓN]])</f>
        <v>JUNTAS DRESSER 8" HG</v>
      </c>
      <c r="C520" s="39" t="s">
        <v>17</v>
      </c>
      <c r="D520" s="362">
        <v>20</v>
      </c>
      <c r="E520" s="362"/>
      <c r="F520" s="362">
        <v>20</v>
      </c>
      <c r="G520" s="362"/>
      <c r="H520" s="240">
        <f>SUM(Tabla1321124[[#This Row],[PRIMER TRIMESTRE]:[CUARTO TRIMESTRE]])</f>
        <v>40</v>
      </c>
      <c r="I520" s="17">
        <v>9000</v>
      </c>
      <c r="J520" s="17">
        <f>+Tabla1321124[[#This Row],[CANTIDAD TOTAL]]*Tabla1321124[[#This Row],[PRECIO UNITARIO ESTIMADO]]</f>
        <v>360000</v>
      </c>
      <c r="K520" s="175"/>
      <c r="L520" s="16" t="s">
        <v>18</v>
      </c>
      <c r="M520" s="16" t="s">
        <v>22</v>
      </c>
      <c r="N520" s="16"/>
      <c r="O520" s="243"/>
      <c r="P520" s="243"/>
      <c r="Q520" s="243"/>
      <c r="R520" s="243"/>
      <c r="S520" s="243"/>
      <c r="T520" s="243"/>
      <c r="U520" s="243"/>
      <c r="V520" s="243"/>
      <c r="W520" s="243"/>
      <c r="X520" s="243"/>
      <c r="Y520" s="243"/>
      <c r="Z520" s="243"/>
      <c r="AA520" s="243"/>
      <c r="AB520" s="243"/>
      <c r="AC520" s="243"/>
      <c r="AD520" s="243"/>
      <c r="AE520" s="243"/>
      <c r="AF520" s="243"/>
      <c r="AG520" s="243"/>
      <c r="AH520" s="243"/>
      <c r="AI520" s="243"/>
      <c r="AJ520" s="243"/>
      <c r="AK520" s="243"/>
      <c r="AL520" s="243"/>
      <c r="AM520" s="243"/>
      <c r="AN520" s="243"/>
      <c r="AO520" s="243"/>
      <c r="AP520" s="243"/>
      <c r="AQ520" s="243"/>
      <c r="AR520" s="243"/>
      <c r="AS520" s="243"/>
      <c r="AT520" s="243"/>
      <c r="AU520" s="243"/>
      <c r="AV520" s="243"/>
      <c r="AW520" s="243"/>
      <c r="AX520" s="243"/>
      <c r="AY520" s="243"/>
      <c r="AZ520" s="243"/>
      <c r="BA520" s="243"/>
      <c r="BB520" s="243"/>
      <c r="BC520" s="243"/>
      <c r="BD520" s="243"/>
      <c r="BE520" s="243"/>
      <c r="BF520" s="243"/>
      <c r="BG520" s="243"/>
      <c r="BH520" s="243"/>
      <c r="BI520" s="243"/>
      <c r="BJ520" s="243"/>
      <c r="BK520" s="243"/>
      <c r="BL520" s="243"/>
      <c r="BM520" s="243"/>
      <c r="BN520" s="243"/>
      <c r="BO520" s="243"/>
      <c r="BP520" s="243"/>
      <c r="BQ520" s="243"/>
      <c r="BR520" s="243"/>
      <c r="BS520" s="243"/>
    </row>
    <row r="521" spans="1:71" s="12" customFormat="1" ht="41.25" customHeight="1">
      <c r="A521" s="178" t="s">
        <v>80</v>
      </c>
      <c r="B521" s="178" t="str">
        <f ca="1">+UPPER(Tabla1321124[[#This Row],[DESCRIPCIÓN DE LA COMPRA O CONTRATACIÓN]])</f>
        <v>JUNTAS REDUCTURAS A ASBESTO CEMENTO Ø3"</v>
      </c>
      <c r="C521" s="39" t="s">
        <v>17</v>
      </c>
      <c r="D521" s="352">
        <v>60</v>
      </c>
      <c r="E521" s="352">
        <v>60</v>
      </c>
      <c r="F521" s="352">
        <v>60</v>
      </c>
      <c r="G521" s="352">
        <v>60</v>
      </c>
      <c r="H521" s="240">
        <f>SUM(Tabla1321124[[#This Row],[PRIMER TRIMESTRE]:[CUARTO TRIMESTRE]])</f>
        <v>240</v>
      </c>
      <c r="I521" s="17">
        <v>1200</v>
      </c>
      <c r="J521" s="17">
        <f>+Tabla1321124[[#This Row],[CANTIDAD TOTAL]]*Tabla1321124[[#This Row],[PRECIO UNITARIO ESTIMADO]]</f>
        <v>288000</v>
      </c>
      <c r="K521" s="345"/>
      <c r="L521" s="16" t="s">
        <v>18</v>
      </c>
      <c r="M521" s="16" t="s">
        <v>22</v>
      </c>
      <c r="N521" s="16" t="s">
        <v>418</v>
      </c>
      <c r="O521" s="243"/>
      <c r="P521" s="243"/>
      <c r="Q521" s="243"/>
      <c r="R521" s="243"/>
      <c r="S521" s="243"/>
      <c r="T521" s="243"/>
      <c r="U521" s="243"/>
      <c r="V521" s="243"/>
      <c r="W521" s="243"/>
      <c r="X521" s="243"/>
      <c r="Y521" s="243"/>
      <c r="Z521" s="243"/>
      <c r="AA521" s="243"/>
      <c r="AB521" s="243"/>
      <c r="AC521" s="243"/>
      <c r="AD521" s="243"/>
      <c r="AE521" s="243"/>
      <c r="AF521" s="243"/>
      <c r="AG521" s="243"/>
      <c r="AH521" s="243"/>
      <c r="AI521" s="243"/>
      <c r="AJ521" s="243"/>
      <c r="AK521" s="243"/>
      <c r="AL521" s="243"/>
      <c r="AM521" s="243"/>
      <c r="AN521" s="243"/>
      <c r="AO521" s="243"/>
      <c r="AP521" s="243"/>
      <c r="AQ521" s="243"/>
      <c r="AR521" s="243"/>
      <c r="AS521" s="243"/>
      <c r="AT521" s="243"/>
      <c r="AU521" s="243"/>
      <c r="AV521" s="243"/>
      <c r="AW521" s="243"/>
      <c r="AX521" s="243"/>
      <c r="AY521" s="243"/>
      <c r="AZ521" s="243"/>
      <c r="BA521" s="243"/>
      <c r="BB521" s="243"/>
      <c r="BC521" s="243"/>
      <c r="BD521" s="243"/>
      <c r="BE521" s="243"/>
      <c r="BF521" s="243"/>
      <c r="BG521" s="243"/>
      <c r="BH521" s="243"/>
      <c r="BI521" s="243"/>
      <c r="BJ521" s="243"/>
      <c r="BK521" s="243"/>
      <c r="BL521" s="243"/>
      <c r="BM521" s="243"/>
      <c r="BN521" s="243"/>
      <c r="BO521" s="243"/>
      <c r="BP521" s="243"/>
      <c r="BQ521" s="243"/>
      <c r="BR521" s="243"/>
      <c r="BS521" s="243"/>
    </row>
    <row r="522" spans="1:71" s="12" customFormat="1" ht="41.25" customHeight="1">
      <c r="A522" s="178" t="s">
        <v>80</v>
      </c>
      <c r="B522" s="178" t="str">
        <f ca="1">+UPPER(Tabla1321124[[#This Row],[DESCRIPCIÓN DE LA COMPRA O CONTRATACIÓN]])</f>
        <v>JUNTAS REDUCTURAS A ASBESTO CEMENTO Ø4"</v>
      </c>
      <c r="C522" s="39" t="s">
        <v>17</v>
      </c>
      <c r="D522" s="352">
        <v>50</v>
      </c>
      <c r="E522" s="352">
        <v>50</v>
      </c>
      <c r="F522" s="352">
        <v>50</v>
      </c>
      <c r="G522" s="352">
        <v>50</v>
      </c>
      <c r="H522" s="240">
        <f>SUM(Tabla1321124[[#This Row],[PRIMER TRIMESTRE]:[CUARTO TRIMESTRE]])</f>
        <v>200</v>
      </c>
      <c r="I522" s="17">
        <v>1400</v>
      </c>
      <c r="J522" s="17">
        <f>+Tabla1321124[[#This Row],[CANTIDAD TOTAL]]*Tabla1321124[[#This Row],[PRECIO UNITARIO ESTIMADO]]</f>
        <v>280000</v>
      </c>
      <c r="K522" s="345"/>
      <c r="L522" s="16" t="s">
        <v>18</v>
      </c>
      <c r="M522" s="16" t="s">
        <v>22</v>
      </c>
      <c r="N522" s="16" t="s">
        <v>418</v>
      </c>
      <c r="O522" s="243"/>
      <c r="P522" s="243"/>
      <c r="Q522" s="243"/>
      <c r="R522" s="243"/>
      <c r="S522" s="243"/>
      <c r="T522" s="243"/>
      <c r="U522" s="243"/>
      <c r="V522" s="243"/>
      <c r="W522" s="243"/>
      <c r="X522" s="243"/>
      <c r="Y522" s="243"/>
      <c r="Z522" s="243"/>
      <c r="AA522" s="243"/>
      <c r="AB522" s="243"/>
      <c r="AC522" s="243"/>
      <c r="AD522" s="243"/>
      <c r="AE522" s="243"/>
      <c r="AF522" s="243"/>
      <c r="AG522" s="243"/>
      <c r="AH522" s="243"/>
      <c r="AI522" s="243"/>
      <c r="AJ522" s="243"/>
      <c r="AK522" s="243"/>
      <c r="AL522" s="243"/>
      <c r="AM522" s="243"/>
      <c r="AN522" s="243"/>
      <c r="AO522" s="243"/>
      <c r="AP522" s="243"/>
      <c r="AQ522" s="243"/>
      <c r="AR522" s="243"/>
      <c r="AS522" s="243"/>
      <c r="AT522" s="243"/>
      <c r="AU522" s="243"/>
      <c r="AV522" s="243"/>
      <c r="AW522" s="243"/>
      <c r="AX522" s="243"/>
      <c r="AY522" s="243"/>
      <c r="AZ522" s="243"/>
      <c r="BA522" s="243"/>
      <c r="BB522" s="243"/>
      <c r="BC522" s="243"/>
      <c r="BD522" s="243"/>
      <c r="BE522" s="243"/>
      <c r="BF522" s="243"/>
      <c r="BG522" s="243"/>
      <c r="BH522" s="243"/>
      <c r="BI522" s="243"/>
      <c r="BJ522" s="243"/>
      <c r="BK522" s="243"/>
      <c r="BL522" s="243"/>
      <c r="BM522" s="243"/>
      <c r="BN522" s="243"/>
      <c r="BO522" s="243"/>
      <c r="BP522" s="243"/>
      <c r="BQ522" s="243"/>
      <c r="BR522" s="243"/>
      <c r="BS522" s="243"/>
    </row>
    <row r="523" spans="1:71" s="12" customFormat="1" ht="41.25" customHeight="1">
      <c r="A523" s="178" t="s">
        <v>80</v>
      </c>
      <c r="B523" s="178" t="str">
        <f ca="1">+UPPER(Tabla1321124[[#This Row],[DESCRIPCIÓN DE LA COMPRA O CONTRATACIÓN]])</f>
        <v>JUNTAS REDUCTURAS A ASBESTO CEMENTO TIPO B, Ø2"</v>
      </c>
      <c r="C523" s="39" t="s">
        <v>17</v>
      </c>
      <c r="D523" s="362">
        <v>10</v>
      </c>
      <c r="E523" s="362"/>
      <c r="F523" s="362">
        <v>10</v>
      </c>
      <c r="G523" s="362"/>
      <c r="H523" s="240">
        <f>SUM(Tabla1321124[[#This Row],[PRIMER TRIMESTRE]:[CUARTO TRIMESTRE]])</f>
        <v>20</v>
      </c>
      <c r="I523" s="17">
        <v>1500</v>
      </c>
      <c r="J523" s="17">
        <f>+Tabla1321124[[#This Row],[CANTIDAD TOTAL]]*Tabla1321124[[#This Row],[PRECIO UNITARIO ESTIMADO]]</f>
        <v>30000</v>
      </c>
      <c r="K523" s="175"/>
      <c r="L523" s="16" t="s">
        <v>18</v>
      </c>
      <c r="M523" s="16" t="s">
        <v>22</v>
      </c>
      <c r="N523" s="16"/>
      <c r="O523" s="243"/>
      <c r="P523" s="243"/>
      <c r="Q523" s="243"/>
      <c r="R523" s="243"/>
      <c r="S523" s="243"/>
      <c r="T523" s="243"/>
      <c r="U523" s="243"/>
      <c r="V523" s="243"/>
      <c r="W523" s="243"/>
      <c r="X523" s="243"/>
      <c r="Y523" s="243"/>
      <c r="Z523" s="243"/>
      <c r="AA523" s="243"/>
      <c r="AB523" s="243"/>
      <c r="AC523" s="243"/>
      <c r="AD523" s="243"/>
      <c r="AE523" s="243"/>
      <c r="AF523" s="243"/>
      <c r="AG523" s="243"/>
      <c r="AH523" s="243"/>
      <c r="AI523" s="243"/>
      <c r="AJ523" s="243"/>
      <c r="AK523" s="243"/>
      <c r="AL523" s="243"/>
      <c r="AM523" s="243"/>
      <c r="AN523" s="243"/>
      <c r="AO523" s="243"/>
      <c r="AP523" s="243"/>
      <c r="AQ523" s="243"/>
      <c r="AR523" s="243"/>
      <c r="AS523" s="243"/>
      <c r="AT523" s="243"/>
      <c r="AU523" s="243"/>
      <c r="AV523" s="243"/>
      <c r="AW523" s="243"/>
      <c r="AX523" s="243"/>
      <c r="AY523" s="243"/>
      <c r="AZ523" s="243"/>
      <c r="BA523" s="243"/>
      <c r="BB523" s="243"/>
      <c r="BC523" s="243"/>
      <c r="BD523" s="243"/>
      <c r="BE523" s="243"/>
      <c r="BF523" s="243"/>
      <c r="BG523" s="243"/>
      <c r="BH523" s="243"/>
      <c r="BI523" s="243"/>
      <c r="BJ523" s="243"/>
      <c r="BK523" s="243"/>
      <c r="BL523" s="243"/>
      <c r="BM523" s="243"/>
      <c r="BN523" s="243"/>
      <c r="BO523" s="243"/>
      <c r="BP523" s="243"/>
      <c r="BQ523" s="243"/>
      <c r="BR523" s="243"/>
      <c r="BS523" s="243"/>
    </row>
    <row r="524" spans="1:71" s="12" customFormat="1" ht="41.25" customHeight="1">
      <c r="A524" s="178" t="s">
        <v>80</v>
      </c>
      <c r="B524" s="178" t="str">
        <f ca="1">+UPPER(Tabla1321124[[#This Row],[DESCRIPCIÓN DE LA COMPRA O CONTRATACIÓN]])</f>
        <v>JUNTAS REDUCTURAS A ASBESTO CEMENTO TIPO B, Ø6"</v>
      </c>
      <c r="C524" s="39" t="s">
        <v>17</v>
      </c>
      <c r="D524" s="352">
        <f>38+25</f>
        <v>63</v>
      </c>
      <c r="E524" s="352">
        <f>38+15</f>
        <v>53</v>
      </c>
      <c r="F524" s="352">
        <f>38+25</f>
        <v>63</v>
      </c>
      <c r="G524" s="352">
        <f>38+15</f>
        <v>53</v>
      </c>
      <c r="H524" s="240">
        <f>SUM(Tabla1321124[[#This Row],[PRIMER TRIMESTRE]:[CUARTO TRIMESTRE]])</f>
        <v>232</v>
      </c>
      <c r="I524" s="17">
        <v>1800</v>
      </c>
      <c r="J524" s="17">
        <f>+Tabla1321124[[#This Row],[CANTIDAD TOTAL]]*Tabla1321124[[#This Row],[PRECIO UNITARIO ESTIMADO]]</f>
        <v>417600</v>
      </c>
      <c r="K524" s="17"/>
      <c r="L524" s="16" t="s">
        <v>18</v>
      </c>
      <c r="M524" s="16" t="s">
        <v>22</v>
      </c>
      <c r="N524" s="16" t="s">
        <v>418</v>
      </c>
      <c r="O524" s="243"/>
      <c r="P524" s="243"/>
      <c r="Q524" s="243"/>
      <c r="R524" s="243"/>
      <c r="S524" s="243"/>
      <c r="T524" s="243"/>
      <c r="U524" s="243"/>
      <c r="V524" s="243"/>
      <c r="W524" s="243"/>
      <c r="X524" s="243"/>
      <c r="Y524" s="243"/>
      <c r="Z524" s="243"/>
      <c r="AA524" s="243"/>
      <c r="AB524" s="243"/>
      <c r="AC524" s="243"/>
      <c r="AD524" s="243"/>
      <c r="AE524" s="243"/>
      <c r="AF524" s="243"/>
      <c r="AG524" s="243"/>
      <c r="AH524" s="243"/>
      <c r="AI524" s="243"/>
      <c r="AJ524" s="243"/>
      <c r="AK524" s="243"/>
      <c r="AL524" s="243"/>
      <c r="AM524" s="243"/>
      <c r="AN524" s="243"/>
      <c r="AO524" s="243"/>
      <c r="AP524" s="243"/>
      <c r="AQ524" s="243"/>
      <c r="AR524" s="243"/>
      <c r="AS524" s="243"/>
      <c r="AT524" s="243"/>
      <c r="AU524" s="243"/>
      <c r="AV524" s="243"/>
      <c r="AW524" s="243"/>
      <c r="AX524" s="243"/>
      <c r="AY524" s="243"/>
      <c r="AZ524" s="243"/>
      <c r="BA524" s="243"/>
      <c r="BB524" s="243"/>
      <c r="BC524" s="243"/>
      <c r="BD524" s="243"/>
      <c r="BE524" s="243"/>
      <c r="BF524" s="243"/>
      <c r="BG524" s="243"/>
      <c r="BH524" s="243"/>
      <c r="BI524" s="243"/>
      <c r="BJ524" s="243"/>
      <c r="BK524" s="243"/>
      <c r="BL524" s="243"/>
      <c r="BM524" s="243"/>
      <c r="BN524" s="243"/>
      <c r="BO524" s="243"/>
      <c r="BP524" s="243"/>
      <c r="BQ524" s="243"/>
      <c r="BR524" s="243"/>
      <c r="BS524" s="243"/>
    </row>
    <row r="525" spans="1:71" s="12" customFormat="1" ht="41.25" customHeight="1">
      <c r="A525" s="178" t="s">
        <v>80</v>
      </c>
      <c r="B525" s="178" t="str">
        <f ca="1">+UPPER(Tabla1321124[[#This Row],[DESCRIPCIÓN DE LA COMPRA O CONTRATACIÓN]])</f>
        <v>JUNTAS REDUCTURAS A ASBESTO CEMENTO TIPO B, Ø8"</v>
      </c>
      <c r="C525" s="39" t="s">
        <v>17</v>
      </c>
      <c r="D525" s="352">
        <f>3+29</f>
        <v>32</v>
      </c>
      <c r="E525" s="352">
        <f>2+19</f>
        <v>21</v>
      </c>
      <c r="F525" s="352">
        <f>3+29</f>
        <v>32</v>
      </c>
      <c r="G525" s="352">
        <f>2+19</f>
        <v>21</v>
      </c>
      <c r="H525" s="240">
        <f>SUM(Tabla1321124[[#This Row],[PRIMER TRIMESTRE]:[CUARTO TRIMESTRE]])</f>
        <v>106</v>
      </c>
      <c r="I525" s="17">
        <v>2000</v>
      </c>
      <c r="J525" s="17">
        <f>+Tabla1321124[[#This Row],[CANTIDAD TOTAL]]*Tabla1321124[[#This Row],[PRECIO UNITARIO ESTIMADO]]</f>
        <v>212000</v>
      </c>
      <c r="K525" s="17"/>
      <c r="L525" s="16" t="s">
        <v>18</v>
      </c>
      <c r="M525" s="16" t="s">
        <v>22</v>
      </c>
      <c r="N525" s="16" t="s">
        <v>418</v>
      </c>
      <c r="O525" s="243"/>
      <c r="P525" s="243"/>
      <c r="Q525" s="243"/>
      <c r="R525" s="243"/>
      <c r="S525" s="243"/>
      <c r="T525" s="243"/>
      <c r="U525" s="243"/>
      <c r="V525" s="243"/>
      <c r="W525" s="243"/>
      <c r="X525" s="243"/>
      <c r="Y525" s="243"/>
      <c r="Z525" s="243"/>
      <c r="AA525" s="243"/>
      <c r="AB525" s="243"/>
      <c r="AC525" s="243"/>
      <c r="AD525" s="243"/>
      <c r="AE525" s="243"/>
      <c r="AF525" s="243"/>
      <c r="AG525" s="243"/>
      <c r="AH525" s="243"/>
      <c r="AI525" s="243"/>
      <c r="AJ525" s="243"/>
      <c r="AK525" s="243"/>
      <c r="AL525" s="243"/>
      <c r="AM525" s="243"/>
      <c r="AN525" s="243"/>
      <c r="AO525" s="243"/>
      <c r="AP525" s="243"/>
      <c r="AQ525" s="243"/>
      <c r="AR525" s="243"/>
      <c r="AS525" s="243"/>
      <c r="AT525" s="243"/>
      <c r="AU525" s="243"/>
      <c r="AV525" s="243"/>
      <c r="AW525" s="243"/>
      <c r="AX525" s="243"/>
      <c r="AY525" s="243"/>
      <c r="AZ525" s="243"/>
      <c r="BA525" s="243"/>
      <c r="BB525" s="243"/>
      <c r="BC525" s="243"/>
      <c r="BD525" s="243"/>
      <c r="BE525" s="243"/>
      <c r="BF525" s="243"/>
      <c r="BG525" s="243"/>
      <c r="BH525" s="243"/>
      <c r="BI525" s="243"/>
      <c r="BJ525" s="243"/>
      <c r="BK525" s="243"/>
      <c r="BL525" s="243"/>
      <c r="BM525" s="243"/>
      <c r="BN525" s="243"/>
      <c r="BO525" s="243"/>
      <c r="BP525" s="243"/>
      <c r="BQ525" s="243"/>
      <c r="BR525" s="243"/>
      <c r="BS525" s="243"/>
    </row>
    <row r="526" spans="1:71" s="12" customFormat="1" ht="41.25" customHeight="1">
      <c r="A526" s="178" t="s">
        <v>80</v>
      </c>
      <c r="B526" s="178" t="str">
        <f ca="1">+UPPER(Tabla1321124[[#This Row],[DESCRIPCIÓN DE LA COMPRA O CONTRATACIÓN]])</f>
        <v>JUNTAS REDUCTURAS A ASBESTO CEMENTO TIPO B, Ø10"</v>
      </c>
      <c r="C526" s="39" t="s">
        <v>17</v>
      </c>
      <c r="D526" s="352"/>
      <c r="E526" s="352"/>
      <c r="F526" s="352"/>
      <c r="G526" s="352"/>
      <c r="H526" s="240">
        <f>SUM(Tabla1321124[[#This Row],[PRIMER TRIMESTRE]:[CUARTO TRIMESTRE]])</f>
        <v>0</v>
      </c>
      <c r="I526" s="17">
        <v>2500</v>
      </c>
      <c r="J526" s="17">
        <f>+Tabla1321124[[#This Row],[CANTIDAD TOTAL]]*Tabla1321124[[#This Row],[PRECIO UNITARIO ESTIMADO]]</f>
        <v>0</v>
      </c>
      <c r="K526" s="17"/>
      <c r="L526" s="16" t="s">
        <v>18</v>
      </c>
      <c r="M526" s="16" t="s">
        <v>22</v>
      </c>
      <c r="N526" s="16" t="s">
        <v>418</v>
      </c>
      <c r="O526" s="243"/>
      <c r="P526" s="243"/>
      <c r="Q526" s="243"/>
      <c r="R526" s="243"/>
      <c r="S526" s="243"/>
      <c r="T526" s="243"/>
      <c r="U526" s="243"/>
      <c r="V526" s="243"/>
      <c r="W526" s="243"/>
      <c r="X526" s="243"/>
      <c r="Y526" s="243"/>
      <c r="Z526" s="243"/>
      <c r="AA526" s="243"/>
      <c r="AB526" s="243"/>
      <c r="AC526" s="243"/>
      <c r="AD526" s="243"/>
      <c r="AE526" s="243"/>
      <c r="AF526" s="243"/>
      <c r="AG526" s="243"/>
      <c r="AH526" s="243"/>
      <c r="AI526" s="243"/>
      <c r="AJ526" s="243"/>
      <c r="AK526" s="243"/>
      <c r="AL526" s="243"/>
      <c r="AM526" s="243"/>
      <c r="AN526" s="243"/>
      <c r="AO526" s="243"/>
      <c r="AP526" s="243"/>
      <c r="AQ526" s="243"/>
      <c r="AR526" s="243"/>
      <c r="AS526" s="243"/>
      <c r="AT526" s="243"/>
      <c r="AU526" s="243"/>
      <c r="AV526" s="243"/>
      <c r="AW526" s="243"/>
      <c r="AX526" s="243"/>
      <c r="AY526" s="243"/>
      <c r="AZ526" s="243"/>
      <c r="BA526" s="243"/>
      <c r="BB526" s="243"/>
      <c r="BC526" s="243"/>
      <c r="BD526" s="243"/>
      <c r="BE526" s="243"/>
      <c r="BF526" s="243"/>
      <c r="BG526" s="243"/>
      <c r="BH526" s="243"/>
      <c r="BI526" s="243"/>
      <c r="BJ526" s="243"/>
      <c r="BK526" s="243"/>
      <c r="BL526" s="243"/>
      <c r="BM526" s="243"/>
      <c r="BN526" s="243"/>
      <c r="BO526" s="243"/>
      <c r="BP526" s="243"/>
      <c r="BQ526" s="243"/>
      <c r="BR526" s="243"/>
      <c r="BS526" s="243"/>
    </row>
    <row r="527" spans="1:71" s="12" customFormat="1" ht="41.25" customHeight="1">
      <c r="A527" s="178" t="s">
        <v>80</v>
      </c>
      <c r="B527" s="178" t="str">
        <f ca="1">+UPPER(Tabla1321124[[#This Row],[DESCRIPCIÓN DE LA COMPRA O CONTRATACIÓN]])</f>
        <v>JUNTAS REDUCTURAS A ASBESTO CEMENTO TIPO B, Ø12"</v>
      </c>
      <c r="C527" s="39" t="s">
        <v>17</v>
      </c>
      <c r="D527" s="352">
        <f>3+16</f>
        <v>19</v>
      </c>
      <c r="E527" s="352">
        <f>2+10</f>
        <v>12</v>
      </c>
      <c r="F527" s="352">
        <f>3+16</f>
        <v>19</v>
      </c>
      <c r="G527" s="352">
        <f>2+10</f>
        <v>12</v>
      </c>
      <c r="H527" s="240">
        <f>SUM(Tabla1321124[[#This Row],[PRIMER TRIMESTRE]:[CUARTO TRIMESTRE]])</f>
        <v>62</v>
      </c>
      <c r="I527" s="17">
        <v>3100</v>
      </c>
      <c r="J527" s="17">
        <f>+Tabla1321124[[#This Row],[CANTIDAD TOTAL]]*Tabla1321124[[#This Row],[PRECIO UNITARIO ESTIMADO]]</f>
        <v>192200</v>
      </c>
      <c r="K527" s="17"/>
      <c r="L527" s="16" t="s">
        <v>18</v>
      </c>
      <c r="M527" s="16" t="s">
        <v>22</v>
      </c>
      <c r="N527" s="16" t="s">
        <v>418</v>
      </c>
      <c r="O527" s="243"/>
      <c r="P527" s="243"/>
      <c r="Q527" s="243"/>
      <c r="R527" s="243"/>
      <c r="S527" s="243"/>
      <c r="T527" s="243"/>
      <c r="U527" s="243"/>
      <c r="V527" s="243"/>
      <c r="W527" s="243"/>
      <c r="X527" s="243"/>
      <c r="Y527" s="243"/>
      <c r="Z527" s="243"/>
      <c r="AA527" s="243"/>
      <c r="AB527" s="243"/>
      <c r="AC527" s="243"/>
      <c r="AD527" s="243"/>
      <c r="AE527" s="243"/>
      <c r="AF527" s="243"/>
      <c r="AG527" s="243"/>
      <c r="AH527" s="243"/>
      <c r="AI527" s="243"/>
      <c r="AJ527" s="243"/>
      <c r="AK527" s="243"/>
      <c r="AL527" s="243"/>
      <c r="AM527" s="243"/>
      <c r="AN527" s="243"/>
      <c r="AO527" s="243"/>
      <c r="AP527" s="243"/>
      <c r="AQ527" s="243"/>
      <c r="AR527" s="243"/>
      <c r="AS527" s="243"/>
      <c r="AT527" s="243"/>
      <c r="AU527" s="243"/>
      <c r="AV527" s="243"/>
      <c r="AW527" s="243"/>
      <c r="AX527" s="243"/>
      <c r="AY527" s="243"/>
      <c r="AZ527" s="243"/>
      <c r="BA527" s="243"/>
      <c r="BB527" s="243"/>
      <c r="BC527" s="243"/>
      <c r="BD527" s="243"/>
      <c r="BE527" s="243"/>
      <c r="BF527" s="243"/>
      <c r="BG527" s="243"/>
      <c r="BH527" s="243"/>
      <c r="BI527" s="243"/>
      <c r="BJ527" s="243"/>
      <c r="BK527" s="243"/>
      <c r="BL527" s="243"/>
      <c r="BM527" s="243"/>
      <c r="BN527" s="243"/>
      <c r="BO527" s="243"/>
      <c r="BP527" s="243"/>
      <c r="BQ527" s="243"/>
      <c r="BR527" s="243"/>
      <c r="BS527" s="243"/>
    </row>
    <row r="528" spans="1:71" s="12" customFormat="1" ht="41.25" customHeight="1">
      <c r="A528" s="178" t="s">
        <v>80</v>
      </c>
      <c r="B528" s="178" t="str">
        <f ca="1">+UPPER(Tabla1321124[[#This Row],[DESCRIPCIÓN DE LA COMPRA O CONTRATACIÓN]])</f>
        <v>JUNTAS REDUCTURAS A ASBESTO CEMENTO TIPO B, Ø16"</v>
      </c>
      <c r="C528" s="39" t="s">
        <v>17</v>
      </c>
      <c r="D528" s="352">
        <f>15+5</f>
        <v>20</v>
      </c>
      <c r="E528" s="352">
        <f>15+5</f>
        <v>20</v>
      </c>
      <c r="F528" s="352">
        <f>15+5</f>
        <v>20</v>
      </c>
      <c r="G528" s="352">
        <f>15+5</f>
        <v>20</v>
      </c>
      <c r="H528" s="240">
        <f>SUM(Tabla1321124[[#This Row],[PRIMER TRIMESTRE]:[CUARTO TRIMESTRE]])</f>
        <v>80</v>
      </c>
      <c r="I528" s="17">
        <v>4100</v>
      </c>
      <c r="J528" s="17">
        <f>+Tabla1321124[[#This Row],[CANTIDAD TOTAL]]*Tabla1321124[[#This Row],[PRECIO UNITARIO ESTIMADO]]</f>
        <v>328000</v>
      </c>
      <c r="K528" s="17"/>
      <c r="L528" s="16" t="s">
        <v>18</v>
      </c>
      <c r="M528" s="16" t="s">
        <v>22</v>
      </c>
      <c r="N528" s="16" t="s">
        <v>418</v>
      </c>
      <c r="O528" s="243"/>
      <c r="P528" s="243"/>
      <c r="Q528" s="243"/>
      <c r="R528" s="243"/>
      <c r="S528" s="243"/>
      <c r="T528" s="243"/>
      <c r="U528" s="243"/>
      <c r="V528" s="243"/>
      <c r="W528" s="243"/>
      <c r="X528" s="243"/>
      <c r="Y528" s="243"/>
      <c r="Z528" s="243"/>
      <c r="AA528" s="243"/>
      <c r="AB528" s="243"/>
      <c r="AC528" s="243"/>
      <c r="AD528" s="243"/>
      <c r="AE528" s="243"/>
      <c r="AF528" s="243"/>
      <c r="AG528" s="243"/>
      <c r="AH528" s="243"/>
      <c r="AI528" s="243"/>
      <c r="AJ528" s="243"/>
      <c r="AK528" s="243"/>
      <c r="AL528" s="243"/>
      <c r="AM528" s="243"/>
      <c r="AN528" s="243"/>
      <c r="AO528" s="243"/>
      <c r="AP528" s="243"/>
      <c r="AQ528" s="243"/>
      <c r="AR528" s="243"/>
      <c r="AS528" s="243"/>
      <c r="AT528" s="243"/>
      <c r="AU528" s="243"/>
      <c r="AV528" s="243"/>
      <c r="AW528" s="243"/>
      <c r="AX528" s="243"/>
      <c r="AY528" s="243"/>
      <c r="AZ528" s="243"/>
      <c r="BA528" s="243"/>
      <c r="BB528" s="243"/>
      <c r="BC528" s="243"/>
      <c r="BD528" s="243"/>
      <c r="BE528" s="243"/>
      <c r="BF528" s="243"/>
      <c r="BG528" s="243"/>
      <c r="BH528" s="243"/>
      <c r="BI528" s="243"/>
      <c r="BJ528" s="243"/>
      <c r="BK528" s="243"/>
      <c r="BL528" s="243"/>
      <c r="BM528" s="243"/>
      <c r="BN528" s="243"/>
      <c r="BO528" s="243"/>
      <c r="BP528" s="243"/>
      <c r="BQ528" s="243"/>
      <c r="BR528" s="243"/>
      <c r="BS528" s="243"/>
    </row>
    <row r="529" spans="1:71" s="12" customFormat="1" ht="41.25" customHeight="1">
      <c r="A529" s="178" t="s">
        <v>80</v>
      </c>
      <c r="B529" s="178" t="str">
        <f ca="1">+UPPER(Tabla1321124[[#This Row],[DESCRIPCIÓN DE LA COMPRA O CONTRATACIÓN]])</f>
        <v>JUNTAS REDUCTURAS A ASBESTO CEMENTO TIPO B, Ø20"</v>
      </c>
      <c r="C529" s="39" t="s">
        <v>17</v>
      </c>
      <c r="D529" s="352">
        <v>9</v>
      </c>
      <c r="E529" s="352">
        <v>9</v>
      </c>
      <c r="F529" s="352">
        <v>9</v>
      </c>
      <c r="G529" s="352">
        <v>9</v>
      </c>
      <c r="H529" s="240">
        <f>SUM(Tabla1321124[[#This Row],[PRIMER TRIMESTRE]:[CUARTO TRIMESTRE]])</f>
        <v>36</v>
      </c>
      <c r="I529" s="17">
        <v>8660</v>
      </c>
      <c r="J529" s="17">
        <f>+Tabla1321124[[#This Row],[CANTIDAD TOTAL]]*Tabla1321124[[#This Row],[PRECIO UNITARIO ESTIMADO]]</f>
        <v>311760</v>
      </c>
      <c r="K529" s="17"/>
      <c r="L529" s="16" t="s">
        <v>18</v>
      </c>
      <c r="M529" s="16" t="s">
        <v>22</v>
      </c>
      <c r="N529" s="16" t="s">
        <v>418</v>
      </c>
      <c r="O529" s="243"/>
      <c r="P529" s="243"/>
      <c r="Q529" s="243"/>
      <c r="R529" s="243"/>
      <c r="S529" s="243"/>
      <c r="T529" s="243"/>
      <c r="U529" s="243"/>
      <c r="V529" s="243"/>
      <c r="W529" s="243"/>
      <c r="X529" s="243"/>
      <c r="Y529" s="243"/>
      <c r="Z529" s="243"/>
      <c r="AA529" s="243"/>
      <c r="AB529" s="243"/>
      <c r="AC529" s="243"/>
      <c r="AD529" s="243"/>
      <c r="AE529" s="243"/>
      <c r="AF529" s="243"/>
      <c r="AG529" s="243"/>
      <c r="AH529" s="243"/>
      <c r="AI529" s="243"/>
      <c r="AJ529" s="243"/>
      <c r="AK529" s="243"/>
      <c r="AL529" s="243"/>
      <c r="AM529" s="243"/>
      <c r="AN529" s="243"/>
      <c r="AO529" s="243"/>
      <c r="AP529" s="243"/>
      <c r="AQ529" s="243"/>
      <c r="AR529" s="243"/>
      <c r="AS529" s="243"/>
      <c r="AT529" s="243"/>
      <c r="AU529" s="243"/>
      <c r="AV529" s="243"/>
      <c r="AW529" s="243"/>
      <c r="AX529" s="243"/>
      <c r="AY529" s="243"/>
      <c r="AZ529" s="243"/>
      <c r="BA529" s="243"/>
      <c r="BB529" s="243"/>
      <c r="BC529" s="243"/>
      <c r="BD529" s="243"/>
      <c r="BE529" s="243"/>
      <c r="BF529" s="243"/>
      <c r="BG529" s="243"/>
      <c r="BH529" s="243"/>
      <c r="BI529" s="243"/>
      <c r="BJ529" s="243"/>
      <c r="BK529" s="243"/>
      <c r="BL529" s="243"/>
      <c r="BM529" s="243"/>
      <c r="BN529" s="243"/>
      <c r="BO529" s="243"/>
      <c r="BP529" s="243"/>
      <c r="BQ529" s="243"/>
      <c r="BR529" s="243"/>
      <c r="BS529" s="243"/>
    </row>
    <row r="530" spans="1:71" s="12" customFormat="1" ht="41.25" customHeight="1">
      <c r="A530" s="178" t="s">
        <v>80</v>
      </c>
      <c r="B530" s="178" t="str">
        <f ca="1">+UPPER(Tabla1321124[[#This Row],[DESCRIPCIÓN DE LA COMPRA O CONTRATACIÓN]])</f>
        <v>JUNTAS REDUCTURAS A ASBESTO CEMENTO TIPO C, Ø2"</v>
      </c>
      <c r="C530" s="39" t="s">
        <v>17</v>
      </c>
      <c r="D530" s="370">
        <v>28</v>
      </c>
      <c r="E530" s="370">
        <v>22</v>
      </c>
      <c r="F530" s="370">
        <v>28</v>
      </c>
      <c r="G530" s="370">
        <v>22</v>
      </c>
      <c r="H530" s="240">
        <f>SUM(Tabla1321124[[#This Row],[PRIMER TRIMESTRE]:[CUARTO TRIMESTRE]])</f>
        <v>100</v>
      </c>
      <c r="I530" s="17">
        <v>8660</v>
      </c>
      <c r="J530" s="17">
        <f>+Tabla1321124[[#This Row],[CANTIDAD TOTAL]]*Tabla1321124[[#This Row],[PRECIO UNITARIO ESTIMADO]]</f>
        <v>866000</v>
      </c>
      <c r="K530" s="175"/>
      <c r="L530" s="16" t="s">
        <v>18</v>
      </c>
      <c r="M530" s="16" t="s">
        <v>22</v>
      </c>
      <c r="N530" s="16" t="s">
        <v>418</v>
      </c>
      <c r="O530" s="243"/>
      <c r="P530" s="243"/>
      <c r="Q530" s="243"/>
      <c r="R530" s="243"/>
      <c r="S530" s="243"/>
      <c r="T530" s="243"/>
      <c r="U530" s="243"/>
      <c r="V530" s="243"/>
      <c r="W530" s="243"/>
      <c r="X530" s="243"/>
      <c r="Y530" s="243"/>
      <c r="Z530" s="243"/>
      <c r="AA530" s="243"/>
      <c r="AB530" s="243"/>
      <c r="AC530" s="243"/>
      <c r="AD530" s="243"/>
      <c r="AE530" s="243"/>
      <c r="AF530" s="243"/>
      <c r="AG530" s="243"/>
      <c r="AH530" s="243"/>
      <c r="AI530" s="243"/>
      <c r="AJ530" s="243"/>
      <c r="AK530" s="243"/>
      <c r="AL530" s="243"/>
      <c r="AM530" s="243"/>
      <c r="AN530" s="243"/>
      <c r="AO530" s="243"/>
      <c r="AP530" s="243"/>
      <c r="AQ530" s="243"/>
      <c r="AR530" s="243"/>
      <c r="AS530" s="243"/>
      <c r="AT530" s="243"/>
      <c r="AU530" s="243"/>
      <c r="AV530" s="243"/>
      <c r="AW530" s="243"/>
      <c r="AX530" s="243"/>
      <c r="AY530" s="243"/>
      <c r="AZ530" s="243"/>
      <c r="BA530" s="243"/>
      <c r="BB530" s="243"/>
      <c r="BC530" s="243"/>
      <c r="BD530" s="243"/>
      <c r="BE530" s="243"/>
      <c r="BF530" s="243"/>
      <c r="BG530" s="243"/>
      <c r="BH530" s="243"/>
      <c r="BI530" s="243"/>
      <c r="BJ530" s="243"/>
      <c r="BK530" s="243"/>
      <c r="BL530" s="243"/>
      <c r="BM530" s="243"/>
      <c r="BN530" s="243"/>
      <c r="BO530" s="243"/>
      <c r="BP530" s="243"/>
      <c r="BQ530" s="243"/>
      <c r="BR530" s="243"/>
      <c r="BS530" s="243"/>
    </row>
    <row r="531" spans="1:71" s="12" customFormat="1" ht="41.25" customHeight="1">
      <c r="A531" s="178" t="s">
        <v>80</v>
      </c>
      <c r="B531" s="178" t="str">
        <f ca="1">+UPPER(Tabla1321124[[#This Row],[DESCRIPCIÓN DE LA COMPRA O CONTRATACIÓN]])</f>
        <v>JUNTAS REDUCTURAS A ASBESTO CEMENTO TIPO B, Ø3"</v>
      </c>
      <c r="C531" s="39" t="s">
        <v>17</v>
      </c>
      <c r="D531" s="362">
        <v>10</v>
      </c>
      <c r="E531" s="362"/>
      <c r="F531" s="362">
        <v>10</v>
      </c>
      <c r="G531" s="362"/>
      <c r="H531" s="240">
        <f>SUM(Tabla1321124[[#This Row],[PRIMER TRIMESTRE]:[CUARTO TRIMESTRE]])</f>
        <v>20</v>
      </c>
      <c r="I531" s="17">
        <v>4100</v>
      </c>
      <c r="J531" s="17">
        <f>+Tabla1321124[[#This Row],[CANTIDAD TOTAL]]*Tabla1321124[[#This Row],[PRECIO UNITARIO ESTIMADO]]</f>
        <v>82000</v>
      </c>
      <c r="K531" s="175"/>
      <c r="L531" s="16" t="s">
        <v>18</v>
      </c>
      <c r="M531" s="16" t="s">
        <v>22</v>
      </c>
      <c r="N531" s="16"/>
      <c r="O531" s="243"/>
      <c r="P531" s="243"/>
      <c r="Q531" s="243"/>
      <c r="R531" s="243"/>
      <c r="S531" s="243"/>
      <c r="T531" s="243"/>
      <c r="U531" s="243"/>
      <c r="V531" s="243"/>
      <c r="W531" s="243"/>
      <c r="X531" s="243"/>
      <c r="Y531" s="243"/>
      <c r="Z531" s="243"/>
      <c r="AA531" s="243"/>
      <c r="AB531" s="243"/>
      <c r="AC531" s="243"/>
      <c r="AD531" s="243"/>
      <c r="AE531" s="243"/>
      <c r="AF531" s="243"/>
      <c r="AG531" s="243"/>
      <c r="AH531" s="243"/>
      <c r="AI531" s="243"/>
      <c r="AJ531" s="243"/>
      <c r="AK531" s="243"/>
      <c r="AL531" s="243"/>
      <c r="AM531" s="243"/>
      <c r="AN531" s="243"/>
      <c r="AO531" s="243"/>
      <c r="AP531" s="243"/>
      <c r="AQ531" s="243"/>
      <c r="AR531" s="243"/>
      <c r="AS531" s="243"/>
      <c r="AT531" s="243"/>
      <c r="AU531" s="243"/>
      <c r="AV531" s="243"/>
      <c r="AW531" s="243"/>
      <c r="AX531" s="243"/>
      <c r="AY531" s="243"/>
      <c r="AZ531" s="243"/>
      <c r="BA531" s="243"/>
      <c r="BB531" s="243"/>
      <c r="BC531" s="243"/>
      <c r="BD531" s="243"/>
      <c r="BE531" s="243"/>
      <c r="BF531" s="243"/>
      <c r="BG531" s="243"/>
      <c r="BH531" s="243"/>
      <c r="BI531" s="243"/>
      <c r="BJ531" s="243"/>
      <c r="BK531" s="243"/>
      <c r="BL531" s="243"/>
      <c r="BM531" s="243"/>
      <c r="BN531" s="243"/>
      <c r="BO531" s="243"/>
      <c r="BP531" s="243"/>
      <c r="BQ531" s="243"/>
      <c r="BR531" s="243"/>
      <c r="BS531" s="243"/>
    </row>
    <row r="532" spans="1:71" s="12" customFormat="1" ht="41.25" customHeight="1">
      <c r="A532" s="178" t="s">
        <v>80</v>
      </c>
      <c r="B532" s="178" t="str">
        <f ca="1">+UPPER(Tabla1321124[[#This Row],[DESCRIPCIÓN DE LA COMPRA O CONTRATACIÓN]])</f>
        <v>JUNTAS REDUCTURAS A ASBESTO CEMENTO TIPO C, Ø3"</v>
      </c>
      <c r="C532" s="39" t="s">
        <v>17</v>
      </c>
      <c r="D532" s="370">
        <v>26</v>
      </c>
      <c r="E532" s="370">
        <v>22</v>
      </c>
      <c r="F532" s="370">
        <v>26</v>
      </c>
      <c r="G532" s="370">
        <v>22</v>
      </c>
      <c r="H532" s="240">
        <f>SUM(Tabla1321124[[#This Row],[PRIMER TRIMESTRE]:[CUARTO TRIMESTRE]])</f>
        <v>96</v>
      </c>
      <c r="I532" s="17">
        <v>8660</v>
      </c>
      <c r="J532" s="17">
        <f>+Tabla1321124[[#This Row],[CANTIDAD TOTAL]]*Tabla1321124[[#This Row],[PRECIO UNITARIO ESTIMADO]]</f>
        <v>831360</v>
      </c>
      <c r="K532" s="175"/>
      <c r="L532" s="16" t="s">
        <v>18</v>
      </c>
      <c r="M532" s="16" t="s">
        <v>22</v>
      </c>
      <c r="N532" s="16" t="s">
        <v>418</v>
      </c>
      <c r="O532" s="243"/>
      <c r="P532" s="243"/>
      <c r="Q532" s="243"/>
      <c r="R532" s="243"/>
      <c r="S532" s="243"/>
      <c r="T532" s="243"/>
      <c r="U532" s="243"/>
      <c r="V532" s="243"/>
      <c r="W532" s="243"/>
      <c r="X532" s="243"/>
      <c r="Y532" s="243"/>
      <c r="Z532" s="243"/>
      <c r="AA532" s="243"/>
      <c r="AB532" s="243"/>
      <c r="AC532" s="243"/>
      <c r="AD532" s="243"/>
      <c r="AE532" s="243"/>
      <c r="AF532" s="243"/>
      <c r="AG532" s="243"/>
      <c r="AH532" s="243"/>
      <c r="AI532" s="243"/>
      <c r="AJ532" s="243"/>
      <c r="AK532" s="243"/>
      <c r="AL532" s="243"/>
      <c r="AM532" s="243"/>
      <c r="AN532" s="243"/>
      <c r="AO532" s="243"/>
      <c r="AP532" s="243"/>
      <c r="AQ532" s="243"/>
      <c r="AR532" s="243"/>
      <c r="AS532" s="243"/>
      <c r="AT532" s="243"/>
      <c r="AU532" s="243"/>
      <c r="AV532" s="243"/>
      <c r="AW532" s="243"/>
      <c r="AX532" s="243"/>
      <c r="AY532" s="243"/>
      <c r="AZ532" s="243"/>
      <c r="BA532" s="243"/>
      <c r="BB532" s="243"/>
      <c r="BC532" s="243"/>
      <c r="BD532" s="243"/>
      <c r="BE532" s="243"/>
      <c r="BF532" s="243"/>
      <c r="BG532" s="243"/>
      <c r="BH532" s="243"/>
      <c r="BI532" s="243"/>
      <c r="BJ532" s="243"/>
      <c r="BK532" s="243"/>
      <c r="BL532" s="243"/>
      <c r="BM532" s="243"/>
      <c r="BN532" s="243"/>
      <c r="BO532" s="243"/>
      <c r="BP532" s="243"/>
      <c r="BQ532" s="243"/>
      <c r="BR532" s="243"/>
      <c r="BS532" s="243"/>
    </row>
    <row r="533" spans="1:71" s="12" customFormat="1" ht="41.25" customHeight="1">
      <c r="A533" s="178" t="s">
        <v>80</v>
      </c>
      <c r="B533" s="178" t="str">
        <f ca="1">+UPPER(Tabla1321124[[#This Row],[DESCRIPCIÓN DE LA COMPRA O CONTRATACIÓN]])</f>
        <v>JUNTAS REDUCTURAS A ASBESTO CEMENTO TIPO C, Ø4"</v>
      </c>
      <c r="C533" s="39" t="s">
        <v>17</v>
      </c>
      <c r="D533" s="362">
        <v>4</v>
      </c>
      <c r="E533" s="362"/>
      <c r="F533" s="362">
        <v>4</v>
      </c>
      <c r="G533" s="362"/>
      <c r="H533" s="240">
        <f>SUM(Tabla1321124[[#This Row],[PRIMER TRIMESTRE]:[CUARTO TRIMESTRE]])</f>
        <v>8</v>
      </c>
      <c r="I533" s="17">
        <v>8000</v>
      </c>
      <c r="J533" s="17">
        <f>+Tabla1321124[[#This Row],[CANTIDAD TOTAL]]*Tabla1321124[[#This Row],[PRECIO UNITARIO ESTIMADO]]</f>
        <v>64000</v>
      </c>
      <c r="K533" s="175"/>
      <c r="L533" s="16" t="s">
        <v>18</v>
      </c>
      <c r="M533" s="16" t="s">
        <v>22</v>
      </c>
      <c r="N533" s="16"/>
      <c r="O533" s="243"/>
      <c r="P533" s="243"/>
      <c r="Q533" s="243"/>
      <c r="R533" s="243"/>
      <c r="S533" s="243"/>
      <c r="T533" s="243"/>
      <c r="U533" s="243"/>
      <c r="V533" s="243"/>
      <c r="W533" s="243"/>
      <c r="X533" s="243"/>
      <c r="Y533" s="243"/>
      <c r="Z533" s="243"/>
      <c r="AA533" s="243"/>
      <c r="AB533" s="243"/>
      <c r="AC533" s="243"/>
      <c r="AD533" s="243"/>
      <c r="AE533" s="243"/>
      <c r="AF533" s="243"/>
      <c r="AG533" s="243"/>
      <c r="AH533" s="243"/>
      <c r="AI533" s="243"/>
      <c r="AJ533" s="243"/>
      <c r="AK533" s="243"/>
      <c r="AL533" s="243"/>
      <c r="AM533" s="243"/>
      <c r="AN533" s="243"/>
      <c r="AO533" s="243"/>
      <c r="AP533" s="243"/>
      <c r="AQ533" s="243"/>
      <c r="AR533" s="243"/>
      <c r="AS533" s="243"/>
      <c r="AT533" s="243"/>
      <c r="AU533" s="243"/>
      <c r="AV533" s="243"/>
      <c r="AW533" s="243"/>
      <c r="AX533" s="243"/>
      <c r="AY533" s="243"/>
      <c r="AZ533" s="243"/>
      <c r="BA533" s="243"/>
      <c r="BB533" s="243"/>
      <c r="BC533" s="243"/>
      <c r="BD533" s="243"/>
      <c r="BE533" s="243"/>
      <c r="BF533" s="243"/>
      <c r="BG533" s="243"/>
      <c r="BH533" s="243"/>
      <c r="BI533" s="243"/>
      <c r="BJ533" s="243"/>
      <c r="BK533" s="243"/>
      <c r="BL533" s="243"/>
      <c r="BM533" s="243"/>
      <c r="BN533" s="243"/>
      <c r="BO533" s="243"/>
      <c r="BP533" s="243"/>
      <c r="BQ533" s="243"/>
      <c r="BR533" s="243"/>
      <c r="BS533" s="243"/>
    </row>
    <row r="534" spans="1:71" s="12" customFormat="1" ht="41.25" customHeight="1">
      <c r="A534" s="178" t="s">
        <v>80</v>
      </c>
      <c r="B534" s="178" t="str">
        <f ca="1">+UPPER(Tabla1321124[[#This Row],[DESCRIPCIÓN DE LA COMPRA O CONTRATACIÓN]])</f>
        <v>JUNTAS REDUCTORAS A ASBESTO CEMENTO TIPO B, Ø4"</v>
      </c>
      <c r="C534" s="39" t="s">
        <v>17</v>
      </c>
      <c r="D534" s="370">
        <v>18</v>
      </c>
      <c r="E534" s="370">
        <v>12</v>
      </c>
      <c r="F534" s="370">
        <v>18</v>
      </c>
      <c r="G534" s="370">
        <v>12</v>
      </c>
      <c r="H534" s="240">
        <f>SUM(Tabla1321124[[#This Row],[PRIMER TRIMESTRE]:[CUARTO TRIMESTRE]])</f>
        <v>60</v>
      </c>
      <c r="I534" s="17">
        <v>7500</v>
      </c>
      <c r="J534" s="17">
        <f>+Tabla1321124[[#This Row],[CANTIDAD TOTAL]]*Tabla1321124[[#This Row],[PRECIO UNITARIO ESTIMADO]]</f>
        <v>450000</v>
      </c>
      <c r="K534" s="175"/>
      <c r="L534" s="16" t="s">
        <v>18</v>
      </c>
      <c r="M534" s="16" t="s">
        <v>22</v>
      </c>
      <c r="N534" s="16"/>
      <c r="O534" s="243"/>
      <c r="P534" s="243"/>
      <c r="Q534" s="243"/>
      <c r="R534" s="243"/>
      <c r="S534" s="243"/>
      <c r="T534" s="243"/>
      <c r="U534" s="243"/>
      <c r="V534" s="243"/>
      <c r="W534" s="243"/>
      <c r="X534" s="243"/>
      <c r="Y534" s="243"/>
      <c r="Z534" s="243"/>
      <c r="AA534" s="243"/>
      <c r="AB534" s="243"/>
      <c r="AC534" s="243"/>
      <c r="AD534" s="243"/>
      <c r="AE534" s="243"/>
      <c r="AF534" s="243"/>
      <c r="AG534" s="243"/>
      <c r="AH534" s="243"/>
      <c r="AI534" s="243"/>
      <c r="AJ534" s="243"/>
      <c r="AK534" s="243"/>
      <c r="AL534" s="243"/>
      <c r="AM534" s="243"/>
      <c r="AN534" s="243"/>
      <c r="AO534" s="243"/>
      <c r="AP534" s="243"/>
      <c r="AQ534" s="243"/>
      <c r="AR534" s="243"/>
      <c r="AS534" s="243"/>
      <c r="AT534" s="243"/>
      <c r="AU534" s="243"/>
      <c r="AV534" s="243"/>
      <c r="AW534" s="243"/>
      <c r="AX534" s="243"/>
      <c r="AY534" s="243"/>
      <c r="AZ534" s="243"/>
      <c r="BA534" s="243"/>
      <c r="BB534" s="243"/>
      <c r="BC534" s="243"/>
      <c r="BD534" s="243"/>
      <c r="BE534" s="243"/>
      <c r="BF534" s="243"/>
      <c r="BG534" s="243"/>
      <c r="BH534" s="243"/>
      <c r="BI534" s="243"/>
      <c r="BJ534" s="243"/>
      <c r="BK534" s="243"/>
      <c r="BL534" s="243"/>
      <c r="BM534" s="243"/>
      <c r="BN534" s="243"/>
      <c r="BO534" s="243"/>
      <c r="BP534" s="243"/>
      <c r="BQ534" s="243"/>
      <c r="BR534" s="243"/>
      <c r="BS534" s="243"/>
    </row>
    <row r="535" spans="1:71" s="12" customFormat="1" ht="41.25" customHeight="1">
      <c r="A535" s="178" t="s">
        <v>80</v>
      </c>
      <c r="B535" s="178" t="str">
        <f ca="1">+UPPER(Tabla1321124[[#This Row],[DESCRIPCIÓN DE LA COMPRA O CONTRATACIÓN]])</f>
        <v>JUNTAS REDUCTURAS A ASBESTO CEMENTO TIPO C, Ø6"</v>
      </c>
      <c r="C535" s="39" t="s">
        <v>17</v>
      </c>
      <c r="D535" s="352">
        <f>12+10</f>
        <v>22</v>
      </c>
      <c r="E535" s="352">
        <f>13+10</f>
        <v>23</v>
      </c>
      <c r="F535" s="352">
        <f>12+14</f>
        <v>26</v>
      </c>
      <c r="G535" s="352">
        <f>13+10</f>
        <v>23</v>
      </c>
      <c r="H535" s="240">
        <f>SUM(Tabla1321124[[#This Row],[PRIMER TRIMESTRE]:[CUARTO TRIMESTRE]])</f>
        <v>94</v>
      </c>
      <c r="I535" s="17">
        <v>1800</v>
      </c>
      <c r="J535" s="17">
        <f>+Tabla1321124[[#This Row],[CANTIDAD TOTAL]]*Tabla1321124[[#This Row],[PRECIO UNITARIO ESTIMADO]]</f>
        <v>169200</v>
      </c>
      <c r="K535" s="17"/>
      <c r="L535" s="16" t="s">
        <v>18</v>
      </c>
      <c r="M535" s="16" t="s">
        <v>22</v>
      </c>
      <c r="N535" s="16" t="s">
        <v>418</v>
      </c>
      <c r="O535" s="243"/>
      <c r="P535" s="243"/>
      <c r="Q535" s="243"/>
      <c r="R535" s="243"/>
      <c r="S535" s="243"/>
      <c r="T535" s="243"/>
      <c r="U535" s="243"/>
      <c r="V535" s="243"/>
      <c r="W535" s="243"/>
      <c r="X535" s="243"/>
      <c r="Y535" s="243"/>
      <c r="Z535" s="243"/>
      <c r="AA535" s="243"/>
      <c r="AB535" s="243"/>
      <c r="AC535" s="243"/>
      <c r="AD535" s="243"/>
      <c r="AE535" s="243"/>
      <c r="AF535" s="243"/>
      <c r="AG535" s="243"/>
      <c r="AH535" s="243"/>
      <c r="AI535" s="243"/>
      <c r="AJ535" s="243"/>
      <c r="AK535" s="243"/>
      <c r="AL535" s="243"/>
      <c r="AM535" s="243"/>
      <c r="AN535" s="243"/>
      <c r="AO535" s="243"/>
      <c r="AP535" s="243"/>
      <c r="AQ535" s="243"/>
      <c r="AR535" s="243"/>
      <c r="AS535" s="243"/>
      <c r="AT535" s="243"/>
      <c r="AU535" s="243"/>
      <c r="AV535" s="243"/>
      <c r="AW535" s="243"/>
      <c r="AX535" s="243"/>
      <c r="AY535" s="243"/>
      <c r="AZ535" s="243"/>
      <c r="BA535" s="243"/>
      <c r="BB535" s="243"/>
      <c r="BC535" s="243"/>
      <c r="BD535" s="243"/>
      <c r="BE535" s="243"/>
      <c r="BF535" s="243"/>
      <c r="BG535" s="243"/>
      <c r="BH535" s="243"/>
      <c r="BI535" s="243"/>
      <c r="BJ535" s="243"/>
      <c r="BK535" s="243"/>
      <c r="BL535" s="243"/>
      <c r="BM535" s="243"/>
      <c r="BN535" s="243"/>
      <c r="BO535" s="243"/>
      <c r="BP535" s="243"/>
      <c r="BQ535" s="243"/>
      <c r="BR535" s="243"/>
      <c r="BS535" s="243"/>
    </row>
    <row r="536" spans="1:71" s="12" customFormat="1" ht="41.25" customHeight="1">
      <c r="A536" s="178" t="s">
        <v>80</v>
      </c>
      <c r="B536" s="178" t="str">
        <f ca="1">+UPPER(Tabla1321124[[#This Row],[DESCRIPCIÓN DE LA COMPRA O CONTRATACIÓN]])</f>
        <v>JUNTAS REDUCTURAS A ASBESTO CEMENTO TIPO C, Ø8"</v>
      </c>
      <c r="C536" s="39" t="s">
        <v>17</v>
      </c>
      <c r="D536" s="352">
        <f>5+14</f>
        <v>19</v>
      </c>
      <c r="E536" s="352">
        <f>5+10</f>
        <v>15</v>
      </c>
      <c r="F536" s="352">
        <f>5+14</f>
        <v>19</v>
      </c>
      <c r="G536" s="352">
        <f>5+10</f>
        <v>15</v>
      </c>
      <c r="H536" s="240">
        <f>SUM(Tabla1321124[[#This Row],[PRIMER TRIMESTRE]:[CUARTO TRIMESTRE]])</f>
        <v>68</v>
      </c>
      <c r="I536" s="17">
        <v>2000</v>
      </c>
      <c r="J536" s="17">
        <f>+Tabla1321124[[#This Row],[CANTIDAD TOTAL]]*Tabla1321124[[#This Row],[PRECIO UNITARIO ESTIMADO]]</f>
        <v>136000</v>
      </c>
      <c r="K536" s="17"/>
      <c r="L536" s="16" t="s">
        <v>18</v>
      </c>
      <c r="M536" s="16" t="s">
        <v>22</v>
      </c>
      <c r="N536" s="16" t="s">
        <v>418</v>
      </c>
      <c r="O536" s="243"/>
      <c r="P536" s="243"/>
      <c r="Q536" s="243"/>
      <c r="R536" s="243"/>
      <c r="S536" s="243"/>
      <c r="T536" s="243"/>
      <c r="U536" s="243"/>
      <c r="V536" s="243"/>
      <c r="W536" s="243"/>
      <c r="X536" s="243"/>
      <c r="Y536" s="243"/>
      <c r="Z536" s="243"/>
      <c r="AA536" s="243"/>
      <c r="AB536" s="243"/>
      <c r="AC536" s="243"/>
      <c r="AD536" s="243"/>
      <c r="AE536" s="243"/>
      <c r="AF536" s="243"/>
      <c r="AG536" s="243"/>
      <c r="AH536" s="243"/>
      <c r="AI536" s="243"/>
      <c r="AJ536" s="243"/>
      <c r="AK536" s="243"/>
      <c r="AL536" s="243"/>
      <c r="AM536" s="243"/>
      <c r="AN536" s="243"/>
      <c r="AO536" s="243"/>
      <c r="AP536" s="243"/>
      <c r="AQ536" s="243"/>
      <c r="AR536" s="243"/>
      <c r="AS536" s="243"/>
      <c r="AT536" s="243"/>
      <c r="AU536" s="243"/>
      <c r="AV536" s="243"/>
      <c r="AW536" s="243"/>
      <c r="AX536" s="243"/>
      <c r="AY536" s="243"/>
      <c r="AZ536" s="243"/>
      <c r="BA536" s="243"/>
      <c r="BB536" s="243"/>
      <c r="BC536" s="243"/>
      <c r="BD536" s="243"/>
      <c r="BE536" s="243"/>
      <c r="BF536" s="243"/>
      <c r="BG536" s="243"/>
      <c r="BH536" s="243"/>
      <c r="BI536" s="243"/>
      <c r="BJ536" s="243"/>
      <c r="BK536" s="243"/>
      <c r="BL536" s="243"/>
      <c r="BM536" s="243"/>
      <c r="BN536" s="243"/>
      <c r="BO536" s="243"/>
      <c r="BP536" s="243"/>
      <c r="BQ536" s="243"/>
      <c r="BR536" s="243"/>
      <c r="BS536" s="243"/>
    </row>
    <row r="537" spans="1:71" s="12" customFormat="1" ht="41.25" customHeight="1">
      <c r="A537" s="178" t="s">
        <v>80</v>
      </c>
      <c r="B537" s="178" t="str">
        <f ca="1">+UPPER(Tabla1321124[[#This Row],[DESCRIPCIÓN DE LA COMPRA O CONTRATACIÓN]])</f>
        <v>JUNTAS REDUCTURAS A ASBESTO CEMENTO TIPO C, Ø10"</v>
      </c>
      <c r="C537" s="39" t="s">
        <v>17</v>
      </c>
      <c r="D537" s="352"/>
      <c r="E537" s="352"/>
      <c r="F537" s="352"/>
      <c r="G537" s="352"/>
      <c r="H537" s="240">
        <f>SUM(Tabla1321124[[#This Row],[PRIMER TRIMESTRE]:[CUARTO TRIMESTRE]])</f>
        <v>0</v>
      </c>
      <c r="I537" s="17">
        <v>2500</v>
      </c>
      <c r="J537" s="17">
        <f>+Tabla1321124[[#This Row],[CANTIDAD TOTAL]]*Tabla1321124[[#This Row],[PRECIO UNITARIO ESTIMADO]]</f>
        <v>0</v>
      </c>
      <c r="K537" s="17"/>
      <c r="L537" s="16" t="s">
        <v>18</v>
      </c>
      <c r="M537" s="16" t="s">
        <v>22</v>
      </c>
      <c r="N537" s="16" t="s">
        <v>418</v>
      </c>
      <c r="O537" s="243"/>
      <c r="P537" s="243"/>
      <c r="Q537" s="243"/>
      <c r="R537" s="243"/>
      <c r="S537" s="243"/>
      <c r="T537" s="243"/>
      <c r="U537" s="243"/>
      <c r="V537" s="243"/>
      <c r="W537" s="243"/>
      <c r="X537" s="243"/>
      <c r="Y537" s="243"/>
      <c r="Z537" s="243"/>
      <c r="AA537" s="243"/>
      <c r="AB537" s="243"/>
      <c r="AC537" s="243"/>
      <c r="AD537" s="243"/>
      <c r="AE537" s="243"/>
      <c r="AF537" s="243"/>
      <c r="AG537" s="243"/>
      <c r="AH537" s="243"/>
      <c r="AI537" s="243"/>
      <c r="AJ537" s="243"/>
      <c r="AK537" s="243"/>
      <c r="AL537" s="243"/>
      <c r="AM537" s="243"/>
      <c r="AN537" s="243"/>
      <c r="AO537" s="243"/>
      <c r="AP537" s="243"/>
      <c r="AQ537" s="243"/>
      <c r="AR537" s="243"/>
      <c r="AS537" s="243"/>
      <c r="AT537" s="243"/>
      <c r="AU537" s="243"/>
      <c r="AV537" s="243"/>
      <c r="AW537" s="243"/>
      <c r="AX537" s="243"/>
      <c r="AY537" s="243"/>
      <c r="AZ537" s="243"/>
      <c r="BA537" s="243"/>
      <c r="BB537" s="243"/>
      <c r="BC537" s="243"/>
      <c r="BD537" s="243"/>
      <c r="BE537" s="243"/>
      <c r="BF537" s="243"/>
      <c r="BG537" s="243"/>
      <c r="BH537" s="243"/>
      <c r="BI537" s="243"/>
      <c r="BJ537" s="243"/>
      <c r="BK537" s="243"/>
      <c r="BL537" s="243"/>
      <c r="BM537" s="243"/>
      <c r="BN537" s="243"/>
      <c r="BO537" s="243"/>
      <c r="BP537" s="243"/>
      <c r="BQ537" s="243"/>
      <c r="BR537" s="243"/>
      <c r="BS537" s="243"/>
    </row>
    <row r="538" spans="1:71" s="12" customFormat="1" ht="41.25" customHeight="1">
      <c r="A538" s="178" t="s">
        <v>80</v>
      </c>
      <c r="B538" s="178" t="str">
        <f ca="1">+UPPER(Tabla1321124[[#This Row],[DESCRIPCIÓN DE LA COMPRA O CONTRATACIÓN]])</f>
        <v>JUNTAS REDUCTURAS A ASBESTO CEMENTO TIPO C, Ø12"</v>
      </c>
      <c r="C538" s="39" t="s">
        <v>17</v>
      </c>
      <c r="D538" s="352">
        <f>22+15</f>
        <v>37</v>
      </c>
      <c r="E538" s="352">
        <f>22+5</f>
        <v>27</v>
      </c>
      <c r="F538" s="352">
        <f>22+15</f>
        <v>37</v>
      </c>
      <c r="G538" s="352">
        <f>22+5</f>
        <v>27</v>
      </c>
      <c r="H538" s="240">
        <f>SUM(Tabla1321124[[#This Row],[PRIMER TRIMESTRE]:[CUARTO TRIMESTRE]])</f>
        <v>128</v>
      </c>
      <c r="I538" s="17">
        <v>8502.7999999999993</v>
      </c>
      <c r="J538" s="17">
        <f>+Tabla1321124[[#This Row],[CANTIDAD TOTAL]]*Tabla1321124[[#This Row],[PRECIO UNITARIO ESTIMADO]]</f>
        <v>1088358.3999999999</v>
      </c>
      <c r="K538" s="17"/>
      <c r="L538" s="16" t="s">
        <v>18</v>
      </c>
      <c r="M538" s="16" t="s">
        <v>22</v>
      </c>
      <c r="N538" s="16" t="s">
        <v>418</v>
      </c>
      <c r="O538" s="243"/>
      <c r="P538" s="243"/>
      <c r="Q538" s="243"/>
      <c r="R538" s="243"/>
      <c r="S538" s="243"/>
      <c r="T538" s="243"/>
      <c r="U538" s="243"/>
      <c r="V538" s="243"/>
      <c r="W538" s="243"/>
      <c r="X538" s="243"/>
      <c r="Y538" s="243"/>
      <c r="Z538" s="243"/>
      <c r="AA538" s="243"/>
      <c r="AB538" s="243"/>
      <c r="AC538" s="243"/>
      <c r="AD538" s="243"/>
      <c r="AE538" s="243"/>
      <c r="AF538" s="243"/>
      <c r="AG538" s="243"/>
      <c r="AH538" s="243"/>
      <c r="AI538" s="243"/>
      <c r="AJ538" s="243"/>
      <c r="AK538" s="243"/>
      <c r="AL538" s="243"/>
      <c r="AM538" s="243"/>
      <c r="AN538" s="243"/>
      <c r="AO538" s="243"/>
      <c r="AP538" s="243"/>
      <c r="AQ538" s="243"/>
      <c r="AR538" s="243"/>
      <c r="AS538" s="243"/>
      <c r="AT538" s="243"/>
      <c r="AU538" s="243"/>
      <c r="AV538" s="243"/>
      <c r="AW538" s="243"/>
      <c r="AX538" s="243"/>
      <c r="AY538" s="243"/>
      <c r="AZ538" s="243"/>
      <c r="BA538" s="243"/>
      <c r="BB538" s="243"/>
      <c r="BC538" s="243"/>
      <c r="BD538" s="243"/>
      <c r="BE538" s="243"/>
      <c r="BF538" s="243"/>
      <c r="BG538" s="243"/>
      <c r="BH538" s="243"/>
      <c r="BI538" s="243"/>
      <c r="BJ538" s="243"/>
      <c r="BK538" s="243"/>
      <c r="BL538" s="243"/>
      <c r="BM538" s="243"/>
      <c r="BN538" s="243"/>
      <c r="BO538" s="243"/>
      <c r="BP538" s="243"/>
      <c r="BQ538" s="243"/>
      <c r="BR538" s="243"/>
      <c r="BS538" s="243"/>
    </row>
    <row r="539" spans="1:71" s="12" customFormat="1" ht="41.25" customHeight="1">
      <c r="A539" s="178" t="s">
        <v>80</v>
      </c>
      <c r="B539" s="178" t="str">
        <f ca="1">+UPPER(Tabla1321124[[#This Row],[DESCRIPCIÓN DE LA COMPRA O CONTRATACIÓN]])</f>
        <v>JUNTAS REDUCTURAS A ASBESTO CEMENTO TIPO C, Ø16"</v>
      </c>
      <c r="C539" s="39" t="s">
        <v>17</v>
      </c>
      <c r="D539" s="352">
        <f>8+7</f>
        <v>15</v>
      </c>
      <c r="E539" s="352">
        <f>7+5</f>
        <v>12</v>
      </c>
      <c r="F539" s="352">
        <f>8+7</f>
        <v>15</v>
      </c>
      <c r="G539" s="352">
        <f>7+5</f>
        <v>12</v>
      </c>
      <c r="H539" s="240">
        <f>SUM(Tabla1321124[[#This Row],[PRIMER TRIMESTRE]:[CUARTO TRIMESTRE]])</f>
        <v>54</v>
      </c>
      <c r="I539" s="17">
        <v>12180</v>
      </c>
      <c r="J539" s="17">
        <f>+Tabla1321124[[#This Row],[CANTIDAD TOTAL]]*Tabla1321124[[#This Row],[PRECIO UNITARIO ESTIMADO]]</f>
        <v>657720</v>
      </c>
      <c r="K539" s="17"/>
      <c r="L539" s="16" t="s">
        <v>18</v>
      </c>
      <c r="M539" s="16" t="s">
        <v>22</v>
      </c>
      <c r="N539" s="16" t="s">
        <v>418</v>
      </c>
      <c r="O539" s="243"/>
      <c r="P539" s="243"/>
      <c r="Q539" s="243"/>
      <c r="R539" s="243"/>
      <c r="S539" s="243"/>
      <c r="T539" s="243"/>
      <c r="U539" s="243"/>
      <c r="V539" s="243"/>
      <c r="W539" s="243"/>
      <c r="X539" s="243"/>
      <c r="Y539" s="243"/>
      <c r="Z539" s="243"/>
      <c r="AA539" s="243"/>
      <c r="AB539" s="243"/>
      <c r="AC539" s="243"/>
      <c r="AD539" s="243"/>
      <c r="AE539" s="243"/>
      <c r="AF539" s="243"/>
      <c r="AG539" s="243"/>
      <c r="AH539" s="243"/>
      <c r="AI539" s="243"/>
      <c r="AJ539" s="243"/>
      <c r="AK539" s="243"/>
      <c r="AL539" s="243"/>
      <c r="AM539" s="243"/>
      <c r="AN539" s="243"/>
      <c r="AO539" s="243"/>
      <c r="AP539" s="243"/>
      <c r="AQ539" s="243"/>
      <c r="AR539" s="243"/>
      <c r="AS539" s="243"/>
      <c r="AT539" s="243"/>
      <c r="AU539" s="243"/>
      <c r="AV539" s="243"/>
      <c r="AW539" s="243"/>
      <c r="AX539" s="243"/>
      <c r="AY539" s="243"/>
      <c r="AZ539" s="243"/>
      <c r="BA539" s="243"/>
      <c r="BB539" s="243"/>
      <c r="BC539" s="243"/>
      <c r="BD539" s="243"/>
      <c r="BE539" s="243"/>
      <c r="BF539" s="243"/>
      <c r="BG539" s="243"/>
      <c r="BH539" s="243"/>
      <c r="BI539" s="243"/>
      <c r="BJ539" s="243"/>
      <c r="BK539" s="243"/>
      <c r="BL539" s="243"/>
      <c r="BM539" s="243"/>
      <c r="BN539" s="243"/>
      <c r="BO539" s="243"/>
      <c r="BP539" s="243"/>
      <c r="BQ539" s="243"/>
      <c r="BR539" s="243"/>
      <c r="BS539" s="243"/>
    </row>
    <row r="540" spans="1:71" s="12" customFormat="1" ht="41.25" customHeight="1">
      <c r="A540" s="178" t="s">
        <v>80</v>
      </c>
      <c r="B540" s="178" t="str">
        <f ca="1">+UPPER(Tabla1321124[[#This Row],[DESCRIPCIÓN DE LA COMPRA O CONTRATACIÓN]])</f>
        <v>JUNTAS REDUCTURAS A ASBESTO CEMENTO TIPO C, Ø20"</v>
      </c>
      <c r="C540" s="39" t="s">
        <v>17</v>
      </c>
      <c r="D540" s="352">
        <f>1+9</f>
        <v>10</v>
      </c>
      <c r="E540" s="352">
        <f>1+9</f>
        <v>10</v>
      </c>
      <c r="F540" s="352">
        <f>1+9</f>
        <v>10</v>
      </c>
      <c r="G540" s="352">
        <f>1+9</f>
        <v>10</v>
      </c>
      <c r="H540" s="240">
        <f>SUM(Tabla1321124[[#This Row],[PRIMER TRIMESTRE]:[CUARTO TRIMESTRE]])</f>
        <v>40</v>
      </c>
      <c r="I540" s="17">
        <v>12180</v>
      </c>
      <c r="J540" s="17">
        <f>+Tabla1321124[[#This Row],[CANTIDAD TOTAL]]*Tabla1321124[[#This Row],[PRECIO UNITARIO ESTIMADO]]</f>
        <v>487200</v>
      </c>
      <c r="K540" s="17"/>
      <c r="L540" s="16" t="s">
        <v>18</v>
      </c>
      <c r="M540" s="16" t="s">
        <v>22</v>
      </c>
      <c r="N540" s="16" t="s">
        <v>418</v>
      </c>
      <c r="O540" s="243"/>
      <c r="P540" s="243"/>
      <c r="Q540" s="243"/>
      <c r="R540" s="243"/>
      <c r="S540" s="243"/>
      <c r="T540" s="243"/>
      <c r="U540" s="243"/>
      <c r="V540" s="243"/>
      <c r="W540" s="243"/>
      <c r="X540" s="243"/>
      <c r="Y540" s="243"/>
      <c r="Z540" s="243"/>
      <c r="AA540" s="243"/>
      <c r="AB540" s="243"/>
      <c r="AC540" s="243"/>
      <c r="AD540" s="243"/>
      <c r="AE540" s="243"/>
      <c r="AF540" s="243"/>
      <c r="AG540" s="243"/>
      <c r="AH540" s="243"/>
      <c r="AI540" s="243"/>
      <c r="AJ540" s="243"/>
      <c r="AK540" s="243"/>
      <c r="AL540" s="243"/>
      <c r="AM540" s="243"/>
      <c r="AN540" s="243"/>
      <c r="AO540" s="243"/>
      <c r="AP540" s="243"/>
      <c r="AQ540" s="243"/>
      <c r="AR540" s="243"/>
      <c r="AS540" s="243"/>
      <c r="AT540" s="243"/>
      <c r="AU540" s="243"/>
      <c r="AV540" s="243"/>
      <c r="AW540" s="243"/>
      <c r="AX540" s="243"/>
      <c r="AY540" s="243"/>
      <c r="AZ540" s="243"/>
      <c r="BA540" s="243"/>
      <c r="BB540" s="243"/>
      <c r="BC540" s="243"/>
      <c r="BD540" s="243"/>
      <c r="BE540" s="243"/>
      <c r="BF540" s="243"/>
      <c r="BG540" s="243"/>
      <c r="BH540" s="243"/>
      <c r="BI540" s="243"/>
      <c r="BJ540" s="243"/>
      <c r="BK540" s="243"/>
      <c r="BL540" s="243"/>
      <c r="BM540" s="243"/>
      <c r="BN540" s="243"/>
      <c r="BO540" s="243"/>
      <c r="BP540" s="243"/>
      <c r="BQ540" s="243"/>
      <c r="BR540" s="243"/>
      <c r="BS540" s="243"/>
    </row>
    <row r="541" spans="1:71" s="12" customFormat="1" ht="41.25" customHeight="1">
      <c r="A541" s="178" t="s">
        <v>80</v>
      </c>
      <c r="B541" s="178" t="str">
        <f ca="1">+UPPER(Tabla1321124[[#This Row],[DESCRIPCIÓN DE LA COMPRA O CONTRATACIÓN]])</f>
        <v>JUNTAS REDUCTURAS A ASBESTO CEMENTO TIPO D, Ø2"</v>
      </c>
      <c r="C541" s="39" t="s">
        <v>17</v>
      </c>
      <c r="D541" s="362">
        <v>4</v>
      </c>
      <c r="E541" s="362"/>
      <c r="F541" s="362">
        <v>4</v>
      </c>
      <c r="G541" s="362"/>
      <c r="H541" s="240">
        <f>SUM(Tabla1321124[[#This Row],[PRIMER TRIMESTRE]:[CUARTO TRIMESTRE]])</f>
        <v>8</v>
      </c>
      <c r="I541" s="17">
        <v>2500</v>
      </c>
      <c r="J541" s="17">
        <f>+Tabla1321124[[#This Row],[CANTIDAD TOTAL]]*Tabla1321124[[#This Row],[PRECIO UNITARIO ESTIMADO]]</f>
        <v>20000</v>
      </c>
      <c r="K541" s="175"/>
      <c r="L541" s="16" t="s">
        <v>18</v>
      </c>
      <c r="M541" s="16" t="s">
        <v>22</v>
      </c>
      <c r="N541" s="16"/>
      <c r="O541" s="243"/>
      <c r="P541" s="243"/>
      <c r="Q541" s="243"/>
      <c r="R541" s="243"/>
      <c r="S541" s="243"/>
      <c r="T541" s="243"/>
      <c r="U541" s="243"/>
      <c r="V541" s="243"/>
      <c r="W541" s="243"/>
      <c r="X541" s="243"/>
      <c r="Y541" s="243"/>
      <c r="Z541" s="243"/>
      <c r="AA541" s="243"/>
      <c r="AB541" s="243"/>
      <c r="AC541" s="243"/>
      <c r="AD541" s="243"/>
      <c r="AE541" s="243"/>
      <c r="AF541" s="243"/>
      <c r="AG541" s="243"/>
      <c r="AH541" s="243"/>
      <c r="AI541" s="243"/>
      <c r="AJ541" s="243"/>
      <c r="AK541" s="243"/>
      <c r="AL541" s="243"/>
      <c r="AM541" s="243"/>
      <c r="AN541" s="243"/>
      <c r="AO541" s="243"/>
      <c r="AP541" s="243"/>
      <c r="AQ541" s="243"/>
      <c r="AR541" s="243"/>
      <c r="AS541" s="243"/>
      <c r="AT541" s="243"/>
      <c r="AU541" s="243"/>
      <c r="AV541" s="243"/>
      <c r="AW541" s="243"/>
      <c r="AX541" s="243"/>
      <c r="AY541" s="243"/>
      <c r="AZ541" s="243"/>
      <c r="BA541" s="243"/>
      <c r="BB541" s="243"/>
      <c r="BC541" s="243"/>
      <c r="BD541" s="243"/>
      <c r="BE541" s="243"/>
      <c r="BF541" s="243"/>
      <c r="BG541" s="243"/>
      <c r="BH541" s="243"/>
      <c r="BI541" s="243"/>
      <c r="BJ541" s="243"/>
      <c r="BK541" s="243"/>
      <c r="BL541" s="243"/>
      <c r="BM541" s="243"/>
      <c r="BN541" s="243"/>
      <c r="BO541" s="243"/>
      <c r="BP541" s="243"/>
      <c r="BQ541" s="243"/>
      <c r="BR541" s="243"/>
      <c r="BS541" s="243"/>
    </row>
    <row r="542" spans="1:71" s="12" customFormat="1" ht="41.25" customHeight="1">
      <c r="A542" s="178" t="s">
        <v>80</v>
      </c>
      <c r="B542" s="178" t="str">
        <f ca="1">+UPPER(Tabla1321124[[#This Row],[DESCRIPCIÓN DE LA COMPRA O CONTRATACIÓN]])</f>
        <v>JUNTAS REDUCTURAS A ASBESTO CEMENTO TIPO D, Ø3"</v>
      </c>
      <c r="C542" s="39" t="s">
        <v>17</v>
      </c>
      <c r="D542" s="362">
        <v>4</v>
      </c>
      <c r="E542" s="362"/>
      <c r="F542" s="362">
        <v>4</v>
      </c>
      <c r="G542" s="362"/>
      <c r="H542" s="240">
        <f>SUM(Tabla1321124[[#This Row],[PRIMER TRIMESTRE]:[CUARTO TRIMESTRE]])</f>
        <v>8</v>
      </c>
      <c r="I542" s="17">
        <v>8502</v>
      </c>
      <c r="J542" s="17">
        <f>+Tabla1321124[[#This Row],[CANTIDAD TOTAL]]*Tabla1321124[[#This Row],[PRECIO UNITARIO ESTIMADO]]</f>
        <v>68016</v>
      </c>
      <c r="K542" s="175"/>
      <c r="L542" s="16" t="s">
        <v>18</v>
      </c>
      <c r="M542" s="16" t="s">
        <v>22</v>
      </c>
      <c r="N542" s="16"/>
      <c r="O542" s="243"/>
      <c r="P542" s="243"/>
      <c r="Q542" s="243"/>
      <c r="R542" s="243"/>
      <c r="S542" s="243"/>
      <c r="T542" s="243"/>
      <c r="U542" s="243"/>
      <c r="V542" s="243"/>
      <c r="W542" s="243"/>
      <c r="X542" s="243"/>
      <c r="Y542" s="243"/>
      <c r="Z542" s="243"/>
      <c r="AA542" s="243"/>
      <c r="AB542" s="243"/>
      <c r="AC542" s="243"/>
      <c r="AD542" s="243"/>
      <c r="AE542" s="243"/>
      <c r="AF542" s="243"/>
      <c r="AG542" s="243"/>
      <c r="AH542" s="243"/>
      <c r="AI542" s="243"/>
      <c r="AJ542" s="243"/>
      <c r="AK542" s="243"/>
      <c r="AL542" s="243"/>
      <c r="AM542" s="243"/>
      <c r="AN542" s="243"/>
      <c r="AO542" s="243"/>
      <c r="AP542" s="243"/>
      <c r="AQ542" s="243"/>
      <c r="AR542" s="243"/>
      <c r="AS542" s="243"/>
      <c r="AT542" s="243"/>
      <c r="AU542" s="243"/>
      <c r="AV542" s="243"/>
      <c r="AW542" s="243"/>
      <c r="AX542" s="243"/>
      <c r="AY542" s="243"/>
      <c r="AZ542" s="243"/>
      <c r="BA542" s="243"/>
      <c r="BB542" s="243"/>
      <c r="BC542" s="243"/>
      <c r="BD542" s="243"/>
      <c r="BE542" s="243"/>
      <c r="BF542" s="243"/>
      <c r="BG542" s="243"/>
      <c r="BH542" s="243"/>
      <c r="BI542" s="243"/>
      <c r="BJ542" s="243"/>
      <c r="BK542" s="243"/>
      <c r="BL542" s="243"/>
      <c r="BM542" s="243"/>
      <c r="BN542" s="243"/>
      <c r="BO542" s="243"/>
      <c r="BP542" s="243"/>
      <c r="BQ542" s="243"/>
      <c r="BR542" s="243"/>
      <c r="BS542" s="243"/>
    </row>
    <row r="543" spans="1:71" s="12" customFormat="1" ht="41.25" customHeight="1">
      <c r="A543" s="178" t="s">
        <v>80</v>
      </c>
      <c r="B543" s="178" t="str">
        <f ca="1">+UPPER(Tabla1321124[[#This Row],[DESCRIPCIÓN DE LA COMPRA O CONTRATACIÓN]])</f>
        <v>JUNTAS REDUCTURAS A ASBESTO CEMENTO TIPO D, Ø4"</v>
      </c>
      <c r="C543" s="39" t="s">
        <v>17</v>
      </c>
      <c r="D543" s="362">
        <v>4</v>
      </c>
      <c r="E543" s="362"/>
      <c r="F543" s="362">
        <v>4</v>
      </c>
      <c r="G543" s="362"/>
      <c r="H543" s="240">
        <f>SUM(Tabla1321124[[#This Row],[PRIMER TRIMESTRE]:[CUARTO TRIMESTRE]])</f>
        <v>8</v>
      </c>
      <c r="I543" s="17">
        <v>6800</v>
      </c>
      <c r="J543" s="17">
        <f>+Tabla1321124[[#This Row],[CANTIDAD TOTAL]]*Tabla1321124[[#This Row],[PRECIO UNITARIO ESTIMADO]]</f>
        <v>54400</v>
      </c>
      <c r="K543" s="175"/>
      <c r="L543" s="16" t="s">
        <v>18</v>
      </c>
      <c r="M543" s="16" t="s">
        <v>22</v>
      </c>
      <c r="N543" s="16"/>
      <c r="O543" s="243"/>
      <c r="P543" s="243"/>
      <c r="Q543" s="243"/>
      <c r="R543" s="243"/>
      <c r="S543" s="243"/>
      <c r="T543" s="243"/>
      <c r="U543" s="243"/>
      <c r="V543" s="243"/>
      <c r="W543" s="243"/>
      <c r="X543" s="243"/>
      <c r="Y543" s="243"/>
      <c r="Z543" s="243"/>
      <c r="AA543" s="243"/>
      <c r="AB543" s="243"/>
      <c r="AC543" s="243"/>
      <c r="AD543" s="243"/>
      <c r="AE543" s="243"/>
      <c r="AF543" s="243"/>
      <c r="AG543" s="243"/>
      <c r="AH543" s="243"/>
      <c r="AI543" s="243"/>
      <c r="AJ543" s="243"/>
      <c r="AK543" s="243"/>
      <c r="AL543" s="243"/>
      <c r="AM543" s="243"/>
      <c r="AN543" s="243"/>
      <c r="AO543" s="243"/>
      <c r="AP543" s="243"/>
      <c r="AQ543" s="243"/>
      <c r="AR543" s="243"/>
      <c r="AS543" s="243"/>
      <c r="AT543" s="243"/>
      <c r="AU543" s="243"/>
      <c r="AV543" s="243"/>
      <c r="AW543" s="243"/>
      <c r="AX543" s="243"/>
      <c r="AY543" s="243"/>
      <c r="AZ543" s="243"/>
      <c r="BA543" s="243"/>
      <c r="BB543" s="243"/>
      <c r="BC543" s="243"/>
      <c r="BD543" s="243"/>
      <c r="BE543" s="243"/>
      <c r="BF543" s="243"/>
      <c r="BG543" s="243"/>
      <c r="BH543" s="243"/>
      <c r="BI543" s="243"/>
      <c r="BJ543" s="243"/>
      <c r="BK543" s="243"/>
      <c r="BL543" s="243"/>
      <c r="BM543" s="243"/>
      <c r="BN543" s="243"/>
      <c r="BO543" s="243"/>
      <c r="BP543" s="243"/>
      <c r="BQ543" s="243"/>
      <c r="BR543" s="243"/>
      <c r="BS543" s="243"/>
    </row>
    <row r="544" spans="1:71" s="12" customFormat="1" ht="41.25" customHeight="1">
      <c r="A544" s="178" t="s">
        <v>80</v>
      </c>
      <c r="B544" s="178" t="str">
        <f ca="1">+UPPER(Tabla1321124[[#This Row],[DESCRIPCIÓN DE LA COMPRA O CONTRATACIÓN]])</f>
        <v>JUNTAS REDUCTURAS A ASBESTO CEMENTO TIPO D, Ø6"</v>
      </c>
      <c r="C544" s="39" t="s">
        <v>17</v>
      </c>
      <c r="D544" s="352">
        <f>10+14</f>
        <v>24</v>
      </c>
      <c r="E544" s="352">
        <f>10+10</f>
        <v>20</v>
      </c>
      <c r="F544" s="352">
        <f>10+14</f>
        <v>24</v>
      </c>
      <c r="G544" s="352">
        <f>10+10</f>
        <v>20</v>
      </c>
      <c r="H544" s="240">
        <f>SUM(Tabla1321124[[#This Row],[PRIMER TRIMESTRE]:[CUARTO TRIMESTRE]])</f>
        <v>88</v>
      </c>
      <c r="I544" s="17">
        <v>1800</v>
      </c>
      <c r="J544" s="17">
        <f>+Tabla1321124[[#This Row],[CANTIDAD TOTAL]]*Tabla1321124[[#This Row],[PRECIO UNITARIO ESTIMADO]]</f>
        <v>158400</v>
      </c>
      <c r="K544" s="17"/>
      <c r="L544" s="16" t="s">
        <v>18</v>
      </c>
      <c r="M544" s="16" t="s">
        <v>22</v>
      </c>
      <c r="N544" s="16" t="s">
        <v>418</v>
      </c>
      <c r="O544" s="243"/>
      <c r="P544" s="243"/>
      <c r="Q544" s="243"/>
      <c r="R544" s="243"/>
      <c r="S544" s="243"/>
      <c r="T544" s="243"/>
      <c r="U544" s="243"/>
      <c r="V544" s="243"/>
      <c r="W544" s="243"/>
      <c r="X544" s="243"/>
      <c r="Y544" s="243"/>
      <c r="Z544" s="243"/>
      <c r="AA544" s="243"/>
      <c r="AB544" s="243"/>
      <c r="AC544" s="243"/>
      <c r="AD544" s="243"/>
      <c r="AE544" s="243"/>
      <c r="AF544" s="243"/>
      <c r="AG544" s="243"/>
      <c r="AH544" s="243"/>
      <c r="AI544" s="243"/>
      <c r="AJ544" s="243"/>
      <c r="AK544" s="243"/>
      <c r="AL544" s="243"/>
      <c r="AM544" s="243"/>
      <c r="AN544" s="243"/>
      <c r="AO544" s="243"/>
      <c r="AP544" s="243"/>
      <c r="AQ544" s="243"/>
      <c r="AR544" s="243"/>
      <c r="AS544" s="243"/>
      <c r="AT544" s="243"/>
      <c r="AU544" s="243"/>
      <c r="AV544" s="243"/>
      <c r="AW544" s="243"/>
      <c r="AX544" s="243"/>
      <c r="AY544" s="243"/>
      <c r="AZ544" s="243"/>
      <c r="BA544" s="243"/>
      <c r="BB544" s="243"/>
      <c r="BC544" s="243"/>
      <c r="BD544" s="243"/>
      <c r="BE544" s="243"/>
      <c r="BF544" s="243"/>
      <c r="BG544" s="243"/>
      <c r="BH544" s="243"/>
      <c r="BI544" s="243"/>
      <c r="BJ544" s="243"/>
      <c r="BK544" s="243"/>
      <c r="BL544" s="243"/>
      <c r="BM544" s="243"/>
      <c r="BN544" s="243"/>
      <c r="BO544" s="243"/>
      <c r="BP544" s="243"/>
      <c r="BQ544" s="243"/>
      <c r="BR544" s="243"/>
      <c r="BS544" s="243"/>
    </row>
    <row r="545" spans="1:71" s="12" customFormat="1" ht="41.25" customHeight="1">
      <c r="A545" s="178" t="s">
        <v>80</v>
      </c>
      <c r="B545" s="178" t="str">
        <f ca="1">+UPPER(Tabla1321124[[#This Row],[DESCRIPCIÓN DE LA COMPRA O CONTRATACIÓN]])</f>
        <v>JUNTAS REDUCTURAS A ASBESTO CEMENTO TIPO D, Ø8"</v>
      </c>
      <c r="C545" s="39" t="s">
        <v>17</v>
      </c>
      <c r="D545" s="352">
        <f>3+14</f>
        <v>17</v>
      </c>
      <c r="E545" s="352">
        <f>2+14</f>
        <v>16</v>
      </c>
      <c r="F545" s="352">
        <f>3+14</f>
        <v>17</v>
      </c>
      <c r="G545" s="352">
        <f>2+14</f>
        <v>16</v>
      </c>
      <c r="H545" s="240">
        <f>SUM(Tabla1321124[[#This Row],[PRIMER TRIMESTRE]:[CUARTO TRIMESTRE]])</f>
        <v>66</v>
      </c>
      <c r="I545" s="17">
        <v>2000</v>
      </c>
      <c r="J545" s="17">
        <f>+Tabla1321124[[#This Row],[CANTIDAD TOTAL]]*Tabla1321124[[#This Row],[PRECIO UNITARIO ESTIMADO]]</f>
        <v>132000</v>
      </c>
      <c r="K545" s="17"/>
      <c r="L545" s="16" t="s">
        <v>18</v>
      </c>
      <c r="M545" s="16" t="s">
        <v>22</v>
      </c>
      <c r="N545" s="16" t="s">
        <v>418</v>
      </c>
      <c r="O545" s="243"/>
      <c r="P545" s="243"/>
      <c r="Q545" s="243"/>
      <c r="R545" s="243"/>
      <c r="S545" s="243"/>
      <c r="T545" s="243"/>
      <c r="U545" s="243"/>
      <c r="V545" s="243"/>
      <c r="W545" s="243"/>
      <c r="X545" s="243"/>
      <c r="Y545" s="243"/>
      <c r="Z545" s="243"/>
      <c r="AA545" s="243"/>
      <c r="AB545" s="243"/>
      <c r="AC545" s="243"/>
      <c r="AD545" s="243"/>
      <c r="AE545" s="243"/>
      <c r="AF545" s="243"/>
      <c r="AG545" s="243"/>
      <c r="AH545" s="243"/>
      <c r="AI545" s="243"/>
      <c r="AJ545" s="243"/>
      <c r="AK545" s="243"/>
      <c r="AL545" s="243"/>
      <c r="AM545" s="243"/>
      <c r="AN545" s="243"/>
      <c r="AO545" s="243"/>
      <c r="AP545" s="243"/>
      <c r="AQ545" s="243"/>
      <c r="AR545" s="243"/>
      <c r="AS545" s="243"/>
      <c r="AT545" s="243"/>
      <c r="AU545" s="243"/>
      <c r="AV545" s="243"/>
      <c r="AW545" s="243"/>
      <c r="AX545" s="243"/>
      <c r="AY545" s="243"/>
      <c r="AZ545" s="243"/>
      <c r="BA545" s="243"/>
      <c r="BB545" s="243"/>
      <c r="BC545" s="243"/>
      <c r="BD545" s="243"/>
      <c r="BE545" s="243"/>
      <c r="BF545" s="243"/>
      <c r="BG545" s="243"/>
      <c r="BH545" s="243"/>
      <c r="BI545" s="243"/>
      <c r="BJ545" s="243"/>
      <c r="BK545" s="243"/>
      <c r="BL545" s="243"/>
      <c r="BM545" s="243"/>
      <c r="BN545" s="243"/>
      <c r="BO545" s="243"/>
      <c r="BP545" s="243"/>
      <c r="BQ545" s="243"/>
      <c r="BR545" s="243"/>
      <c r="BS545" s="243"/>
    </row>
    <row r="546" spans="1:71" s="12" customFormat="1" ht="41.25" customHeight="1">
      <c r="A546" s="178" t="s">
        <v>80</v>
      </c>
      <c r="B546" s="178" t="str">
        <f ca="1">+UPPER(Tabla1321124[[#This Row],[DESCRIPCIÓN DE LA COMPRA O CONTRATACIÓN]])</f>
        <v>JUNTAS REDUCTURAS A ASBESTO CEMENTO TIPO D, Ø10"</v>
      </c>
      <c r="C546" s="39" t="s">
        <v>17</v>
      </c>
      <c r="D546" s="352">
        <v>16</v>
      </c>
      <c r="E546" s="352">
        <v>16</v>
      </c>
      <c r="F546" s="352">
        <v>16</v>
      </c>
      <c r="G546" s="352">
        <v>16</v>
      </c>
      <c r="H546" s="240">
        <f>SUM(Tabla1321124[[#This Row],[PRIMER TRIMESTRE]:[CUARTO TRIMESTRE]])</f>
        <v>64</v>
      </c>
      <c r="I546" s="17">
        <v>2500</v>
      </c>
      <c r="J546" s="17">
        <f>+Tabla1321124[[#This Row],[CANTIDAD TOTAL]]*Tabla1321124[[#This Row],[PRECIO UNITARIO ESTIMADO]]</f>
        <v>160000</v>
      </c>
      <c r="K546" s="17"/>
      <c r="L546" s="16" t="s">
        <v>18</v>
      </c>
      <c r="M546" s="16" t="s">
        <v>22</v>
      </c>
      <c r="N546" s="16" t="s">
        <v>418</v>
      </c>
      <c r="O546" s="243"/>
      <c r="P546" s="243"/>
      <c r="Q546" s="243"/>
      <c r="R546" s="243"/>
      <c r="S546" s="243"/>
      <c r="T546" s="243"/>
      <c r="U546" s="243"/>
      <c r="V546" s="243"/>
      <c r="W546" s="243"/>
      <c r="X546" s="243"/>
      <c r="Y546" s="243"/>
      <c r="Z546" s="243"/>
      <c r="AA546" s="243"/>
      <c r="AB546" s="243"/>
      <c r="AC546" s="243"/>
      <c r="AD546" s="243"/>
      <c r="AE546" s="243"/>
      <c r="AF546" s="243"/>
      <c r="AG546" s="243"/>
      <c r="AH546" s="243"/>
      <c r="AI546" s="243"/>
      <c r="AJ546" s="243"/>
      <c r="AK546" s="243"/>
      <c r="AL546" s="243"/>
      <c r="AM546" s="243"/>
      <c r="AN546" s="243"/>
      <c r="AO546" s="243"/>
      <c r="AP546" s="243"/>
      <c r="AQ546" s="243"/>
      <c r="AR546" s="243"/>
      <c r="AS546" s="243"/>
      <c r="AT546" s="243"/>
      <c r="AU546" s="243"/>
      <c r="AV546" s="243"/>
      <c r="AW546" s="243"/>
      <c r="AX546" s="243"/>
      <c r="AY546" s="243"/>
      <c r="AZ546" s="243"/>
      <c r="BA546" s="243"/>
      <c r="BB546" s="243"/>
      <c r="BC546" s="243"/>
      <c r="BD546" s="243"/>
      <c r="BE546" s="243"/>
      <c r="BF546" s="243"/>
      <c r="BG546" s="243"/>
      <c r="BH546" s="243"/>
      <c r="BI546" s="243"/>
      <c r="BJ546" s="243"/>
      <c r="BK546" s="243"/>
      <c r="BL546" s="243"/>
      <c r="BM546" s="243"/>
      <c r="BN546" s="243"/>
      <c r="BO546" s="243"/>
      <c r="BP546" s="243"/>
      <c r="BQ546" s="243"/>
      <c r="BR546" s="243"/>
      <c r="BS546" s="243"/>
    </row>
    <row r="547" spans="1:71" s="12" customFormat="1" ht="41.25" customHeight="1">
      <c r="A547" s="178" t="s">
        <v>80</v>
      </c>
      <c r="B547" s="178" t="str">
        <f ca="1">+UPPER(Tabla1321124[[#This Row],[DESCRIPCIÓN DE LA COMPRA O CONTRATACIÓN]])</f>
        <v>JUNTAS REDUCTURAS A ASBESTO CEMENTO TIPO D, Ø12"</v>
      </c>
      <c r="C547" s="39" t="s">
        <v>17</v>
      </c>
      <c r="D547" s="352">
        <f>15+9</f>
        <v>24</v>
      </c>
      <c r="E547" s="352">
        <f>15+5</f>
        <v>20</v>
      </c>
      <c r="F547" s="352">
        <f>15+9</f>
        <v>24</v>
      </c>
      <c r="G547" s="352">
        <f>15+5</f>
        <v>20</v>
      </c>
      <c r="H547" s="240">
        <f>SUM(Tabla1321124[[#This Row],[PRIMER TRIMESTRE]:[CUARTO TRIMESTRE]])</f>
        <v>88</v>
      </c>
      <c r="I547" s="17">
        <v>3100</v>
      </c>
      <c r="J547" s="17">
        <f>+Tabla1321124[[#This Row],[CANTIDAD TOTAL]]*Tabla1321124[[#This Row],[PRECIO UNITARIO ESTIMADO]]</f>
        <v>272800</v>
      </c>
      <c r="K547" s="17"/>
      <c r="L547" s="16" t="s">
        <v>18</v>
      </c>
      <c r="M547" s="16" t="s">
        <v>22</v>
      </c>
      <c r="N547" s="16" t="s">
        <v>418</v>
      </c>
      <c r="O547" s="243"/>
      <c r="P547" s="243"/>
      <c r="Q547" s="243"/>
      <c r="R547" s="243"/>
      <c r="S547" s="243"/>
      <c r="T547" s="243"/>
      <c r="U547" s="243"/>
      <c r="V547" s="243"/>
      <c r="W547" s="243"/>
      <c r="X547" s="243"/>
      <c r="Y547" s="243"/>
      <c r="Z547" s="243"/>
      <c r="AA547" s="243"/>
      <c r="AB547" s="243"/>
      <c r="AC547" s="243"/>
      <c r="AD547" s="243"/>
      <c r="AE547" s="243"/>
      <c r="AF547" s="243"/>
      <c r="AG547" s="243"/>
      <c r="AH547" s="243"/>
      <c r="AI547" s="243"/>
      <c r="AJ547" s="243"/>
      <c r="AK547" s="243"/>
      <c r="AL547" s="243"/>
      <c r="AM547" s="243"/>
      <c r="AN547" s="243"/>
      <c r="AO547" s="243"/>
      <c r="AP547" s="243"/>
      <c r="AQ547" s="243"/>
      <c r="AR547" s="243"/>
      <c r="AS547" s="243"/>
      <c r="AT547" s="243"/>
      <c r="AU547" s="243"/>
      <c r="AV547" s="243"/>
      <c r="AW547" s="243"/>
      <c r="AX547" s="243"/>
      <c r="AY547" s="243"/>
      <c r="AZ547" s="243"/>
      <c r="BA547" s="243"/>
      <c r="BB547" s="243"/>
      <c r="BC547" s="243"/>
      <c r="BD547" s="243"/>
      <c r="BE547" s="243"/>
      <c r="BF547" s="243"/>
      <c r="BG547" s="243"/>
      <c r="BH547" s="243"/>
      <c r="BI547" s="243"/>
      <c r="BJ547" s="243"/>
      <c r="BK547" s="243"/>
      <c r="BL547" s="243"/>
      <c r="BM547" s="243"/>
      <c r="BN547" s="243"/>
      <c r="BO547" s="243"/>
      <c r="BP547" s="243"/>
      <c r="BQ547" s="243"/>
      <c r="BR547" s="243"/>
      <c r="BS547" s="243"/>
    </row>
    <row r="548" spans="1:71" s="12" customFormat="1" ht="41.25" customHeight="1">
      <c r="A548" s="178" t="s">
        <v>80</v>
      </c>
      <c r="B548" s="178" t="str">
        <f ca="1">+UPPER(Tabla1321124[[#This Row],[DESCRIPCIÓN DE LA COMPRA O CONTRATACIÓN]])</f>
        <v>JUNTAS TIPO DRESSER Ø12"</v>
      </c>
      <c r="C548" s="39" t="s">
        <v>17</v>
      </c>
      <c r="D548" s="362">
        <v>20</v>
      </c>
      <c r="E548" s="362"/>
      <c r="F548" s="362">
        <v>20</v>
      </c>
      <c r="G548" s="362"/>
      <c r="H548" s="240">
        <f>SUM(Tabla1321124[[#This Row],[PRIMER TRIMESTRE]:[CUARTO TRIMESTRE]])</f>
        <v>40</v>
      </c>
      <c r="I548" s="17">
        <v>11500</v>
      </c>
      <c r="J548" s="17">
        <f>+Tabla1321124[[#This Row],[CANTIDAD TOTAL]]*Tabla1321124[[#This Row],[PRECIO UNITARIO ESTIMADO]]</f>
        <v>460000</v>
      </c>
      <c r="K548" s="175"/>
      <c r="L548" s="16" t="s">
        <v>18</v>
      </c>
      <c r="M548" s="16" t="s">
        <v>22</v>
      </c>
      <c r="N548" s="16"/>
      <c r="O548" s="243"/>
      <c r="P548" s="243"/>
      <c r="Q548" s="243"/>
      <c r="R548" s="243"/>
      <c r="S548" s="243"/>
      <c r="T548" s="243"/>
      <c r="U548" s="243"/>
      <c r="V548" s="243"/>
      <c r="W548" s="243"/>
      <c r="X548" s="243"/>
      <c r="Y548" s="243"/>
      <c r="Z548" s="243"/>
      <c r="AA548" s="243"/>
      <c r="AB548" s="243"/>
      <c r="AC548" s="243"/>
      <c r="AD548" s="243"/>
      <c r="AE548" s="243"/>
      <c r="AF548" s="243"/>
      <c r="AG548" s="243"/>
      <c r="AH548" s="243"/>
      <c r="AI548" s="243"/>
      <c r="AJ548" s="243"/>
      <c r="AK548" s="243"/>
      <c r="AL548" s="243"/>
      <c r="AM548" s="243"/>
      <c r="AN548" s="243"/>
      <c r="AO548" s="243"/>
      <c r="AP548" s="243"/>
      <c r="AQ548" s="243"/>
      <c r="AR548" s="243"/>
      <c r="AS548" s="243"/>
      <c r="AT548" s="243"/>
      <c r="AU548" s="243"/>
      <c r="AV548" s="243"/>
      <c r="AW548" s="243"/>
      <c r="AX548" s="243"/>
      <c r="AY548" s="243"/>
      <c r="AZ548" s="243"/>
      <c r="BA548" s="243"/>
      <c r="BB548" s="243"/>
      <c r="BC548" s="243"/>
      <c r="BD548" s="243"/>
      <c r="BE548" s="243"/>
      <c r="BF548" s="243"/>
      <c r="BG548" s="243"/>
      <c r="BH548" s="243"/>
      <c r="BI548" s="243"/>
      <c r="BJ548" s="243"/>
      <c r="BK548" s="243"/>
      <c r="BL548" s="243"/>
      <c r="BM548" s="243"/>
      <c r="BN548" s="243"/>
      <c r="BO548" s="243"/>
      <c r="BP548" s="243"/>
      <c r="BQ548" s="243"/>
      <c r="BR548" s="243"/>
      <c r="BS548" s="243"/>
    </row>
    <row r="549" spans="1:71" s="12" customFormat="1" ht="41.25" customHeight="1">
      <c r="A549" s="178" t="s">
        <v>80</v>
      </c>
      <c r="B549" s="178" t="str">
        <f ca="1">+UPPER(Tabla1321124[[#This Row],[DESCRIPCIÓN DE LA COMPRA O CONTRATACIÓN]])</f>
        <v>JUNTAS TIPO DRESSER Ø16"</v>
      </c>
      <c r="C549" s="39" t="s">
        <v>17</v>
      </c>
      <c r="D549" s="362">
        <v>2</v>
      </c>
      <c r="E549" s="362"/>
      <c r="F549" s="362">
        <v>2</v>
      </c>
      <c r="G549" s="362"/>
      <c r="H549" s="240">
        <f>SUM(Tabla1321124[[#This Row],[PRIMER TRIMESTRE]:[CUARTO TRIMESTRE]])</f>
        <v>4</v>
      </c>
      <c r="I549" s="17">
        <v>12500</v>
      </c>
      <c r="J549" s="17">
        <f>+Tabla1321124[[#This Row],[CANTIDAD TOTAL]]*Tabla1321124[[#This Row],[PRECIO UNITARIO ESTIMADO]]</f>
        <v>50000</v>
      </c>
      <c r="K549" s="175"/>
      <c r="L549" s="16" t="s">
        <v>18</v>
      </c>
      <c r="M549" s="16" t="s">
        <v>22</v>
      </c>
      <c r="N549" s="16"/>
      <c r="O549" s="243"/>
      <c r="P549" s="243"/>
      <c r="Q549" s="243"/>
      <c r="R549" s="243"/>
      <c r="S549" s="243"/>
      <c r="T549" s="243"/>
      <c r="U549" s="243"/>
      <c r="V549" s="243"/>
      <c r="W549" s="243"/>
      <c r="X549" s="243"/>
      <c r="Y549" s="243"/>
      <c r="Z549" s="243"/>
      <c r="AA549" s="243"/>
      <c r="AB549" s="243"/>
      <c r="AC549" s="243"/>
      <c r="AD549" s="243"/>
      <c r="AE549" s="243"/>
      <c r="AF549" s="243"/>
      <c r="AG549" s="243"/>
      <c r="AH549" s="243"/>
      <c r="AI549" s="243"/>
      <c r="AJ549" s="243"/>
      <c r="AK549" s="243"/>
      <c r="AL549" s="243"/>
      <c r="AM549" s="243"/>
      <c r="AN549" s="243"/>
      <c r="AO549" s="243"/>
      <c r="AP549" s="243"/>
      <c r="AQ549" s="243"/>
      <c r="AR549" s="243"/>
      <c r="AS549" s="243"/>
      <c r="AT549" s="243"/>
      <c r="AU549" s="243"/>
      <c r="AV549" s="243"/>
      <c r="AW549" s="243"/>
      <c r="AX549" s="243"/>
      <c r="AY549" s="243"/>
      <c r="AZ549" s="243"/>
      <c r="BA549" s="243"/>
      <c r="BB549" s="243"/>
      <c r="BC549" s="243"/>
      <c r="BD549" s="243"/>
      <c r="BE549" s="243"/>
      <c r="BF549" s="243"/>
      <c r="BG549" s="243"/>
      <c r="BH549" s="243"/>
      <c r="BI549" s="243"/>
      <c r="BJ549" s="243"/>
      <c r="BK549" s="243"/>
      <c r="BL549" s="243"/>
      <c r="BM549" s="243"/>
      <c r="BN549" s="243"/>
      <c r="BO549" s="243"/>
      <c r="BP549" s="243"/>
      <c r="BQ549" s="243"/>
      <c r="BR549" s="243"/>
      <c r="BS549" s="243"/>
    </row>
    <row r="550" spans="1:71" s="12" customFormat="1" ht="41.25" customHeight="1">
      <c r="A550" s="178" t="s">
        <v>80</v>
      </c>
      <c r="B550" s="178" t="str">
        <f ca="1">+UPPER(Tabla1321124[[#This Row],[DESCRIPCIÓN DE LA COMPRA O CONTRATACIÓN]])</f>
        <v>JUNTAS TIPO DRESSER Ø2"</v>
      </c>
      <c r="C550" s="39" t="s">
        <v>17</v>
      </c>
      <c r="D550" s="362">
        <v>50</v>
      </c>
      <c r="E550" s="362"/>
      <c r="F550" s="362">
        <v>50</v>
      </c>
      <c r="G550" s="362"/>
      <c r="H550" s="240">
        <f>SUM(Tabla1321124[[#This Row],[PRIMER TRIMESTRE]:[CUARTO TRIMESTRE]])</f>
        <v>100</v>
      </c>
      <c r="I550" s="17">
        <v>4250</v>
      </c>
      <c r="J550" s="17">
        <f>+Tabla1321124[[#This Row],[CANTIDAD TOTAL]]*Tabla1321124[[#This Row],[PRECIO UNITARIO ESTIMADO]]</f>
        <v>425000</v>
      </c>
      <c r="K550" s="175"/>
      <c r="L550" s="16" t="s">
        <v>18</v>
      </c>
      <c r="M550" s="16" t="s">
        <v>22</v>
      </c>
      <c r="N550" s="16"/>
      <c r="O550" s="243"/>
      <c r="P550" s="243"/>
      <c r="Q550" s="243"/>
      <c r="R550" s="243"/>
      <c r="S550" s="243"/>
      <c r="T550" s="243"/>
      <c r="U550" s="243"/>
      <c r="V550" s="243"/>
      <c r="W550" s="243"/>
      <c r="X550" s="243"/>
      <c r="Y550" s="243"/>
      <c r="Z550" s="243"/>
      <c r="AA550" s="243"/>
      <c r="AB550" s="243"/>
      <c r="AC550" s="243"/>
      <c r="AD550" s="243"/>
      <c r="AE550" s="243"/>
      <c r="AF550" s="243"/>
      <c r="AG550" s="243"/>
      <c r="AH550" s="243"/>
      <c r="AI550" s="243"/>
      <c r="AJ550" s="243"/>
      <c r="AK550" s="243"/>
      <c r="AL550" s="243"/>
      <c r="AM550" s="243"/>
      <c r="AN550" s="243"/>
      <c r="AO550" s="243"/>
      <c r="AP550" s="243"/>
      <c r="AQ550" s="243"/>
      <c r="AR550" s="243"/>
      <c r="AS550" s="243"/>
      <c r="AT550" s="243"/>
      <c r="AU550" s="243"/>
      <c r="AV550" s="243"/>
      <c r="AW550" s="243"/>
      <c r="AX550" s="243"/>
      <c r="AY550" s="243"/>
      <c r="AZ550" s="243"/>
      <c r="BA550" s="243"/>
      <c r="BB550" s="243"/>
      <c r="BC550" s="243"/>
      <c r="BD550" s="243"/>
      <c r="BE550" s="243"/>
      <c r="BF550" s="243"/>
      <c r="BG550" s="243"/>
      <c r="BH550" s="243"/>
      <c r="BI550" s="243"/>
      <c r="BJ550" s="243"/>
      <c r="BK550" s="243"/>
      <c r="BL550" s="243"/>
      <c r="BM550" s="243"/>
      <c r="BN550" s="243"/>
      <c r="BO550" s="243"/>
      <c r="BP550" s="243"/>
      <c r="BQ550" s="243"/>
      <c r="BR550" s="243"/>
      <c r="BS550" s="243"/>
    </row>
    <row r="551" spans="1:71" s="12" customFormat="1" ht="41.25" customHeight="1">
      <c r="A551" s="178" t="s">
        <v>80</v>
      </c>
      <c r="B551" s="178" t="str">
        <f ca="1">+UPPER(Tabla1321124[[#This Row],[DESCRIPCIÓN DE LA COMPRA O CONTRATACIÓN]])</f>
        <v>JUNTAS TIPO DRESSER Ø20"</v>
      </c>
      <c r="C551" s="39" t="s">
        <v>17</v>
      </c>
      <c r="D551" s="362">
        <v>0</v>
      </c>
      <c r="E551" s="362"/>
      <c r="F551" s="362">
        <v>0</v>
      </c>
      <c r="G551" s="362"/>
      <c r="H551" s="240">
        <f>SUM(Tabla1321124[[#This Row],[PRIMER TRIMESTRE]:[CUARTO TRIMESTRE]])</f>
        <v>0</v>
      </c>
      <c r="I551" s="17">
        <v>13800</v>
      </c>
      <c r="J551" s="17">
        <f>+Tabla1321124[[#This Row],[CANTIDAD TOTAL]]*Tabla1321124[[#This Row],[PRECIO UNITARIO ESTIMADO]]</f>
        <v>0</v>
      </c>
      <c r="K551" s="175"/>
      <c r="L551" s="16" t="s">
        <v>18</v>
      </c>
      <c r="M551" s="16" t="s">
        <v>22</v>
      </c>
      <c r="N551" s="16"/>
      <c r="O551" s="243"/>
      <c r="P551" s="243"/>
      <c r="Q551" s="243"/>
      <c r="R551" s="243"/>
      <c r="S551" s="243"/>
      <c r="T551" s="243"/>
      <c r="U551" s="243"/>
      <c r="V551" s="243"/>
      <c r="W551" s="243"/>
      <c r="X551" s="243"/>
      <c r="Y551" s="243"/>
      <c r="Z551" s="243"/>
      <c r="AA551" s="243"/>
      <c r="AB551" s="243"/>
      <c r="AC551" s="243"/>
      <c r="AD551" s="243"/>
      <c r="AE551" s="243"/>
      <c r="AF551" s="243"/>
      <c r="AG551" s="243"/>
      <c r="AH551" s="243"/>
      <c r="AI551" s="243"/>
      <c r="AJ551" s="243"/>
      <c r="AK551" s="243"/>
      <c r="AL551" s="243"/>
      <c r="AM551" s="243"/>
      <c r="AN551" s="243"/>
      <c r="AO551" s="243"/>
      <c r="AP551" s="243"/>
      <c r="AQ551" s="243"/>
      <c r="AR551" s="243"/>
      <c r="AS551" s="243"/>
      <c r="AT551" s="243"/>
      <c r="AU551" s="243"/>
      <c r="AV551" s="243"/>
      <c r="AW551" s="243"/>
      <c r="AX551" s="243"/>
      <c r="AY551" s="243"/>
      <c r="AZ551" s="243"/>
      <c r="BA551" s="243"/>
      <c r="BB551" s="243"/>
      <c r="BC551" s="243"/>
      <c r="BD551" s="243"/>
      <c r="BE551" s="243"/>
      <c r="BF551" s="243"/>
      <c r="BG551" s="243"/>
      <c r="BH551" s="243"/>
      <c r="BI551" s="243"/>
      <c r="BJ551" s="243"/>
      <c r="BK551" s="243"/>
      <c r="BL551" s="243"/>
      <c r="BM551" s="243"/>
      <c r="BN551" s="243"/>
      <c r="BO551" s="243"/>
      <c r="BP551" s="243"/>
      <c r="BQ551" s="243"/>
      <c r="BR551" s="243"/>
      <c r="BS551" s="243"/>
    </row>
    <row r="552" spans="1:71" s="12" customFormat="1" ht="41.25" customHeight="1">
      <c r="A552" s="178" t="s">
        <v>80</v>
      </c>
      <c r="B552" s="178" t="str">
        <f ca="1">+UPPER(Tabla1321124[[#This Row],[DESCRIPCIÓN DE LA COMPRA O CONTRATACIÓN]])</f>
        <v>JUNTAS TIPO DRESSER Ø24"</v>
      </c>
      <c r="C552" s="39" t="s">
        <v>17</v>
      </c>
      <c r="D552" s="362">
        <v>0</v>
      </c>
      <c r="E552" s="362"/>
      <c r="F552" s="362"/>
      <c r="G552" s="362"/>
      <c r="H552" s="240">
        <f>SUM(Tabla1321124[[#This Row],[PRIMER TRIMESTRE]:[CUARTO TRIMESTRE]])</f>
        <v>0</v>
      </c>
      <c r="I552" s="17">
        <v>15550</v>
      </c>
      <c r="J552" s="17">
        <f>+Tabla1321124[[#This Row],[CANTIDAD TOTAL]]*Tabla1321124[[#This Row],[PRECIO UNITARIO ESTIMADO]]</f>
        <v>0</v>
      </c>
      <c r="K552" s="175"/>
      <c r="L552" s="16" t="s">
        <v>18</v>
      </c>
      <c r="M552" s="16" t="s">
        <v>22</v>
      </c>
      <c r="N552" s="16"/>
      <c r="O552" s="243"/>
      <c r="P552" s="243"/>
      <c r="Q552" s="243"/>
      <c r="R552" s="243"/>
      <c r="S552" s="243"/>
      <c r="T552" s="243"/>
      <c r="U552" s="243"/>
      <c r="V552" s="243"/>
      <c r="W552" s="243"/>
      <c r="X552" s="243"/>
      <c r="Y552" s="243"/>
      <c r="Z552" s="243"/>
      <c r="AA552" s="243"/>
      <c r="AB552" s="243"/>
      <c r="AC552" s="243"/>
      <c r="AD552" s="243"/>
      <c r="AE552" s="243"/>
      <c r="AF552" s="243"/>
      <c r="AG552" s="243"/>
      <c r="AH552" s="243"/>
      <c r="AI552" s="243"/>
      <c r="AJ552" s="243"/>
      <c r="AK552" s="243"/>
      <c r="AL552" s="243"/>
      <c r="AM552" s="243"/>
      <c r="AN552" s="243"/>
      <c r="AO552" s="243"/>
      <c r="AP552" s="243"/>
      <c r="AQ552" s="243"/>
      <c r="AR552" s="243"/>
      <c r="AS552" s="243"/>
      <c r="AT552" s="243"/>
      <c r="AU552" s="243"/>
      <c r="AV552" s="243"/>
      <c r="AW552" s="243"/>
      <c r="AX552" s="243"/>
      <c r="AY552" s="243"/>
      <c r="AZ552" s="243"/>
      <c r="BA552" s="243"/>
      <c r="BB552" s="243"/>
      <c r="BC552" s="243"/>
      <c r="BD552" s="243"/>
      <c r="BE552" s="243"/>
      <c r="BF552" s="243"/>
      <c r="BG552" s="243"/>
      <c r="BH552" s="243"/>
      <c r="BI552" s="243"/>
      <c r="BJ552" s="243"/>
      <c r="BK552" s="243"/>
      <c r="BL552" s="243"/>
      <c r="BM552" s="243"/>
      <c r="BN552" s="243"/>
      <c r="BO552" s="243"/>
      <c r="BP552" s="243"/>
      <c r="BQ552" s="243"/>
      <c r="BR552" s="243"/>
      <c r="BS552" s="243"/>
    </row>
    <row r="553" spans="1:71" s="12" customFormat="1" ht="41.25" customHeight="1">
      <c r="A553" s="178" t="s">
        <v>80</v>
      </c>
      <c r="B553" s="178" t="str">
        <f ca="1">+UPPER(Tabla1321124[[#This Row],[DESCRIPCIÓN DE LA COMPRA O CONTRATACIÓN]])</f>
        <v>JUNTAS TIPO DRESSER Ø3"</v>
      </c>
      <c r="C553" s="39" t="s">
        <v>17</v>
      </c>
      <c r="D553" s="362">
        <v>50</v>
      </c>
      <c r="E553" s="362"/>
      <c r="F553" s="362">
        <v>50</v>
      </c>
      <c r="G553" s="362"/>
      <c r="H553" s="240">
        <f>SUM(Tabla1321124[[#This Row],[PRIMER TRIMESTRE]:[CUARTO TRIMESTRE]])</f>
        <v>100</v>
      </c>
      <c r="I553" s="17">
        <v>1570</v>
      </c>
      <c r="J553" s="17">
        <f>+Tabla1321124[[#This Row],[CANTIDAD TOTAL]]*Tabla1321124[[#This Row],[PRECIO UNITARIO ESTIMADO]]</f>
        <v>157000</v>
      </c>
      <c r="K553" s="175"/>
      <c r="L553" s="16" t="s">
        <v>18</v>
      </c>
      <c r="M553" s="16" t="s">
        <v>22</v>
      </c>
      <c r="N553" s="16"/>
      <c r="O553" s="243"/>
      <c r="P553" s="243"/>
      <c r="Q553" s="243"/>
      <c r="R553" s="243"/>
      <c r="S553" s="243"/>
      <c r="T553" s="243"/>
      <c r="U553" s="243"/>
      <c r="V553" s="243"/>
      <c r="W553" s="243"/>
      <c r="X553" s="243"/>
      <c r="Y553" s="243"/>
      <c r="Z553" s="243"/>
      <c r="AA553" s="243"/>
      <c r="AB553" s="243"/>
      <c r="AC553" s="243"/>
      <c r="AD553" s="243"/>
      <c r="AE553" s="243"/>
      <c r="AF553" s="243"/>
      <c r="AG553" s="243"/>
      <c r="AH553" s="243"/>
      <c r="AI553" s="243"/>
      <c r="AJ553" s="243"/>
      <c r="AK553" s="243"/>
      <c r="AL553" s="243"/>
      <c r="AM553" s="243"/>
      <c r="AN553" s="243"/>
      <c r="AO553" s="243"/>
      <c r="AP553" s="243"/>
      <c r="AQ553" s="243"/>
      <c r="AR553" s="243"/>
      <c r="AS553" s="243"/>
      <c r="AT553" s="243"/>
      <c r="AU553" s="243"/>
      <c r="AV553" s="243"/>
      <c r="AW553" s="243"/>
      <c r="AX553" s="243"/>
      <c r="AY553" s="243"/>
      <c r="AZ553" s="243"/>
      <c r="BA553" s="243"/>
      <c r="BB553" s="243"/>
      <c r="BC553" s="243"/>
      <c r="BD553" s="243"/>
      <c r="BE553" s="243"/>
      <c r="BF553" s="243"/>
      <c r="BG553" s="243"/>
      <c r="BH553" s="243"/>
      <c r="BI553" s="243"/>
      <c r="BJ553" s="243"/>
      <c r="BK553" s="243"/>
      <c r="BL553" s="243"/>
      <c r="BM553" s="243"/>
      <c r="BN553" s="243"/>
      <c r="BO553" s="243"/>
      <c r="BP553" s="243"/>
      <c r="BQ553" s="243"/>
      <c r="BR553" s="243"/>
      <c r="BS553" s="243"/>
    </row>
    <row r="554" spans="1:71" s="12" customFormat="1" ht="41.25" customHeight="1">
      <c r="A554" s="178" t="s">
        <v>80</v>
      </c>
      <c r="B554" s="178" t="str">
        <f ca="1">+UPPER(Tabla1321124[[#This Row],[DESCRIPCIÓN DE LA COMPRA O CONTRATACIÓN]])</f>
        <v>JUNTAS TIPO DRESSER Ø4"</v>
      </c>
      <c r="C554" s="39" t="s">
        <v>17</v>
      </c>
      <c r="D554" s="362">
        <v>50</v>
      </c>
      <c r="E554" s="362"/>
      <c r="F554" s="362">
        <v>50</v>
      </c>
      <c r="G554" s="362"/>
      <c r="H554" s="240">
        <f>SUM(Tabla1321124[[#This Row],[PRIMER TRIMESTRE]:[CUARTO TRIMESTRE]])</f>
        <v>100</v>
      </c>
      <c r="I554" s="17">
        <v>1805</v>
      </c>
      <c r="J554" s="17">
        <f>+Tabla1321124[[#This Row],[CANTIDAD TOTAL]]*Tabla1321124[[#This Row],[PRECIO UNITARIO ESTIMADO]]</f>
        <v>180500</v>
      </c>
      <c r="K554" s="175"/>
      <c r="L554" s="16" t="s">
        <v>18</v>
      </c>
      <c r="M554" s="16" t="s">
        <v>22</v>
      </c>
      <c r="N554" s="16"/>
      <c r="O554" s="243"/>
      <c r="P554" s="243"/>
      <c r="Q554" s="243"/>
      <c r="R554" s="243"/>
      <c r="S554" s="243"/>
      <c r="T554" s="243"/>
      <c r="U554" s="243"/>
      <c r="V554" s="243"/>
      <c r="W554" s="243"/>
      <c r="X554" s="243"/>
      <c r="Y554" s="243"/>
      <c r="Z554" s="243"/>
      <c r="AA554" s="243"/>
      <c r="AB554" s="243"/>
      <c r="AC554" s="243"/>
      <c r="AD554" s="243"/>
      <c r="AE554" s="243"/>
      <c r="AF554" s="243"/>
      <c r="AG554" s="243"/>
      <c r="AH554" s="243"/>
      <c r="AI554" s="243"/>
      <c r="AJ554" s="243"/>
      <c r="AK554" s="243"/>
      <c r="AL554" s="243"/>
      <c r="AM554" s="243"/>
      <c r="AN554" s="243"/>
      <c r="AO554" s="243"/>
      <c r="AP554" s="243"/>
      <c r="AQ554" s="243"/>
      <c r="AR554" s="243"/>
      <c r="AS554" s="243"/>
      <c r="AT554" s="243"/>
      <c r="AU554" s="243"/>
      <c r="AV554" s="243"/>
      <c r="AW554" s="243"/>
      <c r="AX554" s="243"/>
      <c r="AY554" s="243"/>
      <c r="AZ554" s="243"/>
      <c r="BA554" s="243"/>
      <c r="BB554" s="243"/>
      <c r="BC554" s="243"/>
      <c r="BD554" s="243"/>
      <c r="BE554" s="243"/>
      <c r="BF554" s="243"/>
      <c r="BG554" s="243"/>
      <c r="BH554" s="243"/>
      <c r="BI554" s="243"/>
      <c r="BJ554" s="243"/>
      <c r="BK554" s="243"/>
      <c r="BL554" s="243"/>
      <c r="BM554" s="243"/>
      <c r="BN554" s="243"/>
      <c r="BO554" s="243"/>
      <c r="BP554" s="243"/>
      <c r="BQ554" s="243"/>
      <c r="BR554" s="243"/>
      <c r="BS554" s="243"/>
    </row>
    <row r="555" spans="1:71" s="12" customFormat="1" ht="41.25" customHeight="1">
      <c r="A555" s="178" t="s">
        <v>80</v>
      </c>
      <c r="B555" s="178" t="str">
        <f ca="1">+UPPER(Tabla1321124[[#This Row],[DESCRIPCIÓN DE LA COMPRA O CONTRATACIÓN]])</f>
        <v>JUNTAS TIPO DRESSER Ø6"</v>
      </c>
      <c r="C555" s="39" t="s">
        <v>17</v>
      </c>
      <c r="D555" s="362">
        <v>30</v>
      </c>
      <c r="E555" s="362"/>
      <c r="F555" s="362">
        <v>30</v>
      </c>
      <c r="G555" s="362"/>
      <c r="H555" s="240">
        <f>SUM(Tabla1321124[[#This Row],[PRIMER TRIMESTRE]:[CUARTO TRIMESTRE]])</f>
        <v>60</v>
      </c>
      <c r="I555" s="17">
        <v>2100</v>
      </c>
      <c r="J555" s="17">
        <f>+Tabla1321124[[#This Row],[CANTIDAD TOTAL]]*Tabla1321124[[#This Row],[PRECIO UNITARIO ESTIMADO]]</f>
        <v>126000</v>
      </c>
      <c r="K555" s="175"/>
      <c r="L555" s="16" t="s">
        <v>18</v>
      </c>
      <c r="M555" s="16" t="s">
        <v>22</v>
      </c>
      <c r="N555" s="16"/>
      <c r="O555" s="243"/>
      <c r="P555" s="243"/>
      <c r="Q555" s="243"/>
      <c r="R555" s="243"/>
      <c r="S555" s="243"/>
      <c r="T555" s="243"/>
      <c r="U555" s="243"/>
      <c r="V555" s="243"/>
      <c r="W555" s="243"/>
      <c r="X555" s="243"/>
      <c r="Y555" s="243"/>
      <c r="Z555" s="243"/>
      <c r="AA555" s="243"/>
      <c r="AB555" s="243"/>
      <c r="AC555" s="243"/>
      <c r="AD555" s="243"/>
      <c r="AE555" s="243"/>
      <c r="AF555" s="243"/>
      <c r="AG555" s="243"/>
      <c r="AH555" s="243"/>
      <c r="AI555" s="243"/>
      <c r="AJ555" s="243"/>
      <c r="AK555" s="243"/>
      <c r="AL555" s="243"/>
      <c r="AM555" s="243"/>
      <c r="AN555" s="243"/>
      <c r="AO555" s="243"/>
      <c r="AP555" s="243"/>
      <c r="AQ555" s="243"/>
      <c r="AR555" s="243"/>
      <c r="AS555" s="243"/>
      <c r="AT555" s="243"/>
      <c r="AU555" s="243"/>
      <c r="AV555" s="243"/>
      <c r="AW555" s="243"/>
      <c r="AX555" s="243"/>
      <c r="AY555" s="243"/>
      <c r="AZ555" s="243"/>
      <c r="BA555" s="243"/>
      <c r="BB555" s="243"/>
      <c r="BC555" s="243"/>
      <c r="BD555" s="243"/>
      <c r="BE555" s="243"/>
      <c r="BF555" s="243"/>
      <c r="BG555" s="243"/>
      <c r="BH555" s="243"/>
      <c r="BI555" s="243"/>
      <c r="BJ555" s="243"/>
      <c r="BK555" s="243"/>
      <c r="BL555" s="243"/>
      <c r="BM555" s="243"/>
      <c r="BN555" s="243"/>
      <c r="BO555" s="243"/>
      <c r="BP555" s="243"/>
      <c r="BQ555" s="243"/>
      <c r="BR555" s="243"/>
      <c r="BS555" s="243"/>
    </row>
    <row r="556" spans="1:71" s="12" customFormat="1" ht="41.25" customHeight="1">
      <c r="A556" s="178" t="s">
        <v>80</v>
      </c>
      <c r="B556" s="178" t="str">
        <f ca="1">+UPPER(Tabla1321124[[#This Row],[DESCRIPCIÓN DE LA COMPRA O CONTRATACIÓN]])</f>
        <v>JUNTAS TIPO DRESSER Ø8"</v>
      </c>
      <c r="C556" s="39" t="s">
        <v>17</v>
      </c>
      <c r="D556" s="362">
        <v>40</v>
      </c>
      <c r="E556" s="362"/>
      <c r="F556" s="362">
        <v>20</v>
      </c>
      <c r="G556" s="362"/>
      <c r="H556" s="240">
        <f>SUM(Tabla1321124[[#This Row],[PRIMER TRIMESTRE]:[CUARTO TRIMESTRE]])</f>
        <v>60</v>
      </c>
      <c r="I556" s="17">
        <v>2500</v>
      </c>
      <c r="J556" s="17">
        <f>+Tabla1321124[[#This Row],[CANTIDAD TOTAL]]*Tabla1321124[[#This Row],[PRECIO UNITARIO ESTIMADO]]</f>
        <v>150000</v>
      </c>
      <c r="K556" s="175"/>
      <c r="L556" s="16" t="s">
        <v>18</v>
      </c>
      <c r="M556" s="16" t="s">
        <v>22</v>
      </c>
      <c r="N556" s="16"/>
      <c r="O556" s="243"/>
      <c r="P556" s="243"/>
      <c r="Q556" s="243"/>
      <c r="R556" s="243"/>
      <c r="S556" s="243"/>
      <c r="T556" s="243"/>
      <c r="U556" s="243"/>
      <c r="V556" s="243"/>
      <c r="W556" s="243"/>
      <c r="X556" s="243"/>
      <c r="Y556" s="243"/>
      <c r="Z556" s="243"/>
      <c r="AA556" s="243"/>
      <c r="AB556" s="243"/>
      <c r="AC556" s="243"/>
      <c r="AD556" s="243"/>
      <c r="AE556" s="243"/>
      <c r="AF556" s="243"/>
      <c r="AG556" s="243"/>
      <c r="AH556" s="243"/>
      <c r="AI556" s="243"/>
      <c r="AJ556" s="243"/>
      <c r="AK556" s="243"/>
      <c r="AL556" s="243"/>
      <c r="AM556" s="243"/>
      <c r="AN556" s="243"/>
      <c r="AO556" s="243"/>
      <c r="AP556" s="243"/>
      <c r="AQ556" s="243"/>
      <c r="AR556" s="243"/>
      <c r="AS556" s="243"/>
      <c r="AT556" s="243"/>
      <c r="AU556" s="243"/>
      <c r="AV556" s="243"/>
      <c r="AW556" s="243"/>
      <c r="AX556" s="243"/>
      <c r="AY556" s="243"/>
      <c r="AZ556" s="243"/>
      <c r="BA556" s="243"/>
      <c r="BB556" s="243"/>
      <c r="BC556" s="243"/>
      <c r="BD556" s="243"/>
      <c r="BE556" s="243"/>
      <c r="BF556" s="243"/>
      <c r="BG556" s="243"/>
      <c r="BH556" s="243"/>
      <c r="BI556" s="243"/>
      <c r="BJ556" s="243"/>
      <c r="BK556" s="243"/>
      <c r="BL556" s="243"/>
      <c r="BM556" s="243"/>
      <c r="BN556" s="243"/>
      <c r="BO556" s="243"/>
      <c r="BP556" s="243"/>
      <c r="BQ556" s="243"/>
      <c r="BR556" s="243"/>
      <c r="BS556" s="243"/>
    </row>
    <row r="557" spans="1:71" s="12" customFormat="1" ht="41.25" customHeight="1">
      <c r="A557" s="178" t="s">
        <v>80</v>
      </c>
      <c r="B557" s="178" t="str">
        <f ca="1">+UPPER(Tabla1321124[[#This Row],[DESCRIPCIÓN DE LA COMPRA O CONTRATACIÓN]])</f>
        <v>MOTOR PARA SULFATO Y POLIMERO</v>
      </c>
      <c r="C557" s="39" t="s">
        <v>17</v>
      </c>
      <c r="D557" s="375">
        <v>1</v>
      </c>
      <c r="E557" s="375"/>
      <c r="F557" s="375">
        <v>1</v>
      </c>
      <c r="G557" s="362"/>
      <c r="H557" s="240">
        <f>SUM(Tabla1321124[[#This Row],[PRIMER TRIMESTRE]:[CUARTO TRIMESTRE]])</f>
        <v>2</v>
      </c>
      <c r="I557" s="17">
        <v>8000</v>
      </c>
      <c r="J557" s="17">
        <f>+Tabla1321124[[#This Row],[CANTIDAD TOTAL]]*Tabla1321124[[#This Row],[PRECIO UNITARIO ESTIMADO]]</f>
        <v>16000</v>
      </c>
      <c r="K557" s="175"/>
      <c r="L557" s="16" t="s">
        <v>18</v>
      </c>
      <c r="M557" s="16" t="s">
        <v>22</v>
      </c>
      <c r="N557" s="16"/>
      <c r="O557" s="243"/>
      <c r="P557" s="243"/>
      <c r="Q557" s="243"/>
      <c r="R557" s="243"/>
      <c r="S557" s="243"/>
      <c r="T557" s="243"/>
      <c r="U557" s="243"/>
      <c r="V557" s="243"/>
      <c r="W557" s="243"/>
      <c r="X557" s="243"/>
      <c r="Y557" s="243"/>
      <c r="Z557" s="243"/>
      <c r="AA557" s="243"/>
      <c r="AB557" s="243"/>
      <c r="AC557" s="243"/>
      <c r="AD557" s="243"/>
      <c r="AE557" s="243"/>
      <c r="AF557" s="243"/>
      <c r="AG557" s="243"/>
      <c r="AH557" s="243"/>
      <c r="AI557" s="243"/>
      <c r="AJ557" s="243"/>
      <c r="AK557" s="243"/>
      <c r="AL557" s="243"/>
      <c r="AM557" s="243"/>
      <c r="AN557" s="243"/>
      <c r="AO557" s="243"/>
      <c r="AP557" s="243"/>
      <c r="AQ557" s="243"/>
      <c r="AR557" s="243"/>
      <c r="AS557" s="243"/>
      <c r="AT557" s="243"/>
      <c r="AU557" s="243"/>
      <c r="AV557" s="243"/>
      <c r="AW557" s="243"/>
      <c r="AX557" s="243"/>
      <c r="AY557" s="243"/>
      <c r="AZ557" s="243"/>
      <c r="BA557" s="243"/>
      <c r="BB557" s="243"/>
      <c r="BC557" s="243"/>
      <c r="BD557" s="243"/>
      <c r="BE557" s="243"/>
      <c r="BF557" s="243"/>
      <c r="BG557" s="243"/>
      <c r="BH557" s="243"/>
      <c r="BI557" s="243"/>
      <c r="BJ557" s="243"/>
      <c r="BK557" s="243"/>
      <c r="BL557" s="243"/>
      <c r="BM557" s="243"/>
      <c r="BN557" s="243"/>
      <c r="BO557" s="243"/>
      <c r="BP557" s="243"/>
      <c r="BQ557" s="243"/>
      <c r="BR557" s="243"/>
      <c r="BS557" s="243"/>
    </row>
    <row r="558" spans="1:71" s="12" customFormat="1" ht="41.25" customHeight="1">
      <c r="A558" s="178" t="s">
        <v>80</v>
      </c>
      <c r="B558" s="178" t="str">
        <f ca="1">+UPPER(Tabla1321124[[#This Row],[DESCRIPCIÓN DE LA COMPRA O CONTRATACIÓN]])</f>
        <v>MODULO PARA PLC</v>
      </c>
      <c r="C558" s="39" t="s">
        <v>17</v>
      </c>
      <c r="D558" s="375">
        <v>1</v>
      </c>
      <c r="E558" s="375"/>
      <c r="F558" s="375">
        <v>1</v>
      </c>
      <c r="G558" s="362"/>
      <c r="H558" s="240">
        <f>SUM(Tabla1321124[[#This Row],[PRIMER TRIMESTRE]:[CUARTO TRIMESTRE]])</f>
        <v>2</v>
      </c>
      <c r="I558" s="17">
        <v>5690</v>
      </c>
      <c r="J558" s="17">
        <f>+Tabla1321124[[#This Row],[CANTIDAD TOTAL]]*Tabla1321124[[#This Row],[PRECIO UNITARIO ESTIMADO]]</f>
        <v>11380</v>
      </c>
      <c r="K558" s="175"/>
      <c r="L558" s="16" t="s">
        <v>18</v>
      </c>
      <c r="M558" s="16" t="s">
        <v>22</v>
      </c>
      <c r="N558" s="16"/>
      <c r="O558" s="243"/>
      <c r="P558" s="243"/>
      <c r="Q558" s="243"/>
      <c r="R558" s="243"/>
      <c r="S558" s="243"/>
      <c r="T558" s="243"/>
      <c r="U558" s="243"/>
      <c r="V558" s="243"/>
      <c r="W558" s="243"/>
      <c r="X558" s="243"/>
      <c r="Y558" s="243"/>
      <c r="Z558" s="243"/>
      <c r="AA558" s="243"/>
      <c r="AB558" s="243"/>
      <c r="AC558" s="243"/>
      <c r="AD558" s="243"/>
      <c r="AE558" s="243"/>
      <c r="AF558" s="243"/>
      <c r="AG558" s="243"/>
      <c r="AH558" s="243"/>
      <c r="AI558" s="243"/>
      <c r="AJ558" s="243"/>
      <c r="AK558" s="243"/>
      <c r="AL558" s="243"/>
      <c r="AM558" s="243"/>
      <c r="AN558" s="243"/>
      <c r="AO558" s="243"/>
      <c r="AP558" s="243"/>
      <c r="AQ558" s="243"/>
      <c r="AR558" s="243"/>
      <c r="AS558" s="243"/>
      <c r="AT558" s="243"/>
      <c r="AU558" s="243"/>
      <c r="AV558" s="243"/>
      <c r="AW558" s="243"/>
      <c r="AX558" s="243"/>
      <c r="AY558" s="243"/>
      <c r="AZ558" s="243"/>
      <c r="BA558" s="243"/>
      <c r="BB558" s="243"/>
      <c r="BC558" s="243"/>
      <c r="BD558" s="243"/>
      <c r="BE558" s="243"/>
      <c r="BF558" s="243"/>
      <c r="BG558" s="243"/>
      <c r="BH558" s="243"/>
      <c r="BI558" s="243"/>
      <c r="BJ558" s="243"/>
      <c r="BK558" s="243"/>
      <c r="BL558" s="243"/>
      <c r="BM558" s="243"/>
      <c r="BN558" s="243"/>
      <c r="BO558" s="243"/>
      <c r="BP558" s="243"/>
      <c r="BQ558" s="243"/>
      <c r="BR558" s="243"/>
      <c r="BS558" s="243"/>
    </row>
    <row r="559" spans="1:71" s="12" customFormat="1" ht="41.25" customHeight="1">
      <c r="A559" s="178" t="s">
        <v>80</v>
      </c>
      <c r="B559" s="178" t="str">
        <f ca="1">+UPPER(Tabla1321124[[#This Row],[DESCRIPCIÓN DE LA COMPRA O CONTRATACIÓN]])</f>
        <v xml:space="preserve">VALVULAS SELENOIDES </v>
      </c>
      <c r="C559" s="39" t="s">
        <v>17</v>
      </c>
      <c r="D559" s="375">
        <v>10</v>
      </c>
      <c r="E559" s="375">
        <v>5</v>
      </c>
      <c r="F559" s="375">
        <v>5</v>
      </c>
      <c r="G559" s="362">
        <v>5</v>
      </c>
      <c r="H559" s="240">
        <f>SUM(Tabla1321124[[#This Row],[PRIMER TRIMESTRE]:[CUARTO TRIMESTRE]])</f>
        <v>25</v>
      </c>
      <c r="I559" s="17">
        <v>3200</v>
      </c>
      <c r="J559" s="17">
        <f>+Tabla1321124[[#This Row],[CANTIDAD TOTAL]]*Tabla1321124[[#This Row],[PRECIO UNITARIO ESTIMADO]]</f>
        <v>80000</v>
      </c>
      <c r="K559" s="175"/>
      <c r="L559" s="16" t="s">
        <v>18</v>
      </c>
      <c r="M559" s="16" t="s">
        <v>22</v>
      </c>
      <c r="N559" s="16"/>
      <c r="O559" s="243"/>
      <c r="P559" s="243"/>
      <c r="Q559" s="243"/>
      <c r="R559" s="243"/>
      <c r="S559" s="243"/>
      <c r="T559" s="243"/>
      <c r="U559" s="243"/>
      <c r="V559" s="243"/>
      <c r="W559" s="243"/>
      <c r="X559" s="243"/>
      <c r="Y559" s="243"/>
      <c r="Z559" s="243"/>
      <c r="AA559" s="243"/>
      <c r="AB559" s="243"/>
      <c r="AC559" s="243"/>
      <c r="AD559" s="243"/>
      <c r="AE559" s="243"/>
      <c r="AF559" s="243"/>
      <c r="AG559" s="243"/>
      <c r="AH559" s="243"/>
      <c r="AI559" s="243"/>
      <c r="AJ559" s="243"/>
      <c r="AK559" s="243"/>
      <c r="AL559" s="243"/>
      <c r="AM559" s="243"/>
      <c r="AN559" s="243"/>
      <c r="AO559" s="243"/>
      <c r="AP559" s="243"/>
      <c r="AQ559" s="243"/>
      <c r="AR559" s="243"/>
      <c r="AS559" s="243"/>
      <c r="AT559" s="243"/>
      <c r="AU559" s="243"/>
      <c r="AV559" s="243"/>
      <c r="AW559" s="243"/>
      <c r="AX559" s="243"/>
      <c r="AY559" s="243"/>
      <c r="AZ559" s="243"/>
      <c r="BA559" s="243"/>
      <c r="BB559" s="243"/>
      <c r="BC559" s="243"/>
      <c r="BD559" s="243"/>
      <c r="BE559" s="243"/>
      <c r="BF559" s="243"/>
      <c r="BG559" s="243"/>
      <c r="BH559" s="243"/>
      <c r="BI559" s="243"/>
      <c r="BJ559" s="243"/>
      <c r="BK559" s="243"/>
      <c r="BL559" s="243"/>
      <c r="BM559" s="243"/>
      <c r="BN559" s="243"/>
      <c r="BO559" s="243"/>
      <c r="BP559" s="243"/>
      <c r="BQ559" s="243"/>
      <c r="BR559" s="243"/>
      <c r="BS559" s="243"/>
    </row>
    <row r="560" spans="1:71" s="12" customFormat="1" ht="41.25" customHeight="1">
      <c r="A560" s="178" t="s">
        <v>80</v>
      </c>
      <c r="B560" s="178" t="str">
        <f ca="1">+UPPER(Tabla1321124[[#This Row],[DESCRIPCIÓN DE LA COMPRA O CONTRATACIÓN]])</f>
        <v>RELAY DE PANEL</v>
      </c>
      <c r="C560" s="39" t="s">
        <v>17</v>
      </c>
      <c r="D560" s="375">
        <v>1</v>
      </c>
      <c r="E560" s="375"/>
      <c r="F560" s="375">
        <v>1</v>
      </c>
      <c r="G560" s="362"/>
      <c r="H560" s="240">
        <f>SUM(Tabla1321124[[#This Row],[PRIMER TRIMESTRE]:[CUARTO TRIMESTRE]])</f>
        <v>2</v>
      </c>
      <c r="I560" s="17">
        <v>250</v>
      </c>
      <c r="J560" s="17">
        <f>+Tabla1321124[[#This Row],[CANTIDAD TOTAL]]*Tabla1321124[[#This Row],[PRECIO UNITARIO ESTIMADO]]</f>
        <v>500</v>
      </c>
      <c r="K560" s="175"/>
      <c r="L560" s="16" t="s">
        <v>18</v>
      </c>
      <c r="M560" s="16" t="s">
        <v>22</v>
      </c>
      <c r="N560" s="16"/>
      <c r="O560" s="243"/>
      <c r="P560" s="243"/>
      <c r="Q560" s="243"/>
      <c r="R560" s="243"/>
      <c r="S560" s="243"/>
      <c r="T560" s="243"/>
      <c r="U560" s="243"/>
      <c r="V560" s="243"/>
      <c r="W560" s="243"/>
      <c r="X560" s="243"/>
      <c r="Y560" s="243"/>
      <c r="Z560" s="243"/>
      <c r="AA560" s="243"/>
      <c r="AB560" s="243"/>
      <c r="AC560" s="243"/>
      <c r="AD560" s="243"/>
      <c r="AE560" s="243"/>
      <c r="AF560" s="243"/>
      <c r="AG560" s="243"/>
      <c r="AH560" s="243"/>
      <c r="AI560" s="243"/>
      <c r="AJ560" s="243"/>
      <c r="AK560" s="243"/>
      <c r="AL560" s="243"/>
      <c r="AM560" s="243"/>
      <c r="AN560" s="243"/>
      <c r="AO560" s="243"/>
      <c r="AP560" s="243"/>
      <c r="AQ560" s="243"/>
      <c r="AR560" s="243"/>
      <c r="AS560" s="243"/>
      <c r="AT560" s="243"/>
      <c r="AU560" s="243"/>
      <c r="AV560" s="243"/>
      <c r="AW560" s="243"/>
      <c r="AX560" s="243"/>
      <c r="AY560" s="243"/>
      <c r="AZ560" s="243"/>
      <c r="BA560" s="243"/>
      <c r="BB560" s="243"/>
      <c r="BC560" s="243"/>
      <c r="BD560" s="243"/>
      <c r="BE560" s="243"/>
      <c r="BF560" s="243"/>
      <c r="BG560" s="243"/>
      <c r="BH560" s="243"/>
      <c r="BI560" s="243"/>
      <c r="BJ560" s="243"/>
      <c r="BK560" s="243"/>
      <c r="BL560" s="243"/>
      <c r="BM560" s="243"/>
      <c r="BN560" s="243"/>
      <c r="BO560" s="243"/>
      <c r="BP560" s="243"/>
      <c r="BQ560" s="243"/>
      <c r="BR560" s="243"/>
      <c r="BS560" s="243"/>
    </row>
    <row r="561" spans="1:71" s="12" customFormat="1" ht="41.25" customHeight="1">
      <c r="A561" s="178" t="s">
        <v>80</v>
      </c>
      <c r="B561" s="178" t="str">
        <f ca="1">+UPPER(Tabla1321124[[#This Row],[DESCRIPCIÓN DE LA COMPRA O CONTRATACIÓN]])</f>
        <v>FUSIBLE PARA CONTROL DE MOTOR DE 800 HP</v>
      </c>
      <c r="C561" s="39" t="s">
        <v>17</v>
      </c>
      <c r="D561" s="375">
        <v>20</v>
      </c>
      <c r="E561" s="375"/>
      <c r="F561" s="375">
        <v>10</v>
      </c>
      <c r="G561" s="362"/>
      <c r="H561" s="240">
        <f>SUM(Tabla1321124[[#This Row],[PRIMER TRIMESTRE]:[CUARTO TRIMESTRE]])</f>
        <v>30</v>
      </c>
      <c r="I561" s="17">
        <v>320</v>
      </c>
      <c r="J561" s="17">
        <f>+Tabla1321124[[#This Row],[CANTIDAD TOTAL]]*Tabla1321124[[#This Row],[PRECIO UNITARIO ESTIMADO]]</f>
        <v>9600</v>
      </c>
      <c r="K561" s="175"/>
      <c r="L561" s="16" t="s">
        <v>18</v>
      </c>
      <c r="M561" s="16" t="s">
        <v>22</v>
      </c>
      <c r="N561" s="16"/>
      <c r="O561" s="243"/>
      <c r="P561" s="243"/>
      <c r="Q561" s="243"/>
      <c r="R561" s="243"/>
      <c r="S561" s="243"/>
      <c r="T561" s="243"/>
      <c r="U561" s="243"/>
      <c r="V561" s="243"/>
      <c r="W561" s="243"/>
      <c r="X561" s="243"/>
      <c r="Y561" s="243"/>
      <c r="Z561" s="243"/>
      <c r="AA561" s="243"/>
      <c r="AB561" s="243"/>
      <c r="AC561" s="243"/>
      <c r="AD561" s="243"/>
      <c r="AE561" s="243"/>
      <c r="AF561" s="243"/>
      <c r="AG561" s="243"/>
      <c r="AH561" s="243"/>
      <c r="AI561" s="243"/>
      <c r="AJ561" s="243"/>
      <c r="AK561" s="243"/>
      <c r="AL561" s="243"/>
      <c r="AM561" s="243"/>
      <c r="AN561" s="243"/>
      <c r="AO561" s="243"/>
      <c r="AP561" s="243"/>
      <c r="AQ561" s="243"/>
      <c r="AR561" s="243"/>
      <c r="AS561" s="243"/>
      <c r="AT561" s="243"/>
      <c r="AU561" s="243"/>
      <c r="AV561" s="243"/>
      <c r="AW561" s="243"/>
      <c r="AX561" s="243"/>
      <c r="AY561" s="243"/>
      <c r="AZ561" s="243"/>
      <c r="BA561" s="243"/>
      <c r="BB561" s="243"/>
      <c r="BC561" s="243"/>
      <c r="BD561" s="243"/>
      <c r="BE561" s="243"/>
      <c r="BF561" s="243"/>
      <c r="BG561" s="243"/>
      <c r="BH561" s="243"/>
      <c r="BI561" s="243"/>
      <c r="BJ561" s="243"/>
      <c r="BK561" s="243"/>
      <c r="BL561" s="243"/>
      <c r="BM561" s="243"/>
      <c r="BN561" s="243"/>
      <c r="BO561" s="243"/>
      <c r="BP561" s="243"/>
      <c r="BQ561" s="243"/>
      <c r="BR561" s="243"/>
      <c r="BS561" s="243"/>
    </row>
    <row r="562" spans="1:71" s="12" customFormat="1" ht="41.25" customHeight="1">
      <c r="A562" s="178" t="s">
        <v>80</v>
      </c>
      <c r="B562" s="178" t="str">
        <f ca="1">+UPPER(Tabla1321124[[#This Row],[DESCRIPCIÓN DE LA COMPRA O CONTRATACIÓN]])</f>
        <v>FUSIBLE DE 150 AMPERE TIPO CARTUCHO</v>
      </c>
      <c r="C562" s="39" t="s">
        <v>17</v>
      </c>
      <c r="D562" s="375">
        <v>1</v>
      </c>
      <c r="E562" s="375"/>
      <c r="F562" s="375">
        <v>1</v>
      </c>
      <c r="G562" s="362"/>
      <c r="H562" s="240">
        <f>SUM(Tabla1321124[[#This Row],[PRIMER TRIMESTRE]:[CUARTO TRIMESTRE]])</f>
        <v>2</v>
      </c>
      <c r="I562" s="17">
        <v>350</v>
      </c>
      <c r="J562" s="17">
        <f>+Tabla1321124[[#This Row],[CANTIDAD TOTAL]]*Tabla1321124[[#This Row],[PRECIO UNITARIO ESTIMADO]]</f>
        <v>700</v>
      </c>
      <c r="K562" s="175"/>
      <c r="L562" s="16" t="s">
        <v>18</v>
      </c>
      <c r="M562" s="16" t="s">
        <v>22</v>
      </c>
      <c r="N562" s="16"/>
      <c r="O562" s="243"/>
      <c r="P562" s="243"/>
      <c r="Q562" s="243"/>
      <c r="R562" s="243"/>
      <c r="S562" s="243"/>
      <c r="T562" s="243"/>
      <c r="U562" s="243"/>
      <c r="V562" s="243"/>
      <c r="W562" s="243"/>
      <c r="X562" s="243"/>
      <c r="Y562" s="243"/>
      <c r="Z562" s="243"/>
      <c r="AA562" s="243"/>
      <c r="AB562" s="243"/>
      <c r="AC562" s="243"/>
      <c r="AD562" s="243"/>
      <c r="AE562" s="243"/>
      <c r="AF562" s="243"/>
      <c r="AG562" s="243"/>
      <c r="AH562" s="243"/>
      <c r="AI562" s="243"/>
      <c r="AJ562" s="243"/>
      <c r="AK562" s="243"/>
      <c r="AL562" s="243"/>
      <c r="AM562" s="243"/>
      <c r="AN562" s="243"/>
      <c r="AO562" s="243"/>
      <c r="AP562" s="243"/>
      <c r="AQ562" s="243"/>
      <c r="AR562" s="243"/>
      <c r="AS562" s="243"/>
      <c r="AT562" s="243"/>
      <c r="AU562" s="243"/>
      <c r="AV562" s="243"/>
      <c r="AW562" s="243"/>
      <c r="AX562" s="243"/>
      <c r="AY562" s="243"/>
      <c r="AZ562" s="243"/>
      <c r="BA562" s="243"/>
      <c r="BB562" s="243"/>
      <c r="BC562" s="243"/>
      <c r="BD562" s="243"/>
      <c r="BE562" s="243"/>
      <c r="BF562" s="243"/>
      <c r="BG562" s="243"/>
      <c r="BH562" s="243"/>
      <c r="BI562" s="243"/>
      <c r="BJ562" s="243"/>
      <c r="BK562" s="243"/>
      <c r="BL562" s="243"/>
      <c r="BM562" s="243"/>
      <c r="BN562" s="243"/>
      <c r="BO562" s="243"/>
      <c r="BP562" s="243"/>
      <c r="BQ562" s="243"/>
      <c r="BR562" s="243"/>
      <c r="BS562" s="243"/>
    </row>
    <row r="563" spans="1:71" s="12" customFormat="1" ht="41.25" customHeight="1">
      <c r="A563" s="178" t="s">
        <v>80</v>
      </c>
      <c r="B563" s="178" t="str">
        <f ca="1">+UPPER(Tabla1321124[[#This Row],[DESCRIPCIÓN DE LA COMPRA O CONTRATACIÓN]])</f>
        <v>EQUIPO DE OSICORTE</v>
      </c>
      <c r="C563" s="39" t="s">
        <v>17</v>
      </c>
      <c r="D563" s="375">
        <v>2</v>
      </c>
      <c r="E563" s="375"/>
      <c r="F563" s="375"/>
      <c r="G563" s="362"/>
      <c r="H563" s="240">
        <f>SUM(Tabla1321124[[#This Row],[PRIMER TRIMESTRE]:[CUARTO TRIMESTRE]])</f>
        <v>2</v>
      </c>
      <c r="I563" s="17">
        <v>4560</v>
      </c>
      <c r="J563" s="17">
        <f>+Tabla1321124[[#This Row],[CANTIDAD TOTAL]]*Tabla1321124[[#This Row],[PRECIO UNITARIO ESTIMADO]]</f>
        <v>9120</v>
      </c>
      <c r="K563" s="175"/>
      <c r="L563" s="16" t="s">
        <v>18</v>
      </c>
      <c r="M563" s="16" t="s">
        <v>22</v>
      </c>
      <c r="N563" s="16"/>
      <c r="O563" s="243"/>
      <c r="P563" s="243"/>
      <c r="Q563" s="243"/>
      <c r="R563" s="243"/>
      <c r="S563" s="243"/>
      <c r="T563" s="243"/>
      <c r="U563" s="243"/>
      <c r="V563" s="243"/>
      <c r="W563" s="243"/>
      <c r="X563" s="243"/>
      <c r="Y563" s="243"/>
      <c r="Z563" s="243"/>
      <c r="AA563" s="243"/>
      <c r="AB563" s="243"/>
      <c r="AC563" s="243"/>
      <c r="AD563" s="243"/>
      <c r="AE563" s="243"/>
      <c r="AF563" s="243"/>
      <c r="AG563" s="243"/>
      <c r="AH563" s="243"/>
      <c r="AI563" s="243"/>
      <c r="AJ563" s="243"/>
      <c r="AK563" s="243"/>
      <c r="AL563" s="243"/>
      <c r="AM563" s="243"/>
      <c r="AN563" s="243"/>
      <c r="AO563" s="243"/>
      <c r="AP563" s="243"/>
      <c r="AQ563" s="243"/>
      <c r="AR563" s="243"/>
      <c r="AS563" s="243"/>
      <c r="AT563" s="243"/>
      <c r="AU563" s="243"/>
      <c r="AV563" s="243"/>
      <c r="AW563" s="243"/>
      <c r="AX563" s="243"/>
      <c r="AY563" s="243"/>
      <c r="AZ563" s="243"/>
      <c r="BA563" s="243"/>
      <c r="BB563" s="243"/>
      <c r="BC563" s="243"/>
      <c r="BD563" s="243"/>
      <c r="BE563" s="243"/>
      <c r="BF563" s="243"/>
      <c r="BG563" s="243"/>
      <c r="BH563" s="243"/>
      <c r="BI563" s="243"/>
      <c r="BJ563" s="243"/>
      <c r="BK563" s="243"/>
      <c r="BL563" s="243"/>
      <c r="BM563" s="243"/>
      <c r="BN563" s="243"/>
      <c r="BO563" s="243"/>
      <c r="BP563" s="243"/>
      <c r="BQ563" s="243"/>
      <c r="BR563" s="243"/>
      <c r="BS563" s="243"/>
    </row>
    <row r="564" spans="1:71" s="12" customFormat="1" ht="41.25" customHeight="1">
      <c r="A564" s="178" t="s">
        <v>80</v>
      </c>
      <c r="B564" s="178" t="str">
        <f ca="1">+UPPER(Tabla1321124[[#This Row],[DESCRIPCIÓN DE LA COMPRA O CONTRATACIÓN]])</f>
        <v>JUNTAS REDUCTURAS TIPO COBRAS, Ø16"</v>
      </c>
      <c r="C564" s="39" t="s">
        <v>17</v>
      </c>
      <c r="D564" s="352">
        <v>8</v>
      </c>
      <c r="E564" s="352">
        <v>7</v>
      </c>
      <c r="F564" s="352">
        <v>8</v>
      </c>
      <c r="G564" s="352">
        <v>7</v>
      </c>
      <c r="H564" s="240">
        <f>SUM(Tabla1321124[[#This Row],[PRIMER TRIMESTRE]:[CUARTO TRIMESTRE]])</f>
        <v>30</v>
      </c>
      <c r="I564" s="17">
        <v>4100</v>
      </c>
      <c r="J564" s="17">
        <f>+Tabla1321124[[#This Row],[CANTIDAD TOTAL]]*Tabla1321124[[#This Row],[PRECIO UNITARIO ESTIMADO]]</f>
        <v>123000</v>
      </c>
      <c r="K564" s="17"/>
      <c r="L564" s="16" t="s">
        <v>18</v>
      </c>
      <c r="M564" s="16" t="s">
        <v>22</v>
      </c>
      <c r="N564" s="16" t="s">
        <v>418</v>
      </c>
      <c r="O564" s="243"/>
      <c r="P564" s="243"/>
      <c r="Q564" s="243"/>
      <c r="R564" s="243"/>
      <c r="S564" s="243"/>
      <c r="T564" s="243"/>
      <c r="U564" s="243"/>
      <c r="V564" s="243"/>
      <c r="W564" s="243"/>
      <c r="X564" s="243"/>
      <c r="Y564" s="243"/>
      <c r="Z564" s="243"/>
      <c r="AA564" s="243"/>
      <c r="AB564" s="243"/>
      <c r="AC564" s="243"/>
      <c r="AD564" s="243"/>
      <c r="AE564" s="243"/>
      <c r="AF564" s="243"/>
      <c r="AG564" s="243"/>
      <c r="AH564" s="243"/>
      <c r="AI564" s="243"/>
      <c r="AJ564" s="243"/>
      <c r="AK564" s="243"/>
      <c r="AL564" s="243"/>
      <c r="AM564" s="243"/>
      <c r="AN564" s="243"/>
      <c r="AO564" s="243"/>
      <c r="AP564" s="243"/>
      <c r="AQ564" s="243"/>
      <c r="AR564" s="243"/>
      <c r="AS564" s="243"/>
      <c r="AT564" s="243"/>
      <c r="AU564" s="243"/>
      <c r="AV564" s="243"/>
      <c r="AW564" s="243"/>
      <c r="AX564" s="243"/>
      <c r="AY564" s="243"/>
      <c r="AZ564" s="243"/>
      <c r="BA564" s="243"/>
      <c r="BB564" s="243"/>
      <c r="BC564" s="243"/>
      <c r="BD564" s="243"/>
      <c r="BE564" s="243"/>
      <c r="BF564" s="243"/>
      <c r="BG564" s="243"/>
      <c r="BH564" s="243"/>
      <c r="BI564" s="243"/>
      <c r="BJ564" s="243"/>
      <c r="BK564" s="243"/>
      <c r="BL564" s="243"/>
      <c r="BM564" s="243"/>
      <c r="BN564" s="243"/>
      <c r="BO564" s="243"/>
      <c r="BP564" s="243"/>
      <c r="BQ564" s="243"/>
      <c r="BR564" s="243"/>
      <c r="BS564" s="243"/>
    </row>
    <row r="565" spans="1:71" s="12" customFormat="1" ht="41.25" customHeight="1">
      <c r="A565" s="178" t="s">
        <v>80</v>
      </c>
      <c r="B565" s="178" t="str">
        <f ca="1">+UPPER(Tabla1321124[[#This Row],[DESCRIPCIÓN DE LA COMPRA O CONTRATACIÓN]])</f>
        <v>JUNTAS REDUCTURAS A ASBESTO CEMENTO TIPO D, Ø20"</v>
      </c>
      <c r="C565" s="39" t="s">
        <v>17</v>
      </c>
      <c r="D565" s="370">
        <v>4</v>
      </c>
      <c r="E565" s="370">
        <v>4</v>
      </c>
      <c r="F565" s="370">
        <v>4</v>
      </c>
      <c r="G565" s="370">
        <v>4</v>
      </c>
      <c r="H565" s="240">
        <f>SUM(Tabla1321124[[#This Row],[PRIMER TRIMESTRE]:[CUARTO TRIMESTRE]])</f>
        <v>16</v>
      </c>
      <c r="I565" s="17">
        <v>2100</v>
      </c>
      <c r="J565" s="17">
        <f>+Tabla1321124[[#This Row],[CANTIDAD TOTAL]]*Tabla1321124[[#This Row],[PRECIO UNITARIO ESTIMADO]]</f>
        <v>33600</v>
      </c>
      <c r="K565" s="175"/>
      <c r="L565" s="16" t="s">
        <v>18</v>
      </c>
      <c r="M565" s="16" t="s">
        <v>22</v>
      </c>
      <c r="N565" s="16"/>
      <c r="O565" s="243"/>
      <c r="P565" s="243"/>
      <c r="Q565" s="243"/>
      <c r="R565" s="243"/>
      <c r="S565" s="243"/>
      <c r="T565" s="243"/>
      <c r="U565" s="243"/>
      <c r="V565" s="243"/>
      <c r="W565" s="243"/>
      <c r="X565" s="243"/>
      <c r="Y565" s="243"/>
      <c r="Z565" s="243"/>
      <c r="AA565" s="243"/>
      <c r="AB565" s="243"/>
      <c r="AC565" s="243"/>
      <c r="AD565" s="243"/>
      <c r="AE565" s="243"/>
      <c r="AF565" s="243"/>
      <c r="AG565" s="243"/>
      <c r="AH565" s="243"/>
      <c r="AI565" s="243"/>
      <c r="AJ565" s="243"/>
      <c r="AK565" s="243"/>
      <c r="AL565" s="243"/>
      <c r="AM565" s="243"/>
      <c r="AN565" s="243"/>
      <c r="AO565" s="243"/>
      <c r="AP565" s="243"/>
      <c r="AQ565" s="243"/>
      <c r="AR565" s="243"/>
      <c r="AS565" s="243"/>
      <c r="AT565" s="243"/>
      <c r="AU565" s="243"/>
      <c r="AV565" s="243"/>
      <c r="AW565" s="243"/>
      <c r="AX565" s="243"/>
      <c r="AY565" s="243"/>
      <c r="AZ565" s="243"/>
      <c r="BA565" s="243"/>
      <c r="BB565" s="243"/>
      <c r="BC565" s="243"/>
      <c r="BD565" s="243"/>
      <c r="BE565" s="243"/>
      <c r="BF565" s="243"/>
      <c r="BG565" s="243"/>
      <c r="BH565" s="243"/>
      <c r="BI565" s="243"/>
      <c r="BJ565" s="243"/>
      <c r="BK565" s="243"/>
      <c r="BL565" s="243"/>
      <c r="BM565" s="243"/>
      <c r="BN565" s="243"/>
      <c r="BO565" s="243"/>
      <c r="BP565" s="243"/>
      <c r="BQ565" s="243"/>
      <c r="BR565" s="243"/>
      <c r="BS565" s="243"/>
    </row>
    <row r="566" spans="1:71" s="12" customFormat="1" ht="41.25" customHeight="1">
      <c r="A566" s="178" t="s">
        <v>80</v>
      </c>
      <c r="B566" s="178" t="str">
        <f ca="1">+UPPER(Tabla1321124[[#This Row],[DESCRIPCIÓN DE LA COMPRA O CONTRATACIÓN]])</f>
        <v>LINTERNAS GRANDES RECARGABLES</v>
      </c>
      <c r="C566" s="39" t="s">
        <v>17</v>
      </c>
      <c r="D566" s="236">
        <f>60+26</f>
        <v>86</v>
      </c>
      <c r="E566" s="236">
        <f>60+26</f>
        <v>86</v>
      </c>
      <c r="F566" s="236">
        <f>60+26</f>
        <v>86</v>
      </c>
      <c r="G566" s="240">
        <f>60+26</f>
        <v>86</v>
      </c>
      <c r="H566" s="240">
        <f>SUM(Tabla1321124[[#This Row],[PRIMER TRIMESTRE]:[CUARTO TRIMESTRE]])</f>
        <v>344</v>
      </c>
      <c r="I566" s="17">
        <v>140</v>
      </c>
      <c r="J566" s="17">
        <f>+Tabla1321124[[#This Row],[CANTIDAD TOTAL]]*Tabla1321124[[#This Row],[PRECIO UNITARIO ESTIMADO]]</f>
        <v>48160</v>
      </c>
      <c r="K566" s="17"/>
      <c r="L566" s="16" t="s">
        <v>18</v>
      </c>
      <c r="M566" s="16" t="s">
        <v>22</v>
      </c>
      <c r="N566" s="16" t="s">
        <v>418</v>
      </c>
      <c r="O566" s="243"/>
      <c r="P566" s="243"/>
      <c r="Q566" s="243"/>
      <c r="R566" s="243"/>
      <c r="S566" s="243"/>
      <c r="T566" s="243"/>
      <c r="U566" s="243"/>
      <c r="V566" s="243"/>
      <c r="W566" s="243"/>
      <c r="X566" s="243"/>
      <c r="Y566" s="243"/>
      <c r="Z566" s="243"/>
      <c r="AA566" s="243"/>
      <c r="AB566" s="243"/>
      <c r="AC566" s="243"/>
      <c r="AD566" s="243"/>
      <c r="AE566" s="243"/>
      <c r="AF566" s="243"/>
      <c r="AG566" s="243"/>
      <c r="AH566" s="243"/>
      <c r="AI566" s="243"/>
      <c r="AJ566" s="243"/>
      <c r="AK566" s="243"/>
      <c r="AL566" s="243"/>
      <c r="AM566" s="243"/>
      <c r="AN566" s="243"/>
      <c r="AO566" s="243"/>
      <c r="AP566" s="243"/>
      <c r="AQ566" s="243"/>
      <c r="AR566" s="243"/>
      <c r="AS566" s="243"/>
      <c r="AT566" s="243"/>
      <c r="AU566" s="243"/>
      <c r="AV566" s="243"/>
      <c r="AW566" s="243"/>
      <c r="AX566" s="243"/>
      <c r="AY566" s="243"/>
      <c r="AZ566" s="243"/>
      <c r="BA566" s="243"/>
      <c r="BB566" s="243"/>
      <c r="BC566" s="243"/>
      <c r="BD566" s="243"/>
      <c r="BE566" s="243"/>
      <c r="BF566" s="243"/>
      <c r="BG566" s="243"/>
      <c r="BH566" s="243"/>
      <c r="BI566" s="243"/>
      <c r="BJ566" s="243"/>
      <c r="BK566" s="243"/>
      <c r="BL566" s="243"/>
      <c r="BM566" s="243"/>
      <c r="BN566" s="243"/>
      <c r="BO566" s="243"/>
      <c r="BP566" s="243"/>
      <c r="BQ566" s="243"/>
      <c r="BR566" s="243"/>
      <c r="BS566" s="243"/>
    </row>
    <row r="567" spans="1:71" s="12" customFormat="1" ht="41.25" customHeight="1">
      <c r="A567" s="178" t="s">
        <v>80</v>
      </c>
      <c r="B567" s="178" t="str">
        <f ca="1">+UPPER(Tabla1321124[[#This Row],[DESCRIPCIÓN DE LA COMPRA O CONTRATACIÓN]])</f>
        <v>LIMPIADOR DE CONTACTO</v>
      </c>
      <c r="C567" s="39" t="s">
        <v>17</v>
      </c>
      <c r="D567" s="236">
        <v>100</v>
      </c>
      <c r="E567" s="236">
        <v>100</v>
      </c>
      <c r="F567" s="236">
        <v>100</v>
      </c>
      <c r="G567" s="236">
        <v>100</v>
      </c>
      <c r="H567" s="240">
        <f>SUM(Tabla1321124[[#This Row],[PRIMER TRIMESTRE]:[CUARTO TRIMESTRE]])</f>
        <v>400</v>
      </c>
      <c r="I567" s="17">
        <v>397.8</v>
      </c>
      <c r="J567" s="17">
        <f>+Tabla1321124[[#This Row],[CANTIDAD TOTAL]]*Tabla1321124[[#This Row],[PRECIO UNITARIO ESTIMADO]]</f>
        <v>159120</v>
      </c>
      <c r="K567" s="17"/>
      <c r="L567" s="16" t="s">
        <v>18</v>
      </c>
      <c r="M567" s="16" t="s">
        <v>22</v>
      </c>
      <c r="N567" s="16" t="s">
        <v>418</v>
      </c>
      <c r="O567" s="243"/>
      <c r="P567" s="243"/>
      <c r="Q567" s="243"/>
      <c r="R567" s="243"/>
      <c r="S567" s="243"/>
      <c r="T567" s="243"/>
      <c r="U567" s="243"/>
      <c r="V567" s="243"/>
      <c r="W567" s="243"/>
      <c r="X567" s="243"/>
      <c r="Y567" s="243"/>
      <c r="Z567" s="243"/>
      <c r="AA567" s="243"/>
      <c r="AB567" s="243"/>
      <c r="AC567" s="243"/>
      <c r="AD567" s="243"/>
      <c r="AE567" s="243"/>
      <c r="AF567" s="243"/>
      <c r="AG567" s="243"/>
      <c r="AH567" s="243"/>
      <c r="AI567" s="243"/>
      <c r="AJ567" s="243"/>
      <c r="AK567" s="243"/>
      <c r="AL567" s="243"/>
      <c r="AM567" s="243"/>
      <c r="AN567" s="243"/>
      <c r="AO567" s="243"/>
      <c r="AP567" s="243"/>
      <c r="AQ567" s="243"/>
      <c r="AR567" s="243"/>
      <c r="AS567" s="243"/>
      <c r="AT567" s="243"/>
      <c r="AU567" s="243"/>
      <c r="AV567" s="243"/>
      <c r="AW567" s="243"/>
      <c r="AX567" s="243"/>
      <c r="AY567" s="243"/>
      <c r="AZ567" s="243"/>
      <c r="BA567" s="243"/>
      <c r="BB567" s="243"/>
      <c r="BC567" s="243"/>
      <c r="BD567" s="243"/>
      <c r="BE567" s="243"/>
      <c r="BF567" s="243"/>
      <c r="BG567" s="243"/>
      <c r="BH567" s="243"/>
      <c r="BI567" s="243"/>
      <c r="BJ567" s="243"/>
      <c r="BK567" s="243"/>
      <c r="BL567" s="243"/>
      <c r="BM567" s="243"/>
      <c r="BN567" s="243"/>
      <c r="BO567" s="243"/>
      <c r="BP567" s="243"/>
      <c r="BQ567" s="243"/>
      <c r="BR567" s="243"/>
      <c r="BS567" s="243"/>
    </row>
    <row r="568" spans="1:71" s="12" customFormat="1" ht="41.25" customHeight="1">
      <c r="A568" s="178" t="s">
        <v>80</v>
      </c>
      <c r="B568" s="178" t="str">
        <f ca="1">+UPPER(Tabla1321124[[#This Row],[DESCRIPCIÓN DE LA COMPRA O CONTRATACIÓN]])</f>
        <v>LANILLAS</v>
      </c>
      <c r="C568" s="39" t="s">
        <v>470</v>
      </c>
      <c r="D568" s="236">
        <v>100</v>
      </c>
      <c r="E568" s="236">
        <v>100</v>
      </c>
      <c r="F568" s="236">
        <v>100</v>
      </c>
      <c r="G568" s="236">
        <v>100</v>
      </c>
      <c r="H568" s="240">
        <f>SUM(Tabla1321124[[#This Row],[PRIMER TRIMESTRE]:[CUARTO TRIMESTRE]])</f>
        <v>400</v>
      </c>
      <c r="I568" s="17">
        <v>100</v>
      </c>
      <c r="J568" s="17">
        <f>+Tabla1321124[[#This Row],[CANTIDAD TOTAL]]*Tabla1321124[[#This Row],[PRECIO UNITARIO ESTIMADO]]</f>
        <v>40000</v>
      </c>
      <c r="K568" s="17"/>
      <c r="L568" s="16" t="s">
        <v>18</v>
      </c>
      <c r="M568" s="16" t="s">
        <v>22</v>
      </c>
      <c r="N568" s="16" t="s">
        <v>418</v>
      </c>
      <c r="O568" s="243"/>
      <c r="P568" s="243"/>
      <c r="Q568" s="243"/>
      <c r="R568" s="243"/>
      <c r="S568" s="243"/>
      <c r="T568" s="243"/>
      <c r="U568" s="243"/>
      <c r="V568" s="243"/>
      <c r="W568" s="243"/>
      <c r="X568" s="243"/>
      <c r="Y568" s="243"/>
      <c r="Z568" s="243"/>
      <c r="AA568" s="243"/>
      <c r="AB568" s="243"/>
      <c r="AC568" s="243"/>
      <c r="AD568" s="243"/>
      <c r="AE568" s="243"/>
      <c r="AF568" s="243"/>
      <c r="AG568" s="243"/>
      <c r="AH568" s="243"/>
      <c r="AI568" s="243"/>
      <c r="AJ568" s="243"/>
      <c r="AK568" s="243"/>
      <c r="AL568" s="243"/>
      <c r="AM568" s="243"/>
      <c r="AN568" s="243"/>
      <c r="AO568" s="243"/>
      <c r="AP568" s="243"/>
      <c r="AQ568" s="243"/>
      <c r="AR568" s="243"/>
      <c r="AS568" s="243"/>
      <c r="AT568" s="243"/>
      <c r="AU568" s="243"/>
      <c r="AV568" s="243"/>
      <c r="AW568" s="243"/>
      <c r="AX568" s="243"/>
      <c r="AY568" s="243"/>
      <c r="AZ568" s="243"/>
      <c r="BA568" s="243"/>
      <c r="BB568" s="243"/>
      <c r="BC568" s="243"/>
      <c r="BD568" s="243"/>
      <c r="BE568" s="243"/>
      <c r="BF568" s="243"/>
      <c r="BG568" s="243"/>
      <c r="BH568" s="243"/>
      <c r="BI568" s="243"/>
      <c r="BJ568" s="243"/>
      <c r="BK568" s="243"/>
      <c r="BL568" s="243"/>
      <c r="BM568" s="243"/>
      <c r="BN568" s="243"/>
      <c r="BO568" s="243"/>
      <c r="BP568" s="243"/>
      <c r="BQ568" s="243"/>
      <c r="BR568" s="243"/>
      <c r="BS568" s="243"/>
    </row>
    <row r="569" spans="1:71" s="12" customFormat="1" ht="41.25" customHeight="1">
      <c r="A569" s="178" t="s">
        <v>80</v>
      </c>
      <c r="B569" s="178" t="str">
        <f ca="1">+UPPER(Tabla1321124[[#This Row],[DESCRIPCIÓN DE LA COMPRA O CONTRATACIÓN]])</f>
        <v>MANGUERA AZUL REFORZADA 2"</v>
      </c>
      <c r="C569" s="39" t="s">
        <v>93</v>
      </c>
      <c r="D569" s="370">
        <v>430</v>
      </c>
      <c r="E569" s="370">
        <v>30</v>
      </c>
      <c r="F569" s="370">
        <v>430</v>
      </c>
      <c r="G569" s="370">
        <v>30</v>
      </c>
      <c r="H569" s="240">
        <f>SUM(Tabla1321124[[#This Row],[PRIMER TRIMESTRE]:[CUARTO TRIMESTRE]])</f>
        <v>920</v>
      </c>
      <c r="I569" s="17">
        <v>224.78</v>
      </c>
      <c r="J569" s="17">
        <f>+Tabla1321124[[#This Row],[CANTIDAD TOTAL]]*Tabla1321124[[#This Row],[PRECIO UNITARIO ESTIMADO]]</f>
        <v>206797.6</v>
      </c>
      <c r="K569" s="175"/>
      <c r="L569" s="16" t="s">
        <v>18</v>
      </c>
      <c r="M569" s="16" t="s">
        <v>22</v>
      </c>
      <c r="N569" s="16" t="s">
        <v>418</v>
      </c>
      <c r="O569" s="243"/>
      <c r="P569" s="243"/>
      <c r="Q569" s="243"/>
      <c r="R569" s="243"/>
      <c r="S569" s="243"/>
      <c r="T569" s="243"/>
      <c r="U569" s="243"/>
      <c r="V569" s="243"/>
      <c r="W569" s="243"/>
      <c r="X569" s="243"/>
      <c r="Y569" s="243"/>
      <c r="Z569" s="243"/>
      <c r="AA569" s="243"/>
      <c r="AB569" s="243"/>
      <c r="AC569" s="243"/>
      <c r="AD569" s="243"/>
      <c r="AE569" s="243"/>
      <c r="AF569" s="243"/>
      <c r="AG569" s="243"/>
      <c r="AH569" s="243"/>
      <c r="AI569" s="243"/>
      <c r="AJ569" s="243"/>
      <c r="AK569" s="243"/>
      <c r="AL569" s="243"/>
      <c r="AM569" s="243"/>
      <c r="AN569" s="243"/>
      <c r="AO569" s="243"/>
      <c r="AP569" s="243"/>
      <c r="AQ569" s="243"/>
      <c r="AR569" s="243"/>
      <c r="AS569" s="243"/>
      <c r="AT569" s="243"/>
      <c r="AU569" s="243"/>
      <c r="AV569" s="243"/>
      <c r="AW569" s="243"/>
      <c r="AX569" s="243"/>
      <c r="AY569" s="243"/>
      <c r="AZ569" s="243"/>
      <c r="BA569" s="243"/>
      <c r="BB569" s="243"/>
      <c r="BC569" s="243"/>
      <c r="BD569" s="243"/>
      <c r="BE569" s="243"/>
      <c r="BF569" s="243"/>
      <c r="BG569" s="243"/>
      <c r="BH569" s="243"/>
      <c r="BI569" s="243"/>
      <c r="BJ569" s="243"/>
      <c r="BK569" s="243"/>
      <c r="BL569" s="243"/>
      <c r="BM569" s="243"/>
      <c r="BN569" s="243"/>
      <c r="BO569" s="243"/>
      <c r="BP569" s="243"/>
      <c r="BQ569" s="243"/>
      <c r="BR569" s="243"/>
      <c r="BS569" s="243"/>
    </row>
    <row r="570" spans="1:71" s="12" customFormat="1" ht="41.25" customHeight="1">
      <c r="A570" s="178" t="s">
        <v>80</v>
      </c>
      <c r="B570" s="178" t="str">
        <f ca="1">+UPPER(Tabla1321124[[#This Row],[DESCRIPCIÓN DE LA COMPRA O CONTRATACIÓN]])</f>
        <v>MANGUERA AZUL REFORZADA 3"</v>
      </c>
      <c r="C570" s="39" t="s">
        <v>93</v>
      </c>
      <c r="D570" s="236">
        <v>60</v>
      </c>
      <c r="E570" s="236">
        <v>30</v>
      </c>
      <c r="F570" s="236">
        <v>60</v>
      </c>
      <c r="G570" s="236">
        <v>30</v>
      </c>
      <c r="H570" s="240">
        <f>SUM(Tabla1321124[[#This Row],[PRIMER TRIMESTRE]:[CUARTO TRIMESTRE]])</f>
        <v>180</v>
      </c>
      <c r="I570" s="17">
        <v>226.78</v>
      </c>
      <c r="J570" s="17">
        <f>+Tabla1321124[[#This Row],[CANTIDAD TOTAL]]*Tabla1321124[[#This Row],[PRECIO UNITARIO ESTIMADO]]</f>
        <v>40820.400000000001</v>
      </c>
      <c r="K570" s="17"/>
      <c r="L570" s="16" t="s">
        <v>18</v>
      </c>
      <c r="M570" s="16" t="s">
        <v>22</v>
      </c>
      <c r="N570" s="16" t="s">
        <v>418</v>
      </c>
      <c r="O570" s="243"/>
      <c r="P570" s="243"/>
      <c r="Q570" s="243"/>
      <c r="R570" s="243"/>
      <c r="S570" s="243"/>
      <c r="T570" s="243"/>
      <c r="U570" s="243"/>
      <c r="V570" s="243"/>
      <c r="W570" s="243"/>
      <c r="X570" s="243"/>
      <c r="Y570" s="243"/>
      <c r="Z570" s="243"/>
      <c r="AA570" s="243"/>
      <c r="AB570" s="243"/>
      <c r="AC570" s="243"/>
      <c r="AD570" s="243"/>
      <c r="AE570" s="243"/>
      <c r="AF570" s="243"/>
      <c r="AG570" s="243"/>
      <c r="AH570" s="243"/>
      <c r="AI570" s="243"/>
      <c r="AJ570" s="243"/>
      <c r="AK570" s="243"/>
      <c r="AL570" s="243"/>
      <c r="AM570" s="243"/>
      <c r="AN570" s="243"/>
      <c r="AO570" s="243"/>
      <c r="AP570" s="243"/>
      <c r="AQ570" s="243"/>
      <c r="AR570" s="243"/>
      <c r="AS570" s="243"/>
      <c r="AT570" s="243"/>
      <c r="AU570" s="243"/>
      <c r="AV570" s="243"/>
      <c r="AW570" s="243"/>
      <c r="AX570" s="243"/>
      <c r="AY570" s="243"/>
      <c r="AZ570" s="243"/>
      <c r="BA570" s="243"/>
      <c r="BB570" s="243"/>
      <c r="BC570" s="243"/>
      <c r="BD570" s="243"/>
      <c r="BE570" s="243"/>
      <c r="BF570" s="243"/>
      <c r="BG570" s="243"/>
      <c r="BH570" s="243"/>
      <c r="BI570" s="243"/>
      <c r="BJ570" s="243"/>
      <c r="BK570" s="243"/>
      <c r="BL570" s="243"/>
      <c r="BM570" s="243"/>
      <c r="BN570" s="243"/>
      <c r="BO570" s="243"/>
      <c r="BP570" s="243"/>
      <c r="BQ570" s="243"/>
      <c r="BR570" s="243"/>
      <c r="BS570" s="243"/>
    </row>
    <row r="571" spans="1:71" s="12" customFormat="1" ht="41.25" customHeight="1">
      <c r="A571" s="178" t="s">
        <v>80</v>
      </c>
      <c r="B571" s="178" t="str">
        <f ca="1">+UPPER(Tabla1321124[[#This Row],[DESCRIPCIÓN DE LA COMPRA O CONTRATACIÓN]])</f>
        <v>MANGUERA AZUL REFORZADA 4"</v>
      </c>
      <c r="C571" s="39" t="s">
        <v>93</v>
      </c>
      <c r="D571" s="370">
        <v>60</v>
      </c>
      <c r="E571" s="370">
        <v>30</v>
      </c>
      <c r="F571" s="370">
        <v>60</v>
      </c>
      <c r="G571" s="370">
        <v>30</v>
      </c>
      <c r="H571" s="240">
        <f>SUM(Tabla1321124[[#This Row],[PRIMER TRIMESTRE]:[CUARTO TRIMESTRE]])</f>
        <v>180</v>
      </c>
      <c r="I571" s="17">
        <v>226.78</v>
      </c>
      <c r="J571" s="17">
        <f>+Tabla1321124[[#This Row],[CANTIDAD TOTAL]]*Tabla1321124[[#This Row],[PRECIO UNITARIO ESTIMADO]]</f>
        <v>40820.400000000001</v>
      </c>
      <c r="K571" s="175"/>
      <c r="L571" s="16" t="s">
        <v>18</v>
      </c>
      <c r="M571" s="16" t="s">
        <v>22</v>
      </c>
      <c r="N571" s="16" t="s">
        <v>418</v>
      </c>
      <c r="O571" s="243"/>
      <c r="P571" s="243"/>
      <c r="Q571" s="243"/>
      <c r="R571" s="243"/>
      <c r="S571" s="243"/>
      <c r="T571" s="243"/>
      <c r="U571" s="243"/>
      <c r="V571" s="243"/>
      <c r="W571" s="243"/>
      <c r="X571" s="243"/>
      <c r="Y571" s="243"/>
      <c r="Z571" s="243"/>
      <c r="AA571" s="243"/>
      <c r="AB571" s="243"/>
      <c r="AC571" s="243"/>
      <c r="AD571" s="243"/>
      <c r="AE571" s="243"/>
      <c r="AF571" s="243"/>
      <c r="AG571" s="243"/>
      <c r="AH571" s="243"/>
      <c r="AI571" s="243"/>
      <c r="AJ571" s="243"/>
      <c r="AK571" s="243"/>
      <c r="AL571" s="243"/>
      <c r="AM571" s="243"/>
      <c r="AN571" s="243"/>
      <c r="AO571" s="243"/>
      <c r="AP571" s="243"/>
      <c r="AQ571" s="243"/>
      <c r="AR571" s="243"/>
      <c r="AS571" s="243"/>
      <c r="AT571" s="243"/>
      <c r="AU571" s="243"/>
      <c r="AV571" s="243"/>
      <c r="AW571" s="243"/>
      <c r="AX571" s="243"/>
      <c r="AY571" s="243"/>
      <c r="AZ571" s="243"/>
      <c r="BA571" s="243"/>
      <c r="BB571" s="243"/>
      <c r="BC571" s="243"/>
      <c r="BD571" s="243"/>
      <c r="BE571" s="243"/>
      <c r="BF571" s="243"/>
      <c r="BG571" s="243"/>
      <c r="BH571" s="243"/>
      <c r="BI571" s="243"/>
      <c r="BJ571" s="243"/>
      <c r="BK571" s="243"/>
      <c r="BL571" s="243"/>
      <c r="BM571" s="243"/>
      <c r="BN571" s="243"/>
      <c r="BO571" s="243"/>
      <c r="BP571" s="243"/>
      <c r="BQ571" s="243"/>
      <c r="BR571" s="243"/>
      <c r="BS571" s="243"/>
    </row>
    <row r="572" spans="1:71" s="12" customFormat="1" ht="41.25" customHeight="1">
      <c r="A572" s="178" t="s">
        <v>80</v>
      </c>
      <c r="B572" s="178" t="str">
        <f ca="1">+UPPER(Tabla1321124[[#This Row],[DESCRIPCIÓN DE LA COMPRA O CONTRATACIÓN]])</f>
        <v>MANGUERA PLASTICA DE 100 PIES Y Ø1/2"</v>
      </c>
      <c r="C572" s="39" t="s">
        <v>93</v>
      </c>
      <c r="D572" s="236">
        <f>25+4</f>
        <v>29</v>
      </c>
      <c r="E572" s="236">
        <f>25+2</f>
        <v>27</v>
      </c>
      <c r="F572" s="236">
        <f>25+4</f>
        <v>29</v>
      </c>
      <c r="G572" s="236">
        <f>25+2</f>
        <v>27</v>
      </c>
      <c r="H572" s="240">
        <f>SUM(Tabla1321124[[#This Row],[PRIMER TRIMESTRE]:[CUARTO TRIMESTRE]])</f>
        <v>112</v>
      </c>
      <c r="I572" s="17">
        <v>2055.4</v>
      </c>
      <c r="J572" s="17">
        <f>+Tabla1321124[[#This Row],[CANTIDAD TOTAL]]*Tabla1321124[[#This Row],[PRECIO UNITARIO ESTIMADO]]</f>
        <v>230204.80000000002</v>
      </c>
      <c r="K572" s="17"/>
      <c r="L572" s="16" t="s">
        <v>18</v>
      </c>
      <c r="M572" s="16" t="s">
        <v>22</v>
      </c>
      <c r="N572" s="16" t="s">
        <v>418</v>
      </c>
      <c r="O572" s="243"/>
      <c r="P572" s="243"/>
      <c r="Q572" s="243"/>
      <c r="R572" s="243"/>
      <c r="S572" s="243"/>
      <c r="T572" s="243"/>
      <c r="U572" s="243"/>
      <c r="V572" s="243"/>
      <c r="W572" s="243"/>
      <c r="X572" s="243"/>
      <c r="Y572" s="243"/>
      <c r="Z572" s="243"/>
      <c r="AA572" s="243"/>
      <c r="AB572" s="243"/>
      <c r="AC572" s="243"/>
      <c r="AD572" s="243"/>
      <c r="AE572" s="243"/>
      <c r="AF572" s="243"/>
      <c r="AG572" s="243"/>
      <c r="AH572" s="243"/>
      <c r="AI572" s="243"/>
      <c r="AJ572" s="243"/>
      <c r="AK572" s="243"/>
      <c r="AL572" s="243"/>
      <c r="AM572" s="243"/>
      <c r="AN572" s="243"/>
      <c r="AO572" s="243"/>
      <c r="AP572" s="243"/>
      <c r="AQ572" s="243"/>
      <c r="AR572" s="243"/>
      <c r="AS572" s="243"/>
      <c r="AT572" s="243"/>
      <c r="AU572" s="243"/>
      <c r="AV572" s="243"/>
      <c r="AW572" s="243"/>
      <c r="AX572" s="243"/>
      <c r="AY572" s="243"/>
      <c r="AZ572" s="243"/>
      <c r="BA572" s="243"/>
      <c r="BB572" s="243"/>
      <c r="BC572" s="243"/>
      <c r="BD572" s="243"/>
      <c r="BE572" s="243"/>
      <c r="BF572" s="243"/>
      <c r="BG572" s="243"/>
      <c r="BH572" s="243"/>
      <c r="BI572" s="243"/>
      <c r="BJ572" s="243"/>
      <c r="BK572" s="243"/>
      <c r="BL572" s="243"/>
      <c r="BM572" s="243"/>
      <c r="BN572" s="243"/>
      <c r="BO572" s="243"/>
      <c r="BP572" s="243"/>
      <c r="BQ572" s="243"/>
      <c r="BR572" s="243"/>
      <c r="BS572" s="243"/>
    </row>
    <row r="573" spans="1:71" s="12" customFormat="1" ht="41.25" customHeight="1">
      <c r="A573" s="178" t="s">
        <v>80</v>
      </c>
      <c r="B573" s="178" t="str">
        <f ca="1">+UPPER(Tabla1321124[[#This Row],[DESCRIPCIÓN DE LA COMPRA O CONTRATACIÓN]])</f>
        <v>MANGUERA DE 75 PIES REFORZADA</v>
      </c>
      <c r="C573" s="39" t="s">
        <v>93</v>
      </c>
      <c r="D573" s="236">
        <v>2</v>
      </c>
      <c r="E573" s="236"/>
      <c r="F573" s="236"/>
      <c r="G573" s="236"/>
      <c r="H573" s="240">
        <f>SUM(Tabla1321124[[#This Row],[PRIMER TRIMESTRE]:[CUARTO TRIMESTRE]])</f>
        <v>2</v>
      </c>
      <c r="I573" s="17">
        <v>3600</v>
      </c>
      <c r="J573" s="17">
        <f>+Tabla1321124[[#This Row],[CANTIDAD TOTAL]]*Tabla1321124[[#This Row],[PRECIO UNITARIO ESTIMADO]]</f>
        <v>7200</v>
      </c>
      <c r="K573" s="17"/>
      <c r="L573" s="16" t="s">
        <v>18</v>
      </c>
      <c r="M573" s="16" t="s">
        <v>22</v>
      </c>
      <c r="N573" s="16" t="s">
        <v>418</v>
      </c>
      <c r="O573" s="243"/>
      <c r="P573" s="243"/>
      <c r="Q573" s="243"/>
      <c r="R573" s="243"/>
      <c r="S573" s="243"/>
      <c r="T573" s="243"/>
      <c r="U573" s="243"/>
      <c r="V573" s="243"/>
      <c r="W573" s="243"/>
      <c r="X573" s="243"/>
      <c r="Y573" s="243"/>
      <c r="Z573" s="243"/>
      <c r="AA573" s="243"/>
      <c r="AB573" s="243"/>
      <c r="AC573" s="243"/>
      <c r="AD573" s="243"/>
      <c r="AE573" s="243"/>
      <c r="AF573" s="243"/>
      <c r="AG573" s="243"/>
      <c r="AH573" s="243"/>
      <c r="AI573" s="243"/>
      <c r="AJ573" s="243"/>
      <c r="AK573" s="243"/>
      <c r="AL573" s="243"/>
      <c r="AM573" s="243"/>
      <c r="AN573" s="243"/>
      <c r="AO573" s="243"/>
      <c r="AP573" s="243"/>
      <c r="AQ573" s="243"/>
      <c r="AR573" s="243"/>
      <c r="AS573" s="243"/>
      <c r="AT573" s="243"/>
      <c r="AU573" s="243"/>
      <c r="AV573" s="243"/>
      <c r="AW573" s="243"/>
      <c r="AX573" s="243"/>
      <c r="AY573" s="243"/>
      <c r="AZ573" s="243"/>
      <c r="BA573" s="243"/>
      <c r="BB573" s="243"/>
      <c r="BC573" s="243"/>
      <c r="BD573" s="243"/>
      <c r="BE573" s="243"/>
      <c r="BF573" s="243"/>
      <c r="BG573" s="243"/>
      <c r="BH573" s="243"/>
      <c r="BI573" s="243"/>
      <c r="BJ573" s="243"/>
      <c r="BK573" s="243"/>
      <c r="BL573" s="243"/>
      <c r="BM573" s="243"/>
      <c r="BN573" s="243"/>
      <c r="BO573" s="243"/>
      <c r="BP573" s="243"/>
      <c r="BQ573" s="243"/>
      <c r="BR573" s="243"/>
      <c r="BS573" s="243"/>
    </row>
    <row r="574" spans="1:71" s="12" customFormat="1" ht="41.25" customHeight="1">
      <c r="A574" s="178" t="s">
        <v>80</v>
      </c>
      <c r="B574" s="178" t="str">
        <f ca="1">+UPPER(Tabla1321124[[#This Row],[DESCRIPCIÓN DE LA COMPRA O CONTRATACIÓN]])</f>
        <v>MANGUERA DE PRESION DE 1"</v>
      </c>
      <c r="C574" s="39" t="s">
        <v>93</v>
      </c>
      <c r="D574" s="236">
        <v>50</v>
      </c>
      <c r="E574" s="236">
        <v>50</v>
      </c>
      <c r="F574" s="236">
        <v>50</v>
      </c>
      <c r="G574" s="236">
        <v>50</v>
      </c>
      <c r="H574" s="240">
        <f>SUM(Tabla1321124[[#This Row],[PRIMER TRIMESTRE]:[CUARTO TRIMESTRE]])</f>
        <v>200</v>
      </c>
      <c r="I574" s="17">
        <v>222.14</v>
      </c>
      <c r="J574" s="17">
        <f>+Tabla1321124[[#This Row],[CANTIDAD TOTAL]]*Tabla1321124[[#This Row],[PRECIO UNITARIO ESTIMADO]]</f>
        <v>44428</v>
      </c>
      <c r="K574" s="17"/>
      <c r="L574" s="16" t="s">
        <v>18</v>
      </c>
      <c r="M574" s="16" t="s">
        <v>22</v>
      </c>
      <c r="N574" s="16" t="s">
        <v>418</v>
      </c>
      <c r="O574" s="243"/>
      <c r="P574" s="243"/>
      <c r="Q574" s="243"/>
      <c r="R574" s="243"/>
      <c r="S574" s="243"/>
      <c r="T574" s="243"/>
      <c r="U574" s="243"/>
      <c r="V574" s="243"/>
      <c r="W574" s="243"/>
      <c r="X574" s="243"/>
      <c r="Y574" s="243"/>
      <c r="Z574" s="243"/>
      <c r="AA574" s="243"/>
      <c r="AB574" s="243"/>
      <c r="AC574" s="243"/>
      <c r="AD574" s="243"/>
      <c r="AE574" s="243"/>
      <c r="AF574" s="243"/>
      <c r="AG574" s="243"/>
      <c r="AH574" s="243"/>
      <c r="AI574" s="243"/>
      <c r="AJ574" s="243"/>
      <c r="AK574" s="243"/>
      <c r="AL574" s="243"/>
      <c r="AM574" s="243"/>
      <c r="AN574" s="243"/>
      <c r="AO574" s="243"/>
      <c r="AP574" s="243"/>
      <c r="AQ574" s="243"/>
      <c r="AR574" s="243"/>
      <c r="AS574" s="243"/>
      <c r="AT574" s="243"/>
      <c r="AU574" s="243"/>
      <c r="AV574" s="243"/>
      <c r="AW574" s="243"/>
      <c r="AX574" s="243"/>
      <c r="AY574" s="243"/>
      <c r="AZ574" s="243"/>
      <c r="BA574" s="243"/>
      <c r="BB574" s="243"/>
      <c r="BC574" s="243"/>
      <c r="BD574" s="243"/>
      <c r="BE574" s="243"/>
      <c r="BF574" s="243"/>
      <c r="BG574" s="243"/>
      <c r="BH574" s="243"/>
      <c r="BI574" s="243"/>
      <c r="BJ574" s="243"/>
      <c r="BK574" s="243"/>
      <c r="BL574" s="243"/>
      <c r="BM574" s="243"/>
      <c r="BN574" s="243"/>
      <c r="BO574" s="243"/>
      <c r="BP574" s="243"/>
      <c r="BQ574" s="243"/>
      <c r="BR574" s="243"/>
      <c r="BS574" s="243"/>
    </row>
    <row r="575" spans="1:71" s="12" customFormat="1" ht="41.25" customHeight="1">
      <c r="A575" s="178" t="s">
        <v>80</v>
      </c>
      <c r="B575" s="178" t="str">
        <f ca="1">+UPPER(Tabla1321124[[#This Row],[DESCRIPCIÓN DE LA COMPRA O CONTRATACIÓN]])</f>
        <v>MAGUERA  16952 X 328'C/116</v>
      </c>
      <c r="C575" s="39" t="s">
        <v>17</v>
      </c>
      <c r="D575" s="236"/>
      <c r="E575" s="236"/>
      <c r="F575" s="236"/>
      <c r="G575" s="236"/>
      <c r="H575" s="240">
        <f>SUM(Tabla1321124[[#This Row],[PRIMER TRIMESTRE]:[CUARTO TRIMESTRE]])</f>
        <v>0</v>
      </c>
      <c r="I575" s="17">
        <v>62328</v>
      </c>
      <c r="J575" s="17">
        <f>+Tabla1321124[[#This Row],[CANTIDAD TOTAL]]*Tabla1321124[[#This Row],[PRECIO UNITARIO ESTIMADO]]</f>
        <v>0</v>
      </c>
      <c r="K575" s="17"/>
      <c r="L575" s="16" t="s">
        <v>18</v>
      </c>
      <c r="M575" s="16" t="s">
        <v>22</v>
      </c>
      <c r="N575" s="16" t="s">
        <v>418</v>
      </c>
      <c r="O575" s="243"/>
      <c r="P575" s="243"/>
      <c r="Q575" s="243"/>
      <c r="R575" s="243"/>
      <c r="S575" s="243"/>
      <c r="T575" s="243"/>
      <c r="U575" s="243"/>
      <c r="V575" s="243"/>
      <c r="W575" s="243"/>
      <c r="X575" s="243"/>
      <c r="Y575" s="243"/>
      <c r="Z575" s="243"/>
      <c r="AA575" s="243"/>
      <c r="AB575" s="243"/>
      <c r="AC575" s="243"/>
      <c r="AD575" s="243"/>
      <c r="AE575" s="243"/>
      <c r="AF575" s="243"/>
      <c r="AG575" s="243"/>
      <c r="AH575" s="243"/>
      <c r="AI575" s="243"/>
      <c r="AJ575" s="243"/>
      <c r="AK575" s="243"/>
      <c r="AL575" s="243"/>
      <c r="AM575" s="243"/>
      <c r="AN575" s="243"/>
      <c r="AO575" s="243"/>
      <c r="AP575" s="243"/>
      <c r="AQ575" s="243"/>
      <c r="AR575" s="243"/>
      <c r="AS575" s="243"/>
      <c r="AT575" s="243"/>
      <c r="AU575" s="243"/>
      <c r="AV575" s="243"/>
      <c r="AW575" s="243"/>
      <c r="AX575" s="243"/>
      <c r="AY575" s="243"/>
      <c r="AZ575" s="243"/>
      <c r="BA575" s="243"/>
      <c r="BB575" s="243"/>
      <c r="BC575" s="243"/>
      <c r="BD575" s="243"/>
      <c r="BE575" s="243"/>
      <c r="BF575" s="243"/>
      <c r="BG575" s="243"/>
      <c r="BH575" s="243"/>
      <c r="BI575" s="243"/>
      <c r="BJ575" s="243"/>
      <c r="BK575" s="243"/>
      <c r="BL575" s="243"/>
      <c r="BM575" s="243"/>
      <c r="BN575" s="243"/>
      <c r="BO575" s="243"/>
      <c r="BP575" s="243"/>
      <c r="BQ575" s="243"/>
      <c r="BR575" s="243"/>
      <c r="BS575" s="243"/>
    </row>
    <row r="576" spans="1:71" s="12" customFormat="1" ht="41.25" customHeight="1">
      <c r="A576" s="178" t="s">
        <v>80</v>
      </c>
      <c r="B576" s="178" t="str">
        <f ca="1">+UPPER(Tabla1321124[[#This Row],[DESCRIPCIÓN DE LA COMPRA O CONTRATACIÓN]])</f>
        <v>MANGUERA TIPO BOMBERO 50 PIES</v>
      </c>
      <c r="C576" s="39" t="s">
        <v>69</v>
      </c>
      <c r="D576" s="210">
        <v>7</v>
      </c>
      <c r="E576" s="210"/>
      <c r="F576" s="210">
        <v>4</v>
      </c>
      <c r="G576" s="210"/>
      <c r="H576" s="240">
        <f>SUM(Tabla1321124[[#This Row],[PRIMER TRIMESTRE]:[CUARTO TRIMESTRE]])</f>
        <v>11</v>
      </c>
      <c r="I576" s="17">
        <v>6206</v>
      </c>
      <c r="J576" s="17">
        <f>+Tabla1321124[[#This Row],[CANTIDAD TOTAL]]*Tabla1321124[[#This Row],[PRECIO UNITARIO ESTIMADO]]</f>
        <v>68266</v>
      </c>
      <c r="K576" s="17"/>
      <c r="L576" s="16" t="s">
        <v>18</v>
      </c>
      <c r="M576" s="16" t="s">
        <v>22</v>
      </c>
      <c r="N576" s="16" t="s">
        <v>418</v>
      </c>
      <c r="O576" s="243"/>
      <c r="P576" s="243"/>
      <c r="Q576" s="243"/>
      <c r="R576" s="243"/>
      <c r="S576" s="243"/>
      <c r="T576" s="243"/>
      <c r="U576" s="243"/>
      <c r="V576" s="243"/>
      <c r="W576" s="243"/>
      <c r="X576" s="243"/>
      <c r="Y576" s="243"/>
      <c r="Z576" s="243"/>
      <c r="AA576" s="243"/>
      <c r="AB576" s="243"/>
      <c r="AC576" s="243"/>
      <c r="AD576" s="243"/>
      <c r="AE576" s="243"/>
      <c r="AF576" s="243"/>
      <c r="AG576" s="243"/>
      <c r="AH576" s="243"/>
      <c r="AI576" s="243"/>
      <c r="AJ576" s="243"/>
      <c r="AK576" s="243"/>
      <c r="AL576" s="243"/>
      <c r="AM576" s="243"/>
      <c r="AN576" s="243"/>
      <c r="AO576" s="243"/>
      <c r="AP576" s="243"/>
      <c r="AQ576" s="243"/>
      <c r="AR576" s="243"/>
      <c r="AS576" s="243"/>
      <c r="AT576" s="243"/>
      <c r="AU576" s="243"/>
      <c r="AV576" s="243"/>
      <c r="AW576" s="243"/>
      <c r="AX576" s="243"/>
      <c r="AY576" s="243"/>
      <c r="AZ576" s="243"/>
      <c r="BA576" s="243"/>
      <c r="BB576" s="243"/>
      <c r="BC576" s="243"/>
      <c r="BD576" s="243"/>
      <c r="BE576" s="243"/>
      <c r="BF576" s="243"/>
      <c r="BG576" s="243"/>
      <c r="BH576" s="243"/>
      <c r="BI576" s="243"/>
      <c r="BJ576" s="243"/>
      <c r="BK576" s="243"/>
      <c r="BL576" s="243"/>
      <c r="BM576" s="243"/>
      <c r="BN576" s="243"/>
      <c r="BO576" s="243"/>
      <c r="BP576" s="243"/>
      <c r="BQ576" s="243"/>
      <c r="BR576" s="243"/>
      <c r="BS576" s="243"/>
    </row>
    <row r="577" spans="1:71" s="12" customFormat="1" ht="41.25" customHeight="1">
      <c r="A577" s="178" t="s">
        <v>80</v>
      </c>
      <c r="B577" s="178" t="str">
        <f ca="1">+UPPER(Tabla1321124[[#This Row],[DESCRIPCIÓN DE LA COMPRA O CONTRATACIÓN]])</f>
        <v>MANGUERA DE PRESION DE DOBLE REVESTIMIENTO 50 PIES Y Ø1 1/2"</v>
      </c>
      <c r="C577" s="39" t="s">
        <v>17</v>
      </c>
      <c r="D577" s="236">
        <f>30+3</f>
        <v>33</v>
      </c>
      <c r="E577" s="236">
        <v>30</v>
      </c>
      <c r="F577" s="236">
        <v>30</v>
      </c>
      <c r="G577" s="236">
        <v>30</v>
      </c>
      <c r="H577" s="240">
        <f>SUM(Tabla1321124[[#This Row],[PRIMER TRIMESTRE]:[CUARTO TRIMESTRE]])</f>
        <v>123</v>
      </c>
      <c r="I577" s="17">
        <v>4827</v>
      </c>
      <c r="J577" s="17">
        <f>+Tabla1321124[[#This Row],[CANTIDAD TOTAL]]*Tabla1321124[[#This Row],[PRECIO UNITARIO ESTIMADO]]</f>
        <v>593721</v>
      </c>
      <c r="K577" s="17"/>
      <c r="L577" s="16" t="s">
        <v>18</v>
      </c>
      <c r="M577" s="16" t="s">
        <v>22</v>
      </c>
      <c r="N577" s="16" t="s">
        <v>418</v>
      </c>
      <c r="O577" s="243"/>
      <c r="P577" s="243"/>
      <c r="Q577" s="243"/>
      <c r="R577" s="243"/>
      <c r="S577" s="243"/>
      <c r="T577" s="243"/>
      <c r="U577" s="243"/>
      <c r="V577" s="243"/>
      <c r="W577" s="243"/>
      <c r="X577" s="243"/>
      <c r="Y577" s="243"/>
      <c r="Z577" s="243"/>
      <c r="AA577" s="243"/>
      <c r="AB577" s="243"/>
      <c r="AC577" s="243"/>
      <c r="AD577" s="243"/>
      <c r="AE577" s="243"/>
      <c r="AF577" s="243"/>
      <c r="AG577" s="243"/>
      <c r="AH577" s="243"/>
      <c r="AI577" s="243"/>
      <c r="AJ577" s="243"/>
      <c r="AK577" s="243"/>
      <c r="AL577" s="243"/>
      <c r="AM577" s="243"/>
      <c r="AN577" s="243"/>
      <c r="AO577" s="243"/>
      <c r="AP577" s="243"/>
      <c r="AQ577" s="243"/>
      <c r="AR577" s="243"/>
      <c r="AS577" s="243"/>
      <c r="AT577" s="243"/>
      <c r="AU577" s="243"/>
      <c r="AV577" s="243"/>
      <c r="AW577" s="243"/>
      <c r="AX577" s="243"/>
      <c r="AY577" s="243"/>
      <c r="AZ577" s="243"/>
      <c r="BA577" s="243"/>
      <c r="BB577" s="243"/>
      <c r="BC577" s="243"/>
      <c r="BD577" s="243"/>
      <c r="BE577" s="243"/>
      <c r="BF577" s="243"/>
      <c r="BG577" s="243"/>
      <c r="BH577" s="243"/>
      <c r="BI577" s="243"/>
      <c r="BJ577" s="243"/>
      <c r="BK577" s="243"/>
      <c r="BL577" s="243"/>
      <c r="BM577" s="243"/>
      <c r="BN577" s="243"/>
      <c r="BO577" s="243"/>
      <c r="BP577" s="243"/>
      <c r="BQ577" s="243"/>
      <c r="BR577" s="243"/>
      <c r="BS577" s="243"/>
    </row>
    <row r="578" spans="1:71" s="12" customFormat="1" ht="41.25" customHeight="1">
      <c r="A578" s="178" t="s">
        <v>80</v>
      </c>
      <c r="B578" s="178" t="str">
        <f ca="1">+UPPER(Tabla1321124[[#This Row],[DESCRIPCIÓN DE LA COMPRA O CONTRATACIÓN]])</f>
        <v>NIPLE DE 1 1/2" X 12"H.G.</v>
      </c>
      <c r="C578" s="39" t="s">
        <v>17</v>
      </c>
      <c r="D578" s="368">
        <v>20</v>
      </c>
      <c r="E578" s="368">
        <v>10</v>
      </c>
      <c r="F578" s="368">
        <v>10</v>
      </c>
      <c r="G578" s="368">
        <v>10</v>
      </c>
      <c r="H578" s="240">
        <f>SUM(Tabla1321124[[#This Row],[PRIMER TRIMESTRE]:[CUARTO TRIMESTRE]])</f>
        <v>50</v>
      </c>
      <c r="I578" s="17">
        <v>45</v>
      </c>
      <c r="J578" s="17">
        <f>+Tabla1321124[[#This Row],[CANTIDAD TOTAL]]*Tabla1321124[[#This Row],[PRECIO UNITARIO ESTIMADO]]</f>
        <v>2250</v>
      </c>
      <c r="K578" s="175"/>
      <c r="L578" s="16" t="s">
        <v>18</v>
      </c>
      <c r="M578" s="16" t="s">
        <v>22</v>
      </c>
      <c r="N578" s="16"/>
      <c r="O578" s="243"/>
      <c r="P578" s="243"/>
      <c r="Q578" s="243"/>
      <c r="R578" s="243"/>
      <c r="S578" s="243"/>
      <c r="T578" s="243"/>
      <c r="U578" s="243"/>
      <c r="V578" s="243"/>
      <c r="W578" s="243"/>
      <c r="X578" s="243"/>
      <c r="Y578" s="243"/>
      <c r="Z578" s="243"/>
      <c r="AA578" s="243"/>
      <c r="AB578" s="243"/>
      <c r="AC578" s="243"/>
      <c r="AD578" s="243"/>
      <c r="AE578" s="243"/>
      <c r="AF578" s="243"/>
      <c r="AG578" s="243"/>
      <c r="AH578" s="243"/>
      <c r="AI578" s="243"/>
      <c r="AJ578" s="243"/>
      <c r="AK578" s="243"/>
      <c r="AL578" s="243"/>
      <c r="AM578" s="243"/>
      <c r="AN578" s="243"/>
      <c r="AO578" s="243"/>
      <c r="AP578" s="243"/>
      <c r="AQ578" s="243"/>
      <c r="AR578" s="243"/>
      <c r="AS578" s="243"/>
      <c r="AT578" s="243"/>
      <c r="AU578" s="243"/>
      <c r="AV578" s="243"/>
      <c r="AW578" s="243"/>
      <c r="AX578" s="243"/>
      <c r="AY578" s="243"/>
      <c r="AZ578" s="243"/>
      <c r="BA578" s="243"/>
      <c r="BB578" s="243"/>
      <c r="BC578" s="243"/>
      <c r="BD578" s="243"/>
      <c r="BE578" s="243"/>
      <c r="BF578" s="243"/>
      <c r="BG578" s="243"/>
      <c r="BH578" s="243"/>
      <c r="BI578" s="243"/>
      <c r="BJ578" s="243"/>
      <c r="BK578" s="243"/>
      <c r="BL578" s="243"/>
      <c r="BM578" s="243"/>
      <c r="BN578" s="243"/>
      <c r="BO578" s="243"/>
      <c r="BP578" s="243"/>
      <c r="BQ578" s="243"/>
      <c r="BR578" s="243"/>
      <c r="BS578" s="243"/>
    </row>
    <row r="579" spans="1:71" s="12" customFormat="1" ht="41.25" customHeight="1">
      <c r="A579" s="178" t="s">
        <v>80</v>
      </c>
      <c r="B579" s="178" t="str">
        <f ca="1">+UPPER(Tabla1321124[[#This Row],[DESCRIPCIÓN DE LA COMPRA O CONTRATACIÓN]])</f>
        <v>NIPLE DE 1 1/2" X 6"H.G.</v>
      </c>
      <c r="C579" s="39" t="s">
        <v>17</v>
      </c>
      <c r="D579" s="368">
        <v>20</v>
      </c>
      <c r="E579" s="368">
        <v>10</v>
      </c>
      <c r="F579" s="368">
        <v>10</v>
      </c>
      <c r="G579" s="368">
        <v>10</v>
      </c>
      <c r="H579" s="240">
        <f>SUM(Tabla1321124[[#This Row],[PRIMER TRIMESTRE]:[CUARTO TRIMESTRE]])</f>
        <v>50</v>
      </c>
      <c r="I579" s="17">
        <v>55</v>
      </c>
      <c r="J579" s="17">
        <f>+Tabla1321124[[#This Row],[CANTIDAD TOTAL]]*Tabla1321124[[#This Row],[PRECIO UNITARIO ESTIMADO]]</f>
        <v>2750</v>
      </c>
      <c r="K579" s="175"/>
      <c r="L579" s="16" t="s">
        <v>18</v>
      </c>
      <c r="M579" s="16" t="s">
        <v>22</v>
      </c>
      <c r="N579" s="16"/>
      <c r="O579" s="243"/>
      <c r="P579" s="243"/>
      <c r="Q579" s="243"/>
      <c r="R579" s="243"/>
      <c r="S579" s="243"/>
      <c r="T579" s="243"/>
      <c r="U579" s="243"/>
      <c r="V579" s="243"/>
      <c r="W579" s="243"/>
      <c r="X579" s="243"/>
      <c r="Y579" s="243"/>
      <c r="Z579" s="243"/>
      <c r="AA579" s="243"/>
      <c r="AB579" s="243"/>
      <c r="AC579" s="243"/>
      <c r="AD579" s="243"/>
      <c r="AE579" s="243"/>
      <c r="AF579" s="243"/>
      <c r="AG579" s="243"/>
      <c r="AH579" s="243"/>
      <c r="AI579" s="243"/>
      <c r="AJ579" s="243"/>
      <c r="AK579" s="243"/>
      <c r="AL579" s="243"/>
      <c r="AM579" s="243"/>
      <c r="AN579" s="243"/>
      <c r="AO579" s="243"/>
      <c r="AP579" s="243"/>
      <c r="AQ579" s="243"/>
      <c r="AR579" s="243"/>
      <c r="AS579" s="243"/>
      <c r="AT579" s="243"/>
      <c r="AU579" s="243"/>
      <c r="AV579" s="243"/>
      <c r="AW579" s="243"/>
      <c r="AX579" s="243"/>
      <c r="AY579" s="243"/>
      <c r="AZ579" s="243"/>
      <c r="BA579" s="243"/>
      <c r="BB579" s="243"/>
      <c r="BC579" s="243"/>
      <c r="BD579" s="243"/>
      <c r="BE579" s="243"/>
      <c r="BF579" s="243"/>
      <c r="BG579" s="243"/>
      <c r="BH579" s="243"/>
      <c r="BI579" s="243"/>
      <c r="BJ579" s="243"/>
      <c r="BK579" s="243"/>
      <c r="BL579" s="243"/>
      <c r="BM579" s="243"/>
      <c r="BN579" s="243"/>
      <c r="BO579" s="243"/>
      <c r="BP579" s="243"/>
      <c r="BQ579" s="243"/>
      <c r="BR579" s="243"/>
      <c r="BS579" s="243"/>
    </row>
    <row r="580" spans="1:71" s="12" customFormat="1" ht="41.25" customHeight="1">
      <c r="A580" s="178" t="s">
        <v>80</v>
      </c>
      <c r="B580" s="178" t="str">
        <f ca="1">+UPPER(Tabla1321124[[#This Row],[DESCRIPCIÓN DE LA COMPRA O CONTRATACIÓN]])</f>
        <v>NIPLE DE 1" X 12"H.G.</v>
      </c>
      <c r="C580" s="39" t="s">
        <v>17</v>
      </c>
      <c r="D580" s="368">
        <v>20</v>
      </c>
      <c r="E580" s="368">
        <v>10</v>
      </c>
      <c r="F580" s="368">
        <v>10</v>
      </c>
      <c r="G580" s="368">
        <v>10</v>
      </c>
      <c r="H580" s="240">
        <f>SUM(Tabla1321124[[#This Row],[PRIMER TRIMESTRE]:[CUARTO TRIMESTRE]])</f>
        <v>50</v>
      </c>
      <c r="I580" s="17">
        <v>60</v>
      </c>
      <c r="J580" s="17">
        <f>+Tabla1321124[[#This Row],[CANTIDAD TOTAL]]*Tabla1321124[[#This Row],[PRECIO UNITARIO ESTIMADO]]</f>
        <v>3000</v>
      </c>
      <c r="K580" s="175"/>
      <c r="L580" s="16" t="s">
        <v>18</v>
      </c>
      <c r="M580" s="16" t="s">
        <v>22</v>
      </c>
      <c r="N580" s="16"/>
      <c r="O580" s="243"/>
      <c r="P580" s="243"/>
      <c r="Q580" s="243"/>
      <c r="R580" s="243"/>
      <c r="S580" s="243"/>
      <c r="T580" s="243"/>
      <c r="U580" s="243"/>
      <c r="V580" s="243"/>
      <c r="W580" s="243"/>
      <c r="X580" s="243"/>
      <c r="Y580" s="243"/>
      <c r="Z580" s="243"/>
      <c r="AA580" s="243"/>
      <c r="AB580" s="243"/>
      <c r="AC580" s="243"/>
      <c r="AD580" s="243"/>
      <c r="AE580" s="243"/>
      <c r="AF580" s="243"/>
      <c r="AG580" s="243"/>
      <c r="AH580" s="243"/>
      <c r="AI580" s="243"/>
      <c r="AJ580" s="243"/>
      <c r="AK580" s="243"/>
      <c r="AL580" s="243"/>
      <c r="AM580" s="243"/>
      <c r="AN580" s="243"/>
      <c r="AO580" s="243"/>
      <c r="AP580" s="243"/>
      <c r="AQ580" s="243"/>
      <c r="AR580" s="243"/>
      <c r="AS580" s="243"/>
      <c r="AT580" s="243"/>
      <c r="AU580" s="243"/>
      <c r="AV580" s="243"/>
      <c r="AW580" s="243"/>
      <c r="AX580" s="243"/>
      <c r="AY580" s="243"/>
      <c r="AZ580" s="243"/>
      <c r="BA580" s="243"/>
      <c r="BB580" s="243"/>
      <c r="BC580" s="243"/>
      <c r="BD580" s="243"/>
      <c r="BE580" s="243"/>
      <c r="BF580" s="243"/>
      <c r="BG580" s="243"/>
      <c r="BH580" s="243"/>
      <c r="BI580" s="243"/>
      <c r="BJ580" s="243"/>
      <c r="BK580" s="243"/>
      <c r="BL580" s="243"/>
      <c r="BM580" s="243"/>
      <c r="BN580" s="243"/>
      <c r="BO580" s="243"/>
      <c r="BP580" s="243"/>
      <c r="BQ580" s="243"/>
      <c r="BR580" s="243"/>
      <c r="BS580" s="243"/>
    </row>
    <row r="581" spans="1:71" s="12" customFormat="1" ht="41.25" customHeight="1">
      <c r="A581" s="178" t="s">
        <v>80</v>
      </c>
      <c r="B581" s="178" t="str">
        <f ca="1">+UPPER(Tabla1321124[[#This Row],[DESCRIPCIÓN DE LA COMPRA O CONTRATACIÓN]])</f>
        <v>NIPLE DE 1" X 6"H.G.</v>
      </c>
      <c r="C581" s="39" t="s">
        <v>17</v>
      </c>
      <c r="D581" s="368">
        <v>20</v>
      </c>
      <c r="E581" s="368">
        <v>10</v>
      </c>
      <c r="F581" s="368">
        <v>10</v>
      </c>
      <c r="G581" s="368">
        <v>10</v>
      </c>
      <c r="H581" s="240">
        <f>SUM(Tabla1321124[[#This Row],[PRIMER TRIMESTRE]:[CUARTO TRIMESTRE]])</f>
        <v>50</v>
      </c>
      <c r="I581" s="17">
        <v>75</v>
      </c>
      <c r="J581" s="17">
        <f>+Tabla1321124[[#This Row],[CANTIDAD TOTAL]]*Tabla1321124[[#This Row],[PRECIO UNITARIO ESTIMADO]]</f>
        <v>3750</v>
      </c>
      <c r="K581" s="175"/>
      <c r="L581" s="16" t="s">
        <v>18</v>
      </c>
      <c r="M581" s="16" t="s">
        <v>22</v>
      </c>
      <c r="N581" s="16"/>
      <c r="O581" s="243"/>
      <c r="P581" s="243"/>
      <c r="Q581" s="243"/>
      <c r="R581" s="243"/>
      <c r="S581" s="243"/>
      <c r="T581" s="243"/>
      <c r="U581" s="243"/>
      <c r="V581" s="243"/>
      <c r="W581" s="243"/>
      <c r="X581" s="243"/>
      <c r="Y581" s="243"/>
      <c r="Z581" s="243"/>
      <c r="AA581" s="243"/>
      <c r="AB581" s="243"/>
      <c r="AC581" s="243"/>
      <c r="AD581" s="243"/>
      <c r="AE581" s="243"/>
      <c r="AF581" s="243"/>
      <c r="AG581" s="243"/>
      <c r="AH581" s="243"/>
      <c r="AI581" s="243"/>
      <c r="AJ581" s="243"/>
      <c r="AK581" s="243"/>
      <c r="AL581" s="243"/>
      <c r="AM581" s="243"/>
      <c r="AN581" s="243"/>
      <c r="AO581" s="243"/>
      <c r="AP581" s="243"/>
      <c r="AQ581" s="243"/>
      <c r="AR581" s="243"/>
      <c r="AS581" s="243"/>
      <c r="AT581" s="243"/>
      <c r="AU581" s="243"/>
      <c r="AV581" s="243"/>
      <c r="AW581" s="243"/>
      <c r="AX581" s="243"/>
      <c r="AY581" s="243"/>
      <c r="AZ581" s="243"/>
      <c r="BA581" s="243"/>
      <c r="BB581" s="243"/>
      <c r="BC581" s="243"/>
      <c r="BD581" s="243"/>
      <c r="BE581" s="243"/>
      <c r="BF581" s="243"/>
      <c r="BG581" s="243"/>
      <c r="BH581" s="243"/>
      <c r="BI581" s="243"/>
      <c r="BJ581" s="243"/>
      <c r="BK581" s="243"/>
      <c r="BL581" s="243"/>
      <c r="BM581" s="243"/>
      <c r="BN581" s="243"/>
      <c r="BO581" s="243"/>
      <c r="BP581" s="243"/>
      <c r="BQ581" s="243"/>
      <c r="BR581" s="243"/>
      <c r="BS581" s="243"/>
    </row>
    <row r="582" spans="1:71" s="12" customFormat="1" ht="41.25" customHeight="1">
      <c r="A582" s="178" t="s">
        <v>80</v>
      </c>
      <c r="B582" s="178" t="str">
        <f ca="1">+UPPER(Tabla1321124[[#This Row],[DESCRIPCIÓN DE LA COMPRA O CONTRATACIÓN]])</f>
        <v>NIPLE DE 1/2" X 12"H.G.</v>
      </c>
      <c r="C582" s="39" t="s">
        <v>17</v>
      </c>
      <c r="D582" s="368">
        <v>40</v>
      </c>
      <c r="E582" s="368">
        <v>20</v>
      </c>
      <c r="F582" s="368">
        <v>20</v>
      </c>
      <c r="G582" s="368">
        <v>20</v>
      </c>
      <c r="H582" s="240">
        <f>SUM(Tabla1321124[[#This Row],[PRIMER TRIMESTRE]:[CUARTO TRIMESTRE]])</f>
        <v>100</v>
      </c>
      <c r="I582" s="17">
        <v>67</v>
      </c>
      <c r="J582" s="17">
        <f>+Tabla1321124[[#This Row],[CANTIDAD TOTAL]]*Tabla1321124[[#This Row],[PRECIO UNITARIO ESTIMADO]]</f>
        <v>6700</v>
      </c>
      <c r="K582" s="175"/>
      <c r="L582" s="16" t="s">
        <v>18</v>
      </c>
      <c r="M582" s="16" t="s">
        <v>22</v>
      </c>
      <c r="N582" s="16"/>
      <c r="O582" s="243"/>
      <c r="P582" s="243"/>
      <c r="Q582" s="243"/>
      <c r="R582" s="243"/>
      <c r="S582" s="243"/>
      <c r="T582" s="243"/>
      <c r="U582" s="243"/>
      <c r="V582" s="243"/>
      <c r="W582" s="243"/>
      <c r="X582" s="243"/>
      <c r="Y582" s="243"/>
      <c r="Z582" s="243"/>
      <c r="AA582" s="243"/>
      <c r="AB582" s="243"/>
      <c r="AC582" s="243"/>
      <c r="AD582" s="243"/>
      <c r="AE582" s="243"/>
      <c r="AF582" s="243"/>
      <c r="AG582" s="243"/>
      <c r="AH582" s="243"/>
      <c r="AI582" s="243"/>
      <c r="AJ582" s="243"/>
      <c r="AK582" s="243"/>
      <c r="AL582" s="243"/>
      <c r="AM582" s="243"/>
      <c r="AN582" s="243"/>
      <c r="AO582" s="243"/>
      <c r="AP582" s="243"/>
      <c r="AQ582" s="243"/>
      <c r="AR582" s="243"/>
      <c r="AS582" s="243"/>
      <c r="AT582" s="243"/>
      <c r="AU582" s="243"/>
      <c r="AV582" s="243"/>
      <c r="AW582" s="243"/>
      <c r="AX582" s="243"/>
      <c r="AY582" s="243"/>
      <c r="AZ582" s="243"/>
      <c r="BA582" s="243"/>
      <c r="BB582" s="243"/>
      <c r="BC582" s="243"/>
      <c r="BD582" s="243"/>
      <c r="BE582" s="243"/>
      <c r="BF582" s="243"/>
      <c r="BG582" s="243"/>
      <c r="BH582" s="243"/>
      <c r="BI582" s="243"/>
      <c r="BJ582" s="243"/>
      <c r="BK582" s="243"/>
      <c r="BL582" s="243"/>
      <c r="BM582" s="243"/>
      <c r="BN582" s="243"/>
      <c r="BO582" s="243"/>
      <c r="BP582" s="243"/>
      <c r="BQ582" s="243"/>
      <c r="BR582" s="243"/>
      <c r="BS582" s="243"/>
    </row>
    <row r="583" spans="1:71" s="12" customFormat="1" ht="41.25" customHeight="1">
      <c r="A583" s="178" t="s">
        <v>80</v>
      </c>
      <c r="B583" s="178" t="str">
        <f ca="1">+UPPER(Tabla1321124[[#This Row],[DESCRIPCIÓN DE LA COMPRA O CONTRATACIÓN]])</f>
        <v>NIPLE DE 1/2" X 6"H.G.</v>
      </c>
      <c r="C583" s="39" t="s">
        <v>17</v>
      </c>
      <c r="D583" s="368">
        <v>40</v>
      </c>
      <c r="E583" s="368">
        <v>20</v>
      </c>
      <c r="F583" s="368">
        <v>20</v>
      </c>
      <c r="G583" s="368">
        <v>20</v>
      </c>
      <c r="H583" s="240">
        <f>SUM(Tabla1321124[[#This Row],[PRIMER TRIMESTRE]:[CUARTO TRIMESTRE]])</f>
        <v>100</v>
      </c>
      <c r="I583" s="17">
        <v>89</v>
      </c>
      <c r="J583" s="17">
        <f>+Tabla1321124[[#This Row],[CANTIDAD TOTAL]]*Tabla1321124[[#This Row],[PRECIO UNITARIO ESTIMADO]]</f>
        <v>8900</v>
      </c>
      <c r="K583" s="175"/>
      <c r="L583" s="16" t="s">
        <v>18</v>
      </c>
      <c r="M583" s="16" t="s">
        <v>22</v>
      </c>
      <c r="N583" s="16"/>
      <c r="O583" s="243"/>
      <c r="P583" s="243"/>
      <c r="Q583" s="243"/>
      <c r="R583" s="243"/>
      <c r="S583" s="243"/>
      <c r="T583" s="243"/>
      <c r="U583" s="243"/>
      <c r="V583" s="243"/>
      <c r="W583" s="243"/>
      <c r="X583" s="243"/>
      <c r="Y583" s="243"/>
      <c r="Z583" s="243"/>
      <c r="AA583" s="243"/>
      <c r="AB583" s="243"/>
      <c r="AC583" s="243"/>
      <c r="AD583" s="243"/>
      <c r="AE583" s="243"/>
      <c r="AF583" s="243"/>
      <c r="AG583" s="243"/>
      <c r="AH583" s="243"/>
      <c r="AI583" s="243"/>
      <c r="AJ583" s="243"/>
      <c r="AK583" s="243"/>
      <c r="AL583" s="243"/>
      <c r="AM583" s="243"/>
      <c r="AN583" s="243"/>
      <c r="AO583" s="243"/>
      <c r="AP583" s="243"/>
      <c r="AQ583" s="243"/>
      <c r="AR583" s="243"/>
      <c r="AS583" s="243"/>
      <c r="AT583" s="243"/>
      <c r="AU583" s="243"/>
      <c r="AV583" s="243"/>
      <c r="AW583" s="243"/>
      <c r="AX583" s="243"/>
      <c r="AY583" s="243"/>
      <c r="AZ583" s="243"/>
      <c r="BA583" s="243"/>
      <c r="BB583" s="243"/>
      <c r="BC583" s="243"/>
      <c r="BD583" s="243"/>
      <c r="BE583" s="243"/>
      <c r="BF583" s="243"/>
      <c r="BG583" s="243"/>
      <c r="BH583" s="243"/>
      <c r="BI583" s="243"/>
      <c r="BJ583" s="243"/>
      <c r="BK583" s="243"/>
      <c r="BL583" s="243"/>
      <c r="BM583" s="243"/>
      <c r="BN583" s="243"/>
      <c r="BO583" s="243"/>
      <c r="BP583" s="243"/>
      <c r="BQ583" s="243"/>
      <c r="BR583" s="243"/>
      <c r="BS583" s="243"/>
    </row>
    <row r="584" spans="1:71" s="12" customFormat="1" ht="41.25" customHeight="1">
      <c r="A584" s="178" t="s">
        <v>80</v>
      </c>
      <c r="B584" s="178" t="str">
        <f ca="1">+UPPER(Tabla1321124[[#This Row],[DESCRIPCIÓN DE LA COMPRA O CONTRATACIÓN]])</f>
        <v>NIPLE DE 2" X 12"H.G.</v>
      </c>
      <c r="C584" s="39" t="s">
        <v>17</v>
      </c>
      <c r="D584" s="368">
        <v>20</v>
      </c>
      <c r="E584" s="368">
        <v>10</v>
      </c>
      <c r="F584" s="368">
        <v>10</v>
      </c>
      <c r="G584" s="368">
        <v>10</v>
      </c>
      <c r="H584" s="240">
        <f>SUM(Tabla1321124[[#This Row],[PRIMER TRIMESTRE]:[CUARTO TRIMESTRE]])</f>
        <v>50</v>
      </c>
      <c r="I584" s="17">
        <v>90</v>
      </c>
      <c r="J584" s="17">
        <f>+Tabla1321124[[#This Row],[CANTIDAD TOTAL]]*Tabla1321124[[#This Row],[PRECIO UNITARIO ESTIMADO]]</f>
        <v>4500</v>
      </c>
      <c r="K584" s="175"/>
      <c r="L584" s="16" t="s">
        <v>18</v>
      </c>
      <c r="M584" s="16" t="s">
        <v>22</v>
      </c>
      <c r="N584" s="16"/>
      <c r="O584" s="243"/>
      <c r="P584" s="243"/>
      <c r="Q584" s="243"/>
      <c r="R584" s="243"/>
      <c r="S584" s="243"/>
      <c r="T584" s="243"/>
      <c r="U584" s="243"/>
      <c r="V584" s="243"/>
      <c r="W584" s="243"/>
      <c r="X584" s="243"/>
      <c r="Y584" s="243"/>
      <c r="Z584" s="243"/>
      <c r="AA584" s="243"/>
      <c r="AB584" s="243"/>
      <c r="AC584" s="243"/>
      <c r="AD584" s="243"/>
      <c r="AE584" s="243"/>
      <c r="AF584" s="243"/>
      <c r="AG584" s="243"/>
      <c r="AH584" s="243"/>
      <c r="AI584" s="243"/>
      <c r="AJ584" s="243"/>
      <c r="AK584" s="243"/>
      <c r="AL584" s="243"/>
      <c r="AM584" s="243"/>
      <c r="AN584" s="243"/>
      <c r="AO584" s="243"/>
      <c r="AP584" s="243"/>
      <c r="AQ584" s="243"/>
      <c r="AR584" s="243"/>
      <c r="AS584" s="243"/>
      <c r="AT584" s="243"/>
      <c r="AU584" s="243"/>
      <c r="AV584" s="243"/>
      <c r="AW584" s="243"/>
      <c r="AX584" s="243"/>
      <c r="AY584" s="243"/>
      <c r="AZ584" s="243"/>
      <c r="BA584" s="243"/>
      <c r="BB584" s="243"/>
      <c r="BC584" s="243"/>
      <c r="BD584" s="243"/>
      <c r="BE584" s="243"/>
      <c r="BF584" s="243"/>
      <c r="BG584" s="243"/>
      <c r="BH584" s="243"/>
      <c r="BI584" s="243"/>
      <c r="BJ584" s="243"/>
      <c r="BK584" s="243"/>
      <c r="BL584" s="243"/>
      <c r="BM584" s="243"/>
      <c r="BN584" s="243"/>
      <c r="BO584" s="243"/>
      <c r="BP584" s="243"/>
      <c r="BQ584" s="243"/>
      <c r="BR584" s="243"/>
      <c r="BS584" s="243"/>
    </row>
    <row r="585" spans="1:71" s="12" customFormat="1" ht="41.25" customHeight="1">
      <c r="A585" s="178" t="s">
        <v>80</v>
      </c>
      <c r="B585" s="178" t="str">
        <f ca="1">+UPPER(Tabla1321124[[#This Row],[DESCRIPCIÓN DE LA COMPRA O CONTRATACIÓN]])</f>
        <v>NIPLE DE 2" X 6"H.G.</v>
      </c>
      <c r="C585" s="39" t="s">
        <v>17</v>
      </c>
      <c r="D585" s="368">
        <v>20</v>
      </c>
      <c r="E585" s="368">
        <v>10</v>
      </c>
      <c r="F585" s="368">
        <v>10</v>
      </c>
      <c r="G585" s="368">
        <v>10</v>
      </c>
      <c r="H585" s="240">
        <f>SUM(Tabla1321124[[#This Row],[PRIMER TRIMESTRE]:[CUARTO TRIMESTRE]])</f>
        <v>50</v>
      </c>
      <c r="I585" s="17">
        <v>65</v>
      </c>
      <c r="J585" s="17">
        <f>+Tabla1321124[[#This Row],[CANTIDAD TOTAL]]*Tabla1321124[[#This Row],[PRECIO UNITARIO ESTIMADO]]</f>
        <v>3250</v>
      </c>
      <c r="K585" s="175"/>
      <c r="L585" s="16" t="s">
        <v>18</v>
      </c>
      <c r="M585" s="16" t="s">
        <v>22</v>
      </c>
      <c r="N585" s="16"/>
      <c r="O585" s="243"/>
      <c r="P585" s="243"/>
      <c r="Q585" s="243"/>
      <c r="R585" s="243"/>
      <c r="S585" s="243"/>
      <c r="T585" s="243"/>
      <c r="U585" s="243"/>
      <c r="V585" s="243"/>
      <c r="W585" s="243"/>
      <c r="X585" s="243"/>
      <c r="Y585" s="243"/>
      <c r="Z585" s="243"/>
      <c r="AA585" s="243"/>
      <c r="AB585" s="243"/>
      <c r="AC585" s="243"/>
      <c r="AD585" s="243"/>
      <c r="AE585" s="243"/>
      <c r="AF585" s="243"/>
      <c r="AG585" s="243"/>
      <c r="AH585" s="243"/>
      <c r="AI585" s="243"/>
      <c r="AJ585" s="243"/>
      <c r="AK585" s="243"/>
      <c r="AL585" s="243"/>
      <c r="AM585" s="243"/>
      <c r="AN585" s="243"/>
      <c r="AO585" s="243"/>
      <c r="AP585" s="243"/>
      <c r="AQ585" s="243"/>
      <c r="AR585" s="243"/>
      <c r="AS585" s="243"/>
      <c r="AT585" s="243"/>
      <c r="AU585" s="243"/>
      <c r="AV585" s="243"/>
      <c r="AW585" s="243"/>
      <c r="AX585" s="243"/>
      <c r="AY585" s="243"/>
      <c r="AZ585" s="243"/>
      <c r="BA585" s="243"/>
      <c r="BB585" s="243"/>
      <c r="BC585" s="243"/>
      <c r="BD585" s="243"/>
      <c r="BE585" s="243"/>
      <c r="BF585" s="243"/>
      <c r="BG585" s="243"/>
      <c r="BH585" s="243"/>
      <c r="BI585" s="243"/>
      <c r="BJ585" s="243"/>
      <c r="BK585" s="243"/>
      <c r="BL585" s="243"/>
      <c r="BM585" s="243"/>
      <c r="BN585" s="243"/>
      <c r="BO585" s="243"/>
      <c r="BP585" s="243"/>
      <c r="BQ585" s="243"/>
      <c r="BR585" s="243"/>
      <c r="BS585" s="243"/>
    </row>
    <row r="586" spans="1:71" s="12" customFormat="1" ht="41.25" customHeight="1">
      <c r="A586" s="178" t="s">
        <v>80</v>
      </c>
      <c r="B586" s="178" t="str">
        <f ca="1">+UPPER(Tabla1321124[[#This Row],[DESCRIPCIÓN DE LA COMPRA O CONTRATACIÓN]])</f>
        <v>NIPLE DE 3" X 12"H.G.</v>
      </c>
      <c r="C586" s="39" t="s">
        <v>17</v>
      </c>
      <c r="D586" s="368">
        <v>10</v>
      </c>
      <c r="E586" s="368">
        <v>5</v>
      </c>
      <c r="F586" s="368">
        <v>5</v>
      </c>
      <c r="G586" s="368">
        <v>5</v>
      </c>
      <c r="H586" s="240">
        <f>SUM(Tabla1321124[[#This Row],[PRIMER TRIMESTRE]:[CUARTO TRIMESTRE]])</f>
        <v>25</v>
      </c>
      <c r="I586" s="17">
        <v>45</v>
      </c>
      <c r="J586" s="17">
        <f>+Tabla1321124[[#This Row],[CANTIDAD TOTAL]]*Tabla1321124[[#This Row],[PRECIO UNITARIO ESTIMADO]]</f>
        <v>1125</v>
      </c>
      <c r="K586" s="175"/>
      <c r="L586" s="16" t="s">
        <v>18</v>
      </c>
      <c r="M586" s="16" t="s">
        <v>22</v>
      </c>
      <c r="N586" s="16"/>
      <c r="O586" s="243"/>
      <c r="P586" s="243"/>
      <c r="Q586" s="243"/>
      <c r="R586" s="243"/>
      <c r="S586" s="243"/>
      <c r="T586" s="243"/>
      <c r="U586" s="243"/>
      <c r="V586" s="243"/>
      <c r="W586" s="243"/>
      <c r="X586" s="243"/>
      <c r="Y586" s="243"/>
      <c r="Z586" s="243"/>
      <c r="AA586" s="243"/>
      <c r="AB586" s="243"/>
      <c r="AC586" s="243"/>
      <c r="AD586" s="243"/>
      <c r="AE586" s="243"/>
      <c r="AF586" s="243"/>
      <c r="AG586" s="243"/>
      <c r="AH586" s="243"/>
      <c r="AI586" s="243"/>
      <c r="AJ586" s="243"/>
      <c r="AK586" s="243"/>
      <c r="AL586" s="243"/>
      <c r="AM586" s="243"/>
      <c r="AN586" s="243"/>
      <c r="AO586" s="243"/>
      <c r="AP586" s="243"/>
      <c r="AQ586" s="243"/>
      <c r="AR586" s="243"/>
      <c r="AS586" s="243"/>
      <c r="AT586" s="243"/>
      <c r="AU586" s="243"/>
      <c r="AV586" s="243"/>
      <c r="AW586" s="243"/>
      <c r="AX586" s="243"/>
      <c r="AY586" s="243"/>
      <c r="AZ586" s="243"/>
      <c r="BA586" s="243"/>
      <c r="BB586" s="243"/>
      <c r="BC586" s="243"/>
      <c r="BD586" s="243"/>
      <c r="BE586" s="243"/>
      <c r="BF586" s="243"/>
      <c r="BG586" s="243"/>
      <c r="BH586" s="243"/>
      <c r="BI586" s="243"/>
      <c r="BJ586" s="243"/>
      <c r="BK586" s="243"/>
      <c r="BL586" s="243"/>
      <c r="BM586" s="243"/>
      <c r="BN586" s="243"/>
      <c r="BO586" s="243"/>
      <c r="BP586" s="243"/>
      <c r="BQ586" s="243"/>
      <c r="BR586" s="243"/>
      <c r="BS586" s="243"/>
    </row>
    <row r="587" spans="1:71" s="12" customFormat="1" ht="41.25" customHeight="1">
      <c r="A587" s="178" t="s">
        <v>80</v>
      </c>
      <c r="B587" s="178" t="str">
        <f ca="1">+UPPER(Tabla1321124[[#This Row],[DESCRIPCIÓN DE LA COMPRA O CONTRATACIÓN]])</f>
        <v>NIPLE DE 3/4" X 12"H.G.</v>
      </c>
      <c r="C587" s="39" t="s">
        <v>17</v>
      </c>
      <c r="D587" s="368">
        <v>40</v>
      </c>
      <c r="E587" s="368">
        <v>20</v>
      </c>
      <c r="F587" s="368">
        <v>20</v>
      </c>
      <c r="G587" s="368">
        <v>20</v>
      </c>
      <c r="H587" s="240">
        <f>SUM(Tabla1321124[[#This Row],[PRIMER TRIMESTRE]:[CUARTO TRIMESTRE]])</f>
        <v>100</v>
      </c>
      <c r="I587" s="17">
        <v>65</v>
      </c>
      <c r="J587" s="17">
        <f>+Tabla1321124[[#This Row],[CANTIDAD TOTAL]]*Tabla1321124[[#This Row],[PRECIO UNITARIO ESTIMADO]]</f>
        <v>6500</v>
      </c>
      <c r="K587" s="175"/>
      <c r="L587" s="16" t="s">
        <v>18</v>
      </c>
      <c r="M587" s="16" t="s">
        <v>22</v>
      </c>
      <c r="N587" s="16"/>
      <c r="O587" s="243"/>
      <c r="P587" s="243"/>
      <c r="Q587" s="243"/>
      <c r="R587" s="243"/>
      <c r="S587" s="243"/>
      <c r="T587" s="243"/>
      <c r="U587" s="243"/>
      <c r="V587" s="243"/>
      <c r="W587" s="243"/>
      <c r="X587" s="243"/>
      <c r="Y587" s="243"/>
      <c r="Z587" s="243"/>
      <c r="AA587" s="243"/>
      <c r="AB587" s="243"/>
      <c r="AC587" s="243"/>
      <c r="AD587" s="243"/>
      <c r="AE587" s="243"/>
      <c r="AF587" s="243"/>
      <c r="AG587" s="243"/>
      <c r="AH587" s="243"/>
      <c r="AI587" s="243"/>
      <c r="AJ587" s="243"/>
      <c r="AK587" s="243"/>
      <c r="AL587" s="243"/>
      <c r="AM587" s="243"/>
      <c r="AN587" s="243"/>
      <c r="AO587" s="243"/>
      <c r="AP587" s="243"/>
      <c r="AQ587" s="243"/>
      <c r="AR587" s="243"/>
      <c r="AS587" s="243"/>
      <c r="AT587" s="243"/>
      <c r="AU587" s="243"/>
      <c r="AV587" s="243"/>
      <c r="AW587" s="243"/>
      <c r="AX587" s="243"/>
      <c r="AY587" s="243"/>
      <c r="AZ587" s="243"/>
      <c r="BA587" s="243"/>
      <c r="BB587" s="243"/>
      <c r="BC587" s="243"/>
      <c r="BD587" s="243"/>
      <c r="BE587" s="243"/>
      <c r="BF587" s="243"/>
      <c r="BG587" s="243"/>
      <c r="BH587" s="243"/>
      <c r="BI587" s="243"/>
      <c r="BJ587" s="243"/>
      <c r="BK587" s="243"/>
      <c r="BL587" s="243"/>
      <c r="BM587" s="243"/>
      <c r="BN587" s="243"/>
      <c r="BO587" s="243"/>
      <c r="BP587" s="243"/>
      <c r="BQ587" s="243"/>
      <c r="BR587" s="243"/>
      <c r="BS587" s="243"/>
    </row>
    <row r="588" spans="1:71" s="12" customFormat="1" ht="41.25" customHeight="1">
      <c r="A588" s="178" t="s">
        <v>80</v>
      </c>
      <c r="B588" s="178" t="str">
        <f ca="1">+UPPER(Tabla1321124[[#This Row],[DESCRIPCIÓN DE LA COMPRA O CONTRATACIÓN]])</f>
        <v>NIPLE DE 3/4" X 6"H.G.</v>
      </c>
      <c r="C588" s="39" t="s">
        <v>17</v>
      </c>
      <c r="D588" s="368">
        <v>40</v>
      </c>
      <c r="E588" s="368">
        <v>20</v>
      </c>
      <c r="F588" s="368">
        <v>20</v>
      </c>
      <c r="G588" s="368">
        <v>20</v>
      </c>
      <c r="H588" s="240">
        <f>SUM(Tabla1321124[[#This Row],[PRIMER TRIMESTRE]:[CUARTO TRIMESTRE]])</f>
        <v>100</v>
      </c>
      <c r="I588" s="17">
        <v>85</v>
      </c>
      <c r="J588" s="17">
        <f>+Tabla1321124[[#This Row],[CANTIDAD TOTAL]]*Tabla1321124[[#This Row],[PRECIO UNITARIO ESTIMADO]]</f>
        <v>8500</v>
      </c>
      <c r="K588" s="175"/>
      <c r="L588" s="16" t="s">
        <v>18</v>
      </c>
      <c r="M588" s="16" t="s">
        <v>22</v>
      </c>
      <c r="N588" s="16"/>
      <c r="O588" s="243"/>
      <c r="P588" s="243"/>
      <c r="Q588" s="243"/>
      <c r="R588" s="243"/>
      <c r="S588" s="243"/>
      <c r="T588" s="243"/>
      <c r="U588" s="243"/>
      <c r="V588" s="243"/>
      <c r="W588" s="243"/>
      <c r="X588" s="243"/>
      <c r="Y588" s="243"/>
      <c r="Z588" s="243"/>
      <c r="AA588" s="243"/>
      <c r="AB588" s="243"/>
      <c r="AC588" s="243"/>
      <c r="AD588" s="243"/>
      <c r="AE588" s="243"/>
      <c r="AF588" s="243"/>
      <c r="AG588" s="243"/>
      <c r="AH588" s="243"/>
      <c r="AI588" s="243"/>
      <c r="AJ588" s="243"/>
      <c r="AK588" s="243"/>
      <c r="AL588" s="243"/>
      <c r="AM588" s="243"/>
      <c r="AN588" s="243"/>
      <c r="AO588" s="243"/>
      <c r="AP588" s="243"/>
      <c r="AQ588" s="243"/>
      <c r="AR588" s="243"/>
      <c r="AS588" s="243"/>
      <c r="AT588" s="243"/>
      <c r="AU588" s="243"/>
      <c r="AV588" s="243"/>
      <c r="AW588" s="243"/>
      <c r="AX588" s="243"/>
      <c r="AY588" s="243"/>
      <c r="AZ588" s="243"/>
      <c r="BA588" s="243"/>
      <c r="BB588" s="243"/>
      <c r="BC588" s="243"/>
      <c r="BD588" s="243"/>
      <c r="BE588" s="243"/>
      <c r="BF588" s="243"/>
      <c r="BG588" s="243"/>
      <c r="BH588" s="243"/>
      <c r="BI588" s="243"/>
      <c r="BJ588" s="243"/>
      <c r="BK588" s="243"/>
      <c r="BL588" s="243"/>
      <c r="BM588" s="243"/>
      <c r="BN588" s="243"/>
      <c r="BO588" s="243"/>
      <c r="BP588" s="243"/>
      <c r="BQ588" s="243"/>
      <c r="BR588" s="243"/>
      <c r="BS588" s="243"/>
    </row>
    <row r="589" spans="1:71" s="12" customFormat="1" ht="41.25" customHeight="1">
      <c r="A589" s="178" t="s">
        <v>80</v>
      </c>
      <c r="B589" s="178" t="str">
        <f ca="1">+UPPER(Tabla1321124[[#This Row],[DESCRIPCIÓN DE LA COMPRA O CONTRATACIÓN]])</f>
        <v>NIPLE DE 4" X 12"H.G.</v>
      </c>
      <c r="C589" s="39" t="s">
        <v>17</v>
      </c>
      <c r="D589" s="368">
        <v>10</v>
      </c>
      <c r="E589" s="368">
        <v>5</v>
      </c>
      <c r="F589" s="368">
        <v>5</v>
      </c>
      <c r="G589" s="368">
        <v>5</v>
      </c>
      <c r="H589" s="240">
        <f>SUM(Tabla1321124[[#This Row],[PRIMER TRIMESTRE]:[CUARTO TRIMESTRE]])</f>
        <v>25</v>
      </c>
      <c r="I589" s="17">
        <v>95</v>
      </c>
      <c r="J589" s="17">
        <f>+Tabla1321124[[#This Row],[CANTIDAD TOTAL]]*Tabla1321124[[#This Row],[PRECIO UNITARIO ESTIMADO]]</f>
        <v>2375</v>
      </c>
      <c r="K589" s="175"/>
      <c r="L589" s="16" t="s">
        <v>18</v>
      </c>
      <c r="M589" s="16" t="s">
        <v>22</v>
      </c>
      <c r="N589" s="16"/>
      <c r="O589" s="243"/>
      <c r="P589" s="243"/>
      <c r="Q589" s="243"/>
      <c r="R589" s="243"/>
      <c r="S589" s="243"/>
      <c r="T589" s="243"/>
      <c r="U589" s="243"/>
      <c r="V589" s="243"/>
      <c r="W589" s="243"/>
      <c r="X589" s="243"/>
      <c r="Y589" s="243"/>
      <c r="Z589" s="243"/>
      <c r="AA589" s="243"/>
      <c r="AB589" s="243"/>
      <c r="AC589" s="243"/>
      <c r="AD589" s="243"/>
      <c r="AE589" s="243"/>
      <c r="AF589" s="243"/>
      <c r="AG589" s="243"/>
      <c r="AH589" s="243"/>
      <c r="AI589" s="243"/>
      <c r="AJ589" s="243"/>
      <c r="AK589" s="243"/>
      <c r="AL589" s="243"/>
      <c r="AM589" s="243"/>
      <c r="AN589" s="243"/>
      <c r="AO589" s="243"/>
      <c r="AP589" s="243"/>
      <c r="AQ589" s="243"/>
      <c r="AR589" s="243"/>
      <c r="AS589" s="243"/>
      <c r="AT589" s="243"/>
      <c r="AU589" s="243"/>
      <c r="AV589" s="243"/>
      <c r="AW589" s="243"/>
      <c r="AX589" s="243"/>
      <c r="AY589" s="243"/>
      <c r="AZ589" s="243"/>
      <c r="BA589" s="243"/>
      <c r="BB589" s="243"/>
      <c r="BC589" s="243"/>
      <c r="BD589" s="243"/>
      <c r="BE589" s="243"/>
      <c r="BF589" s="243"/>
      <c r="BG589" s="243"/>
      <c r="BH589" s="243"/>
      <c r="BI589" s="243"/>
      <c r="BJ589" s="243"/>
      <c r="BK589" s="243"/>
      <c r="BL589" s="243"/>
      <c r="BM589" s="243"/>
      <c r="BN589" s="243"/>
      <c r="BO589" s="243"/>
      <c r="BP589" s="243"/>
      <c r="BQ589" s="243"/>
      <c r="BR589" s="243"/>
      <c r="BS589" s="243"/>
    </row>
    <row r="590" spans="1:71" s="12" customFormat="1" ht="41.25" customHeight="1">
      <c r="A590" s="178" t="s">
        <v>80</v>
      </c>
      <c r="B590" s="178" t="str">
        <f ca="1">+UPPER(Tabla1321124[[#This Row],[DESCRIPCIÓN DE LA COMPRA O CONTRATACIÓN]])</f>
        <v>NIPLE Ø1/2</v>
      </c>
      <c r="C590" s="39" t="s">
        <v>17</v>
      </c>
      <c r="D590" s="236">
        <v>10</v>
      </c>
      <c r="E590" s="236">
        <v>10</v>
      </c>
      <c r="F590" s="236">
        <v>10</v>
      </c>
      <c r="G590" s="236">
        <v>10</v>
      </c>
      <c r="H590" s="240">
        <f>SUM(Tabla1321124[[#This Row],[PRIMER TRIMESTRE]:[CUARTO TRIMESTRE]])</f>
        <v>40</v>
      </c>
      <c r="I590" s="17">
        <v>72.37</v>
      </c>
      <c r="J590" s="17">
        <f>+Tabla1321124[[#This Row],[CANTIDAD TOTAL]]*Tabla1321124[[#This Row],[PRECIO UNITARIO ESTIMADO]]</f>
        <v>2894.8</v>
      </c>
      <c r="K590" s="17"/>
      <c r="L590" s="16" t="s">
        <v>18</v>
      </c>
      <c r="M590" s="16" t="s">
        <v>22</v>
      </c>
      <c r="N590" s="16" t="s">
        <v>418</v>
      </c>
      <c r="O590" s="243"/>
      <c r="P590" s="243"/>
      <c r="Q590" s="243"/>
      <c r="R590" s="243"/>
      <c r="S590" s="243"/>
      <c r="T590" s="243"/>
      <c r="U590" s="243"/>
      <c r="V590" s="243"/>
      <c r="W590" s="243"/>
      <c r="X590" s="243"/>
      <c r="Y590" s="243"/>
      <c r="Z590" s="243"/>
      <c r="AA590" s="243"/>
      <c r="AB590" s="243"/>
      <c r="AC590" s="243"/>
      <c r="AD590" s="243"/>
      <c r="AE590" s="243"/>
      <c r="AF590" s="243"/>
      <c r="AG590" s="243"/>
      <c r="AH590" s="243"/>
      <c r="AI590" s="243"/>
      <c r="AJ590" s="243"/>
      <c r="AK590" s="243"/>
      <c r="AL590" s="243"/>
      <c r="AM590" s="243"/>
      <c r="AN590" s="243"/>
      <c r="AO590" s="243"/>
      <c r="AP590" s="243"/>
      <c r="AQ590" s="243"/>
      <c r="AR590" s="243"/>
      <c r="AS590" s="243"/>
      <c r="AT590" s="243"/>
      <c r="AU590" s="243"/>
      <c r="AV590" s="243"/>
      <c r="AW590" s="243"/>
      <c r="AX590" s="243"/>
      <c r="AY590" s="243"/>
      <c r="AZ590" s="243"/>
      <c r="BA590" s="243"/>
      <c r="BB590" s="243"/>
      <c r="BC590" s="243"/>
      <c r="BD590" s="243"/>
      <c r="BE590" s="243"/>
      <c r="BF590" s="243"/>
      <c r="BG590" s="243"/>
      <c r="BH590" s="243"/>
      <c r="BI590" s="243"/>
      <c r="BJ590" s="243"/>
      <c r="BK590" s="243"/>
      <c r="BL590" s="243"/>
      <c r="BM590" s="243"/>
      <c r="BN590" s="243"/>
      <c r="BO590" s="243"/>
      <c r="BP590" s="243"/>
      <c r="BQ590" s="243"/>
      <c r="BR590" s="243"/>
      <c r="BS590" s="243"/>
    </row>
    <row r="591" spans="1:71" s="12" customFormat="1" ht="41.25" customHeight="1">
      <c r="A591" s="178" t="s">
        <v>80</v>
      </c>
      <c r="B591" s="178" t="str">
        <f ca="1">+UPPER(Tabla1321124[[#This Row],[DESCRIPCIÓN DE LA COMPRA O CONTRATACIÓN]])</f>
        <v>NIPLE Ø2</v>
      </c>
      <c r="C591" s="39" t="s">
        <v>17</v>
      </c>
      <c r="D591" s="236">
        <v>10</v>
      </c>
      <c r="E591" s="236">
        <v>10</v>
      </c>
      <c r="F591" s="236">
        <v>10</v>
      </c>
      <c r="G591" s="236">
        <v>10</v>
      </c>
      <c r="H591" s="240">
        <f>SUM(Tabla1321124[[#This Row],[PRIMER TRIMESTRE]:[CUARTO TRIMESTRE]])</f>
        <v>40</v>
      </c>
      <c r="I591" s="17">
        <v>48.05</v>
      </c>
      <c r="J591" s="17">
        <f>+Tabla1321124[[#This Row],[CANTIDAD TOTAL]]*Tabla1321124[[#This Row],[PRECIO UNITARIO ESTIMADO]]</f>
        <v>1922</v>
      </c>
      <c r="K591" s="17"/>
      <c r="L591" s="16" t="s">
        <v>18</v>
      </c>
      <c r="M591" s="16" t="s">
        <v>22</v>
      </c>
      <c r="N591" s="16" t="s">
        <v>418</v>
      </c>
      <c r="O591" s="243"/>
      <c r="P591" s="243"/>
      <c r="Q591" s="243"/>
      <c r="R591" s="243"/>
      <c r="S591" s="243"/>
      <c r="T591" s="243"/>
      <c r="U591" s="243"/>
      <c r="V591" s="243"/>
      <c r="W591" s="243"/>
      <c r="X591" s="243"/>
      <c r="Y591" s="243"/>
      <c r="Z591" s="243"/>
      <c r="AA591" s="243"/>
      <c r="AB591" s="243"/>
      <c r="AC591" s="243"/>
      <c r="AD591" s="243"/>
      <c r="AE591" s="243"/>
      <c r="AF591" s="243"/>
      <c r="AG591" s="243"/>
      <c r="AH591" s="243"/>
      <c r="AI591" s="243"/>
      <c r="AJ591" s="243"/>
      <c r="AK591" s="243"/>
      <c r="AL591" s="243"/>
      <c r="AM591" s="243"/>
      <c r="AN591" s="243"/>
      <c r="AO591" s="243"/>
      <c r="AP591" s="243"/>
      <c r="AQ591" s="243"/>
      <c r="AR591" s="243"/>
      <c r="AS591" s="243"/>
      <c r="AT591" s="243"/>
      <c r="AU591" s="243"/>
      <c r="AV591" s="243"/>
      <c r="AW591" s="243"/>
      <c r="AX591" s="243"/>
      <c r="AY591" s="243"/>
      <c r="AZ591" s="243"/>
      <c r="BA591" s="243"/>
      <c r="BB591" s="243"/>
      <c r="BC591" s="243"/>
      <c r="BD591" s="243"/>
      <c r="BE591" s="243"/>
      <c r="BF591" s="243"/>
      <c r="BG591" s="243"/>
      <c r="BH591" s="243"/>
      <c r="BI591" s="243"/>
      <c r="BJ591" s="243"/>
      <c r="BK591" s="243"/>
      <c r="BL591" s="243"/>
      <c r="BM591" s="243"/>
      <c r="BN591" s="243"/>
      <c r="BO591" s="243"/>
      <c r="BP591" s="243"/>
      <c r="BQ591" s="243"/>
      <c r="BR591" s="243"/>
      <c r="BS591" s="243"/>
    </row>
    <row r="592" spans="1:71" s="12" customFormat="1" ht="41.25" customHeight="1">
      <c r="A592" s="178" t="s">
        <v>80</v>
      </c>
      <c r="B592" s="178" t="str">
        <f ca="1">+UPPER(Tabla1321124[[#This Row],[DESCRIPCIÓN DE LA COMPRA O CONTRATACIÓN]])</f>
        <v>MANGUERA DE SAE100R2AT DE 1''</v>
      </c>
      <c r="C592" s="39" t="s">
        <v>17</v>
      </c>
      <c r="D592" s="236">
        <v>1</v>
      </c>
      <c r="E592" s="236"/>
      <c r="F592" s="236"/>
      <c r="G592" s="236"/>
      <c r="H592" s="240">
        <f>SUM(Tabla1321124[[#This Row],[PRIMER TRIMESTRE]:[CUARTO TRIMESTRE]])</f>
        <v>1</v>
      </c>
      <c r="I592" s="17">
        <v>191.1</v>
      </c>
      <c r="J592" s="17">
        <f>+Tabla1321124[[#This Row],[CANTIDAD TOTAL]]*Tabla1321124[[#This Row],[PRECIO UNITARIO ESTIMADO]]</f>
        <v>191.1</v>
      </c>
      <c r="K592" s="17"/>
      <c r="L592" s="16" t="s">
        <v>18</v>
      </c>
      <c r="M592" s="16" t="s">
        <v>22</v>
      </c>
      <c r="N592" s="16" t="s">
        <v>418</v>
      </c>
      <c r="O592" s="243"/>
      <c r="P592" s="243"/>
      <c r="Q592" s="243"/>
      <c r="R592" s="243"/>
      <c r="S592" s="243"/>
      <c r="T592" s="243"/>
      <c r="U592" s="243"/>
      <c r="V592" s="243"/>
      <c r="W592" s="243"/>
      <c r="X592" s="243"/>
      <c r="Y592" s="243"/>
      <c r="Z592" s="243"/>
      <c r="AA592" s="243"/>
      <c r="AB592" s="243"/>
      <c r="AC592" s="243"/>
      <c r="AD592" s="243"/>
      <c r="AE592" s="243"/>
      <c r="AF592" s="243"/>
      <c r="AG592" s="243"/>
      <c r="AH592" s="243"/>
      <c r="AI592" s="243"/>
      <c r="AJ592" s="243"/>
      <c r="AK592" s="243"/>
      <c r="AL592" s="243"/>
      <c r="AM592" s="243"/>
      <c r="AN592" s="243"/>
      <c r="AO592" s="243"/>
      <c r="AP592" s="243"/>
      <c r="AQ592" s="243"/>
      <c r="AR592" s="243"/>
      <c r="AS592" s="243"/>
      <c r="AT592" s="243"/>
      <c r="AU592" s="243"/>
      <c r="AV592" s="243"/>
      <c r="AW592" s="243"/>
      <c r="AX592" s="243"/>
      <c r="AY592" s="243"/>
      <c r="AZ592" s="243"/>
      <c r="BA592" s="243"/>
      <c r="BB592" s="243"/>
      <c r="BC592" s="243"/>
      <c r="BD592" s="243"/>
      <c r="BE592" s="243"/>
      <c r="BF592" s="243"/>
      <c r="BG592" s="243"/>
      <c r="BH592" s="243"/>
      <c r="BI592" s="243"/>
      <c r="BJ592" s="243"/>
      <c r="BK592" s="243"/>
      <c r="BL592" s="243"/>
      <c r="BM592" s="243"/>
      <c r="BN592" s="243"/>
      <c r="BO592" s="243"/>
      <c r="BP592" s="243"/>
      <c r="BQ592" s="243"/>
      <c r="BR592" s="243"/>
      <c r="BS592" s="243"/>
    </row>
    <row r="593" spans="1:71" s="12" customFormat="1" ht="41.25" customHeight="1">
      <c r="A593" s="178" t="s">
        <v>80</v>
      </c>
      <c r="B593" s="178" t="str">
        <f ca="1">+UPPER(Tabla1321124[[#This Row],[DESCRIPCIÓN DE LA COMPRA O CONTRATACIÓN]])</f>
        <v>NIPLE PLATILLADOS DE Ø3HN</v>
      </c>
      <c r="C593" s="39" t="s">
        <v>17</v>
      </c>
      <c r="D593" s="236">
        <v>5</v>
      </c>
      <c r="E593" s="236">
        <v>5</v>
      </c>
      <c r="F593" s="236">
        <v>5</v>
      </c>
      <c r="G593" s="236">
        <v>5</v>
      </c>
      <c r="H593" s="240">
        <f>SUM(Tabla1321124[[#This Row],[PRIMER TRIMESTRE]:[CUARTO TRIMESTRE]])</f>
        <v>20</v>
      </c>
      <c r="I593" s="17">
        <v>2184.9499999999998</v>
      </c>
      <c r="J593" s="17">
        <f>+Tabla1321124[[#This Row],[CANTIDAD TOTAL]]*Tabla1321124[[#This Row],[PRECIO UNITARIO ESTIMADO]]</f>
        <v>43699</v>
      </c>
      <c r="K593" s="17"/>
      <c r="L593" s="16" t="s">
        <v>18</v>
      </c>
      <c r="M593" s="16" t="s">
        <v>22</v>
      </c>
      <c r="N593" s="16" t="s">
        <v>418</v>
      </c>
      <c r="O593" s="243"/>
      <c r="P593" s="243"/>
      <c r="Q593" s="243"/>
      <c r="R593" s="243"/>
      <c r="S593" s="243"/>
      <c r="T593" s="243"/>
      <c r="U593" s="243"/>
      <c r="V593" s="243"/>
      <c r="W593" s="243"/>
      <c r="X593" s="243"/>
      <c r="Y593" s="243"/>
      <c r="Z593" s="243"/>
      <c r="AA593" s="243"/>
      <c r="AB593" s="243"/>
      <c r="AC593" s="243"/>
      <c r="AD593" s="243"/>
      <c r="AE593" s="243"/>
      <c r="AF593" s="243"/>
      <c r="AG593" s="243"/>
      <c r="AH593" s="243"/>
      <c r="AI593" s="243"/>
      <c r="AJ593" s="243"/>
      <c r="AK593" s="243"/>
      <c r="AL593" s="243"/>
      <c r="AM593" s="243"/>
      <c r="AN593" s="243"/>
      <c r="AO593" s="243"/>
      <c r="AP593" s="243"/>
      <c r="AQ593" s="243"/>
      <c r="AR593" s="243"/>
      <c r="AS593" s="243"/>
      <c r="AT593" s="243"/>
      <c r="AU593" s="243"/>
      <c r="AV593" s="243"/>
      <c r="AW593" s="243"/>
      <c r="AX593" s="243"/>
      <c r="AY593" s="243"/>
      <c r="AZ593" s="243"/>
      <c r="BA593" s="243"/>
      <c r="BB593" s="243"/>
      <c r="BC593" s="243"/>
      <c r="BD593" s="243"/>
      <c r="BE593" s="243"/>
      <c r="BF593" s="243"/>
      <c r="BG593" s="243"/>
      <c r="BH593" s="243"/>
      <c r="BI593" s="243"/>
      <c r="BJ593" s="243"/>
      <c r="BK593" s="243"/>
      <c r="BL593" s="243"/>
      <c r="BM593" s="243"/>
      <c r="BN593" s="243"/>
      <c r="BO593" s="243"/>
      <c r="BP593" s="243"/>
      <c r="BQ593" s="243"/>
      <c r="BR593" s="243"/>
      <c r="BS593" s="243"/>
    </row>
    <row r="594" spans="1:71" s="12" customFormat="1" ht="41.25" customHeight="1">
      <c r="A594" s="178" t="s">
        <v>80</v>
      </c>
      <c r="B594" s="178" t="str">
        <f ca="1">+UPPER(Tabla1321124[[#This Row],[DESCRIPCIÓN DE LA COMPRA O CONTRATACIÓN]])</f>
        <v>NIPLE ROSCADOS Ø4X12</v>
      </c>
      <c r="C594" s="39" t="s">
        <v>17</v>
      </c>
      <c r="D594" s="236">
        <v>2</v>
      </c>
      <c r="E594" s="236"/>
      <c r="F594" s="236"/>
      <c r="G594" s="236">
        <v>2</v>
      </c>
      <c r="H594" s="240">
        <f>SUM(Tabla1321124[[#This Row],[PRIMER TRIMESTRE]:[CUARTO TRIMESTRE]])</f>
        <v>4</v>
      </c>
      <c r="I594" s="17">
        <v>2891.99</v>
      </c>
      <c r="J594" s="17">
        <f>+Tabla1321124[[#This Row],[CANTIDAD TOTAL]]*Tabla1321124[[#This Row],[PRECIO UNITARIO ESTIMADO]]</f>
        <v>11567.96</v>
      </c>
      <c r="K594" s="17"/>
      <c r="L594" s="16" t="s">
        <v>18</v>
      </c>
      <c r="M594" s="16" t="s">
        <v>22</v>
      </c>
      <c r="N594" s="16" t="s">
        <v>418</v>
      </c>
      <c r="O594" s="243"/>
      <c r="P594" s="243"/>
      <c r="Q594" s="243"/>
      <c r="R594" s="243"/>
      <c r="S594" s="243"/>
      <c r="T594" s="243"/>
      <c r="U594" s="243"/>
      <c r="V594" s="243"/>
      <c r="W594" s="243"/>
      <c r="X594" s="243"/>
      <c r="Y594" s="243"/>
      <c r="Z594" s="243"/>
      <c r="AA594" s="243"/>
      <c r="AB594" s="243"/>
      <c r="AC594" s="243"/>
      <c r="AD594" s="243"/>
      <c r="AE594" s="243"/>
      <c r="AF594" s="243"/>
      <c r="AG594" s="243"/>
      <c r="AH594" s="243"/>
      <c r="AI594" s="243"/>
      <c r="AJ594" s="243"/>
      <c r="AK594" s="243"/>
      <c r="AL594" s="243"/>
      <c r="AM594" s="243"/>
      <c r="AN594" s="243"/>
      <c r="AO594" s="243"/>
      <c r="AP594" s="243"/>
      <c r="AQ594" s="243"/>
      <c r="AR594" s="243"/>
      <c r="AS594" s="243"/>
      <c r="AT594" s="243"/>
      <c r="AU594" s="243"/>
      <c r="AV594" s="243"/>
      <c r="AW594" s="243"/>
      <c r="AX594" s="243"/>
      <c r="AY594" s="243"/>
      <c r="AZ594" s="243"/>
      <c r="BA594" s="243"/>
      <c r="BB594" s="243"/>
      <c r="BC594" s="243"/>
      <c r="BD594" s="243"/>
      <c r="BE594" s="243"/>
      <c r="BF594" s="243"/>
      <c r="BG594" s="243"/>
      <c r="BH594" s="243"/>
      <c r="BI594" s="243"/>
      <c r="BJ594" s="243"/>
      <c r="BK594" s="243"/>
      <c r="BL594" s="243"/>
      <c r="BM594" s="243"/>
      <c r="BN594" s="243"/>
      <c r="BO594" s="243"/>
      <c r="BP594" s="243"/>
      <c r="BQ594" s="243"/>
      <c r="BR594" s="243"/>
      <c r="BS594" s="243"/>
    </row>
    <row r="595" spans="1:71" s="12" customFormat="1" ht="41.25" customHeight="1">
      <c r="A595" s="178" t="s">
        <v>80</v>
      </c>
      <c r="B595" s="178" t="str">
        <f ca="1">+UPPER(Tabla1321124[[#This Row],[DESCRIPCIÓN DE LA COMPRA O CONTRATACIÓN]])</f>
        <v>PICHUETES DE 1 1/2" 400 PSI</v>
      </c>
      <c r="C595" s="39" t="s">
        <v>17</v>
      </c>
      <c r="D595" s="236">
        <f>30+7</f>
        <v>37</v>
      </c>
      <c r="E595" s="236">
        <v>30</v>
      </c>
      <c r="F595" s="236">
        <f>30+4</f>
        <v>34</v>
      </c>
      <c r="G595" s="236">
        <v>30</v>
      </c>
      <c r="H595" s="240">
        <f>SUM(Tabla1321124[[#This Row],[PRIMER TRIMESTRE]:[CUARTO TRIMESTRE]])</f>
        <v>131</v>
      </c>
      <c r="I595" s="17">
        <v>1347.46</v>
      </c>
      <c r="J595" s="17">
        <f>+Tabla1321124[[#This Row],[CANTIDAD TOTAL]]*Tabla1321124[[#This Row],[PRECIO UNITARIO ESTIMADO]]</f>
        <v>176517.26</v>
      </c>
      <c r="K595" s="17"/>
      <c r="L595" s="16" t="s">
        <v>18</v>
      </c>
      <c r="M595" s="16" t="s">
        <v>22</v>
      </c>
      <c r="N595" s="16" t="s">
        <v>418</v>
      </c>
      <c r="O595" s="243"/>
      <c r="P595" s="243"/>
      <c r="Q595" s="243"/>
      <c r="R595" s="243"/>
      <c r="S595" s="243"/>
      <c r="T595" s="243"/>
      <c r="U595" s="243"/>
      <c r="V595" s="243"/>
      <c r="W595" s="243"/>
      <c r="X595" s="243"/>
      <c r="Y595" s="243"/>
      <c r="Z595" s="243"/>
      <c r="AA595" s="243"/>
      <c r="AB595" s="243"/>
      <c r="AC595" s="243"/>
      <c r="AD595" s="243"/>
      <c r="AE595" s="243"/>
      <c r="AF595" s="243"/>
      <c r="AG595" s="243"/>
      <c r="AH595" s="243"/>
      <c r="AI595" s="243"/>
      <c r="AJ595" s="243"/>
      <c r="AK595" s="243"/>
      <c r="AL595" s="243"/>
      <c r="AM595" s="243"/>
      <c r="AN595" s="243"/>
      <c r="AO595" s="243"/>
      <c r="AP595" s="243"/>
      <c r="AQ595" s="243"/>
      <c r="AR595" s="243"/>
      <c r="AS595" s="243"/>
      <c r="AT595" s="243"/>
      <c r="AU595" s="243"/>
      <c r="AV595" s="243"/>
      <c r="AW595" s="243"/>
      <c r="AX595" s="243"/>
      <c r="AY595" s="243"/>
      <c r="AZ595" s="243"/>
      <c r="BA595" s="243"/>
      <c r="BB595" s="243"/>
      <c r="BC595" s="243"/>
      <c r="BD595" s="243"/>
      <c r="BE595" s="243"/>
      <c r="BF595" s="243"/>
      <c r="BG595" s="243"/>
      <c r="BH595" s="243"/>
      <c r="BI595" s="243"/>
      <c r="BJ595" s="243"/>
      <c r="BK595" s="243"/>
      <c r="BL595" s="243"/>
      <c r="BM595" s="243"/>
      <c r="BN595" s="243"/>
      <c r="BO595" s="243"/>
      <c r="BP595" s="243"/>
      <c r="BQ595" s="243"/>
      <c r="BR595" s="243"/>
      <c r="BS595" s="243"/>
    </row>
    <row r="596" spans="1:71" s="12" customFormat="1" ht="41.25" customHeight="1">
      <c r="A596" s="178" t="s">
        <v>80</v>
      </c>
      <c r="B596" s="178" t="str">
        <f ca="1">+UPPER(Tabla1321124[[#This Row],[DESCRIPCIÓN DE LA COMPRA O CONTRATACIÓN]])</f>
        <v>PLAYWOOD 4X8X3</v>
      </c>
      <c r="C596" s="39" t="s">
        <v>17</v>
      </c>
      <c r="D596" s="236">
        <f>80+5</f>
        <v>85</v>
      </c>
      <c r="E596" s="236">
        <f>80+5</f>
        <v>85</v>
      </c>
      <c r="F596" s="236">
        <f>80+5</f>
        <v>85</v>
      </c>
      <c r="G596" s="236">
        <f>80+5</f>
        <v>85</v>
      </c>
      <c r="H596" s="240">
        <f>SUM(Tabla1321124[[#This Row],[PRIMER TRIMESTRE]:[CUARTO TRIMESTRE]])</f>
        <v>340</v>
      </c>
      <c r="I596" s="17">
        <v>423.61</v>
      </c>
      <c r="J596" s="17">
        <f>+Tabla1321124[[#This Row],[CANTIDAD TOTAL]]*Tabla1321124[[#This Row],[PRECIO UNITARIO ESTIMADO]]</f>
        <v>144027.4</v>
      </c>
      <c r="K596" s="17"/>
      <c r="L596" s="16" t="s">
        <v>18</v>
      </c>
      <c r="M596" s="16" t="s">
        <v>22</v>
      </c>
      <c r="N596" s="16" t="s">
        <v>418</v>
      </c>
      <c r="O596" s="243"/>
      <c r="P596" s="243"/>
      <c r="Q596" s="243"/>
      <c r="R596" s="243"/>
      <c r="S596" s="243"/>
      <c r="T596" s="243"/>
      <c r="U596" s="243"/>
      <c r="V596" s="243"/>
      <c r="W596" s="243"/>
      <c r="X596" s="243"/>
      <c r="Y596" s="243"/>
      <c r="Z596" s="243"/>
      <c r="AA596" s="243"/>
      <c r="AB596" s="243"/>
      <c r="AC596" s="243"/>
      <c r="AD596" s="243"/>
      <c r="AE596" s="243"/>
      <c r="AF596" s="243"/>
      <c r="AG596" s="243"/>
      <c r="AH596" s="243"/>
      <c r="AI596" s="243"/>
      <c r="AJ596" s="243"/>
      <c r="AK596" s="243"/>
      <c r="AL596" s="243"/>
      <c r="AM596" s="243"/>
      <c r="AN596" s="243"/>
      <c r="AO596" s="243"/>
      <c r="AP596" s="243"/>
      <c r="AQ596" s="243"/>
      <c r="AR596" s="243"/>
      <c r="AS596" s="243"/>
      <c r="AT596" s="243"/>
      <c r="AU596" s="243"/>
      <c r="AV596" s="243"/>
      <c r="AW596" s="243"/>
      <c r="AX596" s="243"/>
      <c r="AY596" s="243"/>
      <c r="AZ596" s="243"/>
      <c r="BA596" s="243"/>
      <c r="BB596" s="243"/>
      <c r="BC596" s="243"/>
      <c r="BD596" s="243"/>
      <c r="BE596" s="243"/>
      <c r="BF596" s="243"/>
      <c r="BG596" s="243"/>
      <c r="BH596" s="243"/>
      <c r="BI596" s="243"/>
      <c r="BJ596" s="243"/>
      <c r="BK596" s="243"/>
      <c r="BL596" s="243"/>
      <c r="BM596" s="243"/>
      <c r="BN596" s="243"/>
      <c r="BO596" s="243"/>
      <c r="BP596" s="243"/>
      <c r="BQ596" s="243"/>
      <c r="BR596" s="243"/>
      <c r="BS596" s="243"/>
    </row>
    <row r="597" spans="1:71" s="12" customFormat="1" ht="41.25" customHeight="1">
      <c r="A597" s="178" t="s">
        <v>80</v>
      </c>
      <c r="B597" s="178" t="str">
        <f ca="1">+UPPER(Tabla1321124[[#This Row],[DESCRIPCIÓN DE LA COMPRA O CONTRATACIÓN]])</f>
        <v>PLANCHA DE CHAPILLA EN CAOBA</v>
      </c>
      <c r="C597" s="39" t="s">
        <v>17</v>
      </c>
      <c r="D597" s="236">
        <v>40</v>
      </c>
      <c r="E597" s="236">
        <v>40</v>
      </c>
      <c r="F597" s="236">
        <v>40</v>
      </c>
      <c r="G597" s="236">
        <v>40</v>
      </c>
      <c r="H597" s="240">
        <f>SUM(Tabla1321124[[#This Row],[PRIMER TRIMESTRE]:[CUARTO TRIMESTRE]])</f>
        <v>160</v>
      </c>
      <c r="I597" s="17">
        <v>705.29</v>
      </c>
      <c r="J597" s="17">
        <f>+Tabla1321124[[#This Row],[CANTIDAD TOTAL]]*Tabla1321124[[#This Row],[PRECIO UNITARIO ESTIMADO]]</f>
        <v>112846.39999999999</v>
      </c>
      <c r="K597" s="17"/>
      <c r="L597" s="16" t="s">
        <v>18</v>
      </c>
      <c r="M597" s="16" t="s">
        <v>22</v>
      </c>
      <c r="N597" s="16" t="s">
        <v>418</v>
      </c>
      <c r="O597" s="243"/>
      <c r="P597" s="243"/>
      <c r="Q597" s="243"/>
      <c r="R597" s="243"/>
      <c r="S597" s="243"/>
      <c r="T597" s="243"/>
      <c r="U597" s="243"/>
      <c r="V597" s="243"/>
      <c r="W597" s="243"/>
      <c r="X597" s="243"/>
      <c r="Y597" s="243"/>
      <c r="Z597" s="243"/>
      <c r="AA597" s="243"/>
      <c r="AB597" s="243"/>
      <c r="AC597" s="243"/>
      <c r="AD597" s="243"/>
      <c r="AE597" s="243"/>
      <c r="AF597" s="243"/>
      <c r="AG597" s="243"/>
      <c r="AH597" s="243"/>
      <c r="AI597" s="243"/>
      <c r="AJ597" s="243"/>
      <c r="AK597" s="243"/>
      <c r="AL597" s="243"/>
      <c r="AM597" s="243"/>
      <c r="AN597" s="243"/>
      <c r="AO597" s="243"/>
      <c r="AP597" s="243"/>
      <c r="AQ597" s="243"/>
      <c r="AR597" s="243"/>
      <c r="AS597" s="243"/>
      <c r="AT597" s="243"/>
      <c r="AU597" s="243"/>
      <c r="AV597" s="243"/>
      <c r="AW597" s="243"/>
      <c r="AX597" s="243"/>
      <c r="AY597" s="243"/>
      <c r="AZ597" s="243"/>
      <c r="BA597" s="243"/>
      <c r="BB597" s="243"/>
      <c r="BC597" s="243"/>
      <c r="BD597" s="243"/>
      <c r="BE597" s="243"/>
      <c r="BF597" s="243"/>
      <c r="BG597" s="243"/>
      <c r="BH597" s="243"/>
      <c r="BI597" s="243"/>
      <c r="BJ597" s="243"/>
      <c r="BK597" s="243"/>
      <c r="BL597" s="243"/>
      <c r="BM597" s="243"/>
      <c r="BN597" s="243"/>
      <c r="BO597" s="243"/>
      <c r="BP597" s="243"/>
      <c r="BQ597" s="243"/>
      <c r="BR597" s="243"/>
      <c r="BS597" s="243"/>
    </row>
    <row r="598" spans="1:71" s="12" customFormat="1" ht="41.25" customHeight="1">
      <c r="A598" s="178" t="s">
        <v>80</v>
      </c>
      <c r="B598" s="178" t="str">
        <f ca="1">+UPPER(Tabla1321124[[#This Row],[DESCRIPCIÓN DE LA COMPRA O CONTRATACIÓN]])</f>
        <v>RIEL UNITRUS DE 1/2'' X 10''</v>
      </c>
      <c r="C598" s="39" t="s">
        <v>17</v>
      </c>
      <c r="D598" s="236"/>
      <c r="E598" s="236"/>
      <c r="F598" s="236"/>
      <c r="G598" s="236"/>
      <c r="H598" s="240">
        <f>SUM(Tabla1321124[[#This Row],[PRIMER TRIMESTRE]:[CUARTO TRIMESTRE]])</f>
        <v>0</v>
      </c>
      <c r="I598" s="17">
        <v>0</v>
      </c>
      <c r="J598" s="17">
        <f>+Tabla1321124[[#This Row],[CANTIDAD TOTAL]]*Tabla1321124[[#This Row],[PRECIO UNITARIO ESTIMADO]]</f>
        <v>0</v>
      </c>
      <c r="K598" s="302"/>
      <c r="L598" s="16" t="s">
        <v>18</v>
      </c>
      <c r="M598" s="16" t="s">
        <v>22</v>
      </c>
      <c r="N598" s="16" t="s">
        <v>418</v>
      </c>
      <c r="O598" s="243"/>
      <c r="P598" s="243"/>
      <c r="Q598" s="243"/>
      <c r="R598" s="243"/>
      <c r="S598" s="243"/>
      <c r="T598" s="243"/>
      <c r="U598" s="243"/>
      <c r="V598" s="243"/>
      <c r="W598" s="243"/>
      <c r="X598" s="243"/>
      <c r="Y598" s="243"/>
      <c r="Z598" s="243"/>
      <c r="AA598" s="243"/>
      <c r="AB598" s="243"/>
      <c r="AC598" s="243"/>
      <c r="AD598" s="243"/>
      <c r="AE598" s="243"/>
      <c r="AF598" s="243"/>
      <c r="AG598" s="243"/>
      <c r="AH598" s="243"/>
      <c r="AI598" s="243"/>
      <c r="AJ598" s="243"/>
      <c r="AK598" s="243"/>
      <c r="AL598" s="243"/>
      <c r="AM598" s="243"/>
      <c r="AN598" s="243"/>
      <c r="AO598" s="243"/>
      <c r="AP598" s="243"/>
      <c r="AQ598" s="243"/>
      <c r="AR598" s="243"/>
      <c r="AS598" s="243"/>
      <c r="AT598" s="243"/>
      <c r="AU598" s="243"/>
      <c r="AV598" s="243"/>
      <c r="AW598" s="243"/>
      <c r="AX598" s="243"/>
      <c r="AY598" s="243"/>
      <c r="AZ598" s="243"/>
      <c r="BA598" s="243"/>
      <c r="BB598" s="243"/>
      <c r="BC598" s="243"/>
      <c r="BD598" s="243"/>
      <c r="BE598" s="243"/>
      <c r="BF598" s="243"/>
      <c r="BG598" s="243"/>
      <c r="BH598" s="243"/>
      <c r="BI598" s="243"/>
      <c r="BJ598" s="243"/>
      <c r="BK598" s="243"/>
      <c r="BL598" s="243"/>
      <c r="BM598" s="243"/>
      <c r="BN598" s="243"/>
      <c r="BO598" s="243"/>
      <c r="BP598" s="243"/>
      <c r="BQ598" s="243"/>
      <c r="BR598" s="243"/>
      <c r="BS598" s="243"/>
    </row>
    <row r="599" spans="1:71" s="12" customFormat="1" ht="41.25" customHeight="1">
      <c r="A599" s="178" t="s">
        <v>80</v>
      </c>
      <c r="B599" s="178" t="str">
        <f ca="1">+UPPER(Tabla1321124[[#This Row],[DESCRIPCIÓN DE LA COMPRA O CONTRATACIÓN]])</f>
        <v>RODAMIENTO NO. 6219ZC3</v>
      </c>
      <c r="C599" s="39" t="s">
        <v>17</v>
      </c>
      <c r="D599" s="236">
        <v>5</v>
      </c>
      <c r="E599" s="236"/>
      <c r="F599" s="236">
        <v>5</v>
      </c>
      <c r="G599" s="236"/>
      <c r="H599" s="240">
        <f>SUM(Tabla1321124[[#This Row],[PRIMER TRIMESTRE]:[CUARTO TRIMESTRE]])</f>
        <v>10</v>
      </c>
      <c r="I599" s="17">
        <v>4776.8500000000004</v>
      </c>
      <c r="J599" s="17">
        <f>+Tabla1321124[[#This Row],[CANTIDAD TOTAL]]*Tabla1321124[[#This Row],[PRECIO UNITARIO ESTIMADO]]</f>
        <v>47768.5</v>
      </c>
      <c r="K599" s="17"/>
      <c r="L599" s="16" t="s">
        <v>18</v>
      </c>
      <c r="M599" s="16" t="s">
        <v>22</v>
      </c>
      <c r="N599" s="16" t="s">
        <v>418</v>
      </c>
      <c r="O599" s="243"/>
      <c r="P599" s="243"/>
      <c r="Q599" s="243"/>
      <c r="R599" s="243"/>
      <c r="S599" s="243"/>
      <c r="T599" s="243"/>
      <c r="U599" s="243"/>
      <c r="V599" s="243"/>
      <c r="W599" s="243"/>
      <c r="X599" s="243"/>
      <c r="Y599" s="243"/>
      <c r="Z599" s="243"/>
      <c r="AA599" s="243"/>
      <c r="AB599" s="243"/>
      <c r="AC599" s="243"/>
      <c r="AD599" s="243"/>
      <c r="AE599" s="243"/>
      <c r="AF599" s="243"/>
      <c r="AG599" s="243"/>
      <c r="AH599" s="243"/>
      <c r="AI599" s="243"/>
      <c r="AJ599" s="243"/>
      <c r="AK599" s="243"/>
      <c r="AL599" s="243"/>
      <c r="AM599" s="243"/>
      <c r="AN599" s="243"/>
      <c r="AO599" s="243"/>
      <c r="AP599" s="243"/>
      <c r="AQ599" s="243"/>
      <c r="AR599" s="243"/>
      <c r="AS599" s="243"/>
      <c r="AT599" s="243"/>
      <c r="AU599" s="243"/>
      <c r="AV599" s="243"/>
      <c r="AW599" s="243"/>
      <c r="AX599" s="243"/>
      <c r="AY599" s="243"/>
      <c r="AZ599" s="243"/>
      <c r="BA599" s="243"/>
      <c r="BB599" s="243"/>
      <c r="BC599" s="243"/>
      <c r="BD599" s="243"/>
      <c r="BE599" s="243"/>
      <c r="BF599" s="243"/>
      <c r="BG599" s="243"/>
      <c r="BH599" s="243"/>
      <c r="BI599" s="243"/>
      <c r="BJ599" s="243"/>
      <c r="BK599" s="243"/>
      <c r="BL599" s="243"/>
      <c r="BM599" s="243"/>
      <c r="BN599" s="243"/>
      <c r="BO599" s="243"/>
      <c r="BP599" s="243"/>
      <c r="BQ599" s="243"/>
      <c r="BR599" s="243"/>
      <c r="BS599" s="243"/>
    </row>
    <row r="600" spans="1:71" s="12" customFormat="1" ht="41.25" customHeight="1">
      <c r="A600" s="178" t="s">
        <v>80</v>
      </c>
      <c r="B600" s="178" t="str">
        <f ca="1">+UPPER(Tabla1321124[[#This Row],[DESCRIPCIÓN DE LA COMPRA O CONTRATACIÓN]])</f>
        <v>RODAMIENTO NO. 7226B</v>
      </c>
      <c r="C600" s="39" t="s">
        <v>17</v>
      </c>
      <c r="D600" s="236"/>
      <c r="E600" s="236"/>
      <c r="F600" s="236"/>
      <c r="G600" s="236"/>
      <c r="H600" s="240">
        <f>SUM(Tabla1321124[[#This Row],[PRIMER TRIMESTRE]:[CUARTO TRIMESTRE]])</f>
        <v>0</v>
      </c>
      <c r="I600" s="17">
        <v>20971.52</v>
      </c>
      <c r="J600" s="17">
        <f>+Tabla1321124[[#This Row],[CANTIDAD TOTAL]]*Tabla1321124[[#This Row],[PRECIO UNITARIO ESTIMADO]]</f>
        <v>0</v>
      </c>
      <c r="K600" s="17"/>
      <c r="L600" s="16" t="s">
        <v>18</v>
      </c>
      <c r="M600" s="16" t="s">
        <v>22</v>
      </c>
      <c r="N600" s="16" t="s">
        <v>418</v>
      </c>
      <c r="O600" s="243"/>
      <c r="P600" s="243"/>
      <c r="Q600" s="243"/>
      <c r="R600" s="243"/>
      <c r="S600" s="243"/>
      <c r="T600" s="243"/>
      <c r="U600" s="243"/>
      <c r="V600" s="243"/>
      <c r="W600" s="243"/>
      <c r="X600" s="243"/>
      <c r="Y600" s="243"/>
      <c r="Z600" s="243"/>
      <c r="AA600" s="243"/>
      <c r="AB600" s="243"/>
      <c r="AC600" s="243"/>
      <c r="AD600" s="243"/>
      <c r="AE600" s="243"/>
      <c r="AF600" s="243"/>
      <c r="AG600" s="243"/>
      <c r="AH600" s="243"/>
      <c r="AI600" s="243"/>
      <c r="AJ600" s="243"/>
      <c r="AK600" s="243"/>
      <c r="AL600" s="243"/>
      <c r="AM600" s="243"/>
      <c r="AN600" s="243"/>
      <c r="AO600" s="243"/>
      <c r="AP600" s="243"/>
      <c r="AQ600" s="243"/>
      <c r="AR600" s="243"/>
      <c r="AS600" s="243"/>
      <c r="AT600" s="243"/>
      <c r="AU600" s="243"/>
      <c r="AV600" s="243"/>
      <c r="AW600" s="243"/>
      <c r="AX600" s="243"/>
      <c r="AY600" s="243"/>
      <c r="AZ600" s="243"/>
      <c r="BA600" s="243"/>
      <c r="BB600" s="243"/>
      <c r="BC600" s="243"/>
      <c r="BD600" s="243"/>
      <c r="BE600" s="243"/>
      <c r="BF600" s="243"/>
      <c r="BG600" s="243"/>
      <c r="BH600" s="243"/>
      <c r="BI600" s="243"/>
      <c r="BJ600" s="243"/>
      <c r="BK600" s="243"/>
      <c r="BL600" s="243"/>
      <c r="BM600" s="243"/>
      <c r="BN600" s="243"/>
      <c r="BO600" s="243"/>
      <c r="BP600" s="243"/>
      <c r="BQ600" s="243"/>
      <c r="BR600" s="243"/>
      <c r="BS600" s="243"/>
    </row>
    <row r="601" spans="1:71" s="12" customFormat="1" ht="41.25" customHeight="1">
      <c r="A601" s="178" t="s">
        <v>80</v>
      </c>
      <c r="B601" s="178" t="str">
        <f ca="1">+UPPER(Tabla1321124[[#This Row],[DESCRIPCIÓN DE LA COMPRA O CONTRATACIÓN]])</f>
        <v>RODAMIENTO NO. 6211ZZ</v>
      </c>
      <c r="C601" s="39" t="s">
        <v>17</v>
      </c>
      <c r="D601" s="365">
        <v>14</v>
      </c>
      <c r="E601" s="365">
        <v>14</v>
      </c>
      <c r="F601" s="365">
        <v>14</v>
      </c>
      <c r="G601" s="365">
        <v>14</v>
      </c>
      <c r="H601" s="240">
        <f>SUM(Tabla1321124[[#This Row],[PRIMER TRIMESTRE]:[CUARTO TRIMESTRE]])</f>
        <v>56</v>
      </c>
      <c r="I601" s="17">
        <v>19800</v>
      </c>
      <c r="J601" s="17">
        <f>+Tabla1321124[[#This Row],[CANTIDAD TOTAL]]*Tabla1321124[[#This Row],[PRECIO UNITARIO ESTIMADO]]</f>
        <v>1108800</v>
      </c>
      <c r="K601" s="175"/>
      <c r="L601" s="16" t="s">
        <v>18</v>
      </c>
      <c r="M601" s="16" t="s">
        <v>22</v>
      </c>
      <c r="N601" s="16"/>
      <c r="O601" s="243"/>
      <c r="P601" s="243"/>
      <c r="Q601" s="243"/>
      <c r="R601" s="243"/>
      <c r="S601" s="243"/>
      <c r="T601" s="243"/>
      <c r="U601" s="243"/>
      <c r="V601" s="243"/>
      <c r="W601" s="243"/>
      <c r="X601" s="243"/>
      <c r="Y601" s="243"/>
      <c r="Z601" s="243"/>
      <c r="AA601" s="243"/>
      <c r="AB601" s="243"/>
      <c r="AC601" s="243"/>
      <c r="AD601" s="243"/>
      <c r="AE601" s="243"/>
      <c r="AF601" s="243"/>
      <c r="AG601" s="243"/>
      <c r="AH601" s="243"/>
      <c r="AI601" s="243"/>
      <c r="AJ601" s="243"/>
      <c r="AK601" s="243"/>
      <c r="AL601" s="243"/>
      <c r="AM601" s="243"/>
      <c r="AN601" s="243"/>
      <c r="AO601" s="243"/>
      <c r="AP601" s="243"/>
      <c r="AQ601" s="243"/>
      <c r="AR601" s="243"/>
      <c r="AS601" s="243"/>
      <c r="AT601" s="243"/>
      <c r="AU601" s="243"/>
      <c r="AV601" s="243"/>
      <c r="AW601" s="243"/>
      <c r="AX601" s="243"/>
      <c r="AY601" s="243"/>
      <c r="AZ601" s="243"/>
      <c r="BA601" s="243"/>
      <c r="BB601" s="243"/>
      <c r="BC601" s="243"/>
      <c r="BD601" s="243"/>
      <c r="BE601" s="243"/>
      <c r="BF601" s="243"/>
      <c r="BG601" s="243"/>
      <c r="BH601" s="243"/>
      <c r="BI601" s="243"/>
      <c r="BJ601" s="243"/>
      <c r="BK601" s="243"/>
      <c r="BL601" s="243"/>
      <c r="BM601" s="243"/>
      <c r="BN601" s="243"/>
      <c r="BO601" s="243"/>
      <c r="BP601" s="243"/>
      <c r="BQ601" s="243"/>
      <c r="BR601" s="243"/>
      <c r="BS601" s="243"/>
    </row>
    <row r="602" spans="1:71" s="12" customFormat="1" ht="41.25" customHeight="1">
      <c r="A602" s="178" t="s">
        <v>80</v>
      </c>
      <c r="B602" s="178" t="str">
        <f ca="1">+UPPER(Tabla1321124[[#This Row],[DESCRIPCIÓN DE LA COMPRA O CONTRATACIÓN]])</f>
        <v>RODAMIENTO NO. 6215ZZ</v>
      </c>
      <c r="C602" s="39" t="s">
        <v>17</v>
      </c>
      <c r="D602" s="365">
        <v>3</v>
      </c>
      <c r="E602" s="365"/>
      <c r="F602" s="365">
        <v>3</v>
      </c>
      <c r="G602" s="365"/>
      <c r="H602" s="240">
        <f>SUM(Tabla1321124[[#This Row],[PRIMER TRIMESTRE]:[CUARTO TRIMESTRE]])</f>
        <v>6</v>
      </c>
      <c r="I602" s="17">
        <v>19800</v>
      </c>
      <c r="J602" s="17">
        <f>+Tabla1321124[[#This Row],[CANTIDAD TOTAL]]*Tabla1321124[[#This Row],[PRECIO UNITARIO ESTIMADO]]</f>
        <v>118800</v>
      </c>
      <c r="K602" s="175"/>
      <c r="L602" s="16" t="s">
        <v>18</v>
      </c>
      <c r="M602" s="16" t="s">
        <v>22</v>
      </c>
      <c r="N602" s="16"/>
      <c r="O602" s="243"/>
      <c r="P602" s="243"/>
      <c r="Q602" s="243"/>
      <c r="R602" s="243"/>
      <c r="S602" s="243"/>
      <c r="T602" s="243"/>
      <c r="U602" s="243"/>
      <c r="V602" s="243"/>
      <c r="W602" s="243"/>
      <c r="X602" s="243"/>
      <c r="Y602" s="243"/>
      <c r="Z602" s="243"/>
      <c r="AA602" s="243"/>
      <c r="AB602" s="243"/>
      <c r="AC602" s="243"/>
      <c r="AD602" s="243"/>
      <c r="AE602" s="243"/>
      <c r="AF602" s="243"/>
      <c r="AG602" s="243"/>
      <c r="AH602" s="243"/>
      <c r="AI602" s="243"/>
      <c r="AJ602" s="243"/>
      <c r="AK602" s="243"/>
      <c r="AL602" s="243"/>
      <c r="AM602" s="243"/>
      <c r="AN602" s="243"/>
      <c r="AO602" s="243"/>
      <c r="AP602" s="243"/>
      <c r="AQ602" s="243"/>
      <c r="AR602" s="243"/>
      <c r="AS602" s="243"/>
      <c r="AT602" s="243"/>
      <c r="AU602" s="243"/>
      <c r="AV602" s="243"/>
      <c r="AW602" s="243"/>
      <c r="AX602" s="243"/>
      <c r="AY602" s="243"/>
      <c r="AZ602" s="243"/>
      <c r="BA602" s="243"/>
      <c r="BB602" s="243"/>
      <c r="BC602" s="243"/>
      <c r="BD602" s="243"/>
      <c r="BE602" s="243"/>
      <c r="BF602" s="243"/>
      <c r="BG602" s="243"/>
      <c r="BH602" s="243"/>
      <c r="BI602" s="243"/>
      <c r="BJ602" s="243"/>
      <c r="BK602" s="243"/>
      <c r="BL602" s="243"/>
      <c r="BM602" s="243"/>
      <c r="BN602" s="243"/>
      <c r="BO602" s="243"/>
      <c r="BP602" s="243"/>
      <c r="BQ602" s="243"/>
      <c r="BR602" s="243"/>
      <c r="BS602" s="243"/>
    </row>
    <row r="603" spans="1:71" s="12" customFormat="1" ht="41.25" customHeight="1">
      <c r="A603" s="178" t="s">
        <v>80</v>
      </c>
      <c r="B603" s="178" t="str">
        <f ca="1">+UPPER(Tabla1321124[[#This Row],[DESCRIPCIÓN DE LA COMPRA O CONTRATACIÓN]])</f>
        <v>RODAMIENTO NO. 6203</v>
      </c>
      <c r="C603" s="39" t="s">
        <v>17</v>
      </c>
      <c r="D603" s="365">
        <v>3</v>
      </c>
      <c r="E603" s="365">
        <v>3</v>
      </c>
      <c r="F603" s="365">
        <v>3</v>
      </c>
      <c r="G603" s="365">
        <v>3</v>
      </c>
      <c r="H603" s="240">
        <f>SUM(Tabla1321124[[#This Row],[PRIMER TRIMESTRE]:[CUARTO TRIMESTRE]])</f>
        <v>12</v>
      </c>
      <c r="I603" s="17">
        <v>21899</v>
      </c>
      <c r="J603" s="17">
        <f>+Tabla1321124[[#This Row],[CANTIDAD TOTAL]]*Tabla1321124[[#This Row],[PRECIO UNITARIO ESTIMADO]]</f>
        <v>262788</v>
      </c>
      <c r="K603" s="175"/>
      <c r="L603" s="16" t="s">
        <v>18</v>
      </c>
      <c r="M603" s="16" t="s">
        <v>22</v>
      </c>
      <c r="N603" s="16"/>
      <c r="O603" s="243"/>
      <c r="P603" s="243"/>
      <c r="Q603" s="243"/>
      <c r="R603" s="243"/>
      <c r="S603" s="243"/>
      <c r="T603" s="243"/>
      <c r="U603" s="243"/>
      <c r="V603" s="243"/>
      <c r="W603" s="243"/>
      <c r="X603" s="243"/>
      <c r="Y603" s="243"/>
      <c r="Z603" s="243"/>
      <c r="AA603" s="243"/>
      <c r="AB603" s="243"/>
      <c r="AC603" s="243"/>
      <c r="AD603" s="243"/>
      <c r="AE603" s="243"/>
      <c r="AF603" s="243"/>
      <c r="AG603" s="243"/>
      <c r="AH603" s="243"/>
      <c r="AI603" s="243"/>
      <c r="AJ603" s="243"/>
      <c r="AK603" s="243"/>
      <c r="AL603" s="243"/>
      <c r="AM603" s="243"/>
      <c r="AN603" s="243"/>
      <c r="AO603" s="243"/>
      <c r="AP603" s="243"/>
      <c r="AQ603" s="243"/>
      <c r="AR603" s="243"/>
      <c r="AS603" s="243"/>
      <c r="AT603" s="243"/>
      <c r="AU603" s="243"/>
      <c r="AV603" s="243"/>
      <c r="AW603" s="243"/>
      <c r="AX603" s="243"/>
      <c r="AY603" s="243"/>
      <c r="AZ603" s="243"/>
      <c r="BA603" s="243"/>
      <c r="BB603" s="243"/>
      <c r="BC603" s="243"/>
      <c r="BD603" s="243"/>
      <c r="BE603" s="243"/>
      <c r="BF603" s="243"/>
      <c r="BG603" s="243"/>
      <c r="BH603" s="243"/>
      <c r="BI603" s="243"/>
      <c r="BJ603" s="243"/>
      <c r="BK603" s="243"/>
      <c r="BL603" s="243"/>
      <c r="BM603" s="243"/>
      <c r="BN603" s="243"/>
      <c r="BO603" s="243"/>
      <c r="BP603" s="243"/>
      <c r="BQ603" s="243"/>
      <c r="BR603" s="243"/>
      <c r="BS603" s="243"/>
    </row>
    <row r="604" spans="1:71" s="12" customFormat="1" ht="41.25" customHeight="1">
      <c r="A604" s="178" t="s">
        <v>80</v>
      </c>
      <c r="B604" s="178" t="str">
        <f ca="1">+UPPER(Tabla1321124[[#This Row],[DESCRIPCIÓN DE LA COMPRA O CONTRATACIÓN]])</f>
        <v>RODAMIENTO NO. 6206</v>
      </c>
      <c r="C604" s="39" t="s">
        <v>17</v>
      </c>
      <c r="D604" s="365">
        <v>3</v>
      </c>
      <c r="E604" s="365"/>
      <c r="F604" s="365">
        <v>3</v>
      </c>
      <c r="G604" s="365"/>
      <c r="H604" s="240">
        <f>SUM(Tabla1321124[[#This Row],[PRIMER TRIMESTRE]:[CUARTO TRIMESTRE]])</f>
        <v>6</v>
      </c>
      <c r="I604" s="17">
        <v>21899</v>
      </c>
      <c r="J604" s="17">
        <f>+Tabla1321124[[#This Row],[CANTIDAD TOTAL]]*Tabla1321124[[#This Row],[PRECIO UNITARIO ESTIMADO]]</f>
        <v>131394</v>
      </c>
      <c r="K604" s="175"/>
      <c r="L604" s="16" t="s">
        <v>18</v>
      </c>
      <c r="M604" s="16" t="s">
        <v>22</v>
      </c>
      <c r="N604" s="16"/>
      <c r="O604" s="243"/>
      <c r="P604" s="243"/>
      <c r="Q604" s="243"/>
      <c r="R604" s="243"/>
      <c r="S604" s="243"/>
      <c r="T604" s="243"/>
      <c r="U604" s="243"/>
      <c r="V604" s="243"/>
      <c r="W604" s="243"/>
      <c r="X604" s="243"/>
      <c r="Y604" s="243"/>
      <c r="Z604" s="243"/>
      <c r="AA604" s="243"/>
      <c r="AB604" s="243"/>
      <c r="AC604" s="243"/>
      <c r="AD604" s="243"/>
      <c r="AE604" s="243"/>
      <c r="AF604" s="243"/>
      <c r="AG604" s="243"/>
      <c r="AH604" s="243"/>
      <c r="AI604" s="243"/>
      <c r="AJ604" s="243"/>
      <c r="AK604" s="243"/>
      <c r="AL604" s="243"/>
      <c r="AM604" s="243"/>
      <c r="AN604" s="243"/>
      <c r="AO604" s="243"/>
      <c r="AP604" s="243"/>
      <c r="AQ604" s="243"/>
      <c r="AR604" s="243"/>
      <c r="AS604" s="243"/>
      <c r="AT604" s="243"/>
      <c r="AU604" s="243"/>
      <c r="AV604" s="243"/>
      <c r="AW604" s="243"/>
      <c r="AX604" s="243"/>
      <c r="AY604" s="243"/>
      <c r="AZ604" s="243"/>
      <c r="BA604" s="243"/>
      <c r="BB604" s="243"/>
      <c r="BC604" s="243"/>
      <c r="BD604" s="243"/>
      <c r="BE604" s="243"/>
      <c r="BF604" s="243"/>
      <c r="BG604" s="243"/>
      <c r="BH604" s="243"/>
      <c r="BI604" s="243"/>
      <c r="BJ604" s="243"/>
      <c r="BK604" s="243"/>
      <c r="BL604" s="243"/>
      <c r="BM604" s="243"/>
      <c r="BN604" s="243"/>
      <c r="BO604" s="243"/>
      <c r="BP604" s="243"/>
      <c r="BQ604" s="243"/>
      <c r="BR604" s="243"/>
      <c r="BS604" s="243"/>
    </row>
    <row r="605" spans="1:71" s="12" customFormat="1" ht="41.25" customHeight="1">
      <c r="A605" s="178" t="s">
        <v>80</v>
      </c>
      <c r="B605" s="178" t="str">
        <f ca="1">+UPPER(Tabla1321124[[#This Row],[DESCRIPCIÓN DE LA COMPRA O CONTRATACIÓN]])</f>
        <v>RODAMIENTO NO. 6310ZZJC3</v>
      </c>
      <c r="C605" s="39" t="s">
        <v>17</v>
      </c>
      <c r="D605" s="365">
        <v>2</v>
      </c>
      <c r="E605" s="365"/>
      <c r="F605" s="365">
        <v>2</v>
      </c>
      <c r="G605" s="365"/>
      <c r="H605" s="240">
        <f>SUM(Tabla1321124[[#This Row],[PRIMER TRIMESTRE]:[CUARTO TRIMESTRE]])</f>
        <v>4</v>
      </c>
      <c r="I605" s="17">
        <v>22580</v>
      </c>
      <c r="J605" s="17">
        <f>+Tabla1321124[[#This Row],[CANTIDAD TOTAL]]*Tabla1321124[[#This Row],[PRECIO UNITARIO ESTIMADO]]</f>
        <v>90320</v>
      </c>
      <c r="K605" s="175"/>
      <c r="L605" s="16" t="s">
        <v>18</v>
      </c>
      <c r="M605" s="16" t="s">
        <v>22</v>
      </c>
      <c r="N605" s="16"/>
      <c r="O605" s="243"/>
      <c r="P605" s="243"/>
      <c r="Q605" s="243"/>
      <c r="R605" s="243"/>
      <c r="S605" s="243"/>
      <c r="T605" s="243"/>
      <c r="U605" s="243"/>
      <c r="V605" s="243"/>
      <c r="W605" s="243"/>
      <c r="X605" s="243"/>
      <c r="Y605" s="243"/>
      <c r="Z605" s="243"/>
      <c r="AA605" s="243"/>
      <c r="AB605" s="243"/>
      <c r="AC605" s="243"/>
      <c r="AD605" s="243"/>
      <c r="AE605" s="243"/>
      <c r="AF605" s="243"/>
      <c r="AG605" s="243"/>
      <c r="AH605" s="243"/>
      <c r="AI605" s="243"/>
      <c r="AJ605" s="243"/>
      <c r="AK605" s="243"/>
      <c r="AL605" s="243"/>
      <c r="AM605" s="243"/>
      <c r="AN605" s="243"/>
      <c r="AO605" s="243"/>
      <c r="AP605" s="243"/>
      <c r="AQ605" s="243"/>
      <c r="AR605" s="243"/>
      <c r="AS605" s="243"/>
      <c r="AT605" s="243"/>
      <c r="AU605" s="243"/>
      <c r="AV605" s="243"/>
      <c r="AW605" s="243"/>
      <c r="AX605" s="243"/>
      <c r="AY605" s="243"/>
      <c r="AZ605" s="243"/>
      <c r="BA605" s="243"/>
      <c r="BB605" s="243"/>
      <c r="BC605" s="243"/>
      <c r="BD605" s="243"/>
      <c r="BE605" s="243"/>
      <c r="BF605" s="243"/>
      <c r="BG605" s="243"/>
      <c r="BH605" s="243"/>
      <c r="BI605" s="243"/>
      <c r="BJ605" s="243"/>
      <c r="BK605" s="243"/>
      <c r="BL605" s="243"/>
      <c r="BM605" s="243"/>
      <c r="BN605" s="243"/>
      <c r="BO605" s="243"/>
      <c r="BP605" s="243"/>
      <c r="BQ605" s="243"/>
      <c r="BR605" s="243"/>
      <c r="BS605" s="243"/>
    </row>
    <row r="606" spans="1:71" s="12" customFormat="1" ht="41.25" customHeight="1">
      <c r="A606" s="178" t="s">
        <v>80</v>
      </c>
      <c r="B606" s="178" t="str">
        <f ca="1">+UPPER(Tabla1321124[[#This Row],[DESCRIPCIÓN DE LA COMPRA O CONTRATACIÓN]])</f>
        <v>RODAMIENTO NO. 6210ZZJC3</v>
      </c>
      <c r="C606" s="39" t="s">
        <v>17</v>
      </c>
      <c r="D606" s="365">
        <v>2</v>
      </c>
      <c r="E606" s="365"/>
      <c r="F606" s="365">
        <v>2</v>
      </c>
      <c r="G606" s="365"/>
      <c r="H606" s="240">
        <f>SUM(Tabla1321124[[#This Row],[PRIMER TRIMESTRE]:[CUARTO TRIMESTRE]])</f>
        <v>4</v>
      </c>
      <c r="I606" s="17">
        <v>22580</v>
      </c>
      <c r="J606" s="17">
        <f>+Tabla1321124[[#This Row],[CANTIDAD TOTAL]]*Tabla1321124[[#This Row],[PRECIO UNITARIO ESTIMADO]]</f>
        <v>90320</v>
      </c>
      <c r="K606" s="175"/>
      <c r="L606" s="16" t="s">
        <v>18</v>
      </c>
      <c r="M606" s="16" t="s">
        <v>22</v>
      </c>
      <c r="N606" s="16"/>
      <c r="O606" s="243"/>
      <c r="P606" s="243"/>
      <c r="Q606" s="243"/>
      <c r="R606" s="243"/>
      <c r="S606" s="243"/>
      <c r="T606" s="243"/>
      <c r="U606" s="243"/>
      <c r="V606" s="243"/>
      <c r="W606" s="243"/>
      <c r="X606" s="243"/>
      <c r="Y606" s="243"/>
      <c r="Z606" s="243"/>
      <c r="AA606" s="243"/>
      <c r="AB606" s="243"/>
      <c r="AC606" s="243"/>
      <c r="AD606" s="243"/>
      <c r="AE606" s="243"/>
      <c r="AF606" s="243"/>
      <c r="AG606" s="243"/>
      <c r="AH606" s="243"/>
      <c r="AI606" s="243"/>
      <c r="AJ606" s="243"/>
      <c r="AK606" s="243"/>
      <c r="AL606" s="243"/>
      <c r="AM606" s="243"/>
      <c r="AN606" s="243"/>
      <c r="AO606" s="243"/>
      <c r="AP606" s="243"/>
      <c r="AQ606" s="243"/>
      <c r="AR606" s="243"/>
      <c r="AS606" s="243"/>
      <c r="AT606" s="243"/>
      <c r="AU606" s="243"/>
      <c r="AV606" s="243"/>
      <c r="AW606" s="243"/>
      <c r="AX606" s="243"/>
      <c r="AY606" s="243"/>
      <c r="AZ606" s="243"/>
      <c r="BA606" s="243"/>
      <c r="BB606" s="243"/>
      <c r="BC606" s="243"/>
      <c r="BD606" s="243"/>
      <c r="BE606" s="243"/>
      <c r="BF606" s="243"/>
      <c r="BG606" s="243"/>
      <c r="BH606" s="243"/>
      <c r="BI606" s="243"/>
      <c r="BJ606" s="243"/>
      <c r="BK606" s="243"/>
      <c r="BL606" s="243"/>
      <c r="BM606" s="243"/>
      <c r="BN606" s="243"/>
      <c r="BO606" s="243"/>
      <c r="BP606" s="243"/>
      <c r="BQ606" s="243"/>
      <c r="BR606" s="243"/>
      <c r="BS606" s="243"/>
    </row>
    <row r="607" spans="1:71" s="12" customFormat="1" ht="41.25" customHeight="1">
      <c r="A607" s="178" t="s">
        <v>80</v>
      </c>
      <c r="B607" s="178" t="str">
        <f ca="1">+UPPER(Tabla1321124[[#This Row],[DESCRIPCIÓN DE LA COMPRA O CONTRATACIÓN]])</f>
        <v>RODAMIENTO NO. 6307</v>
      </c>
      <c r="C607" s="39" t="s">
        <v>17</v>
      </c>
      <c r="D607" s="365">
        <v>1</v>
      </c>
      <c r="E607" s="365">
        <v>1</v>
      </c>
      <c r="F607" s="365">
        <v>1</v>
      </c>
      <c r="G607" s="365">
        <v>1</v>
      </c>
      <c r="H607" s="240">
        <f>SUM(Tabla1321124[[#This Row],[PRIMER TRIMESTRE]:[CUARTO TRIMESTRE]])</f>
        <v>4</v>
      </c>
      <c r="I607" s="17">
        <v>19870</v>
      </c>
      <c r="J607" s="17">
        <f>+Tabla1321124[[#This Row],[CANTIDAD TOTAL]]*Tabla1321124[[#This Row],[PRECIO UNITARIO ESTIMADO]]</f>
        <v>79480</v>
      </c>
      <c r="K607" s="175"/>
      <c r="L607" s="16" t="s">
        <v>18</v>
      </c>
      <c r="M607" s="16" t="s">
        <v>22</v>
      </c>
      <c r="N607" s="16"/>
      <c r="O607" s="243"/>
      <c r="P607" s="243"/>
      <c r="Q607" s="243"/>
      <c r="R607" s="243"/>
      <c r="S607" s="243"/>
      <c r="T607" s="243"/>
      <c r="U607" s="243"/>
      <c r="V607" s="243"/>
      <c r="W607" s="243"/>
      <c r="X607" s="243"/>
      <c r="Y607" s="243"/>
      <c r="Z607" s="243"/>
      <c r="AA607" s="243"/>
      <c r="AB607" s="243"/>
      <c r="AC607" s="243"/>
      <c r="AD607" s="243"/>
      <c r="AE607" s="243"/>
      <c r="AF607" s="243"/>
      <c r="AG607" s="243"/>
      <c r="AH607" s="243"/>
      <c r="AI607" s="243"/>
      <c r="AJ607" s="243"/>
      <c r="AK607" s="243"/>
      <c r="AL607" s="243"/>
      <c r="AM607" s="243"/>
      <c r="AN607" s="243"/>
      <c r="AO607" s="243"/>
      <c r="AP607" s="243"/>
      <c r="AQ607" s="243"/>
      <c r="AR607" s="243"/>
      <c r="AS607" s="243"/>
      <c r="AT607" s="243"/>
      <c r="AU607" s="243"/>
      <c r="AV607" s="243"/>
      <c r="AW607" s="243"/>
      <c r="AX607" s="243"/>
      <c r="AY607" s="243"/>
      <c r="AZ607" s="243"/>
      <c r="BA607" s="243"/>
      <c r="BB607" s="243"/>
      <c r="BC607" s="243"/>
      <c r="BD607" s="243"/>
      <c r="BE607" s="243"/>
      <c r="BF607" s="243"/>
      <c r="BG607" s="243"/>
      <c r="BH607" s="243"/>
      <c r="BI607" s="243"/>
      <c r="BJ607" s="243"/>
      <c r="BK607" s="243"/>
      <c r="BL607" s="243"/>
      <c r="BM607" s="243"/>
      <c r="BN607" s="243"/>
      <c r="BO607" s="243"/>
      <c r="BP607" s="243"/>
      <c r="BQ607" s="243"/>
      <c r="BR607" s="243"/>
      <c r="BS607" s="243"/>
    </row>
    <row r="608" spans="1:71" s="12" customFormat="1" ht="41.25" customHeight="1">
      <c r="A608" s="178" t="s">
        <v>80</v>
      </c>
      <c r="B608" s="178" t="str">
        <f ca="1">+UPPER(Tabla1321124[[#This Row],[DESCRIPCIÓN DE LA COMPRA O CONTRATACIÓN]])</f>
        <v>RODAMIENTO NO. 7310B</v>
      </c>
      <c r="C608" s="39" t="s">
        <v>17</v>
      </c>
      <c r="D608" s="365">
        <v>3</v>
      </c>
      <c r="E608" s="365"/>
      <c r="F608" s="365">
        <v>3</v>
      </c>
      <c r="G608" s="365"/>
      <c r="H608" s="240">
        <f>SUM(Tabla1321124[[#This Row],[PRIMER TRIMESTRE]:[CUARTO TRIMESTRE]])</f>
        <v>6</v>
      </c>
      <c r="I608" s="17">
        <v>21566</v>
      </c>
      <c r="J608" s="17">
        <f>+Tabla1321124[[#This Row],[CANTIDAD TOTAL]]*Tabla1321124[[#This Row],[PRECIO UNITARIO ESTIMADO]]</f>
        <v>129396</v>
      </c>
      <c r="K608" s="175"/>
      <c r="L608" s="16" t="s">
        <v>18</v>
      </c>
      <c r="M608" s="16" t="s">
        <v>22</v>
      </c>
      <c r="N608" s="16"/>
      <c r="O608" s="243"/>
      <c r="P608" s="243"/>
      <c r="Q608" s="243"/>
      <c r="R608" s="243"/>
      <c r="S608" s="243"/>
      <c r="T608" s="243"/>
      <c r="U608" s="243"/>
      <c r="V608" s="243"/>
      <c r="W608" s="243"/>
      <c r="X608" s="243"/>
      <c r="Y608" s="243"/>
      <c r="Z608" s="243"/>
      <c r="AA608" s="243"/>
      <c r="AB608" s="243"/>
      <c r="AC608" s="243"/>
      <c r="AD608" s="243"/>
      <c r="AE608" s="243"/>
      <c r="AF608" s="243"/>
      <c r="AG608" s="243"/>
      <c r="AH608" s="243"/>
      <c r="AI608" s="243"/>
      <c r="AJ608" s="243"/>
      <c r="AK608" s="243"/>
      <c r="AL608" s="243"/>
      <c r="AM608" s="243"/>
      <c r="AN608" s="243"/>
      <c r="AO608" s="243"/>
      <c r="AP608" s="243"/>
      <c r="AQ608" s="243"/>
      <c r="AR608" s="243"/>
      <c r="AS608" s="243"/>
      <c r="AT608" s="243"/>
      <c r="AU608" s="243"/>
      <c r="AV608" s="243"/>
      <c r="AW608" s="243"/>
      <c r="AX608" s="243"/>
      <c r="AY608" s="243"/>
      <c r="AZ608" s="243"/>
      <c r="BA608" s="243"/>
      <c r="BB608" s="243"/>
      <c r="BC608" s="243"/>
      <c r="BD608" s="243"/>
      <c r="BE608" s="243"/>
      <c r="BF608" s="243"/>
      <c r="BG608" s="243"/>
      <c r="BH608" s="243"/>
      <c r="BI608" s="243"/>
      <c r="BJ608" s="243"/>
      <c r="BK608" s="243"/>
      <c r="BL608" s="243"/>
      <c r="BM608" s="243"/>
      <c r="BN608" s="243"/>
      <c r="BO608" s="243"/>
      <c r="BP608" s="243"/>
      <c r="BQ608" s="243"/>
      <c r="BR608" s="243"/>
      <c r="BS608" s="243"/>
    </row>
    <row r="609" spans="1:71" s="12" customFormat="1" ht="41.25" customHeight="1">
      <c r="A609" s="178" t="s">
        <v>80</v>
      </c>
      <c r="B609" s="178" t="str">
        <f ca="1">+UPPER(Tabla1321124[[#This Row],[DESCRIPCIÓN DE LA COMPRA O CONTRATACIÓN]])</f>
        <v>RODAMIENTO NO. 6212ZZ</v>
      </c>
      <c r="C609" s="39" t="s">
        <v>17</v>
      </c>
      <c r="D609" s="365">
        <v>2</v>
      </c>
      <c r="E609" s="365"/>
      <c r="F609" s="365">
        <v>2</v>
      </c>
      <c r="G609" s="365"/>
      <c r="H609" s="240">
        <f>SUM(Tabla1321124[[#This Row],[PRIMER TRIMESTRE]:[CUARTO TRIMESTRE]])</f>
        <v>4</v>
      </c>
      <c r="I609" s="17">
        <v>22780</v>
      </c>
      <c r="J609" s="17">
        <f>+Tabla1321124[[#This Row],[CANTIDAD TOTAL]]*Tabla1321124[[#This Row],[PRECIO UNITARIO ESTIMADO]]</f>
        <v>91120</v>
      </c>
      <c r="K609" s="175"/>
      <c r="L609" s="16" t="s">
        <v>18</v>
      </c>
      <c r="M609" s="16" t="s">
        <v>22</v>
      </c>
      <c r="N609" s="16"/>
      <c r="O609" s="243"/>
      <c r="P609" s="243"/>
      <c r="Q609" s="243"/>
      <c r="R609" s="243"/>
      <c r="S609" s="243"/>
      <c r="T609" s="243"/>
      <c r="U609" s="243"/>
      <c r="V609" s="243"/>
      <c r="W609" s="243"/>
      <c r="X609" s="243"/>
      <c r="Y609" s="243"/>
      <c r="Z609" s="243"/>
      <c r="AA609" s="243"/>
      <c r="AB609" s="243"/>
      <c r="AC609" s="243"/>
      <c r="AD609" s="243"/>
      <c r="AE609" s="243"/>
      <c r="AF609" s="243"/>
      <c r="AG609" s="243"/>
      <c r="AH609" s="243"/>
      <c r="AI609" s="243"/>
      <c r="AJ609" s="243"/>
      <c r="AK609" s="243"/>
      <c r="AL609" s="243"/>
      <c r="AM609" s="243"/>
      <c r="AN609" s="243"/>
      <c r="AO609" s="243"/>
      <c r="AP609" s="243"/>
      <c r="AQ609" s="243"/>
      <c r="AR609" s="243"/>
      <c r="AS609" s="243"/>
      <c r="AT609" s="243"/>
      <c r="AU609" s="243"/>
      <c r="AV609" s="243"/>
      <c r="AW609" s="243"/>
      <c r="AX609" s="243"/>
      <c r="AY609" s="243"/>
      <c r="AZ609" s="243"/>
      <c r="BA609" s="243"/>
      <c r="BB609" s="243"/>
      <c r="BC609" s="243"/>
      <c r="BD609" s="243"/>
      <c r="BE609" s="243"/>
      <c r="BF609" s="243"/>
      <c r="BG609" s="243"/>
      <c r="BH609" s="243"/>
      <c r="BI609" s="243"/>
      <c r="BJ609" s="243"/>
      <c r="BK609" s="243"/>
      <c r="BL609" s="243"/>
      <c r="BM609" s="243"/>
      <c r="BN609" s="243"/>
      <c r="BO609" s="243"/>
      <c r="BP609" s="243"/>
      <c r="BQ609" s="243"/>
      <c r="BR609" s="243"/>
      <c r="BS609" s="243"/>
    </row>
    <row r="610" spans="1:71" s="12" customFormat="1" ht="41.25" customHeight="1">
      <c r="A610" s="178" t="s">
        <v>80</v>
      </c>
      <c r="B610" s="178" t="str">
        <f ca="1">+UPPER(Tabla1321124[[#This Row],[DESCRIPCIÓN DE LA COMPRA O CONTRATACIÓN]])</f>
        <v>RODAMIENTO NO. 7314B</v>
      </c>
      <c r="C610" s="39" t="s">
        <v>17</v>
      </c>
      <c r="D610" s="365">
        <v>3</v>
      </c>
      <c r="E610" s="365"/>
      <c r="F610" s="365">
        <v>3</v>
      </c>
      <c r="G610" s="365"/>
      <c r="H610" s="240">
        <f>SUM(Tabla1321124[[#This Row],[PRIMER TRIMESTRE]:[CUARTO TRIMESTRE]])</f>
        <v>6</v>
      </c>
      <c r="I610" s="17">
        <v>17800</v>
      </c>
      <c r="J610" s="17">
        <f>+Tabla1321124[[#This Row],[CANTIDAD TOTAL]]*Tabla1321124[[#This Row],[PRECIO UNITARIO ESTIMADO]]</f>
        <v>106800</v>
      </c>
      <c r="K610" s="175"/>
      <c r="L610" s="16" t="s">
        <v>18</v>
      </c>
      <c r="M610" s="16" t="s">
        <v>22</v>
      </c>
      <c r="N610" s="16"/>
      <c r="O610" s="243"/>
      <c r="P610" s="243"/>
      <c r="Q610" s="243"/>
      <c r="R610" s="243"/>
      <c r="S610" s="243"/>
      <c r="T610" s="243"/>
      <c r="U610" s="243"/>
      <c r="V610" s="243"/>
      <c r="W610" s="243"/>
      <c r="X610" s="243"/>
      <c r="Y610" s="243"/>
      <c r="Z610" s="243"/>
      <c r="AA610" s="243"/>
      <c r="AB610" s="243"/>
      <c r="AC610" s="243"/>
      <c r="AD610" s="243"/>
      <c r="AE610" s="243"/>
      <c r="AF610" s="243"/>
      <c r="AG610" s="243"/>
      <c r="AH610" s="243"/>
      <c r="AI610" s="243"/>
      <c r="AJ610" s="243"/>
      <c r="AK610" s="243"/>
      <c r="AL610" s="243"/>
      <c r="AM610" s="243"/>
      <c r="AN610" s="243"/>
      <c r="AO610" s="243"/>
      <c r="AP610" s="243"/>
      <c r="AQ610" s="243"/>
      <c r="AR610" s="243"/>
      <c r="AS610" s="243"/>
      <c r="AT610" s="243"/>
      <c r="AU610" s="243"/>
      <c r="AV610" s="243"/>
      <c r="AW610" s="243"/>
      <c r="AX610" s="243"/>
      <c r="AY610" s="243"/>
      <c r="AZ610" s="243"/>
      <c r="BA610" s="243"/>
      <c r="BB610" s="243"/>
      <c r="BC610" s="243"/>
      <c r="BD610" s="243"/>
      <c r="BE610" s="243"/>
      <c r="BF610" s="243"/>
      <c r="BG610" s="243"/>
      <c r="BH610" s="243"/>
      <c r="BI610" s="243"/>
      <c r="BJ610" s="243"/>
      <c r="BK610" s="243"/>
      <c r="BL610" s="243"/>
      <c r="BM610" s="243"/>
      <c r="BN610" s="243"/>
      <c r="BO610" s="243"/>
      <c r="BP610" s="243"/>
      <c r="BQ610" s="243"/>
      <c r="BR610" s="243"/>
      <c r="BS610" s="243"/>
    </row>
    <row r="611" spans="1:71" s="12" customFormat="1" ht="41.25" customHeight="1">
      <c r="A611" s="178" t="s">
        <v>80</v>
      </c>
      <c r="B611" s="178" t="str">
        <f ca="1">+UPPER(Tabla1321124[[#This Row],[DESCRIPCIÓN DE LA COMPRA O CONTRATACIÓN]])</f>
        <v>RODAMIENTO NO. 6309</v>
      </c>
      <c r="C611" s="39" t="s">
        <v>17</v>
      </c>
      <c r="D611" s="365">
        <v>3</v>
      </c>
      <c r="E611" s="365"/>
      <c r="F611" s="365">
        <v>3</v>
      </c>
      <c r="G611" s="365"/>
      <c r="H611" s="240">
        <f>SUM(Tabla1321124[[#This Row],[PRIMER TRIMESTRE]:[CUARTO TRIMESTRE]])</f>
        <v>6</v>
      </c>
      <c r="I611" s="17">
        <v>19800</v>
      </c>
      <c r="J611" s="17">
        <f>+Tabla1321124[[#This Row],[CANTIDAD TOTAL]]*Tabla1321124[[#This Row],[PRECIO UNITARIO ESTIMADO]]</f>
        <v>118800</v>
      </c>
      <c r="K611" s="175"/>
      <c r="L611" s="16" t="s">
        <v>18</v>
      </c>
      <c r="M611" s="16" t="s">
        <v>22</v>
      </c>
      <c r="N611" s="16"/>
      <c r="O611" s="243"/>
      <c r="P611" s="243"/>
      <c r="Q611" s="243"/>
      <c r="R611" s="243"/>
      <c r="S611" s="243"/>
      <c r="T611" s="243"/>
      <c r="U611" s="243"/>
      <c r="V611" s="243"/>
      <c r="W611" s="243"/>
      <c r="X611" s="243"/>
      <c r="Y611" s="243"/>
      <c r="Z611" s="243"/>
      <c r="AA611" s="243"/>
      <c r="AB611" s="243"/>
      <c r="AC611" s="243"/>
      <c r="AD611" s="243"/>
      <c r="AE611" s="243"/>
      <c r="AF611" s="243"/>
      <c r="AG611" s="243"/>
      <c r="AH611" s="243"/>
      <c r="AI611" s="243"/>
      <c r="AJ611" s="243"/>
      <c r="AK611" s="243"/>
      <c r="AL611" s="243"/>
      <c r="AM611" s="243"/>
      <c r="AN611" s="243"/>
      <c r="AO611" s="243"/>
      <c r="AP611" s="243"/>
      <c r="AQ611" s="243"/>
      <c r="AR611" s="243"/>
      <c r="AS611" s="243"/>
      <c r="AT611" s="243"/>
      <c r="AU611" s="243"/>
      <c r="AV611" s="243"/>
      <c r="AW611" s="243"/>
      <c r="AX611" s="243"/>
      <c r="AY611" s="243"/>
      <c r="AZ611" s="243"/>
      <c r="BA611" s="243"/>
      <c r="BB611" s="243"/>
      <c r="BC611" s="243"/>
      <c r="BD611" s="243"/>
      <c r="BE611" s="243"/>
      <c r="BF611" s="243"/>
      <c r="BG611" s="243"/>
      <c r="BH611" s="243"/>
      <c r="BI611" s="243"/>
      <c r="BJ611" s="243"/>
      <c r="BK611" s="243"/>
      <c r="BL611" s="243"/>
      <c r="BM611" s="243"/>
      <c r="BN611" s="243"/>
      <c r="BO611" s="243"/>
      <c r="BP611" s="243"/>
      <c r="BQ611" s="243"/>
      <c r="BR611" s="243"/>
      <c r="BS611" s="243"/>
    </row>
    <row r="612" spans="1:71" s="12" customFormat="1" ht="41.25" customHeight="1">
      <c r="A612" s="178" t="s">
        <v>80</v>
      </c>
      <c r="B612" s="178" t="str">
        <f ca="1">+UPPER(Tabla1321124[[#This Row],[DESCRIPCIÓN DE LA COMPRA O CONTRATACIÓN]])</f>
        <v>REDUCCION PVC PRESION DE Ø3/4" A Ø1/2"</v>
      </c>
      <c r="C612" s="39" t="s">
        <v>17</v>
      </c>
      <c r="D612" s="236">
        <v>450</v>
      </c>
      <c r="E612" s="236">
        <v>450</v>
      </c>
      <c r="F612" s="236">
        <v>50</v>
      </c>
      <c r="G612" s="236">
        <v>50</v>
      </c>
      <c r="H612" s="240">
        <f>SUM(Tabla1321124[[#This Row],[PRIMER TRIMESTRE]:[CUARTO TRIMESTRE]])</f>
        <v>1000</v>
      </c>
      <c r="I612" s="17">
        <v>4.55</v>
      </c>
      <c r="J612" s="17">
        <f>+Tabla1321124[[#This Row],[CANTIDAD TOTAL]]*Tabla1321124[[#This Row],[PRECIO UNITARIO ESTIMADO]]</f>
        <v>4550</v>
      </c>
      <c r="K612" s="17"/>
      <c r="L612" s="16" t="s">
        <v>18</v>
      </c>
      <c r="M612" s="16" t="s">
        <v>22</v>
      </c>
      <c r="N612" s="16" t="s">
        <v>418</v>
      </c>
      <c r="O612" s="243"/>
      <c r="P612" s="243"/>
      <c r="Q612" s="243"/>
      <c r="R612" s="243"/>
      <c r="S612" s="243"/>
      <c r="T612" s="243"/>
      <c r="U612" s="243"/>
      <c r="V612" s="243"/>
      <c r="W612" s="243"/>
      <c r="X612" s="243"/>
      <c r="Y612" s="243"/>
      <c r="Z612" s="243"/>
      <c r="AA612" s="243"/>
      <c r="AB612" s="243"/>
      <c r="AC612" s="243"/>
      <c r="AD612" s="243"/>
      <c r="AE612" s="243"/>
      <c r="AF612" s="243"/>
      <c r="AG612" s="243"/>
      <c r="AH612" s="243"/>
      <c r="AI612" s="243"/>
      <c r="AJ612" s="243"/>
      <c r="AK612" s="243"/>
      <c r="AL612" s="243"/>
      <c r="AM612" s="243"/>
      <c r="AN612" s="243"/>
      <c r="AO612" s="243"/>
      <c r="AP612" s="243"/>
      <c r="AQ612" s="243"/>
      <c r="AR612" s="243"/>
      <c r="AS612" s="243"/>
      <c r="AT612" s="243"/>
      <c r="AU612" s="243"/>
      <c r="AV612" s="243"/>
      <c r="AW612" s="243"/>
      <c r="AX612" s="243"/>
      <c r="AY612" s="243"/>
      <c r="AZ612" s="243"/>
      <c r="BA612" s="243"/>
      <c r="BB612" s="243"/>
      <c r="BC612" s="243"/>
      <c r="BD612" s="243"/>
      <c r="BE612" s="243"/>
      <c r="BF612" s="243"/>
      <c r="BG612" s="243"/>
      <c r="BH612" s="243"/>
      <c r="BI612" s="243"/>
      <c r="BJ612" s="243"/>
      <c r="BK612" s="243"/>
      <c r="BL612" s="243"/>
      <c r="BM612" s="243"/>
      <c r="BN612" s="243"/>
      <c r="BO612" s="243"/>
      <c r="BP612" s="243"/>
      <c r="BQ612" s="243"/>
      <c r="BR612" s="243"/>
      <c r="BS612" s="243"/>
    </row>
    <row r="613" spans="1:71" s="12" customFormat="1" ht="41.25" customHeight="1">
      <c r="A613" s="178" t="s">
        <v>80</v>
      </c>
      <c r="B613" s="178" t="str">
        <f ca="1">+UPPER(Tabla1321124[[#This Row],[DESCRIPCIÓN DE LA COMPRA O CONTRATACIÓN]])</f>
        <v>REDUCCION PVC PRESION DE Ø1" A Ø1/2"</v>
      </c>
      <c r="C613" s="39" t="s">
        <v>17</v>
      </c>
      <c r="D613" s="236">
        <v>200</v>
      </c>
      <c r="E613" s="236">
        <v>200</v>
      </c>
      <c r="F613" s="236">
        <v>200</v>
      </c>
      <c r="G613" s="236">
        <v>200</v>
      </c>
      <c r="H613" s="240">
        <f>SUM(Tabla1321124[[#This Row],[PRIMER TRIMESTRE]:[CUARTO TRIMESTRE]])</f>
        <v>800</v>
      </c>
      <c r="I613" s="17">
        <v>4.55</v>
      </c>
      <c r="J613" s="17">
        <f>+Tabla1321124[[#This Row],[CANTIDAD TOTAL]]*Tabla1321124[[#This Row],[PRECIO UNITARIO ESTIMADO]]</f>
        <v>3640</v>
      </c>
      <c r="K613" s="17"/>
      <c r="L613" s="16" t="s">
        <v>18</v>
      </c>
      <c r="M613" s="16" t="s">
        <v>22</v>
      </c>
      <c r="N613" s="16" t="s">
        <v>418</v>
      </c>
      <c r="O613" s="243"/>
      <c r="P613" s="243"/>
      <c r="Q613" s="243"/>
      <c r="R613" s="243"/>
      <c r="S613" s="243"/>
      <c r="T613" s="243"/>
      <c r="U613" s="243"/>
      <c r="V613" s="243"/>
      <c r="W613" s="243"/>
      <c r="X613" s="243"/>
      <c r="Y613" s="243"/>
      <c r="Z613" s="243"/>
      <c r="AA613" s="243"/>
      <c r="AB613" s="243"/>
      <c r="AC613" s="243"/>
      <c r="AD613" s="243"/>
      <c r="AE613" s="243"/>
      <c r="AF613" s="243"/>
      <c r="AG613" s="243"/>
      <c r="AH613" s="243"/>
      <c r="AI613" s="243"/>
      <c r="AJ613" s="243"/>
      <c r="AK613" s="243"/>
      <c r="AL613" s="243"/>
      <c r="AM613" s="243"/>
      <c r="AN613" s="243"/>
      <c r="AO613" s="243"/>
      <c r="AP613" s="243"/>
      <c r="AQ613" s="243"/>
      <c r="AR613" s="243"/>
      <c r="AS613" s="243"/>
      <c r="AT613" s="243"/>
      <c r="AU613" s="243"/>
      <c r="AV613" s="243"/>
      <c r="AW613" s="243"/>
      <c r="AX613" s="243"/>
      <c r="AY613" s="243"/>
      <c r="AZ613" s="243"/>
      <c r="BA613" s="243"/>
      <c r="BB613" s="243"/>
      <c r="BC613" s="243"/>
      <c r="BD613" s="243"/>
      <c r="BE613" s="243"/>
      <c r="BF613" s="243"/>
      <c r="BG613" s="243"/>
      <c r="BH613" s="243"/>
      <c r="BI613" s="243"/>
      <c r="BJ613" s="243"/>
      <c r="BK613" s="243"/>
      <c r="BL613" s="243"/>
      <c r="BM613" s="243"/>
      <c r="BN613" s="243"/>
      <c r="BO613" s="243"/>
      <c r="BP613" s="243"/>
      <c r="BQ613" s="243"/>
      <c r="BR613" s="243"/>
      <c r="BS613" s="243"/>
    </row>
    <row r="614" spans="1:71" s="12" customFormat="1" ht="41.25" customHeight="1">
      <c r="A614" s="178" t="s">
        <v>80</v>
      </c>
      <c r="B614" s="178" t="str">
        <f ca="1">+UPPER(Tabla1321124[[#This Row],[DESCRIPCIÓN DE LA COMPRA O CONTRATACIÓN]])</f>
        <v>REDUCCION PVC PRESION DE Ø2" A Ø1/2"</v>
      </c>
      <c r="C614" s="39" t="s">
        <v>17</v>
      </c>
      <c r="D614" s="236">
        <v>200</v>
      </c>
      <c r="E614" s="236">
        <v>200</v>
      </c>
      <c r="F614" s="236">
        <v>200</v>
      </c>
      <c r="G614" s="236">
        <v>200</v>
      </c>
      <c r="H614" s="240">
        <f>SUM(Tabla1321124[[#This Row],[PRIMER TRIMESTRE]:[CUARTO TRIMESTRE]])</f>
        <v>800</v>
      </c>
      <c r="I614" s="17">
        <v>4.55</v>
      </c>
      <c r="J614" s="17">
        <f>+Tabla1321124[[#This Row],[CANTIDAD TOTAL]]*Tabla1321124[[#This Row],[PRECIO UNITARIO ESTIMADO]]</f>
        <v>3640</v>
      </c>
      <c r="K614" s="17"/>
      <c r="L614" s="16" t="s">
        <v>18</v>
      </c>
      <c r="M614" s="16" t="s">
        <v>22</v>
      </c>
      <c r="N614" s="16" t="s">
        <v>418</v>
      </c>
      <c r="O614" s="243"/>
      <c r="P614" s="243"/>
      <c r="Q614" s="243"/>
      <c r="R614" s="243"/>
      <c r="S614" s="243"/>
      <c r="T614" s="243"/>
      <c r="U614" s="243"/>
      <c r="V614" s="243"/>
      <c r="W614" s="243"/>
      <c r="X614" s="243"/>
      <c r="Y614" s="243"/>
      <c r="Z614" s="243"/>
      <c r="AA614" s="243"/>
      <c r="AB614" s="243"/>
      <c r="AC614" s="243"/>
      <c r="AD614" s="243"/>
      <c r="AE614" s="243"/>
      <c r="AF614" s="243"/>
      <c r="AG614" s="243"/>
      <c r="AH614" s="243"/>
      <c r="AI614" s="243"/>
      <c r="AJ614" s="243"/>
      <c r="AK614" s="243"/>
      <c r="AL614" s="243"/>
      <c r="AM614" s="243"/>
      <c r="AN614" s="243"/>
      <c r="AO614" s="243"/>
      <c r="AP614" s="243"/>
      <c r="AQ614" s="243"/>
      <c r="AR614" s="243"/>
      <c r="AS614" s="243"/>
      <c r="AT614" s="243"/>
      <c r="AU614" s="243"/>
      <c r="AV614" s="243"/>
      <c r="AW614" s="243"/>
      <c r="AX614" s="243"/>
      <c r="AY614" s="243"/>
      <c r="AZ614" s="243"/>
      <c r="BA614" s="243"/>
      <c r="BB614" s="243"/>
      <c r="BC614" s="243"/>
      <c r="BD614" s="243"/>
      <c r="BE614" s="243"/>
      <c r="BF614" s="243"/>
      <c r="BG614" s="243"/>
      <c r="BH614" s="243"/>
      <c r="BI614" s="243"/>
      <c r="BJ614" s="243"/>
      <c r="BK614" s="243"/>
      <c r="BL614" s="243"/>
      <c r="BM614" s="243"/>
      <c r="BN614" s="243"/>
      <c r="BO614" s="243"/>
      <c r="BP614" s="243"/>
      <c r="BQ614" s="243"/>
      <c r="BR614" s="243"/>
      <c r="BS614" s="243"/>
    </row>
    <row r="615" spans="1:71" s="12" customFormat="1" ht="41.25" customHeight="1">
      <c r="A615" s="178" t="s">
        <v>80</v>
      </c>
      <c r="B615" s="178" t="str">
        <f ca="1">+UPPER(Tabla1321124[[#This Row],[DESCRIPCIÓN DE LA COMPRA O CONTRATACIÓN]])</f>
        <v>REDUCCION PVC PRESION DE Ø3" A Ø2"</v>
      </c>
      <c r="C615" s="39" t="s">
        <v>17</v>
      </c>
      <c r="D615" s="236">
        <v>200</v>
      </c>
      <c r="E615" s="236">
        <v>200</v>
      </c>
      <c r="F615" s="236">
        <v>200</v>
      </c>
      <c r="G615" s="236">
        <v>200</v>
      </c>
      <c r="H615" s="240">
        <f>SUM(Tabla1321124[[#This Row],[PRIMER TRIMESTRE]:[CUARTO TRIMESTRE]])</f>
        <v>800</v>
      </c>
      <c r="I615" s="17">
        <v>4.55</v>
      </c>
      <c r="J615" s="17">
        <f>+Tabla1321124[[#This Row],[CANTIDAD TOTAL]]*Tabla1321124[[#This Row],[PRECIO UNITARIO ESTIMADO]]</f>
        <v>3640</v>
      </c>
      <c r="K615" s="17"/>
      <c r="L615" s="16" t="s">
        <v>18</v>
      </c>
      <c r="M615" s="16" t="s">
        <v>22</v>
      </c>
      <c r="N615" s="16" t="s">
        <v>418</v>
      </c>
      <c r="O615" s="243"/>
      <c r="P615" s="243"/>
      <c r="Q615" s="243"/>
      <c r="R615" s="243"/>
      <c r="S615" s="243"/>
      <c r="T615" s="243"/>
      <c r="U615" s="243"/>
      <c r="V615" s="243"/>
      <c r="W615" s="243"/>
      <c r="X615" s="243"/>
      <c r="Y615" s="243"/>
      <c r="Z615" s="243"/>
      <c r="AA615" s="243"/>
      <c r="AB615" s="243"/>
      <c r="AC615" s="243"/>
      <c r="AD615" s="243"/>
      <c r="AE615" s="243"/>
      <c r="AF615" s="243"/>
      <c r="AG615" s="243"/>
      <c r="AH615" s="243"/>
      <c r="AI615" s="243"/>
      <c r="AJ615" s="243"/>
      <c r="AK615" s="243"/>
      <c r="AL615" s="243"/>
      <c r="AM615" s="243"/>
      <c r="AN615" s="243"/>
      <c r="AO615" s="243"/>
      <c r="AP615" s="243"/>
      <c r="AQ615" s="243"/>
      <c r="AR615" s="243"/>
      <c r="AS615" s="243"/>
      <c r="AT615" s="243"/>
      <c r="AU615" s="243"/>
      <c r="AV615" s="243"/>
      <c r="AW615" s="243"/>
      <c r="AX615" s="243"/>
      <c r="AY615" s="243"/>
      <c r="AZ615" s="243"/>
      <c r="BA615" s="243"/>
      <c r="BB615" s="243"/>
      <c r="BC615" s="243"/>
      <c r="BD615" s="243"/>
      <c r="BE615" s="243"/>
      <c r="BF615" s="243"/>
      <c r="BG615" s="243"/>
      <c r="BH615" s="243"/>
      <c r="BI615" s="243"/>
      <c r="BJ615" s="243"/>
      <c r="BK615" s="243"/>
      <c r="BL615" s="243"/>
      <c r="BM615" s="243"/>
      <c r="BN615" s="243"/>
      <c r="BO615" s="243"/>
      <c r="BP615" s="243"/>
      <c r="BQ615" s="243"/>
      <c r="BR615" s="243"/>
      <c r="BS615" s="243"/>
    </row>
    <row r="616" spans="1:71" s="12" customFormat="1" ht="41.25" customHeight="1">
      <c r="A616" s="178" t="s">
        <v>80</v>
      </c>
      <c r="B616" s="178" t="str">
        <f ca="1">+UPPER(Tabla1321124[[#This Row],[DESCRIPCIÓN DE LA COMPRA O CONTRATACIÓN]])</f>
        <v>REDUCCION PVC PRESION DE Ø4" A Ø3"</v>
      </c>
      <c r="C616" s="39" t="s">
        <v>17</v>
      </c>
      <c r="D616" s="236">
        <f>5+25</f>
        <v>30</v>
      </c>
      <c r="E616" s="236">
        <f>5+20</f>
        <v>25</v>
      </c>
      <c r="F616" s="236">
        <f>5+25</f>
        <v>30</v>
      </c>
      <c r="G616" s="236">
        <f>5+20</f>
        <v>25</v>
      </c>
      <c r="H616" s="240">
        <f>SUM(Tabla1321124[[#This Row],[PRIMER TRIMESTRE]:[CUARTO TRIMESTRE]])</f>
        <v>110</v>
      </c>
      <c r="I616" s="17">
        <v>4.55</v>
      </c>
      <c r="J616" s="17">
        <f>+Tabla1321124[[#This Row],[CANTIDAD TOTAL]]*Tabla1321124[[#This Row],[PRECIO UNITARIO ESTIMADO]]</f>
        <v>500.5</v>
      </c>
      <c r="K616" s="17"/>
      <c r="L616" s="16" t="s">
        <v>18</v>
      </c>
      <c r="M616" s="16" t="s">
        <v>22</v>
      </c>
      <c r="N616" s="16" t="s">
        <v>418</v>
      </c>
      <c r="O616" s="243"/>
      <c r="P616" s="243"/>
      <c r="Q616" s="243"/>
      <c r="R616" s="243"/>
      <c r="S616" s="243"/>
      <c r="T616" s="243"/>
      <c r="U616" s="243"/>
      <c r="V616" s="243"/>
      <c r="W616" s="243"/>
      <c r="X616" s="243"/>
      <c r="Y616" s="243"/>
      <c r="Z616" s="243"/>
      <c r="AA616" s="243"/>
      <c r="AB616" s="243"/>
      <c r="AC616" s="243"/>
      <c r="AD616" s="243"/>
      <c r="AE616" s="243"/>
      <c r="AF616" s="243"/>
      <c r="AG616" s="243"/>
      <c r="AH616" s="243"/>
      <c r="AI616" s="243"/>
      <c r="AJ616" s="243"/>
      <c r="AK616" s="243"/>
      <c r="AL616" s="243"/>
      <c r="AM616" s="243"/>
      <c r="AN616" s="243"/>
      <c r="AO616" s="243"/>
      <c r="AP616" s="243"/>
      <c r="AQ616" s="243"/>
      <c r="AR616" s="243"/>
      <c r="AS616" s="243"/>
      <c r="AT616" s="243"/>
      <c r="AU616" s="243"/>
      <c r="AV616" s="243"/>
      <c r="AW616" s="243"/>
      <c r="AX616" s="243"/>
      <c r="AY616" s="243"/>
      <c r="AZ616" s="243"/>
      <c r="BA616" s="243"/>
      <c r="BB616" s="243"/>
      <c r="BC616" s="243"/>
      <c r="BD616" s="243"/>
      <c r="BE616" s="243"/>
      <c r="BF616" s="243"/>
      <c r="BG616" s="243"/>
      <c r="BH616" s="243"/>
      <c r="BI616" s="243"/>
      <c r="BJ616" s="243"/>
      <c r="BK616" s="243"/>
      <c r="BL616" s="243"/>
      <c r="BM616" s="243"/>
      <c r="BN616" s="243"/>
      <c r="BO616" s="243"/>
      <c r="BP616" s="243"/>
      <c r="BQ616" s="243"/>
      <c r="BR616" s="243"/>
      <c r="BS616" s="243"/>
    </row>
    <row r="617" spans="1:71" s="12" customFormat="1" ht="41.25" customHeight="1">
      <c r="A617" s="178" t="s">
        <v>80</v>
      </c>
      <c r="B617" s="178" t="str">
        <f ca="1">+UPPER(Tabla1321124[[#This Row],[DESCRIPCIÓN DE LA COMPRA O CONTRATACIÓN]])</f>
        <v>REDUCCION PVC PRESION DE Ø4" A Ø3/4"</v>
      </c>
      <c r="C617" s="39" t="s">
        <v>17</v>
      </c>
      <c r="D617" s="236">
        <f>5+25</f>
        <v>30</v>
      </c>
      <c r="E617" s="236">
        <f>5+20</f>
        <v>25</v>
      </c>
      <c r="F617" s="236">
        <f>5+25</f>
        <v>30</v>
      </c>
      <c r="G617" s="236">
        <f>5+20</f>
        <v>25</v>
      </c>
      <c r="H617" s="240">
        <f>SUM(Tabla1321124[[#This Row],[PRIMER TRIMESTRE]:[CUARTO TRIMESTRE]])</f>
        <v>110</v>
      </c>
      <c r="I617" s="17">
        <v>4.55</v>
      </c>
      <c r="J617" s="17">
        <f>+Tabla1321124[[#This Row],[CANTIDAD TOTAL]]*Tabla1321124[[#This Row],[PRECIO UNITARIO ESTIMADO]]</f>
        <v>500.5</v>
      </c>
      <c r="K617" s="17"/>
      <c r="L617" s="16" t="s">
        <v>18</v>
      </c>
      <c r="M617" s="16" t="s">
        <v>22</v>
      </c>
      <c r="N617" s="16" t="s">
        <v>418</v>
      </c>
      <c r="O617" s="243"/>
      <c r="P617" s="243"/>
      <c r="Q617" s="243"/>
      <c r="R617" s="243"/>
      <c r="S617" s="243"/>
      <c r="T617" s="243"/>
      <c r="U617" s="243"/>
      <c r="V617" s="243"/>
      <c r="W617" s="243"/>
      <c r="X617" s="243"/>
      <c r="Y617" s="243"/>
      <c r="Z617" s="243"/>
      <c r="AA617" s="243"/>
      <c r="AB617" s="243"/>
      <c r="AC617" s="243"/>
      <c r="AD617" s="243"/>
      <c r="AE617" s="243"/>
      <c r="AF617" s="243"/>
      <c r="AG617" s="243"/>
      <c r="AH617" s="243"/>
      <c r="AI617" s="243"/>
      <c r="AJ617" s="243"/>
      <c r="AK617" s="243"/>
      <c r="AL617" s="243"/>
      <c r="AM617" s="243"/>
      <c r="AN617" s="243"/>
      <c r="AO617" s="243"/>
      <c r="AP617" s="243"/>
      <c r="AQ617" s="243"/>
      <c r="AR617" s="243"/>
      <c r="AS617" s="243"/>
      <c r="AT617" s="243"/>
      <c r="AU617" s="243"/>
      <c r="AV617" s="243"/>
      <c r="AW617" s="243"/>
      <c r="AX617" s="243"/>
      <c r="AY617" s="243"/>
      <c r="AZ617" s="243"/>
      <c r="BA617" s="243"/>
      <c r="BB617" s="243"/>
      <c r="BC617" s="243"/>
      <c r="BD617" s="243"/>
      <c r="BE617" s="243"/>
      <c r="BF617" s="243"/>
      <c r="BG617" s="243"/>
      <c r="BH617" s="243"/>
      <c r="BI617" s="243"/>
      <c r="BJ617" s="243"/>
      <c r="BK617" s="243"/>
      <c r="BL617" s="243"/>
      <c r="BM617" s="243"/>
      <c r="BN617" s="243"/>
      <c r="BO617" s="243"/>
      <c r="BP617" s="243"/>
      <c r="BQ617" s="243"/>
      <c r="BR617" s="243"/>
      <c r="BS617" s="243"/>
    </row>
    <row r="618" spans="1:71" s="12" customFormat="1" ht="41.25" customHeight="1">
      <c r="A618" s="178" t="s">
        <v>80</v>
      </c>
      <c r="B618" s="178" t="str">
        <f ca="1">+UPPER(Tabla1321124[[#This Row],[DESCRIPCIÓN DE LA COMPRA O CONTRATACIÓN]])</f>
        <v>REDUCCION PVC PRESIO DE  Ø4" A  Ø2"</v>
      </c>
      <c r="C618" s="39" t="s">
        <v>17</v>
      </c>
      <c r="D618" s="236">
        <f>5+30</f>
        <v>35</v>
      </c>
      <c r="E618" s="236">
        <f>5+20</f>
        <v>25</v>
      </c>
      <c r="F618" s="236">
        <f>5+30</f>
        <v>35</v>
      </c>
      <c r="G618" s="236">
        <f>5+20</f>
        <v>25</v>
      </c>
      <c r="H618" s="240">
        <f>SUM(Tabla1321124[[#This Row],[PRIMER TRIMESTRE]:[CUARTO TRIMESTRE]])</f>
        <v>120</v>
      </c>
      <c r="I618" s="17">
        <v>737.74</v>
      </c>
      <c r="J618" s="17">
        <f>+Tabla1321124[[#This Row],[CANTIDAD TOTAL]]*Tabla1321124[[#This Row],[PRECIO UNITARIO ESTIMADO]]</f>
        <v>88528.8</v>
      </c>
      <c r="K618" s="17"/>
      <c r="L618" s="16" t="s">
        <v>18</v>
      </c>
      <c r="M618" s="16" t="s">
        <v>22</v>
      </c>
      <c r="N618" s="16" t="s">
        <v>418</v>
      </c>
      <c r="O618" s="243"/>
      <c r="P618" s="243"/>
      <c r="Q618" s="243"/>
      <c r="R618" s="243"/>
      <c r="S618" s="243"/>
      <c r="T618" s="243"/>
      <c r="U618" s="243"/>
      <c r="V618" s="243"/>
      <c r="W618" s="243"/>
      <c r="X618" s="243"/>
      <c r="Y618" s="243"/>
      <c r="Z618" s="243"/>
      <c r="AA618" s="243"/>
      <c r="AB618" s="243"/>
      <c r="AC618" s="243"/>
      <c r="AD618" s="243"/>
      <c r="AE618" s="243"/>
      <c r="AF618" s="243"/>
      <c r="AG618" s="243"/>
      <c r="AH618" s="243"/>
      <c r="AI618" s="243"/>
      <c r="AJ618" s="243"/>
      <c r="AK618" s="243"/>
      <c r="AL618" s="243"/>
      <c r="AM618" s="243"/>
      <c r="AN618" s="243"/>
      <c r="AO618" s="243"/>
      <c r="AP618" s="243"/>
      <c r="AQ618" s="243"/>
      <c r="AR618" s="243"/>
      <c r="AS618" s="243"/>
      <c r="AT618" s="243"/>
      <c r="AU618" s="243"/>
      <c r="AV618" s="243"/>
      <c r="AW618" s="243"/>
      <c r="AX618" s="243"/>
      <c r="AY618" s="243"/>
      <c r="AZ618" s="243"/>
      <c r="BA618" s="243"/>
      <c r="BB618" s="243"/>
      <c r="BC618" s="243"/>
      <c r="BD618" s="243"/>
      <c r="BE618" s="243"/>
      <c r="BF618" s="243"/>
      <c r="BG618" s="243"/>
      <c r="BH618" s="243"/>
      <c r="BI618" s="243"/>
      <c r="BJ618" s="243"/>
      <c r="BK618" s="243"/>
      <c r="BL618" s="243"/>
      <c r="BM618" s="243"/>
      <c r="BN618" s="243"/>
      <c r="BO618" s="243"/>
      <c r="BP618" s="243"/>
      <c r="BQ618" s="243"/>
      <c r="BR618" s="243"/>
      <c r="BS618" s="243"/>
    </row>
    <row r="619" spans="1:71" s="12" customFormat="1" ht="41.25" customHeight="1">
      <c r="A619" s="178" t="s">
        <v>80</v>
      </c>
      <c r="B619" s="178" t="str">
        <f ca="1">+UPPER(Tabla1321124[[#This Row],[DESCRIPCIÓN DE LA COMPRA O CONTRATACIÓN]])</f>
        <v>REDUCCION PVC PRESION DE Ø6" A  Ø4"</v>
      </c>
      <c r="C619" s="39" t="s">
        <v>17</v>
      </c>
      <c r="D619" s="236">
        <f>5+19</f>
        <v>24</v>
      </c>
      <c r="E619" s="236">
        <f>5+10</f>
        <v>15</v>
      </c>
      <c r="F619" s="236">
        <f>5+19</f>
        <v>24</v>
      </c>
      <c r="G619" s="236">
        <f>5+10</f>
        <v>15</v>
      </c>
      <c r="H619" s="240">
        <f>SUM(Tabla1321124[[#This Row],[PRIMER TRIMESTRE]:[CUARTO TRIMESTRE]])</f>
        <v>78</v>
      </c>
      <c r="I619" s="17">
        <v>2121.4499999999998</v>
      </c>
      <c r="J619" s="17">
        <f>+Tabla1321124[[#This Row],[CANTIDAD TOTAL]]*Tabla1321124[[#This Row],[PRECIO UNITARIO ESTIMADO]]</f>
        <v>165473.09999999998</v>
      </c>
      <c r="K619" s="17"/>
      <c r="L619" s="16" t="s">
        <v>18</v>
      </c>
      <c r="M619" s="16" t="s">
        <v>22</v>
      </c>
      <c r="N619" s="16" t="s">
        <v>418</v>
      </c>
      <c r="O619" s="243"/>
      <c r="P619" s="243"/>
      <c r="Q619" s="243"/>
      <c r="R619" s="243"/>
      <c r="S619" s="243"/>
      <c r="T619" s="243"/>
      <c r="U619" s="243"/>
      <c r="V619" s="243"/>
      <c r="W619" s="243"/>
      <c r="X619" s="243"/>
      <c r="Y619" s="243"/>
      <c r="Z619" s="243"/>
      <c r="AA619" s="243"/>
      <c r="AB619" s="243"/>
      <c r="AC619" s="243"/>
      <c r="AD619" s="243"/>
      <c r="AE619" s="243"/>
      <c r="AF619" s="243"/>
      <c r="AG619" s="243"/>
      <c r="AH619" s="243"/>
      <c r="AI619" s="243"/>
      <c r="AJ619" s="243"/>
      <c r="AK619" s="243"/>
      <c r="AL619" s="243"/>
      <c r="AM619" s="243"/>
      <c r="AN619" s="243"/>
      <c r="AO619" s="243"/>
      <c r="AP619" s="243"/>
      <c r="AQ619" s="243"/>
      <c r="AR619" s="243"/>
      <c r="AS619" s="243"/>
      <c r="AT619" s="243"/>
      <c r="AU619" s="243"/>
      <c r="AV619" s="243"/>
      <c r="AW619" s="243"/>
      <c r="AX619" s="243"/>
      <c r="AY619" s="243"/>
      <c r="AZ619" s="243"/>
      <c r="BA619" s="243"/>
      <c r="BB619" s="243"/>
      <c r="BC619" s="243"/>
      <c r="BD619" s="243"/>
      <c r="BE619" s="243"/>
      <c r="BF619" s="243"/>
      <c r="BG619" s="243"/>
      <c r="BH619" s="243"/>
      <c r="BI619" s="243"/>
      <c r="BJ619" s="243"/>
      <c r="BK619" s="243"/>
      <c r="BL619" s="243"/>
      <c r="BM619" s="243"/>
      <c r="BN619" s="243"/>
      <c r="BO619" s="243"/>
      <c r="BP619" s="243"/>
      <c r="BQ619" s="243"/>
      <c r="BR619" s="243"/>
      <c r="BS619" s="243"/>
    </row>
    <row r="620" spans="1:71" s="12" customFormat="1" ht="41.25" customHeight="1">
      <c r="A620" s="178" t="s">
        <v>80</v>
      </c>
      <c r="B620" s="178" t="str">
        <f ca="1">+UPPER(Tabla1321124[[#This Row],[DESCRIPCIÓN DE LA COMPRA O CONTRATACIÓN]])</f>
        <v>REDUCCION PVC PRESION DE Ø8" A  Ø4"</v>
      </c>
      <c r="C620" s="39" t="s">
        <v>17</v>
      </c>
      <c r="D620" s="236">
        <f>5+14</f>
        <v>19</v>
      </c>
      <c r="E620" s="236">
        <f>5+10</f>
        <v>15</v>
      </c>
      <c r="F620" s="236">
        <f>5+14</f>
        <v>19</v>
      </c>
      <c r="G620" s="236">
        <f>5+10</f>
        <v>15</v>
      </c>
      <c r="H620" s="240">
        <f>SUM(Tabla1321124[[#This Row],[PRIMER TRIMESTRE]:[CUARTO TRIMESTRE]])</f>
        <v>68</v>
      </c>
      <c r="I620" s="17">
        <v>2121.4499999999998</v>
      </c>
      <c r="J620" s="17">
        <f>+Tabla1321124[[#This Row],[CANTIDAD TOTAL]]*Tabla1321124[[#This Row],[PRECIO UNITARIO ESTIMADO]]</f>
        <v>144258.59999999998</v>
      </c>
      <c r="K620" s="17"/>
      <c r="L620" s="16" t="s">
        <v>18</v>
      </c>
      <c r="M620" s="16" t="s">
        <v>22</v>
      </c>
      <c r="N620" s="16" t="s">
        <v>418</v>
      </c>
      <c r="O620" s="243"/>
      <c r="P620" s="243"/>
      <c r="Q620" s="243"/>
      <c r="R620" s="243"/>
      <c r="S620" s="243"/>
      <c r="T620" s="243"/>
      <c r="U620" s="243"/>
      <c r="V620" s="243"/>
      <c r="W620" s="243"/>
      <c r="X620" s="243"/>
      <c r="Y620" s="243"/>
      <c r="Z620" s="243"/>
      <c r="AA620" s="243"/>
      <c r="AB620" s="243"/>
      <c r="AC620" s="243"/>
      <c r="AD620" s="243"/>
      <c r="AE620" s="243"/>
      <c r="AF620" s="243"/>
      <c r="AG620" s="243"/>
      <c r="AH620" s="243"/>
      <c r="AI620" s="243"/>
      <c r="AJ620" s="243"/>
      <c r="AK620" s="243"/>
      <c r="AL620" s="243"/>
      <c r="AM620" s="243"/>
      <c r="AN620" s="243"/>
      <c r="AO620" s="243"/>
      <c r="AP620" s="243"/>
      <c r="AQ620" s="243"/>
      <c r="AR620" s="243"/>
      <c r="AS620" s="243"/>
      <c r="AT620" s="243"/>
      <c r="AU620" s="243"/>
      <c r="AV620" s="243"/>
      <c r="AW620" s="243"/>
      <c r="AX620" s="243"/>
      <c r="AY620" s="243"/>
      <c r="AZ620" s="243"/>
      <c r="BA620" s="243"/>
      <c r="BB620" s="243"/>
      <c r="BC620" s="243"/>
      <c r="BD620" s="243"/>
      <c r="BE620" s="243"/>
      <c r="BF620" s="243"/>
      <c r="BG620" s="243"/>
      <c r="BH620" s="243"/>
      <c r="BI620" s="243"/>
      <c r="BJ620" s="243"/>
      <c r="BK620" s="243"/>
      <c r="BL620" s="243"/>
      <c r="BM620" s="243"/>
      <c r="BN620" s="243"/>
      <c r="BO620" s="243"/>
      <c r="BP620" s="243"/>
      <c r="BQ620" s="243"/>
      <c r="BR620" s="243"/>
      <c r="BS620" s="243"/>
    </row>
    <row r="621" spans="1:71" s="12" customFormat="1" ht="41.25" customHeight="1">
      <c r="A621" s="178" t="s">
        <v>80</v>
      </c>
      <c r="B621" s="178" t="str">
        <f ca="1">+UPPER(Tabla1321124[[#This Row],[DESCRIPCIÓN DE LA COMPRA O CONTRATACIÓN]])</f>
        <v>REUDCCION PVC PRESION DE Ø8" A  Ø6"</v>
      </c>
      <c r="C621" s="39" t="s">
        <v>17</v>
      </c>
      <c r="D621" s="236">
        <f>5+17</f>
        <v>22</v>
      </c>
      <c r="E621" s="236">
        <f>5+10</f>
        <v>15</v>
      </c>
      <c r="F621" s="236">
        <f>5+17</f>
        <v>22</v>
      </c>
      <c r="G621" s="236">
        <f>5+10</f>
        <v>15</v>
      </c>
      <c r="H621" s="240">
        <f>SUM(Tabla1321124[[#This Row],[PRIMER TRIMESTRE]:[CUARTO TRIMESTRE]])</f>
        <v>74</v>
      </c>
      <c r="I621" s="17">
        <v>3601.69</v>
      </c>
      <c r="J621" s="17">
        <f>+Tabla1321124[[#This Row],[CANTIDAD TOTAL]]*Tabla1321124[[#This Row],[PRECIO UNITARIO ESTIMADO]]</f>
        <v>266525.06</v>
      </c>
      <c r="K621" s="17"/>
      <c r="L621" s="16" t="s">
        <v>18</v>
      </c>
      <c r="M621" s="16" t="s">
        <v>22</v>
      </c>
      <c r="N621" s="16" t="s">
        <v>418</v>
      </c>
      <c r="O621" s="243"/>
      <c r="P621" s="243"/>
      <c r="Q621" s="243"/>
      <c r="R621" s="243"/>
      <c r="S621" s="243"/>
      <c r="T621" s="243"/>
      <c r="U621" s="243"/>
      <c r="V621" s="243"/>
      <c r="W621" s="243"/>
      <c r="X621" s="243"/>
      <c r="Y621" s="243"/>
      <c r="Z621" s="243"/>
      <c r="AA621" s="243"/>
      <c r="AB621" s="243"/>
      <c r="AC621" s="243"/>
      <c r="AD621" s="243"/>
      <c r="AE621" s="243"/>
      <c r="AF621" s="243"/>
      <c r="AG621" s="243"/>
      <c r="AH621" s="243"/>
      <c r="AI621" s="243"/>
      <c r="AJ621" s="243"/>
      <c r="AK621" s="243"/>
      <c r="AL621" s="243"/>
      <c r="AM621" s="243"/>
      <c r="AN621" s="243"/>
      <c r="AO621" s="243"/>
      <c r="AP621" s="243"/>
      <c r="AQ621" s="243"/>
      <c r="AR621" s="243"/>
      <c r="AS621" s="243"/>
      <c r="AT621" s="243"/>
      <c r="AU621" s="243"/>
      <c r="AV621" s="243"/>
      <c r="AW621" s="243"/>
      <c r="AX621" s="243"/>
      <c r="AY621" s="243"/>
      <c r="AZ621" s="243"/>
      <c r="BA621" s="243"/>
      <c r="BB621" s="243"/>
      <c r="BC621" s="243"/>
      <c r="BD621" s="243"/>
      <c r="BE621" s="243"/>
      <c r="BF621" s="243"/>
      <c r="BG621" s="243"/>
      <c r="BH621" s="243"/>
      <c r="BI621" s="243"/>
      <c r="BJ621" s="243"/>
      <c r="BK621" s="243"/>
      <c r="BL621" s="243"/>
      <c r="BM621" s="243"/>
      <c r="BN621" s="243"/>
      <c r="BO621" s="243"/>
      <c r="BP621" s="243"/>
      <c r="BQ621" s="243"/>
      <c r="BR621" s="243"/>
      <c r="BS621" s="243"/>
    </row>
    <row r="622" spans="1:71" s="12" customFormat="1" ht="41.25" customHeight="1">
      <c r="A622" s="178" t="s">
        <v>80</v>
      </c>
      <c r="B622" s="178" t="str">
        <f ca="1">+UPPER(Tabla1321124[[#This Row],[DESCRIPCIÓN DE LA COMPRA O CONTRATACIÓN]])</f>
        <v>SOGA 3/4 PLASTICA</v>
      </c>
      <c r="C622" s="39" t="s">
        <v>189</v>
      </c>
      <c r="D622" s="236"/>
      <c r="E622" s="236"/>
      <c r="F622" s="236"/>
      <c r="G622" s="236"/>
      <c r="H622" s="240">
        <f>SUM(Tabla1321124[[#This Row],[PRIMER TRIMESTRE]:[CUARTO TRIMESTRE]])</f>
        <v>0</v>
      </c>
      <c r="I622" s="17">
        <v>104.4</v>
      </c>
      <c r="J622" s="17">
        <f>+Tabla1321124[[#This Row],[CANTIDAD TOTAL]]*Tabla1321124[[#This Row],[PRECIO UNITARIO ESTIMADO]]</f>
        <v>0</v>
      </c>
      <c r="K622" s="17"/>
      <c r="L622" s="16" t="s">
        <v>18</v>
      </c>
      <c r="M622" s="16" t="s">
        <v>22</v>
      </c>
      <c r="N622" s="16" t="s">
        <v>418</v>
      </c>
      <c r="O622" s="243"/>
      <c r="P622" s="243"/>
      <c r="Q622" s="243"/>
      <c r="R622" s="243"/>
      <c r="S622" s="243"/>
      <c r="T622" s="243"/>
      <c r="U622" s="243"/>
      <c r="V622" s="243"/>
      <c r="W622" s="243"/>
      <c r="X622" s="243"/>
      <c r="Y622" s="243"/>
      <c r="Z622" s="243"/>
      <c r="AA622" s="243"/>
      <c r="AB622" s="243"/>
      <c r="AC622" s="243"/>
      <c r="AD622" s="243"/>
      <c r="AE622" s="243"/>
      <c r="AF622" s="243"/>
      <c r="AG622" s="243"/>
      <c r="AH622" s="243"/>
      <c r="AI622" s="243"/>
      <c r="AJ622" s="243"/>
      <c r="AK622" s="243"/>
      <c r="AL622" s="243"/>
      <c r="AM622" s="243"/>
      <c r="AN622" s="243"/>
      <c r="AO622" s="243"/>
      <c r="AP622" s="243"/>
      <c r="AQ622" s="243"/>
      <c r="AR622" s="243"/>
      <c r="AS622" s="243"/>
      <c r="AT622" s="243"/>
      <c r="AU622" s="243"/>
      <c r="AV622" s="243"/>
      <c r="AW622" s="243"/>
      <c r="AX622" s="243"/>
      <c r="AY622" s="243"/>
      <c r="AZ622" s="243"/>
      <c r="BA622" s="243"/>
      <c r="BB622" s="243"/>
      <c r="BC622" s="243"/>
      <c r="BD622" s="243"/>
      <c r="BE622" s="243"/>
      <c r="BF622" s="243"/>
      <c r="BG622" s="243"/>
      <c r="BH622" s="243"/>
      <c r="BI622" s="243"/>
      <c r="BJ622" s="243"/>
      <c r="BK622" s="243"/>
      <c r="BL622" s="243"/>
      <c r="BM622" s="243"/>
      <c r="BN622" s="243"/>
      <c r="BO622" s="243"/>
      <c r="BP622" s="243"/>
      <c r="BQ622" s="243"/>
      <c r="BR622" s="243"/>
      <c r="BS622" s="243"/>
    </row>
    <row r="623" spans="1:71" s="12" customFormat="1" ht="41.25" customHeight="1">
      <c r="A623" s="178" t="s">
        <v>80</v>
      </c>
      <c r="B623" s="178" t="str">
        <f ca="1">+UPPER(Tabla1321124[[#This Row],[DESCRIPCIÓN DE LA COMPRA O CONTRATACIÓN]])</f>
        <v>REDUCCIÓN 1X ¾”PVC TIPO BUSHING</v>
      </c>
      <c r="C623" s="39" t="s">
        <v>17</v>
      </c>
      <c r="D623" s="368">
        <v>60</v>
      </c>
      <c r="E623" s="369">
        <v>30</v>
      </c>
      <c r="F623" s="369">
        <v>30</v>
      </c>
      <c r="G623" s="369">
        <v>30</v>
      </c>
      <c r="H623" s="240">
        <f>SUM(Tabla1321124[[#This Row],[PRIMER TRIMESTRE]:[CUARTO TRIMESTRE]])</f>
        <v>150</v>
      </c>
      <c r="I623" s="17">
        <v>175</v>
      </c>
      <c r="J623" s="17">
        <f>+Tabla1321124[[#This Row],[CANTIDAD TOTAL]]*Tabla1321124[[#This Row],[PRECIO UNITARIO ESTIMADO]]</f>
        <v>26250</v>
      </c>
      <c r="K623" s="175"/>
      <c r="L623" s="16" t="s">
        <v>18</v>
      </c>
      <c r="M623" s="16" t="s">
        <v>22</v>
      </c>
      <c r="N623" s="16"/>
      <c r="O623" s="243"/>
      <c r="P623" s="243"/>
      <c r="Q623" s="243"/>
      <c r="R623" s="243"/>
      <c r="S623" s="243"/>
      <c r="T623" s="243"/>
      <c r="U623" s="243"/>
      <c r="V623" s="243"/>
      <c r="W623" s="243"/>
      <c r="X623" s="243"/>
      <c r="Y623" s="243"/>
      <c r="Z623" s="243"/>
      <c r="AA623" s="243"/>
      <c r="AB623" s="243"/>
      <c r="AC623" s="243"/>
      <c r="AD623" s="243"/>
      <c r="AE623" s="243"/>
      <c r="AF623" s="243"/>
      <c r="AG623" s="243"/>
      <c r="AH623" s="243"/>
      <c r="AI623" s="243"/>
      <c r="AJ623" s="243"/>
      <c r="AK623" s="243"/>
      <c r="AL623" s="243"/>
      <c r="AM623" s="243"/>
      <c r="AN623" s="243"/>
      <c r="AO623" s="243"/>
      <c r="AP623" s="243"/>
      <c r="AQ623" s="243"/>
      <c r="AR623" s="243"/>
      <c r="AS623" s="243"/>
      <c r="AT623" s="243"/>
      <c r="AU623" s="243"/>
      <c r="AV623" s="243"/>
      <c r="AW623" s="243"/>
      <c r="AX623" s="243"/>
      <c r="AY623" s="243"/>
      <c r="AZ623" s="243"/>
      <c r="BA623" s="243"/>
      <c r="BB623" s="243"/>
      <c r="BC623" s="243"/>
      <c r="BD623" s="243"/>
      <c r="BE623" s="243"/>
      <c r="BF623" s="243"/>
      <c r="BG623" s="243"/>
      <c r="BH623" s="243"/>
      <c r="BI623" s="243"/>
      <c r="BJ623" s="243"/>
      <c r="BK623" s="243"/>
      <c r="BL623" s="243"/>
      <c r="BM623" s="243"/>
      <c r="BN623" s="243"/>
      <c r="BO623" s="243"/>
      <c r="BP623" s="243"/>
      <c r="BQ623" s="243"/>
      <c r="BR623" s="243"/>
      <c r="BS623" s="243"/>
    </row>
    <row r="624" spans="1:71" s="12" customFormat="1" ht="41.25" customHeight="1">
      <c r="A624" s="178" t="s">
        <v>80</v>
      </c>
      <c r="B624" s="178" t="str">
        <f ca="1">+UPPER(Tabla1321124[[#This Row],[DESCRIPCIÓN DE LA COMPRA O CONTRATACIÓN]])</f>
        <v>REDUCCIÓN DE 1 X ¾” PVC TIPO BUSHING</v>
      </c>
      <c r="C624" s="39" t="s">
        <v>17</v>
      </c>
      <c r="D624" s="368">
        <v>10</v>
      </c>
      <c r="E624" s="368">
        <v>10</v>
      </c>
      <c r="F624" s="368">
        <v>10</v>
      </c>
      <c r="G624" s="368">
        <v>10</v>
      </c>
      <c r="H624" s="240">
        <f>SUM(Tabla1321124[[#This Row],[PRIMER TRIMESTRE]:[CUARTO TRIMESTRE]])</f>
        <v>40</v>
      </c>
      <c r="I624" s="17">
        <v>140</v>
      </c>
      <c r="J624" s="17">
        <f>+Tabla1321124[[#This Row],[CANTIDAD TOTAL]]*Tabla1321124[[#This Row],[PRECIO UNITARIO ESTIMADO]]</f>
        <v>5600</v>
      </c>
      <c r="K624" s="175"/>
      <c r="L624" s="16" t="s">
        <v>18</v>
      </c>
      <c r="M624" s="16" t="s">
        <v>22</v>
      </c>
      <c r="N624" s="16"/>
      <c r="O624" s="243"/>
      <c r="P624" s="243"/>
      <c r="Q624" s="243"/>
      <c r="R624" s="243"/>
      <c r="S624" s="243"/>
      <c r="T624" s="243"/>
      <c r="U624" s="243"/>
      <c r="V624" s="243"/>
      <c r="W624" s="243"/>
      <c r="X624" s="243"/>
      <c r="Y624" s="243"/>
      <c r="Z624" s="243"/>
      <c r="AA624" s="243"/>
      <c r="AB624" s="243"/>
      <c r="AC624" s="243"/>
      <c r="AD624" s="243"/>
      <c r="AE624" s="243"/>
      <c r="AF624" s="243"/>
      <c r="AG624" s="243"/>
      <c r="AH624" s="243"/>
      <c r="AI624" s="243"/>
      <c r="AJ624" s="243"/>
      <c r="AK624" s="243"/>
      <c r="AL624" s="243"/>
      <c r="AM624" s="243"/>
      <c r="AN624" s="243"/>
      <c r="AO624" s="243"/>
      <c r="AP624" s="243"/>
      <c r="AQ624" s="243"/>
      <c r="AR624" s="243"/>
      <c r="AS624" s="243"/>
      <c r="AT624" s="243"/>
      <c r="AU624" s="243"/>
      <c r="AV624" s="243"/>
      <c r="AW624" s="243"/>
      <c r="AX624" s="243"/>
      <c r="AY624" s="243"/>
      <c r="AZ624" s="243"/>
      <c r="BA624" s="243"/>
      <c r="BB624" s="243"/>
      <c r="BC624" s="243"/>
      <c r="BD624" s="243"/>
      <c r="BE624" s="243"/>
      <c r="BF624" s="243"/>
      <c r="BG624" s="243"/>
      <c r="BH624" s="243"/>
      <c r="BI624" s="243"/>
      <c r="BJ624" s="243"/>
      <c r="BK624" s="243"/>
      <c r="BL624" s="243"/>
      <c r="BM624" s="243"/>
      <c r="BN624" s="243"/>
      <c r="BO624" s="243"/>
      <c r="BP624" s="243"/>
      <c r="BQ624" s="243"/>
      <c r="BR624" s="243"/>
      <c r="BS624" s="243"/>
    </row>
    <row r="625" spans="1:71" s="12" customFormat="1" ht="41.25" customHeight="1">
      <c r="A625" s="178" t="s">
        <v>80</v>
      </c>
      <c r="B625" s="178" t="str">
        <f ca="1">+UPPER(Tabla1321124[[#This Row],[DESCRIPCIÓN DE LA COMPRA O CONTRATACIÓN]])</f>
        <v>REDUCCIÓN DE 1½”  X 1 PVC TIPO BUSHING</v>
      </c>
      <c r="C625" s="39" t="s">
        <v>17</v>
      </c>
      <c r="D625" s="368">
        <v>10</v>
      </c>
      <c r="E625" s="368">
        <v>10</v>
      </c>
      <c r="F625" s="368">
        <v>10</v>
      </c>
      <c r="G625" s="368">
        <v>10</v>
      </c>
      <c r="H625" s="240">
        <f>SUM(Tabla1321124[[#This Row],[PRIMER TRIMESTRE]:[CUARTO TRIMESTRE]])</f>
        <v>40</v>
      </c>
      <c r="I625" s="17">
        <v>180</v>
      </c>
      <c r="J625" s="17">
        <f>+Tabla1321124[[#This Row],[CANTIDAD TOTAL]]*Tabla1321124[[#This Row],[PRECIO UNITARIO ESTIMADO]]</f>
        <v>7200</v>
      </c>
      <c r="K625" s="175"/>
      <c r="L625" s="16" t="s">
        <v>18</v>
      </c>
      <c r="M625" s="16" t="s">
        <v>22</v>
      </c>
      <c r="N625" s="16"/>
      <c r="O625" s="243"/>
      <c r="P625" s="243"/>
      <c r="Q625" s="243"/>
      <c r="R625" s="243"/>
      <c r="S625" s="243"/>
      <c r="T625" s="243"/>
      <c r="U625" s="243"/>
      <c r="V625" s="243"/>
      <c r="W625" s="243"/>
      <c r="X625" s="243"/>
      <c r="Y625" s="243"/>
      <c r="Z625" s="243"/>
      <c r="AA625" s="243"/>
      <c r="AB625" s="243"/>
      <c r="AC625" s="243"/>
      <c r="AD625" s="243"/>
      <c r="AE625" s="243"/>
      <c r="AF625" s="243"/>
      <c r="AG625" s="243"/>
      <c r="AH625" s="243"/>
      <c r="AI625" s="243"/>
      <c r="AJ625" s="243"/>
      <c r="AK625" s="243"/>
      <c r="AL625" s="243"/>
      <c r="AM625" s="243"/>
      <c r="AN625" s="243"/>
      <c r="AO625" s="243"/>
      <c r="AP625" s="243"/>
      <c r="AQ625" s="243"/>
      <c r="AR625" s="243"/>
      <c r="AS625" s="243"/>
      <c r="AT625" s="243"/>
      <c r="AU625" s="243"/>
      <c r="AV625" s="243"/>
      <c r="AW625" s="243"/>
      <c r="AX625" s="243"/>
      <c r="AY625" s="243"/>
      <c r="AZ625" s="243"/>
      <c r="BA625" s="243"/>
      <c r="BB625" s="243"/>
      <c r="BC625" s="243"/>
      <c r="BD625" s="243"/>
      <c r="BE625" s="243"/>
      <c r="BF625" s="243"/>
      <c r="BG625" s="243"/>
      <c r="BH625" s="243"/>
      <c r="BI625" s="243"/>
      <c r="BJ625" s="243"/>
      <c r="BK625" s="243"/>
      <c r="BL625" s="243"/>
      <c r="BM625" s="243"/>
      <c r="BN625" s="243"/>
      <c r="BO625" s="243"/>
      <c r="BP625" s="243"/>
      <c r="BQ625" s="243"/>
      <c r="BR625" s="243"/>
      <c r="BS625" s="243"/>
    </row>
    <row r="626" spans="1:71" s="12" customFormat="1" ht="41.25" customHeight="1">
      <c r="A626" s="178" t="s">
        <v>80</v>
      </c>
      <c r="B626" s="178" t="str">
        <f ca="1">+UPPER(Tabla1321124[[#This Row],[DESCRIPCIÓN DE LA COMPRA O CONTRATACIÓN]])</f>
        <v>REDUCCIÓN DE 2" X 1½” PVC TIPO BUSHING</v>
      </c>
      <c r="C626" s="39" t="s">
        <v>17</v>
      </c>
      <c r="D626" s="368">
        <v>10</v>
      </c>
      <c r="E626" s="368">
        <v>10</v>
      </c>
      <c r="F626" s="368">
        <v>10</v>
      </c>
      <c r="G626" s="368">
        <v>10</v>
      </c>
      <c r="H626" s="240">
        <f>SUM(Tabla1321124[[#This Row],[PRIMER TRIMESTRE]:[CUARTO TRIMESTRE]])</f>
        <v>40</v>
      </c>
      <c r="I626" s="17">
        <v>185</v>
      </c>
      <c r="J626" s="17">
        <f>+Tabla1321124[[#This Row],[CANTIDAD TOTAL]]*Tabla1321124[[#This Row],[PRECIO UNITARIO ESTIMADO]]</f>
        <v>7400</v>
      </c>
      <c r="K626" s="175"/>
      <c r="L626" s="16" t="s">
        <v>18</v>
      </c>
      <c r="M626" s="16" t="s">
        <v>22</v>
      </c>
      <c r="N626" s="16"/>
      <c r="O626" s="243"/>
      <c r="P626" s="243"/>
      <c r="Q626" s="243"/>
      <c r="R626" s="243"/>
      <c r="S626" s="243"/>
      <c r="T626" s="243"/>
      <c r="U626" s="243"/>
      <c r="V626" s="243"/>
      <c r="W626" s="243"/>
      <c r="X626" s="243"/>
      <c r="Y626" s="243"/>
      <c r="Z626" s="243"/>
      <c r="AA626" s="243"/>
      <c r="AB626" s="243"/>
      <c r="AC626" s="243"/>
      <c r="AD626" s="243"/>
      <c r="AE626" s="243"/>
      <c r="AF626" s="243"/>
      <c r="AG626" s="243"/>
      <c r="AH626" s="243"/>
      <c r="AI626" s="243"/>
      <c r="AJ626" s="243"/>
      <c r="AK626" s="243"/>
      <c r="AL626" s="243"/>
      <c r="AM626" s="243"/>
      <c r="AN626" s="243"/>
      <c r="AO626" s="243"/>
      <c r="AP626" s="243"/>
      <c r="AQ626" s="243"/>
      <c r="AR626" s="243"/>
      <c r="AS626" s="243"/>
      <c r="AT626" s="243"/>
      <c r="AU626" s="243"/>
      <c r="AV626" s="243"/>
      <c r="AW626" s="243"/>
      <c r="AX626" s="243"/>
      <c r="AY626" s="243"/>
      <c r="AZ626" s="243"/>
      <c r="BA626" s="243"/>
      <c r="BB626" s="243"/>
      <c r="BC626" s="243"/>
      <c r="BD626" s="243"/>
      <c r="BE626" s="243"/>
      <c r="BF626" s="243"/>
      <c r="BG626" s="243"/>
      <c r="BH626" s="243"/>
      <c r="BI626" s="243"/>
      <c r="BJ626" s="243"/>
      <c r="BK626" s="243"/>
      <c r="BL626" s="243"/>
      <c r="BM626" s="243"/>
      <c r="BN626" s="243"/>
      <c r="BO626" s="243"/>
      <c r="BP626" s="243"/>
      <c r="BQ626" s="243"/>
      <c r="BR626" s="243"/>
      <c r="BS626" s="243"/>
    </row>
    <row r="627" spans="1:71" s="12" customFormat="1" ht="41.25" customHeight="1">
      <c r="A627" s="178" t="s">
        <v>80</v>
      </c>
      <c r="B627" s="178" t="str">
        <f ca="1">+UPPER(Tabla1321124[[#This Row],[DESCRIPCIÓN DE LA COMPRA O CONTRATACIÓN]])</f>
        <v>REDUCCIÓN DE 3 X 2” PVC TIPO BUSHING</v>
      </c>
      <c r="C627" s="39" t="s">
        <v>470</v>
      </c>
      <c r="D627" s="368">
        <v>15</v>
      </c>
      <c r="E627" s="368">
        <v>15</v>
      </c>
      <c r="F627" s="368">
        <v>15</v>
      </c>
      <c r="G627" s="368">
        <v>15</v>
      </c>
      <c r="H627" s="240">
        <f>SUM(Tabla1321124[[#This Row],[PRIMER TRIMESTRE]:[CUARTO TRIMESTRE]])</f>
        <v>60</v>
      </c>
      <c r="I627" s="17">
        <v>156</v>
      </c>
      <c r="J627" s="17">
        <f>+Tabla1321124[[#This Row],[CANTIDAD TOTAL]]*Tabla1321124[[#This Row],[PRECIO UNITARIO ESTIMADO]]</f>
        <v>9360</v>
      </c>
      <c r="K627" s="175"/>
      <c r="L627" s="16" t="s">
        <v>18</v>
      </c>
      <c r="M627" s="16" t="s">
        <v>22</v>
      </c>
      <c r="N627" s="16"/>
      <c r="O627" s="243"/>
      <c r="P627" s="243"/>
      <c r="Q627" s="243"/>
      <c r="R627" s="243"/>
      <c r="S627" s="243"/>
      <c r="T627" s="243"/>
      <c r="U627" s="243"/>
      <c r="V627" s="243"/>
      <c r="W627" s="243"/>
      <c r="X627" s="243"/>
      <c r="Y627" s="243"/>
      <c r="Z627" s="243"/>
      <c r="AA627" s="243"/>
      <c r="AB627" s="243"/>
      <c r="AC627" s="243"/>
      <c r="AD627" s="243"/>
      <c r="AE627" s="243"/>
      <c r="AF627" s="243"/>
      <c r="AG627" s="243"/>
      <c r="AH627" s="243"/>
      <c r="AI627" s="243"/>
      <c r="AJ627" s="243"/>
      <c r="AK627" s="243"/>
      <c r="AL627" s="243"/>
      <c r="AM627" s="243"/>
      <c r="AN627" s="243"/>
      <c r="AO627" s="243"/>
      <c r="AP627" s="243"/>
      <c r="AQ627" s="243"/>
      <c r="AR627" s="243"/>
      <c r="AS627" s="243"/>
      <c r="AT627" s="243"/>
      <c r="AU627" s="243"/>
      <c r="AV627" s="243"/>
      <c r="AW627" s="243"/>
      <c r="AX627" s="243"/>
      <c r="AY627" s="243"/>
      <c r="AZ627" s="243"/>
      <c r="BA627" s="243"/>
      <c r="BB627" s="243"/>
      <c r="BC627" s="243"/>
      <c r="BD627" s="243"/>
      <c r="BE627" s="243"/>
      <c r="BF627" s="243"/>
      <c r="BG627" s="243"/>
      <c r="BH627" s="243"/>
      <c r="BI627" s="243"/>
      <c r="BJ627" s="243"/>
      <c r="BK627" s="243"/>
      <c r="BL627" s="243"/>
      <c r="BM627" s="243"/>
      <c r="BN627" s="243"/>
      <c r="BO627" s="243"/>
      <c r="BP627" s="243"/>
      <c r="BQ627" s="243"/>
      <c r="BR627" s="243"/>
      <c r="BS627" s="243"/>
    </row>
    <row r="628" spans="1:71" s="12" customFormat="1" ht="41.25" customHeight="1">
      <c r="A628" s="178" t="s">
        <v>80</v>
      </c>
      <c r="B628" s="178" t="str">
        <f ca="1">+UPPER(Tabla1321124[[#This Row],[DESCRIPCIÓN DE LA COMPRA O CONTRATACIÓN]])</f>
        <v>REDUCCIÓN. DE ¾”X ½” PVC TIPO BUSHING</v>
      </c>
      <c r="C628" s="39" t="s">
        <v>93</v>
      </c>
      <c r="D628" s="368">
        <v>10</v>
      </c>
      <c r="E628" s="368">
        <v>10</v>
      </c>
      <c r="F628" s="368">
        <v>10</v>
      </c>
      <c r="G628" s="368">
        <v>10</v>
      </c>
      <c r="H628" s="240">
        <f>SUM(Tabla1321124[[#This Row],[PRIMER TRIMESTRE]:[CUARTO TRIMESTRE]])</f>
        <v>40</v>
      </c>
      <c r="I628" s="17">
        <v>165</v>
      </c>
      <c r="J628" s="17">
        <f>+Tabla1321124[[#This Row],[CANTIDAD TOTAL]]*Tabla1321124[[#This Row],[PRECIO UNITARIO ESTIMADO]]</f>
        <v>6600</v>
      </c>
      <c r="K628" s="175"/>
      <c r="L628" s="16" t="s">
        <v>18</v>
      </c>
      <c r="M628" s="16" t="s">
        <v>22</v>
      </c>
      <c r="N628" s="16"/>
      <c r="O628" s="243"/>
      <c r="P628" s="243"/>
      <c r="Q628" s="243"/>
      <c r="R628" s="243"/>
      <c r="S628" s="243"/>
      <c r="T628" s="243"/>
      <c r="U628" s="243"/>
      <c r="V628" s="243"/>
      <c r="W628" s="243"/>
      <c r="X628" s="243"/>
      <c r="Y628" s="243"/>
      <c r="Z628" s="243"/>
      <c r="AA628" s="243"/>
      <c r="AB628" s="243"/>
      <c r="AC628" s="243"/>
      <c r="AD628" s="243"/>
      <c r="AE628" s="243"/>
      <c r="AF628" s="243"/>
      <c r="AG628" s="243"/>
      <c r="AH628" s="243"/>
      <c r="AI628" s="243"/>
      <c r="AJ628" s="243"/>
      <c r="AK628" s="243"/>
      <c r="AL628" s="243"/>
      <c r="AM628" s="243"/>
      <c r="AN628" s="243"/>
      <c r="AO628" s="243"/>
      <c r="AP628" s="243"/>
      <c r="AQ628" s="243"/>
      <c r="AR628" s="243"/>
      <c r="AS628" s="243"/>
      <c r="AT628" s="243"/>
      <c r="AU628" s="243"/>
      <c r="AV628" s="243"/>
      <c r="AW628" s="243"/>
      <c r="AX628" s="243"/>
      <c r="AY628" s="243"/>
      <c r="AZ628" s="243"/>
      <c r="BA628" s="243"/>
      <c r="BB628" s="243"/>
      <c r="BC628" s="243"/>
      <c r="BD628" s="243"/>
      <c r="BE628" s="243"/>
      <c r="BF628" s="243"/>
      <c r="BG628" s="243"/>
      <c r="BH628" s="243"/>
      <c r="BI628" s="243"/>
      <c r="BJ628" s="243"/>
      <c r="BK628" s="243"/>
      <c r="BL628" s="243"/>
      <c r="BM628" s="243"/>
      <c r="BN628" s="243"/>
      <c r="BO628" s="243"/>
      <c r="BP628" s="243"/>
      <c r="BQ628" s="243"/>
      <c r="BR628" s="243"/>
      <c r="BS628" s="243"/>
    </row>
    <row r="629" spans="1:71" s="12" customFormat="1" ht="41.25" customHeight="1">
      <c r="A629" s="178" t="s">
        <v>80</v>
      </c>
      <c r="B629" s="178" t="str">
        <f ca="1">+UPPER(Tabla1321124[[#This Row],[DESCRIPCIÓN DE LA COMPRA O CONTRATACIÓN]])</f>
        <v xml:space="preserve">SOGA 1" DE CABUYA </v>
      </c>
      <c r="C629" s="39" t="s">
        <v>17</v>
      </c>
      <c r="D629" s="369">
        <v>20</v>
      </c>
      <c r="E629" s="369">
        <v>10</v>
      </c>
      <c r="F629" s="369">
        <v>10</v>
      </c>
      <c r="G629" s="369">
        <v>10</v>
      </c>
      <c r="H629" s="240">
        <f>SUM(Tabla1321124[[#This Row],[PRIMER TRIMESTRE]:[CUARTO TRIMESTRE]])</f>
        <v>50</v>
      </c>
      <c r="I629" s="17">
        <v>254</v>
      </c>
      <c r="J629" s="17">
        <f>+Tabla1321124[[#This Row],[CANTIDAD TOTAL]]*Tabla1321124[[#This Row],[PRECIO UNITARIO ESTIMADO]]</f>
        <v>12700</v>
      </c>
      <c r="K629" s="175"/>
      <c r="L629" s="16" t="s">
        <v>18</v>
      </c>
      <c r="M629" s="16" t="s">
        <v>22</v>
      </c>
      <c r="N629" s="16"/>
      <c r="O629" s="243"/>
      <c r="P629" s="243"/>
      <c r="Q629" s="243"/>
      <c r="R629" s="243"/>
      <c r="S629" s="243"/>
      <c r="T629" s="243"/>
      <c r="U629" s="243"/>
      <c r="V629" s="243"/>
      <c r="W629" s="243"/>
      <c r="X629" s="243"/>
      <c r="Y629" s="243"/>
      <c r="Z629" s="243"/>
      <c r="AA629" s="243"/>
      <c r="AB629" s="243"/>
      <c r="AC629" s="243"/>
      <c r="AD629" s="243"/>
      <c r="AE629" s="243"/>
      <c r="AF629" s="243"/>
      <c r="AG629" s="243"/>
      <c r="AH629" s="243"/>
      <c r="AI629" s="243"/>
      <c r="AJ629" s="243"/>
      <c r="AK629" s="243"/>
      <c r="AL629" s="243"/>
      <c r="AM629" s="243"/>
      <c r="AN629" s="243"/>
      <c r="AO629" s="243"/>
      <c r="AP629" s="243"/>
      <c r="AQ629" s="243"/>
      <c r="AR629" s="243"/>
      <c r="AS629" s="243"/>
      <c r="AT629" s="243"/>
      <c r="AU629" s="243"/>
      <c r="AV629" s="243"/>
      <c r="AW629" s="243"/>
      <c r="AX629" s="243"/>
      <c r="AY629" s="243"/>
      <c r="AZ629" s="243"/>
      <c r="BA629" s="243"/>
      <c r="BB629" s="243"/>
      <c r="BC629" s="243"/>
      <c r="BD629" s="243"/>
      <c r="BE629" s="243"/>
      <c r="BF629" s="243"/>
      <c r="BG629" s="243"/>
      <c r="BH629" s="243"/>
      <c r="BI629" s="243"/>
      <c r="BJ629" s="243"/>
      <c r="BK629" s="243"/>
      <c r="BL629" s="243"/>
      <c r="BM629" s="243"/>
      <c r="BN629" s="243"/>
      <c r="BO629" s="243"/>
      <c r="BP629" s="243"/>
      <c r="BQ629" s="243"/>
      <c r="BR629" s="243"/>
      <c r="BS629" s="243"/>
    </row>
    <row r="630" spans="1:71" s="12" customFormat="1" ht="41.25" customHeight="1">
      <c r="A630" s="178" t="s">
        <v>80</v>
      </c>
      <c r="B630" s="178" t="str">
        <f ca="1">+UPPER(Tabla1321124[[#This Row],[DESCRIPCIÓN DE LA COMPRA O CONTRATACIÓN]])</f>
        <v xml:space="preserve">SOGA 1/2" DE CABUYA </v>
      </c>
      <c r="C630" s="39" t="s">
        <v>17</v>
      </c>
      <c r="D630" s="369">
        <v>20</v>
      </c>
      <c r="E630" s="369">
        <v>10</v>
      </c>
      <c r="F630" s="369">
        <v>10</v>
      </c>
      <c r="G630" s="369">
        <v>10</v>
      </c>
      <c r="H630" s="240">
        <f>SUM(Tabla1321124[[#This Row],[PRIMER TRIMESTRE]:[CUARTO TRIMESTRE]])</f>
        <v>50</v>
      </c>
      <c r="I630" s="17">
        <v>175</v>
      </c>
      <c r="J630" s="17">
        <f>+Tabla1321124[[#This Row],[CANTIDAD TOTAL]]*Tabla1321124[[#This Row],[PRECIO UNITARIO ESTIMADO]]</f>
        <v>8750</v>
      </c>
      <c r="K630" s="175"/>
      <c r="L630" s="16" t="s">
        <v>18</v>
      </c>
      <c r="M630" s="16" t="s">
        <v>22</v>
      </c>
      <c r="N630" s="16"/>
      <c r="O630" s="243"/>
      <c r="P630" s="243"/>
      <c r="Q630" s="243"/>
      <c r="R630" s="243"/>
      <c r="S630" s="243"/>
      <c r="T630" s="243"/>
      <c r="U630" s="243"/>
      <c r="V630" s="243"/>
      <c r="W630" s="243"/>
      <c r="X630" s="243"/>
      <c r="Y630" s="243"/>
      <c r="Z630" s="243"/>
      <c r="AA630" s="243"/>
      <c r="AB630" s="243"/>
      <c r="AC630" s="243"/>
      <c r="AD630" s="243"/>
      <c r="AE630" s="243"/>
      <c r="AF630" s="243"/>
      <c r="AG630" s="243"/>
      <c r="AH630" s="243"/>
      <c r="AI630" s="243"/>
      <c r="AJ630" s="243"/>
      <c r="AK630" s="243"/>
      <c r="AL630" s="243"/>
      <c r="AM630" s="243"/>
      <c r="AN630" s="243"/>
      <c r="AO630" s="243"/>
      <c r="AP630" s="243"/>
      <c r="AQ630" s="243"/>
      <c r="AR630" s="243"/>
      <c r="AS630" s="243"/>
      <c r="AT630" s="243"/>
      <c r="AU630" s="243"/>
      <c r="AV630" s="243"/>
      <c r="AW630" s="243"/>
      <c r="AX630" s="243"/>
      <c r="AY630" s="243"/>
      <c r="AZ630" s="243"/>
      <c r="BA630" s="243"/>
      <c r="BB630" s="243"/>
      <c r="BC630" s="243"/>
      <c r="BD630" s="243"/>
      <c r="BE630" s="243"/>
      <c r="BF630" s="243"/>
      <c r="BG630" s="243"/>
      <c r="BH630" s="243"/>
      <c r="BI630" s="243"/>
      <c r="BJ630" s="243"/>
      <c r="BK630" s="243"/>
      <c r="BL630" s="243"/>
      <c r="BM630" s="243"/>
      <c r="BN630" s="243"/>
      <c r="BO630" s="243"/>
      <c r="BP630" s="243"/>
      <c r="BQ630" s="243"/>
      <c r="BR630" s="243"/>
      <c r="BS630" s="243"/>
    </row>
    <row r="631" spans="1:71" s="12" customFormat="1" ht="41.25" customHeight="1">
      <c r="A631" s="178" t="s">
        <v>80</v>
      </c>
      <c r="B631" s="178" t="str">
        <f ca="1">+UPPER(Tabla1321124[[#This Row],[DESCRIPCIÓN DE LA COMPRA O CONTRATACIÓN]])</f>
        <v>SOGA 1/2" DE NYLON</v>
      </c>
      <c r="C631" s="39" t="s">
        <v>17</v>
      </c>
      <c r="D631" s="369">
        <v>20</v>
      </c>
      <c r="E631" s="369">
        <v>10</v>
      </c>
      <c r="F631" s="369">
        <v>10</v>
      </c>
      <c r="G631" s="369">
        <v>10</v>
      </c>
      <c r="H631" s="240">
        <f>SUM(Tabla1321124[[#This Row],[PRIMER TRIMESTRE]:[CUARTO TRIMESTRE]])</f>
        <v>50</v>
      </c>
      <c r="I631" s="17">
        <v>300</v>
      </c>
      <c r="J631" s="17">
        <f>+Tabla1321124[[#This Row],[CANTIDAD TOTAL]]*Tabla1321124[[#This Row],[PRECIO UNITARIO ESTIMADO]]</f>
        <v>15000</v>
      </c>
      <c r="K631" s="175"/>
      <c r="L631" s="16" t="s">
        <v>18</v>
      </c>
      <c r="M631" s="16" t="s">
        <v>22</v>
      </c>
      <c r="N631" s="16"/>
      <c r="O631" s="243"/>
      <c r="P631" s="243"/>
      <c r="Q631" s="243"/>
      <c r="R631" s="243"/>
      <c r="S631" s="243"/>
      <c r="T631" s="243"/>
      <c r="U631" s="243"/>
      <c r="V631" s="243"/>
      <c r="W631" s="243"/>
      <c r="X631" s="243"/>
      <c r="Y631" s="243"/>
      <c r="Z631" s="243"/>
      <c r="AA631" s="243"/>
      <c r="AB631" s="243"/>
      <c r="AC631" s="243"/>
      <c r="AD631" s="243"/>
      <c r="AE631" s="243"/>
      <c r="AF631" s="243"/>
      <c r="AG631" s="243"/>
      <c r="AH631" s="243"/>
      <c r="AI631" s="243"/>
      <c r="AJ631" s="243"/>
      <c r="AK631" s="243"/>
      <c r="AL631" s="243"/>
      <c r="AM631" s="243"/>
      <c r="AN631" s="243"/>
      <c r="AO631" s="243"/>
      <c r="AP631" s="243"/>
      <c r="AQ631" s="243"/>
      <c r="AR631" s="243"/>
      <c r="AS631" s="243"/>
      <c r="AT631" s="243"/>
      <c r="AU631" s="243"/>
      <c r="AV631" s="243"/>
      <c r="AW631" s="243"/>
      <c r="AX631" s="243"/>
      <c r="AY631" s="243"/>
      <c r="AZ631" s="243"/>
      <c r="BA631" s="243"/>
      <c r="BB631" s="243"/>
      <c r="BC631" s="243"/>
      <c r="BD631" s="243"/>
      <c r="BE631" s="243"/>
      <c r="BF631" s="243"/>
      <c r="BG631" s="243"/>
      <c r="BH631" s="243"/>
      <c r="BI631" s="243"/>
      <c r="BJ631" s="243"/>
      <c r="BK631" s="243"/>
      <c r="BL631" s="243"/>
      <c r="BM631" s="243"/>
      <c r="BN631" s="243"/>
      <c r="BO631" s="243"/>
      <c r="BP631" s="243"/>
      <c r="BQ631" s="243"/>
      <c r="BR631" s="243"/>
      <c r="BS631" s="243"/>
    </row>
    <row r="632" spans="1:71" s="12" customFormat="1" ht="41.25" customHeight="1">
      <c r="A632" s="178" t="s">
        <v>80</v>
      </c>
      <c r="B632" s="178" t="str">
        <f ca="1">+UPPER(Tabla1321124[[#This Row],[DESCRIPCIÓN DE LA COMPRA O CONTRATACIÓN]])</f>
        <v xml:space="preserve">SOGA 3/4" DE CABUYA </v>
      </c>
      <c r="C632" s="39" t="s">
        <v>17</v>
      </c>
      <c r="D632" s="369">
        <v>20</v>
      </c>
      <c r="E632" s="369">
        <v>10</v>
      </c>
      <c r="F632" s="369">
        <v>10</v>
      </c>
      <c r="G632" s="369">
        <v>10</v>
      </c>
      <c r="H632" s="240">
        <f>SUM(Tabla1321124[[#This Row],[PRIMER TRIMESTRE]:[CUARTO TRIMESTRE]])</f>
        <v>50</v>
      </c>
      <c r="I632" s="17">
        <v>95</v>
      </c>
      <c r="J632" s="17">
        <f>+Tabla1321124[[#This Row],[CANTIDAD TOTAL]]*Tabla1321124[[#This Row],[PRECIO UNITARIO ESTIMADO]]</f>
        <v>4750</v>
      </c>
      <c r="K632" s="175"/>
      <c r="L632" s="16" t="s">
        <v>18</v>
      </c>
      <c r="M632" s="16" t="s">
        <v>22</v>
      </c>
      <c r="N632" s="16"/>
      <c r="O632" s="243"/>
      <c r="P632" s="243"/>
      <c r="Q632" s="243"/>
      <c r="R632" s="243"/>
      <c r="S632" s="243"/>
      <c r="T632" s="243"/>
      <c r="U632" s="243"/>
      <c r="V632" s="243"/>
      <c r="W632" s="243"/>
      <c r="X632" s="243"/>
      <c r="Y632" s="243"/>
      <c r="Z632" s="243"/>
      <c r="AA632" s="243"/>
      <c r="AB632" s="243"/>
      <c r="AC632" s="243"/>
      <c r="AD632" s="243"/>
      <c r="AE632" s="243"/>
      <c r="AF632" s="243"/>
      <c r="AG632" s="243"/>
      <c r="AH632" s="243"/>
      <c r="AI632" s="243"/>
      <c r="AJ632" s="243"/>
      <c r="AK632" s="243"/>
      <c r="AL632" s="243"/>
      <c r="AM632" s="243"/>
      <c r="AN632" s="243"/>
      <c r="AO632" s="243"/>
      <c r="AP632" s="243"/>
      <c r="AQ632" s="243"/>
      <c r="AR632" s="243"/>
      <c r="AS632" s="243"/>
      <c r="AT632" s="243"/>
      <c r="AU632" s="243"/>
      <c r="AV632" s="243"/>
      <c r="AW632" s="243"/>
      <c r="AX632" s="243"/>
      <c r="AY632" s="243"/>
      <c r="AZ632" s="243"/>
      <c r="BA632" s="243"/>
      <c r="BB632" s="243"/>
      <c r="BC632" s="243"/>
      <c r="BD632" s="243"/>
      <c r="BE632" s="243"/>
      <c r="BF632" s="243"/>
      <c r="BG632" s="243"/>
      <c r="BH632" s="243"/>
      <c r="BI632" s="243"/>
      <c r="BJ632" s="243"/>
      <c r="BK632" s="243"/>
      <c r="BL632" s="243"/>
      <c r="BM632" s="243"/>
      <c r="BN632" s="243"/>
      <c r="BO632" s="243"/>
      <c r="BP632" s="243"/>
      <c r="BQ632" s="243"/>
      <c r="BR632" s="243"/>
      <c r="BS632" s="243"/>
    </row>
    <row r="633" spans="1:71" s="12" customFormat="1" ht="41.25" customHeight="1">
      <c r="A633" s="178" t="s">
        <v>80</v>
      </c>
      <c r="B633" s="178" t="str">
        <f ca="1">+UPPER(Tabla1321124[[#This Row],[DESCRIPCIÓN DE LA COMPRA O CONTRATACIÓN]])</f>
        <v>SOGA 3/4" DE NYLON</v>
      </c>
      <c r="C633" s="39" t="s">
        <v>17</v>
      </c>
      <c r="D633" s="369">
        <v>20</v>
      </c>
      <c r="E633" s="369">
        <v>10</v>
      </c>
      <c r="F633" s="369">
        <v>10</v>
      </c>
      <c r="G633" s="369">
        <v>10</v>
      </c>
      <c r="H633" s="240">
        <f>SUM(Tabla1321124[[#This Row],[PRIMER TRIMESTRE]:[CUARTO TRIMESTRE]])</f>
        <v>50</v>
      </c>
      <c r="I633" s="17">
        <v>95</v>
      </c>
      <c r="J633" s="17">
        <f>+Tabla1321124[[#This Row],[CANTIDAD TOTAL]]*Tabla1321124[[#This Row],[PRECIO UNITARIO ESTIMADO]]</f>
        <v>4750</v>
      </c>
      <c r="K633" s="175"/>
      <c r="L633" s="16" t="s">
        <v>18</v>
      </c>
      <c r="M633" s="16" t="s">
        <v>22</v>
      </c>
      <c r="N633" s="16"/>
      <c r="O633" s="243"/>
      <c r="P633" s="243"/>
      <c r="Q633" s="243"/>
      <c r="R633" s="243"/>
      <c r="S633" s="243"/>
      <c r="T633" s="243"/>
      <c r="U633" s="243"/>
      <c r="V633" s="243"/>
      <c r="W633" s="243"/>
      <c r="X633" s="243"/>
      <c r="Y633" s="243"/>
      <c r="Z633" s="243"/>
      <c r="AA633" s="243"/>
      <c r="AB633" s="243"/>
      <c r="AC633" s="243"/>
      <c r="AD633" s="243"/>
      <c r="AE633" s="243"/>
      <c r="AF633" s="243"/>
      <c r="AG633" s="243"/>
      <c r="AH633" s="243"/>
      <c r="AI633" s="243"/>
      <c r="AJ633" s="243"/>
      <c r="AK633" s="243"/>
      <c r="AL633" s="243"/>
      <c r="AM633" s="243"/>
      <c r="AN633" s="243"/>
      <c r="AO633" s="243"/>
      <c r="AP633" s="243"/>
      <c r="AQ633" s="243"/>
      <c r="AR633" s="243"/>
      <c r="AS633" s="243"/>
      <c r="AT633" s="243"/>
      <c r="AU633" s="243"/>
      <c r="AV633" s="243"/>
      <c r="AW633" s="243"/>
      <c r="AX633" s="243"/>
      <c r="AY633" s="243"/>
      <c r="AZ633" s="243"/>
      <c r="BA633" s="243"/>
      <c r="BB633" s="243"/>
      <c r="BC633" s="243"/>
      <c r="BD633" s="243"/>
      <c r="BE633" s="243"/>
      <c r="BF633" s="243"/>
      <c r="BG633" s="243"/>
      <c r="BH633" s="243"/>
      <c r="BI633" s="243"/>
      <c r="BJ633" s="243"/>
      <c r="BK633" s="243"/>
      <c r="BL633" s="243"/>
      <c r="BM633" s="243"/>
      <c r="BN633" s="243"/>
      <c r="BO633" s="243"/>
      <c r="BP633" s="243"/>
      <c r="BQ633" s="243"/>
      <c r="BR633" s="243"/>
      <c r="BS633" s="243"/>
    </row>
    <row r="634" spans="1:71" s="12" customFormat="1" ht="41.25" customHeight="1">
      <c r="A634" s="178" t="s">
        <v>80</v>
      </c>
      <c r="B634" s="178" t="str">
        <f ca="1">+UPPER(Tabla1321124[[#This Row],[DESCRIPCIÓN DE LA COMPRA O CONTRATACIÓN]])</f>
        <v>TAPÓN DE 1" HG</v>
      </c>
      <c r="C634" s="39" t="s">
        <v>17</v>
      </c>
      <c r="D634" s="368">
        <v>10</v>
      </c>
      <c r="E634" s="368">
        <v>10</v>
      </c>
      <c r="F634" s="368">
        <v>10</v>
      </c>
      <c r="G634" s="368">
        <v>10</v>
      </c>
      <c r="H634" s="240">
        <f>SUM(Tabla1321124[[#This Row],[PRIMER TRIMESTRE]:[CUARTO TRIMESTRE]])</f>
        <v>40</v>
      </c>
      <c r="I634" s="17">
        <v>115</v>
      </c>
      <c r="J634" s="17">
        <f>+Tabla1321124[[#This Row],[CANTIDAD TOTAL]]*Tabla1321124[[#This Row],[PRECIO UNITARIO ESTIMADO]]</f>
        <v>4600</v>
      </c>
      <c r="K634" s="175"/>
      <c r="L634" s="16" t="s">
        <v>18</v>
      </c>
      <c r="M634" s="16" t="s">
        <v>22</v>
      </c>
      <c r="N634" s="16"/>
      <c r="O634" s="243"/>
      <c r="P634" s="243"/>
      <c r="Q634" s="243"/>
      <c r="R634" s="243"/>
      <c r="S634" s="243"/>
      <c r="T634" s="243"/>
      <c r="U634" s="243"/>
      <c r="V634" s="243"/>
      <c r="W634" s="243"/>
      <c r="X634" s="243"/>
      <c r="Y634" s="243"/>
      <c r="Z634" s="243"/>
      <c r="AA634" s="243"/>
      <c r="AB634" s="243"/>
      <c r="AC634" s="243"/>
      <c r="AD634" s="243"/>
      <c r="AE634" s="243"/>
      <c r="AF634" s="243"/>
      <c r="AG634" s="243"/>
      <c r="AH634" s="243"/>
      <c r="AI634" s="243"/>
      <c r="AJ634" s="243"/>
      <c r="AK634" s="243"/>
      <c r="AL634" s="243"/>
      <c r="AM634" s="243"/>
      <c r="AN634" s="243"/>
      <c r="AO634" s="243"/>
      <c r="AP634" s="243"/>
      <c r="AQ634" s="243"/>
      <c r="AR634" s="243"/>
      <c r="AS634" s="243"/>
      <c r="AT634" s="243"/>
      <c r="AU634" s="243"/>
      <c r="AV634" s="243"/>
      <c r="AW634" s="243"/>
      <c r="AX634" s="243"/>
      <c r="AY634" s="243"/>
      <c r="AZ634" s="243"/>
      <c r="BA634" s="243"/>
      <c r="BB634" s="243"/>
      <c r="BC634" s="243"/>
      <c r="BD634" s="243"/>
      <c r="BE634" s="243"/>
      <c r="BF634" s="243"/>
      <c r="BG634" s="243"/>
      <c r="BH634" s="243"/>
      <c r="BI634" s="243"/>
      <c r="BJ634" s="243"/>
      <c r="BK634" s="243"/>
      <c r="BL634" s="243"/>
      <c r="BM634" s="243"/>
      <c r="BN634" s="243"/>
      <c r="BO634" s="243"/>
      <c r="BP634" s="243"/>
      <c r="BQ634" s="243"/>
      <c r="BR634" s="243"/>
      <c r="BS634" s="243"/>
    </row>
    <row r="635" spans="1:71" s="12" customFormat="1" ht="41.25" customHeight="1">
      <c r="A635" s="178" t="s">
        <v>80</v>
      </c>
      <c r="B635" s="178" t="str">
        <f ca="1">+UPPER(Tabla1321124[[#This Row],[DESCRIPCIÓN DE LA COMPRA O CONTRATACIÓN]])</f>
        <v>TAPÓN DE 1"PVC</v>
      </c>
      <c r="C635" s="39" t="s">
        <v>17</v>
      </c>
      <c r="D635" s="368">
        <v>50</v>
      </c>
      <c r="E635" s="369">
        <v>25</v>
      </c>
      <c r="F635" s="369">
        <v>25</v>
      </c>
      <c r="G635" s="369">
        <v>25</v>
      </c>
      <c r="H635" s="240">
        <f>SUM(Tabla1321124[[#This Row],[PRIMER TRIMESTRE]:[CUARTO TRIMESTRE]])</f>
        <v>125</v>
      </c>
      <c r="I635" s="17">
        <v>95</v>
      </c>
      <c r="J635" s="17">
        <f>+Tabla1321124[[#This Row],[CANTIDAD TOTAL]]*Tabla1321124[[#This Row],[PRECIO UNITARIO ESTIMADO]]</f>
        <v>11875</v>
      </c>
      <c r="K635" s="175"/>
      <c r="L635" s="16" t="s">
        <v>18</v>
      </c>
      <c r="M635" s="16" t="s">
        <v>22</v>
      </c>
      <c r="N635" s="16"/>
      <c r="O635" s="243"/>
      <c r="P635" s="243"/>
      <c r="Q635" s="243"/>
      <c r="R635" s="243"/>
      <c r="S635" s="243"/>
      <c r="T635" s="243"/>
      <c r="U635" s="243"/>
      <c r="V635" s="243"/>
      <c r="W635" s="243"/>
      <c r="X635" s="243"/>
      <c r="Y635" s="243"/>
      <c r="Z635" s="243"/>
      <c r="AA635" s="243"/>
      <c r="AB635" s="243"/>
      <c r="AC635" s="243"/>
      <c r="AD635" s="243"/>
      <c r="AE635" s="243"/>
      <c r="AF635" s="243"/>
      <c r="AG635" s="243"/>
      <c r="AH635" s="243"/>
      <c r="AI635" s="243"/>
      <c r="AJ635" s="243"/>
      <c r="AK635" s="243"/>
      <c r="AL635" s="243"/>
      <c r="AM635" s="243"/>
      <c r="AN635" s="243"/>
      <c r="AO635" s="243"/>
      <c r="AP635" s="243"/>
      <c r="AQ635" s="243"/>
      <c r="AR635" s="243"/>
      <c r="AS635" s="243"/>
      <c r="AT635" s="243"/>
      <c r="AU635" s="243"/>
      <c r="AV635" s="243"/>
      <c r="AW635" s="243"/>
      <c r="AX635" s="243"/>
      <c r="AY635" s="243"/>
      <c r="AZ635" s="243"/>
      <c r="BA635" s="243"/>
      <c r="BB635" s="243"/>
      <c r="BC635" s="243"/>
      <c r="BD635" s="243"/>
      <c r="BE635" s="243"/>
      <c r="BF635" s="243"/>
      <c r="BG635" s="243"/>
      <c r="BH635" s="243"/>
      <c r="BI635" s="243"/>
      <c r="BJ635" s="243"/>
      <c r="BK635" s="243"/>
      <c r="BL635" s="243"/>
      <c r="BM635" s="243"/>
      <c r="BN635" s="243"/>
      <c r="BO635" s="243"/>
      <c r="BP635" s="243"/>
      <c r="BQ635" s="243"/>
      <c r="BR635" s="243"/>
      <c r="BS635" s="243"/>
    </row>
    <row r="636" spans="1:71" s="12" customFormat="1" ht="41.25" customHeight="1">
      <c r="A636" s="178" t="s">
        <v>80</v>
      </c>
      <c r="B636" s="178" t="str">
        <f ca="1">+UPPER(Tabla1321124[[#This Row],[DESCRIPCIÓN DE LA COMPRA O CONTRATACIÓN]])</f>
        <v>TAPÓN DE 2" PVC</v>
      </c>
      <c r="C636" s="39" t="s">
        <v>17</v>
      </c>
      <c r="D636" s="368">
        <v>20</v>
      </c>
      <c r="E636" s="369">
        <v>10</v>
      </c>
      <c r="F636" s="369">
        <v>10</v>
      </c>
      <c r="G636" s="369">
        <v>10</v>
      </c>
      <c r="H636" s="240">
        <f>SUM(Tabla1321124[[#This Row],[PRIMER TRIMESTRE]:[CUARTO TRIMESTRE]])</f>
        <v>50</v>
      </c>
      <c r="I636" s="17">
        <v>110</v>
      </c>
      <c r="J636" s="17">
        <f>+Tabla1321124[[#This Row],[CANTIDAD TOTAL]]*Tabla1321124[[#This Row],[PRECIO UNITARIO ESTIMADO]]</f>
        <v>5500</v>
      </c>
      <c r="K636" s="175"/>
      <c r="L636" s="16" t="s">
        <v>18</v>
      </c>
      <c r="M636" s="16" t="s">
        <v>22</v>
      </c>
      <c r="N636" s="16"/>
      <c r="O636" s="243"/>
      <c r="P636" s="243"/>
      <c r="Q636" s="243"/>
      <c r="R636" s="243"/>
      <c r="S636" s="243"/>
      <c r="T636" s="243"/>
      <c r="U636" s="243"/>
      <c r="V636" s="243"/>
      <c r="W636" s="243"/>
      <c r="X636" s="243"/>
      <c r="Y636" s="243"/>
      <c r="Z636" s="243"/>
      <c r="AA636" s="243"/>
      <c r="AB636" s="243"/>
      <c r="AC636" s="243"/>
      <c r="AD636" s="243"/>
      <c r="AE636" s="243"/>
      <c r="AF636" s="243"/>
      <c r="AG636" s="243"/>
      <c r="AH636" s="243"/>
      <c r="AI636" s="243"/>
      <c r="AJ636" s="243"/>
      <c r="AK636" s="243"/>
      <c r="AL636" s="243"/>
      <c r="AM636" s="243"/>
      <c r="AN636" s="243"/>
      <c r="AO636" s="243"/>
      <c r="AP636" s="243"/>
      <c r="AQ636" s="243"/>
      <c r="AR636" s="243"/>
      <c r="AS636" s="243"/>
      <c r="AT636" s="243"/>
      <c r="AU636" s="243"/>
      <c r="AV636" s="243"/>
      <c r="AW636" s="243"/>
      <c r="AX636" s="243"/>
      <c r="AY636" s="243"/>
      <c r="AZ636" s="243"/>
      <c r="BA636" s="243"/>
      <c r="BB636" s="243"/>
      <c r="BC636" s="243"/>
      <c r="BD636" s="243"/>
      <c r="BE636" s="243"/>
      <c r="BF636" s="243"/>
      <c r="BG636" s="243"/>
      <c r="BH636" s="243"/>
      <c r="BI636" s="243"/>
      <c r="BJ636" s="243"/>
      <c r="BK636" s="243"/>
      <c r="BL636" s="243"/>
      <c r="BM636" s="243"/>
      <c r="BN636" s="243"/>
      <c r="BO636" s="243"/>
      <c r="BP636" s="243"/>
      <c r="BQ636" s="243"/>
      <c r="BR636" s="243"/>
      <c r="BS636" s="243"/>
    </row>
    <row r="637" spans="1:71" s="12" customFormat="1" ht="41.25" customHeight="1">
      <c r="A637" s="178" t="s">
        <v>80</v>
      </c>
      <c r="B637" s="178" t="str">
        <f ca="1">+UPPER(Tabla1321124[[#This Row],[DESCRIPCIÓN DE LA COMPRA O CONTRATACIÓN]])</f>
        <v>TARUGOS 1/2" PLOMO</v>
      </c>
      <c r="C637" s="39" t="s">
        <v>17</v>
      </c>
      <c r="D637" s="368">
        <v>50</v>
      </c>
      <c r="E637" s="368">
        <v>50</v>
      </c>
      <c r="F637" s="368">
        <v>50</v>
      </c>
      <c r="G637" s="368">
        <v>50</v>
      </c>
      <c r="H637" s="240">
        <f>SUM(Tabla1321124[[#This Row],[PRIMER TRIMESTRE]:[CUARTO TRIMESTRE]])</f>
        <v>200</v>
      </c>
      <c r="I637" s="17">
        <v>150</v>
      </c>
      <c r="J637" s="17">
        <f>+Tabla1321124[[#This Row],[CANTIDAD TOTAL]]*Tabla1321124[[#This Row],[PRECIO UNITARIO ESTIMADO]]</f>
        <v>30000</v>
      </c>
      <c r="K637" s="175"/>
      <c r="L637" s="16" t="s">
        <v>18</v>
      </c>
      <c r="M637" s="16" t="s">
        <v>22</v>
      </c>
      <c r="N637" s="16"/>
      <c r="O637" s="243"/>
      <c r="P637" s="243"/>
      <c r="Q637" s="243"/>
      <c r="R637" s="243"/>
      <c r="S637" s="243"/>
      <c r="T637" s="243"/>
      <c r="U637" s="243"/>
      <c r="V637" s="243"/>
      <c r="W637" s="243"/>
      <c r="X637" s="243"/>
      <c r="Y637" s="243"/>
      <c r="Z637" s="243"/>
      <c r="AA637" s="243"/>
      <c r="AB637" s="243"/>
      <c r="AC637" s="243"/>
      <c r="AD637" s="243"/>
      <c r="AE637" s="243"/>
      <c r="AF637" s="243"/>
      <c r="AG637" s="243"/>
      <c r="AH637" s="243"/>
      <c r="AI637" s="243"/>
      <c r="AJ637" s="243"/>
      <c r="AK637" s="243"/>
      <c r="AL637" s="243"/>
      <c r="AM637" s="243"/>
      <c r="AN637" s="243"/>
      <c r="AO637" s="243"/>
      <c r="AP637" s="243"/>
      <c r="AQ637" s="243"/>
      <c r="AR637" s="243"/>
      <c r="AS637" s="243"/>
      <c r="AT637" s="243"/>
      <c r="AU637" s="243"/>
      <c r="AV637" s="243"/>
      <c r="AW637" s="243"/>
      <c r="AX637" s="243"/>
      <c r="AY637" s="243"/>
      <c r="AZ637" s="243"/>
      <c r="BA637" s="243"/>
      <c r="BB637" s="243"/>
      <c r="BC637" s="243"/>
      <c r="BD637" s="243"/>
      <c r="BE637" s="243"/>
      <c r="BF637" s="243"/>
      <c r="BG637" s="243"/>
      <c r="BH637" s="243"/>
      <c r="BI637" s="243"/>
      <c r="BJ637" s="243"/>
      <c r="BK637" s="243"/>
      <c r="BL637" s="243"/>
      <c r="BM637" s="243"/>
      <c r="BN637" s="243"/>
      <c r="BO637" s="243"/>
      <c r="BP637" s="243"/>
      <c r="BQ637" s="243"/>
      <c r="BR637" s="243"/>
      <c r="BS637" s="243"/>
    </row>
    <row r="638" spans="1:71" s="12" customFormat="1" ht="41.25" customHeight="1">
      <c r="A638" s="178" t="s">
        <v>80</v>
      </c>
      <c r="B638" s="178" t="str">
        <f ca="1">+UPPER(Tabla1321124[[#This Row],[DESCRIPCIÓN DE LA COMPRA O CONTRATACIÓN]])</f>
        <v>TARUGOS 1/4" PLOMO</v>
      </c>
      <c r="C638" s="39" t="s">
        <v>17</v>
      </c>
      <c r="D638" s="368">
        <v>50</v>
      </c>
      <c r="E638" s="368">
        <v>50</v>
      </c>
      <c r="F638" s="368">
        <v>50</v>
      </c>
      <c r="G638" s="368">
        <v>50</v>
      </c>
      <c r="H638" s="240">
        <f>SUM(Tabla1321124[[#This Row],[PRIMER TRIMESTRE]:[CUARTO TRIMESTRE]])</f>
        <v>200</v>
      </c>
      <c r="I638" s="17">
        <v>160</v>
      </c>
      <c r="J638" s="17">
        <f>+Tabla1321124[[#This Row],[CANTIDAD TOTAL]]*Tabla1321124[[#This Row],[PRECIO UNITARIO ESTIMADO]]</f>
        <v>32000</v>
      </c>
      <c r="K638" s="175"/>
      <c r="L638" s="16" t="s">
        <v>18</v>
      </c>
      <c r="M638" s="16" t="s">
        <v>22</v>
      </c>
      <c r="N638" s="16"/>
      <c r="O638" s="243"/>
      <c r="P638" s="243"/>
      <c r="Q638" s="243"/>
      <c r="R638" s="243"/>
      <c r="S638" s="243"/>
      <c r="T638" s="243"/>
      <c r="U638" s="243"/>
      <c r="V638" s="243"/>
      <c r="W638" s="243"/>
      <c r="X638" s="243"/>
      <c r="Y638" s="243"/>
      <c r="Z638" s="243"/>
      <c r="AA638" s="243"/>
      <c r="AB638" s="243"/>
      <c r="AC638" s="243"/>
      <c r="AD638" s="243"/>
      <c r="AE638" s="243"/>
      <c r="AF638" s="243"/>
      <c r="AG638" s="243"/>
      <c r="AH638" s="243"/>
      <c r="AI638" s="243"/>
      <c r="AJ638" s="243"/>
      <c r="AK638" s="243"/>
      <c r="AL638" s="243"/>
      <c r="AM638" s="243"/>
      <c r="AN638" s="243"/>
      <c r="AO638" s="243"/>
      <c r="AP638" s="243"/>
      <c r="AQ638" s="243"/>
      <c r="AR638" s="243"/>
      <c r="AS638" s="243"/>
      <c r="AT638" s="243"/>
      <c r="AU638" s="243"/>
      <c r="AV638" s="243"/>
      <c r="AW638" s="243"/>
      <c r="AX638" s="243"/>
      <c r="AY638" s="243"/>
      <c r="AZ638" s="243"/>
      <c r="BA638" s="243"/>
      <c r="BB638" s="243"/>
      <c r="BC638" s="243"/>
      <c r="BD638" s="243"/>
      <c r="BE638" s="243"/>
      <c r="BF638" s="243"/>
      <c r="BG638" s="243"/>
      <c r="BH638" s="243"/>
      <c r="BI638" s="243"/>
      <c r="BJ638" s="243"/>
      <c r="BK638" s="243"/>
      <c r="BL638" s="243"/>
      <c r="BM638" s="243"/>
      <c r="BN638" s="243"/>
      <c r="BO638" s="243"/>
      <c r="BP638" s="243"/>
      <c r="BQ638" s="243"/>
      <c r="BR638" s="243"/>
      <c r="BS638" s="243"/>
    </row>
    <row r="639" spans="1:71" s="12" customFormat="1" ht="41.25" customHeight="1">
      <c r="A639" s="178" t="s">
        <v>80</v>
      </c>
      <c r="B639" s="178" t="str">
        <f ca="1">+UPPER(Tabla1321124[[#This Row],[DESCRIPCIÓN DE LA COMPRA O CONTRATACIÓN]])</f>
        <v>TARUGOS 3/4" PLOMO</v>
      </c>
      <c r="C639" s="39" t="s">
        <v>17</v>
      </c>
      <c r="D639" s="368">
        <v>10</v>
      </c>
      <c r="E639" s="368">
        <v>10</v>
      </c>
      <c r="F639" s="368">
        <v>10</v>
      </c>
      <c r="G639" s="368">
        <v>10</v>
      </c>
      <c r="H639" s="240">
        <f>SUM(Tabla1321124[[#This Row],[PRIMER TRIMESTRE]:[CUARTO TRIMESTRE]])</f>
        <v>40</v>
      </c>
      <c r="I639" s="17">
        <v>175</v>
      </c>
      <c r="J639" s="17">
        <f>+Tabla1321124[[#This Row],[CANTIDAD TOTAL]]*Tabla1321124[[#This Row],[PRECIO UNITARIO ESTIMADO]]</f>
        <v>7000</v>
      </c>
      <c r="K639" s="175"/>
      <c r="L639" s="16" t="s">
        <v>18</v>
      </c>
      <c r="M639" s="16" t="s">
        <v>22</v>
      </c>
      <c r="N639" s="16"/>
      <c r="O639" s="243"/>
      <c r="P639" s="243"/>
      <c r="Q639" s="243"/>
      <c r="R639" s="243"/>
      <c r="S639" s="243"/>
      <c r="T639" s="243"/>
      <c r="U639" s="243"/>
      <c r="V639" s="243"/>
      <c r="W639" s="243"/>
      <c r="X639" s="243"/>
      <c r="Y639" s="243"/>
      <c r="Z639" s="243"/>
      <c r="AA639" s="243"/>
      <c r="AB639" s="243"/>
      <c r="AC639" s="243"/>
      <c r="AD639" s="243"/>
      <c r="AE639" s="243"/>
      <c r="AF639" s="243"/>
      <c r="AG639" s="243"/>
      <c r="AH639" s="243"/>
      <c r="AI639" s="243"/>
      <c r="AJ639" s="243"/>
      <c r="AK639" s="243"/>
      <c r="AL639" s="243"/>
      <c r="AM639" s="243"/>
      <c r="AN639" s="243"/>
      <c r="AO639" s="243"/>
      <c r="AP639" s="243"/>
      <c r="AQ639" s="243"/>
      <c r="AR639" s="243"/>
      <c r="AS639" s="243"/>
      <c r="AT639" s="243"/>
      <c r="AU639" s="243"/>
      <c r="AV639" s="243"/>
      <c r="AW639" s="243"/>
      <c r="AX639" s="243"/>
      <c r="AY639" s="243"/>
      <c r="AZ639" s="243"/>
      <c r="BA639" s="243"/>
      <c r="BB639" s="243"/>
      <c r="BC639" s="243"/>
      <c r="BD639" s="243"/>
      <c r="BE639" s="243"/>
      <c r="BF639" s="243"/>
      <c r="BG639" s="243"/>
      <c r="BH639" s="243"/>
      <c r="BI639" s="243"/>
      <c r="BJ639" s="243"/>
      <c r="BK639" s="243"/>
      <c r="BL639" s="243"/>
      <c r="BM639" s="243"/>
      <c r="BN639" s="243"/>
      <c r="BO639" s="243"/>
      <c r="BP639" s="243"/>
      <c r="BQ639" s="243"/>
      <c r="BR639" s="243"/>
      <c r="BS639" s="243"/>
    </row>
    <row r="640" spans="1:71" s="12" customFormat="1" ht="41.25" customHeight="1">
      <c r="A640" s="178" t="s">
        <v>80</v>
      </c>
      <c r="B640" s="178" t="str">
        <f ca="1">+UPPER(Tabla1321124[[#This Row],[DESCRIPCIÓN DE LA COMPRA O CONTRATACIÓN]])</f>
        <v>TARUGOS 3/8" PLOMO</v>
      </c>
      <c r="C640" s="39" t="s">
        <v>17</v>
      </c>
      <c r="D640" s="368">
        <v>50</v>
      </c>
      <c r="E640" s="368">
        <v>50</v>
      </c>
      <c r="F640" s="368">
        <v>50</v>
      </c>
      <c r="G640" s="368">
        <v>50</v>
      </c>
      <c r="H640" s="240">
        <f>SUM(Tabla1321124[[#This Row],[PRIMER TRIMESTRE]:[CUARTO TRIMESTRE]])</f>
        <v>200</v>
      </c>
      <c r="I640" s="17">
        <v>190</v>
      </c>
      <c r="J640" s="17">
        <f>+Tabla1321124[[#This Row],[CANTIDAD TOTAL]]*Tabla1321124[[#This Row],[PRECIO UNITARIO ESTIMADO]]</f>
        <v>38000</v>
      </c>
      <c r="K640" s="175"/>
      <c r="L640" s="16" t="s">
        <v>18</v>
      </c>
      <c r="M640" s="16" t="s">
        <v>22</v>
      </c>
      <c r="N640" s="16"/>
      <c r="O640" s="243"/>
      <c r="P640" s="243"/>
      <c r="Q640" s="243"/>
      <c r="R640" s="243"/>
      <c r="S640" s="243"/>
      <c r="T640" s="243"/>
      <c r="U640" s="243"/>
      <c r="V640" s="243"/>
      <c r="W640" s="243"/>
      <c r="X640" s="243"/>
      <c r="Y640" s="243"/>
      <c r="Z640" s="243"/>
      <c r="AA640" s="243"/>
      <c r="AB640" s="243"/>
      <c r="AC640" s="243"/>
      <c r="AD640" s="243"/>
      <c r="AE640" s="243"/>
      <c r="AF640" s="243"/>
      <c r="AG640" s="243"/>
      <c r="AH640" s="243"/>
      <c r="AI640" s="243"/>
      <c r="AJ640" s="243"/>
      <c r="AK640" s="243"/>
      <c r="AL640" s="243"/>
      <c r="AM640" s="243"/>
      <c r="AN640" s="243"/>
      <c r="AO640" s="243"/>
      <c r="AP640" s="243"/>
      <c r="AQ640" s="243"/>
      <c r="AR640" s="243"/>
      <c r="AS640" s="243"/>
      <c r="AT640" s="243"/>
      <c r="AU640" s="243"/>
      <c r="AV640" s="243"/>
      <c r="AW640" s="243"/>
      <c r="AX640" s="243"/>
      <c r="AY640" s="243"/>
      <c r="AZ640" s="243"/>
      <c r="BA640" s="243"/>
      <c r="BB640" s="243"/>
      <c r="BC640" s="243"/>
      <c r="BD640" s="243"/>
      <c r="BE640" s="243"/>
      <c r="BF640" s="243"/>
      <c r="BG640" s="243"/>
      <c r="BH640" s="243"/>
      <c r="BI640" s="243"/>
      <c r="BJ640" s="243"/>
      <c r="BK640" s="243"/>
      <c r="BL640" s="243"/>
      <c r="BM640" s="243"/>
      <c r="BN640" s="243"/>
      <c r="BO640" s="243"/>
      <c r="BP640" s="243"/>
      <c r="BQ640" s="243"/>
      <c r="BR640" s="243"/>
      <c r="BS640" s="243"/>
    </row>
    <row r="641" spans="1:71" s="12" customFormat="1" ht="41.25" customHeight="1">
      <c r="A641" s="178" t="s">
        <v>80</v>
      </c>
      <c r="B641" s="178" t="str">
        <f ca="1">+UPPER(Tabla1321124[[#This Row],[DESCRIPCIÓN DE LA COMPRA O CONTRATACIÓN]])</f>
        <v>TARUGOS 5/16" PLOMO</v>
      </c>
      <c r="C641" s="39" t="s">
        <v>17</v>
      </c>
      <c r="D641" s="368">
        <v>50</v>
      </c>
      <c r="E641" s="368">
        <v>50</v>
      </c>
      <c r="F641" s="368">
        <v>50</v>
      </c>
      <c r="G641" s="368">
        <v>50</v>
      </c>
      <c r="H641" s="240">
        <f>SUM(Tabla1321124[[#This Row],[PRIMER TRIMESTRE]:[CUARTO TRIMESTRE]])</f>
        <v>200</v>
      </c>
      <c r="I641" s="17">
        <v>210</v>
      </c>
      <c r="J641" s="17">
        <f>+Tabla1321124[[#This Row],[CANTIDAD TOTAL]]*Tabla1321124[[#This Row],[PRECIO UNITARIO ESTIMADO]]</f>
        <v>42000</v>
      </c>
      <c r="K641" s="175"/>
      <c r="L641" s="16" t="s">
        <v>18</v>
      </c>
      <c r="M641" s="16" t="s">
        <v>22</v>
      </c>
      <c r="N641" s="16"/>
      <c r="O641" s="243"/>
      <c r="P641" s="243"/>
      <c r="Q641" s="243"/>
      <c r="R641" s="243"/>
      <c r="S641" s="243"/>
      <c r="T641" s="243"/>
      <c r="U641" s="243"/>
      <c r="V641" s="243"/>
      <c r="W641" s="243"/>
      <c r="X641" s="243"/>
      <c r="Y641" s="243"/>
      <c r="Z641" s="243"/>
      <c r="AA641" s="243"/>
      <c r="AB641" s="243"/>
      <c r="AC641" s="243"/>
      <c r="AD641" s="243"/>
      <c r="AE641" s="243"/>
      <c r="AF641" s="243"/>
      <c r="AG641" s="243"/>
      <c r="AH641" s="243"/>
      <c r="AI641" s="243"/>
      <c r="AJ641" s="243"/>
      <c r="AK641" s="243"/>
      <c r="AL641" s="243"/>
      <c r="AM641" s="243"/>
      <c r="AN641" s="243"/>
      <c r="AO641" s="243"/>
      <c r="AP641" s="243"/>
      <c r="AQ641" s="243"/>
      <c r="AR641" s="243"/>
      <c r="AS641" s="243"/>
      <c r="AT641" s="243"/>
      <c r="AU641" s="243"/>
      <c r="AV641" s="243"/>
      <c r="AW641" s="243"/>
      <c r="AX641" s="243"/>
      <c r="AY641" s="243"/>
      <c r="AZ641" s="243"/>
      <c r="BA641" s="243"/>
      <c r="BB641" s="243"/>
      <c r="BC641" s="243"/>
      <c r="BD641" s="243"/>
      <c r="BE641" s="243"/>
      <c r="BF641" s="243"/>
      <c r="BG641" s="243"/>
      <c r="BH641" s="243"/>
      <c r="BI641" s="243"/>
      <c r="BJ641" s="243"/>
      <c r="BK641" s="243"/>
      <c r="BL641" s="243"/>
      <c r="BM641" s="243"/>
      <c r="BN641" s="243"/>
      <c r="BO641" s="243"/>
      <c r="BP641" s="243"/>
      <c r="BQ641" s="243"/>
      <c r="BR641" s="243"/>
      <c r="BS641" s="243"/>
    </row>
    <row r="642" spans="1:71" s="12" customFormat="1" ht="41.25" customHeight="1">
      <c r="A642" s="178" t="s">
        <v>80</v>
      </c>
      <c r="B642" s="178" t="str">
        <f ca="1">+UPPER(Tabla1321124[[#This Row],[DESCRIPCIÓN DE LA COMPRA O CONTRATACIÓN]])</f>
        <v>SOGA 3/4 PLASTICA</v>
      </c>
      <c r="C642" s="39" t="s">
        <v>189</v>
      </c>
      <c r="D642" s="370">
        <v>70</v>
      </c>
      <c r="E642" s="370">
        <v>20</v>
      </c>
      <c r="F642" s="370">
        <v>20</v>
      </c>
      <c r="G642" s="370">
        <v>20</v>
      </c>
      <c r="H642" s="240">
        <f>SUM(Tabla1321124[[#This Row],[PRIMER TRIMESTRE]:[CUARTO TRIMESTRE]])</f>
        <v>130</v>
      </c>
      <c r="I642" s="17">
        <v>104.4</v>
      </c>
      <c r="J642" s="17">
        <f>+Tabla1321124[[#This Row],[CANTIDAD TOTAL]]*Tabla1321124[[#This Row],[PRECIO UNITARIO ESTIMADO]]</f>
        <v>13572</v>
      </c>
      <c r="K642" s="175"/>
      <c r="L642" s="16" t="s">
        <v>18</v>
      </c>
      <c r="M642" s="16" t="s">
        <v>22</v>
      </c>
      <c r="N642" s="16" t="s">
        <v>418</v>
      </c>
      <c r="O642" s="243"/>
      <c r="P642" s="243"/>
      <c r="Q642" s="243"/>
      <c r="R642" s="243"/>
      <c r="S642" s="243"/>
      <c r="T642" s="243"/>
      <c r="U642" s="243"/>
      <c r="V642" s="243"/>
      <c r="W642" s="243"/>
      <c r="X642" s="243"/>
      <c r="Y642" s="243"/>
      <c r="Z642" s="243"/>
      <c r="AA642" s="243"/>
      <c r="AB642" s="243"/>
      <c r="AC642" s="243"/>
      <c r="AD642" s="243"/>
      <c r="AE642" s="243"/>
      <c r="AF642" s="243"/>
      <c r="AG642" s="243"/>
      <c r="AH642" s="243"/>
      <c r="AI642" s="243"/>
      <c r="AJ642" s="243"/>
      <c r="AK642" s="243"/>
      <c r="AL642" s="243"/>
      <c r="AM642" s="243"/>
      <c r="AN642" s="243"/>
      <c r="AO642" s="243"/>
      <c r="AP642" s="243"/>
      <c r="AQ642" s="243"/>
      <c r="AR642" s="243"/>
      <c r="AS642" s="243"/>
      <c r="AT642" s="243"/>
      <c r="AU642" s="243"/>
      <c r="AV642" s="243"/>
      <c r="AW642" s="243"/>
      <c r="AX642" s="243"/>
      <c r="AY642" s="243"/>
      <c r="AZ642" s="243"/>
      <c r="BA642" s="243"/>
      <c r="BB642" s="243"/>
      <c r="BC642" s="243"/>
      <c r="BD642" s="243"/>
      <c r="BE642" s="243"/>
      <c r="BF642" s="243"/>
      <c r="BG642" s="243"/>
      <c r="BH642" s="243"/>
      <c r="BI642" s="243"/>
      <c r="BJ642" s="243"/>
      <c r="BK642" s="243"/>
      <c r="BL642" s="243"/>
      <c r="BM642" s="243"/>
      <c r="BN642" s="243"/>
      <c r="BO642" s="243"/>
      <c r="BP642" s="243"/>
      <c r="BQ642" s="243"/>
      <c r="BR642" s="243"/>
      <c r="BS642" s="243"/>
    </row>
    <row r="643" spans="1:71" s="12" customFormat="1" ht="41.25" customHeight="1">
      <c r="A643" s="178" t="s">
        <v>80</v>
      </c>
      <c r="B643" s="178" t="str">
        <f ca="1">+UPPER(Tabla1321124[[#This Row],[DESCRIPCIÓN DE LA COMPRA O CONTRATACIÓN]])</f>
        <v>ZAPATILLAS DE CUERO DIAMETRO 1 7/8''</v>
      </c>
      <c r="C643" s="39" t="s">
        <v>17</v>
      </c>
      <c r="D643" s="236">
        <v>10</v>
      </c>
      <c r="E643" s="236"/>
      <c r="F643" s="236"/>
      <c r="G643" s="236"/>
      <c r="H643" s="240">
        <f>SUM(Tabla1321124[[#This Row],[PRIMER TRIMESTRE]:[CUARTO TRIMESTRE]])</f>
        <v>10</v>
      </c>
      <c r="I643" s="17">
        <v>350</v>
      </c>
      <c r="J643" s="17">
        <f>+Tabla1321124[[#This Row],[CANTIDAD TOTAL]]*Tabla1321124[[#This Row],[PRECIO UNITARIO ESTIMADO]]</f>
        <v>3500</v>
      </c>
      <c r="K643" s="330"/>
      <c r="L643" s="16" t="s">
        <v>18</v>
      </c>
      <c r="M643" s="16" t="s">
        <v>22</v>
      </c>
      <c r="N643" s="16" t="s">
        <v>418</v>
      </c>
      <c r="O643" s="243"/>
      <c r="P643" s="243"/>
      <c r="Q643" s="243"/>
      <c r="R643" s="243"/>
      <c r="S643" s="243"/>
      <c r="T643" s="243"/>
      <c r="U643" s="243"/>
      <c r="V643" s="243"/>
      <c r="W643" s="243"/>
      <c r="X643" s="243"/>
      <c r="Y643" s="243"/>
      <c r="Z643" s="243"/>
      <c r="AA643" s="243"/>
      <c r="AB643" s="243"/>
      <c r="AC643" s="243"/>
      <c r="AD643" s="243"/>
      <c r="AE643" s="243"/>
      <c r="AF643" s="243"/>
      <c r="AG643" s="243"/>
      <c r="AH643" s="243"/>
      <c r="AI643" s="243"/>
      <c r="AJ643" s="243"/>
      <c r="AK643" s="243"/>
      <c r="AL643" s="243"/>
      <c r="AM643" s="243"/>
      <c r="AN643" s="243"/>
      <c r="AO643" s="243"/>
      <c r="AP643" s="243"/>
      <c r="AQ643" s="243"/>
      <c r="AR643" s="243"/>
      <c r="AS643" s="243"/>
      <c r="AT643" s="243"/>
      <c r="AU643" s="243"/>
      <c r="AV643" s="243"/>
      <c r="AW643" s="243"/>
      <c r="AX643" s="243"/>
      <c r="AY643" s="243"/>
      <c r="AZ643" s="243"/>
      <c r="BA643" s="243"/>
      <c r="BB643" s="243"/>
      <c r="BC643" s="243"/>
      <c r="BD643" s="243"/>
      <c r="BE643" s="243"/>
      <c r="BF643" s="243"/>
      <c r="BG643" s="243"/>
      <c r="BH643" s="243"/>
      <c r="BI643" s="243"/>
      <c r="BJ643" s="243"/>
      <c r="BK643" s="243"/>
      <c r="BL643" s="243"/>
      <c r="BM643" s="243"/>
      <c r="BN643" s="243"/>
      <c r="BO643" s="243"/>
      <c r="BP643" s="243"/>
      <c r="BQ643" s="243"/>
      <c r="BR643" s="243"/>
      <c r="BS643" s="243"/>
    </row>
    <row r="644" spans="1:71" s="12" customFormat="1" ht="41.25" customHeight="1">
      <c r="A644" s="178" t="s">
        <v>80</v>
      </c>
      <c r="B644" s="178" t="str">
        <f ca="1">+UPPER(Tabla1321124[[#This Row],[DESCRIPCIÓN DE LA COMPRA O CONTRATACIÓN]])</f>
        <v>ZAPATILLAS DE CUERO DIAMETRO 2''</v>
      </c>
      <c r="C644" s="39" t="s">
        <v>17</v>
      </c>
      <c r="D644" s="236">
        <v>10</v>
      </c>
      <c r="E644" s="236"/>
      <c r="F644" s="236"/>
      <c r="G644" s="236"/>
      <c r="H644" s="240">
        <f>SUM(Tabla1321124[[#This Row],[PRIMER TRIMESTRE]:[CUARTO TRIMESTRE]])</f>
        <v>10</v>
      </c>
      <c r="I644" s="17">
        <v>450</v>
      </c>
      <c r="J644" s="17">
        <f>+Tabla1321124[[#This Row],[CANTIDAD TOTAL]]*Tabla1321124[[#This Row],[PRECIO UNITARIO ESTIMADO]]</f>
        <v>4500</v>
      </c>
      <c r="K644" s="330"/>
      <c r="L644" s="16" t="s">
        <v>18</v>
      </c>
      <c r="M644" s="16" t="s">
        <v>22</v>
      </c>
      <c r="N644" s="16" t="s">
        <v>418</v>
      </c>
      <c r="O644" s="243"/>
      <c r="P644" s="243"/>
      <c r="Q644" s="243"/>
      <c r="R644" s="243"/>
      <c r="S644" s="243"/>
      <c r="T644" s="243"/>
      <c r="U644" s="243"/>
      <c r="V644" s="243"/>
      <c r="W644" s="243"/>
      <c r="X644" s="243"/>
      <c r="Y644" s="243"/>
      <c r="Z644" s="243"/>
      <c r="AA644" s="243"/>
      <c r="AB644" s="243"/>
      <c r="AC644" s="243"/>
      <c r="AD644" s="243"/>
      <c r="AE644" s="243"/>
      <c r="AF644" s="243"/>
      <c r="AG644" s="243"/>
      <c r="AH644" s="243"/>
      <c r="AI644" s="243"/>
      <c r="AJ644" s="243"/>
      <c r="AK644" s="243"/>
      <c r="AL644" s="243"/>
      <c r="AM644" s="243"/>
      <c r="AN644" s="243"/>
      <c r="AO644" s="243"/>
      <c r="AP644" s="243"/>
      <c r="AQ644" s="243"/>
      <c r="AR644" s="243"/>
      <c r="AS644" s="243"/>
      <c r="AT644" s="243"/>
      <c r="AU644" s="243"/>
      <c r="AV644" s="243"/>
      <c r="AW644" s="243"/>
      <c r="AX644" s="243"/>
      <c r="AY644" s="243"/>
      <c r="AZ644" s="243"/>
      <c r="BA644" s="243"/>
      <c r="BB644" s="243"/>
      <c r="BC644" s="243"/>
      <c r="BD644" s="243"/>
      <c r="BE644" s="243"/>
      <c r="BF644" s="243"/>
      <c r="BG644" s="243"/>
      <c r="BH644" s="243"/>
      <c r="BI644" s="243"/>
      <c r="BJ644" s="243"/>
      <c r="BK644" s="243"/>
      <c r="BL644" s="243"/>
      <c r="BM644" s="243"/>
      <c r="BN644" s="243"/>
      <c r="BO644" s="243"/>
      <c r="BP644" s="243"/>
      <c r="BQ644" s="243"/>
      <c r="BR644" s="243"/>
      <c r="BS644" s="243"/>
    </row>
    <row r="645" spans="1:71" s="12" customFormat="1" ht="41.25" customHeight="1">
      <c r="A645" s="178" t="s">
        <v>80</v>
      </c>
      <c r="B645" s="178" t="str">
        <f ca="1">+UPPER(Tabla1321124[[#This Row],[DESCRIPCIÓN DE LA COMPRA O CONTRATACIÓN]])</f>
        <v>TAPE DE GOMA</v>
      </c>
      <c r="C645" s="39" t="s">
        <v>17</v>
      </c>
      <c r="D645" s="236">
        <v>150</v>
      </c>
      <c r="E645" s="236">
        <v>150</v>
      </c>
      <c r="F645" s="236">
        <v>150</v>
      </c>
      <c r="G645" s="236">
        <v>150</v>
      </c>
      <c r="H645" s="240">
        <f>SUM(Tabla1321124[[#This Row],[PRIMER TRIMESTRE]:[CUARTO TRIMESTRE]])</f>
        <v>600</v>
      </c>
      <c r="I645" s="17">
        <v>754</v>
      </c>
      <c r="J645" s="17">
        <f>+Tabla1321124[[#This Row],[CANTIDAD TOTAL]]*Tabla1321124[[#This Row],[PRECIO UNITARIO ESTIMADO]]</f>
        <v>452400</v>
      </c>
      <c r="K645" s="17"/>
      <c r="L645" s="16" t="s">
        <v>18</v>
      </c>
      <c r="M645" s="16" t="s">
        <v>22</v>
      </c>
      <c r="N645" s="16" t="s">
        <v>418</v>
      </c>
      <c r="O645" s="243"/>
      <c r="P645" s="243"/>
      <c r="Q645" s="243"/>
      <c r="R645" s="243"/>
      <c r="S645" s="243"/>
      <c r="T645" s="243"/>
      <c r="U645" s="243"/>
      <c r="V645" s="243"/>
      <c r="W645" s="243"/>
      <c r="X645" s="243"/>
      <c r="Y645" s="243"/>
      <c r="Z645" s="243"/>
      <c r="AA645" s="243"/>
      <c r="AB645" s="243"/>
      <c r="AC645" s="243"/>
      <c r="AD645" s="243"/>
      <c r="AE645" s="243"/>
      <c r="AF645" s="243"/>
      <c r="AG645" s="243"/>
      <c r="AH645" s="243"/>
      <c r="AI645" s="243"/>
      <c r="AJ645" s="243"/>
      <c r="AK645" s="243"/>
      <c r="AL645" s="243"/>
      <c r="AM645" s="243"/>
      <c r="AN645" s="243"/>
      <c r="AO645" s="243"/>
      <c r="AP645" s="243"/>
      <c r="AQ645" s="243"/>
      <c r="AR645" s="243"/>
      <c r="AS645" s="243"/>
      <c r="AT645" s="243"/>
      <c r="AU645" s="243"/>
      <c r="AV645" s="243"/>
      <c r="AW645" s="243"/>
      <c r="AX645" s="243"/>
      <c r="AY645" s="243"/>
      <c r="AZ645" s="243"/>
      <c r="BA645" s="243"/>
      <c r="BB645" s="243"/>
      <c r="BC645" s="243"/>
      <c r="BD645" s="243"/>
      <c r="BE645" s="243"/>
      <c r="BF645" s="243"/>
      <c r="BG645" s="243"/>
      <c r="BH645" s="243"/>
      <c r="BI645" s="243"/>
      <c r="BJ645" s="243"/>
      <c r="BK645" s="243"/>
      <c r="BL645" s="243"/>
      <c r="BM645" s="243"/>
      <c r="BN645" s="243"/>
      <c r="BO645" s="243"/>
      <c r="BP645" s="243"/>
      <c r="BQ645" s="243"/>
      <c r="BR645" s="243"/>
      <c r="BS645" s="243"/>
    </row>
    <row r="646" spans="1:71" s="12" customFormat="1" ht="41.25" customHeight="1">
      <c r="A646" s="178" t="s">
        <v>80</v>
      </c>
      <c r="B646" s="178" t="str">
        <f ca="1">+UPPER(Tabla1321124[[#This Row],[DESCRIPCIÓN DE LA COMPRA O CONTRATACIÓN]])</f>
        <v xml:space="preserve">TAPE DE VINYL </v>
      </c>
      <c r="C646" s="39" t="s">
        <v>17</v>
      </c>
      <c r="D646" s="236">
        <v>500</v>
      </c>
      <c r="E646" s="236">
        <v>250</v>
      </c>
      <c r="F646" s="236">
        <v>500</v>
      </c>
      <c r="G646" s="236">
        <v>250</v>
      </c>
      <c r="H646" s="240">
        <f>SUM(Tabla1321124[[#This Row],[PRIMER TRIMESTRE]:[CUARTO TRIMESTRE]])</f>
        <v>1500</v>
      </c>
      <c r="I646" s="17">
        <v>222.06</v>
      </c>
      <c r="J646" s="17">
        <f>+Tabla1321124[[#This Row],[CANTIDAD TOTAL]]*Tabla1321124[[#This Row],[PRECIO UNITARIO ESTIMADO]]</f>
        <v>333090</v>
      </c>
      <c r="K646" s="17"/>
      <c r="L646" s="16" t="s">
        <v>18</v>
      </c>
      <c r="M646" s="16" t="s">
        <v>22</v>
      </c>
      <c r="N646" s="16" t="s">
        <v>418</v>
      </c>
      <c r="O646" s="243"/>
      <c r="P646" s="243"/>
      <c r="Q646" s="243"/>
      <c r="R646" s="243"/>
      <c r="S646" s="243"/>
      <c r="T646" s="243"/>
      <c r="U646" s="243"/>
      <c r="V646" s="243"/>
      <c r="W646" s="243"/>
      <c r="X646" s="243"/>
      <c r="Y646" s="243"/>
      <c r="Z646" s="243"/>
      <c r="AA646" s="243"/>
      <c r="AB646" s="243"/>
      <c r="AC646" s="243"/>
      <c r="AD646" s="243"/>
      <c r="AE646" s="243"/>
      <c r="AF646" s="243"/>
      <c r="AG646" s="243"/>
      <c r="AH646" s="243"/>
      <c r="AI646" s="243"/>
      <c r="AJ646" s="243"/>
      <c r="AK646" s="243"/>
      <c r="AL646" s="243"/>
      <c r="AM646" s="243"/>
      <c r="AN646" s="243"/>
      <c r="AO646" s="243"/>
      <c r="AP646" s="243"/>
      <c r="AQ646" s="243"/>
      <c r="AR646" s="243"/>
      <c r="AS646" s="243"/>
      <c r="AT646" s="243"/>
      <c r="AU646" s="243"/>
      <c r="AV646" s="243"/>
      <c r="AW646" s="243"/>
      <c r="AX646" s="243"/>
      <c r="AY646" s="243"/>
      <c r="AZ646" s="243"/>
      <c r="BA646" s="243"/>
      <c r="BB646" s="243"/>
      <c r="BC646" s="243"/>
      <c r="BD646" s="243"/>
      <c r="BE646" s="243"/>
      <c r="BF646" s="243"/>
      <c r="BG646" s="243"/>
      <c r="BH646" s="243"/>
      <c r="BI646" s="243"/>
      <c r="BJ646" s="243"/>
      <c r="BK646" s="243"/>
      <c r="BL646" s="243"/>
      <c r="BM646" s="243"/>
      <c r="BN646" s="243"/>
      <c r="BO646" s="243"/>
      <c r="BP646" s="243"/>
      <c r="BQ646" s="243"/>
      <c r="BR646" s="243"/>
      <c r="BS646" s="243"/>
    </row>
    <row r="647" spans="1:71" s="12" customFormat="1" ht="41.25" customHeight="1">
      <c r="A647" s="178" t="s">
        <v>80</v>
      </c>
      <c r="B647" s="178" t="str">
        <f ca="1">+UPPER(Tabla1321124[[#This Row],[DESCRIPCIÓN DE LA COMPRA O CONTRATACIÓN]])</f>
        <v>TARUGO AZULES</v>
      </c>
      <c r="C647" s="39" t="s">
        <v>17</v>
      </c>
      <c r="D647" s="236">
        <v>1000</v>
      </c>
      <c r="E647" s="236">
        <v>500</v>
      </c>
      <c r="F647" s="236">
        <v>1000</v>
      </c>
      <c r="G647" s="236">
        <v>500</v>
      </c>
      <c r="H647" s="240">
        <f>SUM(Tabla1321124[[#This Row],[PRIMER TRIMESTRE]:[CUARTO TRIMESTRE]])</f>
        <v>3000</v>
      </c>
      <c r="I647" s="17">
        <v>1.23</v>
      </c>
      <c r="J647" s="17">
        <f>+Tabla1321124[[#This Row],[CANTIDAD TOTAL]]*Tabla1321124[[#This Row],[PRECIO UNITARIO ESTIMADO]]</f>
        <v>3690</v>
      </c>
      <c r="K647" s="17"/>
      <c r="L647" s="16" t="s">
        <v>18</v>
      </c>
      <c r="M647" s="16" t="s">
        <v>22</v>
      </c>
      <c r="N647" s="16" t="s">
        <v>418</v>
      </c>
      <c r="O647" s="243"/>
      <c r="P647" s="243"/>
      <c r="Q647" s="243"/>
      <c r="R647" s="243"/>
      <c r="S647" s="243"/>
      <c r="T647" s="243"/>
      <c r="U647" s="243"/>
      <c r="V647" s="243"/>
      <c r="W647" s="243"/>
      <c r="X647" s="243"/>
      <c r="Y647" s="243"/>
      <c r="Z647" s="243"/>
      <c r="AA647" s="243"/>
      <c r="AB647" s="243"/>
      <c r="AC647" s="243"/>
      <c r="AD647" s="243"/>
      <c r="AE647" s="243"/>
      <c r="AF647" s="243"/>
      <c r="AG647" s="243"/>
      <c r="AH647" s="243"/>
      <c r="AI647" s="243"/>
      <c r="AJ647" s="243"/>
      <c r="AK647" s="243"/>
      <c r="AL647" s="243"/>
      <c r="AM647" s="243"/>
      <c r="AN647" s="243"/>
      <c r="AO647" s="243"/>
      <c r="AP647" s="243"/>
      <c r="AQ647" s="243"/>
      <c r="AR647" s="243"/>
      <c r="AS647" s="243"/>
      <c r="AT647" s="243"/>
      <c r="AU647" s="243"/>
      <c r="AV647" s="243"/>
      <c r="AW647" s="243"/>
      <c r="AX647" s="243"/>
      <c r="AY647" s="243"/>
      <c r="AZ647" s="243"/>
      <c r="BA647" s="243"/>
      <c r="BB647" s="243"/>
      <c r="BC647" s="243"/>
      <c r="BD647" s="243"/>
      <c r="BE647" s="243"/>
      <c r="BF647" s="243"/>
      <c r="BG647" s="243"/>
      <c r="BH647" s="243"/>
      <c r="BI647" s="243"/>
      <c r="BJ647" s="243"/>
      <c r="BK647" s="243"/>
      <c r="BL647" s="243"/>
      <c r="BM647" s="243"/>
      <c r="BN647" s="243"/>
      <c r="BO647" s="243"/>
      <c r="BP647" s="243"/>
      <c r="BQ647" s="243"/>
      <c r="BR647" s="243"/>
      <c r="BS647" s="243"/>
    </row>
    <row r="648" spans="1:71" s="12" customFormat="1" ht="41.25" customHeight="1">
      <c r="A648" s="178" t="s">
        <v>80</v>
      </c>
      <c r="B648" s="178" t="str">
        <f ca="1">+UPPER(Tabla1321124[[#This Row],[DESCRIPCIÓN DE LA COMPRA O CONTRATACIÓN]])</f>
        <v>TAPONES DE 1/2" PVC PRESION</v>
      </c>
      <c r="C648" s="39" t="s">
        <v>17</v>
      </c>
      <c r="D648" s="236">
        <v>10000</v>
      </c>
      <c r="E648" s="236">
        <v>10000</v>
      </c>
      <c r="F648" s="236">
        <v>10000</v>
      </c>
      <c r="G648" s="236">
        <v>10000</v>
      </c>
      <c r="H648" s="240">
        <f>SUM(Tabla1321124[[#This Row],[PRIMER TRIMESTRE]:[CUARTO TRIMESTRE]])</f>
        <v>40000</v>
      </c>
      <c r="I648" s="17">
        <v>2.86</v>
      </c>
      <c r="J648" s="17">
        <f>+Tabla1321124[[#This Row],[CANTIDAD TOTAL]]*Tabla1321124[[#This Row],[PRECIO UNITARIO ESTIMADO]]</f>
        <v>114400</v>
      </c>
      <c r="K648" s="17"/>
      <c r="L648" s="16" t="s">
        <v>18</v>
      </c>
      <c r="M648" s="16" t="s">
        <v>22</v>
      </c>
      <c r="N648" s="16" t="s">
        <v>418</v>
      </c>
      <c r="O648" s="243"/>
      <c r="P648" s="243"/>
      <c r="Q648" s="243"/>
      <c r="R648" s="243"/>
      <c r="S648" s="243"/>
      <c r="T648" s="243"/>
      <c r="U648" s="243"/>
      <c r="V648" s="243"/>
      <c r="W648" s="243"/>
      <c r="X648" s="243"/>
      <c r="Y648" s="243"/>
      <c r="Z648" s="243"/>
      <c r="AA648" s="243"/>
      <c r="AB648" s="243"/>
      <c r="AC648" s="243"/>
      <c r="AD648" s="243"/>
      <c r="AE648" s="243"/>
      <c r="AF648" s="243"/>
      <c r="AG648" s="243"/>
      <c r="AH648" s="243"/>
      <c r="AI648" s="243"/>
      <c r="AJ648" s="243"/>
      <c r="AK648" s="243"/>
      <c r="AL648" s="243"/>
      <c r="AM648" s="243"/>
      <c r="AN648" s="243"/>
      <c r="AO648" s="243"/>
      <c r="AP648" s="243"/>
      <c r="AQ648" s="243"/>
      <c r="AR648" s="243"/>
      <c r="AS648" s="243"/>
      <c r="AT648" s="243"/>
      <c r="AU648" s="243"/>
      <c r="AV648" s="243"/>
      <c r="AW648" s="243"/>
      <c r="AX648" s="243"/>
      <c r="AY648" s="243"/>
      <c r="AZ648" s="243"/>
      <c r="BA648" s="243"/>
      <c r="BB648" s="243"/>
      <c r="BC648" s="243"/>
      <c r="BD648" s="243"/>
      <c r="BE648" s="243"/>
      <c r="BF648" s="243"/>
      <c r="BG648" s="243"/>
      <c r="BH648" s="243"/>
      <c r="BI648" s="243"/>
      <c r="BJ648" s="243"/>
      <c r="BK648" s="243"/>
      <c r="BL648" s="243"/>
      <c r="BM648" s="243"/>
      <c r="BN648" s="243"/>
      <c r="BO648" s="243"/>
      <c r="BP648" s="243"/>
      <c r="BQ648" s="243"/>
      <c r="BR648" s="243"/>
      <c r="BS648" s="243"/>
    </row>
    <row r="649" spans="1:71" s="12" customFormat="1" ht="41.25" customHeight="1">
      <c r="A649" s="178" t="s">
        <v>80</v>
      </c>
      <c r="B649" s="178" t="str">
        <f ca="1">+UPPER(Tabla1321124[[#This Row],[DESCRIPCIÓN DE LA COMPRA O CONTRATACIÓN]])</f>
        <v>TAPONES DE 3/4" PVC PRESION</v>
      </c>
      <c r="C649" s="39" t="s">
        <v>17</v>
      </c>
      <c r="D649" s="236">
        <v>8000</v>
      </c>
      <c r="E649" s="236">
        <v>8000</v>
      </c>
      <c r="F649" s="236">
        <v>8000</v>
      </c>
      <c r="G649" s="236">
        <v>8000</v>
      </c>
      <c r="H649" s="240">
        <f>SUM(Tabla1321124[[#This Row],[PRIMER TRIMESTRE]:[CUARTO TRIMESTRE]])</f>
        <v>32000</v>
      </c>
      <c r="I649" s="17">
        <v>4.09</v>
      </c>
      <c r="J649" s="17">
        <f>+Tabla1321124[[#This Row],[CANTIDAD TOTAL]]*Tabla1321124[[#This Row],[PRECIO UNITARIO ESTIMADO]]</f>
        <v>130880</v>
      </c>
      <c r="K649" s="17"/>
      <c r="L649" s="16" t="s">
        <v>18</v>
      </c>
      <c r="M649" s="16" t="s">
        <v>22</v>
      </c>
      <c r="N649" s="16" t="s">
        <v>418</v>
      </c>
      <c r="O649" s="243"/>
      <c r="P649" s="243"/>
      <c r="Q649" s="243"/>
      <c r="R649" s="243"/>
      <c r="S649" s="243"/>
      <c r="T649" s="243"/>
      <c r="U649" s="243"/>
      <c r="V649" s="243"/>
      <c r="W649" s="243"/>
      <c r="X649" s="243"/>
      <c r="Y649" s="243"/>
      <c r="Z649" s="243"/>
      <c r="AA649" s="243"/>
      <c r="AB649" s="243"/>
      <c r="AC649" s="243"/>
      <c r="AD649" s="243"/>
      <c r="AE649" s="243"/>
      <c r="AF649" s="243"/>
      <c r="AG649" s="243"/>
      <c r="AH649" s="243"/>
      <c r="AI649" s="243"/>
      <c r="AJ649" s="243"/>
      <c r="AK649" s="243"/>
      <c r="AL649" s="243"/>
      <c r="AM649" s="243"/>
      <c r="AN649" s="243"/>
      <c r="AO649" s="243"/>
      <c r="AP649" s="243"/>
      <c r="AQ649" s="243"/>
      <c r="AR649" s="243"/>
      <c r="AS649" s="243"/>
      <c r="AT649" s="243"/>
      <c r="AU649" s="243"/>
      <c r="AV649" s="243"/>
      <c r="AW649" s="243"/>
      <c r="AX649" s="243"/>
      <c r="AY649" s="243"/>
      <c r="AZ649" s="243"/>
      <c r="BA649" s="243"/>
      <c r="BB649" s="243"/>
      <c r="BC649" s="243"/>
      <c r="BD649" s="243"/>
      <c r="BE649" s="243"/>
      <c r="BF649" s="243"/>
      <c r="BG649" s="243"/>
      <c r="BH649" s="243"/>
      <c r="BI649" s="243"/>
      <c r="BJ649" s="243"/>
      <c r="BK649" s="243"/>
      <c r="BL649" s="243"/>
      <c r="BM649" s="243"/>
      <c r="BN649" s="243"/>
      <c r="BO649" s="243"/>
      <c r="BP649" s="243"/>
      <c r="BQ649" s="243"/>
      <c r="BR649" s="243"/>
      <c r="BS649" s="243"/>
    </row>
    <row r="650" spans="1:71" s="12" customFormat="1" ht="41.25" customHeight="1">
      <c r="A650" s="178" t="s">
        <v>80</v>
      </c>
      <c r="B650" s="178" t="str">
        <f ca="1">+UPPER(Tabla1321124[[#This Row],[DESCRIPCIÓN DE LA COMPRA O CONTRATACIÓN]])</f>
        <v>TAPONES HEMBRAS PVC PRESION Ø1"</v>
      </c>
      <c r="C650" s="39" t="s">
        <v>17</v>
      </c>
      <c r="D650" s="375">
        <v>10</v>
      </c>
      <c r="E650" s="375"/>
      <c r="F650" s="375">
        <v>10</v>
      </c>
      <c r="G650" s="362"/>
      <c r="H650" s="240">
        <f>SUM(Tabla1321124[[#This Row],[PRIMER TRIMESTRE]:[CUARTO TRIMESTRE]])</f>
        <v>20</v>
      </c>
      <c r="I650" s="17">
        <v>7</v>
      </c>
      <c r="J650" s="17">
        <f>+Tabla1321124[[#This Row],[CANTIDAD TOTAL]]*Tabla1321124[[#This Row],[PRECIO UNITARIO ESTIMADO]]</f>
        <v>140</v>
      </c>
      <c r="K650" s="175"/>
      <c r="L650" s="16" t="s">
        <v>18</v>
      </c>
      <c r="M650" s="16" t="s">
        <v>22</v>
      </c>
      <c r="N650" s="16"/>
      <c r="O650" s="243"/>
      <c r="P650" s="243"/>
      <c r="Q650" s="243"/>
      <c r="R650" s="243"/>
      <c r="S650" s="243"/>
      <c r="T650" s="243"/>
      <c r="U650" s="243"/>
      <c r="V650" s="243"/>
      <c r="W650" s="243"/>
      <c r="X650" s="243"/>
      <c r="Y650" s="243"/>
      <c r="Z650" s="243"/>
      <c r="AA650" s="243"/>
      <c r="AB650" s="243"/>
      <c r="AC650" s="243"/>
      <c r="AD650" s="243"/>
      <c r="AE650" s="243"/>
      <c r="AF650" s="243"/>
      <c r="AG650" s="243"/>
      <c r="AH650" s="243"/>
      <c r="AI650" s="243"/>
      <c r="AJ650" s="243"/>
      <c r="AK650" s="243"/>
      <c r="AL650" s="243"/>
      <c r="AM650" s="243"/>
      <c r="AN650" s="243"/>
      <c r="AO650" s="243"/>
      <c r="AP650" s="243"/>
      <c r="AQ650" s="243"/>
      <c r="AR650" s="243"/>
      <c r="AS650" s="243"/>
      <c r="AT650" s="243"/>
      <c r="AU650" s="243"/>
      <c r="AV650" s="243"/>
      <c r="AW650" s="243"/>
      <c r="AX650" s="243"/>
      <c r="AY650" s="243"/>
      <c r="AZ650" s="243"/>
      <c r="BA650" s="243"/>
      <c r="BB650" s="243"/>
      <c r="BC650" s="243"/>
      <c r="BD650" s="243"/>
      <c r="BE650" s="243"/>
      <c r="BF650" s="243"/>
      <c r="BG650" s="243"/>
      <c r="BH650" s="243"/>
      <c r="BI650" s="243"/>
      <c r="BJ650" s="243"/>
      <c r="BK650" s="243"/>
      <c r="BL650" s="243"/>
      <c r="BM650" s="243"/>
      <c r="BN650" s="243"/>
      <c r="BO650" s="243"/>
      <c r="BP650" s="243"/>
      <c r="BQ650" s="243"/>
      <c r="BR650" s="243"/>
      <c r="BS650" s="243"/>
    </row>
    <row r="651" spans="1:71" s="12" customFormat="1" ht="41.25" customHeight="1">
      <c r="A651" s="178" t="s">
        <v>80</v>
      </c>
      <c r="B651" s="178" t="str">
        <f ca="1">+UPPER(Tabla1321124[[#This Row],[DESCRIPCIÓN DE LA COMPRA O CONTRATACIÓN]])</f>
        <v>TAPONES HEMBRAS PVC PRESION Ø 1 1/2"</v>
      </c>
      <c r="C651" s="39" t="s">
        <v>17</v>
      </c>
      <c r="D651" s="375">
        <v>5</v>
      </c>
      <c r="E651" s="375"/>
      <c r="F651" s="375">
        <v>5</v>
      </c>
      <c r="G651" s="362"/>
      <c r="H651" s="240">
        <f>SUM(Tabla1321124[[#This Row],[PRIMER TRIMESTRE]:[CUARTO TRIMESTRE]])</f>
        <v>10</v>
      </c>
      <c r="I651" s="17">
        <v>9</v>
      </c>
      <c r="J651" s="17">
        <f>+Tabla1321124[[#This Row],[CANTIDAD TOTAL]]*Tabla1321124[[#This Row],[PRECIO UNITARIO ESTIMADO]]</f>
        <v>90</v>
      </c>
      <c r="K651" s="175"/>
      <c r="L651" s="16" t="s">
        <v>18</v>
      </c>
      <c r="M651" s="16" t="s">
        <v>22</v>
      </c>
      <c r="N651" s="16"/>
      <c r="O651" s="243"/>
      <c r="P651" s="243"/>
      <c r="Q651" s="243"/>
      <c r="R651" s="243"/>
      <c r="S651" s="243"/>
      <c r="T651" s="243"/>
      <c r="U651" s="243"/>
      <c r="V651" s="243"/>
      <c r="W651" s="243"/>
      <c r="X651" s="243"/>
      <c r="Y651" s="243"/>
      <c r="Z651" s="243"/>
      <c r="AA651" s="243"/>
      <c r="AB651" s="243"/>
      <c r="AC651" s="243"/>
      <c r="AD651" s="243"/>
      <c r="AE651" s="243"/>
      <c r="AF651" s="243"/>
      <c r="AG651" s="243"/>
      <c r="AH651" s="243"/>
      <c r="AI651" s="243"/>
      <c r="AJ651" s="243"/>
      <c r="AK651" s="243"/>
      <c r="AL651" s="243"/>
      <c r="AM651" s="243"/>
      <c r="AN651" s="243"/>
      <c r="AO651" s="243"/>
      <c r="AP651" s="243"/>
      <c r="AQ651" s="243"/>
      <c r="AR651" s="243"/>
      <c r="AS651" s="243"/>
      <c r="AT651" s="243"/>
      <c r="AU651" s="243"/>
      <c r="AV651" s="243"/>
      <c r="AW651" s="243"/>
      <c r="AX651" s="243"/>
      <c r="AY651" s="243"/>
      <c r="AZ651" s="243"/>
      <c r="BA651" s="243"/>
      <c r="BB651" s="243"/>
      <c r="BC651" s="243"/>
      <c r="BD651" s="243"/>
      <c r="BE651" s="243"/>
      <c r="BF651" s="243"/>
      <c r="BG651" s="243"/>
      <c r="BH651" s="243"/>
      <c r="BI651" s="243"/>
      <c r="BJ651" s="243"/>
      <c r="BK651" s="243"/>
      <c r="BL651" s="243"/>
      <c r="BM651" s="243"/>
      <c r="BN651" s="243"/>
      <c r="BO651" s="243"/>
      <c r="BP651" s="243"/>
      <c r="BQ651" s="243"/>
      <c r="BR651" s="243"/>
      <c r="BS651" s="243"/>
    </row>
    <row r="652" spans="1:71" s="12" customFormat="1" ht="41.25" customHeight="1">
      <c r="A652" s="178" t="s">
        <v>80</v>
      </c>
      <c r="B652" s="178" t="str">
        <f ca="1">+UPPER(Tabla1321124[[#This Row],[DESCRIPCIÓN DE LA COMPRA O CONTRATACIÓN]])</f>
        <v>TAPONES HEMBRAS PVC PRESION  Ø2"</v>
      </c>
      <c r="C652" s="39" t="s">
        <v>17</v>
      </c>
      <c r="D652" s="375">
        <v>10</v>
      </c>
      <c r="E652" s="375"/>
      <c r="F652" s="375">
        <v>10</v>
      </c>
      <c r="G652" s="362"/>
      <c r="H652" s="240">
        <f>SUM(Tabla1321124[[#This Row],[PRIMER TRIMESTRE]:[CUARTO TRIMESTRE]])</f>
        <v>20</v>
      </c>
      <c r="I652" s="17">
        <v>8</v>
      </c>
      <c r="J652" s="17">
        <f>+Tabla1321124[[#This Row],[CANTIDAD TOTAL]]*Tabla1321124[[#This Row],[PRECIO UNITARIO ESTIMADO]]</f>
        <v>160</v>
      </c>
      <c r="K652" s="175"/>
      <c r="L652" s="16" t="s">
        <v>18</v>
      </c>
      <c r="M652" s="16" t="s">
        <v>22</v>
      </c>
      <c r="N652" s="16"/>
      <c r="O652" s="243"/>
      <c r="P652" s="243"/>
      <c r="Q652" s="243"/>
      <c r="R652" s="243"/>
      <c r="S652" s="243"/>
      <c r="T652" s="243"/>
      <c r="U652" s="243"/>
      <c r="V652" s="243"/>
      <c r="W652" s="243"/>
      <c r="X652" s="243"/>
      <c r="Y652" s="243"/>
      <c r="Z652" s="243"/>
      <c r="AA652" s="243"/>
      <c r="AB652" s="243"/>
      <c r="AC652" s="243"/>
      <c r="AD652" s="243"/>
      <c r="AE652" s="243"/>
      <c r="AF652" s="243"/>
      <c r="AG652" s="243"/>
      <c r="AH652" s="243"/>
      <c r="AI652" s="243"/>
      <c r="AJ652" s="243"/>
      <c r="AK652" s="243"/>
      <c r="AL652" s="243"/>
      <c r="AM652" s="243"/>
      <c r="AN652" s="243"/>
      <c r="AO652" s="243"/>
      <c r="AP652" s="243"/>
      <c r="AQ652" s="243"/>
      <c r="AR652" s="243"/>
      <c r="AS652" s="243"/>
      <c r="AT652" s="243"/>
      <c r="AU652" s="243"/>
      <c r="AV652" s="243"/>
      <c r="AW652" s="243"/>
      <c r="AX652" s="243"/>
      <c r="AY652" s="243"/>
      <c r="AZ652" s="243"/>
      <c r="BA652" s="243"/>
      <c r="BB652" s="243"/>
      <c r="BC652" s="243"/>
      <c r="BD652" s="243"/>
      <c r="BE652" s="243"/>
      <c r="BF652" s="243"/>
      <c r="BG652" s="243"/>
      <c r="BH652" s="243"/>
      <c r="BI652" s="243"/>
      <c r="BJ652" s="243"/>
      <c r="BK652" s="243"/>
      <c r="BL652" s="243"/>
      <c r="BM652" s="243"/>
      <c r="BN652" s="243"/>
      <c r="BO652" s="243"/>
      <c r="BP652" s="243"/>
      <c r="BQ652" s="243"/>
      <c r="BR652" s="243"/>
      <c r="BS652" s="243"/>
    </row>
    <row r="653" spans="1:71" s="12" customFormat="1" ht="41.25" customHeight="1">
      <c r="A653" s="178" t="s">
        <v>80</v>
      </c>
      <c r="B653" s="178" t="str">
        <f ca="1">+UPPER(Tabla1321124[[#This Row],[DESCRIPCIÓN DE LA COMPRA O CONTRATACIÓN]])</f>
        <v>TAPONES HEMBRAS PVC PRESION Ø3"</v>
      </c>
      <c r="C653" s="39" t="s">
        <v>17</v>
      </c>
      <c r="D653" s="375">
        <v>10</v>
      </c>
      <c r="E653" s="375"/>
      <c r="F653" s="375">
        <v>10</v>
      </c>
      <c r="G653" s="362"/>
      <c r="H653" s="240">
        <f>SUM(Tabla1321124[[#This Row],[PRIMER TRIMESTRE]:[CUARTO TRIMESTRE]])</f>
        <v>20</v>
      </c>
      <c r="I653" s="17">
        <v>4</v>
      </c>
      <c r="J653" s="17">
        <f>+Tabla1321124[[#This Row],[CANTIDAD TOTAL]]*Tabla1321124[[#This Row],[PRECIO UNITARIO ESTIMADO]]</f>
        <v>80</v>
      </c>
      <c r="K653" s="175"/>
      <c r="L653" s="16" t="s">
        <v>18</v>
      </c>
      <c r="M653" s="16" t="s">
        <v>22</v>
      </c>
      <c r="N653" s="16"/>
      <c r="O653" s="243"/>
      <c r="P653" s="243"/>
      <c r="Q653" s="243"/>
      <c r="R653" s="243"/>
      <c r="S653" s="243"/>
      <c r="T653" s="243"/>
      <c r="U653" s="243"/>
      <c r="V653" s="243"/>
      <c r="W653" s="243"/>
      <c r="X653" s="243"/>
      <c r="Y653" s="243"/>
      <c r="Z653" s="243"/>
      <c r="AA653" s="243"/>
      <c r="AB653" s="243"/>
      <c r="AC653" s="243"/>
      <c r="AD653" s="243"/>
      <c r="AE653" s="243"/>
      <c r="AF653" s="243"/>
      <c r="AG653" s="243"/>
      <c r="AH653" s="243"/>
      <c r="AI653" s="243"/>
      <c r="AJ653" s="243"/>
      <c r="AK653" s="243"/>
      <c r="AL653" s="243"/>
      <c r="AM653" s="243"/>
      <c r="AN653" s="243"/>
      <c r="AO653" s="243"/>
      <c r="AP653" s="243"/>
      <c r="AQ653" s="243"/>
      <c r="AR653" s="243"/>
      <c r="AS653" s="243"/>
      <c r="AT653" s="243"/>
      <c r="AU653" s="243"/>
      <c r="AV653" s="243"/>
      <c r="AW653" s="243"/>
      <c r="AX653" s="243"/>
      <c r="AY653" s="243"/>
      <c r="AZ653" s="243"/>
      <c r="BA653" s="243"/>
      <c r="BB653" s="243"/>
      <c r="BC653" s="243"/>
      <c r="BD653" s="243"/>
      <c r="BE653" s="243"/>
      <c r="BF653" s="243"/>
      <c r="BG653" s="243"/>
      <c r="BH653" s="243"/>
      <c r="BI653" s="243"/>
      <c r="BJ653" s="243"/>
      <c r="BK653" s="243"/>
      <c r="BL653" s="243"/>
      <c r="BM653" s="243"/>
      <c r="BN653" s="243"/>
      <c r="BO653" s="243"/>
      <c r="BP653" s="243"/>
      <c r="BQ653" s="243"/>
      <c r="BR653" s="243"/>
      <c r="BS653" s="243"/>
    </row>
    <row r="654" spans="1:71" s="12" customFormat="1" ht="41.25" customHeight="1">
      <c r="A654" s="178" t="s">
        <v>80</v>
      </c>
      <c r="B654" s="178" t="str">
        <f ca="1">+UPPER(Tabla1321124[[#This Row],[DESCRIPCIÓN DE LA COMPRA O CONTRATACIÓN]])</f>
        <v>TAPONES HEMBRAS PVC PRESION Ø4"</v>
      </c>
      <c r="C654" s="39" t="s">
        <v>17</v>
      </c>
      <c r="D654" s="375">
        <v>10</v>
      </c>
      <c r="E654" s="375"/>
      <c r="F654" s="375">
        <v>10</v>
      </c>
      <c r="G654" s="362"/>
      <c r="H654" s="240">
        <f>SUM(Tabla1321124[[#This Row],[PRIMER TRIMESTRE]:[CUARTO TRIMESTRE]])</f>
        <v>20</v>
      </c>
      <c r="I654" s="17">
        <v>8</v>
      </c>
      <c r="J654" s="17">
        <f>+Tabla1321124[[#This Row],[CANTIDAD TOTAL]]*Tabla1321124[[#This Row],[PRECIO UNITARIO ESTIMADO]]</f>
        <v>160</v>
      </c>
      <c r="K654" s="175"/>
      <c r="L654" s="16" t="s">
        <v>18</v>
      </c>
      <c r="M654" s="16" t="s">
        <v>22</v>
      </c>
      <c r="N654" s="16"/>
      <c r="O654" s="243"/>
      <c r="P654" s="243"/>
      <c r="Q654" s="243"/>
      <c r="R654" s="243"/>
      <c r="S654" s="243"/>
      <c r="T654" s="243"/>
      <c r="U654" s="243"/>
      <c r="V654" s="243"/>
      <c r="W654" s="243"/>
      <c r="X654" s="243"/>
      <c r="Y654" s="243"/>
      <c r="Z654" s="243"/>
      <c r="AA654" s="243"/>
      <c r="AB654" s="243"/>
      <c r="AC654" s="243"/>
      <c r="AD654" s="243"/>
      <c r="AE654" s="243"/>
      <c r="AF654" s="243"/>
      <c r="AG654" s="243"/>
      <c r="AH654" s="243"/>
      <c r="AI654" s="243"/>
      <c r="AJ654" s="243"/>
      <c r="AK654" s="243"/>
      <c r="AL654" s="243"/>
      <c r="AM654" s="243"/>
      <c r="AN654" s="243"/>
      <c r="AO654" s="243"/>
      <c r="AP654" s="243"/>
      <c r="AQ654" s="243"/>
      <c r="AR654" s="243"/>
      <c r="AS654" s="243"/>
      <c r="AT654" s="243"/>
      <c r="AU654" s="243"/>
      <c r="AV654" s="243"/>
      <c r="AW654" s="243"/>
      <c r="AX654" s="243"/>
      <c r="AY654" s="243"/>
      <c r="AZ654" s="243"/>
      <c r="BA654" s="243"/>
      <c r="BB654" s="243"/>
      <c r="BC654" s="243"/>
      <c r="BD654" s="243"/>
      <c r="BE654" s="243"/>
      <c r="BF654" s="243"/>
      <c r="BG654" s="243"/>
      <c r="BH654" s="243"/>
      <c r="BI654" s="243"/>
      <c r="BJ654" s="243"/>
      <c r="BK654" s="243"/>
      <c r="BL654" s="243"/>
      <c r="BM654" s="243"/>
      <c r="BN654" s="243"/>
      <c r="BO654" s="243"/>
      <c r="BP654" s="243"/>
      <c r="BQ654" s="243"/>
      <c r="BR654" s="243"/>
      <c r="BS654" s="243"/>
    </row>
    <row r="655" spans="1:71" s="12" customFormat="1" ht="41.25" customHeight="1">
      <c r="A655" s="178" t="s">
        <v>80</v>
      </c>
      <c r="B655" s="178" t="str">
        <f ca="1">+UPPER(Tabla1321124[[#This Row],[DESCRIPCIÓN DE LA COMPRA O CONTRATACIÓN]])</f>
        <v>TAPONES HEMBRAS PVC PRESION Ø6"</v>
      </c>
      <c r="C655" s="39" t="s">
        <v>17</v>
      </c>
      <c r="D655" s="375">
        <v>10</v>
      </c>
      <c r="E655" s="375"/>
      <c r="F655" s="375">
        <v>10</v>
      </c>
      <c r="G655" s="362"/>
      <c r="H655" s="240">
        <f>SUM(Tabla1321124[[#This Row],[PRIMER TRIMESTRE]:[CUARTO TRIMESTRE]])</f>
        <v>20</v>
      </c>
      <c r="I655" s="17">
        <v>11.82</v>
      </c>
      <c r="J655" s="17">
        <f>+Tabla1321124[[#This Row],[CANTIDAD TOTAL]]*Tabla1321124[[#This Row],[PRECIO UNITARIO ESTIMADO]]</f>
        <v>236.4</v>
      </c>
      <c r="K655" s="175"/>
      <c r="L655" s="16" t="s">
        <v>18</v>
      </c>
      <c r="M655" s="16" t="s">
        <v>22</v>
      </c>
      <c r="N655" s="16" t="s">
        <v>418</v>
      </c>
      <c r="O655" s="243"/>
      <c r="P655" s="243"/>
      <c r="Q655" s="243"/>
      <c r="R655" s="243"/>
      <c r="S655" s="243"/>
      <c r="T655" s="243"/>
      <c r="U655" s="243"/>
      <c r="V655" s="243"/>
      <c r="W655" s="243"/>
      <c r="X655" s="243"/>
      <c r="Y655" s="243"/>
      <c r="Z655" s="243"/>
      <c r="AA655" s="243"/>
      <c r="AB655" s="243"/>
      <c r="AC655" s="243"/>
      <c r="AD655" s="243"/>
      <c r="AE655" s="243"/>
      <c r="AF655" s="243"/>
      <c r="AG655" s="243"/>
      <c r="AH655" s="243"/>
      <c r="AI655" s="243"/>
      <c r="AJ655" s="243"/>
      <c r="AK655" s="243"/>
      <c r="AL655" s="243"/>
      <c r="AM655" s="243"/>
      <c r="AN655" s="243"/>
      <c r="AO655" s="243"/>
      <c r="AP655" s="243"/>
      <c r="AQ655" s="243"/>
      <c r="AR655" s="243"/>
      <c r="AS655" s="243"/>
      <c r="AT655" s="243"/>
      <c r="AU655" s="243"/>
      <c r="AV655" s="243"/>
      <c r="AW655" s="243"/>
      <c r="AX655" s="243"/>
      <c r="AY655" s="243"/>
      <c r="AZ655" s="243"/>
      <c r="BA655" s="243"/>
      <c r="BB655" s="243"/>
      <c r="BC655" s="243"/>
      <c r="BD655" s="243"/>
      <c r="BE655" s="243"/>
      <c r="BF655" s="243"/>
      <c r="BG655" s="243"/>
      <c r="BH655" s="243"/>
      <c r="BI655" s="243"/>
      <c r="BJ655" s="243"/>
      <c r="BK655" s="243"/>
      <c r="BL655" s="243"/>
      <c r="BM655" s="243"/>
      <c r="BN655" s="243"/>
      <c r="BO655" s="243"/>
      <c r="BP655" s="243"/>
      <c r="BQ655" s="243"/>
      <c r="BR655" s="243"/>
      <c r="BS655" s="243"/>
    </row>
    <row r="656" spans="1:71" s="12" customFormat="1" ht="41.25" customHeight="1">
      <c r="A656" s="178" t="s">
        <v>80</v>
      </c>
      <c r="B656" s="178" t="str">
        <f ca="1">+UPPER(Tabla1321124[[#This Row],[DESCRIPCIÓN DE LA COMPRA O CONTRATACIÓN]])</f>
        <v>TAPONES DE 2" PVC</v>
      </c>
      <c r="C656" s="39" t="s">
        <v>17</v>
      </c>
      <c r="D656" s="365">
        <v>300</v>
      </c>
      <c r="E656" s="365">
        <v>0</v>
      </c>
      <c r="F656" s="365">
        <v>200</v>
      </c>
      <c r="G656" s="365">
        <v>0</v>
      </c>
      <c r="H656" s="240">
        <f>SUM(Tabla1321124[[#This Row],[PRIMER TRIMESTRE]:[CUARTO TRIMESTRE]])</f>
        <v>500</v>
      </c>
      <c r="I656" s="17">
        <v>12</v>
      </c>
      <c r="J656" s="17">
        <f>+Tabla1321124[[#This Row],[CANTIDAD TOTAL]]*Tabla1321124[[#This Row],[PRECIO UNITARIO ESTIMADO]]</f>
        <v>6000</v>
      </c>
      <c r="K656" s="175"/>
      <c r="L656" s="16" t="s">
        <v>18</v>
      </c>
      <c r="M656" s="16" t="s">
        <v>22</v>
      </c>
      <c r="N656" s="16"/>
      <c r="O656" s="243"/>
      <c r="P656" s="243"/>
      <c r="Q656" s="243"/>
      <c r="R656" s="243"/>
      <c r="S656" s="243"/>
      <c r="T656" s="243"/>
      <c r="U656" s="243"/>
      <c r="V656" s="243"/>
      <c r="W656" s="243"/>
      <c r="X656" s="243"/>
      <c r="Y656" s="243"/>
      <c r="Z656" s="243"/>
      <c r="AA656" s="243"/>
      <c r="AB656" s="243"/>
      <c r="AC656" s="243"/>
      <c r="AD656" s="243"/>
      <c r="AE656" s="243"/>
      <c r="AF656" s="243"/>
      <c r="AG656" s="243"/>
      <c r="AH656" s="243"/>
      <c r="AI656" s="243"/>
      <c r="AJ656" s="243"/>
      <c r="AK656" s="243"/>
      <c r="AL656" s="243"/>
      <c r="AM656" s="243"/>
      <c r="AN656" s="243"/>
      <c r="AO656" s="243"/>
      <c r="AP656" s="243"/>
      <c r="AQ656" s="243"/>
      <c r="AR656" s="243"/>
      <c r="AS656" s="243"/>
      <c r="AT656" s="243"/>
      <c r="AU656" s="243"/>
      <c r="AV656" s="243"/>
      <c r="AW656" s="243"/>
      <c r="AX656" s="243"/>
      <c r="AY656" s="243"/>
      <c r="AZ656" s="243"/>
      <c r="BA656" s="243"/>
      <c r="BB656" s="243"/>
      <c r="BC656" s="243"/>
      <c r="BD656" s="243"/>
      <c r="BE656" s="243"/>
      <c r="BF656" s="243"/>
      <c r="BG656" s="243"/>
      <c r="BH656" s="243"/>
      <c r="BI656" s="243"/>
      <c r="BJ656" s="243"/>
      <c r="BK656" s="243"/>
      <c r="BL656" s="243"/>
      <c r="BM656" s="243"/>
      <c r="BN656" s="243"/>
      <c r="BO656" s="243"/>
      <c r="BP656" s="243"/>
      <c r="BQ656" s="243"/>
      <c r="BR656" s="243"/>
      <c r="BS656" s="243"/>
    </row>
    <row r="657" spans="1:71" s="12" customFormat="1" ht="41.25" customHeight="1">
      <c r="A657" s="178" t="s">
        <v>80</v>
      </c>
      <c r="B657" s="178" t="str">
        <f ca="1">+UPPER(Tabla1321124[[#This Row],[DESCRIPCIÓN DE LA COMPRA O CONTRATACIÓN]])</f>
        <v>TAPONES DE 3" PVC</v>
      </c>
      <c r="C657" s="39" t="s">
        <v>17</v>
      </c>
      <c r="D657" s="365">
        <v>310</v>
      </c>
      <c r="E657" s="365">
        <v>10</v>
      </c>
      <c r="F657" s="365">
        <v>210</v>
      </c>
      <c r="G657" s="365">
        <v>10</v>
      </c>
      <c r="H657" s="240">
        <f>SUM(Tabla1321124[[#This Row],[PRIMER TRIMESTRE]:[CUARTO TRIMESTRE]])</f>
        <v>540</v>
      </c>
      <c r="I657" s="17">
        <v>10</v>
      </c>
      <c r="J657" s="17">
        <f>+Tabla1321124[[#This Row],[CANTIDAD TOTAL]]*Tabla1321124[[#This Row],[PRECIO UNITARIO ESTIMADO]]</f>
        <v>5400</v>
      </c>
      <c r="K657" s="175"/>
      <c r="L657" s="16" t="s">
        <v>18</v>
      </c>
      <c r="M657" s="16" t="s">
        <v>22</v>
      </c>
      <c r="N657" s="16"/>
      <c r="O657" s="243"/>
      <c r="P657" s="243"/>
      <c r="Q657" s="243"/>
      <c r="R657" s="243"/>
      <c r="S657" s="243"/>
      <c r="T657" s="243"/>
      <c r="U657" s="243"/>
      <c r="V657" s="243"/>
      <c r="W657" s="243"/>
      <c r="X657" s="243"/>
      <c r="Y657" s="243"/>
      <c r="Z657" s="243"/>
      <c r="AA657" s="243"/>
      <c r="AB657" s="243"/>
      <c r="AC657" s="243"/>
      <c r="AD657" s="243"/>
      <c r="AE657" s="243"/>
      <c r="AF657" s="243"/>
      <c r="AG657" s="243"/>
      <c r="AH657" s="243"/>
      <c r="AI657" s="243"/>
      <c r="AJ657" s="243"/>
      <c r="AK657" s="243"/>
      <c r="AL657" s="243"/>
      <c r="AM657" s="243"/>
      <c r="AN657" s="243"/>
      <c r="AO657" s="243"/>
      <c r="AP657" s="243"/>
      <c r="AQ657" s="243"/>
      <c r="AR657" s="243"/>
      <c r="AS657" s="243"/>
      <c r="AT657" s="243"/>
      <c r="AU657" s="243"/>
      <c r="AV657" s="243"/>
      <c r="AW657" s="243"/>
      <c r="AX657" s="243"/>
      <c r="AY657" s="243"/>
      <c r="AZ657" s="243"/>
      <c r="BA657" s="243"/>
      <c r="BB657" s="243"/>
      <c r="BC657" s="243"/>
      <c r="BD657" s="243"/>
      <c r="BE657" s="243"/>
      <c r="BF657" s="243"/>
      <c r="BG657" s="243"/>
      <c r="BH657" s="243"/>
      <c r="BI657" s="243"/>
      <c r="BJ657" s="243"/>
      <c r="BK657" s="243"/>
      <c r="BL657" s="243"/>
      <c r="BM657" s="243"/>
      <c r="BN657" s="243"/>
      <c r="BO657" s="243"/>
      <c r="BP657" s="243"/>
      <c r="BQ657" s="243"/>
      <c r="BR657" s="243"/>
      <c r="BS657" s="243"/>
    </row>
    <row r="658" spans="1:71" s="12" customFormat="1" ht="41.25" customHeight="1">
      <c r="A658" s="178" t="s">
        <v>80</v>
      </c>
      <c r="B658" s="178" t="str">
        <f ca="1">+UPPER(Tabla1321124[[#This Row],[DESCRIPCIÓN DE LA COMPRA O CONTRATACIÓN]])</f>
        <v>TAPONES DE 4" PVC</v>
      </c>
      <c r="C658" s="39" t="s">
        <v>17</v>
      </c>
      <c r="D658" s="365">
        <v>310</v>
      </c>
      <c r="E658" s="365">
        <v>10</v>
      </c>
      <c r="F658" s="365">
        <v>210</v>
      </c>
      <c r="G658" s="365">
        <v>10</v>
      </c>
      <c r="H658" s="240">
        <f>SUM(Tabla1321124[[#This Row],[PRIMER TRIMESTRE]:[CUARTO TRIMESTRE]])</f>
        <v>540</v>
      </c>
      <c r="I658" s="17">
        <v>9</v>
      </c>
      <c r="J658" s="17">
        <f>+Tabla1321124[[#This Row],[CANTIDAD TOTAL]]*Tabla1321124[[#This Row],[PRECIO UNITARIO ESTIMADO]]</f>
        <v>4860</v>
      </c>
      <c r="K658" s="175"/>
      <c r="L658" s="16" t="s">
        <v>18</v>
      </c>
      <c r="M658" s="16" t="s">
        <v>22</v>
      </c>
      <c r="N658" s="16"/>
      <c r="O658" s="243"/>
      <c r="P658" s="243"/>
      <c r="Q658" s="243"/>
      <c r="R658" s="243"/>
      <c r="S658" s="243"/>
      <c r="T658" s="243"/>
      <c r="U658" s="243"/>
      <c r="V658" s="243"/>
      <c r="W658" s="243"/>
      <c r="X658" s="243"/>
      <c r="Y658" s="243"/>
      <c r="Z658" s="243"/>
      <c r="AA658" s="243"/>
      <c r="AB658" s="243"/>
      <c r="AC658" s="243"/>
      <c r="AD658" s="243"/>
      <c r="AE658" s="243"/>
      <c r="AF658" s="243"/>
      <c r="AG658" s="243"/>
      <c r="AH658" s="243"/>
      <c r="AI658" s="243"/>
      <c r="AJ658" s="243"/>
      <c r="AK658" s="243"/>
      <c r="AL658" s="243"/>
      <c r="AM658" s="243"/>
      <c r="AN658" s="243"/>
      <c r="AO658" s="243"/>
      <c r="AP658" s="243"/>
      <c r="AQ658" s="243"/>
      <c r="AR658" s="243"/>
      <c r="AS658" s="243"/>
      <c r="AT658" s="243"/>
      <c r="AU658" s="243"/>
      <c r="AV658" s="243"/>
      <c r="AW658" s="243"/>
      <c r="AX658" s="243"/>
      <c r="AY658" s="243"/>
      <c r="AZ658" s="243"/>
      <c r="BA658" s="243"/>
      <c r="BB658" s="243"/>
      <c r="BC658" s="243"/>
      <c r="BD658" s="243"/>
      <c r="BE658" s="243"/>
      <c r="BF658" s="243"/>
      <c r="BG658" s="243"/>
      <c r="BH658" s="243"/>
      <c r="BI658" s="243"/>
      <c r="BJ658" s="243"/>
      <c r="BK658" s="243"/>
      <c r="BL658" s="243"/>
      <c r="BM658" s="243"/>
      <c r="BN658" s="243"/>
      <c r="BO658" s="243"/>
      <c r="BP658" s="243"/>
      <c r="BQ658" s="243"/>
      <c r="BR658" s="243"/>
      <c r="BS658" s="243"/>
    </row>
    <row r="659" spans="1:71" s="12" customFormat="1" ht="41.25" customHeight="1">
      <c r="A659" s="178" t="s">
        <v>80</v>
      </c>
      <c r="B659" s="178" t="str">
        <f ca="1">+UPPER(Tabla1321124[[#This Row],[DESCRIPCIÓN DE LA COMPRA O CONTRATACIÓN]])</f>
        <v>TAPONES DE 1" PVC PRESION</v>
      </c>
      <c r="C659" s="39" t="s">
        <v>17</v>
      </c>
      <c r="D659" s="236">
        <v>5000</v>
      </c>
      <c r="E659" s="236">
        <v>5000</v>
      </c>
      <c r="F659" s="236">
        <v>5000</v>
      </c>
      <c r="G659" s="236">
        <v>5000</v>
      </c>
      <c r="H659" s="240">
        <f>SUM(Tabla1321124[[#This Row],[PRIMER TRIMESTRE]:[CUARTO TRIMESTRE]])</f>
        <v>20000</v>
      </c>
      <c r="I659" s="17">
        <v>11.82</v>
      </c>
      <c r="J659" s="17">
        <f>+Tabla1321124[[#This Row],[CANTIDAD TOTAL]]*Tabla1321124[[#This Row],[PRECIO UNITARIO ESTIMADO]]</f>
        <v>236400</v>
      </c>
      <c r="K659" s="17"/>
      <c r="L659" s="16" t="s">
        <v>18</v>
      </c>
      <c r="M659" s="16" t="s">
        <v>22</v>
      </c>
      <c r="N659" s="16" t="s">
        <v>418</v>
      </c>
      <c r="O659" s="243"/>
      <c r="P659" s="243"/>
      <c r="Q659" s="243"/>
      <c r="R659" s="243"/>
      <c r="S659" s="243"/>
      <c r="T659" s="243"/>
      <c r="U659" s="243"/>
      <c r="V659" s="243"/>
      <c r="W659" s="243"/>
      <c r="X659" s="243"/>
      <c r="Y659" s="243"/>
      <c r="Z659" s="243"/>
      <c r="AA659" s="243"/>
      <c r="AB659" s="243"/>
      <c r="AC659" s="243"/>
      <c r="AD659" s="243"/>
      <c r="AE659" s="243"/>
      <c r="AF659" s="243"/>
      <c r="AG659" s="243"/>
      <c r="AH659" s="243"/>
      <c r="AI659" s="243"/>
      <c r="AJ659" s="243"/>
      <c r="AK659" s="243"/>
      <c r="AL659" s="243"/>
      <c r="AM659" s="243"/>
      <c r="AN659" s="243"/>
      <c r="AO659" s="243"/>
      <c r="AP659" s="243"/>
      <c r="AQ659" s="243"/>
      <c r="AR659" s="243"/>
      <c r="AS659" s="243"/>
      <c r="AT659" s="243"/>
      <c r="AU659" s="243"/>
      <c r="AV659" s="243"/>
      <c r="AW659" s="243"/>
      <c r="AX659" s="243"/>
      <c r="AY659" s="243"/>
      <c r="AZ659" s="243"/>
      <c r="BA659" s="243"/>
      <c r="BB659" s="243"/>
      <c r="BC659" s="243"/>
      <c r="BD659" s="243"/>
      <c r="BE659" s="243"/>
      <c r="BF659" s="243"/>
      <c r="BG659" s="243"/>
      <c r="BH659" s="243"/>
      <c r="BI659" s="243"/>
      <c r="BJ659" s="243"/>
      <c r="BK659" s="243"/>
      <c r="BL659" s="243"/>
      <c r="BM659" s="243"/>
      <c r="BN659" s="243"/>
      <c r="BO659" s="243"/>
      <c r="BP659" s="243"/>
      <c r="BQ659" s="243"/>
      <c r="BR659" s="243"/>
      <c r="BS659" s="243"/>
    </row>
    <row r="660" spans="1:71" s="12" customFormat="1" ht="41.25" customHeight="1">
      <c r="A660" s="178" t="s">
        <v>80</v>
      </c>
      <c r="B660" s="178" t="str">
        <f ca="1">+UPPER(Tabla1321124[[#This Row],[DESCRIPCIÓN DE LA COMPRA O CONTRATACIÓN]])</f>
        <v>TAPONES DE 1 1/2" PVC PRESION</v>
      </c>
      <c r="C660" s="39" t="s">
        <v>17</v>
      </c>
      <c r="D660" s="236">
        <v>5000</v>
      </c>
      <c r="E660" s="236">
        <v>5000</v>
      </c>
      <c r="F660" s="236">
        <v>5000</v>
      </c>
      <c r="G660" s="236">
        <v>5000</v>
      </c>
      <c r="H660" s="240">
        <f>SUM(Tabla1321124[[#This Row],[PRIMER TRIMESTRE]:[CUARTO TRIMESTRE]])</f>
        <v>20000</v>
      </c>
      <c r="I660" s="17">
        <v>13.65</v>
      </c>
      <c r="J660" s="17">
        <f>+Tabla1321124[[#This Row],[CANTIDAD TOTAL]]*Tabla1321124[[#This Row],[PRECIO UNITARIO ESTIMADO]]</f>
        <v>273000</v>
      </c>
      <c r="K660" s="17"/>
      <c r="L660" s="16" t="s">
        <v>18</v>
      </c>
      <c r="M660" s="16" t="s">
        <v>22</v>
      </c>
      <c r="N660" s="16" t="s">
        <v>418</v>
      </c>
      <c r="O660" s="243"/>
      <c r="P660" s="243"/>
      <c r="Q660" s="243"/>
      <c r="R660" s="243"/>
      <c r="S660" s="243"/>
      <c r="T660" s="243"/>
      <c r="U660" s="243"/>
      <c r="V660" s="243"/>
      <c r="W660" s="243"/>
      <c r="X660" s="243"/>
      <c r="Y660" s="243"/>
      <c r="Z660" s="243"/>
      <c r="AA660" s="243"/>
      <c r="AB660" s="243"/>
      <c r="AC660" s="243"/>
      <c r="AD660" s="243"/>
      <c r="AE660" s="243"/>
      <c r="AF660" s="243"/>
      <c r="AG660" s="243"/>
      <c r="AH660" s="243"/>
      <c r="AI660" s="243"/>
      <c r="AJ660" s="243"/>
      <c r="AK660" s="243"/>
      <c r="AL660" s="243"/>
      <c r="AM660" s="243"/>
      <c r="AN660" s="243"/>
      <c r="AO660" s="243"/>
      <c r="AP660" s="243"/>
      <c r="AQ660" s="243"/>
      <c r="AR660" s="243"/>
      <c r="AS660" s="243"/>
      <c r="AT660" s="243"/>
      <c r="AU660" s="243"/>
      <c r="AV660" s="243"/>
      <c r="AW660" s="243"/>
      <c r="AX660" s="243"/>
      <c r="AY660" s="243"/>
      <c r="AZ660" s="243"/>
      <c r="BA660" s="243"/>
      <c r="BB660" s="243"/>
      <c r="BC660" s="243"/>
      <c r="BD660" s="243"/>
      <c r="BE660" s="243"/>
      <c r="BF660" s="243"/>
      <c r="BG660" s="243"/>
      <c r="BH660" s="243"/>
      <c r="BI660" s="243"/>
      <c r="BJ660" s="243"/>
      <c r="BK660" s="243"/>
      <c r="BL660" s="243"/>
      <c r="BM660" s="243"/>
      <c r="BN660" s="243"/>
      <c r="BO660" s="243"/>
      <c r="BP660" s="243"/>
      <c r="BQ660" s="243"/>
      <c r="BR660" s="243"/>
      <c r="BS660" s="243"/>
    </row>
    <row r="661" spans="1:71" s="12" customFormat="1" ht="41.25" customHeight="1">
      <c r="A661" s="178" t="s">
        <v>80</v>
      </c>
      <c r="B661" s="178" t="str">
        <f ca="1">+UPPER(Tabla1321124[[#This Row],[DESCRIPCIÓN DE LA COMPRA O CONTRATACIÓN]])</f>
        <v>TAPONES DE 2" PVC PRESION</v>
      </c>
      <c r="C661" s="39" t="s">
        <v>17</v>
      </c>
      <c r="D661" s="236">
        <v>5000</v>
      </c>
      <c r="E661" s="236">
        <v>5000</v>
      </c>
      <c r="F661" s="236">
        <v>5000</v>
      </c>
      <c r="G661" s="236">
        <v>5000</v>
      </c>
      <c r="H661" s="240">
        <f>SUM(Tabla1321124[[#This Row],[PRIMER TRIMESTRE]:[CUARTO TRIMESTRE]])</f>
        <v>20000</v>
      </c>
      <c r="I661" s="17">
        <v>22.39</v>
      </c>
      <c r="J661" s="17">
        <f>+Tabla1321124[[#This Row],[CANTIDAD TOTAL]]*Tabla1321124[[#This Row],[PRECIO UNITARIO ESTIMADO]]</f>
        <v>447800</v>
      </c>
      <c r="K661" s="17"/>
      <c r="L661" s="16" t="s">
        <v>18</v>
      </c>
      <c r="M661" s="16" t="s">
        <v>22</v>
      </c>
      <c r="N661" s="16" t="s">
        <v>418</v>
      </c>
      <c r="O661" s="243"/>
      <c r="P661" s="243"/>
      <c r="Q661" s="243"/>
      <c r="R661" s="243"/>
      <c r="S661" s="243"/>
      <c r="T661" s="243"/>
      <c r="U661" s="243"/>
      <c r="V661" s="243"/>
      <c r="W661" s="243"/>
      <c r="X661" s="243"/>
      <c r="Y661" s="243"/>
      <c r="Z661" s="243"/>
      <c r="AA661" s="243"/>
      <c r="AB661" s="243"/>
      <c r="AC661" s="243"/>
      <c r="AD661" s="243"/>
      <c r="AE661" s="243"/>
      <c r="AF661" s="243"/>
      <c r="AG661" s="243"/>
      <c r="AH661" s="243"/>
      <c r="AI661" s="243"/>
      <c r="AJ661" s="243"/>
      <c r="AK661" s="243"/>
      <c r="AL661" s="243"/>
      <c r="AM661" s="243"/>
      <c r="AN661" s="243"/>
      <c r="AO661" s="243"/>
      <c r="AP661" s="243"/>
      <c r="AQ661" s="243"/>
      <c r="AR661" s="243"/>
      <c r="AS661" s="243"/>
      <c r="AT661" s="243"/>
      <c r="AU661" s="243"/>
      <c r="AV661" s="243"/>
      <c r="AW661" s="243"/>
      <c r="AX661" s="243"/>
      <c r="AY661" s="243"/>
      <c r="AZ661" s="243"/>
      <c r="BA661" s="243"/>
      <c r="BB661" s="243"/>
      <c r="BC661" s="243"/>
      <c r="BD661" s="243"/>
      <c r="BE661" s="243"/>
      <c r="BF661" s="243"/>
      <c r="BG661" s="243"/>
      <c r="BH661" s="243"/>
      <c r="BI661" s="243"/>
      <c r="BJ661" s="243"/>
      <c r="BK661" s="243"/>
      <c r="BL661" s="243"/>
      <c r="BM661" s="243"/>
      <c r="BN661" s="243"/>
      <c r="BO661" s="243"/>
      <c r="BP661" s="243"/>
      <c r="BQ661" s="243"/>
      <c r="BR661" s="243"/>
      <c r="BS661" s="243"/>
    </row>
    <row r="662" spans="1:71" s="12" customFormat="1" ht="41.25" customHeight="1">
      <c r="A662" s="178" t="s">
        <v>80</v>
      </c>
      <c r="B662" s="178" t="str">
        <f ca="1">+UPPER(Tabla1321124[[#This Row],[DESCRIPCIÓN DE LA COMPRA O CONTRATACIÓN]])</f>
        <v>TAPONES DE 3" PVC PRESION</v>
      </c>
      <c r="C662" s="39" t="s">
        <v>17</v>
      </c>
      <c r="D662" s="236">
        <v>2000</v>
      </c>
      <c r="E662" s="236">
        <v>2000</v>
      </c>
      <c r="F662" s="236">
        <v>2000</v>
      </c>
      <c r="G662" s="236">
        <v>2000</v>
      </c>
      <c r="H662" s="240">
        <f>SUM(Tabla1321124[[#This Row],[PRIMER TRIMESTRE]:[CUARTO TRIMESTRE]])</f>
        <v>8000</v>
      </c>
      <c r="I662" s="17">
        <v>59.97</v>
      </c>
      <c r="J662" s="17">
        <f>+Tabla1321124[[#This Row],[CANTIDAD TOTAL]]*Tabla1321124[[#This Row],[PRECIO UNITARIO ESTIMADO]]</f>
        <v>479760</v>
      </c>
      <c r="K662" s="17"/>
      <c r="L662" s="16" t="s">
        <v>18</v>
      </c>
      <c r="M662" s="16" t="s">
        <v>22</v>
      </c>
      <c r="N662" s="16" t="s">
        <v>418</v>
      </c>
      <c r="O662" s="243"/>
      <c r="P662" s="243"/>
      <c r="Q662" s="243"/>
      <c r="R662" s="243"/>
      <c r="S662" s="243"/>
      <c r="T662" s="243"/>
      <c r="U662" s="243"/>
      <c r="V662" s="243"/>
      <c r="W662" s="243"/>
      <c r="X662" s="243"/>
      <c r="Y662" s="243"/>
      <c r="Z662" s="243"/>
      <c r="AA662" s="243"/>
      <c r="AB662" s="243"/>
      <c r="AC662" s="243"/>
      <c r="AD662" s="243"/>
      <c r="AE662" s="243"/>
      <c r="AF662" s="243"/>
      <c r="AG662" s="243"/>
      <c r="AH662" s="243"/>
      <c r="AI662" s="243"/>
      <c r="AJ662" s="243"/>
      <c r="AK662" s="243"/>
      <c r="AL662" s="243"/>
      <c r="AM662" s="243"/>
      <c r="AN662" s="243"/>
      <c r="AO662" s="243"/>
      <c r="AP662" s="243"/>
      <c r="AQ662" s="243"/>
      <c r="AR662" s="243"/>
      <c r="AS662" s="243"/>
      <c r="AT662" s="243"/>
      <c r="AU662" s="243"/>
      <c r="AV662" s="243"/>
      <c r="AW662" s="243"/>
      <c r="AX662" s="243"/>
      <c r="AY662" s="243"/>
      <c r="AZ662" s="243"/>
      <c r="BA662" s="243"/>
      <c r="BB662" s="243"/>
      <c r="BC662" s="243"/>
      <c r="BD662" s="243"/>
      <c r="BE662" s="243"/>
      <c r="BF662" s="243"/>
      <c r="BG662" s="243"/>
      <c r="BH662" s="243"/>
      <c r="BI662" s="243"/>
      <c r="BJ662" s="243"/>
      <c r="BK662" s="243"/>
      <c r="BL662" s="243"/>
      <c r="BM662" s="243"/>
      <c r="BN662" s="243"/>
      <c r="BO662" s="243"/>
      <c r="BP662" s="243"/>
      <c r="BQ662" s="243"/>
      <c r="BR662" s="243"/>
      <c r="BS662" s="243"/>
    </row>
    <row r="663" spans="1:71" s="12" customFormat="1" ht="41.25" customHeight="1">
      <c r="A663" s="178" t="s">
        <v>80</v>
      </c>
      <c r="B663" s="178" t="str">
        <f ca="1">+UPPER(Tabla1321124[[#This Row],[DESCRIPCIÓN DE LA COMPRA O CONTRATACIÓN]])</f>
        <v>TAPONES DE 4" PVC PRESION</v>
      </c>
      <c r="C663" s="39" t="s">
        <v>17</v>
      </c>
      <c r="D663" s="236">
        <v>2000</v>
      </c>
      <c r="E663" s="236">
        <v>2000</v>
      </c>
      <c r="F663" s="236">
        <v>2000</v>
      </c>
      <c r="G663" s="236">
        <v>2000</v>
      </c>
      <c r="H663" s="240">
        <f>SUM(Tabla1321124[[#This Row],[PRIMER TRIMESTRE]:[CUARTO TRIMESTRE]])</f>
        <v>8000</v>
      </c>
      <c r="I663" s="17">
        <v>101.5</v>
      </c>
      <c r="J663" s="17">
        <f>+Tabla1321124[[#This Row],[CANTIDAD TOTAL]]*Tabla1321124[[#This Row],[PRECIO UNITARIO ESTIMADO]]</f>
        <v>812000</v>
      </c>
      <c r="K663" s="17"/>
      <c r="L663" s="16" t="s">
        <v>18</v>
      </c>
      <c r="M663" s="16" t="s">
        <v>22</v>
      </c>
      <c r="N663" s="16" t="s">
        <v>418</v>
      </c>
      <c r="O663" s="243"/>
      <c r="P663" s="243"/>
      <c r="Q663" s="243"/>
      <c r="R663" s="243"/>
      <c r="S663" s="243"/>
      <c r="T663" s="243"/>
      <c r="U663" s="243"/>
      <c r="V663" s="243"/>
      <c r="W663" s="243"/>
      <c r="X663" s="243"/>
      <c r="Y663" s="243"/>
      <c r="Z663" s="243"/>
      <c r="AA663" s="243"/>
      <c r="AB663" s="243"/>
      <c r="AC663" s="243"/>
      <c r="AD663" s="243"/>
      <c r="AE663" s="243"/>
      <c r="AF663" s="243"/>
      <c r="AG663" s="243"/>
      <c r="AH663" s="243"/>
      <c r="AI663" s="243"/>
      <c r="AJ663" s="243"/>
      <c r="AK663" s="243"/>
      <c r="AL663" s="243"/>
      <c r="AM663" s="243"/>
      <c r="AN663" s="243"/>
      <c r="AO663" s="243"/>
      <c r="AP663" s="243"/>
      <c r="AQ663" s="243"/>
      <c r="AR663" s="243"/>
      <c r="AS663" s="243"/>
      <c r="AT663" s="243"/>
      <c r="AU663" s="243"/>
      <c r="AV663" s="243"/>
      <c r="AW663" s="243"/>
      <c r="AX663" s="243"/>
      <c r="AY663" s="243"/>
      <c r="AZ663" s="243"/>
      <c r="BA663" s="243"/>
      <c r="BB663" s="243"/>
      <c r="BC663" s="243"/>
      <c r="BD663" s="243"/>
      <c r="BE663" s="243"/>
      <c r="BF663" s="243"/>
      <c r="BG663" s="243"/>
      <c r="BH663" s="243"/>
      <c r="BI663" s="243"/>
      <c r="BJ663" s="243"/>
      <c r="BK663" s="243"/>
      <c r="BL663" s="243"/>
      <c r="BM663" s="243"/>
      <c r="BN663" s="243"/>
      <c r="BO663" s="243"/>
      <c r="BP663" s="243"/>
      <c r="BQ663" s="243"/>
      <c r="BR663" s="243"/>
      <c r="BS663" s="243"/>
    </row>
    <row r="664" spans="1:71" s="12" customFormat="1" ht="41.25" customHeight="1">
      <c r="A664" s="178" t="s">
        <v>80</v>
      </c>
      <c r="B664" s="178" t="str">
        <f ca="1">+UPPER(Tabla1321124[[#This Row],[DESCRIPCIÓN DE LA COMPRA O CONTRATACIÓN]])</f>
        <v>TEE ACERO PLATILLADO 200 MM X 4</v>
      </c>
      <c r="C664" s="39" t="s">
        <v>17</v>
      </c>
      <c r="D664" s="236">
        <v>1</v>
      </c>
      <c r="E664" s="236"/>
      <c r="F664" s="236"/>
      <c r="G664" s="236"/>
      <c r="H664" s="240">
        <f>SUM(Tabla1321124[[#This Row],[PRIMER TRIMESTRE]:[CUARTO TRIMESTRE]])</f>
        <v>1</v>
      </c>
      <c r="I664" s="17">
        <v>3364</v>
      </c>
      <c r="J664" s="17">
        <f>+Tabla1321124[[#This Row],[CANTIDAD TOTAL]]*Tabla1321124[[#This Row],[PRECIO UNITARIO ESTIMADO]]</f>
        <v>3364</v>
      </c>
      <c r="K664" s="17"/>
      <c r="L664" s="16" t="s">
        <v>18</v>
      </c>
      <c r="M664" s="16" t="s">
        <v>22</v>
      </c>
      <c r="N664" s="16" t="s">
        <v>418</v>
      </c>
      <c r="O664" s="243"/>
      <c r="P664" s="243"/>
      <c r="Q664" s="243"/>
      <c r="R664" s="243"/>
      <c r="S664" s="243"/>
      <c r="T664" s="243"/>
      <c r="U664" s="243"/>
      <c r="V664" s="243"/>
      <c r="W664" s="243"/>
      <c r="X664" s="243"/>
      <c r="Y664" s="243"/>
      <c r="Z664" s="243"/>
      <c r="AA664" s="243"/>
      <c r="AB664" s="243"/>
      <c r="AC664" s="243"/>
      <c r="AD664" s="243"/>
      <c r="AE664" s="243"/>
      <c r="AF664" s="243"/>
      <c r="AG664" s="243"/>
      <c r="AH664" s="243"/>
      <c r="AI664" s="243"/>
      <c r="AJ664" s="243"/>
      <c r="AK664" s="243"/>
      <c r="AL664" s="243"/>
      <c r="AM664" s="243"/>
      <c r="AN664" s="243"/>
      <c r="AO664" s="243"/>
      <c r="AP664" s="243"/>
      <c r="AQ664" s="243"/>
      <c r="AR664" s="243"/>
      <c r="AS664" s="243"/>
      <c r="AT664" s="243"/>
      <c r="AU664" s="243"/>
      <c r="AV664" s="243"/>
      <c r="AW664" s="243"/>
      <c r="AX664" s="243"/>
      <c r="AY664" s="243"/>
      <c r="AZ664" s="243"/>
      <c r="BA664" s="243"/>
      <c r="BB664" s="243"/>
      <c r="BC664" s="243"/>
      <c r="BD664" s="243"/>
      <c r="BE664" s="243"/>
      <c r="BF664" s="243"/>
      <c r="BG664" s="243"/>
      <c r="BH664" s="243"/>
      <c r="BI664" s="243"/>
      <c r="BJ664" s="243"/>
      <c r="BK664" s="243"/>
      <c r="BL664" s="243"/>
      <c r="BM664" s="243"/>
      <c r="BN664" s="243"/>
      <c r="BO664" s="243"/>
      <c r="BP664" s="243"/>
      <c r="BQ664" s="243"/>
      <c r="BR664" s="243"/>
      <c r="BS664" s="243"/>
    </row>
    <row r="665" spans="1:71" s="12" customFormat="1" ht="41.25" customHeight="1">
      <c r="A665" s="178" t="s">
        <v>80</v>
      </c>
      <c r="B665" s="178" t="str">
        <f ca="1">+UPPER(Tabla1321124[[#This Row],[DESCRIPCIÓN DE LA COMPRA O CONTRATACIÓN]])</f>
        <v>TOMACORRIENTES 120V</v>
      </c>
      <c r="C665" s="39" t="s">
        <v>17</v>
      </c>
      <c r="D665" s="236">
        <v>200</v>
      </c>
      <c r="E665" s="236">
        <v>250</v>
      </c>
      <c r="F665" s="236">
        <v>200</v>
      </c>
      <c r="G665" s="236">
        <v>250</v>
      </c>
      <c r="H665" s="240">
        <f>SUM(Tabla1321124[[#This Row],[PRIMER TRIMESTRE]:[CUARTO TRIMESTRE]])</f>
        <v>900</v>
      </c>
      <c r="I665" s="17">
        <v>32.479999999999997</v>
      </c>
      <c r="J665" s="17">
        <f>+Tabla1321124[[#This Row],[CANTIDAD TOTAL]]*Tabla1321124[[#This Row],[PRECIO UNITARIO ESTIMADO]]</f>
        <v>29231.999999999996</v>
      </c>
      <c r="K665" s="17"/>
      <c r="L665" s="16" t="s">
        <v>18</v>
      </c>
      <c r="M665" s="16" t="s">
        <v>22</v>
      </c>
      <c r="N665" s="16" t="s">
        <v>418</v>
      </c>
      <c r="O665" s="243"/>
      <c r="P665" s="243"/>
      <c r="Q665" s="243"/>
      <c r="R665" s="243"/>
      <c r="S665" s="243"/>
      <c r="T665" s="243"/>
      <c r="U665" s="243"/>
      <c r="V665" s="243"/>
      <c r="W665" s="243"/>
      <c r="X665" s="243"/>
      <c r="Y665" s="243"/>
      <c r="Z665" s="243"/>
      <c r="AA665" s="243"/>
      <c r="AB665" s="243"/>
      <c r="AC665" s="243"/>
      <c r="AD665" s="243"/>
      <c r="AE665" s="243"/>
      <c r="AF665" s="243"/>
      <c r="AG665" s="243"/>
      <c r="AH665" s="243"/>
      <c r="AI665" s="243"/>
      <c r="AJ665" s="243"/>
      <c r="AK665" s="243"/>
      <c r="AL665" s="243"/>
      <c r="AM665" s="243"/>
      <c r="AN665" s="243"/>
      <c r="AO665" s="243"/>
      <c r="AP665" s="243"/>
      <c r="AQ665" s="243"/>
      <c r="AR665" s="243"/>
      <c r="AS665" s="243"/>
      <c r="AT665" s="243"/>
      <c r="AU665" s="243"/>
      <c r="AV665" s="243"/>
      <c r="AW665" s="243"/>
      <c r="AX665" s="243"/>
      <c r="AY665" s="243"/>
      <c r="AZ665" s="243"/>
      <c r="BA665" s="243"/>
      <c r="BB665" s="243"/>
      <c r="BC665" s="243"/>
      <c r="BD665" s="243"/>
      <c r="BE665" s="243"/>
      <c r="BF665" s="243"/>
      <c r="BG665" s="243"/>
      <c r="BH665" s="243"/>
      <c r="BI665" s="243"/>
      <c r="BJ665" s="243"/>
      <c r="BK665" s="243"/>
      <c r="BL665" s="243"/>
      <c r="BM665" s="243"/>
      <c r="BN665" s="243"/>
      <c r="BO665" s="243"/>
      <c r="BP665" s="243"/>
      <c r="BQ665" s="243"/>
      <c r="BR665" s="243"/>
      <c r="BS665" s="243"/>
    </row>
    <row r="666" spans="1:71" s="12" customFormat="1" ht="41.25" customHeight="1">
      <c r="A666" s="178" t="s">
        <v>80</v>
      </c>
      <c r="B666" s="178" t="str">
        <f ca="1">+UPPER(Tabla1321124[[#This Row],[DESCRIPCIÓN DE LA COMPRA O CONTRATACIÓN]])</f>
        <v>TUERCA DE 3/8''</v>
      </c>
      <c r="C666" s="39" t="s">
        <v>17</v>
      </c>
      <c r="D666" s="236">
        <v>300</v>
      </c>
      <c r="E666" s="236">
        <v>400</v>
      </c>
      <c r="F666" s="236">
        <v>300</v>
      </c>
      <c r="G666" s="236">
        <v>400</v>
      </c>
      <c r="H666" s="240">
        <f>SUM(Tabla1321124[[#This Row],[PRIMER TRIMESTRE]:[CUARTO TRIMESTRE]])</f>
        <v>1400</v>
      </c>
      <c r="I666" s="17">
        <v>2.3199999999999998</v>
      </c>
      <c r="J666" s="17">
        <f>+Tabla1321124[[#This Row],[CANTIDAD TOTAL]]*Tabla1321124[[#This Row],[PRECIO UNITARIO ESTIMADO]]</f>
        <v>3248</v>
      </c>
      <c r="K666" s="17"/>
      <c r="L666" s="16" t="s">
        <v>18</v>
      </c>
      <c r="M666" s="16" t="s">
        <v>22</v>
      </c>
      <c r="N666" s="16" t="s">
        <v>418</v>
      </c>
      <c r="O666" s="243"/>
      <c r="P666" s="243"/>
      <c r="Q666" s="243"/>
      <c r="R666" s="243"/>
      <c r="S666" s="243"/>
      <c r="T666" s="243"/>
      <c r="U666" s="243"/>
      <c r="V666" s="243"/>
      <c r="W666" s="243"/>
      <c r="X666" s="243"/>
      <c r="Y666" s="243"/>
      <c r="Z666" s="243"/>
      <c r="AA666" s="243"/>
      <c r="AB666" s="243"/>
      <c r="AC666" s="243"/>
      <c r="AD666" s="243"/>
      <c r="AE666" s="243"/>
      <c r="AF666" s="243"/>
      <c r="AG666" s="243"/>
      <c r="AH666" s="243"/>
      <c r="AI666" s="243"/>
      <c r="AJ666" s="243"/>
      <c r="AK666" s="243"/>
      <c r="AL666" s="243"/>
      <c r="AM666" s="243"/>
      <c r="AN666" s="243"/>
      <c r="AO666" s="243"/>
      <c r="AP666" s="243"/>
      <c r="AQ666" s="243"/>
      <c r="AR666" s="243"/>
      <c r="AS666" s="243"/>
      <c r="AT666" s="243"/>
      <c r="AU666" s="243"/>
      <c r="AV666" s="243"/>
      <c r="AW666" s="243"/>
      <c r="AX666" s="243"/>
      <c r="AY666" s="243"/>
      <c r="AZ666" s="243"/>
      <c r="BA666" s="243"/>
      <c r="BB666" s="243"/>
      <c r="BC666" s="243"/>
      <c r="BD666" s="243"/>
      <c r="BE666" s="243"/>
      <c r="BF666" s="243"/>
      <c r="BG666" s="243"/>
      <c r="BH666" s="243"/>
      <c r="BI666" s="243"/>
      <c r="BJ666" s="243"/>
      <c r="BK666" s="243"/>
      <c r="BL666" s="243"/>
      <c r="BM666" s="243"/>
      <c r="BN666" s="243"/>
      <c r="BO666" s="243"/>
      <c r="BP666" s="243"/>
      <c r="BQ666" s="243"/>
      <c r="BR666" s="243"/>
      <c r="BS666" s="243"/>
    </row>
    <row r="667" spans="1:71" s="12" customFormat="1" ht="41.25" customHeight="1">
      <c r="A667" s="178" t="s">
        <v>80</v>
      </c>
      <c r="B667" s="178" t="str">
        <f ca="1">+UPPER(Tabla1321124[[#This Row],[DESCRIPCIÓN DE LA COMPRA O CONTRATACIÓN]])</f>
        <v>TUERCA DE 7/16''</v>
      </c>
      <c r="C667" s="39" t="s">
        <v>17</v>
      </c>
      <c r="D667" s="236">
        <v>100</v>
      </c>
      <c r="E667" s="236">
        <v>200</v>
      </c>
      <c r="F667" s="236">
        <v>100</v>
      </c>
      <c r="G667" s="236">
        <v>200</v>
      </c>
      <c r="H667" s="240">
        <f>SUM(Tabla1321124[[#This Row],[PRIMER TRIMESTRE]:[CUARTO TRIMESTRE]])</f>
        <v>600</v>
      </c>
      <c r="I667" s="17">
        <v>3.48</v>
      </c>
      <c r="J667" s="17">
        <f>+Tabla1321124[[#This Row],[CANTIDAD TOTAL]]*Tabla1321124[[#This Row],[PRECIO UNITARIO ESTIMADO]]</f>
        <v>2088</v>
      </c>
      <c r="K667" s="17"/>
      <c r="L667" s="16" t="s">
        <v>18</v>
      </c>
      <c r="M667" s="16" t="s">
        <v>22</v>
      </c>
      <c r="N667" s="16" t="s">
        <v>418</v>
      </c>
      <c r="O667" s="243"/>
      <c r="P667" s="243"/>
      <c r="Q667" s="243"/>
      <c r="R667" s="243"/>
      <c r="S667" s="243"/>
      <c r="T667" s="243"/>
      <c r="U667" s="243"/>
      <c r="V667" s="243"/>
      <c r="W667" s="243"/>
      <c r="X667" s="243"/>
      <c r="Y667" s="243"/>
      <c r="Z667" s="243"/>
      <c r="AA667" s="243"/>
      <c r="AB667" s="243"/>
      <c r="AC667" s="243"/>
      <c r="AD667" s="243"/>
      <c r="AE667" s="243"/>
      <c r="AF667" s="243"/>
      <c r="AG667" s="243"/>
      <c r="AH667" s="243"/>
      <c r="AI667" s="243"/>
      <c r="AJ667" s="243"/>
      <c r="AK667" s="243"/>
      <c r="AL667" s="243"/>
      <c r="AM667" s="243"/>
      <c r="AN667" s="243"/>
      <c r="AO667" s="243"/>
      <c r="AP667" s="243"/>
      <c r="AQ667" s="243"/>
      <c r="AR667" s="243"/>
      <c r="AS667" s="243"/>
      <c r="AT667" s="243"/>
      <c r="AU667" s="243"/>
      <c r="AV667" s="243"/>
      <c r="AW667" s="243"/>
      <c r="AX667" s="243"/>
      <c r="AY667" s="243"/>
      <c r="AZ667" s="243"/>
      <c r="BA667" s="243"/>
      <c r="BB667" s="243"/>
      <c r="BC667" s="243"/>
      <c r="BD667" s="243"/>
      <c r="BE667" s="243"/>
      <c r="BF667" s="243"/>
      <c r="BG667" s="243"/>
      <c r="BH667" s="243"/>
      <c r="BI667" s="243"/>
      <c r="BJ667" s="243"/>
      <c r="BK667" s="243"/>
      <c r="BL667" s="243"/>
      <c r="BM667" s="243"/>
      <c r="BN667" s="243"/>
      <c r="BO667" s="243"/>
      <c r="BP667" s="243"/>
      <c r="BQ667" s="243"/>
      <c r="BR667" s="243"/>
      <c r="BS667" s="243"/>
    </row>
    <row r="668" spans="1:71" s="12" customFormat="1" ht="41.25" customHeight="1">
      <c r="A668" s="178" t="s">
        <v>80</v>
      </c>
      <c r="B668" s="178" t="str">
        <f ca="1">+UPPER(Tabla1321124[[#This Row],[DESCRIPCIÓN DE LA COMPRA O CONTRATACIÓN]])</f>
        <v>TUERCA DE 5/8</v>
      </c>
      <c r="C668" s="39" t="s">
        <v>17</v>
      </c>
      <c r="D668" s="236">
        <v>100</v>
      </c>
      <c r="E668" s="236">
        <v>200</v>
      </c>
      <c r="F668" s="236">
        <v>100</v>
      </c>
      <c r="G668" s="236">
        <v>200</v>
      </c>
      <c r="H668" s="240">
        <f>SUM(Tabla1321124[[#This Row],[PRIMER TRIMESTRE]:[CUARTO TRIMESTRE]])</f>
        <v>600</v>
      </c>
      <c r="I668" s="17">
        <v>9.44</v>
      </c>
      <c r="J668" s="17">
        <f>+Tabla1321124[[#This Row],[CANTIDAD TOTAL]]*Tabla1321124[[#This Row],[PRECIO UNITARIO ESTIMADO]]</f>
        <v>5664</v>
      </c>
      <c r="K668" s="17"/>
      <c r="L668" s="16" t="s">
        <v>18</v>
      </c>
      <c r="M668" s="16" t="s">
        <v>22</v>
      </c>
      <c r="N668" s="16" t="s">
        <v>418</v>
      </c>
      <c r="O668" s="243"/>
      <c r="P668" s="243"/>
      <c r="Q668" s="243"/>
      <c r="R668" s="243"/>
      <c r="S668" s="243"/>
      <c r="T668" s="243"/>
      <c r="U668" s="243"/>
      <c r="V668" s="243"/>
      <c r="W668" s="243"/>
      <c r="X668" s="243"/>
      <c r="Y668" s="243"/>
      <c r="Z668" s="243"/>
      <c r="AA668" s="243"/>
      <c r="AB668" s="243"/>
      <c r="AC668" s="243"/>
      <c r="AD668" s="243"/>
      <c r="AE668" s="243"/>
      <c r="AF668" s="243"/>
      <c r="AG668" s="243"/>
      <c r="AH668" s="243"/>
      <c r="AI668" s="243"/>
      <c r="AJ668" s="243"/>
      <c r="AK668" s="243"/>
      <c r="AL668" s="243"/>
      <c r="AM668" s="243"/>
      <c r="AN668" s="243"/>
      <c r="AO668" s="243"/>
      <c r="AP668" s="243"/>
      <c r="AQ668" s="243"/>
      <c r="AR668" s="243"/>
      <c r="AS668" s="243"/>
      <c r="AT668" s="243"/>
      <c r="AU668" s="243"/>
      <c r="AV668" s="243"/>
      <c r="AW668" s="243"/>
      <c r="AX668" s="243"/>
      <c r="AY668" s="243"/>
      <c r="AZ668" s="243"/>
      <c r="BA668" s="243"/>
      <c r="BB668" s="243"/>
      <c r="BC668" s="243"/>
      <c r="BD668" s="243"/>
      <c r="BE668" s="243"/>
      <c r="BF668" s="243"/>
      <c r="BG668" s="243"/>
      <c r="BH668" s="243"/>
      <c r="BI668" s="243"/>
      <c r="BJ668" s="243"/>
      <c r="BK668" s="243"/>
      <c r="BL668" s="243"/>
      <c r="BM668" s="243"/>
      <c r="BN668" s="243"/>
      <c r="BO668" s="243"/>
      <c r="BP668" s="243"/>
      <c r="BQ668" s="243"/>
      <c r="BR668" s="243"/>
      <c r="BS668" s="243"/>
    </row>
    <row r="669" spans="1:71" s="12" customFormat="1" ht="41.25" customHeight="1">
      <c r="A669" s="178" t="s">
        <v>80</v>
      </c>
      <c r="B669" s="178" t="str">
        <f ca="1">+UPPER(Tabla1321124[[#This Row],[DESCRIPCIÓN DE LA COMPRA O CONTRATACIÓN]])</f>
        <v>TUERCA DE 1/2</v>
      </c>
      <c r="C669" s="39" t="s">
        <v>17</v>
      </c>
      <c r="D669" s="236">
        <v>300</v>
      </c>
      <c r="E669" s="236">
        <v>300</v>
      </c>
      <c r="F669" s="236">
        <v>300</v>
      </c>
      <c r="G669" s="236">
        <v>300</v>
      </c>
      <c r="H669" s="240">
        <f>SUM(Tabla1321124[[#This Row],[PRIMER TRIMESTRE]:[CUARTO TRIMESTRE]])</f>
        <v>1200</v>
      </c>
      <c r="I669" s="17">
        <v>5.9</v>
      </c>
      <c r="J669" s="17">
        <f>+Tabla1321124[[#This Row],[CANTIDAD TOTAL]]*Tabla1321124[[#This Row],[PRECIO UNITARIO ESTIMADO]]</f>
        <v>7080</v>
      </c>
      <c r="K669" s="17"/>
      <c r="L669" s="16" t="s">
        <v>18</v>
      </c>
      <c r="M669" s="16" t="s">
        <v>22</v>
      </c>
      <c r="N669" s="16" t="s">
        <v>418</v>
      </c>
      <c r="O669" s="243"/>
      <c r="P669" s="243"/>
      <c r="Q669" s="243"/>
      <c r="R669" s="243"/>
      <c r="S669" s="243"/>
      <c r="T669" s="243"/>
      <c r="U669" s="243"/>
      <c r="V669" s="243"/>
      <c r="W669" s="243"/>
      <c r="X669" s="243"/>
      <c r="Y669" s="243"/>
      <c r="Z669" s="243"/>
      <c r="AA669" s="243"/>
      <c r="AB669" s="243"/>
      <c r="AC669" s="243"/>
      <c r="AD669" s="243"/>
      <c r="AE669" s="243"/>
      <c r="AF669" s="243"/>
      <c r="AG669" s="243"/>
      <c r="AH669" s="243"/>
      <c r="AI669" s="243"/>
      <c r="AJ669" s="243"/>
      <c r="AK669" s="243"/>
      <c r="AL669" s="243"/>
      <c r="AM669" s="243"/>
      <c r="AN669" s="243"/>
      <c r="AO669" s="243"/>
      <c r="AP669" s="243"/>
      <c r="AQ669" s="243"/>
      <c r="AR669" s="243"/>
      <c r="AS669" s="243"/>
      <c r="AT669" s="243"/>
      <c r="AU669" s="243"/>
      <c r="AV669" s="243"/>
      <c r="AW669" s="243"/>
      <c r="AX669" s="243"/>
      <c r="AY669" s="243"/>
      <c r="AZ669" s="243"/>
      <c r="BA669" s="243"/>
      <c r="BB669" s="243"/>
      <c r="BC669" s="243"/>
      <c r="BD669" s="243"/>
      <c r="BE669" s="243"/>
      <c r="BF669" s="243"/>
      <c r="BG669" s="243"/>
      <c r="BH669" s="243"/>
      <c r="BI669" s="243"/>
      <c r="BJ669" s="243"/>
      <c r="BK669" s="243"/>
      <c r="BL669" s="243"/>
      <c r="BM669" s="243"/>
      <c r="BN669" s="243"/>
      <c r="BO669" s="243"/>
      <c r="BP669" s="243"/>
      <c r="BQ669" s="243"/>
      <c r="BR669" s="243"/>
      <c r="BS669" s="243"/>
    </row>
    <row r="670" spans="1:71" s="12" customFormat="1" ht="41.25" customHeight="1">
      <c r="A670" s="178" t="s">
        <v>80</v>
      </c>
      <c r="B670" s="178" t="str">
        <f ca="1">+UPPER(Tabla1321124[[#This Row],[DESCRIPCIÓN DE LA COMPRA O CONTRATACIÓN]])</f>
        <v>TUERCA DE 3/4</v>
      </c>
      <c r="C670" s="39" t="s">
        <v>17</v>
      </c>
      <c r="D670" s="370">
        <v>200</v>
      </c>
      <c r="E670" s="370">
        <v>200</v>
      </c>
      <c r="F670" s="370">
        <v>200</v>
      </c>
      <c r="G670" s="370">
        <v>200</v>
      </c>
      <c r="H670" s="240">
        <f>SUM(Tabla1321124[[#This Row],[PRIMER TRIMESTRE]:[CUARTO TRIMESTRE]])</f>
        <v>800</v>
      </c>
      <c r="I670" s="17">
        <v>3.54</v>
      </c>
      <c r="J670" s="17">
        <f>+Tabla1321124[[#This Row],[CANTIDAD TOTAL]]*Tabla1321124[[#This Row],[PRECIO UNITARIO ESTIMADO]]</f>
        <v>2832</v>
      </c>
      <c r="K670" s="175"/>
      <c r="L670" s="16" t="s">
        <v>18</v>
      </c>
      <c r="M670" s="16" t="s">
        <v>22</v>
      </c>
      <c r="N670" s="16" t="s">
        <v>418</v>
      </c>
      <c r="O670" s="243"/>
      <c r="P670" s="243"/>
      <c r="Q670" s="243"/>
      <c r="R670" s="243"/>
      <c r="S670" s="243"/>
      <c r="T670" s="243"/>
      <c r="U670" s="243"/>
      <c r="V670" s="243"/>
      <c r="W670" s="243"/>
      <c r="X670" s="243"/>
      <c r="Y670" s="243"/>
      <c r="Z670" s="243"/>
      <c r="AA670" s="243"/>
      <c r="AB670" s="243"/>
      <c r="AC670" s="243"/>
      <c r="AD670" s="243"/>
      <c r="AE670" s="243"/>
      <c r="AF670" s="243"/>
      <c r="AG670" s="243"/>
      <c r="AH670" s="243"/>
      <c r="AI670" s="243"/>
      <c r="AJ670" s="243"/>
      <c r="AK670" s="243"/>
      <c r="AL670" s="243"/>
      <c r="AM670" s="243"/>
      <c r="AN670" s="243"/>
      <c r="AO670" s="243"/>
      <c r="AP670" s="243"/>
      <c r="AQ670" s="243"/>
      <c r="AR670" s="243"/>
      <c r="AS670" s="243"/>
      <c r="AT670" s="243"/>
      <c r="AU670" s="243"/>
      <c r="AV670" s="243"/>
      <c r="AW670" s="243"/>
      <c r="AX670" s="243"/>
      <c r="AY670" s="243"/>
      <c r="AZ670" s="243"/>
      <c r="BA670" s="243"/>
      <c r="BB670" s="243"/>
      <c r="BC670" s="243"/>
      <c r="BD670" s="243"/>
      <c r="BE670" s="243"/>
      <c r="BF670" s="243"/>
      <c r="BG670" s="243"/>
      <c r="BH670" s="243"/>
      <c r="BI670" s="243"/>
      <c r="BJ670" s="243"/>
      <c r="BK670" s="243"/>
      <c r="BL670" s="243"/>
      <c r="BM670" s="243"/>
      <c r="BN670" s="243"/>
      <c r="BO670" s="243"/>
      <c r="BP670" s="243"/>
      <c r="BQ670" s="243"/>
      <c r="BR670" s="243"/>
      <c r="BS670" s="243"/>
    </row>
    <row r="671" spans="1:71" s="12" customFormat="1" ht="41.25" customHeight="1">
      <c r="A671" s="178" t="s">
        <v>80</v>
      </c>
      <c r="B671" s="178" t="str">
        <f ca="1">+UPPER(Tabla1321124[[#This Row],[DESCRIPCIÓN DE LA COMPRA O CONTRATACIÓN]])</f>
        <v>TEE DE ½” H.G.</v>
      </c>
      <c r="C671" s="39" t="s">
        <v>189</v>
      </c>
      <c r="D671" s="368">
        <v>20</v>
      </c>
      <c r="E671" s="368">
        <v>10</v>
      </c>
      <c r="F671" s="368">
        <v>10</v>
      </c>
      <c r="G671" s="368">
        <v>10</v>
      </c>
      <c r="H671" s="240">
        <f>SUM(Tabla1321124[[#This Row],[PRIMER TRIMESTRE]:[CUARTO TRIMESTRE]])</f>
        <v>50</v>
      </c>
      <c r="I671" s="17">
        <v>5</v>
      </c>
      <c r="J671" s="17">
        <f>+Tabla1321124[[#This Row],[CANTIDAD TOTAL]]*Tabla1321124[[#This Row],[PRECIO UNITARIO ESTIMADO]]</f>
        <v>250</v>
      </c>
      <c r="K671" s="175"/>
      <c r="L671" s="16" t="s">
        <v>18</v>
      </c>
      <c r="M671" s="16" t="s">
        <v>22</v>
      </c>
      <c r="N671" s="16" t="s">
        <v>418</v>
      </c>
      <c r="O671" s="243"/>
      <c r="P671" s="243"/>
      <c r="Q671" s="243"/>
      <c r="R671" s="243"/>
      <c r="S671" s="243"/>
      <c r="T671" s="243"/>
      <c r="U671" s="243"/>
      <c r="V671" s="243"/>
      <c r="W671" s="243"/>
      <c r="X671" s="243"/>
      <c r="Y671" s="243"/>
      <c r="Z671" s="243"/>
      <c r="AA671" s="243"/>
      <c r="AB671" s="243"/>
      <c r="AC671" s="243"/>
      <c r="AD671" s="243"/>
      <c r="AE671" s="243"/>
      <c r="AF671" s="243"/>
      <c r="AG671" s="243"/>
      <c r="AH671" s="243"/>
      <c r="AI671" s="243"/>
      <c r="AJ671" s="243"/>
      <c r="AK671" s="243"/>
      <c r="AL671" s="243"/>
      <c r="AM671" s="243"/>
      <c r="AN671" s="243"/>
      <c r="AO671" s="243"/>
      <c r="AP671" s="243"/>
      <c r="AQ671" s="243"/>
      <c r="AR671" s="243"/>
      <c r="AS671" s="243"/>
      <c r="AT671" s="243"/>
      <c r="AU671" s="243"/>
      <c r="AV671" s="243"/>
      <c r="AW671" s="243"/>
      <c r="AX671" s="243"/>
      <c r="AY671" s="243"/>
      <c r="AZ671" s="243"/>
      <c r="BA671" s="243"/>
      <c r="BB671" s="243"/>
      <c r="BC671" s="243"/>
      <c r="BD671" s="243"/>
      <c r="BE671" s="243"/>
      <c r="BF671" s="243"/>
      <c r="BG671" s="243"/>
      <c r="BH671" s="243"/>
      <c r="BI671" s="243"/>
      <c r="BJ671" s="243"/>
      <c r="BK671" s="243"/>
      <c r="BL671" s="243"/>
      <c r="BM671" s="243"/>
      <c r="BN671" s="243"/>
      <c r="BO671" s="243"/>
      <c r="BP671" s="243"/>
      <c r="BQ671" s="243"/>
      <c r="BR671" s="243"/>
      <c r="BS671" s="243"/>
    </row>
    <row r="672" spans="1:71" s="12" customFormat="1" ht="41.25" customHeight="1">
      <c r="A672" s="178" t="s">
        <v>80</v>
      </c>
      <c r="B672" s="178" t="str">
        <f ca="1">+UPPER(Tabla1321124[[#This Row],[DESCRIPCIÓN DE LA COMPRA O CONTRATACIÓN]])</f>
        <v>TEE DE ½” PVC DE PRESIÓN</v>
      </c>
      <c r="C672" s="39" t="s">
        <v>17</v>
      </c>
      <c r="D672" s="368">
        <v>40</v>
      </c>
      <c r="E672" s="368">
        <v>20</v>
      </c>
      <c r="F672" s="368">
        <v>20</v>
      </c>
      <c r="G672" s="368">
        <v>20</v>
      </c>
      <c r="H672" s="240">
        <f>SUM(Tabla1321124[[#This Row],[PRIMER TRIMESTRE]:[CUARTO TRIMESTRE]])</f>
        <v>100</v>
      </c>
      <c r="I672" s="17">
        <v>2</v>
      </c>
      <c r="J672" s="17">
        <f>+Tabla1321124[[#This Row],[CANTIDAD TOTAL]]*Tabla1321124[[#This Row],[PRECIO UNITARIO ESTIMADO]]</f>
        <v>200</v>
      </c>
      <c r="K672" s="175"/>
      <c r="L672" s="16" t="s">
        <v>18</v>
      </c>
      <c r="M672" s="16" t="s">
        <v>22</v>
      </c>
      <c r="N672" s="16" t="s">
        <v>418</v>
      </c>
      <c r="O672" s="243"/>
      <c r="P672" s="243"/>
      <c r="Q672" s="243"/>
      <c r="R672" s="243"/>
      <c r="S672" s="243"/>
      <c r="T672" s="243"/>
      <c r="U672" s="243"/>
      <c r="V672" s="243"/>
      <c r="W672" s="243"/>
      <c r="X672" s="243"/>
      <c r="Y672" s="243"/>
      <c r="Z672" s="243"/>
      <c r="AA672" s="243"/>
      <c r="AB672" s="243"/>
      <c r="AC672" s="243"/>
      <c r="AD672" s="243"/>
      <c r="AE672" s="243"/>
      <c r="AF672" s="243"/>
      <c r="AG672" s="243"/>
      <c r="AH672" s="243"/>
      <c r="AI672" s="243"/>
      <c r="AJ672" s="243"/>
      <c r="AK672" s="243"/>
      <c r="AL672" s="243"/>
      <c r="AM672" s="243"/>
      <c r="AN672" s="243"/>
      <c r="AO672" s="243"/>
      <c r="AP672" s="243"/>
      <c r="AQ672" s="243"/>
      <c r="AR672" s="243"/>
      <c r="AS672" s="243"/>
      <c r="AT672" s="243"/>
      <c r="AU672" s="243"/>
      <c r="AV672" s="243"/>
      <c r="AW672" s="243"/>
      <c r="AX672" s="243"/>
      <c r="AY672" s="243"/>
      <c r="AZ672" s="243"/>
      <c r="BA672" s="243"/>
      <c r="BB672" s="243"/>
      <c r="BC672" s="243"/>
      <c r="BD672" s="243"/>
      <c r="BE672" s="243"/>
      <c r="BF672" s="243"/>
      <c r="BG672" s="243"/>
      <c r="BH672" s="243"/>
      <c r="BI672" s="243"/>
      <c r="BJ672" s="243"/>
      <c r="BK672" s="243"/>
      <c r="BL672" s="243"/>
      <c r="BM672" s="243"/>
      <c r="BN672" s="243"/>
      <c r="BO672" s="243"/>
      <c r="BP672" s="243"/>
      <c r="BQ672" s="243"/>
      <c r="BR672" s="243"/>
      <c r="BS672" s="243"/>
    </row>
    <row r="673" spans="1:71" s="12" customFormat="1" ht="41.25" customHeight="1">
      <c r="A673" s="178" t="s">
        <v>80</v>
      </c>
      <c r="B673" s="178" t="str">
        <f ca="1">+UPPER(Tabla1321124[[#This Row],[DESCRIPCIÓN DE LA COMPRA O CONTRATACIÓN]])</f>
        <v>TEE DE ¾” H.G.</v>
      </c>
      <c r="C673" s="39" t="s">
        <v>17</v>
      </c>
      <c r="D673" s="368">
        <v>20</v>
      </c>
      <c r="E673" s="368">
        <v>10</v>
      </c>
      <c r="F673" s="368">
        <v>10</v>
      </c>
      <c r="G673" s="368">
        <v>10</v>
      </c>
      <c r="H673" s="240">
        <f>SUM(Tabla1321124[[#This Row],[PRIMER TRIMESTRE]:[CUARTO TRIMESTRE]])</f>
        <v>50</v>
      </c>
      <c r="I673" s="17">
        <v>4</v>
      </c>
      <c r="J673" s="17">
        <f>+Tabla1321124[[#This Row],[CANTIDAD TOTAL]]*Tabla1321124[[#This Row],[PRECIO UNITARIO ESTIMADO]]</f>
        <v>200</v>
      </c>
      <c r="K673" s="175"/>
      <c r="L673" s="16" t="s">
        <v>18</v>
      </c>
      <c r="M673" s="16" t="s">
        <v>22</v>
      </c>
      <c r="N673" s="16" t="s">
        <v>418</v>
      </c>
      <c r="O673" s="243"/>
      <c r="P673" s="243"/>
      <c r="Q673" s="243"/>
      <c r="R673" s="243"/>
      <c r="S673" s="243"/>
      <c r="T673" s="243"/>
      <c r="U673" s="243"/>
      <c r="V673" s="243"/>
      <c r="W673" s="243"/>
      <c r="X673" s="243"/>
      <c r="Y673" s="243"/>
      <c r="Z673" s="243"/>
      <c r="AA673" s="243"/>
      <c r="AB673" s="243"/>
      <c r="AC673" s="243"/>
      <c r="AD673" s="243"/>
      <c r="AE673" s="243"/>
      <c r="AF673" s="243"/>
      <c r="AG673" s="243"/>
      <c r="AH673" s="243"/>
      <c r="AI673" s="243"/>
      <c r="AJ673" s="243"/>
      <c r="AK673" s="243"/>
      <c r="AL673" s="243"/>
      <c r="AM673" s="243"/>
      <c r="AN673" s="243"/>
      <c r="AO673" s="243"/>
      <c r="AP673" s="243"/>
      <c r="AQ673" s="243"/>
      <c r="AR673" s="243"/>
      <c r="AS673" s="243"/>
      <c r="AT673" s="243"/>
      <c r="AU673" s="243"/>
      <c r="AV673" s="243"/>
      <c r="AW673" s="243"/>
      <c r="AX673" s="243"/>
      <c r="AY673" s="243"/>
      <c r="AZ673" s="243"/>
      <c r="BA673" s="243"/>
      <c r="BB673" s="243"/>
      <c r="BC673" s="243"/>
      <c r="BD673" s="243"/>
      <c r="BE673" s="243"/>
      <c r="BF673" s="243"/>
      <c r="BG673" s="243"/>
      <c r="BH673" s="243"/>
      <c r="BI673" s="243"/>
      <c r="BJ673" s="243"/>
      <c r="BK673" s="243"/>
      <c r="BL673" s="243"/>
      <c r="BM673" s="243"/>
      <c r="BN673" s="243"/>
      <c r="BO673" s="243"/>
      <c r="BP673" s="243"/>
      <c r="BQ673" s="243"/>
      <c r="BR673" s="243"/>
      <c r="BS673" s="243"/>
    </row>
    <row r="674" spans="1:71" s="12" customFormat="1" ht="41.25" customHeight="1">
      <c r="A674" s="178" t="s">
        <v>80</v>
      </c>
      <c r="B674" s="178" t="str">
        <f ca="1">+UPPER(Tabla1321124[[#This Row],[DESCRIPCIÓN DE LA COMPRA O CONTRATACIÓN]])</f>
        <v>TEE DE ¾” PVC DE PRESIÓN</v>
      </c>
      <c r="C674" s="39" t="s">
        <v>17</v>
      </c>
      <c r="D674" s="368">
        <v>40</v>
      </c>
      <c r="E674" s="368">
        <v>20</v>
      </c>
      <c r="F674" s="368">
        <v>20</v>
      </c>
      <c r="G674" s="368">
        <v>20</v>
      </c>
      <c r="H674" s="240">
        <f>SUM(Tabla1321124[[#This Row],[PRIMER TRIMESTRE]:[CUARTO TRIMESTRE]])</f>
        <v>100</v>
      </c>
      <c r="I674" s="17">
        <v>5</v>
      </c>
      <c r="J674" s="17">
        <f>+Tabla1321124[[#This Row],[CANTIDAD TOTAL]]*Tabla1321124[[#This Row],[PRECIO UNITARIO ESTIMADO]]</f>
        <v>500</v>
      </c>
      <c r="K674" s="175"/>
      <c r="L674" s="16" t="s">
        <v>18</v>
      </c>
      <c r="M674" s="16" t="s">
        <v>22</v>
      </c>
      <c r="N674" s="16" t="s">
        <v>418</v>
      </c>
      <c r="O674" s="243"/>
      <c r="P674" s="243"/>
      <c r="Q674" s="243"/>
      <c r="R674" s="243"/>
      <c r="S674" s="243"/>
      <c r="T674" s="243"/>
      <c r="U674" s="243"/>
      <c r="V674" s="243"/>
      <c r="W674" s="243"/>
      <c r="X674" s="243"/>
      <c r="Y674" s="243"/>
      <c r="Z674" s="243"/>
      <c r="AA674" s="243"/>
      <c r="AB674" s="243"/>
      <c r="AC674" s="243"/>
      <c r="AD674" s="243"/>
      <c r="AE674" s="243"/>
      <c r="AF674" s="243"/>
      <c r="AG674" s="243"/>
      <c r="AH674" s="243"/>
      <c r="AI674" s="243"/>
      <c r="AJ674" s="243"/>
      <c r="AK674" s="243"/>
      <c r="AL674" s="243"/>
      <c r="AM674" s="243"/>
      <c r="AN674" s="243"/>
      <c r="AO674" s="243"/>
      <c r="AP674" s="243"/>
      <c r="AQ674" s="243"/>
      <c r="AR674" s="243"/>
      <c r="AS674" s="243"/>
      <c r="AT674" s="243"/>
      <c r="AU674" s="243"/>
      <c r="AV674" s="243"/>
      <c r="AW674" s="243"/>
      <c r="AX674" s="243"/>
      <c r="AY674" s="243"/>
      <c r="AZ674" s="243"/>
      <c r="BA674" s="243"/>
      <c r="BB674" s="243"/>
      <c r="BC674" s="243"/>
      <c r="BD674" s="243"/>
      <c r="BE674" s="243"/>
      <c r="BF674" s="243"/>
      <c r="BG674" s="243"/>
      <c r="BH674" s="243"/>
      <c r="BI674" s="243"/>
      <c r="BJ674" s="243"/>
      <c r="BK674" s="243"/>
      <c r="BL674" s="243"/>
      <c r="BM674" s="243"/>
      <c r="BN674" s="243"/>
      <c r="BO674" s="243"/>
      <c r="BP674" s="243"/>
      <c r="BQ674" s="243"/>
      <c r="BR674" s="243"/>
      <c r="BS674" s="243"/>
    </row>
    <row r="675" spans="1:71" s="12" customFormat="1" ht="41.25" customHeight="1">
      <c r="A675" s="178" t="s">
        <v>80</v>
      </c>
      <c r="B675" s="178" t="str">
        <f ca="1">+UPPER(Tabla1321124[[#This Row],[DESCRIPCIÓN DE LA COMPRA O CONTRATACIÓN]])</f>
        <v>TEE DE 1 ” H.G.</v>
      </c>
      <c r="C675" s="39" t="s">
        <v>17</v>
      </c>
      <c r="D675" s="368">
        <v>10</v>
      </c>
      <c r="E675" s="368">
        <v>5</v>
      </c>
      <c r="F675" s="368">
        <v>5</v>
      </c>
      <c r="G675" s="368">
        <v>5</v>
      </c>
      <c r="H675" s="240">
        <f>SUM(Tabla1321124[[#This Row],[PRIMER TRIMESTRE]:[CUARTO TRIMESTRE]])</f>
        <v>25</v>
      </c>
      <c r="I675" s="17">
        <v>6</v>
      </c>
      <c r="J675" s="17">
        <f>+Tabla1321124[[#This Row],[CANTIDAD TOTAL]]*Tabla1321124[[#This Row],[PRECIO UNITARIO ESTIMADO]]</f>
        <v>150</v>
      </c>
      <c r="K675" s="175"/>
      <c r="L675" s="16" t="s">
        <v>18</v>
      </c>
      <c r="M675" s="16" t="s">
        <v>22</v>
      </c>
      <c r="N675" s="16" t="s">
        <v>418</v>
      </c>
      <c r="O675" s="243"/>
      <c r="P675" s="243"/>
      <c r="Q675" s="243"/>
      <c r="R675" s="243"/>
      <c r="S675" s="243"/>
      <c r="T675" s="243"/>
      <c r="U675" s="243"/>
      <c r="V675" s="243"/>
      <c r="W675" s="243"/>
      <c r="X675" s="243"/>
      <c r="Y675" s="243"/>
      <c r="Z675" s="243"/>
      <c r="AA675" s="243"/>
      <c r="AB675" s="243"/>
      <c r="AC675" s="243"/>
      <c r="AD675" s="243"/>
      <c r="AE675" s="243"/>
      <c r="AF675" s="243"/>
      <c r="AG675" s="243"/>
      <c r="AH675" s="243"/>
      <c r="AI675" s="243"/>
      <c r="AJ675" s="243"/>
      <c r="AK675" s="243"/>
      <c r="AL675" s="243"/>
      <c r="AM675" s="243"/>
      <c r="AN675" s="243"/>
      <c r="AO675" s="243"/>
      <c r="AP675" s="243"/>
      <c r="AQ675" s="243"/>
      <c r="AR675" s="243"/>
      <c r="AS675" s="243"/>
      <c r="AT675" s="243"/>
      <c r="AU675" s="243"/>
      <c r="AV675" s="243"/>
      <c r="AW675" s="243"/>
      <c r="AX675" s="243"/>
      <c r="AY675" s="243"/>
      <c r="AZ675" s="243"/>
      <c r="BA675" s="243"/>
      <c r="BB675" s="243"/>
      <c r="BC675" s="243"/>
      <c r="BD675" s="243"/>
      <c r="BE675" s="243"/>
      <c r="BF675" s="243"/>
      <c r="BG675" s="243"/>
      <c r="BH675" s="243"/>
      <c r="BI675" s="243"/>
      <c r="BJ675" s="243"/>
      <c r="BK675" s="243"/>
      <c r="BL675" s="243"/>
      <c r="BM675" s="243"/>
      <c r="BN675" s="243"/>
      <c r="BO675" s="243"/>
      <c r="BP675" s="243"/>
      <c r="BQ675" s="243"/>
      <c r="BR675" s="243"/>
      <c r="BS675" s="243"/>
    </row>
    <row r="676" spans="1:71" s="12" customFormat="1" ht="41.25" customHeight="1">
      <c r="A676" s="178" t="s">
        <v>80</v>
      </c>
      <c r="B676" s="178" t="str">
        <f ca="1">+UPPER(Tabla1321124[[#This Row],[DESCRIPCIÓN DE LA COMPRA O CONTRATACIÓN]])</f>
        <v>TEE DE 1 ” PVC DE PRESIÓN</v>
      </c>
      <c r="C676" s="39" t="s">
        <v>17</v>
      </c>
      <c r="D676" s="368">
        <v>20</v>
      </c>
      <c r="E676" s="368">
        <v>10</v>
      </c>
      <c r="F676" s="368">
        <v>10</v>
      </c>
      <c r="G676" s="368">
        <v>10</v>
      </c>
      <c r="H676" s="240">
        <f>SUM(Tabla1321124[[#This Row],[PRIMER TRIMESTRE]:[CUARTO TRIMESTRE]])</f>
        <v>50</v>
      </c>
      <c r="I676" s="17">
        <v>8</v>
      </c>
      <c r="J676" s="17">
        <f>+Tabla1321124[[#This Row],[CANTIDAD TOTAL]]*Tabla1321124[[#This Row],[PRECIO UNITARIO ESTIMADO]]</f>
        <v>400</v>
      </c>
      <c r="K676" s="175"/>
      <c r="L676" s="16" t="s">
        <v>18</v>
      </c>
      <c r="M676" s="16" t="s">
        <v>22</v>
      </c>
      <c r="N676" s="16" t="s">
        <v>418</v>
      </c>
      <c r="O676" s="243"/>
      <c r="P676" s="243"/>
      <c r="Q676" s="243"/>
      <c r="R676" s="243"/>
      <c r="S676" s="243"/>
      <c r="T676" s="243"/>
      <c r="U676" s="243"/>
      <c r="V676" s="243"/>
      <c r="W676" s="243"/>
      <c r="X676" s="243"/>
      <c r="Y676" s="243"/>
      <c r="Z676" s="243"/>
      <c r="AA676" s="243"/>
      <c r="AB676" s="243"/>
      <c r="AC676" s="243"/>
      <c r="AD676" s="243"/>
      <c r="AE676" s="243"/>
      <c r="AF676" s="243"/>
      <c r="AG676" s="243"/>
      <c r="AH676" s="243"/>
      <c r="AI676" s="243"/>
      <c r="AJ676" s="243"/>
      <c r="AK676" s="243"/>
      <c r="AL676" s="243"/>
      <c r="AM676" s="243"/>
      <c r="AN676" s="243"/>
      <c r="AO676" s="243"/>
      <c r="AP676" s="243"/>
      <c r="AQ676" s="243"/>
      <c r="AR676" s="243"/>
      <c r="AS676" s="243"/>
      <c r="AT676" s="243"/>
      <c r="AU676" s="243"/>
      <c r="AV676" s="243"/>
      <c r="AW676" s="243"/>
      <c r="AX676" s="243"/>
      <c r="AY676" s="243"/>
      <c r="AZ676" s="243"/>
      <c r="BA676" s="243"/>
      <c r="BB676" s="243"/>
      <c r="BC676" s="243"/>
      <c r="BD676" s="243"/>
      <c r="BE676" s="243"/>
      <c r="BF676" s="243"/>
      <c r="BG676" s="243"/>
      <c r="BH676" s="243"/>
      <c r="BI676" s="243"/>
      <c r="BJ676" s="243"/>
      <c r="BK676" s="243"/>
      <c r="BL676" s="243"/>
      <c r="BM676" s="243"/>
      <c r="BN676" s="243"/>
      <c r="BO676" s="243"/>
      <c r="BP676" s="243"/>
      <c r="BQ676" s="243"/>
      <c r="BR676" s="243"/>
      <c r="BS676" s="243"/>
    </row>
    <row r="677" spans="1:71" s="12" customFormat="1" ht="41.25" customHeight="1">
      <c r="A677" s="178" t="s">
        <v>80</v>
      </c>
      <c r="B677" s="178" t="str">
        <f ca="1">+UPPER(Tabla1321124[[#This Row],[DESCRIPCIÓN DE LA COMPRA O CONTRATACIÓN]])</f>
        <v>TEE DE 1½” H.G.</v>
      </c>
      <c r="C677" s="39" t="s">
        <v>17</v>
      </c>
      <c r="D677" s="368">
        <v>10</v>
      </c>
      <c r="E677" s="368">
        <v>5</v>
      </c>
      <c r="F677" s="368">
        <v>5</v>
      </c>
      <c r="G677" s="368">
        <v>5</v>
      </c>
      <c r="H677" s="240">
        <f>SUM(Tabla1321124[[#This Row],[PRIMER TRIMESTRE]:[CUARTO TRIMESTRE]])</f>
        <v>25</v>
      </c>
      <c r="I677" s="17">
        <v>9</v>
      </c>
      <c r="J677" s="17">
        <f>+Tabla1321124[[#This Row],[CANTIDAD TOTAL]]*Tabla1321124[[#This Row],[PRECIO UNITARIO ESTIMADO]]</f>
        <v>225</v>
      </c>
      <c r="K677" s="175"/>
      <c r="L677" s="16" t="s">
        <v>18</v>
      </c>
      <c r="M677" s="16" t="s">
        <v>22</v>
      </c>
      <c r="N677" s="16" t="s">
        <v>418</v>
      </c>
      <c r="O677" s="243"/>
      <c r="P677" s="243"/>
      <c r="Q677" s="243"/>
      <c r="R677" s="243"/>
      <c r="S677" s="243"/>
      <c r="T677" s="243"/>
      <c r="U677" s="243"/>
      <c r="V677" s="243"/>
      <c r="W677" s="243"/>
      <c r="X677" s="243"/>
      <c r="Y677" s="243"/>
      <c r="Z677" s="243"/>
      <c r="AA677" s="243"/>
      <c r="AB677" s="243"/>
      <c r="AC677" s="243"/>
      <c r="AD677" s="243"/>
      <c r="AE677" s="243"/>
      <c r="AF677" s="243"/>
      <c r="AG677" s="243"/>
      <c r="AH677" s="243"/>
      <c r="AI677" s="243"/>
      <c r="AJ677" s="243"/>
      <c r="AK677" s="243"/>
      <c r="AL677" s="243"/>
      <c r="AM677" s="243"/>
      <c r="AN677" s="243"/>
      <c r="AO677" s="243"/>
      <c r="AP677" s="243"/>
      <c r="AQ677" s="243"/>
      <c r="AR677" s="243"/>
      <c r="AS677" s="243"/>
      <c r="AT677" s="243"/>
      <c r="AU677" s="243"/>
      <c r="AV677" s="243"/>
      <c r="AW677" s="243"/>
      <c r="AX677" s="243"/>
      <c r="AY677" s="243"/>
      <c r="AZ677" s="243"/>
      <c r="BA677" s="243"/>
      <c r="BB677" s="243"/>
      <c r="BC677" s="243"/>
      <c r="BD677" s="243"/>
      <c r="BE677" s="243"/>
      <c r="BF677" s="243"/>
      <c r="BG677" s="243"/>
      <c r="BH677" s="243"/>
      <c r="BI677" s="243"/>
      <c r="BJ677" s="243"/>
      <c r="BK677" s="243"/>
      <c r="BL677" s="243"/>
      <c r="BM677" s="243"/>
      <c r="BN677" s="243"/>
      <c r="BO677" s="243"/>
      <c r="BP677" s="243"/>
      <c r="BQ677" s="243"/>
      <c r="BR677" s="243"/>
      <c r="BS677" s="243"/>
    </row>
    <row r="678" spans="1:71" s="12" customFormat="1" ht="41.25" customHeight="1">
      <c r="A678" s="178" t="s">
        <v>80</v>
      </c>
      <c r="B678" s="178" t="str">
        <f ca="1">+UPPER(Tabla1321124[[#This Row],[DESCRIPCIÓN DE LA COMPRA O CONTRATACIÓN]])</f>
        <v>TEE DE 1½” PVC DE PRESIÓN</v>
      </c>
      <c r="C678" s="39" t="s">
        <v>17</v>
      </c>
      <c r="D678" s="368">
        <v>20</v>
      </c>
      <c r="E678" s="368">
        <v>10</v>
      </c>
      <c r="F678" s="368">
        <v>10</v>
      </c>
      <c r="G678" s="368">
        <v>10</v>
      </c>
      <c r="H678" s="240">
        <f>SUM(Tabla1321124[[#This Row],[PRIMER TRIMESTRE]:[CUARTO TRIMESTRE]])</f>
        <v>50</v>
      </c>
      <c r="I678" s="17">
        <v>12</v>
      </c>
      <c r="J678" s="17">
        <f>+Tabla1321124[[#This Row],[CANTIDAD TOTAL]]*Tabla1321124[[#This Row],[PRECIO UNITARIO ESTIMADO]]</f>
        <v>600</v>
      </c>
      <c r="K678" s="175"/>
      <c r="L678" s="16" t="s">
        <v>18</v>
      </c>
      <c r="M678" s="16" t="s">
        <v>22</v>
      </c>
      <c r="N678" s="16" t="s">
        <v>418</v>
      </c>
      <c r="O678" s="243"/>
      <c r="P678" s="243"/>
      <c r="Q678" s="243"/>
      <c r="R678" s="243"/>
      <c r="S678" s="243"/>
      <c r="T678" s="243"/>
      <c r="U678" s="243"/>
      <c r="V678" s="243"/>
      <c r="W678" s="243"/>
      <c r="X678" s="243"/>
      <c r="Y678" s="243"/>
      <c r="Z678" s="243"/>
      <c r="AA678" s="243"/>
      <c r="AB678" s="243"/>
      <c r="AC678" s="243"/>
      <c r="AD678" s="243"/>
      <c r="AE678" s="243"/>
      <c r="AF678" s="243"/>
      <c r="AG678" s="243"/>
      <c r="AH678" s="243"/>
      <c r="AI678" s="243"/>
      <c r="AJ678" s="243"/>
      <c r="AK678" s="243"/>
      <c r="AL678" s="243"/>
      <c r="AM678" s="243"/>
      <c r="AN678" s="243"/>
      <c r="AO678" s="243"/>
      <c r="AP678" s="243"/>
      <c r="AQ678" s="243"/>
      <c r="AR678" s="243"/>
      <c r="AS678" s="243"/>
      <c r="AT678" s="243"/>
      <c r="AU678" s="243"/>
      <c r="AV678" s="243"/>
      <c r="AW678" s="243"/>
      <c r="AX678" s="243"/>
      <c r="AY678" s="243"/>
      <c r="AZ678" s="243"/>
      <c r="BA678" s="243"/>
      <c r="BB678" s="243"/>
      <c r="BC678" s="243"/>
      <c r="BD678" s="243"/>
      <c r="BE678" s="243"/>
      <c r="BF678" s="243"/>
      <c r="BG678" s="243"/>
      <c r="BH678" s="243"/>
      <c r="BI678" s="243"/>
      <c r="BJ678" s="243"/>
      <c r="BK678" s="243"/>
      <c r="BL678" s="243"/>
      <c r="BM678" s="243"/>
      <c r="BN678" s="243"/>
      <c r="BO678" s="243"/>
      <c r="BP678" s="243"/>
      <c r="BQ678" s="243"/>
      <c r="BR678" s="243"/>
      <c r="BS678" s="243"/>
    </row>
    <row r="679" spans="1:71" s="12" customFormat="1" ht="41.25" customHeight="1">
      <c r="A679" s="178" t="s">
        <v>80</v>
      </c>
      <c r="B679" s="178" t="str">
        <f ca="1">+UPPER(Tabla1321124[[#This Row],[DESCRIPCIÓN DE LA COMPRA O CONTRATACIÓN]])</f>
        <v>TEE DE 2” ACERO</v>
      </c>
      <c r="C679" s="39" t="s">
        <v>17</v>
      </c>
      <c r="D679" s="368">
        <v>10</v>
      </c>
      <c r="E679" s="368">
        <v>5</v>
      </c>
      <c r="F679" s="368">
        <v>5</v>
      </c>
      <c r="G679" s="368">
        <v>5</v>
      </c>
      <c r="H679" s="240">
        <f>SUM(Tabla1321124[[#This Row],[PRIMER TRIMESTRE]:[CUARTO TRIMESTRE]])</f>
        <v>25</v>
      </c>
      <c r="I679" s="17">
        <v>13</v>
      </c>
      <c r="J679" s="17">
        <f>+Tabla1321124[[#This Row],[CANTIDAD TOTAL]]*Tabla1321124[[#This Row],[PRECIO UNITARIO ESTIMADO]]</f>
        <v>325</v>
      </c>
      <c r="K679" s="175"/>
      <c r="L679" s="16" t="s">
        <v>18</v>
      </c>
      <c r="M679" s="16" t="s">
        <v>22</v>
      </c>
      <c r="N679" s="16" t="s">
        <v>418</v>
      </c>
      <c r="O679" s="243"/>
      <c r="P679" s="243"/>
      <c r="Q679" s="243"/>
      <c r="R679" s="243"/>
      <c r="S679" s="243"/>
      <c r="T679" s="243"/>
      <c r="U679" s="243"/>
      <c r="V679" s="243"/>
      <c r="W679" s="243"/>
      <c r="X679" s="243"/>
      <c r="Y679" s="243"/>
      <c r="Z679" s="243"/>
      <c r="AA679" s="243"/>
      <c r="AB679" s="243"/>
      <c r="AC679" s="243"/>
      <c r="AD679" s="243"/>
      <c r="AE679" s="243"/>
      <c r="AF679" s="243"/>
      <c r="AG679" s="243"/>
      <c r="AH679" s="243"/>
      <c r="AI679" s="243"/>
      <c r="AJ679" s="243"/>
      <c r="AK679" s="243"/>
      <c r="AL679" s="243"/>
      <c r="AM679" s="243"/>
      <c r="AN679" s="243"/>
      <c r="AO679" s="243"/>
      <c r="AP679" s="243"/>
      <c r="AQ679" s="243"/>
      <c r="AR679" s="243"/>
      <c r="AS679" s="243"/>
      <c r="AT679" s="243"/>
      <c r="AU679" s="243"/>
      <c r="AV679" s="243"/>
      <c r="AW679" s="243"/>
      <c r="AX679" s="243"/>
      <c r="AY679" s="243"/>
      <c r="AZ679" s="243"/>
      <c r="BA679" s="243"/>
      <c r="BB679" s="243"/>
      <c r="BC679" s="243"/>
      <c r="BD679" s="243"/>
      <c r="BE679" s="243"/>
      <c r="BF679" s="243"/>
      <c r="BG679" s="243"/>
      <c r="BH679" s="243"/>
      <c r="BI679" s="243"/>
      <c r="BJ679" s="243"/>
      <c r="BK679" s="243"/>
      <c r="BL679" s="243"/>
      <c r="BM679" s="243"/>
      <c r="BN679" s="243"/>
      <c r="BO679" s="243"/>
      <c r="BP679" s="243"/>
      <c r="BQ679" s="243"/>
      <c r="BR679" s="243"/>
      <c r="BS679" s="243"/>
    </row>
    <row r="680" spans="1:71" s="12" customFormat="1" ht="41.25" customHeight="1">
      <c r="A680" s="178" t="s">
        <v>80</v>
      </c>
      <c r="B680" s="178" t="str">
        <f ca="1">+UPPER(Tabla1321124[[#This Row],[DESCRIPCIÓN DE LA COMPRA O CONTRATACIÓN]])</f>
        <v>TEE DE 2” H.G.</v>
      </c>
      <c r="C680" s="39" t="s">
        <v>17</v>
      </c>
      <c r="D680" s="368">
        <v>10</v>
      </c>
      <c r="E680" s="368">
        <v>5</v>
      </c>
      <c r="F680" s="368">
        <v>5</v>
      </c>
      <c r="G680" s="368">
        <v>5</v>
      </c>
      <c r="H680" s="240">
        <f>SUM(Tabla1321124[[#This Row],[PRIMER TRIMESTRE]:[CUARTO TRIMESTRE]])</f>
        <v>25</v>
      </c>
      <c r="I680" s="17">
        <v>15</v>
      </c>
      <c r="J680" s="17">
        <f>+Tabla1321124[[#This Row],[CANTIDAD TOTAL]]*Tabla1321124[[#This Row],[PRECIO UNITARIO ESTIMADO]]</f>
        <v>375</v>
      </c>
      <c r="K680" s="175"/>
      <c r="L680" s="16" t="s">
        <v>18</v>
      </c>
      <c r="M680" s="16" t="s">
        <v>22</v>
      </c>
      <c r="N680" s="16" t="s">
        <v>418</v>
      </c>
      <c r="O680" s="243"/>
      <c r="P680" s="243"/>
      <c r="Q680" s="243"/>
      <c r="R680" s="243"/>
      <c r="S680" s="243"/>
      <c r="T680" s="243"/>
      <c r="U680" s="243"/>
      <c r="V680" s="243"/>
      <c r="W680" s="243"/>
      <c r="X680" s="243"/>
      <c r="Y680" s="243"/>
      <c r="Z680" s="243"/>
      <c r="AA680" s="243"/>
      <c r="AB680" s="243"/>
      <c r="AC680" s="243"/>
      <c r="AD680" s="243"/>
      <c r="AE680" s="243"/>
      <c r="AF680" s="243"/>
      <c r="AG680" s="243"/>
      <c r="AH680" s="243"/>
      <c r="AI680" s="243"/>
      <c r="AJ680" s="243"/>
      <c r="AK680" s="243"/>
      <c r="AL680" s="243"/>
      <c r="AM680" s="243"/>
      <c r="AN680" s="243"/>
      <c r="AO680" s="243"/>
      <c r="AP680" s="243"/>
      <c r="AQ680" s="243"/>
      <c r="AR680" s="243"/>
      <c r="AS680" s="243"/>
      <c r="AT680" s="243"/>
      <c r="AU680" s="243"/>
      <c r="AV680" s="243"/>
      <c r="AW680" s="243"/>
      <c r="AX680" s="243"/>
      <c r="AY680" s="243"/>
      <c r="AZ680" s="243"/>
      <c r="BA680" s="243"/>
      <c r="BB680" s="243"/>
      <c r="BC680" s="243"/>
      <c r="BD680" s="243"/>
      <c r="BE680" s="243"/>
      <c r="BF680" s="243"/>
      <c r="BG680" s="243"/>
      <c r="BH680" s="243"/>
      <c r="BI680" s="243"/>
      <c r="BJ680" s="243"/>
      <c r="BK680" s="243"/>
      <c r="BL680" s="243"/>
      <c r="BM680" s="243"/>
      <c r="BN680" s="243"/>
      <c r="BO680" s="243"/>
      <c r="BP680" s="243"/>
      <c r="BQ680" s="243"/>
      <c r="BR680" s="243"/>
      <c r="BS680" s="243"/>
    </row>
    <row r="681" spans="1:71" s="12" customFormat="1" ht="41.25" customHeight="1">
      <c r="A681" s="178" t="s">
        <v>80</v>
      </c>
      <c r="B681" s="178" t="str">
        <f ca="1">+UPPER(Tabla1321124[[#This Row],[DESCRIPCIÓN DE LA COMPRA O CONTRATACIÓN]])</f>
        <v>TEE DE 2” PVC  SCH-80</v>
      </c>
      <c r="C681" s="39" t="s">
        <v>17</v>
      </c>
      <c r="D681" s="368">
        <v>2</v>
      </c>
      <c r="E681" s="369">
        <v>1</v>
      </c>
      <c r="F681" s="369">
        <v>1</v>
      </c>
      <c r="G681" s="369">
        <v>1</v>
      </c>
      <c r="H681" s="240">
        <f>SUM(Tabla1321124[[#This Row],[PRIMER TRIMESTRE]:[CUARTO TRIMESTRE]])</f>
        <v>5</v>
      </c>
      <c r="I681" s="17">
        <v>14</v>
      </c>
      <c r="J681" s="17">
        <f>+Tabla1321124[[#This Row],[CANTIDAD TOTAL]]*Tabla1321124[[#This Row],[PRECIO UNITARIO ESTIMADO]]</f>
        <v>70</v>
      </c>
      <c r="K681" s="175"/>
      <c r="L681" s="16" t="s">
        <v>18</v>
      </c>
      <c r="M681" s="16" t="s">
        <v>22</v>
      </c>
      <c r="N681" s="16" t="s">
        <v>418</v>
      </c>
      <c r="O681" s="243"/>
      <c r="P681" s="243"/>
      <c r="Q681" s="243"/>
      <c r="R681" s="243"/>
      <c r="S681" s="243"/>
      <c r="T681" s="243"/>
      <c r="U681" s="243"/>
      <c r="V681" s="243"/>
      <c r="W681" s="243"/>
      <c r="X681" s="243"/>
      <c r="Y681" s="243"/>
      <c r="Z681" s="243"/>
      <c r="AA681" s="243"/>
      <c r="AB681" s="243"/>
      <c r="AC681" s="243"/>
      <c r="AD681" s="243"/>
      <c r="AE681" s="243"/>
      <c r="AF681" s="243"/>
      <c r="AG681" s="243"/>
      <c r="AH681" s="243"/>
      <c r="AI681" s="243"/>
      <c r="AJ681" s="243"/>
      <c r="AK681" s="243"/>
      <c r="AL681" s="243"/>
      <c r="AM681" s="243"/>
      <c r="AN681" s="243"/>
      <c r="AO681" s="243"/>
      <c r="AP681" s="243"/>
      <c r="AQ681" s="243"/>
      <c r="AR681" s="243"/>
      <c r="AS681" s="243"/>
      <c r="AT681" s="243"/>
      <c r="AU681" s="243"/>
      <c r="AV681" s="243"/>
      <c r="AW681" s="243"/>
      <c r="AX681" s="243"/>
      <c r="AY681" s="243"/>
      <c r="AZ681" s="243"/>
      <c r="BA681" s="243"/>
      <c r="BB681" s="243"/>
      <c r="BC681" s="243"/>
      <c r="BD681" s="243"/>
      <c r="BE681" s="243"/>
      <c r="BF681" s="243"/>
      <c r="BG681" s="243"/>
      <c r="BH681" s="243"/>
      <c r="BI681" s="243"/>
      <c r="BJ681" s="243"/>
      <c r="BK681" s="243"/>
      <c r="BL681" s="243"/>
      <c r="BM681" s="243"/>
      <c r="BN681" s="243"/>
      <c r="BO681" s="243"/>
      <c r="BP681" s="243"/>
      <c r="BQ681" s="243"/>
      <c r="BR681" s="243"/>
      <c r="BS681" s="243"/>
    </row>
    <row r="682" spans="1:71" s="12" customFormat="1" ht="41.25" customHeight="1">
      <c r="A682" s="178" t="s">
        <v>80</v>
      </c>
      <c r="B682" s="178" t="str">
        <f ca="1">+UPPER(Tabla1321124[[#This Row],[DESCRIPCIÓN DE LA COMPRA O CONTRATACIÓN]])</f>
        <v>TEE DE 2” PVC DE PRESIÓN</v>
      </c>
      <c r="C682" s="39" t="s">
        <v>17</v>
      </c>
      <c r="D682" s="368">
        <v>10</v>
      </c>
      <c r="E682" s="368">
        <v>5</v>
      </c>
      <c r="F682" s="368">
        <v>5</v>
      </c>
      <c r="G682" s="368">
        <v>5</v>
      </c>
      <c r="H682" s="240">
        <f>SUM(Tabla1321124[[#This Row],[PRIMER TRIMESTRE]:[CUARTO TRIMESTRE]])</f>
        <v>25</v>
      </c>
      <c r="I682" s="17">
        <v>18</v>
      </c>
      <c r="J682" s="17">
        <f>+Tabla1321124[[#This Row],[CANTIDAD TOTAL]]*Tabla1321124[[#This Row],[PRECIO UNITARIO ESTIMADO]]</f>
        <v>450</v>
      </c>
      <c r="K682" s="175"/>
      <c r="L682" s="16" t="s">
        <v>18</v>
      </c>
      <c r="M682" s="16" t="s">
        <v>22</v>
      </c>
      <c r="N682" s="16" t="s">
        <v>418</v>
      </c>
      <c r="O682" s="243"/>
      <c r="P682" s="243"/>
      <c r="Q682" s="243"/>
      <c r="R682" s="243"/>
      <c r="S682" s="243"/>
      <c r="T682" s="243"/>
      <c r="U682" s="243"/>
      <c r="V682" s="243"/>
      <c r="W682" s="243"/>
      <c r="X682" s="243"/>
      <c r="Y682" s="243"/>
      <c r="Z682" s="243"/>
      <c r="AA682" s="243"/>
      <c r="AB682" s="243"/>
      <c r="AC682" s="243"/>
      <c r="AD682" s="243"/>
      <c r="AE682" s="243"/>
      <c r="AF682" s="243"/>
      <c r="AG682" s="243"/>
      <c r="AH682" s="243"/>
      <c r="AI682" s="243"/>
      <c r="AJ682" s="243"/>
      <c r="AK682" s="243"/>
      <c r="AL682" s="243"/>
      <c r="AM682" s="243"/>
      <c r="AN682" s="243"/>
      <c r="AO682" s="243"/>
      <c r="AP682" s="243"/>
      <c r="AQ682" s="243"/>
      <c r="AR682" s="243"/>
      <c r="AS682" s="243"/>
      <c r="AT682" s="243"/>
      <c r="AU682" s="243"/>
      <c r="AV682" s="243"/>
      <c r="AW682" s="243"/>
      <c r="AX682" s="243"/>
      <c r="AY682" s="243"/>
      <c r="AZ682" s="243"/>
      <c r="BA682" s="243"/>
      <c r="BB682" s="243"/>
      <c r="BC682" s="243"/>
      <c r="BD682" s="243"/>
      <c r="BE682" s="243"/>
      <c r="BF682" s="243"/>
      <c r="BG682" s="243"/>
      <c r="BH682" s="243"/>
      <c r="BI682" s="243"/>
      <c r="BJ682" s="243"/>
      <c r="BK682" s="243"/>
      <c r="BL682" s="243"/>
      <c r="BM682" s="243"/>
      <c r="BN682" s="243"/>
      <c r="BO682" s="243"/>
      <c r="BP682" s="243"/>
      <c r="BQ682" s="243"/>
      <c r="BR682" s="243"/>
      <c r="BS682" s="243"/>
    </row>
    <row r="683" spans="1:71" s="12" customFormat="1" ht="41.25" customHeight="1">
      <c r="A683" s="178" t="s">
        <v>80</v>
      </c>
      <c r="B683" s="178" t="str">
        <f ca="1">+UPPER(Tabla1321124[[#This Row],[DESCRIPCIÓN DE LA COMPRA O CONTRATACIÓN]])</f>
        <v>TEE DE 3” ACERO</v>
      </c>
      <c r="C683" s="39" t="s">
        <v>17</v>
      </c>
      <c r="D683" s="368">
        <v>4</v>
      </c>
      <c r="E683" s="368">
        <v>2</v>
      </c>
      <c r="F683" s="368">
        <v>2</v>
      </c>
      <c r="G683" s="368">
        <v>2</v>
      </c>
      <c r="H683" s="240">
        <f>SUM(Tabla1321124[[#This Row],[PRIMER TRIMESTRE]:[CUARTO TRIMESTRE]])</f>
        <v>10</v>
      </c>
      <c r="I683" s="17">
        <v>10</v>
      </c>
      <c r="J683" s="17">
        <f>+Tabla1321124[[#This Row],[CANTIDAD TOTAL]]*Tabla1321124[[#This Row],[PRECIO UNITARIO ESTIMADO]]</f>
        <v>100</v>
      </c>
      <c r="K683" s="175"/>
      <c r="L683" s="16" t="s">
        <v>18</v>
      </c>
      <c r="M683" s="16" t="s">
        <v>22</v>
      </c>
      <c r="N683" s="16" t="s">
        <v>418</v>
      </c>
      <c r="O683" s="243"/>
      <c r="P683" s="243"/>
      <c r="Q683" s="243"/>
      <c r="R683" s="243"/>
      <c r="S683" s="243"/>
      <c r="T683" s="243"/>
      <c r="U683" s="243"/>
      <c r="V683" s="243"/>
      <c r="W683" s="243"/>
      <c r="X683" s="243"/>
      <c r="Y683" s="243"/>
      <c r="Z683" s="243"/>
      <c r="AA683" s="243"/>
      <c r="AB683" s="243"/>
      <c r="AC683" s="243"/>
      <c r="AD683" s="243"/>
      <c r="AE683" s="243"/>
      <c r="AF683" s="243"/>
      <c r="AG683" s="243"/>
      <c r="AH683" s="243"/>
      <c r="AI683" s="243"/>
      <c r="AJ683" s="243"/>
      <c r="AK683" s="243"/>
      <c r="AL683" s="243"/>
      <c r="AM683" s="243"/>
      <c r="AN683" s="243"/>
      <c r="AO683" s="243"/>
      <c r="AP683" s="243"/>
      <c r="AQ683" s="243"/>
      <c r="AR683" s="243"/>
      <c r="AS683" s="243"/>
      <c r="AT683" s="243"/>
      <c r="AU683" s="243"/>
      <c r="AV683" s="243"/>
      <c r="AW683" s="243"/>
      <c r="AX683" s="243"/>
      <c r="AY683" s="243"/>
      <c r="AZ683" s="243"/>
      <c r="BA683" s="243"/>
      <c r="BB683" s="243"/>
      <c r="BC683" s="243"/>
      <c r="BD683" s="243"/>
      <c r="BE683" s="243"/>
      <c r="BF683" s="243"/>
      <c r="BG683" s="243"/>
      <c r="BH683" s="243"/>
      <c r="BI683" s="243"/>
      <c r="BJ683" s="243"/>
      <c r="BK683" s="243"/>
      <c r="BL683" s="243"/>
      <c r="BM683" s="243"/>
      <c r="BN683" s="243"/>
      <c r="BO683" s="243"/>
      <c r="BP683" s="243"/>
      <c r="BQ683" s="243"/>
      <c r="BR683" s="243"/>
      <c r="BS683" s="243"/>
    </row>
    <row r="684" spans="1:71" s="12" customFormat="1" ht="41.25" customHeight="1">
      <c r="A684" s="178" t="s">
        <v>80</v>
      </c>
      <c r="B684" s="178" t="str">
        <f ca="1">+UPPER(Tabla1321124[[#This Row],[DESCRIPCIÓN DE LA COMPRA O CONTRATACIÓN]])</f>
        <v>TEE DE 3” H.G.</v>
      </c>
      <c r="C684" s="39" t="s">
        <v>17</v>
      </c>
      <c r="D684" s="368">
        <v>4</v>
      </c>
      <c r="E684" s="368">
        <v>2</v>
      </c>
      <c r="F684" s="368">
        <v>2</v>
      </c>
      <c r="G684" s="368">
        <v>2</v>
      </c>
      <c r="H684" s="240">
        <f>SUM(Tabla1321124[[#This Row],[PRIMER TRIMESTRE]:[CUARTO TRIMESTRE]])</f>
        <v>10</v>
      </c>
      <c r="I684" s="17">
        <v>13</v>
      </c>
      <c r="J684" s="17">
        <f>+Tabla1321124[[#This Row],[CANTIDAD TOTAL]]*Tabla1321124[[#This Row],[PRECIO UNITARIO ESTIMADO]]</f>
        <v>130</v>
      </c>
      <c r="K684" s="175"/>
      <c r="L684" s="16" t="s">
        <v>18</v>
      </c>
      <c r="M684" s="16" t="s">
        <v>22</v>
      </c>
      <c r="N684" s="16" t="s">
        <v>418</v>
      </c>
      <c r="O684" s="243"/>
      <c r="P684" s="243"/>
      <c r="Q684" s="243"/>
      <c r="R684" s="243"/>
      <c r="S684" s="243"/>
      <c r="T684" s="243"/>
      <c r="U684" s="243"/>
      <c r="V684" s="243"/>
      <c r="W684" s="243"/>
      <c r="X684" s="243"/>
      <c r="Y684" s="243"/>
      <c r="Z684" s="243"/>
      <c r="AA684" s="243"/>
      <c r="AB684" s="243"/>
      <c r="AC684" s="243"/>
      <c r="AD684" s="243"/>
      <c r="AE684" s="243"/>
      <c r="AF684" s="243"/>
      <c r="AG684" s="243"/>
      <c r="AH684" s="243"/>
      <c r="AI684" s="243"/>
      <c r="AJ684" s="243"/>
      <c r="AK684" s="243"/>
      <c r="AL684" s="243"/>
      <c r="AM684" s="243"/>
      <c r="AN684" s="243"/>
      <c r="AO684" s="243"/>
      <c r="AP684" s="243"/>
      <c r="AQ684" s="243"/>
      <c r="AR684" s="243"/>
      <c r="AS684" s="243"/>
      <c r="AT684" s="243"/>
      <c r="AU684" s="243"/>
      <c r="AV684" s="243"/>
      <c r="AW684" s="243"/>
      <c r="AX684" s="243"/>
      <c r="AY684" s="243"/>
      <c r="AZ684" s="243"/>
      <c r="BA684" s="243"/>
      <c r="BB684" s="243"/>
      <c r="BC684" s="243"/>
      <c r="BD684" s="243"/>
      <c r="BE684" s="243"/>
      <c r="BF684" s="243"/>
      <c r="BG684" s="243"/>
      <c r="BH684" s="243"/>
      <c r="BI684" s="243"/>
      <c r="BJ684" s="243"/>
      <c r="BK684" s="243"/>
      <c r="BL684" s="243"/>
      <c r="BM684" s="243"/>
      <c r="BN684" s="243"/>
      <c r="BO684" s="243"/>
      <c r="BP684" s="243"/>
      <c r="BQ684" s="243"/>
      <c r="BR684" s="243"/>
      <c r="BS684" s="243"/>
    </row>
    <row r="685" spans="1:71" s="12" customFormat="1" ht="41.25" customHeight="1">
      <c r="A685" s="178" t="s">
        <v>80</v>
      </c>
      <c r="B685" s="178" t="str">
        <f ca="1">+UPPER(Tabla1321124[[#This Row],[DESCRIPCIÓN DE LA COMPRA O CONTRATACIÓN]])</f>
        <v>TEE PVC PRESION 4"X 4"</v>
      </c>
      <c r="C685" s="39" t="s">
        <v>17</v>
      </c>
      <c r="D685" s="362">
        <v>10</v>
      </c>
      <c r="E685" s="362"/>
      <c r="F685" s="362">
        <v>10</v>
      </c>
      <c r="G685" s="362"/>
      <c r="H685" s="240">
        <f>SUM(Tabla1321124[[#This Row],[PRIMER TRIMESTRE]:[CUARTO TRIMESTRE]])</f>
        <v>20</v>
      </c>
      <c r="I685" s="17">
        <v>15</v>
      </c>
      <c r="J685" s="17">
        <f>+Tabla1321124[[#This Row],[CANTIDAD TOTAL]]*Tabla1321124[[#This Row],[PRECIO UNITARIO ESTIMADO]]</f>
        <v>300</v>
      </c>
      <c r="K685" s="175"/>
      <c r="L685" s="16" t="s">
        <v>18</v>
      </c>
      <c r="M685" s="16" t="s">
        <v>22</v>
      </c>
      <c r="N685" s="16" t="s">
        <v>418</v>
      </c>
      <c r="O685" s="243"/>
      <c r="P685" s="243"/>
      <c r="Q685" s="243"/>
      <c r="R685" s="243"/>
      <c r="S685" s="243"/>
      <c r="T685" s="243"/>
      <c r="U685" s="243"/>
      <c r="V685" s="243"/>
      <c r="W685" s="243"/>
      <c r="X685" s="243"/>
      <c r="Y685" s="243"/>
      <c r="Z685" s="243"/>
      <c r="AA685" s="243"/>
      <c r="AB685" s="243"/>
      <c r="AC685" s="243"/>
      <c r="AD685" s="243"/>
      <c r="AE685" s="243"/>
      <c r="AF685" s="243"/>
      <c r="AG685" s="243"/>
      <c r="AH685" s="243"/>
      <c r="AI685" s="243"/>
      <c r="AJ685" s="243"/>
      <c r="AK685" s="243"/>
      <c r="AL685" s="243"/>
      <c r="AM685" s="243"/>
      <c r="AN685" s="243"/>
      <c r="AO685" s="243"/>
      <c r="AP685" s="243"/>
      <c r="AQ685" s="243"/>
      <c r="AR685" s="243"/>
      <c r="AS685" s="243"/>
      <c r="AT685" s="243"/>
      <c r="AU685" s="243"/>
      <c r="AV685" s="243"/>
      <c r="AW685" s="243"/>
      <c r="AX685" s="243"/>
      <c r="AY685" s="243"/>
      <c r="AZ685" s="243"/>
      <c r="BA685" s="243"/>
      <c r="BB685" s="243"/>
      <c r="BC685" s="243"/>
      <c r="BD685" s="243"/>
      <c r="BE685" s="243"/>
      <c r="BF685" s="243"/>
      <c r="BG685" s="243"/>
      <c r="BH685" s="243"/>
      <c r="BI685" s="243"/>
      <c r="BJ685" s="243"/>
      <c r="BK685" s="243"/>
      <c r="BL685" s="243"/>
      <c r="BM685" s="243"/>
      <c r="BN685" s="243"/>
      <c r="BO685" s="243"/>
      <c r="BP685" s="243"/>
      <c r="BQ685" s="243"/>
      <c r="BR685" s="243"/>
      <c r="BS685" s="243"/>
    </row>
    <row r="686" spans="1:71" s="12" customFormat="1" ht="41.25" customHeight="1">
      <c r="A686" s="178" t="s">
        <v>80</v>
      </c>
      <c r="B686" s="178" t="str">
        <f ca="1">+UPPER(Tabla1321124[[#This Row],[DESCRIPCIÓN DE LA COMPRA O CONTRATACIÓN]])</f>
        <v xml:space="preserve">TEE PVC PRESION 6" X 6" </v>
      </c>
      <c r="C686" s="39" t="s">
        <v>17</v>
      </c>
      <c r="D686" s="362">
        <v>10</v>
      </c>
      <c r="E686" s="362"/>
      <c r="F686" s="362">
        <v>10</v>
      </c>
      <c r="G686" s="362"/>
      <c r="H686" s="240">
        <f>SUM(Tabla1321124[[#This Row],[PRIMER TRIMESTRE]:[CUARTO TRIMESTRE]])</f>
        <v>20</v>
      </c>
      <c r="I686" s="17">
        <v>16</v>
      </c>
      <c r="J686" s="17">
        <f>+Tabla1321124[[#This Row],[CANTIDAD TOTAL]]*Tabla1321124[[#This Row],[PRECIO UNITARIO ESTIMADO]]</f>
        <v>320</v>
      </c>
      <c r="K686" s="175"/>
      <c r="L686" s="16" t="s">
        <v>18</v>
      </c>
      <c r="M686" s="16" t="s">
        <v>22</v>
      </c>
      <c r="N686" s="16" t="s">
        <v>418</v>
      </c>
      <c r="O686" s="243"/>
      <c r="P686" s="243"/>
      <c r="Q686" s="243"/>
      <c r="R686" s="243"/>
      <c r="S686" s="243"/>
      <c r="T686" s="243"/>
      <c r="U686" s="243"/>
      <c r="V686" s="243"/>
      <c r="W686" s="243"/>
      <c r="X686" s="243"/>
      <c r="Y686" s="243"/>
      <c r="Z686" s="243"/>
      <c r="AA686" s="243"/>
      <c r="AB686" s="243"/>
      <c r="AC686" s="243"/>
      <c r="AD686" s="243"/>
      <c r="AE686" s="243"/>
      <c r="AF686" s="243"/>
      <c r="AG686" s="243"/>
      <c r="AH686" s="243"/>
      <c r="AI686" s="243"/>
      <c r="AJ686" s="243"/>
      <c r="AK686" s="243"/>
      <c r="AL686" s="243"/>
      <c r="AM686" s="243"/>
      <c r="AN686" s="243"/>
      <c r="AO686" s="243"/>
      <c r="AP686" s="243"/>
      <c r="AQ686" s="243"/>
      <c r="AR686" s="243"/>
      <c r="AS686" s="243"/>
      <c r="AT686" s="243"/>
      <c r="AU686" s="243"/>
      <c r="AV686" s="243"/>
      <c r="AW686" s="243"/>
      <c r="AX686" s="243"/>
      <c r="AY686" s="243"/>
      <c r="AZ686" s="243"/>
      <c r="BA686" s="243"/>
      <c r="BB686" s="243"/>
      <c r="BC686" s="243"/>
      <c r="BD686" s="243"/>
      <c r="BE686" s="243"/>
      <c r="BF686" s="243"/>
      <c r="BG686" s="243"/>
      <c r="BH686" s="243"/>
      <c r="BI686" s="243"/>
      <c r="BJ686" s="243"/>
      <c r="BK686" s="243"/>
      <c r="BL686" s="243"/>
      <c r="BM686" s="243"/>
      <c r="BN686" s="243"/>
      <c r="BO686" s="243"/>
      <c r="BP686" s="243"/>
      <c r="BQ686" s="243"/>
      <c r="BR686" s="243"/>
      <c r="BS686" s="243"/>
    </row>
    <row r="687" spans="1:71" s="12" customFormat="1" ht="41.25" customHeight="1">
      <c r="A687" s="178" t="s">
        <v>80</v>
      </c>
      <c r="B687" s="178" t="str">
        <f ca="1">+UPPER(Tabla1321124[[#This Row],[DESCRIPCIÓN DE LA COMPRA O CONTRATACIÓN]])</f>
        <v>TEE DE 3” PVC DE PRESIÓN</v>
      </c>
      <c r="C687" s="39" t="s">
        <v>17</v>
      </c>
      <c r="D687" s="368">
        <v>4</v>
      </c>
      <c r="E687" s="368">
        <v>2</v>
      </c>
      <c r="F687" s="368">
        <v>2</v>
      </c>
      <c r="G687" s="368">
        <v>2</v>
      </c>
      <c r="H687" s="240">
        <f>SUM(Tabla1321124[[#This Row],[PRIMER TRIMESTRE]:[CUARTO TRIMESTRE]])</f>
        <v>10</v>
      </c>
      <c r="I687" s="17">
        <v>19</v>
      </c>
      <c r="J687" s="17">
        <f>+Tabla1321124[[#This Row],[CANTIDAD TOTAL]]*Tabla1321124[[#This Row],[PRECIO UNITARIO ESTIMADO]]</f>
        <v>190</v>
      </c>
      <c r="K687" s="175"/>
      <c r="L687" s="16" t="s">
        <v>18</v>
      </c>
      <c r="M687" s="16" t="s">
        <v>22</v>
      </c>
      <c r="N687" s="16" t="s">
        <v>418</v>
      </c>
      <c r="O687" s="243"/>
      <c r="P687" s="243"/>
      <c r="Q687" s="243"/>
      <c r="R687" s="243"/>
      <c r="S687" s="243"/>
      <c r="T687" s="243"/>
      <c r="U687" s="243"/>
      <c r="V687" s="243"/>
      <c r="W687" s="243"/>
      <c r="X687" s="243"/>
      <c r="Y687" s="243"/>
      <c r="Z687" s="243"/>
      <c r="AA687" s="243"/>
      <c r="AB687" s="243"/>
      <c r="AC687" s="243"/>
      <c r="AD687" s="243"/>
      <c r="AE687" s="243"/>
      <c r="AF687" s="243"/>
      <c r="AG687" s="243"/>
      <c r="AH687" s="243"/>
      <c r="AI687" s="243"/>
      <c r="AJ687" s="243"/>
      <c r="AK687" s="243"/>
      <c r="AL687" s="243"/>
      <c r="AM687" s="243"/>
      <c r="AN687" s="243"/>
      <c r="AO687" s="243"/>
      <c r="AP687" s="243"/>
      <c r="AQ687" s="243"/>
      <c r="AR687" s="243"/>
      <c r="AS687" s="243"/>
      <c r="AT687" s="243"/>
      <c r="AU687" s="243"/>
      <c r="AV687" s="243"/>
      <c r="AW687" s="243"/>
      <c r="AX687" s="243"/>
      <c r="AY687" s="243"/>
      <c r="AZ687" s="243"/>
      <c r="BA687" s="243"/>
      <c r="BB687" s="243"/>
      <c r="BC687" s="243"/>
      <c r="BD687" s="243"/>
      <c r="BE687" s="243"/>
      <c r="BF687" s="243"/>
      <c r="BG687" s="243"/>
      <c r="BH687" s="243"/>
      <c r="BI687" s="243"/>
      <c r="BJ687" s="243"/>
      <c r="BK687" s="243"/>
      <c r="BL687" s="243"/>
      <c r="BM687" s="243"/>
      <c r="BN687" s="243"/>
      <c r="BO687" s="243"/>
      <c r="BP687" s="243"/>
      <c r="BQ687" s="243"/>
      <c r="BR687" s="243"/>
      <c r="BS687" s="243"/>
    </row>
    <row r="688" spans="1:71" s="12" customFormat="1" ht="41.25" customHeight="1">
      <c r="A688" s="178" t="s">
        <v>80</v>
      </c>
      <c r="B688" s="178" t="str">
        <f ca="1">+UPPER(Tabla1321124[[#This Row],[DESCRIPCIÓN DE LA COMPRA O CONTRATACIÓN]])</f>
        <v>TEE DE 4” ACERO</v>
      </c>
      <c r="C688" s="39" t="s">
        <v>17</v>
      </c>
      <c r="D688" s="368">
        <v>4</v>
      </c>
      <c r="E688" s="368">
        <v>2</v>
      </c>
      <c r="F688" s="368">
        <v>2</v>
      </c>
      <c r="G688" s="368">
        <v>2</v>
      </c>
      <c r="H688" s="240">
        <f>SUM(Tabla1321124[[#This Row],[PRIMER TRIMESTRE]:[CUARTO TRIMESTRE]])</f>
        <v>10</v>
      </c>
      <c r="I688" s="17">
        <v>20</v>
      </c>
      <c r="J688" s="17">
        <f>+Tabla1321124[[#This Row],[CANTIDAD TOTAL]]*Tabla1321124[[#This Row],[PRECIO UNITARIO ESTIMADO]]</f>
        <v>200</v>
      </c>
      <c r="K688" s="175"/>
      <c r="L688" s="16" t="s">
        <v>18</v>
      </c>
      <c r="M688" s="16" t="s">
        <v>22</v>
      </c>
      <c r="N688" s="16" t="s">
        <v>418</v>
      </c>
      <c r="O688" s="243"/>
      <c r="P688" s="243"/>
      <c r="Q688" s="243"/>
      <c r="R688" s="243"/>
      <c r="S688" s="243"/>
      <c r="T688" s="243"/>
      <c r="U688" s="243"/>
      <c r="V688" s="243"/>
      <c r="W688" s="243"/>
      <c r="X688" s="243"/>
      <c r="Y688" s="243"/>
      <c r="Z688" s="243"/>
      <c r="AA688" s="243"/>
      <c r="AB688" s="243"/>
      <c r="AC688" s="243"/>
      <c r="AD688" s="243"/>
      <c r="AE688" s="243"/>
      <c r="AF688" s="243"/>
      <c r="AG688" s="243"/>
      <c r="AH688" s="243"/>
      <c r="AI688" s="243"/>
      <c r="AJ688" s="243"/>
      <c r="AK688" s="243"/>
      <c r="AL688" s="243"/>
      <c r="AM688" s="243"/>
      <c r="AN688" s="243"/>
      <c r="AO688" s="243"/>
      <c r="AP688" s="243"/>
      <c r="AQ688" s="243"/>
      <c r="AR688" s="243"/>
      <c r="AS688" s="243"/>
      <c r="AT688" s="243"/>
      <c r="AU688" s="243"/>
      <c r="AV688" s="243"/>
      <c r="AW688" s="243"/>
      <c r="AX688" s="243"/>
      <c r="AY688" s="243"/>
      <c r="AZ688" s="243"/>
      <c r="BA688" s="243"/>
      <c r="BB688" s="243"/>
      <c r="BC688" s="243"/>
      <c r="BD688" s="243"/>
      <c r="BE688" s="243"/>
      <c r="BF688" s="243"/>
      <c r="BG688" s="243"/>
      <c r="BH688" s="243"/>
      <c r="BI688" s="243"/>
      <c r="BJ688" s="243"/>
      <c r="BK688" s="243"/>
      <c r="BL688" s="243"/>
      <c r="BM688" s="243"/>
      <c r="BN688" s="243"/>
      <c r="BO688" s="243"/>
      <c r="BP688" s="243"/>
      <c r="BQ688" s="243"/>
      <c r="BR688" s="243"/>
      <c r="BS688" s="243"/>
    </row>
    <row r="689" spans="1:71" s="12" customFormat="1" ht="41.25" customHeight="1">
      <c r="A689" s="178" t="s">
        <v>80</v>
      </c>
      <c r="B689" s="178" t="str">
        <f ca="1">+UPPER(Tabla1321124[[#This Row],[DESCRIPCIÓN DE LA COMPRA O CONTRATACIÓN]])</f>
        <v>TEE DE 4” H.G.</v>
      </c>
      <c r="C689" s="39" t="s">
        <v>17</v>
      </c>
      <c r="D689" s="368">
        <v>4</v>
      </c>
      <c r="E689" s="368">
        <v>2</v>
      </c>
      <c r="F689" s="368">
        <v>2</v>
      </c>
      <c r="G689" s="368">
        <v>2</v>
      </c>
      <c r="H689" s="240">
        <f>SUM(Tabla1321124[[#This Row],[PRIMER TRIMESTRE]:[CUARTO TRIMESTRE]])</f>
        <v>10</v>
      </c>
      <c r="I689" s="17">
        <v>21</v>
      </c>
      <c r="J689" s="17">
        <f>+Tabla1321124[[#This Row],[CANTIDAD TOTAL]]*Tabla1321124[[#This Row],[PRECIO UNITARIO ESTIMADO]]</f>
        <v>210</v>
      </c>
      <c r="K689" s="175"/>
      <c r="L689" s="16" t="s">
        <v>18</v>
      </c>
      <c r="M689" s="16" t="s">
        <v>22</v>
      </c>
      <c r="N689" s="16" t="s">
        <v>418</v>
      </c>
      <c r="O689" s="243"/>
      <c r="P689" s="243"/>
      <c r="Q689" s="243"/>
      <c r="R689" s="243"/>
      <c r="S689" s="243"/>
      <c r="T689" s="243"/>
      <c r="U689" s="243"/>
      <c r="V689" s="243"/>
      <c r="W689" s="243"/>
      <c r="X689" s="243"/>
      <c r="Y689" s="243"/>
      <c r="Z689" s="243"/>
      <c r="AA689" s="243"/>
      <c r="AB689" s="243"/>
      <c r="AC689" s="243"/>
      <c r="AD689" s="243"/>
      <c r="AE689" s="243"/>
      <c r="AF689" s="243"/>
      <c r="AG689" s="243"/>
      <c r="AH689" s="243"/>
      <c r="AI689" s="243"/>
      <c r="AJ689" s="243"/>
      <c r="AK689" s="243"/>
      <c r="AL689" s="243"/>
      <c r="AM689" s="243"/>
      <c r="AN689" s="243"/>
      <c r="AO689" s="243"/>
      <c r="AP689" s="243"/>
      <c r="AQ689" s="243"/>
      <c r="AR689" s="243"/>
      <c r="AS689" s="243"/>
      <c r="AT689" s="243"/>
      <c r="AU689" s="243"/>
      <c r="AV689" s="243"/>
      <c r="AW689" s="243"/>
      <c r="AX689" s="243"/>
      <c r="AY689" s="243"/>
      <c r="AZ689" s="243"/>
      <c r="BA689" s="243"/>
      <c r="BB689" s="243"/>
      <c r="BC689" s="243"/>
      <c r="BD689" s="243"/>
      <c r="BE689" s="243"/>
      <c r="BF689" s="243"/>
      <c r="BG689" s="243"/>
      <c r="BH689" s="243"/>
      <c r="BI689" s="243"/>
      <c r="BJ689" s="243"/>
      <c r="BK689" s="243"/>
      <c r="BL689" s="243"/>
      <c r="BM689" s="243"/>
      <c r="BN689" s="243"/>
      <c r="BO689" s="243"/>
      <c r="BP689" s="243"/>
      <c r="BQ689" s="243"/>
      <c r="BR689" s="243"/>
      <c r="BS689" s="243"/>
    </row>
    <row r="690" spans="1:71" s="12" customFormat="1" ht="41.25" customHeight="1">
      <c r="A690" s="178" t="s">
        <v>80</v>
      </c>
      <c r="B690" s="178" t="str">
        <f ca="1">+UPPER(Tabla1321124[[#This Row],[DESCRIPCIÓN DE LA COMPRA O CONTRATACIÓN]])</f>
        <v>TEE DE 4” PVC DE PRESIÓN</v>
      </c>
      <c r="C690" s="39" t="s">
        <v>17</v>
      </c>
      <c r="D690" s="368">
        <v>4</v>
      </c>
      <c r="E690" s="368">
        <v>2</v>
      </c>
      <c r="F690" s="368">
        <v>2</v>
      </c>
      <c r="G690" s="368">
        <v>2</v>
      </c>
      <c r="H690" s="240">
        <f>SUM(Tabla1321124[[#This Row],[PRIMER TRIMESTRE]:[CUARTO TRIMESTRE]])</f>
        <v>10</v>
      </c>
      <c r="I690" s="17">
        <v>22</v>
      </c>
      <c r="J690" s="17">
        <f>+Tabla1321124[[#This Row],[CANTIDAD TOTAL]]*Tabla1321124[[#This Row],[PRECIO UNITARIO ESTIMADO]]</f>
        <v>220</v>
      </c>
      <c r="K690" s="175"/>
      <c r="L690" s="16" t="s">
        <v>18</v>
      </c>
      <c r="M690" s="16" t="s">
        <v>22</v>
      </c>
      <c r="N690" s="16" t="s">
        <v>418</v>
      </c>
      <c r="O690" s="243"/>
      <c r="P690" s="243"/>
      <c r="Q690" s="243"/>
      <c r="R690" s="243"/>
      <c r="S690" s="243"/>
      <c r="T690" s="243"/>
      <c r="U690" s="243"/>
      <c r="V690" s="243"/>
      <c r="W690" s="243"/>
      <c r="X690" s="243"/>
      <c r="Y690" s="243"/>
      <c r="Z690" s="243"/>
      <c r="AA690" s="243"/>
      <c r="AB690" s="243"/>
      <c r="AC690" s="243"/>
      <c r="AD690" s="243"/>
      <c r="AE690" s="243"/>
      <c r="AF690" s="243"/>
      <c r="AG690" s="243"/>
      <c r="AH690" s="243"/>
      <c r="AI690" s="243"/>
      <c r="AJ690" s="243"/>
      <c r="AK690" s="243"/>
      <c r="AL690" s="243"/>
      <c r="AM690" s="243"/>
      <c r="AN690" s="243"/>
      <c r="AO690" s="243"/>
      <c r="AP690" s="243"/>
      <c r="AQ690" s="243"/>
      <c r="AR690" s="243"/>
      <c r="AS690" s="243"/>
      <c r="AT690" s="243"/>
      <c r="AU690" s="243"/>
      <c r="AV690" s="243"/>
      <c r="AW690" s="243"/>
      <c r="AX690" s="243"/>
      <c r="AY690" s="243"/>
      <c r="AZ690" s="243"/>
      <c r="BA690" s="243"/>
      <c r="BB690" s="243"/>
      <c r="BC690" s="243"/>
      <c r="BD690" s="243"/>
      <c r="BE690" s="243"/>
      <c r="BF690" s="243"/>
      <c r="BG690" s="243"/>
      <c r="BH690" s="243"/>
      <c r="BI690" s="243"/>
      <c r="BJ690" s="243"/>
      <c r="BK690" s="243"/>
      <c r="BL690" s="243"/>
      <c r="BM690" s="243"/>
      <c r="BN690" s="243"/>
      <c r="BO690" s="243"/>
      <c r="BP690" s="243"/>
      <c r="BQ690" s="243"/>
      <c r="BR690" s="243"/>
      <c r="BS690" s="243"/>
    </row>
    <row r="691" spans="1:71" s="12" customFormat="1" ht="41.25" customHeight="1">
      <c r="A691" s="178" t="s">
        <v>80</v>
      </c>
      <c r="B691" s="178" t="str">
        <f ca="1">+UPPER(Tabla1321124[[#This Row],[DESCRIPCIÓN DE LA COMPRA O CONTRATACIÓN]])</f>
        <v>TEE DE 4” PVC SCH-80</v>
      </c>
      <c r="C691" s="39" t="s">
        <v>17</v>
      </c>
      <c r="D691" s="368">
        <v>3</v>
      </c>
      <c r="E691" s="368">
        <v>3</v>
      </c>
      <c r="F691" s="368">
        <v>3</v>
      </c>
      <c r="G691" s="368">
        <v>3</v>
      </c>
      <c r="H691" s="240">
        <f>SUM(Tabla1321124[[#This Row],[PRIMER TRIMESTRE]:[CUARTO TRIMESTRE]])</f>
        <v>12</v>
      </c>
      <c r="I691" s="17">
        <v>25</v>
      </c>
      <c r="J691" s="17">
        <f>+Tabla1321124[[#This Row],[CANTIDAD TOTAL]]*Tabla1321124[[#This Row],[PRECIO UNITARIO ESTIMADO]]</f>
        <v>300</v>
      </c>
      <c r="K691" s="175"/>
      <c r="L691" s="16" t="s">
        <v>18</v>
      </c>
      <c r="M691" s="16" t="s">
        <v>22</v>
      </c>
      <c r="N691" s="16" t="s">
        <v>418</v>
      </c>
      <c r="O691" s="243"/>
      <c r="P691" s="243"/>
      <c r="Q691" s="243"/>
      <c r="R691" s="243"/>
      <c r="S691" s="243"/>
      <c r="T691" s="243"/>
      <c r="U691" s="243"/>
      <c r="V691" s="243"/>
      <c r="W691" s="243"/>
      <c r="X691" s="243"/>
      <c r="Y691" s="243"/>
      <c r="Z691" s="243"/>
      <c r="AA691" s="243"/>
      <c r="AB691" s="243"/>
      <c r="AC691" s="243"/>
      <c r="AD691" s="243"/>
      <c r="AE691" s="243"/>
      <c r="AF691" s="243"/>
      <c r="AG691" s="243"/>
      <c r="AH691" s="243"/>
      <c r="AI691" s="243"/>
      <c r="AJ691" s="243"/>
      <c r="AK691" s="243"/>
      <c r="AL691" s="243"/>
      <c r="AM691" s="243"/>
      <c r="AN691" s="243"/>
      <c r="AO691" s="243"/>
      <c r="AP691" s="243"/>
      <c r="AQ691" s="243"/>
      <c r="AR691" s="243"/>
      <c r="AS691" s="243"/>
      <c r="AT691" s="243"/>
      <c r="AU691" s="243"/>
      <c r="AV691" s="243"/>
      <c r="AW691" s="243"/>
      <c r="AX691" s="243"/>
      <c r="AY691" s="243"/>
      <c r="AZ691" s="243"/>
      <c r="BA691" s="243"/>
      <c r="BB691" s="243"/>
      <c r="BC691" s="243"/>
      <c r="BD691" s="243"/>
      <c r="BE691" s="243"/>
      <c r="BF691" s="243"/>
      <c r="BG691" s="243"/>
      <c r="BH691" s="243"/>
      <c r="BI691" s="243"/>
      <c r="BJ691" s="243"/>
      <c r="BK691" s="243"/>
      <c r="BL691" s="243"/>
      <c r="BM691" s="243"/>
      <c r="BN691" s="243"/>
      <c r="BO691" s="243"/>
      <c r="BP691" s="243"/>
      <c r="BQ691" s="243"/>
      <c r="BR691" s="243"/>
      <c r="BS691" s="243"/>
    </row>
    <row r="692" spans="1:71" s="12" customFormat="1" ht="41.25" customHeight="1">
      <c r="A692" s="178" t="s">
        <v>80</v>
      </c>
      <c r="B692" s="178" t="str">
        <f ca="1">+UPPER(Tabla1321124[[#This Row],[DESCRIPCIÓN DE LA COMPRA O CONTRATACIÓN]])</f>
        <v>TEE DE 6” ACERO</v>
      </c>
      <c r="C692" s="39" t="s">
        <v>17</v>
      </c>
      <c r="D692" s="368">
        <v>2</v>
      </c>
      <c r="E692" s="368">
        <v>1</v>
      </c>
      <c r="F692" s="368">
        <v>1</v>
      </c>
      <c r="G692" s="368">
        <v>1</v>
      </c>
      <c r="H692" s="240">
        <f>SUM(Tabla1321124[[#This Row],[PRIMER TRIMESTRE]:[CUARTO TRIMESTRE]])</f>
        <v>5</v>
      </c>
      <c r="I692" s="17">
        <v>24</v>
      </c>
      <c r="J692" s="17">
        <f>+Tabla1321124[[#This Row],[CANTIDAD TOTAL]]*Tabla1321124[[#This Row],[PRECIO UNITARIO ESTIMADO]]</f>
        <v>120</v>
      </c>
      <c r="K692" s="175"/>
      <c r="L692" s="16" t="s">
        <v>18</v>
      </c>
      <c r="M692" s="16" t="s">
        <v>22</v>
      </c>
      <c r="N692" s="16" t="s">
        <v>418</v>
      </c>
      <c r="O692" s="243"/>
      <c r="P692" s="243"/>
      <c r="Q692" s="243"/>
      <c r="R692" s="243"/>
      <c r="S692" s="243"/>
      <c r="T692" s="243"/>
      <c r="U692" s="243"/>
      <c r="V692" s="243"/>
      <c r="W692" s="243"/>
      <c r="X692" s="243"/>
      <c r="Y692" s="243"/>
      <c r="Z692" s="243"/>
      <c r="AA692" s="243"/>
      <c r="AB692" s="243"/>
      <c r="AC692" s="243"/>
      <c r="AD692" s="243"/>
      <c r="AE692" s="243"/>
      <c r="AF692" s="243"/>
      <c r="AG692" s="243"/>
      <c r="AH692" s="243"/>
      <c r="AI692" s="243"/>
      <c r="AJ692" s="243"/>
      <c r="AK692" s="243"/>
      <c r="AL692" s="243"/>
      <c r="AM692" s="243"/>
      <c r="AN692" s="243"/>
      <c r="AO692" s="243"/>
      <c r="AP692" s="243"/>
      <c r="AQ692" s="243"/>
      <c r="AR692" s="243"/>
      <c r="AS692" s="243"/>
      <c r="AT692" s="243"/>
      <c r="AU692" s="243"/>
      <c r="AV692" s="243"/>
      <c r="AW692" s="243"/>
      <c r="AX692" s="243"/>
      <c r="AY692" s="243"/>
      <c r="AZ692" s="243"/>
      <c r="BA692" s="243"/>
      <c r="BB692" s="243"/>
      <c r="BC692" s="243"/>
      <c r="BD692" s="243"/>
      <c r="BE692" s="243"/>
      <c r="BF692" s="243"/>
      <c r="BG692" s="243"/>
      <c r="BH692" s="243"/>
      <c r="BI692" s="243"/>
      <c r="BJ692" s="243"/>
      <c r="BK692" s="243"/>
      <c r="BL692" s="243"/>
      <c r="BM692" s="243"/>
      <c r="BN692" s="243"/>
      <c r="BO692" s="243"/>
      <c r="BP692" s="243"/>
      <c r="BQ692" s="243"/>
      <c r="BR692" s="243"/>
      <c r="BS692" s="243"/>
    </row>
    <row r="693" spans="1:71" s="12" customFormat="1" ht="41.25" customHeight="1">
      <c r="A693" s="178" t="s">
        <v>80</v>
      </c>
      <c r="B693" s="178" t="str">
        <f ca="1">+UPPER(Tabla1321124[[#This Row],[DESCRIPCIÓN DE LA COMPRA O CONTRATACIÓN]])</f>
        <v>TEE DE 6” PVC</v>
      </c>
      <c r="C693" s="39" t="s">
        <v>17</v>
      </c>
      <c r="D693" s="368">
        <v>2</v>
      </c>
      <c r="E693" s="368">
        <v>1</v>
      </c>
      <c r="F693" s="368">
        <v>1</v>
      </c>
      <c r="G693" s="368">
        <v>1</v>
      </c>
      <c r="H693" s="240">
        <f>SUM(Tabla1321124[[#This Row],[PRIMER TRIMESTRE]:[CUARTO TRIMESTRE]])</f>
        <v>5</v>
      </c>
      <c r="I693" s="17">
        <v>23</v>
      </c>
      <c r="J693" s="17">
        <f>+Tabla1321124[[#This Row],[CANTIDAD TOTAL]]*Tabla1321124[[#This Row],[PRECIO UNITARIO ESTIMADO]]</f>
        <v>115</v>
      </c>
      <c r="K693" s="175"/>
      <c r="L693" s="16" t="s">
        <v>18</v>
      </c>
      <c r="M693" s="16" t="s">
        <v>22</v>
      </c>
      <c r="N693" s="16" t="s">
        <v>418</v>
      </c>
      <c r="O693" s="243"/>
      <c r="P693" s="243"/>
      <c r="Q693" s="243"/>
      <c r="R693" s="243"/>
      <c r="S693" s="243"/>
      <c r="T693" s="243"/>
      <c r="U693" s="243"/>
      <c r="V693" s="243"/>
      <c r="W693" s="243"/>
      <c r="X693" s="243"/>
      <c r="Y693" s="243"/>
      <c r="Z693" s="243"/>
      <c r="AA693" s="243"/>
      <c r="AB693" s="243"/>
      <c r="AC693" s="243"/>
      <c r="AD693" s="243"/>
      <c r="AE693" s="243"/>
      <c r="AF693" s="243"/>
      <c r="AG693" s="243"/>
      <c r="AH693" s="243"/>
      <c r="AI693" s="243"/>
      <c r="AJ693" s="243"/>
      <c r="AK693" s="243"/>
      <c r="AL693" s="243"/>
      <c r="AM693" s="243"/>
      <c r="AN693" s="243"/>
      <c r="AO693" s="243"/>
      <c r="AP693" s="243"/>
      <c r="AQ693" s="243"/>
      <c r="AR693" s="243"/>
      <c r="AS693" s="243"/>
      <c r="AT693" s="243"/>
      <c r="AU693" s="243"/>
      <c r="AV693" s="243"/>
      <c r="AW693" s="243"/>
      <c r="AX693" s="243"/>
      <c r="AY693" s="243"/>
      <c r="AZ693" s="243"/>
      <c r="BA693" s="243"/>
      <c r="BB693" s="243"/>
      <c r="BC693" s="243"/>
      <c r="BD693" s="243"/>
      <c r="BE693" s="243"/>
      <c r="BF693" s="243"/>
      <c r="BG693" s="243"/>
      <c r="BH693" s="243"/>
      <c r="BI693" s="243"/>
      <c r="BJ693" s="243"/>
      <c r="BK693" s="243"/>
      <c r="BL693" s="243"/>
      <c r="BM693" s="243"/>
      <c r="BN693" s="243"/>
      <c r="BO693" s="243"/>
      <c r="BP693" s="243"/>
      <c r="BQ693" s="243"/>
      <c r="BR693" s="243"/>
      <c r="BS693" s="243"/>
    </row>
    <row r="694" spans="1:71" s="12" customFormat="1" ht="41.25" customHeight="1">
      <c r="A694" s="178" t="s">
        <v>80</v>
      </c>
      <c r="B694" s="178" t="str">
        <f ca="1">+UPPER(Tabla1321124[[#This Row],[DESCRIPCIÓN DE LA COMPRA O CONTRATACIÓN]])</f>
        <v>TEE DE 6” PVC DE PRESIÓN</v>
      </c>
      <c r="C694" s="39" t="s">
        <v>17</v>
      </c>
      <c r="D694" s="368">
        <v>2</v>
      </c>
      <c r="E694" s="368">
        <v>1</v>
      </c>
      <c r="F694" s="368">
        <v>1</v>
      </c>
      <c r="G694" s="368">
        <v>1</v>
      </c>
      <c r="H694" s="240">
        <f>SUM(Tabla1321124[[#This Row],[PRIMER TRIMESTRE]:[CUARTO TRIMESTRE]])</f>
        <v>5</v>
      </c>
      <c r="I694" s="17">
        <v>3</v>
      </c>
      <c r="J694" s="17">
        <f>+Tabla1321124[[#This Row],[CANTIDAD TOTAL]]*Tabla1321124[[#This Row],[PRECIO UNITARIO ESTIMADO]]</f>
        <v>15</v>
      </c>
      <c r="K694" s="175"/>
      <c r="L694" s="16" t="s">
        <v>18</v>
      </c>
      <c r="M694" s="16" t="s">
        <v>22</v>
      </c>
      <c r="N694" s="16" t="s">
        <v>418</v>
      </c>
      <c r="O694" s="243"/>
      <c r="P694" s="243"/>
      <c r="Q694" s="243"/>
      <c r="R694" s="243"/>
      <c r="S694" s="243"/>
      <c r="T694" s="243"/>
      <c r="U694" s="243"/>
      <c r="V694" s="243"/>
      <c r="W694" s="243"/>
      <c r="X694" s="243"/>
      <c r="Y694" s="243"/>
      <c r="Z694" s="243"/>
      <c r="AA694" s="243"/>
      <c r="AB694" s="243"/>
      <c r="AC694" s="243"/>
      <c r="AD694" s="243"/>
      <c r="AE694" s="243"/>
      <c r="AF694" s="243"/>
      <c r="AG694" s="243"/>
      <c r="AH694" s="243"/>
      <c r="AI694" s="243"/>
      <c r="AJ694" s="243"/>
      <c r="AK694" s="243"/>
      <c r="AL694" s="243"/>
      <c r="AM694" s="243"/>
      <c r="AN694" s="243"/>
      <c r="AO694" s="243"/>
      <c r="AP694" s="243"/>
      <c r="AQ694" s="243"/>
      <c r="AR694" s="243"/>
      <c r="AS694" s="243"/>
      <c r="AT694" s="243"/>
      <c r="AU694" s="243"/>
      <c r="AV694" s="243"/>
      <c r="AW694" s="243"/>
      <c r="AX694" s="243"/>
      <c r="AY694" s="243"/>
      <c r="AZ694" s="243"/>
      <c r="BA694" s="243"/>
      <c r="BB694" s="243"/>
      <c r="BC694" s="243"/>
      <c r="BD694" s="243"/>
      <c r="BE694" s="243"/>
      <c r="BF694" s="243"/>
      <c r="BG694" s="243"/>
      <c r="BH694" s="243"/>
      <c r="BI694" s="243"/>
      <c r="BJ694" s="243"/>
      <c r="BK694" s="243"/>
      <c r="BL694" s="243"/>
      <c r="BM694" s="243"/>
      <c r="BN694" s="243"/>
      <c r="BO694" s="243"/>
      <c r="BP694" s="243"/>
      <c r="BQ694" s="243"/>
      <c r="BR694" s="243"/>
      <c r="BS694" s="243"/>
    </row>
    <row r="695" spans="1:71" s="12" customFormat="1" ht="41.25" customHeight="1">
      <c r="A695" s="178" t="s">
        <v>80</v>
      </c>
      <c r="B695" s="178" t="str">
        <f ca="1">+UPPER(Tabla1321124[[#This Row],[DESCRIPCIÓN DE LA COMPRA O CONTRATACIÓN]])</f>
        <v>THINNER</v>
      </c>
      <c r="C695" s="39" t="s">
        <v>17</v>
      </c>
      <c r="D695" s="369">
        <v>10</v>
      </c>
      <c r="E695" s="369">
        <v>5</v>
      </c>
      <c r="F695" s="369">
        <v>5</v>
      </c>
      <c r="G695" s="369">
        <v>5</v>
      </c>
      <c r="H695" s="240">
        <f>SUM(Tabla1321124[[#This Row],[PRIMER TRIMESTRE]:[CUARTO TRIMESTRE]])</f>
        <v>25</v>
      </c>
      <c r="I695" s="17">
        <v>5</v>
      </c>
      <c r="J695" s="17">
        <f>+Tabla1321124[[#This Row],[CANTIDAD TOTAL]]*Tabla1321124[[#This Row],[PRECIO UNITARIO ESTIMADO]]</f>
        <v>125</v>
      </c>
      <c r="K695" s="175"/>
      <c r="L695" s="16" t="s">
        <v>18</v>
      </c>
      <c r="M695" s="16" t="s">
        <v>22</v>
      </c>
      <c r="N695" s="16" t="s">
        <v>418</v>
      </c>
      <c r="O695" s="243"/>
      <c r="P695" s="243"/>
      <c r="Q695" s="243"/>
      <c r="R695" s="243"/>
      <c r="S695" s="243"/>
      <c r="T695" s="243"/>
      <c r="U695" s="243"/>
      <c r="V695" s="243"/>
      <c r="W695" s="243"/>
      <c r="X695" s="243"/>
      <c r="Y695" s="243"/>
      <c r="Z695" s="243"/>
      <c r="AA695" s="243"/>
      <c r="AB695" s="243"/>
      <c r="AC695" s="243"/>
      <c r="AD695" s="243"/>
      <c r="AE695" s="243"/>
      <c r="AF695" s="243"/>
      <c r="AG695" s="243"/>
      <c r="AH695" s="243"/>
      <c r="AI695" s="243"/>
      <c r="AJ695" s="243"/>
      <c r="AK695" s="243"/>
      <c r="AL695" s="243"/>
      <c r="AM695" s="243"/>
      <c r="AN695" s="243"/>
      <c r="AO695" s="243"/>
      <c r="AP695" s="243"/>
      <c r="AQ695" s="243"/>
      <c r="AR695" s="243"/>
      <c r="AS695" s="243"/>
      <c r="AT695" s="243"/>
      <c r="AU695" s="243"/>
      <c r="AV695" s="243"/>
      <c r="AW695" s="243"/>
      <c r="AX695" s="243"/>
      <c r="AY695" s="243"/>
      <c r="AZ695" s="243"/>
      <c r="BA695" s="243"/>
      <c r="BB695" s="243"/>
      <c r="BC695" s="243"/>
      <c r="BD695" s="243"/>
      <c r="BE695" s="243"/>
      <c r="BF695" s="243"/>
      <c r="BG695" s="243"/>
      <c r="BH695" s="243"/>
      <c r="BI695" s="243"/>
      <c r="BJ695" s="243"/>
      <c r="BK695" s="243"/>
      <c r="BL695" s="243"/>
      <c r="BM695" s="243"/>
      <c r="BN695" s="243"/>
      <c r="BO695" s="243"/>
      <c r="BP695" s="243"/>
      <c r="BQ695" s="243"/>
      <c r="BR695" s="243"/>
      <c r="BS695" s="243"/>
    </row>
    <row r="696" spans="1:71" s="12" customFormat="1" ht="41.25" customHeight="1">
      <c r="A696" s="178" t="s">
        <v>80</v>
      </c>
      <c r="B696" s="178" t="str">
        <f ca="1">+UPPER(Tabla1321124[[#This Row],[DESCRIPCIÓN DE LA COMPRA O CONTRATACIÓN]])</f>
        <v>TUERCA DE 3/8</v>
      </c>
      <c r="C696" s="39" t="s">
        <v>17</v>
      </c>
      <c r="D696" s="236">
        <v>200</v>
      </c>
      <c r="E696" s="236">
        <v>200</v>
      </c>
      <c r="F696" s="236">
        <v>200</v>
      </c>
      <c r="G696" s="236">
        <v>200</v>
      </c>
      <c r="H696" s="240">
        <f>SUM(Tabla1321124[[#This Row],[PRIMER TRIMESTRE]:[CUARTO TRIMESTRE]])</f>
        <v>800</v>
      </c>
      <c r="I696" s="17">
        <v>3.54</v>
      </c>
      <c r="J696" s="17">
        <f>+Tabla1321124[[#This Row],[CANTIDAD TOTAL]]*Tabla1321124[[#This Row],[PRECIO UNITARIO ESTIMADO]]</f>
        <v>2832</v>
      </c>
      <c r="K696" s="17"/>
      <c r="L696" s="16" t="s">
        <v>18</v>
      </c>
      <c r="M696" s="16" t="s">
        <v>22</v>
      </c>
      <c r="N696" s="16" t="s">
        <v>418</v>
      </c>
      <c r="O696" s="243"/>
      <c r="P696" s="243"/>
      <c r="Q696" s="243"/>
      <c r="R696" s="243"/>
      <c r="S696" s="243"/>
      <c r="T696" s="243"/>
      <c r="U696" s="243"/>
      <c r="V696" s="243"/>
      <c r="W696" s="243"/>
      <c r="X696" s="243"/>
      <c r="Y696" s="243"/>
      <c r="Z696" s="243"/>
      <c r="AA696" s="243"/>
      <c r="AB696" s="243"/>
      <c r="AC696" s="243"/>
      <c r="AD696" s="243"/>
      <c r="AE696" s="243"/>
      <c r="AF696" s="243"/>
      <c r="AG696" s="243"/>
      <c r="AH696" s="243"/>
      <c r="AI696" s="243"/>
      <c r="AJ696" s="243"/>
      <c r="AK696" s="243"/>
      <c r="AL696" s="243"/>
      <c r="AM696" s="243"/>
      <c r="AN696" s="243"/>
      <c r="AO696" s="243"/>
      <c r="AP696" s="243"/>
      <c r="AQ696" s="243"/>
      <c r="AR696" s="243"/>
      <c r="AS696" s="243"/>
      <c r="AT696" s="243"/>
      <c r="AU696" s="243"/>
      <c r="AV696" s="243"/>
      <c r="AW696" s="243"/>
      <c r="AX696" s="243"/>
      <c r="AY696" s="243"/>
      <c r="AZ696" s="243"/>
      <c r="BA696" s="243"/>
      <c r="BB696" s="243"/>
      <c r="BC696" s="243"/>
      <c r="BD696" s="243"/>
      <c r="BE696" s="243"/>
      <c r="BF696" s="243"/>
      <c r="BG696" s="243"/>
      <c r="BH696" s="243"/>
      <c r="BI696" s="243"/>
      <c r="BJ696" s="243"/>
      <c r="BK696" s="243"/>
      <c r="BL696" s="243"/>
      <c r="BM696" s="243"/>
      <c r="BN696" s="243"/>
      <c r="BO696" s="243"/>
      <c r="BP696" s="243"/>
      <c r="BQ696" s="243"/>
      <c r="BR696" s="243"/>
      <c r="BS696" s="243"/>
    </row>
    <row r="697" spans="1:71" s="12" customFormat="1" ht="41.25" customHeight="1">
      <c r="A697" s="178" t="s">
        <v>80</v>
      </c>
      <c r="B697" s="178" t="str">
        <f ca="1">+UPPER(Tabla1321124[[#This Row],[DESCRIPCIÓN DE LA COMPRA O CONTRATACIÓN]])</f>
        <v>TEE PVC PRESION Ø1/2 X 1/2"</v>
      </c>
      <c r="C697" s="39" t="s">
        <v>17</v>
      </c>
      <c r="D697" s="352">
        <f>20+35</f>
        <v>55</v>
      </c>
      <c r="E697" s="352">
        <f>20+30</f>
        <v>50</v>
      </c>
      <c r="F697" s="352">
        <f>20+35</f>
        <v>55</v>
      </c>
      <c r="G697" s="352">
        <f>20+30</f>
        <v>50</v>
      </c>
      <c r="H697" s="240">
        <f>SUM(Tabla1321124[[#This Row],[PRIMER TRIMESTRE]:[CUARTO TRIMESTRE]])</f>
        <v>210</v>
      </c>
      <c r="I697" s="17">
        <v>7.28</v>
      </c>
      <c r="J697" s="17">
        <f>+Tabla1321124[[#This Row],[CANTIDAD TOTAL]]*Tabla1321124[[#This Row],[PRECIO UNITARIO ESTIMADO]]</f>
        <v>1528.8</v>
      </c>
      <c r="K697" s="17"/>
      <c r="L697" s="16" t="s">
        <v>18</v>
      </c>
      <c r="M697" s="16" t="s">
        <v>22</v>
      </c>
      <c r="N697" s="16" t="s">
        <v>418</v>
      </c>
      <c r="O697" s="243"/>
      <c r="P697" s="243"/>
      <c r="Q697" s="243"/>
      <c r="R697" s="243"/>
      <c r="S697" s="243"/>
      <c r="T697" s="243"/>
      <c r="U697" s="243"/>
      <c r="V697" s="243"/>
      <c r="W697" s="243"/>
      <c r="X697" s="243"/>
      <c r="Y697" s="243"/>
      <c r="Z697" s="243"/>
      <c r="AA697" s="243"/>
      <c r="AB697" s="243"/>
      <c r="AC697" s="243"/>
      <c r="AD697" s="243"/>
      <c r="AE697" s="243"/>
      <c r="AF697" s="243"/>
      <c r="AG697" s="243"/>
      <c r="AH697" s="243"/>
      <c r="AI697" s="243"/>
      <c r="AJ697" s="243"/>
      <c r="AK697" s="243"/>
      <c r="AL697" s="243"/>
      <c r="AM697" s="243"/>
      <c r="AN697" s="243"/>
      <c r="AO697" s="243"/>
      <c r="AP697" s="243"/>
      <c r="AQ697" s="243"/>
      <c r="AR697" s="243"/>
      <c r="AS697" s="243"/>
      <c r="AT697" s="243"/>
      <c r="AU697" s="243"/>
      <c r="AV697" s="243"/>
      <c r="AW697" s="243"/>
      <c r="AX697" s="243"/>
      <c r="AY697" s="243"/>
      <c r="AZ697" s="243"/>
      <c r="BA697" s="243"/>
      <c r="BB697" s="243"/>
      <c r="BC697" s="243"/>
      <c r="BD697" s="243"/>
      <c r="BE697" s="243"/>
      <c r="BF697" s="243"/>
      <c r="BG697" s="243"/>
      <c r="BH697" s="243"/>
      <c r="BI697" s="243"/>
      <c r="BJ697" s="243"/>
      <c r="BK697" s="243"/>
      <c r="BL697" s="243"/>
      <c r="BM697" s="243"/>
      <c r="BN697" s="243"/>
      <c r="BO697" s="243"/>
      <c r="BP697" s="243"/>
      <c r="BQ697" s="243"/>
      <c r="BR697" s="243"/>
      <c r="BS697" s="243"/>
    </row>
    <row r="698" spans="1:71" s="12" customFormat="1" ht="41.25" customHeight="1">
      <c r="A698" s="178" t="s">
        <v>80</v>
      </c>
      <c r="B698" s="178" t="str">
        <f ca="1">+UPPER(Tabla1321124[[#This Row],[DESCRIPCIÓN DE LA COMPRA O CONTRATACIÓN]])</f>
        <v>TEE PVC PRESION Ø3/4 X 3/4"</v>
      </c>
      <c r="C698" s="39" t="s">
        <v>17</v>
      </c>
      <c r="D698" s="352">
        <f>20+15</f>
        <v>35</v>
      </c>
      <c r="E698" s="352">
        <f>20+10</f>
        <v>30</v>
      </c>
      <c r="F698" s="352">
        <f>20+15</f>
        <v>35</v>
      </c>
      <c r="G698" s="352">
        <f>20+10</f>
        <v>30</v>
      </c>
      <c r="H698" s="240">
        <f>SUM(Tabla1321124[[#This Row],[PRIMER TRIMESTRE]:[CUARTO TRIMESTRE]])</f>
        <v>130</v>
      </c>
      <c r="I698" s="17">
        <v>11.82</v>
      </c>
      <c r="J698" s="17">
        <f>+Tabla1321124[[#This Row],[CANTIDAD TOTAL]]*Tabla1321124[[#This Row],[PRECIO UNITARIO ESTIMADO]]</f>
        <v>1536.6000000000001</v>
      </c>
      <c r="K698" s="17"/>
      <c r="L698" s="16" t="s">
        <v>18</v>
      </c>
      <c r="M698" s="16" t="s">
        <v>22</v>
      </c>
      <c r="N698" s="16"/>
      <c r="O698" s="243"/>
      <c r="P698" s="243"/>
      <c r="Q698" s="243"/>
      <c r="R698" s="243"/>
      <c r="S698" s="243"/>
      <c r="T698" s="243"/>
      <c r="U698" s="243"/>
      <c r="V698" s="243"/>
      <c r="W698" s="243"/>
      <c r="X698" s="243"/>
      <c r="Y698" s="243"/>
      <c r="Z698" s="243"/>
      <c r="AA698" s="243"/>
      <c r="AB698" s="243"/>
      <c r="AC698" s="243"/>
      <c r="AD698" s="243"/>
      <c r="AE698" s="243"/>
      <c r="AF698" s="243"/>
      <c r="AG698" s="243"/>
      <c r="AH698" s="243"/>
      <c r="AI698" s="243"/>
      <c r="AJ698" s="243"/>
      <c r="AK698" s="243"/>
      <c r="AL698" s="243"/>
      <c r="AM698" s="243"/>
      <c r="AN698" s="243"/>
      <c r="AO698" s="243"/>
      <c r="AP698" s="243"/>
      <c r="AQ698" s="243"/>
      <c r="AR698" s="243"/>
      <c r="AS698" s="243"/>
      <c r="AT698" s="243"/>
      <c r="AU698" s="243"/>
      <c r="AV698" s="243"/>
      <c r="AW698" s="243"/>
      <c r="AX698" s="243"/>
      <c r="AY698" s="243"/>
      <c r="AZ698" s="243"/>
      <c r="BA698" s="243"/>
      <c r="BB698" s="243"/>
      <c r="BC698" s="243"/>
      <c r="BD698" s="243"/>
      <c r="BE698" s="243"/>
      <c r="BF698" s="243"/>
      <c r="BG698" s="243"/>
      <c r="BH698" s="243"/>
      <c r="BI698" s="243"/>
      <c r="BJ698" s="243"/>
      <c r="BK698" s="243"/>
      <c r="BL698" s="243"/>
      <c r="BM698" s="243"/>
      <c r="BN698" s="243"/>
      <c r="BO698" s="243"/>
      <c r="BP698" s="243"/>
      <c r="BQ698" s="243"/>
      <c r="BR698" s="243"/>
      <c r="BS698" s="243"/>
    </row>
    <row r="699" spans="1:71" s="12" customFormat="1" ht="41.25" customHeight="1">
      <c r="A699" s="178" t="s">
        <v>80</v>
      </c>
      <c r="B699" s="178" t="str">
        <f ca="1">+UPPER(Tabla1321124[[#This Row],[DESCRIPCIÓN DE LA COMPRA O CONTRATACIÓN]])</f>
        <v>TEE PVC PRESEION Ø1" X 1"</v>
      </c>
      <c r="C699" s="39" t="s">
        <v>17</v>
      </c>
      <c r="D699" s="352">
        <f>20+15</f>
        <v>35</v>
      </c>
      <c r="E699" s="352">
        <f>20+10</f>
        <v>30</v>
      </c>
      <c r="F699" s="352">
        <f>20+15</f>
        <v>35</v>
      </c>
      <c r="G699" s="352">
        <f>20+10</f>
        <v>30</v>
      </c>
      <c r="H699" s="240">
        <f>SUM(Tabla1321124[[#This Row],[PRIMER TRIMESTRE]:[CUARTO TRIMESTRE]])</f>
        <v>130</v>
      </c>
      <c r="I699" s="17">
        <v>22.74</v>
      </c>
      <c r="J699" s="17">
        <f>+Tabla1321124[[#This Row],[CANTIDAD TOTAL]]*Tabla1321124[[#This Row],[PRECIO UNITARIO ESTIMADO]]</f>
        <v>2956.2</v>
      </c>
      <c r="K699" s="17"/>
      <c r="L699" s="16" t="s">
        <v>18</v>
      </c>
      <c r="M699" s="16" t="s">
        <v>22</v>
      </c>
      <c r="N699" s="16"/>
      <c r="O699" s="243"/>
      <c r="P699" s="243"/>
      <c r="Q699" s="243"/>
      <c r="R699" s="243"/>
      <c r="S699" s="243"/>
      <c r="T699" s="243"/>
      <c r="U699" s="243"/>
      <c r="V699" s="243"/>
      <c r="W699" s="243"/>
      <c r="X699" s="243"/>
      <c r="Y699" s="243"/>
      <c r="Z699" s="243"/>
      <c r="AA699" s="243"/>
      <c r="AB699" s="243"/>
      <c r="AC699" s="243"/>
      <c r="AD699" s="243"/>
      <c r="AE699" s="243"/>
      <c r="AF699" s="243"/>
      <c r="AG699" s="243"/>
      <c r="AH699" s="243"/>
      <c r="AI699" s="243"/>
      <c r="AJ699" s="243"/>
      <c r="AK699" s="243"/>
      <c r="AL699" s="243"/>
      <c r="AM699" s="243"/>
      <c r="AN699" s="243"/>
      <c r="AO699" s="243"/>
      <c r="AP699" s="243"/>
      <c r="AQ699" s="243"/>
      <c r="AR699" s="243"/>
      <c r="AS699" s="243"/>
      <c r="AT699" s="243"/>
      <c r="AU699" s="243"/>
      <c r="AV699" s="243"/>
      <c r="AW699" s="243"/>
      <c r="AX699" s="243"/>
      <c r="AY699" s="243"/>
      <c r="AZ699" s="243"/>
      <c r="BA699" s="243"/>
      <c r="BB699" s="243"/>
      <c r="BC699" s="243"/>
      <c r="BD699" s="243"/>
      <c r="BE699" s="243"/>
      <c r="BF699" s="243"/>
      <c r="BG699" s="243"/>
      <c r="BH699" s="243"/>
      <c r="BI699" s="243"/>
      <c r="BJ699" s="243"/>
      <c r="BK699" s="243"/>
      <c r="BL699" s="243"/>
      <c r="BM699" s="243"/>
      <c r="BN699" s="243"/>
      <c r="BO699" s="243"/>
      <c r="BP699" s="243"/>
      <c r="BQ699" s="243"/>
      <c r="BR699" s="243"/>
      <c r="BS699" s="243"/>
    </row>
    <row r="700" spans="1:71" s="12" customFormat="1" ht="41.25" customHeight="1">
      <c r="A700" s="178" t="s">
        <v>80</v>
      </c>
      <c r="B700" s="178" t="str">
        <f ca="1">+UPPER(Tabla1321124[[#This Row],[DESCRIPCIÓN DE LA COMPRA O CONTRATACIÓN]])</f>
        <v>TEE PVC PRESION Ø2" X 2"</v>
      </c>
      <c r="C700" s="39" t="s">
        <v>17</v>
      </c>
      <c r="D700" s="352">
        <f t="shared" ref="D700:G701" si="11">10+20</f>
        <v>30</v>
      </c>
      <c r="E700" s="352">
        <f t="shared" si="11"/>
        <v>30</v>
      </c>
      <c r="F700" s="352">
        <f t="shared" si="11"/>
        <v>30</v>
      </c>
      <c r="G700" s="352">
        <f t="shared" si="11"/>
        <v>30</v>
      </c>
      <c r="H700" s="240">
        <f>SUM(Tabla1321124[[#This Row],[PRIMER TRIMESTRE]:[CUARTO TRIMESTRE]])</f>
        <v>120</v>
      </c>
      <c r="I700" s="17">
        <v>53.66</v>
      </c>
      <c r="J700" s="17">
        <f>+Tabla1321124[[#This Row],[CANTIDAD TOTAL]]*Tabla1321124[[#This Row],[PRECIO UNITARIO ESTIMADO]]</f>
        <v>6439.2</v>
      </c>
      <c r="K700" s="17"/>
      <c r="L700" s="16" t="s">
        <v>18</v>
      </c>
      <c r="M700" s="16" t="s">
        <v>22</v>
      </c>
      <c r="N700" s="16"/>
      <c r="O700" s="243"/>
      <c r="P700" s="243"/>
      <c r="Q700" s="243"/>
      <c r="R700" s="243"/>
      <c r="S700" s="243"/>
      <c r="T700" s="243"/>
      <c r="U700" s="243"/>
      <c r="V700" s="243"/>
      <c r="W700" s="243"/>
      <c r="X700" s="243"/>
      <c r="Y700" s="243"/>
      <c r="Z700" s="243"/>
      <c r="AA700" s="243"/>
      <c r="AB700" s="243"/>
      <c r="AC700" s="243"/>
      <c r="AD700" s="243"/>
      <c r="AE700" s="243"/>
      <c r="AF700" s="243"/>
      <c r="AG700" s="243"/>
      <c r="AH700" s="243"/>
      <c r="AI700" s="243"/>
      <c r="AJ700" s="243"/>
      <c r="AK700" s="243"/>
      <c r="AL700" s="243"/>
      <c r="AM700" s="243"/>
      <c r="AN700" s="243"/>
      <c r="AO700" s="243"/>
      <c r="AP700" s="243"/>
      <c r="AQ700" s="243"/>
      <c r="AR700" s="243"/>
      <c r="AS700" s="243"/>
      <c r="AT700" s="243"/>
      <c r="AU700" s="243"/>
      <c r="AV700" s="243"/>
      <c r="AW700" s="243"/>
      <c r="AX700" s="243"/>
      <c r="AY700" s="243"/>
      <c r="AZ700" s="243"/>
      <c r="BA700" s="243"/>
      <c r="BB700" s="243"/>
      <c r="BC700" s="243"/>
      <c r="BD700" s="243"/>
      <c r="BE700" s="243"/>
      <c r="BF700" s="243"/>
      <c r="BG700" s="243"/>
      <c r="BH700" s="243"/>
      <c r="BI700" s="243"/>
      <c r="BJ700" s="243"/>
      <c r="BK700" s="243"/>
      <c r="BL700" s="243"/>
      <c r="BM700" s="243"/>
      <c r="BN700" s="243"/>
      <c r="BO700" s="243"/>
      <c r="BP700" s="243"/>
      <c r="BQ700" s="243"/>
      <c r="BR700" s="243"/>
      <c r="BS700" s="243"/>
    </row>
    <row r="701" spans="1:71" s="12" customFormat="1" ht="41.25" customHeight="1">
      <c r="A701" s="178" t="s">
        <v>80</v>
      </c>
      <c r="B701" s="178" t="str">
        <f ca="1">+UPPER(Tabla1321124[[#This Row],[DESCRIPCIÓN DE LA COMPRA O CONTRATACIÓN]])</f>
        <v>TEE PVC PRESION Ø3 X 3"</v>
      </c>
      <c r="C701" s="39" t="s">
        <v>17</v>
      </c>
      <c r="D701" s="352">
        <f t="shared" si="11"/>
        <v>30</v>
      </c>
      <c r="E701" s="352">
        <f t="shared" si="11"/>
        <v>30</v>
      </c>
      <c r="F701" s="352">
        <f t="shared" si="11"/>
        <v>30</v>
      </c>
      <c r="G701" s="352">
        <f t="shared" si="11"/>
        <v>30</v>
      </c>
      <c r="H701" s="240">
        <f>SUM(Tabla1321124[[#This Row],[PRIMER TRIMESTRE]:[CUARTO TRIMESTRE]])</f>
        <v>120</v>
      </c>
      <c r="I701" s="17">
        <v>90</v>
      </c>
      <c r="J701" s="17">
        <f>+Tabla1321124[[#This Row],[CANTIDAD TOTAL]]*Tabla1321124[[#This Row],[PRECIO UNITARIO ESTIMADO]]</f>
        <v>10800</v>
      </c>
      <c r="K701" s="17"/>
      <c r="L701" s="16" t="s">
        <v>18</v>
      </c>
      <c r="M701" s="16" t="s">
        <v>22</v>
      </c>
      <c r="N701" s="16"/>
      <c r="O701" s="243"/>
      <c r="P701" s="243"/>
      <c r="Q701" s="243"/>
      <c r="R701" s="243"/>
      <c r="S701" s="243"/>
      <c r="T701" s="243"/>
      <c r="U701" s="243"/>
      <c r="V701" s="243"/>
      <c r="W701" s="243"/>
      <c r="X701" s="243"/>
      <c r="Y701" s="243"/>
      <c r="Z701" s="243"/>
      <c r="AA701" s="243"/>
      <c r="AB701" s="243"/>
      <c r="AC701" s="243"/>
      <c r="AD701" s="243"/>
      <c r="AE701" s="243"/>
      <c r="AF701" s="243"/>
      <c r="AG701" s="243"/>
      <c r="AH701" s="243"/>
      <c r="AI701" s="243"/>
      <c r="AJ701" s="243"/>
      <c r="AK701" s="243"/>
      <c r="AL701" s="243"/>
      <c r="AM701" s="243"/>
      <c r="AN701" s="243"/>
      <c r="AO701" s="243"/>
      <c r="AP701" s="243"/>
      <c r="AQ701" s="243"/>
      <c r="AR701" s="243"/>
      <c r="AS701" s="243"/>
      <c r="AT701" s="243"/>
      <c r="AU701" s="243"/>
      <c r="AV701" s="243"/>
      <c r="AW701" s="243"/>
      <c r="AX701" s="243"/>
      <c r="AY701" s="243"/>
      <c r="AZ701" s="243"/>
      <c r="BA701" s="243"/>
      <c r="BB701" s="243"/>
      <c r="BC701" s="243"/>
      <c r="BD701" s="243"/>
      <c r="BE701" s="243"/>
      <c r="BF701" s="243"/>
      <c r="BG701" s="243"/>
      <c r="BH701" s="243"/>
      <c r="BI701" s="243"/>
      <c r="BJ701" s="243"/>
      <c r="BK701" s="243"/>
      <c r="BL701" s="243"/>
      <c r="BM701" s="243"/>
      <c r="BN701" s="243"/>
      <c r="BO701" s="243"/>
      <c r="BP701" s="243"/>
      <c r="BQ701" s="243"/>
      <c r="BR701" s="243"/>
      <c r="BS701" s="243"/>
    </row>
    <row r="702" spans="1:71" s="12" customFormat="1" ht="41.25" customHeight="1">
      <c r="A702" s="178" t="s">
        <v>80</v>
      </c>
      <c r="B702" s="178" t="str">
        <f ca="1">+UPPER(Tabla1321124[[#This Row],[DESCRIPCIÓN DE LA COMPRA O CONTRATACIÓN]])</f>
        <v>TEE PVC PRESION Ø4" X 4"</v>
      </c>
      <c r="C702" s="39" t="s">
        <v>17</v>
      </c>
      <c r="D702" s="352">
        <f>10+10</f>
        <v>20</v>
      </c>
      <c r="E702" s="352">
        <f>10+10</f>
        <v>20</v>
      </c>
      <c r="F702" s="352">
        <f>10+10</f>
        <v>20</v>
      </c>
      <c r="G702" s="352">
        <f>10+10</f>
        <v>20</v>
      </c>
      <c r="H702" s="240">
        <f>SUM(Tabla1321124[[#This Row],[PRIMER TRIMESTRE]:[CUARTO TRIMESTRE]])</f>
        <v>80</v>
      </c>
      <c r="I702" s="17">
        <v>1799.03</v>
      </c>
      <c r="J702" s="17">
        <f>+Tabla1321124[[#This Row],[CANTIDAD TOTAL]]*Tabla1321124[[#This Row],[PRECIO UNITARIO ESTIMADO]]</f>
        <v>143922.4</v>
      </c>
      <c r="K702" s="17"/>
      <c r="L702" s="16" t="s">
        <v>18</v>
      </c>
      <c r="M702" s="16" t="s">
        <v>22</v>
      </c>
      <c r="N702" s="16"/>
      <c r="O702" s="243"/>
      <c r="P702" s="243"/>
      <c r="Q702" s="243"/>
      <c r="R702" s="243"/>
      <c r="S702" s="243"/>
      <c r="T702" s="243"/>
      <c r="U702" s="243"/>
      <c r="V702" s="243"/>
      <c r="W702" s="243"/>
      <c r="X702" s="243"/>
      <c r="Y702" s="243"/>
      <c r="Z702" s="243"/>
      <c r="AA702" s="243"/>
      <c r="AB702" s="243"/>
      <c r="AC702" s="243"/>
      <c r="AD702" s="243"/>
      <c r="AE702" s="243"/>
      <c r="AF702" s="243"/>
      <c r="AG702" s="243"/>
      <c r="AH702" s="243"/>
      <c r="AI702" s="243"/>
      <c r="AJ702" s="243"/>
      <c r="AK702" s="243"/>
      <c r="AL702" s="243"/>
      <c r="AM702" s="243"/>
      <c r="AN702" s="243"/>
      <c r="AO702" s="243"/>
      <c r="AP702" s="243"/>
      <c r="AQ702" s="243"/>
      <c r="AR702" s="243"/>
      <c r="AS702" s="243"/>
      <c r="AT702" s="243"/>
      <c r="AU702" s="243"/>
      <c r="AV702" s="243"/>
      <c r="AW702" s="243"/>
      <c r="AX702" s="243"/>
      <c r="AY702" s="243"/>
      <c r="AZ702" s="243"/>
      <c r="BA702" s="243"/>
      <c r="BB702" s="243"/>
      <c r="BC702" s="243"/>
      <c r="BD702" s="243"/>
      <c r="BE702" s="243"/>
      <c r="BF702" s="243"/>
      <c r="BG702" s="243"/>
      <c r="BH702" s="243"/>
      <c r="BI702" s="243"/>
      <c r="BJ702" s="243"/>
      <c r="BK702" s="243"/>
      <c r="BL702" s="243"/>
      <c r="BM702" s="243"/>
      <c r="BN702" s="243"/>
      <c r="BO702" s="243"/>
      <c r="BP702" s="243"/>
      <c r="BQ702" s="243"/>
      <c r="BR702" s="243"/>
      <c r="BS702" s="243"/>
    </row>
    <row r="703" spans="1:71" s="12" customFormat="1" ht="41.25" customHeight="1">
      <c r="A703" s="178" t="s">
        <v>80</v>
      </c>
      <c r="B703" s="178" t="str">
        <f ca="1">+UPPER(Tabla1321124[[#This Row],[DESCRIPCIÓN DE LA COMPRA O CONTRATACIÓN]])</f>
        <v>TEE ACERO, E= 1/4" 2" X 2"</v>
      </c>
      <c r="C703" s="39" t="s">
        <v>17</v>
      </c>
      <c r="D703" s="352">
        <f>10+5</f>
        <v>15</v>
      </c>
      <c r="E703" s="352">
        <v>10</v>
      </c>
      <c r="F703" s="352">
        <f>10+5</f>
        <v>15</v>
      </c>
      <c r="G703" s="352">
        <v>10</v>
      </c>
      <c r="H703" s="240">
        <f>SUM(Tabla1321124[[#This Row],[PRIMER TRIMESTRE]:[CUARTO TRIMESTRE]])</f>
        <v>50</v>
      </c>
      <c r="I703" s="17">
        <v>3068</v>
      </c>
      <c r="J703" s="17">
        <f>+Tabla1321124[[#This Row],[CANTIDAD TOTAL]]*Tabla1321124[[#This Row],[PRECIO UNITARIO ESTIMADO]]</f>
        <v>153400</v>
      </c>
      <c r="K703" s="17"/>
      <c r="L703" s="16" t="s">
        <v>18</v>
      </c>
      <c r="M703" s="16" t="s">
        <v>22</v>
      </c>
      <c r="N703" s="16"/>
      <c r="O703" s="243"/>
      <c r="P703" s="243"/>
      <c r="Q703" s="243"/>
      <c r="R703" s="243"/>
      <c r="S703" s="243"/>
      <c r="T703" s="243"/>
      <c r="U703" s="243"/>
      <c r="V703" s="243"/>
      <c r="W703" s="243"/>
      <c r="X703" s="243"/>
      <c r="Y703" s="243"/>
      <c r="Z703" s="243"/>
      <c r="AA703" s="243"/>
      <c r="AB703" s="243"/>
      <c r="AC703" s="243"/>
      <c r="AD703" s="243"/>
      <c r="AE703" s="243"/>
      <c r="AF703" s="243"/>
      <c r="AG703" s="243"/>
      <c r="AH703" s="243"/>
      <c r="AI703" s="243"/>
      <c r="AJ703" s="243"/>
      <c r="AK703" s="243"/>
      <c r="AL703" s="243"/>
      <c r="AM703" s="243"/>
      <c r="AN703" s="243"/>
      <c r="AO703" s="243"/>
      <c r="AP703" s="243"/>
      <c r="AQ703" s="243"/>
      <c r="AR703" s="243"/>
      <c r="AS703" s="243"/>
      <c r="AT703" s="243"/>
      <c r="AU703" s="243"/>
      <c r="AV703" s="243"/>
      <c r="AW703" s="243"/>
      <c r="AX703" s="243"/>
      <c r="AY703" s="243"/>
      <c r="AZ703" s="243"/>
      <c r="BA703" s="243"/>
      <c r="BB703" s="243"/>
      <c r="BC703" s="243"/>
      <c r="BD703" s="243"/>
      <c r="BE703" s="243"/>
      <c r="BF703" s="243"/>
      <c r="BG703" s="243"/>
      <c r="BH703" s="243"/>
      <c r="BI703" s="243"/>
      <c r="BJ703" s="243"/>
      <c r="BK703" s="243"/>
      <c r="BL703" s="243"/>
      <c r="BM703" s="243"/>
      <c r="BN703" s="243"/>
      <c r="BO703" s="243"/>
      <c r="BP703" s="243"/>
      <c r="BQ703" s="243"/>
      <c r="BR703" s="243"/>
      <c r="BS703" s="243"/>
    </row>
    <row r="704" spans="1:71" s="12" customFormat="1" ht="41.25" customHeight="1">
      <c r="A704" s="178" t="s">
        <v>80</v>
      </c>
      <c r="B704" s="178" t="str">
        <f ca="1">+UPPER(Tabla1321124[[#This Row],[DESCRIPCIÓN DE LA COMPRA O CONTRATACIÓN]])</f>
        <v>TEE ACERO, E= 1/4" 3" X 3"</v>
      </c>
      <c r="C704" s="39" t="s">
        <v>17</v>
      </c>
      <c r="D704" s="352">
        <f>10+5</f>
        <v>15</v>
      </c>
      <c r="E704" s="352">
        <v>10</v>
      </c>
      <c r="F704" s="352">
        <f>10+5</f>
        <v>15</v>
      </c>
      <c r="G704" s="352">
        <v>10</v>
      </c>
      <c r="H704" s="240">
        <f>SUM(Tabla1321124[[#This Row],[PRIMER TRIMESTRE]:[CUARTO TRIMESTRE]])</f>
        <v>50</v>
      </c>
      <c r="I704" s="17">
        <v>4425</v>
      </c>
      <c r="J704" s="17">
        <f>+Tabla1321124[[#This Row],[CANTIDAD TOTAL]]*Tabla1321124[[#This Row],[PRECIO UNITARIO ESTIMADO]]</f>
        <v>221250</v>
      </c>
      <c r="K704" s="17"/>
      <c r="L704" s="16" t="s">
        <v>18</v>
      </c>
      <c r="M704" s="16" t="s">
        <v>22</v>
      </c>
      <c r="N704" s="16"/>
      <c r="O704" s="243"/>
      <c r="P704" s="243"/>
      <c r="Q704" s="243"/>
      <c r="R704" s="243"/>
      <c r="S704" s="243"/>
      <c r="T704" s="243"/>
      <c r="U704" s="243"/>
      <c r="V704" s="243"/>
      <c r="W704" s="243"/>
      <c r="X704" s="243"/>
      <c r="Y704" s="243"/>
      <c r="Z704" s="243"/>
      <c r="AA704" s="243"/>
      <c r="AB704" s="243"/>
      <c r="AC704" s="243"/>
      <c r="AD704" s="243"/>
      <c r="AE704" s="243"/>
      <c r="AF704" s="243"/>
      <c r="AG704" s="243"/>
      <c r="AH704" s="243"/>
      <c r="AI704" s="243"/>
      <c r="AJ704" s="243"/>
      <c r="AK704" s="243"/>
      <c r="AL704" s="243"/>
      <c r="AM704" s="243"/>
      <c r="AN704" s="243"/>
      <c r="AO704" s="243"/>
      <c r="AP704" s="243"/>
      <c r="AQ704" s="243"/>
      <c r="AR704" s="243"/>
      <c r="AS704" s="243"/>
      <c r="AT704" s="243"/>
      <c r="AU704" s="243"/>
      <c r="AV704" s="243"/>
      <c r="AW704" s="243"/>
      <c r="AX704" s="243"/>
      <c r="AY704" s="243"/>
      <c r="AZ704" s="243"/>
      <c r="BA704" s="243"/>
      <c r="BB704" s="243"/>
      <c r="BC704" s="243"/>
      <c r="BD704" s="243"/>
      <c r="BE704" s="243"/>
      <c r="BF704" s="243"/>
      <c r="BG704" s="243"/>
      <c r="BH704" s="243"/>
      <c r="BI704" s="243"/>
      <c r="BJ704" s="243"/>
      <c r="BK704" s="243"/>
      <c r="BL704" s="243"/>
      <c r="BM704" s="243"/>
      <c r="BN704" s="243"/>
      <c r="BO704" s="243"/>
      <c r="BP704" s="243"/>
      <c r="BQ704" s="243"/>
      <c r="BR704" s="243"/>
      <c r="BS704" s="243"/>
    </row>
    <row r="705" spans="1:71" s="12" customFormat="1" ht="41.25" customHeight="1">
      <c r="A705" s="178" t="s">
        <v>80</v>
      </c>
      <c r="B705" s="178" t="str">
        <f ca="1">+UPPER(Tabla1321124[[#This Row],[DESCRIPCIÓN DE LA COMPRA O CONTRATACIÓN]])</f>
        <v>TEE ACERO, E= 1/4" 4" X 4"</v>
      </c>
      <c r="C705" s="39" t="s">
        <v>17</v>
      </c>
      <c r="D705" s="352">
        <f>10+5</f>
        <v>15</v>
      </c>
      <c r="E705" s="352">
        <v>10</v>
      </c>
      <c r="F705" s="352">
        <f>10+5</f>
        <v>15</v>
      </c>
      <c r="G705" s="352">
        <v>10</v>
      </c>
      <c r="H705" s="240">
        <f>SUM(Tabla1321124[[#This Row],[PRIMER TRIMESTRE]:[CUARTO TRIMESTRE]])</f>
        <v>50</v>
      </c>
      <c r="I705" s="17">
        <v>5074</v>
      </c>
      <c r="J705" s="17">
        <f>+Tabla1321124[[#This Row],[CANTIDAD TOTAL]]*Tabla1321124[[#This Row],[PRECIO UNITARIO ESTIMADO]]</f>
        <v>253700</v>
      </c>
      <c r="K705" s="17"/>
      <c r="L705" s="16" t="s">
        <v>18</v>
      </c>
      <c r="M705" s="16" t="s">
        <v>22</v>
      </c>
      <c r="N705" s="16"/>
      <c r="O705" s="243"/>
      <c r="P705" s="243"/>
      <c r="Q705" s="243"/>
      <c r="R705" s="243"/>
      <c r="S705" s="243"/>
      <c r="T705" s="243"/>
      <c r="U705" s="243"/>
      <c r="V705" s="243"/>
      <c r="W705" s="243"/>
      <c r="X705" s="243"/>
      <c r="Y705" s="243"/>
      <c r="Z705" s="243"/>
      <c r="AA705" s="243"/>
      <c r="AB705" s="243"/>
      <c r="AC705" s="243"/>
      <c r="AD705" s="243"/>
      <c r="AE705" s="243"/>
      <c r="AF705" s="243"/>
      <c r="AG705" s="243"/>
      <c r="AH705" s="243"/>
      <c r="AI705" s="243"/>
      <c r="AJ705" s="243"/>
      <c r="AK705" s="243"/>
      <c r="AL705" s="243"/>
      <c r="AM705" s="243"/>
      <c r="AN705" s="243"/>
      <c r="AO705" s="243"/>
      <c r="AP705" s="243"/>
      <c r="AQ705" s="243"/>
      <c r="AR705" s="243"/>
      <c r="AS705" s="243"/>
      <c r="AT705" s="243"/>
      <c r="AU705" s="243"/>
      <c r="AV705" s="243"/>
      <c r="AW705" s="243"/>
      <c r="AX705" s="243"/>
      <c r="AY705" s="243"/>
      <c r="AZ705" s="243"/>
      <c r="BA705" s="243"/>
      <c r="BB705" s="243"/>
      <c r="BC705" s="243"/>
      <c r="BD705" s="243"/>
      <c r="BE705" s="243"/>
      <c r="BF705" s="243"/>
      <c r="BG705" s="243"/>
      <c r="BH705" s="243"/>
      <c r="BI705" s="243"/>
      <c r="BJ705" s="243"/>
      <c r="BK705" s="243"/>
      <c r="BL705" s="243"/>
      <c r="BM705" s="243"/>
      <c r="BN705" s="243"/>
      <c r="BO705" s="243"/>
      <c r="BP705" s="243"/>
      <c r="BQ705" s="243"/>
      <c r="BR705" s="243"/>
      <c r="BS705" s="243"/>
    </row>
    <row r="706" spans="1:71" s="12" customFormat="1" ht="41.25" customHeight="1">
      <c r="A706" s="178" t="s">
        <v>80</v>
      </c>
      <c r="B706" s="178" t="str">
        <f ca="1">+UPPER(Tabla1321124[[#This Row],[DESCRIPCIÓN DE LA COMPRA O CONTRATACIÓN]])</f>
        <v>TEE ACERO, E= 1/4" 6" X 6"</v>
      </c>
      <c r="C706" s="39" t="s">
        <v>17</v>
      </c>
      <c r="D706" s="352">
        <f>10+5</f>
        <v>15</v>
      </c>
      <c r="E706" s="352">
        <v>10</v>
      </c>
      <c r="F706" s="352">
        <f>10+5</f>
        <v>15</v>
      </c>
      <c r="G706" s="352">
        <v>10</v>
      </c>
      <c r="H706" s="240">
        <f>SUM(Tabla1321124[[#This Row],[PRIMER TRIMESTRE]:[CUARTO TRIMESTRE]])</f>
        <v>50</v>
      </c>
      <c r="I706" s="17">
        <v>6431</v>
      </c>
      <c r="J706" s="17">
        <f>+Tabla1321124[[#This Row],[CANTIDAD TOTAL]]*Tabla1321124[[#This Row],[PRECIO UNITARIO ESTIMADO]]</f>
        <v>321550</v>
      </c>
      <c r="K706" s="17"/>
      <c r="L706" s="16" t="s">
        <v>18</v>
      </c>
      <c r="M706" s="16" t="s">
        <v>22</v>
      </c>
      <c r="N706" s="16"/>
      <c r="O706" s="243"/>
      <c r="P706" s="243"/>
      <c r="Q706" s="243"/>
      <c r="R706" s="243"/>
      <c r="S706" s="243"/>
      <c r="T706" s="243"/>
      <c r="U706" s="243"/>
      <c r="V706" s="243"/>
      <c r="W706" s="243"/>
      <c r="X706" s="243"/>
      <c r="Y706" s="243"/>
      <c r="Z706" s="243"/>
      <c r="AA706" s="243"/>
      <c r="AB706" s="243"/>
      <c r="AC706" s="243"/>
      <c r="AD706" s="243"/>
      <c r="AE706" s="243"/>
      <c r="AF706" s="243"/>
      <c r="AG706" s="243"/>
      <c r="AH706" s="243"/>
      <c r="AI706" s="243"/>
      <c r="AJ706" s="243"/>
      <c r="AK706" s="243"/>
      <c r="AL706" s="243"/>
      <c r="AM706" s="243"/>
      <c r="AN706" s="243"/>
      <c r="AO706" s="243"/>
      <c r="AP706" s="243"/>
      <c r="AQ706" s="243"/>
      <c r="AR706" s="243"/>
      <c r="AS706" s="243"/>
      <c r="AT706" s="243"/>
      <c r="AU706" s="243"/>
      <c r="AV706" s="243"/>
      <c r="AW706" s="243"/>
      <c r="AX706" s="243"/>
      <c r="AY706" s="243"/>
      <c r="AZ706" s="243"/>
      <c r="BA706" s="243"/>
      <c r="BB706" s="243"/>
      <c r="BC706" s="243"/>
      <c r="BD706" s="243"/>
      <c r="BE706" s="243"/>
      <c r="BF706" s="243"/>
      <c r="BG706" s="243"/>
      <c r="BH706" s="243"/>
      <c r="BI706" s="243"/>
      <c r="BJ706" s="243"/>
      <c r="BK706" s="243"/>
      <c r="BL706" s="243"/>
      <c r="BM706" s="243"/>
      <c r="BN706" s="243"/>
      <c r="BO706" s="243"/>
      <c r="BP706" s="243"/>
      <c r="BQ706" s="243"/>
      <c r="BR706" s="243"/>
      <c r="BS706" s="243"/>
    </row>
    <row r="707" spans="1:71" s="12" customFormat="1" ht="41.25" customHeight="1">
      <c r="A707" s="178" t="s">
        <v>80</v>
      </c>
      <c r="B707" s="178" t="str">
        <f ca="1">+UPPER(Tabla1321124[[#This Row],[DESCRIPCIÓN DE LA COMPRA O CONTRATACIÓN]])</f>
        <v>TEE ACERO, E= 3/8" 8" X 8"</v>
      </c>
      <c r="C707" s="39" t="s">
        <v>17</v>
      </c>
      <c r="D707" s="352">
        <f>10+5</f>
        <v>15</v>
      </c>
      <c r="E707" s="352">
        <v>10</v>
      </c>
      <c r="F707" s="352">
        <f>10+5</f>
        <v>15</v>
      </c>
      <c r="G707" s="352">
        <v>10</v>
      </c>
      <c r="H707" s="240">
        <f>SUM(Tabla1321124[[#This Row],[PRIMER TRIMESTRE]:[CUARTO TRIMESTRE]])</f>
        <v>50</v>
      </c>
      <c r="I707" s="17">
        <v>7943</v>
      </c>
      <c r="J707" s="17">
        <f>+Tabla1321124[[#This Row],[CANTIDAD TOTAL]]*Tabla1321124[[#This Row],[PRECIO UNITARIO ESTIMADO]]</f>
        <v>397150</v>
      </c>
      <c r="K707" s="17"/>
      <c r="L707" s="16" t="s">
        <v>18</v>
      </c>
      <c r="M707" s="16" t="s">
        <v>22</v>
      </c>
      <c r="N707" s="16"/>
      <c r="O707" s="243"/>
      <c r="P707" s="243"/>
      <c r="Q707" s="243"/>
      <c r="R707" s="243"/>
      <c r="S707" s="243"/>
      <c r="T707" s="243"/>
      <c r="U707" s="243"/>
      <c r="V707" s="243"/>
      <c r="W707" s="243"/>
      <c r="X707" s="243"/>
      <c r="Y707" s="243"/>
      <c r="Z707" s="243"/>
      <c r="AA707" s="243"/>
      <c r="AB707" s="243"/>
      <c r="AC707" s="243"/>
      <c r="AD707" s="243"/>
      <c r="AE707" s="243"/>
      <c r="AF707" s="243"/>
      <c r="AG707" s="243"/>
      <c r="AH707" s="243"/>
      <c r="AI707" s="243"/>
      <c r="AJ707" s="243"/>
      <c r="AK707" s="243"/>
      <c r="AL707" s="243"/>
      <c r="AM707" s="243"/>
      <c r="AN707" s="243"/>
      <c r="AO707" s="243"/>
      <c r="AP707" s="243"/>
      <c r="AQ707" s="243"/>
      <c r="AR707" s="243"/>
      <c r="AS707" s="243"/>
      <c r="AT707" s="243"/>
      <c r="AU707" s="243"/>
      <c r="AV707" s="243"/>
      <c r="AW707" s="243"/>
      <c r="AX707" s="243"/>
      <c r="AY707" s="243"/>
      <c r="AZ707" s="243"/>
      <c r="BA707" s="243"/>
      <c r="BB707" s="243"/>
      <c r="BC707" s="243"/>
      <c r="BD707" s="243"/>
      <c r="BE707" s="243"/>
      <c r="BF707" s="243"/>
      <c r="BG707" s="243"/>
      <c r="BH707" s="243"/>
      <c r="BI707" s="243"/>
      <c r="BJ707" s="243"/>
      <c r="BK707" s="243"/>
      <c r="BL707" s="243"/>
      <c r="BM707" s="243"/>
      <c r="BN707" s="243"/>
      <c r="BO707" s="243"/>
      <c r="BP707" s="243"/>
      <c r="BQ707" s="243"/>
      <c r="BR707" s="243"/>
      <c r="BS707" s="243"/>
    </row>
    <row r="708" spans="1:71" s="12" customFormat="1" ht="41.25" customHeight="1">
      <c r="A708" s="178" t="s">
        <v>80</v>
      </c>
      <c r="B708" s="178" t="str">
        <f ca="1">+UPPER(Tabla1321124[[#This Row],[DESCRIPCIÓN DE LA COMPRA O CONTRATACIÓN]])</f>
        <v>TEE ACERO, E= 3/8" 10" X 10"</v>
      </c>
      <c r="C708" s="39" t="s">
        <v>17</v>
      </c>
      <c r="D708" s="352">
        <v>10</v>
      </c>
      <c r="E708" s="352">
        <v>10</v>
      </c>
      <c r="F708" s="352">
        <v>10</v>
      </c>
      <c r="G708" s="352">
        <v>10</v>
      </c>
      <c r="H708" s="240">
        <f>SUM(Tabla1321124[[#This Row],[PRIMER TRIMESTRE]:[CUARTO TRIMESTRE]])</f>
        <v>40</v>
      </c>
      <c r="I708" s="17">
        <v>9145</v>
      </c>
      <c r="J708" s="17">
        <f>+Tabla1321124[[#This Row],[CANTIDAD TOTAL]]*Tabla1321124[[#This Row],[PRECIO UNITARIO ESTIMADO]]</f>
        <v>365800</v>
      </c>
      <c r="K708" s="17"/>
      <c r="L708" s="16" t="s">
        <v>18</v>
      </c>
      <c r="M708" s="16" t="s">
        <v>22</v>
      </c>
      <c r="N708" s="16"/>
      <c r="O708" s="243"/>
      <c r="P708" s="243"/>
      <c r="Q708" s="243"/>
      <c r="R708" s="243"/>
      <c r="S708" s="243"/>
      <c r="T708" s="243"/>
      <c r="U708" s="243"/>
      <c r="V708" s="243"/>
      <c r="W708" s="243"/>
      <c r="X708" s="243"/>
      <c r="Y708" s="243"/>
      <c r="Z708" s="243"/>
      <c r="AA708" s="243"/>
      <c r="AB708" s="243"/>
      <c r="AC708" s="243"/>
      <c r="AD708" s="243"/>
      <c r="AE708" s="243"/>
      <c r="AF708" s="243"/>
      <c r="AG708" s="243"/>
      <c r="AH708" s="243"/>
      <c r="AI708" s="243"/>
      <c r="AJ708" s="243"/>
      <c r="AK708" s="243"/>
      <c r="AL708" s="243"/>
      <c r="AM708" s="243"/>
      <c r="AN708" s="243"/>
      <c r="AO708" s="243"/>
      <c r="AP708" s="243"/>
      <c r="AQ708" s="243"/>
      <c r="AR708" s="243"/>
      <c r="AS708" s="243"/>
      <c r="AT708" s="243"/>
      <c r="AU708" s="243"/>
      <c r="AV708" s="243"/>
      <c r="AW708" s="243"/>
      <c r="AX708" s="243"/>
      <c r="AY708" s="243"/>
      <c r="AZ708" s="243"/>
      <c r="BA708" s="243"/>
      <c r="BB708" s="243"/>
      <c r="BC708" s="243"/>
      <c r="BD708" s="243"/>
      <c r="BE708" s="243"/>
      <c r="BF708" s="243"/>
      <c r="BG708" s="243"/>
      <c r="BH708" s="243"/>
      <c r="BI708" s="243"/>
      <c r="BJ708" s="243"/>
      <c r="BK708" s="243"/>
      <c r="BL708" s="243"/>
      <c r="BM708" s="243"/>
      <c r="BN708" s="243"/>
      <c r="BO708" s="243"/>
      <c r="BP708" s="243"/>
      <c r="BQ708" s="243"/>
      <c r="BR708" s="243"/>
      <c r="BS708" s="243"/>
    </row>
    <row r="709" spans="1:71" s="26" customFormat="1" ht="41.25" customHeight="1">
      <c r="A709" s="178" t="s">
        <v>80</v>
      </c>
      <c r="B709" s="178" t="str">
        <f ca="1">+UPPER(Tabla1321124[[#This Row],[DESCRIPCIÓN DE LA COMPRA O CONTRATACIÓN]])</f>
        <v>TEE ACERO, E= 3/8" 12" X 12"</v>
      </c>
      <c r="C709" s="39" t="s">
        <v>17</v>
      </c>
      <c r="D709" s="352">
        <f>10+5</f>
        <v>15</v>
      </c>
      <c r="E709" s="352">
        <v>10</v>
      </c>
      <c r="F709" s="352">
        <v>10</v>
      </c>
      <c r="G709" s="352">
        <v>10</v>
      </c>
      <c r="H709" s="240">
        <f>SUM(Tabla1321124[[#This Row],[PRIMER TRIMESTRE]:[CUARTO TRIMESTRE]])</f>
        <v>45</v>
      </c>
      <c r="I709" s="17">
        <v>10502</v>
      </c>
      <c r="J709" s="17">
        <f>+Tabla1321124[[#This Row],[CANTIDAD TOTAL]]*Tabla1321124[[#This Row],[PRECIO UNITARIO ESTIMADO]]</f>
        <v>472590</v>
      </c>
      <c r="K709" s="17"/>
      <c r="L709" s="16" t="s">
        <v>18</v>
      </c>
      <c r="M709" s="16" t="s">
        <v>22</v>
      </c>
      <c r="N709" s="16"/>
      <c r="O709" s="243"/>
      <c r="P709" s="243"/>
      <c r="Q709" s="243"/>
      <c r="R709" s="243"/>
      <c r="S709" s="243"/>
      <c r="T709" s="243"/>
      <c r="U709" s="243"/>
      <c r="V709" s="243"/>
      <c r="W709" s="243"/>
      <c r="X709" s="243"/>
      <c r="Y709" s="243"/>
      <c r="Z709" s="243"/>
      <c r="AA709" s="243"/>
      <c r="AB709" s="243"/>
      <c r="AC709" s="243"/>
      <c r="AD709" s="243"/>
      <c r="AE709" s="243"/>
      <c r="AF709" s="243"/>
      <c r="AG709" s="243"/>
      <c r="AH709" s="243"/>
      <c r="AI709" s="243"/>
      <c r="AJ709" s="243"/>
      <c r="AK709" s="243"/>
      <c r="AL709" s="243"/>
      <c r="AM709" s="243"/>
      <c r="AN709" s="243"/>
      <c r="AO709" s="243"/>
      <c r="AP709" s="243"/>
      <c r="AQ709" s="243"/>
      <c r="AR709" s="243"/>
      <c r="AS709" s="243"/>
      <c r="AT709" s="243"/>
      <c r="AU709" s="243"/>
      <c r="AV709" s="243"/>
      <c r="AW709" s="243"/>
      <c r="AX709" s="243"/>
      <c r="AY709" s="243"/>
      <c r="AZ709" s="243"/>
      <c r="BA709" s="243"/>
      <c r="BB709" s="243"/>
      <c r="BC709" s="243"/>
      <c r="BD709" s="243"/>
      <c r="BE709" s="243"/>
      <c r="BF709" s="243"/>
      <c r="BG709" s="243"/>
      <c r="BH709" s="243"/>
      <c r="BI709" s="243"/>
      <c r="BJ709" s="243"/>
      <c r="BK709" s="243"/>
      <c r="BL709" s="243"/>
      <c r="BM709" s="243"/>
      <c r="BN709" s="243"/>
      <c r="BO709" s="243"/>
      <c r="BP709" s="243"/>
      <c r="BQ709" s="243"/>
      <c r="BR709" s="243"/>
      <c r="BS709" s="243"/>
    </row>
    <row r="710" spans="1:71" s="12" customFormat="1" ht="41.25" customHeight="1">
      <c r="A710" s="178" t="s">
        <v>80</v>
      </c>
      <c r="B710" s="178" t="str">
        <f ca="1">+UPPER(Tabla1321124[[#This Row],[DESCRIPCIÓN DE LA COMPRA O CONTRATACIÓN]])</f>
        <v>TEE ACERO, E= 3/8" 16" X 16"</v>
      </c>
      <c r="C710" s="39" t="s">
        <v>17</v>
      </c>
      <c r="D710" s="352">
        <f>10+1</f>
        <v>11</v>
      </c>
      <c r="E710" s="352">
        <v>10</v>
      </c>
      <c r="F710" s="352">
        <f>10+1</f>
        <v>11</v>
      </c>
      <c r="G710" s="352">
        <v>10</v>
      </c>
      <c r="H710" s="240">
        <f>SUM(Tabla1321124[[#This Row],[PRIMER TRIMESTRE]:[CUARTO TRIMESTRE]])</f>
        <v>42</v>
      </c>
      <c r="I710" s="17">
        <v>11564</v>
      </c>
      <c r="J710" s="17">
        <f>+Tabla1321124[[#This Row],[CANTIDAD TOTAL]]*Tabla1321124[[#This Row],[PRECIO UNITARIO ESTIMADO]]</f>
        <v>485688</v>
      </c>
      <c r="K710" s="17"/>
      <c r="L710" s="16" t="s">
        <v>18</v>
      </c>
      <c r="M710" s="16" t="s">
        <v>22</v>
      </c>
      <c r="N710" s="16"/>
      <c r="O710" s="243"/>
      <c r="P710" s="243"/>
      <c r="Q710" s="243"/>
      <c r="R710" s="243"/>
      <c r="S710" s="243"/>
      <c r="T710" s="243"/>
      <c r="U710" s="243"/>
      <c r="V710" s="243"/>
      <c r="W710" s="243"/>
      <c r="X710" s="243"/>
      <c r="Y710" s="243"/>
      <c r="Z710" s="243"/>
      <c r="AA710" s="243"/>
      <c r="AB710" s="243"/>
      <c r="AC710" s="243"/>
      <c r="AD710" s="243"/>
      <c r="AE710" s="243"/>
      <c r="AF710" s="243"/>
      <c r="AG710" s="243"/>
      <c r="AH710" s="243"/>
      <c r="AI710" s="243"/>
      <c r="AJ710" s="243"/>
      <c r="AK710" s="243"/>
      <c r="AL710" s="243"/>
      <c r="AM710" s="243"/>
      <c r="AN710" s="243"/>
      <c r="AO710" s="243"/>
      <c r="AP710" s="243"/>
      <c r="AQ710" s="243"/>
      <c r="AR710" s="243"/>
      <c r="AS710" s="243"/>
      <c r="AT710" s="243"/>
      <c r="AU710" s="243"/>
      <c r="AV710" s="243"/>
      <c r="AW710" s="243"/>
      <c r="AX710" s="243"/>
      <c r="AY710" s="243"/>
      <c r="AZ710" s="243"/>
      <c r="BA710" s="243"/>
      <c r="BB710" s="243"/>
      <c r="BC710" s="243"/>
      <c r="BD710" s="243"/>
      <c r="BE710" s="243"/>
      <c r="BF710" s="243"/>
      <c r="BG710" s="243"/>
      <c r="BH710" s="243"/>
      <c r="BI710" s="243"/>
      <c r="BJ710" s="243"/>
      <c r="BK710" s="243"/>
      <c r="BL710" s="243"/>
      <c r="BM710" s="243"/>
      <c r="BN710" s="243"/>
      <c r="BO710" s="243"/>
      <c r="BP710" s="243"/>
      <c r="BQ710" s="243"/>
      <c r="BR710" s="243"/>
      <c r="BS710" s="243"/>
    </row>
    <row r="711" spans="1:71" s="12" customFormat="1" ht="41.25" customHeight="1">
      <c r="A711" s="178" t="s">
        <v>80</v>
      </c>
      <c r="B711" s="178" t="str">
        <f ca="1">+UPPER(Tabla1321124[[#This Row],[DESCRIPCIÓN DE LA COMPRA O CONTRATACIÓN]])</f>
        <v>TEE ACERO, E= 3/8" 20" X 20"</v>
      </c>
      <c r="C711" s="39" t="s">
        <v>17</v>
      </c>
      <c r="D711" s="352">
        <v>10</v>
      </c>
      <c r="E711" s="352">
        <v>10</v>
      </c>
      <c r="F711" s="352">
        <v>10</v>
      </c>
      <c r="G711" s="352">
        <v>10</v>
      </c>
      <c r="H711" s="240">
        <f>SUM(Tabla1321124[[#This Row],[PRIMER TRIMESTRE]:[CUARTO TRIMESTRE]])</f>
        <v>40</v>
      </c>
      <c r="I711" s="17">
        <v>13747</v>
      </c>
      <c r="J711" s="17">
        <f>+Tabla1321124[[#This Row],[CANTIDAD TOTAL]]*Tabla1321124[[#This Row],[PRECIO UNITARIO ESTIMADO]]</f>
        <v>549880</v>
      </c>
      <c r="K711" s="17"/>
      <c r="L711" s="16" t="s">
        <v>18</v>
      </c>
      <c r="M711" s="16" t="s">
        <v>22</v>
      </c>
      <c r="N711" s="16"/>
      <c r="O711" s="243"/>
      <c r="P711" s="243"/>
      <c r="Q711" s="243"/>
      <c r="R711" s="243"/>
      <c r="S711" s="243"/>
      <c r="T711" s="243"/>
      <c r="U711" s="243"/>
      <c r="V711" s="243"/>
      <c r="W711" s="243"/>
      <c r="X711" s="243"/>
      <c r="Y711" s="243"/>
      <c r="Z711" s="243"/>
      <c r="AA711" s="243"/>
      <c r="AB711" s="243"/>
      <c r="AC711" s="243"/>
      <c r="AD711" s="243"/>
      <c r="AE711" s="243"/>
      <c r="AF711" s="243"/>
      <c r="AG711" s="243"/>
      <c r="AH711" s="243"/>
      <c r="AI711" s="243"/>
      <c r="AJ711" s="243"/>
      <c r="AK711" s="243"/>
      <c r="AL711" s="243"/>
      <c r="AM711" s="243"/>
      <c r="AN711" s="243"/>
      <c r="AO711" s="243"/>
      <c r="AP711" s="243"/>
      <c r="AQ711" s="243"/>
      <c r="AR711" s="243"/>
      <c r="AS711" s="243"/>
      <c r="AT711" s="243"/>
      <c r="AU711" s="243"/>
      <c r="AV711" s="243"/>
      <c r="AW711" s="243"/>
      <c r="AX711" s="243"/>
      <c r="AY711" s="243"/>
      <c r="AZ711" s="243"/>
      <c r="BA711" s="243"/>
      <c r="BB711" s="243"/>
      <c r="BC711" s="243"/>
      <c r="BD711" s="243"/>
      <c r="BE711" s="243"/>
      <c r="BF711" s="243"/>
      <c r="BG711" s="243"/>
      <c r="BH711" s="243"/>
      <c r="BI711" s="243"/>
      <c r="BJ711" s="243"/>
      <c r="BK711" s="243"/>
      <c r="BL711" s="243"/>
      <c r="BM711" s="243"/>
      <c r="BN711" s="243"/>
      <c r="BO711" s="243"/>
      <c r="BP711" s="243"/>
      <c r="BQ711" s="243"/>
      <c r="BR711" s="243"/>
      <c r="BS711" s="243"/>
    </row>
    <row r="712" spans="1:71" s="12" customFormat="1" ht="41.25" customHeight="1">
      <c r="A712" s="178" t="s">
        <v>80</v>
      </c>
      <c r="B712" s="178" t="str">
        <f ca="1">+UPPER(Tabla1321124[[#This Row],[DESCRIPCIÓN DE LA COMPRA O CONTRATACIÓN]])</f>
        <v>TERMINAL MACHO 1'' NPT 16U-116</v>
      </c>
      <c r="C712" s="39" t="s">
        <v>17</v>
      </c>
      <c r="D712" s="236">
        <v>5</v>
      </c>
      <c r="E712" s="236"/>
      <c r="F712" s="236"/>
      <c r="G712" s="236"/>
      <c r="H712" s="240">
        <f>SUM(Tabla1321124[[#This Row],[PRIMER TRIMESTRE]:[CUARTO TRIMESTRE]])</f>
        <v>5</v>
      </c>
      <c r="I712" s="17">
        <v>700</v>
      </c>
      <c r="J712" s="17">
        <f>+Tabla1321124[[#This Row],[CANTIDAD TOTAL]]*Tabla1321124[[#This Row],[PRECIO UNITARIO ESTIMADO]]</f>
        <v>3500</v>
      </c>
      <c r="K712" s="17"/>
      <c r="L712" s="16" t="s">
        <v>18</v>
      </c>
      <c r="M712" s="16" t="s">
        <v>22</v>
      </c>
      <c r="N712" s="16"/>
      <c r="O712" s="243"/>
      <c r="P712" s="243"/>
      <c r="Q712" s="243"/>
      <c r="R712" s="243"/>
      <c r="S712" s="243"/>
      <c r="T712" s="243"/>
      <c r="U712" s="243"/>
      <c r="V712" s="243"/>
      <c r="W712" s="243"/>
      <c r="X712" s="243"/>
      <c r="Y712" s="243"/>
      <c r="Z712" s="243"/>
      <c r="AA712" s="243"/>
      <c r="AB712" s="243"/>
      <c r="AC712" s="243"/>
      <c r="AD712" s="243"/>
      <c r="AE712" s="243"/>
      <c r="AF712" s="243"/>
      <c r="AG712" s="243"/>
      <c r="AH712" s="243"/>
      <c r="AI712" s="243"/>
      <c r="AJ712" s="243"/>
      <c r="AK712" s="243"/>
      <c r="AL712" s="243"/>
      <c r="AM712" s="243"/>
      <c r="AN712" s="243"/>
      <c r="AO712" s="243"/>
      <c r="AP712" s="243"/>
      <c r="AQ712" s="243"/>
      <c r="AR712" s="243"/>
      <c r="AS712" s="243"/>
      <c r="AT712" s="243"/>
      <c r="AU712" s="243"/>
      <c r="AV712" s="243"/>
      <c r="AW712" s="243"/>
      <c r="AX712" s="243"/>
      <c r="AY712" s="243"/>
      <c r="AZ712" s="243"/>
      <c r="BA712" s="243"/>
      <c r="BB712" s="243"/>
      <c r="BC712" s="243"/>
      <c r="BD712" s="243"/>
      <c r="BE712" s="243"/>
      <c r="BF712" s="243"/>
      <c r="BG712" s="243"/>
      <c r="BH712" s="243"/>
      <c r="BI712" s="243"/>
      <c r="BJ712" s="243"/>
      <c r="BK712" s="243"/>
      <c r="BL712" s="243"/>
      <c r="BM712" s="243"/>
      <c r="BN712" s="243"/>
      <c r="BO712" s="243"/>
      <c r="BP712" s="243"/>
      <c r="BQ712" s="243"/>
      <c r="BR712" s="243"/>
      <c r="BS712" s="243"/>
    </row>
    <row r="713" spans="1:71" s="12" customFormat="1" ht="41.25" customHeight="1">
      <c r="A713" s="178" t="s">
        <v>80</v>
      </c>
      <c r="B713" s="178" t="str">
        <f ca="1">+UPPER(Tabla1321124[[#This Row],[DESCRIPCIÓN DE LA COMPRA O CONTRATACIÓN]])</f>
        <v>TORNILLOS TIPO DIABLITO 1 1/2"</v>
      </c>
      <c r="C713" s="39" t="s">
        <v>17</v>
      </c>
      <c r="D713" s="368">
        <v>5</v>
      </c>
      <c r="E713" s="369">
        <v>4</v>
      </c>
      <c r="F713" s="369">
        <v>3</v>
      </c>
      <c r="G713" s="369">
        <v>3</v>
      </c>
      <c r="H713" s="240">
        <f>SUM(Tabla1321124[[#This Row],[PRIMER TRIMESTRE]:[CUARTO TRIMESTRE]])</f>
        <v>15</v>
      </c>
      <c r="I713" s="17">
        <v>5</v>
      </c>
      <c r="J713" s="17">
        <f>+Tabla1321124[[#This Row],[CANTIDAD TOTAL]]*Tabla1321124[[#This Row],[PRECIO UNITARIO ESTIMADO]]</f>
        <v>75</v>
      </c>
      <c r="K713" s="175"/>
      <c r="L713" s="16" t="s">
        <v>18</v>
      </c>
      <c r="M713" s="16" t="s">
        <v>22</v>
      </c>
      <c r="N713" s="16" t="s">
        <v>418</v>
      </c>
      <c r="O713" s="243"/>
      <c r="P713" s="243"/>
      <c r="Q713" s="243"/>
      <c r="R713" s="243"/>
      <c r="S713" s="243"/>
      <c r="T713" s="243"/>
      <c r="U713" s="243"/>
      <c r="V713" s="243"/>
      <c r="W713" s="243"/>
      <c r="X713" s="243"/>
      <c r="Y713" s="243"/>
      <c r="Z713" s="243"/>
      <c r="AA713" s="243"/>
      <c r="AB713" s="243"/>
      <c r="AC713" s="243"/>
      <c r="AD713" s="243"/>
      <c r="AE713" s="243"/>
      <c r="AF713" s="243"/>
      <c r="AG713" s="243"/>
      <c r="AH713" s="243"/>
      <c r="AI713" s="243"/>
      <c r="AJ713" s="243"/>
      <c r="AK713" s="243"/>
      <c r="AL713" s="243"/>
      <c r="AM713" s="243"/>
      <c r="AN713" s="243"/>
      <c r="AO713" s="243"/>
      <c r="AP713" s="243"/>
      <c r="AQ713" s="243"/>
      <c r="AR713" s="243"/>
      <c r="AS713" s="243"/>
      <c r="AT713" s="243"/>
      <c r="AU713" s="243"/>
      <c r="AV713" s="243"/>
      <c r="AW713" s="243"/>
      <c r="AX713" s="243"/>
      <c r="AY713" s="243"/>
      <c r="AZ713" s="243"/>
      <c r="BA713" s="243"/>
      <c r="BB713" s="243"/>
      <c r="BC713" s="243"/>
      <c r="BD713" s="243"/>
      <c r="BE713" s="243"/>
      <c r="BF713" s="243"/>
      <c r="BG713" s="243"/>
      <c r="BH713" s="243"/>
      <c r="BI713" s="243"/>
      <c r="BJ713" s="243"/>
      <c r="BK713" s="243"/>
      <c r="BL713" s="243"/>
      <c r="BM713" s="243"/>
      <c r="BN713" s="243"/>
      <c r="BO713" s="243"/>
      <c r="BP713" s="243"/>
      <c r="BQ713" s="243"/>
      <c r="BR713" s="243"/>
      <c r="BS713" s="243"/>
    </row>
    <row r="714" spans="1:71" s="12" customFormat="1" ht="41.25" customHeight="1">
      <c r="A714" s="178" t="s">
        <v>80</v>
      </c>
      <c r="B714" s="178" t="str">
        <f ca="1">+UPPER(Tabla1321124[[#This Row],[DESCRIPCIÓN DE LA COMPRA O CONTRATACIÓN]])</f>
        <v>TORNILLOS TIPO DIABLITO 2"</v>
      </c>
      <c r="C714" s="39" t="s">
        <v>17</v>
      </c>
      <c r="D714" s="368">
        <v>5</v>
      </c>
      <c r="E714" s="369">
        <v>4</v>
      </c>
      <c r="F714" s="369">
        <v>3</v>
      </c>
      <c r="G714" s="369">
        <v>3</v>
      </c>
      <c r="H714" s="240">
        <f>SUM(Tabla1321124[[#This Row],[PRIMER TRIMESTRE]:[CUARTO TRIMESTRE]])</f>
        <v>15</v>
      </c>
      <c r="I714" s="17">
        <v>8</v>
      </c>
      <c r="J714" s="17">
        <f>+Tabla1321124[[#This Row],[CANTIDAD TOTAL]]*Tabla1321124[[#This Row],[PRECIO UNITARIO ESTIMADO]]</f>
        <v>120</v>
      </c>
      <c r="K714" s="175"/>
      <c r="L714" s="16" t="s">
        <v>18</v>
      </c>
      <c r="M714" s="16" t="s">
        <v>22</v>
      </c>
      <c r="N714" s="16" t="s">
        <v>418</v>
      </c>
      <c r="O714" s="243"/>
      <c r="P714" s="243"/>
      <c r="Q714" s="243"/>
      <c r="R714" s="243"/>
      <c r="S714" s="243"/>
      <c r="T714" s="243"/>
      <c r="U714" s="243"/>
      <c r="V714" s="243"/>
      <c r="W714" s="243"/>
      <c r="X714" s="243"/>
      <c r="Y714" s="243"/>
      <c r="Z714" s="243"/>
      <c r="AA714" s="243"/>
      <c r="AB714" s="243"/>
      <c r="AC714" s="243"/>
      <c r="AD714" s="243"/>
      <c r="AE714" s="243"/>
      <c r="AF714" s="243"/>
      <c r="AG714" s="243"/>
      <c r="AH714" s="243"/>
      <c r="AI714" s="243"/>
      <c r="AJ714" s="243"/>
      <c r="AK714" s="243"/>
      <c r="AL714" s="243"/>
      <c r="AM714" s="243"/>
      <c r="AN714" s="243"/>
      <c r="AO714" s="243"/>
      <c r="AP714" s="243"/>
      <c r="AQ714" s="243"/>
      <c r="AR714" s="243"/>
      <c r="AS714" s="243"/>
      <c r="AT714" s="243"/>
      <c r="AU714" s="243"/>
      <c r="AV714" s="243"/>
      <c r="AW714" s="243"/>
      <c r="AX714" s="243"/>
      <c r="AY714" s="243"/>
      <c r="AZ714" s="243"/>
      <c r="BA714" s="243"/>
      <c r="BB714" s="243"/>
      <c r="BC714" s="243"/>
      <c r="BD714" s="243"/>
      <c r="BE714" s="243"/>
      <c r="BF714" s="243"/>
      <c r="BG714" s="243"/>
      <c r="BH714" s="243"/>
      <c r="BI714" s="243"/>
      <c r="BJ714" s="243"/>
      <c r="BK714" s="243"/>
      <c r="BL714" s="243"/>
      <c r="BM714" s="243"/>
      <c r="BN714" s="243"/>
      <c r="BO714" s="243"/>
      <c r="BP714" s="243"/>
      <c r="BQ714" s="243"/>
      <c r="BR714" s="243"/>
      <c r="BS714" s="243"/>
    </row>
    <row r="715" spans="1:71" s="12" customFormat="1" ht="41.25" customHeight="1">
      <c r="A715" s="178" t="s">
        <v>80</v>
      </c>
      <c r="B715" s="178" t="str">
        <f ca="1">+UPPER(Tabla1321124[[#This Row],[DESCRIPCIÓN DE LA COMPRA O CONTRATACIÓN]])</f>
        <v>TORNILLOS TIRAFONDO ROSCA COMPLETA CABEZA AVELLANADA 1/4" X 1 1/2"</v>
      </c>
      <c r="C715" s="39" t="s">
        <v>17</v>
      </c>
      <c r="D715" s="368">
        <v>40</v>
      </c>
      <c r="E715" s="369">
        <v>20</v>
      </c>
      <c r="F715" s="369">
        <v>20</v>
      </c>
      <c r="G715" s="369">
        <v>20</v>
      </c>
      <c r="H715" s="240">
        <f>SUM(Tabla1321124[[#This Row],[PRIMER TRIMESTRE]:[CUARTO TRIMESTRE]])</f>
        <v>100</v>
      </c>
      <c r="I715" s="17">
        <v>6</v>
      </c>
      <c r="J715" s="17">
        <f>+Tabla1321124[[#This Row],[CANTIDAD TOTAL]]*Tabla1321124[[#This Row],[PRECIO UNITARIO ESTIMADO]]</f>
        <v>600</v>
      </c>
      <c r="K715" s="175"/>
      <c r="L715" s="16" t="s">
        <v>18</v>
      </c>
      <c r="M715" s="16" t="s">
        <v>22</v>
      </c>
      <c r="N715" s="16" t="s">
        <v>418</v>
      </c>
      <c r="O715" s="243"/>
      <c r="P715" s="243"/>
      <c r="Q715" s="243"/>
      <c r="R715" s="243"/>
      <c r="S715" s="243"/>
      <c r="T715" s="243"/>
      <c r="U715" s="243"/>
      <c r="V715" s="243"/>
      <c r="W715" s="243"/>
      <c r="X715" s="243"/>
      <c r="Y715" s="243"/>
      <c r="Z715" s="243"/>
      <c r="AA715" s="243"/>
      <c r="AB715" s="243"/>
      <c r="AC715" s="243"/>
      <c r="AD715" s="243"/>
      <c r="AE715" s="243"/>
      <c r="AF715" s="243"/>
      <c r="AG715" s="243"/>
      <c r="AH715" s="243"/>
      <c r="AI715" s="243"/>
      <c r="AJ715" s="243"/>
      <c r="AK715" s="243"/>
      <c r="AL715" s="243"/>
      <c r="AM715" s="243"/>
      <c r="AN715" s="243"/>
      <c r="AO715" s="243"/>
      <c r="AP715" s="243"/>
      <c r="AQ715" s="243"/>
      <c r="AR715" s="243"/>
      <c r="AS715" s="243"/>
      <c r="AT715" s="243"/>
      <c r="AU715" s="243"/>
      <c r="AV715" s="243"/>
      <c r="AW715" s="243"/>
      <c r="AX715" s="243"/>
      <c r="AY715" s="243"/>
      <c r="AZ715" s="243"/>
      <c r="BA715" s="243"/>
      <c r="BB715" s="243"/>
      <c r="BC715" s="243"/>
      <c r="BD715" s="243"/>
      <c r="BE715" s="243"/>
      <c r="BF715" s="243"/>
      <c r="BG715" s="243"/>
      <c r="BH715" s="243"/>
      <c r="BI715" s="243"/>
      <c r="BJ715" s="243"/>
      <c r="BK715" s="243"/>
      <c r="BL715" s="243"/>
      <c r="BM715" s="243"/>
      <c r="BN715" s="243"/>
      <c r="BO715" s="243"/>
      <c r="BP715" s="243"/>
      <c r="BQ715" s="243"/>
      <c r="BR715" s="243"/>
      <c r="BS715" s="243"/>
    </row>
    <row r="716" spans="1:71" s="12" customFormat="1" ht="41.25" customHeight="1">
      <c r="A716" s="178" t="s">
        <v>80</v>
      </c>
      <c r="B716" s="178" t="str">
        <f ca="1">+UPPER(Tabla1321124[[#This Row],[DESCRIPCIÓN DE LA COMPRA O CONTRATACIÓN]])</f>
        <v>TORNILLOS TIRAFONDO ROSCA COMPLETA CABEZA AVELLANADA 1/4" X 1"</v>
      </c>
      <c r="C716" s="39" t="s">
        <v>17</v>
      </c>
      <c r="D716" s="368">
        <v>40</v>
      </c>
      <c r="E716" s="369">
        <v>20</v>
      </c>
      <c r="F716" s="369">
        <v>20</v>
      </c>
      <c r="G716" s="369">
        <v>20</v>
      </c>
      <c r="H716" s="240">
        <f>SUM(Tabla1321124[[#This Row],[PRIMER TRIMESTRE]:[CUARTO TRIMESTRE]])</f>
        <v>100</v>
      </c>
      <c r="I716" s="17">
        <v>4</v>
      </c>
      <c r="J716" s="17">
        <f>+Tabla1321124[[#This Row],[CANTIDAD TOTAL]]*Tabla1321124[[#This Row],[PRECIO UNITARIO ESTIMADO]]</f>
        <v>400</v>
      </c>
      <c r="K716" s="175"/>
      <c r="L716" s="16" t="s">
        <v>18</v>
      </c>
      <c r="M716" s="16" t="s">
        <v>22</v>
      </c>
      <c r="N716" s="16" t="s">
        <v>418</v>
      </c>
      <c r="O716" s="243"/>
      <c r="P716" s="243"/>
      <c r="Q716" s="243"/>
      <c r="R716" s="243"/>
      <c r="S716" s="243"/>
      <c r="T716" s="243"/>
      <c r="U716" s="243"/>
      <c r="V716" s="243"/>
      <c r="W716" s="243"/>
      <c r="X716" s="243"/>
      <c r="Y716" s="243"/>
      <c r="Z716" s="243"/>
      <c r="AA716" s="243"/>
      <c r="AB716" s="243"/>
      <c r="AC716" s="243"/>
      <c r="AD716" s="243"/>
      <c r="AE716" s="243"/>
      <c r="AF716" s="243"/>
      <c r="AG716" s="243"/>
      <c r="AH716" s="243"/>
      <c r="AI716" s="243"/>
      <c r="AJ716" s="243"/>
      <c r="AK716" s="243"/>
      <c r="AL716" s="243"/>
      <c r="AM716" s="243"/>
      <c r="AN716" s="243"/>
      <c r="AO716" s="243"/>
      <c r="AP716" s="243"/>
      <c r="AQ716" s="243"/>
      <c r="AR716" s="243"/>
      <c r="AS716" s="243"/>
      <c r="AT716" s="243"/>
      <c r="AU716" s="243"/>
      <c r="AV716" s="243"/>
      <c r="AW716" s="243"/>
      <c r="AX716" s="243"/>
      <c r="AY716" s="243"/>
      <c r="AZ716" s="243"/>
      <c r="BA716" s="243"/>
      <c r="BB716" s="243"/>
      <c r="BC716" s="243"/>
      <c r="BD716" s="243"/>
      <c r="BE716" s="243"/>
      <c r="BF716" s="243"/>
      <c r="BG716" s="243"/>
      <c r="BH716" s="243"/>
      <c r="BI716" s="243"/>
      <c r="BJ716" s="243"/>
      <c r="BK716" s="243"/>
      <c r="BL716" s="243"/>
      <c r="BM716" s="243"/>
      <c r="BN716" s="243"/>
      <c r="BO716" s="243"/>
      <c r="BP716" s="243"/>
      <c r="BQ716" s="243"/>
      <c r="BR716" s="243"/>
      <c r="BS716" s="243"/>
    </row>
    <row r="717" spans="1:71" s="12" customFormat="1" ht="41.25" customHeight="1">
      <c r="A717" s="178" t="s">
        <v>80</v>
      </c>
      <c r="B717" s="178" t="str">
        <f ca="1">+UPPER(Tabla1321124[[#This Row],[DESCRIPCIÓN DE LA COMPRA O CONTRATACIÓN]])</f>
        <v>TORNILLOS TIRAFONDO ROSCA COMPLETA CABEZA AVELLANADA 3/16" X 1"</v>
      </c>
      <c r="C717" s="39" t="s">
        <v>17</v>
      </c>
      <c r="D717" s="368">
        <v>40</v>
      </c>
      <c r="E717" s="369">
        <v>20</v>
      </c>
      <c r="F717" s="369">
        <v>20</v>
      </c>
      <c r="G717" s="369">
        <v>20</v>
      </c>
      <c r="H717" s="240">
        <f>SUM(Tabla1321124[[#This Row],[PRIMER TRIMESTRE]:[CUARTO TRIMESTRE]])</f>
        <v>100</v>
      </c>
      <c r="I717" s="17">
        <v>7</v>
      </c>
      <c r="J717" s="17">
        <f>+Tabla1321124[[#This Row],[CANTIDAD TOTAL]]*Tabla1321124[[#This Row],[PRECIO UNITARIO ESTIMADO]]</f>
        <v>700</v>
      </c>
      <c r="K717" s="175"/>
      <c r="L717" s="16" t="s">
        <v>18</v>
      </c>
      <c r="M717" s="16" t="s">
        <v>22</v>
      </c>
      <c r="N717" s="16" t="s">
        <v>418</v>
      </c>
      <c r="O717" s="243"/>
      <c r="P717" s="243"/>
      <c r="Q717" s="243"/>
      <c r="R717" s="243"/>
      <c r="S717" s="243"/>
      <c r="T717" s="243"/>
      <c r="U717" s="243"/>
      <c r="V717" s="243"/>
      <c r="W717" s="243"/>
      <c r="X717" s="243"/>
      <c r="Y717" s="243"/>
      <c r="Z717" s="243"/>
      <c r="AA717" s="243"/>
      <c r="AB717" s="243"/>
      <c r="AC717" s="243"/>
      <c r="AD717" s="243"/>
      <c r="AE717" s="243"/>
      <c r="AF717" s="243"/>
      <c r="AG717" s="243"/>
      <c r="AH717" s="243"/>
      <c r="AI717" s="243"/>
      <c r="AJ717" s="243"/>
      <c r="AK717" s="243"/>
      <c r="AL717" s="243"/>
      <c r="AM717" s="243"/>
      <c r="AN717" s="243"/>
      <c r="AO717" s="243"/>
      <c r="AP717" s="243"/>
      <c r="AQ717" s="243"/>
      <c r="AR717" s="243"/>
      <c r="AS717" s="243"/>
      <c r="AT717" s="243"/>
      <c r="AU717" s="243"/>
      <c r="AV717" s="243"/>
      <c r="AW717" s="243"/>
      <c r="AX717" s="243"/>
      <c r="AY717" s="243"/>
      <c r="AZ717" s="243"/>
      <c r="BA717" s="243"/>
      <c r="BB717" s="243"/>
      <c r="BC717" s="243"/>
      <c r="BD717" s="243"/>
      <c r="BE717" s="243"/>
      <c r="BF717" s="243"/>
      <c r="BG717" s="243"/>
      <c r="BH717" s="243"/>
      <c r="BI717" s="243"/>
      <c r="BJ717" s="243"/>
      <c r="BK717" s="243"/>
      <c r="BL717" s="243"/>
      <c r="BM717" s="243"/>
      <c r="BN717" s="243"/>
      <c r="BO717" s="243"/>
      <c r="BP717" s="243"/>
      <c r="BQ717" s="243"/>
      <c r="BR717" s="243"/>
      <c r="BS717" s="243"/>
    </row>
    <row r="718" spans="1:71" s="26" customFormat="1" ht="41.25" customHeight="1">
      <c r="A718" s="178" t="s">
        <v>80</v>
      </c>
      <c r="B718" s="178" t="str">
        <f ca="1">+UPPER(Tabla1321124[[#This Row],[DESCRIPCIÓN DE LA COMPRA O CONTRATACIÓN]])</f>
        <v>TORNILLOS TIRAFONDO ROSCA COMPLETA CABEZA AVELLANADA 3/16" X 3/4"</v>
      </c>
      <c r="C718" s="39" t="s">
        <v>17</v>
      </c>
      <c r="D718" s="368">
        <v>40</v>
      </c>
      <c r="E718" s="369">
        <v>20</v>
      </c>
      <c r="F718" s="369">
        <v>20</v>
      </c>
      <c r="G718" s="369">
        <v>20</v>
      </c>
      <c r="H718" s="240">
        <f>SUM(Tabla1321124[[#This Row],[PRIMER TRIMESTRE]:[CUARTO TRIMESTRE]])</f>
        <v>100</v>
      </c>
      <c r="I718" s="17">
        <v>8</v>
      </c>
      <c r="J718" s="17">
        <f>+Tabla1321124[[#This Row],[CANTIDAD TOTAL]]*Tabla1321124[[#This Row],[PRECIO UNITARIO ESTIMADO]]</f>
        <v>800</v>
      </c>
      <c r="K718" s="175"/>
      <c r="L718" s="16" t="s">
        <v>18</v>
      </c>
      <c r="M718" s="16" t="s">
        <v>22</v>
      </c>
      <c r="N718" s="16" t="s">
        <v>418</v>
      </c>
      <c r="O718" s="243"/>
      <c r="P718" s="243"/>
      <c r="Q718" s="243"/>
      <c r="R718" s="243"/>
      <c r="S718" s="243"/>
      <c r="T718" s="243"/>
      <c r="U718" s="243"/>
      <c r="V718" s="243"/>
      <c r="W718" s="243"/>
      <c r="X718" s="243"/>
      <c r="Y718" s="243"/>
      <c r="Z718" s="243"/>
      <c r="AA718" s="243"/>
      <c r="AB718" s="243"/>
      <c r="AC718" s="243"/>
      <c r="AD718" s="243"/>
      <c r="AE718" s="243"/>
      <c r="AF718" s="243"/>
      <c r="AG718" s="243"/>
      <c r="AH718" s="243"/>
      <c r="AI718" s="243"/>
      <c r="AJ718" s="243"/>
      <c r="AK718" s="243"/>
      <c r="AL718" s="243"/>
      <c r="AM718" s="243"/>
      <c r="AN718" s="243"/>
      <c r="AO718" s="243"/>
      <c r="AP718" s="243"/>
      <c r="AQ718" s="243"/>
      <c r="AR718" s="243"/>
      <c r="AS718" s="243"/>
      <c r="AT718" s="243"/>
      <c r="AU718" s="243"/>
      <c r="AV718" s="243"/>
      <c r="AW718" s="243"/>
      <c r="AX718" s="243"/>
      <c r="AY718" s="243"/>
      <c r="AZ718" s="243"/>
      <c r="BA718" s="243"/>
      <c r="BB718" s="243"/>
      <c r="BC718" s="243"/>
      <c r="BD718" s="243"/>
      <c r="BE718" s="243"/>
      <c r="BF718" s="243"/>
      <c r="BG718" s="243"/>
      <c r="BH718" s="243"/>
      <c r="BI718" s="243"/>
      <c r="BJ718" s="243"/>
      <c r="BK718" s="243"/>
      <c r="BL718" s="243"/>
      <c r="BM718" s="243"/>
      <c r="BN718" s="243"/>
      <c r="BO718" s="243"/>
      <c r="BP718" s="243"/>
      <c r="BQ718" s="243"/>
      <c r="BR718" s="243"/>
      <c r="BS718" s="243"/>
    </row>
    <row r="719" spans="1:71" s="26" customFormat="1" ht="41.25" customHeight="1">
      <c r="A719" s="178" t="s">
        <v>80</v>
      </c>
      <c r="B719" s="178" t="str">
        <f ca="1">+UPPER(Tabla1321124[[#This Row],[DESCRIPCIÓN DE LA COMPRA O CONTRATACIÓN]])</f>
        <v>TORNILLOS TIRAFONDO ROSCA COMPLETA CABEZA AVELLANADA 5/16" X 1 1/2"</v>
      </c>
      <c r="C719" s="39" t="s">
        <v>17</v>
      </c>
      <c r="D719" s="368">
        <v>40</v>
      </c>
      <c r="E719" s="369">
        <v>20</v>
      </c>
      <c r="F719" s="369">
        <v>20</v>
      </c>
      <c r="G719" s="369">
        <v>20</v>
      </c>
      <c r="H719" s="240">
        <f>SUM(Tabla1321124[[#This Row],[PRIMER TRIMESTRE]:[CUARTO TRIMESTRE]])</f>
        <v>100</v>
      </c>
      <c r="I719" s="17">
        <v>9</v>
      </c>
      <c r="J719" s="17">
        <f>+Tabla1321124[[#This Row],[CANTIDAD TOTAL]]*Tabla1321124[[#This Row],[PRECIO UNITARIO ESTIMADO]]</f>
        <v>900</v>
      </c>
      <c r="K719" s="175"/>
      <c r="L719" s="16" t="s">
        <v>18</v>
      </c>
      <c r="M719" s="16" t="s">
        <v>22</v>
      </c>
      <c r="N719" s="16" t="s">
        <v>418</v>
      </c>
      <c r="O719" s="243"/>
      <c r="P719" s="243"/>
      <c r="Q719" s="243"/>
      <c r="R719" s="243"/>
      <c r="S719" s="243"/>
      <c r="T719" s="243"/>
      <c r="U719" s="243"/>
      <c r="V719" s="243"/>
      <c r="W719" s="243"/>
      <c r="X719" s="243"/>
      <c r="Y719" s="243"/>
      <c r="Z719" s="243"/>
      <c r="AA719" s="243"/>
      <c r="AB719" s="243"/>
      <c r="AC719" s="243"/>
      <c r="AD719" s="243"/>
      <c r="AE719" s="243"/>
      <c r="AF719" s="243"/>
      <c r="AG719" s="243"/>
      <c r="AH719" s="243"/>
      <c r="AI719" s="243"/>
      <c r="AJ719" s="243"/>
      <c r="AK719" s="243"/>
      <c r="AL719" s="243"/>
      <c r="AM719" s="243"/>
      <c r="AN719" s="243"/>
      <c r="AO719" s="243"/>
      <c r="AP719" s="243"/>
      <c r="AQ719" s="243"/>
      <c r="AR719" s="243"/>
      <c r="AS719" s="243"/>
      <c r="AT719" s="243"/>
      <c r="AU719" s="243"/>
      <c r="AV719" s="243"/>
      <c r="AW719" s="243"/>
      <c r="AX719" s="243"/>
      <c r="AY719" s="243"/>
      <c r="AZ719" s="243"/>
      <c r="BA719" s="243"/>
      <c r="BB719" s="243"/>
      <c r="BC719" s="243"/>
      <c r="BD719" s="243"/>
      <c r="BE719" s="243"/>
      <c r="BF719" s="243"/>
      <c r="BG719" s="243"/>
      <c r="BH719" s="243"/>
      <c r="BI719" s="243"/>
      <c r="BJ719" s="243"/>
      <c r="BK719" s="243"/>
      <c r="BL719" s="243"/>
      <c r="BM719" s="243"/>
      <c r="BN719" s="243"/>
      <c r="BO719" s="243"/>
      <c r="BP719" s="243"/>
      <c r="BQ719" s="243"/>
      <c r="BR719" s="243"/>
      <c r="BS719" s="243"/>
    </row>
    <row r="720" spans="1:71" s="26" customFormat="1" ht="41.25" customHeight="1">
      <c r="A720" s="178" t="s">
        <v>80</v>
      </c>
      <c r="B720" s="178" t="str">
        <f ca="1">+UPPER(Tabla1321124[[#This Row],[DESCRIPCIÓN DE LA COMPRA O CONTRATACIÓN]])</f>
        <v>TORNILLOS TIRAFONDO ROSCA COMPLETA CABEZA AVELLANADA 5/16" X 2"</v>
      </c>
      <c r="C720" s="39" t="s">
        <v>17</v>
      </c>
      <c r="D720" s="368">
        <v>40</v>
      </c>
      <c r="E720" s="369">
        <v>20</v>
      </c>
      <c r="F720" s="369">
        <v>20</v>
      </c>
      <c r="G720" s="369">
        <v>20</v>
      </c>
      <c r="H720" s="240">
        <f>SUM(Tabla1321124[[#This Row],[PRIMER TRIMESTRE]:[CUARTO TRIMESTRE]])</f>
        <v>100</v>
      </c>
      <c r="I720" s="17">
        <v>8</v>
      </c>
      <c r="J720" s="17">
        <f>+Tabla1321124[[#This Row],[CANTIDAD TOTAL]]*Tabla1321124[[#This Row],[PRECIO UNITARIO ESTIMADO]]</f>
        <v>800</v>
      </c>
      <c r="K720" s="175"/>
      <c r="L720" s="16" t="s">
        <v>18</v>
      </c>
      <c r="M720" s="16" t="s">
        <v>22</v>
      </c>
      <c r="N720" s="16" t="s">
        <v>418</v>
      </c>
      <c r="O720" s="243"/>
      <c r="P720" s="243"/>
      <c r="Q720" s="243"/>
      <c r="R720" s="243"/>
      <c r="S720" s="243"/>
      <c r="T720" s="243"/>
      <c r="U720" s="243"/>
      <c r="V720" s="243"/>
      <c r="W720" s="243"/>
      <c r="X720" s="243"/>
      <c r="Y720" s="243"/>
      <c r="Z720" s="243"/>
      <c r="AA720" s="243"/>
      <c r="AB720" s="243"/>
      <c r="AC720" s="243"/>
      <c r="AD720" s="243"/>
      <c r="AE720" s="243"/>
      <c r="AF720" s="243"/>
      <c r="AG720" s="243"/>
      <c r="AH720" s="243"/>
      <c r="AI720" s="243"/>
      <c r="AJ720" s="243"/>
      <c r="AK720" s="243"/>
      <c r="AL720" s="243"/>
      <c r="AM720" s="243"/>
      <c r="AN720" s="243"/>
      <c r="AO720" s="243"/>
      <c r="AP720" s="243"/>
      <c r="AQ720" s="243"/>
      <c r="AR720" s="243"/>
      <c r="AS720" s="243"/>
      <c r="AT720" s="243"/>
      <c r="AU720" s="243"/>
      <c r="AV720" s="243"/>
      <c r="AW720" s="243"/>
      <c r="AX720" s="243"/>
      <c r="AY720" s="243"/>
      <c r="AZ720" s="243"/>
      <c r="BA720" s="243"/>
      <c r="BB720" s="243"/>
      <c r="BC720" s="243"/>
      <c r="BD720" s="243"/>
      <c r="BE720" s="243"/>
      <c r="BF720" s="243"/>
      <c r="BG720" s="243"/>
      <c r="BH720" s="243"/>
      <c r="BI720" s="243"/>
      <c r="BJ720" s="243"/>
      <c r="BK720" s="243"/>
      <c r="BL720" s="243"/>
      <c r="BM720" s="243"/>
      <c r="BN720" s="243"/>
      <c r="BO720" s="243"/>
      <c r="BP720" s="243"/>
      <c r="BQ720" s="243"/>
      <c r="BR720" s="243"/>
      <c r="BS720" s="243"/>
    </row>
    <row r="721" spans="1:71" s="26" customFormat="1" ht="41.25" customHeight="1">
      <c r="A721" s="178" t="s">
        <v>80</v>
      </c>
      <c r="B721" s="178" t="str">
        <f ca="1">+UPPER(Tabla1321124[[#This Row],[DESCRIPCIÓN DE LA COMPRA O CONTRATACIÓN]])</f>
        <v>TORNILLOS TIRAFONDO ROSCA COMPLETA CABEZA HEXAGONAL 1/4" X 1 1/2"</v>
      </c>
      <c r="C721" s="39" t="s">
        <v>17</v>
      </c>
      <c r="D721" s="368">
        <v>40</v>
      </c>
      <c r="E721" s="369">
        <v>20</v>
      </c>
      <c r="F721" s="369">
        <v>20</v>
      </c>
      <c r="G721" s="369">
        <v>20</v>
      </c>
      <c r="H721" s="240">
        <f>SUM(Tabla1321124[[#This Row],[PRIMER TRIMESTRE]:[CUARTO TRIMESTRE]])</f>
        <v>100</v>
      </c>
      <c r="I721" s="17">
        <v>9</v>
      </c>
      <c r="J721" s="17">
        <f>+Tabla1321124[[#This Row],[CANTIDAD TOTAL]]*Tabla1321124[[#This Row],[PRECIO UNITARIO ESTIMADO]]</f>
        <v>900</v>
      </c>
      <c r="K721" s="175"/>
      <c r="L721" s="16" t="s">
        <v>18</v>
      </c>
      <c r="M721" s="16" t="s">
        <v>22</v>
      </c>
      <c r="N721" s="16" t="s">
        <v>418</v>
      </c>
      <c r="O721" s="243"/>
      <c r="P721" s="243"/>
      <c r="Q721" s="243"/>
      <c r="R721" s="243"/>
      <c r="S721" s="243"/>
      <c r="T721" s="243"/>
      <c r="U721" s="243"/>
      <c r="V721" s="243"/>
      <c r="W721" s="243"/>
      <c r="X721" s="243"/>
      <c r="Y721" s="243"/>
      <c r="Z721" s="243"/>
      <c r="AA721" s="243"/>
      <c r="AB721" s="243"/>
      <c r="AC721" s="243"/>
      <c r="AD721" s="243"/>
      <c r="AE721" s="243"/>
      <c r="AF721" s="243"/>
      <c r="AG721" s="243"/>
      <c r="AH721" s="243"/>
      <c r="AI721" s="243"/>
      <c r="AJ721" s="243"/>
      <c r="AK721" s="243"/>
      <c r="AL721" s="243"/>
      <c r="AM721" s="243"/>
      <c r="AN721" s="243"/>
      <c r="AO721" s="243"/>
      <c r="AP721" s="243"/>
      <c r="AQ721" s="243"/>
      <c r="AR721" s="243"/>
      <c r="AS721" s="243"/>
      <c r="AT721" s="243"/>
      <c r="AU721" s="243"/>
      <c r="AV721" s="243"/>
      <c r="AW721" s="243"/>
      <c r="AX721" s="243"/>
      <c r="AY721" s="243"/>
      <c r="AZ721" s="243"/>
      <c r="BA721" s="243"/>
      <c r="BB721" s="243"/>
      <c r="BC721" s="243"/>
      <c r="BD721" s="243"/>
      <c r="BE721" s="243"/>
      <c r="BF721" s="243"/>
      <c r="BG721" s="243"/>
      <c r="BH721" s="243"/>
      <c r="BI721" s="243"/>
      <c r="BJ721" s="243"/>
      <c r="BK721" s="243"/>
      <c r="BL721" s="243"/>
      <c r="BM721" s="243"/>
      <c r="BN721" s="243"/>
      <c r="BO721" s="243"/>
      <c r="BP721" s="243"/>
      <c r="BQ721" s="243"/>
      <c r="BR721" s="243"/>
      <c r="BS721" s="243"/>
    </row>
    <row r="722" spans="1:71" s="26" customFormat="1" ht="41.25" customHeight="1">
      <c r="A722" s="178" t="s">
        <v>80</v>
      </c>
      <c r="B722" s="178" t="str">
        <f ca="1">+UPPER(Tabla1321124[[#This Row],[DESCRIPCIÓN DE LA COMPRA O CONTRATACIÓN]])</f>
        <v>TORNILLOS TIRAFONDO ROSCA COMPLETA CABEZA HEXAGONAL 1/4" X 1"</v>
      </c>
      <c r="C722" s="39" t="s">
        <v>17</v>
      </c>
      <c r="D722" s="368">
        <v>40</v>
      </c>
      <c r="E722" s="369">
        <v>20</v>
      </c>
      <c r="F722" s="369">
        <v>20</v>
      </c>
      <c r="G722" s="369">
        <v>20</v>
      </c>
      <c r="H722" s="240">
        <f>SUM(Tabla1321124[[#This Row],[PRIMER TRIMESTRE]:[CUARTO TRIMESTRE]])</f>
        <v>100</v>
      </c>
      <c r="I722" s="17">
        <v>9</v>
      </c>
      <c r="J722" s="17">
        <f>+Tabla1321124[[#This Row],[CANTIDAD TOTAL]]*Tabla1321124[[#This Row],[PRECIO UNITARIO ESTIMADO]]</f>
        <v>900</v>
      </c>
      <c r="K722" s="175"/>
      <c r="L722" s="16" t="s">
        <v>18</v>
      </c>
      <c r="M722" s="16" t="s">
        <v>22</v>
      </c>
      <c r="N722" s="16" t="s">
        <v>418</v>
      </c>
      <c r="O722" s="243"/>
      <c r="P722" s="243"/>
      <c r="Q722" s="243"/>
      <c r="R722" s="243"/>
      <c r="S722" s="243"/>
      <c r="T722" s="243"/>
      <c r="U722" s="243"/>
      <c r="V722" s="243"/>
      <c r="W722" s="243"/>
      <c r="X722" s="243"/>
      <c r="Y722" s="243"/>
      <c r="Z722" s="243"/>
      <c r="AA722" s="243"/>
      <c r="AB722" s="243"/>
      <c r="AC722" s="243"/>
      <c r="AD722" s="243"/>
      <c r="AE722" s="243"/>
      <c r="AF722" s="243"/>
      <c r="AG722" s="243"/>
      <c r="AH722" s="243"/>
      <c r="AI722" s="243"/>
      <c r="AJ722" s="243"/>
      <c r="AK722" s="243"/>
      <c r="AL722" s="243"/>
      <c r="AM722" s="243"/>
      <c r="AN722" s="243"/>
      <c r="AO722" s="243"/>
      <c r="AP722" s="243"/>
      <c r="AQ722" s="243"/>
      <c r="AR722" s="243"/>
      <c r="AS722" s="243"/>
      <c r="AT722" s="243"/>
      <c r="AU722" s="243"/>
      <c r="AV722" s="243"/>
      <c r="AW722" s="243"/>
      <c r="AX722" s="243"/>
      <c r="AY722" s="243"/>
      <c r="AZ722" s="243"/>
      <c r="BA722" s="243"/>
      <c r="BB722" s="243"/>
      <c r="BC722" s="243"/>
      <c r="BD722" s="243"/>
      <c r="BE722" s="243"/>
      <c r="BF722" s="243"/>
      <c r="BG722" s="243"/>
      <c r="BH722" s="243"/>
      <c r="BI722" s="243"/>
      <c r="BJ722" s="243"/>
      <c r="BK722" s="243"/>
      <c r="BL722" s="243"/>
      <c r="BM722" s="243"/>
      <c r="BN722" s="243"/>
      <c r="BO722" s="243"/>
      <c r="BP722" s="243"/>
      <c r="BQ722" s="243"/>
      <c r="BR722" s="243"/>
      <c r="BS722" s="243"/>
    </row>
    <row r="723" spans="1:71" s="12" customFormat="1" ht="41.25" customHeight="1">
      <c r="A723" s="178" t="s">
        <v>80</v>
      </c>
      <c r="B723" s="178" t="str">
        <f ca="1">+UPPER(Tabla1321124[[#This Row],[DESCRIPCIÓN DE LA COMPRA O CONTRATACIÓN]])</f>
        <v>TORNILLOS TIRAFONDO ROSCA COMPLETA CABEZA HEXAGONAL 3/16" X 1"</v>
      </c>
      <c r="C723" s="39" t="s">
        <v>17</v>
      </c>
      <c r="D723" s="368">
        <v>40</v>
      </c>
      <c r="E723" s="369">
        <v>20</v>
      </c>
      <c r="F723" s="369">
        <v>20</v>
      </c>
      <c r="G723" s="369">
        <v>20</v>
      </c>
      <c r="H723" s="240">
        <f>SUM(Tabla1321124[[#This Row],[PRIMER TRIMESTRE]:[CUARTO TRIMESTRE]])</f>
        <v>100</v>
      </c>
      <c r="I723" s="17">
        <v>9</v>
      </c>
      <c r="J723" s="17">
        <f>+Tabla1321124[[#This Row],[CANTIDAD TOTAL]]*Tabla1321124[[#This Row],[PRECIO UNITARIO ESTIMADO]]</f>
        <v>900</v>
      </c>
      <c r="K723" s="175"/>
      <c r="L723" s="16" t="s">
        <v>18</v>
      </c>
      <c r="M723" s="16" t="s">
        <v>22</v>
      </c>
      <c r="N723" s="16" t="s">
        <v>418</v>
      </c>
      <c r="O723" s="243"/>
      <c r="P723" s="243"/>
      <c r="Q723" s="243"/>
      <c r="R723" s="243"/>
      <c r="S723" s="243"/>
      <c r="T723" s="243"/>
      <c r="U723" s="243"/>
      <c r="V723" s="243"/>
      <c r="W723" s="243"/>
      <c r="X723" s="243"/>
      <c r="Y723" s="243"/>
      <c r="Z723" s="243"/>
      <c r="AA723" s="243"/>
      <c r="AB723" s="243"/>
      <c r="AC723" s="243"/>
      <c r="AD723" s="243"/>
      <c r="AE723" s="243"/>
      <c r="AF723" s="243"/>
      <c r="AG723" s="243"/>
      <c r="AH723" s="243"/>
      <c r="AI723" s="243"/>
      <c r="AJ723" s="243"/>
      <c r="AK723" s="243"/>
      <c r="AL723" s="243"/>
      <c r="AM723" s="243"/>
      <c r="AN723" s="243"/>
      <c r="AO723" s="243"/>
      <c r="AP723" s="243"/>
      <c r="AQ723" s="243"/>
      <c r="AR723" s="243"/>
      <c r="AS723" s="243"/>
      <c r="AT723" s="243"/>
      <c r="AU723" s="243"/>
      <c r="AV723" s="243"/>
      <c r="AW723" s="243"/>
      <c r="AX723" s="243"/>
      <c r="AY723" s="243"/>
      <c r="AZ723" s="243"/>
      <c r="BA723" s="243"/>
      <c r="BB723" s="243"/>
      <c r="BC723" s="243"/>
      <c r="BD723" s="243"/>
      <c r="BE723" s="243"/>
      <c r="BF723" s="243"/>
      <c r="BG723" s="243"/>
      <c r="BH723" s="243"/>
      <c r="BI723" s="243"/>
      <c r="BJ723" s="243"/>
      <c r="BK723" s="243"/>
      <c r="BL723" s="243"/>
      <c r="BM723" s="243"/>
      <c r="BN723" s="243"/>
      <c r="BO723" s="243"/>
      <c r="BP723" s="243"/>
      <c r="BQ723" s="243"/>
      <c r="BR723" s="243"/>
      <c r="BS723" s="243"/>
    </row>
    <row r="724" spans="1:71" s="12" customFormat="1" ht="41.25" customHeight="1">
      <c r="A724" s="178" t="s">
        <v>80</v>
      </c>
      <c r="B724" s="178" t="str">
        <f ca="1">+UPPER(Tabla1321124[[#This Row],[DESCRIPCIÓN DE LA COMPRA O CONTRATACIÓN]])</f>
        <v>TORNILLOS TIRAFONDO ROSCA COMPLETA CABEZA HEXAGONAL 3/16" X 3/4"</v>
      </c>
      <c r="C724" s="39" t="s">
        <v>17</v>
      </c>
      <c r="D724" s="368">
        <v>40</v>
      </c>
      <c r="E724" s="369">
        <v>20</v>
      </c>
      <c r="F724" s="369">
        <v>20</v>
      </c>
      <c r="G724" s="369">
        <v>20</v>
      </c>
      <c r="H724" s="240">
        <f>SUM(Tabla1321124[[#This Row],[PRIMER TRIMESTRE]:[CUARTO TRIMESTRE]])</f>
        <v>100</v>
      </c>
      <c r="I724" s="17">
        <v>9</v>
      </c>
      <c r="J724" s="17">
        <f>+Tabla1321124[[#This Row],[CANTIDAD TOTAL]]*Tabla1321124[[#This Row],[PRECIO UNITARIO ESTIMADO]]</f>
        <v>900</v>
      </c>
      <c r="K724" s="175"/>
      <c r="L724" s="16" t="s">
        <v>18</v>
      </c>
      <c r="M724" s="16" t="s">
        <v>22</v>
      </c>
      <c r="N724" s="16" t="s">
        <v>418</v>
      </c>
      <c r="O724" s="243"/>
      <c r="P724" s="243"/>
      <c r="Q724" s="243"/>
      <c r="R724" s="243"/>
      <c r="S724" s="243"/>
      <c r="T724" s="243"/>
      <c r="U724" s="243"/>
      <c r="V724" s="243"/>
      <c r="W724" s="243"/>
      <c r="X724" s="243"/>
      <c r="Y724" s="243"/>
      <c r="Z724" s="243"/>
      <c r="AA724" s="243"/>
      <c r="AB724" s="243"/>
      <c r="AC724" s="243"/>
      <c r="AD724" s="243"/>
      <c r="AE724" s="243"/>
      <c r="AF724" s="243"/>
      <c r="AG724" s="243"/>
      <c r="AH724" s="243"/>
      <c r="AI724" s="243"/>
      <c r="AJ724" s="243"/>
      <c r="AK724" s="243"/>
      <c r="AL724" s="243"/>
      <c r="AM724" s="243"/>
      <c r="AN724" s="243"/>
      <c r="AO724" s="243"/>
      <c r="AP724" s="243"/>
      <c r="AQ724" s="243"/>
      <c r="AR724" s="243"/>
      <c r="AS724" s="243"/>
      <c r="AT724" s="243"/>
      <c r="AU724" s="243"/>
      <c r="AV724" s="243"/>
      <c r="AW724" s="243"/>
      <c r="AX724" s="243"/>
      <c r="AY724" s="243"/>
      <c r="AZ724" s="243"/>
      <c r="BA724" s="243"/>
      <c r="BB724" s="243"/>
      <c r="BC724" s="243"/>
      <c r="BD724" s="243"/>
      <c r="BE724" s="243"/>
      <c r="BF724" s="243"/>
      <c r="BG724" s="243"/>
      <c r="BH724" s="243"/>
      <c r="BI724" s="243"/>
      <c r="BJ724" s="243"/>
      <c r="BK724" s="243"/>
      <c r="BL724" s="243"/>
      <c r="BM724" s="243"/>
      <c r="BN724" s="243"/>
      <c r="BO724" s="243"/>
      <c r="BP724" s="243"/>
      <c r="BQ724" s="243"/>
      <c r="BR724" s="243"/>
      <c r="BS724" s="243"/>
    </row>
    <row r="725" spans="1:71" s="12" customFormat="1" ht="41.25" customHeight="1">
      <c r="A725" s="178" t="s">
        <v>80</v>
      </c>
      <c r="B725" s="178" t="str">
        <f ca="1">+UPPER(Tabla1321124[[#This Row],[DESCRIPCIÓN DE LA COMPRA O CONTRATACIÓN]])</f>
        <v>TORNILLOS TIRAFONDO ROSCA COMPLETA CABEZA HEXAGONAL 5/16" X 1 1/2"</v>
      </c>
      <c r="C725" s="39" t="s">
        <v>17</v>
      </c>
      <c r="D725" s="368">
        <v>40</v>
      </c>
      <c r="E725" s="369">
        <v>20</v>
      </c>
      <c r="F725" s="369">
        <v>20</v>
      </c>
      <c r="G725" s="369">
        <v>20</v>
      </c>
      <c r="H725" s="240">
        <f>SUM(Tabla1321124[[#This Row],[PRIMER TRIMESTRE]:[CUARTO TRIMESTRE]])</f>
        <v>100</v>
      </c>
      <c r="I725" s="17">
        <v>9</v>
      </c>
      <c r="J725" s="17">
        <f>+Tabla1321124[[#This Row],[CANTIDAD TOTAL]]*Tabla1321124[[#This Row],[PRECIO UNITARIO ESTIMADO]]</f>
        <v>900</v>
      </c>
      <c r="K725" s="175"/>
      <c r="L725" s="16" t="s">
        <v>18</v>
      </c>
      <c r="M725" s="16" t="s">
        <v>22</v>
      </c>
      <c r="N725" s="16" t="s">
        <v>418</v>
      </c>
      <c r="O725" s="243"/>
      <c r="P725" s="243"/>
      <c r="Q725" s="243"/>
      <c r="R725" s="243"/>
      <c r="S725" s="243"/>
      <c r="T725" s="243"/>
      <c r="U725" s="243"/>
      <c r="V725" s="243"/>
      <c r="W725" s="243"/>
      <c r="X725" s="243"/>
      <c r="Y725" s="243"/>
      <c r="Z725" s="243"/>
      <c r="AA725" s="243"/>
      <c r="AB725" s="243"/>
      <c r="AC725" s="243"/>
      <c r="AD725" s="243"/>
      <c r="AE725" s="243"/>
      <c r="AF725" s="243"/>
      <c r="AG725" s="243"/>
      <c r="AH725" s="243"/>
      <c r="AI725" s="243"/>
      <c r="AJ725" s="243"/>
      <c r="AK725" s="243"/>
      <c r="AL725" s="243"/>
      <c r="AM725" s="243"/>
      <c r="AN725" s="243"/>
      <c r="AO725" s="243"/>
      <c r="AP725" s="243"/>
      <c r="AQ725" s="243"/>
      <c r="AR725" s="243"/>
      <c r="AS725" s="243"/>
      <c r="AT725" s="243"/>
      <c r="AU725" s="243"/>
      <c r="AV725" s="243"/>
      <c r="AW725" s="243"/>
      <c r="AX725" s="243"/>
      <c r="AY725" s="243"/>
      <c r="AZ725" s="243"/>
      <c r="BA725" s="243"/>
      <c r="BB725" s="243"/>
      <c r="BC725" s="243"/>
      <c r="BD725" s="243"/>
      <c r="BE725" s="243"/>
      <c r="BF725" s="243"/>
      <c r="BG725" s="243"/>
      <c r="BH725" s="243"/>
      <c r="BI725" s="243"/>
      <c r="BJ725" s="243"/>
      <c r="BK725" s="243"/>
      <c r="BL725" s="243"/>
      <c r="BM725" s="243"/>
      <c r="BN725" s="243"/>
      <c r="BO725" s="243"/>
      <c r="BP725" s="243"/>
      <c r="BQ725" s="243"/>
      <c r="BR725" s="243"/>
      <c r="BS725" s="243"/>
    </row>
    <row r="726" spans="1:71" s="12" customFormat="1" ht="41.25" customHeight="1">
      <c r="A726" s="178" t="s">
        <v>80</v>
      </c>
      <c r="B726" s="178" t="str">
        <f ca="1">+UPPER(Tabla1321124[[#This Row],[DESCRIPCIÓN DE LA COMPRA O CONTRATACIÓN]])</f>
        <v>TORNILLOS TIRAFONDO ROSCA COMPLETA CABEZA HEXAGONAL 5/16" X 2"</v>
      </c>
      <c r="C726" s="39" t="s">
        <v>17</v>
      </c>
      <c r="D726" s="368">
        <v>40</v>
      </c>
      <c r="E726" s="369">
        <v>20</v>
      </c>
      <c r="F726" s="369">
        <v>20</v>
      </c>
      <c r="G726" s="369">
        <v>20</v>
      </c>
      <c r="H726" s="240">
        <f>SUM(Tabla1321124[[#This Row],[PRIMER TRIMESTRE]:[CUARTO TRIMESTRE]])</f>
        <v>100</v>
      </c>
      <c r="I726" s="17">
        <v>9</v>
      </c>
      <c r="J726" s="17">
        <f>+Tabla1321124[[#This Row],[CANTIDAD TOTAL]]*Tabla1321124[[#This Row],[PRECIO UNITARIO ESTIMADO]]</f>
        <v>900</v>
      </c>
      <c r="K726" s="175"/>
      <c r="L726" s="16" t="s">
        <v>18</v>
      </c>
      <c r="M726" s="16" t="s">
        <v>22</v>
      </c>
      <c r="N726" s="16" t="s">
        <v>418</v>
      </c>
      <c r="O726" s="243"/>
      <c r="P726" s="243"/>
      <c r="Q726" s="243"/>
      <c r="R726" s="243"/>
      <c r="S726" s="243"/>
      <c r="T726" s="243"/>
      <c r="U726" s="243"/>
      <c r="V726" s="243"/>
      <c r="W726" s="243"/>
      <c r="X726" s="243"/>
      <c r="Y726" s="243"/>
      <c r="Z726" s="243"/>
      <c r="AA726" s="243"/>
      <c r="AB726" s="243"/>
      <c r="AC726" s="243"/>
      <c r="AD726" s="243"/>
      <c r="AE726" s="243"/>
      <c r="AF726" s="243"/>
      <c r="AG726" s="243"/>
      <c r="AH726" s="243"/>
      <c r="AI726" s="243"/>
      <c r="AJ726" s="243"/>
      <c r="AK726" s="243"/>
      <c r="AL726" s="243"/>
      <c r="AM726" s="243"/>
      <c r="AN726" s="243"/>
      <c r="AO726" s="243"/>
      <c r="AP726" s="243"/>
      <c r="AQ726" s="243"/>
      <c r="AR726" s="243"/>
      <c r="AS726" s="243"/>
      <c r="AT726" s="243"/>
      <c r="AU726" s="243"/>
      <c r="AV726" s="243"/>
      <c r="AW726" s="243"/>
      <c r="AX726" s="243"/>
      <c r="AY726" s="243"/>
      <c r="AZ726" s="243"/>
      <c r="BA726" s="243"/>
      <c r="BB726" s="243"/>
      <c r="BC726" s="243"/>
      <c r="BD726" s="243"/>
      <c r="BE726" s="243"/>
      <c r="BF726" s="243"/>
      <c r="BG726" s="243"/>
      <c r="BH726" s="243"/>
      <c r="BI726" s="243"/>
      <c r="BJ726" s="243"/>
      <c r="BK726" s="243"/>
      <c r="BL726" s="243"/>
      <c r="BM726" s="243"/>
      <c r="BN726" s="243"/>
      <c r="BO726" s="243"/>
      <c r="BP726" s="243"/>
      <c r="BQ726" s="243"/>
      <c r="BR726" s="243"/>
      <c r="BS726" s="243"/>
    </row>
    <row r="727" spans="1:71" s="12" customFormat="1" ht="41.25" customHeight="1">
      <c r="A727" s="178" t="s">
        <v>80</v>
      </c>
      <c r="B727" s="178" t="str">
        <f ca="1">+UPPER(Tabla1321124[[#This Row],[DESCRIPCIÓN DE LA COMPRA O CONTRATACIÓN]])</f>
        <v>TORNILLOS TIRAFONDO ROSCA COMPLETA CABEZA REDONDA ESTRELLADA 1/4" X 1 1/2"</v>
      </c>
      <c r="C727" s="39" t="s">
        <v>17</v>
      </c>
      <c r="D727" s="368">
        <v>40</v>
      </c>
      <c r="E727" s="369">
        <v>20</v>
      </c>
      <c r="F727" s="369">
        <v>20</v>
      </c>
      <c r="G727" s="369">
        <v>20</v>
      </c>
      <c r="H727" s="240">
        <f>SUM(Tabla1321124[[#This Row],[PRIMER TRIMESTRE]:[CUARTO TRIMESTRE]])</f>
        <v>100</v>
      </c>
      <c r="I727" s="17">
        <v>9</v>
      </c>
      <c r="J727" s="17">
        <f>+Tabla1321124[[#This Row],[CANTIDAD TOTAL]]*Tabla1321124[[#This Row],[PRECIO UNITARIO ESTIMADO]]</f>
        <v>900</v>
      </c>
      <c r="K727" s="175"/>
      <c r="L727" s="16" t="s">
        <v>18</v>
      </c>
      <c r="M727" s="16" t="s">
        <v>22</v>
      </c>
      <c r="N727" s="16" t="s">
        <v>418</v>
      </c>
      <c r="O727" s="243"/>
      <c r="P727" s="243"/>
      <c r="Q727" s="243"/>
      <c r="R727" s="243"/>
      <c r="S727" s="243"/>
      <c r="T727" s="243"/>
      <c r="U727" s="243"/>
      <c r="V727" s="243"/>
      <c r="W727" s="243"/>
      <c r="X727" s="243"/>
      <c r="Y727" s="243"/>
      <c r="Z727" s="243"/>
      <c r="AA727" s="243"/>
      <c r="AB727" s="243"/>
      <c r="AC727" s="243"/>
      <c r="AD727" s="243"/>
      <c r="AE727" s="243"/>
      <c r="AF727" s="243"/>
      <c r="AG727" s="243"/>
      <c r="AH727" s="243"/>
      <c r="AI727" s="243"/>
      <c r="AJ727" s="243"/>
      <c r="AK727" s="243"/>
      <c r="AL727" s="243"/>
      <c r="AM727" s="243"/>
      <c r="AN727" s="243"/>
      <c r="AO727" s="243"/>
      <c r="AP727" s="243"/>
      <c r="AQ727" s="243"/>
      <c r="AR727" s="243"/>
      <c r="AS727" s="243"/>
      <c r="AT727" s="243"/>
      <c r="AU727" s="243"/>
      <c r="AV727" s="243"/>
      <c r="AW727" s="243"/>
      <c r="AX727" s="243"/>
      <c r="AY727" s="243"/>
      <c r="AZ727" s="243"/>
      <c r="BA727" s="243"/>
      <c r="BB727" s="243"/>
      <c r="BC727" s="243"/>
      <c r="BD727" s="243"/>
      <c r="BE727" s="243"/>
      <c r="BF727" s="243"/>
      <c r="BG727" s="243"/>
      <c r="BH727" s="243"/>
      <c r="BI727" s="243"/>
      <c r="BJ727" s="243"/>
      <c r="BK727" s="243"/>
      <c r="BL727" s="243"/>
      <c r="BM727" s="243"/>
      <c r="BN727" s="243"/>
      <c r="BO727" s="243"/>
      <c r="BP727" s="243"/>
      <c r="BQ727" s="243"/>
      <c r="BR727" s="243"/>
      <c r="BS727" s="243"/>
    </row>
    <row r="728" spans="1:71" s="12" customFormat="1" ht="41.25" customHeight="1">
      <c r="A728" s="178" t="s">
        <v>80</v>
      </c>
      <c r="B728" s="178" t="str">
        <f ca="1">+UPPER(Tabla1321124[[#This Row],[DESCRIPCIÓN DE LA COMPRA O CONTRATACIÓN]])</f>
        <v>TORNILLOS TIRAFONDO ROSCA COMPLETA CABEZA REDONDA ESTRELLADA 1/4" X 1"</v>
      </c>
      <c r="C728" s="39" t="s">
        <v>17</v>
      </c>
      <c r="D728" s="368">
        <v>40</v>
      </c>
      <c r="E728" s="369">
        <v>20</v>
      </c>
      <c r="F728" s="369">
        <v>20</v>
      </c>
      <c r="G728" s="369">
        <v>20</v>
      </c>
      <c r="H728" s="240">
        <f>SUM(Tabla1321124[[#This Row],[PRIMER TRIMESTRE]:[CUARTO TRIMESTRE]])</f>
        <v>100</v>
      </c>
      <c r="I728" s="17">
        <v>9</v>
      </c>
      <c r="J728" s="17">
        <f>+Tabla1321124[[#This Row],[CANTIDAD TOTAL]]*Tabla1321124[[#This Row],[PRECIO UNITARIO ESTIMADO]]</f>
        <v>900</v>
      </c>
      <c r="K728" s="175"/>
      <c r="L728" s="16" t="s">
        <v>18</v>
      </c>
      <c r="M728" s="16" t="s">
        <v>22</v>
      </c>
      <c r="N728" s="16" t="s">
        <v>418</v>
      </c>
      <c r="O728" s="243"/>
      <c r="P728" s="243"/>
      <c r="Q728" s="243"/>
      <c r="R728" s="243"/>
      <c r="S728" s="243"/>
      <c r="T728" s="243"/>
      <c r="U728" s="243"/>
      <c r="V728" s="243"/>
      <c r="W728" s="243"/>
      <c r="X728" s="243"/>
      <c r="Y728" s="243"/>
      <c r="Z728" s="243"/>
      <c r="AA728" s="243"/>
      <c r="AB728" s="243"/>
      <c r="AC728" s="243"/>
      <c r="AD728" s="243"/>
      <c r="AE728" s="243"/>
      <c r="AF728" s="243"/>
      <c r="AG728" s="243"/>
      <c r="AH728" s="243"/>
      <c r="AI728" s="243"/>
      <c r="AJ728" s="243"/>
      <c r="AK728" s="243"/>
      <c r="AL728" s="243"/>
      <c r="AM728" s="243"/>
      <c r="AN728" s="243"/>
      <c r="AO728" s="243"/>
      <c r="AP728" s="243"/>
      <c r="AQ728" s="243"/>
      <c r="AR728" s="243"/>
      <c r="AS728" s="243"/>
      <c r="AT728" s="243"/>
      <c r="AU728" s="243"/>
      <c r="AV728" s="243"/>
      <c r="AW728" s="243"/>
      <c r="AX728" s="243"/>
      <c r="AY728" s="243"/>
      <c r="AZ728" s="243"/>
      <c r="BA728" s="243"/>
      <c r="BB728" s="243"/>
      <c r="BC728" s="243"/>
      <c r="BD728" s="243"/>
      <c r="BE728" s="243"/>
      <c r="BF728" s="243"/>
      <c r="BG728" s="243"/>
      <c r="BH728" s="243"/>
      <c r="BI728" s="243"/>
      <c r="BJ728" s="243"/>
      <c r="BK728" s="243"/>
      <c r="BL728" s="243"/>
      <c r="BM728" s="243"/>
      <c r="BN728" s="243"/>
      <c r="BO728" s="243"/>
      <c r="BP728" s="243"/>
      <c r="BQ728" s="243"/>
      <c r="BR728" s="243"/>
      <c r="BS728" s="243"/>
    </row>
    <row r="729" spans="1:71" s="12" customFormat="1" ht="41.25" customHeight="1">
      <c r="A729" s="178" t="s">
        <v>80</v>
      </c>
      <c r="B729" s="178" t="str">
        <f ca="1">+UPPER(Tabla1321124[[#This Row],[DESCRIPCIÓN DE LA COMPRA O CONTRATACIÓN]])</f>
        <v>TORNILLOS TIRAFONDO ROSCA COMPLETA CABEZA REDONDA ESTRELLADA 3/16" X 1"</v>
      </c>
      <c r="C729" s="39" t="s">
        <v>17</v>
      </c>
      <c r="D729" s="368">
        <v>40</v>
      </c>
      <c r="E729" s="369">
        <v>20</v>
      </c>
      <c r="F729" s="369">
        <v>20</v>
      </c>
      <c r="G729" s="369">
        <v>20</v>
      </c>
      <c r="H729" s="240">
        <f>SUM(Tabla1321124[[#This Row],[PRIMER TRIMESTRE]:[CUARTO TRIMESTRE]])</f>
        <v>100</v>
      </c>
      <c r="I729" s="17">
        <v>9</v>
      </c>
      <c r="J729" s="17">
        <f>+Tabla1321124[[#This Row],[CANTIDAD TOTAL]]*Tabla1321124[[#This Row],[PRECIO UNITARIO ESTIMADO]]</f>
        <v>900</v>
      </c>
      <c r="K729" s="175"/>
      <c r="L729" s="16" t="s">
        <v>18</v>
      </c>
      <c r="M729" s="16" t="s">
        <v>22</v>
      </c>
      <c r="N729" s="16" t="s">
        <v>418</v>
      </c>
      <c r="O729" s="243"/>
      <c r="P729" s="243"/>
      <c r="Q729" s="243"/>
      <c r="R729" s="243"/>
      <c r="S729" s="243"/>
      <c r="T729" s="243"/>
      <c r="U729" s="243"/>
      <c r="V729" s="243"/>
      <c r="W729" s="243"/>
      <c r="X729" s="243"/>
      <c r="Y729" s="243"/>
      <c r="Z729" s="243"/>
      <c r="AA729" s="243"/>
      <c r="AB729" s="243"/>
      <c r="AC729" s="243"/>
      <c r="AD729" s="243"/>
      <c r="AE729" s="243"/>
      <c r="AF729" s="243"/>
      <c r="AG729" s="243"/>
      <c r="AH729" s="243"/>
      <c r="AI729" s="243"/>
      <c r="AJ729" s="243"/>
      <c r="AK729" s="243"/>
      <c r="AL729" s="243"/>
      <c r="AM729" s="243"/>
      <c r="AN729" s="243"/>
      <c r="AO729" s="243"/>
      <c r="AP729" s="243"/>
      <c r="AQ729" s="243"/>
      <c r="AR729" s="243"/>
      <c r="AS729" s="243"/>
      <c r="AT729" s="243"/>
      <c r="AU729" s="243"/>
      <c r="AV729" s="243"/>
      <c r="AW729" s="243"/>
      <c r="AX729" s="243"/>
      <c r="AY729" s="243"/>
      <c r="AZ729" s="243"/>
      <c r="BA729" s="243"/>
      <c r="BB729" s="243"/>
      <c r="BC729" s="243"/>
      <c r="BD729" s="243"/>
      <c r="BE729" s="243"/>
      <c r="BF729" s="243"/>
      <c r="BG729" s="243"/>
      <c r="BH729" s="243"/>
      <c r="BI729" s="243"/>
      <c r="BJ729" s="243"/>
      <c r="BK729" s="243"/>
      <c r="BL729" s="243"/>
      <c r="BM729" s="243"/>
      <c r="BN729" s="243"/>
      <c r="BO729" s="243"/>
      <c r="BP729" s="243"/>
      <c r="BQ729" s="243"/>
      <c r="BR729" s="243"/>
      <c r="BS729" s="243"/>
    </row>
    <row r="730" spans="1:71" s="12" customFormat="1" ht="41.25" customHeight="1">
      <c r="A730" s="178" t="s">
        <v>80</v>
      </c>
      <c r="B730" s="178" t="str">
        <f ca="1">+UPPER(Tabla1321124[[#This Row],[DESCRIPCIÓN DE LA COMPRA O CONTRATACIÓN]])</f>
        <v>TORNILLOS TIRAFONDO ROSCA COMPLETA CABEZA REDONDA ESTRELLADA 3/16" X 3/4"</v>
      </c>
      <c r="C730" s="39" t="s">
        <v>17</v>
      </c>
      <c r="D730" s="368">
        <v>40</v>
      </c>
      <c r="E730" s="369">
        <v>20</v>
      </c>
      <c r="F730" s="369">
        <v>20</v>
      </c>
      <c r="G730" s="369">
        <v>20</v>
      </c>
      <c r="H730" s="240">
        <f>SUM(Tabla1321124[[#This Row],[PRIMER TRIMESTRE]:[CUARTO TRIMESTRE]])</f>
        <v>100</v>
      </c>
      <c r="I730" s="17">
        <v>9</v>
      </c>
      <c r="J730" s="17">
        <f>+Tabla1321124[[#This Row],[CANTIDAD TOTAL]]*Tabla1321124[[#This Row],[PRECIO UNITARIO ESTIMADO]]</f>
        <v>900</v>
      </c>
      <c r="K730" s="175"/>
      <c r="L730" s="16" t="s">
        <v>18</v>
      </c>
      <c r="M730" s="16" t="s">
        <v>22</v>
      </c>
      <c r="N730" s="16" t="s">
        <v>418</v>
      </c>
      <c r="O730" s="243"/>
      <c r="P730" s="243"/>
      <c r="Q730" s="243"/>
      <c r="R730" s="243"/>
      <c r="S730" s="243"/>
      <c r="T730" s="243"/>
      <c r="U730" s="243"/>
      <c r="V730" s="243"/>
      <c r="W730" s="243"/>
      <c r="X730" s="243"/>
      <c r="Y730" s="243"/>
      <c r="Z730" s="243"/>
      <c r="AA730" s="243"/>
      <c r="AB730" s="243"/>
      <c r="AC730" s="243"/>
      <c r="AD730" s="243"/>
      <c r="AE730" s="243"/>
      <c r="AF730" s="243"/>
      <c r="AG730" s="243"/>
      <c r="AH730" s="243"/>
      <c r="AI730" s="243"/>
      <c r="AJ730" s="243"/>
      <c r="AK730" s="243"/>
      <c r="AL730" s="243"/>
      <c r="AM730" s="243"/>
      <c r="AN730" s="243"/>
      <c r="AO730" s="243"/>
      <c r="AP730" s="243"/>
      <c r="AQ730" s="243"/>
      <c r="AR730" s="243"/>
      <c r="AS730" s="243"/>
      <c r="AT730" s="243"/>
      <c r="AU730" s="243"/>
      <c r="AV730" s="243"/>
      <c r="AW730" s="243"/>
      <c r="AX730" s="243"/>
      <c r="AY730" s="243"/>
      <c r="AZ730" s="243"/>
      <c r="BA730" s="243"/>
      <c r="BB730" s="243"/>
      <c r="BC730" s="243"/>
      <c r="BD730" s="243"/>
      <c r="BE730" s="243"/>
      <c r="BF730" s="243"/>
      <c r="BG730" s="243"/>
      <c r="BH730" s="243"/>
      <c r="BI730" s="243"/>
      <c r="BJ730" s="243"/>
      <c r="BK730" s="243"/>
      <c r="BL730" s="243"/>
      <c r="BM730" s="243"/>
      <c r="BN730" s="243"/>
      <c r="BO730" s="243"/>
      <c r="BP730" s="243"/>
      <c r="BQ730" s="243"/>
      <c r="BR730" s="243"/>
      <c r="BS730" s="243"/>
    </row>
    <row r="731" spans="1:71" s="12" customFormat="1" ht="41.25" customHeight="1">
      <c r="A731" s="178" t="s">
        <v>80</v>
      </c>
      <c r="B731" s="178" t="str">
        <f ca="1">+UPPER(Tabla1321124[[#This Row],[DESCRIPCIÓN DE LA COMPRA O CONTRATACIÓN]])</f>
        <v>TORNILLOS TIRAFONDO ROSCA COMPLETA CABEZA REDONDA ESTRELLADA 5/16" X 1 1/2"</v>
      </c>
      <c r="C731" s="39" t="s">
        <v>17</v>
      </c>
      <c r="D731" s="368">
        <v>40</v>
      </c>
      <c r="E731" s="369">
        <v>20</v>
      </c>
      <c r="F731" s="369">
        <v>20</v>
      </c>
      <c r="G731" s="369">
        <v>20</v>
      </c>
      <c r="H731" s="240">
        <f>SUM(Tabla1321124[[#This Row],[PRIMER TRIMESTRE]:[CUARTO TRIMESTRE]])</f>
        <v>100</v>
      </c>
      <c r="I731" s="17">
        <v>9</v>
      </c>
      <c r="J731" s="17">
        <f>+Tabla1321124[[#This Row],[CANTIDAD TOTAL]]*Tabla1321124[[#This Row],[PRECIO UNITARIO ESTIMADO]]</f>
        <v>900</v>
      </c>
      <c r="K731" s="175"/>
      <c r="L731" s="16" t="s">
        <v>18</v>
      </c>
      <c r="M731" s="16" t="s">
        <v>22</v>
      </c>
      <c r="N731" s="16" t="s">
        <v>418</v>
      </c>
      <c r="O731" s="243"/>
      <c r="P731" s="243"/>
      <c r="Q731" s="243"/>
      <c r="R731" s="243"/>
      <c r="S731" s="243"/>
      <c r="T731" s="243"/>
      <c r="U731" s="243"/>
      <c r="V731" s="243"/>
      <c r="W731" s="243"/>
      <c r="X731" s="243"/>
      <c r="Y731" s="243"/>
      <c r="Z731" s="243"/>
      <c r="AA731" s="243"/>
      <c r="AB731" s="243"/>
      <c r="AC731" s="243"/>
      <c r="AD731" s="243"/>
      <c r="AE731" s="243"/>
      <c r="AF731" s="243"/>
      <c r="AG731" s="243"/>
      <c r="AH731" s="243"/>
      <c r="AI731" s="243"/>
      <c r="AJ731" s="243"/>
      <c r="AK731" s="243"/>
      <c r="AL731" s="243"/>
      <c r="AM731" s="243"/>
      <c r="AN731" s="243"/>
      <c r="AO731" s="243"/>
      <c r="AP731" s="243"/>
      <c r="AQ731" s="243"/>
      <c r="AR731" s="243"/>
      <c r="AS731" s="243"/>
      <c r="AT731" s="243"/>
      <c r="AU731" s="243"/>
      <c r="AV731" s="243"/>
      <c r="AW731" s="243"/>
      <c r="AX731" s="243"/>
      <c r="AY731" s="243"/>
      <c r="AZ731" s="243"/>
      <c r="BA731" s="243"/>
      <c r="BB731" s="243"/>
      <c r="BC731" s="243"/>
      <c r="BD731" s="243"/>
      <c r="BE731" s="243"/>
      <c r="BF731" s="243"/>
      <c r="BG731" s="243"/>
      <c r="BH731" s="243"/>
      <c r="BI731" s="243"/>
      <c r="BJ731" s="243"/>
      <c r="BK731" s="243"/>
      <c r="BL731" s="243"/>
      <c r="BM731" s="243"/>
      <c r="BN731" s="243"/>
      <c r="BO731" s="243"/>
      <c r="BP731" s="243"/>
      <c r="BQ731" s="243"/>
      <c r="BR731" s="243"/>
      <c r="BS731" s="243"/>
    </row>
    <row r="732" spans="1:71" s="12" customFormat="1" ht="41.25" customHeight="1">
      <c r="A732" s="178" t="s">
        <v>80</v>
      </c>
      <c r="B732" s="178" t="str">
        <f ca="1">+UPPER(Tabla1321124[[#This Row],[DESCRIPCIÓN DE LA COMPRA O CONTRATACIÓN]])</f>
        <v>TORNILLOS TIRAFONDO ROSCA COMPLETA CABEZA REDONDA ESTRELLADA 5/16" X 2"</v>
      </c>
      <c r="C732" s="39" t="s">
        <v>17</v>
      </c>
      <c r="D732" s="368">
        <v>40</v>
      </c>
      <c r="E732" s="369">
        <v>20</v>
      </c>
      <c r="F732" s="369">
        <v>20</v>
      </c>
      <c r="G732" s="369">
        <v>20</v>
      </c>
      <c r="H732" s="240">
        <f>SUM(Tabla1321124[[#This Row],[PRIMER TRIMESTRE]:[CUARTO TRIMESTRE]])</f>
        <v>100</v>
      </c>
      <c r="I732" s="17">
        <v>9</v>
      </c>
      <c r="J732" s="17">
        <f>+Tabla1321124[[#This Row],[CANTIDAD TOTAL]]*Tabla1321124[[#This Row],[PRECIO UNITARIO ESTIMADO]]</f>
        <v>900</v>
      </c>
      <c r="K732" s="175"/>
      <c r="L732" s="16" t="s">
        <v>18</v>
      </c>
      <c r="M732" s="16" t="s">
        <v>22</v>
      </c>
      <c r="N732" s="16" t="s">
        <v>418</v>
      </c>
      <c r="O732" s="243"/>
      <c r="P732" s="243"/>
      <c r="Q732" s="243"/>
      <c r="R732" s="243"/>
      <c r="S732" s="243"/>
      <c r="T732" s="243"/>
      <c r="U732" s="243"/>
      <c r="V732" s="243"/>
      <c r="W732" s="243"/>
      <c r="X732" s="243"/>
      <c r="Y732" s="243"/>
      <c r="Z732" s="243"/>
      <c r="AA732" s="243"/>
      <c r="AB732" s="243"/>
      <c r="AC732" s="243"/>
      <c r="AD732" s="243"/>
      <c r="AE732" s="243"/>
      <c r="AF732" s="243"/>
      <c r="AG732" s="243"/>
      <c r="AH732" s="243"/>
      <c r="AI732" s="243"/>
      <c r="AJ732" s="243"/>
      <c r="AK732" s="243"/>
      <c r="AL732" s="243"/>
      <c r="AM732" s="243"/>
      <c r="AN732" s="243"/>
      <c r="AO732" s="243"/>
      <c r="AP732" s="243"/>
      <c r="AQ732" s="243"/>
      <c r="AR732" s="243"/>
      <c r="AS732" s="243"/>
      <c r="AT732" s="243"/>
      <c r="AU732" s="243"/>
      <c r="AV732" s="243"/>
      <c r="AW732" s="243"/>
      <c r="AX732" s="243"/>
      <c r="AY732" s="243"/>
      <c r="AZ732" s="243"/>
      <c r="BA732" s="243"/>
      <c r="BB732" s="243"/>
      <c r="BC732" s="243"/>
      <c r="BD732" s="243"/>
      <c r="BE732" s="243"/>
      <c r="BF732" s="243"/>
      <c r="BG732" s="243"/>
      <c r="BH732" s="243"/>
      <c r="BI732" s="243"/>
      <c r="BJ732" s="243"/>
      <c r="BK732" s="243"/>
      <c r="BL732" s="243"/>
      <c r="BM732" s="243"/>
      <c r="BN732" s="243"/>
      <c r="BO732" s="243"/>
      <c r="BP732" s="243"/>
      <c r="BQ732" s="243"/>
      <c r="BR732" s="243"/>
      <c r="BS732" s="243"/>
    </row>
    <row r="733" spans="1:71" s="12" customFormat="1" ht="41.25" customHeight="1">
      <c r="A733" s="178" t="s">
        <v>80</v>
      </c>
      <c r="B733" s="178" t="str">
        <f ca="1">+UPPER(Tabla1321124[[#This Row],[DESCRIPCIÓN DE LA COMPRA O CONTRATACIÓN]])</f>
        <v>TUBO DE  2” PVC SDR-26</v>
      </c>
      <c r="C733" s="39" t="s">
        <v>17</v>
      </c>
      <c r="D733" s="368">
        <v>40</v>
      </c>
      <c r="E733" s="369">
        <v>20</v>
      </c>
      <c r="F733" s="369">
        <v>20</v>
      </c>
      <c r="G733" s="369">
        <v>20</v>
      </c>
      <c r="H733" s="240">
        <f>SUM(Tabla1321124[[#This Row],[PRIMER TRIMESTRE]:[CUARTO TRIMESTRE]])</f>
        <v>100</v>
      </c>
      <c r="I733" s="17">
        <v>350</v>
      </c>
      <c r="J733" s="17">
        <f>+Tabla1321124[[#This Row],[CANTIDAD TOTAL]]*Tabla1321124[[#This Row],[PRECIO UNITARIO ESTIMADO]]</f>
        <v>35000</v>
      </c>
      <c r="K733" s="175"/>
      <c r="L733" s="16" t="s">
        <v>18</v>
      </c>
      <c r="M733" s="16" t="s">
        <v>22</v>
      </c>
      <c r="N733" s="16" t="s">
        <v>418</v>
      </c>
      <c r="O733" s="243"/>
      <c r="P733" s="243"/>
      <c r="Q733" s="243"/>
      <c r="R733" s="243"/>
      <c r="S733" s="243"/>
      <c r="T733" s="243"/>
      <c r="U733" s="243"/>
      <c r="V733" s="243"/>
      <c r="W733" s="243"/>
      <c r="X733" s="243"/>
      <c r="Y733" s="243"/>
      <c r="Z733" s="243"/>
      <c r="AA733" s="243"/>
      <c r="AB733" s="243"/>
      <c r="AC733" s="243"/>
      <c r="AD733" s="243"/>
      <c r="AE733" s="243"/>
      <c r="AF733" s="243"/>
      <c r="AG733" s="243"/>
      <c r="AH733" s="243"/>
      <c r="AI733" s="243"/>
      <c r="AJ733" s="243"/>
      <c r="AK733" s="243"/>
      <c r="AL733" s="243"/>
      <c r="AM733" s="243"/>
      <c r="AN733" s="243"/>
      <c r="AO733" s="243"/>
      <c r="AP733" s="243"/>
      <c r="AQ733" s="243"/>
      <c r="AR733" s="243"/>
      <c r="AS733" s="243"/>
      <c r="AT733" s="243"/>
      <c r="AU733" s="243"/>
      <c r="AV733" s="243"/>
      <c r="AW733" s="243"/>
      <c r="AX733" s="243"/>
      <c r="AY733" s="243"/>
      <c r="AZ733" s="243"/>
      <c r="BA733" s="243"/>
      <c r="BB733" s="243"/>
      <c r="BC733" s="243"/>
      <c r="BD733" s="243"/>
      <c r="BE733" s="243"/>
      <c r="BF733" s="243"/>
      <c r="BG733" s="243"/>
      <c r="BH733" s="243"/>
      <c r="BI733" s="243"/>
      <c r="BJ733" s="243"/>
      <c r="BK733" s="243"/>
      <c r="BL733" s="243"/>
      <c r="BM733" s="243"/>
      <c r="BN733" s="243"/>
      <c r="BO733" s="243"/>
      <c r="BP733" s="243"/>
      <c r="BQ733" s="243"/>
      <c r="BR733" s="243"/>
      <c r="BS733" s="243"/>
    </row>
    <row r="734" spans="1:71" s="12" customFormat="1" ht="41.25" customHeight="1">
      <c r="A734" s="178" t="s">
        <v>80</v>
      </c>
      <c r="B734" s="178" t="str">
        <f ca="1">+UPPER(Tabla1321124[[#This Row],[DESCRIPCIÓN DE LA COMPRA O CONTRATACIÓN]])</f>
        <v>TUBO DE ½” HG</v>
      </c>
      <c r="C734" s="39" t="s">
        <v>17</v>
      </c>
      <c r="D734" s="368">
        <v>20</v>
      </c>
      <c r="E734" s="369">
        <v>10</v>
      </c>
      <c r="F734" s="369">
        <v>10</v>
      </c>
      <c r="G734" s="369">
        <v>10</v>
      </c>
      <c r="H734" s="240">
        <f>SUM(Tabla1321124[[#This Row],[PRIMER TRIMESTRE]:[CUARTO TRIMESTRE]])</f>
        <v>50</v>
      </c>
      <c r="I734" s="17">
        <v>150</v>
      </c>
      <c r="J734" s="17">
        <f>+Tabla1321124[[#This Row],[CANTIDAD TOTAL]]*Tabla1321124[[#This Row],[PRECIO UNITARIO ESTIMADO]]</f>
        <v>7500</v>
      </c>
      <c r="K734" s="175"/>
      <c r="L734" s="16" t="s">
        <v>18</v>
      </c>
      <c r="M734" s="16" t="s">
        <v>22</v>
      </c>
      <c r="N734" s="16" t="s">
        <v>418</v>
      </c>
      <c r="O734" s="243"/>
      <c r="P734" s="243"/>
      <c r="Q734" s="243"/>
      <c r="R734" s="243"/>
      <c r="S734" s="243"/>
      <c r="T734" s="243"/>
      <c r="U734" s="243"/>
      <c r="V734" s="243"/>
      <c r="W734" s="243"/>
      <c r="X734" s="243"/>
      <c r="Y734" s="243"/>
      <c r="Z734" s="243"/>
      <c r="AA734" s="243"/>
      <c r="AB734" s="243"/>
      <c r="AC734" s="243"/>
      <c r="AD734" s="243"/>
      <c r="AE734" s="243"/>
      <c r="AF734" s="243"/>
      <c r="AG734" s="243"/>
      <c r="AH734" s="243"/>
      <c r="AI734" s="243"/>
      <c r="AJ734" s="243"/>
      <c r="AK734" s="243"/>
      <c r="AL734" s="243"/>
      <c r="AM734" s="243"/>
      <c r="AN734" s="243"/>
      <c r="AO734" s="243"/>
      <c r="AP734" s="243"/>
      <c r="AQ734" s="243"/>
      <c r="AR734" s="243"/>
      <c r="AS734" s="243"/>
      <c r="AT734" s="243"/>
      <c r="AU734" s="243"/>
      <c r="AV734" s="243"/>
      <c r="AW734" s="243"/>
      <c r="AX734" s="243"/>
      <c r="AY734" s="243"/>
      <c r="AZ734" s="243"/>
      <c r="BA734" s="243"/>
      <c r="BB734" s="243"/>
      <c r="BC734" s="243"/>
      <c r="BD734" s="243"/>
      <c r="BE734" s="243"/>
      <c r="BF734" s="243"/>
      <c r="BG734" s="243"/>
      <c r="BH734" s="243"/>
      <c r="BI734" s="243"/>
      <c r="BJ734" s="243"/>
      <c r="BK734" s="243"/>
      <c r="BL734" s="243"/>
      <c r="BM734" s="243"/>
      <c r="BN734" s="243"/>
      <c r="BO734" s="243"/>
      <c r="BP734" s="243"/>
      <c r="BQ734" s="243"/>
      <c r="BR734" s="243"/>
      <c r="BS734" s="243"/>
    </row>
    <row r="735" spans="1:71" s="12" customFormat="1" ht="41.25" customHeight="1">
      <c r="A735" s="178" t="s">
        <v>80</v>
      </c>
      <c r="B735" s="178" t="str">
        <f ca="1">+UPPER(Tabla1321124[[#This Row],[DESCRIPCIÓN DE LA COMPRA O CONTRATACIÓN]])</f>
        <v>TUBO DE ½” P.V.C.  SCH-40</v>
      </c>
      <c r="C735" s="39" t="s">
        <v>17</v>
      </c>
      <c r="D735" s="368">
        <v>80</v>
      </c>
      <c r="E735" s="368">
        <v>40</v>
      </c>
      <c r="F735" s="368">
        <v>40</v>
      </c>
      <c r="G735" s="368">
        <v>40</v>
      </c>
      <c r="H735" s="240">
        <f>SUM(Tabla1321124[[#This Row],[PRIMER TRIMESTRE]:[CUARTO TRIMESTRE]])</f>
        <v>200</v>
      </c>
      <c r="I735" s="17">
        <v>325</v>
      </c>
      <c r="J735" s="17">
        <f>+Tabla1321124[[#This Row],[CANTIDAD TOTAL]]*Tabla1321124[[#This Row],[PRECIO UNITARIO ESTIMADO]]</f>
        <v>65000</v>
      </c>
      <c r="K735" s="175"/>
      <c r="L735" s="16" t="s">
        <v>18</v>
      </c>
      <c r="M735" s="16" t="s">
        <v>22</v>
      </c>
      <c r="N735" s="16" t="s">
        <v>418</v>
      </c>
      <c r="O735" s="243"/>
      <c r="P735" s="243"/>
      <c r="Q735" s="243"/>
      <c r="R735" s="243"/>
      <c r="S735" s="243"/>
      <c r="T735" s="243"/>
      <c r="U735" s="243"/>
      <c r="V735" s="243"/>
      <c r="W735" s="243"/>
      <c r="X735" s="243"/>
      <c r="Y735" s="243"/>
      <c r="Z735" s="243"/>
      <c r="AA735" s="243"/>
      <c r="AB735" s="243"/>
      <c r="AC735" s="243"/>
      <c r="AD735" s="243"/>
      <c r="AE735" s="243"/>
      <c r="AF735" s="243"/>
      <c r="AG735" s="243"/>
      <c r="AH735" s="243"/>
      <c r="AI735" s="243"/>
      <c r="AJ735" s="243"/>
      <c r="AK735" s="243"/>
      <c r="AL735" s="243"/>
      <c r="AM735" s="243"/>
      <c r="AN735" s="243"/>
      <c r="AO735" s="243"/>
      <c r="AP735" s="243"/>
      <c r="AQ735" s="243"/>
      <c r="AR735" s="243"/>
      <c r="AS735" s="243"/>
      <c r="AT735" s="243"/>
      <c r="AU735" s="243"/>
      <c r="AV735" s="243"/>
      <c r="AW735" s="243"/>
      <c r="AX735" s="243"/>
      <c r="AY735" s="243"/>
      <c r="AZ735" s="243"/>
      <c r="BA735" s="243"/>
      <c r="BB735" s="243"/>
      <c r="BC735" s="243"/>
      <c r="BD735" s="243"/>
      <c r="BE735" s="243"/>
      <c r="BF735" s="243"/>
      <c r="BG735" s="243"/>
      <c r="BH735" s="243"/>
      <c r="BI735" s="243"/>
      <c r="BJ735" s="243"/>
      <c r="BK735" s="243"/>
      <c r="BL735" s="243"/>
      <c r="BM735" s="243"/>
      <c r="BN735" s="243"/>
      <c r="BO735" s="243"/>
      <c r="BP735" s="243"/>
      <c r="BQ735" s="243"/>
      <c r="BR735" s="243"/>
      <c r="BS735" s="243"/>
    </row>
    <row r="736" spans="1:71" s="12" customFormat="1" ht="41.25" customHeight="1">
      <c r="A736" s="178" t="s">
        <v>80</v>
      </c>
      <c r="B736" s="178" t="str">
        <f ca="1">+UPPER(Tabla1321124[[#This Row],[DESCRIPCIÓN DE LA COMPRA O CONTRATACIÓN]])</f>
        <v>TUBO DE ¾” HG</v>
      </c>
      <c r="C736" s="39" t="s">
        <v>17</v>
      </c>
      <c r="D736" s="368">
        <v>20</v>
      </c>
      <c r="E736" s="369">
        <v>10</v>
      </c>
      <c r="F736" s="369">
        <v>10</v>
      </c>
      <c r="G736" s="369">
        <v>10</v>
      </c>
      <c r="H736" s="240">
        <f>SUM(Tabla1321124[[#This Row],[PRIMER TRIMESTRE]:[CUARTO TRIMESTRE]])</f>
        <v>50</v>
      </c>
      <c r="I736" s="17">
        <v>400</v>
      </c>
      <c r="J736" s="17">
        <f>+Tabla1321124[[#This Row],[CANTIDAD TOTAL]]*Tabla1321124[[#This Row],[PRECIO UNITARIO ESTIMADO]]</f>
        <v>20000</v>
      </c>
      <c r="K736" s="175"/>
      <c r="L736" s="16" t="s">
        <v>18</v>
      </c>
      <c r="M736" s="16" t="s">
        <v>22</v>
      </c>
      <c r="N736" s="16" t="s">
        <v>418</v>
      </c>
      <c r="O736" s="243"/>
      <c r="P736" s="243"/>
      <c r="Q736" s="243"/>
      <c r="R736" s="243"/>
      <c r="S736" s="243"/>
      <c r="T736" s="243"/>
      <c r="U736" s="243"/>
      <c r="V736" s="243"/>
      <c r="W736" s="243"/>
      <c r="X736" s="243"/>
      <c r="Y736" s="243"/>
      <c r="Z736" s="243"/>
      <c r="AA736" s="243"/>
      <c r="AB736" s="243"/>
      <c r="AC736" s="243"/>
      <c r="AD736" s="243"/>
      <c r="AE736" s="243"/>
      <c r="AF736" s="243"/>
      <c r="AG736" s="243"/>
      <c r="AH736" s="243"/>
      <c r="AI736" s="243"/>
      <c r="AJ736" s="243"/>
      <c r="AK736" s="243"/>
      <c r="AL736" s="243"/>
      <c r="AM736" s="243"/>
      <c r="AN736" s="243"/>
      <c r="AO736" s="243"/>
      <c r="AP736" s="243"/>
      <c r="AQ736" s="243"/>
      <c r="AR736" s="243"/>
      <c r="AS736" s="243"/>
      <c r="AT736" s="243"/>
      <c r="AU736" s="243"/>
      <c r="AV736" s="243"/>
      <c r="AW736" s="243"/>
      <c r="AX736" s="243"/>
      <c r="AY736" s="243"/>
      <c r="AZ736" s="243"/>
      <c r="BA736" s="243"/>
      <c r="BB736" s="243"/>
      <c r="BC736" s="243"/>
      <c r="BD736" s="243"/>
      <c r="BE736" s="243"/>
      <c r="BF736" s="243"/>
      <c r="BG736" s="243"/>
      <c r="BH736" s="243"/>
      <c r="BI736" s="243"/>
      <c r="BJ736" s="243"/>
      <c r="BK736" s="243"/>
      <c r="BL736" s="243"/>
      <c r="BM736" s="243"/>
      <c r="BN736" s="243"/>
      <c r="BO736" s="243"/>
      <c r="BP736" s="243"/>
      <c r="BQ736" s="243"/>
      <c r="BR736" s="243"/>
      <c r="BS736" s="243"/>
    </row>
    <row r="737" spans="1:71" s="26" customFormat="1" ht="41.25" customHeight="1">
      <c r="A737" s="178" t="s">
        <v>80</v>
      </c>
      <c r="B737" s="178" t="str">
        <f ca="1">+UPPER(Tabla1321124[[#This Row],[DESCRIPCIÓN DE LA COMPRA O CONTRATACIÓN]])</f>
        <v>TUBO DE ¾” P.V.C.  SCH-40</v>
      </c>
      <c r="C737" s="39" t="s">
        <v>17</v>
      </c>
      <c r="D737" s="368">
        <v>80</v>
      </c>
      <c r="E737" s="368">
        <v>40</v>
      </c>
      <c r="F737" s="368">
        <v>40</v>
      </c>
      <c r="G737" s="368">
        <v>40</v>
      </c>
      <c r="H737" s="240">
        <f>SUM(Tabla1321124[[#This Row],[PRIMER TRIMESTRE]:[CUARTO TRIMESTRE]])</f>
        <v>200</v>
      </c>
      <c r="I737" s="17">
        <v>325</v>
      </c>
      <c r="J737" s="17">
        <f>+Tabla1321124[[#This Row],[CANTIDAD TOTAL]]*Tabla1321124[[#This Row],[PRECIO UNITARIO ESTIMADO]]</f>
        <v>65000</v>
      </c>
      <c r="K737" s="175"/>
      <c r="L737" s="16" t="s">
        <v>18</v>
      </c>
      <c r="M737" s="16" t="s">
        <v>22</v>
      </c>
      <c r="N737" s="16" t="s">
        <v>418</v>
      </c>
      <c r="O737" s="243"/>
      <c r="P737" s="243"/>
      <c r="Q737" s="243"/>
      <c r="R737" s="243"/>
      <c r="S737" s="243"/>
      <c r="T737" s="243"/>
      <c r="U737" s="243"/>
      <c r="V737" s="243"/>
      <c r="W737" s="243"/>
      <c r="X737" s="243"/>
      <c r="Y737" s="243"/>
      <c r="Z737" s="243"/>
      <c r="AA737" s="243"/>
      <c r="AB737" s="243"/>
      <c r="AC737" s="243"/>
      <c r="AD737" s="243"/>
      <c r="AE737" s="243"/>
      <c r="AF737" s="243"/>
      <c r="AG737" s="243"/>
      <c r="AH737" s="243"/>
      <c r="AI737" s="243"/>
      <c r="AJ737" s="243"/>
      <c r="AK737" s="243"/>
      <c r="AL737" s="243"/>
      <c r="AM737" s="243"/>
      <c r="AN737" s="243"/>
      <c r="AO737" s="243"/>
      <c r="AP737" s="243"/>
      <c r="AQ737" s="243"/>
      <c r="AR737" s="243"/>
      <c r="AS737" s="243"/>
      <c r="AT737" s="243"/>
      <c r="AU737" s="243"/>
      <c r="AV737" s="243"/>
      <c r="AW737" s="243"/>
      <c r="AX737" s="243"/>
      <c r="AY737" s="243"/>
      <c r="AZ737" s="243"/>
      <c r="BA737" s="243"/>
      <c r="BB737" s="243"/>
      <c r="BC737" s="243"/>
      <c r="BD737" s="243"/>
      <c r="BE737" s="243"/>
      <c r="BF737" s="243"/>
      <c r="BG737" s="243"/>
      <c r="BH737" s="243"/>
      <c r="BI737" s="243"/>
      <c r="BJ737" s="243"/>
      <c r="BK737" s="243"/>
      <c r="BL737" s="243"/>
      <c r="BM737" s="243"/>
      <c r="BN737" s="243"/>
      <c r="BO737" s="243"/>
      <c r="BP737" s="243"/>
      <c r="BQ737" s="243"/>
      <c r="BR737" s="243"/>
      <c r="BS737" s="243"/>
    </row>
    <row r="738" spans="1:71" s="12" customFormat="1" ht="41.25" customHeight="1">
      <c r="A738" s="178" t="s">
        <v>80</v>
      </c>
      <c r="B738" s="178" t="str">
        <f ca="1">+UPPER(Tabla1321124[[#This Row],[DESCRIPCIÓN DE LA COMPRA O CONTRATACIÓN]])</f>
        <v>TUBO DE 1” HG</v>
      </c>
      <c r="C738" s="39" t="s">
        <v>17</v>
      </c>
      <c r="D738" s="368">
        <v>20</v>
      </c>
      <c r="E738" s="369">
        <v>10</v>
      </c>
      <c r="F738" s="369">
        <v>10</v>
      </c>
      <c r="G738" s="369">
        <v>10</v>
      </c>
      <c r="H738" s="240">
        <f>SUM(Tabla1321124[[#This Row],[PRIMER TRIMESTRE]:[CUARTO TRIMESTRE]])</f>
        <v>50</v>
      </c>
      <c r="I738" s="17">
        <v>350</v>
      </c>
      <c r="J738" s="17">
        <f>+Tabla1321124[[#This Row],[CANTIDAD TOTAL]]*Tabla1321124[[#This Row],[PRECIO UNITARIO ESTIMADO]]</f>
        <v>17500</v>
      </c>
      <c r="K738" s="175"/>
      <c r="L738" s="16" t="s">
        <v>18</v>
      </c>
      <c r="M738" s="16" t="s">
        <v>22</v>
      </c>
      <c r="N738" s="16" t="s">
        <v>418</v>
      </c>
      <c r="O738" s="243"/>
      <c r="P738" s="243"/>
      <c r="Q738" s="243"/>
      <c r="R738" s="243"/>
      <c r="S738" s="243"/>
      <c r="T738" s="243"/>
      <c r="U738" s="243"/>
      <c r="V738" s="243"/>
      <c r="W738" s="243"/>
      <c r="X738" s="243"/>
      <c r="Y738" s="243"/>
      <c r="Z738" s="243"/>
      <c r="AA738" s="243"/>
      <c r="AB738" s="243"/>
      <c r="AC738" s="243"/>
      <c r="AD738" s="243"/>
      <c r="AE738" s="243"/>
      <c r="AF738" s="243"/>
      <c r="AG738" s="243"/>
      <c r="AH738" s="243"/>
      <c r="AI738" s="243"/>
      <c r="AJ738" s="243"/>
      <c r="AK738" s="243"/>
      <c r="AL738" s="243"/>
      <c r="AM738" s="243"/>
      <c r="AN738" s="243"/>
      <c r="AO738" s="243"/>
      <c r="AP738" s="243"/>
      <c r="AQ738" s="243"/>
      <c r="AR738" s="243"/>
      <c r="AS738" s="243"/>
      <c r="AT738" s="243"/>
      <c r="AU738" s="243"/>
      <c r="AV738" s="243"/>
      <c r="AW738" s="243"/>
      <c r="AX738" s="243"/>
      <c r="AY738" s="243"/>
      <c r="AZ738" s="243"/>
      <c r="BA738" s="243"/>
      <c r="BB738" s="243"/>
      <c r="BC738" s="243"/>
      <c r="BD738" s="243"/>
      <c r="BE738" s="243"/>
      <c r="BF738" s="243"/>
      <c r="BG738" s="243"/>
      <c r="BH738" s="243"/>
      <c r="BI738" s="243"/>
      <c r="BJ738" s="243"/>
      <c r="BK738" s="243"/>
      <c r="BL738" s="243"/>
      <c r="BM738" s="243"/>
      <c r="BN738" s="243"/>
      <c r="BO738" s="243"/>
      <c r="BP738" s="243"/>
      <c r="BQ738" s="243"/>
      <c r="BR738" s="243"/>
      <c r="BS738" s="243"/>
    </row>
    <row r="739" spans="1:71" s="12" customFormat="1" ht="41.25" customHeight="1">
      <c r="A739" s="178" t="s">
        <v>80</v>
      </c>
      <c r="B739" s="178" t="str">
        <f ca="1">+UPPER(Tabla1321124[[#This Row],[DESCRIPCIÓN DE LA COMPRA O CONTRATACIÓN]])</f>
        <v>TUBO DE 1” P.V.C.  SCH-40</v>
      </c>
      <c r="C739" s="39" t="s">
        <v>17</v>
      </c>
      <c r="D739" s="368">
        <v>40</v>
      </c>
      <c r="E739" s="369">
        <v>20</v>
      </c>
      <c r="F739" s="369">
        <v>20</v>
      </c>
      <c r="G739" s="369">
        <v>20</v>
      </c>
      <c r="H739" s="240">
        <f>SUM(Tabla1321124[[#This Row],[PRIMER TRIMESTRE]:[CUARTO TRIMESTRE]])</f>
        <v>100</v>
      </c>
      <c r="I739" s="17">
        <v>375</v>
      </c>
      <c r="J739" s="17">
        <f>+Tabla1321124[[#This Row],[CANTIDAD TOTAL]]*Tabla1321124[[#This Row],[PRECIO UNITARIO ESTIMADO]]</f>
        <v>37500</v>
      </c>
      <c r="K739" s="175"/>
      <c r="L739" s="16" t="s">
        <v>18</v>
      </c>
      <c r="M739" s="16" t="s">
        <v>22</v>
      </c>
      <c r="N739" s="16" t="s">
        <v>418</v>
      </c>
      <c r="O739" s="243"/>
      <c r="P739" s="243"/>
      <c r="Q739" s="243"/>
      <c r="R739" s="243"/>
      <c r="S739" s="243"/>
      <c r="T739" s="243"/>
      <c r="U739" s="243"/>
      <c r="V739" s="243"/>
      <c r="W739" s="243"/>
      <c r="X739" s="243"/>
      <c r="Y739" s="243"/>
      <c r="Z739" s="243"/>
      <c r="AA739" s="243"/>
      <c r="AB739" s="243"/>
      <c r="AC739" s="243"/>
      <c r="AD739" s="243"/>
      <c r="AE739" s="243"/>
      <c r="AF739" s="243"/>
      <c r="AG739" s="243"/>
      <c r="AH739" s="243"/>
      <c r="AI739" s="243"/>
      <c r="AJ739" s="243"/>
      <c r="AK739" s="243"/>
      <c r="AL739" s="243"/>
      <c r="AM739" s="243"/>
      <c r="AN739" s="243"/>
      <c r="AO739" s="243"/>
      <c r="AP739" s="243"/>
      <c r="AQ739" s="243"/>
      <c r="AR739" s="243"/>
      <c r="AS739" s="243"/>
      <c r="AT739" s="243"/>
      <c r="AU739" s="243"/>
      <c r="AV739" s="243"/>
      <c r="AW739" s="243"/>
      <c r="AX739" s="243"/>
      <c r="AY739" s="243"/>
      <c r="AZ739" s="243"/>
      <c r="BA739" s="243"/>
      <c r="BB739" s="243"/>
      <c r="BC739" s="243"/>
      <c r="BD739" s="243"/>
      <c r="BE739" s="243"/>
      <c r="BF739" s="243"/>
      <c r="BG739" s="243"/>
      <c r="BH739" s="243"/>
      <c r="BI739" s="243"/>
      <c r="BJ739" s="243"/>
      <c r="BK739" s="243"/>
      <c r="BL739" s="243"/>
      <c r="BM739" s="243"/>
      <c r="BN739" s="243"/>
      <c r="BO739" s="243"/>
      <c r="BP739" s="243"/>
      <c r="BQ739" s="243"/>
      <c r="BR739" s="243"/>
      <c r="BS739" s="243"/>
    </row>
    <row r="740" spans="1:71" s="12" customFormat="1" ht="41.25" customHeight="1">
      <c r="A740" s="178" t="s">
        <v>80</v>
      </c>
      <c r="B740" s="178" t="str">
        <f ca="1">+UPPER(Tabla1321124[[#This Row],[DESCRIPCIÓN DE LA COMPRA O CONTRATACIÓN]])</f>
        <v>TUBO DE 1½” HG</v>
      </c>
      <c r="C740" s="39" t="s">
        <v>17</v>
      </c>
      <c r="D740" s="368">
        <v>15</v>
      </c>
      <c r="E740" s="369">
        <v>10</v>
      </c>
      <c r="F740" s="369">
        <v>5</v>
      </c>
      <c r="G740" s="369">
        <v>5</v>
      </c>
      <c r="H740" s="240">
        <f>SUM(Tabla1321124[[#This Row],[PRIMER TRIMESTRE]:[CUARTO TRIMESTRE]])</f>
        <v>35</v>
      </c>
      <c r="I740" s="17">
        <v>400</v>
      </c>
      <c r="J740" s="17">
        <f>+Tabla1321124[[#This Row],[CANTIDAD TOTAL]]*Tabla1321124[[#This Row],[PRECIO UNITARIO ESTIMADO]]</f>
        <v>14000</v>
      </c>
      <c r="K740" s="175"/>
      <c r="L740" s="16" t="s">
        <v>18</v>
      </c>
      <c r="M740" s="16" t="s">
        <v>22</v>
      </c>
      <c r="N740" s="16" t="s">
        <v>418</v>
      </c>
      <c r="O740" s="243"/>
      <c r="P740" s="243"/>
      <c r="Q740" s="243"/>
      <c r="R740" s="243"/>
      <c r="S740" s="243"/>
      <c r="T740" s="243"/>
      <c r="U740" s="243"/>
      <c r="V740" s="243"/>
      <c r="W740" s="243"/>
      <c r="X740" s="243"/>
      <c r="Y740" s="243"/>
      <c r="Z740" s="243"/>
      <c r="AA740" s="243"/>
      <c r="AB740" s="243"/>
      <c r="AC740" s="243"/>
      <c r="AD740" s="243"/>
      <c r="AE740" s="243"/>
      <c r="AF740" s="243"/>
      <c r="AG740" s="243"/>
      <c r="AH740" s="243"/>
      <c r="AI740" s="243"/>
      <c r="AJ740" s="243"/>
      <c r="AK740" s="243"/>
      <c r="AL740" s="243"/>
      <c r="AM740" s="243"/>
      <c r="AN740" s="243"/>
      <c r="AO740" s="243"/>
      <c r="AP740" s="243"/>
      <c r="AQ740" s="243"/>
      <c r="AR740" s="243"/>
      <c r="AS740" s="243"/>
      <c r="AT740" s="243"/>
      <c r="AU740" s="243"/>
      <c r="AV740" s="243"/>
      <c r="AW740" s="243"/>
      <c r="AX740" s="243"/>
      <c r="AY740" s="243"/>
      <c r="AZ740" s="243"/>
      <c r="BA740" s="243"/>
      <c r="BB740" s="243"/>
      <c r="BC740" s="243"/>
      <c r="BD740" s="243"/>
      <c r="BE740" s="243"/>
      <c r="BF740" s="243"/>
      <c r="BG740" s="243"/>
      <c r="BH740" s="243"/>
      <c r="BI740" s="243"/>
      <c r="BJ740" s="243"/>
      <c r="BK740" s="243"/>
      <c r="BL740" s="243"/>
      <c r="BM740" s="243"/>
      <c r="BN740" s="243"/>
      <c r="BO740" s="243"/>
      <c r="BP740" s="243"/>
      <c r="BQ740" s="243"/>
      <c r="BR740" s="243"/>
      <c r="BS740" s="243"/>
    </row>
    <row r="741" spans="1:71" s="12" customFormat="1" ht="41.25" customHeight="1">
      <c r="A741" s="178" t="s">
        <v>80</v>
      </c>
      <c r="B741" s="178" t="str">
        <f ca="1">+UPPER(Tabla1321124[[#This Row],[DESCRIPCIÓN DE LA COMPRA O CONTRATACIÓN]])</f>
        <v>TUBO DE 1½” P.V.C.  SCH-40</v>
      </c>
      <c r="C741" s="39" t="s">
        <v>17</v>
      </c>
      <c r="D741" s="368">
        <v>20</v>
      </c>
      <c r="E741" s="369">
        <v>10</v>
      </c>
      <c r="F741" s="369">
        <v>10</v>
      </c>
      <c r="G741" s="369">
        <v>10</v>
      </c>
      <c r="H741" s="240">
        <f>SUM(Tabla1321124[[#This Row],[PRIMER TRIMESTRE]:[CUARTO TRIMESTRE]])</f>
        <v>50</v>
      </c>
      <c r="I741" s="17">
        <v>41</v>
      </c>
      <c r="J741" s="17">
        <f>+Tabla1321124[[#This Row],[CANTIDAD TOTAL]]*Tabla1321124[[#This Row],[PRECIO UNITARIO ESTIMADO]]</f>
        <v>2050</v>
      </c>
      <c r="K741" s="175"/>
      <c r="L741" s="16" t="s">
        <v>18</v>
      </c>
      <c r="M741" s="16" t="s">
        <v>22</v>
      </c>
      <c r="N741" s="16" t="s">
        <v>418</v>
      </c>
      <c r="O741" s="243"/>
      <c r="P741" s="243"/>
      <c r="Q741" s="243"/>
      <c r="R741" s="243"/>
      <c r="S741" s="243"/>
      <c r="T741" s="243"/>
      <c r="U741" s="243"/>
      <c r="V741" s="243"/>
      <c r="W741" s="243"/>
      <c r="X741" s="243"/>
      <c r="Y741" s="243"/>
      <c r="Z741" s="243"/>
      <c r="AA741" s="243"/>
      <c r="AB741" s="243"/>
      <c r="AC741" s="243"/>
      <c r="AD741" s="243"/>
      <c r="AE741" s="243"/>
      <c r="AF741" s="243"/>
      <c r="AG741" s="243"/>
      <c r="AH741" s="243"/>
      <c r="AI741" s="243"/>
      <c r="AJ741" s="243"/>
      <c r="AK741" s="243"/>
      <c r="AL741" s="243"/>
      <c r="AM741" s="243"/>
      <c r="AN741" s="243"/>
      <c r="AO741" s="243"/>
      <c r="AP741" s="243"/>
      <c r="AQ741" s="243"/>
      <c r="AR741" s="243"/>
      <c r="AS741" s="243"/>
      <c r="AT741" s="243"/>
      <c r="AU741" s="243"/>
      <c r="AV741" s="243"/>
      <c r="AW741" s="243"/>
      <c r="AX741" s="243"/>
      <c r="AY741" s="243"/>
      <c r="AZ741" s="243"/>
      <c r="BA741" s="243"/>
      <c r="BB741" s="243"/>
      <c r="BC741" s="243"/>
      <c r="BD741" s="243"/>
      <c r="BE741" s="243"/>
      <c r="BF741" s="243"/>
      <c r="BG741" s="243"/>
      <c r="BH741" s="243"/>
      <c r="BI741" s="243"/>
      <c r="BJ741" s="243"/>
      <c r="BK741" s="243"/>
      <c r="BL741" s="243"/>
      <c r="BM741" s="243"/>
      <c r="BN741" s="243"/>
      <c r="BO741" s="243"/>
      <c r="BP741" s="243"/>
      <c r="BQ741" s="243"/>
      <c r="BR741" s="243"/>
      <c r="BS741" s="243"/>
    </row>
    <row r="742" spans="1:71" s="12" customFormat="1" ht="41.25" customHeight="1">
      <c r="A742" s="178" t="s">
        <v>80</v>
      </c>
      <c r="B742" s="178" t="str">
        <f ca="1">+UPPER(Tabla1321124[[#This Row],[DESCRIPCIÓN DE LA COMPRA O CONTRATACIÓN]])</f>
        <v>TUBO DE 12" PVC SDR-26</v>
      </c>
      <c r="C742" s="39" t="s">
        <v>17</v>
      </c>
      <c r="D742" s="368">
        <v>8</v>
      </c>
      <c r="E742" s="369">
        <v>4</v>
      </c>
      <c r="F742" s="369">
        <v>4</v>
      </c>
      <c r="G742" s="369">
        <v>4</v>
      </c>
      <c r="H742" s="240">
        <f>SUM(Tabla1321124[[#This Row],[PRIMER TRIMESTRE]:[CUARTO TRIMESTRE]])</f>
        <v>20</v>
      </c>
      <c r="I742" s="17">
        <v>440</v>
      </c>
      <c r="J742" s="17">
        <f>+Tabla1321124[[#This Row],[CANTIDAD TOTAL]]*Tabla1321124[[#This Row],[PRECIO UNITARIO ESTIMADO]]</f>
        <v>8800</v>
      </c>
      <c r="K742" s="175"/>
      <c r="L742" s="16" t="s">
        <v>18</v>
      </c>
      <c r="M742" s="16" t="s">
        <v>22</v>
      </c>
      <c r="N742" s="16" t="s">
        <v>418</v>
      </c>
      <c r="O742" s="243"/>
      <c r="P742" s="243"/>
      <c r="Q742" s="243"/>
      <c r="R742" s="243"/>
      <c r="S742" s="243"/>
      <c r="T742" s="243"/>
      <c r="U742" s="243"/>
      <c r="V742" s="243"/>
      <c r="W742" s="243"/>
      <c r="X742" s="243"/>
      <c r="Y742" s="243"/>
      <c r="Z742" s="243"/>
      <c r="AA742" s="243"/>
      <c r="AB742" s="243"/>
      <c r="AC742" s="243"/>
      <c r="AD742" s="243"/>
      <c r="AE742" s="243"/>
      <c r="AF742" s="243"/>
      <c r="AG742" s="243"/>
      <c r="AH742" s="243"/>
      <c r="AI742" s="243"/>
      <c r="AJ742" s="243"/>
      <c r="AK742" s="243"/>
      <c r="AL742" s="243"/>
      <c r="AM742" s="243"/>
      <c r="AN742" s="243"/>
      <c r="AO742" s="243"/>
      <c r="AP742" s="243"/>
      <c r="AQ742" s="243"/>
      <c r="AR742" s="243"/>
      <c r="AS742" s="243"/>
      <c r="AT742" s="243"/>
      <c r="AU742" s="243"/>
      <c r="AV742" s="243"/>
      <c r="AW742" s="243"/>
      <c r="AX742" s="243"/>
      <c r="AY742" s="243"/>
      <c r="AZ742" s="243"/>
      <c r="BA742" s="243"/>
      <c r="BB742" s="243"/>
      <c r="BC742" s="243"/>
      <c r="BD742" s="243"/>
      <c r="BE742" s="243"/>
      <c r="BF742" s="243"/>
      <c r="BG742" s="243"/>
      <c r="BH742" s="243"/>
      <c r="BI742" s="243"/>
      <c r="BJ742" s="243"/>
      <c r="BK742" s="243"/>
      <c r="BL742" s="243"/>
      <c r="BM742" s="243"/>
      <c r="BN742" s="243"/>
      <c r="BO742" s="243"/>
      <c r="BP742" s="243"/>
      <c r="BQ742" s="243"/>
      <c r="BR742" s="243"/>
      <c r="BS742" s="243"/>
    </row>
    <row r="743" spans="1:71" s="12" customFormat="1" ht="41.25" customHeight="1">
      <c r="A743" s="178" t="s">
        <v>80</v>
      </c>
      <c r="B743" s="178" t="str">
        <f ca="1">+UPPER(Tabla1321124[[#This Row],[DESCRIPCIÓN DE LA COMPRA O CONTRATACIÓN]])</f>
        <v>TUBO DE 12’’ DE ACERO</v>
      </c>
      <c r="C743" s="39" t="s">
        <v>17</v>
      </c>
      <c r="D743" s="369">
        <v>10</v>
      </c>
      <c r="E743" s="369">
        <v>5</v>
      </c>
      <c r="F743" s="369">
        <v>5</v>
      </c>
      <c r="G743" s="369">
        <v>5</v>
      </c>
      <c r="H743" s="240">
        <f>SUM(Tabla1321124[[#This Row],[PRIMER TRIMESTRE]:[CUARTO TRIMESTRE]])</f>
        <v>25</v>
      </c>
      <c r="I743" s="17">
        <v>450</v>
      </c>
      <c r="J743" s="17">
        <f>+Tabla1321124[[#This Row],[CANTIDAD TOTAL]]*Tabla1321124[[#This Row],[PRECIO UNITARIO ESTIMADO]]</f>
        <v>11250</v>
      </c>
      <c r="K743" s="175"/>
      <c r="L743" s="16" t="s">
        <v>18</v>
      </c>
      <c r="M743" s="16" t="s">
        <v>22</v>
      </c>
      <c r="N743" s="16" t="s">
        <v>418</v>
      </c>
      <c r="O743" s="243"/>
      <c r="P743" s="243"/>
      <c r="Q743" s="243"/>
      <c r="R743" s="243"/>
      <c r="S743" s="243"/>
      <c r="T743" s="243"/>
      <c r="U743" s="243"/>
      <c r="V743" s="243"/>
      <c r="W743" s="243"/>
      <c r="X743" s="243"/>
      <c r="Y743" s="243"/>
      <c r="Z743" s="243"/>
      <c r="AA743" s="243"/>
      <c r="AB743" s="243"/>
      <c r="AC743" s="243"/>
      <c r="AD743" s="243"/>
      <c r="AE743" s="243"/>
      <c r="AF743" s="243"/>
      <c r="AG743" s="243"/>
      <c r="AH743" s="243"/>
      <c r="AI743" s="243"/>
      <c r="AJ743" s="243"/>
      <c r="AK743" s="243"/>
      <c r="AL743" s="243"/>
      <c r="AM743" s="243"/>
      <c r="AN743" s="243"/>
      <c r="AO743" s="243"/>
      <c r="AP743" s="243"/>
      <c r="AQ743" s="243"/>
      <c r="AR743" s="243"/>
      <c r="AS743" s="243"/>
      <c r="AT743" s="243"/>
      <c r="AU743" s="243"/>
      <c r="AV743" s="243"/>
      <c r="AW743" s="243"/>
      <c r="AX743" s="243"/>
      <c r="AY743" s="243"/>
      <c r="AZ743" s="243"/>
      <c r="BA743" s="243"/>
      <c r="BB743" s="243"/>
      <c r="BC743" s="243"/>
      <c r="BD743" s="243"/>
      <c r="BE743" s="243"/>
      <c r="BF743" s="243"/>
      <c r="BG743" s="243"/>
      <c r="BH743" s="243"/>
      <c r="BI743" s="243"/>
      <c r="BJ743" s="243"/>
      <c r="BK743" s="243"/>
      <c r="BL743" s="243"/>
      <c r="BM743" s="243"/>
      <c r="BN743" s="243"/>
      <c r="BO743" s="243"/>
      <c r="BP743" s="243"/>
      <c r="BQ743" s="243"/>
      <c r="BR743" s="243"/>
      <c r="BS743" s="243"/>
    </row>
    <row r="744" spans="1:71" s="12" customFormat="1" ht="41.25" customHeight="1">
      <c r="A744" s="178" t="s">
        <v>80</v>
      </c>
      <c r="B744" s="178" t="str">
        <f ca="1">+UPPER(Tabla1321124[[#This Row],[DESCRIPCIÓN DE LA COMPRA O CONTRATACIÓN]])</f>
        <v>TUBO DE 16" PVC SDR-26</v>
      </c>
      <c r="C744" s="39" t="s">
        <v>17</v>
      </c>
      <c r="D744" s="368">
        <v>2</v>
      </c>
      <c r="E744" s="369">
        <v>1</v>
      </c>
      <c r="F744" s="369">
        <v>1</v>
      </c>
      <c r="G744" s="369">
        <v>1</v>
      </c>
      <c r="H744" s="240">
        <f>SUM(Tabla1321124[[#This Row],[PRIMER TRIMESTRE]:[CUARTO TRIMESTRE]])</f>
        <v>5</v>
      </c>
      <c r="I744" s="17">
        <v>325</v>
      </c>
      <c r="J744" s="17">
        <f>+Tabla1321124[[#This Row],[CANTIDAD TOTAL]]*Tabla1321124[[#This Row],[PRECIO UNITARIO ESTIMADO]]</f>
        <v>1625</v>
      </c>
      <c r="K744" s="175"/>
      <c r="L744" s="16" t="s">
        <v>18</v>
      </c>
      <c r="M744" s="16" t="s">
        <v>22</v>
      </c>
      <c r="N744" s="16" t="s">
        <v>418</v>
      </c>
      <c r="O744" s="243"/>
      <c r="P744" s="243"/>
      <c r="Q744" s="243"/>
      <c r="R744" s="243"/>
      <c r="S744" s="243"/>
      <c r="T744" s="243"/>
      <c r="U744" s="243"/>
      <c r="V744" s="243"/>
      <c r="W744" s="243"/>
      <c r="X744" s="243"/>
      <c r="Y744" s="243"/>
      <c r="Z744" s="243"/>
      <c r="AA744" s="243"/>
      <c r="AB744" s="243"/>
      <c r="AC744" s="243"/>
      <c r="AD744" s="243"/>
      <c r="AE744" s="243"/>
      <c r="AF744" s="243"/>
      <c r="AG744" s="243"/>
      <c r="AH744" s="243"/>
      <c r="AI744" s="243"/>
      <c r="AJ744" s="243"/>
      <c r="AK744" s="243"/>
      <c r="AL744" s="243"/>
      <c r="AM744" s="243"/>
      <c r="AN744" s="243"/>
      <c r="AO744" s="243"/>
      <c r="AP744" s="243"/>
      <c r="AQ744" s="243"/>
      <c r="AR744" s="243"/>
      <c r="AS744" s="243"/>
      <c r="AT744" s="243"/>
      <c r="AU744" s="243"/>
      <c r="AV744" s="243"/>
      <c r="AW744" s="243"/>
      <c r="AX744" s="243"/>
      <c r="AY744" s="243"/>
      <c r="AZ744" s="243"/>
      <c r="BA744" s="243"/>
      <c r="BB744" s="243"/>
      <c r="BC744" s="243"/>
      <c r="BD744" s="243"/>
      <c r="BE744" s="243"/>
      <c r="BF744" s="243"/>
      <c r="BG744" s="243"/>
      <c r="BH744" s="243"/>
      <c r="BI744" s="243"/>
      <c r="BJ744" s="243"/>
      <c r="BK744" s="243"/>
      <c r="BL744" s="243"/>
      <c r="BM744" s="243"/>
      <c r="BN744" s="243"/>
      <c r="BO744" s="243"/>
      <c r="BP744" s="243"/>
      <c r="BQ744" s="243"/>
      <c r="BR744" s="243"/>
      <c r="BS744" s="243"/>
    </row>
    <row r="745" spans="1:71" s="12" customFormat="1" ht="41.25" customHeight="1">
      <c r="A745" s="178" t="s">
        <v>80</v>
      </c>
      <c r="B745" s="178" t="str">
        <f ca="1">+UPPER(Tabla1321124[[#This Row],[DESCRIPCIÓN DE LA COMPRA O CONTRATACIÓN]])</f>
        <v xml:space="preserve">TUBO DE 16’’ PVC  SDR-26     </v>
      </c>
      <c r="C745" s="39" t="s">
        <v>17</v>
      </c>
      <c r="D745" s="368">
        <v>2</v>
      </c>
      <c r="E745" s="369">
        <v>1</v>
      </c>
      <c r="F745" s="369">
        <v>1</v>
      </c>
      <c r="G745" s="369">
        <v>1</v>
      </c>
      <c r="H745" s="240">
        <f>SUM(Tabla1321124[[#This Row],[PRIMER TRIMESTRE]:[CUARTO TRIMESTRE]])</f>
        <v>5</v>
      </c>
      <c r="I745" s="17">
        <v>325</v>
      </c>
      <c r="J745" s="17">
        <f>+Tabla1321124[[#This Row],[CANTIDAD TOTAL]]*Tabla1321124[[#This Row],[PRECIO UNITARIO ESTIMADO]]</f>
        <v>1625</v>
      </c>
      <c r="K745" s="175"/>
      <c r="L745" s="16" t="s">
        <v>18</v>
      </c>
      <c r="M745" s="16" t="s">
        <v>22</v>
      </c>
      <c r="N745" s="16" t="s">
        <v>418</v>
      </c>
      <c r="O745" s="243"/>
      <c r="P745" s="243"/>
      <c r="Q745" s="243"/>
      <c r="R745" s="243"/>
      <c r="S745" s="243"/>
      <c r="T745" s="243"/>
      <c r="U745" s="243"/>
      <c r="V745" s="243"/>
      <c r="W745" s="243"/>
      <c r="X745" s="243"/>
      <c r="Y745" s="243"/>
      <c r="Z745" s="243"/>
      <c r="AA745" s="243"/>
      <c r="AB745" s="243"/>
      <c r="AC745" s="243"/>
      <c r="AD745" s="243"/>
      <c r="AE745" s="243"/>
      <c r="AF745" s="243"/>
      <c r="AG745" s="243"/>
      <c r="AH745" s="243"/>
      <c r="AI745" s="243"/>
      <c r="AJ745" s="243"/>
      <c r="AK745" s="243"/>
      <c r="AL745" s="243"/>
      <c r="AM745" s="243"/>
      <c r="AN745" s="243"/>
      <c r="AO745" s="243"/>
      <c r="AP745" s="243"/>
      <c r="AQ745" s="243"/>
      <c r="AR745" s="243"/>
      <c r="AS745" s="243"/>
      <c r="AT745" s="243"/>
      <c r="AU745" s="243"/>
      <c r="AV745" s="243"/>
      <c r="AW745" s="243"/>
      <c r="AX745" s="243"/>
      <c r="AY745" s="243"/>
      <c r="AZ745" s="243"/>
      <c r="BA745" s="243"/>
      <c r="BB745" s="243"/>
      <c r="BC745" s="243"/>
      <c r="BD745" s="243"/>
      <c r="BE745" s="243"/>
      <c r="BF745" s="243"/>
      <c r="BG745" s="243"/>
      <c r="BH745" s="243"/>
      <c r="BI745" s="243"/>
      <c r="BJ745" s="243"/>
      <c r="BK745" s="243"/>
      <c r="BL745" s="243"/>
      <c r="BM745" s="243"/>
      <c r="BN745" s="243"/>
      <c r="BO745" s="243"/>
      <c r="BP745" s="243"/>
      <c r="BQ745" s="243"/>
      <c r="BR745" s="243"/>
      <c r="BS745" s="243"/>
    </row>
    <row r="746" spans="1:71" s="12" customFormat="1" ht="41.25" customHeight="1">
      <c r="A746" s="178" t="s">
        <v>80</v>
      </c>
      <c r="B746" s="178" t="str">
        <f ca="1">+UPPER(Tabla1321124[[#This Row],[DESCRIPCIÓN DE LA COMPRA O CONTRATACIÓN]])</f>
        <v>TUBO DE 2” HG</v>
      </c>
      <c r="C746" s="39" t="s">
        <v>17</v>
      </c>
      <c r="D746" s="368">
        <v>20</v>
      </c>
      <c r="E746" s="369">
        <v>10</v>
      </c>
      <c r="F746" s="369">
        <v>10</v>
      </c>
      <c r="G746" s="369">
        <v>10</v>
      </c>
      <c r="H746" s="240">
        <f>SUM(Tabla1321124[[#This Row],[PRIMER TRIMESTRE]:[CUARTO TRIMESTRE]])</f>
        <v>50</v>
      </c>
      <c r="I746" s="17">
        <v>420</v>
      </c>
      <c r="J746" s="17">
        <f>+Tabla1321124[[#This Row],[CANTIDAD TOTAL]]*Tabla1321124[[#This Row],[PRECIO UNITARIO ESTIMADO]]</f>
        <v>21000</v>
      </c>
      <c r="K746" s="175"/>
      <c r="L746" s="16" t="s">
        <v>18</v>
      </c>
      <c r="M746" s="16" t="s">
        <v>22</v>
      </c>
      <c r="N746" s="16" t="s">
        <v>418</v>
      </c>
      <c r="O746" s="243"/>
      <c r="P746" s="243"/>
      <c r="Q746" s="243"/>
      <c r="R746" s="243"/>
      <c r="S746" s="243"/>
      <c r="T746" s="243"/>
      <c r="U746" s="243"/>
      <c r="V746" s="243"/>
      <c r="W746" s="243"/>
      <c r="X746" s="243"/>
      <c r="Y746" s="243"/>
      <c r="Z746" s="243"/>
      <c r="AA746" s="243"/>
      <c r="AB746" s="243"/>
      <c r="AC746" s="243"/>
      <c r="AD746" s="243"/>
      <c r="AE746" s="243"/>
      <c r="AF746" s="243"/>
      <c r="AG746" s="243"/>
      <c r="AH746" s="243"/>
      <c r="AI746" s="243"/>
      <c r="AJ746" s="243"/>
      <c r="AK746" s="243"/>
      <c r="AL746" s="243"/>
      <c r="AM746" s="243"/>
      <c r="AN746" s="243"/>
      <c r="AO746" s="243"/>
      <c r="AP746" s="243"/>
      <c r="AQ746" s="243"/>
      <c r="AR746" s="243"/>
      <c r="AS746" s="243"/>
      <c r="AT746" s="243"/>
      <c r="AU746" s="243"/>
      <c r="AV746" s="243"/>
      <c r="AW746" s="243"/>
      <c r="AX746" s="243"/>
      <c r="AY746" s="243"/>
      <c r="AZ746" s="243"/>
      <c r="BA746" s="243"/>
      <c r="BB746" s="243"/>
      <c r="BC746" s="243"/>
      <c r="BD746" s="243"/>
      <c r="BE746" s="243"/>
      <c r="BF746" s="243"/>
      <c r="BG746" s="243"/>
      <c r="BH746" s="243"/>
      <c r="BI746" s="243"/>
      <c r="BJ746" s="243"/>
      <c r="BK746" s="243"/>
      <c r="BL746" s="243"/>
      <c r="BM746" s="243"/>
      <c r="BN746" s="243"/>
      <c r="BO746" s="243"/>
      <c r="BP746" s="243"/>
      <c r="BQ746" s="243"/>
      <c r="BR746" s="243"/>
      <c r="BS746" s="243"/>
    </row>
    <row r="747" spans="1:71" s="12" customFormat="1" ht="41.25" customHeight="1">
      <c r="A747" s="178" t="s">
        <v>80</v>
      </c>
      <c r="B747" s="178" t="str">
        <f ca="1">+UPPER(Tabla1321124[[#This Row],[DESCRIPCIÓN DE LA COMPRA O CONTRATACIÓN]])</f>
        <v>TUBO DE 2” P.V.C.  SCH-40</v>
      </c>
      <c r="C747" s="39" t="s">
        <v>17</v>
      </c>
      <c r="D747" s="368">
        <v>20</v>
      </c>
      <c r="E747" s="369">
        <v>10</v>
      </c>
      <c r="F747" s="369">
        <v>10</v>
      </c>
      <c r="G747" s="369">
        <v>10</v>
      </c>
      <c r="H747" s="240">
        <f>SUM(Tabla1321124[[#This Row],[PRIMER TRIMESTRE]:[CUARTO TRIMESTRE]])</f>
        <v>50</v>
      </c>
      <c r="I747" s="17">
        <v>460</v>
      </c>
      <c r="J747" s="17">
        <f>+Tabla1321124[[#This Row],[CANTIDAD TOTAL]]*Tabla1321124[[#This Row],[PRECIO UNITARIO ESTIMADO]]</f>
        <v>23000</v>
      </c>
      <c r="K747" s="175"/>
      <c r="L747" s="16" t="s">
        <v>18</v>
      </c>
      <c r="M747" s="16" t="s">
        <v>22</v>
      </c>
      <c r="N747" s="16" t="s">
        <v>418</v>
      </c>
      <c r="O747" s="243"/>
      <c r="P747" s="243"/>
      <c r="Q747" s="243"/>
      <c r="R747" s="243"/>
      <c r="S747" s="243"/>
      <c r="T747" s="243"/>
      <c r="U747" s="243"/>
      <c r="V747" s="243"/>
      <c r="W747" s="243"/>
      <c r="X747" s="243"/>
      <c r="Y747" s="243"/>
      <c r="Z747" s="243"/>
      <c r="AA747" s="243"/>
      <c r="AB747" s="243"/>
      <c r="AC747" s="243"/>
      <c r="AD747" s="243"/>
      <c r="AE747" s="243"/>
      <c r="AF747" s="243"/>
      <c r="AG747" s="243"/>
      <c r="AH747" s="243"/>
      <c r="AI747" s="243"/>
      <c r="AJ747" s="243"/>
      <c r="AK747" s="243"/>
      <c r="AL747" s="243"/>
      <c r="AM747" s="243"/>
      <c r="AN747" s="243"/>
      <c r="AO747" s="243"/>
      <c r="AP747" s="243"/>
      <c r="AQ747" s="243"/>
      <c r="AR747" s="243"/>
      <c r="AS747" s="243"/>
      <c r="AT747" s="243"/>
      <c r="AU747" s="243"/>
      <c r="AV747" s="243"/>
      <c r="AW747" s="243"/>
      <c r="AX747" s="243"/>
      <c r="AY747" s="243"/>
      <c r="AZ747" s="243"/>
      <c r="BA747" s="243"/>
      <c r="BB747" s="243"/>
      <c r="BC747" s="243"/>
      <c r="BD747" s="243"/>
      <c r="BE747" s="243"/>
      <c r="BF747" s="243"/>
      <c r="BG747" s="243"/>
      <c r="BH747" s="243"/>
      <c r="BI747" s="243"/>
      <c r="BJ747" s="243"/>
      <c r="BK747" s="243"/>
      <c r="BL747" s="243"/>
      <c r="BM747" s="243"/>
      <c r="BN747" s="243"/>
      <c r="BO747" s="243"/>
      <c r="BP747" s="243"/>
      <c r="BQ747" s="243"/>
      <c r="BR747" s="243"/>
      <c r="BS747" s="243"/>
    </row>
    <row r="748" spans="1:71" s="12" customFormat="1" ht="41.25" customHeight="1">
      <c r="A748" s="178" t="s">
        <v>80</v>
      </c>
      <c r="B748" s="178" t="str">
        <f ca="1">+UPPER(Tabla1321124[[#This Row],[DESCRIPCIÓN DE LA COMPRA O CONTRATACIÓN]])</f>
        <v>TUBO DE 2” P.V.C.  SCH-80</v>
      </c>
      <c r="C748" s="39" t="s">
        <v>17</v>
      </c>
      <c r="D748" s="368">
        <v>2</v>
      </c>
      <c r="E748" s="369">
        <v>1</v>
      </c>
      <c r="F748" s="369">
        <v>1</v>
      </c>
      <c r="G748" s="369">
        <v>1</v>
      </c>
      <c r="H748" s="240">
        <f>SUM(Tabla1321124[[#This Row],[PRIMER TRIMESTRE]:[CUARTO TRIMESTRE]])</f>
        <v>5</v>
      </c>
      <c r="I748" s="17">
        <v>460</v>
      </c>
      <c r="J748" s="17">
        <f>+Tabla1321124[[#This Row],[CANTIDAD TOTAL]]*Tabla1321124[[#This Row],[PRECIO UNITARIO ESTIMADO]]</f>
        <v>2300</v>
      </c>
      <c r="K748" s="175"/>
      <c r="L748" s="16" t="s">
        <v>18</v>
      </c>
      <c r="M748" s="16" t="s">
        <v>22</v>
      </c>
      <c r="N748" s="16" t="s">
        <v>418</v>
      </c>
      <c r="O748" s="243"/>
      <c r="P748" s="243"/>
      <c r="Q748" s="243"/>
      <c r="R748" s="243"/>
      <c r="S748" s="243"/>
      <c r="T748" s="243"/>
      <c r="U748" s="243"/>
      <c r="V748" s="243"/>
      <c r="W748" s="243"/>
      <c r="X748" s="243"/>
      <c r="Y748" s="243"/>
      <c r="Z748" s="243"/>
      <c r="AA748" s="243"/>
      <c r="AB748" s="243"/>
      <c r="AC748" s="243"/>
      <c r="AD748" s="243"/>
      <c r="AE748" s="243"/>
      <c r="AF748" s="243"/>
      <c r="AG748" s="243"/>
      <c r="AH748" s="243"/>
      <c r="AI748" s="243"/>
      <c r="AJ748" s="243"/>
      <c r="AK748" s="243"/>
      <c r="AL748" s="243"/>
      <c r="AM748" s="243"/>
      <c r="AN748" s="243"/>
      <c r="AO748" s="243"/>
      <c r="AP748" s="243"/>
      <c r="AQ748" s="243"/>
      <c r="AR748" s="243"/>
      <c r="AS748" s="243"/>
      <c r="AT748" s="243"/>
      <c r="AU748" s="243"/>
      <c r="AV748" s="243"/>
      <c r="AW748" s="243"/>
      <c r="AX748" s="243"/>
      <c r="AY748" s="243"/>
      <c r="AZ748" s="243"/>
      <c r="BA748" s="243"/>
      <c r="BB748" s="243"/>
      <c r="BC748" s="243"/>
      <c r="BD748" s="243"/>
      <c r="BE748" s="243"/>
      <c r="BF748" s="243"/>
      <c r="BG748" s="243"/>
      <c r="BH748" s="243"/>
      <c r="BI748" s="243"/>
      <c r="BJ748" s="243"/>
      <c r="BK748" s="243"/>
      <c r="BL748" s="243"/>
      <c r="BM748" s="243"/>
      <c r="BN748" s="243"/>
      <c r="BO748" s="243"/>
      <c r="BP748" s="243"/>
      <c r="BQ748" s="243"/>
      <c r="BR748" s="243"/>
      <c r="BS748" s="243"/>
    </row>
    <row r="749" spans="1:71" s="12" customFormat="1" ht="41.25" customHeight="1">
      <c r="A749" s="178" t="s">
        <v>80</v>
      </c>
      <c r="B749" s="178" t="str">
        <f ca="1">+UPPER(Tabla1321124[[#This Row],[DESCRIPCIÓN DE LA COMPRA O CONTRATACIÓN]])</f>
        <v>TUBO DE 20" PVC-SDR-26</v>
      </c>
      <c r="C749" s="39" t="s">
        <v>17</v>
      </c>
      <c r="D749" s="368">
        <v>2</v>
      </c>
      <c r="E749" s="369">
        <v>1</v>
      </c>
      <c r="F749" s="369">
        <v>1</v>
      </c>
      <c r="G749" s="369">
        <v>1</v>
      </c>
      <c r="H749" s="240">
        <f>SUM(Tabla1321124[[#This Row],[PRIMER TRIMESTRE]:[CUARTO TRIMESTRE]])</f>
        <v>5</v>
      </c>
      <c r="I749" s="17">
        <v>560</v>
      </c>
      <c r="J749" s="17">
        <f>+Tabla1321124[[#This Row],[CANTIDAD TOTAL]]*Tabla1321124[[#This Row],[PRECIO UNITARIO ESTIMADO]]</f>
        <v>2800</v>
      </c>
      <c r="K749" s="175"/>
      <c r="L749" s="16" t="s">
        <v>18</v>
      </c>
      <c r="M749" s="16" t="s">
        <v>22</v>
      </c>
      <c r="N749" s="16" t="s">
        <v>418</v>
      </c>
      <c r="O749" s="243"/>
      <c r="P749" s="243"/>
      <c r="Q749" s="243"/>
      <c r="R749" s="243"/>
      <c r="S749" s="243"/>
      <c r="T749" s="243"/>
      <c r="U749" s="243"/>
      <c r="V749" s="243"/>
      <c r="W749" s="243"/>
      <c r="X749" s="243"/>
      <c r="Y749" s="243"/>
      <c r="Z749" s="243"/>
      <c r="AA749" s="243"/>
      <c r="AB749" s="243"/>
      <c r="AC749" s="243"/>
      <c r="AD749" s="243"/>
      <c r="AE749" s="243"/>
      <c r="AF749" s="243"/>
      <c r="AG749" s="243"/>
      <c r="AH749" s="243"/>
      <c r="AI749" s="243"/>
      <c r="AJ749" s="243"/>
      <c r="AK749" s="243"/>
      <c r="AL749" s="243"/>
      <c r="AM749" s="243"/>
      <c r="AN749" s="243"/>
      <c r="AO749" s="243"/>
      <c r="AP749" s="243"/>
      <c r="AQ749" s="243"/>
      <c r="AR749" s="243"/>
      <c r="AS749" s="243"/>
      <c r="AT749" s="243"/>
      <c r="AU749" s="243"/>
      <c r="AV749" s="243"/>
      <c r="AW749" s="243"/>
      <c r="AX749" s="243"/>
      <c r="AY749" s="243"/>
      <c r="AZ749" s="243"/>
      <c r="BA749" s="243"/>
      <c r="BB749" s="243"/>
      <c r="BC749" s="243"/>
      <c r="BD749" s="243"/>
      <c r="BE749" s="243"/>
      <c r="BF749" s="243"/>
      <c r="BG749" s="243"/>
      <c r="BH749" s="243"/>
      <c r="BI749" s="243"/>
      <c r="BJ749" s="243"/>
      <c r="BK749" s="243"/>
      <c r="BL749" s="243"/>
      <c r="BM749" s="243"/>
      <c r="BN749" s="243"/>
      <c r="BO749" s="243"/>
      <c r="BP749" s="243"/>
      <c r="BQ749" s="243"/>
      <c r="BR749" s="243"/>
      <c r="BS749" s="243"/>
    </row>
    <row r="750" spans="1:71" s="12" customFormat="1" ht="41.25" customHeight="1">
      <c r="A750" s="178" t="s">
        <v>80</v>
      </c>
      <c r="B750" s="178" t="str">
        <f ca="1">+UPPER(Tabla1321124[[#This Row],[DESCRIPCIÓN DE LA COMPRA O CONTRATACIÓN]])</f>
        <v>TUBO DE 24” PVC-SDR-26</v>
      </c>
      <c r="C750" s="39" t="s">
        <v>17</v>
      </c>
      <c r="D750" s="368">
        <v>1</v>
      </c>
      <c r="E750" s="369">
        <v>1</v>
      </c>
      <c r="F750" s="369">
        <v>1</v>
      </c>
      <c r="G750" s="369">
        <v>1</v>
      </c>
      <c r="H750" s="240">
        <f>SUM(Tabla1321124[[#This Row],[PRIMER TRIMESTRE]:[CUARTO TRIMESTRE]])</f>
        <v>4</v>
      </c>
      <c r="I750" s="17">
        <v>580</v>
      </c>
      <c r="J750" s="17">
        <f>+Tabla1321124[[#This Row],[CANTIDAD TOTAL]]*Tabla1321124[[#This Row],[PRECIO UNITARIO ESTIMADO]]</f>
        <v>2320</v>
      </c>
      <c r="K750" s="175"/>
      <c r="L750" s="16" t="s">
        <v>18</v>
      </c>
      <c r="M750" s="16" t="s">
        <v>22</v>
      </c>
      <c r="N750" s="16" t="s">
        <v>418</v>
      </c>
      <c r="O750" s="243"/>
      <c r="P750" s="243"/>
      <c r="Q750" s="243"/>
      <c r="R750" s="243"/>
      <c r="S750" s="243"/>
      <c r="T750" s="243"/>
      <c r="U750" s="243"/>
      <c r="V750" s="243"/>
      <c r="W750" s="243"/>
      <c r="X750" s="243"/>
      <c r="Y750" s="243"/>
      <c r="Z750" s="243"/>
      <c r="AA750" s="243"/>
      <c r="AB750" s="243"/>
      <c r="AC750" s="243"/>
      <c r="AD750" s="243"/>
      <c r="AE750" s="243"/>
      <c r="AF750" s="243"/>
      <c r="AG750" s="243"/>
      <c r="AH750" s="243"/>
      <c r="AI750" s="243"/>
      <c r="AJ750" s="243"/>
      <c r="AK750" s="243"/>
      <c r="AL750" s="243"/>
      <c r="AM750" s="243"/>
      <c r="AN750" s="243"/>
      <c r="AO750" s="243"/>
      <c r="AP750" s="243"/>
      <c r="AQ750" s="243"/>
      <c r="AR750" s="243"/>
      <c r="AS750" s="243"/>
      <c r="AT750" s="243"/>
      <c r="AU750" s="243"/>
      <c r="AV750" s="243"/>
      <c r="AW750" s="243"/>
      <c r="AX750" s="243"/>
      <c r="AY750" s="243"/>
      <c r="AZ750" s="243"/>
      <c r="BA750" s="243"/>
      <c r="BB750" s="243"/>
      <c r="BC750" s="243"/>
      <c r="BD750" s="243"/>
      <c r="BE750" s="243"/>
      <c r="BF750" s="243"/>
      <c r="BG750" s="243"/>
      <c r="BH750" s="243"/>
      <c r="BI750" s="243"/>
      <c r="BJ750" s="243"/>
      <c r="BK750" s="243"/>
      <c r="BL750" s="243"/>
      <c r="BM750" s="243"/>
      <c r="BN750" s="243"/>
      <c r="BO750" s="243"/>
      <c r="BP750" s="243"/>
      <c r="BQ750" s="243"/>
      <c r="BR750" s="243"/>
      <c r="BS750" s="243"/>
    </row>
    <row r="751" spans="1:71" s="12" customFormat="1" ht="41.25" customHeight="1">
      <c r="A751" s="178" t="s">
        <v>80</v>
      </c>
      <c r="B751" s="178" t="str">
        <f ca="1">+UPPER(Tabla1321124[[#This Row],[DESCRIPCIÓN DE LA COMPRA O CONTRATACIÓN]])</f>
        <v>TUBO DE 3" PVC SDR-26</v>
      </c>
      <c r="C751" s="39" t="s">
        <v>17</v>
      </c>
      <c r="D751" s="368">
        <v>25</v>
      </c>
      <c r="E751" s="369">
        <v>25</v>
      </c>
      <c r="F751" s="369">
        <v>25</v>
      </c>
      <c r="G751" s="369">
        <v>25</v>
      </c>
      <c r="H751" s="240">
        <f>SUM(Tabla1321124[[#This Row],[PRIMER TRIMESTRE]:[CUARTO TRIMESTRE]])</f>
        <v>100</v>
      </c>
      <c r="I751" s="17">
        <v>500</v>
      </c>
      <c r="J751" s="17">
        <f>+Tabla1321124[[#This Row],[CANTIDAD TOTAL]]*Tabla1321124[[#This Row],[PRECIO UNITARIO ESTIMADO]]</f>
        <v>50000</v>
      </c>
      <c r="K751" s="175"/>
      <c r="L751" s="16" t="s">
        <v>18</v>
      </c>
      <c r="M751" s="16" t="s">
        <v>22</v>
      </c>
      <c r="N751" s="16" t="s">
        <v>418</v>
      </c>
      <c r="O751" s="243"/>
      <c r="P751" s="243"/>
      <c r="Q751" s="243"/>
      <c r="R751" s="243"/>
      <c r="S751" s="243"/>
      <c r="T751" s="243"/>
      <c r="U751" s="243"/>
      <c r="V751" s="243"/>
      <c r="W751" s="243"/>
      <c r="X751" s="243"/>
      <c r="Y751" s="243"/>
      <c r="Z751" s="243"/>
      <c r="AA751" s="243"/>
      <c r="AB751" s="243"/>
      <c r="AC751" s="243"/>
      <c r="AD751" s="243"/>
      <c r="AE751" s="243"/>
      <c r="AF751" s="243"/>
      <c r="AG751" s="243"/>
      <c r="AH751" s="243"/>
      <c r="AI751" s="243"/>
      <c r="AJ751" s="243"/>
      <c r="AK751" s="243"/>
      <c r="AL751" s="243"/>
      <c r="AM751" s="243"/>
      <c r="AN751" s="243"/>
      <c r="AO751" s="243"/>
      <c r="AP751" s="243"/>
      <c r="AQ751" s="243"/>
      <c r="AR751" s="243"/>
      <c r="AS751" s="243"/>
      <c r="AT751" s="243"/>
      <c r="AU751" s="243"/>
      <c r="AV751" s="243"/>
      <c r="AW751" s="243"/>
      <c r="AX751" s="243"/>
      <c r="AY751" s="243"/>
      <c r="AZ751" s="243"/>
      <c r="BA751" s="243"/>
      <c r="BB751" s="243"/>
      <c r="BC751" s="243"/>
      <c r="BD751" s="243"/>
      <c r="BE751" s="243"/>
      <c r="BF751" s="243"/>
      <c r="BG751" s="243"/>
      <c r="BH751" s="243"/>
      <c r="BI751" s="243"/>
      <c r="BJ751" s="243"/>
      <c r="BK751" s="243"/>
      <c r="BL751" s="243"/>
      <c r="BM751" s="243"/>
      <c r="BN751" s="243"/>
      <c r="BO751" s="243"/>
      <c r="BP751" s="243"/>
      <c r="BQ751" s="243"/>
      <c r="BR751" s="243"/>
      <c r="BS751" s="243"/>
    </row>
    <row r="752" spans="1:71" s="12" customFormat="1" ht="41.25" customHeight="1">
      <c r="A752" s="178" t="s">
        <v>80</v>
      </c>
      <c r="B752" s="178" t="str">
        <f ca="1">+UPPER(Tabla1321124[[#This Row],[DESCRIPCIÓN DE LA COMPRA O CONTRATACIÓN]])</f>
        <v>TUBO DE 3’’ DE ACERO</v>
      </c>
      <c r="C752" s="39" t="s">
        <v>17</v>
      </c>
      <c r="D752" s="368">
        <v>20</v>
      </c>
      <c r="E752" s="369">
        <v>10</v>
      </c>
      <c r="F752" s="369">
        <v>10</v>
      </c>
      <c r="G752" s="369">
        <v>10</v>
      </c>
      <c r="H752" s="240">
        <f>SUM(Tabla1321124[[#This Row],[PRIMER TRIMESTRE]:[CUARTO TRIMESTRE]])</f>
        <v>50</v>
      </c>
      <c r="I752" s="17">
        <v>510</v>
      </c>
      <c r="J752" s="17">
        <f>+Tabla1321124[[#This Row],[CANTIDAD TOTAL]]*Tabla1321124[[#This Row],[PRECIO UNITARIO ESTIMADO]]</f>
        <v>25500</v>
      </c>
      <c r="K752" s="175"/>
      <c r="L752" s="16" t="s">
        <v>18</v>
      </c>
      <c r="M752" s="16" t="s">
        <v>22</v>
      </c>
      <c r="N752" s="16" t="s">
        <v>418</v>
      </c>
      <c r="O752" s="243"/>
      <c r="P752" s="243"/>
      <c r="Q752" s="243"/>
      <c r="R752" s="243"/>
      <c r="S752" s="243"/>
      <c r="T752" s="243"/>
      <c r="U752" s="243"/>
      <c r="V752" s="243"/>
      <c r="W752" s="243"/>
      <c r="X752" s="243"/>
      <c r="Y752" s="243"/>
      <c r="Z752" s="243"/>
      <c r="AA752" s="243"/>
      <c r="AB752" s="243"/>
      <c r="AC752" s="243"/>
      <c r="AD752" s="243"/>
      <c r="AE752" s="243"/>
      <c r="AF752" s="243"/>
      <c r="AG752" s="243"/>
      <c r="AH752" s="243"/>
      <c r="AI752" s="243"/>
      <c r="AJ752" s="243"/>
      <c r="AK752" s="243"/>
      <c r="AL752" s="243"/>
      <c r="AM752" s="243"/>
      <c r="AN752" s="243"/>
      <c r="AO752" s="243"/>
      <c r="AP752" s="243"/>
      <c r="AQ752" s="243"/>
      <c r="AR752" s="243"/>
      <c r="AS752" s="243"/>
      <c r="AT752" s="243"/>
      <c r="AU752" s="243"/>
      <c r="AV752" s="243"/>
      <c r="AW752" s="243"/>
      <c r="AX752" s="243"/>
      <c r="AY752" s="243"/>
      <c r="AZ752" s="243"/>
      <c r="BA752" s="243"/>
      <c r="BB752" s="243"/>
      <c r="BC752" s="243"/>
      <c r="BD752" s="243"/>
      <c r="BE752" s="243"/>
      <c r="BF752" s="243"/>
      <c r="BG752" s="243"/>
      <c r="BH752" s="243"/>
      <c r="BI752" s="243"/>
      <c r="BJ752" s="243"/>
      <c r="BK752" s="243"/>
      <c r="BL752" s="243"/>
      <c r="BM752" s="243"/>
      <c r="BN752" s="243"/>
      <c r="BO752" s="243"/>
      <c r="BP752" s="243"/>
      <c r="BQ752" s="243"/>
      <c r="BR752" s="243"/>
      <c r="BS752" s="243"/>
    </row>
    <row r="753" spans="1:71" s="12" customFormat="1" ht="41.25" customHeight="1">
      <c r="A753" s="178" t="s">
        <v>80</v>
      </c>
      <c r="B753" s="178" t="str">
        <f ca="1">+UPPER(Tabla1321124[[#This Row],[DESCRIPCIÓN DE LA COMPRA O CONTRATACIÓN]])</f>
        <v>TUBO DE 4" PVC SDR-26</v>
      </c>
      <c r="C753" s="39" t="s">
        <v>17</v>
      </c>
      <c r="D753" s="368">
        <v>30</v>
      </c>
      <c r="E753" s="368">
        <v>30</v>
      </c>
      <c r="F753" s="368">
        <v>30</v>
      </c>
      <c r="G753" s="368">
        <v>30</v>
      </c>
      <c r="H753" s="240">
        <f>SUM(Tabla1321124[[#This Row],[PRIMER TRIMESTRE]:[CUARTO TRIMESTRE]])</f>
        <v>120</v>
      </c>
      <c r="I753" s="17">
        <v>520</v>
      </c>
      <c r="J753" s="17">
        <f>+Tabla1321124[[#This Row],[CANTIDAD TOTAL]]*Tabla1321124[[#This Row],[PRECIO UNITARIO ESTIMADO]]</f>
        <v>62400</v>
      </c>
      <c r="K753" s="175"/>
      <c r="L753" s="16" t="s">
        <v>18</v>
      </c>
      <c r="M753" s="16" t="s">
        <v>22</v>
      </c>
      <c r="N753" s="16" t="s">
        <v>418</v>
      </c>
      <c r="O753" s="243"/>
      <c r="P753" s="243"/>
      <c r="Q753" s="243"/>
      <c r="R753" s="243"/>
      <c r="S753" s="243"/>
      <c r="T753" s="243"/>
      <c r="U753" s="243"/>
      <c r="V753" s="243"/>
      <c r="W753" s="243"/>
      <c r="X753" s="243"/>
      <c r="Y753" s="243"/>
      <c r="Z753" s="243"/>
      <c r="AA753" s="243"/>
      <c r="AB753" s="243"/>
      <c r="AC753" s="243"/>
      <c r="AD753" s="243"/>
      <c r="AE753" s="243"/>
      <c r="AF753" s="243"/>
      <c r="AG753" s="243"/>
      <c r="AH753" s="243"/>
      <c r="AI753" s="243"/>
      <c r="AJ753" s="243"/>
      <c r="AK753" s="243"/>
      <c r="AL753" s="243"/>
      <c r="AM753" s="243"/>
      <c r="AN753" s="243"/>
      <c r="AO753" s="243"/>
      <c r="AP753" s="243"/>
      <c r="AQ753" s="243"/>
      <c r="AR753" s="243"/>
      <c r="AS753" s="243"/>
      <c r="AT753" s="243"/>
      <c r="AU753" s="243"/>
      <c r="AV753" s="243"/>
      <c r="AW753" s="243"/>
      <c r="AX753" s="243"/>
      <c r="AY753" s="243"/>
      <c r="AZ753" s="243"/>
      <c r="BA753" s="243"/>
      <c r="BB753" s="243"/>
      <c r="BC753" s="243"/>
      <c r="BD753" s="243"/>
      <c r="BE753" s="243"/>
      <c r="BF753" s="243"/>
      <c r="BG753" s="243"/>
      <c r="BH753" s="243"/>
      <c r="BI753" s="243"/>
      <c r="BJ753" s="243"/>
      <c r="BK753" s="243"/>
      <c r="BL753" s="243"/>
      <c r="BM753" s="243"/>
      <c r="BN753" s="243"/>
      <c r="BO753" s="243"/>
      <c r="BP753" s="243"/>
      <c r="BQ753" s="243"/>
      <c r="BR753" s="243"/>
      <c r="BS753" s="243"/>
    </row>
    <row r="754" spans="1:71" s="12" customFormat="1" ht="41.25" customHeight="1">
      <c r="A754" s="178" t="s">
        <v>80</v>
      </c>
      <c r="B754" s="178" t="str">
        <f ca="1">+UPPER(Tabla1321124[[#This Row],[DESCRIPCIÓN DE LA COMPRA O CONTRATACIÓN]])</f>
        <v>TUBO DE 4” P.V.C.  SCH-80</v>
      </c>
      <c r="C754" s="39" t="s">
        <v>17</v>
      </c>
      <c r="D754" s="368">
        <v>2</v>
      </c>
      <c r="E754" s="369">
        <v>1</v>
      </c>
      <c r="F754" s="369">
        <v>1</v>
      </c>
      <c r="G754" s="369">
        <v>1</v>
      </c>
      <c r="H754" s="240">
        <f>SUM(Tabla1321124[[#This Row],[PRIMER TRIMESTRE]:[CUARTO TRIMESTRE]])</f>
        <v>5</v>
      </c>
      <c r="I754" s="17">
        <v>560</v>
      </c>
      <c r="J754" s="17">
        <f>+Tabla1321124[[#This Row],[CANTIDAD TOTAL]]*Tabla1321124[[#This Row],[PRECIO UNITARIO ESTIMADO]]</f>
        <v>2800</v>
      </c>
      <c r="K754" s="175"/>
      <c r="L754" s="16" t="s">
        <v>18</v>
      </c>
      <c r="M754" s="16" t="s">
        <v>22</v>
      </c>
      <c r="N754" s="16" t="s">
        <v>418</v>
      </c>
      <c r="O754" s="243"/>
      <c r="P754" s="243"/>
      <c r="Q754" s="243"/>
      <c r="R754" s="243"/>
      <c r="S754" s="243"/>
      <c r="T754" s="243"/>
      <c r="U754" s="243"/>
      <c r="V754" s="243"/>
      <c r="W754" s="243"/>
      <c r="X754" s="243"/>
      <c r="Y754" s="243"/>
      <c r="Z754" s="243"/>
      <c r="AA754" s="243"/>
      <c r="AB754" s="243"/>
      <c r="AC754" s="243"/>
      <c r="AD754" s="243"/>
      <c r="AE754" s="243"/>
      <c r="AF754" s="243"/>
      <c r="AG754" s="243"/>
      <c r="AH754" s="243"/>
      <c r="AI754" s="243"/>
      <c r="AJ754" s="243"/>
      <c r="AK754" s="243"/>
      <c r="AL754" s="243"/>
      <c r="AM754" s="243"/>
      <c r="AN754" s="243"/>
      <c r="AO754" s="243"/>
      <c r="AP754" s="243"/>
      <c r="AQ754" s="243"/>
      <c r="AR754" s="243"/>
      <c r="AS754" s="243"/>
      <c r="AT754" s="243"/>
      <c r="AU754" s="243"/>
      <c r="AV754" s="243"/>
      <c r="AW754" s="243"/>
      <c r="AX754" s="243"/>
      <c r="AY754" s="243"/>
      <c r="AZ754" s="243"/>
      <c r="BA754" s="243"/>
      <c r="BB754" s="243"/>
      <c r="BC754" s="243"/>
      <c r="BD754" s="243"/>
      <c r="BE754" s="243"/>
      <c r="BF754" s="243"/>
      <c r="BG754" s="243"/>
      <c r="BH754" s="243"/>
      <c r="BI754" s="243"/>
      <c r="BJ754" s="243"/>
      <c r="BK754" s="243"/>
      <c r="BL754" s="243"/>
      <c r="BM754" s="243"/>
      <c r="BN754" s="243"/>
      <c r="BO754" s="243"/>
      <c r="BP754" s="243"/>
      <c r="BQ754" s="243"/>
      <c r="BR754" s="243"/>
      <c r="BS754" s="243"/>
    </row>
    <row r="755" spans="1:71" s="12" customFormat="1" ht="41.25" customHeight="1">
      <c r="A755" s="178" t="s">
        <v>80</v>
      </c>
      <c r="B755" s="178" t="str">
        <f ca="1">+UPPER(Tabla1321124[[#This Row],[DESCRIPCIÓN DE LA COMPRA O CONTRATACIÓN]])</f>
        <v>TUBO DE 4’’ DE ACERO</v>
      </c>
      <c r="C755" s="39" t="s">
        <v>17</v>
      </c>
      <c r="D755" s="368">
        <v>20</v>
      </c>
      <c r="E755" s="369">
        <v>10</v>
      </c>
      <c r="F755" s="369">
        <v>10</v>
      </c>
      <c r="G755" s="369">
        <v>10</v>
      </c>
      <c r="H755" s="240">
        <f>SUM(Tabla1321124[[#This Row],[PRIMER TRIMESTRE]:[CUARTO TRIMESTRE]])</f>
        <v>50</v>
      </c>
      <c r="I755" s="17">
        <v>600</v>
      </c>
      <c r="J755" s="17">
        <f>+Tabla1321124[[#This Row],[CANTIDAD TOTAL]]*Tabla1321124[[#This Row],[PRECIO UNITARIO ESTIMADO]]</f>
        <v>30000</v>
      </c>
      <c r="K755" s="175"/>
      <c r="L755" s="16" t="s">
        <v>18</v>
      </c>
      <c r="M755" s="16" t="s">
        <v>22</v>
      </c>
      <c r="N755" s="16" t="s">
        <v>418</v>
      </c>
      <c r="O755" s="243"/>
      <c r="P755" s="243"/>
      <c r="Q755" s="243"/>
      <c r="R755" s="243"/>
      <c r="S755" s="243"/>
      <c r="T755" s="243"/>
      <c r="U755" s="243"/>
      <c r="V755" s="243"/>
      <c r="W755" s="243"/>
      <c r="X755" s="243"/>
      <c r="Y755" s="243"/>
      <c r="Z755" s="243"/>
      <c r="AA755" s="243"/>
      <c r="AB755" s="243"/>
      <c r="AC755" s="243"/>
      <c r="AD755" s="243"/>
      <c r="AE755" s="243"/>
      <c r="AF755" s="243"/>
      <c r="AG755" s="243"/>
      <c r="AH755" s="243"/>
      <c r="AI755" s="243"/>
      <c r="AJ755" s="243"/>
      <c r="AK755" s="243"/>
      <c r="AL755" s="243"/>
      <c r="AM755" s="243"/>
      <c r="AN755" s="243"/>
      <c r="AO755" s="243"/>
      <c r="AP755" s="243"/>
      <c r="AQ755" s="243"/>
      <c r="AR755" s="243"/>
      <c r="AS755" s="243"/>
      <c r="AT755" s="243"/>
      <c r="AU755" s="243"/>
      <c r="AV755" s="243"/>
      <c r="AW755" s="243"/>
      <c r="AX755" s="243"/>
      <c r="AY755" s="243"/>
      <c r="AZ755" s="243"/>
      <c r="BA755" s="243"/>
      <c r="BB755" s="243"/>
      <c r="BC755" s="243"/>
      <c r="BD755" s="243"/>
      <c r="BE755" s="243"/>
      <c r="BF755" s="243"/>
      <c r="BG755" s="243"/>
      <c r="BH755" s="243"/>
      <c r="BI755" s="243"/>
      <c r="BJ755" s="243"/>
      <c r="BK755" s="243"/>
      <c r="BL755" s="243"/>
      <c r="BM755" s="243"/>
      <c r="BN755" s="243"/>
      <c r="BO755" s="243"/>
      <c r="BP755" s="243"/>
      <c r="BQ755" s="243"/>
      <c r="BR755" s="243"/>
      <c r="BS755" s="243"/>
    </row>
    <row r="756" spans="1:71" s="12" customFormat="1" ht="41.25" customHeight="1">
      <c r="A756" s="178" t="s">
        <v>80</v>
      </c>
      <c r="B756" s="178" t="str">
        <f ca="1">+UPPER(Tabla1321124[[#This Row],[DESCRIPCIÓN DE LA COMPRA O CONTRATACIÓN]])</f>
        <v>TUBO DE 6" PVC SDR-26</v>
      </c>
      <c r="C756" s="39" t="s">
        <v>17</v>
      </c>
      <c r="D756" s="368">
        <v>20</v>
      </c>
      <c r="E756" s="369">
        <v>10</v>
      </c>
      <c r="F756" s="369">
        <v>10</v>
      </c>
      <c r="G756" s="369">
        <v>10</v>
      </c>
      <c r="H756" s="240">
        <f>SUM(Tabla1321124[[#This Row],[PRIMER TRIMESTRE]:[CUARTO TRIMESTRE]])</f>
        <v>50</v>
      </c>
      <c r="I756" s="17">
        <v>650</v>
      </c>
      <c r="J756" s="17">
        <f>+Tabla1321124[[#This Row],[CANTIDAD TOTAL]]*Tabla1321124[[#This Row],[PRECIO UNITARIO ESTIMADO]]</f>
        <v>32500</v>
      </c>
      <c r="K756" s="175"/>
      <c r="L756" s="16" t="s">
        <v>18</v>
      </c>
      <c r="M756" s="16" t="s">
        <v>22</v>
      </c>
      <c r="N756" s="16" t="s">
        <v>418</v>
      </c>
      <c r="O756" s="243"/>
      <c r="P756" s="243"/>
      <c r="Q756" s="243"/>
      <c r="R756" s="243"/>
      <c r="S756" s="243"/>
      <c r="T756" s="243"/>
      <c r="U756" s="243"/>
      <c r="V756" s="243"/>
      <c r="W756" s="243"/>
      <c r="X756" s="243"/>
      <c r="Y756" s="243"/>
      <c r="Z756" s="243"/>
      <c r="AA756" s="243"/>
      <c r="AB756" s="243"/>
      <c r="AC756" s="243"/>
      <c r="AD756" s="243"/>
      <c r="AE756" s="243"/>
      <c r="AF756" s="243"/>
      <c r="AG756" s="243"/>
      <c r="AH756" s="243"/>
      <c r="AI756" s="243"/>
      <c r="AJ756" s="243"/>
      <c r="AK756" s="243"/>
      <c r="AL756" s="243"/>
      <c r="AM756" s="243"/>
      <c r="AN756" s="243"/>
      <c r="AO756" s="243"/>
      <c r="AP756" s="243"/>
      <c r="AQ756" s="243"/>
      <c r="AR756" s="243"/>
      <c r="AS756" s="243"/>
      <c r="AT756" s="243"/>
      <c r="AU756" s="243"/>
      <c r="AV756" s="243"/>
      <c r="AW756" s="243"/>
      <c r="AX756" s="243"/>
      <c r="AY756" s="243"/>
      <c r="AZ756" s="243"/>
      <c r="BA756" s="243"/>
      <c r="BB756" s="243"/>
      <c r="BC756" s="243"/>
      <c r="BD756" s="243"/>
      <c r="BE756" s="243"/>
      <c r="BF756" s="243"/>
      <c r="BG756" s="243"/>
      <c r="BH756" s="243"/>
      <c r="BI756" s="243"/>
      <c r="BJ756" s="243"/>
      <c r="BK756" s="243"/>
      <c r="BL756" s="243"/>
      <c r="BM756" s="243"/>
      <c r="BN756" s="243"/>
      <c r="BO756" s="243"/>
      <c r="BP756" s="243"/>
      <c r="BQ756" s="243"/>
      <c r="BR756" s="243"/>
      <c r="BS756" s="243"/>
    </row>
    <row r="757" spans="1:71" s="12" customFormat="1" ht="41.25" customHeight="1">
      <c r="A757" s="178" t="s">
        <v>80</v>
      </c>
      <c r="B757" s="178" t="str">
        <f ca="1">+UPPER(Tabla1321124[[#This Row],[DESCRIPCIÓN DE LA COMPRA O CONTRATACIÓN]])</f>
        <v>TUBO DE 6’’ DE ACERO</v>
      </c>
      <c r="C757" s="39" t="s">
        <v>17</v>
      </c>
      <c r="D757" s="369">
        <v>10</v>
      </c>
      <c r="E757" s="369">
        <v>5</v>
      </c>
      <c r="F757" s="369">
        <v>5</v>
      </c>
      <c r="G757" s="369">
        <v>5</v>
      </c>
      <c r="H757" s="240">
        <f>SUM(Tabla1321124[[#This Row],[PRIMER TRIMESTRE]:[CUARTO TRIMESTRE]])</f>
        <v>25</v>
      </c>
      <c r="I757" s="17">
        <v>700</v>
      </c>
      <c r="J757" s="17">
        <f>+Tabla1321124[[#This Row],[CANTIDAD TOTAL]]*Tabla1321124[[#This Row],[PRECIO UNITARIO ESTIMADO]]</f>
        <v>17500</v>
      </c>
      <c r="K757" s="175"/>
      <c r="L757" s="16" t="s">
        <v>18</v>
      </c>
      <c r="M757" s="16" t="s">
        <v>22</v>
      </c>
      <c r="N757" s="16" t="s">
        <v>418</v>
      </c>
      <c r="O757" s="243"/>
      <c r="P757" s="243"/>
      <c r="Q757" s="243"/>
      <c r="R757" s="243"/>
      <c r="S757" s="243"/>
      <c r="T757" s="243"/>
      <c r="U757" s="243"/>
      <c r="V757" s="243"/>
      <c r="W757" s="243"/>
      <c r="X757" s="243"/>
      <c r="Y757" s="243"/>
      <c r="Z757" s="243"/>
      <c r="AA757" s="243"/>
      <c r="AB757" s="243"/>
      <c r="AC757" s="243"/>
      <c r="AD757" s="243"/>
      <c r="AE757" s="243"/>
      <c r="AF757" s="243"/>
      <c r="AG757" s="243"/>
      <c r="AH757" s="243"/>
      <c r="AI757" s="243"/>
      <c r="AJ757" s="243"/>
      <c r="AK757" s="243"/>
      <c r="AL757" s="243"/>
      <c r="AM757" s="243"/>
      <c r="AN757" s="243"/>
      <c r="AO757" s="243"/>
      <c r="AP757" s="243"/>
      <c r="AQ757" s="243"/>
      <c r="AR757" s="243"/>
      <c r="AS757" s="243"/>
      <c r="AT757" s="243"/>
      <c r="AU757" s="243"/>
      <c r="AV757" s="243"/>
      <c r="AW757" s="243"/>
      <c r="AX757" s="243"/>
      <c r="AY757" s="243"/>
      <c r="AZ757" s="243"/>
      <c r="BA757" s="243"/>
      <c r="BB757" s="243"/>
      <c r="BC757" s="243"/>
      <c r="BD757" s="243"/>
      <c r="BE757" s="243"/>
      <c r="BF757" s="243"/>
      <c r="BG757" s="243"/>
      <c r="BH757" s="243"/>
      <c r="BI757" s="243"/>
      <c r="BJ757" s="243"/>
      <c r="BK757" s="243"/>
      <c r="BL757" s="243"/>
      <c r="BM757" s="243"/>
      <c r="BN757" s="243"/>
      <c r="BO757" s="243"/>
      <c r="BP757" s="243"/>
      <c r="BQ757" s="243"/>
      <c r="BR757" s="243"/>
      <c r="BS757" s="243"/>
    </row>
    <row r="758" spans="1:71" s="12" customFormat="1" ht="41.25" customHeight="1">
      <c r="A758" s="178" t="s">
        <v>80</v>
      </c>
      <c r="B758" s="178" t="str">
        <f ca="1">+UPPER(Tabla1321124[[#This Row],[DESCRIPCIÓN DE LA COMPRA O CONTRATACIÓN]])</f>
        <v>TUBO DE 8" PVC SDR-26</v>
      </c>
      <c r="C758" s="39" t="s">
        <v>17</v>
      </c>
      <c r="D758" s="368">
        <v>10</v>
      </c>
      <c r="E758" s="369">
        <v>5</v>
      </c>
      <c r="F758" s="369">
        <v>5</v>
      </c>
      <c r="G758" s="369">
        <v>5</v>
      </c>
      <c r="H758" s="240">
        <f>SUM(Tabla1321124[[#This Row],[PRIMER TRIMESTRE]:[CUARTO TRIMESTRE]])</f>
        <v>25</v>
      </c>
      <c r="I758" s="17">
        <v>658</v>
      </c>
      <c r="J758" s="17">
        <f>+Tabla1321124[[#This Row],[CANTIDAD TOTAL]]*Tabla1321124[[#This Row],[PRECIO UNITARIO ESTIMADO]]</f>
        <v>16450</v>
      </c>
      <c r="K758" s="175"/>
      <c r="L758" s="16" t="s">
        <v>18</v>
      </c>
      <c r="M758" s="16" t="s">
        <v>22</v>
      </c>
      <c r="N758" s="16" t="s">
        <v>418</v>
      </c>
      <c r="O758" s="243"/>
      <c r="P758" s="243"/>
      <c r="Q758" s="243"/>
      <c r="R758" s="243"/>
      <c r="S758" s="243"/>
      <c r="T758" s="243"/>
      <c r="U758" s="243"/>
      <c r="V758" s="243"/>
      <c r="W758" s="243"/>
      <c r="X758" s="243"/>
      <c r="Y758" s="243"/>
      <c r="Z758" s="243"/>
      <c r="AA758" s="243"/>
      <c r="AB758" s="243"/>
      <c r="AC758" s="243"/>
      <c r="AD758" s="243"/>
      <c r="AE758" s="243"/>
      <c r="AF758" s="243"/>
      <c r="AG758" s="243"/>
      <c r="AH758" s="243"/>
      <c r="AI758" s="243"/>
      <c r="AJ758" s="243"/>
      <c r="AK758" s="243"/>
      <c r="AL758" s="243"/>
      <c r="AM758" s="243"/>
      <c r="AN758" s="243"/>
      <c r="AO758" s="243"/>
      <c r="AP758" s="243"/>
      <c r="AQ758" s="243"/>
      <c r="AR758" s="243"/>
      <c r="AS758" s="243"/>
      <c r="AT758" s="243"/>
      <c r="AU758" s="243"/>
      <c r="AV758" s="243"/>
      <c r="AW758" s="243"/>
      <c r="AX758" s="243"/>
      <c r="AY758" s="243"/>
      <c r="AZ758" s="243"/>
      <c r="BA758" s="243"/>
      <c r="BB758" s="243"/>
      <c r="BC758" s="243"/>
      <c r="BD758" s="243"/>
      <c r="BE758" s="243"/>
      <c r="BF758" s="243"/>
      <c r="BG758" s="243"/>
      <c r="BH758" s="243"/>
      <c r="BI758" s="243"/>
      <c r="BJ758" s="243"/>
      <c r="BK758" s="243"/>
      <c r="BL758" s="243"/>
      <c r="BM758" s="243"/>
      <c r="BN758" s="243"/>
      <c r="BO758" s="243"/>
      <c r="BP758" s="243"/>
      <c r="BQ758" s="243"/>
      <c r="BR758" s="243"/>
      <c r="BS758" s="243"/>
    </row>
    <row r="759" spans="1:71" s="12" customFormat="1" ht="41.25" customHeight="1">
      <c r="A759" s="178" t="s">
        <v>80</v>
      </c>
      <c r="B759" s="178" t="str">
        <f ca="1">+UPPER(Tabla1321124[[#This Row],[DESCRIPCIÓN DE LA COMPRA O CONTRATACIÓN]])</f>
        <v>TUBO DE 8’’ DE ACERO</v>
      </c>
      <c r="C759" s="39" t="s">
        <v>17</v>
      </c>
      <c r="D759" s="369">
        <v>10</v>
      </c>
      <c r="E759" s="369">
        <v>5</v>
      </c>
      <c r="F759" s="369">
        <v>5</v>
      </c>
      <c r="G759" s="369">
        <v>5</v>
      </c>
      <c r="H759" s="240">
        <f>SUM(Tabla1321124[[#This Row],[PRIMER TRIMESTRE]:[CUARTO TRIMESTRE]])</f>
        <v>25</v>
      </c>
      <c r="I759" s="17">
        <v>690</v>
      </c>
      <c r="J759" s="17">
        <f>+Tabla1321124[[#This Row],[CANTIDAD TOTAL]]*Tabla1321124[[#This Row],[PRECIO UNITARIO ESTIMADO]]</f>
        <v>17250</v>
      </c>
      <c r="K759" s="175"/>
      <c r="L759" s="16" t="s">
        <v>18</v>
      </c>
      <c r="M759" s="16" t="s">
        <v>22</v>
      </c>
      <c r="N759" s="16" t="s">
        <v>418</v>
      </c>
      <c r="O759" s="243"/>
      <c r="P759" s="243"/>
      <c r="Q759" s="243"/>
      <c r="R759" s="243"/>
      <c r="S759" s="243"/>
      <c r="T759" s="243"/>
      <c r="U759" s="243"/>
      <c r="V759" s="243"/>
      <c r="W759" s="243"/>
      <c r="X759" s="243"/>
      <c r="Y759" s="243"/>
      <c r="Z759" s="243"/>
      <c r="AA759" s="243"/>
      <c r="AB759" s="243"/>
      <c r="AC759" s="243"/>
      <c r="AD759" s="243"/>
      <c r="AE759" s="243"/>
      <c r="AF759" s="243"/>
      <c r="AG759" s="243"/>
      <c r="AH759" s="243"/>
      <c r="AI759" s="243"/>
      <c r="AJ759" s="243"/>
      <c r="AK759" s="243"/>
      <c r="AL759" s="243"/>
      <c r="AM759" s="243"/>
      <c r="AN759" s="243"/>
      <c r="AO759" s="243"/>
      <c r="AP759" s="243"/>
      <c r="AQ759" s="243"/>
      <c r="AR759" s="243"/>
      <c r="AS759" s="243"/>
      <c r="AT759" s="243"/>
      <c r="AU759" s="243"/>
      <c r="AV759" s="243"/>
      <c r="AW759" s="243"/>
      <c r="AX759" s="243"/>
      <c r="AY759" s="243"/>
      <c r="AZ759" s="243"/>
      <c r="BA759" s="243"/>
      <c r="BB759" s="243"/>
      <c r="BC759" s="243"/>
      <c r="BD759" s="243"/>
      <c r="BE759" s="243"/>
      <c r="BF759" s="243"/>
      <c r="BG759" s="243"/>
      <c r="BH759" s="243"/>
      <c r="BI759" s="243"/>
      <c r="BJ759" s="243"/>
      <c r="BK759" s="243"/>
      <c r="BL759" s="243"/>
      <c r="BM759" s="243"/>
      <c r="BN759" s="243"/>
      <c r="BO759" s="243"/>
      <c r="BP759" s="243"/>
      <c r="BQ759" s="243"/>
      <c r="BR759" s="243"/>
      <c r="BS759" s="243"/>
    </row>
    <row r="760" spans="1:71" s="12" customFormat="1" ht="41.25" customHeight="1">
      <c r="A760" s="178" t="s">
        <v>80</v>
      </c>
      <c r="B760" s="178" t="str">
        <f ca="1">+UPPER(Tabla1321124[[#This Row],[DESCRIPCIÓN DE LA COMPRA O CONTRATACIÓN]])</f>
        <v>TONILLO DE ESPACIAMENTO GALVANIZADO 5/8X12</v>
      </c>
      <c r="C760" s="39" t="s">
        <v>17</v>
      </c>
      <c r="D760" s="236">
        <v>100</v>
      </c>
      <c r="E760" s="236">
        <v>150</v>
      </c>
      <c r="F760" s="236">
        <v>100</v>
      </c>
      <c r="G760" s="236">
        <v>150</v>
      </c>
      <c r="H760" s="240">
        <f>SUM(Tabla1321124[[#This Row],[PRIMER TRIMESTRE]:[CUARTO TRIMESTRE]])</f>
        <v>500</v>
      </c>
      <c r="I760" s="17">
        <v>133.88999999999999</v>
      </c>
      <c r="J760" s="17">
        <f>+Tabla1321124[[#This Row],[CANTIDAD TOTAL]]*Tabla1321124[[#This Row],[PRECIO UNITARIO ESTIMADO]]</f>
        <v>66945</v>
      </c>
      <c r="K760" s="17"/>
      <c r="L760" s="16" t="s">
        <v>18</v>
      </c>
      <c r="M760" s="16" t="s">
        <v>22</v>
      </c>
      <c r="N760" s="16"/>
      <c r="O760" s="243"/>
      <c r="P760" s="243"/>
      <c r="Q760" s="243"/>
      <c r="R760" s="243"/>
      <c r="S760" s="243"/>
      <c r="T760" s="243"/>
      <c r="U760" s="243"/>
      <c r="V760" s="243"/>
      <c r="W760" s="243"/>
      <c r="X760" s="243"/>
      <c r="Y760" s="243"/>
      <c r="Z760" s="243"/>
      <c r="AA760" s="243"/>
      <c r="AB760" s="243"/>
      <c r="AC760" s="243"/>
      <c r="AD760" s="243"/>
      <c r="AE760" s="243"/>
      <c r="AF760" s="243"/>
      <c r="AG760" s="243"/>
      <c r="AH760" s="243"/>
      <c r="AI760" s="243"/>
      <c r="AJ760" s="243"/>
      <c r="AK760" s="243"/>
      <c r="AL760" s="243"/>
      <c r="AM760" s="243"/>
      <c r="AN760" s="243"/>
      <c r="AO760" s="243"/>
      <c r="AP760" s="243"/>
      <c r="AQ760" s="243"/>
      <c r="AR760" s="243"/>
      <c r="AS760" s="243"/>
      <c r="AT760" s="243"/>
      <c r="AU760" s="243"/>
      <c r="AV760" s="243"/>
      <c r="AW760" s="243"/>
      <c r="AX760" s="243"/>
      <c r="AY760" s="243"/>
      <c r="AZ760" s="243"/>
      <c r="BA760" s="243"/>
      <c r="BB760" s="243"/>
      <c r="BC760" s="243"/>
      <c r="BD760" s="243"/>
      <c r="BE760" s="243"/>
      <c r="BF760" s="243"/>
      <c r="BG760" s="243"/>
      <c r="BH760" s="243"/>
      <c r="BI760" s="243"/>
      <c r="BJ760" s="243"/>
      <c r="BK760" s="243"/>
      <c r="BL760" s="243"/>
      <c r="BM760" s="243"/>
      <c r="BN760" s="243"/>
      <c r="BO760" s="243"/>
      <c r="BP760" s="243"/>
      <c r="BQ760" s="243"/>
      <c r="BR760" s="243"/>
      <c r="BS760" s="243"/>
    </row>
    <row r="761" spans="1:71" s="12" customFormat="1" ht="41.25" customHeight="1">
      <c r="A761" s="178" t="s">
        <v>80</v>
      </c>
      <c r="B761" s="178" t="str">
        <f ca="1">+UPPER(Tabla1321124[[#This Row],[DESCRIPCIÓN DE LA COMPRA O CONTRATACIÓN]])</f>
        <v>TORNILLO EXAGONEAL DE 1/2X2</v>
      </c>
      <c r="C761" s="39" t="s">
        <v>17</v>
      </c>
      <c r="D761" s="236">
        <v>100</v>
      </c>
      <c r="E761" s="236">
        <v>200</v>
      </c>
      <c r="F761" s="236">
        <v>100</v>
      </c>
      <c r="G761" s="236">
        <v>200</v>
      </c>
      <c r="H761" s="240">
        <f>SUM(Tabla1321124[[#This Row],[PRIMER TRIMESTRE]:[CUARTO TRIMESTRE]])</f>
        <v>600</v>
      </c>
      <c r="I761" s="17">
        <v>21</v>
      </c>
      <c r="J761" s="17">
        <f>+Tabla1321124[[#This Row],[CANTIDAD TOTAL]]*Tabla1321124[[#This Row],[PRECIO UNITARIO ESTIMADO]]</f>
        <v>12600</v>
      </c>
      <c r="K761" s="17"/>
      <c r="L761" s="16" t="s">
        <v>18</v>
      </c>
      <c r="M761" s="16" t="s">
        <v>22</v>
      </c>
      <c r="N761" s="16"/>
      <c r="O761" s="243"/>
      <c r="P761" s="243"/>
      <c r="Q761" s="243"/>
      <c r="R761" s="243"/>
      <c r="S761" s="243"/>
      <c r="T761" s="243"/>
      <c r="U761" s="243"/>
      <c r="V761" s="243"/>
      <c r="W761" s="243"/>
      <c r="X761" s="243"/>
      <c r="Y761" s="243"/>
      <c r="Z761" s="243"/>
      <c r="AA761" s="243"/>
      <c r="AB761" s="243"/>
      <c r="AC761" s="243"/>
      <c r="AD761" s="243"/>
      <c r="AE761" s="243"/>
      <c r="AF761" s="243"/>
      <c r="AG761" s="243"/>
      <c r="AH761" s="243"/>
      <c r="AI761" s="243"/>
      <c r="AJ761" s="243"/>
      <c r="AK761" s="243"/>
      <c r="AL761" s="243"/>
      <c r="AM761" s="243"/>
      <c r="AN761" s="243"/>
      <c r="AO761" s="243"/>
      <c r="AP761" s="243"/>
      <c r="AQ761" s="243"/>
      <c r="AR761" s="243"/>
      <c r="AS761" s="243"/>
      <c r="AT761" s="243"/>
      <c r="AU761" s="243"/>
      <c r="AV761" s="243"/>
      <c r="AW761" s="243"/>
      <c r="AX761" s="243"/>
      <c r="AY761" s="243"/>
      <c r="AZ761" s="243"/>
      <c r="BA761" s="243"/>
      <c r="BB761" s="243"/>
      <c r="BC761" s="243"/>
      <c r="BD761" s="243"/>
      <c r="BE761" s="243"/>
      <c r="BF761" s="243"/>
      <c r="BG761" s="243"/>
      <c r="BH761" s="243"/>
      <c r="BI761" s="243"/>
      <c r="BJ761" s="243"/>
      <c r="BK761" s="243"/>
      <c r="BL761" s="243"/>
      <c r="BM761" s="243"/>
      <c r="BN761" s="243"/>
      <c r="BO761" s="243"/>
      <c r="BP761" s="243"/>
      <c r="BQ761" s="243"/>
      <c r="BR761" s="243"/>
      <c r="BS761" s="243"/>
    </row>
    <row r="762" spans="1:71" s="12" customFormat="1" ht="41.25" customHeight="1">
      <c r="A762" s="178" t="s">
        <v>80</v>
      </c>
      <c r="B762" s="178" t="str">
        <f ca="1">+UPPER(Tabla1321124[[#This Row],[DESCRIPCIÓN DE LA COMPRA O CONTRATACIÓN]])</f>
        <v>TORNILLO DE Ø3/8 X 2,5''</v>
      </c>
      <c r="C762" s="39" t="s">
        <v>17</v>
      </c>
      <c r="D762" s="236">
        <v>500</v>
      </c>
      <c r="E762" s="236">
        <v>500</v>
      </c>
      <c r="F762" s="236">
        <v>500</v>
      </c>
      <c r="G762" s="236">
        <v>500</v>
      </c>
      <c r="H762" s="240">
        <f>SUM(Tabla1321124[[#This Row],[PRIMER TRIMESTRE]:[CUARTO TRIMESTRE]])</f>
        <v>2000</v>
      </c>
      <c r="I762" s="17">
        <v>25</v>
      </c>
      <c r="J762" s="17">
        <f>+Tabla1321124[[#This Row],[CANTIDAD TOTAL]]*Tabla1321124[[#This Row],[PRECIO UNITARIO ESTIMADO]]</f>
        <v>50000</v>
      </c>
      <c r="K762" s="302"/>
      <c r="L762" s="16" t="s">
        <v>18</v>
      </c>
      <c r="M762" s="16" t="s">
        <v>22</v>
      </c>
      <c r="N762" s="16"/>
      <c r="O762" s="243"/>
      <c r="P762" s="243"/>
      <c r="Q762" s="243"/>
      <c r="R762" s="243"/>
      <c r="S762" s="243"/>
      <c r="T762" s="243"/>
      <c r="U762" s="243"/>
      <c r="V762" s="243"/>
      <c r="W762" s="243"/>
      <c r="X762" s="243"/>
      <c r="Y762" s="243"/>
      <c r="Z762" s="243"/>
      <c r="AA762" s="243"/>
      <c r="AB762" s="243"/>
      <c r="AC762" s="243"/>
      <c r="AD762" s="243"/>
      <c r="AE762" s="243"/>
      <c r="AF762" s="243"/>
      <c r="AG762" s="243"/>
      <c r="AH762" s="243"/>
      <c r="AI762" s="243"/>
      <c r="AJ762" s="243"/>
      <c r="AK762" s="243"/>
      <c r="AL762" s="243"/>
      <c r="AM762" s="243"/>
      <c r="AN762" s="243"/>
      <c r="AO762" s="243"/>
      <c r="AP762" s="243"/>
      <c r="AQ762" s="243"/>
      <c r="AR762" s="243"/>
      <c r="AS762" s="243"/>
      <c r="AT762" s="243"/>
      <c r="AU762" s="243"/>
      <c r="AV762" s="243"/>
      <c r="AW762" s="243"/>
      <c r="AX762" s="243"/>
      <c r="AY762" s="243"/>
      <c r="AZ762" s="243"/>
      <c r="BA762" s="243"/>
      <c r="BB762" s="243"/>
      <c r="BC762" s="243"/>
      <c r="BD762" s="243"/>
      <c r="BE762" s="243"/>
      <c r="BF762" s="243"/>
      <c r="BG762" s="243"/>
      <c r="BH762" s="243"/>
      <c r="BI762" s="243"/>
      <c r="BJ762" s="243"/>
      <c r="BK762" s="243"/>
      <c r="BL762" s="243"/>
      <c r="BM762" s="243"/>
      <c r="BN762" s="243"/>
      <c r="BO762" s="243"/>
      <c r="BP762" s="243"/>
      <c r="BQ762" s="243"/>
      <c r="BR762" s="243"/>
      <c r="BS762" s="243"/>
    </row>
    <row r="763" spans="1:71" s="12" customFormat="1" ht="41.25" customHeight="1">
      <c r="A763" s="178" t="s">
        <v>80</v>
      </c>
      <c r="B763" s="178" t="str">
        <f ca="1">+UPPER(Tabla1321124[[#This Row],[DESCRIPCIÓN DE LA COMPRA O CONTRATACIÓN]])</f>
        <v>TORNILLO ALLEN INOX 3/8X1</v>
      </c>
      <c r="C763" s="39" t="s">
        <v>17</v>
      </c>
      <c r="D763" s="236">
        <v>50</v>
      </c>
      <c r="E763" s="236">
        <v>50</v>
      </c>
      <c r="F763" s="236">
        <v>50</v>
      </c>
      <c r="G763" s="236">
        <v>50</v>
      </c>
      <c r="H763" s="240">
        <f>SUM(Tabla1321124[[#This Row],[PRIMER TRIMESTRE]:[CUARTO TRIMESTRE]])</f>
        <v>200</v>
      </c>
      <c r="I763" s="17">
        <v>15.21</v>
      </c>
      <c r="J763" s="17">
        <f>+Tabla1321124[[#This Row],[CANTIDAD TOTAL]]*Tabla1321124[[#This Row],[PRECIO UNITARIO ESTIMADO]]</f>
        <v>3042</v>
      </c>
      <c r="K763" s="17"/>
      <c r="L763" s="16" t="s">
        <v>18</v>
      </c>
      <c r="M763" s="16" t="s">
        <v>22</v>
      </c>
      <c r="N763" s="16"/>
      <c r="O763" s="243"/>
      <c r="P763" s="243"/>
      <c r="Q763" s="243"/>
      <c r="R763" s="243"/>
      <c r="S763" s="243"/>
      <c r="T763" s="243"/>
      <c r="U763" s="243"/>
      <c r="V763" s="243"/>
      <c r="W763" s="243"/>
      <c r="X763" s="243"/>
      <c r="Y763" s="243"/>
      <c r="Z763" s="243"/>
      <c r="AA763" s="243"/>
      <c r="AB763" s="243"/>
      <c r="AC763" s="243"/>
      <c r="AD763" s="243"/>
      <c r="AE763" s="243"/>
      <c r="AF763" s="243"/>
      <c r="AG763" s="243"/>
      <c r="AH763" s="243"/>
      <c r="AI763" s="243"/>
      <c r="AJ763" s="243"/>
      <c r="AK763" s="243"/>
      <c r="AL763" s="243"/>
      <c r="AM763" s="243"/>
      <c r="AN763" s="243"/>
      <c r="AO763" s="243"/>
      <c r="AP763" s="243"/>
      <c r="AQ763" s="243"/>
      <c r="AR763" s="243"/>
      <c r="AS763" s="243"/>
      <c r="AT763" s="243"/>
      <c r="AU763" s="243"/>
      <c r="AV763" s="243"/>
      <c r="AW763" s="243"/>
      <c r="AX763" s="243"/>
      <c r="AY763" s="243"/>
      <c r="AZ763" s="243"/>
      <c r="BA763" s="243"/>
      <c r="BB763" s="243"/>
      <c r="BC763" s="243"/>
      <c r="BD763" s="243"/>
      <c r="BE763" s="243"/>
      <c r="BF763" s="243"/>
      <c r="BG763" s="243"/>
      <c r="BH763" s="243"/>
      <c r="BI763" s="243"/>
      <c r="BJ763" s="243"/>
      <c r="BK763" s="243"/>
      <c r="BL763" s="243"/>
      <c r="BM763" s="243"/>
      <c r="BN763" s="243"/>
      <c r="BO763" s="243"/>
      <c r="BP763" s="243"/>
      <c r="BQ763" s="243"/>
      <c r="BR763" s="243"/>
      <c r="BS763" s="243"/>
    </row>
    <row r="764" spans="1:71" s="12" customFormat="1" ht="41.25" customHeight="1">
      <c r="A764" s="178" t="s">
        <v>80</v>
      </c>
      <c r="B764" s="178" t="str">
        <f ca="1">+UPPER(Tabla1321124[[#This Row],[DESCRIPCIÓN DE LA COMPRA O CONTRATACIÓN]])</f>
        <v>TORNILLO ALLEN INOX 1/4 X1</v>
      </c>
      <c r="C764" s="39" t="s">
        <v>17</v>
      </c>
      <c r="D764" s="177">
        <v>24</v>
      </c>
      <c r="E764" s="177">
        <v>24</v>
      </c>
      <c r="F764" s="177">
        <v>24</v>
      </c>
      <c r="G764" s="177">
        <v>24</v>
      </c>
      <c r="H764" s="240">
        <f>SUM(Tabla1321124[[#This Row],[PRIMER TRIMESTRE]:[CUARTO TRIMESTRE]])</f>
        <v>96</v>
      </c>
      <c r="I764" s="17">
        <v>15</v>
      </c>
      <c r="J764" s="17">
        <f>+Tabla1321124[[#This Row],[CANTIDAD TOTAL]]*Tabla1321124[[#This Row],[PRECIO UNITARIO ESTIMADO]]</f>
        <v>1440</v>
      </c>
      <c r="K764" s="175"/>
      <c r="L764" s="16" t="s">
        <v>18</v>
      </c>
      <c r="M764" s="16" t="s">
        <v>22</v>
      </c>
      <c r="N764" s="16" t="s">
        <v>418</v>
      </c>
      <c r="O764" s="243"/>
      <c r="P764" s="243"/>
      <c r="Q764" s="243"/>
      <c r="R764" s="243"/>
      <c r="S764" s="243"/>
      <c r="T764" s="243"/>
      <c r="U764" s="243"/>
      <c r="V764" s="243"/>
      <c r="W764" s="243"/>
      <c r="X764" s="243"/>
      <c r="Y764" s="243"/>
      <c r="Z764" s="243"/>
      <c r="AA764" s="243"/>
      <c r="AB764" s="243"/>
      <c r="AC764" s="243"/>
      <c r="AD764" s="243"/>
      <c r="AE764" s="243"/>
      <c r="AF764" s="243"/>
      <c r="AG764" s="243"/>
      <c r="AH764" s="243"/>
      <c r="AI764" s="243"/>
      <c r="AJ764" s="243"/>
      <c r="AK764" s="243"/>
      <c r="AL764" s="243"/>
      <c r="AM764" s="243"/>
      <c r="AN764" s="243"/>
      <c r="AO764" s="243"/>
      <c r="AP764" s="243"/>
      <c r="AQ764" s="243"/>
      <c r="AR764" s="243"/>
      <c r="AS764" s="243"/>
      <c r="AT764" s="243"/>
      <c r="AU764" s="243"/>
      <c r="AV764" s="243"/>
      <c r="AW764" s="243"/>
      <c r="AX764" s="243"/>
      <c r="AY764" s="243"/>
      <c r="AZ764" s="243"/>
      <c r="BA764" s="243"/>
      <c r="BB764" s="243"/>
      <c r="BC764" s="243"/>
      <c r="BD764" s="243"/>
      <c r="BE764" s="243"/>
      <c r="BF764" s="243"/>
      <c r="BG764" s="243"/>
      <c r="BH764" s="243"/>
      <c r="BI764" s="243"/>
      <c r="BJ764" s="243"/>
      <c r="BK764" s="243"/>
      <c r="BL764" s="243"/>
      <c r="BM764" s="243"/>
      <c r="BN764" s="243"/>
      <c r="BO764" s="243"/>
      <c r="BP764" s="243"/>
      <c r="BQ764" s="243"/>
      <c r="BR764" s="243"/>
      <c r="BS764" s="243"/>
    </row>
    <row r="765" spans="1:71" s="12" customFormat="1" ht="41.25" customHeight="1">
      <c r="A765" s="178" t="s">
        <v>80</v>
      </c>
      <c r="B765" s="178" t="str">
        <f ca="1">+UPPER(Tabla1321124[[#This Row],[DESCRIPCIÓN DE LA COMPRA O CONTRATACIÓN]])</f>
        <v>TORNILLO TIRAFONDO 1/8 X 1/4</v>
      </c>
      <c r="C765" s="39" t="s">
        <v>17</v>
      </c>
      <c r="D765" s="236">
        <v>150</v>
      </c>
      <c r="E765" s="236">
        <v>150</v>
      </c>
      <c r="F765" s="236">
        <v>150</v>
      </c>
      <c r="G765" s="236">
        <v>150</v>
      </c>
      <c r="H765" s="240">
        <f>SUM(Tabla1321124[[#This Row],[PRIMER TRIMESTRE]:[CUARTO TRIMESTRE]])</f>
        <v>600</v>
      </c>
      <c r="I765" s="17">
        <v>1</v>
      </c>
      <c r="J765" s="17">
        <f>+Tabla1321124[[#This Row],[CANTIDAD TOTAL]]*Tabla1321124[[#This Row],[PRECIO UNITARIO ESTIMADO]]</f>
        <v>600</v>
      </c>
      <c r="K765" s="17"/>
      <c r="L765" s="16" t="s">
        <v>18</v>
      </c>
      <c r="M765" s="16" t="s">
        <v>22</v>
      </c>
      <c r="N765" s="16"/>
      <c r="O765" s="243"/>
      <c r="P765" s="243"/>
      <c r="Q765" s="243"/>
      <c r="R765" s="243"/>
      <c r="S765" s="243"/>
      <c r="T765" s="243"/>
      <c r="U765" s="243"/>
      <c r="V765" s="243"/>
      <c r="W765" s="243"/>
      <c r="X765" s="243"/>
      <c r="Y765" s="243"/>
      <c r="Z765" s="243"/>
      <c r="AA765" s="243"/>
      <c r="AB765" s="243"/>
      <c r="AC765" s="243"/>
      <c r="AD765" s="243"/>
      <c r="AE765" s="243"/>
      <c r="AF765" s="243"/>
      <c r="AG765" s="243"/>
      <c r="AH765" s="243"/>
      <c r="AI765" s="243"/>
      <c r="AJ765" s="243"/>
      <c r="AK765" s="243"/>
      <c r="AL765" s="243"/>
      <c r="AM765" s="243"/>
      <c r="AN765" s="243"/>
      <c r="AO765" s="243"/>
      <c r="AP765" s="243"/>
      <c r="AQ765" s="243"/>
      <c r="AR765" s="243"/>
      <c r="AS765" s="243"/>
      <c r="AT765" s="243"/>
      <c r="AU765" s="243"/>
      <c r="AV765" s="243"/>
      <c r="AW765" s="243"/>
      <c r="AX765" s="243"/>
      <c r="AY765" s="243"/>
      <c r="AZ765" s="243"/>
      <c r="BA765" s="243"/>
      <c r="BB765" s="243"/>
      <c r="BC765" s="243"/>
      <c r="BD765" s="243"/>
      <c r="BE765" s="243"/>
      <c r="BF765" s="243"/>
      <c r="BG765" s="243"/>
      <c r="BH765" s="243"/>
      <c r="BI765" s="243"/>
      <c r="BJ765" s="243"/>
      <c r="BK765" s="243"/>
      <c r="BL765" s="243"/>
      <c r="BM765" s="243"/>
      <c r="BN765" s="243"/>
      <c r="BO765" s="243"/>
      <c r="BP765" s="243"/>
      <c r="BQ765" s="243"/>
      <c r="BR765" s="243"/>
      <c r="BS765" s="243"/>
    </row>
    <row r="766" spans="1:71" s="12" customFormat="1" ht="41.25" customHeight="1">
      <c r="A766" s="178" t="s">
        <v>80</v>
      </c>
      <c r="B766" s="178" t="str">
        <f ca="1">+UPPER(Tabla1321124[[#This Row],[DESCRIPCIÓN DE LA COMPRA O CONTRATACIÓN]])</f>
        <v>TORNILLO 1/2X2 1/2</v>
      </c>
      <c r="C766" s="39" t="s">
        <v>17</v>
      </c>
      <c r="D766" s="236">
        <v>300</v>
      </c>
      <c r="E766" s="236">
        <v>300</v>
      </c>
      <c r="F766" s="236">
        <v>300</v>
      </c>
      <c r="G766" s="236">
        <v>300</v>
      </c>
      <c r="H766" s="240">
        <f>SUM(Tabla1321124[[#This Row],[PRIMER TRIMESTRE]:[CUARTO TRIMESTRE]])</f>
        <v>1200</v>
      </c>
      <c r="I766" s="17">
        <v>17.7</v>
      </c>
      <c r="J766" s="17">
        <f>+Tabla1321124[[#This Row],[CANTIDAD TOTAL]]*Tabla1321124[[#This Row],[PRECIO UNITARIO ESTIMADO]]</f>
        <v>21240</v>
      </c>
      <c r="K766" s="17"/>
      <c r="L766" s="16" t="s">
        <v>18</v>
      </c>
      <c r="M766" s="16" t="s">
        <v>22</v>
      </c>
      <c r="N766" s="16"/>
      <c r="O766" s="243"/>
      <c r="P766" s="243"/>
      <c r="Q766" s="243"/>
      <c r="R766" s="243"/>
      <c r="S766" s="243"/>
      <c r="T766" s="243"/>
      <c r="U766" s="243"/>
      <c r="V766" s="243"/>
      <c r="W766" s="243"/>
      <c r="X766" s="243"/>
      <c r="Y766" s="243"/>
      <c r="Z766" s="243"/>
      <c r="AA766" s="243"/>
      <c r="AB766" s="243"/>
      <c r="AC766" s="243"/>
      <c r="AD766" s="243"/>
      <c r="AE766" s="243"/>
      <c r="AF766" s="243"/>
      <c r="AG766" s="243"/>
      <c r="AH766" s="243"/>
      <c r="AI766" s="243"/>
      <c r="AJ766" s="243"/>
      <c r="AK766" s="243"/>
      <c r="AL766" s="243"/>
      <c r="AM766" s="243"/>
      <c r="AN766" s="243"/>
      <c r="AO766" s="243"/>
      <c r="AP766" s="243"/>
      <c r="AQ766" s="243"/>
      <c r="AR766" s="243"/>
      <c r="AS766" s="243"/>
      <c r="AT766" s="243"/>
      <c r="AU766" s="243"/>
      <c r="AV766" s="243"/>
      <c r="AW766" s="243"/>
      <c r="AX766" s="243"/>
      <c r="AY766" s="243"/>
      <c r="AZ766" s="243"/>
      <c r="BA766" s="243"/>
      <c r="BB766" s="243"/>
      <c r="BC766" s="243"/>
      <c r="BD766" s="243"/>
      <c r="BE766" s="243"/>
      <c r="BF766" s="243"/>
      <c r="BG766" s="243"/>
      <c r="BH766" s="243"/>
      <c r="BI766" s="243"/>
      <c r="BJ766" s="243"/>
      <c r="BK766" s="243"/>
      <c r="BL766" s="243"/>
      <c r="BM766" s="243"/>
      <c r="BN766" s="243"/>
      <c r="BO766" s="243"/>
      <c r="BP766" s="243"/>
      <c r="BQ766" s="243"/>
      <c r="BR766" s="243"/>
      <c r="BS766" s="243"/>
    </row>
    <row r="767" spans="1:71" s="12" customFormat="1" ht="41.25" customHeight="1">
      <c r="A767" s="178" t="s">
        <v>80</v>
      </c>
      <c r="B767" s="178" t="str">
        <f ca="1">+UPPER(Tabla1321124[[#This Row],[DESCRIPCIÓN DE LA COMPRA O CONTRATACIÓN]])</f>
        <v>TORNILLO 5/8X 14</v>
      </c>
      <c r="C767" s="39" t="s">
        <v>17</v>
      </c>
      <c r="D767" s="236">
        <v>400</v>
      </c>
      <c r="E767" s="236">
        <v>400</v>
      </c>
      <c r="F767" s="236">
        <v>400</v>
      </c>
      <c r="G767" s="236">
        <v>400</v>
      </c>
      <c r="H767" s="240">
        <f>SUM(Tabla1321124[[#This Row],[PRIMER TRIMESTRE]:[CUARTO TRIMESTRE]])</f>
        <v>1600</v>
      </c>
      <c r="I767" s="17">
        <v>20</v>
      </c>
      <c r="J767" s="17">
        <f>+Tabla1321124[[#This Row],[CANTIDAD TOTAL]]*Tabla1321124[[#This Row],[PRECIO UNITARIO ESTIMADO]]</f>
        <v>32000</v>
      </c>
      <c r="K767" s="17"/>
      <c r="L767" s="16" t="s">
        <v>18</v>
      </c>
      <c r="M767" s="16" t="s">
        <v>22</v>
      </c>
      <c r="N767" s="16"/>
      <c r="O767" s="243"/>
      <c r="P767" s="243"/>
      <c r="Q767" s="243"/>
      <c r="R767" s="243"/>
      <c r="S767" s="243"/>
      <c r="T767" s="243"/>
      <c r="U767" s="243"/>
      <c r="V767" s="243"/>
      <c r="W767" s="243"/>
      <c r="X767" s="243"/>
      <c r="Y767" s="243"/>
      <c r="Z767" s="243"/>
      <c r="AA767" s="243"/>
      <c r="AB767" s="243"/>
      <c r="AC767" s="243"/>
      <c r="AD767" s="243"/>
      <c r="AE767" s="243"/>
      <c r="AF767" s="243"/>
      <c r="AG767" s="243"/>
      <c r="AH767" s="243"/>
      <c r="AI767" s="243"/>
      <c r="AJ767" s="243"/>
      <c r="AK767" s="243"/>
      <c r="AL767" s="243"/>
      <c r="AM767" s="243"/>
      <c r="AN767" s="243"/>
      <c r="AO767" s="243"/>
      <c r="AP767" s="243"/>
      <c r="AQ767" s="243"/>
      <c r="AR767" s="243"/>
      <c r="AS767" s="243"/>
      <c r="AT767" s="243"/>
      <c r="AU767" s="243"/>
      <c r="AV767" s="243"/>
      <c r="AW767" s="243"/>
      <c r="AX767" s="243"/>
      <c r="AY767" s="243"/>
      <c r="AZ767" s="243"/>
      <c r="BA767" s="243"/>
      <c r="BB767" s="243"/>
      <c r="BC767" s="243"/>
      <c r="BD767" s="243"/>
      <c r="BE767" s="243"/>
      <c r="BF767" s="243"/>
      <c r="BG767" s="243"/>
      <c r="BH767" s="243"/>
      <c r="BI767" s="243"/>
      <c r="BJ767" s="243"/>
      <c r="BK767" s="243"/>
      <c r="BL767" s="243"/>
      <c r="BM767" s="243"/>
      <c r="BN767" s="243"/>
      <c r="BO767" s="243"/>
      <c r="BP767" s="243"/>
      <c r="BQ767" s="243"/>
      <c r="BR767" s="243"/>
      <c r="BS767" s="243"/>
    </row>
    <row r="768" spans="1:71" s="12" customFormat="1" ht="41.25" customHeight="1">
      <c r="A768" s="178" t="s">
        <v>80</v>
      </c>
      <c r="B768" s="178" t="str">
        <f ca="1">+UPPER(Tabla1321124[[#This Row],[DESCRIPCIÓN DE LA COMPRA O CONTRATACIÓN]])</f>
        <v>TORNILLO 5/8X 2 1/2</v>
      </c>
      <c r="C768" s="39" t="s">
        <v>17</v>
      </c>
      <c r="D768" s="236">
        <v>400</v>
      </c>
      <c r="E768" s="236">
        <v>400</v>
      </c>
      <c r="F768" s="236">
        <v>400</v>
      </c>
      <c r="G768" s="236">
        <v>400</v>
      </c>
      <c r="H768" s="240">
        <f>SUM(Tabla1321124[[#This Row],[PRIMER TRIMESTRE]:[CUARTO TRIMESTRE]])</f>
        <v>1600</v>
      </c>
      <c r="I768" s="17">
        <v>23.6</v>
      </c>
      <c r="J768" s="17">
        <f>+Tabla1321124[[#This Row],[CANTIDAD TOTAL]]*Tabla1321124[[#This Row],[PRECIO UNITARIO ESTIMADO]]</f>
        <v>37760</v>
      </c>
      <c r="K768" s="17"/>
      <c r="L768" s="16" t="s">
        <v>18</v>
      </c>
      <c r="M768" s="16" t="s">
        <v>22</v>
      </c>
      <c r="N768" s="16"/>
      <c r="O768" s="243"/>
      <c r="P768" s="243"/>
      <c r="Q768" s="243"/>
      <c r="R768" s="243"/>
      <c r="S768" s="243"/>
      <c r="T768" s="243"/>
      <c r="U768" s="243"/>
      <c r="V768" s="243"/>
      <c r="W768" s="243"/>
      <c r="X768" s="243"/>
      <c r="Y768" s="243"/>
      <c r="Z768" s="243"/>
      <c r="AA768" s="243"/>
      <c r="AB768" s="243"/>
      <c r="AC768" s="243"/>
      <c r="AD768" s="243"/>
      <c r="AE768" s="243"/>
      <c r="AF768" s="243"/>
      <c r="AG768" s="243"/>
      <c r="AH768" s="243"/>
      <c r="AI768" s="243"/>
      <c r="AJ768" s="243"/>
      <c r="AK768" s="243"/>
      <c r="AL768" s="243"/>
      <c r="AM768" s="243"/>
      <c r="AN768" s="243"/>
      <c r="AO768" s="243"/>
      <c r="AP768" s="243"/>
      <c r="AQ768" s="243"/>
      <c r="AR768" s="243"/>
      <c r="AS768" s="243"/>
      <c r="AT768" s="243"/>
      <c r="AU768" s="243"/>
      <c r="AV768" s="243"/>
      <c r="AW768" s="243"/>
      <c r="AX768" s="243"/>
      <c r="AY768" s="243"/>
      <c r="AZ768" s="243"/>
      <c r="BA768" s="243"/>
      <c r="BB768" s="243"/>
      <c r="BC768" s="243"/>
      <c r="BD768" s="243"/>
      <c r="BE768" s="243"/>
      <c r="BF768" s="243"/>
      <c r="BG768" s="243"/>
      <c r="BH768" s="243"/>
      <c r="BI768" s="243"/>
      <c r="BJ768" s="243"/>
      <c r="BK768" s="243"/>
      <c r="BL768" s="243"/>
      <c r="BM768" s="243"/>
      <c r="BN768" s="243"/>
      <c r="BO768" s="243"/>
      <c r="BP768" s="243"/>
      <c r="BQ768" s="243"/>
      <c r="BR768" s="243"/>
      <c r="BS768" s="243"/>
    </row>
    <row r="769" spans="1:71" s="12" customFormat="1" ht="41.25" customHeight="1">
      <c r="A769" s="178" t="s">
        <v>80</v>
      </c>
      <c r="B769" s="178" t="str">
        <f ca="1">+UPPER(Tabla1321124[[#This Row],[DESCRIPCIÓN DE LA COMPRA O CONTRATACIÓN]])</f>
        <v>TORNILLO 2 1/2 X 10</v>
      </c>
      <c r="C769" s="39" t="s">
        <v>17</v>
      </c>
      <c r="D769" s="236">
        <v>400</v>
      </c>
      <c r="E769" s="236">
        <v>400</v>
      </c>
      <c r="F769" s="236">
        <v>400</v>
      </c>
      <c r="G769" s="236">
        <v>400</v>
      </c>
      <c r="H769" s="240">
        <f>SUM(Tabla1321124[[#This Row],[PRIMER TRIMESTRE]:[CUARTO TRIMESTRE]])</f>
        <v>1600</v>
      </c>
      <c r="I769" s="17">
        <v>25</v>
      </c>
      <c r="J769" s="17">
        <f>+Tabla1321124[[#This Row],[CANTIDAD TOTAL]]*Tabla1321124[[#This Row],[PRECIO UNITARIO ESTIMADO]]</f>
        <v>40000</v>
      </c>
      <c r="K769" s="302"/>
      <c r="L769" s="16" t="s">
        <v>18</v>
      </c>
      <c r="M769" s="16" t="s">
        <v>22</v>
      </c>
      <c r="N769" s="16"/>
      <c r="O769" s="243"/>
      <c r="P769" s="243"/>
      <c r="Q769" s="243"/>
      <c r="R769" s="243"/>
      <c r="S769" s="243"/>
      <c r="T769" s="243"/>
      <c r="U769" s="243"/>
      <c r="V769" s="243"/>
      <c r="W769" s="243"/>
      <c r="X769" s="243"/>
      <c r="Y769" s="243"/>
      <c r="Z769" s="243"/>
      <c r="AA769" s="243"/>
      <c r="AB769" s="243"/>
      <c r="AC769" s="243"/>
      <c r="AD769" s="243"/>
      <c r="AE769" s="243"/>
      <c r="AF769" s="243"/>
      <c r="AG769" s="243"/>
      <c r="AH769" s="243"/>
      <c r="AI769" s="243"/>
      <c r="AJ769" s="243"/>
      <c r="AK769" s="243"/>
      <c r="AL769" s="243"/>
      <c r="AM769" s="243"/>
      <c r="AN769" s="243"/>
      <c r="AO769" s="243"/>
      <c r="AP769" s="243"/>
      <c r="AQ769" s="243"/>
      <c r="AR769" s="243"/>
      <c r="AS769" s="243"/>
      <c r="AT769" s="243"/>
      <c r="AU769" s="243"/>
      <c r="AV769" s="243"/>
      <c r="AW769" s="243"/>
      <c r="AX769" s="243"/>
      <c r="AY769" s="243"/>
      <c r="AZ769" s="243"/>
      <c r="BA769" s="243"/>
      <c r="BB769" s="243"/>
      <c r="BC769" s="243"/>
      <c r="BD769" s="243"/>
      <c r="BE769" s="243"/>
      <c r="BF769" s="243"/>
      <c r="BG769" s="243"/>
      <c r="BH769" s="243"/>
      <c r="BI769" s="243"/>
      <c r="BJ769" s="243"/>
      <c r="BK769" s="243"/>
      <c r="BL769" s="243"/>
      <c r="BM769" s="243"/>
      <c r="BN769" s="243"/>
      <c r="BO769" s="243"/>
      <c r="BP769" s="243"/>
      <c r="BQ769" s="243"/>
      <c r="BR769" s="243"/>
      <c r="BS769" s="243"/>
    </row>
    <row r="770" spans="1:71" s="12" customFormat="1" ht="41.25" customHeight="1">
      <c r="A770" s="178" t="s">
        <v>80</v>
      </c>
      <c r="B770" s="178" t="str">
        <f ca="1">+UPPER(Tabla1321124[[#This Row],[DESCRIPCIÓN DE LA COMPRA O CONTRATACIÓN]])</f>
        <v>TORNILLO DE 1</v>
      </c>
      <c r="C770" s="39" t="s">
        <v>17</v>
      </c>
      <c r="D770" s="236">
        <v>400</v>
      </c>
      <c r="E770" s="236">
        <v>400</v>
      </c>
      <c r="F770" s="236">
        <v>400</v>
      </c>
      <c r="G770" s="236">
        <v>400</v>
      </c>
      <c r="H770" s="240">
        <f>SUM(Tabla1321124[[#This Row],[PRIMER TRIMESTRE]:[CUARTO TRIMESTRE]])</f>
        <v>1600</v>
      </c>
      <c r="I770" s="17">
        <v>2</v>
      </c>
      <c r="J770" s="17">
        <f>+Tabla1321124[[#This Row],[CANTIDAD TOTAL]]*Tabla1321124[[#This Row],[PRECIO UNITARIO ESTIMADO]]</f>
        <v>3200</v>
      </c>
      <c r="K770" s="17"/>
      <c r="L770" s="16" t="s">
        <v>18</v>
      </c>
      <c r="M770" s="16" t="s">
        <v>22</v>
      </c>
      <c r="N770" s="16"/>
      <c r="O770" s="243"/>
      <c r="P770" s="243"/>
      <c r="Q770" s="243"/>
      <c r="R770" s="243"/>
      <c r="S770" s="243"/>
      <c r="T770" s="243"/>
      <c r="U770" s="243"/>
      <c r="V770" s="243"/>
      <c r="W770" s="243"/>
      <c r="X770" s="243"/>
      <c r="Y770" s="243"/>
      <c r="Z770" s="243"/>
      <c r="AA770" s="243"/>
      <c r="AB770" s="243"/>
      <c r="AC770" s="243"/>
      <c r="AD770" s="243"/>
      <c r="AE770" s="243"/>
      <c r="AF770" s="243"/>
      <c r="AG770" s="243"/>
      <c r="AH770" s="243"/>
      <c r="AI770" s="243"/>
      <c r="AJ770" s="243"/>
      <c r="AK770" s="243"/>
      <c r="AL770" s="243"/>
      <c r="AM770" s="243"/>
      <c r="AN770" s="243"/>
      <c r="AO770" s="243"/>
      <c r="AP770" s="243"/>
      <c r="AQ770" s="243"/>
      <c r="AR770" s="243"/>
      <c r="AS770" s="243"/>
      <c r="AT770" s="243"/>
      <c r="AU770" s="243"/>
      <c r="AV770" s="243"/>
      <c r="AW770" s="243"/>
      <c r="AX770" s="243"/>
      <c r="AY770" s="243"/>
      <c r="AZ770" s="243"/>
      <c r="BA770" s="243"/>
      <c r="BB770" s="243"/>
      <c r="BC770" s="243"/>
      <c r="BD770" s="243"/>
      <c r="BE770" s="243"/>
      <c r="BF770" s="243"/>
      <c r="BG770" s="243"/>
      <c r="BH770" s="243"/>
      <c r="BI770" s="243"/>
      <c r="BJ770" s="243"/>
      <c r="BK770" s="243"/>
      <c r="BL770" s="243"/>
      <c r="BM770" s="243"/>
      <c r="BN770" s="243"/>
      <c r="BO770" s="243"/>
      <c r="BP770" s="243"/>
      <c r="BQ770" s="243"/>
      <c r="BR770" s="243"/>
      <c r="BS770" s="243"/>
    </row>
    <row r="771" spans="1:71" s="12" customFormat="1" ht="41.25" customHeight="1">
      <c r="A771" s="178" t="s">
        <v>80</v>
      </c>
      <c r="B771" s="178" t="str">
        <f ca="1">+UPPER(Tabla1321124[[#This Row],[DESCRIPCIÓN DE LA COMPRA O CONTRATACIÓN]])</f>
        <v>TORNILLO 2</v>
      </c>
      <c r="C771" s="39" t="s">
        <v>17</v>
      </c>
      <c r="D771" s="236">
        <v>400</v>
      </c>
      <c r="E771" s="236">
        <v>400</v>
      </c>
      <c r="F771" s="236">
        <v>400</v>
      </c>
      <c r="G771" s="236">
        <v>400</v>
      </c>
      <c r="H771" s="240">
        <f>SUM(Tabla1321124[[#This Row],[PRIMER TRIMESTRE]:[CUARTO TRIMESTRE]])</f>
        <v>1600</v>
      </c>
      <c r="I771" s="17">
        <v>0.88</v>
      </c>
      <c r="J771" s="17">
        <f>+Tabla1321124[[#This Row],[CANTIDAD TOTAL]]*Tabla1321124[[#This Row],[PRECIO UNITARIO ESTIMADO]]</f>
        <v>1408</v>
      </c>
      <c r="K771" s="17"/>
      <c r="L771" s="16" t="s">
        <v>18</v>
      </c>
      <c r="M771" s="16" t="s">
        <v>22</v>
      </c>
      <c r="N771" s="16"/>
      <c r="O771" s="243"/>
      <c r="P771" s="243"/>
      <c r="Q771" s="243"/>
      <c r="R771" s="243"/>
      <c r="S771" s="243"/>
      <c r="T771" s="243"/>
      <c r="U771" s="243"/>
      <c r="V771" s="243"/>
      <c r="W771" s="243"/>
      <c r="X771" s="243"/>
      <c r="Y771" s="243"/>
      <c r="Z771" s="243"/>
      <c r="AA771" s="243"/>
      <c r="AB771" s="243"/>
      <c r="AC771" s="243"/>
      <c r="AD771" s="243"/>
      <c r="AE771" s="243"/>
      <c r="AF771" s="243"/>
      <c r="AG771" s="243"/>
      <c r="AH771" s="243"/>
      <c r="AI771" s="243"/>
      <c r="AJ771" s="243"/>
      <c r="AK771" s="243"/>
      <c r="AL771" s="243"/>
      <c r="AM771" s="243"/>
      <c r="AN771" s="243"/>
      <c r="AO771" s="243"/>
      <c r="AP771" s="243"/>
      <c r="AQ771" s="243"/>
      <c r="AR771" s="243"/>
      <c r="AS771" s="243"/>
      <c r="AT771" s="243"/>
      <c r="AU771" s="243"/>
      <c r="AV771" s="243"/>
      <c r="AW771" s="243"/>
      <c r="AX771" s="243"/>
      <c r="AY771" s="243"/>
      <c r="AZ771" s="243"/>
      <c r="BA771" s="243"/>
      <c r="BB771" s="243"/>
      <c r="BC771" s="243"/>
      <c r="BD771" s="243"/>
      <c r="BE771" s="243"/>
      <c r="BF771" s="243"/>
      <c r="BG771" s="243"/>
      <c r="BH771" s="243"/>
      <c r="BI771" s="243"/>
      <c r="BJ771" s="243"/>
      <c r="BK771" s="243"/>
      <c r="BL771" s="243"/>
      <c r="BM771" s="243"/>
      <c r="BN771" s="243"/>
      <c r="BO771" s="243"/>
      <c r="BP771" s="243"/>
      <c r="BQ771" s="243"/>
      <c r="BR771" s="243"/>
      <c r="BS771" s="243"/>
    </row>
    <row r="772" spans="1:71" s="12" customFormat="1" ht="41.25" customHeight="1">
      <c r="A772" s="178" t="s">
        <v>80</v>
      </c>
      <c r="B772" s="178" t="str">
        <f ca="1">+UPPER(Tabla1321124[[#This Row],[DESCRIPCIÓN DE LA COMPRA O CONTRATACIÓN]])</f>
        <v>TORNILLO 2X8</v>
      </c>
      <c r="C772" s="39" t="s">
        <v>17</v>
      </c>
      <c r="D772" s="236">
        <v>400</v>
      </c>
      <c r="E772" s="236">
        <v>400</v>
      </c>
      <c r="F772" s="236">
        <v>400</v>
      </c>
      <c r="G772" s="236">
        <v>400</v>
      </c>
      <c r="H772" s="240">
        <f>SUM(Tabla1321124[[#This Row],[PRIMER TRIMESTRE]:[CUARTO TRIMESTRE]])</f>
        <v>1600</v>
      </c>
      <c r="I772" s="17">
        <v>1</v>
      </c>
      <c r="J772" s="17">
        <f>+Tabla1321124[[#This Row],[CANTIDAD TOTAL]]*Tabla1321124[[#This Row],[PRECIO UNITARIO ESTIMADO]]</f>
        <v>1600</v>
      </c>
      <c r="K772" s="17"/>
      <c r="L772" s="16" t="s">
        <v>18</v>
      </c>
      <c r="M772" s="16" t="s">
        <v>22</v>
      </c>
      <c r="N772" s="16"/>
      <c r="O772" s="243"/>
      <c r="P772" s="243"/>
      <c r="Q772" s="243"/>
      <c r="R772" s="243"/>
      <c r="S772" s="243"/>
      <c r="T772" s="243"/>
      <c r="U772" s="243"/>
      <c r="V772" s="243"/>
      <c r="W772" s="243"/>
      <c r="X772" s="243"/>
      <c r="Y772" s="243"/>
      <c r="Z772" s="243"/>
      <c r="AA772" s="243"/>
      <c r="AB772" s="243"/>
      <c r="AC772" s="243"/>
      <c r="AD772" s="243"/>
      <c r="AE772" s="243"/>
      <c r="AF772" s="243"/>
      <c r="AG772" s="243"/>
      <c r="AH772" s="243"/>
      <c r="AI772" s="243"/>
      <c r="AJ772" s="243"/>
      <c r="AK772" s="243"/>
      <c r="AL772" s="243"/>
      <c r="AM772" s="243"/>
      <c r="AN772" s="243"/>
      <c r="AO772" s="243"/>
      <c r="AP772" s="243"/>
      <c r="AQ772" s="243"/>
      <c r="AR772" s="243"/>
      <c r="AS772" s="243"/>
      <c r="AT772" s="243"/>
      <c r="AU772" s="243"/>
      <c r="AV772" s="243"/>
      <c r="AW772" s="243"/>
      <c r="AX772" s="243"/>
      <c r="AY772" s="243"/>
      <c r="AZ772" s="243"/>
      <c r="BA772" s="243"/>
      <c r="BB772" s="243"/>
      <c r="BC772" s="243"/>
      <c r="BD772" s="243"/>
      <c r="BE772" s="243"/>
      <c r="BF772" s="243"/>
      <c r="BG772" s="243"/>
      <c r="BH772" s="243"/>
      <c r="BI772" s="243"/>
      <c r="BJ772" s="243"/>
      <c r="BK772" s="243"/>
      <c r="BL772" s="243"/>
      <c r="BM772" s="243"/>
      <c r="BN772" s="243"/>
      <c r="BO772" s="243"/>
      <c r="BP772" s="243"/>
      <c r="BQ772" s="243"/>
      <c r="BR772" s="243"/>
      <c r="BS772" s="243"/>
    </row>
    <row r="773" spans="1:71" s="12" customFormat="1" ht="41.25" customHeight="1">
      <c r="A773" s="178" t="s">
        <v>80</v>
      </c>
      <c r="B773" s="178" t="str">
        <f ca="1">+UPPER(Tabla1321124[[#This Row],[DESCRIPCIÓN DE LA COMPRA O CONTRATACIÓN]])</f>
        <v>TORNILLO 3X14</v>
      </c>
      <c r="C773" s="39" t="s">
        <v>208</v>
      </c>
      <c r="D773" s="236">
        <v>400</v>
      </c>
      <c r="E773" s="236">
        <v>400</v>
      </c>
      <c r="F773" s="236">
        <v>400</v>
      </c>
      <c r="G773" s="236">
        <v>400</v>
      </c>
      <c r="H773" s="240">
        <f>SUM(Tabla1321124[[#This Row],[PRIMER TRIMESTRE]:[CUARTO TRIMESTRE]])</f>
        <v>1600</v>
      </c>
      <c r="I773" s="17">
        <v>361.44</v>
      </c>
      <c r="J773" s="17">
        <f>+Tabla1321124[[#This Row],[CANTIDAD TOTAL]]*Tabla1321124[[#This Row],[PRECIO UNITARIO ESTIMADO]]</f>
        <v>578304</v>
      </c>
      <c r="K773" s="17"/>
      <c r="L773" s="16" t="s">
        <v>18</v>
      </c>
      <c r="M773" s="16" t="s">
        <v>22</v>
      </c>
      <c r="N773" s="16"/>
      <c r="O773" s="243"/>
      <c r="P773" s="243"/>
      <c r="Q773" s="243"/>
      <c r="R773" s="243"/>
      <c r="S773" s="243"/>
      <c r="T773" s="243"/>
      <c r="U773" s="243"/>
      <c r="V773" s="243"/>
      <c r="W773" s="243"/>
      <c r="X773" s="243"/>
      <c r="Y773" s="243"/>
      <c r="Z773" s="243"/>
      <c r="AA773" s="243"/>
      <c r="AB773" s="243"/>
      <c r="AC773" s="243"/>
      <c r="AD773" s="243"/>
      <c r="AE773" s="243"/>
      <c r="AF773" s="243"/>
      <c r="AG773" s="243"/>
      <c r="AH773" s="243"/>
      <c r="AI773" s="243"/>
      <c r="AJ773" s="243"/>
      <c r="AK773" s="243"/>
      <c r="AL773" s="243"/>
      <c r="AM773" s="243"/>
      <c r="AN773" s="243"/>
      <c r="AO773" s="243"/>
      <c r="AP773" s="243"/>
      <c r="AQ773" s="243"/>
      <c r="AR773" s="243"/>
      <c r="AS773" s="243"/>
      <c r="AT773" s="243"/>
      <c r="AU773" s="243"/>
      <c r="AV773" s="243"/>
      <c r="AW773" s="243"/>
      <c r="AX773" s="243"/>
      <c r="AY773" s="243"/>
      <c r="AZ773" s="243"/>
      <c r="BA773" s="243"/>
      <c r="BB773" s="243"/>
      <c r="BC773" s="243"/>
      <c r="BD773" s="243"/>
      <c r="BE773" s="243"/>
      <c r="BF773" s="243"/>
      <c r="BG773" s="243"/>
      <c r="BH773" s="243"/>
      <c r="BI773" s="243"/>
      <c r="BJ773" s="243"/>
      <c r="BK773" s="243"/>
      <c r="BL773" s="243"/>
      <c r="BM773" s="243"/>
      <c r="BN773" s="243"/>
      <c r="BO773" s="243"/>
      <c r="BP773" s="243"/>
      <c r="BQ773" s="243"/>
      <c r="BR773" s="243"/>
      <c r="BS773" s="243"/>
    </row>
    <row r="774" spans="1:71" s="12" customFormat="1" ht="41.25" customHeight="1">
      <c r="A774" s="178" t="s">
        <v>80</v>
      </c>
      <c r="B774" s="178" t="str">
        <f ca="1">+UPPER(Tabla1321124[[#This Row],[DESCRIPCIÓN DE LA COMPRA O CONTRATACIÓN]])</f>
        <v>TORNILLO 2X10</v>
      </c>
      <c r="C774" s="39" t="s">
        <v>17</v>
      </c>
      <c r="D774" s="236">
        <v>400</v>
      </c>
      <c r="E774" s="236">
        <v>400</v>
      </c>
      <c r="F774" s="236">
        <v>400</v>
      </c>
      <c r="G774" s="236">
        <v>400</v>
      </c>
      <c r="H774" s="240">
        <f>SUM(Tabla1321124[[#This Row],[PRIMER TRIMESTRE]:[CUARTO TRIMESTRE]])</f>
        <v>1600</v>
      </c>
      <c r="I774" s="17">
        <v>1.1499999999999999</v>
      </c>
      <c r="J774" s="17">
        <f>+Tabla1321124[[#This Row],[CANTIDAD TOTAL]]*Tabla1321124[[#This Row],[PRECIO UNITARIO ESTIMADO]]</f>
        <v>1839.9999999999998</v>
      </c>
      <c r="K774" s="17"/>
      <c r="L774" s="16" t="s">
        <v>18</v>
      </c>
      <c r="M774" s="16" t="s">
        <v>22</v>
      </c>
      <c r="N774" s="16"/>
      <c r="O774" s="243"/>
      <c r="P774" s="243"/>
      <c r="Q774" s="243"/>
      <c r="R774" s="243"/>
      <c r="S774" s="243"/>
      <c r="T774" s="243"/>
      <c r="U774" s="243"/>
      <c r="V774" s="243"/>
      <c r="W774" s="243"/>
      <c r="X774" s="243"/>
      <c r="Y774" s="243"/>
      <c r="Z774" s="243"/>
      <c r="AA774" s="243"/>
      <c r="AB774" s="243"/>
      <c r="AC774" s="243"/>
      <c r="AD774" s="243"/>
      <c r="AE774" s="243"/>
      <c r="AF774" s="243"/>
      <c r="AG774" s="243"/>
      <c r="AH774" s="243"/>
      <c r="AI774" s="243"/>
      <c r="AJ774" s="243"/>
      <c r="AK774" s="243"/>
      <c r="AL774" s="243"/>
      <c r="AM774" s="243"/>
      <c r="AN774" s="243"/>
      <c r="AO774" s="243"/>
      <c r="AP774" s="243"/>
      <c r="AQ774" s="243"/>
      <c r="AR774" s="243"/>
      <c r="AS774" s="243"/>
      <c r="AT774" s="243"/>
      <c r="AU774" s="243"/>
      <c r="AV774" s="243"/>
      <c r="AW774" s="243"/>
      <c r="AX774" s="243"/>
      <c r="AY774" s="243"/>
      <c r="AZ774" s="243"/>
      <c r="BA774" s="243"/>
      <c r="BB774" s="243"/>
      <c r="BC774" s="243"/>
      <c r="BD774" s="243"/>
      <c r="BE774" s="243"/>
      <c r="BF774" s="243"/>
      <c r="BG774" s="243"/>
      <c r="BH774" s="243"/>
      <c r="BI774" s="243"/>
      <c r="BJ774" s="243"/>
      <c r="BK774" s="243"/>
      <c r="BL774" s="243"/>
      <c r="BM774" s="243"/>
      <c r="BN774" s="243"/>
      <c r="BO774" s="243"/>
      <c r="BP774" s="243"/>
      <c r="BQ774" s="243"/>
      <c r="BR774" s="243"/>
      <c r="BS774" s="243"/>
    </row>
    <row r="775" spans="1:71" s="12" customFormat="1" ht="41.25" customHeight="1">
      <c r="A775" s="178" t="s">
        <v>80</v>
      </c>
      <c r="B775" s="178" t="str">
        <f ca="1">+UPPER(Tabla1321124[[#This Row],[DESCRIPCIÓN DE LA COMPRA O CONTRATACIÓN]])</f>
        <v>TUBERIAS PVC SDR-32.5 L=19 Ø12"</v>
      </c>
      <c r="C775" s="39" t="s">
        <v>17</v>
      </c>
      <c r="D775" s="352">
        <v>100</v>
      </c>
      <c r="E775" s="352">
        <v>100</v>
      </c>
      <c r="F775" s="352">
        <v>100</v>
      </c>
      <c r="G775" s="352">
        <v>100</v>
      </c>
      <c r="H775" s="240">
        <f>SUM(Tabla1321124[[#This Row],[PRIMER TRIMESTRE]:[CUARTO TRIMESTRE]])</f>
        <v>400</v>
      </c>
      <c r="I775" s="17">
        <v>12739.27</v>
      </c>
      <c r="J775" s="17">
        <f>+Tabla1321124[[#This Row],[CANTIDAD TOTAL]]*Tabla1321124[[#This Row],[PRECIO UNITARIO ESTIMADO]]</f>
        <v>5095708</v>
      </c>
      <c r="K775" s="17"/>
      <c r="L775" s="16" t="s">
        <v>18</v>
      </c>
      <c r="M775" s="16" t="s">
        <v>22</v>
      </c>
      <c r="N775" s="16"/>
      <c r="O775" s="243"/>
      <c r="P775" s="243"/>
      <c r="Q775" s="243"/>
      <c r="R775" s="243"/>
      <c r="S775" s="243"/>
      <c r="T775" s="243"/>
      <c r="U775" s="243"/>
      <c r="V775" s="243"/>
      <c r="W775" s="243"/>
      <c r="X775" s="243"/>
      <c r="Y775" s="243"/>
      <c r="Z775" s="243"/>
      <c r="AA775" s="243"/>
      <c r="AB775" s="243"/>
      <c r="AC775" s="243"/>
      <c r="AD775" s="243"/>
      <c r="AE775" s="243"/>
      <c r="AF775" s="243"/>
      <c r="AG775" s="243"/>
      <c r="AH775" s="243"/>
      <c r="AI775" s="243"/>
      <c r="AJ775" s="243"/>
      <c r="AK775" s="243"/>
      <c r="AL775" s="243"/>
      <c r="AM775" s="243"/>
      <c r="AN775" s="243"/>
      <c r="AO775" s="243"/>
      <c r="AP775" s="243"/>
      <c r="AQ775" s="243"/>
      <c r="AR775" s="243"/>
      <c r="AS775" s="243"/>
      <c r="AT775" s="243"/>
      <c r="AU775" s="243"/>
      <c r="AV775" s="243"/>
      <c r="AW775" s="243"/>
      <c r="AX775" s="243"/>
      <c r="AY775" s="243"/>
      <c r="AZ775" s="243"/>
      <c r="BA775" s="243"/>
      <c r="BB775" s="243"/>
      <c r="BC775" s="243"/>
      <c r="BD775" s="243"/>
      <c r="BE775" s="243"/>
      <c r="BF775" s="243"/>
      <c r="BG775" s="243"/>
      <c r="BH775" s="243"/>
      <c r="BI775" s="243"/>
      <c r="BJ775" s="243"/>
      <c r="BK775" s="243"/>
      <c r="BL775" s="243"/>
      <c r="BM775" s="243"/>
      <c r="BN775" s="243"/>
      <c r="BO775" s="243"/>
      <c r="BP775" s="243"/>
      <c r="BQ775" s="243"/>
      <c r="BR775" s="243"/>
      <c r="BS775" s="243"/>
    </row>
    <row r="776" spans="1:71" s="12" customFormat="1" ht="41.25" customHeight="1">
      <c r="A776" s="178" t="s">
        <v>80</v>
      </c>
      <c r="B776" s="178" t="str">
        <f ca="1">+UPPER(Tabla1321124[[#This Row],[DESCRIPCIÓN DE LA COMPRA O CONTRATACIÓN]])</f>
        <v>TUBERIAS PVC SCH-32.5 L=19 Ø4"</v>
      </c>
      <c r="C776" s="39" t="s">
        <v>17</v>
      </c>
      <c r="D776" s="352">
        <v>100</v>
      </c>
      <c r="E776" s="352">
        <v>100</v>
      </c>
      <c r="F776" s="352">
        <v>100</v>
      </c>
      <c r="G776" s="352">
        <v>100</v>
      </c>
      <c r="H776" s="240">
        <f>SUM(Tabla1321124[[#This Row],[PRIMER TRIMESTRE]:[CUARTO TRIMESTRE]])</f>
        <v>400</v>
      </c>
      <c r="I776" s="17">
        <v>1052.51</v>
      </c>
      <c r="J776" s="17">
        <f>+Tabla1321124[[#This Row],[CANTIDAD TOTAL]]*Tabla1321124[[#This Row],[PRECIO UNITARIO ESTIMADO]]</f>
        <v>421004</v>
      </c>
      <c r="K776" s="17"/>
      <c r="L776" s="16" t="s">
        <v>18</v>
      </c>
      <c r="M776" s="16" t="s">
        <v>22</v>
      </c>
      <c r="N776" s="16"/>
      <c r="O776" s="243"/>
      <c r="P776" s="243"/>
      <c r="Q776" s="243"/>
      <c r="R776" s="243"/>
      <c r="S776" s="243"/>
      <c r="T776" s="243"/>
      <c r="U776" s="243"/>
      <c r="V776" s="243"/>
      <c r="W776" s="243"/>
      <c r="X776" s="243"/>
      <c r="Y776" s="243"/>
      <c r="Z776" s="243"/>
      <c r="AA776" s="243"/>
      <c r="AB776" s="243"/>
      <c r="AC776" s="243"/>
      <c r="AD776" s="243"/>
      <c r="AE776" s="243"/>
      <c r="AF776" s="243"/>
      <c r="AG776" s="243"/>
      <c r="AH776" s="243"/>
      <c r="AI776" s="243"/>
      <c r="AJ776" s="243"/>
      <c r="AK776" s="243"/>
      <c r="AL776" s="243"/>
      <c r="AM776" s="243"/>
      <c r="AN776" s="243"/>
      <c r="AO776" s="243"/>
      <c r="AP776" s="243"/>
      <c r="AQ776" s="243"/>
      <c r="AR776" s="243"/>
      <c r="AS776" s="243"/>
      <c r="AT776" s="243"/>
      <c r="AU776" s="243"/>
      <c r="AV776" s="243"/>
      <c r="AW776" s="243"/>
      <c r="AX776" s="243"/>
      <c r="AY776" s="243"/>
      <c r="AZ776" s="243"/>
      <c r="BA776" s="243"/>
      <c r="BB776" s="243"/>
      <c r="BC776" s="243"/>
      <c r="BD776" s="243"/>
      <c r="BE776" s="243"/>
      <c r="BF776" s="243"/>
      <c r="BG776" s="243"/>
      <c r="BH776" s="243"/>
      <c r="BI776" s="243"/>
      <c r="BJ776" s="243"/>
      <c r="BK776" s="243"/>
      <c r="BL776" s="243"/>
      <c r="BM776" s="243"/>
      <c r="BN776" s="243"/>
      <c r="BO776" s="243"/>
      <c r="BP776" s="243"/>
      <c r="BQ776" s="243"/>
      <c r="BR776" s="243"/>
      <c r="BS776" s="243"/>
    </row>
    <row r="777" spans="1:71" s="12" customFormat="1" ht="41.25" customHeight="1">
      <c r="A777" s="178" t="s">
        <v>80</v>
      </c>
      <c r="B777" s="178" t="str">
        <f ca="1">+UPPER(Tabla1321124[[#This Row],[DESCRIPCIÓN DE LA COMPRA O CONTRATACIÓN]])</f>
        <v>TUBERIAS PVC SCH-32.5 L=19 Ø6"</v>
      </c>
      <c r="C777" s="39" t="s">
        <v>17</v>
      </c>
      <c r="D777" s="352">
        <v>200</v>
      </c>
      <c r="E777" s="352">
        <v>200</v>
      </c>
      <c r="F777" s="352">
        <v>200</v>
      </c>
      <c r="G777" s="352">
        <v>200</v>
      </c>
      <c r="H777" s="240">
        <f>SUM(Tabla1321124[[#This Row],[PRIMER TRIMESTRE]:[CUARTO TRIMESTRE]])</f>
        <v>800</v>
      </c>
      <c r="I777" s="17">
        <v>3302.0937420000005</v>
      </c>
      <c r="J777" s="17">
        <f>+Tabla1321124[[#This Row],[CANTIDAD TOTAL]]*Tabla1321124[[#This Row],[PRECIO UNITARIO ESTIMADO]]</f>
        <v>2641674.9936000002</v>
      </c>
      <c r="K777" s="17"/>
      <c r="L777" s="16" t="s">
        <v>18</v>
      </c>
      <c r="M777" s="16" t="s">
        <v>22</v>
      </c>
      <c r="N777" s="16"/>
      <c r="O777" s="243"/>
      <c r="P777" s="243"/>
      <c r="Q777" s="243"/>
      <c r="R777" s="243"/>
      <c r="S777" s="243"/>
      <c r="T777" s="243"/>
      <c r="U777" s="243"/>
      <c r="V777" s="243"/>
      <c r="W777" s="243"/>
      <c r="X777" s="243"/>
      <c r="Y777" s="243"/>
      <c r="Z777" s="243"/>
      <c r="AA777" s="243"/>
      <c r="AB777" s="243"/>
      <c r="AC777" s="243"/>
      <c r="AD777" s="243"/>
      <c r="AE777" s="243"/>
      <c r="AF777" s="243"/>
      <c r="AG777" s="243"/>
      <c r="AH777" s="243"/>
      <c r="AI777" s="243"/>
      <c r="AJ777" s="243"/>
      <c r="AK777" s="243"/>
      <c r="AL777" s="243"/>
      <c r="AM777" s="243"/>
      <c r="AN777" s="243"/>
      <c r="AO777" s="243"/>
      <c r="AP777" s="243"/>
      <c r="AQ777" s="243"/>
      <c r="AR777" s="243"/>
      <c r="AS777" s="243"/>
      <c r="AT777" s="243"/>
      <c r="AU777" s="243"/>
      <c r="AV777" s="243"/>
      <c r="AW777" s="243"/>
      <c r="AX777" s="243"/>
      <c r="AY777" s="243"/>
      <c r="AZ777" s="243"/>
      <c r="BA777" s="243"/>
      <c r="BB777" s="243"/>
      <c r="BC777" s="243"/>
      <c r="BD777" s="243"/>
      <c r="BE777" s="243"/>
      <c r="BF777" s="243"/>
      <c r="BG777" s="243"/>
      <c r="BH777" s="243"/>
      <c r="BI777" s="243"/>
      <c r="BJ777" s="243"/>
      <c r="BK777" s="243"/>
      <c r="BL777" s="243"/>
      <c r="BM777" s="243"/>
      <c r="BN777" s="243"/>
      <c r="BO777" s="243"/>
      <c r="BP777" s="243"/>
      <c r="BQ777" s="243"/>
      <c r="BR777" s="243"/>
      <c r="BS777" s="243"/>
    </row>
    <row r="778" spans="1:71" s="12" customFormat="1" ht="41.25" customHeight="1">
      <c r="A778" s="178" t="s">
        <v>80</v>
      </c>
      <c r="B778" s="178" t="str">
        <f ca="1">+UPPER(Tabla1321124[[#This Row],[DESCRIPCIÓN DE LA COMPRA O CONTRATACIÓN]])</f>
        <v>TUBERIAS PVC SCH-32.5 L=19 Ø8"</v>
      </c>
      <c r="C778" s="39" t="s">
        <v>17</v>
      </c>
      <c r="D778" s="352">
        <v>100</v>
      </c>
      <c r="E778" s="352">
        <v>100</v>
      </c>
      <c r="F778" s="352">
        <v>100</v>
      </c>
      <c r="G778" s="352">
        <v>100</v>
      </c>
      <c r="H778" s="240">
        <f>SUM(Tabla1321124[[#This Row],[PRIMER TRIMESTRE]:[CUARTO TRIMESTRE]])</f>
        <v>400</v>
      </c>
      <c r="I778" s="17">
        <v>5605.3296870000004</v>
      </c>
      <c r="J778" s="17">
        <f>+Tabla1321124[[#This Row],[CANTIDAD TOTAL]]*Tabla1321124[[#This Row],[PRECIO UNITARIO ESTIMADO]]</f>
        <v>2242131.8748000003</v>
      </c>
      <c r="K778" s="17"/>
      <c r="L778" s="16" t="s">
        <v>18</v>
      </c>
      <c r="M778" s="16" t="s">
        <v>22</v>
      </c>
      <c r="N778" s="16"/>
      <c r="O778" s="243"/>
      <c r="P778" s="243"/>
      <c r="Q778" s="243"/>
      <c r="R778" s="243"/>
      <c r="S778" s="243"/>
      <c r="T778" s="243"/>
      <c r="U778" s="243"/>
      <c r="V778" s="243"/>
      <c r="W778" s="243"/>
      <c r="X778" s="243"/>
      <c r="Y778" s="243"/>
      <c r="Z778" s="243"/>
      <c r="AA778" s="243"/>
      <c r="AB778" s="243"/>
      <c r="AC778" s="243"/>
      <c r="AD778" s="243"/>
      <c r="AE778" s="243"/>
      <c r="AF778" s="243"/>
      <c r="AG778" s="243"/>
      <c r="AH778" s="243"/>
      <c r="AI778" s="243"/>
      <c r="AJ778" s="243"/>
      <c r="AK778" s="243"/>
      <c r="AL778" s="243"/>
      <c r="AM778" s="243"/>
      <c r="AN778" s="243"/>
      <c r="AO778" s="243"/>
      <c r="AP778" s="243"/>
      <c r="AQ778" s="243"/>
      <c r="AR778" s="243"/>
      <c r="AS778" s="243"/>
      <c r="AT778" s="243"/>
      <c r="AU778" s="243"/>
      <c r="AV778" s="243"/>
      <c r="AW778" s="243"/>
      <c r="AX778" s="243"/>
      <c r="AY778" s="243"/>
      <c r="AZ778" s="243"/>
      <c r="BA778" s="243"/>
      <c r="BB778" s="243"/>
      <c r="BC778" s="243"/>
      <c r="BD778" s="243"/>
      <c r="BE778" s="243"/>
      <c r="BF778" s="243"/>
      <c r="BG778" s="243"/>
      <c r="BH778" s="243"/>
      <c r="BI778" s="243"/>
      <c r="BJ778" s="243"/>
      <c r="BK778" s="243"/>
      <c r="BL778" s="243"/>
      <c r="BM778" s="243"/>
      <c r="BN778" s="243"/>
      <c r="BO778" s="243"/>
      <c r="BP778" s="243"/>
      <c r="BQ778" s="243"/>
      <c r="BR778" s="243"/>
      <c r="BS778" s="243"/>
    </row>
    <row r="779" spans="1:71" s="12" customFormat="1" ht="41.25" customHeight="1">
      <c r="A779" s="178" t="s">
        <v>80</v>
      </c>
      <c r="B779" s="178" t="str">
        <f ca="1">+UPPER(Tabla1321124[[#This Row],[DESCRIPCIÓN DE LA COMPRA O CONTRATACIÓN]])</f>
        <v>TUBERIAS PVC SCH-32.5 L=19 Ø12"</v>
      </c>
      <c r="C779" s="39" t="s">
        <v>17</v>
      </c>
      <c r="D779" s="352">
        <v>350</v>
      </c>
      <c r="E779" s="352">
        <v>350</v>
      </c>
      <c r="F779" s="352">
        <v>350</v>
      </c>
      <c r="G779" s="352">
        <v>350</v>
      </c>
      <c r="H779" s="240">
        <f>SUM(Tabla1321124[[#This Row],[PRIMER TRIMESTRE]:[CUARTO TRIMESTRE]])</f>
        <v>1400</v>
      </c>
      <c r="I779" s="17">
        <v>12700</v>
      </c>
      <c r="J779" s="17">
        <f>+Tabla1321124[[#This Row],[CANTIDAD TOTAL]]*Tabla1321124[[#This Row],[PRECIO UNITARIO ESTIMADO]]</f>
        <v>17780000</v>
      </c>
      <c r="K779" s="17"/>
      <c r="L779" s="16" t="s">
        <v>18</v>
      </c>
      <c r="M779" s="16" t="s">
        <v>22</v>
      </c>
      <c r="N779" s="16"/>
      <c r="O779" s="243"/>
      <c r="P779" s="243"/>
      <c r="Q779" s="243"/>
      <c r="R779" s="243"/>
      <c r="S779" s="243"/>
      <c r="T779" s="243"/>
      <c r="U779" s="243"/>
      <c r="V779" s="243"/>
      <c r="W779" s="243"/>
      <c r="X779" s="243"/>
      <c r="Y779" s="243"/>
      <c r="Z779" s="243"/>
      <c r="AA779" s="243"/>
      <c r="AB779" s="243"/>
      <c r="AC779" s="243"/>
      <c r="AD779" s="243"/>
      <c r="AE779" s="243"/>
      <c r="AF779" s="243"/>
      <c r="AG779" s="243"/>
      <c r="AH779" s="243"/>
      <c r="AI779" s="243"/>
      <c r="AJ779" s="243"/>
      <c r="AK779" s="243"/>
      <c r="AL779" s="243"/>
      <c r="AM779" s="243"/>
      <c r="AN779" s="243"/>
      <c r="AO779" s="243"/>
      <c r="AP779" s="243"/>
      <c r="AQ779" s="243"/>
      <c r="AR779" s="243"/>
      <c r="AS779" s="243"/>
      <c r="AT779" s="243"/>
      <c r="AU779" s="243"/>
      <c r="AV779" s="243"/>
      <c r="AW779" s="243"/>
      <c r="AX779" s="243"/>
      <c r="AY779" s="243"/>
      <c r="AZ779" s="243"/>
      <c r="BA779" s="243"/>
      <c r="BB779" s="243"/>
      <c r="BC779" s="243"/>
      <c r="BD779" s="243"/>
      <c r="BE779" s="243"/>
      <c r="BF779" s="243"/>
      <c r="BG779" s="243"/>
      <c r="BH779" s="243"/>
      <c r="BI779" s="243"/>
      <c r="BJ779" s="243"/>
      <c r="BK779" s="243"/>
      <c r="BL779" s="243"/>
      <c r="BM779" s="243"/>
      <c r="BN779" s="243"/>
      <c r="BO779" s="243"/>
      <c r="BP779" s="243"/>
      <c r="BQ779" s="243"/>
      <c r="BR779" s="243"/>
      <c r="BS779" s="243"/>
    </row>
    <row r="780" spans="1:71" s="12" customFormat="1" ht="41.25" customHeight="1">
      <c r="A780" s="178" t="s">
        <v>80</v>
      </c>
      <c r="B780" s="178" t="str">
        <f ca="1">+UPPER(Tabla1321124[[#This Row],[DESCRIPCIÓN DE LA COMPRA O CONTRATACIÓN]])</f>
        <v>TUBERIAS PVC SCH-40 L=19' Ø1/2"</v>
      </c>
      <c r="C780" s="39" t="s">
        <v>17</v>
      </c>
      <c r="D780" s="352">
        <v>350</v>
      </c>
      <c r="E780" s="352">
        <v>350</v>
      </c>
      <c r="F780" s="352">
        <v>350</v>
      </c>
      <c r="G780" s="352">
        <v>350</v>
      </c>
      <c r="H780" s="240">
        <f>SUM(Tabla1321124[[#This Row],[PRIMER TRIMESTRE]:[CUARTO TRIMESTRE]])</f>
        <v>1400</v>
      </c>
      <c r="I780" s="17">
        <v>256.14999999999998</v>
      </c>
      <c r="J780" s="17">
        <f>+Tabla1321124[[#This Row],[CANTIDAD TOTAL]]*Tabla1321124[[#This Row],[PRECIO UNITARIO ESTIMADO]]</f>
        <v>358609.99999999994</v>
      </c>
      <c r="K780" s="17"/>
      <c r="L780" s="16" t="s">
        <v>18</v>
      </c>
      <c r="M780" s="16" t="s">
        <v>22</v>
      </c>
      <c r="N780" s="16"/>
      <c r="O780" s="243"/>
      <c r="P780" s="243"/>
      <c r="Q780" s="243"/>
      <c r="R780" s="243"/>
      <c r="S780" s="243"/>
      <c r="T780" s="243"/>
      <c r="U780" s="243"/>
      <c r="V780" s="243"/>
      <c r="W780" s="243"/>
      <c r="X780" s="243"/>
      <c r="Y780" s="243"/>
      <c r="Z780" s="243"/>
      <c r="AA780" s="243"/>
      <c r="AB780" s="243"/>
      <c r="AC780" s="243"/>
      <c r="AD780" s="243"/>
      <c r="AE780" s="243"/>
      <c r="AF780" s="243"/>
      <c r="AG780" s="243"/>
      <c r="AH780" s="243"/>
      <c r="AI780" s="243"/>
      <c r="AJ780" s="243"/>
      <c r="AK780" s="243"/>
      <c r="AL780" s="243"/>
      <c r="AM780" s="243"/>
      <c r="AN780" s="243"/>
      <c r="AO780" s="243"/>
      <c r="AP780" s="243"/>
      <c r="AQ780" s="243"/>
      <c r="AR780" s="243"/>
      <c r="AS780" s="243"/>
      <c r="AT780" s="243"/>
      <c r="AU780" s="243"/>
      <c r="AV780" s="243"/>
      <c r="AW780" s="243"/>
      <c r="AX780" s="243"/>
      <c r="AY780" s="243"/>
      <c r="AZ780" s="243"/>
      <c r="BA780" s="243"/>
      <c r="BB780" s="243"/>
      <c r="BC780" s="243"/>
      <c r="BD780" s="243"/>
      <c r="BE780" s="243"/>
      <c r="BF780" s="243"/>
      <c r="BG780" s="243"/>
      <c r="BH780" s="243"/>
      <c r="BI780" s="243"/>
      <c r="BJ780" s="243"/>
      <c r="BK780" s="243"/>
      <c r="BL780" s="243"/>
      <c r="BM780" s="243"/>
      <c r="BN780" s="243"/>
      <c r="BO780" s="243"/>
      <c r="BP780" s="243"/>
      <c r="BQ780" s="243"/>
      <c r="BR780" s="243"/>
      <c r="BS780" s="243"/>
    </row>
    <row r="781" spans="1:71" s="12" customFormat="1" ht="41.25" customHeight="1">
      <c r="A781" s="178" t="s">
        <v>80</v>
      </c>
      <c r="B781" s="178" t="str">
        <f ca="1">+UPPER(Tabla1321124[[#This Row],[DESCRIPCIÓN DE LA COMPRA O CONTRATACIÓN]])</f>
        <v>TUBERIAS PVC SCH-40 L=19' Ø3/4"</v>
      </c>
      <c r="C781" s="39" t="s">
        <v>17</v>
      </c>
      <c r="D781" s="352">
        <v>200</v>
      </c>
      <c r="E781" s="352">
        <v>200</v>
      </c>
      <c r="F781" s="352">
        <v>200</v>
      </c>
      <c r="G781" s="352">
        <v>200</v>
      </c>
      <c r="H781" s="240">
        <f>SUM(Tabla1321124[[#This Row],[PRIMER TRIMESTRE]:[CUARTO TRIMESTRE]])</f>
        <v>800</v>
      </c>
      <c r="I781" s="17">
        <v>260.58531900000003</v>
      </c>
      <c r="J781" s="17">
        <f>+Tabla1321124[[#This Row],[CANTIDAD TOTAL]]*Tabla1321124[[#This Row],[PRECIO UNITARIO ESTIMADO]]</f>
        <v>208468.25520000001</v>
      </c>
      <c r="K781" s="17"/>
      <c r="L781" s="16" t="s">
        <v>18</v>
      </c>
      <c r="M781" s="16" t="s">
        <v>22</v>
      </c>
      <c r="N781" s="16"/>
      <c r="O781" s="243"/>
      <c r="P781" s="243"/>
      <c r="Q781" s="243"/>
      <c r="R781" s="243"/>
      <c r="S781" s="243"/>
      <c r="T781" s="243"/>
      <c r="U781" s="243"/>
      <c r="V781" s="243"/>
      <c r="W781" s="243"/>
      <c r="X781" s="243"/>
      <c r="Y781" s="243"/>
      <c r="Z781" s="243"/>
      <c r="AA781" s="243"/>
      <c r="AB781" s="243"/>
      <c r="AC781" s="243"/>
      <c r="AD781" s="243"/>
      <c r="AE781" s="243"/>
      <c r="AF781" s="243"/>
      <c r="AG781" s="243"/>
      <c r="AH781" s="243"/>
      <c r="AI781" s="243"/>
      <c r="AJ781" s="243"/>
      <c r="AK781" s="243"/>
      <c r="AL781" s="243"/>
      <c r="AM781" s="243"/>
      <c r="AN781" s="243"/>
      <c r="AO781" s="243"/>
      <c r="AP781" s="243"/>
      <c r="AQ781" s="243"/>
      <c r="AR781" s="243"/>
      <c r="AS781" s="243"/>
      <c r="AT781" s="243"/>
      <c r="AU781" s="243"/>
      <c r="AV781" s="243"/>
      <c r="AW781" s="243"/>
      <c r="AX781" s="243"/>
      <c r="AY781" s="243"/>
      <c r="AZ781" s="243"/>
      <c r="BA781" s="243"/>
      <c r="BB781" s="243"/>
      <c r="BC781" s="243"/>
      <c r="BD781" s="243"/>
      <c r="BE781" s="243"/>
      <c r="BF781" s="243"/>
      <c r="BG781" s="243"/>
      <c r="BH781" s="243"/>
      <c r="BI781" s="243"/>
      <c r="BJ781" s="243"/>
      <c r="BK781" s="243"/>
      <c r="BL781" s="243"/>
      <c r="BM781" s="243"/>
      <c r="BN781" s="243"/>
      <c r="BO781" s="243"/>
      <c r="BP781" s="243"/>
      <c r="BQ781" s="243"/>
      <c r="BR781" s="243"/>
      <c r="BS781" s="243"/>
    </row>
    <row r="782" spans="1:71" s="12" customFormat="1" ht="41.25" customHeight="1">
      <c r="A782" s="178" t="s">
        <v>80</v>
      </c>
      <c r="B782" s="178" t="str">
        <f ca="1">+UPPER(Tabla1321124[[#This Row],[DESCRIPCIÓN DE LA COMPRA O CONTRATACIÓN]])</f>
        <v>TUBERIAS PVC SCH-40 L=19' Ø1"</v>
      </c>
      <c r="C782" s="39" t="s">
        <v>17</v>
      </c>
      <c r="D782" s="352">
        <v>90</v>
      </c>
      <c r="E782" s="352">
        <v>90</v>
      </c>
      <c r="F782" s="352">
        <v>90</v>
      </c>
      <c r="G782" s="352">
        <v>90</v>
      </c>
      <c r="H782" s="240">
        <f>SUM(Tabla1321124[[#This Row],[PRIMER TRIMESTRE]:[CUARTO TRIMESTRE]])</f>
        <v>360</v>
      </c>
      <c r="I782" s="17">
        <v>383.08377000000007</v>
      </c>
      <c r="J782" s="17">
        <f>+Tabla1321124[[#This Row],[CANTIDAD TOTAL]]*Tabla1321124[[#This Row],[PRECIO UNITARIO ESTIMADO]]</f>
        <v>137910.15720000002</v>
      </c>
      <c r="K782" s="17"/>
      <c r="L782" s="16" t="s">
        <v>18</v>
      </c>
      <c r="M782" s="16" t="s">
        <v>22</v>
      </c>
      <c r="N782" s="16"/>
      <c r="O782" s="243"/>
      <c r="P782" s="243"/>
      <c r="Q782" s="243"/>
      <c r="R782" s="243"/>
      <c r="S782" s="243"/>
      <c r="T782" s="243"/>
      <c r="U782" s="243"/>
      <c r="V782" s="243"/>
      <c r="W782" s="243"/>
      <c r="X782" s="243"/>
      <c r="Y782" s="243"/>
      <c r="Z782" s="243"/>
      <c r="AA782" s="243"/>
      <c r="AB782" s="243"/>
      <c r="AC782" s="243"/>
      <c r="AD782" s="243"/>
      <c r="AE782" s="243"/>
      <c r="AF782" s="243"/>
      <c r="AG782" s="243"/>
      <c r="AH782" s="243"/>
      <c r="AI782" s="243"/>
      <c r="AJ782" s="243"/>
      <c r="AK782" s="243"/>
      <c r="AL782" s="243"/>
      <c r="AM782" s="243"/>
      <c r="AN782" s="243"/>
      <c r="AO782" s="243"/>
      <c r="AP782" s="243"/>
      <c r="AQ782" s="243"/>
      <c r="AR782" s="243"/>
      <c r="AS782" s="243"/>
      <c r="AT782" s="243"/>
      <c r="AU782" s="243"/>
      <c r="AV782" s="243"/>
      <c r="AW782" s="243"/>
      <c r="AX782" s="243"/>
      <c r="AY782" s="243"/>
      <c r="AZ782" s="243"/>
      <c r="BA782" s="243"/>
      <c r="BB782" s="243"/>
      <c r="BC782" s="243"/>
      <c r="BD782" s="243"/>
      <c r="BE782" s="243"/>
      <c r="BF782" s="243"/>
      <c r="BG782" s="243"/>
      <c r="BH782" s="243"/>
      <c r="BI782" s="243"/>
      <c r="BJ782" s="243"/>
      <c r="BK782" s="243"/>
      <c r="BL782" s="243"/>
      <c r="BM782" s="243"/>
      <c r="BN782" s="243"/>
      <c r="BO782" s="243"/>
      <c r="BP782" s="243"/>
      <c r="BQ782" s="243"/>
      <c r="BR782" s="243"/>
      <c r="BS782" s="243"/>
    </row>
    <row r="783" spans="1:71" s="12" customFormat="1" ht="41.25" customHeight="1">
      <c r="A783" s="178" t="s">
        <v>80</v>
      </c>
      <c r="B783" s="178" t="str">
        <f ca="1">+UPPER(Tabla1321124[[#This Row],[DESCRIPCIÓN DE LA COMPRA O CONTRATACIÓN]])</f>
        <v>TUBERIAS PVC SCH-40 L=19' Ø1 1/2"</v>
      </c>
      <c r="C783" s="39" t="s">
        <v>17</v>
      </c>
      <c r="D783" s="352">
        <v>80</v>
      </c>
      <c r="E783" s="352">
        <v>55</v>
      </c>
      <c r="F783" s="352">
        <v>55</v>
      </c>
      <c r="G783" s="352">
        <v>55</v>
      </c>
      <c r="H783" s="240">
        <f>SUM(Tabla1321124[[#This Row],[PRIMER TRIMESTRE]:[CUARTO TRIMESTRE]])</f>
        <v>245</v>
      </c>
      <c r="I783" s="17">
        <v>450</v>
      </c>
      <c r="J783" s="17">
        <f>+Tabla1321124[[#This Row],[CANTIDAD TOTAL]]*Tabla1321124[[#This Row],[PRECIO UNITARIO ESTIMADO]]</f>
        <v>110250</v>
      </c>
      <c r="K783" s="17"/>
      <c r="L783" s="16" t="s">
        <v>18</v>
      </c>
      <c r="M783" s="16" t="s">
        <v>22</v>
      </c>
      <c r="N783" s="16"/>
      <c r="O783" s="243"/>
      <c r="P783" s="243"/>
      <c r="Q783" s="243"/>
      <c r="R783" s="243"/>
      <c r="S783" s="243"/>
      <c r="T783" s="243"/>
      <c r="U783" s="243"/>
      <c r="V783" s="243"/>
      <c r="W783" s="243"/>
      <c r="X783" s="243"/>
      <c r="Y783" s="243"/>
      <c r="Z783" s="243"/>
      <c r="AA783" s="243"/>
      <c r="AB783" s="243"/>
      <c r="AC783" s="243"/>
      <c r="AD783" s="243"/>
      <c r="AE783" s="243"/>
      <c r="AF783" s="243"/>
      <c r="AG783" s="243"/>
      <c r="AH783" s="243"/>
      <c r="AI783" s="243"/>
      <c r="AJ783" s="243"/>
      <c r="AK783" s="243"/>
      <c r="AL783" s="243"/>
      <c r="AM783" s="243"/>
      <c r="AN783" s="243"/>
      <c r="AO783" s="243"/>
      <c r="AP783" s="243"/>
      <c r="AQ783" s="243"/>
      <c r="AR783" s="243"/>
      <c r="AS783" s="243"/>
      <c r="AT783" s="243"/>
      <c r="AU783" s="243"/>
      <c r="AV783" s="243"/>
      <c r="AW783" s="243"/>
      <c r="AX783" s="243"/>
      <c r="AY783" s="243"/>
      <c r="AZ783" s="243"/>
      <c r="BA783" s="243"/>
      <c r="BB783" s="243"/>
      <c r="BC783" s="243"/>
      <c r="BD783" s="243"/>
      <c r="BE783" s="243"/>
      <c r="BF783" s="243"/>
      <c r="BG783" s="243"/>
      <c r="BH783" s="243"/>
      <c r="BI783" s="243"/>
      <c r="BJ783" s="243"/>
      <c r="BK783" s="243"/>
      <c r="BL783" s="243"/>
      <c r="BM783" s="243"/>
      <c r="BN783" s="243"/>
      <c r="BO783" s="243"/>
      <c r="BP783" s="243"/>
      <c r="BQ783" s="243"/>
      <c r="BR783" s="243"/>
      <c r="BS783" s="243"/>
    </row>
    <row r="784" spans="1:71" s="12" customFormat="1" ht="41.25" customHeight="1">
      <c r="A784" s="178" t="s">
        <v>80</v>
      </c>
      <c r="B784" s="178" t="str">
        <f ca="1">+UPPER(Tabla1321124[[#This Row],[DESCRIPCIÓN DE LA COMPRA O CONTRATACIÓN]])</f>
        <v>TUBERIAS PVC SCH-40 L=19' Ø2"</v>
      </c>
      <c r="C784" s="39" t="s">
        <v>17</v>
      </c>
      <c r="D784" s="352">
        <v>20</v>
      </c>
      <c r="E784" s="352">
        <v>20</v>
      </c>
      <c r="F784" s="352">
        <v>20</v>
      </c>
      <c r="G784" s="352">
        <v>20</v>
      </c>
      <c r="H784" s="240">
        <f>SUM(Tabla1321124[[#This Row],[PRIMER TRIMESTRE]:[CUARTO TRIMESTRE]])</f>
        <v>80</v>
      </c>
      <c r="I784" s="17">
        <v>667.77</v>
      </c>
      <c r="J784" s="17">
        <f>+Tabla1321124[[#This Row],[CANTIDAD TOTAL]]*Tabla1321124[[#This Row],[PRECIO UNITARIO ESTIMADO]]</f>
        <v>53421.599999999999</v>
      </c>
      <c r="K784" s="17"/>
      <c r="L784" s="16" t="s">
        <v>18</v>
      </c>
      <c r="M784" s="16" t="s">
        <v>22</v>
      </c>
      <c r="N784" s="16"/>
      <c r="O784" s="243"/>
      <c r="P784" s="243"/>
      <c r="Q784" s="243"/>
      <c r="R784" s="243"/>
      <c r="S784" s="243"/>
      <c r="T784" s="243"/>
      <c r="U784" s="243"/>
      <c r="V784" s="243"/>
      <c r="W784" s="243"/>
      <c r="X784" s="243"/>
      <c r="Y784" s="243"/>
      <c r="Z784" s="243"/>
      <c r="AA784" s="243"/>
      <c r="AB784" s="243"/>
      <c r="AC784" s="243"/>
      <c r="AD784" s="243"/>
      <c r="AE784" s="243"/>
      <c r="AF784" s="243"/>
      <c r="AG784" s="243"/>
      <c r="AH784" s="243"/>
      <c r="AI784" s="243"/>
      <c r="AJ784" s="243"/>
      <c r="AK784" s="243"/>
      <c r="AL784" s="243"/>
      <c r="AM784" s="243"/>
      <c r="AN784" s="243"/>
      <c r="AO784" s="243"/>
      <c r="AP784" s="243"/>
      <c r="AQ784" s="243"/>
      <c r="AR784" s="243"/>
      <c r="AS784" s="243"/>
      <c r="AT784" s="243"/>
      <c r="AU784" s="243"/>
      <c r="AV784" s="243"/>
      <c r="AW784" s="243"/>
      <c r="AX784" s="243"/>
      <c r="AY784" s="243"/>
      <c r="AZ784" s="243"/>
      <c r="BA784" s="243"/>
      <c r="BB784" s="243"/>
      <c r="BC784" s="243"/>
      <c r="BD784" s="243"/>
      <c r="BE784" s="243"/>
      <c r="BF784" s="243"/>
      <c r="BG784" s="243"/>
      <c r="BH784" s="243"/>
      <c r="BI784" s="243"/>
      <c r="BJ784" s="243"/>
      <c r="BK784" s="243"/>
      <c r="BL784" s="243"/>
      <c r="BM784" s="243"/>
      <c r="BN784" s="243"/>
      <c r="BO784" s="243"/>
      <c r="BP784" s="243"/>
      <c r="BQ784" s="243"/>
      <c r="BR784" s="243"/>
      <c r="BS784" s="243"/>
    </row>
    <row r="785" spans="1:71" s="12" customFormat="1" ht="41.25" customHeight="1">
      <c r="A785" s="178" t="s">
        <v>80</v>
      </c>
      <c r="B785" s="178" t="str">
        <f ca="1">+UPPER(Tabla1321124[[#This Row],[DESCRIPCIÓN DE LA COMPRA O CONTRATACIÓN]])</f>
        <v>TUBERIAS PVC SDR-21 L=19' Ø1"</v>
      </c>
      <c r="C785" s="39" t="s">
        <v>17</v>
      </c>
      <c r="D785" s="352">
        <f>12+10</f>
        <v>22</v>
      </c>
      <c r="E785" s="352">
        <f>13+10</f>
        <v>23</v>
      </c>
      <c r="F785" s="352">
        <f>12+10</f>
        <v>22</v>
      </c>
      <c r="G785" s="352">
        <f>13+10</f>
        <v>23</v>
      </c>
      <c r="H785" s="240">
        <f>SUM(Tabla1321124[[#This Row],[PRIMER TRIMESTRE]:[CUARTO TRIMESTRE]])</f>
        <v>90</v>
      </c>
      <c r="I785" s="17">
        <v>160.61749500000002</v>
      </c>
      <c r="J785" s="17">
        <f>+Tabla1321124[[#This Row],[CANTIDAD TOTAL]]*Tabla1321124[[#This Row],[PRECIO UNITARIO ESTIMADO]]</f>
        <v>14455.574550000001</v>
      </c>
      <c r="K785" s="17"/>
      <c r="L785" s="16" t="s">
        <v>18</v>
      </c>
      <c r="M785" s="16" t="s">
        <v>22</v>
      </c>
      <c r="N785" s="16"/>
      <c r="O785" s="243"/>
      <c r="P785" s="243"/>
      <c r="Q785" s="243"/>
      <c r="R785" s="243"/>
      <c r="S785" s="243"/>
      <c r="T785" s="243"/>
      <c r="U785" s="243"/>
      <c r="V785" s="243"/>
      <c r="W785" s="243"/>
      <c r="X785" s="243"/>
      <c r="Y785" s="243"/>
      <c r="Z785" s="243"/>
      <c r="AA785" s="243"/>
      <c r="AB785" s="243"/>
      <c r="AC785" s="243"/>
      <c r="AD785" s="243"/>
      <c r="AE785" s="243"/>
      <c r="AF785" s="243"/>
      <c r="AG785" s="243"/>
      <c r="AH785" s="243"/>
      <c r="AI785" s="243"/>
      <c r="AJ785" s="243"/>
      <c r="AK785" s="243"/>
      <c r="AL785" s="243"/>
      <c r="AM785" s="243"/>
      <c r="AN785" s="243"/>
      <c r="AO785" s="243"/>
      <c r="AP785" s="243"/>
      <c r="AQ785" s="243"/>
      <c r="AR785" s="243"/>
      <c r="AS785" s="243"/>
      <c r="AT785" s="243"/>
      <c r="AU785" s="243"/>
      <c r="AV785" s="243"/>
      <c r="AW785" s="243"/>
      <c r="AX785" s="243"/>
      <c r="AY785" s="243"/>
      <c r="AZ785" s="243"/>
      <c r="BA785" s="243"/>
      <c r="BB785" s="243"/>
      <c r="BC785" s="243"/>
      <c r="BD785" s="243"/>
      <c r="BE785" s="243"/>
      <c r="BF785" s="243"/>
      <c r="BG785" s="243"/>
      <c r="BH785" s="243"/>
      <c r="BI785" s="243"/>
      <c r="BJ785" s="243"/>
      <c r="BK785" s="243"/>
      <c r="BL785" s="243"/>
      <c r="BM785" s="243"/>
      <c r="BN785" s="243"/>
      <c r="BO785" s="243"/>
      <c r="BP785" s="243"/>
      <c r="BQ785" s="243"/>
      <c r="BR785" s="243"/>
      <c r="BS785" s="243"/>
    </row>
    <row r="786" spans="1:71" s="12" customFormat="1" ht="41.25" customHeight="1">
      <c r="A786" s="178" t="s">
        <v>80</v>
      </c>
      <c r="B786" s="178" t="str">
        <f ca="1">+UPPER(Tabla1321124[[#This Row],[DESCRIPCIÓN DE LA COMPRA O CONTRATACIÓN]])</f>
        <v>TUBERIAS PVC SDR-21 L=19' Ø2"</v>
      </c>
      <c r="C786" s="39" t="s">
        <v>17</v>
      </c>
      <c r="D786" s="352">
        <v>100</v>
      </c>
      <c r="E786" s="352">
        <v>100</v>
      </c>
      <c r="F786" s="352">
        <v>100</v>
      </c>
      <c r="G786" s="352">
        <v>100</v>
      </c>
      <c r="H786" s="240">
        <f>SUM(Tabla1321124[[#This Row],[PRIMER TRIMESTRE]:[CUARTO TRIMESTRE]])</f>
        <v>400</v>
      </c>
      <c r="I786" s="17">
        <v>631.80422099999998</v>
      </c>
      <c r="J786" s="17">
        <f>+Tabla1321124[[#This Row],[CANTIDAD TOTAL]]*Tabla1321124[[#This Row],[PRECIO UNITARIO ESTIMADO]]</f>
        <v>252721.68839999998</v>
      </c>
      <c r="K786" s="17"/>
      <c r="L786" s="16" t="s">
        <v>18</v>
      </c>
      <c r="M786" s="16" t="s">
        <v>22</v>
      </c>
      <c r="N786" s="16"/>
      <c r="O786" s="243"/>
      <c r="P786" s="243"/>
      <c r="Q786" s="243"/>
      <c r="R786" s="243"/>
      <c r="S786" s="243"/>
      <c r="T786" s="243"/>
      <c r="U786" s="243"/>
      <c r="V786" s="243"/>
      <c r="W786" s="243"/>
      <c r="X786" s="243"/>
      <c r="Y786" s="243"/>
      <c r="Z786" s="243"/>
      <c r="AA786" s="243"/>
      <c r="AB786" s="243"/>
      <c r="AC786" s="243"/>
      <c r="AD786" s="243"/>
      <c r="AE786" s="243"/>
      <c r="AF786" s="243"/>
      <c r="AG786" s="243"/>
      <c r="AH786" s="243"/>
      <c r="AI786" s="243"/>
      <c r="AJ786" s="243"/>
      <c r="AK786" s="243"/>
      <c r="AL786" s="243"/>
      <c r="AM786" s="243"/>
      <c r="AN786" s="243"/>
      <c r="AO786" s="243"/>
      <c r="AP786" s="243"/>
      <c r="AQ786" s="243"/>
      <c r="AR786" s="243"/>
      <c r="AS786" s="243"/>
      <c r="AT786" s="243"/>
      <c r="AU786" s="243"/>
      <c r="AV786" s="243"/>
      <c r="AW786" s="243"/>
      <c r="AX786" s="243"/>
      <c r="AY786" s="243"/>
      <c r="AZ786" s="243"/>
      <c r="BA786" s="243"/>
      <c r="BB786" s="243"/>
      <c r="BC786" s="243"/>
      <c r="BD786" s="243"/>
      <c r="BE786" s="243"/>
      <c r="BF786" s="243"/>
      <c r="BG786" s="243"/>
      <c r="BH786" s="243"/>
      <c r="BI786" s="243"/>
      <c r="BJ786" s="243"/>
      <c r="BK786" s="243"/>
      <c r="BL786" s="243"/>
      <c r="BM786" s="243"/>
      <c r="BN786" s="243"/>
      <c r="BO786" s="243"/>
      <c r="BP786" s="243"/>
      <c r="BQ786" s="243"/>
      <c r="BR786" s="243"/>
      <c r="BS786" s="243"/>
    </row>
    <row r="787" spans="1:71" s="12" customFormat="1" ht="41.25" customHeight="1">
      <c r="A787" s="178" t="s">
        <v>80</v>
      </c>
      <c r="B787" s="178" t="str">
        <f ca="1">+UPPER(Tabla1321124[[#This Row],[DESCRIPCIÓN DE LA COMPRA O CONTRATACIÓN]])</f>
        <v>TUBERIAS PVC SDR-26 L=19' Ø2" CON JUNTA DE GOMA</v>
      </c>
      <c r="C787" s="39" t="s">
        <v>17</v>
      </c>
      <c r="D787" s="352">
        <v>100</v>
      </c>
      <c r="E787" s="352">
        <v>100</v>
      </c>
      <c r="F787" s="352">
        <v>100</v>
      </c>
      <c r="G787" s="352">
        <v>100</v>
      </c>
      <c r="H787" s="240">
        <f>SUM(Tabla1321124[[#This Row],[PRIMER TRIMESTRE]:[CUARTO TRIMESTRE]])</f>
        <v>400</v>
      </c>
      <c r="I787" s="17">
        <v>631.80422099999998</v>
      </c>
      <c r="J787" s="17">
        <f>+Tabla1321124[[#This Row],[CANTIDAD TOTAL]]*Tabla1321124[[#This Row],[PRECIO UNITARIO ESTIMADO]]</f>
        <v>252721.68839999998</v>
      </c>
      <c r="K787" s="17"/>
      <c r="L787" s="16" t="s">
        <v>18</v>
      </c>
      <c r="M787" s="16" t="s">
        <v>22</v>
      </c>
      <c r="N787" s="16"/>
      <c r="O787" s="243"/>
      <c r="P787" s="243"/>
      <c r="Q787" s="243"/>
      <c r="R787" s="243"/>
      <c r="S787" s="243"/>
      <c r="T787" s="243"/>
      <c r="U787" s="243"/>
      <c r="V787" s="243"/>
      <c r="W787" s="243"/>
      <c r="X787" s="243"/>
      <c r="Y787" s="243"/>
      <c r="Z787" s="243"/>
      <c r="AA787" s="243"/>
      <c r="AB787" s="243"/>
      <c r="AC787" s="243"/>
      <c r="AD787" s="243"/>
      <c r="AE787" s="243"/>
      <c r="AF787" s="243"/>
      <c r="AG787" s="243"/>
      <c r="AH787" s="243"/>
      <c r="AI787" s="243"/>
      <c r="AJ787" s="243"/>
      <c r="AK787" s="243"/>
      <c r="AL787" s="243"/>
      <c r="AM787" s="243"/>
      <c r="AN787" s="243"/>
      <c r="AO787" s="243"/>
      <c r="AP787" s="243"/>
      <c r="AQ787" s="243"/>
      <c r="AR787" s="243"/>
      <c r="AS787" s="243"/>
      <c r="AT787" s="243"/>
      <c r="AU787" s="243"/>
      <c r="AV787" s="243"/>
      <c r="AW787" s="243"/>
      <c r="AX787" s="243"/>
      <c r="AY787" s="243"/>
      <c r="AZ787" s="243"/>
      <c r="BA787" s="243"/>
      <c r="BB787" s="243"/>
      <c r="BC787" s="243"/>
      <c r="BD787" s="243"/>
      <c r="BE787" s="243"/>
      <c r="BF787" s="243"/>
      <c r="BG787" s="243"/>
      <c r="BH787" s="243"/>
      <c r="BI787" s="243"/>
      <c r="BJ787" s="243"/>
      <c r="BK787" s="243"/>
      <c r="BL787" s="243"/>
      <c r="BM787" s="243"/>
      <c r="BN787" s="243"/>
      <c r="BO787" s="243"/>
      <c r="BP787" s="243"/>
      <c r="BQ787" s="243"/>
      <c r="BR787" s="243"/>
      <c r="BS787" s="243"/>
    </row>
    <row r="788" spans="1:71" s="12" customFormat="1" ht="41.25" customHeight="1">
      <c r="A788" s="178" t="s">
        <v>80</v>
      </c>
      <c r="B788" s="178" t="str">
        <f ca="1">+UPPER(Tabla1321124[[#This Row],[DESCRIPCIÓN DE LA COMPRA O CONTRATACIÓN]])</f>
        <v>TUBERIAS PVC SDR-26 L=19' Ø3"</v>
      </c>
      <c r="C788" s="39" t="s">
        <v>17</v>
      </c>
      <c r="D788" s="352">
        <v>100</v>
      </c>
      <c r="E788" s="352">
        <v>100</v>
      </c>
      <c r="F788" s="352">
        <v>100</v>
      </c>
      <c r="G788" s="352">
        <v>100</v>
      </c>
      <c r="H788" s="240">
        <f>SUM(Tabla1321124[[#This Row],[PRIMER TRIMESTRE]:[CUARTO TRIMESTRE]])</f>
        <v>400</v>
      </c>
      <c r="I788" s="17">
        <v>1565.22</v>
      </c>
      <c r="J788" s="17">
        <f>+Tabla1321124[[#This Row],[CANTIDAD TOTAL]]*Tabla1321124[[#This Row],[PRECIO UNITARIO ESTIMADO]]</f>
        <v>626088</v>
      </c>
      <c r="K788" s="17"/>
      <c r="L788" s="16" t="s">
        <v>18</v>
      </c>
      <c r="M788" s="16" t="s">
        <v>22</v>
      </c>
      <c r="N788" s="16"/>
      <c r="O788" s="243"/>
      <c r="P788" s="243"/>
      <c r="Q788" s="243"/>
      <c r="R788" s="243"/>
      <c r="S788" s="243"/>
      <c r="T788" s="243"/>
      <c r="U788" s="243"/>
      <c r="V788" s="243"/>
      <c r="W788" s="243"/>
      <c r="X788" s="243"/>
      <c r="Y788" s="243"/>
      <c r="Z788" s="243"/>
      <c r="AA788" s="243"/>
      <c r="AB788" s="243"/>
      <c r="AC788" s="243"/>
      <c r="AD788" s="243"/>
      <c r="AE788" s="243"/>
      <c r="AF788" s="243"/>
      <c r="AG788" s="243"/>
      <c r="AH788" s="243"/>
      <c r="AI788" s="243"/>
      <c r="AJ788" s="243"/>
      <c r="AK788" s="243"/>
      <c r="AL788" s="243"/>
      <c r="AM788" s="243"/>
      <c r="AN788" s="243"/>
      <c r="AO788" s="243"/>
      <c r="AP788" s="243"/>
      <c r="AQ788" s="243"/>
      <c r="AR788" s="243"/>
      <c r="AS788" s="243"/>
      <c r="AT788" s="243"/>
      <c r="AU788" s="243"/>
      <c r="AV788" s="243"/>
      <c r="AW788" s="243"/>
      <c r="AX788" s="243"/>
      <c r="AY788" s="243"/>
      <c r="AZ788" s="243"/>
      <c r="BA788" s="243"/>
      <c r="BB788" s="243"/>
      <c r="BC788" s="243"/>
      <c r="BD788" s="243"/>
      <c r="BE788" s="243"/>
      <c r="BF788" s="243"/>
      <c r="BG788" s="243"/>
      <c r="BH788" s="243"/>
      <c r="BI788" s="243"/>
      <c r="BJ788" s="243"/>
      <c r="BK788" s="243"/>
      <c r="BL788" s="243"/>
      <c r="BM788" s="243"/>
      <c r="BN788" s="243"/>
      <c r="BO788" s="243"/>
      <c r="BP788" s="243"/>
      <c r="BQ788" s="243"/>
      <c r="BR788" s="243"/>
      <c r="BS788" s="243"/>
    </row>
    <row r="789" spans="1:71" s="12" customFormat="1" ht="41.25" customHeight="1">
      <c r="A789" s="178" t="s">
        <v>80</v>
      </c>
      <c r="B789" s="178" t="str">
        <f ca="1">+UPPER(Tabla1321124[[#This Row],[DESCRIPCIÓN DE LA COMPRA O CONTRATACIÓN]])</f>
        <v>TUBERIAS PVC SDR-26 L=19' Ø4"</v>
      </c>
      <c r="C789" s="39" t="s">
        <v>17</v>
      </c>
      <c r="D789" s="352">
        <v>100</v>
      </c>
      <c r="E789" s="352">
        <v>100</v>
      </c>
      <c r="F789" s="352">
        <v>100</v>
      </c>
      <c r="G789" s="352">
        <v>100</v>
      </c>
      <c r="H789" s="240">
        <f>SUM(Tabla1321124[[#This Row],[PRIMER TRIMESTRE]:[CUARTO TRIMESTRE]])</f>
        <v>400</v>
      </c>
      <c r="I789" s="17">
        <v>2310.9299999999998</v>
      </c>
      <c r="J789" s="17">
        <f>+Tabla1321124[[#This Row],[CANTIDAD TOTAL]]*Tabla1321124[[#This Row],[PRECIO UNITARIO ESTIMADO]]</f>
        <v>924371.99999999988</v>
      </c>
      <c r="K789" s="17"/>
      <c r="L789" s="16" t="s">
        <v>18</v>
      </c>
      <c r="M789" s="16" t="s">
        <v>22</v>
      </c>
      <c r="N789" s="16"/>
      <c r="O789" s="243"/>
      <c r="P789" s="243"/>
      <c r="Q789" s="243"/>
      <c r="R789" s="243"/>
      <c r="S789" s="243"/>
      <c r="T789" s="243"/>
      <c r="U789" s="243"/>
      <c r="V789" s="243"/>
      <c r="W789" s="243"/>
      <c r="X789" s="243"/>
      <c r="Y789" s="243"/>
      <c r="Z789" s="243"/>
      <c r="AA789" s="243"/>
      <c r="AB789" s="243"/>
      <c r="AC789" s="243"/>
      <c r="AD789" s="243"/>
      <c r="AE789" s="243"/>
      <c r="AF789" s="243"/>
      <c r="AG789" s="243"/>
      <c r="AH789" s="243"/>
      <c r="AI789" s="243"/>
      <c r="AJ789" s="243"/>
      <c r="AK789" s="243"/>
      <c r="AL789" s="243"/>
      <c r="AM789" s="243"/>
      <c r="AN789" s="243"/>
      <c r="AO789" s="243"/>
      <c r="AP789" s="243"/>
      <c r="AQ789" s="243"/>
      <c r="AR789" s="243"/>
      <c r="AS789" s="243"/>
      <c r="AT789" s="243"/>
      <c r="AU789" s="243"/>
      <c r="AV789" s="243"/>
      <c r="AW789" s="243"/>
      <c r="AX789" s="243"/>
      <c r="AY789" s="243"/>
      <c r="AZ789" s="243"/>
      <c r="BA789" s="243"/>
      <c r="BB789" s="243"/>
      <c r="BC789" s="243"/>
      <c r="BD789" s="243"/>
      <c r="BE789" s="243"/>
      <c r="BF789" s="243"/>
      <c r="BG789" s="243"/>
      <c r="BH789" s="243"/>
      <c r="BI789" s="243"/>
      <c r="BJ789" s="243"/>
      <c r="BK789" s="243"/>
      <c r="BL789" s="243"/>
      <c r="BM789" s="243"/>
      <c r="BN789" s="243"/>
      <c r="BO789" s="243"/>
      <c r="BP789" s="243"/>
      <c r="BQ789" s="243"/>
      <c r="BR789" s="243"/>
      <c r="BS789" s="243"/>
    </row>
    <row r="790" spans="1:71" s="12" customFormat="1" ht="41.25" customHeight="1">
      <c r="A790" s="178" t="s">
        <v>80</v>
      </c>
      <c r="B790" s="178" t="str">
        <f ca="1">+UPPER(Tabla1321124[[#This Row],[DESCRIPCIÓN DE LA COMPRA O CONTRATACIÓN]])</f>
        <v>TUBERIAS PVC SDR-26 L=19' Ø6"</v>
      </c>
      <c r="C790" s="39" t="s">
        <v>17</v>
      </c>
      <c r="D790" s="352">
        <f>50+31</f>
        <v>81</v>
      </c>
      <c r="E790" s="352">
        <f>50+31</f>
        <v>81</v>
      </c>
      <c r="F790" s="352">
        <f>50+31</f>
        <v>81</v>
      </c>
      <c r="G790" s="352">
        <f>50+31</f>
        <v>81</v>
      </c>
      <c r="H790" s="240">
        <f>SUM(Tabla1321124[[#This Row],[PRIMER TRIMESTRE]:[CUARTO TRIMESTRE]])</f>
        <v>324</v>
      </c>
      <c r="I790" s="17">
        <v>4630.1499999999996</v>
      </c>
      <c r="J790" s="17">
        <f>+Tabla1321124[[#This Row],[CANTIDAD TOTAL]]*Tabla1321124[[#This Row],[PRECIO UNITARIO ESTIMADO]]</f>
        <v>1500168.5999999999</v>
      </c>
      <c r="K790" s="17"/>
      <c r="L790" s="16" t="s">
        <v>18</v>
      </c>
      <c r="M790" s="16" t="s">
        <v>22</v>
      </c>
      <c r="N790" s="16"/>
      <c r="O790" s="243"/>
      <c r="P790" s="243"/>
      <c r="Q790" s="243"/>
      <c r="R790" s="243"/>
      <c r="S790" s="243"/>
      <c r="T790" s="243"/>
      <c r="U790" s="243"/>
      <c r="V790" s="243"/>
      <c r="W790" s="243"/>
      <c r="X790" s="243"/>
      <c r="Y790" s="243"/>
      <c r="Z790" s="243"/>
      <c r="AA790" s="243"/>
      <c r="AB790" s="243"/>
      <c r="AC790" s="243"/>
      <c r="AD790" s="243"/>
      <c r="AE790" s="243"/>
      <c r="AF790" s="243"/>
      <c r="AG790" s="243"/>
      <c r="AH790" s="243"/>
      <c r="AI790" s="243"/>
      <c r="AJ790" s="243"/>
      <c r="AK790" s="243"/>
      <c r="AL790" s="243"/>
      <c r="AM790" s="243"/>
      <c r="AN790" s="243"/>
      <c r="AO790" s="243"/>
      <c r="AP790" s="243"/>
      <c r="AQ790" s="243"/>
      <c r="AR790" s="243"/>
      <c r="AS790" s="243"/>
      <c r="AT790" s="243"/>
      <c r="AU790" s="243"/>
      <c r="AV790" s="243"/>
      <c r="AW790" s="243"/>
      <c r="AX790" s="243"/>
      <c r="AY790" s="243"/>
      <c r="AZ790" s="243"/>
      <c r="BA790" s="243"/>
      <c r="BB790" s="243"/>
      <c r="BC790" s="243"/>
      <c r="BD790" s="243"/>
      <c r="BE790" s="243"/>
      <c r="BF790" s="243"/>
      <c r="BG790" s="243"/>
      <c r="BH790" s="243"/>
      <c r="BI790" s="243"/>
      <c r="BJ790" s="243"/>
      <c r="BK790" s="243"/>
      <c r="BL790" s="243"/>
      <c r="BM790" s="243"/>
      <c r="BN790" s="243"/>
      <c r="BO790" s="243"/>
      <c r="BP790" s="243"/>
      <c r="BQ790" s="243"/>
      <c r="BR790" s="243"/>
      <c r="BS790" s="243"/>
    </row>
    <row r="791" spans="1:71" s="12" customFormat="1" ht="41.25" customHeight="1">
      <c r="A791" s="178" t="s">
        <v>80</v>
      </c>
      <c r="B791" s="178" t="str">
        <f ca="1">+UPPER(Tabla1321124[[#This Row],[DESCRIPCIÓN DE LA COMPRA O CONTRATACIÓN]])</f>
        <v>TUBERIAS PVC SDR-26 L=19' Ø8"</v>
      </c>
      <c r="C791" s="39" t="s">
        <v>17</v>
      </c>
      <c r="D791" s="352">
        <f>30+28</f>
        <v>58</v>
      </c>
      <c r="E791" s="352">
        <f>30+28</f>
        <v>58</v>
      </c>
      <c r="F791" s="352">
        <f>30+28</f>
        <v>58</v>
      </c>
      <c r="G791" s="352">
        <f>30+28</f>
        <v>58</v>
      </c>
      <c r="H791" s="240">
        <f>SUM(Tabla1321124[[#This Row],[PRIMER TRIMESTRE]:[CUARTO TRIMESTRE]])</f>
        <v>232</v>
      </c>
      <c r="I791" s="17">
        <v>6410</v>
      </c>
      <c r="J791" s="17">
        <f>+Tabla1321124[[#This Row],[CANTIDAD TOTAL]]*Tabla1321124[[#This Row],[PRECIO UNITARIO ESTIMADO]]</f>
        <v>1487120</v>
      </c>
      <c r="K791" s="17"/>
      <c r="L791" s="16" t="s">
        <v>18</v>
      </c>
      <c r="M791" s="16" t="s">
        <v>22</v>
      </c>
      <c r="N791" s="16"/>
      <c r="O791" s="243"/>
      <c r="P791" s="243"/>
      <c r="Q791" s="243"/>
      <c r="R791" s="243"/>
      <c r="S791" s="243"/>
      <c r="T791" s="243"/>
      <c r="U791" s="243"/>
      <c r="V791" s="243"/>
      <c r="W791" s="243"/>
      <c r="X791" s="243"/>
      <c r="Y791" s="243"/>
      <c r="Z791" s="243"/>
      <c r="AA791" s="243"/>
      <c r="AB791" s="243"/>
      <c r="AC791" s="243"/>
      <c r="AD791" s="243"/>
      <c r="AE791" s="243"/>
      <c r="AF791" s="243"/>
      <c r="AG791" s="243"/>
      <c r="AH791" s="243"/>
      <c r="AI791" s="243"/>
      <c r="AJ791" s="243"/>
      <c r="AK791" s="243"/>
      <c r="AL791" s="243"/>
      <c r="AM791" s="243"/>
      <c r="AN791" s="243"/>
      <c r="AO791" s="243"/>
      <c r="AP791" s="243"/>
      <c r="AQ791" s="243"/>
      <c r="AR791" s="243"/>
      <c r="AS791" s="243"/>
      <c r="AT791" s="243"/>
      <c r="AU791" s="243"/>
      <c r="AV791" s="243"/>
      <c r="AW791" s="243"/>
      <c r="AX791" s="243"/>
      <c r="AY791" s="243"/>
      <c r="AZ791" s="243"/>
      <c r="BA791" s="243"/>
      <c r="BB791" s="243"/>
      <c r="BC791" s="243"/>
      <c r="BD791" s="243"/>
      <c r="BE791" s="243"/>
      <c r="BF791" s="243"/>
      <c r="BG791" s="243"/>
      <c r="BH791" s="243"/>
      <c r="BI791" s="243"/>
      <c r="BJ791" s="243"/>
      <c r="BK791" s="243"/>
      <c r="BL791" s="243"/>
      <c r="BM791" s="243"/>
      <c r="BN791" s="243"/>
      <c r="BO791" s="243"/>
      <c r="BP791" s="243"/>
      <c r="BQ791" s="243"/>
      <c r="BR791" s="243"/>
      <c r="BS791" s="243"/>
    </row>
    <row r="792" spans="1:71" s="12" customFormat="1" ht="41.25" customHeight="1">
      <c r="A792" s="178" t="s">
        <v>80</v>
      </c>
      <c r="B792" s="178" t="str">
        <f ca="1">+UPPER(Tabla1321124[[#This Row],[DESCRIPCIÓN DE LA COMPRA O CONTRATACIÓN]])</f>
        <v>TUBERIAS PVC SDR-26 L=19' Ø10"</v>
      </c>
      <c r="C792" s="39" t="s">
        <v>17</v>
      </c>
      <c r="D792" s="352">
        <v>25</v>
      </c>
      <c r="E792" s="352">
        <v>25</v>
      </c>
      <c r="F792" s="352">
        <v>25</v>
      </c>
      <c r="G792" s="352">
        <v>25</v>
      </c>
      <c r="H792" s="240">
        <f>SUM(Tabla1321124[[#This Row],[PRIMER TRIMESTRE]:[CUARTO TRIMESTRE]])</f>
        <v>100</v>
      </c>
      <c r="I792" s="17">
        <v>10255.09</v>
      </c>
      <c r="J792" s="17">
        <f>+Tabla1321124[[#This Row],[CANTIDAD TOTAL]]*Tabla1321124[[#This Row],[PRECIO UNITARIO ESTIMADO]]</f>
        <v>1025509</v>
      </c>
      <c r="K792" s="17"/>
      <c r="L792" s="16" t="s">
        <v>18</v>
      </c>
      <c r="M792" s="16" t="s">
        <v>22</v>
      </c>
      <c r="N792" s="16"/>
      <c r="O792" s="243"/>
      <c r="P792" s="243"/>
      <c r="Q792" s="243"/>
      <c r="R792" s="243"/>
      <c r="S792" s="243"/>
      <c r="T792" s="243"/>
      <c r="U792" s="243"/>
      <c r="V792" s="243"/>
      <c r="W792" s="243"/>
      <c r="X792" s="243"/>
      <c r="Y792" s="243"/>
      <c r="Z792" s="243"/>
      <c r="AA792" s="243"/>
      <c r="AB792" s="243"/>
      <c r="AC792" s="243"/>
      <c r="AD792" s="243"/>
      <c r="AE792" s="243"/>
      <c r="AF792" s="243"/>
      <c r="AG792" s="243"/>
      <c r="AH792" s="243"/>
      <c r="AI792" s="243"/>
      <c r="AJ792" s="243"/>
      <c r="AK792" s="243"/>
      <c r="AL792" s="243"/>
      <c r="AM792" s="243"/>
      <c r="AN792" s="243"/>
      <c r="AO792" s="243"/>
      <c r="AP792" s="243"/>
      <c r="AQ792" s="243"/>
      <c r="AR792" s="243"/>
      <c r="AS792" s="243"/>
      <c r="AT792" s="243"/>
      <c r="AU792" s="243"/>
      <c r="AV792" s="243"/>
      <c r="AW792" s="243"/>
      <c r="AX792" s="243"/>
      <c r="AY792" s="243"/>
      <c r="AZ792" s="243"/>
      <c r="BA792" s="243"/>
      <c r="BB792" s="243"/>
      <c r="BC792" s="243"/>
      <c r="BD792" s="243"/>
      <c r="BE792" s="243"/>
      <c r="BF792" s="243"/>
      <c r="BG792" s="243"/>
      <c r="BH792" s="243"/>
      <c r="BI792" s="243"/>
      <c r="BJ792" s="243"/>
      <c r="BK792" s="243"/>
      <c r="BL792" s="243"/>
      <c r="BM792" s="243"/>
      <c r="BN792" s="243"/>
      <c r="BO792" s="243"/>
      <c r="BP792" s="243"/>
      <c r="BQ792" s="243"/>
      <c r="BR792" s="243"/>
      <c r="BS792" s="243"/>
    </row>
    <row r="793" spans="1:71" s="12" customFormat="1" ht="41.25" customHeight="1">
      <c r="A793" s="178" t="s">
        <v>80</v>
      </c>
      <c r="B793" s="178" t="str">
        <f ca="1">+UPPER(Tabla1321124[[#This Row],[DESCRIPCIÓN DE LA COMPRA O CONTRATACIÓN]])</f>
        <v>TUBERIAS PVC SDR-26 L=19' Ø12"</v>
      </c>
      <c r="C793" s="39" t="s">
        <v>17</v>
      </c>
      <c r="D793" s="352">
        <v>12</v>
      </c>
      <c r="E793" s="352">
        <v>12</v>
      </c>
      <c r="F793" s="352">
        <v>12</v>
      </c>
      <c r="G793" s="352">
        <v>12</v>
      </c>
      <c r="H793" s="240">
        <f>SUM(Tabla1321124[[#This Row],[PRIMER TRIMESTRE]:[CUARTO TRIMESTRE]])</f>
        <v>48</v>
      </c>
      <c r="I793" s="17">
        <v>14777.68</v>
      </c>
      <c r="J793" s="17">
        <f>+Tabla1321124[[#This Row],[CANTIDAD TOTAL]]*Tabla1321124[[#This Row],[PRECIO UNITARIO ESTIMADO]]</f>
        <v>709328.64</v>
      </c>
      <c r="K793" s="17"/>
      <c r="L793" s="16" t="s">
        <v>18</v>
      </c>
      <c r="M793" s="16" t="s">
        <v>22</v>
      </c>
      <c r="N793" s="16"/>
      <c r="O793" s="243"/>
      <c r="P793" s="243"/>
      <c r="Q793" s="243"/>
      <c r="R793" s="243"/>
      <c r="S793" s="243"/>
      <c r="T793" s="243"/>
      <c r="U793" s="243"/>
      <c r="V793" s="243"/>
      <c r="W793" s="243"/>
      <c r="X793" s="243"/>
      <c r="Y793" s="243"/>
      <c r="Z793" s="243"/>
      <c r="AA793" s="243"/>
      <c r="AB793" s="243"/>
      <c r="AC793" s="243"/>
      <c r="AD793" s="243"/>
      <c r="AE793" s="243"/>
      <c r="AF793" s="243"/>
      <c r="AG793" s="243"/>
      <c r="AH793" s="243"/>
      <c r="AI793" s="243"/>
      <c r="AJ793" s="243"/>
      <c r="AK793" s="243"/>
      <c r="AL793" s="243"/>
      <c r="AM793" s="243"/>
      <c r="AN793" s="243"/>
      <c r="AO793" s="243"/>
      <c r="AP793" s="243"/>
      <c r="AQ793" s="243"/>
      <c r="AR793" s="243"/>
      <c r="AS793" s="243"/>
      <c r="AT793" s="243"/>
      <c r="AU793" s="243"/>
      <c r="AV793" s="243"/>
      <c r="AW793" s="243"/>
      <c r="AX793" s="243"/>
      <c r="AY793" s="243"/>
      <c r="AZ793" s="243"/>
      <c r="BA793" s="243"/>
      <c r="BB793" s="243"/>
      <c r="BC793" s="243"/>
      <c r="BD793" s="243"/>
      <c r="BE793" s="243"/>
      <c r="BF793" s="243"/>
      <c r="BG793" s="243"/>
      <c r="BH793" s="243"/>
      <c r="BI793" s="243"/>
      <c r="BJ793" s="243"/>
      <c r="BK793" s="243"/>
      <c r="BL793" s="243"/>
      <c r="BM793" s="243"/>
      <c r="BN793" s="243"/>
      <c r="BO793" s="243"/>
      <c r="BP793" s="243"/>
      <c r="BQ793" s="243"/>
      <c r="BR793" s="243"/>
      <c r="BS793" s="243"/>
    </row>
    <row r="794" spans="1:71" s="12" customFormat="1" ht="41.25" customHeight="1">
      <c r="A794" s="178" t="s">
        <v>80</v>
      </c>
      <c r="B794" s="178" t="str">
        <f ca="1">+UPPER(Tabla1321124[[#This Row],[DESCRIPCIÓN DE LA COMPRA O CONTRATACIÓN]])</f>
        <v>TUBERIAS PVC SDR-26 L=19' Ø16"</v>
      </c>
      <c r="C794" s="39" t="s">
        <v>17</v>
      </c>
      <c r="D794" s="352">
        <v>250</v>
      </c>
      <c r="E794" s="352">
        <v>250</v>
      </c>
      <c r="F794" s="352">
        <v>250</v>
      </c>
      <c r="G794" s="352">
        <v>250</v>
      </c>
      <c r="H794" s="240">
        <f>SUM(Tabla1321124[[#This Row],[PRIMER TRIMESTRE]:[CUARTO TRIMESTRE]])</f>
        <v>1000</v>
      </c>
      <c r="I794" s="17">
        <v>24012.400000000001</v>
      </c>
      <c r="J794" s="17">
        <f>+Tabla1321124[[#This Row],[CANTIDAD TOTAL]]*Tabla1321124[[#This Row],[PRECIO UNITARIO ESTIMADO]]</f>
        <v>24012400</v>
      </c>
      <c r="K794" s="17"/>
      <c r="L794" s="16" t="s">
        <v>18</v>
      </c>
      <c r="M794" s="16" t="s">
        <v>22</v>
      </c>
      <c r="N794" s="16"/>
      <c r="O794" s="243"/>
      <c r="P794" s="243"/>
      <c r="Q794" s="243"/>
      <c r="R794" s="243"/>
      <c r="S794" s="243"/>
      <c r="T794" s="243"/>
      <c r="U794" s="243"/>
      <c r="V794" s="243"/>
      <c r="W794" s="243"/>
      <c r="X794" s="243"/>
      <c r="Y794" s="243"/>
      <c r="Z794" s="243"/>
      <c r="AA794" s="243"/>
      <c r="AB794" s="243"/>
      <c r="AC794" s="243"/>
      <c r="AD794" s="243"/>
      <c r="AE794" s="243"/>
      <c r="AF794" s="243"/>
      <c r="AG794" s="243"/>
      <c r="AH794" s="243"/>
      <c r="AI794" s="243"/>
      <c r="AJ794" s="243"/>
      <c r="AK794" s="243"/>
      <c r="AL794" s="243"/>
      <c r="AM794" s="243"/>
      <c r="AN794" s="243"/>
      <c r="AO794" s="243"/>
      <c r="AP794" s="243"/>
      <c r="AQ794" s="243"/>
      <c r="AR794" s="243"/>
      <c r="AS794" s="243"/>
      <c r="AT794" s="243"/>
      <c r="AU794" s="243"/>
      <c r="AV794" s="243"/>
      <c r="AW794" s="243"/>
      <c r="AX794" s="243"/>
      <c r="AY794" s="243"/>
      <c r="AZ794" s="243"/>
      <c r="BA794" s="243"/>
      <c r="BB794" s="243"/>
      <c r="BC794" s="243"/>
      <c r="BD794" s="243"/>
      <c r="BE794" s="243"/>
      <c r="BF794" s="243"/>
      <c r="BG794" s="243"/>
      <c r="BH794" s="243"/>
      <c r="BI794" s="243"/>
      <c r="BJ794" s="243"/>
      <c r="BK794" s="243"/>
      <c r="BL794" s="243"/>
      <c r="BM794" s="243"/>
      <c r="BN794" s="243"/>
      <c r="BO794" s="243"/>
      <c r="BP794" s="243"/>
      <c r="BQ794" s="243"/>
      <c r="BR794" s="243"/>
      <c r="BS794" s="243"/>
    </row>
    <row r="795" spans="1:71" s="12" customFormat="1" ht="41.25" customHeight="1">
      <c r="A795" s="178" t="s">
        <v>80</v>
      </c>
      <c r="B795" s="178" t="str">
        <f ca="1">+UPPER(Tabla1321124[[#This Row],[DESCRIPCIÓN DE LA COMPRA O CONTRATACIÓN]])</f>
        <v>TUBERIAS PVC SDR-26 L=19' Ø20"</v>
      </c>
      <c r="C795" s="39" t="s">
        <v>17</v>
      </c>
      <c r="D795" s="352">
        <v>200</v>
      </c>
      <c r="E795" s="352">
        <v>200</v>
      </c>
      <c r="F795" s="352">
        <v>200</v>
      </c>
      <c r="G795" s="352">
        <v>200</v>
      </c>
      <c r="H795" s="240">
        <f>SUM(Tabla1321124[[#This Row],[PRIMER TRIMESTRE]:[CUARTO TRIMESTRE]])</f>
        <v>800</v>
      </c>
      <c r="I795" s="17">
        <v>37525.1</v>
      </c>
      <c r="J795" s="17">
        <f>+Tabla1321124[[#This Row],[CANTIDAD TOTAL]]*Tabla1321124[[#This Row],[PRECIO UNITARIO ESTIMADO]]</f>
        <v>30020080</v>
      </c>
      <c r="K795" s="17"/>
      <c r="L795" s="16" t="s">
        <v>18</v>
      </c>
      <c r="M795" s="16" t="s">
        <v>22</v>
      </c>
      <c r="N795" s="16"/>
      <c r="O795" s="243"/>
      <c r="P795" s="243"/>
      <c r="Q795" s="243"/>
      <c r="R795" s="243"/>
      <c r="S795" s="243"/>
      <c r="T795" s="243"/>
      <c r="U795" s="243"/>
      <c r="V795" s="243"/>
      <c r="W795" s="243"/>
      <c r="X795" s="243"/>
      <c r="Y795" s="243"/>
      <c r="Z795" s="243"/>
      <c r="AA795" s="243"/>
      <c r="AB795" s="243"/>
      <c r="AC795" s="243"/>
      <c r="AD795" s="243"/>
      <c r="AE795" s="243"/>
      <c r="AF795" s="243"/>
      <c r="AG795" s="243"/>
      <c r="AH795" s="243"/>
      <c r="AI795" s="243"/>
      <c r="AJ795" s="243"/>
      <c r="AK795" s="243"/>
      <c r="AL795" s="243"/>
      <c r="AM795" s="243"/>
      <c r="AN795" s="243"/>
      <c r="AO795" s="243"/>
      <c r="AP795" s="243"/>
      <c r="AQ795" s="243"/>
      <c r="AR795" s="243"/>
      <c r="AS795" s="243"/>
      <c r="AT795" s="243"/>
      <c r="AU795" s="243"/>
      <c r="AV795" s="243"/>
      <c r="AW795" s="243"/>
      <c r="AX795" s="243"/>
      <c r="AY795" s="243"/>
      <c r="AZ795" s="243"/>
      <c r="BA795" s="243"/>
      <c r="BB795" s="243"/>
      <c r="BC795" s="243"/>
      <c r="BD795" s="243"/>
      <c r="BE795" s="243"/>
      <c r="BF795" s="243"/>
      <c r="BG795" s="243"/>
      <c r="BH795" s="243"/>
      <c r="BI795" s="243"/>
      <c r="BJ795" s="243"/>
      <c r="BK795" s="243"/>
      <c r="BL795" s="243"/>
      <c r="BM795" s="243"/>
      <c r="BN795" s="243"/>
      <c r="BO795" s="243"/>
      <c r="BP795" s="243"/>
      <c r="BQ795" s="243"/>
      <c r="BR795" s="243"/>
      <c r="BS795" s="243"/>
    </row>
    <row r="796" spans="1:71" s="12" customFormat="1" ht="41.25" customHeight="1">
      <c r="A796" s="178" t="s">
        <v>80</v>
      </c>
      <c r="B796" s="178" t="str">
        <f ca="1">+UPPER(Tabla1321124[[#This Row],[DESCRIPCIÓN DE LA COMPRA O CONTRATACIÓN]])</f>
        <v>TUBOS DE ACERO  L=19' E=1/4" Ø6"</v>
      </c>
      <c r="C796" s="39" t="s">
        <v>17</v>
      </c>
      <c r="D796" s="362">
        <v>5</v>
      </c>
      <c r="E796" s="362"/>
      <c r="F796" s="362">
        <v>5</v>
      </c>
      <c r="G796" s="362"/>
      <c r="H796" s="240">
        <f>SUM(Tabla1321124[[#This Row],[PRIMER TRIMESTRE]:[CUARTO TRIMESTRE]])</f>
        <v>10</v>
      </c>
      <c r="I796" s="17">
        <v>220</v>
      </c>
      <c r="J796" s="17">
        <f>+Tabla1321124[[#This Row],[CANTIDAD TOTAL]]*Tabla1321124[[#This Row],[PRECIO UNITARIO ESTIMADO]]</f>
        <v>2200</v>
      </c>
      <c r="K796" s="175"/>
      <c r="L796" s="16" t="s">
        <v>18</v>
      </c>
      <c r="M796" s="16" t="s">
        <v>22</v>
      </c>
      <c r="N796" s="16" t="s">
        <v>418</v>
      </c>
      <c r="O796" s="243"/>
      <c r="P796" s="243"/>
      <c r="Q796" s="243"/>
      <c r="R796" s="243"/>
      <c r="S796" s="243"/>
      <c r="T796" s="243"/>
      <c r="U796" s="243"/>
      <c r="V796" s="243"/>
      <c r="W796" s="243"/>
      <c r="X796" s="243"/>
      <c r="Y796" s="243"/>
      <c r="Z796" s="243"/>
      <c r="AA796" s="243"/>
      <c r="AB796" s="243"/>
      <c r="AC796" s="243"/>
      <c r="AD796" s="243"/>
      <c r="AE796" s="243"/>
      <c r="AF796" s="243"/>
      <c r="AG796" s="243"/>
      <c r="AH796" s="243"/>
      <c r="AI796" s="243"/>
      <c r="AJ796" s="243"/>
      <c r="AK796" s="243"/>
      <c r="AL796" s="243"/>
      <c r="AM796" s="243"/>
      <c r="AN796" s="243"/>
      <c r="AO796" s="243"/>
      <c r="AP796" s="243"/>
      <c r="AQ796" s="243"/>
      <c r="AR796" s="243"/>
      <c r="AS796" s="243"/>
      <c r="AT796" s="243"/>
      <c r="AU796" s="243"/>
      <c r="AV796" s="243"/>
      <c r="AW796" s="243"/>
      <c r="AX796" s="243"/>
      <c r="AY796" s="243"/>
      <c r="AZ796" s="243"/>
      <c r="BA796" s="243"/>
      <c r="BB796" s="243"/>
      <c r="BC796" s="243"/>
      <c r="BD796" s="243"/>
      <c r="BE796" s="243"/>
      <c r="BF796" s="243"/>
      <c r="BG796" s="243"/>
      <c r="BH796" s="243"/>
      <c r="BI796" s="243"/>
      <c r="BJ796" s="243"/>
      <c r="BK796" s="243"/>
      <c r="BL796" s="243"/>
      <c r="BM796" s="243"/>
      <c r="BN796" s="243"/>
      <c r="BO796" s="243"/>
      <c r="BP796" s="243"/>
      <c r="BQ796" s="243"/>
      <c r="BR796" s="243"/>
      <c r="BS796" s="243"/>
    </row>
    <row r="797" spans="1:71" s="12" customFormat="1" ht="41.25" customHeight="1">
      <c r="A797" s="178" t="s">
        <v>80</v>
      </c>
      <c r="B797" s="178" t="str">
        <f ca="1">+UPPER(Tabla1321124[[#This Row],[DESCRIPCIÓN DE LA COMPRA O CONTRATACIÓN]])</f>
        <v>TUBOS DE ACERO  L=19' E=1/4" Ø8"</v>
      </c>
      <c r="C797" s="39" t="s">
        <v>17</v>
      </c>
      <c r="D797" s="362">
        <v>5</v>
      </c>
      <c r="E797" s="362"/>
      <c r="F797" s="362">
        <v>5</v>
      </c>
      <c r="G797" s="362"/>
      <c r="H797" s="240">
        <f>SUM(Tabla1321124[[#This Row],[PRIMER TRIMESTRE]:[CUARTO TRIMESTRE]])</f>
        <v>10</v>
      </c>
      <c r="I797" s="17">
        <v>2400</v>
      </c>
      <c r="J797" s="17">
        <f>+Tabla1321124[[#This Row],[CANTIDAD TOTAL]]*Tabla1321124[[#This Row],[PRECIO UNITARIO ESTIMADO]]</f>
        <v>24000</v>
      </c>
      <c r="K797" s="175"/>
      <c r="L797" s="16" t="s">
        <v>18</v>
      </c>
      <c r="M797" s="16" t="s">
        <v>22</v>
      </c>
      <c r="N797" s="16" t="s">
        <v>418</v>
      </c>
      <c r="O797" s="243"/>
      <c r="P797" s="243"/>
      <c r="Q797" s="243"/>
      <c r="R797" s="243"/>
      <c r="S797" s="243"/>
      <c r="T797" s="243"/>
      <c r="U797" s="243"/>
      <c r="V797" s="243"/>
      <c r="W797" s="243"/>
      <c r="X797" s="243"/>
      <c r="Y797" s="243"/>
      <c r="Z797" s="243"/>
      <c r="AA797" s="243"/>
      <c r="AB797" s="243"/>
      <c r="AC797" s="243"/>
      <c r="AD797" s="243"/>
      <c r="AE797" s="243"/>
      <c r="AF797" s="243"/>
      <c r="AG797" s="243"/>
      <c r="AH797" s="243"/>
      <c r="AI797" s="243"/>
      <c r="AJ797" s="243"/>
      <c r="AK797" s="243"/>
      <c r="AL797" s="243"/>
      <c r="AM797" s="243"/>
      <c r="AN797" s="243"/>
      <c r="AO797" s="243"/>
      <c r="AP797" s="243"/>
      <c r="AQ797" s="243"/>
      <c r="AR797" s="243"/>
      <c r="AS797" s="243"/>
      <c r="AT797" s="243"/>
      <c r="AU797" s="243"/>
      <c r="AV797" s="243"/>
      <c r="AW797" s="243"/>
      <c r="AX797" s="243"/>
      <c r="AY797" s="243"/>
      <c r="AZ797" s="243"/>
      <c r="BA797" s="243"/>
      <c r="BB797" s="243"/>
      <c r="BC797" s="243"/>
      <c r="BD797" s="243"/>
      <c r="BE797" s="243"/>
      <c r="BF797" s="243"/>
      <c r="BG797" s="243"/>
      <c r="BH797" s="243"/>
      <c r="BI797" s="243"/>
      <c r="BJ797" s="243"/>
      <c r="BK797" s="243"/>
      <c r="BL797" s="243"/>
      <c r="BM797" s="243"/>
      <c r="BN797" s="243"/>
      <c r="BO797" s="243"/>
      <c r="BP797" s="243"/>
      <c r="BQ797" s="243"/>
      <c r="BR797" s="243"/>
      <c r="BS797" s="243"/>
    </row>
    <row r="798" spans="1:71" s="12" customFormat="1" ht="41.25" customHeight="1">
      <c r="A798" s="178" t="s">
        <v>80</v>
      </c>
      <c r="B798" s="178" t="str">
        <f ca="1">+UPPER(Tabla1321124[[#This Row],[DESCRIPCIÓN DE LA COMPRA O CONTRATACIÓN]])</f>
        <v>TUBOS DE ACERO  L=19' E=1/4" Ø12"</v>
      </c>
      <c r="C798" s="39" t="s">
        <v>17</v>
      </c>
      <c r="D798" s="362">
        <v>5</v>
      </c>
      <c r="E798" s="362"/>
      <c r="F798" s="362">
        <v>5</v>
      </c>
      <c r="G798" s="362"/>
      <c r="H798" s="240">
        <f>SUM(Tabla1321124[[#This Row],[PRIMER TRIMESTRE]:[CUARTO TRIMESTRE]])</f>
        <v>10</v>
      </c>
      <c r="I798" s="17">
        <v>2520</v>
      </c>
      <c r="J798" s="17">
        <f>+Tabla1321124[[#This Row],[CANTIDAD TOTAL]]*Tabla1321124[[#This Row],[PRECIO UNITARIO ESTIMADO]]</f>
        <v>25200</v>
      </c>
      <c r="K798" s="175"/>
      <c r="L798" s="16" t="s">
        <v>18</v>
      </c>
      <c r="M798" s="16" t="s">
        <v>22</v>
      </c>
      <c r="N798" s="16" t="s">
        <v>418</v>
      </c>
      <c r="O798" s="243"/>
      <c r="P798" s="243"/>
      <c r="Q798" s="243"/>
      <c r="R798" s="243"/>
      <c r="S798" s="243"/>
      <c r="T798" s="243"/>
      <c r="U798" s="243"/>
      <c r="V798" s="243"/>
      <c r="W798" s="243"/>
      <c r="X798" s="243"/>
      <c r="Y798" s="243"/>
      <c r="Z798" s="243"/>
      <c r="AA798" s="243"/>
      <c r="AB798" s="243"/>
      <c r="AC798" s="243"/>
      <c r="AD798" s="243"/>
      <c r="AE798" s="243"/>
      <c r="AF798" s="243"/>
      <c r="AG798" s="243"/>
      <c r="AH798" s="243"/>
      <c r="AI798" s="243"/>
      <c r="AJ798" s="243"/>
      <c r="AK798" s="243"/>
      <c r="AL798" s="243"/>
      <c r="AM798" s="243"/>
      <c r="AN798" s="243"/>
      <c r="AO798" s="243"/>
      <c r="AP798" s="243"/>
      <c r="AQ798" s="243"/>
      <c r="AR798" s="243"/>
      <c r="AS798" s="243"/>
      <c r="AT798" s="243"/>
      <c r="AU798" s="243"/>
      <c r="AV798" s="243"/>
      <c r="AW798" s="243"/>
      <c r="AX798" s="243"/>
      <c r="AY798" s="243"/>
      <c r="AZ798" s="243"/>
      <c r="BA798" s="243"/>
      <c r="BB798" s="243"/>
      <c r="BC798" s="243"/>
      <c r="BD798" s="243"/>
      <c r="BE798" s="243"/>
      <c r="BF798" s="243"/>
      <c r="BG798" s="243"/>
      <c r="BH798" s="243"/>
      <c r="BI798" s="243"/>
      <c r="BJ798" s="243"/>
      <c r="BK798" s="243"/>
      <c r="BL798" s="243"/>
      <c r="BM798" s="243"/>
      <c r="BN798" s="243"/>
      <c r="BO798" s="243"/>
      <c r="BP798" s="243"/>
      <c r="BQ798" s="243"/>
      <c r="BR798" s="243"/>
      <c r="BS798" s="243"/>
    </row>
    <row r="799" spans="1:71" s="12" customFormat="1" ht="41.25" customHeight="1">
      <c r="A799" s="178" t="s">
        <v>80</v>
      </c>
      <c r="B799" s="178" t="str">
        <f ca="1">+UPPER(Tabla1321124[[#This Row],[DESCRIPCIÓN DE LA COMPRA O CONTRATACIÓN]])</f>
        <v>TUBOS DE PVC  L=19' E=1/4" Ø16"</v>
      </c>
      <c r="C799" s="39" t="s">
        <v>17</v>
      </c>
      <c r="D799" s="362">
        <v>2</v>
      </c>
      <c r="E799" s="362"/>
      <c r="F799" s="362">
        <v>2</v>
      </c>
      <c r="G799" s="362"/>
      <c r="H799" s="240">
        <f>SUM(Tabla1321124[[#This Row],[PRIMER TRIMESTRE]:[CUARTO TRIMESTRE]])</f>
        <v>4</v>
      </c>
      <c r="I799" s="17">
        <v>2600</v>
      </c>
      <c r="J799" s="17">
        <f>+Tabla1321124[[#This Row],[CANTIDAD TOTAL]]*Tabla1321124[[#This Row],[PRECIO UNITARIO ESTIMADO]]</f>
        <v>10400</v>
      </c>
      <c r="K799" s="175"/>
      <c r="L799" s="16" t="s">
        <v>18</v>
      </c>
      <c r="M799" s="16" t="s">
        <v>22</v>
      </c>
      <c r="N799" s="16" t="s">
        <v>418</v>
      </c>
      <c r="O799" s="243"/>
      <c r="P799" s="243"/>
      <c r="Q799" s="243"/>
      <c r="R799" s="243"/>
      <c r="S799" s="243"/>
      <c r="T799" s="243"/>
      <c r="U799" s="243"/>
      <c r="V799" s="243"/>
      <c r="W799" s="243"/>
      <c r="X799" s="243"/>
      <c r="Y799" s="243"/>
      <c r="Z799" s="243"/>
      <c r="AA799" s="243"/>
      <c r="AB799" s="243"/>
      <c r="AC799" s="243"/>
      <c r="AD799" s="243"/>
      <c r="AE799" s="243"/>
      <c r="AF799" s="243"/>
      <c r="AG799" s="243"/>
      <c r="AH799" s="243"/>
      <c r="AI799" s="243"/>
      <c r="AJ799" s="243"/>
      <c r="AK799" s="243"/>
      <c r="AL799" s="243"/>
      <c r="AM799" s="243"/>
      <c r="AN799" s="243"/>
      <c r="AO799" s="243"/>
      <c r="AP799" s="243"/>
      <c r="AQ799" s="243"/>
      <c r="AR799" s="243"/>
      <c r="AS799" s="243"/>
      <c r="AT799" s="243"/>
      <c r="AU799" s="243"/>
      <c r="AV799" s="243"/>
      <c r="AW799" s="243"/>
      <c r="AX799" s="243"/>
      <c r="AY799" s="243"/>
      <c r="AZ799" s="243"/>
      <c r="BA799" s="243"/>
      <c r="BB799" s="243"/>
      <c r="BC799" s="243"/>
      <c r="BD799" s="243"/>
      <c r="BE799" s="243"/>
      <c r="BF799" s="243"/>
      <c r="BG799" s="243"/>
      <c r="BH799" s="243"/>
      <c r="BI799" s="243"/>
      <c r="BJ799" s="243"/>
      <c r="BK799" s="243"/>
      <c r="BL799" s="243"/>
      <c r="BM799" s="243"/>
      <c r="BN799" s="243"/>
      <c r="BO799" s="243"/>
      <c r="BP799" s="243"/>
      <c r="BQ799" s="243"/>
      <c r="BR799" s="243"/>
      <c r="BS799" s="243"/>
    </row>
    <row r="800" spans="1:71" s="12" customFormat="1" ht="41.25" customHeight="1">
      <c r="A800" s="178" t="s">
        <v>80</v>
      </c>
      <c r="B800" s="178" t="str">
        <f ca="1">+UPPER(Tabla1321124[[#This Row],[DESCRIPCIÓN DE LA COMPRA O CONTRATACIÓN]])</f>
        <v>TUBOS DE ACERO  L=19' E=3/8" Ø4"</v>
      </c>
      <c r="C800" s="39" t="s">
        <v>17</v>
      </c>
      <c r="D800" s="362">
        <v>5</v>
      </c>
      <c r="E800" s="362"/>
      <c r="F800" s="362">
        <v>5</v>
      </c>
      <c r="G800" s="362"/>
      <c r="H800" s="240">
        <f>SUM(Tabla1321124[[#This Row],[PRIMER TRIMESTRE]:[CUARTO TRIMESTRE]])</f>
        <v>10</v>
      </c>
      <c r="I800" s="17">
        <v>2670</v>
      </c>
      <c r="J800" s="17">
        <f>+Tabla1321124[[#This Row],[CANTIDAD TOTAL]]*Tabla1321124[[#This Row],[PRECIO UNITARIO ESTIMADO]]</f>
        <v>26700</v>
      </c>
      <c r="K800" s="175"/>
      <c r="L800" s="16" t="s">
        <v>18</v>
      </c>
      <c r="M800" s="16" t="s">
        <v>22</v>
      </c>
      <c r="N800" s="16" t="s">
        <v>418</v>
      </c>
      <c r="O800" s="243"/>
      <c r="P800" s="243"/>
      <c r="Q800" s="243"/>
      <c r="R800" s="243"/>
      <c r="S800" s="243"/>
      <c r="T800" s="243"/>
      <c r="U800" s="243"/>
      <c r="V800" s="243"/>
      <c r="W800" s="243"/>
      <c r="X800" s="243"/>
      <c r="Y800" s="243"/>
      <c r="Z800" s="243"/>
      <c r="AA800" s="243"/>
      <c r="AB800" s="243"/>
      <c r="AC800" s="243"/>
      <c r="AD800" s="243"/>
      <c r="AE800" s="243"/>
      <c r="AF800" s="243"/>
      <c r="AG800" s="243"/>
      <c r="AH800" s="243"/>
      <c r="AI800" s="243"/>
      <c r="AJ800" s="243"/>
      <c r="AK800" s="243"/>
      <c r="AL800" s="243"/>
      <c r="AM800" s="243"/>
      <c r="AN800" s="243"/>
      <c r="AO800" s="243"/>
      <c r="AP800" s="243"/>
      <c r="AQ800" s="243"/>
      <c r="AR800" s="243"/>
      <c r="AS800" s="243"/>
      <c r="AT800" s="243"/>
      <c r="AU800" s="243"/>
      <c r="AV800" s="243"/>
      <c r="AW800" s="243"/>
      <c r="AX800" s="243"/>
      <c r="AY800" s="243"/>
      <c r="AZ800" s="243"/>
      <c r="BA800" s="243"/>
      <c r="BB800" s="243"/>
      <c r="BC800" s="243"/>
      <c r="BD800" s="243"/>
      <c r="BE800" s="243"/>
      <c r="BF800" s="243"/>
      <c r="BG800" s="243"/>
      <c r="BH800" s="243"/>
      <c r="BI800" s="243"/>
      <c r="BJ800" s="243"/>
      <c r="BK800" s="243"/>
      <c r="BL800" s="243"/>
      <c r="BM800" s="243"/>
      <c r="BN800" s="243"/>
      <c r="BO800" s="243"/>
      <c r="BP800" s="243"/>
      <c r="BQ800" s="243"/>
      <c r="BR800" s="243"/>
      <c r="BS800" s="243"/>
    </row>
    <row r="801" spans="1:71" s="12" customFormat="1" ht="41.25" customHeight="1">
      <c r="A801" s="178" t="s">
        <v>80</v>
      </c>
      <c r="B801" s="178" t="str">
        <f ca="1">+UPPER(Tabla1321124[[#This Row],[DESCRIPCIÓN DE LA COMPRA O CONTRATACIÓN]])</f>
        <v>TUBOS DE ACERO  L=19' E=3/8" Ø6"</v>
      </c>
      <c r="C801" s="39" t="s">
        <v>17</v>
      </c>
      <c r="D801" s="362">
        <v>5</v>
      </c>
      <c r="E801" s="362"/>
      <c r="F801" s="362">
        <v>5</v>
      </c>
      <c r="G801" s="362"/>
      <c r="H801" s="240">
        <f>SUM(Tabla1321124[[#This Row],[PRIMER TRIMESTRE]:[CUARTO TRIMESTRE]])</f>
        <v>10</v>
      </c>
      <c r="I801" s="17">
        <v>3100</v>
      </c>
      <c r="J801" s="17">
        <f>+Tabla1321124[[#This Row],[CANTIDAD TOTAL]]*Tabla1321124[[#This Row],[PRECIO UNITARIO ESTIMADO]]</f>
        <v>31000</v>
      </c>
      <c r="K801" s="175"/>
      <c r="L801" s="16" t="s">
        <v>18</v>
      </c>
      <c r="M801" s="16" t="s">
        <v>22</v>
      </c>
      <c r="N801" s="16" t="s">
        <v>418</v>
      </c>
      <c r="O801" s="243"/>
      <c r="P801" s="243"/>
      <c r="Q801" s="243"/>
      <c r="R801" s="243"/>
      <c r="S801" s="243"/>
      <c r="T801" s="243"/>
      <c r="U801" s="243"/>
      <c r="V801" s="243"/>
      <c r="W801" s="243"/>
      <c r="X801" s="243"/>
      <c r="Y801" s="243"/>
      <c r="Z801" s="243"/>
      <c r="AA801" s="243"/>
      <c r="AB801" s="243"/>
      <c r="AC801" s="243"/>
      <c r="AD801" s="243"/>
      <c r="AE801" s="243"/>
      <c r="AF801" s="243"/>
      <c r="AG801" s="243"/>
      <c r="AH801" s="243"/>
      <c r="AI801" s="243"/>
      <c r="AJ801" s="243"/>
      <c r="AK801" s="243"/>
      <c r="AL801" s="243"/>
      <c r="AM801" s="243"/>
      <c r="AN801" s="243"/>
      <c r="AO801" s="243"/>
      <c r="AP801" s="243"/>
      <c r="AQ801" s="243"/>
      <c r="AR801" s="243"/>
      <c r="AS801" s="243"/>
      <c r="AT801" s="243"/>
      <c r="AU801" s="243"/>
      <c r="AV801" s="243"/>
      <c r="AW801" s="243"/>
      <c r="AX801" s="243"/>
      <c r="AY801" s="243"/>
      <c r="AZ801" s="243"/>
      <c r="BA801" s="243"/>
      <c r="BB801" s="243"/>
      <c r="BC801" s="243"/>
      <c r="BD801" s="243"/>
      <c r="BE801" s="243"/>
      <c r="BF801" s="243"/>
      <c r="BG801" s="243"/>
      <c r="BH801" s="243"/>
      <c r="BI801" s="243"/>
      <c r="BJ801" s="243"/>
      <c r="BK801" s="243"/>
      <c r="BL801" s="243"/>
      <c r="BM801" s="243"/>
      <c r="BN801" s="243"/>
      <c r="BO801" s="243"/>
      <c r="BP801" s="243"/>
      <c r="BQ801" s="243"/>
      <c r="BR801" s="243"/>
      <c r="BS801" s="243"/>
    </row>
    <row r="802" spans="1:71" s="12" customFormat="1" ht="41.25" customHeight="1">
      <c r="A802" s="178" t="s">
        <v>80</v>
      </c>
      <c r="B802" s="178" t="str">
        <f ca="1">+UPPER(Tabla1321124[[#This Row],[DESCRIPCIÓN DE LA COMPRA O CONTRATACIÓN]])</f>
        <v>TUBOS DE ACERO  L=19' E=3/8" Ø12"</v>
      </c>
      <c r="C802" s="39" t="s">
        <v>17</v>
      </c>
      <c r="D802" s="362">
        <v>5</v>
      </c>
      <c r="E802" s="362"/>
      <c r="F802" s="362">
        <v>5</v>
      </c>
      <c r="G802" s="362"/>
      <c r="H802" s="240">
        <f>SUM(Tabla1321124[[#This Row],[PRIMER TRIMESTRE]:[CUARTO TRIMESTRE]])</f>
        <v>10</v>
      </c>
      <c r="I802" s="17">
        <v>3250</v>
      </c>
      <c r="J802" s="17">
        <f>+Tabla1321124[[#This Row],[CANTIDAD TOTAL]]*Tabla1321124[[#This Row],[PRECIO UNITARIO ESTIMADO]]</f>
        <v>32500</v>
      </c>
      <c r="K802" s="175"/>
      <c r="L802" s="16" t="s">
        <v>18</v>
      </c>
      <c r="M802" s="16" t="s">
        <v>22</v>
      </c>
      <c r="N802" s="16" t="s">
        <v>418</v>
      </c>
      <c r="O802" s="243"/>
      <c r="P802" s="243"/>
      <c r="Q802" s="243"/>
      <c r="R802" s="243"/>
      <c r="S802" s="243"/>
      <c r="T802" s="243"/>
      <c r="U802" s="243"/>
      <c r="V802" s="243"/>
      <c r="W802" s="243"/>
      <c r="X802" s="243"/>
      <c r="Y802" s="243"/>
      <c r="Z802" s="243"/>
      <c r="AA802" s="243"/>
      <c r="AB802" s="243"/>
      <c r="AC802" s="243"/>
      <c r="AD802" s="243"/>
      <c r="AE802" s="243"/>
      <c r="AF802" s="243"/>
      <c r="AG802" s="243"/>
      <c r="AH802" s="243"/>
      <c r="AI802" s="243"/>
      <c r="AJ802" s="243"/>
      <c r="AK802" s="243"/>
      <c r="AL802" s="243"/>
      <c r="AM802" s="243"/>
      <c r="AN802" s="243"/>
      <c r="AO802" s="243"/>
      <c r="AP802" s="243"/>
      <c r="AQ802" s="243"/>
      <c r="AR802" s="243"/>
      <c r="AS802" s="243"/>
      <c r="AT802" s="243"/>
      <c r="AU802" s="243"/>
      <c r="AV802" s="243"/>
      <c r="AW802" s="243"/>
      <c r="AX802" s="243"/>
      <c r="AY802" s="243"/>
      <c r="AZ802" s="243"/>
      <c r="BA802" s="243"/>
      <c r="BB802" s="243"/>
      <c r="BC802" s="243"/>
      <c r="BD802" s="243"/>
      <c r="BE802" s="243"/>
      <c r="BF802" s="243"/>
      <c r="BG802" s="243"/>
      <c r="BH802" s="243"/>
      <c r="BI802" s="243"/>
      <c r="BJ802" s="243"/>
      <c r="BK802" s="243"/>
      <c r="BL802" s="243"/>
      <c r="BM802" s="243"/>
      <c r="BN802" s="243"/>
      <c r="BO802" s="243"/>
      <c r="BP802" s="243"/>
      <c r="BQ802" s="243"/>
      <c r="BR802" s="243"/>
      <c r="BS802" s="243"/>
    </row>
    <row r="803" spans="1:71" s="12" customFormat="1" ht="41.25" customHeight="1">
      <c r="A803" s="178" t="s">
        <v>80</v>
      </c>
      <c r="B803" s="178" t="str">
        <f ca="1">+UPPER(Tabla1321124[[#This Row],[DESCRIPCIÓN DE LA COMPRA O CONTRATACIÓN]])</f>
        <v>TUBOS DE ACERO  L=19' E=3/8" Ø16"</v>
      </c>
      <c r="C803" s="39" t="s">
        <v>17</v>
      </c>
      <c r="D803" s="362">
        <v>5</v>
      </c>
      <c r="E803" s="362"/>
      <c r="F803" s="362"/>
      <c r="G803" s="362"/>
      <c r="H803" s="240">
        <f>SUM(Tabla1321124[[#This Row],[PRIMER TRIMESTRE]:[CUARTO TRIMESTRE]])</f>
        <v>5</v>
      </c>
      <c r="I803" s="17">
        <v>3500</v>
      </c>
      <c r="J803" s="17">
        <f>+Tabla1321124[[#This Row],[CANTIDAD TOTAL]]*Tabla1321124[[#This Row],[PRECIO UNITARIO ESTIMADO]]</f>
        <v>17500</v>
      </c>
      <c r="K803" s="175"/>
      <c r="L803" s="16" t="s">
        <v>18</v>
      </c>
      <c r="M803" s="16" t="s">
        <v>22</v>
      </c>
      <c r="N803" s="16" t="s">
        <v>418</v>
      </c>
      <c r="O803" s="243"/>
      <c r="P803" s="243"/>
      <c r="Q803" s="243"/>
      <c r="R803" s="243"/>
      <c r="S803" s="243"/>
      <c r="T803" s="243"/>
      <c r="U803" s="243"/>
      <c r="V803" s="243"/>
      <c r="W803" s="243"/>
      <c r="X803" s="243"/>
      <c r="Y803" s="243"/>
      <c r="Z803" s="243"/>
      <c r="AA803" s="243"/>
      <c r="AB803" s="243"/>
      <c r="AC803" s="243"/>
      <c r="AD803" s="243"/>
      <c r="AE803" s="243"/>
      <c r="AF803" s="243"/>
      <c r="AG803" s="243"/>
      <c r="AH803" s="243"/>
      <c r="AI803" s="243"/>
      <c r="AJ803" s="243"/>
      <c r="AK803" s="243"/>
      <c r="AL803" s="243"/>
      <c r="AM803" s="243"/>
      <c r="AN803" s="243"/>
      <c r="AO803" s="243"/>
      <c r="AP803" s="243"/>
      <c r="AQ803" s="243"/>
      <c r="AR803" s="243"/>
      <c r="AS803" s="243"/>
      <c r="AT803" s="243"/>
      <c r="AU803" s="243"/>
      <c r="AV803" s="243"/>
      <c r="AW803" s="243"/>
      <c r="AX803" s="243"/>
      <c r="AY803" s="243"/>
      <c r="AZ803" s="243"/>
      <c r="BA803" s="243"/>
      <c r="BB803" s="243"/>
      <c r="BC803" s="243"/>
      <c r="BD803" s="243"/>
      <c r="BE803" s="243"/>
      <c r="BF803" s="243"/>
      <c r="BG803" s="243"/>
      <c r="BH803" s="243"/>
      <c r="BI803" s="243"/>
      <c r="BJ803" s="243"/>
      <c r="BK803" s="243"/>
      <c r="BL803" s="243"/>
      <c r="BM803" s="243"/>
      <c r="BN803" s="243"/>
      <c r="BO803" s="243"/>
      <c r="BP803" s="243"/>
      <c r="BQ803" s="243"/>
      <c r="BR803" s="243"/>
      <c r="BS803" s="243"/>
    </row>
    <row r="804" spans="1:71" s="12" customFormat="1" ht="41.25" customHeight="1">
      <c r="A804" s="178" t="s">
        <v>80</v>
      </c>
      <c r="B804" s="178" t="str">
        <f ca="1">+UPPER(Tabla1321124[[#This Row],[DESCRIPCIÓN DE LA COMPRA O CONTRATACIÓN]])</f>
        <v>TUBOS DE ACERO  L=20' E=1/4" Ø3"</v>
      </c>
      <c r="C804" s="39" t="s">
        <v>17</v>
      </c>
      <c r="D804" s="352">
        <v>200</v>
      </c>
      <c r="E804" s="352">
        <v>200</v>
      </c>
      <c r="F804" s="352">
        <v>200</v>
      </c>
      <c r="G804" s="352">
        <v>200</v>
      </c>
      <c r="H804" s="240">
        <f>SUM(Tabla1321124[[#This Row],[PRIMER TRIMESTRE]:[CUARTO TRIMESTRE]])</f>
        <v>800</v>
      </c>
      <c r="I804" s="17">
        <v>4500</v>
      </c>
      <c r="J804" s="17">
        <f>+Tabla1321124[[#This Row],[CANTIDAD TOTAL]]*Tabla1321124[[#This Row],[PRECIO UNITARIO ESTIMADO]]</f>
        <v>3600000</v>
      </c>
      <c r="K804" s="17"/>
      <c r="L804" s="16" t="s">
        <v>18</v>
      </c>
      <c r="M804" s="16" t="s">
        <v>22</v>
      </c>
      <c r="N804" s="16"/>
      <c r="O804" s="243"/>
      <c r="P804" s="243"/>
      <c r="Q804" s="243"/>
      <c r="R804" s="243"/>
      <c r="S804" s="243"/>
      <c r="T804" s="243"/>
      <c r="U804" s="243"/>
      <c r="V804" s="243"/>
      <c r="W804" s="243"/>
      <c r="X804" s="243"/>
      <c r="Y804" s="243"/>
      <c r="Z804" s="243"/>
      <c r="AA804" s="243"/>
      <c r="AB804" s="243"/>
      <c r="AC804" s="243"/>
      <c r="AD804" s="243"/>
      <c r="AE804" s="243"/>
      <c r="AF804" s="243"/>
      <c r="AG804" s="243"/>
      <c r="AH804" s="243"/>
      <c r="AI804" s="243"/>
      <c r="AJ804" s="243"/>
      <c r="AK804" s="243"/>
      <c r="AL804" s="243"/>
      <c r="AM804" s="243"/>
      <c r="AN804" s="243"/>
      <c r="AO804" s="243"/>
      <c r="AP804" s="243"/>
      <c r="AQ804" s="243"/>
      <c r="AR804" s="243"/>
      <c r="AS804" s="243"/>
      <c r="AT804" s="243"/>
      <c r="AU804" s="243"/>
      <c r="AV804" s="243"/>
      <c r="AW804" s="243"/>
      <c r="AX804" s="243"/>
      <c r="AY804" s="243"/>
      <c r="AZ804" s="243"/>
      <c r="BA804" s="243"/>
      <c r="BB804" s="243"/>
      <c r="BC804" s="243"/>
      <c r="BD804" s="243"/>
      <c r="BE804" s="243"/>
      <c r="BF804" s="243"/>
      <c r="BG804" s="243"/>
      <c r="BH804" s="243"/>
      <c r="BI804" s="243"/>
      <c r="BJ804" s="243"/>
      <c r="BK804" s="243"/>
      <c r="BL804" s="243"/>
      <c r="BM804" s="243"/>
      <c r="BN804" s="243"/>
      <c r="BO804" s="243"/>
      <c r="BP804" s="243"/>
      <c r="BQ804" s="243"/>
      <c r="BR804" s="243"/>
      <c r="BS804" s="243"/>
    </row>
    <row r="805" spans="1:71" s="12" customFormat="1" ht="41.25" customHeight="1">
      <c r="A805" s="178" t="s">
        <v>80</v>
      </c>
      <c r="B805" s="178" t="str">
        <f ca="1">+UPPER(Tabla1321124[[#This Row],[DESCRIPCIÓN DE LA COMPRA O CONTRATACIÓN]])</f>
        <v>TUBOS DE ACERO  L=20' E=1/4" Ø4"</v>
      </c>
      <c r="C805" s="39" t="s">
        <v>17</v>
      </c>
      <c r="D805" s="352">
        <f>24+9</f>
        <v>33</v>
      </c>
      <c r="E805" s="352">
        <f>24+4</f>
        <v>28</v>
      </c>
      <c r="F805" s="352">
        <f>24+4</f>
        <v>28</v>
      </c>
      <c r="G805" s="352">
        <f>23+4</f>
        <v>27</v>
      </c>
      <c r="H805" s="240">
        <f>SUM(Tabla1321124[[#This Row],[PRIMER TRIMESTRE]:[CUARTO TRIMESTRE]])</f>
        <v>116</v>
      </c>
      <c r="I805" s="17">
        <v>6000</v>
      </c>
      <c r="J805" s="17">
        <f>+Tabla1321124[[#This Row],[CANTIDAD TOTAL]]*Tabla1321124[[#This Row],[PRECIO UNITARIO ESTIMADO]]</f>
        <v>696000</v>
      </c>
      <c r="K805" s="17"/>
      <c r="L805" s="16" t="s">
        <v>18</v>
      </c>
      <c r="M805" s="16" t="s">
        <v>22</v>
      </c>
      <c r="N805" s="16"/>
      <c r="O805" s="243"/>
      <c r="P805" s="243"/>
      <c r="Q805" s="243"/>
      <c r="R805" s="243"/>
      <c r="S805" s="243"/>
      <c r="T805" s="243"/>
      <c r="U805" s="243"/>
      <c r="V805" s="243"/>
      <c r="W805" s="243"/>
      <c r="X805" s="243"/>
      <c r="Y805" s="243"/>
      <c r="Z805" s="243"/>
      <c r="AA805" s="243"/>
      <c r="AB805" s="243"/>
      <c r="AC805" s="243"/>
      <c r="AD805" s="243"/>
      <c r="AE805" s="243"/>
      <c r="AF805" s="243"/>
      <c r="AG805" s="243"/>
      <c r="AH805" s="243"/>
      <c r="AI805" s="243"/>
      <c r="AJ805" s="243"/>
      <c r="AK805" s="243"/>
      <c r="AL805" s="243"/>
      <c r="AM805" s="243"/>
      <c r="AN805" s="243"/>
      <c r="AO805" s="243"/>
      <c r="AP805" s="243"/>
      <c r="AQ805" s="243"/>
      <c r="AR805" s="243"/>
      <c r="AS805" s="243"/>
      <c r="AT805" s="243"/>
      <c r="AU805" s="243"/>
      <c r="AV805" s="243"/>
      <c r="AW805" s="243"/>
      <c r="AX805" s="243"/>
      <c r="AY805" s="243"/>
      <c r="AZ805" s="243"/>
      <c r="BA805" s="243"/>
      <c r="BB805" s="243"/>
      <c r="BC805" s="243"/>
      <c r="BD805" s="243"/>
      <c r="BE805" s="243"/>
      <c r="BF805" s="243"/>
      <c r="BG805" s="243"/>
      <c r="BH805" s="243"/>
      <c r="BI805" s="243"/>
      <c r="BJ805" s="243"/>
      <c r="BK805" s="243"/>
      <c r="BL805" s="243"/>
      <c r="BM805" s="243"/>
      <c r="BN805" s="243"/>
      <c r="BO805" s="243"/>
      <c r="BP805" s="243"/>
      <c r="BQ805" s="243"/>
      <c r="BR805" s="243"/>
      <c r="BS805" s="243"/>
    </row>
    <row r="806" spans="1:71" s="12" customFormat="1" ht="41.25" customHeight="1">
      <c r="A806" s="178" t="s">
        <v>80</v>
      </c>
      <c r="B806" s="178" t="str">
        <f ca="1">+UPPER(Tabla1321124[[#This Row],[DESCRIPCIÓN DE LA COMPRA O CONTRATACIÓN]])</f>
        <v>TUBOS DE ACERO  L=20' E=1/4" Ø6"</v>
      </c>
      <c r="C806" s="39" t="s">
        <v>17</v>
      </c>
      <c r="D806" s="352">
        <f>50+8</f>
        <v>58</v>
      </c>
      <c r="E806" s="352">
        <f>50+3</f>
        <v>53</v>
      </c>
      <c r="F806" s="352">
        <f>50+3</f>
        <v>53</v>
      </c>
      <c r="G806" s="352">
        <f>50+3</f>
        <v>53</v>
      </c>
      <c r="H806" s="240">
        <f>SUM(Tabla1321124[[#This Row],[PRIMER TRIMESTRE]:[CUARTO TRIMESTRE]])</f>
        <v>217</v>
      </c>
      <c r="I806" s="17">
        <v>15544</v>
      </c>
      <c r="J806" s="17">
        <f>+Tabla1321124[[#This Row],[CANTIDAD TOTAL]]*Tabla1321124[[#This Row],[PRECIO UNITARIO ESTIMADO]]</f>
        <v>3373048</v>
      </c>
      <c r="K806" s="17"/>
      <c r="L806" s="16" t="s">
        <v>18</v>
      </c>
      <c r="M806" s="16" t="s">
        <v>22</v>
      </c>
      <c r="N806" s="16"/>
      <c r="O806" s="243"/>
      <c r="P806" s="243"/>
      <c r="Q806" s="243"/>
      <c r="R806" s="243"/>
      <c r="S806" s="243"/>
      <c r="T806" s="243"/>
      <c r="U806" s="243"/>
      <c r="V806" s="243"/>
      <c r="W806" s="243"/>
      <c r="X806" s="243"/>
      <c r="Y806" s="243"/>
      <c r="Z806" s="243"/>
      <c r="AA806" s="243"/>
      <c r="AB806" s="243"/>
      <c r="AC806" s="243"/>
      <c r="AD806" s="243"/>
      <c r="AE806" s="243"/>
      <c r="AF806" s="243"/>
      <c r="AG806" s="243"/>
      <c r="AH806" s="243"/>
      <c r="AI806" s="243"/>
      <c r="AJ806" s="243"/>
      <c r="AK806" s="243"/>
      <c r="AL806" s="243"/>
      <c r="AM806" s="243"/>
      <c r="AN806" s="243"/>
      <c r="AO806" s="243"/>
      <c r="AP806" s="243"/>
      <c r="AQ806" s="243"/>
      <c r="AR806" s="243"/>
      <c r="AS806" s="243"/>
      <c r="AT806" s="243"/>
      <c r="AU806" s="243"/>
      <c r="AV806" s="243"/>
      <c r="AW806" s="243"/>
      <c r="AX806" s="243"/>
      <c r="AY806" s="243"/>
      <c r="AZ806" s="243"/>
      <c r="BA806" s="243"/>
      <c r="BB806" s="243"/>
      <c r="BC806" s="243"/>
      <c r="BD806" s="243"/>
      <c r="BE806" s="243"/>
      <c r="BF806" s="243"/>
      <c r="BG806" s="243"/>
      <c r="BH806" s="243"/>
      <c r="BI806" s="243"/>
      <c r="BJ806" s="243"/>
      <c r="BK806" s="243"/>
      <c r="BL806" s="243"/>
      <c r="BM806" s="243"/>
      <c r="BN806" s="243"/>
      <c r="BO806" s="243"/>
      <c r="BP806" s="243"/>
      <c r="BQ806" s="243"/>
      <c r="BR806" s="243"/>
      <c r="BS806" s="243"/>
    </row>
    <row r="807" spans="1:71" s="12" customFormat="1" ht="41.25" customHeight="1">
      <c r="A807" s="178" t="s">
        <v>80</v>
      </c>
      <c r="B807" s="178" t="str">
        <f ca="1">+UPPER(Tabla1321124[[#This Row],[DESCRIPCIÓN DE LA COMPRA O CONTRATACIÓN]])</f>
        <v>TUBOS DE ACERO  L=20' E=1/4" Ø10"</v>
      </c>
      <c r="C807" s="39" t="s">
        <v>17</v>
      </c>
      <c r="D807" s="352">
        <v>62</v>
      </c>
      <c r="E807" s="352">
        <v>63</v>
      </c>
      <c r="F807" s="352">
        <v>62</v>
      </c>
      <c r="G807" s="352">
        <v>63</v>
      </c>
      <c r="H807" s="240">
        <f>SUM(Tabla1321124[[#This Row],[PRIMER TRIMESTRE]:[CUARTO TRIMESTRE]])</f>
        <v>250</v>
      </c>
      <c r="I807" s="17">
        <v>20650.03</v>
      </c>
      <c r="J807" s="17">
        <f>+Tabla1321124[[#This Row],[CANTIDAD TOTAL]]*Tabla1321124[[#This Row],[PRECIO UNITARIO ESTIMADO]]</f>
        <v>5162507.5</v>
      </c>
      <c r="K807" s="17"/>
      <c r="L807" s="16" t="s">
        <v>18</v>
      </c>
      <c r="M807" s="16" t="s">
        <v>22</v>
      </c>
      <c r="N807" s="16"/>
      <c r="O807" s="243"/>
      <c r="P807" s="243"/>
      <c r="Q807" s="243"/>
      <c r="R807" s="243"/>
      <c r="S807" s="243"/>
      <c r="T807" s="243"/>
      <c r="U807" s="243"/>
      <c r="V807" s="243"/>
      <c r="W807" s="243"/>
      <c r="X807" s="243"/>
      <c r="Y807" s="243"/>
      <c r="Z807" s="243"/>
      <c r="AA807" s="243"/>
      <c r="AB807" s="243"/>
      <c r="AC807" s="243"/>
      <c r="AD807" s="243"/>
      <c r="AE807" s="243"/>
      <c r="AF807" s="243"/>
      <c r="AG807" s="243"/>
      <c r="AH807" s="243"/>
      <c r="AI807" s="243"/>
      <c r="AJ807" s="243"/>
      <c r="AK807" s="243"/>
      <c r="AL807" s="243"/>
      <c r="AM807" s="243"/>
      <c r="AN807" s="243"/>
      <c r="AO807" s="243"/>
      <c r="AP807" s="243"/>
      <c r="AQ807" s="243"/>
      <c r="AR807" s="243"/>
      <c r="AS807" s="243"/>
      <c r="AT807" s="243"/>
      <c r="AU807" s="243"/>
      <c r="AV807" s="243"/>
      <c r="AW807" s="243"/>
      <c r="AX807" s="243"/>
      <c r="AY807" s="243"/>
      <c r="AZ807" s="243"/>
      <c r="BA807" s="243"/>
      <c r="BB807" s="243"/>
      <c r="BC807" s="243"/>
      <c r="BD807" s="243"/>
      <c r="BE807" s="243"/>
      <c r="BF807" s="243"/>
      <c r="BG807" s="243"/>
      <c r="BH807" s="243"/>
      <c r="BI807" s="243"/>
      <c r="BJ807" s="243"/>
      <c r="BK807" s="243"/>
      <c r="BL807" s="243"/>
      <c r="BM807" s="243"/>
      <c r="BN807" s="243"/>
      <c r="BO807" s="243"/>
      <c r="BP807" s="243"/>
      <c r="BQ807" s="243"/>
      <c r="BR807" s="243"/>
      <c r="BS807" s="243"/>
    </row>
    <row r="808" spans="1:71" s="12" customFormat="1" ht="41.25" customHeight="1">
      <c r="A808" s="178" t="s">
        <v>80</v>
      </c>
      <c r="B808" s="178" t="str">
        <f ca="1">+UPPER(Tabla1321124[[#This Row],[DESCRIPCIÓN DE LA COMPRA O CONTRATACIÓN]])</f>
        <v>TUBOS DE ACERO  L=20' E=3/8" Ø6"</v>
      </c>
      <c r="C808" s="39" t="s">
        <v>17</v>
      </c>
      <c r="D808" s="352">
        <f>30+9</f>
        <v>39</v>
      </c>
      <c r="E808" s="352">
        <f>30+4</f>
        <v>34</v>
      </c>
      <c r="F808" s="352">
        <f>30+4</f>
        <v>34</v>
      </c>
      <c r="G808" s="352">
        <f>30+4</f>
        <v>34</v>
      </c>
      <c r="H808" s="240">
        <f>SUM(Tabla1321124[[#This Row],[PRIMER TRIMESTRE]:[CUARTO TRIMESTRE]])</f>
        <v>141</v>
      </c>
      <c r="I808" s="17">
        <v>39221.919999999998</v>
      </c>
      <c r="J808" s="17">
        <f>+Tabla1321124[[#This Row],[CANTIDAD TOTAL]]*Tabla1321124[[#This Row],[PRECIO UNITARIO ESTIMADO]]</f>
        <v>5530290.7199999997</v>
      </c>
      <c r="K808" s="17"/>
      <c r="L808" s="16" t="s">
        <v>18</v>
      </c>
      <c r="M808" s="16" t="s">
        <v>22</v>
      </c>
      <c r="N808" s="16"/>
      <c r="O808" s="243"/>
      <c r="P808" s="243"/>
      <c r="Q808" s="243"/>
      <c r="R808" s="243"/>
      <c r="S808" s="243"/>
      <c r="T808" s="243"/>
      <c r="U808" s="243"/>
      <c r="V808" s="243"/>
      <c r="W808" s="243"/>
      <c r="X808" s="243"/>
      <c r="Y808" s="243"/>
      <c r="Z808" s="243"/>
      <c r="AA808" s="243"/>
      <c r="AB808" s="243"/>
      <c r="AC808" s="243"/>
      <c r="AD808" s="243"/>
      <c r="AE808" s="243"/>
      <c r="AF808" s="243"/>
      <c r="AG808" s="243"/>
      <c r="AH808" s="243"/>
      <c r="AI808" s="243"/>
      <c r="AJ808" s="243"/>
      <c r="AK808" s="243"/>
      <c r="AL808" s="243"/>
      <c r="AM808" s="243"/>
      <c r="AN808" s="243"/>
      <c r="AO808" s="243"/>
      <c r="AP808" s="243"/>
      <c r="AQ808" s="243"/>
      <c r="AR808" s="243"/>
      <c r="AS808" s="243"/>
      <c r="AT808" s="243"/>
      <c r="AU808" s="243"/>
      <c r="AV808" s="243"/>
      <c r="AW808" s="243"/>
      <c r="AX808" s="243"/>
      <c r="AY808" s="243"/>
      <c r="AZ808" s="243"/>
      <c r="BA808" s="243"/>
      <c r="BB808" s="243"/>
      <c r="BC808" s="243"/>
      <c r="BD808" s="243"/>
      <c r="BE808" s="243"/>
      <c r="BF808" s="243"/>
      <c r="BG808" s="243"/>
      <c r="BH808" s="243"/>
      <c r="BI808" s="243"/>
      <c r="BJ808" s="243"/>
      <c r="BK808" s="243"/>
      <c r="BL808" s="243"/>
      <c r="BM808" s="243"/>
      <c r="BN808" s="243"/>
      <c r="BO808" s="243"/>
      <c r="BP808" s="243"/>
      <c r="BQ808" s="243"/>
      <c r="BR808" s="243"/>
      <c r="BS808" s="243"/>
    </row>
    <row r="809" spans="1:71" s="12" customFormat="1" ht="41.25" customHeight="1">
      <c r="A809" s="178" t="s">
        <v>80</v>
      </c>
      <c r="B809" s="178" t="str">
        <f ca="1">+UPPER(Tabla1321124[[#This Row],[DESCRIPCIÓN DE LA COMPRA O CONTRATACIÓN]])</f>
        <v>TUBOS DE ACERO  L=20' E=3/8" Ø8"</v>
      </c>
      <c r="C809" s="39" t="s">
        <v>17</v>
      </c>
      <c r="D809" s="352">
        <f>20+8</f>
        <v>28</v>
      </c>
      <c r="E809" s="352">
        <f>20+3</f>
        <v>23</v>
      </c>
      <c r="F809" s="352">
        <f>20+3</f>
        <v>23</v>
      </c>
      <c r="G809" s="352">
        <f>20+3</f>
        <v>23</v>
      </c>
      <c r="H809" s="240">
        <f>SUM(Tabla1321124[[#This Row],[PRIMER TRIMESTRE]:[CUARTO TRIMESTRE]])</f>
        <v>97</v>
      </c>
      <c r="I809" s="17">
        <f>17500*1.18</f>
        <v>20650</v>
      </c>
      <c r="J809" s="17">
        <f>+Tabla1321124[[#This Row],[CANTIDAD TOTAL]]*Tabla1321124[[#This Row],[PRECIO UNITARIO ESTIMADO]]</f>
        <v>2003050</v>
      </c>
      <c r="K809" s="17"/>
      <c r="L809" s="16" t="s">
        <v>18</v>
      </c>
      <c r="M809" s="16" t="s">
        <v>22</v>
      </c>
      <c r="N809" s="16"/>
      <c r="O809" s="243"/>
      <c r="P809" s="243"/>
      <c r="Q809" s="243"/>
      <c r="R809" s="243"/>
      <c r="S809" s="243"/>
      <c r="T809" s="243"/>
      <c r="U809" s="243"/>
      <c r="V809" s="243"/>
      <c r="W809" s="243"/>
      <c r="X809" s="243"/>
      <c r="Y809" s="243"/>
      <c r="Z809" s="243"/>
      <c r="AA809" s="243"/>
      <c r="AB809" s="243"/>
      <c r="AC809" s="243"/>
      <c r="AD809" s="243"/>
      <c r="AE809" s="243"/>
      <c r="AF809" s="243"/>
      <c r="AG809" s="243"/>
      <c r="AH809" s="243"/>
      <c r="AI809" s="243"/>
      <c r="AJ809" s="243"/>
      <c r="AK809" s="243"/>
      <c r="AL809" s="243"/>
      <c r="AM809" s="243"/>
      <c r="AN809" s="243"/>
      <c r="AO809" s="243"/>
      <c r="AP809" s="243"/>
      <c r="AQ809" s="243"/>
      <c r="AR809" s="243"/>
      <c r="AS809" s="243"/>
      <c r="AT809" s="243"/>
      <c r="AU809" s="243"/>
      <c r="AV809" s="243"/>
      <c r="AW809" s="243"/>
      <c r="AX809" s="243"/>
      <c r="AY809" s="243"/>
      <c r="AZ809" s="243"/>
      <c r="BA809" s="243"/>
      <c r="BB809" s="243"/>
      <c r="BC809" s="243"/>
      <c r="BD809" s="243"/>
      <c r="BE809" s="243"/>
      <c r="BF809" s="243"/>
      <c r="BG809" s="243"/>
      <c r="BH809" s="243"/>
      <c r="BI809" s="243"/>
      <c r="BJ809" s="243"/>
      <c r="BK809" s="243"/>
      <c r="BL809" s="243"/>
      <c r="BM809" s="243"/>
      <c r="BN809" s="243"/>
      <c r="BO809" s="243"/>
      <c r="BP809" s="243"/>
      <c r="BQ809" s="243"/>
      <c r="BR809" s="243"/>
      <c r="BS809" s="243"/>
    </row>
    <row r="810" spans="1:71" s="12" customFormat="1" ht="41.25" customHeight="1">
      <c r="A810" s="178" t="s">
        <v>80</v>
      </c>
      <c r="B810" s="178" t="str">
        <f ca="1">+UPPER(Tabla1321124[[#This Row],[DESCRIPCIÓN DE LA COMPRA O CONTRATACIÓN]])</f>
        <v>TUBOS DE ACERO  L=20' E=3/8" Ø10"</v>
      </c>
      <c r="C810" s="39" t="s">
        <v>17</v>
      </c>
      <c r="D810" s="352">
        <f>100+0</f>
        <v>100</v>
      </c>
      <c r="E810" s="352">
        <v>100</v>
      </c>
      <c r="F810" s="352">
        <v>100</v>
      </c>
      <c r="G810" s="352">
        <v>100</v>
      </c>
      <c r="H810" s="240">
        <f>SUM(Tabla1321124[[#This Row],[PRIMER TRIMESTRE]:[CUARTO TRIMESTRE]])</f>
        <v>400</v>
      </c>
      <c r="I810" s="17">
        <f>25175*1.18</f>
        <v>29706.5</v>
      </c>
      <c r="J810" s="17">
        <f>+Tabla1321124[[#This Row],[CANTIDAD TOTAL]]*Tabla1321124[[#This Row],[PRECIO UNITARIO ESTIMADO]]</f>
        <v>11882600</v>
      </c>
      <c r="K810" s="17"/>
      <c r="L810" s="16" t="s">
        <v>18</v>
      </c>
      <c r="M810" s="16" t="s">
        <v>22</v>
      </c>
      <c r="N810" s="16"/>
      <c r="O810" s="243"/>
      <c r="P810" s="243"/>
      <c r="Q810" s="243"/>
      <c r="R810" s="243"/>
      <c r="S810" s="243"/>
      <c r="T810" s="243"/>
      <c r="U810" s="243"/>
      <c r="V810" s="243"/>
      <c r="W810" s="243"/>
      <c r="X810" s="243"/>
      <c r="Y810" s="243"/>
      <c r="Z810" s="243"/>
      <c r="AA810" s="243"/>
      <c r="AB810" s="243"/>
      <c r="AC810" s="243"/>
      <c r="AD810" s="243"/>
      <c r="AE810" s="243"/>
      <c r="AF810" s="243"/>
      <c r="AG810" s="243"/>
      <c r="AH810" s="243"/>
      <c r="AI810" s="243"/>
      <c r="AJ810" s="243"/>
      <c r="AK810" s="243"/>
      <c r="AL810" s="243"/>
      <c r="AM810" s="243"/>
      <c r="AN810" s="243"/>
      <c r="AO810" s="243"/>
      <c r="AP810" s="243"/>
      <c r="AQ810" s="243"/>
      <c r="AR810" s="243"/>
      <c r="AS810" s="243"/>
      <c r="AT810" s="243"/>
      <c r="AU810" s="243"/>
      <c r="AV810" s="243"/>
      <c r="AW810" s="243"/>
      <c r="AX810" s="243"/>
      <c r="AY810" s="243"/>
      <c r="AZ810" s="243"/>
      <c r="BA810" s="243"/>
      <c r="BB810" s="243"/>
      <c r="BC810" s="243"/>
      <c r="BD810" s="243"/>
      <c r="BE810" s="243"/>
      <c r="BF810" s="243"/>
      <c r="BG810" s="243"/>
      <c r="BH810" s="243"/>
      <c r="BI810" s="243"/>
      <c r="BJ810" s="243"/>
      <c r="BK810" s="243"/>
      <c r="BL810" s="243"/>
      <c r="BM810" s="243"/>
      <c r="BN810" s="243"/>
      <c r="BO810" s="243"/>
      <c r="BP810" s="243"/>
      <c r="BQ810" s="243"/>
      <c r="BR810" s="243"/>
      <c r="BS810" s="243"/>
    </row>
    <row r="811" spans="1:71" s="12" customFormat="1" ht="41.25" customHeight="1">
      <c r="A811" s="178" t="s">
        <v>80</v>
      </c>
      <c r="B811" s="178" t="str">
        <f ca="1">+UPPER(Tabla1321124[[#This Row],[DESCRIPCIÓN DE LA COMPRA O CONTRATACIÓN]])</f>
        <v>TUBOS DE ACERO  L=20' E=3/8" Ø12"</v>
      </c>
      <c r="C811" s="39" t="s">
        <v>17</v>
      </c>
      <c r="D811" s="352">
        <f>50+8</f>
        <v>58</v>
      </c>
      <c r="E811" s="352">
        <f>50+3</f>
        <v>53</v>
      </c>
      <c r="F811" s="352">
        <f>50+3</f>
        <v>53</v>
      </c>
      <c r="G811" s="352">
        <f>50+3</f>
        <v>53</v>
      </c>
      <c r="H811" s="240">
        <f>SUM(Tabla1321124[[#This Row],[PRIMER TRIMESTRE]:[CUARTO TRIMESTRE]])</f>
        <v>217</v>
      </c>
      <c r="I811" s="17">
        <f>34500*1.18</f>
        <v>40710</v>
      </c>
      <c r="J811" s="17">
        <f>+Tabla1321124[[#This Row],[CANTIDAD TOTAL]]*Tabla1321124[[#This Row],[PRECIO UNITARIO ESTIMADO]]</f>
        <v>8834070</v>
      </c>
      <c r="K811" s="17"/>
      <c r="L811" s="16" t="s">
        <v>18</v>
      </c>
      <c r="M811" s="16" t="s">
        <v>22</v>
      </c>
      <c r="N811" s="16"/>
      <c r="O811" s="243"/>
      <c r="P811" s="243"/>
      <c r="Q811" s="243"/>
      <c r="R811" s="243"/>
      <c r="S811" s="243"/>
      <c r="T811" s="243"/>
      <c r="U811" s="243"/>
      <c r="V811" s="243"/>
      <c r="W811" s="243"/>
      <c r="X811" s="243"/>
      <c r="Y811" s="243"/>
      <c r="Z811" s="243"/>
      <c r="AA811" s="243"/>
      <c r="AB811" s="243"/>
      <c r="AC811" s="243"/>
      <c r="AD811" s="243"/>
      <c r="AE811" s="243"/>
      <c r="AF811" s="243"/>
      <c r="AG811" s="243"/>
      <c r="AH811" s="243"/>
      <c r="AI811" s="243"/>
      <c r="AJ811" s="243"/>
      <c r="AK811" s="243"/>
      <c r="AL811" s="243"/>
      <c r="AM811" s="243"/>
      <c r="AN811" s="243"/>
      <c r="AO811" s="243"/>
      <c r="AP811" s="243"/>
      <c r="AQ811" s="243"/>
      <c r="AR811" s="243"/>
      <c r="AS811" s="243"/>
      <c r="AT811" s="243"/>
      <c r="AU811" s="243"/>
      <c r="AV811" s="243"/>
      <c r="AW811" s="243"/>
      <c r="AX811" s="243"/>
      <c r="AY811" s="243"/>
      <c r="AZ811" s="243"/>
      <c r="BA811" s="243"/>
      <c r="BB811" s="243"/>
      <c r="BC811" s="243"/>
      <c r="BD811" s="243"/>
      <c r="BE811" s="243"/>
      <c r="BF811" s="243"/>
      <c r="BG811" s="243"/>
      <c r="BH811" s="243"/>
      <c r="BI811" s="243"/>
      <c r="BJ811" s="243"/>
      <c r="BK811" s="243"/>
      <c r="BL811" s="243"/>
      <c r="BM811" s="243"/>
      <c r="BN811" s="243"/>
      <c r="BO811" s="243"/>
      <c r="BP811" s="243"/>
      <c r="BQ811" s="243"/>
      <c r="BR811" s="243"/>
      <c r="BS811" s="243"/>
    </row>
    <row r="812" spans="1:71" s="12" customFormat="1" ht="41.25" customHeight="1">
      <c r="A812" s="178" t="s">
        <v>80</v>
      </c>
      <c r="B812" s="178" t="str">
        <f ca="1">+UPPER(Tabla1321124[[#This Row],[DESCRIPCIÓN DE LA COMPRA O CONTRATACIÓN]])</f>
        <v>TUBOS DE ACERO  L=20' E=3/8" Ø16"</v>
      </c>
      <c r="C812" s="39" t="s">
        <v>17</v>
      </c>
      <c r="D812" s="352">
        <f>50+7</f>
        <v>57</v>
      </c>
      <c r="E812" s="352">
        <v>50</v>
      </c>
      <c r="F812" s="352">
        <f>50+2</f>
        <v>52</v>
      </c>
      <c r="G812" s="352">
        <v>50</v>
      </c>
      <c r="H812" s="240">
        <f>SUM(Tabla1321124[[#This Row],[PRIMER TRIMESTRE]:[CUARTO TRIMESTRE]])</f>
        <v>209</v>
      </c>
      <c r="I812" s="17">
        <v>51330</v>
      </c>
      <c r="J812" s="17">
        <f>+Tabla1321124[[#This Row],[CANTIDAD TOTAL]]*Tabla1321124[[#This Row],[PRECIO UNITARIO ESTIMADO]]</f>
        <v>10727970</v>
      </c>
      <c r="K812" s="17"/>
      <c r="L812" s="16" t="s">
        <v>18</v>
      </c>
      <c r="M812" s="16" t="s">
        <v>22</v>
      </c>
      <c r="N812" s="16"/>
      <c r="O812" s="243"/>
      <c r="P812" s="243"/>
      <c r="Q812" s="243"/>
      <c r="R812" s="243"/>
      <c r="S812" s="243"/>
      <c r="T812" s="243"/>
      <c r="U812" s="243"/>
      <c r="V812" s="243"/>
      <c r="W812" s="243"/>
      <c r="X812" s="243"/>
      <c r="Y812" s="243"/>
      <c r="Z812" s="243"/>
      <c r="AA812" s="243"/>
      <c r="AB812" s="243"/>
      <c r="AC812" s="243"/>
      <c r="AD812" s="243"/>
      <c r="AE812" s="243"/>
      <c r="AF812" s="243"/>
      <c r="AG812" s="243"/>
      <c r="AH812" s="243"/>
      <c r="AI812" s="243"/>
      <c r="AJ812" s="243"/>
      <c r="AK812" s="243"/>
      <c r="AL812" s="243"/>
      <c r="AM812" s="243"/>
      <c r="AN812" s="243"/>
      <c r="AO812" s="243"/>
      <c r="AP812" s="243"/>
      <c r="AQ812" s="243"/>
      <c r="AR812" s="243"/>
      <c r="AS812" s="243"/>
      <c r="AT812" s="243"/>
      <c r="AU812" s="243"/>
      <c r="AV812" s="243"/>
      <c r="AW812" s="243"/>
      <c r="AX812" s="243"/>
      <c r="AY812" s="243"/>
      <c r="AZ812" s="243"/>
      <c r="BA812" s="243"/>
      <c r="BB812" s="243"/>
      <c r="BC812" s="243"/>
      <c r="BD812" s="243"/>
      <c r="BE812" s="243"/>
      <c r="BF812" s="243"/>
      <c r="BG812" s="243"/>
      <c r="BH812" s="243"/>
      <c r="BI812" s="243"/>
      <c r="BJ812" s="243"/>
      <c r="BK812" s="243"/>
      <c r="BL812" s="243"/>
      <c r="BM812" s="243"/>
      <c r="BN812" s="243"/>
      <c r="BO812" s="243"/>
      <c r="BP812" s="243"/>
      <c r="BQ812" s="243"/>
      <c r="BR812" s="243"/>
      <c r="BS812" s="243"/>
    </row>
    <row r="813" spans="1:71" s="12" customFormat="1" ht="41.25" customHeight="1">
      <c r="A813" s="178" t="s">
        <v>80</v>
      </c>
      <c r="B813" s="178" t="str">
        <f ca="1">+UPPER(Tabla1321124[[#This Row],[DESCRIPCIÓN DE LA COMPRA O CONTRATACIÓN]])</f>
        <v>TUBOS DE ACERO  L=20' E=3/8" Ø20"</v>
      </c>
      <c r="C813" s="39" t="s">
        <v>17</v>
      </c>
      <c r="D813" s="352">
        <v>90</v>
      </c>
      <c r="E813" s="352">
        <v>90</v>
      </c>
      <c r="F813" s="352">
        <v>90</v>
      </c>
      <c r="G813" s="352">
        <v>90</v>
      </c>
      <c r="H813" s="240">
        <f>SUM(Tabla1321124[[#This Row],[PRIMER TRIMESTRE]:[CUARTO TRIMESTRE]])</f>
        <v>360</v>
      </c>
      <c r="I813" s="17">
        <v>61360</v>
      </c>
      <c r="J813" s="17">
        <f>+Tabla1321124[[#This Row],[CANTIDAD TOTAL]]*Tabla1321124[[#This Row],[PRECIO UNITARIO ESTIMADO]]</f>
        <v>22089600</v>
      </c>
      <c r="K813" s="17"/>
      <c r="L813" s="16" t="s">
        <v>18</v>
      </c>
      <c r="M813" s="16" t="s">
        <v>22</v>
      </c>
      <c r="N813" s="16"/>
      <c r="O813" s="243"/>
      <c r="P813" s="243"/>
      <c r="Q813" s="243"/>
      <c r="R813" s="243"/>
      <c r="S813" s="243"/>
      <c r="T813" s="243"/>
      <c r="U813" s="243"/>
      <c r="V813" s="243"/>
      <c r="W813" s="243"/>
      <c r="X813" s="243"/>
      <c r="Y813" s="243"/>
      <c r="Z813" s="243"/>
      <c r="AA813" s="243"/>
      <c r="AB813" s="243"/>
      <c r="AC813" s="243"/>
      <c r="AD813" s="243"/>
      <c r="AE813" s="243"/>
      <c r="AF813" s="243"/>
      <c r="AG813" s="243"/>
      <c r="AH813" s="243"/>
      <c r="AI813" s="243"/>
      <c r="AJ813" s="243"/>
      <c r="AK813" s="243"/>
      <c r="AL813" s="243"/>
      <c r="AM813" s="243"/>
      <c r="AN813" s="243"/>
      <c r="AO813" s="243"/>
      <c r="AP813" s="243"/>
      <c r="AQ813" s="243"/>
      <c r="AR813" s="243"/>
      <c r="AS813" s="243"/>
      <c r="AT813" s="243"/>
      <c r="AU813" s="243"/>
      <c r="AV813" s="243"/>
      <c r="AW813" s="243"/>
      <c r="AX813" s="243"/>
      <c r="AY813" s="243"/>
      <c r="AZ813" s="243"/>
      <c r="BA813" s="243"/>
      <c r="BB813" s="243"/>
      <c r="BC813" s="243"/>
      <c r="BD813" s="243"/>
      <c r="BE813" s="243"/>
      <c r="BF813" s="243"/>
      <c r="BG813" s="243"/>
      <c r="BH813" s="243"/>
      <c r="BI813" s="243"/>
      <c r="BJ813" s="243"/>
      <c r="BK813" s="243"/>
      <c r="BL813" s="243"/>
      <c r="BM813" s="243"/>
      <c r="BN813" s="243"/>
      <c r="BO813" s="243"/>
      <c r="BP813" s="243"/>
      <c r="BQ813" s="243"/>
      <c r="BR813" s="243"/>
      <c r="BS813" s="243"/>
    </row>
    <row r="814" spans="1:71" s="12" customFormat="1" ht="41.25" customHeight="1">
      <c r="A814" s="178" t="s">
        <v>80</v>
      </c>
      <c r="B814" s="178" t="str">
        <f ca="1">+UPPER(Tabla1321124[[#This Row],[DESCRIPCIÓN DE LA COMPRA O CONTRATACIÓN]])</f>
        <v>TUBO GALVANIZADO Ø2'' X 10' PIES ROSCA Y COUPLING</v>
      </c>
      <c r="C814" s="39" t="s">
        <v>17</v>
      </c>
      <c r="D814" s="352">
        <f>20+10</f>
        <v>30</v>
      </c>
      <c r="E814" s="352">
        <f>20+5</f>
        <v>25</v>
      </c>
      <c r="F814" s="352">
        <f>20+10</f>
        <v>30</v>
      </c>
      <c r="G814" s="352">
        <f>20+5</f>
        <v>25</v>
      </c>
      <c r="H814" s="240">
        <f>SUM(Tabla1321124[[#This Row],[PRIMER TRIMESTRE]:[CUARTO TRIMESTRE]])</f>
        <v>110</v>
      </c>
      <c r="I814" s="17">
        <v>1500</v>
      </c>
      <c r="J814" s="17">
        <f>+Tabla1321124[[#This Row],[CANTIDAD TOTAL]]*Tabla1321124[[#This Row],[PRECIO UNITARIO ESTIMADO]]</f>
        <v>165000</v>
      </c>
      <c r="K814" s="17"/>
      <c r="L814" s="16" t="s">
        <v>18</v>
      </c>
      <c r="M814" s="16" t="s">
        <v>22</v>
      </c>
      <c r="N814" s="16"/>
      <c r="O814" s="243"/>
      <c r="P814" s="243"/>
      <c r="Q814" s="243"/>
      <c r="R814" s="243"/>
      <c r="S814" s="243"/>
      <c r="T814" s="243"/>
      <c r="U814" s="243"/>
      <c r="V814" s="243"/>
      <c r="W814" s="243"/>
      <c r="X814" s="243"/>
      <c r="Y814" s="243"/>
      <c r="Z814" s="243"/>
      <c r="AA814" s="243"/>
      <c r="AB814" s="243"/>
      <c r="AC814" s="243"/>
      <c r="AD814" s="243"/>
      <c r="AE814" s="243"/>
      <c r="AF814" s="243"/>
      <c r="AG814" s="243"/>
      <c r="AH814" s="243"/>
      <c r="AI814" s="243"/>
      <c r="AJ814" s="243"/>
      <c r="AK814" s="243"/>
      <c r="AL814" s="243"/>
      <c r="AM814" s="243"/>
      <c r="AN814" s="243"/>
      <c r="AO814" s="243"/>
      <c r="AP814" s="243"/>
      <c r="AQ814" s="243"/>
      <c r="AR814" s="243"/>
      <c r="AS814" s="243"/>
      <c r="AT814" s="243"/>
      <c r="AU814" s="243"/>
      <c r="AV814" s="243"/>
      <c r="AW814" s="243"/>
      <c r="AX814" s="243"/>
      <c r="AY814" s="243"/>
      <c r="AZ814" s="243"/>
      <c r="BA814" s="243"/>
      <c r="BB814" s="243"/>
      <c r="BC814" s="243"/>
      <c r="BD814" s="243"/>
      <c r="BE814" s="243"/>
      <c r="BF814" s="243"/>
      <c r="BG814" s="243"/>
      <c r="BH814" s="243"/>
      <c r="BI814" s="243"/>
      <c r="BJ814" s="243"/>
      <c r="BK814" s="243"/>
      <c r="BL814" s="243"/>
      <c r="BM814" s="243"/>
      <c r="BN814" s="243"/>
      <c r="BO814" s="243"/>
      <c r="BP814" s="243"/>
      <c r="BQ814" s="243"/>
      <c r="BR814" s="243"/>
      <c r="BS814" s="243"/>
    </row>
    <row r="815" spans="1:71" s="12" customFormat="1" ht="41.25" customHeight="1">
      <c r="A815" s="178" t="s">
        <v>80</v>
      </c>
      <c r="B815" s="178" t="str">
        <f ca="1">+UPPER(Tabla1321124[[#This Row],[DESCRIPCIÓN DE LA COMPRA O CONTRATACIÓN]])</f>
        <v>TUBOS Ø2'' X 20'' EN H. N. CON SU COUPLING</v>
      </c>
      <c r="C815" s="39" t="s">
        <v>17</v>
      </c>
      <c r="D815" s="352">
        <f>10+10</f>
        <v>20</v>
      </c>
      <c r="E815" s="352">
        <f>10+5</f>
        <v>15</v>
      </c>
      <c r="F815" s="352">
        <f>10+10</f>
        <v>20</v>
      </c>
      <c r="G815" s="352">
        <f>10+5</f>
        <v>15</v>
      </c>
      <c r="H815" s="240">
        <f>SUM(Tabla1321124[[#This Row],[PRIMER TRIMESTRE]:[CUARTO TRIMESTRE]])</f>
        <v>70</v>
      </c>
      <c r="I815" s="17">
        <v>4973.5</v>
      </c>
      <c r="J815" s="17">
        <f>+Tabla1321124[[#This Row],[CANTIDAD TOTAL]]*Tabla1321124[[#This Row],[PRECIO UNITARIO ESTIMADO]]</f>
        <v>348145</v>
      </c>
      <c r="K815" s="17"/>
      <c r="L815" s="16" t="s">
        <v>18</v>
      </c>
      <c r="M815" s="16" t="s">
        <v>22</v>
      </c>
      <c r="N815" s="16"/>
      <c r="O815" s="243"/>
      <c r="P815" s="243"/>
      <c r="Q815" s="243"/>
      <c r="R815" s="243"/>
      <c r="S815" s="243"/>
      <c r="T815" s="243"/>
      <c r="U815" s="243"/>
      <c r="V815" s="243"/>
      <c r="W815" s="243"/>
      <c r="X815" s="243"/>
      <c r="Y815" s="243"/>
      <c r="Z815" s="243"/>
      <c r="AA815" s="243"/>
      <c r="AB815" s="243"/>
      <c r="AC815" s="243"/>
      <c r="AD815" s="243"/>
      <c r="AE815" s="243"/>
      <c r="AF815" s="243"/>
      <c r="AG815" s="243"/>
      <c r="AH815" s="243"/>
      <c r="AI815" s="243"/>
      <c r="AJ815" s="243"/>
      <c r="AK815" s="243"/>
      <c r="AL815" s="243"/>
      <c r="AM815" s="243"/>
      <c r="AN815" s="243"/>
      <c r="AO815" s="243"/>
      <c r="AP815" s="243"/>
      <c r="AQ815" s="243"/>
      <c r="AR815" s="243"/>
      <c r="AS815" s="243"/>
      <c r="AT815" s="243"/>
      <c r="AU815" s="243"/>
      <c r="AV815" s="243"/>
      <c r="AW815" s="243"/>
      <c r="AX815" s="243"/>
      <c r="AY815" s="243"/>
      <c r="AZ815" s="243"/>
      <c r="BA815" s="243"/>
      <c r="BB815" s="243"/>
      <c r="BC815" s="243"/>
      <c r="BD815" s="243"/>
      <c r="BE815" s="243"/>
      <c r="BF815" s="243"/>
      <c r="BG815" s="243"/>
      <c r="BH815" s="243"/>
      <c r="BI815" s="243"/>
      <c r="BJ815" s="243"/>
      <c r="BK815" s="243"/>
      <c r="BL815" s="243"/>
      <c r="BM815" s="243"/>
      <c r="BN815" s="243"/>
      <c r="BO815" s="243"/>
      <c r="BP815" s="243"/>
      <c r="BQ815" s="243"/>
      <c r="BR815" s="243"/>
      <c r="BS815" s="243"/>
    </row>
    <row r="816" spans="1:71" s="12" customFormat="1" ht="41.25" customHeight="1">
      <c r="A816" s="178" t="s">
        <v>80</v>
      </c>
      <c r="B816" s="178" t="str">
        <f ca="1">+UPPER(Tabla1321124[[#This Row],[DESCRIPCIÓN DE LA COMPRA O CONTRATACIÓN]])</f>
        <v>TUBO IMC Ø3'' X 10''</v>
      </c>
      <c r="C816" s="39" t="s">
        <v>17</v>
      </c>
      <c r="D816" s="352">
        <f>20+5</f>
        <v>25</v>
      </c>
      <c r="E816" s="352">
        <v>20</v>
      </c>
      <c r="F816" s="352">
        <f>20+5</f>
        <v>25</v>
      </c>
      <c r="G816" s="352">
        <v>20</v>
      </c>
      <c r="H816" s="240">
        <f>SUM(Tabla1321124[[#This Row],[PRIMER TRIMESTRE]:[CUARTO TRIMESTRE]])</f>
        <v>90</v>
      </c>
      <c r="I816" s="17">
        <v>1600</v>
      </c>
      <c r="J816" s="17">
        <f>+Tabla1321124[[#This Row],[CANTIDAD TOTAL]]*Tabla1321124[[#This Row],[PRECIO UNITARIO ESTIMADO]]</f>
        <v>144000</v>
      </c>
      <c r="K816" s="302"/>
      <c r="L816" s="16" t="s">
        <v>18</v>
      </c>
      <c r="M816" s="16" t="s">
        <v>22</v>
      </c>
      <c r="N816" s="16"/>
      <c r="O816" s="243"/>
      <c r="P816" s="243"/>
      <c r="Q816" s="243"/>
      <c r="R816" s="243"/>
      <c r="S816" s="243"/>
      <c r="T816" s="243"/>
      <c r="U816" s="243"/>
      <c r="V816" s="243"/>
      <c r="W816" s="243"/>
      <c r="X816" s="243"/>
      <c r="Y816" s="243"/>
      <c r="Z816" s="243"/>
      <c r="AA816" s="243"/>
      <c r="AB816" s="243"/>
      <c r="AC816" s="243"/>
      <c r="AD816" s="243"/>
      <c r="AE816" s="243"/>
      <c r="AF816" s="243"/>
      <c r="AG816" s="243"/>
      <c r="AH816" s="243"/>
      <c r="AI816" s="243"/>
      <c r="AJ816" s="243"/>
      <c r="AK816" s="243"/>
      <c r="AL816" s="243"/>
      <c r="AM816" s="243"/>
      <c r="AN816" s="243"/>
      <c r="AO816" s="243"/>
      <c r="AP816" s="243"/>
      <c r="AQ816" s="243"/>
      <c r="AR816" s="243"/>
      <c r="AS816" s="243"/>
      <c r="AT816" s="243"/>
      <c r="AU816" s="243"/>
      <c r="AV816" s="243"/>
      <c r="AW816" s="243"/>
      <c r="AX816" s="243"/>
      <c r="AY816" s="243"/>
      <c r="AZ816" s="243"/>
      <c r="BA816" s="243"/>
      <c r="BB816" s="243"/>
      <c r="BC816" s="243"/>
      <c r="BD816" s="243"/>
      <c r="BE816" s="243"/>
      <c r="BF816" s="243"/>
      <c r="BG816" s="243"/>
      <c r="BH816" s="243"/>
      <c r="BI816" s="243"/>
      <c r="BJ816" s="243"/>
      <c r="BK816" s="243"/>
      <c r="BL816" s="243"/>
      <c r="BM816" s="243"/>
      <c r="BN816" s="243"/>
      <c r="BO816" s="243"/>
      <c r="BP816" s="243"/>
      <c r="BQ816" s="243"/>
      <c r="BR816" s="243"/>
      <c r="BS816" s="243"/>
    </row>
    <row r="817" spans="1:71" s="12" customFormat="1" ht="41.25" customHeight="1">
      <c r="A817" s="178" t="s">
        <v>80</v>
      </c>
      <c r="B817" s="178" t="str">
        <f ca="1">+UPPER(Tabla1321124[[#This Row],[DESCRIPCIÓN DE LA COMPRA O CONTRATACIÓN]])</f>
        <v>TUBERIA DE HG L=20´ Ø1  1/2"</v>
      </c>
      <c r="C817" s="39" t="s">
        <v>17</v>
      </c>
      <c r="D817" s="352">
        <f>5+15</f>
        <v>20</v>
      </c>
      <c r="E817" s="352">
        <f>5+5</f>
        <v>10</v>
      </c>
      <c r="F817" s="352">
        <f>5+15</f>
        <v>20</v>
      </c>
      <c r="G817" s="352">
        <f>5+5</f>
        <v>10</v>
      </c>
      <c r="H817" s="240">
        <f>SUM(Tabla1321124[[#This Row],[PRIMER TRIMESTRE]:[CUARTO TRIMESTRE]])</f>
        <v>60</v>
      </c>
      <c r="I817" s="17">
        <v>1926.1</v>
      </c>
      <c r="J817" s="17">
        <f>+Tabla1321124[[#This Row],[CANTIDAD TOTAL]]*Tabla1321124[[#This Row],[PRECIO UNITARIO ESTIMADO]]</f>
        <v>115566</v>
      </c>
      <c r="K817" s="17"/>
      <c r="L817" s="16" t="s">
        <v>18</v>
      </c>
      <c r="M817" s="16" t="s">
        <v>22</v>
      </c>
      <c r="N817" s="16"/>
      <c r="O817" s="243"/>
      <c r="P817" s="243"/>
      <c r="Q817" s="243"/>
      <c r="R817" s="243"/>
      <c r="S817" s="243"/>
      <c r="T817" s="243"/>
      <c r="U817" s="243"/>
      <c r="V817" s="243"/>
      <c r="W817" s="243"/>
      <c r="X817" s="243"/>
      <c r="Y817" s="243"/>
      <c r="Z817" s="243"/>
      <c r="AA817" s="243"/>
      <c r="AB817" s="243"/>
      <c r="AC817" s="243"/>
      <c r="AD817" s="243"/>
      <c r="AE817" s="243"/>
      <c r="AF817" s="243"/>
      <c r="AG817" s="243"/>
      <c r="AH817" s="243"/>
      <c r="AI817" s="243"/>
      <c r="AJ817" s="243"/>
      <c r="AK817" s="243"/>
      <c r="AL817" s="243"/>
      <c r="AM817" s="243"/>
      <c r="AN817" s="243"/>
      <c r="AO817" s="243"/>
      <c r="AP817" s="243"/>
      <c r="AQ817" s="243"/>
      <c r="AR817" s="243"/>
      <c r="AS817" s="243"/>
      <c r="AT817" s="243"/>
      <c r="AU817" s="243"/>
      <c r="AV817" s="243"/>
      <c r="AW817" s="243"/>
      <c r="AX817" s="243"/>
      <c r="AY817" s="243"/>
      <c r="AZ817" s="243"/>
      <c r="BA817" s="243"/>
      <c r="BB817" s="243"/>
      <c r="BC817" s="243"/>
      <c r="BD817" s="243"/>
      <c r="BE817" s="243"/>
      <c r="BF817" s="243"/>
      <c r="BG817" s="243"/>
      <c r="BH817" s="243"/>
      <c r="BI817" s="243"/>
      <c r="BJ817" s="243"/>
      <c r="BK817" s="243"/>
      <c r="BL817" s="243"/>
      <c r="BM817" s="243"/>
      <c r="BN817" s="243"/>
      <c r="BO817" s="243"/>
      <c r="BP817" s="243"/>
      <c r="BQ817" s="243"/>
      <c r="BR817" s="243"/>
      <c r="BS817" s="243"/>
    </row>
    <row r="818" spans="1:71" s="12" customFormat="1" ht="41.25" customHeight="1">
      <c r="A818" s="178" t="s">
        <v>80</v>
      </c>
      <c r="B818" s="178" t="str">
        <f ca="1">+UPPER(Tabla1321124[[#This Row],[DESCRIPCIÓN DE LA COMPRA O CONTRATACIÓN]])</f>
        <v>TUBERIA DE HG L=20´ Ø2"</v>
      </c>
      <c r="C818" s="39" t="s">
        <v>17</v>
      </c>
      <c r="D818" s="352">
        <f>20+10</f>
        <v>30</v>
      </c>
      <c r="E818" s="352">
        <v>20</v>
      </c>
      <c r="F818" s="352">
        <f>20+10</f>
        <v>30</v>
      </c>
      <c r="G818" s="352">
        <v>20</v>
      </c>
      <c r="H818" s="240">
        <f>SUM(Tabla1321124[[#This Row],[PRIMER TRIMESTRE]:[CUARTO TRIMESTRE]])</f>
        <v>100</v>
      </c>
      <c r="I818" s="17">
        <v>3940</v>
      </c>
      <c r="J818" s="17">
        <f>+Tabla1321124[[#This Row],[CANTIDAD TOTAL]]*Tabla1321124[[#This Row],[PRECIO UNITARIO ESTIMADO]]</f>
        <v>394000</v>
      </c>
      <c r="K818" s="17"/>
      <c r="L818" s="16" t="s">
        <v>18</v>
      </c>
      <c r="M818" s="16" t="s">
        <v>22</v>
      </c>
      <c r="N818" s="16"/>
      <c r="O818" s="243"/>
      <c r="P818" s="243"/>
      <c r="Q818" s="243"/>
      <c r="R818" s="243"/>
      <c r="S818" s="243"/>
      <c r="T818" s="243"/>
      <c r="U818" s="243"/>
      <c r="V818" s="243"/>
      <c r="W818" s="243"/>
      <c r="X818" s="243"/>
      <c r="Y818" s="243"/>
      <c r="Z818" s="243"/>
      <c r="AA818" s="243"/>
      <c r="AB818" s="243"/>
      <c r="AC818" s="243"/>
      <c r="AD818" s="243"/>
      <c r="AE818" s="243"/>
      <c r="AF818" s="243"/>
      <c r="AG818" s="243"/>
      <c r="AH818" s="243"/>
      <c r="AI818" s="243"/>
      <c r="AJ818" s="243"/>
      <c r="AK818" s="243"/>
      <c r="AL818" s="243"/>
      <c r="AM818" s="243"/>
      <c r="AN818" s="243"/>
      <c r="AO818" s="243"/>
      <c r="AP818" s="243"/>
      <c r="AQ818" s="243"/>
      <c r="AR818" s="243"/>
      <c r="AS818" s="243"/>
      <c r="AT818" s="243"/>
      <c r="AU818" s="243"/>
      <c r="AV818" s="243"/>
      <c r="AW818" s="243"/>
      <c r="AX818" s="243"/>
      <c r="AY818" s="243"/>
      <c r="AZ818" s="243"/>
      <c r="BA818" s="243"/>
      <c r="BB818" s="243"/>
      <c r="BC818" s="243"/>
      <c r="BD818" s="243"/>
      <c r="BE818" s="243"/>
      <c r="BF818" s="243"/>
      <c r="BG818" s="243"/>
      <c r="BH818" s="243"/>
      <c r="BI818" s="243"/>
      <c r="BJ818" s="243"/>
      <c r="BK818" s="243"/>
      <c r="BL818" s="243"/>
      <c r="BM818" s="243"/>
      <c r="BN818" s="243"/>
      <c r="BO818" s="243"/>
      <c r="BP818" s="243"/>
      <c r="BQ818" s="243"/>
      <c r="BR818" s="243"/>
      <c r="BS818" s="243"/>
    </row>
    <row r="819" spans="1:71" s="12" customFormat="1" ht="41.25" customHeight="1">
      <c r="A819" s="178" t="s">
        <v>80</v>
      </c>
      <c r="B819" s="178" t="str">
        <f ca="1">+UPPER(Tabla1321124[[#This Row],[DESCRIPCIÓN DE LA COMPRA O CONTRATACIÓN]])</f>
        <v>TUBERIA DE HG L=20´ Ø3"</v>
      </c>
      <c r="C819" s="39" t="s">
        <v>17</v>
      </c>
      <c r="D819" s="352">
        <f>5+16</f>
        <v>21</v>
      </c>
      <c r="E819" s="352">
        <f>5+6</f>
        <v>11</v>
      </c>
      <c r="F819" s="352">
        <f>5+16</f>
        <v>21</v>
      </c>
      <c r="G819" s="352">
        <f>5+6</f>
        <v>11</v>
      </c>
      <c r="H819" s="240">
        <f>SUM(Tabla1321124[[#This Row],[PRIMER TRIMESTRE]:[CUARTO TRIMESTRE]])</f>
        <v>64</v>
      </c>
      <c r="I819" s="17">
        <v>3940</v>
      </c>
      <c r="J819" s="17">
        <f>+Tabla1321124[[#This Row],[CANTIDAD TOTAL]]*Tabla1321124[[#This Row],[PRECIO UNITARIO ESTIMADO]]</f>
        <v>252160</v>
      </c>
      <c r="K819" s="17"/>
      <c r="L819" s="16" t="s">
        <v>18</v>
      </c>
      <c r="M819" s="16" t="s">
        <v>22</v>
      </c>
      <c r="N819" s="16"/>
      <c r="O819" s="243"/>
      <c r="P819" s="243"/>
      <c r="Q819" s="243"/>
      <c r="R819" s="243"/>
      <c r="S819" s="243"/>
      <c r="T819" s="243"/>
      <c r="U819" s="243"/>
      <c r="V819" s="243"/>
      <c r="W819" s="243"/>
      <c r="X819" s="243"/>
      <c r="Y819" s="243"/>
      <c r="Z819" s="243"/>
      <c r="AA819" s="243"/>
      <c r="AB819" s="243"/>
      <c r="AC819" s="243"/>
      <c r="AD819" s="243"/>
      <c r="AE819" s="243"/>
      <c r="AF819" s="243"/>
      <c r="AG819" s="243"/>
      <c r="AH819" s="243"/>
      <c r="AI819" s="243"/>
      <c r="AJ819" s="243"/>
      <c r="AK819" s="243"/>
      <c r="AL819" s="243"/>
      <c r="AM819" s="243"/>
      <c r="AN819" s="243"/>
      <c r="AO819" s="243"/>
      <c r="AP819" s="243"/>
      <c r="AQ819" s="243"/>
      <c r="AR819" s="243"/>
      <c r="AS819" s="243"/>
      <c r="AT819" s="243"/>
      <c r="AU819" s="243"/>
      <c r="AV819" s="243"/>
      <c r="AW819" s="243"/>
      <c r="AX819" s="243"/>
      <c r="AY819" s="243"/>
      <c r="AZ819" s="243"/>
      <c r="BA819" s="243"/>
      <c r="BB819" s="243"/>
      <c r="BC819" s="243"/>
      <c r="BD819" s="243"/>
      <c r="BE819" s="243"/>
      <c r="BF819" s="243"/>
      <c r="BG819" s="243"/>
      <c r="BH819" s="243"/>
      <c r="BI819" s="243"/>
      <c r="BJ819" s="243"/>
      <c r="BK819" s="243"/>
      <c r="BL819" s="243"/>
      <c r="BM819" s="243"/>
      <c r="BN819" s="243"/>
      <c r="BO819" s="243"/>
      <c r="BP819" s="243"/>
      <c r="BQ819" s="243"/>
      <c r="BR819" s="243"/>
      <c r="BS819" s="243"/>
    </row>
    <row r="820" spans="1:71" s="12" customFormat="1" ht="41.25" customHeight="1">
      <c r="A820" s="178" t="s">
        <v>80</v>
      </c>
      <c r="B820" s="178" t="str">
        <f ca="1">+UPPER(Tabla1321124[[#This Row],[DESCRIPCIÓN DE LA COMPRA O CONTRATACIÓN]])</f>
        <v>TUBERIA DE HG L=20´ Ø4"</v>
      </c>
      <c r="C820" s="39" t="s">
        <v>17</v>
      </c>
      <c r="D820" s="352">
        <f>5+14</f>
        <v>19</v>
      </c>
      <c r="E820" s="352">
        <f>5+4</f>
        <v>9</v>
      </c>
      <c r="F820" s="352">
        <f>5+4</f>
        <v>9</v>
      </c>
      <c r="G820" s="352">
        <f>5+4</f>
        <v>9</v>
      </c>
      <c r="H820" s="240">
        <f>SUM(Tabla1321124[[#This Row],[PRIMER TRIMESTRE]:[CUARTO TRIMESTRE]])</f>
        <v>46</v>
      </c>
      <c r="I820" s="17">
        <v>3940</v>
      </c>
      <c r="J820" s="17">
        <f>+Tabla1321124[[#This Row],[CANTIDAD TOTAL]]*Tabla1321124[[#This Row],[PRECIO UNITARIO ESTIMADO]]</f>
        <v>181240</v>
      </c>
      <c r="K820" s="17"/>
      <c r="L820" s="16" t="s">
        <v>18</v>
      </c>
      <c r="M820" s="16" t="s">
        <v>22</v>
      </c>
      <c r="N820" s="16"/>
      <c r="O820" s="243"/>
      <c r="P820" s="243"/>
      <c r="Q820" s="243"/>
      <c r="R820" s="243"/>
      <c r="S820" s="243"/>
      <c r="T820" s="243"/>
      <c r="U820" s="243"/>
      <c r="V820" s="243"/>
      <c r="W820" s="243"/>
      <c r="X820" s="243"/>
      <c r="Y820" s="243"/>
      <c r="Z820" s="243"/>
      <c r="AA820" s="243"/>
      <c r="AB820" s="243"/>
      <c r="AC820" s="243"/>
      <c r="AD820" s="243"/>
      <c r="AE820" s="243"/>
      <c r="AF820" s="243"/>
      <c r="AG820" s="243"/>
      <c r="AH820" s="243"/>
      <c r="AI820" s="243"/>
      <c r="AJ820" s="243"/>
      <c r="AK820" s="243"/>
      <c r="AL820" s="243"/>
      <c r="AM820" s="243"/>
      <c r="AN820" s="243"/>
      <c r="AO820" s="243"/>
      <c r="AP820" s="243"/>
      <c r="AQ820" s="243"/>
      <c r="AR820" s="243"/>
      <c r="AS820" s="243"/>
      <c r="AT820" s="243"/>
      <c r="AU820" s="243"/>
      <c r="AV820" s="243"/>
      <c r="AW820" s="243"/>
      <c r="AX820" s="243"/>
      <c r="AY820" s="243"/>
      <c r="AZ820" s="243"/>
      <c r="BA820" s="243"/>
      <c r="BB820" s="243"/>
      <c r="BC820" s="243"/>
      <c r="BD820" s="243"/>
      <c r="BE820" s="243"/>
      <c r="BF820" s="243"/>
      <c r="BG820" s="243"/>
      <c r="BH820" s="243"/>
      <c r="BI820" s="243"/>
      <c r="BJ820" s="243"/>
      <c r="BK820" s="243"/>
      <c r="BL820" s="243"/>
      <c r="BM820" s="243"/>
      <c r="BN820" s="243"/>
      <c r="BO820" s="243"/>
      <c r="BP820" s="243"/>
      <c r="BQ820" s="243"/>
      <c r="BR820" s="243"/>
      <c r="BS820" s="243"/>
    </row>
    <row r="821" spans="1:71" s="12" customFormat="1" ht="41.25" customHeight="1">
      <c r="A821" s="178" t="s">
        <v>80</v>
      </c>
      <c r="B821" s="178" t="str">
        <f ca="1">+UPPER(Tabla1321124[[#This Row],[DESCRIPCIÓN DE LA COMPRA O CONTRATACIÓN]])</f>
        <v>TUBO DE Ø2 CON SU COUPLING</v>
      </c>
      <c r="C821" s="39" t="s">
        <v>17</v>
      </c>
      <c r="D821" s="352">
        <v>10</v>
      </c>
      <c r="E821" s="352"/>
      <c r="F821" s="352">
        <v>10</v>
      </c>
      <c r="G821" s="352"/>
      <c r="H821" s="240">
        <f>SUM(Tabla1321124[[#This Row],[PRIMER TRIMESTRE]:[CUARTO TRIMESTRE]])</f>
        <v>20</v>
      </c>
      <c r="I821" s="17">
        <v>4973.5</v>
      </c>
      <c r="J821" s="17">
        <f>+Tabla1321124[[#This Row],[CANTIDAD TOTAL]]*Tabla1321124[[#This Row],[PRECIO UNITARIO ESTIMADO]]</f>
        <v>99470</v>
      </c>
      <c r="K821" s="17"/>
      <c r="L821" s="16" t="s">
        <v>18</v>
      </c>
      <c r="M821" s="16" t="s">
        <v>22</v>
      </c>
      <c r="N821" s="16"/>
      <c r="O821" s="243"/>
      <c r="P821" s="243"/>
      <c r="Q821" s="243"/>
      <c r="R821" s="243"/>
      <c r="S821" s="243"/>
      <c r="T821" s="243"/>
      <c r="U821" s="243"/>
      <c r="V821" s="243"/>
      <c r="W821" s="243"/>
      <c r="X821" s="243"/>
      <c r="Y821" s="243"/>
      <c r="Z821" s="243"/>
      <c r="AA821" s="243"/>
      <c r="AB821" s="243"/>
      <c r="AC821" s="243"/>
      <c r="AD821" s="243"/>
      <c r="AE821" s="243"/>
      <c r="AF821" s="243"/>
      <c r="AG821" s="243"/>
      <c r="AH821" s="243"/>
      <c r="AI821" s="243"/>
      <c r="AJ821" s="243"/>
      <c r="AK821" s="243"/>
      <c r="AL821" s="243"/>
      <c r="AM821" s="243"/>
      <c r="AN821" s="243"/>
      <c r="AO821" s="243"/>
      <c r="AP821" s="243"/>
      <c r="AQ821" s="243"/>
      <c r="AR821" s="243"/>
      <c r="AS821" s="243"/>
      <c r="AT821" s="243"/>
      <c r="AU821" s="243"/>
      <c r="AV821" s="243"/>
      <c r="AW821" s="243"/>
      <c r="AX821" s="243"/>
      <c r="AY821" s="243"/>
      <c r="AZ821" s="243"/>
      <c r="BA821" s="243"/>
      <c r="BB821" s="243"/>
      <c r="BC821" s="243"/>
      <c r="BD821" s="243"/>
      <c r="BE821" s="243"/>
      <c r="BF821" s="243"/>
      <c r="BG821" s="243"/>
      <c r="BH821" s="243"/>
      <c r="BI821" s="243"/>
      <c r="BJ821" s="243"/>
      <c r="BK821" s="243"/>
      <c r="BL821" s="243"/>
      <c r="BM821" s="243"/>
      <c r="BN821" s="243"/>
      <c r="BO821" s="243"/>
      <c r="BP821" s="243"/>
      <c r="BQ821" s="243"/>
      <c r="BR821" s="243"/>
      <c r="BS821" s="243"/>
    </row>
    <row r="822" spans="1:71" s="12" customFormat="1" ht="41.25" customHeight="1">
      <c r="A822" s="178" t="s">
        <v>80</v>
      </c>
      <c r="B822" s="178" t="str">
        <f ca="1">+UPPER(Tabla1321124[[#This Row],[DESCRIPCIÓN DE LA COMPRA O CONTRATACIÓN]])</f>
        <v>TUBO DE 3/4</v>
      </c>
      <c r="C822" s="39" t="s">
        <v>17</v>
      </c>
      <c r="D822" s="352">
        <f>10+20</f>
        <v>30</v>
      </c>
      <c r="E822" s="352">
        <f>10+20</f>
        <v>30</v>
      </c>
      <c r="F822" s="352">
        <f>10+20</f>
        <v>30</v>
      </c>
      <c r="G822" s="352">
        <f>10+20</f>
        <v>30</v>
      </c>
      <c r="H822" s="240">
        <f>SUM(Tabla1321124[[#This Row],[PRIMER TRIMESTRE]:[CUARTO TRIMESTRE]])</f>
        <v>120</v>
      </c>
      <c r="I822" s="17">
        <v>1200</v>
      </c>
      <c r="J822" s="17">
        <f>+Tabla1321124[[#This Row],[CANTIDAD TOTAL]]*Tabla1321124[[#This Row],[PRECIO UNITARIO ESTIMADO]]</f>
        <v>144000</v>
      </c>
      <c r="K822" s="302"/>
      <c r="L822" s="16" t="s">
        <v>18</v>
      </c>
      <c r="M822" s="16" t="s">
        <v>22</v>
      </c>
      <c r="N822" s="16"/>
      <c r="O822" s="243"/>
      <c r="P822" s="243"/>
      <c r="Q822" s="243"/>
      <c r="R822" s="243"/>
      <c r="S822" s="243"/>
      <c r="T822" s="243"/>
      <c r="U822" s="243"/>
      <c r="V822" s="243"/>
      <c r="W822" s="243"/>
      <c r="X822" s="243"/>
      <c r="Y822" s="243"/>
      <c r="Z822" s="243"/>
      <c r="AA822" s="243"/>
      <c r="AB822" s="243"/>
      <c r="AC822" s="243"/>
      <c r="AD822" s="243"/>
      <c r="AE822" s="243"/>
      <c r="AF822" s="243"/>
      <c r="AG822" s="243"/>
      <c r="AH822" s="243"/>
      <c r="AI822" s="243"/>
      <c r="AJ822" s="243"/>
      <c r="AK822" s="243"/>
      <c r="AL822" s="243"/>
      <c r="AM822" s="243"/>
      <c r="AN822" s="243"/>
      <c r="AO822" s="243"/>
      <c r="AP822" s="243"/>
      <c r="AQ822" s="243"/>
      <c r="AR822" s="243"/>
      <c r="AS822" s="243"/>
      <c r="AT822" s="243"/>
      <c r="AU822" s="243"/>
      <c r="AV822" s="243"/>
      <c r="AW822" s="243"/>
      <c r="AX822" s="243"/>
      <c r="AY822" s="243"/>
      <c r="AZ822" s="243"/>
      <c r="BA822" s="243"/>
      <c r="BB822" s="243"/>
      <c r="BC822" s="243"/>
      <c r="BD822" s="243"/>
      <c r="BE822" s="243"/>
      <c r="BF822" s="243"/>
      <c r="BG822" s="243"/>
      <c r="BH822" s="243"/>
      <c r="BI822" s="243"/>
      <c r="BJ822" s="243"/>
      <c r="BK822" s="243"/>
      <c r="BL822" s="243"/>
      <c r="BM822" s="243"/>
      <c r="BN822" s="243"/>
      <c r="BO822" s="243"/>
      <c r="BP822" s="243"/>
      <c r="BQ822" s="243"/>
      <c r="BR822" s="243"/>
      <c r="BS822" s="243"/>
    </row>
    <row r="823" spans="1:71" s="12" customFormat="1" ht="41.25" customHeight="1">
      <c r="A823" s="178" t="s">
        <v>80</v>
      </c>
      <c r="B823" s="178" t="str">
        <f ca="1">+UPPER(Tabla1321124[[#This Row],[DESCRIPCIÓN DE LA COMPRA O CONTRATACIÓN]])</f>
        <v xml:space="preserve">TAPONES DE 1/2 </v>
      </c>
      <c r="C823" s="39" t="s">
        <v>17</v>
      </c>
      <c r="D823" s="352">
        <v>50</v>
      </c>
      <c r="E823" s="352">
        <v>50</v>
      </c>
      <c r="F823" s="352">
        <v>50</v>
      </c>
      <c r="G823" s="352">
        <v>50</v>
      </c>
      <c r="H823" s="240">
        <f>SUM(Tabla1321124[[#This Row],[PRIMER TRIMESTRE]:[CUARTO TRIMESTRE]])</f>
        <v>200</v>
      </c>
      <c r="I823" s="17">
        <v>4.57</v>
      </c>
      <c r="J823" s="17">
        <f>+Tabla1321124[[#This Row],[CANTIDAD TOTAL]]*Tabla1321124[[#This Row],[PRECIO UNITARIO ESTIMADO]]</f>
        <v>914</v>
      </c>
      <c r="K823" s="17"/>
      <c r="L823" s="16" t="s">
        <v>18</v>
      </c>
      <c r="M823" s="16" t="s">
        <v>22</v>
      </c>
      <c r="N823" s="16"/>
      <c r="O823" s="243"/>
      <c r="P823" s="243"/>
      <c r="Q823" s="243"/>
      <c r="R823" s="243"/>
      <c r="S823" s="243"/>
      <c r="T823" s="243"/>
      <c r="U823" s="243"/>
      <c r="V823" s="243"/>
      <c r="W823" s="243"/>
      <c r="X823" s="243"/>
      <c r="Y823" s="243"/>
      <c r="Z823" s="243"/>
      <c r="AA823" s="243"/>
      <c r="AB823" s="243"/>
      <c r="AC823" s="243"/>
      <c r="AD823" s="243"/>
      <c r="AE823" s="243"/>
      <c r="AF823" s="243"/>
      <c r="AG823" s="243"/>
      <c r="AH823" s="243"/>
      <c r="AI823" s="243"/>
      <c r="AJ823" s="243"/>
      <c r="AK823" s="243"/>
      <c r="AL823" s="243"/>
      <c r="AM823" s="243"/>
      <c r="AN823" s="243"/>
      <c r="AO823" s="243"/>
      <c r="AP823" s="243"/>
      <c r="AQ823" s="243"/>
      <c r="AR823" s="243"/>
      <c r="AS823" s="243"/>
      <c r="AT823" s="243"/>
      <c r="AU823" s="243"/>
      <c r="AV823" s="243"/>
      <c r="AW823" s="243"/>
      <c r="AX823" s="243"/>
      <c r="AY823" s="243"/>
      <c r="AZ823" s="243"/>
      <c r="BA823" s="243"/>
      <c r="BB823" s="243"/>
      <c r="BC823" s="243"/>
      <c r="BD823" s="243"/>
      <c r="BE823" s="243"/>
      <c r="BF823" s="243"/>
      <c r="BG823" s="243"/>
      <c r="BH823" s="243"/>
      <c r="BI823" s="243"/>
      <c r="BJ823" s="243"/>
      <c r="BK823" s="243"/>
      <c r="BL823" s="243"/>
      <c r="BM823" s="243"/>
      <c r="BN823" s="243"/>
      <c r="BO823" s="243"/>
      <c r="BP823" s="243"/>
      <c r="BQ823" s="243"/>
      <c r="BR823" s="243"/>
      <c r="BS823" s="243"/>
    </row>
    <row r="824" spans="1:71" s="12" customFormat="1" ht="41.25" customHeight="1">
      <c r="A824" s="178" t="s">
        <v>80</v>
      </c>
      <c r="B824" s="178" t="str">
        <f ca="1">+UPPER(Tabla1321124[[#This Row],[DESCRIPCIÓN DE LA COMPRA O CONTRATACIÓN]])</f>
        <v>INTERRUPTOR DOBLE DE 110V</v>
      </c>
      <c r="C824" s="39" t="s">
        <v>17</v>
      </c>
      <c r="D824" s="352">
        <f>10+30</f>
        <v>40</v>
      </c>
      <c r="E824" s="352">
        <f>10+20</f>
        <v>30</v>
      </c>
      <c r="F824" s="352">
        <f>10+20</f>
        <v>30</v>
      </c>
      <c r="G824" s="352">
        <f>10+20</f>
        <v>30</v>
      </c>
      <c r="H824" s="240">
        <f>SUM(Tabla1321124[[#This Row],[PRIMER TRIMESTRE]:[CUARTO TRIMESTRE]])</f>
        <v>130</v>
      </c>
      <c r="I824" s="17">
        <v>85.92</v>
      </c>
      <c r="J824" s="17">
        <f>+Tabla1321124[[#This Row],[CANTIDAD TOTAL]]*Tabla1321124[[#This Row],[PRECIO UNITARIO ESTIMADO]]</f>
        <v>11169.6</v>
      </c>
      <c r="K824" s="17"/>
      <c r="L824" s="16" t="s">
        <v>18</v>
      </c>
      <c r="M824" s="16" t="s">
        <v>22</v>
      </c>
      <c r="N824" s="16"/>
      <c r="O824" s="243"/>
      <c r="P824" s="243"/>
      <c r="Q824" s="243"/>
      <c r="R824" s="243"/>
      <c r="S824" s="243"/>
      <c r="T824" s="243"/>
      <c r="U824" s="243"/>
      <c r="V824" s="243"/>
      <c r="W824" s="243"/>
      <c r="X824" s="243"/>
      <c r="Y824" s="243"/>
      <c r="Z824" s="243"/>
      <c r="AA824" s="243"/>
      <c r="AB824" s="243"/>
      <c r="AC824" s="243"/>
      <c r="AD824" s="243"/>
      <c r="AE824" s="243"/>
      <c r="AF824" s="243"/>
      <c r="AG824" s="243"/>
      <c r="AH824" s="243"/>
      <c r="AI824" s="243"/>
      <c r="AJ824" s="243"/>
      <c r="AK824" s="243"/>
      <c r="AL824" s="243"/>
      <c r="AM824" s="243"/>
      <c r="AN824" s="243"/>
      <c r="AO824" s="243"/>
      <c r="AP824" s="243"/>
      <c r="AQ824" s="243"/>
      <c r="AR824" s="243"/>
      <c r="AS824" s="243"/>
      <c r="AT824" s="243"/>
      <c r="AU824" s="243"/>
      <c r="AV824" s="243"/>
      <c r="AW824" s="243"/>
      <c r="AX824" s="243"/>
      <c r="AY824" s="243"/>
      <c r="AZ824" s="243"/>
      <c r="BA824" s="243"/>
      <c r="BB824" s="243"/>
      <c r="BC824" s="243"/>
      <c r="BD824" s="243"/>
      <c r="BE824" s="243"/>
      <c r="BF824" s="243"/>
      <c r="BG824" s="243"/>
      <c r="BH824" s="243"/>
      <c r="BI824" s="243"/>
      <c r="BJ824" s="243"/>
      <c r="BK824" s="243"/>
      <c r="BL824" s="243"/>
      <c r="BM824" s="243"/>
      <c r="BN824" s="243"/>
      <c r="BO824" s="243"/>
      <c r="BP824" s="243"/>
      <c r="BQ824" s="243"/>
      <c r="BR824" s="243"/>
      <c r="BS824" s="243"/>
    </row>
    <row r="825" spans="1:71" s="12" customFormat="1" ht="41.25" customHeight="1">
      <c r="A825" s="178" t="s">
        <v>80</v>
      </c>
      <c r="B825" s="178" t="str">
        <f ca="1">+UPPER(Tabla1321124[[#This Row],[DESCRIPCIÓN DE LA COMPRA O CONTRATACIÓN]])</f>
        <v xml:space="preserve">TOMACORRIENTE DE 110V </v>
      </c>
      <c r="C825" s="39" t="s">
        <v>17</v>
      </c>
      <c r="D825" s="352">
        <f>10+30</f>
        <v>40</v>
      </c>
      <c r="E825" s="352">
        <f>10+25</f>
        <v>35</v>
      </c>
      <c r="F825" s="352">
        <f>10+30</f>
        <v>40</v>
      </c>
      <c r="G825" s="352">
        <f>10+25</f>
        <v>35</v>
      </c>
      <c r="H825" s="240">
        <f>SUM(Tabla1321124[[#This Row],[PRIMER TRIMESTRE]:[CUARTO TRIMESTRE]])</f>
        <v>150</v>
      </c>
      <c r="I825" s="17">
        <v>26.5</v>
      </c>
      <c r="J825" s="17">
        <f>+Tabla1321124[[#This Row],[CANTIDAD TOTAL]]*Tabla1321124[[#This Row],[PRECIO UNITARIO ESTIMADO]]</f>
        <v>3975</v>
      </c>
      <c r="K825" s="17"/>
      <c r="L825" s="16" t="s">
        <v>18</v>
      </c>
      <c r="M825" s="16" t="s">
        <v>22</v>
      </c>
      <c r="N825" s="16"/>
      <c r="O825" s="243"/>
      <c r="P825" s="243"/>
      <c r="Q825" s="243"/>
      <c r="R825" s="243"/>
      <c r="S825" s="243"/>
      <c r="T825" s="243"/>
      <c r="U825" s="243"/>
      <c r="V825" s="243"/>
      <c r="W825" s="243"/>
      <c r="X825" s="243"/>
      <c r="Y825" s="243"/>
      <c r="Z825" s="243"/>
      <c r="AA825" s="243"/>
      <c r="AB825" s="243"/>
      <c r="AC825" s="243"/>
      <c r="AD825" s="243"/>
      <c r="AE825" s="243"/>
      <c r="AF825" s="243"/>
      <c r="AG825" s="243"/>
      <c r="AH825" s="243"/>
      <c r="AI825" s="243"/>
      <c r="AJ825" s="243"/>
      <c r="AK825" s="243"/>
      <c r="AL825" s="243"/>
      <c r="AM825" s="243"/>
      <c r="AN825" s="243"/>
      <c r="AO825" s="243"/>
      <c r="AP825" s="243"/>
      <c r="AQ825" s="243"/>
      <c r="AR825" s="243"/>
      <c r="AS825" s="243"/>
      <c r="AT825" s="243"/>
      <c r="AU825" s="243"/>
      <c r="AV825" s="243"/>
      <c r="AW825" s="243"/>
      <c r="AX825" s="243"/>
      <c r="AY825" s="243"/>
      <c r="AZ825" s="243"/>
      <c r="BA825" s="243"/>
      <c r="BB825" s="243"/>
      <c r="BC825" s="243"/>
      <c r="BD825" s="243"/>
      <c r="BE825" s="243"/>
      <c r="BF825" s="243"/>
      <c r="BG825" s="243"/>
      <c r="BH825" s="243"/>
      <c r="BI825" s="243"/>
      <c r="BJ825" s="243"/>
      <c r="BK825" s="243"/>
      <c r="BL825" s="243"/>
      <c r="BM825" s="243"/>
      <c r="BN825" s="243"/>
      <c r="BO825" s="243"/>
      <c r="BP825" s="243"/>
      <c r="BQ825" s="243"/>
      <c r="BR825" s="243"/>
      <c r="BS825" s="243"/>
    </row>
    <row r="826" spans="1:71" s="12" customFormat="1" ht="41.25" customHeight="1">
      <c r="A826" s="178" t="s">
        <v>80</v>
      </c>
      <c r="B826" s="178" t="str">
        <f ca="1">+UPPER(Tabla1321124[[#This Row],[DESCRIPCIÓN DE LA COMPRA O CONTRATACIÓN]])</f>
        <v>TAPONES DE 3/4</v>
      </c>
      <c r="C826" s="39" t="s">
        <v>17</v>
      </c>
      <c r="D826" s="352">
        <f>10+75</f>
        <v>85</v>
      </c>
      <c r="E826" s="352">
        <f>10+25</f>
        <v>35</v>
      </c>
      <c r="F826" s="352">
        <f>10+75</f>
        <v>85</v>
      </c>
      <c r="G826" s="352">
        <f>10+25</f>
        <v>35</v>
      </c>
      <c r="H826" s="240">
        <f>SUM(Tabla1321124[[#This Row],[PRIMER TRIMESTRE]:[CUARTO TRIMESTRE]])</f>
        <v>240</v>
      </c>
      <c r="I826" s="17">
        <v>6.07</v>
      </c>
      <c r="J826" s="17">
        <f>+Tabla1321124[[#This Row],[CANTIDAD TOTAL]]*Tabla1321124[[#This Row],[PRECIO UNITARIO ESTIMADO]]</f>
        <v>1456.8000000000002</v>
      </c>
      <c r="K826" s="17"/>
      <c r="L826" s="16" t="s">
        <v>18</v>
      </c>
      <c r="M826" s="16" t="s">
        <v>22</v>
      </c>
      <c r="N826" s="16"/>
      <c r="O826" s="243"/>
      <c r="P826" s="243"/>
      <c r="Q826" s="243"/>
      <c r="R826" s="243"/>
      <c r="S826" s="243"/>
      <c r="T826" s="243"/>
      <c r="U826" s="243"/>
      <c r="V826" s="243"/>
      <c r="W826" s="243"/>
      <c r="X826" s="243"/>
      <c r="Y826" s="243"/>
      <c r="Z826" s="243"/>
      <c r="AA826" s="243"/>
      <c r="AB826" s="243"/>
      <c r="AC826" s="243"/>
      <c r="AD826" s="243"/>
      <c r="AE826" s="243"/>
      <c r="AF826" s="243"/>
      <c r="AG826" s="243"/>
      <c r="AH826" s="243"/>
      <c r="AI826" s="243"/>
      <c r="AJ826" s="243"/>
      <c r="AK826" s="243"/>
      <c r="AL826" s="243"/>
      <c r="AM826" s="243"/>
      <c r="AN826" s="243"/>
      <c r="AO826" s="243"/>
      <c r="AP826" s="243"/>
      <c r="AQ826" s="243"/>
      <c r="AR826" s="243"/>
      <c r="AS826" s="243"/>
      <c r="AT826" s="243"/>
      <c r="AU826" s="243"/>
      <c r="AV826" s="243"/>
      <c r="AW826" s="243"/>
      <c r="AX826" s="243"/>
      <c r="AY826" s="243"/>
      <c r="AZ826" s="243"/>
      <c r="BA826" s="243"/>
      <c r="BB826" s="243"/>
      <c r="BC826" s="243"/>
      <c r="BD826" s="243"/>
      <c r="BE826" s="243"/>
      <c r="BF826" s="243"/>
      <c r="BG826" s="243"/>
      <c r="BH826" s="243"/>
      <c r="BI826" s="243"/>
      <c r="BJ826" s="243"/>
      <c r="BK826" s="243"/>
      <c r="BL826" s="243"/>
      <c r="BM826" s="243"/>
      <c r="BN826" s="243"/>
      <c r="BO826" s="243"/>
      <c r="BP826" s="243"/>
      <c r="BQ826" s="243"/>
      <c r="BR826" s="243"/>
      <c r="BS826" s="243"/>
    </row>
    <row r="827" spans="1:71" s="12" customFormat="1" ht="41.25" customHeight="1">
      <c r="A827" s="178" t="s">
        <v>80</v>
      </c>
      <c r="B827" s="178" t="str">
        <f ca="1">+UPPER(Tabla1321124[[#This Row],[DESCRIPCIÓN DE LA COMPRA O CONTRATACIÓN]])</f>
        <v xml:space="preserve">UNIONES PVC PRESION Ø1/2" </v>
      </c>
      <c r="C827" s="39" t="s">
        <v>17</v>
      </c>
      <c r="D827" s="352">
        <f>10+50</f>
        <v>60</v>
      </c>
      <c r="E827" s="352">
        <f>10+25</f>
        <v>35</v>
      </c>
      <c r="F827" s="352">
        <f>10+50</f>
        <v>60</v>
      </c>
      <c r="G827" s="352">
        <f>10+25</f>
        <v>35</v>
      </c>
      <c r="H827" s="240">
        <f>SUM(Tabla1321124[[#This Row],[PRIMER TRIMESTRE]:[CUARTO TRIMESTRE]])</f>
        <v>190</v>
      </c>
      <c r="I827" s="17">
        <v>4.1100000000000003</v>
      </c>
      <c r="J827" s="17">
        <f>+Tabla1321124[[#This Row],[CANTIDAD TOTAL]]*Tabla1321124[[#This Row],[PRECIO UNITARIO ESTIMADO]]</f>
        <v>780.90000000000009</v>
      </c>
      <c r="K827" s="17"/>
      <c r="L827" s="16" t="s">
        <v>18</v>
      </c>
      <c r="M827" s="16" t="s">
        <v>22</v>
      </c>
      <c r="N827" s="16"/>
      <c r="O827" s="243"/>
      <c r="P827" s="243"/>
      <c r="Q827" s="243"/>
      <c r="R827" s="243"/>
      <c r="S827" s="243"/>
      <c r="T827" s="243"/>
      <c r="U827" s="243"/>
      <c r="V827" s="243"/>
      <c r="W827" s="243"/>
      <c r="X827" s="243"/>
      <c r="Y827" s="243"/>
      <c r="Z827" s="243"/>
      <c r="AA827" s="243"/>
      <c r="AB827" s="243"/>
      <c r="AC827" s="243"/>
      <c r="AD827" s="243"/>
      <c r="AE827" s="243"/>
      <c r="AF827" s="243"/>
      <c r="AG827" s="243"/>
      <c r="AH827" s="243"/>
      <c r="AI827" s="243"/>
      <c r="AJ827" s="243"/>
      <c r="AK827" s="243"/>
      <c r="AL827" s="243"/>
      <c r="AM827" s="243"/>
      <c r="AN827" s="243"/>
      <c r="AO827" s="243"/>
      <c r="AP827" s="243"/>
      <c r="AQ827" s="243"/>
      <c r="AR827" s="243"/>
      <c r="AS827" s="243"/>
      <c r="AT827" s="243"/>
      <c r="AU827" s="243"/>
      <c r="AV827" s="243"/>
      <c r="AW827" s="243"/>
      <c r="AX827" s="243"/>
      <c r="AY827" s="243"/>
      <c r="AZ827" s="243"/>
      <c r="BA827" s="243"/>
      <c r="BB827" s="243"/>
      <c r="BC827" s="243"/>
      <c r="BD827" s="243"/>
      <c r="BE827" s="243"/>
      <c r="BF827" s="243"/>
      <c r="BG827" s="243"/>
      <c r="BH827" s="243"/>
      <c r="BI827" s="243"/>
      <c r="BJ827" s="243"/>
      <c r="BK827" s="243"/>
      <c r="BL827" s="243"/>
      <c r="BM827" s="243"/>
      <c r="BN827" s="243"/>
      <c r="BO827" s="243"/>
      <c r="BP827" s="243"/>
      <c r="BQ827" s="243"/>
      <c r="BR827" s="243"/>
      <c r="BS827" s="243"/>
    </row>
    <row r="828" spans="1:71" s="12" customFormat="1" ht="41.25" customHeight="1">
      <c r="A828" s="178" t="s">
        <v>80</v>
      </c>
      <c r="B828" s="178" t="str">
        <f ca="1">+UPPER(Tabla1321124[[#This Row],[DESCRIPCIÓN DE LA COMPRA O CONTRATACIÓN]])</f>
        <v xml:space="preserve">UNIONES PVC PRESION Ø3/4" </v>
      </c>
      <c r="C828" s="39" t="s">
        <v>17</v>
      </c>
      <c r="D828" s="352">
        <f>5+50</f>
        <v>55</v>
      </c>
      <c r="E828" s="352">
        <f>5+25</f>
        <v>30</v>
      </c>
      <c r="F828" s="352">
        <f>5+50</f>
        <v>55</v>
      </c>
      <c r="G828" s="352">
        <f>5+25</f>
        <v>30</v>
      </c>
      <c r="H828" s="240">
        <f>SUM(Tabla1321124[[#This Row],[PRIMER TRIMESTRE]:[CUARTO TRIMESTRE]])</f>
        <v>170</v>
      </c>
      <c r="I828" s="17">
        <v>5.25</v>
      </c>
      <c r="J828" s="17">
        <f>+Tabla1321124[[#This Row],[CANTIDAD TOTAL]]*Tabla1321124[[#This Row],[PRECIO UNITARIO ESTIMADO]]</f>
        <v>892.5</v>
      </c>
      <c r="K828" s="17"/>
      <c r="L828" s="16" t="s">
        <v>18</v>
      </c>
      <c r="M828" s="16" t="s">
        <v>22</v>
      </c>
      <c r="N828" s="16"/>
      <c r="O828" s="243"/>
      <c r="P828" s="243"/>
      <c r="Q828" s="243"/>
      <c r="R828" s="243"/>
      <c r="S828" s="243"/>
      <c r="T828" s="243"/>
      <c r="U828" s="243"/>
      <c r="V828" s="243"/>
      <c r="W828" s="243"/>
      <c r="X828" s="243"/>
      <c r="Y828" s="243"/>
      <c r="Z828" s="243"/>
      <c r="AA828" s="243"/>
      <c r="AB828" s="243"/>
      <c r="AC828" s="243"/>
      <c r="AD828" s="243"/>
      <c r="AE828" s="243"/>
      <c r="AF828" s="243"/>
      <c r="AG828" s="243"/>
      <c r="AH828" s="243"/>
      <c r="AI828" s="243"/>
      <c r="AJ828" s="243"/>
      <c r="AK828" s="243"/>
      <c r="AL828" s="243"/>
      <c r="AM828" s="243"/>
      <c r="AN828" s="243"/>
      <c r="AO828" s="243"/>
      <c r="AP828" s="243"/>
      <c r="AQ828" s="243"/>
      <c r="AR828" s="243"/>
      <c r="AS828" s="243"/>
      <c r="AT828" s="243"/>
      <c r="AU828" s="243"/>
      <c r="AV828" s="243"/>
      <c r="AW828" s="243"/>
      <c r="AX828" s="243"/>
      <c r="AY828" s="243"/>
      <c r="AZ828" s="243"/>
      <c r="BA828" s="243"/>
      <c r="BB828" s="243"/>
      <c r="BC828" s="243"/>
      <c r="BD828" s="243"/>
      <c r="BE828" s="243"/>
      <c r="BF828" s="243"/>
      <c r="BG828" s="243"/>
      <c r="BH828" s="243"/>
      <c r="BI828" s="243"/>
      <c r="BJ828" s="243"/>
      <c r="BK828" s="243"/>
      <c r="BL828" s="243"/>
      <c r="BM828" s="243"/>
      <c r="BN828" s="243"/>
      <c r="BO828" s="243"/>
      <c r="BP828" s="243"/>
      <c r="BQ828" s="243"/>
      <c r="BR828" s="243"/>
      <c r="BS828" s="243"/>
    </row>
    <row r="829" spans="1:71" s="12" customFormat="1" ht="41.25" customHeight="1">
      <c r="A829" s="178" t="s">
        <v>80</v>
      </c>
      <c r="B829" s="178" t="str">
        <f ca="1">+UPPER(Tabla1321124[[#This Row],[DESCRIPCIÓN DE LA COMPRA O CONTRATACIÓN]])</f>
        <v xml:space="preserve">UNIONES PVC PRESION Ø2" </v>
      </c>
      <c r="C829" s="39" t="s">
        <v>17</v>
      </c>
      <c r="D829" s="236">
        <f>15+14</f>
        <v>29</v>
      </c>
      <c r="E829" s="236">
        <f>15+13</f>
        <v>28</v>
      </c>
      <c r="F829" s="236">
        <f>15+13</f>
        <v>28</v>
      </c>
      <c r="G829" s="236">
        <f>10+13</f>
        <v>23</v>
      </c>
      <c r="H829" s="240">
        <f>SUM(Tabla1321124[[#This Row],[PRIMER TRIMESTRE]:[CUARTO TRIMESTRE]])</f>
        <v>108</v>
      </c>
      <c r="I829" s="17">
        <v>15</v>
      </c>
      <c r="J829" s="17">
        <f>+Tabla1321124[[#This Row],[CANTIDAD TOTAL]]*Tabla1321124[[#This Row],[PRECIO UNITARIO ESTIMADO]]</f>
        <v>1620</v>
      </c>
      <c r="K829" s="17"/>
      <c r="L829" s="16" t="s">
        <v>18</v>
      </c>
      <c r="M829" s="16" t="s">
        <v>22</v>
      </c>
      <c r="N829" s="16"/>
      <c r="O829" s="243"/>
      <c r="P829" s="243"/>
      <c r="Q829" s="243"/>
      <c r="R829" s="243"/>
      <c r="S829" s="243"/>
      <c r="T829" s="243"/>
      <c r="U829" s="243"/>
      <c r="V829" s="243"/>
      <c r="W829" s="243"/>
      <c r="X829" s="243"/>
      <c r="Y829" s="243"/>
      <c r="Z829" s="243"/>
      <c r="AA829" s="243"/>
      <c r="AB829" s="243"/>
      <c r="AC829" s="243"/>
      <c r="AD829" s="243"/>
      <c r="AE829" s="243"/>
      <c r="AF829" s="243"/>
      <c r="AG829" s="243"/>
      <c r="AH829" s="243"/>
      <c r="AI829" s="243"/>
      <c r="AJ829" s="243"/>
      <c r="AK829" s="243"/>
      <c r="AL829" s="243"/>
      <c r="AM829" s="243"/>
      <c r="AN829" s="243"/>
      <c r="AO829" s="243"/>
      <c r="AP829" s="243"/>
      <c r="AQ829" s="243"/>
      <c r="AR829" s="243"/>
      <c r="AS829" s="243"/>
      <c r="AT829" s="243"/>
      <c r="AU829" s="243"/>
      <c r="AV829" s="243"/>
      <c r="AW829" s="243"/>
      <c r="AX829" s="243"/>
      <c r="AY829" s="243"/>
      <c r="AZ829" s="243"/>
      <c r="BA829" s="243"/>
      <c r="BB829" s="243"/>
      <c r="BC829" s="243"/>
      <c r="BD829" s="243"/>
      <c r="BE829" s="243"/>
      <c r="BF829" s="243"/>
      <c r="BG829" s="243"/>
      <c r="BH829" s="243"/>
      <c r="BI829" s="243"/>
      <c r="BJ829" s="243"/>
      <c r="BK829" s="243"/>
      <c r="BL829" s="243"/>
      <c r="BM829" s="243"/>
      <c r="BN829" s="243"/>
      <c r="BO829" s="243"/>
      <c r="BP829" s="243"/>
      <c r="BQ829" s="243"/>
      <c r="BR829" s="243"/>
      <c r="BS829" s="243"/>
    </row>
    <row r="830" spans="1:71" s="12" customFormat="1" ht="41.25" customHeight="1">
      <c r="A830" s="178" t="s">
        <v>80</v>
      </c>
      <c r="B830" s="178" t="str">
        <f ca="1">+UPPER(Tabla1321124[[#This Row],[DESCRIPCIÓN DE LA COMPRA O CONTRATACIÓN]])</f>
        <v>UNIONES PVC PRESION Ø3"</v>
      </c>
      <c r="C830" s="39" t="s">
        <v>17</v>
      </c>
      <c r="D830" s="352">
        <v>2</v>
      </c>
      <c r="E830" s="352">
        <v>2</v>
      </c>
      <c r="F830" s="352">
        <v>2</v>
      </c>
      <c r="G830" s="352">
        <v>2</v>
      </c>
      <c r="H830" s="240">
        <f>SUM(Tabla1321124[[#This Row],[PRIMER TRIMESTRE]:[CUARTO TRIMESTRE]])</f>
        <v>8</v>
      </c>
      <c r="I830" s="17">
        <v>71.39</v>
      </c>
      <c r="J830" s="17">
        <f>+Tabla1321124[[#This Row],[CANTIDAD TOTAL]]*Tabla1321124[[#This Row],[PRECIO UNITARIO ESTIMADO]]</f>
        <v>571.12</v>
      </c>
      <c r="K830" s="345"/>
      <c r="L830" s="16" t="s">
        <v>18</v>
      </c>
      <c r="M830" s="16" t="s">
        <v>22</v>
      </c>
      <c r="N830" s="16"/>
      <c r="O830" s="243"/>
      <c r="P830" s="243"/>
      <c r="Q830" s="243"/>
      <c r="R830" s="243"/>
      <c r="S830" s="243"/>
      <c r="T830" s="243"/>
      <c r="U830" s="243"/>
      <c r="V830" s="243"/>
      <c r="W830" s="243"/>
      <c r="X830" s="243"/>
      <c r="Y830" s="243"/>
      <c r="Z830" s="243"/>
      <c r="AA830" s="243"/>
      <c r="AB830" s="243"/>
      <c r="AC830" s="243"/>
      <c r="AD830" s="243"/>
      <c r="AE830" s="243"/>
      <c r="AF830" s="243"/>
      <c r="AG830" s="243"/>
      <c r="AH830" s="243"/>
      <c r="AI830" s="243"/>
      <c r="AJ830" s="243"/>
      <c r="AK830" s="243"/>
      <c r="AL830" s="243"/>
      <c r="AM830" s="243"/>
      <c r="AN830" s="243"/>
      <c r="AO830" s="243"/>
      <c r="AP830" s="243"/>
      <c r="AQ830" s="243"/>
      <c r="AR830" s="243"/>
      <c r="AS830" s="243"/>
      <c r="AT830" s="243"/>
      <c r="AU830" s="243"/>
      <c r="AV830" s="243"/>
      <c r="AW830" s="243"/>
      <c r="AX830" s="243"/>
      <c r="AY830" s="243"/>
      <c r="AZ830" s="243"/>
      <c r="BA830" s="243"/>
      <c r="BB830" s="243"/>
      <c r="BC830" s="243"/>
      <c r="BD830" s="243"/>
      <c r="BE830" s="243"/>
      <c r="BF830" s="243"/>
      <c r="BG830" s="243"/>
      <c r="BH830" s="243"/>
      <c r="BI830" s="243"/>
      <c r="BJ830" s="243"/>
      <c r="BK830" s="243"/>
      <c r="BL830" s="243"/>
      <c r="BM830" s="243"/>
      <c r="BN830" s="243"/>
      <c r="BO830" s="243"/>
      <c r="BP830" s="243"/>
      <c r="BQ830" s="243"/>
      <c r="BR830" s="243"/>
      <c r="BS830" s="243"/>
    </row>
    <row r="831" spans="1:71" s="12" customFormat="1" ht="41.25" customHeight="1">
      <c r="A831" s="178" t="s">
        <v>80</v>
      </c>
      <c r="B831" s="178" t="str">
        <f ca="1">+UPPER(Tabla1321124[[#This Row],[DESCRIPCIÓN DE LA COMPRA O CONTRATACIÓN]])</f>
        <v>UNIONES PVC PRESION Ø4"</v>
      </c>
      <c r="C831" s="39" t="s">
        <v>17</v>
      </c>
      <c r="D831" s="352">
        <v>2</v>
      </c>
      <c r="E831" s="352">
        <v>2</v>
      </c>
      <c r="F831" s="352">
        <v>2</v>
      </c>
      <c r="G831" s="352">
        <v>2</v>
      </c>
      <c r="H831" s="240">
        <f>SUM(Tabla1321124[[#This Row],[PRIMER TRIMESTRE]:[CUARTO TRIMESTRE]])</f>
        <v>8</v>
      </c>
      <c r="I831" s="17">
        <v>101.48</v>
      </c>
      <c r="J831" s="17">
        <f>+Tabla1321124[[#This Row],[CANTIDAD TOTAL]]*Tabla1321124[[#This Row],[PRECIO UNITARIO ESTIMADO]]</f>
        <v>811.84</v>
      </c>
      <c r="K831" s="345"/>
      <c r="L831" s="16" t="s">
        <v>18</v>
      </c>
      <c r="M831" s="16" t="s">
        <v>22</v>
      </c>
      <c r="N831" s="16"/>
      <c r="O831" s="243"/>
      <c r="P831" s="243"/>
      <c r="Q831" s="243"/>
      <c r="R831" s="243"/>
      <c r="S831" s="243"/>
      <c r="T831" s="243"/>
      <c r="U831" s="243"/>
      <c r="V831" s="243"/>
      <c r="W831" s="243"/>
      <c r="X831" s="243"/>
      <c r="Y831" s="243"/>
      <c r="Z831" s="243"/>
      <c r="AA831" s="243"/>
      <c r="AB831" s="243"/>
      <c r="AC831" s="243"/>
      <c r="AD831" s="243"/>
      <c r="AE831" s="243"/>
      <c r="AF831" s="243"/>
      <c r="AG831" s="243"/>
      <c r="AH831" s="243"/>
      <c r="AI831" s="243"/>
      <c r="AJ831" s="243"/>
      <c r="AK831" s="243"/>
      <c r="AL831" s="243"/>
      <c r="AM831" s="243"/>
      <c r="AN831" s="243"/>
      <c r="AO831" s="243"/>
      <c r="AP831" s="243"/>
      <c r="AQ831" s="243"/>
      <c r="AR831" s="243"/>
      <c r="AS831" s="243"/>
      <c r="AT831" s="243"/>
      <c r="AU831" s="243"/>
      <c r="AV831" s="243"/>
      <c r="AW831" s="243"/>
      <c r="AX831" s="243"/>
      <c r="AY831" s="243"/>
      <c r="AZ831" s="243"/>
      <c r="BA831" s="243"/>
      <c r="BB831" s="243"/>
      <c r="BC831" s="243"/>
      <c r="BD831" s="243"/>
      <c r="BE831" s="243"/>
      <c r="BF831" s="243"/>
      <c r="BG831" s="243"/>
      <c r="BH831" s="243"/>
      <c r="BI831" s="243"/>
      <c r="BJ831" s="243"/>
      <c r="BK831" s="243"/>
      <c r="BL831" s="243"/>
      <c r="BM831" s="243"/>
      <c r="BN831" s="243"/>
      <c r="BO831" s="243"/>
      <c r="BP831" s="243"/>
      <c r="BQ831" s="243"/>
      <c r="BR831" s="243"/>
      <c r="BS831" s="243"/>
    </row>
    <row r="832" spans="1:71" s="12" customFormat="1" ht="41.25" customHeight="1">
      <c r="A832" s="178" t="s">
        <v>80</v>
      </c>
      <c r="B832" s="178" t="str">
        <f ca="1">+UPPER(Tabla1321124[[#This Row],[DESCRIPCIÓN DE LA COMPRA O CONTRATACIÓN]])</f>
        <v xml:space="preserve">UNIONES PVC PRESION Ø1" </v>
      </c>
      <c r="C832" s="39" t="s">
        <v>17</v>
      </c>
      <c r="D832" s="236">
        <v>10</v>
      </c>
      <c r="E832" s="236">
        <v>10</v>
      </c>
      <c r="F832" s="236">
        <v>10</v>
      </c>
      <c r="G832" s="236">
        <v>10</v>
      </c>
      <c r="H832" s="240">
        <f>SUM(Tabla1321124[[#This Row],[PRIMER TRIMESTRE]:[CUARTO TRIMESTRE]])</f>
        <v>40</v>
      </c>
      <c r="I832" s="17">
        <v>11</v>
      </c>
      <c r="J832" s="17">
        <f>+Tabla1321124[[#This Row],[CANTIDAD TOTAL]]*Tabla1321124[[#This Row],[PRECIO UNITARIO ESTIMADO]]</f>
        <v>440</v>
      </c>
      <c r="K832" s="17"/>
      <c r="L832" s="16" t="s">
        <v>18</v>
      </c>
      <c r="M832" s="16" t="s">
        <v>22</v>
      </c>
      <c r="N832" s="16"/>
      <c r="O832" s="243"/>
      <c r="P832" s="243"/>
      <c r="Q832" s="243"/>
      <c r="R832" s="243"/>
      <c r="S832" s="243"/>
      <c r="T832" s="243"/>
      <c r="U832" s="243"/>
      <c r="V832" s="243"/>
      <c r="W832" s="243"/>
      <c r="X832" s="243"/>
      <c r="Y832" s="243"/>
      <c r="Z832" s="243"/>
      <c r="AA832" s="243"/>
      <c r="AB832" s="243"/>
      <c r="AC832" s="243"/>
      <c r="AD832" s="243"/>
      <c r="AE832" s="243"/>
      <c r="AF832" s="243"/>
      <c r="AG832" s="243"/>
      <c r="AH832" s="243"/>
      <c r="AI832" s="243"/>
      <c r="AJ832" s="243"/>
      <c r="AK832" s="243"/>
      <c r="AL832" s="243"/>
      <c r="AM832" s="243"/>
      <c r="AN832" s="243"/>
      <c r="AO832" s="243"/>
      <c r="AP832" s="243"/>
      <c r="AQ832" s="243"/>
      <c r="AR832" s="243"/>
      <c r="AS832" s="243"/>
      <c r="AT832" s="243"/>
      <c r="AU832" s="243"/>
      <c r="AV832" s="243"/>
      <c r="AW832" s="243"/>
      <c r="AX832" s="243"/>
      <c r="AY832" s="243"/>
      <c r="AZ832" s="243"/>
      <c r="BA832" s="243"/>
      <c r="BB832" s="243"/>
      <c r="BC832" s="243"/>
      <c r="BD832" s="243"/>
      <c r="BE832" s="243"/>
      <c r="BF832" s="243"/>
      <c r="BG832" s="243"/>
      <c r="BH832" s="243"/>
      <c r="BI832" s="243"/>
      <c r="BJ832" s="243"/>
      <c r="BK832" s="243"/>
      <c r="BL832" s="243"/>
      <c r="BM832" s="243"/>
      <c r="BN832" s="243"/>
      <c r="BO832" s="243"/>
      <c r="BP832" s="243"/>
      <c r="BQ832" s="243"/>
      <c r="BR832" s="243"/>
      <c r="BS832" s="243"/>
    </row>
    <row r="833" spans="1:71" s="12" customFormat="1" ht="41.25" customHeight="1">
      <c r="A833" s="178" t="s">
        <v>80</v>
      </c>
      <c r="B833" s="178" t="str">
        <f ca="1">+UPPER(Tabla1321124[[#This Row],[DESCRIPCIÓN DE LA COMPRA O CONTRATACIÓN]])</f>
        <v>CONDULET</v>
      </c>
      <c r="C833" s="39" t="s">
        <v>17</v>
      </c>
      <c r="D833" s="236">
        <v>25</v>
      </c>
      <c r="E833" s="236">
        <v>25</v>
      </c>
      <c r="F833" s="236">
        <v>25</v>
      </c>
      <c r="G833" s="236">
        <v>25</v>
      </c>
      <c r="H833" s="240">
        <f>SUM(Tabla1321124[[#This Row],[PRIMER TRIMESTRE]:[CUARTO TRIMESTRE]])</f>
        <v>100</v>
      </c>
      <c r="I833" s="17">
        <v>25</v>
      </c>
      <c r="J833" s="17">
        <f>+Tabla1321124[[#This Row],[CANTIDAD TOTAL]]*Tabla1321124[[#This Row],[PRECIO UNITARIO ESTIMADO]]</f>
        <v>2500</v>
      </c>
      <c r="K833" s="302"/>
      <c r="L833" s="16" t="s">
        <v>18</v>
      </c>
      <c r="M833" s="16" t="s">
        <v>22</v>
      </c>
      <c r="N833" s="16"/>
      <c r="O833" s="243"/>
      <c r="P833" s="243"/>
      <c r="Q833" s="243"/>
      <c r="R833" s="243"/>
      <c r="S833" s="243"/>
      <c r="T833" s="243"/>
      <c r="U833" s="243"/>
      <c r="V833" s="243"/>
      <c r="W833" s="243"/>
      <c r="X833" s="243"/>
      <c r="Y833" s="243"/>
      <c r="Z833" s="243"/>
      <c r="AA833" s="243"/>
      <c r="AB833" s="243"/>
      <c r="AC833" s="243"/>
      <c r="AD833" s="243"/>
      <c r="AE833" s="243"/>
      <c r="AF833" s="243"/>
      <c r="AG833" s="243"/>
      <c r="AH833" s="243"/>
      <c r="AI833" s="243"/>
      <c r="AJ833" s="243"/>
      <c r="AK833" s="243"/>
      <c r="AL833" s="243"/>
      <c r="AM833" s="243"/>
      <c r="AN833" s="243"/>
      <c r="AO833" s="243"/>
      <c r="AP833" s="243"/>
      <c r="AQ833" s="243"/>
      <c r="AR833" s="243"/>
      <c r="AS833" s="243"/>
      <c r="AT833" s="243"/>
      <c r="AU833" s="243"/>
      <c r="AV833" s="243"/>
      <c r="AW833" s="243"/>
      <c r="AX833" s="243"/>
      <c r="AY833" s="243"/>
      <c r="AZ833" s="243"/>
      <c r="BA833" s="243"/>
      <c r="BB833" s="243"/>
      <c r="BC833" s="243"/>
      <c r="BD833" s="243"/>
      <c r="BE833" s="243"/>
      <c r="BF833" s="243"/>
      <c r="BG833" s="243"/>
      <c r="BH833" s="243"/>
      <c r="BI833" s="243"/>
      <c r="BJ833" s="243"/>
      <c r="BK833" s="243"/>
      <c r="BL833" s="243"/>
      <c r="BM833" s="243"/>
      <c r="BN833" s="243"/>
      <c r="BO833" s="243"/>
      <c r="BP833" s="243"/>
      <c r="BQ833" s="243"/>
      <c r="BR833" s="243"/>
      <c r="BS833" s="243"/>
    </row>
    <row r="834" spans="1:71" s="12" customFormat="1" ht="41.25" customHeight="1">
      <c r="A834" s="178" t="s">
        <v>80</v>
      </c>
      <c r="B834" s="178" t="str">
        <f ca="1">+UPPER(Tabla1321124[[#This Row],[DESCRIPCIÓN DE LA COMPRA O CONTRATACIÓN]])</f>
        <v>CONDULET  Ø2"</v>
      </c>
      <c r="C834" s="39" t="s">
        <v>17</v>
      </c>
      <c r="D834" s="236">
        <v>19</v>
      </c>
      <c r="E834" s="236">
        <v>3</v>
      </c>
      <c r="F834" s="236">
        <v>18</v>
      </c>
      <c r="G834" s="236">
        <v>3</v>
      </c>
      <c r="H834" s="240">
        <f>SUM(Tabla1321124[[#This Row],[PRIMER TRIMESTRE]:[CUARTO TRIMESTRE]])</f>
        <v>43</v>
      </c>
      <c r="I834" s="17">
        <v>25</v>
      </c>
      <c r="J834" s="17">
        <f>+Tabla1321124[[#This Row],[CANTIDAD TOTAL]]*Tabla1321124[[#This Row],[PRECIO UNITARIO ESTIMADO]]</f>
        <v>1075</v>
      </c>
      <c r="K834" s="175"/>
      <c r="L834" s="16" t="s">
        <v>18</v>
      </c>
      <c r="M834" s="16" t="s">
        <v>22</v>
      </c>
      <c r="N834" s="16"/>
      <c r="O834" s="243"/>
      <c r="P834" s="243"/>
      <c r="Q834" s="243"/>
      <c r="R834" s="243"/>
      <c r="S834" s="243"/>
      <c r="T834" s="243"/>
      <c r="U834" s="243"/>
      <c r="V834" s="243"/>
      <c r="W834" s="243"/>
      <c r="X834" s="243"/>
      <c r="Y834" s="243"/>
      <c r="Z834" s="243"/>
      <c r="AA834" s="243"/>
      <c r="AB834" s="243"/>
      <c r="AC834" s="243"/>
      <c r="AD834" s="243"/>
      <c r="AE834" s="243"/>
      <c r="AF834" s="243"/>
      <c r="AG834" s="243"/>
      <c r="AH834" s="243"/>
      <c r="AI834" s="243"/>
      <c r="AJ834" s="243"/>
      <c r="AK834" s="243"/>
      <c r="AL834" s="243"/>
      <c r="AM834" s="243"/>
      <c r="AN834" s="243"/>
      <c r="AO834" s="243"/>
      <c r="AP834" s="243"/>
      <c r="AQ834" s="243"/>
      <c r="AR834" s="243"/>
      <c r="AS834" s="243"/>
      <c r="AT834" s="243"/>
      <c r="AU834" s="243"/>
      <c r="AV834" s="243"/>
      <c r="AW834" s="243"/>
      <c r="AX834" s="243"/>
      <c r="AY834" s="243"/>
      <c r="AZ834" s="243"/>
      <c r="BA834" s="243"/>
      <c r="BB834" s="243"/>
      <c r="BC834" s="243"/>
      <c r="BD834" s="243"/>
      <c r="BE834" s="243"/>
      <c r="BF834" s="243"/>
      <c r="BG834" s="243"/>
      <c r="BH834" s="243"/>
      <c r="BI834" s="243"/>
      <c r="BJ834" s="243"/>
      <c r="BK834" s="243"/>
      <c r="BL834" s="243"/>
      <c r="BM834" s="243"/>
      <c r="BN834" s="243"/>
      <c r="BO834" s="243"/>
      <c r="BP834" s="243"/>
      <c r="BQ834" s="243"/>
      <c r="BR834" s="243"/>
      <c r="BS834" s="243"/>
    </row>
    <row r="835" spans="1:71" s="12" customFormat="1" ht="41.25" customHeight="1">
      <c r="A835" s="178" t="s">
        <v>80</v>
      </c>
      <c r="B835" s="178" t="str">
        <f ca="1">+UPPER(Tabla1321124[[#This Row],[DESCRIPCIÓN DE LA COMPRA O CONTRATACIÓN]])</f>
        <v>CONDULET  Ø3"</v>
      </c>
      <c r="C835" s="39" t="s">
        <v>17</v>
      </c>
      <c r="D835" s="236">
        <v>4</v>
      </c>
      <c r="E835" s="236">
        <v>3</v>
      </c>
      <c r="F835" s="236">
        <v>3</v>
      </c>
      <c r="G835" s="236">
        <v>3</v>
      </c>
      <c r="H835" s="240">
        <f>SUM(Tabla1321124[[#This Row],[PRIMER TRIMESTRE]:[CUARTO TRIMESTRE]])</f>
        <v>13</v>
      </c>
      <c r="I835" s="17">
        <v>25</v>
      </c>
      <c r="J835" s="17">
        <f>+Tabla1321124[[#This Row],[CANTIDAD TOTAL]]*Tabla1321124[[#This Row],[PRECIO UNITARIO ESTIMADO]]</f>
        <v>325</v>
      </c>
      <c r="K835" s="175"/>
      <c r="L835" s="16" t="s">
        <v>18</v>
      </c>
      <c r="M835" s="16" t="s">
        <v>22</v>
      </c>
      <c r="N835" s="16" t="s">
        <v>418</v>
      </c>
      <c r="O835" s="243"/>
      <c r="P835" s="243"/>
      <c r="Q835" s="243"/>
      <c r="R835" s="243"/>
      <c r="S835" s="243"/>
      <c r="T835" s="243"/>
      <c r="U835" s="243"/>
      <c r="V835" s="243"/>
      <c r="W835" s="243"/>
      <c r="X835" s="243"/>
      <c r="Y835" s="243"/>
      <c r="Z835" s="243"/>
      <c r="AA835" s="243"/>
      <c r="AB835" s="243"/>
      <c r="AC835" s="243"/>
      <c r="AD835" s="243"/>
      <c r="AE835" s="243"/>
      <c r="AF835" s="243"/>
      <c r="AG835" s="243"/>
      <c r="AH835" s="243"/>
      <c r="AI835" s="243"/>
      <c r="AJ835" s="243"/>
      <c r="AK835" s="243"/>
      <c r="AL835" s="243"/>
      <c r="AM835" s="243"/>
      <c r="AN835" s="243"/>
      <c r="AO835" s="243"/>
      <c r="AP835" s="243"/>
      <c r="AQ835" s="243"/>
      <c r="AR835" s="243"/>
      <c r="AS835" s="243"/>
      <c r="AT835" s="243"/>
      <c r="AU835" s="243"/>
      <c r="AV835" s="243"/>
      <c r="AW835" s="243"/>
      <c r="AX835" s="243"/>
      <c r="AY835" s="243"/>
      <c r="AZ835" s="243"/>
      <c r="BA835" s="243"/>
      <c r="BB835" s="243"/>
      <c r="BC835" s="243"/>
      <c r="BD835" s="243"/>
      <c r="BE835" s="243"/>
      <c r="BF835" s="243"/>
      <c r="BG835" s="243"/>
      <c r="BH835" s="243"/>
      <c r="BI835" s="243"/>
      <c r="BJ835" s="243"/>
      <c r="BK835" s="243"/>
      <c r="BL835" s="243"/>
      <c r="BM835" s="243"/>
      <c r="BN835" s="243"/>
      <c r="BO835" s="243"/>
      <c r="BP835" s="243"/>
      <c r="BQ835" s="243"/>
      <c r="BR835" s="243"/>
      <c r="BS835" s="243"/>
    </row>
    <row r="836" spans="1:71" s="12" customFormat="1" ht="41.25" customHeight="1">
      <c r="A836" s="178" t="s">
        <v>80</v>
      </c>
      <c r="B836" s="178" t="str">
        <f ca="1">+UPPER(Tabla1321124[[#This Row],[DESCRIPCIÓN DE LA COMPRA O CONTRATACIÓN]])</f>
        <v>CONDULET Ø4</v>
      </c>
      <c r="C836" s="39" t="s">
        <v>17</v>
      </c>
      <c r="D836" s="236">
        <v>4</v>
      </c>
      <c r="E836" s="236">
        <v>3</v>
      </c>
      <c r="F836" s="236">
        <v>3</v>
      </c>
      <c r="G836" s="236">
        <v>3</v>
      </c>
      <c r="H836" s="240">
        <f>SUM(Tabla1321124[[#This Row],[PRIMER TRIMESTRE]:[CUARTO TRIMESTRE]])</f>
        <v>13</v>
      </c>
      <c r="I836" s="17">
        <v>25</v>
      </c>
      <c r="J836" s="17">
        <f>+Tabla1321124[[#This Row],[CANTIDAD TOTAL]]*Tabla1321124[[#This Row],[PRECIO UNITARIO ESTIMADO]]</f>
        <v>325</v>
      </c>
      <c r="K836" s="175"/>
      <c r="L836" s="16" t="s">
        <v>18</v>
      </c>
      <c r="M836" s="16" t="s">
        <v>22</v>
      </c>
      <c r="N836" s="16" t="s">
        <v>418</v>
      </c>
      <c r="O836" s="243"/>
      <c r="P836" s="243"/>
      <c r="Q836" s="243"/>
      <c r="R836" s="243"/>
      <c r="S836" s="243"/>
      <c r="T836" s="243"/>
      <c r="U836" s="243"/>
      <c r="V836" s="243"/>
      <c r="W836" s="243"/>
      <c r="X836" s="243"/>
      <c r="Y836" s="243"/>
      <c r="Z836" s="243"/>
      <c r="AA836" s="243"/>
      <c r="AB836" s="243"/>
      <c r="AC836" s="243"/>
      <c r="AD836" s="243"/>
      <c r="AE836" s="243"/>
      <c r="AF836" s="243"/>
      <c r="AG836" s="243"/>
      <c r="AH836" s="243"/>
      <c r="AI836" s="243"/>
      <c r="AJ836" s="243"/>
      <c r="AK836" s="243"/>
      <c r="AL836" s="243"/>
      <c r="AM836" s="243"/>
      <c r="AN836" s="243"/>
      <c r="AO836" s="243"/>
      <c r="AP836" s="243"/>
      <c r="AQ836" s="243"/>
      <c r="AR836" s="243"/>
      <c r="AS836" s="243"/>
      <c r="AT836" s="243"/>
      <c r="AU836" s="243"/>
      <c r="AV836" s="243"/>
      <c r="AW836" s="243"/>
      <c r="AX836" s="243"/>
      <c r="AY836" s="243"/>
      <c r="AZ836" s="243"/>
      <c r="BA836" s="243"/>
      <c r="BB836" s="243"/>
      <c r="BC836" s="243"/>
      <c r="BD836" s="243"/>
      <c r="BE836" s="243"/>
      <c r="BF836" s="243"/>
      <c r="BG836" s="243"/>
      <c r="BH836" s="243"/>
      <c r="BI836" s="243"/>
      <c r="BJ836" s="243"/>
      <c r="BK836" s="243"/>
      <c r="BL836" s="243"/>
      <c r="BM836" s="243"/>
      <c r="BN836" s="243"/>
      <c r="BO836" s="243"/>
      <c r="BP836" s="243"/>
      <c r="BQ836" s="243"/>
      <c r="BR836" s="243"/>
      <c r="BS836" s="243"/>
    </row>
    <row r="837" spans="1:71" s="12" customFormat="1" ht="41.25" customHeight="1">
      <c r="A837" s="178" t="s">
        <v>80</v>
      </c>
      <c r="B837" s="178" t="str">
        <f ca="1">+UPPER(Tabla1321124[[#This Row],[DESCRIPCIÓN DE LA COMPRA O CONTRATACIÓN]])</f>
        <v>YEE PVC Ø8" A Ø4", SEMIPRESION</v>
      </c>
      <c r="C837" s="39" t="s">
        <v>17</v>
      </c>
      <c r="D837" s="352">
        <v>94</v>
      </c>
      <c r="E837" s="352">
        <v>94</v>
      </c>
      <c r="F837" s="352">
        <v>94</v>
      </c>
      <c r="G837" s="352">
        <v>93</v>
      </c>
      <c r="H837" s="240">
        <f>SUM(Tabla1321124[[#This Row],[PRIMER TRIMESTRE]:[CUARTO TRIMESTRE]])</f>
        <v>375</v>
      </c>
      <c r="I837" s="17">
        <v>3950</v>
      </c>
      <c r="J837" s="17">
        <f>+Tabla1321124[[#This Row],[CANTIDAD TOTAL]]*Tabla1321124[[#This Row],[PRECIO UNITARIO ESTIMADO]]</f>
        <v>1481250</v>
      </c>
      <c r="K837" s="345"/>
      <c r="L837" s="16" t="s">
        <v>18</v>
      </c>
      <c r="M837" s="16" t="s">
        <v>22</v>
      </c>
      <c r="N837" s="16"/>
      <c r="O837" s="243"/>
      <c r="P837" s="243"/>
      <c r="Q837" s="243"/>
      <c r="R837" s="243"/>
      <c r="S837" s="243"/>
      <c r="T837" s="243"/>
      <c r="U837" s="243"/>
      <c r="V837" s="243"/>
      <c r="W837" s="243"/>
      <c r="X837" s="243"/>
      <c r="Y837" s="243"/>
      <c r="Z837" s="243"/>
      <c r="AA837" s="243"/>
      <c r="AB837" s="243"/>
      <c r="AC837" s="243"/>
      <c r="AD837" s="243"/>
      <c r="AE837" s="243"/>
      <c r="AF837" s="243"/>
      <c r="AG837" s="243"/>
      <c r="AH837" s="243"/>
      <c r="AI837" s="243"/>
      <c r="AJ837" s="243"/>
      <c r="AK837" s="243"/>
      <c r="AL837" s="243"/>
      <c r="AM837" s="243"/>
      <c r="AN837" s="243"/>
      <c r="AO837" s="243"/>
      <c r="AP837" s="243"/>
      <c r="AQ837" s="243"/>
      <c r="AR837" s="243"/>
      <c r="AS837" s="243"/>
      <c r="AT837" s="243"/>
      <c r="AU837" s="243"/>
      <c r="AV837" s="243"/>
      <c r="AW837" s="243"/>
      <c r="AX837" s="243"/>
      <c r="AY837" s="243"/>
      <c r="AZ837" s="243"/>
      <c r="BA837" s="243"/>
      <c r="BB837" s="243"/>
      <c r="BC837" s="243"/>
      <c r="BD837" s="243"/>
      <c r="BE837" s="243"/>
      <c r="BF837" s="243"/>
      <c r="BG837" s="243"/>
      <c r="BH837" s="243"/>
      <c r="BI837" s="243"/>
      <c r="BJ837" s="243"/>
      <c r="BK837" s="243"/>
      <c r="BL837" s="243"/>
      <c r="BM837" s="243"/>
      <c r="BN837" s="243"/>
      <c r="BO837" s="243"/>
      <c r="BP837" s="243"/>
      <c r="BQ837" s="243"/>
      <c r="BR837" s="243"/>
      <c r="BS837" s="243"/>
    </row>
    <row r="838" spans="1:71" s="12" customFormat="1" ht="41.25" customHeight="1">
      <c r="A838" s="178" t="s">
        <v>80</v>
      </c>
      <c r="B838" s="178" t="str">
        <f ca="1">+UPPER(Tabla1321124[[#This Row],[DESCRIPCIÓN DE LA COMPRA O CONTRATACIÓN]])</f>
        <v>YEE PVC Ø8" A Ø6", SEMIPRESION</v>
      </c>
      <c r="C838" s="39" t="s">
        <v>17</v>
      </c>
      <c r="D838" s="352">
        <v>94</v>
      </c>
      <c r="E838" s="352">
        <v>94</v>
      </c>
      <c r="F838" s="352">
        <v>94</v>
      </c>
      <c r="G838" s="352">
        <v>93</v>
      </c>
      <c r="H838" s="240">
        <f>SUM(Tabla1321124[[#This Row],[PRIMER TRIMESTRE]:[CUARTO TRIMESTRE]])</f>
        <v>375</v>
      </c>
      <c r="I838" s="17">
        <v>4800</v>
      </c>
      <c r="J838" s="17">
        <f>+Tabla1321124[[#This Row],[CANTIDAD TOTAL]]*Tabla1321124[[#This Row],[PRECIO UNITARIO ESTIMADO]]</f>
        <v>1800000</v>
      </c>
      <c r="K838" s="345"/>
      <c r="L838" s="16" t="s">
        <v>18</v>
      </c>
      <c r="M838" s="16" t="s">
        <v>22</v>
      </c>
      <c r="N838" s="16"/>
      <c r="O838" s="243"/>
      <c r="P838" s="243"/>
      <c r="Q838" s="243"/>
      <c r="R838" s="243"/>
      <c r="S838" s="243"/>
      <c r="T838" s="243"/>
      <c r="U838" s="243"/>
      <c r="V838" s="243"/>
      <c r="W838" s="243"/>
      <c r="X838" s="243"/>
      <c r="Y838" s="243"/>
      <c r="Z838" s="243"/>
      <c r="AA838" s="243"/>
      <c r="AB838" s="243"/>
      <c r="AC838" s="243"/>
      <c r="AD838" s="243"/>
      <c r="AE838" s="243"/>
      <c r="AF838" s="243"/>
      <c r="AG838" s="243"/>
      <c r="AH838" s="243"/>
      <c r="AI838" s="243"/>
      <c r="AJ838" s="243"/>
      <c r="AK838" s="243"/>
      <c r="AL838" s="243"/>
      <c r="AM838" s="243"/>
      <c r="AN838" s="243"/>
      <c r="AO838" s="243"/>
      <c r="AP838" s="243"/>
      <c r="AQ838" s="243"/>
      <c r="AR838" s="243"/>
      <c r="AS838" s="243"/>
      <c r="AT838" s="243"/>
      <c r="AU838" s="243"/>
      <c r="AV838" s="243"/>
      <c r="AW838" s="243"/>
      <c r="AX838" s="243"/>
      <c r="AY838" s="243"/>
      <c r="AZ838" s="243"/>
      <c r="BA838" s="243"/>
      <c r="BB838" s="243"/>
      <c r="BC838" s="243"/>
      <c r="BD838" s="243"/>
      <c r="BE838" s="243"/>
      <c r="BF838" s="243"/>
      <c r="BG838" s="243"/>
      <c r="BH838" s="243"/>
      <c r="BI838" s="243"/>
      <c r="BJ838" s="243"/>
      <c r="BK838" s="243"/>
      <c r="BL838" s="243"/>
      <c r="BM838" s="243"/>
      <c r="BN838" s="243"/>
      <c r="BO838" s="243"/>
      <c r="BP838" s="243"/>
      <c r="BQ838" s="243"/>
      <c r="BR838" s="243"/>
      <c r="BS838" s="243"/>
    </row>
    <row r="839" spans="1:71" s="12" customFormat="1" ht="41.25" customHeight="1">
      <c r="A839" s="178" t="s">
        <v>80</v>
      </c>
      <c r="B839" s="178" t="str">
        <f ca="1">+UPPER(Tabla1321124[[#This Row],[DESCRIPCIÓN DE LA COMPRA O CONTRATACIÓN]])</f>
        <v>CHECK HORIZONTAL PLATILLADO Ø10'' PLATILLADO CON 16 TORNILLOS Y JUNTA DE GOMA, 600 PSI</v>
      </c>
      <c r="C839" s="39" t="s">
        <v>17</v>
      </c>
      <c r="D839" s="236"/>
      <c r="E839" s="236"/>
      <c r="F839" s="236"/>
      <c r="G839" s="236"/>
      <c r="H839" s="240">
        <f>SUM(Tabla1321124[[#This Row],[PRIMER TRIMESTRE]:[CUARTO TRIMESTRE]])</f>
        <v>0</v>
      </c>
      <c r="I839" s="17">
        <v>0</v>
      </c>
      <c r="J839" s="17">
        <f>+Tabla1321124[[#This Row],[CANTIDAD TOTAL]]*Tabla1321124[[#This Row],[PRECIO UNITARIO ESTIMADO]]</f>
        <v>0</v>
      </c>
      <c r="K839" s="17"/>
      <c r="L839" s="16" t="s">
        <v>18</v>
      </c>
      <c r="M839" s="16" t="s">
        <v>22</v>
      </c>
      <c r="N839" s="16"/>
      <c r="O839" s="243"/>
      <c r="P839" s="243"/>
      <c r="Q839" s="243"/>
      <c r="R839" s="243"/>
      <c r="S839" s="243"/>
      <c r="T839" s="243"/>
      <c r="U839" s="243"/>
      <c r="V839" s="243"/>
      <c r="W839" s="243"/>
      <c r="X839" s="243"/>
      <c r="Y839" s="243"/>
      <c r="Z839" s="243"/>
      <c r="AA839" s="243"/>
      <c r="AB839" s="243"/>
      <c r="AC839" s="243"/>
      <c r="AD839" s="243"/>
      <c r="AE839" s="243"/>
      <c r="AF839" s="243"/>
      <c r="AG839" s="243"/>
      <c r="AH839" s="243"/>
      <c r="AI839" s="243"/>
      <c r="AJ839" s="243"/>
      <c r="AK839" s="243"/>
      <c r="AL839" s="243"/>
      <c r="AM839" s="243"/>
      <c r="AN839" s="243"/>
      <c r="AO839" s="243"/>
      <c r="AP839" s="243"/>
      <c r="AQ839" s="243"/>
      <c r="AR839" s="243"/>
      <c r="AS839" s="243"/>
      <c r="AT839" s="243"/>
      <c r="AU839" s="243"/>
      <c r="AV839" s="243"/>
      <c r="AW839" s="243"/>
      <c r="AX839" s="243"/>
      <c r="AY839" s="243"/>
      <c r="AZ839" s="243"/>
      <c r="BA839" s="243"/>
      <c r="BB839" s="243"/>
      <c r="BC839" s="243"/>
      <c r="BD839" s="243"/>
      <c r="BE839" s="243"/>
      <c r="BF839" s="243"/>
      <c r="BG839" s="243"/>
      <c r="BH839" s="243"/>
      <c r="BI839" s="243"/>
      <c r="BJ839" s="243"/>
      <c r="BK839" s="243"/>
      <c r="BL839" s="243"/>
      <c r="BM839" s="243"/>
      <c r="BN839" s="243"/>
      <c r="BO839" s="243"/>
      <c r="BP839" s="243"/>
      <c r="BQ839" s="243"/>
      <c r="BR839" s="243"/>
      <c r="BS839" s="243"/>
    </row>
    <row r="840" spans="1:71" s="12" customFormat="1" ht="41.25" customHeight="1">
      <c r="A840" s="178" t="s">
        <v>80</v>
      </c>
      <c r="B840" s="178" t="str">
        <f ca="1">+UPPER(Tabla1321124[[#This Row],[DESCRIPCIÓN DE LA COMPRA O CONTRATACIÓN]])</f>
        <v xml:space="preserve"> CHECK HORIZONTAL PLATILLADO Ø3, 150 PSI</v>
      </c>
      <c r="C840" s="39" t="s">
        <v>17</v>
      </c>
      <c r="D840" s="236">
        <v>8</v>
      </c>
      <c r="E840" s="236"/>
      <c r="F840" s="236">
        <v>8</v>
      </c>
      <c r="G840" s="236"/>
      <c r="H840" s="240">
        <f>SUM(Tabla1321124[[#This Row],[PRIMER TRIMESTRE]:[CUARTO TRIMESTRE]])</f>
        <v>16</v>
      </c>
      <c r="I840" s="17">
        <v>6790</v>
      </c>
      <c r="J840" s="17">
        <f>+Tabla1321124[[#This Row],[CANTIDAD TOTAL]]*Tabla1321124[[#This Row],[PRECIO UNITARIO ESTIMADO]]</f>
        <v>108640</v>
      </c>
      <c r="K840" s="17"/>
      <c r="L840" s="16" t="s">
        <v>18</v>
      </c>
      <c r="M840" s="16" t="s">
        <v>22</v>
      </c>
      <c r="N840" s="16"/>
      <c r="O840" s="243"/>
      <c r="P840" s="243"/>
      <c r="Q840" s="243"/>
      <c r="R840" s="243"/>
      <c r="S840" s="243"/>
      <c r="T840" s="243"/>
      <c r="U840" s="243"/>
      <c r="V840" s="243"/>
      <c r="W840" s="243"/>
      <c r="X840" s="243"/>
      <c r="Y840" s="243"/>
      <c r="Z840" s="243"/>
      <c r="AA840" s="243"/>
      <c r="AB840" s="243"/>
      <c r="AC840" s="243"/>
      <c r="AD840" s="243"/>
      <c r="AE840" s="243"/>
      <c r="AF840" s="243"/>
      <c r="AG840" s="243"/>
      <c r="AH840" s="243"/>
      <c r="AI840" s="243"/>
      <c r="AJ840" s="243"/>
      <c r="AK840" s="243"/>
      <c r="AL840" s="243"/>
      <c r="AM840" s="243"/>
      <c r="AN840" s="243"/>
      <c r="AO840" s="243"/>
      <c r="AP840" s="243"/>
      <c r="AQ840" s="243"/>
      <c r="AR840" s="243"/>
      <c r="AS840" s="243"/>
      <c r="AT840" s="243"/>
      <c r="AU840" s="243"/>
      <c r="AV840" s="243"/>
      <c r="AW840" s="243"/>
      <c r="AX840" s="243"/>
      <c r="AY840" s="243"/>
      <c r="AZ840" s="243"/>
      <c r="BA840" s="243"/>
      <c r="BB840" s="243"/>
      <c r="BC840" s="243"/>
      <c r="BD840" s="243"/>
      <c r="BE840" s="243"/>
      <c r="BF840" s="243"/>
      <c r="BG840" s="243"/>
      <c r="BH840" s="243"/>
      <c r="BI840" s="243"/>
      <c r="BJ840" s="243"/>
      <c r="BK840" s="243"/>
      <c r="BL840" s="243"/>
      <c r="BM840" s="243"/>
      <c r="BN840" s="243"/>
      <c r="BO840" s="243"/>
      <c r="BP840" s="243"/>
      <c r="BQ840" s="243"/>
      <c r="BR840" s="243"/>
      <c r="BS840" s="243"/>
    </row>
    <row r="841" spans="1:71" s="12" customFormat="1" ht="41.25" customHeight="1">
      <c r="A841" s="178" t="s">
        <v>80</v>
      </c>
      <c r="B841" s="178" t="str">
        <f ca="1">+UPPER(Tabla1321124[[#This Row],[DESCRIPCIÓN DE LA COMPRA O CONTRATACIÓN]])</f>
        <v>CHECK VERTICAL ROSCADO Ø4</v>
      </c>
      <c r="C841" s="39" t="s">
        <v>17</v>
      </c>
      <c r="D841" s="236">
        <v>5</v>
      </c>
      <c r="E841" s="236"/>
      <c r="F841" s="236">
        <v>5</v>
      </c>
      <c r="G841" s="236"/>
      <c r="H841" s="240">
        <f>SUM(Tabla1321124[[#This Row],[PRIMER TRIMESTRE]:[CUARTO TRIMESTRE]])</f>
        <v>10</v>
      </c>
      <c r="I841" s="17">
        <v>12500</v>
      </c>
      <c r="J841" s="17">
        <f>+Tabla1321124[[#This Row],[CANTIDAD TOTAL]]*Tabla1321124[[#This Row],[PRECIO UNITARIO ESTIMADO]]</f>
        <v>125000</v>
      </c>
      <c r="K841" s="17"/>
      <c r="L841" s="16" t="s">
        <v>18</v>
      </c>
      <c r="M841" s="16" t="s">
        <v>22</v>
      </c>
      <c r="N841" s="16"/>
      <c r="O841" s="243"/>
      <c r="P841" s="243"/>
      <c r="Q841" s="243"/>
      <c r="R841" s="243"/>
      <c r="S841" s="243"/>
      <c r="T841" s="243"/>
      <c r="U841" s="243"/>
      <c r="V841" s="243"/>
      <c r="W841" s="243"/>
      <c r="X841" s="243"/>
      <c r="Y841" s="243"/>
      <c r="Z841" s="243"/>
      <c r="AA841" s="243"/>
      <c r="AB841" s="243"/>
      <c r="AC841" s="243"/>
      <c r="AD841" s="243"/>
      <c r="AE841" s="243"/>
      <c r="AF841" s="243"/>
      <c r="AG841" s="243"/>
      <c r="AH841" s="243"/>
      <c r="AI841" s="243"/>
      <c r="AJ841" s="243"/>
      <c r="AK841" s="243"/>
      <c r="AL841" s="243"/>
      <c r="AM841" s="243"/>
      <c r="AN841" s="243"/>
      <c r="AO841" s="243"/>
      <c r="AP841" s="243"/>
      <c r="AQ841" s="243"/>
      <c r="AR841" s="243"/>
      <c r="AS841" s="243"/>
      <c r="AT841" s="243"/>
      <c r="AU841" s="243"/>
      <c r="AV841" s="243"/>
      <c r="AW841" s="243"/>
      <c r="AX841" s="243"/>
      <c r="AY841" s="243"/>
      <c r="AZ841" s="243"/>
      <c r="BA841" s="243"/>
      <c r="BB841" s="243"/>
      <c r="BC841" s="243"/>
      <c r="BD841" s="243"/>
      <c r="BE841" s="243"/>
      <c r="BF841" s="243"/>
      <c r="BG841" s="243"/>
      <c r="BH841" s="243"/>
      <c r="BI841" s="243"/>
      <c r="BJ841" s="243"/>
      <c r="BK841" s="243"/>
      <c r="BL841" s="243"/>
      <c r="BM841" s="243"/>
      <c r="BN841" s="243"/>
      <c r="BO841" s="243"/>
      <c r="BP841" s="243"/>
      <c r="BQ841" s="243"/>
      <c r="BR841" s="243"/>
      <c r="BS841" s="243"/>
    </row>
    <row r="842" spans="1:71" s="12" customFormat="1" ht="41.25" customHeight="1">
      <c r="A842" s="178" t="s">
        <v>80</v>
      </c>
      <c r="B842" s="178" t="str">
        <f ca="1">+UPPER(Tabla1321124[[#This Row],[DESCRIPCIÓN DE LA COMPRA O CONTRATACIÓN]])</f>
        <v>CHECK HORIZONTAL Ø4, 125 PSI PLATILLADO</v>
      </c>
      <c r="C842" s="39" t="s">
        <v>17</v>
      </c>
      <c r="D842" s="236">
        <v>5</v>
      </c>
      <c r="E842" s="236"/>
      <c r="F842" s="236">
        <v>5</v>
      </c>
      <c r="G842" s="236"/>
      <c r="H842" s="240">
        <f>SUM(Tabla1321124[[#This Row],[PRIMER TRIMESTRE]:[CUARTO TRIMESTRE]])</f>
        <v>10</v>
      </c>
      <c r="I842" s="17">
        <v>11430</v>
      </c>
      <c r="J842" s="17">
        <f>+Tabla1321124[[#This Row],[CANTIDAD TOTAL]]*Tabla1321124[[#This Row],[PRECIO UNITARIO ESTIMADO]]</f>
        <v>114300</v>
      </c>
      <c r="K842" s="17"/>
      <c r="L842" s="16" t="s">
        <v>18</v>
      </c>
      <c r="M842" s="16" t="s">
        <v>22</v>
      </c>
      <c r="N842" s="16"/>
      <c r="O842" s="243"/>
      <c r="P842" s="243"/>
      <c r="Q842" s="243"/>
      <c r="R842" s="243"/>
      <c r="S842" s="243"/>
      <c r="T842" s="243"/>
      <c r="U842" s="243"/>
      <c r="V842" s="243"/>
      <c r="W842" s="243"/>
      <c r="X842" s="243"/>
      <c r="Y842" s="243"/>
      <c r="Z842" s="243"/>
      <c r="AA842" s="243"/>
      <c r="AB842" s="243"/>
      <c r="AC842" s="243"/>
      <c r="AD842" s="243"/>
      <c r="AE842" s="243"/>
      <c r="AF842" s="243"/>
      <c r="AG842" s="243"/>
      <c r="AH842" s="243"/>
      <c r="AI842" s="243"/>
      <c r="AJ842" s="243"/>
      <c r="AK842" s="243"/>
      <c r="AL842" s="243"/>
      <c r="AM842" s="243"/>
      <c r="AN842" s="243"/>
      <c r="AO842" s="243"/>
      <c r="AP842" s="243"/>
      <c r="AQ842" s="243"/>
      <c r="AR842" s="243"/>
      <c r="AS842" s="243"/>
      <c r="AT842" s="243"/>
      <c r="AU842" s="243"/>
      <c r="AV842" s="243"/>
      <c r="AW842" s="243"/>
      <c r="AX842" s="243"/>
      <c r="AY842" s="243"/>
      <c r="AZ842" s="243"/>
      <c r="BA842" s="243"/>
      <c r="BB842" s="243"/>
      <c r="BC842" s="243"/>
      <c r="BD842" s="243"/>
      <c r="BE842" s="243"/>
      <c r="BF842" s="243"/>
      <c r="BG842" s="243"/>
      <c r="BH842" s="243"/>
      <c r="BI842" s="243"/>
      <c r="BJ842" s="243"/>
      <c r="BK842" s="243"/>
      <c r="BL842" s="243"/>
      <c r="BM842" s="243"/>
      <c r="BN842" s="243"/>
      <c r="BO842" s="243"/>
      <c r="BP842" s="243"/>
      <c r="BQ842" s="243"/>
      <c r="BR842" s="243"/>
      <c r="BS842" s="243"/>
    </row>
    <row r="843" spans="1:71" s="12" customFormat="1" ht="41.25" customHeight="1">
      <c r="A843" s="178" t="s">
        <v>80</v>
      </c>
      <c r="B843" s="178" t="str">
        <f ca="1">+UPPER(Tabla1321124[[#This Row],[DESCRIPCIÓN DE LA COMPRA O CONTRATACIÓN]])</f>
        <v>CHECK HORIZONTAL Ø6, PLATILLADO CON 16 TORNILLOS Y JUNTAS DE GOMAS</v>
      </c>
      <c r="C843" s="39" t="s">
        <v>17</v>
      </c>
      <c r="D843" s="236">
        <v>5</v>
      </c>
      <c r="E843" s="236"/>
      <c r="F843" s="236"/>
      <c r="G843" s="236"/>
      <c r="H843" s="240">
        <f>SUM(Tabla1321124[[#This Row],[PRIMER TRIMESTRE]:[CUARTO TRIMESTRE]])</f>
        <v>5</v>
      </c>
      <c r="I843" s="17">
        <v>18242</v>
      </c>
      <c r="J843" s="17">
        <f>+Tabla1321124[[#This Row],[CANTIDAD TOTAL]]*Tabla1321124[[#This Row],[PRECIO UNITARIO ESTIMADO]]</f>
        <v>91210</v>
      </c>
      <c r="K843" s="17"/>
      <c r="L843" s="16" t="s">
        <v>18</v>
      </c>
      <c r="M843" s="16" t="s">
        <v>22</v>
      </c>
      <c r="N843" s="16"/>
      <c r="O843" s="243"/>
      <c r="P843" s="243"/>
      <c r="Q843" s="243"/>
      <c r="R843" s="243"/>
      <c r="S843" s="243"/>
      <c r="T843" s="243"/>
      <c r="U843" s="243"/>
      <c r="V843" s="243"/>
      <c r="W843" s="243"/>
      <c r="X843" s="243"/>
      <c r="Y843" s="243"/>
      <c r="Z843" s="243"/>
      <c r="AA843" s="243"/>
      <c r="AB843" s="243"/>
      <c r="AC843" s="243"/>
      <c r="AD843" s="243"/>
      <c r="AE843" s="243"/>
      <c r="AF843" s="243"/>
      <c r="AG843" s="243"/>
      <c r="AH843" s="243"/>
      <c r="AI843" s="243"/>
      <c r="AJ843" s="243"/>
      <c r="AK843" s="243"/>
      <c r="AL843" s="243"/>
      <c r="AM843" s="243"/>
      <c r="AN843" s="243"/>
      <c r="AO843" s="243"/>
      <c r="AP843" s="243"/>
      <c r="AQ843" s="243"/>
      <c r="AR843" s="243"/>
      <c r="AS843" s="243"/>
      <c r="AT843" s="243"/>
      <c r="AU843" s="243"/>
      <c r="AV843" s="243"/>
      <c r="AW843" s="243"/>
      <c r="AX843" s="243"/>
      <c r="AY843" s="243"/>
      <c r="AZ843" s="243"/>
      <c r="BA843" s="243"/>
      <c r="BB843" s="243"/>
      <c r="BC843" s="243"/>
      <c r="BD843" s="243"/>
      <c r="BE843" s="243"/>
      <c r="BF843" s="243"/>
      <c r="BG843" s="243"/>
      <c r="BH843" s="243"/>
      <c r="BI843" s="243"/>
      <c r="BJ843" s="243"/>
      <c r="BK843" s="243"/>
      <c r="BL843" s="243"/>
      <c r="BM843" s="243"/>
      <c r="BN843" s="243"/>
      <c r="BO843" s="243"/>
      <c r="BP843" s="243"/>
      <c r="BQ843" s="243"/>
      <c r="BR843" s="243"/>
      <c r="BS843" s="243"/>
    </row>
    <row r="844" spans="1:71" s="12" customFormat="1" ht="41.25" customHeight="1">
      <c r="A844" s="178" t="s">
        <v>80</v>
      </c>
      <c r="B844" s="178" t="str">
        <f ca="1">+UPPER(Tabla1321124[[#This Row],[DESCRIPCIÓN DE LA COMPRA O CONTRATACIÓN]])</f>
        <v>CHECK HORIZONTAL Ø6, PLATILLADO CON JUNTA DE GOMA 8 AGUJEROS</v>
      </c>
      <c r="C844" s="39" t="s">
        <v>17</v>
      </c>
      <c r="D844" s="236">
        <v>17</v>
      </c>
      <c r="E844" s="236">
        <v>6</v>
      </c>
      <c r="F844" s="236">
        <v>3</v>
      </c>
      <c r="G844" s="236">
        <v>3</v>
      </c>
      <c r="H844" s="240">
        <f>SUM(Tabla1321124[[#This Row],[PRIMER TRIMESTRE]:[CUARTO TRIMESTRE]])</f>
        <v>29</v>
      </c>
      <c r="I844" s="17">
        <v>17900</v>
      </c>
      <c r="J844" s="17">
        <f>+Tabla1321124[[#This Row],[CANTIDAD TOTAL]]*Tabla1321124[[#This Row],[PRECIO UNITARIO ESTIMADO]]</f>
        <v>519100</v>
      </c>
      <c r="K844" s="17"/>
      <c r="L844" s="16" t="s">
        <v>18</v>
      </c>
      <c r="M844" s="16" t="s">
        <v>22</v>
      </c>
      <c r="N844" s="16"/>
      <c r="O844" s="243"/>
      <c r="P844" s="243"/>
      <c r="Q844" s="243"/>
      <c r="R844" s="243"/>
      <c r="S844" s="243"/>
      <c r="T844" s="243"/>
      <c r="U844" s="243"/>
      <c r="V844" s="243"/>
      <c r="W844" s="243"/>
      <c r="X844" s="243"/>
      <c r="Y844" s="243"/>
      <c r="Z844" s="243"/>
      <c r="AA844" s="243"/>
      <c r="AB844" s="243"/>
      <c r="AC844" s="243"/>
      <c r="AD844" s="243"/>
      <c r="AE844" s="243"/>
      <c r="AF844" s="243"/>
      <c r="AG844" s="243"/>
      <c r="AH844" s="243"/>
      <c r="AI844" s="243"/>
      <c r="AJ844" s="243"/>
      <c r="AK844" s="243"/>
      <c r="AL844" s="243"/>
      <c r="AM844" s="243"/>
      <c r="AN844" s="243"/>
      <c r="AO844" s="243"/>
      <c r="AP844" s="243"/>
      <c r="AQ844" s="243"/>
      <c r="AR844" s="243"/>
      <c r="AS844" s="243"/>
      <c r="AT844" s="243"/>
      <c r="AU844" s="243"/>
      <c r="AV844" s="243"/>
      <c r="AW844" s="243"/>
      <c r="AX844" s="243"/>
      <c r="AY844" s="243"/>
      <c r="AZ844" s="243"/>
      <c r="BA844" s="243"/>
      <c r="BB844" s="243"/>
      <c r="BC844" s="243"/>
      <c r="BD844" s="243"/>
      <c r="BE844" s="243"/>
      <c r="BF844" s="243"/>
      <c r="BG844" s="243"/>
      <c r="BH844" s="243"/>
      <c r="BI844" s="243"/>
      <c r="BJ844" s="243"/>
      <c r="BK844" s="243"/>
      <c r="BL844" s="243"/>
      <c r="BM844" s="243"/>
      <c r="BN844" s="243"/>
      <c r="BO844" s="243"/>
      <c r="BP844" s="243"/>
      <c r="BQ844" s="243"/>
      <c r="BR844" s="243"/>
      <c r="BS844" s="243"/>
    </row>
    <row r="845" spans="1:71" s="12" customFormat="1" ht="41.25" customHeight="1">
      <c r="A845" s="178" t="s">
        <v>80</v>
      </c>
      <c r="B845" s="178" t="str">
        <f ca="1">+UPPER(Tabla1321124[[#This Row],[DESCRIPCIÓN DE LA COMPRA O CONTRATACIÓN]])</f>
        <v>CHECK HORIZONTAL HF Ø6, PLATILLADO P125 PSI</v>
      </c>
      <c r="C845" s="39" t="s">
        <v>17</v>
      </c>
      <c r="D845" s="236">
        <v>5</v>
      </c>
      <c r="E845" s="236"/>
      <c r="F845" s="236"/>
      <c r="G845" s="236"/>
      <c r="H845" s="240">
        <f>SUM(Tabla1321124[[#This Row],[PRIMER TRIMESTRE]:[CUARTO TRIMESTRE]])</f>
        <v>5</v>
      </c>
      <c r="I845" s="17">
        <v>16800</v>
      </c>
      <c r="J845" s="17">
        <f>+Tabla1321124[[#This Row],[CANTIDAD TOTAL]]*Tabla1321124[[#This Row],[PRECIO UNITARIO ESTIMADO]]</f>
        <v>84000</v>
      </c>
      <c r="K845" s="17"/>
      <c r="L845" s="16" t="s">
        <v>18</v>
      </c>
      <c r="M845" s="16" t="s">
        <v>22</v>
      </c>
      <c r="N845" s="16"/>
      <c r="O845" s="243"/>
      <c r="P845" s="243"/>
      <c r="Q845" s="243"/>
      <c r="R845" s="243"/>
      <c r="S845" s="243"/>
      <c r="T845" s="243"/>
      <c r="U845" s="243"/>
      <c r="V845" s="243"/>
      <c r="W845" s="243"/>
      <c r="X845" s="243"/>
      <c r="Y845" s="243"/>
      <c r="Z845" s="243"/>
      <c r="AA845" s="243"/>
      <c r="AB845" s="243"/>
      <c r="AC845" s="243"/>
      <c r="AD845" s="243"/>
      <c r="AE845" s="243"/>
      <c r="AF845" s="243"/>
      <c r="AG845" s="243"/>
      <c r="AH845" s="243"/>
      <c r="AI845" s="243"/>
      <c r="AJ845" s="243"/>
      <c r="AK845" s="243"/>
      <c r="AL845" s="243"/>
      <c r="AM845" s="243"/>
      <c r="AN845" s="243"/>
      <c r="AO845" s="243"/>
      <c r="AP845" s="243"/>
      <c r="AQ845" s="243"/>
      <c r="AR845" s="243"/>
      <c r="AS845" s="243"/>
      <c r="AT845" s="243"/>
      <c r="AU845" s="243"/>
      <c r="AV845" s="243"/>
      <c r="AW845" s="243"/>
      <c r="AX845" s="243"/>
      <c r="AY845" s="243"/>
      <c r="AZ845" s="243"/>
      <c r="BA845" s="243"/>
      <c r="BB845" s="243"/>
      <c r="BC845" s="243"/>
      <c r="BD845" s="243"/>
      <c r="BE845" s="243"/>
      <c r="BF845" s="243"/>
      <c r="BG845" s="243"/>
      <c r="BH845" s="243"/>
      <c r="BI845" s="243"/>
      <c r="BJ845" s="243"/>
      <c r="BK845" s="243"/>
      <c r="BL845" s="243"/>
      <c r="BM845" s="243"/>
      <c r="BN845" s="243"/>
      <c r="BO845" s="243"/>
      <c r="BP845" s="243"/>
      <c r="BQ845" s="243"/>
      <c r="BR845" s="243"/>
      <c r="BS845" s="243"/>
    </row>
    <row r="846" spans="1:71" s="12" customFormat="1" ht="41.25" customHeight="1">
      <c r="A846" s="178" t="s">
        <v>80</v>
      </c>
      <c r="B846" s="178" t="str">
        <f ca="1">+UPPER(Tabla1321124[[#This Row],[DESCRIPCIÓN DE LA COMPRA O CONTRATACIÓN]])</f>
        <v>CHECK HORIZONTAL HF Ø4, PLATILLADO JUANTA DE GOMA Y TORNILLO PARA 150 PSI</v>
      </c>
      <c r="C846" s="39" t="s">
        <v>17</v>
      </c>
      <c r="D846" s="236">
        <v>9</v>
      </c>
      <c r="E846" s="236"/>
      <c r="F846" s="236">
        <v>4</v>
      </c>
      <c r="G846" s="236"/>
      <c r="H846" s="240">
        <f>SUM(Tabla1321124[[#This Row],[PRIMER TRIMESTRE]:[CUARTO TRIMESTRE]])</f>
        <v>13</v>
      </c>
      <c r="I846" s="17">
        <v>12500</v>
      </c>
      <c r="J846" s="17">
        <f>+Tabla1321124[[#This Row],[CANTIDAD TOTAL]]*Tabla1321124[[#This Row],[PRECIO UNITARIO ESTIMADO]]</f>
        <v>162500</v>
      </c>
      <c r="K846" s="17"/>
      <c r="L846" s="16" t="s">
        <v>18</v>
      </c>
      <c r="M846" s="16" t="s">
        <v>22</v>
      </c>
      <c r="N846" s="16"/>
      <c r="O846" s="243"/>
      <c r="P846" s="243"/>
      <c r="Q846" s="243"/>
      <c r="R846" s="243"/>
      <c r="S846" s="243"/>
      <c r="T846" s="243"/>
      <c r="U846" s="243"/>
      <c r="V846" s="243"/>
      <c r="W846" s="243"/>
      <c r="X846" s="243"/>
      <c r="Y846" s="243"/>
      <c r="Z846" s="243"/>
      <c r="AA846" s="243"/>
      <c r="AB846" s="243"/>
      <c r="AC846" s="243"/>
      <c r="AD846" s="243"/>
      <c r="AE846" s="243"/>
      <c r="AF846" s="243"/>
      <c r="AG846" s="243"/>
      <c r="AH846" s="243"/>
      <c r="AI846" s="243"/>
      <c r="AJ846" s="243"/>
      <c r="AK846" s="243"/>
      <c r="AL846" s="243"/>
      <c r="AM846" s="243"/>
      <c r="AN846" s="243"/>
      <c r="AO846" s="243"/>
      <c r="AP846" s="243"/>
      <c r="AQ846" s="243"/>
      <c r="AR846" s="243"/>
      <c r="AS846" s="243"/>
      <c r="AT846" s="243"/>
      <c r="AU846" s="243"/>
      <c r="AV846" s="243"/>
      <c r="AW846" s="243"/>
      <c r="AX846" s="243"/>
      <c r="AY846" s="243"/>
      <c r="AZ846" s="243"/>
      <c r="BA846" s="243"/>
      <c r="BB846" s="243"/>
      <c r="BC846" s="243"/>
      <c r="BD846" s="243"/>
      <c r="BE846" s="243"/>
      <c r="BF846" s="243"/>
      <c r="BG846" s="243"/>
      <c r="BH846" s="243"/>
      <c r="BI846" s="243"/>
      <c r="BJ846" s="243"/>
      <c r="BK846" s="243"/>
      <c r="BL846" s="243"/>
      <c r="BM846" s="243"/>
      <c r="BN846" s="243"/>
      <c r="BO846" s="243"/>
      <c r="BP846" s="243"/>
      <c r="BQ846" s="243"/>
      <c r="BR846" s="243"/>
      <c r="BS846" s="243"/>
    </row>
    <row r="847" spans="1:71" s="12" customFormat="1" ht="41.25" customHeight="1">
      <c r="A847" s="178" t="s">
        <v>80</v>
      </c>
      <c r="B847" s="178" t="str">
        <f ca="1">+UPPER(Tabla1321124[[#This Row],[DESCRIPCIÓN DE LA COMPRA O CONTRATACIÓN]])</f>
        <v>CHECK HORIZONTAL Ø8, PLATILLADO CON 16 TORNILLOS Y JUNTA DE GOMA 300PSI 9 AGUJEROS</v>
      </c>
      <c r="C847" s="39" t="s">
        <v>17</v>
      </c>
      <c r="D847" s="236">
        <v>5</v>
      </c>
      <c r="E847" s="236"/>
      <c r="F847" s="236"/>
      <c r="G847" s="236"/>
      <c r="H847" s="240">
        <f>SUM(Tabla1321124[[#This Row],[PRIMER TRIMESTRE]:[CUARTO TRIMESTRE]])</f>
        <v>5</v>
      </c>
      <c r="I847" s="17">
        <v>31500</v>
      </c>
      <c r="J847" s="17">
        <f>+Tabla1321124[[#This Row],[CANTIDAD TOTAL]]*Tabla1321124[[#This Row],[PRECIO UNITARIO ESTIMADO]]</f>
        <v>157500</v>
      </c>
      <c r="K847" s="17"/>
      <c r="L847" s="16" t="s">
        <v>18</v>
      </c>
      <c r="M847" s="16" t="s">
        <v>22</v>
      </c>
      <c r="N847" s="16"/>
      <c r="O847" s="243"/>
      <c r="P847" s="243"/>
      <c r="Q847" s="243"/>
      <c r="R847" s="243"/>
      <c r="S847" s="243"/>
      <c r="T847" s="243"/>
      <c r="U847" s="243"/>
      <c r="V847" s="243"/>
      <c r="W847" s="243"/>
      <c r="X847" s="243"/>
      <c r="Y847" s="243"/>
      <c r="Z847" s="243"/>
      <c r="AA847" s="243"/>
      <c r="AB847" s="243"/>
      <c r="AC847" s="243"/>
      <c r="AD847" s="243"/>
      <c r="AE847" s="243"/>
      <c r="AF847" s="243"/>
      <c r="AG847" s="243"/>
      <c r="AH847" s="243"/>
      <c r="AI847" s="243"/>
      <c r="AJ847" s="243"/>
      <c r="AK847" s="243"/>
      <c r="AL847" s="243"/>
      <c r="AM847" s="243"/>
      <c r="AN847" s="243"/>
      <c r="AO847" s="243"/>
      <c r="AP847" s="243"/>
      <c r="AQ847" s="243"/>
      <c r="AR847" s="243"/>
      <c r="AS847" s="243"/>
      <c r="AT847" s="243"/>
      <c r="AU847" s="243"/>
      <c r="AV847" s="243"/>
      <c r="AW847" s="243"/>
      <c r="AX847" s="243"/>
      <c r="AY847" s="243"/>
      <c r="AZ847" s="243"/>
      <c r="BA847" s="243"/>
      <c r="BB847" s="243"/>
      <c r="BC847" s="243"/>
      <c r="BD847" s="243"/>
      <c r="BE847" s="243"/>
      <c r="BF847" s="243"/>
      <c r="BG847" s="243"/>
      <c r="BH847" s="243"/>
      <c r="BI847" s="243"/>
      <c r="BJ847" s="243"/>
      <c r="BK847" s="243"/>
      <c r="BL847" s="243"/>
      <c r="BM847" s="243"/>
      <c r="BN847" s="243"/>
      <c r="BO847" s="243"/>
      <c r="BP847" s="243"/>
      <c r="BQ847" s="243"/>
      <c r="BR847" s="243"/>
      <c r="BS847" s="243"/>
    </row>
    <row r="848" spans="1:71" s="12" customFormat="1" ht="41.25" customHeight="1">
      <c r="A848" s="178" t="s">
        <v>80</v>
      </c>
      <c r="B848" s="178" t="str">
        <f ca="1">+UPPER(Tabla1321124[[#This Row],[DESCRIPCIÓN DE LA COMPRA O CONTRATACIÓN]])</f>
        <v>VALVULA CHECK 8 HORIZONTAL 8 OYOS 250PSI PLATILLADA CON JUNTA DE GOMA Y TORNILLOS</v>
      </c>
      <c r="C848" s="39" t="s">
        <v>17</v>
      </c>
      <c r="D848" s="236">
        <v>17</v>
      </c>
      <c r="E848" s="236">
        <v>8</v>
      </c>
      <c r="F848" s="236">
        <v>8</v>
      </c>
      <c r="G848" s="236">
        <v>8</v>
      </c>
      <c r="H848" s="240">
        <f>SUM(Tabla1321124[[#This Row],[PRIMER TRIMESTRE]:[CUARTO TRIMESTRE]])</f>
        <v>41</v>
      </c>
      <c r="I848" s="17">
        <v>48500</v>
      </c>
      <c r="J848" s="17">
        <f>+Tabla1321124[[#This Row],[CANTIDAD TOTAL]]*Tabla1321124[[#This Row],[PRECIO UNITARIO ESTIMADO]]</f>
        <v>1988500</v>
      </c>
      <c r="K848" s="17"/>
      <c r="L848" s="16" t="s">
        <v>18</v>
      </c>
      <c r="M848" s="16" t="s">
        <v>22</v>
      </c>
      <c r="N848" s="16"/>
      <c r="O848" s="243"/>
      <c r="P848" s="243"/>
      <c r="Q848" s="243"/>
      <c r="R848" s="243"/>
      <c r="S848" s="243"/>
      <c r="T848" s="243"/>
      <c r="U848" s="243"/>
      <c r="V848" s="243"/>
      <c r="W848" s="243"/>
      <c r="X848" s="243"/>
      <c r="Y848" s="243"/>
      <c r="Z848" s="243"/>
      <c r="AA848" s="243"/>
      <c r="AB848" s="243"/>
      <c r="AC848" s="243"/>
      <c r="AD848" s="243"/>
      <c r="AE848" s="243"/>
      <c r="AF848" s="243"/>
      <c r="AG848" s="243"/>
      <c r="AH848" s="243"/>
      <c r="AI848" s="243"/>
      <c r="AJ848" s="243"/>
      <c r="AK848" s="243"/>
      <c r="AL848" s="243"/>
      <c r="AM848" s="243"/>
      <c r="AN848" s="243"/>
      <c r="AO848" s="243"/>
      <c r="AP848" s="243"/>
      <c r="AQ848" s="243"/>
      <c r="AR848" s="243"/>
      <c r="AS848" s="243"/>
      <c r="AT848" s="243"/>
      <c r="AU848" s="243"/>
      <c r="AV848" s="243"/>
      <c r="AW848" s="243"/>
      <c r="AX848" s="243"/>
      <c r="AY848" s="243"/>
      <c r="AZ848" s="243"/>
      <c r="BA848" s="243"/>
      <c r="BB848" s="243"/>
      <c r="BC848" s="243"/>
      <c r="BD848" s="243"/>
      <c r="BE848" s="243"/>
      <c r="BF848" s="243"/>
      <c r="BG848" s="243"/>
      <c r="BH848" s="243"/>
      <c r="BI848" s="243"/>
      <c r="BJ848" s="243"/>
      <c r="BK848" s="243"/>
      <c r="BL848" s="243"/>
      <c r="BM848" s="243"/>
      <c r="BN848" s="243"/>
      <c r="BO848" s="243"/>
      <c r="BP848" s="243"/>
      <c r="BQ848" s="243"/>
      <c r="BR848" s="243"/>
      <c r="BS848" s="243"/>
    </row>
    <row r="849" spans="1:71" s="12" customFormat="1" ht="41.25" customHeight="1">
      <c r="A849" s="178" t="s">
        <v>80</v>
      </c>
      <c r="B849" s="178" t="str">
        <f ca="1">+UPPER(Tabla1321124[[#This Row],[DESCRIPCIÓN DE LA COMPRA O CONTRATACIÓN]])</f>
        <v>VÁLVULA DE 02” HF PLATILLADA C/NIPLES, TORNILLOS, JUNTAS DE GOMA Y VÁSTAGO FIJO</v>
      </c>
      <c r="C849" s="39" t="s">
        <v>17</v>
      </c>
      <c r="D849" s="368">
        <v>5</v>
      </c>
      <c r="E849" s="369">
        <v>5</v>
      </c>
      <c r="F849" s="369">
        <v>5</v>
      </c>
      <c r="G849" s="369">
        <v>5</v>
      </c>
      <c r="H849" s="240">
        <f>SUM(Tabla1321124[[#This Row],[PRIMER TRIMESTRE]:[CUARTO TRIMESTRE]])</f>
        <v>20</v>
      </c>
      <c r="I849" s="17">
        <v>45860</v>
      </c>
      <c r="J849" s="17">
        <f>+Tabla1321124[[#This Row],[CANTIDAD TOTAL]]*Tabla1321124[[#This Row],[PRECIO UNITARIO ESTIMADO]]</f>
        <v>917200</v>
      </c>
      <c r="K849" s="175"/>
      <c r="L849" s="16" t="s">
        <v>18</v>
      </c>
      <c r="M849" s="16" t="s">
        <v>22</v>
      </c>
      <c r="N849" s="16"/>
      <c r="O849" s="243"/>
      <c r="P849" s="243"/>
      <c r="Q849" s="243"/>
      <c r="R849" s="243"/>
      <c r="S849" s="243"/>
      <c r="T849" s="243"/>
      <c r="U849" s="243"/>
      <c r="V849" s="243"/>
      <c r="W849" s="243"/>
      <c r="X849" s="243"/>
      <c r="Y849" s="243"/>
      <c r="Z849" s="243"/>
      <c r="AA849" s="243"/>
      <c r="AB849" s="243"/>
      <c r="AC849" s="243"/>
      <c r="AD849" s="243"/>
      <c r="AE849" s="243"/>
      <c r="AF849" s="243"/>
      <c r="AG849" s="243"/>
      <c r="AH849" s="243"/>
      <c r="AI849" s="243"/>
      <c r="AJ849" s="243"/>
      <c r="AK849" s="243"/>
      <c r="AL849" s="243"/>
      <c r="AM849" s="243"/>
      <c r="AN849" s="243"/>
      <c r="AO849" s="243"/>
      <c r="AP849" s="243"/>
      <c r="AQ849" s="243"/>
      <c r="AR849" s="243"/>
      <c r="AS849" s="243"/>
      <c r="AT849" s="243"/>
      <c r="AU849" s="243"/>
      <c r="AV849" s="243"/>
      <c r="AW849" s="243"/>
      <c r="AX849" s="243"/>
      <c r="AY849" s="243"/>
      <c r="AZ849" s="243"/>
      <c r="BA849" s="243"/>
      <c r="BB849" s="243"/>
      <c r="BC849" s="243"/>
      <c r="BD849" s="243"/>
      <c r="BE849" s="243"/>
      <c r="BF849" s="243"/>
      <c r="BG849" s="243"/>
      <c r="BH849" s="243"/>
      <c r="BI849" s="243"/>
      <c r="BJ849" s="243"/>
      <c r="BK849" s="243"/>
      <c r="BL849" s="243"/>
      <c r="BM849" s="243"/>
      <c r="BN849" s="243"/>
      <c r="BO849" s="243"/>
      <c r="BP849" s="243"/>
      <c r="BQ849" s="243"/>
      <c r="BR849" s="243"/>
      <c r="BS849" s="243"/>
    </row>
    <row r="850" spans="1:71" s="12" customFormat="1" ht="41.25" customHeight="1">
      <c r="A850" s="178" t="s">
        <v>80</v>
      </c>
      <c r="B850" s="178" t="str">
        <f ca="1">+UPPER(Tabla1321124[[#This Row],[DESCRIPCIÓN DE LA COMPRA O CONTRATACIÓN]])</f>
        <v>VÁLVULA DE 02” HF ROSCADA C/NIPLES Y VÁSTAGO FIJO</v>
      </c>
      <c r="C850" s="39" t="s">
        <v>17</v>
      </c>
      <c r="D850" s="369">
        <v>5</v>
      </c>
      <c r="E850" s="369">
        <v>5</v>
      </c>
      <c r="F850" s="369">
        <v>5</v>
      </c>
      <c r="G850" s="369">
        <v>5</v>
      </c>
      <c r="H850" s="240">
        <f>SUM(Tabla1321124[[#This Row],[PRIMER TRIMESTRE]:[CUARTO TRIMESTRE]])</f>
        <v>20</v>
      </c>
      <c r="I850" s="17">
        <v>57400</v>
      </c>
      <c r="J850" s="17">
        <f>+Tabla1321124[[#This Row],[CANTIDAD TOTAL]]*Tabla1321124[[#This Row],[PRECIO UNITARIO ESTIMADO]]</f>
        <v>1148000</v>
      </c>
      <c r="K850" s="175"/>
      <c r="L850" s="16" t="s">
        <v>18</v>
      </c>
      <c r="M850" s="16" t="s">
        <v>22</v>
      </c>
      <c r="N850" s="16"/>
      <c r="O850" s="243"/>
      <c r="P850" s="243"/>
      <c r="Q850" s="243"/>
      <c r="R850" s="243"/>
      <c r="S850" s="243"/>
      <c r="T850" s="243"/>
      <c r="U850" s="243"/>
      <c r="V850" s="243"/>
      <c r="W850" s="243"/>
      <c r="X850" s="243"/>
      <c r="Y850" s="243"/>
      <c r="Z850" s="243"/>
      <c r="AA850" s="243"/>
      <c r="AB850" s="243"/>
      <c r="AC850" s="243"/>
      <c r="AD850" s="243"/>
      <c r="AE850" s="243"/>
      <c r="AF850" s="243"/>
      <c r="AG850" s="243"/>
      <c r="AH850" s="243"/>
      <c r="AI850" s="243"/>
      <c r="AJ850" s="243"/>
      <c r="AK850" s="243"/>
      <c r="AL850" s="243"/>
      <c r="AM850" s="243"/>
      <c r="AN850" s="243"/>
      <c r="AO850" s="243"/>
      <c r="AP850" s="243"/>
      <c r="AQ850" s="243"/>
      <c r="AR850" s="243"/>
      <c r="AS850" s="243"/>
      <c r="AT850" s="243"/>
      <c r="AU850" s="243"/>
      <c r="AV850" s="243"/>
      <c r="AW850" s="243"/>
      <c r="AX850" s="243"/>
      <c r="AY850" s="243"/>
      <c r="AZ850" s="243"/>
      <c r="BA850" s="243"/>
      <c r="BB850" s="243"/>
      <c r="BC850" s="243"/>
      <c r="BD850" s="243"/>
      <c r="BE850" s="243"/>
      <c r="BF850" s="243"/>
      <c r="BG850" s="243"/>
      <c r="BH850" s="243"/>
      <c r="BI850" s="243"/>
      <c r="BJ850" s="243"/>
      <c r="BK850" s="243"/>
      <c r="BL850" s="243"/>
      <c r="BM850" s="243"/>
      <c r="BN850" s="243"/>
      <c r="BO850" s="243"/>
      <c r="BP850" s="243"/>
      <c r="BQ850" s="243"/>
      <c r="BR850" s="243"/>
      <c r="BS850" s="243"/>
    </row>
    <row r="851" spans="1:71" s="12" customFormat="1" ht="41.25" customHeight="1">
      <c r="A851" s="178" t="s">
        <v>80</v>
      </c>
      <c r="B851" s="178" t="str">
        <f ca="1">+UPPER(Tabla1321124[[#This Row],[DESCRIPCIÓN DE LA COMPRA O CONTRATACIÓN]])</f>
        <v>VÁLVULA DE 03”  HF PLATILLADA C/NIPLES, TORNILLOS, JUNTAS DE GOMA Y VÁSTAGO FIJO</v>
      </c>
      <c r="C851" s="39" t="s">
        <v>17</v>
      </c>
      <c r="D851" s="369">
        <v>10</v>
      </c>
      <c r="E851" s="369">
        <v>10</v>
      </c>
      <c r="F851" s="369">
        <v>5</v>
      </c>
      <c r="G851" s="369">
        <v>5</v>
      </c>
      <c r="H851" s="240">
        <f>SUM(Tabla1321124[[#This Row],[PRIMER TRIMESTRE]:[CUARTO TRIMESTRE]])</f>
        <v>30</v>
      </c>
      <c r="I851" s="17">
        <v>44860</v>
      </c>
      <c r="J851" s="17">
        <f>+Tabla1321124[[#This Row],[CANTIDAD TOTAL]]*Tabla1321124[[#This Row],[PRECIO UNITARIO ESTIMADO]]</f>
        <v>1345800</v>
      </c>
      <c r="K851" s="175"/>
      <c r="L851" s="16" t="s">
        <v>18</v>
      </c>
      <c r="M851" s="16" t="s">
        <v>22</v>
      </c>
      <c r="N851" s="16"/>
      <c r="O851" s="243"/>
      <c r="P851" s="243"/>
      <c r="Q851" s="243"/>
      <c r="R851" s="243"/>
      <c r="S851" s="243"/>
      <c r="T851" s="243"/>
      <c r="U851" s="243"/>
      <c r="V851" s="243"/>
      <c r="W851" s="243"/>
      <c r="X851" s="243"/>
      <c r="Y851" s="243"/>
      <c r="Z851" s="243"/>
      <c r="AA851" s="243"/>
      <c r="AB851" s="243"/>
      <c r="AC851" s="243"/>
      <c r="AD851" s="243"/>
      <c r="AE851" s="243"/>
      <c r="AF851" s="243"/>
      <c r="AG851" s="243"/>
      <c r="AH851" s="243"/>
      <c r="AI851" s="243"/>
      <c r="AJ851" s="243"/>
      <c r="AK851" s="243"/>
      <c r="AL851" s="243"/>
      <c r="AM851" s="243"/>
      <c r="AN851" s="243"/>
      <c r="AO851" s="243"/>
      <c r="AP851" s="243"/>
      <c r="AQ851" s="243"/>
      <c r="AR851" s="243"/>
      <c r="AS851" s="243"/>
      <c r="AT851" s="243"/>
      <c r="AU851" s="243"/>
      <c r="AV851" s="243"/>
      <c r="AW851" s="243"/>
      <c r="AX851" s="243"/>
      <c r="AY851" s="243"/>
      <c r="AZ851" s="243"/>
      <c r="BA851" s="243"/>
      <c r="BB851" s="243"/>
      <c r="BC851" s="243"/>
      <c r="BD851" s="243"/>
      <c r="BE851" s="243"/>
      <c r="BF851" s="243"/>
      <c r="BG851" s="243"/>
      <c r="BH851" s="243"/>
      <c r="BI851" s="243"/>
      <c r="BJ851" s="243"/>
      <c r="BK851" s="243"/>
      <c r="BL851" s="243"/>
      <c r="BM851" s="243"/>
      <c r="BN851" s="243"/>
      <c r="BO851" s="243"/>
      <c r="BP851" s="243"/>
      <c r="BQ851" s="243"/>
      <c r="BR851" s="243"/>
      <c r="BS851" s="243"/>
    </row>
    <row r="852" spans="1:71" s="12" customFormat="1" ht="41.25" customHeight="1">
      <c r="A852" s="178" t="s">
        <v>80</v>
      </c>
      <c r="B852" s="178" t="str">
        <f ca="1">+UPPER(Tabla1321124[[#This Row],[DESCRIPCIÓN DE LA COMPRA O CONTRATACIÓN]])</f>
        <v>VÁLVULA DE 03” HF ROSCADA C/NIPLES Y VÁSTAGO FIJO</v>
      </c>
      <c r="C852" s="39" t="s">
        <v>17</v>
      </c>
      <c r="D852" s="369">
        <v>10</v>
      </c>
      <c r="E852" s="369">
        <v>10</v>
      </c>
      <c r="F852" s="369">
        <v>5</v>
      </c>
      <c r="G852" s="369">
        <v>5</v>
      </c>
      <c r="H852" s="240">
        <f>SUM(Tabla1321124[[#This Row],[PRIMER TRIMESTRE]:[CUARTO TRIMESTRE]])</f>
        <v>30</v>
      </c>
      <c r="I852" s="17">
        <v>47690</v>
      </c>
      <c r="J852" s="17">
        <f>+Tabla1321124[[#This Row],[CANTIDAD TOTAL]]*Tabla1321124[[#This Row],[PRECIO UNITARIO ESTIMADO]]</f>
        <v>1430700</v>
      </c>
      <c r="K852" s="175"/>
      <c r="L852" s="16" t="s">
        <v>18</v>
      </c>
      <c r="M852" s="16" t="s">
        <v>22</v>
      </c>
      <c r="N852" s="16"/>
      <c r="O852" s="243"/>
      <c r="P852" s="243"/>
      <c r="Q852" s="243"/>
      <c r="R852" s="243"/>
      <c r="S852" s="243"/>
      <c r="T852" s="243"/>
      <c r="U852" s="243"/>
      <c r="V852" s="243"/>
      <c r="W852" s="243"/>
      <c r="X852" s="243"/>
      <c r="Y852" s="243"/>
      <c r="Z852" s="243"/>
      <c r="AA852" s="243"/>
      <c r="AB852" s="243"/>
      <c r="AC852" s="243"/>
      <c r="AD852" s="243"/>
      <c r="AE852" s="243"/>
      <c r="AF852" s="243"/>
      <c r="AG852" s="243"/>
      <c r="AH852" s="243"/>
      <c r="AI852" s="243"/>
      <c r="AJ852" s="243"/>
      <c r="AK852" s="243"/>
      <c r="AL852" s="243"/>
      <c r="AM852" s="243"/>
      <c r="AN852" s="243"/>
      <c r="AO852" s="243"/>
      <c r="AP852" s="243"/>
      <c r="AQ852" s="243"/>
      <c r="AR852" s="243"/>
      <c r="AS852" s="243"/>
      <c r="AT852" s="243"/>
      <c r="AU852" s="243"/>
      <c r="AV852" s="243"/>
      <c r="AW852" s="243"/>
      <c r="AX852" s="243"/>
      <c r="AY852" s="243"/>
      <c r="AZ852" s="243"/>
      <c r="BA852" s="243"/>
      <c r="BB852" s="243"/>
      <c r="BC852" s="243"/>
      <c r="BD852" s="243"/>
      <c r="BE852" s="243"/>
      <c r="BF852" s="243"/>
      <c r="BG852" s="243"/>
      <c r="BH852" s="243"/>
      <c r="BI852" s="243"/>
      <c r="BJ852" s="243"/>
      <c r="BK852" s="243"/>
      <c r="BL852" s="243"/>
      <c r="BM852" s="243"/>
      <c r="BN852" s="243"/>
      <c r="BO852" s="243"/>
      <c r="BP852" s="243"/>
      <c r="BQ852" s="243"/>
      <c r="BR852" s="243"/>
      <c r="BS852" s="243"/>
    </row>
    <row r="853" spans="1:71" s="12" customFormat="1" ht="41.25" customHeight="1">
      <c r="A853" s="178" t="s">
        <v>80</v>
      </c>
      <c r="B853" s="178" t="str">
        <f ca="1">+UPPER(Tabla1321124[[#This Row],[DESCRIPCIÓN DE LA COMPRA O CONTRATACIÓN]])</f>
        <v>VÁLVULA DE 04”  HF PLATILLADA C/NIPLES, TORNILLOS, JUNTAS DE GOMA Y VÁSTAGO FIJO</v>
      </c>
      <c r="C853" s="39" t="s">
        <v>17</v>
      </c>
      <c r="D853" s="369">
        <v>10</v>
      </c>
      <c r="E853" s="369">
        <v>10</v>
      </c>
      <c r="F853" s="369">
        <v>5</v>
      </c>
      <c r="G853" s="369">
        <v>5</v>
      </c>
      <c r="H853" s="240">
        <f>SUM(Tabla1321124[[#This Row],[PRIMER TRIMESTRE]:[CUARTO TRIMESTRE]])</f>
        <v>30</v>
      </c>
      <c r="I853" s="17">
        <v>43280</v>
      </c>
      <c r="J853" s="17">
        <f>+Tabla1321124[[#This Row],[CANTIDAD TOTAL]]*Tabla1321124[[#This Row],[PRECIO UNITARIO ESTIMADO]]</f>
        <v>1298400</v>
      </c>
      <c r="K853" s="175"/>
      <c r="L853" s="16" t="s">
        <v>18</v>
      </c>
      <c r="M853" s="16" t="s">
        <v>22</v>
      </c>
      <c r="N853" s="16"/>
      <c r="O853" s="243"/>
      <c r="P853" s="243"/>
      <c r="Q853" s="243"/>
      <c r="R853" s="243"/>
      <c r="S853" s="243"/>
      <c r="T853" s="243"/>
      <c r="U853" s="243"/>
      <c r="V853" s="243"/>
      <c r="W853" s="243"/>
      <c r="X853" s="243"/>
      <c r="Y853" s="243"/>
      <c r="Z853" s="243"/>
      <c r="AA853" s="243"/>
      <c r="AB853" s="243"/>
      <c r="AC853" s="243"/>
      <c r="AD853" s="243"/>
      <c r="AE853" s="243"/>
      <c r="AF853" s="243"/>
      <c r="AG853" s="243"/>
      <c r="AH853" s="243"/>
      <c r="AI853" s="243"/>
      <c r="AJ853" s="243"/>
      <c r="AK853" s="243"/>
      <c r="AL853" s="243"/>
      <c r="AM853" s="243"/>
      <c r="AN853" s="243"/>
      <c r="AO853" s="243"/>
      <c r="AP853" s="243"/>
      <c r="AQ853" s="243"/>
      <c r="AR853" s="243"/>
      <c r="AS853" s="243"/>
      <c r="AT853" s="243"/>
      <c r="AU853" s="243"/>
      <c r="AV853" s="243"/>
      <c r="AW853" s="243"/>
      <c r="AX853" s="243"/>
      <c r="AY853" s="243"/>
      <c r="AZ853" s="243"/>
      <c r="BA853" s="243"/>
      <c r="BB853" s="243"/>
      <c r="BC853" s="243"/>
      <c r="BD853" s="243"/>
      <c r="BE853" s="243"/>
      <c r="BF853" s="243"/>
      <c r="BG853" s="243"/>
      <c r="BH853" s="243"/>
      <c r="BI853" s="243"/>
      <c r="BJ853" s="243"/>
      <c r="BK853" s="243"/>
      <c r="BL853" s="243"/>
      <c r="BM853" s="243"/>
      <c r="BN853" s="243"/>
      <c r="BO853" s="243"/>
      <c r="BP853" s="243"/>
      <c r="BQ853" s="243"/>
      <c r="BR853" s="243"/>
      <c r="BS853" s="243"/>
    </row>
    <row r="854" spans="1:71" s="12" customFormat="1" ht="41.25" customHeight="1">
      <c r="A854" s="178" t="s">
        <v>80</v>
      </c>
      <c r="B854" s="178" t="str">
        <f ca="1">+UPPER(Tabla1321124[[#This Row],[DESCRIPCIÓN DE LA COMPRA O CONTRATACIÓN]])</f>
        <v>VÁLVULA DE 04” HF  ROSCADA C/NIPLES Y VÁSTAGO FIJO</v>
      </c>
      <c r="C854" s="39" t="s">
        <v>17</v>
      </c>
      <c r="D854" s="369">
        <v>10</v>
      </c>
      <c r="E854" s="369">
        <v>10</v>
      </c>
      <c r="F854" s="369">
        <v>5</v>
      </c>
      <c r="G854" s="369">
        <v>5</v>
      </c>
      <c r="H854" s="240">
        <f>SUM(Tabla1321124[[#This Row],[PRIMER TRIMESTRE]:[CUARTO TRIMESTRE]])</f>
        <v>30</v>
      </c>
      <c r="I854" s="17">
        <v>45390</v>
      </c>
      <c r="J854" s="17">
        <f>+Tabla1321124[[#This Row],[CANTIDAD TOTAL]]*Tabla1321124[[#This Row],[PRECIO UNITARIO ESTIMADO]]</f>
        <v>1361700</v>
      </c>
      <c r="K854" s="175"/>
      <c r="L854" s="16" t="s">
        <v>18</v>
      </c>
      <c r="M854" s="16" t="s">
        <v>22</v>
      </c>
      <c r="N854" s="16"/>
      <c r="O854" s="243"/>
      <c r="P854" s="243"/>
      <c r="Q854" s="243"/>
      <c r="R854" s="243"/>
      <c r="S854" s="243"/>
      <c r="T854" s="243"/>
      <c r="U854" s="243"/>
      <c r="V854" s="243"/>
      <c r="W854" s="243"/>
      <c r="X854" s="243"/>
      <c r="Y854" s="243"/>
      <c r="Z854" s="243"/>
      <c r="AA854" s="243"/>
      <c r="AB854" s="243"/>
      <c r="AC854" s="243"/>
      <c r="AD854" s="243"/>
      <c r="AE854" s="243"/>
      <c r="AF854" s="243"/>
      <c r="AG854" s="243"/>
      <c r="AH854" s="243"/>
      <c r="AI854" s="243"/>
      <c r="AJ854" s="243"/>
      <c r="AK854" s="243"/>
      <c r="AL854" s="243"/>
      <c r="AM854" s="243"/>
      <c r="AN854" s="243"/>
      <c r="AO854" s="243"/>
      <c r="AP854" s="243"/>
      <c r="AQ854" s="243"/>
      <c r="AR854" s="243"/>
      <c r="AS854" s="243"/>
      <c r="AT854" s="243"/>
      <c r="AU854" s="243"/>
      <c r="AV854" s="243"/>
      <c r="AW854" s="243"/>
      <c r="AX854" s="243"/>
      <c r="AY854" s="243"/>
      <c r="AZ854" s="243"/>
      <c r="BA854" s="243"/>
      <c r="BB854" s="243"/>
      <c r="BC854" s="243"/>
      <c r="BD854" s="243"/>
      <c r="BE854" s="243"/>
      <c r="BF854" s="243"/>
      <c r="BG854" s="243"/>
      <c r="BH854" s="243"/>
      <c r="BI854" s="243"/>
      <c r="BJ854" s="243"/>
      <c r="BK854" s="243"/>
      <c r="BL854" s="243"/>
      <c r="BM854" s="243"/>
      <c r="BN854" s="243"/>
      <c r="BO854" s="243"/>
      <c r="BP854" s="243"/>
      <c r="BQ854" s="243"/>
      <c r="BR854" s="243"/>
      <c r="BS854" s="243"/>
    </row>
    <row r="855" spans="1:71" s="12" customFormat="1" ht="41.25" customHeight="1">
      <c r="A855" s="178" t="s">
        <v>80</v>
      </c>
      <c r="B855" s="178" t="str">
        <f ca="1">+UPPER(Tabla1321124[[#This Row],[DESCRIPCIÓN DE LA COMPRA O CONTRATACIÓN]])</f>
        <v>VÁLVULA DE 06”  HF PLATILLADA C/NIPLES, TORNILLOS, JUNTAS DE GOMA Y VÁSTAGO FIJO</v>
      </c>
      <c r="C855" s="39" t="s">
        <v>17</v>
      </c>
      <c r="D855" s="369">
        <v>10</v>
      </c>
      <c r="E855" s="369">
        <v>10</v>
      </c>
      <c r="F855" s="369">
        <v>5</v>
      </c>
      <c r="G855" s="369">
        <v>5</v>
      </c>
      <c r="H855" s="240">
        <f>SUM(Tabla1321124[[#This Row],[PRIMER TRIMESTRE]:[CUARTO TRIMESTRE]])</f>
        <v>30</v>
      </c>
      <c r="I855" s="17">
        <v>47600</v>
      </c>
      <c r="J855" s="17">
        <f>+Tabla1321124[[#This Row],[CANTIDAD TOTAL]]*Tabla1321124[[#This Row],[PRECIO UNITARIO ESTIMADO]]</f>
        <v>1428000</v>
      </c>
      <c r="K855" s="175"/>
      <c r="L855" s="16" t="s">
        <v>18</v>
      </c>
      <c r="M855" s="16" t="s">
        <v>22</v>
      </c>
      <c r="N855" s="16"/>
      <c r="O855" s="243"/>
      <c r="P855" s="243"/>
      <c r="Q855" s="243"/>
      <c r="R855" s="243"/>
      <c r="S855" s="243"/>
      <c r="T855" s="243"/>
      <c r="U855" s="243"/>
      <c r="V855" s="243"/>
      <c r="W855" s="243"/>
      <c r="X855" s="243"/>
      <c r="Y855" s="243"/>
      <c r="Z855" s="243"/>
      <c r="AA855" s="243"/>
      <c r="AB855" s="243"/>
      <c r="AC855" s="243"/>
      <c r="AD855" s="243"/>
      <c r="AE855" s="243"/>
      <c r="AF855" s="243"/>
      <c r="AG855" s="243"/>
      <c r="AH855" s="243"/>
      <c r="AI855" s="243"/>
      <c r="AJ855" s="243"/>
      <c r="AK855" s="243"/>
      <c r="AL855" s="243"/>
      <c r="AM855" s="243"/>
      <c r="AN855" s="243"/>
      <c r="AO855" s="243"/>
      <c r="AP855" s="243"/>
      <c r="AQ855" s="243"/>
      <c r="AR855" s="243"/>
      <c r="AS855" s="243"/>
      <c r="AT855" s="243"/>
      <c r="AU855" s="243"/>
      <c r="AV855" s="243"/>
      <c r="AW855" s="243"/>
      <c r="AX855" s="243"/>
      <c r="AY855" s="243"/>
      <c r="AZ855" s="243"/>
      <c r="BA855" s="243"/>
      <c r="BB855" s="243"/>
      <c r="BC855" s="243"/>
      <c r="BD855" s="243"/>
      <c r="BE855" s="243"/>
      <c r="BF855" s="243"/>
      <c r="BG855" s="243"/>
      <c r="BH855" s="243"/>
      <c r="BI855" s="243"/>
      <c r="BJ855" s="243"/>
      <c r="BK855" s="243"/>
      <c r="BL855" s="243"/>
      <c r="BM855" s="243"/>
      <c r="BN855" s="243"/>
      <c r="BO855" s="243"/>
      <c r="BP855" s="243"/>
      <c r="BQ855" s="243"/>
      <c r="BR855" s="243"/>
      <c r="BS855" s="243"/>
    </row>
    <row r="856" spans="1:71" s="12" customFormat="1" ht="41.25" customHeight="1">
      <c r="A856" s="178" t="s">
        <v>80</v>
      </c>
      <c r="B856" s="178" t="str">
        <f ca="1">+UPPER(Tabla1321124[[#This Row],[DESCRIPCIÓN DE LA COMPRA O CONTRATACIÓN]])</f>
        <v>VÁLVULA DE 06” HF ROSCADA C/NIPLES Y VÁSTAGO FIJO</v>
      </c>
      <c r="C856" s="39" t="s">
        <v>17</v>
      </c>
      <c r="D856" s="369">
        <v>10</v>
      </c>
      <c r="E856" s="369">
        <v>10</v>
      </c>
      <c r="F856" s="369">
        <v>5</v>
      </c>
      <c r="G856" s="369">
        <v>5</v>
      </c>
      <c r="H856" s="240">
        <f>SUM(Tabla1321124[[#This Row],[PRIMER TRIMESTRE]:[CUARTO TRIMESTRE]])</f>
        <v>30</v>
      </c>
      <c r="I856" s="17">
        <v>46900</v>
      </c>
      <c r="J856" s="17">
        <f>+Tabla1321124[[#This Row],[CANTIDAD TOTAL]]*Tabla1321124[[#This Row],[PRECIO UNITARIO ESTIMADO]]</f>
        <v>1407000</v>
      </c>
      <c r="K856" s="175"/>
      <c r="L856" s="16" t="s">
        <v>18</v>
      </c>
      <c r="M856" s="16" t="s">
        <v>22</v>
      </c>
      <c r="N856" s="16"/>
      <c r="O856" s="243"/>
      <c r="P856" s="243"/>
      <c r="Q856" s="243"/>
      <c r="R856" s="243"/>
      <c r="S856" s="243"/>
      <c r="T856" s="243"/>
      <c r="U856" s="243"/>
      <c r="V856" s="243"/>
      <c r="W856" s="243"/>
      <c r="X856" s="243"/>
      <c r="Y856" s="243"/>
      <c r="Z856" s="243"/>
      <c r="AA856" s="243"/>
      <c r="AB856" s="243"/>
      <c r="AC856" s="243"/>
      <c r="AD856" s="243"/>
      <c r="AE856" s="243"/>
      <c r="AF856" s="243"/>
      <c r="AG856" s="243"/>
      <c r="AH856" s="243"/>
      <c r="AI856" s="243"/>
      <c r="AJ856" s="243"/>
      <c r="AK856" s="243"/>
      <c r="AL856" s="243"/>
      <c r="AM856" s="243"/>
      <c r="AN856" s="243"/>
      <c r="AO856" s="243"/>
      <c r="AP856" s="243"/>
      <c r="AQ856" s="243"/>
      <c r="AR856" s="243"/>
      <c r="AS856" s="243"/>
      <c r="AT856" s="243"/>
      <c r="AU856" s="243"/>
      <c r="AV856" s="243"/>
      <c r="AW856" s="243"/>
      <c r="AX856" s="243"/>
      <c r="AY856" s="243"/>
      <c r="AZ856" s="243"/>
      <c r="BA856" s="243"/>
      <c r="BB856" s="243"/>
      <c r="BC856" s="243"/>
      <c r="BD856" s="243"/>
      <c r="BE856" s="243"/>
      <c r="BF856" s="243"/>
      <c r="BG856" s="243"/>
      <c r="BH856" s="243"/>
      <c r="BI856" s="243"/>
      <c r="BJ856" s="243"/>
      <c r="BK856" s="243"/>
      <c r="BL856" s="243"/>
      <c r="BM856" s="243"/>
      <c r="BN856" s="243"/>
      <c r="BO856" s="243"/>
      <c r="BP856" s="243"/>
      <c r="BQ856" s="243"/>
      <c r="BR856" s="243"/>
      <c r="BS856" s="243"/>
    </row>
    <row r="857" spans="1:71" s="12" customFormat="1" ht="41.25" customHeight="1">
      <c r="A857" s="178" t="s">
        <v>80</v>
      </c>
      <c r="B857" s="178" t="str">
        <f ca="1">+UPPER(Tabla1321124[[#This Row],[DESCRIPCIÓN DE LA COMPRA O CONTRATACIÓN]])</f>
        <v>VÁLVULA DE 08”  HF PLATILLADA C/NIPLES, TORNILLOS, JUNTAS DE GOMA Y VÁSTAGO FIJO</v>
      </c>
      <c r="C857" s="39" t="s">
        <v>17</v>
      </c>
      <c r="D857" s="369">
        <v>5</v>
      </c>
      <c r="E857" s="369">
        <v>5</v>
      </c>
      <c r="F857" s="369">
        <v>5</v>
      </c>
      <c r="G857" s="369">
        <v>5</v>
      </c>
      <c r="H857" s="240">
        <f>SUM(Tabla1321124[[#This Row],[PRIMER TRIMESTRE]:[CUARTO TRIMESTRE]])</f>
        <v>20</v>
      </c>
      <c r="I857" s="17">
        <v>49500</v>
      </c>
      <c r="J857" s="17">
        <f>+Tabla1321124[[#This Row],[CANTIDAD TOTAL]]*Tabla1321124[[#This Row],[PRECIO UNITARIO ESTIMADO]]</f>
        <v>990000</v>
      </c>
      <c r="K857" s="175"/>
      <c r="L857" s="16" t="s">
        <v>18</v>
      </c>
      <c r="M857" s="16" t="s">
        <v>22</v>
      </c>
      <c r="N857" s="16"/>
      <c r="O857" s="243"/>
      <c r="P857" s="243"/>
      <c r="Q857" s="243"/>
      <c r="R857" s="243"/>
      <c r="S857" s="243"/>
      <c r="T857" s="243"/>
      <c r="U857" s="243"/>
      <c r="V857" s="243"/>
      <c r="W857" s="243"/>
      <c r="X857" s="243"/>
      <c r="Y857" s="243"/>
      <c r="Z857" s="243"/>
      <c r="AA857" s="243"/>
      <c r="AB857" s="243"/>
      <c r="AC857" s="243"/>
      <c r="AD857" s="243"/>
      <c r="AE857" s="243"/>
      <c r="AF857" s="243"/>
      <c r="AG857" s="243"/>
      <c r="AH857" s="243"/>
      <c r="AI857" s="243"/>
      <c r="AJ857" s="243"/>
      <c r="AK857" s="243"/>
      <c r="AL857" s="243"/>
      <c r="AM857" s="243"/>
      <c r="AN857" s="243"/>
      <c r="AO857" s="243"/>
      <c r="AP857" s="243"/>
      <c r="AQ857" s="243"/>
      <c r="AR857" s="243"/>
      <c r="AS857" s="243"/>
      <c r="AT857" s="243"/>
      <c r="AU857" s="243"/>
      <c r="AV857" s="243"/>
      <c r="AW857" s="243"/>
      <c r="AX857" s="243"/>
      <c r="AY857" s="243"/>
      <c r="AZ857" s="243"/>
      <c r="BA857" s="243"/>
      <c r="BB857" s="243"/>
      <c r="BC857" s="243"/>
      <c r="BD857" s="243"/>
      <c r="BE857" s="243"/>
      <c r="BF857" s="243"/>
      <c r="BG857" s="243"/>
      <c r="BH857" s="243"/>
      <c r="BI857" s="243"/>
      <c r="BJ857" s="243"/>
      <c r="BK857" s="243"/>
      <c r="BL857" s="243"/>
      <c r="BM857" s="243"/>
      <c r="BN857" s="243"/>
      <c r="BO857" s="243"/>
      <c r="BP857" s="243"/>
      <c r="BQ857" s="243"/>
      <c r="BR857" s="243"/>
      <c r="BS857" s="243"/>
    </row>
    <row r="858" spans="1:71" s="12" customFormat="1" ht="41.25" customHeight="1">
      <c r="A858" s="178" t="s">
        <v>80</v>
      </c>
      <c r="B858" s="178" t="str">
        <f ca="1">+UPPER(Tabla1321124[[#This Row],[DESCRIPCIÓN DE LA COMPRA O CONTRATACIÓN]])</f>
        <v>VÁLVULA DE 08” HF  ROSCADA C/NIPLES Y VÁSTAGO FIJO</v>
      </c>
      <c r="C858" s="39" t="s">
        <v>17</v>
      </c>
      <c r="D858" s="369">
        <v>5</v>
      </c>
      <c r="E858" s="369">
        <v>5</v>
      </c>
      <c r="F858" s="369">
        <v>5</v>
      </c>
      <c r="G858" s="369">
        <v>5</v>
      </c>
      <c r="H858" s="240">
        <f>SUM(Tabla1321124[[#This Row],[PRIMER TRIMESTRE]:[CUARTO TRIMESTRE]])</f>
        <v>20</v>
      </c>
      <c r="I858" s="17">
        <v>47800</v>
      </c>
      <c r="J858" s="17">
        <f>+Tabla1321124[[#This Row],[CANTIDAD TOTAL]]*Tabla1321124[[#This Row],[PRECIO UNITARIO ESTIMADO]]</f>
        <v>956000</v>
      </c>
      <c r="K858" s="175"/>
      <c r="L858" s="16" t="s">
        <v>18</v>
      </c>
      <c r="M858" s="16" t="s">
        <v>22</v>
      </c>
      <c r="N858" s="16"/>
      <c r="O858" s="243"/>
      <c r="P858" s="243"/>
      <c r="Q858" s="243"/>
      <c r="R858" s="243"/>
      <c r="S858" s="243"/>
      <c r="T858" s="243"/>
      <c r="U858" s="243"/>
      <c r="V858" s="243"/>
      <c r="W858" s="243"/>
      <c r="X858" s="243"/>
      <c r="Y858" s="243"/>
      <c r="Z858" s="243"/>
      <c r="AA858" s="243"/>
      <c r="AB858" s="243"/>
      <c r="AC858" s="243"/>
      <c r="AD858" s="243"/>
      <c r="AE858" s="243"/>
      <c r="AF858" s="243"/>
      <c r="AG858" s="243"/>
      <c r="AH858" s="243"/>
      <c r="AI858" s="243"/>
      <c r="AJ858" s="243"/>
      <c r="AK858" s="243"/>
      <c r="AL858" s="243"/>
      <c r="AM858" s="243"/>
      <c r="AN858" s="243"/>
      <c r="AO858" s="243"/>
      <c r="AP858" s="243"/>
      <c r="AQ858" s="243"/>
      <c r="AR858" s="243"/>
      <c r="AS858" s="243"/>
      <c r="AT858" s="243"/>
      <c r="AU858" s="243"/>
      <c r="AV858" s="243"/>
      <c r="AW858" s="243"/>
      <c r="AX858" s="243"/>
      <c r="AY858" s="243"/>
      <c r="AZ858" s="243"/>
      <c r="BA858" s="243"/>
      <c r="BB858" s="243"/>
      <c r="BC858" s="243"/>
      <c r="BD858" s="243"/>
      <c r="BE858" s="243"/>
      <c r="BF858" s="243"/>
      <c r="BG858" s="243"/>
      <c r="BH858" s="243"/>
      <c r="BI858" s="243"/>
      <c r="BJ858" s="243"/>
      <c r="BK858" s="243"/>
      <c r="BL858" s="243"/>
      <c r="BM858" s="243"/>
      <c r="BN858" s="243"/>
      <c r="BO858" s="243"/>
      <c r="BP858" s="243"/>
      <c r="BQ858" s="243"/>
      <c r="BR858" s="243"/>
      <c r="BS858" s="243"/>
    </row>
    <row r="859" spans="1:71" s="12" customFormat="1" ht="41.25" customHeight="1">
      <c r="A859" s="178" t="s">
        <v>80</v>
      </c>
      <c r="B859" s="178" t="str">
        <f ca="1">+UPPER(Tabla1321124[[#This Row],[DESCRIPCIÓN DE LA COMPRA O CONTRATACIÓN]])</f>
        <v>VÁLVULA DE 12”  HF PLATILLADA C/NIPLES, TORNILLOS, JUNTAS DE GOMA Y VÁSTAGO FIJO</v>
      </c>
      <c r="C859" s="39" t="s">
        <v>17</v>
      </c>
      <c r="D859" s="368">
        <v>6</v>
      </c>
      <c r="E859" s="369">
        <v>3</v>
      </c>
      <c r="F859" s="369">
        <v>3</v>
      </c>
      <c r="G859" s="369">
        <v>3</v>
      </c>
      <c r="H859" s="240">
        <f>SUM(Tabla1321124[[#This Row],[PRIMER TRIMESTRE]:[CUARTO TRIMESTRE]])</f>
        <v>15</v>
      </c>
      <c r="I859" s="17">
        <v>51200</v>
      </c>
      <c r="J859" s="17">
        <f>+Tabla1321124[[#This Row],[CANTIDAD TOTAL]]*Tabla1321124[[#This Row],[PRECIO UNITARIO ESTIMADO]]</f>
        <v>768000</v>
      </c>
      <c r="K859" s="175"/>
      <c r="L859" s="16" t="s">
        <v>18</v>
      </c>
      <c r="M859" s="16" t="s">
        <v>22</v>
      </c>
      <c r="N859" s="16"/>
      <c r="O859" s="243"/>
      <c r="P859" s="243"/>
      <c r="Q859" s="243"/>
      <c r="R859" s="243"/>
      <c r="S859" s="243"/>
      <c r="T859" s="243"/>
      <c r="U859" s="243"/>
      <c r="V859" s="243"/>
      <c r="W859" s="243"/>
      <c r="X859" s="243"/>
      <c r="Y859" s="243"/>
      <c r="Z859" s="243"/>
      <c r="AA859" s="243"/>
      <c r="AB859" s="243"/>
      <c r="AC859" s="243"/>
      <c r="AD859" s="243"/>
      <c r="AE859" s="243"/>
      <c r="AF859" s="243"/>
      <c r="AG859" s="243"/>
      <c r="AH859" s="243"/>
      <c r="AI859" s="243"/>
      <c r="AJ859" s="243"/>
      <c r="AK859" s="243"/>
      <c r="AL859" s="243"/>
      <c r="AM859" s="243"/>
      <c r="AN859" s="243"/>
      <c r="AO859" s="243"/>
      <c r="AP859" s="243"/>
      <c r="AQ859" s="243"/>
      <c r="AR859" s="243"/>
      <c r="AS859" s="243"/>
      <c r="AT859" s="243"/>
      <c r="AU859" s="243"/>
      <c r="AV859" s="243"/>
      <c r="AW859" s="243"/>
      <c r="AX859" s="243"/>
      <c r="AY859" s="243"/>
      <c r="AZ859" s="243"/>
      <c r="BA859" s="243"/>
      <c r="BB859" s="243"/>
      <c r="BC859" s="243"/>
      <c r="BD859" s="243"/>
      <c r="BE859" s="243"/>
      <c r="BF859" s="243"/>
      <c r="BG859" s="243"/>
      <c r="BH859" s="243"/>
      <c r="BI859" s="243"/>
      <c r="BJ859" s="243"/>
      <c r="BK859" s="243"/>
      <c r="BL859" s="243"/>
      <c r="BM859" s="243"/>
      <c r="BN859" s="243"/>
      <c r="BO859" s="243"/>
      <c r="BP859" s="243"/>
      <c r="BQ859" s="243"/>
      <c r="BR859" s="243"/>
      <c r="BS859" s="243"/>
    </row>
    <row r="860" spans="1:71" s="12" customFormat="1" ht="41.25" customHeight="1">
      <c r="A860" s="178" t="s">
        <v>80</v>
      </c>
      <c r="B860" s="178" t="str">
        <f ca="1">+UPPER(Tabla1321124[[#This Row],[DESCRIPCIÓN DE LA COMPRA O CONTRATACIÓN]])</f>
        <v>VÁLVULA DE 12” HF  ROSCADA C/NIPLES Y VÁSTAGO FIJO</v>
      </c>
      <c r="C860" s="39" t="s">
        <v>17</v>
      </c>
      <c r="D860" s="368">
        <v>6</v>
      </c>
      <c r="E860" s="369">
        <v>3</v>
      </c>
      <c r="F860" s="369">
        <v>3</v>
      </c>
      <c r="G860" s="369">
        <v>3</v>
      </c>
      <c r="H860" s="240">
        <f>SUM(Tabla1321124[[#This Row],[PRIMER TRIMESTRE]:[CUARTO TRIMESTRE]])</f>
        <v>15</v>
      </c>
      <c r="I860" s="17">
        <v>49800</v>
      </c>
      <c r="J860" s="17">
        <f>+Tabla1321124[[#This Row],[CANTIDAD TOTAL]]*Tabla1321124[[#This Row],[PRECIO UNITARIO ESTIMADO]]</f>
        <v>747000</v>
      </c>
      <c r="K860" s="175"/>
      <c r="L860" s="16" t="s">
        <v>18</v>
      </c>
      <c r="M860" s="16" t="s">
        <v>22</v>
      </c>
      <c r="N860" s="16"/>
      <c r="O860" s="243"/>
      <c r="P860" s="243"/>
      <c r="Q860" s="243"/>
      <c r="R860" s="243"/>
      <c r="S860" s="243"/>
      <c r="T860" s="243"/>
      <c r="U860" s="243"/>
      <c r="V860" s="243"/>
      <c r="W860" s="243"/>
      <c r="X860" s="243"/>
      <c r="Y860" s="243"/>
      <c r="Z860" s="243"/>
      <c r="AA860" s="243"/>
      <c r="AB860" s="243"/>
      <c r="AC860" s="243"/>
      <c r="AD860" s="243"/>
      <c r="AE860" s="243"/>
      <c r="AF860" s="243"/>
      <c r="AG860" s="243"/>
      <c r="AH860" s="243"/>
      <c r="AI860" s="243"/>
      <c r="AJ860" s="243"/>
      <c r="AK860" s="243"/>
      <c r="AL860" s="243"/>
      <c r="AM860" s="243"/>
      <c r="AN860" s="243"/>
      <c r="AO860" s="243"/>
      <c r="AP860" s="243"/>
      <c r="AQ860" s="243"/>
      <c r="AR860" s="243"/>
      <c r="AS860" s="243"/>
      <c r="AT860" s="243"/>
      <c r="AU860" s="243"/>
      <c r="AV860" s="243"/>
      <c r="AW860" s="243"/>
      <c r="AX860" s="243"/>
      <c r="AY860" s="243"/>
      <c r="AZ860" s="243"/>
      <c r="BA860" s="243"/>
      <c r="BB860" s="243"/>
      <c r="BC860" s="243"/>
      <c r="BD860" s="243"/>
      <c r="BE860" s="243"/>
      <c r="BF860" s="243"/>
      <c r="BG860" s="243"/>
      <c r="BH860" s="243"/>
      <c r="BI860" s="243"/>
      <c r="BJ860" s="243"/>
      <c r="BK860" s="243"/>
      <c r="BL860" s="243"/>
      <c r="BM860" s="243"/>
      <c r="BN860" s="243"/>
      <c r="BO860" s="243"/>
      <c r="BP860" s="243"/>
      <c r="BQ860" s="243"/>
      <c r="BR860" s="243"/>
      <c r="BS860" s="243"/>
    </row>
    <row r="861" spans="1:71" s="12" customFormat="1" ht="41.25" customHeight="1">
      <c r="A861" s="178" t="s">
        <v>80</v>
      </c>
      <c r="B861" s="178" t="str">
        <f ca="1">+UPPER(Tabla1321124[[#This Row],[DESCRIPCIÓN DE LA COMPRA O CONTRATACIÓN]])</f>
        <v>VÁLVULA DE 16”  HF PLATILLADA C/NIPLES, TORNILLOS, JUNTAS DE GOMA Y VÁSTAGO FIJO</v>
      </c>
      <c r="C861" s="39" t="s">
        <v>17</v>
      </c>
      <c r="D861" s="368">
        <v>6</v>
      </c>
      <c r="E861" s="369">
        <v>3</v>
      </c>
      <c r="F861" s="369">
        <v>3</v>
      </c>
      <c r="G861" s="369">
        <v>3</v>
      </c>
      <c r="H861" s="240">
        <f>SUM(Tabla1321124[[#This Row],[PRIMER TRIMESTRE]:[CUARTO TRIMESTRE]])</f>
        <v>15</v>
      </c>
      <c r="I861" s="17">
        <v>52600</v>
      </c>
      <c r="J861" s="17">
        <f>+Tabla1321124[[#This Row],[CANTIDAD TOTAL]]*Tabla1321124[[#This Row],[PRECIO UNITARIO ESTIMADO]]</f>
        <v>789000</v>
      </c>
      <c r="K861" s="175"/>
      <c r="L861" s="16" t="s">
        <v>18</v>
      </c>
      <c r="M861" s="16" t="s">
        <v>22</v>
      </c>
      <c r="N861" s="16"/>
      <c r="O861" s="243"/>
      <c r="P861" s="243"/>
      <c r="Q861" s="243"/>
      <c r="R861" s="243"/>
      <c r="S861" s="243"/>
      <c r="T861" s="243"/>
      <c r="U861" s="243"/>
      <c r="V861" s="243"/>
      <c r="W861" s="243"/>
      <c r="X861" s="243"/>
      <c r="Y861" s="243"/>
      <c r="Z861" s="243"/>
      <c r="AA861" s="243"/>
      <c r="AB861" s="243"/>
      <c r="AC861" s="243"/>
      <c r="AD861" s="243"/>
      <c r="AE861" s="243"/>
      <c r="AF861" s="243"/>
      <c r="AG861" s="243"/>
      <c r="AH861" s="243"/>
      <c r="AI861" s="243"/>
      <c r="AJ861" s="243"/>
      <c r="AK861" s="243"/>
      <c r="AL861" s="243"/>
      <c r="AM861" s="243"/>
      <c r="AN861" s="243"/>
      <c r="AO861" s="243"/>
      <c r="AP861" s="243"/>
      <c r="AQ861" s="243"/>
      <c r="AR861" s="243"/>
      <c r="AS861" s="243"/>
      <c r="AT861" s="243"/>
      <c r="AU861" s="243"/>
      <c r="AV861" s="243"/>
      <c r="AW861" s="243"/>
      <c r="AX861" s="243"/>
      <c r="AY861" s="243"/>
      <c r="AZ861" s="243"/>
      <c r="BA861" s="243"/>
      <c r="BB861" s="243"/>
      <c r="BC861" s="243"/>
      <c r="BD861" s="243"/>
      <c r="BE861" s="243"/>
      <c r="BF861" s="243"/>
      <c r="BG861" s="243"/>
      <c r="BH861" s="243"/>
      <c r="BI861" s="243"/>
      <c r="BJ861" s="243"/>
      <c r="BK861" s="243"/>
      <c r="BL861" s="243"/>
      <c r="BM861" s="243"/>
      <c r="BN861" s="243"/>
      <c r="BO861" s="243"/>
      <c r="BP861" s="243"/>
      <c r="BQ861" s="243"/>
      <c r="BR861" s="243"/>
      <c r="BS861" s="243"/>
    </row>
    <row r="862" spans="1:71" s="12" customFormat="1" ht="41.25" customHeight="1">
      <c r="A862" s="178" t="s">
        <v>80</v>
      </c>
      <c r="B862" s="178" t="str">
        <f ca="1">+UPPER(Tabla1321124[[#This Row],[DESCRIPCIÓN DE LA COMPRA O CONTRATACIÓN]])</f>
        <v>VÁLVULA DE 16” HF  ROSCADA C/NIPLES Y VÁSTAGO FIJO</v>
      </c>
      <c r="C862" s="39" t="s">
        <v>17</v>
      </c>
      <c r="D862" s="368">
        <v>6</v>
      </c>
      <c r="E862" s="369">
        <v>3</v>
      </c>
      <c r="F862" s="369">
        <v>3</v>
      </c>
      <c r="G862" s="369">
        <v>3</v>
      </c>
      <c r="H862" s="240">
        <f>SUM(Tabla1321124[[#This Row],[PRIMER TRIMESTRE]:[CUARTO TRIMESTRE]])</f>
        <v>15</v>
      </c>
      <c r="I862" s="17">
        <v>50400</v>
      </c>
      <c r="J862" s="17">
        <f>+Tabla1321124[[#This Row],[CANTIDAD TOTAL]]*Tabla1321124[[#This Row],[PRECIO UNITARIO ESTIMADO]]</f>
        <v>756000</v>
      </c>
      <c r="K862" s="175"/>
      <c r="L862" s="16" t="s">
        <v>18</v>
      </c>
      <c r="M862" s="16" t="s">
        <v>22</v>
      </c>
      <c r="N862" s="16"/>
      <c r="O862" s="243"/>
      <c r="P862" s="243"/>
      <c r="Q862" s="243"/>
      <c r="R862" s="243"/>
      <c r="S862" s="243"/>
      <c r="T862" s="243"/>
      <c r="U862" s="243"/>
      <c r="V862" s="243"/>
      <c r="W862" s="243"/>
      <c r="X862" s="243"/>
      <c r="Y862" s="243"/>
      <c r="Z862" s="243"/>
      <c r="AA862" s="243"/>
      <c r="AB862" s="243"/>
      <c r="AC862" s="243"/>
      <c r="AD862" s="243"/>
      <c r="AE862" s="243"/>
      <c r="AF862" s="243"/>
      <c r="AG862" s="243"/>
      <c r="AH862" s="243"/>
      <c r="AI862" s="243"/>
      <c r="AJ862" s="243"/>
      <c r="AK862" s="243"/>
      <c r="AL862" s="243"/>
      <c r="AM862" s="243"/>
      <c r="AN862" s="243"/>
      <c r="AO862" s="243"/>
      <c r="AP862" s="243"/>
      <c r="AQ862" s="243"/>
      <c r="AR862" s="243"/>
      <c r="AS862" s="243"/>
      <c r="AT862" s="243"/>
      <c r="AU862" s="243"/>
      <c r="AV862" s="243"/>
      <c r="AW862" s="243"/>
      <c r="AX862" s="243"/>
      <c r="AY862" s="243"/>
      <c r="AZ862" s="243"/>
      <c r="BA862" s="243"/>
      <c r="BB862" s="243"/>
      <c r="BC862" s="243"/>
      <c r="BD862" s="243"/>
      <c r="BE862" s="243"/>
      <c r="BF862" s="243"/>
      <c r="BG862" s="243"/>
      <c r="BH862" s="243"/>
      <c r="BI862" s="243"/>
      <c r="BJ862" s="243"/>
      <c r="BK862" s="243"/>
      <c r="BL862" s="243"/>
      <c r="BM862" s="243"/>
      <c r="BN862" s="243"/>
      <c r="BO862" s="243"/>
      <c r="BP862" s="243"/>
      <c r="BQ862" s="243"/>
      <c r="BR862" s="243"/>
      <c r="BS862" s="243"/>
    </row>
    <row r="863" spans="1:71" s="12" customFormat="1" ht="41.25" customHeight="1">
      <c r="A863" s="178" t="s">
        <v>80</v>
      </c>
      <c r="B863" s="178" t="str">
        <f ca="1">+UPPER(Tabla1321124[[#This Row],[DESCRIPCIÓN DE LA COMPRA O CONTRATACIÓN]])</f>
        <v>VIDRIO DE SOLDAR</v>
      </c>
      <c r="C863" s="39" t="s">
        <v>17</v>
      </c>
      <c r="D863" s="368">
        <v>2</v>
      </c>
      <c r="E863" s="369">
        <v>2</v>
      </c>
      <c r="F863" s="369">
        <v>1</v>
      </c>
      <c r="G863" s="369">
        <v>1</v>
      </c>
      <c r="H863" s="240">
        <f>SUM(Tabla1321124[[#This Row],[PRIMER TRIMESTRE]:[CUARTO TRIMESTRE]])</f>
        <v>6</v>
      </c>
      <c r="I863" s="17">
        <v>690</v>
      </c>
      <c r="J863" s="17">
        <f>+Tabla1321124[[#This Row],[CANTIDAD TOTAL]]*Tabla1321124[[#This Row],[PRECIO UNITARIO ESTIMADO]]</f>
        <v>4140</v>
      </c>
      <c r="K863" s="175"/>
      <c r="L863" s="16" t="s">
        <v>18</v>
      </c>
      <c r="M863" s="16" t="s">
        <v>22</v>
      </c>
      <c r="N863" s="16"/>
      <c r="O863" s="243"/>
      <c r="P863" s="243"/>
      <c r="Q863" s="243"/>
      <c r="R863" s="243"/>
      <c r="S863" s="243"/>
      <c r="T863" s="243"/>
      <c r="U863" s="243"/>
      <c r="V863" s="243"/>
      <c r="W863" s="243"/>
      <c r="X863" s="243"/>
      <c r="Y863" s="243"/>
      <c r="Z863" s="243"/>
      <c r="AA863" s="243"/>
      <c r="AB863" s="243"/>
      <c r="AC863" s="243"/>
      <c r="AD863" s="243"/>
      <c r="AE863" s="243"/>
      <c r="AF863" s="243"/>
      <c r="AG863" s="243"/>
      <c r="AH863" s="243"/>
      <c r="AI863" s="243"/>
      <c r="AJ863" s="243"/>
      <c r="AK863" s="243"/>
      <c r="AL863" s="243"/>
      <c r="AM863" s="243"/>
      <c r="AN863" s="243"/>
      <c r="AO863" s="243"/>
      <c r="AP863" s="243"/>
      <c r="AQ863" s="243"/>
      <c r="AR863" s="243"/>
      <c r="AS863" s="243"/>
      <c r="AT863" s="243"/>
      <c r="AU863" s="243"/>
      <c r="AV863" s="243"/>
      <c r="AW863" s="243"/>
      <c r="AX863" s="243"/>
      <c r="AY863" s="243"/>
      <c r="AZ863" s="243"/>
      <c r="BA863" s="243"/>
      <c r="BB863" s="243"/>
      <c r="BC863" s="243"/>
      <c r="BD863" s="243"/>
      <c r="BE863" s="243"/>
      <c r="BF863" s="243"/>
      <c r="BG863" s="243"/>
      <c r="BH863" s="243"/>
      <c r="BI863" s="243"/>
      <c r="BJ863" s="243"/>
      <c r="BK863" s="243"/>
      <c r="BL863" s="243"/>
      <c r="BM863" s="243"/>
      <c r="BN863" s="243"/>
      <c r="BO863" s="243"/>
      <c r="BP863" s="243"/>
      <c r="BQ863" s="243"/>
      <c r="BR863" s="243"/>
      <c r="BS863" s="243"/>
    </row>
    <row r="864" spans="1:71" s="12" customFormat="1" ht="41.25" customHeight="1">
      <c r="A864" s="178" t="s">
        <v>80</v>
      </c>
      <c r="B864" s="178" t="str">
        <f ca="1">+UPPER(Tabla1321124[[#This Row],[DESCRIPCIÓN DE LA COMPRA O CONTRATACIÓN]])</f>
        <v>NIPLES PLATILLADOS EN ACERO Ø2" X 12"</v>
      </c>
      <c r="C864" s="39" t="s">
        <v>17</v>
      </c>
      <c r="D864" s="362">
        <v>10</v>
      </c>
      <c r="E864" s="362"/>
      <c r="F864" s="362">
        <v>10</v>
      </c>
      <c r="G864" s="362"/>
      <c r="H864" s="240">
        <f>SUM(Tabla1321124[[#This Row],[PRIMER TRIMESTRE]:[CUARTO TRIMESTRE]])</f>
        <v>20</v>
      </c>
      <c r="I864" s="17">
        <v>350</v>
      </c>
      <c r="J864" s="17">
        <f>+Tabla1321124[[#This Row],[CANTIDAD TOTAL]]*Tabla1321124[[#This Row],[PRECIO UNITARIO ESTIMADO]]</f>
        <v>7000</v>
      </c>
      <c r="K864" s="175"/>
      <c r="L864" s="16" t="s">
        <v>18</v>
      </c>
      <c r="M864" s="16" t="s">
        <v>22</v>
      </c>
      <c r="N864" s="16"/>
      <c r="O864" s="243"/>
      <c r="P864" s="243"/>
      <c r="Q864" s="243"/>
      <c r="R864" s="243"/>
      <c r="S864" s="243"/>
      <c r="T864" s="243"/>
      <c r="U864" s="243"/>
      <c r="V864" s="243"/>
      <c r="W864" s="243"/>
      <c r="X864" s="243"/>
      <c r="Y864" s="243"/>
      <c r="Z864" s="243"/>
      <c r="AA864" s="243"/>
      <c r="AB864" s="243"/>
      <c r="AC864" s="243"/>
      <c r="AD864" s="243"/>
      <c r="AE864" s="243"/>
      <c r="AF864" s="243"/>
      <c r="AG864" s="243"/>
      <c r="AH864" s="243"/>
      <c r="AI864" s="243"/>
      <c r="AJ864" s="243"/>
      <c r="AK864" s="243"/>
      <c r="AL864" s="243"/>
      <c r="AM864" s="243"/>
      <c r="AN864" s="243"/>
      <c r="AO864" s="243"/>
      <c r="AP864" s="243"/>
      <c r="AQ864" s="243"/>
      <c r="AR864" s="243"/>
      <c r="AS864" s="243"/>
      <c r="AT864" s="243"/>
      <c r="AU864" s="243"/>
      <c r="AV864" s="243"/>
      <c r="AW864" s="243"/>
      <c r="AX864" s="243"/>
      <c r="AY864" s="243"/>
      <c r="AZ864" s="243"/>
      <c r="BA864" s="243"/>
      <c r="BB864" s="243"/>
      <c r="BC864" s="243"/>
      <c r="BD864" s="243"/>
      <c r="BE864" s="243"/>
      <c r="BF864" s="243"/>
      <c r="BG864" s="243"/>
      <c r="BH864" s="243"/>
      <c r="BI864" s="243"/>
      <c r="BJ864" s="243"/>
      <c r="BK864" s="243"/>
      <c r="BL864" s="243"/>
      <c r="BM864" s="243"/>
      <c r="BN864" s="243"/>
      <c r="BO864" s="243"/>
      <c r="BP864" s="243"/>
      <c r="BQ864" s="243"/>
      <c r="BR864" s="243"/>
      <c r="BS864" s="243"/>
    </row>
    <row r="865" spans="1:71" s="12" customFormat="1" ht="41.25" customHeight="1">
      <c r="A865" s="178" t="s">
        <v>80</v>
      </c>
      <c r="B865" s="178" t="str">
        <f ca="1">+UPPER(Tabla1321124[[#This Row],[DESCRIPCIÓN DE LA COMPRA O CONTRATACIÓN]])</f>
        <v>NIPLES PLATILLADOS EN ACERO Ø3" X 12"</v>
      </c>
      <c r="C865" s="39" t="s">
        <v>17</v>
      </c>
      <c r="D865" s="362">
        <v>10</v>
      </c>
      <c r="E865" s="362"/>
      <c r="F865" s="362">
        <v>10</v>
      </c>
      <c r="G865" s="362"/>
      <c r="H865" s="240">
        <f>SUM(Tabla1321124[[#This Row],[PRIMER TRIMESTRE]:[CUARTO TRIMESTRE]])</f>
        <v>20</v>
      </c>
      <c r="I865" s="17">
        <v>410</v>
      </c>
      <c r="J865" s="17">
        <f>+Tabla1321124[[#This Row],[CANTIDAD TOTAL]]*Tabla1321124[[#This Row],[PRECIO UNITARIO ESTIMADO]]</f>
        <v>8200</v>
      </c>
      <c r="K865" s="175"/>
      <c r="L865" s="16" t="s">
        <v>18</v>
      </c>
      <c r="M865" s="16" t="s">
        <v>22</v>
      </c>
      <c r="N865" s="16"/>
      <c r="O865" s="243"/>
      <c r="P865" s="243"/>
      <c r="Q865" s="243"/>
      <c r="R865" s="243"/>
      <c r="S865" s="243"/>
      <c r="T865" s="243"/>
      <c r="U865" s="243"/>
      <c r="V865" s="243"/>
      <c r="W865" s="243"/>
      <c r="X865" s="243"/>
      <c r="Y865" s="243"/>
      <c r="Z865" s="243"/>
      <c r="AA865" s="243"/>
      <c r="AB865" s="243"/>
      <c r="AC865" s="243"/>
      <c r="AD865" s="243"/>
      <c r="AE865" s="243"/>
      <c r="AF865" s="243"/>
      <c r="AG865" s="243"/>
      <c r="AH865" s="243"/>
      <c r="AI865" s="243"/>
      <c r="AJ865" s="243"/>
      <c r="AK865" s="243"/>
      <c r="AL865" s="243"/>
      <c r="AM865" s="243"/>
      <c r="AN865" s="243"/>
      <c r="AO865" s="243"/>
      <c r="AP865" s="243"/>
      <c r="AQ865" s="243"/>
      <c r="AR865" s="243"/>
      <c r="AS865" s="243"/>
      <c r="AT865" s="243"/>
      <c r="AU865" s="243"/>
      <c r="AV865" s="243"/>
      <c r="AW865" s="243"/>
      <c r="AX865" s="243"/>
      <c r="AY865" s="243"/>
      <c r="AZ865" s="243"/>
      <c r="BA865" s="243"/>
      <c r="BB865" s="243"/>
      <c r="BC865" s="243"/>
      <c r="BD865" s="243"/>
      <c r="BE865" s="243"/>
      <c r="BF865" s="243"/>
      <c r="BG865" s="243"/>
      <c r="BH865" s="243"/>
      <c r="BI865" s="243"/>
      <c r="BJ865" s="243"/>
      <c r="BK865" s="243"/>
      <c r="BL865" s="243"/>
      <c r="BM865" s="243"/>
      <c r="BN865" s="243"/>
      <c r="BO865" s="243"/>
      <c r="BP865" s="243"/>
      <c r="BQ865" s="243"/>
      <c r="BR865" s="243"/>
      <c r="BS865" s="243"/>
    </row>
    <row r="866" spans="1:71" s="12" customFormat="1" ht="41.25" customHeight="1">
      <c r="A866" s="178" t="s">
        <v>80</v>
      </c>
      <c r="B866" s="178" t="str">
        <f ca="1">+UPPER(Tabla1321124[[#This Row],[DESCRIPCIÓN DE LA COMPRA O CONTRATACIÓN]])</f>
        <v>NIPLES PLATILLADOS EN ACERO Ø4" X 12"</v>
      </c>
      <c r="C866" s="39" t="s">
        <v>17</v>
      </c>
      <c r="D866" s="362">
        <v>10</v>
      </c>
      <c r="E866" s="362"/>
      <c r="F866" s="362">
        <v>10</v>
      </c>
      <c r="G866" s="362"/>
      <c r="H866" s="240">
        <f>SUM(Tabla1321124[[#This Row],[PRIMER TRIMESTRE]:[CUARTO TRIMESTRE]])</f>
        <v>20</v>
      </c>
      <c r="I866" s="17">
        <v>475</v>
      </c>
      <c r="J866" s="17">
        <f>+Tabla1321124[[#This Row],[CANTIDAD TOTAL]]*Tabla1321124[[#This Row],[PRECIO UNITARIO ESTIMADO]]</f>
        <v>9500</v>
      </c>
      <c r="K866" s="175"/>
      <c r="L866" s="16" t="s">
        <v>18</v>
      </c>
      <c r="M866" s="16" t="s">
        <v>22</v>
      </c>
      <c r="N866" s="16"/>
      <c r="O866" s="243"/>
      <c r="P866" s="243"/>
      <c r="Q866" s="243"/>
      <c r="R866" s="243"/>
      <c r="S866" s="243"/>
      <c r="T866" s="243"/>
      <c r="U866" s="243"/>
      <c r="V866" s="243"/>
      <c r="W866" s="243"/>
      <c r="X866" s="243"/>
      <c r="Y866" s="243"/>
      <c r="Z866" s="243"/>
      <c r="AA866" s="243"/>
      <c r="AB866" s="243"/>
      <c r="AC866" s="243"/>
      <c r="AD866" s="243"/>
      <c r="AE866" s="243"/>
      <c r="AF866" s="243"/>
      <c r="AG866" s="243"/>
      <c r="AH866" s="243"/>
      <c r="AI866" s="243"/>
      <c r="AJ866" s="243"/>
      <c r="AK866" s="243"/>
      <c r="AL866" s="243"/>
      <c r="AM866" s="243"/>
      <c r="AN866" s="243"/>
      <c r="AO866" s="243"/>
      <c r="AP866" s="243"/>
      <c r="AQ866" s="243"/>
      <c r="AR866" s="243"/>
      <c r="AS866" s="243"/>
      <c r="AT866" s="243"/>
      <c r="AU866" s="243"/>
      <c r="AV866" s="243"/>
      <c r="AW866" s="243"/>
      <c r="AX866" s="243"/>
      <c r="AY866" s="243"/>
      <c r="AZ866" s="243"/>
      <c r="BA866" s="243"/>
      <c r="BB866" s="243"/>
      <c r="BC866" s="243"/>
      <c r="BD866" s="243"/>
      <c r="BE866" s="243"/>
      <c r="BF866" s="243"/>
      <c r="BG866" s="243"/>
      <c r="BH866" s="243"/>
      <c r="BI866" s="243"/>
      <c r="BJ866" s="243"/>
      <c r="BK866" s="243"/>
      <c r="BL866" s="243"/>
      <c r="BM866" s="243"/>
      <c r="BN866" s="243"/>
      <c r="BO866" s="243"/>
      <c r="BP866" s="243"/>
      <c r="BQ866" s="243"/>
      <c r="BR866" s="243"/>
      <c r="BS866" s="243"/>
    </row>
    <row r="867" spans="1:71" s="12" customFormat="1" ht="41.25" customHeight="1">
      <c r="A867" s="178" t="s">
        <v>80</v>
      </c>
      <c r="B867" s="178" t="str">
        <f ca="1">+UPPER(Tabla1321124[[#This Row],[DESCRIPCIÓN DE LA COMPRA O CONTRATACIÓN]])</f>
        <v>NIPLES PLATILLADOS EN ACERO Ø6" X 12"</v>
      </c>
      <c r="C867" s="39" t="s">
        <v>17</v>
      </c>
      <c r="D867" s="362">
        <v>10</v>
      </c>
      <c r="E867" s="362"/>
      <c r="F867" s="362">
        <v>10</v>
      </c>
      <c r="G867" s="362"/>
      <c r="H867" s="240">
        <f>SUM(Tabla1321124[[#This Row],[PRIMER TRIMESTRE]:[CUARTO TRIMESTRE]])</f>
        <v>20</v>
      </c>
      <c r="I867" s="17">
        <v>525</v>
      </c>
      <c r="J867" s="17">
        <f>+Tabla1321124[[#This Row],[CANTIDAD TOTAL]]*Tabla1321124[[#This Row],[PRECIO UNITARIO ESTIMADO]]</f>
        <v>10500</v>
      </c>
      <c r="K867" s="175"/>
      <c r="L867" s="16" t="s">
        <v>18</v>
      </c>
      <c r="M867" s="16" t="s">
        <v>22</v>
      </c>
      <c r="N867" s="16"/>
      <c r="O867" s="243"/>
      <c r="P867" s="243"/>
      <c r="Q867" s="243"/>
      <c r="R867" s="243"/>
      <c r="S867" s="243"/>
      <c r="T867" s="243"/>
      <c r="U867" s="243"/>
      <c r="V867" s="243"/>
      <c r="W867" s="243"/>
      <c r="X867" s="243"/>
      <c r="Y867" s="243"/>
      <c r="Z867" s="243"/>
      <c r="AA867" s="243"/>
      <c r="AB867" s="243"/>
      <c r="AC867" s="243"/>
      <c r="AD867" s="243"/>
      <c r="AE867" s="243"/>
      <c r="AF867" s="243"/>
      <c r="AG867" s="243"/>
      <c r="AH867" s="243"/>
      <c r="AI867" s="243"/>
      <c r="AJ867" s="243"/>
      <c r="AK867" s="243"/>
      <c r="AL867" s="243"/>
      <c r="AM867" s="243"/>
      <c r="AN867" s="243"/>
      <c r="AO867" s="243"/>
      <c r="AP867" s="243"/>
      <c r="AQ867" s="243"/>
      <c r="AR867" s="243"/>
      <c r="AS867" s="243"/>
      <c r="AT867" s="243"/>
      <c r="AU867" s="243"/>
      <c r="AV867" s="243"/>
      <c r="AW867" s="243"/>
      <c r="AX867" s="243"/>
      <c r="AY867" s="243"/>
      <c r="AZ867" s="243"/>
      <c r="BA867" s="243"/>
      <c r="BB867" s="243"/>
      <c r="BC867" s="243"/>
      <c r="BD867" s="243"/>
      <c r="BE867" s="243"/>
      <c r="BF867" s="243"/>
      <c r="BG867" s="243"/>
      <c r="BH867" s="243"/>
      <c r="BI867" s="243"/>
      <c r="BJ867" s="243"/>
      <c r="BK867" s="243"/>
      <c r="BL867" s="243"/>
      <c r="BM867" s="243"/>
      <c r="BN867" s="243"/>
      <c r="BO867" s="243"/>
      <c r="BP867" s="243"/>
      <c r="BQ867" s="243"/>
      <c r="BR867" s="243"/>
      <c r="BS867" s="243"/>
    </row>
    <row r="868" spans="1:71" s="12" customFormat="1" ht="41.25" customHeight="1">
      <c r="A868" s="178" t="s">
        <v>80</v>
      </c>
      <c r="B868" s="178" t="str">
        <f ca="1">+UPPER(Tabla1321124[[#This Row],[DESCRIPCIÓN DE LA COMPRA O CONTRATACIÓN]])</f>
        <v>NIPLES PLATILLADOS EN ACERO Ø8" X 12"</v>
      </c>
      <c r="C868" s="39" t="s">
        <v>17</v>
      </c>
      <c r="D868" s="362">
        <v>10</v>
      </c>
      <c r="E868" s="362"/>
      <c r="F868" s="362">
        <v>10</v>
      </c>
      <c r="G868" s="362"/>
      <c r="H868" s="240">
        <f>SUM(Tabla1321124[[#This Row],[PRIMER TRIMESTRE]:[CUARTO TRIMESTRE]])</f>
        <v>20</v>
      </c>
      <c r="I868" s="17">
        <v>590</v>
      </c>
      <c r="J868" s="17">
        <f>+Tabla1321124[[#This Row],[CANTIDAD TOTAL]]*Tabla1321124[[#This Row],[PRECIO UNITARIO ESTIMADO]]</f>
        <v>11800</v>
      </c>
      <c r="K868" s="175"/>
      <c r="L868" s="16" t="s">
        <v>18</v>
      </c>
      <c r="M868" s="16" t="s">
        <v>22</v>
      </c>
      <c r="N868" s="16"/>
      <c r="O868" s="243"/>
      <c r="P868" s="243"/>
      <c r="Q868" s="243"/>
      <c r="R868" s="243"/>
      <c r="S868" s="243"/>
      <c r="T868" s="243"/>
      <c r="U868" s="243"/>
      <c r="V868" s="243"/>
      <c r="W868" s="243"/>
      <c r="X868" s="243"/>
      <c r="Y868" s="243"/>
      <c r="Z868" s="243"/>
      <c r="AA868" s="243"/>
      <c r="AB868" s="243"/>
      <c r="AC868" s="243"/>
      <c r="AD868" s="243"/>
      <c r="AE868" s="243"/>
      <c r="AF868" s="243"/>
      <c r="AG868" s="243"/>
      <c r="AH868" s="243"/>
      <c r="AI868" s="243"/>
      <c r="AJ868" s="243"/>
      <c r="AK868" s="243"/>
      <c r="AL868" s="243"/>
      <c r="AM868" s="243"/>
      <c r="AN868" s="243"/>
      <c r="AO868" s="243"/>
      <c r="AP868" s="243"/>
      <c r="AQ868" s="243"/>
      <c r="AR868" s="243"/>
      <c r="AS868" s="243"/>
      <c r="AT868" s="243"/>
      <c r="AU868" s="243"/>
      <c r="AV868" s="243"/>
      <c r="AW868" s="243"/>
      <c r="AX868" s="243"/>
      <c r="AY868" s="243"/>
      <c r="AZ868" s="243"/>
      <c r="BA868" s="243"/>
      <c r="BB868" s="243"/>
      <c r="BC868" s="243"/>
      <c r="BD868" s="243"/>
      <c r="BE868" s="243"/>
      <c r="BF868" s="243"/>
      <c r="BG868" s="243"/>
      <c r="BH868" s="243"/>
      <c r="BI868" s="243"/>
      <c r="BJ868" s="243"/>
      <c r="BK868" s="243"/>
      <c r="BL868" s="243"/>
      <c r="BM868" s="243"/>
      <c r="BN868" s="243"/>
      <c r="BO868" s="243"/>
      <c r="BP868" s="243"/>
      <c r="BQ868" s="243"/>
      <c r="BR868" s="243"/>
      <c r="BS868" s="243"/>
    </row>
    <row r="869" spans="1:71" s="12" customFormat="1" ht="41.25" customHeight="1">
      <c r="A869" s="178" t="s">
        <v>80</v>
      </c>
      <c r="B869" s="178" t="str">
        <f ca="1">+UPPER(Tabla1321124[[#This Row],[DESCRIPCIÓN DE LA COMPRA O CONTRATACIÓN]])</f>
        <v>VALVULA Ø2", PLATILLADA DE CUADRANTE CON SUS NIPLES GOMAS Y TORNILLOS P150 PSI</v>
      </c>
      <c r="C869" s="39" t="s">
        <v>17</v>
      </c>
      <c r="D869" s="370">
        <v>10</v>
      </c>
      <c r="E869" s="370">
        <v>5</v>
      </c>
      <c r="F869" s="370">
        <v>5</v>
      </c>
      <c r="G869" s="370">
        <v>5</v>
      </c>
      <c r="H869" s="240">
        <f>SUM(Tabla1321124[[#This Row],[PRIMER TRIMESTRE]:[CUARTO TRIMESTRE]])</f>
        <v>25</v>
      </c>
      <c r="I869" s="17">
        <v>22260</v>
      </c>
      <c r="J869" s="17">
        <f>+Tabla1321124[[#This Row],[CANTIDAD TOTAL]]*Tabla1321124[[#This Row],[PRECIO UNITARIO ESTIMADO]]</f>
        <v>556500</v>
      </c>
      <c r="K869" s="175"/>
      <c r="L869" s="16" t="s">
        <v>18</v>
      </c>
      <c r="M869" s="16" t="s">
        <v>22</v>
      </c>
      <c r="N869" s="16"/>
      <c r="O869" s="243"/>
      <c r="P869" s="243"/>
      <c r="Q869" s="243"/>
      <c r="R869" s="243"/>
      <c r="S869" s="243"/>
      <c r="T869" s="243"/>
      <c r="U869" s="243"/>
      <c r="V869" s="243"/>
      <c r="W869" s="243"/>
      <c r="X869" s="243"/>
      <c r="Y869" s="243"/>
      <c r="Z869" s="243"/>
      <c r="AA869" s="243"/>
      <c r="AB869" s="243"/>
      <c r="AC869" s="243"/>
      <c r="AD869" s="243"/>
      <c r="AE869" s="243"/>
      <c r="AF869" s="243"/>
      <c r="AG869" s="243"/>
      <c r="AH869" s="243"/>
      <c r="AI869" s="243"/>
      <c r="AJ869" s="243"/>
      <c r="AK869" s="243"/>
      <c r="AL869" s="243"/>
      <c r="AM869" s="243"/>
      <c r="AN869" s="243"/>
      <c r="AO869" s="243"/>
      <c r="AP869" s="243"/>
      <c r="AQ869" s="243"/>
      <c r="AR869" s="243"/>
      <c r="AS869" s="243"/>
      <c r="AT869" s="243"/>
      <c r="AU869" s="243"/>
      <c r="AV869" s="243"/>
      <c r="AW869" s="243"/>
      <c r="AX869" s="243"/>
      <c r="AY869" s="243"/>
      <c r="AZ869" s="243"/>
      <c r="BA869" s="243"/>
      <c r="BB869" s="243"/>
      <c r="BC869" s="243"/>
      <c r="BD869" s="243"/>
      <c r="BE869" s="243"/>
      <c r="BF869" s="243"/>
      <c r="BG869" s="243"/>
      <c r="BH869" s="243"/>
      <c r="BI869" s="243"/>
      <c r="BJ869" s="243"/>
      <c r="BK869" s="243"/>
      <c r="BL869" s="243"/>
      <c r="BM869" s="243"/>
      <c r="BN869" s="243"/>
      <c r="BO869" s="243"/>
      <c r="BP869" s="243"/>
      <c r="BQ869" s="243"/>
      <c r="BR869" s="243"/>
      <c r="BS869" s="243"/>
    </row>
    <row r="870" spans="1:71" s="12" customFormat="1" ht="41.25" customHeight="1">
      <c r="A870" s="178" t="s">
        <v>80</v>
      </c>
      <c r="B870" s="178" t="str">
        <f ca="1">+UPPER(Tabla1321124[[#This Row],[DESCRIPCIÓN DE LA COMPRA O CONTRATACIÓN]])</f>
        <v>VALVULA Ø3, PLATILLADA DE CUADRANTE CON SUS NIPLES GOMAS Y TORNILLOS P150 PSI</v>
      </c>
      <c r="C870" s="39" t="s">
        <v>17</v>
      </c>
      <c r="D870" s="236">
        <v>8</v>
      </c>
      <c r="E870" s="236">
        <v>8</v>
      </c>
      <c r="F870" s="236">
        <v>8</v>
      </c>
      <c r="G870" s="236">
        <v>8</v>
      </c>
      <c r="H870" s="240">
        <f>SUM(Tabla1321124[[#This Row],[PRIMER TRIMESTRE]:[CUARTO TRIMESTRE]])</f>
        <v>32</v>
      </c>
      <c r="I870" s="17">
        <v>22260</v>
      </c>
      <c r="J870" s="17">
        <f>+Tabla1321124[[#This Row],[CANTIDAD TOTAL]]*Tabla1321124[[#This Row],[PRECIO UNITARIO ESTIMADO]]</f>
        <v>712320</v>
      </c>
      <c r="K870" s="17"/>
      <c r="L870" s="16" t="s">
        <v>18</v>
      </c>
      <c r="M870" s="16" t="s">
        <v>22</v>
      </c>
      <c r="N870" s="16"/>
      <c r="O870" s="243"/>
      <c r="P870" s="243"/>
      <c r="Q870" s="243"/>
      <c r="R870" s="243"/>
      <c r="S870" s="243"/>
      <c r="T870" s="243"/>
      <c r="U870" s="243"/>
      <c r="V870" s="243"/>
      <c r="W870" s="243"/>
      <c r="X870" s="243"/>
      <c r="Y870" s="243"/>
      <c r="Z870" s="243"/>
      <c r="AA870" s="243"/>
      <c r="AB870" s="243"/>
      <c r="AC870" s="243"/>
      <c r="AD870" s="243"/>
      <c r="AE870" s="243"/>
      <c r="AF870" s="243"/>
      <c r="AG870" s="243"/>
      <c r="AH870" s="243"/>
      <c r="AI870" s="243"/>
      <c r="AJ870" s="243"/>
      <c r="AK870" s="243"/>
      <c r="AL870" s="243"/>
      <c r="AM870" s="243"/>
      <c r="AN870" s="243"/>
      <c r="AO870" s="243"/>
      <c r="AP870" s="243"/>
      <c r="AQ870" s="243"/>
      <c r="AR870" s="243"/>
      <c r="AS870" s="243"/>
      <c r="AT870" s="243"/>
      <c r="AU870" s="243"/>
      <c r="AV870" s="243"/>
      <c r="AW870" s="243"/>
      <c r="AX870" s="243"/>
      <c r="AY870" s="243"/>
      <c r="AZ870" s="243"/>
      <c r="BA870" s="243"/>
      <c r="BB870" s="243"/>
      <c r="BC870" s="243"/>
      <c r="BD870" s="243"/>
      <c r="BE870" s="243"/>
      <c r="BF870" s="243"/>
      <c r="BG870" s="243"/>
      <c r="BH870" s="243"/>
      <c r="BI870" s="243"/>
      <c r="BJ870" s="243"/>
      <c r="BK870" s="243"/>
      <c r="BL870" s="243"/>
      <c r="BM870" s="243"/>
      <c r="BN870" s="243"/>
      <c r="BO870" s="243"/>
      <c r="BP870" s="243"/>
      <c r="BQ870" s="243"/>
      <c r="BR870" s="243"/>
      <c r="BS870" s="243"/>
    </row>
    <row r="871" spans="1:71" s="12" customFormat="1" ht="41.25" customHeight="1">
      <c r="A871" s="178" t="s">
        <v>80</v>
      </c>
      <c r="B871" s="178" t="str">
        <f ca="1">+UPPER(Tabla1321124[[#This Row],[DESCRIPCIÓN DE LA COMPRA O CONTRATACIÓN]])</f>
        <v xml:space="preserve">VALVULA DE COMPUERTA 4'' PLATILLADA 150 PSI CON JUNTA DE GOMA Y TORNILLOS CON SUS PLATILLOS COMPLETOS </v>
      </c>
      <c r="C871" s="39" t="s">
        <v>17</v>
      </c>
      <c r="D871" s="236">
        <v>13</v>
      </c>
      <c r="E871" s="236">
        <v>13</v>
      </c>
      <c r="F871" s="236">
        <v>13</v>
      </c>
      <c r="G871" s="236">
        <v>13</v>
      </c>
      <c r="H871" s="240">
        <f>SUM(Tabla1321124[[#This Row],[PRIMER TRIMESTRE]:[CUARTO TRIMESTRE]])</f>
        <v>52</v>
      </c>
      <c r="I871" s="17">
        <v>25500</v>
      </c>
      <c r="J871" s="17">
        <f>+Tabla1321124[[#This Row],[CANTIDAD TOTAL]]*Tabla1321124[[#This Row],[PRECIO UNITARIO ESTIMADO]]</f>
        <v>1326000</v>
      </c>
      <c r="K871" s="17"/>
      <c r="L871" s="16" t="s">
        <v>18</v>
      </c>
      <c r="M871" s="16" t="s">
        <v>22</v>
      </c>
      <c r="N871" s="16"/>
      <c r="O871" s="243"/>
      <c r="P871" s="243"/>
      <c r="Q871" s="243"/>
      <c r="R871" s="243"/>
      <c r="S871" s="243"/>
      <c r="T871" s="243"/>
      <c r="U871" s="243"/>
      <c r="V871" s="243"/>
      <c r="W871" s="243"/>
      <c r="X871" s="243"/>
      <c r="Y871" s="243"/>
      <c r="Z871" s="243"/>
      <c r="AA871" s="243"/>
      <c r="AB871" s="243"/>
      <c r="AC871" s="243"/>
      <c r="AD871" s="243"/>
      <c r="AE871" s="243"/>
      <c r="AF871" s="243"/>
      <c r="AG871" s="243"/>
      <c r="AH871" s="243"/>
      <c r="AI871" s="243"/>
      <c r="AJ871" s="243"/>
      <c r="AK871" s="243"/>
      <c r="AL871" s="243"/>
      <c r="AM871" s="243"/>
      <c r="AN871" s="243"/>
      <c r="AO871" s="243"/>
      <c r="AP871" s="243"/>
      <c r="AQ871" s="243"/>
      <c r="AR871" s="243"/>
      <c r="AS871" s="243"/>
      <c r="AT871" s="243"/>
      <c r="AU871" s="243"/>
      <c r="AV871" s="243"/>
      <c r="AW871" s="243"/>
      <c r="AX871" s="243"/>
      <c r="AY871" s="243"/>
      <c r="AZ871" s="243"/>
      <c r="BA871" s="243"/>
      <c r="BB871" s="243"/>
      <c r="BC871" s="243"/>
      <c r="BD871" s="243"/>
      <c r="BE871" s="243"/>
      <c r="BF871" s="243"/>
      <c r="BG871" s="243"/>
      <c r="BH871" s="243"/>
      <c r="BI871" s="243"/>
      <c r="BJ871" s="243"/>
      <c r="BK871" s="243"/>
      <c r="BL871" s="243"/>
      <c r="BM871" s="243"/>
      <c r="BN871" s="243"/>
      <c r="BO871" s="243"/>
      <c r="BP871" s="243"/>
      <c r="BQ871" s="243"/>
      <c r="BR871" s="243"/>
      <c r="BS871" s="243"/>
    </row>
    <row r="872" spans="1:71" s="12" customFormat="1" ht="41.25" customHeight="1">
      <c r="A872" s="178" t="s">
        <v>80</v>
      </c>
      <c r="B872" s="178" t="str">
        <f ca="1">+UPPER(Tabla1321124[[#This Row],[DESCRIPCIÓN DE LA COMPRA O CONTRATACIÓN]])</f>
        <v>VALVULA HF DE Ø3 ROSCADA Y CUADRANTE CON SUS NIPLES COMPAÑEROS GOMAS Y TORNILLOS PARA 150 PSI</v>
      </c>
      <c r="C872" s="39" t="s">
        <v>17</v>
      </c>
      <c r="D872" s="236">
        <v>7</v>
      </c>
      <c r="E872" s="236">
        <v>0</v>
      </c>
      <c r="F872" s="236">
        <v>2</v>
      </c>
      <c r="G872" s="236">
        <v>0</v>
      </c>
      <c r="H872" s="240">
        <f>SUM(Tabla1321124[[#This Row],[PRIMER TRIMESTRE]:[CUARTO TRIMESTRE]])</f>
        <v>9</v>
      </c>
      <c r="I872" s="17">
        <v>22600</v>
      </c>
      <c r="J872" s="17">
        <f>+Tabla1321124[[#This Row],[CANTIDAD TOTAL]]*Tabla1321124[[#This Row],[PRECIO UNITARIO ESTIMADO]]</f>
        <v>203400</v>
      </c>
      <c r="K872" s="17"/>
      <c r="L872" s="16" t="s">
        <v>18</v>
      </c>
      <c r="M872" s="16" t="s">
        <v>22</v>
      </c>
      <c r="N872" s="16"/>
      <c r="O872" s="243"/>
      <c r="P872" s="243"/>
      <c r="Q872" s="243"/>
      <c r="R872" s="243"/>
      <c r="S872" s="243"/>
      <c r="T872" s="243"/>
      <c r="U872" s="243"/>
      <c r="V872" s="243"/>
      <c r="W872" s="243"/>
      <c r="X872" s="243"/>
      <c r="Y872" s="243"/>
      <c r="Z872" s="243"/>
      <c r="AA872" s="243"/>
      <c r="AB872" s="243"/>
      <c r="AC872" s="243"/>
      <c r="AD872" s="243"/>
      <c r="AE872" s="243"/>
      <c r="AF872" s="243"/>
      <c r="AG872" s="243"/>
      <c r="AH872" s="243"/>
      <c r="AI872" s="243"/>
      <c r="AJ872" s="243"/>
      <c r="AK872" s="243"/>
      <c r="AL872" s="243"/>
      <c r="AM872" s="243"/>
      <c r="AN872" s="243"/>
      <c r="AO872" s="243"/>
      <c r="AP872" s="243"/>
      <c r="AQ872" s="243"/>
      <c r="AR872" s="243"/>
      <c r="AS872" s="243"/>
      <c r="AT872" s="243"/>
      <c r="AU872" s="243"/>
      <c r="AV872" s="243"/>
      <c r="AW872" s="243"/>
      <c r="AX872" s="243"/>
      <c r="AY872" s="243"/>
      <c r="AZ872" s="243"/>
      <c r="BA872" s="243"/>
      <c r="BB872" s="243"/>
      <c r="BC872" s="243"/>
      <c r="BD872" s="243"/>
      <c r="BE872" s="243"/>
      <c r="BF872" s="243"/>
      <c r="BG872" s="243"/>
      <c r="BH872" s="243"/>
      <c r="BI872" s="243"/>
      <c r="BJ872" s="243"/>
      <c r="BK872" s="243"/>
      <c r="BL872" s="243"/>
      <c r="BM872" s="243"/>
      <c r="BN872" s="243"/>
      <c r="BO872" s="243"/>
      <c r="BP872" s="243"/>
      <c r="BQ872" s="243"/>
      <c r="BR872" s="243"/>
      <c r="BS872" s="243"/>
    </row>
    <row r="873" spans="1:71" s="12" customFormat="1" ht="41.25" customHeight="1">
      <c r="A873" s="178" t="s">
        <v>80</v>
      </c>
      <c r="B873" s="178" t="str">
        <f ca="1">+UPPER(Tabla1321124[[#This Row],[DESCRIPCIÓN DE LA COMPRA O CONTRATACIÓN]])</f>
        <v>VALVULA HF Ø3 ROSCADA Y CUADRANTE CON SUS NIPLES COMPAÑEROS 125 PSI</v>
      </c>
      <c r="C873" s="39" t="s">
        <v>17</v>
      </c>
      <c r="D873" s="236"/>
      <c r="E873" s="236"/>
      <c r="F873" s="236"/>
      <c r="G873" s="236"/>
      <c r="H873" s="240">
        <f>SUM(Tabla1321124[[#This Row],[PRIMER TRIMESTRE]:[CUARTO TRIMESTRE]])</f>
        <v>0</v>
      </c>
      <c r="I873" s="17">
        <v>22350</v>
      </c>
      <c r="J873" s="17">
        <f>+Tabla1321124[[#This Row],[CANTIDAD TOTAL]]*Tabla1321124[[#This Row],[PRECIO UNITARIO ESTIMADO]]</f>
        <v>0</v>
      </c>
      <c r="K873" s="17"/>
      <c r="L873" s="16" t="s">
        <v>18</v>
      </c>
      <c r="M873" s="16" t="s">
        <v>22</v>
      </c>
      <c r="N873" s="16"/>
      <c r="O873" s="243"/>
      <c r="P873" s="243"/>
      <c r="Q873" s="243"/>
      <c r="R873" s="243"/>
      <c r="S873" s="243"/>
      <c r="T873" s="243"/>
      <c r="U873" s="243"/>
      <c r="V873" s="243"/>
      <c r="W873" s="243"/>
      <c r="X873" s="243"/>
      <c r="Y873" s="243"/>
      <c r="Z873" s="243"/>
      <c r="AA873" s="243"/>
      <c r="AB873" s="243"/>
      <c r="AC873" s="243"/>
      <c r="AD873" s="243"/>
      <c r="AE873" s="243"/>
      <c r="AF873" s="243"/>
      <c r="AG873" s="243"/>
      <c r="AH873" s="243"/>
      <c r="AI873" s="243"/>
      <c r="AJ873" s="243"/>
      <c r="AK873" s="243"/>
      <c r="AL873" s="243"/>
      <c r="AM873" s="243"/>
      <c r="AN873" s="243"/>
      <c r="AO873" s="243"/>
      <c r="AP873" s="243"/>
      <c r="AQ873" s="243"/>
      <c r="AR873" s="243"/>
      <c r="AS873" s="243"/>
      <c r="AT873" s="243"/>
      <c r="AU873" s="243"/>
      <c r="AV873" s="243"/>
      <c r="AW873" s="243"/>
      <c r="AX873" s="243"/>
      <c r="AY873" s="243"/>
      <c r="AZ873" s="243"/>
      <c r="BA873" s="243"/>
      <c r="BB873" s="243"/>
      <c r="BC873" s="243"/>
      <c r="BD873" s="243"/>
      <c r="BE873" s="243"/>
      <c r="BF873" s="243"/>
      <c r="BG873" s="243"/>
      <c r="BH873" s="243"/>
      <c r="BI873" s="243"/>
      <c r="BJ873" s="243"/>
      <c r="BK873" s="243"/>
      <c r="BL873" s="243"/>
      <c r="BM873" s="243"/>
      <c r="BN873" s="243"/>
      <c r="BO873" s="243"/>
      <c r="BP873" s="243"/>
      <c r="BQ873" s="243"/>
      <c r="BR873" s="243"/>
      <c r="BS873" s="243"/>
    </row>
    <row r="874" spans="1:71" s="12" customFormat="1" ht="41.25" customHeight="1">
      <c r="A874" s="178" t="s">
        <v>80</v>
      </c>
      <c r="B874" s="178" t="str">
        <f ca="1">+UPPER(Tabla1321124[[#This Row],[DESCRIPCIÓN DE LA COMPRA O CONTRATACIÓN]])</f>
        <v>VALVULA Ø8 HF PLATILLADA Y CUADRANTE NIPLES PLATILLADOS CON JUNTAS Y TORNILLOS 150 PSI (COMPLETO)</v>
      </c>
      <c r="C874" s="39" t="s">
        <v>17</v>
      </c>
      <c r="D874" s="236">
        <v>9</v>
      </c>
      <c r="E874" s="236"/>
      <c r="F874" s="236">
        <v>4</v>
      </c>
      <c r="G874" s="236"/>
      <c r="H874" s="240">
        <f>SUM(Tabla1321124[[#This Row],[PRIMER TRIMESTRE]:[CUARTO TRIMESTRE]])</f>
        <v>13</v>
      </c>
      <c r="I874" s="17">
        <v>49500</v>
      </c>
      <c r="J874" s="17">
        <f>+Tabla1321124[[#This Row],[CANTIDAD TOTAL]]*Tabla1321124[[#This Row],[PRECIO UNITARIO ESTIMADO]]</f>
        <v>643500</v>
      </c>
      <c r="K874" s="17"/>
      <c r="L874" s="16" t="s">
        <v>18</v>
      </c>
      <c r="M874" s="16" t="s">
        <v>22</v>
      </c>
      <c r="N874" s="16"/>
      <c r="O874" s="243"/>
      <c r="P874" s="243"/>
      <c r="Q874" s="243"/>
      <c r="R874" s="243"/>
      <c r="S874" s="243"/>
      <c r="T874" s="243"/>
      <c r="U874" s="243"/>
      <c r="V874" s="243"/>
      <c r="W874" s="243"/>
      <c r="X874" s="243"/>
      <c r="Y874" s="243"/>
      <c r="Z874" s="243"/>
      <c r="AA874" s="243"/>
      <c r="AB874" s="243"/>
      <c r="AC874" s="243"/>
      <c r="AD874" s="243"/>
      <c r="AE874" s="243"/>
      <c r="AF874" s="243"/>
      <c r="AG874" s="243"/>
      <c r="AH874" s="243"/>
      <c r="AI874" s="243"/>
      <c r="AJ874" s="243"/>
      <c r="AK874" s="243"/>
      <c r="AL874" s="243"/>
      <c r="AM874" s="243"/>
      <c r="AN874" s="243"/>
      <c r="AO874" s="243"/>
      <c r="AP874" s="243"/>
      <c r="AQ874" s="243"/>
      <c r="AR874" s="243"/>
      <c r="AS874" s="243"/>
      <c r="AT874" s="243"/>
      <c r="AU874" s="243"/>
      <c r="AV874" s="243"/>
      <c r="AW874" s="243"/>
      <c r="AX874" s="243"/>
      <c r="AY874" s="243"/>
      <c r="AZ874" s="243"/>
      <c r="BA874" s="243"/>
      <c r="BB874" s="243"/>
      <c r="BC874" s="243"/>
      <c r="BD874" s="243"/>
      <c r="BE874" s="243"/>
      <c r="BF874" s="243"/>
      <c r="BG874" s="243"/>
      <c r="BH874" s="243"/>
      <c r="BI874" s="243"/>
      <c r="BJ874" s="243"/>
      <c r="BK874" s="243"/>
      <c r="BL874" s="243"/>
      <c r="BM874" s="243"/>
      <c r="BN874" s="243"/>
      <c r="BO874" s="243"/>
      <c r="BP874" s="243"/>
      <c r="BQ874" s="243"/>
      <c r="BR874" s="243"/>
      <c r="BS874" s="243"/>
    </row>
    <row r="875" spans="1:71" s="12" customFormat="1" ht="51" customHeight="1">
      <c r="A875" s="178" t="s">
        <v>80</v>
      </c>
      <c r="B875" s="178" t="str">
        <f ca="1">+UPPER(Tabla1321124[[#This Row],[DESCRIPCIÓN DE LA COMPRA O CONTRATACIÓN]])</f>
        <v>VALVULA Ø6 HF PLATILLADA Y CUADRANTE NIPLES PLATILLADOS CON JUNTAS Y TORNILLOS 150 PSI (COMPLETO)</v>
      </c>
      <c r="C875" s="39" t="s">
        <v>17</v>
      </c>
      <c r="D875" s="236">
        <v>8</v>
      </c>
      <c r="E875" s="236"/>
      <c r="F875" s="236">
        <v>3</v>
      </c>
      <c r="G875" s="236"/>
      <c r="H875" s="240">
        <f>SUM(Tabla1321124[[#This Row],[PRIMER TRIMESTRE]:[CUARTO TRIMESTRE]])</f>
        <v>11</v>
      </c>
      <c r="I875" s="17">
        <v>11200</v>
      </c>
      <c r="J875" s="17">
        <f>+Tabla1321124[[#This Row],[CANTIDAD TOTAL]]*Tabla1321124[[#This Row],[PRECIO UNITARIO ESTIMADO]]</f>
        <v>123200</v>
      </c>
      <c r="K875" s="17"/>
      <c r="L875" s="16" t="s">
        <v>18</v>
      </c>
      <c r="M875" s="16" t="s">
        <v>22</v>
      </c>
      <c r="N875" s="16"/>
      <c r="O875" s="243"/>
      <c r="P875" s="243"/>
      <c r="Q875" s="243"/>
      <c r="R875" s="243"/>
      <c r="S875" s="243"/>
      <c r="T875" s="243"/>
      <c r="U875" s="243"/>
      <c r="V875" s="243"/>
      <c r="W875" s="243"/>
      <c r="X875" s="243"/>
      <c r="Y875" s="243"/>
      <c r="Z875" s="243"/>
      <c r="AA875" s="243"/>
      <c r="AB875" s="243"/>
      <c r="AC875" s="243"/>
      <c r="AD875" s="243"/>
      <c r="AE875" s="243"/>
      <c r="AF875" s="243"/>
      <c r="AG875" s="243"/>
      <c r="AH875" s="243"/>
      <c r="AI875" s="243"/>
      <c r="AJ875" s="243"/>
      <c r="AK875" s="243"/>
      <c r="AL875" s="243"/>
      <c r="AM875" s="243"/>
      <c r="AN875" s="243"/>
      <c r="AO875" s="243"/>
      <c r="AP875" s="243"/>
      <c r="AQ875" s="243"/>
      <c r="AR875" s="243"/>
      <c r="AS875" s="243"/>
      <c r="AT875" s="243"/>
      <c r="AU875" s="243"/>
      <c r="AV875" s="243"/>
      <c r="AW875" s="243"/>
      <c r="AX875" s="243"/>
      <c r="AY875" s="243"/>
      <c r="AZ875" s="243"/>
      <c r="BA875" s="243"/>
      <c r="BB875" s="243"/>
      <c r="BC875" s="243"/>
      <c r="BD875" s="243"/>
      <c r="BE875" s="243"/>
      <c r="BF875" s="243"/>
      <c r="BG875" s="243"/>
      <c r="BH875" s="243"/>
      <c r="BI875" s="243"/>
      <c r="BJ875" s="243"/>
      <c r="BK875" s="243"/>
      <c r="BL875" s="243"/>
      <c r="BM875" s="243"/>
      <c r="BN875" s="243"/>
      <c r="BO875" s="243"/>
      <c r="BP875" s="243"/>
      <c r="BQ875" s="243"/>
      <c r="BR875" s="243"/>
      <c r="BS875" s="243"/>
    </row>
    <row r="876" spans="1:71" s="12" customFormat="1" ht="41.25" customHeight="1">
      <c r="A876" s="178" t="s">
        <v>80</v>
      </c>
      <c r="B876" s="178" t="str">
        <f ca="1">+UPPER(Tabla1321124[[#This Row],[DESCRIPCIÓN DE LA COMPRA O CONTRATACIÓN]])</f>
        <v>VALVUL;A DE COMPUERTA PLATILLADA Y CUADRANTE PARA 150 PSI Ø12 CON SUS DOS NIPLES PLATILLADOS CON SU JUNTA DE GOMA Y TORNILLOS COMPLETA</v>
      </c>
      <c r="C876" s="39" t="s">
        <v>17</v>
      </c>
      <c r="D876" s="236">
        <v>6</v>
      </c>
      <c r="E876" s="236"/>
      <c r="F876" s="236">
        <v>1</v>
      </c>
      <c r="G876" s="236"/>
      <c r="H876" s="240">
        <f>SUM(Tabla1321124[[#This Row],[PRIMER TRIMESTRE]:[CUARTO TRIMESTRE]])</f>
        <v>7</v>
      </c>
      <c r="I876" s="17">
        <v>88000</v>
      </c>
      <c r="J876" s="17">
        <f>+Tabla1321124[[#This Row],[CANTIDAD TOTAL]]*Tabla1321124[[#This Row],[PRECIO UNITARIO ESTIMADO]]</f>
        <v>616000</v>
      </c>
      <c r="K876" s="17"/>
      <c r="L876" s="16" t="s">
        <v>18</v>
      </c>
      <c r="M876" s="16" t="s">
        <v>22</v>
      </c>
      <c r="N876" s="16"/>
      <c r="O876" s="243"/>
      <c r="P876" s="243"/>
      <c r="Q876" s="243"/>
      <c r="R876" s="243"/>
      <c r="S876" s="243"/>
      <c r="T876" s="243"/>
      <c r="U876" s="243"/>
      <c r="V876" s="243"/>
      <c r="W876" s="243"/>
      <c r="X876" s="243"/>
      <c r="Y876" s="243"/>
      <c r="Z876" s="243"/>
      <c r="AA876" s="243"/>
      <c r="AB876" s="243"/>
      <c r="AC876" s="243"/>
      <c r="AD876" s="243"/>
      <c r="AE876" s="243"/>
      <c r="AF876" s="243"/>
      <c r="AG876" s="243"/>
      <c r="AH876" s="243"/>
      <c r="AI876" s="243"/>
      <c r="AJ876" s="243"/>
      <c r="AK876" s="243"/>
      <c r="AL876" s="243"/>
      <c r="AM876" s="243"/>
      <c r="AN876" s="243"/>
      <c r="AO876" s="243"/>
      <c r="AP876" s="243"/>
      <c r="AQ876" s="243"/>
      <c r="AR876" s="243"/>
      <c r="AS876" s="243"/>
      <c r="AT876" s="243"/>
      <c r="AU876" s="243"/>
      <c r="AV876" s="243"/>
      <c r="AW876" s="243"/>
      <c r="AX876" s="243"/>
      <c r="AY876" s="243"/>
      <c r="AZ876" s="243"/>
      <c r="BA876" s="243"/>
      <c r="BB876" s="243"/>
      <c r="BC876" s="243"/>
      <c r="BD876" s="243"/>
      <c r="BE876" s="243"/>
      <c r="BF876" s="243"/>
      <c r="BG876" s="243"/>
      <c r="BH876" s="243"/>
      <c r="BI876" s="243"/>
      <c r="BJ876" s="243"/>
      <c r="BK876" s="243"/>
      <c r="BL876" s="243"/>
      <c r="BM876" s="243"/>
      <c r="BN876" s="243"/>
      <c r="BO876" s="243"/>
      <c r="BP876" s="243"/>
      <c r="BQ876" s="243"/>
      <c r="BR876" s="243"/>
      <c r="BS876" s="243"/>
    </row>
    <row r="877" spans="1:71" s="12" customFormat="1" ht="45.75" customHeight="1">
      <c r="A877" s="178" t="s">
        <v>80</v>
      </c>
      <c r="B877" s="178" t="str">
        <f ca="1">+UPPER(Tabla1321124[[#This Row],[DESCRIPCIÓN DE LA COMPRA O CONTRATACIÓN]])</f>
        <v>VALVULA DE COMPUERTA PLATILLADA Y CUADRANTE PARA 150 PSI Ø4 CON SUS DOS NIPLES PLATILLADOS</v>
      </c>
      <c r="C877" s="39" t="s">
        <v>17</v>
      </c>
      <c r="D877" s="236">
        <v>10</v>
      </c>
      <c r="E877" s="236">
        <v>10</v>
      </c>
      <c r="F877" s="236">
        <v>10</v>
      </c>
      <c r="G877" s="236">
        <v>10</v>
      </c>
      <c r="H877" s="240">
        <f>SUM(Tabla1321124[[#This Row],[PRIMER TRIMESTRE]:[CUARTO TRIMESTRE]])</f>
        <v>40</v>
      </c>
      <c r="I877" s="17">
        <v>26500</v>
      </c>
      <c r="J877" s="17">
        <f>+Tabla1321124[[#This Row],[CANTIDAD TOTAL]]*Tabla1321124[[#This Row],[PRECIO UNITARIO ESTIMADO]]</f>
        <v>1060000</v>
      </c>
      <c r="K877" s="17"/>
      <c r="L877" s="16" t="s">
        <v>18</v>
      </c>
      <c r="M877" s="16" t="s">
        <v>22</v>
      </c>
      <c r="N877" s="16"/>
      <c r="O877" s="243"/>
      <c r="P877" s="243"/>
      <c r="Q877" s="243"/>
      <c r="R877" s="243"/>
      <c r="S877" s="243"/>
      <c r="T877" s="243"/>
      <c r="U877" s="243"/>
      <c r="V877" s="243"/>
      <c r="W877" s="243"/>
      <c r="X877" s="243"/>
      <c r="Y877" s="243"/>
      <c r="Z877" s="243"/>
      <c r="AA877" s="243"/>
      <c r="AB877" s="243"/>
      <c r="AC877" s="243"/>
      <c r="AD877" s="243"/>
      <c r="AE877" s="243"/>
      <c r="AF877" s="243"/>
      <c r="AG877" s="243"/>
      <c r="AH877" s="243"/>
      <c r="AI877" s="243"/>
      <c r="AJ877" s="243"/>
      <c r="AK877" s="243"/>
      <c r="AL877" s="243"/>
      <c r="AM877" s="243"/>
      <c r="AN877" s="243"/>
      <c r="AO877" s="243"/>
      <c r="AP877" s="243"/>
      <c r="AQ877" s="243"/>
      <c r="AR877" s="243"/>
      <c r="AS877" s="243"/>
      <c r="AT877" s="243"/>
      <c r="AU877" s="243"/>
      <c r="AV877" s="243"/>
      <c r="AW877" s="243"/>
      <c r="AX877" s="243"/>
      <c r="AY877" s="243"/>
      <c r="AZ877" s="243"/>
      <c r="BA877" s="243"/>
      <c r="BB877" s="243"/>
      <c r="BC877" s="243"/>
      <c r="BD877" s="243"/>
      <c r="BE877" s="243"/>
      <c r="BF877" s="243"/>
      <c r="BG877" s="243"/>
      <c r="BH877" s="243"/>
      <c r="BI877" s="243"/>
      <c r="BJ877" s="243"/>
      <c r="BK877" s="243"/>
      <c r="BL877" s="243"/>
      <c r="BM877" s="243"/>
      <c r="BN877" s="243"/>
      <c r="BO877" s="243"/>
      <c r="BP877" s="243"/>
      <c r="BQ877" s="243"/>
      <c r="BR877" s="243"/>
      <c r="BS877" s="243"/>
    </row>
    <row r="878" spans="1:71" s="12" customFormat="1" ht="41.25" customHeight="1">
      <c r="A878" s="178" t="s">
        <v>80</v>
      </c>
      <c r="B878" s="178" t="str">
        <f ca="1">+UPPER(Tabla1321124[[#This Row],[DESCRIPCIÓN DE LA COMPRA O CONTRATACIÓN]])</f>
        <v>VALVULA DE COMPUERTA VASTAGO DESLIZANTE Y VOLANTA PARA 150PSI Ø8 CON SUS DOS NIPLES PLATILLADOS</v>
      </c>
      <c r="C878" s="39" t="s">
        <v>17</v>
      </c>
      <c r="D878" s="236">
        <v>14</v>
      </c>
      <c r="E878" s="236">
        <v>9</v>
      </c>
      <c r="F878" s="236">
        <v>9</v>
      </c>
      <c r="G878" s="236">
        <v>0</v>
      </c>
      <c r="H878" s="240">
        <f>SUM(Tabla1321124[[#This Row],[PRIMER TRIMESTRE]:[CUARTO TRIMESTRE]])</f>
        <v>32</v>
      </c>
      <c r="I878" s="17">
        <v>48500</v>
      </c>
      <c r="J878" s="17">
        <f>+Tabla1321124[[#This Row],[CANTIDAD TOTAL]]*Tabla1321124[[#This Row],[PRECIO UNITARIO ESTIMADO]]</f>
        <v>1552000</v>
      </c>
      <c r="K878" s="17"/>
      <c r="L878" s="16" t="s">
        <v>18</v>
      </c>
      <c r="M878" s="16" t="s">
        <v>22</v>
      </c>
      <c r="N878" s="16"/>
      <c r="O878" s="243"/>
      <c r="P878" s="243"/>
      <c r="Q878" s="243"/>
      <c r="R878" s="243"/>
      <c r="S878" s="243"/>
      <c r="T878" s="243"/>
      <c r="U878" s="243"/>
      <c r="V878" s="243"/>
      <c r="W878" s="243"/>
      <c r="X878" s="243"/>
      <c r="Y878" s="243"/>
      <c r="Z878" s="243"/>
      <c r="AA878" s="243"/>
      <c r="AB878" s="243"/>
      <c r="AC878" s="243"/>
      <c r="AD878" s="243"/>
      <c r="AE878" s="243"/>
      <c r="AF878" s="243"/>
      <c r="AG878" s="243"/>
      <c r="AH878" s="243"/>
      <c r="AI878" s="243"/>
      <c r="AJ878" s="243"/>
      <c r="AK878" s="243"/>
      <c r="AL878" s="243"/>
      <c r="AM878" s="243"/>
      <c r="AN878" s="243"/>
      <c r="AO878" s="243"/>
      <c r="AP878" s="243"/>
      <c r="AQ878" s="243"/>
      <c r="AR878" s="243"/>
      <c r="AS878" s="243"/>
      <c r="AT878" s="243"/>
      <c r="AU878" s="243"/>
      <c r="AV878" s="243"/>
      <c r="AW878" s="243"/>
      <c r="AX878" s="243"/>
      <c r="AY878" s="243"/>
      <c r="AZ878" s="243"/>
      <c r="BA878" s="243"/>
      <c r="BB878" s="243"/>
      <c r="BC878" s="243"/>
      <c r="BD878" s="243"/>
      <c r="BE878" s="243"/>
      <c r="BF878" s="243"/>
      <c r="BG878" s="243"/>
      <c r="BH878" s="243"/>
      <c r="BI878" s="243"/>
      <c r="BJ878" s="243"/>
      <c r="BK878" s="243"/>
      <c r="BL878" s="243"/>
      <c r="BM878" s="243"/>
      <c r="BN878" s="243"/>
      <c r="BO878" s="243"/>
      <c r="BP878" s="243"/>
      <c r="BQ878" s="243"/>
      <c r="BR878" s="243"/>
      <c r="BS878" s="243"/>
    </row>
    <row r="879" spans="1:71" s="12" customFormat="1" ht="41.25" customHeight="1">
      <c r="A879" s="178" t="s">
        <v>80</v>
      </c>
      <c r="B879" s="178" t="str">
        <f ca="1">+UPPER(Tabla1321124[[#This Row],[DESCRIPCIÓN DE LA COMPRA O CONTRATACIÓN]])</f>
        <v>VALVULA Ø4 125 PSI PLATILLADA CON SU VOLANTA</v>
      </c>
      <c r="C879" s="39" t="s">
        <v>17</v>
      </c>
      <c r="D879" s="236">
        <v>5</v>
      </c>
      <c r="E879" s="236"/>
      <c r="F879" s="236"/>
      <c r="G879" s="236"/>
      <c r="H879" s="240">
        <f>SUM(Tabla1321124[[#This Row],[PRIMER TRIMESTRE]:[CUARTO TRIMESTRE]])</f>
        <v>5</v>
      </c>
      <c r="I879" s="17">
        <v>26500</v>
      </c>
      <c r="J879" s="17">
        <f>+Tabla1321124[[#This Row],[CANTIDAD TOTAL]]*Tabla1321124[[#This Row],[PRECIO UNITARIO ESTIMADO]]</f>
        <v>132500</v>
      </c>
      <c r="K879" s="17"/>
      <c r="L879" s="16" t="s">
        <v>18</v>
      </c>
      <c r="M879" s="16" t="s">
        <v>22</v>
      </c>
      <c r="N879" s="16"/>
      <c r="O879" s="243"/>
      <c r="P879" s="243"/>
      <c r="Q879" s="243"/>
      <c r="R879" s="243"/>
      <c r="S879" s="243"/>
      <c r="T879" s="243"/>
      <c r="U879" s="243"/>
      <c r="V879" s="243"/>
      <c r="W879" s="243"/>
      <c r="X879" s="243"/>
      <c r="Y879" s="243"/>
      <c r="Z879" s="243"/>
      <c r="AA879" s="243"/>
      <c r="AB879" s="243"/>
      <c r="AC879" s="243"/>
      <c r="AD879" s="243"/>
      <c r="AE879" s="243"/>
      <c r="AF879" s="243"/>
      <c r="AG879" s="243"/>
      <c r="AH879" s="243"/>
      <c r="AI879" s="243"/>
      <c r="AJ879" s="243"/>
      <c r="AK879" s="243"/>
      <c r="AL879" s="243"/>
      <c r="AM879" s="243"/>
      <c r="AN879" s="243"/>
      <c r="AO879" s="243"/>
      <c r="AP879" s="243"/>
      <c r="AQ879" s="243"/>
      <c r="AR879" s="243"/>
      <c r="AS879" s="243"/>
      <c r="AT879" s="243"/>
      <c r="AU879" s="243"/>
      <c r="AV879" s="243"/>
      <c r="AW879" s="243"/>
      <c r="AX879" s="243"/>
      <c r="AY879" s="243"/>
      <c r="AZ879" s="243"/>
      <c r="BA879" s="243"/>
      <c r="BB879" s="243"/>
      <c r="BC879" s="243"/>
      <c r="BD879" s="243"/>
      <c r="BE879" s="243"/>
      <c r="BF879" s="243"/>
      <c r="BG879" s="243"/>
      <c r="BH879" s="243"/>
      <c r="BI879" s="243"/>
      <c r="BJ879" s="243"/>
      <c r="BK879" s="243"/>
      <c r="BL879" s="243"/>
      <c r="BM879" s="243"/>
      <c r="BN879" s="243"/>
      <c r="BO879" s="243"/>
      <c r="BP879" s="243"/>
      <c r="BQ879" s="243"/>
      <c r="BR879" s="243"/>
      <c r="BS879" s="243"/>
    </row>
    <row r="880" spans="1:71" s="12" customFormat="1" ht="41.25" customHeight="1">
      <c r="A880" s="178" t="s">
        <v>80</v>
      </c>
      <c r="B880" s="178" t="str">
        <f ca="1">+UPPER(Tabla1321124[[#This Row],[DESCRIPCIÓN DE LA COMPRA O CONTRATACIÓN]])</f>
        <v>VALVULA Ø3 125 PSI DESCARGADA LIBRE PLATILLADA CON SU VOLANTA</v>
      </c>
      <c r="C880" s="39" t="s">
        <v>17</v>
      </c>
      <c r="D880" s="236">
        <v>8</v>
      </c>
      <c r="E880" s="236">
        <v>3</v>
      </c>
      <c r="F880" s="236">
        <v>3</v>
      </c>
      <c r="G880" s="236">
        <v>3</v>
      </c>
      <c r="H880" s="240">
        <f>SUM(Tabla1321124[[#This Row],[PRIMER TRIMESTRE]:[CUARTO TRIMESTRE]])</f>
        <v>17</v>
      </c>
      <c r="I880" s="17">
        <v>22700</v>
      </c>
      <c r="J880" s="17">
        <f>+Tabla1321124[[#This Row],[CANTIDAD TOTAL]]*Tabla1321124[[#This Row],[PRECIO UNITARIO ESTIMADO]]</f>
        <v>385900</v>
      </c>
      <c r="K880" s="17"/>
      <c r="L880" s="16" t="s">
        <v>18</v>
      </c>
      <c r="M880" s="16" t="s">
        <v>22</v>
      </c>
      <c r="N880" s="16"/>
      <c r="O880" s="243"/>
      <c r="P880" s="243"/>
      <c r="Q880" s="243"/>
      <c r="R880" s="243"/>
      <c r="S880" s="243"/>
      <c r="T880" s="243"/>
      <c r="U880" s="243"/>
      <c r="V880" s="243"/>
      <c r="W880" s="243"/>
      <c r="X880" s="243"/>
      <c r="Y880" s="243"/>
      <c r="Z880" s="243"/>
      <c r="AA880" s="243"/>
      <c r="AB880" s="243"/>
      <c r="AC880" s="243"/>
      <c r="AD880" s="243"/>
      <c r="AE880" s="243"/>
      <c r="AF880" s="243"/>
      <c r="AG880" s="243"/>
      <c r="AH880" s="243"/>
      <c r="AI880" s="243"/>
      <c r="AJ880" s="243"/>
      <c r="AK880" s="243"/>
      <c r="AL880" s="243"/>
      <c r="AM880" s="243"/>
      <c r="AN880" s="243"/>
      <c r="AO880" s="243"/>
      <c r="AP880" s="243"/>
      <c r="AQ880" s="243"/>
      <c r="AR880" s="243"/>
      <c r="AS880" s="243"/>
      <c r="AT880" s="243"/>
      <c r="AU880" s="243"/>
      <c r="AV880" s="243"/>
      <c r="AW880" s="243"/>
      <c r="AX880" s="243"/>
      <c r="AY880" s="243"/>
      <c r="AZ880" s="243"/>
      <c r="BA880" s="243"/>
      <c r="BB880" s="243"/>
      <c r="BC880" s="243"/>
      <c r="BD880" s="243"/>
      <c r="BE880" s="243"/>
      <c r="BF880" s="243"/>
      <c r="BG880" s="243"/>
      <c r="BH880" s="243"/>
      <c r="BI880" s="243"/>
      <c r="BJ880" s="243"/>
      <c r="BK880" s="243"/>
      <c r="BL880" s="243"/>
      <c r="BM880" s="243"/>
      <c r="BN880" s="243"/>
      <c r="BO880" s="243"/>
      <c r="BP880" s="243"/>
      <c r="BQ880" s="243"/>
      <c r="BR880" s="243"/>
      <c r="BS880" s="243"/>
    </row>
    <row r="881" spans="1:71" s="12" customFormat="1" ht="41.25" customHeight="1">
      <c r="A881" s="178" t="s">
        <v>80</v>
      </c>
      <c r="B881" s="178" t="str">
        <f ca="1">+UPPER(Tabla1321124[[#This Row],[DESCRIPCIÓN DE LA COMPRA O CONTRATACIÓN]])</f>
        <v>CAJA TELESCOPICA REGISTRO TELESCOPICO PARA VALVULA DE 6</v>
      </c>
      <c r="C881" s="39" t="s">
        <v>17</v>
      </c>
      <c r="D881" s="236">
        <v>20</v>
      </c>
      <c r="E881" s="236"/>
      <c r="F881" s="236"/>
      <c r="G881" s="236"/>
      <c r="H881" s="240">
        <f>SUM(Tabla1321124[[#This Row],[PRIMER TRIMESTRE]:[CUARTO TRIMESTRE]])</f>
        <v>20</v>
      </c>
      <c r="I881" s="17">
        <v>3220</v>
      </c>
      <c r="J881" s="17">
        <f>+Tabla1321124[[#This Row],[CANTIDAD TOTAL]]*Tabla1321124[[#This Row],[PRECIO UNITARIO ESTIMADO]]</f>
        <v>64400</v>
      </c>
      <c r="K881" s="17"/>
      <c r="L881" s="16" t="s">
        <v>18</v>
      </c>
      <c r="M881" s="16" t="s">
        <v>22</v>
      </c>
      <c r="N881" s="16"/>
      <c r="O881" s="243"/>
      <c r="P881" s="243"/>
      <c r="Q881" s="243"/>
      <c r="R881" s="243"/>
      <c r="S881" s="243"/>
      <c r="T881" s="243"/>
      <c r="U881" s="243"/>
      <c r="V881" s="243"/>
      <c r="W881" s="243"/>
      <c r="X881" s="243"/>
      <c r="Y881" s="243"/>
      <c r="Z881" s="243"/>
      <c r="AA881" s="243"/>
      <c r="AB881" s="243"/>
      <c r="AC881" s="243"/>
      <c r="AD881" s="243"/>
      <c r="AE881" s="243"/>
      <c r="AF881" s="243"/>
      <c r="AG881" s="243"/>
      <c r="AH881" s="243"/>
      <c r="AI881" s="243"/>
      <c r="AJ881" s="243"/>
      <c r="AK881" s="243"/>
      <c r="AL881" s="243"/>
      <c r="AM881" s="243"/>
      <c r="AN881" s="243"/>
      <c r="AO881" s="243"/>
      <c r="AP881" s="243"/>
      <c r="AQ881" s="243"/>
      <c r="AR881" s="243"/>
      <c r="AS881" s="243"/>
      <c r="AT881" s="243"/>
      <c r="AU881" s="243"/>
      <c r="AV881" s="243"/>
      <c r="AW881" s="243"/>
      <c r="AX881" s="243"/>
      <c r="AY881" s="243"/>
      <c r="AZ881" s="243"/>
      <c r="BA881" s="243"/>
      <c r="BB881" s="243"/>
      <c r="BC881" s="243"/>
      <c r="BD881" s="243"/>
      <c r="BE881" s="243"/>
      <c r="BF881" s="243"/>
      <c r="BG881" s="243"/>
      <c r="BH881" s="243"/>
      <c r="BI881" s="243"/>
      <c r="BJ881" s="243"/>
      <c r="BK881" s="243"/>
      <c r="BL881" s="243"/>
      <c r="BM881" s="243"/>
      <c r="BN881" s="243"/>
      <c r="BO881" s="243"/>
      <c r="BP881" s="243"/>
      <c r="BQ881" s="243"/>
      <c r="BR881" s="243"/>
      <c r="BS881" s="243"/>
    </row>
    <row r="882" spans="1:71" s="12" customFormat="1" ht="41.25" customHeight="1">
      <c r="A882" s="178" t="s">
        <v>80</v>
      </c>
      <c r="B882" s="178" t="str">
        <f ca="1">+UPPER(Tabla1321124[[#This Row],[DESCRIPCIÓN DE LA COMPRA O CONTRATACIÓN]])</f>
        <v xml:space="preserve">CAJA TELESCOPICA </v>
      </c>
      <c r="C882" s="39" t="s">
        <v>17</v>
      </c>
      <c r="D882" s="236">
        <v>26</v>
      </c>
      <c r="E882" s="236">
        <v>6</v>
      </c>
      <c r="F882" s="236">
        <v>6</v>
      </c>
      <c r="G882" s="236">
        <v>6</v>
      </c>
      <c r="H882" s="240">
        <f>SUM(Tabla1321124[[#This Row],[PRIMER TRIMESTRE]:[CUARTO TRIMESTRE]])</f>
        <v>44</v>
      </c>
      <c r="I882" s="17">
        <v>2380</v>
      </c>
      <c r="J882" s="17">
        <f>+Tabla1321124[[#This Row],[CANTIDAD TOTAL]]*Tabla1321124[[#This Row],[PRECIO UNITARIO ESTIMADO]]</f>
        <v>104720</v>
      </c>
      <c r="K882" s="17"/>
      <c r="L882" s="16" t="s">
        <v>18</v>
      </c>
      <c r="M882" s="16" t="s">
        <v>22</v>
      </c>
      <c r="N882" s="16"/>
      <c r="O882" s="243"/>
      <c r="P882" s="243"/>
      <c r="Q882" s="243"/>
      <c r="R882" s="243"/>
      <c r="S882" s="243"/>
      <c r="T882" s="243"/>
      <c r="U882" s="243"/>
      <c r="V882" s="243"/>
      <c r="W882" s="243"/>
      <c r="X882" s="243"/>
      <c r="Y882" s="243"/>
      <c r="Z882" s="243"/>
      <c r="AA882" s="243"/>
      <c r="AB882" s="243"/>
      <c r="AC882" s="243"/>
      <c r="AD882" s="243"/>
      <c r="AE882" s="243"/>
      <c r="AF882" s="243"/>
      <c r="AG882" s="243"/>
      <c r="AH882" s="243"/>
      <c r="AI882" s="243"/>
      <c r="AJ882" s="243"/>
      <c r="AK882" s="243"/>
      <c r="AL882" s="243"/>
      <c r="AM882" s="243"/>
      <c r="AN882" s="243"/>
      <c r="AO882" s="243"/>
      <c r="AP882" s="243"/>
      <c r="AQ882" s="243"/>
      <c r="AR882" s="243"/>
      <c r="AS882" s="243"/>
      <c r="AT882" s="243"/>
      <c r="AU882" s="243"/>
      <c r="AV882" s="243"/>
      <c r="AW882" s="243"/>
      <c r="AX882" s="243"/>
      <c r="AY882" s="243"/>
      <c r="AZ882" s="243"/>
      <c r="BA882" s="243"/>
      <c r="BB882" s="243"/>
      <c r="BC882" s="243"/>
      <c r="BD882" s="243"/>
      <c r="BE882" s="243"/>
      <c r="BF882" s="243"/>
      <c r="BG882" s="243"/>
      <c r="BH882" s="243"/>
      <c r="BI882" s="243"/>
      <c r="BJ882" s="243"/>
      <c r="BK882" s="243"/>
      <c r="BL882" s="243"/>
      <c r="BM882" s="243"/>
      <c r="BN882" s="243"/>
      <c r="BO882" s="243"/>
      <c r="BP882" s="243"/>
      <c r="BQ882" s="243"/>
      <c r="BR882" s="243"/>
      <c r="BS882" s="243"/>
    </row>
    <row r="883" spans="1:71" s="12" customFormat="1" ht="45" customHeight="1">
      <c r="A883" s="178" t="s">
        <v>80</v>
      </c>
      <c r="B883" s="178" t="str">
        <f ca="1">+UPPER(Tabla1321124[[#This Row],[DESCRIPCIÓN DE LA COMPRA O CONTRATACIÓN]])</f>
        <v>VALVULA Ø4, VASTAGO ASCENDENTE, CON JUNTAS DE GOMAS Y TORNILLOS, PLATILLADA</v>
      </c>
      <c r="C883" s="39" t="s">
        <v>17</v>
      </c>
      <c r="D883" s="236">
        <v>8</v>
      </c>
      <c r="E883" s="236">
        <v>3</v>
      </c>
      <c r="F883" s="236">
        <v>3</v>
      </c>
      <c r="G883" s="236">
        <v>3</v>
      </c>
      <c r="H883" s="240">
        <f>SUM(Tabla1321124[[#This Row],[PRIMER TRIMESTRE]:[CUARTO TRIMESTRE]])</f>
        <v>17</v>
      </c>
      <c r="I883" s="17">
        <v>0</v>
      </c>
      <c r="J883" s="17">
        <f>+Tabla1321124[[#This Row],[CANTIDAD TOTAL]]*Tabla1321124[[#This Row],[PRECIO UNITARIO ESTIMADO]]</f>
        <v>0</v>
      </c>
      <c r="K883" s="17"/>
      <c r="L883" s="16" t="s">
        <v>18</v>
      </c>
      <c r="M883" s="16" t="s">
        <v>22</v>
      </c>
      <c r="N883" s="16"/>
      <c r="O883" s="243"/>
      <c r="P883" s="243"/>
      <c r="Q883" s="243"/>
      <c r="R883" s="243"/>
      <c r="S883" s="243"/>
      <c r="T883" s="243"/>
      <c r="U883" s="243"/>
      <c r="V883" s="243"/>
      <c r="W883" s="243"/>
      <c r="X883" s="243"/>
      <c r="Y883" s="243"/>
      <c r="Z883" s="243"/>
      <c r="AA883" s="243"/>
      <c r="AB883" s="243"/>
      <c r="AC883" s="243"/>
      <c r="AD883" s="243"/>
      <c r="AE883" s="243"/>
      <c r="AF883" s="243"/>
      <c r="AG883" s="243"/>
      <c r="AH883" s="243"/>
      <c r="AI883" s="243"/>
      <c r="AJ883" s="243"/>
      <c r="AK883" s="243"/>
      <c r="AL883" s="243"/>
      <c r="AM883" s="243"/>
      <c r="AN883" s="243"/>
      <c r="AO883" s="243"/>
      <c r="AP883" s="243"/>
      <c r="AQ883" s="243"/>
      <c r="AR883" s="243"/>
      <c r="AS883" s="243"/>
      <c r="AT883" s="243"/>
      <c r="AU883" s="243"/>
      <c r="AV883" s="243"/>
      <c r="AW883" s="243"/>
      <c r="AX883" s="243"/>
      <c r="AY883" s="243"/>
      <c r="AZ883" s="243"/>
      <c r="BA883" s="243"/>
      <c r="BB883" s="243"/>
      <c r="BC883" s="243"/>
      <c r="BD883" s="243"/>
      <c r="BE883" s="243"/>
      <c r="BF883" s="243"/>
      <c r="BG883" s="243"/>
      <c r="BH883" s="243"/>
      <c r="BI883" s="243"/>
      <c r="BJ883" s="243"/>
      <c r="BK883" s="243"/>
      <c r="BL883" s="243"/>
      <c r="BM883" s="243"/>
      <c r="BN883" s="243"/>
      <c r="BO883" s="243"/>
      <c r="BP883" s="243"/>
      <c r="BQ883" s="243"/>
      <c r="BR883" s="243"/>
      <c r="BS883" s="243"/>
    </row>
    <row r="884" spans="1:71" s="12" customFormat="1" ht="41.25" customHeight="1">
      <c r="A884" s="178" t="s">
        <v>80</v>
      </c>
      <c r="B884" s="178" t="str">
        <f ca="1">+UPPER(Tabla1321124[[#This Row],[DESCRIPCIÓN DE LA COMPRA O CONTRATACIÓN]])</f>
        <v>VALVULA HF Ø6 VASTAGO FIJO PLATILLADO Y CUADRANTE CONJUNTO DE GOMAS Y TORNILLOS PARA 125 PSI CON SUS NIPLES</v>
      </c>
      <c r="C884" s="39" t="s">
        <v>17</v>
      </c>
      <c r="D884" s="236">
        <v>13</v>
      </c>
      <c r="E884" s="236">
        <v>3</v>
      </c>
      <c r="F884" s="236">
        <v>3</v>
      </c>
      <c r="G884" s="236">
        <v>3</v>
      </c>
      <c r="H884" s="240">
        <f>SUM(Tabla1321124[[#This Row],[PRIMER TRIMESTRE]:[CUARTO TRIMESTRE]])</f>
        <v>22</v>
      </c>
      <c r="I884" s="17">
        <v>34440</v>
      </c>
      <c r="J884" s="17">
        <f>+Tabla1321124[[#This Row],[CANTIDAD TOTAL]]*Tabla1321124[[#This Row],[PRECIO UNITARIO ESTIMADO]]</f>
        <v>757680</v>
      </c>
      <c r="K884" s="17"/>
      <c r="L884" s="16" t="s">
        <v>18</v>
      </c>
      <c r="M884" s="16" t="s">
        <v>22</v>
      </c>
      <c r="N884" s="16"/>
      <c r="O884" s="243"/>
      <c r="P884" s="243"/>
      <c r="Q884" s="243"/>
      <c r="R884" s="243"/>
      <c r="S884" s="243"/>
      <c r="T884" s="243"/>
      <c r="U884" s="243"/>
      <c r="V884" s="243"/>
      <c r="W884" s="243"/>
      <c r="X884" s="243"/>
      <c r="Y884" s="243"/>
      <c r="Z884" s="243"/>
      <c r="AA884" s="243"/>
      <c r="AB884" s="243"/>
      <c r="AC884" s="243"/>
      <c r="AD884" s="243"/>
      <c r="AE884" s="243"/>
      <c r="AF884" s="243"/>
      <c r="AG884" s="243"/>
      <c r="AH884" s="243"/>
      <c r="AI884" s="243"/>
      <c r="AJ884" s="243"/>
      <c r="AK884" s="243"/>
      <c r="AL884" s="243"/>
      <c r="AM884" s="243"/>
      <c r="AN884" s="243"/>
      <c r="AO884" s="243"/>
      <c r="AP884" s="243"/>
      <c r="AQ884" s="243"/>
      <c r="AR884" s="243"/>
      <c r="AS884" s="243"/>
      <c r="AT884" s="243"/>
      <c r="AU884" s="243"/>
      <c r="AV884" s="243"/>
      <c r="AW884" s="243"/>
      <c r="AX884" s="243"/>
      <c r="AY884" s="243"/>
      <c r="AZ884" s="243"/>
      <c r="BA884" s="243"/>
      <c r="BB884" s="243"/>
      <c r="BC884" s="243"/>
      <c r="BD884" s="243"/>
      <c r="BE884" s="243"/>
      <c r="BF884" s="243"/>
      <c r="BG884" s="243"/>
      <c r="BH884" s="243"/>
      <c r="BI884" s="243"/>
      <c r="BJ884" s="243"/>
      <c r="BK884" s="243"/>
      <c r="BL884" s="243"/>
      <c r="BM884" s="243"/>
      <c r="BN884" s="243"/>
      <c r="BO884" s="243"/>
      <c r="BP884" s="243"/>
      <c r="BQ884" s="243"/>
      <c r="BR884" s="243"/>
      <c r="BS884" s="243"/>
    </row>
    <row r="885" spans="1:71" s="12" customFormat="1" ht="41.25" customHeight="1">
      <c r="A885" s="178" t="s">
        <v>80</v>
      </c>
      <c r="B885" s="178" t="str">
        <f ca="1">+UPPER(Tabla1321124[[#This Row],[DESCRIPCIÓN DE LA COMPRA O CONTRATACIÓN]])</f>
        <v>VALVULA Ø4 PLATILLADAS CON 16 AGUJEROS Y JUNTAS 250 PSI</v>
      </c>
      <c r="C885" s="39" t="s">
        <v>17</v>
      </c>
      <c r="D885" s="236">
        <v>12</v>
      </c>
      <c r="E885" s="236"/>
      <c r="F885" s="236">
        <v>2</v>
      </c>
      <c r="G885" s="236"/>
      <c r="H885" s="240">
        <f>SUM(Tabla1321124[[#This Row],[PRIMER TRIMESTRE]:[CUARTO TRIMESTRE]])</f>
        <v>14</v>
      </c>
      <c r="I885" s="17">
        <v>2600</v>
      </c>
      <c r="J885" s="17">
        <f>+Tabla1321124[[#This Row],[CANTIDAD TOTAL]]*Tabla1321124[[#This Row],[PRECIO UNITARIO ESTIMADO]]</f>
        <v>36400</v>
      </c>
      <c r="K885" s="17"/>
      <c r="L885" s="16" t="s">
        <v>18</v>
      </c>
      <c r="M885" s="16" t="s">
        <v>22</v>
      </c>
      <c r="N885" s="16"/>
      <c r="O885" s="243"/>
      <c r="P885" s="243"/>
      <c r="Q885" s="243"/>
      <c r="R885" s="243"/>
      <c r="S885" s="243"/>
      <c r="T885" s="243"/>
      <c r="U885" s="243"/>
      <c r="V885" s="243"/>
      <c r="W885" s="243"/>
      <c r="X885" s="243"/>
      <c r="Y885" s="243"/>
      <c r="Z885" s="243"/>
      <c r="AA885" s="243"/>
      <c r="AB885" s="243"/>
      <c r="AC885" s="243"/>
      <c r="AD885" s="243"/>
      <c r="AE885" s="243"/>
      <c r="AF885" s="243"/>
      <c r="AG885" s="243"/>
      <c r="AH885" s="243"/>
      <c r="AI885" s="243"/>
      <c r="AJ885" s="243"/>
      <c r="AK885" s="243"/>
      <c r="AL885" s="243"/>
      <c r="AM885" s="243"/>
      <c r="AN885" s="243"/>
      <c r="AO885" s="243"/>
      <c r="AP885" s="243"/>
      <c r="AQ885" s="243"/>
      <c r="AR885" s="243"/>
      <c r="AS885" s="243"/>
      <c r="AT885" s="243"/>
      <c r="AU885" s="243"/>
      <c r="AV885" s="243"/>
      <c r="AW885" s="243"/>
      <c r="AX885" s="243"/>
      <c r="AY885" s="243"/>
      <c r="AZ885" s="243"/>
      <c r="BA885" s="243"/>
      <c r="BB885" s="243"/>
      <c r="BC885" s="243"/>
      <c r="BD885" s="243"/>
      <c r="BE885" s="243"/>
      <c r="BF885" s="243"/>
      <c r="BG885" s="243"/>
      <c r="BH885" s="243"/>
      <c r="BI885" s="243"/>
      <c r="BJ885" s="243"/>
      <c r="BK885" s="243"/>
      <c r="BL885" s="243"/>
      <c r="BM885" s="243"/>
      <c r="BN885" s="243"/>
      <c r="BO885" s="243"/>
      <c r="BP885" s="243"/>
      <c r="BQ885" s="243"/>
      <c r="BR885" s="243"/>
      <c r="BS885" s="243"/>
    </row>
    <row r="886" spans="1:71" s="12" customFormat="1" ht="41.25" customHeight="1">
      <c r="A886" s="178" t="s">
        <v>80</v>
      </c>
      <c r="B886" s="178" t="str">
        <f ca="1">+UPPER(Tabla1321124[[#This Row],[DESCRIPCIÓN DE LA COMPRA O CONTRATACIÓN]])</f>
        <v xml:space="preserve">VALVULAS Ø4 HF ROSCADA Y CUADRANTE COMPETA 150 PSI </v>
      </c>
      <c r="C886" s="39" t="s">
        <v>17</v>
      </c>
      <c r="D886" s="236">
        <v>5</v>
      </c>
      <c r="E886" s="236"/>
      <c r="F886" s="236"/>
      <c r="G886" s="236"/>
      <c r="H886" s="240">
        <f>SUM(Tabla1321124[[#This Row],[PRIMER TRIMESTRE]:[CUARTO TRIMESTRE]])</f>
        <v>5</v>
      </c>
      <c r="I886" s="17">
        <v>14280</v>
      </c>
      <c r="J886" s="17">
        <f>+Tabla1321124[[#This Row],[CANTIDAD TOTAL]]*Tabla1321124[[#This Row],[PRECIO UNITARIO ESTIMADO]]</f>
        <v>71400</v>
      </c>
      <c r="K886" s="17"/>
      <c r="L886" s="16" t="s">
        <v>18</v>
      </c>
      <c r="M886" s="16" t="s">
        <v>22</v>
      </c>
      <c r="N886" s="16"/>
      <c r="O886" s="243"/>
      <c r="P886" s="243"/>
      <c r="Q886" s="243"/>
      <c r="R886" s="243"/>
      <c r="S886" s="243"/>
      <c r="T886" s="243"/>
      <c r="U886" s="243"/>
      <c r="V886" s="243"/>
      <c r="W886" s="243"/>
      <c r="X886" s="243"/>
      <c r="Y886" s="243"/>
      <c r="Z886" s="243"/>
      <c r="AA886" s="243"/>
      <c r="AB886" s="243"/>
      <c r="AC886" s="243"/>
      <c r="AD886" s="243"/>
      <c r="AE886" s="243"/>
      <c r="AF886" s="243"/>
      <c r="AG886" s="243"/>
      <c r="AH886" s="243"/>
      <c r="AI886" s="243"/>
      <c r="AJ886" s="243"/>
      <c r="AK886" s="243"/>
      <c r="AL886" s="243"/>
      <c r="AM886" s="243"/>
      <c r="AN886" s="243"/>
      <c r="AO886" s="243"/>
      <c r="AP886" s="243"/>
      <c r="AQ886" s="243"/>
      <c r="AR886" s="243"/>
      <c r="AS886" s="243"/>
      <c r="AT886" s="243"/>
      <c r="AU886" s="243"/>
      <c r="AV886" s="243"/>
      <c r="AW886" s="243"/>
      <c r="AX886" s="243"/>
      <c r="AY886" s="243"/>
      <c r="AZ886" s="243"/>
      <c r="BA886" s="243"/>
      <c r="BB886" s="243"/>
      <c r="BC886" s="243"/>
      <c r="BD886" s="243"/>
      <c r="BE886" s="243"/>
      <c r="BF886" s="243"/>
      <c r="BG886" s="243"/>
      <c r="BH886" s="243"/>
      <c r="BI886" s="243"/>
      <c r="BJ886" s="243"/>
      <c r="BK886" s="243"/>
      <c r="BL886" s="243"/>
      <c r="BM886" s="243"/>
      <c r="BN886" s="243"/>
      <c r="BO886" s="243"/>
      <c r="BP886" s="243"/>
      <c r="BQ886" s="243"/>
      <c r="BR886" s="243"/>
      <c r="BS886" s="243"/>
    </row>
    <row r="887" spans="1:71" s="12" customFormat="1" ht="46.5" customHeight="1">
      <c r="A887" s="178" t="s">
        <v>80</v>
      </c>
      <c r="B887" s="178" t="str">
        <f ca="1">+UPPER(Tabla1321124[[#This Row],[DESCRIPCIÓN DE LA COMPRA O CONTRATACIÓN]])</f>
        <v>VALVULA HF  Ø4 VASTAGO FIJO PLATILLADA Y CUADRANTE CON JUNTA DE GOMAS Y TORNILLOS 125 PSI,</v>
      </c>
      <c r="C887" s="39" t="s">
        <v>17</v>
      </c>
      <c r="D887" s="236">
        <v>10</v>
      </c>
      <c r="E887" s="236"/>
      <c r="F887" s="236"/>
      <c r="G887" s="236"/>
      <c r="H887" s="240">
        <f>SUM(Tabla1321124[[#This Row],[PRIMER TRIMESTRE]:[CUARTO TRIMESTRE]])</f>
        <v>10</v>
      </c>
      <c r="I887" s="17">
        <v>15708</v>
      </c>
      <c r="J887" s="17">
        <f>+Tabla1321124[[#This Row],[CANTIDAD TOTAL]]*Tabla1321124[[#This Row],[PRECIO UNITARIO ESTIMADO]]</f>
        <v>157080</v>
      </c>
      <c r="K887" s="17"/>
      <c r="L887" s="16" t="s">
        <v>18</v>
      </c>
      <c r="M887" s="16" t="s">
        <v>22</v>
      </c>
      <c r="N887" s="16"/>
      <c r="O887" s="243"/>
      <c r="P887" s="243"/>
      <c r="Q887" s="243"/>
      <c r="R887" s="243"/>
      <c r="S887" s="243"/>
      <c r="T887" s="243"/>
      <c r="U887" s="243"/>
      <c r="V887" s="243"/>
      <c r="W887" s="243"/>
      <c r="X887" s="243"/>
      <c r="Y887" s="243"/>
      <c r="Z887" s="243"/>
      <c r="AA887" s="243"/>
      <c r="AB887" s="243"/>
      <c r="AC887" s="243"/>
      <c r="AD887" s="243"/>
      <c r="AE887" s="243"/>
      <c r="AF887" s="243"/>
      <c r="AG887" s="243"/>
      <c r="AH887" s="243"/>
      <c r="AI887" s="243"/>
      <c r="AJ887" s="243"/>
      <c r="AK887" s="243"/>
      <c r="AL887" s="243"/>
      <c r="AM887" s="243"/>
      <c r="AN887" s="243"/>
      <c r="AO887" s="243"/>
      <c r="AP887" s="243"/>
      <c r="AQ887" s="243"/>
      <c r="AR887" s="243"/>
      <c r="AS887" s="243"/>
      <c r="AT887" s="243"/>
      <c r="AU887" s="243"/>
      <c r="AV887" s="243"/>
      <c r="AW887" s="243"/>
      <c r="AX887" s="243"/>
      <c r="AY887" s="243"/>
      <c r="AZ887" s="243"/>
      <c r="BA887" s="243"/>
      <c r="BB887" s="243"/>
      <c r="BC887" s="243"/>
      <c r="BD887" s="243"/>
      <c r="BE887" s="243"/>
      <c r="BF887" s="243"/>
      <c r="BG887" s="243"/>
      <c r="BH887" s="243"/>
      <c r="BI887" s="243"/>
      <c r="BJ887" s="243"/>
      <c r="BK887" s="243"/>
      <c r="BL887" s="243"/>
      <c r="BM887" s="243"/>
      <c r="BN887" s="243"/>
      <c r="BO887" s="243"/>
      <c r="BP887" s="243"/>
      <c r="BQ887" s="243"/>
      <c r="BR887" s="243"/>
      <c r="BS887" s="243"/>
    </row>
    <row r="888" spans="1:71" s="12" customFormat="1" ht="45" customHeight="1">
      <c r="A888" s="178" t="s">
        <v>80</v>
      </c>
      <c r="B888" s="178" t="str">
        <f ca="1">+UPPER(Tabla1321124[[#This Row],[DESCRIPCIÓN DE LA COMPRA O CONTRATACIÓN]])</f>
        <v>VALVULA  HF Ø12 VASTAGO FIJO PLATILLADA Y CUADRANTE CON JUNTA DE GOMA Y TORNILLOS PARA 125 PSI CON SUS DOS TORNILLOS</v>
      </c>
      <c r="C888" s="39" t="s">
        <v>17</v>
      </c>
      <c r="D888" s="236">
        <v>5</v>
      </c>
      <c r="E888" s="236"/>
      <c r="F888" s="236"/>
      <c r="G888" s="236"/>
      <c r="H888" s="240">
        <f>SUM(Tabla1321124[[#This Row],[PRIMER TRIMESTRE]:[CUARTO TRIMESTRE]])</f>
        <v>5</v>
      </c>
      <c r="I888" s="17">
        <v>29481</v>
      </c>
      <c r="J888" s="17">
        <f>+Tabla1321124[[#This Row],[CANTIDAD TOTAL]]*Tabla1321124[[#This Row],[PRECIO UNITARIO ESTIMADO]]</f>
        <v>147405</v>
      </c>
      <c r="K888" s="17"/>
      <c r="L888" s="16" t="s">
        <v>18</v>
      </c>
      <c r="M888" s="16" t="s">
        <v>22</v>
      </c>
      <c r="N888" s="16"/>
      <c r="O888" s="243"/>
      <c r="P888" s="243"/>
      <c r="Q888" s="243"/>
      <c r="R888" s="243"/>
      <c r="S888" s="243"/>
      <c r="T888" s="243"/>
      <c r="U888" s="243"/>
      <c r="V888" s="243"/>
      <c r="W888" s="243"/>
      <c r="X888" s="243"/>
      <c r="Y888" s="243"/>
      <c r="Z888" s="243"/>
      <c r="AA888" s="243"/>
      <c r="AB888" s="243"/>
      <c r="AC888" s="243"/>
      <c r="AD888" s="243"/>
      <c r="AE888" s="243"/>
      <c r="AF888" s="243"/>
      <c r="AG888" s="243"/>
      <c r="AH888" s="243"/>
      <c r="AI888" s="243"/>
      <c r="AJ888" s="243"/>
      <c r="AK888" s="243"/>
      <c r="AL888" s="243"/>
      <c r="AM888" s="243"/>
      <c r="AN888" s="243"/>
      <c r="AO888" s="243"/>
      <c r="AP888" s="243"/>
      <c r="AQ888" s="243"/>
      <c r="AR888" s="243"/>
      <c r="AS888" s="243"/>
      <c r="AT888" s="243"/>
      <c r="AU888" s="243"/>
      <c r="AV888" s="243"/>
      <c r="AW888" s="243"/>
      <c r="AX888" s="243"/>
      <c r="AY888" s="243"/>
      <c r="AZ888" s="243"/>
      <c r="BA888" s="243"/>
      <c r="BB888" s="243"/>
      <c r="BC888" s="243"/>
      <c r="BD888" s="243"/>
      <c r="BE888" s="243"/>
      <c r="BF888" s="243"/>
      <c r="BG888" s="243"/>
      <c r="BH888" s="243"/>
      <c r="BI888" s="243"/>
      <c r="BJ888" s="243"/>
      <c r="BK888" s="243"/>
      <c r="BL888" s="243"/>
      <c r="BM888" s="243"/>
      <c r="BN888" s="243"/>
      <c r="BO888" s="243"/>
      <c r="BP888" s="243"/>
      <c r="BQ888" s="243"/>
      <c r="BR888" s="243"/>
      <c r="BS888" s="243"/>
    </row>
    <row r="889" spans="1:71" s="12" customFormat="1" ht="62.25" customHeight="1">
      <c r="A889" s="178" t="s">
        <v>80</v>
      </c>
      <c r="B889" s="178" t="str">
        <f ca="1">+UPPER(Tabla1321124[[#This Row],[DESCRIPCIÓN DE LA COMPRA O CONTRATACIÓN]])</f>
        <v>VALVULA HF Ø12 VASTAGO FIJO PLATILLADA Y VOLANTA CON JUNTA DE GOMA Y TORNILLO PARA 125 PSI CON SUS DOS PLATILLOS</v>
      </c>
      <c r="C889" s="39" t="s">
        <v>17</v>
      </c>
      <c r="D889" s="236">
        <v>5</v>
      </c>
      <c r="E889" s="236"/>
      <c r="F889" s="236"/>
      <c r="G889" s="236"/>
      <c r="H889" s="240">
        <f>SUM(Tabla1321124[[#This Row],[PRIMER TRIMESTRE]:[CUARTO TRIMESTRE]])</f>
        <v>5</v>
      </c>
      <c r="I889" s="17">
        <v>29000</v>
      </c>
      <c r="J889" s="17">
        <f>+Tabla1321124[[#This Row],[CANTIDAD TOTAL]]*Tabla1321124[[#This Row],[PRECIO UNITARIO ESTIMADO]]</f>
        <v>145000</v>
      </c>
      <c r="K889" s="17"/>
      <c r="L889" s="16" t="s">
        <v>18</v>
      </c>
      <c r="M889" s="16" t="s">
        <v>22</v>
      </c>
      <c r="N889" s="16"/>
      <c r="O889" s="243"/>
      <c r="P889" s="243"/>
      <c r="Q889" s="243"/>
      <c r="R889" s="243"/>
      <c r="S889" s="243"/>
      <c r="T889" s="243"/>
      <c r="U889" s="243"/>
      <c r="V889" s="243"/>
      <c r="W889" s="243"/>
      <c r="X889" s="243"/>
      <c r="Y889" s="243"/>
      <c r="Z889" s="243"/>
      <c r="AA889" s="243"/>
      <c r="AB889" s="243"/>
      <c r="AC889" s="243"/>
      <c r="AD889" s="243"/>
      <c r="AE889" s="243"/>
      <c r="AF889" s="243"/>
      <c r="AG889" s="243"/>
      <c r="AH889" s="243"/>
      <c r="AI889" s="243"/>
      <c r="AJ889" s="243"/>
      <c r="AK889" s="243"/>
      <c r="AL889" s="243"/>
      <c r="AM889" s="243"/>
      <c r="AN889" s="243"/>
      <c r="AO889" s="243"/>
      <c r="AP889" s="243"/>
      <c r="AQ889" s="243"/>
      <c r="AR889" s="243"/>
      <c r="AS889" s="243"/>
      <c r="AT889" s="243"/>
      <c r="AU889" s="243"/>
      <c r="AV889" s="243"/>
      <c r="AW889" s="243"/>
      <c r="AX889" s="243"/>
      <c r="AY889" s="243"/>
      <c r="AZ889" s="243"/>
      <c r="BA889" s="243"/>
      <c r="BB889" s="243"/>
      <c r="BC889" s="243"/>
      <c r="BD889" s="243"/>
      <c r="BE889" s="243"/>
      <c r="BF889" s="243"/>
      <c r="BG889" s="243"/>
      <c r="BH889" s="243"/>
      <c r="BI889" s="243"/>
      <c r="BJ889" s="243"/>
      <c r="BK889" s="243"/>
      <c r="BL889" s="243"/>
      <c r="BM889" s="243"/>
      <c r="BN889" s="243"/>
      <c r="BO889" s="243"/>
      <c r="BP889" s="243"/>
      <c r="BQ889" s="243"/>
      <c r="BR889" s="243"/>
      <c r="BS889" s="243"/>
    </row>
    <row r="890" spans="1:71" s="12" customFormat="1" ht="54.75" customHeight="1">
      <c r="A890" s="178" t="s">
        <v>80</v>
      </c>
      <c r="B890" s="178" t="str">
        <f ca="1">+UPPER(Tabla1321124[[#This Row],[DESCRIPCIÓN DE LA COMPRA O CONTRATACIÓN]])</f>
        <v>VALVULA HF Ø16 VASTAGO FIJO PLATILLADA Y VOLANTA CON JUNTA DE GOMA Y TORNILLO PARA 125 PSI CON SUS DOS PLATILLOS (SEDIMENTADORES DE PLANTA)</v>
      </c>
      <c r="C890" s="39" t="s">
        <v>17</v>
      </c>
      <c r="D890" s="365">
        <v>5</v>
      </c>
      <c r="E890" s="365"/>
      <c r="F890" s="365">
        <v>5</v>
      </c>
      <c r="G890" s="365"/>
      <c r="H890" s="240">
        <f>SUM(Tabla1321124[[#This Row],[PRIMER TRIMESTRE]:[CUARTO TRIMESTRE]])</f>
        <v>10</v>
      </c>
      <c r="I890" s="17">
        <v>31000</v>
      </c>
      <c r="J890" s="17">
        <f>+Tabla1321124[[#This Row],[CANTIDAD TOTAL]]*Tabla1321124[[#This Row],[PRECIO UNITARIO ESTIMADO]]</f>
        <v>310000</v>
      </c>
      <c r="K890" s="175"/>
      <c r="L890" s="16" t="s">
        <v>18</v>
      </c>
      <c r="M890" s="16" t="s">
        <v>22</v>
      </c>
      <c r="N890" s="16"/>
      <c r="O890" s="243"/>
      <c r="P890" s="243"/>
      <c r="Q890" s="243"/>
      <c r="R890" s="243"/>
      <c r="S890" s="243"/>
      <c r="T890" s="243"/>
      <c r="U890" s="243"/>
      <c r="V890" s="243"/>
      <c r="W890" s="243"/>
      <c r="X890" s="243"/>
      <c r="Y890" s="243"/>
      <c r="Z890" s="243"/>
      <c r="AA890" s="243"/>
      <c r="AB890" s="243"/>
      <c r="AC890" s="243"/>
      <c r="AD890" s="243"/>
      <c r="AE890" s="243"/>
      <c r="AF890" s="243"/>
      <c r="AG890" s="243"/>
      <c r="AH890" s="243"/>
      <c r="AI890" s="243"/>
      <c r="AJ890" s="243"/>
      <c r="AK890" s="243"/>
      <c r="AL890" s="243"/>
      <c r="AM890" s="243"/>
      <c r="AN890" s="243"/>
      <c r="AO890" s="243"/>
      <c r="AP890" s="243"/>
      <c r="AQ890" s="243"/>
      <c r="AR890" s="243"/>
      <c r="AS890" s="243"/>
      <c r="AT890" s="243"/>
      <c r="AU890" s="243"/>
      <c r="AV890" s="243"/>
      <c r="AW890" s="243"/>
      <c r="AX890" s="243"/>
      <c r="AY890" s="243"/>
      <c r="AZ890" s="243"/>
      <c r="BA890" s="243"/>
      <c r="BB890" s="243"/>
      <c r="BC890" s="243"/>
      <c r="BD890" s="243"/>
      <c r="BE890" s="243"/>
      <c r="BF890" s="243"/>
      <c r="BG890" s="243"/>
      <c r="BH890" s="243"/>
      <c r="BI890" s="243"/>
      <c r="BJ890" s="243"/>
      <c r="BK890" s="243"/>
      <c r="BL890" s="243"/>
      <c r="BM890" s="243"/>
      <c r="BN890" s="243"/>
      <c r="BO890" s="243"/>
      <c r="BP890" s="243"/>
      <c r="BQ890" s="243"/>
      <c r="BR890" s="243"/>
      <c r="BS890" s="243"/>
    </row>
    <row r="891" spans="1:71" s="12" customFormat="1" ht="57" customHeight="1">
      <c r="A891" s="178" t="s">
        <v>80</v>
      </c>
      <c r="B891" s="178" t="str">
        <f ca="1">+UPPER(Tabla1321124[[#This Row],[DESCRIPCIÓN DE LA COMPRA O CONTRATACIÓN]])</f>
        <v>VALVULA HF Ø20 VASTAGO FIJO PLATILLADA Y VOLANTA CON JUNTA DE GOMA Y TORNILLO PARA 125 PSI CON SUS DOS PLATILLOS (SEDIMENTADORES DE PLANTA)</v>
      </c>
      <c r="C891" s="39" t="s">
        <v>17</v>
      </c>
      <c r="D891" s="365">
        <v>2</v>
      </c>
      <c r="E891" s="365"/>
      <c r="F891" s="365">
        <v>2</v>
      </c>
      <c r="G891" s="365"/>
      <c r="H891" s="240">
        <f>SUM(Tabla1321124[[#This Row],[PRIMER TRIMESTRE]:[CUARTO TRIMESTRE]])</f>
        <v>4</v>
      </c>
      <c r="I891" s="17">
        <v>32700</v>
      </c>
      <c r="J891" s="17">
        <f>+Tabla1321124[[#This Row],[CANTIDAD TOTAL]]*Tabla1321124[[#This Row],[PRECIO UNITARIO ESTIMADO]]</f>
        <v>130800</v>
      </c>
      <c r="K891" s="175"/>
      <c r="L891" s="16" t="s">
        <v>18</v>
      </c>
      <c r="M891" s="16" t="s">
        <v>22</v>
      </c>
      <c r="N891" s="16"/>
      <c r="O891" s="243"/>
      <c r="P891" s="243"/>
      <c r="Q891" s="243"/>
      <c r="R891" s="243"/>
      <c r="S891" s="243"/>
      <c r="T891" s="243"/>
      <c r="U891" s="243"/>
      <c r="V891" s="243"/>
      <c r="W891" s="243"/>
      <c r="X891" s="243"/>
      <c r="Y891" s="243"/>
      <c r="Z891" s="243"/>
      <c r="AA891" s="243"/>
      <c r="AB891" s="243"/>
      <c r="AC891" s="243"/>
      <c r="AD891" s="243"/>
      <c r="AE891" s="243"/>
      <c r="AF891" s="243"/>
      <c r="AG891" s="243"/>
      <c r="AH891" s="243"/>
      <c r="AI891" s="243"/>
      <c r="AJ891" s="243"/>
      <c r="AK891" s="243"/>
      <c r="AL891" s="243"/>
      <c r="AM891" s="243"/>
      <c r="AN891" s="243"/>
      <c r="AO891" s="243"/>
      <c r="AP891" s="243"/>
      <c r="AQ891" s="243"/>
      <c r="AR891" s="243"/>
      <c r="AS891" s="243"/>
      <c r="AT891" s="243"/>
      <c r="AU891" s="243"/>
      <c r="AV891" s="243"/>
      <c r="AW891" s="243"/>
      <c r="AX891" s="243"/>
      <c r="AY891" s="243"/>
      <c r="AZ891" s="243"/>
      <c r="BA891" s="243"/>
      <c r="BB891" s="243"/>
      <c r="BC891" s="243"/>
      <c r="BD891" s="243"/>
      <c r="BE891" s="243"/>
      <c r="BF891" s="243"/>
      <c r="BG891" s="243"/>
      <c r="BH891" s="243"/>
      <c r="BI891" s="243"/>
      <c r="BJ891" s="243"/>
      <c r="BK891" s="243"/>
      <c r="BL891" s="243"/>
      <c r="BM891" s="243"/>
      <c r="BN891" s="243"/>
      <c r="BO891" s="243"/>
      <c r="BP891" s="243"/>
      <c r="BQ891" s="243"/>
      <c r="BR891" s="243"/>
      <c r="BS891" s="243"/>
    </row>
    <row r="892" spans="1:71" s="12" customFormat="1" ht="59.25" customHeight="1">
      <c r="A892" s="178" t="s">
        <v>80</v>
      </c>
      <c r="B892" s="178" t="str">
        <f ca="1">+UPPER(Tabla1321124[[#This Row],[DESCRIPCIÓN DE LA COMPRA O CONTRATACIÓN]])</f>
        <v>VARA PERTICA TELESCOPICA DE 35'DE FIBRA DE VIDRIO CON RECUBRIMIENTO EXOPICO RELLENO DE ESPUMA POLIURETANO CAPACIDAD DIELECTICA DE 100 KV POR PIE</v>
      </c>
      <c r="C892" s="39" t="s">
        <v>17</v>
      </c>
      <c r="D892" s="236">
        <f>6+4</f>
        <v>10</v>
      </c>
      <c r="E892" s="236">
        <v>3</v>
      </c>
      <c r="F892" s="236">
        <f>3+2</f>
        <v>5</v>
      </c>
      <c r="G892" s="236">
        <v>2</v>
      </c>
      <c r="H892" s="240">
        <f>SUM(Tabla1321124[[#This Row],[PRIMER TRIMESTRE]:[CUARTO TRIMESTRE]])</f>
        <v>20</v>
      </c>
      <c r="I892" s="17">
        <v>52242</v>
      </c>
      <c r="J892" s="17">
        <f>+Tabla1321124[[#This Row],[CANTIDAD TOTAL]]*Tabla1321124[[#This Row],[PRECIO UNITARIO ESTIMADO]]</f>
        <v>1044840</v>
      </c>
      <c r="K892" s="17"/>
      <c r="L892" s="16" t="s">
        <v>18</v>
      </c>
      <c r="M892" s="16" t="s">
        <v>22</v>
      </c>
      <c r="N892" s="16"/>
      <c r="O892" s="243"/>
      <c r="P892" s="243"/>
      <c r="Q892" s="243"/>
      <c r="R892" s="243"/>
      <c r="S892" s="243"/>
      <c r="T892" s="243"/>
      <c r="U892" s="243"/>
      <c r="V892" s="243"/>
      <c r="W892" s="243"/>
      <c r="X892" s="243"/>
      <c r="Y892" s="243"/>
      <c r="Z892" s="243"/>
      <c r="AA892" s="243"/>
      <c r="AB892" s="243"/>
      <c r="AC892" s="243"/>
      <c r="AD892" s="243"/>
      <c r="AE892" s="243"/>
      <c r="AF892" s="243"/>
      <c r="AG892" s="243"/>
      <c r="AH892" s="243"/>
      <c r="AI892" s="243"/>
      <c r="AJ892" s="243"/>
      <c r="AK892" s="243"/>
      <c r="AL892" s="243"/>
      <c r="AM892" s="243"/>
      <c r="AN892" s="243"/>
      <c r="AO892" s="243"/>
      <c r="AP892" s="243"/>
      <c r="AQ892" s="243"/>
      <c r="AR892" s="243"/>
      <c r="AS892" s="243"/>
      <c r="AT892" s="243"/>
      <c r="AU892" s="243"/>
      <c r="AV892" s="243"/>
      <c r="AW892" s="243"/>
      <c r="AX892" s="243"/>
      <c r="AY892" s="243"/>
      <c r="AZ892" s="243"/>
      <c r="BA892" s="243"/>
      <c r="BB892" s="243"/>
      <c r="BC892" s="243"/>
      <c r="BD892" s="243"/>
      <c r="BE892" s="243"/>
      <c r="BF892" s="243"/>
      <c r="BG892" s="243"/>
      <c r="BH892" s="243"/>
      <c r="BI892" s="243"/>
      <c r="BJ892" s="243"/>
      <c r="BK892" s="243"/>
      <c r="BL892" s="243"/>
      <c r="BM892" s="243"/>
      <c r="BN892" s="243"/>
      <c r="BO892" s="243"/>
      <c r="BP892" s="243"/>
      <c r="BQ892" s="243"/>
      <c r="BR892" s="243"/>
      <c r="BS892" s="243"/>
    </row>
    <row r="893" spans="1:71" s="12" customFormat="1" ht="47.25" customHeight="1">
      <c r="A893" s="178" t="s">
        <v>80</v>
      </c>
      <c r="B893" s="178" t="str">
        <f ca="1">+UPPER(Tabla1321124[[#This Row],[DESCRIPCIÓN DE LA COMPRA O CONTRATACIÓN]])</f>
        <v>VARITAS DE PLATA</v>
      </c>
      <c r="C893" s="39" t="s">
        <v>17</v>
      </c>
      <c r="D893" s="236">
        <v>150</v>
      </c>
      <c r="E893" s="236"/>
      <c r="F893" s="236">
        <v>150</v>
      </c>
      <c r="G893" s="236"/>
      <c r="H893" s="240">
        <f>SUM(Tabla1321124[[#This Row],[PRIMER TRIMESTRE]:[CUARTO TRIMESTRE]])</f>
        <v>300</v>
      </c>
      <c r="I893" s="17">
        <v>28.8</v>
      </c>
      <c r="J893" s="17">
        <f>+Tabla1321124[[#This Row],[CANTIDAD TOTAL]]*Tabla1321124[[#This Row],[PRECIO UNITARIO ESTIMADO]]</f>
        <v>8640</v>
      </c>
      <c r="K893" s="17"/>
      <c r="L893" s="16" t="s">
        <v>18</v>
      </c>
      <c r="M893" s="16" t="s">
        <v>22</v>
      </c>
      <c r="N893" s="16"/>
      <c r="O893" s="243"/>
      <c r="P893" s="243"/>
      <c r="Q893" s="243"/>
      <c r="R893" s="243"/>
      <c r="S893" s="243"/>
      <c r="T893" s="243"/>
      <c r="U893" s="243"/>
      <c r="V893" s="243"/>
      <c r="W893" s="243"/>
      <c r="X893" s="243"/>
      <c r="Y893" s="243"/>
      <c r="Z893" s="243"/>
      <c r="AA893" s="243"/>
      <c r="AB893" s="243"/>
      <c r="AC893" s="243"/>
      <c r="AD893" s="243"/>
      <c r="AE893" s="243"/>
      <c r="AF893" s="243"/>
      <c r="AG893" s="243"/>
      <c r="AH893" s="243"/>
      <c r="AI893" s="243"/>
      <c r="AJ893" s="243"/>
      <c r="AK893" s="243"/>
      <c r="AL893" s="243"/>
      <c r="AM893" s="243"/>
      <c r="AN893" s="243"/>
      <c r="AO893" s="243"/>
      <c r="AP893" s="243"/>
      <c r="AQ893" s="243"/>
      <c r="AR893" s="243"/>
      <c r="AS893" s="243"/>
      <c r="AT893" s="243"/>
      <c r="AU893" s="243"/>
      <c r="AV893" s="243"/>
      <c r="AW893" s="243"/>
      <c r="AX893" s="243"/>
      <c r="AY893" s="243"/>
      <c r="AZ893" s="243"/>
      <c r="BA893" s="243"/>
      <c r="BB893" s="243"/>
      <c r="BC893" s="243"/>
      <c r="BD893" s="243"/>
      <c r="BE893" s="243"/>
      <c r="BF893" s="243"/>
      <c r="BG893" s="243"/>
      <c r="BH893" s="243"/>
      <c r="BI893" s="243"/>
      <c r="BJ893" s="243"/>
      <c r="BK893" s="243"/>
      <c r="BL893" s="243"/>
      <c r="BM893" s="243"/>
      <c r="BN893" s="243"/>
      <c r="BO893" s="243"/>
      <c r="BP893" s="243"/>
      <c r="BQ893" s="243"/>
      <c r="BR893" s="243"/>
      <c r="BS893" s="243"/>
    </row>
    <row r="894" spans="1:71" s="12" customFormat="1" ht="47.25" customHeight="1">
      <c r="A894" s="178" t="s">
        <v>80</v>
      </c>
      <c r="B894" s="178" t="str">
        <f ca="1">+UPPER(Tabla1321124[[#This Row],[DESCRIPCIÓN DE LA COMPRA O CONTRATACIÓN]])</f>
        <v>VALVULA DE COMPUERTA, ROSCADA Y  CUADRANTE PARA 150PSI DE Ø2", CON SUS DOS NIPLES ROSCADO DE 1´</v>
      </c>
      <c r="C894" s="39" t="s">
        <v>17</v>
      </c>
      <c r="D894" s="236">
        <f>20+15</f>
        <v>35</v>
      </c>
      <c r="E894" s="236">
        <f>20+10</f>
        <v>30</v>
      </c>
      <c r="F894" s="236">
        <f>20+15</f>
        <v>35</v>
      </c>
      <c r="G894" s="236">
        <f>20+10</f>
        <v>30</v>
      </c>
      <c r="H894" s="240">
        <f>SUM(Tabla1321124[[#This Row],[PRIMER TRIMESTRE]:[CUARTO TRIMESTRE]])</f>
        <v>130</v>
      </c>
      <c r="I894" s="17">
        <v>15930</v>
      </c>
      <c r="J894" s="17">
        <f>+Tabla1321124[[#This Row],[CANTIDAD TOTAL]]*Tabla1321124[[#This Row],[PRECIO UNITARIO ESTIMADO]]</f>
        <v>2070900</v>
      </c>
      <c r="K894" s="17"/>
      <c r="L894" s="16" t="s">
        <v>18</v>
      </c>
      <c r="M894" s="16" t="s">
        <v>22</v>
      </c>
      <c r="N894" s="16"/>
      <c r="O894" s="243"/>
      <c r="P894" s="243"/>
      <c r="Q894" s="243"/>
      <c r="R894" s="243"/>
      <c r="S894" s="243"/>
      <c r="T894" s="243"/>
      <c r="U894" s="243"/>
      <c r="V894" s="243"/>
      <c r="W894" s="243"/>
      <c r="X894" s="243"/>
      <c r="Y894" s="243"/>
      <c r="Z894" s="243"/>
      <c r="AA894" s="243"/>
      <c r="AB894" s="243"/>
      <c r="AC894" s="243"/>
      <c r="AD894" s="243"/>
      <c r="AE894" s="243"/>
      <c r="AF894" s="243"/>
      <c r="AG894" s="243"/>
      <c r="AH894" s="243"/>
      <c r="AI894" s="243"/>
      <c r="AJ894" s="243"/>
      <c r="AK894" s="243"/>
      <c r="AL894" s="243"/>
      <c r="AM894" s="243"/>
      <c r="AN894" s="243"/>
      <c r="AO894" s="243"/>
      <c r="AP894" s="243"/>
      <c r="AQ894" s="243"/>
      <c r="AR894" s="243"/>
      <c r="AS894" s="243"/>
      <c r="AT894" s="243"/>
      <c r="AU894" s="243"/>
      <c r="AV894" s="243"/>
      <c r="AW894" s="243"/>
      <c r="AX894" s="243"/>
      <c r="AY894" s="243"/>
      <c r="AZ894" s="243"/>
      <c r="BA894" s="243"/>
      <c r="BB894" s="243"/>
      <c r="BC894" s="243"/>
      <c r="BD894" s="243"/>
      <c r="BE894" s="243"/>
      <c r="BF894" s="243"/>
      <c r="BG894" s="243"/>
      <c r="BH894" s="243"/>
      <c r="BI894" s="243"/>
      <c r="BJ894" s="243"/>
      <c r="BK894" s="243"/>
      <c r="BL894" s="243"/>
      <c r="BM894" s="243"/>
      <c r="BN894" s="243"/>
      <c r="BO894" s="243"/>
      <c r="BP894" s="243"/>
      <c r="BQ894" s="243"/>
      <c r="BR894" s="243"/>
      <c r="BS894" s="243"/>
    </row>
    <row r="895" spans="1:71" s="12" customFormat="1" ht="47.25" customHeight="1">
      <c r="A895" s="178" t="s">
        <v>80</v>
      </c>
      <c r="B895" s="178" t="str">
        <f ca="1">+UPPER(Tabla1321124[[#This Row],[DESCRIPCIÓN DE LA COMPRA O CONTRATACIÓN]])</f>
        <v>VALVULA DE COMPUERTA, ROSCADA Y  CUADRANTE PARA 150PSI DE Ø3", CON SUS DOS NIPLES ROSCADO DE 1´</v>
      </c>
      <c r="C895" s="39" t="s">
        <v>17</v>
      </c>
      <c r="D895" s="236">
        <f>30+5</f>
        <v>35</v>
      </c>
      <c r="E895" s="236">
        <v>30</v>
      </c>
      <c r="F895" s="236">
        <v>30</v>
      </c>
      <c r="G895" s="236">
        <v>30</v>
      </c>
      <c r="H895" s="240">
        <f>SUM(Tabla1321124[[#This Row],[PRIMER TRIMESTRE]:[CUARTO TRIMESTRE]])</f>
        <v>125</v>
      </c>
      <c r="I895" s="17">
        <f>15500*1.18</f>
        <v>18290</v>
      </c>
      <c r="J895" s="17">
        <f>+Tabla1321124[[#This Row],[CANTIDAD TOTAL]]*Tabla1321124[[#This Row],[PRECIO UNITARIO ESTIMADO]]</f>
        <v>2286250</v>
      </c>
      <c r="K895" s="17"/>
      <c r="L895" s="16" t="s">
        <v>18</v>
      </c>
      <c r="M895" s="16" t="s">
        <v>22</v>
      </c>
      <c r="N895" s="16"/>
      <c r="O895" s="243"/>
      <c r="P895" s="243"/>
      <c r="Q895" s="243"/>
      <c r="R895" s="243"/>
      <c r="S895" s="243"/>
      <c r="T895" s="243"/>
      <c r="U895" s="243"/>
      <c r="V895" s="243"/>
      <c r="W895" s="243"/>
      <c r="X895" s="243"/>
      <c r="Y895" s="243"/>
      <c r="Z895" s="243"/>
      <c r="AA895" s="243"/>
      <c r="AB895" s="243"/>
      <c r="AC895" s="243"/>
      <c r="AD895" s="243"/>
      <c r="AE895" s="243"/>
      <c r="AF895" s="243"/>
      <c r="AG895" s="243"/>
      <c r="AH895" s="243"/>
      <c r="AI895" s="243"/>
      <c r="AJ895" s="243"/>
      <c r="AK895" s="243"/>
      <c r="AL895" s="243"/>
      <c r="AM895" s="243"/>
      <c r="AN895" s="243"/>
      <c r="AO895" s="243"/>
      <c r="AP895" s="243"/>
      <c r="AQ895" s="243"/>
      <c r="AR895" s="243"/>
      <c r="AS895" s="243"/>
      <c r="AT895" s="243"/>
      <c r="AU895" s="243"/>
      <c r="AV895" s="243"/>
      <c r="AW895" s="243"/>
      <c r="AX895" s="243"/>
      <c r="AY895" s="243"/>
      <c r="AZ895" s="243"/>
      <c r="BA895" s="243"/>
      <c r="BB895" s="243"/>
      <c r="BC895" s="243"/>
      <c r="BD895" s="243"/>
      <c r="BE895" s="243"/>
      <c r="BF895" s="243"/>
      <c r="BG895" s="243"/>
      <c r="BH895" s="243"/>
      <c r="BI895" s="243"/>
      <c r="BJ895" s="243"/>
      <c r="BK895" s="243"/>
      <c r="BL895" s="243"/>
      <c r="BM895" s="243"/>
      <c r="BN895" s="243"/>
      <c r="BO895" s="243"/>
      <c r="BP895" s="243"/>
      <c r="BQ895" s="243"/>
      <c r="BR895" s="243"/>
      <c r="BS895" s="243"/>
    </row>
    <row r="896" spans="1:71" s="12" customFormat="1" ht="56.25" customHeight="1">
      <c r="A896" s="178" t="s">
        <v>80</v>
      </c>
      <c r="B896" s="178" t="str">
        <f ca="1">+UPPER(Tabla1321124[[#This Row],[DESCRIPCIÓN DE LA COMPRA O CONTRATACIÓN]])</f>
        <v>VALVULA DE COMPUERTA, ROSCADA Y  CUADRANTE PARA 150PSI DE Ø4", CON SUS DOS NIPLES ROSCADO DE 1´</v>
      </c>
      <c r="C896" s="39" t="s">
        <v>17</v>
      </c>
      <c r="D896" s="236">
        <f>40+5</f>
        <v>45</v>
      </c>
      <c r="E896" s="236">
        <v>40</v>
      </c>
      <c r="F896" s="236">
        <v>40</v>
      </c>
      <c r="G896" s="236">
        <v>40</v>
      </c>
      <c r="H896" s="240">
        <f>SUM(Tabla1321124[[#This Row],[PRIMER TRIMESTRE]:[CUARTO TRIMESTRE]])</f>
        <v>165</v>
      </c>
      <c r="I896" s="17">
        <f>18500*1.18</f>
        <v>21830</v>
      </c>
      <c r="J896" s="17">
        <f>+Tabla1321124[[#This Row],[CANTIDAD TOTAL]]*Tabla1321124[[#This Row],[PRECIO UNITARIO ESTIMADO]]</f>
        <v>3601950</v>
      </c>
      <c r="K896" s="17"/>
      <c r="L896" s="16" t="s">
        <v>18</v>
      </c>
      <c r="M896" s="16" t="s">
        <v>22</v>
      </c>
      <c r="N896" s="16"/>
      <c r="O896" s="243"/>
      <c r="P896" s="243"/>
      <c r="Q896" s="243"/>
      <c r="R896" s="243"/>
      <c r="S896" s="243"/>
      <c r="T896" s="243"/>
      <c r="U896" s="243"/>
      <c r="V896" s="243"/>
      <c r="W896" s="243"/>
      <c r="X896" s="243"/>
      <c r="Y896" s="243"/>
      <c r="Z896" s="243"/>
      <c r="AA896" s="243"/>
      <c r="AB896" s="243"/>
      <c r="AC896" s="243"/>
      <c r="AD896" s="243"/>
      <c r="AE896" s="243"/>
      <c r="AF896" s="243"/>
      <c r="AG896" s="243"/>
      <c r="AH896" s="243"/>
      <c r="AI896" s="243"/>
      <c r="AJ896" s="243"/>
      <c r="AK896" s="243"/>
      <c r="AL896" s="243"/>
      <c r="AM896" s="243"/>
      <c r="AN896" s="243"/>
      <c r="AO896" s="243"/>
      <c r="AP896" s="243"/>
      <c r="AQ896" s="243"/>
      <c r="AR896" s="243"/>
      <c r="AS896" s="243"/>
      <c r="AT896" s="243"/>
      <c r="AU896" s="243"/>
      <c r="AV896" s="243"/>
      <c r="AW896" s="243"/>
      <c r="AX896" s="243"/>
      <c r="AY896" s="243"/>
      <c r="AZ896" s="243"/>
      <c r="BA896" s="243"/>
      <c r="BB896" s="243"/>
      <c r="BC896" s="243"/>
      <c r="BD896" s="243"/>
      <c r="BE896" s="243"/>
      <c r="BF896" s="243"/>
      <c r="BG896" s="243"/>
      <c r="BH896" s="243"/>
      <c r="BI896" s="243"/>
      <c r="BJ896" s="243"/>
      <c r="BK896" s="243"/>
      <c r="BL896" s="243"/>
      <c r="BM896" s="243"/>
      <c r="BN896" s="243"/>
      <c r="BO896" s="243"/>
      <c r="BP896" s="243"/>
      <c r="BQ896" s="243"/>
      <c r="BR896" s="243"/>
      <c r="BS896" s="243"/>
    </row>
    <row r="897" spans="1:71" s="12" customFormat="1" ht="56.25" customHeight="1">
      <c r="A897" s="178" t="s">
        <v>80</v>
      </c>
      <c r="B897" s="178" t="str">
        <f ca="1">+UPPER(Tabla1321124[[#This Row],[DESCRIPCIÓN DE LA COMPRA O CONTRATACIÓN]])</f>
        <v>VALVULA DE COMPUERTA, PLATILLADA Y  CUADRANTE PARA 150PSI. Ø2", CON SUS DOS NIPLES PLATILLADOS, CON SU JUNTA DE GOMA, TORNILLOS Y TUERCAS</v>
      </c>
      <c r="C897" s="39" t="s">
        <v>17</v>
      </c>
      <c r="D897" s="236">
        <v>5</v>
      </c>
      <c r="E897" s="236"/>
      <c r="F897" s="236"/>
      <c r="G897" s="236"/>
      <c r="H897" s="240">
        <f>SUM(Tabla1321124[[#This Row],[PRIMER TRIMESTRE]:[CUARTO TRIMESTRE]])</f>
        <v>5</v>
      </c>
      <c r="I897" s="17">
        <f>13800*1.18</f>
        <v>16284</v>
      </c>
      <c r="J897" s="17">
        <f>+Tabla1321124[[#This Row],[CANTIDAD TOTAL]]*Tabla1321124[[#This Row],[PRECIO UNITARIO ESTIMADO]]</f>
        <v>81420</v>
      </c>
      <c r="K897" s="17"/>
      <c r="L897" s="16" t="s">
        <v>18</v>
      </c>
      <c r="M897" s="16" t="s">
        <v>22</v>
      </c>
      <c r="N897" s="16"/>
      <c r="O897" s="243"/>
      <c r="P897" s="243"/>
      <c r="Q897" s="243"/>
      <c r="R897" s="243"/>
      <c r="S897" s="243"/>
      <c r="T897" s="243"/>
      <c r="U897" s="243"/>
      <c r="V897" s="243"/>
      <c r="W897" s="243"/>
      <c r="X897" s="243"/>
      <c r="Y897" s="243"/>
      <c r="Z897" s="243"/>
      <c r="AA897" s="243"/>
      <c r="AB897" s="243"/>
      <c r="AC897" s="243"/>
      <c r="AD897" s="243"/>
      <c r="AE897" s="243"/>
      <c r="AF897" s="243"/>
      <c r="AG897" s="243"/>
      <c r="AH897" s="243"/>
      <c r="AI897" s="243"/>
      <c r="AJ897" s="243"/>
      <c r="AK897" s="243"/>
      <c r="AL897" s="243"/>
      <c r="AM897" s="243"/>
      <c r="AN897" s="243"/>
      <c r="AO897" s="243"/>
      <c r="AP897" s="243"/>
      <c r="AQ897" s="243"/>
      <c r="AR897" s="243"/>
      <c r="AS897" s="243"/>
      <c r="AT897" s="243"/>
      <c r="AU897" s="243"/>
      <c r="AV897" s="243"/>
      <c r="AW897" s="243"/>
      <c r="AX897" s="243"/>
      <c r="AY897" s="243"/>
      <c r="AZ897" s="243"/>
      <c r="BA897" s="243"/>
      <c r="BB897" s="243"/>
      <c r="BC897" s="243"/>
      <c r="BD897" s="243"/>
      <c r="BE897" s="243"/>
      <c r="BF897" s="243"/>
      <c r="BG897" s="243"/>
      <c r="BH897" s="243"/>
      <c r="BI897" s="243"/>
      <c r="BJ897" s="243"/>
      <c r="BK897" s="243"/>
      <c r="BL897" s="243"/>
      <c r="BM897" s="243"/>
      <c r="BN897" s="243"/>
      <c r="BO897" s="243"/>
      <c r="BP897" s="243"/>
      <c r="BQ897" s="243"/>
      <c r="BR897" s="243"/>
      <c r="BS897" s="243"/>
    </row>
    <row r="898" spans="1:71" s="12" customFormat="1" ht="56.25" customHeight="1">
      <c r="A898" s="178" t="s">
        <v>80</v>
      </c>
      <c r="B898" s="178" t="str">
        <f ca="1">+UPPER(Tabla1321124[[#This Row],[DESCRIPCIÓN DE LA COMPRA O CONTRATACIÓN]])</f>
        <v>VALVULA DE COMPUERTA, PLATILLADA Y  CUADRANTE PARA 150PSI. Ø3", CON SUS DOS NIPLES PLATILLADOS, CON SU JUNTA DE GOMA, TORNILLOS Y TUERCAS</v>
      </c>
      <c r="C898" s="39" t="s">
        <v>17</v>
      </c>
      <c r="D898" s="236">
        <v>5</v>
      </c>
      <c r="E898" s="236"/>
      <c r="F898" s="236"/>
      <c r="G898" s="236"/>
      <c r="H898" s="240">
        <f>SUM(Tabla1321124[[#This Row],[PRIMER TRIMESTRE]:[CUARTO TRIMESTRE]])</f>
        <v>5</v>
      </c>
      <c r="I898" s="17">
        <f>15950*1.18</f>
        <v>18821</v>
      </c>
      <c r="J898" s="17">
        <f>+Tabla1321124[[#This Row],[CANTIDAD TOTAL]]*Tabla1321124[[#This Row],[PRECIO UNITARIO ESTIMADO]]</f>
        <v>94105</v>
      </c>
      <c r="K898" s="17"/>
      <c r="L898" s="16" t="s">
        <v>18</v>
      </c>
      <c r="M898" s="16" t="s">
        <v>22</v>
      </c>
      <c r="N898" s="16"/>
      <c r="O898" s="243"/>
      <c r="P898" s="243"/>
      <c r="Q898" s="243"/>
      <c r="R898" s="243"/>
      <c r="S898" s="243"/>
      <c r="T898" s="243"/>
      <c r="U898" s="243"/>
      <c r="V898" s="243"/>
      <c r="W898" s="243"/>
      <c r="X898" s="243"/>
      <c r="Y898" s="243"/>
      <c r="Z898" s="243"/>
      <c r="AA898" s="243"/>
      <c r="AB898" s="243"/>
      <c r="AC898" s="243"/>
      <c r="AD898" s="243"/>
      <c r="AE898" s="243"/>
      <c r="AF898" s="243"/>
      <c r="AG898" s="243"/>
      <c r="AH898" s="243"/>
      <c r="AI898" s="243"/>
      <c r="AJ898" s="243"/>
      <c r="AK898" s="243"/>
      <c r="AL898" s="243"/>
      <c r="AM898" s="243"/>
      <c r="AN898" s="243"/>
      <c r="AO898" s="243"/>
      <c r="AP898" s="243"/>
      <c r="AQ898" s="243"/>
      <c r="AR898" s="243"/>
      <c r="AS898" s="243"/>
      <c r="AT898" s="243"/>
      <c r="AU898" s="243"/>
      <c r="AV898" s="243"/>
      <c r="AW898" s="243"/>
      <c r="AX898" s="243"/>
      <c r="AY898" s="243"/>
      <c r="AZ898" s="243"/>
      <c r="BA898" s="243"/>
      <c r="BB898" s="243"/>
      <c r="BC898" s="243"/>
      <c r="BD898" s="243"/>
      <c r="BE898" s="243"/>
      <c r="BF898" s="243"/>
      <c r="BG898" s="243"/>
      <c r="BH898" s="243"/>
      <c r="BI898" s="243"/>
      <c r="BJ898" s="243"/>
      <c r="BK898" s="243"/>
      <c r="BL898" s="243"/>
      <c r="BM898" s="243"/>
      <c r="BN898" s="243"/>
      <c r="BO898" s="243"/>
      <c r="BP898" s="243"/>
      <c r="BQ898" s="243"/>
      <c r="BR898" s="243"/>
      <c r="BS898" s="243"/>
    </row>
    <row r="899" spans="1:71" s="12" customFormat="1" ht="56.25" customHeight="1">
      <c r="A899" s="178" t="s">
        <v>80</v>
      </c>
      <c r="B899" s="178" t="str">
        <f ca="1">+UPPER(Tabla1321124[[#This Row],[DESCRIPCIÓN DE LA COMPRA O CONTRATACIÓN]])</f>
        <v>VALVULA DE COMPUERTA, PLATILLADA Y  CUADRANTE PARA 150PSI. Ø4", CON SUS DOS NIPLES PLATILLADOS, CON SU JUNTA DE GOMA, TORNILLOS Y TUERCAS</v>
      </c>
      <c r="C899" s="39" t="s">
        <v>17</v>
      </c>
      <c r="D899" s="236">
        <v>5</v>
      </c>
      <c r="E899" s="236"/>
      <c r="F899" s="236"/>
      <c r="G899" s="236"/>
      <c r="H899" s="240">
        <f>SUM(Tabla1321124[[#This Row],[PRIMER TRIMESTRE]:[CUARTO TRIMESTRE]])</f>
        <v>5</v>
      </c>
      <c r="I899" s="17">
        <f>18950*1.18</f>
        <v>22361</v>
      </c>
      <c r="J899" s="17">
        <f>+Tabla1321124[[#This Row],[CANTIDAD TOTAL]]*Tabla1321124[[#This Row],[PRECIO UNITARIO ESTIMADO]]</f>
        <v>111805</v>
      </c>
      <c r="K899" s="17"/>
      <c r="L899" s="16" t="s">
        <v>18</v>
      </c>
      <c r="M899" s="16" t="s">
        <v>22</v>
      </c>
      <c r="N899" s="16"/>
      <c r="O899" s="243"/>
      <c r="P899" s="243"/>
      <c r="Q899" s="243"/>
      <c r="R899" s="243"/>
      <c r="S899" s="243"/>
      <c r="T899" s="243"/>
      <c r="U899" s="243"/>
      <c r="V899" s="243"/>
      <c r="W899" s="243"/>
      <c r="X899" s="243"/>
      <c r="Y899" s="243"/>
      <c r="Z899" s="243"/>
      <c r="AA899" s="243"/>
      <c r="AB899" s="243"/>
      <c r="AC899" s="243"/>
      <c r="AD899" s="243"/>
      <c r="AE899" s="243"/>
      <c r="AF899" s="243"/>
      <c r="AG899" s="243"/>
      <c r="AH899" s="243"/>
      <c r="AI899" s="243"/>
      <c r="AJ899" s="243"/>
      <c r="AK899" s="243"/>
      <c r="AL899" s="243"/>
      <c r="AM899" s="243"/>
      <c r="AN899" s="243"/>
      <c r="AO899" s="243"/>
      <c r="AP899" s="243"/>
      <c r="AQ899" s="243"/>
      <c r="AR899" s="243"/>
      <c r="AS899" s="243"/>
      <c r="AT899" s="243"/>
      <c r="AU899" s="243"/>
      <c r="AV899" s="243"/>
      <c r="AW899" s="243"/>
      <c r="AX899" s="243"/>
      <c r="AY899" s="243"/>
      <c r="AZ899" s="243"/>
      <c r="BA899" s="243"/>
      <c r="BB899" s="243"/>
      <c r="BC899" s="243"/>
      <c r="BD899" s="243"/>
      <c r="BE899" s="243"/>
      <c r="BF899" s="243"/>
      <c r="BG899" s="243"/>
      <c r="BH899" s="243"/>
      <c r="BI899" s="243"/>
      <c r="BJ899" s="243"/>
      <c r="BK899" s="243"/>
      <c r="BL899" s="243"/>
      <c r="BM899" s="243"/>
      <c r="BN899" s="243"/>
      <c r="BO899" s="243"/>
      <c r="BP899" s="243"/>
      <c r="BQ899" s="243"/>
      <c r="BR899" s="243"/>
      <c r="BS899" s="243"/>
    </row>
    <row r="900" spans="1:71" s="12" customFormat="1" ht="56.25" customHeight="1">
      <c r="A900" s="178" t="s">
        <v>80</v>
      </c>
      <c r="B900" s="178" t="str">
        <f ca="1">+UPPER(Tabla1321124[[#This Row],[DESCRIPCIÓN DE LA COMPRA O CONTRATACIÓN]])</f>
        <v>VALVULA DE COMPUERTA, PLATILLADA Y CUADRANTE PARA 150PSI. Ø6", CON SUS DOS NIPLES PLATILLADOS, CON SU JUNTA DE GOMA, TORNILLOS Y TUERCAS</v>
      </c>
      <c r="C900" s="39" t="s">
        <v>17</v>
      </c>
      <c r="D900" s="352">
        <f>40+5</f>
        <v>45</v>
      </c>
      <c r="E900" s="352">
        <v>40</v>
      </c>
      <c r="F900" s="352">
        <v>40</v>
      </c>
      <c r="G900" s="352">
        <v>40</v>
      </c>
      <c r="H900" s="240">
        <f>SUM(Tabla1321124[[#This Row],[PRIMER TRIMESTRE]:[CUARTO TRIMESTRE]])</f>
        <v>165</v>
      </c>
      <c r="I900" s="17">
        <f>23500*1.18</f>
        <v>27730</v>
      </c>
      <c r="J900" s="17">
        <f>+Tabla1321124[[#This Row],[CANTIDAD TOTAL]]*Tabla1321124[[#This Row],[PRECIO UNITARIO ESTIMADO]]</f>
        <v>4575450</v>
      </c>
      <c r="K900" s="17"/>
      <c r="L900" s="16" t="s">
        <v>18</v>
      </c>
      <c r="M900" s="16" t="s">
        <v>22</v>
      </c>
      <c r="N900" s="16"/>
      <c r="O900" s="243"/>
      <c r="P900" s="243"/>
      <c r="Q900" s="243"/>
      <c r="R900" s="243"/>
      <c r="S900" s="243"/>
      <c r="T900" s="243"/>
      <c r="U900" s="243"/>
      <c r="V900" s="243"/>
      <c r="W900" s="243"/>
      <c r="X900" s="243"/>
      <c r="Y900" s="243"/>
      <c r="Z900" s="243"/>
      <c r="AA900" s="243"/>
      <c r="AB900" s="243"/>
      <c r="AC900" s="243"/>
      <c r="AD900" s="243"/>
      <c r="AE900" s="243"/>
      <c r="AF900" s="243"/>
      <c r="AG900" s="243"/>
      <c r="AH900" s="243"/>
      <c r="AI900" s="243"/>
      <c r="AJ900" s="243"/>
      <c r="AK900" s="243"/>
      <c r="AL900" s="243"/>
      <c r="AM900" s="243"/>
      <c r="AN900" s="243"/>
      <c r="AO900" s="243"/>
      <c r="AP900" s="243"/>
      <c r="AQ900" s="243"/>
      <c r="AR900" s="243"/>
      <c r="AS900" s="243"/>
      <c r="AT900" s="243"/>
      <c r="AU900" s="243"/>
      <c r="AV900" s="243"/>
      <c r="AW900" s="243"/>
      <c r="AX900" s="243"/>
      <c r="AY900" s="243"/>
      <c r="AZ900" s="243"/>
      <c r="BA900" s="243"/>
      <c r="BB900" s="243"/>
      <c r="BC900" s="243"/>
      <c r="BD900" s="243"/>
      <c r="BE900" s="243"/>
      <c r="BF900" s="243"/>
      <c r="BG900" s="243"/>
      <c r="BH900" s="243"/>
      <c r="BI900" s="243"/>
      <c r="BJ900" s="243"/>
      <c r="BK900" s="243"/>
      <c r="BL900" s="243"/>
      <c r="BM900" s="243"/>
      <c r="BN900" s="243"/>
      <c r="BO900" s="243"/>
      <c r="BP900" s="243"/>
      <c r="BQ900" s="243"/>
      <c r="BR900" s="243"/>
      <c r="BS900" s="243"/>
    </row>
    <row r="901" spans="1:71" s="12" customFormat="1" ht="56.25" customHeight="1">
      <c r="A901" s="178" t="s">
        <v>80</v>
      </c>
      <c r="B901" s="178" t="str">
        <f ca="1">+UPPER(Tabla1321124[[#This Row],[DESCRIPCIÓN DE LA COMPRA O CONTRATACIÓN]])</f>
        <v>VALVULA DE COMPUERTA, PLATILLADA Y CUADRANTE  PARA 150PSI. Ø8", CON SUS DOS NIPLES PLATILLADOS, CON SU JUNTA DE GOMA, TORNILLOS Y TUERCAS</v>
      </c>
      <c r="C901" s="39" t="s">
        <v>17</v>
      </c>
      <c r="D901" s="352">
        <f>40+5</f>
        <v>45</v>
      </c>
      <c r="E901" s="352">
        <v>40</v>
      </c>
      <c r="F901" s="352">
        <v>40</v>
      </c>
      <c r="G901" s="352">
        <v>40</v>
      </c>
      <c r="H901" s="240">
        <f>SUM(Tabla1321124[[#This Row],[PRIMER TRIMESTRE]:[CUARTO TRIMESTRE]])</f>
        <v>165</v>
      </c>
      <c r="I901" s="17">
        <f>32800*1.18</f>
        <v>38704</v>
      </c>
      <c r="J901" s="17">
        <f>+Tabla1321124[[#This Row],[CANTIDAD TOTAL]]*Tabla1321124[[#This Row],[PRECIO UNITARIO ESTIMADO]]</f>
        <v>6386160</v>
      </c>
      <c r="K901" s="17"/>
      <c r="L901" s="16" t="s">
        <v>18</v>
      </c>
      <c r="M901" s="16" t="s">
        <v>22</v>
      </c>
      <c r="N901" s="16"/>
      <c r="O901" s="243"/>
      <c r="P901" s="243"/>
      <c r="Q901" s="243"/>
      <c r="R901" s="243"/>
      <c r="S901" s="243"/>
      <c r="T901" s="243"/>
      <c r="U901" s="243"/>
      <c r="V901" s="243"/>
      <c r="W901" s="243"/>
      <c r="X901" s="243"/>
      <c r="Y901" s="243"/>
      <c r="Z901" s="243"/>
      <c r="AA901" s="243"/>
      <c r="AB901" s="243"/>
      <c r="AC901" s="243"/>
      <c r="AD901" s="243"/>
      <c r="AE901" s="243"/>
      <c r="AF901" s="243"/>
      <c r="AG901" s="243"/>
      <c r="AH901" s="243"/>
      <c r="AI901" s="243"/>
      <c r="AJ901" s="243"/>
      <c r="AK901" s="243"/>
      <c r="AL901" s="243"/>
      <c r="AM901" s="243"/>
      <c r="AN901" s="243"/>
      <c r="AO901" s="243"/>
      <c r="AP901" s="243"/>
      <c r="AQ901" s="243"/>
      <c r="AR901" s="243"/>
      <c r="AS901" s="243"/>
      <c r="AT901" s="243"/>
      <c r="AU901" s="243"/>
      <c r="AV901" s="243"/>
      <c r="AW901" s="243"/>
      <c r="AX901" s="243"/>
      <c r="AY901" s="243"/>
      <c r="AZ901" s="243"/>
      <c r="BA901" s="243"/>
      <c r="BB901" s="243"/>
      <c r="BC901" s="243"/>
      <c r="BD901" s="243"/>
      <c r="BE901" s="243"/>
      <c r="BF901" s="243"/>
      <c r="BG901" s="243"/>
      <c r="BH901" s="243"/>
      <c r="BI901" s="243"/>
      <c r="BJ901" s="243"/>
      <c r="BK901" s="243"/>
      <c r="BL901" s="243"/>
      <c r="BM901" s="243"/>
      <c r="BN901" s="243"/>
      <c r="BO901" s="243"/>
      <c r="BP901" s="243"/>
      <c r="BQ901" s="243"/>
      <c r="BR901" s="243"/>
      <c r="BS901" s="243"/>
    </row>
    <row r="902" spans="1:71" s="12" customFormat="1" ht="56.25" customHeight="1">
      <c r="A902" s="178" t="s">
        <v>80</v>
      </c>
      <c r="B902" s="178" t="str">
        <f ca="1">+UPPER(Tabla1321124[[#This Row],[DESCRIPCIÓN DE LA COMPRA O CONTRATACIÓN]])</f>
        <v>VALVULA DE COMPUERTA, PLATILLADA Y CUADRANTE PARA 150PSI. Ø10", CON SUS DOS NIPLES PLATILLADOS, CON SU JUNTA DE GOMA, TORNILLOS Y TUERCAS</v>
      </c>
      <c r="C902" s="39" t="s">
        <v>17</v>
      </c>
      <c r="D902" s="352">
        <v>5</v>
      </c>
      <c r="E902" s="352">
        <v>5</v>
      </c>
      <c r="F902" s="352">
        <v>5</v>
      </c>
      <c r="G902" s="352">
        <v>5</v>
      </c>
      <c r="H902" s="240">
        <f>SUM(Tabla1321124[[#This Row],[PRIMER TRIMESTRE]:[CUARTO TRIMESTRE]])</f>
        <v>20</v>
      </c>
      <c r="I902" s="17">
        <f>56500*1.18</f>
        <v>66670</v>
      </c>
      <c r="J902" s="17">
        <f>+Tabla1321124[[#This Row],[CANTIDAD TOTAL]]*Tabla1321124[[#This Row],[PRECIO UNITARIO ESTIMADO]]</f>
        <v>1333400</v>
      </c>
      <c r="K902" s="17"/>
      <c r="L902" s="16" t="s">
        <v>18</v>
      </c>
      <c r="M902" s="16" t="s">
        <v>22</v>
      </c>
      <c r="N902" s="16"/>
      <c r="O902" s="243"/>
      <c r="P902" s="243"/>
      <c r="Q902" s="243"/>
      <c r="R902" s="243"/>
      <c r="S902" s="243"/>
      <c r="T902" s="243"/>
      <c r="U902" s="243"/>
      <c r="V902" s="243"/>
      <c r="W902" s="243"/>
      <c r="X902" s="243"/>
      <c r="Y902" s="243"/>
      <c r="Z902" s="243"/>
      <c r="AA902" s="243"/>
      <c r="AB902" s="243"/>
      <c r="AC902" s="243"/>
      <c r="AD902" s="243"/>
      <c r="AE902" s="243"/>
      <c r="AF902" s="243"/>
      <c r="AG902" s="243"/>
      <c r="AH902" s="243"/>
      <c r="AI902" s="243"/>
      <c r="AJ902" s="243"/>
      <c r="AK902" s="243"/>
      <c r="AL902" s="243"/>
      <c r="AM902" s="243"/>
      <c r="AN902" s="243"/>
      <c r="AO902" s="243"/>
      <c r="AP902" s="243"/>
      <c r="AQ902" s="243"/>
      <c r="AR902" s="243"/>
      <c r="AS902" s="243"/>
      <c r="AT902" s="243"/>
      <c r="AU902" s="243"/>
      <c r="AV902" s="243"/>
      <c r="AW902" s="243"/>
      <c r="AX902" s="243"/>
      <c r="AY902" s="243"/>
      <c r="AZ902" s="243"/>
      <c r="BA902" s="243"/>
      <c r="BB902" s="243"/>
      <c r="BC902" s="243"/>
      <c r="BD902" s="243"/>
      <c r="BE902" s="243"/>
      <c r="BF902" s="243"/>
      <c r="BG902" s="243"/>
      <c r="BH902" s="243"/>
      <c r="BI902" s="243"/>
      <c r="BJ902" s="243"/>
      <c r="BK902" s="243"/>
      <c r="BL902" s="243"/>
      <c r="BM902" s="243"/>
      <c r="BN902" s="243"/>
      <c r="BO902" s="243"/>
      <c r="BP902" s="243"/>
      <c r="BQ902" s="243"/>
      <c r="BR902" s="243"/>
      <c r="BS902" s="243"/>
    </row>
    <row r="903" spans="1:71" s="12" customFormat="1" ht="56.25" customHeight="1">
      <c r="A903" s="178" t="s">
        <v>80</v>
      </c>
      <c r="B903" s="178" t="str">
        <f ca="1">+UPPER(Tabla1321124[[#This Row],[DESCRIPCIÓN DE LA COMPRA O CONTRATACIÓN]])</f>
        <v>VALVULA DE COMPUERTA, PLATILLADA Y  CUADRANTE PARA 150PSI. Ø12", CON SUS DOS NIPLES PLATILLADOS, CON SU JUNTA DE GOMA, TORNILLOS Y TUERCAS</v>
      </c>
      <c r="C903" s="39" t="s">
        <v>17</v>
      </c>
      <c r="D903" s="352">
        <f>30+2</f>
        <v>32</v>
      </c>
      <c r="E903" s="352">
        <v>30</v>
      </c>
      <c r="F903" s="352">
        <v>30</v>
      </c>
      <c r="G903" s="352">
        <v>30</v>
      </c>
      <c r="H903" s="240">
        <f>SUM(Tabla1321124[[#This Row],[PRIMER TRIMESTRE]:[CUARTO TRIMESTRE]])</f>
        <v>122</v>
      </c>
      <c r="I903" s="17">
        <f>74000*1.18</f>
        <v>87320</v>
      </c>
      <c r="J903" s="17">
        <f>+Tabla1321124[[#This Row],[CANTIDAD TOTAL]]*Tabla1321124[[#This Row],[PRECIO UNITARIO ESTIMADO]]</f>
        <v>10653040</v>
      </c>
      <c r="K903" s="17"/>
      <c r="L903" s="16" t="s">
        <v>18</v>
      </c>
      <c r="M903" s="16" t="s">
        <v>22</v>
      </c>
      <c r="N903" s="16"/>
      <c r="O903" s="243"/>
      <c r="P903" s="243"/>
      <c r="Q903" s="243"/>
      <c r="R903" s="243"/>
      <c r="S903" s="243"/>
      <c r="T903" s="243"/>
      <c r="U903" s="243"/>
      <c r="V903" s="243"/>
      <c r="W903" s="243"/>
      <c r="X903" s="243"/>
      <c r="Y903" s="243"/>
      <c r="Z903" s="243"/>
      <c r="AA903" s="243"/>
      <c r="AB903" s="243"/>
      <c r="AC903" s="243"/>
      <c r="AD903" s="243"/>
      <c r="AE903" s="243"/>
      <c r="AF903" s="243"/>
      <c r="AG903" s="243"/>
      <c r="AH903" s="243"/>
      <c r="AI903" s="243"/>
      <c r="AJ903" s="243"/>
      <c r="AK903" s="243"/>
      <c r="AL903" s="243"/>
      <c r="AM903" s="243"/>
      <c r="AN903" s="243"/>
      <c r="AO903" s="243"/>
      <c r="AP903" s="243"/>
      <c r="AQ903" s="243"/>
      <c r="AR903" s="243"/>
      <c r="AS903" s="243"/>
      <c r="AT903" s="243"/>
      <c r="AU903" s="243"/>
      <c r="AV903" s="243"/>
      <c r="AW903" s="243"/>
      <c r="AX903" s="243"/>
      <c r="AY903" s="243"/>
      <c r="AZ903" s="243"/>
      <c r="BA903" s="243"/>
      <c r="BB903" s="243"/>
      <c r="BC903" s="243"/>
      <c r="BD903" s="243"/>
      <c r="BE903" s="243"/>
      <c r="BF903" s="243"/>
      <c r="BG903" s="243"/>
      <c r="BH903" s="243"/>
      <c r="BI903" s="243"/>
      <c r="BJ903" s="243"/>
      <c r="BK903" s="243"/>
      <c r="BL903" s="243"/>
      <c r="BM903" s="243"/>
      <c r="BN903" s="243"/>
      <c r="BO903" s="243"/>
      <c r="BP903" s="243"/>
      <c r="BQ903" s="243"/>
      <c r="BR903" s="243"/>
      <c r="BS903" s="243"/>
    </row>
    <row r="904" spans="1:71" s="12" customFormat="1" ht="56.25" customHeight="1">
      <c r="A904" s="178" t="s">
        <v>80</v>
      </c>
      <c r="B904" s="178" t="str">
        <f ca="1">+UPPER(Tabla1321124[[#This Row],[DESCRIPCIÓN DE LA COMPRA O CONTRATACIÓN]])</f>
        <v>VALVULA DE COMPUERTA, PLATILLADA Y CUADRANTE PARA 150PSI. Ø16", CON SUS DOS NIPLES PLATILLADOS, CON SU JUNTA DE GOMA, TORNILLOS Y TUERCAS</v>
      </c>
      <c r="C904" s="39" t="s">
        <v>17</v>
      </c>
      <c r="D904" s="352">
        <f>10+2</f>
        <v>12</v>
      </c>
      <c r="E904" s="352">
        <v>10</v>
      </c>
      <c r="F904" s="352">
        <v>10</v>
      </c>
      <c r="G904" s="352">
        <v>10</v>
      </c>
      <c r="H904" s="240">
        <f>SUM(Tabla1321124[[#This Row],[PRIMER TRIMESTRE]:[CUARTO TRIMESTRE]])</f>
        <v>42</v>
      </c>
      <c r="I904" s="17">
        <f>245000*1.18</f>
        <v>289100</v>
      </c>
      <c r="J904" s="17">
        <f>+Tabla1321124[[#This Row],[CANTIDAD TOTAL]]*Tabla1321124[[#This Row],[PRECIO UNITARIO ESTIMADO]]</f>
        <v>12142200</v>
      </c>
      <c r="K904" s="17"/>
      <c r="L904" s="16" t="s">
        <v>18</v>
      </c>
      <c r="M904" s="16" t="s">
        <v>22</v>
      </c>
      <c r="N904" s="16"/>
      <c r="O904" s="243"/>
      <c r="P904" s="243"/>
      <c r="Q904" s="243"/>
      <c r="R904" s="243"/>
      <c r="S904" s="243"/>
      <c r="T904" s="243"/>
      <c r="U904" s="243"/>
      <c r="V904" s="243"/>
      <c r="W904" s="243"/>
      <c r="X904" s="243"/>
      <c r="Y904" s="243"/>
      <c r="Z904" s="243"/>
      <c r="AA904" s="243"/>
      <c r="AB904" s="243"/>
      <c r="AC904" s="243"/>
      <c r="AD904" s="243"/>
      <c r="AE904" s="243"/>
      <c r="AF904" s="243"/>
      <c r="AG904" s="243"/>
      <c r="AH904" s="243"/>
      <c r="AI904" s="243"/>
      <c r="AJ904" s="243"/>
      <c r="AK904" s="243"/>
      <c r="AL904" s="243"/>
      <c r="AM904" s="243"/>
      <c r="AN904" s="243"/>
      <c r="AO904" s="243"/>
      <c r="AP904" s="243"/>
      <c r="AQ904" s="243"/>
      <c r="AR904" s="243"/>
      <c r="AS904" s="243"/>
      <c r="AT904" s="243"/>
      <c r="AU904" s="243"/>
      <c r="AV904" s="243"/>
      <c r="AW904" s="243"/>
      <c r="AX904" s="243"/>
      <c r="AY904" s="243"/>
      <c r="AZ904" s="243"/>
      <c r="BA904" s="243"/>
      <c r="BB904" s="243"/>
      <c r="BC904" s="243"/>
      <c r="BD904" s="243"/>
      <c r="BE904" s="243"/>
      <c r="BF904" s="243"/>
      <c r="BG904" s="243"/>
      <c r="BH904" s="243"/>
      <c r="BI904" s="243"/>
      <c r="BJ904" s="243"/>
      <c r="BK904" s="243"/>
      <c r="BL904" s="243"/>
      <c r="BM904" s="243"/>
      <c r="BN904" s="243"/>
      <c r="BO904" s="243"/>
      <c r="BP904" s="243"/>
      <c r="BQ904" s="243"/>
      <c r="BR904" s="243"/>
      <c r="BS904" s="243"/>
    </row>
    <row r="905" spans="1:71" s="12" customFormat="1" ht="56.25" customHeight="1">
      <c r="A905" s="178" t="s">
        <v>80</v>
      </c>
      <c r="B905" s="178" t="str">
        <f ca="1">+UPPER(Tabla1321124[[#This Row],[DESCRIPCIÓN DE LA COMPRA O CONTRATACIÓN]])</f>
        <v>VALVULA  DE COMPUERTA, PLATILLADA Y VOLANTA PARA 150PSI, Ø6", CON SUS DOS NIPLES PLATILLADOS, CON SU JUNTA DE GOMA, TORNILLOS Y TUERCAS</v>
      </c>
      <c r="C905" s="39" t="s">
        <v>17</v>
      </c>
      <c r="D905" s="352">
        <f>10+2</f>
        <v>12</v>
      </c>
      <c r="E905" s="352">
        <v>10</v>
      </c>
      <c r="F905" s="352">
        <v>10</v>
      </c>
      <c r="G905" s="352">
        <v>10</v>
      </c>
      <c r="H905" s="240">
        <f>SUM(Tabla1321124[[#This Row],[PRIMER TRIMESTRE]:[CUARTO TRIMESTRE]])</f>
        <v>42</v>
      </c>
      <c r="I905" s="17">
        <v>40200</v>
      </c>
      <c r="J905" s="17">
        <f>+Tabla1321124[[#This Row],[CANTIDAD TOTAL]]*Tabla1321124[[#This Row],[PRECIO UNITARIO ESTIMADO]]</f>
        <v>1688400</v>
      </c>
      <c r="K905" s="17"/>
      <c r="L905" s="16" t="s">
        <v>18</v>
      </c>
      <c r="M905" s="16" t="s">
        <v>22</v>
      </c>
      <c r="N905" s="16"/>
      <c r="O905" s="243"/>
      <c r="P905" s="243"/>
      <c r="Q905" s="243"/>
      <c r="R905" s="243"/>
      <c r="S905" s="243"/>
      <c r="T905" s="243"/>
      <c r="U905" s="243"/>
      <c r="V905" s="243"/>
      <c r="W905" s="243"/>
      <c r="X905" s="243"/>
      <c r="Y905" s="243"/>
      <c r="Z905" s="243"/>
      <c r="AA905" s="243"/>
      <c r="AB905" s="243"/>
      <c r="AC905" s="243"/>
      <c r="AD905" s="243"/>
      <c r="AE905" s="243"/>
      <c r="AF905" s="243"/>
      <c r="AG905" s="243"/>
      <c r="AH905" s="243"/>
      <c r="AI905" s="243"/>
      <c r="AJ905" s="243"/>
      <c r="AK905" s="243"/>
      <c r="AL905" s="243"/>
      <c r="AM905" s="243"/>
      <c r="AN905" s="243"/>
      <c r="AO905" s="243"/>
      <c r="AP905" s="243"/>
      <c r="AQ905" s="243"/>
      <c r="AR905" s="243"/>
      <c r="AS905" s="243"/>
      <c r="AT905" s="243"/>
      <c r="AU905" s="243"/>
      <c r="AV905" s="243"/>
      <c r="AW905" s="243"/>
      <c r="AX905" s="243"/>
      <c r="AY905" s="243"/>
      <c r="AZ905" s="243"/>
      <c r="BA905" s="243"/>
      <c r="BB905" s="243"/>
      <c r="BC905" s="243"/>
      <c r="BD905" s="243"/>
      <c r="BE905" s="243"/>
      <c r="BF905" s="243"/>
      <c r="BG905" s="243"/>
      <c r="BH905" s="243"/>
      <c r="BI905" s="243"/>
      <c r="BJ905" s="243"/>
      <c r="BK905" s="243"/>
      <c r="BL905" s="243"/>
      <c r="BM905" s="243"/>
      <c r="BN905" s="243"/>
      <c r="BO905" s="243"/>
      <c r="BP905" s="243"/>
      <c r="BQ905" s="243"/>
      <c r="BR905" s="243"/>
      <c r="BS905" s="243"/>
    </row>
    <row r="906" spans="1:71" s="12" customFormat="1" ht="56.25" customHeight="1">
      <c r="A906" s="178" t="s">
        <v>80</v>
      </c>
      <c r="B906" s="178" t="str">
        <f ca="1">+UPPER(Tabla1321124[[#This Row],[DESCRIPCIÓN DE LA COMPRA O CONTRATACIÓN]])</f>
        <v>VALVULA  DE COMPUERTA, PLATILLADA Y VOLANTA PARA 150PSI, Ø8", CON SUS DOS NIPLES PLATILLADOS, CON SU JUNTA DE GOMA, TORNILLOS Y TUERCAS</v>
      </c>
      <c r="C906" s="39" t="s">
        <v>17</v>
      </c>
      <c r="D906" s="352">
        <f>10+2</f>
        <v>12</v>
      </c>
      <c r="E906" s="352">
        <v>10</v>
      </c>
      <c r="F906" s="352">
        <v>10</v>
      </c>
      <c r="G906" s="352">
        <v>10</v>
      </c>
      <c r="H906" s="240">
        <f>SUM(Tabla1321124[[#This Row],[PRIMER TRIMESTRE]:[CUARTO TRIMESTRE]])</f>
        <v>42</v>
      </c>
      <c r="I906" s="17">
        <v>49500</v>
      </c>
      <c r="J906" s="17">
        <f>+Tabla1321124[[#This Row],[CANTIDAD TOTAL]]*Tabla1321124[[#This Row],[PRECIO UNITARIO ESTIMADO]]</f>
        <v>2079000</v>
      </c>
      <c r="K906" s="17"/>
      <c r="L906" s="16" t="s">
        <v>18</v>
      </c>
      <c r="M906" s="16" t="s">
        <v>22</v>
      </c>
      <c r="N906" s="16"/>
      <c r="O906" s="243"/>
      <c r="P906" s="243"/>
      <c r="Q906" s="243"/>
      <c r="R906" s="243"/>
      <c r="S906" s="243"/>
      <c r="T906" s="243"/>
      <c r="U906" s="243"/>
      <c r="V906" s="243"/>
      <c r="W906" s="243"/>
      <c r="X906" s="243"/>
      <c r="Y906" s="243"/>
      <c r="Z906" s="243"/>
      <c r="AA906" s="243"/>
      <c r="AB906" s="243"/>
      <c r="AC906" s="243"/>
      <c r="AD906" s="243"/>
      <c r="AE906" s="243"/>
      <c r="AF906" s="243"/>
      <c r="AG906" s="243"/>
      <c r="AH906" s="243"/>
      <c r="AI906" s="243"/>
      <c r="AJ906" s="243"/>
      <c r="AK906" s="243"/>
      <c r="AL906" s="243"/>
      <c r="AM906" s="243"/>
      <c r="AN906" s="243"/>
      <c r="AO906" s="243"/>
      <c r="AP906" s="243"/>
      <c r="AQ906" s="243"/>
      <c r="AR906" s="243"/>
      <c r="AS906" s="243"/>
      <c r="AT906" s="243"/>
      <c r="AU906" s="243"/>
      <c r="AV906" s="243"/>
      <c r="AW906" s="243"/>
      <c r="AX906" s="243"/>
      <c r="AY906" s="243"/>
      <c r="AZ906" s="243"/>
      <c r="BA906" s="243"/>
      <c r="BB906" s="243"/>
      <c r="BC906" s="243"/>
      <c r="BD906" s="243"/>
      <c r="BE906" s="243"/>
      <c r="BF906" s="243"/>
      <c r="BG906" s="243"/>
      <c r="BH906" s="243"/>
      <c r="BI906" s="243"/>
      <c r="BJ906" s="243"/>
      <c r="BK906" s="243"/>
      <c r="BL906" s="243"/>
      <c r="BM906" s="243"/>
      <c r="BN906" s="243"/>
      <c r="BO906" s="243"/>
      <c r="BP906" s="243"/>
      <c r="BQ906" s="243"/>
      <c r="BR906" s="243"/>
      <c r="BS906" s="243"/>
    </row>
    <row r="907" spans="1:71" s="12" customFormat="1" ht="56.25" customHeight="1">
      <c r="A907" s="178" t="s">
        <v>80</v>
      </c>
      <c r="B907" s="178" t="str">
        <f ca="1">+UPPER(Tabla1321124[[#This Row],[DESCRIPCIÓN DE LA COMPRA O CONTRATACIÓN]])</f>
        <v>VALVULA  DE COMPUERTA, PLATILLADA Y VOLANTA PARA 150PSI, Ø12", CON SUS DOS NIPLES PLATILLADOS, CON SU JUNTA DE GOMA, TORNILLOS Y TUERCAS</v>
      </c>
      <c r="C907" s="39" t="s">
        <v>17</v>
      </c>
      <c r="D907" s="352">
        <f>10+2</f>
        <v>12</v>
      </c>
      <c r="E907" s="352">
        <v>10</v>
      </c>
      <c r="F907" s="352">
        <v>10</v>
      </c>
      <c r="G907" s="352">
        <v>10</v>
      </c>
      <c r="H907" s="240">
        <f>SUM(Tabla1321124[[#This Row],[PRIMER TRIMESTRE]:[CUARTO TRIMESTRE]])</f>
        <v>42</v>
      </c>
      <c r="I907" s="17">
        <v>73250</v>
      </c>
      <c r="J907" s="17">
        <f>+Tabla1321124[[#This Row],[CANTIDAD TOTAL]]*Tabla1321124[[#This Row],[PRECIO UNITARIO ESTIMADO]]</f>
        <v>3076500</v>
      </c>
      <c r="K907" s="17"/>
      <c r="L907" s="16" t="s">
        <v>18</v>
      </c>
      <c r="M907" s="16" t="s">
        <v>22</v>
      </c>
      <c r="N907" s="16"/>
      <c r="O907" s="243"/>
      <c r="P907" s="243"/>
      <c r="Q907" s="243"/>
      <c r="R907" s="243"/>
      <c r="S907" s="243"/>
      <c r="T907" s="243"/>
      <c r="U907" s="243"/>
      <c r="V907" s="243"/>
      <c r="W907" s="243"/>
      <c r="X907" s="243"/>
      <c r="Y907" s="243"/>
      <c r="Z907" s="243"/>
      <c r="AA907" s="243"/>
      <c r="AB907" s="243"/>
      <c r="AC907" s="243"/>
      <c r="AD907" s="243"/>
      <c r="AE907" s="243"/>
      <c r="AF907" s="243"/>
      <c r="AG907" s="243"/>
      <c r="AH907" s="243"/>
      <c r="AI907" s="243"/>
      <c r="AJ907" s="243"/>
      <c r="AK907" s="243"/>
      <c r="AL907" s="243"/>
      <c r="AM907" s="243"/>
      <c r="AN907" s="243"/>
      <c r="AO907" s="243"/>
      <c r="AP907" s="243"/>
      <c r="AQ907" s="243"/>
      <c r="AR907" s="243"/>
      <c r="AS907" s="243"/>
      <c r="AT907" s="243"/>
      <c r="AU907" s="243"/>
      <c r="AV907" s="243"/>
      <c r="AW907" s="243"/>
      <c r="AX907" s="243"/>
      <c r="AY907" s="243"/>
      <c r="AZ907" s="243"/>
      <c r="BA907" s="243"/>
      <c r="BB907" s="243"/>
      <c r="BC907" s="243"/>
      <c r="BD907" s="243"/>
      <c r="BE907" s="243"/>
      <c r="BF907" s="243"/>
      <c r="BG907" s="243"/>
      <c r="BH907" s="243"/>
      <c r="BI907" s="243"/>
      <c r="BJ907" s="243"/>
      <c r="BK907" s="243"/>
      <c r="BL907" s="243"/>
      <c r="BM907" s="243"/>
      <c r="BN907" s="243"/>
      <c r="BO907" s="243"/>
      <c r="BP907" s="243"/>
      <c r="BQ907" s="243"/>
      <c r="BR907" s="243"/>
      <c r="BS907" s="243"/>
    </row>
    <row r="908" spans="1:71" s="12" customFormat="1" ht="56.25" customHeight="1">
      <c r="A908" s="178" t="s">
        <v>80</v>
      </c>
      <c r="B908" s="178" t="str">
        <f ca="1">+UPPER(Tabla1321124[[#This Row],[DESCRIPCIÓN DE LA COMPRA O CONTRATACIÓN]])</f>
        <v>VALVULA  DE COMPUERTA, PLATILLADA Y VOLANTA PARA 150PSI, Ø16", CON SUS DOS NIPLES PLATILLADOS, CON SU JUNTA DE GOMA, TORNILLOS Y TUERCAS</v>
      </c>
      <c r="C908" s="39" t="s">
        <v>17</v>
      </c>
      <c r="D908" s="352">
        <f>5+2</f>
        <v>7</v>
      </c>
      <c r="E908" s="352">
        <v>5</v>
      </c>
      <c r="F908" s="352">
        <v>5</v>
      </c>
      <c r="G908" s="352">
        <v>5</v>
      </c>
      <c r="H908" s="240">
        <f>SUM(Tabla1321124[[#This Row],[PRIMER TRIMESTRE]:[CUARTO TRIMESTRE]])</f>
        <v>22</v>
      </c>
      <c r="I908" s="17">
        <v>289000</v>
      </c>
      <c r="J908" s="17">
        <f>+Tabla1321124[[#This Row],[CANTIDAD TOTAL]]*Tabla1321124[[#This Row],[PRECIO UNITARIO ESTIMADO]]</f>
        <v>6358000</v>
      </c>
      <c r="K908" s="17"/>
      <c r="L908" s="16" t="s">
        <v>18</v>
      </c>
      <c r="M908" s="16" t="s">
        <v>22</v>
      </c>
      <c r="N908" s="16"/>
      <c r="O908" s="243"/>
      <c r="P908" s="243"/>
      <c r="Q908" s="243"/>
      <c r="R908" s="243"/>
      <c r="S908" s="243"/>
      <c r="T908" s="243"/>
      <c r="U908" s="243"/>
      <c r="V908" s="243"/>
      <c r="W908" s="243"/>
      <c r="X908" s="243"/>
      <c r="Y908" s="243"/>
      <c r="Z908" s="243"/>
      <c r="AA908" s="243"/>
      <c r="AB908" s="243"/>
      <c r="AC908" s="243"/>
      <c r="AD908" s="243"/>
      <c r="AE908" s="243"/>
      <c r="AF908" s="243"/>
      <c r="AG908" s="243"/>
      <c r="AH908" s="243"/>
      <c r="AI908" s="243"/>
      <c r="AJ908" s="243"/>
      <c r="AK908" s="243"/>
      <c r="AL908" s="243"/>
      <c r="AM908" s="243"/>
      <c r="AN908" s="243"/>
      <c r="AO908" s="243"/>
      <c r="AP908" s="243"/>
      <c r="AQ908" s="243"/>
      <c r="AR908" s="243"/>
      <c r="AS908" s="243"/>
      <c r="AT908" s="243"/>
      <c r="AU908" s="243"/>
      <c r="AV908" s="243"/>
      <c r="AW908" s="243"/>
      <c r="AX908" s="243"/>
      <c r="AY908" s="243"/>
      <c r="AZ908" s="243"/>
      <c r="BA908" s="243"/>
      <c r="BB908" s="243"/>
      <c r="BC908" s="243"/>
      <c r="BD908" s="243"/>
      <c r="BE908" s="243"/>
      <c r="BF908" s="243"/>
      <c r="BG908" s="243"/>
      <c r="BH908" s="243"/>
      <c r="BI908" s="243"/>
      <c r="BJ908" s="243"/>
      <c r="BK908" s="243"/>
      <c r="BL908" s="243"/>
      <c r="BM908" s="243"/>
      <c r="BN908" s="243"/>
      <c r="BO908" s="243"/>
      <c r="BP908" s="243"/>
      <c r="BQ908" s="243"/>
      <c r="BR908" s="243"/>
      <c r="BS908" s="243"/>
    </row>
    <row r="909" spans="1:71" s="12" customFormat="1" ht="56.25" customHeight="1">
      <c r="A909" s="178" t="s">
        <v>80</v>
      </c>
      <c r="B909" s="178" t="str">
        <f ca="1">+UPPER(Tabla1321124[[#This Row],[DESCRIPCIÓN DE LA COMPRA O CONTRATACIÓN]])</f>
        <v>VALVULA DE COMPUERTA, VASTAGO DESLIZABLE Y VOLANTA PARA 150 PSI Ø6", CON SUS DOS NIPLES PLATILLADOS, CON SU JUNTA DE GOMA, TORNILLOS Y TUERCAS</v>
      </c>
      <c r="C909" s="39" t="s">
        <v>17</v>
      </c>
      <c r="D909" s="352">
        <f>5+2</f>
        <v>7</v>
      </c>
      <c r="E909" s="352">
        <v>5</v>
      </c>
      <c r="F909" s="352">
        <v>5</v>
      </c>
      <c r="G909" s="352">
        <v>5</v>
      </c>
      <c r="H909" s="240">
        <f>SUM(Tabla1321124[[#This Row],[PRIMER TRIMESTRE]:[CUARTO TRIMESTRE]])</f>
        <v>22</v>
      </c>
      <c r="I909" s="17">
        <f>26800*1.18</f>
        <v>31624</v>
      </c>
      <c r="J909" s="17">
        <f>+Tabla1321124[[#This Row],[CANTIDAD TOTAL]]*Tabla1321124[[#This Row],[PRECIO UNITARIO ESTIMADO]]</f>
        <v>695728</v>
      </c>
      <c r="K909" s="17"/>
      <c r="L909" s="16" t="s">
        <v>18</v>
      </c>
      <c r="M909" s="16" t="s">
        <v>22</v>
      </c>
      <c r="N909" s="16"/>
      <c r="O909" s="243"/>
      <c r="P909" s="243"/>
      <c r="Q909" s="243"/>
      <c r="R909" s="243"/>
      <c r="S909" s="243"/>
      <c r="T909" s="243"/>
      <c r="U909" s="243"/>
      <c r="V909" s="243"/>
      <c r="W909" s="243"/>
      <c r="X909" s="243"/>
      <c r="Y909" s="243"/>
      <c r="Z909" s="243"/>
      <c r="AA909" s="243"/>
      <c r="AB909" s="243"/>
      <c r="AC909" s="243"/>
      <c r="AD909" s="243"/>
      <c r="AE909" s="243"/>
      <c r="AF909" s="243"/>
      <c r="AG909" s="243"/>
      <c r="AH909" s="243"/>
      <c r="AI909" s="243"/>
      <c r="AJ909" s="243"/>
      <c r="AK909" s="243"/>
      <c r="AL909" s="243"/>
      <c r="AM909" s="243"/>
      <c r="AN909" s="243"/>
      <c r="AO909" s="243"/>
      <c r="AP909" s="243"/>
      <c r="AQ909" s="243"/>
      <c r="AR909" s="243"/>
      <c r="AS909" s="243"/>
      <c r="AT909" s="243"/>
      <c r="AU909" s="243"/>
      <c r="AV909" s="243"/>
      <c r="AW909" s="243"/>
      <c r="AX909" s="243"/>
      <c r="AY909" s="243"/>
      <c r="AZ909" s="243"/>
      <c r="BA909" s="243"/>
      <c r="BB909" s="243"/>
      <c r="BC909" s="243"/>
      <c r="BD909" s="243"/>
      <c r="BE909" s="243"/>
      <c r="BF909" s="243"/>
      <c r="BG909" s="243"/>
      <c r="BH909" s="243"/>
      <c r="BI909" s="243"/>
      <c r="BJ909" s="243"/>
      <c r="BK909" s="243"/>
      <c r="BL909" s="243"/>
      <c r="BM909" s="243"/>
      <c r="BN909" s="243"/>
      <c r="BO909" s="243"/>
      <c r="BP909" s="243"/>
      <c r="BQ909" s="243"/>
      <c r="BR909" s="243"/>
      <c r="BS909" s="243"/>
    </row>
    <row r="910" spans="1:71" s="12" customFormat="1" ht="56.25" customHeight="1">
      <c r="A910" s="178" t="s">
        <v>80</v>
      </c>
      <c r="B910" s="178" t="str">
        <f ca="1">+UPPER(Tabla1321124[[#This Row],[DESCRIPCIÓN DE LA COMPRA O CONTRATACIÓN]])</f>
        <v>VALVULA DE COMPUERTA, VASTAGO DESLIZABLE Y VOLANTA PARA 150 PSI Ø8", CON SUS DOS NIPLES PLATILLADOS, CON SU JUNTA DE GOMA, TORNILLOS Y TUERCAS</v>
      </c>
      <c r="C910" s="39" t="s">
        <v>17</v>
      </c>
      <c r="D910" s="352">
        <f>5+7</f>
        <v>12</v>
      </c>
      <c r="E910" s="352">
        <f>5+5</f>
        <v>10</v>
      </c>
      <c r="F910" s="352">
        <f>5+5</f>
        <v>10</v>
      </c>
      <c r="G910" s="352">
        <f>5+5</f>
        <v>10</v>
      </c>
      <c r="H910" s="240">
        <f>SUM(Tabla1321124[[#This Row],[PRIMER TRIMESTRE]:[CUARTO TRIMESTRE]])</f>
        <v>42</v>
      </c>
      <c r="I910" s="17">
        <f>39500*1.18</f>
        <v>46610</v>
      </c>
      <c r="J910" s="17">
        <f>+Tabla1321124[[#This Row],[CANTIDAD TOTAL]]*Tabla1321124[[#This Row],[PRECIO UNITARIO ESTIMADO]]</f>
        <v>1957620</v>
      </c>
      <c r="K910" s="17"/>
      <c r="L910" s="16" t="s">
        <v>18</v>
      </c>
      <c r="M910" s="16" t="s">
        <v>22</v>
      </c>
      <c r="N910" s="16"/>
      <c r="O910" s="243"/>
      <c r="P910" s="243"/>
      <c r="Q910" s="243"/>
      <c r="R910" s="243"/>
      <c r="S910" s="243"/>
      <c r="T910" s="243"/>
      <c r="U910" s="243"/>
      <c r="V910" s="243"/>
      <c r="W910" s="243"/>
      <c r="X910" s="243"/>
      <c r="Y910" s="243"/>
      <c r="Z910" s="243"/>
      <c r="AA910" s="243"/>
      <c r="AB910" s="243"/>
      <c r="AC910" s="243"/>
      <c r="AD910" s="243"/>
      <c r="AE910" s="243"/>
      <c r="AF910" s="243"/>
      <c r="AG910" s="243"/>
      <c r="AH910" s="243"/>
      <c r="AI910" s="243"/>
      <c r="AJ910" s="243"/>
      <c r="AK910" s="243"/>
      <c r="AL910" s="243"/>
      <c r="AM910" s="243"/>
      <c r="AN910" s="243"/>
      <c r="AO910" s="243"/>
      <c r="AP910" s="243"/>
      <c r="AQ910" s="243"/>
      <c r="AR910" s="243"/>
      <c r="AS910" s="243"/>
      <c r="AT910" s="243"/>
      <c r="AU910" s="243"/>
      <c r="AV910" s="243"/>
      <c r="AW910" s="243"/>
      <c r="AX910" s="243"/>
      <c r="AY910" s="243"/>
      <c r="AZ910" s="243"/>
      <c r="BA910" s="243"/>
      <c r="BB910" s="243"/>
      <c r="BC910" s="243"/>
      <c r="BD910" s="243"/>
      <c r="BE910" s="243"/>
      <c r="BF910" s="243"/>
      <c r="BG910" s="243"/>
      <c r="BH910" s="243"/>
      <c r="BI910" s="243"/>
      <c r="BJ910" s="243"/>
      <c r="BK910" s="243"/>
      <c r="BL910" s="243"/>
      <c r="BM910" s="243"/>
      <c r="BN910" s="243"/>
      <c r="BO910" s="243"/>
      <c r="BP910" s="243"/>
      <c r="BQ910" s="243"/>
      <c r="BR910" s="243"/>
      <c r="BS910" s="243"/>
    </row>
    <row r="911" spans="1:71" s="12" customFormat="1" ht="56.25" customHeight="1">
      <c r="A911" s="178" t="s">
        <v>80</v>
      </c>
      <c r="B911" s="178" t="str">
        <f ca="1">+UPPER(Tabla1321124[[#This Row],[DESCRIPCIÓN DE LA COMPRA O CONTRATACIÓN]])</f>
        <v>VALVULA DE COMPUERTA, VASTAGO DESLIZABLE Y VOLANTA PARA 150 PSI Ø10", CON SUS DOS NIPLES PLATILLADOS, CON SU JUNTA DE GOMA, TORNILLOS Y TUERCAS</v>
      </c>
      <c r="C911" s="39" t="s">
        <v>17</v>
      </c>
      <c r="D911" s="352">
        <f>5+2</f>
        <v>7</v>
      </c>
      <c r="E911" s="352">
        <v>5</v>
      </c>
      <c r="F911" s="352">
        <v>5</v>
      </c>
      <c r="G911" s="352">
        <f>5+5</f>
        <v>10</v>
      </c>
      <c r="H911" s="240">
        <f>SUM(Tabla1321124[[#This Row],[PRIMER TRIMESTRE]:[CUARTO TRIMESTRE]])</f>
        <v>27</v>
      </c>
      <c r="I911" s="17">
        <v>68487.199999999997</v>
      </c>
      <c r="J911" s="17">
        <f>+Tabla1321124[[#This Row],[CANTIDAD TOTAL]]*Tabla1321124[[#This Row],[PRECIO UNITARIO ESTIMADO]]</f>
        <v>1849154.4</v>
      </c>
      <c r="K911" s="17"/>
      <c r="L911" s="16" t="s">
        <v>18</v>
      </c>
      <c r="M911" s="16" t="s">
        <v>22</v>
      </c>
      <c r="N911" s="16"/>
      <c r="O911" s="243"/>
      <c r="P911" s="243"/>
      <c r="Q911" s="243"/>
      <c r="R911" s="243"/>
      <c r="S911" s="243"/>
      <c r="T911" s="243"/>
      <c r="U911" s="243"/>
      <c r="V911" s="243"/>
      <c r="W911" s="243"/>
      <c r="X911" s="243"/>
      <c r="Y911" s="243"/>
      <c r="Z911" s="243"/>
      <c r="AA911" s="243"/>
      <c r="AB911" s="243"/>
      <c r="AC911" s="243"/>
      <c r="AD911" s="243"/>
      <c r="AE911" s="243"/>
      <c r="AF911" s="243"/>
      <c r="AG911" s="243"/>
      <c r="AH911" s="243"/>
      <c r="AI911" s="243"/>
      <c r="AJ911" s="243"/>
      <c r="AK911" s="243"/>
      <c r="AL911" s="243"/>
      <c r="AM911" s="243"/>
      <c r="AN911" s="243"/>
      <c r="AO911" s="243"/>
      <c r="AP911" s="243"/>
      <c r="AQ911" s="243"/>
      <c r="AR911" s="243"/>
      <c r="AS911" s="243"/>
      <c r="AT911" s="243"/>
      <c r="AU911" s="243"/>
      <c r="AV911" s="243"/>
      <c r="AW911" s="243"/>
      <c r="AX911" s="243"/>
      <c r="AY911" s="243"/>
      <c r="AZ911" s="243"/>
      <c r="BA911" s="243"/>
      <c r="BB911" s="243"/>
      <c r="BC911" s="243"/>
      <c r="BD911" s="243"/>
      <c r="BE911" s="243"/>
      <c r="BF911" s="243"/>
      <c r="BG911" s="243"/>
      <c r="BH911" s="243"/>
      <c r="BI911" s="243"/>
      <c r="BJ911" s="243"/>
      <c r="BK911" s="243"/>
      <c r="BL911" s="243"/>
      <c r="BM911" s="243"/>
      <c r="BN911" s="243"/>
      <c r="BO911" s="243"/>
      <c r="BP911" s="243"/>
      <c r="BQ911" s="243"/>
      <c r="BR911" s="243"/>
      <c r="BS911" s="243"/>
    </row>
    <row r="912" spans="1:71" s="12" customFormat="1" ht="56.25" customHeight="1">
      <c r="A912" s="178" t="s">
        <v>80</v>
      </c>
      <c r="B912" s="178" t="str">
        <f ca="1">+UPPER(Tabla1321124[[#This Row],[DESCRIPCIÓN DE LA COMPRA O CONTRATACIÓN]])</f>
        <v>VALVULA DE COMPUERTA, VASTAGO DESLIZABLE Y VOLANTA PARA 150 PSI Ø12", CON SUS DOS NIPLES PLATILLADOS, CON SU JUNTA DE GOMA, TORNILLOS Y TUERCAS</v>
      </c>
      <c r="C912" s="39" t="s">
        <v>17</v>
      </c>
      <c r="D912" s="365">
        <v>2</v>
      </c>
      <c r="E912" s="365"/>
      <c r="F912" s="365">
        <v>2</v>
      </c>
      <c r="G912" s="370">
        <v>5</v>
      </c>
      <c r="H912" s="240">
        <f>SUM(Tabla1321124[[#This Row],[PRIMER TRIMESTRE]:[CUARTO TRIMESTRE]])</f>
        <v>9</v>
      </c>
      <c r="I912" s="17">
        <v>125000</v>
      </c>
      <c r="J912" s="17">
        <f>+Tabla1321124[[#This Row],[CANTIDAD TOTAL]]*Tabla1321124[[#This Row],[PRECIO UNITARIO ESTIMADO]]</f>
        <v>1125000</v>
      </c>
      <c r="K912" s="175"/>
      <c r="L912" s="16" t="s">
        <v>18</v>
      </c>
      <c r="M912" s="16" t="s">
        <v>22</v>
      </c>
      <c r="N912" s="16"/>
      <c r="O912" s="243"/>
      <c r="P912" s="243"/>
      <c r="Q912" s="243"/>
      <c r="R912" s="243"/>
      <c r="S912" s="243"/>
      <c r="T912" s="243"/>
      <c r="U912" s="243"/>
      <c r="V912" s="243"/>
      <c r="W912" s="243"/>
      <c r="X912" s="243"/>
      <c r="Y912" s="243"/>
      <c r="Z912" s="243"/>
      <c r="AA912" s="243"/>
      <c r="AB912" s="243"/>
      <c r="AC912" s="243"/>
      <c r="AD912" s="243"/>
      <c r="AE912" s="243"/>
      <c r="AF912" s="243"/>
      <c r="AG912" s="243"/>
      <c r="AH912" s="243"/>
      <c r="AI912" s="243"/>
      <c r="AJ912" s="243"/>
      <c r="AK912" s="243"/>
      <c r="AL912" s="243"/>
      <c r="AM912" s="243"/>
      <c r="AN912" s="243"/>
      <c r="AO912" s="243"/>
      <c r="AP912" s="243"/>
      <c r="AQ912" s="243"/>
      <c r="AR912" s="243"/>
      <c r="AS912" s="243"/>
      <c r="AT912" s="243"/>
      <c r="AU912" s="243"/>
      <c r="AV912" s="243"/>
      <c r="AW912" s="243"/>
      <c r="AX912" s="243"/>
      <c r="AY912" s="243"/>
      <c r="AZ912" s="243"/>
      <c r="BA912" s="243"/>
      <c r="BB912" s="243"/>
      <c r="BC912" s="243"/>
      <c r="BD912" s="243"/>
      <c r="BE912" s="243"/>
      <c r="BF912" s="243"/>
      <c r="BG912" s="243"/>
      <c r="BH912" s="243"/>
      <c r="BI912" s="243"/>
      <c r="BJ912" s="243"/>
      <c r="BK912" s="243"/>
      <c r="BL912" s="243"/>
      <c r="BM912" s="243"/>
      <c r="BN912" s="243"/>
      <c r="BO912" s="243"/>
      <c r="BP912" s="243"/>
      <c r="BQ912" s="243"/>
      <c r="BR912" s="243"/>
      <c r="BS912" s="243"/>
    </row>
    <row r="913" spans="1:71" s="12" customFormat="1" ht="41.25" customHeight="1">
      <c r="A913" s="178" t="s">
        <v>80</v>
      </c>
      <c r="B913" s="178" t="str">
        <f ca="1">+UPPER(Tabla1321124[[#This Row],[DESCRIPCIÓN DE LA COMPRA O CONTRATACIÓN]])</f>
        <v>VALVULA DE COMPUERTA, VASTAGO DESLIZABLE Y VOLANTA PARA 150 PSI Ø16", CON SUS DOS NIPLES PLATILLADOS, CON SU JUNTA DE GOMA, TORNILLOS Y TUERCAS</v>
      </c>
      <c r="C913" s="39" t="s">
        <v>17</v>
      </c>
      <c r="D913" s="352">
        <v>2</v>
      </c>
      <c r="E913" s="352">
        <v>2</v>
      </c>
      <c r="F913" s="352">
        <v>2</v>
      </c>
      <c r="G913" s="352">
        <v>2</v>
      </c>
      <c r="H913" s="240">
        <f>SUM(Tabla1321124[[#This Row],[PRIMER TRIMESTRE]:[CUARTO TRIMESTRE]])</f>
        <v>8</v>
      </c>
      <c r="I913" s="17">
        <v>304100</v>
      </c>
      <c r="J913" s="17">
        <f>+Tabla1321124[[#This Row],[CANTIDAD TOTAL]]*Tabla1321124[[#This Row],[PRECIO UNITARIO ESTIMADO]]</f>
        <v>2432800</v>
      </c>
      <c r="K913" s="17"/>
      <c r="L913" s="16" t="s">
        <v>18</v>
      </c>
      <c r="M913" s="16" t="s">
        <v>22</v>
      </c>
      <c r="N913" s="16"/>
      <c r="O913" s="243"/>
      <c r="P913" s="243"/>
      <c r="Q913" s="243"/>
      <c r="R913" s="243"/>
      <c r="S913" s="243"/>
      <c r="T913" s="243"/>
      <c r="U913" s="243"/>
      <c r="V913" s="243"/>
      <c r="W913" s="243"/>
      <c r="X913" s="243"/>
      <c r="Y913" s="243"/>
      <c r="Z913" s="243"/>
      <c r="AA913" s="243"/>
      <c r="AB913" s="243"/>
      <c r="AC913" s="243"/>
      <c r="AD913" s="243"/>
      <c r="AE913" s="243"/>
      <c r="AF913" s="243"/>
      <c r="AG913" s="243"/>
      <c r="AH913" s="243"/>
      <c r="AI913" s="243"/>
      <c r="AJ913" s="243"/>
      <c r="AK913" s="243"/>
      <c r="AL913" s="243"/>
      <c r="AM913" s="243"/>
      <c r="AN913" s="243"/>
      <c r="AO913" s="243"/>
      <c r="AP913" s="243"/>
      <c r="AQ913" s="243"/>
      <c r="AR913" s="243"/>
      <c r="AS913" s="243"/>
      <c r="AT913" s="243"/>
      <c r="AU913" s="243"/>
      <c r="AV913" s="243"/>
      <c r="AW913" s="243"/>
      <c r="AX913" s="243"/>
      <c r="AY913" s="243"/>
      <c r="AZ913" s="243"/>
      <c r="BA913" s="243"/>
      <c r="BB913" s="243"/>
      <c r="BC913" s="243"/>
      <c r="BD913" s="243"/>
      <c r="BE913" s="243"/>
      <c r="BF913" s="243"/>
      <c r="BG913" s="243"/>
      <c r="BH913" s="243"/>
      <c r="BI913" s="243"/>
      <c r="BJ913" s="243"/>
      <c r="BK913" s="243"/>
      <c r="BL913" s="243"/>
      <c r="BM913" s="243"/>
      <c r="BN913" s="243"/>
      <c r="BO913" s="243"/>
      <c r="BP913" s="243"/>
      <c r="BQ913" s="243"/>
      <c r="BR913" s="243"/>
      <c r="BS913" s="243"/>
    </row>
    <row r="914" spans="1:71" s="12" customFormat="1" ht="41.25" customHeight="1">
      <c r="A914" s="178" t="s">
        <v>80</v>
      </c>
      <c r="B914" s="178" t="str">
        <f ca="1">+UPPER(Tabla1321124[[#This Row],[DESCRIPCIÓN DE LA COMPRA O CONTRATACIÓN]])</f>
        <v xml:space="preserve">VALVULA Ø20" HF TIPO MARIPOSA PARA 300 PSI </v>
      </c>
      <c r="C914" s="39" t="s">
        <v>17</v>
      </c>
      <c r="D914" s="365">
        <v>2</v>
      </c>
      <c r="E914" s="365"/>
      <c r="F914" s="365">
        <v>2</v>
      </c>
      <c r="G914" s="365"/>
      <c r="H914" s="240">
        <f>SUM(Tabla1321124[[#This Row],[PRIMER TRIMESTRE]:[CUARTO TRIMESTRE]])</f>
        <v>4</v>
      </c>
      <c r="I914" s="17">
        <v>87500</v>
      </c>
      <c r="J914" s="17">
        <f>+Tabla1321124[[#This Row],[CANTIDAD TOTAL]]*Tabla1321124[[#This Row],[PRECIO UNITARIO ESTIMADO]]</f>
        <v>350000</v>
      </c>
      <c r="K914" s="175"/>
      <c r="L914" s="16" t="s">
        <v>18</v>
      </c>
      <c r="M914" s="16" t="s">
        <v>22</v>
      </c>
      <c r="N914" s="16"/>
      <c r="O914" s="243"/>
      <c r="P914" s="243"/>
      <c r="Q914" s="243"/>
      <c r="R914" s="243"/>
      <c r="S914" s="243"/>
      <c r="T914" s="243"/>
      <c r="U914" s="243"/>
      <c r="V914" s="243"/>
      <c r="W914" s="243"/>
      <c r="X914" s="243"/>
      <c r="Y914" s="243"/>
      <c r="Z914" s="243"/>
      <c r="AA914" s="243"/>
      <c r="AB914" s="243"/>
      <c r="AC914" s="243"/>
      <c r="AD914" s="243"/>
      <c r="AE914" s="243"/>
      <c r="AF914" s="243"/>
      <c r="AG914" s="243"/>
      <c r="AH914" s="243"/>
      <c r="AI914" s="243"/>
      <c r="AJ914" s="243"/>
      <c r="AK914" s="243"/>
      <c r="AL914" s="243"/>
      <c r="AM914" s="243"/>
      <c r="AN914" s="243"/>
      <c r="AO914" s="243"/>
      <c r="AP914" s="243"/>
      <c r="AQ914" s="243"/>
      <c r="AR914" s="243"/>
      <c r="AS914" s="243"/>
      <c r="AT914" s="243"/>
      <c r="AU914" s="243"/>
      <c r="AV914" s="243"/>
      <c r="AW914" s="243"/>
      <c r="AX914" s="243"/>
      <c r="AY914" s="243"/>
      <c r="AZ914" s="243"/>
      <c r="BA914" s="243"/>
      <c r="BB914" s="243"/>
      <c r="BC914" s="243"/>
      <c r="BD914" s="243"/>
      <c r="BE914" s="243"/>
      <c r="BF914" s="243"/>
      <c r="BG914" s="243"/>
      <c r="BH914" s="243"/>
      <c r="BI914" s="243"/>
      <c r="BJ914" s="243"/>
      <c r="BK914" s="243"/>
      <c r="BL914" s="243"/>
      <c r="BM914" s="243"/>
      <c r="BN914" s="243"/>
      <c r="BO914" s="243"/>
      <c r="BP914" s="243"/>
      <c r="BQ914" s="243"/>
      <c r="BR914" s="243"/>
      <c r="BS914" s="243"/>
    </row>
    <row r="915" spans="1:71" s="12" customFormat="1" ht="41.25" customHeight="1">
      <c r="A915" s="178" t="s">
        <v>80</v>
      </c>
      <c r="B915" s="178" t="str">
        <f ca="1">+UPPER(Tabla1321124[[#This Row],[DESCRIPCIÓN DE LA COMPRA O CONTRATACIÓN]])</f>
        <v xml:space="preserve">VALVULA Ø16" HF TIPO MARIPOSA PARA 300 PSI </v>
      </c>
      <c r="C915" s="39" t="s">
        <v>17</v>
      </c>
      <c r="D915" s="365">
        <v>2</v>
      </c>
      <c r="E915" s="365"/>
      <c r="F915" s="365"/>
      <c r="G915" s="365"/>
      <c r="H915" s="240">
        <f>SUM(Tabla1321124[[#This Row],[PRIMER TRIMESTRE]:[CUARTO TRIMESTRE]])</f>
        <v>2</v>
      </c>
      <c r="I915" s="17">
        <v>88200</v>
      </c>
      <c r="J915" s="17">
        <f>+Tabla1321124[[#This Row],[CANTIDAD TOTAL]]*Tabla1321124[[#This Row],[PRECIO UNITARIO ESTIMADO]]</f>
        <v>176400</v>
      </c>
      <c r="K915" s="175"/>
      <c r="L915" s="16" t="s">
        <v>18</v>
      </c>
      <c r="M915" s="16" t="s">
        <v>22</v>
      </c>
      <c r="N915" s="16"/>
      <c r="O915" s="243"/>
      <c r="P915" s="243"/>
      <c r="Q915" s="243"/>
      <c r="R915" s="243"/>
      <c r="S915" s="243"/>
      <c r="T915" s="243"/>
      <c r="U915" s="243"/>
      <c r="V915" s="243"/>
      <c r="W915" s="243"/>
      <c r="X915" s="243"/>
      <c r="Y915" s="243"/>
      <c r="Z915" s="243"/>
      <c r="AA915" s="243"/>
      <c r="AB915" s="243"/>
      <c r="AC915" s="243"/>
      <c r="AD915" s="243"/>
      <c r="AE915" s="243"/>
      <c r="AF915" s="243"/>
      <c r="AG915" s="243"/>
      <c r="AH915" s="243"/>
      <c r="AI915" s="243"/>
      <c r="AJ915" s="243"/>
      <c r="AK915" s="243"/>
      <c r="AL915" s="243"/>
      <c r="AM915" s="243"/>
      <c r="AN915" s="243"/>
      <c r="AO915" s="243"/>
      <c r="AP915" s="243"/>
      <c r="AQ915" s="243"/>
      <c r="AR915" s="243"/>
      <c r="AS915" s="243"/>
      <c r="AT915" s="243"/>
      <c r="AU915" s="243"/>
      <c r="AV915" s="243"/>
      <c r="AW915" s="243"/>
      <c r="AX915" s="243"/>
      <c r="AY915" s="243"/>
      <c r="AZ915" s="243"/>
      <c r="BA915" s="243"/>
      <c r="BB915" s="243"/>
      <c r="BC915" s="243"/>
      <c r="BD915" s="243"/>
      <c r="BE915" s="243"/>
      <c r="BF915" s="243"/>
      <c r="BG915" s="243"/>
      <c r="BH915" s="243"/>
      <c r="BI915" s="243"/>
      <c r="BJ915" s="243"/>
      <c r="BK915" s="243"/>
      <c r="BL915" s="243"/>
      <c r="BM915" s="243"/>
      <c r="BN915" s="243"/>
      <c r="BO915" s="243"/>
      <c r="BP915" s="243"/>
      <c r="BQ915" s="243"/>
      <c r="BR915" s="243"/>
      <c r="BS915" s="243"/>
    </row>
    <row r="916" spans="1:71" s="12" customFormat="1" ht="41.25" customHeight="1">
      <c r="A916" s="178" t="s">
        <v>80</v>
      </c>
      <c r="B916" s="178" t="str">
        <f ca="1">+UPPER(Tabla1321124[[#This Row],[DESCRIPCIÓN DE LA COMPRA O CONTRATACIÓN]])</f>
        <v>VALVULA TIPO MARIPOSA Ø6'', 300 PSI, 12 HOYOS, PLATILLADO</v>
      </c>
      <c r="C916" s="39" t="s">
        <v>17</v>
      </c>
      <c r="D916" s="236">
        <v>2</v>
      </c>
      <c r="E916" s="236"/>
      <c r="F916" s="236">
        <v>2</v>
      </c>
      <c r="G916" s="236"/>
      <c r="H916" s="240">
        <f>SUM(Tabla1321124[[#This Row],[PRIMER TRIMESTRE]:[CUARTO TRIMESTRE]])</f>
        <v>4</v>
      </c>
      <c r="I916" s="17">
        <v>91300</v>
      </c>
      <c r="J916" s="17">
        <f>+Tabla1321124[[#This Row],[CANTIDAD TOTAL]]*Tabla1321124[[#This Row],[PRECIO UNITARIO ESTIMADO]]</f>
        <v>365200</v>
      </c>
      <c r="K916" s="17"/>
      <c r="L916" s="16" t="s">
        <v>18</v>
      </c>
      <c r="M916" s="16" t="s">
        <v>22</v>
      </c>
      <c r="N916" s="16"/>
      <c r="O916" s="243"/>
      <c r="P916" s="243"/>
      <c r="Q916" s="243"/>
      <c r="R916" s="243"/>
      <c r="S916" s="243"/>
      <c r="T916" s="243"/>
      <c r="U916" s="243"/>
      <c r="V916" s="243"/>
      <c r="W916" s="243"/>
      <c r="X916" s="243"/>
      <c r="Y916" s="243"/>
      <c r="Z916" s="243"/>
      <c r="AA916" s="243"/>
      <c r="AB916" s="243"/>
      <c r="AC916" s="243"/>
      <c r="AD916" s="243"/>
      <c r="AE916" s="243"/>
      <c r="AF916" s="243"/>
      <c r="AG916" s="243"/>
      <c r="AH916" s="243"/>
      <c r="AI916" s="243"/>
      <c r="AJ916" s="243"/>
      <c r="AK916" s="243"/>
      <c r="AL916" s="243"/>
      <c r="AM916" s="243"/>
      <c r="AN916" s="243"/>
      <c r="AO916" s="243"/>
      <c r="AP916" s="243"/>
      <c r="AQ916" s="243"/>
      <c r="AR916" s="243"/>
      <c r="AS916" s="243"/>
      <c r="AT916" s="243"/>
      <c r="AU916" s="243"/>
      <c r="AV916" s="243"/>
      <c r="AW916" s="243"/>
      <c r="AX916" s="243"/>
      <c r="AY916" s="243"/>
      <c r="AZ916" s="243"/>
      <c r="BA916" s="243"/>
      <c r="BB916" s="243"/>
      <c r="BC916" s="243"/>
      <c r="BD916" s="243"/>
      <c r="BE916" s="243"/>
      <c r="BF916" s="243"/>
      <c r="BG916" s="243"/>
      <c r="BH916" s="243"/>
      <c r="BI916" s="243"/>
      <c r="BJ916" s="243"/>
      <c r="BK916" s="243"/>
      <c r="BL916" s="243"/>
      <c r="BM916" s="243"/>
      <c r="BN916" s="243"/>
      <c r="BO916" s="243"/>
      <c r="BP916" s="243"/>
      <c r="BQ916" s="243"/>
      <c r="BR916" s="243"/>
      <c r="BS916" s="243"/>
    </row>
    <row r="917" spans="1:71" s="12" customFormat="1" ht="41.25" customHeight="1">
      <c r="A917" s="178" t="s">
        <v>80</v>
      </c>
      <c r="B917" s="178" t="str">
        <f ca="1">+UPPER(Tabla1321124[[#This Row],[DESCRIPCIÓN DE LA COMPRA O CONTRATACIÓN]])</f>
        <v xml:space="preserve">VALVULA Ø8" HF TIPO MARIPOSA PARA 300 PSI </v>
      </c>
      <c r="C917" s="39" t="s">
        <v>17</v>
      </c>
      <c r="D917" s="352">
        <f>2+1</f>
        <v>3</v>
      </c>
      <c r="E917" s="352">
        <v>2</v>
      </c>
      <c r="F917" s="352">
        <v>2</v>
      </c>
      <c r="G917" s="352">
        <v>2</v>
      </c>
      <c r="H917" s="240">
        <f>SUM(Tabla1321124[[#This Row],[PRIMER TRIMESTRE]:[CUARTO TRIMESTRE]])</f>
        <v>9</v>
      </c>
      <c r="I917" s="17">
        <v>94400</v>
      </c>
      <c r="J917" s="17">
        <f>+Tabla1321124[[#This Row],[CANTIDAD TOTAL]]*Tabla1321124[[#This Row],[PRECIO UNITARIO ESTIMADO]]</f>
        <v>849600</v>
      </c>
      <c r="K917" s="17"/>
      <c r="L917" s="16" t="s">
        <v>18</v>
      </c>
      <c r="M917" s="16" t="s">
        <v>22</v>
      </c>
      <c r="N917" s="16"/>
      <c r="O917" s="243"/>
      <c r="P917" s="243"/>
      <c r="Q917" s="243"/>
      <c r="R917" s="243"/>
      <c r="S917" s="243"/>
      <c r="T917" s="243"/>
      <c r="U917" s="243"/>
      <c r="V917" s="243"/>
      <c r="W917" s="243"/>
      <c r="X917" s="243"/>
      <c r="Y917" s="243"/>
      <c r="Z917" s="243"/>
      <c r="AA917" s="243"/>
      <c r="AB917" s="243"/>
      <c r="AC917" s="243"/>
      <c r="AD917" s="243"/>
      <c r="AE917" s="243"/>
      <c r="AF917" s="243"/>
      <c r="AG917" s="243"/>
      <c r="AH917" s="243"/>
      <c r="AI917" s="243"/>
      <c r="AJ917" s="243"/>
      <c r="AK917" s="243"/>
      <c r="AL917" s="243"/>
      <c r="AM917" s="243"/>
      <c r="AN917" s="243"/>
      <c r="AO917" s="243"/>
      <c r="AP917" s="243"/>
      <c r="AQ917" s="243"/>
      <c r="AR917" s="243"/>
      <c r="AS917" s="243"/>
      <c r="AT917" s="243"/>
      <c r="AU917" s="243"/>
      <c r="AV917" s="243"/>
      <c r="AW917" s="243"/>
      <c r="AX917" s="243"/>
      <c r="AY917" s="243"/>
      <c r="AZ917" s="243"/>
      <c r="BA917" s="243"/>
      <c r="BB917" s="243"/>
      <c r="BC917" s="243"/>
      <c r="BD917" s="243"/>
      <c r="BE917" s="243"/>
      <c r="BF917" s="243"/>
      <c r="BG917" s="243"/>
      <c r="BH917" s="243"/>
      <c r="BI917" s="243"/>
      <c r="BJ917" s="243"/>
      <c r="BK917" s="243"/>
      <c r="BL917" s="243"/>
      <c r="BM917" s="243"/>
      <c r="BN917" s="243"/>
      <c r="BO917" s="243"/>
      <c r="BP917" s="243"/>
      <c r="BQ917" s="243"/>
      <c r="BR917" s="243"/>
      <c r="BS917" s="243"/>
    </row>
    <row r="918" spans="1:71" s="12" customFormat="1" ht="41.25" customHeight="1">
      <c r="A918" s="178" t="s">
        <v>80</v>
      </c>
      <c r="B918" s="178" t="str">
        <f ca="1">+UPPER(Tabla1321124[[#This Row],[DESCRIPCIÓN DE LA COMPRA O CONTRATACIÓN]])</f>
        <v xml:space="preserve">VALVULA Ø10" HF TIPO MARIPOSA PARA 300 PSI </v>
      </c>
      <c r="C918" s="39" t="s">
        <v>17</v>
      </c>
      <c r="D918" s="352">
        <v>2</v>
      </c>
      <c r="E918" s="352">
        <v>2</v>
      </c>
      <c r="F918" s="352">
        <v>2</v>
      </c>
      <c r="G918" s="352">
        <v>2</v>
      </c>
      <c r="H918" s="240">
        <f>SUM(Tabla1321124[[#This Row],[PRIMER TRIMESTRE]:[CUARTO TRIMESTRE]])</f>
        <v>8</v>
      </c>
      <c r="I918" s="17">
        <v>106200</v>
      </c>
      <c r="J918" s="17">
        <f>+Tabla1321124[[#This Row],[CANTIDAD TOTAL]]*Tabla1321124[[#This Row],[PRECIO UNITARIO ESTIMADO]]</f>
        <v>849600</v>
      </c>
      <c r="K918" s="17"/>
      <c r="L918" s="16" t="s">
        <v>18</v>
      </c>
      <c r="M918" s="16" t="s">
        <v>22</v>
      </c>
      <c r="N918" s="16"/>
      <c r="O918" s="243"/>
      <c r="P918" s="243"/>
      <c r="Q918" s="243"/>
      <c r="R918" s="243"/>
      <c r="S918" s="243"/>
      <c r="T918" s="243"/>
      <c r="U918" s="243"/>
      <c r="V918" s="243"/>
      <c r="W918" s="243"/>
      <c r="X918" s="243"/>
      <c r="Y918" s="243"/>
      <c r="Z918" s="243"/>
      <c r="AA918" s="243"/>
      <c r="AB918" s="243"/>
      <c r="AC918" s="243"/>
      <c r="AD918" s="243"/>
      <c r="AE918" s="243"/>
      <c r="AF918" s="243"/>
      <c r="AG918" s="243"/>
      <c r="AH918" s="243"/>
      <c r="AI918" s="243"/>
      <c r="AJ918" s="243"/>
      <c r="AK918" s="243"/>
      <c r="AL918" s="243"/>
      <c r="AM918" s="243"/>
      <c r="AN918" s="243"/>
      <c r="AO918" s="243"/>
      <c r="AP918" s="243"/>
      <c r="AQ918" s="243"/>
      <c r="AR918" s="243"/>
      <c r="AS918" s="243"/>
      <c r="AT918" s="243"/>
      <c r="AU918" s="243"/>
      <c r="AV918" s="243"/>
      <c r="AW918" s="243"/>
      <c r="AX918" s="243"/>
      <c r="AY918" s="243"/>
      <c r="AZ918" s="243"/>
      <c r="BA918" s="243"/>
      <c r="BB918" s="243"/>
      <c r="BC918" s="243"/>
      <c r="BD918" s="243"/>
      <c r="BE918" s="243"/>
      <c r="BF918" s="243"/>
      <c r="BG918" s="243"/>
      <c r="BH918" s="243"/>
      <c r="BI918" s="243"/>
      <c r="BJ918" s="243"/>
      <c r="BK918" s="243"/>
      <c r="BL918" s="243"/>
      <c r="BM918" s="243"/>
      <c r="BN918" s="243"/>
      <c r="BO918" s="243"/>
      <c r="BP918" s="243"/>
      <c r="BQ918" s="243"/>
      <c r="BR918" s="243"/>
      <c r="BS918" s="243"/>
    </row>
    <row r="919" spans="1:71" s="12" customFormat="1" ht="47.25" customHeight="1">
      <c r="A919" s="178" t="s">
        <v>80</v>
      </c>
      <c r="B919" s="178" t="str">
        <f ca="1">+UPPER(Tabla1321124[[#This Row],[DESCRIPCIÓN DE LA COMPRA O CONTRATACIÓN]])</f>
        <v xml:space="preserve">VALVULA Ø12" HF TIPO MARIPOSA PARA 300 PSI </v>
      </c>
      <c r="C919" s="39" t="s">
        <v>17</v>
      </c>
      <c r="D919" s="352">
        <f>2+1</f>
        <v>3</v>
      </c>
      <c r="E919" s="352">
        <v>2</v>
      </c>
      <c r="F919" s="352">
        <v>2</v>
      </c>
      <c r="G919" s="352">
        <v>2</v>
      </c>
      <c r="H919" s="240">
        <f>SUM(Tabla1321124[[#This Row],[PRIMER TRIMESTRE]:[CUARTO TRIMESTRE]])</f>
        <v>9</v>
      </c>
      <c r="I919" s="17">
        <v>112100</v>
      </c>
      <c r="J919" s="17">
        <f>+Tabla1321124[[#This Row],[CANTIDAD TOTAL]]*Tabla1321124[[#This Row],[PRECIO UNITARIO ESTIMADO]]</f>
        <v>1008900</v>
      </c>
      <c r="K919" s="17"/>
      <c r="L919" s="16" t="s">
        <v>18</v>
      </c>
      <c r="M919" s="16" t="s">
        <v>22</v>
      </c>
      <c r="N919" s="16"/>
      <c r="O919" s="243"/>
      <c r="P919" s="243"/>
      <c r="Q919" s="243"/>
      <c r="R919" s="243"/>
      <c r="S919" s="243"/>
      <c r="T919" s="243"/>
      <c r="U919" s="243"/>
      <c r="V919" s="243"/>
      <c r="W919" s="243"/>
      <c r="X919" s="243"/>
      <c r="Y919" s="243"/>
      <c r="Z919" s="243"/>
      <c r="AA919" s="243"/>
      <c r="AB919" s="243"/>
      <c r="AC919" s="243"/>
      <c r="AD919" s="243"/>
      <c r="AE919" s="243"/>
      <c r="AF919" s="243"/>
      <c r="AG919" s="243"/>
      <c r="AH919" s="243"/>
      <c r="AI919" s="243"/>
      <c r="AJ919" s="243"/>
      <c r="AK919" s="243"/>
      <c r="AL919" s="243"/>
      <c r="AM919" s="243"/>
      <c r="AN919" s="243"/>
      <c r="AO919" s="243"/>
      <c r="AP919" s="243"/>
      <c r="AQ919" s="243"/>
      <c r="AR919" s="243"/>
      <c r="AS919" s="243"/>
      <c r="AT919" s="243"/>
      <c r="AU919" s="243"/>
      <c r="AV919" s="243"/>
      <c r="AW919" s="243"/>
      <c r="AX919" s="243"/>
      <c r="AY919" s="243"/>
      <c r="AZ919" s="243"/>
      <c r="BA919" s="243"/>
      <c r="BB919" s="243"/>
      <c r="BC919" s="243"/>
      <c r="BD919" s="243"/>
      <c r="BE919" s="243"/>
      <c r="BF919" s="243"/>
      <c r="BG919" s="243"/>
      <c r="BH919" s="243"/>
      <c r="BI919" s="243"/>
      <c r="BJ919" s="243"/>
      <c r="BK919" s="243"/>
      <c r="BL919" s="243"/>
      <c r="BM919" s="243"/>
      <c r="BN919" s="243"/>
      <c r="BO919" s="243"/>
      <c r="BP919" s="243"/>
      <c r="BQ919" s="243"/>
      <c r="BR919" s="243"/>
      <c r="BS919" s="243"/>
    </row>
    <row r="920" spans="1:71" s="12" customFormat="1" ht="47.25" customHeight="1">
      <c r="A920" s="178" t="s">
        <v>80</v>
      </c>
      <c r="B920" s="178" t="str">
        <f ca="1">+UPPER(Tabla1321124[[#This Row],[DESCRIPCIÓN DE LA COMPRA O CONTRATACIÓN]])</f>
        <v>VALVULA  Ø8" HF DE COMPUERTA Y VOLANTA PARA 300 PSI, CON SUS DOS NIPLES PLATILLADOS, CON SU JUNTA DE GOMA, TORNILLOS Y TUERCAS</v>
      </c>
      <c r="C920" s="39" t="s">
        <v>17</v>
      </c>
      <c r="D920" s="352">
        <f>2+2</f>
        <v>4</v>
      </c>
      <c r="E920" s="352">
        <v>2</v>
      </c>
      <c r="F920" s="352">
        <v>2</v>
      </c>
      <c r="G920" s="352">
        <v>2</v>
      </c>
      <c r="H920" s="240">
        <f>SUM(Tabla1321124[[#This Row],[PRIMER TRIMESTRE]:[CUARTO TRIMESTRE]])</f>
        <v>10</v>
      </c>
      <c r="I920" s="17">
        <v>42480</v>
      </c>
      <c r="J920" s="17">
        <f>+Tabla1321124[[#This Row],[CANTIDAD TOTAL]]*Tabla1321124[[#This Row],[PRECIO UNITARIO ESTIMADO]]</f>
        <v>424800</v>
      </c>
      <c r="K920" s="17"/>
      <c r="L920" s="16" t="s">
        <v>18</v>
      </c>
      <c r="M920" s="16" t="s">
        <v>22</v>
      </c>
      <c r="N920" s="16"/>
      <c r="O920" s="243"/>
      <c r="P920" s="243"/>
      <c r="Q920" s="243"/>
      <c r="R920" s="243"/>
      <c r="S920" s="243"/>
      <c r="T920" s="243"/>
      <c r="U920" s="243"/>
      <c r="V920" s="243"/>
      <c r="W920" s="243"/>
      <c r="X920" s="243"/>
      <c r="Y920" s="243"/>
      <c r="Z920" s="243"/>
      <c r="AA920" s="243"/>
      <c r="AB920" s="243"/>
      <c r="AC920" s="243"/>
      <c r="AD920" s="243"/>
      <c r="AE920" s="243"/>
      <c r="AF920" s="243"/>
      <c r="AG920" s="243"/>
      <c r="AH920" s="243"/>
      <c r="AI920" s="243"/>
      <c r="AJ920" s="243"/>
      <c r="AK920" s="243"/>
      <c r="AL920" s="243"/>
      <c r="AM920" s="243"/>
      <c r="AN920" s="243"/>
      <c r="AO920" s="243"/>
      <c r="AP920" s="243"/>
      <c r="AQ920" s="243"/>
      <c r="AR920" s="243"/>
      <c r="AS920" s="243"/>
      <c r="AT920" s="243"/>
      <c r="AU920" s="243"/>
      <c r="AV920" s="243"/>
      <c r="AW920" s="243"/>
      <c r="AX920" s="243"/>
      <c r="AY920" s="243"/>
      <c r="AZ920" s="243"/>
      <c r="BA920" s="243"/>
      <c r="BB920" s="243"/>
      <c r="BC920" s="243"/>
      <c r="BD920" s="243"/>
      <c r="BE920" s="243"/>
      <c r="BF920" s="243"/>
      <c r="BG920" s="243"/>
      <c r="BH920" s="243"/>
      <c r="BI920" s="243"/>
      <c r="BJ920" s="243"/>
      <c r="BK920" s="243"/>
      <c r="BL920" s="243"/>
      <c r="BM920" s="243"/>
      <c r="BN920" s="243"/>
      <c r="BO920" s="243"/>
      <c r="BP920" s="243"/>
      <c r="BQ920" s="243"/>
      <c r="BR920" s="243"/>
      <c r="BS920" s="243"/>
    </row>
    <row r="921" spans="1:71" s="12" customFormat="1" ht="47.25" customHeight="1">
      <c r="A921" s="178" t="s">
        <v>80</v>
      </c>
      <c r="B921" s="178" t="str">
        <f ca="1">+UPPER(Tabla1321124[[#This Row],[DESCRIPCIÓN DE LA COMPRA O CONTRATACIÓN]])</f>
        <v>VALVULA Ø10" HF DE COMPUERTA Y VOLANTA PARA 300 PSI , CON SUS DOS NIPLES PLATILLADOS, CON SU JUNTA DE GOMA, TORNILLOS Y TUERCAS</v>
      </c>
      <c r="C921" s="39" t="s">
        <v>17</v>
      </c>
      <c r="D921" s="352">
        <v>2</v>
      </c>
      <c r="E921" s="352">
        <v>2</v>
      </c>
      <c r="F921" s="352">
        <v>2</v>
      </c>
      <c r="G921" s="352">
        <v>2</v>
      </c>
      <c r="H921" s="240">
        <f>SUM(Tabla1321124[[#This Row],[PRIMER TRIMESTRE]:[CUARTO TRIMESTRE]])</f>
        <v>8</v>
      </c>
      <c r="I921" s="17">
        <v>64900</v>
      </c>
      <c r="J921" s="17">
        <f>+Tabla1321124[[#This Row],[CANTIDAD TOTAL]]*Tabla1321124[[#This Row],[PRECIO UNITARIO ESTIMADO]]</f>
        <v>519200</v>
      </c>
      <c r="K921" s="17"/>
      <c r="L921" s="16" t="s">
        <v>18</v>
      </c>
      <c r="M921" s="16" t="s">
        <v>22</v>
      </c>
      <c r="N921" s="16"/>
      <c r="O921" s="243"/>
      <c r="P921" s="243"/>
      <c r="Q921" s="243"/>
      <c r="R921" s="243"/>
      <c r="S921" s="243"/>
      <c r="T921" s="243"/>
      <c r="U921" s="243"/>
      <c r="V921" s="243"/>
      <c r="W921" s="243"/>
      <c r="X921" s="243"/>
      <c r="Y921" s="243"/>
      <c r="Z921" s="243"/>
      <c r="AA921" s="243"/>
      <c r="AB921" s="243"/>
      <c r="AC921" s="243"/>
      <c r="AD921" s="243"/>
      <c r="AE921" s="243"/>
      <c r="AF921" s="243"/>
      <c r="AG921" s="243"/>
      <c r="AH921" s="243"/>
      <c r="AI921" s="243"/>
      <c r="AJ921" s="243"/>
      <c r="AK921" s="243"/>
      <c r="AL921" s="243"/>
      <c r="AM921" s="243"/>
      <c r="AN921" s="243"/>
      <c r="AO921" s="243"/>
      <c r="AP921" s="243"/>
      <c r="AQ921" s="243"/>
      <c r="AR921" s="243"/>
      <c r="AS921" s="243"/>
      <c r="AT921" s="243"/>
      <c r="AU921" s="243"/>
      <c r="AV921" s="243"/>
      <c r="AW921" s="243"/>
      <c r="AX921" s="243"/>
      <c r="AY921" s="243"/>
      <c r="AZ921" s="243"/>
      <c r="BA921" s="243"/>
      <c r="BB921" s="243"/>
      <c r="BC921" s="243"/>
      <c r="BD921" s="243"/>
      <c r="BE921" s="243"/>
      <c r="BF921" s="243"/>
      <c r="BG921" s="243"/>
      <c r="BH921" s="243"/>
      <c r="BI921" s="243"/>
      <c r="BJ921" s="243"/>
      <c r="BK921" s="243"/>
      <c r="BL921" s="243"/>
      <c r="BM921" s="243"/>
      <c r="BN921" s="243"/>
      <c r="BO921" s="243"/>
      <c r="BP921" s="243"/>
      <c r="BQ921" s="243"/>
      <c r="BR921" s="243"/>
      <c r="BS921" s="243"/>
    </row>
    <row r="922" spans="1:71" s="12" customFormat="1" ht="41.25" customHeight="1">
      <c r="A922" s="178" t="s">
        <v>80</v>
      </c>
      <c r="B922" s="178" t="str">
        <f ca="1">+UPPER(Tabla1321124[[#This Row],[DESCRIPCIÓN DE LA COMPRA O CONTRATACIÓN]])</f>
        <v>VALVULA  Ø12" HF DE COMPUERTA Y VOLANTA PARA 300 PSI, CON SUS DOS NIPLES PLATILLADOS, CON SU JUNTA DE GOMA, TORNILLOS Y TUERCAS</v>
      </c>
      <c r="C922" s="39" t="s">
        <v>17</v>
      </c>
      <c r="D922" s="352">
        <f>2+2</f>
        <v>4</v>
      </c>
      <c r="E922" s="352">
        <v>2</v>
      </c>
      <c r="F922" s="352">
        <v>2</v>
      </c>
      <c r="G922" s="352">
        <v>2</v>
      </c>
      <c r="H922" s="240">
        <f>SUM(Tabla1321124[[#This Row],[PRIMER TRIMESTRE]:[CUARTO TRIMESTRE]])</f>
        <v>10</v>
      </c>
      <c r="I922" s="17">
        <v>92040</v>
      </c>
      <c r="J922" s="17">
        <f>+Tabla1321124[[#This Row],[CANTIDAD TOTAL]]*Tabla1321124[[#This Row],[PRECIO UNITARIO ESTIMADO]]</f>
        <v>920400</v>
      </c>
      <c r="K922" s="17"/>
      <c r="L922" s="16" t="s">
        <v>18</v>
      </c>
      <c r="M922" s="16" t="s">
        <v>22</v>
      </c>
      <c r="N922" s="16"/>
      <c r="O922" s="243"/>
      <c r="P922" s="243"/>
      <c r="Q922" s="243"/>
      <c r="R922" s="243"/>
      <c r="S922" s="243"/>
      <c r="T922" s="243"/>
      <c r="U922" s="243"/>
      <c r="V922" s="243"/>
      <c r="W922" s="243"/>
      <c r="X922" s="243"/>
      <c r="Y922" s="243"/>
      <c r="Z922" s="243"/>
      <c r="AA922" s="243"/>
      <c r="AB922" s="243"/>
      <c r="AC922" s="243"/>
      <c r="AD922" s="243"/>
      <c r="AE922" s="243"/>
      <c r="AF922" s="243"/>
      <c r="AG922" s="243"/>
      <c r="AH922" s="243"/>
      <c r="AI922" s="243"/>
      <c r="AJ922" s="243"/>
      <c r="AK922" s="243"/>
      <c r="AL922" s="243"/>
      <c r="AM922" s="243"/>
      <c r="AN922" s="243"/>
      <c r="AO922" s="243"/>
      <c r="AP922" s="243"/>
      <c r="AQ922" s="243"/>
      <c r="AR922" s="243"/>
      <c r="AS922" s="243"/>
      <c r="AT922" s="243"/>
      <c r="AU922" s="243"/>
      <c r="AV922" s="243"/>
      <c r="AW922" s="243"/>
      <c r="AX922" s="243"/>
      <c r="AY922" s="243"/>
      <c r="AZ922" s="243"/>
      <c r="BA922" s="243"/>
      <c r="BB922" s="243"/>
      <c r="BC922" s="243"/>
      <c r="BD922" s="243"/>
      <c r="BE922" s="243"/>
      <c r="BF922" s="243"/>
      <c r="BG922" s="243"/>
      <c r="BH922" s="243"/>
      <c r="BI922" s="243"/>
      <c r="BJ922" s="243"/>
      <c r="BK922" s="243"/>
      <c r="BL922" s="243"/>
      <c r="BM922" s="243"/>
      <c r="BN922" s="243"/>
      <c r="BO922" s="243"/>
      <c r="BP922" s="243"/>
      <c r="BQ922" s="243"/>
      <c r="BR922" s="243"/>
      <c r="BS922" s="243"/>
    </row>
    <row r="923" spans="1:71" s="12" customFormat="1" ht="41.25" customHeight="1">
      <c r="A923" s="178" t="s">
        <v>80</v>
      </c>
      <c r="B923" s="178" t="str">
        <f ca="1">+UPPER(Tabla1321124[[#This Row],[DESCRIPCIÓN DE LA COMPRA O CONTRATACIÓN]])</f>
        <v>VALVULA DE AIRE Ø1/2", INCLUYE DOS NIPLES ROSCADOS DE 1´ Y LLAVE DE PASO</v>
      </c>
      <c r="C923" s="39" t="s">
        <v>17</v>
      </c>
      <c r="D923" s="352">
        <v>250</v>
      </c>
      <c r="E923" s="352">
        <v>250</v>
      </c>
      <c r="F923" s="352">
        <v>250</v>
      </c>
      <c r="G923" s="352">
        <v>250</v>
      </c>
      <c r="H923" s="240">
        <f>SUM(Tabla1321124[[#This Row],[PRIMER TRIMESTRE]:[CUARTO TRIMESTRE]])</f>
        <v>1000</v>
      </c>
      <c r="I923" s="17">
        <v>6377.7</v>
      </c>
      <c r="J923" s="17">
        <f>+Tabla1321124[[#This Row],[CANTIDAD TOTAL]]*Tabla1321124[[#This Row],[PRECIO UNITARIO ESTIMADO]]</f>
        <v>6377700</v>
      </c>
      <c r="K923" s="17"/>
      <c r="L923" s="16" t="s">
        <v>18</v>
      </c>
      <c r="M923" s="16" t="s">
        <v>22</v>
      </c>
      <c r="N923" s="16"/>
      <c r="O923" s="243"/>
      <c r="P923" s="243"/>
      <c r="Q923" s="243"/>
      <c r="R923" s="243"/>
      <c r="S923" s="243"/>
      <c r="T923" s="243"/>
      <c r="U923" s="243"/>
      <c r="V923" s="243"/>
      <c r="W923" s="243"/>
      <c r="X923" s="243"/>
      <c r="Y923" s="243"/>
      <c r="Z923" s="243"/>
      <c r="AA923" s="243"/>
      <c r="AB923" s="243"/>
      <c r="AC923" s="243"/>
      <c r="AD923" s="243"/>
      <c r="AE923" s="243"/>
      <c r="AF923" s="243"/>
      <c r="AG923" s="243"/>
      <c r="AH923" s="243"/>
      <c r="AI923" s="243"/>
      <c r="AJ923" s="243"/>
      <c r="AK923" s="243"/>
      <c r="AL923" s="243"/>
      <c r="AM923" s="243"/>
      <c r="AN923" s="243"/>
      <c r="AO923" s="243"/>
      <c r="AP923" s="243"/>
      <c r="AQ923" s="243"/>
      <c r="AR923" s="243"/>
      <c r="AS923" s="243"/>
      <c r="AT923" s="243"/>
      <c r="AU923" s="243"/>
      <c r="AV923" s="243"/>
      <c r="AW923" s="243"/>
      <c r="AX923" s="243"/>
      <c r="AY923" s="243"/>
      <c r="AZ923" s="243"/>
      <c r="BA923" s="243"/>
      <c r="BB923" s="243"/>
      <c r="BC923" s="243"/>
      <c r="BD923" s="243"/>
      <c r="BE923" s="243"/>
      <c r="BF923" s="243"/>
      <c r="BG923" s="243"/>
      <c r="BH923" s="243"/>
      <c r="BI923" s="243"/>
      <c r="BJ923" s="243"/>
      <c r="BK923" s="243"/>
      <c r="BL923" s="243"/>
      <c r="BM923" s="243"/>
      <c r="BN923" s="243"/>
      <c r="BO923" s="243"/>
      <c r="BP923" s="243"/>
      <c r="BQ923" s="243"/>
      <c r="BR923" s="243"/>
      <c r="BS923" s="243"/>
    </row>
    <row r="924" spans="1:71" s="12" customFormat="1" ht="41.25" customHeight="1">
      <c r="A924" s="178" t="s">
        <v>80</v>
      </c>
      <c r="B924" s="178" t="str">
        <f ca="1">+UPPER(Tabla1321124[[#This Row],[DESCRIPCIÓN DE LA COMPRA O CONTRATACIÓN]])</f>
        <v>VALVULA DE AIRE  Ø3/4", INCLUYE DOS NIPLES ROSCADOS DE 1´ Y LLAVE DE PASO</v>
      </c>
      <c r="C924" s="39" t="s">
        <v>17</v>
      </c>
      <c r="D924" s="352">
        <v>250</v>
      </c>
      <c r="E924" s="352">
        <v>250</v>
      </c>
      <c r="F924" s="352">
        <v>250</v>
      </c>
      <c r="G924" s="352">
        <v>250</v>
      </c>
      <c r="H924" s="240">
        <f>SUM(Tabla1321124[[#This Row],[PRIMER TRIMESTRE]:[CUARTO TRIMESTRE]])</f>
        <v>1000</v>
      </c>
      <c r="I924" s="17">
        <v>6769.1</v>
      </c>
      <c r="J924" s="17">
        <f>+Tabla1321124[[#This Row],[CANTIDAD TOTAL]]*Tabla1321124[[#This Row],[PRECIO UNITARIO ESTIMADO]]</f>
        <v>6769100</v>
      </c>
      <c r="K924" s="17"/>
      <c r="L924" s="16" t="s">
        <v>18</v>
      </c>
      <c r="M924" s="16" t="s">
        <v>22</v>
      </c>
      <c r="N924" s="16"/>
      <c r="O924" s="243"/>
      <c r="P924" s="243"/>
      <c r="Q924" s="243"/>
      <c r="R924" s="243"/>
      <c r="S924" s="243"/>
      <c r="T924" s="243"/>
      <c r="U924" s="243"/>
      <c r="V924" s="243"/>
      <c r="W924" s="243"/>
      <c r="X924" s="243"/>
      <c r="Y924" s="243"/>
      <c r="Z924" s="243"/>
      <c r="AA924" s="243"/>
      <c r="AB924" s="243"/>
      <c r="AC924" s="243"/>
      <c r="AD924" s="243"/>
      <c r="AE924" s="243"/>
      <c r="AF924" s="243"/>
      <c r="AG924" s="243"/>
      <c r="AH924" s="243"/>
      <c r="AI924" s="243"/>
      <c r="AJ924" s="243"/>
      <c r="AK924" s="243"/>
      <c r="AL924" s="243"/>
      <c r="AM924" s="243"/>
      <c r="AN924" s="243"/>
      <c r="AO924" s="243"/>
      <c r="AP924" s="243"/>
      <c r="AQ924" s="243"/>
      <c r="AR924" s="243"/>
      <c r="AS924" s="243"/>
      <c r="AT924" s="243"/>
      <c r="AU924" s="243"/>
      <c r="AV924" s="243"/>
      <c r="AW924" s="243"/>
      <c r="AX924" s="243"/>
      <c r="AY924" s="243"/>
      <c r="AZ924" s="243"/>
      <c r="BA924" s="243"/>
      <c r="BB924" s="243"/>
      <c r="BC924" s="243"/>
      <c r="BD924" s="243"/>
      <c r="BE924" s="243"/>
      <c r="BF924" s="243"/>
      <c r="BG924" s="243"/>
      <c r="BH924" s="243"/>
      <c r="BI924" s="243"/>
      <c r="BJ924" s="243"/>
      <c r="BK924" s="243"/>
      <c r="BL924" s="243"/>
      <c r="BM924" s="243"/>
      <c r="BN924" s="243"/>
      <c r="BO924" s="243"/>
      <c r="BP924" s="243"/>
      <c r="BQ924" s="243"/>
      <c r="BR924" s="243"/>
      <c r="BS924" s="243"/>
    </row>
    <row r="925" spans="1:71" s="12" customFormat="1" ht="41.25" customHeight="1">
      <c r="A925" s="178" t="s">
        <v>80</v>
      </c>
      <c r="B925" s="178" t="str">
        <f ca="1">+UPPER(Tabla1321124[[#This Row],[DESCRIPCIÓN DE LA COMPRA O CONTRATACIÓN]])</f>
        <v>VALVULA DE AIRE Ø1", INCLUYE DOS NIPLES ROSCADOS DE 1´ Y LLAVE DE PASO</v>
      </c>
      <c r="C925" s="39" t="s">
        <v>17</v>
      </c>
      <c r="D925" s="352">
        <v>125</v>
      </c>
      <c r="E925" s="352">
        <v>125</v>
      </c>
      <c r="F925" s="352">
        <v>125</v>
      </c>
      <c r="G925" s="352">
        <v>125</v>
      </c>
      <c r="H925" s="240">
        <f>SUM(Tabla1321124[[#This Row],[PRIMER TRIMESTRE]:[CUARTO TRIMESTRE]])</f>
        <v>500</v>
      </c>
      <c r="I925" s="17">
        <v>6890.2</v>
      </c>
      <c r="J925" s="17">
        <f>+Tabla1321124[[#This Row],[CANTIDAD TOTAL]]*Tabla1321124[[#This Row],[PRECIO UNITARIO ESTIMADO]]</f>
        <v>3445100</v>
      </c>
      <c r="K925" s="17"/>
      <c r="L925" s="16" t="s">
        <v>18</v>
      </c>
      <c r="M925" s="16" t="s">
        <v>22</v>
      </c>
      <c r="N925" s="16"/>
      <c r="O925" s="243"/>
      <c r="P925" s="243"/>
      <c r="Q925" s="243"/>
      <c r="R925" s="243"/>
      <c r="S925" s="243"/>
      <c r="T925" s="243"/>
      <c r="U925" s="243"/>
      <c r="V925" s="243"/>
      <c r="W925" s="243"/>
      <c r="X925" s="243"/>
      <c r="Y925" s="243"/>
      <c r="Z925" s="243"/>
      <c r="AA925" s="243"/>
      <c r="AB925" s="243"/>
      <c r="AC925" s="243"/>
      <c r="AD925" s="243"/>
      <c r="AE925" s="243"/>
      <c r="AF925" s="243"/>
      <c r="AG925" s="243"/>
      <c r="AH925" s="243"/>
      <c r="AI925" s="243"/>
      <c r="AJ925" s="243"/>
      <c r="AK925" s="243"/>
      <c r="AL925" s="243"/>
      <c r="AM925" s="243"/>
      <c r="AN925" s="243"/>
      <c r="AO925" s="243"/>
      <c r="AP925" s="243"/>
      <c r="AQ925" s="243"/>
      <c r="AR925" s="243"/>
      <c r="AS925" s="243"/>
      <c r="AT925" s="243"/>
      <c r="AU925" s="243"/>
      <c r="AV925" s="243"/>
      <c r="AW925" s="243"/>
      <c r="AX925" s="243"/>
      <c r="AY925" s="243"/>
      <c r="AZ925" s="243"/>
      <c r="BA925" s="243"/>
      <c r="BB925" s="243"/>
      <c r="BC925" s="243"/>
      <c r="BD925" s="243"/>
      <c r="BE925" s="243"/>
      <c r="BF925" s="243"/>
      <c r="BG925" s="243"/>
      <c r="BH925" s="243"/>
      <c r="BI925" s="243"/>
      <c r="BJ925" s="243"/>
      <c r="BK925" s="243"/>
      <c r="BL925" s="243"/>
      <c r="BM925" s="243"/>
      <c r="BN925" s="243"/>
      <c r="BO925" s="243"/>
      <c r="BP925" s="243"/>
      <c r="BQ925" s="243"/>
      <c r="BR925" s="243"/>
      <c r="BS925" s="243"/>
    </row>
    <row r="926" spans="1:71" s="12" customFormat="1" ht="41.25" customHeight="1">
      <c r="A926" s="178" t="s">
        <v>80</v>
      </c>
      <c r="B926" s="178" t="str">
        <f ca="1">+UPPER(Tabla1321124[[#This Row],[DESCRIPCIÓN DE LA COMPRA O CONTRATACIÓN]])</f>
        <v>VALVULA DE AIRE Ø1 1/2", INCLUYE DOS NIPLES ROSCADOS DE 1´ Y LLAVE DE PASO</v>
      </c>
      <c r="C926" s="39" t="s">
        <v>17</v>
      </c>
      <c r="D926" s="352">
        <v>125</v>
      </c>
      <c r="E926" s="352">
        <v>125</v>
      </c>
      <c r="F926" s="352">
        <v>125</v>
      </c>
      <c r="G926" s="352">
        <v>125</v>
      </c>
      <c r="H926" s="240">
        <f>SUM(Tabla1321124[[#This Row],[PRIMER TRIMESTRE]:[CUARTO TRIMESTRE]])</f>
        <v>500</v>
      </c>
      <c r="I926" s="17">
        <f>+I925*1.15</f>
        <v>7923.73</v>
      </c>
      <c r="J926" s="17">
        <f>+Tabla1321124[[#This Row],[CANTIDAD TOTAL]]*Tabla1321124[[#This Row],[PRECIO UNITARIO ESTIMADO]]</f>
        <v>3961865</v>
      </c>
      <c r="K926" s="17"/>
      <c r="L926" s="16" t="s">
        <v>18</v>
      </c>
      <c r="M926" s="16" t="s">
        <v>22</v>
      </c>
      <c r="N926" s="16"/>
      <c r="O926" s="243"/>
      <c r="P926" s="243"/>
      <c r="Q926" s="243"/>
      <c r="R926" s="243"/>
      <c r="S926" s="243"/>
      <c r="T926" s="243"/>
      <c r="U926" s="243"/>
      <c r="V926" s="243"/>
      <c r="W926" s="243"/>
      <c r="X926" s="243"/>
      <c r="Y926" s="243"/>
      <c r="Z926" s="243"/>
      <c r="AA926" s="243"/>
      <c r="AB926" s="243"/>
      <c r="AC926" s="243"/>
      <c r="AD926" s="243"/>
      <c r="AE926" s="243"/>
      <c r="AF926" s="243"/>
      <c r="AG926" s="243"/>
      <c r="AH926" s="243"/>
      <c r="AI926" s="243"/>
      <c r="AJ926" s="243"/>
      <c r="AK926" s="243"/>
      <c r="AL926" s="243"/>
      <c r="AM926" s="243"/>
      <c r="AN926" s="243"/>
      <c r="AO926" s="243"/>
      <c r="AP926" s="243"/>
      <c r="AQ926" s="243"/>
      <c r="AR926" s="243"/>
      <c r="AS926" s="243"/>
      <c r="AT926" s="243"/>
      <c r="AU926" s="243"/>
      <c r="AV926" s="243"/>
      <c r="AW926" s="243"/>
      <c r="AX926" s="243"/>
      <c r="AY926" s="243"/>
      <c r="AZ926" s="243"/>
      <c r="BA926" s="243"/>
      <c r="BB926" s="243"/>
      <c r="BC926" s="243"/>
      <c r="BD926" s="243"/>
      <c r="BE926" s="243"/>
      <c r="BF926" s="243"/>
      <c r="BG926" s="243"/>
      <c r="BH926" s="243"/>
      <c r="BI926" s="243"/>
      <c r="BJ926" s="243"/>
      <c r="BK926" s="243"/>
      <c r="BL926" s="243"/>
      <c r="BM926" s="243"/>
      <c r="BN926" s="243"/>
      <c r="BO926" s="243"/>
      <c r="BP926" s="243"/>
      <c r="BQ926" s="243"/>
      <c r="BR926" s="243"/>
      <c r="BS926" s="243"/>
    </row>
    <row r="927" spans="1:71" s="12" customFormat="1" ht="41.25" customHeight="1">
      <c r="A927" s="178" t="s">
        <v>80</v>
      </c>
      <c r="B927" s="178" t="str">
        <f ca="1">+UPPER(Tabla1321124[[#This Row],[DESCRIPCIÓN DE LA COMPRA O CONTRATACIÓN]])</f>
        <v>VALVULA DE AIRE Ø2", INCLUYE DOS NIPLES ROSCADOS DE 1´ Y LLAVE DE PASO</v>
      </c>
      <c r="C927" s="39" t="s">
        <v>17</v>
      </c>
      <c r="D927" s="352">
        <v>125</v>
      </c>
      <c r="E927" s="352">
        <v>125</v>
      </c>
      <c r="F927" s="352">
        <v>125</v>
      </c>
      <c r="G927" s="352">
        <v>125</v>
      </c>
      <c r="H927" s="240">
        <f>SUM(Tabla1321124[[#This Row],[PRIMER TRIMESTRE]:[CUARTO TRIMESTRE]])</f>
        <v>500</v>
      </c>
      <c r="I927" s="17">
        <f>2500*1.18</f>
        <v>2950</v>
      </c>
      <c r="J927" s="17">
        <f>+Tabla1321124[[#This Row],[CANTIDAD TOTAL]]*Tabla1321124[[#This Row],[PRECIO UNITARIO ESTIMADO]]</f>
        <v>1475000</v>
      </c>
      <c r="K927" s="17"/>
      <c r="L927" s="16" t="s">
        <v>18</v>
      </c>
      <c r="M927" s="16" t="s">
        <v>22</v>
      </c>
      <c r="N927" s="16"/>
      <c r="O927" s="243"/>
      <c r="P927" s="243"/>
      <c r="Q927" s="243"/>
      <c r="R927" s="243"/>
      <c r="S927" s="243"/>
      <c r="T927" s="243"/>
      <c r="U927" s="243"/>
      <c r="V927" s="243"/>
      <c r="W927" s="243"/>
      <c r="X927" s="243"/>
      <c r="Y927" s="243"/>
      <c r="Z927" s="243"/>
      <c r="AA927" s="243"/>
      <c r="AB927" s="243"/>
      <c r="AC927" s="243"/>
      <c r="AD927" s="243"/>
      <c r="AE927" s="243"/>
      <c r="AF927" s="243"/>
      <c r="AG927" s="243"/>
      <c r="AH927" s="243"/>
      <c r="AI927" s="243"/>
      <c r="AJ927" s="243"/>
      <c r="AK927" s="243"/>
      <c r="AL927" s="243"/>
      <c r="AM927" s="243"/>
      <c r="AN927" s="243"/>
      <c r="AO927" s="243"/>
      <c r="AP927" s="243"/>
      <c r="AQ927" s="243"/>
      <c r="AR927" s="243"/>
      <c r="AS927" s="243"/>
      <c r="AT927" s="243"/>
      <c r="AU927" s="243"/>
      <c r="AV927" s="243"/>
      <c r="AW927" s="243"/>
      <c r="AX927" s="243"/>
      <c r="AY927" s="243"/>
      <c r="AZ927" s="243"/>
      <c r="BA927" s="243"/>
      <c r="BB927" s="243"/>
      <c r="BC927" s="243"/>
      <c r="BD927" s="243"/>
      <c r="BE927" s="243"/>
      <c r="BF927" s="243"/>
      <c r="BG927" s="243"/>
      <c r="BH927" s="243"/>
      <c r="BI927" s="243"/>
      <c r="BJ927" s="243"/>
      <c r="BK927" s="243"/>
      <c r="BL927" s="243"/>
      <c r="BM927" s="243"/>
      <c r="BN927" s="243"/>
      <c r="BO927" s="243"/>
      <c r="BP927" s="243"/>
      <c r="BQ927" s="243"/>
      <c r="BR927" s="243"/>
      <c r="BS927" s="243"/>
    </row>
    <row r="928" spans="1:71" s="12" customFormat="1" ht="41.25" customHeight="1">
      <c r="A928" s="178" t="s">
        <v>80</v>
      </c>
      <c r="B928" s="178" t="str">
        <f ca="1">+UPPER(Tabla1321124[[#This Row],[DESCRIPCIÓN DE LA COMPRA O CONTRATACIÓN]])</f>
        <v>VALVULA DE AIRE Ø4", INCLUYE DOS NIPLES ROSCADOS DE 1´ Y LLAVE DE PASO</v>
      </c>
      <c r="C928" s="39" t="s">
        <v>17</v>
      </c>
      <c r="D928" s="352">
        <v>125</v>
      </c>
      <c r="E928" s="352">
        <v>125</v>
      </c>
      <c r="F928" s="352">
        <v>125</v>
      </c>
      <c r="G928" s="352">
        <v>125</v>
      </c>
      <c r="H928" s="240">
        <f>SUM(Tabla1321124[[#This Row],[PRIMER TRIMESTRE]:[CUARTO TRIMESTRE]])</f>
        <v>500</v>
      </c>
      <c r="I928" s="17">
        <v>20380.96</v>
      </c>
      <c r="J928" s="17">
        <f>+Tabla1321124[[#This Row],[CANTIDAD TOTAL]]*Tabla1321124[[#This Row],[PRECIO UNITARIO ESTIMADO]]</f>
        <v>10190480</v>
      </c>
      <c r="K928" s="17"/>
      <c r="L928" s="16" t="s">
        <v>18</v>
      </c>
      <c r="M928" s="16" t="s">
        <v>22</v>
      </c>
      <c r="N928" s="16"/>
      <c r="O928" s="243"/>
      <c r="P928" s="243"/>
      <c r="Q928" s="243"/>
      <c r="R928" s="243"/>
      <c r="S928" s="243"/>
      <c r="T928" s="243"/>
      <c r="U928" s="243"/>
      <c r="V928" s="243"/>
      <c r="W928" s="243"/>
      <c r="X928" s="243"/>
      <c r="Y928" s="243"/>
      <c r="Z928" s="243"/>
      <c r="AA928" s="243"/>
      <c r="AB928" s="243"/>
      <c r="AC928" s="243"/>
      <c r="AD928" s="243"/>
      <c r="AE928" s="243"/>
      <c r="AF928" s="243"/>
      <c r="AG928" s="243"/>
      <c r="AH928" s="243"/>
      <c r="AI928" s="243"/>
      <c r="AJ928" s="243"/>
      <c r="AK928" s="243"/>
      <c r="AL928" s="243"/>
      <c r="AM928" s="243"/>
      <c r="AN928" s="243"/>
      <c r="AO928" s="243"/>
      <c r="AP928" s="243"/>
      <c r="AQ928" s="243"/>
      <c r="AR928" s="243"/>
      <c r="AS928" s="243"/>
      <c r="AT928" s="243"/>
      <c r="AU928" s="243"/>
      <c r="AV928" s="243"/>
      <c r="AW928" s="243"/>
      <c r="AX928" s="243"/>
      <c r="AY928" s="243"/>
      <c r="AZ928" s="243"/>
      <c r="BA928" s="243"/>
      <c r="BB928" s="243"/>
      <c r="BC928" s="243"/>
      <c r="BD928" s="243"/>
      <c r="BE928" s="243"/>
      <c r="BF928" s="243"/>
      <c r="BG928" s="243"/>
      <c r="BH928" s="243"/>
      <c r="BI928" s="243"/>
      <c r="BJ928" s="243"/>
      <c r="BK928" s="243"/>
      <c r="BL928" s="243"/>
      <c r="BM928" s="243"/>
      <c r="BN928" s="243"/>
      <c r="BO928" s="243"/>
      <c r="BP928" s="243"/>
      <c r="BQ928" s="243"/>
      <c r="BR928" s="243"/>
      <c r="BS928" s="243"/>
    </row>
    <row r="929" spans="1:71" s="12" customFormat="1" ht="41.25" customHeight="1">
      <c r="A929" s="178" t="s">
        <v>80</v>
      </c>
      <c r="B929" s="178" t="str">
        <f ca="1">+UPPER(Tabla1321124[[#This Row],[DESCRIPCIÓN DE LA COMPRA O CONTRATACIÓN]])</f>
        <v>VALVULA DE AIRE  Ø6", INCLUYE DOS NIPLES ROSCADOS DE 1´ Y LLAVE DE PASO</v>
      </c>
      <c r="C929" s="39" t="s">
        <v>17</v>
      </c>
      <c r="D929" s="352">
        <v>75</v>
      </c>
      <c r="E929" s="352">
        <v>75</v>
      </c>
      <c r="F929" s="352">
        <v>75</v>
      </c>
      <c r="G929" s="352">
        <v>75</v>
      </c>
      <c r="H929" s="240">
        <f>SUM(Tabla1321124[[#This Row],[PRIMER TRIMESTRE]:[CUARTO TRIMESTRE]])</f>
        <v>300</v>
      </c>
      <c r="I929" s="17">
        <v>29236.86</v>
      </c>
      <c r="J929" s="17">
        <f>+Tabla1321124[[#This Row],[CANTIDAD TOTAL]]*Tabla1321124[[#This Row],[PRECIO UNITARIO ESTIMADO]]</f>
        <v>8771058</v>
      </c>
      <c r="K929" s="17"/>
      <c r="L929" s="16" t="s">
        <v>18</v>
      </c>
      <c r="M929" s="16" t="s">
        <v>22</v>
      </c>
      <c r="N929" s="16"/>
      <c r="O929" s="243"/>
      <c r="P929" s="243"/>
      <c r="Q929" s="243"/>
      <c r="R929" s="243"/>
      <c r="S929" s="243"/>
      <c r="T929" s="243"/>
      <c r="U929" s="243"/>
      <c r="V929" s="243"/>
      <c r="W929" s="243"/>
      <c r="X929" s="243"/>
      <c r="Y929" s="243"/>
      <c r="Z929" s="243"/>
      <c r="AA929" s="243"/>
      <c r="AB929" s="243"/>
      <c r="AC929" s="243"/>
      <c r="AD929" s="243"/>
      <c r="AE929" s="243"/>
      <c r="AF929" s="243"/>
      <c r="AG929" s="243"/>
      <c r="AH929" s="243"/>
      <c r="AI929" s="243"/>
      <c r="AJ929" s="243"/>
      <c r="AK929" s="243"/>
      <c r="AL929" s="243"/>
      <c r="AM929" s="243"/>
      <c r="AN929" s="243"/>
      <c r="AO929" s="243"/>
      <c r="AP929" s="243"/>
      <c r="AQ929" s="243"/>
      <c r="AR929" s="243"/>
      <c r="AS929" s="243"/>
      <c r="AT929" s="243"/>
      <c r="AU929" s="243"/>
      <c r="AV929" s="243"/>
      <c r="AW929" s="243"/>
      <c r="AX929" s="243"/>
      <c r="AY929" s="243"/>
      <c r="AZ929" s="243"/>
      <c r="BA929" s="243"/>
      <c r="BB929" s="243"/>
      <c r="BC929" s="243"/>
      <c r="BD929" s="243"/>
      <c r="BE929" s="243"/>
      <c r="BF929" s="243"/>
      <c r="BG929" s="243"/>
      <c r="BH929" s="243"/>
      <c r="BI929" s="243"/>
      <c r="BJ929" s="243"/>
      <c r="BK929" s="243"/>
      <c r="BL929" s="243"/>
      <c r="BM929" s="243"/>
      <c r="BN929" s="243"/>
      <c r="BO929" s="243"/>
      <c r="BP929" s="243"/>
      <c r="BQ929" s="243"/>
      <c r="BR929" s="243"/>
      <c r="BS929" s="243"/>
    </row>
    <row r="930" spans="1:71" s="12" customFormat="1" ht="41.25" customHeight="1">
      <c r="A930" s="178" t="s">
        <v>80</v>
      </c>
      <c r="B930" s="178" t="str">
        <f ca="1">+UPPER(Tabla1321124[[#This Row],[DESCRIPCIÓN DE LA COMPRA O CONTRATACIÓN]])</f>
        <v>VALVULA DE AIRE  Ø6", INCLUYE DOS NIPLES ROSCADOS DE 1´ Y LLAVE DE PASO DE DOBLE ACCION</v>
      </c>
      <c r="C930" s="39" t="s">
        <v>17</v>
      </c>
      <c r="D930" s="370">
        <v>2</v>
      </c>
      <c r="E930" s="370"/>
      <c r="F930" s="370">
        <v>2</v>
      </c>
      <c r="G930" s="370"/>
      <c r="H930" s="240">
        <f>SUM(Tabla1321124[[#This Row],[PRIMER TRIMESTRE]:[CUARTO TRIMESTRE]])</f>
        <v>4</v>
      </c>
      <c r="I930" s="17">
        <v>31600</v>
      </c>
      <c r="J930" s="17">
        <f>+Tabla1321124[[#This Row],[CANTIDAD TOTAL]]*Tabla1321124[[#This Row],[PRECIO UNITARIO ESTIMADO]]</f>
        <v>126400</v>
      </c>
      <c r="K930" s="175"/>
      <c r="L930" s="16" t="s">
        <v>18</v>
      </c>
      <c r="M930" s="16" t="s">
        <v>22</v>
      </c>
      <c r="N930" s="16"/>
      <c r="O930" s="243"/>
      <c r="P930" s="243"/>
      <c r="Q930" s="243"/>
      <c r="R930" s="243"/>
      <c r="S930" s="243"/>
      <c r="T930" s="243"/>
      <c r="U930" s="243"/>
      <c r="V930" s="243"/>
      <c r="W930" s="243"/>
      <c r="X930" s="243"/>
      <c r="Y930" s="243"/>
      <c r="Z930" s="243"/>
      <c r="AA930" s="243"/>
      <c r="AB930" s="243"/>
      <c r="AC930" s="243"/>
      <c r="AD930" s="243"/>
      <c r="AE930" s="243"/>
      <c r="AF930" s="243"/>
      <c r="AG930" s="243"/>
      <c r="AH930" s="243"/>
      <c r="AI930" s="243"/>
      <c r="AJ930" s="243"/>
      <c r="AK930" s="243"/>
      <c r="AL930" s="243"/>
      <c r="AM930" s="243"/>
      <c r="AN930" s="243"/>
      <c r="AO930" s="243"/>
      <c r="AP930" s="243"/>
      <c r="AQ930" s="243"/>
      <c r="AR930" s="243"/>
      <c r="AS930" s="243"/>
      <c r="AT930" s="243"/>
      <c r="AU930" s="243"/>
      <c r="AV930" s="243"/>
      <c r="AW930" s="243"/>
      <c r="AX930" s="243"/>
      <c r="AY930" s="243"/>
      <c r="AZ930" s="243"/>
      <c r="BA930" s="243"/>
      <c r="BB930" s="243"/>
      <c r="BC930" s="243"/>
      <c r="BD930" s="243"/>
      <c r="BE930" s="243"/>
      <c r="BF930" s="243"/>
      <c r="BG930" s="243"/>
      <c r="BH930" s="243"/>
      <c r="BI930" s="243"/>
      <c r="BJ930" s="243"/>
      <c r="BK930" s="243"/>
      <c r="BL930" s="243"/>
      <c r="BM930" s="243"/>
      <c r="BN930" s="243"/>
      <c r="BO930" s="243"/>
      <c r="BP930" s="243"/>
      <c r="BQ930" s="243"/>
      <c r="BR930" s="243"/>
      <c r="BS930" s="243"/>
    </row>
    <row r="931" spans="1:71" s="12" customFormat="1" ht="41.25" customHeight="1">
      <c r="A931" s="178" t="s">
        <v>80</v>
      </c>
      <c r="B931" s="178" t="str">
        <f ca="1">+UPPER(Tabla1321124[[#This Row],[DESCRIPCIÓN DE LA COMPRA O CONTRATACIÓN]])</f>
        <v>VALVULA DE BOLA DE Ø1/2"</v>
      </c>
      <c r="C931" s="39" t="s">
        <v>17</v>
      </c>
      <c r="D931" s="352">
        <f t="shared" ref="D931:G932" si="12">50+30</f>
        <v>80</v>
      </c>
      <c r="E931" s="352">
        <f t="shared" si="12"/>
        <v>80</v>
      </c>
      <c r="F931" s="352">
        <f t="shared" si="12"/>
        <v>80</v>
      </c>
      <c r="G931" s="352">
        <f t="shared" si="12"/>
        <v>80</v>
      </c>
      <c r="H931" s="240">
        <f>SUM(Tabla1321124[[#This Row],[PRIMER TRIMESTRE]:[CUARTO TRIMESTRE]])</f>
        <v>320</v>
      </c>
      <c r="I931" s="17">
        <v>236</v>
      </c>
      <c r="J931" s="17">
        <f>+Tabla1321124[[#This Row],[CANTIDAD TOTAL]]*Tabla1321124[[#This Row],[PRECIO UNITARIO ESTIMADO]]</f>
        <v>75520</v>
      </c>
      <c r="K931" s="17"/>
      <c r="L931" s="16" t="s">
        <v>18</v>
      </c>
      <c r="M931" s="16" t="s">
        <v>22</v>
      </c>
      <c r="N931" s="16"/>
      <c r="O931" s="243"/>
      <c r="P931" s="243"/>
      <c r="Q931" s="243"/>
      <c r="R931" s="243"/>
      <c r="S931" s="243"/>
      <c r="T931" s="243"/>
      <c r="U931" s="243"/>
      <c r="V931" s="243"/>
      <c r="W931" s="243"/>
      <c r="X931" s="243"/>
      <c r="Y931" s="243"/>
      <c r="Z931" s="243"/>
      <c r="AA931" s="243"/>
      <c r="AB931" s="243"/>
      <c r="AC931" s="243"/>
      <c r="AD931" s="243"/>
      <c r="AE931" s="243"/>
      <c r="AF931" s="243"/>
      <c r="AG931" s="243"/>
      <c r="AH931" s="243"/>
      <c r="AI931" s="243"/>
      <c r="AJ931" s="243"/>
      <c r="AK931" s="243"/>
      <c r="AL931" s="243"/>
      <c r="AM931" s="243"/>
      <c r="AN931" s="243"/>
      <c r="AO931" s="243"/>
      <c r="AP931" s="243"/>
      <c r="AQ931" s="243"/>
      <c r="AR931" s="243"/>
      <c r="AS931" s="243"/>
      <c r="AT931" s="243"/>
      <c r="AU931" s="243"/>
      <c r="AV931" s="243"/>
      <c r="AW931" s="243"/>
      <c r="AX931" s="243"/>
      <c r="AY931" s="243"/>
      <c r="AZ931" s="243"/>
      <c r="BA931" s="243"/>
      <c r="BB931" s="243"/>
      <c r="BC931" s="243"/>
      <c r="BD931" s="243"/>
      <c r="BE931" s="243"/>
      <c r="BF931" s="243"/>
      <c r="BG931" s="243"/>
      <c r="BH931" s="243"/>
      <c r="BI931" s="243"/>
      <c r="BJ931" s="243"/>
      <c r="BK931" s="243"/>
      <c r="BL931" s="243"/>
      <c r="BM931" s="243"/>
      <c r="BN931" s="243"/>
      <c r="BO931" s="243"/>
      <c r="BP931" s="243"/>
      <c r="BQ931" s="243"/>
      <c r="BR931" s="243"/>
      <c r="BS931" s="243"/>
    </row>
    <row r="932" spans="1:71" s="12" customFormat="1" ht="41.25" customHeight="1">
      <c r="A932" s="178" t="s">
        <v>80</v>
      </c>
      <c r="B932" s="178" t="str">
        <f ca="1">+UPPER(Tabla1321124[[#This Row],[DESCRIPCIÓN DE LA COMPRA O CONTRATACIÓN]])</f>
        <v>VALVULA DE BOLA DE Ø3/4"</v>
      </c>
      <c r="C932" s="39" t="s">
        <v>17</v>
      </c>
      <c r="D932" s="352">
        <f t="shared" si="12"/>
        <v>80</v>
      </c>
      <c r="E932" s="352">
        <f t="shared" si="12"/>
        <v>80</v>
      </c>
      <c r="F932" s="352">
        <f t="shared" si="12"/>
        <v>80</v>
      </c>
      <c r="G932" s="352">
        <f t="shared" si="12"/>
        <v>80</v>
      </c>
      <c r="H932" s="240">
        <f>SUM(Tabla1321124[[#This Row],[PRIMER TRIMESTRE]:[CUARTO TRIMESTRE]])</f>
        <v>320</v>
      </c>
      <c r="I932" s="17">
        <v>344.56</v>
      </c>
      <c r="J932" s="17">
        <f>+Tabla1321124[[#This Row],[CANTIDAD TOTAL]]*Tabla1321124[[#This Row],[PRECIO UNITARIO ESTIMADO]]</f>
        <v>110259.2</v>
      </c>
      <c r="K932" s="17"/>
      <c r="L932" s="16" t="s">
        <v>18</v>
      </c>
      <c r="M932" s="16" t="s">
        <v>22</v>
      </c>
      <c r="N932" s="16"/>
      <c r="O932" s="243"/>
      <c r="P932" s="243"/>
      <c r="Q932" s="243"/>
      <c r="R932" s="243"/>
      <c r="S932" s="243"/>
      <c r="T932" s="243"/>
      <c r="U932" s="243"/>
      <c r="V932" s="243"/>
      <c r="W932" s="243"/>
      <c r="X932" s="243"/>
      <c r="Y932" s="243"/>
      <c r="Z932" s="243"/>
      <c r="AA932" s="243"/>
      <c r="AB932" s="243"/>
      <c r="AC932" s="243"/>
      <c r="AD932" s="243"/>
      <c r="AE932" s="243"/>
      <c r="AF932" s="243"/>
      <c r="AG932" s="243"/>
      <c r="AH932" s="243"/>
      <c r="AI932" s="243"/>
      <c r="AJ932" s="243"/>
      <c r="AK932" s="243"/>
      <c r="AL932" s="243"/>
      <c r="AM932" s="243"/>
      <c r="AN932" s="243"/>
      <c r="AO932" s="243"/>
      <c r="AP932" s="243"/>
      <c r="AQ932" s="243"/>
      <c r="AR932" s="243"/>
      <c r="AS932" s="243"/>
      <c r="AT932" s="243"/>
      <c r="AU932" s="243"/>
      <c r="AV932" s="243"/>
      <c r="AW932" s="243"/>
      <c r="AX932" s="243"/>
      <c r="AY932" s="243"/>
      <c r="AZ932" s="243"/>
      <c r="BA932" s="243"/>
      <c r="BB932" s="243"/>
      <c r="BC932" s="243"/>
      <c r="BD932" s="243"/>
      <c r="BE932" s="243"/>
      <c r="BF932" s="243"/>
      <c r="BG932" s="243"/>
      <c r="BH932" s="243"/>
      <c r="BI932" s="243"/>
      <c r="BJ932" s="243"/>
      <c r="BK932" s="243"/>
      <c r="BL932" s="243"/>
      <c r="BM932" s="243"/>
      <c r="BN932" s="243"/>
      <c r="BO932" s="243"/>
      <c r="BP932" s="243"/>
      <c r="BQ932" s="243"/>
      <c r="BR932" s="243"/>
      <c r="BS932" s="243"/>
    </row>
    <row r="933" spans="1:71" s="12" customFormat="1" ht="41.25" customHeight="1">
      <c r="A933" s="178" t="s">
        <v>80</v>
      </c>
      <c r="B933" s="178" t="str">
        <f ca="1">+UPPER(Tabla1321124[[#This Row],[DESCRIPCIÓN DE LA COMPRA O CONTRATACIÓN]])</f>
        <v>VALVULA DE BOLA DE Ø1"</v>
      </c>
      <c r="C933" s="39" t="s">
        <v>17</v>
      </c>
      <c r="D933" s="352">
        <f>50+17</f>
        <v>67</v>
      </c>
      <c r="E933" s="352">
        <f>50+14</f>
        <v>64</v>
      </c>
      <c r="F933" s="352">
        <f>50+17</f>
        <v>67</v>
      </c>
      <c r="G933" s="352">
        <f>50+17</f>
        <v>67</v>
      </c>
      <c r="H933" s="240">
        <f>SUM(Tabla1321124[[#This Row],[PRIMER TRIMESTRE]:[CUARTO TRIMESTRE]])</f>
        <v>265</v>
      </c>
      <c r="I933" s="17">
        <v>499.14</v>
      </c>
      <c r="J933" s="17">
        <f>+Tabla1321124[[#This Row],[CANTIDAD TOTAL]]*Tabla1321124[[#This Row],[PRECIO UNITARIO ESTIMADO]]</f>
        <v>132272.1</v>
      </c>
      <c r="K933" s="17"/>
      <c r="L933" s="16" t="s">
        <v>18</v>
      </c>
      <c r="M933" s="16" t="s">
        <v>22</v>
      </c>
      <c r="N933" s="16"/>
      <c r="O933" s="243"/>
      <c r="P933" s="243"/>
      <c r="Q933" s="243"/>
      <c r="R933" s="243"/>
      <c r="S933" s="243"/>
      <c r="T933" s="243"/>
      <c r="U933" s="243"/>
      <c r="V933" s="243"/>
      <c r="W933" s="243"/>
      <c r="X933" s="243"/>
      <c r="Y933" s="243"/>
      <c r="Z933" s="243"/>
      <c r="AA933" s="243"/>
      <c r="AB933" s="243"/>
      <c r="AC933" s="243"/>
      <c r="AD933" s="243"/>
      <c r="AE933" s="243"/>
      <c r="AF933" s="243"/>
      <c r="AG933" s="243"/>
      <c r="AH933" s="243"/>
      <c r="AI933" s="243"/>
      <c r="AJ933" s="243"/>
      <c r="AK933" s="243"/>
      <c r="AL933" s="243"/>
      <c r="AM933" s="243"/>
      <c r="AN933" s="243"/>
      <c r="AO933" s="243"/>
      <c r="AP933" s="243"/>
      <c r="AQ933" s="243"/>
      <c r="AR933" s="243"/>
      <c r="AS933" s="243"/>
      <c r="AT933" s="243"/>
      <c r="AU933" s="243"/>
      <c r="AV933" s="243"/>
      <c r="AW933" s="243"/>
      <c r="AX933" s="243"/>
      <c r="AY933" s="243"/>
      <c r="AZ933" s="243"/>
      <c r="BA933" s="243"/>
      <c r="BB933" s="243"/>
      <c r="BC933" s="243"/>
      <c r="BD933" s="243"/>
      <c r="BE933" s="243"/>
      <c r="BF933" s="243"/>
      <c r="BG933" s="243"/>
      <c r="BH933" s="243"/>
      <c r="BI933" s="243"/>
      <c r="BJ933" s="243"/>
      <c r="BK933" s="243"/>
      <c r="BL933" s="243"/>
      <c r="BM933" s="243"/>
      <c r="BN933" s="243"/>
      <c r="BO933" s="243"/>
      <c r="BP933" s="243"/>
      <c r="BQ933" s="243"/>
      <c r="BR933" s="243"/>
      <c r="BS933" s="243"/>
    </row>
    <row r="934" spans="1:71" s="12" customFormat="1" ht="41.25" customHeight="1">
      <c r="A934" s="178" t="s">
        <v>80</v>
      </c>
      <c r="B934" s="178" t="str">
        <f ca="1">+UPPER(Tabla1321124[[#This Row],[DESCRIPCIÓN DE LA COMPRA O CONTRATACIÓN]])</f>
        <v>VALVULA DE BOLA DE Ø1  1/2"</v>
      </c>
      <c r="C934" s="39" t="s">
        <v>17</v>
      </c>
      <c r="D934" s="352">
        <f>50+11</f>
        <v>61</v>
      </c>
      <c r="E934" s="352">
        <f>50+11</f>
        <v>61</v>
      </c>
      <c r="F934" s="352">
        <f>50+11</f>
        <v>61</v>
      </c>
      <c r="G934" s="352">
        <f>50+11</f>
        <v>61</v>
      </c>
      <c r="H934" s="240">
        <f>SUM(Tabla1321124[[#This Row],[PRIMER TRIMESTRE]:[CUARTO TRIMESTRE]])</f>
        <v>244</v>
      </c>
      <c r="I934" s="17">
        <v>1598.9</v>
      </c>
      <c r="J934" s="17">
        <f>+Tabla1321124[[#This Row],[CANTIDAD TOTAL]]*Tabla1321124[[#This Row],[PRECIO UNITARIO ESTIMADO]]</f>
        <v>390131.60000000003</v>
      </c>
      <c r="K934" s="17"/>
      <c r="L934" s="16" t="s">
        <v>18</v>
      </c>
      <c r="M934" s="16" t="s">
        <v>22</v>
      </c>
      <c r="N934" s="16"/>
      <c r="O934" s="243"/>
      <c r="P934" s="243"/>
      <c r="Q934" s="243"/>
      <c r="R934" s="243"/>
      <c r="S934" s="243"/>
      <c r="T934" s="243"/>
      <c r="U934" s="243"/>
      <c r="V934" s="243"/>
      <c r="W934" s="243"/>
      <c r="X934" s="243"/>
      <c r="Y934" s="243"/>
      <c r="Z934" s="243"/>
      <c r="AA934" s="243"/>
      <c r="AB934" s="243"/>
      <c r="AC934" s="243"/>
      <c r="AD934" s="243"/>
      <c r="AE934" s="243"/>
      <c r="AF934" s="243"/>
      <c r="AG934" s="243"/>
      <c r="AH934" s="243"/>
      <c r="AI934" s="243"/>
      <c r="AJ934" s="243"/>
      <c r="AK934" s="243"/>
      <c r="AL934" s="243"/>
      <c r="AM934" s="243"/>
      <c r="AN934" s="243"/>
      <c r="AO934" s="243"/>
      <c r="AP934" s="243"/>
      <c r="AQ934" s="243"/>
      <c r="AR934" s="243"/>
      <c r="AS934" s="243"/>
      <c r="AT934" s="243"/>
      <c r="AU934" s="243"/>
      <c r="AV934" s="243"/>
      <c r="AW934" s="243"/>
      <c r="AX934" s="243"/>
      <c r="AY934" s="243"/>
      <c r="AZ934" s="243"/>
      <c r="BA934" s="243"/>
      <c r="BB934" s="243"/>
      <c r="BC934" s="243"/>
      <c r="BD934" s="243"/>
      <c r="BE934" s="243"/>
      <c r="BF934" s="243"/>
      <c r="BG934" s="243"/>
      <c r="BH934" s="243"/>
      <c r="BI934" s="243"/>
      <c r="BJ934" s="243"/>
      <c r="BK934" s="243"/>
      <c r="BL934" s="243"/>
      <c r="BM934" s="243"/>
      <c r="BN934" s="243"/>
      <c r="BO934" s="243"/>
      <c r="BP934" s="243"/>
      <c r="BQ934" s="243"/>
      <c r="BR934" s="243"/>
      <c r="BS934" s="243"/>
    </row>
    <row r="935" spans="1:71" s="12" customFormat="1" ht="41.25" customHeight="1">
      <c r="A935" s="178" t="s">
        <v>80</v>
      </c>
      <c r="B935" s="178" t="str">
        <f ca="1">+UPPER(Tabla1321124[[#This Row],[DESCRIPCIÓN DE LA COMPRA O CONTRATACIÓN]])</f>
        <v>VALVULA DE BOLA DE Ø2"</v>
      </c>
      <c r="C935" s="39" t="s">
        <v>17</v>
      </c>
      <c r="D935" s="352">
        <f>50+20</f>
        <v>70</v>
      </c>
      <c r="E935" s="352">
        <f t="shared" ref="E935:G937" si="13">50+10</f>
        <v>60</v>
      </c>
      <c r="F935" s="352">
        <f t="shared" si="13"/>
        <v>60</v>
      </c>
      <c r="G935" s="352">
        <f t="shared" si="13"/>
        <v>60</v>
      </c>
      <c r="H935" s="240">
        <f>SUM(Tabla1321124[[#This Row],[PRIMER TRIMESTRE]:[CUARTO TRIMESTRE]])</f>
        <v>250</v>
      </c>
      <c r="I935" s="17">
        <v>1849.06</v>
      </c>
      <c r="J935" s="17">
        <f>+Tabla1321124[[#This Row],[CANTIDAD TOTAL]]*Tabla1321124[[#This Row],[PRECIO UNITARIO ESTIMADO]]</f>
        <v>462265</v>
      </c>
      <c r="K935" s="17"/>
      <c r="L935" s="16" t="s">
        <v>18</v>
      </c>
      <c r="M935" s="16" t="s">
        <v>22</v>
      </c>
      <c r="N935" s="16"/>
      <c r="O935" s="243"/>
      <c r="P935" s="243"/>
      <c r="Q935" s="243"/>
      <c r="R935" s="243"/>
      <c r="S935" s="243"/>
      <c r="T935" s="243"/>
      <c r="U935" s="243"/>
      <c r="V935" s="243"/>
      <c r="W935" s="243"/>
      <c r="X935" s="243"/>
      <c r="Y935" s="243"/>
      <c r="Z935" s="243"/>
      <c r="AA935" s="243"/>
      <c r="AB935" s="243"/>
      <c r="AC935" s="243"/>
      <c r="AD935" s="243"/>
      <c r="AE935" s="243"/>
      <c r="AF935" s="243"/>
      <c r="AG935" s="243"/>
      <c r="AH935" s="243"/>
      <c r="AI935" s="243"/>
      <c r="AJ935" s="243"/>
      <c r="AK935" s="243"/>
      <c r="AL935" s="243"/>
      <c r="AM935" s="243"/>
      <c r="AN935" s="243"/>
      <c r="AO935" s="243"/>
      <c r="AP935" s="243"/>
      <c r="AQ935" s="243"/>
      <c r="AR935" s="243"/>
      <c r="AS935" s="243"/>
      <c r="AT935" s="243"/>
      <c r="AU935" s="243"/>
      <c r="AV935" s="243"/>
      <c r="AW935" s="243"/>
      <c r="AX935" s="243"/>
      <c r="AY935" s="243"/>
      <c r="AZ935" s="243"/>
      <c r="BA935" s="243"/>
      <c r="BB935" s="243"/>
      <c r="BC935" s="243"/>
      <c r="BD935" s="243"/>
      <c r="BE935" s="243"/>
      <c r="BF935" s="243"/>
      <c r="BG935" s="243"/>
      <c r="BH935" s="243"/>
      <c r="BI935" s="243"/>
      <c r="BJ935" s="243"/>
      <c r="BK935" s="243"/>
      <c r="BL935" s="243"/>
      <c r="BM935" s="243"/>
      <c r="BN935" s="243"/>
      <c r="BO935" s="243"/>
      <c r="BP935" s="243"/>
      <c r="BQ935" s="243"/>
      <c r="BR935" s="243"/>
      <c r="BS935" s="243"/>
    </row>
    <row r="936" spans="1:71" s="12" customFormat="1" ht="41.25" customHeight="1">
      <c r="A936" s="178" t="s">
        <v>80</v>
      </c>
      <c r="B936" s="178" t="str">
        <f ca="1">+UPPER(Tabla1321124[[#This Row],[DESCRIPCIÓN DE LA COMPRA O CONTRATACIÓN]])</f>
        <v>VALVULA DE BOLA DE Ø3"</v>
      </c>
      <c r="C936" s="39" t="s">
        <v>17</v>
      </c>
      <c r="D936" s="352">
        <f>50+10</f>
        <v>60</v>
      </c>
      <c r="E936" s="352">
        <f t="shared" si="13"/>
        <v>60</v>
      </c>
      <c r="F936" s="352">
        <f t="shared" si="13"/>
        <v>60</v>
      </c>
      <c r="G936" s="352">
        <f t="shared" si="13"/>
        <v>60</v>
      </c>
      <c r="H936" s="240">
        <f>SUM(Tabla1321124[[#This Row],[PRIMER TRIMESTRE]:[CUARTO TRIMESTRE]])</f>
        <v>240</v>
      </c>
      <c r="I936" s="17">
        <v>5444</v>
      </c>
      <c r="J936" s="17">
        <f>+Tabla1321124[[#This Row],[CANTIDAD TOTAL]]*Tabla1321124[[#This Row],[PRECIO UNITARIO ESTIMADO]]</f>
        <v>1306560</v>
      </c>
      <c r="K936" s="17"/>
      <c r="L936" s="16" t="s">
        <v>18</v>
      </c>
      <c r="M936" s="16" t="s">
        <v>22</v>
      </c>
      <c r="N936" s="16"/>
      <c r="O936" s="243"/>
      <c r="P936" s="243"/>
      <c r="Q936" s="243"/>
      <c r="R936" s="243"/>
      <c r="S936" s="243"/>
      <c r="T936" s="243"/>
      <c r="U936" s="243"/>
      <c r="V936" s="243"/>
      <c r="W936" s="243"/>
      <c r="X936" s="243"/>
      <c r="Y936" s="243"/>
      <c r="Z936" s="243"/>
      <c r="AA936" s="243"/>
      <c r="AB936" s="243"/>
      <c r="AC936" s="243"/>
      <c r="AD936" s="243"/>
      <c r="AE936" s="243"/>
      <c r="AF936" s="243"/>
      <c r="AG936" s="243"/>
      <c r="AH936" s="243"/>
      <c r="AI936" s="243"/>
      <c r="AJ936" s="243"/>
      <c r="AK936" s="243"/>
      <c r="AL936" s="243"/>
      <c r="AM936" s="243"/>
      <c r="AN936" s="243"/>
      <c r="AO936" s="243"/>
      <c r="AP936" s="243"/>
      <c r="AQ936" s="243"/>
      <c r="AR936" s="243"/>
      <c r="AS936" s="243"/>
      <c r="AT936" s="243"/>
      <c r="AU936" s="243"/>
      <c r="AV936" s="243"/>
      <c r="AW936" s="243"/>
      <c r="AX936" s="243"/>
      <c r="AY936" s="243"/>
      <c r="AZ936" s="243"/>
      <c r="BA936" s="243"/>
      <c r="BB936" s="243"/>
      <c r="BC936" s="243"/>
      <c r="BD936" s="243"/>
      <c r="BE936" s="243"/>
      <c r="BF936" s="243"/>
      <c r="BG936" s="243"/>
      <c r="BH936" s="243"/>
      <c r="BI936" s="243"/>
      <c r="BJ936" s="243"/>
      <c r="BK936" s="243"/>
      <c r="BL936" s="243"/>
      <c r="BM936" s="243"/>
      <c r="BN936" s="243"/>
      <c r="BO936" s="243"/>
      <c r="BP936" s="243"/>
      <c r="BQ936" s="243"/>
      <c r="BR936" s="243"/>
      <c r="BS936" s="243"/>
    </row>
    <row r="937" spans="1:71" s="12" customFormat="1" ht="41.25" customHeight="1">
      <c r="A937" s="178" t="s">
        <v>80</v>
      </c>
      <c r="B937" s="178" t="str">
        <f ca="1">+UPPER(Tabla1321124[[#This Row],[DESCRIPCIÓN DE LA COMPRA O CONTRATACIÓN]])</f>
        <v>VALVULA DE BOLA DE Ø4"</v>
      </c>
      <c r="C937" s="39" t="s">
        <v>17</v>
      </c>
      <c r="D937" s="352">
        <f>50+10</f>
        <v>60</v>
      </c>
      <c r="E937" s="352">
        <f t="shared" si="13"/>
        <v>60</v>
      </c>
      <c r="F937" s="352">
        <f t="shared" si="13"/>
        <v>60</v>
      </c>
      <c r="G937" s="352">
        <f t="shared" si="13"/>
        <v>60</v>
      </c>
      <c r="H937" s="240">
        <f>SUM(Tabla1321124[[#This Row],[PRIMER TRIMESTRE]:[CUARTO TRIMESTRE]])</f>
        <v>240</v>
      </c>
      <c r="I937" s="17">
        <v>6844</v>
      </c>
      <c r="J937" s="17">
        <f>+Tabla1321124[[#This Row],[CANTIDAD TOTAL]]*Tabla1321124[[#This Row],[PRECIO UNITARIO ESTIMADO]]</f>
        <v>1642560</v>
      </c>
      <c r="K937" s="387">
        <f>SUM(J274:J937)</f>
        <v>399967503.18215001</v>
      </c>
      <c r="L937" s="16" t="s">
        <v>18</v>
      </c>
      <c r="M937" s="16" t="s">
        <v>22</v>
      </c>
      <c r="N937" s="16"/>
      <c r="O937" s="243"/>
      <c r="P937" s="243"/>
      <c r="Q937" s="243"/>
      <c r="R937" s="243"/>
      <c r="S937" s="243"/>
      <c r="T937" s="243"/>
      <c r="U937" s="243"/>
      <c r="V937" s="243"/>
      <c r="W937" s="243"/>
      <c r="X937" s="243"/>
      <c r="Y937" s="243"/>
      <c r="Z937" s="243"/>
      <c r="AA937" s="243"/>
      <c r="AB937" s="243"/>
      <c r="AC937" s="243"/>
      <c r="AD937" s="243"/>
      <c r="AE937" s="243"/>
      <c r="AF937" s="243"/>
      <c r="AG937" s="243"/>
      <c r="AH937" s="243"/>
      <c r="AI937" s="243"/>
      <c r="AJ937" s="243"/>
      <c r="AK937" s="243"/>
      <c r="AL937" s="243"/>
      <c r="AM937" s="243"/>
      <c r="AN937" s="243"/>
      <c r="AO937" s="243"/>
      <c r="AP937" s="243"/>
      <c r="AQ937" s="243"/>
      <c r="AR937" s="243"/>
      <c r="AS937" s="243"/>
      <c r="AT937" s="243"/>
      <c r="AU937" s="243"/>
      <c r="AV937" s="243"/>
      <c r="AW937" s="243"/>
      <c r="AX937" s="243"/>
      <c r="AY937" s="243"/>
      <c r="AZ937" s="243"/>
      <c r="BA937" s="243"/>
      <c r="BB937" s="243"/>
      <c r="BC937" s="243"/>
      <c r="BD937" s="243"/>
      <c r="BE937" s="243"/>
      <c r="BF937" s="243"/>
      <c r="BG937" s="243"/>
      <c r="BH937" s="243"/>
      <c r="BI937" s="243"/>
      <c r="BJ937" s="243"/>
      <c r="BK937" s="243"/>
      <c r="BL937" s="243"/>
      <c r="BM937" s="243"/>
      <c r="BN937" s="243"/>
      <c r="BO937" s="243"/>
      <c r="BP937" s="243"/>
      <c r="BQ937" s="243"/>
      <c r="BR937" s="243"/>
      <c r="BS937" s="243"/>
    </row>
    <row r="938" spans="1:71" s="12" customFormat="1" ht="41.25" customHeight="1">
      <c r="A938" s="179" t="s">
        <v>80</v>
      </c>
      <c r="B938" s="76" t="str">
        <f ca="1">+UPPER(Tabla1321124[[#This Row],[DESCRIPCIÓN DE LA COMPRA O CONTRATACIÓN]])</f>
        <v/>
      </c>
      <c r="C938" s="237"/>
      <c r="D938" s="237"/>
      <c r="E938" s="237"/>
      <c r="F938" s="237"/>
      <c r="G938" s="237"/>
      <c r="H938" s="237"/>
      <c r="I938" s="237"/>
      <c r="J938" s="383"/>
      <c r="K938" s="25">
        <f>SUM(J274:J937)</f>
        <v>399967503.18215001</v>
      </c>
      <c r="L938" s="383"/>
      <c r="M938" s="383"/>
      <c r="N938" s="383"/>
      <c r="O938" s="243"/>
      <c r="P938" s="243"/>
      <c r="Q938" s="243"/>
      <c r="R938" s="243"/>
      <c r="S938" s="243"/>
      <c r="T938" s="243"/>
      <c r="U938" s="243"/>
      <c r="V938" s="243"/>
      <c r="W938" s="243"/>
      <c r="X938" s="243"/>
      <c r="Y938" s="243"/>
      <c r="Z938" s="243"/>
      <c r="AA938" s="243"/>
      <c r="AB938" s="243"/>
      <c r="AC938" s="243"/>
      <c r="AD938" s="243"/>
      <c r="AE938" s="243"/>
      <c r="AF938" s="243"/>
      <c r="AG938" s="243"/>
      <c r="AH938" s="243"/>
      <c r="AI938" s="243"/>
      <c r="AJ938" s="243"/>
      <c r="AK938" s="243"/>
      <c r="AL938" s="243"/>
      <c r="AM938" s="243"/>
      <c r="AN938" s="243"/>
      <c r="AO938" s="243"/>
      <c r="AP938" s="243"/>
      <c r="AQ938" s="243"/>
      <c r="AR938" s="243"/>
      <c r="AS938" s="243"/>
      <c r="AT938" s="243"/>
      <c r="AU938" s="243"/>
      <c r="AV938" s="243"/>
      <c r="AW938" s="243"/>
      <c r="AX938" s="243"/>
      <c r="AY938" s="243"/>
      <c r="AZ938" s="243"/>
      <c r="BA938" s="243"/>
      <c r="BB938" s="243"/>
      <c r="BC938" s="243"/>
      <c r="BD938" s="243"/>
      <c r="BE938" s="243"/>
      <c r="BF938" s="243"/>
      <c r="BG938" s="243"/>
      <c r="BH938" s="243"/>
      <c r="BI938" s="243"/>
      <c r="BJ938" s="243"/>
      <c r="BK938" s="243"/>
      <c r="BL938" s="243"/>
      <c r="BM938" s="243"/>
      <c r="BN938" s="243"/>
      <c r="BO938" s="243"/>
      <c r="BP938" s="243"/>
      <c r="BQ938" s="243"/>
      <c r="BR938" s="243"/>
      <c r="BS938" s="243"/>
    </row>
    <row r="939" spans="1:71" s="12" customFormat="1" ht="41.25" customHeight="1">
      <c r="A939" s="178" t="s">
        <v>81</v>
      </c>
      <c r="B939" s="75" t="str">
        <f ca="1">+UPPER(Tabla1321124[[#This Row],[DESCRIPCIÓN DE LA COMPRA O CONTRATACIÓN]])</f>
        <v>PINTURA DE MANTENIMIENTO</v>
      </c>
      <c r="C939" s="39" t="s">
        <v>33</v>
      </c>
      <c r="D939" s="236">
        <v>1500</v>
      </c>
      <c r="E939" s="236">
        <v>1500</v>
      </c>
      <c r="F939" s="236">
        <v>1500</v>
      </c>
      <c r="G939" s="236">
        <v>1500</v>
      </c>
      <c r="H939" s="240">
        <f>SUM(Tabla1321124[[#This Row],[PRIMER TRIMESTRE]:[CUARTO TRIMESTRE]])</f>
        <v>6000</v>
      </c>
      <c r="I939" s="17">
        <v>871.93</v>
      </c>
      <c r="J939" s="17">
        <f>+Tabla1321124[[#This Row],[CANTIDAD TOTAL]]*Tabla1321124[[#This Row],[PRECIO UNITARIO ESTIMADO]]</f>
        <v>5231580</v>
      </c>
      <c r="K939" s="17"/>
      <c r="L939" s="16" t="s">
        <v>18</v>
      </c>
      <c r="M939" s="16" t="s">
        <v>22</v>
      </c>
      <c r="N939" s="16" t="s">
        <v>418</v>
      </c>
      <c r="O939" s="243"/>
      <c r="P939" s="243"/>
      <c r="Q939" s="243"/>
      <c r="R939" s="243"/>
      <c r="S939" s="243"/>
      <c r="T939" s="243"/>
      <c r="U939" s="243"/>
      <c r="V939" s="243"/>
      <c r="W939" s="243"/>
      <c r="X939" s="243"/>
      <c r="Y939" s="243"/>
      <c r="Z939" s="243"/>
      <c r="AA939" s="243"/>
      <c r="AB939" s="243"/>
      <c r="AC939" s="243"/>
      <c r="AD939" s="243"/>
      <c r="AE939" s="243"/>
      <c r="AF939" s="243"/>
      <c r="AG939" s="243"/>
      <c r="AH939" s="243"/>
      <c r="AI939" s="243"/>
      <c r="AJ939" s="243"/>
      <c r="AK939" s="243"/>
      <c r="AL939" s="243"/>
      <c r="AM939" s="243"/>
      <c r="AN939" s="243"/>
      <c r="AO939" s="243"/>
      <c r="AP939" s="243"/>
      <c r="AQ939" s="243"/>
      <c r="AR939" s="243"/>
      <c r="AS939" s="243"/>
      <c r="AT939" s="243"/>
      <c r="AU939" s="243"/>
      <c r="AV939" s="243"/>
      <c r="AW939" s="243"/>
      <c r="AX939" s="243"/>
      <c r="AY939" s="243"/>
      <c r="AZ939" s="243"/>
      <c r="BA939" s="243"/>
      <c r="BB939" s="243"/>
      <c r="BC939" s="243"/>
      <c r="BD939" s="243"/>
      <c r="BE939" s="243"/>
      <c r="BF939" s="243"/>
      <c r="BG939" s="243"/>
      <c r="BH939" s="243"/>
      <c r="BI939" s="243"/>
      <c r="BJ939" s="243"/>
      <c r="BK939" s="243"/>
      <c r="BL939" s="243"/>
      <c r="BM939" s="243"/>
      <c r="BN939" s="243"/>
      <c r="BO939" s="243"/>
      <c r="BP939" s="243"/>
      <c r="BQ939" s="243"/>
      <c r="BR939" s="243"/>
      <c r="BS939" s="243"/>
    </row>
    <row r="940" spans="1:71" s="12" customFormat="1" ht="41.25" customHeight="1">
      <c r="A940" s="178" t="s">
        <v>81</v>
      </c>
      <c r="B940" s="75" t="str">
        <f ca="1">+UPPER(Tabla1321124[[#This Row],[DESCRIPCIÓN DE LA COMPRA O CONTRATACIÓN]])</f>
        <v xml:space="preserve">PINTURA ACRILICA AZUL TURQUEZA </v>
      </c>
      <c r="C940" s="39" t="s">
        <v>33</v>
      </c>
      <c r="D940" s="236">
        <v>1500</v>
      </c>
      <c r="E940" s="236">
        <v>1500</v>
      </c>
      <c r="F940" s="236">
        <v>1500</v>
      </c>
      <c r="G940" s="236">
        <v>1500</v>
      </c>
      <c r="H940" s="240">
        <f>SUM(Tabla1321124[[#This Row],[PRIMER TRIMESTRE]:[CUARTO TRIMESTRE]])</f>
        <v>6000</v>
      </c>
      <c r="I940" s="17">
        <v>871.93</v>
      </c>
      <c r="J940" s="17">
        <f>+Tabla1321124[[#This Row],[CANTIDAD TOTAL]]*Tabla1321124[[#This Row],[PRECIO UNITARIO ESTIMADO]]</f>
        <v>5231580</v>
      </c>
      <c r="K940" s="17"/>
      <c r="L940" s="16" t="s">
        <v>18</v>
      </c>
      <c r="M940" s="16" t="s">
        <v>22</v>
      </c>
      <c r="N940" s="16" t="s">
        <v>418</v>
      </c>
      <c r="O940" s="243"/>
      <c r="P940" s="243"/>
      <c r="Q940" s="243"/>
      <c r="R940" s="243"/>
      <c r="S940" s="243"/>
      <c r="T940" s="243"/>
      <c r="U940" s="243"/>
      <c r="V940" s="243"/>
      <c r="W940" s="243"/>
      <c r="X940" s="243"/>
      <c r="Y940" s="243"/>
      <c r="Z940" s="243"/>
      <c r="AA940" s="243"/>
      <c r="AB940" s="243"/>
      <c r="AC940" s="243"/>
      <c r="AD940" s="243"/>
      <c r="AE940" s="243"/>
      <c r="AF940" s="243"/>
      <c r="AG940" s="243"/>
      <c r="AH940" s="243"/>
      <c r="AI940" s="243"/>
      <c r="AJ940" s="243"/>
      <c r="AK940" s="243"/>
      <c r="AL940" s="243"/>
      <c r="AM940" s="243"/>
      <c r="AN940" s="243"/>
      <c r="AO940" s="243"/>
      <c r="AP940" s="243"/>
      <c r="AQ940" s="243"/>
      <c r="AR940" s="243"/>
      <c r="AS940" s="243"/>
      <c r="AT940" s="243"/>
      <c r="AU940" s="243"/>
      <c r="AV940" s="243"/>
      <c r="AW940" s="243"/>
      <c r="AX940" s="243"/>
      <c r="AY940" s="243"/>
      <c r="AZ940" s="243"/>
      <c r="BA940" s="243"/>
      <c r="BB940" s="243"/>
      <c r="BC940" s="243"/>
      <c r="BD940" s="243"/>
      <c r="BE940" s="243"/>
      <c r="BF940" s="243"/>
      <c r="BG940" s="243"/>
      <c r="BH940" s="243"/>
      <c r="BI940" s="243"/>
      <c r="BJ940" s="243"/>
      <c r="BK940" s="243"/>
      <c r="BL940" s="243"/>
      <c r="BM940" s="243"/>
      <c r="BN940" s="243"/>
      <c r="BO940" s="243"/>
      <c r="BP940" s="243"/>
      <c r="BQ940" s="243"/>
      <c r="BR940" s="243"/>
      <c r="BS940" s="243"/>
    </row>
    <row r="941" spans="1:71" s="12" customFormat="1" ht="41.25" customHeight="1">
      <c r="A941" s="178" t="s">
        <v>81</v>
      </c>
      <c r="B941" s="75" t="str">
        <f ca="1">+UPPER(Tabla1321124[[#This Row],[DESCRIPCIÓN DE LA COMPRA O CONTRATACIÓN]])</f>
        <v>PINTURA ACRILICA  AZUL POSITI1VO</v>
      </c>
      <c r="C941" s="39" t="s">
        <v>33</v>
      </c>
      <c r="D941" s="236">
        <v>1000</v>
      </c>
      <c r="E941" s="236">
        <v>1000</v>
      </c>
      <c r="F941" s="236">
        <v>1000</v>
      </c>
      <c r="G941" s="236">
        <v>1000</v>
      </c>
      <c r="H941" s="240">
        <f>SUM(Tabla1321124[[#This Row],[PRIMER TRIMESTRE]:[CUARTO TRIMESTRE]])</f>
        <v>4000</v>
      </c>
      <c r="I941" s="17">
        <v>871.93</v>
      </c>
      <c r="J941" s="17">
        <f>+Tabla1321124[[#This Row],[CANTIDAD TOTAL]]*Tabla1321124[[#This Row],[PRECIO UNITARIO ESTIMADO]]</f>
        <v>3487720</v>
      </c>
      <c r="K941" s="17"/>
      <c r="L941" s="16" t="s">
        <v>18</v>
      </c>
      <c r="M941" s="16" t="s">
        <v>22</v>
      </c>
      <c r="N941" s="16" t="s">
        <v>418</v>
      </c>
      <c r="O941" s="243"/>
      <c r="P941" s="243"/>
      <c r="Q941" s="243"/>
      <c r="R941" s="243"/>
      <c r="S941" s="243"/>
      <c r="T941" s="243"/>
      <c r="U941" s="243"/>
      <c r="V941" s="243"/>
      <c r="W941" s="243"/>
      <c r="X941" s="243"/>
      <c r="Y941" s="243"/>
      <c r="Z941" s="243"/>
      <c r="AA941" s="243"/>
      <c r="AB941" s="243"/>
      <c r="AC941" s="243"/>
      <c r="AD941" s="243"/>
      <c r="AE941" s="243"/>
      <c r="AF941" s="243"/>
      <c r="AG941" s="243"/>
      <c r="AH941" s="243"/>
      <c r="AI941" s="243"/>
      <c r="AJ941" s="243"/>
      <c r="AK941" s="243"/>
      <c r="AL941" s="243"/>
      <c r="AM941" s="243"/>
      <c r="AN941" s="243"/>
      <c r="AO941" s="243"/>
      <c r="AP941" s="243"/>
      <c r="AQ941" s="243"/>
      <c r="AR941" s="243"/>
      <c r="AS941" s="243"/>
      <c r="AT941" s="243"/>
      <c r="AU941" s="243"/>
      <c r="AV941" s="243"/>
      <c r="AW941" s="243"/>
      <c r="AX941" s="243"/>
      <c r="AY941" s="243"/>
      <c r="AZ941" s="243"/>
      <c r="BA941" s="243"/>
      <c r="BB941" s="243"/>
      <c r="BC941" s="243"/>
      <c r="BD941" s="243"/>
      <c r="BE941" s="243"/>
      <c r="BF941" s="243"/>
      <c r="BG941" s="243"/>
      <c r="BH941" s="243"/>
      <c r="BI941" s="243"/>
      <c r="BJ941" s="243"/>
      <c r="BK941" s="243"/>
      <c r="BL941" s="243"/>
      <c r="BM941" s="243"/>
      <c r="BN941" s="243"/>
      <c r="BO941" s="243"/>
      <c r="BP941" s="243"/>
      <c r="BQ941" s="243"/>
      <c r="BR941" s="243"/>
      <c r="BS941" s="243"/>
    </row>
    <row r="942" spans="1:71" s="12" customFormat="1" ht="41.25" customHeight="1">
      <c r="A942" s="178" t="s">
        <v>81</v>
      </c>
      <c r="B942" s="75" t="str">
        <f ca="1">+UPPER(Tabla1321124[[#This Row],[DESCRIPCIÓN DE LA COMPRA O CONTRATACIÓN]])</f>
        <v>OXIDO ROJO</v>
      </c>
      <c r="C942" s="39" t="s">
        <v>33</v>
      </c>
      <c r="D942" s="236">
        <v>450</v>
      </c>
      <c r="E942" s="236">
        <v>450</v>
      </c>
      <c r="F942" s="236">
        <v>450</v>
      </c>
      <c r="G942" s="236">
        <v>450</v>
      </c>
      <c r="H942" s="240">
        <f>SUM(Tabla1321124[[#This Row],[PRIMER TRIMESTRE]:[CUARTO TRIMESTRE]])</f>
        <v>1800</v>
      </c>
      <c r="I942" s="17">
        <v>767</v>
      </c>
      <c r="J942" s="17">
        <f>+Tabla1321124[[#This Row],[CANTIDAD TOTAL]]*Tabla1321124[[#This Row],[PRECIO UNITARIO ESTIMADO]]</f>
        <v>1380600</v>
      </c>
      <c r="K942" s="17"/>
      <c r="L942" s="16" t="s">
        <v>18</v>
      </c>
      <c r="M942" s="16" t="s">
        <v>22</v>
      </c>
      <c r="N942" s="16" t="s">
        <v>418</v>
      </c>
      <c r="O942" s="243"/>
      <c r="P942" s="243"/>
      <c r="Q942" s="243"/>
      <c r="R942" s="243"/>
      <c r="S942" s="243"/>
      <c r="T942" s="243"/>
      <c r="U942" s="243"/>
      <c r="V942" s="243"/>
      <c r="W942" s="243"/>
      <c r="X942" s="243"/>
      <c r="Y942" s="243"/>
      <c r="Z942" s="243"/>
      <c r="AA942" s="243"/>
      <c r="AB942" s="243"/>
      <c r="AC942" s="243"/>
      <c r="AD942" s="243"/>
      <c r="AE942" s="243"/>
      <c r="AF942" s="243"/>
      <c r="AG942" s="243"/>
      <c r="AH942" s="243"/>
      <c r="AI942" s="243"/>
      <c r="AJ942" s="243"/>
      <c r="AK942" s="243"/>
      <c r="AL942" s="243"/>
      <c r="AM942" s="243"/>
      <c r="AN942" s="243"/>
      <c r="AO942" s="243"/>
      <c r="AP942" s="243"/>
      <c r="AQ942" s="243"/>
      <c r="AR942" s="243"/>
      <c r="AS942" s="243"/>
      <c r="AT942" s="243"/>
      <c r="AU942" s="243"/>
      <c r="AV942" s="243"/>
      <c r="AW942" s="243"/>
      <c r="AX942" s="243"/>
      <c r="AY942" s="243"/>
      <c r="AZ942" s="243"/>
      <c r="BA942" s="243"/>
      <c r="BB942" s="243"/>
      <c r="BC942" s="243"/>
      <c r="BD942" s="243"/>
      <c r="BE942" s="243"/>
      <c r="BF942" s="243"/>
      <c r="BG942" s="243"/>
      <c r="BH942" s="243"/>
      <c r="BI942" s="243"/>
      <c r="BJ942" s="243"/>
      <c r="BK942" s="243"/>
      <c r="BL942" s="243"/>
      <c r="BM942" s="243"/>
      <c r="BN942" s="243"/>
      <c r="BO942" s="243"/>
      <c r="BP942" s="243"/>
      <c r="BQ942" s="243"/>
      <c r="BR942" s="243"/>
      <c r="BS942" s="243"/>
    </row>
    <row r="943" spans="1:71" s="26" customFormat="1" ht="41.25" customHeight="1">
      <c r="A943" s="178" t="s">
        <v>81</v>
      </c>
      <c r="B943" s="75" t="s">
        <v>2662</v>
      </c>
      <c r="C943" s="39" t="s">
        <v>33</v>
      </c>
      <c r="D943" s="236">
        <v>1500</v>
      </c>
      <c r="E943" s="236">
        <v>1500</v>
      </c>
      <c r="F943" s="236">
        <v>1500</v>
      </c>
      <c r="G943" s="236">
        <v>1500</v>
      </c>
      <c r="H943" s="240">
        <f>SUM(Tabla1321124[[#This Row],[PRIMER TRIMESTRE]:[CUARTO TRIMESTRE]])</f>
        <v>6000</v>
      </c>
      <c r="I943" s="17">
        <v>871.93</v>
      </c>
      <c r="J943" s="17">
        <f>+Tabla1321124[[#This Row],[CANTIDAD TOTAL]]*Tabla1321124[[#This Row],[PRECIO UNITARIO ESTIMADO]]</f>
        <v>5231580</v>
      </c>
      <c r="K943" s="17"/>
      <c r="L943" s="16" t="s">
        <v>18</v>
      </c>
      <c r="M943" s="16" t="s">
        <v>22</v>
      </c>
      <c r="N943" s="16" t="s">
        <v>418</v>
      </c>
      <c r="O943" s="243"/>
      <c r="P943" s="243"/>
      <c r="Q943" s="243"/>
      <c r="R943" s="243"/>
      <c r="S943" s="243"/>
      <c r="T943" s="243"/>
      <c r="U943" s="243"/>
      <c r="V943" s="243"/>
      <c r="W943" s="243"/>
      <c r="X943" s="243"/>
      <c r="Y943" s="243"/>
      <c r="Z943" s="243"/>
      <c r="AA943" s="243"/>
      <c r="AB943" s="243"/>
      <c r="AC943" s="243"/>
      <c r="AD943" s="243"/>
      <c r="AE943" s="243"/>
      <c r="AF943" s="243"/>
      <c r="AG943" s="243"/>
      <c r="AH943" s="243"/>
      <c r="AI943" s="243"/>
      <c r="AJ943" s="243"/>
      <c r="AK943" s="243"/>
      <c r="AL943" s="243"/>
      <c r="AM943" s="243"/>
      <c r="AN943" s="243"/>
      <c r="AO943" s="243"/>
      <c r="AP943" s="243"/>
      <c r="AQ943" s="243"/>
      <c r="AR943" s="243"/>
      <c r="AS943" s="243"/>
      <c r="AT943" s="243"/>
      <c r="AU943" s="243"/>
      <c r="AV943" s="243"/>
      <c r="AW943" s="243"/>
      <c r="AX943" s="243"/>
      <c r="AY943" s="243"/>
      <c r="AZ943" s="243"/>
      <c r="BA943" s="243"/>
      <c r="BB943" s="243"/>
      <c r="BC943" s="243"/>
      <c r="BD943" s="243"/>
      <c r="BE943" s="243"/>
      <c r="BF943" s="243"/>
      <c r="BG943" s="243"/>
      <c r="BH943" s="243"/>
      <c r="BI943" s="243"/>
      <c r="BJ943" s="243"/>
      <c r="BK943" s="243"/>
      <c r="BL943" s="243"/>
      <c r="BM943" s="243"/>
      <c r="BN943" s="243"/>
      <c r="BO943" s="243"/>
      <c r="BP943" s="243"/>
      <c r="BQ943" s="243"/>
      <c r="BR943" s="243"/>
      <c r="BS943" s="243"/>
    </row>
    <row r="944" spans="1:71" s="12" customFormat="1" ht="41.25" customHeight="1">
      <c r="A944" s="178" t="s">
        <v>81</v>
      </c>
      <c r="B944" s="75" t="str">
        <f ca="1">+UPPER(Tabla1321124[[#This Row],[DESCRIPCIÓN DE LA COMPRA O CONTRATACIÓN]])</f>
        <v>THINNER</v>
      </c>
      <c r="C944" s="39" t="s">
        <v>33</v>
      </c>
      <c r="D944" s="236">
        <v>500</v>
      </c>
      <c r="E944" s="236">
        <v>500</v>
      </c>
      <c r="F944" s="236">
        <v>500</v>
      </c>
      <c r="G944" s="236">
        <v>500</v>
      </c>
      <c r="H944" s="240">
        <f>SUM(Tabla1321124[[#This Row],[PRIMER TRIMESTRE]:[CUARTO TRIMESTRE]])</f>
        <v>2000</v>
      </c>
      <c r="I944" s="17">
        <v>350</v>
      </c>
      <c r="J944" s="17">
        <f>+Tabla1321124[[#This Row],[CANTIDAD TOTAL]]*Tabla1321124[[#This Row],[PRECIO UNITARIO ESTIMADO]]</f>
        <v>700000</v>
      </c>
      <c r="K944" s="17"/>
      <c r="L944" s="16" t="s">
        <v>18</v>
      </c>
      <c r="M944" s="16" t="s">
        <v>22</v>
      </c>
      <c r="N944" s="16" t="s">
        <v>418</v>
      </c>
      <c r="O944" s="243"/>
      <c r="P944" s="243"/>
      <c r="Q944" s="243"/>
      <c r="R944" s="243"/>
      <c r="S944" s="243"/>
      <c r="T944" s="243"/>
      <c r="U944" s="243"/>
      <c r="V944" s="243"/>
      <c r="W944" s="243"/>
      <c r="X944" s="243"/>
      <c r="Y944" s="243"/>
      <c r="Z944" s="243"/>
      <c r="AA944" s="243"/>
      <c r="AB944" s="243"/>
      <c r="AC944" s="243"/>
      <c r="AD944" s="243"/>
      <c r="AE944" s="243"/>
      <c r="AF944" s="243"/>
      <c r="AG944" s="243"/>
      <c r="AH944" s="243"/>
      <c r="AI944" s="243"/>
      <c r="AJ944" s="243"/>
      <c r="AK944" s="243"/>
      <c r="AL944" s="243"/>
      <c r="AM944" s="243"/>
      <c r="AN944" s="243"/>
      <c r="AO944" s="243"/>
      <c r="AP944" s="243"/>
      <c r="AQ944" s="243"/>
      <c r="AR944" s="243"/>
      <c r="AS944" s="243"/>
      <c r="AT944" s="243"/>
      <c r="AU944" s="243"/>
      <c r="AV944" s="243"/>
      <c r="AW944" s="243"/>
      <c r="AX944" s="243"/>
      <c r="AY944" s="243"/>
      <c r="AZ944" s="243"/>
      <c r="BA944" s="243"/>
      <c r="BB944" s="243"/>
      <c r="BC944" s="243"/>
      <c r="BD944" s="243"/>
      <c r="BE944" s="243"/>
      <c r="BF944" s="243"/>
      <c r="BG944" s="243"/>
      <c r="BH944" s="243"/>
      <c r="BI944" s="243"/>
      <c r="BJ944" s="243"/>
      <c r="BK944" s="243"/>
      <c r="BL944" s="243"/>
      <c r="BM944" s="243"/>
      <c r="BN944" s="243"/>
      <c r="BO944" s="243"/>
      <c r="BP944" s="243"/>
      <c r="BQ944" s="243"/>
      <c r="BR944" s="243"/>
      <c r="BS944" s="243"/>
    </row>
    <row r="945" spans="1:71" s="12" customFormat="1" ht="41.25" customHeight="1">
      <c r="A945" s="178" t="s">
        <v>81</v>
      </c>
      <c r="B945" s="75" t="str">
        <f ca="1">+UPPER(Tabla1321124[[#This Row],[DESCRIPCIÓN DE LA COMPRA O CONTRATACIÓN]])</f>
        <v>PINTURA ACRILICA  MARFIL</v>
      </c>
      <c r="C945" s="39" t="s">
        <v>33</v>
      </c>
      <c r="D945" s="236">
        <v>800</v>
      </c>
      <c r="E945" s="236">
        <v>800</v>
      </c>
      <c r="F945" s="236">
        <v>800</v>
      </c>
      <c r="G945" s="236">
        <v>800</v>
      </c>
      <c r="H945" s="240">
        <f>SUM(Tabla1321124[[#This Row],[PRIMER TRIMESTRE]:[CUARTO TRIMESTRE]])</f>
        <v>3200</v>
      </c>
      <c r="I945" s="17">
        <v>863.54</v>
      </c>
      <c r="J945" s="17">
        <f>+Tabla1321124[[#This Row],[CANTIDAD TOTAL]]*Tabla1321124[[#This Row],[PRECIO UNITARIO ESTIMADO]]</f>
        <v>2763328</v>
      </c>
      <c r="K945" s="17"/>
      <c r="L945" s="16" t="s">
        <v>18</v>
      </c>
      <c r="M945" s="16" t="s">
        <v>22</v>
      </c>
      <c r="N945" s="16" t="s">
        <v>418</v>
      </c>
      <c r="O945" s="243"/>
      <c r="P945" s="243"/>
      <c r="Q945" s="243"/>
      <c r="R945" s="243"/>
      <c r="S945" s="243"/>
      <c r="T945" s="243"/>
      <c r="U945" s="243"/>
      <c r="V945" s="243"/>
      <c r="W945" s="243"/>
      <c r="X945" s="243"/>
      <c r="Y945" s="243"/>
      <c r="Z945" s="243"/>
      <c r="AA945" s="243"/>
      <c r="AB945" s="243"/>
      <c r="AC945" s="243"/>
      <c r="AD945" s="243"/>
      <c r="AE945" s="243"/>
      <c r="AF945" s="243"/>
      <c r="AG945" s="243"/>
      <c r="AH945" s="243"/>
      <c r="AI945" s="243"/>
      <c r="AJ945" s="243"/>
      <c r="AK945" s="243"/>
      <c r="AL945" s="243"/>
      <c r="AM945" s="243"/>
      <c r="AN945" s="243"/>
      <c r="AO945" s="243"/>
      <c r="AP945" s="243"/>
      <c r="AQ945" s="243"/>
      <c r="AR945" s="243"/>
      <c r="AS945" s="243"/>
      <c r="AT945" s="243"/>
      <c r="AU945" s="243"/>
      <c r="AV945" s="243"/>
      <c r="AW945" s="243"/>
      <c r="AX945" s="243"/>
      <c r="AY945" s="243"/>
      <c r="AZ945" s="243"/>
      <c r="BA945" s="243"/>
      <c r="BB945" s="243"/>
      <c r="BC945" s="243"/>
      <c r="BD945" s="243"/>
      <c r="BE945" s="243"/>
      <c r="BF945" s="243"/>
      <c r="BG945" s="243"/>
      <c r="BH945" s="243"/>
      <c r="BI945" s="243"/>
      <c r="BJ945" s="243"/>
      <c r="BK945" s="243"/>
      <c r="BL945" s="243"/>
      <c r="BM945" s="243"/>
      <c r="BN945" s="243"/>
      <c r="BO945" s="243"/>
      <c r="BP945" s="243"/>
      <c r="BQ945" s="243"/>
      <c r="BR945" s="243"/>
      <c r="BS945" s="243"/>
    </row>
    <row r="946" spans="1:71" s="12" customFormat="1" ht="41.25" customHeight="1">
      <c r="A946" s="178" t="s">
        <v>81</v>
      </c>
      <c r="B946" s="75" t="str">
        <f ca="1">+UPPER(Tabla1321124[[#This Row],[DESCRIPCIÓN DE LA COMPRA O CONTRATACIÓN]])</f>
        <v>PINTURA COLOR LADRILLO</v>
      </c>
      <c r="C946" s="39" t="s">
        <v>33</v>
      </c>
      <c r="D946" s="236">
        <v>100</v>
      </c>
      <c r="E946" s="236">
        <v>100</v>
      </c>
      <c r="F946" s="236">
        <v>100</v>
      </c>
      <c r="G946" s="236">
        <v>100</v>
      </c>
      <c r="H946" s="240">
        <f>SUM(Tabla1321124[[#This Row],[PRIMER TRIMESTRE]:[CUARTO TRIMESTRE]])</f>
        <v>400</v>
      </c>
      <c r="I946" s="17">
        <v>1165</v>
      </c>
      <c r="J946" s="17">
        <f>+Tabla1321124[[#This Row],[CANTIDAD TOTAL]]*Tabla1321124[[#This Row],[PRECIO UNITARIO ESTIMADO]]</f>
        <v>466000</v>
      </c>
      <c r="K946" s="386">
        <f>SUM(J939:J946)</f>
        <v>24492388</v>
      </c>
      <c r="L946" s="16" t="s">
        <v>18</v>
      </c>
      <c r="M946" s="16" t="s">
        <v>22</v>
      </c>
      <c r="N946" s="16" t="s">
        <v>418</v>
      </c>
      <c r="O946" s="243"/>
      <c r="P946" s="243"/>
      <c r="Q946" s="243"/>
      <c r="R946" s="243"/>
      <c r="S946" s="243"/>
      <c r="T946" s="243"/>
      <c r="U946" s="243"/>
      <c r="V946" s="243"/>
      <c r="W946" s="243"/>
      <c r="X946" s="243"/>
      <c r="Y946" s="243"/>
      <c r="Z946" s="243"/>
      <c r="AA946" s="243"/>
      <c r="AB946" s="243"/>
      <c r="AC946" s="243"/>
      <c r="AD946" s="243"/>
      <c r="AE946" s="243"/>
      <c r="AF946" s="243"/>
      <c r="AG946" s="243"/>
      <c r="AH946" s="243"/>
      <c r="AI946" s="243"/>
      <c r="AJ946" s="243"/>
      <c r="AK946" s="243"/>
      <c r="AL946" s="243"/>
      <c r="AM946" s="243"/>
      <c r="AN946" s="243"/>
      <c r="AO946" s="243"/>
      <c r="AP946" s="243"/>
      <c r="AQ946" s="243"/>
      <c r="AR946" s="243"/>
      <c r="AS946" s="243"/>
      <c r="AT946" s="243"/>
      <c r="AU946" s="243"/>
      <c r="AV946" s="243"/>
      <c r="AW946" s="243"/>
      <c r="AX946" s="243"/>
      <c r="AY946" s="243"/>
      <c r="AZ946" s="243"/>
      <c r="BA946" s="243"/>
      <c r="BB946" s="243"/>
      <c r="BC946" s="243"/>
      <c r="BD946" s="243"/>
      <c r="BE946" s="243"/>
      <c r="BF946" s="243"/>
      <c r="BG946" s="243"/>
      <c r="BH946" s="243"/>
      <c r="BI946" s="243"/>
      <c r="BJ946" s="243"/>
      <c r="BK946" s="243"/>
      <c r="BL946" s="243"/>
      <c r="BM946" s="243"/>
      <c r="BN946" s="243"/>
      <c r="BO946" s="243"/>
      <c r="BP946" s="243"/>
      <c r="BQ946" s="243"/>
      <c r="BR946" s="243"/>
      <c r="BS946" s="243"/>
    </row>
    <row r="947" spans="1:71" s="12" customFormat="1" ht="41.25" customHeight="1">
      <c r="A947" s="538" t="s">
        <v>81</v>
      </c>
      <c r="B947" s="76" t="str">
        <f ca="1">+UPPER(Tabla1321124[[#This Row],[DESCRIPCIÓN DE LA COMPRA O CONTRATACIÓN]])</f>
        <v/>
      </c>
      <c r="C947" s="237"/>
      <c r="D947" s="237"/>
      <c r="E947" s="237"/>
      <c r="F947" s="237"/>
      <c r="G947" s="237"/>
      <c r="H947" s="237"/>
      <c r="I947" s="237"/>
      <c r="J947" s="383"/>
      <c r="K947" s="25">
        <f>SUM(J939:J946)</f>
        <v>24492388</v>
      </c>
      <c r="L947" s="383"/>
      <c r="M947" s="383"/>
      <c r="N947" s="383"/>
      <c r="O947" s="243"/>
      <c r="P947" s="243"/>
      <c r="Q947" s="243"/>
      <c r="R947" s="243"/>
      <c r="S947" s="243"/>
      <c r="T947" s="243"/>
      <c r="U947" s="243"/>
      <c r="V947" s="243"/>
      <c r="W947" s="243"/>
      <c r="X947" s="243"/>
      <c r="Y947" s="243"/>
      <c r="Z947" s="243"/>
      <c r="AA947" s="243"/>
      <c r="AB947" s="243"/>
      <c r="AC947" s="243"/>
      <c r="AD947" s="243"/>
      <c r="AE947" s="243"/>
      <c r="AF947" s="243"/>
      <c r="AG947" s="243"/>
      <c r="AH947" s="243"/>
      <c r="AI947" s="243"/>
      <c r="AJ947" s="243"/>
      <c r="AK947" s="243"/>
      <c r="AL947" s="243"/>
      <c r="AM947" s="243"/>
      <c r="AN947" s="243"/>
      <c r="AO947" s="243"/>
      <c r="AP947" s="243"/>
      <c r="AQ947" s="243"/>
      <c r="AR947" s="243"/>
      <c r="AS947" s="243"/>
      <c r="AT947" s="243"/>
      <c r="AU947" s="243"/>
      <c r="AV947" s="243"/>
      <c r="AW947" s="243"/>
      <c r="AX947" s="243"/>
      <c r="AY947" s="243"/>
      <c r="AZ947" s="243"/>
      <c r="BA947" s="243"/>
      <c r="BB947" s="243"/>
      <c r="BC947" s="243"/>
      <c r="BD947" s="243"/>
      <c r="BE947" s="243"/>
      <c r="BF947" s="243"/>
      <c r="BG947" s="243"/>
      <c r="BH947" s="243"/>
      <c r="BI947" s="243"/>
      <c r="BJ947" s="243"/>
      <c r="BK947" s="243"/>
      <c r="BL947" s="243"/>
      <c r="BM947" s="243"/>
      <c r="BN947" s="243"/>
      <c r="BO947" s="243"/>
      <c r="BP947" s="243"/>
      <c r="BQ947" s="243"/>
      <c r="BR947" s="243"/>
      <c r="BS947" s="243"/>
    </row>
    <row r="948" spans="1:71" s="12" customFormat="1" ht="41.25" customHeight="1">
      <c r="A948" s="178" t="s">
        <v>95</v>
      </c>
      <c r="B948" s="75" t="str">
        <f ca="1">+UPPER(Tabla1321124[[#This Row],[DESCRIPCIÓN DE LA COMPRA O CONTRATACIÓN]])</f>
        <v>LAMPARA TIPO COBRA 120V</v>
      </c>
      <c r="C948" s="39" t="s">
        <v>17</v>
      </c>
      <c r="D948" s="236">
        <v>50</v>
      </c>
      <c r="E948" s="236">
        <v>50</v>
      </c>
      <c r="F948" s="236">
        <v>50</v>
      </c>
      <c r="G948" s="236">
        <v>50</v>
      </c>
      <c r="H948" s="240">
        <f>SUM(Tabla1321124[[#This Row],[PRIMER TRIMESTRE]:[CUARTO TRIMESTRE]])</f>
        <v>200</v>
      </c>
      <c r="I948" s="17">
        <v>3169.99</v>
      </c>
      <c r="J948" s="17">
        <f t="shared" ref="J948:J965" si="14">+H948*I948</f>
        <v>633998</v>
      </c>
      <c r="K948" s="17"/>
      <c r="L948" s="16" t="s">
        <v>18</v>
      </c>
      <c r="M948" s="16" t="s">
        <v>22</v>
      </c>
      <c r="N948" s="16" t="s">
        <v>418</v>
      </c>
      <c r="O948" s="243"/>
      <c r="P948" s="243"/>
      <c r="Q948" s="243"/>
      <c r="R948" s="243"/>
      <c r="S948" s="243"/>
      <c r="T948" s="243"/>
      <c r="U948" s="243"/>
      <c r="V948" s="243"/>
      <c r="W948" s="243"/>
      <c r="X948" s="243"/>
      <c r="Y948" s="243"/>
      <c r="Z948" s="243"/>
      <c r="AA948" s="243"/>
      <c r="AB948" s="243"/>
      <c r="AC948" s="243"/>
      <c r="AD948" s="243"/>
      <c r="AE948" s="243"/>
      <c r="AF948" s="243"/>
      <c r="AG948" s="243"/>
      <c r="AH948" s="243"/>
      <c r="AI948" s="243"/>
      <c r="AJ948" s="243"/>
      <c r="AK948" s="243"/>
      <c r="AL948" s="243"/>
      <c r="AM948" s="243"/>
      <c r="AN948" s="243"/>
      <c r="AO948" s="243"/>
      <c r="AP948" s="243"/>
      <c r="AQ948" s="243"/>
      <c r="AR948" s="243"/>
      <c r="AS948" s="243"/>
      <c r="AT948" s="243"/>
      <c r="AU948" s="243"/>
      <c r="AV948" s="243"/>
      <c r="AW948" s="243"/>
      <c r="AX948" s="243"/>
      <c r="AY948" s="243"/>
      <c r="AZ948" s="243"/>
      <c r="BA948" s="243"/>
      <c r="BB948" s="243"/>
      <c r="BC948" s="243"/>
      <c r="BD948" s="243"/>
      <c r="BE948" s="243"/>
      <c r="BF948" s="243"/>
      <c r="BG948" s="243"/>
      <c r="BH948" s="243"/>
      <c r="BI948" s="243"/>
      <c r="BJ948" s="243"/>
      <c r="BK948" s="243"/>
      <c r="BL948" s="243"/>
      <c r="BM948" s="243"/>
      <c r="BN948" s="243"/>
      <c r="BO948" s="243"/>
      <c r="BP948" s="243"/>
      <c r="BQ948" s="243"/>
      <c r="BR948" s="243"/>
      <c r="BS948" s="243"/>
    </row>
    <row r="949" spans="1:71" s="12" customFormat="1" ht="41.25" customHeight="1">
      <c r="A949" s="178" t="s">
        <v>95</v>
      </c>
      <c r="B949" s="75" t="str">
        <f ca="1">+UPPER(Tabla1321124[[#This Row],[DESCRIPCIÓN DE LA COMPRA O CONTRATACIÓN]])</f>
        <v>LAMPARA TIPO COBRA 175V, 220W</v>
      </c>
      <c r="C949" s="39" t="s">
        <v>17</v>
      </c>
      <c r="D949" s="236">
        <v>50</v>
      </c>
      <c r="E949" s="236">
        <v>50</v>
      </c>
      <c r="F949" s="236">
        <v>50</v>
      </c>
      <c r="G949" s="236">
        <v>50</v>
      </c>
      <c r="H949" s="240">
        <f>SUM(Tabla1321124[[#This Row],[PRIMER TRIMESTRE]:[CUARTO TRIMESTRE]])</f>
        <v>200</v>
      </c>
      <c r="I949" s="17">
        <v>4920</v>
      </c>
      <c r="J949" s="17">
        <f t="shared" si="14"/>
        <v>984000</v>
      </c>
      <c r="K949" s="17"/>
      <c r="L949" s="16" t="s">
        <v>18</v>
      </c>
      <c r="M949" s="16" t="s">
        <v>22</v>
      </c>
      <c r="N949" s="16"/>
      <c r="O949" s="243"/>
      <c r="P949" s="243"/>
      <c r="Q949" s="243"/>
      <c r="R949" s="243"/>
      <c r="S949" s="243"/>
      <c r="T949" s="243"/>
      <c r="U949" s="243"/>
      <c r="V949" s="243"/>
      <c r="W949" s="243"/>
      <c r="X949" s="243"/>
      <c r="Y949" s="243"/>
      <c r="Z949" s="243"/>
      <c r="AA949" s="243"/>
      <c r="AB949" s="243"/>
      <c r="AC949" s="243"/>
      <c r="AD949" s="243"/>
      <c r="AE949" s="243"/>
      <c r="AF949" s="243"/>
      <c r="AG949" s="243"/>
      <c r="AH949" s="243"/>
      <c r="AI949" s="243"/>
      <c r="AJ949" s="243"/>
      <c r="AK949" s="243"/>
      <c r="AL949" s="243"/>
      <c r="AM949" s="243"/>
      <c r="AN949" s="243"/>
      <c r="AO949" s="243"/>
      <c r="AP949" s="243"/>
      <c r="AQ949" s="243"/>
      <c r="AR949" s="243"/>
      <c r="AS949" s="243"/>
      <c r="AT949" s="243"/>
      <c r="AU949" s="243"/>
      <c r="AV949" s="243"/>
      <c r="AW949" s="243"/>
      <c r="AX949" s="243"/>
      <c r="AY949" s="243"/>
      <c r="AZ949" s="243"/>
      <c r="BA949" s="243"/>
      <c r="BB949" s="243"/>
      <c r="BC949" s="243"/>
      <c r="BD949" s="243"/>
      <c r="BE949" s="243"/>
      <c r="BF949" s="243"/>
      <c r="BG949" s="243"/>
      <c r="BH949" s="243"/>
      <c r="BI949" s="243"/>
      <c r="BJ949" s="243"/>
      <c r="BK949" s="243"/>
      <c r="BL949" s="243"/>
      <c r="BM949" s="243"/>
      <c r="BN949" s="243"/>
      <c r="BO949" s="243"/>
      <c r="BP949" s="243"/>
      <c r="BQ949" s="243"/>
      <c r="BR949" s="243"/>
      <c r="BS949" s="243"/>
    </row>
    <row r="950" spans="1:71" s="12" customFormat="1" ht="41.25" customHeight="1">
      <c r="A950" s="178" t="s">
        <v>95</v>
      </c>
      <c r="B950" s="75" t="str">
        <f ca="1">+UPPER(Tabla1321124[[#This Row],[DESCRIPCIÓN DE LA COMPRA O CONTRATACIÓN]])</f>
        <v>LAMPARA TIPO SECADOR 175W, 110V</v>
      </c>
      <c r="C950" s="39" t="s">
        <v>17</v>
      </c>
      <c r="D950" s="236">
        <v>50</v>
      </c>
      <c r="E950" s="236">
        <v>50</v>
      </c>
      <c r="F950" s="236">
        <v>50</v>
      </c>
      <c r="G950" s="236">
        <v>50</v>
      </c>
      <c r="H950" s="240">
        <f>SUM(Tabla1321124[[#This Row],[PRIMER TRIMESTRE]:[CUARTO TRIMESTRE]])</f>
        <v>200</v>
      </c>
      <c r="I950" s="17">
        <v>1521</v>
      </c>
      <c r="J950" s="17">
        <f t="shared" si="14"/>
        <v>304200</v>
      </c>
      <c r="K950" s="17"/>
      <c r="L950" s="16" t="s">
        <v>18</v>
      </c>
      <c r="M950" s="16" t="s">
        <v>22</v>
      </c>
      <c r="N950" s="16" t="s">
        <v>418</v>
      </c>
      <c r="O950" s="243"/>
      <c r="P950" s="243"/>
      <c r="Q950" s="243"/>
      <c r="R950" s="243"/>
      <c r="S950" s="243"/>
      <c r="T950" s="243"/>
      <c r="U950" s="243"/>
      <c r="V950" s="243"/>
      <c r="W950" s="243"/>
      <c r="X950" s="243"/>
      <c r="Y950" s="243"/>
      <c r="Z950" s="243"/>
      <c r="AA950" s="243"/>
      <c r="AB950" s="243"/>
      <c r="AC950" s="243"/>
      <c r="AD950" s="243"/>
      <c r="AE950" s="243"/>
      <c r="AF950" s="243"/>
      <c r="AG950" s="243"/>
      <c r="AH950" s="243"/>
      <c r="AI950" s="243"/>
      <c r="AJ950" s="243"/>
      <c r="AK950" s="243"/>
      <c r="AL950" s="243"/>
      <c r="AM950" s="243"/>
      <c r="AN950" s="243"/>
      <c r="AO950" s="243"/>
      <c r="AP950" s="243"/>
      <c r="AQ950" s="243"/>
      <c r="AR950" s="243"/>
      <c r="AS950" s="243"/>
      <c r="AT950" s="243"/>
      <c r="AU950" s="243"/>
      <c r="AV950" s="243"/>
      <c r="AW950" s="243"/>
      <c r="AX950" s="243"/>
      <c r="AY950" s="243"/>
      <c r="AZ950" s="243"/>
      <c r="BA950" s="243"/>
      <c r="BB950" s="243"/>
      <c r="BC950" s="243"/>
      <c r="BD950" s="243"/>
      <c r="BE950" s="243"/>
      <c r="BF950" s="243"/>
      <c r="BG950" s="243"/>
      <c r="BH950" s="243"/>
      <c r="BI950" s="243"/>
      <c r="BJ950" s="243"/>
      <c r="BK950" s="243"/>
      <c r="BL950" s="243"/>
      <c r="BM950" s="243"/>
      <c r="BN950" s="243"/>
      <c r="BO950" s="243"/>
      <c r="BP950" s="243"/>
      <c r="BQ950" s="243"/>
      <c r="BR950" s="243"/>
      <c r="BS950" s="243"/>
    </row>
    <row r="951" spans="1:71" s="12" customFormat="1" ht="41.25" customHeight="1">
      <c r="A951" s="178" t="s">
        <v>95</v>
      </c>
      <c r="B951" s="75" t="str">
        <f ca="1">+UPPER(Tabla1321124[[#This Row],[DESCRIPCIÓN DE LA COMPRA O CONTRATACIÓN]])</f>
        <v>LAMPARA TIPO SECADOR 250W, 220V</v>
      </c>
      <c r="C951" s="39" t="s">
        <v>17</v>
      </c>
      <c r="D951" s="236">
        <v>50</v>
      </c>
      <c r="E951" s="236">
        <v>50</v>
      </c>
      <c r="F951" s="236">
        <v>50</v>
      </c>
      <c r="G951" s="236">
        <v>50</v>
      </c>
      <c r="H951" s="240">
        <f>SUM(Tabla1321124[[#This Row],[PRIMER TRIMESTRE]:[CUARTO TRIMESTRE]])</f>
        <v>200</v>
      </c>
      <c r="I951" s="17">
        <v>2028</v>
      </c>
      <c r="J951" s="17">
        <f t="shared" si="14"/>
        <v>405600</v>
      </c>
      <c r="K951" s="17"/>
      <c r="L951" s="16" t="s">
        <v>18</v>
      </c>
      <c r="M951" s="16" t="s">
        <v>22</v>
      </c>
      <c r="N951" s="16" t="s">
        <v>418</v>
      </c>
      <c r="O951" s="243"/>
      <c r="P951" s="243"/>
      <c r="Q951" s="243"/>
      <c r="R951" s="243"/>
      <c r="S951" s="243"/>
      <c r="T951" s="243"/>
      <c r="U951" s="243"/>
      <c r="V951" s="243"/>
      <c r="W951" s="243"/>
      <c r="X951" s="243"/>
      <c r="Y951" s="243"/>
      <c r="Z951" s="243"/>
      <c r="AA951" s="243"/>
      <c r="AB951" s="243"/>
      <c r="AC951" s="243"/>
      <c r="AD951" s="243"/>
      <c r="AE951" s="243"/>
      <c r="AF951" s="243"/>
      <c r="AG951" s="243"/>
      <c r="AH951" s="243"/>
      <c r="AI951" s="243"/>
      <c r="AJ951" s="243"/>
      <c r="AK951" s="243"/>
      <c r="AL951" s="243"/>
      <c r="AM951" s="243"/>
      <c r="AN951" s="243"/>
      <c r="AO951" s="243"/>
      <c r="AP951" s="243"/>
      <c r="AQ951" s="243"/>
      <c r="AR951" s="243"/>
      <c r="AS951" s="243"/>
      <c r="AT951" s="243"/>
      <c r="AU951" s="243"/>
      <c r="AV951" s="243"/>
      <c r="AW951" s="243"/>
      <c r="AX951" s="243"/>
      <c r="AY951" s="243"/>
      <c r="AZ951" s="243"/>
      <c r="BA951" s="243"/>
      <c r="BB951" s="243"/>
      <c r="BC951" s="243"/>
      <c r="BD951" s="243"/>
      <c r="BE951" s="243"/>
      <c r="BF951" s="243"/>
      <c r="BG951" s="243"/>
      <c r="BH951" s="243"/>
      <c r="BI951" s="243"/>
      <c r="BJ951" s="243"/>
      <c r="BK951" s="243"/>
      <c r="BL951" s="243"/>
      <c r="BM951" s="243"/>
      <c r="BN951" s="243"/>
      <c r="BO951" s="243"/>
      <c r="BP951" s="243"/>
      <c r="BQ951" s="243"/>
      <c r="BR951" s="243"/>
      <c r="BS951" s="243"/>
    </row>
    <row r="952" spans="1:71" s="12" customFormat="1" ht="41.25" customHeight="1">
      <c r="A952" s="178" t="s">
        <v>95</v>
      </c>
      <c r="B952" s="75" t="s">
        <v>1780</v>
      </c>
      <c r="C952" s="39" t="s">
        <v>17</v>
      </c>
      <c r="D952" s="236">
        <v>50</v>
      </c>
      <c r="E952" s="236">
        <v>50</v>
      </c>
      <c r="F952" s="236">
        <v>50</v>
      </c>
      <c r="G952" s="236">
        <v>50</v>
      </c>
      <c r="H952" s="240">
        <f>SUM(Tabla1321124[[#This Row],[PRIMER TRIMESTRE]:[CUARTO TRIMESTRE]])</f>
        <v>200</v>
      </c>
      <c r="I952" s="17">
        <v>63.44</v>
      </c>
      <c r="J952" s="17">
        <f t="shared" si="14"/>
        <v>12688</v>
      </c>
      <c r="K952" s="17"/>
      <c r="L952" s="16" t="s">
        <v>18</v>
      </c>
      <c r="M952" s="16" t="s">
        <v>22</v>
      </c>
      <c r="N952" s="16" t="s">
        <v>418</v>
      </c>
      <c r="O952" s="243"/>
      <c r="P952" s="243"/>
      <c r="Q952" s="243"/>
      <c r="R952" s="243"/>
      <c r="S952" s="243"/>
      <c r="T952" s="243"/>
      <c r="U952" s="243"/>
      <c r="V952" s="243"/>
      <c r="W952" s="243"/>
      <c r="X952" s="243"/>
      <c r="Y952" s="243"/>
      <c r="Z952" s="243"/>
      <c r="AA952" s="243"/>
      <c r="AB952" s="243"/>
      <c r="AC952" s="243"/>
      <c r="AD952" s="243"/>
      <c r="AE952" s="243"/>
      <c r="AF952" s="243"/>
      <c r="AG952" s="243"/>
      <c r="AH952" s="243"/>
      <c r="AI952" s="243"/>
      <c r="AJ952" s="243"/>
      <c r="AK952" s="243"/>
      <c r="AL952" s="243"/>
      <c r="AM952" s="243"/>
      <c r="AN952" s="243"/>
      <c r="AO952" s="243"/>
      <c r="AP952" s="243"/>
      <c r="AQ952" s="243"/>
      <c r="AR952" s="243"/>
      <c r="AS952" s="243"/>
      <c r="AT952" s="243"/>
      <c r="AU952" s="243"/>
      <c r="AV952" s="243"/>
      <c r="AW952" s="243"/>
      <c r="AX952" s="243"/>
      <c r="AY952" s="243"/>
      <c r="AZ952" s="243"/>
      <c r="BA952" s="243"/>
      <c r="BB952" s="243"/>
      <c r="BC952" s="243"/>
      <c r="BD952" s="243"/>
      <c r="BE952" s="243"/>
      <c r="BF952" s="243"/>
      <c r="BG952" s="243"/>
      <c r="BH952" s="243"/>
      <c r="BI952" s="243"/>
      <c r="BJ952" s="243"/>
      <c r="BK952" s="243"/>
      <c r="BL952" s="243"/>
      <c r="BM952" s="243"/>
      <c r="BN952" s="243"/>
      <c r="BO952" s="243"/>
      <c r="BP952" s="243"/>
      <c r="BQ952" s="243"/>
      <c r="BR952" s="243"/>
      <c r="BS952" s="243"/>
    </row>
    <row r="953" spans="1:71" s="12" customFormat="1" ht="41.25" customHeight="1">
      <c r="A953" s="178" t="s">
        <v>95</v>
      </c>
      <c r="B953" s="75" t="str">
        <f ca="1">+UPPER(Tabla1321124[[#This Row],[DESCRIPCIÓN DE LA COMPRA O CONTRATACIÓN]])</f>
        <v>TUBOS FLUORECENTES DE 32 WATTS</v>
      </c>
      <c r="C953" s="39" t="s">
        <v>17</v>
      </c>
      <c r="D953" s="236">
        <v>1500</v>
      </c>
      <c r="E953" s="236">
        <v>1500</v>
      </c>
      <c r="F953" s="236">
        <v>1500</v>
      </c>
      <c r="G953" s="236">
        <v>1500</v>
      </c>
      <c r="H953" s="240">
        <f>SUM(Tabla1321124[[#This Row],[PRIMER TRIMESTRE]:[CUARTO TRIMESTRE]])</f>
        <v>6000</v>
      </c>
      <c r="I953" s="17">
        <v>45</v>
      </c>
      <c r="J953" s="17">
        <f t="shared" si="14"/>
        <v>270000</v>
      </c>
      <c r="K953" s="17"/>
      <c r="L953" s="16" t="s">
        <v>18</v>
      </c>
      <c r="M953" s="16" t="s">
        <v>22</v>
      </c>
      <c r="N953" s="16" t="s">
        <v>418</v>
      </c>
      <c r="O953" s="243"/>
      <c r="P953" s="243"/>
      <c r="Q953" s="243"/>
      <c r="R953" s="243"/>
      <c r="S953" s="243"/>
      <c r="T953" s="243"/>
      <c r="U953" s="243"/>
      <c r="V953" s="243"/>
      <c r="W953" s="243"/>
      <c r="X953" s="243"/>
      <c r="Y953" s="243"/>
      <c r="Z953" s="243"/>
      <c r="AA953" s="243"/>
      <c r="AB953" s="243"/>
      <c r="AC953" s="243"/>
      <c r="AD953" s="243"/>
      <c r="AE953" s="243"/>
      <c r="AF953" s="243"/>
      <c r="AG953" s="243"/>
      <c r="AH953" s="243"/>
      <c r="AI953" s="243"/>
      <c r="AJ953" s="243"/>
      <c r="AK953" s="243"/>
      <c r="AL953" s="243"/>
      <c r="AM953" s="243"/>
      <c r="AN953" s="243"/>
      <c r="AO953" s="243"/>
      <c r="AP953" s="243"/>
      <c r="AQ953" s="243"/>
      <c r="AR953" s="243"/>
      <c r="AS953" s="243"/>
      <c r="AT953" s="243"/>
      <c r="AU953" s="243"/>
      <c r="AV953" s="243"/>
      <c r="AW953" s="243"/>
      <c r="AX953" s="243"/>
      <c r="AY953" s="243"/>
      <c r="AZ953" s="243"/>
      <c r="BA953" s="243"/>
      <c r="BB953" s="243"/>
      <c r="BC953" s="243"/>
      <c r="BD953" s="243"/>
      <c r="BE953" s="243"/>
      <c r="BF953" s="243"/>
      <c r="BG953" s="243"/>
      <c r="BH953" s="243"/>
      <c r="BI953" s="243"/>
      <c r="BJ953" s="243"/>
      <c r="BK953" s="243"/>
      <c r="BL953" s="243"/>
      <c r="BM953" s="243"/>
      <c r="BN953" s="243"/>
      <c r="BO953" s="243"/>
      <c r="BP953" s="243"/>
      <c r="BQ953" s="243"/>
      <c r="BR953" s="243"/>
      <c r="BS953" s="243"/>
    </row>
    <row r="954" spans="1:71" s="12" customFormat="1" ht="41.25" customHeight="1">
      <c r="A954" s="178" t="s">
        <v>95</v>
      </c>
      <c r="B954" s="75" t="str">
        <f ca="1">+UPPER(Tabla1321124[[#This Row],[DESCRIPCIÓN DE LA COMPRA O CONTRATACIÓN]])</f>
        <v>TUBOS FLUORECENTES DE 20 WATTS</v>
      </c>
      <c r="C954" s="39" t="s">
        <v>17</v>
      </c>
      <c r="D954" s="236">
        <v>1800</v>
      </c>
      <c r="E954" s="236">
        <v>1800</v>
      </c>
      <c r="F954" s="236">
        <v>1800</v>
      </c>
      <c r="G954" s="236">
        <v>1800</v>
      </c>
      <c r="H954" s="240">
        <f>SUM(Tabla1321124[[#This Row],[PRIMER TRIMESTRE]:[CUARTO TRIMESTRE]])</f>
        <v>7200</v>
      </c>
      <c r="I954" s="17">
        <v>45</v>
      </c>
      <c r="J954" s="17">
        <f t="shared" si="14"/>
        <v>324000</v>
      </c>
      <c r="K954" s="17"/>
      <c r="L954" s="16" t="s">
        <v>18</v>
      </c>
      <c r="M954" s="16" t="s">
        <v>22</v>
      </c>
      <c r="N954" s="16" t="s">
        <v>418</v>
      </c>
      <c r="O954" s="243"/>
      <c r="P954" s="243"/>
      <c r="Q954" s="243"/>
      <c r="R954" s="243"/>
      <c r="S954" s="243"/>
      <c r="T954" s="243"/>
      <c r="U954" s="243"/>
      <c r="V954" s="243"/>
      <c r="W954" s="243"/>
      <c r="X954" s="243"/>
      <c r="Y954" s="243"/>
      <c r="Z954" s="243"/>
      <c r="AA954" s="243"/>
      <c r="AB954" s="243"/>
      <c r="AC954" s="243"/>
      <c r="AD954" s="243"/>
      <c r="AE954" s="243"/>
      <c r="AF954" s="243"/>
      <c r="AG954" s="243"/>
      <c r="AH954" s="243"/>
      <c r="AI954" s="243"/>
      <c r="AJ954" s="243"/>
      <c r="AK954" s="243"/>
      <c r="AL954" s="243"/>
      <c r="AM954" s="243"/>
      <c r="AN954" s="243"/>
      <c r="AO954" s="243"/>
      <c r="AP954" s="243"/>
      <c r="AQ954" s="243"/>
      <c r="AR954" s="243"/>
      <c r="AS954" s="243"/>
      <c r="AT954" s="243"/>
      <c r="AU954" s="243"/>
      <c r="AV954" s="243"/>
      <c r="AW954" s="243"/>
      <c r="AX954" s="243"/>
      <c r="AY954" s="243"/>
      <c r="AZ954" s="243"/>
      <c r="BA954" s="243"/>
      <c r="BB954" s="243"/>
      <c r="BC954" s="243"/>
      <c r="BD954" s="243"/>
      <c r="BE954" s="243"/>
      <c r="BF954" s="243"/>
      <c r="BG954" s="243"/>
      <c r="BH954" s="243"/>
      <c r="BI954" s="243"/>
      <c r="BJ954" s="243"/>
      <c r="BK954" s="243"/>
      <c r="BL954" s="243"/>
      <c r="BM954" s="243"/>
      <c r="BN954" s="243"/>
      <c r="BO954" s="243"/>
      <c r="BP954" s="243"/>
      <c r="BQ954" s="243"/>
      <c r="BR954" s="243"/>
      <c r="BS954" s="243"/>
    </row>
    <row r="955" spans="1:71" s="12" customFormat="1" ht="41.25" customHeight="1">
      <c r="A955" s="178" t="s">
        <v>95</v>
      </c>
      <c r="B955" s="75" t="str">
        <f ca="1">+UPPER(Tabla1321124[[#This Row],[DESCRIPCIÓN DE LA COMPRA O CONTRATACIÓN]])</f>
        <v>LAMPARA FLUORESCENTES TIPO SECADOR 220 V</v>
      </c>
      <c r="C955" s="39" t="s">
        <v>17</v>
      </c>
      <c r="D955" s="236">
        <v>50</v>
      </c>
      <c r="E955" s="236">
        <v>50</v>
      </c>
      <c r="F955" s="236">
        <v>50</v>
      </c>
      <c r="G955" s="236">
        <v>50</v>
      </c>
      <c r="H955" s="240">
        <f>SUM(Tabla1321124[[#This Row],[PRIMER TRIMESTRE]:[CUARTO TRIMESTRE]])</f>
        <v>200</v>
      </c>
      <c r="I955" s="17">
        <v>1417.52</v>
      </c>
      <c r="J955" s="17">
        <f t="shared" si="14"/>
        <v>283504</v>
      </c>
      <c r="K955" s="17"/>
      <c r="L955" s="16" t="s">
        <v>18</v>
      </c>
      <c r="M955" s="16" t="s">
        <v>22</v>
      </c>
      <c r="N955" s="16"/>
      <c r="O955" s="243"/>
      <c r="P955" s="243"/>
      <c r="Q955" s="243"/>
      <c r="R955" s="243"/>
      <c r="S955" s="243"/>
      <c r="T955" s="243"/>
      <c r="U955" s="243"/>
      <c r="V955" s="243"/>
      <c r="W955" s="243"/>
      <c r="X955" s="243"/>
      <c r="Y955" s="243"/>
      <c r="Z955" s="243"/>
      <c r="AA955" s="243"/>
      <c r="AB955" s="243"/>
      <c r="AC955" s="243"/>
      <c r="AD955" s="243"/>
      <c r="AE955" s="243"/>
      <c r="AF955" s="243"/>
      <c r="AG955" s="243"/>
      <c r="AH955" s="243"/>
      <c r="AI955" s="243"/>
      <c r="AJ955" s="243"/>
      <c r="AK955" s="243"/>
      <c r="AL955" s="243"/>
      <c r="AM955" s="243"/>
      <c r="AN955" s="243"/>
      <c r="AO955" s="243"/>
      <c r="AP955" s="243"/>
      <c r="AQ955" s="243"/>
      <c r="AR955" s="243"/>
      <c r="AS955" s="243"/>
      <c r="AT955" s="243"/>
      <c r="AU955" s="243"/>
      <c r="AV955" s="243"/>
      <c r="AW955" s="243"/>
      <c r="AX955" s="243"/>
      <c r="AY955" s="243"/>
      <c r="AZ955" s="243"/>
      <c r="BA955" s="243"/>
      <c r="BB955" s="243"/>
      <c r="BC955" s="243"/>
      <c r="BD955" s="243"/>
      <c r="BE955" s="243"/>
      <c r="BF955" s="243"/>
      <c r="BG955" s="243"/>
      <c r="BH955" s="243"/>
      <c r="BI955" s="243"/>
      <c r="BJ955" s="243"/>
      <c r="BK955" s="243"/>
      <c r="BL955" s="243"/>
      <c r="BM955" s="243"/>
      <c r="BN955" s="243"/>
      <c r="BO955" s="243"/>
      <c r="BP955" s="243"/>
      <c r="BQ955" s="243"/>
      <c r="BR955" s="243"/>
      <c r="BS955" s="243"/>
    </row>
    <row r="956" spans="1:71" s="12" customFormat="1" ht="41.25" customHeight="1">
      <c r="A956" s="178" t="s">
        <v>95</v>
      </c>
      <c r="B956" s="75" t="str">
        <f ca="1">+UPPER(Tabla1321124[[#This Row],[DESCRIPCIÓN DE LA COMPRA O CONTRATACIÓN]])</f>
        <v>LAMPARA TIPO COBRA 250W, 220V</v>
      </c>
      <c r="C956" s="39" t="s">
        <v>17</v>
      </c>
      <c r="D956" s="236">
        <f>50+25</f>
        <v>75</v>
      </c>
      <c r="E956" s="236">
        <f>50+25</f>
        <v>75</v>
      </c>
      <c r="F956" s="236">
        <f>50+25</f>
        <v>75</v>
      </c>
      <c r="G956" s="236">
        <f>50+25</f>
        <v>75</v>
      </c>
      <c r="H956" s="240">
        <f>SUM(Tabla1321124[[#This Row],[PRIMER TRIMESTRE]:[CUARTO TRIMESTRE]])</f>
        <v>300</v>
      </c>
      <c r="I956" s="17">
        <v>5268.24</v>
      </c>
      <c r="J956" s="17">
        <f t="shared" si="14"/>
        <v>1580472</v>
      </c>
      <c r="K956" s="17"/>
      <c r="L956" s="16" t="s">
        <v>18</v>
      </c>
      <c r="M956" s="16" t="s">
        <v>22</v>
      </c>
      <c r="N956" s="16" t="s">
        <v>418</v>
      </c>
      <c r="O956" s="243"/>
      <c r="P956" s="243"/>
      <c r="Q956" s="243"/>
      <c r="R956" s="243"/>
      <c r="S956" s="243"/>
      <c r="T956" s="243"/>
      <c r="U956" s="243"/>
      <c r="V956" s="243"/>
      <c r="W956" s="243"/>
      <c r="X956" s="243"/>
      <c r="Y956" s="243"/>
      <c r="Z956" s="243"/>
      <c r="AA956" s="243"/>
      <c r="AB956" s="243"/>
      <c r="AC956" s="243"/>
      <c r="AD956" s="243"/>
      <c r="AE956" s="243"/>
      <c r="AF956" s="243"/>
      <c r="AG956" s="243"/>
      <c r="AH956" s="243"/>
      <c r="AI956" s="243"/>
      <c r="AJ956" s="243"/>
      <c r="AK956" s="243"/>
      <c r="AL956" s="243"/>
      <c r="AM956" s="243"/>
      <c r="AN956" s="243"/>
      <c r="AO956" s="243"/>
      <c r="AP956" s="243"/>
      <c r="AQ956" s="243"/>
      <c r="AR956" s="243"/>
      <c r="AS956" s="243"/>
      <c r="AT956" s="243"/>
      <c r="AU956" s="243"/>
      <c r="AV956" s="243"/>
      <c r="AW956" s="243"/>
      <c r="AX956" s="243"/>
      <c r="AY956" s="243"/>
      <c r="AZ956" s="243"/>
      <c r="BA956" s="243"/>
      <c r="BB956" s="243"/>
      <c r="BC956" s="243"/>
      <c r="BD956" s="243"/>
      <c r="BE956" s="243"/>
      <c r="BF956" s="243"/>
      <c r="BG956" s="243"/>
      <c r="BH956" s="243"/>
      <c r="BI956" s="243"/>
      <c r="BJ956" s="243"/>
      <c r="BK956" s="243"/>
      <c r="BL956" s="243"/>
      <c r="BM956" s="243"/>
      <c r="BN956" s="243"/>
      <c r="BO956" s="243"/>
      <c r="BP956" s="243"/>
      <c r="BQ956" s="243"/>
      <c r="BR956" s="243"/>
      <c r="BS956" s="243"/>
    </row>
    <row r="957" spans="1:71" s="12" customFormat="1" ht="41.25" customHeight="1">
      <c r="A957" s="178" t="s">
        <v>95</v>
      </c>
      <c r="B957" s="75" t="str">
        <f ca="1">+UPPER(Tabla1321124[[#This Row],[DESCRIPCIÓN DE LA COMPRA O CONTRATACIÓN]])</f>
        <v>TRANSFORMADOR ELECTRÓNICO PARA LÁMPARA FLUORESCENTE 32 WATTS, 120V</v>
      </c>
      <c r="C957" s="39" t="s">
        <v>17</v>
      </c>
      <c r="D957" s="236">
        <v>800</v>
      </c>
      <c r="E957" s="236">
        <v>800</v>
      </c>
      <c r="F957" s="236">
        <v>800</v>
      </c>
      <c r="G957" s="236">
        <v>800</v>
      </c>
      <c r="H957" s="240">
        <f>SUM(Tabla1321124[[#This Row],[PRIMER TRIMESTRE]:[CUARTO TRIMESTRE]])</f>
        <v>3200</v>
      </c>
      <c r="I957" s="17">
        <v>877.77</v>
      </c>
      <c r="J957" s="17">
        <f t="shared" si="14"/>
        <v>2808864</v>
      </c>
      <c r="K957" s="17"/>
      <c r="L957" s="16" t="s">
        <v>18</v>
      </c>
      <c r="M957" s="16" t="s">
        <v>22</v>
      </c>
      <c r="N957" s="16" t="s">
        <v>418</v>
      </c>
      <c r="O957" s="243"/>
      <c r="P957" s="243"/>
      <c r="Q957" s="243"/>
      <c r="R957" s="243"/>
      <c r="S957" s="243"/>
      <c r="T957" s="243"/>
      <c r="U957" s="243"/>
      <c r="V957" s="243"/>
      <c r="W957" s="243"/>
      <c r="X957" s="243"/>
      <c r="Y957" s="243"/>
      <c r="Z957" s="243"/>
      <c r="AA957" s="243"/>
      <c r="AB957" s="243"/>
      <c r="AC957" s="243"/>
      <c r="AD957" s="243"/>
      <c r="AE957" s="243"/>
      <c r="AF957" s="243"/>
      <c r="AG957" s="243"/>
      <c r="AH957" s="243"/>
      <c r="AI957" s="243"/>
      <c r="AJ957" s="243"/>
      <c r="AK957" s="243"/>
      <c r="AL957" s="243"/>
      <c r="AM957" s="243"/>
      <c r="AN957" s="243"/>
      <c r="AO957" s="243"/>
      <c r="AP957" s="243"/>
      <c r="AQ957" s="243"/>
      <c r="AR957" s="243"/>
      <c r="AS957" s="243"/>
      <c r="AT957" s="243"/>
      <c r="AU957" s="243"/>
      <c r="AV957" s="243"/>
      <c r="AW957" s="243"/>
      <c r="AX957" s="243"/>
      <c r="AY957" s="243"/>
      <c r="AZ957" s="243"/>
      <c r="BA957" s="243"/>
      <c r="BB957" s="243"/>
      <c r="BC957" s="243"/>
      <c r="BD957" s="243"/>
      <c r="BE957" s="243"/>
      <c r="BF957" s="243"/>
      <c r="BG957" s="243"/>
      <c r="BH957" s="243"/>
      <c r="BI957" s="243"/>
      <c r="BJ957" s="243"/>
      <c r="BK957" s="243"/>
      <c r="BL957" s="243"/>
      <c r="BM957" s="243"/>
      <c r="BN957" s="243"/>
      <c r="BO957" s="243"/>
      <c r="BP957" s="243"/>
      <c r="BQ957" s="243"/>
      <c r="BR957" s="243"/>
      <c r="BS957" s="243"/>
    </row>
    <row r="958" spans="1:71" s="12" customFormat="1" ht="41.25" customHeight="1">
      <c r="A958" s="178" t="s">
        <v>95</v>
      </c>
      <c r="B958" s="75" t="str">
        <f ca="1">+UPPER(Tabla1321124[[#This Row],[DESCRIPCIÓN DE LA COMPRA O CONTRATACIÓN]])</f>
        <v>LAMPARA LED PARA EL EXTERIOR, CON SU FOTOCELDA, 120 VAC</v>
      </c>
      <c r="C958" s="39" t="s">
        <v>17</v>
      </c>
      <c r="D958" s="236">
        <v>50</v>
      </c>
      <c r="E958" s="236">
        <v>50</v>
      </c>
      <c r="F958" s="236">
        <v>50</v>
      </c>
      <c r="G958" s="236">
        <v>50</v>
      </c>
      <c r="H958" s="240">
        <f>SUM(Tabla1321124[[#This Row],[PRIMER TRIMESTRE]:[CUARTO TRIMESTRE]])</f>
        <v>200</v>
      </c>
      <c r="I958" s="17">
        <v>4800</v>
      </c>
      <c r="J958" s="17">
        <f t="shared" si="14"/>
        <v>960000</v>
      </c>
      <c r="K958" s="17"/>
      <c r="L958" s="16" t="s">
        <v>18</v>
      </c>
      <c r="M958" s="16" t="s">
        <v>22</v>
      </c>
      <c r="N958" s="16"/>
      <c r="O958" s="243"/>
      <c r="P958" s="243"/>
      <c r="Q958" s="243"/>
      <c r="R958" s="243"/>
      <c r="S958" s="243"/>
      <c r="T958" s="243"/>
      <c r="U958" s="243"/>
      <c r="V958" s="243"/>
      <c r="W958" s="243"/>
      <c r="X958" s="243"/>
      <c r="Y958" s="243"/>
      <c r="Z958" s="243"/>
      <c r="AA958" s="243"/>
      <c r="AB958" s="243"/>
      <c r="AC958" s="243"/>
      <c r="AD958" s="243"/>
      <c r="AE958" s="243"/>
      <c r="AF958" s="243"/>
      <c r="AG958" s="243"/>
      <c r="AH958" s="243"/>
      <c r="AI958" s="243"/>
      <c r="AJ958" s="243"/>
      <c r="AK958" s="243"/>
      <c r="AL958" s="243"/>
      <c r="AM958" s="243"/>
      <c r="AN958" s="243"/>
      <c r="AO958" s="243"/>
      <c r="AP958" s="243"/>
      <c r="AQ958" s="243"/>
      <c r="AR958" s="243"/>
      <c r="AS958" s="243"/>
      <c r="AT958" s="243"/>
      <c r="AU958" s="243"/>
      <c r="AV958" s="243"/>
      <c r="AW958" s="243"/>
      <c r="AX958" s="243"/>
      <c r="AY958" s="243"/>
      <c r="AZ958" s="243"/>
      <c r="BA958" s="243"/>
      <c r="BB958" s="243"/>
      <c r="BC958" s="243"/>
      <c r="BD958" s="243"/>
      <c r="BE958" s="243"/>
      <c r="BF958" s="243"/>
      <c r="BG958" s="243"/>
      <c r="BH958" s="243"/>
      <c r="BI958" s="243"/>
      <c r="BJ958" s="243"/>
      <c r="BK958" s="243"/>
      <c r="BL958" s="243"/>
      <c r="BM958" s="243"/>
      <c r="BN958" s="243"/>
      <c r="BO958" s="243"/>
      <c r="BP958" s="243"/>
      <c r="BQ958" s="243"/>
      <c r="BR958" s="243"/>
      <c r="BS958" s="243"/>
    </row>
    <row r="959" spans="1:71" s="12" customFormat="1" ht="41.25" customHeight="1">
      <c r="A959" s="178" t="s">
        <v>95</v>
      </c>
      <c r="B959" s="75" t="str">
        <f ca="1">+UPPER(Tabla1321124[[#This Row],[DESCRIPCIÓN DE LA COMPRA O CONTRATACIÓN]])</f>
        <v>BOMBILLA DE METAL HALIDA R1500, MULTIVAPOR, MVR, 1500/HBU, 200VOLT, 1500 WATTS 4200K</v>
      </c>
      <c r="C959" s="39" t="s">
        <v>17</v>
      </c>
      <c r="D959" s="236">
        <v>50</v>
      </c>
      <c r="E959" s="236">
        <v>50</v>
      </c>
      <c r="F959" s="236">
        <v>50</v>
      </c>
      <c r="G959" s="236">
        <v>50</v>
      </c>
      <c r="H959" s="240">
        <f>SUM(Tabla1321124[[#This Row],[PRIMER TRIMESTRE]:[CUARTO TRIMESTRE]])</f>
        <v>200</v>
      </c>
      <c r="I959" s="17">
        <v>1980</v>
      </c>
      <c r="J959" s="17">
        <f t="shared" si="14"/>
        <v>396000</v>
      </c>
      <c r="K959" s="17"/>
      <c r="L959" s="16" t="s">
        <v>18</v>
      </c>
      <c r="M959" s="16" t="s">
        <v>22</v>
      </c>
      <c r="N959" s="16"/>
      <c r="O959" s="243"/>
      <c r="P959" s="243"/>
      <c r="Q959" s="243"/>
      <c r="R959" s="243"/>
      <c r="S959" s="243"/>
      <c r="T959" s="243"/>
      <c r="U959" s="243"/>
      <c r="V959" s="243"/>
      <c r="W959" s="243"/>
      <c r="X959" s="243"/>
      <c r="Y959" s="243"/>
      <c r="Z959" s="243"/>
      <c r="AA959" s="243"/>
      <c r="AB959" s="243"/>
      <c r="AC959" s="243"/>
      <c r="AD959" s="243"/>
      <c r="AE959" s="243"/>
      <c r="AF959" s="243"/>
      <c r="AG959" s="243"/>
      <c r="AH959" s="243"/>
      <c r="AI959" s="243"/>
      <c r="AJ959" s="243"/>
      <c r="AK959" s="243"/>
      <c r="AL959" s="243"/>
      <c r="AM959" s="243"/>
      <c r="AN959" s="243"/>
      <c r="AO959" s="243"/>
      <c r="AP959" s="243"/>
      <c r="AQ959" s="243"/>
      <c r="AR959" s="243"/>
      <c r="AS959" s="243"/>
      <c r="AT959" s="243"/>
      <c r="AU959" s="243"/>
      <c r="AV959" s="243"/>
      <c r="AW959" s="243"/>
      <c r="AX959" s="243"/>
      <c r="AY959" s="243"/>
      <c r="AZ959" s="243"/>
      <c r="BA959" s="243"/>
      <c r="BB959" s="243"/>
      <c r="BC959" s="243"/>
      <c r="BD959" s="243"/>
      <c r="BE959" s="243"/>
      <c r="BF959" s="243"/>
      <c r="BG959" s="243"/>
      <c r="BH959" s="243"/>
      <c r="BI959" s="243"/>
      <c r="BJ959" s="243"/>
      <c r="BK959" s="243"/>
      <c r="BL959" s="243"/>
      <c r="BM959" s="243"/>
      <c r="BN959" s="243"/>
      <c r="BO959" s="243"/>
      <c r="BP959" s="243"/>
      <c r="BQ959" s="243"/>
      <c r="BR959" s="243"/>
      <c r="BS959" s="243"/>
    </row>
    <row r="960" spans="1:71" s="12" customFormat="1" ht="41.25" customHeight="1">
      <c r="A960" s="178" t="s">
        <v>95</v>
      </c>
      <c r="B960" s="75" t="str">
        <f ca="1">+UPPER(Tabla1321124[[#This Row],[DESCRIPCIÓN DE LA COMPRA O CONTRATACIÓN]])</f>
        <v>BOMBILLO INCANDECENTE DE BAJO CONSUMO 110V</v>
      </c>
      <c r="C960" s="39" t="s">
        <v>17</v>
      </c>
      <c r="D960" s="236">
        <v>250</v>
      </c>
      <c r="E960" s="236">
        <v>250</v>
      </c>
      <c r="F960" s="236">
        <v>250</v>
      </c>
      <c r="G960" s="236">
        <v>250</v>
      </c>
      <c r="H960" s="240">
        <f>SUM(Tabla1321124[[#This Row],[PRIMER TRIMESTRE]:[CUARTO TRIMESTRE]])</f>
        <v>1000</v>
      </c>
      <c r="I960" s="17">
        <v>68</v>
      </c>
      <c r="J960" s="17">
        <f t="shared" si="14"/>
        <v>68000</v>
      </c>
      <c r="K960" s="17"/>
      <c r="L960" s="16" t="s">
        <v>18</v>
      </c>
      <c r="M960" s="16" t="s">
        <v>22</v>
      </c>
      <c r="N960" s="16"/>
      <c r="O960" s="243"/>
      <c r="P960" s="243"/>
      <c r="Q960" s="243"/>
      <c r="R960" s="243"/>
      <c r="S960" s="243"/>
      <c r="T960" s="243"/>
      <c r="U960" s="243"/>
      <c r="V960" s="243"/>
      <c r="W960" s="243"/>
      <c r="X960" s="243"/>
      <c r="Y960" s="243"/>
      <c r="Z960" s="243"/>
      <c r="AA960" s="243"/>
      <c r="AB960" s="243"/>
      <c r="AC960" s="243"/>
      <c r="AD960" s="243"/>
      <c r="AE960" s="243"/>
      <c r="AF960" s="243"/>
      <c r="AG960" s="243"/>
      <c r="AH960" s="243"/>
      <c r="AI960" s="243"/>
      <c r="AJ960" s="243"/>
      <c r="AK960" s="243"/>
      <c r="AL960" s="243"/>
      <c r="AM960" s="243"/>
      <c r="AN960" s="243"/>
      <c r="AO960" s="243"/>
      <c r="AP960" s="243"/>
      <c r="AQ960" s="243"/>
      <c r="AR960" s="243"/>
      <c r="AS960" s="243"/>
      <c r="AT960" s="243"/>
      <c r="AU960" s="243"/>
      <c r="AV960" s="243"/>
      <c r="AW960" s="243"/>
      <c r="AX960" s="243"/>
      <c r="AY960" s="243"/>
      <c r="AZ960" s="243"/>
      <c r="BA960" s="243"/>
      <c r="BB960" s="243"/>
      <c r="BC960" s="243"/>
      <c r="BD960" s="243"/>
      <c r="BE960" s="243"/>
      <c r="BF960" s="243"/>
      <c r="BG960" s="243"/>
      <c r="BH960" s="243"/>
      <c r="BI960" s="243"/>
      <c r="BJ960" s="243"/>
      <c r="BK960" s="243"/>
      <c r="BL960" s="243"/>
      <c r="BM960" s="243"/>
      <c r="BN960" s="243"/>
      <c r="BO960" s="243"/>
      <c r="BP960" s="243"/>
      <c r="BQ960" s="243"/>
      <c r="BR960" s="243"/>
      <c r="BS960" s="243"/>
    </row>
    <row r="961" spans="1:71" s="12" customFormat="1" ht="41.25" customHeight="1">
      <c r="A961" s="178" t="s">
        <v>95</v>
      </c>
      <c r="B961" s="75" t="str">
        <f ca="1">+UPPER(Tabla1321124[[#This Row],[DESCRIPCIÓN DE LA COMPRA O CONTRATACIÓN]])</f>
        <v>BOMBILLO DE MERCURIO 175W, 220V</v>
      </c>
      <c r="C961" s="39" t="s">
        <v>17</v>
      </c>
      <c r="D961" s="236">
        <f>50+30</f>
        <v>80</v>
      </c>
      <c r="E961" s="236">
        <f>50+30</f>
        <v>80</v>
      </c>
      <c r="F961" s="236">
        <f>50+30</f>
        <v>80</v>
      </c>
      <c r="G961" s="236">
        <f>50+30</f>
        <v>80</v>
      </c>
      <c r="H961" s="240">
        <f>SUM(Tabla1321124[[#This Row],[PRIMER TRIMESTRE]:[CUARTO TRIMESTRE]])</f>
        <v>320</v>
      </c>
      <c r="I961" s="17">
        <v>161.28</v>
      </c>
      <c r="J961" s="17">
        <f t="shared" si="14"/>
        <v>51609.599999999999</v>
      </c>
      <c r="K961" s="17"/>
      <c r="L961" s="16" t="s">
        <v>18</v>
      </c>
      <c r="M961" s="16" t="s">
        <v>22</v>
      </c>
      <c r="N961" s="16"/>
      <c r="O961" s="243"/>
      <c r="P961" s="243"/>
      <c r="Q961" s="243"/>
      <c r="R961" s="243"/>
      <c r="S961" s="243"/>
      <c r="T961" s="243"/>
      <c r="U961" s="243"/>
      <c r="V961" s="243"/>
      <c r="W961" s="243"/>
      <c r="X961" s="243"/>
      <c r="Y961" s="243"/>
      <c r="Z961" s="243"/>
      <c r="AA961" s="243"/>
      <c r="AB961" s="243"/>
      <c r="AC961" s="243"/>
      <c r="AD961" s="243"/>
      <c r="AE961" s="243"/>
      <c r="AF961" s="243"/>
      <c r="AG961" s="243"/>
      <c r="AH961" s="243"/>
      <c r="AI961" s="243"/>
      <c r="AJ961" s="243"/>
      <c r="AK961" s="243"/>
      <c r="AL961" s="243"/>
      <c r="AM961" s="243"/>
      <c r="AN961" s="243"/>
      <c r="AO961" s="243"/>
      <c r="AP961" s="243"/>
      <c r="AQ961" s="243"/>
      <c r="AR961" s="243"/>
      <c r="AS961" s="243"/>
      <c r="AT961" s="243"/>
      <c r="AU961" s="243"/>
      <c r="AV961" s="243"/>
      <c r="AW961" s="243"/>
      <c r="AX961" s="243"/>
      <c r="AY961" s="243"/>
      <c r="AZ961" s="243"/>
      <c r="BA961" s="243"/>
      <c r="BB961" s="243"/>
      <c r="BC961" s="243"/>
      <c r="BD961" s="243"/>
      <c r="BE961" s="243"/>
      <c r="BF961" s="243"/>
      <c r="BG961" s="243"/>
      <c r="BH961" s="243"/>
      <c r="BI961" s="243"/>
      <c r="BJ961" s="243"/>
      <c r="BK961" s="243"/>
      <c r="BL961" s="243"/>
      <c r="BM961" s="243"/>
      <c r="BN961" s="243"/>
      <c r="BO961" s="243"/>
      <c r="BP961" s="243"/>
      <c r="BQ961" s="243"/>
      <c r="BR961" s="243"/>
      <c r="BS961" s="243"/>
    </row>
    <row r="962" spans="1:71" s="12" customFormat="1" ht="41.25" customHeight="1">
      <c r="A962" s="178" t="s">
        <v>95</v>
      </c>
      <c r="B962" s="75" t="str">
        <f ca="1">+UPPER(Tabla1321124[[#This Row],[DESCRIPCIÓN DE LA COMPRA O CONTRATACIÓN]])</f>
        <v>BOMBILLO 20W, LUZ BLANCA</v>
      </c>
      <c r="C962" s="39" t="s">
        <v>17</v>
      </c>
      <c r="D962" s="236">
        <v>450</v>
      </c>
      <c r="E962" s="236">
        <v>450</v>
      </c>
      <c r="F962" s="236">
        <v>450</v>
      </c>
      <c r="G962" s="236">
        <v>450</v>
      </c>
      <c r="H962" s="240">
        <f>SUM(Tabla1321124[[#This Row],[PRIMER TRIMESTRE]:[CUARTO TRIMESTRE]])</f>
        <v>1800</v>
      </c>
      <c r="I962" s="17">
        <v>400</v>
      </c>
      <c r="J962" s="17">
        <f t="shared" si="14"/>
        <v>720000</v>
      </c>
      <c r="K962" s="17"/>
      <c r="L962" s="16" t="s">
        <v>18</v>
      </c>
      <c r="M962" s="16" t="s">
        <v>22</v>
      </c>
      <c r="N962" s="16"/>
      <c r="O962" s="243"/>
      <c r="P962" s="243"/>
      <c r="Q962" s="243"/>
      <c r="R962" s="243"/>
      <c r="S962" s="243"/>
      <c r="T962" s="243"/>
      <c r="U962" s="243"/>
      <c r="V962" s="243"/>
      <c r="W962" s="243"/>
      <c r="X962" s="243"/>
      <c r="Y962" s="243"/>
      <c r="Z962" s="243"/>
      <c r="AA962" s="243"/>
      <c r="AB962" s="243"/>
      <c r="AC962" s="243"/>
      <c r="AD962" s="243"/>
      <c r="AE962" s="243"/>
      <c r="AF962" s="243"/>
      <c r="AG962" s="243"/>
      <c r="AH962" s="243"/>
      <c r="AI962" s="243"/>
      <c r="AJ962" s="243"/>
      <c r="AK962" s="243"/>
      <c r="AL962" s="243"/>
      <c r="AM962" s="243"/>
      <c r="AN962" s="243"/>
      <c r="AO962" s="243"/>
      <c r="AP962" s="243"/>
      <c r="AQ962" s="243"/>
      <c r="AR962" s="243"/>
      <c r="AS962" s="243"/>
      <c r="AT962" s="243"/>
      <c r="AU962" s="243"/>
      <c r="AV962" s="243"/>
      <c r="AW962" s="243"/>
      <c r="AX962" s="243"/>
      <c r="AY962" s="243"/>
      <c r="AZ962" s="243"/>
      <c r="BA962" s="243"/>
      <c r="BB962" s="243"/>
      <c r="BC962" s="243"/>
      <c r="BD962" s="243"/>
      <c r="BE962" s="243"/>
      <c r="BF962" s="243"/>
      <c r="BG962" s="243"/>
      <c r="BH962" s="243"/>
      <c r="BI962" s="243"/>
      <c r="BJ962" s="243"/>
      <c r="BK962" s="243"/>
      <c r="BL962" s="243"/>
      <c r="BM962" s="243"/>
      <c r="BN962" s="243"/>
      <c r="BO962" s="243"/>
      <c r="BP962" s="243"/>
      <c r="BQ962" s="243"/>
      <c r="BR962" s="243"/>
      <c r="BS962" s="243"/>
    </row>
    <row r="963" spans="1:71" s="12" customFormat="1" ht="41.25" customHeight="1">
      <c r="A963" s="178" t="s">
        <v>95</v>
      </c>
      <c r="B963" s="75" t="str">
        <f ca="1">+UPPER(Tabla1321124[[#This Row],[DESCRIPCIÓN DE LA COMPRA O CONTRATACIÓN]])</f>
        <v>ROSETA DE PORCELANA</v>
      </c>
      <c r="C963" s="39" t="s">
        <v>17</v>
      </c>
      <c r="D963" s="236">
        <v>50</v>
      </c>
      <c r="E963" s="236">
        <v>50</v>
      </c>
      <c r="F963" s="236">
        <v>50</v>
      </c>
      <c r="G963" s="236">
        <v>50</v>
      </c>
      <c r="H963" s="240">
        <f>SUM(Tabla1321124[[#This Row],[PRIMER TRIMESTRE]:[CUARTO TRIMESTRE]])</f>
        <v>200</v>
      </c>
      <c r="I963" s="17">
        <v>40</v>
      </c>
      <c r="J963" s="17">
        <f t="shared" si="14"/>
        <v>8000</v>
      </c>
      <c r="K963" s="17"/>
      <c r="L963" s="16" t="s">
        <v>18</v>
      </c>
      <c r="M963" s="16" t="s">
        <v>22</v>
      </c>
      <c r="N963" s="16"/>
      <c r="O963" s="243"/>
      <c r="P963" s="243"/>
      <c r="Q963" s="243"/>
      <c r="R963" s="243"/>
      <c r="S963" s="243"/>
      <c r="T963" s="243"/>
      <c r="U963" s="243"/>
      <c r="V963" s="243"/>
      <c r="W963" s="243"/>
      <c r="X963" s="243"/>
      <c r="Y963" s="243"/>
      <c r="Z963" s="243"/>
      <c r="AA963" s="243"/>
      <c r="AB963" s="243"/>
      <c r="AC963" s="243"/>
      <c r="AD963" s="243"/>
      <c r="AE963" s="243"/>
      <c r="AF963" s="243"/>
      <c r="AG963" s="243"/>
      <c r="AH963" s="243"/>
      <c r="AI963" s="243"/>
      <c r="AJ963" s="243"/>
      <c r="AK963" s="243"/>
      <c r="AL963" s="243"/>
      <c r="AM963" s="243"/>
      <c r="AN963" s="243"/>
      <c r="AO963" s="243"/>
      <c r="AP963" s="243"/>
      <c r="AQ963" s="243"/>
      <c r="AR963" s="243"/>
      <c r="AS963" s="243"/>
      <c r="AT963" s="243"/>
      <c r="AU963" s="243"/>
      <c r="AV963" s="243"/>
      <c r="AW963" s="243"/>
      <c r="AX963" s="243"/>
      <c r="AY963" s="243"/>
      <c r="AZ963" s="243"/>
      <c r="BA963" s="243"/>
      <c r="BB963" s="243"/>
      <c r="BC963" s="243"/>
      <c r="BD963" s="243"/>
      <c r="BE963" s="243"/>
      <c r="BF963" s="243"/>
      <c r="BG963" s="243"/>
      <c r="BH963" s="243"/>
      <c r="BI963" s="243"/>
      <c r="BJ963" s="243"/>
      <c r="BK963" s="243"/>
      <c r="BL963" s="243"/>
      <c r="BM963" s="243"/>
      <c r="BN963" s="243"/>
      <c r="BO963" s="243"/>
      <c r="BP963" s="243"/>
      <c r="BQ963" s="243"/>
      <c r="BR963" s="243"/>
      <c r="BS963" s="243"/>
    </row>
    <row r="964" spans="1:71" s="12" customFormat="1" ht="41.25" customHeight="1">
      <c r="A964" s="178" t="s">
        <v>95</v>
      </c>
      <c r="B964" s="75" t="str">
        <f ca="1">+UPPER(Tabla1321124[[#This Row],[DESCRIPCIÓN DE LA COMPRA O CONTRATACIÓN]])</f>
        <v>FOTOCELDA PARA LAMPARA DE 220V</v>
      </c>
      <c r="C964" s="39" t="s">
        <v>17</v>
      </c>
      <c r="D964" s="236">
        <f>60+15</f>
        <v>75</v>
      </c>
      <c r="E964" s="236">
        <f>60+15</f>
        <v>75</v>
      </c>
      <c r="F964" s="236">
        <f>60+15</f>
        <v>75</v>
      </c>
      <c r="G964" s="236">
        <f>60+15</f>
        <v>75</v>
      </c>
      <c r="H964" s="240">
        <f>SUM(Tabla1321124[[#This Row],[PRIMER TRIMESTRE]:[CUARTO TRIMESTRE]])</f>
        <v>300</v>
      </c>
      <c r="I964" s="17">
        <v>170</v>
      </c>
      <c r="J964" s="17">
        <f t="shared" si="14"/>
        <v>51000</v>
      </c>
      <c r="K964" s="17"/>
      <c r="L964" s="16" t="s">
        <v>18</v>
      </c>
      <c r="M964" s="16" t="s">
        <v>22</v>
      </c>
      <c r="N964" s="16"/>
      <c r="O964" s="243"/>
      <c r="P964" s="243"/>
      <c r="Q964" s="243"/>
      <c r="R964" s="243"/>
      <c r="S964" s="243"/>
      <c r="T964" s="243"/>
      <c r="U964" s="243"/>
      <c r="V964" s="243"/>
      <c r="W964" s="243"/>
      <c r="X964" s="243"/>
      <c r="Y964" s="243"/>
      <c r="Z964" s="243"/>
      <c r="AA964" s="243"/>
      <c r="AB964" s="243"/>
      <c r="AC964" s="243"/>
      <c r="AD964" s="243"/>
      <c r="AE964" s="243"/>
      <c r="AF964" s="243"/>
      <c r="AG964" s="243"/>
      <c r="AH964" s="243"/>
      <c r="AI964" s="243"/>
      <c r="AJ964" s="243"/>
      <c r="AK964" s="243"/>
      <c r="AL964" s="243"/>
      <c r="AM964" s="243"/>
      <c r="AN964" s="243"/>
      <c r="AO964" s="243"/>
      <c r="AP964" s="243"/>
      <c r="AQ964" s="243"/>
      <c r="AR964" s="243"/>
      <c r="AS964" s="243"/>
      <c r="AT964" s="243"/>
      <c r="AU964" s="243"/>
      <c r="AV964" s="243"/>
      <c r="AW964" s="243"/>
      <c r="AX964" s="243"/>
      <c r="AY964" s="243"/>
      <c r="AZ964" s="243"/>
      <c r="BA964" s="243"/>
      <c r="BB964" s="243"/>
      <c r="BC964" s="243"/>
      <c r="BD964" s="243"/>
      <c r="BE964" s="243"/>
      <c r="BF964" s="243"/>
      <c r="BG964" s="243"/>
      <c r="BH964" s="243"/>
      <c r="BI964" s="243"/>
      <c r="BJ964" s="243"/>
      <c r="BK964" s="243"/>
      <c r="BL964" s="243"/>
      <c r="BM964" s="243"/>
      <c r="BN964" s="243"/>
      <c r="BO964" s="243"/>
      <c r="BP964" s="243"/>
      <c r="BQ964" s="243"/>
      <c r="BR964" s="243"/>
      <c r="BS964" s="243"/>
    </row>
    <row r="965" spans="1:71" s="12" customFormat="1" ht="41.25" customHeight="1">
      <c r="A965" s="178" t="s">
        <v>95</v>
      </c>
      <c r="B965" s="77" t="str">
        <f ca="1">+UPPER(Tabla1321124[[#This Row],[DESCRIPCIÓN DE LA COMPRA O CONTRATACIÓN]])</f>
        <v>LAMPARA FLUORESCENTES TIPO SECADOR DEE 48, 32WATTS</v>
      </c>
      <c r="C965" s="39" t="s">
        <v>17</v>
      </c>
      <c r="D965" s="236">
        <v>50</v>
      </c>
      <c r="E965" s="236">
        <v>50</v>
      </c>
      <c r="F965" s="236">
        <v>50</v>
      </c>
      <c r="G965" s="236">
        <v>50</v>
      </c>
      <c r="H965" s="240">
        <f>SUM(Tabla1321124[[#This Row],[PRIMER TRIMESTRE]:[CUARTO TRIMESTRE]])</f>
        <v>200</v>
      </c>
      <c r="I965" s="17">
        <v>28982</v>
      </c>
      <c r="J965" s="17">
        <f t="shared" si="14"/>
        <v>5796400</v>
      </c>
      <c r="K965" s="387">
        <f>SUM(J948:J965)</f>
        <v>15658335.6</v>
      </c>
      <c r="L965" s="16" t="s">
        <v>18</v>
      </c>
      <c r="M965" s="16" t="s">
        <v>22</v>
      </c>
      <c r="N965" s="16"/>
      <c r="O965" s="243"/>
      <c r="P965" s="243"/>
      <c r="Q965" s="243"/>
      <c r="R965" s="243"/>
      <c r="S965" s="243"/>
      <c r="T965" s="243"/>
      <c r="U965" s="243"/>
      <c r="V965" s="243"/>
      <c r="W965" s="243"/>
      <c r="X965" s="243"/>
      <c r="Y965" s="243"/>
      <c r="Z965" s="243"/>
      <c r="AA965" s="243"/>
      <c r="AB965" s="243"/>
      <c r="AC965" s="243"/>
      <c r="AD965" s="243"/>
      <c r="AE965" s="243"/>
      <c r="AF965" s="243"/>
      <c r="AG965" s="243"/>
      <c r="AH965" s="243"/>
      <c r="AI965" s="243"/>
      <c r="AJ965" s="243"/>
      <c r="AK965" s="243"/>
      <c r="AL965" s="243"/>
      <c r="AM965" s="243"/>
      <c r="AN965" s="243"/>
      <c r="AO965" s="243"/>
      <c r="AP965" s="243"/>
      <c r="AQ965" s="243"/>
      <c r="AR965" s="243"/>
      <c r="AS965" s="243"/>
      <c r="AT965" s="243"/>
      <c r="AU965" s="243"/>
      <c r="AV965" s="243"/>
      <c r="AW965" s="243"/>
      <c r="AX965" s="243"/>
      <c r="AY965" s="243"/>
      <c r="AZ965" s="243"/>
      <c r="BA965" s="243"/>
      <c r="BB965" s="243"/>
      <c r="BC965" s="243"/>
      <c r="BD965" s="243"/>
      <c r="BE965" s="243"/>
      <c r="BF965" s="243"/>
      <c r="BG965" s="243"/>
      <c r="BH965" s="243"/>
      <c r="BI965" s="243"/>
      <c r="BJ965" s="243"/>
      <c r="BK965" s="243"/>
      <c r="BL965" s="243"/>
      <c r="BM965" s="243"/>
      <c r="BN965" s="243"/>
      <c r="BO965" s="243"/>
      <c r="BP965" s="243"/>
      <c r="BQ965" s="243"/>
      <c r="BR965" s="243"/>
      <c r="BS965" s="243"/>
    </row>
    <row r="966" spans="1:71" s="12" customFormat="1" ht="41.25" customHeight="1">
      <c r="A966" s="538" t="s">
        <v>95</v>
      </c>
      <c r="B966" s="76" t="str">
        <f ca="1">+UPPER(Tabla1321124[[#This Row],[DESCRIPCIÓN DE LA COMPRA O CONTRATACIÓN]])</f>
        <v/>
      </c>
      <c r="C966" s="237"/>
      <c r="D966" s="237"/>
      <c r="E966" s="237"/>
      <c r="F966" s="237"/>
      <c r="G966" s="237"/>
      <c r="H966" s="238"/>
      <c r="I966" s="238"/>
      <c r="J966" s="383"/>
      <c r="K966" s="25">
        <f>SUM(J948:J965)</f>
        <v>15658335.6</v>
      </c>
      <c r="L966" s="383"/>
      <c r="M966" s="383"/>
      <c r="N966" s="383"/>
      <c r="O966" s="243"/>
      <c r="P966" s="243"/>
      <c r="Q966" s="243"/>
      <c r="R966" s="243"/>
      <c r="S966" s="243"/>
      <c r="T966" s="243"/>
      <c r="U966" s="243"/>
      <c r="V966" s="243"/>
      <c r="W966" s="243"/>
      <c r="X966" s="243"/>
      <c r="Y966" s="243"/>
      <c r="Z966" s="243"/>
      <c r="AA966" s="243"/>
      <c r="AB966" s="243"/>
      <c r="AC966" s="243"/>
      <c r="AD966" s="243"/>
      <c r="AE966" s="243"/>
      <c r="AF966" s="243"/>
      <c r="AG966" s="243"/>
      <c r="AH966" s="243"/>
      <c r="AI966" s="243"/>
      <c r="AJ966" s="243"/>
      <c r="AK966" s="243"/>
      <c r="AL966" s="243"/>
      <c r="AM966" s="243"/>
      <c r="AN966" s="243"/>
      <c r="AO966" s="243"/>
      <c r="AP966" s="243"/>
      <c r="AQ966" s="243"/>
      <c r="AR966" s="243"/>
      <c r="AS966" s="243"/>
      <c r="AT966" s="243"/>
      <c r="AU966" s="243"/>
      <c r="AV966" s="243"/>
      <c r="AW966" s="243"/>
      <c r="AX966" s="243"/>
      <c r="AY966" s="243"/>
      <c r="AZ966" s="243"/>
      <c r="BA966" s="243"/>
      <c r="BB966" s="243"/>
      <c r="BC966" s="243"/>
      <c r="BD966" s="243"/>
      <c r="BE966" s="243"/>
      <c r="BF966" s="243"/>
      <c r="BG966" s="243"/>
      <c r="BH966" s="243"/>
      <c r="BI966" s="243"/>
      <c r="BJ966" s="243"/>
      <c r="BK966" s="243"/>
      <c r="BL966" s="243"/>
      <c r="BM966" s="243"/>
      <c r="BN966" s="243"/>
      <c r="BO966" s="243"/>
      <c r="BP966" s="243"/>
      <c r="BQ966" s="243"/>
      <c r="BR966" s="243"/>
      <c r="BS966" s="243"/>
    </row>
    <row r="967" spans="1:71" s="12" customFormat="1" ht="41.25" customHeight="1">
      <c r="A967" s="178" t="s">
        <v>96</v>
      </c>
      <c r="B967" s="178" t="s">
        <v>1781</v>
      </c>
      <c r="C967" s="39" t="s">
        <v>17</v>
      </c>
      <c r="D967" s="236">
        <f>500+25</f>
        <v>525</v>
      </c>
      <c r="E967" s="236">
        <f>300+20</f>
        <v>320</v>
      </c>
      <c r="F967" s="236">
        <f>100+20</f>
        <v>120</v>
      </c>
      <c r="G967" s="236">
        <f>100+20</f>
        <v>120</v>
      </c>
      <c r="H967" s="240">
        <f>SUM(Tabla1321124[[#This Row],[PRIMER TRIMESTRE]:[CUARTO TRIMESTRE]])</f>
        <v>1085</v>
      </c>
      <c r="I967" s="17">
        <v>6486.1</v>
      </c>
      <c r="J967" s="17">
        <f t="shared" ref="J967:J1030" si="15">+H967*I967</f>
        <v>7037418.5</v>
      </c>
      <c r="K967" s="17"/>
      <c r="L967" s="16" t="s">
        <v>18</v>
      </c>
      <c r="M967" s="16" t="s">
        <v>22</v>
      </c>
      <c r="N967" s="16"/>
      <c r="O967" s="243"/>
      <c r="P967" s="243"/>
      <c r="Q967" s="243"/>
      <c r="R967" s="243"/>
      <c r="S967" s="243"/>
      <c r="T967" s="243"/>
      <c r="U967" s="243"/>
      <c r="V967" s="243"/>
      <c r="W967" s="243"/>
      <c r="X967" s="243"/>
      <c r="Y967" s="243"/>
      <c r="Z967" s="243"/>
      <c r="AA967" s="243"/>
      <c r="AB967" s="243"/>
      <c r="AC967" s="243"/>
      <c r="AD967" s="243"/>
      <c r="AE967" s="243"/>
      <c r="AF967" s="243"/>
      <c r="AG967" s="243"/>
      <c r="AH967" s="243"/>
      <c r="AI967" s="243"/>
      <c r="AJ967" s="243"/>
      <c r="AK967" s="243"/>
      <c r="AL967" s="243"/>
      <c r="AM967" s="243"/>
      <c r="AN967" s="243"/>
      <c r="AO967" s="243"/>
      <c r="AP967" s="243"/>
      <c r="AQ967" s="243"/>
      <c r="AR967" s="243"/>
      <c r="AS967" s="243"/>
      <c r="AT967" s="243"/>
      <c r="AU967" s="243"/>
      <c r="AV967" s="243"/>
      <c r="AW967" s="243"/>
      <c r="AX967" s="243"/>
      <c r="AY967" s="243"/>
      <c r="AZ967" s="243"/>
      <c r="BA967" s="243"/>
      <c r="BB967" s="243"/>
      <c r="BC967" s="243"/>
      <c r="BD967" s="243"/>
      <c r="BE967" s="243"/>
      <c r="BF967" s="243"/>
      <c r="BG967" s="243"/>
      <c r="BH967" s="243"/>
      <c r="BI967" s="243"/>
      <c r="BJ967" s="243"/>
      <c r="BK967" s="243"/>
      <c r="BL967" s="243"/>
      <c r="BM967" s="243"/>
      <c r="BN967" s="243"/>
      <c r="BO967" s="243"/>
      <c r="BP967" s="243"/>
      <c r="BQ967" s="243"/>
      <c r="BR967" s="243"/>
      <c r="BS967" s="243"/>
    </row>
    <row r="968" spans="1:71" s="12" customFormat="1" ht="41.25" customHeight="1">
      <c r="A968" s="178" t="s">
        <v>96</v>
      </c>
      <c r="B968" s="75" t="s">
        <v>1782</v>
      </c>
      <c r="C968" s="39" t="s">
        <v>17</v>
      </c>
      <c r="D968" s="236">
        <f>22+22</f>
        <v>44</v>
      </c>
      <c r="E968" s="236">
        <f>20+20</f>
        <v>40</v>
      </c>
      <c r="F968" s="236">
        <f>20+20</f>
        <v>40</v>
      </c>
      <c r="G968" s="236">
        <f>20+20</f>
        <v>40</v>
      </c>
      <c r="H968" s="240">
        <f>SUM(Tabla1321124[[#This Row],[PRIMER TRIMESTRE]:[CUARTO TRIMESTRE]])</f>
        <v>164</v>
      </c>
      <c r="I968" s="17">
        <v>4877.16</v>
      </c>
      <c r="J968" s="17">
        <f t="shared" si="15"/>
        <v>799854.24</v>
      </c>
      <c r="K968" s="17"/>
      <c r="L968" s="16" t="s">
        <v>18</v>
      </c>
      <c r="M968" s="16" t="s">
        <v>22</v>
      </c>
      <c r="N968" s="16"/>
      <c r="O968" s="243"/>
      <c r="P968" s="243"/>
      <c r="Q968" s="243"/>
      <c r="R968" s="243"/>
      <c r="S968" s="243"/>
      <c r="T968" s="243"/>
      <c r="U968" s="243"/>
      <c r="V968" s="243"/>
      <c r="W968" s="243"/>
      <c r="X968" s="243"/>
      <c r="Y968" s="243"/>
      <c r="Z968" s="243"/>
      <c r="AA968" s="243"/>
      <c r="AB968" s="243"/>
      <c r="AC968" s="243"/>
      <c r="AD968" s="243"/>
      <c r="AE968" s="243"/>
      <c r="AF968" s="243"/>
      <c r="AG968" s="243"/>
      <c r="AH968" s="243"/>
      <c r="AI968" s="243"/>
      <c r="AJ968" s="243"/>
      <c r="AK968" s="243"/>
      <c r="AL968" s="243"/>
      <c r="AM968" s="243"/>
      <c r="AN968" s="243"/>
      <c r="AO968" s="243"/>
      <c r="AP968" s="243"/>
      <c r="AQ968" s="243"/>
      <c r="AR968" s="243"/>
      <c r="AS968" s="243"/>
      <c r="AT968" s="243"/>
      <c r="AU968" s="243"/>
      <c r="AV968" s="243"/>
      <c r="AW968" s="243"/>
      <c r="AX968" s="243"/>
      <c r="AY968" s="243"/>
      <c r="AZ968" s="243"/>
      <c r="BA968" s="243"/>
      <c r="BB968" s="243"/>
      <c r="BC968" s="243"/>
      <c r="BD968" s="243"/>
      <c r="BE968" s="243"/>
      <c r="BF968" s="243"/>
      <c r="BG968" s="243"/>
      <c r="BH968" s="243"/>
      <c r="BI968" s="243"/>
      <c r="BJ968" s="243"/>
      <c r="BK968" s="243"/>
      <c r="BL968" s="243"/>
      <c r="BM968" s="243"/>
      <c r="BN968" s="243"/>
      <c r="BO968" s="243"/>
      <c r="BP968" s="243"/>
      <c r="BQ968" s="243"/>
      <c r="BR968" s="243"/>
      <c r="BS968" s="243"/>
    </row>
    <row r="969" spans="1:71" s="12" customFormat="1" ht="41.25" customHeight="1">
      <c r="A969" s="178" t="s">
        <v>96</v>
      </c>
      <c r="B969" s="75" t="s">
        <v>1783</v>
      </c>
      <c r="C969" s="39" t="s">
        <v>17</v>
      </c>
      <c r="D969" s="236">
        <f>50+30</f>
        <v>80</v>
      </c>
      <c r="E969" s="236">
        <f>50+30</f>
        <v>80</v>
      </c>
      <c r="F969" s="236">
        <f>50+30</f>
        <v>80</v>
      </c>
      <c r="G969" s="236">
        <f>50+30</f>
        <v>80</v>
      </c>
      <c r="H969" s="240">
        <f>SUM(Tabla1321124[[#This Row],[PRIMER TRIMESTRE]:[CUARTO TRIMESTRE]])</f>
        <v>320</v>
      </c>
      <c r="I969" s="17">
        <v>2726</v>
      </c>
      <c r="J969" s="17">
        <f t="shared" si="15"/>
        <v>872320</v>
      </c>
      <c r="K969" s="17"/>
      <c r="L969" s="16" t="s">
        <v>18</v>
      </c>
      <c r="M969" s="16" t="s">
        <v>22</v>
      </c>
      <c r="N969" s="16"/>
      <c r="O969" s="243"/>
      <c r="P969" s="243"/>
      <c r="Q969" s="243"/>
      <c r="R969" s="243"/>
      <c r="S969" s="243"/>
      <c r="T969" s="243"/>
      <c r="U969" s="243"/>
      <c r="V969" s="243"/>
      <c r="W969" s="243"/>
      <c r="X969" s="243"/>
      <c r="Y969" s="243"/>
      <c r="Z969" s="243"/>
      <c r="AA969" s="243"/>
      <c r="AB969" s="243"/>
      <c r="AC969" s="243"/>
      <c r="AD969" s="243"/>
      <c r="AE969" s="243"/>
      <c r="AF969" s="243"/>
      <c r="AG969" s="243"/>
      <c r="AH969" s="243"/>
      <c r="AI969" s="243"/>
      <c r="AJ969" s="243"/>
      <c r="AK969" s="243"/>
      <c r="AL969" s="243"/>
      <c r="AM969" s="243"/>
      <c r="AN969" s="243"/>
      <c r="AO969" s="243"/>
      <c r="AP969" s="243"/>
      <c r="AQ969" s="243"/>
      <c r="AR969" s="243"/>
      <c r="AS969" s="243"/>
      <c r="AT969" s="243"/>
      <c r="AU969" s="243"/>
      <c r="AV969" s="243"/>
      <c r="AW969" s="243"/>
      <c r="AX969" s="243"/>
      <c r="AY969" s="243"/>
      <c r="AZ969" s="243"/>
      <c r="BA969" s="243"/>
      <c r="BB969" s="243"/>
      <c r="BC969" s="243"/>
      <c r="BD969" s="243"/>
      <c r="BE969" s="243"/>
      <c r="BF969" s="243"/>
      <c r="BG969" s="243"/>
      <c r="BH969" s="243"/>
      <c r="BI969" s="243"/>
      <c r="BJ969" s="243"/>
      <c r="BK969" s="243"/>
      <c r="BL969" s="243"/>
      <c r="BM969" s="243"/>
      <c r="BN969" s="243"/>
      <c r="BO969" s="243"/>
      <c r="BP969" s="243"/>
      <c r="BQ969" s="243"/>
      <c r="BR969" s="243"/>
      <c r="BS969" s="243"/>
    </row>
    <row r="970" spans="1:71" s="12" customFormat="1" ht="41.25" customHeight="1">
      <c r="A970" s="178" t="s">
        <v>96</v>
      </c>
      <c r="B970" s="75" t="str">
        <f ca="1">+UPPER(Tabla1321124[[#This Row],[DESCRIPCIÓN DE LA COMPRA O CONTRATACIÓN]])</f>
        <v>APARTARRAYOS DE 3KV</v>
      </c>
      <c r="C970" s="39" t="s">
        <v>17</v>
      </c>
      <c r="D970" s="236">
        <f>50+7</f>
        <v>57</v>
      </c>
      <c r="E970" s="236">
        <f>50+5</f>
        <v>55</v>
      </c>
      <c r="F970" s="236">
        <f>50+5</f>
        <v>55</v>
      </c>
      <c r="G970" s="236">
        <f>50+5</f>
        <v>55</v>
      </c>
      <c r="H970" s="240">
        <f>SUM(Tabla1321124[[#This Row],[PRIMER TRIMESTRE]:[CUARTO TRIMESTRE]])</f>
        <v>222</v>
      </c>
      <c r="I970" s="17">
        <v>2438.11</v>
      </c>
      <c r="J970" s="17">
        <f t="shared" si="15"/>
        <v>541260.42000000004</v>
      </c>
      <c r="K970" s="17"/>
      <c r="L970" s="16" t="s">
        <v>18</v>
      </c>
      <c r="M970" s="16" t="s">
        <v>22</v>
      </c>
      <c r="N970" s="16"/>
      <c r="O970" s="243"/>
      <c r="P970" s="243"/>
      <c r="Q970" s="243"/>
      <c r="R970" s="243"/>
      <c r="S970" s="243"/>
      <c r="T970" s="243"/>
      <c r="U970" s="243"/>
      <c r="V970" s="243"/>
      <c r="W970" s="243"/>
      <c r="X970" s="243"/>
      <c r="Y970" s="243"/>
      <c r="Z970" s="243"/>
      <c r="AA970" s="243"/>
      <c r="AB970" s="243"/>
      <c r="AC970" s="243"/>
      <c r="AD970" s="243"/>
      <c r="AE970" s="243"/>
      <c r="AF970" s="243"/>
      <c r="AG970" s="243"/>
      <c r="AH970" s="243"/>
      <c r="AI970" s="243"/>
      <c r="AJ970" s="243"/>
      <c r="AK970" s="243"/>
      <c r="AL970" s="243"/>
      <c r="AM970" s="243"/>
      <c r="AN970" s="243"/>
      <c r="AO970" s="243"/>
      <c r="AP970" s="243"/>
      <c r="AQ970" s="243"/>
      <c r="AR970" s="243"/>
      <c r="AS970" s="243"/>
      <c r="AT970" s="243"/>
      <c r="AU970" s="243"/>
      <c r="AV970" s="243"/>
      <c r="AW970" s="243"/>
      <c r="AX970" s="243"/>
      <c r="AY970" s="243"/>
      <c r="AZ970" s="243"/>
      <c r="BA970" s="243"/>
      <c r="BB970" s="243"/>
      <c r="BC970" s="243"/>
      <c r="BD970" s="243"/>
      <c r="BE970" s="243"/>
      <c r="BF970" s="243"/>
      <c r="BG970" s="243"/>
      <c r="BH970" s="243"/>
      <c r="BI970" s="243"/>
      <c r="BJ970" s="243"/>
      <c r="BK970" s="243"/>
      <c r="BL970" s="243"/>
      <c r="BM970" s="243"/>
      <c r="BN970" s="243"/>
      <c r="BO970" s="243"/>
      <c r="BP970" s="243"/>
      <c r="BQ970" s="243"/>
      <c r="BR970" s="243"/>
      <c r="BS970" s="243"/>
    </row>
    <row r="971" spans="1:71" s="12" customFormat="1" ht="41.25" customHeight="1">
      <c r="A971" s="178" t="s">
        <v>96</v>
      </c>
      <c r="B971" s="75" t="s">
        <v>1784</v>
      </c>
      <c r="C971" s="39" t="s">
        <v>17</v>
      </c>
      <c r="D971" s="236">
        <f>50+17</f>
        <v>67</v>
      </c>
      <c r="E971" s="236">
        <f t="shared" ref="E971:G972" si="16">50+15</f>
        <v>65</v>
      </c>
      <c r="F971" s="236">
        <f t="shared" si="16"/>
        <v>65</v>
      </c>
      <c r="G971" s="236">
        <f t="shared" si="16"/>
        <v>65</v>
      </c>
      <c r="H971" s="240">
        <f>SUM(Tabla1321124[[#This Row],[PRIMER TRIMESTRE]:[CUARTO TRIMESTRE]])</f>
        <v>262</v>
      </c>
      <c r="I971" s="17">
        <v>6840</v>
      </c>
      <c r="J971" s="17">
        <f t="shared" si="15"/>
        <v>1792080</v>
      </c>
      <c r="K971" s="17"/>
      <c r="L971" s="16" t="s">
        <v>18</v>
      </c>
      <c r="M971" s="16" t="s">
        <v>22</v>
      </c>
      <c r="N971" s="16"/>
      <c r="O971" s="243"/>
      <c r="P971" s="243"/>
      <c r="Q971" s="243"/>
      <c r="R971" s="243"/>
      <c r="S971" s="243"/>
      <c r="T971" s="243"/>
      <c r="U971" s="243"/>
      <c r="V971" s="243"/>
      <c r="W971" s="243"/>
      <c r="X971" s="243"/>
      <c r="Y971" s="243"/>
      <c r="Z971" s="243"/>
      <c r="AA971" s="243"/>
      <c r="AB971" s="243"/>
      <c r="AC971" s="243"/>
      <c r="AD971" s="243"/>
      <c r="AE971" s="243"/>
      <c r="AF971" s="243"/>
      <c r="AG971" s="243"/>
      <c r="AH971" s="243"/>
      <c r="AI971" s="243"/>
      <c r="AJ971" s="243"/>
      <c r="AK971" s="243"/>
      <c r="AL971" s="243"/>
      <c r="AM971" s="243"/>
      <c r="AN971" s="243"/>
      <c r="AO971" s="243"/>
      <c r="AP971" s="243"/>
      <c r="AQ971" s="243"/>
      <c r="AR971" s="243"/>
      <c r="AS971" s="243"/>
      <c r="AT971" s="243"/>
      <c r="AU971" s="243"/>
      <c r="AV971" s="243"/>
      <c r="AW971" s="243"/>
      <c r="AX971" s="243"/>
      <c r="AY971" s="243"/>
      <c r="AZ971" s="243"/>
      <c r="BA971" s="243"/>
      <c r="BB971" s="243"/>
      <c r="BC971" s="243"/>
      <c r="BD971" s="243"/>
      <c r="BE971" s="243"/>
      <c r="BF971" s="243"/>
      <c r="BG971" s="243"/>
      <c r="BH971" s="243"/>
      <c r="BI971" s="243"/>
      <c r="BJ971" s="243"/>
      <c r="BK971" s="243"/>
      <c r="BL971" s="243"/>
      <c r="BM971" s="243"/>
      <c r="BN971" s="243"/>
      <c r="BO971" s="243"/>
      <c r="BP971" s="243"/>
      <c r="BQ971" s="243"/>
      <c r="BR971" s="243"/>
      <c r="BS971" s="243"/>
    </row>
    <row r="972" spans="1:71" s="12" customFormat="1" ht="41.25" customHeight="1">
      <c r="A972" s="178" t="s">
        <v>96</v>
      </c>
      <c r="B972" s="75" t="s">
        <v>1785</v>
      </c>
      <c r="C972" s="39" t="s">
        <v>17</v>
      </c>
      <c r="D972" s="236">
        <f>50+15</f>
        <v>65</v>
      </c>
      <c r="E972" s="236">
        <f t="shared" si="16"/>
        <v>65</v>
      </c>
      <c r="F972" s="236">
        <f t="shared" si="16"/>
        <v>65</v>
      </c>
      <c r="G972" s="236">
        <f t="shared" si="16"/>
        <v>65</v>
      </c>
      <c r="H972" s="240">
        <f>SUM(Tabla1321124[[#This Row],[PRIMER TRIMESTRE]:[CUARTO TRIMESTRE]])</f>
        <v>260</v>
      </c>
      <c r="I972" s="17">
        <v>6900</v>
      </c>
      <c r="J972" s="17">
        <f t="shared" si="15"/>
        <v>1794000</v>
      </c>
      <c r="K972" s="17"/>
      <c r="L972" s="16" t="s">
        <v>18</v>
      </c>
      <c r="M972" s="16" t="s">
        <v>22</v>
      </c>
      <c r="N972" s="16"/>
      <c r="O972" s="243"/>
      <c r="P972" s="243"/>
      <c r="Q972" s="243"/>
      <c r="R972" s="243"/>
      <c r="S972" s="243"/>
      <c r="T972" s="243"/>
      <c r="U972" s="243"/>
      <c r="V972" s="243"/>
      <c r="W972" s="243"/>
      <c r="X972" s="243"/>
      <c r="Y972" s="243"/>
      <c r="Z972" s="243"/>
      <c r="AA972" s="243"/>
      <c r="AB972" s="243"/>
      <c r="AC972" s="243"/>
      <c r="AD972" s="243"/>
      <c r="AE972" s="243"/>
      <c r="AF972" s="243"/>
      <c r="AG972" s="243"/>
      <c r="AH972" s="243"/>
      <c r="AI972" s="243"/>
      <c r="AJ972" s="243"/>
      <c r="AK972" s="243"/>
      <c r="AL972" s="243"/>
      <c r="AM972" s="243"/>
      <c r="AN972" s="243"/>
      <c r="AO972" s="243"/>
      <c r="AP972" s="243"/>
      <c r="AQ972" s="243"/>
      <c r="AR972" s="243"/>
      <c r="AS972" s="243"/>
      <c r="AT972" s="243"/>
      <c r="AU972" s="243"/>
      <c r="AV972" s="243"/>
      <c r="AW972" s="243"/>
      <c r="AX972" s="243"/>
      <c r="AY972" s="243"/>
      <c r="AZ972" s="243"/>
      <c r="BA972" s="243"/>
      <c r="BB972" s="243"/>
      <c r="BC972" s="243"/>
      <c r="BD972" s="243"/>
      <c r="BE972" s="243"/>
      <c r="BF972" s="243"/>
      <c r="BG972" s="243"/>
      <c r="BH972" s="243"/>
      <c r="BI972" s="243"/>
      <c r="BJ972" s="243"/>
      <c r="BK972" s="243"/>
      <c r="BL972" s="243"/>
      <c r="BM972" s="243"/>
      <c r="BN972" s="243"/>
      <c r="BO972" s="243"/>
      <c r="BP972" s="243"/>
      <c r="BQ972" s="243"/>
      <c r="BR972" s="243"/>
      <c r="BS972" s="243"/>
    </row>
    <row r="973" spans="1:71" s="12" customFormat="1" ht="41.25" customHeight="1">
      <c r="A973" s="178" t="s">
        <v>96</v>
      </c>
      <c r="B973" s="75" t="str">
        <f ca="1">+UPPER(Tabla1321124[[#This Row],[DESCRIPCIÓN DE LA COMPRA O CONTRATACIÓN]])</f>
        <v>CONECTOR RECTO L.T. Ø2</v>
      </c>
      <c r="C973" s="39" t="s">
        <v>17</v>
      </c>
      <c r="D973" s="236">
        <f t="shared" ref="D973:G974" si="17">100+10</f>
        <v>110</v>
      </c>
      <c r="E973" s="236">
        <f t="shared" si="17"/>
        <v>110</v>
      </c>
      <c r="F973" s="236">
        <f t="shared" si="17"/>
        <v>110</v>
      </c>
      <c r="G973" s="236">
        <f t="shared" si="17"/>
        <v>110</v>
      </c>
      <c r="H973" s="240">
        <f>SUM(Tabla1321124[[#This Row],[PRIMER TRIMESTRE]:[CUARTO TRIMESTRE]])</f>
        <v>440</v>
      </c>
      <c r="I973" s="17">
        <v>600</v>
      </c>
      <c r="J973" s="17">
        <f t="shared" si="15"/>
        <v>264000</v>
      </c>
      <c r="K973" s="17"/>
      <c r="L973" s="16" t="s">
        <v>18</v>
      </c>
      <c r="M973" s="16" t="s">
        <v>22</v>
      </c>
      <c r="N973" s="16"/>
      <c r="O973" s="243"/>
      <c r="P973" s="243"/>
      <c r="Q973" s="243"/>
      <c r="R973" s="243"/>
      <c r="S973" s="243"/>
      <c r="T973" s="243"/>
      <c r="U973" s="243"/>
      <c r="V973" s="243"/>
      <c r="W973" s="243"/>
      <c r="X973" s="243"/>
      <c r="Y973" s="243"/>
      <c r="Z973" s="243"/>
      <c r="AA973" s="243"/>
      <c r="AB973" s="243"/>
      <c r="AC973" s="243"/>
      <c r="AD973" s="243"/>
      <c r="AE973" s="243"/>
      <c r="AF973" s="243"/>
      <c r="AG973" s="243"/>
      <c r="AH973" s="243"/>
      <c r="AI973" s="243"/>
      <c r="AJ973" s="243"/>
      <c r="AK973" s="243"/>
      <c r="AL973" s="243"/>
      <c r="AM973" s="243"/>
      <c r="AN973" s="243"/>
      <c r="AO973" s="243"/>
      <c r="AP973" s="243"/>
      <c r="AQ973" s="243"/>
      <c r="AR973" s="243"/>
      <c r="AS973" s="243"/>
      <c r="AT973" s="243"/>
      <c r="AU973" s="243"/>
      <c r="AV973" s="243"/>
      <c r="AW973" s="243"/>
      <c r="AX973" s="243"/>
      <c r="AY973" s="243"/>
      <c r="AZ973" s="243"/>
      <c r="BA973" s="243"/>
      <c r="BB973" s="243"/>
      <c r="BC973" s="243"/>
      <c r="BD973" s="243"/>
      <c r="BE973" s="243"/>
      <c r="BF973" s="243"/>
      <c r="BG973" s="243"/>
      <c r="BH973" s="243"/>
      <c r="BI973" s="243"/>
      <c r="BJ973" s="243"/>
      <c r="BK973" s="243"/>
      <c r="BL973" s="243"/>
      <c r="BM973" s="243"/>
      <c r="BN973" s="243"/>
      <c r="BO973" s="243"/>
      <c r="BP973" s="243"/>
      <c r="BQ973" s="243"/>
      <c r="BR973" s="243"/>
      <c r="BS973" s="243"/>
    </row>
    <row r="974" spans="1:71" s="12" customFormat="1" ht="41.25" customHeight="1">
      <c r="A974" s="178" t="s">
        <v>96</v>
      </c>
      <c r="B974" s="75" t="str">
        <f ca="1">+UPPER(Tabla1321124[[#This Row],[DESCRIPCIÓN DE LA COMPRA O CONTRATACIÓN]])</f>
        <v>CONECTOR DE CUÑA NO. 2</v>
      </c>
      <c r="C974" s="39" t="s">
        <v>17</v>
      </c>
      <c r="D974" s="236">
        <f t="shared" si="17"/>
        <v>110</v>
      </c>
      <c r="E974" s="236">
        <f t="shared" si="17"/>
        <v>110</v>
      </c>
      <c r="F974" s="236">
        <f t="shared" si="17"/>
        <v>110</v>
      </c>
      <c r="G974" s="236">
        <f t="shared" si="17"/>
        <v>110</v>
      </c>
      <c r="H974" s="240">
        <f>SUM(Tabla1321124[[#This Row],[PRIMER TRIMESTRE]:[CUARTO TRIMESTRE]])</f>
        <v>440</v>
      </c>
      <c r="I974" s="17">
        <v>101.53</v>
      </c>
      <c r="J974" s="17">
        <f t="shared" si="15"/>
        <v>44673.2</v>
      </c>
      <c r="K974" s="17"/>
      <c r="L974" s="16" t="s">
        <v>18</v>
      </c>
      <c r="M974" s="16" t="s">
        <v>22</v>
      </c>
      <c r="N974" s="16"/>
      <c r="O974" s="243"/>
      <c r="P974" s="243"/>
      <c r="Q974" s="243"/>
      <c r="R974" s="243"/>
      <c r="S974" s="243"/>
      <c r="T974" s="243"/>
      <c r="U974" s="243"/>
      <c r="V974" s="243"/>
      <c r="W974" s="243"/>
      <c r="X974" s="243"/>
      <c r="Y974" s="243"/>
      <c r="Z974" s="243"/>
      <c r="AA974" s="243"/>
      <c r="AB974" s="243"/>
      <c r="AC974" s="243"/>
      <c r="AD974" s="243"/>
      <c r="AE974" s="243"/>
      <c r="AF974" s="243"/>
      <c r="AG974" s="243"/>
      <c r="AH974" s="243"/>
      <c r="AI974" s="243"/>
      <c r="AJ974" s="243"/>
      <c r="AK974" s="243"/>
      <c r="AL974" s="243"/>
      <c r="AM974" s="243"/>
      <c r="AN974" s="243"/>
      <c r="AO974" s="243"/>
      <c r="AP974" s="243"/>
      <c r="AQ974" s="243"/>
      <c r="AR974" s="243"/>
      <c r="AS974" s="243"/>
      <c r="AT974" s="243"/>
      <c r="AU974" s="243"/>
      <c r="AV974" s="243"/>
      <c r="AW974" s="243"/>
      <c r="AX974" s="243"/>
      <c r="AY974" s="243"/>
      <c r="AZ974" s="243"/>
      <c r="BA974" s="243"/>
      <c r="BB974" s="243"/>
      <c r="BC974" s="243"/>
      <c r="BD974" s="243"/>
      <c r="BE974" s="243"/>
      <c r="BF974" s="243"/>
      <c r="BG974" s="243"/>
      <c r="BH974" s="243"/>
      <c r="BI974" s="243"/>
      <c r="BJ974" s="243"/>
      <c r="BK974" s="243"/>
      <c r="BL974" s="243"/>
      <c r="BM974" s="243"/>
      <c r="BN974" s="243"/>
      <c r="BO974" s="243"/>
      <c r="BP974" s="243"/>
      <c r="BQ974" s="243"/>
      <c r="BR974" s="243"/>
      <c r="BS974" s="243"/>
    </row>
    <row r="975" spans="1:71" s="12" customFormat="1" ht="41.25" customHeight="1">
      <c r="A975" s="178" t="s">
        <v>96</v>
      </c>
      <c r="B975" s="75" t="str">
        <f ca="1">+UPPER(Tabla1321124[[#This Row],[DESCRIPCIÓN DE LA COMPRA O CONTRATACIÓN]])</f>
        <v>CONECTOR TIPO CUÑA I/0 NO. 12</v>
      </c>
      <c r="C975" s="39" t="s">
        <v>17</v>
      </c>
      <c r="D975" s="236">
        <v>115</v>
      </c>
      <c r="E975" s="236">
        <v>115</v>
      </c>
      <c r="F975" s="236">
        <v>115</v>
      </c>
      <c r="G975" s="236">
        <v>115</v>
      </c>
      <c r="H975" s="240">
        <f>SUM(Tabla1321124[[#This Row],[PRIMER TRIMESTRE]:[CUARTO TRIMESTRE]])</f>
        <v>460</v>
      </c>
      <c r="I975" s="17">
        <v>13750</v>
      </c>
      <c r="J975" s="17">
        <f t="shared" si="15"/>
        <v>6325000</v>
      </c>
      <c r="K975" s="17"/>
      <c r="L975" s="16" t="s">
        <v>18</v>
      </c>
      <c r="M975" s="16" t="s">
        <v>22</v>
      </c>
      <c r="N975" s="16" t="s">
        <v>418</v>
      </c>
      <c r="O975" s="243"/>
      <c r="P975" s="243"/>
      <c r="Q975" s="243"/>
      <c r="R975" s="243"/>
      <c r="S975" s="243"/>
      <c r="T975" s="243"/>
      <c r="U975" s="243"/>
      <c r="V975" s="243"/>
      <c r="W975" s="243"/>
      <c r="X975" s="243"/>
      <c r="Y975" s="243"/>
      <c r="Z975" s="243"/>
      <c r="AA975" s="243"/>
      <c r="AB975" s="243"/>
      <c r="AC975" s="243"/>
      <c r="AD975" s="243"/>
      <c r="AE975" s="243"/>
      <c r="AF975" s="243"/>
      <c r="AG975" s="243"/>
      <c r="AH975" s="243"/>
      <c r="AI975" s="243"/>
      <c r="AJ975" s="243"/>
      <c r="AK975" s="243"/>
      <c r="AL975" s="243"/>
      <c r="AM975" s="243"/>
      <c r="AN975" s="243"/>
      <c r="AO975" s="243"/>
      <c r="AP975" s="243"/>
      <c r="AQ975" s="243"/>
      <c r="AR975" s="243"/>
      <c r="AS975" s="243"/>
      <c r="AT975" s="243"/>
      <c r="AU975" s="243"/>
      <c r="AV975" s="243"/>
      <c r="AW975" s="243"/>
      <c r="AX975" s="243"/>
      <c r="AY975" s="243"/>
      <c r="AZ975" s="243"/>
      <c r="BA975" s="243"/>
      <c r="BB975" s="243"/>
      <c r="BC975" s="243"/>
      <c r="BD975" s="243"/>
      <c r="BE975" s="243"/>
      <c r="BF975" s="243"/>
      <c r="BG975" s="243"/>
      <c r="BH975" s="243"/>
      <c r="BI975" s="243"/>
      <c r="BJ975" s="243"/>
      <c r="BK975" s="243"/>
      <c r="BL975" s="243"/>
      <c r="BM975" s="243"/>
      <c r="BN975" s="243"/>
      <c r="BO975" s="243"/>
      <c r="BP975" s="243"/>
      <c r="BQ975" s="243"/>
      <c r="BR975" s="243"/>
      <c r="BS975" s="243"/>
    </row>
    <row r="976" spans="1:71" s="12" customFormat="1" ht="41.25" customHeight="1">
      <c r="A976" s="178" t="s">
        <v>96</v>
      </c>
      <c r="B976" s="75" t="str">
        <f ca="1">+UPPER(Tabla1321124[[#This Row],[DESCRIPCIÓN DE LA COMPRA O CONTRATACIÓN]])</f>
        <v>CONECTOR DE CUÑA PRECION AWG 10-2CU</v>
      </c>
      <c r="C976" s="39" t="s">
        <v>17</v>
      </c>
      <c r="D976" s="236">
        <f>40+15</f>
        <v>55</v>
      </c>
      <c r="E976" s="236">
        <f>10+15</f>
        <v>25</v>
      </c>
      <c r="F976" s="236">
        <f>10+15</f>
        <v>25</v>
      </c>
      <c r="G976" s="236">
        <f>20+15</f>
        <v>35</v>
      </c>
      <c r="H976" s="240">
        <f>SUM(Tabla1321124[[#This Row],[PRIMER TRIMESTRE]:[CUARTO TRIMESTRE]])</f>
        <v>140</v>
      </c>
      <c r="I976" s="17">
        <v>110</v>
      </c>
      <c r="J976" s="17">
        <f t="shared" si="15"/>
        <v>15400</v>
      </c>
      <c r="K976" s="17"/>
      <c r="L976" s="16" t="s">
        <v>18</v>
      </c>
      <c r="M976" s="16" t="s">
        <v>22</v>
      </c>
      <c r="N976" s="16"/>
      <c r="O976" s="243"/>
      <c r="P976" s="243"/>
      <c r="Q976" s="243"/>
      <c r="R976" s="243"/>
      <c r="S976" s="243"/>
      <c r="T976" s="243"/>
      <c r="U976" s="243"/>
      <c r="V976" s="243"/>
      <c r="W976" s="243"/>
      <c r="X976" s="243"/>
      <c r="Y976" s="243"/>
      <c r="Z976" s="243"/>
      <c r="AA976" s="243"/>
      <c r="AB976" s="243"/>
      <c r="AC976" s="243"/>
      <c r="AD976" s="243"/>
      <c r="AE976" s="243"/>
      <c r="AF976" s="243"/>
      <c r="AG976" s="243"/>
      <c r="AH976" s="243"/>
      <c r="AI976" s="243"/>
      <c r="AJ976" s="243"/>
      <c r="AK976" s="243"/>
      <c r="AL976" s="243"/>
      <c r="AM976" s="243"/>
      <c r="AN976" s="243"/>
      <c r="AO976" s="243"/>
      <c r="AP976" s="243"/>
      <c r="AQ976" s="243"/>
      <c r="AR976" s="243"/>
      <c r="AS976" s="243"/>
      <c r="AT976" s="243"/>
      <c r="AU976" s="243"/>
      <c r="AV976" s="243"/>
      <c r="AW976" s="243"/>
      <c r="AX976" s="243"/>
      <c r="AY976" s="243"/>
      <c r="AZ976" s="243"/>
      <c r="BA976" s="243"/>
      <c r="BB976" s="243"/>
      <c r="BC976" s="243"/>
      <c r="BD976" s="243"/>
      <c r="BE976" s="243"/>
      <c r="BF976" s="243"/>
      <c r="BG976" s="243"/>
      <c r="BH976" s="243"/>
      <c r="BI976" s="243"/>
      <c r="BJ976" s="243"/>
      <c r="BK976" s="243"/>
      <c r="BL976" s="243"/>
      <c r="BM976" s="243"/>
      <c r="BN976" s="243"/>
      <c r="BO976" s="243"/>
      <c r="BP976" s="243"/>
      <c r="BQ976" s="243"/>
      <c r="BR976" s="243"/>
      <c r="BS976" s="243"/>
    </row>
    <row r="977" spans="1:71" s="12" customFormat="1" ht="41.25" customHeight="1">
      <c r="A977" s="178" t="s">
        <v>96</v>
      </c>
      <c r="B977" s="75" t="str">
        <f ca="1">+UPPER(Tabla1321124[[#This Row],[DESCRIPCIÓN DE LA COMPRA O CONTRATACIÓN]])</f>
        <v>CONECTOR DE 5/8 PARA VANILLA DE TIERRA</v>
      </c>
      <c r="C977" s="39" t="s">
        <v>17</v>
      </c>
      <c r="D977" s="236">
        <f>100+19</f>
        <v>119</v>
      </c>
      <c r="E977" s="236">
        <f>10+19</f>
        <v>29</v>
      </c>
      <c r="F977" s="236">
        <f>10+19</f>
        <v>29</v>
      </c>
      <c r="G977" s="236">
        <f>20+19</f>
        <v>39</v>
      </c>
      <c r="H977" s="240">
        <f>SUM(Tabla1321124[[#This Row],[PRIMER TRIMESTRE]:[CUARTO TRIMESTRE]])</f>
        <v>216</v>
      </c>
      <c r="I977" s="17">
        <v>40</v>
      </c>
      <c r="J977" s="17">
        <f t="shared" si="15"/>
        <v>8640</v>
      </c>
      <c r="K977" s="17"/>
      <c r="L977" s="16" t="s">
        <v>18</v>
      </c>
      <c r="M977" s="16" t="s">
        <v>22</v>
      </c>
      <c r="N977" s="16"/>
      <c r="O977" s="243"/>
      <c r="P977" s="243"/>
      <c r="Q977" s="243"/>
      <c r="R977" s="243"/>
      <c r="S977" s="243"/>
      <c r="T977" s="243"/>
      <c r="U977" s="243"/>
      <c r="V977" s="243"/>
      <c r="W977" s="243"/>
      <c r="X977" s="243"/>
      <c r="Y977" s="243"/>
      <c r="Z977" s="243"/>
      <c r="AA977" s="243"/>
      <c r="AB977" s="243"/>
      <c r="AC977" s="243"/>
      <c r="AD977" s="243"/>
      <c r="AE977" s="243"/>
      <c r="AF977" s="243"/>
      <c r="AG977" s="243"/>
      <c r="AH977" s="243"/>
      <c r="AI977" s="243"/>
      <c r="AJ977" s="243"/>
      <c r="AK977" s="243"/>
      <c r="AL977" s="243"/>
      <c r="AM977" s="243"/>
      <c r="AN977" s="243"/>
      <c r="AO977" s="243"/>
      <c r="AP977" s="243"/>
      <c r="AQ977" s="243"/>
      <c r="AR977" s="243"/>
      <c r="AS977" s="243"/>
      <c r="AT977" s="243"/>
      <c r="AU977" s="243"/>
      <c r="AV977" s="243"/>
      <c r="AW977" s="243"/>
      <c r="AX977" s="243"/>
      <c r="AY977" s="243"/>
      <c r="AZ977" s="243"/>
      <c r="BA977" s="243"/>
      <c r="BB977" s="243"/>
      <c r="BC977" s="243"/>
      <c r="BD977" s="243"/>
      <c r="BE977" s="243"/>
      <c r="BF977" s="243"/>
      <c r="BG977" s="243"/>
      <c r="BH977" s="243"/>
      <c r="BI977" s="243"/>
      <c r="BJ977" s="243"/>
      <c r="BK977" s="243"/>
      <c r="BL977" s="243"/>
      <c r="BM977" s="243"/>
      <c r="BN977" s="243"/>
      <c r="BO977" s="243"/>
      <c r="BP977" s="243"/>
      <c r="BQ977" s="243"/>
      <c r="BR977" s="243"/>
      <c r="BS977" s="243"/>
    </row>
    <row r="978" spans="1:71" s="12" customFormat="1" ht="41.25" customHeight="1">
      <c r="A978" s="178" t="s">
        <v>96</v>
      </c>
      <c r="B978" s="75" t="str">
        <f ca="1">+UPPER(Tabla1321124[[#This Row],[DESCRIPCIÓN DE LA COMPRA O CONTRATACIÓN]])</f>
        <v>CONECTOR ELASTICO TIPO CUÑA 4/0 AWG-2CU</v>
      </c>
      <c r="C978" s="39" t="s">
        <v>17</v>
      </c>
      <c r="D978" s="236">
        <f>10+10</f>
        <v>20</v>
      </c>
      <c r="E978" s="236">
        <f>4+10</f>
        <v>14</v>
      </c>
      <c r="F978" s="236">
        <f>2+10</f>
        <v>12</v>
      </c>
      <c r="G978" s="236">
        <f>4+10</f>
        <v>14</v>
      </c>
      <c r="H978" s="240">
        <f>SUM(Tabla1321124[[#This Row],[PRIMER TRIMESTRE]:[CUARTO TRIMESTRE]])</f>
        <v>60</v>
      </c>
      <c r="I978" s="17">
        <v>90</v>
      </c>
      <c r="J978" s="17">
        <f t="shared" si="15"/>
        <v>5400</v>
      </c>
      <c r="K978" s="17"/>
      <c r="L978" s="16" t="s">
        <v>18</v>
      </c>
      <c r="M978" s="16" t="s">
        <v>22</v>
      </c>
      <c r="N978" s="16"/>
      <c r="O978" s="243"/>
      <c r="P978" s="243"/>
      <c r="Q978" s="243"/>
      <c r="R978" s="243"/>
      <c r="S978" s="243"/>
      <c r="T978" s="243"/>
      <c r="U978" s="243"/>
      <c r="V978" s="243"/>
      <c r="W978" s="243"/>
      <c r="X978" s="243"/>
      <c r="Y978" s="243"/>
      <c r="Z978" s="243"/>
      <c r="AA978" s="243"/>
      <c r="AB978" s="243"/>
      <c r="AC978" s="243"/>
      <c r="AD978" s="243"/>
      <c r="AE978" s="243"/>
      <c r="AF978" s="243"/>
      <c r="AG978" s="243"/>
      <c r="AH978" s="243"/>
      <c r="AI978" s="243"/>
      <c r="AJ978" s="243"/>
      <c r="AK978" s="243"/>
      <c r="AL978" s="243"/>
      <c r="AM978" s="243"/>
      <c r="AN978" s="243"/>
      <c r="AO978" s="243"/>
      <c r="AP978" s="243"/>
      <c r="AQ978" s="243"/>
      <c r="AR978" s="243"/>
      <c r="AS978" s="243"/>
      <c r="AT978" s="243"/>
      <c r="AU978" s="243"/>
      <c r="AV978" s="243"/>
      <c r="AW978" s="243"/>
      <c r="AX978" s="243"/>
      <c r="AY978" s="243"/>
      <c r="AZ978" s="243"/>
      <c r="BA978" s="243"/>
      <c r="BB978" s="243"/>
      <c r="BC978" s="243"/>
      <c r="BD978" s="243"/>
      <c r="BE978" s="243"/>
      <c r="BF978" s="243"/>
      <c r="BG978" s="243"/>
      <c r="BH978" s="243"/>
      <c r="BI978" s="243"/>
      <c r="BJ978" s="243"/>
      <c r="BK978" s="243"/>
      <c r="BL978" s="243"/>
      <c r="BM978" s="243"/>
      <c r="BN978" s="243"/>
      <c r="BO978" s="243"/>
      <c r="BP978" s="243"/>
      <c r="BQ978" s="243"/>
      <c r="BR978" s="243"/>
      <c r="BS978" s="243"/>
    </row>
    <row r="979" spans="1:71" s="12" customFormat="1" ht="41.25" customHeight="1">
      <c r="A979" s="178" t="s">
        <v>96</v>
      </c>
      <c r="B979" s="75" t="str">
        <f ca="1">+UPPER(Tabla1321124[[#This Row],[DESCRIPCIÓN DE LA COMPRA O CONTRATACIÓN]])</f>
        <v>CONECTOR DE EMPALME TIPO MANGA 350 MCM</v>
      </c>
      <c r="C979" s="39" t="s">
        <v>17</v>
      </c>
      <c r="D979" s="236">
        <v>9</v>
      </c>
      <c r="E979" s="236">
        <v>75</v>
      </c>
      <c r="F979" s="236">
        <v>75</v>
      </c>
      <c r="G979" s="236">
        <v>75</v>
      </c>
      <c r="H979" s="240">
        <f>SUM(Tabla1321124[[#This Row],[PRIMER TRIMESTRE]:[CUARTO TRIMESTRE]])</f>
        <v>234</v>
      </c>
      <c r="I979" s="17">
        <v>13750</v>
      </c>
      <c r="J979" s="17">
        <f t="shared" si="15"/>
        <v>3217500</v>
      </c>
      <c r="K979" s="17"/>
      <c r="L979" s="16" t="s">
        <v>18</v>
      </c>
      <c r="M979" s="16" t="s">
        <v>22</v>
      </c>
      <c r="N979" s="16" t="s">
        <v>418</v>
      </c>
      <c r="O979" s="243"/>
      <c r="P979" s="243"/>
      <c r="Q979" s="243"/>
      <c r="R979" s="243"/>
      <c r="S979" s="243"/>
      <c r="T979" s="243"/>
      <c r="U979" s="243"/>
      <c r="V979" s="243"/>
      <c r="W979" s="243"/>
      <c r="X979" s="243"/>
      <c r="Y979" s="243"/>
      <c r="Z979" s="243"/>
      <c r="AA979" s="243"/>
      <c r="AB979" s="243"/>
      <c r="AC979" s="243"/>
      <c r="AD979" s="243"/>
      <c r="AE979" s="243"/>
      <c r="AF979" s="243"/>
      <c r="AG979" s="243"/>
      <c r="AH979" s="243"/>
      <c r="AI979" s="243"/>
      <c r="AJ979" s="243"/>
      <c r="AK979" s="243"/>
      <c r="AL979" s="243"/>
      <c r="AM979" s="243"/>
      <c r="AN979" s="243"/>
      <c r="AO979" s="243"/>
      <c r="AP979" s="243"/>
      <c r="AQ979" s="243"/>
      <c r="AR979" s="243"/>
      <c r="AS979" s="243"/>
      <c r="AT979" s="243"/>
      <c r="AU979" s="243"/>
      <c r="AV979" s="243"/>
      <c r="AW979" s="243"/>
      <c r="AX979" s="243"/>
      <c r="AY979" s="243"/>
      <c r="AZ979" s="243"/>
      <c r="BA979" s="243"/>
      <c r="BB979" s="243"/>
      <c r="BC979" s="243"/>
      <c r="BD979" s="243"/>
      <c r="BE979" s="243"/>
      <c r="BF979" s="243"/>
      <c r="BG979" s="243"/>
      <c r="BH979" s="243"/>
      <c r="BI979" s="243"/>
      <c r="BJ979" s="243"/>
      <c r="BK979" s="243"/>
      <c r="BL979" s="243"/>
      <c r="BM979" s="243"/>
      <c r="BN979" s="243"/>
      <c r="BO979" s="243"/>
      <c r="BP979" s="243"/>
      <c r="BQ979" s="243"/>
      <c r="BR979" s="243"/>
      <c r="BS979" s="243"/>
    </row>
    <row r="980" spans="1:71" s="12" customFormat="1" ht="41.25" customHeight="1">
      <c r="A980" s="178" t="s">
        <v>96</v>
      </c>
      <c r="B980" s="75" t="str">
        <f ca="1">+UPPER(Tabla1321124[[#This Row],[DESCRIPCIÓN DE LA COMPRA O CONTRATACIÓN]])</f>
        <v>CONECTOR TIPO PENNO PARTIDO PARA CABLE  NO. 2</v>
      </c>
      <c r="C980" s="39" t="s">
        <v>17</v>
      </c>
      <c r="D980" s="236">
        <f>40+35</f>
        <v>75</v>
      </c>
      <c r="E980" s="236">
        <f>10+35</f>
        <v>45</v>
      </c>
      <c r="F980" s="236">
        <f>10+35</f>
        <v>45</v>
      </c>
      <c r="G980" s="236">
        <f>20+35</f>
        <v>55</v>
      </c>
      <c r="H980" s="240">
        <f>SUM(Tabla1321124[[#This Row],[PRIMER TRIMESTRE]:[CUARTO TRIMESTRE]])</f>
        <v>220</v>
      </c>
      <c r="I980" s="17">
        <v>95</v>
      </c>
      <c r="J980" s="17">
        <f t="shared" si="15"/>
        <v>20900</v>
      </c>
      <c r="K980" s="17"/>
      <c r="L980" s="16" t="s">
        <v>18</v>
      </c>
      <c r="M980" s="16" t="s">
        <v>22</v>
      </c>
      <c r="N980" s="16"/>
      <c r="O980" s="243"/>
      <c r="P980" s="243"/>
      <c r="Q980" s="243"/>
      <c r="R980" s="243"/>
      <c r="S980" s="243"/>
      <c r="T980" s="243"/>
      <c r="U980" s="243"/>
      <c r="V980" s="243"/>
      <c r="W980" s="243"/>
      <c r="X980" s="243"/>
      <c r="Y980" s="243"/>
      <c r="Z980" s="243"/>
      <c r="AA980" s="243"/>
      <c r="AB980" s="243"/>
      <c r="AC980" s="243"/>
      <c r="AD980" s="243"/>
      <c r="AE980" s="243"/>
      <c r="AF980" s="243"/>
      <c r="AG980" s="243"/>
      <c r="AH980" s="243"/>
      <c r="AI980" s="243"/>
      <c r="AJ980" s="243"/>
      <c r="AK980" s="243"/>
      <c r="AL980" s="243"/>
      <c r="AM980" s="243"/>
      <c r="AN980" s="243"/>
      <c r="AO980" s="243"/>
      <c r="AP980" s="243"/>
      <c r="AQ980" s="243"/>
      <c r="AR980" s="243"/>
      <c r="AS980" s="243"/>
      <c r="AT980" s="243"/>
      <c r="AU980" s="243"/>
      <c r="AV980" s="243"/>
      <c r="AW980" s="243"/>
      <c r="AX980" s="243"/>
      <c r="AY980" s="243"/>
      <c r="AZ980" s="243"/>
      <c r="BA980" s="243"/>
      <c r="BB980" s="243"/>
      <c r="BC980" s="243"/>
      <c r="BD980" s="243"/>
      <c r="BE980" s="243"/>
      <c r="BF980" s="243"/>
      <c r="BG980" s="243"/>
      <c r="BH980" s="243"/>
      <c r="BI980" s="243"/>
      <c r="BJ980" s="243"/>
      <c r="BK980" s="243"/>
      <c r="BL980" s="243"/>
      <c r="BM980" s="243"/>
      <c r="BN980" s="243"/>
      <c r="BO980" s="243"/>
      <c r="BP980" s="243"/>
      <c r="BQ980" s="243"/>
      <c r="BR980" s="243"/>
      <c r="BS980" s="243"/>
    </row>
    <row r="981" spans="1:71" s="12" customFormat="1" ht="41.25" customHeight="1">
      <c r="A981" s="178" t="s">
        <v>96</v>
      </c>
      <c r="B981" s="75" t="str">
        <f ca="1">+UPPER(Tabla1321124[[#This Row],[DESCRIPCIÓN DE LA COMPRA O CONTRATACIÓN]])</f>
        <v>CONECTOR DE COBRE TIPO PERNO  PARTIDO DE COBRE NO. 4/0 (DE COBRE)</v>
      </c>
      <c r="C981" s="39" t="s">
        <v>17</v>
      </c>
      <c r="D981" s="236">
        <f>40+22</f>
        <v>62</v>
      </c>
      <c r="E981" s="236">
        <f>10+22</f>
        <v>32</v>
      </c>
      <c r="F981" s="236">
        <f>10+22</f>
        <v>32</v>
      </c>
      <c r="G981" s="236">
        <f>20+22</f>
        <v>42</v>
      </c>
      <c r="H981" s="240">
        <f>SUM(Tabla1321124[[#This Row],[PRIMER TRIMESTRE]:[CUARTO TRIMESTRE]])</f>
        <v>168</v>
      </c>
      <c r="I981" s="17">
        <v>95</v>
      </c>
      <c r="J981" s="17">
        <f t="shared" si="15"/>
        <v>15960</v>
      </c>
      <c r="K981" s="17"/>
      <c r="L981" s="16" t="s">
        <v>18</v>
      </c>
      <c r="M981" s="16" t="s">
        <v>22</v>
      </c>
      <c r="N981" s="16"/>
      <c r="O981" s="243"/>
      <c r="P981" s="243"/>
      <c r="Q981" s="243"/>
      <c r="R981" s="243"/>
      <c r="S981" s="243"/>
      <c r="T981" s="243"/>
      <c r="U981" s="243"/>
      <c r="V981" s="243"/>
      <c r="W981" s="243"/>
      <c r="X981" s="243"/>
      <c r="Y981" s="243"/>
      <c r="Z981" s="243"/>
      <c r="AA981" s="243"/>
      <c r="AB981" s="243"/>
      <c r="AC981" s="243"/>
      <c r="AD981" s="243"/>
      <c r="AE981" s="243"/>
      <c r="AF981" s="243"/>
      <c r="AG981" s="243"/>
      <c r="AH981" s="243"/>
      <c r="AI981" s="243"/>
      <c r="AJ981" s="243"/>
      <c r="AK981" s="243"/>
      <c r="AL981" s="243"/>
      <c r="AM981" s="243"/>
      <c r="AN981" s="243"/>
      <c r="AO981" s="243"/>
      <c r="AP981" s="243"/>
      <c r="AQ981" s="243"/>
      <c r="AR981" s="243"/>
      <c r="AS981" s="243"/>
      <c r="AT981" s="243"/>
      <c r="AU981" s="243"/>
      <c r="AV981" s="243"/>
      <c r="AW981" s="243"/>
      <c r="AX981" s="243"/>
      <c r="AY981" s="243"/>
      <c r="AZ981" s="243"/>
      <c r="BA981" s="243"/>
      <c r="BB981" s="243"/>
      <c r="BC981" s="243"/>
      <c r="BD981" s="243"/>
      <c r="BE981" s="243"/>
      <c r="BF981" s="243"/>
      <c r="BG981" s="243"/>
      <c r="BH981" s="243"/>
      <c r="BI981" s="243"/>
      <c r="BJ981" s="243"/>
      <c r="BK981" s="243"/>
      <c r="BL981" s="243"/>
      <c r="BM981" s="243"/>
      <c r="BN981" s="243"/>
      <c r="BO981" s="243"/>
      <c r="BP981" s="243"/>
      <c r="BQ981" s="243"/>
      <c r="BR981" s="243"/>
      <c r="BS981" s="243"/>
    </row>
    <row r="982" spans="1:71" s="12" customFormat="1" ht="41.25" customHeight="1">
      <c r="A982" s="178" t="s">
        <v>96</v>
      </c>
      <c r="B982" s="75" t="str">
        <f ca="1">+UPPER(Tabla1321124[[#This Row],[DESCRIPCIÓN DE LA COMPRA O CONTRATACIÓN]])</f>
        <v>CONECTOR DE OJO TERMINAL 350 MCM</v>
      </c>
      <c r="C982" s="39" t="s">
        <v>17</v>
      </c>
      <c r="D982" s="236">
        <f>40+50</f>
        <v>90</v>
      </c>
      <c r="E982" s="236">
        <f>10+25</f>
        <v>35</v>
      </c>
      <c r="F982" s="236">
        <f>10+50</f>
        <v>60</v>
      </c>
      <c r="G982" s="236">
        <f>20+20</f>
        <v>40</v>
      </c>
      <c r="H982" s="240">
        <f>SUM(Tabla1321124[[#This Row],[PRIMER TRIMESTRE]:[CUARTO TRIMESTRE]])</f>
        <v>225</v>
      </c>
      <c r="I982" s="17">
        <v>191</v>
      </c>
      <c r="J982" s="17">
        <f t="shared" si="15"/>
        <v>42975</v>
      </c>
      <c r="K982" s="17"/>
      <c r="L982" s="16" t="s">
        <v>18</v>
      </c>
      <c r="M982" s="16" t="s">
        <v>22</v>
      </c>
      <c r="N982" s="16" t="s">
        <v>418</v>
      </c>
      <c r="O982" s="243"/>
      <c r="P982" s="243"/>
      <c r="Q982" s="243"/>
      <c r="R982" s="243"/>
      <c r="S982" s="243"/>
      <c r="T982" s="243"/>
      <c r="U982" s="243"/>
      <c r="V982" s="243"/>
      <c r="W982" s="243"/>
      <c r="X982" s="243"/>
      <c r="Y982" s="243"/>
      <c r="Z982" s="243"/>
      <c r="AA982" s="243"/>
      <c r="AB982" s="243"/>
      <c r="AC982" s="243"/>
      <c r="AD982" s="243"/>
      <c r="AE982" s="243"/>
      <c r="AF982" s="243"/>
      <c r="AG982" s="243"/>
      <c r="AH982" s="243"/>
      <c r="AI982" s="243"/>
      <c r="AJ982" s="243"/>
      <c r="AK982" s="243"/>
      <c r="AL982" s="243"/>
      <c r="AM982" s="243"/>
      <c r="AN982" s="243"/>
      <c r="AO982" s="243"/>
      <c r="AP982" s="243"/>
      <c r="AQ982" s="243"/>
      <c r="AR982" s="243"/>
      <c r="AS982" s="243"/>
      <c r="AT982" s="243"/>
      <c r="AU982" s="243"/>
      <c r="AV982" s="243"/>
      <c r="AW982" s="243"/>
      <c r="AX982" s="243"/>
      <c r="AY982" s="243"/>
      <c r="AZ982" s="243"/>
      <c r="BA982" s="243"/>
      <c r="BB982" s="243"/>
      <c r="BC982" s="243"/>
      <c r="BD982" s="243"/>
      <c r="BE982" s="243"/>
      <c r="BF982" s="243"/>
      <c r="BG982" s="243"/>
      <c r="BH982" s="243"/>
      <c r="BI982" s="243"/>
      <c r="BJ982" s="243"/>
      <c r="BK982" s="243"/>
      <c r="BL982" s="243"/>
      <c r="BM982" s="243"/>
      <c r="BN982" s="243"/>
      <c r="BO982" s="243"/>
      <c r="BP982" s="243"/>
      <c r="BQ982" s="243"/>
      <c r="BR982" s="243"/>
      <c r="BS982" s="243"/>
    </row>
    <row r="983" spans="1:71" s="12" customFormat="1" ht="41.25" customHeight="1">
      <c r="A983" s="178" t="s">
        <v>96</v>
      </c>
      <c r="B983" s="77" t="str">
        <f ca="1">+UPPER(Tabla1321124[[#This Row],[DESCRIPCIÓN DE LA COMPRA O CONTRATACIÓN]])</f>
        <v>GUIAS DE BRONCE DE  (PARA EJES DE 1 1/4" O 1 1/2") Ø4"</v>
      </c>
      <c r="C983" s="39" t="s">
        <v>17</v>
      </c>
      <c r="D983" s="365">
        <v>20</v>
      </c>
      <c r="E983" s="365"/>
      <c r="F983" s="365">
        <v>20</v>
      </c>
      <c r="G983" s="365"/>
      <c r="H983" s="240">
        <f>SUM(Tabla1321124[[#This Row],[PRIMER TRIMESTRE]:[CUARTO TRIMESTRE]])</f>
        <v>40</v>
      </c>
      <c r="I983" s="17">
        <v>6900</v>
      </c>
      <c r="J983" s="17">
        <f t="shared" si="15"/>
        <v>276000</v>
      </c>
      <c r="K983" s="175"/>
      <c r="L983" s="16" t="s">
        <v>18</v>
      </c>
      <c r="M983" s="16" t="s">
        <v>22</v>
      </c>
      <c r="N983" s="16"/>
      <c r="O983" s="243"/>
      <c r="P983" s="243"/>
      <c r="Q983" s="243"/>
      <c r="R983" s="243"/>
      <c r="S983" s="243"/>
      <c r="T983" s="243"/>
      <c r="U983" s="243"/>
      <c r="V983" s="243"/>
      <c r="W983" s="243"/>
      <c r="X983" s="243"/>
      <c r="Y983" s="243"/>
      <c r="Z983" s="243"/>
      <c r="AA983" s="243"/>
      <c r="AB983" s="243"/>
      <c r="AC983" s="243"/>
      <c r="AD983" s="243"/>
      <c r="AE983" s="243"/>
      <c r="AF983" s="243"/>
      <c r="AG983" s="243"/>
      <c r="AH983" s="243"/>
      <c r="AI983" s="243"/>
      <c r="AJ983" s="243"/>
      <c r="AK983" s="243"/>
      <c r="AL983" s="243"/>
      <c r="AM983" s="243"/>
      <c r="AN983" s="243"/>
      <c r="AO983" s="243"/>
      <c r="AP983" s="243"/>
      <c r="AQ983" s="243"/>
      <c r="AR983" s="243"/>
      <c r="AS983" s="243"/>
      <c r="AT983" s="243"/>
      <c r="AU983" s="243"/>
      <c r="AV983" s="243"/>
      <c r="AW983" s="243"/>
      <c r="AX983" s="243"/>
      <c r="AY983" s="243"/>
      <c r="AZ983" s="243"/>
      <c r="BA983" s="243"/>
      <c r="BB983" s="243"/>
      <c r="BC983" s="243"/>
      <c r="BD983" s="243"/>
      <c r="BE983" s="243"/>
      <c r="BF983" s="243"/>
      <c r="BG983" s="243"/>
      <c r="BH983" s="243"/>
      <c r="BI983" s="243"/>
      <c r="BJ983" s="243"/>
      <c r="BK983" s="243"/>
      <c r="BL983" s="243"/>
      <c r="BM983" s="243"/>
      <c r="BN983" s="243"/>
      <c r="BO983" s="243"/>
      <c r="BP983" s="243"/>
      <c r="BQ983" s="243"/>
      <c r="BR983" s="243"/>
      <c r="BS983" s="243"/>
    </row>
    <row r="984" spans="1:71" s="12" customFormat="1" ht="41.25" customHeight="1">
      <c r="A984" s="178" t="s">
        <v>96</v>
      </c>
      <c r="B984" s="75" t="str">
        <f ca="1">+UPPER(Tabla1321124[[#This Row],[DESCRIPCIÓN DE LA COMPRA O CONTRATACIÓN]])</f>
        <v>GUIAS DE BRONCE DE  (PARA EJES DE 1 1/4" O 1 1/2") Ø6"</v>
      </c>
      <c r="C984" s="39" t="s">
        <v>17</v>
      </c>
      <c r="D984" s="236">
        <v>135</v>
      </c>
      <c r="E984" s="236">
        <v>135</v>
      </c>
      <c r="F984" s="236">
        <v>135</v>
      </c>
      <c r="G984" s="236">
        <v>135</v>
      </c>
      <c r="H984" s="240">
        <f>SUM(Tabla1321124[[#This Row],[PRIMER TRIMESTRE]:[CUARTO TRIMESTRE]])</f>
        <v>540</v>
      </c>
      <c r="I984" s="17">
        <v>7700</v>
      </c>
      <c r="J984" s="17">
        <f t="shared" si="15"/>
        <v>4158000</v>
      </c>
      <c r="K984" s="17"/>
      <c r="L984" s="16" t="s">
        <v>18</v>
      </c>
      <c r="M984" s="16" t="s">
        <v>22</v>
      </c>
      <c r="N984" s="16"/>
      <c r="O984" s="243"/>
      <c r="P984" s="243"/>
      <c r="Q984" s="243"/>
      <c r="R984" s="243"/>
      <c r="S984" s="243"/>
      <c r="T984" s="243"/>
      <c r="U984" s="243"/>
      <c r="V984" s="243"/>
      <c r="W984" s="243"/>
      <c r="X984" s="243"/>
      <c r="Y984" s="243"/>
      <c r="Z984" s="243"/>
      <c r="AA984" s="243"/>
      <c r="AB984" s="243"/>
      <c r="AC984" s="243"/>
      <c r="AD984" s="243"/>
      <c r="AE984" s="243"/>
      <c r="AF984" s="243"/>
      <c r="AG984" s="243"/>
      <c r="AH984" s="243"/>
      <c r="AI984" s="243"/>
      <c r="AJ984" s="243"/>
      <c r="AK984" s="243"/>
      <c r="AL984" s="243"/>
      <c r="AM984" s="243"/>
      <c r="AN984" s="243"/>
      <c r="AO984" s="243"/>
      <c r="AP984" s="243"/>
      <c r="AQ984" s="243"/>
      <c r="AR984" s="243"/>
      <c r="AS984" s="243"/>
      <c r="AT984" s="243"/>
      <c r="AU984" s="243"/>
      <c r="AV984" s="243"/>
      <c r="AW984" s="243"/>
      <c r="AX984" s="243"/>
      <c r="AY984" s="243"/>
      <c r="AZ984" s="243"/>
      <c r="BA984" s="243"/>
      <c r="BB984" s="243"/>
      <c r="BC984" s="243"/>
      <c r="BD984" s="243"/>
      <c r="BE984" s="243"/>
      <c r="BF984" s="243"/>
      <c r="BG984" s="243"/>
      <c r="BH984" s="243"/>
      <c r="BI984" s="243"/>
      <c r="BJ984" s="243"/>
      <c r="BK984" s="243"/>
      <c r="BL984" s="243"/>
      <c r="BM984" s="243"/>
      <c r="BN984" s="243"/>
      <c r="BO984" s="243"/>
      <c r="BP984" s="243"/>
      <c r="BQ984" s="243"/>
      <c r="BR984" s="243"/>
      <c r="BS984" s="243"/>
    </row>
    <row r="985" spans="1:71" s="12" customFormat="1" ht="41.25" customHeight="1">
      <c r="A985" s="178" t="s">
        <v>96</v>
      </c>
      <c r="B985" s="75" t="str">
        <f ca="1">+UPPER(Tabla1321124[[#This Row],[DESCRIPCIÓN DE LA COMPRA O CONTRATACIÓN]])</f>
        <v>COLUMNAS DE HIERRO NEGRO Ø3'' CON SU COUPLING</v>
      </c>
      <c r="C985" s="39" t="s">
        <v>343</v>
      </c>
      <c r="D985" s="236">
        <v>50</v>
      </c>
      <c r="E985" s="236"/>
      <c r="F985" s="236"/>
      <c r="G985" s="236"/>
      <c r="H985" s="240">
        <f>SUM(Tabla1321124[[#This Row],[PRIMER TRIMESTRE]:[CUARTO TRIMESTRE]])</f>
        <v>50</v>
      </c>
      <c r="I985" s="17">
        <v>5780</v>
      </c>
      <c r="J985" s="17">
        <f t="shared" si="15"/>
        <v>289000</v>
      </c>
      <c r="K985" s="17"/>
      <c r="L985" s="16" t="s">
        <v>18</v>
      </c>
      <c r="M985" s="16" t="s">
        <v>22</v>
      </c>
      <c r="N985" s="16"/>
      <c r="O985" s="243"/>
      <c r="P985" s="243"/>
      <c r="Q985" s="243"/>
      <c r="R985" s="243"/>
      <c r="S985" s="243"/>
      <c r="T985" s="243"/>
      <c r="U985" s="243"/>
      <c r="V985" s="243"/>
      <c r="W985" s="243"/>
      <c r="X985" s="243"/>
      <c r="Y985" s="243"/>
      <c r="Z985" s="243"/>
      <c r="AA985" s="243"/>
      <c r="AB985" s="243"/>
      <c r="AC985" s="243"/>
      <c r="AD985" s="243"/>
      <c r="AE985" s="243"/>
      <c r="AF985" s="243"/>
      <c r="AG985" s="243"/>
      <c r="AH985" s="243"/>
      <c r="AI985" s="243"/>
      <c r="AJ985" s="243"/>
      <c r="AK985" s="243"/>
      <c r="AL985" s="243"/>
      <c r="AM985" s="243"/>
      <c r="AN985" s="243"/>
      <c r="AO985" s="243"/>
      <c r="AP985" s="243"/>
      <c r="AQ985" s="243"/>
      <c r="AR985" s="243"/>
      <c r="AS985" s="243"/>
      <c r="AT985" s="243"/>
      <c r="AU985" s="243"/>
      <c r="AV985" s="243"/>
      <c r="AW985" s="243"/>
      <c r="AX985" s="243"/>
      <c r="AY985" s="243"/>
      <c r="AZ985" s="243"/>
      <c r="BA985" s="243"/>
      <c r="BB985" s="243"/>
      <c r="BC985" s="243"/>
      <c r="BD985" s="243"/>
      <c r="BE985" s="243"/>
      <c r="BF985" s="243"/>
      <c r="BG985" s="243"/>
      <c r="BH985" s="243"/>
      <c r="BI985" s="243"/>
      <c r="BJ985" s="243"/>
      <c r="BK985" s="243"/>
      <c r="BL985" s="243"/>
      <c r="BM985" s="243"/>
      <c r="BN985" s="243"/>
      <c r="BO985" s="243"/>
      <c r="BP985" s="243"/>
      <c r="BQ985" s="243"/>
      <c r="BR985" s="243"/>
      <c r="BS985" s="243"/>
    </row>
    <row r="986" spans="1:71" s="12" customFormat="1" ht="41.25" customHeight="1">
      <c r="A986" s="178" t="s">
        <v>96</v>
      </c>
      <c r="B986" s="75" t="str">
        <f ca="1">+UPPER(Tabla1321124[[#This Row],[DESCRIPCIÓN DE LA COMPRA O CONTRATACIÓN]])</f>
        <v xml:space="preserve">COLUMNAS DE 3" X 10' HG </v>
      </c>
      <c r="C986" s="39" t="s">
        <v>17</v>
      </c>
      <c r="D986" s="236">
        <v>215</v>
      </c>
      <c r="E986" s="236">
        <v>210</v>
      </c>
      <c r="F986" s="236">
        <v>210</v>
      </c>
      <c r="G986" s="236">
        <v>210</v>
      </c>
      <c r="H986" s="240">
        <f>SUM(Tabla1321124[[#This Row],[PRIMER TRIMESTRE]:[CUARTO TRIMESTRE]])</f>
        <v>845</v>
      </c>
      <c r="I986" s="17">
        <v>6460</v>
      </c>
      <c r="J986" s="17">
        <f t="shared" si="15"/>
        <v>5458700</v>
      </c>
      <c r="K986" s="17"/>
      <c r="L986" s="16" t="s">
        <v>18</v>
      </c>
      <c r="M986" s="16" t="s">
        <v>22</v>
      </c>
      <c r="N986" s="16"/>
      <c r="O986" s="243"/>
      <c r="P986" s="243"/>
      <c r="Q986" s="243"/>
      <c r="R986" s="243"/>
      <c r="S986" s="243"/>
      <c r="T986" s="243"/>
      <c r="U986" s="243"/>
      <c r="V986" s="243"/>
      <c r="W986" s="243"/>
      <c r="X986" s="243"/>
      <c r="Y986" s="243"/>
      <c r="Z986" s="243"/>
      <c r="AA986" s="243"/>
      <c r="AB986" s="243"/>
      <c r="AC986" s="243"/>
      <c r="AD986" s="243"/>
      <c r="AE986" s="243"/>
      <c r="AF986" s="243"/>
      <c r="AG986" s="243"/>
      <c r="AH986" s="243"/>
      <c r="AI986" s="243"/>
      <c r="AJ986" s="243"/>
      <c r="AK986" s="243"/>
      <c r="AL986" s="243"/>
      <c r="AM986" s="243"/>
      <c r="AN986" s="243"/>
      <c r="AO986" s="243"/>
      <c r="AP986" s="243"/>
      <c r="AQ986" s="243"/>
      <c r="AR986" s="243"/>
      <c r="AS986" s="243"/>
      <c r="AT986" s="243"/>
      <c r="AU986" s="243"/>
      <c r="AV986" s="243"/>
      <c r="AW986" s="243"/>
      <c r="AX986" s="243"/>
      <c r="AY986" s="243"/>
      <c r="AZ986" s="243"/>
      <c r="BA986" s="243"/>
      <c r="BB986" s="243"/>
      <c r="BC986" s="243"/>
      <c r="BD986" s="243"/>
      <c r="BE986" s="243"/>
      <c r="BF986" s="243"/>
      <c r="BG986" s="243"/>
      <c r="BH986" s="243"/>
      <c r="BI986" s="243"/>
      <c r="BJ986" s="243"/>
      <c r="BK986" s="243"/>
      <c r="BL986" s="243"/>
      <c r="BM986" s="243"/>
      <c r="BN986" s="243"/>
      <c r="BO986" s="243"/>
      <c r="BP986" s="243"/>
      <c r="BQ986" s="243"/>
      <c r="BR986" s="243"/>
      <c r="BS986" s="243"/>
    </row>
    <row r="987" spans="1:71" s="12" customFormat="1" ht="41.25" customHeight="1">
      <c r="A987" s="178" t="s">
        <v>96</v>
      </c>
      <c r="B987" s="80" t="s">
        <v>1786</v>
      </c>
      <c r="C987" s="39" t="s">
        <v>17</v>
      </c>
      <c r="D987" s="369">
        <v>4</v>
      </c>
      <c r="E987" s="369">
        <v>2</v>
      </c>
      <c r="F987" s="369">
        <v>2</v>
      </c>
      <c r="G987" s="369">
        <v>2</v>
      </c>
      <c r="H987" s="240">
        <f>SUM(Tabla1321124[[#This Row],[PRIMER TRIMESTRE]:[CUARTO TRIMESTRE]])</f>
        <v>10</v>
      </c>
      <c r="I987" s="17">
        <v>2560</v>
      </c>
      <c r="J987" s="17">
        <f t="shared" si="15"/>
        <v>25600</v>
      </c>
      <c r="K987" s="175"/>
      <c r="L987" s="16" t="s">
        <v>18</v>
      </c>
      <c r="M987" s="16" t="s">
        <v>22</v>
      </c>
      <c r="N987" s="16"/>
      <c r="O987" s="243"/>
      <c r="P987" s="243"/>
      <c r="Q987" s="243"/>
      <c r="R987" s="243"/>
      <c r="S987" s="243"/>
      <c r="T987" s="243"/>
      <c r="U987" s="243"/>
      <c r="V987" s="243"/>
      <c r="W987" s="243"/>
      <c r="X987" s="243"/>
      <c r="Y987" s="243"/>
      <c r="Z987" s="243"/>
      <c r="AA987" s="243"/>
      <c r="AB987" s="243"/>
      <c r="AC987" s="243"/>
      <c r="AD987" s="243"/>
      <c r="AE987" s="243"/>
      <c r="AF987" s="243"/>
      <c r="AG987" s="243"/>
      <c r="AH987" s="243"/>
      <c r="AI987" s="243"/>
      <c r="AJ987" s="243"/>
      <c r="AK987" s="243"/>
      <c r="AL987" s="243"/>
      <c r="AM987" s="243"/>
      <c r="AN987" s="243"/>
      <c r="AO987" s="243"/>
      <c r="AP987" s="243"/>
      <c r="AQ987" s="243"/>
      <c r="AR987" s="243"/>
      <c r="AS987" s="243"/>
      <c r="AT987" s="243"/>
      <c r="AU987" s="243"/>
      <c r="AV987" s="243"/>
      <c r="AW987" s="243"/>
      <c r="AX987" s="243"/>
      <c r="AY987" s="243"/>
      <c r="AZ987" s="243"/>
      <c r="BA987" s="243"/>
      <c r="BB987" s="243"/>
      <c r="BC987" s="243"/>
      <c r="BD987" s="243"/>
      <c r="BE987" s="243"/>
      <c r="BF987" s="243"/>
      <c r="BG987" s="243"/>
      <c r="BH987" s="243"/>
      <c r="BI987" s="243"/>
      <c r="BJ987" s="243"/>
      <c r="BK987" s="243"/>
      <c r="BL987" s="243"/>
      <c r="BM987" s="243"/>
      <c r="BN987" s="243"/>
      <c r="BO987" s="243"/>
      <c r="BP987" s="243"/>
      <c r="BQ987" s="243"/>
      <c r="BR987" s="243"/>
      <c r="BS987" s="243"/>
    </row>
    <row r="988" spans="1:71" s="12" customFormat="1" ht="41.25" customHeight="1">
      <c r="A988" s="178" t="s">
        <v>96</v>
      </c>
      <c r="B988" s="80" t="s">
        <v>1787</v>
      </c>
      <c r="C988" s="39" t="s">
        <v>17</v>
      </c>
      <c r="D988" s="369">
        <v>4</v>
      </c>
      <c r="E988" s="369">
        <v>2</v>
      </c>
      <c r="F988" s="369">
        <v>2</v>
      </c>
      <c r="G988" s="369">
        <v>2</v>
      </c>
      <c r="H988" s="240">
        <f>SUM(Tabla1321124[[#This Row],[PRIMER TRIMESTRE]:[CUARTO TRIMESTRE]])</f>
        <v>10</v>
      </c>
      <c r="I988" s="17">
        <v>3700</v>
      </c>
      <c r="J988" s="17">
        <f t="shared" si="15"/>
        <v>37000</v>
      </c>
      <c r="K988" s="175"/>
      <c r="L988" s="16" t="s">
        <v>18</v>
      </c>
      <c r="M988" s="16" t="s">
        <v>22</v>
      </c>
      <c r="N988" s="16"/>
      <c r="O988" s="243"/>
      <c r="P988" s="243"/>
      <c r="Q988" s="243"/>
      <c r="R988" s="243"/>
      <c r="S988" s="243"/>
      <c r="T988" s="243"/>
      <c r="U988" s="243"/>
      <c r="V988" s="243"/>
      <c r="W988" s="243"/>
      <c r="X988" s="243"/>
      <c r="Y988" s="243"/>
      <c r="Z988" s="243"/>
      <c r="AA988" s="243"/>
      <c r="AB988" s="243"/>
      <c r="AC988" s="243"/>
      <c r="AD988" s="243"/>
      <c r="AE988" s="243"/>
      <c r="AF988" s="243"/>
      <c r="AG988" s="243"/>
      <c r="AH988" s="243"/>
      <c r="AI988" s="243"/>
      <c r="AJ988" s="243"/>
      <c r="AK988" s="243"/>
      <c r="AL988" s="243"/>
      <c r="AM988" s="243"/>
      <c r="AN988" s="243"/>
      <c r="AO988" s="243"/>
      <c r="AP988" s="243"/>
      <c r="AQ988" s="243"/>
      <c r="AR988" s="243"/>
      <c r="AS988" s="243"/>
      <c r="AT988" s="243"/>
      <c r="AU988" s="243"/>
      <c r="AV988" s="243"/>
      <c r="AW988" s="243"/>
      <c r="AX988" s="243"/>
      <c r="AY988" s="243"/>
      <c r="AZ988" s="243"/>
      <c r="BA988" s="243"/>
      <c r="BB988" s="243"/>
      <c r="BC988" s="243"/>
      <c r="BD988" s="243"/>
      <c r="BE988" s="243"/>
      <c r="BF988" s="243"/>
      <c r="BG988" s="243"/>
      <c r="BH988" s="243"/>
      <c r="BI988" s="243"/>
      <c r="BJ988" s="243"/>
      <c r="BK988" s="243"/>
      <c r="BL988" s="243"/>
      <c r="BM988" s="243"/>
      <c r="BN988" s="243"/>
      <c r="BO988" s="243"/>
      <c r="BP988" s="243"/>
      <c r="BQ988" s="243"/>
      <c r="BR988" s="243"/>
      <c r="BS988" s="243"/>
    </row>
    <row r="989" spans="1:71" s="12" customFormat="1" ht="41.25" customHeight="1">
      <c r="A989" s="178" t="s">
        <v>96</v>
      </c>
      <c r="B989" s="80" t="s">
        <v>1788</v>
      </c>
      <c r="C989" s="39" t="s">
        <v>17</v>
      </c>
      <c r="D989" s="369">
        <v>12</v>
      </c>
      <c r="E989" s="369">
        <v>12</v>
      </c>
      <c r="F989" s="369">
        <v>12</v>
      </c>
      <c r="G989" s="369">
        <v>12</v>
      </c>
      <c r="H989" s="240">
        <f>SUM(Tabla1321124[[#This Row],[PRIMER TRIMESTRE]:[CUARTO TRIMESTRE]])</f>
        <v>48</v>
      </c>
      <c r="I989" s="17">
        <v>75</v>
      </c>
      <c r="J989" s="17">
        <f t="shared" si="15"/>
        <v>3600</v>
      </c>
      <c r="K989" s="175"/>
      <c r="L989" s="16" t="s">
        <v>18</v>
      </c>
      <c r="M989" s="16" t="s">
        <v>22</v>
      </c>
      <c r="N989" s="16"/>
      <c r="O989" s="243"/>
      <c r="P989" s="243"/>
      <c r="Q989" s="243"/>
      <c r="R989" s="243"/>
      <c r="S989" s="243"/>
      <c r="T989" s="243"/>
      <c r="U989" s="243"/>
      <c r="V989" s="243"/>
      <c r="W989" s="243"/>
      <c r="X989" s="243"/>
      <c r="Y989" s="243"/>
      <c r="Z989" s="243"/>
      <c r="AA989" s="243"/>
      <c r="AB989" s="243"/>
      <c r="AC989" s="243"/>
      <c r="AD989" s="243"/>
      <c r="AE989" s="243"/>
      <c r="AF989" s="243"/>
      <c r="AG989" s="243"/>
      <c r="AH989" s="243"/>
      <c r="AI989" s="243"/>
      <c r="AJ989" s="243"/>
      <c r="AK989" s="243"/>
      <c r="AL989" s="243"/>
      <c r="AM989" s="243"/>
      <c r="AN989" s="243"/>
      <c r="AO989" s="243"/>
      <c r="AP989" s="243"/>
      <c r="AQ989" s="243"/>
      <c r="AR989" s="243"/>
      <c r="AS989" s="243"/>
      <c r="AT989" s="243"/>
      <c r="AU989" s="243"/>
      <c r="AV989" s="243"/>
      <c r="AW989" s="243"/>
      <c r="AX989" s="243"/>
      <c r="AY989" s="243"/>
      <c r="AZ989" s="243"/>
      <c r="BA989" s="243"/>
      <c r="BB989" s="243"/>
      <c r="BC989" s="243"/>
      <c r="BD989" s="243"/>
      <c r="BE989" s="243"/>
      <c r="BF989" s="243"/>
      <c r="BG989" s="243"/>
      <c r="BH989" s="243"/>
      <c r="BI989" s="243"/>
      <c r="BJ989" s="243"/>
      <c r="BK989" s="243"/>
      <c r="BL989" s="243"/>
      <c r="BM989" s="243"/>
      <c r="BN989" s="243"/>
      <c r="BO989" s="243"/>
      <c r="BP989" s="243"/>
      <c r="BQ989" s="243"/>
      <c r="BR989" s="243"/>
      <c r="BS989" s="243"/>
    </row>
    <row r="990" spans="1:71" s="12" customFormat="1" ht="41.25" customHeight="1">
      <c r="A990" s="178" t="s">
        <v>96</v>
      </c>
      <c r="B990" s="80" t="s">
        <v>1789</v>
      </c>
      <c r="C990" s="39" t="s">
        <v>93</v>
      </c>
      <c r="D990" s="365">
        <v>250</v>
      </c>
      <c r="E990" s="365">
        <v>250</v>
      </c>
      <c r="F990" s="365">
        <v>250</v>
      </c>
      <c r="G990" s="365">
        <v>250</v>
      </c>
      <c r="H990" s="240">
        <f>SUM(Tabla1321124[[#This Row],[PRIMER TRIMESTRE]:[CUARTO TRIMESTRE]])</f>
        <v>1000</v>
      </c>
      <c r="I990" s="17">
        <v>65</v>
      </c>
      <c r="J990" s="17">
        <f t="shared" si="15"/>
        <v>65000</v>
      </c>
      <c r="K990" s="175"/>
      <c r="L990" s="16" t="s">
        <v>18</v>
      </c>
      <c r="M990" s="16" t="s">
        <v>22</v>
      </c>
      <c r="N990" s="16"/>
      <c r="O990" s="243"/>
      <c r="P990" s="243"/>
      <c r="Q990" s="243"/>
      <c r="R990" s="243"/>
      <c r="S990" s="243"/>
      <c r="T990" s="243"/>
      <c r="U990" s="243"/>
      <c r="V990" s="243"/>
      <c r="W990" s="243"/>
      <c r="X990" s="243"/>
      <c r="Y990" s="243"/>
      <c r="Z990" s="243"/>
      <c r="AA990" s="243"/>
      <c r="AB990" s="243"/>
      <c r="AC990" s="243"/>
      <c r="AD990" s="243"/>
      <c r="AE990" s="243"/>
      <c r="AF990" s="243"/>
      <c r="AG990" s="243"/>
      <c r="AH990" s="243"/>
      <c r="AI990" s="243"/>
      <c r="AJ990" s="243"/>
      <c r="AK990" s="243"/>
      <c r="AL990" s="243"/>
      <c r="AM990" s="243"/>
      <c r="AN990" s="243"/>
      <c r="AO990" s="243"/>
      <c r="AP990" s="243"/>
      <c r="AQ990" s="243"/>
      <c r="AR990" s="243"/>
      <c r="AS990" s="243"/>
      <c r="AT990" s="243"/>
      <c r="AU990" s="243"/>
      <c r="AV990" s="243"/>
      <c r="AW990" s="243"/>
      <c r="AX990" s="243"/>
      <c r="AY990" s="243"/>
      <c r="AZ990" s="243"/>
      <c r="BA990" s="243"/>
      <c r="BB990" s="243"/>
      <c r="BC990" s="243"/>
      <c r="BD990" s="243"/>
      <c r="BE990" s="243"/>
      <c r="BF990" s="243"/>
      <c r="BG990" s="243"/>
      <c r="BH990" s="243"/>
      <c r="BI990" s="243"/>
      <c r="BJ990" s="243"/>
      <c r="BK990" s="243"/>
      <c r="BL990" s="243"/>
      <c r="BM990" s="243"/>
      <c r="BN990" s="243"/>
      <c r="BO990" s="243"/>
      <c r="BP990" s="243"/>
      <c r="BQ990" s="243"/>
      <c r="BR990" s="243"/>
      <c r="BS990" s="243"/>
    </row>
    <row r="991" spans="1:71" s="12" customFormat="1" ht="41.25" customHeight="1">
      <c r="A991" s="178" t="s">
        <v>96</v>
      </c>
      <c r="B991" s="80" t="s">
        <v>1790</v>
      </c>
      <c r="C991" s="39" t="s">
        <v>93</v>
      </c>
      <c r="D991" s="365">
        <v>250</v>
      </c>
      <c r="E991" s="365">
        <v>250</v>
      </c>
      <c r="F991" s="365">
        <v>250</v>
      </c>
      <c r="G991" s="365">
        <v>250</v>
      </c>
      <c r="H991" s="240">
        <f>SUM(Tabla1321124[[#This Row],[PRIMER TRIMESTRE]:[CUARTO TRIMESTRE]])</f>
        <v>1000</v>
      </c>
      <c r="I991" s="17">
        <v>69</v>
      </c>
      <c r="J991" s="17">
        <f t="shared" si="15"/>
        <v>69000</v>
      </c>
      <c r="K991" s="175"/>
      <c r="L991" s="16" t="s">
        <v>18</v>
      </c>
      <c r="M991" s="16" t="s">
        <v>22</v>
      </c>
      <c r="N991" s="16"/>
      <c r="O991" s="243"/>
      <c r="P991" s="243"/>
      <c r="Q991" s="243"/>
      <c r="R991" s="243"/>
      <c r="S991" s="243"/>
      <c r="T991" s="243"/>
      <c r="U991" s="243"/>
      <c r="V991" s="243"/>
      <c r="W991" s="243"/>
      <c r="X991" s="243"/>
      <c r="Y991" s="243"/>
      <c r="Z991" s="243"/>
      <c r="AA991" s="243"/>
      <c r="AB991" s="243"/>
      <c r="AC991" s="243"/>
      <c r="AD991" s="243"/>
      <c r="AE991" s="243"/>
      <c r="AF991" s="243"/>
      <c r="AG991" s="243"/>
      <c r="AH991" s="243"/>
      <c r="AI991" s="243"/>
      <c r="AJ991" s="243"/>
      <c r="AK991" s="243"/>
      <c r="AL991" s="243"/>
      <c r="AM991" s="243"/>
      <c r="AN991" s="243"/>
      <c r="AO991" s="243"/>
      <c r="AP991" s="243"/>
      <c r="AQ991" s="243"/>
      <c r="AR991" s="243"/>
      <c r="AS991" s="243"/>
      <c r="AT991" s="243"/>
      <c r="AU991" s="243"/>
      <c r="AV991" s="243"/>
      <c r="AW991" s="243"/>
      <c r="AX991" s="243"/>
      <c r="AY991" s="243"/>
      <c r="AZ991" s="243"/>
      <c r="BA991" s="243"/>
      <c r="BB991" s="243"/>
      <c r="BC991" s="243"/>
      <c r="BD991" s="243"/>
      <c r="BE991" s="243"/>
      <c r="BF991" s="243"/>
      <c r="BG991" s="243"/>
      <c r="BH991" s="243"/>
      <c r="BI991" s="243"/>
      <c r="BJ991" s="243"/>
      <c r="BK991" s="243"/>
      <c r="BL991" s="243"/>
      <c r="BM991" s="243"/>
      <c r="BN991" s="243"/>
      <c r="BO991" s="243"/>
      <c r="BP991" s="243"/>
      <c r="BQ991" s="243"/>
      <c r="BR991" s="243"/>
      <c r="BS991" s="243"/>
    </row>
    <row r="992" spans="1:71" s="12" customFormat="1" ht="41.25" customHeight="1">
      <c r="A992" s="178" t="s">
        <v>96</v>
      </c>
      <c r="B992" s="75" t="s">
        <v>1800</v>
      </c>
      <c r="C992" s="39" t="s">
        <v>93</v>
      </c>
      <c r="D992" s="365">
        <v>250</v>
      </c>
      <c r="E992" s="365">
        <v>250</v>
      </c>
      <c r="F992" s="365">
        <v>250</v>
      </c>
      <c r="G992" s="365">
        <v>250</v>
      </c>
      <c r="H992" s="240">
        <f>SUM(Tabla1321124[[#This Row],[PRIMER TRIMESTRE]:[CUARTO TRIMESTRE]])</f>
        <v>1000</v>
      </c>
      <c r="I992" s="17">
        <v>110</v>
      </c>
      <c r="J992" s="17">
        <f t="shared" si="15"/>
        <v>110000</v>
      </c>
      <c r="K992" s="175"/>
      <c r="L992" s="16" t="s">
        <v>18</v>
      </c>
      <c r="M992" s="16" t="s">
        <v>22</v>
      </c>
      <c r="N992" s="16"/>
      <c r="O992" s="243"/>
      <c r="P992" s="243"/>
      <c r="Q992" s="243"/>
      <c r="R992" s="243"/>
      <c r="S992" s="243"/>
      <c r="T992" s="243"/>
      <c r="U992" s="243"/>
      <c r="V992" s="243"/>
      <c r="W992" s="243"/>
      <c r="X992" s="243"/>
      <c r="Y992" s="243"/>
      <c r="Z992" s="243"/>
      <c r="AA992" s="243"/>
      <c r="AB992" s="243"/>
      <c r="AC992" s="243"/>
      <c r="AD992" s="243"/>
      <c r="AE992" s="243"/>
      <c r="AF992" s="243"/>
      <c r="AG992" s="243"/>
      <c r="AH992" s="243"/>
      <c r="AI992" s="243"/>
      <c r="AJ992" s="243"/>
      <c r="AK992" s="243"/>
      <c r="AL992" s="243"/>
      <c r="AM992" s="243"/>
      <c r="AN992" s="243"/>
      <c r="AO992" s="243"/>
      <c r="AP992" s="243"/>
      <c r="AQ992" s="243"/>
      <c r="AR992" s="243"/>
      <c r="AS992" s="243"/>
      <c r="AT992" s="243"/>
      <c r="AU992" s="243"/>
      <c r="AV992" s="243"/>
      <c r="AW992" s="243"/>
      <c r="AX992" s="243"/>
      <c r="AY992" s="243"/>
      <c r="AZ992" s="243"/>
      <c r="BA992" s="243"/>
      <c r="BB992" s="243"/>
      <c r="BC992" s="243"/>
      <c r="BD992" s="243"/>
      <c r="BE992" s="243"/>
      <c r="BF992" s="243"/>
      <c r="BG992" s="243"/>
      <c r="BH992" s="243"/>
      <c r="BI992" s="243"/>
      <c r="BJ992" s="243"/>
      <c r="BK992" s="243"/>
      <c r="BL992" s="243"/>
      <c r="BM992" s="243"/>
      <c r="BN992" s="243"/>
      <c r="BO992" s="243"/>
      <c r="BP992" s="243"/>
      <c r="BQ992" s="243"/>
      <c r="BR992" s="243"/>
      <c r="BS992" s="243"/>
    </row>
    <row r="993" spans="1:71" s="12" customFormat="1" ht="41.25" customHeight="1">
      <c r="A993" s="178" t="s">
        <v>96</v>
      </c>
      <c r="B993" s="80" t="s">
        <v>1791</v>
      </c>
      <c r="C993" s="39" t="s">
        <v>93</v>
      </c>
      <c r="D993" s="365">
        <v>250</v>
      </c>
      <c r="E993" s="365">
        <v>250</v>
      </c>
      <c r="F993" s="365">
        <v>250</v>
      </c>
      <c r="G993" s="365">
        <v>250</v>
      </c>
      <c r="H993" s="240">
        <f>SUM(Tabla1321124[[#This Row],[PRIMER TRIMESTRE]:[CUARTO TRIMESTRE]])</f>
        <v>1000</v>
      </c>
      <c r="I993" s="17">
        <v>98</v>
      </c>
      <c r="J993" s="17">
        <f t="shared" si="15"/>
        <v>98000</v>
      </c>
      <c r="K993" s="175"/>
      <c r="L993" s="16" t="s">
        <v>18</v>
      </c>
      <c r="M993" s="16" t="s">
        <v>22</v>
      </c>
      <c r="N993" s="16"/>
      <c r="O993" s="243"/>
      <c r="P993" s="243"/>
      <c r="Q993" s="243"/>
      <c r="R993" s="243"/>
      <c r="S993" s="243"/>
      <c r="T993" s="243"/>
      <c r="U993" s="243"/>
      <c r="V993" s="243"/>
      <c r="W993" s="243"/>
      <c r="X993" s="243"/>
      <c r="Y993" s="243"/>
      <c r="Z993" s="243"/>
      <c r="AA993" s="243"/>
      <c r="AB993" s="243"/>
      <c r="AC993" s="243"/>
      <c r="AD993" s="243"/>
      <c r="AE993" s="243"/>
      <c r="AF993" s="243"/>
      <c r="AG993" s="243"/>
      <c r="AH993" s="243"/>
      <c r="AI993" s="243"/>
      <c r="AJ993" s="243"/>
      <c r="AK993" s="243"/>
      <c r="AL993" s="243"/>
      <c r="AM993" s="243"/>
      <c r="AN993" s="243"/>
      <c r="AO993" s="243"/>
      <c r="AP993" s="243"/>
      <c r="AQ993" s="243"/>
      <c r="AR993" s="243"/>
      <c r="AS993" s="243"/>
      <c r="AT993" s="243"/>
      <c r="AU993" s="243"/>
      <c r="AV993" s="243"/>
      <c r="AW993" s="243"/>
      <c r="AX993" s="243"/>
      <c r="AY993" s="243"/>
      <c r="AZ993" s="243"/>
      <c r="BA993" s="243"/>
      <c r="BB993" s="243"/>
      <c r="BC993" s="243"/>
      <c r="BD993" s="243"/>
      <c r="BE993" s="243"/>
      <c r="BF993" s="243"/>
      <c r="BG993" s="243"/>
      <c r="BH993" s="243"/>
      <c r="BI993" s="243"/>
      <c r="BJ993" s="243"/>
      <c r="BK993" s="243"/>
      <c r="BL993" s="243"/>
      <c r="BM993" s="243"/>
      <c r="BN993" s="243"/>
      <c r="BO993" s="243"/>
      <c r="BP993" s="243"/>
      <c r="BQ993" s="243"/>
      <c r="BR993" s="243"/>
      <c r="BS993" s="243"/>
    </row>
    <row r="994" spans="1:71" s="12" customFormat="1" ht="41.25" customHeight="1">
      <c r="A994" s="178" t="s">
        <v>96</v>
      </c>
      <c r="B994" s="80" t="s">
        <v>1792</v>
      </c>
      <c r="C994" s="39" t="s">
        <v>93</v>
      </c>
      <c r="D994" s="365">
        <v>250</v>
      </c>
      <c r="E994" s="365">
        <v>250</v>
      </c>
      <c r="F994" s="365">
        <v>250</v>
      </c>
      <c r="G994" s="365">
        <v>250</v>
      </c>
      <c r="H994" s="240">
        <f>SUM(Tabla1321124[[#This Row],[PRIMER TRIMESTRE]:[CUARTO TRIMESTRE]])</f>
        <v>1000</v>
      </c>
      <c r="I994" s="17">
        <v>12.75</v>
      </c>
      <c r="J994" s="17">
        <f t="shared" si="15"/>
        <v>12750</v>
      </c>
      <c r="K994" s="175"/>
      <c r="L994" s="16" t="s">
        <v>18</v>
      </c>
      <c r="M994" s="16" t="s">
        <v>22</v>
      </c>
      <c r="N994" s="16"/>
      <c r="O994" s="243"/>
      <c r="P994" s="243"/>
      <c r="Q994" s="243"/>
      <c r="R994" s="243"/>
      <c r="S994" s="243"/>
      <c r="T994" s="243"/>
      <c r="U994" s="243"/>
      <c r="V994" s="243"/>
      <c r="W994" s="243"/>
      <c r="X994" s="243"/>
      <c r="Y994" s="243"/>
      <c r="Z994" s="243"/>
      <c r="AA994" s="243"/>
      <c r="AB994" s="243"/>
      <c r="AC994" s="243"/>
      <c r="AD994" s="243"/>
      <c r="AE994" s="243"/>
      <c r="AF994" s="243"/>
      <c r="AG994" s="243"/>
      <c r="AH994" s="243"/>
      <c r="AI994" s="243"/>
      <c r="AJ994" s="243"/>
      <c r="AK994" s="243"/>
      <c r="AL994" s="243"/>
      <c r="AM994" s="243"/>
      <c r="AN994" s="243"/>
      <c r="AO994" s="243"/>
      <c r="AP994" s="243"/>
      <c r="AQ994" s="243"/>
      <c r="AR994" s="243"/>
      <c r="AS994" s="243"/>
      <c r="AT994" s="243"/>
      <c r="AU994" s="243"/>
      <c r="AV994" s="243"/>
      <c r="AW994" s="243"/>
      <c r="AX994" s="243"/>
      <c r="AY994" s="243"/>
      <c r="AZ994" s="243"/>
      <c r="BA994" s="243"/>
      <c r="BB994" s="243"/>
      <c r="BC994" s="243"/>
      <c r="BD994" s="243"/>
      <c r="BE994" s="243"/>
      <c r="BF994" s="243"/>
      <c r="BG994" s="243"/>
      <c r="BH994" s="243"/>
      <c r="BI994" s="243"/>
      <c r="BJ994" s="243"/>
      <c r="BK994" s="243"/>
      <c r="BL994" s="243"/>
      <c r="BM994" s="243"/>
      <c r="BN994" s="243"/>
      <c r="BO994" s="243"/>
      <c r="BP994" s="243"/>
      <c r="BQ994" s="243"/>
      <c r="BR994" s="243"/>
      <c r="BS994" s="243"/>
    </row>
    <row r="995" spans="1:71" s="12" customFormat="1" ht="41.25" customHeight="1">
      <c r="A995" s="178" t="s">
        <v>96</v>
      </c>
      <c r="B995" s="80" t="s">
        <v>1793</v>
      </c>
      <c r="C995" s="39" t="s">
        <v>17</v>
      </c>
      <c r="D995" s="378">
        <v>5</v>
      </c>
      <c r="E995" s="369">
        <v>0</v>
      </c>
      <c r="F995" s="369">
        <v>0</v>
      </c>
      <c r="G995" s="369">
        <v>0</v>
      </c>
      <c r="H995" s="240">
        <f>SUM(Tabla1321124[[#This Row],[PRIMER TRIMESTRE]:[CUARTO TRIMESTRE]])</f>
        <v>5</v>
      </c>
      <c r="I995" s="17">
        <v>1700</v>
      </c>
      <c r="J995" s="17">
        <f t="shared" si="15"/>
        <v>8500</v>
      </c>
      <c r="K995" s="175"/>
      <c r="L995" s="16" t="s">
        <v>18</v>
      </c>
      <c r="M995" s="16" t="s">
        <v>22</v>
      </c>
      <c r="N995" s="16"/>
      <c r="O995" s="243"/>
      <c r="P995" s="243"/>
      <c r="Q995" s="243"/>
      <c r="R995" s="243"/>
      <c r="S995" s="243"/>
      <c r="T995" s="243"/>
      <c r="U995" s="243"/>
      <c r="V995" s="243"/>
      <c r="W995" s="243"/>
      <c r="X995" s="243"/>
      <c r="Y995" s="243"/>
      <c r="Z995" s="243"/>
      <c r="AA995" s="243"/>
      <c r="AB995" s="243"/>
      <c r="AC995" s="243"/>
      <c r="AD995" s="243"/>
      <c r="AE995" s="243"/>
      <c r="AF995" s="243"/>
      <c r="AG995" s="243"/>
      <c r="AH995" s="243"/>
      <c r="AI995" s="243"/>
      <c r="AJ995" s="243"/>
      <c r="AK995" s="243"/>
      <c r="AL995" s="243"/>
      <c r="AM995" s="243"/>
      <c r="AN995" s="243"/>
      <c r="AO995" s="243"/>
      <c r="AP995" s="243"/>
      <c r="AQ995" s="243"/>
      <c r="AR995" s="243"/>
      <c r="AS995" s="243"/>
      <c r="AT995" s="243"/>
      <c r="AU995" s="243"/>
      <c r="AV995" s="243"/>
      <c r="AW995" s="243"/>
      <c r="AX995" s="243"/>
      <c r="AY995" s="243"/>
      <c r="AZ995" s="243"/>
      <c r="BA995" s="243"/>
      <c r="BB995" s="243"/>
      <c r="BC995" s="243"/>
      <c r="BD995" s="243"/>
      <c r="BE995" s="243"/>
      <c r="BF995" s="243"/>
      <c r="BG995" s="243"/>
      <c r="BH995" s="243"/>
      <c r="BI995" s="243"/>
      <c r="BJ995" s="243"/>
      <c r="BK995" s="243"/>
      <c r="BL995" s="243"/>
      <c r="BM995" s="243"/>
      <c r="BN995" s="243"/>
      <c r="BO995" s="243"/>
      <c r="BP995" s="243"/>
      <c r="BQ995" s="243"/>
      <c r="BR995" s="243"/>
      <c r="BS995" s="243"/>
    </row>
    <row r="996" spans="1:71" s="12" customFormat="1" ht="41.25" customHeight="1">
      <c r="A996" s="178" t="s">
        <v>96</v>
      </c>
      <c r="B996" s="80" t="s">
        <v>1794</v>
      </c>
      <c r="C996" s="39" t="s">
        <v>17</v>
      </c>
      <c r="D996" s="378">
        <v>3</v>
      </c>
      <c r="E996" s="369">
        <v>0</v>
      </c>
      <c r="F996" s="369">
        <v>0</v>
      </c>
      <c r="G996" s="369">
        <v>0</v>
      </c>
      <c r="H996" s="240">
        <f>SUM(Tabla1321124[[#This Row],[PRIMER TRIMESTRE]:[CUARTO TRIMESTRE]])</f>
        <v>3</v>
      </c>
      <c r="I996" s="17">
        <v>5800</v>
      </c>
      <c r="J996" s="17">
        <f t="shared" si="15"/>
        <v>17400</v>
      </c>
      <c r="K996" s="175"/>
      <c r="L996" s="16" t="s">
        <v>18</v>
      </c>
      <c r="M996" s="16" t="s">
        <v>22</v>
      </c>
      <c r="N996" s="16"/>
      <c r="O996" s="243"/>
      <c r="P996" s="243"/>
      <c r="Q996" s="243"/>
      <c r="R996" s="243"/>
      <c r="S996" s="243"/>
      <c r="T996" s="243"/>
      <c r="U996" s="243"/>
      <c r="V996" s="243"/>
      <c r="W996" s="243"/>
      <c r="X996" s="243"/>
      <c r="Y996" s="243"/>
      <c r="Z996" s="243"/>
      <c r="AA996" s="243"/>
      <c r="AB996" s="243"/>
      <c r="AC996" s="243"/>
      <c r="AD996" s="243"/>
      <c r="AE996" s="243"/>
      <c r="AF996" s="243"/>
      <c r="AG996" s="243"/>
      <c r="AH996" s="243"/>
      <c r="AI996" s="243"/>
      <c r="AJ996" s="243"/>
      <c r="AK996" s="243"/>
      <c r="AL996" s="243"/>
      <c r="AM996" s="243"/>
      <c r="AN996" s="243"/>
      <c r="AO996" s="243"/>
      <c r="AP996" s="243"/>
      <c r="AQ996" s="243"/>
      <c r="AR996" s="243"/>
      <c r="AS996" s="243"/>
      <c r="AT996" s="243"/>
      <c r="AU996" s="243"/>
      <c r="AV996" s="243"/>
      <c r="AW996" s="243"/>
      <c r="AX996" s="243"/>
      <c r="AY996" s="243"/>
      <c r="AZ996" s="243"/>
      <c r="BA996" s="243"/>
      <c r="BB996" s="243"/>
      <c r="BC996" s="243"/>
      <c r="BD996" s="243"/>
      <c r="BE996" s="243"/>
      <c r="BF996" s="243"/>
      <c r="BG996" s="243"/>
      <c r="BH996" s="243"/>
      <c r="BI996" s="243"/>
      <c r="BJ996" s="243"/>
      <c r="BK996" s="243"/>
      <c r="BL996" s="243"/>
      <c r="BM996" s="243"/>
      <c r="BN996" s="243"/>
      <c r="BO996" s="243"/>
      <c r="BP996" s="243"/>
      <c r="BQ996" s="243"/>
      <c r="BR996" s="243"/>
      <c r="BS996" s="243"/>
    </row>
    <row r="997" spans="1:71" s="12" customFormat="1" ht="41.25" customHeight="1">
      <c r="A997" s="178" t="s">
        <v>96</v>
      </c>
      <c r="B997" s="80" t="s">
        <v>1795</v>
      </c>
      <c r="C997" s="39" t="s">
        <v>17</v>
      </c>
      <c r="D997" s="378">
        <v>2</v>
      </c>
      <c r="E997" s="369">
        <v>0</v>
      </c>
      <c r="F997" s="369">
        <v>1</v>
      </c>
      <c r="G997" s="369">
        <v>0</v>
      </c>
      <c r="H997" s="240">
        <f>SUM(Tabla1321124[[#This Row],[PRIMER TRIMESTRE]:[CUARTO TRIMESTRE]])</f>
        <v>3</v>
      </c>
      <c r="I997" s="17">
        <v>95800</v>
      </c>
      <c r="J997" s="17">
        <f t="shared" si="15"/>
        <v>287400</v>
      </c>
      <c r="K997" s="175"/>
      <c r="L997" s="16" t="s">
        <v>18</v>
      </c>
      <c r="M997" s="16" t="s">
        <v>22</v>
      </c>
      <c r="N997" s="16"/>
      <c r="O997" s="243"/>
      <c r="P997" s="243"/>
      <c r="Q997" s="243"/>
      <c r="R997" s="243"/>
      <c r="S997" s="243"/>
      <c r="T997" s="243"/>
      <c r="U997" s="243"/>
      <c r="V997" s="243"/>
      <c r="W997" s="243"/>
      <c r="X997" s="243"/>
      <c r="Y997" s="243"/>
      <c r="Z997" s="243"/>
      <c r="AA997" s="243"/>
      <c r="AB997" s="243"/>
      <c r="AC997" s="243"/>
      <c r="AD997" s="243"/>
      <c r="AE997" s="243"/>
      <c r="AF997" s="243"/>
      <c r="AG997" s="243"/>
      <c r="AH997" s="243"/>
      <c r="AI997" s="243"/>
      <c r="AJ997" s="243"/>
      <c r="AK997" s="243"/>
      <c r="AL997" s="243"/>
      <c r="AM997" s="243"/>
      <c r="AN997" s="243"/>
      <c r="AO997" s="243"/>
      <c r="AP997" s="243"/>
      <c r="AQ997" s="243"/>
      <c r="AR997" s="243"/>
      <c r="AS997" s="243"/>
      <c r="AT997" s="243"/>
      <c r="AU997" s="243"/>
      <c r="AV997" s="243"/>
      <c r="AW997" s="243"/>
      <c r="AX997" s="243"/>
      <c r="AY997" s="243"/>
      <c r="AZ997" s="243"/>
      <c r="BA997" s="243"/>
      <c r="BB997" s="243"/>
      <c r="BC997" s="243"/>
      <c r="BD997" s="243"/>
      <c r="BE997" s="243"/>
      <c r="BF997" s="243"/>
      <c r="BG997" s="243"/>
      <c r="BH997" s="243"/>
      <c r="BI997" s="243"/>
      <c r="BJ997" s="243"/>
      <c r="BK997" s="243"/>
      <c r="BL997" s="243"/>
      <c r="BM997" s="243"/>
      <c r="BN997" s="243"/>
      <c r="BO997" s="243"/>
      <c r="BP997" s="243"/>
      <c r="BQ997" s="243"/>
      <c r="BR997" s="243"/>
      <c r="BS997" s="243"/>
    </row>
    <row r="998" spans="1:71" s="12" customFormat="1" ht="41.25" customHeight="1">
      <c r="A998" s="178" t="s">
        <v>96</v>
      </c>
      <c r="B998" s="80" t="s">
        <v>1796</v>
      </c>
      <c r="C998" s="39" t="s">
        <v>17</v>
      </c>
      <c r="D998" s="378">
        <v>1</v>
      </c>
      <c r="E998" s="369">
        <v>0</v>
      </c>
      <c r="F998" s="369">
        <v>1</v>
      </c>
      <c r="G998" s="369">
        <v>0</v>
      </c>
      <c r="H998" s="240">
        <f>SUM(Tabla1321124[[#This Row],[PRIMER TRIMESTRE]:[CUARTO TRIMESTRE]])</f>
        <v>2</v>
      </c>
      <c r="I998" s="17">
        <v>39600</v>
      </c>
      <c r="J998" s="17">
        <f t="shared" si="15"/>
        <v>79200</v>
      </c>
      <c r="K998" s="175"/>
      <c r="L998" s="16" t="s">
        <v>18</v>
      </c>
      <c r="M998" s="16" t="s">
        <v>22</v>
      </c>
      <c r="N998" s="16"/>
      <c r="O998" s="243"/>
      <c r="P998" s="243"/>
      <c r="Q998" s="243"/>
      <c r="R998" s="243"/>
      <c r="S998" s="243"/>
      <c r="T998" s="243"/>
      <c r="U998" s="243"/>
      <c r="V998" s="243"/>
      <c r="W998" s="243"/>
      <c r="X998" s="243"/>
      <c r="Y998" s="243"/>
      <c r="Z998" s="243"/>
      <c r="AA998" s="243"/>
      <c r="AB998" s="243"/>
      <c r="AC998" s="243"/>
      <c r="AD998" s="243"/>
      <c r="AE998" s="243"/>
      <c r="AF998" s="243"/>
      <c r="AG998" s="243"/>
      <c r="AH998" s="243"/>
      <c r="AI998" s="243"/>
      <c r="AJ998" s="243"/>
      <c r="AK998" s="243"/>
      <c r="AL998" s="243"/>
      <c r="AM998" s="243"/>
      <c r="AN998" s="243"/>
      <c r="AO998" s="243"/>
      <c r="AP998" s="243"/>
      <c r="AQ998" s="243"/>
      <c r="AR998" s="243"/>
      <c r="AS998" s="243"/>
      <c r="AT998" s="243"/>
      <c r="AU998" s="243"/>
      <c r="AV998" s="243"/>
      <c r="AW998" s="243"/>
      <c r="AX998" s="243"/>
      <c r="AY998" s="243"/>
      <c r="AZ998" s="243"/>
      <c r="BA998" s="243"/>
      <c r="BB998" s="243"/>
      <c r="BC998" s="243"/>
      <c r="BD998" s="243"/>
      <c r="BE998" s="243"/>
      <c r="BF998" s="243"/>
      <c r="BG998" s="243"/>
      <c r="BH998" s="243"/>
      <c r="BI998" s="243"/>
      <c r="BJ998" s="243"/>
      <c r="BK998" s="243"/>
      <c r="BL998" s="243"/>
      <c r="BM998" s="243"/>
      <c r="BN998" s="243"/>
      <c r="BO998" s="243"/>
      <c r="BP998" s="243"/>
      <c r="BQ998" s="243"/>
      <c r="BR998" s="243"/>
      <c r="BS998" s="243"/>
    </row>
    <row r="999" spans="1:71" s="12" customFormat="1" ht="41.25" customHeight="1">
      <c r="A999" s="178" t="s">
        <v>96</v>
      </c>
      <c r="B999" s="80" t="s">
        <v>1797</v>
      </c>
      <c r="C999" s="39" t="s">
        <v>17</v>
      </c>
      <c r="D999" s="378">
        <v>1</v>
      </c>
      <c r="E999" s="369">
        <v>0</v>
      </c>
      <c r="F999" s="369">
        <v>1</v>
      </c>
      <c r="G999" s="369">
        <v>0</v>
      </c>
      <c r="H999" s="240">
        <f>SUM(Tabla1321124[[#This Row],[PRIMER TRIMESTRE]:[CUARTO TRIMESTRE]])</f>
        <v>2</v>
      </c>
      <c r="I999" s="17">
        <v>41600</v>
      </c>
      <c r="J999" s="17">
        <f t="shared" si="15"/>
        <v>83200</v>
      </c>
      <c r="K999" s="175"/>
      <c r="L999" s="16" t="s">
        <v>18</v>
      </c>
      <c r="M999" s="16" t="s">
        <v>22</v>
      </c>
      <c r="N999" s="16"/>
      <c r="O999" s="243"/>
      <c r="P999" s="243"/>
      <c r="Q999" s="243"/>
      <c r="R999" s="243"/>
      <c r="S999" s="243"/>
      <c r="T999" s="243"/>
      <c r="U999" s="243"/>
      <c r="V999" s="243"/>
      <c r="W999" s="243"/>
      <c r="X999" s="243"/>
      <c r="Y999" s="243"/>
      <c r="Z999" s="243"/>
      <c r="AA999" s="243"/>
      <c r="AB999" s="243"/>
      <c r="AC999" s="243"/>
      <c r="AD999" s="243"/>
      <c r="AE999" s="243"/>
      <c r="AF999" s="243"/>
      <c r="AG999" s="243"/>
      <c r="AH999" s="243"/>
      <c r="AI999" s="243"/>
      <c r="AJ999" s="243"/>
      <c r="AK999" s="243"/>
      <c r="AL999" s="243"/>
      <c r="AM999" s="243"/>
      <c r="AN999" s="243"/>
      <c r="AO999" s="243"/>
      <c r="AP999" s="243"/>
      <c r="AQ999" s="243"/>
      <c r="AR999" s="243"/>
      <c r="AS999" s="243"/>
      <c r="AT999" s="243"/>
      <c r="AU999" s="243"/>
      <c r="AV999" s="243"/>
      <c r="AW999" s="243"/>
      <c r="AX999" s="243"/>
      <c r="AY999" s="243"/>
      <c r="AZ999" s="243"/>
      <c r="BA999" s="243"/>
      <c r="BB999" s="243"/>
      <c r="BC999" s="243"/>
      <c r="BD999" s="243"/>
      <c r="BE999" s="243"/>
      <c r="BF999" s="243"/>
      <c r="BG999" s="243"/>
      <c r="BH999" s="243"/>
      <c r="BI999" s="243"/>
      <c r="BJ999" s="243"/>
      <c r="BK999" s="243"/>
      <c r="BL999" s="243"/>
      <c r="BM999" s="243"/>
      <c r="BN999" s="243"/>
      <c r="BO999" s="243"/>
      <c r="BP999" s="243"/>
      <c r="BQ999" s="243"/>
      <c r="BR999" s="243"/>
      <c r="BS999" s="243"/>
    </row>
    <row r="1000" spans="1:71" s="12" customFormat="1" ht="41.25" customHeight="1">
      <c r="A1000" s="178" t="s">
        <v>96</v>
      </c>
      <c r="B1000" s="80" t="s">
        <v>1798</v>
      </c>
      <c r="C1000" s="39" t="s">
        <v>17</v>
      </c>
      <c r="D1000" s="378">
        <v>3</v>
      </c>
      <c r="E1000" s="369">
        <v>0</v>
      </c>
      <c r="F1000" s="369">
        <v>1</v>
      </c>
      <c r="G1000" s="369">
        <v>0</v>
      </c>
      <c r="H1000" s="240">
        <f>SUM(Tabla1321124[[#This Row],[PRIMER TRIMESTRE]:[CUARTO TRIMESTRE]])</f>
        <v>4</v>
      </c>
      <c r="I1000" s="17">
        <v>48520</v>
      </c>
      <c r="J1000" s="17">
        <f t="shared" si="15"/>
        <v>194080</v>
      </c>
      <c r="K1000" s="175"/>
      <c r="L1000" s="16" t="s">
        <v>18</v>
      </c>
      <c r="M1000" s="16" t="s">
        <v>22</v>
      </c>
      <c r="N1000" s="16"/>
      <c r="O1000" s="243"/>
      <c r="P1000" s="243"/>
      <c r="Q1000" s="243"/>
      <c r="R1000" s="243"/>
      <c r="S1000" s="243"/>
      <c r="T1000" s="243"/>
      <c r="U1000" s="243"/>
      <c r="V1000" s="243"/>
      <c r="W1000" s="243"/>
      <c r="X1000" s="243"/>
      <c r="Y1000" s="243"/>
      <c r="Z1000" s="243"/>
      <c r="AA1000" s="243"/>
      <c r="AB1000" s="243"/>
      <c r="AC1000" s="243"/>
      <c r="AD1000" s="243"/>
      <c r="AE1000" s="243"/>
      <c r="AF1000" s="243"/>
      <c r="AG1000" s="243"/>
      <c r="AH1000" s="243"/>
      <c r="AI1000" s="243"/>
      <c r="AJ1000" s="243"/>
      <c r="AK1000" s="243"/>
      <c r="AL1000" s="243"/>
      <c r="AM1000" s="243"/>
      <c r="AN1000" s="243"/>
      <c r="AO1000" s="243"/>
      <c r="AP1000" s="243"/>
      <c r="AQ1000" s="243"/>
      <c r="AR1000" s="243"/>
      <c r="AS1000" s="243"/>
      <c r="AT1000" s="243"/>
      <c r="AU1000" s="243"/>
      <c r="AV1000" s="243"/>
      <c r="AW1000" s="243"/>
      <c r="AX1000" s="243"/>
      <c r="AY1000" s="243"/>
      <c r="AZ1000" s="243"/>
      <c r="BA1000" s="243"/>
      <c r="BB1000" s="243"/>
      <c r="BC1000" s="243"/>
      <c r="BD1000" s="243"/>
      <c r="BE1000" s="243"/>
      <c r="BF1000" s="243"/>
      <c r="BG1000" s="243"/>
      <c r="BH1000" s="243"/>
      <c r="BI1000" s="243"/>
      <c r="BJ1000" s="243"/>
      <c r="BK1000" s="243"/>
      <c r="BL1000" s="243"/>
      <c r="BM1000" s="243"/>
      <c r="BN1000" s="243"/>
      <c r="BO1000" s="243"/>
      <c r="BP1000" s="243"/>
      <c r="BQ1000" s="243"/>
      <c r="BR1000" s="243"/>
      <c r="BS1000" s="243"/>
    </row>
    <row r="1001" spans="1:71" s="12" customFormat="1" ht="41.25" customHeight="1">
      <c r="A1001" s="178" t="s">
        <v>96</v>
      </c>
      <c r="B1001" s="80" t="s">
        <v>1799</v>
      </c>
      <c r="C1001" s="39" t="s">
        <v>17</v>
      </c>
      <c r="D1001" s="378">
        <v>3</v>
      </c>
      <c r="E1001" s="369">
        <v>0</v>
      </c>
      <c r="F1001" s="369">
        <v>1</v>
      </c>
      <c r="G1001" s="369">
        <v>0</v>
      </c>
      <c r="H1001" s="240">
        <f>SUM(Tabla1321124[[#This Row],[PRIMER TRIMESTRE]:[CUARTO TRIMESTRE]])</f>
        <v>4</v>
      </c>
      <c r="I1001" s="17">
        <v>78500</v>
      </c>
      <c r="J1001" s="17">
        <f t="shared" si="15"/>
        <v>314000</v>
      </c>
      <c r="K1001" s="175"/>
      <c r="L1001" s="16" t="s">
        <v>18</v>
      </c>
      <c r="M1001" s="16" t="s">
        <v>22</v>
      </c>
      <c r="N1001" s="16"/>
      <c r="O1001" s="243"/>
      <c r="P1001" s="243"/>
      <c r="Q1001" s="243"/>
      <c r="R1001" s="243"/>
      <c r="S1001" s="243"/>
      <c r="T1001" s="243"/>
      <c r="U1001" s="243"/>
      <c r="V1001" s="243"/>
      <c r="W1001" s="243"/>
      <c r="X1001" s="243"/>
      <c r="Y1001" s="243"/>
      <c r="Z1001" s="243"/>
      <c r="AA1001" s="243"/>
      <c r="AB1001" s="243"/>
      <c r="AC1001" s="243"/>
      <c r="AD1001" s="243"/>
      <c r="AE1001" s="243"/>
      <c r="AF1001" s="243"/>
      <c r="AG1001" s="243"/>
      <c r="AH1001" s="243"/>
      <c r="AI1001" s="243"/>
      <c r="AJ1001" s="243"/>
      <c r="AK1001" s="243"/>
      <c r="AL1001" s="243"/>
      <c r="AM1001" s="243"/>
      <c r="AN1001" s="243"/>
      <c r="AO1001" s="243"/>
      <c r="AP1001" s="243"/>
      <c r="AQ1001" s="243"/>
      <c r="AR1001" s="243"/>
      <c r="AS1001" s="243"/>
      <c r="AT1001" s="243"/>
      <c r="AU1001" s="243"/>
      <c r="AV1001" s="243"/>
      <c r="AW1001" s="243"/>
      <c r="AX1001" s="243"/>
      <c r="AY1001" s="243"/>
      <c r="AZ1001" s="243"/>
      <c r="BA1001" s="243"/>
      <c r="BB1001" s="243"/>
      <c r="BC1001" s="243"/>
      <c r="BD1001" s="243"/>
      <c r="BE1001" s="243"/>
      <c r="BF1001" s="243"/>
      <c r="BG1001" s="243"/>
      <c r="BH1001" s="243"/>
      <c r="BI1001" s="243"/>
      <c r="BJ1001" s="243"/>
      <c r="BK1001" s="243"/>
      <c r="BL1001" s="243"/>
      <c r="BM1001" s="243"/>
      <c r="BN1001" s="243"/>
      <c r="BO1001" s="243"/>
      <c r="BP1001" s="243"/>
      <c r="BQ1001" s="243"/>
      <c r="BR1001" s="243"/>
      <c r="BS1001" s="243"/>
    </row>
    <row r="1002" spans="1:71" s="12" customFormat="1" ht="41.25" customHeight="1">
      <c r="A1002" s="178" t="s">
        <v>96</v>
      </c>
      <c r="B1002" s="80" t="str">
        <f ca="1">+UPPER(Tabla1321124[[#This Row],[DESCRIPCIÓN DE LA COMPRA O CONTRATACIÓN]])</f>
        <v>COLUMNAS DE 4'X 5 CON SUS COUPLING</v>
      </c>
      <c r="C1002" s="39" t="s">
        <v>17</v>
      </c>
      <c r="D1002" s="236">
        <v>65</v>
      </c>
      <c r="E1002" s="236">
        <v>35</v>
      </c>
      <c r="F1002" s="236">
        <v>22</v>
      </c>
      <c r="G1002" s="236">
        <v>23</v>
      </c>
      <c r="H1002" s="240">
        <f>SUM(Tabla1321124[[#This Row],[PRIMER TRIMESTRE]:[CUARTO TRIMESTRE]])</f>
        <v>145</v>
      </c>
      <c r="I1002" s="17">
        <v>7650</v>
      </c>
      <c r="J1002" s="17">
        <f t="shared" si="15"/>
        <v>1109250</v>
      </c>
      <c r="K1002" s="17"/>
      <c r="L1002" s="16" t="s">
        <v>18</v>
      </c>
      <c r="M1002" s="16" t="s">
        <v>22</v>
      </c>
      <c r="N1002" s="16"/>
      <c r="O1002" s="243"/>
      <c r="P1002" s="243"/>
      <c r="Q1002" s="243"/>
      <c r="R1002" s="243"/>
      <c r="S1002" s="243"/>
      <c r="T1002" s="243"/>
      <c r="U1002" s="243"/>
      <c r="V1002" s="243"/>
      <c r="W1002" s="243"/>
      <c r="X1002" s="243"/>
      <c r="Y1002" s="243"/>
      <c r="Z1002" s="243"/>
      <c r="AA1002" s="243"/>
      <c r="AB1002" s="243"/>
      <c r="AC1002" s="243"/>
      <c r="AD1002" s="243"/>
      <c r="AE1002" s="243"/>
      <c r="AF1002" s="243"/>
      <c r="AG1002" s="243"/>
      <c r="AH1002" s="243"/>
      <c r="AI1002" s="243"/>
      <c r="AJ1002" s="243"/>
      <c r="AK1002" s="243"/>
      <c r="AL1002" s="243"/>
      <c r="AM1002" s="243"/>
      <c r="AN1002" s="243"/>
      <c r="AO1002" s="243"/>
      <c r="AP1002" s="243"/>
      <c r="AQ1002" s="243"/>
      <c r="AR1002" s="243"/>
      <c r="AS1002" s="243"/>
      <c r="AT1002" s="243"/>
      <c r="AU1002" s="243"/>
      <c r="AV1002" s="243"/>
      <c r="AW1002" s="243"/>
      <c r="AX1002" s="243"/>
      <c r="AY1002" s="243"/>
      <c r="AZ1002" s="243"/>
      <c r="BA1002" s="243"/>
      <c r="BB1002" s="243"/>
      <c r="BC1002" s="243"/>
      <c r="BD1002" s="243"/>
      <c r="BE1002" s="243"/>
      <c r="BF1002" s="243"/>
      <c r="BG1002" s="243"/>
      <c r="BH1002" s="243"/>
      <c r="BI1002" s="243"/>
      <c r="BJ1002" s="243"/>
      <c r="BK1002" s="243"/>
      <c r="BL1002" s="243"/>
      <c r="BM1002" s="243"/>
      <c r="BN1002" s="243"/>
      <c r="BO1002" s="243"/>
      <c r="BP1002" s="243"/>
      <c r="BQ1002" s="243"/>
      <c r="BR1002" s="243"/>
      <c r="BS1002" s="243"/>
    </row>
    <row r="1003" spans="1:71" s="12" customFormat="1" ht="41.25" customHeight="1">
      <c r="A1003" s="178" t="s">
        <v>96</v>
      </c>
      <c r="B1003" s="75" t="str">
        <f ca="1">+UPPER(Tabla1321124[[#This Row],[DESCRIPCIÓN DE LA COMPRA O CONTRATACIÓN]])</f>
        <v xml:space="preserve">COLUMNAS DE 4" X 10' HG </v>
      </c>
      <c r="C1003" s="39" t="s">
        <v>17</v>
      </c>
      <c r="D1003" s="236">
        <v>30</v>
      </c>
      <c r="E1003" s="236">
        <v>30</v>
      </c>
      <c r="F1003" s="236">
        <v>30</v>
      </c>
      <c r="G1003" s="236">
        <v>30</v>
      </c>
      <c r="H1003" s="240">
        <f>SUM(Tabla1321124[[#This Row],[PRIMER TRIMESTRE]:[CUARTO TRIMESTRE]])</f>
        <v>120</v>
      </c>
      <c r="I1003" s="17">
        <v>6460</v>
      </c>
      <c r="J1003" s="17">
        <f t="shared" si="15"/>
        <v>775200</v>
      </c>
      <c r="K1003" s="17"/>
      <c r="L1003" s="16" t="s">
        <v>18</v>
      </c>
      <c r="M1003" s="16" t="s">
        <v>22</v>
      </c>
      <c r="N1003" s="16"/>
      <c r="O1003" s="243"/>
      <c r="P1003" s="243"/>
      <c r="Q1003" s="243"/>
      <c r="R1003" s="243"/>
      <c r="S1003" s="243"/>
      <c r="T1003" s="243"/>
      <c r="U1003" s="243"/>
      <c r="V1003" s="243"/>
      <c r="W1003" s="243"/>
      <c r="X1003" s="243"/>
      <c r="Y1003" s="243"/>
      <c r="Z1003" s="243"/>
      <c r="AA1003" s="243"/>
      <c r="AB1003" s="243"/>
      <c r="AC1003" s="243"/>
      <c r="AD1003" s="243"/>
      <c r="AE1003" s="243"/>
      <c r="AF1003" s="243"/>
      <c r="AG1003" s="243"/>
      <c r="AH1003" s="243"/>
      <c r="AI1003" s="243"/>
      <c r="AJ1003" s="243"/>
      <c r="AK1003" s="243"/>
      <c r="AL1003" s="243"/>
      <c r="AM1003" s="243"/>
      <c r="AN1003" s="243"/>
      <c r="AO1003" s="243"/>
      <c r="AP1003" s="243"/>
      <c r="AQ1003" s="243"/>
      <c r="AR1003" s="243"/>
      <c r="AS1003" s="243"/>
      <c r="AT1003" s="243"/>
      <c r="AU1003" s="243"/>
      <c r="AV1003" s="243"/>
      <c r="AW1003" s="243"/>
      <c r="AX1003" s="243"/>
      <c r="AY1003" s="243"/>
      <c r="AZ1003" s="243"/>
      <c r="BA1003" s="243"/>
      <c r="BB1003" s="243"/>
      <c r="BC1003" s="243"/>
      <c r="BD1003" s="243"/>
      <c r="BE1003" s="243"/>
      <c r="BF1003" s="243"/>
      <c r="BG1003" s="243"/>
      <c r="BH1003" s="243"/>
      <c r="BI1003" s="243"/>
      <c r="BJ1003" s="243"/>
      <c r="BK1003" s="243"/>
      <c r="BL1003" s="243"/>
      <c r="BM1003" s="243"/>
      <c r="BN1003" s="243"/>
      <c r="BO1003" s="243"/>
      <c r="BP1003" s="243"/>
      <c r="BQ1003" s="243"/>
      <c r="BR1003" s="243"/>
      <c r="BS1003" s="243"/>
    </row>
    <row r="1004" spans="1:71" s="12" customFormat="1" ht="41.25" customHeight="1">
      <c r="A1004" s="178" t="s">
        <v>96</v>
      </c>
      <c r="B1004" s="80" t="str">
        <f ca="1">+UPPER(Tabla1321124[[#This Row],[DESCRIPCIÓN DE LA COMPRA O CONTRATACIÓN]])</f>
        <v>COLUMNAS DE 4'' X 20'' CON SU COUPLING</v>
      </c>
      <c r="C1004" s="39" t="s">
        <v>17</v>
      </c>
      <c r="D1004" s="236">
        <v>50</v>
      </c>
      <c r="E1004" s="236">
        <v>50</v>
      </c>
      <c r="F1004" s="236">
        <v>100</v>
      </c>
      <c r="G1004" s="236">
        <v>100</v>
      </c>
      <c r="H1004" s="240">
        <f>SUM(Tabla1321124[[#This Row],[PRIMER TRIMESTRE]:[CUARTO TRIMESTRE]])</f>
        <v>300</v>
      </c>
      <c r="I1004" s="17">
        <v>6500</v>
      </c>
      <c r="J1004" s="17">
        <f t="shared" si="15"/>
        <v>1950000</v>
      </c>
      <c r="K1004" s="17"/>
      <c r="L1004" s="16" t="s">
        <v>18</v>
      </c>
      <c r="M1004" s="16" t="s">
        <v>22</v>
      </c>
      <c r="N1004" s="16"/>
      <c r="O1004" s="243"/>
      <c r="P1004" s="243"/>
      <c r="Q1004" s="243"/>
      <c r="R1004" s="243"/>
      <c r="S1004" s="243"/>
      <c r="T1004" s="243"/>
      <c r="U1004" s="243"/>
      <c r="V1004" s="243"/>
      <c r="W1004" s="243"/>
      <c r="X1004" s="243"/>
      <c r="Y1004" s="243"/>
      <c r="Z1004" s="243"/>
      <c r="AA1004" s="243"/>
      <c r="AB1004" s="243"/>
      <c r="AC1004" s="243"/>
      <c r="AD1004" s="243"/>
      <c r="AE1004" s="243"/>
      <c r="AF1004" s="243"/>
      <c r="AG1004" s="243"/>
      <c r="AH1004" s="243"/>
      <c r="AI1004" s="243"/>
      <c r="AJ1004" s="243"/>
      <c r="AK1004" s="243"/>
      <c r="AL1004" s="243"/>
      <c r="AM1004" s="243"/>
      <c r="AN1004" s="243"/>
      <c r="AO1004" s="243"/>
      <c r="AP1004" s="243"/>
      <c r="AQ1004" s="243"/>
      <c r="AR1004" s="243"/>
      <c r="AS1004" s="243"/>
      <c r="AT1004" s="243"/>
      <c r="AU1004" s="243"/>
      <c r="AV1004" s="243"/>
      <c r="AW1004" s="243"/>
      <c r="AX1004" s="243"/>
      <c r="AY1004" s="243"/>
      <c r="AZ1004" s="243"/>
      <c r="BA1004" s="243"/>
      <c r="BB1004" s="243"/>
      <c r="BC1004" s="243"/>
      <c r="BD1004" s="243"/>
      <c r="BE1004" s="243"/>
      <c r="BF1004" s="243"/>
      <c r="BG1004" s="243"/>
      <c r="BH1004" s="243"/>
      <c r="BI1004" s="243"/>
      <c r="BJ1004" s="243"/>
      <c r="BK1004" s="243"/>
      <c r="BL1004" s="243"/>
      <c r="BM1004" s="243"/>
      <c r="BN1004" s="243"/>
      <c r="BO1004" s="243"/>
      <c r="BP1004" s="243"/>
      <c r="BQ1004" s="243"/>
      <c r="BR1004" s="243"/>
      <c r="BS1004" s="243"/>
    </row>
    <row r="1005" spans="1:71" s="12" customFormat="1" ht="41.25" customHeight="1">
      <c r="A1005" s="178" t="s">
        <v>96</v>
      </c>
      <c r="B1005" s="75" t="str">
        <f ca="1">+UPPER(Tabla1321124[[#This Row],[DESCRIPCIÓN DE LA COMPRA O CONTRATACIÓN]])</f>
        <v>COLUMNA Ø6'' X 5' CON SU COUPLING</v>
      </c>
      <c r="C1005" s="39" t="s">
        <v>17</v>
      </c>
      <c r="D1005" s="236">
        <v>120</v>
      </c>
      <c r="E1005" s="236">
        <v>35</v>
      </c>
      <c r="F1005" s="236">
        <v>72</v>
      </c>
      <c r="G1005" s="236">
        <v>23</v>
      </c>
      <c r="H1005" s="240">
        <f>SUM(Tabla1321124[[#This Row],[PRIMER TRIMESTRE]:[CUARTO TRIMESTRE]])</f>
        <v>250</v>
      </c>
      <c r="I1005" s="17">
        <v>6700</v>
      </c>
      <c r="J1005" s="17">
        <f t="shared" si="15"/>
        <v>1675000</v>
      </c>
      <c r="K1005" s="302"/>
      <c r="L1005" s="16" t="s">
        <v>18</v>
      </c>
      <c r="M1005" s="16" t="s">
        <v>22</v>
      </c>
      <c r="N1005" s="16"/>
      <c r="O1005" s="243"/>
      <c r="P1005" s="243"/>
      <c r="Q1005" s="243"/>
      <c r="R1005" s="243"/>
      <c r="S1005" s="243"/>
      <c r="T1005" s="243"/>
      <c r="U1005" s="243"/>
      <c r="V1005" s="243"/>
      <c r="W1005" s="243"/>
      <c r="X1005" s="243"/>
      <c r="Y1005" s="243"/>
      <c r="Z1005" s="243"/>
      <c r="AA1005" s="243"/>
      <c r="AB1005" s="243"/>
      <c r="AC1005" s="243"/>
      <c r="AD1005" s="243"/>
      <c r="AE1005" s="243"/>
      <c r="AF1005" s="243"/>
      <c r="AG1005" s="243"/>
      <c r="AH1005" s="243"/>
      <c r="AI1005" s="243"/>
      <c r="AJ1005" s="243"/>
      <c r="AK1005" s="243"/>
      <c r="AL1005" s="243"/>
      <c r="AM1005" s="243"/>
      <c r="AN1005" s="243"/>
      <c r="AO1005" s="243"/>
      <c r="AP1005" s="243"/>
      <c r="AQ1005" s="243"/>
      <c r="AR1005" s="243"/>
      <c r="AS1005" s="243"/>
      <c r="AT1005" s="243"/>
      <c r="AU1005" s="243"/>
      <c r="AV1005" s="243"/>
      <c r="AW1005" s="243"/>
      <c r="AX1005" s="243"/>
      <c r="AY1005" s="243"/>
      <c r="AZ1005" s="243"/>
      <c r="BA1005" s="243"/>
      <c r="BB1005" s="243"/>
      <c r="BC1005" s="243"/>
      <c r="BD1005" s="243"/>
      <c r="BE1005" s="243"/>
      <c r="BF1005" s="243"/>
      <c r="BG1005" s="243"/>
      <c r="BH1005" s="243"/>
      <c r="BI1005" s="243"/>
      <c r="BJ1005" s="243"/>
      <c r="BK1005" s="243"/>
      <c r="BL1005" s="243"/>
      <c r="BM1005" s="243"/>
      <c r="BN1005" s="243"/>
      <c r="BO1005" s="243"/>
      <c r="BP1005" s="243"/>
      <c r="BQ1005" s="243"/>
      <c r="BR1005" s="243"/>
      <c r="BS1005" s="243"/>
    </row>
    <row r="1006" spans="1:71" s="12" customFormat="1" ht="41.25" customHeight="1">
      <c r="A1006" s="178" t="s">
        <v>96</v>
      </c>
      <c r="B1006" s="80" t="str">
        <f ca="1">+UPPER(Tabla1321124[[#This Row],[DESCRIPCIÓN DE LA COMPRA O CONTRATACIÓN]])</f>
        <v>COLUMNAS DE 6" X 10' ACERO CON CUOPLING</v>
      </c>
      <c r="C1006" s="39" t="s">
        <v>17</v>
      </c>
      <c r="D1006" s="352">
        <f>100+30</f>
        <v>130</v>
      </c>
      <c r="E1006" s="352">
        <v>25</v>
      </c>
      <c r="F1006" s="352">
        <f>62+20</f>
        <v>82</v>
      </c>
      <c r="G1006" s="352">
        <v>13</v>
      </c>
      <c r="H1006" s="240">
        <f>SUM(Tabla1321124[[#This Row],[PRIMER TRIMESTRE]:[CUARTO TRIMESTRE]])</f>
        <v>250</v>
      </c>
      <c r="I1006" s="17">
        <v>12589</v>
      </c>
      <c r="J1006" s="17">
        <f t="shared" si="15"/>
        <v>3147250</v>
      </c>
      <c r="K1006" s="17"/>
      <c r="L1006" s="16" t="s">
        <v>18</v>
      </c>
      <c r="M1006" s="16" t="s">
        <v>22</v>
      </c>
      <c r="N1006" s="16"/>
      <c r="O1006" s="243"/>
      <c r="P1006" s="243"/>
      <c r="Q1006" s="243"/>
      <c r="R1006" s="243"/>
      <c r="S1006" s="243"/>
      <c r="T1006" s="243"/>
      <c r="U1006" s="243"/>
      <c r="V1006" s="243"/>
      <c r="W1006" s="243"/>
      <c r="X1006" s="243"/>
      <c r="Y1006" s="243"/>
      <c r="Z1006" s="243"/>
      <c r="AA1006" s="243"/>
      <c r="AB1006" s="243"/>
      <c r="AC1006" s="243"/>
      <c r="AD1006" s="243"/>
      <c r="AE1006" s="243"/>
      <c r="AF1006" s="243"/>
      <c r="AG1006" s="243"/>
      <c r="AH1006" s="243"/>
      <c r="AI1006" s="243"/>
      <c r="AJ1006" s="243"/>
      <c r="AK1006" s="243"/>
      <c r="AL1006" s="243"/>
      <c r="AM1006" s="243"/>
      <c r="AN1006" s="243"/>
      <c r="AO1006" s="243"/>
      <c r="AP1006" s="243"/>
      <c r="AQ1006" s="243"/>
      <c r="AR1006" s="243"/>
      <c r="AS1006" s="243"/>
      <c r="AT1006" s="243"/>
      <c r="AU1006" s="243"/>
      <c r="AV1006" s="243"/>
      <c r="AW1006" s="243"/>
      <c r="AX1006" s="243"/>
      <c r="AY1006" s="243"/>
      <c r="AZ1006" s="243"/>
      <c r="BA1006" s="243"/>
      <c r="BB1006" s="243"/>
      <c r="BC1006" s="243"/>
      <c r="BD1006" s="243"/>
      <c r="BE1006" s="243"/>
      <c r="BF1006" s="243"/>
      <c r="BG1006" s="243"/>
      <c r="BH1006" s="243"/>
      <c r="BI1006" s="243"/>
      <c r="BJ1006" s="243"/>
      <c r="BK1006" s="243"/>
      <c r="BL1006" s="243"/>
      <c r="BM1006" s="243"/>
      <c r="BN1006" s="243"/>
      <c r="BO1006" s="243"/>
      <c r="BP1006" s="243"/>
      <c r="BQ1006" s="243"/>
      <c r="BR1006" s="243"/>
      <c r="BS1006" s="243"/>
    </row>
    <row r="1007" spans="1:71" s="12" customFormat="1" ht="41.25" customHeight="1">
      <c r="A1007" s="178" t="s">
        <v>96</v>
      </c>
      <c r="B1007" s="80" t="str">
        <f ca="1">+UPPER(Tabla1321124[[#This Row],[DESCRIPCIÓN DE LA COMPRA O CONTRATACIÓN]])</f>
        <v>COLUMNAS DE 8" X 10' ACERO CON CUOPLING</v>
      </c>
      <c r="C1007" s="39" t="s">
        <v>17</v>
      </c>
      <c r="D1007" s="352">
        <v>185</v>
      </c>
      <c r="E1007" s="352">
        <v>105</v>
      </c>
      <c r="F1007" s="352">
        <v>142</v>
      </c>
      <c r="G1007" s="352">
        <v>93</v>
      </c>
      <c r="H1007" s="240">
        <f>SUM(Tabla1321124[[#This Row],[PRIMER TRIMESTRE]:[CUARTO TRIMESTRE]])</f>
        <v>525</v>
      </c>
      <c r="I1007" s="17">
        <v>14625</v>
      </c>
      <c r="J1007" s="17">
        <f t="shared" si="15"/>
        <v>7678125</v>
      </c>
      <c r="K1007" s="17"/>
      <c r="L1007" s="16" t="s">
        <v>18</v>
      </c>
      <c r="M1007" s="16" t="s">
        <v>22</v>
      </c>
      <c r="N1007" s="16"/>
      <c r="O1007" s="243"/>
      <c r="P1007" s="243"/>
      <c r="Q1007" s="243"/>
      <c r="R1007" s="243"/>
      <c r="S1007" s="243"/>
      <c r="T1007" s="243"/>
      <c r="U1007" s="243"/>
      <c r="V1007" s="243"/>
      <c r="W1007" s="243"/>
      <c r="X1007" s="243"/>
      <c r="Y1007" s="243"/>
      <c r="Z1007" s="243"/>
      <c r="AA1007" s="243"/>
      <c r="AB1007" s="243"/>
      <c r="AC1007" s="243"/>
      <c r="AD1007" s="243"/>
      <c r="AE1007" s="243"/>
      <c r="AF1007" s="243"/>
      <c r="AG1007" s="243"/>
      <c r="AH1007" s="243"/>
      <c r="AI1007" s="243"/>
      <c r="AJ1007" s="243"/>
      <c r="AK1007" s="243"/>
      <c r="AL1007" s="243"/>
      <c r="AM1007" s="243"/>
      <c r="AN1007" s="243"/>
      <c r="AO1007" s="243"/>
      <c r="AP1007" s="243"/>
      <c r="AQ1007" s="243"/>
      <c r="AR1007" s="243"/>
      <c r="AS1007" s="243"/>
      <c r="AT1007" s="243"/>
      <c r="AU1007" s="243"/>
      <c r="AV1007" s="243"/>
      <c r="AW1007" s="243"/>
      <c r="AX1007" s="243"/>
      <c r="AY1007" s="243"/>
      <c r="AZ1007" s="243"/>
      <c r="BA1007" s="243"/>
      <c r="BB1007" s="243"/>
      <c r="BC1007" s="243"/>
      <c r="BD1007" s="243"/>
      <c r="BE1007" s="243"/>
      <c r="BF1007" s="243"/>
      <c r="BG1007" s="243"/>
      <c r="BH1007" s="243"/>
      <c r="BI1007" s="243"/>
      <c r="BJ1007" s="243"/>
      <c r="BK1007" s="243"/>
      <c r="BL1007" s="243"/>
      <c r="BM1007" s="243"/>
      <c r="BN1007" s="243"/>
      <c r="BO1007" s="243"/>
      <c r="BP1007" s="243"/>
      <c r="BQ1007" s="243"/>
      <c r="BR1007" s="243"/>
      <c r="BS1007" s="243"/>
    </row>
    <row r="1008" spans="1:71" s="12" customFormat="1" ht="41.25" customHeight="1">
      <c r="A1008" s="178" t="s">
        <v>96</v>
      </c>
      <c r="B1008" s="80" t="str">
        <f ca="1">+UPPER(Tabla1321124[[#This Row],[DESCRIPCIÓN DE LA COMPRA O CONTRATACIÓN]])</f>
        <v>COLUMNAS DE 10" X 10' ACERO CON COUPLING</v>
      </c>
      <c r="C1008" s="39" t="s">
        <v>17</v>
      </c>
      <c r="D1008" s="352">
        <v>25</v>
      </c>
      <c r="E1008" s="352">
        <v>25</v>
      </c>
      <c r="F1008" s="352">
        <v>25</v>
      </c>
      <c r="G1008" s="352">
        <v>25</v>
      </c>
      <c r="H1008" s="240">
        <f>SUM(Tabla1321124[[#This Row],[PRIMER TRIMESTRE]:[CUARTO TRIMESTRE]])</f>
        <v>100</v>
      </c>
      <c r="I1008" s="17">
        <v>28650</v>
      </c>
      <c r="J1008" s="17">
        <f t="shared" si="15"/>
        <v>2865000</v>
      </c>
      <c r="K1008" s="17"/>
      <c r="L1008" s="16" t="s">
        <v>18</v>
      </c>
      <c r="M1008" s="16" t="s">
        <v>22</v>
      </c>
      <c r="N1008" s="16"/>
      <c r="O1008" s="243"/>
      <c r="P1008" s="243"/>
      <c r="Q1008" s="243"/>
      <c r="R1008" s="243"/>
      <c r="S1008" s="243"/>
      <c r="T1008" s="243"/>
      <c r="U1008" s="243"/>
      <c r="V1008" s="243"/>
      <c r="W1008" s="243"/>
      <c r="X1008" s="243"/>
      <c r="Y1008" s="243"/>
      <c r="Z1008" s="243"/>
      <c r="AA1008" s="243"/>
      <c r="AB1008" s="243"/>
      <c r="AC1008" s="243"/>
      <c r="AD1008" s="243"/>
      <c r="AE1008" s="243"/>
      <c r="AF1008" s="243"/>
      <c r="AG1008" s="243"/>
      <c r="AH1008" s="243"/>
      <c r="AI1008" s="243"/>
      <c r="AJ1008" s="243"/>
      <c r="AK1008" s="243"/>
      <c r="AL1008" s="243"/>
      <c r="AM1008" s="243"/>
      <c r="AN1008" s="243"/>
      <c r="AO1008" s="243"/>
      <c r="AP1008" s="243"/>
      <c r="AQ1008" s="243"/>
      <c r="AR1008" s="243"/>
      <c r="AS1008" s="243"/>
      <c r="AT1008" s="243"/>
      <c r="AU1008" s="243"/>
      <c r="AV1008" s="243"/>
      <c r="AW1008" s="243"/>
      <c r="AX1008" s="243"/>
      <c r="AY1008" s="243"/>
      <c r="AZ1008" s="243"/>
      <c r="BA1008" s="243"/>
      <c r="BB1008" s="243"/>
      <c r="BC1008" s="243"/>
      <c r="BD1008" s="243"/>
      <c r="BE1008" s="243"/>
      <c r="BF1008" s="243"/>
      <c r="BG1008" s="243"/>
      <c r="BH1008" s="243"/>
      <c r="BI1008" s="243"/>
      <c r="BJ1008" s="243"/>
      <c r="BK1008" s="243"/>
      <c r="BL1008" s="243"/>
      <c r="BM1008" s="243"/>
      <c r="BN1008" s="243"/>
      <c r="BO1008" s="243"/>
      <c r="BP1008" s="243"/>
      <c r="BQ1008" s="243"/>
      <c r="BR1008" s="243"/>
      <c r="BS1008" s="243"/>
    </row>
    <row r="1009" spans="1:71" s="12" customFormat="1" ht="41.25" customHeight="1">
      <c r="A1009" s="178" t="s">
        <v>96</v>
      </c>
      <c r="B1009" s="75" t="str">
        <f ca="1">+UPPER(Tabla1321124[[#This Row],[DESCRIPCIÓN DE LA COMPRA O CONTRATACIÓN]])</f>
        <v>ALAMBRE AWG NO.12</v>
      </c>
      <c r="C1009" s="39" t="s">
        <v>343</v>
      </c>
      <c r="D1009" s="236">
        <f>1500+1000</f>
        <v>2500</v>
      </c>
      <c r="E1009" s="236">
        <f t="shared" ref="E1009:G1016" si="18">1500+500</f>
        <v>2000</v>
      </c>
      <c r="F1009" s="236">
        <f t="shared" si="18"/>
        <v>2000</v>
      </c>
      <c r="G1009" s="236">
        <f t="shared" si="18"/>
        <v>2000</v>
      </c>
      <c r="H1009" s="240">
        <f>SUM(Tabla1321124[[#This Row],[PRIMER TRIMESTRE]:[CUARTO TRIMESTRE]])</f>
        <v>8500</v>
      </c>
      <c r="I1009" s="17">
        <v>5.64</v>
      </c>
      <c r="J1009" s="17">
        <f t="shared" si="15"/>
        <v>47940</v>
      </c>
      <c r="K1009" s="17"/>
      <c r="L1009" s="16" t="s">
        <v>18</v>
      </c>
      <c r="M1009" s="16" t="s">
        <v>22</v>
      </c>
      <c r="N1009" s="16" t="s">
        <v>418</v>
      </c>
      <c r="O1009" s="243"/>
      <c r="P1009" s="243"/>
      <c r="Q1009" s="243"/>
      <c r="R1009" s="243"/>
      <c r="S1009" s="243"/>
      <c r="T1009" s="243"/>
      <c r="U1009" s="243"/>
      <c r="V1009" s="243"/>
      <c r="W1009" s="243"/>
      <c r="X1009" s="243"/>
      <c r="Y1009" s="243"/>
      <c r="Z1009" s="243"/>
      <c r="AA1009" s="243"/>
      <c r="AB1009" s="243"/>
      <c r="AC1009" s="243"/>
      <c r="AD1009" s="243"/>
      <c r="AE1009" s="243"/>
      <c r="AF1009" s="243"/>
      <c r="AG1009" s="243"/>
      <c r="AH1009" s="243"/>
      <c r="AI1009" s="243"/>
      <c r="AJ1009" s="243"/>
      <c r="AK1009" s="243"/>
      <c r="AL1009" s="243"/>
      <c r="AM1009" s="243"/>
      <c r="AN1009" s="243"/>
      <c r="AO1009" s="243"/>
      <c r="AP1009" s="243"/>
      <c r="AQ1009" s="243"/>
      <c r="AR1009" s="243"/>
      <c r="AS1009" s="243"/>
      <c r="AT1009" s="243"/>
      <c r="AU1009" s="243"/>
      <c r="AV1009" s="243"/>
      <c r="AW1009" s="243"/>
      <c r="AX1009" s="243"/>
      <c r="AY1009" s="243"/>
      <c r="AZ1009" s="243"/>
      <c r="BA1009" s="243"/>
      <c r="BB1009" s="243"/>
      <c r="BC1009" s="243"/>
      <c r="BD1009" s="243"/>
      <c r="BE1009" s="243"/>
      <c r="BF1009" s="243"/>
      <c r="BG1009" s="243"/>
      <c r="BH1009" s="243"/>
      <c r="BI1009" s="243"/>
      <c r="BJ1009" s="243"/>
      <c r="BK1009" s="243"/>
      <c r="BL1009" s="243"/>
      <c r="BM1009" s="243"/>
      <c r="BN1009" s="243"/>
      <c r="BO1009" s="243"/>
      <c r="BP1009" s="243"/>
      <c r="BQ1009" s="243"/>
      <c r="BR1009" s="243"/>
      <c r="BS1009" s="243"/>
    </row>
    <row r="1010" spans="1:71" s="12" customFormat="1" ht="41.25" customHeight="1">
      <c r="A1010" s="178" t="s">
        <v>96</v>
      </c>
      <c r="B1010" s="75" t="str">
        <f ca="1">+UPPER(Tabla1321124[[#This Row],[DESCRIPCIÓN DE LA COMPRA O CONTRATACIÓN]])</f>
        <v>ALAMBRE AWG NO. 10</v>
      </c>
      <c r="C1010" s="39" t="s">
        <v>343</v>
      </c>
      <c r="D1010" s="236">
        <v>1000</v>
      </c>
      <c r="E1010" s="236">
        <f t="shared" si="18"/>
        <v>2000</v>
      </c>
      <c r="F1010" s="236">
        <f t="shared" si="18"/>
        <v>2000</v>
      </c>
      <c r="G1010" s="236">
        <f t="shared" si="18"/>
        <v>2000</v>
      </c>
      <c r="H1010" s="240">
        <f>SUM(Tabla1321124[[#This Row],[PRIMER TRIMESTRE]:[CUARTO TRIMESTRE]])</f>
        <v>7000</v>
      </c>
      <c r="I1010" s="17">
        <v>12</v>
      </c>
      <c r="J1010" s="17">
        <f t="shared" si="15"/>
        <v>84000</v>
      </c>
      <c r="K1010" s="17"/>
      <c r="L1010" s="16" t="s">
        <v>18</v>
      </c>
      <c r="M1010" s="16" t="s">
        <v>22</v>
      </c>
      <c r="N1010" s="16" t="s">
        <v>418</v>
      </c>
      <c r="O1010" s="243"/>
      <c r="P1010" s="243"/>
      <c r="Q1010" s="243"/>
      <c r="R1010" s="243"/>
      <c r="S1010" s="243"/>
      <c r="T1010" s="243"/>
      <c r="U1010" s="243"/>
      <c r="V1010" s="243"/>
      <c r="W1010" s="243"/>
      <c r="X1010" s="243"/>
      <c r="Y1010" s="243"/>
      <c r="Z1010" s="243"/>
      <c r="AA1010" s="243"/>
      <c r="AB1010" s="243"/>
      <c r="AC1010" s="243"/>
      <c r="AD1010" s="243"/>
      <c r="AE1010" s="243"/>
      <c r="AF1010" s="243"/>
      <c r="AG1010" s="243"/>
      <c r="AH1010" s="243"/>
      <c r="AI1010" s="243"/>
      <c r="AJ1010" s="243"/>
      <c r="AK1010" s="243"/>
      <c r="AL1010" s="243"/>
      <c r="AM1010" s="243"/>
      <c r="AN1010" s="243"/>
      <c r="AO1010" s="243"/>
      <c r="AP1010" s="243"/>
      <c r="AQ1010" s="243"/>
      <c r="AR1010" s="243"/>
      <c r="AS1010" s="243"/>
      <c r="AT1010" s="243"/>
      <c r="AU1010" s="243"/>
      <c r="AV1010" s="243"/>
      <c r="AW1010" s="243"/>
      <c r="AX1010" s="243"/>
      <c r="AY1010" s="243"/>
      <c r="AZ1010" s="243"/>
      <c r="BA1010" s="243"/>
      <c r="BB1010" s="243"/>
      <c r="BC1010" s="243"/>
      <c r="BD1010" s="243"/>
      <c r="BE1010" s="243"/>
      <c r="BF1010" s="243"/>
      <c r="BG1010" s="243"/>
      <c r="BH1010" s="243"/>
      <c r="BI1010" s="243"/>
      <c r="BJ1010" s="243"/>
      <c r="BK1010" s="243"/>
      <c r="BL1010" s="243"/>
      <c r="BM1010" s="243"/>
      <c r="BN1010" s="243"/>
      <c r="BO1010" s="243"/>
      <c r="BP1010" s="243"/>
      <c r="BQ1010" s="243"/>
      <c r="BR1010" s="243"/>
      <c r="BS1010" s="243"/>
    </row>
    <row r="1011" spans="1:71" s="12" customFormat="1" ht="41.25" customHeight="1">
      <c r="A1011" s="178" t="s">
        <v>96</v>
      </c>
      <c r="B1011" s="75" t="str">
        <f ca="1">+UPPER(Tabla1321124[[#This Row],[DESCRIPCIÓN DE LA COMPRA O CONTRATACIÓN]])</f>
        <v>ALAMBRE AWG NO.8</v>
      </c>
      <c r="C1011" s="39" t="s">
        <v>343</v>
      </c>
      <c r="D1011" s="236">
        <v>1000</v>
      </c>
      <c r="E1011" s="236">
        <f t="shared" si="18"/>
        <v>2000</v>
      </c>
      <c r="F1011" s="236">
        <f t="shared" si="18"/>
        <v>2000</v>
      </c>
      <c r="G1011" s="236">
        <f t="shared" si="18"/>
        <v>2000</v>
      </c>
      <c r="H1011" s="240">
        <f>SUM(Tabla1321124[[#This Row],[PRIMER TRIMESTRE]:[CUARTO TRIMESTRE]])</f>
        <v>7000</v>
      </c>
      <c r="I1011" s="17">
        <v>19</v>
      </c>
      <c r="J1011" s="17">
        <f t="shared" si="15"/>
        <v>133000</v>
      </c>
      <c r="K1011" s="17"/>
      <c r="L1011" s="16" t="s">
        <v>18</v>
      </c>
      <c r="M1011" s="16" t="s">
        <v>22</v>
      </c>
      <c r="N1011" s="16" t="s">
        <v>418</v>
      </c>
      <c r="O1011" s="243"/>
      <c r="P1011" s="243"/>
      <c r="Q1011" s="243"/>
      <c r="R1011" s="243"/>
      <c r="S1011" s="243"/>
      <c r="T1011" s="243"/>
      <c r="U1011" s="243"/>
      <c r="V1011" s="243"/>
      <c r="W1011" s="243"/>
      <c r="X1011" s="243"/>
      <c r="Y1011" s="243"/>
      <c r="Z1011" s="243"/>
      <c r="AA1011" s="243"/>
      <c r="AB1011" s="243"/>
      <c r="AC1011" s="243"/>
      <c r="AD1011" s="243"/>
      <c r="AE1011" s="243"/>
      <c r="AF1011" s="243"/>
      <c r="AG1011" s="243"/>
      <c r="AH1011" s="243"/>
      <c r="AI1011" s="243"/>
      <c r="AJ1011" s="243"/>
      <c r="AK1011" s="243"/>
      <c r="AL1011" s="243"/>
      <c r="AM1011" s="243"/>
      <c r="AN1011" s="243"/>
      <c r="AO1011" s="243"/>
      <c r="AP1011" s="243"/>
      <c r="AQ1011" s="243"/>
      <c r="AR1011" s="243"/>
      <c r="AS1011" s="243"/>
      <c r="AT1011" s="243"/>
      <c r="AU1011" s="243"/>
      <c r="AV1011" s="243"/>
      <c r="AW1011" s="243"/>
      <c r="AX1011" s="243"/>
      <c r="AY1011" s="243"/>
      <c r="AZ1011" s="243"/>
      <c r="BA1011" s="243"/>
      <c r="BB1011" s="243"/>
      <c r="BC1011" s="243"/>
      <c r="BD1011" s="243"/>
      <c r="BE1011" s="243"/>
      <c r="BF1011" s="243"/>
      <c r="BG1011" s="243"/>
      <c r="BH1011" s="243"/>
      <c r="BI1011" s="243"/>
      <c r="BJ1011" s="243"/>
      <c r="BK1011" s="243"/>
      <c r="BL1011" s="243"/>
      <c r="BM1011" s="243"/>
      <c r="BN1011" s="243"/>
      <c r="BO1011" s="243"/>
      <c r="BP1011" s="243"/>
      <c r="BQ1011" s="243"/>
      <c r="BR1011" s="243"/>
      <c r="BS1011" s="243"/>
    </row>
    <row r="1012" spans="1:71" s="12" customFormat="1" ht="41.25" customHeight="1">
      <c r="A1012" s="178" t="s">
        <v>96</v>
      </c>
      <c r="B1012" s="75" t="str">
        <f ca="1">+UPPER(Tabla1321124[[#This Row],[DESCRIPCIÓN DE LA COMPRA O CONTRATACIÓN]])</f>
        <v>ALAMBRE AWG NO.6</v>
      </c>
      <c r="C1012" s="39" t="s">
        <v>343</v>
      </c>
      <c r="D1012" s="236">
        <f>1500+1000</f>
        <v>2500</v>
      </c>
      <c r="E1012" s="236">
        <f t="shared" si="18"/>
        <v>2000</v>
      </c>
      <c r="F1012" s="236">
        <f t="shared" si="18"/>
        <v>2000</v>
      </c>
      <c r="G1012" s="236">
        <f t="shared" si="18"/>
        <v>2000</v>
      </c>
      <c r="H1012" s="240">
        <f>SUM(Tabla1321124[[#This Row],[PRIMER TRIMESTRE]:[CUARTO TRIMESTRE]])</f>
        <v>8500</v>
      </c>
      <c r="I1012" s="17">
        <v>22</v>
      </c>
      <c r="J1012" s="17">
        <f t="shared" si="15"/>
        <v>187000</v>
      </c>
      <c r="K1012" s="17"/>
      <c r="L1012" s="16" t="s">
        <v>18</v>
      </c>
      <c r="M1012" s="16" t="s">
        <v>22</v>
      </c>
      <c r="N1012" s="16" t="s">
        <v>418</v>
      </c>
      <c r="O1012" s="243"/>
      <c r="P1012" s="243"/>
      <c r="Q1012" s="243"/>
      <c r="R1012" s="243"/>
      <c r="S1012" s="243"/>
      <c r="T1012" s="243"/>
      <c r="U1012" s="243"/>
      <c r="V1012" s="243"/>
      <c r="W1012" s="243"/>
      <c r="X1012" s="243"/>
      <c r="Y1012" s="243"/>
      <c r="Z1012" s="243"/>
      <c r="AA1012" s="243"/>
      <c r="AB1012" s="243"/>
      <c r="AC1012" s="243"/>
      <c r="AD1012" s="243"/>
      <c r="AE1012" s="243"/>
      <c r="AF1012" s="243"/>
      <c r="AG1012" s="243"/>
      <c r="AH1012" s="243"/>
      <c r="AI1012" s="243"/>
      <c r="AJ1012" s="243"/>
      <c r="AK1012" s="243"/>
      <c r="AL1012" s="243"/>
      <c r="AM1012" s="243"/>
      <c r="AN1012" s="243"/>
      <c r="AO1012" s="243"/>
      <c r="AP1012" s="243"/>
      <c r="AQ1012" s="243"/>
      <c r="AR1012" s="243"/>
      <c r="AS1012" s="243"/>
      <c r="AT1012" s="243"/>
      <c r="AU1012" s="243"/>
      <c r="AV1012" s="243"/>
      <c r="AW1012" s="243"/>
      <c r="AX1012" s="243"/>
      <c r="AY1012" s="243"/>
      <c r="AZ1012" s="243"/>
      <c r="BA1012" s="243"/>
      <c r="BB1012" s="243"/>
      <c r="BC1012" s="243"/>
      <c r="BD1012" s="243"/>
      <c r="BE1012" s="243"/>
      <c r="BF1012" s="243"/>
      <c r="BG1012" s="243"/>
      <c r="BH1012" s="243"/>
      <c r="BI1012" s="243"/>
      <c r="BJ1012" s="243"/>
      <c r="BK1012" s="243"/>
      <c r="BL1012" s="243"/>
      <c r="BM1012" s="243"/>
      <c r="BN1012" s="243"/>
      <c r="BO1012" s="243"/>
      <c r="BP1012" s="243"/>
      <c r="BQ1012" s="243"/>
      <c r="BR1012" s="243"/>
      <c r="BS1012" s="243"/>
    </row>
    <row r="1013" spans="1:71" s="12" customFormat="1" ht="41.25" customHeight="1">
      <c r="A1013" s="178" t="s">
        <v>96</v>
      </c>
      <c r="B1013" s="75" t="str">
        <f ca="1">+UPPER(Tabla1321124[[#This Row],[DESCRIPCIÓN DE LA COMPRA O CONTRATACIÓN]])</f>
        <v>ALAMBRE AWG NO.4</v>
      </c>
      <c r="C1013" s="39" t="s">
        <v>343</v>
      </c>
      <c r="D1013" s="236">
        <v>1000</v>
      </c>
      <c r="E1013" s="236">
        <f t="shared" si="18"/>
        <v>2000</v>
      </c>
      <c r="F1013" s="236">
        <f t="shared" si="18"/>
        <v>2000</v>
      </c>
      <c r="G1013" s="236">
        <f t="shared" si="18"/>
        <v>2000</v>
      </c>
      <c r="H1013" s="240">
        <f>SUM(Tabla1321124[[#This Row],[PRIMER TRIMESTRE]:[CUARTO TRIMESTRE]])</f>
        <v>7000</v>
      </c>
      <c r="I1013" s="17">
        <v>30.5</v>
      </c>
      <c r="J1013" s="17">
        <f t="shared" si="15"/>
        <v>213500</v>
      </c>
      <c r="K1013" s="17"/>
      <c r="L1013" s="16" t="s">
        <v>18</v>
      </c>
      <c r="M1013" s="16" t="s">
        <v>22</v>
      </c>
      <c r="N1013" s="16" t="s">
        <v>418</v>
      </c>
      <c r="O1013" s="243"/>
      <c r="P1013" s="243"/>
      <c r="Q1013" s="243"/>
      <c r="R1013" s="243"/>
      <c r="S1013" s="243"/>
      <c r="T1013" s="243"/>
      <c r="U1013" s="243"/>
      <c r="V1013" s="243"/>
      <c r="W1013" s="243"/>
      <c r="X1013" s="243"/>
      <c r="Y1013" s="243"/>
      <c r="Z1013" s="243"/>
      <c r="AA1013" s="243"/>
      <c r="AB1013" s="243"/>
      <c r="AC1013" s="243"/>
      <c r="AD1013" s="243"/>
      <c r="AE1013" s="243"/>
      <c r="AF1013" s="243"/>
      <c r="AG1013" s="243"/>
      <c r="AH1013" s="243"/>
      <c r="AI1013" s="243"/>
      <c r="AJ1013" s="243"/>
      <c r="AK1013" s="243"/>
      <c r="AL1013" s="243"/>
      <c r="AM1013" s="243"/>
      <c r="AN1013" s="243"/>
      <c r="AO1013" s="243"/>
      <c r="AP1013" s="243"/>
      <c r="AQ1013" s="243"/>
      <c r="AR1013" s="243"/>
      <c r="AS1013" s="243"/>
      <c r="AT1013" s="243"/>
      <c r="AU1013" s="243"/>
      <c r="AV1013" s="243"/>
      <c r="AW1013" s="243"/>
      <c r="AX1013" s="243"/>
      <c r="AY1013" s="243"/>
      <c r="AZ1013" s="243"/>
      <c r="BA1013" s="243"/>
      <c r="BB1013" s="243"/>
      <c r="BC1013" s="243"/>
      <c r="BD1013" s="243"/>
      <c r="BE1013" s="243"/>
      <c r="BF1013" s="243"/>
      <c r="BG1013" s="243"/>
      <c r="BH1013" s="243"/>
      <c r="BI1013" s="243"/>
      <c r="BJ1013" s="243"/>
      <c r="BK1013" s="243"/>
      <c r="BL1013" s="243"/>
      <c r="BM1013" s="243"/>
      <c r="BN1013" s="243"/>
      <c r="BO1013" s="243"/>
      <c r="BP1013" s="243"/>
      <c r="BQ1013" s="243"/>
      <c r="BR1013" s="243"/>
      <c r="BS1013" s="243"/>
    </row>
    <row r="1014" spans="1:71" s="26" customFormat="1" ht="41.25" customHeight="1">
      <c r="A1014" s="178" t="s">
        <v>96</v>
      </c>
      <c r="B1014" s="75" t="str">
        <f ca="1">+UPPER(Tabla1321124[[#This Row],[DESCRIPCIÓN DE LA COMPRA O CONTRATACIÓN]])</f>
        <v>ALAMBRE AWG NO.2</v>
      </c>
      <c r="C1014" s="39" t="s">
        <v>343</v>
      </c>
      <c r="D1014" s="236">
        <f>1360+1000</f>
        <v>2360</v>
      </c>
      <c r="E1014" s="236">
        <f t="shared" si="18"/>
        <v>2000</v>
      </c>
      <c r="F1014" s="236">
        <f t="shared" si="18"/>
        <v>2000</v>
      </c>
      <c r="G1014" s="236">
        <f t="shared" si="18"/>
        <v>2000</v>
      </c>
      <c r="H1014" s="240">
        <f>SUM(Tabla1321124[[#This Row],[PRIMER TRIMESTRE]:[CUARTO TRIMESTRE]])</f>
        <v>8360</v>
      </c>
      <c r="I1014" s="17">
        <v>49.27</v>
      </c>
      <c r="J1014" s="17">
        <f t="shared" si="15"/>
        <v>411897.2</v>
      </c>
      <c r="K1014" s="17"/>
      <c r="L1014" s="16" t="s">
        <v>18</v>
      </c>
      <c r="M1014" s="16" t="s">
        <v>22</v>
      </c>
      <c r="N1014" s="16" t="s">
        <v>418</v>
      </c>
      <c r="O1014" s="243"/>
      <c r="P1014" s="243"/>
      <c r="Q1014" s="243"/>
      <c r="R1014" s="243"/>
      <c r="S1014" s="243"/>
      <c r="T1014" s="243"/>
      <c r="U1014" s="243"/>
      <c r="V1014" s="243"/>
      <c r="W1014" s="243"/>
      <c r="X1014" s="243"/>
      <c r="Y1014" s="243"/>
      <c r="Z1014" s="243"/>
      <c r="AA1014" s="243"/>
      <c r="AB1014" s="243"/>
      <c r="AC1014" s="243"/>
      <c r="AD1014" s="243"/>
      <c r="AE1014" s="243"/>
      <c r="AF1014" s="243"/>
      <c r="AG1014" s="243"/>
      <c r="AH1014" s="243"/>
      <c r="AI1014" s="243"/>
      <c r="AJ1014" s="243"/>
      <c r="AK1014" s="243"/>
      <c r="AL1014" s="243"/>
      <c r="AM1014" s="243"/>
      <c r="AN1014" s="243"/>
      <c r="AO1014" s="243"/>
      <c r="AP1014" s="243"/>
      <c r="AQ1014" s="243"/>
      <c r="AR1014" s="243"/>
      <c r="AS1014" s="243"/>
      <c r="AT1014" s="243"/>
      <c r="AU1014" s="243"/>
      <c r="AV1014" s="243"/>
      <c r="AW1014" s="243"/>
      <c r="AX1014" s="243"/>
      <c r="AY1014" s="243"/>
      <c r="AZ1014" s="243"/>
      <c r="BA1014" s="243"/>
      <c r="BB1014" s="243"/>
      <c r="BC1014" s="243"/>
      <c r="BD1014" s="243"/>
      <c r="BE1014" s="243"/>
      <c r="BF1014" s="243"/>
      <c r="BG1014" s="243"/>
      <c r="BH1014" s="243"/>
      <c r="BI1014" s="243"/>
      <c r="BJ1014" s="243"/>
      <c r="BK1014" s="243"/>
      <c r="BL1014" s="243"/>
      <c r="BM1014" s="243"/>
      <c r="BN1014" s="243"/>
      <c r="BO1014" s="243"/>
      <c r="BP1014" s="243"/>
      <c r="BQ1014" s="243"/>
      <c r="BR1014" s="243"/>
      <c r="BS1014" s="243"/>
    </row>
    <row r="1015" spans="1:71" s="26" customFormat="1" ht="41.25" customHeight="1">
      <c r="A1015" s="178" t="s">
        <v>96</v>
      </c>
      <c r="B1015" s="75" t="str">
        <f ca="1">+UPPER(Tabla1321124[[#This Row],[DESCRIPCIÓN DE LA COMPRA O CONTRATACIÓN]])</f>
        <v>ALAMBRE AWG NO. 1/0</v>
      </c>
      <c r="C1015" s="39" t="s">
        <v>343</v>
      </c>
      <c r="D1015" s="236">
        <v>1000</v>
      </c>
      <c r="E1015" s="236">
        <f t="shared" si="18"/>
        <v>2000</v>
      </c>
      <c r="F1015" s="236">
        <f t="shared" si="18"/>
        <v>2000</v>
      </c>
      <c r="G1015" s="236">
        <f t="shared" si="18"/>
        <v>2000</v>
      </c>
      <c r="H1015" s="240">
        <f>SUM(Tabla1321124[[#This Row],[PRIMER TRIMESTRE]:[CUARTO TRIMESTRE]])</f>
        <v>7000</v>
      </c>
      <c r="I1015" s="17">
        <v>73</v>
      </c>
      <c r="J1015" s="17">
        <f t="shared" si="15"/>
        <v>511000</v>
      </c>
      <c r="K1015" s="17"/>
      <c r="L1015" s="16" t="s">
        <v>18</v>
      </c>
      <c r="M1015" s="16" t="s">
        <v>22</v>
      </c>
      <c r="N1015" s="16" t="s">
        <v>418</v>
      </c>
      <c r="O1015" s="243"/>
      <c r="P1015" s="243"/>
      <c r="Q1015" s="243"/>
      <c r="R1015" s="243"/>
      <c r="S1015" s="243"/>
      <c r="T1015" s="243"/>
      <c r="U1015" s="243"/>
      <c r="V1015" s="243"/>
      <c r="W1015" s="243"/>
      <c r="X1015" s="243"/>
      <c r="Y1015" s="243"/>
      <c r="Z1015" s="243"/>
      <c r="AA1015" s="243"/>
      <c r="AB1015" s="243"/>
      <c r="AC1015" s="243"/>
      <c r="AD1015" s="243"/>
      <c r="AE1015" s="243"/>
      <c r="AF1015" s="243"/>
      <c r="AG1015" s="243"/>
      <c r="AH1015" s="243"/>
      <c r="AI1015" s="243"/>
      <c r="AJ1015" s="243"/>
      <c r="AK1015" s="243"/>
      <c r="AL1015" s="243"/>
      <c r="AM1015" s="243"/>
      <c r="AN1015" s="243"/>
      <c r="AO1015" s="243"/>
      <c r="AP1015" s="243"/>
      <c r="AQ1015" s="243"/>
      <c r="AR1015" s="243"/>
      <c r="AS1015" s="243"/>
      <c r="AT1015" s="243"/>
      <c r="AU1015" s="243"/>
      <c r="AV1015" s="243"/>
      <c r="AW1015" s="243"/>
      <c r="AX1015" s="243"/>
      <c r="AY1015" s="243"/>
      <c r="AZ1015" s="243"/>
      <c r="BA1015" s="243"/>
      <c r="BB1015" s="243"/>
      <c r="BC1015" s="243"/>
      <c r="BD1015" s="243"/>
      <c r="BE1015" s="243"/>
      <c r="BF1015" s="243"/>
      <c r="BG1015" s="243"/>
      <c r="BH1015" s="243"/>
      <c r="BI1015" s="243"/>
      <c r="BJ1015" s="243"/>
      <c r="BK1015" s="243"/>
      <c r="BL1015" s="243"/>
      <c r="BM1015" s="243"/>
      <c r="BN1015" s="243"/>
      <c r="BO1015" s="243"/>
      <c r="BP1015" s="243"/>
      <c r="BQ1015" s="243"/>
      <c r="BR1015" s="243"/>
      <c r="BS1015" s="243"/>
    </row>
    <row r="1016" spans="1:71" s="26" customFormat="1" ht="41.25" customHeight="1">
      <c r="A1016" s="178" t="s">
        <v>96</v>
      </c>
      <c r="B1016" s="75" t="str">
        <f ca="1">+UPPER(Tabla1321124[[#This Row],[DESCRIPCIÓN DE LA COMPRA O CONTRATACIÓN]])</f>
        <v>ALAMBRE AWG NO. 2/0</v>
      </c>
      <c r="C1016" s="39" t="s">
        <v>343</v>
      </c>
      <c r="D1016" s="236">
        <f>420+1000</f>
        <v>1420</v>
      </c>
      <c r="E1016" s="236">
        <f t="shared" si="18"/>
        <v>2000</v>
      </c>
      <c r="F1016" s="236">
        <f t="shared" si="18"/>
        <v>2000</v>
      </c>
      <c r="G1016" s="236">
        <f t="shared" si="18"/>
        <v>2000</v>
      </c>
      <c r="H1016" s="240">
        <f>SUM(Tabla1321124[[#This Row],[PRIMER TRIMESTRE]:[CUARTO TRIMESTRE]])</f>
        <v>7420</v>
      </c>
      <c r="I1016" s="17">
        <v>95</v>
      </c>
      <c r="J1016" s="17">
        <f t="shared" si="15"/>
        <v>704900</v>
      </c>
      <c r="K1016" s="17"/>
      <c r="L1016" s="16" t="s">
        <v>18</v>
      </c>
      <c r="M1016" s="16" t="s">
        <v>22</v>
      </c>
      <c r="N1016" s="16" t="s">
        <v>418</v>
      </c>
      <c r="O1016" s="243"/>
      <c r="P1016" s="243"/>
      <c r="Q1016" s="243"/>
      <c r="R1016" s="243"/>
      <c r="S1016" s="243"/>
      <c r="T1016" s="243"/>
      <c r="U1016" s="243"/>
      <c r="V1016" s="243"/>
      <c r="W1016" s="243"/>
      <c r="X1016" s="243"/>
      <c r="Y1016" s="243"/>
      <c r="Z1016" s="243"/>
      <c r="AA1016" s="243"/>
      <c r="AB1016" s="243"/>
      <c r="AC1016" s="243"/>
      <c r="AD1016" s="243"/>
      <c r="AE1016" s="243"/>
      <c r="AF1016" s="243"/>
      <c r="AG1016" s="243"/>
      <c r="AH1016" s="243"/>
      <c r="AI1016" s="243"/>
      <c r="AJ1016" s="243"/>
      <c r="AK1016" s="243"/>
      <c r="AL1016" s="243"/>
      <c r="AM1016" s="243"/>
      <c r="AN1016" s="243"/>
      <c r="AO1016" s="243"/>
      <c r="AP1016" s="243"/>
      <c r="AQ1016" s="243"/>
      <c r="AR1016" s="243"/>
      <c r="AS1016" s="243"/>
      <c r="AT1016" s="243"/>
      <c r="AU1016" s="243"/>
      <c r="AV1016" s="243"/>
      <c r="AW1016" s="243"/>
      <c r="AX1016" s="243"/>
      <c r="AY1016" s="243"/>
      <c r="AZ1016" s="243"/>
      <c r="BA1016" s="243"/>
      <c r="BB1016" s="243"/>
      <c r="BC1016" s="243"/>
      <c r="BD1016" s="243"/>
      <c r="BE1016" s="243"/>
      <c r="BF1016" s="243"/>
      <c r="BG1016" s="243"/>
      <c r="BH1016" s="243"/>
      <c r="BI1016" s="243"/>
      <c r="BJ1016" s="243"/>
      <c r="BK1016" s="243"/>
      <c r="BL1016" s="243"/>
      <c r="BM1016" s="243"/>
      <c r="BN1016" s="243"/>
      <c r="BO1016" s="243"/>
      <c r="BP1016" s="243"/>
      <c r="BQ1016" s="243"/>
      <c r="BR1016" s="243"/>
      <c r="BS1016" s="243"/>
    </row>
    <row r="1017" spans="1:71" s="26" customFormat="1" ht="41.25" customHeight="1">
      <c r="A1017" s="178" t="s">
        <v>96</v>
      </c>
      <c r="B1017" s="75" t="str">
        <f ca="1">+UPPER(Tabla1321124[[#This Row],[DESCRIPCIÓN DE LA COMPRA O CONTRATACIÓN]])</f>
        <v>ALAMBRE AWG NO. 3/0</v>
      </c>
      <c r="C1017" s="39" t="s">
        <v>343</v>
      </c>
      <c r="D1017" s="236">
        <v>500</v>
      </c>
      <c r="E1017" s="236">
        <v>1500</v>
      </c>
      <c r="F1017" s="236">
        <v>1500</v>
      </c>
      <c r="G1017" s="236">
        <v>1500</v>
      </c>
      <c r="H1017" s="240">
        <f>SUM(Tabla1321124[[#This Row],[PRIMER TRIMESTRE]:[CUARTO TRIMESTRE]])</f>
        <v>5000</v>
      </c>
      <c r="I1017" s="17">
        <v>121.25</v>
      </c>
      <c r="J1017" s="17">
        <f t="shared" si="15"/>
        <v>606250</v>
      </c>
      <c r="K1017" s="17"/>
      <c r="L1017" s="16" t="s">
        <v>18</v>
      </c>
      <c r="M1017" s="16" t="s">
        <v>22</v>
      </c>
      <c r="N1017" s="16" t="s">
        <v>418</v>
      </c>
      <c r="O1017" s="243"/>
      <c r="P1017" s="243"/>
      <c r="Q1017" s="243"/>
      <c r="R1017" s="243"/>
      <c r="S1017" s="243"/>
      <c r="T1017" s="243"/>
      <c r="U1017" s="243"/>
      <c r="V1017" s="243"/>
      <c r="W1017" s="243"/>
      <c r="X1017" s="243"/>
      <c r="Y1017" s="243"/>
      <c r="Z1017" s="243"/>
      <c r="AA1017" s="243"/>
      <c r="AB1017" s="243"/>
      <c r="AC1017" s="243"/>
      <c r="AD1017" s="243"/>
      <c r="AE1017" s="243"/>
      <c r="AF1017" s="243"/>
      <c r="AG1017" s="243"/>
      <c r="AH1017" s="243"/>
      <c r="AI1017" s="243"/>
      <c r="AJ1017" s="243"/>
      <c r="AK1017" s="243"/>
      <c r="AL1017" s="243"/>
      <c r="AM1017" s="243"/>
      <c r="AN1017" s="243"/>
      <c r="AO1017" s="243"/>
      <c r="AP1017" s="243"/>
      <c r="AQ1017" s="243"/>
      <c r="AR1017" s="243"/>
      <c r="AS1017" s="243"/>
      <c r="AT1017" s="243"/>
      <c r="AU1017" s="243"/>
      <c r="AV1017" s="243"/>
      <c r="AW1017" s="243"/>
      <c r="AX1017" s="243"/>
      <c r="AY1017" s="243"/>
      <c r="AZ1017" s="243"/>
      <c r="BA1017" s="243"/>
      <c r="BB1017" s="243"/>
      <c r="BC1017" s="243"/>
      <c r="BD1017" s="243"/>
      <c r="BE1017" s="243"/>
      <c r="BF1017" s="243"/>
      <c r="BG1017" s="243"/>
      <c r="BH1017" s="243"/>
      <c r="BI1017" s="243"/>
      <c r="BJ1017" s="243"/>
      <c r="BK1017" s="243"/>
      <c r="BL1017" s="243"/>
      <c r="BM1017" s="243"/>
      <c r="BN1017" s="243"/>
      <c r="BO1017" s="243"/>
      <c r="BP1017" s="243"/>
      <c r="BQ1017" s="243"/>
      <c r="BR1017" s="243"/>
      <c r="BS1017" s="243"/>
    </row>
    <row r="1018" spans="1:71" s="26" customFormat="1" ht="41.25" customHeight="1">
      <c r="A1018" s="178" t="s">
        <v>96</v>
      </c>
      <c r="B1018" s="75" t="str">
        <f ca="1">+UPPER(Tabla1321124[[#This Row],[DESCRIPCIÓN DE LA COMPRA O CONTRATACIÓN]])</f>
        <v>ALAMBRE AWG NO. 4/0</v>
      </c>
      <c r="C1018" s="39" t="s">
        <v>343</v>
      </c>
      <c r="D1018" s="236">
        <v>1000</v>
      </c>
      <c r="E1018" s="236">
        <v>2000</v>
      </c>
      <c r="F1018" s="236">
        <v>2000</v>
      </c>
      <c r="G1018" s="236">
        <v>2000</v>
      </c>
      <c r="H1018" s="240">
        <f>SUM(Tabla1321124[[#This Row],[PRIMER TRIMESTRE]:[CUARTO TRIMESTRE]])</f>
        <v>7000</v>
      </c>
      <c r="I1018" s="17">
        <v>163.98</v>
      </c>
      <c r="J1018" s="17">
        <f t="shared" si="15"/>
        <v>1147860</v>
      </c>
      <c r="K1018" s="17"/>
      <c r="L1018" s="16" t="s">
        <v>18</v>
      </c>
      <c r="M1018" s="16" t="s">
        <v>22</v>
      </c>
      <c r="N1018" s="16" t="s">
        <v>418</v>
      </c>
      <c r="O1018" s="243"/>
      <c r="P1018" s="243"/>
      <c r="Q1018" s="243"/>
      <c r="R1018" s="243"/>
      <c r="S1018" s="243"/>
      <c r="T1018" s="243"/>
      <c r="U1018" s="243"/>
      <c r="V1018" s="243"/>
      <c r="W1018" s="243"/>
      <c r="X1018" s="243"/>
      <c r="Y1018" s="243"/>
      <c r="Z1018" s="243"/>
      <c r="AA1018" s="243"/>
      <c r="AB1018" s="243"/>
      <c r="AC1018" s="243"/>
      <c r="AD1018" s="243"/>
      <c r="AE1018" s="243"/>
      <c r="AF1018" s="243"/>
      <c r="AG1018" s="243"/>
      <c r="AH1018" s="243"/>
      <c r="AI1018" s="243"/>
      <c r="AJ1018" s="243"/>
      <c r="AK1018" s="243"/>
      <c r="AL1018" s="243"/>
      <c r="AM1018" s="243"/>
      <c r="AN1018" s="243"/>
      <c r="AO1018" s="243"/>
      <c r="AP1018" s="243"/>
      <c r="AQ1018" s="243"/>
      <c r="AR1018" s="243"/>
      <c r="AS1018" s="243"/>
      <c r="AT1018" s="243"/>
      <c r="AU1018" s="243"/>
      <c r="AV1018" s="243"/>
      <c r="AW1018" s="243"/>
      <c r="AX1018" s="243"/>
      <c r="AY1018" s="243"/>
      <c r="AZ1018" s="243"/>
      <c r="BA1018" s="243"/>
      <c r="BB1018" s="243"/>
      <c r="BC1018" s="243"/>
      <c r="BD1018" s="243"/>
      <c r="BE1018" s="243"/>
      <c r="BF1018" s="243"/>
      <c r="BG1018" s="243"/>
      <c r="BH1018" s="243"/>
      <c r="BI1018" s="243"/>
      <c r="BJ1018" s="243"/>
      <c r="BK1018" s="243"/>
      <c r="BL1018" s="243"/>
      <c r="BM1018" s="243"/>
      <c r="BN1018" s="243"/>
      <c r="BO1018" s="243"/>
      <c r="BP1018" s="243"/>
      <c r="BQ1018" s="243"/>
      <c r="BR1018" s="243"/>
      <c r="BS1018" s="243"/>
    </row>
    <row r="1019" spans="1:71" s="26" customFormat="1" ht="41.25" customHeight="1">
      <c r="A1019" s="178" t="s">
        <v>96</v>
      </c>
      <c r="B1019" s="77" t="str">
        <f ca="1">+UPPER(Tabla1321124[[#This Row],[DESCRIPCIÓN DE LA COMPRA O CONTRATACIÓN]])</f>
        <v>ALAMBRE SUMERGIBLE 2/4</v>
      </c>
      <c r="C1019" s="39" t="s">
        <v>343</v>
      </c>
      <c r="D1019" s="365">
        <v>500</v>
      </c>
      <c r="E1019" s="365">
        <v>500</v>
      </c>
      <c r="F1019" s="365">
        <v>500</v>
      </c>
      <c r="G1019" s="365">
        <v>500</v>
      </c>
      <c r="H1019" s="240">
        <f>SUM(Tabla1321124[[#This Row],[PRIMER TRIMESTRE]:[CUARTO TRIMESTRE]])</f>
        <v>2000</v>
      </c>
      <c r="I1019" s="17">
        <v>110</v>
      </c>
      <c r="J1019" s="17">
        <f t="shared" si="15"/>
        <v>220000</v>
      </c>
      <c r="K1019" s="175"/>
      <c r="L1019" s="16" t="s">
        <v>18</v>
      </c>
      <c r="M1019" s="16" t="s">
        <v>22</v>
      </c>
      <c r="N1019" s="16"/>
      <c r="O1019" s="243"/>
      <c r="P1019" s="243"/>
      <c r="Q1019" s="243"/>
      <c r="R1019" s="243"/>
      <c r="S1019" s="243"/>
      <c r="T1019" s="243"/>
      <c r="U1019" s="243"/>
      <c r="V1019" s="243"/>
      <c r="W1019" s="243"/>
      <c r="X1019" s="243"/>
      <c r="Y1019" s="243"/>
      <c r="Z1019" s="243"/>
      <c r="AA1019" s="243"/>
      <c r="AB1019" s="243"/>
      <c r="AC1019" s="243"/>
      <c r="AD1019" s="243"/>
      <c r="AE1019" s="243"/>
      <c r="AF1019" s="243"/>
      <c r="AG1019" s="243"/>
      <c r="AH1019" s="243"/>
      <c r="AI1019" s="243"/>
      <c r="AJ1019" s="243"/>
      <c r="AK1019" s="243"/>
      <c r="AL1019" s="243"/>
      <c r="AM1019" s="243"/>
      <c r="AN1019" s="243"/>
      <c r="AO1019" s="243"/>
      <c r="AP1019" s="243"/>
      <c r="AQ1019" s="243"/>
      <c r="AR1019" s="243"/>
      <c r="AS1019" s="243"/>
      <c r="AT1019" s="243"/>
      <c r="AU1019" s="243"/>
      <c r="AV1019" s="243"/>
      <c r="AW1019" s="243"/>
      <c r="AX1019" s="243"/>
      <c r="AY1019" s="243"/>
      <c r="AZ1019" s="243"/>
      <c r="BA1019" s="243"/>
      <c r="BB1019" s="243"/>
      <c r="BC1019" s="243"/>
      <c r="BD1019" s="243"/>
      <c r="BE1019" s="243"/>
      <c r="BF1019" s="243"/>
      <c r="BG1019" s="243"/>
      <c r="BH1019" s="243"/>
      <c r="BI1019" s="243"/>
      <c r="BJ1019" s="243"/>
      <c r="BK1019" s="243"/>
      <c r="BL1019" s="243"/>
      <c r="BM1019" s="243"/>
      <c r="BN1019" s="243"/>
      <c r="BO1019" s="243"/>
      <c r="BP1019" s="243"/>
      <c r="BQ1019" s="243"/>
      <c r="BR1019" s="243"/>
      <c r="BS1019" s="243"/>
    </row>
    <row r="1020" spans="1:71" s="26" customFormat="1" ht="41.25" customHeight="1">
      <c r="A1020" s="178" t="s">
        <v>96</v>
      </c>
      <c r="B1020" s="75" t="str">
        <f ca="1">+UPPER(Tabla1321124[[#This Row],[DESCRIPCIÓN DE LA COMPRA O CONTRATACIÓN]])</f>
        <v>ALAMBRE SUMERGIBLE 4/4</v>
      </c>
      <c r="C1020" s="39" t="s">
        <v>343</v>
      </c>
      <c r="D1020" s="236">
        <f>300+500</f>
        <v>800</v>
      </c>
      <c r="E1020" s="236">
        <v>1500</v>
      </c>
      <c r="F1020" s="236">
        <v>1500</v>
      </c>
      <c r="G1020" s="236">
        <v>1500</v>
      </c>
      <c r="H1020" s="240">
        <f>SUM(Tabla1321124[[#This Row],[PRIMER TRIMESTRE]:[CUARTO TRIMESTRE]])</f>
        <v>5300</v>
      </c>
      <c r="I1020" s="17">
        <v>249.9</v>
      </c>
      <c r="J1020" s="17">
        <f t="shared" si="15"/>
        <v>1324470</v>
      </c>
      <c r="K1020" s="17"/>
      <c r="L1020" s="16" t="s">
        <v>18</v>
      </c>
      <c r="M1020" s="16" t="s">
        <v>22</v>
      </c>
      <c r="N1020" s="16" t="s">
        <v>418</v>
      </c>
      <c r="O1020" s="243"/>
      <c r="P1020" s="243"/>
      <c r="Q1020" s="243"/>
      <c r="R1020" s="243"/>
      <c r="S1020" s="243"/>
      <c r="T1020" s="243"/>
      <c r="U1020" s="243"/>
      <c r="V1020" s="243"/>
      <c r="W1020" s="243"/>
      <c r="X1020" s="243"/>
      <c r="Y1020" s="243"/>
      <c r="Z1020" s="243"/>
      <c r="AA1020" s="243"/>
      <c r="AB1020" s="243"/>
      <c r="AC1020" s="243"/>
      <c r="AD1020" s="243"/>
      <c r="AE1020" s="243"/>
      <c r="AF1020" s="243"/>
      <c r="AG1020" s="243"/>
      <c r="AH1020" s="243"/>
      <c r="AI1020" s="243"/>
      <c r="AJ1020" s="243"/>
      <c r="AK1020" s="243"/>
      <c r="AL1020" s="243"/>
      <c r="AM1020" s="243"/>
      <c r="AN1020" s="243"/>
      <c r="AO1020" s="243"/>
      <c r="AP1020" s="243"/>
      <c r="AQ1020" s="243"/>
      <c r="AR1020" s="243"/>
      <c r="AS1020" s="243"/>
      <c r="AT1020" s="243"/>
      <c r="AU1020" s="243"/>
      <c r="AV1020" s="243"/>
      <c r="AW1020" s="243"/>
      <c r="AX1020" s="243"/>
      <c r="AY1020" s="243"/>
      <c r="AZ1020" s="243"/>
      <c r="BA1020" s="243"/>
      <c r="BB1020" s="243"/>
      <c r="BC1020" s="243"/>
      <c r="BD1020" s="243"/>
      <c r="BE1020" s="243"/>
      <c r="BF1020" s="243"/>
      <c r="BG1020" s="243"/>
      <c r="BH1020" s="243"/>
      <c r="BI1020" s="243"/>
      <c r="BJ1020" s="243"/>
      <c r="BK1020" s="243"/>
      <c r="BL1020" s="243"/>
      <c r="BM1020" s="243"/>
      <c r="BN1020" s="243"/>
      <c r="BO1020" s="243"/>
      <c r="BP1020" s="243"/>
      <c r="BQ1020" s="243"/>
      <c r="BR1020" s="243"/>
      <c r="BS1020" s="243"/>
    </row>
    <row r="1021" spans="1:71" s="26" customFormat="1" ht="41.25" customHeight="1">
      <c r="A1021" s="178" t="s">
        <v>96</v>
      </c>
      <c r="B1021" s="75" t="str">
        <f ca="1">+UPPER(Tabla1321124[[#This Row],[DESCRIPCIÓN DE LA COMPRA O CONTRATACIÓN]])</f>
        <v>ALAMBRE DE VINIL NO. 14/2</v>
      </c>
      <c r="C1021" s="39" t="s">
        <v>343</v>
      </c>
      <c r="D1021" s="236">
        <v>500</v>
      </c>
      <c r="E1021" s="236"/>
      <c r="F1021" s="236"/>
      <c r="G1021" s="236"/>
      <c r="H1021" s="240">
        <f>SUM(Tabla1321124[[#This Row],[PRIMER TRIMESTRE]:[CUARTO TRIMESTRE]])</f>
        <v>500</v>
      </c>
      <c r="I1021" s="17">
        <v>175</v>
      </c>
      <c r="J1021" s="17">
        <f t="shared" si="15"/>
        <v>87500</v>
      </c>
      <c r="K1021" s="17"/>
      <c r="L1021" s="16" t="s">
        <v>18</v>
      </c>
      <c r="M1021" s="16" t="s">
        <v>22</v>
      </c>
      <c r="N1021" s="16" t="s">
        <v>418</v>
      </c>
      <c r="O1021" s="243"/>
      <c r="P1021" s="243"/>
      <c r="Q1021" s="243"/>
      <c r="R1021" s="243"/>
      <c r="S1021" s="243"/>
      <c r="T1021" s="243"/>
      <c r="U1021" s="243"/>
      <c r="V1021" s="243"/>
      <c r="W1021" s="243"/>
      <c r="X1021" s="243"/>
      <c r="Y1021" s="243"/>
      <c r="Z1021" s="243"/>
      <c r="AA1021" s="243"/>
      <c r="AB1021" s="243"/>
      <c r="AC1021" s="243"/>
      <c r="AD1021" s="243"/>
      <c r="AE1021" s="243"/>
      <c r="AF1021" s="243"/>
      <c r="AG1021" s="243"/>
      <c r="AH1021" s="243"/>
      <c r="AI1021" s="243"/>
      <c r="AJ1021" s="243"/>
      <c r="AK1021" s="243"/>
      <c r="AL1021" s="243"/>
      <c r="AM1021" s="243"/>
      <c r="AN1021" s="243"/>
      <c r="AO1021" s="243"/>
      <c r="AP1021" s="243"/>
      <c r="AQ1021" s="243"/>
      <c r="AR1021" s="243"/>
      <c r="AS1021" s="243"/>
      <c r="AT1021" s="243"/>
      <c r="AU1021" s="243"/>
      <c r="AV1021" s="243"/>
      <c r="AW1021" s="243"/>
      <c r="AX1021" s="243"/>
      <c r="AY1021" s="243"/>
      <c r="AZ1021" s="243"/>
      <c r="BA1021" s="243"/>
      <c r="BB1021" s="243"/>
      <c r="BC1021" s="243"/>
      <c r="BD1021" s="243"/>
      <c r="BE1021" s="243"/>
      <c r="BF1021" s="243"/>
      <c r="BG1021" s="243"/>
      <c r="BH1021" s="243"/>
      <c r="BI1021" s="243"/>
      <c r="BJ1021" s="243"/>
      <c r="BK1021" s="243"/>
      <c r="BL1021" s="243"/>
      <c r="BM1021" s="243"/>
      <c r="BN1021" s="243"/>
      <c r="BO1021" s="243"/>
      <c r="BP1021" s="243"/>
      <c r="BQ1021" s="243"/>
      <c r="BR1021" s="243"/>
      <c r="BS1021" s="243"/>
    </row>
    <row r="1022" spans="1:71" s="26" customFormat="1" ht="41.25" customHeight="1">
      <c r="A1022" s="178" t="s">
        <v>96</v>
      </c>
      <c r="B1022" s="75" t="str">
        <f ca="1">+UPPER(Tabla1321124[[#This Row],[DESCRIPCIÓN DE LA COMPRA O CONTRATACIÓN]])</f>
        <v>ALAMBRE SUMERGIBLE 6/4</v>
      </c>
      <c r="C1022" s="39" t="s">
        <v>343</v>
      </c>
      <c r="D1022" s="236">
        <f>300+500</f>
        <v>800</v>
      </c>
      <c r="E1022" s="236">
        <v>1000</v>
      </c>
      <c r="F1022" s="236">
        <v>1200</v>
      </c>
      <c r="G1022" s="236">
        <v>1500</v>
      </c>
      <c r="H1022" s="240">
        <f>SUM(Tabla1321124[[#This Row],[PRIMER TRIMESTRE]:[CUARTO TRIMESTRE]])</f>
        <v>4500</v>
      </c>
      <c r="I1022" s="17">
        <v>120</v>
      </c>
      <c r="J1022" s="17">
        <f t="shared" si="15"/>
        <v>540000</v>
      </c>
      <c r="K1022" s="17"/>
      <c r="L1022" s="16" t="s">
        <v>18</v>
      </c>
      <c r="M1022" s="16" t="s">
        <v>22</v>
      </c>
      <c r="N1022" s="16" t="s">
        <v>418</v>
      </c>
      <c r="O1022" s="243"/>
      <c r="P1022" s="243"/>
      <c r="Q1022" s="243"/>
      <c r="R1022" s="243"/>
      <c r="S1022" s="243"/>
      <c r="T1022" s="243"/>
      <c r="U1022" s="243"/>
      <c r="V1022" s="243"/>
      <c r="W1022" s="243"/>
      <c r="X1022" s="243"/>
      <c r="Y1022" s="243"/>
      <c r="Z1022" s="243"/>
      <c r="AA1022" s="243"/>
      <c r="AB1022" s="243"/>
      <c r="AC1022" s="243"/>
      <c r="AD1022" s="243"/>
      <c r="AE1022" s="243"/>
      <c r="AF1022" s="243"/>
      <c r="AG1022" s="243"/>
      <c r="AH1022" s="243"/>
      <c r="AI1022" s="243"/>
      <c r="AJ1022" s="243"/>
      <c r="AK1022" s="243"/>
      <c r="AL1022" s="243"/>
      <c r="AM1022" s="243"/>
      <c r="AN1022" s="243"/>
      <c r="AO1022" s="243"/>
      <c r="AP1022" s="243"/>
      <c r="AQ1022" s="243"/>
      <c r="AR1022" s="243"/>
      <c r="AS1022" s="243"/>
      <c r="AT1022" s="243"/>
      <c r="AU1022" s="243"/>
      <c r="AV1022" s="243"/>
      <c r="AW1022" s="243"/>
      <c r="AX1022" s="243"/>
      <c r="AY1022" s="243"/>
      <c r="AZ1022" s="243"/>
      <c r="BA1022" s="243"/>
      <c r="BB1022" s="243"/>
      <c r="BC1022" s="243"/>
      <c r="BD1022" s="243"/>
      <c r="BE1022" s="243"/>
      <c r="BF1022" s="243"/>
      <c r="BG1022" s="243"/>
      <c r="BH1022" s="243"/>
      <c r="BI1022" s="243"/>
      <c r="BJ1022" s="243"/>
      <c r="BK1022" s="243"/>
      <c r="BL1022" s="243"/>
      <c r="BM1022" s="243"/>
      <c r="BN1022" s="243"/>
      <c r="BO1022" s="243"/>
      <c r="BP1022" s="243"/>
      <c r="BQ1022" s="243"/>
      <c r="BR1022" s="243"/>
      <c r="BS1022" s="243"/>
    </row>
    <row r="1023" spans="1:71" s="26" customFormat="1" ht="41.25" customHeight="1">
      <c r="A1023" s="178" t="s">
        <v>96</v>
      </c>
      <c r="B1023" s="75" t="str">
        <f ca="1">+UPPER(Tabla1321124[[#This Row],[DESCRIPCIÓN DE LA COMPRA O CONTRATACIÓN]])</f>
        <v>ALAMBRE SUMERGIBLE 10/3</v>
      </c>
      <c r="C1023" s="39" t="s">
        <v>343</v>
      </c>
      <c r="D1023" s="236">
        <f>300+500</f>
        <v>800</v>
      </c>
      <c r="E1023" s="236">
        <v>1000</v>
      </c>
      <c r="F1023" s="236">
        <v>1200</v>
      </c>
      <c r="G1023" s="236">
        <v>1500</v>
      </c>
      <c r="H1023" s="240">
        <f>SUM(Tabla1321124[[#This Row],[PRIMER TRIMESTRE]:[CUARTO TRIMESTRE]])</f>
        <v>4500</v>
      </c>
      <c r="I1023" s="17">
        <v>48.72</v>
      </c>
      <c r="J1023" s="17">
        <f t="shared" si="15"/>
        <v>219240</v>
      </c>
      <c r="K1023" s="17"/>
      <c r="L1023" s="16" t="s">
        <v>18</v>
      </c>
      <c r="M1023" s="16" t="s">
        <v>22</v>
      </c>
      <c r="N1023" s="16" t="s">
        <v>418</v>
      </c>
      <c r="O1023" s="243"/>
      <c r="P1023" s="243"/>
      <c r="Q1023" s="243"/>
      <c r="R1023" s="243"/>
      <c r="S1023" s="243"/>
      <c r="T1023" s="243"/>
      <c r="U1023" s="243"/>
      <c r="V1023" s="243"/>
      <c r="W1023" s="243"/>
      <c r="X1023" s="243"/>
      <c r="Y1023" s="243"/>
      <c r="Z1023" s="243"/>
      <c r="AA1023" s="243"/>
      <c r="AB1023" s="243"/>
      <c r="AC1023" s="243"/>
      <c r="AD1023" s="243"/>
      <c r="AE1023" s="243"/>
      <c r="AF1023" s="243"/>
      <c r="AG1023" s="243"/>
      <c r="AH1023" s="243"/>
      <c r="AI1023" s="243"/>
      <c r="AJ1023" s="243"/>
      <c r="AK1023" s="243"/>
      <c r="AL1023" s="243"/>
      <c r="AM1023" s="243"/>
      <c r="AN1023" s="243"/>
      <c r="AO1023" s="243"/>
      <c r="AP1023" s="243"/>
      <c r="AQ1023" s="243"/>
      <c r="AR1023" s="243"/>
      <c r="AS1023" s="243"/>
      <c r="AT1023" s="243"/>
      <c r="AU1023" s="243"/>
      <c r="AV1023" s="243"/>
      <c r="AW1023" s="243"/>
      <c r="AX1023" s="243"/>
      <c r="AY1023" s="243"/>
      <c r="AZ1023" s="243"/>
      <c r="BA1023" s="243"/>
      <c r="BB1023" s="243"/>
      <c r="BC1023" s="243"/>
      <c r="BD1023" s="243"/>
      <c r="BE1023" s="243"/>
      <c r="BF1023" s="243"/>
      <c r="BG1023" s="243"/>
      <c r="BH1023" s="243"/>
      <c r="BI1023" s="243"/>
      <c r="BJ1023" s="243"/>
      <c r="BK1023" s="243"/>
      <c r="BL1023" s="243"/>
      <c r="BM1023" s="243"/>
      <c r="BN1023" s="243"/>
      <c r="BO1023" s="243"/>
      <c r="BP1023" s="243"/>
      <c r="BQ1023" s="243"/>
      <c r="BR1023" s="243"/>
      <c r="BS1023" s="243"/>
    </row>
    <row r="1024" spans="1:71" s="26" customFormat="1" ht="41.25" customHeight="1">
      <c r="A1024" s="178" t="s">
        <v>96</v>
      </c>
      <c r="B1024" s="75" t="str">
        <f ca="1">+UPPER(Tabla1321124[[#This Row],[DESCRIPCIÓN DE LA COMPRA O CONTRATACIÓN]])</f>
        <v>ALAMBRE SUMERGIBLE 10/4</v>
      </c>
      <c r="C1024" s="39" t="s">
        <v>343</v>
      </c>
      <c r="D1024" s="236">
        <f>300+500</f>
        <v>800</v>
      </c>
      <c r="E1024" s="236">
        <v>1000</v>
      </c>
      <c r="F1024" s="236">
        <v>1200</v>
      </c>
      <c r="G1024" s="236">
        <v>1500</v>
      </c>
      <c r="H1024" s="240">
        <f>SUM(Tabla1321124[[#This Row],[PRIMER TRIMESTRE]:[CUARTO TRIMESTRE]])</f>
        <v>4500</v>
      </c>
      <c r="I1024" s="17">
        <v>78</v>
      </c>
      <c r="J1024" s="17">
        <f t="shared" si="15"/>
        <v>351000</v>
      </c>
      <c r="K1024" s="17"/>
      <c r="L1024" s="16" t="s">
        <v>18</v>
      </c>
      <c r="M1024" s="16" t="s">
        <v>22</v>
      </c>
      <c r="N1024" s="16" t="s">
        <v>418</v>
      </c>
      <c r="O1024" s="243"/>
      <c r="P1024" s="243"/>
      <c r="Q1024" s="243"/>
      <c r="R1024" s="243"/>
      <c r="S1024" s="243"/>
      <c r="T1024" s="243"/>
      <c r="U1024" s="243"/>
      <c r="V1024" s="243"/>
      <c r="W1024" s="243"/>
      <c r="X1024" s="243"/>
      <c r="Y1024" s="243"/>
      <c r="Z1024" s="243"/>
      <c r="AA1024" s="243"/>
      <c r="AB1024" s="243"/>
      <c r="AC1024" s="243"/>
      <c r="AD1024" s="243"/>
      <c r="AE1024" s="243"/>
      <c r="AF1024" s="243"/>
      <c r="AG1024" s="243"/>
      <c r="AH1024" s="243"/>
      <c r="AI1024" s="243"/>
      <c r="AJ1024" s="243"/>
      <c r="AK1024" s="243"/>
      <c r="AL1024" s="243"/>
      <c r="AM1024" s="243"/>
      <c r="AN1024" s="243"/>
      <c r="AO1024" s="243"/>
      <c r="AP1024" s="243"/>
      <c r="AQ1024" s="243"/>
      <c r="AR1024" s="243"/>
      <c r="AS1024" s="243"/>
      <c r="AT1024" s="243"/>
      <c r="AU1024" s="243"/>
      <c r="AV1024" s="243"/>
      <c r="AW1024" s="243"/>
      <c r="AX1024" s="243"/>
      <c r="AY1024" s="243"/>
      <c r="AZ1024" s="243"/>
      <c r="BA1024" s="243"/>
      <c r="BB1024" s="243"/>
      <c r="BC1024" s="243"/>
      <c r="BD1024" s="243"/>
      <c r="BE1024" s="243"/>
      <c r="BF1024" s="243"/>
      <c r="BG1024" s="243"/>
      <c r="BH1024" s="243"/>
      <c r="BI1024" s="243"/>
      <c r="BJ1024" s="243"/>
      <c r="BK1024" s="243"/>
      <c r="BL1024" s="243"/>
      <c r="BM1024" s="243"/>
      <c r="BN1024" s="243"/>
      <c r="BO1024" s="243"/>
      <c r="BP1024" s="243"/>
      <c r="BQ1024" s="243"/>
      <c r="BR1024" s="243"/>
      <c r="BS1024" s="243"/>
    </row>
    <row r="1025" spans="1:71" s="26" customFormat="1" ht="41.25" customHeight="1">
      <c r="A1025" s="178" t="s">
        <v>96</v>
      </c>
      <c r="B1025" s="75" t="str">
        <f ca="1">+UPPER(Tabla1321124[[#This Row],[DESCRIPCIÓN DE LA COMPRA O CONTRATACIÓN]])</f>
        <v>ALAMBRE SUMERGIBLE NO. 8/4</v>
      </c>
      <c r="C1025" s="39" t="s">
        <v>343</v>
      </c>
      <c r="D1025" s="236">
        <v>1000</v>
      </c>
      <c r="E1025" s="236"/>
      <c r="F1025" s="236"/>
      <c r="G1025" s="236"/>
      <c r="H1025" s="240">
        <f>SUM(Tabla1321124[[#This Row],[PRIMER TRIMESTRE]:[CUARTO TRIMESTRE]])</f>
        <v>1000</v>
      </c>
      <c r="I1025" s="17">
        <v>0</v>
      </c>
      <c r="J1025" s="17">
        <f t="shared" si="15"/>
        <v>0</v>
      </c>
      <c r="K1025" s="17"/>
      <c r="L1025" s="16" t="s">
        <v>18</v>
      </c>
      <c r="M1025" s="16" t="s">
        <v>22</v>
      </c>
      <c r="N1025" s="16" t="s">
        <v>418</v>
      </c>
      <c r="O1025" s="243"/>
      <c r="P1025" s="243"/>
      <c r="Q1025" s="243"/>
      <c r="R1025" s="243"/>
      <c r="S1025" s="243"/>
      <c r="T1025" s="243"/>
      <c r="U1025" s="243"/>
      <c r="V1025" s="243"/>
      <c r="W1025" s="243"/>
      <c r="X1025" s="243"/>
      <c r="Y1025" s="243"/>
      <c r="Z1025" s="243"/>
      <c r="AA1025" s="243"/>
      <c r="AB1025" s="243"/>
      <c r="AC1025" s="243"/>
      <c r="AD1025" s="243"/>
      <c r="AE1025" s="243"/>
      <c r="AF1025" s="243"/>
      <c r="AG1025" s="243"/>
      <c r="AH1025" s="243"/>
      <c r="AI1025" s="243"/>
      <c r="AJ1025" s="243"/>
      <c r="AK1025" s="243"/>
      <c r="AL1025" s="243"/>
      <c r="AM1025" s="243"/>
      <c r="AN1025" s="243"/>
      <c r="AO1025" s="243"/>
      <c r="AP1025" s="243"/>
      <c r="AQ1025" s="243"/>
      <c r="AR1025" s="243"/>
      <c r="AS1025" s="243"/>
      <c r="AT1025" s="243"/>
      <c r="AU1025" s="243"/>
      <c r="AV1025" s="243"/>
      <c r="AW1025" s="243"/>
      <c r="AX1025" s="243"/>
      <c r="AY1025" s="243"/>
      <c r="AZ1025" s="243"/>
      <c r="BA1025" s="243"/>
      <c r="BB1025" s="243"/>
      <c r="BC1025" s="243"/>
      <c r="BD1025" s="243"/>
      <c r="BE1025" s="243"/>
      <c r="BF1025" s="243"/>
      <c r="BG1025" s="243"/>
      <c r="BH1025" s="243"/>
      <c r="BI1025" s="243"/>
      <c r="BJ1025" s="243"/>
      <c r="BK1025" s="243"/>
      <c r="BL1025" s="243"/>
      <c r="BM1025" s="243"/>
      <c r="BN1025" s="243"/>
      <c r="BO1025" s="243"/>
      <c r="BP1025" s="243"/>
      <c r="BQ1025" s="243"/>
      <c r="BR1025" s="243"/>
      <c r="BS1025" s="243"/>
    </row>
    <row r="1026" spans="1:71" s="26" customFormat="1" ht="41.25" customHeight="1">
      <c r="A1026" s="178" t="s">
        <v>96</v>
      </c>
      <c r="B1026" s="75" t="str">
        <f ca="1">+UPPER(Tabla1321124[[#This Row],[DESCRIPCIÓN DE LA COMPRA O CONTRATACIÓN]])</f>
        <v>ALAMBRE TRIPLE 2/0 CON TRES HILOS AISLADOS A 600V</v>
      </c>
      <c r="C1026" s="39" t="s">
        <v>343</v>
      </c>
      <c r="D1026" s="236">
        <f>300+650</f>
        <v>950</v>
      </c>
      <c r="E1026" s="236">
        <f>1000+150</f>
        <v>1150</v>
      </c>
      <c r="F1026" s="236">
        <f>1200+150</f>
        <v>1350</v>
      </c>
      <c r="G1026" s="236">
        <f>1500+150</f>
        <v>1650</v>
      </c>
      <c r="H1026" s="240">
        <f>SUM(Tabla1321124[[#This Row],[PRIMER TRIMESTRE]:[CUARTO TRIMESTRE]])</f>
        <v>5100</v>
      </c>
      <c r="I1026" s="17">
        <v>109.2</v>
      </c>
      <c r="J1026" s="17">
        <f t="shared" si="15"/>
        <v>556920</v>
      </c>
      <c r="K1026" s="17"/>
      <c r="L1026" s="16" t="s">
        <v>18</v>
      </c>
      <c r="M1026" s="16" t="s">
        <v>22</v>
      </c>
      <c r="N1026" s="16" t="s">
        <v>418</v>
      </c>
      <c r="O1026" s="243"/>
      <c r="P1026" s="243"/>
      <c r="Q1026" s="243"/>
      <c r="R1026" s="243"/>
      <c r="S1026" s="243"/>
      <c r="T1026" s="243"/>
      <c r="U1026" s="243"/>
      <c r="V1026" s="243"/>
      <c r="W1026" s="243"/>
      <c r="X1026" s="243"/>
      <c r="Y1026" s="243"/>
      <c r="Z1026" s="243"/>
      <c r="AA1026" s="243"/>
      <c r="AB1026" s="243"/>
      <c r="AC1026" s="243"/>
      <c r="AD1026" s="243"/>
      <c r="AE1026" s="243"/>
      <c r="AF1026" s="243"/>
      <c r="AG1026" s="243"/>
      <c r="AH1026" s="243"/>
      <c r="AI1026" s="243"/>
      <c r="AJ1026" s="243"/>
      <c r="AK1026" s="243"/>
      <c r="AL1026" s="243"/>
      <c r="AM1026" s="243"/>
      <c r="AN1026" s="243"/>
      <c r="AO1026" s="243"/>
      <c r="AP1026" s="243"/>
      <c r="AQ1026" s="243"/>
      <c r="AR1026" s="243"/>
      <c r="AS1026" s="243"/>
      <c r="AT1026" s="243"/>
      <c r="AU1026" s="243"/>
      <c r="AV1026" s="243"/>
      <c r="AW1026" s="243"/>
      <c r="AX1026" s="243"/>
      <c r="AY1026" s="243"/>
      <c r="AZ1026" s="243"/>
      <c r="BA1026" s="243"/>
      <c r="BB1026" s="243"/>
      <c r="BC1026" s="243"/>
      <c r="BD1026" s="243"/>
      <c r="BE1026" s="243"/>
      <c r="BF1026" s="243"/>
      <c r="BG1026" s="243"/>
      <c r="BH1026" s="243"/>
      <c r="BI1026" s="243"/>
      <c r="BJ1026" s="243"/>
      <c r="BK1026" s="243"/>
      <c r="BL1026" s="243"/>
      <c r="BM1026" s="243"/>
      <c r="BN1026" s="243"/>
      <c r="BO1026" s="243"/>
      <c r="BP1026" s="243"/>
      <c r="BQ1026" s="243"/>
      <c r="BR1026" s="243"/>
      <c r="BS1026" s="243"/>
    </row>
    <row r="1027" spans="1:71" s="26" customFormat="1" ht="41.25" customHeight="1">
      <c r="A1027" s="178" t="s">
        <v>96</v>
      </c>
      <c r="B1027" s="75" t="str">
        <f ca="1">+UPPER(Tabla1321124[[#This Row],[DESCRIPCIÓN DE LA COMPRA O CONTRATACIÓN]])</f>
        <v>ALAMBRE THW 350 MCM</v>
      </c>
      <c r="C1027" s="39" t="s">
        <v>343</v>
      </c>
      <c r="D1027" s="236">
        <f>300+500</f>
        <v>800</v>
      </c>
      <c r="E1027" s="236">
        <v>1000</v>
      </c>
      <c r="F1027" s="236">
        <v>1200</v>
      </c>
      <c r="G1027" s="236">
        <v>1500</v>
      </c>
      <c r="H1027" s="240">
        <f>SUM(Tabla1321124[[#This Row],[PRIMER TRIMESTRE]:[CUARTO TRIMESTRE]])</f>
        <v>4500</v>
      </c>
      <c r="I1027" s="17">
        <v>126</v>
      </c>
      <c r="J1027" s="17">
        <f t="shared" si="15"/>
        <v>567000</v>
      </c>
      <c r="K1027" s="17"/>
      <c r="L1027" s="16" t="s">
        <v>18</v>
      </c>
      <c r="M1027" s="16" t="s">
        <v>22</v>
      </c>
      <c r="N1027" s="16" t="s">
        <v>418</v>
      </c>
      <c r="O1027" s="243"/>
      <c r="P1027" s="243"/>
      <c r="Q1027" s="243"/>
      <c r="R1027" s="243"/>
      <c r="S1027" s="243"/>
      <c r="T1027" s="243"/>
      <c r="U1027" s="243"/>
      <c r="V1027" s="243"/>
      <c r="W1027" s="243"/>
      <c r="X1027" s="243"/>
      <c r="Y1027" s="243"/>
      <c r="Z1027" s="243"/>
      <c r="AA1027" s="243"/>
      <c r="AB1027" s="243"/>
      <c r="AC1027" s="243"/>
      <c r="AD1027" s="243"/>
      <c r="AE1027" s="243"/>
      <c r="AF1027" s="243"/>
      <c r="AG1027" s="243"/>
      <c r="AH1027" s="243"/>
      <c r="AI1027" s="243"/>
      <c r="AJ1027" s="243"/>
      <c r="AK1027" s="243"/>
      <c r="AL1027" s="243"/>
      <c r="AM1027" s="243"/>
      <c r="AN1027" s="243"/>
      <c r="AO1027" s="243"/>
      <c r="AP1027" s="243"/>
      <c r="AQ1027" s="243"/>
      <c r="AR1027" s="243"/>
      <c r="AS1027" s="243"/>
      <c r="AT1027" s="243"/>
      <c r="AU1027" s="243"/>
      <c r="AV1027" s="243"/>
      <c r="AW1027" s="243"/>
      <c r="AX1027" s="243"/>
      <c r="AY1027" s="243"/>
      <c r="AZ1027" s="243"/>
      <c r="BA1027" s="243"/>
      <c r="BB1027" s="243"/>
      <c r="BC1027" s="243"/>
      <c r="BD1027" s="243"/>
      <c r="BE1027" s="243"/>
      <c r="BF1027" s="243"/>
      <c r="BG1027" s="243"/>
      <c r="BH1027" s="243"/>
      <c r="BI1027" s="243"/>
      <c r="BJ1027" s="243"/>
      <c r="BK1027" s="243"/>
      <c r="BL1027" s="243"/>
      <c r="BM1027" s="243"/>
      <c r="BN1027" s="243"/>
      <c r="BO1027" s="243"/>
      <c r="BP1027" s="243"/>
      <c r="BQ1027" s="243"/>
      <c r="BR1027" s="243"/>
      <c r="BS1027" s="243"/>
    </row>
    <row r="1028" spans="1:71" s="26" customFormat="1" ht="41.25" customHeight="1">
      <c r="A1028" s="178" t="s">
        <v>96</v>
      </c>
      <c r="B1028" s="75" t="str">
        <f ca="1">+UPPER(Tabla1321124[[#This Row],[DESCRIPCIÓN DE LA COMPRA O CONTRATACIÓN]])</f>
        <v>ALAMBRE ELECTRICO NO. 10</v>
      </c>
      <c r="C1028" s="39" t="s">
        <v>343</v>
      </c>
      <c r="D1028" s="236">
        <f>1000+500</f>
        <v>1500</v>
      </c>
      <c r="E1028" s="236">
        <v>1000</v>
      </c>
      <c r="F1028" s="236">
        <v>1000</v>
      </c>
      <c r="G1028" s="236">
        <v>2000</v>
      </c>
      <c r="H1028" s="240">
        <f>SUM(Tabla1321124[[#This Row],[PRIMER TRIMESTRE]:[CUARTO TRIMESTRE]])</f>
        <v>5500</v>
      </c>
      <c r="I1028" s="17">
        <v>10.8</v>
      </c>
      <c r="J1028" s="17">
        <f t="shared" si="15"/>
        <v>59400.000000000007</v>
      </c>
      <c r="K1028" s="17"/>
      <c r="L1028" s="16" t="s">
        <v>18</v>
      </c>
      <c r="M1028" s="16" t="s">
        <v>22</v>
      </c>
      <c r="N1028" s="16" t="s">
        <v>418</v>
      </c>
      <c r="O1028" s="243"/>
      <c r="P1028" s="243"/>
      <c r="Q1028" s="243"/>
      <c r="R1028" s="243"/>
      <c r="S1028" s="243"/>
      <c r="T1028" s="243"/>
      <c r="U1028" s="243"/>
      <c r="V1028" s="243"/>
      <c r="W1028" s="243"/>
      <c r="X1028" s="243"/>
      <c r="Y1028" s="243"/>
      <c r="Z1028" s="243"/>
      <c r="AA1028" s="243"/>
      <c r="AB1028" s="243"/>
      <c r="AC1028" s="243"/>
      <c r="AD1028" s="243"/>
      <c r="AE1028" s="243"/>
      <c r="AF1028" s="243"/>
      <c r="AG1028" s="243"/>
      <c r="AH1028" s="243"/>
      <c r="AI1028" s="243"/>
      <c r="AJ1028" s="243"/>
      <c r="AK1028" s="243"/>
      <c r="AL1028" s="243"/>
      <c r="AM1028" s="243"/>
      <c r="AN1028" s="243"/>
      <c r="AO1028" s="243"/>
      <c r="AP1028" s="243"/>
      <c r="AQ1028" s="243"/>
      <c r="AR1028" s="243"/>
      <c r="AS1028" s="243"/>
      <c r="AT1028" s="243"/>
      <c r="AU1028" s="243"/>
      <c r="AV1028" s="243"/>
      <c r="AW1028" s="243"/>
      <c r="AX1028" s="243"/>
      <c r="AY1028" s="243"/>
      <c r="AZ1028" s="243"/>
      <c r="BA1028" s="243"/>
      <c r="BB1028" s="243"/>
      <c r="BC1028" s="243"/>
      <c r="BD1028" s="243"/>
      <c r="BE1028" s="243"/>
      <c r="BF1028" s="243"/>
      <c r="BG1028" s="243"/>
      <c r="BH1028" s="243"/>
      <c r="BI1028" s="243"/>
      <c r="BJ1028" s="243"/>
      <c r="BK1028" s="243"/>
      <c r="BL1028" s="243"/>
      <c r="BM1028" s="243"/>
      <c r="BN1028" s="243"/>
      <c r="BO1028" s="243"/>
      <c r="BP1028" s="243"/>
      <c r="BQ1028" s="243"/>
      <c r="BR1028" s="243"/>
      <c r="BS1028" s="243"/>
    </row>
    <row r="1029" spans="1:71" s="26" customFormat="1" ht="41.25" customHeight="1">
      <c r="A1029" s="178" t="s">
        <v>96</v>
      </c>
      <c r="B1029" s="75" t="str">
        <f ca="1">+UPPER(Tabla1321124[[#This Row],[DESCRIPCIÓN DE LA COMPRA O CONTRATACIÓN]])</f>
        <v>ALAMBRE DE COBRE NO. 2 7 HILOS</v>
      </c>
      <c r="C1029" s="39" t="s">
        <v>343</v>
      </c>
      <c r="D1029" s="236">
        <f>1000+500</f>
        <v>1500</v>
      </c>
      <c r="E1029" s="236">
        <v>500</v>
      </c>
      <c r="F1029" s="236">
        <v>500</v>
      </c>
      <c r="G1029" s="236"/>
      <c r="H1029" s="240">
        <f>SUM(Tabla1321124[[#This Row],[PRIMER TRIMESTRE]:[CUARTO TRIMESTRE]])</f>
        <v>2500</v>
      </c>
      <c r="I1029" s="17">
        <v>98.88</v>
      </c>
      <c r="J1029" s="17">
        <f t="shared" si="15"/>
        <v>247200</v>
      </c>
      <c r="K1029" s="17"/>
      <c r="L1029" s="16" t="s">
        <v>18</v>
      </c>
      <c r="M1029" s="16" t="s">
        <v>22</v>
      </c>
      <c r="N1029" s="16" t="s">
        <v>418</v>
      </c>
      <c r="O1029" s="243"/>
      <c r="P1029" s="243"/>
      <c r="Q1029" s="243"/>
      <c r="R1029" s="243"/>
      <c r="S1029" s="243"/>
      <c r="T1029" s="243"/>
      <c r="U1029" s="243"/>
      <c r="V1029" s="243"/>
      <c r="W1029" s="243"/>
      <c r="X1029" s="243"/>
      <c r="Y1029" s="243"/>
      <c r="Z1029" s="243"/>
      <c r="AA1029" s="243"/>
      <c r="AB1029" s="243"/>
      <c r="AC1029" s="243"/>
      <c r="AD1029" s="243"/>
      <c r="AE1029" s="243"/>
      <c r="AF1029" s="243"/>
      <c r="AG1029" s="243"/>
      <c r="AH1029" s="243"/>
      <c r="AI1029" s="243"/>
      <c r="AJ1029" s="243"/>
      <c r="AK1029" s="243"/>
      <c r="AL1029" s="243"/>
      <c r="AM1029" s="243"/>
      <c r="AN1029" s="243"/>
      <c r="AO1029" s="243"/>
      <c r="AP1029" s="243"/>
      <c r="AQ1029" s="243"/>
      <c r="AR1029" s="243"/>
      <c r="AS1029" s="243"/>
      <c r="AT1029" s="243"/>
      <c r="AU1029" s="243"/>
      <c r="AV1029" s="243"/>
      <c r="AW1029" s="243"/>
      <c r="AX1029" s="243"/>
      <c r="AY1029" s="243"/>
      <c r="AZ1029" s="243"/>
      <c r="BA1029" s="243"/>
      <c r="BB1029" s="243"/>
      <c r="BC1029" s="243"/>
      <c r="BD1029" s="243"/>
      <c r="BE1029" s="243"/>
      <c r="BF1029" s="243"/>
      <c r="BG1029" s="243"/>
      <c r="BH1029" s="243"/>
      <c r="BI1029" s="243"/>
      <c r="BJ1029" s="243"/>
      <c r="BK1029" s="243"/>
      <c r="BL1029" s="243"/>
      <c r="BM1029" s="243"/>
      <c r="BN1029" s="243"/>
      <c r="BO1029" s="243"/>
      <c r="BP1029" s="243"/>
      <c r="BQ1029" s="243"/>
      <c r="BR1029" s="243"/>
      <c r="BS1029" s="243"/>
    </row>
    <row r="1030" spans="1:71" s="26" customFormat="1" ht="41.25" customHeight="1">
      <c r="A1030" s="178" t="s">
        <v>96</v>
      </c>
      <c r="B1030" s="75" t="str">
        <f ca="1">+UPPER(Tabla1321124[[#This Row],[DESCRIPCIÓN DE LA COMPRA O CONTRATACIÓN]])</f>
        <v>ALAMBRE MULTIFIBRA 2/0</v>
      </c>
      <c r="C1030" s="39" t="s">
        <v>343</v>
      </c>
      <c r="D1030" s="236">
        <f>500+500</f>
        <v>1000</v>
      </c>
      <c r="E1030" s="236"/>
      <c r="F1030" s="236">
        <v>500</v>
      </c>
      <c r="G1030" s="236"/>
      <c r="H1030" s="240">
        <f>SUM(Tabla1321124[[#This Row],[PRIMER TRIMESTRE]:[CUARTO TRIMESTRE]])</f>
        <v>1500</v>
      </c>
      <c r="I1030" s="17">
        <v>169.73</v>
      </c>
      <c r="J1030" s="17">
        <f t="shared" si="15"/>
        <v>254594.99999999997</v>
      </c>
      <c r="K1030" s="17"/>
      <c r="L1030" s="16" t="s">
        <v>18</v>
      </c>
      <c r="M1030" s="16" t="s">
        <v>22</v>
      </c>
      <c r="N1030" s="16" t="s">
        <v>418</v>
      </c>
      <c r="O1030" s="243"/>
      <c r="P1030" s="243"/>
      <c r="Q1030" s="243"/>
      <c r="R1030" s="243"/>
      <c r="S1030" s="243"/>
      <c r="T1030" s="243"/>
      <c r="U1030" s="243"/>
      <c r="V1030" s="243"/>
      <c r="W1030" s="243"/>
      <c r="X1030" s="243"/>
      <c r="Y1030" s="243"/>
      <c r="Z1030" s="243"/>
      <c r="AA1030" s="243"/>
      <c r="AB1030" s="243"/>
      <c r="AC1030" s="243"/>
      <c r="AD1030" s="243"/>
      <c r="AE1030" s="243"/>
      <c r="AF1030" s="243"/>
      <c r="AG1030" s="243"/>
      <c r="AH1030" s="243"/>
      <c r="AI1030" s="243"/>
      <c r="AJ1030" s="243"/>
      <c r="AK1030" s="243"/>
      <c r="AL1030" s="243"/>
      <c r="AM1030" s="243"/>
      <c r="AN1030" s="243"/>
      <c r="AO1030" s="243"/>
      <c r="AP1030" s="243"/>
      <c r="AQ1030" s="243"/>
      <c r="AR1030" s="243"/>
      <c r="AS1030" s="243"/>
      <c r="AT1030" s="243"/>
      <c r="AU1030" s="243"/>
      <c r="AV1030" s="243"/>
      <c r="AW1030" s="243"/>
      <c r="AX1030" s="243"/>
      <c r="AY1030" s="243"/>
      <c r="AZ1030" s="243"/>
      <c r="BA1030" s="243"/>
      <c r="BB1030" s="243"/>
      <c r="BC1030" s="243"/>
      <c r="BD1030" s="243"/>
      <c r="BE1030" s="243"/>
      <c r="BF1030" s="243"/>
      <c r="BG1030" s="243"/>
      <c r="BH1030" s="243"/>
      <c r="BI1030" s="243"/>
      <c r="BJ1030" s="243"/>
      <c r="BK1030" s="243"/>
      <c r="BL1030" s="243"/>
      <c r="BM1030" s="243"/>
      <c r="BN1030" s="243"/>
      <c r="BO1030" s="243"/>
      <c r="BP1030" s="243"/>
      <c r="BQ1030" s="243"/>
      <c r="BR1030" s="243"/>
      <c r="BS1030" s="243"/>
    </row>
    <row r="1031" spans="1:71" s="26" customFormat="1" ht="41.25" customHeight="1">
      <c r="A1031" s="178" t="s">
        <v>96</v>
      </c>
      <c r="B1031" s="75" t="str">
        <f ca="1">+UPPER(Tabla1321124[[#This Row],[DESCRIPCIÓN DE LA COMPRA O CONTRATACIÓN]])</f>
        <v>ALAMBRE VINIL 3/10</v>
      </c>
      <c r="C1031" s="39" t="s">
        <v>343</v>
      </c>
      <c r="D1031" s="236">
        <v>650</v>
      </c>
      <c r="E1031" s="236">
        <v>150</v>
      </c>
      <c r="F1031" s="236">
        <v>150</v>
      </c>
      <c r="G1031" s="236">
        <v>150</v>
      </c>
      <c r="H1031" s="240">
        <f>SUM(Tabla1321124[[#This Row],[PRIMER TRIMESTRE]:[CUARTO TRIMESTRE]])</f>
        <v>1100</v>
      </c>
      <c r="I1031" s="17">
        <v>49</v>
      </c>
      <c r="J1031" s="17">
        <f t="shared" ref="J1031:J1094" si="19">+H1031*I1031</f>
        <v>53900</v>
      </c>
      <c r="K1031" s="17"/>
      <c r="L1031" s="16" t="s">
        <v>18</v>
      </c>
      <c r="M1031" s="16" t="s">
        <v>22</v>
      </c>
      <c r="N1031" s="16" t="s">
        <v>418</v>
      </c>
      <c r="O1031" s="243"/>
      <c r="P1031" s="243"/>
      <c r="Q1031" s="243"/>
      <c r="R1031" s="243"/>
      <c r="S1031" s="243"/>
      <c r="T1031" s="243"/>
      <c r="U1031" s="243"/>
      <c r="V1031" s="243"/>
      <c r="W1031" s="243"/>
      <c r="X1031" s="243"/>
      <c r="Y1031" s="243"/>
      <c r="Z1031" s="243"/>
      <c r="AA1031" s="243"/>
      <c r="AB1031" s="243"/>
      <c r="AC1031" s="243"/>
      <c r="AD1031" s="243"/>
      <c r="AE1031" s="243"/>
      <c r="AF1031" s="243"/>
      <c r="AG1031" s="243"/>
      <c r="AH1031" s="243"/>
      <c r="AI1031" s="243"/>
      <c r="AJ1031" s="243"/>
      <c r="AK1031" s="243"/>
      <c r="AL1031" s="243"/>
      <c r="AM1031" s="243"/>
      <c r="AN1031" s="243"/>
      <c r="AO1031" s="243"/>
      <c r="AP1031" s="243"/>
      <c r="AQ1031" s="243"/>
      <c r="AR1031" s="243"/>
      <c r="AS1031" s="243"/>
      <c r="AT1031" s="243"/>
      <c r="AU1031" s="243"/>
      <c r="AV1031" s="243"/>
      <c r="AW1031" s="243"/>
      <c r="AX1031" s="243"/>
      <c r="AY1031" s="243"/>
      <c r="AZ1031" s="243"/>
      <c r="BA1031" s="243"/>
      <c r="BB1031" s="243"/>
      <c r="BC1031" s="243"/>
      <c r="BD1031" s="243"/>
      <c r="BE1031" s="243"/>
      <c r="BF1031" s="243"/>
      <c r="BG1031" s="243"/>
      <c r="BH1031" s="243"/>
      <c r="BI1031" s="243"/>
      <c r="BJ1031" s="243"/>
      <c r="BK1031" s="243"/>
      <c r="BL1031" s="243"/>
      <c r="BM1031" s="243"/>
      <c r="BN1031" s="243"/>
      <c r="BO1031" s="243"/>
      <c r="BP1031" s="243"/>
      <c r="BQ1031" s="243"/>
      <c r="BR1031" s="243"/>
      <c r="BS1031" s="243"/>
    </row>
    <row r="1032" spans="1:71" s="26" customFormat="1" ht="41.25" customHeight="1">
      <c r="A1032" s="178" t="s">
        <v>96</v>
      </c>
      <c r="B1032" s="80" t="s">
        <v>1801</v>
      </c>
      <c r="C1032" s="39" t="s">
        <v>17</v>
      </c>
      <c r="D1032" s="378">
        <v>12</v>
      </c>
      <c r="E1032" s="369">
        <v>0</v>
      </c>
      <c r="F1032" s="369">
        <v>3</v>
      </c>
      <c r="G1032" s="369">
        <v>0</v>
      </c>
      <c r="H1032" s="240">
        <f>SUM(Tabla1321124[[#This Row],[PRIMER TRIMESTRE]:[CUARTO TRIMESTRE]])</f>
        <v>15</v>
      </c>
      <c r="I1032" s="17">
        <v>900</v>
      </c>
      <c r="J1032" s="17">
        <f t="shared" si="19"/>
        <v>13500</v>
      </c>
      <c r="K1032" s="175"/>
      <c r="L1032" s="16" t="s">
        <v>18</v>
      </c>
      <c r="M1032" s="16" t="s">
        <v>22</v>
      </c>
      <c r="N1032" s="16"/>
      <c r="O1032" s="243"/>
      <c r="P1032" s="243"/>
      <c r="Q1032" s="243"/>
      <c r="R1032" s="243"/>
      <c r="S1032" s="243"/>
      <c r="T1032" s="243"/>
      <c r="U1032" s="243"/>
      <c r="V1032" s="243"/>
      <c r="W1032" s="243"/>
      <c r="X1032" s="243"/>
      <c r="Y1032" s="243"/>
      <c r="Z1032" s="243"/>
      <c r="AA1032" s="243"/>
      <c r="AB1032" s="243"/>
      <c r="AC1032" s="243"/>
      <c r="AD1032" s="243"/>
      <c r="AE1032" s="243"/>
      <c r="AF1032" s="243"/>
      <c r="AG1032" s="243"/>
      <c r="AH1032" s="243"/>
      <c r="AI1032" s="243"/>
      <c r="AJ1032" s="243"/>
      <c r="AK1032" s="243"/>
      <c r="AL1032" s="243"/>
      <c r="AM1032" s="243"/>
      <c r="AN1032" s="243"/>
      <c r="AO1032" s="243"/>
      <c r="AP1032" s="243"/>
      <c r="AQ1032" s="243"/>
      <c r="AR1032" s="243"/>
      <c r="AS1032" s="243"/>
      <c r="AT1032" s="243"/>
      <c r="AU1032" s="243"/>
      <c r="AV1032" s="243"/>
      <c r="AW1032" s="243"/>
      <c r="AX1032" s="243"/>
      <c r="AY1032" s="243"/>
      <c r="AZ1032" s="243"/>
      <c r="BA1032" s="243"/>
      <c r="BB1032" s="243"/>
      <c r="BC1032" s="243"/>
      <c r="BD1032" s="243"/>
      <c r="BE1032" s="243"/>
      <c r="BF1032" s="243"/>
      <c r="BG1032" s="243"/>
      <c r="BH1032" s="243"/>
      <c r="BI1032" s="243"/>
      <c r="BJ1032" s="243"/>
      <c r="BK1032" s="243"/>
      <c r="BL1032" s="243"/>
      <c r="BM1032" s="243"/>
      <c r="BN1032" s="243"/>
      <c r="BO1032" s="243"/>
      <c r="BP1032" s="243"/>
      <c r="BQ1032" s="243"/>
      <c r="BR1032" s="243"/>
      <c r="BS1032" s="243"/>
    </row>
    <row r="1033" spans="1:71" s="26" customFormat="1" ht="41.25" customHeight="1">
      <c r="A1033" s="178" t="s">
        <v>96</v>
      </c>
      <c r="B1033" s="80" t="s">
        <v>1804</v>
      </c>
      <c r="C1033" s="39" t="s">
        <v>17</v>
      </c>
      <c r="D1033" s="378">
        <v>12</v>
      </c>
      <c r="E1033" s="369">
        <v>0</v>
      </c>
      <c r="F1033" s="369">
        <v>3</v>
      </c>
      <c r="G1033" s="369">
        <v>0</v>
      </c>
      <c r="H1033" s="240">
        <f>SUM(Tabla1321124[[#This Row],[PRIMER TRIMESTRE]:[CUARTO TRIMESTRE]])</f>
        <v>15</v>
      </c>
      <c r="I1033" s="17">
        <v>1200</v>
      </c>
      <c r="J1033" s="17">
        <f t="shared" si="19"/>
        <v>18000</v>
      </c>
      <c r="K1033" s="175"/>
      <c r="L1033" s="16" t="s">
        <v>18</v>
      </c>
      <c r="M1033" s="16" t="s">
        <v>22</v>
      </c>
      <c r="N1033" s="16"/>
      <c r="O1033" s="243"/>
      <c r="P1033" s="243"/>
      <c r="Q1033" s="243"/>
      <c r="R1033" s="243"/>
      <c r="S1033" s="243"/>
      <c r="T1033" s="243"/>
      <c r="U1033" s="243"/>
      <c r="V1033" s="243"/>
      <c r="W1033" s="243"/>
      <c r="X1033" s="243"/>
      <c r="Y1033" s="243"/>
      <c r="Z1033" s="243"/>
      <c r="AA1033" s="243"/>
      <c r="AB1033" s="243"/>
      <c r="AC1033" s="243"/>
      <c r="AD1033" s="243"/>
      <c r="AE1033" s="243"/>
      <c r="AF1033" s="243"/>
      <c r="AG1033" s="243"/>
      <c r="AH1033" s="243"/>
      <c r="AI1033" s="243"/>
      <c r="AJ1033" s="243"/>
      <c r="AK1033" s="243"/>
      <c r="AL1033" s="243"/>
      <c r="AM1033" s="243"/>
      <c r="AN1033" s="243"/>
      <c r="AO1033" s="243"/>
      <c r="AP1033" s="243"/>
      <c r="AQ1033" s="243"/>
      <c r="AR1033" s="243"/>
      <c r="AS1033" s="243"/>
      <c r="AT1033" s="243"/>
      <c r="AU1033" s="243"/>
      <c r="AV1033" s="243"/>
      <c r="AW1033" s="243"/>
      <c r="AX1033" s="243"/>
      <c r="AY1033" s="243"/>
      <c r="AZ1033" s="243"/>
      <c r="BA1033" s="243"/>
      <c r="BB1033" s="243"/>
      <c r="BC1033" s="243"/>
      <c r="BD1033" s="243"/>
      <c r="BE1033" s="243"/>
      <c r="BF1033" s="243"/>
      <c r="BG1033" s="243"/>
      <c r="BH1033" s="243"/>
      <c r="BI1033" s="243"/>
      <c r="BJ1033" s="243"/>
      <c r="BK1033" s="243"/>
      <c r="BL1033" s="243"/>
      <c r="BM1033" s="243"/>
      <c r="BN1033" s="243"/>
      <c r="BO1033" s="243"/>
      <c r="BP1033" s="243"/>
      <c r="BQ1033" s="243"/>
      <c r="BR1033" s="243"/>
      <c r="BS1033" s="243"/>
    </row>
    <row r="1034" spans="1:71" s="26" customFormat="1" ht="41.25" customHeight="1">
      <c r="A1034" s="178" t="s">
        <v>96</v>
      </c>
      <c r="B1034" s="80" t="s">
        <v>1802</v>
      </c>
      <c r="C1034" s="39" t="s">
        <v>17</v>
      </c>
      <c r="D1034" s="378">
        <v>2</v>
      </c>
      <c r="E1034" s="369">
        <v>0</v>
      </c>
      <c r="F1034" s="369">
        <v>0</v>
      </c>
      <c r="G1034" s="369">
        <v>0</v>
      </c>
      <c r="H1034" s="240">
        <f>SUM(Tabla1321124[[#This Row],[PRIMER TRIMESTRE]:[CUARTO TRIMESTRE]])</f>
        <v>2</v>
      </c>
      <c r="I1034" s="17">
        <v>11500</v>
      </c>
      <c r="J1034" s="17">
        <f t="shared" si="19"/>
        <v>23000</v>
      </c>
      <c r="K1034" s="175"/>
      <c r="L1034" s="16" t="s">
        <v>18</v>
      </c>
      <c r="M1034" s="16" t="s">
        <v>22</v>
      </c>
      <c r="N1034" s="16"/>
      <c r="O1034" s="243"/>
      <c r="P1034" s="243"/>
      <c r="Q1034" s="243"/>
      <c r="R1034" s="243"/>
      <c r="S1034" s="243"/>
      <c r="T1034" s="243"/>
      <c r="U1034" s="243"/>
      <c r="V1034" s="243"/>
      <c r="W1034" s="243"/>
      <c r="X1034" s="243"/>
      <c r="Y1034" s="243"/>
      <c r="Z1034" s="243"/>
      <c r="AA1034" s="243"/>
      <c r="AB1034" s="243"/>
      <c r="AC1034" s="243"/>
      <c r="AD1034" s="243"/>
      <c r="AE1034" s="243"/>
      <c r="AF1034" s="243"/>
      <c r="AG1034" s="243"/>
      <c r="AH1034" s="243"/>
      <c r="AI1034" s="243"/>
      <c r="AJ1034" s="243"/>
      <c r="AK1034" s="243"/>
      <c r="AL1034" s="243"/>
      <c r="AM1034" s="243"/>
      <c r="AN1034" s="243"/>
      <c r="AO1034" s="243"/>
      <c r="AP1034" s="243"/>
      <c r="AQ1034" s="243"/>
      <c r="AR1034" s="243"/>
      <c r="AS1034" s="243"/>
      <c r="AT1034" s="243"/>
      <c r="AU1034" s="243"/>
      <c r="AV1034" s="243"/>
      <c r="AW1034" s="243"/>
      <c r="AX1034" s="243"/>
      <c r="AY1034" s="243"/>
      <c r="AZ1034" s="243"/>
      <c r="BA1034" s="243"/>
      <c r="BB1034" s="243"/>
      <c r="BC1034" s="243"/>
      <c r="BD1034" s="243"/>
      <c r="BE1034" s="243"/>
      <c r="BF1034" s="243"/>
      <c r="BG1034" s="243"/>
      <c r="BH1034" s="243"/>
      <c r="BI1034" s="243"/>
      <c r="BJ1034" s="243"/>
      <c r="BK1034" s="243"/>
      <c r="BL1034" s="243"/>
      <c r="BM1034" s="243"/>
      <c r="BN1034" s="243"/>
      <c r="BO1034" s="243"/>
      <c r="BP1034" s="243"/>
      <c r="BQ1034" s="243"/>
      <c r="BR1034" s="243"/>
      <c r="BS1034" s="243"/>
    </row>
    <row r="1035" spans="1:71" s="26" customFormat="1" ht="41.25" customHeight="1">
      <c r="A1035" s="178" t="s">
        <v>96</v>
      </c>
      <c r="B1035" s="80" t="s">
        <v>1803</v>
      </c>
      <c r="C1035" s="39" t="s">
        <v>17</v>
      </c>
      <c r="D1035" s="378">
        <v>4</v>
      </c>
      <c r="E1035" s="369">
        <v>0</v>
      </c>
      <c r="F1035" s="369">
        <v>1</v>
      </c>
      <c r="G1035" s="369">
        <v>0</v>
      </c>
      <c r="H1035" s="240">
        <f>SUM(Tabla1321124[[#This Row],[PRIMER TRIMESTRE]:[CUARTO TRIMESTRE]])</f>
        <v>5</v>
      </c>
      <c r="I1035" s="17">
        <v>375</v>
      </c>
      <c r="J1035" s="17">
        <f t="shared" si="19"/>
        <v>1875</v>
      </c>
      <c r="K1035" s="175"/>
      <c r="L1035" s="16" t="s">
        <v>18</v>
      </c>
      <c r="M1035" s="16" t="s">
        <v>22</v>
      </c>
      <c r="N1035" s="16"/>
      <c r="O1035" s="243"/>
      <c r="P1035" s="243"/>
      <c r="Q1035" s="243"/>
      <c r="R1035" s="243"/>
      <c r="S1035" s="243"/>
      <c r="T1035" s="243"/>
      <c r="U1035" s="243"/>
      <c r="V1035" s="243"/>
      <c r="W1035" s="243"/>
      <c r="X1035" s="243"/>
      <c r="Y1035" s="243"/>
      <c r="Z1035" s="243"/>
      <c r="AA1035" s="243"/>
      <c r="AB1035" s="243"/>
      <c r="AC1035" s="243"/>
      <c r="AD1035" s="243"/>
      <c r="AE1035" s="243"/>
      <c r="AF1035" s="243"/>
      <c r="AG1035" s="243"/>
      <c r="AH1035" s="243"/>
      <c r="AI1035" s="243"/>
      <c r="AJ1035" s="243"/>
      <c r="AK1035" s="243"/>
      <c r="AL1035" s="243"/>
      <c r="AM1035" s="243"/>
      <c r="AN1035" s="243"/>
      <c r="AO1035" s="243"/>
      <c r="AP1035" s="243"/>
      <c r="AQ1035" s="243"/>
      <c r="AR1035" s="243"/>
      <c r="AS1035" s="243"/>
      <c r="AT1035" s="243"/>
      <c r="AU1035" s="243"/>
      <c r="AV1035" s="243"/>
      <c r="AW1035" s="243"/>
      <c r="AX1035" s="243"/>
      <c r="AY1035" s="243"/>
      <c r="AZ1035" s="243"/>
      <c r="BA1035" s="243"/>
      <c r="BB1035" s="243"/>
      <c r="BC1035" s="243"/>
      <c r="BD1035" s="243"/>
      <c r="BE1035" s="243"/>
      <c r="BF1035" s="243"/>
      <c r="BG1035" s="243"/>
      <c r="BH1035" s="243"/>
      <c r="BI1035" s="243"/>
      <c r="BJ1035" s="243"/>
      <c r="BK1035" s="243"/>
      <c r="BL1035" s="243"/>
      <c r="BM1035" s="243"/>
      <c r="BN1035" s="243"/>
      <c r="BO1035" s="243"/>
      <c r="BP1035" s="243"/>
      <c r="BQ1035" s="243"/>
      <c r="BR1035" s="243"/>
      <c r="BS1035" s="243"/>
    </row>
    <row r="1036" spans="1:71" s="26" customFormat="1" ht="41.25" customHeight="1">
      <c r="A1036" s="178" t="s">
        <v>96</v>
      </c>
      <c r="B1036" s="376" t="s">
        <v>1805</v>
      </c>
      <c r="C1036" s="39" t="s">
        <v>17</v>
      </c>
      <c r="D1036" s="369">
        <v>6</v>
      </c>
      <c r="E1036" s="369">
        <v>2</v>
      </c>
      <c r="F1036" s="369">
        <v>2</v>
      </c>
      <c r="G1036" s="369">
        <v>2</v>
      </c>
      <c r="H1036" s="240">
        <f>SUM(Tabla1321124[[#This Row],[PRIMER TRIMESTRE]:[CUARTO TRIMESTRE]])</f>
        <v>12</v>
      </c>
      <c r="I1036" s="17">
        <v>1790</v>
      </c>
      <c r="J1036" s="17">
        <f t="shared" si="19"/>
        <v>21480</v>
      </c>
      <c r="K1036" s="175"/>
      <c r="L1036" s="16" t="s">
        <v>18</v>
      </c>
      <c r="M1036" s="16" t="s">
        <v>22</v>
      </c>
      <c r="N1036" s="16"/>
      <c r="O1036" s="243"/>
      <c r="P1036" s="243"/>
      <c r="Q1036" s="243"/>
      <c r="R1036" s="243"/>
      <c r="S1036" s="243"/>
      <c r="T1036" s="243"/>
      <c r="U1036" s="243"/>
      <c r="V1036" s="243"/>
      <c r="W1036" s="243"/>
      <c r="X1036" s="243"/>
      <c r="Y1036" s="243"/>
      <c r="Z1036" s="243"/>
      <c r="AA1036" s="243"/>
      <c r="AB1036" s="243"/>
      <c r="AC1036" s="243"/>
      <c r="AD1036" s="243"/>
      <c r="AE1036" s="243"/>
      <c r="AF1036" s="243"/>
      <c r="AG1036" s="243"/>
      <c r="AH1036" s="243"/>
      <c r="AI1036" s="243"/>
      <c r="AJ1036" s="243"/>
      <c r="AK1036" s="243"/>
      <c r="AL1036" s="243"/>
      <c r="AM1036" s="243"/>
      <c r="AN1036" s="243"/>
      <c r="AO1036" s="243"/>
      <c r="AP1036" s="243"/>
      <c r="AQ1036" s="243"/>
      <c r="AR1036" s="243"/>
      <c r="AS1036" s="243"/>
      <c r="AT1036" s="243"/>
      <c r="AU1036" s="243"/>
      <c r="AV1036" s="243"/>
      <c r="AW1036" s="243"/>
      <c r="AX1036" s="243"/>
      <c r="AY1036" s="243"/>
      <c r="AZ1036" s="243"/>
      <c r="BA1036" s="243"/>
      <c r="BB1036" s="243"/>
      <c r="BC1036" s="243"/>
      <c r="BD1036" s="243"/>
      <c r="BE1036" s="243"/>
      <c r="BF1036" s="243"/>
      <c r="BG1036" s="243"/>
      <c r="BH1036" s="243"/>
      <c r="BI1036" s="243"/>
      <c r="BJ1036" s="243"/>
      <c r="BK1036" s="243"/>
      <c r="BL1036" s="243"/>
      <c r="BM1036" s="243"/>
      <c r="BN1036" s="243"/>
      <c r="BO1036" s="243"/>
      <c r="BP1036" s="243"/>
      <c r="BQ1036" s="243"/>
      <c r="BR1036" s="243"/>
      <c r="BS1036" s="243"/>
    </row>
    <row r="1037" spans="1:71" s="26" customFormat="1" ht="41.25" customHeight="1">
      <c r="A1037" s="178" t="s">
        <v>96</v>
      </c>
      <c r="B1037" s="75" t="str">
        <f ca="1">+UPPER(Tabla1321124[[#This Row],[DESCRIPCIÓN DE LA COMPRA O CONTRATACIÓN]])</f>
        <v>CABLE NO. 14/2</v>
      </c>
      <c r="C1037" s="39" t="s">
        <v>343</v>
      </c>
      <c r="D1037" s="236">
        <v>650</v>
      </c>
      <c r="E1037" s="236">
        <v>150</v>
      </c>
      <c r="F1037" s="236">
        <v>150</v>
      </c>
      <c r="G1037" s="236">
        <v>150</v>
      </c>
      <c r="H1037" s="240">
        <f>SUM(Tabla1321124[[#This Row],[PRIMER TRIMESTRE]:[CUARTO TRIMESTRE]])</f>
        <v>1100</v>
      </c>
      <c r="I1037" s="17">
        <v>71</v>
      </c>
      <c r="J1037" s="17">
        <f t="shared" si="19"/>
        <v>78100</v>
      </c>
      <c r="K1037" s="17"/>
      <c r="L1037" s="16" t="s">
        <v>18</v>
      </c>
      <c r="M1037" s="16" t="s">
        <v>22</v>
      </c>
      <c r="N1037" s="16" t="s">
        <v>418</v>
      </c>
      <c r="O1037" s="243"/>
      <c r="P1037" s="243"/>
      <c r="Q1037" s="243"/>
      <c r="R1037" s="243"/>
      <c r="S1037" s="243"/>
      <c r="T1037" s="243"/>
      <c r="U1037" s="243"/>
      <c r="V1037" s="243"/>
      <c r="W1037" s="243"/>
      <c r="X1037" s="243"/>
      <c r="Y1037" s="243"/>
      <c r="Z1037" s="243"/>
      <c r="AA1037" s="243"/>
      <c r="AB1037" s="243"/>
      <c r="AC1037" s="243"/>
      <c r="AD1037" s="243"/>
      <c r="AE1037" s="243"/>
      <c r="AF1037" s="243"/>
      <c r="AG1037" s="243"/>
      <c r="AH1037" s="243"/>
      <c r="AI1037" s="243"/>
      <c r="AJ1037" s="243"/>
      <c r="AK1037" s="243"/>
      <c r="AL1037" s="243"/>
      <c r="AM1037" s="243"/>
      <c r="AN1037" s="243"/>
      <c r="AO1037" s="243"/>
      <c r="AP1037" s="243"/>
      <c r="AQ1037" s="243"/>
      <c r="AR1037" s="243"/>
      <c r="AS1037" s="243"/>
      <c r="AT1037" s="243"/>
      <c r="AU1037" s="243"/>
      <c r="AV1037" s="243"/>
      <c r="AW1037" s="243"/>
      <c r="AX1037" s="243"/>
      <c r="AY1037" s="243"/>
      <c r="AZ1037" s="243"/>
      <c r="BA1037" s="243"/>
      <c r="BB1037" s="243"/>
      <c r="BC1037" s="243"/>
      <c r="BD1037" s="243"/>
      <c r="BE1037" s="243"/>
      <c r="BF1037" s="243"/>
      <c r="BG1037" s="243"/>
      <c r="BH1037" s="243"/>
      <c r="BI1037" s="243"/>
      <c r="BJ1037" s="243"/>
      <c r="BK1037" s="243"/>
      <c r="BL1037" s="243"/>
      <c r="BM1037" s="243"/>
      <c r="BN1037" s="243"/>
      <c r="BO1037" s="243"/>
      <c r="BP1037" s="243"/>
      <c r="BQ1037" s="243"/>
      <c r="BR1037" s="243"/>
      <c r="BS1037" s="243"/>
    </row>
    <row r="1038" spans="1:71" s="26" customFormat="1" ht="41.25" customHeight="1">
      <c r="A1038" s="178" t="s">
        <v>96</v>
      </c>
      <c r="B1038" s="376" t="str">
        <f ca="1">+UPPER(Tabla1321124[[#This Row],[DESCRIPCIÓN DE LA COMPRA O CONTRATACIÓN]])</f>
        <v>CABLE URD #2, AL 33%</v>
      </c>
      <c r="C1038" s="39" t="s">
        <v>343</v>
      </c>
      <c r="D1038" s="236">
        <v>750</v>
      </c>
      <c r="E1038" s="236">
        <v>1250</v>
      </c>
      <c r="F1038" s="236">
        <v>1250</v>
      </c>
      <c r="G1038" s="236">
        <v>1250</v>
      </c>
      <c r="H1038" s="240">
        <f>SUM(Tabla1321124[[#This Row],[PRIMER TRIMESTRE]:[CUARTO TRIMESTRE]])</f>
        <v>4500</v>
      </c>
      <c r="I1038" s="17">
        <v>309.39999999999998</v>
      </c>
      <c r="J1038" s="17">
        <f t="shared" si="19"/>
        <v>1392300</v>
      </c>
      <c r="K1038" s="17"/>
      <c r="L1038" s="16" t="s">
        <v>18</v>
      </c>
      <c r="M1038" s="16" t="s">
        <v>22</v>
      </c>
      <c r="N1038" s="16" t="s">
        <v>418</v>
      </c>
      <c r="O1038" s="243"/>
      <c r="P1038" s="243"/>
      <c r="Q1038" s="243"/>
      <c r="R1038" s="243"/>
      <c r="S1038" s="243"/>
      <c r="T1038" s="243"/>
      <c r="U1038" s="243"/>
      <c r="V1038" s="243"/>
      <c r="W1038" s="243"/>
      <c r="X1038" s="243"/>
      <c r="Y1038" s="243"/>
      <c r="Z1038" s="243"/>
      <c r="AA1038" s="243"/>
      <c r="AB1038" s="243"/>
      <c r="AC1038" s="243"/>
      <c r="AD1038" s="243"/>
      <c r="AE1038" s="243"/>
      <c r="AF1038" s="243"/>
      <c r="AG1038" s="243"/>
      <c r="AH1038" s="243"/>
      <c r="AI1038" s="243"/>
      <c r="AJ1038" s="243"/>
      <c r="AK1038" s="243"/>
      <c r="AL1038" s="243"/>
      <c r="AM1038" s="243"/>
      <c r="AN1038" s="243"/>
      <c r="AO1038" s="243"/>
      <c r="AP1038" s="243"/>
      <c r="AQ1038" s="243"/>
      <c r="AR1038" s="243"/>
      <c r="AS1038" s="243"/>
      <c r="AT1038" s="243"/>
      <c r="AU1038" s="243"/>
      <c r="AV1038" s="243"/>
      <c r="AW1038" s="243"/>
      <c r="AX1038" s="243"/>
      <c r="AY1038" s="243"/>
      <c r="AZ1038" s="243"/>
      <c r="BA1038" s="243"/>
      <c r="BB1038" s="243"/>
      <c r="BC1038" s="243"/>
      <c r="BD1038" s="243"/>
      <c r="BE1038" s="243"/>
      <c r="BF1038" s="243"/>
      <c r="BG1038" s="243"/>
      <c r="BH1038" s="243"/>
      <c r="BI1038" s="243"/>
      <c r="BJ1038" s="243"/>
      <c r="BK1038" s="243"/>
      <c r="BL1038" s="243"/>
      <c r="BM1038" s="243"/>
      <c r="BN1038" s="243"/>
      <c r="BO1038" s="243"/>
      <c r="BP1038" s="243"/>
      <c r="BQ1038" s="243"/>
      <c r="BR1038" s="243"/>
      <c r="BS1038" s="243"/>
    </row>
    <row r="1039" spans="1:71" s="26" customFormat="1" ht="41.25" customHeight="1">
      <c r="A1039" s="178" t="s">
        <v>1676</v>
      </c>
      <c r="B1039" s="75" t="str">
        <f ca="1">+UPPER(Tabla1321124[[#This Row],[DESCRIPCIÓN DE LA COMPRA O CONTRATACIÓN]])</f>
        <v>CABLE NO. 8, 4 HILOS</v>
      </c>
      <c r="C1039" s="39" t="s">
        <v>343</v>
      </c>
      <c r="D1039" s="236">
        <v>500</v>
      </c>
      <c r="E1039" s="236"/>
      <c r="F1039" s="236"/>
      <c r="G1039" s="236"/>
      <c r="H1039" s="240">
        <f>SUM(Tabla1321124[[#This Row],[PRIMER TRIMESTRE]:[CUARTO TRIMESTRE]])</f>
        <v>500</v>
      </c>
      <c r="I1039" s="17">
        <v>65</v>
      </c>
      <c r="J1039" s="17">
        <f t="shared" si="19"/>
        <v>32500</v>
      </c>
      <c r="K1039" s="17"/>
      <c r="L1039" s="16" t="s">
        <v>18</v>
      </c>
      <c r="M1039" s="16" t="s">
        <v>22</v>
      </c>
      <c r="N1039" s="16" t="s">
        <v>418</v>
      </c>
      <c r="O1039" s="243"/>
      <c r="P1039" s="243"/>
      <c r="Q1039" s="243"/>
      <c r="R1039" s="243"/>
      <c r="S1039" s="243"/>
      <c r="T1039" s="243"/>
      <c r="U1039" s="243"/>
      <c r="V1039" s="243"/>
      <c r="W1039" s="243"/>
      <c r="X1039" s="243"/>
      <c r="Y1039" s="243"/>
      <c r="Z1039" s="243"/>
      <c r="AA1039" s="243"/>
      <c r="AB1039" s="243"/>
      <c r="AC1039" s="243"/>
      <c r="AD1039" s="243"/>
      <c r="AE1039" s="243"/>
      <c r="AF1039" s="243"/>
      <c r="AG1039" s="243"/>
      <c r="AH1039" s="243"/>
      <c r="AI1039" s="243"/>
      <c r="AJ1039" s="243"/>
      <c r="AK1039" s="243"/>
      <c r="AL1039" s="243"/>
      <c r="AM1039" s="243"/>
      <c r="AN1039" s="243"/>
      <c r="AO1039" s="243"/>
      <c r="AP1039" s="243"/>
      <c r="AQ1039" s="243"/>
      <c r="AR1039" s="243"/>
      <c r="AS1039" s="243"/>
      <c r="AT1039" s="243"/>
      <c r="AU1039" s="243"/>
      <c r="AV1039" s="243"/>
      <c r="AW1039" s="243"/>
      <c r="AX1039" s="243"/>
      <c r="AY1039" s="243"/>
      <c r="AZ1039" s="243"/>
      <c r="BA1039" s="243"/>
      <c r="BB1039" s="243"/>
      <c r="BC1039" s="243"/>
      <c r="BD1039" s="243"/>
      <c r="BE1039" s="243"/>
      <c r="BF1039" s="243"/>
      <c r="BG1039" s="243"/>
      <c r="BH1039" s="243"/>
      <c r="BI1039" s="243"/>
      <c r="BJ1039" s="243"/>
      <c r="BK1039" s="243"/>
      <c r="BL1039" s="243"/>
      <c r="BM1039" s="243"/>
      <c r="BN1039" s="243"/>
      <c r="BO1039" s="243"/>
      <c r="BP1039" s="243"/>
      <c r="BQ1039" s="243"/>
      <c r="BR1039" s="243"/>
      <c r="BS1039" s="243"/>
    </row>
    <row r="1040" spans="1:71" s="26" customFormat="1" ht="41.25" customHeight="1">
      <c r="A1040" s="178" t="s">
        <v>96</v>
      </c>
      <c r="B1040" s="75" t="str">
        <f ca="1">+UPPER(Tabla1321124[[#This Row],[DESCRIPCIÓN DE LA COMPRA O CONTRATACIÓN]])</f>
        <v>DIFERENCIAL ELECTRICO DE 1 TON 220V 60HZ Ø1 CON SU CONTROL</v>
      </c>
      <c r="C1040" s="39" t="s">
        <v>17</v>
      </c>
      <c r="D1040" s="236">
        <v>5</v>
      </c>
      <c r="E1040" s="236"/>
      <c r="F1040" s="236"/>
      <c r="G1040" s="236"/>
      <c r="H1040" s="240">
        <f>SUM(Tabla1321124[[#This Row],[PRIMER TRIMESTRE]:[CUARTO TRIMESTRE]])</f>
        <v>5</v>
      </c>
      <c r="I1040" s="17">
        <v>131500</v>
      </c>
      <c r="J1040" s="17">
        <f t="shared" si="19"/>
        <v>657500</v>
      </c>
      <c r="K1040" s="17"/>
      <c r="L1040" s="16" t="s">
        <v>18</v>
      </c>
      <c r="M1040" s="16" t="s">
        <v>22</v>
      </c>
      <c r="N1040" s="16" t="s">
        <v>418</v>
      </c>
      <c r="O1040" s="243"/>
      <c r="P1040" s="243"/>
      <c r="Q1040" s="243"/>
      <c r="R1040" s="243"/>
      <c r="S1040" s="243"/>
      <c r="T1040" s="243"/>
      <c r="U1040" s="243"/>
      <c r="V1040" s="243"/>
      <c r="W1040" s="243"/>
      <c r="X1040" s="243"/>
      <c r="Y1040" s="243"/>
      <c r="Z1040" s="243"/>
      <c r="AA1040" s="243"/>
      <c r="AB1040" s="243"/>
      <c r="AC1040" s="243"/>
      <c r="AD1040" s="243"/>
      <c r="AE1040" s="243"/>
      <c r="AF1040" s="243"/>
      <c r="AG1040" s="243"/>
      <c r="AH1040" s="243"/>
      <c r="AI1040" s="243"/>
      <c r="AJ1040" s="243"/>
      <c r="AK1040" s="243"/>
      <c r="AL1040" s="243"/>
      <c r="AM1040" s="243"/>
      <c r="AN1040" s="243"/>
      <c r="AO1040" s="243"/>
      <c r="AP1040" s="243"/>
      <c r="AQ1040" s="243"/>
      <c r="AR1040" s="243"/>
      <c r="AS1040" s="243"/>
      <c r="AT1040" s="243"/>
      <c r="AU1040" s="243"/>
      <c r="AV1040" s="243"/>
      <c r="AW1040" s="243"/>
      <c r="AX1040" s="243"/>
      <c r="AY1040" s="243"/>
      <c r="AZ1040" s="243"/>
      <c r="BA1040" s="243"/>
      <c r="BB1040" s="243"/>
      <c r="BC1040" s="243"/>
      <c r="BD1040" s="243"/>
      <c r="BE1040" s="243"/>
      <c r="BF1040" s="243"/>
      <c r="BG1040" s="243"/>
      <c r="BH1040" s="243"/>
      <c r="BI1040" s="243"/>
      <c r="BJ1040" s="243"/>
      <c r="BK1040" s="243"/>
      <c r="BL1040" s="243"/>
      <c r="BM1040" s="243"/>
      <c r="BN1040" s="243"/>
      <c r="BO1040" s="243"/>
      <c r="BP1040" s="243"/>
      <c r="BQ1040" s="243"/>
      <c r="BR1040" s="243"/>
      <c r="BS1040" s="243"/>
    </row>
    <row r="1041" spans="1:71" s="26" customFormat="1" ht="41.25" customHeight="1">
      <c r="A1041" s="178" t="s">
        <v>96</v>
      </c>
      <c r="B1041" s="75" t="str">
        <f ca="1">+UPPER(Tabla1321124[[#This Row],[DESCRIPCIÓN DE LA COMPRA O CONTRATACIÓN]])</f>
        <v>DIFERENCIAL ELECTRICO DE 13TON 220V 60HZ Ø1 CON SU CONTROL</v>
      </c>
      <c r="C1041" s="39" t="s">
        <v>17</v>
      </c>
      <c r="D1041" s="352">
        <v>3</v>
      </c>
      <c r="E1041" s="352">
        <v>3</v>
      </c>
      <c r="F1041" s="352">
        <v>3</v>
      </c>
      <c r="G1041" s="352">
        <v>3</v>
      </c>
      <c r="H1041" s="240">
        <f>SUM(Tabla1321124[[#This Row],[PRIMER TRIMESTRE]:[CUARTO TRIMESTRE]])</f>
        <v>12</v>
      </c>
      <c r="I1041" s="17">
        <v>2500</v>
      </c>
      <c r="J1041" s="17">
        <f t="shared" si="19"/>
        <v>30000</v>
      </c>
      <c r="K1041" s="345"/>
      <c r="L1041" s="16" t="s">
        <v>18</v>
      </c>
      <c r="M1041" s="16" t="s">
        <v>22</v>
      </c>
      <c r="N1041" s="16" t="s">
        <v>418</v>
      </c>
      <c r="O1041" s="243"/>
      <c r="P1041" s="243"/>
      <c r="Q1041" s="243"/>
      <c r="R1041" s="243"/>
      <c r="S1041" s="243"/>
      <c r="T1041" s="243"/>
      <c r="U1041" s="243"/>
      <c r="V1041" s="243"/>
      <c r="W1041" s="243"/>
      <c r="X1041" s="243"/>
      <c r="Y1041" s="243"/>
      <c r="Z1041" s="243"/>
      <c r="AA1041" s="243"/>
      <c r="AB1041" s="243"/>
      <c r="AC1041" s="243"/>
      <c r="AD1041" s="243"/>
      <c r="AE1041" s="243"/>
      <c r="AF1041" s="243"/>
      <c r="AG1041" s="243"/>
      <c r="AH1041" s="243"/>
      <c r="AI1041" s="243"/>
      <c r="AJ1041" s="243"/>
      <c r="AK1041" s="243"/>
      <c r="AL1041" s="243"/>
      <c r="AM1041" s="243"/>
      <c r="AN1041" s="243"/>
      <c r="AO1041" s="243"/>
      <c r="AP1041" s="243"/>
      <c r="AQ1041" s="243"/>
      <c r="AR1041" s="243"/>
      <c r="AS1041" s="243"/>
      <c r="AT1041" s="243"/>
      <c r="AU1041" s="243"/>
      <c r="AV1041" s="243"/>
      <c r="AW1041" s="243"/>
      <c r="AX1041" s="243"/>
      <c r="AY1041" s="243"/>
      <c r="AZ1041" s="243"/>
      <c r="BA1041" s="243"/>
      <c r="BB1041" s="243"/>
      <c r="BC1041" s="243"/>
      <c r="BD1041" s="243"/>
      <c r="BE1041" s="243"/>
      <c r="BF1041" s="243"/>
      <c r="BG1041" s="243"/>
      <c r="BH1041" s="243"/>
      <c r="BI1041" s="243"/>
      <c r="BJ1041" s="243"/>
      <c r="BK1041" s="243"/>
      <c r="BL1041" s="243"/>
      <c r="BM1041" s="243"/>
      <c r="BN1041" s="243"/>
      <c r="BO1041" s="243"/>
      <c r="BP1041" s="243"/>
      <c r="BQ1041" s="243"/>
      <c r="BR1041" s="243"/>
      <c r="BS1041" s="243"/>
    </row>
    <row r="1042" spans="1:71" s="26" customFormat="1" ht="41.25" customHeight="1">
      <c r="A1042" s="178" t="s">
        <v>96</v>
      </c>
      <c r="B1042" s="75" t="str">
        <f ca="1">+UPPER(Tabla1321124[[#This Row],[DESCRIPCIÓN DE LA COMPRA O CONTRATACIÓN]])</f>
        <v>DIFERENCIAL ELECTRICO DE 5 TON 220V 60HZ Ø1 CON SU CONTROL</v>
      </c>
      <c r="C1042" s="39" t="s">
        <v>17</v>
      </c>
      <c r="D1042" s="352">
        <v>3</v>
      </c>
      <c r="E1042" s="352">
        <v>3</v>
      </c>
      <c r="F1042" s="352">
        <v>3</v>
      </c>
      <c r="G1042" s="352">
        <v>3</v>
      </c>
      <c r="H1042" s="240">
        <f>SUM(Tabla1321124[[#This Row],[PRIMER TRIMESTRE]:[CUARTO TRIMESTRE]])</f>
        <v>12</v>
      </c>
      <c r="I1042" s="17">
        <v>1500</v>
      </c>
      <c r="J1042" s="17">
        <f t="shared" si="19"/>
        <v>18000</v>
      </c>
      <c r="K1042" s="345"/>
      <c r="L1042" s="16" t="s">
        <v>18</v>
      </c>
      <c r="M1042" s="16" t="s">
        <v>22</v>
      </c>
      <c r="N1042" s="16" t="s">
        <v>418</v>
      </c>
      <c r="O1042" s="243"/>
      <c r="P1042" s="243"/>
      <c r="Q1042" s="243"/>
      <c r="R1042" s="243"/>
      <c r="S1042" s="243"/>
      <c r="T1042" s="243"/>
      <c r="U1042" s="243"/>
      <c r="V1042" s="243"/>
      <c r="W1042" s="243"/>
      <c r="X1042" s="243"/>
      <c r="Y1042" s="243"/>
      <c r="Z1042" s="243"/>
      <c r="AA1042" s="243"/>
      <c r="AB1042" s="243"/>
      <c r="AC1042" s="243"/>
      <c r="AD1042" s="243"/>
      <c r="AE1042" s="243"/>
      <c r="AF1042" s="243"/>
      <c r="AG1042" s="243"/>
      <c r="AH1042" s="243"/>
      <c r="AI1042" s="243"/>
      <c r="AJ1042" s="243"/>
      <c r="AK1042" s="243"/>
      <c r="AL1042" s="243"/>
      <c r="AM1042" s="243"/>
      <c r="AN1042" s="243"/>
      <c r="AO1042" s="243"/>
      <c r="AP1042" s="243"/>
      <c r="AQ1042" s="243"/>
      <c r="AR1042" s="243"/>
      <c r="AS1042" s="243"/>
      <c r="AT1042" s="243"/>
      <c r="AU1042" s="243"/>
      <c r="AV1042" s="243"/>
      <c r="AW1042" s="243"/>
      <c r="AX1042" s="243"/>
      <c r="AY1042" s="243"/>
      <c r="AZ1042" s="243"/>
      <c r="BA1042" s="243"/>
      <c r="BB1042" s="243"/>
      <c r="BC1042" s="243"/>
      <c r="BD1042" s="243"/>
      <c r="BE1042" s="243"/>
      <c r="BF1042" s="243"/>
      <c r="BG1042" s="243"/>
      <c r="BH1042" s="243"/>
      <c r="BI1042" s="243"/>
      <c r="BJ1042" s="243"/>
      <c r="BK1042" s="243"/>
      <c r="BL1042" s="243"/>
      <c r="BM1042" s="243"/>
      <c r="BN1042" s="243"/>
      <c r="BO1042" s="243"/>
      <c r="BP1042" s="243"/>
      <c r="BQ1042" s="243"/>
      <c r="BR1042" s="243"/>
      <c r="BS1042" s="243"/>
    </row>
    <row r="1043" spans="1:71" s="26" customFormat="1" ht="41.25" customHeight="1">
      <c r="A1043" s="178" t="s">
        <v>96</v>
      </c>
      <c r="B1043" s="75" t="str">
        <f ca="1">+UPPER(Tabla1321124[[#This Row],[DESCRIPCIÓN DE LA COMPRA O CONTRATACIÓN]])</f>
        <v>CABLE DE GOMA NO. 10/2</v>
      </c>
      <c r="C1043" s="39" t="s">
        <v>343</v>
      </c>
      <c r="D1043" s="236">
        <f>500+500</f>
        <v>1000</v>
      </c>
      <c r="E1043" s="236"/>
      <c r="F1043" s="236">
        <v>500</v>
      </c>
      <c r="G1043" s="236"/>
      <c r="H1043" s="240">
        <f>SUM(Tabla1321124[[#This Row],[PRIMER TRIMESTRE]:[CUARTO TRIMESTRE]])</f>
        <v>1500</v>
      </c>
      <c r="I1043" s="17">
        <v>31.11</v>
      </c>
      <c r="J1043" s="17">
        <f t="shared" si="19"/>
        <v>46665</v>
      </c>
      <c r="K1043" s="17"/>
      <c r="L1043" s="16" t="s">
        <v>18</v>
      </c>
      <c r="M1043" s="16" t="s">
        <v>22</v>
      </c>
      <c r="N1043" s="16" t="s">
        <v>418</v>
      </c>
      <c r="O1043" s="243"/>
      <c r="P1043" s="243"/>
      <c r="Q1043" s="243"/>
      <c r="R1043" s="243"/>
      <c r="S1043" s="243"/>
      <c r="T1043" s="243"/>
      <c r="U1043" s="243"/>
      <c r="V1043" s="243"/>
      <c r="W1043" s="243"/>
      <c r="X1043" s="243"/>
      <c r="Y1043" s="243"/>
      <c r="Z1043" s="243"/>
      <c r="AA1043" s="243"/>
      <c r="AB1043" s="243"/>
      <c r="AC1043" s="243"/>
      <c r="AD1043" s="243"/>
      <c r="AE1043" s="243"/>
      <c r="AF1043" s="243"/>
      <c r="AG1043" s="243"/>
      <c r="AH1043" s="243"/>
      <c r="AI1043" s="243"/>
      <c r="AJ1043" s="243"/>
      <c r="AK1043" s="243"/>
      <c r="AL1043" s="243"/>
      <c r="AM1043" s="243"/>
      <c r="AN1043" s="243"/>
      <c r="AO1043" s="243"/>
      <c r="AP1043" s="243"/>
      <c r="AQ1043" s="243"/>
      <c r="AR1043" s="243"/>
      <c r="AS1043" s="243"/>
      <c r="AT1043" s="243"/>
      <c r="AU1043" s="243"/>
      <c r="AV1043" s="243"/>
      <c r="AW1043" s="243"/>
      <c r="AX1043" s="243"/>
      <c r="AY1043" s="243"/>
      <c r="AZ1043" s="243"/>
      <c r="BA1043" s="243"/>
      <c r="BB1043" s="243"/>
      <c r="BC1043" s="243"/>
      <c r="BD1043" s="243"/>
      <c r="BE1043" s="243"/>
      <c r="BF1043" s="243"/>
      <c r="BG1043" s="243"/>
      <c r="BH1043" s="243"/>
      <c r="BI1043" s="243"/>
      <c r="BJ1043" s="243"/>
      <c r="BK1043" s="243"/>
      <c r="BL1043" s="243"/>
      <c r="BM1043" s="243"/>
      <c r="BN1043" s="243"/>
      <c r="BO1043" s="243"/>
      <c r="BP1043" s="243"/>
      <c r="BQ1043" s="243"/>
      <c r="BR1043" s="243"/>
      <c r="BS1043" s="243"/>
    </row>
    <row r="1044" spans="1:71" s="26" customFormat="1" ht="41.25" customHeight="1">
      <c r="A1044" s="178" t="s">
        <v>96</v>
      </c>
      <c r="B1044" s="75" t="str">
        <f ca="1">+UPPER(Tabla1321124[[#This Row],[DESCRIPCIÓN DE LA COMPRA O CONTRATACIÓN]])</f>
        <v>CABLE SUMERGIBLE  10/4 HILOS</v>
      </c>
      <c r="C1044" s="39" t="s">
        <v>343</v>
      </c>
      <c r="D1044" s="236">
        <v>500</v>
      </c>
      <c r="E1044" s="236"/>
      <c r="F1044" s="236"/>
      <c r="G1044" s="236"/>
      <c r="H1044" s="240">
        <f>SUM(Tabla1321124[[#This Row],[PRIMER TRIMESTRE]:[CUARTO TRIMESTRE]])</f>
        <v>500</v>
      </c>
      <c r="I1044" s="17">
        <v>75.61</v>
      </c>
      <c r="J1044" s="17">
        <f t="shared" si="19"/>
        <v>37805</v>
      </c>
      <c r="K1044" s="17"/>
      <c r="L1044" s="16" t="s">
        <v>18</v>
      </c>
      <c r="M1044" s="16" t="s">
        <v>22</v>
      </c>
      <c r="N1044" s="16" t="s">
        <v>418</v>
      </c>
      <c r="O1044" s="243"/>
      <c r="P1044" s="243"/>
      <c r="Q1044" s="243"/>
      <c r="R1044" s="243"/>
      <c r="S1044" s="243"/>
      <c r="T1044" s="243"/>
      <c r="U1044" s="243"/>
      <c r="V1044" s="243"/>
      <c r="W1044" s="243"/>
      <c r="X1044" s="243"/>
      <c r="Y1044" s="243"/>
      <c r="Z1044" s="243"/>
      <c r="AA1044" s="243"/>
      <c r="AB1044" s="243"/>
      <c r="AC1044" s="243"/>
      <c r="AD1044" s="243"/>
      <c r="AE1044" s="243"/>
      <c r="AF1044" s="243"/>
      <c r="AG1044" s="243"/>
      <c r="AH1044" s="243"/>
      <c r="AI1044" s="243"/>
      <c r="AJ1044" s="243"/>
      <c r="AK1044" s="243"/>
      <c r="AL1044" s="243"/>
      <c r="AM1044" s="243"/>
      <c r="AN1044" s="243"/>
      <c r="AO1044" s="243"/>
      <c r="AP1044" s="243"/>
      <c r="AQ1044" s="243"/>
      <c r="AR1044" s="243"/>
      <c r="AS1044" s="243"/>
      <c r="AT1044" s="243"/>
      <c r="AU1044" s="243"/>
      <c r="AV1044" s="243"/>
      <c r="AW1044" s="243"/>
      <c r="AX1044" s="243"/>
      <c r="AY1044" s="243"/>
      <c r="AZ1044" s="243"/>
      <c r="BA1044" s="243"/>
      <c r="BB1044" s="243"/>
      <c r="BC1044" s="243"/>
      <c r="BD1044" s="243"/>
      <c r="BE1044" s="243"/>
      <c r="BF1044" s="243"/>
      <c r="BG1044" s="243"/>
      <c r="BH1044" s="243"/>
      <c r="BI1044" s="243"/>
      <c r="BJ1044" s="243"/>
      <c r="BK1044" s="243"/>
      <c r="BL1044" s="243"/>
      <c r="BM1044" s="243"/>
      <c r="BN1044" s="243"/>
      <c r="BO1044" s="243"/>
      <c r="BP1044" s="243"/>
      <c r="BQ1044" s="243"/>
      <c r="BR1044" s="243"/>
      <c r="BS1044" s="243"/>
    </row>
    <row r="1045" spans="1:71" s="26" customFormat="1" ht="41.25" customHeight="1">
      <c r="A1045" s="178" t="s">
        <v>96</v>
      </c>
      <c r="B1045" s="75" t="str">
        <f ca="1">+UPPER(Tabla1321124[[#This Row],[DESCRIPCIÓN DE LA COMPRA O CONTRATACIÓN]])</f>
        <v>CABLE NO. 1/0</v>
      </c>
      <c r="C1045" s="39" t="s">
        <v>343</v>
      </c>
      <c r="D1045" s="236">
        <v>500</v>
      </c>
      <c r="E1045" s="236">
        <v>500</v>
      </c>
      <c r="F1045" s="236">
        <v>500</v>
      </c>
      <c r="G1045" s="236">
        <v>500</v>
      </c>
      <c r="H1045" s="240">
        <f>SUM(Tabla1321124[[#This Row],[PRIMER TRIMESTRE]:[CUARTO TRIMESTRE]])</f>
        <v>2000</v>
      </c>
      <c r="I1045" s="17">
        <v>77.77</v>
      </c>
      <c r="J1045" s="17">
        <f t="shared" si="19"/>
        <v>155540</v>
      </c>
      <c r="K1045" s="17"/>
      <c r="L1045" s="16" t="s">
        <v>18</v>
      </c>
      <c r="M1045" s="16" t="s">
        <v>22</v>
      </c>
      <c r="N1045" s="16" t="s">
        <v>418</v>
      </c>
      <c r="O1045" s="243"/>
      <c r="P1045" s="243"/>
      <c r="Q1045" s="243"/>
      <c r="R1045" s="243"/>
      <c r="S1045" s="243"/>
      <c r="T1045" s="243"/>
      <c r="U1045" s="243"/>
      <c r="V1045" s="243"/>
      <c r="W1045" s="243"/>
      <c r="X1045" s="243"/>
      <c r="Y1045" s="243"/>
      <c r="Z1045" s="243"/>
      <c r="AA1045" s="243"/>
      <c r="AB1045" s="243"/>
      <c r="AC1045" s="243"/>
      <c r="AD1045" s="243"/>
      <c r="AE1045" s="243"/>
      <c r="AF1045" s="243"/>
      <c r="AG1045" s="243"/>
      <c r="AH1045" s="243"/>
      <c r="AI1045" s="243"/>
      <c r="AJ1045" s="243"/>
      <c r="AK1045" s="243"/>
      <c r="AL1045" s="243"/>
      <c r="AM1045" s="243"/>
      <c r="AN1045" s="243"/>
      <c r="AO1045" s="243"/>
      <c r="AP1045" s="243"/>
      <c r="AQ1045" s="243"/>
      <c r="AR1045" s="243"/>
      <c r="AS1045" s="243"/>
      <c r="AT1045" s="243"/>
      <c r="AU1045" s="243"/>
      <c r="AV1045" s="243"/>
      <c r="AW1045" s="243"/>
      <c r="AX1045" s="243"/>
      <c r="AY1045" s="243"/>
      <c r="AZ1045" s="243"/>
      <c r="BA1045" s="243"/>
      <c r="BB1045" s="243"/>
      <c r="BC1045" s="243"/>
      <c r="BD1045" s="243"/>
      <c r="BE1045" s="243"/>
      <c r="BF1045" s="243"/>
      <c r="BG1045" s="243"/>
      <c r="BH1045" s="243"/>
      <c r="BI1045" s="243"/>
      <c r="BJ1045" s="243"/>
      <c r="BK1045" s="243"/>
      <c r="BL1045" s="243"/>
      <c r="BM1045" s="243"/>
      <c r="BN1045" s="243"/>
      <c r="BO1045" s="243"/>
      <c r="BP1045" s="243"/>
      <c r="BQ1045" s="243"/>
      <c r="BR1045" s="243"/>
      <c r="BS1045" s="243"/>
    </row>
    <row r="1046" spans="1:71" s="12" customFormat="1" ht="41.25" customHeight="1">
      <c r="A1046" s="178" t="s">
        <v>96</v>
      </c>
      <c r="B1046" s="75" t="str">
        <f ca="1">+UPPER(Tabla1321124[[#This Row],[DESCRIPCIÓN DE LA COMPRA O CONTRATACIÓN]])</f>
        <v>CABLE URD #2, AL 100%</v>
      </c>
      <c r="C1046" s="39" t="s">
        <v>343</v>
      </c>
      <c r="D1046" s="236">
        <v>750</v>
      </c>
      <c r="E1046" s="236">
        <v>1250</v>
      </c>
      <c r="F1046" s="236">
        <v>1250</v>
      </c>
      <c r="G1046" s="236">
        <v>1250</v>
      </c>
      <c r="H1046" s="240">
        <f>SUM(Tabla1321124[[#This Row],[PRIMER TRIMESTRE]:[CUARTO TRIMESTRE]])</f>
        <v>4500</v>
      </c>
      <c r="I1046" s="17">
        <v>380.3</v>
      </c>
      <c r="J1046" s="17">
        <f t="shared" si="19"/>
        <v>1711350</v>
      </c>
      <c r="K1046" s="17"/>
      <c r="L1046" s="16" t="s">
        <v>18</v>
      </c>
      <c r="M1046" s="16" t="s">
        <v>22</v>
      </c>
      <c r="N1046" s="16" t="s">
        <v>418</v>
      </c>
      <c r="O1046" s="243"/>
      <c r="P1046" s="243"/>
      <c r="Q1046" s="243"/>
      <c r="R1046" s="243"/>
      <c r="S1046" s="243"/>
      <c r="T1046" s="243"/>
      <c r="U1046" s="243"/>
      <c r="V1046" s="243"/>
      <c r="W1046" s="243"/>
      <c r="X1046" s="243"/>
      <c r="Y1046" s="243"/>
      <c r="Z1046" s="243"/>
      <c r="AA1046" s="243"/>
      <c r="AB1046" s="243"/>
      <c r="AC1046" s="243"/>
      <c r="AD1046" s="243"/>
      <c r="AE1046" s="243"/>
      <c r="AF1046" s="243"/>
      <c r="AG1046" s="243"/>
      <c r="AH1046" s="243"/>
      <c r="AI1046" s="243"/>
      <c r="AJ1046" s="243"/>
      <c r="AK1046" s="243"/>
      <c r="AL1046" s="243"/>
      <c r="AM1046" s="243"/>
      <c r="AN1046" s="243"/>
      <c r="AO1046" s="243"/>
      <c r="AP1046" s="243"/>
      <c r="AQ1046" s="243"/>
      <c r="AR1046" s="243"/>
      <c r="AS1046" s="243"/>
      <c r="AT1046" s="243"/>
      <c r="AU1046" s="243"/>
      <c r="AV1046" s="243"/>
      <c r="AW1046" s="243"/>
      <c r="AX1046" s="243"/>
      <c r="AY1046" s="243"/>
      <c r="AZ1046" s="243"/>
      <c r="BA1046" s="243"/>
      <c r="BB1046" s="243"/>
      <c r="BC1046" s="243"/>
      <c r="BD1046" s="243"/>
      <c r="BE1046" s="243"/>
      <c r="BF1046" s="243"/>
      <c r="BG1046" s="243"/>
      <c r="BH1046" s="243"/>
      <c r="BI1046" s="243"/>
      <c r="BJ1046" s="243"/>
      <c r="BK1046" s="243"/>
      <c r="BL1046" s="243"/>
      <c r="BM1046" s="243"/>
      <c r="BN1046" s="243"/>
      <c r="BO1046" s="243"/>
      <c r="BP1046" s="243"/>
      <c r="BQ1046" s="243"/>
      <c r="BR1046" s="243"/>
      <c r="BS1046" s="243"/>
    </row>
    <row r="1047" spans="1:71" s="12" customFormat="1" ht="41.25" customHeight="1">
      <c r="A1047" s="178" t="s">
        <v>96</v>
      </c>
      <c r="B1047" s="80" t="str">
        <f>+UPPER('[1]PACC 2017'!$B$1047)</f>
        <v>CONECTORES DE ALUMINIO TIPO SILLITA 2/0</v>
      </c>
      <c r="C1047" s="39" t="s">
        <v>17</v>
      </c>
      <c r="D1047" s="378">
        <v>12</v>
      </c>
      <c r="E1047" s="369">
        <v>12</v>
      </c>
      <c r="F1047" s="369">
        <v>12</v>
      </c>
      <c r="G1047" s="369">
        <v>12</v>
      </c>
      <c r="H1047" s="240">
        <f>SUM(Tabla1321124[[#This Row],[PRIMER TRIMESTRE]:[CUARTO TRIMESTRE]])</f>
        <v>48</v>
      </c>
      <c r="I1047" s="17">
        <v>375</v>
      </c>
      <c r="J1047" s="17">
        <f t="shared" si="19"/>
        <v>18000</v>
      </c>
      <c r="K1047" s="175"/>
      <c r="L1047" s="16" t="s">
        <v>18</v>
      </c>
      <c r="M1047" s="16" t="s">
        <v>22</v>
      </c>
      <c r="N1047" s="16"/>
      <c r="O1047" s="243"/>
      <c r="P1047" s="243"/>
      <c r="Q1047" s="243"/>
      <c r="R1047" s="243"/>
      <c r="S1047" s="243"/>
      <c r="T1047" s="243"/>
      <c r="U1047" s="243"/>
      <c r="V1047" s="243"/>
      <c r="W1047" s="243"/>
      <c r="X1047" s="243"/>
      <c r="Y1047" s="243"/>
      <c r="Z1047" s="243"/>
      <c r="AA1047" s="243"/>
      <c r="AB1047" s="243"/>
      <c r="AC1047" s="243"/>
      <c r="AD1047" s="243"/>
      <c r="AE1047" s="243"/>
      <c r="AF1047" s="243"/>
      <c r="AG1047" s="243"/>
      <c r="AH1047" s="243"/>
      <c r="AI1047" s="243"/>
      <c r="AJ1047" s="243"/>
      <c r="AK1047" s="243"/>
      <c r="AL1047" s="243"/>
      <c r="AM1047" s="243"/>
      <c r="AN1047" s="243"/>
      <c r="AO1047" s="243"/>
      <c r="AP1047" s="243"/>
      <c r="AQ1047" s="243"/>
      <c r="AR1047" s="243"/>
      <c r="AS1047" s="243"/>
      <c r="AT1047" s="243"/>
      <c r="AU1047" s="243"/>
      <c r="AV1047" s="243"/>
      <c r="AW1047" s="243"/>
      <c r="AX1047" s="243"/>
      <c r="AY1047" s="243"/>
      <c r="AZ1047" s="243"/>
      <c r="BA1047" s="243"/>
      <c r="BB1047" s="243"/>
      <c r="BC1047" s="243"/>
      <c r="BD1047" s="243"/>
      <c r="BE1047" s="243"/>
      <c r="BF1047" s="243"/>
      <c r="BG1047" s="243"/>
      <c r="BH1047" s="243"/>
      <c r="BI1047" s="243"/>
      <c r="BJ1047" s="243"/>
      <c r="BK1047" s="243"/>
      <c r="BL1047" s="243"/>
      <c r="BM1047" s="243"/>
      <c r="BN1047" s="243"/>
      <c r="BO1047" s="243"/>
      <c r="BP1047" s="243"/>
      <c r="BQ1047" s="243"/>
      <c r="BR1047" s="243"/>
      <c r="BS1047" s="243"/>
    </row>
    <row r="1048" spans="1:71" s="12" customFormat="1" ht="41.25" customHeight="1">
      <c r="A1048" s="178" t="s">
        <v>96</v>
      </c>
      <c r="B1048" s="80" t="str">
        <f>+UPPER('[1]PACC 2017'!$B$1048)</f>
        <v>CONECTORES DE COBRE TIPO H-2/0</v>
      </c>
      <c r="C1048" s="39" t="s">
        <v>17</v>
      </c>
      <c r="D1048" s="378">
        <v>12</v>
      </c>
      <c r="E1048" s="369">
        <v>12</v>
      </c>
      <c r="F1048" s="369">
        <v>12</v>
      </c>
      <c r="G1048" s="369">
        <v>12</v>
      </c>
      <c r="H1048" s="240">
        <f>SUM(Tabla1321124[[#This Row],[PRIMER TRIMESTRE]:[CUARTO TRIMESTRE]])</f>
        <v>48</v>
      </c>
      <c r="I1048" s="17">
        <v>410</v>
      </c>
      <c r="J1048" s="17">
        <f t="shared" si="19"/>
        <v>19680</v>
      </c>
      <c r="K1048" s="175"/>
      <c r="L1048" s="16" t="s">
        <v>18</v>
      </c>
      <c r="M1048" s="16" t="s">
        <v>22</v>
      </c>
      <c r="N1048" s="16"/>
      <c r="O1048" s="243"/>
      <c r="P1048" s="243"/>
      <c r="Q1048" s="243"/>
      <c r="R1048" s="243"/>
      <c r="S1048" s="243"/>
      <c r="T1048" s="243"/>
      <c r="U1048" s="243"/>
      <c r="V1048" s="243"/>
      <c r="W1048" s="243"/>
      <c r="X1048" s="243"/>
      <c r="Y1048" s="243"/>
      <c r="Z1048" s="243"/>
      <c r="AA1048" s="243"/>
      <c r="AB1048" s="243"/>
      <c r="AC1048" s="243"/>
      <c r="AD1048" s="243"/>
      <c r="AE1048" s="243"/>
      <c r="AF1048" s="243"/>
      <c r="AG1048" s="243"/>
      <c r="AH1048" s="243"/>
      <c r="AI1048" s="243"/>
      <c r="AJ1048" s="243"/>
      <c r="AK1048" s="243"/>
      <c r="AL1048" s="243"/>
      <c r="AM1048" s="243"/>
      <c r="AN1048" s="243"/>
      <c r="AO1048" s="243"/>
      <c r="AP1048" s="243"/>
      <c r="AQ1048" s="243"/>
      <c r="AR1048" s="243"/>
      <c r="AS1048" s="243"/>
      <c r="AT1048" s="243"/>
      <c r="AU1048" s="243"/>
      <c r="AV1048" s="243"/>
      <c r="AW1048" s="243"/>
      <c r="AX1048" s="243"/>
      <c r="AY1048" s="243"/>
      <c r="AZ1048" s="243"/>
      <c r="BA1048" s="243"/>
      <c r="BB1048" s="243"/>
      <c r="BC1048" s="243"/>
      <c r="BD1048" s="243"/>
      <c r="BE1048" s="243"/>
      <c r="BF1048" s="243"/>
      <c r="BG1048" s="243"/>
      <c r="BH1048" s="243"/>
      <c r="BI1048" s="243"/>
      <c r="BJ1048" s="243"/>
      <c r="BK1048" s="243"/>
      <c r="BL1048" s="243"/>
      <c r="BM1048" s="243"/>
      <c r="BN1048" s="243"/>
      <c r="BO1048" s="243"/>
      <c r="BP1048" s="243"/>
      <c r="BQ1048" s="243"/>
      <c r="BR1048" s="243"/>
      <c r="BS1048" s="243"/>
    </row>
    <row r="1049" spans="1:71" s="12" customFormat="1" ht="41.25" customHeight="1">
      <c r="A1049" s="178" t="s">
        <v>96</v>
      </c>
      <c r="B1049" s="80" t="str">
        <f>+UPPER('[1]PACC 2017'!$B$1049)</f>
        <v>CONECTORES PARA TERMINALES 4/0</v>
      </c>
      <c r="C1049" s="39" t="s">
        <v>17</v>
      </c>
      <c r="D1049" s="369">
        <v>7</v>
      </c>
      <c r="E1049" s="369">
        <v>6</v>
      </c>
      <c r="F1049" s="369">
        <v>6</v>
      </c>
      <c r="G1049" s="369">
        <v>6</v>
      </c>
      <c r="H1049" s="240">
        <f>SUM(Tabla1321124[[#This Row],[PRIMER TRIMESTRE]:[CUARTO TRIMESTRE]])</f>
        <v>25</v>
      </c>
      <c r="I1049" s="17">
        <v>475</v>
      </c>
      <c r="J1049" s="17">
        <f t="shared" si="19"/>
        <v>11875</v>
      </c>
      <c r="K1049" s="175"/>
      <c r="L1049" s="16" t="s">
        <v>18</v>
      </c>
      <c r="M1049" s="16" t="s">
        <v>22</v>
      </c>
      <c r="N1049" s="16"/>
      <c r="O1049" s="243"/>
      <c r="P1049" s="243"/>
      <c r="Q1049" s="243"/>
      <c r="R1049" s="243"/>
      <c r="S1049" s="243"/>
      <c r="T1049" s="243"/>
      <c r="U1049" s="243"/>
      <c r="V1049" s="243"/>
      <c r="W1049" s="243"/>
      <c r="X1049" s="243"/>
      <c r="Y1049" s="243"/>
      <c r="Z1049" s="243"/>
      <c r="AA1049" s="243"/>
      <c r="AB1049" s="243"/>
      <c r="AC1049" s="243"/>
      <c r="AD1049" s="243"/>
      <c r="AE1049" s="243"/>
      <c r="AF1049" s="243"/>
      <c r="AG1049" s="243"/>
      <c r="AH1049" s="243"/>
      <c r="AI1049" s="243"/>
      <c r="AJ1049" s="243"/>
      <c r="AK1049" s="243"/>
      <c r="AL1049" s="243"/>
      <c r="AM1049" s="243"/>
      <c r="AN1049" s="243"/>
      <c r="AO1049" s="243"/>
      <c r="AP1049" s="243"/>
      <c r="AQ1049" s="243"/>
      <c r="AR1049" s="243"/>
      <c r="AS1049" s="243"/>
      <c r="AT1049" s="243"/>
      <c r="AU1049" s="243"/>
      <c r="AV1049" s="243"/>
      <c r="AW1049" s="243"/>
      <c r="AX1049" s="243"/>
      <c r="AY1049" s="243"/>
      <c r="AZ1049" s="243"/>
      <c r="BA1049" s="243"/>
      <c r="BB1049" s="243"/>
      <c r="BC1049" s="243"/>
      <c r="BD1049" s="243"/>
      <c r="BE1049" s="243"/>
      <c r="BF1049" s="243"/>
      <c r="BG1049" s="243"/>
      <c r="BH1049" s="243"/>
      <c r="BI1049" s="243"/>
      <c r="BJ1049" s="243"/>
      <c r="BK1049" s="243"/>
      <c r="BL1049" s="243"/>
      <c r="BM1049" s="243"/>
      <c r="BN1049" s="243"/>
      <c r="BO1049" s="243"/>
      <c r="BP1049" s="243"/>
      <c r="BQ1049" s="243"/>
      <c r="BR1049" s="243"/>
      <c r="BS1049" s="243"/>
    </row>
    <row r="1050" spans="1:71" s="12" customFormat="1" ht="41.25" customHeight="1">
      <c r="A1050" s="178" t="s">
        <v>96</v>
      </c>
      <c r="B1050" s="80" t="str">
        <f>+UPPER('[1]PACC 2017'!$B$1050)</f>
        <v>CONECTORES PARA TERMINALES 500MCM</v>
      </c>
      <c r="C1050" s="39" t="s">
        <v>17</v>
      </c>
      <c r="D1050" s="369">
        <v>7</v>
      </c>
      <c r="E1050" s="369">
        <v>6</v>
      </c>
      <c r="F1050" s="369">
        <v>6</v>
      </c>
      <c r="G1050" s="369">
        <v>6</v>
      </c>
      <c r="H1050" s="240">
        <f>SUM(Tabla1321124[[#This Row],[PRIMER TRIMESTRE]:[CUARTO TRIMESTRE]])</f>
        <v>25</v>
      </c>
      <c r="I1050" s="17">
        <v>5510</v>
      </c>
      <c r="J1050" s="17">
        <f t="shared" si="19"/>
        <v>137750</v>
      </c>
      <c r="K1050" s="175"/>
      <c r="L1050" s="16" t="s">
        <v>18</v>
      </c>
      <c r="M1050" s="16" t="s">
        <v>22</v>
      </c>
      <c r="N1050" s="16"/>
      <c r="O1050" s="243"/>
      <c r="P1050" s="243"/>
      <c r="Q1050" s="243"/>
      <c r="R1050" s="243"/>
      <c r="S1050" s="243"/>
      <c r="T1050" s="243"/>
      <c r="U1050" s="243"/>
      <c r="V1050" s="243"/>
      <c r="W1050" s="243"/>
      <c r="X1050" s="243"/>
      <c r="Y1050" s="243"/>
      <c r="Z1050" s="243"/>
      <c r="AA1050" s="243"/>
      <c r="AB1050" s="243"/>
      <c r="AC1050" s="243"/>
      <c r="AD1050" s="243"/>
      <c r="AE1050" s="243"/>
      <c r="AF1050" s="243"/>
      <c r="AG1050" s="243"/>
      <c r="AH1050" s="243"/>
      <c r="AI1050" s="243"/>
      <c r="AJ1050" s="243"/>
      <c r="AK1050" s="243"/>
      <c r="AL1050" s="243"/>
      <c r="AM1050" s="243"/>
      <c r="AN1050" s="243"/>
      <c r="AO1050" s="243"/>
      <c r="AP1050" s="243"/>
      <c r="AQ1050" s="243"/>
      <c r="AR1050" s="243"/>
      <c r="AS1050" s="243"/>
      <c r="AT1050" s="243"/>
      <c r="AU1050" s="243"/>
      <c r="AV1050" s="243"/>
      <c r="AW1050" s="243"/>
      <c r="AX1050" s="243"/>
      <c r="AY1050" s="243"/>
      <c r="AZ1050" s="243"/>
      <c r="BA1050" s="243"/>
      <c r="BB1050" s="243"/>
      <c r="BC1050" s="243"/>
      <c r="BD1050" s="243"/>
      <c r="BE1050" s="243"/>
      <c r="BF1050" s="243"/>
      <c r="BG1050" s="243"/>
      <c r="BH1050" s="243"/>
      <c r="BI1050" s="243"/>
      <c r="BJ1050" s="243"/>
      <c r="BK1050" s="243"/>
      <c r="BL1050" s="243"/>
      <c r="BM1050" s="243"/>
      <c r="BN1050" s="243"/>
      <c r="BO1050" s="243"/>
      <c r="BP1050" s="243"/>
      <c r="BQ1050" s="243"/>
      <c r="BR1050" s="243"/>
      <c r="BS1050" s="243"/>
    </row>
    <row r="1051" spans="1:71" s="12" customFormat="1" ht="41.25" customHeight="1">
      <c r="A1051" s="178" t="s">
        <v>96</v>
      </c>
      <c r="B1051" s="80" t="str">
        <f>+UPPER('[1]PACC 2017'!$B$1051)</f>
        <v>CORREAS TAIRRAT DE  1/4</v>
      </c>
      <c r="C1051" s="39" t="s">
        <v>17</v>
      </c>
      <c r="D1051" s="378">
        <v>24</v>
      </c>
      <c r="E1051" s="369">
        <v>24</v>
      </c>
      <c r="F1051" s="369">
        <v>24</v>
      </c>
      <c r="G1051" s="369">
        <v>24</v>
      </c>
      <c r="H1051" s="240">
        <f>SUM(Tabla1321124[[#This Row],[PRIMER TRIMESTRE]:[CUARTO TRIMESTRE]])</f>
        <v>96</v>
      </c>
      <c r="I1051" s="17">
        <v>1780</v>
      </c>
      <c r="J1051" s="17">
        <f t="shared" si="19"/>
        <v>170880</v>
      </c>
      <c r="K1051" s="175"/>
      <c r="L1051" s="16" t="s">
        <v>18</v>
      </c>
      <c r="M1051" s="16" t="s">
        <v>22</v>
      </c>
      <c r="N1051" s="16"/>
      <c r="O1051" s="243"/>
      <c r="P1051" s="243"/>
      <c r="Q1051" s="243"/>
      <c r="R1051" s="243"/>
      <c r="S1051" s="243"/>
      <c r="T1051" s="243"/>
      <c r="U1051" s="243"/>
      <c r="V1051" s="243"/>
      <c r="W1051" s="243"/>
      <c r="X1051" s="243"/>
      <c r="Y1051" s="243"/>
      <c r="Z1051" s="243"/>
      <c r="AA1051" s="243"/>
      <c r="AB1051" s="243"/>
      <c r="AC1051" s="243"/>
      <c r="AD1051" s="243"/>
      <c r="AE1051" s="243"/>
      <c r="AF1051" s="243"/>
      <c r="AG1051" s="243"/>
      <c r="AH1051" s="243"/>
      <c r="AI1051" s="243"/>
      <c r="AJ1051" s="243"/>
      <c r="AK1051" s="243"/>
      <c r="AL1051" s="243"/>
      <c r="AM1051" s="243"/>
      <c r="AN1051" s="243"/>
      <c r="AO1051" s="243"/>
      <c r="AP1051" s="243"/>
      <c r="AQ1051" s="243"/>
      <c r="AR1051" s="243"/>
      <c r="AS1051" s="243"/>
      <c r="AT1051" s="243"/>
      <c r="AU1051" s="243"/>
      <c r="AV1051" s="243"/>
      <c r="AW1051" s="243"/>
      <c r="AX1051" s="243"/>
      <c r="AY1051" s="243"/>
      <c r="AZ1051" s="243"/>
      <c r="BA1051" s="243"/>
      <c r="BB1051" s="243"/>
      <c r="BC1051" s="243"/>
      <c r="BD1051" s="243"/>
      <c r="BE1051" s="243"/>
      <c r="BF1051" s="243"/>
      <c r="BG1051" s="243"/>
      <c r="BH1051" s="243"/>
      <c r="BI1051" s="243"/>
      <c r="BJ1051" s="243"/>
      <c r="BK1051" s="243"/>
      <c r="BL1051" s="243"/>
      <c r="BM1051" s="243"/>
      <c r="BN1051" s="243"/>
      <c r="BO1051" s="243"/>
      <c r="BP1051" s="243"/>
      <c r="BQ1051" s="243"/>
      <c r="BR1051" s="243"/>
      <c r="BS1051" s="243"/>
    </row>
    <row r="1052" spans="1:71" s="12" customFormat="1" ht="41.25" customHeight="1">
      <c r="A1052" s="178" t="s">
        <v>1676</v>
      </c>
      <c r="B1052" s="80" t="str">
        <f>+UPPER('[1]PACC 2017'!$B$1052)</f>
        <v>TAIRRAT DE 1  1/4"</v>
      </c>
      <c r="C1052" s="39" t="s">
        <v>17</v>
      </c>
      <c r="D1052" s="378">
        <v>20</v>
      </c>
      <c r="E1052" s="369">
        <v>10</v>
      </c>
      <c r="F1052" s="369">
        <v>10</v>
      </c>
      <c r="G1052" s="369">
        <v>10</v>
      </c>
      <c r="H1052" s="240">
        <f>SUM(Tabla1321124[[#This Row],[PRIMER TRIMESTRE]:[CUARTO TRIMESTRE]])</f>
        <v>50</v>
      </c>
      <c r="I1052" s="17">
        <v>98</v>
      </c>
      <c r="J1052" s="17">
        <f t="shared" si="19"/>
        <v>4900</v>
      </c>
      <c r="K1052" s="175"/>
      <c r="L1052" s="16" t="s">
        <v>18</v>
      </c>
      <c r="M1052" s="16" t="s">
        <v>22</v>
      </c>
      <c r="N1052" s="16"/>
      <c r="O1052" s="243"/>
      <c r="P1052" s="243"/>
      <c r="Q1052" s="243"/>
      <c r="R1052" s="243"/>
      <c r="S1052" s="243"/>
      <c r="T1052" s="243"/>
      <c r="U1052" s="243"/>
      <c r="V1052" s="243"/>
      <c r="W1052" s="243"/>
      <c r="X1052" s="243"/>
      <c r="Y1052" s="243"/>
      <c r="Z1052" s="243"/>
      <c r="AA1052" s="243"/>
      <c r="AB1052" s="243"/>
      <c r="AC1052" s="243"/>
      <c r="AD1052" s="243"/>
      <c r="AE1052" s="243"/>
      <c r="AF1052" s="243"/>
      <c r="AG1052" s="243"/>
      <c r="AH1052" s="243"/>
      <c r="AI1052" s="243"/>
      <c r="AJ1052" s="243"/>
      <c r="AK1052" s="243"/>
      <c r="AL1052" s="243"/>
      <c r="AM1052" s="243"/>
      <c r="AN1052" s="243"/>
      <c r="AO1052" s="243"/>
      <c r="AP1052" s="243"/>
      <c r="AQ1052" s="243"/>
      <c r="AR1052" s="243"/>
      <c r="AS1052" s="243"/>
      <c r="AT1052" s="243"/>
      <c r="AU1052" s="243"/>
      <c r="AV1052" s="243"/>
      <c r="AW1052" s="243"/>
      <c r="AX1052" s="243"/>
      <c r="AY1052" s="243"/>
      <c r="AZ1052" s="243"/>
      <c r="BA1052" s="243"/>
      <c r="BB1052" s="243"/>
      <c r="BC1052" s="243"/>
      <c r="BD1052" s="243"/>
      <c r="BE1052" s="243"/>
      <c r="BF1052" s="243"/>
      <c r="BG1052" s="243"/>
      <c r="BH1052" s="243"/>
      <c r="BI1052" s="243"/>
      <c r="BJ1052" s="243"/>
      <c r="BK1052" s="243"/>
      <c r="BL1052" s="243"/>
      <c r="BM1052" s="243"/>
      <c r="BN1052" s="243"/>
      <c r="BO1052" s="243"/>
      <c r="BP1052" s="243"/>
      <c r="BQ1052" s="243"/>
      <c r="BR1052" s="243"/>
      <c r="BS1052" s="243"/>
    </row>
    <row r="1053" spans="1:71" s="12" customFormat="1" ht="41.25" customHeight="1">
      <c r="A1053" s="178" t="s">
        <v>96</v>
      </c>
      <c r="B1053" s="80" t="s">
        <v>1806</v>
      </c>
      <c r="C1053" s="39" t="s">
        <v>17</v>
      </c>
      <c r="D1053" s="378">
        <v>1</v>
      </c>
      <c r="E1053" s="369">
        <v>0</v>
      </c>
      <c r="F1053" s="369">
        <v>0</v>
      </c>
      <c r="G1053" s="369">
        <v>0</v>
      </c>
      <c r="H1053" s="240">
        <f>SUM(Tabla1321124[[#This Row],[PRIMER TRIMESTRE]:[CUARTO TRIMESTRE]])</f>
        <v>1</v>
      </c>
      <c r="I1053" s="17">
        <v>3500</v>
      </c>
      <c r="J1053" s="17">
        <f t="shared" si="19"/>
        <v>3500</v>
      </c>
      <c r="K1053" s="175"/>
      <c r="L1053" s="16" t="s">
        <v>18</v>
      </c>
      <c r="M1053" s="16" t="s">
        <v>22</v>
      </c>
      <c r="N1053" s="16"/>
      <c r="O1053" s="243"/>
      <c r="P1053" s="243"/>
      <c r="Q1053" s="243"/>
      <c r="R1053" s="243"/>
      <c r="S1053" s="243"/>
      <c r="T1053" s="243"/>
      <c r="U1053" s="243"/>
      <c r="V1053" s="243"/>
      <c r="W1053" s="243"/>
      <c r="X1053" s="243"/>
      <c r="Y1053" s="243"/>
      <c r="Z1053" s="243"/>
      <c r="AA1053" s="243"/>
      <c r="AB1053" s="243"/>
      <c r="AC1053" s="243"/>
      <c r="AD1053" s="243"/>
      <c r="AE1053" s="243"/>
      <c r="AF1053" s="243"/>
      <c r="AG1053" s="243"/>
      <c r="AH1053" s="243"/>
      <c r="AI1053" s="243"/>
      <c r="AJ1053" s="243"/>
      <c r="AK1053" s="243"/>
      <c r="AL1053" s="243"/>
      <c r="AM1053" s="243"/>
      <c r="AN1053" s="243"/>
      <c r="AO1053" s="243"/>
      <c r="AP1053" s="243"/>
      <c r="AQ1053" s="243"/>
      <c r="AR1053" s="243"/>
      <c r="AS1053" s="243"/>
      <c r="AT1053" s="243"/>
      <c r="AU1053" s="243"/>
      <c r="AV1053" s="243"/>
      <c r="AW1053" s="243"/>
      <c r="AX1053" s="243"/>
      <c r="AY1053" s="243"/>
      <c r="AZ1053" s="243"/>
      <c r="BA1053" s="243"/>
      <c r="BB1053" s="243"/>
      <c r="BC1053" s="243"/>
      <c r="BD1053" s="243"/>
      <c r="BE1053" s="243"/>
      <c r="BF1053" s="243"/>
      <c r="BG1053" s="243"/>
      <c r="BH1053" s="243"/>
      <c r="BI1053" s="243"/>
      <c r="BJ1053" s="243"/>
      <c r="BK1053" s="243"/>
      <c r="BL1053" s="243"/>
      <c r="BM1053" s="243"/>
      <c r="BN1053" s="243"/>
      <c r="BO1053" s="243"/>
      <c r="BP1053" s="243"/>
      <c r="BQ1053" s="243"/>
      <c r="BR1053" s="243"/>
      <c r="BS1053" s="243"/>
    </row>
    <row r="1054" spans="1:71" s="12" customFormat="1" ht="41.25" customHeight="1">
      <c r="A1054" s="178" t="s">
        <v>96</v>
      </c>
      <c r="B1054" s="376" t="str">
        <f ca="1">+UPPER(Tabla1321124[[#This Row],[DESCRIPCIÓN DE LA COMPRA O CONTRATACIÓN]])</f>
        <v>SPRAI PENETRANTE</v>
      </c>
      <c r="C1054" s="39" t="s">
        <v>17</v>
      </c>
      <c r="D1054" s="369">
        <v>1</v>
      </c>
      <c r="E1054" s="369">
        <v>1</v>
      </c>
      <c r="F1054" s="369">
        <v>1</v>
      </c>
      <c r="G1054" s="369">
        <v>1</v>
      </c>
      <c r="H1054" s="240">
        <f>SUM(Tabla1321124[[#This Row],[PRIMER TRIMESTRE]:[CUARTO TRIMESTRE]])</f>
        <v>4</v>
      </c>
      <c r="I1054" s="17">
        <v>250</v>
      </c>
      <c r="J1054" s="17">
        <f t="shared" si="19"/>
        <v>1000</v>
      </c>
      <c r="K1054" s="175"/>
      <c r="L1054" s="16" t="s">
        <v>18</v>
      </c>
      <c r="M1054" s="16" t="s">
        <v>22</v>
      </c>
      <c r="N1054" s="16"/>
      <c r="O1054" s="243"/>
      <c r="P1054" s="243"/>
      <c r="Q1054" s="243"/>
      <c r="R1054" s="243"/>
      <c r="S1054" s="243"/>
      <c r="T1054" s="243"/>
      <c r="U1054" s="243"/>
      <c r="V1054" s="243"/>
      <c r="W1054" s="243"/>
      <c r="X1054" s="243"/>
      <c r="Y1054" s="243"/>
      <c r="Z1054" s="243"/>
      <c r="AA1054" s="243"/>
      <c r="AB1054" s="243"/>
      <c r="AC1054" s="243"/>
      <c r="AD1054" s="243"/>
      <c r="AE1054" s="243"/>
      <c r="AF1054" s="243"/>
      <c r="AG1054" s="243"/>
      <c r="AH1054" s="243"/>
      <c r="AI1054" s="243"/>
      <c r="AJ1054" s="243"/>
      <c r="AK1054" s="243"/>
      <c r="AL1054" s="243"/>
      <c r="AM1054" s="243"/>
      <c r="AN1054" s="243"/>
      <c r="AO1054" s="243"/>
      <c r="AP1054" s="243"/>
      <c r="AQ1054" s="243"/>
      <c r="AR1054" s="243"/>
      <c r="AS1054" s="243"/>
      <c r="AT1054" s="243"/>
      <c r="AU1054" s="243"/>
      <c r="AV1054" s="243"/>
      <c r="AW1054" s="243"/>
      <c r="AX1054" s="243"/>
      <c r="AY1054" s="243"/>
      <c r="AZ1054" s="243"/>
      <c r="BA1054" s="243"/>
      <c r="BB1054" s="243"/>
      <c r="BC1054" s="243"/>
      <c r="BD1054" s="243"/>
      <c r="BE1054" s="243"/>
      <c r="BF1054" s="243"/>
      <c r="BG1054" s="243"/>
      <c r="BH1054" s="243"/>
      <c r="BI1054" s="243"/>
      <c r="BJ1054" s="243"/>
      <c r="BK1054" s="243"/>
      <c r="BL1054" s="243"/>
      <c r="BM1054" s="243"/>
      <c r="BN1054" s="243"/>
      <c r="BO1054" s="243"/>
      <c r="BP1054" s="243"/>
      <c r="BQ1054" s="243"/>
      <c r="BR1054" s="243"/>
      <c r="BS1054" s="243"/>
    </row>
    <row r="1055" spans="1:71" s="12" customFormat="1" ht="41.25" customHeight="1">
      <c r="A1055" s="178" t="s">
        <v>96</v>
      </c>
      <c r="B1055" s="80" t="s">
        <v>1832</v>
      </c>
      <c r="C1055" s="39" t="s">
        <v>17</v>
      </c>
      <c r="D1055" s="378">
        <v>6</v>
      </c>
      <c r="E1055" s="369">
        <v>0</v>
      </c>
      <c r="F1055" s="369">
        <v>2</v>
      </c>
      <c r="G1055" s="369">
        <v>0</v>
      </c>
      <c r="H1055" s="240">
        <f>SUM(Tabla1321124[[#This Row],[PRIMER TRIMESTRE]:[CUARTO TRIMESTRE]])</f>
        <v>8</v>
      </c>
      <c r="I1055" s="17">
        <v>570</v>
      </c>
      <c r="J1055" s="17">
        <f t="shared" si="19"/>
        <v>4560</v>
      </c>
      <c r="K1055" s="175"/>
      <c r="L1055" s="16" t="s">
        <v>18</v>
      </c>
      <c r="M1055" s="16" t="s">
        <v>22</v>
      </c>
      <c r="N1055" s="16"/>
      <c r="O1055" s="243"/>
      <c r="P1055" s="243"/>
      <c r="Q1055" s="243"/>
      <c r="R1055" s="243"/>
      <c r="S1055" s="243"/>
      <c r="T1055" s="243"/>
      <c r="U1055" s="243"/>
      <c r="V1055" s="243"/>
      <c r="W1055" s="243"/>
      <c r="X1055" s="243"/>
      <c r="Y1055" s="243"/>
      <c r="Z1055" s="243"/>
      <c r="AA1055" s="243"/>
      <c r="AB1055" s="243"/>
      <c r="AC1055" s="243"/>
      <c r="AD1055" s="243"/>
      <c r="AE1055" s="243"/>
      <c r="AF1055" s="243"/>
      <c r="AG1055" s="243"/>
      <c r="AH1055" s="243"/>
      <c r="AI1055" s="243"/>
      <c r="AJ1055" s="243"/>
      <c r="AK1055" s="243"/>
      <c r="AL1055" s="243"/>
      <c r="AM1055" s="243"/>
      <c r="AN1055" s="243"/>
      <c r="AO1055" s="243"/>
      <c r="AP1055" s="243"/>
      <c r="AQ1055" s="243"/>
      <c r="AR1055" s="243"/>
      <c r="AS1055" s="243"/>
      <c r="AT1055" s="243"/>
      <c r="AU1055" s="243"/>
      <c r="AV1055" s="243"/>
      <c r="AW1055" s="243"/>
      <c r="AX1055" s="243"/>
      <c r="AY1055" s="243"/>
      <c r="AZ1055" s="243"/>
      <c r="BA1055" s="243"/>
      <c r="BB1055" s="243"/>
      <c r="BC1055" s="243"/>
      <c r="BD1055" s="243"/>
      <c r="BE1055" s="243"/>
      <c r="BF1055" s="243"/>
      <c r="BG1055" s="243"/>
      <c r="BH1055" s="243"/>
      <c r="BI1055" s="243"/>
      <c r="BJ1055" s="243"/>
      <c r="BK1055" s="243"/>
      <c r="BL1055" s="243"/>
      <c r="BM1055" s="243"/>
      <c r="BN1055" s="243"/>
      <c r="BO1055" s="243"/>
      <c r="BP1055" s="243"/>
      <c r="BQ1055" s="243"/>
      <c r="BR1055" s="243"/>
      <c r="BS1055" s="243"/>
    </row>
    <row r="1056" spans="1:71" s="12" customFormat="1" ht="41.25" customHeight="1">
      <c r="A1056" s="178" t="s">
        <v>96</v>
      </c>
      <c r="B1056" s="80" t="s">
        <v>1833</v>
      </c>
      <c r="C1056" s="39" t="s">
        <v>17</v>
      </c>
      <c r="D1056" s="378">
        <v>12</v>
      </c>
      <c r="E1056" s="369">
        <v>4</v>
      </c>
      <c r="F1056" s="369">
        <v>4</v>
      </c>
      <c r="G1056" s="369">
        <v>4</v>
      </c>
      <c r="H1056" s="240">
        <f>SUM(Tabla1321124[[#This Row],[PRIMER TRIMESTRE]:[CUARTO TRIMESTRE]])</f>
        <v>24</v>
      </c>
      <c r="I1056" s="17">
        <v>570</v>
      </c>
      <c r="J1056" s="17">
        <f t="shared" si="19"/>
        <v>13680</v>
      </c>
      <c r="K1056" s="175"/>
      <c r="L1056" s="16" t="s">
        <v>18</v>
      </c>
      <c r="M1056" s="16" t="s">
        <v>22</v>
      </c>
      <c r="N1056" s="16"/>
      <c r="O1056" s="243"/>
      <c r="P1056" s="243"/>
      <c r="Q1056" s="243"/>
      <c r="R1056" s="243"/>
      <c r="S1056" s="243"/>
      <c r="T1056" s="243"/>
      <c r="U1056" s="243"/>
      <c r="V1056" s="243"/>
      <c r="W1056" s="243"/>
      <c r="X1056" s="243"/>
      <c r="Y1056" s="243"/>
      <c r="Z1056" s="243"/>
      <c r="AA1056" s="243"/>
      <c r="AB1056" s="243"/>
      <c r="AC1056" s="243"/>
      <c r="AD1056" s="243"/>
      <c r="AE1056" s="243"/>
      <c r="AF1056" s="243"/>
      <c r="AG1056" s="243"/>
      <c r="AH1056" s="243"/>
      <c r="AI1056" s="243"/>
      <c r="AJ1056" s="243"/>
      <c r="AK1056" s="243"/>
      <c r="AL1056" s="243"/>
      <c r="AM1056" s="243"/>
      <c r="AN1056" s="243"/>
      <c r="AO1056" s="243"/>
      <c r="AP1056" s="243"/>
      <c r="AQ1056" s="243"/>
      <c r="AR1056" s="243"/>
      <c r="AS1056" s="243"/>
      <c r="AT1056" s="243"/>
      <c r="AU1056" s="243"/>
      <c r="AV1056" s="243"/>
      <c r="AW1056" s="243"/>
      <c r="AX1056" s="243"/>
      <c r="AY1056" s="243"/>
      <c r="AZ1056" s="243"/>
      <c r="BA1056" s="243"/>
      <c r="BB1056" s="243"/>
      <c r="BC1056" s="243"/>
      <c r="BD1056" s="243"/>
      <c r="BE1056" s="243"/>
      <c r="BF1056" s="243"/>
      <c r="BG1056" s="243"/>
      <c r="BH1056" s="243"/>
      <c r="BI1056" s="243"/>
      <c r="BJ1056" s="243"/>
      <c r="BK1056" s="243"/>
      <c r="BL1056" s="243"/>
      <c r="BM1056" s="243"/>
      <c r="BN1056" s="243"/>
      <c r="BO1056" s="243"/>
      <c r="BP1056" s="243"/>
      <c r="BQ1056" s="243"/>
      <c r="BR1056" s="243"/>
      <c r="BS1056" s="243"/>
    </row>
    <row r="1057" spans="1:71" s="12" customFormat="1" ht="41.25" customHeight="1">
      <c r="A1057" s="178" t="s">
        <v>96</v>
      </c>
      <c r="B1057" s="80" t="s">
        <v>1834</v>
      </c>
      <c r="C1057" s="39" t="s">
        <v>17</v>
      </c>
      <c r="D1057" s="378">
        <v>5</v>
      </c>
      <c r="E1057" s="369">
        <v>5</v>
      </c>
      <c r="F1057" s="369">
        <v>5</v>
      </c>
      <c r="G1057" s="369">
        <v>5</v>
      </c>
      <c r="H1057" s="240">
        <f>SUM(Tabla1321124[[#This Row],[PRIMER TRIMESTRE]:[CUARTO TRIMESTRE]])</f>
        <v>20</v>
      </c>
      <c r="I1057" s="17">
        <v>315</v>
      </c>
      <c r="J1057" s="17">
        <f t="shared" si="19"/>
        <v>6300</v>
      </c>
      <c r="K1057" s="175"/>
      <c r="L1057" s="16" t="s">
        <v>18</v>
      </c>
      <c r="M1057" s="16" t="s">
        <v>22</v>
      </c>
      <c r="N1057" s="16"/>
      <c r="O1057" s="243"/>
      <c r="P1057" s="243"/>
      <c r="Q1057" s="243"/>
      <c r="R1057" s="243"/>
      <c r="S1057" s="243"/>
      <c r="T1057" s="243"/>
      <c r="U1057" s="243"/>
      <c r="V1057" s="243"/>
      <c r="W1057" s="243"/>
      <c r="X1057" s="243"/>
      <c r="Y1057" s="243"/>
      <c r="Z1057" s="243"/>
      <c r="AA1057" s="243"/>
      <c r="AB1057" s="243"/>
      <c r="AC1057" s="243"/>
      <c r="AD1057" s="243"/>
      <c r="AE1057" s="243"/>
      <c r="AF1057" s="243"/>
      <c r="AG1057" s="243"/>
      <c r="AH1057" s="243"/>
      <c r="AI1057" s="243"/>
      <c r="AJ1057" s="243"/>
      <c r="AK1057" s="243"/>
      <c r="AL1057" s="243"/>
      <c r="AM1057" s="243"/>
      <c r="AN1057" s="243"/>
      <c r="AO1057" s="243"/>
      <c r="AP1057" s="243"/>
      <c r="AQ1057" s="243"/>
      <c r="AR1057" s="243"/>
      <c r="AS1057" s="243"/>
      <c r="AT1057" s="243"/>
      <c r="AU1057" s="243"/>
      <c r="AV1057" s="243"/>
      <c r="AW1057" s="243"/>
      <c r="AX1057" s="243"/>
      <c r="AY1057" s="243"/>
      <c r="AZ1057" s="243"/>
      <c r="BA1057" s="243"/>
      <c r="BB1057" s="243"/>
      <c r="BC1057" s="243"/>
      <c r="BD1057" s="243"/>
      <c r="BE1057" s="243"/>
      <c r="BF1057" s="243"/>
      <c r="BG1057" s="243"/>
      <c r="BH1057" s="243"/>
      <c r="BI1057" s="243"/>
      <c r="BJ1057" s="243"/>
      <c r="BK1057" s="243"/>
      <c r="BL1057" s="243"/>
      <c r="BM1057" s="243"/>
      <c r="BN1057" s="243"/>
      <c r="BO1057" s="243"/>
      <c r="BP1057" s="243"/>
      <c r="BQ1057" s="243"/>
      <c r="BR1057" s="243"/>
      <c r="BS1057" s="243"/>
    </row>
    <row r="1058" spans="1:71" s="12" customFormat="1" ht="41.25" customHeight="1">
      <c r="A1058" s="178" t="s">
        <v>96</v>
      </c>
      <c r="B1058" s="80" t="s">
        <v>1835</v>
      </c>
      <c r="C1058" s="39" t="s">
        <v>17</v>
      </c>
      <c r="D1058" s="378">
        <v>2</v>
      </c>
      <c r="E1058" s="369">
        <v>1</v>
      </c>
      <c r="F1058" s="369">
        <v>1</v>
      </c>
      <c r="G1058" s="369">
        <v>1</v>
      </c>
      <c r="H1058" s="240">
        <f>SUM(Tabla1321124[[#This Row],[PRIMER TRIMESTRE]:[CUARTO TRIMESTRE]])</f>
        <v>5</v>
      </c>
      <c r="I1058" s="17">
        <v>315</v>
      </c>
      <c r="J1058" s="17">
        <f t="shared" si="19"/>
        <v>1575</v>
      </c>
      <c r="K1058" s="175"/>
      <c r="L1058" s="16" t="s">
        <v>18</v>
      </c>
      <c r="M1058" s="16" t="s">
        <v>22</v>
      </c>
      <c r="N1058" s="16"/>
      <c r="O1058" s="243"/>
      <c r="P1058" s="243"/>
      <c r="Q1058" s="243"/>
      <c r="R1058" s="243"/>
      <c r="S1058" s="243"/>
      <c r="T1058" s="243"/>
      <c r="U1058" s="243"/>
      <c r="V1058" s="243"/>
      <c r="W1058" s="243"/>
      <c r="X1058" s="243"/>
      <c r="Y1058" s="243"/>
      <c r="Z1058" s="243"/>
      <c r="AA1058" s="243"/>
      <c r="AB1058" s="243"/>
      <c r="AC1058" s="243"/>
      <c r="AD1058" s="243"/>
      <c r="AE1058" s="243"/>
      <c r="AF1058" s="243"/>
      <c r="AG1058" s="243"/>
      <c r="AH1058" s="243"/>
      <c r="AI1058" s="243"/>
      <c r="AJ1058" s="243"/>
      <c r="AK1058" s="243"/>
      <c r="AL1058" s="243"/>
      <c r="AM1058" s="243"/>
      <c r="AN1058" s="243"/>
      <c r="AO1058" s="243"/>
      <c r="AP1058" s="243"/>
      <c r="AQ1058" s="243"/>
      <c r="AR1058" s="243"/>
      <c r="AS1058" s="243"/>
      <c r="AT1058" s="243"/>
      <c r="AU1058" s="243"/>
      <c r="AV1058" s="243"/>
      <c r="AW1058" s="243"/>
      <c r="AX1058" s="243"/>
      <c r="AY1058" s="243"/>
      <c r="AZ1058" s="243"/>
      <c r="BA1058" s="243"/>
      <c r="BB1058" s="243"/>
      <c r="BC1058" s="243"/>
      <c r="BD1058" s="243"/>
      <c r="BE1058" s="243"/>
      <c r="BF1058" s="243"/>
      <c r="BG1058" s="243"/>
      <c r="BH1058" s="243"/>
      <c r="BI1058" s="243"/>
      <c r="BJ1058" s="243"/>
      <c r="BK1058" s="243"/>
      <c r="BL1058" s="243"/>
      <c r="BM1058" s="243"/>
      <c r="BN1058" s="243"/>
      <c r="BO1058" s="243"/>
      <c r="BP1058" s="243"/>
      <c r="BQ1058" s="243"/>
      <c r="BR1058" s="243"/>
      <c r="BS1058" s="243"/>
    </row>
    <row r="1059" spans="1:71" s="12" customFormat="1" ht="41.25" customHeight="1">
      <c r="A1059" s="178" t="s">
        <v>96</v>
      </c>
      <c r="B1059" s="80" t="s">
        <v>1836</v>
      </c>
      <c r="C1059" s="39" t="s">
        <v>17</v>
      </c>
      <c r="D1059" s="369">
        <v>1</v>
      </c>
      <c r="E1059" s="369">
        <v>0</v>
      </c>
      <c r="F1059" s="369">
        <v>0</v>
      </c>
      <c r="G1059" s="369">
        <v>0</v>
      </c>
      <c r="H1059" s="240">
        <f>SUM(Tabla1321124[[#This Row],[PRIMER TRIMESTRE]:[CUARTO TRIMESTRE]])</f>
        <v>1</v>
      </c>
      <c r="I1059" s="17">
        <v>3560</v>
      </c>
      <c r="J1059" s="17">
        <f t="shared" si="19"/>
        <v>3560</v>
      </c>
      <c r="K1059" s="175"/>
      <c r="L1059" s="16" t="s">
        <v>18</v>
      </c>
      <c r="M1059" s="16" t="s">
        <v>22</v>
      </c>
      <c r="N1059" s="16"/>
      <c r="O1059" s="243"/>
      <c r="P1059" s="243"/>
      <c r="Q1059" s="243"/>
      <c r="R1059" s="243"/>
      <c r="S1059" s="243"/>
      <c r="T1059" s="243"/>
      <c r="U1059" s="243"/>
      <c r="V1059" s="243"/>
      <c r="W1059" s="243"/>
      <c r="X1059" s="243"/>
      <c r="Y1059" s="243"/>
      <c r="Z1059" s="243"/>
      <c r="AA1059" s="243"/>
      <c r="AB1059" s="243"/>
      <c r="AC1059" s="243"/>
      <c r="AD1059" s="243"/>
      <c r="AE1059" s="243"/>
      <c r="AF1059" s="243"/>
      <c r="AG1059" s="243"/>
      <c r="AH1059" s="243"/>
      <c r="AI1059" s="243"/>
      <c r="AJ1059" s="243"/>
      <c r="AK1059" s="243"/>
      <c r="AL1059" s="243"/>
      <c r="AM1059" s="243"/>
      <c r="AN1059" s="243"/>
      <c r="AO1059" s="243"/>
      <c r="AP1059" s="243"/>
      <c r="AQ1059" s="243"/>
      <c r="AR1059" s="243"/>
      <c r="AS1059" s="243"/>
      <c r="AT1059" s="243"/>
      <c r="AU1059" s="243"/>
      <c r="AV1059" s="243"/>
      <c r="AW1059" s="243"/>
      <c r="AX1059" s="243"/>
      <c r="AY1059" s="243"/>
      <c r="AZ1059" s="243"/>
      <c r="BA1059" s="243"/>
      <c r="BB1059" s="243"/>
      <c r="BC1059" s="243"/>
      <c r="BD1059" s="243"/>
      <c r="BE1059" s="243"/>
      <c r="BF1059" s="243"/>
      <c r="BG1059" s="243"/>
      <c r="BH1059" s="243"/>
      <c r="BI1059" s="243"/>
      <c r="BJ1059" s="243"/>
      <c r="BK1059" s="243"/>
      <c r="BL1059" s="243"/>
      <c r="BM1059" s="243"/>
      <c r="BN1059" s="243"/>
      <c r="BO1059" s="243"/>
      <c r="BP1059" s="243"/>
      <c r="BQ1059" s="243"/>
      <c r="BR1059" s="243"/>
      <c r="BS1059" s="243"/>
    </row>
    <row r="1060" spans="1:71" s="12" customFormat="1" ht="41.25" customHeight="1">
      <c r="A1060" s="178" t="s">
        <v>96</v>
      </c>
      <c r="B1060" s="80" t="s">
        <v>1837</v>
      </c>
      <c r="C1060" s="39" t="s">
        <v>17</v>
      </c>
      <c r="D1060" s="369">
        <v>2</v>
      </c>
      <c r="E1060" s="369">
        <v>2</v>
      </c>
      <c r="F1060" s="369">
        <v>2</v>
      </c>
      <c r="G1060" s="369">
        <v>2</v>
      </c>
      <c r="H1060" s="240">
        <f>SUM(Tabla1321124[[#This Row],[PRIMER TRIMESTRE]:[CUARTO TRIMESTRE]])</f>
        <v>8</v>
      </c>
      <c r="I1060" s="17">
        <v>175</v>
      </c>
      <c r="J1060" s="17">
        <f t="shared" si="19"/>
        <v>1400</v>
      </c>
      <c r="K1060" s="175"/>
      <c r="L1060" s="16" t="s">
        <v>18</v>
      </c>
      <c r="M1060" s="16" t="s">
        <v>22</v>
      </c>
      <c r="N1060" s="16"/>
      <c r="O1060" s="243"/>
      <c r="P1060" s="243"/>
      <c r="Q1060" s="243"/>
      <c r="R1060" s="243"/>
      <c r="S1060" s="243"/>
      <c r="T1060" s="243"/>
      <c r="U1060" s="243"/>
      <c r="V1060" s="243"/>
      <c r="W1060" s="243"/>
      <c r="X1060" s="243"/>
      <c r="Y1060" s="243"/>
      <c r="Z1060" s="243"/>
      <c r="AA1060" s="243"/>
      <c r="AB1060" s="243"/>
      <c r="AC1060" s="243"/>
      <c r="AD1060" s="243"/>
      <c r="AE1060" s="243"/>
      <c r="AF1060" s="243"/>
      <c r="AG1060" s="243"/>
      <c r="AH1060" s="243"/>
      <c r="AI1060" s="243"/>
      <c r="AJ1060" s="243"/>
      <c r="AK1060" s="243"/>
      <c r="AL1060" s="243"/>
      <c r="AM1060" s="243"/>
      <c r="AN1060" s="243"/>
      <c r="AO1060" s="243"/>
      <c r="AP1060" s="243"/>
      <c r="AQ1060" s="243"/>
      <c r="AR1060" s="243"/>
      <c r="AS1060" s="243"/>
      <c r="AT1060" s="243"/>
      <c r="AU1060" s="243"/>
      <c r="AV1060" s="243"/>
      <c r="AW1060" s="243"/>
      <c r="AX1060" s="243"/>
      <c r="AY1060" s="243"/>
      <c r="AZ1060" s="243"/>
      <c r="BA1060" s="243"/>
      <c r="BB1060" s="243"/>
      <c r="BC1060" s="243"/>
      <c r="BD1060" s="243"/>
      <c r="BE1060" s="243"/>
      <c r="BF1060" s="243"/>
      <c r="BG1060" s="243"/>
      <c r="BH1060" s="243"/>
      <c r="BI1060" s="243"/>
      <c r="BJ1060" s="243"/>
      <c r="BK1060" s="243"/>
      <c r="BL1060" s="243"/>
      <c r="BM1060" s="243"/>
      <c r="BN1060" s="243"/>
      <c r="BO1060" s="243"/>
      <c r="BP1060" s="243"/>
      <c r="BQ1060" s="243"/>
      <c r="BR1060" s="243"/>
      <c r="BS1060" s="243"/>
    </row>
    <row r="1061" spans="1:71" s="12" customFormat="1" ht="41.25" customHeight="1">
      <c r="A1061" s="178" t="s">
        <v>96</v>
      </c>
      <c r="B1061" s="376" t="str">
        <f ca="1">+UPPER(Tabla1321124[[#This Row],[DESCRIPCIÓN DE LA COMPRA O CONTRATACIÓN]])</f>
        <v>LOVEJOY #36405</v>
      </c>
      <c r="C1061" s="39" t="s">
        <v>17</v>
      </c>
      <c r="D1061" s="369">
        <v>2</v>
      </c>
      <c r="E1061" s="369">
        <v>0</v>
      </c>
      <c r="F1061" s="369">
        <v>1</v>
      </c>
      <c r="G1061" s="369">
        <v>0</v>
      </c>
      <c r="H1061" s="240">
        <f>SUM(Tabla1321124[[#This Row],[PRIMER TRIMESTRE]:[CUARTO TRIMESTRE]])</f>
        <v>3</v>
      </c>
      <c r="I1061" s="17">
        <v>3600</v>
      </c>
      <c r="J1061" s="17">
        <f t="shared" si="19"/>
        <v>10800</v>
      </c>
      <c r="K1061" s="175"/>
      <c r="L1061" s="16" t="s">
        <v>18</v>
      </c>
      <c r="M1061" s="16" t="s">
        <v>22</v>
      </c>
      <c r="N1061" s="16"/>
      <c r="O1061" s="243"/>
      <c r="P1061" s="243"/>
      <c r="Q1061" s="243"/>
      <c r="R1061" s="243"/>
      <c r="S1061" s="243"/>
      <c r="T1061" s="243"/>
      <c r="U1061" s="243"/>
      <c r="V1061" s="243"/>
      <c r="W1061" s="243"/>
      <c r="X1061" s="243"/>
      <c r="Y1061" s="243"/>
      <c r="Z1061" s="243"/>
      <c r="AA1061" s="243"/>
      <c r="AB1061" s="243"/>
      <c r="AC1061" s="243"/>
      <c r="AD1061" s="243"/>
      <c r="AE1061" s="243"/>
      <c r="AF1061" s="243"/>
      <c r="AG1061" s="243"/>
      <c r="AH1061" s="243"/>
      <c r="AI1061" s="243"/>
      <c r="AJ1061" s="243"/>
      <c r="AK1061" s="243"/>
      <c r="AL1061" s="243"/>
      <c r="AM1061" s="243"/>
      <c r="AN1061" s="243"/>
      <c r="AO1061" s="243"/>
      <c r="AP1061" s="243"/>
      <c r="AQ1061" s="243"/>
      <c r="AR1061" s="243"/>
      <c r="AS1061" s="243"/>
      <c r="AT1061" s="243"/>
      <c r="AU1061" s="243"/>
      <c r="AV1061" s="243"/>
      <c r="AW1061" s="243"/>
      <c r="AX1061" s="243"/>
      <c r="AY1061" s="243"/>
      <c r="AZ1061" s="243"/>
      <c r="BA1061" s="243"/>
      <c r="BB1061" s="243"/>
      <c r="BC1061" s="243"/>
      <c r="BD1061" s="243"/>
      <c r="BE1061" s="243"/>
      <c r="BF1061" s="243"/>
      <c r="BG1061" s="243"/>
      <c r="BH1061" s="243"/>
      <c r="BI1061" s="243"/>
      <c r="BJ1061" s="243"/>
      <c r="BK1061" s="243"/>
      <c r="BL1061" s="243"/>
      <c r="BM1061" s="243"/>
      <c r="BN1061" s="243"/>
      <c r="BO1061" s="243"/>
      <c r="BP1061" s="243"/>
      <c r="BQ1061" s="243"/>
      <c r="BR1061" s="243"/>
      <c r="BS1061" s="243"/>
    </row>
    <row r="1062" spans="1:71" s="12" customFormat="1" ht="41.25" customHeight="1">
      <c r="A1062" s="178" t="s">
        <v>96</v>
      </c>
      <c r="B1062" s="77" t="str">
        <f ca="1">+UPPER(Tabla1321124[[#This Row],[DESCRIPCIÓN DE LA COMPRA O CONTRATACIÓN]])</f>
        <v>CONECTORES #2, TIPO SILLITA, SENCILLO</v>
      </c>
      <c r="C1062" s="39" t="s">
        <v>17</v>
      </c>
      <c r="D1062" s="236">
        <v>500</v>
      </c>
      <c r="E1062" s="236">
        <v>130</v>
      </c>
      <c r="F1062" s="236">
        <v>135</v>
      </c>
      <c r="G1062" s="236">
        <v>135</v>
      </c>
      <c r="H1062" s="240">
        <f>SUM(Tabla1321124[[#This Row],[PRIMER TRIMESTRE]:[CUARTO TRIMESTRE]])</f>
        <v>900</v>
      </c>
      <c r="I1062" s="17">
        <v>110</v>
      </c>
      <c r="J1062" s="17">
        <f t="shared" si="19"/>
        <v>99000</v>
      </c>
      <c r="K1062" s="17"/>
      <c r="L1062" s="16" t="s">
        <v>18</v>
      </c>
      <c r="M1062" s="16" t="s">
        <v>22</v>
      </c>
      <c r="N1062" s="16"/>
      <c r="O1062" s="243"/>
      <c r="P1062" s="243"/>
      <c r="Q1062" s="243"/>
      <c r="R1062" s="243"/>
      <c r="S1062" s="243"/>
      <c r="T1062" s="243"/>
      <c r="U1062" s="243"/>
      <c r="V1062" s="243"/>
      <c r="W1062" s="243"/>
      <c r="X1062" s="243"/>
      <c r="Y1062" s="243"/>
      <c r="Z1062" s="243"/>
      <c r="AA1062" s="243"/>
      <c r="AB1062" s="243"/>
      <c r="AC1062" s="243"/>
      <c r="AD1062" s="243"/>
      <c r="AE1062" s="243"/>
      <c r="AF1062" s="243"/>
      <c r="AG1062" s="243"/>
      <c r="AH1062" s="243"/>
      <c r="AI1062" s="243"/>
      <c r="AJ1062" s="243"/>
      <c r="AK1062" s="243"/>
      <c r="AL1062" s="243"/>
      <c r="AM1062" s="243"/>
      <c r="AN1062" s="243"/>
      <c r="AO1062" s="243"/>
      <c r="AP1062" s="243"/>
      <c r="AQ1062" s="243"/>
      <c r="AR1062" s="243"/>
      <c r="AS1062" s="243"/>
      <c r="AT1062" s="243"/>
      <c r="AU1062" s="243"/>
      <c r="AV1062" s="243"/>
      <c r="AW1062" s="243"/>
      <c r="AX1062" s="243"/>
      <c r="AY1062" s="243"/>
      <c r="AZ1062" s="243"/>
      <c r="BA1062" s="243"/>
      <c r="BB1062" s="243"/>
      <c r="BC1062" s="243"/>
      <c r="BD1062" s="243"/>
      <c r="BE1062" s="243"/>
      <c r="BF1062" s="243"/>
      <c r="BG1062" s="243"/>
      <c r="BH1062" s="243"/>
      <c r="BI1062" s="243"/>
      <c r="BJ1062" s="243"/>
      <c r="BK1062" s="243"/>
      <c r="BL1062" s="243"/>
      <c r="BM1062" s="243"/>
      <c r="BN1062" s="243"/>
      <c r="BO1062" s="243"/>
      <c r="BP1062" s="243"/>
      <c r="BQ1062" s="243"/>
      <c r="BR1062" s="243"/>
      <c r="BS1062" s="243"/>
    </row>
    <row r="1063" spans="1:71" s="12" customFormat="1" ht="41.25" customHeight="1">
      <c r="A1063" s="178" t="s">
        <v>96</v>
      </c>
      <c r="B1063" s="77" t="str">
        <f ca="1">+UPPER(Tabla1321124[[#This Row],[DESCRIPCIÓN DE LA COMPRA O CONTRATACIÓN]])</f>
        <v>CONECTORES #2/0, TIPO SILLITA, SENCILLO</v>
      </c>
      <c r="C1063" s="39" t="s">
        <v>17</v>
      </c>
      <c r="D1063" s="236">
        <f>500+10</f>
        <v>510</v>
      </c>
      <c r="E1063" s="236">
        <f>130+10</f>
        <v>140</v>
      </c>
      <c r="F1063" s="236">
        <f>135+10</f>
        <v>145</v>
      </c>
      <c r="G1063" s="236">
        <f>135+10</f>
        <v>145</v>
      </c>
      <c r="H1063" s="240">
        <f>SUM(Tabla1321124[[#This Row],[PRIMER TRIMESTRE]:[CUARTO TRIMESTRE]])</f>
        <v>940</v>
      </c>
      <c r="I1063" s="17">
        <v>125</v>
      </c>
      <c r="J1063" s="17">
        <f t="shared" si="19"/>
        <v>117500</v>
      </c>
      <c r="K1063" s="17"/>
      <c r="L1063" s="16" t="s">
        <v>18</v>
      </c>
      <c r="M1063" s="16" t="s">
        <v>22</v>
      </c>
      <c r="N1063" s="16"/>
      <c r="O1063" s="243"/>
      <c r="P1063" s="243"/>
      <c r="Q1063" s="243"/>
      <c r="R1063" s="243"/>
      <c r="S1063" s="243"/>
      <c r="T1063" s="243"/>
      <c r="U1063" s="243"/>
      <c r="V1063" s="243"/>
      <c r="W1063" s="243"/>
      <c r="X1063" s="243"/>
      <c r="Y1063" s="243"/>
      <c r="Z1063" s="243"/>
      <c r="AA1063" s="243"/>
      <c r="AB1063" s="243"/>
      <c r="AC1063" s="243"/>
      <c r="AD1063" s="243"/>
      <c r="AE1063" s="243"/>
      <c r="AF1063" s="243"/>
      <c r="AG1063" s="243"/>
      <c r="AH1063" s="243"/>
      <c r="AI1063" s="243"/>
      <c r="AJ1063" s="243"/>
      <c r="AK1063" s="243"/>
      <c r="AL1063" s="243"/>
      <c r="AM1063" s="243"/>
      <c r="AN1063" s="243"/>
      <c r="AO1063" s="243"/>
      <c r="AP1063" s="243"/>
      <c r="AQ1063" s="243"/>
      <c r="AR1063" s="243"/>
      <c r="AS1063" s="243"/>
      <c r="AT1063" s="243"/>
      <c r="AU1063" s="243"/>
      <c r="AV1063" s="243"/>
      <c r="AW1063" s="243"/>
      <c r="AX1063" s="243"/>
      <c r="AY1063" s="243"/>
      <c r="AZ1063" s="243"/>
      <c r="BA1063" s="243"/>
      <c r="BB1063" s="243"/>
      <c r="BC1063" s="243"/>
      <c r="BD1063" s="243"/>
      <c r="BE1063" s="243"/>
      <c r="BF1063" s="243"/>
      <c r="BG1063" s="243"/>
      <c r="BH1063" s="243"/>
      <c r="BI1063" s="243"/>
      <c r="BJ1063" s="243"/>
      <c r="BK1063" s="243"/>
      <c r="BL1063" s="243"/>
      <c r="BM1063" s="243"/>
      <c r="BN1063" s="243"/>
      <c r="BO1063" s="243"/>
      <c r="BP1063" s="243"/>
      <c r="BQ1063" s="243"/>
      <c r="BR1063" s="243"/>
      <c r="BS1063" s="243"/>
    </row>
    <row r="1064" spans="1:71" s="12" customFormat="1" ht="41.25" customHeight="1">
      <c r="A1064" s="178" t="s">
        <v>96</v>
      </c>
      <c r="B1064" s="77" t="str">
        <f ca="1">+UPPER(Tabla1321124[[#This Row],[DESCRIPCIÓN DE LA COMPRA O CONTRATACIÓN]])</f>
        <v>CONECTORES #4/0, TIPO SILLITA, SENCILLO</v>
      </c>
      <c r="C1064" s="39" t="s">
        <v>17</v>
      </c>
      <c r="D1064" s="236">
        <f>500+25</f>
        <v>525</v>
      </c>
      <c r="E1064" s="236">
        <f>130+25</f>
        <v>155</v>
      </c>
      <c r="F1064" s="236">
        <f>135+25</f>
        <v>160</v>
      </c>
      <c r="G1064" s="236">
        <f>135+25</f>
        <v>160</v>
      </c>
      <c r="H1064" s="240">
        <f>SUM(Tabla1321124[[#This Row],[PRIMER TRIMESTRE]:[CUARTO TRIMESTRE]])</f>
        <v>1000</v>
      </c>
      <c r="I1064" s="17">
        <v>135</v>
      </c>
      <c r="J1064" s="17">
        <f t="shared" si="19"/>
        <v>135000</v>
      </c>
      <c r="K1064" s="17"/>
      <c r="L1064" s="16" t="s">
        <v>18</v>
      </c>
      <c r="M1064" s="16" t="s">
        <v>22</v>
      </c>
      <c r="N1064" s="16"/>
      <c r="O1064" s="243"/>
      <c r="P1064" s="243"/>
      <c r="Q1064" s="243"/>
      <c r="R1064" s="243"/>
      <c r="S1064" s="243"/>
      <c r="T1064" s="243"/>
      <c r="U1064" s="243"/>
      <c r="V1064" s="243"/>
      <c r="W1064" s="243"/>
      <c r="X1064" s="243"/>
      <c r="Y1064" s="243"/>
      <c r="Z1064" s="243"/>
      <c r="AA1064" s="243"/>
      <c r="AB1064" s="243"/>
      <c r="AC1064" s="243"/>
      <c r="AD1064" s="243"/>
      <c r="AE1064" s="243"/>
      <c r="AF1064" s="243"/>
      <c r="AG1064" s="243"/>
      <c r="AH1064" s="243"/>
      <c r="AI1064" s="243"/>
      <c r="AJ1064" s="243"/>
      <c r="AK1064" s="243"/>
      <c r="AL1064" s="243"/>
      <c r="AM1064" s="243"/>
      <c r="AN1064" s="243"/>
      <c r="AO1064" s="243"/>
      <c r="AP1064" s="243"/>
      <c r="AQ1064" s="243"/>
      <c r="AR1064" s="243"/>
      <c r="AS1064" s="243"/>
      <c r="AT1064" s="243"/>
      <c r="AU1064" s="243"/>
      <c r="AV1064" s="243"/>
      <c r="AW1064" s="243"/>
      <c r="AX1064" s="243"/>
      <c r="AY1064" s="243"/>
      <c r="AZ1064" s="243"/>
      <c r="BA1064" s="243"/>
      <c r="BB1064" s="243"/>
      <c r="BC1064" s="243"/>
      <c r="BD1064" s="243"/>
      <c r="BE1064" s="243"/>
      <c r="BF1064" s="243"/>
      <c r="BG1064" s="243"/>
      <c r="BH1064" s="243"/>
      <c r="BI1064" s="243"/>
      <c r="BJ1064" s="243"/>
      <c r="BK1064" s="243"/>
      <c r="BL1064" s="243"/>
      <c r="BM1064" s="243"/>
      <c r="BN1064" s="243"/>
      <c r="BO1064" s="243"/>
      <c r="BP1064" s="243"/>
      <c r="BQ1064" s="243"/>
      <c r="BR1064" s="243"/>
      <c r="BS1064" s="243"/>
    </row>
    <row r="1065" spans="1:71" s="12" customFormat="1" ht="41.25" customHeight="1">
      <c r="A1065" s="178" t="s">
        <v>96</v>
      </c>
      <c r="B1065" s="77" t="str">
        <f ca="1">+UPPER(Tabla1321124[[#This Row],[DESCRIPCIÓN DE LA COMPRA O CONTRATACIÓN]])</f>
        <v>CONECTORES #350 MCM, TIPO SILLITA, SENCILLO</v>
      </c>
      <c r="C1065" s="39" t="s">
        <v>17</v>
      </c>
      <c r="D1065" s="236">
        <f>500+25</f>
        <v>525</v>
      </c>
      <c r="E1065" s="236">
        <f>130+25</f>
        <v>155</v>
      </c>
      <c r="F1065" s="236">
        <f>135+25</f>
        <v>160</v>
      </c>
      <c r="G1065" s="236">
        <f>135+25</f>
        <v>160</v>
      </c>
      <c r="H1065" s="240">
        <f>SUM(Tabla1321124[[#This Row],[PRIMER TRIMESTRE]:[CUARTO TRIMESTRE]])</f>
        <v>1000</v>
      </c>
      <c r="I1065" s="17">
        <v>175</v>
      </c>
      <c r="J1065" s="17">
        <f t="shared" si="19"/>
        <v>175000</v>
      </c>
      <c r="K1065" s="17"/>
      <c r="L1065" s="16" t="s">
        <v>18</v>
      </c>
      <c r="M1065" s="16" t="s">
        <v>22</v>
      </c>
      <c r="N1065" s="16"/>
      <c r="O1065" s="243"/>
      <c r="P1065" s="243"/>
      <c r="Q1065" s="243"/>
      <c r="R1065" s="243"/>
      <c r="S1065" s="243"/>
      <c r="T1065" s="243"/>
      <c r="U1065" s="243"/>
      <c r="V1065" s="243"/>
      <c r="W1065" s="243"/>
      <c r="X1065" s="243"/>
      <c r="Y1065" s="243"/>
      <c r="Z1065" s="243"/>
      <c r="AA1065" s="243"/>
      <c r="AB1065" s="243"/>
      <c r="AC1065" s="243"/>
      <c r="AD1065" s="243"/>
      <c r="AE1065" s="243"/>
      <c r="AF1065" s="243"/>
      <c r="AG1065" s="243"/>
      <c r="AH1065" s="243"/>
      <c r="AI1065" s="243"/>
      <c r="AJ1065" s="243"/>
      <c r="AK1065" s="243"/>
      <c r="AL1065" s="243"/>
      <c r="AM1065" s="243"/>
      <c r="AN1065" s="243"/>
      <c r="AO1065" s="243"/>
      <c r="AP1065" s="243"/>
      <c r="AQ1065" s="243"/>
      <c r="AR1065" s="243"/>
      <c r="AS1065" s="243"/>
      <c r="AT1065" s="243"/>
      <c r="AU1065" s="243"/>
      <c r="AV1065" s="243"/>
      <c r="AW1065" s="243"/>
      <c r="AX1065" s="243"/>
      <c r="AY1065" s="243"/>
      <c r="AZ1065" s="243"/>
      <c r="BA1065" s="243"/>
      <c r="BB1065" s="243"/>
      <c r="BC1065" s="243"/>
      <c r="BD1065" s="243"/>
      <c r="BE1065" s="243"/>
      <c r="BF1065" s="243"/>
      <c r="BG1065" s="243"/>
      <c r="BH1065" s="243"/>
      <c r="BI1065" s="243"/>
      <c r="BJ1065" s="243"/>
      <c r="BK1065" s="243"/>
      <c r="BL1065" s="243"/>
      <c r="BM1065" s="243"/>
      <c r="BN1065" s="243"/>
      <c r="BO1065" s="243"/>
      <c r="BP1065" s="243"/>
      <c r="BQ1065" s="243"/>
      <c r="BR1065" s="243"/>
      <c r="BS1065" s="243"/>
    </row>
    <row r="1066" spans="1:71" s="12" customFormat="1" ht="41.25" customHeight="1">
      <c r="A1066" s="178" t="s">
        <v>96</v>
      </c>
      <c r="B1066" s="80" t="s">
        <v>1823</v>
      </c>
      <c r="C1066" s="39" t="s">
        <v>17</v>
      </c>
      <c r="D1066" s="378">
        <v>1</v>
      </c>
      <c r="E1066" s="369">
        <v>0</v>
      </c>
      <c r="F1066" s="369">
        <v>0</v>
      </c>
      <c r="G1066" s="369">
        <v>0</v>
      </c>
      <c r="H1066" s="240">
        <f>SUM(Tabla1321124[[#This Row],[PRIMER TRIMESTRE]:[CUARTO TRIMESTRE]])</f>
        <v>1</v>
      </c>
      <c r="I1066" s="17">
        <v>12500</v>
      </c>
      <c r="J1066" s="17">
        <f t="shared" si="19"/>
        <v>12500</v>
      </c>
      <c r="K1066" s="175"/>
      <c r="L1066" s="16" t="s">
        <v>18</v>
      </c>
      <c r="M1066" s="16" t="s">
        <v>22</v>
      </c>
      <c r="N1066" s="16"/>
      <c r="O1066" s="243"/>
      <c r="P1066" s="243"/>
      <c r="Q1066" s="243"/>
      <c r="R1066" s="243"/>
      <c r="S1066" s="243"/>
      <c r="T1066" s="243"/>
      <c r="U1066" s="243"/>
      <c r="V1066" s="243"/>
      <c r="W1066" s="243"/>
      <c r="X1066" s="243"/>
      <c r="Y1066" s="243"/>
      <c r="Z1066" s="243"/>
      <c r="AA1066" s="243"/>
      <c r="AB1066" s="243"/>
      <c r="AC1066" s="243"/>
      <c r="AD1066" s="243"/>
      <c r="AE1066" s="243"/>
      <c r="AF1066" s="243"/>
      <c r="AG1066" s="243"/>
      <c r="AH1066" s="243"/>
      <c r="AI1066" s="243"/>
      <c r="AJ1066" s="243"/>
      <c r="AK1066" s="243"/>
      <c r="AL1066" s="243"/>
      <c r="AM1066" s="243"/>
      <c r="AN1066" s="243"/>
      <c r="AO1066" s="243"/>
      <c r="AP1066" s="243"/>
      <c r="AQ1066" s="243"/>
      <c r="AR1066" s="243"/>
      <c r="AS1066" s="243"/>
      <c r="AT1066" s="243"/>
      <c r="AU1066" s="243"/>
      <c r="AV1066" s="243"/>
      <c r="AW1066" s="243"/>
      <c r="AX1066" s="243"/>
      <c r="AY1066" s="243"/>
      <c r="AZ1066" s="243"/>
      <c r="BA1066" s="243"/>
      <c r="BB1066" s="243"/>
      <c r="BC1066" s="243"/>
      <c r="BD1066" s="243"/>
      <c r="BE1066" s="243"/>
      <c r="BF1066" s="243"/>
      <c r="BG1066" s="243"/>
      <c r="BH1066" s="243"/>
      <c r="BI1066" s="243"/>
      <c r="BJ1066" s="243"/>
      <c r="BK1066" s="243"/>
      <c r="BL1066" s="243"/>
      <c r="BM1066" s="243"/>
      <c r="BN1066" s="243"/>
      <c r="BO1066" s="243"/>
      <c r="BP1066" s="243"/>
      <c r="BQ1066" s="243"/>
      <c r="BR1066" s="243"/>
      <c r="BS1066" s="243"/>
    </row>
    <row r="1067" spans="1:71" s="12" customFormat="1" ht="41.25" customHeight="1">
      <c r="A1067" s="178" t="s">
        <v>96</v>
      </c>
      <c r="B1067" s="80" t="s">
        <v>1824</v>
      </c>
      <c r="C1067" s="39" t="s">
        <v>17</v>
      </c>
      <c r="D1067" s="378">
        <v>1</v>
      </c>
      <c r="E1067" s="369">
        <v>0</v>
      </c>
      <c r="F1067" s="369">
        <v>0</v>
      </c>
      <c r="G1067" s="369">
        <v>0</v>
      </c>
      <c r="H1067" s="240">
        <f>SUM(Tabla1321124[[#This Row],[PRIMER TRIMESTRE]:[CUARTO TRIMESTRE]])</f>
        <v>1</v>
      </c>
      <c r="I1067" s="17">
        <v>8700</v>
      </c>
      <c r="J1067" s="17">
        <f t="shared" si="19"/>
        <v>8700</v>
      </c>
      <c r="K1067" s="175"/>
      <c r="L1067" s="16" t="s">
        <v>18</v>
      </c>
      <c r="M1067" s="16" t="s">
        <v>22</v>
      </c>
      <c r="N1067" s="16"/>
      <c r="O1067" s="243"/>
      <c r="P1067" s="243"/>
      <c r="Q1067" s="243"/>
      <c r="R1067" s="243"/>
      <c r="S1067" s="243"/>
      <c r="T1067" s="243"/>
      <c r="U1067" s="243"/>
      <c r="V1067" s="243"/>
      <c r="W1067" s="243"/>
      <c r="X1067" s="243"/>
      <c r="Y1067" s="243"/>
      <c r="Z1067" s="243"/>
      <c r="AA1067" s="243"/>
      <c r="AB1067" s="243"/>
      <c r="AC1067" s="243"/>
      <c r="AD1067" s="243"/>
      <c r="AE1067" s="243"/>
      <c r="AF1067" s="243"/>
      <c r="AG1067" s="243"/>
      <c r="AH1067" s="243"/>
      <c r="AI1067" s="243"/>
      <c r="AJ1067" s="243"/>
      <c r="AK1067" s="243"/>
      <c r="AL1067" s="243"/>
      <c r="AM1067" s="243"/>
      <c r="AN1067" s="243"/>
      <c r="AO1067" s="243"/>
      <c r="AP1067" s="243"/>
      <c r="AQ1067" s="243"/>
      <c r="AR1067" s="243"/>
      <c r="AS1067" s="243"/>
      <c r="AT1067" s="243"/>
      <c r="AU1067" s="243"/>
      <c r="AV1067" s="243"/>
      <c r="AW1067" s="243"/>
      <c r="AX1067" s="243"/>
      <c r="AY1067" s="243"/>
      <c r="AZ1067" s="243"/>
      <c r="BA1067" s="243"/>
      <c r="BB1067" s="243"/>
      <c r="BC1067" s="243"/>
      <c r="BD1067" s="243"/>
      <c r="BE1067" s="243"/>
      <c r="BF1067" s="243"/>
      <c r="BG1067" s="243"/>
      <c r="BH1067" s="243"/>
      <c r="BI1067" s="243"/>
      <c r="BJ1067" s="243"/>
      <c r="BK1067" s="243"/>
      <c r="BL1067" s="243"/>
      <c r="BM1067" s="243"/>
      <c r="BN1067" s="243"/>
      <c r="BO1067" s="243"/>
      <c r="BP1067" s="243"/>
      <c r="BQ1067" s="243"/>
      <c r="BR1067" s="243"/>
      <c r="BS1067" s="243"/>
    </row>
    <row r="1068" spans="1:71" s="12" customFormat="1" ht="41.25" customHeight="1">
      <c r="A1068" s="178" t="s">
        <v>96</v>
      </c>
      <c r="B1068" s="80" t="s">
        <v>1825</v>
      </c>
      <c r="C1068" s="39" t="s">
        <v>17</v>
      </c>
      <c r="D1068" s="369">
        <v>4</v>
      </c>
      <c r="E1068" s="369">
        <v>2</v>
      </c>
      <c r="F1068" s="369">
        <v>2</v>
      </c>
      <c r="G1068" s="369">
        <v>2</v>
      </c>
      <c r="H1068" s="240">
        <f>SUM(Tabla1321124[[#This Row],[PRIMER TRIMESTRE]:[CUARTO TRIMESTRE]])</f>
        <v>10</v>
      </c>
      <c r="I1068" s="17">
        <v>4200</v>
      </c>
      <c r="J1068" s="17">
        <f t="shared" si="19"/>
        <v>42000</v>
      </c>
      <c r="K1068" s="175"/>
      <c r="L1068" s="16" t="s">
        <v>18</v>
      </c>
      <c r="M1068" s="16" t="s">
        <v>22</v>
      </c>
      <c r="N1068" s="16"/>
      <c r="O1068" s="243"/>
      <c r="P1068" s="243"/>
      <c r="Q1068" s="243"/>
      <c r="R1068" s="243"/>
      <c r="S1068" s="243"/>
      <c r="T1068" s="243"/>
      <c r="U1068" s="243"/>
      <c r="V1068" s="243"/>
      <c r="W1068" s="243"/>
      <c r="X1068" s="243"/>
      <c r="Y1068" s="243"/>
      <c r="Z1068" s="243"/>
      <c r="AA1068" s="243"/>
      <c r="AB1068" s="243"/>
      <c r="AC1068" s="243"/>
      <c r="AD1068" s="243"/>
      <c r="AE1068" s="243"/>
      <c r="AF1068" s="243"/>
      <c r="AG1068" s="243"/>
      <c r="AH1068" s="243"/>
      <c r="AI1068" s="243"/>
      <c r="AJ1068" s="243"/>
      <c r="AK1068" s="243"/>
      <c r="AL1068" s="243"/>
      <c r="AM1068" s="243"/>
      <c r="AN1068" s="243"/>
      <c r="AO1068" s="243"/>
      <c r="AP1068" s="243"/>
      <c r="AQ1068" s="243"/>
      <c r="AR1068" s="243"/>
      <c r="AS1068" s="243"/>
      <c r="AT1068" s="243"/>
      <c r="AU1068" s="243"/>
      <c r="AV1068" s="243"/>
      <c r="AW1068" s="243"/>
      <c r="AX1068" s="243"/>
      <c r="AY1068" s="243"/>
      <c r="AZ1068" s="243"/>
      <c r="BA1068" s="243"/>
      <c r="BB1068" s="243"/>
      <c r="BC1068" s="243"/>
      <c r="BD1068" s="243"/>
      <c r="BE1068" s="243"/>
      <c r="BF1068" s="243"/>
      <c r="BG1068" s="243"/>
      <c r="BH1068" s="243"/>
      <c r="BI1068" s="243"/>
      <c r="BJ1068" s="243"/>
      <c r="BK1068" s="243"/>
      <c r="BL1068" s="243"/>
      <c r="BM1068" s="243"/>
      <c r="BN1068" s="243"/>
      <c r="BO1068" s="243"/>
      <c r="BP1068" s="243"/>
      <c r="BQ1068" s="243"/>
      <c r="BR1068" s="243"/>
      <c r="BS1068" s="243"/>
    </row>
    <row r="1069" spans="1:71" s="12" customFormat="1" ht="41.25" customHeight="1">
      <c r="A1069" s="178" t="s">
        <v>96</v>
      </c>
      <c r="B1069" s="80" t="s">
        <v>1826</v>
      </c>
      <c r="C1069" s="39" t="s">
        <v>17</v>
      </c>
      <c r="D1069" s="369">
        <v>4</v>
      </c>
      <c r="E1069" s="369">
        <v>2</v>
      </c>
      <c r="F1069" s="369">
        <v>2</v>
      </c>
      <c r="G1069" s="369">
        <v>2</v>
      </c>
      <c r="H1069" s="240">
        <f>SUM(Tabla1321124[[#This Row],[PRIMER TRIMESTRE]:[CUARTO TRIMESTRE]])</f>
        <v>10</v>
      </c>
      <c r="I1069" s="17">
        <v>4700</v>
      </c>
      <c r="J1069" s="17">
        <f t="shared" si="19"/>
        <v>47000</v>
      </c>
      <c r="K1069" s="175"/>
      <c r="L1069" s="16" t="s">
        <v>18</v>
      </c>
      <c r="M1069" s="16" t="s">
        <v>22</v>
      </c>
      <c r="N1069" s="16"/>
      <c r="O1069" s="243"/>
      <c r="P1069" s="243"/>
      <c r="Q1069" s="243"/>
      <c r="R1069" s="243"/>
      <c r="S1069" s="243"/>
      <c r="T1069" s="243"/>
      <c r="U1069" s="243"/>
      <c r="V1069" s="243"/>
      <c r="W1069" s="243"/>
      <c r="X1069" s="243"/>
      <c r="Y1069" s="243"/>
      <c r="Z1069" s="243"/>
      <c r="AA1069" s="243"/>
      <c r="AB1069" s="243"/>
      <c r="AC1069" s="243"/>
      <c r="AD1069" s="243"/>
      <c r="AE1069" s="243"/>
      <c r="AF1069" s="243"/>
      <c r="AG1069" s="243"/>
      <c r="AH1069" s="243"/>
      <c r="AI1069" s="243"/>
      <c r="AJ1069" s="243"/>
      <c r="AK1069" s="243"/>
      <c r="AL1069" s="243"/>
      <c r="AM1069" s="243"/>
      <c r="AN1069" s="243"/>
      <c r="AO1069" s="243"/>
      <c r="AP1069" s="243"/>
      <c r="AQ1069" s="243"/>
      <c r="AR1069" s="243"/>
      <c r="AS1069" s="243"/>
      <c r="AT1069" s="243"/>
      <c r="AU1069" s="243"/>
      <c r="AV1069" s="243"/>
      <c r="AW1069" s="243"/>
      <c r="AX1069" s="243"/>
      <c r="AY1069" s="243"/>
      <c r="AZ1069" s="243"/>
      <c r="BA1069" s="243"/>
      <c r="BB1069" s="243"/>
      <c r="BC1069" s="243"/>
      <c r="BD1069" s="243"/>
      <c r="BE1069" s="243"/>
      <c r="BF1069" s="243"/>
      <c r="BG1069" s="243"/>
      <c r="BH1069" s="243"/>
      <c r="BI1069" s="243"/>
      <c r="BJ1069" s="243"/>
      <c r="BK1069" s="243"/>
      <c r="BL1069" s="243"/>
      <c r="BM1069" s="243"/>
      <c r="BN1069" s="243"/>
      <c r="BO1069" s="243"/>
      <c r="BP1069" s="243"/>
      <c r="BQ1069" s="243"/>
      <c r="BR1069" s="243"/>
      <c r="BS1069" s="243"/>
    </row>
    <row r="1070" spans="1:71" s="12" customFormat="1" ht="28.5" customHeight="1">
      <c r="A1070" s="178" t="s">
        <v>96</v>
      </c>
      <c r="B1070" s="80" t="s">
        <v>1827</v>
      </c>
      <c r="C1070" s="39" t="s">
        <v>17</v>
      </c>
      <c r="D1070" s="369">
        <v>4</v>
      </c>
      <c r="E1070" s="369">
        <v>2</v>
      </c>
      <c r="F1070" s="369">
        <v>2</v>
      </c>
      <c r="G1070" s="369">
        <v>2</v>
      </c>
      <c r="H1070" s="240">
        <f>SUM(Tabla1321124[[#This Row],[PRIMER TRIMESTRE]:[CUARTO TRIMESTRE]])</f>
        <v>10</v>
      </c>
      <c r="I1070" s="17">
        <v>3500</v>
      </c>
      <c r="J1070" s="17">
        <f t="shared" si="19"/>
        <v>35000</v>
      </c>
      <c r="K1070" s="175"/>
      <c r="L1070" s="16" t="s">
        <v>18</v>
      </c>
      <c r="M1070" s="16" t="s">
        <v>22</v>
      </c>
      <c r="N1070" s="16"/>
      <c r="O1070" s="243"/>
      <c r="P1070" s="243"/>
      <c r="Q1070" s="243"/>
      <c r="R1070" s="243"/>
      <c r="S1070" s="243"/>
      <c r="T1070" s="243"/>
      <c r="U1070" s="243"/>
      <c r="V1070" s="243"/>
      <c r="W1070" s="243"/>
      <c r="X1070" s="243"/>
      <c r="Y1070" s="243"/>
      <c r="Z1070" s="243"/>
      <c r="AA1070" s="243"/>
      <c r="AB1070" s="243"/>
      <c r="AC1070" s="243"/>
      <c r="AD1070" s="243"/>
      <c r="AE1070" s="243"/>
      <c r="AF1070" s="243"/>
      <c r="AG1070" s="243"/>
      <c r="AH1070" s="243"/>
      <c r="AI1070" s="243"/>
      <c r="AJ1070" s="243"/>
      <c r="AK1070" s="243"/>
      <c r="AL1070" s="243"/>
      <c r="AM1070" s="243"/>
      <c r="AN1070" s="243"/>
      <c r="AO1070" s="243"/>
      <c r="AP1070" s="243"/>
      <c r="AQ1070" s="243"/>
      <c r="AR1070" s="243"/>
      <c r="AS1070" s="243"/>
      <c r="AT1070" s="243"/>
      <c r="AU1070" s="243"/>
      <c r="AV1070" s="243"/>
      <c r="AW1070" s="243"/>
      <c r="AX1070" s="243"/>
      <c r="AY1070" s="243"/>
      <c r="AZ1070" s="243"/>
      <c r="BA1070" s="243"/>
      <c r="BB1070" s="243"/>
      <c r="BC1070" s="243"/>
      <c r="BD1070" s="243"/>
      <c r="BE1070" s="243"/>
      <c r="BF1070" s="243"/>
      <c r="BG1070" s="243"/>
      <c r="BH1070" s="243"/>
      <c r="BI1070" s="243"/>
      <c r="BJ1070" s="243"/>
      <c r="BK1070" s="243"/>
      <c r="BL1070" s="243"/>
      <c r="BM1070" s="243"/>
      <c r="BN1070" s="243"/>
      <c r="BO1070" s="243"/>
      <c r="BP1070" s="243"/>
      <c r="BQ1070" s="243"/>
      <c r="BR1070" s="243"/>
      <c r="BS1070" s="243"/>
    </row>
    <row r="1071" spans="1:71" s="12" customFormat="1" ht="43.5" customHeight="1">
      <c r="A1071" s="178" t="s">
        <v>96</v>
      </c>
      <c r="B1071" s="80" t="s">
        <v>1828</v>
      </c>
      <c r="C1071" s="39" t="s">
        <v>17</v>
      </c>
      <c r="D1071" s="369">
        <v>4</v>
      </c>
      <c r="E1071" s="369">
        <v>2</v>
      </c>
      <c r="F1071" s="369">
        <v>2</v>
      </c>
      <c r="G1071" s="369">
        <v>2</v>
      </c>
      <c r="H1071" s="240">
        <f>SUM(Tabla1321124[[#This Row],[PRIMER TRIMESTRE]:[CUARTO TRIMESTRE]])</f>
        <v>10</v>
      </c>
      <c r="I1071" s="17">
        <v>3800</v>
      </c>
      <c r="J1071" s="17">
        <f t="shared" si="19"/>
        <v>38000</v>
      </c>
      <c r="K1071" s="175"/>
      <c r="L1071" s="16" t="s">
        <v>18</v>
      </c>
      <c r="M1071" s="16" t="s">
        <v>22</v>
      </c>
      <c r="N1071" s="16"/>
      <c r="O1071" s="243"/>
      <c r="P1071" s="243"/>
      <c r="Q1071" s="243"/>
      <c r="R1071" s="243"/>
      <c r="S1071" s="243"/>
      <c r="T1071" s="243"/>
      <c r="U1071" s="243"/>
      <c r="V1071" s="243"/>
      <c r="W1071" s="243"/>
      <c r="X1071" s="243"/>
      <c r="Y1071" s="243"/>
      <c r="Z1071" s="243"/>
      <c r="AA1071" s="243"/>
      <c r="AB1071" s="243"/>
      <c r="AC1071" s="243"/>
      <c r="AD1071" s="243"/>
      <c r="AE1071" s="243"/>
      <c r="AF1071" s="243"/>
      <c r="AG1071" s="243"/>
      <c r="AH1071" s="243"/>
      <c r="AI1071" s="243"/>
      <c r="AJ1071" s="243"/>
      <c r="AK1071" s="243"/>
      <c r="AL1071" s="243"/>
      <c r="AM1071" s="243"/>
      <c r="AN1071" s="243"/>
      <c r="AO1071" s="243"/>
      <c r="AP1071" s="243"/>
      <c r="AQ1071" s="243"/>
      <c r="AR1071" s="243"/>
      <c r="AS1071" s="243"/>
      <c r="AT1071" s="243"/>
      <c r="AU1071" s="243"/>
      <c r="AV1071" s="243"/>
      <c r="AW1071" s="243"/>
      <c r="AX1071" s="243"/>
      <c r="AY1071" s="243"/>
      <c r="AZ1071" s="243"/>
      <c r="BA1071" s="243"/>
      <c r="BB1071" s="243"/>
      <c r="BC1071" s="243"/>
      <c r="BD1071" s="243"/>
      <c r="BE1071" s="243"/>
      <c r="BF1071" s="243"/>
      <c r="BG1071" s="243"/>
      <c r="BH1071" s="243"/>
      <c r="BI1071" s="243"/>
      <c r="BJ1071" s="243"/>
      <c r="BK1071" s="243"/>
      <c r="BL1071" s="243"/>
      <c r="BM1071" s="243"/>
      <c r="BN1071" s="243"/>
      <c r="BO1071" s="243"/>
      <c r="BP1071" s="243"/>
      <c r="BQ1071" s="243"/>
      <c r="BR1071" s="243"/>
      <c r="BS1071" s="243"/>
    </row>
    <row r="1072" spans="1:71" s="12" customFormat="1" ht="28.5" customHeight="1">
      <c r="A1072" s="178" t="s">
        <v>96</v>
      </c>
      <c r="B1072" s="80" t="s">
        <v>1829</v>
      </c>
      <c r="C1072" s="39" t="s">
        <v>17</v>
      </c>
      <c r="D1072" s="369">
        <v>4</v>
      </c>
      <c r="E1072" s="369">
        <v>2</v>
      </c>
      <c r="F1072" s="369">
        <v>2</v>
      </c>
      <c r="G1072" s="369">
        <v>2</v>
      </c>
      <c r="H1072" s="240">
        <f>SUM(Tabla1321124[[#This Row],[PRIMER TRIMESTRE]:[CUARTO TRIMESTRE]])</f>
        <v>10</v>
      </c>
      <c r="I1072" s="17">
        <v>4200</v>
      </c>
      <c r="J1072" s="17">
        <f t="shared" si="19"/>
        <v>42000</v>
      </c>
      <c r="K1072" s="175"/>
      <c r="L1072" s="16" t="s">
        <v>18</v>
      </c>
      <c r="M1072" s="16" t="s">
        <v>22</v>
      </c>
      <c r="N1072" s="16"/>
      <c r="O1072" s="243"/>
      <c r="P1072" s="243"/>
      <c r="Q1072" s="243"/>
      <c r="R1072" s="243"/>
      <c r="S1072" s="243"/>
      <c r="T1072" s="243"/>
      <c r="U1072" s="243"/>
      <c r="V1072" s="243"/>
      <c r="W1072" s="243"/>
      <c r="X1072" s="243"/>
      <c r="Y1072" s="243"/>
      <c r="Z1072" s="243"/>
      <c r="AA1072" s="243"/>
      <c r="AB1072" s="243"/>
      <c r="AC1072" s="243"/>
      <c r="AD1072" s="243"/>
      <c r="AE1072" s="243"/>
      <c r="AF1072" s="243"/>
      <c r="AG1072" s="243"/>
      <c r="AH1072" s="243"/>
      <c r="AI1072" s="243"/>
      <c r="AJ1072" s="243"/>
      <c r="AK1072" s="243"/>
      <c r="AL1072" s="243"/>
      <c r="AM1072" s="243"/>
      <c r="AN1072" s="243"/>
      <c r="AO1072" s="243"/>
      <c r="AP1072" s="243"/>
      <c r="AQ1072" s="243"/>
      <c r="AR1072" s="243"/>
      <c r="AS1072" s="243"/>
      <c r="AT1072" s="243"/>
      <c r="AU1072" s="243"/>
      <c r="AV1072" s="243"/>
      <c r="AW1072" s="243"/>
      <c r="AX1072" s="243"/>
      <c r="AY1072" s="243"/>
      <c r="AZ1072" s="243"/>
      <c r="BA1072" s="243"/>
      <c r="BB1072" s="243"/>
      <c r="BC1072" s="243"/>
      <c r="BD1072" s="243"/>
      <c r="BE1072" s="243"/>
      <c r="BF1072" s="243"/>
      <c r="BG1072" s="243"/>
      <c r="BH1072" s="243"/>
      <c r="BI1072" s="243"/>
      <c r="BJ1072" s="243"/>
      <c r="BK1072" s="243"/>
      <c r="BL1072" s="243"/>
      <c r="BM1072" s="243"/>
      <c r="BN1072" s="243"/>
      <c r="BO1072" s="243"/>
      <c r="BP1072" s="243"/>
      <c r="BQ1072" s="243"/>
      <c r="BR1072" s="243"/>
      <c r="BS1072" s="243"/>
    </row>
    <row r="1073" spans="1:71" s="12" customFormat="1" ht="28.5" customHeight="1">
      <c r="A1073" s="178" t="s">
        <v>96</v>
      </c>
      <c r="B1073" s="80" t="s">
        <v>1830</v>
      </c>
      <c r="C1073" s="39" t="s">
        <v>17</v>
      </c>
      <c r="D1073" s="369">
        <v>4</v>
      </c>
      <c r="E1073" s="369">
        <v>2</v>
      </c>
      <c r="F1073" s="369">
        <v>2</v>
      </c>
      <c r="G1073" s="369">
        <v>2</v>
      </c>
      <c r="H1073" s="240">
        <f>SUM(Tabla1321124[[#This Row],[PRIMER TRIMESTRE]:[CUARTO TRIMESTRE]])</f>
        <v>10</v>
      </c>
      <c r="I1073" s="17">
        <v>4800</v>
      </c>
      <c r="J1073" s="17">
        <f t="shared" si="19"/>
        <v>48000</v>
      </c>
      <c r="K1073" s="175"/>
      <c r="L1073" s="16" t="s">
        <v>18</v>
      </c>
      <c r="M1073" s="16" t="s">
        <v>22</v>
      </c>
      <c r="N1073" s="16"/>
      <c r="O1073" s="243"/>
      <c r="P1073" s="243"/>
      <c r="Q1073" s="243"/>
      <c r="R1073" s="243"/>
      <c r="S1073" s="243"/>
      <c r="T1073" s="243"/>
      <c r="U1073" s="243"/>
      <c r="V1073" s="243"/>
      <c r="W1073" s="243"/>
      <c r="X1073" s="243"/>
      <c r="Y1073" s="243"/>
      <c r="Z1073" s="243"/>
      <c r="AA1073" s="243"/>
      <c r="AB1073" s="243"/>
      <c r="AC1073" s="243"/>
      <c r="AD1073" s="243"/>
      <c r="AE1073" s="243"/>
      <c r="AF1073" s="243"/>
      <c r="AG1073" s="243"/>
      <c r="AH1073" s="243"/>
      <c r="AI1073" s="243"/>
      <c r="AJ1073" s="243"/>
      <c r="AK1073" s="243"/>
      <c r="AL1073" s="243"/>
      <c r="AM1073" s="243"/>
      <c r="AN1073" s="243"/>
      <c r="AO1073" s="243"/>
      <c r="AP1073" s="243"/>
      <c r="AQ1073" s="243"/>
      <c r="AR1073" s="243"/>
      <c r="AS1073" s="243"/>
      <c r="AT1073" s="243"/>
      <c r="AU1073" s="243"/>
      <c r="AV1073" s="243"/>
      <c r="AW1073" s="243"/>
      <c r="AX1073" s="243"/>
      <c r="AY1073" s="243"/>
      <c r="AZ1073" s="243"/>
      <c r="BA1073" s="243"/>
      <c r="BB1073" s="243"/>
      <c r="BC1073" s="243"/>
      <c r="BD1073" s="243"/>
      <c r="BE1073" s="243"/>
      <c r="BF1073" s="243"/>
      <c r="BG1073" s="243"/>
      <c r="BH1073" s="243"/>
      <c r="BI1073" s="243"/>
      <c r="BJ1073" s="243"/>
      <c r="BK1073" s="243"/>
      <c r="BL1073" s="243"/>
      <c r="BM1073" s="243"/>
      <c r="BN1073" s="243"/>
      <c r="BO1073" s="243"/>
      <c r="BP1073" s="243"/>
      <c r="BQ1073" s="243"/>
      <c r="BR1073" s="243"/>
      <c r="BS1073" s="243"/>
    </row>
    <row r="1074" spans="1:71" s="12" customFormat="1" ht="28.5" customHeight="1">
      <c r="A1074" s="178" t="s">
        <v>96</v>
      </c>
      <c r="B1074" s="80" t="str">
        <f>+UPPER('[1]PACC 2017'!$B$1075)</f>
        <v>RODAMIENTO #6310.2ZR.C3.L386</v>
      </c>
      <c r="C1074" s="39" t="s">
        <v>17</v>
      </c>
      <c r="D1074" s="369">
        <v>4</v>
      </c>
      <c r="E1074" s="369">
        <v>2</v>
      </c>
      <c r="F1074" s="369">
        <v>2</v>
      </c>
      <c r="G1074" s="369">
        <v>2</v>
      </c>
      <c r="H1074" s="240">
        <f>SUM(Tabla1321124[[#This Row],[PRIMER TRIMESTRE]:[CUARTO TRIMESTRE]])</f>
        <v>10</v>
      </c>
      <c r="I1074" s="17">
        <v>5500</v>
      </c>
      <c r="J1074" s="17">
        <f t="shared" si="19"/>
        <v>55000</v>
      </c>
      <c r="K1074" s="175"/>
      <c r="L1074" s="16" t="s">
        <v>18</v>
      </c>
      <c r="M1074" s="16" t="s">
        <v>22</v>
      </c>
      <c r="N1074" s="16"/>
      <c r="O1074" s="243"/>
      <c r="P1074" s="243"/>
      <c r="Q1074" s="243"/>
      <c r="R1074" s="243"/>
      <c r="S1074" s="243"/>
      <c r="T1074" s="243"/>
      <c r="U1074" s="243"/>
      <c r="V1074" s="243"/>
      <c r="W1074" s="243"/>
      <c r="X1074" s="243"/>
      <c r="Y1074" s="243"/>
      <c r="Z1074" s="243"/>
      <c r="AA1074" s="243"/>
      <c r="AB1074" s="243"/>
      <c r="AC1074" s="243"/>
      <c r="AD1074" s="243"/>
      <c r="AE1074" s="243"/>
      <c r="AF1074" s="243"/>
      <c r="AG1074" s="243"/>
      <c r="AH1074" s="243"/>
      <c r="AI1074" s="243"/>
      <c r="AJ1074" s="243"/>
      <c r="AK1074" s="243"/>
      <c r="AL1074" s="243"/>
      <c r="AM1074" s="243"/>
      <c r="AN1074" s="243"/>
      <c r="AO1074" s="243"/>
      <c r="AP1074" s="243"/>
      <c r="AQ1074" s="243"/>
      <c r="AR1074" s="243"/>
      <c r="AS1074" s="243"/>
      <c r="AT1074" s="243"/>
      <c r="AU1074" s="243"/>
      <c r="AV1074" s="243"/>
      <c r="AW1074" s="243"/>
      <c r="AX1074" s="243"/>
      <c r="AY1074" s="243"/>
      <c r="AZ1074" s="243"/>
      <c r="BA1074" s="243"/>
      <c r="BB1074" s="243"/>
      <c r="BC1074" s="243"/>
      <c r="BD1074" s="243"/>
      <c r="BE1074" s="243"/>
      <c r="BF1074" s="243"/>
      <c r="BG1074" s="243"/>
      <c r="BH1074" s="243"/>
      <c r="BI1074" s="243"/>
      <c r="BJ1074" s="243"/>
      <c r="BK1074" s="243"/>
      <c r="BL1074" s="243"/>
      <c r="BM1074" s="243"/>
      <c r="BN1074" s="243"/>
      <c r="BO1074" s="243"/>
      <c r="BP1074" s="243"/>
      <c r="BQ1074" s="243"/>
      <c r="BR1074" s="243"/>
      <c r="BS1074" s="243"/>
    </row>
    <row r="1075" spans="1:71" s="12" customFormat="1" ht="28.5" customHeight="1">
      <c r="A1075" s="178" t="s">
        <v>96</v>
      </c>
      <c r="B1075" s="80" t="str">
        <f>+UPPER('[1]PACC 2017'!$B$1076)</f>
        <v>RODAMIENTO #6311/C3</v>
      </c>
      <c r="C1075" s="39" t="s">
        <v>17</v>
      </c>
      <c r="D1075" s="369">
        <v>4</v>
      </c>
      <c r="E1075" s="369">
        <v>2</v>
      </c>
      <c r="F1075" s="369">
        <v>2</v>
      </c>
      <c r="G1075" s="369">
        <v>2</v>
      </c>
      <c r="H1075" s="240">
        <f>SUM(Tabla1321124[[#This Row],[PRIMER TRIMESTRE]:[CUARTO TRIMESTRE]])</f>
        <v>10</v>
      </c>
      <c r="I1075" s="17">
        <v>10120</v>
      </c>
      <c r="J1075" s="17">
        <f t="shared" si="19"/>
        <v>101200</v>
      </c>
      <c r="K1075" s="175"/>
      <c r="L1075" s="16" t="s">
        <v>18</v>
      </c>
      <c r="M1075" s="16" t="s">
        <v>22</v>
      </c>
      <c r="N1075" s="16"/>
      <c r="O1075" s="243"/>
      <c r="P1075" s="243"/>
      <c r="Q1075" s="243"/>
      <c r="R1075" s="243"/>
      <c r="S1075" s="243"/>
      <c r="T1075" s="243"/>
      <c r="U1075" s="243"/>
      <c r="V1075" s="243"/>
      <c r="W1075" s="243"/>
      <c r="X1075" s="243"/>
      <c r="Y1075" s="243"/>
      <c r="Z1075" s="243"/>
      <c r="AA1075" s="243"/>
      <c r="AB1075" s="243"/>
      <c r="AC1075" s="243"/>
      <c r="AD1075" s="243"/>
      <c r="AE1075" s="243"/>
      <c r="AF1075" s="243"/>
      <c r="AG1075" s="243"/>
      <c r="AH1075" s="243"/>
      <c r="AI1075" s="243"/>
      <c r="AJ1075" s="243"/>
      <c r="AK1075" s="243"/>
      <c r="AL1075" s="243"/>
      <c r="AM1075" s="243"/>
      <c r="AN1075" s="243"/>
      <c r="AO1075" s="243"/>
      <c r="AP1075" s="243"/>
      <c r="AQ1075" s="243"/>
      <c r="AR1075" s="243"/>
      <c r="AS1075" s="243"/>
      <c r="AT1075" s="243"/>
      <c r="AU1075" s="243"/>
      <c r="AV1075" s="243"/>
      <c r="AW1075" s="243"/>
      <c r="AX1075" s="243"/>
      <c r="AY1075" s="243"/>
      <c r="AZ1075" s="243"/>
      <c r="BA1075" s="243"/>
      <c r="BB1075" s="243"/>
      <c r="BC1075" s="243"/>
      <c r="BD1075" s="243"/>
      <c r="BE1075" s="243"/>
      <c r="BF1075" s="243"/>
      <c r="BG1075" s="243"/>
      <c r="BH1075" s="243"/>
      <c r="BI1075" s="243"/>
      <c r="BJ1075" s="243"/>
      <c r="BK1075" s="243"/>
      <c r="BL1075" s="243"/>
      <c r="BM1075" s="243"/>
      <c r="BN1075" s="243"/>
      <c r="BO1075" s="243"/>
      <c r="BP1075" s="243"/>
      <c r="BQ1075" s="243"/>
      <c r="BR1075" s="243"/>
      <c r="BS1075" s="243"/>
    </row>
    <row r="1076" spans="1:71" s="12" customFormat="1" ht="28.5" customHeight="1">
      <c r="A1076" s="178" t="s">
        <v>96</v>
      </c>
      <c r="B1076" s="80" t="str">
        <f>+UPPER('[1]PACC 2017'!$B$1077)</f>
        <v>RODAMIENTO #6312ZZ</v>
      </c>
      <c r="C1076" s="39" t="s">
        <v>17</v>
      </c>
      <c r="D1076" s="369">
        <v>4</v>
      </c>
      <c r="E1076" s="369">
        <v>2</v>
      </c>
      <c r="F1076" s="369">
        <v>2</v>
      </c>
      <c r="G1076" s="369">
        <v>2</v>
      </c>
      <c r="H1076" s="240">
        <f>SUM(Tabla1321124[[#This Row],[PRIMER TRIMESTRE]:[CUARTO TRIMESTRE]])</f>
        <v>10</v>
      </c>
      <c r="I1076" s="17">
        <v>11570</v>
      </c>
      <c r="J1076" s="17">
        <f t="shared" si="19"/>
        <v>115700</v>
      </c>
      <c r="K1076" s="175"/>
      <c r="L1076" s="16" t="s">
        <v>18</v>
      </c>
      <c r="M1076" s="16" t="s">
        <v>22</v>
      </c>
      <c r="N1076" s="16"/>
      <c r="O1076" s="243"/>
      <c r="P1076" s="243"/>
      <c r="Q1076" s="243"/>
      <c r="R1076" s="243"/>
      <c r="S1076" s="243"/>
      <c r="T1076" s="243"/>
      <c r="U1076" s="243"/>
      <c r="V1076" s="243"/>
      <c r="W1076" s="243"/>
      <c r="X1076" s="243"/>
      <c r="Y1076" s="243"/>
      <c r="Z1076" s="243"/>
      <c r="AA1076" s="243"/>
      <c r="AB1076" s="243"/>
      <c r="AC1076" s="243"/>
      <c r="AD1076" s="243"/>
      <c r="AE1076" s="243"/>
      <c r="AF1076" s="243"/>
      <c r="AG1076" s="243"/>
      <c r="AH1076" s="243"/>
      <c r="AI1076" s="243"/>
      <c r="AJ1076" s="243"/>
      <c r="AK1076" s="243"/>
      <c r="AL1076" s="243"/>
      <c r="AM1076" s="243"/>
      <c r="AN1076" s="243"/>
      <c r="AO1076" s="243"/>
      <c r="AP1076" s="243"/>
      <c r="AQ1076" s="243"/>
      <c r="AR1076" s="243"/>
      <c r="AS1076" s="243"/>
      <c r="AT1076" s="243"/>
      <c r="AU1076" s="243"/>
      <c r="AV1076" s="243"/>
      <c r="AW1076" s="243"/>
      <c r="AX1076" s="243"/>
      <c r="AY1076" s="243"/>
      <c r="AZ1076" s="243"/>
      <c r="BA1076" s="243"/>
      <c r="BB1076" s="243"/>
      <c r="BC1076" s="243"/>
      <c r="BD1076" s="243"/>
      <c r="BE1076" s="243"/>
      <c r="BF1076" s="243"/>
      <c r="BG1076" s="243"/>
      <c r="BH1076" s="243"/>
      <c r="BI1076" s="243"/>
      <c r="BJ1076" s="243"/>
      <c r="BK1076" s="243"/>
      <c r="BL1076" s="243"/>
      <c r="BM1076" s="243"/>
      <c r="BN1076" s="243"/>
      <c r="BO1076" s="243"/>
      <c r="BP1076" s="243"/>
      <c r="BQ1076" s="243"/>
      <c r="BR1076" s="243"/>
      <c r="BS1076" s="243"/>
    </row>
    <row r="1077" spans="1:71" s="12" customFormat="1" ht="28.5" customHeight="1">
      <c r="A1077" s="178" t="s">
        <v>96</v>
      </c>
      <c r="B1077" s="80" t="str">
        <f>+UPPER('[1]PACC 2017'!$B$1078)</f>
        <v>SEPO PARA COLUMNA DE TUBERIA 10"</v>
      </c>
      <c r="C1077" s="39" t="s">
        <v>17</v>
      </c>
      <c r="D1077" s="378">
        <v>1</v>
      </c>
      <c r="E1077" s="369">
        <v>0</v>
      </c>
      <c r="F1077" s="369">
        <v>0</v>
      </c>
      <c r="G1077" s="369">
        <v>0</v>
      </c>
      <c r="H1077" s="240">
        <f>SUM(Tabla1321124[[#This Row],[PRIMER TRIMESTRE]:[CUARTO TRIMESTRE]])</f>
        <v>1</v>
      </c>
      <c r="I1077" s="17">
        <v>3600</v>
      </c>
      <c r="J1077" s="17">
        <f t="shared" si="19"/>
        <v>3600</v>
      </c>
      <c r="K1077" s="175"/>
      <c r="L1077" s="16" t="s">
        <v>18</v>
      </c>
      <c r="M1077" s="16" t="s">
        <v>22</v>
      </c>
      <c r="N1077" s="16"/>
      <c r="O1077" s="243"/>
      <c r="P1077" s="243"/>
      <c r="Q1077" s="243"/>
      <c r="R1077" s="243"/>
      <c r="S1077" s="243"/>
      <c r="T1077" s="243"/>
      <c r="U1077" s="243"/>
      <c r="V1077" s="243"/>
      <c r="W1077" s="243"/>
      <c r="X1077" s="243"/>
      <c r="Y1077" s="243"/>
      <c r="Z1077" s="243"/>
      <c r="AA1077" s="243"/>
      <c r="AB1077" s="243"/>
      <c r="AC1077" s="243"/>
      <c r="AD1077" s="243"/>
      <c r="AE1077" s="243"/>
      <c r="AF1077" s="243"/>
      <c r="AG1077" s="243"/>
      <c r="AH1077" s="243"/>
      <c r="AI1077" s="243"/>
      <c r="AJ1077" s="243"/>
      <c r="AK1077" s="243"/>
      <c r="AL1077" s="243"/>
      <c r="AM1077" s="243"/>
      <c r="AN1077" s="243"/>
      <c r="AO1077" s="243"/>
      <c r="AP1077" s="243"/>
      <c r="AQ1077" s="243"/>
      <c r="AR1077" s="243"/>
      <c r="AS1077" s="243"/>
      <c r="AT1077" s="243"/>
      <c r="AU1077" s="243"/>
      <c r="AV1077" s="243"/>
      <c r="AW1077" s="243"/>
      <c r="AX1077" s="243"/>
      <c r="AY1077" s="243"/>
      <c r="AZ1077" s="243"/>
      <c r="BA1077" s="243"/>
      <c r="BB1077" s="243"/>
      <c r="BC1077" s="243"/>
      <c r="BD1077" s="243"/>
      <c r="BE1077" s="243"/>
      <c r="BF1077" s="243"/>
      <c r="BG1077" s="243"/>
      <c r="BH1077" s="243"/>
      <c r="BI1077" s="243"/>
      <c r="BJ1077" s="243"/>
      <c r="BK1077" s="243"/>
      <c r="BL1077" s="243"/>
      <c r="BM1077" s="243"/>
      <c r="BN1077" s="243"/>
      <c r="BO1077" s="243"/>
      <c r="BP1077" s="243"/>
      <c r="BQ1077" s="243"/>
      <c r="BR1077" s="243"/>
      <c r="BS1077" s="243"/>
    </row>
    <row r="1078" spans="1:71" s="12" customFormat="1" ht="28.5" customHeight="1">
      <c r="A1078" s="178" t="s">
        <v>96</v>
      </c>
      <c r="B1078" s="80" t="str">
        <f>+UPPER('[1]PACC 2017'!$B$1079)</f>
        <v>SEPO PARA COLUMNA DE TUBERIA 12"</v>
      </c>
      <c r="C1078" s="39" t="s">
        <v>17</v>
      </c>
      <c r="D1078" s="378">
        <v>1</v>
      </c>
      <c r="E1078" s="369">
        <v>0</v>
      </c>
      <c r="F1078" s="369">
        <v>0</v>
      </c>
      <c r="G1078" s="369">
        <v>0</v>
      </c>
      <c r="H1078" s="240">
        <f>SUM(Tabla1321124[[#This Row],[PRIMER TRIMESTRE]:[CUARTO TRIMESTRE]])</f>
        <v>1</v>
      </c>
      <c r="I1078" s="17">
        <v>3700</v>
      </c>
      <c r="J1078" s="17">
        <f t="shared" si="19"/>
        <v>3700</v>
      </c>
      <c r="K1078" s="175"/>
      <c r="L1078" s="16" t="s">
        <v>18</v>
      </c>
      <c r="M1078" s="16" t="s">
        <v>22</v>
      </c>
      <c r="N1078" s="16"/>
      <c r="O1078" s="243"/>
      <c r="P1078" s="243"/>
      <c r="Q1078" s="243"/>
      <c r="R1078" s="243"/>
      <c r="S1078" s="243"/>
      <c r="T1078" s="243"/>
      <c r="U1078" s="243"/>
      <c r="V1078" s="243"/>
      <c r="W1078" s="243"/>
      <c r="X1078" s="243"/>
      <c r="Y1078" s="243"/>
      <c r="Z1078" s="243"/>
      <c r="AA1078" s="243"/>
      <c r="AB1078" s="243"/>
      <c r="AC1078" s="243"/>
      <c r="AD1078" s="243"/>
      <c r="AE1078" s="243"/>
      <c r="AF1078" s="243"/>
      <c r="AG1078" s="243"/>
      <c r="AH1078" s="243"/>
      <c r="AI1078" s="243"/>
      <c r="AJ1078" s="243"/>
      <c r="AK1078" s="243"/>
      <c r="AL1078" s="243"/>
      <c r="AM1078" s="243"/>
      <c r="AN1078" s="243"/>
      <c r="AO1078" s="243"/>
      <c r="AP1078" s="243"/>
      <c r="AQ1078" s="243"/>
      <c r="AR1078" s="243"/>
      <c r="AS1078" s="243"/>
      <c r="AT1078" s="243"/>
      <c r="AU1078" s="243"/>
      <c r="AV1078" s="243"/>
      <c r="AW1078" s="243"/>
      <c r="AX1078" s="243"/>
      <c r="AY1078" s="243"/>
      <c r="AZ1078" s="243"/>
      <c r="BA1078" s="243"/>
      <c r="BB1078" s="243"/>
      <c r="BC1078" s="243"/>
      <c r="BD1078" s="243"/>
      <c r="BE1078" s="243"/>
      <c r="BF1078" s="243"/>
      <c r="BG1078" s="243"/>
      <c r="BH1078" s="243"/>
      <c r="BI1078" s="243"/>
      <c r="BJ1078" s="243"/>
      <c r="BK1078" s="243"/>
      <c r="BL1078" s="243"/>
      <c r="BM1078" s="243"/>
      <c r="BN1078" s="243"/>
      <c r="BO1078" s="243"/>
      <c r="BP1078" s="243"/>
      <c r="BQ1078" s="243"/>
      <c r="BR1078" s="243"/>
      <c r="BS1078" s="243"/>
    </row>
    <row r="1079" spans="1:71" s="12" customFormat="1" ht="41.25" customHeight="1">
      <c r="A1079" s="178" t="s">
        <v>96</v>
      </c>
      <c r="B1079" s="75" t="s">
        <v>1831</v>
      </c>
      <c r="C1079" s="39" t="s">
        <v>17</v>
      </c>
      <c r="D1079" s="378">
        <v>1</v>
      </c>
      <c r="E1079" s="369">
        <v>0</v>
      </c>
      <c r="F1079" s="369">
        <v>0</v>
      </c>
      <c r="G1079" s="369">
        <v>0</v>
      </c>
      <c r="H1079" s="240">
        <f>SUM(Tabla1321124[[#This Row],[PRIMER TRIMESTRE]:[CUARTO TRIMESTRE]])</f>
        <v>1</v>
      </c>
      <c r="I1079" s="17">
        <v>3900</v>
      </c>
      <c r="J1079" s="17">
        <f t="shared" si="19"/>
        <v>3900</v>
      </c>
      <c r="K1079" s="175"/>
      <c r="L1079" s="16" t="s">
        <v>18</v>
      </c>
      <c r="M1079" s="16" t="s">
        <v>22</v>
      </c>
      <c r="N1079" s="16"/>
      <c r="O1079" s="243"/>
      <c r="P1079" s="243"/>
      <c r="Q1079" s="243"/>
      <c r="R1079" s="243"/>
      <c r="S1079" s="243"/>
      <c r="T1079" s="243"/>
      <c r="U1079" s="243"/>
      <c r="V1079" s="243"/>
      <c r="W1079" s="243"/>
      <c r="X1079" s="243"/>
      <c r="Y1079" s="243"/>
      <c r="Z1079" s="243"/>
      <c r="AA1079" s="243"/>
      <c r="AB1079" s="243"/>
      <c r="AC1079" s="243"/>
      <c r="AD1079" s="243"/>
      <c r="AE1079" s="243"/>
      <c r="AF1079" s="243"/>
      <c r="AG1079" s="243"/>
      <c r="AH1079" s="243"/>
      <c r="AI1079" s="243"/>
      <c r="AJ1079" s="243"/>
      <c r="AK1079" s="243"/>
      <c r="AL1079" s="243"/>
      <c r="AM1079" s="243"/>
      <c r="AN1079" s="243"/>
      <c r="AO1079" s="243"/>
      <c r="AP1079" s="243"/>
      <c r="AQ1079" s="243"/>
      <c r="AR1079" s="243"/>
      <c r="AS1079" s="243"/>
      <c r="AT1079" s="243"/>
      <c r="AU1079" s="243"/>
      <c r="AV1079" s="243"/>
      <c r="AW1079" s="243"/>
      <c r="AX1079" s="243"/>
      <c r="AY1079" s="243"/>
      <c r="AZ1079" s="243"/>
      <c r="BA1079" s="243"/>
      <c r="BB1079" s="243"/>
      <c r="BC1079" s="243"/>
      <c r="BD1079" s="243"/>
      <c r="BE1079" s="243"/>
      <c r="BF1079" s="243"/>
      <c r="BG1079" s="243"/>
      <c r="BH1079" s="243"/>
      <c r="BI1079" s="243"/>
      <c r="BJ1079" s="243"/>
      <c r="BK1079" s="243"/>
      <c r="BL1079" s="243"/>
      <c r="BM1079" s="243"/>
      <c r="BN1079" s="243"/>
      <c r="BO1079" s="243"/>
      <c r="BP1079" s="243"/>
      <c r="BQ1079" s="243"/>
      <c r="BR1079" s="243"/>
      <c r="BS1079" s="243"/>
    </row>
    <row r="1080" spans="1:71" s="12" customFormat="1" ht="41.25" customHeight="1">
      <c r="A1080" s="178" t="s">
        <v>96</v>
      </c>
      <c r="B1080" s="77" t="str">
        <f ca="1">+UPPER(Tabla1321124[[#This Row],[DESCRIPCIÓN DE LA COMPRA O CONTRATACIÓN]])</f>
        <v>CONECTORES #350 MCM, TIPO SILLITA, DOBLE</v>
      </c>
      <c r="C1080" s="39" t="s">
        <v>17</v>
      </c>
      <c r="D1080" s="236">
        <f>500+15</f>
        <v>515</v>
      </c>
      <c r="E1080" s="236">
        <f>130+15</f>
        <v>145</v>
      </c>
      <c r="F1080" s="236">
        <f>135+15</f>
        <v>150</v>
      </c>
      <c r="G1080" s="236">
        <f>135+15</f>
        <v>150</v>
      </c>
      <c r="H1080" s="240">
        <f>SUM(Tabla1321124[[#This Row],[PRIMER TRIMESTRE]:[CUARTO TRIMESTRE]])</f>
        <v>960</v>
      </c>
      <c r="I1080" s="17">
        <v>191</v>
      </c>
      <c r="J1080" s="17">
        <f t="shared" si="19"/>
        <v>183360</v>
      </c>
      <c r="K1080" s="17"/>
      <c r="L1080" s="16" t="s">
        <v>18</v>
      </c>
      <c r="M1080" s="16" t="s">
        <v>22</v>
      </c>
      <c r="N1080" s="16"/>
      <c r="O1080" s="243"/>
      <c r="P1080" s="243"/>
      <c r="Q1080" s="243"/>
      <c r="R1080" s="243"/>
      <c r="S1080" s="243"/>
      <c r="T1080" s="243"/>
      <c r="U1080" s="243"/>
      <c r="V1080" s="243"/>
      <c r="W1080" s="243"/>
      <c r="X1080" s="243"/>
      <c r="Y1080" s="243"/>
      <c r="Z1080" s="243"/>
      <c r="AA1080" s="243"/>
      <c r="AB1080" s="243"/>
      <c r="AC1080" s="243"/>
      <c r="AD1080" s="243"/>
      <c r="AE1080" s="243"/>
      <c r="AF1080" s="243"/>
      <c r="AG1080" s="243"/>
      <c r="AH1080" s="243"/>
      <c r="AI1080" s="243"/>
      <c r="AJ1080" s="243"/>
      <c r="AK1080" s="243"/>
      <c r="AL1080" s="243"/>
      <c r="AM1080" s="243"/>
      <c r="AN1080" s="243"/>
      <c r="AO1080" s="243"/>
      <c r="AP1080" s="243"/>
      <c r="AQ1080" s="243"/>
      <c r="AR1080" s="243"/>
      <c r="AS1080" s="243"/>
      <c r="AT1080" s="243"/>
      <c r="AU1080" s="243"/>
      <c r="AV1080" s="243"/>
      <c r="AW1080" s="243"/>
      <c r="AX1080" s="243"/>
      <c r="AY1080" s="243"/>
      <c r="AZ1080" s="243"/>
      <c r="BA1080" s="243"/>
      <c r="BB1080" s="243"/>
      <c r="BC1080" s="243"/>
      <c r="BD1080" s="243"/>
      <c r="BE1080" s="243"/>
      <c r="BF1080" s="243"/>
      <c r="BG1080" s="243"/>
      <c r="BH1080" s="243"/>
      <c r="BI1080" s="243"/>
      <c r="BJ1080" s="243"/>
      <c r="BK1080" s="243"/>
      <c r="BL1080" s="243"/>
      <c r="BM1080" s="243"/>
      <c r="BN1080" s="243"/>
      <c r="BO1080" s="243"/>
      <c r="BP1080" s="243"/>
      <c r="BQ1080" s="243"/>
      <c r="BR1080" s="243"/>
      <c r="BS1080" s="243"/>
    </row>
    <row r="1081" spans="1:71" s="12" customFormat="1" ht="41.25" customHeight="1">
      <c r="A1081" s="178" t="s">
        <v>96</v>
      </c>
      <c r="B1081" s="77" t="str">
        <f ca="1">+UPPER(Tabla1321124[[#This Row],[DESCRIPCIÓN DE LA COMPRA O CONTRATACIÓN]])</f>
        <v>CONECTOR DE COBRE PARA BUSHING 350 MCM</v>
      </c>
      <c r="C1081" s="39" t="s">
        <v>17</v>
      </c>
      <c r="D1081" s="236">
        <f>500+25</f>
        <v>525</v>
      </c>
      <c r="E1081" s="236">
        <f>130+25</f>
        <v>155</v>
      </c>
      <c r="F1081" s="236">
        <f>135+25</f>
        <v>160</v>
      </c>
      <c r="G1081" s="236">
        <f>135+25</f>
        <v>160</v>
      </c>
      <c r="H1081" s="240">
        <f>SUM(Tabla1321124[[#This Row],[PRIMER TRIMESTRE]:[CUARTO TRIMESTRE]])</f>
        <v>1000</v>
      </c>
      <c r="I1081" s="17">
        <v>371.2</v>
      </c>
      <c r="J1081" s="17">
        <f t="shared" si="19"/>
        <v>371200</v>
      </c>
      <c r="K1081" s="17"/>
      <c r="L1081" s="16" t="s">
        <v>18</v>
      </c>
      <c r="M1081" s="16" t="s">
        <v>22</v>
      </c>
      <c r="N1081" s="16"/>
      <c r="O1081" s="243"/>
      <c r="P1081" s="243"/>
      <c r="Q1081" s="243"/>
      <c r="R1081" s="243"/>
      <c r="S1081" s="243"/>
      <c r="T1081" s="243"/>
      <c r="U1081" s="243"/>
      <c r="V1081" s="243"/>
      <c r="W1081" s="243"/>
      <c r="X1081" s="243"/>
      <c r="Y1081" s="243"/>
      <c r="Z1081" s="243"/>
      <c r="AA1081" s="243"/>
      <c r="AB1081" s="243"/>
      <c r="AC1081" s="243"/>
      <c r="AD1081" s="243"/>
      <c r="AE1081" s="243"/>
      <c r="AF1081" s="243"/>
      <c r="AG1081" s="243"/>
      <c r="AH1081" s="243"/>
      <c r="AI1081" s="243"/>
      <c r="AJ1081" s="243"/>
      <c r="AK1081" s="243"/>
      <c r="AL1081" s="243"/>
      <c r="AM1081" s="243"/>
      <c r="AN1081" s="243"/>
      <c r="AO1081" s="243"/>
      <c r="AP1081" s="243"/>
      <c r="AQ1081" s="243"/>
      <c r="AR1081" s="243"/>
      <c r="AS1081" s="243"/>
      <c r="AT1081" s="243"/>
      <c r="AU1081" s="243"/>
      <c r="AV1081" s="243"/>
      <c r="AW1081" s="243"/>
      <c r="AX1081" s="243"/>
      <c r="AY1081" s="243"/>
      <c r="AZ1081" s="243"/>
      <c r="BA1081" s="243"/>
      <c r="BB1081" s="243"/>
      <c r="BC1081" s="243"/>
      <c r="BD1081" s="243"/>
      <c r="BE1081" s="243"/>
      <c r="BF1081" s="243"/>
      <c r="BG1081" s="243"/>
      <c r="BH1081" s="243"/>
      <c r="BI1081" s="243"/>
      <c r="BJ1081" s="243"/>
      <c r="BK1081" s="243"/>
      <c r="BL1081" s="243"/>
      <c r="BM1081" s="243"/>
      <c r="BN1081" s="243"/>
      <c r="BO1081" s="243"/>
      <c r="BP1081" s="243"/>
      <c r="BQ1081" s="243"/>
      <c r="BR1081" s="243"/>
      <c r="BS1081" s="243"/>
    </row>
    <row r="1082" spans="1:71" s="12" customFormat="1" ht="41.25" customHeight="1">
      <c r="A1082" s="178" t="s">
        <v>96</v>
      </c>
      <c r="B1082" s="77" t="str">
        <f ca="1">+UPPER(Tabla1321124[[#This Row],[DESCRIPCIÓN DE LA COMPRA O CONTRATACIÓN]])</f>
        <v>CONTROLES DE NIVEL A 230V, CON PAR DE ELECTRODOS</v>
      </c>
      <c r="C1082" s="39" t="s">
        <v>17</v>
      </c>
      <c r="D1082" s="236">
        <v>507</v>
      </c>
      <c r="E1082" s="236">
        <v>137</v>
      </c>
      <c r="F1082" s="236">
        <v>142</v>
      </c>
      <c r="G1082" s="236">
        <v>138</v>
      </c>
      <c r="H1082" s="240">
        <f>SUM(Tabla1321124[[#This Row],[PRIMER TRIMESTRE]:[CUARTO TRIMESTRE]])</f>
        <v>924</v>
      </c>
      <c r="I1082" s="17">
        <v>23600</v>
      </c>
      <c r="J1082" s="17">
        <f t="shared" si="19"/>
        <v>21806400</v>
      </c>
      <c r="K1082" s="17"/>
      <c r="L1082" s="16" t="s">
        <v>18</v>
      </c>
      <c r="M1082" s="16" t="s">
        <v>22</v>
      </c>
      <c r="N1082" s="16"/>
      <c r="O1082" s="243"/>
      <c r="P1082" s="243"/>
      <c r="Q1082" s="243"/>
      <c r="R1082" s="243"/>
      <c r="S1082" s="243"/>
      <c r="T1082" s="243"/>
      <c r="U1082" s="243"/>
      <c r="V1082" s="243"/>
      <c r="W1082" s="243"/>
      <c r="X1082" s="243"/>
      <c r="Y1082" s="243"/>
      <c r="Z1082" s="243"/>
      <c r="AA1082" s="243"/>
      <c r="AB1082" s="243"/>
      <c r="AC1082" s="243"/>
      <c r="AD1082" s="243"/>
      <c r="AE1082" s="243"/>
      <c r="AF1082" s="243"/>
      <c r="AG1082" s="243"/>
      <c r="AH1082" s="243"/>
      <c r="AI1082" s="243"/>
      <c r="AJ1082" s="243"/>
      <c r="AK1082" s="243"/>
      <c r="AL1082" s="243"/>
      <c r="AM1082" s="243"/>
      <c r="AN1082" s="243"/>
      <c r="AO1082" s="243"/>
      <c r="AP1082" s="243"/>
      <c r="AQ1082" s="243"/>
      <c r="AR1082" s="243"/>
      <c r="AS1082" s="243"/>
      <c r="AT1082" s="243"/>
      <c r="AU1082" s="243"/>
      <c r="AV1082" s="243"/>
      <c r="AW1082" s="243"/>
      <c r="AX1082" s="243"/>
      <c r="AY1082" s="243"/>
      <c r="AZ1082" s="243"/>
      <c r="BA1082" s="243"/>
      <c r="BB1082" s="243"/>
      <c r="BC1082" s="243"/>
      <c r="BD1082" s="243"/>
      <c r="BE1082" s="243"/>
      <c r="BF1082" s="243"/>
      <c r="BG1082" s="243"/>
      <c r="BH1082" s="243"/>
      <c r="BI1082" s="243"/>
      <c r="BJ1082" s="243"/>
      <c r="BK1082" s="243"/>
      <c r="BL1082" s="243"/>
      <c r="BM1082" s="243"/>
      <c r="BN1082" s="243"/>
      <c r="BO1082" s="243"/>
      <c r="BP1082" s="243"/>
      <c r="BQ1082" s="243"/>
      <c r="BR1082" s="243"/>
      <c r="BS1082" s="243"/>
    </row>
    <row r="1083" spans="1:71" s="12" customFormat="1" ht="41.25" customHeight="1">
      <c r="A1083" s="178" t="s">
        <v>96</v>
      </c>
      <c r="B1083" s="77" t="str">
        <f ca="1">+UPPER(Tabla1321124[[#This Row],[DESCRIPCIÓN DE LA COMPRA O CONTRATACIÓN]])</f>
        <v>ELECTRODOS 7018X108</v>
      </c>
      <c r="C1083" s="39" t="s">
        <v>208</v>
      </c>
      <c r="D1083" s="236">
        <f>25+14</f>
        <v>39</v>
      </c>
      <c r="E1083" s="236">
        <f>25+12</f>
        <v>37</v>
      </c>
      <c r="F1083" s="236">
        <f>25+14</f>
        <v>39</v>
      </c>
      <c r="G1083" s="236">
        <f>25+12</f>
        <v>37</v>
      </c>
      <c r="H1083" s="240">
        <f>SUM(Tabla1321124[[#This Row],[PRIMER TRIMESTRE]:[CUARTO TRIMESTRE]])</f>
        <v>152</v>
      </c>
      <c r="I1083" s="17">
        <v>1500.62</v>
      </c>
      <c r="J1083" s="17">
        <f t="shared" si="19"/>
        <v>228094.24</v>
      </c>
      <c r="K1083" s="17"/>
      <c r="L1083" s="16" t="s">
        <v>18</v>
      </c>
      <c r="M1083" s="16" t="s">
        <v>22</v>
      </c>
      <c r="N1083" s="16"/>
      <c r="O1083" s="243"/>
      <c r="P1083" s="243"/>
      <c r="Q1083" s="243"/>
      <c r="R1083" s="243"/>
      <c r="S1083" s="243"/>
      <c r="T1083" s="243"/>
      <c r="U1083" s="243"/>
      <c r="V1083" s="243"/>
      <c r="W1083" s="243"/>
      <c r="X1083" s="243"/>
      <c r="Y1083" s="243"/>
      <c r="Z1083" s="243"/>
      <c r="AA1083" s="243"/>
      <c r="AB1083" s="243"/>
      <c r="AC1083" s="243"/>
      <c r="AD1083" s="243"/>
      <c r="AE1083" s="243"/>
      <c r="AF1083" s="243"/>
      <c r="AG1083" s="243"/>
      <c r="AH1083" s="243"/>
      <c r="AI1083" s="243"/>
      <c r="AJ1083" s="243"/>
      <c r="AK1083" s="243"/>
      <c r="AL1083" s="243"/>
      <c r="AM1083" s="243"/>
      <c r="AN1083" s="243"/>
      <c r="AO1083" s="243"/>
      <c r="AP1083" s="243"/>
      <c r="AQ1083" s="243"/>
      <c r="AR1083" s="243"/>
      <c r="AS1083" s="243"/>
      <c r="AT1083" s="243"/>
      <c r="AU1083" s="243"/>
      <c r="AV1083" s="243"/>
      <c r="AW1083" s="243"/>
      <c r="AX1083" s="243"/>
      <c r="AY1083" s="243"/>
      <c r="AZ1083" s="243"/>
      <c r="BA1083" s="243"/>
      <c r="BB1083" s="243"/>
      <c r="BC1083" s="243"/>
      <c r="BD1083" s="243"/>
      <c r="BE1083" s="243"/>
      <c r="BF1083" s="243"/>
      <c r="BG1083" s="243"/>
      <c r="BH1083" s="243"/>
      <c r="BI1083" s="243"/>
      <c r="BJ1083" s="243"/>
      <c r="BK1083" s="243"/>
      <c r="BL1083" s="243"/>
      <c r="BM1083" s="243"/>
      <c r="BN1083" s="243"/>
      <c r="BO1083" s="243"/>
      <c r="BP1083" s="243"/>
      <c r="BQ1083" s="243"/>
      <c r="BR1083" s="243"/>
      <c r="BS1083" s="243"/>
    </row>
    <row r="1084" spans="1:71" s="12" customFormat="1" ht="41.25" customHeight="1">
      <c r="A1084" s="178" t="s">
        <v>96</v>
      </c>
      <c r="B1084" s="77" t="str">
        <f ca="1">+UPPER(Tabla1321124[[#This Row],[DESCRIPCIÓN DE LA COMPRA O CONTRATACIÓN]])</f>
        <v>ELECTRODO 6013X1/8</v>
      </c>
      <c r="C1084" s="39" t="s">
        <v>208</v>
      </c>
      <c r="D1084" s="236">
        <f>50+14</f>
        <v>64</v>
      </c>
      <c r="E1084" s="236">
        <f>25+10</f>
        <v>35</v>
      </c>
      <c r="F1084" s="236">
        <f>25+12</f>
        <v>37</v>
      </c>
      <c r="G1084" s="236">
        <f>100+10</f>
        <v>110</v>
      </c>
      <c r="H1084" s="240">
        <f>SUM(Tabla1321124[[#This Row],[PRIMER TRIMESTRE]:[CUARTO TRIMESTRE]])</f>
        <v>246</v>
      </c>
      <c r="I1084" s="17">
        <v>942.48</v>
      </c>
      <c r="J1084" s="17">
        <f t="shared" si="19"/>
        <v>231850.08000000002</v>
      </c>
      <c r="K1084" s="17"/>
      <c r="L1084" s="16" t="s">
        <v>18</v>
      </c>
      <c r="M1084" s="16" t="s">
        <v>22</v>
      </c>
      <c r="N1084" s="16"/>
      <c r="O1084" s="243"/>
      <c r="P1084" s="243"/>
      <c r="Q1084" s="243"/>
      <c r="R1084" s="243"/>
      <c r="S1084" s="243"/>
      <c r="T1084" s="243"/>
      <c r="U1084" s="243"/>
      <c r="V1084" s="243"/>
      <c r="W1084" s="243"/>
      <c r="X1084" s="243"/>
      <c r="Y1084" s="243"/>
      <c r="Z1084" s="243"/>
      <c r="AA1084" s="243"/>
      <c r="AB1084" s="243"/>
      <c r="AC1084" s="243"/>
      <c r="AD1084" s="243"/>
      <c r="AE1084" s="243"/>
      <c r="AF1084" s="243"/>
      <c r="AG1084" s="243"/>
      <c r="AH1084" s="243"/>
      <c r="AI1084" s="243"/>
      <c r="AJ1084" s="243"/>
      <c r="AK1084" s="243"/>
      <c r="AL1084" s="243"/>
      <c r="AM1084" s="243"/>
      <c r="AN1084" s="243"/>
      <c r="AO1084" s="243"/>
      <c r="AP1084" s="243"/>
      <c r="AQ1084" s="243"/>
      <c r="AR1084" s="243"/>
      <c r="AS1084" s="243"/>
      <c r="AT1084" s="243"/>
      <c r="AU1084" s="243"/>
      <c r="AV1084" s="243"/>
      <c r="AW1084" s="243"/>
      <c r="AX1084" s="243"/>
      <c r="AY1084" s="243"/>
      <c r="AZ1084" s="243"/>
      <c r="BA1084" s="243"/>
      <c r="BB1084" s="243"/>
      <c r="BC1084" s="243"/>
      <c r="BD1084" s="243"/>
      <c r="BE1084" s="243"/>
      <c r="BF1084" s="243"/>
      <c r="BG1084" s="243"/>
      <c r="BH1084" s="243"/>
      <c r="BI1084" s="243"/>
      <c r="BJ1084" s="243"/>
      <c r="BK1084" s="243"/>
      <c r="BL1084" s="243"/>
      <c r="BM1084" s="243"/>
      <c r="BN1084" s="243"/>
      <c r="BO1084" s="243"/>
      <c r="BP1084" s="243"/>
      <c r="BQ1084" s="243"/>
      <c r="BR1084" s="243"/>
      <c r="BS1084" s="243"/>
    </row>
    <row r="1085" spans="1:71" s="12" customFormat="1" ht="41.25" customHeight="1">
      <c r="A1085" s="178" t="s">
        <v>96</v>
      </c>
      <c r="B1085" s="77" t="str">
        <f ca="1">+UPPER(Tabla1321124[[#This Row],[DESCRIPCIÓN DE LA COMPRA O CONTRATACIÓN]])</f>
        <v>ELECTRODO 1/8</v>
      </c>
      <c r="C1085" s="39" t="s">
        <v>208</v>
      </c>
      <c r="D1085" s="236">
        <v>4</v>
      </c>
      <c r="E1085" s="236">
        <v>2</v>
      </c>
      <c r="F1085" s="236">
        <v>4</v>
      </c>
      <c r="G1085" s="236">
        <v>2</v>
      </c>
      <c r="H1085" s="240">
        <f>SUM(Tabla1321124[[#This Row],[PRIMER TRIMESTRE]:[CUARTO TRIMESTRE]])</f>
        <v>12</v>
      </c>
      <c r="I1085" s="17">
        <v>942.48</v>
      </c>
      <c r="J1085" s="17">
        <f t="shared" si="19"/>
        <v>11309.76</v>
      </c>
      <c r="K1085" s="17"/>
      <c r="L1085" s="16" t="s">
        <v>18</v>
      </c>
      <c r="M1085" s="16" t="s">
        <v>22</v>
      </c>
      <c r="N1085" s="16"/>
      <c r="O1085" s="243"/>
      <c r="P1085" s="243"/>
      <c r="Q1085" s="243"/>
      <c r="R1085" s="243"/>
      <c r="S1085" s="243"/>
      <c r="T1085" s="243"/>
      <c r="U1085" s="243"/>
      <c r="V1085" s="243"/>
      <c r="W1085" s="243"/>
      <c r="X1085" s="243"/>
      <c r="Y1085" s="243"/>
      <c r="Z1085" s="243"/>
      <c r="AA1085" s="243"/>
      <c r="AB1085" s="243"/>
      <c r="AC1085" s="243"/>
      <c r="AD1085" s="243"/>
      <c r="AE1085" s="243"/>
      <c r="AF1085" s="243"/>
      <c r="AG1085" s="243"/>
      <c r="AH1085" s="243"/>
      <c r="AI1085" s="243"/>
      <c r="AJ1085" s="243"/>
      <c r="AK1085" s="243"/>
      <c r="AL1085" s="243"/>
      <c r="AM1085" s="243"/>
      <c r="AN1085" s="243"/>
      <c r="AO1085" s="243"/>
      <c r="AP1085" s="243"/>
      <c r="AQ1085" s="243"/>
      <c r="AR1085" s="243"/>
      <c r="AS1085" s="243"/>
      <c r="AT1085" s="243"/>
      <c r="AU1085" s="243"/>
      <c r="AV1085" s="243"/>
      <c r="AW1085" s="243"/>
      <c r="AX1085" s="243"/>
      <c r="AY1085" s="243"/>
      <c r="AZ1085" s="243"/>
      <c r="BA1085" s="243"/>
      <c r="BB1085" s="243"/>
      <c r="BC1085" s="243"/>
      <c r="BD1085" s="243"/>
      <c r="BE1085" s="243"/>
      <c r="BF1085" s="243"/>
      <c r="BG1085" s="243"/>
      <c r="BH1085" s="243"/>
      <c r="BI1085" s="243"/>
      <c r="BJ1085" s="243"/>
      <c r="BK1085" s="243"/>
      <c r="BL1085" s="243"/>
      <c r="BM1085" s="243"/>
      <c r="BN1085" s="243"/>
      <c r="BO1085" s="243"/>
      <c r="BP1085" s="243"/>
      <c r="BQ1085" s="243"/>
      <c r="BR1085" s="243"/>
      <c r="BS1085" s="243"/>
    </row>
    <row r="1086" spans="1:71" s="12" customFormat="1" ht="57.75" customHeight="1">
      <c r="A1086" s="178" t="s">
        <v>96</v>
      </c>
      <c r="B1086" s="77" t="str">
        <f ca="1">+UPPER(Tabla1321124[[#This Row],[DESCRIPCIÓN DE LA COMPRA O CONTRATACIÓN]])</f>
        <v>CONTROLES DE NIVEL A 460V, CON PAR DE ELECTRODOS</v>
      </c>
      <c r="C1086" s="39" t="s">
        <v>17</v>
      </c>
      <c r="D1086" s="236">
        <v>201</v>
      </c>
      <c r="E1086" s="236">
        <v>100</v>
      </c>
      <c r="F1086" s="236">
        <v>101</v>
      </c>
      <c r="G1086" s="236">
        <v>100</v>
      </c>
      <c r="H1086" s="240">
        <f>SUM(Tabla1321124[[#This Row],[PRIMER TRIMESTRE]:[CUARTO TRIMESTRE]])</f>
        <v>502</v>
      </c>
      <c r="I1086" s="17">
        <v>25850</v>
      </c>
      <c r="J1086" s="17">
        <f t="shared" si="19"/>
        <v>12976700</v>
      </c>
      <c r="K1086" s="17"/>
      <c r="L1086" s="16" t="s">
        <v>18</v>
      </c>
      <c r="M1086" s="16" t="s">
        <v>22</v>
      </c>
      <c r="N1086" s="16"/>
      <c r="O1086" s="243"/>
      <c r="P1086" s="243"/>
      <c r="Q1086" s="243"/>
      <c r="R1086" s="243"/>
      <c r="S1086" s="243"/>
      <c r="T1086" s="243"/>
      <c r="U1086" s="243"/>
      <c r="V1086" s="243"/>
      <c r="W1086" s="243"/>
      <c r="X1086" s="243"/>
      <c r="Y1086" s="243"/>
      <c r="Z1086" s="243"/>
      <c r="AA1086" s="243"/>
      <c r="AB1086" s="243"/>
      <c r="AC1086" s="243"/>
      <c r="AD1086" s="243"/>
      <c r="AE1086" s="243"/>
      <c r="AF1086" s="243"/>
      <c r="AG1086" s="243"/>
      <c r="AH1086" s="243"/>
      <c r="AI1086" s="243"/>
      <c r="AJ1086" s="243"/>
      <c r="AK1086" s="243"/>
      <c r="AL1086" s="243"/>
      <c r="AM1086" s="243"/>
      <c r="AN1086" s="243"/>
      <c r="AO1086" s="243"/>
      <c r="AP1086" s="243"/>
      <c r="AQ1086" s="243"/>
      <c r="AR1086" s="243"/>
      <c r="AS1086" s="243"/>
      <c r="AT1086" s="243"/>
      <c r="AU1086" s="243"/>
      <c r="AV1086" s="243"/>
      <c r="AW1086" s="243"/>
      <c r="AX1086" s="243"/>
      <c r="AY1086" s="243"/>
      <c r="AZ1086" s="243"/>
      <c r="BA1086" s="243"/>
      <c r="BB1086" s="243"/>
      <c r="BC1086" s="243"/>
      <c r="BD1086" s="243"/>
      <c r="BE1086" s="243"/>
      <c r="BF1086" s="243"/>
      <c r="BG1086" s="243"/>
      <c r="BH1086" s="243"/>
      <c r="BI1086" s="243"/>
      <c r="BJ1086" s="243"/>
      <c r="BK1086" s="243"/>
      <c r="BL1086" s="243"/>
      <c r="BM1086" s="243"/>
      <c r="BN1086" s="243"/>
      <c r="BO1086" s="243"/>
      <c r="BP1086" s="243"/>
      <c r="BQ1086" s="243"/>
      <c r="BR1086" s="243"/>
      <c r="BS1086" s="243"/>
    </row>
    <row r="1087" spans="1:71" s="12" customFormat="1" ht="57.75" customHeight="1">
      <c r="A1087" s="178" t="s">
        <v>96</v>
      </c>
      <c r="B1087" s="77" t="str">
        <f ca="1">+UPPER(Tabla1321124[[#This Row],[DESCRIPCIÓN DE LA COMPRA O CONTRATACIÓN]])</f>
        <v>COMPRA DE CLORADORES CONPLETO PARA LOS ACUEDUCTOS DETALLADOS ABAJO,  DE RANGO 0-25, 0-50, 0-100 Y A 500,  DIRECTO Y POR SOLUCION Ó AL VACIO).</v>
      </c>
      <c r="C1087" s="39" t="s">
        <v>17</v>
      </c>
      <c r="D1087" s="236">
        <v>78</v>
      </c>
      <c r="E1087" s="236">
        <v>73</v>
      </c>
      <c r="F1087" s="236">
        <v>73</v>
      </c>
      <c r="G1087" s="236">
        <v>73</v>
      </c>
      <c r="H1087" s="240">
        <f>SUM(Tabla1321124[[#This Row],[PRIMER TRIMESTRE]:[CUARTO TRIMESTRE]])</f>
        <v>297</v>
      </c>
      <c r="I1087" s="17">
        <v>100000</v>
      </c>
      <c r="J1087" s="17">
        <f t="shared" si="19"/>
        <v>29700000</v>
      </c>
      <c r="K1087" s="17"/>
      <c r="L1087" s="16" t="s">
        <v>18</v>
      </c>
      <c r="M1087" s="16" t="s">
        <v>22</v>
      </c>
      <c r="N1087" s="16"/>
      <c r="O1087" s="243"/>
      <c r="P1087" s="243"/>
      <c r="Q1087" s="243"/>
      <c r="R1087" s="243"/>
      <c r="S1087" s="243"/>
      <c r="T1087" s="243"/>
      <c r="U1087" s="243"/>
      <c r="V1087" s="243"/>
      <c r="W1087" s="243"/>
      <c r="X1087" s="243"/>
      <c r="Y1087" s="243"/>
      <c r="Z1087" s="243"/>
      <c r="AA1087" s="243"/>
      <c r="AB1087" s="243"/>
      <c r="AC1087" s="243"/>
      <c r="AD1087" s="243"/>
      <c r="AE1087" s="243"/>
      <c r="AF1087" s="243"/>
      <c r="AG1087" s="243"/>
      <c r="AH1087" s="243"/>
      <c r="AI1087" s="243"/>
      <c r="AJ1087" s="243"/>
      <c r="AK1087" s="243"/>
      <c r="AL1087" s="243"/>
      <c r="AM1087" s="243"/>
      <c r="AN1087" s="243"/>
      <c r="AO1087" s="243"/>
      <c r="AP1087" s="243"/>
      <c r="AQ1087" s="243"/>
      <c r="AR1087" s="243"/>
      <c r="AS1087" s="243"/>
      <c r="AT1087" s="243"/>
      <c r="AU1087" s="243"/>
      <c r="AV1087" s="243"/>
      <c r="AW1087" s="243"/>
      <c r="AX1087" s="243"/>
      <c r="AY1087" s="243"/>
      <c r="AZ1087" s="243"/>
      <c r="BA1087" s="243"/>
      <c r="BB1087" s="243"/>
      <c r="BC1087" s="243"/>
      <c r="BD1087" s="243"/>
      <c r="BE1087" s="243"/>
      <c r="BF1087" s="243"/>
      <c r="BG1087" s="243"/>
      <c r="BH1087" s="243"/>
      <c r="BI1087" s="243"/>
      <c r="BJ1087" s="243"/>
      <c r="BK1087" s="243"/>
      <c r="BL1087" s="243"/>
      <c r="BM1087" s="243"/>
      <c r="BN1087" s="243"/>
      <c r="BO1087" s="243"/>
      <c r="BP1087" s="243"/>
      <c r="BQ1087" s="243"/>
      <c r="BR1087" s="243"/>
      <c r="BS1087" s="243"/>
    </row>
    <row r="1088" spans="1:71" s="12" customFormat="1" ht="57.75" customHeight="1">
      <c r="A1088" s="178" t="s">
        <v>96</v>
      </c>
      <c r="B1088" s="77" t="str">
        <f ca="1">+UPPER(Tabla1321124[[#This Row],[DESCRIPCIÓN DE LA COMPRA O CONTRATACIÓN]])</f>
        <v xml:space="preserve">REPUESTOS PARA CLORADORES DE LA MARCA SUPERIOR,  OR-104, OR-110, OR-106, OR-101, , TU-150, VR-150, YV-110, YV-120, OV-140, GK-125, A-100 </v>
      </c>
      <c r="C1088" s="39" t="s">
        <v>17</v>
      </c>
      <c r="D1088" s="352">
        <v>1</v>
      </c>
      <c r="E1088" s="352"/>
      <c r="F1088" s="352"/>
      <c r="G1088" s="352"/>
      <c r="H1088" s="240">
        <f>SUM(Tabla1321124[[#This Row],[PRIMER TRIMESTRE]:[CUARTO TRIMESTRE]])</f>
        <v>1</v>
      </c>
      <c r="I1088" s="17">
        <v>1000000</v>
      </c>
      <c r="J1088" s="17">
        <f t="shared" si="19"/>
        <v>1000000</v>
      </c>
      <c r="K1088" s="345"/>
      <c r="L1088" s="16" t="s">
        <v>18</v>
      </c>
      <c r="M1088" s="16" t="s">
        <v>22</v>
      </c>
      <c r="N1088" s="16"/>
      <c r="O1088" s="243"/>
      <c r="P1088" s="243"/>
      <c r="Q1088" s="243"/>
      <c r="R1088" s="243"/>
      <c r="S1088" s="243"/>
      <c r="T1088" s="243"/>
      <c r="U1088" s="243"/>
      <c r="V1088" s="243"/>
      <c r="W1088" s="243"/>
      <c r="X1088" s="243"/>
      <c r="Y1088" s="243"/>
      <c r="Z1088" s="243"/>
      <c r="AA1088" s="243"/>
      <c r="AB1088" s="243"/>
      <c r="AC1088" s="243"/>
      <c r="AD1088" s="243"/>
      <c r="AE1088" s="243"/>
      <c r="AF1088" s="243"/>
      <c r="AG1088" s="243"/>
      <c r="AH1088" s="243"/>
      <c r="AI1088" s="243"/>
      <c r="AJ1088" s="243"/>
      <c r="AK1088" s="243"/>
      <c r="AL1088" s="243"/>
      <c r="AM1088" s="243"/>
      <c r="AN1088" s="243"/>
      <c r="AO1088" s="243"/>
      <c r="AP1088" s="243"/>
      <c r="AQ1088" s="243"/>
      <c r="AR1088" s="243"/>
      <c r="AS1088" s="243"/>
      <c r="AT1088" s="243"/>
      <c r="AU1088" s="243"/>
      <c r="AV1088" s="243"/>
      <c r="AW1088" s="243"/>
      <c r="AX1088" s="243"/>
      <c r="AY1088" s="243"/>
      <c r="AZ1088" s="243"/>
      <c r="BA1088" s="243"/>
      <c r="BB1088" s="243"/>
      <c r="BC1088" s="243"/>
      <c r="BD1088" s="243"/>
      <c r="BE1088" s="243"/>
      <c r="BF1088" s="243"/>
      <c r="BG1088" s="243"/>
      <c r="BH1088" s="243"/>
      <c r="BI1088" s="243"/>
      <c r="BJ1088" s="243"/>
      <c r="BK1088" s="243"/>
      <c r="BL1088" s="243"/>
      <c r="BM1088" s="243"/>
      <c r="BN1088" s="243"/>
      <c r="BO1088" s="243"/>
      <c r="BP1088" s="243"/>
      <c r="BQ1088" s="243"/>
      <c r="BR1088" s="243"/>
      <c r="BS1088" s="243"/>
    </row>
    <row r="1089" spans="1:71" s="12" customFormat="1" ht="41.25" customHeight="1">
      <c r="A1089" s="178" t="s">
        <v>96</v>
      </c>
      <c r="B1089" s="77" t="str">
        <f ca="1">+UPPER(Tabla1321124[[#This Row],[DESCRIPCIÓN DE LA COMPRA O CONTRATACIÓN]])</f>
        <v>REPUESTOS PARA CLORADORES ADVANCE, D-107, D-104, ESLIN D-102, OV-006, OV-009, OV-008 , OV-112, OV-114</v>
      </c>
      <c r="C1089" s="39" t="s">
        <v>17</v>
      </c>
      <c r="D1089" s="352">
        <v>1</v>
      </c>
      <c r="E1089" s="352"/>
      <c r="F1089" s="352"/>
      <c r="G1089" s="352"/>
      <c r="H1089" s="240">
        <f>SUM(Tabla1321124[[#This Row],[PRIMER TRIMESTRE]:[CUARTO TRIMESTRE]])</f>
        <v>1</v>
      </c>
      <c r="I1089" s="17">
        <v>1000000</v>
      </c>
      <c r="J1089" s="17">
        <f t="shared" si="19"/>
        <v>1000000</v>
      </c>
      <c r="K1089" s="345"/>
      <c r="L1089" s="16" t="s">
        <v>18</v>
      </c>
      <c r="M1089" s="16" t="s">
        <v>22</v>
      </c>
      <c r="N1089" s="16"/>
      <c r="O1089" s="243"/>
      <c r="P1089" s="243"/>
      <c r="Q1089" s="243"/>
      <c r="R1089" s="243"/>
      <c r="S1089" s="243"/>
      <c r="T1089" s="243"/>
      <c r="U1089" s="243"/>
      <c r="V1089" s="243"/>
      <c r="W1089" s="243"/>
      <c r="X1089" s="243"/>
      <c r="Y1089" s="243"/>
      <c r="Z1089" s="243"/>
      <c r="AA1089" s="243"/>
      <c r="AB1089" s="243"/>
      <c r="AC1089" s="243"/>
      <c r="AD1089" s="243"/>
      <c r="AE1089" s="243"/>
      <c r="AF1089" s="243"/>
      <c r="AG1089" s="243"/>
      <c r="AH1089" s="243"/>
      <c r="AI1089" s="243"/>
      <c r="AJ1089" s="243"/>
      <c r="AK1089" s="243"/>
      <c r="AL1089" s="243"/>
      <c r="AM1089" s="243"/>
      <c r="AN1089" s="243"/>
      <c r="AO1089" s="243"/>
      <c r="AP1089" s="243"/>
      <c r="AQ1089" s="243"/>
      <c r="AR1089" s="243"/>
      <c r="AS1089" s="243"/>
      <c r="AT1089" s="243"/>
      <c r="AU1089" s="243"/>
      <c r="AV1089" s="243"/>
      <c r="AW1089" s="243"/>
      <c r="AX1089" s="243"/>
      <c r="AY1089" s="243"/>
      <c r="AZ1089" s="243"/>
      <c r="BA1089" s="243"/>
      <c r="BB1089" s="243"/>
      <c r="BC1089" s="243"/>
      <c r="BD1089" s="243"/>
      <c r="BE1089" s="243"/>
      <c r="BF1089" s="243"/>
      <c r="BG1089" s="243"/>
      <c r="BH1089" s="243"/>
      <c r="BI1089" s="243"/>
      <c r="BJ1089" s="243"/>
      <c r="BK1089" s="243"/>
      <c r="BL1089" s="243"/>
      <c r="BM1089" s="243"/>
      <c r="BN1089" s="243"/>
      <c r="BO1089" s="243"/>
      <c r="BP1089" s="243"/>
      <c r="BQ1089" s="243"/>
      <c r="BR1089" s="243"/>
      <c r="BS1089" s="243"/>
    </row>
    <row r="1090" spans="1:71" s="12" customFormat="1" ht="41.25" customHeight="1">
      <c r="A1090" s="178" t="s">
        <v>96</v>
      </c>
      <c r="B1090" s="75" t="str">
        <f ca="1">+UPPER(Tabla1321124[[#This Row],[DESCRIPCIÓN DE LA COMPRA O CONTRATACIÓN]])</f>
        <v>AISLADORES TIPO CAMPANA, PARA 15KV</v>
      </c>
      <c r="C1090" s="39" t="s">
        <v>17</v>
      </c>
      <c r="D1090" s="236">
        <f t="shared" ref="D1090:G1091" si="20">100+15</f>
        <v>115</v>
      </c>
      <c r="E1090" s="236">
        <f t="shared" si="20"/>
        <v>115</v>
      </c>
      <c r="F1090" s="236">
        <f t="shared" si="20"/>
        <v>115</v>
      </c>
      <c r="G1090" s="236">
        <f t="shared" si="20"/>
        <v>115</v>
      </c>
      <c r="H1090" s="240">
        <f>SUM(Tabla1321124[[#This Row],[PRIMER TRIMESTRE]:[CUARTO TRIMESTRE]])</f>
        <v>460</v>
      </c>
      <c r="I1090" s="17">
        <v>600</v>
      </c>
      <c r="J1090" s="17">
        <f t="shared" si="19"/>
        <v>276000</v>
      </c>
      <c r="K1090" s="17"/>
      <c r="L1090" s="16" t="s">
        <v>18</v>
      </c>
      <c r="M1090" s="16" t="s">
        <v>22</v>
      </c>
      <c r="N1090" s="16"/>
      <c r="O1090" s="243"/>
      <c r="P1090" s="243"/>
      <c r="Q1090" s="243"/>
      <c r="R1090" s="243"/>
      <c r="S1090" s="243"/>
      <c r="T1090" s="243"/>
      <c r="U1090" s="243"/>
      <c r="V1090" s="243"/>
      <c r="W1090" s="243"/>
      <c r="X1090" s="243"/>
      <c r="Y1090" s="243"/>
      <c r="Z1090" s="243"/>
      <c r="AA1090" s="243"/>
      <c r="AB1090" s="243"/>
      <c r="AC1090" s="243"/>
      <c r="AD1090" s="243"/>
      <c r="AE1090" s="243"/>
      <c r="AF1090" s="243"/>
      <c r="AG1090" s="243"/>
      <c r="AH1090" s="243"/>
      <c r="AI1090" s="243"/>
      <c r="AJ1090" s="243"/>
      <c r="AK1090" s="243"/>
      <c r="AL1090" s="243"/>
      <c r="AM1090" s="243"/>
      <c r="AN1090" s="243"/>
      <c r="AO1090" s="243"/>
      <c r="AP1090" s="243"/>
      <c r="AQ1090" s="243"/>
      <c r="AR1090" s="243"/>
      <c r="AS1090" s="243"/>
      <c r="AT1090" s="243"/>
      <c r="AU1090" s="243"/>
      <c r="AV1090" s="243"/>
      <c r="AW1090" s="243"/>
      <c r="AX1090" s="243"/>
      <c r="AY1090" s="243"/>
      <c r="AZ1090" s="243"/>
      <c r="BA1090" s="243"/>
      <c r="BB1090" s="243"/>
      <c r="BC1090" s="243"/>
      <c r="BD1090" s="243"/>
      <c r="BE1090" s="243"/>
      <c r="BF1090" s="243"/>
      <c r="BG1090" s="243"/>
      <c r="BH1090" s="243"/>
      <c r="BI1090" s="243"/>
      <c r="BJ1090" s="243"/>
      <c r="BK1090" s="243"/>
      <c r="BL1090" s="243"/>
      <c r="BM1090" s="243"/>
      <c r="BN1090" s="243"/>
      <c r="BO1090" s="243"/>
      <c r="BP1090" s="243"/>
      <c r="BQ1090" s="243"/>
      <c r="BR1090" s="243"/>
      <c r="BS1090" s="243"/>
    </row>
    <row r="1091" spans="1:71" s="12" customFormat="1" ht="41.25" customHeight="1">
      <c r="A1091" s="178" t="s">
        <v>96</v>
      </c>
      <c r="B1091" s="75" t="str">
        <f ca="1">+UPPER(Tabla1321124[[#This Row],[DESCRIPCIÓN DE LA COMPRA O CONTRATACIÓN]])</f>
        <v>AISLADORES TIPO PIN (55-5)</v>
      </c>
      <c r="C1091" s="39" t="s">
        <v>17</v>
      </c>
      <c r="D1091" s="236">
        <f t="shared" si="20"/>
        <v>115</v>
      </c>
      <c r="E1091" s="236">
        <f t="shared" si="20"/>
        <v>115</v>
      </c>
      <c r="F1091" s="236">
        <f t="shared" si="20"/>
        <v>115</v>
      </c>
      <c r="G1091" s="236">
        <f t="shared" si="20"/>
        <v>115</v>
      </c>
      <c r="H1091" s="240">
        <f>SUM(Tabla1321124[[#This Row],[PRIMER TRIMESTRE]:[CUARTO TRIMESTRE]])</f>
        <v>460</v>
      </c>
      <c r="I1091" s="17">
        <v>350</v>
      </c>
      <c r="J1091" s="17">
        <f t="shared" si="19"/>
        <v>161000</v>
      </c>
      <c r="K1091" s="17"/>
      <c r="L1091" s="16" t="s">
        <v>18</v>
      </c>
      <c r="M1091" s="16" t="s">
        <v>22</v>
      </c>
      <c r="N1091" s="16"/>
      <c r="O1091" s="243"/>
      <c r="P1091" s="243"/>
      <c r="Q1091" s="243"/>
      <c r="R1091" s="243"/>
      <c r="S1091" s="243"/>
      <c r="T1091" s="243"/>
      <c r="U1091" s="243"/>
      <c r="V1091" s="243"/>
      <c r="W1091" s="243"/>
      <c r="X1091" s="243"/>
      <c r="Y1091" s="243"/>
      <c r="Z1091" s="243"/>
      <c r="AA1091" s="243"/>
      <c r="AB1091" s="243"/>
      <c r="AC1091" s="243"/>
      <c r="AD1091" s="243"/>
      <c r="AE1091" s="243"/>
      <c r="AF1091" s="243"/>
      <c r="AG1091" s="243"/>
      <c r="AH1091" s="243"/>
      <c r="AI1091" s="243"/>
      <c r="AJ1091" s="243"/>
      <c r="AK1091" s="243"/>
      <c r="AL1091" s="243"/>
      <c r="AM1091" s="243"/>
      <c r="AN1091" s="243"/>
      <c r="AO1091" s="243"/>
      <c r="AP1091" s="243"/>
      <c r="AQ1091" s="243"/>
      <c r="AR1091" s="243"/>
      <c r="AS1091" s="243"/>
      <c r="AT1091" s="243"/>
      <c r="AU1091" s="243"/>
      <c r="AV1091" s="243"/>
      <c r="AW1091" s="243"/>
      <c r="AX1091" s="243"/>
      <c r="AY1091" s="243"/>
      <c r="AZ1091" s="243"/>
      <c r="BA1091" s="243"/>
      <c r="BB1091" s="243"/>
      <c r="BC1091" s="243"/>
      <c r="BD1091" s="243"/>
      <c r="BE1091" s="243"/>
      <c r="BF1091" s="243"/>
      <c r="BG1091" s="243"/>
      <c r="BH1091" s="243"/>
      <c r="BI1091" s="243"/>
      <c r="BJ1091" s="243"/>
      <c r="BK1091" s="243"/>
      <c r="BL1091" s="243"/>
      <c r="BM1091" s="243"/>
      <c r="BN1091" s="243"/>
      <c r="BO1091" s="243"/>
      <c r="BP1091" s="243"/>
      <c r="BQ1091" s="243"/>
      <c r="BR1091" s="243"/>
      <c r="BS1091" s="243"/>
    </row>
    <row r="1092" spans="1:71" s="12" customFormat="1" ht="41.25" customHeight="1">
      <c r="A1092" s="178" t="s">
        <v>96</v>
      </c>
      <c r="B1092" s="75" t="str">
        <f ca="1">+UPPER(Tabla1321124[[#This Row],[DESCRIPCIÓN DE LA COMPRA O CONTRATACIÓN]])</f>
        <v>AISLADORES VARILLA DE TIERRA, CON SU CONECTOR 5/8"X 8'</v>
      </c>
      <c r="C1092" s="39" t="s">
        <v>17</v>
      </c>
      <c r="D1092" s="236">
        <f>100+5</f>
        <v>105</v>
      </c>
      <c r="E1092" s="236">
        <f>25+5</f>
        <v>30</v>
      </c>
      <c r="F1092" s="236">
        <f>25+5</f>
        <v>30</v>
      </c>
      <c r="G1092" s="236">
        <f>100+5</f>
        <v>105</v>
      </c>
      <c r="H1092" s="240">
        <f>SUM(Tabla1321124[[#This Row],[PRIMER TRIMESTRE]:[CUARTO TRIMESTRE]])</f>
        <v>270</v>
      </c>
      <c r="I1092" s="17">
        <v>450</v>
      </c>
      <c r="J1092" s="17">
        <f t="shared" si="19"/>
        <v>121500</v>
      </c>
      <c r="K1092" s="17"/>
      <c r="L1092" s="16" t="s">
        <v>18</v>
      </c>
      <c r="M1092" s="16" t="s">
        <v>22</v>
      </c>
      <c r="N1092" s="16"/>
      <c r="O1092" s="243"/>
      <c r="P1092" s="243"/>
      <c r="Q1092" s="243"/>
      <c r="R1092" s="243"/>
      <c r="S1092" s="243"/>
      <c r="T1092" s="243"/>
      <c r="U1092" s="243"/>
      <c r="V1092" s="243"/>
      <c r="W1092" s="243"/>
      <c r="X1092" s="243"/>
      <c r="Y1092" s="243"/>
      <c r="Z1092" s="243"/>
      <c r="AA1092" s="243"/>
      <c r="AB1092" s="243"/>
      <c r="AC1092" s="243"/>
      <c r="AD1092" s="243"/>
      <c r="AE1092" s="243"/>
      <c r="AF1092" s="243"/>
      <c r="AG1092" s="243"/>
      <c r="AH1092" s="243"/>
      <c r="AI1092" s="243"/>
      <c r="AJ1092" s="243"/>
      <c r="AK1092" s="243"/>
      <c r="AL1092" s="243"/>
      <c r="AM1092" s="243"/>
      <c r="AN1092" s="243"/>
      <c r="AO1092" s="243"/>
      <c r="AP1092" s="243"/>
      <c r="AQ1092" s="243"/>
      <c r="AR1092" s="243"/>
      <c r="AS1092" s="243"/>
      <c r="AT1092" s="243"/>
      <c r="AU1092" s="243"/>
      <c r="AV1092" s="243"/>
      <c r="AW1092" s="243"/>
      <c r="AX1092" s="243"/>
      <c r="AY1092" s="243"/>
      <c r="AZ1092" s="243"/>
      <c r="BA1092" s="243"/>
      <c r="BB1092" s="243"/>
      <c r="BC1092" s="243"/>
      <c r="BD1092" s="243"/>
      <c r="BE1092" s="243"/>
      <c r="BF1092" s="243"/>
      <c r="BG1092" s="243"/>
      <c r="BH1092" s="243"/>
      <c r="BI1092" s="243"/>
      <c r="BJ1092" s="243"/>
      <c r="BK1092" s="243"/>
      <c r="BL1092" s="243"/>
      <c r="BM1092" s="243"/>
      <c r="BN1092" s="243"/>
      <c r="BO1092" s="243"/>
      <c r="BP1092" s="243"/>
      <c r="BQ1092" s="243"/>
      <c r="BR1092" s="243"/>
      <c r="BS1092" s="243"/>
    </row>
    <row r="1093" spans="1:71" s="12" customFormat="1" ht="41.25" customHeight="1">
      <c r="A1093" s="178" t="s">
        <v>96</v>
      </c>
      <c r="B1093" s="75" t="str">
        <f ca="1">+UPPER(Tabla1321124[[#This Row],[DESCRIPCIÓN DE LA COMPRA O CONTRATACIÓN]])</f>
        <v>EMPAQUETADURAS TEFLONADAS Ø 1/4"</v>
      </c>
      <c r="C1093" s="39" t="s">
        <v>344</v>
      </c>
      <c r="D1093" s="352">
        <v>555</v>
      </c>
      <c r="E1093" s="352">
        <v>305</v>
      </c>
      <c r="F1093" s="352">
        <v>155</v>
      </c>
      <c r="G1093" s="352">
        <v>155</v>
      </c>
      <c r="H1093" s="240">
        <f>SUM(Tabla1321124[[#This Row],[PRIMER TRIMESTRE]:[CUARTO TRIMESTRE]])</f>
        <v>1170</v>
      </c>
      <c r="I1093" s="17">
        <v>3650</v>
      </c>
      <c r="J1093" s="17">
        <f t="shared" si="19"/>
        <v>4270500</v>
      </c>
      <c r="K1093" s="17"/>
      <c r="L1093" s="16" t="s">
        <v>18</v>
      </c>
      <c r="M1093" s="16" t="s">
        <v>22</v>
      </c>
      <c r="N1093" s="16"/>
      <c r="O1093" s="243"/>
      <c r="P1093" s="243"/>
      <c r="Q1093" s="243"/>
      <c r="R1093" s="243"/>
      <c r="S1093" s="243"/>
      <c r="T1093" s="243"/>
      <c r="U1093" s="243"/>
      <c r="V1093" s="243"/>
      <c r="W1093" s="243"/>
      <c r="X1093" s="243"/>
      <c r="Y1093" s="243"/>
      <c r="Z1093" s="243"/>
      <c r="AA1093" s="243"/>
      <c r="AB1093" s="243"/>
      <c r="AC1093" s="243"/>
      <c r="AD1093" s="243"/>
      <c r="AE1093" s="243"/>
      <c r="AF1093" s="243"/>
      <c r="AG1093" s="243"/>
      <c r="AH1093" s="243"/>
      <c r="AI1093" s="243"/>
      <c r="AJ1093" s="243"/>
      <c r="AK1093" s="243"/>
      <c r="AL1093" s="243"/>
      <c r="AM1093" s="243"/>
      <c r="AN1093" s="243"/>
      <c r="AO1093" s="243"/>
      <c r="AP1093" s="243"/>
      <c r="AQ1093" s="243"/>
      <c r="AR1093" s="243"/>
      <c r="AS1093" s="243"/>
      <c r="AT1093" s="243"/>
      <c r="AU1093" s="243"/>
      <c r="AV1093" s="243"/>
      <c r="AW1093" s="243"/>
      <c r="AX1093" s="243"/>
      <c r="AY1093" s="243"/>
      <c r="AZ1093" s="243"/>
      <c r="BA1093" s="243"/>
      <c r="BB1093" s="243"/>
      <c r="BC1093" s="243"/>
      <c r="BD1093" s="243"/>
      <c r="BE1093" s="243"/>
      <c r="BF1093" s="243"/>
      <c r="BG1093" s="243"/>
      <c r="BH1093" s="243"/>
      <c r="BI1093" s="243"/>
      <c r="BJ1093" s="243"/>
      <c r="BK1093" s="243"/>
      <c r="BL1093" s="243"/>
      <c r="BM1093" s="243"/>
      <c r="BN1093" s="243"/>
      <c r="BO1093" s="243"/>
      <c r="BP1093" s="243"/>
      <c r="BQ1093" s="243"/>
      <c r="BR1093" s="243"/>
      <c r="BS1093" s="243"/>
    </row>
    <row r="1094" spans="1:71" s="12" customFormat="1" ht="41.25" customHeight="1">
      <c r="A1094" s="178" t="s">
        <v>96</v>
      </c>
      <c r="B1094" s="75" t="str">
        <f ca="1">+UPPER(Tabla1321124[[#This Row],[DESCRIPCIÓN DE LA COMPRA O CONTRATACIÓN]])</f>
        <v>EMPAQUETADURAS TEFLONADAS Ø 3/8"</v>
      </c>
      <c r="C1094" s="39" t="s">
        <v>344</v>
      </c>
      <c r="D1094" s="352">
        <v>517</v>
      </c>
      <c r="E1094" s="352">
        <v>267</v>
      </c>
      <c r="F1094" s="352">
        <v>117</v>
      </c>
      <c r="G1094" s="352">
        <v>117</v>
      </c>
      <c r="H1094" s="240">
        <f>SUM(Tabla1321124[[#This Row],[PRIMER TRIMESTRE]:[CUARTO TRIMESTRE]])</f>
        <v>1018</v>
      </c>
      <c r="I1094" s="17">
        <v>3650</v>
      </c>
      <c r="J1094" s="17">
        <f t="shared" si="19"/>
        <v>3715700</v>
      </c>
      <c r="K1094" s="17"/>
      <c r="L1094" s="16" t="s">
        <v>18</v>
      </c>
      <c r="M1094" s="16" t="s">
        <v>22</v>
      </c>
      <c r="N1094" s="16"/>
      <c r="O1094" s="243"/>
      <c r="P1094" s="243"/>
      <c r="Q1094" s="243"/>
      <c r="R1094" s="243"/>
      <c r="S1094" s="243"/>
      <c r="T1094" s="243"/>
      <c r="U1094" s="243"/>
      <c r="V1094" s="243"/>
      <c r="W1094" s="243"/>
      <c r="X1094" s="243"/>
      <c r="Y1094" s="243"/>
      <c r="Z1094" s="243"/>
      <c r="AA1094" s="243"/>
      <c r="AB1094" s="243"/>
      <c r="AC1094" s="243"/>
      <c r="AD1094" s="243"/>
      <c r="AE1094" s="243"/>
      <c r="AF1094" s="243"/>
      <c r="AG1094" s="243"/>
      <c r="AH1094" s="243"/>
      <c r="AI1094" s="243"/>
      <c r="AJ1094" s="243"/>
      <c r="AK1094" s="243"/>
      <c r="AL1094" s="243"/>
      <c r="AM1094" s="243"/>
      <c r="AN1094" s="243"/>
      <c r="AO1094" s="243"/>
      <c r="AP1094" s="243"/>
      <c r="AQ1094" s="243"/>
      <c r="AR1094" s="243"/>
      <c r="AS1094" s="243"/>
      <c r="AT1094" s="243"/>
      <c r="AU1094" s="243"/>
      <c r="AV1094" s="243"/>
      <c r="AW1094" s="243"/>
      <c r="AX1094" s="243"/>
      <c r="AY1094" s="243"/>
      <c r="AZ1094" s="243"/>
      <c r="BA1094" s="243"/>
      <c r="BB1094" s="243"/>
      <c r="BC1094" s="243"/>
      <c r="BD1094" s="243"/>
      <c r="BE1094" s="243"/>
      <c r="BF1094" s="243"/>
      <c r="BG1094" s="243"/>
      <c r="BH1094" s="243"/>
      <c r="BI1094" s="243"/>
      <c r="BJ1094" s="243"/>
      <c r="BK1094" s="243"/>
      <c r="BL1094" s="243"/>
      <c r="BM1094" s="243"/>
      <c r="BN1094" s="243"/>
      <c r="BO1094" s="243"/>
      <c r="BP1094" s="243"/>
      <c r="BQ1094" s="243"/>
      <c r="BR1094" s="243"/>
      <c r="BS1094" s="243"/>
    </row>
    <row r="1095" spans="1:71" s="12" customFormat="1" ht="41.25" customHeight="1">
      <c r="A1095" s="178" t="s">
        <v>96</v>
      </c>
      <c r="B1095" s="75" t="str">
        <f ca="1">+UPPER(Tabla1321124[[#This Row],[DESCRIPCIÓN DE LA COMPRA O CONTRATACIÓN]])</f>
        <v>EMPAQUETADURAS TEFLONADAS Ø 5/16"</v>
      </c>
      <c r="C1095" s="39" t="s">
        <v>344</v>
      </c>
      <c r="D1095" s="352">
        <v>515</v>
      </c>
      <c r="E1095" s="352">
        <v>265</v>
      </c>
      <c r="F1095" s="352">
        <v>115</v>
      </c>
      <c r="G1095" s="352">
        <v>115</v>
      </c>
      <c r="H1095" s="240">
        <f>SUM(Tabla1321124[[#This Row],[PRIMER TRIMESTRE]:[CUARTO TRIMESTRE]])</f>
        <v>1010</v>
      </c>
      <c r="I1095" s="17">
        <v>3650</v>
      </c>
      <c r="J1095" s="17">
        <f t="shared" ref="J1095:J1158" si="21">+H1095*I1095</f>
        <v>3686500</v>
      </c>
      <c r="K1095" s="17"/>
      <c r="L1095" s="16" t="s">
        <v>18</v>
      </c>
      <c r="M1095" s="16" t="s">
        <v>22</v>
      </c>
      <c r="N1095" s="16"/>
      <c r="O1095" s="243"/>
      <c r="P1095" s="243"/>
      <c r="Q1095" s="243"/>
      <c r="R1095" s="243"/>
      <c r="S1095" s="243"/>
      <c r="T1095" s="243"/>
      <c r="U1095" s="243"/>
      <c r="V1095" s="243"/>
      <c r="W1095" s="243"/>
      <c r="X1095" s="243"/>
      <c r="Y1095" s="243"/>
      <c r="Z1095" s="243"/>
      <c r="AA1095" s="243"/>
      <c r="AB1095" s="243"/>
      <c r="AC1095" s="243"/>
      <c r="AD1095" s="243"/>
      <c r="AE1095" s="243"/>
      <c r="AF1095" s="243"/>
      <c r="AG1095" s="243"/>
      <c r="AH1095" s="243"/>
      <c r="AI1095" s="243"/>
      <c r="AJ1095" s="243"/>
      <c r="AK1095" s="243"/>
      <c r="AL1095" s="243"/>
      <c r="AM1095" s="243"/>
      <c r="AN1095" s="243"/>
      <c r="AO1095" s="243"/>
      <c r="AP1095" s="243"/>
      <c r="AQ1095" s="243"/>
      <c r="AR1095" s="243"/>
      <c r="AS1095" s="243"/>
      <c r="AT1095" s="243"/>
      <c r="AU1095" s="243"/>
      <c r="AV1095" s="243"/>
      <c r="AW1095" s="243"/>
      <c r="AX1095" s="243"/>
      <c r="AY1095" s="243"/>
      <c r="AZ1095" s="243"/>
      <c r="BA1095" s="243"/>
      <c r="BB1095" s="243"/>
      <c r="BC1095" s="243"/>
      <c r="BD1095" s="243"/>
      <c r="BE1095" s="243"/>
      <c r="BF1095" s="243"/>
      <c r="BG1095" s="243"/>
      <c r="BH1095" s="243"/>
      <c r="BI1095" s="243"/>
      <c r="BJ1095" s="243"/>
      <c r="BK1095" s="243"/>
      <c r="BL1095" s="243"/>
      <c r="BM1095" s="243"/>
      <c r="BN1095" s="243"/>
      <c r="BO1095" s="243"/>
      <c r="BP1095" s="243"/>
      <c r="BQ1095" s="243"/>
      <c r="BR1095" s="243"/>
      <c r="BS1095" s="243"/>
    </row>
    <row r="1096" spans="1:71" s="12" customFormat="1" ht="41.25" customHeight="1">
      <c r="A1096" s="178" t="s">
        <v>96</v>
      </c>
      <c r="B1096" s="75" t="str">
        <f ca="1">+UPPER(Tabla1321124[[#This Row],[DESCRIPCIÓN DE LA COMPRA O CONTRATACIÓN]])</f>
        <v>EMPAQUETADURAS TEFLONADAS Ø 1/2"</v>
      </c>
      <c r="C1096" s="39" t="s">
        <v>344</v>
      </c>
      <c r="D1096" s="352">
        <v>515</v>
      </c>
      <c r="E1096" s="352">
        <v>265</v>
      </c>
      <c r="F1096" s="352">
        <v>115</v>
      </c>
      <c r="G1096" s="352">
        <v>115</v>
      </c>
      <c r="H1096" s="240">
        <f>SUM(Tabla1321124[[#This Row],[PRIMER TRIMESTRE]:[CUARTO TRIMESTRE]])</f>
        <v>1010</v>
      </c>
      <c r="I1096" s="17">
        <v>3650</v>
      </c>
      <c r="J1096" s="17">
        <f t="shared" si="21"/>
        <v>3686500</v>
      </c>
      <c r="K1096" s="17"/>
      <c r="L1096" s="16" t="s">
        <v>18</v>
      </c>
      <c r="M1096" s="16" t="s">
        <v>22</v>
      </c>
      <c r="N1096" s="16"/>
      <c r="O1096" s="243"/>
      <c r="P1096" s="243"/>
      <c r="Q1096" s="243"/>
      <c r="R1096" s="243"/>
      <c r="S1096" s="243"/>
      <c r="T1096" s="243"/>
      <c r="U1096" s="243"/>
      <c r="V1096" s="243"/>
      <c r="W1096" s="243"/>
      <c r="X1096" s="243"/>
      <c r="Y1096" s="243"/>
      <c r="Z1096" s="243"/>
      <c r="AA1096" s="243"/>
      <c r="AB1096" s="243"/>
      <c r="AC1096" s="243"/>
      <c r="AD1096" s="243"/>
      <c r="AE1096" s="243"/>
      <c r="AF1096" s="243"/>
      <c r="AG1096" s="243"/>
      <c r="AH1096" s="243"/>
      <c r="AI1096" s="243"/>
      <c r="AJ1096" s="243"/>
      <c r="AK1096" s="243"/>
      <c r="AL1096" s="243"/>
      <c r="AM1096" s="243"/>
      <c r="AN1096" s="243"/>
      <c r="AO1096" s="243"/>
      <c r="AP1096" s="243"/>
      <c r="AQ1096" s="243"/>
      <c r="AR1096" s="243"/>
      <c r="AS1096" s="243"/>
      <c r="AT1096" s="243"/>
      <c r="AU1096" s="243"/>
      <c r="AV1096" s="243"/>
      <c r="AW1096" s="243"/>
      <c r="AX1096" s="243"/>
      <c r="AY1096" s="243"/>
      <c r="AZ1096" s="243"/>
      <c r="BA1096" s="243"/>
      <c r="BB1096" s="243"/>
      <c r="BC1096" s="243"/>
      <c r="BD1096" s="243"/>
      <c r="BE1096" s="243"/>
      <c r="BF1096" s="243"/>
      <c r="BG1096" s="243"/>
      <c r="BH1096" s="243"/>
      <c r="BI1096" s="243"/>
      <c r="BJ1096" s="243"/>
      <c r="BK1096" s="243"/>
      <c r="BL1096" s="243"/>
      <c r="BM1096" s="243"/>
      <c r="BN1096" s="243"/>
      <c r="BO1096" s="243"/>
      <c r="BP1096" s="243"/>
      <c r="BQ1096" s="243"/>
      <c r="BR1096" s="243"/>
      <c r="BS1096" s="243"/>
    </row>
    <row r="1097" spans="1:71" s="12" customFormat="1" ht="41.25" customHeight="1">
      <c r="A1097" s="178" t="s">
        <v>96</v>
      </c>
      <c r="B1097" s="75" t="str">
        <f ca="1">+UPPER(Tabla1321124[[#This Row],[DESCRIPCIÓN DE LA COMPRA O CONTRATACIÓN]])</f>
        <v>CONO DE ALIVIO COMPLETO, ESPIGA Y PROTECCIÓN EXTERIOR</v>
      </c>
      <c r="C1097" s="39" t="s">
        <v>17</v>
      </c>
      <c r="D1097" s="236">
        <v>267</v>
      </c>
      <c r="E1097" s="236">
        <v>267</v>
      </c>
      <c r="F1097" s="236">
        <v>267</v>
      </c>
      <c r="G1097" s="236">
        <v>267</v>
      </c>
      <c r="H1097" s="240">
        <f>SUM(Tabla1321124[[#This Row],[PRIMER TRIMESTRE]:[CUARTO TRIMESTRE]])</f>
        <v>1068</v>
      </c>
      <c r="I1097" s="17">
        <v>4625.12</v>
      </c>
      <c r="J1097" s="17">
        <f t="shared" si="21"/>
        <v>4939628.16</v>
      </c>
      <c r="K1097" s="17"/>
      <c r="L1097" s="16" t="s">
        <v>18</v>
      </c>
      <c r="M1097" s="16" t="s">
        <v>22</v>
      </c>
      <c r="N1097" s="16"/>
      <c r="O1097" s="243"/>
      <c r="P1097" s="243"/>
      <c r="Q1097" s="243"/>
      <c r="R1097" s="243"/>
      <c r="S1097" s="243"/>
      <c r="T1097" s="243"/>
      <c r="U1097" s="243"/>
      <c r="V1097" s="243"/>
      <c r="W1097" s="243"/>
      <c r="X1097" s="243"/>
      <c r="Y1097" s="243"/>
      <c r="Z1097" s="243"/>
      <c r="AA1097" s="243"/>
      <c r="AB1097" s="243"/>
      <c r="AC1097" s="243"/>
      <c r="AD1097" s="243"/>
      <c r="AE1097" s="243"/>
      <c r="AF1097" s="243"/>
      <c r="AG1097" s="243"/>
      <c r="AH1097" s="243"/>
      <c r="AI1097" s="243"/>
      <c r="AJ1097" s="243"/>
      <c r="AK1097" s="243"/>
      <c r="AL1097" s="243"/>
      <c r="AM1097" s="243"/>
      <c r="AN1097" s="243"/>
      <c r="AO1097" s="243"/>
      <c r="AP1097" s="243"/>
      <c r="AQ1097" s="243"/>
      <c r="AR1097" s="243"/>
      <c r="AS1097" s="243"/>
      <c r="AT1097" s="243"/>
      <c r="AU1097" s="243"/>
      <c r="AV1097" s="243"/>
      <c r="AW1097" s="243"/>
      <c r="AX1097" s="243"/>
      <c r="AY1097" s="243"/>
      <c r="AZ1097" s="243"/>
      <c r="BA1097" s="243"/>
      <c r="BB1097" s="243"/>
      <c r="BC1097" s="243"/>
      <c r="BD1097" s="243"/>
      <c r="BE1097" s="243"/>
      <c r="BF1097" s="243"/>
      <c r="BG1097" s="243"/>
      <c r="BH1097" s="243"/>
      <c r="BI1097" s="243"/>
      <c r="BJ1097" s="243"/>
      <c r="BK1097" s="243"/>
      <c r="BL1097" s="243"/>
      <c r="BM1097" s="243"/>
      <c r="BN1097" s="243"/>
      <c r="BO1097" s="243"/>
      <c r="BP1097" s="243"/>
      <c r="BQ1097" s="243"/>
      <c r="BR1097" s="243"/>
      <c r="BS1097" s="243"/>
    </row>
    <row r="1098" spans="1:71" s="12" customFormat="1" ht="41.25" customHeight="1">
      <c r="A1098" s="178" t="s">
        <v>96</v>
      </c>
      <c r="B1098" s="75" t="str">
        <f ca="1">+UPPER(Tabla1321124[[#This Row],[DESCRIPCIÓN DE LA COMPRA O CONTRATACIÓN]])</f>
        <v>ALAMBRE DE VINIL CALIBRE 14 X 2 HILOS</v>
      </c>
      <c r="C1098" s="39" t="s">
        <v>343</v>
      </c>
      <c r="D1098" s="352">
        <f>500+750</f>
        <v>1250</v>
      </c>
      <c r="E1098" s="352">
        <f>500+250</f>
        <v>750</v>
      </c>
      <c r="F1098" s="352">
        <f>1000+250</f>
        <v>1250</v>
      </c>
      <c r="G1098" s="352">
        <f>1000+250</f>
        <v>1250</v>
      </c>
      <c r="H1098" s="240">
        <f>SUM(Tabla1321124[[#This Row],[PRIMER TRIMESTRE]:[CUARTO TRIMESTRE]])</f>
        <v>4500</v>
      </c>
      <c r="I1098" s="17">
        <v>80</v>
      </c>
      <c r="J1098" s="17">
        <f t="shared" si="21"/>
        <v>360000</v>
      </c>
      <c r="K1098" s="17"/>
      <c r="L1098" s="16" t="s">
        <v>18</v>
      </c>
      <c r="M1098" s="16" t="s">
        <v>22</v>
      </c>
      <c r="N1098" s="16"/>
      <c r="O1098" s="243"/>
      <c r="P1098" s="243"/>
      <c r="Q1098" s="243"/>
      <c r="R1098" s="243"/>
      <c r="S1098" s="243"/>
      <c r="T1098" s="243"/>
      <c r="U1098" s="243"/>
      <c r="V1098" s="243"/>
      <c r="W1098" s="243"/>
      <c r="X1098" s="243"/>
      <c r="Y1098" s="243"/>
      <c r="Z1098" s="243"/>
      <c r="AA1098" s="243"/>
      <c r="AB1098" s="243"/>
      <c r="AC1098" s="243"/>
      <c r="AD1098" s="243"/>
      <c r="AE1098" s="243"/>
      <c r="AF1098" s="243"/>
      <c r="AG1098" s="243"/>
      <c r="AH1098" s="243"/>
      <c r="AI1098" s="243"/>
      <c r="AJ1098" s="243"/>
      <c r="AK1098" s="243"/>
      <c r="AL1098" s="243"/>
      <c r="AM1098" s="243"/>
      <c r="AN1098" s="243"/>
      <c r="AO1098" s="243"/>
      <c r="AP1098" s="243"/>
      <c r="AQ1098" s="243"/>
      <c r="AR1098" s="243"/>
      <c r="AS1098" s="243"/>
      <c r="AT1098" s="243"/>
      <c r="AU1098" s="243"/>
      <c r="AV1098" s="243"/>
      <c r="AW1098" s="243"/>
      <c r="AX1098" s="243"/>
      <c r="AY1098" s="243"/>
      <c r="AZ1098" s="243"/>
      <c r="BA1098" s="243"/>
      <c r="BB1098" s="243"/>
      <c r="BC1098" s="243"/>
      <c r="BD1098" s="243"/>
      <c r="BE1098" s="243"/>
      <c r="BF1098" s="243"/>
      <c r="BG1098" s="243"/>
      <c r="BH1098" s="243"/>
      <c r="BI1098" s="243"/>
      <c r="BJ1098" s="243"/>
      <c r="BK1098" s="243"/>
      <c r="BL1098" s="243"/>
      <c r="BM1098" s="243"/>
      <c r="BN1098" s="243"/>
      <c r="BO1098" s="243"/>
      <c r="BP1098" s="243"/>
      <c r="BQ1098" s="243"/>
      <c r="BR1098" s="243"/>
      <c r="BS1098" s="243"/>
    </row>
    <row r="1099" spans="1:71" s="12" customFormat="1" ht="41.25" customHeight="1">
      <c r="A1099" s="178" t="s">
        <v>96</v>
      </c>
      <c r="B1099" s="75" t="str">
        <f ca="1">+UPPER(Tabla1321124[[#This Row],[DESCRIPCIÓN DE LA COMPRA O CONTRATACIÓN]])</f>
        <v>ALAMBRE DE VINIL CALIBRE 10 X 4 HILOS</v>
      </c>
      <c r="C1099" s="39" t="s">
        <v>343</v>
      </c>
      <c r="D1099" s="352">
        <f>500+500</f>
        <v>1000</v>
      </c>
      <c r="E1099" s="352">
        <v>500</v>
      </c>
      <c r="F1099" s="352">
        <v>1000</v>
      </c>
      <c r="G1099" s="352">
        <v>1000</v>
      </c>
      <c r="H1099" s="240">
        <f>SUM(Tabla1321124[[#This Row],[PRIMER TRIMESTRE]:[CUARTO TRIMESTRE]])</f>
        <v>3500</v>
      </c>
      <c r="I1099" s="17">
        <v>112</v>
      </c>
      <c r="J1099" s="17">
        <f t="shared" si="21"/>
        <v>392000</v>
      </c>
      <c r="K1099" s="17"/>
      <c r="L1099" s="16" t="s">
        <v>18</v>
      </c>
      <c r="M1099" s="16" t="s">
        <v>22</v>
      </c>
      <c r="N1099" s="16"/>
      <c r="O1099" s="243"/>
      <c r="P1099" s="243"/>
      <c r="Q1099" s="243"/>
      <c r="R1099" s="243"/>
      <c r="S1099" s="243"/>
      <c r="T1099" s="243"/>
      <c r="U1099" s="243"/>
      <c r="V1099" s="243"/>
      <c r="W1099" s="243"/>
      <c r="X1099" s="243"/>
      <c r="Y1099" s="243"/>
      <c r="Z1099" s="243"/>
      <c r="AA1099" s="243"/>
      <c r="AB1099" s="243"/>
      <c r="AC1099" s="243"/>
      <c r="AD1099" s="243"/>
      <c r="AE1099" s="243"/>
      <c r="AF1099" s="243"/>
      <c r="AG1099" s="243"/>
      <c r="AH1099" s="243"/>
      <c r="AI1099" s="243"/>
      <c r="AJ1099" s="243"/>
      <c r="AK1099" s="243"/>
      <c r="AL1099" s="243"/>
      <c r="AM1099" s="243"/>
      <c r="AN1099" s="243"/>
      <c r="AO1099" s="243"/>
      <c r="AP1099" s="243"/>
      <c r="AQ1099" s="243"/>
      <c r="AR1099" s="243"/>
      <c r="AS1099" s="243"/>
      <c r="AT1099" s="243"/>
      <c r="AU1099" s="243"/>
      <c r="AV1099" s="243"/>
      <c r="AW1099" s="243"/>
      <c r="AX1099" s="243"/>
      <c r="AY1099" s="243"/>
      <c r="AZ1099" s="243"/>
      <c r="BA1099" s="243"/>
      <c r="BB1099" s="243"/>
      <c r="BC1099" s="243"/>
      <c r="BD1099" s="243"/>
      <c r="BE1099" s="243"/>
      <c r="BF1099" s="243"/>
      <c r="BG1099" s="243"/>
      <c r="BH1099" s="243"/>
      <c r="BI1099" s="243"/>
      <c r="BJ1099" s="243"/>
      <c r="BK1099" s="243"/>
      <c r="BL1099" s="243"/>
      <c r="BM1099" s="243"/>
      <c r="BN1099" s="243"/>
      <c r="BO1099" s="243"/>
      <c r="BP1099" s="243"/>
      <c r="BQ1099" s="243"/>
      <c r="BR1099" s="243"/>
      <c r="BS1099" s="243"/>
    </row>
    <row r="1100" spans="1:71" s="12" customFormat="1" ht="41.25" customHeight="1">
      <c r="A1100" s="178" t="s">
        <v>96</v>
      </c>
      <c r="B1100" s="75" t="str">
        <f ca="1">+UPPER(Tabla1321124[[#This Row],[DESCRIPCIÓN DE LA COMPRA O CONTRATACIÓN]])</f>
        <v>ALAMBRE DE VINIL CALIBRE 8 X 4 HILOS</v>
      </c>
      <c r="C1100" s="39" t="s">
        <v>343</v>
      </c>
      <c r="D1100" s="352">
        <f>500+500</f>
        <v>1000</v>
      </c>
      <c r="E1100" s="352">
        <v>500</v>
      </c>
      <c r="F1100" s="352">
        <v>1000</v>
      </c>
      <c r="G1100" s="352">
        <v>1000</v>
      </c>
      <c r="H1100" s="240">
        <f>SUM(Tabla1321124[[#This Row],[PRIMER TRIMESTRE]:[CUARTO TRIMESTRE]])</f>
        <v>3500</v>
      </c>
      <c r="I1100" s="17">
        <v>150</v>
      </c>
      <c r="J1100" s="17">
        <f t="shared" si="21"/>
        <v>525000</v>
      </c>
      <c r="K1100" s="17"/>
      <c r="L1100" s="16" t="s">
        <v>18</v>
      </c>
      <c r="M1100" s="16" t="s">
        <v>22</v>
      </c>
      <c r="N1100" s="16"/>
      <c r="O1100" s="243"/>
      <c r="P1100" s="243"/>
      <c r="Q1100" s="243"/>
      <c r="R1100" s="243"/>
      <c r="S1100" s="243"/>
      <c r="T1100" s="243"/>
      <c r="U1100" s="243"/>
      <c r="V1100" s="243"/>
      <c r="W1100" s="243"/>
      <c r="X1100" s="243"/>
      <c r="Y1100" s="243"/>
      <c r="Z1100" s="243"/>
      <c r="AA1100" s="243"/>
      <c r="AB1100" s="243"/>
      <c r="AC1100" s="243"/>
      <c r="AD1100" s="243"/>
      <c r="AE1100" s="243"/>
      <c r="AF1100" s="243"/>
      <c r="AG1100" s="243"/>
      <c r="AH1100" s="243"/>
      <c r="AI1100" s="243"/>
      <c r="AJ1100" s="243"/>
      <c r="AK1100" s="243"/>
      <c r="AL1100" s="243"/>
      <c r="AM1100" s="243"/>
      <c r="AN1100" s="243"/>
      <c r="AO1100" s="243"/>
      <c r="AP1100" s="243"/>
      <c r="AQ1100" s="243"/>
      <c r="AR1100" s="243"/>
      <c r="AS1100" s="243"/>
      <c r="AT1100" s="243"/>
      <c r="AU1100" s="243"/>
      <c r="AV1100" s="243"/>
      <c r="AW1100" s="243"/>
      <c r="AX1100" s="243"/>
      <c r="AY1100" s="243"/>
      <c r="AZ1100" s="243"/>
      <c r="BA1100" s="243"/>
      <c r="BB1100" s="243"/>
      <c r="BC1100" s="243"/>
      <c r="BD1100" s="243"/>
      <c r="BE1100" s="243"/>
      <c r="BF1100" s="243"/>
      <c r="BG1100" s="243"/>
      <c r="BH1100" s="243"/>
      <c r="BI1100" s="243"/>
      <c r="BJ1100" s="243"/>
      <c r="BK1100" s="243"/>
      <c r="BL1100" s="243"/>
      <c r="BM1100" s="243"/>
      <c r="BN1100" s="243"/>
      <c r="BO1100" s="243"/>
      <c r="BP1100" s="243"/>
      <c r="BQ1100" s="243"/>
      <c r="BR1100" s="243"/>
      <c r="BS1100" s="243"/>
    </row>
    <row r="1101" spans="1:71" s="12" customFormat="1" ht="41.25" customHeight="1">
      <c r="A1101" s="178" t="s">
        <v>96</v>
      </c>
      <c r="B1101" s="75" t="str">
        <f ca="1">+UPPER(Tabla1321124[[#This Row],[DESCRIPCIÓN DE LA COMPRA O CONTRATACIÓN]])</f>
        <v>ALAMBRE DE VINIL CALIBRE 6 X 4 HILOS</v>
      </c>
      <c r="C1101" s="39" t="s">
        <v>343</v>
      </c>
      <c r="D1101" s="352">
        <f>500+500</f>
        <v>1000</v>
      </c>
      <c r="E1101" s="352">
        <v>500</v>
      </c>
      <c r="F1101" s="352">
        <v>1000</v>
      </c>
      <c r="G1101" s="352">
        <v>1000</v>
      </c>
      <c r="H1101" s="240">
        <f>SUM(Tabla1321124[[#This Row],[PRIMER TRIMESTRE]:[CUARTO TRIMESTRE]])</f>
        <v>3500</v>
      </c>
      <c r="I1101" s="17">
        <v>188</v>
      </c>
      <c r="J1101" s="17">
        <f t="shared" si="21"/>
        <v>658000</v>
      </c>
      <c r="K1101" s="17"/>
      <c r="L1101" s="16" t="s">
        <v>18</v>
      </c>
      <c r="M1101" s="16" t="s">
        <v>22</v>
      </c>
      <c r="N1101" s="16"/>
      <c r="O1101" s="243"/>
      <c r="P1101" s="243"/>
      <c r="Q1101" s="243"/>
      <c r="R1101" s="243"/>
      <c r="S1101" s="243"/>
      <c r="T1101" s="243"/>
      <c r="U1101" s="243"/>
      <c r="V1101" s="243"/>
      <c r="W1101" s="243"/>
      <c r="X1101" s="243"/>
      <c r="Y1101" s="243"/>
      <c r="Z1101" s="243"/>
      <c r="AA1101" s="243"/>
      <c r="AB1101" s="243"/>
      <c r="AC1101" s="243"/>
      <c r="AD1101" s="243"/>
      <c r="AE1101" s="243"/>
      <c r="AF1101" s="243"/>
      <c r="AG1101" s="243"/>
      <c r="AH1101" s="243"/>
      <c r="AI1101" s="243"/>
      <c r="AJ1101" s="243"/>
      <c r="AK1101" s="243"/>
      <c r="AL1101" s="243"/>
      <c r="AM1101" s="243"/>
      <c r="AN1101" s="243"/>
      <c r="AO1101" s="243"/>
      <c r="AP1101" s="243"/>
      <c r="AQ1101" s="243"/>
      <c r="AR1101" s="243"/>
      <c r="AS1101" s="243"/>
      <c r="AT1101" s="243"/>
      <c r="AU1101" s="243"/>
      <c r="AV1101" s="243"/>
      <c r="AW1101" s="243"/>
      <c r="AX1101" s="243"/>
      <c r="AY1101" s="243"/>
      <c r="AZ1101" s="243"/>
      <c r="BA1101" s="243"/>
      <c r="BB1101" s="243"/>
      <c r="BC1101" s="243"/>
      <c r="BD1101" s="243"/>
      <c r="BE1101" s="243"/>
      <c r="BF1101" s="243"/>
      <c r="BG1101" s="243"/>
      <c r="BH1101" s="243"/>
      <c r="BI1101" s="243"/>
      <c r="BJ1101" s="243"/>
      <c r="BK1101" s="243"/>
      <c r="BL1101" s="243"/>
      <c r="BM1101" s="243"/>
      <c r="BN1101" s="243"/>
      <c r="BO1101" s="243"/>
      <c r="BP1101" s="243"/>
      <c r="BQ1101" s="243"/>
      <c r="BR1101" s="243"/>
      <c r="BS1101" s="243"/>
    </row>
    <row r="1102" spans="1:71" s="12" customFormat="1" ht="41.25" customHeight="1">
      <c r="A1102" s="178" t="s">
        <v>96</v>
      </c>
      <c r="B1102" s="75" t="str">
        <f ca="1">+UPPER(Tabla1321124[[#This Row],[DESCRIPCIÓN DE LA COMPRA O CONTRATACIÓN]])</f>
        <v>ALAMBRE DE VINIL CALIBRE 4 X 4 HILOS</v>
      </c>
      <c r="C1102" s="39" t="s">
        <v>343</v>
      </c>
      <c r="D1102" s="352">
        <f>500+500</f>
        <v>1000</v>
      </c>
      <c r="E1102" s="352">
        <v>500</v>
      </c>
      <c r="F1102" s="352">
        <v>1000</v>
      </c>
      <c r="G1102" s="352">
        <v>1000</v>
      </c>
      <c r="H1102" s="240">
        <f>SUM(Tabla1321124[[#This Row],[PRIMER TRIMESTRE]:[CUARTO TRIMESTRE]])</f>
        <v>3500</v>
      </c>
      <c r="I1102" s="17">
        <v>225</v>
      </c>
      <c r="J1102" s="17">
        <f t="shared" si="21"/>
        <v>787500</v>
      </c>
      <c r="K1102" s="17"/>
      <c r="L1102" s="16" t="s">
        <v>18</v>
      </c>
      <c r="M1102" s="16" t="s">
        <v>22</v>
      </c>
      <c r="N1102" s="16"/>
      <c r="O1102" s="243"/>
      <c r="P1102" s="243"/>
      <c r="Q1102" s="243"/>
      <c r="R1102" s="243"/>
      <c r="S1102" s="243"/>
      <c r="T1102" s="243"/>
      <c r="U1102" s="243"/>
      <c r="V1102" s="243"/>
      <c r="W1102" s="243"/>
      <c r="X1102" s="243"/>
      <c r="Y1102" s="243"/>
      <c r="Z1102" s="243"/>
      <c r="AA1102" s="243"/>
      <c r="AB1102" s="243"/>
      <c r="AC1102" s="243"/>
      <c r="AD1102" s="243"/>
      <c r="AE1102" s="243"/>
      <c r="AF1102" s="243"/>
      <c r="AG1102" s="243"/>
      <c r="AH1102" s="243"/>
      <c r="AI1102" s="243"/>
      <c r="AJ1102" s="243"/>
      <c r="AK1102" s="243"/>
      <c r="AL1102" s="243"/>
      <c r="AM1102" s="243"/>
      <c r="AN1102" s="243"/>
      <c r="AO1102" s="243"/>
      <c r="AP1102" s="243"/>
      <c r="AQ1102" s="243"/>
      <c r="AR1102" s="243"/>
      <c r="AS1102" s="243"/>
      <c r="AT1102" s="243"/>
      <c r="AU1102" s="243"/>
      <c r="AV1102" s="243"/>
      <c r="AW1102" s="243"/>
      <c r="AX1102" s="243"/>
      <c r="AY1102" s="243"/>
      <c r="AZ1102" s="243"/>
      <c r="BA1102" s="243"/>
      <c r="BB1102" s="243"/>
      <c r="BC1102" s="243"/>
      <c r="BD1102" s="243"/>
      <c r="BE1102" s="243"/>
      <c r="BF1102" s="243"/>
      <c r="BG1102" s="243"/>
      <c r="BH1102" s="243"/>
      <c r="BI1102" s="243"/>
      <c r="BJ1102" s="243"/>
      <c r="BK1102" s="243"/>
      <c r="BL1102" s="243"/>
      <c r="BM1102" s="243"/>
      <c r="BN1102" s="243"/>
      <c r="BO1102" s="243"/>
      <c r="BP1102" s="243"/>
      <c r="BQ1102" s="243"/>
      <c r="BR1102" s="243"/>
      <c r="BS1102" s="243"/>
    </row>
    <row r="1103" spans="1:71" s="12" customFormat="1" ht="41.25" customHeight="1">
      <c r="A1103" s="178" t="s">
        <v>96</v>
      </c>
      <c r="B1103" s="75" t="str">
        <f ca="1">+UPPER(Tabla1321124[[#This Row],[DESCRIPCIÓN DE LA COMPRA O CONTRATACIÓN]])</f>
        <v>ALAMBRE FORRO DE GOMA 85.01 MM X 4 HILOS,  (NO. 3/0 X 4 HILOS)</v>
      </c>
      <c r="C1103" s="39" t="s">
        <v>343</v>
      </c>
      <c r="D1103" s="352">
        <f>500+500</f>
        <v>1000</v>
      </c>
      <c r="E1103" s="352">
        <v>500</v>
      </c>
      <c r="F1103" s="352">
        <v>500</v>
      </c>
      <c r="G1103" s="352">
        <v>500</v>
      </c>
      <c r="H1103" s="240">
        <f>SUM(Tabla1321124[[#This Row],[PRIMER TRIMESTRE]:[CUARTO TRIMESTRE]])</f>
        <v>2500</v>
      </c>
      <c r="I1103" s="17">
        <v>135</v>
      </c>
      <c r="J1103" s="17">
        <f t="shared" si="21"/>
        <v>337500</v>
      </c>
      <c r="K1103" s="17"/>
      <c r="L1103" s="16" t="s">
        <v>18</v>
      </c>
      <c r="M1103" s="16" t="s">
        <v>22</v>
      </c>
      <c r="N1103" s="16"/>
      <c r="O1103" s="243"/>
      <c r="P1103" s="243"/>
      <c r="Q1103" s="243"/>
      <c r="R1103" s="243"/>
      <c r="S1103" s="243"/>
      <c r="T1103" s="243"/>
      <c r="U1103" s="243"/>
      <c r="V1103" s="243"/>
      <c r="W1103" s="243"/>
      <c r="X1103" s="243"/>
      <c r="Y1103" s="243"/>
      <c r="Z1103" s="243"/>
      <c r="AA1103" s="243"/>
      <c r="AB1103" s="243"/>
      <c r="AC1103" s="243"/>
      <c r="AD1103" s="243"/>
      <c r="AE1103" s="243"/>
      <c r="AF1103" s="243"/>
      <c r="AG1103" s="243"/>
      <c r="AH1103" s="243"/>
      <c r="AI1103" s="243"/>
      <c r="AJ1103" s="243"/>
      <c r="AK1103" s="243"/>
      <c r="AL1103" s="243"/>
      <c r="AM1103" s="243"/>
      <c r="AN1103" s="243"/>
      <c r="AO1103" s="243"/>
      <c r="AP1103" s="243"/>
      <c r="AQ1103" s="243"/>
      <c r="AR1103" s="243"/>
      <c r="AS1103" s="243"/>
      <c r="AT1103" s="243"/>
      <c r="AU1103" s="243"/>
      <c r="AV1103" s="243"/>
      <c r="AW1103" s="243"/>
      <c r="AX1103" s="243"/>
      <c r="AY1103" s="243"/>
      <c r="AZ1103" s="243"/>
      <c r="BA1103" s="243"/>
      <c r="BB1103" s="243"/>
      <c r="BC1103" s="243"/>
      <c r="BD1103" s="243"/>
      <c r="BE1103" s="243"/>
      <c r="BF1103" s="243"/>
      <c r="BG1103" s="243"/>
      <c r="BH1103" s="243"/>
      <c r="BI1103" s="243"/>
      <c r="BJ1103" s="243"/>
      <c r="BK1103" s="243"/>
      <c r="BL1103" s="243"/>
      <c r="BM1103" s="243"/>
      <c r="BN1103" s="243"/>
      <c r="BO1103" s="243"/>
      <c r="BP1103" s="243"/>
      <c r="BQ1103" s="243"/>
      <c r="BR1103" s="243"/>
      <c r="BS1103" s="243"/>
    </row>
    <row r="1104" spans="1:71" s="12" customFormat="1" ht="41.25" customHeight="1">
      <c r="A1104" s="178" t="s">
        <v>96</v>
      </c>
      <c r="B1104" s="75" t="str">
        <f ca="1">+UPPER(Tabla1321124[[#This Row],[DESCRIPCIÓN DE LA COMPRA O CONTRATACIÓN]])</f>
        <v>EJE DE ACERO INOXIDABLE, Ø1"X10', ROSCADO EN AMBOS EXTREMOS, CON SUS COUPLINGS</v>
      </c>
      <c r="C1104" s="39" t="s">
        <v>17</v>
      </c>
      <c r="D1104" s="352">
        <v>520</v>
      </c>
      <c r="E1104" s="352">
        <v>500</v>
      </c>
      <c r="F1104" s="352">
        <v>120</v>
      </c>
      <c r="G1104" s="352">
        <v>100</v>
      </c>
      <c r="H1104" s="240">
        <f>SUM(Tabla1321124[[#This Row],[PRIMER TRIMESTRE]:[CUARTO TRIMESTRE]])</f>
        <v>1240</v>
      </c>
      <c r="I1104" s="17">
        <v>12000</v>
      </c>
      <c r="J1104" s="17">
        <f t="shared" si="21"/>
        <v>14880000</v>
      </c>
      <c r="K1104" s="17"/>
      <c r="L1104" s="16" t="s">
        <v>18</v>
      </c>
      <c r="M1104" s="16" t="s">
        <v>22</v>
      </c>
      <c r="N1104" s="16"/>
      <c r="O1104" s="243"/>
      <c r="P1104" s="243"/>
      <c r="Q1104" s="243"/>
      <c r="R1104" s="243"/>
      <c r="S1104" s="243"/>
      <c r="T1104" s="243"/>
      <c r="U1104" s="243"/>
      <c r="V1104" s="243"/>
      <c r="W1104" s="243"/>
      <c r="X1104" s="243"/>
      <c r="Y1104" s="243"/>
      <c r="Z1104" s="243"/>
      <c r="AA1104" s="243"/>
      <c r="AB1104" s="243"/>
      <c r="AC1104" s="243"/>
      <c r="AD1104" s="243"/>
      <c r="AE1104" s="243"/>
      <c r="AF1104" s="243"/>
      <c r="AG1104" s="243"/>
      <c r="AH1104" s="243"/>
      <c r="AI1104" s="243"/>
      <c r="AJ1104" s="243"/>
      <c r="AK1104" s="243"/>
      <c r="AL1104" s="243"/>
      <c r="AM1104" s="243"/>
      <c r="AN1104" s="243"/>
      <c r="AO1104" s="243"/>
      <c r="AP1104" s="243"/>
      <c r="AQ1104" s="243"/>
      <c r="AR1104" s="243"/>
      <c r="AS1104" s="243"/>
      <c r="AT1104" s="243"/>
      <c r="AU1104" s="243"/>
      <c r="AV1104" s="243"/>
      <c r="AW1104" s="243"/>
      <c r="AX1104" s="243"/>
      <c r="AY1104" s="243"/>
      <c r="AZ1104" s="243"/>
      <c r="BA1104" s="243"/>
      <c r="BB1104" s="243"/>
      <c r="BC1104" s="243"/>
      <c r="BD1104" s="243"/>
      <c r="BE1104" s="243"/>
      <c r="BF1104" s="243"/>
      <c r="BG1104" s="243"/>
      <c r="BH1104" s="243"/>
      <c r="BI1104" s="243"/>
      <c r="BJ1104" s="243"/>
      <c r="BK1104" s="243"/>
      <c r="BL1104" s="243"/>
      <c r="BM1104" s="243"/>
      <c r="BN1104" s="243"/>
      <c r="BO1104" s="243"/>
      <c r="BP1104" s="243"/>
      <c r="BQ1104" s="243"/>
      <c r="BR1104" s="243"/>
      <c r="BS1104" s="243"/>
    </row>
    <row r="1105" spans="1:71" s="12" customFormat="1" ht="41.25" customHeight="1">
      <c r="A1105" s="178" t="s">
        <v>96</v>
      </c>
      <c r="B1105" s="75" t="str">
        <f ca="1">+UPPER(Tabla1321124[[#This Row],[DESCRIPCIÓN DE LA COMPRA O CONTRATACIÓN]])</f>
        <v>EJE DE ACERO INOXIDABLE, Ø1-¼"X10', ROSCADO EN AMBOS EXTREMOS, CON SUS COUPLINGS</v>
      </c>
      <c r="C1105" s="39" t="s">
        <v>17</v>
      </c>
      <c r="D1105" s="352">
        <v>523</v>
      </c>
      <c r="E1105" s="352">
        <v>503</v>
      </c>
      <c r="F1105" s="352">
        <v>123</v>
      </c>
      <c r="G1105" s="352">
        <v>103</v>
      </c>
      <c r="H1105" s="240">
        <f>SUM(Tabla1321124[[#This Row],[PRIMER TRIMESTRE]:[CUARTO TRIMESTRE]])</f>
        <v>1252</v>
      </c>
      <c r="I1105" s="17">
        <v>16000</v>
      </c>
      <c r="J1105" s="17">
        <f t="shared" si="21"/>
        <v>20032000</v>
      </c>
      <c r="K1105" s="17"/>
      <c r="L1105" s="16" t="s">
        <v>18</v>
      </c>
      <c r="M1105" s="16" t="s">
        <v>22</v>
      </c>
      <c r="N1105" s="16"/>
      <c r="O1105" s="243"/>
      <c r="P1105" s="243"/>
      <c r="Q1105" s="243"/>
      <c r="R1105" s="243"/>
      <c r="S1105" s="243"/>
      <c r="T1105" s="243"/>
      <c r="U1105" s="243"/>
      <c r="V1105" s="243"/>
      <c r="W1105" s="243"/>
      <c r="X1105" s="243"/>
      <c r="Y1105" s="243"/>
      <c r="Z1105" s="243"/>
      <c r="AA1105" s="243"/>
      <c r="AB1105" s="243"/>
      <c r="AC1105" s="243"/>
      <c r="AD1105" s="243"/>
      <c r="AE1105" s="243"/>
      <c r="AF1105" s="243"/>
      <c r="AG1105" s="243"/>
      <c r="AH1105" s="243"/>
      <c r="AI1105" s="243"/>
      <c r="AJ1105" s="243"/>
      <c r="AK1105" s="243"/>
      <c r="AL1105" s="243"/>
      <c r="AM1105" s="243"/>
      <c r="AN1105" s="243"/>
      <c r="AO1105" s="243"/>
      <c r="AP1105" s="243"/>
      <c r="AQ1105" s="243"/>
      <c r="AR1105" s="243"/>
      <c r="AS1105" s="243"/>
      <c r="AT1105" s="243"/>
      <c r="AU1105" s="243"/>
      <c r="AV1105" s="243"/>
      <c r="AW1105" s="243"/>
      <c r="AX1105" s="243"/>
      <c r="AY1105" s="243"/>
      <c r="AZ1105" s="243"/>
      <c r="BA1105" s="243"/>
      <c r="BB1105" s="243"/>
      <c r="BC1105" s="243"/>
      <c r="BD1105" s="243"/>
      <c r="BE1105" s="243"/>
      <c r="BF1105" s="243"/>
      <c r="BG1105" s="243"/>
      <c r="BH1105" s="243"/>
      <c r="BI1105" s="243"/>
      <c r="BJ1105" s="243"/>
      <c r="BK1105" s="243"/>
      <c r="BL1105" s="243"/>
      <c r="BM1105" s="243"/>
      <c r="BN1105" s="243"/>
      <c r="BO1105" s="243"/>
      <c r="BP1105" s="243"/>
      <c r="BQ1105" s="243"/>
      <c r="BR1105" s="243"/>
      <c r="BS1105" s="243"/>
    </row>
    <row r="1106" spans="1:71" s="12" customFormat="1" ht="41.25" customHeight="1">
      <c r="A1106" s="178" t="s">
        <v>96</v>
      </c>
      <c r="B1106" s="75" t="str">
        <f ca="1">+UPPER(Tabla1321124[[#This Row],[DESCRIPCIÓN DE LA COMPRA O CONTRATACIÓN]])</f>
        <v>EJE DE ACERO INOXIDABLE, Ø1-3/16"X10', ROSCADO EN AMBOS EXTREMOS, CON SUS COUPLINGS</v>
      </c>
      <c r="C1106" s="39" t="s">
        <v>17</v>
      </c>
      <c r="D1106" s="352">
        <v>523</v>
      </c>
      <c r="E1106" s="352">
        <v>500</v>
      </c>
      <c r="F1106" s="352">
        <v>120</v>
      </c>
      <c r="G1106" s="352">
        <v>100</v>
      </c>
      <c r="H1106" s="240">
        <f>SUM(Tabla1321124[[#This Row],[PRIMER TRIMESTRE]:[CUARTO TRIMESTRE]])</f>
        <v>1243</v>
      </c>
      <c r="I1106" s="17">
        <v>17000</v>
      </c>
      <c r="J1106" s="17">
        <f t="shared" si="21"/>
        <v>21131000</v>
      </c>
      <c r="K1106" s="17"/>
      <c r="L1106" s="16" t="s">
        <v>18</v>
      </c>
      <c r="M1106" s="16" t="s">
        <v>22</v>
      </c>
      <c r="N1106" s="16"/>
      <c r="O1106" s="243"/>
      <c r="P1106" s="243"/>
      <c r="Q1106" s="243"/>
      <c r="R1106" s="243"/>
      <c r="S1106" s="243"/>
      <c r="T1106" s="243"/>
      <c r="U1106" s="243"/>
      <c r="V1106" s="243"/>
      <c r="W1106" s="243"/>
      <c r="X1106" s="243"/>
      <c r="Y1106" s="243"/>
      <c r="Z1106" s="243"/>
      <c r="AA1106" s="243"/>
      <c r="AB1106" s="243"/>
      <c r="AC1106" s="243"/>
      <c r="AD1106" s="243"/>
      <c r="AE1106" s="243"/>
      <c r="AF1106" s="243"/>
      <c r="AG1106" s="243"/>
      <c r="AH1106" s="243"/>
      <c r="AI1106" s="243"/>
      <c r="AJ1106" s="243"/>
      <c r="AK1106" s="243"/>
      <c r="AL1106" s="243"/>
      <c r="AM1106" s="243"/>
      <c r="AN1106" s="243"/>
      <c r="AO1106" s="243"/>
      <c r="AP1106" s="243"/>
      <c r="AQ1106" s="243"/>
      <c r="AR1106" s="243"/>
      <c r="AS1106" s="243"/>
      <c r="AT1106" s="243"/>
      <c r="AU1106" s="243"/>
      <c r="AV1106" s="243"/>
      <c r="AW1106" s="243"/>
      <c r="AX1106" s="243"/>
      <c r="AY1106" s="243"/>
      <c r="AZ1106" s="243"/>
      <c r="BA1106" s="243"/>
      <c r="BB1106" s="243"/>
      <c r="BC1106" s="243"/>
      <c r="BD1106" s="243"/>
      <c r="BE1106" s="243"/>
      <c r="BF1106" s="243"/>
      <c r="BG1106" s="243"/>
      <c r="BH1106" s="243"/>
      <c r="BI1106" s="243"/>
      <c r="BJ1106" s="243"/>
      <c r="BK1106" s="243"/>
      <c r="BL1106" s="243"/>
      <c r="BM1106" s="243"/>
      <c r="BN1106" s="243"/>
      <c r="BO1106" s="243"/>
      <c r="BP1106" s="243"/>
      <c r="BQ1106" s="243"/>
      <c r="BR1106" s="243"/>
      <c r="BS1106" s="243"/>
    </row>
    <row r="1107" spans="1:71" s="12" customFormat="1" ht="41.25" customHeight="1">
      <c r="A1107" s="178" t="s">
        <v>96</v>
      </c>
      <c r="B1107" s="75" t="str">
        <f ca="1">+UPPER(Tabla1321124[[#This Row],[DESCRIPCIÓN DE LA COMPRA O CONTRATACIÓN]])</f>
        <v>EJE DE ACERO INOXIDABLE, Ø1-½"X10', ROSCADO EN AMBOS EXTREMOS, CON SUS COUPLINGS</v>
      </c>
      <c r="C1107" s="39" t="s">
        <v>17</v>
      </c>
      <c r="D1107" s="352">
        <v>520</v>
      </c>
      <c r="E1107" s="352">
        <v>500</v>
      </c>
      <c r="F1107" s="352">
        <v>100</v>
      </c>
      <c r="G1107" s="352">
        <v>100</v>
      </c>
      <c r="H1107" s="240">
        <f>SUM(Tabla1321124[[#This Row],[PRIMER TRIMESTRE]:[CUARTO TRIMESTRE]])</f>
        <v>1220</v>
      </c>
      <c r="I1107" s="17">
        <v>19000</v>
      </c>
      <c r="J1107" s="17">
        <f t="shared" si="21"/>
        <v>23180000</v>
      </c>
      <c r="K1107" s="17"/>
      <c r="L1107" s="16" t="s">
        <v>18</v>
      </c>
      <c r="M1107" s="16" t="s">
        <v>22</v>
      </c>
      <c r="N1107" s="16"/>
      <c r="O1107" s="243"/>
      <c r="P1107" s="243"/>
      <c r="Q1107" s="243"/>
      <c r="R1107" s="243"/>
      <c r="S1107" s="243"/>
      <c r="T1107" s="243"/>
      <c r="U1107" s="243"/>
      <c r="V1107" s="243"/>
      <c r="W1107" s="243"/>
      <c r="X1107" s="243"/>
      <c r="Y1107" s="243"/>
      <c r="Z1107" s="243"/>
      <c r="AA1107" s="243"/>
      <c r="AB1107" s="243"/>
      <c r="AC1107" s="243"/>
      <c r="AD1107" s="243"/>
      <c r="AE1107" s="243"/>
      <c r="AF1107" s="243"/>
      <c r="AG1107" s="243"/>
      <c r="AH1107" s="243"/>
      <c r="AI1107" s="243"/>
      <c r="AJ1107" s="243"/>
      <c r="AK1107" s="243"/>
      <c r="AL1107" s="243"/>
      <c r="AM1107" s="243"/>
      <c r="AN1107" s="243"/>
      <c r="AO1107" s="243"/>
      <c r="AP1107" s="243"/>
      <c r="AQ1107" s="243"/>
      <c r="AR1107" s="243"/>
      <c r="AS1107" s="243"/>
      <c r="AT1107" s="243"/>
      <c r="AU1107" s="243"/>
      <c r="AV1107" s="243"/>
      <c r="AW1107" s="243"/>
      <c r="AX1107" s="243"/>
      <c r="AY1107" s="243"/>
      <c r="AZ1107" s="243"/>
      <c r="BA1107" s="243"/>
      <c r="BB1107" s="243"/>
      <c r="BC1107" s="243"/>
      <c r="BD1107" s="243"/>
      <c r="BE1107" s="243"/>
      <c r="BF1107" s="243"/>
      <c r="BG1107" s="243"/>
      <c r="BH1107" s="243"/>
      <c r="BI1107" s="243"/>
      <c r="BJ1107" s="243"/>
      <c r="BK1107" s="243"/>
      <c r="BL1107" s="243"/>
      <c r="BM1107" s="243"/>
      <c r="BN1107" s="243"/>
      <c r="BO1107" s="243"/>
      <c r="BP1107" s="243"/>
      <c r="BQ1107" s="243"/>
      <c r="BR1107" s="243"/>
      <c r="BS1107" s="243"/>
    </row>
    <row r="1108" spans="1:71" s="12" customFormat="1" ht="41.25" customHeight="1">
      <c r="A1108" s="178" t="s">
        <v>96</v>
      </c>
      <c r="B1108" s="75" t="str">
        <f ca="1">+UPPER(Tabla1321124[[#This Row],[DESCRIPCIÓN DE LA COMPRA O CONTRATACIÓN]])</f>
        <v>EJE DE ACERO INOXIDABLE, Ø1-11/16"X10', ROSCADO EN AMBOS EXTREMOS, CON SUS COUPLINGS</v>
      </c>
      <c r="C1108" s="39" t="s">
        <v>17</v>
      </c>
      <c r="D1108" s="352">
        <v>500</v>
      </c>
      <c r="E1108" s="352">
        <v>500</v>
      </c>
      <c r="F1108" s="352">
        <v>100</v>
      </c>
      <c r="G1108" s="352">
        <v>100</v>
      </c>
      <c r="H1108" s="240">
        <f>SUM(Tabla1321124[[#This Row],[PRIMER TRIMESTRE]:[CUARTO TRIMESTRE]])</f>
        <v>1200</v>
      </c>
      <c r="I1108" s="17">
        <v>23000</v>
      </c>
      <c r="J1108" s="17">
        <f t="shared" si="21"/>
        <v>27600000</v>
      </c>
      <c r="K1108" s="17"/>
      <c r="L1108" s="16" t="s">
        <v>18</v>
      </c>
      <c r="M1108" s="16" t="s">
        <v>22</v>
      </c>
      <c r="N1108" s="16"/>
      <c r="O1108" s="243"/>
      <c r="P1108" s="243"/>
      <c r="Q1108" s="243"/>
      <c r="R1108" s="243"/>
      <c r="S1108" s="243"/>
      <c r="T1108" s="243"/>
      <c r="U1108" s="243"/>
      <c r="V1108" s="243"/>
      <c r="W1108" s="243"/>
      <c r="X1108" s="243"/>
      <c r="Y1108" s="243"/>
      <c r="Z1108" s="243"/>
      <c r="AA1108" s="243"/>
      <c r="AB1108" s="243"/>
      <c r="AC1108" s="243"/>
      <c r="AD1108" s="243"/>
      <c r="AE1108" s="243"/>
      <c r="AF1108" s="243"/>
      <c r="AG1108" s="243"/>
      <c r="AH1108" s="243"/>
      <c r="AI1108" s="243"/>
      <c r="AJ1108" s="243"/>
      <c r="AK1108" s="243"/>
      <c r="AL1108" s="243"/>
      <c r="AM1108" s="243"/>
      <c r="AN1108" s="243"/>
      <c r="AO1108" s="243"/>
      <c r="AP1108" s="243"/>
      <c r="AQ1108" s="243"/>
      <c r="AR1108" s="243"/>
      <c r="AS1108" s="243"/>
      <c r="AT1108" s="243"/>
      <c r="AU1108" s="243"/>
      <c r="AV1108" s="243"/>
      <c r="AW1108" s="243"/>
      <c r="AX1108" s="243"/>
      <c r="AY1108" s="243"/>
      <c r="AZ1108" s="243"/>
      <c r="BA1108" s="243"/>
      <c r="BB1108" s="243"/>
      <c r="BC1108" s="243"/>
      <c r="BD1108" s="243"/>
      <c r="BE1108" s="243"/>
      <c r="BF1108" s="243"/>
      <c r="BG1108" s="243"/>
      <c r="BH1108" s="243"/>
      <c r="BI1108" s="243"/>
      <c r="BJ1108" s="243"/>
      <c r="BK1108" s="243"/>
      <c r="BL1108" s="243"/>
      <c r="BM1108" s="243"/>
      <c r="BN1108" s="243"/>
      <c r="BO1108" s="243"/>
      <c r="BP1108" s="243"/>
      <c r="BQ1108" s="243"/>
      <c r="BR1108" s="243"/>
      <c r="BS1108" s="243"/>
    </row>
    <row r="1109" spans="1:71" s="12" customFormat="1" ht="41.25" customHeight="1">
      <c r="A1109" s="178" t="s">
        <v>96</v>
      </c>
      <c r="B1109" s="75" t="str">
        <f ca="1">+UPPER(Tabla1321124[[#This Row],[DESCRIPCIÓN DE LA COMPRA O CONTRATACIÓN]])</f>
        <v>EJE DE ACERO INOXIDABLE, Ø1-¾"X10', ROSCADO EN AMBOS EXTREMOS, CON SUS COUPLINGS</v>
      </c>
      <c r="C1109" s="39" t="s">
        <v>17</v>
      </c>
      <c r="D1109" s="352">
        <v>503</v>
      </c>
      <c r="E1109" s="352">
        <v>303</v>
      </c>
      <c r="F1109" s="352">
        <v>103</v>
      </c>
      <c r="G1109" s="352">
        <v>103</v>
      </c>
      <c r="H1109" s="240">
        <f>SUM(Tabla1321124[[#This Row],[PRIMER TRIMESTRE]:[CUARTO TRIMESTRE]])</f>
        <v>1012</v>
      </c>
      <c r="I1109" s="17">
        <v>30000</v>
      </c>
      <c r="J1109" s="17">
        <f t="shared" si="21"/>
        <v>30360000</v>
      </c>
      <c r="K1109" s="17"/>
      <c r="L1109" s="16" t="s">
        <v>18</v>
      </c>
      <c r="M1109" s="16" t="s">
        <v>22</v>
      </c>
      <c r="N1109" s="16"/>
      <c r="O1109" s="243"/>
      <c r="P1109" s="243"/>
      <c r="Q1109" s="243"/>
      <c r="R1109" s="243"/>
      <c r="S1109" s="243"/>
      <c r="T1109" s="243"/>
      <c r="U1109" s="243"/>
      <c r="V1109" s="243"/>
      <c r="W1109" s="243"/>
      <c r="X1109" s="243"/>
      <c r="Y1109" s="243"/>
      <c r="Z1109" s="243"/>
      <c r="AA1109" s="243"/>
      <c r="AB1109" s="243"/>
      <c r="AC1109" s="243"/>
      <c r="AD1109" s="243"/>
      <c r="AE1109" s="243"/>
      <c r="AF1109" s="243"/>
      <c r="AG1109" s="243"/>
      <c r="AH1109" s="243"/>
      <c r="AI1109" s="243"/>
      <c r="AJ1109" s="243"/>
      <c r="AK1109" s="243"/>
      <c r="AL1109" s="243"/>
      <c r="AM1109" s="243"/>
      <c r="AN1109" s="243"/>
      <c r="AO1109" s="243"/>
      <c r="AP1109" s="243"/>
      <c r="AQ1109" s="243"/>
      <c r="AR1109" s="243"/>
      <c r="AS1109" s="243"/>
      <c r="AT1109" s="243"/>
      <c r="AU1109" s="243"/>
      <c r="AV1109" s="243"/>
      <c r="AW1109" s="243"/>
      <c r="AX1109" s="243"/>
      <c r="AY1109" s="243"/>
      <c r="AZ1109" s="243"/>
      <c r="BA1109" s="243"/>
      <c r="BB1109" s="243"/>
      <c r="BC1109" s="243"/>
      <c r="BD1109" s="243"/>
      <c r="BE1109" s="243"/>
      <c r="BF1109" s="243"/>
      <c r="BG1109" s="243"/>
      <c r="BH1109" s="243"/>
      <c r="BI1109" s="243"/>
      <c r="BJ1109" s="243"/>
      <c r="BK1109" s="243"/>
      <c r="BL1109" s="243"/>
      <c r="BM1109" s="243"/>
      <c r="BN1109" s="243"/>
      <c r="BO1109" s="243"/>
      <c r="BP1109" s="243"/>
      <c r="BQ1109" s="243"/>
      <c r="BR1109" s="243"/>
      <c r="BS1109" s="243"/>
    </row>
    <row r="1110" spans="1:71" s="12" customFormat="1" ht="41.25" customHeight="1">
      <c r="A1110" s="178" t="s">
        <v>96</v>
      </c>
      <c r="B1110" s="75" t="str">
        <f ca="1">+UPPER(Tabla1321124[[#This Row],[DESCRIPCIÓN DE LA COMPRA O CONTRATACIÓN]])</f>
        <v>EJE DE ACERO INOXIDABLE, Ø2-11/16"X5', TUERCA DE AJUSTE Y COÑERO, CON COUPLINGS</v>
      </c>
      <c r="C1110" s="39" t="s">
        <v>17</v>
      </c>
      <c r="D1110" s="352">
        <v>100</v>
      </c>
      <c r="E1110" s="352">
        <v>200</v>
      </c>
      <c r="F1110" s="352">
        <v>100</v>
      </c>
      <c r="G1110" s="352">
        <v>100</v>
      </c>
      <c r="H1110" s="240">
        <f>SUM(Tabla1321124[[#This Row],[PRIMER TRIMESTRE]:[CUARTO TRIMESTRE]])</f>
        <v>500</v>
      </c>
      <c r="I1110" s="17">
        <v>42345.120000000003</v>
      </c>
      <c r="J1110" s="17">
        <f t="shared" si="21"/>
        <v>21172560</v>
      </c>
      <c r="K1110" s="17"/>
      <c r="L1110" s="16" t="s">
        <v>18</v>
      </c>
      <c r="M1110" s="16" t="s">
        <v>22</v>
      </c>
      <c r="N1110" s="16"/>
      <c r="O1110" s="243"/>
      <c r="P1110" s="243"/>
      <c r="Q1110" s="243"/>
      <c r="R1110" s="243"/>
      <c r="S1110" s="243"/>
      <c r="T1110" s="243"/>
      <c r="U1110" s="243"/>
      <c r="V1110" s="243"/>
      <c r="W1110" s="243"/>
      <c r="X1110" s="243"/>
      <c r="Y1110" s="243"/>
      <c r="Z1110" s="243"/>
      <c r="AA1110" s="243"/>
      <c r="AB1110" s="243"/>
      <c r="AC1110" s="243"/>
      <c r="AD1110" s="243"/>
      <c r="AE1110" s="243"/>
      <c r="AF1110" s="243"/>
      <c r="AG1110" s="243"/>
      <c r="AH1110" s="243"/>
      <c r="AI1110" s="243"/>
      <c r="AJ1110" s="243"/>
      <c r="AK1110" s="243"/>
      <c r="AL1110" s="243"/>
      <c r="AM1110" s="243"/>
      <c r="AN1110" s="243"/>
      <c r="AO1110" s="243"/>
      <c r="AP1110" s="243"/>
      <c r="AQ1110" s="243"/>
      <c r="AR1110" s="243"/>
      <c r="AS1110" s="243"/>
      <c r="AT1110" s="243"/>
      <c r="AU1110" s="243"/>
      <c r="AV1110" s="243"/>
      <c r="AW1110" s="243"/>
      <c r="AX1110" s="243"/>
      <c r="AY1110" s="243"/>
      <c r="AZ1110" s="243"/>
      <c r="BA1110" s="243"/>
      <c r="BB1110" s="243"/>
      <c r="BC1110" s="243"/>
      <c r="BD1110" s="243"/>
      <c r="BE1110" s="243"/>
      <c r="BF1110" s="243"/>
      <c r="BG1110" s="243"/>
      <c r="BH1110" s="243"/>
      <c r="BI1110" s="243"/>
      <c r="BJ1110" s="243"/>
      <c r="BK1110" s="243"/>
      <c r="BL1110" s="243"/>
      <c r="BM1110" s="243"/>
      <c r="BN1110" s="243"/>
      <c r="BO1110" s="243"/>
      <c r="BP1110" s="243"/>
      <c r="BQ1110" s="243"/>
      <c r="BR1110" s="243"/>
      <c r="BS1110" s="243"/>
    </row>
    <row r="1111" spans="1:71" s="12" customFormat="1" ht="41.25" customHeight="1">
      <c r="A1111" s="178" t="s">
        <v>96</v>
      </c>
      <c r="B1111" s="75" t="str">
        <f ca="1">+UPPER(Tabla1321124[[#This Row],[DESCRIPCIÓN DE LA COMPRA O CONTRATACIÓN]])</f>
        <v>MANOMETROS DE 0-300 PSI, SUMERGIDO EN GLILCERINA</v>
      </c>
      <c r="C1111" s="39" t="s">
        <v>17</v>
      </c>
      <c r="D1111" s="352">
        <v>515</v>
      </c>
      <c r="E1111" s="352">
        <v>515</v>
      </c>
      <c r="F1111" s="352">
        <v>515</v>
      </c>
      <c r="G1111" s="352">
        <v>515</v>
      </c>
      <c r="H1111" s="240">
        <f>SUM(Tabla1321124[[#This Row],[PRIMER TRIMESTRE]:[CUARTO TRIMESTRE]])</f>
        <v>2060</v>
      </c>
      <c r="I1111" s="17">
        <v>500</v>
      </c>
      <c r="J1111" s="17">
        <f t="shared" si="21"/>
        <v>1030000</v>
      </c>
      <c r="K1111" s="17"/>
      <c r="L1111" s="16" t="s">
        <v>18</v>
      </c>
      <c r="M1111" s="16" t="s">
        <v>22</v>
      </c>
      <c r="N1111" s="16" t="s">
        <v>418</v>
      </c>
      <c r="O1111" s="243"/>
      <c r="P1111" s="243"/>
      <c r="Q1111" s="243"/>
      <c r="R1111" s="243"/>
      <c r="S1111" s="243"/>
      <c r="T1111" s="243"/>
      <c r="U1111" s="243"/>
      <c r="V1111" s="243"/>
      <c r="W1111" s="243"/>
      <c r="X1111" s="243"/>
      <c r="Y1111" s="243"/>
      <c r="Z1111" s="243"/>
      <c r="AA1111" s="243"/>
      <c r="AB1111" s="243"/>
      <c r="AC1111" s="243"/>
      <c r="AD1111" s="243"/>
      <c r="AE1111" s="243"/>
      <c r="AF1111" s="243"/>
      <c r="AG1111" s="243"/>
      <c r="AH1111" s="243"/>
      <c r="AI1111" s="243"/>
      <c r="AJ1111" s="243"/>
      <c r="AK1111" s="243"/>
      <c r="AL1111" s="243"/>
      <c r="AM1111" s="243"/>
      <c r="AN1111" s="243"/>
      <c r="AO1111" s="243"/>
      <c r="AP1111" s="243"/>
      <c r="AQ1111" s="243"/>
      <c r="AR1111" s="243"/>
      <c r="AS1111" s="243"/>
      <c r="AT1111" s="243"/>
      <c r="AU1111" s="243"/>
      <c r="AV1111" s="243"/>
      <c r="AW1111" s="243"/>
      <c r="AX1111" s="243"/>
      <c r="AY1111" s="243"/>
      <c r="AZ1111" s="243"/>
      <c r="BA1111" s="243"/>
      <c r="BB1111" s="243"/>
      <c r="BC1111" s="243"/>
      <c r="BD1111" s="243"/>
      <c r="BE1111" s="243"/>
      <c r="BF1111" s="243"/>
      <c r="BG1111" s="243"/>
      <c r="BH1111" s="243"/>
      <c r="BI1111" s="243"/>
      <c r="BJ1111" s="243"/>
      <c r="BK1111" s="243"/>
      <c r="BL1111" s="243"/>
      <c r="BM1111" s="243"/>
      <c r="BN1111" s="243"/>
      <c r="BO1111" s="243"/>
      <c r="BP1111" s="243"/>
      <c r="BQ1111" s="243"/>
      <c r="BR1111" s="243"/>
      <c r="BS1111" s="243"/>
    </row>
    <row r="1112" spans="1:71" s="12" customFormat="1" ht="41.25" customHeight="1">
      <c r="A1112" s="178" t="s">
        <v>96</v>
      </c>
      <c r="B1112" s="75" t="str">
        <f ca="1">+UPPER(Tabla1321124[[#This Row],[DESCRIPCIÓN DE LA COMPRA O CONTRATACIÓN]])</f>
        <v>MANOMETROS DE 0-400 PSI, SUMERGIDO EN GLILCERINA</v>
      </c>
      <c r="C1112" s="39" t="s">
        <v>17</v>
      </c>
      <c r="D1112" s="352">
        <v>505</v>
      </c>
      <c r="E1112" s="352">
        <v>505</v>
      </c>
      <c r="F1112" s="352">
        <v>505</v>
      </c>
      <c r="G1112" s="352">
        <v>505</v>
      </c>
      <c r="H1112" s="240">
        <f>SUM(Tabla1321124[[#This Row],[PRIMER TRIMESTRE]:[CUARTO TRIMESTRE]])</f>
        <v>2020</v>
      </c>
      <c r="I1112" s="17">
        <v>1380</v>
      </c>
      <c r="J1112" s="17">
        <f t="shared" si="21"/>
        <v>2787600</v>
      </c>
      <c r="K1112" s="17"/>
      <c r="L1112" s="16" t="s">
        <v>18</v>
      </c>
      <c r="M1112" s="16" t="s">
        <v>22</v>
      </c>
      <c r="N1112" s="16" t="s">
        <v>418</v>
      </c>
      <c r="O1112" s="243"/>
      <c r="P1112" s="243"/>
      <c r="Q1112" s="243"/>
      <c r="R1112" s="243"/>
      <c r="S1112" s="243"/>
      <c r="T1112" s="243"/>
      <c r="U1112" s="243"/>
      <c r="V1112" s="243"/>
      <c r="W1112" s="243"/>
      <c r="X1112" s="243"/>
      <c r="Y1112" s="243"/>
      <c r="Z1112" s="243"/>
      <c r="AA1112" s="243"/>
      <c r="AB1112" s="243"/>
      <c r="AC1112" s="243"/>
      <c r="AD1112" s="243"/>
      <c r="AE1112" s="243"/>
      <c r="AF1112" s="243"/>
      <c r="AG1112" s="243"/>
      <c r="AH1112" s="243"/>
      <c r="AI1112" s="243"/>
      <c r="AJ1112" s="243"/>
      <c r="AK1112" s="243"/>
      <c r="AL1112" s="243"/>
      <c r="AM1112" s="243"/>
      <c r="AN1112" s="243"/>
      <c r="AO1112" s="243"/>
      <c r="AP1112" s="243"/>
      <c r="AQ1112" s="243"/>
      <c r="AR1112" s="243"/>
      <c r="AS1112" s="243"/>
      <c r="AT1112" s="243"/>
      <c r="AU1112" s="243"/>
      <c r="AV1112" s="243"/>
      <c r="AW1112" s="243"/>
      <c r="AX1112" s="243"/>
      <c r="AY1112" s="243"/>
      <c r="AZ1112" s="243"/>
      <c r="BA1112" s="243"/>
      <c r="BB1112" s="243"/>
      <c r="BC1112" s="243"/>
      <c r="BD1112" s="243"/>
      <c r="BE1112" s="243"/>
      <c r="BF1112" s="243"/>
      <c r="BG1112" s="243"/>
      <c r="BH1112" s="243"/>
      <c r="BI1112" s="243"/>
      <c r="BJ1112" s="243"/>
      <c r="BK1112" s="243"/>
      <c r="BL1112" s="243"/>
      <c r="BM1112" s="243"/>
      <c r="BN1112" s="243"/>
      <c r="BO1112" s="243"/>
      <c r="BP1112" s="243"/>
      <c r="BQ1112" s="243"/>
      <c r="BR1112" s="243"/>
      <c r="BS1112" s="243"/>
    </row>
    <row r="1113" spans="1:71" s="12" customFormat="1" ht="41.25" customHeight="1">
      <c r="A1113" s="178" t="s">
        <v>96</v>
      </c>
      <c r="B1113" s="75" t="str">
        <f ca="1">+UPPER(Tabla1321124[[#This Row],[DESCRIPCIÓN DE LA COMPRA O CONTRATACIÓN]])</f>
        <v>MANOMETROS DE 0-600 PSI, SUMERGIDO EN GLILCERINA</v>
      </c>
      <c r="C1113" s="39" t="s">
        <v>17</v>
      </c>
      <c r="D1113" s="352">
        <v>505</v>
      </c>
      <c r="E1113" s="352">
        <v>505</v>
      </c>
      <c r="F1113" s="352">
        <v>505</v>
      </c>
      <c r="G1113" s="352">
        <v>505</v>
      </c>
      <c r="H1113" s="240">
        <f>SUM(Tabla1321124[[#This Row],[PRIMER TRIMESTRE]:[CUARTO TRIMESTRE]])</f>
        <v>2020</v>
      </c>
      <c r="I1113" s="17">
        <v>3200</v>
      </c>
      <c r="J1113" s="17">
        <f t="shared" si="21"/>
        <v>6464000</v>
      </c>
      <c r="K1113" s="17"/>
      <c r="L1113" s="16" t="s">
        <v>18</v>
      </c>
      <c r="M1113" s="16" t="s">
        <v>22</v>
      </c>
      <c r="N1113" s="16" t="s">
        <v>418</v>
      </c>
      <c r="O1113" s="243"/>
      <c r="P1113" s="243"/>
      <c r="Q1113" s="243"/>
      <c r="R1113" s="243"/>
      <c r="S1113" s="243"/>
      <c r="T1113" s="243"/>
      <c r="U1113" s="243"/>
      <c r="V1113" s="243"/>
      <c r="W1113" s="243"/>
      <c r="X1113" s="243"/>
      <c r="Y1113" s="243"/>
      <c r="Z1113" s="243"/>
      <c r="AA1113" s="243"/>
      <c r="AB1113" s="243"/>
      <c r="AC1113" s="243"/>
      <c r="AD1113" s="243"/>
      <c r="AE1113" s="243"/>
      <c r="AF1113" s="243"/>
      <c r="AG1113" s="243"/>
      <c r="AH1113" s="243"/>
      <c r="AI1113" s="243"/>
      <c r="AJ1113" s="243"/>
      <c r="AK1113" s="243"/>
      <c r="AL1113" s="243"/>
      <c r="AM1113" s="243"/>
      <c r="AN1113" s="243"/>
      <c r="AO1113" s="243"/>
      <c r="AP1113" s="243"/>
      <c r="AQ1113" s="243"/>
      <c r="AR1113" s="243"/>
      <c r="AS1113" s="243"/>
      <c r="AT1113" s="243"/>
      <c r="AU1113" s="243"/>
      <c r="AV1113" s="243"/>
      <c r="AW1113" s="243"/>
      <c r="AX1113" s="243"/>
      <c r="AY1113" s="243"/>
      <c r="AZ1113" s="243"/>
      <c r="BA1113" s="243"/>
      <c r="BB1113" s="243"/>
      <c r="BC1113" s="243"/>
      <c r="BD1113" s="243"/>
      <c r="BE1113" s="243"/>
      <c r="BF1113" s="243"/>
      <c r="BG1113" s="243"/>
      <c r="BH1113" s="243"/>
      <c r="BI1113" s="243"/>
      <c r="BJ1113" s="243"/>
      <c r="BK1113" s="243"/>
      <c r="BL1113" s="243"/>
      <c r="BM1113" s="243"/>
      <c r="BN1113" s="243"/>
      <c r="BO1113" s="243"/>
      <c r="BP1113" s="243"/>
      <c r="BQ1113" s="243"/>
      <c r="BR1113" s="243"/>
      <c r="BS1113" s="243"/>
    </row>
    <row r="1114" spans="1:71" s="12" customFormat="1" ht="41.25" customHeight="1">
      <c r="A1114" s="178" t="s">
        <v>96</v>
      </c>
      <c r="B1114" s="77" t="str">
        <f ca="1">+UPPER(Tabla1321124[[#This Row],[DESCRIPCIÓN DE LA COMPRA O CONTRATACIÓN]])</f>
        <v>MANOMETROS DE 0-100 PSI, SUMERGIDO EN GLILCERINA</v>
      </c>
      <c r="C1114" s="39" t="s">
        <v>17</v>
      </c>
      <c r="D1114" s="365">
        <v>12</v>
      </c>
      <c r="E1114" s="365">
        <v>12</v>
      </c>
      <c r="F1114" s="365">
        <v>12</v>
      </c>
      <c r="G1114" s="365">
        <v>12</v>
      </c>
      <c r="H1114" s="240">
        <f>SUM(Tabla1321124[[#This Row],[PRIMER TRIMESTRE]:[CUARTO TRIMESTRE]])</f>
        <v>48</v>
      </c>
      <c r="I1114" s="17">
        <v>13800</v>
      </c>
      <c r="J1114" s="17">
        <f t="shared" si="21"/>
        <v>662400</v>
      </c>
      <c r="K1114" s="175"/>
      <c r="L1114" s="16" t="s">
        <v>18</v>
      </c>
      <c r="M1114" s="16" t="s">
        <v>22</v>
      </c>
      <c r="N1114" s="16"/>
      <c r="O1114" s="243"/>
      <c r="P1114" s="243"/>
      <c r="Q1114" s="243"/>
      <c r="R1114" s="243"/>
      <c r="S1114" s="243"/>
      <c r="T1114" s="243"/>
      <c r="U1114" s="243"/>
      <c r="V1114" s="243"/>
      <c r="W1114" s="243"/>
      <c r="X1114" s="243"/>
      <c r="Y1114" s="243"/>
      <c r="Z1114" s="243"/>
      <c r="AA1114" s="243"/>
      <c r="AB1114" s="243"/>
      <c r="AC1114" s="243"/>
      <c r="AD1114" s="243"/>
      <c r="AE1114" s="243"/>
      <c r="AF1114" s="243"/>
      <c r="AG1114" s="243"/>
      <c r="AH1114" s="243"/>
      <c r="AI1114" s="243"/>
      <c r="AJ1114" s="243"/>
      <c r="AK1114" s="243"/>
      <c r="AL1114" s="243"/>
      <c r="AM1114" s="243"/>
      <c r="AN1114" s="243"/>
      <c r="AO1114" s="243"/>
      <c r="AP1114" s="243"/>
      <c r="AQ1114" s="243"/>
      <c r="AR1114" s="243"/>
      <c r="AS1114" s="243"/>
      <c r="AT1114" s="243"/>
      <c r="AU1114" s="243"/>
      <c r="AV1114" s="243"/>
      <c r="AW1114" s="243"/>
      <c r="AX1114" s="243"/>
      <c r="AY1114" s="243"/>
      <c r="AZ1114" s="243"/>
      <c r="BA1114" s="243"/>
      <c r="BB1114" s="243"/>
      <c r="BC1114" s="243"/>
      <c r="BD1114" s="243"/>
      <c r="BE1114" s="243"/>
      <c r="BF1114" s="243"/>
      <c r="BG1114" s="243"/>
      <c r="BH1114" s="243"/>
      <c r="BI1114" s="243"/>
      <c r="BJ1114" s="243"/>
      <c r="BK1114" s="243"/>
      <c r="BL1114" s="243"/>
      <c r="BM1114" s="243"/>
      <c r="BN1114" s="243"/>
      <c r="BO1114" s="243"/>
      <c r="BP1114" s="243"/>
      <c r="BQ1114" s="243"/>
      <c r="BR1114" s="243"/>
      <c r="BS1114" s="243"/>
    </row>
    <row r="1115" spans="1:71" s="12" customFormat="1" ht="41.25" customHeight="1">
      <c r="A1115" s="178" t="s">
        <v>96</v>
      </c>
      <c r="B1115" s="77" t="str">
        <f ca="1">+UPPER(Tabla1321124[[#This Row],[DESCRIPCIÓN DE LA COMPRA O CONTRATACIÓN]])</f>
        <v>MANOMETROS DE 0-60 PSI</v>
      </c>
      <c r="C1115" s="39" t="s">
        <v>17</v>
      </c>
      <c r="D1115" s="365">
        <v>5</v>
      </c>
      <c r="E1115" s="365"/>
      <c r="F1115" s="365">
        <v>5</v>
      </c>
      <c r="G1115" s="365"/>
      <c r="H1115" s="240">
        <f>SUM(Tabla1321124[[#This Row],[PRIMER TRIMESTRE]:[CUARTO TRIMESTRE]])</f>
        <v>10</v>
      </c>
      <c r="I1115" s="17">
        <v>12500</v>
      </c>
      <c r="J1115" s="17">
        <f t="shared" si="21"/>
        <v>125000</v>
      </c>
      <c r="K1115" s="175"/>
      <c r="L1115" s="16" t="s">
        <v>18</v>
      </c>
      <c r="M1115" s="16" t="s">
        <v>22</v>
      </c>
      <c r="N1115" s="16"/>
      <c r="O1115" s="243"/>
      <c r="P1115" s="243"/>
      <c r="Q1115" s="243"/>
      <c r="R1115" s="243"/>
      <c r="S1115" s="243"/>
      <c r="T1115" s="243"/>
      <c r="U1115" s="243"/>
      <c r="V1115" s="243"/>
      <c r="W1115" s="243"/>
      <c r="X1115" s="243"/>
      <c r="Y1115" s="243"/>
      <c r="Z1115" s="243"/>
      <c r="AA1115" s="243"/>
      <c r="AB1115" s="243"/>
      <c r="AC1115" s="243"/>
      <c r="AD1115" s="243"/>
      <c r="AE1115" s="243"/>
      <c r="AF1115" s="243"/>
      <c r="AG1115" s="243"/>
      <c r="AH1115" s="243"/>
      <c r="AI1115" s="243"/>
      <c r="AJ1115" s="243"/>
      <c r="AK1115" s="243"/>
      <c r="AL1115" s="243"/>
      <c r="AM1115" s="243"/>
      <c r="AN1115" s="243"/>
      <c r="AO1115" s="243"/>
      <c r="AP1115" s="243"/>
      <c r="AQ1115" s="243"/>
      <c r="AR1115" s="243"/>
      <c r="AS1115" s="243"/>
      <c r="AT1115" s="243"/>
      <c r="AU1115" s="243"/>
      <c r="AV1115" s="243"/>
      <c r="AW1115" s="243"/>
      <c r="AX1115" s="243"/>
      <c r="AY1115" s="243"/>
      <c r="AZ1115" s="243"/>
      <c r="BA1115" s="243"/>
      <c r="BB1115" s="243"/>
      <c r="BC1115" s="243"/>
      <c r="BD1115" s="243"/>
      <c r="BE1115" s="243"/>
      <c r="BF1115" s="243"/>
      <c r="BG1115" s="243"/>
      <c r="BH1115" s="243"/>
      <c r="BI1115" s="243"/>
      <c r="BJ1115" s="243"/>
      <c r="BK1115" s="243"/>
      <c r="BL1115" s="243"/>
      <c r="BM1115" s="243"/>
      <c r="BN1115" s="243"/>
      <c r="BO1115" s="243"/>
      <c r="BP1115" s="243"/>
      <c r="BQ1115" s="243"/>
      <c r="BR1115" s="243"/>
      <c r="BS1115" s="243"/>
    </row>
    <row r="1116" spans="1:71" s="12" customFormat="1" ht="51" customHeight="1">
      <c r="A1116" s="178" t="s">
        <v>96</v>
      </c>
      <c r="B1116" s="75" t="str">
        <f ca="1">+UPPER(Tabla1321124[[#This Row],[DESCRIPCIÓN DE LA COMPRA O CONTRATACIÓN]])</f>
        <v>ARRANCADOR MAGNETICO TIPO DIRECTO A LINEA PARA MOTOR DE 40 HP, 3Ø, 460V, 60HZ, CON TODAS SUS PROTECCIONES, BOTONERA DE MARCHA Y PARADA, LUZ INDICADORA</v>
      </c>
      <c r="C1116" s="39" t="s">
        <v>17</v>
      </c>
      <c r="D1116" s="236">
        <v>5</v>
      </c>
      <c r="E1116" s="236">
        <v>3</v>
      </c>
      <c r="F1116" s="236">
        <v>5</v>
      </c>
      <c r="G1116" s="236">
        <v>3</v>
      </c>
      <c r="H1116" s="240">
        <f>SUM(Tabla1321124[[#This Row],[PRIMER TRIMESTRE]:[CUARTO TRIMESTRE]])</f>
        <v>16</v>
      </c>
      <c r="I1116" s="17">
        <v>38900</v>
      </c>
      <c r="J1116" s="17">
        <f t="shared" si="21"/>
        <v>622400</v>
      </c>
      <c r="K1116" s="17"/>
      <c r="L1116" s="16" t="s">
        <v>18</v>
      </c>
      <c r="M1116" s="16" t="s">
        <v>19</v>
      </c>
      <c r="N1116" s="16"/>
      <c r="O1116" s="243"/>
      <c r="P1116" s="243"/>
      <c r="Q1116" s="243"/>
      <c r="R1116" s="243"/>
      <c r="S1116" s="243"/>
      <c r="T1116" s="243"/>
      <c r="U1116" s="243"/>
      <c r="V1116" s="243"/>
      <c r="W1116" s="243"/>
      <c r="X1116" s="243"/>
      <c r="Y1116" s="243"/>
      <c r="Z1116" s="243"/>
      <c r="AA1116" s="243"/>
      <c r="AB1116" s="243"/>
      <c r="AC1116" s="243"/>
      <c r="AD1116" s="243"/>
      <c r="AE1116" s="243"/>
      <c r="AF1116" s="243"/>
      <c r="AG1116" s="243"/>
      <c r="AH1116" s="243"/>
      <c r="AI1116" s="243"/>
      <c r="AJ1116" s="243"/>
      <c r="AK1116" s="243"/>
      <c r="AL1116" s="243"/>
      <c r="AM1116" s="243"/>
      <c r="AN1116" s="243"/>
      <c r="AO1116" s="243"/>
      <c r="AP1116" s="243"/>
      <c r="AQ1116" s="243"/>
      <c r="AR1116" s="243"/>
      <c r="AS1116" s="243"/>
      <c r="AT1116" s="243"/>
      <c r="AU1116" s="243"/>
      <c r="AV1116" s="243"/>
      <c r="AW1116" s="243"/>
      <c r="AX1116" s="243"/>
      <c r="AY1116" s="243"/>
      <c r="AZ1116" s="243"/>
      <c r="BA1116" s="243"/>
      <c r="BB1116" s="243"/>
      <c r="BC1116" s="243"/>
      <c r="BD1116" s="243"/>
      <c r="BE1116" s="243"/>
      <c r="BF1116" s="243"/>
      <c r="BG1116" s="243"/>
      <c r="BH1116" s="243"/>
      <c r="BI1116" s="243"/>
      <c r="BJ1116" s="243"/>
      <c r="BK1116" s="243"/>
      <c r="BL1116" s="243"/>
      <c r="BM1116" s="243"/>
      <c r="BN1116" s="243"/>
      <c r="BO1116" s="243"/>
      <c r="BP1116" s="243"/>
      <c r="BQ1116" s="243"/>
      <c r="BR1116" s="243"/>
      <c r="BS1116" s="243"/>
    </row>
    <row r="1117" spans="1:71" s="12" customFormat="1" ht="57.75" customHeight="1">
      <c r="A1117" s="178" t="s">
        <v>96</v>
      </c>
      <c r="B1117" s="75" t="str">
        <f ca="1">+UPPER(Tabla1321124[[#This Row],[DESCRIPCIÓN DE LA COMPRA O CONTRATACIÓN]])</f>
        <v>ARRANCADOR MAGNETICO, PO DIRECTO A LINEA CON MECANISMO PARA 40 HP, 460V, 3Ø, CON SU BREAKER, PROTECCION DE ALTO Y BAJO VOLTAJE, MONITOR DE FASE Y CONTROLES DE NEMA 1</v>
      </c>
      <c r="C1117" s="39" t="s">
        <v>17</v>
      </c>
      <c r="D1117" s="236">
        <v>2</v>
      </c>
      <c r="E1117" s="236"/>
      <c r="F1117" s="236">
        <v>2</v>
      </c>
      <c r="G1117" s="236"/>
      <c r="H1117" s="240">
        <f>SUM(Tabla1321124[[#This Row],[PRIMER TRIMESTRE]:[CUARTO TRIMESTRE]])</f>
        <v>4</v>
      </c>
      <c r="I1117" s="17">
        <v>45900</v>
      </c>
      <c r="J1117" s="17">
        <f t="shared" si="21"/>
        <v>183600</v>
      </c>
      <c r="K1117" s="17"/>
      <c r="L1117" s="16" t="s">
        <v>18</v>
      </c>
      <c r="M1117" s="16" t="s">
        <v>19</v>
      </c>
      <c r="N1117" s="16"/>
      <c r="O1117" s="243"/>
      <c r="P1117" s="243"/>
      <c r="Q1117" s="243"/>
      <c r="R1117" s="243"/>
      <c r="S1117" s="243"/>
      <c r="T1117" s="243"/>
      <c r="U1117" s="243"/>
      <c r="V1117" s="243"/>
      <c r="W1117" s="243"/>
      <c r="X1117" s="243"/>
      <c r="Y1117" s="243"/>
      <c r="Z1117" s="243"/>
      <c r="AA1117" s="243"/>
      <c r="AB1117" s="243"/>
      <c r="AC1117" s="243"/>
      <c r="AD1117" s="243"/>
      <c r="AE1117" s="243"/>
      <c r="AF1117" s="243"/>
      <c r="AG1117" s="243"/>
      <c r="AH1117" s="243"/>
      <c r="AI1117" s="243"/>
      <c r="AJ1117" s="243"/>
      <c r="AK1117" s="243"/>
      <c r="AL1117" s="243"/>
      <c r="AM1117" s="243"/>
      <c r="AN1117" s="243"/>
      <c r="AO1117" s="243"/>
      <c r="AP1117" s="243"/>
      <c r="AQ1117" s="243"/>
      <c r="AR1117" s="243"/>
      <c r="AS1117" s="243"/>
      <c r="AT1117" s="243"/>
      <c r="AU1117" s="243"/>
      <c r="AV1117" s="243"/>
      <c r="AW1117" s="243"/>
      <c r="AX1117" s="243"/>
      <c r="AY1117" s="243"/>
      <c r="AZ1117" s="243"/>
      <c r="BA1117" s="243"/>
      <c r="BB1117" s="243"/>
      <c r="BC1117" s="243"/>
      <c r="BD1117" s="243"/>
      <c r="BE1117" s="243"/>
      <c r="BF1117" s="243"/>
      <c r="BG1117" s="243"/>
      <c r="BH1117" s="243"/>
      <c r="BI1117" s="243"/>
      <c r="BJ1117" s="243"/>
      <c r="BK1117" s="243"/>
      <c r="BL1117" s="243"/>
      <c r="BM1117" s="243"/>
      <c r="BN1117" s="243"/>
      <c r="BO1117" s="243"/>
      <c r="BP1117" s="243"/>
      <c r="BQ1117" s="243"/>
      <c r="BR1117" s="243"/>
      <c r="BS1117" s="243"/>
    </row>
    <row r="1118" spans="1:71" s="12" customFormat="1" ht="51" customHeight="1">
      <c r="A1118" s="178" t="s">
        <v>96</v>
      </c>
      <c r="B1118" s="75" t="str">
        <f ca="1">+UPPER(Tabla1321124[[#This Row],[DESCRIPCIÓN DE LA COMPRA O CONTRATACIÓN]])</f>
        <v>ARRANCADOR MAGNETICO TIPO SOFT START, PARA 125 HP, 460V, 3Ø CON TODOS SUS ELEMENTOS DE PROTECCION, LUZ PILOTO Y BOTONERA DE MARCHA Y PARADA</v>
      </c>
      <c r="C1118" s="39" t="s">
        <v>17</v>
      </c>
      <c r="D1118" s="352">
        <v>13</v>
      </c>
      <c r="E1118" s="352">
        <v>23</v>
      </c>
      <c r="F1118" s="352">
        <v>53</v>
      </c>
      <c r="G1118" s="352">
        <v>13</v>
      </c>
      <c r="H1118" s="240">
        <f>SUM(Tabla1321124[[#This Row],[PRIMER TRIMESTRE]:[CUARTO TRIMESTRE]])</f>
        <v>102</v>
      </c>
      <c r="I1118" s="17">
        <v>400000</v>
      </c>
      <c r="J1118" s="17">
        <f t="shared" si="21"/>
        <v>40800000</v>
      </c>
      <c r="K1118" s="302"/>
      <c r="L1118" s="16" t="s">
        <v>18</v>
      </c>
      <c r="M1118" s="16" t="s">
        <v>19</v>
      </c>
      <c r="N1118" s="16"/>
      <c r="O1118" s="243"/>
      <c r="P1118" s="243"/>
      <c r="Q1118" s="243"/>
      <c r="R1118" s="243"/>
      <c r="S1118" s="243"/>
      <c r="T1118" s="243"/>
      <c r="U1118" s="243"/>
      <c r="V1118" s="243"/>
      <c r="W1118" s="243"/>
      <c r="X1118" s="243"/>
      <c r="Y1118" s="243"/>
      <c r="Z1118" s="243"/>
      <c r="AA1118" s="243"/>
      <c r="AB1118" s="243"/>
      <c r="AC1118" s="243"/>
      <c r="AD1118" s="243"/>
      <c r="AE1118" s="243"/>
      <c r="AF1118" s="243"/>
      <c r="AG1118" s="243"/>
      <c r="AH1118" s="243"/>
      <c r="AI1118" s="243"/>
      <c r="AJ1118" s="243"/>
      <c r="AK1118" s="243"/>
      <c r="AL1118" s="243"/>
      <c r="AM1118" s="243"/>
      <c r="AN1118" s="243"/>
      <c r="AO1118" s="243"/>
      <c r="AP1118" s="243"/>
      <c r="AQ1118" s="243"/>
      <c r="AR1118" s="243"/>
      <c r="AS1118" s="243"/>
      <c r="AT1118" s="243"/>
      <c r="AU1118" s="243"/>
      <c r="AV1118" s="243"/>
      <c r="AW1118" s="243"/>
      <c r="AX1118" s="243"/>
      <c r="AY1118" s="243"/>
      <c r="AZ1118" s="243"/>
      <c r="BA1118" s="243"/>
      <c r="BB1118" s="243"/>
      <c r="BC1118" s="243"/>
      <c r="BD1118" s="243"/>
      <c r="BE1118" s="243"/>
      <c r="BF1118" s="243"/>
      <c r="BG1118" s="243"/>
      <c r="BH1118" s="243"/>
      <c r="BI1118" s="243"/>
      <c r="BJ1118" s="243"/>
      <c r="BK1118" s="243"/>
      <c r="BL1118" s="243"/>
      <c r="BM1118" s="243"/>
      <c r="BN1118" s="243"/>
      <c r="BO1118" s="243"/>
      <c r="BP1118" s="243"/>
      <c r="BQ1118" s="243"/>
      <c r="BR1118" s="243"/>
      <c r="BS1118" s="243"/>
    </row>
    <row r="1119" spans="1:71" s="12" customFormat="1" ht="51" customHeight="1">
      <c r="A1119" s="178" t="s">
        <v>96</v>
      </c>
      <c r="B1119" s="75" t="str">
        <f ca="1">+UPPER(Tabla1321124[[#This Row],[DESCRIPCIÓN DE LA COMPRA O CONTRATACIÓN]])</f>
        <v>ARRANCADOR MAGNETICO TIPO SOFT START, PARA 600 HP, 460V, 3Ø, CON TODOS SUS ELEMENTOS DE MARCHA Y PARADA, LUZ PILOTO</v>
      </c>
      <c r="C1119" s="39" t="s">
        <v>17</v>
      </c>
      <c r="D1119" s="352">
        <v>3</v>
      </c>
      <c r="E1119" s="352">
        <v>1</v>
      </c>
      <c r="F1119" s="352">
        <v>1</v>
      </c>
      <c r="G1119" s="352">
        <v>1</v>
      </c>
      <c r="H1119" s="240">
        <f>SUM(Tabla1321124[[#This Row],[PRIMER TRIMESTRE]:[CUARTO TRIMESTRE]])</f>
        <v>6</v>
      </c>
      <c r="I1119" s="17">
        <v>450000</v>
      </c>
      <c r="J1119" s="17">
        <f t="shared" si="21"/>
        <v>2700000</v>
      </c>
      <c r="K1119" s="17"/>
      <c r="L1119" s="16" t="s">
        <v>18</v>
      </c>
      <c r="M1119" s="16" t="s">
        <v>19</v>
      </c>
      <c r="N1119" s="16"/>
      <c r="O1119" s="243"/>
      <c r="P1119" s="243"/>
      <c r="Q1119" s="243"/>
      <c r="R1119" s="243"/>
      <c r="S1119" s="243"/>
      <c r="T1119" s="243"/>
      <c r="U1119" s="243"/>
      <c r="V1119" s="243"/>
      <c r="W1119" s="243"/>
      <c r="X1119" s="243"/>
      <c r="Y1119" s="243"/>
      <c r="Z1119" s="243"/>
      <c r="AA1119" s="243"/>
      <c r="AB1119" s="243"/>
      <c r="AC1119" s="243"/>
      <c r="AD1119" s="243"/>
      <c r="AE1119" s="243"/>
      <c r="AF1119" s="243"/>
      <c r="AG1119" s="243"/>
      <c r="AH1119" s="243"/>
      <c r="AI1119" s="243"/>
      <c r="AJ1119" s="243"/>
      <c r="AK1119" s="243"/>
      <c r="AL1119" s="243"/>
      <c r="AM1119" s="243"/>
      <c r="AN1119" s="243"/>
      <c r="AO1119" s="243"/>
      <c r="AP1119" s="243"/>
      <c r="AQ1119" s="243"/>
      <c r="AR1119" s="243"/>
      <c r="AS1119" s="243"/>
      <c r="AT1119" s="243"/>
      <c r="AU1119" s="243"/>
      <c r="AV1119" s="243"/>
      <c r="AW1119" s="243"/>
      <c r="AX1119" s="243"/>
      <c r="AY1119" s="243"/>
      <c r="AZ1119" s="243"/>
      <c r="BA1119" s="243"/>
      <c r="BB1119" s="243"/>
      <c r="BC1119" s="243"/>
      <c r="BD1119" s="243"/>
      <c r="BE1119" s="243"/>
      <c r="BF1119" s="243"/>
      <c r="BG1119" s="243"/>
      <c r="BH1119" s="243"/>
      <c r="BI1119" s="243"/>
      <c r="BJ1119" s="243"/>
      <c r="BK1119" s="243"/>
      <c r="BL1119" s="243"/>
      <c r="BM1119" s="243"/>
      <c r="BN1119" s="243"/>
      <c r="BO1119" s="243"/>
      <c r="BP1119" s="243"/>
      <c r="BQ1119" s="243"/>
      <c r="BR1119" s="243"/>
      <c r="BS1119" s="243"/>
    </row>
    <row r="1120" spans="1:71" s="12" customFormat="1" ht="51" customHeight="1">
      <c r="A1120" s="178" t="s">
        <v>96</v>
      </c>
      <c r="B1120" s="75" t="str">
        <f ca="1">+UPPER(Tabla1321124[[#This Row],[DESCRIPCIÓN DE LA COMPRA O CONTRATACIÓN]])</f>
        <v>ARRANCADORES MAGNÉTICOS 460 V, TIPO AUTOTRANSFORMADOR PARA 350HP, 460V, 3Ø, TIPO AUTO-TRANSFORMADOR</v>
      </c>
      <c r="C1120" s="39" t="s">
        <v>17</v>
      </c>
      <c r="D1120" s="352">
        <f>2+2</f>
        <v>4</v>
      </c>
      <c r="E1120" s="352">
        <v>1</v>
      </c>
      <c r="F1120" s="352">
        <f>1+2</f>
        <v>3</v>
      </c>
      <c r="G1120" s="352">
        <v>1</v>
      </c>
      <c r="H1120" s="240">
        <f>SUM(Tabla1321124[[#This Row],[PRIMER TRIMESTRE]:[CUARTO TRIMESTRE]])</f>
        <v>9</v>
      </c>
      <c r="I1120" s="17">
        <v>565000</v>
      </c>
      <c r="J1120" s="17">
        <f t="shared" si="21"/>
        <v>5085000</v>
      </c>
      <c r="K1120" s="17"/>
      <c r="L1120" s="16" t="s">
        <v>18</v>
      </c>
      <c r="M1120" s="16" t="s">
        <v>19</v>
      </c>
      <c r="N1120" s="16"/>
      <c r="O1120" s="243"/>
      <c r="P1120" s="243"/>
      <c r="Q1120" s="243"/>
      <c r="R1120" s="243"/>
      <c r="S1120" s="243"/>
      <c r="T1120" s="243"/>
      <c r="U1120" s="243"/>
      <c r="V1120" s="243"/>
      <c r="W1120" s="243"/>
      <c r="X1120" s="243"/>
      <c r="Y1120" s="243"/>
      <c r="Z1120" s="243"/>
      <c r="AA1120" s="243"/>
      <c r="AB1120" s="243"/>
      <c r="AC1120" s="243"/>
      <c r="AD1120" s="243"/>
      <c r="AE1120" s="243"/>
      <c r="AF1120" s="243"/>
      <c r="AG1120" s="243"/>
      <c r="AH1120" s="243"/>
      <c r="AI1120" s="243"/>
      <c r="AJ1120" s="243"/>
      <c r="AK1120" s="243"/>
      <c r="AL1120" s="243"/>
      <c r="AM1120" s="243"/>
      <c r="AN1120" s="243"/>
      <c r="AO1120" s="243"/>
      <c r="AP1120" s="243"/>
      <c r="AQ1120" s="243"/>
      <c r="AR1120" s="243"/>
      <c r="AS1120" s="243"/>
      <c r="AT1120" s="243"/>
      <c r="AU1120" s="243"/>
      <c r="AV1120" s="243"/>
      <c r="AW1120" s="243"/>
      <c r="AX1120" s="243"/>
      <c r="AY1120" s="243"/>
      <c r="AZ1120" s="243"/>
      <c r="BA1120" s="243"/>
      <c r="BB1120" s="243"/>
      <c r="BC1120" s="243"/>
      <c r="BD1120" s="243"/>
      <c r="BE1120" s="243"/>
      <c r="BF1120" s="243"/>
      <c r="BG1120" s="243"/>
      <c r="BH1120" s="243"/>
      <c r="BI1120" s="243"/>
      <c r="BJ1120" s="243"/>
      <c r="BK1120" s="243"/>
      <c r="BL1120" s="243"/>
      <c r="BM1120" s="243"/>
      <c r="BN1120" s="243"/>
      <c r="BO1120" s="243"/>
      <c r="BP1120" s="243"/>
      <c r="BQ1120" s="243"/>
      <c r="BR1120" s="243"/>
      <c r="BS1120" s="243"/>
    </row>
    <row r="1121" spans="1:71" s="12" customFormat="1" ht="51" customHeight="1">
      <c r="A1121" s="178" t="s">
        <v>96</v>
      </c>
      <c r="B1121" s="75" t="str">
        <f ca="1">+UPPER(Tabla1321124[[#This Row],[DESCRIPCIÓN DE LA COMPRA O CONTRATACIÓN]])</f>
        <v>ARRANCADORES MAGNÉTICOS 460 V, TIPO AUTOTRANSFORMADOR PARA 300HP, 460V, 3Ø, TIPO AUTO-TRANSFORMADOR</v>
      </c>
      <c r="C1121" s="39" t="s">
        <v>17</v>
      </c>
      <c r="D1121" s="352">
        <v>5</v>
      </c>
      <c r="E1121" s="352">
        <v>5</v>
      </c>
      <c r="F1121" s="352">
        <v>2</v>
      </c>
      <c r="G1121" s="352">
        <v>3</v>
      </c>
      <c r="H1121" s="240">
        <f>SUM(Tabla1321124[[#This Row],[PRIMER TRIMESTRE]:[CUARTO TRIMESTRE]])</f>
        <v>15</v>
      </c>
      <c r="I1121" s="17">
        <v>699235.41</v>
      </c>
      <c r="J1121" s="17">
        <f t="shared" si="21"/>
        <v>10488531.15</v>
      </c>
      <c r="K1121" s="17"/>
      <c r="L1121" s="16" t="s">
        <v>18</v>
      </c>
      <c r="M1121" s="16" t="s">
        <v>19</v>
      </c>
      <c r="N1121" s="16"/>
      <c r="O1121" s="243"/>
      <c r="P1121" s="243"/>
      <c r="Q1121" s="243"/>
      <c r="R1121" s="243"/>
      <c r="S1121" s="243"/>
      <c r="T1121" s="243"/>
      <c r="U1121" s="243"/>
      <c r="V1121" s="243"/>
      <c r="W1121" s="243"/>
      <c r="X1121" s="243"/>
      <c r="Y1121" s="243"/>
      <c r="Z1121" s="243"/>
      <c r="AA1121" s="243"/>
      <c r="AB1121" s="243"/>
      <c r="AC1121" s="243"/>
      <c r="AD1121" s="243"/>
      <c r="AE1121" s="243"/>
      <c r="AF1121" s="243"/>
      <c r="AG1121" s="243"/>
      <c r="AH1121" s="243"/>
      <c r="AI1121" s="243"/>
      <c r="AJ1121" s="243"/>
      <c r="AK1121" s="243"/>
      <c r="AL1121" s="243"/>
      <c r="AM1121" s="243"/>
      <c r="AN1121" s="243"/>
      <c r="AO1121" s="243"/>
      <c r="AP1121" s="243"/>
      <c r="AQ1121" s="243"/>
      <c r="AR1121" s="243"/>
      <c r="AS1121" s="243"/>
      <c r="AT1121" s="243"/>
      <c r="AU1121" s="243"/>
      <c r="AV1121" s="243"/>
      <c r="AW1121" s="243"/>
      <c r="AX1121" s="243"/>
      <c r="AY1121" s="243"/>
      <c r="AZ1121" s="243"/>
      <c r="BA1121" s="243"/>
      <c r="BB1121" s="243"/>
      <c r="BC1121" s="243"/>
      <c r="BD1121" s="243"/>
      <c r="BE1121" s="243"/>
      <c r="BF1121" s="243"/>
      <c r="BG1121" s="243"/>
      <c r="BH1121" s="243"/>
      <c r="BI1121" s="243"/>
      <c r="BJ1121" s="243"/>
      <c r="BK1121" s="243"/>
      <c r="BL1121" s="243"/>
      <c r="BM1121" s="243"/>
      <c r="BN1121" s="243"/>
      <c r="BO1121" s="243"/>
      <c r="BP1121" s="243"/>
      <c r="BQ1121" s="243"/>
      <c r="BR1121" s="243"/>
      <c r="BS1121" s="243"/>
    </row>
    <row r="1122" spans="1:71" s="12" customFormat="1" ht="51" customHeight="1">
      <c r="A1122" s="178" t="s">
        <v>96</v>
      </c>
      <c r="B1122" s="75" t="str">
        <f ca="1">+UPPER(Tabla1321124[[#This Row],[DESCRIPCIÓN DE LA COMPRA O CONTRATACIÓN]])</f>
        <v>ARRANCADORES MAGNÉTICOS 460 V, TIPO AUTOTRANSFORMADOR PARA 200HP, 460V, 3Ø, TIPO AUTO-TRANSFORMADOR</v>
      </c>
      <c r="C1122" s="39" t="s">
        <v>17</v>
      </c>
      <c r="D1122" s="352">
        <f>5</f>
        <v>5</v>
      </c>
      <c r="E1122" s="352">
        <v>5</v>
      </c>
      <c r="F1122" s="352">
        <v>2</v>
      </c>
      <c r="G1122" s="352">
        <v>3</v>
      </c>
      <c r="H1122" s="240">
        <f>SUM(Tabla1321124[[#This Row],[PRIMER TRIMESTRE]:[CUARTO TRIMESTRE]])</f>
        <v>15</v>
      </c>
      <c r="I1122" s="17">
        <v>350000</v>
      </c>
      <c r="J1122" s="17">
        <f t="shared" si="21"/>
        <v>5250000</v>
      </c>
      <c r="K1122" s="17"/>
      <c r="L1122" s="16" t="s">
        <v>18</v>
      </c>
      <c r="M1122" s="16" t="s">
        <v>19</v>
      </c>
      <c r="N1122" s="16"/>
      <c r="O1122" s="243"/>
      <c r="P1122" s="243"/>
      <c r="Q1122" s="243"/>
      <c r="R1122" s="243"/>
      <c r="S1122" s="243"/>
      <c r="T1122" s="243"/>
      <c r="U1122" s="243"/>
      <c r="V1122" s="243"/>
      <c r="W1122" s="243"/>
      <c r="X1122" s="243"/>
      <c r="Y1122" s="243"/>
      <c r="Z1122" s="243"/>
      <c r="AA1122" s="243"/>
      <c r="AB1122" s="243"/>
      <c r="AC1122" s="243"/>
      <c r="AD1122" s="243"/>
      <c r="AE1122" s="243"/>
      <c r="AF1122" s="243"/>
      <c r="AG1122" s="243"/>
      <c r="AH1122" s="243"/>
      <c r="AI1122" s="243"/>
      <c r="AJ1122" s="243"/>
      <c r="AK1122" s="243"/>
      <c r="AL1122" s="243"/>
      <c r="AM1122" s="243"/>
      <c r="AN1122" s="243"/>
      <c r="AO1122" s="243"/>
      <c r="AP1122" s="243"/>
      <c r="AQ1122" s="243"/>
      <c r="AR1122" s="243"/>
      <c r="AS1122" s="243"/>
      <c r="AT1122" s="243"/>
      <c r="AU1122" s="243"/>
      <c r="AV1122" s="243"/>
      <c r="AW1122" s="243"/>
      <c r="AX1122" s="243"/>
      <c r="AY1122" s="243"/>
      <c r="AZ1122" s="243"/>
      <c r="BA1122" s="243"/>
      <c r="BB1122" s="243"/>
      <c r="BC1122" s="243"/>
      <c r="BD1122" s="243"/>
      <c r="BE1122" s="243"/>
      <c r="BF1122" s="243"/>
      <c r="BG1122" s="243"/>
      <c r="BH1122" s="243"/>
      <c r="BI1122" s="243"/>
      <c r="BJ1122" s="243"/>
      <c r="BK1122" s="243"/>
      <c r="BL1122" s="243"/>
      <c r="BM1122" s="243"/>
      <c r="BN1122" s="243"/>
      <c r="BO1122" s="243"/>
      <c r="BP1122" s="243"/>
      <c r="BQ1122" s="243"/>
      <c r="BR1122" s="243"/>
      <c r="BS1122" s="243"/>
    </row>
    <row r="1123" spans="1:71" s="12" customFormat="1" ht="51" customHeight="1">
      <c r="A1123" s="178" t="s">
        <v>96</v>
      </c>
      <c r="B1123" s="75" t="str">
        <f ca="1">+UPPER(Tabla1321124[[#This Row],[DESCRIPCIÓN DE LA COMPRA O CONTRATACIÓN]])</f>
        <v>ARRANCADORES MAGNÉTICOS 460 V, TIPO AUTOTRANSFORMADOR PARA 100HP, 460V, 3Ø, TIPO PART WINDING</v>
      </c>
      <c r="C1123" s="39" t="s">
        <v>17</v>
      </c>
      <c r="D1123" s="352">
        <f>5+2</f>
        <v>7</v>
      </c>
      <c r="E1123" s="352">
        <v>5</v>
      </c>
      <c r="F1123" s="352">
        <v>5</v>
      </c>
      <c r="G1123" s="352">
        <v>5</v>
      </c>
      <c r="H1123" s="240">
        <f>SUM(Tabla1321124[[#This Row],[PRIMER TRIMESTRE]:[CUARTO TRIMESTRE]])</f>
        <v>22</v>
      </c>
      <c r="I1123" s="17">
        <v>198000</v>
      </c>
      <c r="J1123" s="17">
        <f t="shared" si="21"/>
        <v>4356000</v>
      </c>
      <c r="K1123" s="17"/>
      <c r="L1123" s="16" t="s">
        <v>18</v>
      </c>
      <c r="M1123" s="16" t="s">
        <v>19</v>
      </c>
      <c r="N1123" s="16"/>
      <c r="O1123" s="243"/>
      <c r="P1123" s="243"/>
      <c r="Q1123" s="243"/>
      <c r="R1123" s="243"/>
      <c r="S1123" s="243"/>
      <c r="T1123" s="243"/>
      <c r="U1123" s="243"/>
      <c r="V1123" s="243"/>
      <c r="W1123" s="243"/>
      <c r="X1123" s="243"/>
      <c r="Y1123" s="243"/>
      <c r="Z1123" s="243"/>
      <c r="AA1123" s="243"/>
      <c r="AB1123" s="243"/>
      <c r="AC1123" s="243"/>
      <c r="AD1123" s="243"/>
      <c r="AE1123" s="243"/>
      <c r="AF1123" s="243"/>
      <c r="AG1123" s="243"/>
      <c r="AH1123" s="243"/>
      <c r="AI1123" s="243"/>
      <c r="AJ1123" s="243"/>
      <c r="AK1123" s="243"/>
      <c r="AL1123" s="243"/>
      <c r="AM1123" s="243"/>
      <c r="AN1123" s="243"/>
      <c r="AO1123" s="243"/>
      <c r="AP1123" s="243"/>
      <c r="AQ1123" s="243"/>
      <c r="AR1123" s="243"/>
      <c r="AS1123" s="243"/>
      <c r="AT1123" s="243"/>
      <c r="AU1123" s="243"/>
      <c r="AV1123" s="243"/>
      <c r="AW1123" s="243"/>
      <c r="AX1123" s="243"/>
      <c r="AY1123" s="243"/>
      <c r="AZ1123" s="243"/>
      <c r="BA1123" s="243"/>
      <c r="BB1123" s="243"/>
      <c r="BC1123" s="243"/>
      <c r="BD1123" s="243"/>
      <c r="BE1123" s="243"/>
      <c r="BF1123" s="243"/>
      <c r="BG1123" s="243"/>
      <c r="BH1123" s="243"/>
      <c r="BI1123" s="243"/>
      <c r="BJ1123" s="243"/>
      <c r="BK1123" s="243"/>
      <c r="BL1123" s="243"/>
      <c r="BM1123" s="243"/>
      <c r="BN1123" s="243"/>
      <c r="BO1123" s="243"/>
      <c r="BP1123" s="243"/>
      <c r="BQ1123" s="243"/>
      <c r="BR1123" s="243"/>
      <c r="BS1123" s="243"/>
    </row>
    <row r="1124" spans="1:71" s="12" customFormat="1" ht="51" customHeight="1">
      <c r="A1124" s="178" t="s">
        <v>96</v>
      </c>
      <c r="B1124" s="75" t="str">
        <f ca="1">+UPPER(Tabla1321124[[#This Row],[DESCRIPCIÓN DE LA COMPRA O CONTRATACIÓN]])</f>
        <v>ARRANCADORES MAGNÉTICOS 460 V, TIPO AUTOTRANSFORMADOR PARA 75HP, 460V, 3Ø, TIPO PART WINDING</v>
      </c>
      <c r="C1124" s="39" t="s">
        <v>17</v>
      </c>
      <c r="D1124" s="352">
        <v>5</v>
      </c>
      <c r="E1124" s="352">
        <v>5</v>
      </c>
      <c r="F1124" s="352">
        <v>5</v>
      </c>
      <c r="G1124" s="352">
        <v>5</v>
      </c>
      <c r="H1124" s="240">
        <f>SUM(Tabla1321124[[#This Row],[PRIMER TRIMESTRE]:[CUARTO TRIMESTRE]])</f>
        <v>20</v>
      </c>
      <c r="I1124" s="17">
        <v>117000</v>
      </c>
      <c r="J1124" s="17">
        <f t="shared" si="21"/>
        <v>2340000</v>
      </c>
      <c r="K1124" s="17"/>
      <c r="L1124" s="16" t="s">
        <v>18</v>
      </c>
      <c r="M1124" s="16" t="s">
        <v>19</v>
      </c>
      <c r="N1124" s="16"/>
      <c r="O1124" s="243"/>
      <c r="P1124" s="243"/>
      <c r="Q1124" s="243"/>
      <c r="R1124" s="243"/>
      <c r="S1124" s="243"/>
      <c r="T1124" s="243"/>
      <c r="U1124" s="243"/>
      <c r="V1124" s="243"/>
      <c r="W1124" s="243"/>
      <c r="X1124" s="243"/>
      <c r="Y1124" s="243"/>
      <c r="Z1124" s="243"/>
      <c r="AA1124" s="243"/>
      <c r="AB1124" s="243"/>
      <c r="AC1124" s="243"/>
      <c r="AD1124" s="243"/>
      <c r="AE1124" s="243"/>
      <c r="AF1124" s="243"/>
      <c r="AG1124" s="243"/>
      <c r="AH1124" s="243"/>
      <c r="AI1124" s="243"/>
      <c r="AJ1124" s="243"/>
      <c r="AK1124" s="243"/>
      <c r="AL1124" s="243"/>
      <c r="AM1124" s="243"/>
      <c r="AN1124" s="243"/>
      <c r="AO1124" s="243"/>
      <c r="AP1124" s="243"/>
      <c r="AQ1124" s="243"/>
      <c r="AR1124" s="243"/>
      <c r="AS1124" s="243"/>
      <c r="AT1124" s="243"/>
      <c r="AU1124" s="243"/>
      <c r="AV1124" s="243"/>
      <c r="AW1124" s="243"/>
      <c r="AX1124" s="243"/>
      <c r="AY1124" s="243"/>
      <c r="AZ1124" s="243"/>
      <c r="BA1124" s="243"/>
      <c r="BB1124" s="243"/>
      <c r="BC1124" s="243"/>
      <c r="BD1124" s="243"/>
      <c r="BE1124" s="243"/>
      <c r="BF1124" s="243"/>
      <c r="BG1124" s="243"/>
      <c r="BH1124" s="243"/>
      <c r="BI1124" s="243"/>
      <c r="BJ1124" s="243"/>
      <c r="BK1124" s="243"/>
      <c r="BL1124" s="243"/>
      <c r="BM1124" s="243"/>
      <c r="BN1124" s="243"/>
      <c r="BO1124" s="243"/>
      <c r="BP1124" s="243"/>
      <c r="BQ1124" s="243"/>
      <c r="BR1124" s="243"/>
      <c r="BS1124" s="243"/>
    </row>
    <row r="1125" spans="1:71" s="12" customFormat="1" ht="51" customHeight="1">
      <c r="A1125" s="178" t="s">
        <v>96</v>
      </c>
      <c r="B1125" s="75" t="str">
        <f ca="1">+UPPER(Tabla1321124[[#This Row],[DESCRIPCIÓN DE LA COMPRA O CONTRATACIÓN]])</f>
        <v>ARRANCADORES MAGNÉTICOS 460 V, TIPO AUTOTRANSFORMADOR PARA 60HP, 460V, 3Ø, TIPO PART WINDING</v>
      </c>
      <c r="C1125" s="39" t="s">
        <v>17</v>
      </c>
      <c r="D1125" s="352">
        <f>5+2</f>
        <v>7</v>
      </c>
      <c r="E1125" s="352">
        <f>5+2</f>
        <v>7</v>
      </c>
      <c r="F1125" s="352">
        <f>5+2</f>
        <v>7</v>
      </c>
      <c r="G1125" s="352">
        <f>5+2</f>
        <v>7</v>
      </c>
      <c r="H1125" s="240">
        <f>SUM(Tabla1321124[[#This Row],[PRIMER TRIMESTRE]:[CUARTO TRIMESTRE]])</f>
        <v>28</v>
      </c>
      <c r="I1125" s="17">
        <v>61630.63</v>
      </c>
      <c r="J1125" s="17">
        <f t="shared" si="21"/>
        <v>1725657.64</v>
      </c>
      <c r="K1125" s="17"/>
      <c r="L1125" s="16" t="s">
        <v>18</v>
      </c>
      <c r="M1125" s="16" t="s">
        <v>19</v>
      </c>
      <c r="N1125" s="16"/>
      <c r="O1125" s="243"/>
      <c r="P1125" s="243"/>
      <c r="Q1125" s="243"/>
      <c r="R1125" s="243"/>
      <c r="S1125" s="243"/>
      <c r="T1125" s="243"/>
      <c r="U1125" s="243"/>
      <c r="V1125" s="243"/>
      <c r="W1125" s="243"/>
      <c r="X1125" s="243"/>
      <c r="Y1125" s="243"/>
      <c r="Z1125" s="243"/>
      <c r="AA1125" s="243"/>
      <c r="AB1125" s="243"/>
      <c r="AC1125" s="243"/>
      <c r="AD1125" s="243"/>
      <c r="AE1125" s="243"/>
      <c r="AF1125" s="243"/>
      <c r="AG1125" s="243"/>
      <c r="AH1125" s="243"/>
      <c r="AI1125" s="243"/>
      <c r="AJ1125" s="243"/>
      <c r="AK1125" s="243"/>
      <c r="AL1125" s="243"/>
      <c r="AM1125" s="243"/>
      <c r="AN1125" s="243"/>
      <c r="AO1125" s="243"/>
      <c r="AP1125" s="243"/>
      <c r="AQ1125" s="243"/>
      <c r="AR1125" s="243"/>
      <c r="AS1125" s="243"/>
      <c r="AT1125" s="243"/>
      <c r="AU1125" s="243"/>
      <c r="AV1125" s="243"/>
      <c r="AW1125" s="243"/>
      <c r="AX1125" s="243"/>
      <c r="AY1125" s="243"/>
      <c r="AZ1125" s="243"/>
      <c r="BA1125" s="243"/>
      <c r="BB1125" s="243"/>
      <c r="BC1125" s="243"/>
      <c r="BD1125" s="243"/>
      <c r="BE1125" s="243"/>
      <c r="BF1125" s="243"/>
      <c r="BG1125" s="243"/>
      <c r="BH1125" s="243"/>
      <c r="BI1125" s="243"/>
      <c r="BJ1125" s="243"/>
      <c r="BK1125" s="243"/>
      <c r="BL1125" s="243"/>
      <c r="BM1125" s="243"/>
      <c r="BN1125" s="243"/>
      <c r="BO1125" s="243"/>
      <c r="BP1125" s="243"/>
      <c r="BQ1125" s="243"/>
      <c r="BR1125" s="243"/>
      <c r="BS1125" s="243"/>
    </row>
    <row r="1126" spans="1:71" s="12" customFormat="1" ht="51" customHeight="1">
      <c r="A1126" s="178" t="s">
        <v>96</v>
      </c>
      <c r="B1126" s="75" t="str">
        <f ca="1">+UPPER(Tabla1321124[[#This Row],[DESCRIPCIÓN DE LA COMPRA O CONTRATACIÓN]])</f>
        <v>ARRANCADORES MAGNÉTICOS  460 V, TIPO AUTOTRANSFORMADOR PARA 50HP, 460V, 3Ø, TIPO PART WINDING</v>
      </c>
      <c r="C1126" s="39" t="s">
        <v>17</v>
      </c>
      <c r="D1126" s="352">
        <v>1</v>
      </c>
      <c r="E1126" s="352">
        <v>1</v>
      </c>
      <c r="F1126" s="352">
        <v>1</v>
      </c>
      <c r="G1126" s="352">
        <v>1</v>
      </c>
      <c r="H1126" s="240">
        <f>SUM(Tabla1321124[[#This Row],[PRIMER TRIMESTRE]:[CUARTO TRIMESTRE]])</f>
        <v>4</v>
      </c>
      <c r="I1126" s="17">
        <v>54792</v>
      </c>
      <c r="J1126" s="17">
        <f t="shared" si="21"/>
        <v>219168</v>
      </c>
      <c r="K1126" s="17"/>
      <c r="L1126" s="16" t="s">
        <v>18</v>
      </c>
      <c r="M1126" s="16" t="s">
        <v>19</v>
      </c>
      <c r="N1126" s="16"/>
      <c r="O1126" s="243"/>
      <c r="P1126" s="243"/>
      <c r="Q1126" s="243"/>
      <c r="R1126" s="243"/>
      <c r="S1126" s="243"/>
      <c r="T1126" s="243"/>
      <c r="U1126" s="243"/>
      <c r="V1126" s="243"/>
      <c r="W1126" s="243"/>
      <c r="X1126" s="243"/>
      <c r="Y1126" s="243"/>
      <c r="Z1126" s="243"/>
      <c r="AA1126" s="243"/>
      <c r="AB1126" s="243"/>
      <c r="AC1126" s="243"/>
      <c r="AD1126" s="243"/>
      <c r="AE1126" s="243"/>
      <c r="AF1126" s="243"/>
      <c r="AG1126" s="243"/>
      <c r="AH1126" s="243"/>
      <c r="AI1126" s="243"/>
      <c r="AJ1126" s="243"/>
      <c r="AK1126" s="243"/>
      <c r="AL1126" s="243"/>
      <c r="AM1126" s="243"/>
      <c r="AN1126" s="243"/>
      <c r="AO1126" s="243"/>
      <c r="AP1126" s="243"/>
      <c r="AQ1126" s="243"/>
      <c r="AR1126" s="243"/>
      <c r="AS1126" s="243"/>
      <c r="AT1126" s="243"/>
      <c r="AU1126" s="243"/>
      <c r="AV1126" s="243"/>
      <c r="AW1126" s="243"/>
      <c r="AX1126" s="243"/>
      <c r="AY1126" s="243"/>
      <c r="AZ1126" s="243"/>
      <c r="BA1126" s="243"/>
      <c r="BB1126" s="243"/>
      <c r="BC1126" s="243"/>
      <c r="BD1126" s="243"/>
      <c r="BE1126" s="243"/>
      <c r="BF1126" s="243"/>
      <c r="BG1126" s="243"/>
      <c r="BH1126" s="243"/>
      <c r="BI1126" s="243"/>
      <c r="BJ1126" s="243"/>
      <c r="BK1126" s="243"/>
      <c r="BL1126" s="243"/>
      <c r="BM1126" s="243"/>
      <c r="BN1126" s="243"/>
      <c r="BO1126" s="243"/>
      <c r="BP1126" s="243"/>
      <c r="BQ1126" s="243"/>
      <c r="BR1126" s="243"/>
      <c r="BS1126" s="243"/>
    </row>
    <row r="1127" spans="1:71" s="12" customFormat="1" ht="51" customHeight="1">
      <c r="A1127" s="178" t="s">
        <v>96</v>
      </c>
      <c r="B1127" s="75" t="str">
        <f ca="1">+UPPER(Tabla1321124[[#This Row],[DESCRIPCIÓN DE LA COMPRA O CONTRATACIÓN]])</f>
        <v>ARRANCADORES MAGNÉTICOS 460 V, TIPO AUTOTRANSFORMADOR PARA 30HP, 460V, 3Ø, TIPO PART WINDING</v>
      </c>
      <c r="C1127" s="39" t="s">
        <v>17</v>
      </c>
      <c r="D1127" s="236">
        <v>2</v>
      </c>
      <c r="E1127" s="210">
        <v>2</v>
      </c>
      <c r="F1127" s="236">
        <v>2</v>
      </c>
      <c r="G1127" s="236">
        <v>2</v>
      </c>
      <c r="H1127" s="240">
        <f>SUM(Tabla1321124[[#This Row],[PRIMER TRIMESTRE]:[CUARTO TRIMESTRE]])</f>
        <v>8</v>
      </c>
      <c r="I1127" s="17">
        <v>49560</v>
      </c>
      <c r="J1127" s="17">
        <f t="shared" si="21"/>
        <v>396480</v>
      </c>
      <c r="K1127" s="17"/>
      <c r="L1127" s="16" t="s">
        <v>18</v>
      </c>
      <c r="M1127" s="16" t="s">
        <v>19</v>
      </c>
      <c r="N1127" s="16"/>
      <c r="O1127" s="243"/>
      <c r="P1127" s="243"/>
      <c r="Q1127" s="243"/>
      <c r="R1127" s="243"/>
      <c r="S1127" s="243"/>
      <c r="T1127" s="243"/>
      <c r="U1127" s="243"/>
      <c r="V1127" s="243"/>
      <c r="W1127" s="243"/>
      <c r="X1127" s="243"/>
      <c r="Y1127" s="243"/>
      <c r="Z1127" s="243"/>
      <c r="AA1127" s="243"/>
      <c r="AB1127" s="243"/>
      <c r="AC1127" s="243"/>
      <c r="AD1127" s="243"/>
      <c r="AE1127" s="243"/>
      <c r="AF1127" s="243"/>
      <c r="AG1127" s="243"/>
      <c r="AH1127" s="243"/>
      <c r="AI1127" s="243"/>
      <c r="AJ1127" s="243"/>
      <c r="AK1127" s="243"/>
      <c r="AL1127" s="243"/>
      <c r="AM1127" s="243"/>
      <c r="AN1127" s="243"/>
      <c r="AO1127" s="243"/>
      <c r="AP1127" s="243"/>
      <c r="AQ1127" s="243"/>
      <c r="AR1127" s="243"/>
      <c r="AS1127" s="243"/>
      <c r="AT1127" s="243"/>
      <c r="AU1127" s="243"/>
      <c r="AV1127" s="243"/>
      <c r="AW1127" s="243"/>
      <c r="AX1127" s="243"/>
      <c r="AY1127" s="243"/>
      <c r="AZ1127" s="243"/>
      <c r="BA1127" s="243"/>
      <c r="BB1127" s="243"/>
      <c r="BC1127" s="243"/>
      <c r="BD1127" s="243"/>
      <c r="BE1127" s="243"/>
      <c r="BF1127" s="243"/>
      <c r="BG1127" s="243"/>
      <c r="BH1127" s="243"/>
      <c r="BI1127" s="243"/>
      <c r="BJ1127" s="243"/>
      <c r="BK1127" s="243"/>
      <c r="BL1127" s="243"/>
      <c r="BM1127" s="243"/>
      <c r="BN1127" s="243"/>
      <c r="BO1127" s="243"/>
      <c r="BP1127" s="243"/>
      <c r="BQ1127" s="243"/>
      <c r="BR1127" s="243"/>
      <c r="BS1127" s="243"/>
    </row>
    <row r="1128" spans="1:71" s="12" customFormat="1" ht="41.25" customHeight="1">
      <c r="A1128" s="178" t="s">
        <v>96</v>
      </c>
      <c r="B1128" s="75" t="str">
        <f ca="1">+UPPER(Tabla1321124[[#This Row],[DESCRIPCIÓN DE LA COMPRA O CONTRATACIÓN]])</f>
        <v>ARRANCADORES MAGNÉTICOS PARA 20HP, 460V, 3Ø, TIPO DIRECTO A LÍNEA</v>
      </c>
      <c r="C1128" s="39" t="s">
        <v>17</v>
      </c>
      <c r="D1128" s="352">
        <v>13</v>
      </c>
      <c r="E1128" s="352">
        <v>12</v>
      </c>
      <c r="F1128" s="352">
        <v>12</v>
      </c>
      <c r="G1128" s="352">
        <v>12</v>
      </c>
      <c r="H1128" s="240">
        <f>SUM(Tabla1321124[[#This Row],[PRIMER TRIMESTRE]:[CUARTO TRIMESTRE]])</f>
        <v>49</v>
      </c>
      <c r="I1128" s="17">
        <v>46658.86</v>
      </c>
      <c r="J1128" s="17">
        <f t="shared" si="21"/>
        <v>2286284.14</v>
      </c>
      <c r="K1128" s="17"/>
      <c r="L1128" s="16" t="s">
        <v>18</v>
      </c>
      <c r="M1128" s="16" t="s">
        <v>19</v>
      </c>
      <c r="N1128" s="16"/>
      <c r="O1128" s="243"/>
      <c r="P1128" s="243"/>
      <c r="Q1128" s="243"/>
      <c r="R1128" s="243"/>
      <c r="S1128" s="243"/>
      <c r="T1128" s="243"/>
      <c r="U1128" s="243"/>
      <c r="V1128" s="243"/>
      <c r="W1128" s="243"/>
      <c r="X1128" s="243"/>
      <c r="Y1128" s="243"/>
      <c r="Z1128" s="243"/>
      <c r="AA1128" s="243"/>
      <c r="AB1128" s="243"/>
      <c r="AC1128" s="243"/>
      <c r="AD1128" s="243"/>
      <c r="AE1128" s="243"/>
      <c r="AF1128" s="243"/>
      <c r="AG1128" s="243"/>
      <c r="AH1128" s="243"/>
      <c r="AI1128" s="243"/>
      <c r="AJ1128" s="243"/>
      <c r="AK1128" s="243"/>
      <c r="AL1128" s="243"/>
      <c r="AM1128" s="243"/>
      <c r="AN1128" s="243"/>
      <c r="AO1128" s="243"/>
      <c r="AP1128" s="243"/>
      <c r="AQ1128" s="243"/>
      <c r="AR1128" s="243"/>
      <c r="AS1128" s="243"/>
      <c r="AT1128" s="243"/>
      <c r="AU1128" s="243"/>
      <c r="AV1128" s="243"/>
      <c r="AW1128" s="243"/>
      <c r="AX1128" s="243"/>
      <c r="AY1128" s="243"/>
      <c r="AZ1128" s="243"/>
      <c r="BA1128" s="243"/>
      <c r="BB1128" s="243"/>
      <c r="BC1128" s="243"/>
      <c r="BD1128" s="243"/>
      <c r="BE1128" s="243"/>
      <c r="BF1128" s="243"/>
      <c r="BG1128" s="243"/>
      <c r="BH1128" s="243"/>
      <c r="BI1128" s="243"/>
      <c r="BJ1128" s="243"/>
      <c r="BK1128" s="243"/>
      <c r="BL1128" s="243"/>
      <c r="BM1128" s="243"/>
      <c r="BN1128" s="243"/>
      <c r="BO1128" s="243"/>
      <c r="BP1128" s="243"/>
      <c r="BQ1128" s="243"/>
      <c r="BR1128" s="243"/>
      <c r="BS1128" s="243"/>
    </row>
    <row r="1129" spans="1:71" s="12" customFormat="1" ht="41.25" customHeight="1">
      <c r="A1129" s="178" t="s">
        <v>96</v>
      </c>
      <c r="B1129" s="75" t="str">
        <f ca="1">+UPPER(Tabla1321124[[#This Row],[DESCRIPCIÓN DE LA COMPRA O CONTRATACIÓN]])</f>
        <v>ARRANCADOR MAGNETICO PARA MOTOR DE 50 HP, 3Ø, 460V, CON TODOS SUS ELEMENTOS DE PROTECCION, LUZ PILO.</v>
      </c>
      <c r="C1129" s="39" t="s">
        <v>17</v>
      </c>
      <c r="D1129" s="352">
        <v>11</v>
      </c>
      <c r="E1129" s="352">
        <v>10</v>
      </c>
      <c r="F1129" s="352">
        <v>11</v>
      </c>
      <c r="G1129" s="352">
        <v>10</v>
      </c>
      <c r="H1129" s="240">
        <f>SUM(Tabla1321124[[#This Row],[PRIMER TRIMESTRE]:[CUARTO TRIMESTRE]])</f>
        <v>42</v>
      </c>
      <c r="I1129" s="17">
        <v>50000</v>
      </c>
      <c r="J1129" s="17">
        <f t="shared" si="21"/>
        <v>2100000</v>
      </c>
      <c r="K1129" s="302"/>
      <c r="L1129" s="16" t="s">
        <v>18</v>
      </c>
      <c r="M1129" s="16" t="s">
        <v>19</v>
      </c>
      <c r="N1129" s="16"/>
      <c r="O1129" s="243"/>
      <c r="P1129" s="243"/>
      <c r="Q1129" s="243"/>
      <c r="R1129" s="243"/>
      <c r="S1129" s="243"/>
      <c r="T1129" s="243"/>
      <c r="U1129" s="243"/>
      <c r="V1129" s="243"/>
      <c r="W1129" s="243"/>
      <c r="X1129" s="243"/>
      <c r="Y1129" s="243"/>
      <c r="Z1129" s="243"/>
      <c r="AA1129" s="243"/>
      <c r="AB1129" s="243"/>
      <c r="AC1129" s="243"/>
      <c r="AD1129" s="243"/>
      <c r="AE1129" s="243"/>
      <c r="AF1129" s="243"/>
      <c r="AG1129" s="243"/>
      <c r="AH1129" s="243"/>
      <c r="AI1129" s="243"/>
      <c r="AJ1129" s="243"/>
      <c r="AK1129" s="243"/>
      <c r="AL1129" s="243"/>
      <c r="AM1129" s="243"/>
      <c r="AN1129" s="243"/>
      <c r="AO1129" s="243"/>
      <c r="AP1129" s="243"/>
      <c r="AQ1129" s="243"/>
      <c r="AR1129" s="243"/>
      <c r="AS1129" s="243"/>
      <c r="AT1129" s="243"/>
      <c r="AU1129" s="243"/>
      <c r="AV1129" s="243"/>
      <c r="AW1129" s="243"/>
      <c r="AX1129" s="243"/>
      <c r="AY1129" s="243"/>
      <c r="AZ1129" s="243"/>
      <c r="BA1129" s="243"/>
      <c r="BB1129" s="243"/>
      <c r="BC1129" s="243"/>
      <c r="BD1129" s="243"/>
      <c r="BE1129" s="243"/>
      <c r="BF1129" s="243"/>
      <c r="BG1129" s="243"/>
      <c r="BH1129" s="243"/>
      <c r="BI1129" s="243"/>
      <c r="BJ1129" s="243"/>
      <c r="BK1129" s="243"/>
      <c r="BL1129" s="243"/>
      <c r="BM1129" s="243"/>
      <c r="BN1129" s="243"/>
      <c r="BO1129" s="243"/>
      <c r="BP1129" s="243"/>
      <c r="BQ1129" s="243"/>
      <c r="BR1129" s="243"/>
      <c r="BS1129" s="243"/>
    </row>
    <row r="1130" spans="1:71" s="12" customFormat="1" ht="41.25" customHeight="1">
      <c r="A1130" s="178" t="s">
        <v>96</v>
      </c>
      <c r="B1130" s="75" t="str">
        <f ca="1">+UPPER(Tabla1321124[[#This Row],[DESCRIPCIÓN DE LA COMPRA O CONTRATACIÓN]])</f>
        <v>ARRANCADOR MAGNETICO PARA MOTOR DE 40 HP, 3Ø, 460V, CON TODOS SUS ELEMENTOS DE PROTECCION, LUZ PILO.</v>
      </c>
      <c r="C1130" s="39" t="s">
        <v>17</v>
      </c>
      <c r="D1130" s="352">
        <v>20</v>
      </c>
      <c r="E1130" s="352">
        <v>10</v>
      </c>
      <c r="F1130" s="352">
        <v>20</v>
      </c>
      <c r="G1130" s="352">
        <v>10</v>
      </c>
      <c r="H1130" s="240">
        <f>SUM(Tabla1321124[[#This Row],[PRIMER TRIMESTRE]:[CUARTO TRIMESTRE]])</f>
        <v>60</v>
      </c>
      <c r="I1130" s="17">
        <v>550000</v>
      </c>
      <c r="J1130" s="17">
        <f t="shared" si="21"/>
        <v>33000000</v>
      </c>
      <c r="K1130" s="302"/>
      <c r="L1130" s="16" t="s">
        <v>18</v>
      </c>
      <c r="M1130" s="16" t="s">
        <v>19</v>
      </c>
      <c r="N1130" s="16"/>
      <c r="O1130" s="243"/>
      <c r="P1130" s="243"/>
      <c r="Q1130" s="243"/>
      <c r="R1130" s="243"/>
      <c r="S1130" s="243"/>
      <c r="T1130" s="243"/>
      <c r="U1130" s="243"/>
      <c r="V1130" s="243"/>
      <c r="W1130" s="243"/>
      <c r="X1130" s="243"/>
      <c r="Y1130" s="243"/>
      <c r="Z1130" s="243"/>
      <c r="AA1130" s="243"/>
      <c r="AB1130" s="243"/>
      <c r="AC1130" s="243"/>
      <c r="AD1130" s="243"/>
      <c r="AE1130" s="243"/>
      <c r="AF1130" s="243"/>
      <c r="AG1130" s="243"/>
      <c r="AH1130" s="243"/>
      <c r="AI1130" s="243"/>
      <c r="AJ1130" s="243"/>
      <c r="AK1130" s="243"/>
      <c r="AL1130" s="243"/>
      <c r="AM1130" s="243"/>
      <c r="AN1130" s="243"/>
      <c r="AO1130" s="243"/>
      <c r="AP1130" s="243"/>
      <c r="AQ1130" s="243"/>
      <c r="AR1130" s="243"/>
      <c r="AS1130" s="243"/>
      <c r="AT1130" s="243"/>
      <c r="AU1130" s="243"/>
      <c r="AV1130" s="243"/>
      <c r="AW1130" s="243"/>
      <c r="AX1130" s="243"/>
      <c r="AY1130" s="243"/>
      <c r="AZ1130" s="243"/>
      <c r="BA1130" s="243"/>
      <c r="BB1130" s="243"/>
      <c r="BC1130" s="243"/>
      <c r="BD1130" s="243"/>
      <c r="BE1130" s="243"/>
      <c r="BF1130" s="243"/>
      <c r="BG1130" s="243"/>
      <c r="BH1130" s="243"/>
      <c r="BI1130" s="243"/>
      <c r="BJ1130" s="243"/>
      <c r="BK1130" s="243"/>
      <c r="BL1130" s="243"/>
      <c r="BM1130" s="243"/>
      <c r="BN1130" s="243"/>
      <c r="BO1130" s="243"/>
      <c r="BP1130" s="243"/>
      <c r="BQ1130" s="243"/>
      <c r="BR1130" s="243"/>
      <c r="BS1130" s="243"/>
    </row>
    <row r="1131" spans="1:71" s="12" customFormat="1" ht="64.5" customHeight="1">
      <c r="A1131" s="178" t="s">
        <v>96</v>
      </c>
      <c r="B1131" s="75" t="str">
        <f ca="1">+UPPER(Tabla1321124[[#This Row],[DESCRIPCIÓN DE LA COMPRA O CONTRATACIÓN]])</f>
        <v>ARRANCADOR MAGNETICO 30HP, 3Ø, 230/460V,  60HZ, DIRECTO A LINEA, CON SUS ELEMENTOS DE PROTECCION (LUZ PILOTO, BOTONERA DE MARCHA Y PARADA)</v>
      </c>
      <c r="C1131" s="39" t="s">
        <v>17</v>
      </c>
      <c r="D1131" s="352">
        <v>20</v>
      </c>
      <c r="E1131" s="352">
        <v>10</v>
      </c>
      <c r="F1131" s="352">
        <v>20</v>
      </c>
      <c r="G1131" s="352">
        <v>10</v>
      </c>
      <c r="H1131" s="240">
        <f>SUM(Tabla1321124[[#This Row],[PRIMER TRIMESTRE]:[CUARTO TRIMESTRE]])</f>
        <v>60</v>
      </c>
      <c r="I1131" s="17">
        <v>48000</v>
      </c>
      <c r="J1131" s="17">
        <f t="shared" si="21"/>
        <v>2880000</v>
      </c>
      <c r="K1131" s="302"/>
      <c r="L1131" s="16" t="s">
        <v>18</v>
      </c>
      <c r="M1131" s="16" t="s">
        <v>19</v>
      </c>
      <c r="N1131" s="16"/>
      <c r="O1131" s="243"/>
      <c r="P1131" s="243"/>
      <c r="Q1131" s="243"/>
      <c r="R1131" s="243"/>
      <c r="S1131" s="243"/>
      <c r="T1131" s="243"/>
      <c r="U1131" s="243"/>
      <c r="V1131" s="243"/>
      <c r="W1131" s="243"/>
      <c r="X1131" s="243"/>
      <c r="Y1131" s="243"/>
      <c r="Z1131" s="243"/>
      <c r="AA1131" s="243"/>
      <c r="AB1131" s="243"/>
      <c r="AC1131" s="243"/>
      <c r="AD1131" s="243"/>
      <c r="AE1131" s="243"/>
      <c r="AF1131" s="243"/>
      <c r="AG1131" s="243"/>
      <c r="AH1131" s="243"/>
      <c r="AI1131" s="243"/>
      <c r="AJ1131" s="243"/>
      <c r="AK1131" s="243"/>
      <c r="AL1131" s="243"/>
      <c r="AM1131" s="243"/>
      <c r="AN1131" s="243"/>
      <c r="AO1131" s="243"/>
      <c r="AP1131" s="243"/>
      <c r="AQ1131" s="243"/>
      <c r="AR1131" s="243"/>
      <c r="AS1131" s="243"/>
      <c r="AT1131" s="243"/>
      <c r="AU1131" s="243"/>
      <c r="AV1131" s="243"/>
      <c r="AW1131" s="243"/>
      <c r="AX1131" s="243"/>
      <c r="AY1131" s="243"/>
      <c r="AZ1131" s="243"/>
      <c r="BA1131" s="243"/>
      <c r="BB1131" s="243"/>
      <c r="BC1131" s="243"/>
      <c r="BD1131" s="243"/>
      <c r="BE1131" s="243"/>
      <c r="BF1131" s="243"/>
      <c r="BG1131" s="243"/>
      <c r="BH1131" s="243"/>
      <c r="BI1131" s="243"/>
      <c r="BJ1131" s="243"/>
      <c r="BK1131" s="243"/>
      <c r="BL1131" s="243"/>
      <c r="BM1131" s="243"/>
      <c r="BN1131" s="243"/>
      <c r="BO1131" s="243"/>
      <c r="BP1131" s="243"/>
      <c r="BQ1131" s="243"/>
      <c r="BR1131" s="243"/>
      <c r="BS1131" s="243"/>
    </row>
    <row r="1132" spans="1:71" s="12" customFormat="1" ht="41.25" customHeight="1">
      <c r="A1132" s="178" t="s">
        <v>96</v>
      </c>
      <c r="B1132" s="75" t="str">
        <f ca="1">+UPPER(Tabla1321124[[#This Row],[DESCRIPCIÓN DE LA COMPRA O CONTRATACIÓN]])</f>
        <v xml:space="preserve">ARRANCADORES MAGNÉTICOS 30 HP, 460 V,  3Ø, DIRECTO A LÍNEAS </v>
      </c>
      <c r="C1132" s="39" t="s">
        <v>17</v>
      </c>
      <c r="D1132" s="236"/>
      <c r="E1132" s="210"/>
      <c r="F1132" s="236"/>
      <c r="G1132" s="236"/>
      <c r="H1132" s="240">
        <f>SUM(Tabla1321124[[#This Row],[PRIMER TRIMESTRE]:[CUARTO TRIMESTRE]])</f>
        <v>0</v>
      </c>
      <c r="I1132" s="17">
        <v>47216.69</v>
      </c>
      <c r="J1132" s="17">
        <f t="shared" si="21"/>
        <v>0</v>
      </c>
      <c r="K1132" s="17"/>
      <c r="L1132" s="16" t="s">
        <v>18</v>
      </c>
      <c r="M1132" s="16" t="s">
        <v>19</v>
      </c>
      <c r="N1132" s="16"/>
      <c r="O1132" s="243"/>
      <c r="P1132" s="243"/>
      <c r="Q1132" s="243"/>
      <c r="R1132" s="243"/>
      <c r="S1132" s="243"/>
      <c r="T1132" s="243"/>
      <c r="U1132" s="243"/>
      <c r="V1132" s="243"/>
      <c r="W1132" s="243"/>
      <c r="X1132" s="243"/>
      <c r="Y1132" s="243"/>
      <c r="Z1132" s="243"/>
      <c r="AA1132" s="243"/>
      <c r="AB1132" s="243"/>
      <c r="AC1132" s="243"/>
      <c r="AD1132" s="243"/>
      <c r="AE1132" s="243"/>
      <c r="AF1132" s="243"/>
      <c r="AG1132" s="243"/>
      <c r="AH1132" s="243"/>
      <c r="AI1132" s="243"/>
      <c r="AJ1132" s="243"/>
      <c r="AK1132" s="243"/>
      <c r="AL1132" s="243"/>
      <c r="AM1132" s="243"/>
      <c r="AN1132" s="243"/>
      <c r="AO1132" s="243"/>
      <c r="AP1132" s="243"/>
      <c r="AQ1132" s="243"/>
      <c r="AR1132" s="243"/>
      <c r="AS1132" s="243"/>
      <c r="AT1132" s="243"/>
      <c r="AU1132" s="243"/>
      <c r="AV1132" s="243"/>
      <c r="AW1132" s="243"/>
      <c r="AX1132" s="243"/>
      <c r="AY1132" s="243"/>
      <c r="AZ1132" s="243"/>
      <c r="BA1132" s="243"/>
      <c r="BB1132" s="243"/>
      <c r="BC1132" s="243"/>
      <c r="BD1132" s="243"/>
      <c r="BE1132" s="243"/>
      <c r="BF1132" s="243"/>
      <c r="BG1132" s="243"/>
      <c r="BH1132" s="243"/>
      <c r="BI1132" s="243"/>
      <c r="BJ1132" s="243"/>
      <c r="BK1132" s="243"/>
      <c r="BL1132" s="243"/>
      <c r="BM1132" s="243"/>
      <c r="BN1132" s="243"/>
      <c r="BO1132" s="243"/>
      <c r="BP1132" s="243"/>
      <c r="BQ1132" s="243"/>
      <c r="BR1132" s="243"/>
      <c r="BS1132" s="243"/>
    </row>
    <row r="1133" spans="1:71" s="12" customFormat="1" ht="41.25" customHeight="1">
      <c r="A1133" s="178" t="s">
        <v>96</v>
      </c>
      <c r="B1133" s="75" t="str">
        <f ca="1">+UPPER(Tabla1321124[[#This Row],[DESCRIPCIÓN DE LA COMPRA O CONTRATACIÓN]])</f>
        <v>ARRANCADORES MAGNÉTICOS PARA 60HP, 460V, 3Ø, DIRECTO A LÍNEA</v>
      </c>
      <c r="C1133" s="39" t="s">
        <v>17</v>
      </c>
      <c r="D1133" s="352">
        <v>10</v>
      </c>
      <c r="E1133" s="352">
        <v>10</v>
      </c>
      <c r="F1133" s="352">
        <v>10</v>
      </c>
      <c r="G1133" s="352">
        <v>10</v>
      </c>
      <c r="H1133" s="240">
        <f>SUM(Tabla1321124[[#This Row],[PRIMER TRIMESTRE]:[CUARTO TRIMESTRE]])</f>
        <v>40</v>
      </c>
      <c r="I1133" s="17">
        <v>59766.34</v>
      </c>
      <c r="J1133" s="17">
        <f t="shared" si="21"/>
        <v>2390653.5999999996</v>
      </c>
      <c r="K1133" s="17"/>
      <c r="L1133" s="16" t="s">
        <v>18</v>
      </c>
      <c r="M1133" s="16" t="s">
        <v>19</v>
      </c>
      <c r="N1133" s="16"/>
      <c r="O1133" s="243"/>
      <c r="P1133" s="243"/>
      <c r="Q1133" s="243"/>
      <c r="R1133" s="243"/>
      <c r="S1133" s="243"/>
      <c r="T1133" s="243"/>
      <c r="U1133" s="243"/>
      <c r="V1133" s="243"/>
      <c r="W1133" s="243"/>
      <c r="X1133" s="243"/>
      <c r="Y1133" s="243"/>
      <c r="Z1133" s="243"/>
      <c r="AA1133" s="243"/>
      <c r="AB1133" s="243"/>
      <c r="AC1133" s="243"/>
      <c r="AD1133" s="243"/>
      <c r="AE1133" s="243"/>
      <c r="AF1133" s="243"/>
      <c r="AG1133" s="243"/>
      <c r="AH1133" s="243"/>
      <c r="AI1133" s="243"/>
      <c r="AJ1133" s="243"/>
      <c r="AK1133" s="243"/>
      <c r="AL1133" s="243"/>
      <c r="AM1133" s="243"/>
      <c r="AN1133" s="243"/>
      <c r="AO1133" s="243"/>
      <c r="AP1133" s="243"/>
      <c r="AQ1133" s="243"/>
      <c r="AR1133" s="243"/>
      <c r="AS1133" s="243"/>
      <c r="AT1133" s="243"/>
      <c r="AU1133" s="243"/>
      <c r="AV1133" s="243"/>
      <c r="AW1133" s="243"/>
      <c r="AX1133" s="243"/>
      <c r="AY1133" s="243"/>
      <c r="AZ1133" s="243"/>
      <c r="BA1133" s="243"/>
      <c r="BB1133" s="243"/>
      <c r="BC1133" s="243"/>
      <c r="BD1133" s="243"/>
      <c r="BE1133" s="243"/>
      <c r="BF1133" s="243"/>
      <c r="BG1133" s="243"/>
      <c r="BH1133" s="243"/>
      <c r="BI1133" s="243"/>
      <c r="BJ1133" s="243"/>
      <c r="BK1133" s="243"/>
      <c r="BL1133" s="243"/>
      <c r="BM1133" s="243"/>
      <c r="BN1133" s="243"/>
      <c r="BO1133" s="243"/>
      <c r="BP1133" s="243"/>
      <c r="BQ1133" s="243"/>
      <c r="BR1133" s="243"/>
      <c r="BS1133" s="243"/>
    </row>
    <row r="1134" spans="1:71" s="12" customFormat="1" ht="41.25" customHeight="1">
      <c r="A1134" s="178" t="s">
        <v>96</v>
      </c>
      <c r="B1134" s="75" t="str">
        <f ca="1">+UPPER(Tabla1321124[[#This Row],[DESCRIPCIÓN DE LA COMPRA O CONTRATACIÓN]])</f>
        <v>ARRANCADOR SUAVE (SOFT STARTER), 300HP, 460V</v>
      </c>
      <c r="C1134" s="39" t="s">
        <v>17</v>
      </c>
      <c r="D1134" s="352">
        <v>10</v>
      </c>
      <c r="E1134" s="352">
        <v>10</v>
      </c>
      <c r="F1134" s="352">
        <v>10</v>
      </c>
      <c r="G1134" s="352">
        <v>10</v>
      </c>
      <c r="H1134" s="240">
        <f>SUM(Tabla1321124[[#This Row],[PRIMER TRIMESTRE]:[CUARTO TRIMESTRE]])</f>
        <v>40</v>
      </c>
      <c r="I1134" s="17">
        <v>56400</v>
      </c>
      <c r="J1134" s="17">
        <f t="shared" si="21"/>
        <v>2256000</v>
      </c>
      <c r="K1134" s="17"/>
      <c r="L1134" s="16" t="s">
        <v>18</v>
      </c>
      <c r="M1134" s="16" t="s">
        <v>22</v>
      </c>
      <c r="N1134" s="16"/>
      <c r="O1134" s="243"/>
      <c r="P1134" s="243"/>
      <c r="Q1134" s="243"/>
      <c r="R1134" s="243"/>
      <c r="S1134" s="243"/>
      <c r="T1134" s="243"/>
      <c r="U1134" s="243"/>
      <c r="V1134" s="243"/>
      <c r="W1134" s="243"/>
      <c r="X1134" s="243"/>
      <c r="Y1134" s="243"/>
      <c r="Z1134" s="243"/>
      <c r="AA1134" s="243"/>
      <c r="AB1134" s="243"/>
      <c r="AC1134" s="243"/>
      <c r="AD1134" s="243"/>
      <c r="AE1134" s="243"/>
      <c r="AF1134" s="243"/>
      <c r="AG1134" s="243"/>
      <c r="AH1134" s="243"/>
      <c r="AI1134" s="243"/>
      <c r="AJ1134" s="243"/>
      <c r="AK1134" s="243"/>
      <c r="AL1134" s="243"/>
      <c r="AM1134" s="243"/>
      <c r="AN1134" s="243"/>
      <c r="AO1134" s="243"/>
      <c r="AP1134" s="243"/>
      <c r="AQ1134" s="243"/>
      <c r="AR1134" s="243"/>
      <c r="AS1134" s="243"/>
      <c r="AT1134" s="243"/>
      <c r="AU1134" s="243"/>
      <c r="AV1134" s="243"/>
      <c r="AW1134" s="243"/>
      <c r="AX1134" s="243"/>
      <c r="AY1134" s="243"/>
      <c r="AZ1134" s="243"/>
      <c r="BA1134" s="243"/>
      <c r="BB1134" s="243"/>
      <c r="BC1134" s="243"/>
      <c r="BD1134" s="243"/>
      <c r="BE1134" s="243"/>
      <c r="BF1134" s="243"/>
      <c r="BG1134" s="243"/>
      <c r="BH1134" s="243"/>
      <c r="BI1134" s="243"/>
      <c r="BJ1134" s="243"/>
      <c r="BK1134" s="243"/>
      <c r="BL1134" s="243"/>
      <c r="BM1134" s="243"/>
      <c r="BN1134" s="243"/>
      <c r="BO1134" s="243"/>
      <c r="BP1134" s="243"/>
      <c r="BQ1134" s="243"/>
      <c r="BR1134" s="243"/>
      <c r="BS1134" s="243"/>
    </row>
    <row r="1135" spans="1:71" s="12" customFormat="1" ht="41.25" customHeight="1">
      <c r="A1135" s="178" t="s">
        <v>96</v>
      </c>
      <c r="B1135" s="75" t="str">
        <f ca="1">+UPPER(Tabla1321124[[#This Row],[DESCRIPCIÓN DE LA COMPRA O CONTRATACIÓN]])</f>
        <v>ARRANCADOR SUAVE (SOFT STARTER), 200HP, 460V</v>
      </c>
      <c r="C1135" s="39" t="s">
        <v>17</v>
      </c>
      <c r="D1135" s="352">
        <v>10</v>
      </c>
      <c r="E1135" s="352">
        <v>10</v>
      </c>
      <c r="F1135" s="352">
        <v>10</v>
      </c>
      <c r="G1135" s="352">
        <v>10</v>
      </c>
      <c r="H1135" s="240">
        <f>SUM(Tabla1321124[[#This Row],[PRIMER TRIMESTRE]:[CUARTO TRIMESTRE]])</f>
        <v>40</v>
      </c>
      <c r="I1135" s="17">
        <v>56400</v>
      </c>
      <c r="J1135" s="17">
        <f t="shared" si="21"/>
        <v>2256000</v>
      </c>
      <c r="K1135" s="17"/>
      <c r="L1135" s="16" t="s">
        <v>18</v>
      </c>
      <c r="M1135" s="16" t="s">
        <v>22</v>
      </c>
      <c r="N1135" s="16"/>
      <c r="O1135" s="243"/>
      <c r="P1135" s="243"/>
      <c r="Q1135" s="243"/>
      <c r="R1135" s="243"/>
      <c r="S1135" s="243"/>
      <c r="T1135" s="243"/>
      <c r="U1135" s="243"/>
      <c r="V1135" s="243"/>
      <c r="W1135" s="243"/>
      <c r="X1135" s="243"/>
      <c r="Y1135" s="243"/>
      <c r="Z1135" s="243"/>
      <c r="AA1135" s="243"/>
      <c r="AB1135" s="243"/>
      <c r="AC1135" s="243"/>
      <c r="AD1135" s="243"/>
      <c r="AE1135" s="243"/>
      <c r="AF1135" s="243"/>
      <c r="AG1135" s="243"/>
      <c r="AH1135" s="243"/>
      <c r="AI1135" s="243"/>
      <c r="AJ1135" s="243"/>
      <c r="AK1135" s="243"/>
      <c r="AL1135" s="243"/>
      <c r="AM1135" s="243"/>
      <c r="AN1135" s="243"/>
      <c r="AO1135" s="243"/>
      <c r="AP1135" s="243"/>
      <c r="AQ1135" s="243"/>
      <c r="AR1135" s="243"/>
      <c r="AS1135" s="243"/>
      <c r="AT1135" s="243"/>
      <c r="AU1135" s="243"/>
      <c r="AV1135" s="243"/>
      <c r="AW1135" s="243"/>
      <c r="AX1135" s="243"/>
      <c r="AY1135" s="243"/>
      <c r="AZ1135" s="243"/>
      <c r="BA1135" s="243"/>
      <c r="BB1135" s="243"/>
      <c r="BC1135" s="243"/>
      <c r="BD1135" s="243"/>
      <c r="BE1135" s="243"/>
      <c r="BF1135" s="243"/>
      <c r="BG1135" s="243"/>
      <c r="BH1135" s="243"/>
      <c r="BI1135" s="243"/>
      <c r="BJ1135" s="243"/>
      <c r="BK1135" s="243"/>
      <c r="BL1135" s="243"/>
      <c r="BM1135" s="243"/>
      <c r="BN1135" s="243"/>
      <c r="BO1135" s="243"/>
      <c r="BP1135" s="243"/>
      <c r="BQ1135" s="243"/>
      <c r="BR1135" s="243"/>
      <c r="BS1135" s="243"/>
    </row>
    <row r="1136" spans="1:71" s="12" customFormat="1" ht="41.25" customHeight="1">
      <c r="A1136" s="178" t="s">
        <v>96</v>
      </c>
      <c r="B1136" s="75" t="str">
        <f ca="1">+UPPER(Tabla1321124[[#This Row],[DESCRIPCIÓN DE LA COMPRA O CONTRATACIÓN]])</f>
        <v>ARRANCADOR SUAVE (SOFT STARTER), 150HP, 460V</v>
      </c>
      <c r="C1136" s="39" t="s">
        <v>17</v>
      </c>
      <c r="D1136" s="352">
        <v>10</v>
      </c>
      <c r="E1136" s="352">
        <v>10</v>
      </c>
      <c r="F1136" s="352">
        <v>10</v>
      </c>
      <c r="G1136" s="352">
        <v>10</v>
      </c>
      <c r="H1136" s="240">
        <f>SUM(Tabla1321124[[#This Row],[PRIMER TRIMESTRE]:[CUARTO TRIMESTRE]])</f>
        <v>40</v>
      </c>
      <c r="I1136" s="17">
        <v>56400</v>
      </c>
      <c r="J1136" s="17">
        <f t="shared" si="21"/>
        <v>2256000</v>
      </c>
      <c r="K1136" s="17"/>
      <c r="L1136" s="16" t="s">
        <v>18</v>
      </c>
      <c r="M1136" s="16" t="s">
        <v>22</v>
      </c>
      <c r="N1136" s="16"/>
      <c r="O1136" s="243"/>
      <c r="P1136" s="243"/>
      <c r="Q1136" s="243"/>
      <c r="R1136" s="243"/>
      <c r="S1136" s="243"/>
      <c r="T1136" s="243"/>
      <c r="U1136" s="243"/>
      <c r="V1136" s="243"/>
      <c r="W1136" s="243"/>
      <c r="X1136" s="243"/>
      <c r="Y1136" s="243"/>
      <c r="Z1136" s="243"/>
      <c r="AA1136" s="243"/>
      <c r="AB1136" s="243"/>
      <c r="AC1136" s="243"/>
      <c r="AD1136" s="243"/>
      <c r="AE1136" s="243"/>
      <c r="AF1136" s="243"/>
      <c r="AG1136" s="243"/>
      <c r="AH1136" s="243"/>
      <c r="AI1136" s="243"/>
      <c r="AJ1136" s="243"/>
      <c r="AK1136" s="243"/>
      <c r="AL1136" s="243"/>
      <c r="AM1136" s="243"/>
      <c r="AN1136" s="243"/>
      <c r="AO1136" s="243"/>
      <c r="AP1136" s="243"/>
      <c r="AQ1136" s="243"/>
      <c r="AR1136" s="243"/>
      <c r="AS1136" s="243"/>
      <c r="AT1136" s="243"/>
      <c r="AU1136" s="243"/>
      <c r="AV1136" s="243"/>
      <c r="AW1136" s="243"/>
      <c r="AX1136" s="243"/>
      <c r="AY1136" s="243"/>
      <c r="AZ1136" s="243"/>
      <c r="BA1136" s="243"/>
      <c r="BB1136" s="243"/>
      <c r="BC1136" s="243"/>
      <c r="BD1136" s="243"/>
      <c r="BE1136" s="243"/>
      <c r="BF1136" s="243"/>
      <c r="BG1136" s="243"/>
      <c r="BH1136" s="243"/>
      <c r="BI1136" s="243"/>
      <c r="BJ1136" s="243"/>
      <c r="BK1136" s="243"/>
      <c r="BL1136" s="243"/>
      <c r="BM1136" s="243"/>
      <c r="BN1136" s="243"/>
      <c r="BO1136" s="243"/>
      <c r="BP1136" s="243"/>
      <c r="BQ1136" s="243"/>
      <c r="BR1136" s="243"/>
      <c r="BS1136" s="243"/>
    </row>
    <row r="1137" spans="1:71" s="12" customFormat="1" ht="41.25" customHeight="1">
      <c r="A1137" s="178" t="s">
        <v>96</v>
      </c>
      <c r="B1137" s="376" t="str">
        <f ca="1">+UPPER(Tabla1321124[[#This Row],[DESCRIPCIÓN DE LA COMPRA O CONTRATACIÓN]])</f>
        <v>ARRANCADOR SUAVE SOFT STARTER 350 HP</v>
      </c>
      <c r="C1137" s="39" t="s">
        <v>17</v>
      </c>
      <c r="D1137" s="369">
        <v>2</v>
      </c>
      <c r="E1137" s="369">
        <v>1</v>
      </c>
      <c r="F1137" s="369">
        <v>1</v>
      </c>
      <c r="G1137" s="369">
        <v>1</v>
      </c>
      <c r="H1137" s="240">
        <f>SUM(Tabla1321124[[#This Row],[PRIMER TRIMESTRE]:[CUARTO TRIMESTRE]])</f>
        <v>5</v>
      </c>
      <c r="I1137" s="17">
        <v>51890</v>
      </c>
      <c r="J1137" s="17">
        <f t="shared" si="21"/>
        <v>259450</v>
      </c>
      <c r="K1137" s="175"/>
      <c r="L1137" s="16" t="s">
        <v>18</v>
      </c>
      <c r="M1137" s="16" t="s">
        <v>22</v>
      </c>
      <c r="N1137" s="16"/>
      <c r="O1137" s="243"/>
      <c r="P1137" s="243"/>
      <c r="Q1137" s="243"/>
      <c r="R1137" s="243"/>
      <c r="S1137" s="243"/>
      <c r="T1137" s="243"/>
      <c r="U1137" s="243"/>
      <c r="V1137" s="243"/>
      <c r="W1137" s="243"/>
      <c r="X1137" s="243"/>
      <c r="Y1137" s="243"/>
      <c r="Z1137" s="243"/>
      <c r="AA1137" s="243"/>
      <c r="AB1137" s="243"/>
      <c r="AC1137" s="243"/>
      <c r="AD1137" s="243"/>
      <c r="AE1137" s="243"/>
      <c r="AF1137" s="243"/>
      <c r="AG1137" s="243"/>
      <c r="AH1137" s="243"/>
      <c r="AI1137" s="243"/>
      <c r="AJ1137" s="243"/>
      <c r="AK1137" s="243"/>
      <c r="AL1137" s="243"/>
      <c r="AM1137" s="243"/>
      <c r="AN1137" s="243"/>
      <c r="AO1137" s="243"/>
      <c r="AP1137" s="243"/>
      <c r="AQ1137" s="243"/>
      <c r="AR1137" s="243"/>
      <c r="AS1137" s="243"/>
      <c r="AT1137" s="243"/>
      <c r="AU1137" s="243"/>
      <c r="AV1137" s="243"/>
      <c r="AW1137" s="243"/>
      <c r="AX1137" s="243"/>
      <c r="AY1137" s="243"/>
      <c r="AZ1137" s="243"/>
      <c r="BA1137" s="243"/>
      <c r="BB1137" s="243"/>
      <c r="BC1137" s="243"/>
      <c r="BD1137" s="243"/>
      <c r="BE1137" s="243"/>
      <c r="BF1137" s="243"/>
      <c r="BG1137" s="243"/>
      <c r="BH1137" s="243"/>
      <c r="BI1137" s="243"/>
      <c r="BJ1137" s="243"/>
      <c r="BK1137" s="243"/>
      <c r="BL1137" s="243"/>
      <c r="BM1137" s="243"/>
      <c r="BN1137" s="243"/>
      <c r="BO1137" s="243"/>
      <c r="BP1137" s="243"/>
      <c r="BQ1137" s="243"/>
      <c r="BR1137" s="243"/>
      <c r="BS1137" s="243"/>
    </row>
    <row r="1138" spans="1:71" s="12" customFormat="1" ht="41.25" customHeight="1">
      <c r="A1138" s="178" t="s">
        <v>96</v>
      </c>
      <c r="B1138" s="376" t="str">
        <f ca="1">+UPPER(Tabla1321124[[#This Row],[DESCRIPCIÓN DE LA COMPRA O CONTRATACIÓN]])</f>
        <v>BOMBILLAS DE MERCURIO DE 220VOLT.</v>
      </c>
      <c r="C1138" s="39" t="s">
        <v>17</v>
      </c>
      <c r="D1138" s="369">
        <v>4</v>
      </c>
      <c r="E1138" s="369">
        <v>4</v>
      </c>
      <c r="F1138" s="369">
        <v>4</v>
      </c>
      <c r="G1138" s="369">
        <v>4</v>
      </c>
      <c r="H1138" s="240">
        <f>SUM(Tabla1321124[[#This Row],[PRIMER TRIMESTRE]:[CUARTO TRIMESTRE]])</f>
        <v>16</v>
      </c>
      <c r="I1138" s="17">
        <v>1500</v>
      </c>
      <c r="J1138" s="17">
        <f t="shared" si="21"/>
        <v>24000</v>
      </c>
      <c r="K1138" s="175"/>
      <c r="L1138" s="16" t="s">
        <v>18</v>
      </c>
      <c r="M1138" s="16" t="s">
        <v>22</v>
      </c>
      <c r="N1138" s="16"/>
      <c r="O1138" s="243"/>
      <c r="P1138" s="243"/>
      <c r="Q1138" s="243"/>
      <c r="R1138" s="243"/>
      <c r="S1138" s="243"/>
      <c r="T1138" s="243"/>
      <c r="U1138" s="243"/>
      <c r="V1138" s="243"/>
      <c r="W1138" s="243"/>
      <c r="X1138" s="243"/>
      <c r="Y1138" s="243"/>
      <c r="Z1138" s="243"/>
      <c r="AA1138" s="243"/>
      <c r="AB1138" s="243"/>
      <c r="AC1138" s="243"/>
      <c r="AD1138" s="243"/>
      <c r="AE1138" s="243"/>
      <c r="AF1138" s="243"/>
      <c r="AG1138" s="243"/>
      <c r="AH1138" s="243"/>
      <c r="AI1138" s="243"/>
      <c r="AJ1138" s="243"/>
      <c r="AK1138" s="243"/>
      <c r="AL1138" s="243"/>
      <c r="AM1138" s="243"/>
      <c r="AN1138" s="243"/>
      <c r="AO1138" s="243"/>
      <c r="AP1138" s="243"/>
      <c r="AQ1138" s="243"/>
      <c r="AR1138" s="243"/>
      <c r="AS1138" s="243"/>
      <c r="AT1138" s="243"/>
      <c r="AU1138" s="243"/>
      <c r="AV1138" s="243"/>
      <c r="AW1138" s="243"/>
      <c r="AX1138" s="243"/>
      <c r="AY1138" s="243"/>
      <c r="AZ1138" s="243"/>
      <c r="BA1138" s="243"/>
      <c r="BB1138" s="243"/>
      <c r="BC1138" s="243"/>
      <c r="BD1138" s="243"/>
      <c r="BE1138" s="243"/>
      <c r="BF1138" s="243"/>
      <c r="BG1138" s="243"/>
      <c r="BH1138" s="243"/>
      <c r="BI1138" s="243"/>
      <c r="BJ1138" s="243"/>
      <c r="BK1138" s="243"/>
      <c r="BL1138" s="243"/>
      <c r="BM1138" s="243"/>
      <c r="BN1138" s="243"/>
      <c r="BO1138" s="243"/>
      <c r="BP1138" s="243"/>
      <c r="BQ1138" s="243"/>
      <c r="BR1138" s="243"/>
      <c r="BS1138" s="243"/>
    </row>
    <row r="1139" spans="1:71" s="12" customFormat="1" ht="41.25" customHeight="1">
      <c r="A1139" s="178" t="s">
        <v>96</v>
      </c>
      <c r="B1139" s="376" t="str">
        <f ca="1">+UPPER(Tabla1321124[[#This Row],[DESCRIPCIÓN DE LA COMPRA O CONTRATACIÓN]])</f>
        <v>BREACKER DE 1,200 AMP. PARA SWITCH DE TRANSFERENCIA AUTOMATICA.</v>
      </c>
      <c r="C1139" s="39" t="s">
        <v>17</v>
      </c>
      <c r="D1139" s="369">
        <v>2</v>
      </c>
      <c r="E1139" s="369">
        <v>0</v>
      </c>
      <c r="F1139" s="369">
        <v>1</v>
      </c>
      <c r="G1139" s="369">
        <v>0</v>
      </c>
      <c r="H1139" s="240">
        <f>SUM(Tabla1321124[[#This Row],[PRIMER TRIMESTRE]:[CUARTO TRIMESTRE]])</f>
        <v>3</v>
      </c>
      <c r="I1139" s="17">
        <v>24890</v>
      </c>
      <c r="J1139" s="17">
        <f t="shared" si="21"/>
        <v>74670</v>
      </c>
      <c r="K1139" s="175"/>
      <c r="L1139" s="16" t="s">
        <v>18</v>
      </c>
      <c r="M1139" s="16" t="s">
        <v>22</v>
      </c>
      <c r="N1139" s="16"/>
      <c r="O1139" s="243"/>
      <c r="P1139" s="243"/>
      <c r="Q1139" s="243"/>
      <c r="R1139" s="243"/>
      <c r="S1139" s="243"/>
      <c r="T1139" s="243"/>
      <c r="U1139" s="243"/>
      <c r="V1139" s="243"/>
      <c r="W1139" s="243"/>
      <c r="X1139" s="243"/>
      <c r="Y1139" s="243"/>
      <c r="Z1139" s="243"/>
      <c r="AA1139" s="243"/>
      <c r="AB1139" s="243"/>
      <c r="AC1139" s="243"/>
      <c r="AD1139" s="243"/>
      <c r="AE1139" s="243"/>
      <c r="AF1139" s="243"/>
      <c r="AG1139" s="243"/>
      <c r="AH1139" s="243"/>
      <c r="AI1139" s="243"/>
      <c r="AJ1139" s="243"/>
      <c r="AK1139" s="243"/>
      <c r="AL1139" s="243"/>
      <c r="AM1139" s="243"/>
      <c r="AN1139" s="243"/>
      <c r="AO1139" s="243"/>
      <c r="AP1139" s="243"/>
      <c r="AQ1139" s="243"/>
      <c r="AR1139" s="243"/>
      <c r="AS1139" s="243"/>
      <c r="AT1139" s="243"/>
      <c r="AU1139" s="243"/>
      <c r="AV1139" s="243"/>
      <c r="AW1139" s="243"/>
      <c r="AX1139" s="243"/>
      <c r="AY1139" s="243"/>
      <c r="AZ1139" s="243"/>
      <c r="BA1139" s="243"/>
      <c r="BB1139" s="243"/>
      <c r="BC1139" s="243"/>
      <c r="BD1139" s="243"/>
      <c r="BE1139" s="243"/>
      <c r="BF1139" s="243"/>
      <c r="BG1139" s="243"/>
      <c r="BH1139" s="243"/>
      <c r="BI1139" s="243"/>
      <c r="BJ1139" s="243"/>
      <c r="BK1139" s="243"/>
      <c r="BL1139" s="243"/>
      <c r="BM1139" s="243"/>
      <c r="BN1139" s="243"/>
      <c r="BO1139" s="243"/>
      <c r="BP1139" s="243"/>
      <c r="BQ1139" s="243"/>
      <c r="BR1139" s="243"/>
      <c r="BS1139" s="243"/>
    </row>
    <row r="1140" spans="1:71" s="12" customFormat="1" ht="41.25" customHeight="1">
      <c r="A1140" s="178" t="s">
        <v>96</v>
      </c>
      <c r="B1140" s="381" t="str">
        <f ca="1">+UPPER(Tabla1321124[[#This Row],[DESCRIPCIÓN DE LA COMPRA O CONTRATACIÓN]])</f>
        <v>BREAKER DE 20 AMP</v>
      </c>
      <c r="C1140" s="39" t="s">
        <v>17</v>
      </c>
      <c r="D1140" s="378">
        <v>6</v>
      </c>
      <c r="E1140" s="369">
        <v>0</v>
      </c>
      <c r="F1140" s="369">
        <v>2</v>
      </c>
      <c r="G1140" s="369">
        <v>0</v>
      </c>
      <c r="H1140" s="240">
        <f>SUM(Tabla1321124[[#This Row],[PRIMER TRIMESTRE]:[CUARTO TRIMESTRE]])</f>
        <v>8</v>
      </c>
      <c r="I1140" s="17">
        <v>1530</v>
      </c>
      <c r="J1140" s="17">
        <f t="shared" si="21"/>
        <v>12240</v>
      </c>
      <c r="K1140" s="175"/>
      <c r="L1140" s="16" t="s">
        <v>18</v>
      </c>
      <c r="M1140" s="16" t="s">
        <v>22</v>
      </c>
      <c r="N1140" s="16"/>
      <c r="O1140" s="243"/>
      <c r="P1140" s="243"/>
      <c r="Q1140" s="243"/>
      <c r="R1140" s="243"/>
      <c r="S1140" s="243"/>
      <c r="T1140" s="243"/>
      <c r="U1140" s="243"/>
      <c r="V1140" s="243"/>
      <c r="W1140" s="243"/>
      <c r="X1140" s="243"/>
      <c r="Y1140" s="243"/>
      <c r="Z1140" s="243"/>
      <c r="AA1140" s="243"/>
      <c r="AB1140" s="243"/>
      <c r="AC1140" s="243"/>
      <c r="AD1140" s="243"/>
      <c r="AE1140" s="243"/>
      <c r="AF1140" s="243"/>
      <c r="AG1140" s="243"/>
      <c r="AH1140" s="243"/>
      <c r="AI1140" s="243"/>
      <c r="AJ1140" s="243"/>
      <c r="AK1140" s="243"/>
      <c r="AL1140" s="243"/>
      <c r="AM1140" s="243"/>
      <c r="AN1140" s="243"/>
      <c r="AO1140" s="243"/>
      <c r="AP1140" s="243"/>
      <c r="AQ1140" s="243"/>
      <c r="AR1140" s="243"/>
      <c r="AS1140" s="243"/>
      <c r="AT1140" s="243"/>
      <c r="AU1140" s="243"/>
      <c r="AV1140" s="243"/>
      <c r="AW1140" s="243"/>
      <c r="AX1140" s="243"/>
      <c r="AY1140" s="243"/>
      <c r="AZ1140" s="243"/>
      <c r="BA1140" s="243"/>
      <c r="BB1140" s="243"/>
      <c r="BC1140" s="243"/>
      <c r="BD1140" s="243"/>
      <c r="BE1140" s="243"/>
      <c r="BF1140" s="243"/>
      <c r="BG1140" s="243"/>
      <c r="BH1140" s="243"/>
      <c r="BI1140" s="243"/>
      <c r="BJ1140" s="243"/>
      <c r="BK1140" s="243"/>
      <c r="BL1140" s="243"/>
      <c r="BM1140" s="243"/>
      <c r="BN1140" s="243"/>
      <c r="BO1140" s="243"/>
      <c r="BP1140" s="243"/>
      <c r="BQ1140" s="243"/>
      <c r="BR1140" s="243"/>
      <c r="BS1140" s="243"/>
    </row>
    <row r="1141" spans="1:71" s="12" customFormat="1" ht="41.25" customHeight="1">
      <c r="A1141" s="178" t="s">
        <v>96</v>
      </c>
      <c r="B1141" s="381" t="str">
        <f ca="1">+UPPER(Tabla1321124[[#This Row],[DESCRIPCIÓN DE LA COMPRA O CONTRATACIÓN]])</f>
        <v>BREAKER DE 40 AMP</v>
      </c>
      <c r="C1141" s="39" t="s">
        <v>17</v>
      </c>
      <c r="D1141" s="378">
        <v>6</v>
      </c>
      <c r="E1141" s="369">
        <v>0</v>
      </c>
      <c r="F1141" s="369">
        <v>2</v>
      </c>
      <c r="G1141" s="369">
        <v>0</v>
      </c>
      <c r="H1141" s="240">
        <f>SUM(Tabla1321124[[#This Row],[PRIMER TRIMESTRE]:[CUARTO TRIMESTRE]])</f>
        <v>8</v>
      </c>
      <c r="I1141" s="17">
        <v>1980</v>
      </c>
      <c r="J1141" s="17">
        <f t="shared" si="21"/>
        <v>15840</v>
      </c>
      <c r="K1141" s="175"/>
      <c r="L1141" s="16" t="s">
        <v>18</v>
      </c>
      <c r="M1141" s="16" t="s">
        <v>22</v>
      </c>
      <c r="N1141" s="16"/>
      <c r="O1141" s="243"/>
      <c r="P1141" s="243"/>
      <c r="Q1141" s="243"/>
      <c r="R1141" s="243"/>
      <c r="S1141" s="243"/>
      <c r="T1141" s="243"/>
      <c r="U1141" s="243"/>
      <c r="V1141" s="243"/>
      <c r="W1141" s="243"/>
      <c r="X1141" s="243"/>
      <c r="Y1141" s="243"/>
      <c r="Z1141" s="243"/>
      <c r="AA1141" s="243"/>
      <c r="AB1141" s="243"/>
      <c r="AC1141" s="243"/>
      <c r="AD1141" s="243"/>
      <c r="AE1141" s="243"/>
      <c r="AF1141" s="243"/>
      <c r="AG1141" s="243"/>
      <c r="AH1141" s="243"/>
      <c r="AI1141" s="243"/>
      <c r="AJ1141" s="243"/>
      <c r="AK1141" s="243"/>
      <c r="AL1141" s="243"/>
      <c r="AM1141" s="243"/>
      <c r="AN1141" s="243"/>
      <c r="AO1141" s="243"/>
      <c r="AP1141" s="243"/>
      <c r="AQ1141" s="243"/>
      <c r="AR1141" s="243"/>
      <c r="AS1141" s="243"/>
      <c r="AT1141" s="243"/>
      <c r="AU1141" s="243"/>
      <c r="AV1141" s="243"/>
      <c r="AW1141" s="243"/>
      <c r="AX1141" s="243"/>
      <c r="AY1141" s="243"/>
      <c r="AZ1141" s="243"/>
      <c r="BA1141" s="243"/>
      <c r="BB1141" s="243"/>
      <c r="BC1141" s="243"/>
      <c r="BD1141" s="243"/>
      <c r="BE1141" s="243"/>
      <c r="BF1141" s="243"/>
      <c r="BG1141" s="243"/>
      <c r="BH1141" s="243"/>
      <c r="BI1141" s="243"/>
      <c r="BJ1141" s="243"/>
      <c r="BK1141" s="243"/>
      <c r="BL1141" s="243"/>
      <c r="BM1141" s="243"/>
      <c r="BN1141" s="243"/>
      <c r="BO1141" s="243"/>
      <c r="BP1141" s="243"/>
      <c r="BQ1141" s="243"/>
      <c r="BR1141" s="243"/>
      <c r="BS1141" s="243"/>
    </row>
    <row r="1142" spans="1:71" s="12" customFormat="1" ht="41.25" customHeight="1">
      <c r="A1142" s="178" t="s">
        <v>96</v>
      </c>
      <c r="B1142" s="381" t="str">
        <f ca="1">+UPPER(Tabla1321124[[#This Row],[DESCRIPCIÓN DE LA COMPRA O CONTRATACIÓN]])</f>
        <v>BREAKER TRIFÁSICO 690 VOLTS. A 60 AMP</v>
      </c>
      <c r="C1142" s="39" t="s">
        <v>17</v>
      </c>
      <c r="D1142" s="378">
        <v>4</v>
      </c>
      <c r="E1142" s="369">
        <v>0</v>
      </c>
      <c r="F1142" s="369">
        <v>1</v>
      </c>
      <c r="G1142" s="369">
        <v>0</v>
      </c>
      <c r="H1142" s="240">
        <f>SUM(Tabla1321124[[#This Row],[PRIMER TRIMESTRE]:[CUARTO TRIMESTRE]])</f>
        <v>5</v>
      </c>
      <c r="I1142" s="17">
        <v>12870</v>
      </c>
      <c r="J1142" s="17">
        <f t="shared" si="21"/>
        <v>64350</v>
      </c>
      <c r="K1142" s="175"/>
      <c r="L1142" s="16" t="s">
        <v>18</v>
      </c>
      <c r="M1142" s="16" t="s">
        <v>22</v>
      </c>
      <c r="N1142" s="16"/>
      <c r="O1142" s="243"/>
      <c r="P1142" s="243"/>
      <c r="Q1142" s="243"/>
      <c r="R1142" s="243"/>
      <c r="S1142" s="243"/>
      <c r="T1142" s="243"/>
      <c r="U1142" s="243"/>
      <c r="V1142" s="243"/>
      <c r="W1142" s="243"/>
      <c r="X1142" s="243"/>
      <c r="Y1142" s="243"/>
      <c r="Z1142" s="243"/>
      <c r="AA1142" s="243"/>
      <c r="AB1142" s="243"/>
      <c r="AC1142" s="243"/>
      <c r="AD1142" s="243"/>
      <c r="AE1142" s="243"/>
      <c r="AF1142" s="243"/>
      <c r="AG1142" s="243"/>
      <c r="AH1142" s="243"/>
      <c r="AI1142" s="243"/>
      <c r="AJ1142" s="243"/>
      <c r="AK1142" s="243"/>
      <c r="AL1142" s="243"/>
      <c r="AM1142" s="243"/>
      <c r="AN1142" s="243"/>
      <c r="AO1142" s="243"/>
      <c r="AP1142" s="243"/>
      <c r="AQ1142" s="243"/>
      <c r="AR1142" s="243"/>
      <c r="AS1142" s="243"/>
      <c r="AT1142" s="243"/>
      <c r="AU1142" s="243"/>
      <c r="AV1142" s="243"/>
      <c r="AW1142" s="243"/>
      <c r="AX1142" s="243"/>
      <c r="AY1142" s="243"/>
      <c r="AZ1142" s="243"/>
      <c r="BA1142" s="243"/>
      <c r="BB1142" s="243"/>
      <c r="BC1142" s="243"/>
      <c r="BD1142" s="243"/>
      <c r="BE1142" s="243"/>
      <c r="BF1142" s="243"/>
      <c r="BG1142" s="243"/>
      <c r="BH1142" s="243"/>
      <c r="BI1142" s="243"/>
      <c r="BJ1142" s="243"/>
      <c r="BK1142" s="243"/>
      <c r="BL1142" s="243"/>
      <c r="BM1142" s="243"/>
      <c r="BN1142" s="243"/>
      <c r="BO1142" s="243"/>
      <c r="BP1142" s="243"/>
      <c r="BQ1142" s="243"/>
      <c r="BR1142" s="243"/>
      <c r="BS1142" s="243"/>
    </row>
    <row r="1143" spans="1:71" s="12" customFormat="1" ht="41.25" customHeight="1">
      <c r="A1143" s="178" t="s">
        <v>96</v>
      </c>
      <c r="B1143" s="381" t="str">
        <f ca="1">+UPPER(Tabla1321124[[#This Row],[DESCRIPCIÓN DE LA COMPRA O CONTRATACIÓN]])</f>
        <v>BREAKER TRIFÁSICO 690 VOLTS. A 80 AMP</v>
      </c>
      <c r="C1143" s="39" t="s">
        <v>17</v>
      </c>
      <c r="D1143" s="378">
        <v>4</v>
      </c>
      <c r="E1143" s="369">
        <v>0</v>
      </c>
      <c r="F1143" s="369">
        <v>1</v>
      </c>
      <c r="G1143" s="369">
        <v>0</v>
      </c>
      <c r="H1143" s="240">
        <f>SUM(Tabla1321124[[#This Row],[PRIMER TRIMESTRE]:[CUARTO TRIMESTRE]])</f>
        <v>5</v>
      </c>
      <c r="I1143" s="17">
        <v>15780</v>
      </c>
      <c r="J1143" s="17">
        <f t="shared" si="21"/>
        <v>78900</v>
      </c>
      <c r="K1143" s="175"/>
      <c r="L1143" s="16" t="s">
        <v>18</v>
      </c>
      <c r="M1143" s="16" t="s">
        <v>22</v>
      </c>
      <c r="N1143" s="16"/>
      <c r="O1143" s="243"/>
      <c r="P1143" s="243"/>
      <c r="Q1143" s="243"/>
      <c r="R1143" s="243"/>
      <c r="S1143" s="243"/>
      <c r="T1143" s="243"/>
      <c r="U1143" s="243"/>
      <c r="V1143" s="243"/>
      <c r="W1143" s="243"/>
      <c r="X1143" s="243"/>
      <c r="Y1143" s="243"/>
      <c r="Z1143" s="243"/>
      <c r="AA1143" s="243"/>
      <c r="AB1143" s="243"/>
      <c r="AC1143" s="243"/>
      <c r="AD1143" s="243"/>
      <c r="AE1143" s="243"/>
      <c r="AF1143" s="243"/>
      <c r="AG1143" s="243"/>
      <c r="AH1143" s="243"/>
      <c r="AI1143" s="243"/>
      <c r="AJ1143" s="243"/>
      <c r="AK1143" s="243"/>
      <c r="AL1143" s="243"/>
      <c r="AM1143" s="243"/>
      <c r="AN1143" s="243"/>
      <c r="AO1143" s="243"/>
      <c r="AP1143" s="243"/>
      <c r="AQ1143" s="243"/>
      <c r="AR1143" s="243"/>
      <c r="AS1143" s="243"/>
      <c r="AT1143" s="243"/>
      <c r="AU1143" s="243"/>
      <c r="AV1143" s="243"/>
      <c r="AW1143" s="243"/>
      <c r="AX1143" s="243"/>
      <c r="AY1143" s="243"/>
      <c r="AZ1143" s="243"/>
      <c r="BA1143" s="243"/>
      <c r="BB1143" s="243"/>
      <c r="BC1143" s="243"/>
      <c r="BD1143" s="243"/>
      <c r="BE1143" s="243"/>
      <c r="BF1143" s="243"/>
      <c r="BG1143" s="243"/>
      <c r="BH1143" s="243"/>
      <c r="BI1143" s="243"/>
      <c r="BJ1143" s="243"/>
      <c r="BK1143" s="243"/>
      <c r="BL1143" s="243"/>
      <c r="BM1143" s="243"/>
      <c r="BN1143" s="243"/>
      <c r="BO1143" s="243"/>
      <c r="BP1143" s="243"/>
      <c r="BQ1143" s="243"/>
      <c r="BR1143" s="243"/>
      <c r="BS1143" s="243"/>
    </row>
    <row r="1144" spans="1:71" s="12" customFormat="1" ht="41.25" customHeight="1">
      <c r="A1144" s="178" t="s">
        <v>96</v>
      </c>
      <c r="B1144" s="381" t="str">
        <f ca="1">+UPPER(Tabla1321124[[#This Row],[DESCRIPCIÓN DE LA COMPRA O CONTRATACIÓN]])</f>
        <v>BREAKER TRIFÁSICO 690 VOLTS. A 90 AMP</v>
      </c>
      <c r="C1144" s="39" t="s">
        <v>17</v>
      </c>
      <c r="D1144" s="378">
        <v>4</v>
      </c>
      <c r="E1144" s="369">
        <v>0</v>
      </c>
      <c r="F1144" s="369">
        <v>1</v>
      </c>
      <c r="G1144" s="369">
        <v>0</v>
      </c>
      <c r="H1144" s="240">
        <f>SUM(Tabla1321124[[#This Row],[PRIMER TRIMESTRE]:[CUARTO TRIMESTRE]])</f>
        <v>5</v>
      </c>
      <c r="I1144" s="17">
        <v>15780</v>
      </c>
      <c r="J1144" s="17">
        <f t="shared" si="21"/>
        <v>78900</v>
      </c>
      <c r="K1144" s="175"/>
      <c r="L1144" s="16" t="s">
        <v>18</v>
      </c>
      <c r="M1144" s="16" t="s">
        <v>22</v>
      </c>
      <c r="N1144" s="16"/>
      <c r="O1144" s="243"/>
      <c r="P1144" s="243"/>
      <c r="Q1144" s="243"/>
      <c r="R1144" s="243"/>
      <c r="S1144" s="243"/>
      <c r="T1144" s="243"/>
      <c r="U1144" s="243"/>
      <c r="V1144" s="243"/>
      <c r="W1144" s="243"/>
      <c r="X1144" s="243"/>
      <c r="Y1144" s="243"/>
      <c r="Z1144" s="243"/>
      <c r="AA1144" s="243"/>
      <c r="AB1144" s="243"/>
      <c r="AC1144" s="243"/>
      <c r="AD1144" s="243"/>
      <c r="AE1144" s="243"/>
      <c r="AF1144" s="243"/>
      <c r="AG1144" s="243"/>
      <c r="AH1144" s="243"/>
      <c r="AI1144" s="243"/>
      <c r="AJ1144" s="243"/>
      <c r="AK1144" s="243"/>
      <c r="AL1144" s="243"/>
      <c r="AM1144" s="243"/>
      <c r="AN1144" s="243"/>
      <c r="AO1144" s="243"/>
      <c r="AP1144" s="243"/>
      <c r="AQ1144" s="243"/>
      <c r="AR1144" s="243"/>
      <c r="AS1144" s="243"/>
      <c r="AT1144" s="243"/>
      <c r="AU1144" s="243"/>
      <c r="AV1144" s="243"/>
      <c r="AW1144" s="243"/>
      <c r="AX1144" s="243"/>
      <c r="AY1144" s="243"/>
      <c r="AZ1144" s="243"/>
      <c r="BA1144" s="243"/>
      <c r="BB1144" s="243"/>
      <c r="BC1144" s="243"/>
      <c r="BD1144" s="243"/>
      <c r="BE1144" s="243"/>
      <c r="BF1144" s="243"/>
      <c r="BG1144" s="243"/>
      <c r="BH1144" s="243"/>
      <c r="BI1144" s="243"/>
      <c r="BJ1144" s="243"/>
      <c r="BK1144" s="243"/>
      <c r="BL1144" s="243"/>
      <c r="BM1144" s="243"/>
      <c r="BN1144" s="243"/>
      <c r="BO1144" s="243"/>
      <c r="BP1144" s="243"/>
      <c r="BQ1144" s="243"/>
      <c r="BR1144" s="243"/>
      <c r="BS1144" s="243"/>
    </row>
    <row r="1145" spans="1:71" s="12" customFormat="1" ht="41.25" customHeight="1">
      <c r="A1145" s="178" t="s">
        <v>96</v>
      </c>
      <c r="B1145" s="377" t="str">
        <f ca="1">+UPPER(Tabla1321124[[#This Row],[DESCRIPCIÓN DE LA COMPRA O CONTRATACIÓN]])</f>
        <v>BREAKER TRIFÁSICO A 690 VOLTIOS. 125 AMP P/MOTOR DE 75HP</v>
      </c>
      <c r="C1145" s="39" t="s">
        <v>17</v>
      </c>
      <c r="D1145" s="378">
        <v>6</v>
      </c>
      <c r="E1145" s="369">
        <v>0</v>
      </c>
      <c r="F1145" s="369">
        <v>2</v>
      </c>
      <c r="G1145" s="369">
        <v>0</v>
      </c>
      <c r="H1145" s="240">
        <f>SUM(Tabla1321124[[#This Row],[PRIMER TRIMESTRE]:[CUARTO TRIMESTRE]])</f>
        <v>8</v>
      </c>
      <c r="I1145" s="17">
        <v>24500</v>
      </c>
      <c r="J1145" s="17">
        <f t="shared" si="21"/>
        <v>196000</v>
      </c>
      <c r="K1145" s="175"/>
      <c r="L1145" s="16" t="s">
        <v>18</v>
      </c>
      <c r="M1145" s="16" t="s">
        <v>22</v>
      </c>
      <c r="N1145" s="16"/>
      <c r="O1145" s="243"/>
      <c r="P1145" s="243"/>
      <c r="Q1145" s="243"/>
      <c r="R1145" s="243"/>
      <c r="S1145" s="243"/>
      <c r="T1145" s="243"/>
      <c r="U1145" s="243"/>
      <c r="V1145" s="243"/>
      <c r="W1145" s="243"/>
      <c r="X1145" s="243"/>
      <c r="Y1145" s="243"/>
      <c r="Z1145" s="243"/>
      <c r="AA1145" s="243"/>
      <c r="AB1145" s="243"/>
      <c r="AC1145" s="243"/>
      <c r="AD1145" s="243"/>
      <c r="AE1145" s="243"/>
      <c r="AF1145" s="243"/>
      <c r="AG1145" s="243"/>
      <c r="AH1145" s="243"/>
      <c r="AI1145" s="243"/>
      <c r="AJ1145" s="243"/>
      <c r="AK1145" s="243"/>
      <c r="AL1145" s="243"/>
      <c r="AM1145" s="243"/>
      <c r="AN1145" s="243"/>
      <c r="AO1145" s="243"/>
      <c r="AP1145" s="243"/>
      <c r="AQ1145" s="243"/>
      <c r="AR1145" s="243"/>
      <c r="AS1145" s="243"/>
      <c r="AT1145" s="243"/>
      <c r="AU1145" s="243"/>
      <c r="AV1145" s="243"/>
      <c r="AW1145" s="243"/>
      <c r="AX1145" s="243"/>
      <c r="AY1145" s="243"/>
      <c r="AZ1145" s="243"/>
      <c r="BA1145" s="243"/>
      <c r="BB1145" s="243"/>
      <c r="BC1145" s="243"/>
      <c r="BD1145" s="243"/>
      <c r="BE1145" s="243"/>
      <c r="BF1145" s="243"/>
      <c r="BG1145" s="243"/>
      <c r="BH1145" s="243"/>
      <c r="BI1145" s="243"/>
      <c r="BJ1145" s="243"/>
      <c r="BK1145" s="243"/>
      <c r="BL1145" s="243"/>
      <c r="BM1145" s="243"/>
      <c r="BN1145" s="243"/>
      <c r="BO1145" s="243"/>
      <c r="BP1145" s="243"/>
      <c r="BQ1145" s="243"/>
      <c r="BR1145" s="243"/>
      <c r="BS1145" s="243"/>
    </row>
    <row r="1146" spans="1:71" s="12" customFormat="1" ht="41.25" customHeight="1">
      <c r="A1146" s="178" t="s">
        <v>96</v>
      </c>
      <c r="B1146" s="377" t="str">
        <f ca="1">+UPPER(Tabla1321124[[#This Row],[DESCRIPCIÓN DE LA COMPRA O CONTRATACIÓN]])</f>
        <v>BREAKER TRIFÁSICO A 690 VOLTIOS. 150 AMP</v>
      </c>
      <c r="C1146" s="39" t="s">
        <v>17</v>
      </c>
      <c r="D1146" s="378">
        <v>6</v>
      </c>
      <c r="E1146" s="369">
        <v>0</v>
      </c>
      <c r="F1146" s="369">
        <v>2</v>
      </c>
      <c r="G1146" s="369">
        <v>0</v>
      </c>
      <c r="H1146" s="240">
        <f>SUM(Tabla1321124[[#This Row],[PRIMER TRIMESTRE]:[CUARTO TRIMESTRE]])</f>
        <v>8</v>
      </c>
      <c r="I1146" s="17">
        <v>21500</v>
      </c>
      <c r="J1146" s="17">
        <f t="shared" si="21"/>
        <v>172000</v>
      </c>
      <c r="K1146" s="175"/>
      <c r="L1146" s="16" t="s">
        <v>18</v>
      </c>
      <c r="M1146" s="16" t="s">
        <v>22</v>
      </c>
      <c r="N1146" s="16"/>
      <c r="O1146" s="243"/>
      <c r="P1146" s="243"/>
      <c r="Q1146" s="243"/>
      <c r="R1146" s="243"/>
      <c r="S1146" s="243"/>
      <c r="T1146" s="243"/>
      <c r="U1146" s="243"/>
      <c r="V1146" s="243"/>
      <c r="W1146" s="243"/>
      <c r="X1146" s="243"/>
      <c r="Y1146" s="243"/>
      <c r="Z1146" s="243"/>
      <c r="AA1146" s="243"/>
      <c r="AB1146" s="243"/>
      <c r="AC1146" s="243"/>
      <c r="AD1146" s="243"/>
      <c r="AE1146" s="243"/>
      <c r="AF1146" s="243"/>
      <c r="AG1146" s="243"/>
      <c r="AH1146" s="243"/>
      <c r="AI1146" s="243"/>
      <c r="AJ1146" s="243"/>
      <c r="AK1146" s="243"/>
      <c r="AL1146" s="243"/>
      <c r="AM1146" s="243"/>
      <c r="AN1146" s="243"/>
      <c r="AO1146" s="243"/>
      <c r="AP1146" s="243"/>
      <c r="AQ1146" s="243"/>
      <c r="AR1146" s="243"/>
      <c r="AS1146" s="243"/>
      <c r="AT1146" s="243"/>
      <c r="AU1146" s="243"/>
      <c r="AV1146" s="243"/>
      <c r="AW1146" s="243"/>
      <c r="AX1146" s="243"/>
      <c r="AY1146" s="243"/>
      <c r="AZ1146" s="243"/>
      <c r="BA1146" s="243"/>
      <c r="BB1146" s="243"/>
      <c r="BC1146" s="243"/>
      <c r="BD1146" s="243"/>
      <c r="BE1146" s="243"/>
      <c r="BF1146" s="243"/>
      <c r="BG1146" s="243"/>
      <c r="BH1146" s="243"/>
      <c r="BI1146" s="243"/>
      <c r="BJ1146" s="243"/>
      <c r="BK1146" s="243"/>
      <c r="BL1146" s="243"/>
      <c r="BM1146" s="243"/>
      <c r="BN1146" s="243"/>
      <c r="BO1146" s="243"/>
      <c r="BP1146" s="243"/>
      <c r="BQ1146" s="243"/>
      <c r="BR1146" s="243"/>
      <c r="BS1146" s="243"/>
    </row>
    <row r="1147" spans="1:71" s="12" customFormat="1" ht="41.25" customHeight="1">
      <c r="A1147" s="178" t="s">
        <v>96</v>
      </c>
      <c r="B1147" s="377" t="str">
        <f ca="1">+UPPER(Tabla1321124[[#This Row],[DESCRIPCIÓN DE LA COMPRA O CONTRATACIÓN]])</f>
        <v>BREAKER TRIFÁSICO A 690 VOLTIOS. 200 AMP</v>
      </c>
      <c r="C1147" s="39" t="s">
        <v>17</v>
      </c>
      <c r="D1147" s="378">
        <v>6</v>
      </c>
      <c r="E1147" s="369">
        <v>0</v>
      </c>
      <c r="F1147" s="369">
        <v>2</v>
      </c>
      <c r="G1147" s="369">
        <v>0</v>
      </c>
      <c r="H1147" s="240">
        <f>SUM(Tabla1321124[[#This Row],[PRIMER TRIMESTRE]:[CUARTO TRIMESTRE]])</f>
        <v>8</v>
      </c>
      <c r="I1147" s="17">
        <v>26800</v>
      </c>
      <c r="J1147" s="17">
        <f t="shared" si="21"/>
        <v>214400</v>
      </c>
      <c r="K1147" s="175"/>
      <c r="L1147" s="16" t="s">
        <v>18</v>
      </c>
      <c r="M1147" s="16" t="s">
        <v>22</v>
      </c>
      <c r="N1147" s="16"/>
      <c r="O1147" s="243"/>
      <c r="P1147" s="243"/>
      <c r="Q1147" s="243"/>
      <c r="R1147" s="243"/>
      <c r="S1147" s="243"/>
      <c r="T1147" s="243"/>
      <c r="U1147" s="243"/>
      <c r="V1147" s="243"/>
      <c r="W1147" s="243"/>
      <c r="X1147" s="243"/>
      <c r="Y1147" s="243"/>
      <c r="Z1147" s="243"/>
      <c r="AA1147" s="243"/>
      <c r="AB1147" s="243"/>
      <c r="AC1147" s="243"/>
      <c r="AD1147" s="243"/>
      <c r="AE1147" s="243"/>
      <c r="AF1147" s="243"/>
      <c r="AG1147" s="243"/>
      <c r="AH1147" s="243"/>
      <c r="AI1147" s="243"/>
      <c r="AJ1147" s="243"/>
      <c r="AK1147" s="243"/>
      <c r="AL1147" s="243"/>
      <c r="AM1147" s="243"/>
      <c r="AN1147" s="243"/>
      <c r="AO1147" s="243"/>
      <c r="AP1147" s="243"/>
      <c r="AQ1147" s="243"/>
      <c r="AR1147" s="243"/>
      <c r="AS1147" s="243"/>
      <c r="AT1147" s="243"/>
      <c r="AU1147" s="243"/>
      <c r="AV1147" s="243"/>
      <c r="AW1147" s="243"/>
      <c r="AX1147" s="243"/>
      <c r="AY1147" s="243"/>
      <c r="AZ1147" s="243"/>
      <c r="BA1147" s="243"/>
      <c r="BB1147" s="243"/>
      <c r="BC1147" s="243"/>
      <c r="BD1147" s="243"/>
      <c r="BE1147" s="243"/>
      <c r="BF1147" s="243"/>
      <c r="BG1147" s="243"/>
      <c r="BH1147" s="243"/>
      <c r="BI1147" s="243"/>
      <c r="BJ1147" s="243"/>
      <c r="BK1147" s="243"/>
      <c r="BL1147" s="243"/>
      <c r="BM1147" s="243"/>
      <c r="BN1147" s="243"/>
      <c r="BO1147" s="243"/>
      <c r="BP1147" s="243"/>
      <c r="BQ1147" s="243"/>
      <c r="BR1147" s="243"/>
      <c r="BS1147" s="243"/>
    </row>
    <row r="1148" spans="1:71" s="12" customFormat="1" ht="41.25" customHeight="1">
      <c r="A1148" s="178" t="s">
        <v>96</v>
      </c>
      <c r="B1148" s="377" t="str">
        <f ca="1">+UPPER(Tabla1321124[[#This Row],[DESCRIPCIÓN DE LA COMPRA O CONTRATACIÓN]])</f>
        <v>BREAKER TRIFÁSICO A 690 VOLTIOS. 80 AMP P/MOTOR DE 60HP</v>
      </c>
      <c r="C1148" s="39" t="s">
        <v>17</v>
      </c>
      <c r="D1148" s="378">
        <v>6</v>
      </c>
      <c r="E1148" s="369">
        <v>0</v>
      </c>
      <c r="F1148" s="369">
        <v>2</v>
      </c>
      <c r="G1148" s="369">
        <v>0</v>
      </c>
      <c r="H1148" s="240">
        <f>SUM(Tabla1321124[[#This Row],[PRIMER TRIMESTRE]:[CUARTO TRIMESTRE]])</f>
        <v>8</v>
      </c>
      <c r="I1148" s="17">
        <v>19500</v>
      </c>
      <c r="J1148" s="17">
        <f t="shared" si="21"/>
        <v>156000</v>
      </c>
      <c r="K1148" s="175"/>
      <c r="L1148" s="16" t="s">
        <v>18</v>
      </c>
      <c r="M1148" s="16" t="s">
        <v>22</v>
      </c>
      <c r="N1148" s="16"/>
      <c r="O1148" s="243"/>
      <c r="P1148" s="243"/>
      <c r="Q1148" s="243"/>
      <c r="R1148" s="243"/>
      <c r="S1148" s="243"/>
      <c r="T1148" s="243"/>
      <c r="U1148" s="243"/>
      <c r="V1148" s="243"/>
      <c r="W1148" s="243"/>
      <c r="X1148" s="243"/>
      <c r="Y1148" s="243"/>
      <c r="Z1148" s="243"/>
      <c r="AA1148" s="243"/>
      <c r="AB1148" s="243"/>
      <c r="AC1148" s="243"/>
      <c r="AD1148" s="243"/>
      <c r="AE1148" s="243"/>
      <c r="AF1148" s="243"/>
      <c r="AG1148" s="243"/>
      <c r="AH1148" s="243"/>
      <c r="AI1148" s="243"/>
      <c r="AJ1148" s="243"/>
      <c r="AK1148" s="243"/>
      <c r="AL1148" s="243"/>
      <c r="AM1148" s="243"/>
      <c r="AN1148" s="243"/>
      <c r="AO1148" s="243"/>
      <c r="AP1148" s="243"/>
      <c r="AQ1148" s="243"/>
      <c r="AR1148" s="243"/>
      <c r="AS1148" s="243"/>
      <c r="AT1148" s="243"/>
      <c r="AU1148" s="243"/>
      <c r="AV1148" s="243"/>
      <c r="AW1148" s="243"/>
      <c r="AX1148" s="243"/>
      <c r="AY1148" s="243"/>
      <c r="AZ1148" s="243"/>
      <c r="BA1148" s="243"/>
      <c r="BB1148" s="243"/>
      <c r="BC1148" s="243"/>
      <c r="BD1148" s="243"/>
      <c r="BE1148" s="243"/>
      <c r="BF1148" s="243"/>
      <c r="BG1148" s="243"/>
      <c r="BH1148" s="243"/>
      <c r="BI1148" s="243"/>
      <c r="BJ1148" s="243"/>
      <c r="BK1148" s="243"/>
      <c r="BL1148" s="243"/>
      <c r="BM1148" s="243"/>
      <c r="BN1148" s="243"/>
      <c r="BO1148" s="243"/>
      <c r="BP1148" s="243"/>
      <c r="BQ1148" s="243"/>
      <c r="BR1148" s="243"/>
      <c r="BS1148" s="243"/>
    </row>
    <row r="1149" spans="1:71" s="12" customFormat="1" ht="41.25" customHeight="1">
      <c r="A1149" s="178" t="s">
        <v>96</v>
      </c>
      <c r="B1149" s="381" t="str">
        <f ca="1">+UPPER(Tabla1321124[[#This Row],[DESCRIPCIÓN DE LA COMPRA O CONTRATACIÓN]])</f>
        <v>CAJAS DE BREAKER</v>
      </c>
      <c r="C1149" s="39" t="s">
        <v>17</v>
      </c>
      <c r="D1149" s="378">
        <v>6</v>
      </c>
      <c r="E1149" s="369">
        <v>0</v>
      </c>
      <c r="F1149" s="369">
        <v>2</v>
      </c>
      <c r="G1149" s="369">
        <v>0</v>
      </c>
      <c r="H1149" s="240">
        <f>SUM(Tabla1321124[[#This Row],[PRIMER TRIMESTRE]:[CUARTO TRIMESTRE]])</f>
        <v>8</v>
      </c>
      <c r="I1149" s="17">
        <v>3500</v>
      </c>
      <c r="J1149" s="17">
        <f t="shared" si="21"/>
        <v>28000</v>
      </c>
      <c r="K1149" s="175"/>
      <c r="L1149" s="16" t="s">
        <v>18</v>
      </c>
      <c r="M1149" s="16" t="s">
        <v>22</v>
      </c>
      <c r="N1149" s="16"/>
      <c r="O1149" s="243"/>
      <c r="P1149" s="243"/>
      <c r="Q1149" s="243"/>
      <c r="R1149" s="243"/>
      <c r="S1149" s="243"/>
      <c r="T1149" s="243"/>
      <c r="U1149" s="243"/>
      <c r="V1149" s="243"/>
      <c r="W1149" s="243"/>
      <c r="X1149" s="243"/>
      <c r="Y1149" s="243"/>
      <c r="Z1149" s="243"/>
      <c r="AA1149" s="243"/>
      <c r="AB1149" s="243"/>
      <c r="AC1149" s="243"/>
      <c r="AD1149" s="243"/>
      <c r="AE1149" s="243"/>
      <c r="AF1149" s="243"/>
      <c r="AG1149" s="243"/>
      <c r="AH1149" s="243"/>
      <c r="AI1149" s="243"/>
      <c r="AJ1149" s="243"/>
      <c r="AK1149" s="243"/>
      <c r="AL1149" s="243"/>
      <c r="AM1149" s="243"/>
      <c r="AN1149" s="243"/>
      <c r="AO1149" s="243"/>
      <c r="AP1149" s="243"/>
      <c r="AQ1149" s="243"/>
      <c r="AR1149" s="243"/>
      <c r="AS1149" s="243"/>
      <c r="AT1149" s="243"/>
      <c r="AU1149" s="243"/>
      <c r="AV1149" s="243"/>
      <c r="AW1149" s="243"/>
      <c r="AX1149" s="243"/>
      <c r="AY1149" s="243"/>
      <c r="AZ1149" s="243"/>
      <c r="BA1149" s="243"/>
      <c r="BB1149" s="243"/>
      <c r="BC1149" s="243"/>
      <c r="BD1149" s="243"/>
      <c r="BE1149" s="243"/>
      <c r="BF1149" s="243"/>
      <c r="BG1149" s="243"/>
      <c r="BH1149" s="243"/>
      <c r="BI1149" s="243"/>
      <c r="BJ1149" s="243"/>
      <c r="BK1149" s="243"/>
      <c r="BL1149" s="243"/>
      <c r="BM1149" s="243"/>
      <c r="BN1149" s="243"/>
      <c r="BO1149" s="243"/>
      <c r="BP1149" s="243"/>
      <c r="BQ1149" s="243"/>
      <c r="BR1149" s="243"/>
      <c r="BS1149" s="243"/>
    </row>
    <row r="1150" spans="1:71" s="12" customFormat="1" ht="41.25" customHeight="1">
      <c r="A1150" s="178" t="s">
        <v>96</v>
      </c>
      <c r="B1150" s="75" t="str">
        <f ca="1">+UPPER(Tabla1321124[[#This Row],[DESCRIPCIÓN DE LA COMPRA O CONTRATACIÓN]])</f>
        <v>BREAKERS DE TRES POLOS, INDUSTRIAL, 600 VOLTIOS 60 AMPERES</v>
      </c>
      <c r="C1150" s="39" t="s">
        <v>17</v>
      </c>
      <c r="D1150" s="352">
        <v>10</v>
      </c>
      <c r="E1150" s="352">
        <v>10</v>
      </c>
      <c r="F1150" s="352">
        <v>10</v>
      </c>
      <c r="G1150" s="352">
        <v>10</v>
      </c>
      <c r="H1150" s="240">
        <f>SUM(Tabla1321124[[#This Row],[PRIMER TRIMESTRE]:[CUARTO TRIMESTRE]])</f>
        <v>40</v>
      </c>
      <c r="I1150" s="17">
        <v>2415</v>
      </c>
      <c r="J1150" s="17">
        <f t="shared" si="21"/>
        <v>96600</v>
      </c>
      <c r="K1150" s="17"/>
      <c r="L1150" s="16" t="s">
        <v>18</v>
      </c>
      <c r="M1150" s="16" t="s">
        <v>22</v>
      </c>
      <c r="N1150" s="16"/>
      <c r="O1150" s="243"/>
      <c r="P1150" s="243"/>
      <c r="Q1150" s="243"/>
      <c r="R1150" s="243"/>
      <c r="S1150" s="243"/>
      <c r="T1150" s="243"/>
      <c r="U1150" s="243"/>
      <c r="V1150" s="243"/>
      <c r="W1150" s="243"/>
      <c r="X1150" s="243"/>
      <c r="Y1150" s="243"/>
      <c r="Z1150" s="243"/>
      <c r="AA1150" s="243"/>
      <c r="AB1150" s="243"/>
      <c r="AC1150" s="243"/>
      <c r="AD1150" s="243"/>
      <c r="AE1150" s="243"/>
      <c r="AF1150" s="243"/>
      <c r="AG1150" s="243"/>
      <c r="AH1150" s="243"/>
      <c r="AI1150" s="243"/>
      <c r="AJ1150" s="243"/>
      <c r="AK1150" s="243"/>
      <c r="AL1150" s="243"/>
      <c r="AM1150" s="243"/>
      <c r="AN1150" s="243"/>
      <c r="AO1150" s="243"/>
      <c r="AP1150" s="243"/>
      <c r="AQ1150" s="243"/>
      <c r="AR1150" s="243"/>
      <c r="AS1150" s="243"/>
      <c r="AT1150" s="243"/>
      <c r="AU1150" s="243"/>
      <c r="AV1150" s="243"/>
      <c r="AW1150" s="243"/>
      <c r="AX1150" s="243"/>
      <c r="AY1150" s="243"/>
      <c r="AZ1150" s="243"/>
      <c r="BA1150" s="243"/>
      <c r="BB1150" s="243"/>
      <c r="BC1150" s="243"/>
      <c r="BD1150" s="243"/>
      <c r="BE1150" s="243"/>
      <c r="BF1150" s="243"/>
      <c r="BG1150" s="243"/>
      <c r="BH1150" s="243"/>
      <c r="BI1150" s="243"/>
      <c r="BJ1150" s="243"/>
      <c r="BK1150" s="243"/>
      <c r="BL1150" s="243"/>
      <c r="BM1150" s="243"/>
      <c r="BN1150" s="243"/>
      <c r="BO1150" s="243"/>
      <c r="BP1150" s="243"/>
      <c r="BQ1150" s="243"/>
      <c r="BR1150" s="243"/>
      <c r="BS1150" s="243"/>
    </row>
    <row r="1151" spans="1:71" s="12" customFormat="1" ht="41.25" customHeight="1">
      <c r="A1151" s="178" t="s">
        <v>96</v>
      </c>
      <c r="B1151" s="75" t="str">
        <f ca="1">+UPPER(Tabla1321124[[#This Row],[DESCRIPCIÓN DE LA COMPRA O CONTRATACIÓN]])</f>
        <v>BREAKERS DE TRES POLOS, INDUSTRIAL, 600 VOLTIOS 100 AMPERES</v>
      </c>
      <c r="C1151" s="39" t="s">
        <v>17</v>
      </c>
      <c r="D1151" s="352">
        <f>10+3</f>
        <v>13</v>
      </c>
      <c r="E1151" s="352">
        <f>10+3</f>
        <v>13</v>
      </c>
      <c r="F1151" s="352">
        <f>10+3</f>
        <v>13</v>
      </c>
      <c r="G1151" s="352">
        <f>10+3</f>
        <v>13</v>
      </c>
      <c r="H1151" s="240">
        <f>SUM(Tabla1321124[[#This Row],[PRIMER TRIMESTRE]:[CUARTO TRIMESTRE]])</f>
        <v>52</v>
      </c>
      <c r="I1151" s="17">
        <v>3266</v>
      </c>
      <c r="J1151" s="17">
        <f t="shared" si="21"/>
        <v>169832</v>
      </c>
      <c r="K1151" s="17"/>
      <c r="L1151" s="16" t="s">
        <v>18</v>
      </c>
      <c r="M1151" s="16" t="s">
        <v>22</v>
      </c>
      <c r="N1151" s="16"/>
      <c r="O1151" s="243"/>
      <c r="P1151" s="243"/>
      <c r="Q1151" s="243"/>
      <c r="R1151" s="243"/>
      <c r="S1151" s="243"/>
      <c r="T1151" s="243"/>
      <c r="U1151" s="243"/>
      <c r="V1151" s="243"/>
      <c r="W1151" s="243"/>
      <c r="X1151" s="243"/>
      <c r="Y1151" s="243"/>
      <c r="Z1151" s="243"/>
      <c r="AA1151" s="243"/>
      <c r="AB1151" s="243"/>
      <c r="AC1151" s="243"/>
      <c r="AD1151" s="243"/>
      <c r="AE1151" s="243"/>
      <c r="AF1151" s="243"/>
      <c r="AG1151" s="243"/>
      <c r="AH1151" s="243"/>
      <c r="AI1151" s="243"/>
      <c r="AJ1151" s="243"/>
      <c r="AK1151" s="243"/>
      <c r="AL1151" s="243"/>
      <c r="AM1151" s="243"/>
      <c r="AN1151" s="243"/>
      <c r="AO1151" s="243"/>
      <c r="AP1151" s="243"/>
      <c r="AQ1151" s="243"/>
      <c r="AR1151" s="243"/>
      <c r="AS1151" s="243"/>
      <c r="AT1151" s="243"/>
      <c r="AU1151" s="243"/>
      <c r="AV1151" s="243"/>
      <c r="AW1151" s="243"/>
      <c r="AX1151" s="243"/>
      <c r="AY1151" s="243"/>
      <c r="AZ1151" s="243"/>
      <c r="BA1151" s="243"/>
      <c r="BB1151" s="243"/>
      <c r="BC1151" s="243"/>
      <c r="BD1151" s="243"/>
      <c r="BE1151" s="243"/>
      <c r="BF1151" s="243"/>
      <c r="BG1151" s="243"/>
      <c r="BH1151" s="243"/>
      <c r="BI1151" s="243"/>
      <c r="BJ1151" s="243"/>
      <c r="BK1151" s="243"/>
      <c r="BL1151" s="243"/>
      <c r="BM1151" s="243"/>
      <c r="BN1151" s="243"/>
      <c r="BO1151" s="243"/>
      <c r="BP1151" s="243"/>
      <c r="BQ1151" s="243"/>
      <c r="BR1151" s="243"/>
      <c r="BS1151" s="243"/>
    </row>
    <row r="1152" spans="1:71" s="12" customFormat="1" ht="41.25" customHeight="1">
      <c r="A1152" s="178" t="s">
        <v>96</v>
      </c>
      <c r="B1152" s="75" t="str">
        <f ca="1">+UPPER(Tabla1321124[[#This Row],[DESCRIPCIÓN DE LA COMPRA O CONTRATACIÓN]])</f>
        <v>BREAKERS DE TRES POLOS, INDUSTRIAL, 600 VOLTIOS 125 AMPERES</v>
      </c>
      <c r="C1152" s="39" t="s">
        <v>17</v>
      </c>
      <c r="D1152" s="352">
        <f>10+2</f>
        <v>12</v>
      </c>
      <c r="E1152" s="352">
        <v>10</v>
      </c>
      <c r="F1152" s="352">
        <f>10+2</f>
        <v>12</v>
      </c>
      <c r="G1152" s="352">
        <v>10</v>
      </c>
      <c r="H1152" s="240">
        <f>SUM(Tabla1321124[[#This Row],[PRIMER TRIMESTRE]:[CUARTO TRIMESTRE]])</f>
        <v>44</v>
      </c>
      <c r="I1152" s="17">
        <v>4000</v>
      </c>
      <c r="J1152" s="17">
        <f t="shared" si="21"/>
        <v>176000</v>
      </c>
      <c r="K1152" s="17"/>
      <c r="L1152" s="16" t="s">
        <v>18</v>
      </c>
      <c r="M1152" s="16" t="s">
        <v>22</v>
      </c>
      <c r="N1152" s="16"/>
      <c r="O1152" s="243"/>
      <c r="P1152" s="243"/>
      <c r="Q1152" s="243"/>
      <c r="R1152" s="243"/>
      <c r="S1152" s="243"/>
      <c r="T1152" s="243"/>
      <c r="U1152" s="243"/>
      <c r="V1152" s="243"/>
      <c r="W1152" s="243"/>
      <c r="X1152" s="243"/>
      <c r="Y1152" s="243"/>
      <c r="Z1152" s="243"/>
      <c r="AA1152" s="243"/>
      <c r="AB1152" s="243"/>
      <c r="AC1152" s="243"/>
      <c r="AD1152" s="243"/>
      <c r="AE1152" s="243"/>
      <c r="AF1152" s="243"/>
      <c r="AG1152" s="243"/>
      <c r="AH1152" s="243"/>
      <c r="AI1152" s="243"/>
      <c r="AJ1152" s="243"/>
      <c r="AK1152" s="243"/>
      <c r="AL1152" s="243"/>
      <c r="AM1152" s="243"/>
      <c r="AN1152" s="243"/>
      <c r="AO1152" s="243"/>
      <c r="AP1152" s="243"/>
      <c r="AQ1152" s="243"/>
      <c r="AR1152" s="243"/>
      <c r="AS1152" s="243"/>
      <c r="AT1152" s="243"/>
      <c r="AU1152" s="243"/>
      <c r="AV1152" s="243"/>
      <c r="AW1152" s="243"/>
      <c r="AX1152" s="243"/>
      <c r="AY1152" s="243"/>
      <c r="AZ1152" s="243"/>
      <c r="BA1152" s="243"/>
      <c r="BB1152" s="243"/>
      <c r="BC1152" s="243"/>
      <c r="BD1152" s="243"/>
      <c r="BE1152" s="243"/>
      <c r="BF1152" s="243"/>
      <c r="BG1152" s="243"/>
      <c r="BH1152" s="243"/>
      <c r="BI1152" s="243"/>
      <c r="BJ1152" s="243"/>
      <c r="BK1152" s="243"/>
      <c r="BL1152" s="243"/>
      <c r="BM1152" s="243"/>
      <c r="BN1152" s="243"/>
      <c r="BO1152" s="243"/>
      <c r="BP1152" s="243"/>
      <c r="BQ1152" s="243"/>
      <c r="BR1152" s="243"/>
      <c r="BS1152" s="243"/>
    </row>
    <row r="1153" spans="1:71" s="12" customFormat="1" ht="41.25" customHeight="1">
      <c r="A1153" s="178" t="s">
        <v>96</v>
      </c>
      <c r="B1153" s="75" t="str">
        <f ca="1">+UPPER(Tabla1321124[[#This Row],[DESCRIPCIÓN DE LA COMPRA O CONTRATACIÓN]])</f>
        <v>BREAKERS DE TRES POLOS, INDUSTRIAL, 600 VOLTIOS 150 AMPERES</v>
      </c>
      <c r="C1153" s="39" t="s">
        <v>17</v>
      </c>
      <c r="D1153" s="352">
        <f>10+3</f>
        <v>13</v>
      </c>
      <c r="E1153" s="352">
        <f>10+2</f>
        <v>12</v>
      </c>
      <c r="F1153" s="352">
        <f>10+3</f>
        <v>13</v>
      </c>
      <c r="G1153" s="352">
        <f>10+2</f>
        <v>12</v>
      </c>
      <c r="H1153" s="240">
        <f>SUM(Tabla1321124[[#This Row],[PRIMER TRIMESTRE]:[CUARTO TRIMESTRE]])</f>
        <v>50</v>
      </c>
      <c r="I1153" s="17">
        <v>4957</v>
      </c>
      <c r="J1153" s="17">
        <f t="shared" si="21"/>
        <v>247850</v>
      </c>
      <c r="K1153" s="17"/>
      <c r="L1153" s="16" t="s">
        <v>18</v>
      </c>
      <c r="M1153" s="16" t="s">
        <v>22</v>
      </c>
      <c r="N1153" s="16"/>
      <c r="O1153" s="243"/>
      <c r="P1153" s="243"/>
      <c r="Q1153" s="243"/>
      <c r="R1153" s="243"/>
      <c r="S1153" s="243"/>
      <c r="T1153" s="243"/>
      <c r="U1153" s="243"/>
      <c r="V1153" s="243"/>
      <c r="W1153" s="243"/>
      <c r="X1153" s="243"/>
      <c r="Y1153" s="243"/>
      <c r="Z1153" s="243"/>
      <c r="AA1153" s="243"/>
      <c r="AB1153" s="243"/>
      <c r="AC1153" s="243"/>
      <c r="AD1153" s="243"/>
      <c r="AE1153" s="243"/>
      <c r="AF1153" s="243"/>
      <c r="AG1153" s="243"/>
      <c r="AH1153" s="243"/>
      <c r="AI1153" s="243"/>
      <c r="AJ1153" s="243"/>
      <c r="AK1153" s="243"/>
      <c r="AL1153" s="243"/>
      <c r="AM1153" s="243"/>
      <c r="AN1153" s="243"/>
      <c r="AO1153" s="243"/>
      <c r="AP1153" s="243"/>
      <c r="AQ1153" s="243"/>
      <c r="AR1153" s="243"/>
      <c r="AS1153" s="243"/>
      <c r="AT1153" s="243"/>
      <c r="AU1153" s="243"/>
      <c r="AV1153" s="243"/>
      <c r="AW1153" s="243"/>
      <c r="AX1153" s="243"/>
      <c r="AY1153" s="243"/>
      <c r="AZ1153" s="243"/>
      <c r="BA1153" s="243"/>
      <c r="BB1153" s="243"/>
      <c r="BC1153" s="243"/>
      <c r="BD1153" s="243"/>
      <c r="BE1153" s="243"/>
      <c r="BF1153" s="243"/>
      <c r="BG1153" s="243"/>
      <c r="BH1153" s="243"/>
      <c r="BI1153" s="243"/>
      <c r="BJ1153" s="243"/>
      <c r="BK1153" s="243"/>
      <c r="BL1153" s="243"/>
      <c r="BM1153" s="243"/>
      <c r="BN1153" s="243"/>
      <c r="BO1153" s="243"/>
      <c r="BP1153" s="243"/>
      <c r="BQ1153" s="243"/>
      <c r="BR1153" s="243"/>
      <c r="BS1153" s="243"/>
    </row>
    <row r="1154" spans="1:71" s="12" customFormat="1" ht="41.25" customHeight="1">
      <c r="A1154" s="178" t="s">
        <v>96</v>
      </c>
      <c r="B1154" s="75" t="str">
        <f ca="1">+UPPER(Tabla1321124[[#This Row],[DESCRIPCIÓN DE LA COMPRA O CONTRATACIÓN]])</f>
        <v>BREAKERS DE TRES POLOS, INDUSTRIAL, 600 VOLTIOS 200 AMPERES</v>
      </c>
      <c r="C1154" s="39" t="s">
        <v>17</v>
      </c>
      <c r="D1154" s="352">
        <f>10+1</f>
        <v>11</v>
      </c>
      <c r="E1154" s="352">
        <v>10</v>
      </c>
      <c r="F1154" s="352">
        <f>10+1</f>
        <v>11</v>
      </c>
      <c r="G1154" s="352">
        <v>10</v>
      </c>
      <c r="H1154" s="240">
        <f>SUM(Tabla1321124[[#This Row],[PRIMER TRIMESTRE]:[CUARTO TRIMESTRE]])</f>
        <v>42</v>
      </c>
      <c r="I1154" s="17">
        <v>5394</v>
      </c>
      <c r="J1154" s="17">
        <f t="shared" si="21"/>
        <v>226548</v>
      </c>
      <c r="K1154" s="17"/>
      <c r="L1154" s="16" t="s">
        <v>18</v>
      </c>
      <c r="M1154" s="16" t="s">
        <v>22</v>
      </c>
      <c r="N1154" s="16"/>
      <c r="O1154" s="243"/>
      <c r="P1154" s="243"/>
      <c r="Q1154" s="243"/>
      <c r="R1154" s="243"/>
      <c r="S1154" s="243"/>
      <c r="T1154" s="243"/>
      <c r="U1154" s="243"/>
      <c r="V1154" s="243"/>
      <c r="W1154" s="243"/>
      <c r="X1154" s="243"/>
      <c r="Y1154" s="243"/>
      <c r="Z1154" s="243"/>
      <c r="AA1154" s="243"/>
      <c r="AB1154" s="243"/>
      <c r="AC1154" s="243"/>
      <c r="AD1154" s="243"/>
      <c r="AE1154" s="243"/>
      <c r="AF1154" s="243"/>
      <c r="AG1154" s="243"/>
      <c r="AH1154" s="243"/>
      <c r="AI1154" s="243"/>
      <c r="AJ1154" s="243"/>
      <c r="AK1154" s="243"/>
      <c r="AL1154" s="243"/>
      <c r="AM1154" s="243"/>
      <c r="AN1154" s="243"/>
      <c r="AO1154" s="243"/>
      <c r="AP1154" s="243"/>
      <c r="AQ1154" s="243"/>
      <c r="AR1154" s="243"/>
      <c r="AS1154" s="243"/>
      <c r="AT1154" s="243"/>
      <c r="AU1154" s="243"/>
      <c r="AV1154" s="243"/>
      <c r="AW1154" s="243"/>
      <c r="AX1154" s="243"/>
      <c r="AY1154" s="243"/>
      <c r="AZ1154" s="243"/>
      <c r="BA1154" s="243"/>
      <c r="BB1154" s="243"/>
      <c r="BC1154" s="243"/>
      <c r="BD1154" s="243"/>
      <c r="BE1154" s="243"/>
      <c r="BF1154" s="243"/>
      <c r="BG1154" s="243"/>
      <c r="BH1154" s="243"/>
      <c r="BI1154" s="243"/>
      <c r="BJ1154" s="243"/>
      <c r="BK1154" s="243"/>
      <c r="BL1154" s="243"/>
      <c r="BM1154" s="243"/>
      <c r="BN1154" s="243"/>
      <c r="BO1154" s="243"/>
      <c r="BP1154" s="243"/>
      <c r="BQ1154" s="243"/>
      <c r="BR1154" s="243"/>
      <c r="BS1154" s="243"/>
    </row>
    <row r="1155" spans="1:71" s="12" customFormat="1" ht="41.25" customHeight="1">
      <c r="A1155" s="178" t="s">
        <v>96</v>
      </c>
      <c r="B1155" s="75" t="str">
        <f ca="1">+UPPER(Tabla1321124[[#This Row],[DESCRIPCIÓN DE LA COMPRA O CONTRATACIÓN]])</f>
        <v>MAIN BREAKERS 600 AMPERES 460 VOLTIO Ø3</v>
      </c>
      <c r="C1155" s="39" t="s">
        <v>17</v>
      </c>
      <c r="D1155" s="352">
        <v>10</v>
      </c>
      <c r="E1155" s="352">
        <v>10</v>
      </c>
      <c r="F1155" s="352">
        <v>10</v>
      </c>
      <c r="G1155" s="352">
        <v>10</v>
      </c>
      <c r="H1155" s="240">
        <f>SUM(Tabla1321124[[#This Row],[PRIMER TRIMESTRE]:[CUARTO TRIMESTRE]])</f>
        <v>40</v>
      </c>
      <c r="I1155" s="17">
        <v>58148.4</v>
      </c>
      <c r="J1155" s="17">
        <f t="shared" si="21"/>
        <v>2325936</v>
      </c>
      <c r="K1155" s="17"/>
      <c r="L1155" s="16" t="s">
        <v>18</v>
      </c>
      <c r="M1155" s="16" t="s">
        <v>22</v>
      </c>
      <c r="N1155" s="16"/>
      <c r="O1155" s="243"/>
      <c r="P1155" s="243"/>
      <c r="Q1155" s="243"/>
      <c r="R1155" s="243"/>
      <c r="S1155" s="243"/>
      <c r="T1155" s="243"/>
      <c r="U1155" s="243"/>
      <c r="V1155" s="243"/>
      <c r="W1155" s="243"/>
      <c r="X1155" s="243"/>
      <c r="Y1155" s="243"/>
      <c r="Z1155" s="243"/>
      <c r="AA1155" s="243"/>
      <c r="AB1155" s="243"/>
      <c r="AC1155" s="243"/>
      <c r="AD1155" s="243"/>
      <c r="AE1155" s="243"/>
      <c r="AF1155" s="243"/>
      <c r="AG1155" s="243"/>
      <c r="AH1155" s="243"/>
      <c r="AI1155" s="243"/>
      <c r="AJ1155" s="243"/>
      <c r="AK1155" s="243"/>
      <c r="AL1155" s="243"/>
      <c r="AM1155" s="243"/>
      <c r="AN1155" s="243"/>
      <c r="AO1155" s="243"/>
      <c r="AP1155" s="243"/>
      <c r="AQ1155" s="243"/>
      <c r="AR1155" s="243"/>
      <c r="AS1155" s="243"/>
      <c r="AT1155" s="243"/>
      <c r="AU1155" s="243"/>
      <c r="AV1155" s="243"/>
      <c r="AW1155" s="243"/>
      <c r="AX1155" s="243"/>
      <c r="AY1155" s="243"/>
      <c r="AZ1155" s="243"/>
      <c r="BA1155" s="243"/>
      <c r="BB1155" s="243"/>
      <c r="BC1155" s="243"/>
      <c r="BD1155" s="243"/>
      <c r="BE1155" s="243"/>
      <c r="BF1155" s="243"/>
      <c r="BG1155" s="243"/>
      <c r="BH1155" s="243"/>
      <c r="BI1155" s="243"/>
      <c r="BJ1155" s="243"/>
      <c r="BK1155" s="243"/>
      <c r="BL1155" s="243"/>
      <c r="BM1155" s="243"/>
      <c r="BN1155" s="243"/>
      <c r="BO1155" s="243"/>
      <c r="BP1155" s="243"/>
      <c r="BQ1155" s="243"/>
      <c r="BR1155" s="243"/>
      <c r="BS1155" s="243"/>
    </row>
    <row r="1156" spans="1:71" s="12" customFormat="1" ht="41.25" customHeight="1">
      <c r="A1156" s="178" t="s">
        <v>96</v>
      </c>
      <c r="B1156" s="77" t="str">
        <f ca="1">+UPPER(Tabla1321124[[#This Row],[DESCRIPCIÓN DE LA COMPRA O CONTRATACIÓN]])</f>
        <v>BREAKERS DE 150 AMP 600V Ø3</v>
      </c>
      <c r="C1156" s="39" t="s">
        <v>17</v>
      </c>
      <c r="D1156" s="365">
        <v>1</v>
      </c>
      <c r="E1156" s="365"/>
      <c r="F1156" s="365">
        <v>1</v>
      </c>
      <c r="G1156" s="365"/>
      <c r="H1156" s="240">
        <f>SUM(Tabla1321124[[#This Row],[PRIMER TRIMESTRE]:[CUARTO TRIMESTRE]])</f>
        <v>2</v>
      </c>
      <c r="I1156" s="17">
        <v>3100</v>
      </c>
      <c r="J1156" s="17">
        <f t="shared" si="21"/>
        <v>6200</v>
      </c>
      <c r="K1156" s="175"/>
      <c r="L1156" s="16" t="s">
        <v>18</v>
      </c>
      <c r="M1156" s="16" t="s">
        <v>22</v>
      </c>
      <c r="N1156" s="16"/>
      <c r="O1156" s="243"/>
      <c r="P1156" s="243"/>
      <c r="Q1156" s="243"/>
      <c r="R1156" s="243"/>
      <c r="S1156" s="243"/>
      <c r="T1156" s="243"/>
      <c r="U1156" s="243"/>
      <c r="V1156" s="243"/>
      <c r="W1156" s="243"/>
      <c r="X1156" s="243"/>
      <c r="Y1156" s="243"/>
      <c r="Z1156" s="243"/>
      <c r="AA1156" s="243"/>
      <c r="AB1156" s="243"/>
      <c r="AC1156" s="243"/>
      <c r="AD1156" s="243"/>
      <c r="AE1156" s="243"/>
      <c r="AF1156" s="243"/>
      <c r="AG1156" s="243"/>
      <c r="AH1156" s="243"/>
      <c r="AI1156" s="243"/>
      <c r="AJ1156" s="243"/>
      <c r="AK1156" s="243"/>
      <c r="AL1156" s="243"/>
      <c r="AM1156" s="243"/>
      <c r="AN1156" s="243"/>
      <c r="AO1156" s="243"/>
      <c r="AP1156" s="243"/>
      <c r="AQ1156" s="243"/>
      <c r="AR1156" s="243"/>
      <c r="AS1156" s="243"/>
      <c r="AT1156" s="243"/>
      <c r="AU1156" s="243"/>
      <c r="AV1156" s="243"/>
      <c r="AW1156" s="243"/>
      <c r="AX1156" s="243"/>
      <c r="AY1156" s="243"/>
      <c r="AZ1156" s="243"/>
      <c r="BA1156" s="243"/>
      <c r="BB1156" s="243"/>
      <c r="BC1156" s="243"/>
      <c r="BD1156" s="243"/>
      <c r="BE1156" s="243"/>
      <c r="BF1156" s="243"/>
      <c r="BG1156" s="243"/>
      <c r="BH1156" s="243"/>
      <c r="BI1156" s="243"/>
      <c r="BJ1156" s="243"/>
      <c r="BK1156" s="243"/>
      <c r="BL1156" s="243"/>
      <c r="BM1156" s="243"/>
      <c r="BN1156" s="243"/>
      <c r="BO1156" s="243"/>
      <c r="BP1156" s="243"/>
      <c r="BQ1156" s="243"/>
      <c r="BR1156" s="243"/>
      <c r="BS1156" s="243"/>
    </row>
    <row r="1157" spans="1:71" s="12" customFormat="1" ht="41.25" customHeight="1">
      <c r="A1157" s="178" t="s">
        <v>96</v>
      </c>
      <c r="B1157" s="75" t="str">
        <f ca="1">+UPPER(Tabla1321124[[#This Row],[DESCRIPCIÓN DE LA COMPRA O CONTRATACIÓN]])</f>
        <v>BREAKERS DE 175 AMP 600V Ø3</v>
      </c>
      <c r="C1157" s="39" t="s">
        <v>17</v>
      </c>
      <c r="D1157" s="352">
        <f>10+1</f>
        <v>11</v>
      </c>
      <c r="E1157" s="352">
        <v>10</v>
      </c>
      <c r="F1157" s="352">
        <f>10+1</f>
        <v>11</v>
      </c>
      <c r="G1157" s="352">
        <v>10</v>
      </c>
      <c r="H1157" s="240">
        <f>SUM(Tabla1321124[[#This Row],[PRIMER TRIMESTRE]:[CUARTO TRIMESTRE]])</f>
        <v>42</v>
      </c>
      <c r="I1157" s="17">
        <v>3703</v>
      </c>
      <c r="J1157" s="17">
        <f t="shared" si="21"/>
        <v>155526</v>
      </c>
      <c r="K1157" s="17"/>
      <c r="L1157" s="16" t="s">
        <v>18</v>
      </c>
      <c r="M1157" s="16" t="s">
        <v>22</v>
      </c>
      <c r="N1157" s="16"/>
      <c r="O1157" s="243"/>
      <c r="P1157" s="243"/>
      <c r="Q1157" s="243"/>
      <c r="R1157" s="243"/>
      <c r="S1157" s="243"/>
      <c r="T1157" s="243"/>
      <c r="U1157" s="243"/>
      <c r="V1157" s="243"/>
      <c r="W1157" s="243"/>
      <c r="X1157" s="243"/>
      <c r="Y1157" s="243"/>
      <c r="Z1157" s="243"/>
      <c r="AA1157" s="243"/>
      <c r="AB1157" s="243"/>
      <c r="AC1157" s="243"/>
      <c r="AD1157" s="243"/>
      <c r="AE1157" s="243"/>
      <c r="AF1157" s="243"/>
      <c r="AG1157" s="243"/>
      <c r="AH1157" s="243"/>
      <c r="AI1157" s="243"/>
      <c r="AJ1157" s="243"/>
      <c r="AK1157" s="243"/>
      <c r="AL1157" s="243"/>
      <c r="AM1157" s="243"/>
      <c r="AN1157" s="243"/>
      <c r="AO1157" s="243"/>
      <c r="AP1157" s="243"/>
      <c r="AQ1157" s="243"/>
      <c r="AR1157" s="243"/>
      <c r="AS1157" s="243"/>
      <c r="AT1157" s="243"/>
      <c r="AU1157" s="243"/>
      <c r="AV1157" s="243"/>
      <c r="AW1157" s="243"/>
      <c r="AX1157" s="243"/>
      <c r="AY1157" s="243"/>
      <c r="AZ1157" s="243"/>
      <c r="BA1157" s="243"/>
      <c r="BB1157" s="243"/>
      <c r="BC1157" s="243"/>
      <c r="BD1157" s="243"/>
      <c r="BE1157" s="243"/>
      <c r="BF1157" s="243"/>
      <c r="BG1157" s="243"/>
      <c r="BH1157" s="243"/>
      <c r="BI1157" s="243"/>
      <c r="BJ1157" s="243"/>
      <c r="BK1157" s="243"/>
      <c r="BL1157" s="243"/>
      <c r="BM1157" s="243"/>
      <c r="BN1157" s="243"/>
      <c r="BO1157" s="243"/>
      <c r="BP1157" s="243"/>
      <c r="BQ1157" s="243"/>
      <c r="BR1157" s="243"/>
      <c r="BS1157" s="243"/>
    </row>
    <row r="1158" spans="1:71" s="12" customFormat="1" ht="41.25" customHeight="1">
      <c r="A1158" s="178" t="s">
        <v>96</v>
      </c>
      <c r="B1158" s="75" t="str">
        <f ca="1">+UPPER(Tabla1321124[[#This Row],[DESCRIPCIÓN DE LA COMPRA O CONTRATACIÓN]])</f>
        <v>BREAKERS 225 AMP, Ø3 60K</v>
      </c>
      <c r="C1158" s="39" t="s">
        <v>17</v>
      </c>
      <c r="D1158" s="352">
        <f>10+4</f>
        <v>14</v>
      </c>
      <c r="E1158" s="352">
        <f>10+3</f>
        <v>13</v>
      </c>
      <c r="F1158" s="352">
        <f>10+4</f>
        <v>14</v>
      </c>
      <c r="G1158" s="352">
        <f>10+3</f>
        <v>13</v>
      </c>
      <c r="H1158" s="240">
        <f>SUM(Tabla1321124[[#This Row],[PRIMER TRIMESTRE]:[CUARTO TRIMESTRE]])</f>
        <v>54</v>
      </c>
      <c r="I1158" s="17">
        <v>3703.83</v>
      </c>
      <c r="J1158" s="17">
        <f t="shared" si="21"/>
        <v>200006.82</v>
      </c>
      <c r="K1158" s="17"/>
      <c r="L1158" s="16" t="s">
        <v>18</v>
      </c>
      <c r="M1158" s="16" t="s">
        <v>22</v>
      </c>
      <c r="N1158" s="16"/>
      <c r="O1158" s="243"/>
      <c r="P1158" s="243"/>
      <c r="Q1158" s="243"/>
      <c r="R1158" s="243"/>
      <c r="S1158" s="243"/>
      <c r="T1158" s="243"/>
      <c r="U1158" s="243"/>
      <c r="V1158" s="243"/>
      <c r="W1158" s="243"/>
      <c r="X1158" s="243"/>
      <c r="Y1158" s="243"/>
      <c r="Z1158" s="243"/>
      <c r="AA1158" s="243"/>
      <c r="AB1158" s="243"/>
      <c r="AC1158" s="243"/>
      <c r="AD1158" s="243"/>
      <c r="AE1158" s="243"/>
      <c r="AF1158" s="243"/>
      <c r="AG1158" s="243"/>
      <c r="AH1158" s="243"/>
      <c r="AI1158" s="243"/>
      <c r="AJ1158" s="243"/>
      <c r="AK1158" s="243"/>
      <c r="AL1158" s="243"/>
      <c r="AM1158" s="243"/>
      <c r="AN1158" s="243"/>
      <c r="AO1158" s="243"/>
      <c r="AP1158" s="243"/>
      <c r="AQ1158" s="243"/>
      <c r="AR1158" s="243"/>
      <c r="AS1158" s="243"/>
      <c r="AT1158" s="243"/>
      <c r="AU1158" s="243"/>
      <c r="AV1158" s="243"/>
      <c r="AW1158" s="243"/>
      <c r="AX1158" s="243"/>
      <c r="AY1158" s="243"/>
      <c r="AZ1158" s="243"/>
      <c r="BA1158" s="243"/>
      <c r="BB1158" s="243"/>
      <c r="BC1158" s="243"/>
      <c r="BD1158" s="243"/>
      <c r="BE1158" s="243"/>
      <c r="BF1158" s="243"/>
      <c r="BG1158" s="243"/>
      <c r="BH1158" s="243"/>
      <c r="BI1158" s="243"/>
      <c r="BJ1158" s="243"/>
      <c r="BK1158" s="243"/>
      <c r="BL1158" s="243"/>
      <c r="BM1158" s="243"/>
      <c r="BN1158" s="243"/>
      <c r="BO1158" s="243"/>
      <c r="BP1158" s="243"/>
      <c r="BQ1158" s="243"/>
      <c r="BR1158" s="243"/>
      <c r="BS1158" s="243"/>
    </row>
    <row r="1159" spans="1:71" s="12" customFormat="1" ht="41.25" customHeight="1">
      <c r="A1159" s="178" t="s">
        <v>96</v>
      </c>
      <c r="B1159" s="77" t="str">
        <f ca="1">+UPPER(Tabla1321124[[#This Row],[DESCRIPCIÓN DE LA COMPRA O CONTRATACIÓN]])</f>
        <v>BREAKERS 300 AMP, Ø3 690 VAC CON CONECTOR TIPO SILLA</v>
      </c>
      <c r="C1159" s="39" t="s">
        <v>17</v>
      </c>
      <c r="D1159" s="365">
        <v>1</v>
      </c>
      <c r="E1159" s="365"/>
      <c r="F1159" s="365"/>
      <c r="G1159" s="365"/>
      <c r="H1159" s="240">
        <f>SUM(Tabla1321124[[#This Row],[PRIMER TRIMESTRE]:[CUARTO TRIMESTRE]])</f>
        <v>1</v>
      </c>
      <c r="I1159" s="17">
        <v>3588</v>
      </c>
      <c r="J1159" s="17">
        <f t="shared" ref="J1159:J1222" si="22">+H1159*I1159</f>
        <v>3588</v>
      </c>
      <c r="K1159" s="175"/>
      <c r="L1159" s="16" t="s">
        <v>18</v>
      </c>
      <c r="M1159" s="16" t="s">
        <v>22</v>
      </c>
      <c r="N1159" s="16"/>
      <c r="O1159" s="243"/>
      <c r="P1159" s="243"/>
      <c r="Q1159" s="243"/>
      <c r="R1159" s="243"/>
      <c r="S1159" s="243"/>
      <c r="T1159" s="243"/>
      <c r="U1159" s="243"/>
      <c r="V1159" s="243"/>
      <c r="W1159" s="243"/>
      <c r="X1159" s="243"/>
      <c r="Y1159" s="243"/>
      <c r="Z1159" s="243"/>
      <c r="AA1159" s="243"/>
      <c r="AB1159" s="243"/>
      <c r="AC1159" s="243"/>
      <c r="AD1159" s="243"/>
      <c r="AE1159" s="243"/>
      <c r="AF1159" s="243"/>
      <c r="AG1159" s="243"/>
      <c r="AH1159" s="243"/>
      <c r="AI1159" s="243"/>
      <c r="AJ1159" s="243"/>
      <c r="AK1159" s="243"/>
      <c r="AL1159" s="243"/>
      <c r="AM1159" s="243"/>
      <c r="AN1159" s="243"/>
      <c r="AO1159" s="243"/>
      <c r="AP1159" s="243"/>
      <c r="AQ1159" s="243"/>
      <c r="AR1159" s="243"/>
      <c r="AS1159" s="243"/>
      <c r="AT1159" s="243"/>
      <c r="AU1159" s="243"/>
      <c r="AV1159" s="243"/>
      <c r="AW1159" s="243"/>
      <c r="AX1159" s="243"/>
      <c r="AY1159" s="243"/>
      <c r="AZ1159" s="243"/>
      <c r="BA1159" s="243"/>
      <c r="BB1159" s="243"/>
      <c r="BC1159" s="243"/>
      <c r="BD1159" s="243"/>
      <c r="BE1159" s="243"/>
      <c r="BF1159" s="243"/>
      <c r="BG1159" s="243"/>
      <c r="BH1159" s="243"/>
      <c r="BI1159" s="243"/>
      <c r="BJ1159" s="243"/>
      <c r="BK1159" s="243"/>
      <c r="BL1159" s="243"/>
      <c r="BM1159" s="243"/>
      <c r="BN1159" s="243"/>
      <c r="BO1159" s="243"/>
      <c r="BP1159" s="243"/>
      <c r="BQ1159" s="243"/>
      <c r="BR1159" s="243"/>
      <c r="BS1159" s="243"/>
    </row>
    <row r="1160" spans="1:71" s="12" customFormat="1" ht="41.25" customHeight="1">
      <c r="A1160" s="178" t="s">
        <v>96</v>
      </c>
      <c r="B1160" s="75" t="str">
        <f ca="1">+UPPER(Tabla1321124[[#This Row],[DESCRIPCIÓN DE LA COMPRA O CONTRATACIÓN]])</f>
        <v>BREAKERS 400 AMP, Ø3 690 VAC CON CONECTOR TIPO SILLA</v>
      </c>
      <c r="C1160" s="39" t="s">
        <v>17</v>
      </c>
      <c r="D1160" s="352">
        <v>10</v>
      </c>
      <c r="E1160" s="352">
        <v>10</v>
      </c>
      <c r="F1160" s="352">
        <v>10</v>
      </c>
      <c r="G1160" s="352">
        <v>10</v>
      </c>
      <c r="H1160" s="240">
        <f>SUM(Tabla1321124[[#This Row],[PRIMER TRIMESTRE]:[CUARTO TRIMESTRE]])</f>
        <v>40</v>
      </c>
      <c r="I1160" s="17">
        <v>4018</v>
      </c>
      <c r="J1160" s="17">
        <f t="shared" si="22"/>
        <v>160720</v>
      </c>
      <c r="K1160" s="17"/>
      <c r="L1160" s="16" t="s">
        <v>18</v>
      </c>
      <c r="M1160" s="16" t="s">
        <v>22</v>
      </c>
      <c r="N1160" s="16"/>
      <c r="O1160" s="243"/>
      <c r="P1160" s="243"/>
      <c r="Q1160" s="243"/>
      <c r="R1160" s="243"/>
      <c r="S1160" s="243"/>
      <c r="T1160" s="243"/>
      <c r="U1160" s="243"/>
      <c r="V1160" s="243"/>
      <c r="W1160" s="243"/>
      <c r="X1160" s="243"/>
      <c r="Y1160" s="243"/>
      <c r="Z1160" s="243"/>
      <c r="AA1160" s="243"/>
      <c r="AB1160" s="243"/>
      <c r="AC1160" s="243"/>
      <c r="AD1160" s="243"/>
      <c r="AE1160" s="243"/>
      <c r="AF1160" s="243"/>
      <c r="AG1160" s="243"/>
      <c r="AH1160" s="243"/>
      <c r="AI1160" s="243"/>
      <c r="AJ1160" s="243"/>
      <c r="AK1160" s="243"/>
      <c r="AL1160" s="243"/>
      <c r="AM1160" s="243"/>
      <c r="AN1160" s="243"/>
      <c r="AO1160" s="243"/>
      <c r="AP1160" s="243"/>
      <c r="AQ1160" s="243"/>
      <c r="AR1160" s="243"/>
      <c r="AS1160" s="243"/>
      <c r="AT1160" s="243"/>
      <c r="AU1160" s="243"/>
      <c r="AV1160" s="243"/>
      <c r="AW1160" s="243"/>
      <c r="AX1160" s="243"/>
      <c r="AY1160" s="243"/>
      <c r="AZ1160" s="243"/>
      <c r="BA1160" s="243"/>
      <c r="BB1160" s="243"/>
      <c r="BC1160" s="243"/>
      <c r="BD1160" s="243"/>
      <c r="BE1160" s="243"/>
      <c r="BF1160" s="243"/>
      <c r="BG1160" s="243"/>
      <c r="BH1160" s="243"/>
      <c r="BI1160" s="243"/>
      <c r="BJ1160" s="243"/>
      <c r="BK1160" s="243"/>
      <c r="BL1160" s="243"/>
      <c r="BM1160" s="243"/>
      <c r="BN1160" s="243"/>
      <c r="BO1160" s="243"/>
      <c r="BP1160" s="243"/>
      <c r="BQ1160" s="243"/>
      <c r="BR1160" s="243"/>
      <c r="BS1160" s="243"/>
    </row>
    <row r="1161" spans="1:71" s="12" customFormat="1" ht="41.25" customHeight="1">
      <c r="A1161" s="178" t="s">
        <v>96</v>
      </c>
      <c r="B1161" s="75" t="str">
        <f ca="1">+UPPER(Tabla1321124[[#This Row],[DESCRIPCIÓN DE LA COMPRA O CONTRATACIÓN]])</f>
        <v>BREAKER INDUSTRIAL DE 2500 AMP, Ø3, 600 V, 60HZ</v>
      </c>
      <c r="C1161" s="39" t="s">
        <v>17</v>
      </c>
      <c r="D1161" s="352">
        <v>10</v>
      </c>
      <c r="E1161" s="352">
        <v>10</v>
      </c>
      <c r="F1161" s="352">
        <v>10</v>
      </c>
      <c r="G1161" s="352">
        <v>10</v>
      </c>
      <c r="H1161" s="240">
        <f>SUM(Tabla1321124[[#This Row],[PRIMER TRIMESTRE]:[CUARTO TRIMESTRE]])</f>
        <v>40</v>
      </c>
      <c r="I1161" s="17">
        <v>4000</v>
      </c>
      <c r="J1161" s="17">
        <f t="shared" si="22"/>
        <v>160000</v>
      </c>
      <c r="K1161" s="17"/>
      <c r="L1161" s="16" t="s">
        <v>18</v>
      </c>
      <c r="M1161" s="16" t="s">
        <v>22</v>
      </c>
      <c r="N1161" s="16"/>
      <c r="O1161" s="243"/>
      <c r="P1161" s="243"/>
      <c r="Q1161" s="243"/>
      <c r="R1161" s="243"/>
      <c r="S1161" s="243"/>
      <c r="T1161" s="243"/>
      <c r="U1161" s="243"/>
      <c r="V1161" s="243"/>
      <c r="W1161" s="243"/>
      <c r="X1161" s="243"/>
      <c r="Y1161" s="243"/>
      <c r="Z1161" s="243"/>
      <c r="AA1161" s="243"/>
      <c r="AB1161" s="243"/>
      <c r="AC1161" s="243"/>
      <c r="AD1161" s="243"/>
      <c r="AE1161" s="243"/>
      <c r="AF1161" s="243"/>
      <c r="AG1161" s="243"/>
      <c r="AH1161" s="243"/>
      <c r="AI1161" s="243"/>
      <c r="AJ1161" s="243"/>
      <c r="AK1161" s="243"/>
      <c r="AL1161" s="243"/>
      <c r="AM1161" s="243"/>
      <c r="AN1161" s="243"/>
      <c r="AO1161" s="243"/>
      <c r="AP1161" s="243"/>
      <c r="AQ1161" s="243"/>
      <c r="AR1161" s="243"/>
      <c r="AS1161" s="243"/>
      <c r="AT1161" s="243"/>
      <c r="AU1161" s="243"/>
      <c r="AV1161" s="243"/>
      <c r="AW1161" s="243"/>
      <c r="AX1161" s="243"/>
      <c r="AY1161" s="243"/>
      <c r="AZ1161" s="243"/>
      <c r="BA1161" s="243"/>
      <c r="BB1161" s="243"/>
      <c r="BC1161" s="243"/>
      <c r="BD1161" s="243"/>
      <c r="BE1161" s="243"/>
      <c r="BF1161" s="243"/>
      <c r="BG1161" s="243"/>
      <c r="BH1161" s="243"/>
      <c r="BI1161" s="243"/>
      <c r="BJ1161" s="243"/>
      <c r="BK1161" s="243"/>
      <c r="BL1161" s="243"/>
      <c r="BM1161" s="243"/>
      <c r="BN1161" s="243"/>
      <c r="BO1161" s="243"/>
      <c r="BP1161" s="243"/>
      <c r="BQ1161" s="243"/>
      <c r="BR1161" s="243"/>
      <c r="BS1161" s="243"/>
    </row>
    <row r="1162" spans="1:71" s="12" customFormat="1" ht="41.25" customHeight="1">
      <c r="A1162" s="178" t="s">
        <v>96</v>
      </c>
      <c r="B1162" s="77" t="str">
        <f ca="1">+UPPER(Tabla1321124[[#This Row],[DESCRIPCIÓN DE LA COMPRA O CONTRATACIÓN]])</f>
        <v>BREAKERS INDUSTRIAL 200AMP, Ø3 600 V, 60HZ</v>
      </c>
      <c r="C1162" s="39" t="s">
        <v>17</v>
      </c>
      <c r="D1162" s="365">
        <v>1</v>
      </c>
      <c r="E1162" s="365"/>
      <c r="F1162" s="365">
        <v>1</v>
      </c>
      <c r="G1162" s="365"/>
      <c r="H1162" s="240">
        <f>SUM(Tabla1321124[[#This Row],[PRIMER TRIMESTRE]:[CUARTO TRIMESTRE]])</f>
        <v>2</v>
      </c>
      <c r="I1162" s="17">
        <v>12870</v>
      </c>
      <c r="J1162" s="17">
        <f t="shared" si="22"/>
        <v>25740</v>
      </c>
      <c r="K1162" s="175"/>
      <c r="L1162" s="16" t="s">
        <v>18</v>
      </c>
      <c r="M1162" s="16" t="s">
        <v>22</v>
      </c>
      <c r="N1162" s="16"/>
      <c r="O1162" s="243"/>
      <c r="P1162" s="243"/>
      <c r="Q1162" s="243"/>
      <c r="R1162" s="243"/>
      <c r="S1162" s="243"/>
      <c r="T1162" s="243"/>
      <c r="U1162" s="243"/>
      <c r="V1162" s="243"/>
      <c r="W1162" s="243"/>
      <c r="X1162" s="243"/>
      <c r="Y1162" s="243"/>
      <c r="Z1162" s="243"/>
      <c r="AA1162" s="243"/>
      <c r="AB1162" s="243"/>
      <c r="AC1162" s="243"/>
      <c r="AD1162" s="243"/>
      <c r="AE1162" s="243"/>
      <c r="AF1162" s="243"/>
      <c r="AG1162" s="243"/>
      <c r="AH1162" s="243"/>
      <c r="AI1162" s="243"/>
      <c r="AJ1162" s="243"/>
      <c r="AK1162" s="243"/>
      <c r="AL1162" s="243"/>
      <c r="AM1162" s="243"/>
      <c r="AN1162" s="243"/>
      <c r="AO1162" s="243"/>
      <c r="AP1162" s="243"/>
      <c r="AQ1162" s="243"/>
      <c r="AR1162" s="243"/>
      <c r="AS1162" s="243"/>
      <c r="AT1162" s="243"/>
      <c r="AU1162" s="243"/>
      <c r="AV1162" s="243"/>
      <c r="AW1162" s="243"/>
      <c r="AX1162" s="243"/>
      <c r="AY1162" s="243"/>
      <c r="AZ1162" s="243"/>
      <c r="BA1162" s="243"/>
      <c r="BB1162" s="243"/>
      <c r="BC1162" s="243"/>
      <c r="BD1162" s="243"/>
      <c r="BE1162" s="243"/>
      <c r="BF1162" s="243"/>
      <c r="BG1162" s="243"/>
      <c r="BH1162" s="243"/>
      <c r="BI1162" s="243"/>
      <c r="BJ1162" s="243"/>
      <c r="BK1162" s="243"/>
      <c r="BL1162" s="243"/>
      <c r="BM1162" s="243"/>
      <c r="BN1162" s="243"/>
      <c r="BO1162" s="243"/>
      <c r="BP1162" s="243"/>
      <c r="BQ1162" s="243"/>
      <c r="BR1162" s="243"/>
      <c r="BS1162" s="243"/>
    </row>
    <row r="1163" spans="1:71" s="12" customFormat="1" ht="41.25" customHeight="1">
      <c r="A1163" s="178" t="s">
        <v>96</v>
      </c>
      <c r="B1163" s="75" t="str">
        <f ca="1">+UPPER(Tabla1321124[[#This Row],[DESCRIPCIÓN DE LA COMPRA O CONTRATACIÓN]])</f>
        <v>BREAKERS INDUSTRIAL 250AMP, Ø3 600 V, 60HZ</v>
      </c>
      <c r="C1163" s="39" t="s">
        <v>17</v>
      </c>
      <c r="D1163" s="352">
        <v>10</v>
      </c>
      <c r="E1163" s="352">
        <v>10</v>
      </c>
      <c r="F1163" s="352">
        <v>10</v>
      </c>
      <c r="G1163" s="352">
        <v>10</v>
      </c>
      <c r="H1163" s="240">
        <f>SUM(Tabla1321124[[#This Row],[PRIMER TRIMESTRE]:[CUARTO TRIMESTRE]])</f>
        <v>40</v>
      </c>
      <c r="I1163" s="17">
        <v>4500</v>
      </c>
      <c r="J1163" s="17">
        <f t="shared" si="22"/>
        <v>180000</v>
      </c>
      <c r="K1163" s="17"/>
      <c r="L1163" s="16" t="s">
        <v>18</v>
      </c>
      <c r="M1163" s="16" t="s">
        <v>22</v>
      </c>
      <c r="N1163" s="16"/>
      <c r="O1163" s="243"/>
      <c r="P1163" s="243"/>
      <c r="Q1163" s="243"/>
      <c r="R1163" s="243"/>
      <c r="S1163" s="243"/>
      <c r="T1163" s="243"/>
      <c r="U1163" s="243"/>
      <c r="V1163" s="243"/>
      <c r="W1163" s="243"/>
      <c r="X1163" s="243"/>
      <c r="Y1163" s="243"/>
      <c r="Z1163" s="243"/>
      <c r="AA1163" s="243"/>
      <c r="AB1163" s="243"/>
      <c r="AC1163" s="243"/>
      <c r="AD1163" s="243"/>
      <c r="AE1163" s="243"/>
      <c r="AF1163" s="243"/>
      <c r="AG1163" s="243"/>
      <c r="AH1163" s="243"/>
      <c r="AI1163" s="243"/>
      <c r="AJ1163" s="243"/>
      <c r="AK1163" s="243"/>
      <c r="AL1163" s="243"/>
      <c r="AM1163" s="243"/>
      <c r="AN1163" s="243"/>
      <c r="AO1163" s="243"/>
      <c r="AP1163" s="243"/>
      <c r="AQ1163" s="243"/>
      <c r="AR1163" s="243"/>
      <c r="AS1163" s="243"/>
      <c r="AT1163" s="243"/>
      <c r="AU1163" s="243"/>
      <c r="AV1163" s="243"/>
      <c r="AW1163" s="243"/>
      <c r="AX1163" s="243"/>
      <c r="AY1163" s="243"/>
      <c r="AZ1163" s="243"/>
      <c r="BA1163" s="243"/>
      <c r="BB1163" s="243"/>
      <c r="BC1163" s="243"/>
      <c r="BD1163" s="243"/>
      <c r="BE1163" s="243"/>
      <c r="BF1163" s="243"/>
      <c r="BG1163" s="243"/>
      <c r="BH1163" s="243"/>
      <c r="BI1163" s="243"/>
      <c r="BJ1163" s="243"/>
      <c r="BK1163" s="243"/>
      <c r="BL1163" s="243"/>
      <c r="BM1163" s="243"/>
      <c r="BN1163" s="243"/>
      <c r="BO1163" s="243"/>
      <c r="BP1163" s="243"/>
      <c r="BQ1163" s="243"/>
      <c r="BR1163" s="243"/>
      <c r="BS1163" s="243"/>
    </row>
    <row r="1164" spans="1:71" s="12" customFormat="1" ht="41.25" customHeight="1">
      <c r="A1164" s="178" t="s">
        <v>96</v>
      </c>
      <c r="B1164" s="75" t="str">
        <f ca="1">+UPPER(Tabla1321124[[#This Row],[DESCRIPCIÓN DE LA COMPRA O CONTRATACIÓN]])</f>
        <v>BREAKERS 80 AMP Ø3 60 V</v>
      </c>
      <c r="C1164" s="39" t="s">
        <v>17</v>
      </c>
      <c r="D1164" s="352">
        <v>10</v>
      </c>
      <c r="E1164" s="352">
        <v>10</v>
      </c>
      <c r="F1164" s="352">
        <v>10</v>
      </c>
      <c r="G1164" s="352">
        <v>10</v>
      </c>
      <c r="H1164" s="240">
        <f>SUM(Tabla1321124[[#This Row],[PRIMER TRIMESTRE]:[CUARTO TRIMESTRE]])</f>
        <v>40</v>
      </c>
      <c r="I1164" s="17">
        <v>2185</v>
      </c>
      <c r="J1164" s="17">
        <f t="shared" si="22"/>
        <v>87400</v>
      </c>
      <c r="K1164" s="17"/>
      <c r="L1164" s="16" t="s">
        <v>18</v>
      </c>
      <c r="M1164" s="16" t="s">
        <v>22</v>
      </c>
      <c r="N1164" s="16"/>
      <c r="O1164" s="243"/>
      <c r="P1164" s="243"/>
      <c r="Q1164" s="243"/>
      <c r="R1164" s="243"/>
      <c r="S1164" s="243"/>
      <c r="T1164" s="243"/>
      <c r="U1164" s="243"/>
      <c r="V1164" s="243"/>
      <c r="W1164" s="243"/>
      <c r="X1164" s="243"/>
      <c r="Y1164" s="243"/>
      <c r="Z1164" s="243"/>
      <c r="AA1164" s="243"/>
      <c r="AB1164" s="243"/>
      <c r="AC1164" s="243"/>
      <c r="AD1164" s="243"/>
      <c r="AE1164" s="243"/>
      <c r="AF1164" s="243"/>
      <c r="AG1164" s="243"/>
      <c r="AH1164" s="243"/>
      <c r="AI1164" s="243"/>
      <c r="AJ1164" s="243"/>
      <c r="AK1164" s="243"/>
      <c r="AL1164" s="243"/>
      <c r="AM1164" s="243"/>
      <c r="AN1164" s="243"/>
      <c r="AO1164" s="243"/>
      <c r="AP1164" s="243"/>
      <c r="AQ1164" s="243"/>
      <c r="AR1164" s="243"/>
      <c r="AS1164" s="243"/>
      <c r="AT1164" s="243"/>
      <c r="AU1164" s="243"/>
      <c r="AV1164" s="243"/>
      <c r="AW1164" s="243"/>
      <c r="AX1164" s="243"/>
      <c r="AY1164" s="243"/>
      <c r="AZ1164" s="243"/>
      <c r="BA1164" s="243"/>
      <c r="BB1164" s="243"/>
      <c r="BC1164" s="243"/>
      <c r="BD1164" s="243"/>
      <c r="BE1164" s="243"/>
      <c r="BF1164" s="243"/>
      <c r="BG1164" s="243"/>
      <c r="BH1164" s="243"/>
      <c r="BI1164" s="243"/>
      <c r="BJ1164" s="243"/>
      <c r="BK1164" s="243"/>
      <c r="BL1164" s="243"/>
      <c r="BM1164" s="243"/>
      <c r="BN1164" s="243"/>
      <c r="BO1164" s="243"/>
      <c r="BP1164" s="243"/>
      <c r="BQ1164" s="243"/>
      <c r="BR1164" s="243"/>
      <c r="BS1164" s="243"/>
    </row>
    <row r="1165" spans="1:71" s="12" customFormat="1" ht="41.25" customHeight="1">
      <c r="A1165" s="178" t="s">
        <v>96</v>
      </c>
      <c r="B1165" s="75" t="str">
        <f ca="1">+UPPER(Tabla1321124[[#This Row],[DESCRIPCIÓN DE LA COMPRA O CONTRATACIÓN]])</f>
        <v xml:space="preserve">BREAKERS 80 AMP, Ø30600V </v>
      </c>
      <c r="C1165" s="39" t="s">
        <v>17</v>
      </c>
      <c r="D1165" s="352">
        <f>10+1</f>
        <v>11</v>
      </c>
      <c r="E1165" s="352">
        <v>10</v>
      </c>
      <c r="F1165" s="352">
        <f>10+1</f>
        <v>11</v>
      </c>
      <c r="G1165" s="352">
        <v>10</v>
      </c>
      <c r="H1165" s="240">
        <f>SUM(Tabla1321124[[#This Row],[PRIMER TRIMESTRE]:[CUARTO TRIMESTRE]])</f>
        <v>42</v>
      </c>
      <c r="I1165" s="17">
        <v>2185</v>
      </c>
      <c r="J1165" s="17">
        <f t="shared" si="22"/>
        <v>91770</v>
      </c>
      <c r="K1165" s="17"/>
      <c r="L1165" s="16" t="s">
        <v>18</v>
      </c>
      <c r="M1165" s="16" t="s">
        <v>22</v>
      </c>
      <c r="N1165" s="16"/>
      <c r="O1165" s="243"/>
      <c r="P1165" s="243"/>
      <c r="Q1165" s="243"/>
      <c r="R1165" s="243"/>
      <c r="S1165" s="243"/>
      <c r="T1165" s="243"/>
      <c r="U1165" s="243"/>
      <c r="V1165" s="243"/>
      <c r="W1165" s="243"/>
      <c r="X1165" s="243"/>
      <c r="Y1165" s="243"/>
      <c r="Z1165" s="243"/>
      <c r="AA1165" s="243"/>
      <c r="AB1165" s="243"/>
      <c r="AC1165" s="243"/>
      <c r="AD1165" s="243"/>
      <c r="AE1165" s="243"/>
      <c r="AF1165" s="243"/>
      <c r="AG1165" s="243"/>
      <c r="AH1165" s="243"/>
      <c r="AI1165" s="243"/>
      <c r="AJ1165" s="243"/>
      <c r="AK1165" s="243"/>
      <c r="AL1165" s="243"/>
      <c r="AM1165" s="243"/>
      <c r="AN1165" s="243"/>
      <c r="AO1165" s="243"/>
      <c r="AP1165" s="243"/>
      <c r="AQ1165" s="243"/>
      <c r="AR1165" s="243"/>
      <c r="AS1165" s="243"/>
      <c r="AT1165" s="243"/>
      <c r="AU1165" s="243"/>
      <c r="AV1165" s="243"/>
      <c r="AW1165" s="243"/>
      <c r="AX1165" s="243"/>
      <c r="AY1165" s="243"/>
      <c r="AZ1165" s="243"/>
      <c r="BA1165" s="243"/>
      <c r="BB1165" s="243"/>
      <c r="BC1165" s="243"/>
      <c r="BD1165" s="243"/>
      <c r="BE1165" s="243"/>
      <c r="BF1165" s="243"/>
      <c r="BG1165" s="243"/>
      <c r="BH1165" s="243"/>
      <c r="BI1165" s="243"/>
      <c r="BJ1165" s="243"/>
      <c r="BK1165" s="243"/>
      <c r="BL1165" s="243"/>
      <c r="BM1165" s="243"/>
      <c r="BN1165" s="243"/>
      <c r="BO1165" s="243"/>
      <c r="BP1165" s="243"/>
      <c r="BQ1165" s="243"/>
      <c r="BR1165" s="243"/>
      <c r="BS1165" s="243"/>
    </row>
    <row r="1166" spans="1:71" s="12" customFormat="1" ht="41.25" customHeight="1">
      <c r="A1166" s="178" t="s">
        <v>96</v>
      </c>
      <c r="B1166" s="75" t="str">
        <f ca="1">+UPPER(Tabla1321124[[#This Row],[DESCRIPCIÓN DE LA COMPRA O CONTRATACIÓN]])</f>
        <v>BREAKERS DE TRES POLOS, INDUSTRIAL, 600 VOLTIOS 225 AMPERES</v>
      </c>
      <c r="C1166" s="39" t="s">
        <v>17</v>
      </c>
      <c r="D1166" s="352">
        <f>10+3</f>
        <v>13</v>
      </c>
      <c r="E1166" s="352">
        <f>10+3</f>
        <v>13</v>
      </c>
      <c r="F1166" s="352">
        <f>10+3</f>
        <v>13</v>
      </c>
      <c r="G1166" s="352">
        <f>10+3</f>
        <v>13</v>
      </c>
      <c r="H1166" s="240">
        <f>SUM(Tabla1321124[[#This Row],[PRIMER TRIMESTRE]:[CUARTO TRIMESTRE]])</f>
        <v>52</v>
      </c>
      <c r="I1166" s="17">
        <v>5772</v>
      </c>
      <c r="J1166" s="17">
        <f t="shared" si="22"/>
        <v>300144</v>
      </c>
      <c r="K1166" s="17"/>
      <c r="L1166" s="16" t="s">
        <v>18</v>
      </c>
      <c r="M1166" s="16" t="s">
        <v>22</v>
      </c>
      <c r="N1166" s="16"/>
      <c r="O1166" s="243"/>
      <c r="P1166" s="243"/>
      <c r="Q1166" s="243"/>
      <c r="R1166" s="243"/>
      <c r="S1166" s="243"/>
      <c r="T1166" s="243"/>
      <c r="U1166" s="243"/>
      <c r="V1166" s="243"/>
      <c r="W1166" s="243"/>
      <c r="X1166" s="243"/>
      <c r="Y1166" s="243"/>
      <c r="Z1166" s="243"/>
      <c r="AA1166" s="243"/>
      <c r="AB1166" s="243"/>
      <c r="AC1166" s="243"/>
      <c r="AD1166" s="243"/>
      <c r="AE1166" s="243"/>
      <c r="AF1166" s="243"/>
      <c r="AG1166" s="243"/>
      <c r="AH1166" s="243"/>
      <c r="AI1166" s="243"/>
      <c r="AJ1166" s="243"/>
      <c r="AK1166" s="243"/>
      <c r="AL1166" s="243"/>
      <c r="AM1166" s="243"/>
      <c r="AN1166" s="243"/>
      <c r="AO1166" s="243"/>
      <c r="AP1166" s="243"/>
      <c r="AQ1166" s="243"/>
      <c r="AR1166" s="243"/>
      <c r="AS1166" s="243"/>
      <c r="AT1166" s="243"/>
      <c r="AU1166" s="243"/>
      <c r="AV1166" s="243"/>
      <c r="AW1166" s="243"/>
      <c r="AX1166" s="243"/>
      <c r="AY1166" s="243"/>
      <c r="AZ1166" s="243"/>
      <c r="BA1166" s="243"/>
      <c r="BB1166" s="243"/>
      <c r="BC1166" s="243"/>
      <c r="BD1166" s="243"/>
      <c r="BE1166" s="243"/>
      <c r="BF1166" s="243"/>
      <c r="BG1166" s="243"/>
      <c r="BH1166" s="243"/>
      <c r="BI1166" s="243"/>
      <c r="BJ1166" s="243"/>
      <c r="BK1166" s="243"/>
      <c r="BL1166" s="243"/>
      <c r="BM1166" s="243"/>
      <c r="BN1166" s="243"/>
      <c r="BO1166" s="243"/>
      <c r="BP1166" s="243"/>
      <c r="BQ1166" s="243"/>
      <c r="BR1166" s="243"/>
      <c r="BS1166" s="243"/>
    </row>
    <row r="1167" spans="1:71" s="12" customFormat="1" ht="41.25" customHeight="1">
      <c r="A1167" s="178" t="s">
        <v>96</v>
      </c>
      <c r="B1167" s="75" t="str">
        <f ca="1">+UPPER(Tabla1321124[[#This Row],[DESCRIPCIÓN DE LA COMPRA O CONTRATACIÓN]])</f>
        <v>BREAKERS DE TRES POLOS, INDUSTRIAL, 600 VOLTIOS 250 AMPERES</v>
      </c>
      <c r="C1167" s="39" t="s">
        <v>17</v>
      </c>
      <c r="D1167" s="352">
        <v>10</v>
      </c>
      <c r="E1167" s="352">
        <v>10</v>
      </c>
      <c r="F1167" s="352">
        <v>10</v>
      </c>
      <c r="G1167" s="352">
        <v>10</v>
      </c>
      <c r="H1167" s="240">
        <f>SUM(Tabla1321124[[#This Row],[PRIMER TRIMESTRE]:[CUARTO TRIMESTRE]])</f>
        <v>40</v>
      </c>
      <c r="I1167" s="17">
        <v>6168.42</v>
      </c>
      <c r="J1167" s="17">
        <f t="shared" si="22"/>
        <v>246736.8</v>
      </c>
      <c r="K1167" s="17"/>
      <c r="L1167" s="16" t="s">
        <v>18</v>
      </c>
      <c r="M1167" s="16" t="s">
        <v>22</v>
      </c>
      <c r="N1167" s="16"/>
      <c r="O1167" s="243"/>
      <c r="P1167" s="243"/>
      <c r="Q1167" s="243"/>
      <c r="R1167" s="243"/>
      <c r="S1167" s="243"/>
      <c r="T1167" s="243"/>
      <c r="U1167" s="243"/>
      <c r="V1167" s="243"/>
      <c r="W1167" s="243"/>
      <c r="X1167" s="243"/>
      <c r="Y1167" s="243"/>
      <c r="Z1167" s="243"/>
      <c r="AA1167" s="243"/>
      <c r="AB1167" s="243"/>
      <c r="AC1167" s="243"/>
      <c r="AD1167" s="243"/>
      <c r="AE1167" s="243"/>
      <c r="AF1167" s="243"/>
      <c r="AG1167" s="243"/>
      <c r="AH1167" s="243"/>
      <c r="AI1167" s="243"/>
      <c r="AJ1167" s="243"/>
      <c r="AK1167" s="243"/>
      <c r="AL1167" s="243"/>
      <c r="AM1167" s="243"/>
      <c r="AN1167" s="243"/>
      <c r="AO1167" s="243"/>
      <c r="AP1167" s="243"/>
      <c r="AQ1167" s="243"/>
      <c r="AR1167" s="243"/>
      <c r="AS1167" s="243"/>
      <c r="AT1167" s="243"/>
      <c r="AU1167" s="243"/>
      <c r="AV1167" s="243"/>
      <c r="AW1167" s="243"/>
      <c r="AX1167" s="243"/>
      <c r="AY1167" s="243"/>
      <c r="AZ1167" s="243"/>
      <c r="BA1167" s="243"/>
      <c r="BB1167" s="243"/>
      <c r="BC1167" s="243"/>
      <c r="BD1167" s="243"/>
      <c r="BE1167" s="243"/>
      <c r="BF1167" s="243"/>
      <c r="BG1167" s="243"/>
      <c r="BH1167" s="243"/>
      <c r="BI1167" s="243"/>
      <c r="BJ1167" s="243"/>
      <c r="BK1167" s="243"/>
      <c r="BL1167" s="243"/>
      <c r="BM1167" s="243"/>
      <c r="BN1167" s="243"/>
      <c r="BO1167" s="243"/>
      <c r="BP1167" s="243"/>
      <c r="BQ1167" s="243"/>
      <c r="BR1167" s="243"/>
      <c r="BS1167" s="243"/>
    </row>
    <row r="1168" spans="1:71" s="12" customFormat="1" ht="41.25" customHeight="1">
      <c r="A1168" s="178" t="s">
        <v>96</v>
      </c>
      <c r="B1168" s="75" t="str">
        <f ca="1">+UPPER(Tabla1321124[[#This Row],[DESCRIPCIÓN DE LA COMPRA O CONTRATACIÓN]])</f>
        <v>BREAKERS DE TRES POLOS, INDUSTRIAL, 600 VOLTIOS 300 AMPERES</v>
      </c>
      <c r="C1168" s="39" t="s">
        <v>17</v>
      </c>
      <c r="D1168" s="352">
        <v>10</v>
      </c>
      <c r="E1168" s="352">
        <v>10</v>
      </c>
      <c r="F1168" s="352">
        <v>10</v>
      </c>
      <c r="G1168" s="352">
        <v>10</v>
      </c>
      <c r="H1168" s="240">
        <f>SUM(Tabla1321124[[#This Row],[PRIMER TRIMESTRE]:[CUARTO TRIMESTRE]])</f>
        <v>40</v>
      </c>
      <c r="I1168" s="17">
        <v>14000</v>
      </c>
      <c r="J1168" s="17">
        <f t="shared" si="22"/>
        <v>560000</v>
      </c>
      <c r="K1168" s="17"/>
      <c r="L1168" s="16" t="s">
        <v>18</v>
      </c>
      <c r="M1168" s="16" t="s">
        <v>22</v>
      </c>
      <c r="N1168" s="16"/>
      <c r="O1168" s="243"/>
      <c r="P1168" s="243"/>
      <c r="Q1168" s="243"/>
      <c r="R1168" s="243"/>
      <c r="S1168" s="243"/>
      <c r="T1168" s="243"/>
      <c r="U1168" s="243"/>
      <c r="V1168" s="243"/>
      <c r="W1168" s="243"/>
      <c r="X1168" s="243"/>
      <c r="Y1168" s="243"/>
      <c r="Z1168" s="243"/>
      <c r="AA1168" s="243"/>
      <c r="AB1168" s="243"/>
      <c r="AC1168" s="243"/>
      <c r="AD1168" s="243"/>
      <c r="AE1168" s="243"/>
      <c r="AF1168" s="243"/>
      <c r="AG1168" s="243"/>
      <c r="AH1168" s="243"/>
      <c r="AI1168" s="243"/>
      <c r="AJ1168" s="243"/>
      <c r="AK1168" s="243"/>
      <c r="AL1168" s="243"/>
      <c r="AM1168" s="243"/>
      <c r="AN1168" s="243"/>
      <c r="AO1168" s="243"/>
      <c r="AP1168" s="243"/>
      <c r="AQ1168" s="243"/>
      <c r="AR1168" s="243"/>
      <c r="AS1168" s="243"/>
      <c r="AT1168" s="243"/>
      <c r="AU1168" s="243"/>
      <c r="AV1168" s="243"/>
      <c r="AW1168" s="243"/>
      <c r="AX1168" s="243"/>
      <c r="AY1168" s="243"/>
      <c r="AZ1168" s="243"/>
      <c r="BA1168" s="243"/>
      <c r="BB1168" s="243"/>
      <c r="BC1168" s="243"/>
      <c r="BD1168" s="243"/>
      <c r="BE1168" s="243"/>
      <c r="BF1168" s="243"/>
      <c r="BG1168" s="243"/>
      <c r="BH1168" s="243"/>
      <c r="BI1168" s="243"/>
      <c r="BJ1168" s="243"/>
      <c r="BK1168" s="243"/>
      <c r="BL1168" s="243"/>
      <c r="BM1168" s="243"/>
      <c r="BN1168" s="243"/>
      <c r="BO1168" s="243"/>
      <c r="BP1168" s="243"/>
      <c r="BQ1168" s="243"/>
      <c r="BR1168" s="243"/>
      <c r="BS1168" s="243"/>
    </row>
    <row r="1169" spans="1:71" s="12" customFormat="1" ht="41.25" customHeight="1">
      <c r="A1169" s="178" t="s">
        <v>96</v>
      </c>
      <c r="B1169" s="75" t="str">
        <f ca="1">+UPPER(Tabla1321124[[#This Row],[DESCRIPCIÓN DE LA COMPRA O CONTRATACIÓN]])</f>
        <v>BREAKERS DE TRES POLOS, INDUSTRIAL, 600 VOLTIOS 400 AMPERES</v>
      </c>
      <c r="C1169" s="39" t="s">
        <v>17</v>
      </c>
      <c r="D1169" s="352">
        <v>10</v>
      </c>
      <c r="E1169" s="352">
        <v>10</v>
      </c>
      <c r="F1169" s="352">
        <v>10</v>
      </c>
      <c r="G1169" s="352">
        <v>10</v>
      </c>
      <c r="H1169" s="240">
        <f>SUM(Tabla1321124[[#This Row],[PRIMER TRIMESTRE]:[CUARTO TRIMESTRE]])</f>
        <v>40</v>
      </c>
      <c r="I1169" s="17">
        <v>15000</v>
      </c>
      <c r="J1169" s="17">
        <f t="shared" si="22"/>
        <v>600000</v>
      </c>
      <c r="K1169" s="17"/>
      <c r="L1169" s="16" t="s">
        <v>18</v>
      </c>
      <c r="M1169" s="16" t="s">
        <v>22</v>
      </c>
      <c r="N1169" s="16"/>
      <c r="O1169" s="243"/>
      <c r="P1169" s="243"/>
      <c r="Q1169" s="243"/>
      <c r="R1169" s="243"/>
      <c r="S1169" s="243"/>
      <c r="T1169" s="243"/>
      <c r="U1169" s="243"/>
      <c r="V1169" s="243"/>
      <c r="W1169" s="243"/>
      <c r="X1169" s="243"/>
      <c r="Y1169" s="243"/>
      <c r="Z1169" s="243"/>
      <c r="AA1169" s="243"/>
      <c r="AB1169" s="243"/>
      <c r="AC1169" s="243"/>
      <c r="AD1169" s="243"/>
      <c r="AE1169" s="243"/>
      <c r="AF1169" s="243"/>
      <c r="AG1169" s="243"/>
      <c r="AH1169" s="243"/>
      <c r="AI1169" s="243"/>
      <c r="AJ1169" s="243"/>
      <c r="AK1169" s="243"/>
      <c r="AL1169" s="243"/>
      <c r="AM1169" s="243"/>
      <c r="AN1169" s="243"/>
      <c r="AO1169" s="243"/>
      <c r="AP1169" s="243"/>
      <c r="AQ1169" s="243"/>
      <c r="AR1169" s="243"/>
      <c r="AS1169" s="243"/>
      <c r="AT1169" s="243"/>
      <c r="AU1169" s="243"/>
      <c r="AV1169" s="243"/>
      <c r="AW1169" s="243"/>
      <c r="AX1169" s="243"/>
      <c r="AY1169" s="243"/>
      <c r="AZ1169" s="243"/>
      <c r="BA1169" s="243"/>
      <c r="BB1169" s="243"/>
      <c r="BC1169" s="243"/>
      <c r="BD1169" s="243"/>
      <c r="BE1169" s="243"/>
      <c r="BF1169" s="243"/>
      <c r="BG1169" s="243"/>
      <c r="BH1169" s="243"/>
      <c r="BI1169" s="243"/>
      <c r="BJ1169" s="243"/>
      <c r="BK1169" s="243"/>
      <c r="BL1169" s="243"/>
      <c r="BM1169" s="243"/>
      <c r="BN1169" s="243"/>
      <c r="BO1169" s="243"/>
      <c r="BP1169" s="243"/>
      <c r="BQ1169" s="243"/>
      <c r="BR1169" s="243"/>
      <c r="BS1169" s="243"/>
    </row>
    <row r="1170" spans="1:71" s="12" customFormat="1" ht="41.25" customHeight="1">
      <c r="A1170" s="178" t="s">
        <v>96</v>
      </c>
      <c r="B1170" s="75" t="str">
        <f ca="1">+UPPER(Tabla1321124[[#This Row],[DESCRIPCIÓN DE LA COMPRA O CONTRATACIÓN]])</f>
        <v>BREAKERS DE TRES POLOS, INDUSTRIAL, 600 VOLTIOS 450 AMPERES</v>
      </c>
      <c r="C1170" s="39" t="s">
        <v>17</v>
      </c>
      <c r="D1170" s="352">
        <v>10</v>
      </c>
      <c r="E1170" s="352">
        <v>10</v>
      </c>
      <c r="F1170" s="352">
        <v>10</v>
      </c>
      <c r="G1170" s="352">
        <v>10</v>
      </c>
      <c r="H1170" s="240">
        <f>SUM(Tabla1321124[[#This Row],[PRIMER TRIMESTRE]:[CUARTO TRIMESTRE]])</f>
        <v>40</v>
      </c>
      <c r="I1170" s="17">
        <v>16500</v>
      </c>
      <c r="J1170" s="17">
        <f t="shared" si="22"/>
        <v>660000</v>
      </c>
      <c r="K1170" s="17"/>
      <c r="L1170" s="16" t="s">
        <v>18</v>
      </c>
      <c r="M1170" s="16" t="s">
        <v>22</v>
      </c>
      <c r="N1170" s="16"/>
      <c r="O1170" s="243"/>
      <c r="P1170" s="243"/>
      <c r="Q1170" s="243"/>
      <c r="R1170" s="243"/>
      <c r="S1170" s="243"/>
      <c r="T1170" s="243"/>
      <c r="U1170" s="243"/>
      <c r="V1170" s="243"/>
      <c r="W1170" s="243"/>
      <c r="X1170" s="243"/>
      <c r="Y1170" s="243"/>
      <c r="Z1170" s="243"/>
      <c r="AA1170" s="243"/>
      <c r="AB1170" s="243"/>
      <c r="AC1170" s="243"/>
      <c r="AD1170" s="243"/>
      <c r="AE1170" s="243"/>
      <c r="AF1170" s="243"/>
      <c r="AG1170" s="243"/>
      <c r="AH1170" s="243"/>
      <c r="AI1170" s="243"/>
      <c r="AJ1170" s="243"/>
      <c r="AK1170" s="243"/>
      <c r="AL1170" s="243"/>
      <c r="AM1170" s="243"/>
      <c r="AN1170" s="243"/>
      <c r="AO1170" s="243"/>
      <c r="AP1170" s="243"/>
      <c r="AQ1170" s="243"/>
      <c r="AR1170" s="243"/>
      <c r="AS1170" s="243"/>
      <c r="AT1170" s="243"/>
      <c r="AU1170" s="243"/>
      <c r="AV1170" s="243"/>
      <c r="AW1170" s="243"/>
      <c r="AX1170" s="243"/>
      <c r="AY1170" s="243"/>
      <c r="AZ1170" s="243"/>
      <c r="BA1170" s="243"/>
      <c r="BB1170" s="243"/>
      <c r="BC1170" s="243"/>
      <c r="BD1170" s="243"/>
      <c r="BE1170" s="243"/>
      <c r="BF1170" s="243"/>
      <c r="BG1170" s="243"/>
      <c r="BH1170" s="243"/>
      <c r="BI1170" s="243"/>
      <c r="BJ1170" s="243"/>
      <c r="BK1170" s="243"/>
      <c r="BL1170" s="243"/>
      <c r="BM1170" s="243"/>
      <c r="BN1170" s="243"/>
      <c r="BO1170" s="243"/>
      <c r="BP1170" s="243"/>
      <c r="BQ1170" s="243"/>
      <c r="BR1170" s="243"/>
      <c r="BS1170" s="243"/>
    </row>
    <row r="1171" spans="1:71" s="12" customFormat="1" ht="41.25" customHeight="1">
      <c r="A1171" s="178" t="s">
        <v>96</v>
      </c>
      <c r="B1171" s="75" t="str">
        <f ca="1">+UPPER(Tabla1321124[[#This Row],[DESCRIPCIÓN DE LA COMPRA O CONTRATACIÓN]])</f>
        <v>CONTACTORES MAGNÉTICOS, 220 VOLTIOS, 300 AMP</v>
      </c>
      <c r="C1171" s="39" t="s">
        <v>17</v>
      </c>
      <c r="D1171" s="352">
        <v>22</v>
      </c>
      <c r="E1171" s="352">
        <v>10</v>
      </c>
      <c r="F1171" s="352">
        <v>20</v>
      </c>
      <c r="G1171" s="352">
        <v>10</v>
      </c>
      <c r="H1171" s="240">
        <f>SUM(Tabla1321124[[#This Row],[PRIMER TRIMESTRE]:[CUARTO TRIMESTRE]])</f>
        <v>62</v>
      </c>
      <c r="I1171" s="17">
        <v>20600</v>
      </c>
      <c r="J1171" s="17">
        <f t="shared" si="22"/>
        <v>1277200</v>
      </c>
      <c r="K1171" s="17"/>
      <c r="L1171" s="16" t="s">
        <v>18</v>
      </c>
      <c r="M1171" s="16" t="s">
        <v>22</v>
      </c>
      <c r="N1171" s="16"/>
      <c r="O1171" s="243"/>
      <c r="P1171" s="243"/>
      <c r="Q1171" s="243"/>
      <c r="R1171" s="243"/>
      <c r="S1171" s="243"/>
      <c r="T1171" s="243"/>
      <c r="U1171" s="243"/>
      <c r="V1171" s="243"/>
      <c r="W1171" s="243"/>
      <c r="X1171" s="243"/>
      <c r="Y1171" s="243"/>
      <c r="Z1171" s="243"/>
      <c r="AA1171" s="243"/>
      <c r="AB1171" s="243"/>
      <c r="AC1171" s="243"/>
      <c r="AD1171" s="243"/>
      <c r="AE1171" s="243"/>
      <c r="AF1171" s="243"/>
      <c r="AG1171" s="243"/>
      <c r="AH1171" s="243"/>
      <c r="AI1171" s="243"/>
      <c r="AJ1171" s="243"/>
      <c r="AK1171" s="243"/>
      <c r="AL1171" s="243"/>
      <c r="AM1171" s="243"/>
      <c r="AN1171" s="243"/>
      <c r="AO1171" s="243"/>
      <c r="AP1171" s="243"/>
      <c r="AQ1171" s="243"/>
      <c r="AR1171" s="243"/>
      <c r="AS1171" s="243"/>
      <c r="AT1171" s="243"/>
      <c r="AU1171" s="243"/>
      <c r="AV1171" s="243"/>
      <c r="AW1171" s="243"/>
      <c r="AX1171" s="243"/>
      <c r="AY1171" s="243"/>
      <c r="AZ1171" s="243"/>
      <c r="BA1171" s="243"/>
      <c r="BB1171" s="243"/>
      <c r="BC1171" s="243"/>
      <c r="BD1171" s="243"/>
      <c r="BE1171" s="243"/>
      <c r="BF1171" s="243"/>
      <c r="BG1171" s="243"/>
      <c r="BH1171" s="243"/>
      <c r="BI1171" s="243"/>
      <c r="BJ1171" s="243"/>
      <c r="BK1171" s="243"/>
      <c r="BL1171" s="243"/>
      <c r="BM1171" s="243"/>
      <c r="BN1171" s="243"/>
      <c r="BO1171" s="243"/>
      <c r="BP1171" s="243"/>
      <c r="BQ1171" s="243"/>
      <c r="BR1171" s="243"/>
      <c r="BS1171" s="243"/>
    </row>
    <row r="1172" spans="1:71" s="12" customFormat="1" ht="41.25" customHeight="1">
      <c r="A1172" s="178" t="s">
        <v>96</v>
      </c>
      <c r="B1172" s="75" t="str">
        <f ca="1">+UPPER(Tabla1321124[[#This Row],[DESCRIPCIÓN DE LA COMPRA O CONTRATACIÓN]])</f>
        <v>CONTACTORES MAGNÉTICOS, CON BOBINA A 220 VOLTIOS, VOLTAJE DE POTENCIA 480 VOL. (BAJO LA NORMA NEMA) 15 HP</v>
      </c>
      <c r="C1172" s="39" t="s">
        <v>17</v>
      </c>
      <c r="D1172" s="352">
        <f>20+3</f>
        <v>23</v>
      </c>
      <c r="E1172" s="352">
        <v>10</v>
      </c>
      <c r="F1172" s="352">
        <f>20+2</f>
        <v>22</v>
      </c>
      <c r="G1172" s="352">
        <v>10</v>
      </c>
      <c r="H1172" s="240">
        <f>SUM(Tabla1321124[[#This Row],[PRIMER TRIMESTRE]:[CUARTO TRIMESTRE]])</f>
        <v>65</v>
      </c>
      <c r="I1172" s="17">
        <v>4270</v>
      </c>
      <c r="J1172" s="17">
        <f t="shared" si="22"/>
        <v>277550</v>
      </c>
      <c r="K1172" s="17"/>
      <c r="L1172" s="16" t="s">
        <v>18</v>
      </c>
      <c r="M1172" s="16" t="s">
        <v>22</v>
      </c>
      <c r="N1172" s="16"/>
      <c r="O1172" s="243"/>
      <c r="P1172" s="243"/>
      <c r="Q1172" s="243"/>
      <c r="R1172" s="243"/>
      <c r="S1172" s="243"/>
      <c r="T1172" s="243"/>
      <c r="U1172" s="243"/>
      <c r="V1172" s="243"/>
      <c r="W1172" s="243"/>
      <c r="X1172" s="243"/>
      <c r="Y1172" s="243"/>
      <c r="Z1172" s="243"/>
      <c r="AA1172" s="243"/>
      <c r="AB1172" s="243"/>
      <c r="AC1172" s="243"/>
      <c r="AD1172" s="243"/>
      <c r="AE1172" s="243"/>
      <c r="AF1172" s="243"/>
      <c r="AG1172" s="243"/>
      <c r="AH1172" s="243"/>
      <c r="AI1172" s="243"/>
      <c r="AJ1172" s="243"/>
      <c r="AK1172" s="243"/>
      <c r="AL1172" s="243"/>
      <c r="AM1172" s="243"/>
      <c r="AN1172" s="243"/>
      <c r="AO1172" s="243"/>
      <c r="AP1172" s="243"/>
      <c r="AQ1172" s="243"/>
      <c r="AR1172" s="243"/>
      <c r="AS1172" s="243"/>
      <c r="AT1172" s="243"/>
      <c r="AU1172" s="243"/>
      <c r="AV1172" s="243"/>
      <c r="AW1172" s="243"/>
      <c r="AX1172" s="243"/>
      <c r="AY1172" s="243"/>
      <c r="AZ1172" s="243"/>
      <c r="BA1172" s="243"/>
      <c r="BB1172" s="243"/>
      <c r="BC1172" s="243"/>
      <c r="BD1172" s="243"/>
      <c r="BE1172" s="243"/>
      <c r="BF1172" s="243"/>
      <c r="BG1172" s="243"/>
      <c r="BH1172" s="243"/>
      <c r="BI1172" s="243"/>
      <c r="BJ1172" s="243"/>
      <c r="BK1172" s="243"/>
      <c r="BL1172" s="243"/>
      <c r="BM1172" s="243"/>
      <c r="BN1172" s="243"/>
      <c r="BO1172" s="243"/>
      <c r="BP1172" s="243"/>
      <c r="BQ1172" s="243"/>
      <c r="BR1172" s="243"/>
      <c r="BS1172" s="243"/>
    </row>
    <row r="1173" spans="1:71" s="12" customFormat="1" ht="41.25" customHeight="1">
      <c r="A1173" s="178" t="s">
        <v>96</v>
      </c>
      <c r="B1173" s="75" t="str">
        <f ca="1">+UPPER(Tabla1321124[[#This Row],[DESCRIPCIÓN DE LA COMPRA O CONTRATACIÓN]])</f>
        <v>CONTACTORES MAGNÉTICOS, CON BOBINA A 220 VOLTIOS, VOLTAJE DE POTENCIA 480 VOL. (BAJO LA NORMA NEMA) 20 HP</v>
      </c>
      <c r="C1173" s="39" t="s">
        <v>17</v>
      </c>
      <c r="D1173" s="352">
        <f>20+2</f>
        <v>22</v>
      </c>
      <c r="E1173" s="352">
        <v>10</v>
      </c>
      <c r="F1173" s="352">
        <f>20+2</f>
        <v>22</v>
      </c>
      <c r="G1173" s="352">
        <v>10</v>
      </c>
      <c r="H1173" s="240">
        <f>SUM(Tabla1321124[[#This Row],[PRIMER TRIMESTRE]:[CUARTO TRIMESTRE]])</f>
        <v>64</v>
      </c>
      <c r="I1173" s="17">
        <v>4320</v>
      </c>
      <c r="J1173" s="17">
        <f t="shared" si="22"/>
        <v>276480</v>
      </c>
      <c r="K1173" s="17"/>
      <c r="L1173" s="16" t="s">
        <v>18</v>
      </c>
      <c r="M1173" s="16" t="s">
        <v>22</v>
      </c>
      <c r="N1173" s="16"/>
      <c r="O1173" s="243"/>
      <c r="P1173" s="243"/>
      <c r="Q1173" s="243"/>
      <c r="R1173" s="243"/>
      <c r="S1173" s="243"/>
      <c r="T1173" s="243"/>
      <c r="U1173" s="243"/>
      <c r="V1173" s="243"/>
      <c r="W1173" s="243"/>
      <c r="X1173" s="243"/>
      <c r="Y1173" s="243"/>
      <c r="Z1173" s="243"/>
      <c r="AA1173" s="243"/>
      <c r="AB1173" s="243"/>
      <c r="AC1173" s="243"/>
      <c r="AD1173" s="243"/>
      <c r="AE1173" s="243"/>
      <c r="AF1173" s="243"/>
      <c r="AG1173" s="243"/>
      <c r="AH1173" s="243"/>
      <c r="AI1173" s="243"/>
      <c r="AJ1173" s="243"/>
      <c r="AK1173" s="243"/>
      <c r="AL1173" s="243"/>
      <c r="AM1173" s="243"/>
      <c r="AN1173" s="243"/>
      <c r="AO1173" s="243"/>
      <c r="AP1173" s="243"/>
      <c r="AQ1173" s="243"/>
      <c r="AR1173" s="243"/>
      <c r="AS1173" s="243"/>
      <c r="AT1173" s="243"/>
      <c r="AU1173" s="243"/>
      <c r="AV1173" s="243"/>
      <c r="AW1173" s="243"/>
      <c r="AX1173" s="243"/>
      <c r="AY1173" s="243"/>
      <c r="AZ1173" s="243"/>
      <c r="BA1173" s="243"/>
      <c r="BB1173" s="243"/>
      <c r="BC1173" s="243"/>
      <c r="BD1173" s="243"/>
      <c r="BE1173" s="243"/>
      <c r="BF1173" s="243"/>
      <c r="BG1173" s="243"/>
      <c r="BH1173" s="243"/>
      <c r="BI1173" s="243"/>
      <c r="BJ1173" s="243"/>
      <c r="BK1173" s="243"/>
      <c r="BL1173" s="243"/>
      <c r="BM1173" s="243"/>
      <c r="BN1173" s="243"/>
      <c r="BO1173" s="243"/>
      <c r="BP1173" s="243"/>
      <c r="BQ1173" s="243"/>
      <c r="BR1173" s="243"/>
      <c r="BS1173" s="243"/>
    </row>
    <row r="1174" spans="1:71" s="12" customFormat="1" ht="41.25" customHeight="1">
      <c r="A1174" s="178" t="s">
        <v>96</v>
      </c>
      <c r="B1174" s="75" t="str">
        <f ca="1">+UPPER(Tabla1321124[[#This Row],[DESCRIPCIÓN DE LA COMPRA O CONTRATACIÓN]])</f>
        <v>CONTACTORES MAGNÉTICOS, CON BOBINA A 220 VOLTIOS, VOLTAJE DE POTENCIA 480 VOL. (BAJO LA NORMA NEMA) 25 HP</v>
      </c>
      <c r="C1174" s="39" t="s">
        <v>17</v>
      </c>
      <c r="D1174" s="352">
        <f>20+1</f>
        <v>21</v>
      </c>
      <c r="E1174" s="352">
        <v>10</v>
      </c>
      <c r="F1174" s="352">
        <f>20+1</f>
        <v>21</v>
      </c>
      <c r="G1174" s="352">
        <v>10</v>
      </c>
      <c r="H1174" s="240">
        <f>SUM(Tabla1321124[[#This Row],[PRIMER TRIMESTRE]:[CUARTO TRIMESTRE]])</f>
        <v>62</v>
      </c>
      <c r="I1174" s="17">
        <v>4560</v>
      </c>
      <c r="J1174" s="17">
        <f t="shared" si="22"/>
        <v>282720</v>
      </c>
      <c r="K1174" s="17"/>
      <c r="L1174" s="16" t="s">
        <v>18</v>
      </c>
      <c r="M1174" s="16" t="s">
        <v>22</v>
      </c>
      <c r="N1174" s="16"/>
      <c r="O1174" s="243"/>
      <c r="P1174" s="243"/>
      <c r="Q1174" s="243"/>
      <c r="R1174" s="243"/>
      <c r="S1174" s="243"/>
      <c r="T1174" s="243"/>
      <c r="U1174" s="243"/>
      <c r="V1174" s="243"/>
      <c r="W1174" s="243"/>
      <c r="X1174" s="243"/>
      <c r="Y1174" s="243"/>
      <c r="Z1174" s="243"/>
      <c r="AA1174" s="243"/>
      <c r="AB1174" s="243"/>
      <c r="AC1174" s="243"/>
      <c r="AD1174" s="243"/>
      <c r="AE1174" s="243"/>
      <c r="AF1174" s="243"/>
      <c r="AG1174" s="243"/>
      <c r="AH1174" s="243"/>
      <c r="AI1174" s="243"/>
      <c r="AJ1174" s="243"/>
      <c r="AK1174" s="243"/>
      <c r="AL1174" s="243"/>
      <c r="AM1174" s="243"/>
      <c r="AN1174" s="243"/>
      <c r="AO1174" s="243"/>
      <c r="AP1174" s="243"/>
      <c r="AQ1174" s="243"/>
      <c r="AR1174" s="243"/>
      <c r="AS1174" s="243"/>
      <c r="AT1174" s="243"/>
      <c r="AU1174" s="243"/>
      <c r="AV1174" s="243"/>
      <c r="AW1174" s="243"/>
      <c r="AX1174" s="243"/>
      <c r="AY1174" s="243"/>
      <c r="AZ1174" s="243"/>
      <c r="BA1174" s="243"/>
      <c r="BB1174" s="243"/>
      <c r="BC1174" s="243"/>
      <c r="BD1174" s="243"/>
      <c r="BE1174" s="243"/>
      <c r="BF1174" s="243"/>
      <c r="BG1174" s="243"/>
      <c r="BH1174" s="243"/>
      <c r="BI1174" s="243"/>
      <c r="BJ1174" s="243"/>
      <c r="BK1174" s="243"/>
      <c r="BL1174" s="243"/>
      <c r="BM1174" s="243"/>
      <c r="BN1174" s="243"/>
      <c r="BO1174" s="243"/>
      <c r="BP1174" s="243"/>
      <c r="BQ1174" s="243"/>
      <c r="BR1174" s="243"/>
      <c r="BS1174" s="243"/>
    </row>
    <row r="1175" spans="1:71" s="12" customFormat="1" ht="41.25" customHeight="1">
      <c r="A1175" s="178" t="s">
        <v>96</v>
      </c>
      <c r="B1175" s="75" t="str">
        <f ca="1">+UPPER(Tabla1321124[[#This Row],[DESCRIPCIÓN DE LA COMPRA O CONTRATACIÓN]])</f>
        <v>CONTACTORES MAGNÉTICOS, CON BOBINA A 220 VOLTIOS, VOLTAJE DE POTENCIA 480 VOL. (BAJO LA NORMA NEMA) 30 HP</v>
      </c>
      <c r="C1175" s="39" t="s">
        <v>17</v>
      </c>
      <c r="D1175" s="352">
        <f>20+1</f>
        <v>21</v>
      </c>
      <c r="E1175" s="352">
        <v>10</v>
      </c>
      <c r="F1175" s="352">
        <f>20+1</f>
        <v>21</v>
      </c>
      <c r="G1175" s="352">
        <v>10</v>
      </c>
      <c r="H1175" s="240">
        <f>SUM(Tabla1321124[[#This Row],[PRIMER TRIMESTRE]:[CUARTO TRIMESTRE]])</f>
        <v>62</v>
      </c>
      <c r="I1175" s="17">
        <v>5684</v>
      </c>
      <c r="J1175" s="17">
        <f t="shared" si="22"/>
        <v>352408</v>
      </c>
      <c r="K1175" s="17"/>
      <c r="L1175" s="16" t="s">
        <v>18</v>
      </c>
      <c r="M1175" s="16" t="s">
        <v>22</v>
      </c>
      <c r="N1175" s="16"/>
      <c r="O1175" s="243"/>
      <c r="P1175" s="243"/>
      <c r="Q1175" s="243"/>
      <c r="R1175" s="243"/>
      <c r="S1175" s="243"/>
      <c r="T1175" s="243"/>
      <c r="U1175" s="243"/>
      <c r="V1175" s="243"/>
      <c r="W1175" s="243"/>
      <c r="X1175" s="243"/>
      <c r="Y1175" s="243"/>
      <c r="Z1175" s="243"/>
      <c r="AA1175" s="243"/>
      <c r="AB1175" s="243"/>
      <c r="AC1175" s="243"/>
      <c r="AD1175" s="243"/>
      <c r="AE1175" s="243"/>
      <c r="AF1175" s="243"/>
      <c r="AG1175" s="243"/>
      <c r="AH1175" s="243"/>
      <c r="AI1175" s="243"/>
      <c r="AJ1175" s="243"/>
      <c r="AK1175" s="243"/>
      <c r="AL1175" s="243"/>
      <c r="AM1175" s="243"/>
      <c r="AN1175" s="243"/>
      <c r="AO1175" s="243"/>
      <c r="AP1175" s="243"/>
      <c r="AQ1175" s="243"/>
      <c r="AR1175" s="243"/>
      <c r="AS1175" s="243"/>
      <c r="AT1175" s="243"/>
      <c r="AU1175" s="243"/>
      <c r="AV1175" s="243"/>
      <c r="AW1175" s="243"/>
      <c r="AX1175" s="243"/>
      <c r="AY1175" s="243"/>
      <c r="AZ1175" s="243"/>
      <c r="BA1175" s="243"/>
      <c r="BB1175" s="243"/>
      <c r="BC1175" s="243"/>
      <c r="BD1175" s="243"/>
      <c r="BE1175" s="243"/>
      <c r="BF1175" s="243"/>
      <c r="BG1175" s="243"/>
      <c r="BH1175" s="243"/>
      <c r="BI1175" s="243"/>
      <c r="BJ1175" s="243"/>
      <c r="BK1175" s="243"/>
      <c r="BL1175" s="243"/>
      <c r="BM1175" s="243"/>
      <c r="BN1175" s="243"/>
      <c r="BO1175" s="243"/>
      <c r="BP1175" s="243"/>
      <c r="BQ1175" s="243"/>
      <c r="BR1175" s="243"/>
      <c r="BS1175" s="243"/>
    </row>
    <row r="1176" spans="1:71" s="12" customFormat="1" ht="41.25" customHeight="1">
      <c r="A1176" s="178" t="s">
        <v>96</v>
      </c>
      <c r="B1176" s="75" t="str">
        <f ca="1">+UPPER(Tabla1321124[[#This Row],[DESCRIPCIÓN DE LA COMPRA O CONTRATACIÓN]])</f>
        <v>CONTACTORES MAGNÉTICOS, CON BOBINA A 220 VOLTIOS, VOLTAJE DE POTENCIA 480 VOL. (BAJO LA NORMA NEMA) 40 HP</v>
      </c>
      <c r="C1176" s="39" t="s">
        <v>17</v>
      </c>
      <c r="D1176" s="352">
        <f>20+1</f>
        <v>21</v>
      </c>
      <c r="E1176" s="352">
        <v>10</v>
      </c>
      <c r="F1176" s="352">
        <f>20+1</f>
        <v>21</v>
      </c>
      <c r="G1176" s="352">
        <v>10</v>
      </c>
      <c r="H1176" s="240">
        <f>SUM(Tabla1321124[[#This Row],[PRIMER TRIMESTRE]:[CUARTO TRIMESTRE]])</f>
        <v>62</v>
      </c>
      <c r="I1176" s="17">
        <v>5300</v>
      </c>
      <c r="J1176" s="17">
        <f t="shared" si="22"/>
        <v>328600</v>
      </c>
      <c r="K1176" s="17"/>
      <c r="L1176" s="16" t="s">
        <v>18</v>
      </c>
      <c r="M1176" s="16" t="s">
        <v>22</v>
      </c>
      <c r="N1176" s="16"/>
      <c r="O1176" s="243"/>
      <c r="P1176" s="243"/>
      <c r="Q1176" s="243"/>
      <c r="R1176" s="243"/>
      <c r="S1176" s="243"/>
      <c r="T1176" s="243"/>
      <c r="U1176" s="243"/>
      <c r="V1176" s="243"/>
      <c r="W1176" s="243"/>
      <c r="X1176" s="243"/>
      <c r="Y1176" s="243"/>
      <c r="Z1176" s="243"/>
      <c r="AA1176" s="243"/>
      <c r="AB1176" s="243"/>
      <c r="AC1176" s="243"/>
      <c r="AD1176" s="243"/>
      <c r="AE1176" s="243"/>
      <c r="AF1176" s="243"/>
      <c r="AG1176" s="243"/>
      <c r="AH1176" s="243"/>
      <c r="AI1176" s="243"/>
      <c r="AJ1176" s="243"/>
      <c r="AK1176" s="243"/>
      <c r="AL1176" s="243"/>
      <c r="AM1176" s="243"/>
      <c r="AN1176" s="243"/>
      <c r="AO1176" s="243"/>
      <c r="AP1176" s="243"/>
      <c r="AQ1176" s="243"/>
      <c r="AR1176" s="243"/>
      <c r="AS1176" s="243"/>
      <c r="AT1176" s="243"/>
      <c r="AU1176" s="243"/>
      <c r="AV1176" s="243"/>
      <c r="AW1176" s="243"/>
      <c r="AX1176" s="243"/>
      <c r="AY1176" s="243"/>
      <c r="AZ1176" s="243"/>
      <c r="BA1176" s="243"/>
      <c r="BB1176" s="243"/>
      <c r="BC1176" s="243"/>
      <c r="BD1176" s="243"/>
      <c r="BE1176" s="243"/>
      <c r="BF1176" s="243"/>
      <c r="BG1176" s="243"/>
      <c r="BH1176" s="243"/>
      <c r="BI1176" s="243"/>
      <c r="BJ1176" s="243"/>
      <c r="BK1176" s="243"/>
      <c r="BL1176" s="243"/>
      <c r="BM1176" s="243"/>
      <c r="BN1176" s="243"/>
      <c r="BO1176" s="243"/>
      <c r="BP1176" s="243"/>
      <c r="BQ1176" s="243"/>
      <c r="BR1176" s="243"/>
      <c r="BS1176" s="243"/>
    </row>
    <row r="1177" spans="1:71" s="12" customFormat="1" ht="41.25" customHeight="1">
      <c r="A1177" s="178" t="s">
        <v>96</v>
      </c>
      <c r="B1177" s="75" t="str">
        <f ca="1">+UPPER(Tabla1321124[[#This Row],[DESCRIPCIÓN DE LA COMPRA O CONTRATACIÓN]])</f>
        <v>CONTACTORES MAGNÉTICOS, CON BOBINA A 220 VOLTIOS, VOLTAJE DE POTENCIA 480 VOL. (BAJO LA NORMA NEMA) 60 HP</v>
      </c>
      <c r="C1177" s="39" t="s">
        <v>17</v>
      </c>
      <c r="D1177" s="352">
        <f>20+2</f>
        <v>22</v>
      </c>
      <c r="E1177" s="352">
        <v>10</v>
      </c>
      <c r="F1177" s="352">
        <f>20+2</f>
        <v>22</v>
      </c>
      <c r="G1177" s="352">
        <v>10</v>
      </c>
      <c r="H1177" s="240">
        <f>SUM(Tabla1321124[[#This Row],[PRIMER TRIMESTRE]:[CUARTO TRIMESTRE]])</f>
        <v>64</v>
      </c>
      <c r="I1177" s="17">
        <v>4958</v>
      </c>
      <c r="J1177" s="17">
        <f t="shared" si="22"/>
        <v>317312</v>
      </c>
      <c r="K1177" s="17"/>
      <c r="L1177" s="16" t="s">
        <v>18</v>
      </c>
      <c r="M1177" s="16" t="s">
        <v>22</v>
      </c>
      <c r="N1177" s="16"/>
      <c r="O1177" s="243"/>
      <c r="P1177" s="243"/>
      <c r="Q1177" s="243"/>
      <c r="R1177" s="243"/>
      <c r="S1177" s="243"/>
      <c r="T1177" s="243"/>
      <c r="U1177" s="243"/>
      <c r="V1177" s="243"/>
      <c r="W1177" s="243"/>
      <c r="X1177" s="243"/>
      <c r="Y1177" s="243"/>
      <c r="Z1177" s="243"/>
      <c r="AA1177" s="243"/>
      <c r="AB1177" s="243"/>
      <c r="AC1177" s="243"/>
      <c r="AD1177" s="243"/>
      <c r="AE1177" s="243"/>
      <c r="AF1177" s="243"/>
      <c r="AG1177" s="243"/>
      <c r="AH1177" s="243"/>
      <c r="AI1177" s="243"/>
      <c r="AJ1177" s="243"/>
      <c r="AK1177" s="243"/>
      <c r="AL1177" s="243"/>
      <c r="AM1177" s="243"/>
      <c r="AN1177" s="243"/>
      <c r="AO1177" s="243"/>
      <c r="AP1177" s="243"/>
      <c r="AQ1177" s="243"/>
      <c r="AR1177" s="243"/>
      <c r="AS1177" s="243"/>
      <c r="AT1177" s="243"/>
      <c r="AU1177" s="243"/>
      <c r="AV1177" s="243"/>
      <c r="AW1177" s="243"/>
      <c r="AX1177" s="243"/>
      <c r="AY1177" s="243"/>
      <c r="AZ1177" s="243"/>
      <c r="BA1177" s="243"/>
      <c r="BB1177" s="243"/>
      <c r="BC1177" s="243"/>
      <c r="BD1177" s="243"/>
      <c r="BE1177" s="243"/>
      <c r="BF1177" s="243"/>
      <c r="BG1177" s="243"/>
      <c r="BH1177" s="243"/>
      <c r="BI1177" s="243"/>
      <c r="BJ1177" s="243"/>
      <c r="BK1177" s="243"/>
      <c r="BL1177" s="243"/>
      <c r="BM1177" s="243"/>
      <c r="BN1177" s="243"/>
      <c r="BO1177" s="243"/>
      <c r="BP1177" s="243"/>
      <c r="BQ1177" s="243"/>
      <c r="BR1177" s="243"/>
      <c r="BS1177" s="243"/>
    </row>
    <row r="1178" spans="1:71" s="12" customFormat="1" ht="41.25" customHeight="1">
      <c r="A1178" s="178" t="s">
        <v>96</v>
      </c>
      <c r="B1178" s="75" t="str">
        <f ca="1">+UPPER(Tabla1321124[[#This Row],[DESCRIPCIÓN DE LA COMPRA O CONTRATACIÓN]])</f>
        <v>CONTACTORES MAGNÉTICOS, CON BOBINA A 220 VOLTIOS, VOLTAJE DE POTENCIA 480 VOL. (BAJO LA NORMA NEMA) 75 HP</v>
      </c>
      <c r="C1178" s="39" t="s">
        <v>17</v>
      </c>
      <c r="D1178" s="352">
        <f>20+2</f>
        <v>22</v>
      </c>
      <c r="E1178" s="352">
        <v>10</v>
      </c>
      <c r="F1178" s="352">
        <f>20+2</f>
        <v>22</v>
      </c>
      <c r="G1178" s="352">
        <v>10</v>
      </c>
      <c r="H1178" s="240">
        <f>SUM(Tabla1321124[[#This Row],[PRIMER TRIMESTRE]:[CUARTO TRIMESTRE]])</f>
        <v>64</v>
      </c>
      <c r="I1178" s="17">
        <v>6958</v>
      </c>
      <c r="J1178" s="17">
        <f t="shared" si="22"/>
        <v>445312</v>
      </c>
      <c r="K1178" s="17"/>
      <c r="L1178" s="16" t="s">
        <v>18</v>
      </c>
      <c r="M1178" s="16" t="s">
        <v>22</v>
      </c>
      <c r="N1178" s="16"/>
      <c r="O1178" s="243"/>
      <c r="P1178" s="243"/>
      <c r="Q1178" s="243"/>
      <c r="R1178" s="243"/>
      <c r="S1178" s="243"/>
      <c r="T1178" s="243"/>
      <c r="U1178" s="243"/>
      <c r="V1178" s="243"/>
      <c r="W1178" s="243"/>
      <c r="X1178" s="243"/>
      <c r="Y1178" s="243"/>
      <c r="Z1178" s="243"/>
      <c r="AA1178" s="243"/>
      <c r="AB1178" s="243"/>
      <c r="AC1178" s="243"/>
      <c r="AD1178" s="243"/>
      <c r="AE1178" s="243"/>
      <c r="AF1178" s="243"/>
      <c r="AG1178" s="243"/>
      <c r="AH1178" s="243"/>
      <c r="AI1178" s="243"/>
      <c r="AJ1178" s="243"/>
      <c r="AK1178" s="243"/>
      <c r="AL1178" s="243"/>
      <c r="AM1178" s="243"/>
      <c r="AN1178" s="243"/>
      <c r="AO1178" s="243"/>
      <c r="AP1178" s="243"/>
      <c r="AQ1178" s="243"/>
      <c r="AR1178" s="243"/>
      <c r="AS1178" s="243"/>
      <c r="AT1178" s="243"/>
      <c r="AU1178" s="243"/>
      <c r="AV1178" s="243"/>
      <c r="AW1178" s="243"/>
      <c r="AX1178" s="243"/>
      <c r="AY1178" s="243"/>
      <c r="AZ1178" s="243"/>
      <c r="BA1178" s="243"/>
      <c r="BB1178" s="243"/>
      <c r="BC1178" s="243"/>
      <c r="BD1178" s="243"/>
      <c r="BE1178" s="243"/>
      <c r="BF1178" s="243"/>
      <c r="BG1178" s="243"/>
      <c r="BH1178" s="243"/>
      <c r="BI1178" s="243"/>
      <c r="BJ1178" s="243"/>
      <c r="BK1178" s="243"/>
      <c r="BL1178" s="243"/>
      <c r="BM1178" s="243"/>
      <c r="BN1178" s="243"/>
      <c r="BO1178" s="243"/>
      <c r="BP1178" s="243"/>
      <c r="BQ1178" s="243"/>
      <c r="BR1178" s="243"/>
      <c r="BS1178" s="243"/>
    </row>
    <row r="1179" spans="1:71" s="12" customFormat="1" ht="41.25" customHeight="1">
      <c r="A1179" s="178" t="s">
        <v>96</v>
      </c>
      <c r="B1179" s="75" t="str">
        <f ca="1">+UPPER(Tabla1321124[[#This Row],[DESCRIPCIÓN DE LA COMPRA O CONTRATACIÓN]])</f>
        <v>CONTACTORES MAGNÉTICOS, CON BOBINA A 220 VOLTIOS, VOLTAJE DE POTENCIA 480 VOL. (BAJO LA NORMA NEMA) 100 HP</v>
      </c>
      <c r="C1179" s="39" t="s">
        <v>17</v>
      </c>
      <c r="D1179" s="352">
        <f>20+3</f>
        <v>23</v>
      </c>
      <c r="E1179" s="352">
        <v>10</v>
      </c>
      <c r="F1179" s="352">
        <f>20+3</f>
        <v>23</v>
      </c>
      <c r="G1179" s="352">
        <v>10</v>
      </c>
      <c r="H1179" s="240">
        <f>SUM(Tabla1321124[[#This Row],[PRIMER TRIMESTRE]:[CUARTO TRIMESTRE]])</f>
        <v>66</v>
      </c>
      <c r="I1179" s="17">
        <v>7050</v>
      </c>
      <c r="J1179" s="17">
        <f t="shared" si="22"/>
        <v>465300</v>
      </c>
      <c r="K1179" s="17"/>
      <c r="L1179" s="16" t="s">
        <v>18</v>
      </c>
      <c r="M1179" s="16" t="s">
        <v>22</v>
      </c>
      <c r="N1179" s="16"/>
      <c r="O1179" s="243"/>
      <c r="P1179" s="243"/>
      <c r="Q1179" s="243"/>
      <c r="R1179" s="243"/>
      <c r="S1179" s="243"/>
      <c r="T1179" s="243"/>
      <c r="U1179" s="243"/>
      <c r="V1179" s="243"/>
      <c r="W1179" s="243"/>
      <c r="X1179" s="243"/>
      <c r="Y1179" s="243"/>
      <c r="Z1179" s="243"/>
      <c r="AA1179" s="243"/>
      <c r="AB1179" s="243"/>
      <c r="AC1179" s="243"/>
      <c r="AD1179" s="243"/>
      <c r="AE1179" s="243"/>
      <c r="AF1179" s="243"/>
      <c r="AG1179" s="243"/>
      <c r="AH1179" s="243"/>
      <c r="AI1179" s="243"/>
      <c r="AJ1179" s="243"/>
      <c r="AK1179" s="243"/>
      <c r="AL1179" s="243"/>
      <c r="AM1179" s="243"/>
      <c r="AN1179" s="243"/>
      <c r="AO1179" s="243"/>
      <c r="AP1179" s="243"/>
      <c r="AQ1179" s="243"/>
      <c r="AR1179" s="243"/>
      <c r="AS1179" s="243"/>
      <c r="AT1179" s="243"/>
      <c r="AU1179" s="243"/>
      <c r="AV1179" s="243"/>
      <c r="AW1179" s="243"/>
      <c r="AX1179" s="243"/>
      <c r="AY1179" s="243"/>
      <c r="AZ1179" s="243"/>
      <c r="BA1179" s="243"/>
      <c r="BB1179" s="243"/>
      <c r="BC1179" s="243"/>
      <c r="BD1179" s="243"/>
      <c r="BE1179" s="243"/>
      <c r="BF1179" s="243"/>
      <c r="BG1179" s="243"/>
      <c r="BH1179" s="243"/>
      <c r="BI1179" s="243"/>
      <c r="BJ1179" s="243"/>
      <c r="BK1179" s="243"/>
      <c r="BL1179" s="243"/>
      <c r="BM1179" s="243"/>
      <c r="BN1179" s="243"/>
      <c r="BO1179" s="243"/>
      <c r="BP1179" s="243"/>
      <c r="BQ1179" s="243"/>
      <c r="BR1179" s="243"/>
      <c r="BS1179" s="243"/>
    </row>
    <row r="1180" spans="1:71" s="12" customFormat="1" ht="41.25" customHeight="1">
      <c r="A1180" s="178" t="s">
        <v>96</v>
      </c>
      <c r="B1180" s="75" t="str">
        <f ca="1">+UPPER(Tabla1321124[[#This Row],[DESCRIPCIÓN DE LA COMPRA O CONTRATACIÓN]])</f>
        <v>CONTACTORES MAGNÉTICOS, CON BOBINA A 220 VOLTIOS, VOLTAJE DE POTENCIA 480 VOL. (BAJO LA NORMA NEMA) 125 HP</v>
      </c>
      <c r="C1180" s="39" t="s">
        <v>17</v>
      </c>
      <c r="D1180" s="352">
        <f>20+1</f>
        <v>21</v>
      </c>
      <c r="E1180" s="352">
        <v>10</v>
      </c>
      <c r="F1180" s="352">
        <f>20+1</f>
        <v>21</v>
      </c>
      <c r="G1180" s="352">
        <v>10</v>
      </c>
      <c r="H1180" s="240">
        <f>SUM(Tabla1321124[[#This Row],[PRIMER TRIMESTRE]:[CUARTO TRIMESTRE]])</f>
        <v>62</v>
      </c>
      <c r="I1180" s="17">
        <v>7950</v>
      </c>
      <c r="J1180" s="17">
        <f t="shared" si="22"/>
        <v>492900</v>
      </c>
      <c r="K1180" s="17"/>
      <c r="L1180" s="16" t="s">
        <v>18</v>
      </c>
      <c r="M1180" s="16" t="s">
        <v>22</v>
      </c>
      <c r="N1180" s="16"/>
      <c r="O1180" s="243"/>
      <c r="P1180" s="243"/>
      <c r="Q1180" s="243"/>
      <c r="R1180" s="243"/>
      <c r="S1180" s="243"/>
      <c r="T1180" s="243"/>
      <c r="U1180" s="243"/>
      <c r="V1180" s="243"/>
      <c r="W1180" s="243"/>
      <c r="X1180" s="243"/>
      <c r="Y1180" s="243"/>
      <c r="Z1180" s="243"/>
      <c r="AA1180" s="243"/>
      <c r="AB1180" s="243"/>
      <c r="AC1180" s="243"/>
      <c r="AD1180" s="243"/>
      <c r="AE1180" s="243"/>
      <c r="AF1180" s="243"/>
      <c r="AG1180" s="243"/>
      <c r="AH1180" s="243"/>
      <c r="AI1180" s="243"/>
      <c r="AJ1180" s="243"/>
      <c r="AK1180" s="243"/>
      <c r="AL1180" s="243"/>
      <c r="AM1180" s="243"/>
      <c r="AN1180" s="243"/>
      <c r="AO1180" s="243"/>
      <c r="AP1180" s="243"/>
      <c r="AQ1180" s="243"/>
      <c r="AR1180" s="243"/>
      <c r="AS1180" s="243"/>
      <c r="AT1180" s="243"/>
      <c r="AU1180" s="243"/>
      <c r="AV1180" s="243"/>
      <c r="AW1180" s="243"/>
      <c r="AX1180" s="243"/>
      <c r="AY1180" s="243"/>
      <c r="AZ1180" s="243"/>
      <c r="BA1180" s="243"/>
      <c r="BB1180" s="243"/>
      <c r="BC1180" s="243"/>
      <c r="BD1180" s="243"/>
      <c r="BE1180" s="243"/>
      <c r="BF1180" s="243"/>
      <c r="BG1180" s="243"/>
      <c r="BH1180" s="243"/>
      <c r="BI1180" s="243"/>
      <c r="BJ1180" s="243"/>
      <c r="BK1180" s="243"/>
      <c r="BL1180" s="243"/>
      <c r="BM1180" s="243"/>
      <c r="BN1180" s="243"/>
      <c r="BO1180" s="243"/>
      <c r="BP1180" s="243"/>
      <c r="BQ1180" s="243"/>
      <c r="BR1180" s="243"/>
      <c r="BS1180" s="243"/>
    </row>
    <row r="1181" spans="1:71" s="12" customFormat="1" ht="41.25" customHeight="1">
      <c r="A1181" s="178" t="s">
        <v>96</v>
      </c>
      <c r="B1181" s="75" t="str">
        <f ca="1">+UPPER(Tabla1321124[[#This Row],[DESCRIPCIÓN DE LA COMPRA O CONTRATACIÓN]])</f>
        <v>CONTACTORES MAGNÉTICOS, CON BOBINA A 220 VOLTIOS, VOLTAJE DE POTENCIA 480 VOL. (BAJO LA NORMA NEMA) 150 HP</v>
      </c>
      <c r="C1181" s="39" t="s">
        <v>17</v>
      </c>
      <c r="D1181" s="352">
        <v>20</v>
      </c>
      <c r="E1181" s="352">
        <v>10</v>
      </c>
      <c r="F1181" s="352">
        <v>20</v>
      </c>
      <c r="G1181" s="352">
        <v>10</v>
      </c>
      <c r="H1181" s="240">
        <f>SUM(Tabla1321124[[#This Row],[PRIMER TRIMESTRE]:[CUARTO TRIMESTRE]])</f>
        <v>60</v>
      </c>
      <c r="I1181" s="17">
        <v>8338.15</v>
      </c>
      <c r="J1181" s="17">
        <f t="shared" si="22"/>
        <v>500289</v>
      </c>
      <c r="K1181" s="17"/>
      <c r="L1181" s="16" t="s">
        <v>18</v>
      </c>
      <c r="M1181" s="16" t="s">
        <v>22</v>
      </c>
      <c r="N1181" s="16"/>
      <c r="O1181" s="243"/>
      <c r="P1181" s="243"/>
      <c r="Q1181" s="243"/>
      <c r="R1181" s="243"/>
      <c r="S1181" s="243"/>
      <c r="T1181" s="243"/>
      <c r="U1181" s="243"/>
      <c r="V1181" s="243"/>
      <c r="W1181" s="243"/>
      <c r="X1181" s="243"/>
      <c r="Y1181" s="243"/>
      <c r="Z1181" s="243"/>
      <c r="AA1181" s="243"/>
      <c r="AB1181" s="243"/>
      <c r="AC1181" s="243"/>
      <c r="AD1181" s="243"/>
      <c r="AE1181" s="243"/>
      <c r="AF1181" s="243"/>
      <c r="AG1181" s="243"/>
      <c r="AH1181" s="243"/>
      <c r="AI1181" s="243"/>
      <c r="AJ1181" s="243"/>
      <c r="AK1181" s="243"/>
      <c r="AL1181" s="243"/>
      <c r="AM1181" s="243"/>
      <c r="AN1181" s="243"/>
      <c r="AO1181" s="243"/>
      <c r="AP1181" s="243"/>
      <c r="AQ1181" s="243"/>
      <c r="AR1181" s="243"/>
      <c r="AS1181" s="243"/>
      <c r="AT1181" s="243"/>
      <c r="AU1181" s="243"/>
      <c r="AV1181" s="243"/>
      <c r="AW1181" s="243"/>
      <c r="AX1181" s="243"/>
      <c r="AY1181" s="243"/>
      <c r="AZ1181" s="243"/>
      <c r="BA1181" s="243"/>
      <c r="BB1181" s="243"/>
      <c r="BC1181" s="243"/>
      <c r="BD1181" s="243"/>
      <c r="BE1181" s="243"/>
      <c r="BF1181" s="243"/>
      <c r="BG1181" s="243"/>
      <c r="BH1181" s="243"/>
      <c r="BI1181" s="243"/>
      <c r="BJ1181" s="243"/>
      <c r="BK1181" s="243"/>
      <c r="BL1181" s="243"/>
      <c r="BM1181" s="243"/>
      <c r="BN1181" s="243"/>
      <c r="BO1181" s="243"/>
      <c r="BP1181" s="243"/>
      <c r="BQ1181" s="243"/>
      <c r="BR1181" s="243"/>
      <c r="BS1181" s="243"/>
    </row>
    <row r="1182" spans="1:71" s="12" customFormat="1" ht="41.25" customHeight="1">
      <c r="A1182" s="178" t="s">
        <v>96</v>
      </c>
      <c r="B1182" s="77" t="str">
        <f ca="1">+UPPER(Tabla1321124[[#This Row],[DESCRIPCIÓN DE LA COMPRA O CONTRATACIÓN]])</f>
        <v>CONTACTORES MAGNÉTICOS, CON BOBINA A 220 VOLTIOS, VOLTAJE DE POTENCIA 480 VOL. (BAJO LA NORMA NEMA) 200 HP</v>
      </c>
      <c r="C1182" s="39" t="s">
        <v>17</v>
      </c>
      <c r="D1182" s="352">
        <f>20+2</f>
        <v>22</v>
      </c>
      <c r="E1182" s="352">
        <v>10</v>
      </c>
      <c r="F1182" s="352">
        <f>20+2</f>
        <v>22</v>
      </c>
      <c r="G1182" s="352">
        <v>10</v>
      </c>
      <c r="H1182" s="240">
        <f>SUM(Tabla1321124[[#This Row],[PRIMER TRIMESTRE]:[CUARTO TRIMESTRE]])</f>
        <v>64</v>
      </c>
      <c r="I1182" s="17">
        <v>9900.17</v>
      </c>
      <c r="J1182" s="17">
        <f t="shared" si="22"/>
        <v>633610.88</v>
      </c>
      <c r="K1182" s="17"/>
      <c r="L1182" s="16" t="s">
        <v>18</v>
      </c>
      <c r="M1182" s="16" t="s">
        <v>22</v>
      </c>
      <c r="N1182" s="16"/>
      <c r="O1182" s="243"/>
      <c r="P1182" s="243"/>
      <c r="Q1182" s="243"/>
      <c r="R1182" s="243"/>
      <c r="S1182" s="243"/>
      <c r="T1182" s="243"/>
      <c r="U1182" s="243"/>
      <c r="V1182" s="243"/>
      <c r="W1182" s="243"/>
      <c r="X1182" s="243"/>
      <c r="Y1182" s="243"/>
      <c r="Z1182" s="243"/>
      <c r="AA1182" s="243"/>
      <c r="AB1182" s="243"/>
      <c r="AC1182" s="243"/>
      <c r="AD1182" s="243"/>
      <c r="AE1182" s="243"/>
      <c r="AF1182" s="243"/>
      <c r="AG1182" s="243"/>
      <c r="AH1182" s="243"/>
      <c r="AI1182" s="243"/>
      <c r="AJ1182" s="243"/>
      <c r="AK1182" s="243"/>
      <c r="AL1182" s="243"/>
      <c r="AM1182" s="243"/>
      <c r="AN1182" s="243"/>
      <c r="AO1182" s="243"/>
      <c r="AP1182" s="243"/>
      <c r="AQ1182" s="243"/>
      <c r="AR1182" s="243"/>
      <c r="AS1182" s="243"/>
      <c r="AT1182" s="243"/>
      <c r="AU1182" s="243"/>
      <c r="AV1182" s="243"/>
      <c r="AW1182" s="243"/>
      <c r="AX1182" s="243"/>
      <c r="AY1182" s="243"/>
      <c r="AZ1182" s="243"/>
      <c r="BA1182" s="243"/>
      <c r="BB1182" s="243"/>
      <c r="BC1182" s="243"/>
      <c r="BD1182" s="243"/>
      <c r="BE1182" s="243"/>
      <c r="BF1182" s="243"/>
      <c r="BG1182" s="243"/>
      <c r="BH1182" s="243"/>
      <c r="BI1182" s="243"/>
      <c r="BJ1182" s="243"/>
      <c r="BK1182" s="243"/>
      <c r="BL1182" s="243"/>
      <c r="BM1182" s="243"/>
      <c r="BN1182" s="243"/>
      <c r="BO1182" s="243"/>
      <c r="BP1182" s="243"/>
      <c r="BQ1182" s="243"/>
      <c r="BR1182" s="243"/>
      <c r="BS1182" s="243"/>
    </row>
    <row r="1183" spans="1:71" s="12" customFormat="1" ht="41.25" customHeight="1">
      <c r="A1183" s="178" t="s">
        <v>96</v>
      </c>
      <c r="B1183" s="75" t="s">
        <v>1838</v>
      </c>
      <c r="C1183" s="39" t="s">
        <v>17</v>
      </c>
      <c r="D1183" s="352">
        <v>302</v>
      </c>
      <c r="E1183" s="352">
        <v>200</v>
      </c>
      <c r="F1183" s="352">
        <v>52</v>
      </c>
      <c r="G1183" s="352">
        <v>50</v>
      </c>
      <c r="H1183" s="240">
        <f>SUM(Tabla1321124[[#This Row],[PRIMER TRIMESTRE]:[CUARTO TRIMESTRE]])</f>
        <v>604</v>
      </c>
      <c r="I1183" s="17">
        <v>7500</v>
      </c>
      <c r="J1183" s="17">
        <f t="shared" si="22"/>
        <v>4530000</v>
      </c>
      <c r="K1183" s="17"/>
      <c r="L1183" s="16" t="s">
        <v>18</v>
      </c>
      <c r="M1183" s="16" t="s">
        <v>22</v>
      </c>
      <c r="N1183" s="16"/>
      <c r="O1183" s="243"/>
      <c r="P1183" s="243"/>
      <c r="Q1183" s="243"/>
      <c r="R1183" s="243"/>
      <c r="S1183" s="243"/>
      <c r="T1183" s="243"/>
      <c r="U1183" s="243"/>
      <c r="V1183" s="243"/>
      <c r="W1183" s="243"/>
      <c r="X1183" s="243"/>
      <c r="Y1183" s="243"/>
      <c r="Z1183" s="243"/>
      <c r="AA1183" s="243"/>
      <c r="AB1183" s="243"/>
      <c r="AC1183" s="243"/>
      <c r="AD1183" s="243"/>
      <c r="AE1183" s="243"/>
      <c r="AF1183" s="243"/>
      <c r="AG1183" s="243"/>
      <c r="AH1183" s="243"/>
      <c r="AI1183" s="243"/>
      <c r="AJ1183" s="243"/>
      <c r="AK1183" s="243"/>
      <c r="AL1183" s="243"/>
      <c r="AM1183" s="243"/>
      <c r="AN1183" s="243"/>
      <c r="AO1183" s="243"/>
      <c r="AP1183" s="243"/>
      <c r="AQ1183" s="243"/>
      <c r="AR1183" s="243"/>
      <c r="AS1183" s="243"/>
      <c r="AT1183" s="243"/>
      <c r="AU1183" s="243"/>
      <c r="AV1183" s="243"/>
      <c r="AW1183" s="243"/>
      <c r="AX1183" s="243"/>
      <c r="AY1183" s="243"/>
      <c r="AZ1183" s="243"/>
      <c r="BA1183" s="243"/>
      <c r="BB1183" s="243"/>
      <c r="BC1183" s="243"/>
      <c r="BD1183" s="243"/>
      <c r="BE1183" s="243"/>
      <c r="BF1183" s="243"/>
      <c r="BG1183" s="243"/>
      <c r="BH1183" s="243"/>
      <c r="BI1183" s="243"/>
      <c r="BJ1183" s="243"/>
      <c r="BK1183" s="243"/>
      <c r="BL1183" s="243"/>
      <c r="BM1183" s="243"/>
      <c r="BN1183" s="243"/>
      <c r="BO1183" s="243"/>
      <c r="BP1183" s="243"/>
      <c r="BQ1183" s="243"/>
      <c r="BR1183" s="243"/>
      <c r="BS1183" s="243"/>
    </row>
    <row r="1184" spans="1:71" s="12" customFormat="1" ht="41.25" customHeight="1">
      <c r="A1184" s="178" t="s">
        <v>96</v>
      </c>
      <c r="B1184" s="75" t="str">
        <f ca="1">+UPPER(Tabla1321124[[#This Row],[DESCRIPCIÓN DE LA COMPRA O CONTRATACIÓN]])</f>
        <v>MONITORES DE FASE A 460V, 3Ø 60HZ, CONTRA ALTO Y BAJO VOLTAJE, PERDIDA E INVERSION  DE FASE</v>
      </c>
      <c r="C1184" s="39" t="s">
        <v>17</v>
      </c>
      <c r="D1184" s="352">
        <v>320</v>
      </c>
      <c r="E1184" s="352">
        <v>210</v>
      </c>
      <c r="F1184" s="352">
        <v>70</v>
      </c>
      <c r="G1184" s="352">
        <v>60</v>
      </c>
      <c r="H1184" s="240">
        <f>SUM(Tabla1321124[[#This Row],[PRIMER TRIMESTRE]:[CUARTO TRIMESTRE]])</f>
        <v>660</v>
      </c>
      <c r="I1184" s="17">
        <v>5400</v>
      </c>
      <c r="J1184" s="17">
        <f t="shared" si="22"/>
        <v>3564000</v>
      </c>
      <c r="K1184" s="17"/>
      <c r="L1184" s="16" t="s">
        <v>18</v>
      </c>
      <c r="M1184" s="16" t="s">
        <v>22</v>
      </c>
      <c r="N1184" s="16"/>
      <c r="O1184" s="243"/>
      <c r="P1184" s="243"/>
      <c r="Q1184" s="243"/>
      <c r="R1184" s="243"/>
      <c r="S1184" s="243"/>
      <c r="T1184" s="243"/>
      <c r="U1184" s="243"/>
      <c r="V1184" s="243"/>
      <c r="W1184" s="243"/>
      <c r="X1184" s="243"/>
      <c r="Y1184" s="243"/>
      <c r="Z1184" s="243"/>
      <c r="AA1184" s="243"/>
      <c r="AB1184" s="243"/>
      <c r="AC1184" s="243"/>
      <c r="AD1184" s="243"/>
      <c r="AE1184" s="243"/>
      <c r="AF1184" s="243"/>
      <c r="AG1184" s="243"/>
      <c r="AH1184" s="243"/>
      <c r="AI1184" s="243"/>
      <c r="AJ1184" s="243"/>
      <c r="AK1184" s="243"/>
      <c r="AL1184" s="243"/>
      <c r="AM1184" s="243"/>
      <c r="AN1184" s="243"/>
      <c r="AO1184" s="243"/>
      <c r="AP1184" s="243"/>
      <c r="AQ1184" s="243"/>
      <c r="AR1184" s="243"/>
      <c r="AS1184" s="243"/>
      <c r="AT1184" s="243"/>
      <c r="AU1184" s="243"/>
      <c r="AV1184" s="243"/>
      <c r="AW1184" s="243"/>
      <c r="AX1184" s="243"/>
      <c r="AY1184" s="243"/>
      <c r="AZ1184" s="243"/>
      <c r="BA1184" s="243"/>
      <c r="BB1184" s="243"/>
      <c r="BC1184" s="243"/>
      <c r="BD1184" s="243"/>
      <c r="BE1184" s="243"/>
      <c r="BF1184" s="243"/>
      <c r="BG1184" s="243"/>
      <c r="BH1184" s="243"/>
      <c r="BI1184" s="243"/>
      <c r="BJ1184" s="243"/>
      <c r="BK1184" s="243"/>
      <c r="BL1184" s="243"/>
      <c r="BM1184" s="243"/>
      <c r="BN1184" s="243"/>
      <c r="BO1184" s="243"/>
      <c r="BP1184" s="243"/>
      <c r="BQ1184" s="243"/>
      <c r="BR1184" s="243"/>
      <c r="BS1184" s="243"/>
    </row>
    <row r="1185" spans="1:71" s="12" customFormat="1" ht="41.25" customHeight="1">
      <c r="A1185" s="178" t="s">
        <v>96</v>
      </c>
      <c r="B1185" s="75" t="s">
        <v>1839</v>
      </c>
      <c r="C1185" s="39" t="s">
        <v>17</v>
      </c>
      <c r="D1185" s="352">
        <v>300</v>
      </c>
      <c r="E1185" s="352">
        <v>200</v>
      </c>
      <c r="F1185" s="352">
        <v>50</v>
      </c>
      <c r="G1185" s="352">
        <v>50</v>
      </c>
      <c r="H1185" s="240">
        <f>SUM(Tabla1321124[[#This Row],[PRIMER TRIMESTRE]:[CUARTO TRIMESTRE]])</f>
        <v>600</v>
      </c>
      <c r="I1185" s="17">
        <v>7500</v>
      </c>
      <c r="J1185" s="17">
        <f t="shared" si="22"/>
        <v>4500000</v>
      </c>
      <c r="K1185" s="17"/>
      <c r="L1185" s="16" t="s">
        <v>18</v>
      </c>
      <c r="M1185" s="16" t="s">
        <v>22</v>
      </c>
      <c r="N1185" s="16"/>
      <c r="O1185" s="243"/>
      <c r="P1185" s="243"/>
      <c r="Q1185" s="243"/>
      <c r="R1185" s="243"/>
      <c r="S1185" s="243"/>
      <c r="T1185" s="243"/>
      <c r="U1185" s="243"/>
      <c r="V1185" s="243"/>
      <c r="W1185" s="243"/>
      <c r="X1185" s="243"/>
      <c r="Y1185" s="243"/>
      <c r="Z1185" s="243"/>
      <c r="AA1185" s="243"/>
      <c r="AB1185" s="243"/>
      <c r="AC1185" s="243"/>
      <c r="AD1185" s="243"/>
      <c r="AE1185" s="243"/>
      <c r="AF1185" s="243"/>
      <c r="AG1185" s="243"/>
      <c r="AH1185" s="243"/>
      <c r="AI1185" s="243"/>
      <c r="AJ1185" s="243"/>
      <c r="AK1185" s="243"/>
      <c r="AL1185" s="243"/>
      <c r="AM1185" s="243"/>
      <c r="AN1185" s="243"/>
      <c r="AO1185" s="243"/>
      <c r="AP1185" s="243"/>
      <c r="AQ1185" s="243"/>
      <c r="AR1185" s="243"/>
      <c r="AS1185" s="243"/>
      <c r="AT1185" s="243"/>
      <c r="AU1185" s="243"/>
      <c r="AV1185" s="243"/>
      <c r="AW1185" s="243"/>
      <c r="AX1185" s="243"/>
      <c r="AY1185" s="243"/>
      <c r="AZ1185" s="243"/>
      <c r="BA1185" s="243"/>
      <c r="BB1185" s="243"/>
      <c r="BC1185" s="243"/>
      <c r="BD1185" s="243"/>
      <c r="BE1185" s="243"/>
      <c r="BF1185" s="243"/>
      <c r="BG1185" s="243"/>
      <c r="BH1185" s="243"/>
      <c r="BI1185" s="243"/>
      <c r="BJ1185" s="243"/>
      <c r="BK1185" s="243"/>
      <c r="BL1185" s="243"/>
      <c r="BM1185" s="243"/>
      <c r="BN1185" s="243"/>
      <c r="BO1185" s="243"/>
      <c r="BP1185" s="243"/>
      <c r="BQ1185" s="243"/>
      <c r="BR1185" s="243"/>
      <c r="BS1185" s="243"/>
    </row>
    <row r="1186" spans="1:71" s="12" customFormat="1" ht="41.25" customHeight="1">
      <c r="A1186" s="178" t="s">
        <v>96</v>
      </c>
      <c r="B1186" s="377" t="str">
        <f ca="1">+UPPER(Tabla1321124[[#This Row],[DESCRIPCIÓN DE LA COMPRA O CONTRATACIÓN]])</f>
        <v>MONITORES DE FASE TRIFÁSICO REGULADO A 20% A 440VOLTIOS</v>
      </c>
      <c r="C1186" s="39" t="s">
        <v>17</v>
      </c>
      <c r="D1186" s="378">
        <v>20</v>
      </c>
      <c r="E1186" s="369">
        <v>10</v>
      </c>
      <c r="F1186" s="369">
        <v>10</v>
      </c>
      <c r="G1186" s="369">
        <v>10</v>
      </c>
      <c r="H1186" s="240">
        <f>SUM(Tabla1321124[[#This Row],[PRIMER TRIMESTRE]:[CUARTO TRIMESTRE]])</f>
        <v>50</v>
      </c>
      <c r="I1186" s="17">
        <v>14890</v>
      </c>
      <c r="J1186" s="17">
        <f t="shared" si="22"/>
        <v>744500</v>
      </c>
      <c r="K1186" s="175"/>
      <c r="L1186" s="16" t="s">
        <v>18</v>
      </c>
      <c r="M1186" s="16" t="s">
        <v>19</v>
      </c>
      <c r="N1186" s="16"/>
      <c r="O1186" s="243"/>
      <c r="P1186" s="243"/>
      <c r="Q1186" s="243"/>
      <c r="R1186" s="243"/>
      <c r="S1186" s="243"/>
      <c r="T1186" s="243"/>
      <c r="U1186" s="243"/>
      <c r="V1186" s="243"/>
      <c r="W1186" s="243"/>
      <c r="X1186" s="243"/>
      <c r="Y1186" s="243"/>
      <c r="Z1186" s="243"/>
      <c r="AA1186" s="243"/>
      <c r="AB1186" s="243"/>
      <c r="AC1186" s="243"/>
      <c r="AD1186" s="243"/>
      <c r="AE1186" s="243"/>
      <c r="AF1186" s="243"/>
      <c r="AG1186" s="243"/>
      <c r="AH1186" s="243"/>
      <c r="AI1186" s="243"/>
      <c r="AJ1186" s="243"/>
      <c r="AK1186" s="243"/>
      <c r="AL1186" s="243"/>
      <c r="AM1186" s="243"/>
      <c r="AN1186" s="243"/>
      <c r="AO1186" s="243"/>
      <c r="AP1186" s="243"/>
      <c r="AQ1186" s="243"/>
      <c r="AR1186" s="243"/>
      <c r="AS1186" s="243"/>
      <c r="AT1186" s="243"/>
      <c r="AU1186" s="243"/>
      <c r="AV1186" s="243"/>
      <c r="AW1186" s="243"/>
      <c r="AX1186" s="243"/>
      <c r="AY1186" s="243"/>
      <c r="AZ1186" s="243"/>
      <c r="BA1186" s="243"/>
      <c r="BB1186" s="243"/>
      <c r="BC1186" s="243"/>
      <c r="BD1186" s="243"/>
      <c r="BE1186" s="243"/>
      <c r="BF1186" s="243"/>
      <c r="BG1186" s="243"/>
      <c r="BH1186" s="243"/>
      <c r="BI1186" s="243"/>
      <c r="BJ1186" s="243"/>
      <c r="BK1186" s="243"/>
      <c r="BL1186" s="243"/>
      <c r="BM1186" s="243"/>
      <c r="BN1186" s="243"/>
      <c r="BO1186" s="243"/>
      <c r="BP1186" s="243"/>
      <c r="BQ1186" s="243"/>
      <c r="BR1186" s="243"/>
      <c r="BS1186" s="243"/>
    </row>
    <row r="1187" spans="1:71" s="12" customFormat="1" ht="41.25" customHeight="1">
      <c r="A1187" s="178" t="s">
        <v>1676</v>
      </c>
      <c r="B1187" s="77" t="str">
        <f ca="1">+UPPER(Tabla1321124[[#This Row],[DESCRIPCIÓN DE LA COMPRA O CONTRATACIÓN]])</f>
        <v>MOTOR ELECTRICO VERTICAL DE 40 HP, 460V, 3Ø, 1775 RPM, 60HZ, EJE HUECO, MECANISMO DE NO REVERSION</v>
      </c>
      <c r="C1187" s="39" t="s">
        <v>17</v>
      </c>
      <c r="D1187" s="352">
        <f>8+3</f>
        <v>11</v>
      </c>
      <c r="E1187" s="352">
        <v>20</v>
      </c>
      <c r="F1187" s="352">
        <v>2</v>
      </c>
      <c r="G1187" s="352">
        <v>10</v>
      </c>
      <c r="H1187" s="240">
        <f>SUM(Tabla1321124[[#This Row],[PRIMER TRIMESTRE]:[CUARTO TRIMESTRE]])</f>
        <v>43</v>
      </c>
      <c r="I1187" s="17">
        <v>8500</v>
      </c>
      <c r="J1187" s="17">
        <f t="shared" si="22"/>
        <v>365500</v>
      </c>
      <c r="K1187" s="17"/>
      <c r="L1187" s="16" t="s">
        <v>18</v>
      </c>
      <c r="M1187" s="16" t="s">
        <v>19</v>
      </c>
      <c r="N1187" s="16"/>
      <c r="O1187" s="243"/>
      <c r="P1187" s="243"/>
      <c r="Q1187" s="243"/>
      <c r="R1187" s="243"/>
      <c r="S1187" s="243"/>
      <c r="T1187" s="243"/>
      <c r="U1187" s="243"/>
      <c r="V1187" s="243"/>
      <c r="W1187" s="243"/>
      <c r="X1187" s="243"/>
      <c r="Y1187" s="243"/>
      <c r="Z1187" s="243"/>
      <c r="AA1187" s="243"/>
      <c r="AB1187" s="243"/>
      <c r="AC1187" s="243"/>
      <c r="AD1187" s="243"/>
      <c r="AE1187" s="243"/>
      <c r="AF1187" s="243"/>
      <c r="AG1187" s="243"/>
      <c r="AH1187" s="243"/>
      <c r="AI1187" s="243"/>
      <c r="AJ1187" s="243"/>
      <c r="AK1187" s="243"/>
      <c r="AL1187" s="243"/>
      <c r="AM1187" s="243"/>
      <c r="AN1187" s="243"/>
      <c r="AO1187" s="243"/>
      <c r="AP1187" s="243"/>
      <c r="AQ1187" s="243"/>
      <c r="AR1187" s="243"/>
      <c r="AS1187" s="243"/>
      <c r="AT1187" s="243"/>
      <c r="AU1187" s="243"/>
      <c r="AV1187" s="243"/>
      <c r="AW1187" s="243"/>
      <c r="AX1187" s="243"/>
      <c r="AY1187" s="243"/>
      <c r="AZ1187" s="243"/>
      <c r="BA1187" s="243"/>
      <c r="BB1187" s="243"/>
      <c r="BC1187" s="243"/>
      <c r="BD1187" s="243"/>
      <c r="BE1187" s="243"/>
      <c r="BF1187" s="243"/>
      <c r="BG1187" s="243"/>
      <c r="BH1187" s="243"/>
      <c r="BI1187" s="243"/>
      <c r="BJ1187" s="243"/>
      <c r="BK1187" s="243"/>
      <c r="BL1187" s="243"/>
      <c r="BM1187" s="243"/>
      <c r="BN1187" s="243"/>
      <c r="BO1187" s="243"/>
      <c r="BP1187" s="243"/>
      <c r="BQ1187" s="243"/>
      <c r="BR1187" s="243"/>
      <c r="BS1187" s="243"/>
    </row>
    <row r="1188" spans="1:71" s="12" customFormat="1" ht="41.25" customHeight="1">
      <c r="A1188" s="178" t="s">
        <v>96</v>
      </c>
      <c r="B1188" s="77" t="str">
        <f ca="1">+UPPER(Tabla1321124[[#This Row],[DESCRIPCIÓN DE LA COMPRA O CONTRATACIÓN]])</f>
        <v>MOTOR ELECTRICO VERTICAL DE 1 HP, 3Ø, 460V, 60HZ, 1750 RPM EJE SOLIDO CON CAPACIDAD DE OPERAR CON SUSTANCIAS CORROSIVAS</v>
      </c>
      <c r="C1188" s="39" t="s">
        <v>17</v>
      </c>
      <c r="D1188" s="352">
        <f>5+2</f>
        <v>7</v>
      </c>
      <c r="E1188" s="352">
        <v>5</v>
      </c>
      <c r="F1188" s="352">
        <v>5</v>
      </c>
      <c r="G1188" s="352">
        <v>5</v>
      </c>
      <c r="H1188" s="240">
        <f>SUM(Tabla1321124[[#This Row],[PRIMER TRIMESTRE]:[CUARTO TRIMESTRE]])</f>
        <v>22</v>
      </c>
      <c r="I1188" s="17">
        <v>9500</v>
      </c>
      <c r="J1188" s="17">
        <f t="shared" si="22"/>
        <v>209000</v>
      </c>
      <c r="K1188" s="17"/>
      <c r="L1188" s="16" t="s">
        <v>18</v>
      </c>
      <c r="M1188" s="16" t="s">
        <v>19</v>
      </c>
      <c r="N1188" s="16"/>
      <c r="O1188" s="243"/>
      <c r="P1188" s="243"/>
      <c r="Q1188" s="243"/>
      <c r="R1188" s="243"/>
      <c r="S1188" s="243"/>
      <c r="T1188" s="243"/>
      <c r="U1188" s="243"/>
      <c r="V1188" s="243"/>
      <c r="W1188" s="243"/>
      <c r="X1188" s="243"/>
      <c r="Y1188" s="243"/>
      <c r="Z1188" s="243"/>
      <c r="AA1188" s="243"/>
      <c r="AB1188" s="243"/>
      <c r="AC1188" s="243"/>
      <c r="AD1188" s="243"/>
      <c r="AE1188" s="243"/>
      <c r="AF1188" s="243"/>
      <c r="AG1188" s="243"/>
      <c r="AH1188" s="243"/>
      <c r="AI1188" s="243"/>
      <c r="AJ1188" s="243"/>
      <c r="AK1188" s="243"/>
      <c r="AL1188" s="243"/>
      <c r="AM1188" s="243"/>
      <c r="AN1188" s="243"/>
      <c r="AO1188" s="243"/>
      <c r="AP1188" s="243"/>
      <c r="AQ1188" s="243"/>
      <c r="AR1188" s="243"/>
      <c r="AS1188" s="243"/>
      <c r="AT1188" s="243"/>
      <c r="AU1188" s="243"/>
      <c r="AV1188" s="243"/>
      <c r="AW1188" s="243"/>
      <c r="AX1188" s="243"/>
      <c r="AY1188" s="243"/>
      <c r="AZ1188" s="243"/>
      <c r="BA1188" s="243"/>
      <c r="BB1188" s="243"/>
      <c r="BC1188" s="243"/>
      <c r="BD1188" s="243"/>
      <c r="BE1188" s="243"/>
      <c r="BF1188" s="243"/>
      <c r="BG1188" s="243"/>
      <c r="BH1188" s="243"/>
      <c r="BI1188" s="243"/>
      <c r="BJ1188" s="243"/>
      <c r="BK1188" s="243"/>
      <c r="BL1188" s="243"/>
      <c r="BM1188" s="243"/>
      <c r="BN1188" s="243"/>
      <c r="BO1188" s="243"/>
      <c r="BP1188" s="243"/>
      <c r="BQ1188" s="243"/>
      <c r="BR1188" s="243"/>
      <c r="BS1188" s="243"/>
    </row>
    <row r="1189" spans="1:71" s="12" customFormat="1" ht="41.25" customHeight="1">
      <c r="A1189" s="178" t="s">
        <v>96</v>
      </c>
      <c r="B1189" s="77" t="str">
        <f ca="1">+UPPER(Tabla1321124[[#This Row],[DESCRIPCIÓN DE LA COMPRA O CONTRATACIÓN]])</f>
        <v>MOTORES ELÉCTRICOS SUMERGIBLES, 3Ø, 230 /460 VOLTIOS, 60HZ, 1.15 FS, 3,450 RPM 2 HP NEMA 4</v>
      </c>
      <c r="C1189" s="39" t="s">
        <v>17</v>
      </c>
      <c r="D1189" s="352">
        <f>8+5</f>
        <v>13</v>
      </c>
      <c r="E1189" s="352">
        <f>4+3</f>
        <v>7</v>
      </c>
      <c r="F1189" s="352">
        <f>2+3</f>
        <v>5</v>
      </c>
      <c r="G1189" s="352">
        <f>2+3</f>
        <v>5</v>
      </c>
      <c r="H1189" s="240">
        <f>SUM(Tabla1321124[[#This Row],[PRIMER TRIMESTRE]:[CUARTO TRIMESTRE]])</f>
        <v>30</v>
      </c>
      <c r="I1189" s="17">
        <v>16500</v>
      </c>
      <c r="J1189" s="17">
        <f t="shared" si="22"/>
        <v>495000</v>
      </c>
      <c r="K1189" s="17"/>
      <c r="L1189" s="16" t="s">
        <v>18</v>
      </c>
      <c r="M1189" s="16" t="s">
        <v>19</v>
      </c>
      <c r="N1189" s="16"/>
      <c r="O1189" s="243"/>
      <c r="P1189" s="243"/>
      <c r="Q1189" s="243"/>
      <c r="R1189" s="243"/>
      <c r="S1189" s="243"/>
      <c r="T1189" s="243"/>
      <c r="U1189" s="243"/>
      <c r="V1189" s="243"/>
      <c r="W1189" s="243"/>
      <c r="X1189" s="243"/>
      <c r="Y1189" s="243"/>
      <c r="Z1189" s="243"/>
      <c r="AA1189" s="243"/>
      <c r="AB1189" s="243"/>
      <c r="AC1189" s="243"/>
      <c r="AD1189" s="243"/>
      <c r="AE1189" s="243"/>
      <c r="AF1189" s="243"/>
      <c r="AG1189" s="243"/>
      <c r="AH1189" s="243"/>
      <c r="AI1189" s="243"/>
      <c r="AJ1189" s="243"/>
      <c r="AK1189" s="243"/>
      <c r="AL1189" s="243"/>
      <c r="AM1189" s="243"/>
      <c r="AN1189" s="243"/>
      <c r="AO1189" s="243"/>
      <c r="AP1189" s="243"/>
      <c r="AQ1189" s="243"/>
      <c r="AR1189" s="243"/>
      <c r="AS1189" s="243"/>
      <c r="AT1189" s="243"/>
      <c r="AU1189" s="243"/>
      <c r="AV1189" s="243"/>
      <c r="AW1189" s="243"/>
      <c r="AX1189" s="243"/>
      <c r="AY1189" s="243"/>
      <c r="AZ1189" s="243"/>
      <c r="BA1189" s="243"/>
      <c r="BB1189" s="243"/>
      <c r="BC1189" s="243"/>
      <c r="BD1189" s="243"/>
      <c r="BE1189" s="243"/>
      <c r="BF1189" s="243"/>
      <c r="BG1189" s="243"/>
      <c r="BH1189" s="243"/>
      <c r="BI1189" s="243"/>
      <c r="BJ1189" s="243"/>
      <c r="BK1189" s="243"/>
      <c r="BL1189" s="243"/>
      <c r="BM1189" s="243"/>
      <c r="BN1189" s="243"/>
      <c r="BO1189" s="243"/>
      <c r="BP1189" s="243"/>
      <c r="BQ1189" s="243"/>
      <c r="BR1189" s="243"/>
      <c r="BS1189" s="243"/>
    </row>
    <row r="1190" spans="1:71" s="12" customFormat="1" ht="41.25" customHeight="1">
      <c r="A1190" s="178" t="s">
        <v>96</v>
      </c>
      <c r="B1190" s="75" t="str">
        <f ca="1">+UPPER(Tabla1321124[[#This Row],[DESCRIPCIÓN DE LA COMPRA O CONTRATACIÓN]])</f>
        <v>MOTOR SUMERGIBLE DE 25 HP, 60HZ, 460V, 3Ø, 3450 ROM</v>
      </c>
      <c r="C1190" s="39" t="s">
        <v>17</v>
      </c>
      <c r="D1190" s="352">
        <f>8+1</f>
        <v>9</v>
      </c>
      <c r="E1190" s="352">
        <f>20+1</f>
        <v>21</v>
      </c>
      <c r="F1190" s="352">
        <f>2+1</f>
        <v>3</v>
      </c>
      <c r="G1190" s="352">
        <f>10+1</f>
        <v>11</v>
      </c>
      <c r="H1190" s="240">
        <f>SUM(Tabla1321124[[#This Row],[PRIMER TRIMESTRE]:[CUARTO TRIMESTRE]])</f>
        <v>44</v>
      </c>
      <c r="I1190" s="17">
        <v>12600</v>
      </c>
      <c r="J1190" s="17">
        <f t="shared" si="22"/>
        <v>554400</v>
      </c>
      <c r="K1190" s="17"/>
      <c r="L1190" s="16" t="s">
        <v>18</v>
      </c>
      <c r="M1190" s="16" t="s">
        <v>19</v>
      </c>
      <c r="N1190" s="16"/>
      <c r="O1190" s="243"/>
      <c r="P1190" s="243"/>
      <c r="Q1190" s="243"/>
      <c r="R1190" s="243"/>
      <c r="S1190" s="243"/>
      <c r="T1190" s="243"/>
      <c r="U1190" s="243"/>
      <c r="V1190" s="243"/>
      <c r="W1190" s="243"/>
      <c r="X1190" s="243"/>
      <c r="Y1190" s="243"/>
      <c r="Z1190" s="243"/>
      <c r="AA1190" s="243"/>
      <c r="AB1190" s="243"/>
      <c r="AC1190" s="243"/>
      <c r="AD1190" s="243"/>
      <c r="AE1190" s="243"/>
      <c r="AF1190" s="243"/>
      <c r="AG1190" s="243"/>
      <c r="AH1190" s="243"/>
      <c r="AI1190" s="243"/>
      <c r="AJ1190" s="243"/>
      <c r="AK1190" s="243"/>
      <c r="AL1190" s="243"/>
      <c r="AM1190" s="243"/>
      <c r="AN1190" s="243"/>
      <c r="AO1190" s="243"/>
      <c r="AP1190" s="243"/>
      <c r="AQ1190" s="243"/>
      <c r="AR1190" s="243"/>
      <c r="AS1190" s="243"/>
      <c r="AT1190" s="243"/>
      <c r="AU1190" s="243"/>
      <c r="AV1190" s="243"/>
      <c r="AW1190" s="243"/>
      <c r="AX1190" s="243"/>
      <c r="AY1190" s="243"/>
      <c r="AZ1190" s="243"/>
      <c r="BA1190" s="243"/>
      <c r="BB1190" s="243"/>
      <c r="BC1190" s="243"/>
      <c r="BD1190" s="243"/>
      <c r="BE1190" s="243"/>
      <c r="BF1190" s="243"/>
      <c r="BG1190" s="243"/>
      <c r="BH1190" s="243"/>
      <c r="BI1190" s="243"/>
      <c r="BJ1190" s="243"/>
      <c r="BK1190" s="243"/>
      <c r="BL1190" s="243"/>
      <c r="BM1190" s="243"/>
      <c r="BN1190" s="243"/>
      <c r="BO1190" s="243"/>
      <c r="BP1190" s="243"/>
      <c r="BQ1190" s="243"/>
      <c r="BR1190" s="243"/>
      <c r="BS1190" s="243"/>
    </row>
    <row r="1191" spans="1:71" s="12" customFormat="1" ht="41.25" customHeight="1">
      <c r="A1191" s="178" t="s">
        <v>96</v>
      </c>
      <c r="B1191" s="75" t="str">
        <f ca="1">+UPPER(Tabla1321124[[#This Row],[DESCRIPCIÓN DE LA COMPRA O CONTRATACIÓN]])</f>
        <v>MOTORES ELÉCTRICOS SUMERGIBLES, 3Ø, 230 /460 VOLTIOS, 60HZ, 1.15 FS, 3,450 RPM 5 HP NEMA 4</v>
      </c>
      <c r="C1191" s="39" t="s">
        <v>17</v>
      </c>
      <c r="D1191" s="352">
        <v>20</v>
      </c>
      <c r="E1191" s="352">
        <v>20</v>
      </c>
      <c r="F1191" s="352">
        <v>2</v>
      </c>
      <c r="G1191" s="352">
        <v>10</v>
      </c>
      <c r="H1191" s="240">
        <f>SUM(Tabla1321124[[#This Row],[PRIMER TRIMESTRE]:[CUARTO TRIMESTRE]])</f>
        <v>52</v>
      </c>
      <c r="I1191" s="17">
        <v>60000</v>
      </c>
      <c r="J1191" s="17">
        <f t="shared" si="22"/>
        <v>3120000</v>
      </c>
      <c r="K1191" s="17"/>
      <c r="L1191" s="16" t="s">
        <v>18</v>
      </c>
      <c r="M1191" s="16" t="s">
        <v>19</v>
      </c>
      <c r="N1191" s="16"/>
      <c r="O1191" s="243"/>
      <c r="P1191" s="243"/>
      <c r="Q1191" s="243"/>
      <c r="R1191" s="243"/>
      <c r="S1191" s="243"/>
      <c r="T1191" s="243"/>
      <c r="U1191" s="243"/>
      <c r="V1191" s="243"/>
      <c r="W1191" s="243"/>
      <c r="X1191" s="243"/>
      <c r="Y1191" s="243"/>
      <c r="Z1191" s="243"/>
      <c r="AA1191" s="243"/>
      <c r="AB1191" s="243"/>
      <c r="AC1191" s="243"/>
      <c r="AD1191" s="243"/>
      <c r="AE1191" s="243"/>
      <c r="AF1191" s="243"/>
      <c r="AG1191" s="243"/>
      <c r="AH1191" s="243"/>
      <c r="AI1191" s="243"/>
      <c r="AJ1191" s="243"/>
      <c r="AK1191" s="243"/>
      <c r="AL1191" s="243"/>
      <c r="AM1191" s="243"/>
      <c r="AN1191" s="243"/>
      <c r="AO1191" s="243"/>
      <c r="AP1191" s="243"/>
      <c r="AQ1191" s="243"/>
      <c r="AR1191" s="243"/>
      <c r="AS1191" s="243"/>
      <c r="AT1191" s="243"/>
      <c r="AU1191" s="243"/>
      <c r="AV1191" s="243"/>
      <c r="AW1191" s="243"/>
      <c r="AX1191" s="243"/>
      <c r="AY1191" s="243"/>
      <c r="AZ1191" s="243"/>
      <c r="BA1191" s="243"/>
      <c r="BB1191" s="243"/>
      <c r="BC1191" s="243"/>
      <c r="BD1191" s="243"/>
      <c r="BE1191" s="243"/>
      <c r="BF1191" s="243"/>
      <c r="BG1191" s="243"/>
      <c r="BH1191" s="243"/>
      <c r="BI1191" s="243"/>
      <c r="BJ1191" s="243"/>
      <c r="BK1191" s="243"/>
      <c r="BL1191" s="243"/>
      <c r="BM1191" s="243"/>
      <c r="BN1191" s="243"/>
      <c r="BO1191" s="243"/>
      <c r="BP1191" s="243"/>
      <c r="BQ1191" s="243"/>
      <c r="BR1191" s="243"/>
      <c r="BS1191" s="243"/>
    </row>
    <row r="1192" spans="1:71" s="12" customFormat="1" ht="41.25" customHeight="1">
      <c r="A1192" s="178" t="s">
        <v>96</v>
      </c>
      <c r="B1192" s="75" t="s">
        <v>1807</v>
      </c>
      <c r="C1192" s="39" t="s">
        <v>17</v>
      </c>
      <c r="D1192" s="352">
        <f>4+2</f>
        <v>6</v>
      </c>
      <c r="E1192" s="352">
        <v>8</v>
      </c>
      <c r="F1192" s="352">
        <v>4</v>
      </c>
      <c r="G1192" s="352">
        <v>4</v>
      </c>
      <c r="H1192" s="240">
        <f>SUM(Tabla1321124[[#This Row],[PRIMER TRIMESTRE]:[CUARTO TRIMESTRE]])</f>
        <v>22</v>
      </c>
      <c r="I1192" s="17">
        <v>81217.84</v>
      </c>
      <c r="J1192" s="17">
        <f t="shared" si="22"/>
        <v>1786792.48</v>
      </c>
      <c r="K1192" s="17"/>
      <c r="L1192" s="16" t="s">
        <v>18</v>
      </c>
      <c r="M1192" s="16" t="s">
        <v>19</v>
      </c>
      <c r="N1192" s="16"/>
      <c r="O1192" s="243"/>
      <c r="P1192" s="243"/>
      <c r="Q1192" s="243"/>
      <c r="R1192" s="243"/>
      <c r="S1192" s="243"/>
      <c r="T1192" s="243"/>
      <c r="U1192" s="243"/>
      <c r="V1192" s="243"/>
      <c r="W1192" s="243"/>
      <c r="X1192" s="243"/>
      <c r="Y1192" s="243"/>
      <c r="Z1192" s="243"/>
      <c r="AA1192" s="243"/>
      <c r="AB1192" s="243"/>
      <c r="AC1192" s="243"/>
      <c r="AD1192" s="243"/>
      <c r="AE1192" s="243"/>
      <c r="AF1192" s="243"/>
      <c r="AG1192" s="243"/>
      <c r="AH1192" s="243"/>
      <c r="AI1192" s="243"/>
      <c r="AJ1192" s="243"/>
      <c r="AK1192" s="243"/>
      <c r="AL1192" s="243"/>
      <c r="AM1192" s="243"/>
      <c r="AN1192" s="243"/>
      <c r="AO1192" s="243"/>
      <c r="AP1192" s="243"/>
      <c r="AQ1192" s="243"/>
      <c r="AR1192" s="243"/>
      <c r="AS1192" s="243"/>
      <c r="AT1192" s="243"/>
      <c r="AU1192" s="243"/>
      <c r="AV1192" s="243"/>
      <c r="AW1192" s="243"/>
      <c r="AX1192" s="243"/>
      <c r="AY1192" s="243"/>
      <c r="AZ1192" s="243"/>
      <c r="BA1192" s="243"/>
      <c r="BB1192" s="243"/>
      <c r="BC1192" s="243"/>
      <c r="BD1192" s="243"/>
      <c r="BE1192" s="243"/>
      <c r="BF1192" s="243"/>
      <c r="BG1192" s="243"/>
      <c r="BH1192" s="243"/>
      <c r="BI1192" s="243"/>
      <c r="BJ1192" s="243"/>
      <c r="BK1192" s="243"/>
      <c r="BL1192" s="243"/>
      <c r="BM1192" s="243"/>
      <c r="BN1192" s="243"/>
      <c r="BO1192" s="243"/>
      <c r="BP1192" s="243"/>
      <c r="BQ1192" s="243"/>
      <c r="BR1192" s="243"/>
      <c r="BS1192" s="243"/>
    </row>
    <row r="1193" spans="1:71" s="12" customFormat="1" ht="41.25" customHeight="1">
      <c r="A1193" s="178" t="s">
        <v>96</v>
      </c>
      <c r="B1193" s="75" t="s">
        <v>1808</v>
      </c>
      <c r="C1193" s="39" t="s">
        <v>17</v>
      </c>
      <c r="D1193" s="352">
        <v>10</v>
      </c>
      <c r="E1193" s="352">
        <f>20+1</f>
        <v>21</v>
      </c>
      <c r="F1193" s="352">
        <v>2</v>
      </c>
      <c r="G1193" s="352">
        <f>10+1</f>
        <v>11</v>
      </c>
      <c r="H1193" s="240">
        <f>SUM(Tabla1321124[[#This Row],[PRIMER TRIMESTRE]:[CUARTO TRIMESTRE]])</f>
        <v>44</v>
      </c>
      <c r="I1193" s="17">
        <v>90520</v>
      </c>
      <c r="J1193" s="17">
        <f t="shared" si="22"/>
        <v>3982880</v>
      </c>
      <c r="K1193" s="17"/>
      <c r="L1193" s="16" t="s">
        <v>18</v>
      </c>
      <c r="M1193" s="16" t="s">
        <v>19</v>
      </c>
      <c r="N1193" s="16"/>
      <c r="O1193" s="243"/>
      <c r="P1193" s="243"/>
      <c r="Q1193" s="243"/>
      <c r="R1193" s="243"/>
      <c r="S1193" s="243"/>
      <c r="T1193" s="243"/>
      <c r="U1193" s="243"/>
      <c r="V1193" s="243"/>
      <c r="W1193" s="243"/>
      <c r="X1193" s="243"/>
      <c r="Y1193" s="243"/>
      <c r="Z1193" s="243"/>
      <c r="AA1193" s="243"/>
      <c r="AB1193" s="243"/>
      <c r="AC1193" s="243"/>
      <c r="AD1193" s="243"/>
      <c r="AE1193" s="243"/>
      <c r="AF1193" s="243"/>
      <c r="AG1193" s="243"/>
      <c r="AH1193" s="243"/>
      <c r="AI1193" s="243"/>
      <c r="AJ1193" s="243"/>
      <c r="AK1193" s="243"/>
      <c r="AL1193" s="243"/>
      <c r="AM1193" s="243"/>
      <c r="AN1193" s="243"/>
      <c r="AO1193" s="243"/>
      <c r="AP1193" s="243"/>
      <c r="AQ1193" s="243"/>
      <c r="AR1193" s="243"/>
      <c r="AS1193" s="243"/>
      <c r="AT1193" s="243"/>
      <c r="AU1193" s="243"/>
      <c r="AV1193" s="243"/>
      <c r="AW1193" s="243"/>
      <c r="AX1193" s="243"/>
      <c r="AY1193" s="243"/>
      <c r="AZ1193" s="243"/>
      <c r="BA1193" s="243"/>
      <c r="BB1193" s="243"/>
      <c r="BC1193" s="243"/>
      <c r="BD1193" s="243"/>
      <c r="BE1193" s="243"/>
      <c r="BF1193" s="243"/>
      <c r="BG1193" s="243"/>
      <c r="BH1193" s="243"/>
      <c r="BI1193" s="243"/>
      <c r="BJ1193" s="243"/>
      <c r="BK1193" s="243"/>
      <c r="BL1193" s="243"/>
      <c r="BM1193" s="243"/>
      <c r="BN1193" s="243"/>
      <c r="BO1193" s="243"/>
      <c r="BP1193" s="243"/>
      <c r="BQ1193" s="243"/>
      <c r="BR1193" s="243"/>
      <c r="BS1193" s="243"/>
    </row>
    <row r="1194" spans="1:71" s="12" customFormat="1" ht="41.25" customHeight="1">
      <c r="A1194" s="178" t="s">
        <v>96</v>
      </c>
      <c r="B1194" s="75" t="str">
        <f ca="1">+UPPER(Tabla1321124[[#This Row],[DESCRIPCIÓN DE LA COMPRA O CONTRATACIÓN]])</f>
        <v>MOTORES ELÉCTRICOS SUMERGIBLES, 3Ø, 230 /460 VOLTIOS, 60HZ, 1.15 FS, 3,450 RPM 30 HP NEMA 6</v>
      </c>
      <c r="C1194" s="39" t="s">
        <v>17</v>
      </c>
      <c r="D1194" s="352">
        <v>10</v>
      </c>
      <c r="E1194" s="352">
        <v>21</v>
      </c>
      <c r="F1194" s="352">
        <v>2</v>
      </c>
      <c r="G1194" s="352">
        <v>20</v>
      </c>
      <c r="H1194" s="240">
        <f>SUM(Tabla1321124[[#This Row],[PRIMER TRIMESTRE]:[CUARTO TRIMESTRE]])</f>
        <v>53</v>
      </c>
      <c r="I1194" s="17">
        <v>107544.96000000001</v>
      </c>
      <c r="J1194" s="17">
        <f t="shared" si="22"/>
        <v>5699882.8799999999</v>
      </c>
      <c r="K1194" s="17"/>
      <c r="L1194" s="16" t="s">
        <v>18</v>
      </c>
      <c r="M1194" s="16" t="s">
        <v>19</v>
      </c>
      <c r="N1194" s="16"/>
      <c r="O1194" s="243"/>
      <c r="P1194" s="243"/>
      <c r="Q1194" s="243"/>
      <c r="R1194" s="243"/>
      <c r="S1194" s="243"/>
      <c r="T1194" s="243"/>
      <c r="U1194" s="243"/>
      <c r="V1194" s="243"/>
      <c r="W1194" s="243"/>
      <c r="X1194" s="243"/>
      <c r="Y1194" s="243"/>
      <c r="Z1194" s="243"/>
      <c r="AA1194" s="243"/>
      <c r="AB1194" s="243"/>
      <c r="AC1194" s="243"/>
      <c r="AD1194" s="243"/>
      <c r="AE1194" s="243"/>
      <c r="AF1194" s="243"/>
      <c r="AG1194" s="243"/>
      <c r="AH1194" s="243"/>
      <c r="AI1194" s="243"/>
      <c r="AJ1194" s="243"/>
      <c r="AK1194" s="243"/>
      <c r="AL1194" s="243"/>
      <c r="AM1194" s="243"/>
      <c r="AN1194" s="243"/>
      <c r="AO1194" s="243"/>
      <c r="AP1194" s="243"/>
      <c r="AQ1194" s="243"/>
      <c r="AR1194" s="243"/>
      <c r="AS1194" s="243"/>
      <c r="AT1194" s="243"/>
      <c r="AU1194" s="243"/>
      <c r="AV1194" s="243"/>
      <c r="AW1194" s="243"/>
      <c r="AX1194" s="243"/>
      <c r="AY1194" s="243"/>
      <c r="AZ1194" s="243"/>
      <c r="BA1194" s="243"/>
      <c r="BB1194" s="243"/>
      <c r="BC1194" s="243"/>
      <c r="BD1194" s="243"/>
      <c r="BE1194" s="243"/>
      <c r="BF1194" s="243"/>
      <c r="BG1194" s="243"/>
      <c r="BH1194" s="243"/>
      <c r="BI1194" s="243"/>
      <c r="BJ1194" s="243"/>
      <c r="BK1194" s="243"/>
      <c r="BL1194" s="243"/>
      <c r="BM1194" s="243"/>
      <c r="BN1194" s="243"/>
      <c r="BO1194" s="243"/>
      <c r="BP1194" s="243"/>
      <c r="BQ1194" s="243"/>
      <c r="BR1194" s="243"/>
      <c r="BS1194" s="243"/>
    </row>
    <row r="1195" spans="1:71" s="12" customFormat="1" ht="41.25" customHeight="1">
      <c r="A1195" s="178" t="s">
        <v>96</v>
      </c>
      <c r="B1195" s="75" t="str">
        <f ca="1">+UPPER(Tabla1321124[[#This Row],[DESCRIPCIÓN DE LA COMPRA O CONTRATACIÓN]])</f>
        <v>MOTOR ELECTRICO SUMERGIBLE DE 10HP, 3Ø, 460V, 60HZ, 3450 RPM, Ø6''</v>
      </c>
      <c r="C1195" s="39" t="s">
        <v>17</v>
      </c>
      <c r="D1195" s="352">
        <v>10</v>
      </c>
      <c r="E1195" s="352">
        <v>20</v>
      </c>
      <c r="F1195" s="352">
        <v>2</v>
      </c>
      <c r="G1195" s="352">
        <v>20</v>
      </c>
      <c r="H1195" s="240">
        <f>SUM(Tabla1321124[[#This Row],[PRIMER TRIMESTRE]:[CUARTO TRIMESTRE]])</f>
        <v>52</v>
      </c>
      <c r="I1195" s="17">
        <v>75000</v>
      </c>
      <c r="J1195" s="17">
        <f t="shared" si="22"/>
        <v>3900000</v>
      </c>
      <c r="K1195" s="17"/>
      <c r="L1195" s="16" t="s">
        <v>18</v>
      </c>
      <c r="M1195" s="16" t="s">
        <v>19</v>
      </c>
      <c r="N1195" s="16"/>
      <c r="O1195" s="243"/>
      <c r="P1195" s="243"/>
      <c r="Q1195" s="243"/>
      <c r="R1195" s="243"/>
      <c r="S1195" s="243"/>
      <c r="T1195" s="243"/>
      <c r="U1195" s="243"/>
      <c r="V1195" s="243"/>
      <c r="W1195" s="243"/>
      <c r="X1195" s="243"/>
      <c r="Y1195" s="243"/>
      <c r="Z1195" s="243"/>
      <c r="AA1195" s="243"/>
      <c r="AB1195" s="243"/>
      <c r="AC1195" s="243"/>
      <c r="AD1195" s="243"/>
      <c r="AE1195" s="243"/>
      <c r="AF1195" s="243"/>
      <c r="AG1195" s="243"/>
      <c r="AH1195" s="243"/>
      <c r="AI1195" s="243"/>
      <c r="AJ1195" s="243"/>
      <c r="AK1195" s="243"/>
      <c r="AL1195" s="243"/>
      <c r="AM1195" s="243"/>
      <c r="AN1195" s="243"/>
      <c r="AO1195" s="243"/>
      <c r="AP1195" s="243"/>
      <c r="AQ1195" s="243"/>
      <c r="AR1195" s="243"/>
      <c r="AS1195" s="243"/>
      <c r="AT1195" s="243"/>
      <c r="AU1195" s="243"/>
      <c r="AV1195" s="243"/>
      <c r="AW1195" s="243"/>
      <c r="AX1195" s="243"/>
      <c r="AY1195" s="243"/>
      <c r="AZ1195" s="243"/>
      <c r="BA1195" s="243"/>
      <c r="BB1195" s="243"/>
      <c r="BC1195" s="243"/>
      <c r="BD1195" s="243"/>
      <c r="BE1195" s="243"/>
      <c r="BF1195" s="243"/>
      <c r="BG1195" s="243"/>
      <c r="BH1195" s="243"/>
      <c r="BI1195" s="243"/>
      <c r="BJ1195" s="243"/>
      <c r="BK1195" s="243"/>
      <c r="BL1195" s="243"/>
      <c r="BM1195" s="243"/>
      <c r="BN1195" s="243"/>
      <c r="BO1195" s="243"/>
      <c r="BP1195" s="243"/>
      <c r="BQ1195" s="243"/>
      <c r="BR1195" s="243"/>
      <c r="BS1195" s="243"/>
    </row>
    <row r="1196" spans="1:71" s="12" customFormat="1" ht="41.25" customHeight="1">
      <c r="A1196" s="178" t="s">
        <v>96</v>
      </c>
      <c r="B1196" s="75" t="str">
        <f ca="1">+UPPER(Tabla1321124[[#This Row],[DESCRIPCIÓN DE LA COMPRA O CONTRATACIÓN]])</f>
        <v>MOTORES ELECTRICOS SUMERGIBLES DE 40P TRIFASICO</v>
      </c>
      <c r="C1196" s="39" t="s">
        <v>17</v>
      </c>
      <c r="D1196" s="352"/>
      <c r="E1196" s="352"/>
      <c r="F1196" s="352"/>
      <c r="G1196" s="352"/>
      <c r="H1196" s="240">
        <f>SUM(Tabla1321124[[#This Row],[PRIMER TRIMESTRE]:[CUARTO TRIMESTRE]])</f>
        <v>0</v>
      </c>
      <c r="I1196" s="17">
        <v>132750</v>
      </c>
      <c r="J1196" s="17">
        <f t="shared" si="22"/>
        <v>0</v>
      </c>
      <c r="K1196" s="17"/>
      <c r="L1196" s="16" t="s">
        <v>18</v>
      </c>
      <c r="M1196" s="16" t="s">
        <v>19</v>
      </c>
      <c r="N1196" s="16"/>
      <c r="O1196" s="243"/>
      <c r="P1196" s="243"/>
      <c r="Q1196" s="243"/>
      <c r="R1196" s="243"/>
      <c r="S1196" s="243"/>
      <c r="T1196" s="243"/>
      <c r="U1196" s="243"/>
      <c r="V1196" s="243"/>
      <c r="W1196" s="243"/>
      <c r="X1196" s="243"/>
      <c r="Y1196" s="243"/>
      <c r="Z1196" s="243"/>
      <c r="AA1196" s="243"/>
      <c r="AB1196" s="243"/>
      <c r="AC1196" s="243"/>
      <c r="AD1196" s="243"/>
      <c r="AE1196" s="243"/>
      <c r="AF1196" s="243"/>
      <c r="AG1196" s="243"/>
      <c r="AH1196" s="243"/>
      <c r="AI1196" s="243"/>
      <c r="AJ1196" s="243"/>
      <c r="AK1196" s="243"/>
      <c r="AL1196" s="243"/>
      <c r="AM1196" s="243"/>
      <c r="AN1196" s="243"/>
      <c r="AO1196" s="243"/>
      <c r="AP1196" s="243"/>
      <c r="AQ1196" s="243"/>
      <c r="AR1196" s="243"/>
      <c r="AS1196" s="243"/>
      <c r="AT1196" s="243"/>
      <c r="AU1196" s="243"/>
      <c r="AV1196" s="243"/>
      <c r="AW1196" s="243"/>
      <c r="AX1196" s="243"/>
      <c r="AY1196" s="243"/>
      <c r="AZ1196" s="243"/>
      <c r="BA1196" s="243"/>
      <c r="BB1196" s="243"/>
      <c r="BC1196" s="243"/>
      <c r="BD1196" s="243"/>
      <c r="BE1196" s="243"/>
      <c r="BF1196" s="243"/>
      <c r="BG1196" s="243"/>
      <c r="BH1196" s="243"/>
      <c r="BI1196" s="243"/>
      <c r="BJ1196" s="243"/>
      <c r="BK1196" s="243"/>
      <c r="BL1196" s="243"/>
      <c r="BM1196" s="243"/>
      <c r="BN1196" s="243"/>
      <c r="BO1196" s="243"/>
      <c r="BP1196" s="243"/>
      <c r="BQ1196" s="243"/>
      <c r="BR1196" s="243"/>
      <c r="BS1196" s="243"/>
    </row>
    <row r="1197" spans="1:71" s="12" customFormat="1" ht="41.25" customHeight="1">
      <c r="A1197" s="178" t="s">
        <v>96</v>
      </c>
      <c r="B1197" s="75" t="str">
        <f ca="1">+UPPER(Tabla1321124[[#This Row],[DESCRIPCIÓN DE LA COMPRA O CONTRATACIÓN]])</f>
        <v>MOTORES ELECTRICOS SUMERGIBLES 30HP TRIFASICO</v>
      </c>
      <c r="C1197" s="39" t="s">
        <v>17</v>
      </c>
      <c r="D1197" s="352"/>
      <c r="E1197" s="352"/>
      <c r="F1197" s="352"/>
      <c r="G1197" s="352"/>
      <c r="H1197" s="240">
        <f>SUM(Tabla1321124[[#This Row],[PRIMER TRIMESTRE]:[CUARTO TRIMESTRE]])</f>
        <v>0</v>
      </c>
      <c r="I1197" s="17">
        <v>151330</v>
      </c>
      <c r="J1197" s="17">
        <f t="shared" si="22"/>
        <v>0</v>
      </c>
      <c r="K1197" s="17"/>
      <c r="L1197" s="16" t="s">
        <v>18</v>
      </c>
      <c r="M1197" s="16" t="s">
        <v>19</v>
      </c>
      <c r="N1197" s="16"/>
      <c r="O1197" s="243"/>
      <c r="P1197" s="243"/>
      <c r="Q1197" s="243"/>
      <c r="R1197" s="243"/>
      <c r="S1197" s="243"/>
      <c r="T1197" s="243"/>
      <c r="U1197" s="243"/>
      <c r="V1197" s="243"/>
      <c r="W1197" s="243"/>
      <c r="X1197" s="243"/>
      <c r="Y1197" s="243"/>
      <c r="Z1197" s="243"/>
      <c r="AA1197" s="243"/>
      <c r="AB1197" s="243"/>
      <c r="AC1197" s="243"/>
      <c r="AD1197" s="243"/>
      <c r="AE1197" s="243"/>
      <c r="AF1197" s="243"/>
      <c r="AG1197" s="243"/>
      <c r="AH1197" s="243"/>
      <c r="AI1197" s="243"/>
      <c r="AJ1197" s="243"/>
      <c r="AK1197" s="243"/>
      <c r="AL1197" s="243"/>
      <c r="AM1197" s="243"/>
      <c r="AN1197" s="243"/>
      <c r="AO1197" s="243"/>
      <c r="AP1197" s="243"/>
      <c r="AQ1197" s="243"/>
      <c r="AR1197" s="243"/>
      <c r="AS1197" s="243"/>
      <c r="AT1197" s="243"/>
      <c r="AU1197" s="243"/>
      <c r="AV1197" s="243"/>
      <c r="AW1197" s="243"/>
      <c r="AX1197" s="243"/>
      <c r="AY1197" s="243"/>
      <c r="AZ1197" s="243"/>
      <c r="BA1197" s="243"/>
      <c r="BB1197" s="243"/>
      <c r="BC1197" s="243"/>
      <c r="BD1197" s="243"/>
      <c r="BE1197" s="243"/>
      <c r="BF1197" s="243"/>
      <c r="BG1197" s="243"/>
      <c r="BH1197" s="243"/>
      <c r="BI1197" s="243"/>
      <c r="BJ1197" s="243"/>
      <c r="BK1197" s="243"/>
      <c r="BL1197" s="243"/>
      <c r="BM1197" s="243"/>
      <c r="BN1197" s="243"/>
      <c r="BO1197" s="243"/>
      <c r="BP1197" s="243"/>
      <c r="BQ1197" s="243"/>
      <c r="BR1197" s="243"/>
      <c r="BS1197" s="243"/>
    </row>
    <row r="1198" spans="1:71" s="12" customFormat="1" ht="41.25" customHeight="1">
      <c r="A1198" s="178" t="s">
        <v>96</v>
      </c>
      <c r="B1198" s="75" t="str">
        <f ca="1">+UPPER(Tabla1321124[[#This Row],[DESCRIPCIÓN DE LA COMPRA O CONTRATACIÓN]])</f>
        <v>MOTORES ELÉCTRICOS SUMERGIBLES, 3Ø, 230 /460 VOLTIOS, 60HZ, 1.15 FS, 3,450 RPM 40 HP NEMA 6</v>
      </c>
      <c r="C1198" s="39" t="s">
        <v>17</v>
      </c>
      <c r="D1198" s="352">
        <v>10</v>
      </c>
      <c r="E1198" s="352">
        <v>20</v>
      </c>
      <c r="F1198" s="352">
        <v>10</v>
      </c>
      <c r="G1198" s="352">
        <v>20</v>
      </c>
      <c r="H1198" s="240">
        <f>SUM(Tabla1321124[[#This Row],[PRIMER TRIMESTRE]:[CUARTO TRIMESTRE]])</f>
        <v>60</v>
      </c>
      <c r="I1198" s="17">
        <v>123744.06</v>
      </c>
      <c r="J1198" s="17">
        <f t="shared" si="22"/>
        <v>7424643.5999999996</v>
      </c>
      <c r="K1198" s="17"/>
      <c r="L1198" s="16" t="s">
        <v>18</v>
      </c>
      <c r="M1198" s="16" t="s">
        <v>19</v>
      </c>
      <c r="N1198" s="16"/>
      <c r="O1198" s="243"/>
      <c r="P1198" s="243"/>
      <c r="Q1198" s="243"/>
      <c r="R1198" s="243"/>
      <c r="S1198" s="243"/>
      <c r="T1198" s="243"/>
      <c r="U1198" s="243"/>
      <c r="V1198" s="243"/>
      <c r="W1198" s="243"/>
      <c r="X1198" s="243"/>
      <c r="Y1198" s="243"/>
      <c r="Z1198" s="243"/>
      <c r="AA1198" s="243"/>
      <c r="AB1198" s="243"/>
      <c r="AC1198" s="243"/>
      <c r="AD1198" s="243"/>
      <c r="AE1198" s="243"/>
      <c r="AF1198" s="243"/>
      <c r="AG1198" s="243"/>
      <c r="AH1198" s="243"/>
      <c r="AI1198" s="243"/>
      <c r="AJ1198" s="243"/>
      <c r="AK1198" s="243"/>
      <c r="AL1198" s="243"/>
      <c r="AM1198" s="243"/>
      <c r="AN1198" s="243"/>
      <c r="AO1198" s="243"/>
      <c r="AP1198" s="243"/>
      <c r="AQ1198" s="243"/>
      <c r="AR1198" s="243"/>
      <c r="AS1198" s="243"/>
      <c r="AT1198" s="243"/>
      <c r="AU1198" s="243"/>
      <c r="AV1198" s="243"/>
      <c r="AW1198" s="243"/>
      <c r="AX1198" s="243"/>
      <c r="AY1198" s="243"/>
      <c r="AZ1198" s="243"/>
      <c r="BA1198" s="243"/>
      <c r="BB1198" s="243"/>
      <c r="BC1198" s="243"/>
      <c r="BD1198" s="243"/>
      <c r="BE1198" s="243"/>
      <c r="BF1198" s="243"/>
      <c r="BG1198" s="243"/>
      <c r="BH1198" s="243"/>
      <c r="BI1198" s="243"/>
      <c r="BJ1198" s="243"/>
      <c r="BK1198" s="243"/>
      <c r="BL1198" s="243"/>
      <c r="BM1198" s="243"/>
      <c r="BN1198" s="243"/>
      <c r="BO1198" s="243"/>
      <c r="BP1198" s="243"/>
      <c r="BQ1198" s="243"/>
      <c r="BR1198" s="243"/>
      <c r="BS1198" s="243"/>
    </row>
    <row r="1199" spans="1:71" s="12" customFormat="1" ht="41.25" customHeight="1">
      <c r="A1199" s="178" t="s">
        <v>96</v>
      </c>
      <c r="B1199" s="75" t="str">
        <f ca="1">+UPPER(Tabla1321124[[#This Row],[DESCRIPCIÓN DE LA COMPRA O CONTRATACIÓN]])</f>
        <v>MOTORES ELÉCTRICOS SUMERGIBLES, 3Ø, 230 /460 VOLTIOS, 60HZ, 1.15 FS, 3,450 RPM 50 HP NEMA 6</v>
      </c>
      <c r="C1199" s="39" t="s">
        <v>17</v>
      </c>
      <c r="D1199" s="352">
        <v>2</v>
      </c>
      <c r="E1199" s="352">
        <f>20+1</f>
        <v>21</v>
      </c>
      <c r="F1199" s="352">
        <v>10</v>
      </c>
      <c r="G1199" s="352">
        <v>10</v>
      </c>
      <c r="H1199" s="240">
        <f>SUM(Tabla1321124[[#This Row],[PRIMER TRIMESTRE]:[CUARTO TRIMESTRE]])</f>
        <v>43</v>
      </c>
      <c r="I1199" s="17">
        <v>135450.07</v>
      </c>
      <c r="J1199" s="17">
        <f t="shared" si="22"/>
        <v>5824353.0100000007</v>
      </c>
      <c r="K1199" s="17"/>
      <c r="L1199" s="16" t="s">
        <v>18</v>
      </c>
      <c r="M1199" s="16" t="s">
        <v>19</v>
      </c>
      <c r="N1199" s="16"/>
      <c r="O1199" s="243"/>
      <c r="P1199" s="243"/>
      <c r="Q1199" s="243"/>
      <c r="R1199" s="243"/>
      <c r="S1199" s="243"/>
      <c r="T1199" s="243"/>
      <c r="U1199" s="243"/>
      <c r="V1199" s="243"/>
      <c r="W1199" s="243"/>
      <c r="X1199" s="243"/>
      <c r="Y1199" s="243"/>
      <c r="Z1199" s="243"/>
      <c r="AA1199" s="243"/>
      <c r="AB1199" s="243"/>
      <c r="AC1199" s="243"/>
      <c r="AD1199" s="243"/>
      <c r="AE1199" s="243"/>
      <c r="AF1199" s="243"/>
      <c r="AG1199" s="243"/>
      <c r="AH1199" s="243"/>
      <c r="AI1199" s="243"/>
      <c r="AJ1199" s="243"/>
      <c r="AK1199" s="243"/>
      <c r="AL1199" s="243"/>
      <c r="AM1199" s="243"/>
      <c r="AN1199" s="243"/>
      <c r="AO1199" s="243"/>
      <c r="AP1199" s="243"/>
      <c r="AQ1199" s="243"/>
      <c r="AR1199" s="243"/>
      <c r="AS1199" s="243"/>
      <c r="AT1199" s="243"/>
      <c r="AU1199" s="243"/>
      <c r="AV1199" s="243"/>
      <c r="AW1199" s="243"/>
      <c r="AX1199" s="243"/>
      <c r="AY1199" s="243"/>
      <c r="AZ1199" s="243"/>
      <c r="BA1199" s="243"/>
      <c r="BB1199" s="243"/>
      <c r="BC1199" s="243"/>
      <c r="BD1199" s="243"/>
      <c r="BE1199" s="243"/>
      <c r="BF1199" s="243"/>
      <c r="BG1199" s="243"/>
      <c r="BH1199" s="243"/>
      <c r="BI1199" s="243"/>
      <c r="BJ1199" s="243"/>
      <c r="BK1199" s="243"/>
      <c r="BL1199" s="243"/>
      <c r="BM1199" s="243"/>
      <c r="BN1199" s="243"/>
      <c r="BO1199" s="243"/>
      <c r="BP1199" s="243"/>
      <c r="BQ1199" s="243"/>
      <c r="BR1199" s="243"/>
      <c r="BS1199" s="243"/>
    </row>
    <row r="1200" spans="1:71" s="12" customFormat="1" ht="41.25" customHeight="1">
      <c r="A1200" s="178" t="s">
        <v>96</v>
      </c>
      <c r="B1200" s="75" t="str">
        <f ca="1">+UPPER(Tabla1321124[[#This Row],[DESCRIPCIÓN DE LA COMPRA O CONTRATACIÓN]])</f>
        <v>MOTORES ELÉCTRICOS SUMERGIBLES, 3Ø, 230 /460 VOLTIOS, 60HZ, 1.15 FS, 3,450 RPM 60 HP NEMA 6</v>
      </c>
      <c r="C1200" s="39" t="s">
        <v>17</v>
      </c>
      <c r="D1200" s="352">
        <f>20+2</f>
        <v>22</v>
      </c>
      <c r="E1200" s="352">
        <v>10</v>
      </c>
      <c r="F1200" s="352">
        <v>5</v>
      </c>
      <c r="G1200" s="352">
        <v>5</v>
      </c>
      <c r="H1200" s="240">
        <f>SUM(Tabla1321124[[#This Row],[PRIMER TRIMESTRE]:[CUARTO TRIMESTRE]])</f>
        <v>42</v>
      </c>
      <c r="I1200" s="17">
        <v>181838</v>
      </c>
      <c r="J1200" s="17">
        <f t="shared" si="22"/>
        <v>7637196</v>
      </c>
      <c r="K1200" s="17"/>
      <c r="L1200" s="16" t="s">
        <v>18</v>
      </c>
      <c r="M1200" s="16" t="s">
        <v>19</v>
      </c>
      <c r="N1200" s="16"/>
      <c r="O1200" s="243"/>
      <c r="P1200" s="243"/>
      <c r="Q1200" s="243"/>
      <c r="R1200" s="243"/>
      <c r="S1200" s="243"/>
      <c r="T1200" s="243"/>
      <c r="U1200" s="243"/>
      <c r="V1200" s="243"/>
      <c r="W1200" s="243"/>
      <c r="X1200" s="243"/>
      <c r="Y1200" s="243"/>
      <c r="Z1200" s="243"/>
      <c r="AA1200" s="243"/>
      <c r="AB1200" s="243"/>
      <c r="AC1200" s="243"/>
      <c r="AD1200" s="243"/>
      <c r="AE1200" s="243"/>
      <c r="AF1200" s="243"/>
      <c r="AG1200" s="243"/>
      <c r="AH1200" s="243"/>
      <c r="AI1200" s="243"/>
      <c r="AJ1200" s="243"/>
      <c r="AK1200" s="243"/>
      <c r="AL1200" s="243"/>
      <c r="AM1200" s="243"/>
      <c r="AN1200" s="243"/>
      <c r="AO1200" s="243"/>
      <c r="AP1200" s="243"/>
      <c r="AQ1200" s="243"/>
      <c r="AR1200" s="243"/>
      <c r="AS1200" s="243"/>
      <c r="AT1200" s="243"/>
      <c r="AU1200" s="243"/>
      <c r="AV1200" s="243"/>
      <c r="AW1200" s="243"/>
      <c r="AX1200" s="243"/>
      <c r="AY1200" s="243"/>
      <c r="AZ1200" s="243"/>
      <c r="BA1200" s="243"/>
      <c r="BB1200" s="243"/>
      <c r="BC1200" s="243"/>
      <c r="BD1200" s="243"/>
      <c r="BE1200" s="243"/>
      <c r="BF1200" s="243"/>
      <c r="BG1200" s="243"/>
      <c r="BH1200" s="243"/>
      <c r="BI1200" s="243"/>
      <c r="BJ1200" s="243"/>
      <c r="BK1200" s="243"/>
      <c r="BL1200" s="243"/>
      <c r="BM1200" s="243"/>
      <c r="BN1200" s="243"/>
      <c r="BO1200" s="243"/>
      <c r="BP1200" s="243"/>
      <c r="BQ1200" s="243"/>
      <c r="BR1200" s="243"/>
      <c r="BS1200" s="243"/>
    </row>
    <row r="1201" spans="1:71" s="12" customFormat="1" ht="41.25" customHeight="1">
      <c r="A1201" s="178" t="s">
        <v>96</v>
      </c>
      <c r="B1201" s="75" t="str">
        <f ca="1">+UPPER(Tabla1321124[[#This Row],[DESCRIPCIÓN DE LA COMPRA O CONTRATACIÓN]])</f>
        <v>MOTORES ELÉCTRICOS SUMERGIBLES, 3Ø, 230 /460 VOLTIOS, 60HZ, 1.15 FS, 3,450 RPM 60 HP NEMA 8</v>
      </c>
      <c r="C1201" s="39" t="s">
        <v>17</v>
      </c>
      <c r="D1201" s="352">
        <f>5+2</f>
        <v>7</v>
      </c>
      <c r="E1201" s="352">
        <v>5</v>
      </c>
      <c r="F1201" s="352">
        <v>5</v>
      </c>
      <c r="G1201" s="352">
        <v>15</v>
      </c>
      <c r="H1201" s="240">
        <f>SUM(Tabla1321124[[#This Row],[PRIMER TRIMESTRE]:[CUARTO TRIMESTRE]])</f>
        <v>32</v>
      </c>
      <c r="I1201" s="17">
        <v>190640</v>
      </c>
      <c r="J1201" s="17">
        <f t="shared" si="22"/>
        <v>6100480</v>
      </c>
      <c r="K1201" s="17"/>
      <c r="L1201" s="16" t="s">
        <v>18</v>
      </c>
      <c r="M1201" s="16" t="s">
        <v>19</v>
      </c>
      <c r="N1201" s="16"/>
      <c r="O1201" s="243"/>
      <c r="P1201" s="243"/>
      <c r="Q1201" s="243"/>
      <c r="R1201" s="243"/>
      <c r="S1201" s="243"/>
      <c r="T1201" s="243"/>
      <c r="U1201" s="243"/>
      <c r="V1201" s="243"/>
      <c r="W1201" s="243"/>
      <c r="X1201" s="243"/>
      <c r="Y1201" s="243"/>
      <c r="Z1201" s="243"/>
      <c r="AA1201" s="243"/>
      <c r="AB1201" s="243"/>
      <c r="AC1201" s="243"/>
      <c r="AD1201" s="243"/>
      <c r="AE1201" s="243"/>
      <c r="AF1201" s="243"/>
      <c r="AG1201" s="243"/>
      <c r="AH1201" s="243"/>
      <c r="AI1201" s="243"/>
      <c r="AJ1201" s="243"/>
      <c r="AK1201" s="243"/>
      <c r="AL1201" s="243"/>
      <c r="AM1201" s="243"/>
      <c r="AN1201" s="243"/>
      <c r="AO1201" s="243"/>
      <c r="AP1201" s="243"/>
      <c r="AQ1201" s="243"/>
      <c r="AR1201" s="243"/>
      <c r="AS1201" s="243"/>
      <c r="AT1201" s="243"/>
      <c r="AU1201" s="243"/>
      <c r="AV1201" s="243"/>
      <c r="AW1201" s="243"/>
      <c r="AX1201" s="243"/>
      <c r="AY1201" s="243"/>
      <c r="AZ1201" s="243"/>
      <c r="BA1201" s="243"/>
      <c r="BB1201" s="243"/>
      <c r="BC1201" s="243"/>
      <c r="BD1201" s="243"/>
      <c r="BE1201" s="243"/>
      <c r="BF1201" s="243"/>
      <c r="BG1201" s="243"/>
      <c r="BH1201" s="243"/>
      <c r="BI1201" s="243"/>
      <c r="BJ1201" s="243"/>
      <c r="BK1201" s="243"/>
      <c r="BL1201" s="243"/>
      <c r="BM1201" s="243"/>
      <c r="BN1201" s="243"/>
      <c r="BO1201" s="243"/>
      <c r="BP1201" s="243"/>
      <c r="BQ1201" s="243"/>
      <c r="BR1201" s="243"/>
      <c r="BS1201" s="243"/>
    </row>
    <row r="1202" spans="1:71" s="12" customFormat="1" ht="41.25" customHeight="1">
      <c r="A1202" s="178" t="s">
        <v>96</v>
      </c>
      <c r="B1202" s="75" t="str">
        <f ca="1">+UPPER(Tabla1321124[[#This Row],[DESCRIPCIÓN DE LA COMPRA O CONTRATACIÓN]])</f>
        <v>MOTORES ELÉCTRICOS SUMERGIBLES, 3Ø, 230 /460 VOLTIOS, 60HZ, 1.15 FS, 3,450 RPM 75 HP NEMA 8</v>
      </c>
      <c r="C1202" s="39" t="s">
        <v>17</v>
      </c>
      <c r="D1202" s="352">
        <v>2</v>
      </c>
      <c r="E1202" s="352">
        <f>3+1</f>
        <v>4</v>
      </c>
      <c r="F1202" s="352">
        <v>5</v>
      </c>
      <c r="G1202" s="352">
        <v>5</v>
      </c>
      <c r="H1202" s="240">
        <f>SUM(Tabla1321124[[#This Row],[PRIMER TRIMESTRE]:[CUARTO TRIMESTRE]])</f>
        <v>16</v>
      </c>
      <c r="I1202" s="17">
        <v>190640.56</v>
      </c>
      <c r="J1202" s="17">
        <f t="shared" si="22"/>
        <v>3050248.96</v>
      </c>
      <c r="K1202" s="17"/>
      <c r="L1202" s="16" t="s">
        <v>18</v>
      </c>
      <c r="M1202" s="16" t="s">
        <v>19</v>
      </c>
      <c r="N1202" s="16"/>
      <c r="O1202" s="243"/>
      <c r="P1202" s="243"/>
      <c r="Q1202" s="243"/>
      <c r="R1202" s="243"/>
      <c r="S1202" s="243"/>
      <c r="T1202" s="243"/>
      <c r="U1202" s="243"/>
      <c r="V1202" s="243"/>
      <c r="W1202" s="243"/>
      <c r="X1202" s="243"/>
      <c r="Y1202" s="243"/>
      <c r="Z1202" s="243"/>
      <c r="AA1202" s="243"/>
      <c r="AB1202" s="243"/>
      <c r="AC1202" s="243"/>
      <c r="AD1202" s="243"/>
      <c r="AE1202" s="243"/>
      <c r="AF1202" s="243"/>
      <c r="AG1202" s="243"/>
      <c r="AH1202" s="243"/>
      <c r="AI1202" s="243"/>
      <c r="AJ1202" s="243"/>
      <c r="AK1202" s="243"/>
      <c r="AL1202" s="243"/>
      <c r="AM1202" s="243"/>
      <c r="AN1202" s="243"/>
      <c r="AO1202" s="243"/>
      <c r="AP1202" s="243"/>
      <c r="AQ1202" s="243"/>
      <c r="AR1202" s="243"/>
      <c r="AS1202" s="243"/>
      <c r="AT1202" s="243"/>
      <c r="AU1202" s="243"/>
      <c r="AV1202" s="243"/>
      <c r="AW1202" s="243"/>
      <c r="AX1202" s="243"/>
      <c r="AY1202" s="243"/>
      <c r="AZ1202" s="243"/>
      <c r="BA1202" s="243"/>
      <c r="BB1202" s="243"/>
      <c r="BC1202" s="243"/>
      <c r="BD1202" s="243"/>
      <c r="BE1202" s="243"/>
      <c r="BF1202" s="243"/>
      <c r="BG1202" s="243"/>
      <c r="BH1202" s="243"/>
      <c r="BI1202" s="243"/>
      <c r="BJ1202" s="243"/>
      <c r="BK1202" s="243"/>
      <c r="BL1202" s="243"/>
      <c r="BM1202" s="243"/>
      <c r="BN1202" s="243"/>
      <c r="BO1202" s="243"/>
      <c r="BP1202" s="243"/>
      <c r="BQ1202" s="243"/>
      <c r="BR1202" s="243"/>
      <c r="BS1202" s="243"/>
    </row>
    <row r="1203" spans="1:71" s="12" customFormat="1" ht="41.25" customHeight="1">
      <c r="A1203" s="178" t="s">
        <v>96</v>
      </c>
      <c r="B1203" s="75" t="str">
        <f ca="1">+UPPER(Tabla1321124[[#This Row],[DESCRIPCIÓN DE LA COMPRA O CONTRATACIÓN]])</f>
        <v>MOTORES ELÉCTRICOS SUMERGIBLES, 3Ø, 230 /460 VOLTIOS, 60HZ, 1.15 FS, 3,450 RPM 125 HP NEMA 8</v>
      </c>
      <c r="C1203" s="39" t="s">
        <v>17</v>
      </c>
      <c r="D1203" s="352">
        <v>1</v>
      </c>
      <c r="E1203" s="352">
        <v>3</v>
      </c>
      <c r="F1203" s="352">
        <v>1</v>
      </c>
      <c r="G1203" s="352">
        <v>5</v>
      </c>
      <c r="H1203" s="240">
        <f>SUM(Tabla1321124[[#This Row],[PRIMER TRIMESTRE]:[CUARTO TRIMESTRE]])</f>
        <v>10</v>
      </c>
      <c r="I1203" s="17">
        <v>327450</v>
      </c>
      <c r="J1203" s="17">
        <f t="shared" si="22"/>
        <v>3274500</v>
      </c>
      <c r="K1203" s="17"/>
      <c r="L1203" s="16" t="s">
        <v>18</v>
      </c>
      <c r="M1203" s="16" t="s">
        <v>19</v>
      </c>
      <c r="N1203" s="16"/>
      <c r="O1203" s="243"/>
      <c r="P1203" s="243"/>
      <c r="Q1203" s="243"/>
      <c r="R1203" s="243"/>
      <c r="S1203" s="243"/>
      <c r="T1203" s="243"/>
      <c r="U1203" s="243"/>
      <c r="V1203" s="243"/>
      <c r="W1203" s="243"/>
      <c r="X1203" s="243"/>
      <c r="Y1203" s="243"/>
      <c r="Z1203" s="243"/>
      <c r="AA1203" s="243"/>
      <c r="AB1203" s="243"/>
      <c r="AC1203" s="243"/>
      <c r="AD1203" s="243"/>
      <c r="AE1203" s="243"/>
      <c r="AF1203" s="243"/>
      <c r="AG1203" s="243"/>
      <c r="AH1203" s="243"/>
      <c r="AI1203" s="243"/>
      <c r="AJ1203" s="243"/>
      <c r="AK1203" s="243"/>
      <c r="AL1203" s="243"/>
      <c r="AM1203" s="243"/>
      <c r="AN1203" s="243"/>
      <c r="AO1203" s="243"/>
      <c r="AP1203" s="243"/>
      <c r="AQ1203" s="243"/>
      <c r="AR1203" s="243"/>
      <c r="AS1203" s="243"/>
      <c r="AT1203" s="243"/>
      <c r="AU1203" s="243"/>
      <c r="AV1203" s="243"/>
      <c r="AW1203" s="243"/>
      <c r="AX1203" s="243"/>
      <c r="AY1203" s="243"/>
      <c r="AZ1203" s="243"/>
      <c r="BA1203" s="243"/>
      <c r="BB1203" s="243"/>
      <c r="BC1203" s="243"/>
      <c r="BD1203" s="243"/>
      <c r="BE1203" s="243"/>
      <c r="BF1203" s="243"/>
      <c r="BG1203" s="243"/>
      <c r="BH1203" s="243"/>
      <c r="BI1203" s="243"/>
      <c r="BJ1203" s="243"/>
      <c r="BK1203" s="243"/>
      <c r="BL1203" s="243"/>
      <c r="BM1203" s="243"/>
      <c r="BN1203" s="243"/>
      <c r="BO1203" s="243"/>
      <c r="BP1203" s="243"/>
      <c r="BQ1203" s="243"/>
      <c r="BR1203" s="243"/>
      <c r="BS1203" s="243"/>
    </row>
    <row r="1204" spans="1:71" s="12" customFormat="1" ht="41.25" customHeight="1">
      <c r="A1204" s="178" t="s">
        <v>96</v>
      </c>
      <c r="B1204" s="75" t="s">
        <v>1809</v>
      </c>
      <c r="C1204" s="39" t="s">
        <v>17</v>
      </c>
      <c r="D1204" s="352">
        <f>3+1</f>
        <v>4</v>
      </c>
      <c r="E1204" s="352">
        <f>6+1</f>
        <v>7</v>
      </c>
      <c r="F1204" s="352">
        <v>3</v>
      </c>
      <c r="G1204" s="352">
        <v>3</v>
      </c>
      <c r="H1204" s="240">
        <f>SUM(Tabla1321124[[#This Row],[PRIMER TRIMESTRE]:[CUARTO TRIMESTRE]])</f>
        <v>17</v>
      </c>
      <c r="I1204" s="17">
        <v>36114.370000000003</v>
      </c>
      <c r="J1204" s="17">
        <f t="shared" si="22"/>
        <v>613944.29</v>
      </c>
      <c r="K1204" s="17"/>
      <c r="L1204" s="16" t="s">
        <v>18</v>
      </c>
      <c r="M1204" s="16" t="s">
        <v>19</v>
      </c>
      <c r="N1204" s="16"/>
      <c r="O1204" s="243"/>
      <c r="P1204" s="243"/>
      <c r="Q1204" s="243"/>
      <c r="R1204" s="243"/>
      <c r="S1204" s="243"/>
      <c r="T1204" s="243"/>
      <c r="U1204" s="243"/>
      <c r="V1204" s="243"/>
      <c r="W1204" s="243"/>
      <c r="X1204" s="243"/>
      <c r="Y1204" s="243"/>
      <c r="Z1204" s="243"/>
      <c r="AA1204" s="243"/>
      <c r="AB1204" s="243"/>
      <c r="AC1204" s="243"/>
      <c r="AD1204" s="243"/>
      <c r="AE1204" s="243"/>
      <c r="AF1204" s="243"/>
      <c r="AG1204" s="243"/>
      <c r="AH1204" s="243"/>
      <c r="AI1204" s="243"/>
      <c r="AJ1204" s="243"/>
      <c r="AK1204" s="243"/>
      <c r="AL1204" s="243"/>
      <c r="AM1204" s="243"/>
      <c r="AN1204" s="243"/>
      <c r="AO1204" s="243"/>
      <c r="AP1204" s="243"/>
      <c r="AQ1204" s="243"/>
      <c r="AR1204" s="243"/>
      <c r="AS1204" s="243"/>
      <c r="AT1204" s="243"/>
      <c r="AU1204" s="243"/>
      <c r="AV1204" s="243"/>
      <c r="AW1204" s="243"/>
      <c r="AX1204" s="243"/>
      <c r="AY1204" s="243"/>
      <c r="AZ1204" s="243"/>
      <c r="BA1204" s="243"/>
      <c r="BB1204" s="243"/>
      <c r="BC1204" s="243"/>
      <c r="BD1204" s="243"/>
      <c r="BE1204" s="243"/>
      <c r="BF1204" s="243"/>
      <c r="BG1204" s="243"/>
      <c r="BH1204" s="243"/>
      <c r="BI1204" s="243"/>
      <c r="BJ1204" s="243"/>
      <c r="BK1204" s="243"/>
      <c r="BL1204" s="243"/>
      <c r="BM1204" s="243"/>
      <c r="BN1204" s="243"/>
      <c r="BO1204" s="243"/>
      <c r="BP1204" s="243"/>
      <c r="BQ1204" s="243"/>
      <c r="BR1204" s="243"/>
      <c r="BS1204" s="243"/>
    </row>
    <row r="1205" spans="1:71" s="12" customFormat="1" ht="41.25" customHeight="1">
      <c r="A1205" s="178" t="s">
        <v>96</v>
      </c>
      <c r="B1205" s="75" t="s">
        <v>1810</v>
      </c>
      <c r="C1205" s="39" t="s">
        <v>17</v>
      </c>
      <c r="D1205" s="352">
        <f>8+1</f>
        <v>9</v>
      </c>
      <c r="E1205" s="352">
        <v>16</v>
      </c>
      <c r="F1205" s="352">
        <v>8</v>
      </c>
      <c r="G1205" s="352">
        <v>8</v>
      </c>
      <c r="H1205" s="240">
        <f>SUM(Tabla1321124[[#This Row],[PRIMER TRIMESTRE]:[CUARTO TRIMESTRE]])</f>
        <v>41</v>
      </c>
      <c r="I1205" s="17">
        <v>38000</v>
      </c>
      <c r="J1205" s="17">
        <f t="shared" si="22"/>
        <v>1558000</v>
      </c>
      <c r="K1205" s="17"/>
      <c r="L1205" s="16" t="s">
        <v>18</v>
      </c>
      <c r="M1205" s="16" t="s">
        <v>19</v>
      </c>
      <c r="N1205" s="16"/>
      <c r="O1205" s="243"/>
      <c r="P1205" s="243"/>
      <c r="Q1205" s="243"/>
      <c r="R1205" s="243"/>
      <c r="S1205" s="243"/>
      <c r="T1205" s="243"/>
      <c r="U1205" s="243"/>
      <c r="V1205" s="243"/>
      <c r="W1205" s="243"/>
      <c r="X1205" s="243"/>
      <c r="Y1205" s="243"/>
      <c r="Z1205" s="243"/>
      <c r="AA1205" s="243"/>
      <c r="AB1205" s="243"/>
      <c r="AC1205" s="243"/>
      <c r="AD1205" s="243"/>
      <c r="AE1205" s="243"/>
      <c r="AF1205" s="243"/>
      <c r="AG1205" s="243"/>
      <c r="AH1205" s="243"/>
      <c r="AI1205" s="243"/>
      <c r="AJ1205" s="243"/>
      <c r="AK1205" s="243"/>
      <c r="AL1205" s="243"/>
      <c r="AM1205" s="243"/>
      <c r="AN1205" s="243"/>
      <c r="AO1205" s="243"/>
      <c r="AP1205" s="243"/>
      <c r="AQ1205" s="243"/>
      <c r="AR1205" s="243"/>
      <c r="AS1205" s="243"/>
      <c r="AT1205" s="243"/>
      <c r="AU1205" s="243"/>
      <c r="AV1205" s="243"/>
      <c r="AW1205" s="243"/>
      <c r="AX1205" s="243"/>
      <c r="AY1205" s="243"/>
      <c r="AZ1205" s="243"/>
      <c r="BA1205" s="243"/>
      <c r="BB1205" s="243"/>
      <c r="BC1205" s="243"/>
      <c r="BD1205" s="243"/>
      <c r="BE1205" s="243"/>
      <c r="BF1205" s="243"/>
      <c r="BG1205" s="243"/>
      <c r="BH1205" s="243"/>
      <c r="BI1205" s="243"/>
      <c r="BJ1205" s="243"/>
      <c r="BK1205" s="243"/>
      <c r="BL1205" s="243"/>
      <c r="BM1205" s="243"/>
      <c r="BN1205" s="243"/>
      <c r="BO1205" s="243"/>
      <c r="BP1205" s="243"/>
      <c r="BQ1205" s="243"/>
      <c r="BR1205" s="243"/>
      <c r="BS1205" s="243"/>
    </row>
    <row r="1206" spans="1:71" s="12" customFormat="1" ht="41.25" customHeight="1">
      <c r="A1206" s="178" t="s">
        <v>96</v>
      </c>
      <c r="B1206" s="75" t="s">
        <v>1811</v>
      </c>
      <c r="C1206" s="39" t="s">
        <v>17</v>
      </c>
      <c r="D1206" s="352">
        <v>2</v>
      </c>
      <c r="E1206" s="352">
        <v>16</v>
      </c>
      <c r="F1206" s="352">
        <f>8+2</f>
        <v>10</v>
      </c>
      <c r="G1206" s="352">
        <v>8</v>
      </c>
      <c r="H1206" s="240">
        <f>SUM(Tabla1321124[[#This Row],[PRIMER TRIMESTRE]:[CUARTO TRIMESTRE]])</f>
        <v>36</v>
      </c>
      <c r="I1206" s="17">
        <v>50164</v>
      </c>
      <c r="J1206" s="17">
        <f t="shared" si="22"/>
        <v>1805904</v>
      </c>
      <c r="K1206" s="17"/>
      <c r="L1206" s="16" t="s">
        <v>18</v>
      </c>
      <c r="M1206" s="16" t="s">
        <v>19</v>
      </c>
      <c r="N1206" s="16"/>
      <c r="O1206" s="243"/>
      <c r="P1206" s="243"/>
      <c r="Q1206" s="243"/>
      <c r="R1206" s="243"/>
      <c r="S1206" s="243"/>
      <c r="T1206" s="243"/>
      <c r="U1206" s="243"/>
      <c r="V1206" s="243"/>
      <c r="W1206" s="243"/>
      <c r="X1206" s="243"/>
      <c r="Y1206" s="243"/>
      <c r="Z1206" s="243"/>
      <c r="AA1206" s="243"/>
      <c r="AB1206" s="243"/>
      <c r="AC1206" s="243"/>
      <c r="AD1206" s="243"/>
      <c r="AE1206" s="243"/>
      <c r="AF1206" s="243"/>
      <c r="AG1206" s="243"/>
      <c r="AH1206" s="243"/>
      <c r="AI1206" s="243"/>
      <c r="AJ1206" s="243"/>
      <c r="AK1206" s="243"/>
      <c r="AL1206" s="243"/>
      <c r="AM1206" s="243"/>
      <c r="AN1206" s="243"/>
      <c r="AO1206" s="243"/>
      <c r="AP1206" s="243"/>
      <c r="AQ1206" s="243"/>
      <c r="AR1206" s="243"/>
      <c r="AS1206" s="243"/>
      <c r="AT1206" s="243"/>
      <c r="AU1206" s="243"/>
      <c r="AV1206" s="243"/>
      <c r="AW1206" s="243"/>
      <c r="AX1206" s="243"/>
      <c r="AY1206" s="243"/>
      <c r="AZ1206" s="243"/>
      <c r="BA1206" s="243"/>
      <c r="BB1206" s="243"/>
      <c r="BC1206" s="243"/>
      <c r="BD1206" s="243"/>
      <c r="BE1206" s="243"/>
      <c r="BF1206" s="243"/>
      <c r="BG1206" s="243"/>
      <c r="BH1206" s="243"/>
      <c r="BI1206" s="243"/>
      <c r="BJ1206" s="243"/>
      <c r="BK1206" s="243"/>
      <c r="BL1206" s="243"/>
      <c r="BM1206" s="243"/>
      <c r="BN1206" s="243"/>
      <c r="BO1206" s="243"/>
      <c r="BP1206" s="243"/>
      <c r="BQ1206" s="243"/>
      <c r="BR1206" s="243"/>
      <c r="BS1206" s="243"/>
    </row>
    <row r="1207" spans="1:71" s="12" customFormat="1" ht="41.25" customHeight="1">
      <c r="A1207" s="178" t="s">
        <v>96</v>
      </c>
      <c r="B1207" s="75" t="s">
        <v>1812</v>
      </c>
      <c r="C1207" s="39" t="s">
        <v>17</v>
      </c>
      <c r="D1207" s="352">
        <v>2</v>
      </c>
      <c r="E1207" s="352">
        <v>8</v>
      </c>
      <c r="F1207" s="352">
        <f>4+2</f>
        <v>6</v>
      </c>
      <c r="G1207" s="352">
        <v>4</v>
      </c>
      <c r="H1207" s="240">
        <f>SUM(Tabla1321124[[#This Row],[PRIMER TRIMESTRE]:[CUARTO TRIMESTRE]])</f>
        <v>20</v>
      </c>
      <c r="I1207" s="17">
        <v>23570</v>
      </c>
      <c r="J1207" s="17">
        <f t="shared" si="22"/>
        <v>471400</v>
      </c>
      <c r="K1207" s="17"/>
      <c r="L1207" s="16" t="s">
        <v>18</v>
      </c>
      <c r="M1207" s="16" t="s">
        <v>19</v>
      </c>
      <c r="N1207" s="16"/>
      <c r="O1207" s="243"/>
      <c r="P1207" s="243"/>
      <c r="Q1207" s="243"/>
      <c r="R1207" s="243"/>
      <c r="S1207" s="243"/>
      <c r="T1207" s="243"/>
      <c r="U1207" s="243"/>
      <c r="V1207" s="243"/>
      <c r="W1207" s="243"/>
      <c r="X1207" s="243"/>
      <c r="Y1207" s="243"/>
      <c r="Z1207" s="243"/>
      <c r="AA1207" s="243"/>
      <c r="AB1207" s="243"/>
      <c r="AC1207" s="243"/>
      <c r="AD1207" s="243"/>
      <c r="AE1207" s="243"/>
      <c r="AF1207" s="243"/>
      <c r="AG1207" s="243"/>
      <c r="AH1207" s="243"/>
      <c r="AI1207" s="243"/>
      <c r="AJ1207" s="243"/>
      <c r="AK1207" s="243"/>
      <c r="AL1207" s="243"/>
      <c r="AM1207" s="243"/>
      <c r="AN1207" s="243"/>
      <c r="AO1207" s="243"/>
      <c r="AP1207" s="243"/>
      <c r="AQ1207" s="243"/>
      <c r="AR1207" s="243"/>
      <c r="AS1207" s="243"/>
      <c r="AT1207" s="243"/>
      <c r="AU1207" s="243"/>
      <c r="AV1207" s="243"/>
      <c r="AW1207" s="243"/>
      <c r="AX1207" s="243"/>
      <c r="AY1207" s="243"/>
      <c r="AZ1207" s="243"/>
      <c r="BA1207" s="243"/>
      <c r="BB1207" s="243"/>
      <c r="BC1207" s="243"/>
      <c r="BD1207" s="243"/>
      <c r="BE1207" s="243"/>
      <c r="BF1207" s="243"/>
      <c r="BG1207" s="243"/>
      <c r="BH1207" s="243"/>
      <c r="BI1207" s="243"/>
      <c r="BJ1207" s="243"/>
      <c r="BK1207" s="243"/>
      <c r="BL1207" s="243"/>
      <c r="BM1207" s="243"/>
      <c r="BN1207" s="243"/>
      <c r="BO1207" s="243"/>
      <c r="BP1207" s="243"/>
      <c r="BQ1207" s="243"/>
      <c r="BR1207" s="243"/>
      <c r="BS1207" s="243"/>
    </row>
    <row r="1208" spans="1:71" s="12" customFormat="1" ht="41.25" customHeight="1">
      <c r="A1208" s="178" t="s">
        <v>96</v>
      </c>
      <c r="B1208" s="75" t="s">
        <v>1813</v>
      </c>
      <c r="C1208" s="39" t="s">
        <v>17</v>
      </c>
      <c r="D1208" s="352">
        <v>1</v>
      </c>
      <c r="E1208" s="352">
        <f>8+1</f>
        <v>9</v>
      </c>
      <c r="F1208" s="352">
        <f>4+1</f>
        <v>5</v>
      </c>
      <c r="G1208" s="352">
        <f>4+1</f>
        <v>5</v>
      </c>
      <c r="H1208" s="240">
        <f>SUM(Tabla1321124[[#This Row],[PRIMER TRIMESTRE]:[CUARTO TRIMESTRE]])</f>
        <v>20</v>
      </c>
      <c r="I1208" s="17">
        <v>32670</v>
      </c>
      <c r="J1208" s="17">
        <f t="shared" si="22"/>
        <v>653400</v>
      </c>
      <c r="K1208" s="17"/>
      <c r="L1208" s="16" t="s">
        <v>18</v>
      </c>
      <c r="M1208" s="16" t="s">
        <v>19</v>
      </c>
      <c r="N1208" s="16"/>
      <c r="O1208" s="243"/>
      <c r="P1208" s="243"/>
      <c r="Q1208" s="243"/>
      <c r="R1208" s="243"/>
      <c r="S1208" s="243"/>
      <c r="T1208" s="243"/>
      <c r="U1208" s="243"/>
      <c r="V1208" s="243"/>
      <c r="W1208" s="243"/>
      <c r="X1208" s="243"/>
      <c r="Y1208" s="243"/>
      <c r="Z1208" s="243"/>
      <c r="AA1208" s="243"/>
      <c r="AB1208" s="243"/>
      <c r="AC1208" s="243"/>
      <c r="AD1208" s="243"/>
      <c r="AE1208" s="243"/>
      <c r="AF1208" s="243"/>
      <c r="AG1208" s="243"/>
      <c r="AH1208" s="243"/>
      <c r="AI1208" s="243"/>
      <c r="AJ1208" s="243"/>
      <c r="AK1208" s="243"/>
      <c r="AL1208" s="243"/>
      <c r="AM1208" s="243"/>
      <c r="AN1208" s="243"/>
      <c r="AO1208" s="243"/>
      <c r="AP1208" s="243"/>
      <c r="AQ1208" s="243"/>
      <c r="AR1208" s="243"/>
      <c r="AS1208" s="243"/>
      <c r="AT1208" s="243"/>
      <c r="AU1208" s="243"/>
      <c r="AV1208" s="243"/>
      <c r="AW1208" s="243"/>
      <c r="AX1208" s="243"/>
      <c r="AY1208" s="243"/>
      <c r="AZ1208" s="243"/>
      <c r="BA1208" s="243"/>
      <c r="BB1208" s="243"/>
      <c r="BC1208" s="243"/>
      <c r="BD1208" s="243"/>
      <c r="BE1208" s="243"/>
      <c r="BF1208" s="243"/>
      <c r="BG1208" s="243"/>
      <c r="BH1208" s="243"/>
      <c r="BI1208" s="243"/>
      <c r="BJ1208" s="243"/>
      <c r="BK1208" s="243"/>
      <c r="BL1208" s="243"/>
      <c r="BM1208" s="243"/>
      <c r="BN1208" s="243"/>
      <c r="BO1208" s="243"/>
      <c r="BP1208" s="243"/>
      <c r="BQ1208" s="243"/>
      <c r="BR1208" s="243"/>
      <c r="BS1208" s="243"/>
    </row>
    <row r="1209" spans="1:71" s="12" customFormat="1" ht="41.25" customHeight="1">
      <c r="A1209" s="178" t="s">
        <v>96</v>
      </c>
      <c r="B1209" s="77" t="str">
        <f ca="1">+UPPER(Tabla1321124[[#This Row],[DESCRIPCIÓN DE LA COMPRA O CONTRATACIÓN]])</f>
        <v>ELECTROBOMBA SUMERGIBLE DE 250 GPM VS 332 PIES DE TDH, CON MOTOR DE 30HP, 240/480/V,3Ø, 3450 RPM</v>
      </c>
      <c r="C1209" s="39" t="s">
        <v>17</v>
      </c>
      <c r="D1209" s="352">
        <v>2</v>
      </c>
      <c r="E1209" s="352">
        <v>7</v>
      </c>
      <c r="F1209" s="352">
        <v>4</v>
      </c>
      <c r="G1209" s="352">
        <v>2</v>
      </c>
      <c r="H1209" s="240">
        <f>SUM(Tabla1321124[[#This Row],[PRIMER TRIMESTRE]:[CUARTO TRIMESTRE]])</f>
        <v>15</v>
      </c>
      <c r="I1209" s="17">
        <v>55000</v>
      </c>
      <c r="J1209" s="17">
        <f t="shared" si="22"/>
        <v>825000</v>
      </c>
      <c r="K1209" s="17"/>
      <c r="L1209" s="16" t="s">
        <v>18</v>
      </c>
      <c r="M1209" s="16" t="s">
        <v>22</v>
      </c>
      <c r="N1209" s="16"/>
      <c r="O1209" s="243"/>
      <c r="P1209" s="243"/>
      <c r="Q1209" s="243"/>
      <c r="R1209" s="243"/>
      <c r="S1209" s="243"/>
      <c r="T1209" s="243"/>
      <c r="U1209" s="243"/>
      <c r="V1209" s="243"/>
      <c r="W1209" s="243"/>
      <c r="X1209" s="243"/>
      <c r="Y1209" s="243"/>
      <c r="Z1209" s="243"/>
      <c r="AA1209" s="243"/>
      <c r="AB1209" s="243"/>
      <c r="AC1209" s="243"/>
      <c r="AD1209" s="243"/>
      <c r="AE1209" s="243"/>
      <c r="AF1209" s="243"/>
      <c r="AG1209" s="243"/>
      <c r="AH1209" s="243"/>
      <c r="AI1209" s="243"/>
      <c r="AJ1209" s="243"/>
      <c r="AK1209" s="243"/>
      <c r="AL1209" s="243"/>
      <c r="AM1209" s="243"/>
      <c r="AN1209" s="243"/>
      <c r="AO1209" s="243"/>
      <c r="AP1209" s="243"/>
      <c r="AQ1209" s="243"/>
      <c r="AR1209" s="243"/>
      <c r="AS1209" s="243"/>
      <c r="AT1209" s="243"/>
      <c r="AU1209" s="243"/>
      <c r="AV1209" s="243"/>
      <c r="AW1209" s="243"/>
      <c r="AX1209" s="243"/>
      <c r="AY1209" s="243"/>
      <c r="AZ1209" s="243"/>
      <c r="BA1209" s="243"/>
      <c r="BB1209" s="243"/>
      <c r="BC1209" s="243"/>
      <c r="BD1209" s="243"/>
      <c r="BE1209" s="243"/>
      <c r="BF1209" s="243"/>
      <c r="BG1209" s="243"/>
      <c r="BH1209" s="243"/>
      <c r="BI1209" s="243"/>
      <c r="BJ1209" s="243"/>
      <c r="BK1209" s="243"/>
      <c r="BL1209" s="243"/>
      <c r="BM1209" s="243"/>
      <c r="BN1209" s="243"/>
      <c r="BO1209" s="243"/>
      <c r="BP1209" s="243"/>
      <c r="BQ1209" s="243"/>
      <c r="BR1209" s="243"/>
      <c r="BS1209" s="243"/>
    </row>
    <row r="1210" spans="1:71" s="12" customFormat="1" ht="41.25" customHeight="1">
      <c r="A1210" s="178" t="s">
        <v>96</v>
      </c>
      <c r="B1210" s="75" t="str">
        <f ca="1">+UPPER(Tabla1321124[[#This Row],[DESCRIPCIÓN DE LA COMPRA O CONTRATACIÓN]])</f>
        <v>ELECTROBOMBA HORIZONTAL 1.5HP, 1Ø, 115/230V, 3500 RPM</v>
      </c>
      <c r="C1210" s="39" t="s">
        <v>17</v>
      </c>
      <c r="D1210" s="352"/>
      <c r="E1210" s="352">
        <v>8</v>
      </c>
      <c r="F1210" s="352">
        <v>4</v>
      </c>
      <c r="G1210" s="352">
        <v>4</v>
      </c>
      <c r="H1210" s="240">
        <f>SUM(Tabla1321124[[#This Row],[PRIMER TRIMESTRE]:[CUARTO TRIMESTRE]])</f>
        <v>16</v>
      </c>
      <c r="I1210" s="17">
        <v>45000</v>
      </c>
      <c r="J1210" s="17">
        <f t="shared" si="22"/>
        <v>720000</v>
      </c>
      <c r="K1210" s="17"/>
      <c r="L1210" s="16" t="s">
        <v>18</v>
      </c>
      <c r="M1210" s="16" t="s">
        <v>22</v>
      </c>
      <c r="N1210" s="16"/>
      <c r="O1210" s="243"/>
      <c r="P1210" s="243"/>
      <c r="Q1210" s="243"/>
      <c r="R1210" s="243"/>
      <c r="S1210" s="243"/>
      <c r="T1210" s="243"/>
      <c r="U1210" s="243"/>
      <c r="V1210" s="243"/>
      <c r="W1210" s="243"/>
      <c r="X1210" s="243"/>
      <c r="Y1210" s="243"/>
      <c r="Z1210" s="243"/>
      <c r="AA1210" s="243"/>
      <c r="AB1210" s="243"/>
      <c r="AC1210" s="243"/>
      <c r="AD1210" s="243"/>
      <c r="AE1210" s="243"/>
      <c r="AF1210" s="243"/>
      <c r="AG1210" s="243"/>
      <c r="AH1210" s="243"/>
      <c r="AI1210" s="243"/>
      <c r="AJ1210" s="243"/>
      <c r="AK1210" s="243"/>
      <c r="AL1210" s="243"/>
      <c r="AM1210" s="243"/>
      <c r="AN1210" s="243"/>
      <c r="AO1210" s="243"/>
      <c r="AP1210" s="243"/>
      <c r="AQ1210" s="243"/>
      <c r="AR1210" s="243"/>
      <c r="AS1210" s="243"/>
      <c r="AT1210" s="243"/>
      <c r="AU1210" s="243"/>
      <c r="AV1210" s="243"/>
      <c r="AW1210" s="243"/>
      <c r="AX1210" s="243"/>
      <c r="AY1210" s="243"/>
      <c r="AZ1210" s="243"/>
      <c r="BA1210" s="243"/>
      <c r="BB1210" s="243"/>
      <c r="BC1210" s="243"/>
      <c r="BD1210" s="243"/>
      <c r="BE1210" s="243"/>
      <c r="BF1210" s="243"/>
      <c r="BG1210" s="243"/>
      <c r="BH1210" s="243"/>
      <c r="BI1210" s="243"/>
      <c r="BJ1210" s="243"/>
      <c r="BK1210" s="243"/>
      <c r="BL1210" s="243"/>
      <c r="BM1210" s="243"/>
      <c r="BN1210" s="243"/>
      <c r="BO1210" s="243"/>
      <c r="BP1210" s="243"/>
      <c r="BQ1210" s="243"/>
      <c r="BR1210" s="243"/>
      <c r="BS1210" s="243"/>
    </row>
    <row r="1211" spans="1:71" s="12" customFormat="1" ht="41.25" customHeight="1">
      <c r="A1211" s="178" t="s">
        <v>96</v>
      </c>
      <c r="B1211" s="75" t="str">
        <f ca="1">+UPPER(Tabla1321124[[#This Row],[DESCRIPCIÓN DE LA COMPRA O CONTRATACIÓN]])</f>
        <v>ELECTROBOMBA HORIZONTAL 2.0HP, 1Ø, 115/230V, 3500 RPM</v>
      </c>
      <c r="C1211" s="39" t="s">
        <v>17</v>
      </c>
      <c r="D1211" s="352">
        <v>3</v>
      </c>
      <c r="E1211" s="352">
        <v>8</v>
      </c>
      <c r="F1211" s="352">
        <v>4</v>
      </c>
      <c r="G1211" s="352">
        <v>4</v>
      </c>
      <c r="H1211" s="240">
        <f>SUM(Tabla1321124[[#This Row],[PRIMER TRIMESTRE]:[CUARTO TRIMESTRE]])</f>
        <v>19</v>
      </c>
      <c r="I1211" s="17">
        <v>48231.23</v>
      </c>
      <c r="J1211" s="17">
        <f t="shared" si="22"/>
        <v>916393.37000000011</v>
      </c>
      <c r="K1211" s="17"/>
      <c r="L1211" s="16" t="s">
        <v>18</v>
      </c>
      <c r="M1211" s="16" t="s">
        <v>22</v>
      </c>
      <c r="N1211" s="16"/>
      <c r="O1211" s="243"/>
      <c r="P1211" s="243"/>
      <c r="Q1211" s="243"/>
      <c r="R1211" s="243"/>
      <c r="S1211" s="243"/>
      <c r="T1211" s="243"/>
      <c r="U1211" s="243"/>
      <c r="V1211" s="243"/>
      <c r="W1211" s="243"/>
      <c r="X1211" s="243"/>
      <c r="Y1211" s="243"/>
      <c r="Z1211" s="243"/>
      <c r="AA1211" s="243"/>
      <c r="AB1211" s="243"/>
      <c r="AC1211" s="243"/>
      <c r="AD1211" s="243"/>
      <c r="AE1211" s="243"/>
      <c r="AF1211" s="243"/>
      <c r="AG1211" s="243"/>
      <c r="AH1211" s="243"/>
      <c r="AI1211" s="243"/>
      <c r="AJ1211" s="243"/>
      <c r="AK1211" s="243"/>
      <c r="AL1211" s="243"/>
      <c r="AM1211" s="243"/>
      <c r="AN1211" s="243"/>
      <c r="AO1211" s="243"/>
      <c r="AP1211" s="243"/>
      <c r="AQ1211" s="243"/>
      <c r="AR1211" s="243"/>
      <c r="AS1211" s="243"/>
      <c r="AT1211" s="243"/>
      <c r="AU1211" s="243"/>
      <c r="AV1211" s="243"/>
      <c r="AW1211" s="243"/>
      <c r="AX1211" s="243"/>
      <c r="AY1211" s="243"/>
      <c r="AZ1211" s="243"/>
      <c r="BA1211" s="243"/>
      <c r="BB1211" s="243"/>
      <c r="BC1211" s="243"/>
      <c r="BD1211" s="243"/>
      <c r="BE1211" s="243"/>
      <c r="BF1211" s="243"/>
      <c r="BG1211" s="243"/>
      <c r="BH1211" s="243"/>
      <c r="BI1211" s="243"/>
      <c r="BJ1211" s="243"/>
      <c r="BK1211" s="243"/>
      <c r="BL1211" s="243"/>
      <c r="BM1211" s="243"/>
      <c r="BN1211" s="243"/>
      <c r="BO1211" s="243"/>
      <c r="BP1211" s="243"/>
      <c r="BQ1211" s="243"/>
      <c r="BR1211" s="243"/>
      <c r="BS1211" s="243"/>
    </row>
    <row r="1212" spans="1:71" s="12" customFormat="1" ht="41.25" customHeight="1">
      <c r="A1212" s="178" t="s">
        <v>96</v>
      </c>
      <c r="B1212" s="75" t="str">
        <f ca="1">+UPPER(Tabla1321124[[#This Row],[DESCRIPCIÓN DE LA COMPRA O CONTRATACIÓN]])</f>
        <v>ELECTROBOMBA HORIZONTAL 3.0HP, 1Ø, 115/230V, 3500 RPM</v>
      </c>
      <c r="C1212" s="39" t="s">
        <v>17</v>
      </c>
      <c r="D1212" s="352"/>
      <c r="E1212" s="352">
        <v>8</v>
      </c>
      <c r="F1212" s="352">
        <v>4</v>
      </c>
      <c r="G1212" s="352">
        <v>4</v>
      </c>
      <c r="H1212" s="240">
        <f>SUM(Tabla1321124[[#This Row],[PRIMER TRIMESTRE]:[CUARTO TRIMESTRE]])</f>
        <v>16</v>
      </c>
      <c r="I1212" s="17">
        <v>52738.12</v>
      </c>
      <c r="J1212" s="17">
        <f t="shared" si="22"/>
        <v>843809.92</v>
      </c>
      <c r="K1212" s="17"/>
      <c r="L1212" s="16" t="s">
        <v>18</v>
      </c>
      <c r="M1212" s="16" t="s">
        <v>22</v>
      </c>
      <c r="N1212" s="16"/>
      <c r="O1212" s="243"/>
      <c r="P1212" s="243"/>
      <c r="Q1212" s="243"/>
      <c r="R1212" s="243"/>
      <c r="S1212" s="243"/>
      <c r="T1212" s="243"/>
      <c r="U1212" s="243"/>
      <c r="V1212" s="243"/>
      <c r="W1212" s="243"/>
      <c r="X1212" s="243"/>
      <c r="Y1212" s="243"/>
      <c r="Z1212" s="243"/>
      <c r="AA1212" s="243"/>
      <c r="AB1212" s="243"/>
      <c r="AC1212" s="243"/>
      <c r="AD1212" s="243"/>
      <c r="AE1212" s="243"/>
      <c r="AF1212" s="243"/>
      <c r="AG1212" s="243"/>
      <c r="AH1212" s="243"/>
      <c r="AI1212" s="243"/>
      <c r="AJ1212" s="243"/>
      <c r="AK1212" s="243"/>
      <c r="AL1212" s="243"/>
      <c r="AM1212" s="243"/>
      <c r="AN1212" s="243"/>
      <c r="AO1212" s="243"/>
      <c r="AP1212" s="243"/>
      <c r="AQ1212" s="243"/>
      <c r="AR1212" s="243"/>
      <c r="AS1212" s="243"/>
      <c r="AT1212" s="243"/>
      <c r="AU1212" s="243"/>
      <c r="AV1212" s="243"/>
      <c r="AW1212" s="243"/>
      <c r="AX1212" s="243"/>
      <c r="AY1212" s="243"/>
      <c r="AZ1212" s="243"/>
      <c r="BA1212" s="243"/>
      <c r="BB1212" s="243"/>
      <c r="BC1212" s="243"/>
      <c r="BD1212" s="243"/>
      <c r="BE1212" s="243"/>
      <c r="BF1212" s="243"/>
      <c r="BG1212" s="243"/>
      <c r="BH1212" s="243"/>
      <c r="BI1212" s="243"/>
      <c r="BJ1212" s="243"/>
      <c r="BK1212" s="243"/>
      <c r="BL1212" s="243"/>
      <c r="BM1212" s="243"/>
      <c r="BN1212" s="243"/>
      <c r="BO1212" s="243"/>
      <c r="BP1212" s="243"/>
      <c r="BQ1212" s="243"/>
      <c r="BR1212" s="243"/>
      <c r="BS1212" s="243"/>
    </row>
    <row r="1213" spans="1:71" s="12" customFormat="1" ht="41.25" customHeight="1">
      <c r="A1213" s="178" t="s">
        <v>96</v>
      </c>
      <c r="B1213" s="75" t="str">
        <f ca="1">+UPPER(Tabla1321124[[#This Row],[DESCRIPCIÓN DE LA COMPRA O CONTRATACIÓN]])</f>
        <v>ELECTROBOMBAS SUMERGIBLE, 1.00HP, 230V, 1Ø, 60HZ, CON SU CAJA DE CONTROL, 3500 RPM</v>
      </c>
      <c r="C1213" s="39" t="s">
        <v>17</v>
      </c>
      <c r="D1213" s="352">
        <v>10</v>
      </c>
      <c r="E1213" s="352"/>
      <c r="F1213" s="352">
        <v>3</v>
      </c>
      <c r="G1213" s="352">
        <v>2</v>
      </c>
      <c r="H1213" s="240">
        <f>SUM(Tabla1321124[[#This Row],[PRIMER TRIMESTRE]:[CUARTO TRIMESTRE]])</f>
        <v>15</v>
      </c>
      <c r="I1213" s="17">
        <v>14726</v>
      </c>
      <c r="J1213" s="17">
        <f t="shared" si="22"/>
        <v>220890</v>
      </c>
      <c r="K1213" s="17"/>
      <c r="L1213" s="16" t="s">
        <v>18</v>
      </c>
      <c r="M1213" s="16" t="s">
        <v>22</v>
      </c>
      <c r="N1213" s="16"/>
      <c r="O1213" s="243"/>
      <c r="P1213" s="243"/>
      <c r="Q1213" s="243"/>
      <c r="R1213" s="243"/>
      <c r="S1213" s="243"/>
      <c r="T1213" s="243"/>
      <c r="U1213" s="243"/>
      <c r="V1213" s="243"/>
      <c r="W1213" s="243"/>
      <c r="X1213" s="243"/>
      <c r="Y1213" s="243"/>
      <c r="Z1213" s="243"/>
      <c r="AA1213" s="243"/>
      <c r="AB1213" s="243"/>
      <c r="AC1213" s="243"/>
      <c r="AD1213" s="243"/>
      <c r="AE1213" s="243"/>
      <c r="AF1213" s="243"/>
      <c r="AG1213" s="243"/>
      <c r="AH1213" s="243"/>
      <c r="AI1213" s="243"/>
      <c r="AJ1213" s="243"/>
      <c r="AK1213" s="243"/>
      <c r="AL1213" s="243"/>
      <c r="AM1213" s="243"/>
      <c r="AN1213" s="243"/>
      <c r="AO1213" s="243"/>
      <c r="AP1213" s="243"/>
      <c r="AQ1213" s="243"/>
      <c r="AR1213" s="243"/>
      <c r="AS1213" s="243"/>
      <c r="AT1213" s="243"/>
      <c r="AU1213" s="243"/>
      <c r="AV1213" s="243"/>
      <c r="AW1213" s="243"/>
      <c r="AX1213" s="243"/>
      <c r="AY1213" s="243"/>
      <c r="AZ1213" s="243"/>
      <c r="BA1213" s="243"/>
      <c r="BB1213" s="243"/>
      <c r="BC1213" s="243"/>
      <c r="BD1213" s="243"/>
      <c r="BE1213" s="243"/>
      <c r="BF1213" s="243"/>
      <c r="BG1213" s="243"/>
      <c r="BH1213" s="243"/>
      <c r="BI1213" s="243"/>
      <c r="BJ1213" s="243"/>
      <c r="BK1213" s="243"/>
      <c r="BL1213" s="243"/>
      <c r="BM1213" s="243"/>
      <c r="BN1213" s="243"/>
      <c r="BO1213" s="243"/>
      <c r="BP1213" s="243"/>
      <c r="BQ1213" s="243"/>
      <c r="BR1213" s="243"/>
      <c r="BS1213" s="243"/>
    </row>
    <row r="1214" spans="1:71" s="12" customFormat="1" ht="41.25" customHeight="1">
      <c r="A1214" s="178" t="s">
        <v>96</v>
      </c>
      <c r="B1214" s="75" t="str">
        <f ca="1">+UPPER(Tabla1321124[[#This Row],[DESCRIPCIÓN DE LA COMPRA O CONTRATACIÓN]])</f>
        <v>ELECTROBOMBA SUMERGIBLE 5HP, 1Ø, 115/230V, 3500 RPM, CON SU CAJA DE CONTROL, 3500 RPM</v>
      </c>
      <c r="C1214" s="39" t="s">
        <v>17</v>
      </c>
      <c r="D1214" s="352">
        <v>10</v>
      </c>
      <c r="E1214" s="352">
        <v>10</v>
      </c>
      <c r="F1214" s="352">
        <v>5</v>
      </c>
      <c r="G1214" s="352">
        <v>5</v>
      </c>
      <c r="H1214" s="240">
        <f>SUM(Tabla1321124[[#This Row],[PRIMER TRIMESTRE]:[CUARTO TRIMESTRE]])</f>
        <v>30</v>
      </c>
      <c r="I1214" s="17">
        <v>60000</v>
      </c>
      <c r="J1214" s="17">
        <f t="shared" si="22"/>
        <v>1800000</v>
      </c>
      <c r="K1214" s="17"/>
      <c r="L1214" s="16" t="s">
        <v>18</v>
      </c>
      <c r="M1214" s="16" t="s">
        <v>22</v>
      </c>
      <c r="N1214" s="16"/>
      <c r="O1214" s="243"/>
      <c r="P1214" s="243"/>
      <c r="Q1214" s="243"/>
      <c r="R1214" s="243"/>
      <c r="S1214" s="243"/>
      <c r="T1214" s="243"/>
      <c r="U1214" s="243"/>
      <c r="V1214" s="243"/>
      <c r="W1214" s="243"/>
      <c r="X1214" s="243"/>
      <c r="Y1214" s="243"/>
      <c r="Z1214" s="243"/>
      <c r="AA1214" s="243"/>
      <c r="AB1214" s="243"/>
      <c r="AC1214" s="243"/>
      <c r="AD1214" s="243"/>
      <c r="AE1214" s="243"/>
      <c r="AF1214" s="243"/>
      <c r="AG1214" s="243"/>
      <c r="AH1214" s="243"/>
      <c r="AI1214" s="243"/>
      <c r="AJ1214" s="243"/>
      <c r="AK1214" s="243"/>
      <c r="AL1214" s="243"/>
      <c r="AM1214" s="243"/>
      <c r="AN1214" s="243"/>
      <c r="AO1214" s="243"/>
      <c r="AP1214" s="243"/>
      <c r="AQ1214" s="243"/>
      <c r="AR1214" s="243"/>
      <c r="AS1214" s="243"/>
      <c r="AT1214" s="243"/>
      <c r="AU1214" s="243"/>
      <c r="AV1214" s="243"/>
      <c r="AW1214" s="243"/>
      <c r="AX1214" s="243"/>
      <c r="AY1214" s="243"/>
      <c r="AZ1214" s="243"/>
      <c r="BA1214" s="243"/>
      <c r="BB1214" s="243"/>
      <c r="BC1214" s="243"/>
      <c r="BD1214" s="243"/>
      <c r="BE1214" s="243"/>
      <c r="BF1214" s="243"/>
      <c r="BG1214" s="243"/>
      <c r="BH1214" s="243"/>
      <c r="BI1214" s="243"/>
      <c r="BJ1214" s="243"/>
      <c r="BK1214" s="243"/>
      <c r="BL1214" s="243"/>
      <c r="BM1214" s="243"/>
      <c r="BN1214" s="243"/>
      <c r="BO1214" s="243"/>
      <c r="BP1214" s="243"/>
      <c r="BQ1214" s="243"/>
      <c r="BR1214" s="243"/>
      <c r="BS1214" s="243"/>
    </row>
    <row r="1215" spans="1:71" s="12" customFormat="1" ht="48" customHeight="1">
      <c r="A1215" s="178" t="s">
        <v>96</v>
      </c>
      <c r="B1215" s="75" t="str">
        <f ca="1">+UPPER(Tabla1321124[[#This Row],[DESCRIPCIÓN DE LA COMPRA O CONTRATACIÓN]])</f>
        <v>ELECTROBOMBA SUMERGIBLE CON CAPACIDAD DE 300 GPM, CONTRA 300 PIES DE TDH, ACOPLADA A MOTOR DE 40HP, 3Ø, 60HZ, 3450 RPM</v>
      </c>
      <c r="C1215" s="39" t="s">
        <v>17</v>
      </c>
      <c r="D1215" s="352"/>
      <c r="E1215" s="352">
        <v>8</v>
      </c>
      <c r="F1215" s="352">
        <v>2</v>
      </c>
      <c r="G1215" s="352">
        <v>2</v>
      </c>
      <c r="H1215" s="240">
        <f>SUM(Tabla1321124[[#This Row],[PRIMER TRIMESTRE]:[CUARTO TRIMESTRE]])</f>
        <v>12</v>
      </c>
      <c r="I1215" s="17">
        <v>65000</v>
      </c>
      <c r="J1215" s="17">
        <f t="shared" si="22"/>
        <v>780000</v>
      </c>
      <c r="K1215" s="17"/>
      <c r="L1215" s="16" t="s">
        <v>18</v>
      </c>
      <c r="M1215" s="16" t="s">
        <v>22</v>
      </c>
      <c r="N1215" s="16"/>
      <c r="O1215" s="243"/>
      <c r="P1215" s="243"/>
      <c r="Q1215" s="243"/>
      <c r="R1215" s="243"/>
      <c r="S1215" s="243"/>
      <c r="T1215" s="243"/>
      <c r="U1215" s="243"/>
      <c r="V1215" s="243"/>
      <c r="W1215" s="243"/>
      <c r="X1215" s="243"/>
      <c r="Y1215" s="243"/>
      <c r="Z1215" s="243"/>
      <c r="AA1215" s="243"/>
      <c r="AB1215" s="243"/>
      <c r="AC1215" s="243"/>
      <c r="AD1215" s="243"/>
      <c r="AE1215" s="243"/>
      <c r="AF1215" s="243"/>
      <c r="AG1215" s="243"/>
      <c r="AH1215" s="243"/>
      <c r="AI1215" s="243"/>
      <c r="AJ1215" s="243"/>
      <c r="AK1215" s="243"/>
      <c r="AL1215" s="243"/>
      <c r="AM1215" s="243"/>
      <c r="AN1215" s="243"/>
      <c r="AO1215" s="243"/>
      <c r="AP1215" s="243"/>
      <c r="AQ1215" s="243"/>
      <c r="AR1215" s="243"/>
      <c r="AS1215" s="243"/>
      <c r="AT1215" s="243"/>
      <c r="AU1215" s="243"/>
      <c r="AV1215" s="243"/>
      <c r="AW1215" s="243"/>
      <c r="AX1215" s="243"/>
      <c r="AY1215" s="243"/>
      <c r="AZ1215" s="243"/>
      <c r="BA1215" s="243"/>
      <c r="BB1215" s="243"/>
      <c r="BC1215" s="243"/>
      <c r="BD1215" s="243"/>
      <c r="BE1215" s="243"/>
      <c r="BF1215" s="243"/>
      <c r="BG1215" s="243"/>
      <c r="BH1215" s="243"/>
      <c r="BI1215" s="243"/>
      <c r="BJ1215" s="243"/>
      <c r="BK1215" s="243"/>
      <c r="BL1215" s="243"/>
      <c r="BM1215" s="243"/>
      <c r="BN1215" s="243"/>
      <c r="BO1215" s="243"/>
      <c r="BP1215" s="243"/>
      <c r="BQ1215" s="243"/>
      <c r="BR1215" s="243"/>
      <c r="BS1215" s="243"/>
    </row>
    <row r="1216" spans="1:71" s="12" customFormat="1" ht="41.25" customHeight="1">
      <c r="A1216" s="178" t="s">
        <v>96</v>
      </c>
      <c r="B1216" s="75" t="str">
        <f ca="1">+UPPER(Tabla1321124[[#This Row],[DESCRIPCIÓN DE LA COMPRA O CONTRATACIÓN]])</f>
        <v>ELECTROBOMBA SUMERGIBLE CON CAPACIDAD DE 330 GPM, CONTRA 370 PIES DE TDH, ACOPLADA A MOTOR DE 50HP, 3</v>
      </c>
      <c r="C1216" s="39" t="s">
        <v>17</v>
      </c>
      <c r="D1216" s="352"/>
      <c r="E1216" s="352">
        <v>8</v>
      </c>
      <c r="F1216" s="352">
        <v>2</v>
      </c>
      <c r="G1216" s="352">
        <v>2</v>
      </c>
      <c r="H1216" s="240">
        <f>SUM(Tabla1321124[[#This Row],[PRIMER TRIMESTRE]:[CUARTO TRIMESTRE]])</f>
        <v>12</v>
      </c>
      <c r="I1216" s="17">
        <v>65000</v>
      </c>
      <c r="J1216" s="17">
        <f t="shared" si="22"/>
        <v>780000</v>
      </c>
      <c r="K1216" s="17"/>
      <c r="L1216" s="16" t="s">
        <v>18</v>
      </c>
      <c r="M1216" s="16" t="s">
        <v>22</v>
      </c>
      <c r="N1216" s="16"/>
      <c r="O1216" s="243"/>
      <c r="P1216" s="243"/>
      <c r="Q1216" s="243"/>
      <c r="R1216" s="243"/>
      <c r="S1216" s="243"/>
      <c r="T1216" s="243"/>
      <c r="U1216" s="243"/>
      <c r="V1216" s="243"/>
      <c r="W1216" s="243"/>
      <c r="X1216" s="243"/>
      <c r="Y1216" s="243"/>
      <c r="Z1216" s="243"/>
      <c r="AA1216" s="243"/>
      <c r="AB1216" s="243"/>
      <c r="AC1216" s="243"/>
      <c r="AD1216" s="243"/>
      <c r="AE1216" s="243"/>
      <c r="AF1216" s="243"/>
      <c r="AG1216" s="243"/>
      <c r="AH1216" s="243"/>
      <c r="AI1216" s="243"/>
      <c r="AJ1216" s="243"/>
      <c r="AK1216" s="243"/>
      <c r="AL1216" s="243"/>
      <c r="AM1216" s="243"/>
      <c r="AN1216" s="243"/>
      <c r="AO1216" s="243"/>
      <c r="AP1216" s="243"/>
      <c r="AQ1216" s="243"/>
      <c r="AR1216" s="243"/>
      <c r="AS1216" s="243"/>
      <c r="AT1216" s="243"/>
      <c r="AU1216" s="243"/>
      <c r="AV1216" s="243"/>
      <c r="AW1216" s="243"/>
      <c r="AX1216" s="243"/>
      <c r="AY1216" s="243"/>
      <c r="AZ1216" s="243"/>
      <c r="BA1216" s="243"/>
      <c r="BB1216" s="243"/>
      <c r="BC1216" s="243"/>
      <c r="BD1216" s="243"/>
      <c r="BE1216" s="243"/>
      <c r="BF1216" s="243"/>
      <c r="BG1216" s="243"/>
      <c r="BH1216" s="243"/>
      <c r="BI1216" s="243"/>
      <c r="BJ1216" s="243"/>
      <c r="BK1216" s="243"/>
      <c r="BL1216" s="243"/>
      <c r="BM1216" s="243"/>
      <c r="BN1216" s="243"/>
      <c r="BO1216" s="243"/>
      <c r="BP1216" s="243"/>
      <c r="BQ1216" s="243"/>
      <c r="BR1216" s="243"/>
      <c r="BS1216" s="243"/>
    </row>
    <row r="1217" spans="1:71" s="12" customFormat="1" ht="46.5" customHeight="1">
      <c r="A1217" s="178" t="s">
        <v>96</v>
      </c>
      <c r="B1217" s="77" t="str">
        <f ca="1">+UPPER(Tabla1321124[[#This Row],[DESCRIPCIÓN DE LA COMPRA O CONTRATACIÓN]])</f>
        <v>ELECTROBOMBA SUMERGIBLE DE 150 GPM VS 318 PIES DE TDH, CON MOTOR DE 20 HP, 240/480/V, 3Ø, 3450 RPM</v>
      </c>
      <c r="C1217" s="39" t="s">
        <v>17</v>
      </c>
      <c r="D1217" s="352">
        <v>1</v>
      </c>
      <c r="E1217" s="352">
        <v>8</v>
      </c>
      <c r="F1217" s="352">
        <f>2+1</f>
        <v>3</v>
      </c>
      <c r="G1217" s="352">
        <v>2</v>
      </c>
      <c r="H1217" s="240">
        <f>SUM(Tabla1321124[[#This Row],[PRIMER TRIMESTRE]:[CUARTO TRIMESTRE]])</f>
        <v>14</v>
      </c>
      <c r="I1217" s="17">
        <v>65000</v>
      </c>
      <c r="J1217" s="17">
        <f t="shared" si="22"/>
        <v>910000</v>
      </c>
      <c r="K1217" s="17"/>
      <c r="L1217" s="16" t="s">
        <v>18</v>
      </c>
      <c r="M1217" s="16" t="s">
        <v>22</v>
      </c>
      <c r="N1217" s="16"/>
      <c r="O1217" s="243"/>
      <c r="P1217" s="243"/>
      <c r="Q1217" s="243"/>
      <c r="R1217" s="243"/>
      <c r="S1217" s="243"/>
      <c r="T1217" s="243"/>
      <c r="U1217" s="243"/>
      <c r="V1217" s="243"/>
      <c r="W1217" s="243"/>
      <c r="X1217" s="243"/>
      <c r="Y1217" s="243"/>
      <c r="Z1217" s="243"/>
      <c r="AA1217" s="243"/>
      <c r="AB1217" s="243"/>
      <c r="AC1217" s="243"/>
      <c r="AD1217" s="243"/>
      <c r="AE1217" s="243"/>
      <c r="AF1217" s="243"/>
      <c r="AG1217" s="243"/>
      <c r="AH1217" s="243"/>
      <c r="AI1217" s="243"/>
      <c r="AJ1217" s="243"/>
      <c r="AK1217" s="243"/>
      <c r="AL1217" s="243"/>
      <c r="AM1217" s="243"/>
      <c r="AN1217" s="243"/>
      <c r="AO1217" s="243"/>
      <c r="AP1217" s="243"/>
      <c r="AQ1217" s="243"/>
      <c r="AR1217" s="243"/>
      <c r="AS1217" s="243"/>
      <c r="AT1217" s="243"/>
      <c r="AU1217" s="243"/>
      <c r="AV1217" s="243"/>
      <c r="AW1217" s="243"/>
      <c r="AX1217" s="243"/>
      <c r="AY1217" s="243"/>
      <c r="AZ1217" s="243"/>
      <c r="BA1217" s="243"/>
      <c r="BB1217" s="243"/>
      <c r="BC1217" s="243"/>
      <c r="BD1217" s="243"/>
      <c r="BE1217" s="243"/>
      <c r="BF1217" s="243"/>
      <c r="BG1217" s="243"/>
      <c r="BH1217" s="243"/>
      <c r="BI1217" s="243"/>
      <c r="BJ1217" s="243"/>
      <c r="BK1217" s="243"/>
      <c r="BL1217" s="243"/>
      <c r="BM1217" s="243"/>
      <c r="BN1217" s="243"/>
      <c r="BO1217" s="243"/>
      <c r="BP1217" s="243"/>
      <c r="BQ1217" s="243"/>
      <c r="BR1217" s="243"/>
      <c r="BS1217" s="243"/>
    </row>
    <row r="1218" spans="1:71" s="12" customFormat="1" ht="41.25" customHeight="1">
      <c r="A1218" s="178" t="s">
        <v>96</v>
      </c>
      <c r="B1218" s="77" t="str">
        <f ca="1">+UPPER(Tabla1321124[[#This Row],[DESCRIPCIÓN DE LA COMPRA O CONTRATACIÓN]])</f>
        <v>ELECTROBOMBA SUMERGIBLE NO ATASCABLE DE 1500GPM VS 100PIE DE TDH, CON MOTOR DE 60HP, 3Ø,4560V, CONEXIÓN PART WINDING</v>
      </c>
      <c r="C1218" s="39" t="s">
        <v>1779</v>
      </c>
      <c r="D1218" s="365">
        <v>1</v>
      </c>
      <c r="E1218" s="365"/>
      <c r="F1218" s="365">
        <v>1</v>
      </c>
      <c r="G1218" s="365"/>
      <c r="H1218" s="240">
        <f>SUM(Tabla1321124[[#This Row],[PRIMER TRIMESTRE]:[CUARTO TRIMESTRE]])</f>
        <v>2</v>
      </c>
      <c r="I1218" s="17">
        <v>75800</v>
      </c>
      <c r="J1218" s="17">
        <f t="shared" si="22"/>
        <v>151600</v>
      </c>
      <c r="K1218" s="175"/>
      <c r="L1218" s="16" t="s">
        <v>18</v>
      </c>
      <c r="M1218" s="16" t="s">
        <v>22</v>
      </c>
      <c r="N1218" s="16"/>
      <c r="O1218" s="243"/>
      <c r="P1218" s="243"/>
      <c r="Q1218" s="243"/>
      <c r="R1218" s="243"/>
      <c r="S1218" s="243"/>
      <c r="T1218" s="243"/>
      <c r="U1218" s="243"/>
      <c r="V1218" s="243"/>
      <c r="W1218" s="243"/>
      <c r="X1218" s="243"/>
      <c r="Y1218" s="243"/>
      <c r="Z1218" s="243"/>
      <c r="AA1218" s="243"/>
      <c r="AB1218" s="243"/>
      <c r="AC1218" s="243"/>
      <c r="AD1218" s="243"/>
      <c r="AE1218" s="243"/>
      <c r="AF1218" s="243"/>
      <c r="AG1218" s="243"/>
      <c r="AH1218" s="243"/>
      <c r="AI1218" s="243"/>
      <c r="AJ1218" s="243"/>
      <c r="AK1218" s="243"/>
      <c r="AL1218" s="243"/>
      <c r="AM1218" s="243"/>
      <c r="AN1218" s="243"/>
      <c r="AO1218" s="243"/>
      <c r="AP1218" s="243"/>
      <c r="AQ1218" s="243"/>
      <c r="AR1218" s="243"/>
      <c r="AS1218" s="243"/>
      <c r="AT1218" s="243"/>
      <c r="AU1218" s="243"/>
      <c r="AV1218" s="243"/>
      <c r="AW1218" s="243"/>
      <c r="AX1218" s="243"/>
      <c r="AY1218" s="243"/>
      <c r="AZ1218" s="243"/>
      <c r="BA1218" s="243"/>
      <c r="BB1218" s="243"/>
      <c r="BC1218" s="243"/>
      <c r="BD1218" s="243"/>
      <c r="BE1218" s="243"/>
      <c r="BF1218" s="243"/>
      <c r="BG1218" s="243"/>
      <c r="BH1218" s="243"/>
      <c r="BI1218" s="243"/>
      <c r="BJ1218" s="243"/>
      <c r="BK1218" s="243"/>
      <c r="BL1218" s="243"/>
      <c r="BM1218" s="243"/>
      <c r="BN1218" s="243"/>
      <c r="BO1218" s="243"/>
      <c r="BP1218" s="243"/>
      <c r="BQ1218" s="243"/>
      <c r="BR1218" s="243"/>
      <c r="BS1218" s="243"/>
    </row>
    <row r="1219" spans="1:71" s="12" customFormat="1" ht="52.5" customHeight="1">
      <c r="A1219" s="178" t="s">
        <v>96</v>
      </c>
      <c r="B1219" s="77" t="str">
        <f ca="1">+UPPER(Tabla1321124[[#This Row],[DESCRIPCIÓN DE LA COMPRA O CONTRATACIÓN]])</f>
        <v>ELECTROBOMBA SUMERGIBLE NO ATASCABLE DE 2500GPM VS 100PIE DE TDH, CON MOTOR DE 100HP, 3Ø,4560V, CONEXIÓN PART WINDING</v>
      </c>
      <c r="C1219" s="39" t="s">
        <v>17</v>
      </c>
      <c r="D1219" s="365">
        <v>2</v>
      </c>
      <c r="E1219" s="365">
        <v>2</v>
      </c>
      <c r="F1219" s="365"/>
      <c r="G1219" s="365"/>
      <c r="H1219" s="240">
        <f>SUM(Tabla1321124[[#This Row],[PRIMER TRIMESTRE]:[CUARTO TRIMESTRE]])</f>
        <v>4</v>
      </c>
      <c r="I1219" s="17">
        <v>85788</v>
      </c>
      <c r="J1219" s="17">
        <f t="shared" si="22"/>
        <v>343152</v>
      </c>
      <c r="K1219" s="175"/>
      <c r="L1219" s="16" t="s">
        <v>18</v>
      </c>
      <c r="M1219" s="16" t="s">
        <v>22</v>
      </c>
      <c r="N1219" s="16"/>
      <c r="O1219" s="243"/>
      <c r="P1219" s="243"/>
      <c r="Q1219" s="243"/>
      <c r="R1219" s="243"/>
      <c r="S1219" s="243"/>
      <c r="T1219" s="243"/>
      <c r="U1219" s="243"/>
      <c r="V1219" s="243"/>
      <c r="W1219" s="243"/>
      <c r="X1219" s="243"/>
      <c r="Y1219" s="243"/>
      <c r="Z1219" s="243"/>
      <c r="AA1219" s="243"/>
      <c r="AB1219" s="243"/>
      <c r="AC1219" s="243"/>
      <c r="AD1219" s="243"/>
      <c r="AE1219" s="243"/>
      <c r="AF1219" s="243"/>
      <c r="AG1219" s="243"/>
      <c r="AH1219" s="243"/>
      <c r="AI1219" s="243"/>
      <c r="AJ1219" s="243"/>
      <c r="AK1219" s="243"/>
      <c r="AL1219" s="243"/>
      <c r="AM1219" s="243"/>
      <c r="AN1219" s="243"/>
      <c r="AO1219" s="243"/>
      <c r="AP1219" s="243"/>
      <c r="AQ1219" s="243"/>
      <c r="AR1219" s="243"/>
      <c r="AS1219" s="243"/>
      <c r="AT1219" s="243"/>
      <c r="AU1219" s="243"/>
      <c r="AV1219" s="243"/>
      <c r="AW1219" s="243"/>
      <c r="AX1219" s="243"/>
      <c r="AY1219" s="243"/>
      <c r="AZ1219" s="243"/>
      <c r="BA1219" s="243"/>
      <c r="BB1219" s="243"/>
      <c r="BC1219" s="243"/>
      <c r="BD1219" s="243"/>
      <c r="BE1219" s="243"/>
      <c r="BF1219" s="243"/>
      <c r="BG1219" s="243"/>
      <c r="BH1219" s="243"/>
      <c r="BI1219" s="243"/>
      <c r="BJ1219" s="243"/>
      <c r="BK1219" s="243"/>
      <c r="BL1219" s="243"/>
      <c r="BM1219" s="243"/>
      <c r="BN1219" s="243"/>
      <c r="BO1219" s="243"/>
      <c r="BP1219" s="243"/>
      <c r="BQ1219" s="243"/>
      <c r="BR1219" s="243"/>
      <c r="BS1219" s="243"/>
    </row>
    <row r="1220" spans="1:71" s="12" customFormat="1" ht="55.5" customHeight="1">
      <c r="A1220" s="178" t="s">
        <v>96</v>
      </c>
      <c r="B1220" s="77" t="str">
        <f ca="1">+UPPER(Tabla1321124[[#This Row],[DESCRIPCIÓN DE LA COMPRA O CONTRATACIÓN]])</f>
        <v>PANEL ELECTRICO COMBINADO PARA 60HP, 3Ø, 60HZ, 460V, TIPO PART WINDING, CON PROTECCION DE SOBRE CARGA, BAJO Y ALTO VOLTAJE, PERDIDA E INVERSION DE FASE</v>
      </c>
      <c r="C1220" s="39" t="s">
        <v>17</v>
      </c>
      <c r="D1220" s="365">
        <v>1</v>
      </c>
      <c r="E1220" s="365"/>
      <c r="F1220" s="365">
        <v>1</v>
      </c>
      <c r="G1220" s="365"/>
      <c r="H1220" s="240">
        <f>SUM(Tabla1321124[[#This Row],[PRIMER TRIMESTRE]:[CUARTO TRIMESTRE]])</f>
        <v>2</v>
      </c>
      <c r="I1220" s="17">
        <v>12500</v>
      </c>
      <c r="J1220" s="17">
        <f t="shared" si="22"/>
        <v>25000</v>
      </c>
      <c r="K1220" s="175"/>
      <c r="L1220" s="16" t="s">
        <v>18</v>
      </c>
      <c r="M1220" s="16" t="s">
        <v>22</v>
      </c>
      <c r="N1220" s="16"/>
      <c r="O1220" s="243"/>
      <c r="P1220" s="243"/>
      <c r="Q1220" s="243"/>
      <c r="R1220" s="243"/>
      <c r="S1220" s="243"/>
      <c r="T1220" s="243"/>
      <c r="U1220" s="243"/>
      <c r="V1220" s="243"/>
      <c r="W1220" s="243"/>
      <c r="X1220" s="243"/>
      <c r="Y1220" s="243"/>
      <c r="Z1220" s="243"/>
      <c r="AA1220" s="243"/>
      <c r="AB1220" s="243"/>
      <c r="AC1220" s="243"/>
      <c r="AD1220" s="243"/>
      <c r="AE1220" s="243"/>
      <c r="AF1220" s="243"/>
      <c r="AG1220" s="243"/>
      <c r="AH1220" s="243"/>
      <c r="AI1220" s="243"/>
      <c r="AJ1220" s="243"/>
      <c r="AK1220" s="243"/>
      <c r="AL1220" s="243"/>
      <c r="AM1220" s="243"/>
      <c r="AN1220" s="243"/>
      <c r="AO1220" s="243"/>
      <c r="AP1220" s="243"/>
      <c r="AQ1220" s="243"/>
      <c r="AR1220" s="243"/>
      <c r="AS1220" s="243"/>
      <c r="AT1220" s="243"/>
      <c r="AU1220" s="243"/>
      <c r="AV1220" s="243"/>
      <c r="AW1220" s="243"/>
      <c r="AX1220" s="243"/>
      <c r="AY1220" s="243"/>
      <c r="AZ1220" s="243"/>
      <c r="BA1220" s="243"/>
      <c r="BB1220" s="243"/>
      <c r="BC1220" s="243"/>
      <c r="BD1220" s="243"/>
      <c r="BE1220" s="243"/>
      <c r="BF1220" s="243"/>
      <c r="BG1220" s="243"/>
      <c r="BH1220" s="243"/>
      <c r="BI1220" s="243"/>
      <c r="BJ1220" s="243"/>
      <c r="BK1220" s="243"/>
      <c r="BL1220" s="243"/>
      <c r="BM1220" s="243"/>
      <c r="BN1220" s="243"/>
      <c r="BO1220" s="243"/>
      <c r="BP1220" s="243"/>
      <c r="BQ1220" s="243"/>
      <c r="BR1220" s="243"/>
      <c r="BS1220" s="243"/>
    </row>
    <row r="1221" spans="1:71" s="12" customFormat="1" ht="55.5" customHeight="1">
      <c r="A1221" s="178" t="s">
        <v>96</v>
      </c>
      <c r="B1221" s="77" t="str">
        <f ca="1">+UPPER(Tabla1321124[[#This Row],[DESCRIPCIÓN DE LA COMPRA O CONTRATACIÓN]])</f>
        <v>PANEL ELECTRICO COMBINADO PARA 60HP, 3Ø, 60HZ, 460V, TIPO ESTRELLA DELTA, CON PROTECCION DE SOBRE CARGA, BAJO Y ALTO VOLTAJE, PERDIDA E INVERSION DE FASE</v>
      </c>
      <c r="C1221" s="39" t="s">
        <v>17</v>
      </c>
      <c r="D1221" s="365">
        <v>2</v>
      </c>
      <c r="E1221" s="365">
        <v>2</v>
      </c>
      <c r="F1221" s="365"/>
      <c r="G1221" s="365"/>
      <c r="H1221" s="240">
        <f>SUM(Tabla1321124[[#This Row],[PRIMER TRIMESTRE]:[CUARTO TRIMESTRE]])</f>
        <v>4</v>
      </c>
      <c r="I1221" s="17">
        <v>12500</v>
      </c>
      <c r="J1221" s="17">
        <f t="shared" si="22"/>
        <v>50000</v>
      </c>
      <c r="K1221" s="175"/>
      <c r="L1221" s="16" t="s">
        <v>18</v>
      </c>
      <c r="M1221" s="16" t="s">
        <v>22</v>
      </c>
      <c r="N1221" s="16"/>
      <c r="O1221" s="243"/>
      <c r="P1221" s="243"/>
      <c r="Q1221" s="243"/>
      <c r="R1221" s="243"/>
      <c r="S1221" s="243"/>
      <c r="T1221" s="243"/>
      <c r="U1221" s="243"/>
      <c r="V1221" s="243"/>
      <c r="W1221" s="243"/>
      <c r="X1221" s="243"/>
      <c r="Y1221" s="243"/>
      <c r="Z1221" s="243"/>
      <c r="AA1221" s="243"/>
      <c r="AB1221" s="243"/>
      <c r="AC1221" s="243"/>
      <c r="AD1221" s="243"/>
      <c r="AE1221" s="243"/>
      <c r="AF1221" s="243"/>
      <c r="AG1221" s="243"/>
      <c r="AH1221" s="243"/>
      <c r="AI1221" s="243"/>
      <c r="AJ1221" s="243"/>
      <c r="AK1221" s="243"/>
      <c r="AL1221" s="243"/>
      <c r="AM1221" s="243"/>
      <c r="AN1221" s="243"/>
      <c r="AO1221" s="243"/>
      <c r="AP1221" s="243"/>
      <c r="AQ1221" s="243"/>
      <c r="AR1221" s="243"/>
      <c r="AS1221" s="243"/>
      <c r="AT1221" s="243"/>
      <c r="AU1221" s="243"/>
      <c r="AV1221" s="243"/>
      <c r="AW1221" s="243"/>
      <c r="AX1221" s="243"/>
      <c r="AY1221" s="243"/>
      <c r="AZ1221" s="243"/>
      <c r="BA1221" s="243"/>
      <c r="BB1221" s="243"/>
      <c r="BC1221" s="243"/>
      <c r="BD1221" s="243"/>
      <c r="BE1221" s="243"/>
      <c r="BF1221" s="243"/>
      <c r="BG1221" s="243"/>
      <c r="BH1221" s="243"/>
      <c r="BI1221" s="243"/>
      <c r="BJ1221" s="243"/>
      <c r="BK1221" s="243"/>
      <c r="BL1221" s="243"/>
      <c r="BM1221" s="243"/>
      <c r="BN1221" s="243"/>
      <c r="BO1221" s="243"/>
      <c r="BP1221" s="243"/>
      <c r="BQ1221" s="243"/>
      <c r="BR1221" s="243"/>
      <c r="BS1221" s="243"/>
    </row>
    <row r="1222" spans="1:71" s="12" customFormat="1" ht="51" customHeight="1">
      <c r="A1222" s="178" t="s">
        <v>96</v>
      </c>
      <c r="B1222" s="77" t="str">
        <f ca="1">+UPPER(Tabla1321124[[#This Row],[DESCRIPCIÓN DE LA COMPRA O CONTRATACIÓN]])</f>
        <v>TRANSFORMADORES 1Ø, 60HZ, SUMERGIDOS EN ACEITE, 7.2/12.47 KV, 120/240V, TIPO POSTE, HOMOLGADOS CON IDÉNTICA IMPEDANCIA 15 KVA</v>
      </c>
      <c r="C1222" s="39" t="s">
        <v>17</v>
      </c>
      <c r="D1222" s="352">
        <f>50</f>
        <v>50</v>
      </c>
      <c r="E1222" s="352">
        <f>20</f>
        <v>20</v>
      </c>
      <c r="F1222" s="352">
        <v>10</v>
      </c>
      <c r="G1222" s="352">
        <v>10</v>
      </c>
      <c r="H1222" s="240">
        <f>SUM(Tabla1321124[[#This Row],[PRIMER TRIMESTRE]:[CUARTO TRIMESTRE]])</f>
        <v>90</v>
      </c>
      <c r="I1222" s="17">
        <v>24051.94</v>
      </c>
      <c r="J1222" s="17">
        <f t="shared" si="22"/>
        <v>2164674.6</v>
      </c>
      <c r="K1222" s="17"/>
      <c r="L1222" s="16" t="s">
        <v>18</v>
      </c>
      <c r="M1222" s="16" t="s">
        <v>22</v>
      </c>
      <c r="N1222" s="16"/>
      <c r="O1222" s="243"/>
      <c r="P1222" s="243"/>
      <c r="Q1222" s="243"/>
      <c r="R1222" s="243"/>
      <c r="S1222" s="243"/>
      <c r="T1222" s="243"/>
      <c r="U1222" s="243"/>
      <c r="V1222" s="243"/>
      <c r="W1222" s="243"/>
      <c r="X1222" s="243"/>
      <c r="Y1222" s="243"/>
      <c r="Z1222" s="243"/>
      <c r="AA1222" s="243"/>
      <c r="AB1222" s="243"/>
      <c r="AC1222" s="243"/>
      <c r="AD1222" s="243"/>
      <c r="AE1222" s="243"/>
      <c r="AF1222" s="243"/>
      <c r="AG1222" s="243"/>
      <c r="AH1222" s="243"/>
      <c r="AI1222" s="243"/>
      <c r="AJ1222" s="243"/>
      <c r="AK1222" s="243"/>
      <c r="AL1222" s="243"/>
      <c r="AM1222" s="243"/>
      <c r="AN1222" s="243"/>
      <c r="AO1222" s="243"/>
      <c r="AP1222" s="243"/>
      <c r="AQ1222" s="243"/>
      <c r="AR1222" s="243"/>
      <c r="AS1222" s="243"/>
      <c r="AT1222" s="243"/>
      <c r="AU1222" s="243"/>
      <c r="AV1222" s="243"/>
      <c r="AW1222" s="243"/>
      <c r="AX1222" s="243"/>
      <c r="AY1222" s="243"/>
      <c r="AZ1222" s="243"/>
      <c r="BA1222" s="243"/>
      <c r="BB1222" s="243"/>
      <c r="BC1222" s="243"/>
      <c r="BD1222" s="243"/>
      <c r="BE1222" s="243"/>
      <c r="BF1222" s="243"/>
      <c r="BG1222" s="243"/>
      <c r="BH1222" s="243"/>
      <c r="BI1222" s="243"/>
      <c r="BJ1222" s="243"/>
      <c r="BK1222" s="243"/>
      <c r="BL1222" s="243"/>
      <c r="BM1222" s="243"/>
      <c r="BN1222" s="243"/>
      <c r="BO1222" s="243"/>
      <c r="BP1222" s="243"/>
      <c r="BQ1222" s="243"/>
      <c r="BR1222" s="243"/>
      <c r="BS1222" s="243"/>
    </row>
    <row r="1223" spans="1:71" s="12" customFormat="1" ht="51" customHeight="1">
      <c r="A1223" s="178" t="s">
        <v>96</v>
      </c>
      <c r="B1223" s="77" t="s">
        <v>1814</v>
      </c>
      <c r="C1223" s="39" t="s">
        <v>17</v>
      </c>
      <c r="D1223" s="352">
        <v>50</v>
      </c>
      <c r="E1223" s="352">
        <v>20</v>
      </c>
      <c r="F1223" s="352">
        <v>10</v>
      </c>
      <c r="G1223" s="352">
        <v>10</v>
      </c>
      <c r="H1223" s="240">
        <f>SUM(Tabla1321124[[#This Row],[PRIMER TRIMESTRE]:[CUARTO TRIMESTRE]])</f>
        <v>90</v>
      </c>
      <c r="I1223" s="17">
        <v>34220</v>
      </c>
      <c r="J1223" s="17">
        <f t="shared" ref="J1223:J1247" si="23">+H1223*I1223</f>
        <v>3079800</v>
      </c>
      <c r="K1223" s="17"/>
      <c r="L1223" s="16" t="s">
        <v>18</v>
      </c>
      <c r="M1223" s="16" t="s">
        <v>22</v>
      </c>
      <c r="N1223" s="16"/>
      <c r="O1223" s="243"/>
      <c r="P1223" s="243"/>
      <c r="Q1223" s="243"/>
      <c r="R1223" s="243"/>
      <c r="S1223" s="243"/>
      <c r="T1223" s="243"/>
      <c r="U1223" s="243"/>
      <c r="V1223" s="243"/>
      <c r="W1223" s="243"/>
      <c r="X1223" s="243"/>
      <c r="Y1223" s="243"/>
      <c r="Z1223" s="243"/>
      <c r="AA1223" s="243"/>
      <c r="AB1223" s="243"/>
      <c r="AC1223" s="243"/>
      <c r="AD1223" s="243"/>
      <c r="AE1223" s="243"/>
      <c r="AF1223" s="243"/>
      <c r="AG1223" s="243"/>
      <c r="AH1223" s="243"/>
      <c r="AI1223" s="243"/>
      <c r="AJ1223" s="243"/>
      <c r="AK1223" s="243"/>
      <c r="AL1223" s="243"/>
      <c r="AM1223" s="243"/>
      <c r="AN1223" s="243"/>
      <c r="AO1223" s="243"/>
      <c r="AP1223" s="243"/>
      <c r="AQ1223" s="243"/>
      <c r="AR1223" s="243"/>
      <c r="AS1223" s="243"/>
      <c r="AT1223" s="243"/>
      <c r="AU1223" s="243"/>
      <c r="AV1223" s="243"/>
      <c r="AW1223" s="243"/>
      <c r="AX1223" s="243"/>
      <c r="AY1223" s="243"/>
      <c r="AZ1223" s="243"/>
      <c r="BA1223" s="243"/>
      <c r="BB1223" s="243"/>
      <c r="BC1223" s="243"/>
      <c r="BD1223" s="243"/>
      <c r="BE1223" s="243"/>
      <c r="BF1223" s="243"/>
      <c r="BG1223" s="243"/>
      <c r="BH1223" s="243"/>
      <c r="BI1223" s="243"/>
      <c r="BJ1223" s="243"/>
      <c r="BK1223" s="243"/>
      <c r="BL1223" s="243"/>
      <c r="BM1223" s="243"/>
      <c r="BN1223" s="243"/>
      <c r="BO1223" s="243"/>
      <c r="BP1223" s="243"/>
      <c r="BQ1223" s="243"/>
      <c r="BR1223" s="243"/>
      <c r="BS1223" s="243"/>
    </row>
    <row r="1224" spans="1:71" s="12" customFormat="1" ht="51" customHeight="1">
      <c r="A1224" s="178" t="s">
        <v>96</v>
      </c>
      <c r="B1224" s="77" t="s">
        <v>1815</v>
      </c>
      <c r="C1224" s="39" t="s">
        <v>17</v>
      </c>
      <c r="D1224" s="352">
        <f>20+2</f>
        <v>22</v>
      </c>
      <c r="E1224" s="352">
        <v>5</v>
      </c>
      <c r="F1224" s="352">
        <v>10</v>
      </c>
      <c r="G1224" s="352">
        <v>10</v>
      </c>
      <c r="H1224" s="240">
        <f>SUM(Tabla1321124[[#This Row],[PRIMER TRIMESTRE]:[CUARTO TRIMESTRE]])</f>
        <v>47</v>
      </c>
      <c r="I1224" s="17">
        <v>58875.22</v>
      </c>
      <c r="J1224" s="17">
        <f t="shared" si="23"/>
        <v>2767135.34</v>
      </c>
      <c r="K1224" s="17"/>
      <c r="L1224" s="16" t="s">
        <v>18</v>
      </c>
      <c r="M1224" s="16" t="s">
        <v>22</v>
      </c>
      <c r="N1224" s="16"/>
      <c r="O1224" s="243"/>
      <c r="P1224" s="243"/>
      <c r="Q1224" s="243"/>
      <c r="R1224" s="243"/>
      <c r="S1224" s="243"/>
      <c r="T1224" s="243"/>
      <c r="U1224" s="243"/>
      <c r="V1224" s="243"/>
      <c r="W1224" s="243"/>
      <c r="X1224" s="243"/>
      <c r="Y1224" s="243"/>
      <c r="Z1224" s="243"/>
      <c r="AA1224" s="243"/>
      <c r="AB1224" s="243"/>
      <c r="AC1224" s="243"/>
      <c r="AD1224" s="243"/>
      <c r="AE1224" s="243"/>
      <c r="AF1224" s="243"/>
      <c r="AG1224" s="243"/>
      <c r="AH1224" s="243"/>
      <c r="AI1224" s="243"/>
      <c r="AJ1224" s="243"/>
      <c r="AK1224" s="243"/>
      <c r="AL1224" s="243"/>
      <c r="AM1224" s="243"/>
      <c r="AN1224" s="243"/>
      <c r="AO1224" s="243"/>
      <c r="AP1224" s="243"/>
      <c r="AQ1224" s="243"/>
      <c r="AR1224" s="243"/>
      <c r="AS1224" s="243"/>
      <c r="AT1224" s="243"/>
      <c r="AU1224" s="243"/>
      <c r="AV1224" s="243"/>
      <c r="AW1224" s="243"/>
      <c r="AX1224" s="243"/>
      <c r="AY1224" s="243"/>
      <c r="AZ1224" s="243"/>
      <c r="BA1224" s="243"/>
      <c r="BB1224" s="243"/>
      <c r="BC1224" s="243"/>
      <c r="BD1224" s="243"/>
      <c r="BE1224" s="243"/>
      <c r="BF1224" s="243"/>
      <c r="BG1224" s="243"/>
      <c r="BH1224" s="243"/>
      <c r="BI1224" s="243"/>
      <c r="BJ1224" s="243"/>
      <c r="BK1224" s="243"/>
      <c r="BL1224" s="243"/>
      <c r="BM1224" s="243"/>
      <c r="BN1224" s="243"/>
      <c r="BO1224" s="243"/>
      <c r="BP1224" s="243"/>
      <c r="BQ1224" s="243"/>
      <c r="BR1224" s="243"/>
      <c r="BS1224" s="243"/>
    </row>
    <row r="1225" spans="1:71" s="12" customFormat="1" ht="51" customHeight="1">
      <c r="A1225" s="178" t="s">
        <v>96</v>
      </c>
      <c r="B1225" s="77" t="s">
        <v>1816</v>
      </c>
      <c r="C1225" s="39" t="s">
        <v>17</v>
      </c>
      <c r="D1225" s="352">
        <f>50+3</f>
        <v>53</v>
      </c>
      <c r="E1225" s="352">
        <v>20</v>
      </c>
      <c r="F1225" s="352">
        <v>10</v>
      </c>
      <c r="G1225" s="352">
        <v>10</v>
      </c>
      <c r="H1225" s="240">
        <f>SUM(Tabla1321124[[#This Row],[PRIMER TRIMESTRE]:[CUARTO TRIMESTRE]])</f>
        <v>93</v>
      </c>
      <c r="I1225" s="17">
        <v>25498.09</v>
      </c>
      <c r="J1225" s="17">
        <f t="shared" si="23"/>
        <v>2371322.37</v>
      </c>
      <c r="K1225" s="17"/>
      <c r="L1225" s="16" t="s">
        <v>18</v>
      </c>
      <c r="M1225" s="16" t="s">
        <v>22</v>
      </c>
      <c r="N1225" s="16"/>
      <c r="O1225" s="243"/>
      <c r="P1225" s="243"/>
      <c r="Q1225" s="243"/>
      <c r="R1225" s="243"/>
      <c r="S1225" s="243"/>
      <c r="T1225" s="243"/>
      <c r="U1225" s="243"/>
      <c r="V1225" s="243"/>
      <c r="W1225" s="243"/>
      <c r="X1225" s="243"/>
      <c r="Y1225" s="243"/>
      <c r="Z1225" s="243"/>
      <c r="AA1225" s="243"/>
      <c r="AB1225" s="243"/>
      <c r="AC1225" s="243"/>
      <c r="AD1225" s="243"/>
      <c r="AE1225" s="243"/>
      <c r="AF1225" s="243"/>
      <c r="AG1225" s="243"/>
      <c r="AH1225" s="243"/>
      <c r="AI1225" s="243"/>
      <c r="AJ1225" s="243"/>
      <c r="AK1225" s="243"/>
      <c r="AL1225" s="243"/>
      <c r="AM1225" s="243"/>
      <c r="AN1225" s="243"/>
      <c r="AO1225" s="243"/>
      <c r="AP1225" s="243"/>
      <c r="AQ1225" s="243"/>
      <c r="AR1225" s="243"/>
      <c r="AS1225" s="243"/>
      <c r="AT1225" s="243"/>
      <c r="AU1225" s="243"/>
      <c r="AV1225" s="243"/>
      <c r="AW1225" s="243"/>
      <c r="AX1225" s="243"/>
      <c r="AY1225" s="243"/>
      <c r="AZ1225" s="243"/>
      <c r="BA1225" s="243"/>
      <c r="BB1225" s="243"/>
      <c r="BC1225" s="243"/>
      <c r="BD1225" s="243"/>
      <c r="BE1225" s="243"/>
      <c r="BF1225" s="243"/>
      <c r="BG1225" s="243"/>
      <c r="BH1225" s="243"/>
      <c r="BI1225" s="243"/>
      <c r="BJ1225" s="243"/>
      <c r="BK1225" s="243"/>
      <c r="BL1225" s="243"/>
      <c r="BM1225" s="243"/>
      <c r="BN1225" s="243"/>
      <c r="BO1225" s="243"/>
      <c r="BP1225" s="243"/>
      <c r="BQ1225" s="243"/>
      <c r="BR1225" s="243"/>
      <c r="BS1225" s="243"/>
    </row>
    <row r="1226" spans="1:71" s="12" customFormat="1" ht="51" customHeight="1">
      <c r="A1226" s="178" t="s">
        <v>96</v>
      </c>
      <c r="B1226" s="77" t="s">
        <v>1817</v>
      </c>
      <c r="C1226" s="39" t="s">
        <v>17</v>
      </c>
      <c r="D1226" s="352">
        <f>50+3</f>
        <v>53</v>
      </c>
      <c r="E1226" s="352">
        <v>20</v>
      </c>
      <c r="F1226" s="352">
        <f>10+3</f>
        <v>13</v>
      </c>
      <c r="G1226" s="352">
        <v>10</v>
      </c>
      <c r="H1226" s="240">
        <f>SUM(Tabla1321124[[#This Row],[PRIMER TRIMESTRE]:[CUARTO TRIMESTRE]])</f>
        <v>96</v>
      </c>
      <c r="I1226" s="17">
        <v>37186.82</v>
      </c>
      <c r="J1226" s="17">
        <f t="shared" si="23"/>
        <v>3569934.7199999997</v>
      </c>
      <c r="K1226" s="17"/>
      <c r="L1226" s="16" t="s">
        <v>18</v>
      </c>
      <c r="M1226" s="16" t="s">
        <v>22</v>
      </c>
      <c r="N1226" s="16"/>
      <c r="O1226" s="243"/>
      <c r="P1226" s="243"/>
      <c r="Q1226" s="243"/>
      <c r="R1226" s="243"/>
      <c r="S1226" s="243"/>
      <c r="T1226" s="243"/>
      <c r="U1226" s="243"/>
      <c r="V1226" s="243"/>
      <c r="W1226" s="243"/>
      <c r="X1226" s="243"/>
      <c r="Y1226" s="243"/>
      <c r="Z1226" s="243"/>
      <c r="AA1226" s="243"/>
      <c r="AB1226" s="243"/>
      <c r="AC1226" s="243"/>
      <c r="AD1226" s="243"/>
      <c r="AE1226" s="243"/>
      <c r="AF1226" s="243"/>
      <c r="AG1226" s="243"/>
      <c r="AH1226" s="243"/>
      <c r="AI1226" s="243"/>
      <c r="AJ1226" s="243"/>
      <c r="AK1226" s="243"/>
      <c r="AL1226" s="243"/>
      <c r="AM1226" s="243"/>
      <c r="AN1226" s="243"/>
      <c r="AO1226" s="243"/>
      <c r="AP1226" s="243"/>
      <c r="AQ1226" s="243"/>
      <c r="AR1226" s="243"/>
      <c r="AS1226" s="243"/>
      <c r="AT1226" s="243"/>
      <c r="AU1226" s="243"/>
      <c r="AV1226" s="243"/>
      <c r="AW1226" s="243"/>
      <c r="AX1226" s="243"/>
      <c r="AY1226" s="243"/>
      <c r="AZ1226" s="243"/>
      <c r="BA1226" s="243"/>
      <c r="BB1226" s="243"/>
      <c r="BC1226" s="243"/>
      <c r="BD1226" s="243"/>
      <c r="BE1226" s="243"/>
      <c r="BF1226" s="243"/>
      <c r="BG1226" s="243"/>
      <c r="BH1226" s="243"/>
      <c r="BI1226" s="243"/>
      <c r="BJ1226" s="243"/>
      <c r="BK1226" s="243"/>
      <c r="BL1226" s="243"/>
      <c r="BM1226" s="243"/>
      <c r="BN1226" s="243"/>
      <c r="BO1226" s="243"/>
      <c r="BP1226" s="243"/>
      <c r="BQ1226" s="243"/>
      <c r="BR1226" s="243"/>
      <c r="BS1226" s="243"/>
    </row>
    <row r="1227" spans="1:71" s="12" customFormat="1" ht="51" customHeight="1">
      <c r="A1227" s="178" t="s">
        <v>96</v>
      </c>
      <c r="B1227" s="77" t="str">
        <f ca="1">+UPPER(Tabla1321124[[#This Row],[DESCRIPCIÓN DE LA COMPRA O CONTRATACIÓN]])</f>
        <v>TRANSFORMADORES 1Ø, 60HZ, SUMERGIDOS EN ACEITE, 7.2/12.47 KV, 240/480V, TIPO POSTE HOMOLGADOS CON IDÉNTICA IMPEDANCIA 37.5 KVA</v>
      </c>
      <c r="C1227" s="39" t="s">
        <v>17</v>
      </c>
      <c r="D1227" s="352">
        <f>50+6</f>
        <v>56</v>
      </c>
      <c r="E1227" s="352">
        <f>20+3</f>
        <v>23</v>
      </c>
      <c r="F1227" s="352">
        <f>10+3</f>
        <v>13</v>
      </c>
      <c r="G1227" s="352">
        <f>10+3</f>
        <v>13</v>
      </c>
      <c r="H1227" s="240">
        <f>SUM(Tabla1321124[[#This Row],[PRIMER TRIMESTRE]:[CUARTO TRIMESTRE]])</f>
        <v>105</v>
      </c>
      <c r="I1227" s="17">
        <v>44076.54</v>
      </c>
      <c r="J1227" s="17">
        <f t="shared" si="23"/>
        <v>4628036.7</v>
      </c>
      <c r="K1227" s="17"/>
      <c r="L1227" s="16" t="s">
        <v>18</v>
      </c>
      <c r="M1227" s="16" t="s">
        <v>22</v>
      </c>
      <c r="N1227" s="16"/>
      <c r="O1227" s="243"/>
      <c r="P1227" s="243"/>
      <c r="Q1227" s="243"/>
      <c r="R1227" s="243"/>
      <c r="S1227" s="243"/>
      <c r="T1227" s="243"/>
      <c r="U1227" s="243"/>
      <c r="V1227" s="243"/>
      <c r="W1227" s="243"/>
      <c r="X1227" s="243"/>
      <c r="Y1227" s="243"/>
      <c r="Z1227" s="243"/>
      <c r="AA1227" s="243"/>
      <c r="AB1227" s="243"/>
      <c r="AC1227" s="243"/>
      <c r="AD1227" s="243"/>
      <c r="AE1227" s="243"/>
      <c r="AF1227" s="243"/>
      <c r="AG1227" s="243"/>
      <c r="AH1227" s="243"/>
      <c r="AI1227" s="243"/>
      <c r="AJ1227" s="243"/>
      <c r="AK1227" s="243"/>
      <c r="AL1227" s="243"/>
      <c r="AM1227" s="243"/>
      <c r="AN1227" s="243"/>
      <c r="AO1227" s="243"/>
      <c r="AP1227" s="243"/>
      <c r="AQ1227" s="243"/>
      <c r="AR1227" s="243"/>
      <c r="AS1227" s="243"/>
      <c r="AT1227" s="243"/>
      <c r="AU1227" s="243"/>
      <c r="AV1227" s="243"/>
      <c r="AW1227" s="243"/>
      <c r="AX1227" s="243"/>
      <c r="AY1227" s="243"/>
      <c r="AZ1227" s="243"/>
      <c r="BA1227" s="243"/>
      <c r="BB1227" s="243"/>
      <c r="BC1227" s="243"/>
      <c r="BD1227" s="243"/>
      <c r="BE1227" s="243"/>
      <c r="BF1227" s="243"/>
      <c r="BG1227" s="243"/>
      <c r="BH1227" s="243"/>
      <c r="BI1227" s="243"/>
      <c r="BJ1227" s="243"/>
      <c r="BK1227" s="243"/>
      <c r="BL1227" s="243"/>
      <c r="BM1227" s="243"/>
      <c r="BN1227" s="243"/>
      <c r="BO1227" s="243"/>
      <c r="BP1227" s="243"/>
      <c r="BQ1227" s="243"/>
      <c r="BR1227" s="243"/>
      <c r="BS1227" s="243"/>
    </row>
    <row r="1228" spans="1:71" s="12" customFormat="1" ht="51" customHeight="1">
      <c r="A1228" s="178" t="s">
        <v>96</v>
      </c>
      <c r="B1228" s="77" t="str">
        <f ca="1">+UPPER(Tabla1321124[[#This Row],[DESCRIPCIÓN DE LA COMPRA O CONTRATACIÓN]])</f>
        <v>TRANSFORMADORES 1Ø, 60HZ, SUMERGIDOS EN ACEITE, 7.2/12.47 KV, 240/480V, TIPO POSTE HOMOLGADOS CON IDÉNTICA IMPEDANCIA 50 KVA</v>
      </c>
      <c r="C1228" s="39" t="s">
        <v>17</v>
      </c>
      <c r="D1228" s="352">
        <f>50+6</f>
        <v>56</v>
      </c>
      <c r="E1228" s="352">
        <f>20+6</f>
        <v>26</v>
      </c>
      <c r="F1228" s="352">
        <f>10+6</f>
        <v>16</v>
      </c>
      <c r="G1228" s="352">
        <f>10+6</f>
        <v>16</v>
      </c>
      <c r="H1228" s="240">
        <f>SUM(Tabla1321124[[#This Row],[PRIMER TRIMESTRE]:[CUARTO TRIMESTRE]])</f>
        <v>114</v>
      </c>
      <c r="I1228" s="17">
        <v>54061.7</v>
      </c>
      <c r="J1228" s="17">
        <f t="shared" si="23"/>
        <v>6163033.7999999998</v>
      </c>
      <c r="K1228" s="17"/>
      <c r="L1228" s="16" t="s">
        <v>18</v>
      </c>
      <c r="M1228" s="16" t="s">
        <v>22</v>
      </c>
      <c r="N1228" s="16"/>
      <c r="O1228" s="243"/>
      <c r="P1228" s="243"/>
      <c r="Q1228" s="243"/>
      <c r="R1228" s="243"/>
      <c r="S1228" s="243"/>
      <c r="T1228" s="243"/>
      <c r="U1228" s="243"/>
      <c r="V1228" s="243"/>
      <c r="W1228" s="243"/>
      <c r="X1228" s="243"/>
      <c r="Y1228" s="243"/>
      <c r="Z1228" s="243"/>
      <c r="AA1228" s="243"/>
      <c r="AB1228" s="243"/>
      <c r="AC1228" s="243"/>
      <c r="AD1228" s="243"/>
      <c r="AE1228" s="243"/>
      <c r="AF1228" s="243"/>
      <c r="AG1228" s="243"/>
      <c r="AH1228" s="243"/>
      <c r="AI1228" s="243"/>
      <c r="AJ1228" s="243"/>
      <c r="AK1228" s="243"/>
      <c r="AL1228" s="243"/>
      <c r="AM1228" s="243"/>
      <c r="AN1228" s="243"/>
      <c r="AO1228" s="243"/>
      <c r="AP1228" s="243"/>
      <c r="AQ1228" s="243"/>
      <c r="AR1228" s="243"/>
      <c r="AS1228" s="243"/>
      <c r="AT1228" s="243"/>
      <c r="AU1228" s="243"/>
      <c r="AV1228" s="243"/>
      <c r="AW1228" s="243"/>
      <c r="AX1228" s="243"/>
      <c r="AY1228" s="243"/>
      <c r="AZ1228" s="243"/>
      <c r="BA1228" s="243"/>
      <c r="BB1228" s="243"/>
      <c r="BC1228" s="243"/>
      <c r="BD1228" s="243"/>
      <c r="BE1228" s="243"/>
      <c r="BF1228" s="243"/>
      <c r="BG1228" s="243"/>
      <c r="BH1228" s="243"/>
      <c r="BI1228" s="243"/>
      <c r="BJ1228" s="243"/>
      <c r="BK1228" s="243"/>
      <c r="BL1228" s="243"/>
      <c r="BM1228" s="243"/>
      <c r="BN1228" s="243"/>
      <c r="BO1228" s="243"/>
      <c r="BP1228" s="243"/>
      <c r="BQ1228" s="243"/>
      <c r="BR1228" s="243"/>
      <c r="BS1228" s="243"/>
    </row>
    <row r="1229" spans="1:71" s="26" customFormat="1" ht="51" customHeight="1">
      <c r="A1229" s="178" t="s">
        <v>96</v>
      </c>
      <c r="B1229" s="77" t="str">
        <f ca="1">+UPPER(Tabla1321124[[#This Row],[DESCRIPCIÓN DE LA COMPRA O CONTRATACIÓN]])</f>
        <v>TRANSFORMADORES 1Ø, 60HZ, SUMERGIDOS EN ACEITE, 7.2/12.47 KV, 240/480V, TIPO POSTE HOMOLGADOS CON IDÉNTICA IMPEDANCIA 75 KVA</v>
      </c>
      <c r="C1229" s="39" t="s">
        <v>17</v>
      </c>
      <c r="D1229" s="352">
        <f>10+3</f>
        <v>13</v>
      </c>
      <c r="E1229" s="352">
        <v>20</v>
      </c>
      <c r="F1229" s="352">
        <f>25+3</f>
        <v>28</v>
      </c>
      <c r="G1229" s="352">
        <v>20</v>
      </c>
      <c r="H1229" s="240">
        <f>SUM(Tabla1321124[[#This Row],[PRIMER TRIMESTRE]:[CUARTO TRIMESTRE]])</f>
        <v>81</v>
      </c>
      <c r="I1229" s="17">
        <v>81423.539999999994</v>
      </c>
      <c r="J1229" s="17">
        <f t="shared" si="23"/>
        <v>6595306.7399999993</v>
      </c>
      <c r="K1229" s="17"/>
      <c r="L1229" s="16" t="s">
        <v>18</v>
      </c>
      <c r="M1229" s="16" t="s">
        <v>22</v>
      </c>
      <c r="N1229" s="16"/>
      <c r="O1229" s="243"/>
      <c r="P1229" s="243"/>
      <c r="Q1229" s="243"/>
      <c r="R1229" s="243"/>
      <c r="S1229" s="243"/>
      <c r="T1229" s="243"/>
      <c r="U1229" s="243"/>
      <c r="V1229" s="243"/>
      <c r="W1229" s="243"/>
      <c r="X1229" s="243"/>
      <c r="Y1229" s="243"/>
      <c r="Z1229" s="243"/>
      <c r="AA1229" s="243"/>
      <c r="AB1229" s="243"/>
      <c r="AC1229" s="243"/>
      <c r="AD1229" s="243"/>
      <c r="AE1229" s="243"/>
      <c r="AF1229" s="243"/>
      <c r="AG1229" s="243"/>
      <c r="AH1229" s="243"/>
      <c r="AI1229" s="243"/>
      <c r="AJ1229" s="243"/>
      <c r="AK1229" s="243"/>
      <c r="AL1229" s="243"/>
      <c r="AM1229" s="243"/>
      <c r="AN1229" s="243"/>
      <c r="AO1229" s="243"/>
      <c r="AP1229" s="243"/>
      <c r="AQ1229" s="243"/>
      <c r="AR1229" s="243"/>
      <c r="AS1229" s="243"/>
      <c r="AT1229" s="243"/>
      <c r="AU1229" s="243"/>
      <c r="AV1229" s="243"/>
      <c r="AW1229" s="243"/>
      <c r="AX1229" s="243"/>
      <c r="AY1229" s="243"/>
      <c r="AZ1229" s="243"/>
      <c r="BA1229" s="243"/>
      <c r="BB1229" s="243"/>
      <c r="BC1229" s="243"/>
      <c r="BD1229" s="243"/>
      <c r="BE1229" s="243"/>
      <c r="BF1229" s="243"/>
      <c r="BG1229" s="243"/>
      <c r="BH1229" s="243"/>
      <c r="BI1229" s="243"/>
      <c r="BJ1229" s="243"/>
      <c r="BK1229" s="243"/>
      <c r="BL1229" s="243"/>
      <c r="BM1229" s="243"/>
      <c r="BN1229" s="243"/>
      <c r="BO1229" s="243"/>
      <c r="BP1229" s="243"/>
      <c r="BQ1229" s="243"/>
      <c r="BR1229" s="243"/>
      <c r="BS1229" s="243"/>
    </row>
    <row r="1230" spans="1:71" s="26" customFormat="1" ht="51" customHeight="1">
      <c r="A1230" s="178" t="s">
        <v>96</v>
      </c>
      <c r="B1230" s="77" t="s">
        <v>1818</v>
      </c>
      <c r="C1230" s="39" t="s">
        <v>17</v>
      </c>
      <c r="D1230" s="352">
        <v>20</v>
      </c>
      <c r="E1230" s="352">
        <v>20</v>
      </c>
      <c r="F1230" s="352">
        <v>10</v>
      </c>
      <c r="G1230" s="352">
        <v>10</v>
      </c>
      <c r="H1230" s="240">
        <f>SUM(Tabla1321124[[#This Row],[PRIMER TRIMESTRE]:[CUARTO TRIMESTRE]])</f>
        <v>60</v>
      </c>
      <c r="I1230" s="17">
        <v>108938.74</v>
      </c>
      <c r="J1230" s="17">
        <f t="shared" si="23"/>
        <v>6536324.4000000004</v>
      </c>
      <c r="K1230" s="17"/>
      <c r="L1230" s="16" t="s">
        <v>18</v>
      </c>
      <c r="M1230" s="16" t="s">
        <v>22</v>
      </c>
      <c r="N1230" s="16"/>
      <c r="O1230" s="243"/>
      <c r="P1230" s="243"/>
      <c r="Q1230" s="243"/>
      <c r="R1230" s="243"/>
      <c r="S1230" s="243"/>
      <c r="T1230" s="243"/>
      <c r="U1230" s="243"/>
      <c r="V1230" s="243"/>
      <c r="W1230" s="243"/>
      <c r="X1230" s="243"/>
      <c r="Y1230" s="243"/>
      <c r="Z1230" s="243"/>
      <c r="AA1230" s="243"/>
      <c r="AB1230" s="243"/>
      <c r="AC1230" s="243"/>
      <c r="AD1230" s="243"/>
      <c r="AE1230" s="243"/>
      <c r="AF1230" s="243"/>
      <c r="AG1230" s="243"/>
      <c r="AH1230" s="243"/>
      <c r="AI1230" s="243"/>
      <c r="AJ1230" s="243"/>
      <c r="AK1230" s="243"/>
      <c r="AL1230" s="243"/>
      <c r="AM1230" s="243"/>
      <c r="AN1230" s="243"/>
      <c r="AO1230" s="243"/>
      <c r="AP1230" s="243"/>
      <c r="AQ1230" s="243"/>
      <c r="AR1230" s="243"/>
      <c r="AS1230" s="243"/>
      <c r="AT1230" s="243"/>
      <c r="AU1230" s="243"/>
      <c r="AV1230" s="243"/>
      <c r="AW1230" s="243"/>
      <c r="AX1230" s="243"/>
      <c r="AY1230" s="243"/>
      <c r="AZ1230" s="243"/>
      <c r="BA1230" s="243"/>
      <c r="BB1230" s="243"/>
      <c r="BC1230" s="243"/>
      <c r="BD1230" s="243"/>
      <c r="BE1230" s="243"/>
      <c r="BF1230" s="243"/>
      <c r="BG1230" s="243"/>
      <c r="BH1230" s="243"/>
      <c r="BI1230" s="243"/>
      <c r="BJ1230" s="243"/>
      <c r="BK1230" s="243"/>
      <c r="BL1230" s="243"/>
      <c r="BM1230" s="243"/>
      <c r="BN1230" s="243"/>
      <c r="BO1230" s="243"/>
      <c r="BP1230" s="243"/>
      <c r="BQ1230" s="243"/>
      <c r="BR1230" s="243"/>
      <c r="BS1230" s="243"/>
    </row>
    <row r="1231" spans="1:71" s="12" customFormat="1" ht="51" customHeight="1">
      <c r="A1231" s="178" t="s">
        <v>96</v>
      </c>
      <c r="B1231" s="77" t="str">
        <f ca="1">+UPPER(Tabla1321124[[#This Row],[DESCRIPCIÓN DE LA COMPRA O CONTRATACIÓN]])</f>
        <v>TRANSFORMADORES 1Ø, 60HZ, SUMERGIDOS EN ACEITE, 7.2/12.47 KV, 240/480V, TIPO POSTE HOMOLGADOS CON IDÉNTICA IMPEDANCIA 167 KVA</v>
      </c>
      <c r="C1231" s="39" t="s">
        <v>17</v>
      </c>
      <c r="D1231" s="352">
        <v>3</v>
      </c>
      <c r="E1231" s="352">
        <v>20</v>
      </c>
      <c r="F1231" s="352">
        <v>10</v>
      </c>
      <c r="G1231" s="352">
        <v>10</v>
      </c>
      <c r="H1231" s="240">
        <f>SUM(Tabla1321124[[#This Row],[PRIMER TRIMESTRE]:[CUARTO TRIMESTRE]])</f>
        <v>43</v>
      </c>
      <c r="I1231" s="17">
        <v>160529.56</v>
      </c>
      <c r="J1231" s="17">
        <f t="shared" si="23"/>
        <v>6902771.0800000001</v>
      </c>
      <c r="K1231" s="17"/>
      <c r="L1231" s="16" t="s">
        <v>18</v>
      </c>
      <c r="M1231" s="16" t="s">
        <v>22</v>
      </c>
      <c r="N1231" s="16"/>
      <c r="O1231" s="243"/>
      <c r="P1231" s="243"/>
      <c r="Q1231" s="243"/>
      <c r="R1231" s="243"/>
      <c r="S1231" s="243"/>
      <c r="T1231" s="243"/>
      <c r="U1231" s="243"/>
      <c r="V1231" s="243"/>
      <c r="W1231" s="243"/>
      <c r="X1231" s="243"/>
      <c r="Y1231" s="243"/>
      <c r="Z1231" s="243"/>
      <c r="AA1231" s="243"/>
      <c r="AB1231" s="243"/>
      <c r="AC1231" s="243"/>
      <c r="AD1231" s="243"/>
      <c r="AE1231" s="243"/>
      <c r="AF1231" s="243"/>
      <c r="AG1231" s="243"/>
      <c r="AH1231" s="243"/>
      <c r="AI1231" s="243"/>
      <c r="AJ1231" s="243"/>
      <c r="AK1231" s="243"/>
      <c r="AL1231" s="243"/>
      <c r="AM1231" s="243"/>
      <c r="AN1231" s="243"/>
      <c r="AO1231" s="243"/>
      <c r="AP1231" s="243"/>
      <c r="AQ1231" s="243"/>
      <c r="AR1231" s="243"/>
      <c r="AS1231" s="243"/>
      <c r="AT1231" s="243"/>
      <c r="AU1231" s="243"/>
      <c r="AV1231" s="243"/>
      <c r="AW1231" s="243"/>
      <c r="AX1231" s="243"/>
      <c r="AY1231" s="243"/>
      <c r="AZ1231" s="243"/>
      <c r="BA1231" s="243"/>
      <c r="BB1231" s="243"/>
      <c r="BC1231" s="243"/>
      <c r="BD1231" s="243"/>
      <c r="BE1231" s="243"/>
      <c r="BF1231" s="243"/>
      <c r="BG1231" s="243"/>
      <c r="BH1231" s="243"/>
      <c r="BI1231" s="243"/>
      <c r="BJ1231" s="243"/>
      <c r="BK1231" s="243"/>
      <c r="BL1231" s="243"/>
      <c r="BM1231" s="243"/>
      <c r="BN1231" s="243"/>
      <c r="BO1231" s="243"/>
      <c r="BP1231" s="243"/>
      <c r="BQ1231" s="243"/>
      <c r="BR1231" s="243"/>
      <c r="BS1231" s="243"/>
    </row>
    <row r="1232" spans="1:71" s="12" customFormat="1" ht="51" customHeight="1">
      <c r="A1232" s="178" t="s">
        <v>96</v>
      </c>
      <c r="B1232" s="77" t="str">
        <f ca="1">+UPPER(Tabla1321124[[#This Row],[DESCRIPCIÓN DE LA COMPRA O CONTRATACIÓN]])</f>
        <v>TRANSFORMADORES SECOS, PARA ILUMINACIÓN NEMA 3R 1.5 KVA, VOLTAJE PRIMARIO 480V-VOLTAJE SECUNDARIO 120V/240V.</v>
      </c>
      <c r="C1232" s="39" t="s">
        <v>17</v>
      </c>
      <c r="D1232" s="352">
        <v>3</v>
      </c>
      <c r="E1232" s="352">
        <v>40</v>
      </c>
      <c r="F1232" s="352">
        <v>20</v>
      </c>
      <c r="G1232" s="352">
        <v>20</v>
      </c>
      <c r="H1232" s="240">
        <f>SUM(Tabla1321124[[#This Row],[PRIMER TRIMESTRE]:[CUARTO TRIMESTRE]])</f>
        <v>83</v>
      </c>
      <c r="I1232" s="17">
        <v>2995.96</v>
      </c>
      <c r="J1232" s="17">
        <f t="shared" si="23"/>
        <v>248664.68</v>
      </c>
      <c r="K1232" s="17"/>
      <c r="L1232" s="16" t="s">
        <v>18</v>
      </c>
      <c r="M1232" s="16" t="s">
        <v>22</v>
      </c>
      <c r="N1232" s="16"/>
      <c r="O1232" s="243"/>
      <c r="P1232" s="243"/>
      <c r="Q1232" s="243"/>
      <c r="R1232" s="243"/>
      <c r="S1232" s="243"/>
      <c r="T1232" s="243"/>
      <c r="U1232" s="243"/>
      <c r="V1232" s="243"/>
      <c r="W1232" s="243"/>
      <c r="X1232" s="243"/>
      <c r="Y1232" s="243"/>
      <c r="Z1232" s="243"/>
      <c r="AA1232" s="243"/>
      <c r="AB1232" s="243"/>
      <c r="AC1232" s="243"/>
      <c r="AD1232" s="243"/>
      <c r="AE1232" s="243"/>
      <c r="AF1232" s="243"/>
      <c r="AG1232" s="243"/>
      <c r="AH1232" s="243"/>
      <c r="AI1232" s="243"/>
      <c r="AJ1232" s="243"/>
      <c r="AK1232" s="243"/>
      <c r="AL1232" s="243"/>
      <c r="AM1232" s="243"/>
      <c r="AN1232" s="243"/>
      <c r="AO1232" s="243"/>
      <c r="AP1232" s="243"/>
      <c r="AQ1232" s="243"/>
      <c r="AR1232" s="243"/>
      <c r="AS1232" s="243"/>
      <c r="AT1232" s="243"/>
      <c r="AU1232" s="243"/>
      <c r="AV1232" s="243"/>
      <c r="AW1232" s="243"/>
      <c r="AX1232" s="243"/>
      <c r="AY1232" s="243"/>
      <c r="AZ1232" s="243"/>
      <c r="BA1232" s="243"/>
      <c r="BB1232" s="243"/>
      <c r="BC1232" s="243"/>
      <c r="BD1232" s="243"/>
      <c r="BE1232" s="243"/>
      <c r="BF1232" s="243"/>
      <c r="BG1232" s="243"/>
      <c r="BH1232" s="243"/>
      <c r="BI1232" s="243"/>
      <c r="BJ1232" s="243"/>
      <c r="BK1232" s="243"/>
      <c r="BL1232" s="243"/>
      <c r="BM1232" s="243"/>
      <c r="BN1232" s="243"/>
      <c r="BO1232" s="243"/>
      <c r="BP1232" s="243"/>
      <c r="BQ1232" s="243"/>
      <c r="BR1232" s="243"/>
      <c r="BS1232" s="243"/>
    </row>
    <row r="1233" spans="1:71" s="12" customFormat="1" ht="51" customHeight="1">
      <c r="A1233" s="178" t="s">
        <v>96</v>
      </c>
      <c r="B1233" s="77" t="str">
        <f ca="1">+UPPER(Tabla1321124[[#This Row],[DESCRIPCIÓN DE LA COMPRA O CONTRATACIÓN]])</f>
        <v>TRANSFORMADORES SECOS, PARA ILUMINACIÓN NEMA 3R 2.0 KVA, VOLTAJE PRIMARIO 480V-VOLTAJE SECUNDARIO 120V/240V.</v>
      </c>
      <c r="C1233" s="39" t="s">
        <v>17</v>
      </c>
      <c r="D1233" s="352">
        <v>20</v>
      </c>
      <c r="E1233" s="352">
        <v>40</v>
      </c>
      <c r="F1233" s="352">
        <f>20+20</f>
        <v>40</v>
      </c>
      <c r="G1233" s="352">
        <v>20</v>
      </c>
      <c r="H1233" s="240">
        <f>SUM(Tabla1321124[[#This Row],[PRIMER TRIMESTRE]:[CUARTO TRIMESTRE]])</f>
        <v>120</v>
      </c>
      <c r="I1233" s="17">
        <v>3986.24</v>
      </c>
      <c r="J1233" s="17">
        <f t="shared" si="23"/>
        <v>478348.79999999999</v>
      </c>
      <c r="K1233" s="17"/>
      <c r="L1233" s="16" t="s">
        <v>18</v>
      </c>
      <c r="M1233" s="16" t="s">
        <v>22</v>
      </c>
      <c r="N1233" s="16"/>
      <c r="O1233" s="243"/>
      <c r="P1233" s="243"/>
      <c r="Q1233" s="243"/>
      <c r="R1233" s="243"/>
      <c r="S1233" s="243"/>
      <c r="T1233" s="243"/>
      <c r="U1233" s="243"/>
      <c r="V1233" s="243"/>
      <c r="W1233" s="243"/>
      <c r="X1233" s="243"/>
      <c r="Y1233" s="243"/>
      <c r="Z1233" s="243"/>
      <c r="AA1233" s="243"/>
      <c r="AB1233" s="243"/>
      <c r="AC1233" s="243"/>
      <c r="AD1233" s="243"/>
      <c r="AE1233" s="243"/>
      <c r="AF1233" s="243"/>
      <c r="AG1233" s="243"/>
      <c r="AH1233" s="243"/>
      <c r="AI1233" s="243"/>
      <c r="AJ1233" s="243"/>
      <c r="AK1233" s="243"/>
      <c r="AL1233" s="243"/>
      <c r="AM1233" s="243"/>
      <c r="AN1233" s="243"/>
      <c r="AO1233" s="243"/>
      <c r="AP1233" s="243"/>
      <c r="AQ1233" s="243"/>
      <c r="AR1233" s="243"/>
      <c r="AS1233" s="243"/>
      <c r="AT1233" s="243"/>
      <c r="AU1233" s="243"/>
      <c r="AV1233" s="243"/>
      <c r="AW1233" s="243"/>
      <c r="AX1233" s="243"/>
      <c r="AY1233" s="243"/>
      <c r="AZ1233" s="243"/>
      <c r="BA1233" s="243"/>
      <c r="BB1233" s="243"/>
      <c r="BC1233" s="243"/>
      <c r="BD1233" s="243"/>
      <c r="BE1233" s="243"/>
      <c r="BF1233" s="243"/>
      <c r="BG1233" s="243"/>
      <c r="BH1233" s="243"/>
      <c r="BI1233" s="243"/>
      <c r="BJ1233" s="243"/>
      <c r="BK1233" s="243"/>
      <c r="BL1233" s="243"/>
      <c r="BM1233" s="243"/>
      <c r="BN1233" s="243"/>
      <c r="BO1233" s="243"/>
      <c r="BP1233" s="243"/>
      <c r="BQ1233" s="243"/>
      <c r="BR1233" s="243"/>
      <c r="BS1233" s="243"/>
    </row>
    <row r="1234" spans="1:71" s="12" customFormat="1" ht="51" customHeight="1">
      <c r="A1234" s="178" t="s">
        <v>96</v>
      </c>
      <c r="B1234" s="77" t="str">
        <f ca="1">+UPPER(Tabla1321124[[#This Row],[DESCRIPCIÓN DE LA COMPRA O CONTRATACIÓN]])</f>
        <v>TRANSFORMADORES SECOS, PARA ILUMINACIÓN NEMA 3R 3.0KVA, VOLTAJE PRIMARIO 480V-VOLTAJE SECUNDARIO 120V/240V.</v>
      </c>
      <c r="C1234" s="39" t="s">
        <v>17</v>
      </c>
      <c r="D1234" s="352">
        <v>20</v>
      </c>
      <c r="E1234" s="352">
        <v>50</v>
      </c>
      <c r="F1234" s="352">
        <f>25+15</f>
        <v>40</v>
      </c>
      <c r="G1234" s="352">
        <v>25</v>
      </c>
      <c r="H1234" s="240">
        <f>SUM(Tabla1321124[[#This Row],[PRIMER TRIMESTRE]:[CUARTO TRIMESTRE]])</f>
        <v>135</v>
      </c>
      <c r="I1234" s="17">
        <v>6982.2</v>
      </c>
      <c r="J1234" s="17">
        <f t="shared" si="23"/>
        <v>942597</v>
      </c>
      <c r="K1234" s="17"/>
      <c r="L1234" s="16" t="s">
        <v>18</v>
      </c>
      <c r="M1234" s="16" t="s">
        <v>22</v>
      </c>
      <c r="N1234" s="16"/>
      <c r="O1234" s="243"/>
      <c r="P1234" s="243"/>
      <c r="Q1234" s="243"/>
      <c r="R1234" s="243"/>
      <c r="S1234" s="243"/>
      <c r="T1234" s="243"/>
      <c r="U1234" s="243"/>
      <c r="V1234" s="243"/>
      <c r="W1234" s="243"/>
      <c r="X1234" s="243"/>
      <c r="Y1234" s="243"/>
      <c r="Z1234" s="243"/>
      <c r="AA1234" s="243"/>
      <c r="AB1234" s="243"/>
      <c r="AC1234" s="243"/>
      <c r="AD1234" s="243"/>
      <c r="AE1234" s="243"/>
      <c r="AF1234" s="243"/>
      <c r="AG1234" s="243"/>
      <c r="AH1234" s="243"/>
      <c r="AI1234" s="243"/>
      <c r="AJ1234" s="243"/>
      <c r="AK1234" s="243"/>
      <c r="AL1234" s="243"/>
      <c r="AM1234" s="243"/>
      <c r="AN1234" s="243"/>
      <c r="AO1234" s="243"/>
      <c r="AP1234" s="243"/>
      <c r="AQ1234" s="243"/>
      <c r="AR1234" s="243"/>
      <c r="AS1234" s="243"/>
      <c r="AT1234" s="243"/>
      <c r="AU1234" s="243"/>
      <c r="AV1234" s="243"/>
      <c r="AW1234" s="243"/>
      <c r="AX1234" s="243"/>
      <c r="AY1234" s="243"/>
      <c r="AZ1234" s="243"/>
      <c r="BA1234" s="243"/>
      <c r="BB1234" s="243"/>
      <c r="BC1234" s="243"/>
      <c r="BD1234" s="243"/>
      <c r="BE1234" s="243"/>
      <c r="BF1234" s="243"/>
      <c r="BG1234" s="243"/>
      <c r="BH1234" s="243"/>
      <c r="BI1234" s="243"/>
      <c r="BJ1234" s="243"/>
      <c r="BK1234" s="243"/>
      <c r="BL1234" s="243"/>
      <c r="BM1234" s="243"/>
      <c r="BN1234" s="243"/>
      <c r="BO1234" s="243"/>
      <c r="BP1234" s="243"/>
      <c r="BQ1234" s="243"/>
      <c r="BR1234" s="243"/>
      <c r="BS1234" s="243"/>
    </row>
    <row r="1235" spans="1:71" s="12" customFormat="1" ht="41.25" customHeight="1">
      <c r="A1235" s="178" t="s">
        <v>96</v>
      </c>
      <c r="B1235" s="77" t="str">
        <f ca="1">+UPPER(Tabla1321124[[#This Row],[DESCRIPCIÓN DE LA COMPRA O CONTRATACIÓN]])</f>
        <v>SISTEMA DE INSTALACION DE PARARAYOS</v>
      </c>
      <c r="C1235" s="39" t="s">
        <v>1438</v>
      </c>
      <c r="D1235" s="352">
        <v>9</v>
      </c>
      <c r="E1235" s="352"/>
      <c r="F1235" s="352">
        <v>6</v>
      </c>
      <c r="G1235" s="352"/>
      <c r="H1235" s="240">
        <f>SUM(Tabla1321124[[#This Row],[PRIMER TRIMESTRE]:[CUARTO TRIMESTRE]])</f>
        <v>15</v>
      </c>
      <c r="I1235" s="17">
        <v>554145.56999999995</v>
      </c>
      <c r="J1235" s="17">
        <f t="shared" si="23"/>
        <v>8312183.5499999989</v>
      </c>
      <c r="K1235" s="17"/>
      <c r="L1235" s="16" t="s">
        <v>18</v>
      </c>
      <c r="M1235" s="16" t="s">
        <v>22</v>
      </c>
      <c r="N1235" s="16"/>
      <c r="O1235" s="243"/>
      <c r="P1235" s="243"/>
      <c r="Q1235" s="243"/>
      <c r="R1235" s="243"/>
      <c r="S1235" s="243"/>
      <c r="T1235" s="243"/>
      <c r="U1235" s="243"/>
      <c r="V1235" s="243"/>
      <c r="W1235" s="243"/>
      <c r="X1235" s="243"/>
      <c r="Y1235" s="243"/>
      <c r="Z1235" s="243"/>
      <c r="AA1235" s="243"/>
      <c r="AB1235" s="243"/>
      <c r="AC1235" s="243"/>
      <c r="AD1235" s="243"/>
      <c r="AE1235" s="243"/>
      <c r="AF1235" s="243"/>
      <c r="AG1235" s="243"/>
      <c r="AH1235" s="243"/>
      <c r="AI1235" s="243"/>
      <c r="AJ1235" s="243"/>
      <c r="AK1235" s="243"/>
      <c r="AL1235" s="243"/>
      <c r="AM1235" s="243"/>
      <c r="AN1235" s="243"/>
      <c r="AO1235" s="243"/>
      <c r="AP1235" s="243"/>
      <c r="AQ1235" s="243"/>
      <c r="AR1235" s="243"/>
      <c r="AS1235" s="243"/>
      <c r="AT1235" s="243"/>
      <c r="AU1235" s="243"/>
      <c r="AV1235" s="243"/>
      <c r="AW1235" s="243"/>
      <c r="AX1235" s="243"/>
      <c r="AY1235" s="243"/>
      <c r="AZ1235" s="243"/>
      <c r="BA1235" s="243"/>
      <c r="BB1235" s="243"/>
      <c r="BC1235" s="243"/>
      <c r="BD1235" s="243"/>
      <c r="BE1235" s="243"/>
      <c r="BF1235" s="243"/>
      <c r="BG1235" s="243"/>
      <c r="BH1235" s="243"/>
      <c r="BI1235" s="243"/>
      <c r="BJ1235" s="243"/>
      <c r="BK1235" s="243"/>
      <c r="BL1235" s="243"/>
      <c r="BM1235" s="243"/>
      <c r="BN1235" s="243"/>
      <c r="BO1235" s="243"/>
      <c r="BP1235" s="243"/>
      <c r="BQ1235" s="243"/>
      <c r="BR1235" s="243"/>
      <c r="BS1235" s="243"/>
    </row>
    <row r="1236" spans="1:71" s="12" customFormat="1" ht="41.25" customHeight="1">
      <c r="A1236" s="178" t="s">
        <v>96</v>
      </c>
      <c r="B1236" s="77" t="str">
        <f ca="1">+UPPER(Tabla1321124[[#This Row],[DESCRIPCIÓN DE LA COMPRA O CONTRATACIÓN]])</f>
        <v>REALY TERMICO 135 AMP</v>
      </c>
      <c r="C1236" s="39" t="s">
        <v>17</v>
      </c>
      <c r="D1236" s="352">
        <v>3</v>
      </c>
      <c r="E1236" s="352"/>
      <c r="F1236" s="352">
        <v>3</v>
      </c>
      <c r="G1236" s="352"/>
      <c r="H1236" s="240">
        <f>SUM(Tabla1321124[[#This Row],[PRIMER TRIMESTRE]:[CUARTO TRIMESTRE]])</f>
        <v>6</v>
      </c>
      <c r="I1236" s="17">
        <v>6950.29</v>
      </c>
      <c r="J1236" s="17">
        <f t="shared" si="23"/>
        <v>41701.74</v>
      </c>
      <c r="K1236" s="17"/>
      <c r="L1236" s="16" t="s">
        <v>18</v>
      </c>
      <c r="M1236" s="16" t="s">
        <v>22</v>
      </c>
      <c r="N1236" s="16"/>
      <c r="O1236" s="243"/>
      <c r="P1236" s="243"/>
      <c r="Q1236" s="243"/>
      <c r="R1236" s="243"/>
      <c r="S1236" s="243"/>
      <c r="T1236" s="243"/>
      <c r="U1236" s="243"/>
      <c r="V1236" s="243"/>
      <c r="W1236" s="243"/>
      <c r="X1236" s="243"/>
      <c r="Y1236" s="243"/>
      <c r="Z1236" s="243"/>
      <c r="AA1236" s="243"/>
      <c r="AB1236" s="243"/>
      <c r="AC1236" s="243"/>
      <c r="AD1236" s="243"/>
      <c r="AE1236" s="243"/>
      <c r="AF1236" s="243"/>
      <c r="AG1236" s="243"/>
      <c r="AH1236" s="243"/>
      <c r="AI1236" s="243"/>
      <c r="AJ1236" s="243"/>
      <c r="AK1236" s="243"/>
      <c r="AL1236" s="243"/>
      <c r="AM1236" s="243"/>
      <c r="AN1236" s="243"/>
      <c r="AO1236" s="243"/>
      <c r="AP1236" s="243"/>
      <c r="AQ1236" s="243"/>
      <c r="AR1236" s="243"/>
      <c r="AS1236" s="243"/>
      <c r="AT1236" s="243"/>
      <c r="AU1236" s="243"/>
      <c r="AV1236" s="243"/>
      <c r="AW1236" s="243"/>
      <c r="AX1236" s="243"/>
      <c r="AY1236" s="243"/>
      <c r="AZ1236" s="243"/>
      <c r="BA1236" s="243"/>
      <c r="BB1236" s="243"/>
      <c r="BC1236" s="243"/>
      <c r="BD1236" s="243"/>
      <c r="BE1236" s="243"/>
      <c r="BF1236" s="243"/>
      <c r="BG1236" s="243"/>
      <c r="BH1236" s="243"/>
      <c r="BI1236" s="243"/>
      <c r="BJ1236" s="243"/>
      <c r="BK1236" s="243"/>
      <c r="BL1236" s="243"/>
      <c r="BM1236" s="243"/>
      <c r="BN1236" s="243"/>
      <c r="BO1236" s="243"/>
      <c r="BP1236" s="243"/>
      <c r="BQ1236" s="243"/>
      <c r="BR1236" s="243"/>
      <c r="BS1236" s="243"/>
    </row>
    <row r="1237" spans="1:71" s="12" customFormat="1" ht="41.25" customHeight="1">
      <c r="A1237" s="178" t="s">
        <v>96</v>
      </c>
      <c r="B1237" s="77" t="str">
        <f ca="1">+UPPER(Tabla1321124[[#This Row],[DESCRIPCIÓN DE LA COMPRA O CONTRATACIÓN]])</f>
        <v xml:space="preserve">VALVULA CHECK Ø8 HORIZONTAL 8 HOYOS 250PSI PLATILLADA CON JUNTAS DE GOMAS Y TORNILLOS </v>
      </c>
      <c r="C1237" s="39" t="s">
        <v>17</v>
      </c>
      <c r="D1237" s="352">
        <f>2+3</f>
        <v>5</v>
      </c>
      <c r="E1237" s="352">
        <v>2</v>
      </c>
      <c r="F1237" s="352">
        <f>2+3</f>
        <v>5</v>
      </c>
      <c r="G1237" s="352">
        <v>2</v>
      </c>
      <c r="H1237" s="240">
        <f>SUM(Tabla1321124[[#This Row],[PRIMER TRIMESTRE]:[CUARTO TRIMESTRE]])</f>
        <v>14</v>
      </c>
      <c r="I1237" s="17">
        <v>38300</v>
      </c>
      <c r="J1237" s="17">
        <f t="shared" si="23"/>
        <v>536200</v>
      </c>
      <c r="K1237" s="17"/>
      <c r="L1237" s="16" t="s">
        <v>18</v>
      </c>
      <c r="M1237" s="16" t="s">
        <v>22</v>
      </c>
      <c r="N1237" s="16"/>
      <c r="O1237" s="243"/>
      <c r="P1237" s="243"/>
      <c r="Q1237" s="243"/>
      <c r="R1237" s="243"/>
      <c r="S1237" s="243"/>
      <c r="T1237" s="243"/>
      <c r="U1237" s="243"/>
      <c r="V1237" s="243"/>
      <c r="W1237" s="243"/>
      <c r="X1237" s="243"/>
      <c r="Y1237" s="243"/>
      <c r="Z1237" s="243"/>
      <c r="AA1237" s="243"/>
      <c r="AB1237" s="243"/>
      <c r="AC1237" s="243"/>
      <c r="AD1237" s="243"/>
      <c r="AE1237" s="243"/>
      <c r="AF1237" s="243"/>
      <c r="AG1237" s="243"/>
      <c r="AH1237" s="243"/>
      <c r="AI1237" s="243"/>
      <c r="AJ1237" s="243"/>
      <c r="AK1237" s="243"/>
      <c r="AL1237" s="243"/>
      <c r="AM1237" s="243"/>
      <c r="AN1237" s="243"/>
      <c r="AO1237" s="243"/>
      <c r="AP1237" s="243"/>
      <c r="AQ1237" s="243"/>
      <c r="AR1237" s="243"/>
      <c r="AS1237" s="243"/>
      <c r="AT1237" s="243"/>
      <c r="AU1237" s="243"/>
      <c r="AV1237" s="243"/>
      <c r="AW1237" s="243"/>
      <c r="AX1237" s="243"/>
      <c r="AY1237" s="243"/>
      <c r="AZ1237" s="243"/>
      <c r="BA1237" s="243"/>
      <c r="BB1237" s="243"/>
      <c r="BC1237" s="243"/>
      <c r="BD1237" s="243"/>
      <c r="BE1237" s="243"/>
      <c r="BF1237" s="243"/>
      <c r="BG1237" s="243"/>
      <c r="BH1237" s="243"/>
      <c r="BI1237" s="243"/>
      <c r="BJ1237" s="243"/>
      <c r="BK1237" s="243"/>
      <c r="BL1237" s="243"/>
      <c r="BM1237" s="243"/>
      <c r="BN1237" s="243"/>
      <c r="BO1237" s="243"/>
      <c r="BP1237" s="243"/>
      <c r="BQ1237" s="243"/>
      <c r="BR1237" s="243"/>
      <c r="BS1237" s="243"/>
    </row>
    <row r="1238" spans="1:71" s="12" customFormat="1" ht="41.25" customHeight="1">
      <c r="A1238" s="178" t="s">
        <v>96</v>
      </c>
      <c r="B1238" s="77" t="str">
        <f ca="1">+UPPER(Tabla1321124[[#This Row],[DESCRIPCIÓN DE LA COMPRA O CONTRATACIÓN]])</f>
        <v>BATERIA CICLO PROFUNDO 6V, 225 AMP</v>
      </c>
      <c r="C1238" s="39" t="s">
        <v>17</v>
      </c>
      <c r="D1238" s="352">
        <v>28</v>
      </c>
      <c r="E1238" s="352"/>
      <c r="F1238" s="352"/>
      <c r="G1238" s="352"/>
      <c r="H1238" s="240">
        <f>SUM(Tabla1321124[[#This Row],[PRIMER TRIMESTRE]:[CUARTO TRIMESTRE]])</f>
        <v>28</v>
      </c>
      <c r="I1238" s="17">
        <v>8500</v>
      </c>
      <c r="J1238" s="17">
        <f t="shared" si="23"/>
        <v>238000</v>
      </c>
      <c r="K1238" s="302"/>
      <c r="L1238" s="16" t="s">
        <v>18</v>
      </c>
      <c r="M1238" s="16" t="s">
        <v>22</v>
      </c>
      <c r="N1238" s="16"/>
      <c r="O1238" s="243"/>
      <c r="P1238" s="243"/>
      <c r="Q1238" s="243"/>
      <c r="R1238" s="243"/>
      <c r="S1238" s="243"/>
      <c r="T1238" s="243"/>
      <c r="U1238" s="243"/>
      <c r="V1238" s="243"/>
      <c r="W1238" s="243"/>
      <c r="X1238" s="243"/>
      <c r="Y1238" s="243"/>
      <c r="Z1238" s="243"/>
      <c r="AA1238" s="243"/>
      <c r="AB1238" s="243"/>
      <c r="AC1238" s="243"/>
      <c r="AD1238" s="243"/>
      <c r="AE1238" s="243"/>
      <c r="AF1238" s="243"/>
      <c r="AG1238" s="243"/>
      <c r="AH1238" s="243"/>
      <c r="AI1238" s="243"/>
      <c r="AJ1238" s="243"/>
      <c r="AK1238" s="243"/>
      <c r="AL1238" s="243"/>
      <c r="AM1238" s="243"/>
      <c r="AN1238" s="243"/>
      <c r="AO1238" s="243"/>
      <c r="AP1238" s="243"/>
      <c r="AQ1238" s="243"/>
      <c r="AR1238" s="243"/>
      <c r="AS1238" s="243"/>
      <c r="AT1238" s="243"/>
      <c r="AU1238" s="243"/>
      <c r="AV1238" s="243"/>
      <c r="AW1238" s="243"/>
      <c r="AX1238" s="243"/>
      <c r="AY1238" s="243"/>
      <c r="AZ1238" s="243"/>
      <c r="BA1238" s="243"/>
      <c r="BB1238" s="243"/>
      <c r="BC1238" s="243"/>
      <c r="BD1238" s="243"/>
      <c r="BE1238" s="243"/>
      <c r="BF1238" s="243"/>
      <c r="BG1238" s="243"/>
      <c r="BH1238" s="243"/>
      <c r="BI1238" s="243"/>
      <c r="BJ1238" s="243"/>
      <c r="BK1238" s="243"/>
      <c r="BL1238" s="243"/>
      <c r="BM1238" s="243"/>
      <c r="BN1238" s="243"/>
      <c r="BO1238" s="243"/>
      <c r="BP1238" s="243"/>
      <c r="BQ1238" s="243"/>
      <c r="BR1238" s="243"/>
      <c r="BS1238" s="243"/>
    </row>
    <row r="1239" spans="1:71" s="26" customFormat="1" ht="41.25" customHeight="1">
      <c r="A1239" s="178" t="s">
        <v>96</v>
      </c>
      <c r="B1239" s="77" t="str">
        <f ca="1">+UPPER(Tabla1321124[[#This Row],[DESCRIPCIÓN DE LA COMPRA O CONTRATACIÓN]])</f>
        <v>BATERIA CICLO PROFUNDO 6V, 225 AMP, GELATINA</v>
      </c>
      <c r="C1239" s="39" t="s">
        <v>17</v>
      </c>
      <c r="D1239" s="365">
        <v>16</v>
      </c>
      <c r="E1239" s="365"/>
      <c r="F1239" s="365"/>
      <c r="G1239" s="365"/>
      <c r="H1239" s="240">
        <f>SUM(Tabla1321124[[#This Row],[PRIMER TRIMESTRE]:[CUARTO TRIMESTRE]])</f>
        <v>16</v>
      </c>
      <c r="I1239" s="17">
        <v>9600</v>
      </c>
      <c r="J1239" s="17">
        <f t="shared" si="23"/>
        <v>153600</v>
      </c>
      <c r="K1239" s="175"/>
      <c r="L1239" s="16" t="s">
        <v>18</v>
      </c>
      <c r="M1239" s="16" t="s">
        <v>22</v>
      </c>
      <c r="N1239" s="16"/>
      <c r="O1239" s="243"/>
      <c r="P1239" s="243"/>
      <c r="Q1239" s="243"/>
      <c r="R1239" s="243"/>
      <c r="S1239" s="243"/>
      <c r="T1239" s="243"/>
      <c r="U1239" s="243"/>
      <c r="V1239" s="243"/>
      <c r="W1239" s="243"/>
      <c r="X1239" s="243"/>
      <c r="Y1239" s="243"/>
      <c r="Z1239" s="243"/>
      <c r="AA1239" s="243"/>
      <c r="AB1239" s="243"/>
      <c r="AC1239" s="243"/>
      <c r="AD1239" s="243"/>
      <c r="AE1239" s="243"/>
      <c r="AF1239" s="243"/>
      <c r="AG1239" s="243"/>
      <c r="AH1239" s="243"/>
      <c r="AI1239" s="243"/>
      <c r="AJ1239" s="243"/>
      <c r="AK1239" s="243"/>
      <c r="AL1239" s="243"/>
      <c r="AM1239" s="243"/>
      <c r="AN1239" s="243"/>
      <c r="AO1239" s="243"/>
      <c r="AP1239" s="243"/>
      <c r="AQ1239" s="243"/>
      <c r="AR1239" s="243"/>
      <c r="AS1239" s="243"/>
      <c r="AT1239" s="243"/>
      <c r="AU1239" s="243"/>
      <c r="AV1239" s="243"/>
      <c r="AW1239" s="243"/>
      <c r="AX1239" s="243"/>
      <c r="AY1239" s="243"/>
      <c r="AZ1239" s="243"/>
      <c r="BA1239" s="243"/>
      <c r="BB1239" s="243"/>
      <c r="BC1239" s="243"/>
      <c r="BD1239" s="243"/>
      <c r="BE1239" s="243"/>
      <c r="BF1239" s="243"/>
      <c r="BG1239" s="243"/>
      <c r="BH1239" s="243"/>
      <c r="BI1239" s="243"/>
      <c r="BJ1239" s="243"/>
      <c r="BK1239" s="243"/>
      <c r="BL1239" s="243"/>
      <c r="BM1239" s="243"/>
      <c r="BN1239" s="243"/>
      <c r="BO1239" s="243"/>
      <c r="BP1239" s="243"/>
      <c r="BQ1239" s="243"/>
      <c r="BR1239" s="243"/>
      <c r="BS1239" s="243"/>
    </row>
    <row r="1240" spans="1:71" s="12" customFormat="1" ht="41.25" customHeight="1">
      <c r="A1240" s="178" t="s">
        <v>96</v>
      </c>
      <c r="B1240" s="77" t="str">
        <f ca="1">+UPPER(Tabla1321124[[#This Row],[DESCRIPCIÓN DE LA COMPRA O CONTRATACIÓN]])</f>
        <v>VALVULA SOLENOIDE 220V, CINCO VIAS 1/4 ACTUADOS</v>
      </c>
      <c r="C1240" s="39" t="s">
        <v>17</v>
      </c>
      <c r="D1240" s="352">
        <v>16</v>
      </c>
      <c r="E1240" s="352"/>
      <c r="F1240" s="352"/>
      <c r="G1240" s="352"/>
      <c r="H1240" s="240">
        <f>SUM(Tabla1321124[[#This Row],[PRIMER TRIMESTRE]:[CUARTO TRIMESTRE]])</f>
        <v>16</v>
      </c>
      <c r="I1240" s="17">
        <v>11200</v>
      </c>
      <c r="J1240" s="17">
        <f t="shared" si="23"/>
        <v>179200</v>
      </c>
      <c r="K1240" s="17"/>
      <c r="L1240" s="16" t="s">
        <v>18</v>
      </c>
      <c r="M1240" s="16" t="s">
        <v>22</v>
      </c>
      <c r="N1240" s="16"/>
      <c r="O1240" s="243"/>
      <c r="P1240" s="243"/>
      <c r="Q1240" s="243"/>
      <c r="R1240" s="243"/>
      <c r="S1240" s="243"/>
      <c r="T1240" s="243"/>
      <c r="U1240" s="243"/>
      <c r="V1240" s="243"/>
      <c r="W1240" s="243"/>
      <c r="X1240" s="243"/>
      <c r="Y1240" s="243"/>
      <c r="Z1240" s="243"/>
      <c r="AA1240" s="243"/>
      <c r="AB1240" s="243"/>
      <c r="AC1240" s="243"/>
      <c r="AD1240" s="243"/>
      <c r="AE1240" s="243"/>
      <c r="AF1240" s="243"/>
      <c r="AG1240" s="243"/>
      <c r="AH1240" s="243"/>
      <c r="AI1240" s="243"/>
      <c r="AJ1240" s="243"/>
      <c r="AK1240" s="243"/>
      <c r="AL1240" s="243"/>
      <c r="AM1240" s="243"/>
      <c r="AN1240" s="243"/>
      <c r="AO1240" s="243"/>
      <c r="AP1240" s="243"/>
      <c r="AQ1240" s="243"/>
      <c r="AR1240" s="243"/>
      <c r="AS1240" s="243"/>
      <c r="AT1240" s="243"/>
      <c r="AU1240" s="243"/>
      <c r="AV1240" s="243"/>
      <c r="AW1240" s="243"/>
      <c r="AX1240" s="243"/>
      <c r="AY1240" s="243"/>
      <c r="AZ1240" s="243"/>
      <c r="BA1240" s="243"/>
      <c r="BB1240" s="243"/>
      <c r="BC1240" s="243"/>
      <c r="BD1240" s="243"/>
      <c r="BE1240" s="243"/>
      <c r="BF1240" s="243"/>
      <c r="BG1240" s="243"/>
      <c r="BH1240" s="243"/>
      <c r="BI1240" s="243"/>
      <c r="BJ1240" s="243"/>
      <c r="BK1240" s="243"/>
      <c r="BL1240" s="243"/>
      <c r="BM1240" s="243"/>
      <c r="BN1240" s="243"/>
      <c r="BO1240" s="243"/>
      <c r="BP1240" s="243"/>
      <c r="BQ1240" s="243"/>
      <c r="BR1240" s="243"/>
      <c r="BS1240" s="243"/>
    </row>
    <row r="1241" spans="1:71" s="12" customFormat="1" ht="41.25" customHeight="1">
      <c r="A1241" s="178" t="s">
        <v>96</v>
      </c>
      <c r="B1241" s="77" t="str">
        <f ca="1">+UPPER(Tabla1321124[[#This Row],[DESCRIPCIÓN DE LA COMPRA O CONTRATACIÓN]])</f>
        <v>VALVULA SOLENOIDE 220V, CINCO VIAS 1/4 ACTUADOS Ø2''</v>
      </c>
      <c r="C1241" s="39" t="s">
        <v>17</v>
      </c>
      <c r="D1241" s="352">
        <v>4</v>
      </c>
      <c r="E1241" s="352"/>
      <c r="F1241" s="352">
        <v>4</v>
      </c>
      <c r="G1241" s="352"/>
      <c r="H1241" s="240">
        <f>SUM(Tabla1321124[[#This Row],[PRIMER TRIMESTRE]:[CUARTO TRIMESTRE]])</f>
        <v>8</v>
      </c>
      <c r="I1241" s="17">
        <v>3780</v>
      </c>
      <c r="J1241" s="17">
        <f t="shared" si="23"/>
        <v>30240</v>
      </c>
      <c r="K1241" s="17"/>
      <c r="L1241" s="16" t="s">
        <v>18</v>
      </c>
      <c r="M1241" s="16" t="s">
        <v>22</v>
      </c>
      <c r="N1241" s="16"/>
      <c r="O1241" s="243"/>
      <c r="P1241" s="243"/>
      <c r="Q1241" s="243"/>
      <c r="R1241" s="243"/>
      <c r="S1241" s="243"/>
      <c r="T1241" s="243"/>
      <c r="U1241" s="243"/>
      <c r="V1241" s="243"/>
      <c r="W1241" s="243"/>
      <c r="X1241" s="243"/>
      <c r="Y1241" s="243"/>
      <c r="Z1241" s="243"/>
      <c r="AA1241" s="243"/>
      <c r="AB1241" s="243"/>
      <c r="AC1241" s="243"/>
      <c r="AD1241" s="243"/>
      <c r="AE1241" s="243"/>
      <c r="AF1241" s="243"/>
      <c r="AG1241" s="243"/>
      <c r="AH1241" s="243"/>
      <c r="AI1241" s="243"/>
      <c r="AJ1241" s="243"/>
      <c r="AK1241" s="243"/>
      <c r="AL1241" s="243"/>
      <c r="AM1241" s="243"/>
      <c r="AN1241" s="243"/>
      <c r="AO1241" s="243"/>
      <c r="AP1241" s="243"/>
      <c r="AQ1241" s="243"/>
      <c r="AR1241" s="243"/>
      <c r="AS1241" s="243"/>
      <c r="AT1241" s="243"/>
      <c r="AU1241" s="243"/>
      <c r="AV1241" s="243"/>
      <c r="AW1241" s="243"/>
      <c r="AX1241" s="243"/>
      <c r="AY1241" s="243"/>
      <c r="AZ1241" s="243"/>
      <c r="BA1241" s="243"/>
      <c r="BB1241" s="243"/>
      <c r="BC1241" s="243"/>
      <c r="BD1241" s="243"/>
      <c r="BE1241" s="243"/>
      <c r="BF1241" s="243"/>
      <c r="BG1241" s="243"/>
      <c r="BH1241" s="243"/>
      <c r="BI1241" s="243"/>
      <c r="BJ1241" s="243"/>
      <c r="BK1241" s="243"/>
      <c r="BL1241" s="243"/>
      <c r="BM1241" s="243"/>
      <c r="BN1241" s="243"/>
      <c r="BO1241" s="243"/>
      <c r="BP1241" s="243"/>
      <c r="BQ1241" s="243"/>
      <c r="BR1241" s="243"/>
      <c r="BS1241" s="243"/>
    </row>
    <row r="1242" spans="1:71" s="12" customFormat="1" ht="41.25" customHeight="1">
      <c r="A1242" s="178" t="s">
        <v>96</v>
      </c>
      <c r="B1242" s="77" t="str">
        <f ca="1">+UPPER(Tabla1321124[[#This Row],[DESCRIPCIÓN DE LA COMPRA O CONTRATACIÓN]])</f>
        <v>BOQUILLA (NOXXIE) MARCA VAC-ON REFERENCIA 681-0960</v>
      </c>
      <c r="C1242" s="39" t="s">
        <v>17</v>
      </c>
      <c r="D1242" s="352"/>
      <c r="E1242" s="352"/>
      <c r="F1242" s="352"/>
      <c r="G1242" s="352"/>
      <c r="H1242" s="240">
        <f>SUM(Tabla1321124[[#This Row],[PRIMER TRIMESTRE]:[CUARTO TRIMESTRE]])</f>
        <v>0</v>
      </c>
      <c r="I1242" s="17">
        <v>250</v>
      </c>
      <c r="J1242" s="17">
        <f t="shared" si="23"/>
        <v>0</v>
      </c>
      <c r="K1242" s="17"/>
      <c r="L1242" s="16" t="s">
        <v>18</v>
      </c>
      <c r="M1242" s="16" t="s">
        <v>22</v>
      </c>
      <c r="N1242" s="16"/>
      <c r="O1242" s="243"/>
      <c r="P1242" s="243"/>
      <c r="Q1242" s="243"/>
      <c r="R1242" s="243"/>
      <c r="S1242" s="243"/>
      <c r="T1242" s="243"/>
      <c r="U1242" s="243"/>
      <c r="V1242" s="243"/>
      <c r="W1242" s="243"/>
      <c r="X1242" s="243"/>
      <c r="Y1242" s="243"/>
      <c r="Z1242" s="243"/>
      <c r="AA1242" s="243"/>
      <c r="AB1242" s="243"/>
      <c r="AC1242" s="243"/>
      <c r="AD1242" s="243"/>
      <c r="AE1242" s="243"/>
      <c r="AF1242" s="243"/>
      <c r="AG1242" s="243"/>
      <c r="AH1242" s="243"/>
      <c r="AI1242" s="243"/>
      <c r="AJ1242" s="243"/>
      <c r="AK1242" s="243"/>
      <c r="AL1242" s="243"/>
      <c r="AM1242" s="243"/>
      <c r="AN1242" s="243"/>
      <c r="AO1242" s="243"/>
      <c r="AP1242" s="243"/>
      <c r="AQ1242" s="243"/>
      <c r="AR1242" s="243"/>
      <c r="AS1242" s="243"/>
      <c r="AT1242" s="243"/>
      <c r="AU1242" s="243"/>
      <c r="AV1242" s="243"/>
      <c r="AW1242" s="243"/>
      <c r="AX1242" s="243"/>
      <c r="AY1242" s="243"/>
      <c r="AZ1242" s="243"/>
      <c r="BA1242" s="243"/>
      <c r="BB1242" s="243"/>
      <c r="BC1242" s="243"/>
      <c r="BD1242" s="243"/>
      <c r="BE1242" s="243"/>
      <c r="BF1242" s="243"/>
      <c r="BG1242" s="243"/>
      <c r="BH1242" s="243"/>
      <c r="BI1242" s="243"/>
      <c r="BJ1242" s="243"/>
      <c r="BK1242" s="243"/>
      <c r="BL1242" s="243"/>
      <c r="BM1242" s="243"/>
      <c r="BN1242" s="243"/>
      <c r="BO1242" s="243"/>
      <c r="BP1242" s="243"/>
      <c r="BQ1242" s="243"/>
      <c r="BR1242" s="243"/>
      <c r="BS1242" s="243"/>
    </row>
    <row r="1243" spans="1:71" s="12" customFormat="1" ht="41.25" customHeight="1">
      <c r="A1243" s="178" t="s">
        <v>96</v>
      </c>
      <c r="B1243" s="75" t="str">
        <f ca="1">+UPPER(Tabla1321124[[#This Row],[DESCRIPCIÓN DE LA COMPRA O CONTRATACIÓN]])</f>
        <v>TRANSFER MANUAL DE 150 AMP, 600V, 3Ø 60HZ, CON LUCES DE PILOTO ENCLAVAMIENTO</v>
      </c>
      <c r="C1243" s="39" t="s">
        <v>17</v>
      </c>
      <c r="D1243" s="352">
        <v>1</v>
      </c>
      <c r="E1243" s="352"/>
      <c r="F1243" s="352">
        <v>1</v>
      </c>
      <c r="G1243" s="352"/>
      <c r="H1243" s="240">
        <f>SUM(Tabla1321124[[#This Row],[PRIMER TRIMESTRE]:[CUARTO TRIMESTRE]])</f>
        <v>2</v>
      </c>
      <c r="I1243" s="17">
        <v>36000</v>
      </c>
      <c r="J1243" s="17">
        <f t="shared" si="23"/>
        <v>72000</v>
      </c>
      <c r="K1243" s="17"/>
      <c r="L1243" s="16" t="s">
        <v>18</v>
      </c>
      <c r="M1243" s="16" t="s">
        <v>22</v>
      </c>
      <c r="N1243" s="16"/>
      <c r="O1243" s="243"/>
      <c r="P1243" s="243"/>
      <c r="Q1243" s="243"/>
      <c r="R1243" s="243"/>
      <c r="S1243" s="243"/>
      <c r="T1243" s="243"/>
      <c r="U1243" s="243"/>
      <c r="V1243" s="243"/>
      <c r="W1243" s="243"/>
      <c r="X1243" s="243"/>
      <c r="Y1243" s="243"/>
      <c r="Z1243" s="243"/>
      <c r="AA1243" s="243"/>
      <c r="AB1243" s="243"/>
      <c r="AC1243" s="243"/>
      <c r="AD1243" s="243"/>
      <c r="AE1243" s="243"/>
      <c r="AF1243" s="243"/>
      <c r="AG1243" s="243"/>
      <c r="AH1243" s="243"/>
      <c r="AI1243" s="243"/>
      <c r="AJ1243" s="243"/>
      <c r="AK1243" s="243"/>
      <c r="AL1243" s="243"/>
      <c r="AM1243" s="243"/>
      <c r="AN1243" s="243"/>
      <c r="AO1243" s="243"/>
      <c r="AP1243" s="243"/>
      <c r="AQ1243" s="243"/>
      <c r="AR1243" s="243"/>
      <c r="AS1243" s="243"/>
      <c r="AT1243" s="243"/>
      <c r="AU1243" s="243"/>
      <c r="AV1243" s="243"/>
      <c r="AW1243" s="243"/>
      <c r="AX1243" s="243"/>
      <c r="AY1243" s="243"/>
      <c r="AZ1243" s="243"/>
      <c r="BA1243" s="243"/>
      <c r="BB1243" s="243"/>
      <c r="BC1243" s="243"/>
      <c r="BD1243" s="243"/>
      <c r="BE1243" s="243"/>
      <c r="BF1243" s="243"/>
      <c r="BG1243" s="243"/>
      <c r="BH1243" s="243"/>
      <c r="BI1243" s="243"/>
      <c r="BJ1243" s="243"/>
      <c r="BK1243" s="243"/>
      <c r="BL1243" s="243"/>
      <c r="BM1243" s="243"/>
      <c r="BN1243" s="243"/>
      <c r="BO1243" s="243"/>
      <c r="BP1243" s="243"/>
      <c r="BQ1243" s="243"/>
      <c r="BR1243" s="243"/>
      <c r="BS1243" s="243"/>
    </row>
    <row r="1244" spans="1:71" s="12" customFormat="1" ht="41.25" customHeight="1">
      <c r="A1244" s="178" t="s">
        <v>96</v>
      </c>
      <c r="B1244" s="300" t="str">
        <f ca="1">+UPPER(Tabla1321124[[#This Row],[DESCRIPCIÓN DE LA COMPRA O CONTRATACIÓN]])</f>
        <v>TRANSFER MANUAL DE 250 AMP, 600 VOLTIOS, CON LUCES PILOTO Y ENCLAVAMIENTO MECANICO</v>
      </c>
      <c r="C1244" s="39" t="s">
        <v>17</v>
      </c>
      <c r="D1244" s="352">
        <v>1</v>
      </c>
      <c r="E1244" s="352"/>
      <c r="F1244" s="352">
        <v>1</v>
      </c>
      <c r="G1244" s="352"/>
      <c r="H1244" s="240">
        <f>SUM(Tabla1321124[[#This Row],[PRIMER TRIMESTRE]:[CUARTO TRIMESTRE]])</f>
        <v>2</v>
      </c>
      <c r="I1244" s="17">
        <v>19800</v>
      </c>
      <c r="J1244" s="17">
        <f t="shared" si="23"/>
        <v>39600</v>
      </c>
      <c r="K1244" s="302"/>
      <c r="L1244" s="16" t="s">
        <v>18</v>
      </c>
      <c r="M1244" s="16" t="s">
        <v>22</v>
      </c>
      <c r="N1244" s="16"/>
      <c r="O1244" s="243"/>
      <c r="P1244" s="243"/>
      <c r="Q1244" s="243"/>
      <c r="R1244" s="243"/>
      <c r="S1244" s="243"/>
      <c r="T1244" s="243"/>
      <c r="U1244" s="243"/>
      <c r="V1244" s="243"/>
      <c r="W1244" s="243"/>
      <c r="X1244" s="243"/>
      <c r="Y1244" s="243"/>
      <c r="Z1244" s="243"/>
      <c r="AA1244" s="243"/>
      <c r="AB1244" s="243"/>
      <c r="AC1244" s="243"/>
      <c r="AD1244" s="243"/>
      <c r="AE1244" s="243"/>
      <c r="AF1244" s="243"/>
      <c r="AG1244" s="243"/>
      <c r="AH1244" s="243"/>
      <c r="AI1244" s="243"/>
      <c r="AJ1244" s="243"/>
      <c r="AK1244" s="243"/>
      <c r="AL1244" s="243"/>
      <c r="AM1244" s="243"/>
      <c r="AN1244" s="243"/>
      <c r="AO1244" s="243"/>
      <c r="AP1244" s="243"/>
      <c r="AQ1244" s="243"/>
      <c r="AR1244" s="243"/>
      <c r="AS1244" s="243"/>
      <c r="AT1244" s="243"/>
      <c r="AU1244" s="243"/>
      <c r="AV1244" s="243"/>
      <c r="AW1244" s="243"/>
      <c r="AX1244" s="243"/>
      <c r="AY1244" s="243"/>
      <c r="AZ1244" s="243"/>
      <c r="BA1244" s="243"/>
      <c r="BB1244" s="243"/>
      <c r="BC1244" s="243"/>
      <c r="BD1244" s="243"/>
      <c r="BE1244" s="243"/>
      <c r="BF1244" s="243"/>
      <c r="BG1244" s="243"/>
      <c r="BH1244" s="243"/>
      <c r="BI1244" s="243"/>
      <c r="BJ1244" s="243"/>
      <c r="BK1244" s="243"/>
      <c r="BL1244" s="243"/>
      <c r="BM1244" s="243"/>
      <c r="BN1244" s="243"/>
      <c r="BO1244" s="243"/>
      <c r="BP1244" s="243"/>
      <c r="BQ1244" s="243"/>
      <c r="BR1244" s="243"/>
      <c r="BS1244" s="243"/>
    </row>
    <row r="1245" spans="1:71" s="12" customFormat="1" ht="41.25" customHeight="1">
      <c r="A1245" s="178" t="s">
        <v>96</v>
      </c>
      <c r="B1245" s="75" t="str">
        <f ca="1">+UPPER(Tabla1321124[[#This Row],[DESCRIPCIÓN DE LA COMPRA O CONTRATACIÓN]])</f>
        <v>RELAY TERMICO 135 AMP</v>
      </c>
      <c r="C1245" s="39" t="s">
        <v>17</v>
      </c>
      <c r="D1245" s="352"/>
      <c r="E1245" s="352"/>
      <c r="F1245" s="352"/>
      <c r="G1245" s="352"/>
      <c r="H1245" s="240">
        <f>SUM(Tabla1321124[[#This Row],[PRIMER TRIMESTRE]:[CUARTO TRIMESTRE]])</f>
        <v>0</v>
      </c>
      <c r="I1245" s="17">
        <v>6950</v>
      </c>
      <c r="J1245" s="17">
        <f t="shared" si="23"/>
        <v>0</v>
      </c>
      <c r="K1245" s="17"/>
      <c r="L1245" s="16" t="s">
        <v>18</v>
      </c>
      <c r="M1245" s="16" t="s">
        <v>22</v>
      </c>
      <c r="N1245" s="16"/>
      <c r="O1245" s="243"/>
      <c r="P1245" s="243"/>
      <c r="Q1245" s="243"/>
      <c r="R1245" s="243"/>
      <c r="S1245" s="243"/>
      <c r="T1245" s="243"/>
      <c r="U1245" s="243"/>
      <c r="V1245" s="243"/>
      <c r="W1245" s="243"/>
      <c r="X1245" s="243"/>
      <c r="Y1245" s="243"/>
      <c r="Z1245" s="243"/>
      <c r="AA1245" s="243"/>
      <c r="AB1245" s="243"/>
      <c r="AC1245" s="243"/>
      <c r="AD1245" s="243"/>
      <c r="AE1245" s="243"/>
      <c r="AF1245" s="243"/>
      <c r="AG1245" s="243"/>
      <c r="AH1245" s="243"/>
      <c r="AI1245" s="243"/>
      <c r="AJ1245" s="243"/>
      <c r="AK1245" s="243"/>
      <c r="AL1245" s="243"/>
      <c r="AM1245" s="243"/>
      <c r="AN1245" s="243"/>
      <c r="AO1245" s="243"/>
      <c r="AP1245" s="243"/>
      <c r="AQ1245" s="243"/>
      <c r="AR1245" s="243"/>
      <c r="AS1245" s="243"/>
      <c r="AT1245" s="243"/>
      <c r="AU1245" s="243"/>
      <c r="AV1245" s="243"/>
      <c r="AW1245" s="243"/>
      <c r="AX1245" s="243"/>
      <c r="AY1245" s="243"/>
      <c r="AZ1245" s="243"/>
      <c r="BA1245" s="243"/>
      <c r="BB1245" s="243"/>
      <c r="BC1245" s="243"/>
      <c r="BD1245" s="243"/>
      <c r="BE1245" s="243"/>
      <c r="BF1245" s="243"/>
      <c r="BG1245" s="243"/>
      <c r="BH1245" s="243"/>
      <c r="BI1245" s="243"/>
      <c r="BJ1245" s="243"/>
      <c r="BK1245" s="243"/>
      <c r="BL1245" s="243"/>
      <c r="BM1245" s="243"/>
      <c r="BN1245" s="243"/>
      <c r="BO1245" s="243"/>
      <c r="BP1245" s="243"/>
      <c r="BQ1245" s="243"/>
      <c r="BR1245" s="243"/>
      <c r="BS1245" s="243"/>
    </row>
    <row r="1246" spans="1:71" s="26" customFormat="1" ht="41.25" customHeight="1">
      <c r="A1246" s="178" t="s">
        <v>96</v>
      </c>
      <c r="B1246" s="75" t="str">
        <f ca="1">+UPPER(Tabla1321124[[#This Row],[DESCRIPCIÓN DE LA COMPRA O CONTRATACIÓN]])</f>
        <v>TRANSFER MANUAL DE 800 AMP 460V TRES FASES 300 HZ</v>
      </c>
      <c r="C1246" s="39" t="s">
        <v>17</v>
      </c>
      <c r="D1246" s="352">
        <v>2</v>
      </c>
      <c r="E1246" s="352">
        <v>5</v>
      </c>
      <c r="F1246" s="352">
        <v>2</v>
      </c>
      <c r="G1246" s="352"/>
      <c r="H1246" s="240">
        <f>SUM(Tabla1321124[[#This Row],[PRIMER TRIMESTRE]:[CUARTO TRIMESTRE]])</f>
        <v>9</v>
      </c>
      <c r="I1246" s="17">
        <v>109000</v>
      </c>
      <c r="J1246" s="17">
        <f t="shared" si="23"/>
        <v>981000</v>
      </c>
      <c r="K1246" s="17"/>
      <c r="L1246" s="16" t="s">
        <v>18</v>
      </c>
      <c r="M1246" s="16" t="s">
        <v>22</v>
      </c>
      <c r="N1246" s="16"/>
      <c r="O1246" s="243"/>
      <c r="P1246" s="243"/>
      <c r="Q1246" s="243"/>
      <c r="R1246" s="243"/>
      <c r="S1246" s="243"/>
      <c r="T1246" s="243"/>
      <c r="U1246" s="243"/>
      <c r="V1246" s="243"/>
      <c r="W1246" s="243"/>
      <c r="X1246" s="243"/>
      <c r="Y1246" s="243"/>
      <c r="Z1246" s="243"/>
      <c r="AA1246" s="243"/>
      <c r="AB1246" s="243"/>
      <c r="AC1246" s="243"/>
      <c r="AD1246" s="243"/>
      <c r="AE1246" s="243"/>
      <c r="AF1246" s="243"/>
      <c r="AG1246" s="243"/>
      <c r="AH1246" s="243"/>
      <c r="AI1246" s="243"/>
      <c r="AJ1246" s="243"/>
      <c r="AK1246" s="243"/>
      <c r="AL1246" s="243"/>
      <c r="AM1246" s="243"/>
      <c r="AN1246" s="243"/>
      <c r="AO1246" s="243"/>
      <c r="AP1246" s="243"/>
      <c r="AQ1246" s="243"/>
      <c r="AR1246" s="243"/>
      <c r="AS1246" s="243"/>
      <c r="AT1246" s="243"/>
      <c r="AU1246" s="243"/>
      <c r="AV1246" s="243"/>
      <c r="AW1246" s="243"/>
      <c r="AX1246" s="243"/>
      <c r="AY1246" s="243"/>
      <c r="AZ1246" s="243"/>
      <c r="BA1246" s="243"/>
      <c r="BB1246" s="243"/>
      <c r="BC1246" s="243"/>
      <c r="BD1246" s="243"/>
      <c r="BE1246" s="243"/>
      <c r="BF1246" s="243"/>
      <c r="BG1246" s="243"/>
      <c r="BH1246" s="243"/>
      <c r="BI1246" s="243"/>
      <c r="BJ1246" s="243"/>
      <c r="BK1246" s="243"/>
      <c r="BL1246" s="243"/>
      <c r="BM1246" s="243"/>
      <c r="BN1246" s="243"/>
      <c r="BO1246" s="243"/>
      <c r="BP1246" s="243"/>
      <c r="BQ1246" s="243"/>
      <c r="BR1246" s="243"/>
      <c r="BS1246" s="243"/>
    </row>
    <row r="1247" spans="1:71" s="169" customFormat="1" ht="41.25" customHeight="1">
      <c r="A1247" s="178" t="s">
        <v>96</v>
      </c>
      <c r="B1247" s="75" t="str">
        <f ca="1">+UPPER(Tabla1321124[[#This Row],[DESCRIPCIÓN DE LA COMPRA O CONTRATACIÓN]])</f>
        <v>VALVULA SOLENOIDE Ø1/2 120V, DOS VIAS</v>
      </c>
      <c r="C1247" s="39" t="s">
        <v>17</v>
      </c>
      <c r="D1247" s="352">
        <v>8</v>
      </c>
      <c r="E1247" s="352"/>
      <c r="F1247" s="352"/>
      <c r="G1247" s="352"/>
      <c r="H1247" s="240">
        <f>SUM(Tabla1321124[[#This Row],[PRIMER TRIMESTRE]:[CUARTO TRIMESTRE]])</f>
        <v>8</v>
      </c>
      <c r="I1247" s="17">
        <v>2760</v>
      </c>
      <c r="J1247" s="17">
        <f t="shared" si="23"/>
        <v>22080</v>
      </c>
      <c r="K1247" s="387">
        <f>SUM(J967:J1247)</f>
        <v>603275315.8599999</v>
      </c>
      <c r="L1247" s="16" t="s">
        <v>18</v>
      </c>
      <c r="M1247" s="16" t="s">
        <v>22</v>
      </c>
      <c r="N1247" s="16"/>
      <c r="O1247" s="243"/>
      <c r="P1247" s="243"/>
      <c r="Q1247" s="243"/>
      <c r="R1247" s="243"/>
      <c r="S1247" s="243"/>
      <c r="T1247" s="243"/>
      <c r="U1247" s="243"/>
      <c r="V1247" s="243"/>
      <c r="W1247" s="243"/>
      <c r="X1247" s="243"/>
      <c r="Y1247" s="243"/>
      <c r="Z1247" s="243"/>
      <c r="AA1247" s="243"/>
      <c r="AB1247" s="243"/>
      <c r="AC1247" s="243"/>
      <c r="AD1247" s="243"/>
      <c r="AE1247" s="243"/>
      <c r="AF1247" s="243"/>
      <c r="AG1247" s="243"/>
      <c r="AH1247" s="243"/>
      <c r="AI1247" s="243"/>
      <c r="AJ1247" s="243"/>
      <c r="AK1247" s="243"/>
      <c r="AL1247" s="243"/>
      <c r="AM1247" s="243"/>
      <c r="AN1247" s="243"/>
      <c r="AO1247" s="243"/>
      <c r="AP1247" s="243"/>
      <c r="AQ1247" s="243"/>
      <c r="AR1247" s="243"/>
      <c r="AS1247" s="243"/>
      <c r="AT1247" s="243"/>
      <c r="AU1247" s="243"/>
      <c r="AV1247" s="243"/>
      <c r="AW1247" s="243"/>
      <c r="AX1247" s="243"/>
      <c r="AY1247" s="243"/>
      <c r="AZ1247" s="243"/>
      <c r="BA1247" s="243"/>
      <c r="BB1247" s="243"/>
      <c r="BC1247" s="243"/>
      <c r="BD1247" s="243"/>
      <c r="BE1247" s="243"/>
      <c r="BF1247" s="243"/>
      <c r="BG1247" s="243"/>
      <c r="BH1247" s="243"/>
      <c r="BI1247" s="243"/>
      <c r="BJ1247" s="243"/>
      <c r="BK1247" s="243"/>
      <c r="BL1247" s="243"/>
      <c r="BM1247" s="243"/>
      <c r="BN1247" s="243"/>
      <c r="BO1247" s="243"/>
      <c r="BP1247" s="243"/>
      <c r="BQ1247" s="243"/>
      <c r="BR1247" s="243"/>
      <c r="BS1247" s="243"/>
    </row>
    <row r="1248" spans="1:71" s="169" customFormat="1" ht="41.25" customHeight="1">
      <c r="A1248" s="178" t="s">
        <v>96</v>
      </c>
      <c r="B1248" s="376" t="str">
        <f ca="1">+UPPER(Tabla1321124[[#This Row],[DESCRIPCIÓN DE LA COMPRA O CONTRATACIÓN]])</f>
        <v>TEMPORIZADOR TYPE: JSZ3F OFF DELAY</v>
      </c>
      <c r="C1248" s="39" t="s">
        <v>17</v>
      </c>
      <c r="D1248" s="369">
        <v>10</v>
      </c>
      <c r="E1248" s="369">
        <v>5</v>
      </c>
      <c r="F1248" s="369">
        <v>5</v>
      </c>
      <c r="G1248" s="369">
        <v>5</v>
      </c>
      <c r="H1248" s="354">
        <f>Tabla1321124[[#This Row],[CUARTO TRIMESTRE]]+Tabla1321124[[#This Row],[TERCER TRIMESTRE]]+Tabla1321124[[#This Row],[SEGUNDO TRIMESTRE]]+Tabla1321124[[#This Row],[PRIMER TRIMESTRE]]</f>
        <v>25</v>
      </c>
      <c r="I1248" s="17">
        <v>16800</v>
      </c>
      <c r="J1248" s="17">
        <f>Tabla1321124[[#This Row],[PRECIO UNITARIO ESTIMADO]]*Tabla1321124[[#This Row],[CANTIDAD TOTAL]]</f>
        <v>420000</v>
      </c>
      <c r="K1248" s="175"/>
      <c r="L1248" s="16" t="s">
        <v>18</v>
      </c>
      <c r="M1248" s="16" t="s">
        <v>22</v>
      </c>
      <c r="N1248" s="16"/>
      <c r="O1248" s="243"/>
      <c r="P1248" s="243"/>
      <c r="Q1248" s="243"/>
      <c r="R1248" s="243"/>
      <c r="S1248" s="243"/>
      <c r="T1248" s="243"/>
      <c r="U1248" s="243"/>
      <c r="V1248" s="243"/>
      <c r="W1248" s="243"/>
      <c r="X1248" s="243"/>
      <c r="Y1248" s="243"/>
      <c r="Z1248" s="243"/>
      <c r="AA1248" s="243"/>
      <c r="AB1248" s="243"/>
      <c r="AC1248" s="243"/>
      <c r="AD1248" s="243"/>
      <c r="AE1248" s="243"/>
      <c r="AF1248" s="243"/>
      <c r="AG1248" s="243"/>
      <c r="AH1248" s="243"/>
      <c r="AI1248" s="243"/>
      <c r="AJ1248" s="243"/>
      <c r="AK1248" s="243"/>
      <c r="AL1248" s="243"/>
      <c r="AM1248" s="243"/>
      <c r="AN1248" s="243"/>
      <c r="AO1248" s="243"/>
      <c r="AP1248" s="243"/>
      <c r="AQ1248" s="243"/>
      <c r="AR1248" s="243"/>
      <c r="AS1248" s="243"/>
      <c r="AT1248" s="243"/>
      <c r="AU1248" s="243"/>
      <c r="AV1248" s="243"/>
      <c r="AW1248" s="243"/>
      <c r="AX1248" s="243"/>
      <c r="AY1248" s="243"/>
      <c r="AZ1248" s="243"/>
      <c r="BA1248" s="243"/>
      <c r="BB1248" s="243"/>
      <c r="BC1248" s="243"/>
      <c r="BD1248" s="243"/>
      <c r="BE1248" s="243"/>
      <c r="BF1248" s="243"/>
      <c r="BG1248" s="243"/>
      <c r="BH1248" s="243"/>
      <c r="BI1248" s="243"/>
      <c r="BJ1248" s="243"/>
      <c r="BK1248" s="243"/>
      <c r="BL1248" s="243"/>
      <c r="BM1248" s="243"/>
      <c r="BN1248" s="243"/>
      <c r="BO1248" s="243"/>
      <c r="BP1248" s="243"/>
      <c r="BQ1248" s="243"/>
      <c r="BR1248" s="243"/>
      <c r="BS1248" s="243"/>
    </row>
    <row r="1249" spans="1:71" s="169" customFormat="1" ht="41.25" customHeight="1">
      <c r="A1249" s="178" t="s">
        <v>96</v>
      </c>
      <c r="B1249" s="376" t="str">
        <f ca="1">+UPPER(Tabla1321124[[#This Row],[DESCRIPCIÓN DE LA COMPRA O CONTRATACIÓN]])</f>
        <v>TEMPORIZADOR TYPE: STEPF OFF DELAY</v>
      </c>
      <c r="C1249" s="39" t="s">
        <v>17</v>
      </c>
      <c r="D1249" s="369">
        <v>10</v>
      </c>
      <c r="E1249" s="369">
        <v>5</v>
      </c>
      <c r="F1249" s="369">
        <v>5</v>
      </c>
      <c r="G1249" s="369">
        <v>5</v>
      </c>
      <c r="H1249" s="354">
        <f>Tabla1321124[[#This Row],[CUARTO TRIMESTRE]]+Tabla1321124[[#This Row],[TERCER TRIMESTRE]]+Tabla1321124[[#This Row],[SEGUNDO TRIMESTRE]]+Tabla1321124[[#This Row],[PRIMER TRIMESTRE]]</f>
        <v>25</v>
      </c>
      <c r="I1249" s="17">
        <v>16800</v>
      </c>
      <c r="J1249" s="17">
        <f>Tabla1321124[[#This Row],[PRECIO UNITARIO ESTIMADO]]*Tabla1321124[[#This Row],[CANTIDAD TOTAL]]</f>
        <v>420000</v>
      </c>
      <c r="K1249" s="175"/>
      <c r="L1249" s="16" t="s">
        <v>18</v>
      </c>
      <c r="M1249" s="16" t="s">
        <v>22</v>
      </c>
      <c r="N1249" s="16"/>
      <c r="O1249" s="243"/>
      <c r="P1249" s="243"/>
      <c r="Q1249" s="243"/>
      <c r="R1249" s="243"/>
      <c r="S1249" s="243"/>
      <c r="T1249" s="243"/>
      <c r="U1249" s="243"/>
      <c r="V1249" s="243"/>
      <c r="W1249" s="243"/>
      <c r="X1249" s="243"/>
      <c r="Y1249" s="243"/>
      <c r="Z1249" s="243"/>
      <c r="AA1249" s="243"/>
      <c r="AB1249" s="243"/>
      <c r="AC1249" s="243"/>
      <c r="AD1249" s="243"/>
      <c r="AE1249" s="243"/>
      <c r="AF1249" s="243"/>
      <c r="AG1249" s="243"/>
      <c r="AH1249" s="243"/>
      <c r="AI1249" s="243"/>
      <c r="AJ1249" s="243"/>
      <c r="AK1249" s="243"/>
      <c r="AL1249" s="243"/>
      <c r="AM1249" s="243"/>
      <c r="AN1249" s="243"/>
      <c r="AO1249" s="243"/>
      <c r="AP1249" s="243"/>
      <c r="AQ1249" s="243"/>
      <c r="AR1249" s="243"/>
      <c r="AS1249" s="243"/>
      <c r="AT1249" s="243"/>
      <c r="AU1249" s="243"/>
      <c r="AV1249" s="243"/>
      <c r="AW1249" s="243"/>
      <c r="AX1249" s="243"/>
      <c r="AY1249" s="243"/>
      <c r="AZ1249" s="243"/>
      <c r="BA1249" s="243"/>
      <c r="BB1249" s="243"/>
      <c r="BC1249" s="243"/>
      <c r="BD1249" s="243"/>
      <c r="BE1249" s="243"/>
      <c r="BF1249" s="243"/>
      <c r="BG1249" s="243"/>
      <c r="BH1249" s="243"/>
      <c r="BI1249" s="243"/>
      <c r="BJ1249" s="243"/>
      <c r="BK1249" s="243"/>
      <c r="BL1249" s="243"/>
      <c r="BM1249" s="243"/>
      <c r="BN1249" s="243"/>
      <c r="BO1249" s="243"/>
      <c r="BP1249" s="243"/>
      <c r="BQ1249" s="243"/>
      <c r="BR1249" s="243"/>
      <c r="BS1249" s="243"/>
    </row>
    <row r="1250" spans="1:71" s="169" customFormat="1" ht="41.25" customHeight="1">
      <c r="A1250" s="178" t="s">
        <v>96</v>
      </c>
      <c r="B1250" s="377" t="str">
        <f ca="1">+UPPER(Tabla1321124[[#This Row],[DESCRIPCIÓN DE LA COMPRA O CONTRATACIÓN]])</f>
        <v>TEMPORIZADORES ON-LINE, 30SEG-30M CON SU BASE 120 VOLTIOS</v>
      </c>
      <c r="C1250" s="39" t="s">
        <v>17</v>
      </c>
      <c r="D1250" s="378">
        <v>10</v>
      </c>
      <c r="E1250" s="369">
        <v>5</v>
      </c>
      <c r="F1250" s="369">
        <v>5</v>
      </c>
      <c r="G1250" s="369">
        <v>5</v>
      </c>
      <c r="H1250" s="354">
        <f>Tabla1321124[[#This Row],[CUARTO TRIMESTRE]]+Tabla1321124[[#This Row],[TERCER TRIMESTRE]]+Tabla1321124[[#This Row],[SEGUNDO TRIMESTRE]]+Tabla1321124[[#This Row],[PRIMER TRIMESTRE]]</f>
        <v>25</v>
      </c>
      <c r="I1250" s="17">
        <v>23600</v>
      </c>
      <c r="J1250" s="17">
        <f>Tabla1321124[[#This Row],[PRECIO UNITARIO ESTIMADO]]*Tabla1321124[[#This Row],[CANTIDAD TOTAL]]</f>
        <v>590000</v>
      </c>
      <c r="K1250" s="175"/>
      <c r="L1250" s="16" t="s">
        <v>18</v>
      </c>
      <c r="M1250" s="16" t="s">
        <v>22</v>
      </c>
      <c r="N1250" s="16"/>
      <c r="O1250" s="243"/>
      <c r="P1250" s="243"/>
      <c r="Q1250" s="243"/>
      <c r="R1250" s="243"/>
      <c r="S1250" s="243"/>
      <c r="T1250" s="243"/>
      <c r="U1250" s="243"/>
      <c r="V1250" s="243"/>
      <c r="W1250" s="243"/>
      <c r="X1250" s="243"/>
      <c r="Y1250" s="243"/>
      <c r="Z1250" s="243"/>
      <c r="AA1250" s="243"/>
      <c r="AB1250" s="243"/>
      <c r="AC1250" s="243"/>
      <c r="AD1250" s="243"/>
      <c r="AE1250" s="243"/>
      <c r="AF1250" s="243"/>
      <c r="AG1250" s="243"/>
      <c r="AH1250" s="243"/>
      <c r="AI1250" s="243"/>
      <c r="AJ1250" s="243"/>
      <c r="AK1250" s="243"/>
      <c r="AL1250" s="243"/>
      <c r="AM1250" s="243"/>
      <c r="AN1250" s="243"/>
      <c r="AO1250" s="243"/>
      <c r="AP1250" s="243"/>
      <c r="AQ1250" s="243"/>
      <c r="AR1250" s="243"/>
      <c r="AS1250" s="243"/>
      <c r="AT1250" s="243"/>
      <c r="AU1250" s="243"/>
      <c r="AV1250" s="243"/>
      <c r="AW1250" s="243"/>
      <c r="AX1250" s="243"/>
      <c r="AY1250" s="243"/>
      <c r="AZ1250" s="243"/>
      <c r="BA1250" s="243"/>
      <c r="BB1250" s="243"/>
      <c r="BC1250" s="243"/>
      <c r="BD1250" s="243"/>
      <c r="BE1250" s="243"/>
      <c r="BF1250" s="243"/>
      <c r="BG1250" s="243"/>
      <c r="BH1250" s="243"/>
      <c r="BI1250" s="243"/>
      <c r="BJ1250" s="243"/>
      <c r="BK1250" s="243"/>
      <c r="BL1250" s="243"/>
      <c r="BM1250" s="243"/>
      <c r="BN1250" s="243"/>
      <c r="BO1250" s="243"/>
      <c r="BP1250" s="243"/>
      <c r="BQ1250" s="243"/>
      <c r="BR1250" s="243"/>
      <c r="BS1250" s="243"/>
    </row>
    <row r="1251" spans="1:71" s="169" customFormat="1" ht="41.25" customHeight="1">
      <c r="A1251" s="178" t="s">
        <v>96</v>
      </c>
      <c r="B1251" s="377" t="str">
        <f ca="1">+UPPER(Tabla1321124[[#This Row],[DESCRIPCIÓN DE LA COMPRA O CONTRATACIÓN]])</f>
        <v>TEMPORIZADORES ON-LINE, 30SEG-30M CON SU BASE, 220 VOLTIOS.</v>
      </c>
      <c r="C1251" s="39" t="s">
        <v>17</v>
      </c>
      <c r="D1251" s="378">
        <v>10</v>
      </c>
      <c r="E1251" s="369">
        <v>5</v>
      </c>
      <c r="F1251" s="369">
        <v>5</v>
      </c>
      <c r="G1251" s="369">
        <v>5</v>
      </c>
      <c r="H1251" s="354">
        <f>Tabla1321124[[#This Row],[CUARTO TRIMESTRE]]+Tabla1321124[[#This Row],[TERCER TRIMESTRE]]+Tabla1321124[[#This Row],[SEGUNDO TRIMESTRE]]+Tabla1321124[[#This Row],[PRIMER TRIMESTRE]]</f>
        <v>25</v>
      </c>
      <c r="I1251" s="17">
        <v>23600</v>
      </c>
      <c r="J1251" s="17">
        <f>Tabla1321124[[#This Row],[PRECIO UNITARIO ESTIMADO]]*Tabla1321124[[#This Row],[CANTIDAD TOTAL]]</f>
        <v>590000</v>
      </c>
      <c r="K1251" s="175"/>
      <c r="L1251" s="16" t="s">
        <v>18</v>
      </c>
      <c r="M1251" s="16" t="s">
        <v>22</v>
      </c>
      <c r="N1251" s="16"/>
      <c r="O1251" s="243"/>
      <c r="P1251" s="243"/>
      <c r="Q1251" s="243"/>
      <c r="R1251" s="243"/>
      <c r="S1251" s="243"/>
      <c r="T1251" s="243"/>
      <c r="U1251" s="243"/>
      <c r="V1251" s="243"/>
      <c r="W1251" s="243"/>
      <c r="X1251" s="243"/>
      <c r="Y1251" s="243"/>
      <c r="Z1251" s="243"/>
      <c r="AA1251" s="243"/>
      <c r="AB1251" s="243"/>
      <c r="AC1251" s="243"/>
      <c r="AD1251" s="243"/>
      <c r="AE1251" s="243"/>
      <c r="AF1251" s="243"/>
      <c r="AG1251" s="243"/>
      <c r="AH1251" s="243"/>
      <c r="AI1251" s="243"/>
      <c r="AJ1251" s="243"/>
      <c r="AK1251" s="243"/>
      <c r="AL1251" s="243"/>
      <c r="AM1251" s="243"/>
      <c r="AN1251" s="243"/>
      <c r="AO1251" s="243"/>
      <c r="AP1251" s="243"/>
      <c r="AQ1251" s="243"/>
      <c r="AR1251" s="243"/>
      <c r="AS1251" s="243"/>
      <c r="AT1251" s="243"/>
      <c r="AU1251" s="243"/>
      <c r="AV1251" s="243"/>
      <c r="AW1251" s="243"/>
      <c r="AX1251" s="243"/>
      <c r="AY1251" s="243"/>
      <c r="AZ1251" s="243"/>
      <c r="BA1251" s="243"/>
      <c r="BB1251" s="243"/>
      <c r="BC1251" s="243"/>
      <c r="BD1251" s="243"/>
      <c r="BE1251" s="243"/>
      <c r="BF1251" s="243"/>
      <c r="BG1251" s="243"/>
      <c r="BH1251" s="243"/>
      <c r="BI1251" s="243"/>
      <c r="BJ1251" s="243"/>
      <c r="BK1251" s="243"/>
      <c r="BL1251" s="243"/>
      <c r="BM1251" s="243"/>
      <c r="BN1251" s="243"/>
      <c r="BO1251" s="243"/>
      <c r="BP1251" s="243"/>
      <c r="BQ1251" s="243"/>
      <c r="BR1251" s="243"/>
      <c r="BS1251" s="243"/>
    </row>
    <row r="1252" spans="1:71" s="169" customFormat="1" ht="41.25" customHeight="1">
      <c r="A1252" s="178" t="s">
        <v>96</v>
      </c>
      <c r="B1252" s="381" t="str">
        <f ca="1">+UPPER(Tabla1321124[[#This Row],[DESCRIPCIÓN DE LA COMPRA O CONTRATACIÓN]])</f>
        <v>TOMAS CORRIENTE 110V</v>
      </c>
      <c r="C1252" s="39" t="s">
        <v>17</v>
      </c>
      <c r="D1252" s="378">
        <v>5</v>
      </c>
      <c r="E1252" s="369">
        <v>5</v>
      </c>
      <c r="F1252" s="369">
        <v>5</v>
      </c>
      <c r="G1252" s="369">
        <v>5</v>
      </c>
      <c r="H1252" s="354">
        <f>Tabla1321124[[#This Row],[CUARTO TRIMESTRE]]+Tabla1321124[[#This Row],[TERCER TRIMESTRE]]+Tabla1321124[[#This Row],[SEGUNDO TRIMESTRE]]+Tabla1321124[[#This Row],[PRIMER TRIMESTRE]]</f>
        <v>20</v>
      </c>
      <c r="I1252" s="17">
        <v>360</v>
      </c>
      <c r="J1252" s="17">
        <f>Tabla1321124[[#This Row],[PRECIO UNITARIO ESTIMADO]]*Tabla1321124[[#This Row],[CANTIDAD TOTAL]]</f>
        <v>7200</v>
      </c>
      <c r="K1252" s="175"/>
      <c r="L1252" s="16" t="s">
        <v>18</v>
      </c>
      <c r="M1252" s="16" t="s">
        <v>22</v>
      </c>
      <c r="N1252" s="16"/>
      <c r="O1252" s="243"/>
      <c r="P1252" s="243"/>
      <c r="Q1252" s="243"/>
      <c r="R1252" s="243"/>
      <c r="S1252" s="243"/>
      <c r="T1252" s="243"/>
      <c r="U1252" s="243"/>
      <c r="V1252" s="243"/>
      <c r="W1252" s="243"/>
      <c r="X1252" s="243"/>
      <c r="Y1252" s="243"/>
      <c r="Z1252" s="243"/>
      <c r="AA1252" s="243"/>
      <c r="AB1252" s="243"/>
      <c r="AC1252" s="243"/>
      <c r="AD1252" s="243"/>
      <c r="AE1252" s="243"/>
      <c r="AF1252" s="243"/>
      <c r="AG1252" s="243"/>
      <c r="AH1252" s="243"/>
      <c r="AI1252" s="243"/>
      <c r="AJ1252" s="243"/>
      <c r="AK1252" s="243"/>
      <c r="AL1252" s="243"/>
      <c r="AM1252" s="243"/>
      <c r="AN1252" s="243"/>
      <c r="AO1252" s="243"/>
      <c r="AP1252" s="243"/>
      <c r="AQ1252" s="243"/>
      <c r="AR1252" s="243"/>
      <c r="AS1252" s="243"/>
      <c r="AT1252" s="243"/>
      <c r="AU1252" s="243"/>
      <c r="AV1252" s="243"/>
      <c r="AW1252" s="243"/>
      <c r="AX1252" s="243"/>
      <c r="AY1252" s="243"/>
      <c r="AZ1252" s="243"/>
      <c r="BA1252" s="243"/>
      <c r="BB1252" s="243"/>
      <c r="BC1252" s="243"/>
      <c r="BD1252" s="243"/>
      <c r="BE1252" s="243"/>
      <c r="BF1252" s="243"/>
      <c r="BG1252" s="243"/>
      <c r="BH1252" s="243"/>
      <c r="BI1252" s="243"/>
      <c r="BJ1252" s="243"/>
      <c r="BK1252" s="243"/>
      <c r="BL1252" s="243"/>
      <c r="BM1252" s="243"/>
      <c r="BN1252" s="243"/>
      <c r="BO1252" s="243"/>
      <c r="BP1252" s="243"/>
      <c r="BQ1252" s="243"/>
      <c r="BR1252" s="243"/>
      <c r="BS1252" s="243"/>
    </row>
    <row r="1253" spans="1:71" s="169" customFormat="1" ht="41.25" customHeight="1">
      <c r="A1253" s="178" t="s">
        <v>96</v>
      </c>
      <c r="B1253" s="381" t="str">
        <f ca="1">+UPPER(Tabla1321124[[#This Row],[DESCRIPCIÓN DE LA COMPRA O CONTRATACIÓN]])</f>
        <v>TOMAS CORRIENTE 220V</v>
      </c>
      <c r="C1253" s="39" t="s">
        <v>17</v>
      </c>
      <c r="D1253" s="378">
        <v>3</v>
      </c>
      <c r="E1253" s="369">
        <v>3</v>
      </c>
      <c r="F1253" s="369">
        <v>2</v>
      </c>
      <c r="G1253" s="369">
        <v>2</v>
      </c>
      <c r="H1253" s="354">
        <f>Tabla1321124[[#This Row],[CUARTO TRIMESTRE]]+Tabla1321124[[#This Row],[TERCER TRIMESTRE]]+Tabla1321124[[#This Row],[SEGUNDO TRIMESTRE]]+Tabla1321124[[#This Row],[PRIMER TRIMESTRE]]</f>
        <v>10</v>
      </c>
      <c r="I1253" s="17">
        <v>360</v>
      </c>
      <c r="J1253" s="17">
        <f>Tabla1321124[[#This Row],[PRECIO UNITARIO ESTIMADO]]*Tabla1321124[[#This Row],[CANTIDAD TOTAL]]</f>
        <v>3600</v>
      </c>
      <c r="K1253" s="175"/>
      <c r="L1253" s="16" t="s">
        <v>18</v>
      </c>
      <c r="M1253" s="16" t="s">
        <v>22</v>
      </c>
      <c r="N1253" s="16"/>
      <c r="O1253" s="243"/>
      <c r="P1253" s="243"/>
      <c r="Q1253" s="243"/>
      <c r="R1253" s="243"/>
      <c r="S1253" s="243"/>
      <c r="T1253" s="243"/>
      <c r="U1253" s="243"/>
      <c r="V1253" s="243"/>
      <c r="W1253" s="243"/>
      <c r="X1253" s="243"/>
      <c r="Y1253" s="243"/>
      <c r="Z1253" s="243"/>
      <c r="AA1253" s="243"/>
      <c r="AB1253" s="243"/>
      <c r="AC1253" s="243"/>
      <c r="AD1253" s="243"/>
      <c r="AE1253" s="243"/>
      <c r="AF1253" s="243"/>
      <c r="AG1253" s="243"/>
      <c r="AH1253" s="243"/>
      <c r="AI1253" s="243"/>
      <c r="AJ1253" s="243"/>
      <c r="AK1253" s="243"/>
      <c r="AL1253" s="243"/>
      <c r="AM1253" s="243"/>
      <c r="AN1253" s="243"/>
      <c r="AO1253" s="243"/>
      <c r="AP1253" s="243"/>
      <c r="AQ1253" s="243"/>
      <c r="AR1253" s="243"/>
      <c r="AS1253" s="243"/>
      <c r="AT1253" s="243"/>
      <c r="AU1253" s="243"/>
      <c r="AV1253" s="243"/>
      <c r="AW1253" s="243"/>
      <c r="AX1253" s="243"/>
      <c r="AY1253" s="243"/>
      <c r="AZ1253" s="243"/>
      <c r="BA1253" s="243"/>
      <c r="BB1253" s="243"/>
      <c r="BC1253" s="243"/>
      <c r="BD1253" s="243"/>
      <c r="BE1253" s="243"/>
      <c r="BF1253" s="243"/>
      <c r="BG1253" s="243"/>
      <c r="BH1253" s="243"/>
      <c r="BI1253" s="243"/>
      <c r="BJ1253" s="243"/>
      <c r="BK1253" s="243"/>
      <c r="BL1253" s="243"/>
      <c r="BM1253" s="243"/>
      <c r="BN1253" s="243"/>
      <c r="BO1253" s="243"/>
      <c r="BP1253" s="243"/>
      <c r="BQ1253" s="243"/>
      <c r="BR1253" s="243"/>
      <c r="BS1253" s="243"/>
    </row>
    <row r="1254" spans="1:71" s="169" customFormat="1" ht="41.25" customHeight="1">
      <c r="A1254" s="178" t="s">
        <v>96</v>
      </c>
      <c r="B1254" s="376" t="str">
        <f ca="1">+UPPER(Tabla1321124[[#This Row],[DESCRIPCIÓN DE LA COMPRA O CONTRATACIÓN]])</f>
        <v>TUBOS FLUORECENTE 32W X 4'</v>
      </c>
      <c r="C1254" s="39" t="s">
        <v>17</v>
      </c>
      <c r="D1254" s="369">
        <v>4</v>
      </c>
      <c r="E1254" s="369">
        <v>2</v>
      </c>
      <c r="F1254" s="369">
        <v>2</v>
      </c>
      <c r="G1254" s="369">
        <v>2</v>
      </c>
      <c r="H1254" s="354">
        <f>Tabla1321124[[#This Row],[CUARTO TRIMESTRE]]+Tabla1321124[[#This Row],[TERCER TRIMESTRE]]+Tabla1321124[[#This Row],[SEGUNDO TRIMESTRE]]+Tabla1321124[[#This Row],[PRIMER TRIMESTRE]]</f>
        <v>10</v>
      </c>
      <c r="I1254" s="17">
        <v>1860</v>
      </c>
      <c r="J1254" s="17">
        <f>Tabla1321124[[#This Row],[PRECIO UNITARIO ESTIMADO]]*Tabla1321124[[#This Row],[CANTIDAD TOTAL]]</f>
        <v>18600</v>
      </c>
      <c r="K1254" s="175"/>
      <c r="L1254" s="16" t="s">
        <v>18</v>
      </c>
      <c r="M1254" s="16" t="s">
        <v>22</v>
      </c>
      <c r="N1254" s="16"/>
      <c r="O1254" s="243"/>
      <c r="P1254" s="243"/>
      <c r="Q1254" s="243"/>
      <c r="R1254" s="243"/>
      <c r="S1254" s="243"/>
      <c r="T1254" s="243"/>
      <c r="U1254" s="243"/>
      <c r="V1254" s="243"/>
      <c r="W1254" s="243"/>
      <c r="X1254" s="243"/>
      <c r="Y1254" s="243"/>
      <c r="Z1254" s="243"/>
      <c r="AA1254" s="243"/>
      <c r="AB1254" s="243"/>
      <c r="AC1254" s="243"/>
      <c r="AD1254" s="243"/>
      <c r="AE1254" s="243"/>
      <c r="AF1254" s="243"/>
      <c r="AG1254" s="243"/>
      <c r="AH1254" s="243"/>
      <c r="AI1254" s="243"/>
      <c r="AJ1254" s="243"/>
      <c r="AK1254" s="243"/>
      <c r="AL1254" s="243"/>
      <c r="AM1254" s="243"/>
      <c r="AN1254" s="243"/>
      <c r="AO1254" s="243"/>
      <c r="AP1254" s="243"/>
      <c r="AQ1254" s="243"/>
      <c r="AR1254" s="243"/>
      <c r="AS1254" s="243"/>
      <c r="AT1254" s="243"/>
      <c r="AU1254" s="243"/>
      <c r="AV1254" s="243"/>
      <c r="AW1254" s="243"/>
      <c r="AX1254" s="243"/>
      <c r="AY1254" s="243"/>
      <c r="AZ1254" s="243"/>
      <c r="BA1254" s="243"/>
      <c r="BB1254" s="243"/>
      <c r="BC1254" s="243"/>
      <c r="BD1254" s="243"/>
      <c r="BE1254" s="243"/>
      <c r="BF1254" s="243"/>
      <c r="BG1254" s="243"/>
      <c r="BH1254" s="243"/>
      <c r="BI1254" s="243"/>
      <c r="BJ1254" s="243"/>
      <c r="BK1254" s="243"/>
      <c r="BL1254" s="243"/>
      <c r="BM1254" s="243"/>
      <c r="BN1254" s="243"/>
      <c r="BO1254" s="243"/>
      <c r="BP1254" s="243"/>
      <c r="BQ1254" s="243"/>
      <c r="BR1254" s="243"/>
      <c r="BS1254" s="243"/>
    </row>
    <row r="1255" spans="1:71" s="12" customFormat="1" ht="41.25" customHeight="1">
      <c r="A1255" s="178" t="s">
        <v>96</v>
      </c>
      <c r="B1255" s="377" t="str">
        <f ca="1">+UPPER(Tabla1321124[[#This Row],[DESCRIPCIÓN DE LA COMPRA O CONTRATACIÓN]])</f>
        <v>UNIDAD DE RELAYS  TÉRMICA P/80 AMP (60-100)</v>
      </c>
      <c r="C1255" s="39" t="s">
        <v>17</v>
      </c>
      <c r="D1255" s="378">
        <v>4</v>
      </c>
      <c r="E1255" s="369">
        <v>2</v>
      </c>
      <c r="F1255" s="369">
        <v>2</v>
      </c>
      <c r="G1255" s="369">
        <v>2</v>
      </c>
      <c r="H1255" s="354">
        <f>Tabla1321124[[#This Row],[CUARTO TRIMESTRE]]+Tabla1321124[[#This Row],[TERCER TRIMESTRE]]+Tabla1321124[[#This Row],[SEGUNDO TRIMESTRE]]+Tabla1321124[[#This Row],[PRIMER TRIMESTRE]]</f>
        <v>10</v>
      </c>
      <c r="I1255" s="17">
        <v>2900</v>
      </c>
      <c r="J1255" s="17">
        <f>Tabla1321124[[#This Row],[PRECIO UNITARIO ESTIMADO]]*Tabla1321124[[#This Row],[CANTIDAD TOTAL]]</f>
        <v>29000</v>
      </c>
      <c r="K1255" s="175"/>
      <c r="L1255" s="16" t="s">
        <v>18</v>
      </c>
      <c r="M1255" s="16" t="s">
        <v>22</v>
      </c>
      <c r="N1255" s="16"/>
      <c r="O1255" s="243"/>
      <c r="P1255" s="243"/>
      <c r="Q1255" s="243"/>
      <c r="R1255" s="243"/>
      <c r="S1255" s="243"/>
      <c r="T1255" s="243"/>
      <c r="U1255" s="243"/>
      <c r="V1255" s="243"/>
      <c r="W1255" s="243"/>
      <c r="X1255" s="243"/>
      <c r="Y1255" s="243"/>
      <c r="Z1255" s="243"/>
      <c r="AA1255" s="243"/>
      <c r="AB1255" s="243"/>
      <c r="AC1255" s="243"/>
      <c r="AD1255" s="243"/>
      <c r="AE1255" s="243"/>
      <c r="AF1255" s="243"/>
      <c r="AG1255" s="243"/>
      <c r="AH1255" s="243"/>
      <c r="AI1255" s="243"/>
      <c r="AJ1255" s="243"/>
      <c r="AK1255" s="243"/>
      <c r="AL1255" s="243"/>
      <c r="AM1255" s="243"/>
      <c r="AN1255" s="243"/>
      <c r="AO1255" s="243"/>
      <c r="AP1255" s="243"/>
      <c r="AQ1255" s="243"/>
      <c r="AR1255" s="243"/>
      <c r="AS1255" s="243"/>
      <c r="AT1255" s="243"/>
      <c r="AU1255" s="243"/>
      <c r="AV1255" s="243"/>
      <c r="AW1255" s="243"/>
      <c r="AX1255" s="243"/>
      <c r="AY1255" s="243"/>
      <c r="AZ1255" s="243"/>
      <c r="BA1255" s="243"/>
      <c r="BB1255" s="243"/>
      <c r="BC1255" s="243"/>
      <c r="BD1255" s="243"/>
      <c r="BE1255" s="243"/>
      <c r="BF1255" s="243"/>
      <c r="BG1255" s="243"/>
      <c r="BH1255" s="243"/>
      <c r="BI1255" s="243"/>
      <c r="BJ1255" s="243"/>
      <c r="BK1255" s="243"/>
      <c r="BL1255" s="243"/>
      <c r="BM1255" s="243"/>
      <c r="BN1255" s="243"/>
      <c r="BO1255" s="243"/>
      <c r="BP1255" s="243"/>
      <c r="BQ1255" s="243"/>
      <c r="BR1255" s="243"/>
      <c r="BS1255" s="243"/>
    </row>
    <row r="1256" spans="1:71" s="12" customFormat="1" ht="68.25" customHeight="1">
      <c r="A1256" s="178" t="s">
        <v>96</v>
      </c>
      <c r="B1256" s="77" t="str">
        <f ca="1">+UPPER(Tabla1321124[[#This Row],[DESCRIPCIÓN DE LA COMPRA O CONTRATACIÓN]])</f>
        <v>INVERSOR TIPO 3K W UPS SESUCIDAD 100 24VDC4 KW SOBRE LOS 220V /110 CON 8 BATERIAS 6 VOL. CICLO PROFUNDO GELATINA PARA UNA TEMPERATURA DE 30C, PARA SISTEMA DE AUTORIZACION O PLC DE LAS ACTAS.</v>
      </c>
      <c r="C1256" s="39" t="s">
        <v>17</v>
      </c>
      <c r="D1256" s="363">
        <v>4</v>
      </c>
      <c r="E1256" s="363">
        <v>3</v>
      </c>
      <c r="F1256" s="363">
        <v>3</v>
      </c>
      <c r="G1256" s="363">
        <v>3</v>
      </c>
      <c r="H1256" s="354">
        <f>Tabla1321124[[#This Row],[CUARTO TRIMESTRE]]+Tabla1321124[[#This Row],[TERCER TRIMESTRE]]+Tabla1321124[[#This Row],[SEGUNDO TRIMESTRE]]+Tabla1321124[[#This Row],[PRIMER TRIMESTRE]]</f>
        <v>13</v>
      </c>
      <c r="I1256" s="17">
        <v>251461</v>
      </c>
      <c r="J1256" s="17">
        <f>Tabla1321124[[#This Row],[PRECIO UNITARIO ESTIMADO]]*Tabla1321124[[#This Row],[CANTIDAD TOTAL]]</f>
        <v>3268993</v>
      </c>
      <c r="K1256" s="175"/>
      <c r="L1256" s="16" t="s">
        <v>18</v>
      </c>
      <c r="M1256" s="16" t="s">
        <v>22</v>
      </c>
      <c r="N1256" s="16"/>
      <c r="O1256" s="243"/>
      <c r="P1256" s="243"/>
      <c r="Q1256" s="243"/>
      <c r="R1256" s="243"/>
      <c r="S1256" s="243"/>
      <c r="T1256" s="243"/>
      <c r="U1256" s="243"/>
      <c r="V1256" s="243"/>
      <c r="W1256" s="243"/>
      <c r="X1256" s="243"/>
      <c r="Y1256" s="243"/>
      <c r="Z1256" s="243"/>
      <c r="AA1256" s="243"/>
      <c r="AB1256" s="243"/>
      <c r="AC1256" s="243"/>
      <c r="AD1256" s="243"/>
      <c r="AE1256" s="243"/>
      <c r="AF1256" s="243"/>
      <c r="AG1256" s="243"/>
      <c r="AH1256" s="243"/>
      <c r="AI1256" s="243"/>
      <c r="AJ1256" s="243"/>
      <c r="AK1256" s="243"/>
      <c r="AL1256" s="243"/>
      <c r="AM1256" s="243"/>
      <c r="AN1256" s="243"/>
      <c r="AO1256" s="243"/>
      <c r="AP1256" s="243"/>
      <c r="AQ1256" s="243"/>
      <c r="AR1256" s="243"/>
      <c r="AS1256" s="243"/>
      <c r="AT1256" s="243"/>
      <c r="AU1256" s="243"/>
      <c r="AV1256" s="243"/>
      <c r="AW1256" s="243"/>
      <c r="AX1256" s="243"/>
      <c r="AY1256" s="243"/>
      <c r="AZ1256" s="243"/>
      <c r="BA1256" s="243"/>
      <c r="BB1256" s="243"/>
      <c r="BC1256" s="243"/>
      <c r="BD1256" s="243"/>
      <c r="BE1256" s="243"/>
      <c r="BF1256" s="243"/>
      <c r="BG1256" s="243"/>
      <c r="BH1256" s="243"/>
      <c r="BI1256" s="243"/>
      <c r="BJ1256" s="243"/>
      <c r="BK1256" s="243"/>
      <c r="BL1256" s="243"/>
      <c r="BM1256" s="243"/>
      <c r="BN1256" s="243"/>
      <c r="BO1256" s="243"/>
      <c r="BP1256" s="243"/>
      <c r="BQ1256" s="243"/>
      <c r="BR1256" s="243"/>
      <c r="BS1256" s="243"/>
    </row>
    <row r="1257" spans="1:71" s="12" customFormat="1" ht="41.25" customHeight="1">
      <c r="A1257" s="178" t="s">
        <v>96</v>
      </c>
      <c r="B1257" s="367" t="str">
        <f ca="1">+UPPER(Tabla1321124[[#This Row],[DESCRIPCIÓN DE LA COMPRA O CONTRATACIÓN]])</f>
        <v>TAPE 33 - SÚPER 3M - PLASTICO VINYL</v>
      </c>
      <c r="C1257" s="39" t="s">
        <v>17</v>
      </c>
      <c r="D1257" s="368">
        <v>60</v>
      </c>
      <c r="E1257" s="369">
        <v>30</v>
      </c>
      <c r="F1257" s="369">
        <v>30</v>
      </c>
      <c r="G1257" s="369">
        <v>30</v>
      </c>
      <c r="H1257" s="354">
        <f>Tabla1321124[[#This Row],[CUARTO TRIMESTRE]]+Tabla1321124[[#This Row],[TERCER TRIMESTRE]]+Tabla1321124[[#This Row],[SEGUNDO TRIMESTRE]]+Tabla1321124[[#This Row],[PRIMER TRIMESTRE]]</f>
        <v>150</v>
      </c>
      <c r="I1257" s="17">
        <v>700</v>
      </c>
      <c r="J1257" s="17">
        <f>Tabla1321124[[#This Row],[PRECIO UNITARIO ESTIMADO]]*Tabla1321124[[#This Row],[CANTIDAD TOTAL]]</f>
        <v>105000</v>
      </c>
      <c r="K1257" s="175"/>
      <c r="L1257" s="16" t="s">
        <v>18</v>
      </c>
      <c r="M1257" s="16" t="s">
        <v>22</v>
      </c>
      <c r="N1257" s="16"/>
      <c r="O1257" s="243"/>
      <c r="P1257" s="243"/>
      <c r="Q1257" s="243"/>
      <c r="R1257" s="243"/>
      <c r="S1257" s="243"/>
      <c r="T1257" s="243"/>
      <c r="U1257" s="243"/>
      <c r="V1257" s="243"/>
      <c r="W1257" s="243"/>
      <c r="X1257" s="243"/>
      <c r="Y1257" s="243"/>
      <c r="Z1257" s="243"/>
      <c r="AA1257" s="243"/>
      <c r="AB1257" s="243"/>
      <c r="AC1257" s="243"/>
      <c r="AD1257" s="243"/>
      <c r="AE1257" s="243"/>
      <c r="AF1257" s="243"/>
      <c r="AG1257" s="243"/>
      <c r="AH1257" s="243"/>
      <c r="AI1257" s="243"/>
      <c r="AJ1257" s="243"/>
      <c r="AK1257" s="243"/>
      <c r="AL1257" s="243"/>
      <c r="AM1257" s="243"/>
      <c r="AN1257" s="243"/>
      <c r="AO1257" s="243"/>
      <c r="AP1257" s="243"/>
      <c r="AQ1257" s="243"/>
      <c r="AR1257" s="243"/>
      <c r="AS1257" s="243"/>
      <c r="AT1257" s="243"/>
      <c r="AU1257" s="243"/>
      <c r="AV1257" s="243"/>
      <c r="AW1257" s="243"/>
      <c r="AX1257" s="243"/>
      <c r="AY1257" s="243"/>
      <c r="AZ1257" s="243"/>
      <c r="BA1257" s="243"/>
      <c r="BB1257" s="243"/>
      <c r="BC1257" s="243"/>
      <c r="BD1257" s="243"/>
      <c r="BE1257" s="243"/>
      <c r="BF1257" s="243"/>
      <c r="BG1257" s="243"/>
      <c r="BH1257" s="243"/>
      <c r="BI1257" s="243"/>
      <c r="BJ1257" s="243"/>
      <c r="BK1257" s="243"/>
      <c r="BL1257" s="243"/>
      <c r="BM1257" s="243"/>
      <c r="BN1257" s="243"/>
      <c r="BO1257" s="243"/>
      <c r="BP1257" s="243"/>
      <c r="BQ1257" s="243"/>
      <c r="BR1257" s="243"/>
      <c r="BS1257" s="243"/>
    </row>
    <row r="1258" spans="1:71" s="12" customFormat="1" ht="41.25" customHeight="1">
      <c r="A1258" s="178" t="s">
        <v>96</v>
      </c>
      <c r="B1258" s="367" t="str">
        <f ca="1">+UPPER(Tabla1321124[[#This Row],[DESCRIPCIÓN DE LA COMPRA O CONTRATACIÓN]])</f>
        <v>TAPE 3M - GOMA</v>
      </c>
      <c r="C1258" s="39" t="s">
        <v>17</v>
      </c>
      <c r="D1258" s="368">
        <v>60</v>
      </c>
      <c r="E1258" s="369">
        <v>30</v>
      </c>
      <c r="F1258" s="369">
        <v>30</v>
      </c>
      <c r="G1258" s="369">
        <v>30</v>
      </c>
      <c r="H1258" s="354">
        <f>Tabla1321124[[#This Row],[CUARTO TRIMESTRE]]+Tabla1321124[[#This Row],[TERCER TRIMESTRE]]+Tabla1321124[[#This Row],[SEGUNDO TRIMESTRE]]+Tabla1321124[[#This Row],[PRIMER TRIMESTRE]]</f>
        <v>150</v>
      </c>
      <c r="I1258" s="17">
        <v>800</v>
      </c>
      <c r="J1258" s="17">
        <f>Tabla1321124[[#This Row],[PRECIO UNITARIO ESTIMADO]]*Tabla1321124[[#This Row],[CANTIDAD TOTAL]]</f>
        <v>120000</v>
      </c>
      <c r="K1258" s="398"/>
      <c r="L1258" s="16" t="s">
        <v>18</v>
      </c>
      <c r="M1258" s="16" t="s">
        <v>22</v>
      </c>
      <c r="N1258" s="16"/>
      <c r="O1258" s="243"/>
      <c r="P1258" s="243"/>
      <c r="Q1258" s="243"/>
      <c r="R1258" s="243"/>
      <c r="S1258" s="243"/>
      <c r="T1258" s="243"/>
      <c r="U1258" s="243"/>
      <c r="V1258" s="243"/>
      <c r="W1258" s="243"/>
      <c r="X1258" s="243"/>
      <c r="Y1258" s="243"/>
      <c r="Z1258" s="243"/>
      <c r="AA1258" s="243"/>
      <c r="AB1258" s="243"/>
      <c r="AC1258" s="243"/>
      <c r="AD1258" s="243"/>
      <c r="AE1258" s="243"/>
      <c r="AF1258" s="243"/>
      <c r="AG1258" s="243"/>
      <c r="AH1258" s="243"/>
      <c r="AI1258" s="243"/>
      <c r="AJ1258" s="243"/>
      <c r="AK1258" s="243"/>
      <c r="AL1258" s="243"/>
      <c r="AM1258" s="243"/>
      <c r="AN1258" s="243"/>
      <c r="AO1258" s="243"/>
      <c r="AP1258" s="243"/>
      <c r="AQ1258" s="243"/>
      <c r="AR1258" s="243"/>
      <c r="AS1258" s="243"/>
      <c r="AT1258" s="243"/>
      <c r="AU1258" s="243"/>
      <c r="AV1258" s="243"/>
      <c r="AW1258" s="243"/>
      <c r="AX1258" s="243"/>
      <c r="AY1258" s="243"/>
      <c r="AZ1258" s="243"/>
      <c r="BA1258" s="243"/>
      <c r="BB1258" s="243"/>
      <c r="BC1258" s="243"/>
      <c r="BD1258" s="243"/>
      <c r="BE1258" s="243"/>
      <c r="BF1258" s="243"/>
      <c r="BG1258" s="243"/>
      <c r="BH1258" s="243"/>
      <c r="BI1258" s="243"/>
      <c r="BJ1258" s="243"/>
      <c r="BK1258" s="243"/>
      <c r="BL1258" s="243"/>
      <c r="BM1258" s="243"/>
      <c r="BN1258" s="243"/>
      <c r="BO1258" s="243"/>
      <c r="BP1258" s="243"/>
      <c r="BQ1258" s="243"/>
      <c r="BR1258" s="243"/>
      <c r="BS1258" s="243"/>
    </row>
    <row r="1259" spans="1:71" s="12" customFormat="1" ht="41.25" customHeight="1">
      <c r="A1259" s="537" t="s">
        <v>96</v>
      </c>
      <c r="B1259" s="76" t="str">
        <f ca="1">+UPPER(Tabla1321124[[#This Row],[DESCRIPCIÓN DE LA COMPRA O CONTRATACIÓN]])</f>
        <v/>
      </c>
      <c r="C1259" s="237"/>
      <c r="D1259" s="237"/>
      <c r="E1259" s="237"/>
      <c r="F1259" s="237"/>
      <c r="G1259" s="237"/>
      <c r="H1259" s="238"/>
      <c r="I1259" s="238"/>
      <c r="J1259" s="24"/>
      <c r="K1259" s="25">
        <f>SUM(J967:J1258)</f>
        <v>608847708.8599999</v>
      </c>
      <c r="L1259" s="383"/>
      <c r="M1259" s="383"/>
      <c r="N1259" s="383"/>
      <c r="O1259" s="243"/>
      <c r="P1259" s="243"/>
      <c r="Q1259" s="243"/>
      <c r="R1259" s="243"/>
      <c r="S1259" s="243"/>
      <c r="T1259" s="243"/>
      <c r="U1259" s="243"/>
      <c r="V1259" s="243"/>
      <c r="W1259" s="243"/>
      <c r="X1259" s="243"/>
      <c r="Y1259" s="243"/>
      <c r="Z1259" s="243"/>
      <c r="AA1259" s="243"/>
      <c r="AB1259" s="243"/>
      <c r="AC1259" s="243"/>
      <c r="AD1259" s="243"/>
      <c r="AE1259" s="243"/>
      <c r="AF1259" s="243"/>
      <c r="AG1259" s="243"/>
      <c r="AH1259" s="243"/>
      <c r="AI1259" s="243"/>
      <c r="AJ1259" s="243"/>
      <c r="AK1259" s="243"/>
      <c r="AL1259" s="243"/>
      <c r="AM1259" s="243"/>
      <c r="AN1259" s="243"/>
      <c r="AO1259" s="243"/>
      <c r="AP1259" s="243"/>
      <c r="AQ1259" s="243"/>
      <c r="AR1259" s="243"/>
      <c r="AS1259" s="243"/>
      <c r="AT1259" s="243"/>
      <c r="AU1259" s="243"/>
      <c r="AV1259" s="243"/>
      <c r="AW1259" s="243"/>
      <c r="AX1259" s="243"/>
      <c r="AY1259" s="243"/>
      <c r="AZ1259" s="243"/>
      <c r="BA1259" s="243"/>
      <c r="BB1259" s="243"/>
      <c r="BC1259" s="243"/>
      <c r="BD1259" s="243"/>
      <c r="BE1259" s="243"/>
      <c r="BF1259" s="243"/>
      <c r="BG1259" s="243"/>
      <c r="BH1259" s="243"/>
      <c r="BI1259" s="243"/>
      <c r="BJ1259" s="243"/>
      <c r="BK1259" s="243"/>
      <c r="BL1259" s="243"/>
      <c r="BM1259" s="243"/>
      <c r="BN1259" s="243"/>
      <c r="BO1259" s="243"/>
      <c r="BP1259" s="243"/>
      <c r="BQ1259" s="243"/>
      <c r="BR1259" s="243"/>
      <c r="BS1259" s="243"/>
    </row>
    <row r="1260" spans="1:71" s="12" customFormat="1" ht="41.25" customHeight="1">
      <c r="A1260" s="178" t="s">
        <v>97</v>
      </c>
      <c r="B1260" s="75" t="str">
        <f ca="1">+UPPER(Tabla1321124[[#This Row],[DESCRIPCIÓN DE LA COMPRA O CONTRATACIÓN]])</f>
        <v>CABEZAL DE DESCARGA TIPO CUELLO DE GANZO Ø6''</v>
      </c>
      <c r="C1260" s="39" t="s">
        <v>17</v>
      </c>
      <c r="D1260" s="354">
        <f>5+1+1</f>
        <v>7</v>
      </c>
      <c r="E1260" s="354">
        <v>5</v>
      </c>
      <c r="F1260" s="354">
        <f>5+1</f>
        <v>6</v>
      </c>
      <c r="G1260" s="354">
        <v>5</v>
      </c>
      <c r="H1260" s="354">
        <f>Tabla1321124[[#This Row],[CUARTO TRIMESTRE]]+Tabla1321124[[#This Row],[TERCER TRIMESTRE]]+Tabla1321124[[#This Row],[SEGUNDO TRIMESTRE]]+Tabla1321124[[#This Row],[PRIMER TRIMESTRE]]</f>
        <v>23</v>
      </c>
      <c r="I1260" s="17">
        <v>320</v>
      </c>
      <c r="J1260" s="17">
        <f>Tabla1321124[[#This Row],[PRECIO UNITARIO ESTIMADO]]*Tabla1321124[[#This Row],[CANTIDAD TOTAL]]</f>
        <v>7360</v>
      </c>
      <c r="K1260" s="286"/>
      <c r="L1260" s="16" t="s">
        <v>18</v>
      </c>
      <c r="M1260" s="16" t="s">
        <v>22</v>
      </c>
      <c r="N1260" s="16"/>
      <c r="O1260" s="243"/>
      <c r="P1260" s="243"/>
      <c r="Q1260" s="243"/>
      <c r="R1260" s="243"/>
      <c r="S1260" s="243"/>
      <c r="T1260" s="243"/>
      <c r="U1260" s="243"/>
      <c r="V1260" s="243"/>
      <c r="W1260" s="243"/>
      <c r="X1260" s="243"/>
      <c r="Y1260" s="243"/>
      <c r="Z1260" s="243"/>
      <c r="AA1260" s="243"/>
      <c r="AB1260" s="243"/>
      <c r="AC1260" s="243"/>
      <c r="AD1260" s="243"/>
      <c r="AE1260" s="243"/>
      <c r="AF1260" s="243"/>
      <c r="AG1260" s="243"/>
      <c r="AH1260" s="243"/>
      <c r="AI1260" s="243"/>
      <c r="AJ1260" s="243"/>
      <c r="AK1260" s="243"/>
      <c r="AL1260" s="243"/>
      <c r="AM1260" s="243"/>
      <c r="AN1260" s="243"/>
      <c r="AO1260" s="243"/>
      <c r="AP1260" s="243"/>
      <c r="AQ1260" s="243"/>
      <c r="AR1260" s="243"/>
      <c r="AS1260" s="243"/>
      <c r="AT1260" s="243"/>
      <c r="AU1260" s="243"/>
      <c r="AV1260" s="243"/>
      <c r="AW1260" s="243"/>
      <c r="AX1260" s="243"/>
      <c r="AY1260" s="243"/>
      <c r="AZ1260" s="243"/>
      <c r="BA1260" s="243"/>
      <c r="BB1260" s="243"/>
      <c r="BC1260" s="243"/>
      <c r="BD1260" s="243"/>
      <c r="BE1260" s="243"/>
      <c r="BF1260" s="243"/>
      <c r="BG1260" s="243"/>
      <c r="BH1260" s="243"/>
      <c r="BI1260" s="243"/>
      <c r="BJ1260" s="243"/>
      <c r="BK1260" s="243"/>
      <c r="BL1260" s="243"/>
      <c r="BM1260" s="243"/>
      <c r="BN1260" s="243"/>
      <c r="BO1260" s="243"/>
      <c r="BP1260" s="243"/>
      <c r="BQ1260" s="243"/>
      <c r="BR1260" s="243"/>
      <c r="BS1260" s="243"/>
    </row>
    <row r="1261" spans="1:71" s="12" customFormat="1" ht="41.25" customHeight="1">
      <c r="A1261" s="178" t="s">
        <v>97</v>
      </c>
      <c r="B1261" s="75" t="str">
        <f ca="1">+UPPER(Tabla1321124[[#This Row],[DESCRIPCIÓN DE LA COMPRA O CONTRATACIÓN]])</f>
        <v>CABEZAL TIPO CUELLO DE GANSO Ø4'', LISO EN SALIDA ROSCADA EN LA ENTRADA</v>
      </c>
      <c r="C1261" s="39" t="s">
        <v>17</v>
      </c>
      <c r="D1261" s="236">
        <v>5</v>
      </c>
      <c r="E1261" s="236">
        <v>5</v>
      </c>
      <c r="F1261" s="236">
        <v>5</v>
      </c>
      <c r="G1261" s="236">
        <v>5</v>
      </c>
      <c r="H1261" s="354">
        <f>Tabla1321124[[#This Row],[CUARTO TRIMESTRE]]+Tabla1321124[[#This Row],[TERCER TRIMESTRE]]+Tabla1321124[[#This Row],[SEGUNDO TRIMESTRE]]+Tabla1321124[[#This Row],[PRIMER TRIMESTRE]]</f>
        <v>20</v>
      </c>
      <c r="I1261" s="17">
        <v>465</v>
      </c>
      <c r="J1261" s="17">
        <f>Tabla1321124[[#This Row],[PRECIO UNITARIO ESTIMADO]]*Tabla1321124[[#This Row],[CANTIDAD TOTAL]]</f>
        <v>9300</v>
      </c>
      <c r="K1261" s="17"/>
      <c r="L1261" s="16" t="s">
        <v>18</v>
      </c>
      <c r="M1261" s="16" t="s">
        <v>22</v>
      </c>
      <c r="N1261" s="16"/>
      <c r="O1261" s="243"/>
      <c r="P1261" s="243"/>
      <c r="Q1261" s="243"/>
      <c r="R1261" s="243"/>
      <c r="S1261" s="243"/>
      <c r="T1261" s="243"/>
      <c r="U1261" s="243"/>
      <c r="V1261" s="243"/>
      <c r="W1261" s="243"/>
      <c r="X1261" s="243"/>
      <c r="Y1261" s="243"/>
      <c r="Z1261" s="243"/>
      <c r="AA1261" s="243"/>
      <c r="AB1261" s="243"/>
      <c r="AC1261" s="243"/>
      <c r="AD1261" s="243"/>
      <c r="AE1261" s="243"/>
      <c r="AF1261" s="243"/>
      <c r="AG1261" s="243"/>
      <c r="AH1261" s="243"/>
      <c r="AI1261" s="243"/>
      <c r="AJ1261" s="243"/>
      <c r="AK1261" s="243"/>
      <c r="AL1261" s="243"/>
      <c r="AM1261" s="243"/>
      <c r="AN1261" s="243"/>
      <c r="AO1261" s="243"/>
      <c r="AP1261" s="243"/>
      <c r="AQ1261" s="243"/>
      <c r="AR1261" s="243"/>
      <c r="AS1261" s="243"/>
      <c r="AT1261" s="243"/>
      <c r="AU1261" s="243"/>
      <c r="AV1261" s="243"/>
      <c r="AW1261" s="243"/>
      <c r="AX1261" s="243"/>
      <c r="AY1261" s="243"/>
      <c r="AZ1261" s="243"/>
      <c r="BA1261" s="243"/>
      <c r="BB1261" s="243"/>
      <c r="BC1261" s="243"/>
      <c r="BD1261" s="243"/>
      <c r="BE1261" s="243"/>
      <c r="BF1261" s="243"/>
      <c r="BG1261" s="243"/>
      <c r="BH1261" s="243"/>
      <c r="BI1261" s="243"/>
      <c r="BJ1261" s="243"/>
      <c r="BK1261" s="243"/>
      <c r="BL1261" s="243"/>
      <c r="BM1261" s="243"/>
      <c r="BN1261" s="243"/>
      <c r="BO1261" s="243"/>
      <c r="BP1261" s="243"/>
      <c r="BQ1261" s="243"/>
      <c r="BR1261" s="243"/>
      <c r="BS1261" s="243"/>
    </row>
    <row r="1262" spans="1:71" s="12" customFormat="1" ht="41.25" customHeight="1">
      <c r="A1262" s="178" t="s">
        <v>97</v>
      </c>
      <c r="B1262" s="75" t="str">
        <f ca="1">+UPPER(Tabla1321124[[#This Row],[DESCRIPCIÓN DE LA COMPRA O CONTRATACIÓN]])</f>
        <v>BARRAS ROSCADAS 3/8 PARA BOMBA</v>
      </c>
      <c r="C1262" s="39" t="s">
        <v>17</v>
      </c>
      <c r="D1262" s="236">
        <v>10</v>
      </c>
      <c r="E1262" s="236">
        <f>50+40+10</f>
        <v>100</v>
      </c>
      <c r="F1262" s="236">
        <f>25+10</f>
        <v>35</v>
      </c>
      <c r="G1262" s="236">
        <f>25+40+10</f>
        <v>75</v>
      </c>
      <c r="H1262" s="354">
        <f>Tabla1321124[[#This Row],[CUARTO TRIMESTRE]]+Tabla1321124[[#This Row],[TERCER TRIMESTRE]]+Tabla1321124[[#This Row],[SEGUNDO TRIMESTRE]]+Tabla1321124[[#This Row],[PRIMER TRIMESTRE]]</f>
        <v>220</v>
      </c>
      <c r="I1262" s="17">
        <v>110.2</v>
      </c>
      <c r="J1262" s="17">
        <f>Tabla1321124[[#This Row],[PRECIO UNITARIO ESTIMADO]]*Tabla1321124[[#This Row],[CANTIDAD TOTAL]]</f>
        <v>24244</v>
      </c>
      <c r="K1262" s="17"/>
      <c r="L1262" s="16" t="s">
        <v>18</v>
      </c>
      <c r="M1262" s="16" t="s">
        <v>22</v>
      </c>
      <c r="N1262" s="16"/>
      <c r="O1262" s="243"/>
      <c r="P1262" s="243"/>
      <c r="Q1262" s="243"/>
      <c r="R1262" s="243"/>
      <c r="S1262" s="243"/>
      <c r="T1262" s="243"/>
      <c r="U1262" s="243"/>
      <c r="V1262" s="243"/>
      <c r="W1262" s="243"/>
      <c r="X1262" s="243"/>
      <c r="Y1262" s="243"/>
      <c r="Z1262" s="243"/>
      <c r="AA1262" s="243"/>
      <c r="AB1262" s="243"/>
      <c r="AC1262" s="243"/>
      <c r="AD1262" s="243"/>
      <c r="AE1262" s="243"/>
      <c r="AF1262" s="243"/>
      <c r="AG1262" s="243"/>
      <c r="AH1262" s="243"/>
      <c r="AI1262" s="243"/>
      <c r="AJ1262" s="243"/>
      <c r="AK1262" s="243"/>
      <c r="AL1262" s="243"/>
      <c r="AM1262" s="243"/>
      <c r="AN1262" s="243"/>
      <c r="AO1262" s="243"/>
      <c r="AP1262" s="243"/>
      <c r="AQ1262" s="243"/>
      <c r="AR1262" s="243"/>
      <c r="AS1262" s="243"/>
      <c r="AT1262" s="243"/>
      <c r="AU1262" s="243"/>
      <c r="AV1262" s="243"/>
      <c r="AW1262" s="243"/>
      <c r="AX1262" s="243"/>
      <c r="AY1262" s="243"/>
      <c r="AZ1262" s="243"/>
      <c r="BA1262" s="243"/>
      <c r="BB1262" s="243"/>
      <c r="BC1262" s="243"/>
      <c r="BD1262" s="243"/>
      <c r="BE1262" s="243"/>
      <c r="BF1262" s="243"/>
      <c r="BG1262" s="243"/>
      <c r="BH1262" s="243"/>
      <c r="BI1262" s="243"/>
      <c r="BJ1262" s="243"/>
      <c r="BK1262" s="243"/>
      <c r="BL1262" s="243"/>
      <c r="BM1262" s="243"/>
      <c r="BN1262" s="243"/>
      <c r="BO1262" s="243"/>
      <c r="BP1262" s="243"/>
      <c r="BQ1262" s="243"/>
      <c r="BR1262" s="243"/>
      <c r="BS1262" s="243"/>
    </row>
    <row r="1263" spans="1:71" s="169" customFormat="1" ht="41.25" customHeight="1">
      <c r="A1263" s="178" t="s">
        <v>97</v>
      </c>
      <c r="B1263" s="75" t="str">
        <f ca="1">+UPPER(Tabla1321124[[#This Row],[DESCRIPCIÓN DE LA COMPRA O CONTRATACIÓN]])</f>
        <v xml:space="preserve">BARRAS ROSCADAS 1/2 </v>
      </c>
      <c r="C1263" s="39" t="s">
        <v>17</v>
      </c>
      <c r="D1263" s="236">
        <v>35</v>
      </c>
      <c r="E1263" s="236">
        <f>30+100</f>
        <v>130</v>
      </c>
      <c r="F1263" s="236">
        <v>45</v>
      </c>
      <c r="G1263" s="236">
        <f>45+100</f>
        <v>145</v>
      </c>
      <c r="H1263" s="354">
        <f>Tabla1321124[[#This Row],[CUARTO TRIMESTRE]]+Tabla1321124[[#This Row],[TERCER TRIMESTRE]]+Tabla1321124[[#This Row],[SEGUNDO TRIMESTRE]]+Tabla1321124[[#This Row],[PRIMER TRIMESTRE]]</f>
        <v>355</v>
      </c>
      <c r="I1263" s="17">
        <v>156.5</v>
      </c>
      <c r="J1263" s="17">
        <f>Tabla1321124[[#This Row],[PRECIO UNITARIO ESTIMADO]]*Tabla1321124[[#This Row],[CANTIDAD TOTAL]]</f>
        <v>55557.5</v>
      </c>
      <c r="K1263" s="17"/>
      <c r="L1263" s="16" t="s">
        <v>18</v>
      </c>
      <c r="M1263" s="16" t="s">
        <v>22</v>
      </c>
      <c r="N1263" s="16"/>
      <c r="O1263" s="243"/>
      <c r="P1263" s="243"/>
      <c r="Q1263" s="243"/>
      <c r="R1263" s="243"/>
      <c r="S1263" s="243"/>
      <c r="T1263" s="243"/>
      <c r="U1263" s="243"/>
      <c r="V1263" s="243"/>
      <c r="W1263" s="243"/>
      <c r="X1263" s="243"/>
      <c r="Y1263" s="243"/>
      <c r="Z1263" s="243"/>
      <c r="AA1263" s="243"/>
      <c r="AB1263" s="243"/>
      <c r="AC1263" s="243"/>
      <c r="AD1263" s="243"/>
      <c r="AE1263" s="243"/>
      <c r="AF1263" s="243"/>
      <c r="AG1263" s="243"/>
      <c r="AH1263" s="243"/>
      <c r="AI1263" s="243"/>
      <c r="AJ1263" s="243"/>
      <c r="AK1263" s="243"/>
      <c r="AL1263" s="243"/>
      <c r="AM1263" s="243"/>
      <c r="AN1263" s="243"/>
      <c r="AO1263" s="243"/>
      <c r="AP1263" s="243"/>
      <c r="AQ1263" s="243"/>
      <c r="AR1263" s="243"/>
      <c r="AS1263" s="243"/>
      <c r="AT1263" s="243"/>
      <c r="AU1263" s="243"/>
      <c r="AV1263" s="243"/>
      <c r="AW1263" s="243"/>
      <c r="AX1263" s="243"/>
      <c r="AY1263" s="243"/>
      <c r="AZ1263" s="243"/>
      <c r="BA1263" s="243"/>
      <c r="BB1263" s="243"/>
      <c r="BC1263" s="243"/>
      <c r="BD1263" s="243"/>
      <c r="BE1263" s="243"/>
      <c r="BF1263" s="243"/>
      <c r="BG1263" s="243"/>
      <c r="BH1263" s="243"/>
      <c r="BI1263" s="243"/>
      <c r="BJ1263" s="243"/>
      <c r="BK1263" s="243"/>
      <c r="BL1263" s="243"/>
      <c r="BM1263" s="243"/>
      <c r="BN1263" s="243"/>
      <c r="BO1263" s="243"/>
      <c r="BP1263" s="243"/>
      <c r="BQ1263" s="243"/>
      <c r="BR1263" s="243"/>
      <c r="BS1263" s="243"/>
    </row>
    <row r="1264" spans="1:71" s="169" customFormat="1" ht="41.25" customHeight="1">
      <c r="A1264" s="178" t="s">
        <v>97</v>
      </c>
      <c r="B1264" s="75" t="str">
        <f ca="1">+UPPER(Tabla1321124[[#This Row],[DESCRIPCIÓN DE LA COMPRA O CONTRATACIÓN]])</f>
        <v>BARRAS ROSCADAS 3/4</v>
      </c>
      <c r="C1264" s="39" t="s">
        <v>17</v>
      </c>
      <c r="D1264" s="236">
        <v>30</v>
      </c>
      <c r="E1264" s="236">
        <v>30</v>
      </c>
      <c r="F1264" s="236">
        <v>45</v>
      </c>
      <c r="G1264" s="236">
        <v>45</v>
      </c>
      <c r="H1264" s="354">
        <f>Tabla1321124[[#This Row],[CUARTO TRIMESTRE]]+Tabla1321124[[#This Row],[TERCER TRIMESTRE]]+Tabla1321124[[#This Row],[SEGUNDO TRIMESTRE]]+Tabla1321124[[#This Row],[PRIMER TRIMESTRE]]</f>
        <v>150</v>
      </c>
      <c r="I1264" s="17">
        <v>156.5</v>
      </c>
      <c r="J1264" s="17">
        <f>Tabla1321124[[#This Row],[PRECIO UNITARIO ESTIMADO]]*Tabla1321124[[#This Row],[CANTIDAD TOTAL]]</f>
        <v>23475</v>
      </c>
      <c r="K1264" s="17"/>
      <c r="L1264" s="16" t="s">
        <v>18</v>
      </c>
      <c r="M1264" s="16" t="s">
        <v>22</v>
      </c>
      <c r="N1264" s="16"/>
      <c r="O1264" s="243"/>
      <c r="P1264" s="243"/>
      <c r="Q1264" s="243"/>
      <c r="R1264" s="243"/>
      <c r="S1264" s="243"/>
      <c r="T1264" s="243"/>
      <c r="U1264" s="243"/>
      <c r="V1264" s="243"/>
      <c r="W1264" s="243"/>
      <c r="X1264" s="243"/>
      <c r="Y1264" s="243"/>
      <c r="Z1264" s="243"/>
      <c r="AA1264" s="243"/>
      <c r="AB1264" s="243"/>
      <c r="AC1264" s="243"/>
      <c r="AD1264" s="243"/>
      <c r="AE1264" s="243"/>
      <c r="AF1264" s="243"/>
      <c r="AG1264" s="243"/>
      <c r="AH1264" s="243"/>
      <c r="AI1264" s="243"/>
      <c r="AJ1264" s="243"/>
      <c r="AK1264" s="243"/>
      <c r="AL1264" s="243"/>
      <c r="AM1264" s="243"/>
      <c r="AN1264" s="243"/>
      <c r="AO1264" s="243"/>
      <c r="AP1264" s="243"/>
      <c r="AQ1264" s="243"/>
      <c r="AR1264" s="243"/>
      <c r="AS1264" s="243"/>
      <c r="AT1264" s="243"/>
      <c r="AU1264" s="243"/>
      <c r="AV1264" s="243"/>
      <c r="AW1264" s="243"/>
      <c r="AX1264" s="243"/>
      <c r="AY1264" s="243"/>
      <c r="AZ1264" s="243"/>
      <c r="BA1264" s="243"/>
      <c r="BB1264" s="243"/>
      <c r="BC1264" s="243"/>
      <c r="BD1264" s="243"/>
      <c r="BE1264" s="243"/>
      <c r="BF1264" s="243"/>
      <c r="BG1264" s="243"/>
      <c r="BH1264" s="243"/>
      <c r="BI1264" s="243"/>
      <c r="BJ1264" s="243"/>
      <c r="BK1264" s="243"/>
      <c r="BL1264" s="243"/>
      <c r="BM1264" s="243"/>
      <c r="BN1264" s="243"/>
      <c r="BO1264" s="243"/>
      <c r="BP1264" s="243"/>
      <c r="BQ1264" s="243"/>
      <c r="BR1264" s="243"/>
      <c r="BS1264" s="243"/>
    </row>
    <row r="1265" spans="1:71" s="169" customFormat="1" ht="41.25" customHeight="1">
      <c r="A1265" s="178" t="s">
        <v>97</v>
      </c>
      <c r="B1265" s="75" t="str">
        <f ca="1">+UPPER(Tabla1321124[[#This Row],[DESCRIPCIÓN DE LA COMPRA O CONTRATACIÓN]])</f>
        <v>BARRAS ROSCADAS 5/8</v>
      </c>
      <c r="C1265" s="39" t="s">
        <v>17</v>
      </c>
      <c r="D1265" s="236">
        <v>10</v>
      </c>
      <c r="E1265" s="236">
        <v>30</v>
      </c>
      <c r="F1265" s="236">
        <v>45</v>
      </c>
      <c r="G1265" s="236">
        <v>45</v>
      </c>
      <c r="H1265" s="354">
        <f>Tabla1321124[[#This Row],[CUARTO TRIMESTRE]]+Tabla1321124[[#This Row],[TERCER TRIMESTRE]]+Tabla1321124[[#This Row],[SEGUNDO TRIMESTRE]]+Tabla1321124[[#This Row],[PRIMER TRIMESTRE]]</f>
        <v>130</v>
      </c>
      <c r="I1265" s="17">
        <v>387.04</v>
      </c>
      <c r="J1265" s="17">
        <f>Tabla1321124[[#This Row],[PRECIO UNITARIO ESTIMADO]]*Tabla1321124[[#This Row],[CANTIDAD TOTAL]]</f>
        <v>50315.200000000004</v>
      </c>
      <c r="K1265" s="17"/>
      <c r="L1265" s="16" t="s">
        <v>18</v>
      </c>
      <c r="M1265" s="16" t="s">
        <v>22</v>
      </c>
      <c r="N1265" s="16"/>
      <c r="O1265" s="243"/>
      <c r="P1265" s="243"/>
      <c r="Q1265" s="243"/>
      <c r="R1265" s="243"/>
      <c r="S1265" s="243"/>
      <c r="T1265" s="243"/>
      <c r="U1265" s="243"/>
      <c r="V1265" s="243"/>
      <c r="W1265" s="243"/>
      <c r="X1265" s="243"/>
      <c r="Y1265" s="243"/>
      <c r="Z1265" s="243"/>
      <c r="AA1265" s="243"/>
      <c r="AB1265" s="243"/>
      <c r="AC1265" s="243"/>
      <c r="AD1265" s="243"/>
      <c r="AE1265" s="243"/>
      <c r="AF1265" s="243"/>
      <c r="AG1265" s="243"/>
      <c r="AH1265" s="243"/>
      <c r="AI1265" s="243"/>
      <c r="AJ1265" s="243"/>
      <c r="AK1265" s="243"/>
      <c r="AL1265" s="243"/>
      <c r="AM1265" s="243"/>
      <c r="AN1265" s="243"/>
      <c r="AO1265" s="243"/>
      <c r="AP1265" s="243"/>
      <c r="AQ1265" s="243"/>
      <c r="AR1265" s="243"/>
      <c r="AS1265" s="243"/>
      <c r="AT1265" s="243"/>
      <c r="AU1265" s="243"/>
      <c r="AV1265" s="243"/>
      <c r="AW1265" s="243"/>
      <c r="AX1265" s="243"/>
      <c r="AY1265" s="243"/>
      <c r="AZ1265" s="243"/>
      <c r="BA1265" s="243"/>
      <c r="BB1265" s="243"/>
      <c r="BC1265" s="243"/>
      <c r="BD1265" s="243"/>
      <c r="BE1265" s="243"/>
      <c r="BF1265" s="243"/>
      <c r="BG1265" s="243"/>
      <c r="BH1265" s="243"/>
      <c r="BI1265" s="243"/>
      <c r="BJ1265" s="243"/>
      <c r="BK1265" s="243"/>
      <c r="BL1265" s="243"/>
      <c r="BM1265" s="243"/>
      <c r="BN1265" s="243"/>
      <c r="BO1265" s="243"/>
      <c r="BP1265" s="243"/>
      <c r="BQ1265" s="243"/>
      <c r="BR1265" s="243"/>
      <c r="BS1265" s="243"/>
    </row>
    <row r="1266" spans="1:71" s="169" customFormat="1" ht="41.25" customHeight="1">
      <c r="A1266" s="178" t="s">
        <v>97</v>
      </c>
      <c r="B1266" s="300" t="str">
        <f ca="1">+UPPER(Tabla1321124[[#This Row],[DESCRIPCIÓN DE LA COMPRA O CONTRATACIÓN]])</f>
        <v>PERCHA DE TRES BOLAS CON SUS AISLADORES</v>
      </c>
      <c r="C1266" s="39" t="s">
        <v>17</v>
      </c>
      <c r="D1266" s="236"/>
      <c r="E1266" s="236"/>
      <c r="F1266" s="236"/>
      <c r="G1266" s="236"/>
      <c r="H1266" s="354">
        <f>Tabla1321124[[#This Row],[CUARTO TRIMESTRE]]+Tabla1321124[[#This Row],[TERCER TRIMESTRE]]+Tabla1321124[[#This Row],[SEGUNDO TRIMESTRE]]+Tabla1321124[[#This Row],[PRIMER TRIMESTRE]]</f>
        <v>0</v>
      </c>
      <c r="I1266" s="17">
        <v>8900</v>
      </c>
      <c r="J1266" s="17">
        <f>Tabla1321124[[#This Row],[PRECIO UNITARIO ESTIMADO]]*Tabla1321124[[#This Row],[CANTIDAD TOTAL]]</f>
        <v>0</v>
      </c>
      <c r="K1266" s="302"/>
      <c r="L1266" s="16" t="s">
        <v>18</v>
      </c>
      <c r="M1266" s="16" t="s">
        <v>22</v>
      </c>
      <c r="N1266" s="16"/>
      <c r="O1266" s="243"/>
      <c r="P1266" s="243"/>
      <c r="Q1266" s="243"/>
      <c r="R1266" s="243"/>
      <c r="S1266" s="243"/>
      <c r="T1266" s="243"/>
      <c r="U1266" s="243"/>
      <c r="V1266" s="243"/>
      <c r="W1266" s="243"/>
      <c r="X1266" s="243"/>
      <c r="Y1266" s="243"/>
      <c r="Z1266" s="243"/>
      <c r="AA1266" s="243"/>
      <c r="AB1266" s="243"/>
      <c r="AC1266" s="243"/>
      <c r="AD1266" s="243"/>
      <c r="AE1266" s="243"/>
      <c r="AF1266" s="243"/>
      <c r="AG1266" s="243"/>
      <c r="AH1266" s="243"/>
      <c r="AI1266" s="243"/>
      <c r="AJ1266" s="243"/>
      <c r="AK1266" s="243"/>
      <c r="AL1266" s="243"/>
      <c r="AM1266" s="243"/>
      <c r="AN1266" s="243"/>
      <c r="AO1266" s="243"/>
      <c r="AP1266" s="243"/>
      <c r="AQ1266" s="243"/>
      <c r="AR1266" s="243"/>
      <c r="AS1266" s="243"/>
      <c r="AT1266" s="243"/>
      <c r="AU1266" s="243"/>
      <c r="AV1266" s="243"/>
      <c r="AW1266" s="243"/>
      <c r="AX1266" s="243"/>
      <c r="AY1266" s="243"/>
      <c r="AZ1266" s="243"/>
      <c r="BA1266" s="243"/>
      <c r="BB1266" s="243"/>
      <c r="BC1266" s="243"/>
      <c r="BD1266" s="243"/>
      <c r="BE1266" s="243"/>
      <c r="BF1266" s="243"/>
      <c r="BG1266" s="243"/>
      <c r="BH1266" s="243"/>
      <c r="BI1266" s="243"/>
      <c r="BJ1266" s="243"/>
      <c r="BK1266" s="243"/>
      <c r="BL1266" s="243"/>
      <c r="BM1266" s="243"/>
      <c r="BN1266" s="243"/>
      <c r="BO1266" s="243"/>
      <c r="BP1266" s="243"/>
      <c r="BQ1266" s="243"/>
      <c r="BR1266" s="243"/>
      <c r="BS1266" s="243"/>
    </row>
    <row r="1267" spans="1:71" s="169" customFormat="1" ht="41.25" customHeight="1">
      <c r="A1267" s="178" t="s">
        <v>97</v>
      </c>
      <c r="B1267" s="75" t="str">
        <f ca="1">+UPPER(Tabla1321124[[#This Row],[DESCRIPCIÓN DE LA COMPRA O CONTRATACIÓN]])</f>
        <v>BOMBA DE ACHIQUE Ø2" CON SUS ACCESORIOS</v>
      </c>
      <c r="C1267" s="39" t="s">
        <v>17</v>
      </c>
      <c r="D1267" s="236">
        <v>2</v>
      </c>
      <c r="E1267" s="236"/>
      <c r="F1267" s="236"/>
      <c r="G1267" s="236"/>
      <c r="H1267" s="354">
        <f>Tabla1321124[[#This Row],[CUARTO TRIMESTRE]]+Tabla1321124[[#This Row],[TERCER TRIMESTRE]]+Tabla1321124[[#This Row],[SEGUNDO TRIMESTRE]]+Tabla1321124[[#This Row],[PRIMER TRIMESTRE]]</f>
        <v>2</v>
      </c>
      <c r="I1267" s="17">
        <v>35000</v>
      </c>
      <c r="J1267" s="17">
        <f>Tabla1321124[[#This Row],[PRECIO UNITARIO ESTIMADO]]*Tabla1321124[[#This Row],[CANTIDAD TOTAL]]</f>
        <v>70000</v>
      </c>
      <c r="K1267" s="17"/>
      <c r="L1267" s="16" t="s">
        <v>18</v>
      </c>
      <c r="M1267" s="16" t="s">
        <v>22</v>
      </c>
      <c r="N1267" s="16"/>
      <c r="O1267" s="243"/>
      <c r="P1267" s="243"/>
      <c r="Q1267" s="243"/>
      <c r="R1267" s="243"/>
      <c r="S1267" s="243"/>
      <c r="T1267" s="243"/>
      <c r="U1267" s="243"/>
      <c r="V1267" s="243"/>
      <c r="W1267" s="243"/>
      <c r="X1267" s="243"/>
      <c r="Y1267" s="243"/>
      <c r="Z1267" s="243"/>
      <c r="AA1267" s="243"/>
      <c r="AB1267" s="243"/>
      <c r="AC1267" s="243"/>
      <c r="AD1267" s="243"/>
      <c r="AE1267" s="243"/>
      <c r="AF1267" s="243"/>
      <c r="AG1267" s="243"/>
      <c r="AH1267" s="243"/>
      <c r="AI1267" s="243"/>
      <c r="AJ1267" s="243"/>
      <c r="AK1267" s="243"/>
      <c r="AL1267" s="243"/>
      <c r="AM1267" s="243"/>
      <c r="AN1267" s="243"/>
      <c r="AO1267" s="243"/>
      <c r="AP1267" s="243"/>
      <c r="AQ1267" s="243"/>
      <c r="AR1267" s="243"/>
      <c r="AS1267" s="243"/>
      <c r="AT1267" s="243"/>
      <c r="AU1267" s="243"/>
      <c r="AV1267" s="243"/>
      <c r="AW1267" s="243"/>
      <c r="AX1267" s="243"/>
      <c r="AY1267" s="243"/>
      <c r="AZ1267" s="243"/>
      <c r="BA1267" s="243"/>
      <c r="BB1267" s="243"/>
      <c r="BC1267" s="243"/>
      <c r="BD1267" s="243"/>
      <c r="BE1267" s="243"/>
      <c r="BF1267" s="243"/>
      <c r="BG1267" s="243"/>
      <c r="BH1267" s="243"/>
      <c r="BI1267" s="243"/>
      <c r="BJ1267" s="243"/>
      <c r="BK1267" s="243"/>
      <c r="BL1267" s="243"/>
      <c r="BM1267" s="243"/>
      <c r="BN1267" s="243"/>
      <c r="BO1267" s="243"/>
      <c r="BP1267" s="243"/>
      <c r="BQ1267" s="243"/>
      <c r="BR1267" s="243"/>
      <c r="BS1267" s="243"/>
    </row>
    <row r="1268" spans="1:71" s="169" customFormat="1" ht="41.25" customHeight="1">
      <c r="A1268" s="178" t="s">
        <v>97</v>
      </c>
      <c r="B1268" s="75" t="str">
        <f ca="1">+UPPER(Tabla1321124[[#This Row],[DESCRIPCIÓN DE LA COMPRA O CONTRATACIÓN]])</f>
        <v>BOMBA DE ACHIQUE Ø3" CON SUS ACCESORIOS</v>
      </c>
      <c r="C1268" s="39" t="s">
        <v>17</v>
      </c>
      <c r="D1268" s="236">
        <f>10+3</f>
        <v>13</v>
      </c>
      <c r="E1268" s="236">
        <v>10</v>
      </c>
      <c r="F1268" s="236">
        <v>3</v>
      </c>
      <c r="G1268" s="236">
        <f>3+1</f>
        <v>4</v>
      </c>
      <c r="H1268" s="354">
        <f>Tabla1321124[[#This Row],[CUARTO TRIMESTRE]]+Tabla1321124[[#This Row],[TERCER TRIMESTRE]]+Tabla1321124[[#This Row],[SEGUNDO TRIMESTRE]]+Tabla1321124[[#This Row],[PRIMER TRIMESTRE]]</f>
        <v>30</v>
      </c>
      <c r="I1268" s="17">
        <v>25000</v>
      </c>
      <c r="J1268" s="17">
        <f>Tabla1321124[[#This Row],[PRECIO UNITARIO ESTIMADO]]*Tabla1321124[[#This Row],[CANTIDAD TOTAL]]</f>
        <v>750000</v>
      </c>
      <c r="K1268" s="17"/>
      <c r="L1268" s="16" t="s">
        <v>18</v>
      </c>
      <c r="M1268" s="16" t="s">
        <v>22</v>
      </c>
      <c r="N1268" s="16"/>
      <c r="O1268" s="243"/>
      <c r="P1268" s="243"/>
      <c r="Q1268" s="243"/>
      <c r="R1268" s="243"/>
      <c r="S1268" s="243"/>
      <c r="T1268" s="243"/>
      <c r="U1268" s="243"/>
      <c r="V1268" s="243"/>
      <c r="W1268" s="243"/>
      <c r="X1268" s="243"/>
      <c r="Y1268" s="243"/>
      <c r="Z1268" s="243"/>
      <c r="AA1268" s="243"/>
      <c r="AB1268" s="243"/>
      <c r="AC1268" s="243"/>
      <c r="AD1268" s="243"/>
      <c r="AE1268" s="243"/>
      <c r="AF1268" s="243"/>
      <c r="AG1268" s="243"/>
      <c r="AH1268" s="243"/>
      <c r="AI1268" s="243"/>
      <c r="AJ1268" s="243"/>
      <c r="AK1268" s="243"/>
      <c r="AL1268" s="243"/>
      <c r="AM1268" s="243"/>
      <c r="AN1268" s="243"/>
      <c r="AO1268" s="243"/>
      <c r="AP1268" s="243"/>
      <c r="AQ1268" s="243"/>
      <c r="AR1268" s="243"/>
      <c r="AS1268" s="243"/>
      <c r="AT1268" s="243"/>
      <c r="AU1268" s="243"/>
      <c r="AV1268" s="243"/>
      <c r="AW1268" s="243"/>
      <c r="AX1268" s="243"/>
      <c r="AY1268" s="243"/>
      <c r="AZ1268" s="243"/>
      <c r="BA1268" s="243"/>
      <c r="BB1268" s="243"/>
      <c r="BC1268" s="243"/>
      <c r="BD1268" s="243"/>
      <c r="BE1268" s="243"/>
      <c r="BF1268" s="243"/>
      <c r="BG1268" s="243"/>
      <c r="BH1268" s="243"/>
      <c r="BI1268" s="243"/>
      <c r="BJ1268" s="243"/>
      <c r="BK1268" s="243"/>
      <c r="BL1268" s="243"/>
      <c r="BM1268" s="243"/>
      <c r="BN1268" s="243"/>
      <c r="BO1268" s="243"/>
      <c r="BP1268" s="243"/>
      <c r="BQ1268" s="243"/>
      <c r="BR1268" s="243"/>
      <c r="BS1268" s="243"/>
    </row>
    <row r="1269" spans="1:71" s="169" customFormat="1" ht="41.25" customHeight="1">
      <c r="A1269" s="178" t="s">
        <v>97</v>
      </c>
      <c r="B1269" s="75" t="str">
        <f ca="1">+UPPER(Tabla1321124[[#This Row],[DESCRIPCIÓN DE LA COMPRA O CONTRATACIÓN]])</f>
        <v>BOMBA DE ACHIQUE Ø4" CON SUS ACCESORIOS</v>
      </c>
      <c r="C1269" s="39" t="s">
        <v>17</v>
      </c>
      <c r="D1269" s="236">
        <f>10+3</f>
        <v>13</v>
      </c>
      <c r="E1269" s="236">
        <v>10</v>
      </c>
      <c r="F1269" s="236">
        <f>5+3</f>
        <v>8</v>
      </c>
      <c r="G1269" s="236">
        <v>5</v>
      </c>
      <c r="H1269" s="354">
        <f>Tabla1321124[[#This Row],[CUARTO TRIMESTRE]]+Tabla1321124[[#This Row],[TERCER TRIMESTRE]]+Tabla1321124[[#This Row],[SEGUNDO TRIMESTRE]]+Tabla1321124[[#This Row],[PRIMER TRIMESTRE]]</f>
        <v>36</v>
      </c>
      <c r="I1269" s="17">
        <v>25000</v>
      </c>
      <c r="J1269" s="17">
        <f>Tabla1321124[[#This Row],[PRECIO UNITARIO ESTIMADO]]*Tabla1321124[[#This Row],[CANTIDAD TOTAL]]</f>
        <v>900000</v>
      </c>
      <c r="K1269" s="17"/>
      <c r="L1269" s="16" t="s">
        <v>18</v>
      </c>
      <c r="M1269" s="16" t="s">
        <v>22</v>
      </c>
      <c r="N1269" s="16"/>
      <c r="O1269" s="243"/>
      <c r="P1269" s="243"/>
      <c r="Q1269" s="243"/>
      <c r="R1269" s="243"/>
      <c r="S1269" s="243"/>
      <c r="T1269" s="243"/>
      <c r="U1269" s="243"/>
      <c r="V1269" s="243"/>
      <c r="W1269" s="243"/>
      <c r="X1269" s="243"/>
      <c r="Y1269" s="243"/>
      <c r="Z1269" s="243"/>
      <c r="AA1269" s="243"/>
      <c r="AB1269" s="243"/>
      <c r="AC1269" s="243"/>
      <c r="AD1269" s="243"/>
      <c r="AE1269" s="243"/>
      <c r="AF1269" s="243"/>
      <c r="AG1269" s="243"/>
      <c r="AH1269" s="243"/>
      <c r="AI1269" s="243"/>
      <c r="AJ1269" s="243"/>
      <c r="AK1269" s="243"/>
      <c r="AL1269" s="243"/>
      <c r="AM1269" s="243"/>
      <c r="AN1269" s="243"/>
      <c r="AO1269" s="243"/>
      <c r="AP1269" s="243"/>
      <c r="AQ1269" s="243"/>
      <c r="AR1269" s="243"/>
      <c r="AS1269" s="243"/>
      <c r="AT1269" s="243"/>
      <c r="AU1269" s="243"/>
      <c r="AV1269" s="243"/>
      <c r="AW1269" s="243"/>
      <c r="AX1269" s="243"/>
      <c r="AY1269" s="243"/>
      <c r="AZ1269" s="243"/>
      <c r="BA1269" s="243"/>
      <c r="BB1269" s="243"/>
      <c r="BC1269" s="243"/>
      <c r="BD1269" s="243"/>
      <c r="BE1269" s="243"/>
      <c r="BF1269" s="243"/>
      <c r="BG1269" s="243"/>
      <c r="BH1269" s="243"/>
      <c r="BI1269" s="243"/>
      <c r="BJ1269" s="243"/>
      <c r="BK1269" s="243"/>
      <c r="BL1269" s="243"/>
      <c r="BM1269" s="243"/>
      <c r="BN1269" s="243"/>
      <c r="BO1269" s="243"/>
      <c r="BP1269" s="243"/>
      <c r="BQ1269" s="243"/>
      <c r="BR1269" s="243"/>
      <c r="BS1269" s="243"/>
    </row>
    <row r="1270" spans="1:71" s="169" customFormat="1" ht="41.25" customHeight="1">
      <c r="A1270" s="178" t="s">
        <v>97</v>
      </c>
      <c r="B1270" s="75" t="str">
        <f ca="1">+UPPER(Tabla1321124[[#This Row],[DESCRIPCIÓN DE LA COMPRA O CONTRATACIÓN]])</f>
        <v>BOMBA DE ACHIQUE Ø6" CON SUS ACCESORIOS</v>
      </c>
      <c r="C1270" s="39" t="s">
        <v>17</v>
      </c>
      <c r="D1270" s="236">
        <v>1</v>
      </c>
      <c r="E1270" s="236"/>
      <c r="F1270" s="236"/>
      <c r="G1270" s="236"/>
      <c r="H1270" s="354">
        <f>Tabla1321124[[#This Row],[CUARTO TRIMESTRE]]+Tabla1321124[[#This Row],[TERCER TRIMESTRE]]+Tabla1321124[[#This Row],[SEGUNDO TRIMESTRE]]+Tabla1321124[[#This Row],[PRIMER TRIMESTRE]]</f>
        <v>1</v>
      </c>
      <c r="I1270" s="17">
        <v>25000</v>
      </c>
      <c r="J1270" s="17">
        <f>Tabla1321124[[#This Row],[PRECIO UNITARIO ESTIMADO]]*Tabla1321124[[#This Row],[CANTIDAD TOTAL]]</f>
        <v>25000</v>
      </c>
      <c r="K1270" s="17"/>
      <c r="L1270" s="16" t="s">
        <v>18</v>
      </c>
      <c r="M1270" s="16" t="s">
        <v>22</v>
      </c>
      <c r="N1270" s="16"/>
      <c r="O1270" s="243"/>
      <c r="P1270" s="243"/>
      <c r="Q1270" s="243"/>
      <c r="R1270" s="243"/>
      <c r="S1270" s="243"/>
      <c r="T1270" s="243"/>
      <c r="U1270" s="243"/>
      <c r="V1270" s="243"/>
      <c r="W1270" s="243"/>
      <c r="X1270" s="243"/>
      <c r="Y1270" s="243"/>
      <c r="Z1270" s="243"/>
      <c r="AA1270" s="243"/>
      <c r="AB1270" s="243"/>
      <c r="AC1270" s="243"/>
      <c r="AD1270" s="243"/>
      <c r="AE1270" s="243"/>
      <c r="AF1270" s="243"/>
      <c r="AG1270" s="243"/>
      <c r="AH1270" s="243"/>
      <c r="AI1270" s="243"/>
      <c r="AJ1270" s="243"/>
      <c r="AK1270" s="243"/>
      <c r="AL1270" s="243"/>
      <c r="AM1270" s="243"/>
      <c r="AN1270" s="243"/>
      <c r="AO1270" s="243"/>
      <c r="AP1270" s="243"/>
      <c r="AQ1270" s="243"/>
      <c r="AR1270" s="243"/>
      <c r="AS1270" s="243"/>
      <c r="AT1270" s="243"/>
      <c r="AU1270" s="243"/>
      <c r="AV1270" s="243"/>
      <c r="AW1270" s="243"/>
      <c r="AX1270" s="243"/>
      <c r="AY1270" s="243"/>
      <c r="AZ1270" s="243"/>
      <c r="BA1270" s="243"/>
      <c r="BB1270" s="243"/>
      <c r="BC1270" s="243"/>
      <c r="BD1270" s="243"/>
      <c r="BE1270" s="243"/>
      <c r="BF1270" s="243"/>
      <c r="BG1270" s="243"/>
      <c r="BH1270" s="243"/>
      <c r="BI1270" s="243"/>
      <c r="BJ1270" s="243"/>
      <c r="BK1270" s="243"/>
      <c r="BL1270" s="243"/>
      <c r="BM1270" s="243"/>
      <c r="BN1270" s="243"/>
      <c r="BO1270" s="243"/>
      <c r="BP1270" s="243"/>
      <c r="BQ1270" s="243"/>
      <c r="BR1270" s="243"/>
      <c r="BS1270" s="243"/>
    </row>
    <row r="1271" spans="1:71" s="169" customFormat="1" ht="41.25" customHeight="1">
      <c r="A1271" s="178" t="s">
        <v>97</v>
      </c>
      <c r="B1271" s="75" t="str">
        <f ca="1">+UPPER(Tabla1321124[[#This Row],[DESCRIPCIÓN DE LA COMPRA O CONTRATACIÓN]])</f>
        <v>BOMBA SUMERGIBLE DE 170 GPM 3450 RPM MOTOR 2 HP</v>
      </c>
      <c r="C1271" s="39" t="s">
        <v>17</v>
      </c>
      <c r="D1271" s="236"/>
      <c r="E1271" s="236">
        <f>4+1</f>
        <v>5</v>
      </c>
      <c r="F1271" s="236">
        <v>3</v>
      </c>
      <c r="G1271" s="236">
        <f>3+1</f>
        <v>4</v>
      </c>
      <c r="H1271" s="354">
        <f>Tabla1321124[[#This Row],[CUARTO TRIMESTRE]]+Tabla1321124[[#This Row],[TERCER TRIMESTRE]]+Tabla1321124[[#This Row],[SEGUNDO TRIMESTRE]]+Tabla1321124[[#This Row],[PRIMER TRIMESTRE]]</f>
        <v>12</v>
      </c>
      <c r="I1271" s="17">
        <v>40165</v>
      </c>
      <c r="J1271" s="17">
        <f>Tabla1321124[[#This Row],[PRECIO UNITARIO ESTIMADO]]*Tabla1321124[[#This Row],[CANTIDAD TOTAL]]</f>
        <v>481980</v>
      </c>
      <c r="K1271" s="17"/>
      <c r="L1271" s="16" t="s">
        <v>18</v>
      </c>
      <c r="M1271" s="16" t="s">
        <v>22</v>
      </c>
      <c r="N1271" s="16"/>
      <c r="O1271" s="243"/>
      <c r="P1271" s="243"/>
      <c r="Q1271" s="243"/>
      <c r="R1271" s="243"/>
      <c r="S1271" s="243"/>
      <c r="T1271" s="243"/>
      <c r="U1271" s="243"/>
      <c r="V1271" s="243"/>
      <c r="W1271" s="243"/>
      <c r="X1271" s="243"/>
      <c r="Y1271" s="243"/>
      <c r="Z1271" s="243"/>
      <c r="AA1271" s="243"/>
      <c r="AB1271" s="243"/>
      <c r="AC1271" s="243"/>
      <c r="AD1271" s="243"/>
      <c r="AE1271" s="243"/>
      <c r="AF1271" s="243"/>
      <c r="AG1271" s="243"/>
      <c r="AH1271" s="243"/>
      <c r="AI1271" s="243"/>
      <c r="AJ1271" s="243"/>
      <c r="AK1271" s="243"/>
      <c r="AL1271" s="243"/>
      <c r="AM1271" s="243"/>
      <c r="AN1271" s="243"/>
      <c r="AO1271" s="243"/>
      <c r="AP1271" s="243"/>
      <c r="AQ1271" s="243"/>
      <c r="AR1271" s="243"/>
      <c r="AS1271" s="243"/>
      <c r="AT1271" s="243"/>
      <c r="AU1271" s="243"/>
      <c r="AV1271" s="243"/>
      <c r="AW1271" s="243"/>
      <c r="AX1271" s="243"/>
      <c r="AY1271" s="243"/>
      <c r="AZ1271" s="243"/>
      <c r="BA1271" s="243"/>
      <c r="BB1271" s="243"/>
      <c r="BC1271" s="243"/>
      <c r="BD1271" s="243"/>
      <c r="BE1271" s="243"/>
      <c r="BF1271" s="243"/>
      <c r="BG1271" s="243"/>
      <c r="BH1271" s="243"/>
      <c r="BI1271" s="243"/>
      <c r="BJ1271" s="243"/>
      <c r="BK1271" s="243"/>
      <c r="BL1271" s="243"/>
      <c r="BM1271" s="243"/>
      <c r="BN1271" s="243"/>
      <c r="BO1271" s="243"/>
      <c r="BP1271" s="243"/>
      <c r="BQ1271" s="243"/>
      <c r="BR1271" s="243"/>
      <c r="BS1271" s="243"/>
    </row>
    <row r="1272" spans="1:71" s="169" customFormat="1" ht="41.25" customHeight="1">
      <c r="A1272" s="178" t="s">
        <v>97</v>
      </c>
      <c r="B1272" s="75" t="str">
        <f ca="1">+UPPER(Tabla1321124[[#This Row],[DESCRIPCIÓN DE LA COMPRA O CONTRATACIÓN]])</f>
        <v>BOMBA SUMERGIBLE DE 2 HP 3450 RPM</v>
      </c>
      <c r="C1272" s="39" t="s">
        <v>17</v>
      </c>
      <c r="D1272" s="236"/>
      <c r="E1272" s="236">
        <f>4+4</f>
        <v>8</v>
      </c>
      <c r="F1272" s="236">
        <v>3</v>
      </c>
      <c r="G1272" s="236">
        <f>3+4</f>
        <v>7</v>
      </c>
      <c r="H1272" s="354">
        <f>Tabla1321124[[#This Row],[CUARTO TRIMESTRE]]+Tabla1321124[[#This Row],[TERCER TRIMESTRE]]+Tabla1321124[[#This Row],[SEGUNDO TRIMESTRE]]+Tabla1321124[[#This Row],[PRIMER TRIMESTRE]]</f>
        <v>18</v>
      </c>
      <c r="I1272" s="17">
        <v>30999.38</v>
      </c>
      <c r="J1272" s="17">
        <f>Tabla1321124[[#This Row],[PRECIO UNITARIO ESTIMADO]]*Tabla1321124[[#This Row],[CANTIDAD TOTAL]]</f>
        <v>557988.84</v>
      </c>
      <c r="K1272" s="17"/>
      <c r="L1272" s="16" t="s">
        <v>18</v>
      </c>
      <c r="M1272" s="16" t="s">
        <v>22</v>
      </c>
      <c r="N1272" s="16"/>
      <c r="O1272" s="243"/>
      <c r="P1272" s="243"/>
      <c r="Q1272" s="243"/>
      <c r="R1272" s="243"/>
      <c r="S1272" s="243"/>
      <c r="T1272" s="243"/>
      <c r="U1272" s="243"/>
      <c r="V1272" s="243"/>
      <c r="W1272" s="243"/>
      <c r="X1272" s="243"/>
      <c r="Y1272" s="243"/>
      <c r="Z1272" s="243"/>
      <c r="AA1272" s="243"/>
      <c r="AB1272" s="243"/>
      <c r="AC1272" s="243"/>
      <c r="AD1272" s="243"/>
      <c r="AE1272" s="243"/>
      <c r="AF1272" s="243"/>
      <c r="AG1272" s="243"/>
      <c r="AH1272" s="243"/>
      <c r="AI1272" s="243"/>
      <c r="AJ1272" s="243"/>
      <c r="AK1272" s="243"/>
      <c r="AL1272" s="243"/>
      <c r="AM1272" s="243"/>
      <c r="AN1272" s="243"/>
      <c r="AO1272" s="243"/>
      <c r="AP1272" s="243"/>
      <c r="AQ1272" s="243"/>
      <c r="AR1272" s="243"/>
      <c r="AS1272" s="243"/>
      <c r="AT1272" s="243"/>
      <c r="AU1272" s="243"/>
      <c r="AV1272" s="243"/>
      <c r="AW1272" s="243"/>
      <c r="AX1272" s="243"/>
      <c r="AY1272" s="243"/>
      <c r="AZ1272" s="243"/>
      <c r="BA1272" s="243"/>
      <c r="BB1272" s="243"/>
      <c r="BC1272" s="243"/>
      <c r="BD1272" s="243"/>
      <c r="BE1272" s="243"/>
      <c r="BF1272" s="243"/>
      <c r="BG1272" s="243"/>
      <c r="BH1272" s="243"/>
      <c r="BI1272" s="243"/>
      <c r="BJ1272" s="243"/>
      <c r="BK1272" s="243"/>
      <c r="BL1272" s="243"/>
      <c r="BM1272" s="243"/>
      <c r="BN1272" s="243"/>
      <c r="BO1272" s="243"/>
      <c r="BP1272" s="243"/>
      <c r="BQ1272" s="243"/>
      <c r="BR1272" s="243"/>
      <c r="BS1272" s="243"/>
    </row>
    <row r="1273" spans="1:71" s="12" customFormat="1" ht="41.25" customHeight="1">
      <c r="A1273" s="178" t="s">
        <v>97</v>
      </c>
      <c r="B1273" s="75" t="str">
        <f ca="1">+UPPER(Tabla1321124[[#This Row],[DESCRIPCIÓN DE LA COMPRA O CONTRATACIÓN]])</f>
        <v>CAJA DE CONTROL PARA BOMBA SUMERGIBLE</v>
      </c>
      <c r="C1273" s="39" t="s">
        <v>17</v>
      </c>
      <c r="D1273" s="236"/>
      <c r="E1273" s="236">
        <v>3</v>
      </c>
      <c r="F1273" s="236"/>
      <c r="G1273" s="236">
        <v>4</v>
      </c>
      <c r="H1273" s="354">
        <f>Tabla1321124[[#This Row],[CUARTO TRIMESTRE]]+Tabla1321124[[#This Row],[TERCER TRIMESTRE]]+Tabla1321124[[#This Row],[SEGUNDO TRIMESTRE]]+Tabla1321124[[#This Row],[PRIMER TRIMESTRE]]</f>
        <v>7</v>
      </c>
      <c r="I1273" s="17">
        <v>14929.2</v>
      </c>
      <c r="J1273" s="17">
        <f>+Tabla1321124[[#This Row],[CANTIDAD TOTAL]]*Tabla1321124[[#This Row],[PRECIO UNITARIO ESTIMADO]]</f>
        <v>104504.40000000001</v>
      </c>
      <c r="K1273" s="17"/>
      <c r="L1273" s="16" t="s">
        <v>18</v>
      </c>
      <c r="M1273" s="16" t="s">
        <v>22</v>
      </c>
      <c r="N1273" s="16"/>
      <c r="O1273" s="243"/>
      <c r="P1273" s="243"/>
      <c r="Q1273" s="243"/>
      <c r="R1273" s="243"/>
      <c r="S1273" s="243"/>
      <c r="T1273" s="243"/>
      <c r="U1273" s="243"/>
      <c r="V1273" s="243"/>
      <c r="W1273" s="243"/>
      <c r="X1273" s="243"/>
      <c r="Y1273" s="243"/>
      <c r="Z1273" s="243"/>
      <c r="AA1273" s="243"/>
      <c r="AB1273" s="243"/>
      <c r="AC1273" s="243"/>
      <c r="AD1273" s="243"/>
      <c r="AE1273" s="243"/>
      <c r="AF1273" s="243"/>
      <c r="AG1273" s="243"/>
      <c r="AH1273" s="243"/>
      <c r="AI1273" s="243"/>
      <c r="AJ1273" s="243"/>
      <c r="AK1273" s="243"/>
      <c r="AL1273" s="243"/>
      <c r="AM1273" s="243"/>
      <c r="AN1273" s="243"/>
      <c r="AO1273" s="243"/>
      <c r="AP1273" s="243"/>
      <c r="AQ1273" s="243"/>
      <c r="AR1273" s="243"/>
      <c r="AS1273" s="243"/>
      <c r="AT1273" s="243"/>
      <c r="AU1273" s="243"/>
      <c r="AV1273" s="243"/>
      <c r="AW1273" s="243"/>
      <c r="AX1273" s="243"/>
      <c r="AY1273" s="243"/>
      <c r="AZ1273" s="243"/>
      <c r="BA1273" s="243"/>
      <c r="BB1273" s="243"/>
      <c r="BC1273" s="243"/>
      <c r="BD1273" s="243"/>
      <c r="BE1273" s="243"/>
      <c r="BF1273" s="243"/>
      <c r="BG1273" s="243"/>
      <c r="BH1273" s="243"/>
      <c r="BI1273" s="243"/>
      <c r="BJ1273" s="243"/>
      <c r="BK1273" s="243"/>
      <c r="BL1273" s="243"/>
      <c r="BM1273" s="243"/>
      <c r="BN1273" s="243"/>
      <c r="BO1273" s="243"/>
      <c r="BP1273" s="243"/>
      <c r="BQ1273" s="243"/>
      <c r="BR1273" s="243"/>
      <c r="BS1273" s="243"/>
    </row>
    <row r="1274" spans="1:71" s="12" customFormat="1" ht="51" customHeight="1">
      <c r="A1274" s="178" t="s">
        <v>97</v>
      </c>
      <c r="B1274" s="77" t="str">
        <f ca="1">+UPPER(Tabla1321124[[#This Row],[DESCRIPCIÓN DE LA COMPRA O CONTRATACIÓN]])</f>
        <v>MOTOR ELECTRICO HORIZONTAL DE EJE SOLIDO DE 2 HP, 3Ø, A 220V,</v>
      </c>
      <c r="C1274" s="39" t="s">
        <v>17</v>
      </c>
      <c r="D1274" s="365">
        <v>2</v>
      </c>
      <c r="E1274" s="365"/>
      <c r="F1274" s="365"/>
      <c r="G1274" s="365"/>
      <c r="H1274" s="354">
        <f>Tabla1321124[[#This Row],[CUARTO TRIMESTRE]]+Tabla1321124[[#This Row],[TERCER TRIMESTRE]]+Tabla1321124[[#This Row],[SEGUNDO TRIMESTRE]]+Tabla1321124[[#This Row],[PRIMER TRIMESTRE]]</f>
        <v>2</v>
      </c>
      <c r="I1274" s="17">
        <v>38700</v>
      </c>
      <c r="J1274" s="175">
        <f>Tabla1321124[[#This Row],[PRECIO UNITARIO ESTIMADO]]*Tabla1321124[[#This Row],[CANTIDAD TOTAL]]</f>
        <v>77400</v>
      </c>
      <c r="K1274" s="175"/>
      <c r="L1274" s="16" t="s">
        <v>18</v>
      </c>
      <c r="M1274" s="16" t="s">
        <v>22</v>
      </c>
      <c r="N1274" s="16"/>
      <c r="O1274" s="243"/>
      <c r="P1274" s="243"/>
      <c r="Q1274" s="243"/>
      <c r="R1274" s="243"/>
      <c r="S1274" s="243"/>
      <c r="T1274" s="243"/>
      <c r="U1274" s="243"/>
      <c r="V1274" s="243"/>
      <c r="W1274" s="243"/>
      <c r="X1274" s="243"/>
      <c r="Y1274" s="243"/>
      <c r="Z1274" s="243"/>
      <c r="AA1274" s="243"/>
      <c r="AB1274" s="243"/>
      <c r="AC1274" s="243"/>
      <c r="AD1274" s="243"/>
      <c r="AE1274" s="243"/>
      <c r="AF1274" s="243"/>
      <c r="AG1274" s="243"/>
      <c r="AH1274" s="243"/>
      <c r="AI1274" s="243"/>
      <c r="AJ1274" s="243"/>
      <c r="AK1274" s="243"/>
      <c r="AL1274" s="243"/>
      <c r="AM1274" s="243"/>
      <c r="AN1274" s="243"/>
      <c r="AO1274" s="243"/>
      <c r="AP1274" s="243"/>
      <c r="AQ1274" s="243"/>
      <c r="AR1274" s="243"/>
      <c r="AS1274" s="243"/>
      <c r="AT1274" s="243"/>
      <c r="AU1274" s="243"/>
      <c r="AV1274" s="243"/>
      <c r="AW1274" s="243"/>
      <c r="AX1274" s="243"/>
      <c r="AY1274" s="243"/>
      <c r="AZ1274" s="243"/>
      <c r="BA1274" s="243"/>
      <c r="BB1274" s="243"/>
      <c r="BC1274" s="243"/>
      <c r="BD1274" s="243"/>
      <c r="BE1274" s="243"/>
      <c r="BF1274" s="243"/>
      <c r="BG1274" s="243"/>
      <c r="BH1274" s="243"/>
      <c r="BI1274" s="243"/>
      <c r="BJ1274" s="243"/>
      <c r="BK1274" s="243"/>
      <c r="BL1274" s="243"/>
      <c r="BM1274" s="243"/>
      <c r="BN1274" s="243"/>
      <c r="BO1274" s="243"/>
      <c r="BP1274" s="243"/>
      <c r="BQ1274" s="243"/>
      <c r="BR1274" s="243"/>
      <c r="BS1274" s="243"/>
    </row>
    <row r="1275" spans="1:71" s="26" customFormat="1" ht="50.25" customHeight="1">
      <c r="A1275" s="178" t="s">
        <v>97</v>
      </c>
      <c r="B1275" s="77" t="str">
        <f ca="1">+UPPER(Tabla1321124[[#This Row],[DESCRIPCIÓN DE LA COMPRA O CONTRATACIÓN]])</f>
        <v>ELECTRO BOMBA SUMERGIBLE 280GPM, VS, 310 PIES DE TDH, ACOPLADA A MOTOR DE 40 HP, 3Ø, 460V, 3450 RPM, Ø6''</v>
      </c>
      <c r="C1275" s="39" t="s">
        <v>17</v>
      </c>
      <c r="D1275" s="236">
        <v>5</v>
      </c>
      <c r="E1275" s="236">
        <v>1</v>
      </c>
      <c r="F1275" s="236">
        <v>3</v>
      </c>
      <c r="G1275" s="236"/>
      <c r="H1275" s="354">
        <f>Tabla1321124[[#This Row],[CUARTO TRIMESTRE]]+Tabla1321124[[#This Row],[TERCER TRIMESTRE]]+Tabla1321124[[#This Row],[SEGUNDO TRIMESTRE]]+Tabla1321124[[#This Row],[PRIMER TRIMESTRE]]</f>
        <v>9</v>
      </c>
      <c r="I1275" s="17">
        <v>250000</v>
      </c>
      <c r="J1275" s="17">
        <f>Tabla1321124[[#This Row],[PRECIO UNITARIO ESTIMADO]]*Tabla1321124[[#This Row],[CANTIDAD TOTAL]]</f>
        <v>2250000</v>
      </c>
      <c r="K1275" s="17"/>
      <c r="L1275" s="16" t="s">
        <v>18</v>
      </c>
      <c r="M1275" s="16" t="s">
        <v>22</v>
      </c>
      <c r="N1275" s="16"/>
      <c r="O1275" s="243"/>
      <c r="P1275" s="243"/>
      <c r="Q1275" s="243"/>
      <c r="R1275" s="243"/>
      <c r="S1275" s="243"/>
      <c r="T1275" s="243"/>
      <c r="U1275" s="243"/>
      <c r="V1275" s="243"/>
      <c r="W1275" s="243"/>
      <c r="X1275" s="243"/>
      <c r="Y1275" s="243"/>
      <c r="Z1275" s="243"/>
      <c r="AA1275" s="243"/>
      <c r="AB1275" s="243"/>
      <c r="AC1275" s="243"/>
      <c r="AD1275" s="243"/>
      <c r="AE1275" s="243"/>
      <c r="AF1275" s="243"/>
      <c r="AG1275" s="243"/>
      <c r="AH1275" s="243"/>
      <c r="AI1275" s="243"/>
      <c r="AJ1275" s="243"/>
      <c r="AK1275" s="243"/>
      <c r="AL1275" s="243"/>
      <c r="AM1275" s="243"/>
      <c r="AN1275" s="243"/>
      <c r="AO1275" s="243"/>
      <c r="AP1275" s="243"/>
      <c r="AQ1275" s="243"/>
      <c r="AR1275" s="243"/>
      <c r="AS1275" s="243"/>
      <c r="AT1275" s="243"/>
      <c r="AU1275" s="243"/>
      <c r="AV1275" s="243"/>
      <c r="AW1275" s="243"/>
      <c r="AX1275" s="243"/>
      <c r="AY1275" s="243"/>
      <c r="AZ1275" s="243"/>
      <c r="BA1275" s="243"/>
      <c r="BB1275" s="243"/>
      <c r="BC1275" s="243"/>
      <c r="BD1275" s="243"/>
      <c r="BE1275" s="243"/>
      <c r="BF1275" s="243"/>
      <c r="BG1275" s="243"/>
      <c r="BH1275" s="243"/>
      <c r="BI1275" s="243"/>
      <c r="BJ1275" s="243"/>
      <c r="BK1275" s="243"/>
      <c r="BL1275" s="243"/>
      <c r="BM1275" s="243"/>
      <c r="BN1275" s="243"/>
      <c r="BO1275" s="243"/>
      <c r="BP1275" s="243"/>
      <c r="BQ1275" s="243"/>
      <c r="BR1275" s="243"/>
      <c r="BS1275" s="243"/>
    </row>
    <row r="1276" spans="1:71" s="12" customFormat="1" ht="61.5" customHeight="1">
      <c r="A1276" s="178" t="s">
        <v>97</v>
      </c>
      <c r="B1276" s="77" t="str">
        <f ca="1">+UPPER(Tabla1321124[[#This Row],[DESCRIPCIÓN DE LA COMPRA O CONTRATACIÓN]])</f>
        <v>ELECTRO BOMBA SUMERGIBLE DE 40 GPM/ VS 200 PIES DE TDH, CON MOTOR DE 3 HP, 1Ø, 3470RPM, Ø1 1/2'', CON SU CAJA DE CONTROL</v>
      </c>
      <c r="C1276" s="39" t="s">
        <v>17</v>
      </c>
      <c r="D1276" s="236">
        <v>5</v>
      </c>
      <c r="E1276" s="236">
        <v>1</v>
      </c>
      <c r="F1276" s="236">
        <v>3</v>
      </c>
      <c r="G1276" s="236"/>
      <c r="H1276" s="354">
        <f>Tabla1321124[[#This Row],[CUARTO TRIMESTRE]]+Tabla1321124[[#This Row],[TERCER TRIMESTRE]]+Tabla1321124[[#This Row],[SEGUNDO TRIMESTRE]]+Tabla1321124[[#This Row],[PRIMER TRIMESTRE]]</f>
        <v>9</v>
      </c>
      <c r="I1276" s="17">
        <v>250000</v>
      </c>
      <c r="J1276" s="17">
        <f>Tabla1321124[[#This Row],[PRECIO UNITARIO ESTIMADO]]*Tabla1321124[[#This Row],[CANTIDAD TOTAL]]</f>
        <v>2250000</v>
      </c>
      <c r="K1276" s="17"/>
      <c r="L1276" s="16" t="s">
        <v>18</v>
      </c>
      <c r="M1276" s="16" t="s">
        <v>22</v>
      </c>
      <c r="N1276" s="16"/>
      <c r="O1276" s="243"/>
      <c r="P1276" s="243"/>
      <c r="Q1276" s="243"/>
      <c r="R1276" s="243"/>
      <c r="S1276" s="243"/>
      <c r="T1276" s="243"/>
      <c r="U1276" s="243"/>
      <c r="V1276" s="243"/>
      <c r="W1276" s="243"/>
      <c r="X1276" s="243"/>
      <c r="Y1276" s="243"/>
      <c r="Z1276" s="243"/>
      <c r="AA1276" s="243"/>
      <c r="AB1276" s="243"/>
      <c r="AC1276" s="243"/>
      <c r="AD1276" s="243"/>
      <c r="AE1276" s="243"/>
      <c r="AF1276" s="243"/>
      <c r="AG1276" s="243"/>
      <c r="AH1276" s="243"/>
      <c r="AI1276" s="243"/>
      <c r="AJ1276" s="243"/>
      <c r="AK1276" s="243"/>
      <c r="AL1276" s="243"/>
      <c r="AM1276" s="243"/>
      <c r="AN1276" s="243"/>
      <c r="AO1276" s="243"/>
      <c r="AP1276" s="243"/>
      <c r="AQ1276" s="243"/>
      <c r="AR1276" s="243"/>
      <c r="AS1276" s="243"/>
      <c r="AT1276" s="243"/>
      <c r="AU1276" s="243"/>
      <c r="AV1276" s="243"/>
      <c r="AW1276" s="243"/>
      <c r="AX1276" s="243"/>
      <c r="AY1276" s="243"/>
      <c r="AZ1276" s="243"/>
      <c r="BA1276" s="243"/>
      <c r="BB1276" s="243"/>
      <c r="BC1276" s="243"/>
      <c r="BD1276" s="243"/>
      <c r="BE1276" s="243"/>
      <c r="BF1276" s="243"/>
      <c r="BG1276" s="243"/>
      <c r="BH1276" s="243"/>
      <c r="BI1276" s="243"/>
      <c r="BJ1276" s="243"/>
      <c r="BK1276" s="243"/>
      <c r="BL1276" s="243"/>
      <c r="BM1276" s="243"/>
      <c r="BN1276" s="243"/>
      <c r="BO1276" s="243"/>
      <c r="BP1276" s="243"/>
      <c r="BQ1276" s="243"/>
      <c r="BR1276" s="243"/>
      <c r="BS1276" s="243"/>
    </row>
    <row r="1277" spans="1:71" s="12" customFormat="1" ht="61.5" customHeight="1">
      <c r="A1277" s="178" t="s">
        <v>97</v>
      </c>
      <c r="B1277" s="77" t="str">
        <f ca="1">+UPPER(Tabla1321124[[#This Row],[DESCRIPCIÓN DE LA COMPRA O CONTRATACIÓN]])</f>
        <v>ELECTROBOMBA SUMERGIBLE DE 37 GPM VS 375 PIES DE TDH ACOPLADA A MOTOR DE 5 HP, 1Ø, 230V, 3450 RPM,  02164'', DESCARGA DE Ø2'' CON SU CAJA DE CONTROL</v>
      </c>
      <c r="C1277" s="39" t="s">
        <v>17</v>
      </c>
      <c r="D1277" s="236">
        <v>1</v>
      </c>
      <c r="E1277" s="236"/>
      <c r="F1277" s="236">
        <v>3</v>
      </c>
      <c r="G1277" s="236"/>
      <c r="H1277" s="354">
        <f>Tabla1321124[[#This Row],[CUARTO TRIMESTRE]]+Tabla1321124[[#This Row],[TERCER TRIMESTRE]]+Tabla1321124[[#This Row],[SEGUNDO TRIMESTRE]]+Tabla1321124[[#This Row],[PRIMER TRIMESTRE]]</f>
        <v>4</v>
      </c>
      <c r="I1277" s="17">
        <v>250000</v>
      </c>
      <c r="J1277" s="17">
        <f>Tabla1321124[[#This Row],[PRECIO UNITARIO ESTIMADO]]*Tabla1321124[[#This Row],[CANTIDAD TOTAL]]</f>
        <v>1000000</v>
      </c>
      <c r="K1277" s="17"/>
      <c r="L1277" s="16" t="s">
        <v>18</v>
      </c>
      <c r="M1277" s="16" t="s">
        <v>22</v>
      </c>
      <c r="N1277" s="16"/>
      <c r="O1277" s="243"/>
      <c r="P1277" s="243"/>
      <c r="Q1277" s="243"/>
      <c r="R1277" s="243"/>
      <c r="S1277" s="243"/>
      <c r="T1277" s="243"/>
      <c r="U1277" s="243"/>
      <c r="V1277" s="243"/>
      <c r="W1277" s="243"/>
      <c r="X1277" s="243"/>
      <c r="Y1277" s="243"/>
      <c r="Z1277" s="243"/>
      <c r="AA1277" s="243"/>
      <c r="AB1277" s="243"/>
      <c r="AC1277" s="243"/>
      <c r="AD1277" s="243"/>
      <c r="AE1277" s="243"/>
      <c r="AF1277" s="243"/>
      <c r="AG1277" s="243"/>
      <c r="AH1277" s="243"/>
      <c r="AI1277" s="243"/>
      <c r="AJ1277" s="243"/>
      <c r="AK1277" s="243"/>
      <c r="AL1277" s="243"/>
      <c r="AM1277" s="243"/>
      <c r="AN1277" s="243"/>
      <c r="AO1277" s="243"/>
      <c r="AP1277" s="243"/>
      <c r="AQ1277" s="243"/>
      <c r="AR1277" s="243"/>
      <c r="AS1277" s="243"/>
      <c r="AT1277" s="243"/>
      <c r="AU1277" s="243"/>
      <c r="AV1277" s="243"/>
      <c r="AW1277" s="243"/>
      <c r="AX1277" s="243"/>
      <c r="AY1277" s="243"/>
      <c r="AZ1277" s="243"/>
      <c r="BA1277" s="243"/>
      <c r="BB1277" s="243"/>
      <c r="BC1277" s="243"/>
      <c r="BD1277" s="243"/>
      <c r="BE1277" s="243"/>
      <c r="BF1277" s="243"/>
      <c r="BG1277" s="243"/>
      <c r="BH1277" s="243"/>
      <c r="BI1277" s="243"/>
      <c r="BJ1277" s="243"/>
      <c r="BK1277" s="243"/>
      <c r="BL1277" s="243"/>
      <c r="BM1277" s="243"/>
      <c r="BN1277" s="243"/>
      <c r="BO1277" s="243"/>
      <c r="BP1277" s="243"/>
      <c r="BQ1277" s="243"/>
      <c r="BR1277" s="243"/>
      <c r="BS1277" s="243"/>
    </row>
    <row r="1278" spans="1:71" s="12" customFormat="1" ht="41.25" customHeight="1">
      <c r="A1278" s="178" t="s">
        <v>97</v>
      </c>
      <c r="B1278" s="77" t="str">
        <f ca="1">+UPPER(Tabla1321124[[#This Row],[DESCRIPCIÓN DE LA COMPRA O CONTRATACIÓN]])</f>
        <v>ELECTRO BOMBA SUMERGIBLE 310 GPM 1750 RPM</v>
      </c>
      <c r="C1278" s="39" t="s">
        <v>17</v>
      </c>
      <c r="D1278" s="236"/>
      <c r="E1278" s="236">
        <v>3</v>
      </c>
      <c r="F1278" s="236">
        <v>1</v>
      </c>
      <c r="G1278" s="236">
        <v>1</v>
      </c>
      <c r="H1278" s="354">
        <f>Tabla1321124[[#This Row],[CUARTO TRIMESTRE]]+Tabla1321124[[#This Row],[TERCER TRIMESTRE]]+Tabla1321124[[#This Row],[SEGUNDO TRIMESTRE]]+Tabla1321124[[#This Row],[PRIMER TRIMESTRE]]</f>
        <v>5</v>
      </c>
      <c r="I1278" s="17">
        <v>280500</v>
      </c>
      <c r="J1278" s="17">
        <f>+Tabla1321124[[#This Row],[CANTIDAD TOTAL]]*Tabla1321124[[#This Row],[PRECIO UNITARIO ESTIMADO]]</f>
        <v>1402500</v>
      </c>
      <c r="K1278" s="17"/>
      <c r="L1278" s="16" t="s">
        <v>18</v>
      </c>
      <c r="M1278" s="16" t="s">
        <v>22</v>
      </c>
      <c r="N1278" s="16"/>
      <c r="O1278" s="243"/>
      <c r="P1278" s="243"/>
      <c r="Q1278" s="243"/>
      <c r="R1278" s="243"/>
      <c r="S1278" s="243"/>
      <c r="T1278" s="243"/>
      <c r="U1278" s="243"/>
      <c r="V1278" s="243"/>
      <c r="W1278" s="243"/>
      <c r="X1278" s="243"/>
      <c r="Y1278" s="243"/>
      <c r="Z1278" s="243"/>
      <c r="AA1278" s="243"/>
      <c r="AB1278" s="243"/>
      <c r="AC1278" s="243"/>
      <c r="AD1278" s="243"/>
      <c r="AE1278" s="243"/>
      <c r="AF1278" s="243"/>
      <c r="AG1278" s="243"/>
      <c r="AH1278" s="243"/>
      <c r="AI1278" s="243"/>
      <c r="AJ1278" s="243"/>
      <c r="AK1278" s="243"/>
      <c r="AL1278" s="243"/>
      <c r="AM1278" s="243"/>
      <c r="AN1278" s="243"/>
      <c r="AO1278" s="243"/>
      <c r="AP1278" s="243"/>
      <c r="AQ1278" s="243"/>
      <c r="AR1278" s="243"/>
      <c r="AS1278" s="243"/>
      <c r="AT1278" s="243"/>
      <c r="AU1278" s="243"/>
      <c r="AV1278" s="243"/>
      <c r="AW1278" s="243"/>
      <c r="AX1278" s="243"/>
      <c r="AY1278" s="243"/>
      <c r="AZ1278" s="243"/>
      <c r="BA1278" s="243"/>
      <c r="BB1278" s="243"/>
      <c r="BC1278" s="243"/>
      <c r="BD1278" s="243"/>
      <c r="BE1278" s="243"/>
      <c r="BF1278" s="243"/>
      <c r="BG1278" s="243"/>
      <c r="BH1278" s="243"/>
      <c r="BI1278" s="243"/>
      <c r="BJ1278" s="243"/>
      <c r="BK1278" s="243"/>
      <c r="BL1278" s="243"/>
      <c r="BM1278" s="243"/>
      <c r="BN1278" s="243"/>
      <c r="BO1278" s="243"/>
      <c r="BP1278" s="243"/>
      <c r="BQ1278" s="243"/>
      <c r="BR1278" s="243"/>
      <c r="BS1278" s="243"/>
    </row>
    <row r="1279" spans="1:71" s="12" customFormat="1" ht="41.25" customHeight="1">
      <c r="A1279" s="178" t="s">
        <v>97</v>
      </c>
      <c r="B1279" s="75" t="str">
        <f ca="1">+UPPER(Tabla1321124[[#This Row],[DESCRIPCIÓN DE LA COMPRA O CONTRATACIÓN]])</f>
        <v>ELECTRO BOMBA SUMERGIBLE 20 GPM 3500 RPM</v>
      </c>
      <c r="C1279" s="39" t="s">
        <v>17</v>
      </c>
      <c r="D1279" s="236"/>
      <c r="E1279" s="236">
        <f>2+1</f>
        <v>3</v>
      </c>
      <c r="F1279" s="236">
        <v>1</v>
      </c>
      <c r="G1279" s="236">
        <f>1+1</f>
        <v>2</v>
      </c>
      <c r="H1279" s="354">
        <f>Tabla1321124[[#This Row],[CUARTO TRIMESTRE]]+Tabla1321124[[#This Row],[TERCER TRIMESTRE]]+Tabla1321124[[#This Row],[SEGUNDO TRIMESTRE]]+Tabla1321124[[#This Row],[PRIMER TRIMESTRE]]</f>
        <v>6</v>
      </c>
      <c r="I1279" s="17">
        <v>62762.6</v>
      </c>
      <c r="J1279" s="17">
        <f>+Tabla1321124[[#This Row],[CANTIDAD TOTAL]]*Tabla1321124[[#This Row],[PRECIO UNITARIO ESTIMADO]]</f>
        <v>376575.6</v>
      </c>
      <c r="K1279" s="17"/>
      <c r="L1279" s="16" t="s">
        <v>18</v>
      </c>
      <c r="M1279" s="16" t="s">
        <v>22</v>
      </c>
      <c r="N1279" s="16"/>
      <c r="O1279" s="243"/>
      <c r="P1279" s="243"/>
      <c r="Q1279" s="243"/>
      <c r="R1279" s="243"/>
      <c r="S1279" s="243"/>
      <c r="T1279" s="243"/>
      <c r="U1279" s="243"/>
      <c r="V1279" s="243"/>
      <c r="W1279" s="243"/>
      <c r="X1279" s="243"/>
      <c r="Y1279" s="243"/>
      <c r="Z1279" s="243"/>
      <c r="AA1279" s="243"/>
      <c r="AB1279" s="243"/>
      <c r="AC1279" s="243"/>
      <c r="AD1279" s="243"/>
      <c r="AE1279" s="243"/>
      <c r="AF1279" s="243"/>
      <c r="AG1279" s="243"/>
      <c r="AH1279" s="243"/>
      <c r="AI1279" s="243"/>
      <c r="AJ1279" s="243"/>
      <c r="AK1279" s="243"/>
      <c r="AL1279" s="243"/>
      <c r="AM1279" s="243"/>
      <c r="AN1279" s="243"/>
      <c r="AO1279" s="243"/>
      <c r="AP1279" s="243"/>
      <c r="AQ1279" s="243"/>
      <c r="AR1279" s="243"/>
      <c r="AS1279" s="243"/>
      <c r="AT1279" s="243"/>
      <c r="AU1279" s="243"/>
      <c r="AV1279" s="243"/>
      <c r="AW1279" s="243"/>
      <c r="AX1279" s="243"/>
      <c r="AY1279" s="243"/>
      <c r="AZ1279" s="243"/>
      <c r="BA1279" s="243"/>
      <c r="BB1279" s="243"/>
      <c r="BC1279" s="243"/>
      <c r="BD1279" s="243"/>
      <c r="BE1279" s="243"/>
      <c r="BF1279" s="243"/>
      <c r="BG1279" s="243"/>
      <c r="BH1279" s="243"/>
      <c r="BI1279" s="243"/>
      <c r="BJ1279" s="243"/>
      <c r="BK1279" s="243"/>
      <c r="BL1279" s="243"/>
      <c r="BM1279" s="243"/>
      <c r="BN1279" s="243"/>
      <c r="BO1279" s="243"/>
      <c r="BP1279" s="243"/>
      <c r="BQ1279" s="243"/>
      <c r="BR1279" s="243"/>
      <c r="BS1279" s="243"/>
    </row>
    <row r="1280" spans="1:71" s="12" customFormat="1" ht="41.25" customHeight="1">
      <c r="A1280" s="178" t="s">
        <v>97</v>
      </c>
      <c r="B1280" s="75" t="str">
        <f ca="1">+UPPER(Tabla1321124[[#This Row],[DESCRIPCIÓN DE LA COMPRA O CONTRATACIÓN]])</f>
        <v>ELECTRO BOMBA SUMERGIBLE 30 GPM 3450 RPM</v>
      </c>
      <c r="C1280" s="39" t="s">
        <v>17</v>
      </c>
      <c r="D1280" s="236"/>
      <c r="E1280" s="236">
        <f>2+6</f>
        <v>8</v>
      </c>
      <c r="F1280" s="236">
        <v>1</v>
      </c>
      <c r="G1280" s="236">
        <f>1+5</f>
        <v>6</v>
      </c>
      <c r="H1280" s="354">
        <f>Tabla1321124[[#This Row],[CUARTO TRIMESTRE]]+Tabla1321124[[#This Row],[TERCER TRIMESTRE]]+Tabla1321124[[#This Row],[SEGUNDO TRIMESTRE]]+Tabla1321124[[#This Row],[PRIMER TRIMESTRE]]</f>
        <v>15</v>
      </c>
      <c r="I1280" s="17">
        <v>14453.6</v>
      </c>
      <c r="J1280" s="17">
        <f>+Tabla1321124[[#This Row],[CANTIDAD TOTAL]]*Tabla1321124[[#This Row],[PRECIO UNITARIO ESTIMADO]]</f>
        <v>216804</v>
      </c>
      <c r="K1280" s="17"/>
      <c r="L1280" s="16" t="s">
        <v>18</v>
      </c>
      <c r="M1280" s="16" t="s">
        <v>22</v>
      </c>
      <c r="N1280" s="16"/>
      <c r="O1280" s="243"/>
      <c r="P1280" s="243"/>
      <c r="Q1280" s="243"/>
      <c r="R1280" s="243"/>
      <c r="S1280" s="243"/>
      <c r="T1280" s="243"/>
      <c r="U1280" s="243"/>
      <c r="V1280" s="243"/>
      <c r="W1280" s="243"/>
      <c r="X1280" s="243"/>
      <c r="Y1280" s="243"/>
      <c r="Z1280" s="243"/>
      <c r="AA1280" s="243"/>
      <c r="AB1280" s="243"/>
      <c r="AC1280" s="243"/>
      <c r="AD1280" s="243"/>
      <c r="AE1280" s="243"/>
      <c r="AF1280" s="243"/>
      <c r="AG1280" s="243"/>
      <c r="AH1280" s="243"/>
      <c r="AI1280" s="243"/>
      <c r="AJ1280" s="243"/>
      <c r="AK1280" s="243"/>
      <c r="AL1280" s="243"/>
      <c r="AM1280" s="243"/>
      <c r="AN1280" s="243"/>
      <c r="AO1280" s="243"/>
      <c r="AP1280" s="243"/>
      <c r="AQ1280" s="243"/>
      <c r="AR1280" s="243"/>
      <c r="AS1280" s="243"/>
      <c r="AT1280" s="243"/>
      <c r="AU1280" s="243"/>
      <c r="AV1280" s="243"/>
      <c r="AW1280" s="243"/>
      <c r="AX1280" s="243"/>
      <c r="AY1280" s="243"/>
      <c r="AZ1280" s="243"/>
      <c r="BA1280" s="243"/>
      <c r="BB1280" s="243"/>
      <c r="BC1280" s="243"/>
      <c r="BD1280" s="243"/>
      <c r="BE1280" s="243"/>
      <c r="BF1280" s="243"/>
      <c r="BG1280" s="243"/>
      <c r="BH1280" s="243"/>
      <c r="BI1280" s="243"/>
      <c r="BJ1280" s="243"/>
      <c r="BK1280" s="243"/>
      <c r="BL1280" s="243"/>
      <c r="BM1280" s="243"/>
      <c r="BN1280" s="243"/>
      <c r="BO1280" s="243"/>
      <c r="BP1280" s="243"/>
      <c r="BQ1280" s="243"/>
      <c r="BR1280" s="243"/>
      <c r="BS1280" s="243"/>
    </row>
    <row r="1281" spans="1:71" s="12" customFormat="1" ht="41.25" customHeight="1">
      <c r="A1281" s="178" t="s">
        <v>97</v>
      </c>
      <c r="B1281" s="75" t="str">
        <f ca="1">+UPPER(Tabla1321124[[#This Row],[DESCRIPCIÓN DE LA COMPRA O CONTRATACIÓN]])</f>
        <v>ELECTRO BOMBA SUMERGIBLE 50 GPM 3450 RPM</v>
      </c>
      <c r="C1281" s="39" t="s">
        <v>17</v>
      </c>
      <c r="D1281" s="236"/>
      <c r="E1281" s="236">
        <f>2+1</f>
        <v>3</v>
      </c>
      <c r="F1281" s="236">
        <v>1</v>
      </c>
      <c r="G1281" s="236">
        <v>1</v>
      </c>
      <c r="H1281" s="354">
        <f>Tabla1321124[[#This Row],[CUARTO TRIMESTRE]]+Tabla1321124[[#This Row],[TERCER TRIMESTRE]]+Tabla1321124[[#This Row],[SEGUNDO TRIMESTRE]]+Tabla1321124[[#This Row],[PRIMER TRIMESTRE]]</f>
        <v>5</v>
      </c>
      <c r="I1281" s="17">
        <v>58701.8</v>
      </c>
      <c r="J1281" s="17">
        <f>+Tabla1321124[[#This Row],[CANTIDAD TOTAL]]*Tabla1321124[[#This Row],[PRECIO UNITARIO ESTIMADO]]</f>
        <v>293509</v>
      </c>
      <c r="K1281" s="17"/>
      <c r="L1281" s="16" t="s">
        <v>18</v>
      </c>
      <c r="M1281" s="16" t="s">
        <v>22</v>
      </c>
      <c r="N1281" s="16"/>
      <c r="O1281" s="243"/>
      <c r="P1281" s="243"/>
      <c r="Q1281" s="243"/>
      <c r="R1281" s="243"/>
      <c r="S1281" s="243"/>
      <c r="T1281" s="243"/>
      <c r="U1281" s="243"/>
      <c r="V1281" s="243"/>
      <c r="W1281" s="243"/>
      <c r="X1281" s="243"/>
      <c r="Y1281" s="243"/>
      <c r="Z1281" s="243"/>
      <c r="AA1281" s="243"/>
      <c r="AB1281" s="243"/>
      <c r="AC1281" s="243"/>
      <c r="AD1281" s="243"/>
      <c r="AE1281" s="243"/>
      <c r="AF1281" s="243"/>
      <c r="AG1281" s="243"/>
      <c r="AH1281" s="243"/>
      <c r="AI1281" s="243"/>
      <c r="AJ1281" s="243"/>
      <c r="AK1281" s="243"/>
      <c r="AL1281" s="243"/>
      <c r="AM1281" s="243"/>
      <c r="AN1281" s="243"/>
      <c r="AO1281" s="243"/>
      <c r="AP1281" s="243"/>
      <c r="AQ1281" s="243"/>
      <c r="AR1281" s="243"/>
      <c r="AS1281" s="243"/>
      <c r="AT1281" s="243"/>
      <c r="AU1281" s="243"/>
      <c r="AV1281" s="243"/>
      <c r="AW1281" s="243"/>
      <c r="AX1281" s="243"/>
      <c r="AY1281" s="243"/>
      <c r="AZ1281" s="243"/>
      <c r="BA1281" s="243"/>
      <c r="BB1281" s="243"/>
      <c r="BC1281" s="243"/>
      <c r="BD1281" s="243"/>
      <c r="BE1281" s="243"/>
      <c r="BF1281" s="243"/>
      <c r="BG1281" s="243"/>
      <c r="BH1281" s="243"/>
      <c r="BI1281" s="243"/>
      <c r="BJ1281" s="243"/>
      <c r="BK1281" s="243"/>
      <c r="BL1281" s="243"/>
      <c r="BM1281" s="243"/>
      <c r="BN1281" s="243"/>
      <c r="BO1281" s="243"/>
      <c r="BP1281" s="243"/>
      <c r="BQ1281" s="243"/>
      <c r="BR1281" s="243"/>
      <c r="BS1281" s="243"/>
    </row>
    <row r="1282" spans="1:71" s="12" customFormat="1" ht="41.25" customHeight="1">
      <c r="A1282" s="178" t="s">
        <v>97</v>
      </c>
      <c r="B1282" s="75" t="str">
        <f ca="1">+UPPER(Tabla1321124[[#This Row],[DESCRIPCIÓN DE LA COMPRA O CONTRATACIÓN]])</f>
        <v>ELECTRO BOMBA SUMERGIBLE 55 GPM 3450 RPM MOTOR 2 HP</v>
      </c>
      <c r="C1282" s="39" t="s">
        <v>17</v>
      </c>
      <c r="D1282" s="236"/>
      <c r="E1282" s="236">
        <f>2+1</f>
        <v>3</v>
      </c>
      <c r="F1282" s="236">
        <v>1</v>
      </c>
      <c r="G1282" s="236">
        <f>1+1</f>
        <v>2</v>
      </c>
      <c r="H1282" s="354">
        <f>Tabla1321124[[#This Row],[CUARTO TRIMESTRE]]+Tabla1321124[[#This Row],[TERCER TRIMESTRE]]+Tabla1321124[[#This Row],[SEGUNDO TRIMESTRE]]+Tabla1321124[[#This Row],[PRIMER TRIMESTRE]]</f>
        <v>6</v>
      </c>
      <c r="I1282" s="17">
        <v>36540</v>
      </c>
      <c r="J1282" s="17">
        <f>+Tabla1321124[[#This Row],[CANTIDAD TOTAL]]*Tabla1321124[[#This Row],[PRECIO UNITARIO ESTIMADO]]</f>
        <v>219240</v>
      </c>
      <c r="K1282" s="17"/>
      <c r="L1282" s="16" t="s">
        <v>18</v>
      </c>
      <c r="M1282" s="16" t="s">
        <v>22</v>
      </c>
      <c r="N1282" s="16"/>
      <c r="O1282" s="243"/>
      <c r="P1282" s="243"/>
      <c r="Q1282" s="243"/>
      <c r="R1282" s="243"/>
      <c r="S1282" s="243"/>
      <c r="T1282" s="243"/>
      <c r="U1282" s="243"/>
      <c r="V1282" s="243"/>
      <c r="W1282" s="243"/>
      <c r="X1282" s="243"/>
      <c r="Y1282" s="243"/>
      <c r="Z1282" s="243"/>
      <c r="AA1282" s="243"/>
      <c r="AB1282" s="243"/>
      <c r="AC1282" s="243"/>
      <c r="AD1282" s="243"/>
      <c r="AE1282" s="243"/>
      <c r="AF1282" s="243"/>
      <c r="AG1282" s="243"/>
      <c r="AH1282" s="243"/>
      <c r="AI1282" s="243"/>
      <c r="AJ1282" s="243"/>
      <c r="AK1282" s="243"/>
      <c r="AL1282" s="243"/>
      <c r="AM1282" s="243"/>
      <c r="AN1282" s="243"/>
      <c r="AO1282" s="243"/>
      <c r="AP1282" s="243"/>
      <c r="AQ1282" s="243"/>
      <c r="AR1282" s="243"/>
      <c r="AS1282" s="243"/>
      <c r="AT1282" s="243"/>
      <c r="AU1282" s="243"/>
      <c r="AV1282" s="243"/>
      <c r="AW1282" s="243"/>
      <c r="AX1282" s="243"/>
      <c r="AY1282" s="243"/>
      <c r="AZ1282" s="243"/>
      <c r="BA1282" s="243"/>
      <c r="BB1282" s="243"/>
      <c r="BC1282" s="243"/>
      <c r="BD1282" s="243"/>
      <c r="BE1282" s="243"/>
      <c r="BF1282" s="243"/>
      <c r="BG1282" s="243"/>
      <c r="BH1282" s="243"/>
      <c r="BI1282" s="243"/>
      <c r="BJ1282" s="243"/>
      <c r="BK1282" s="243"/>
      <c r="BL1282" s="243"/>
      <c r="BM1282" s="243"/>
      <c r="BN1282" s="243"/>
      <c r="BO1282" s="243"/>
      <c r="BP1282" s="243"/>
      <c r="BQ1282" s="243"/>
      <c r="BR1282" s="243"/>
      <c r="BS1282" s="243"/>
    </row>
    <row r="1283" spans="1:71" s="12" customFormat="1" ht="41.25" customHeight="1">
      <c r="A1283" s="178" t="s">
        <v>97</v>
      </c>
      <c r="B1283" s="75" t="str">
        <f ca="1">+UPPER(Tabla1321124[[#This Row],[DESCRIPCIÓN DE LA COMPRA O CONTRATACIÓN]])</f>
        <v>ELECTRO BOMBA SUMERGIBLE 55 GPM 3450 RPM MOTOR 5 HP</v>
      </c>
      <c r="C1283" s="39" t="s">
        <v>17</v>
      </c>
      <c r="D1283" s="236"/>
      <c r="E1283" s="236">
        <f>2+1</f>
        <v>3</v>
      </c>
      <c r="F1283" s="236">
        <v>1</v>
      </c>
      <c r="G1283" s="236">
        <v>1</v>
      </c>
      <c r="H1283" s="354">
        <f>Tabla1321124[[#This Row],[CUARTO TRIMESTRE]]+Tabla1321124[[#This Row],[TERCER TRIMESTRE]]+Tabla1321124[[#This Row],[SEGUNDO TRIMESTRE]]+Tabla1321124[[#This Row],[PRIMER TRIMESTRE]]</f>
        <v>5</v>
      </c>
      <c r="I1283" s="17">
        <v>60262</v>
      </c>
      <c r="J1283" s="17">
        <f>+Tabla1321124[[#This Row],[CANTIDAD TOTAL]]*Tabla1321124[[#This Row],[PRECIO UNITARIO ESTIMADO]]</f>
        <v>301310</v>
      </c>
      <c r="K1283" s="17"/>
      <c r="L1283" s="16" t="s">
        <v>18</v>
      </c>
      <c r="M1283" s="16" t="s">
        <v>22</v>
      </c>
      <c r="N1283" s="16"/>
      <c r="O1283" s="243"/>
      <c r="P1283" s="243"/>
      <c r="Q1283" s="243"/>
      <c r="R1283" s="243"/>
      <c r="S1283" s="243"/>
      <c r="T1283" s="243"/>
      <c r="U1283" s="243"/>
      <c r="V1283" s="243"/>
      <c r="W1283" s="243"/>
      <c r="X1283" s="243"/>
      <c r="Y1283" s="243"/>
      <c r="Z1283" s="243"/>
      <c r="AA1283" s="243"/>
      <c r="AB1283" s="243"/>
      <c r="AC1283" s="243"/>
      <c r="AD1283" s="243"/>
      <c r="AE1283" s="243"/>
      <c r="AF1283" s="243"/>
      <c r="AG1283" s="243"/>
      <c r="AH1283" s="243"/>
      <c r="AI1283" s="243"/>
      <c r="AJ1283" s="243"/>
      <c r="AK1283" s="243"/>
      <c r="AL1283" s="243"/>
      <c r="AM1283" s="243"/>
      <c r="AN1283" s="243"/>
      <c r="AO1283" s="243"/>
      <c r="AP1283" s="243"/>
      <c r="AQ1283" s="243"/>
      <c r="AR1283" s="243"/>
      <c r="AS1283" s="243"/>
      <c r="AT1283" s="243"/>
      <c r="AU1283" s="243"/>
      <c r="AV1283" s="243"/>
      <c r="AW1283" s="243"/>
      <c r="AX1283" s="243"/>
      <c r="AY1283" s="243"/>
      <c r="AZ1283" s="243"/>
      <c r="BA1283" s="243"/>
      <c r="BB1283" s="243"/>
      <c r="BC1283" s="243"/>
      <c r="BD1283" s="243"/>
      <c r="BE1283" s="243"/>
      <c r="BF1283" s="243"/>
      <c r="BG1283" s="243"/>
      <c r="BH1283" s="243"/>
      <c r="BI1283" s="243"/>
      <c r="BJ1283" s="243"/>
      <c r="BK1283" s="243"/>
      <c r="BL1283" s="243"/>
      <c r="BM1283" s="243"/>
      <c r="BN1283" s="243"/>
      <c r="BO1283" s="243"/>
      <c r="BP1283" s="243"/>
      <c r="BQ1283" s="243"/>
      <c r="BR1283" s="243"/>
      <c r="BS1283" s="243"/>
    </row>
    <row r="1284" spans="1:71" s="12" customFormat="1" ht="41.25" customHeight="1">
      <c r="A1284" s="178" t="s">
        <v>97</v>
      </c>
      <c r="B1284" s="75" t="str">
        <f ca="1">+UPPER(Tabla1321124[[#This Row],[DESCRIPCIÓN DE LA COMPRA O CONTRATACIÓN]])</f>
        <v>ELECTRO BOMBA SUMERGIBLE 70 GPM 3450 RPM MOTOR 5 HP</v>
      </c>
      <c r="C1284" s="39" t="s">
        <v>17</v>
      </c>
      <c r="D1284" s="236"/>
      <c r="E1284" s="236">
        <f>2+2</f>
        <v>4</v>
      </c>
      <c r="F1284" s="236">
        <v>1</v>
      </c>
      <c r="G1284" s="236">
        <v>1</v>
      </c>
      <c r="H1284" s="354">
        <f>Tabla1321124[[#This Row],[CUARTO TRIMESTRE]]+Tabla1321124[[#This Row],[TERCER TRIMESTRE]]+Tabla1321124[[#This Row],[SEGUNDO TRIMESTRE]]+Tabla1321124[[#This Row],[PRIMER TRIMESTRE]]</f>
        <v>6</v>
      </c>
      <c r="I1284" s="17">
        <v>59757.4</v>
      </c>
      <c r="J1284" s="17">
        <f>+Tabla1321124[[#This Row],[CANTIDAD TOTAL]]*Tabla1321124[[#This Row],[PRECIO UNITARIO ESTIMADO]]</f>
        <v>358544.4</v>
      </c>
      <c r="K1284" s="17"/>
      <c r="L1284" s="16" t="s">
        <v>18</v>
      </c>
      <c r="M1284" s="16" t="s">
        <v>22</v>
      </c>
      <c r="N1284" s="16"/>
      <c r="O1284" s="243"/>
      <c r="P1284" s="243"/>
      <c r="Q1284" s="243"/>
      <c r="R1284" s="243"/>
      <c r="S1284" s="243"/>
      <c r="T1284" s="243"/>
      <c r="U1284" s="243"/>
      <c r="V1284" s="243"/>
      <c r="W1284" s="243"/>
      <c r="X1284" s="243"/>
      <c r="Y1284" s="243"/>
      <c r="Z1284" s="243"/>
      <c r="AA1284" s="243"/>
      <c r="AB1284" s="243"/>
      <c r="AC1284" s="243"/>
      <c r="AD1284" s="243"/>
      <c r="AE1284" s="243"/>
      <c r="AF1284" s="243"/>
      <c r="AG1284" s="243"/>
      <c r="AH1284" s="243"/>
      <c r="AI1284" s="243"/>
      <c r="AJ1284" s="243"/>
      <c r="AK1284" s="243"/>
      <c r="AL1284" s="243"/>
      <c r="AM1284" s="243"/>
      <c r="AN1284" s="243"/>
      <c r="AO1284" s="243"/>
      <c r="AP1284" s="243"/>
      <c r="AQ1284" s="243"/>
      <c r="AR1284" s="243"/>
      <c r="AS1284" s="243"/>
      <c r="AT1284" s="243"/>
      <c r="AU1284" s="243"/>
      <c r="AV1284" s="243"/>
      <c r="AW1284" s="243"/>
      <c r="AX1284" s="243"/>
      <c r="AY1284" s="243"/>
      <c r="AZ1284" s="243"/>
      <c r="BA1284" s="243"/>
      <c r="BB1284" s="243"/>
      <c r="BC1284" s="243"/>
      <c r="BD1284" s="243"/>
      <c r="BE1284" s="243"/>
      <c r="BF1284" s="243"/>
      <c r="BG1284" s="243"/>
      <c r="BH1284" s="243"/>
      <c r="BI1284" s="243"/>
      <c r="BJ1284" s="243"/>
      <c r="BK1284" s="243"/>
      <c r="BL1284" s="243"/>
      <c r="BM1284" s="243"/>
      <c r="BN1284" s="243"/>
      <c r="BO1284" s="243"/>
      <c r="BP1284" s="243"/>
      <c r="BQ1284" s="243"/>
      <c r="BR1284" s="243"/>
      <c r="BS1284" s="243"/>
    </row>
    <row r="1285" spans="1:71" s="12" customFormat="1" ht="41.25" customHeight="1">
      <c r="A1285" s="178" t="s">
        <v>97</v>
      </c>
      <c r="B1285" s="77" t="str">
        <f ca="1">+UPPER(Tabla1321124[[#This Row],[DESCRIPCIÓN DE LA COMPRA O CONTRATACIÓN]])</f>
        <v>ELECTRO BOMBA SUMERGIBLE 200 GPM MOTOR 7.5 HP</v>
      </c>
      <c r="C1285" s="39" t="s">
        <v>17</v>
      </c>
      <c r="D1285" s="365"/>
      <c r="E1285" s="365">
        <v>1</v>
      </c>
      <c r="F1285" s="365"/>
      <c r="G1285" s="365">
        <v>1</v>
      </c>
      <c r="H1285" s="354">
        <f>Tabla1321124[[#This Row],[CUARTO TRIMESTRE]]+Tabla1321124[[#This Row],[TERCER TRIMESTRE]]+Tabla1321124[[#This Row],[SEGUNDO TRIMESTRE]]+Tabla1321124[[#This Row],[PRIMER TRIMESTRE]]</f>
        <v>2</v>
      </c>
      <c r="I1285" s="17">
        <v>50900</v>
      </c>
      <c r="J1285" s="17">
        <f>Tabla1321124[[#This Row],[PRECIO UNITARIO ESTIMADO]]*Tabla1321124[[#This Row],[CANTIDAD TOTAL]]</f>
        <v>101800</v>
      </c>
      <c r="K1285" s="175"/>
      <c r="L1285" s="16" t="s">
        <v>18</v>
      </c>
      <c r="M1285" s="16" t="s">
        <v>22</v>
      </c>
      <c r="N1285" s="16"/>
      <c r="O1285" s="243"/>
      <c r="P1285" s="243"/>
      <c r="Q1285" s="243"/>
      <c r="R1285" s="243"/>
      <c r="S1285" s="243"/>
      <c r="T1285" s="243"/>
      <c r="U1285" s="243"/>
      <c r="V1285" s="243"/>
      <c r="W1285" s="243"/>
      <c r="X1285" s="243"/>
      <c r="Y1285" s="243"/>
      <c r="Z1285" s="243"/>
      <c r="AA1285" s="243"/>
      <c r="AB1285" s="243"/>
      <c r="AC1285" s="243"/>
      <c r="AD1285" s="243"/>
      <c r="AE1285" s="243"/>
      <c r="AF1285" s="243"/>
      <c r="AG1285" s="243"/>
      <c r="AH1285" s="243"/>
      <c r="AI1285" s="243"/>
      <c r="AJ1285" s="243"/>
      <c r="AK1285" s="243"/>
      <c r="AL1285" s="243"/>
      <c r="AM1285" s="243"/>
      <c r="AN1285" s="243"/>
      <c r="AO1285" s="243"/>
      <c r="AP1285" s="243"/>
      <c r="AQ1285" s="243"/>
      <c r="AR1285" s="243"/>
      <c r="AS1285" s="243"/>
      <c r="AT1285" s="243"/>
      <c r="AU1285" s="243"/>
      <c r="AV1285" s="243"/>
      <c r="AW1285" s="243"/>
      <c r="AX1285" s="243"/>
      <c r="AY1285" s="243"/>
      <c r="AZ1285" s="243"/>
      <c r="BA1285" s="243"/>
      <c r="BB1285" s="243"/>
      <c r="BC1285" s="243"/>
      <c r="BD1285" s="243"/>
      <c r="BE1285" s="243"/>
      <c r="BF1285" s="243"/>
      <c r="BG1285" s="243"/>
      <c r="BH1285" s="243"/>
      <c r="BI1285" s="243"/>
      <c r="BJ1285" s="243"/>
      <c r="BK1285" s="243"/>
      <c r="BL1285" s="243"/>
      <c r="BM1285" s="243"/>
      <c r="BN1285" s="243"/>
      <c r="BO1285" s="243"/>
      <c r="BP1285" s="243"/>
      <c r="BQ1285" s="243"/>
      <c r="BR1285" s="243"/>
      <c r="BS1285" s="243"/>
    </row>
    <row r="1286" spans="1:71" s="12" customFormat="1" ht="41.25" customHeight="1">
      <c r="A1286" s="178" t="s">
        <v>97</v>
      </c>
      <c r="B1286" s="77" t="str">
        <f ca="1">+UPPER(Tabla1321124[[#This Row],[DESCRIPCIÓN DE LA COMPRA O CONTRATACIÓN]])</f>
        <v>ELECTRO BOMBA SUMERGIBLE 200 GPM MOTOR 3450 RPM 60HP</v>
      </c>
      <c r="C1286" s="39" t="s">
        <v>17</v>
      </c>
      <c r="D1286" s="365"/>
      <c r="E1286" s="365">
        <v>1</v>
      </c>
      <c r="F1286" s="365"/>
      <c r="G1286" s="365">
        <v>2</v>
      </c>
      <c r="H1286" s="354">
        <f>Tabla1321124[[#This Row],[CUARTO TRIMESTRE]]+Tabla1321124[[#This Row],[TERCER TRIMESTRE]]+Tabla1321124[[#This Row],[SEGUNDO TRIMESTRE]]+Tabla1321124[[#This Row],[PRIMER TRIMESTRE]]</f>
        <v>3</v>
      </c>
      <c r="I1286" s="17">
        <v>53900</v>
      </c>
      <c r="J1286" s="17">
        <f>Tabla1321124[[#This Row],[PRECIO UNITARIO ESTIMADO]]*Tabla1321124[[#This Row],[CANTIDAD TOTAL]]</f>
        <v>161700</v>
      </c>
      <c r="K1286" s="175"/>
      <c r="L1286" s="16" t="s">
        <v>18</v>
      </c>
      <c r="M1286" s="16" t="s">
        <v>22</v>
      </c>
      <c r="N1286" s="16"/>
      <c r="O1286" s="243"/>
      <c r="P1286" s="243"/>
      <c r="Q1286" s="243"/>
      <c r="R1286" s="243"/>
      <c r="S1286" s="243"/>
      <c r="T1286" s="243"/>
      <c r="U1286" s="243"/>
      <c r="V1286" s="243"/>
      <c r="W1286" s="243"/>
      <c r="X1286" s="243"/>
      <c r="Y1286" s="243"/>
      <c r="Z1286" s="243"/>
      <c r="AA1286" s="243"/>
      <c r="AB1286" s="243"/>
      <c r="AC1286" s="243"/>
      <c r="AD1286" s="243"/>
      <c r="AE1286" s="243"/>
      <c r="AF1286" s="243"/>
      <c r="AG1286" s="243"/>
      <c r="AH1286" s="243"/>
      <c r="AI1286" s="243"/>
      <c r="AJ1286" s="243"/>
      <c r="AK1286" s="243"/>
      <c r="AL1286" s="243"/>
      <c r="AM1286" s="243"/>
      <c r="AN1286" s="243"/>
      <c r="AO1286" s="243"/>
      <c r="AP1286" s="243"/>
      <c r="AQ1286" s="243"/>
      <c r="AR1286" s="243"/>
      <c r="AS1286" s="243"/>
      <c r="AT1286" s="243"/>
      <c r="AU1286" s="243"/>
      <c r="AV1286" s="243"/>
      <c r="AW1286" s="243"/>
      <c r="AX1286" s="243"/>
      <c r="AY1286" s="243"/>
      <c r="AZ1286" s="243"/>
      <c r="BA1286" s="243"/>
      <c r="BB1286" s="243"/>
      <c r="BC1286" s="243"/>
      <c r="BD1286" s="243"/>
      <c r="BE1286" s="243"/>
      <c r="BF1286" s="243"/>
      <c r="BG1286" s="243"/>
      <c r="BH1286" s="243"/>
      <c r="BI1286" s="243"/>
      <c r="BJ1286" s="243"/>
      <c r="BK1286" s="243"/>
      <c r="BL1286" s="243"/>
      <c r="BM1286" s="243"/>
      <c r="BN1286" s="243"/>
      <c r="BO1286" s="243"/>
      <c r="BP1286" s="243"/>
      <c r="BQ1286" s="243"/>
      <c r="BR1286" s="243"/>
      <c r="BS1286" s="243"/>
    </row>
    <row r="1287" spans="1:71" s="12" customFormat="1" ht="41.25" customHeight="1">
      <c r="A1287" s="178" t="s">
        <v>97</v>
      </c>
      <c r="B1287" s="77" t="str">
        <f ca="1">+UPPER(Tabla1321124[[#This Row],[DESCRIPCIÓN DE LA COMPRA O CONTRATACIÓN]])</f>
        <v>ELECTRO BOMBA HORIZONTAL MONOBLOK DE 3/4 HF, 12GPM 1 PH</v>
      </c>
      <c r="C1287" s="39" t="s">
        <v>17</v>
      </c>
      <c r="D1287" s="378"/>
      <c r="E1287" s="365">
        <v>1</v>
      </c>
      <c r="F1287" s="365"/>
      <c r="G1287" s="365">
        <v>3</v>
      </c>
      <c r="H1287" s="354">
        <f>Tabla1321124[[#This Row],[CUARTO TRIMESTRE]]+Tabla1321124[[#This Row],[TERCER TRIMESTRE]]+Tabla1321124[[#This Row],[SEGUNDO TRIMESTRE]]+Tabla1321124[[#This Row],[PRIMER TRIMESTRE]]</f>
        <v>4</v>
      </c>
      <c r="I1287" s="17">
        <v>57300</v>
      </c>
      <c r="J1287" s="17">
        <f>Tabla1321124[[#This Row],[PRECIO UNITARIO ESTIMADO]]*Tabla1321124[[#This Row],[CANTIDAD TOTAL]]</f>
        <v>229200</v>
      </c>
      <c r="K1287" s="175"/>
      <c r="L1287" s="16" t="s">
        <v>18</v>
      </c>
      <c r="M1287" s="16" t="s">
        <v>22</v>
      </c>
      <c r="N1287" s="16"/>
      <c r="O1287" s="243"/>
      <c r="P1287" s="243"/>
      <c r="Q1287" s="243"/>
      <c r="R1287" s="243"/>
      <c r="S1287" s="243"/>
      <c r="T1287" s="243"/>
      <c r="U1287" s="243"/>
      <c r="V1287" s="243"/>
      <c r="W1287" s="243"/>
      <c r="X1287" s="243"/>
      <c r="Y1287" s="243"/>
      <c r="Z1287" s="243"/>
      <c r="AA1287" s="243"/>
      <c r="AB1287" s="243"/>
      <c r="AC1287" s="243"/>
      <c r="AD1287" s="243"/>
      <c r="AE1287" s="243"/>
      <c r="AF1287" s="243"/>
      <c r="AG1287" s="243"/>
      <c r="AH1287" s="243"/>
      <c r="AI1287" s="243"/>
      <c r="AJ1287" s="243"/>
      <c r="AK1287" s="243"/>
      <c r="AL1287" s="243"/>
      <c r="AM1287" s="243"/>
      <c r="AN1287" s="243"/>
      <c r="AO1287" s="243"/>
      <c r="AP1287" s="243"/>
      <c r="AQ1287" s="243"/>
      <c r="AR1287" s="243"/>
      <c r="AS1287" s="243"/>
      <c r="AT1287" s="243"/>
      <c r="AU1287" s="243"/>
      <c r="AV1287" s="243"/>
      <c r="AW1287" s="243"/>
      <c r="AX1287" s="243"/>
      <c r="AY1287" s="243"/>
      <c r="AZ1287" s="243"/>
      <c r="BA1287" s="243"/>
      <c r="BB1287" s="243"/>
      <c r="BC1287" s="243"/>
      <c r="BD1287" s="243"/>
      <c r="BE1287" s="243"/>
      <c r="BF1287" s="243"/>
      <c r="BG1287" s="243"/>
      <c r="BH1287" s="243"/>
      <c r="BI1287" s="243"/>
      <c r="BJ1287" s="243"/>
      <c r="BK1287" s="243"/>
      <c r="BL1287" s="243"/>
      <c r="BM1287" s="243"/>
      <c r="BN1287" s="243"/>
      <c r="BO1287" s="243"/>
      <c r="BP1287" s="243"/>
      <c r="BQ1287" s="243"/>
      <c r="BR1287" s="243"/>
      <c r="BS1287" s="243"/>
    </row>
    <row r="1288" spans="1:71" s="12" customFormat="1" ht="41.25" customHeight="1">
      <c r="A1288" s="178" t="s">
        <v>97</v>
      </c>
      <c r="B1288" s="77" t="str">
        <f ca="1">+UPPER(Tabla1321124[[#This Row],[DESCRIPCIÓN DE LA COMPRA O CONTRATACIÓN]])</f>
        <v>ELECTRO BOMBA CENTRIFUGA 140 GPM 3500 RPM 10 HP</v>
      </c>
      <c r="C1288" s="39" t="s">
        <v>17</v>
      </c>
      <c r="D1288" s="365"/>
      <c r="E1288" s="365">
        <v>1</v>
      </c>
      <c r="F1288" s="365"/>
      <c r="G1288" s="365"/>
      <c r="H1288" s="354">
        <f>Tabla1321124[[#This Row],[CUARTO TRIMESTRE]]+Tabla1321124[[#This Row],[TERCER TRIMESTRE]]+Tabla1321124[[#This Row],[SEGUNDO TRIMESTRE]]+Tabla1321124[[#This Row],[PRIMER TRIMESTRE]]</f>
        <v>1</v>
      </c>
      <c r="I1288" s="17">
        <v>48000</v>
      </c>
      <c r="J1288" s="17">
        <f>Tabla1321124[[#This Row],[PRECIO UNITARIO ESTIMADO]]*Tabla1321124[[#This Row],[CANTIDAD TOTAL]]</f>
        <v>48000</v>
      </c>
      <c r="K1288" s="175"/>
      <c r="L1288" s="16" t="s">
        <v>18</v>
      </c>
      <c r="M1288" s="16" t="s">
        <v>22</v>
      </c>
      <c r="N1288" s="16"/>
      <c r="O1288" s="243"/>
      <c r="P1288" s="243"/>
      <c r="Q1288" s="243"/>
      <c r="R1288" s="243"/>
      <c r="S1288" s="243"/>
      <c r="T1288" s="243"/>
      <c r="U1288" s="243"/>
      <c r="V1288" s="243"/>
      <c r="W1288" s="243"/>
      <c r="X1288" s="243"/>
      <c r="Y1288" s="243"/>
      <c r="Z1288" s="243"/>
      <c r="AA1288" s="243"/>
      <c r="AB1288" s="243"/>
      <c r="AC1288" s="243"/>
      <c r="AD1288" s="243"/>
      <c r="AE1288" s="243"/>
      <c r="AF1288" s="243"/>
      <c r="AG1288" s="243"/>
      <c r="AH1288" s="243"/>
      <c r="AI1288" s="243"/>
      <c r="AJ1288" s="243"/>
      <c r="AK1288" s="243"/>
      <c r="AL1288" s="243"/>
      <c r="AM1288" s="243"/>
      <c r="AN1288" s="243"/>
      <c r="AO1288" s="243"/>
      <c r="AP1288" s="243"/>
      <c r="AQ1288" s="243"/>
      <c r="AR1288" s="243"/>
      <c r="AS1288" s="243"/>
      <c r="AT1288" s="243"/>
      <c r="AU1288" s="243"/>
      <c r="AV1288" s="243"/>
      <c r="AW1288" s="243"/>
      <c r="AX1288" s="243"/>
      <c r="AY1288" s="243"/>
      <c r="AZ1288" s="243"/>
      <c r="BA1288" s="243"/>
      <c r="BB1288" s="243"/>
      <c r="BC1288" s="243"/>
      <c r="BD1288" s="243"/>
      <c r="BE1288" s="243"/>
      <c r="BF1288" s="243"/>
      <c r="BG1288" s="243"/>
      <c r="BH1288" s="243"/>
      <c r="BI1288" s="243"/>
      <c r="BJ1288" s="243"/>
      <c r="BK1288" s="243"/>
      <c r="BL1288" s="243"/>
      <c r="BM1288" s="243"/>
      <c r="BN1288" s="243"/>
      <c r="BO1288" s="243"/>
      <c r="BP1288" s="243"/>
      <c r="BQ1288" s="243"/>
      <c r="BR1288" s="243"/>
      <c r="BS1288" s="243"/>
    </row>
    <row r="1289" spans="1:71" s="12" customFormat="1" ht="56.25" customHeight="1">
      <c r="A1289" s="178" t="s">
        <v>97</v>
      </c>
      <c r="B1289" s="77" t="str">
        <f ca="1">+UPPER(Tabla1321124[[#This Row],[DESCRIPCIÓN DE LA COMPRA O CONTRATACIÓN]])</f>
        <v xml:space="preserve">ELECTRO BOMBA CENTRIFUGA  60 GPM  120 TDH DE 20 HP </v>
      </c>
      <c r="C1289" s="39" t="s">
        <v>17</v>
      </c>
      <c r="D1289" s="365"/>
      <c r="E1289" s="365">
        <v>1</v>
      </c>
      <c r="F1289" s="365"/>
      <c r="G1289" s="365"/>
      <c r="H1289" s="354">
        <f>Tabla1321124[[#This Row],[CUARTO TRIMESTRE]]+Tabla1321124[[#This Row],[TERCER TRIMESTRE]]+Tabla1321124[[#This Row],[SEGUNDO TRIMESTRE]]+Tabla1321124[[#This Row],[PRIMER TRIMESTRE]]</f>
        <v>1</v>
      </c>
      <c r="I1289" s="17">
        <v>51000</v>
      </c>
      <c r="J1289" s="17">
        <f>Tabla1321124[[#This Row],[PRECIO UNITARIO ESTIMADO]]*Tabla1321124[[#This Row],[CANTIDAD TOTAL]]</f>
        <v>51000</v>
      </c>
      <c r="K1289" s="175"/>
      <c r="L1289" s="16" t="s">
        <v>18</v>
      </c>
      <c r="M1289" s="16" t="s">
        <v>22</v>
      </c>
      <c r="N1289" s="16"/>
      <c r="O1289" s="243"/>
      <c r="P1289" s="243"/>
      <c r="Q1289" s="243"/>
      <c r="R1289" s="243"/>
      <c r="S1289" s="243"/>
      <c r="T1289" s="243"/>
      <c r="U1289" s="243"/>
      <c r="V1289" s="243"/>
      <c r="W1289" s="243"/>
      <c r="X1289" s="243"/>
      <c r="Y1289" s="243"/>
      <c r="Z1289" s="243"/>
      <c r="AA1289" s="243"/>
      <c r="AB1289" s="243"/>
      <c r="AC1289" s="243"/>
      <c r="AD1289" s="243"/>
      <c r="AE1289" s="243"/>
      <c r="AF1289" s="243"/>
      <c r="AG1289" s="243"/>
      <c r="AH1289" s="243"/>
      <c r="AI1289" s="243"/>
      <c r="AJ1289" s="243"/>
      <c r="AK1289" s="243"/>
      <c r="AL1289" s="243"/>
      <c r="AM1289" s="243"/>
      <c r="AN1289" s="243"/>
      <c r="AO1289" s="243"/>
      <c r="AP1289" s="243"/>
      <c r="AQ1289" s="243"/>
      <c r="AR1289" s="243"/>
      <c r="AS1289" s="243"/>
      <c r="AT1289" s="243"/>
      <c r="AU1289" s="243"/>
      <c r="AV1289" s="243"/>
      <c r="AW1289" s="243"/>
      <c r="AX1289" s="243"/>
      <c r="AY1289" s="243"/>
      <c r="AZ1289" s="243"/>
      <c r="BA1289" s="243"/>
      <c r="BB1289" s="243"/>
      <c r="BC1289" s="243"/>
      <c r="BD1289" s="243"/>
      <c r="BE1289" s="243"/>
      <c r="BF1289" s="243"/>
      <c r="BG1289" s="243"/>
      <c r="BH1289" s="243"/>
      <c r="BI1289" s="243"/>
      <c r="BJ1289" s="243"/>
      <c r="BK1289" s="243"/>
      <c r="BL1289" s="243"/>
      <c r="BM1289" s="243"/>
      <c r="BN1289" s="243"/>
      <c r="BO1289" s="243"/>
      <c r="BP1289" s="243"/>
      <c r="BQ1289" s="243"/>
      <c r="BR1289" s="243"/>
      <c r="BS1289" s="243"/>
    </row>
    <row r="1290" spans="1:71" s="26" customFormat="1" ht="63" customHeight="1">
      <c r="A1290" s="178" t="s">
        <v>97</v>
      </c>
      <c r="B1290" s="328" t="str">
        <f ca="1">+UPPER(Tabla1321124[[#This Row],[DESCRIPCIÓN DE LA COMPRA O CONTRATACIÓN]])</f>
        <v>ELECTROBOMBA CENTRIFUGA SUMERGIBLE CON CAPACIDAD DE 100 GPM VS 150 PIES DE TDH, ACOPLADA A MOTOR DE 7,5, 230V 1Ø, 3,450 RPM CON SU CAJA DE CONTROL</v>
      </c>
      <c r="C1290" s="39" t="s">
        <v>17</v>
      </c>
      <c r="D1290" s="236"/>
      <c r="E1290" s="236">
        <v>1</v>
      </c>
      <c r="F1290" s="236">
        <v>2</v>
      </c>
      <c r="G1290" s="236">
        <v>1</v>
      </c>
      <c r="H1290" s="354">
        <f>Tabla1321124[[#This Row],[CUARTO TRIMESTRE]]+Tabla1321124[[#This Row],[TERCER TRIMESTRE]]+Tabla1321124[[#This Row],[SEGUNDO TRIMESTRE]]+Tabla1321124[[#This Row],[PRIMER TRIMESTRE]]</f>
        <v>4</v>
      </c>
      <c r="I1290" s="17">
        <v>70000</v>
      </c>
      <c r="J1290" s="330">
        <f>Tabla1321124[[#This Row],[PRECIO UNITARIO ESTIMADO]]*Tabla1321124[[#This Row],[CANTIDAD TOTAL]]</f>
        <v>280000</v>
      </c>
      <c r="K1290" s="330"/>
      <c r="L1290" s="16" t="s">
        <v>18</v>
      </c>
      <c r="M1290" s="16" t="s">
        <v>22</v>
      </c>
      <c r="N1290" s="16"/>
      <c r="O1290" s="243"/>
      <c r="P1290" s="243"/>
      <c r="Q1290" s="243"/>
      <c r="R1290" s="243"/>
      <c r="S1290" s="243"/>
      <c r="T1290" s="243"/>
      <c r="U1290" s="243"/>
      <c r="V1290" s="243"/>
      <c r="W1290" s="243"/>
      <c r="X1290" s="243"/>
      <c r="Y1290" s="243"/>
      <c r="Z1290" s="243"/>
      <c r="AA1290" s="243"/>
      <c r="AB1290" s="243"/>
      <c r="AC1290" s="243"/>
      <c r="AD1290" s="243"/>
      <c r="AE1290" s="243"/>
      <c r="AF1290" s="243"/>
      <c r="AG1290" s="243"/>
      <c r="AH1290" s="243"/>
      <c r="AI1290" s="243"/>
      <c r="AJ1290" s="243"/>
      <c r="AK1290" s="243"/>
      <c r="AL1290" s="243"/>
      <c r="AM1290" s="243"/>
      <c r="AN1290" s="243"/>
      <c r="AO1290" s="243"/>
      <c r="AP1290" s="243"/>
      <c r="AQ1290" s="243"/>
      <c r="AR1290" s="243"/>
      <c r="AS1290" s="243"/>
      <c r="AT1290" s="243"/>
      <c r="AU1290" s="243"/>
      <c r="AV1290" s="243"/>
      <c r="AW1290" s="243"/>
      <c r="AX1290" s="243"/>
      <c r="AY1290" s="243"/>
      <c r="AZ1290" s="243"/>
      <c r="BA1290" s="243"/>
      <c r="BB1290" s="243"/>
      <c r="BC1290" s="243"/>
      <c r="BD1290" s="243"/>
      <c r="BE1290" s="243"/>
      <c r="BF1290" s="243"/>
      <c r="BG1290" s="243"/>
      <c r="BH1290" s="243"/>
      <c r="BI1290" s="243"/>
      <c r="BJ1290" s="243"/>
      <c r="BK1290" s="243"/>
      <c r="BL1290" s="243"/>
      <c r="BM1290" s="243"/>
      <c r="BN1290" s="243"/>
      <c r="BO1290" s="243"/>
      <c r="BP1290" s="243"/>
      <c r="BQ1290" s="243"/>
      <c r="BR1290" s="243"/>
      <c r="BS1290" s="243"/>
    </row>
    <row r="1291" spans="1:71" s="26" customFormat="1" ht="63" customHeight="1">
      <c r="A1291" s="178" t="s">
        <v>97</v>
      </c>
      <c r="B1291" s="328" t="str">
        <f ca="1">+UPPER(Tabla1321124[[#This Row],[DESCRIPCIÓN DE LA COMPRA O CONTRATACIÓN]])</f>
        <v>ELECTROBOMBA CENTRIFUGA SUMERGIBLE CON CAPACIDAD DE 58 GPM VS 170 PIES TDH, ACOPLADA A MOTOR DE 5 HP. 230V, 1Ø, 3450 RPM CON SU CAJA DE CONTROL</v>
      </c>
      <c r="C1291" s="39" t="s">
        <v>17</v>
      </c>
      <c r="D1291" s="236"/>
      <c r="E1291" s="236">
        <v>1</v>
      </c>
      <c r="F1291" s="236">
        <v>1</v>
      </c>
      <c r="G1291" s="236">
        <v>1</v>
      </c>
      <c r="H1291" s="354">
        <f>Tabla1321124[[#This Row],[CUARTO TRIMESTRE]]+Tabla1321124[[#This Row],[TERCER TRIMESTRE]]+Tabla1321124[[#This Row],[SEGUNDO TRIMESTRE]]+Tabla1321124[[#This Row],[PRIMER TRIMESTRE]]</f>
        <v>3</v>
      </c>
      <c r="I1291" s="17">
        <v>70000</v>
      </c>
      <c r="J1291" s="330">
        <f>Tabla1321124[[#This Row],[PRECIO UNITARIO ESTIMADO]]*Tabla1321124[[#This Row],[CANTIDAD TOTAL]]</f>
        <v>210000</v>
      </c>
      <c r="K1291" s="330"/>
      <c r="L1291" s="16" t="s">
        <v>18</v>
      </c>
      <c r="M1291" s="16" t="s">
        <v>22</v>
      </c>
      <c r="N1291" s="16"/>
      <c r="O1291" s="243"/>
      <c r="P1291" s="243"/>
      <c r="Q1291" s="243"/>
      <c r="R1291" s="243"/>
      <c r="S1291" s="243"/>
      <c r="T1291" s="243"/>
      <c r="U1291" s="243"/>
      <c r="V1291" s="243"/>
      <c r="W1291" s="243"/>
      <c r="X1291" s="243"/>
      <c r="Y1291" s="243"/>
      <c r="Z1291" s="243"/>
      <c r="AA1291" s="243"/>
      <c r="AB1291" s="243"/>
      <c r="AC1291" s="243"/>
      <c r="AD1291" s="243"/>
      <c r="AE1291" s="243"/>
      <c r="AF1291" s="243"/>
      <c r="AG1291" s="243"/>
      <c r="AH1291" s="243"/>
      <c r="AI1291" s="243"/>
      <c r="AJ1291" s="243"/>
      <c r="AK1291" s="243"/>
      <c r="AL1291" s="243"/>
      <c r="AM1291" s="243"/>
      <c r="AN1291" s="243"/>
      <c r="AO1291" s="243"/>
      <c r="AP1291" s="243"/>
      <c r="AQ1291" s="243"/>
      <c r="AR1291" s="243"/>
      <c r="AS1291" s="243"/>
      <c r="AT1291" s="243"/>
      <c r="AU1291" s="243"/>
      <c r="AV1291" s="243"/>
      <c r="AW1291" s="243"/>
      <c r="AX1291" s="243"/>
      <c r="AY1291" s="243"/>
      <c r="AZ1291" s="243"/>
      <c r="BA1291" s="243"/>
      <c r="BB1291" s="243"/>
      <c r="BC1291" s="243"/>
      <c r="BD1291" s="243"/>
      <c r="BE1291" s="243"/>
      <c r="BF1291" s="243"/>
      <c r="BG1291" s="243"/>
      <c r="BH1291" s="243"/>
      <c r="BI1291" s="243"/>
      <c r="BJ1291" s="243"/>
      <c r="BK1291" s="243"/>
      <c r="BL1291" s="243"/>
      <c r="BM1291" s="243"/>
      <c r="BN1291" s="243"/>
      <c r="BO1291" s="243"/>
      <c r="BP1291" s="243"/>
      <c r="BQ1291" s="243"/>
      <c r="BR1291" s="243"/>
      <c r="BS1291" s="243"/>
    </row>
    <row r="1292" spans="1:71" s="26" customFormat="1" ht="41.25" customHeight="1">
      <c r="A1292" s="178" t="s">
        <v>97</v>
      </c>
      <c r="B1292" s="328" t="str">
        <f ca="1">+UPPER(Tabla1321124[[#This Row],[DESCRIPCIÓN DE LA COMPRA O CONTRATACIÓN]])</f>
        <v xml:space="preserve">IMPULSOR DE BOMBA </v>
      </c>
      <c r="C1292" s="39" t="s">
        <v>17</v>
      </c>
      <c r="D1292" s="236">
        <v>10</v>
      </c>
      <c r="E1292" s="236">
        <v>1</v>
      </c>
      <c r="F1292" s="236">
        <v>1</v>
      </c>
      <c r="G1292" s="236">
        <v>3</v>
      </c>
      <c r="H1292" s="354">
        <f>Tabla1321124[[#This Row],[CUARTO TRIMESTRE]]+Tabla1321124[[#This Row],[TERCER TRIMESTRE]]+Tabla1321124[[#This Row],[SEGUNDO TRIMESTRE]]+Tabla1321124[[#This Row],[PRIMER TRIMESTRE]]</f>
        <v>15</v>
      </c>
      <c r="I1292" s="17">
        <f>1252664.4/5</f>
        <v>250532.87999999998</v>
      </c>
      <c r="J1292" s="17">
        <f>+Tabla1321124[[#This Row],[CANTIDAD TOTAL]]*Tabla1321124[[#This Row],[PRECIO UNITARIO ESTIMADO]]</f>
        <v>3757993.1999999997</v>
      </c>
      <c r="K1292" s="17"/>
      <c r="L1292" s="16" t="s">
        <v>18</v>
      </c>
      <c r="M1292" s="16" t="s">
        <v>22</v>
      </c>
      <c r="N1292" s="16"/>
      <c r="O1292" s="243"/>
      <c r="P1292" s="243"/>
      <c r="Q1292" s="243"/>
      <c r="R1292" s="243"/>
      <c r="S1292" s="243"/>
      <c r="T1292" s="243"/>
      <c r="U1292" s="243"/>
      <c r="V1292" s="243"/>
      <c r="W1292" s="243"/>
      <c r="X1292" s="243"/>
      <c r="Y1292" s="243"/>
      <c r="Z1292" s="243"/>
      <c r="AA1292" s="243"/>
      <c r="AB1292" s="243"/>
      <c r="AC1292" s="243"/>
      <c r="AD1292" s="243"/>
      <c r="AE1292" s="243"/>
      <c r="AF1292" s="243"/>
      <c r="AG1292" s="243"/>
      <c r="AH1292" s="243"/>
      <c r="AI1292" s="243"/>
      <c r="AJ1292" s="243"/>
      <c r="AK1292" s="243"/>
      <c r="AL1292" s="243"/>
      <c r="AM1292" s="243"/>
      <c r="AN1292" s="243"/>
      <c r="AO1292" s="243"/>
      <c r="AP1292" s="243"/>
      <c r="AQ1292" s="243"/>
      <c r="AR1292" s="243"/>
      <c r="AS1292" s="243"/>
      <c r="AT1292" s="243"/>
      <c r="AU1292" s="243"/>
      <c r="AV1292" s="243"/>
      <c r="AW1292" s="243"/>
      <c r="AX1292" s="243"/>
      <c r="AY1292" s="243"/>
      <c r="AZ1292" s="243"/>
      <c r="BA1292" s="243"/>
      <c r="BB1292" s="243"/>
      <c r="BC1292" s="243"/>
      <c r="BD1292" s="243"/>
      <c r="BE1292" s="243"/>
      <c r="BF1292" s="243"/>
      <c r="BG1292" s="243"/>
      <c r="BH1292" s="243"/>
      <c r="BI1292" s="243"/>
      <c r="BJ1292" s="243"/>
      <c r="BK1292" s="243"/>
      <c r="BL1292" s="243"/>
      <c r="BM1292" s="243"/>
      <c r="BN1292" s="243"/>
      <c r="BO1292" s="243"/>
      <c r="BP1292" s="243"/>
      <c r="BQ1292" s="243"/>
      <c r="BR1292" s="243"/>
      <c r="BS1292" s="243"/>
    </row>
    <row r="1293" spans="1:71" s="26" customFormat="1" ht="41.25" customHeight="1">
      <c r="A1293" s="178" t="s">
        <v>97</v>
      </c>
      <c r="B1293" s="75" t="str">
        <f ca="1">+UPPER(Tabla1321124[[#This Row],[DESCRIPCIÓN DE LA COMPRA O CONTRATACIÓN]])</f>
        <v>ELECTRO BOMBA SUMERGIBLE DE 15HP, 230V, 60HZ, 1</v>
      </c>
      <c r="C1293" s="39" t="s">
        <v>17</v>
      </c>
      <c r="D1293" s="236">
        <v>1</v>
      </c>
      <c r="E1293" s="236">
        <v>1</v>
      </c>
      <c r="F1293" s="236">
        <v>1</v>
      </c>
      <c r="G1293" s="236">
        <v>1</v>
      </c>
      <c r="H1293" s="354">
        <f>Tabla1321124[[#This Row],[CUARTO TRIMESTRE]]+Tabla1321124[[#This Row],[TERCER TRIMESTRE]]+Tabla1321124[[#This Row],[SEGUNDO TRIMESTRE]]+Tabla1321124[[#This Row],[PRIMER TRIMESTRE]]</f>
        <v>4</v>
      </c>
      <c r="I1293" s="17">
        <v>250532.68</v>
      </c>
      <c r="J1293" s="17">
        <f>+H1293*I1293</f>
        <v>1002130.72</v>
      </c>
      <c r="K1293" s="17"/>
      <c r="L1293" s="16" t="s">
        <v>18</v>
      </c>
      <c r="M1293" s="16" t="s">
        <v>22</v>
      </c>
      <c r="N1293" s="16"/>
      <c r="O1293" s="243"/>
      <c r="P1293" s="243"/>
      <c r="Q1293" s="243"/>
      <c r="R1293" s="243"/>
      <c r="S1293" s="243"/>
      <c r="T1293" s="243"/>
      <c r="U1293" s="243"/>
      <c r="V1293" s="243"/>
      <c r="W1293" s="243"/>
      <c r="X1293" s="243"/>
      <c r="Y1293" s="243"/>
      <c r="Z1293" s="243"/>
      <c r="AA1293" s="243"/>
      <c r="AB1293" s="243"/>
      <c r="AC1293" s="243"/>
      <c r="AD1293" s="243"/>
      <c r="AE1293" s="243"/>
      <c r="AF1293" s="243"/>
      <c r="AG1293" s="243"/>
      <c r="AH1293" s="243"/>
      <c r="AI1293" s="243"/>
      <c r="AJ1293" s="243"/>
      <c r="AK1293" s="243"/>
      <c r="AL1293" s="243"/>
      <c r="AM1293" s="243"/>
      <c r="AN1293" s="243"/>
      <c r="AO1293" s="243"/>
      <c r="AP1293" s="243"/>
      <c r="AQ1293" s="243"/>
      <c r="AR1293" s="243"/>
      <c r="AS1293" s="243"/>
      <c r="AT1293" s="243"/>
      <c r="AU1293" s="243"/>
      <c r="AV1293" s="243"/>
      <c r="AW1293" s="243"/>
      <c r="AX1293" s="243"/>
      <c r="AY1293" s="243"/>
      <c r="AZ1293" s="243"/>
      <c r="BA1293" s="243"/>
      <c r="BB1293" s="243"/>
      <c r="BC1293" s="243"/>
      <c r="BD1293" s="243"/>
      <c r="BE1293" s="243"/>
      <c r="BF1293" s="243"/>
      <c r="BG1293" s="243"/>
      <c r="BH1293" s="243"/>
      <c r="BI1293" s="243"/>
      <c r="BJ1293" s="243"/>
      <c r="BK1293" s="243"/>
      <c r="BL1293" s="243"/>
      <c r="BM1293" s="243"/>
      <c r="BN1293" s="243"/>
      <c r="BO1293" s="243"/>
      <c r="BP1293" s="243"/>
      <c r="BQ1293" s="243"/>
      <c r="BR1293" s="243"/>
      <c r="BS1293" s="243"/>
    </row>
    <row r="1294" spans="1:71" s="12" customFormat="1" ht="41.25" customHeight="1">
      <c r="A1294" s="178" t="s">
        <v>97</v>
      </c>
      <c r="B1294" s="75" t="str">
        <f ca="1">+UPPER(Tabla1321124[[#This Row],[DESCRIPCIÓN DE LA COMPRA O CONTRATACIÓN]])</f>
        <v>ELECTRO BOMBA SUMERGIBLE 200 GPM MOTOR 7.5 HP</v>
      </c>
      <c r="C1294" s="39" t="s">
        <v>17</v>
      </c>
      <c r="D1294" s="236">
        <v>1</v>
      </c>
      <c r="E1294" s="236">
        <v>2</v>
      </c>
      <c r="F1294" s="236">
        <f>1+1</f>
        <v>2</v>
      </c>
      <c r="G1294" s="236">
        <v>1</v>
      </c>
      <c r="H1294" s="354">
        <f>Tabla1321124[[#This Row],[CUARTO TRIMESTRE]]+Tabla1321124[[#This Row],[TERCER TRIMESTRE]]+Tabla1321124[[#This Row],[SEGUNDO TRIMESTRE]]+Tabla1321124[[#This Row],[PRIMER TRIMESTRE]]</f>
        <v>6</v>
      </c>
      <c r="I1294" s="17">
        <v>100060.44</v>
      </c>
      <c r="J1294" s="17">
        <f>+Tabla1321124[[#This Row],[CANTIDAD TOTAL]]*Tabla1321124[[#This Row],[PRECIO UNITARIO ESTIMADO]]</f>
        <v>600362.64</v>
      </c>
      <c r="K1294" s="17"/>
      <c r="L1294" s="16" t="s">
        <v>18</v>
      </c>
      <c r="M1294" s="16" t="s">
        <v>22</v>
      </c>
      <c r="N1294" s="16"/>
      <c r="O1294" s="243"/>
      <c r="P1294" s="243"/>
      <c r="Q1294" s="243"/>
      <c r="R1294" s="243"/>
      <c r="S1294" s="243"/>
      <c r="T1294" s="243"/>
      <c r="U1294" s="243"/>
      <c r="V1294" s="243"/>
      <c r="W1294" s="243"/>
      <c r="X1294" s="243"/>
      <c r="Y1294" s="243"/>
      <c r="Z1294" s="243"/>
      <c r="AA1294" s="243"/>
      <c r="AB1294" s="243"/>
      <c r="AC1294" s="243"/>
      <c r="AD1294" s="243"/>
      <c r="AE1294" s="243"/>
      <c r="AF1294" s="243"/>
      <c r="AG1294" s="243"/>
      <c r="AH1294" s="243"/>
      <c r="AI1294" s="243"/>
      <c r="AJ1294" s="243"/>
      <c r="AK1294" s="243"/>
      <c r="AL1294" s="243"/>
      <c r="AM1294" s="243"/>
      <c r="AN1294" s="243"/>
      <c r="AO1294" s="243"/>
      <c r="AP1294" s="243"/>
      <c r="AQ1294" s="243"/>
      <c r="AR1294" s="243"/>
      <c r="AS1294" s="243"/>
      <c r="AT1294" s="243"/>
      <c r="AU1294" s="243"/>
      <c r="AV1294" s="243"/>
      <c r="AW1294" s="243"/>
      <c r="AX1294" s="243"/>
      <c r="AY1294" s="243"/>
      <c r="AZ1294" s="243"/>
      <c r="BA1294" s="243"/>
      <c r="BB1294" s="243"/>
      <c r="BC1294" s="243"/>
      <c r="BD1294" s="243"/>
      <c r="BE1294" s="243"/>
      <c r="BF1294" s="243"/>
      <c r="BG1294" s="243"/>
      <c r="BH1294" s="243"/>
      <c r="BI1294" s="243"/>
      <c r="BJ1294" s="243"/>
      <c r="BK1294" s="243"/>
      <c r="BL1294" s="243"/>
      <c r="BM1294" s="243"/>
      <c r="BN1294" s="243"/>
      <c r="BO1294" s="243"/>
      <c r="BP1294" s="243"/>
      <c r="BQ1294" s="243"/>
      <c r="BR1294" s="243"/>
      <c r="BS1294" s="243"/>
    </row>
    <row r="1295" spans="1:71" s="12" customFormat="1" ht="41.25" customHeight="1">
      <c r="A1295" s="178" t="s">
        <v>97</v>
      </c>
      <c r="B1295" s="75" t="str">
        <f ca="1">+UPPER(Tabla1321124[[#This Row],[DESCRIPCIÓN DE LA COMPRA O CONTRATACIÓN]])</f>
        <v>ELECTRO BOMBA SUMERGIBLE 200 GPM MOTOR 3450 RPM 60HP</v>
      </c>
      <c r="C1295" s="39" t="s">
        <v>17</v>
      </c>
      <c r="D1295" s="236">
        <v>1</v>
      </c>
      <c r="E1295" s="236">
        <v>2</v>
      </c>
      <c r="F1295" s="236">
        <f>1+1</f>
        <v>2</v>
      </c>
      <c r="G1295" s="236">
        <v>1</v>
      </c>
      <c r="H1295" s="354">
        <f>Tabla1321124[[#This Row],[CUARTO TRIMESTRE]]+Tabla1321124[[#This Row],[TERCER TRIMESTRE]]+Tabla1321124[[#This Row],[SEGUNDO TRIMESTRE]]+Tabla1321124[[#This Row],[PRIMER TRIMESTRE]]</f>
        <v>6</v>
      </c>
      <c r="I1295" s="17">
        <v>327948.84999999998</v>
      </c>
      <c r="J1295" s="17">
        <f>+Tabla1321124[[#This Row],[CANTIDAD TOTAL]]*Tabla1321124[[#This Row],[PRECIO UNITARIO ESTIMADO]]</f>
        <v>1967693.0999999999</v>
      </c>
      <c r="K1295" s="17"/>
      <c r="L1295" s="16" t="s">
        <v>18</v>
      </c>
      <c r="M1295" s="16" t="s">
        <v>22</v>
      </c>
      <c r="N1295" s="16"/>
      <c r="O1295" s="243"/>
      <c r="P1295" s="243"/>
      <c r="Q1295" s="243"/>
      <c r="R1295" s="243"/>
      <c r="S1295" s="243"/>
      <c r="T1295" s="243"/>
      <c r="U1295" s="243"/>
      <c r="V1295" s="243"/>
      <c r="W1295" s="243"/>
      <c r="X1295" s="243"/>
      <c r="Y1295" s="243"/>
      <c r="Z1295" s="243"/>
      <c r="AA1295" s="243"/>
      <c r="AB1295" s="243"/>
      <c r="AC1295" s="243"/>
      <c r="AD1295" s="243"/>
      <c r="AE1295" s="243"/>
      <c r="AF1295" s="243"/>
      <c r="AG1295" s="243"/>
      <c r="AH1295" s="243"/>
      <c r="AI1295" s="243"/>
      <c r="AJ1295" s="243"/>
      <c r="AK1295" s="243"/>
      <c r="AL1295" s="243"/>
      <c r="AM1295" s="243"/>
      <c r="AN1295" s="243"/>
      <c r="AO1295" s="243"/>
      <c r="AP1295" s="243"/>
      <c r="AQ1295" s="243"/>
      <c r="AR1295" s="243"/>
      <c r="AS1295" s="243"/>
      <c r="AT1295" s="243"/>
      <c r="AU1295" s="243"/>
      <c r="AV1295" s="243"/>
      <c r="AW1295" s="243"/>
      <c r="AX1295" s="243"/>
      <c r="AY1295" s="243"/>
      <c r="AZ1295" s="243"/>
      <c r="BA1295" s="243"/>
      <c r="BB1295" s="243"/>
      <c r="BC1295" s="243"/>
      <c r="BD1295" s="243"/>
      <c r="BE1295" s="243"/>
      <c r="BF1295" s="243"/>
      <c r="BG1295" s="243"/>
      <c r="BH1295" s="243"/>
      <c r="BI1295" s="243"/>
      <c r="BJ1295" s="243"/>
      <c r="BK1295" s="243"/>
      <c r="BL1295" s="243"/>
      <c r="BM1295" s="243"/>
      <c r="BN1295" s="243"/>
      <c r="BO1295" s="243"/>
      <c r="BP1295" s="243"/>
      <c r="BQ1295" s="243"/>
      <c r="BR1295" s="243"/>
      <c r="BS1295" s="243"/>
    </row>
    <row r="1296" spans="1:71" s="12" customFormat="1" ht="41.25" customHeight="1">
      <c r="A1296" s="178" t="s">
        <v>97</v>
      </c>
      <c r="B1296" s="75" t="str">
        <f ca="1">+UPPER(Tabla1321124[[#This Row],[DESCRIPCIÓN DE LA COMPRA O CONTRATACIÓN]])</f>
        <v>ELECTRO BOMBA HORIZONTAL MONOBLOK DE 3/4 HF, 12GPM 1 PH</v>
      </c>
      <c r="C1296" s="39" t="s">
        <v>17</v>
      </c>
      <c r="D1296" s="236">
        <v>1</v>
      </c>
      <c r="E1296" s="236">
        <v>2</v>
      </c>
      <c r="F1296" s="236">
        <f>1+1</f>
        <v>2</v>
      </c>
      <c r="G1296" s="236">
        <v>1</v>
      </c>
      <c r="H1296" s="354">
        <f>Tabla1321124[[#This Row],[CUARTO TRIMESTRE]]+Tabla1321124[[#This Row],[TERCER TRIMESTRE]]+Tabla1321124[[#This Row],[SEGUNDO TRIMESTRE]]+Tabla1321124[[#This Row],[PRIMER TRIMESTRE]]</f>
        <v>6</v>
      </c>
      <c r="I1296" s="17">
        <v>16744.599999999999</v>
      </c>
      <c r="J1296" s="17">
        <f>+Tabla1321124[[#This Row],[CANTIDAD TOTAL]]*Tabla1321124[[#This Row],[PRECIO UNITARIO ESTIMADO]]</f>
        <v>100467.59999999999</v>
      </c>
      <c r="K1296" s="17"/>
      <c r="L1296" s="16" t="s">
        <v>18</v>
      </c>
      <c r="M1296" s="16" t="s">
        <v>22</v>
      </c>
      <c r="N1296" s="16"/>
      <c r="O1296" s="243"/>
      <c r="P1296" s="243"/>
      <c r="Q1296" s="243"/>
      <c r="R1296" s="243"/>
      <c r="S1296" s="243"/>
      <c r="T1296" s="243"/>
      <c r="U1296" s="243"/>
      <c r="V1296" s="243"/>
      <c r="W1296" s="243"/>
      <c r="X1296" s="243"/>
      <c r="Y1296" s="243"/>
      <c r="Z1296" s="243"/>
      <c r="AA1296" s="243"/>
      <c r="AB1296" s="243"/>
      <c r="AC1296" s="243"/>
      <c r="AD1296" s="243"/>
      <c r="AE1296" s="243"/>
      <c r="AF1296" s="243"/>
      <c r="AG1296" s="243"/>
      <c r="AH1296" s="243"/>
      <c r="AI1296" s="243"/>
      <c r="AJ1296" s="243"/>
      <c r="AK1296" s="243"/>
      <c r="AL1296" s="243"/>
      <c r="AM1296" s="243"/>
      <c r="AN1296" s="243"/>
      <c r="AO1296" s="243"/>
      <c r="AP1296" s="243"/>
      <c r="AQ1296" s="243"/>
      <c r="AR1296" s="243"/>
      <c r="AS1296" s="243"/>
      <c r="AT1296" s="243"/>
      <c r="AU1296" s="243"/>
      <c r="AV1296" s="243"/>
      <c r="AW1296" s="243"/>
      <c r="AX1296" s="243"/>
      <c r="AY1296" s="243"/>
      <c r="AZ1296" s="243"/>
      <c r="BA1296" s="243"/>
      <c r="BB1296" s="243"/>
      <c r="BC1296" s="243"/>
      <c r="BD1296" s="243"/>
      <c r="BE1296" s="243"/>
      <c r="BF1296" s="243"/>
      <c r="BG1296" s="243"/>
      <c r="BH1296" s="243"/>
      <c r="BI1296" s="243"/>
      <c r="BJ1296" s="243"/>
      <c r="BK1296" s="243"/>
      <c r="BL1296" s="243"/>
      <c r="BM1296" s="243"/>
      <c r="BN1296" s="243"/>
      <c r="BO1296" s="243"/>
      <c r="BP1296" s="243"/>
      <c r="BQ1296" s="243"/>
      <c r="BR1296" s="243"/>
      <c r="BS1296" s="243"/>
    </row>
    <row r="1297" spans="1:71" s="12" customFormat="1" ht="41.25" customHeight="1">
      <c r="A1297" s="178" t="s">
        <v>97</v>
      </c>
      <c r="B1297" s="75" t="str">
        <f ca="1">+UPPER(Tabla1321124[[#This Row],[DESCRIPCIÓN DE LA COMPRA O CONTRATACIÓN]])</f>
        <v>ELECTRO BOMBA CENTRIFUGA 140 GPM 3500 RPM 10 HP</v>
      </c>
      <c r="C1297" s="39" t="s">
        <v>17</v>
      </c>
      <c r="D1297" s="236"/>
      <c r="E1297" s="236">
        <v>2</v>
      </c>
      <c r="F1297" s="236">
        <v>1</v>
      </c>
      <c r="G1297" s="236">
        <v>1</v>
      </c>
      <c r="H1297" s="354">
        <f>Tabla1321124[[#This Row],[CUARTO TRIMESTRE]]+Tabla1321124[[#This Row],[TERCER TRIMESTRE]]+Tabla1321124[[#This Row],[SEGUNDO TRIMESTRE]]+Tabla1321124[[#This Row],[PRIMER TRIMESTRE]]</f>
        <v>4</v>
      </c>
      <c r="I1297" s="17">
        <v>52380.2</v>
      </c>
      <c r="J1297" s="17">
        <f>+Tabla1321124[[#This Row],[CANTIDAD TOTAL]]*Tabla1321124[[#This Row],[PRECIO UNITARIO ESTIMADO]]</f>
        <v>209520.8</v>
      </c>
      <c r="K1297" s="17"/>
      <c r="L1297" s="16" t="s">
        <v>18</v>
      </c>
      <c r="M1297" s="16" t="s">
        <v>22</v>
      </c>
      <c r="N1297" s="16"/>
      <c r="O1297" s="243"/>
      <c r="P1297" s="243"/>
      <c r="Q1297" s="243"/>
      <c r="R1297" s="243"/>
      <c r="S1297" s="243"/>
      <c r="T1297" s="243"/>
      <c r="U1297" s="243"/>
      <c r="V1297" s="243"/>
      <c r="W1297" s="243"/>
      <c r="X1297" s="243"/>
      <c r="Y1297" s="243"/>
      <c r="Z1297" s="243"/>
      <c r="AA1297" s="243"/>
      <c r="AB1297" s="243"/>
      <c r="AC1297" s="243"/>
      <c r="AD1297" s="243"/>
      <c r="AE1297" s="243"/>
      <c r="AF1297" s="243"/>
      <c r="AG1297" s="243"/>
      <c r="AH1297" s="243"/>
      <c r="AI1297" s="243"/>
      <c r="AJ1297" s="243"/>
      <c r="AK1297" s="243"/>
      <c r="AL1297" s="243"/>
      <c r="AM1297" s="243"/>
      <c r="AN1297" s="243"/>
      <c r="AO1297" s="243"/>
      <c r="AP1297" s="243"/>
      <c r="AQ1297" s="243"/>
      <c r="AR1297" s="243"/>
      <c r="AS1297" s="243"/>
      <c r="AT1297" s="243"/>
      <c r="AU1297" s="243"/>
      <c r="AV1297" s="243"/>
      <c r="AW1297" s="243"/>
      <c r="AX1297" s="243"/>
      <c r="AY1297" s="243"/>
      <c r="AZ1297" s="243"/>
      <c r="BA1297" s="243"/>
      <c r="BB1297" s="243"/>
      <c r="BC1297" s="243"/>
      <c r="BD1297" s="243"/>
      <c r="BE1297" s="243"/>
      <c r="BF1297" s="243"/>
      <c r="BG1297" s="243"/>
      <c r="BH1297" s="243"/>
      <c r="BI1297" s="243"/>
      <c r="BJ1297" s="243"/>
      <c r="BK1297" s="243"/>
      <c r="BL1297" s="243"/>
      <c r="BM1297" s="243"/>
      <c r="BN1297" s="243"/>
      <c r="BO1297" s="243"/>
      <c r="BP1297" s="243"/>
      <c r="BQ1297" s="243"/>
      <c r="BR1297" s="243"/>
      <c r="BS1297" s="243"/>
    </row>
    <row r="1298" spans="1:71" s="12" customFormat="1" ht="41.25" customHeight="1">
      <c r="A1298" s="178" t="s">
        <v>97</v>
      </c>
      <c r="B1298" s="75" t="str">
        <f ca="1">+UPPER(Tabla1321124[[#This Row],[DESCRIPCIÓN DE LA COMPRA O CONTRATACIÓN]])</f>
        <v xml:space="preserve">ELECTRO BOMBA CENTRIFUGA  60 GPM  120 TDH DE 20 HP </v>
      </c>
      <c r="C1298" s="39" t="s">
        <v>17</v>
      </c>
      <c r="D1298" s="236"/>
      <c r="E1298" s="236">
        <v>2</v>
      </c>
      <c r="F1298" s="236">
        <v>1</v>
      </c>
      <c r="G1298" s="236">
        <v>1</v>
      </c>
      <c r="H1298" s="354">
        <f>Tabla1321124[[#This Row],[CUARTO TRIMESTRE]]+Tabla1321124[[#This Row],[TERCER TRIMESTRE]]+Tabla1321124[[#This Row],[SEGUNDO TRIMESTRE]]+Tabla1321124[[#This Row],[PRIMER TRIMESTRE]]</f>
        <v>4</v>
      </c>
      <c r="I1298" s="17">
        <v>99342.399999999994</v>
      </c>
      <c r="J1298" s="17">
        <f>+Tabla1321124[[#This Row],[CANTIDAD TOTAL]]*Tabla1321124[[#This Row],[PRECIO UNITARIO ESTIMADO]]</f>
        <v>397369.59999999998</v>
      </c>
      <c r="K1298" s="387">
        <f>SUM(J1273:J1334)</f>
        <v>208125825.06</v>
      </c>
      <c r="L1298" s="16" t="s">
        <v>18</v>
      </c>
      <c r="M1298" s="16" t="s">
        <v>22</v>
      </c>
      <c r="N1298" s="16"/>
      <c r="O1298" s="243"/>
      <c r="P1298" s="243"/>
      <c r="Q1298" s="243"/>
      <c r="R1298" s="243"/>
      <c r="S1298" s="243"/>
      <c r="T1298" s="243"/>
      <c r="U1298" s="243"/>
      <c r="V1298" s="243"/>
      <c r="W1298" s="243"/>
      <c r="X1298" s="243"/>
      <c r="Y1298" s="243"/>
      <c r="Z1298" s="243"/>
      <c r="AA1298" s="243"/>
      <c r="AB1298" s="243"/>
      <c r="AC1298" s="243"/>
      <c r="AD1298" s="243"/>
      <c r="AE1298" s="243"/>
      <c r="AF1298" s="243"/>
      <c r="AG1298" s="243"/>
      <c r="AH1298" s="243"/>
      <c r="AI1298" s="243"/>
      <c r="AJ1298" s="243"/>
      <c r="AK1298" s="243"/>
      <c r="AL1298" s="243"/>
      <c r="AM1298" s="243"/>
      <c r="AN1298" s="243"/>
      <c r="AO1298" s="243"/>
      <c r="AP1298" s="243"/>
      <c r="AQ1298" s="243"/>
      <c r="AR1298" s="243"/>
      <c r="AS1298" s="243"/>
      <c r="AT1298" s="243"/>
      <c r="AU1298" s="243"/>
      <c r="AV1298" s="243"/>
      <c r="AW1298" s="243"/>
      <c r="AX1298" s="243"/>
      <c r="AY1298" s="243"/>
      <c r="AZ1298" s="243"/>
      <c r="BA1298" s="243"/>
      <c r="BB1298" s="243"/>
      <c r="BC1298" s="243"/>
      <c r="BD1298" s="243"/>
      <c r="BE1298" s="243"/>
      <c r="BF1298" s="243"/>
      <c r="BG1298" s="243"/>
      <c r="BH1298" s="243"/>
      <c r="BI1298" s="243"/>
      <c r="BJ1298" s="243"/>
      <c r="BK1298" s="243"/>
      <c r="BL1298" s="243"/>
      <c r="BM1298" s="243"/>
      <c r="BN1298" s="243"/>
      <c r="BO1298" s="243"/>
      <c r="BP1298" s="243"/>
      <c r="BQ1298" s="243"/>
      <c r="BR1298" s="243"/>
      <c r="BS1298" s="243"/>
    </row>
    <row r="1299" spans="1:71" s="26" customFormat="1" ht="41.25" customHeight="1">
      <c r="A1299" s="178" t="s">
        <v>97</v>
      </c>
      <c r="B1299" s="75" t="str">
        <f ca="1">+UPPER(Tabla1321124[[#This Row],[DESCRIPCIÓN DE LA COMPRA O CONTRATACIÓN]])</f>
        <v>REPARACION BOMBA VERTICAL Ø20"</v>
      </c>
      <c r="C1299" s="39" t="s">
        <v>17</v>
      </c>
      <c r="D1299" s="236">
        <v>1</v>
      </c>
      <c r="E1299" s="236">
        <v>1</v>
      </c>
      <c r="F1299" s="236">
        <v>1</v>
      </c>
      <c r="G1299" s="236"/>
      <c r="H1299" s="354">
        <f>Tabla1321124[[#This Row],[CUARTO TRIMESTRE]]+Tabla1321124[[#This Row],[TERCER TRIMESTRE]]+Tabla1321124[[#This Row],[SEGUNDO TRIMESTRE]]+Tabla1321124[[#This Row],[PRIMER TRIMESTRE]]</f>
        <v>3</v>
      </c>
      <c r="I1299" s="17">
        <v>2300000</v>
      </c>
      <c r="J1299" s="17">
        <f t="shared" ref="J1299:J1334" si="24">+H1299*I1299</f>
        <v>6900000</v>
      </c>
      <c r="K1299" s="17"/>
      <c r="L1299" s="16" t="s">
        <v>18</v>
      </c>
      <c r="M1299" s="16" t="s">
        <v>22</v>
      </c>
      <c r="N1299" s="16"/>
      <c r="O1299" s="243"/>
      <c r="P1299" s="243"/>
      <c r="Q1299" s="243"/>
      <c r="R1299" s="243"/>
      <c r="S1299" s="243"/>
      <c r="T1299" s="243"/>
      <c r="U1299" s="243"/>
      <c r="V1299" s="243"/>
      <c r="W1299" s="243"/>
      <c r="X1299" s="243"/>
      <c r="Y1299" s="243"/>
      <c r="Z1299" s="243"/>
      <c r="AA1299" s="243"/>
      <c r="AB1299" s="243"/>
      <c r="AC1299" s="243"/>
      <c r="AD1299" s="243"/>
      <c r="AE1299" s="243"/>
      <c r="AF1299" s="243"/>
      <c r="AG1299" s="243"/>
      <c r="AH1299" s="243"/>
      <c r="AI1299" s="243"/>
      <c r="AJ1299" s="243"/>
      <c r="AK1299" s="243"/>
      <c r="AL1299" s="243"/>
      <c r="AM1299" s="243"/>
      <c r="AN1299" s="243"/>
      <c r="AO1299" s="243"/>
      <c r="AP1299" s="243"/>
      <c r="AQ1299" s="243"/>
      <c r="AR1299" s="243"/>
      <c r="AS1299" s="243"/>
      <c r="AT1299" s="243"/>
      <c r="AU1299" s="243"/>
      <c r="AV1299" s="243"/>
      <c r="AW1299" s="243"/>
      <c r="AX1299" s="243"/>
      <c r="AY1299" s="243"/>
      <c r="AZ1299" s="243"/>
      <c r="BA1299" s="243"/>
      <c r="BB1299" s="243"/>
      <c r="BC1299" s="243"/>
      <c r="BD1299" s="243"/>
      <c r="BE1299" s="243"/>
      <c r="BF1299" s="243"/>
      <c r="BG1299" s="243"/>
      <c r="BH1299" s="243"/>
      <c r="BI1299" s="243"/>
      <c r="BJ1299" s="243"/>
      <c r="BK1299" s="243"/>
      <c r="BL1299" s="243"/>
      <c r="BM1299" s="243"/>
      <c r="BN1299" s="243"/>
      <c r="BO1299" s="243"/>
      <c r="BP1299" s="243"/>
      <c r="BQ1299" s="243"/>
      <c r="BR1299" s="243"/>
      <c r="BS1299" s="243"/>
    </row>
    <row r="1300" spans="1:71" s="26" customFormat="1" ht="41.25" customHeight="1">
      <c r="A1300" s="178" t="s">
        <v>97</v>
      </c>
      <c r="B1300" s="75" t="str">
        <f ca="1">+UPPER(Tabla1321124[[#This Row],[DESCRIPCIÓN DE LA COMPRA O CONTRATACIÓN]])</f>
        <v>REPARACION MOTOR VERTICAL 800HP</v>
      </c>
      <c r="C1300" s="39" t="s">
        <v>17</v>
      </c>
      <c r="D1300" s="236">
        <v>2</v>
      </c>
      <c r="E1300" s="236">
        <v>1</v>
      </c>
      <c r="F1300" s="236">
        <v>1</v>
      </c>
      <c r="G1300" s="236">
        <v>1</v>
      </c>
      <c r="H1300" s="354">
        <f>Tabla1321124[[#This Row],[CUARTO TRIMESTRE]]+Tabla1321124[[#This Row],[TERCER TRIMESTRE]]+Tabla1321124[[#This Row],[SEGUNDO TRIMESTRE]]+Tabla1321124[[#This Row],[PRIMER TRIMESTRE]]</f>
        <v>5</v>
      </c>
      <c r="I1300" s="17">
        <v>950000</v>
      </c>
      <c r="J1300" s="17">
        <f t="shared" si="24"/>
        <v>4750000</v>
      </c>
      <c r="K1300" s="17"/>
      <c r="L1300" s="16" t="s">
        <v>18</v>
      </c>
      <c r="M1300" s="16" t="s">
        <v>22</v>
      </c>
      <c r="N1300" s="16"/>
      <c r="O1300" s="243"/>
      <c r="P1300" s="243"/>
      <c r="Q1300" s="243"/>
      <c r="R1300" s="243"/>
      <c r="S1300" s="243"/>
      <c r="T1300" s="243"/>
      <c r="U1300" s="243"/>
      <c r="V1300" s="243"/>
      <c r="W1300" s="243"/>
      <c r="X1300" s="243"/>
      <c r="Y1300" s="243"/>
      <c r="Z1300" s="243"/>
      <c r="AA1300" s="243"/>
      <c r="AB1300" s="243"/>
      <c r="AC1300" s="243"/>
      <c r="AD1300" s="243"/>
      <c r="AE1300" s="243"/>
      <c r="AF1300" s="243"/>
      <c r="AG1300" s="243"/>
      <c r="AH1300" s="243"/>
      <c r="AI1300" s="243"/>
      <c r="AJ1300" s="243"/>
      <c r="AK1300" s="243"/>
      <c r="AL1300" s="243"/>
      <c r="AM1300" s="243"/>
      <c r="AN1300" s="243"/>
      <c r="AO1300" s="243"/>
      <c r="AP1300" s="243"/>
      <c r="AQ1300" s="243"/>
      <c r="AR1300" s="243"/>
      <c r="AS1300" s="243"/>
      <c r="AT1300" s="243"/>
      <c r="AU1300" s="243"/>
      <c r="AV1300" s="243"/>
      <c r="AW1300" s="243"/>
      <c r="AX1300" s="243"/>
      <c r="AY1300" s="243"/>
      <c r="AZ1300" s="243"/>
      <c r="BA1300" s="243"/>
      <c r="BB1300" s="243"/>
      <c r="BC1300" s="243"/>
      <c r="BD1300" s="243"/>
      <c r="BE1300" s="243"/>
      <c r="BF1300" s="243"/>
      <c r="BG1300" s="243"/>
      <c r="BH1300" s="243"/>
      <c r="BI1300" s="243"/>
      <c r="BJ1300" s="243"/>
      <c r="BK1300" s="243"/>
      <c r="BL1300" s="243"/>
      <c r="BM1300" s="243"/>
      <c r="BN1300" s="243"/>
      <c r="BO1300" s="243"/>
      <c r="BP1300" s="243"/>
      <c r="BQ1300" s="243"/>
      <c r="BR1300" s="243"/>
      <c r="BS1300" s="243"/>
    </row>
    <row r="1301" spans="1:71" s="26" customFormat="1" ht="41.25" customHeight="1">
      <c r="A1301" s="178" t="s">
        <v>97</v>
      </c>
      <c r="B1301" s="75" t="str">
        <f ca="1">+UPPER(Tabla1321124[[#This Row],[DESCRIPCIÓN DE LA COMPRA O CONTRATACIÓN]])</f>
        <v>REPARACION BOMBA VERTICAL Ø18"</v>
      </c>
      <c r="C1301" s="39" t="s">
        <v>17</v>
      </c>
      <c r="D1301" s="236">
        <v>1</v>
      </c>
      <c r="E1301" s="236"/>
      <c r="F1301" s="236">
        <v>1</v>
      </c>
      <c r="G1301" s="236"/>
      <c r="H1301" s="354">
        <f>Tabla1321124[[#This Row],[CUARTO TRIMESTRE]]+Tabla1321124[[#This Row],[TERCER TRIMESTRE]]+Tabla1321124[[#This Row],[SEGUNDO TRIMESTRE]]+Tabla1321124[[#This Row],[PRIMER TRIMESTRE]]</f>
        <v>2</v>
      </c>
      <c r="I1301" s="17">
        <v>1800000</v>
      </c>
      <c r="J1301" s="17">
        <f t="shared" si="24"/>
        <v>3600000</v>
      </c>
      <c r="K1301" s="17"/>
      <c r="L1301" s="16" t="s">
        <v>18</v>
      </c>
      <c r="M1301" s="16" t="s">
        <v>22</v>
      </c>
      <c r="N1301" s="16"/>
      <c r="O1301" s="243"/>
      <c r="P1301" s="243"/>
      <c r="Q1301" s="243"/>
      <c r="R1301" s="243"/>
      <c r="S1301" s="243"/>
      <c r="T1301" s="243"/>
      <c r="U1301" s="243"/>
      <c r="V1301" s="243"/>
      <c r="W1301" s="243"/>
      <c r="X1301" s="243"/>
      <c r="Y1301" s="243"/>
      <c r="Z1301" s="243"/>
      <c r="AA1301" s="243"/>
      <c r="AB1301" s="243"/>
      <c r="AC1301" s="243"/>
      <c r="AD1301" s="243"/>
      <c r="AE1301" s="243"/>
      <c r="AF1301" s="243"/>
      <c r="AG1301" s="243"/>
      <c r="AH1301" s="243"/>
      <c r="AI1301" s="243"/>
      <c r="AJ1301" s="243"/>
      <c r="AK1301" s="243"/>
      <c r="AL1301" s="243"/>
      <c r="AM1301" s="243"/>
      <c r="AN1301" s="243"/>
      <c r="AO1301" s="243"/>
      <c r="AP1301" s="243"/>
      <c r="AQ1301" s="243"/>
      <c r="AR1301" s="243"/>
      <c r="AS1301" s="243"/>
      <c r="AT1301" s="243"/>
      <c r="AU1301" s="243"/>
      <c r="AV1301" s="243"/>
      <c r="AW1301" s="243"/>
      <c r="AX1301" s="243"/>
      <c r="AY1301" s="243"/>
      <c r="AZ1301" s="243"/>
      <c r="BA1301" s="243"/>
      <c r="BB1301" s="243"/>
      <c r="BC1301" s="243"/>
      <c r="BD1301" s="243"/>
      <c r="BE1301" s="243"/>
      <c r="BF1301" s="243"/>
      <c r="BG1301" s="243"/>
      <c r="BH1301" s="243"/>
      <c r="BI1301" s="243"/>
      <c r="BJ1301" s="243"/>
      <c r="BK1301" s="243"/>
      <c r="BL1301" s="243"/>
      <c r="BM1301" s="243"/>
      <c r="BN1301" s="243"/>
      <c r="BO1301" s="243"/>
      <c r="BP1301" s="243"/>
      <c r="BQ1301" s="243"/>
      <c r="BR1301" s="243"/>
      <c r="BS1301" s="243"/>
    </row>
    <row r="1302" spans="1:71" s="26" customFormat="1" ht="41.25" customHeight="1">
      <c r="A1302" s="178" t="s">
        <v>97</v>
      </c>
      <c r="B1302" s="75" t="str">
        <f ca="1">+UPPER(Tabla1321124[[#This Row],[DESCRIPCIÓN DE LA COMPRA O CONTRATACIÓN]])</f>
        <v>REPARACION MOTOR VERTICAL 500HP</v>
      </c>
      <c r="C1302" s="39" t="s">
        <v>17</v>
      </c>
      <c r="D1302" s="236">
        <v>1</v>
      </c>
      <c r="E1302" s="236"/>
      <c r="F1302" s="236"/>
      <c r="G1302" s="236">
        <v>1</v>
      </c>
      <c r="H1302" s="354">
        <f>Tabla1321124[[#This Row],[CUARTO TRIMESTRE]]+Tabla1321124[[#This Row],[TERCER TRIMESTRE]]+Tabla1321124[[#This Row],[SEGUNDO TRIMESTRE]]+Tabla1321124[[#This Row],[PRIMER TRIMESTRE]]</f>
        <v>2</v>
      </c>
      <c r="I1302" s="17">
        <v>270000</v>
      </c>
      <c r="J1302" s="17">
        <f t="shared" si="24"/>
        <v>540000</v>
      </c>
      <c r="K1302" s="17"/>
      <c r="L1302" s="16" t="s">
        <v>18</v>
      </c>
      <c r="M1302" s="16" t="s">
        <v>22</v>
      </c>
      <c r="N1302" s="16"/>
      <c r="O1302" s="243"/>
      <c r="P1302" s="243"/>
      <c r="Q1302" s="243"/>
      <c r="R1302" s="243"/>
      <c r="S1302" s="243"/>
      <c r="T1302" s="243"/>
      <c r="U1302" s="243"/>
      <c r="V1302" s="243"/>
      <c r="W1302" s="243"/>
      <c r="X1302" s="243"/>
      <c r="Y1302" s="243"/>
      <c r="Z1302" s="243"/>
      <c r="AA1302" s="243"/>
      <c r="AB1302" s="243"/>
      <c r="AC1302" s="243"/>
      <c r="AD1302" s="243"/>
      <c r="AE1302" s="243"/>
      <c r="AF1302" s="243"/>
      <c r="AG1302" s="243"/>
      <c r="AH1302" s="243"/>
      <c r="AI1302" s="243"/>
      <c r="AJ1302" s="243"/>
      <c r="AK1302" s="243"/>
      <c r="AL1302" s="243"/>
      <c r="AM1302" s="243"/>
      <c r="AN1302" s="243"/>
      <c r="AO1302" s="243"/>
      <c r="AP1302" s="243"/>
      <c r="AQ1302" s="243"/>
      <c r="AR1302" s="243"/>
      <c r="AS1302" s="243"/>
      <c r="AT1302" s="243"/>
      <c r="AU1302" s="243"/>
      <c r="AV1302" s="243"/>
      <c r="AW1302" s="243"/>
      <c r="AX1302" s="243"/>
      <c r="AY1302" s="243"/>
      <c r="AZ1302" s="243"/>
      <c r="BA1302" s="243"/>
      <c r="BB1302" s="243"/>
      <c r="BC1302" s="243"/>
      <c r="BD1302" s="243"/>
      <c r="BE1302" s="243"/>
      <c r="BF1302" s="243"/>
      <c r="BG1302" s="243"/>
      <c r="BH1302" s="243"/>
      <c r="BI1302" s="243"/>
      <c r="BJ1302" s="243"/>
      <c r="BK1302" s="243"/>
      <c r="BL1302" s="243"/>
      <c r="BM1302" s="243"/>
      <c r="BN1302" s="243"/>
      <c r="BO1302" s="243"/>
      <c r="BP1302" s="243"/>
      <c r="BQ1302" s="243"/>
      <c r="BR1302" s="243"/>
      <c r="BS1302" s="243"/>
    </row>
    <row r="1303" spans="1:71" s="26" customFormat="1" ht="41.25" customHeight="1">
      <c r="A1303" s="178" t="s">
        <v>97</v>
      </c>
      <c r="B1303" s="75" t="str">
        <f ca="1">+UPPER(Tabla1321124[[#This Row],[DESCRIPCIÓN DE LA COMPRA O CONTRATACIÓN]])</f>
        <v>REPARACION BOMBA VERTICAL Ø12"</v>
      </c>
      <c r="C1303" s="39" t="s">
        <v>17</v>
      </c>
      <c r="D1303" s="236"/>
      <c r="E1303" s="236">
        <v>16</v>
      </c>
      <c r="F1303" s="236">
        <v>6</v>
      </c>
      <c r="G1303" s="236">
        <v>8</v>
      </c>
      <c r="H1303" s="354">
        <f>Tabla1321124[[#This Row],[CUARTO TRIMESTRE]]+Tabla1321124[[#This Row],[TERCER TRIMESTRE]]+Tabla1321124[[#This Row],[SEGUNDO TRIMESTRE]]+Tabla1321124[[#This Row],[PRIMER TRIMESTRE]]</f>
        <v>30</v>
      </c>
      <c r="I1303" s="17">
        <v>398000</v>
      </c>
      <c r="J1303" s="17">
        <f t="shared" si="24"/>
        <v>11940000</v>
      </c>
      <c r="K1303" s="17"/>
      <c r="L1303" s="16" t="s">
        <v>18</v>
      </c>
      <c r="M1303" s="16" t="s">
        <v>22</v>
      </c>
      <c r="N1303" s="16"/>
      <c r="O1303" s="243"/>
      <c r="P1303" s="243"/>
      <c r="Q1303" s="243"/>
      <c r="R1303" s="243"/>
      <c r="S1303" s="243"/>
      <c r="T1303" s="243"/>
      <c r="U1303" s="243"/>
      <c r="V1303" s="243"/>
      <c r="W1303" s="243"/>
      <c r="X1303" s="243"/>
      <c r="Y1303" s="243"/>
      <c r="Z1303" s="243"/>
      <c r="AA1303" s="243"/>
      <c r="AB1303" s="243"/>
      <c r="AC1303" s="243"/>
      <c r="AD1303" s="243"/>
      <c r="AE1303" s="243"/>
      <c r="AF1303" s="243"/>
      <c r="AG1303" s="243"/>
      <c r="AH1303" s="243"/>
      <c r="AI1303" s="243"/>
      <c r="AJ1303" s="243"/>
      <c r="AK1303" s="243"/>
      <c r="AL1303" s="243"/>
      <c r="AM1303" s="243"/>
      <c r="AN1303" s="243"/>
      <c r="AO1303" s="243"/>
      <c r="AP1303" s="243"/>
      <c r="AQ1303" s="243"/>
      <c r="AR1303" s="243"/>
      <c r="AS1303" s="243"/>
      <c r="AT1303" s="243"/>
      <c r="AU1303" s="243"/>
      <c r="AV1303" s="243"/>
      <c r="AW1303" s="243"/>
      <c r="AX1303" s="243"/>
      <c r="AY1303" s="243"/>
      <c r="AZ1303" s="243"/>
      <c r="BA1303" s="243"/>
      <c r="BB1303" s="243"/>
      <c r="BC1303" s="243"/>
      <c r="BD1303" s="243"/>
      <c r="BE1303" s="243"/>
      <c r="BF1303" s="243"/>
      <c r="BG1303" s="243"/>
      <c r="BH1303" s="243"/>
      <c r="BI1303" s="243"/>
      <c r="BJ1303" s="243"/>
      <c r="BK1303" s="243"/>
      <c r="BL1303" s="243"/>
      <c r="BM1303" s="243"/>
      <c r="BN1303" s="243"/>
      <c r="BO1303" s="243"/>
      <c r="BP1303" s="243"/>
      <c r="BQ1303" s="243"/>
      <c r="BR1303" s="243"/>
      <c r="BS1303" s="243"/>
    </row>
    <row r="1304" spans="1:71" s="26" customFormat="1" ht="41.25" customHeight="1">
      <c r="A1304" s="178" t="s">
        <v>97</v>
      </c>
      <c r="B1304" s="75" t="str">
        <f ca="1">+UPPER(Tabla1321124[[#This Row],[DESCRIPCIÓN DE LA COMPRA O CONTRATACIÓN]])</f>
        <v>REPARACION BOMBA VERTICAL Ø10"</v>
      </c>
      <c r="C1304" s="39" t="s">
        <v>17</v>
      </c>
      <c r="D1304" s="236"/>
      <c r="E1304" s="236">
        <v>16</v>
      </c>
      <c r="F1304" s="236">
        <v>6</v>
      </c>
      <c r="G1304" s="236">
        <v>8</v>
      </c>
      <c r="H1304" s="354">
        <f>Tabla1321124[[#This Row],[CUARTO TRIMESTRE]]+Tabla1321124[[#This Row],[TERCER TRIMESTRE]]+Tabla1321124[[#This Row],[SEGUNDO TRIMESTRE]]+Tabla1321124[[#This Row],[PRIMER TRIMESTRE]]</f>
        <v>30</v>
      </c>
      <c r="I1304" s="17">
        <v>395000</v>
      </c>
      <c r="J1304" s="17">
        <f t="shared" si="24"/>
        <v>11850000</v>
      </c>
      <c r="K1304" s="17"/>
      <c r="L1304" s="16" t="s">
        <v>18</v>
      </c>
      <c r="M1304" s="16" t="s">
        <v>22</v>
      </c>
      <c r="N1304" s="16"/>
      <c r="O1304" s="243"/>
      <c r="P1304" s="243"/>
      <c r="Q1304" s="243"/>
      <c r="R1304" s="243"/>
      <c r="S1304" s="243"/>
      <c r="T1304" s="243"/>
      <c r="U1304" s="243"/>
      <c r="V1304" s="243"/>
      <c r="W1304" s="243"/>
      <c r="X1304" s="243"/>
      <c r="Y1304" s="243"/>
      <c r="Z1304" s="243"/>
      <c r="AA1304" s="243"/>
      <c r="AB1304" s="243"/>
      <c r="AC1304" s="243"/>
      <c r="AD1304" s="243"/>
      <c r="AE1304" s="243"/>
      <c r="AF1304" s="243"/>
      <c r="AG1304" s="243"/>
      <c r="AH1304" s="243"/>
      <c r="AI1304" s="243"/>
      <c r="AJ1304" s="243"/>
      <c r="AK1304" s="243"/>
      <c r="AL1304" s="243"/>
      <c r="AM1304" s="243"/>
      <c r="AN1304" s="243"/>
      <c r="AO1304" s="243"/>
      <c r="AP1304" s="243"/>
      <c r="AQ1304" s="243"/>
      <c r="AR1304" s="243"/>
      <c r="AS1304" s="243"/>
      <c r="AT1304" s="243"/>
      <c r="AU1304" s="243"/>
      <c r="AV1304" s="243"/>
      <c r="AW1304" s="243"/>
      <c r="AX1304" s="243"/>
      <c r="AY1304" s="243"/>
      <c r="AZ1304" s="243"/>
      <c r="BA1304" s="243"/>
      <c r="BB1304" s="243"/>
      <c r="BC1304" s="243"/>
      <c r="BD1304" s="243"/>
      <c r="BE1304" s="243"/>
      <c r="BF1304" s="243"/>
      <c r="BG1304" s="243"/>
      <c r="BH1304" s="243"/>
      <c r="BI1304" s="243"/>
      <c r="BJ1304" s="243"/>
      <c r="BK1304" s="243"/>
      <c r="BL1304" s="243"/>
      <c r="BM1304" s="243"/>
      <c r="BN1304" s="243"/>
      <c r="BO1304" s="243"/>
      <c r="BP1304" s="243"/>
      <c r="BQ1304" s="243"/>
      <c r="BR1304" s="243"/>
      <c r="BS1304" s="243"/>
    </row>
    <row r="1305" spans="1:71" s="12" customFormat="1" ht="41.25" customHeight="1">
      <c r="A1305" s="178" t="s">
        <v>97</v>
      </c>
      <c r="B1305" s="75" t="str">
        <f ca="1">+UPPER(Tabla1321124[[#This Row],[DESCRIPCIÓN DE LA COMPRA O CONTRATACIÓN]])</f>
        <v>REPARACION BOMBA VERTICAL Ø8"</v>
      </c>
      <c r="C1305" s="39" t="s">
        <v>17</v>
      </c>
      <c r="D1305" s="236">
        <v>5</v>
      </c>
      <c r="E1305" s="236">
        <v>20</v>
      </c>
      <c r="F1305" s="236">
        <v>10</v>
      </c>
      <c r="G1305" s="236">
        <v>12</v>
      </c>
      <c r="H1305" s="354">
        <f>Tabla1321124[[#This Row],[CUARTO TRIMESTRE]]+Tabla1321124[[#This Row],[TERCER TRIMESTRE]]+Tabla1321124[[#This Row],[SEGUNDO TRIMESTRE]]+Tabla1321124[[#This Row],[PRIMER TRIMESTRE]]</f>
        <v>47</v>
      </c>
      <c r="I1305" s="17">
        <v>390000</v>
      </c>
      <c r="J1305" s="17">
        <f t="shared" si="24"/>
        <v>18330000</v>
      </c>
      <c r="K1305" s="17"/>
      <c r="L1305" s="16" t="s">
        <v>18</v>
      </c>
      <c r="M1305" s="16" t="s">
        <v>22</v>
      </c>
      <c r="N1305" s="16"/>
      <c r="O1305" s="243"/>
      <c r="P1305" s="243"/>
      <c r="Q1305" s="243"/>
      <c r="R1305" s="243"/>
      <c r="S1305" s="243"/>
      <c r="T1305" s="243"/>
      <c r="U1305" s="243"/>
      <c r="V1305" s="243"/>
      <c r="W1305" s="243"/>
      <c r="X1305" s="243"/>
      <c r="Y1305" s="243"/>
      <c r="Z1305" s="243"/>
      <c r="AA1305" s="243"/>
      <c r="AB1305" s="243"/>
      <c r="AC1305" s="243"/>
      <c r="AD1305" s="243"/>
      <c r="AE1305" s="243"/>
      <c r="AF1305" s="243"/>
      <c r="AG1305" s="243"/>
      <c r="AH1305" s="243"/>
      <c r="AI1305" s="243"/>
      <c r="AJ1305" s="243"/>
      <c r="AK1305" s="243"/>
      <c r="AL1305" s="243"/>
      <c r="AM1305" s="243"/>
      <c r="AN1305" s="243"/>
      <c r="AO1305" s="243"/>
      <c r="AP1305" s="243"/>
      <c r="AQ1305" s="243"/>
      <c r="AR1305" s="243"/>
      <c r="AS1305" s="243"/>
      <c r="AT1305" s="243"/>
      <c r="AU1305" s="243"/>
      <c r="AV1305" s="243"/>
      <c r="AW1305" s="243"/>
      <c r="AX1305" s="243"/>
      <c r="AY1305" s="243"/>
      <c r="AZ1305" s="243"/>
      <c r="BA1305" s="243"/>
      <c r="BB1305" s="243"/>
      <c r="BC1305" s="243"/>
      <c r="BD1305" s="243"/>
      <c r="BE1305" s="243"/>
      <c r="BF1305" s="243"/>
      <c r="BG1305" s="243"/>
      <c r="BH1305" s="243"/>
      <c r="BI1305" s="243"/>
      <c r="BJ1305" s="243"/>
      <c r="BK1305" s="243"/>
      <c r="BL1305" s="243"/>
      <c r="BM1305" s="243"/>
      <c r="BN1305" s="243"/>
      <c r="BO1305" s="243"/>
      <c r="BP1305" s="243"/>
      <c r="BQ1305" s="243"/>
      <c r="BR1305" s="243"/>
      <c r="BS1305" s="243"/>
    </row>
    <row r="1306" spans="1:71" s="12" customFormat="1" ht="41.25" customHeight="1">
      <c r="A1306" s="178" t="s">
        <v>97</v>
      </c>
      <c r="B1306" s="75" t="str">
        <f ca="1">+UPPER(Tabla1321124[[#This Row],[DESCRIPCIÓN DE LA COMPRA O CONTRATACIÓN]])</f>
        <v>REPARACION BOMBA VERTICAL Ø6"</v>
      </c>
      <c r="C1306" s="39" t="s">
        <v>17</v>
      </c>
      <c r="D1306" s="236">
        <v>3</v>
      </c>
      <c r="E1306" s="236">
        <v>18</v>
      </c>
      <c r="F1306" s="236">
        <v>8</v>
      </c>
      <c r="G1306" s="236">
        <v>10</v>
      </c>
      <c r="H1306" s="354">
        <f>Tabla1321124[[#This Row],[CUARTO TRIMESTRE]]+Tabla1321124[[#This Row],[TERCER TRIMESTRE]]+Tabla1321124[[#This Row],[SEGUNDO TRIMESTRE]]+Tabla1321124[[#This Row],[PRIMER TRIMESTRE]]</f>
        <v>39</v>
      </c>
      <c r="I1306" s="17">
        <v>385000</v>
      </c>
      <c r="J1306" s="17">
        <f t="shared" si="24"/>
        <v>15015000</v>
      </c>
      <c r="K1306" s="17"/>
      <c r="L1306" s="16" t="s">
        <v>18</v>
      </c>
      <c r="M1306" s="16" t="s">
        <v>22</v>
      </c>
      <c r="N1306" s="16"/>
      <c r="O1306" s="243"/>
      <c r="P1306" s="243"/>
      <c r="Q1306" s="243"/>
      <c r="R1306" s="243"/>
      <c r="S1306" s="243"/>
      <c r="T1306" s="243"/>
      <c r="U1306" s="243"/>
      <c r="V1306" s="243"/>
      <c r="W1306" s="243"/>
      <c r="X1306" s="243"/>
      <c r="Y1306" s="243"/>
      <c r="Z1306" s="243"/>
      <c r="AA1306" s="243"/>
      <c r="AB1306" s="243"/>
      <c r="AC1306" s="243"/>
      <c r="AD1306" s="243"/>
      <c r="AE1306" s="243"/>
      <c r="AF1306" s="243"/>
      <c r="AG1306" s="243"/>
      <c r="AH1306" s="243"/>
      <c r="AI1306" s="243"/>
      <c r="AJ1306" s="243"/>
      <c r="AK1306" s="243"/>
      <c r="AL1306" s="243"/>
      <c r="AM1306" s="243"/>
      <c r="AN1306" s="243"/>
      <c r="AO1306" s="243"/>
      <c r="AP1306" s="243"/>
      <c r="AQ1306" s="243"/>
      <c r="AR1306" s="243"/>
      <c r="AS1306" s="243"/>
      <c r="AT1306" s="243"/>
      <c r="AU1306" s="243"/>
      <c r="AV1306" s="243"/>
      <c r="AW1306" s="243"/>
      <c r="AX1306" s="243"/>
      <c r="AY1306" s="243"/>
      <c r="AZ1306" s="243"/>
      <c r="BA1306" s="243"/>
      <c r="BB1306" s="243"/>
      <c r="BC1306" s="243"/>
      <c r="BD1306" s="243"/>
      <c r="BE1306" s="243"/>
      <c r="BF1306" s="243"/>
      <c r="BG1306" s="243"/>
      <c r="BH1306" s="243"/>
      <c r="BI1306" s="243"/>
      <c r="BJ1306" s="243"/>
      <c r="BK1306" s="243"/>
      <c r="BL1306" s="243"/>
      <c r="BM1306" s="243"/>
      <c r="BN1306" s="243"/>
      <c r="BO1306" s="243"/>
      <c r="BP1306" s="243"/>
      <c r="BQ1306" s="243"/>
      <c r="BR1306" s="243"/>
      <c r="BS1306" s="243"/>
    </row>
    <row r="1307" spans="1:71" s="12" customFormat="1" ht="41.25" customHeight="1">
      <c r="A1307" s="178" t="s">
        <v>97</v>
      </c>
      <c r="B1307" s="75" t="str">
        <f ca="1">+UPPER(Tabla1321124[[#This Row],[DESCRIPCIÓN DE LA COMPRA O CONTRATACIÓN]])</f>
        <v>REPARACION BOMBA VERTICAL Ø4"</v>
      </c>
      <c r="C1307" s="39" t="s">
        <v>17</v>
      </c>
      <c r="D1307" s="236">
        <v>3</v>
      </c>
      <c r="E1307" s="236">
        <v>16</v>
      </c>
      <c r="F1307" s="236">
        <v>8</v>
      </c>
      <c r="G1307" s="236">
        <v>8</v>
      </c>
      <c r="H1307" s="354">
        <f>Tabla1321124[[#This Row],[CUARTO TRIMESTRE]]+Tabla1321124[[#This Row],[TERCER TRIMESTRE]]+Tabla1321124[[#This Row],[SEGUNDO TRIMESTRE]]+Tabla1321124[[#This Row],[PRIMER TRIMESTRE]]</f>
        <v>35</v>
      </c>
      <c r="I1307" s="17">
        <v>290400</v>
      </c>
      <c r="J1307" s="17">
        <f t="shared" si="24"/>
        <v>10164000</v>
      </c>
      <c r="K1307" s="17"/>
      <c r="L1307" s="16" t="s">
        <v>18</v>
      </c>
      <c r="M1307" s="16" t="s">
        <v>22</v>
      </c>
      <c r="N1307" s="16"/>
      <c r="O1307" s="243"/>
      <c r="P1307" s="243"/>
      <c r="Q1307" s="243"/>
      <c r="R1307" s="243"/>
      <c r="S1307" s="243"/>
      <c r="T1307" s="243"/>
      <c r="U1307" s="243"/>
      <c r="V1307" s="243"/>
      <c r="W1307" s="243"/>
      <c r="X1307" s="243"/>
      <c r="Y1307" s="243"/>
      <c r="Z1307" s="243"/>
      <c r="AA1307" s="243"/>
      <c r="AB1307" s="243"/>
      <c r="AC1307" s="243"/>
      <c r="AD1307" s="243"/>
      <c r="AE1307" s="243"/>
      <c r="AF1307" s="243"/>
      <c r="AG1307" s="243"/>
      <c r="AH1307" s="243"/>
      <c r="AI1307" s="243"/>
      <c r="AJ1307" s="243"/>
      <c r="AK1307" s="243"/>
      <c r="AL1307" s="243"/>
      <c r="AM1307" s="243"/>
      <c r="AN1307" s="243"/>
      <c r="AO1307" s="243"/>
      <c r="AP1307" s="243"/>
      <c r="AQ1307" s="243"/>
      <c r="AR1307" s="243"/>
      <c r="AS1307" s="243"/>
      <c r="AT1307" s="243"/>
      <c r="AU1307" s="243"/>
      <c r="AV1307" s="243"/>
      <c r="AW1307" s="243"/>
      <c r="AX1307" s="243"/>
      <c r="AY1307" s="243"/>
      <c r="AZ1307" s="243"/>
      <c r="BA1307" s="243"/>
      <c r="BB1307" s="243"/>
      <c r="BC1307" s="243"/>
      <c r="BD1307" s="243"/>
      <c r="BE1307" s="243"/>
      <c r="BF1307" s="243"/>
      <c r="BG1307" s="243"/>
      <c r="BH1307" s="243"/>
      <c r="BI1307" s="243"/>
      <c r="BJ1307" s="243"/>
      <c r="BK1307" s="243"/>
      <c r="BL1307" s="243"/>
      <c r="BM1307" s="243"/>
      <c r="BN1307" s="243"/>
      <c r="BO1307" s="243"/>
      <c r="BP1307" s="243"/>
      <c r="BQ1307" s="243"/>
      <c r="BR1307" s="243"/>
      <c r="BS1307" s="243"/>
    </row>
    <row r="1308" spans="1:71" s="12" customFormat="1" ht="41.25" customHeight="1">
      <c r="A1308" s="178" t="s">
        <v>97</v>
      </c>
      <c r="B1308" s="75" t="str">
        <f ca="1">+UPPER(Tabla1321124[[#This Row],[DESCRIPCIÓN DE LA COMPRA O CONTRATACIÓN]])</f>
        <v>REPARACION BOMBAS HORIZONTALES</v>
      </c>
      <c r="C1308" s="39" t="s">
        <v>17</v>
      </c>
      <c r="D1308" s="236">
        <v>3</v>
      </c>
      <c r="E1308" s="236">
        <v>16</v>
      </c>
      <c r="F1308" s="236">
        <v>8</v>
      </c>
      <c r="G1308" s="236">
        <v>8</v>
      </c>
      <c r="H1308" s="354">
        <f>Tabla1321124[[#This Row],[CUARTO TRIMESTRE]]+Tabla1321124[[#This Row],[TERCER TRIMESTRE]]+Tabla1321124[[#This Row],[SEGUNDO TRIMESTRE]]+Tabla1321124[[#This Row],[PRIMER TRIMESTRE]]</f>
        <v>35</v>
      </c>
      <c r="I1308" s="17">
        <v>230000</v>
      </c>
      <c r="J1308" s="17">
        <f t="shared" si="24"/>
        <v>8050000</v>
      </c>
      <c r="K1308" s="17"/>
      <c r="L1308" s="16" t="s">
        <v>18</v>
      </c>
      <c r="M1308" s="16" t="s">
        <v>22</v>
      </c>
      <c r="N1308" s="16"/>
      <c r="O1308" s="243"/>
      <c r="P1308" s="243"/>
      <c r="Q1308" s="243"/>
      <c r="R1308" s="243"/>
      <c r="S1308" s="243"/>
      <c r="T1308" s="243"/>
      <c r="U1308" s="243"/>
      <c r="V1308" s="243"/>
      <c r="W1308" s="243"/>
      <c r="X1308" s="243"/>
      <c r="Y1308" s="243"/>
      <c r="Z1308" s="243"/>
      <c r="AA1308" s="243"/>
      <c r="AB1308" s="243"/>
      <c r="AC1308" s="243"/>
      <c r="AD1308" s="243"/>
      <c r="AE1308" s="243"/>
      <c r="AF1308" s="243"/>
      <c r="AG1308" s="243"/>
      <c r="AH1308" s="243"/>
      <c r="AI1308" s="243"/>
      <c r="AJ1308" s="243"/>
      <c r="AK1308" s="243"/>
      <c r="AL1308" s="243"/>
      <c r="AM1308" s="243"/>
      <c r="AN1308" s="243"/>
      <c r="AO1308" s="243"/>
      <c r="AP1308" s="243"/>
      <c r="AQ1308" s="243"/>
      <c r="AR1308" s="243"/>
      <c r="AS1308" s="243"/>
      <c r="AT1308" s="243"/>
      <c r="AU1308" s="243"/>
      <c r="AV1308" s="243"/>
      <c r="AW1308" s="243"/>
      <c r="AX1308" s="243"/>
      <c r="AY1308" s="243"/>
      <c r="AZ1308" s="243"/>
      <c r="BA1308" s="243"/>
      <c r="BB1308" s="243"/>
      <c r="BC1308" s="243"/>
      <c r="BD1308" s="243"/>
      <c r="BE1308" s="243"/>
      <c r="BF1308" s="243"/>
      <c r="BG1308" s="243"/>
      <c r="BH1308" s="243"/>
      <c r="BI1308" s="243"/>
      <c r="BJ1308" s="243"/>
      <c r="BK1308" s="243"/>
      <c r="BL1308" s="243"/>
      <c r="BM1308" s="243"/>
      <c r="BN1308" s="243"/>
      <c r="BO1308" s="243"/>
      <c r="BP1308" s="243"/>
      <c r="BQ1308" s="243"/>
      <c r="BR1308" s="243"/>
      <c r="BS1308" s="243"/>
    </row>
    <row r="1309" spans="1:71" s="12" customFormat="1" ht="41.25" customHeight="1">
      <c r="A1309" s="178" t="s">
        <v>97</v>
      </c>
      <c r="B1309" s="75" t="str">
        <f ca="1">+UPPER(Tabla1321124[[#This Row],[DESCRIPCIÓN DE LA COMPRA O CONTRATACIÓN]])</f>
        <v>REPARACION BOMBAS HORIZONTALES PARA CLORO</v>
      </c>
      <c r="C1309" s="39" t="s">
        <v>17</v>
      </c>
      <c r="D1309" s="236">
        <v>3</v>
      </c>
      <c r="E1309" s="236">
        <v>30</v>
      </c>
      <c r="F1309" s="236">
        <v>18</v>
      </c>
      <c r="G1309" s="236">
        <v>15</v>
      </c>
      <c r="H1309" s="354">
        <f>Tabla1321124[[#This Row],[CUARTO TRIMESTRE]]+Tabla1321124[[#This Row],[TERCER TRIMESTRE]]+Tabla1321124[[#This Row],[SEGUNDO TRIMESTRE]]+Tabla1321124[[#This Row],[PRIMER TRIMESTRE]]</f>
        <v>66</v>
      </c>
      <c r="I1309" s="17">
        <v>13700</v>
      </c>
      <c r="J1309" s="17">
        <f t="shared" si="24"/>
        <v>904200</v>
      </c>
      <c r="K1309" s="17"/>
      <c r="L1309" s="16" t="s">
        <v>18</v>
      </c>
      <c r="M1309" s="16" t="s">
        <v>22</v>
      </c>
      <c r="N1309" s="16"/>
      <c r="O1309" s="243"/>
      <c r="P1309" s="243"/>
      <c r="Q1309" s="243"/>
      <c r="R1309" s="243"/>
      <c r="S1309" s="243"/>
      <c r="T1309" s="243"/>
      <c r="U1309" s="243"/>
      <c r="V1309" s="243"/>
      <c r="W1309" s="243"/>
      <c r="X1309" s="243"/>
      <c r="Y1309" s="243"/>
      <c r="Z1309" s="243"/>
      <c r="AA1309" s="243"/>
      <c r="AB1309" s="243"/>
      <c r="AC1309" s="243"/>
      <c r="AD1309" s="243"/>
      <c r="AE1309" s="243"/>
      <c r="AF1309" s="243"/>
      <c r="AG1309" s="243"/>
      <c r="AH1309" s="243"/>
      <c r="AI1309" s="243"/>
      <c r="AJ1309" s="243"/>
      <c r="AK1309" s="243"/>
      <c r="AL1309" s="243"/>
      <c r="AM1309" s="243"/>
      <c r="AN1309" s="243"/>
      <c r="AO1309" s="243"/>
      <c r="AP1309" s="243"/>
      <c r="AQ1309" s="243"/>
      <c r="AR1309" s="243"/>
      <c r="AS1309" s="243"/>
      <c r="AT1309" s="243"/>
      <c r="AU1309" s="243"/>
      <c r="AV1309" s="243"/>
      <c r="AW1309" s="243"/>
      <c r="AX1309" s="243"/>
      <c r="AY1309" s="243"/>
      <c r="AZ1309" s="243"/>
      <c r="BA1309" s="243"/>
      <c r="BB1309" s="243"/>
      <c r="BC1309" s="243"/>
      <c r="BD1309" s="243"/>
      <c r="BE1309" s="243"/>
      <c r="BF1309" s="243"/>
      <c r="BG1309" s="243"/>
      <c r="BH1309" s="243"/>
      <c r="BI1309" s="243"/>
      <c r="BJ1309" s="243"/>
      <c r="BK1309" s="243"/>
      <c r="BL1309" s="243"/>
      <c r="BM1309" s="243"/>
      <c r="BN1309" s="243"/>
      <c r="BO1309" s="243"/>
      <c r="BP1309" s="243"/>
      <c r="BQ1309" s="243"/>
      <c r="BR1309" s="243"/>
      <c r="BS1309" s="243"/>
    </row>
    <row r="1310" spans="1:71" s="12" customFormat="1" ht="41.25" customHeight="1">
      <c r="A1310" s="178" t="s">
        <v>97</v>
      </c>
      <c r="B1310" s="75" t="str">
        <f ca="1">+UPPER(Tabla1321124[[#This Row],[DESCRIPCIÓN DE LA COMPRA O CONTRATACIÓN]])</f>
        <v>REPARACION MOTOR VERTICAL 400HP</v>
      </c>
      <c r="C1310" s="39" t="s">
        <v>17</v>
      </c>
      <c r="D1310" s="236">
        <v>5</v>
      </c>
      <c r="E1310" s="236">
        <v>20</v>
      </c>
      <c r="F1310" s="236">
        <v>14</v>
      </c>
      <c r="G1310" s="236">
        <v>10</v>
      </c>
      <c r="H1310" s="354">
        <f>Tabla1321124[[#This Row],[CUARTO TRIMESTRE]]+Tabla1321124[[#This Row],[TERCER TRIMESTRE]]+Tabla1321124[[#This Row],[SEGUNDO TRIMESTRE]]+Tabla1321124[[#This Row],[PRIMER TRIMESTRE]]</f>
        <v>49</v>
      </c>
      <c r="I1310" s="17">
        <v>205000</v>
      </c>
      <c r="J1310" s="17">
        <f t="shared" si="24"/>
        <v>10045000</v>
      </c>
      <c r="K1310" s="17"/>
      <c r="L1310" s="16" t="s">
        <v>18</v>
      </c>
      <c r="M1310" s="16" t="s">
        <v>22</v>
      </c>
      <c r="N1310" s="16"/>
      <c r="O1310" s="243"/>
      <c r="P1310" s="243"/>
      <c r="Q1310" s="243"/>
      <c r="R1310" s="243"/>
      <c r="S1310" s="243"/>
      <c r="T1310" s="243"/>
      <c r="U1310" s="243"/>
      <c r="V1310" s="243"/>
      <c r="W1310" s="243"/>
      <c r="X1310" s="243"/>
      <c r="Y1310" s="243"/>
      <c r="Z1310" s="243"/>
      <c r="AA1310" s="243"/>
      <c r="AB1310" s="243"/>
      <c r="AC1310" s="243"/>
      <c r="AD1310" s="243"/>
      <c r="AE1310" s="243"/>
      <c r="AF1310" s="243"/>
      <c r="AG1310" s="243"/>
      <c r="AH1310" s="243"/>
      <c r="AI1310" s="243"/>
      <c r="AJ1310" s="243"/>
      <c r="AK1310" s="243"/>
      <c r="AL1310" s="243"/>
      <c r="AM1310" s="243"/>
      <c r="AN1310" s="243"/>
      <c r="AO1310" s="243"/>
      <c r="AP1310" s="243"/>
      <c r="AQ1310" s="243"/>
      <c r="AR1310" s="243"/>
      <c r="AS1310" s="243"/>
      <c r="AT1310" s="243"/>
      <c r="AU1310" s="243"/>
      <c r="AV1310" s="243"/>
      <c r="AW1310" s="243"/>
      <c r="AX1310" s="243"/>
      <c r="AY1310" s="243"/>
      <c r="AZ1310" s="243"/>
      <c r="BA1310" s="243"/>
      <c r="BB1310" s="243"/>
      <c r="BC1310" s="243"/>
      <c r="BD1310" s="243"/>
      <c r="BE1310" s="243"/>
      <c r="BF1310" s="243"/>
      <c r="BG1310" s="243"/>
      <c r="BH1310" s="243"/>
      <c r="BI1310" s="243"/>
      <c r="BJ1310" s="243"/>
      <c r="BK1310" s="243"/>
      <c r="BL1310" s="243"/>
      <c r="BM1310" s="243"/>
      <c r="BN1310" s="243"/>
      <c r="BO1310" s="243"/>
      <c r="BP1310" s="243"/>
      <c r="BQ1310" s="243"/>
      <c r="BR1310" s="243"/>
      <c r="BS1310" s="243"/>
    </row>
    <row r="1311" spans="1:71" s="12" customFormat="1" ht="41.25" customHeight="1">
      <c r="A1311" s="178" t="s">
        <v>97</v>
      </c>
      <c r="B1311" s="75" t="str">
        <f ca="1">+UPPER(Tabla1321124[[#This Row],[DESCRIPCIÓN DE LA COMPRA O CONTRATACIÓN]])</f>
        <v>REPARACION MOTOR VERTICAL 350HP</v>
      </c>
      <c r="C1311" s="39" t="s">
        <v>17</v>
      </c>
      <c r="D1311" s="236">
        <v>4</v>
      </c>
      <c r="E1311" s="236">
        <v>2</v>
      </c>
      <c r="F1311" s="236">
        <v>1</v>
      </c>
      <c r="G1311" s="236">
        <v>1</v>
      </c>
      <c r="H1311" s="354">
        <f>Tabla1321124[[#This Row],[CUARTO TRIMESTRE]]+Tabla1321124[[#This Row],[TERCER TRIMESTRE]]+Tabla1321124[[#This Row],[SEGUNDO TRIMESTRE]]+Tabla1321124[[#This Row],[PRIMER TRIMESTRE]]</f>
        <v>8</v>
      </c>
      <c r="I1311" s="17">
        <v>170000</v>
      </c>
      <c r="J1311" s="17">
        <f t="shared" si="24"/>
        <v>1360000</v>
      </c>
      <c r="K1311" s="17"/>
      <c r="L1311" s="16" t="s">
        <v>18</v>
      </c>
      <c r="M1311" s="16" t="s">
        <v>22</v>
      </c>
      <c r="N1311" s="16"/>
      <c r="O1311" s="243"/>
      <c r="P1311" s="243"/>
      <c r="Q1311" s="243"/>
      <c r="R1311" s="243"/>
      <c r="S1311" s="243"/>
      <c r="T1311" s="243"/>
      <c r="U1311" s="243"/>
      <c r="V1311" s="243"/>
      <c r="W1311" s="243"/>
      <c r="X1311" s="243"/>
      <c r="Y1311" s="243"/>
      <c r="Z1311" s="243"/>
      <c r="AA1311" s="243"/>
      <c r="AB1311" s="243"/>
      <c r="AC1311" s="243"/>
      <c r="AD1311" s="243"/>
      <c r="AE1311" s="243"/>
      <c r="AF1311" s="243"/>
      <c r="AG1311" s="243"/>
      <c r="AH1311" s="243"/>
      <c r="AI1311" s="243"/>
      <c r="AJ1311" s="243"/>
      <c r="AK1311" s="243"/>
      <c r="AL1311" s="243"/>
      <c r="AM1311" s="243"/>
      <c r="AN1311" s="243"/>
      <c r="AO1311" s="243"/>
      <c r="AP1311" s="243"/>
      <c r="AQ1311" s="243"/>
      <c r="AR1311" s="243"/>
      <c r="AS1311" s="243"/>
      <c r="AT1311" s="243"/>
      <c r="AU1311" s="243"/>
      <c r="AV1311" s="243"/>
      <c r="AW1311" s="243"/>
      <c r="AX1311" s="243"/>
      <c r="AY1311" s="243"/>
      <c r="AZ1311" s="243"/>
      <c r="BA1311" s="243"/>
      <c r="BB1311" s="243"/>
      <c r="BC1311" s="243"/>
      <c r="BD1311" s="243"/>
      <c r="BE1311" s="243"/>
      <c r="BF1311" s="243"/>
      <c r="BG1311" s="243"/>
      <c r="BH1311" s="243"/>
      <c r="BI1311" s="243"/>
      <c r="BJ1311" s="243"/>
      <c r="BK1311" s="243"/>
      <c r="BL1311" s="243"/>
      <c r="BM1311" s="243"/>
      <c r="BN1311" s="243"/>
      <c r="BO1311" s="243"/>
      <c r="BP1311" s="243"/>
      <c r="BQ1311" s="243"/>
      <c r="BR1311" s="243"/>
      <c r="BS1311" s="243"/>
    </row>
    <row r="1312" spans="1:71" s="12" customFormat="1" ht="41.25" customHeight="1">
      <c r="A1312" s="178" t="s">
        <v>97</v>
      </c>
      <c r="B1312" s="75" t="str">
        <f ca="1">+UPPER(Tabla1321124[[#This Row],[DESCRIPCIÓN DE LA COMPRA O CONTRATACIÓN]])</f>
        <v>REPARACION MOTOR VERTICAL 300HP</v>
      </c>
      <c r="C1312" s="39" t="s">
        <v>17</v>
      </c>
      <c r="D1312" s="236">
        <v>2</v>
      </c>
      <c r="E1312" s="236">
        <v>4</v>
      </c>
      <c r="F1312" s="236">
        <v>2</v>
      </c>
      <c r="G1312" s="236">
        <v>2</v>
      </c>
      <c r="H1312" s="354">
        <f>Tabla1321124[[#This Row],[CUARTO TRIMESTRE]]+Tabla1321124[[#This Row],[TERCER TRIMESTRE]]+Tabla1321124[[#This Row],[SEGUNDO TRIMESTRE]]+Tabla1321124[[#This Row],[PRIMER TRIMESTRE]]</f>
        <v>10</v>
      </c>
      <c r="I1312" s="17">
        <v>155000</v>
      </c>
      <c r="J1312" s="17">
        <f t="shared" si="24"/>
        <v>1550000</v>
      </c>
      <c r="K1312" s="17"/>
      <c r="L1312" s="16" t="s">
        <v>18</v>
      </c>
      <c r="M1312" s="16" t="s">
        <v>22</v>
      </c>
      <c r="N1312" s="16"/>
      <c r="O1312" s="243"/>
      <c r="P1312" s="243"/>
      <c r="Q1312" s="243"/>
      <c r="R1312" s="243"/>
      <c r="S1312" s="243"/>
      <c r="T1312" s="243"/>
      <c r="U1312" s="243"/>
      <c r="V1312" s="243"/>
      <c r="W1312" s="243"/>
      <c r="X1312" s="243"/>
      <c r="Y1312" s="243"/>
      <c r="Z1312" s="243"/>
      <c r="AA1312" s="243"/>
      <c r="AB1312" s="243"/>
      <c r="AC1312" s="243"/>
      <c r="AD1312" s="243"/>
      <c r="AE1312" s="243"/>
      <c r="AF1312" s="243"/>
      <c r="AG1312" s="243"/>
      <c r="AH1312" s="243"/>
      <c r="AI1312" s="243"/>
      <c r="AJ1312" s="243"/>
      <c r="AK1312" s="243"/>
      <c r="AL1312" s="243"/>
      <c r="AM1312" s="243"/>
      <c r="AN1312" s="243"/>
      <c r="AO1312" s="243"/>
      <c r="AP1312" s="243"/>
      <c r="AQ1312" s="243"/>
      <c r="AR1312" s="243"/>
      <c r="AS1312" s="243"/>
      <c r="AT1312" s="243"/>
      <c r="AU1312" s="243"/>
      <c r="AV1312" s="243"/>
      <c r="AW1312" s="243"/>
      <c r="AX1312" s="243"/>
      <c r="AY1312" s="243"/>
      <c r="AZ1312" s="243"/>
      <c r="BA1312" s="243"/>
      <c r="BB1312" s="243"/>
      <c r="BC1312" s="243"/>
      <c r="BD1312" s="243"/>
      <c r="BE1312" s="243"/>
      <c r="BF1312" s="243"/>
      <c r="BG1312" s="243"/>
      <c r="BH1312" s="243"/>
      <c r="BI1312" s="243"/>
      <c r="BJ1312" s="243"/>
      <c r="BK1312" s="243"/>
      <c r="BL1312" s="243"/>
      <c r="BM1312" s="243"/>
      <c r="BN1312" s="243"/>
      <c r="BO1312" s="243"/>
      <c r="BP1312" s="243"/>
      <c r="BQ1312" s="243"/>
      <c r="BR1312" s="243"/>
      <c r="BS1312" s="243"/>
    </row>
    <row r="1313" spans="1:71" s="12" customFormat="1" ht="41.25" customHeight="1">
      <c r="A1313" s="178" t="s">
        <v>97</v>
      </c>
      <c r="B1313" s="75" t="str">
        <f ca="1">+UPPER(Tabla1321124[[#This Row],[DESCRIPCIÓN DE LA COMPRA O CONTRATACIÓN]])</f>
        <v>REPARACION MOTOR VERTICAL 250HP</v>
      </c>
      <c r="C1313" s="39" t="s">
        <v>17</v>
      </c>
      <c r="D1313" s="236">
        <v>3</v>
      </c>
      <c r="E1313" s="236">
        <v>4</v>
      </c>
      <c r="F1313" s="236">
        <v>4</v>
      </c>
      <c r="G1313" s="236">
        <v>4</v>
      </c>
      <c r="H1313" s="354">
        <f>Tabla1321124[[#This Row],[CUARTO TRIMESTRE]]+Tabla1321124[[#This Row],[TERCER TRIMESTRE]]+Tabla1321124[[#This Row],[SEGUNDO TRIMESTRE]]+Tabla1321124[[#This Row],[PRIMER TRIMESTRE]]</f>
        <v>15</v>
      </c>
      <c r="I1313" s="17">
        <v>140000</v>
      </c>
      <c r="J1313" s="17">
        <f t="shared" si="24"/>
        <v>2100000</v>
      </c>
      <c r="K1313" s="17"/>
      <c r="L1313" s="16" t="s">
        <v>18</v>
      </c>
      <c r="M1313" s="16" t="s">
        <v>22</v>
      </c>
      <c r="N1313" s="16"/>
      <c r="O1313" s="243"/>
      <c r="P1313" s="243"/>
      <c r="Q1313" s="243"/>
      <c r="R1313" s="243"/>
      <c r="S1313" s="243"/>
      <c r="T1313" s="243"/>
      <c r="U1313" s="243"/>
      <c r="V1313" s="243"/>
      <c r="W1313" s="243"/>
      <c r="X1313" s="243"/>
      <c r="Y1313" s="243"/>
      <c r="Z1313" s="243"/>
      <c r="AA1313" s="243"/>
      <c r="AB1313" s="243"/>
      <c r="AC1313" s="243"/>
      <c r="AD1313" s="243"/>
      <c r="AE1313" s="243"/>
      <c r="AF1313" s="243"/>
      <c r="AG1313" s="243"/>
      <c r="AH1313" s="243"/>
      <c r="AI1313" s="243"/>
      <c r="AJ1313" s="243"/>
      <c r="AK1313" s="243"/>
      <c r="AL1313" s="243"/>
      <c r="AM1313" s="243"/>
      <c r="AN1313" s="243"/>
      <c r="AO1313" s="243"/>
      <c r="AP1313" s="243"/>
      <c r="AQ1313" s="243"/>
      <c r="AR1313" s="243"/>
      <c r="AS1313" s="243"/>
      <c r="AT1313" s="243"/>
      <c r="AU1313" s="243"/>
      <c r="AV1313" s="243"/>
      <c r="AW1313" s="243"/>
      <c r="AX1313" s="243"/>
      <c r="AY1313" s="243"/>
      <c r="AZ1313" s="243"/>
      <c r="BA1313" s="243"/>
      <c r="BB1313" s="243"/>
      <c r="BC1313" s="243"/>
      <c r="BD1313" s="243"/>
      <c r="BE1313" s="243"/>
      <c r="BF1313" s="243"/>
      <c r="BG1313" s="243"/>
      <c r="BH1313" s="243"/>
      <c r="BI1313" s="243"/>
      <c r="BJ1313" s="243"/>
      <c r="BK1313" s="243"/>
      <c r="BL1313" s="243"/>
      <c r="BM1313" s="243"/>
      <c r="BN1313" s="243"/>
      <c r="BO1313" s="243"/>
      <c r="BP1313" s="243"/>
      <c r="BQ1313" s="243"/>
      <c r="BR1313" s="243"/>
      <c r="BS1313" s="243"/>
    </row>
    <row r="1314" spans="1:71" s="12" customFormat="1" ht="41.25" customHeight="1">
      <c r="A1314" s="178" t="s">
        <v>97</v>
      </c>
      <c r="B1314" s="75" t="str">
        <f ca="1">+UPPER(Tabla1321124[[#This Row],[DESCRIPCIÓN DE LA COMPRA O CONTRATACIÓN]])</f>
        <v>REPARACION MOTOR VERTICAL 200HP</v>
      </c>
      <c r="C1314" s="39" t="s">
        <v>17</v>
      </c>
      <c r="D1314" s="236"/>
      <c r="E1314" s="236">
        <v>8</v>
      </c>
      <c r="F1314" s="236">
        <v>4</v>
      </c>
      <c r="G1314" s="236">
        <v>4</v>
      </c>
      <c r="H1314" s="354">
        <f>Tabla1321124[[#This Row],[CUARTO TRIMESTRE]]+Tabla1321124[[#This Row],[TERCER TRIMESTRE]]+Tabla1321124[[#This Row],[SEGUNDO TRIMESTRE]]+Tabla1321124[[#This Row],[PRIMER TRIMESTRE]]</f>
        <v>16</v>
      </c>
      <c r="I1314" s="17">
        <v>115000</v>
      </c>
      <c r="J1314" s="17">
        <f t="shared" si="24"/>
        <v>1840000</v>
      </c>
      <c r="K1314" s="17"/>
      <c r="L1314" s="16" t="s">
        <v>18</v>
      </c>
      <c r="M1314" s="16" t="s">
        <v>22</v>
      </c>
      <c r="N1314" s="16"/>
      <c r="O1314" s="243"/>
      <c r="P1314" s="243"/>
      <c r="Q1314" s="243"/>
      <c r="R1314" s="243"/>
      <c r="S1314" s="243"/>
      <c r="T1314" s="243"/>
      <c r="U1314" s="243"/>
      <c r="V1314" s="243"/>
      <c r="W1314" s="243"/>
      <c r="X1314" s="243"/>
      <c r="Y1314" s="243"/>
      <c r="Z1314" s="243"/>
      <c r="AA1314" s="243"/>
      <c r="AB1314" s="243"/>
      <c r="AC1314" s="243"/>
      <c r="AD1314" s="243"/>
      <c r="AE1314" s="243"/>
      <c r="AF1314" s="243"/>
      <c r="AG1314" s="243"/>
      <c r="AH1314" s="243"/>
      <c r="AI1314" s="243"/>
      <c r="AJ1314" s="243"/>
      <c r="AK1314" s="243"/>
      <c r="AL1314" s="243"/>
      <c r="AM1314" s="243"/>
      <c r="AN1314" s="243"/>
      <c r="AO1314" s="243"/>
      <c r="AP1314" s="243"/>
      <c r="AQ1314" s="243"/>
      <c r="AR1314" s="243"/>
      <c r="AS1314" s="243"/>
      <c r="AT1314" s="243"/>
      <c r="AU1314" s="243"/>
      <c r="AV1314" s="243"/>
      <c r="AW1314" s="243"/>
      <c r="AX1314" s="243"/>
      <c r="AY1314" s="243"/>
      <c r="AZ1314" s="243"/>
      <c r="BA1314" s="243"/>
      <c r="BB1314" s="243"/>
      <c r="BC1314" s="243"/>
      <c r="BD1314" s="243"/>
      <c r="BE1314" s="243"/>
      <c r="BF1314" s="243"/>
      <c r="BG1314" s="243"/>
      <c r="BH1314" s="243"/>
      <c r="BI1314" s="243"/>
      <c r="BJ1314" s="243"/>
      <c r="BK1314" s="243"/>
      <c r="BL1314" s="243"/>
      <c r="BM1314" s="243"/>
      <c r="BN1314" s="243"/>
      <c r="BO1314" s="243"/>
      <c r="BP1314" s="243"/>
      <c r="BQ1314" s="243"/>
      <c r="BR1314" s="243"/>
      <c r="BS1314" s="243"/>
    </row>
    <row r="1315" spans="1:71" s="12" customFormat="1" ht="41.25" customHeight="1">
      <c r="A1315" s="178" t="s">
        <v>97</v>
      </c>
      <c r="B1315" s="75" t="str">
        <f ca="1">+UPPER(Tabla1321124[[#This Row],[DESCRIPCIÓN DE LA COMPRA O CONTRATACIÓN]])</f>
        <v>REPARACION MOTOR VERTICAL 150HP</v>
      </c>
      <c r="C1315" s="39" t="s">
        <v>17</v>
      </c>
      <c r="D1315" s="236"/>
      <c r="E1315" s="236">
        <v>10</v>
      </c>
      <c r="F1315" s="236">
        <v>5</v>
      </c>
      <c r="G1315" s="236">
        <v>5</v>
      </c>
      <c r="H1315" s="354">
        <f>Tabla1321124[[#This Row],[CUARTO TRIMESTRE]]+Tabla1321124[[#This Row],[TERCER TRIMESTRE]]+Tabla1321124[[#This Row],[SEGUNDO TRIMESTRE]]+Tabla1321124[[#This Row],[PRIMER TRIMESTRE]]</f>
        <v>20</v>
      </c>
      <c r="I1315" s="17">
        <v>100000</v>
      </c>
      <c r="J1315" s="17">
        <f t="shared" si="24"/>
        <v>2000000</v>
      </c>
      <c r="K1315" s="17"/>
      <c r="L1315" s="16" t="s">
        <v>18</v>
      </c>
      <c r="M1315" s="16" t="s">
        <v>22</v>
      </c>
      <c r="N1315" s="16"/>
      <c r="O1315" s="243"/>
      <c r="P1315" s="243"/>
      <c r="Q1315" s="243"/>
      <c r="R1315" s="243"/>
      <c r="S1315" s="243"/>
      <c r="T1315" s="243"/>
      <c r="U1315" s="243"/>
      <c r="V1315" s="243"/>
      <c r="W1315" s="243"/>
      <c r="X1315" s="243"/>
      <c r="Y1315" s="243"/>
      <c r="Z1315" s="243"/>
      <c r="AA1315" s="243"/>
      <c r="AB1315" s="243"/>
      <c r="AC1315" s="243"/>
      <c r="AD1315" s="243"/>
      <c r="AE1315" s="243"/>
      <c r="AF1315" s="243"/>
      <c r="AG1315" s="243"/>
      <c r="AH1315" s="243"/>
      <c r="AI1315" s="243"/>
      <c r="AJ1315" s="243"/>
      <c r="AK1315" s="243"/>
      <c r="AL1315" s="243"/>
      <c r="AM1315" s="243"/>
      <c r="AN1315" s="243"/>
      <c r="AO1315" s="243"/>
      <c r="AP1315" s="243"/>
      <c r="AQ1315" s="243"/>
      <c r="AR1315" s="243"/>
      <c r="AS1315" s="243"/>
      <c r="AT1315" s="243"/>
      <c r="AU1315" s="243"/>
      <c r="AV1315" s="243"/>
      <c r="AW1315" s="243"/>
      <c r="AX1315" s="243"/>
      <c r="AY1315" s="243"/>
      <c r="AZ1315" s="243"/>
      <c r="BA1315" s="243"/>
      <c r="BB1315" s="243"/>
      <c r="BC1315" s="243"/>
      <c r="BD1315" s="243"/>
      <c r="BE1315" s="243"/>
      <c r="BF1315" s="243"/>
      <c r="BG1315" s="243"/>
      <c r="BH1315" s="243"/>
      <c r="BI1315" s="243"/>
      <c r="BJ1315" s="243"/>
      <c r="BK1315" s="243"/>
      <c r="BL1315" s="243"/>
      <c r="BM1315" s="243"/>
      <c r="BN1315" s="243"/>
      <c r="BO1315" s="243"/>
      <c r="BP1315" s="243"/>
      <c r="BQ1315" s="243"/>
      <c r="BR1315" s="243"/>
      <c r="BS1315" s="243"/>
    </row>
    <row r="1316" spans="1:71" s="12" customFormat="1" ht="41.25" customHeight="1">
      <c r="A1316" s="178" t="s">
        <v>97</v>
      </c>
      <c r="B1316" s="75" t="str">
        <f ca="1">+UPPER(Tabla1321124[[#This Row],[DESCRIPCIÓN DE LA COMPRA O CONTRATACIÓN]])</f>
        <v>REPARACION MOTOR VERTICAL 125HP</v>
      </c>
      <c r="C1316" s="39" t="s">
        <v>17</v>
      </c>
      <c r="D1316" s="236">
        <v>2</v>
      </c>
      <c r="E1316" s="236">
        <v>25</v>
      </c>
      <c r="F1316" s="236">
        <v>14</v>
      </c>
      <c r="G1316" s="236">
        <v>13</v>
      </c>
      <c r="H1316" s="354">
        <f>Tabla1321124[[#This Row],[CUARTO TRIMESTRE]]+Tabla1321124[[#This Row],[TERCER TRIMESTRE]]+Tabla1321124[[#This Row],[SEGUNDO TRIMESTRE]]+Tabla1321124[[#This Row],[PRIMER TRIMESTRE]]</f>
        <v>54</v>
      </c>
      <c r="I1316" s="17">
        <v>80000</v>
      </c>
      <c r="J1316" s="17">
        <f t="shared" si="24"/>
        <v>4320000</v>
      </c>
      <c r="K1316" s="17"/>
      <c r="L1316" s="16" t="s">
        <v>18</v>
      </c>
      <c r="M1316" s="16" t="s">
        <v>22</v>
      </c>
      <c r="N1316" s="16"/>
      <c r="O1316" s="243"/>
      <c r="P1316" s="243"/>
      <c r="Q1316" s="243"/>
      <c r="R1316" s="243"/>
      <c r="S1316" s="243"/>
      <c r="T1316" s="243"/>
      <c r="U1316" s="243"/>
      <c r="V1316" s="243"/>
      <c r="W1316" s="243"/>
      <c r="X1316" s="243"/>
      <c r="Y1316" s="243"/>
      <c r="Z1316" s="243"/>
      <c r="AA1316" s="243"/>
      <c r="AB1316" s="243"/>
      <c r="AC1316" s="243"/>
      <c r="AD1316" s="243"/>
      <c r="AE1316" s="243"/>
      <c r="AF1316" s="243"/>
      <c r="AG1316" s="243"/>
      <c r="AH1316" s="243"/>
      <c r="AI1316" s="243"/>
      <c r="AJ1316" s="243"/>
      <c r="AK1316" s="243"/>
      <c r="AL1316" s="243"/>
      <c r="AM1316" s="243"/>
      <c r="AN1316" s="243"/>
      <c r="AO1316" s="243"/>
      <c r="AP1316" s="243"/>
      <c r="AQ1316" s="243"/>
      <c r="AR1316" s="243"/>
      <c r="AS1316" s="243"/>
      <c r="AT1316" s="243"/>
      <c r="AU1316" s="243"/>
      <c r="AV1316" s="243"/>
      <c r="AW1316" s="243"/>
      <c r="AX1316" s="243"/>
      <c r="AY1316" s="243"/>
      <c r="AZ1316" s="243"/>
      <c r="BA1316" s="243"/>
      <c r="BB1316" s="243"/>
      <c r="BC1316" s="243"/>
      <c r="BD1316" s="243"/>
      <c r="BE1316" s="243"/>
      <c r="BF1316" s="243"/>
      <c r="BG1316" s="243"/>
      <c r="BH1316" s="243"/>
      <c r="BI1316" s="243"/>
      <c r="BJ1316" s="243"/>
      <c r="BK1316" s="243"/>
      <c r="BL1316" s="243"/>
      <c r="BM1316" s="243"/>
      <c r="BN1316" s="243"/>
      <c r="BO1316" s="243"/>
      <c r="BP1316" s="243"/>
      <c r="BQ1316" s="243"/>
      <c r="BR1316" s="243"/>
      <c r="BS1316" s="243"/>
    </row>
    <row r="1317" spans="1:71" s="12" customFormat="1" ht="41.25" customHeight="1">
      <c r="A1317" s="178" t="s">
        <v>97</v>
      </c>
      <c r="B1317" s="75" t="str">
        <f ca="1">+UPPER(Tabla1321124[[#This Row],[DESCRIPCIÓN DE LA COMPRA O CONTRATACIÓN]])</f>
        <v>REPARACION MOTOR VERTICAL 100HP</v>
      </c>
      <c r="C1317" s="39" t="s">
        <v>17</v>
      </c>
      <c r="D1317" s="236">
        <v>3</v>
      </c>
      <c r="E1317" s="236">
        <v>41</v>
      </c>
      <c r="F1317" s="236">
        <v>23</v>
      </c>
      <c r="G1317" s="236">
        <v>21</v>
      </c>
      <c r="H1317" s="354">
        <f>Tabla1321124[[#This Row],[CUARTO TRIMESTRE]]+Tabla1321124[[#This Row],[TERCER TRIMESTRE]]+Tabla1321124[[#This Row],[SEGUNDO TRIMESTRE]]+Tabla1321124[[#This Row],[PRIMER TRIMESTRE]]</f>
        <v>88</v>
      </c>
      <c r="I1317" s="17">
        <v>65000</v>
      </c>
      <c r="J1317" s="17">
        <f t="shared" si="24"/>
        <v>5720000</v>
      </c>
      <c r="K1317" s="17"/>
      <c r="L1317" s="16" t="s">
        <v>18</v>
      </c>
      <c r="M1317" s="16" t="s">
        <v>22</v>
      </c>
      <c r="N1317" s="16"/>
      <c r="O1317" s="243"/>
      <c r="P1317" s="243"/>
      <c r="Q1317" s="243"/>
      <c r="R1317" s="243"/>
      <c r="S1317" s="243"/>
      <c r="T1317" s="243"/>
      <c r="U1317" s="243"/>
      <c r="V1317" s="243"/>
      <c r="W1317" s="243"/>
      <c r="X1317" s="243"/>
      <c r="Y1317" s="243"/>
      <c r="Z1317" s="243"/>
      <c r="AA1317" s="243"/>
      <c r="AB1317" s="243"/>
      <c r="AC1317" s="243"/>
      <c r="AD1317" s="243"/>
      <c r="AE1317" s="243"/>
      <c r="AF1317" s="243"/>
      <c r="AG1317" s="243"/>
      <c r="AH1317" s="243"/>
      <c r="AI1317" s="243"/>
      <c r="AJ1317" s="243"/>
      <c r="AK1317" s="243"/>
      <c r="AL1317" s="243"/>
      <c r="AM1317" s="243"/>
      <c r="AN1317" s="243"/>
      <c r="AO1317" s="243"/>
      <c r="AP1317" s="243"/>
      <c r="AQ1317" s="243"/>
      <c r="AR1317" s="243"/>
      <c r="AS1317" s="243"/>
      <c r="AT1317" s="243"/>
      <c r="AU1317" s="243"/>
      <c r="AV1317" s="243"/>
      <c r="AW1317" s="243"/>
      <c r="AX1317" s="243"/>
      <c r="AY1317" s="243"/>
      <c r="AZ1317" s="243"/>
      <c r="BA1317" s="243"/>
      <c r="BB1317" s="243"/>
      <c r="BC1317" s="243"/>
      <c r="BD1317" s="243"/>
      <c r="BE1317" s="243"/>
      <c r="BF1317" s="243"/>
      <c r="BG1317" s="243"/>
      <c r="BH1317" s="243"/>
      <c r="BI1317" s="243"/>
      <c r="BJ1317" s="243"/>
      <c r="BK1317" s="243"/>
      <c r="BL1317" s="243"/>
      <c r="BM1317" s="243"/>
      <c r="BN1317" s="243"/>
      <c r="BO1317" s="243"/>
      <c r="BP1317" s="243"/>
      <c r="BQ1317" s="243"/>
      <c r="BR1317" s="243"/>
      <c r="BS1317" s="243"/>
    </row>
    <row r="1318" spans="1:71" s="12" customFormat="1" ht="41.25" customHeight="1">
      <c r="A1318" s="178" t="s">
        <v>97</v>
      </c>
      <c r="B1318" s="75" t="str">
        <f ca="1">+UPPER(Tabla1321124[[#This Row],[DESCRIPCIÓN DE LA COMPRA O CONTRATACIÓN]])</f>
        <v>REPARACION MOTOR VERTICAL 75HP</v>
      </c>
      <c r="C1318" s="39" t="s">
        <v>17</v>
      </c>
      <c r="D1318" s="236">
        <v>2</v>
      </c>
      <c r="E1318" s="236">
        <v>60</v>
      </c>
      <c r="F1318" s="236">
        <v>32</v>
      </c>
      <c r="G1318" s="236">
        <v>30</v>
      </c>
      <c r="H1318" s="354">
        <f>Tabla1321124[[#This Row],[CUARTO TRIMESTRE]]+Tabla1321124[[#This Row],[TERCER TRIMESTRE]]+Tabla1321124[[#This Row],[SEGUNDO TRIMESTRE]]+Tabla1321124[[#This Row],[PRIMER TRIMESTRE]]</f>
        <v>124</v>
      </c>
      <c r="I1318" s="17">
        <v>50000</v>
      </c>
      <c r="J1318" s="17">
        <f t="shared" si="24"/>
        <v>6200000</v>
      </c>
      <c r="K1318" s="17"/>
      <c r="L1318" s="16" t="s">
        <v>18</v>
      </c>
      <c r="M1318" s="16" t="s">
        <v>22</v>
      </c>
      <c r="N1318" s="16"/>
      <c r="O1318" s="243"/>
      <c r="P1318" s="243"/>
      <c r="Q1318" s="243"/>
      <c r="R1318" s="243"/>
      <c r="S1318" s="243"/>
      <c r="T1318" s="243"/>
      <c r="U1318" s="243"/>
      <c r="V1318" s="243"/>
      <c r="W1318" s="243"/>
      <c r="X1318" s="243"/>
      <c r="Y1318" s="243"/>
      <c r="Z1318" s="243"/>
      <c r="AA1318" s="243"/>
      <c r="AB1318" s="243"/>
      <c r="AC1318" s="243"/>
      <c r="AD1318" s="243"/>
      <c r="AE1318" s="243"/>
      <c r="AF1318" s="243"/>
      <c r="AG1318" s="243"/>
      <c r="AH1318" s="243"/>
      <c r="AI1318" s="243"/>
      <c r="AJ1318" s="243"/>
      <c r="AK1318" s="243"/>
      <c r="AL1318" s="243"/>
      <c r="AM1318" s="243"/>
      <c r="AN1318" s="243"/>
      <c r="AO1318" s="243"/>
      <c r="AP1318" s="243"/>
      <c r="AQ1318" s="243"/>
      <c r="AR1318" s="243"/>
      <c r="AS1318" s="243"/>
      <c r="AT1318" s="243"/>
      <c r="AU1318" s="243"/>
      <c r="AV1318" s="243"/>
      <c r="AW1318" s="243"/>
      <c r="AX1318" s="243"/>
      <c r="AY1318" s="243"/>
      <c r="AZ1318" s="243"/>
      <c r="BA1318" s="243"/>
      <c r="BB1318" s="243"/>
      <c r="BC1318" s="243"/>
      <c r="BD1318" s="243"/>
      <c r="BE1318" s="243"/>
      <c r="BF1318" s="243"/>
      <c r="BG1318" s="243"/>
      <c r="BH1318" s="243"/>
      <c r="BI1318" s="243"/>
      <c r="BJ1318" s="243"/>
      <c r="BK1318" s="243"/>
      <c r="BL1318" s="243"/>
      <c r="BM1318" s="243"/>
      <c r="BN1318" s="243"/>
      <c r="BO1318" s="243"/>
      <c r="BP1318" s="243"/>
      <c r="BQ1318" s="243"/>
      <c r="BR1318" s="243"/>
      <c r="BS1318" s="243"/>
    </row>
    <row r="1319" spans="1:71" s="12" customFormat="1" ht="41.25" customHeight="1">
      <c r="A1319" s="178" t="s">
        <v>97</v>
      </c>
      <c r="B1319" s="75" t="str">
        <f ca="1">+UPPER(Tabla1321124[[#This Row],[DESCRIPCIÓN DE LA COMPRA O CONTRATACIÓN]])</f>
        <v>REPARACION MOTOR VERTICAL 60HP</v>
      </c>
      <c r="C1319" s="39" t="s">
        <v>17</v>
      </c>
      <c r="D1319" s="236">
        <v>2</v>
      </c>
      <c r="E1319" s="236">
        <v>60</v>
      </c>
      <c r="F1319" s="236">
        <v>32</v>
      </c>
      <c r="G1319" s="236">
        <v>30</v>
      </c>
      <c r="H1319" s="354">
        <f>Tabla1321124[[#This Row],[CUARTO TRIMESTRE]]+Tabla1321124[[#This Row],[TERCER TRIMESTRE]]+Tabla1321124[[#This Row],[SEGUNDO TRIMESTRE]]+Tabla1321124[[#This Row],[PRIMER TRIMESTRE]]</f>
        <v>124</v>
      </c>
      <c r="I1319" s="17">
        <v>45000</v>
      </c>
      <c r="J1319" s="17">
        <f t="shared" si="24"/>
        <v>5580000</v>
      </c>
      <c r="K1319" s="17"/>
      <c r="L1319" s="16" t="s">
        <v>18</v>
      </c>
      <c r="M1319" s="16" t="s">
        <v>22</v>
      </c>
      <c r="N1319" s="16"/>
      <c r="O1319" s="243"/>
      <c r="P1319" s="243"/>
      <c r="Q1319" s="243"/>
      <c r="R1319" s="243"/>
      <c r="S1319" s="243"/>
      <c r="T1319" s="243"/>
      <c r="U1319" s="243"/>
      <c r="V1319" s="243"/>
      <c r="W1319" s="243"/>
      <c r="X1319" s="243"/>
      <c r="Y1319" s="243"/>
      <c r="Z1319" s="243"/>
      <c r="AA1319" s="243"/>
      <c r="AB1319" s="243"/>
      <c r="AC1319" s="243"/>
      <c r="AD1319" s="243"/>
      <c r="AE1319" s="243"/>
      <c r="AF1319" s="243"/>
      <c r="AG1319" s="243"/>
      <c r="AH1319" s="243"/>
      <c r="AI1319" s="243"/>
      <c r="AJ1319" s="243"/>
      <c r="AK1319" s="243"/>
      <c r="AL1319" s="243"/>
      <c r="AM1319" s="243"/>
      <c r="AN1319" s="243"/>
      <c r="AO1319" s="243"/>
      <c r="AP1319" s="243"/>
      <c r="AQ1319" s="243"/>
      <c r="AR1319" s="243"/>
      <c r="AS1319" s="243"/>
      <c r="AT1319" s="243"/>
      <c r="AU1319" s="243"/>
      <c r="AV1319" s="243"/>
      <c r="AW1319" s="243"/>
      <c r="AX1319" s="243"/>
      <c r="AY1319" s="243"/>
      <c r="AZ1319" s="243"/>
      <c r="BA1319" s="243"/>
      <c r="BB1319" s="243"/>
      <c r="BC1319" s="243"/>
      <c r="BD1319" s="243"/>
      <c r="BE1319" s="243"/>
      <c r="BF1319" s="243"/>
      <c r="BG1319" s="243"/>
      <c r="BH1319" s="243"/>
      <c r="BI1319" s="243"/>
      <c r="BJ1319" s="243"/>
      <c r="BK1319" s="243"/>
      <c r="BL1319" s="243"/>
      <c r="BM1319" s="243"/>
      <c r="BN1319" s="243"/>
      <c r="BO1319" s="243"/>
      <c r="BP1319" s="243"/>
      <c r="BQ1319" s="243"/>
      <c r="BR1319" s="243"/>
      <c r="BS1319" s="243"/>
    </row>
    <row r="1320" spans="1:71" s="12" customFormat="1" ht="41.25" customHeight="1">
      <c r="A1320" s="178" t="s">
        <v>97</v>
      </c>
      <c r="B1320" s="75" t="str">
        <f ca="1">+UPPER(Tabla1321124[[#This Row],[DESCRIPCIÓN DE LA COMPRA O CONTRATACIÓN]])</f>
        <v>REPARACION MOTOR VERTICAL 50HP</v>
      </c>
      <c r="C1320" s="39" t="s">
        <v>17</v>
      </c>
      <c r="D1320" s="236">
        <v>3</v>
      </c>
      <c r="E1320" s="236">
        <v>60</v>
      </c>
      <c r="F1320" s="236">
        <v>33</v>
      </c>
      <c r="G1320" s="236">
        <v>30</v>
      </c>
      <c r="H1320" s="354">
        <f>Tabla1321124[[#This Row],[CUARTO TRIMESTRE]]+Tabla1321124[[#This Row],[TERCER TRIMESTRE]]+Tabla1321124[[#This Row],[SEGUNDO TRIMESTRE]]+Tabla1321124[[#This Row],[PRIMER TRIMESTRE]]</f>
        <v>126</v>
      </c>
      <c r="I1320" s="17">
        <v>40000</v>
      </c>
      <c r="J1320" s="17">
        <f t="shared" si="24"/>
        <v>5040000</v>
      </c>
      <c r="K1320" s="17"/>
      <c r="L1320" s="16" t="s">
        <v>18</v>
      </c>
      <c r="M1320" s="16" t="s">
        <v>22</v>
      </c>
      <c r="N1320" s="16"/>
      <c r="O1320" s="243"/>
      <c r="P1320" s="243"/>
      <c r="Q1320" s="243"/>
      <c r="R1320" s="243"/>
      <c r="S1320" s="243"/>
      <c r="T1320" s="243"/>
      <c r="U1320" s="243"/>
      <c r="V1320" s="243"/>
      <c r="W1320" s="243"/>
      <c r="X1320" s="243"/>
      <c r="Y1320" s="243"/>
      <c r="Z1320" s="243"/>
      <c r="AA1320" s="243"/>
      <c r="AB1320" s="243"/>
      <c r="AC1320" s="243"/>
      <c r="AD1320" s="243"/>
      <c r="AE1320" s="243"/>
      <c r="AF1320" s="243"/>
      <c r="AG1320" s="243"/>
      <c r="AH1320" s="243"/>
      <c r="AI1320" s="243"/>
      <c r="AJ1320" s="243"/>
      <c r="AK1320" s="243"/>
      <c r="AL1320" s="243"/>
      <c r="AM1320" s="243"/>
      <c r="AN1320" s="243"/>
      <c r="AO1320" s="243"/>
      <c r="AP1320" s="243"/>
      <c r="AQ1320" s="243"/>
      <c r="AR1320" s="243"/>
      <c r="AS1320" s="243"/>
      <c r="AT1320" s="243"/>
      <c r="AU1320" s="243"/>
      <c r="AV1320" s="243"/>
      <c r="AW1320" s="243"/>
      <c r="AX1320" s="243"/>
      <c r="AY1320" s="243"/>
      <c r="AZ1320" s="243"/>
      <c r="BA1320" s="243"/>
      <c r="BB1320" s="243"/>
      <c r="BC1320" s="243"/>
      <c r="BD1320" s="243"/>
      <c r="BE1320" s="243"/>
      <c r="BF1320" s="243"/>
      <c r="BG1320" s="243"/>
      <c r="BH1320" s="243"/>
      <c r="BI1320" s="243"/>
      <c r="BJ1320" s="243"/>
      <c r="BK1320" s="243"/>
      <c r="BL1320" s="243"/>
      <c r="BM1320" s="243"/>
      <c r="BN1320" s="243"/>
      <c r="BO1320" s="243"/>
      <c r="BP1320" s="243"/>
      <c r="BQ1320" s="243"/>
      <c r="BR1320" s="243"/>
      <c r="BS1320" s="243"/>
    </row>
    <row r="1321" spans="1:71" s="12" customFormat="1" ht="41.25" customHeight="1">
      <c r="A1321" s="178" t="s">
        <v>97</v>
      </c>
      <c r="B1321" s="75" t="str">
        <f ca="1">+UPPER(Tabla1321124[[#This Row],[DESCRIPCIÓN DE LA COMPRA O CONTRATACIÓN]])</f>
        <v>REPARACION MOTOR VERTICAL 40HP</v>
      </c>
      <c r="C1321" s="39" t="s">
        <v>17</v>
      </c>
      <c r="D1321" s="236">
        <v>1</v>
      </c>
      <c r="E1321" s="236">
        <v>30</v>
      </c>
      <c r="F1321" s="236">
        <v>16</v>
      </c>
      <c r="G1321" s="236">
        <v>15</v>
      </c>
      <c r="H1321" s="354">
        <f>Tabla1321124[[#This Row],[CUARTO TRIMESTRE]]+Tabla1321124[[#This Row],[TERCER TRIMESTRE]]+Tabla1321124[[#This Row],[SEGUNDO TRIMESTRE]]+Tabla1321124[[#This Row],[PRIMER TRIMESTRE]]</f>
        <v>62</v>
      </c>
      <c r="I1321" s="17">
        <v>30000</v>
      </c>
      <c r="J1321" s="17">
        <f t="shared" si="24"/>
        <v>1860000</v>
      </c>
      <c r="K1321" s="17"/>
      <c r="L1321" s="16" t="s">
        <v>18</v>
      </c>
      <c r="M1321" s="16" t="s">
        <v>22</v>
      </c>
      <c r="N1321" s="16"/>
      <c r="O1321" s="243"/>
      <c r="P1321" s="243"/>
      <c r="Q1321" s="243"/>
      <c r="R1321" s="243"/>
      <c r="S1321" s="243"/>
      <c r="T1321" s="243"/>
      <c r="U1321" s="243"/>
      <c r="V1321" s="243"/>
      <c r="W1321" s="243"/>
      <c r="X1321" s="243"/>
      <c r="Y1321" s="243"/>
      <c r="Z1321" s="243"/>
      <c r="AA1321" s="243"/>
      <c r="AB1321" s="243"/>
      <c r="AC1321" s="243"/>
      <c r="AD1321" s="243"/>
      <c r="AE1321" s="243"/>
      <c r="AF1321" s="243"/>
      <c r="AG1321" s="243"/>
      <c r="AH1321" s="243"/>
      <c r="AI1321" s="243"/>
      <c r="AJ1321" s="243"/>
      <c r="AK1321" s="243"/>
      <c r="AL1321" s="243"/>
      <c r="AM1321" s="243"/>
      <c r="AN1321" s="243"/>
      <c r="AO1321" s="243"/>
      <c r="AP1321" s="243"/>
      <c r="AQ1321" s="243"/>
      <c r="AR1321" s="243"/>
      <c r="AS1321" s="243"/>
      <c r="AT1321" s="243"/>
      <c r="AU1321" s="243"/>
      <c r="AV1321" s="243"/>
      <c r="AW1321" s="243"/>
      <c r="AX1321" s="243"/>
      <c r="AY1321" s="243"/>
      <c r="AZ1321" s="243"/>
      <c r="BA1321" s="243"/>
      <c r="BB1321" s="243"/>
      <c r="BC1321" s="243"/>
      <c r="BD1321" s="243"/>
      <c r="BE1321" s="243"/>
      <c r="BF1321" s="243"/>
      <c r="BG1321" s="243"/>
      <c r="BH1321" s="243"/>
      <c r="BI1321" s="243"/>
      <c r="BJ1321" s="243"/>
      <c r="BK1321" s="243"/>
      <c r="BL1321" s="243"/>
      <c r="BM1321" s="243"/>
      <c r="BN1321" s="243"/>
      <c r="BO1321" s="243"/>
      <c r="BP1321" s="243"/>
      <c r="BQ1321" s="243"/>
      <c r="BR1321" s="243"/>
      <c r="BS1321" s="243"/>
    </row>
    <row r="1322" spans="1:71" s="12" customFormat="1" ht="41.25" customHeight="1">
      <c r="A1322" s="178" t="s">
        <v>97</v>
      </c>
      <c r="B1322" s="75" t="str">
        <f ca="1">+UPPER(Tabla1321124[[#This Row],[DESCRIPCIÓN DE LA COMPRA O CONTRATACIÓN]])</f>
        <v>REPARACION MOTOR VERTICAL 30HP</v>
      </c>
      <c r="C1322" s="39" t="s">
        <v>17</v>
      </c>
      <c r="D1322" s="236">
        <v>3</v>
      </c>
      <c r="E1322" s="236">
        <v>30</v>
      </c>
      <c r="F1322" s="236">
        <v>18</v>
      </c>
      <c r="G1322" s="236">
        <v>15</v>
      </c>
      <c r="H1322" s="354">
        <f>Tabla1321124[[#This Row],[CUARTO TRIMESTRE]]+Tabla1321124[[#This Row],[TERCER TRIMESTRE]]+Tabla1321124[[#This Row],[SEGUNDO TRIMESTRE]]+Tabla1321124[[#This Row],[PRIMER TRIMESTRE]]</f>
        <v>66</v>
      </c>
      <c r="I1322" s="17">
        <v>26000</v>
      </c>
      <c r="J1322" s="17">
        <f t="shared" si="24"/>
        <v>1716000</v>
      </c>
      <c r="K1322" s="17"/>
      <c r="L1322" s="16" t="s">
        <v>18</v>
      </c>
      <c r="M1322" s="16" t="s">
        <v>22</v>
      </c>
      <c r="N1322" s="16"/>
      <c r="O1322" s="243"/>
      <c r="P1322" s="243"/>
      <c r="Q1322" s="243"/>
      <c r="R1322" s="243"/>
      <c r="S1322" s="243"/>
      <c r="T1322" s="243"/>
      <c r="U1322" s="243"/>
      <c r="V1322" s="243"/>
      <c r="W1322" s="243"/>
      <c r="X1322" s="243"/>
      <c r="Y1322" s="243"/>
      <c r="Z1322" s="243"/>
      <c r="AA1322" s="243"/>
      <c r="AB1322" s="243"/>
      <c r="AC1322" s="243"/>
      <c r="AD1322" s="243"/>
      <c r="AE1322" s="243"/>
      <c r="AF1322" s="243"/>
      <c r="AG1322" s="243"/>
      <c r="AH1322" s="243"/>
      <c r="AI1322" s="243"/>
      <c r="AJ1322" s="243"/>
      <c r="AK1322" s="243"/>
      <c r="AL1322" s="243"/>
      <c r="AM1322" s="243"/>
      <c r="AN1322" s="243"/>
      <c r="AO1322" s="243"/>
      <c r="AP1322" s="243"/>
      <c r="AQ1322" s="243"/>
      <c r="AR1322" s="243"/>
      <c r="AS1322" s="243"/>
      <c r="AT1322" s="243"/>
      <c r="AU1322" s="243"/>
      <c r="AV1322" s="243"/>
      <c r="AW1322" s="243"/>
      <c r="AX1322" s="243"/>
      <c r="AY1322" s="243"/>
      <c r="AZ1322" s="243"/>
      <c r="BA1322" s="243"/>
      <c r="BB1322" s="243"/>
      <c r="BC1322" s="243"/>
      <c r="BD1322" s="243"/>
      <c r="BE1322" s="243"/>
      <c r="BF1322" s="243"/>
      <c r="BG1322" s="243"/>
      <c r="BH1322" s="243"/>
      <c r="BI1322" s="243"/>
      <c r="BJ1322" s="243"/>
      <c r="BK1322" s="243"/>
      <c r="BL1322" s="243"/>
      <c r="BM1322" s="243"/>
      <c r="BN1322" s="243"/>
      <c r="BO1322" s="243"/>
      <c r="BP1322" s="243"/>
      <c r="BQ1322" s="243"/>
      <c r="BR1322" s="243"/>
      <c r="BS1322" s="243"/>
    </row>
    <row r="1323" spans="1:71" s="26" customFormat="1" ht="41.25" customHeight="1">
      <c r="A1323" s="178" t="s">
        <v>97</v>
      </c>
      <c r="B1323" s="75" t="str">
        <f ca="1">+UPPER(Tabla1321124[[#This Row],[DESCRIPCIÓN DE LA COMPRA O CONTRATACIÓN]])</f>
        <v>REPARACION MOTOR VERTICAL 25HP</v>
      </c>
      <c r="C1323" s="39" t="s">
        <v>17</v>
      </c>
      <c r="D1323" s="236">
        <v>1</v>
      </c>
      <c r="E1323" s="236">
        <v>30</v>
      </c>
      <c r="F1323" s="236">
        <v>16</v>
      </c>
      <c r="G1323" s="236">
        <v>15</v>
      </c>
      <c r="H1323" s="354">
        <f>Tabla1321124[[#This Row],[CUARTO TRIMESTRE]]+Tabla1321124[[#This Row],[TERCER TRIMESTRE]]+Tabla1321124[[#This Row],[SEGUNDO TRIMESTRE]]+Tabla1321124[[#This Row],[PRIMER TRIMESTRE]]</f>
        <v>62</v>
      </c>
      <c r="I1323" s="17">
        <v>24000</v>
      </c>
      <c r="J1323" s="17">
        <f t="shared" si="24"/>
        <v>1488000</v>
      </c>
      <c r="K1323" s="17"/>
      <c r="L1323" s="16" t="s">
        <v>18</v>
      </c>
      <c r="M1323" s="16" t="s">
        <v>22</v>
      </c>
      <c r="N1323" s="16"/>
      <c r="O1323" s="243"/>
      <c r="P1323" s="243"/>
      <c r="Q1323" s="243"/>
      <c r="R1323" s="243"/>
      <c r="S1323" s="243"/>
      <c r="T1323" s="243"/>
      <c r="U1323" s="243"/>
      <c r="V1323" s="243"/>
      <c r="W1323" s="243"/>
      <c r="X1323" s="243"/>
      <c r="Y1323" s="243"/>
      <c r="Z1323" s="243"/>
      <c r="AA1323" s="243"/>
      <c r="AB1323" s="243"/>
      <c r="AC1323" s="243"/>
      <c r="AD1323" s="243"/>
      <c r="AE1323" s="243"/>
      <c r="AF1323" s="243"/>
      <c r="AG1323" s="243"/>
      <c r="AH1323" s="243"/>
      <c r="AI1323" s="243"/>
      <c r="AJ1323" s="243"/>
      <c r="AK1323" s="243"/>
      <c r="AL1323" s="243"/>
      <c r="AM1323" s="243"/>
      <c r="AN1323" s="243"/>
      <c r="AO1323" s="243"/>
      <c r="AP1323" s="243"/>
      <c r="AQ1323" s="243"/>
      <c r="AR1323" s="243"/>
      <c r="AS1323" s="243"/>
      <c r="AT1323" s="243"/>
      <c r="AU1323" s="243"/>
      <c r="AV1323" s="243"/>
      <c r="AW1323" s="243"/>
      <c r="AX1323" s="243"/>
      <c r="AY1323" s="243"/>
      <c r="AZ1323" s="243"/>
      <c r="BA1323" s="243"/>
      <c r="BB1323" s="243"/>
      <c r="BC1323" s="243"/>
      <c r="BD1323" s="243"/>
      <c r="BE1323" s="243"/>
      <c r="BF1323" s="243"/>
      <c r="BG1323" s="243"/>
      <c r="BH1323" s="243"/>
      <c r="BI1323" s="243"/>
      <c r="BJ1323" s="243"/>
      <c r="BK1323" s="243"/>
      <c r="BL1323" s="243"/>
      <c r="BM1323" s="243"/>
      <c r="BN1323" s="243"/>
      <c r="BO1323" s="243"/>
      <c r="BP1323" s="243"/>
      <c r="BQ1323" s="243"/>
      <c r="BR1323" s="243"/>
      <c r="BS1323" s="243"/>
    </row>
    <row r="1324" spans="1:71" s="26" customFormat="1" ht="41.25" customHeight="1">
      <c r="A1324" s="178" t="s">
        <v>97</v>
      </c>
      <c r="B1324" s="75" t="str">
        <f ca="1">+UPPER(Tabla1321124[[#This Row],[DESCRIPCIÓN DE LA COMPRA O CONTRATACIÓN]])</f>
        <v>REPARACION MOTOR VERTICAL 20HP</v>
      </c>
      <c r="C1324" s="39" t="s">
        <v>17</v>
      </c>
      <c r="D1324" s="236">
        <v>3</v>
      </c>
      <c r="E1324" s="236">
        <v>30</v>
      </c>
      <c r="F1324" s="236">
        <v>18</v>
      </c>
      <c r="G1324" s="236">
        <v>15</v>
      </c>
      <c r="H1324" s="354">
        <f>Tabla1321124[[#This Row],[CUARTO TRIMESTRE]]+Tabla1321124[[#This Row],[TERCER TRIMESTRE]]+Tabla1321124[[#This Row],[SEGUNDO TRIMESTRE]]+Tabla1321124[[#This Row],[PRIMER TRIMESTRE]]</f>
        <v>66</v>
      </c>
      <c r="I1324" s="17">
        <v>20000</v>
      </c>
      <c r="J1324" s="17">
        <f t="shared" si="24"/>
        <v>1320000</v>
      </c>
      <c r="K1324" s="17"/>
      <c r="L1324" s="16" t="s">
        <v>18</v>
      </c>
      <c r="M1324" s="16" t="s">
        <v>22</v>
      </c>
      <c r="N1324" s="16"/>
      <c r="O1324" s="243"/>
      <c r="P1324" s="243"/>
      <c r="Q1324" s="243"/>
      <c r="R1324" s="243"/>
      <c r="S1324" s="243"/>
      <c r="T1324" s="243"/>
      <c r="U1324" s="243"/>
      <c r="V1324" s="243"/>
      <c r="W1324" s="243"/>
      <c r="X1324" s="243"/>
      <c r="Y1324" s="243"/>
      <c r="Z1324" s="243"/>
      <c r="AA1324" s="243"/>
      <c r="AB1324" s="243"/>
      <c r="AC1324" s="243"/>
      <c r="AD1324" s="243"/>
      <c r="AE1324" s="243"/>
      <c r="AF1324" s="243"/>
      <c r="AG1324" s="243"/>
      <c r="AH1324" s="243"/>
      <c r="AI1324" s="243"/>
      <c r="AJ1324" s="243"/>
      <c r="AK1324" s="243"/>
      <c r="AL1324" s="243"/>
      <c r="AM1324" s="243"/>
      <c r="AN1324" s="243"/>
      <c r="AO1324" s="243"/>
      <c r="AP1324" s="243"/>
      <c r="AQ1324" s="243"/>
      <c r="AR1324" s="243"/>
      <c r="AS1324" s="243"/>
      <c r="AT1324" s="243"/>
      <c r="AU1324" s="243"/>
      <c r="AV1324" s="243"/>
      <c r="AW1324" s="243"/>
      <c r="AX1324" s="243"/>
      <c r="AY1324" s="243"/>
      <c r="AZ1324" s="243"/>
      <c r="BA1324" s="243"/>
      <c r="BB1324" s="243"/>
      <c r="BC1324" s="243"/>
      <c r="BD1324" s="243"/>
      <c r="BE1324" s="243"/>
      <c r="BF1324" s="243"/>
      <c r="BG1324" s="243"/>
      <c r="BH1324" s="243"/>
      <c r="BI1324" s="243"/>
      <c r="BJ1324" s="243"/>
      <c r="BK1324" s="243"/>
      <c r="BL1324" s="243"/>
      <c r="BM1324" s="243"/>
      <c r="BN1324" s="243"/>
      <c r="BO1324" s="243"/>
      <c r="BP1324" s="243"/>
      <c r="BQ1324" s="243"/>
      <c r="BR1324" s="243"/>
      <c r="BS1324" s="243"/>
    </row>
    <row r="1325" spans="1:71" s="12" customFormat="1" ht="41.25" customHeight="1">
      <c r="A1325" s="178" t="s">
        <v>97</v>
      </c>
      <c r="B1325" s="75" t="str">
        <f ca="1">+UPPER(Tabla1321124[[#This Row],[DESCRIPCIÓN DE LA COMPRA O CONTRATACIÓN]])</f>
        <v>REPARACION MOTOR VERTICAL 15HP</v>
      </c>
      <c r="C1325" s="39" t="s">
        <v>17</v>
      </c>
      <c r="D1325" s="236"/>
      <c r="E1325" s="236">
        <v>12</v>
      </c>
      <c r="F1325" s="236">
        <v>6</v>
      </c>
      <c r="G1325" s="236">
        <v>6</v>
      </c>
      <c r="H1325" s="354">
        <f>Tabla1321124[[#This Row],[CUARTO TRIMESTRE]]+Tabla1321124[[#This Row],[TERCER TRIMESTRE]]+Tabla1321124[[#This Row],[SEGUNDO TRIMESTRE]]+Tabla1321124[[#This Row],[PRIMER TRIMESTRE]]</f>
        <v>24</v>
      </c>
      <c r="I1325" s="17">
        <v>18000</v>
      </c>
      <c r="J1325" s="17">
        <f t="shared" si="24"/>
        <v>432000</v>
      </c>
      <c r="K1325" s="17"/>
      <c r="L1325" s="16" t="s">
        <v>18</v>
      </c>
      <c r="M1325" s="16" t="s">
        <v>22</v>
      </c>
      <c r="N1325" s="16"/>
      <c r="O1325" s="243"/>
      <c r="P1325" s="243"/>
      <c r="Q1325" s="243"/>
      <c r="R1325" s="243"/>
      <c r="S1325" s="243"/>
      <c r="T1325" s="243"/>
      <c r="U1325" s="243"/>
      <c r="V1325" s="243"/>
      <c r="W1325" s="243"/>
      <c r="X1325" s="243"/>
      <c r="Y1325" s="243"/>
      <c r="Z1325" s="243"/>
      <c r="AA1325" s="243"/>
      <c r="AB1325" s="243"/>
      <c r="AC1325" s="243"/>
      <c r="AD1325" s="243"/>
      <c r="AE1325" s="243"/>
      <c r="AF1325" s="243"/>
      <c r="AG1325" s="243"/>
      <c r="AH1325" s="243"/>
      <c r="AI1325" s="243"/>
      <c r="AJ1325" s="243"/>
      <c r="AK1325" s="243"/>
      <c r="AL1325" s="243"/>
      <c r="AM1325" s="243"/>
      <c r="AN1325" s="243"/>
      <c r="AO1325" s="243"/>
      <c r="AP1325" s="243"/>
      <c r="AQ1325" s="243"/>
      <c r="AR1325" s="243"/>
      <c r="AS1325" s="243"/>
      <c r="AT1325" s="243"/>
      <c r="AU1325" s="243"/>
      <c r="AV1325" s="243"/>
      <c r="AW1325" s="243"/>
      <c r="AX1325" s="243"/>
      <c r="AY1325" s="243"/>
      <c r="AZ1325" s="243"/>
      <c r="BA1325" s="243"/>
      <c r="BB1325" s="243"/>
      <c r="BC1325" s="243"/>
      <c r="BD1325" s="243"/>
      <c r="BE1325" s="243"/>
      <c r="BF1325" s="243"/>
      <c r="BG1325" s="243"/>
      <c r="BH1325" s="243"/>
      <c r="BI1325" s="243"/>
      <c r="BJ1325" s="243"/>
      <c r="BK1325" s="243"/>
      <c r="BL1325" s="243"/>
      <c r="BM1325" s="243"/>
      <c r="BN1325" s="243"/>
      <c r="BO1325" s="243"/>
      <c r="BP1325" s="243"/>
      <c r="BQ1325" s="243"/>
      <c r="BR1325" s="243"/>
      <c r="BS1325" s="243"/>
    </row>
    <row r="1326" spans="1:71" s="12" customFormat="1" ht="41.25" customHeight="1">
      <c r="A1326" s="178" t="s">
        <v>97</v>
      </c>
      <c r="B1326" s="75" t="str">
        <f ca="1">+UPPER(Tabla1321124[[#This Row],[DESCRIPCIÓN DE LA COMPRA O CONTRATACIÓN]])</f>
        <v>REPARACION MOTOR VERTICAL 10HP</v>
      </c>
      <c r="C1326" s="39" t="s">
        <v>17</v>
      </c>
      <c r="D1326" s="236">
        <v>3</v>
      </c>
      <c r="E1326" s="236">
        <v>12</v>
      </c>
      <c r="F1326" s="236">
        <f>6+2</f>
        <v>8</v>
      </c>
      <c r="G1326" s="236">
        <v>6</v>
      </c>
      <c r="H1326" s="354">
        <f>Tabla1321124[[#This Row],[CUARTO TRIMESTRE]]+Tabla1321124[[#This Row],[TERCER TRIMESTRE]]+Tabla1321124[[#This Row],[SEGUNDO TRIMESTRE]]+Tabla1321124[[#This Row],[PRIMER TRIMESTRE]]</f>
        <v>29</v>
      </c>
      <c r="I1326" s="17">
        <v>15000</v>
      </c>
      <c r="J1326" s="17">
        <f>+H1326*I1326</f>
        <v>435000</v>
      </c>
      <c r="K1326" s="17"/>
      <c r="L1326" s="16" t="s">
        <v>18</v>
      </c>
      <c r="M1326" s="16" t="s">
        <v>22</v>
      </c>
      <c r="N1326" s="16"/>
      <c r="O1326" s="243"/>
      <c r="P1326" s="243"/>
      <c r="Q1326" s="243"/>
      <c r="R1326" s="243"/>
      <c r="S1326" s="243"/>
      <c r="T1326" s="243"/>
      <c r="U1326" s="243"/>
      <c r="V1326" s="243"/>
      <c r="W1326" s="243"/>
      <c r="X1326" s="243"/>
      <c r="Y1326" s="243"/>
      <c r="Z1326" s="243"/>
      <c r="AA1326" s="243"/>
      <c r="AB1326" s="243"/>
      <c r="AC1326" s="243"/>
      <c r="AD1326" s="243"/>
      <c r="AE1326" s="243"/>
      <c r="AF1326" s="243"/>
      <c r="AG1326" s="243"/>
      <c r="AH1326" s="243"/>
      <c r="AI1326" s="243"/>
      <c r="AJ1326" s="243"/>
      <c r="AK1326" s="243"/>
      <c r="AL1326" s="243"/>
      <c r="AM1326" s="243"/>
      <c r="AN1326" s="243"/>
      <c r="AO1326" s="243"/>
      <c r="AP1326" s="243"/>
      <c r="AQ1326" s="243"/>
      <c r="AR1326" s="243"/>
      <c r="AS1326" s="243"/>
      <c r="AT1326" s="243"/>
      <c r="AU1326" s="243"/>
      <c r="AV1326" s="243"/>
      <c r="AW1326" s="243"/>
      <c r="AX1326" s="243"/>
      <c r="AY1326" s="243"/>
      <c r="AZ1326" s="243"/>
      <c r="BA1326" s="243"/>
      <c r="BB1326" s="243"/>
      <c r="BC1326" s="243"/>
      <c r="BD1326" s="243"/>
      <c r="BE1326" s="243"/>
      <c r="BF1326" s="243"/>
      <c r="BG1326" s="243"/>
      <c r="BH1326" s="243"/>
      <c r="BI1326" s="243"/>
      <c r="BJ1326" s="243"/>
      <c r="BK1326" s="243"/>
      <c r="BL1326" s="243"/>
      <c r="BM1326" s="243"/>
      <c r="BN1326" s="243"/>
      <c r="BO1326" s="243"/>
      <c r="BP1326" s="243"/>
      <c r="BQ1326" s="243"/>
      <c r="BR1326" s="243"/>
      <c r="BS1326" s="243"/>
    </row>
    <row r="1327" spans="1:71" s="26" customFormat="1" ht="41.25" customHeight="1">
      <c r="A1327" s="178" t="s">
        <v>97</v>
      </c>
      <c r="B1327" s="75" t="str">
        <f ca="1">+UPPER(Tabla1321124[[#This Row],[DESCRIPCIÓN DE LA COMPRA O CONTRATACIÓN]])</f>
        <v>REPARACION DE TRANSFORMADORES</v>
      </c>
      <c r="C1327" s="39" t="s">
        <v>17</v>
      </c>
      <c r="D1327" s="236">
        <v>2</v>
      </c>
      <c r="E1327" s="236">
        <v>300</v>
      </c>
      <c r="F1327" s="236">
        <v>152</v>
      </c>
      <c r="G1327" s="236">
        <v>15</v>
      </c>
      <c r="H1327" s="354">
        <f>Tabla1321124[[#This Row],[CUARTO TRIMESTRE]]+Tabla1321124[[#This Row],[TERCER TRIMESTRE]]+Tabla1321124[[#This Row],[SEGUNDO TRIMESTRE]]+Tabla1321124[[#This Row],[PRIMER TRIMESTRE]]</f>
        <v>469</v>
      </c>
      <c r="I1327" s="17">
        <v>61000</v>
      </c>
      <c r="J1327" s="17">
        <f>+H1327*I1327</f>
        <v>28609000</v>
      </c>
      <c r="K1327" s="17"/>
      <c r="L1327" s="16" t="s">
        <v>18</v>
      </c>
      <c r="M1327" s="16" t="s">
        <v>22</v>
      </c>
      <c r="N1327" s="16"/>
      <c r="O1327" s="243"/>
      <c r="P1327" s="243"/>
      <c r="Q1327" s="243"/>
      <c r="R1327" s="243"/>
      <c r="S1327" s="243"/>
      <c r="T1327" s="243"/>
      <c r="U1327" s="243"/>
      <c r="V1327" s="243"/>
      <c r="W1327" s="243"/>
      <c r="X1327" s="243"/>
      <c r="Y1327" s="243"/>
      <c r="Z1327" s="243"/>
      <c r="AA1327" s="243"/>
      <c r="AB1327" s="243"/>
      <c r="AC1327" s="243"/>
      <c r="AD1327" s="243"/>
      <c r="AE1327" s="243"/>
      <c r="AF1327" s="243"/>
      <c r="AG1327" s="243"/>
      <c r="AH1327" s="243"/>
      <c r="AI1327" s="243"/>
      <c r="AJ1327" s="243"/>
      <c r="AK1327" s="243"/>
      <c r="AL1327" s="243"/>
      <c r="AM1327" s="243"/>
      <c r="AN1327" s="243"/>
      <c r="AO1327" s="243"/>
      <c r="AP1327" s="243"/>
      <c r="AQ1327" s="243"/>
      <c r="AR1327" s="243"/>
      <c r="AS1327" s="243"/>
      <c r="AT1327" s="243"/>
      <c r="AU1327" s="243"/>
      <c r="AV1327" s="243"/>
      <c r="AW1327" s="243"/>
      <c r="AX1327" s="243"/>
      <c r="AY1327" s="243"/>
      <c r="AZ1327" s="243"/>
      <c r="BA1327" s="243"/>
      <c r="BB1327" s="243"/>
      <c r="BC1327" s="243"/>
      <c r="BD1327" s="243"/>
      <c r="BE1327" s="243"/>
      <c r="BF1327" s="243"/>
      <c r="BG1327" s="243"/>
      <c r="BH1327" s="243"/>
      <c r="BI1327" s="243"/>
      <c r="BJ1327" s="243"/>
      <c r="BK1327" s="243"/>
      <c r="BL1327" s="243"/>
      <c r="BM1327" s="243"/>
      <c r="BN1327" s="243"/>
      <c r="BO1327" s="243"/>
      <c r="BP1327" s="243"/>
      <c r="BQ1327" s="243"/>
      <c r="BR1327" s="243"/>
      <c r="BS1327" s="243"/>
    </row>
    <row r="1328" spans="1:71" s="12" customFormat="1" ht="41.25" customHeight="1">
      <c r="A1328" s="178" t="s">
        <v>97</v>
      </c>
      <c r="B1328" s="75" t="str">
        <f ca="1">+UPPER(Tabla1321124[[#This Row],[DESCRIPCIÓN DE LA COMPRA O CONTRATACIÓN]])</f>
        <v>MANTENIMIENTO PREVENTIVO DE GENERADORES DE 40KV A 60KV, 3Ø, 230/480V, 60HZ</v>
      </c>
      <c r="C1328" s="39" t="s">
        <v>17</v>
      </c>
      <c r="D1328" s="352">
        <v>8</v>
      </c>
      <c r="E1328" s="352">
        <v>5</v>
      </c>
      <c r="F1328" s="352">
        <v>10</v>
      </c>
      <c r="G1328" s="352">
        <v>10</v>
      </c>
      <c r="H1328" s="354">
        <f>Tabla1321124[[#This Row],[CUARTO TRIMESTRE]]+Tabla1321124[[#This Row],[TERCER TRIMESTRE]]+Tabla1321124[[#This Row],[SEGUNDO TRIMESTRE]]+Tabla1321124[[#This Row],[PRIMER TRIMESTRE]]</f>
        <v>33</v>
      </c>
      <c r="I1328" s="17">
        <v>35000</v>
      </c>
      <c r="J1328" s="530">
        <f t="shared" si="24"/>
        <v>1155000</v>
      </c>
      <c r="K1328" s="345"/>
      <c r="L1328" s="16" t="s">
        <v>18</v>
      </c>
      <c r="M1328" s="16" t="s">
        <v>22</v>
      </c>
      <c r="N1328" s="16"/>
      <c r="O1328" s="243"/>
      <c r="P1328" s="243"/>
      <c r="Q1328" s="243"/>
      <c r="R1328" s="243"/>
      <c r="S1328" s="243"/>
      <c r="T1328" s="243"/>
      <c r="U1328" s="243"/>
      <c r="V1328" s="243"/>
      <c r="W1328" s="243"/>
      <c r="X1328" s="243"/>
      <c r="Y1328" s="243"/>
      <c r="Z1328" s="243"/>
      <c r="AA1328" s="243"/>
      <c r="AB1328" s="243"/>
      <c r="AC1328" s="243"/>
      <c r="AD1328" s="243"/>
      <c r="AE1328" s="243"/>
      <c r="AF1328" s="243"/>
      <c r="AG1328" s="243"/>
      <c r="AH1328" s="243"/>
      <c r="AI1328" s="243"/>
      <c r="AJ1328" s="243"/>
      <c r="AK1328" s="243"/>
      <c r="AL1328" s="243"/>
      <c r="AM1328" s="243"/>
      <c r="AN1328" s="243"/>
      <c r="AO1328" s="243"/>
      <c r="AP1328" s="243"/>
      <c r="AQ1328" s="243"/>
      <c r="AR1328" s="243"/>
      <c r="AS1328" s="243"/>
      <c r="AT1328" s="243"/>
      <c r="AU1328" s="243"/>
      <c r="AV1328" s="243"/>
      <c r="AW1328" s="243"/>
      <c r="AX1328" s="243"/>
      <c r="AY1328" s="243"/>
      <c r="AZ1328" s="243"/>
      <c r="BA1328" s="243"/>
      <c r="BB1328" s="243"/>
      <c r="BC1328" s="243"/>
      <c r="BD1328" s="243"/>
      <c r="BE1328" s="243"/>
      <c r="BF1328" s="243"/>
      <c r="BG1328" s="243"/>
      <c r="BH1328" s="243"/>
      <c r="BI1328" s="243"/>
      <c r="BJ1328" s="243"/>
      <c r="BK1328" s="243"/>
      <c r="BL1328" s="243"/>
      <c r="BM1328" s="243"/>
      <c r="BN1328" s="243"/>
      <c r="BO1328" s="243"/>
      <c r="BP1328" s="243"/>
      <c r="BQ1328" s="243"/>
      <c r="BR1328" s="243"/>
      <c r="BS1328" s="243"/>
    </row>
    <row r="1329" spans="1:71" s="12" customFormat="1" ht="41.25" customHeight="1">
      <c r="A1329" s="178" t="s">
        <v>97</v>
      </c>
      <c r="B1329" s="75" t="str">
        <f ca="1">+UPPER(Tabla1321124[[#This Row],[DESCRIPCIÓN DE LA COMPRA O CONTRATACIÓN]])</f>
        <v>MANTENIMIENTO PREVENTIVO DE GENERADORES DE 80KV A 120KV, 3Ø, 230/480V, 60HZ</v>
      </c>
      <c r="C1329" s="39" t="s">
        <v>17</v>
      </c>
      <c r="D1329" s="352">
        <v>8</v>
      </c>
      <c r="E1329" s="352">
        <v>5</v>
      </c>
      <c r="F1329" s="352">
        <v>10</v>
      </c>
      <c r="G1329" s="352">
        <v>10</v>
      </c>
      <c r="H1329" s="354">
        <f>Tabla1321124[[#This Row],[CUARTO TRIMESTRE]]+Tabla1321124[[#This Row],[TERCER TRIMESTRE]]+Tabla1321124[[#This Row],[SEGUNDO TRIMESTRE]]+Tabla1321124[[#This Row],[PRIMER TRIMESTRE]]</f>
        <v>33</v>
      </c>
      <c r="I1329" s="17">
        <v>48000</v>
      </c>
      <c r="J1329" s="530">
        <f t="shared" si="24"/>
        <v>1584000</v>
      </c>
      <c r="K1329" s="345"/>
      <c r="L1329" s="16" t="s">
        <v>18</v>
      </c>
      <c r="M1329" s="16" t="s">
        <v>22</v>
      </c>
      <c r="N1329" s="16"/>
      <c r="O1329" s="243"/>
      <c r="P1329" s="243"/>
      <c r="Q1329" s="243"/>
      <c r="R1329" s="243"/>
      <c r="S1329" s="243"/>
      <c r="T1329" s="243"/>
      <c r="U1329" s="243"/>
      <c r="V1329" s="243"/>
      <c r="W1329" s="243"/>
      <c r="X1329" s="243"/>
      <c r="Y1329" s="243"/>
      <c r="Z1329" s="243"/>
      <c r="AA1329" s="243"/>
      <c r="AB1329" s="243"/>
      <c r="AC1329" s="243"/>
      <c r="AD1329" s="243"/>
      <c r="AE1329" s="243"/>
      <c r="AF1329" s="243"/>
      <c r="AG1329" s="243"/>
      <c r="AH1329" s="243"/>
      <c r="AI1329" s="243"/>
      <c r="AJ1329" s="243"/>
      <c r="AK1329" s="243"/>
      <c r="AL1329" s="243"/>
      <c r="AM1329" s="243"/>
      <c r="AN1329" s="243"/>
      <c r="AO1329" s="243"/>
      <c r="AP1329" s="243"/>
      <c r="AQ1329" s="243"/>
      <c r="AR1329" s="243"/>
      <c r="AS1329" s="243"/>
      <c r="AT1329" s="243"/>
      <c r="AU1329" s="243"/>
      <c r="AV1329" s="243"/>
      <c r="AW1329" s="243"/>
      <c r="AX1329" s="243"/>
      <c r="AY1329" s="243"/>
      <c r="AZ1329" s="243"/>
      <c r="BA1329" s="243"/>
      <c r="BB1329" s="243"/>
      <c r="BC1329" s="243"/>
      <c r="BD1329" s="243"/>
      <c r="BE1329" s="243"/>
      <c r="BF1329" s="243"/>
      <c r="BG1329" s="243"/>
      <c r="BH1329" s="243"/>
      <c r="BI1329" s="243"/>
      <c r="BJ1329" s="243"/>
      <c r="BK1329" s="243"/>
      <c r="BL1329" s="243"/>
      <c r="BM1329" s="243"/>
      <c r="BN1329" s="243"/>
      <c r="BO1329" s="243"/>
      <c r="BP1329" s="243"/>
      <c r="BQ1329" s="243"/>
      <c r="BR1329" s="243"/>
      <c r="BS1329" s="243"/>
    </row>
    <row r="1330" spans="1:71" s="12" customFormat="1" ht="41.25" customHeight="1">
      <c r="A1330" s="178" t="s">
        <v>97</v>
      </c>
      <c r="B1330" s="75" t="str">
        <f ca="1">+UPPER(Tabla1321124[[#This Row],[DESCRIPCIÓN DE LA COMPRA O CONTRATACIÓN]])</f>
        <v>MANTENIMIENTO PREVENTIVO DE GENERADORES DE 135KV A 200KV, 3Ø, 230/480V, 60HZ</v>
      </c>
      <c r="C1330" s="39" t="s">
        <v>17</v>
      </c>
      <c r="D1330" s="352">
        <v>8</v>
      </c>
      <c r="E1330" s="352">
        <v>5</v>
      </c>
      <c r="F1330" s="352">
        <v>10</v>
      </c>
      <c r="G1330" s="352">
        <v>10</v>
      </c>
      <c r="H1330" s="354">
        <f>Tabla1321124[[#This Row],[CUARTO TRIMESTRE]]+Tabla1321124[[#This Row],[TERCER TRIMESTRE]]+Tabla1321124[[#This Row],[SEGUNDO TRIMESTRE]]+Tabla1321124[[#This Row],[PRIMER TRIMESTRE]]</f>
        <v>33</v>
      </c>
      <c r="I1330" s="17">
        <v>60000</v>
      </c>
      <c r="J1330" s="530">
        <f t="shared" si="24"/>
        <v>1980000</v>
      </c>
      <c r="K1330" s="345"/>
      <c r="L1330" s="16" t="s">
        <v>18</v>
      </c>
      <c r="M1330" s="16" t="s">
        <v>22</v>
      </c>
      <c r="N1330" s="16"/>
      <c r="O1330" s="243"/>
      <c r="P1330" s="243"/>
      <c r="Q1330" s="243"/>
      <c r="R1330" s="243"/>
      <c r="S1330" s="243"/>
      <c r="T1330" s="243"/>
      <c r="U1330" s="243"/>
      <c r="V1330" s="243"/>
      <c r="W1330" s="243"/>
      <c r="X1330" s="243"/>
      <c r="Y1330" s="243"/>
      <c r="Z1330" s="243"/>
      <c r="AA1330" s="243"/>
      <c r="AB1330" s="243"/>
      <c r="AC1330" s="243"/>
      <c r="AD1330" s="243"/>
      <c r="AE1330" s="243"/>
      <c r="AF1330" s="243"/>
      <c r="AG1330" s="243"/>
      <c r="AH1330" s="243"/>
      <c r="AI1330" s="243"/>
      <c r="AJ1330" s="243"/>
      <c r="AK1330" s="243"/>
      <c r="AL1330" s="243"/>
      <c r="AM1330" s="243"/>
      <c r="AN1330" s="243"/>
      <c r="AO1330" s="243"/>
      <c r="AP1330" s="243"/>
      <c r="AQ1330" s="243"/>
      <c r="AR1330" s="243"/>
      <c r="AS1330" s="243"/>
      <c r="AT1330" s="243"/>
      <c r="AU1330" s="243"/>
      <c r="AV1330" s="243"/>
      <c r="AW1330" s="243"/>
      <c r="AX1330" s="243"/>
      <c r="AY1330" s="243"/>
      <c r="AZ1330" s="243"/>
      <c r="BA1330" s="243"/>
      <c r="BB1330" s="243"/>
      <c r="BC1330" s="243"/>
      <c r="BD1330" s="243"/>
      <c r="BE1330" s="243"/>
      <c r="BF1330" s="243"/>
      <c r="BG1330" s="243"/>
      <c r="BH1330" s="243"/>
      <c r="BI1330" s="243"/>
      <c r="BJ1330" s="243"/>
      <c r="BK1330" s="243"/>
      <c r="BL1330" s="243"/>
      <c r="BM1330" s="243"/>
      <c r="BN1330" s="243"/>
      <c r="BO1330" s="243"/>
      <c r="BP1330" s="243"/>
      <c r="BQ1330" s="243"/>
      <c r="BR1330" s="243"/>
      <c r="BS1330" s="243"/>
    </row>
    <row r="1331" spans="1:71" s="12" customFormat="1" ht="41.25" customHeight="1">
      <c r="A1331" s="178" t="s">
        <v>97</v>
      </c>
      <c r="B1331" s="75" t="str">
        <f ca="1">+UPPER(Tabla1321124[[#This Row],[DESCRIPCIÓN DE LA COMPRA O CONTRATACIÓN]])</f>
        <v>MANTENIMIENTO PREVENTIVO DE GENERADORES DE 220KV A 320KV, 3Ø, 230/480V, 60HZ</v>
      </c>
      <c r="C1331" s="39" t="s">
        <v>17</v>
      </c>
      <c r="D1331" s="352">
        <v>8</v>
      </c>
      <c r="E1331" s="352">
        <v>5</v>
      </c>
      <c r="F1331" s="352">
        <v>10</v>
      </c>
      <c r="G1331" s="352">
        <v>10</v>
      </c>
      <c r="H1331" s="354">
        <f>Tabla1321124[[#This Row],[CUARTO TRIMESTRE]]+Tabla1321124[[#This Row],[TERCER TRIMESTRE]]+Tabla1321124[[#This Row],[SEGUNDO TRIMESTRE]]+Tabla1321124[[#This Row],[PRIMER TRIMESTRE]]</f>
        <v>33</v>
      </c>
      <c r="I1331" s="17">
        <v>72000</v>
      </c>
      <c r="J1331" s="530">
        <f t="shared" si="24"/>
        <v>2376000</v>
      </c>
      <c r="K1331" s="345"/>
      <c r="L1331" s="16" t="s">
        <v>18</v>
      </c>
      <c r="M1331" s="16" t="s">
        <v>22</v>
      </c>
      <c r="N1331" s="16"/>
      <c r="O1331" s="243"/>
      <c r="P1331" s="243"/>
      <c r="Q1331" s="243"/>
      <c r="R1331" s="243"/>
      <c r="S1331" s="243"/>
      <c r="T1331" s="243"/>
      <c r="U1331" s="243"/>
      <c r="V1331" s="243"/>
      <c r="W1331" s="243"/>
      <c r="X1331" s="243"/>
      <c r="Y1331" s="243"/>
      <c r="Z1331" s="243"/>
      <c r="AA1331" s="243"/>
      <c r="AB1331" s="243"/>
      <c r="AC1331" s="243"/>
      <c r="AD1331" s="243"/>
      <c r="AE1331" s="243"/>
      <c r="AF1331" s="243"/>
      <c r="AG1331" s="243"/>
      <c r="AH1331" s="243"/>
      <c r="AI1331" s="243"/>
      <c r="AJ1331" s="243"/>
      <c r="AK1331" s="243"/>
      <c r="AL1331" s="243"/>
      <c r="AM1331" s="243"/>
      <c r="AN1331" s="243"/>
      <c r="AO1331" s="243"/>
      <c r="AP1331" s="243"/>
      <c r="AQ1331" s="243"/>
      <c r="AR1331" s="243"/>
      <c r="AS1331" s="243"/>
      <c r="AT1331" s="243"/>
      <c r="AU1331" s="243"/>
      <c r="AV1331" s="243"/>
      <c r="AW1331" s="243"/>
      <c r="AX1331" s="243"/>
      <c r="AY1331" s="243"/>
      <c r="AZ1331" s="243"/>
      <c r="BA1331" s="243"/>
      <c r="BB1331" s="243"/>
      <c r="BC1331" s="243"/>
      <c r="BD1331" s="243"/>
      <c r="BE1331" s="243"/>
      <c r="BF1331" s="243"/>
      <c r="BG1331" s="243"/>
      <c r="BH1331" s="243"/>
      <c r="BI1331" s="243"/>
      <c r="BJ1331" s="243"/>
      <c r="BK1331" s="243"/>
      <c r="BL1331" s="243"/>
      <c r="BM1331" s="243"/>
      <c r="BN1331" s="243"/>
      <c r="BO1331" s="243"/>
      <c r="BP1331" s="243"/>
      <c r="BQ1331" s="243"/>
      <c r="BR1331" s="243"/>
      <c r="BS1331" s="243"/>
    </row>
    <row r="1332" spans="1:71" s="12" customFormat="1" ht="41.25" customHeight="1">
      <c r="A1332" s="178" t="s">
        <v>97</v>
      </c>
      <c r="B1332" s="75" t="str">
        <f ca="1">+UPPER(Tabla1321124[[#This Row],[DESCRIPCIÓN DE LA COMPRA O CONTRATACIÓN]])</f>
        <v>MANTENIMIENTO PREVENTIVO DE GENERADORES DE 480KV A 600KV, 3Ø, 230/480V, 60HZ</v>
      </c>
      <c r="C1332" s="39" t="s">
        <v>17</v>
      </c>
      <c r="D1332" s="352">
        <v>8</v>
      </c>
      <c r="E1332" s="352">
        <v>5</v>
      </c>
      <c r="F1332" s="352">
        <v>10</v>
      </c>
      <c r="G1332" s="352">
        <v>10</v>
      </c>
      <c r="H1332" s="354">
        <f>Tabla1321124[[#This Row],[CUARTO TRIMESTRE]]+Tabla1321124[[#This Row],[TERCER TRIMESTRE]]+Tabla1321124[[#This Row],[SEGUNDO TRIMESTRE]]+Tabla1321124[[#This Row],[PRIMER TRIMESTRE]]</f>
        <v>33</v>
      </c>
      <c r="I1332" s="17">
        <v>80000</v>
      </c>
      <c r="J1332" s="530">
        <f t="shared" si="24"/>
        <v>2640000</v>
      </c>
      <c r="K1332" s="345"/>
      <c r="L1332" s="16" t="s">
        <v>18</v>
      </c>
      <c r="M1332" s="16" t="s">
        <v>22</v>
      </c>
      <c r="N1332" s="16"/>
      <c r="O1332" s="243"/>
      <c r="P1332" s="243"/>
      <c r="Q1332" s="243"/>
      <c r="R1332" s="243"/>
      <c r="S1332" s="243"/>
      <c r="T1332" s="243"/>
      <c r="U1332" s="243"/>
      <c r="V1332" s="243"/>
      <c r="W1332" s="243"/>
      <c r="X1332" s="243"/>
      <c r="Y1332" s="243"/>
      <c r="Z1332" s="243"/>
      <c r="AA1332" s="243"/>
      <c r="AB1332" s="243"/>
      <c r="AC1332" s="243"/>
      <c r="AD1332" s="243"/>
      <c r="AE1332" s="243"/>
      <c r="AF1332" s="243"/>
      <c r="AG1332" s="243"/>
      <c r="AH1332" s="243"/>
      <c r="AI1332" s="243"/>
      <c r="AJ1332" s="243"/>
      <c r="AK1332" s="243"/>
      <c r="AL1332" s="243"/>
      <c r="AM1332" s="243"/>
      <c r="AN1332" s="243"/>
      <c r="AO1332" s="243"/>
      <c r="AP1332" s="243"/>
      <c r="AQ1332" s="243"/>
      <c r="AR1332" s="243"/>
      <c r="AS1332" s="243"/>
      <c r="AT1332" s="243"/>
      <c r="AU1332" s="243"/>
      <c r="AV1332" s="243"/>
      <c r="AW1332" s="243"/>
      <c r="AX1332" s="243"/>
      <c r="AY1332" s="243"/>
      <c r="AZ1332" s="243"/>
      <c r="BA1332" s="243"/>
      <c r="BB1332" s="243"/>
      <c r="BC1332" s="243"/>
      <c r="BD1332" s="243"/>
      <c r="BE1332" s="243"/>
      <c r="BF1332" s="243"/>
      <c r="BG1332" s="243"/>
      <c r="BH1332" s="243"/>
      <c r="BI1332" s="243"/>
      <c r="BJ1332" s="243"/>
      <c r="BK1332" s="243"/>
      <c r="BL1332" s="243"/>
      <c r="BM1332" s="243"/>
      <c r="BN1332" s="243"/>
      <c r="BO1332" s="243"/>
      <c r="BP1332" s="243"/>
      <c r="BQ1332" s="243"/>
      <c r="BR1332" s="243"/>
      <c r="BS1332" s="243"/>
    </row>
    <row r="1333" spans="1:71" s="12" customFormat="1" ht="41.25" customHeight="1">
      <c r="A1333" s="178" t="s">
        <v>97</v>
      </c>
      <c r="B1333" s="75" t="str">
        <f ca="1">+UPPER(Tabla1321124[[#This Row],[DESCRIPCIÓN DE LA COMPRA O CONTRATACIÓN]])</f>
        <v>MANTENIMIENTO PREVENTIVO DE GENERADORES DE 600KV A 1 MEGA, 3Ø, 230/480V, 60HZ</v>
      </c>
      <c r="C1333" s="39" t="s">
        <v>17</v>
      </c>
      <c r="D1333" s="352">
        <v>8</v>
      </c>
      <c r="E1333" s="352">
        <v>5</v>
      </c>
      <c r="F1333" s="352">
        <v>10</v>
      </c>
      <c r="G1333" s="352">
        <v>10</v>
      </c>
      <c r="H1333" s="354">
        <f>Tabla1321124[[#This Row],[CUARTO TRIMESTRE]]+Tabla1321124[[#This Row],[TERCER TRIMESTRE]]+Tabla1321124[[#This Row],[SEGUNDO TRIMESTRE]]+Tabla1321124[[#This Row],[PRIMER TRIMESTRE]]</f>
        <v>33</v>
      </c>
      <c r="I1333" s="17">
        <v>95000</v>
      </c>
      <c r="J1333" s="530">
        <f t="shared" si="24"/>
        <v>3135000</v>
      </c>
      <c r="K1333" s="345"/>
      <c r="L1333" s="16" t="s">
        <v>18</v>
      </c>
      <c r="M1333" s="16" t="s">
        <v>22</v>
      </c>
      <c r="N1333" s="16"/>
      <c r="O1333" s="243"/>
      <c r="P1333" s="243"/>
      <c r="Q1333" s="243"/>
      <c r="R1333" s="243"/>
      <c r="S1333" s="243"/>
      <c r="T1333" s="243"/>
      <c r="U1333" s="243"/>
      <c r="V1333" s="243"/>
      <c r="W1333" s="243"/>
      <c r="X1333" s="243"/>
      <c r="Y1333" s="243"/>
      <c r="Z1333" s="243"/>
      <c r="AA1333" s="243"/>
      <c r="AB1333" s="243"/>
      <c r="AC1333" s="243"/>
      <c r="AD1333" s="243"/>
      <c r="AE1333" s="243"/>
      <c r="AF1333" s="243"/>
      <c r="AG1333" s="243"/>
      <c r="AH1333" s="243"/>
      <c r="AI1333" s="243"/>
      <c r="AJ1333" s="243"/>
      <c r="AK1333" s="243"/>
      <c r="AL1333" s="243"/>
      <c r="AM1333" s="243"/>
      <c r="AN1333" s="243"/>
      <c r="AO1333" s="243"/>
      <c r="AP1333" s="243"/>
      <c r="AQ1333" s="243"/>
      <c r="AR1333" s="243"/>
      <c r="AS1333" s="243"/>
      <c r="AT1333" s="243"/>
      <c r="AU1333" s="243"/>
      <c r="AV1333" s="243"/>
      <c r="AW1333" s="243"/>
      <c r="AX1333" s="243"/>
      <c r="AY1333" s="243"/>
      <c r="AZ1333" s="243"/>
      <c r="BA1333" s="243"/>
      <c r="BB1333" s="243"/>
      <c r="BC1333" s="243"/>
      <c r="BD1333" s="243"/>
      <c r="BE1333" s="243"/>
      <c r="BF1333" s="243"/>
      <c r="BG1333" s="243"/>
      <c r="BH1333" s="243"/>
      <c r="BI1333" s="243"/>
      <c r="BJ1333" s="243"/>
      <c r="BK1333" s="243"/>
      <c r="BL1333" s="243"/>
      <c r="BM1333" s="243"/>
      <c r="BN1333" s="243"/>
      <c r="BO1333" s="243"/>
      <c r="BP1333" s="243"/>
      <c r="BQ1333" s="243"/>
      <c r="BR1333" s="243"/>
      <c r="BS1333" s="243"/>
    </row>
    <row r="1334" spans="1:71" s="12" customFormat="1" ht="41.25" customHeight="1">
      <c r="A1334" s="178" t="s">
        <v>97</v>
      </c>
      <c r="B1334" s="75" t="str">
        <f ca="1">+UPPER(Tabla1321124[[#This Row],[DESCRIPCIÓN DE LA COMPRA O CONTRATACIÓN]])</f>
        <v>MANTENIMIENTO PREVENTIVO DE GENERADORES DE 1.2 MEGAS A 2 MEGAS, 3Ø, 230/480V, 60HZ</v>
      </c>
      <c r="C1334" s="39" t="s">
        <v>17</v>
      </c>
      <c r="D1334" s="352">
        <v>8</v>
      </c>
      <c r="E1334" s="352">
        <v>5</v>
      </c>
      <c r="F1334" s="352">
        <v>10</v>
      </c>
      <c r="G1334" s="352">
        <v>10</v>
      </c>
      <c r="H1334" s="354">
        <f>Tabla1321124[[#This Row],[CUARTO TRIMESTRE]]+Tabla1321124[[#This Row],[TERCER TRIMESTRE]]+Tabla1321124[[#This Row],[SEGUNDO TRIMESTRE]]+Tabla1321124[[#This Row],[PRIMER TRIMESTRE]]</f>
        <v>33</v>
      </c>
      <c r="I1334" s="17">
        <v>110000</v>
      </c>
      <c r="J1334" s="530">
        <f t="shared" si="24"/>
        <v>3630000</v>
      </c>
      <c r="K1334" s="387"/>
      <c r="L1334" s="16" t="s">
        <v>18</v>
      </c>
      <c r="M1334" s="16" t="s">
        <v>22</v>
      </c>
      <c r="N1334" s="16"/>
      <c r="O1334" s="243"/>
      <c r="P1334" s="243"/>
      <c r="Q1334" s="243"/>
      <c r="R1334" s="243"/>
      <c r="S1334" s="243"/>
      <c r="T1334" s="243"/>
      <c r="U1334" s="243"/>
      <c r="V1334" s="243"/>
      <c r="W1334" s="243"/>
      <c r="X1334" s="243"/>
      <c r="Y1334" s="243"/>
      <c r="Z1334" s="243"/>
      <c r="AA1334" s="243"/>
      <c r="AB1334" s="243"/>
      <c r="AC1334" s="243"/>
      <c r="AD1334" s="243"/>
      <c r="AE1334" s="243"/>
      <c r="AF1334" s="243"/>
      <c r="AG1334" s="243"/>
      <c r="AH1334" s="243"/>
      <c r="AI1334" s="243"/>
      <c r="AJ1334" s="243"/>
      <c r="AK1334" s="243"/>
      <c r="AL1334" s="243"/>
      <c r="AM1334" s="243"/>
      <c r="AN1334" s="243"/>
      <c r="AO1334" s="243"/>
      <c r="AP1334" s="243"/>
      <c r="AQ1334" s="243"/>
      <c r="AR1334" s="243"/>
      <c r="AS1334" s="243"/>
      <c r="AT1334" s="243"/>
      <c r="AU1334" s="243"/>
      <c r="AV1334" s="243"/>
      <c r="AW1334" s="243"/>
      <c r="AX1334" s="243"/>
      <c r="AY1334" s="243"/>
      <c r="AZ1334" s="243"/>
      <c r="BA1334" s="243"/>
      <c r="BB1334" s="243"/>
      <c r="BC1334" s="243"/>
      <c r="BD1334" s="243"/>
      <c r="BE1334" s="243"/>
      <c r="BF1334" s="243"/>
      <c r="BG1334" s="243"/>
      <c r="BH1334" s="243"/>
      <c r="BI1334" s="243"/>
      <c r="BJ1334" s="243"/>
      <c r="BK1334" s="243"/>
      <c r="BL1334" s="243"/>
      <c r="BM1334" s="243"/>
      <c r="BN1334" s="243"/>
      <c r="BO1334" s="243"/>
      <c r="BP1334" s="243"/>
      <c r="BQ1334" s="243"/>
      <c r="BR1334" s="243"/>
      <c r="BS1334" s="243"/>
    </row>
    <row r="1335" spans="1:71" s="12" customFormat="1" ht="41.25" customHeight="1">
      <c r="A1335" s="179" t="s">
        <v>97</v>
      </c>
      <c r="B1335" s="76" t="str">
        <f ca="1">+UPPER(Tabla1321124[[#This Row],[DESCRIPCIÓN DE LA COMPRA O CONTRATACIÓN]])</f>
        <v/>
      </c>
      <c r="C1335" s="237"/>
      <c r="D1335" s="237"/>
      <c r="E1335" s="237"/>
      <c r="F1335" s="237"/>
      <c r="G1335" s="237"/>
      <c r="H1335" s="238"/>
      <c r="I1335" s="238"/>
      <c r="J1335" s="383"/>
      <c r="K1335" s="25">
        <f>SUM(J1260:J1334)</f>
        <v>211081045.60000002</v>
      </c>
      <c r="L1335" s="383"/>
      <c r="M1335" s="383"/>
      <c r="N1335" s="383"/>
      <c r="O1335" s="243"/>
      <c r="P1335" s="243"/>
      <c r="Q1335" s="243"/>
      <c r="R1335" s="243"/>
      <c r="S1335" s="243"/>
      <c r="T1335" s="243"/>
      <c r="U1335" s="243"/>
      <c r="V1335" s="243"/>
      <c r="W1335" s="243"/>
      <c r="X1335" s="243"/>
      <c r="Y1335" s="243"/>
      <c r="Z1335" s="243"/>
      <c r="AA1335" s="243"/>
      <c r="AB1335" s="243"/>
      <c r="AC1335" s="243"/>
      <c r="AD1335" s="243"/>
      <c r="AE1335" s="243"/>
      <c r="AF1335" s="243"/>
      <c r="AG1335" s="243"/>
      <c r="AH1335" s="243"/>
      <c r="AI1335" s="243"/>
      <c r="AJ1335" s="243"/>
      <c r="AK1335" s="243"/>
      <c r="AL1335" s="243"/>
      <c r="AM1335" s="243"/>
      <c r="AN1335" s="243"/>
      <c r="AO1335" s="243"/>
      <c r="AP1335" s="243"/>
      <c r="AQ1335" s="243"/>
      <c r="AR1335" s="243"/>
      <c r="AS1335" s="243"/>
      <c r="AT1335" s="243"/>
      <c r="AU1335" s="243"/>
      <c r="AV1335" s="243"/>
      <c r="AW1335" s="243"/>
      <c r="AX1335" s="243"/>
      <c r="AY1335" s="243"/>
      <c r="AZ1335" s="243"/>
      <c r="BA1335" s="243"/>
      <c r="BB1335" s="243"/>
      <c r="BC1335" s="243"/>
      <c r="BD1335" s="243"/>
      <c r="BE1335" s="243"/>
      <c r="BF1335" s="243"/>
      <c r="BG1335" s="243"/>
      <c r="BH1335" s="243"/>
      <c r="BI1335" s="243"/>
      <c r="BJ1335" s="243"/>
      <c r="BK1335" s="243"/>
      <c r="BL1335" s="243"/>
      <c r="BM1335" s="243"/>
      <c r="BN1335" s="243"/>
      <c r="BO1335" s="243"/>
      <c r="BP1335" s="243"/>
      <c r="BQ1335" s="243"/>
      <c r="BR1335" s="243"/>
      <c r="BS1335" s="243"/>
    </row>
    <row r="1336" spans="1:71" s="169" customFormat="1" ht="41.25" customHeight="1">
      <c r="A1336" s="178" t="s">
        <v>948</v>
      </c>
      <c r="B1336" s="75" t="str">
        <f ca="1">+UPPER(Tabla1321124[[#This Row],[DESCRIPCIÓN DE LA COMPRA O CONTRATACIÓN]])</f>
        <v>CORRENTOMETRO-MOLINETE MEDIDOR DE VELOCIDAD DE LA CORRIENTE CON HELICE DE PLASTICO</v>
      </c>
      <c r="C1336" s="39" t="s">
        <v>17</v>
      </c>
      <c r="D1336" s="236">
        <v>1</v>
      </c>
      <c r="E1336" s="236"/>
      <c r="F1336" s="236"/>
      <c r="G1336" s="236"/>
      <c r="H1336" s="240">
        <f>SUM(Tabla1321124[[#This Row],[PRIMER TRIMESTRE]:[CUARTO TRIMESTRE]])</f>
        <v>1</v>
      </c>
      <c r="I1336" s="17">
        <v>227000</v>
      </c>
      <c r="J1336" s="17">
        <f t="shared" ref="J1336:J1365" si="25">+H1336*I1336</f>
        <v>227000</v>
      </c>
      <c r="K1336" s="17"/>
      <c r="L1336" s="16" t="s">
        <v>18</v>
      </c>
      <c r="M1336" s="16" t="s">
        <v>22</v>
      </c>
      <c r="N1336" s="16"/>
      <c r="O1336" s="243"/>
      <c r="P1336" s="243"/>
      <c r="Q1336" s="243"/>
      <c r="R1336" s="243"/>
      <c r="S1336" s="243"/>
      <c r="T1336" s="243"/>
      <c r="U1336" s="243"/>
      <c r="V1336" s="243"/>
      <c r="W1336" s="243"/>
      <c r="X1336" s="243"/>
      <c r="Y1336" s="243"/>
      <c r="Z1336" s="243"/>
      <c r="AA1336" s="243"/>
      <c r="AB1336" s="243"/>
      <c r="AC1336" s="243"/>
      <c r="AD1336" s="243"/>
      <c r="AE1336" s="243"/>
      <c r="AF1336" s="243"/>
      <c r="AG1336" s="243"/>
      <c r="AH1336" s="243"/>
      <c r="AI1336" s="243"/>
      <c r="AJ1336" s="243"/>
      <c r="AK1336" s="243"/>
      <c r="AL1336" s="243"/>
      <c r="AM1336" s="243"/>
      <c r="AN1336" s="243"/>
      <c r="AO1336" s="243"/>
      <c r="AP1336" s="243"/>
      <c r="AQ1336" s="243"/>
      <c r="AR1336" s="243"/>
      <c r="AS1336" s="243"/>
      <c r="AT1336" s="243"/>
      <c r="AU1336" s="243"/>
      <c r="AV1336" s="243"/>
      <c r="AW1336" s="243"/>
      <c r="AX1336" s="243"/>
      <c r="AY1336" s="243"/>
      <c r="AZ1336" s="243"/>
      <c r="BA1336" s="243"/>
      <c r="BB1336" s="243"/>
      <c r="BC1336" s="243"/>
      <c r="BD1336" s="243"/>
      <c r="BE1336" s="243"/>
      <c r="BF1336" s="243"/>
      <c r="BG1336" s="243"/>
      <c r="BH1336" s="243"/>
      <c r="BI1336" s="243"/>
      <c r="BJ1336" s="243"/>
      <c r="BK1336" s="243"/>
      <c r="BL1336" s="243"/>
      <c r="BM1336" s="243"/>
      <c r="BN1336" s="243"/>
      <c r="BO1336" s="243"/>
      <c r="BP1336" s="243"/>
      <c r="BQ1336" s="243"/>
      <c r="BR1336" s="243"/>
      <c r="BS1336" s="243"/>
    </row>
    <row r="1337" spans="1:71" s="169" customFormat="1" ht="41.25" customHeight="1">
      <c r="A1337" s="178" t="s">
        <v>948</v>
      </c>
      <c r="B1337" s="75" t="str">
        <f ca="1">+UPPER(Tabla1321124[[#This Row],[DESCRIPCIÓN DE LA COMPRA O CONTRATACIÓN]])</f>
        <v>MODELO GEO-RIO PEQUEÑO, AFORADOR Y BATIMETRICO PARA RIOS DE AGUAS POCO PROFUNDAS</v>
      </c>
      <c r="C1337" s="39" t="s">
        <v>17</v>
      </c>
      <c r="D1337" s="236">
        <v>1</v>
      </c>
      <c r="E1337" s="236"/>
      <c r="F1337" s="236"/>
      <c r="G1337" s="236"/>
      <c r="H1337" s="240">
        <f>SUM(Tabla1321124[[#This Row],[PRIMER TRIMESTRE]:[CUARTO TRIMESTRE]])</f>
        <v>1</v>
      </c>
      <c r="I1337" s="17">
        <v>1118000</v>
      </c>
      <c r="J1337" s="17">
        <f t="shared" si="25"/>
        <v>1118000</v>
      </c>
      <c r="K1337" s="17"/>
      <c r="L1337" s="16" t="s">
        <v>18</v>
      </c>
      <c r="M1337" s="16" t="s">
        <v>22</v>
      </c>
      <c r="N1337" s="16"/>
      <c r="O1337" s="243"/>
      <c r="P1337" s="243"/>
      <c r="Q1337" s="243"/>
      <c r="R1337" s="243"/>
      <c r="S1337" s="243"/>
      <c r="T1337" s="243"/>
      <c r="U1337" s="243"/>
      <c r="V1337" s="243"/>
      <c r="W1337" s="243"/>
      <c r="X1337" s="243"/>
      <c r="Y1337" s="243"/>
      <c r="Z1337" s="243"/>
      <c r="AA1337" s="243"/>
      <c r="AB1337" s="243"/>
      <c r="AC1337" s="243"/>
      <c r="AD1337" s="243"/>
      <c r="AE1337" s="243"/>
      <c r="AF1337" s="243"/>
      <c r="AG1337" s="243"/>
      <c r="AH1337" s="243"/>
      <c r="AI1337" s="243"/>
      <c r="AJ1337" s="243"/>
      <c r="AK1337" s="243"/>
      <c r="AL1337" s="243"/>
      <c r="AM1337" s="243"/>
      <c r="AN1337" s="243"/>
      <c r="AO1337" s="243"/>
      <c r="AP1337" s="243"/>
      <c r="AQ1337" s="243"/>
      <c r="AR1337" s="243"/>
      <c r="AS1337" s="243"/>
      <c r="AT1337" s="243"/>
      <c r="AU1337" s="243"/>
      <c r="AV1337" s="243"/>
      <c r="AW1337" s="243"/>
      <c r="AX1337" s="243"/>
      <c r="AY1337" s="243"/>
      <c r="AZ1337" s="243"/>
      <c r="BA1337" s="243"/>
      <c r="BB1337" s="243"/>
      <c r="BC1337" s="243"/>
      <c r="BD1337" s="243"/>
      <c r="BE1337" s="243"/>
      <c r="BF1337" s="243"/>
      <c r="BG1337" s="243"/>
      <c r="BH1337" s="243"/>
      <c r="BI1337" s="243"/>
      <c r="BJ1337" s="243"/>
      <c r="BK1337" s="243"/>
      <c r="BL1337" s="243"/>
      <c r="BM1337" s="243"/>
      <c r="BN1337" s="243"/>
      <c r="BO1337" s="243"/>
      <c r="BP1337" s="243"/>
      <c r="BQ1337" s="243"/>
      <c r="BR1337" s="243"/>
      <c r="BS1337" s="243"/>
    </row>
    <row r="1338" spans="1:71" s="12" customFormat="1" ht="41.25" customHeight="1">
      <c r="A1338" s="178" t="s">
        <v>948</v>
      </c>
      <c r="B1338" s="75" t="str">
        <f ca="1">+UPPER(Tabla1321124[[#This Row],[DESCRIPCIÓN DE LA COMPRA O CONTRATACIÓN]])</f>
        <v>BOTAS DE TRABAJO SUELA POLIUERETANO NEGRO</v>
      </c>
      <c r="C1338" s="39" t="s">
        <v>17</v>
      </c>
      <c r="D1338" s="236">
        <f>8+5</f>
        <v>13</v>
      </c>
      <c r="E1338" s="236">
        <v>80</v>
      </c>
      <c r="F1338" s="236">
        <f>88+5</f>
        <v>93</v>
      </c>
      <c r="G1338" s="236"/>
      <c r="H1338" s="240">
        <f>SUM(Tabla1321124[[#This Row],[PRIMER TRIMESTRE]:[CUARTO TRIMESTRE]])</f>
        <v>186</v>
      </c>
      <c r="I1338" s="17">
        <v>3200</v>
      </c>
      <c r="J1338" s="17">
        <f t="shared" si="25"/>
        <v>595200</v>
      </c>
      <c r="K1338" s="17"/>
      <c r="L1338" s="16" t="s">
        <v>18</v>
      </c>
      <c r="M1338" s="16" t="s">
        <v>22</v>
      </c>
      <c r="N1338" s="16"/>
      <c r="O1338" s="243"/>
      <c r="P1338" s="243"/>
      <c r="Q1338" s="243"/>
      <c r="R1338" s="243"/>
      <c r="S1338" s="243"/>
      <c r="T1338" s="243"/>
      <c r="U1338" s="243"/>
      <c r="V1338" s="243"/>
      <c r="W1338" s="243"/>
      <c r="X1338" s="243"/>
      <c r="Y1338" s="243"/>
      <c r="Z1338" s="243"/>
      <c r="AA1338" s="243"/>
      <c r="AB1338" s="243"/>
      <c r="AC1338" s="243"/>
      <c r="AD1338" s="243"/>
      <c r="AE1338" s="243"/>
      <c r="AF1338" s="243"/>
      <c r="AG1338" s="243"/>
      <c r="AH1338" s="243"/>
      <c r="AI1338" s="243"/>
      <c r="AJ1338" s="243"/>
      <c r="AK1338" s="243"/>
      <c r="AL1338" s="243"/>
      <c r="AM1338" s="243"/>
      <c r="AN1338" s="243"/>
      <c r="AO1338" s="243"/>
      <c r="AP1338" s="243"/>
      <c r="AQ1338" s="243"/>
      <c r="AR1338" s="243"/>
      <c r="AS1338" s="243"/>
      <c r="AT1338" s="243"/>
      <c r="AU1338" s="243"/>
      <c r="AV1338" s="243"/>
      <c r="AW1338" s="243"/>
      <c r="AX1338" s="243"/>
      <c r="AY1338" s="243"/>
      <c r="AZ1338" s="243"/>
      <c r="BA1338" s="243"/>
      <c r="BB1338" s="243"/>
      <c r="BC1338" s="243"/>
      <c r="BD1338" s="243"/>
      <c r="BE1338" s="243"/>
      <c r="BF1338" s="243"/>
      <c r="BG1338" s="243"/>
      <c r="BH1338" s="243"/>
      <c r="BI1338" s="243"/>
      <c r="BJ1338" s="243"/>
      <c r="BK1338" s="243"/>
      <c r="BL1338" s="243"/>
      <c r="BM1338" s="243"/>
      <c r="BN1338" s="243"/>
      <c r="BO1338" s="243"/>
      <c r="BP1338" s="243"/>
      <c r="BQ1338" s="243"/>
      <c r="BR1338" s="243"/>
      <c r="BS1338" s="243"/>
    </row>
    <row r="1339" spans="1:71" s="169" customFormat="1" ht="41.25" customHeight="1">
      <c r="A1339" s="178" t="s">
        <v>948</v>
      </c>
      <c r="B1339" s="75" t="str">
        <f ca="1">+UPPER(Tabla1321124[[#This Row],[DESCRIPCIÓN DE LA COMPRA O CONTRATACIÓN]])</f>
        <v>GUANTES DE SEGURIDAD DE CUERO</v>
      </c>
      <c r="C1339" s="39" t="s">
        <v>17</v>
      </c>
      <c r="D1339" s="236">
        <f>5+10</f>
        <v>15</v>
      </c>
      <c r="E1339" s="236">
        <v>10</v>
      </c>
      <c r="F1339" s="236">
        <v>10</v>
      </c>
      <c r="G1339" s="236">
        <v>10</v>
      </c>
      <c r="H1339" s="240">
        <f>SUM(Tabla1321124[[#This Row],[PRIMER TRIMESTRE]:[CUARTO TRIMESTRE]])</f>
        <v>45</v>
      </c>
      <c r="I1339" s="17">
        <v>96.7</v>
      </c>
      <c r="J1339" s="17">
        <f t="shared" si="25"/>
        <v>4351.5</v>
      </c>
      <c r="K1339" s="17"/>
      <c r="L1339" s="16" t="s">
        <v>18</v>
      </c>
      <c r="M1339" s="16" t="s">
        <v>22</v>
      </c>
      <c r="N1339" s="16"/>
      <c r="O1339" s="243"/>
      <c r="P1339" s="243"/>
      <c r="Q1339" s="243"/>
      <c r="R1339" s="243"/>
      <c r="S1339" s="243"/>
      <c r="T1339" s="243"/>
      <c r="U1339" s="243"/>
      <c r="V1339" s="243"/>
      <c r="W1339" s="243"/>
      <c r="X1339" s="243"/>
      <c r="Y1339" s="243"/>
      <c r="Z1339" s="243"/>
      <c r="AA1339" s="243"/>
      <c r="AB1339" s="243"/>
      <c r="AC1339" s="243"/>
      <c r="AD1339" s="243"/>
      <c r="AE1339" s="243"/>
      <c r="AF1339" s="243"/>
      <c r="AG1339" s="243"/>
      <c r="AH1339" s="243"/>
      <c r="AI1339" s="243"/>
      <c r="AJ1339" s="243"/>
      <c r="AK1339" s="243"/>
      <c r="AL1339" s="243"/>
      <c r="AM1339" s="243"/>
      <c r="AN1339" s="243"/>
      <c r="AO1339" s="243"/>
      <c r="AP1339" s="243"/>
      <c r="AQ1339" s="243"/>
      <c r="AR1339" s="243"/>
      <c r="AS1339" s="243"/>
      <c r="AT1339" s="243"/>
      <c r="AU1339" s="243"/>
      <c r="AV1339" s="243"/>
      <c r="AW1339" s="243"/>
      <c r="AX1339" s="243"/>
      <c r="AY1339" s="243"/>
      <c r="AZ1339" s="243"/>
      <c r="BA1339" s="243"/>
      <c r="BB1339" s="243"/>
      <c r="BC1339" s="243"/>
      <c r="BD1339" s="243"/>
      <c r="BE1339" s="243"/>
      <c r="BF1339" s="243"/>
      <c r="BG1339" s="243"/>
      <c r="BH1339" s="243"/>
      <c r="BI1339" s="243"/>
      <c r="BJ1339" s="243"/>
      <c r="BK1339" s="243"/>
      <c r="BL1339" s="243"/>
      <c r="BM1339" s="243"/>
      <c r="BN1339" s="243"/>
      <c r="BO1339" s="243"/>
      <c r="BP1339" s="243"/>
      <c r="BQ1339" s="243"/>
      <c r="BR1339" s="243"/>
      <c r="BS1339" s="243"/>
    </row>
    <row r="1340" spans="1:71" s="12" customFormat="1" ht="41.25" customHeight="1">
      <c r="A1340" s="178" t="s">
        <v>948</v>
      </c>
      <c r="B1340" s="75" t="str">
        <f ca="1">+UPPER(Tabla1321124[[#This Row],[DESCRIPCIÓN DE LA COMPRA O CONTRATACIÓN]])</f>
        <v>SONDA TLC TEMPERATURA, NIVEL, CONDUCTIVIDAD MODELO 107</v>
      </c>
      <c r="C1340" s="39" t="s">
        <v>17</v>
      </c>
      <c r="D1340" s="236">
        <v>1</v>
      </c>
      <c r="E1340" s="236"/>
      <c r="F1340" s="236"/>
      <c r="G1340" s="236"/>
      <c r="H1340" s="240">
        <f>SUM(Tabla1321124[[#This Row],[PRIMER TRIMESTRE]:[CUARTO TRIMESTRE]])</f>
        <v>1</v>
      </c>
      <c r="I1340" s="17">
        <v>113850</v>
      </c>
      <c r="J1340" s="17">
        <f t="shared" si="25"/>
        <v>113850</v>
      </c>
      <c r="K1340" s="17"/>
      <c r="L1340" s="16" t="s">
        <v>18</v>
      </c>
      <c r="M1340" s="16" t="s">
        <v>22</v>
      </c>
      <c r="N1340" s="16"/>
      <c r="O1340" s="243"/>
      <c r="P1340" s="243"/>
      <c r="Q1340" s="243"/>
      <c r="R1340" s="243"/>
      <c r="S1340" s="243"/>
      <c r="T1340" s="243"/>
      <c r="U1340" s="243"/>
      <c r="V1340" s="243"/>
      <c r="W1340" s="243"/>
      <c r="X1340" s="243"/>
      <c r="Y1340" s="243"/>
      <c r="Z1340" s="243"/>
      <c r="AA1340" s="243"/>
      <c r="AB1340" s="243"/>
      <c r="AC1340" s="243"/>
      <c r="AD1340" s="243"/>
      <c r="AE1340" s="243"/>
      <c r="AF1340" s="243"/>
      <c r="AG1340" s="243"/>
      <c r="AH1340" s="243"/>
      <c r="AI1340" s="243"/>
      <c r="AJ1340" s="243"/>
      <c r="AK1340" s="243"/>
      <c r="AL1340" s="243"/>
      <c r="AM1340" s="243"/>
      <c r="AN1340" s="243"/>
      <c r="AO1340" s="243"/>
      <c r="AP1340" s="243"/>
      <c r="AQ1340" s="243"/>
      <c r="AR1340" s="243"/>
      <c r="AS1340" s="243"/>
      <c r="AT1340" s="243"/>
      <c r="AU1340" s="243"/>
      <c r="AV1340" s="243"/>
      <c r="AW1340" s="243"/>
      <c r="AX1340" s="243"/>
      <c r="AY1340" s="243"/>
      <c r="AZ1340" s="243"/>
      <c r="BA1340" s="243"/>
      <c r="BB1340" s="243"/>
      <c r="BC1340" s="243"/>
      <c r="BD1340" s="243"/>
      <c r="BE1340" s="243"/>
      <c r="BF1340" s="243"/>
      <c r="BG1340" s="243"/>
      <c r="BH1340" s="243"/>
      <c r="BI1340" s="243"/>
      <c r="BJ1340" s="243"/>
      <c r="BK1340" s="243"/>
      <c r="BL1340" s="243"/>
      <c r="BM1340" s="243"/>
      <c r="BN1340" s="243"/>
      <c r="BO1340" s="243"/>
      <c r="BP1340" s="243"/>
      <c r="BQ1340" s="243"/>
      <c r="BR1340" s="243"/>
      <c r="BS1340" s="243"/>
    </row>
    <row r="1341" spans="1:71" s="12" customFormat="1" ht="41.25" customHeight="1">
      <c r="A1341" s="178" t="s">
        <v>948</v>
      </c>
      <c r="B1341" s="75" t="str">
        <f ca="1">+UPPER(Tabla1321124[[#This Row],[DESCRIPCIÓN DE LA COMPRA O CONTRATACIÓN]])</f>
        <v>NIVEL PARA AGUAS MRCACIONES LASER MODELO 102</v>
      </c>
      <c r="C1341" s="39" t="s">
        <v>17</v>
      </c>
      <c r="D1341" s="236">
        <v>1</v>
      </c>
      <c r="E1341" s="236"/>
      <c r="F1341" s="236"/>
      <c r="G1341" s="236"/>
      <c r="H1341" s="240">
        <f>SUM(Tabla1321124[[#This Row],[PRIMER TRIMESTRE]:[CUARTO TRIMESTRE]])</f>
        <v>1</v>
      </c>
      <c r="I1341" s="17">
        <v>57914</v>
      </c>
      <c r="J1341" s="17">
        <f t="shared" si="25"/>
        <v>57914</v>
      </c>
      <c r="K1341" s="17"/>
      <c r="L1341" s="16" t="s">
        <v>18</v>
      </c>
      <c r="M1341" s="16" t="s">
        <v>22</v>
      </c>
      <c r="N1341" s="16"/>
      <c r="O1341" s="243"/>
      <c r="P1341" s="243"/>
      <c r="Q1341" s="243"/>
      <c r="R1341" s="243"/>
      <c r="S1341" s="243"/>
      <c r="T1341" s="243"/>
      <c r="U1341" s="243"/>
      <c r="V1341" s="243"/>
      <c r="W1341" s="243"/>
      <c r="X1341" s="243"/>
      <c r="Y1341" s="243"/>
      <c r="Z1341" s="243"/>
      <c r="AA1341" s="243"/>
      <c r="AB1341" s="243"/>
      <c r="AC1341" s="243"/>
      <c r="AD1341" s="243"/>
      <c r="AE1341" s="243"/>
      <c r="AF1341" s="243"/>
      <c r="AG1341" s="243"/>
      <c r="AH1341" s="243"/>
      <c r="AI1341" s="243"/>
      <c r="AJ1341" s="243"/>
      <c r="AK1341" s="243"/>
      <c r="AL1341" s="243"/>
      <c r="AM1341" s="243"/>
      <c r="AN1341" s="243"/>
      <c r="AO1341" s="243"/>
      <c r="AP1341" s="243"/>
      <c r="AQ1341" s="243"/>
      <c r="AR1341" s="243"/>
      <c r="AS1341" s="243"/>
      <c r="AT1341" s="243"/>
      <c r="AU1341" s="243"/>
      <c r="AV1341" s="243"/>
      <c r="AW1341" s="243"/>
      <c r="AX1341" s="243"/>
      <c r="AY1341" s="243"/>
      <c r="AZ1341" s="243"/>
      <c r="BA1341" s="243"/>
      <c r="BB1341" s="243"/>
      <c r="BC1341" s="243"/>
      <c r="BD1341" s="243"/>
      <c r="BE1341" s="243"/>
      <c r="BF1341" s="243"/>
      <c r="BG1341" s="243"/>
      <c r="BH1341" s="243"/>
      <c r="BI1341" s="243"/>
      <c r="BJ1341" s="243"/>
      <c r="BK1341" s="243"/>
      <c r="BL1341" s="243"/>
      <c r="BM1341" s="243"/>
      <c r="BN1341" s="243"/>
      <c r="BO1341" s="243"/>
      <c r="BP1341" s="243"/>
      <c r="BQ1341" s="243"/>
      <c r="BR1341" s="243"/>
      <c r="BS1341" s="243"/>
    </row>
    <row r="1342" spans="1:71" s="12" customFormat="1" ht="41.25" customHeight="1">
      <c r="A1342" s="178" t="s">
        <v>948</v>
      </c>
      <c r="B1342" s="75" t="str">
        <f ca="1">+UPPER(Tabla1321124[[#This Row],[DESCRIPCIÓN DE LA COMPRA O CONTRATACIÓN]])</f>
        <v>OHMMAPPER GEOMETRICS RESISTIVITY MAPPING</v>
      </c>
      <c r="C1342" s="39" t="s">
        <v>17</v>
      </c>
      <c r="D1342" s="236">
        <v>1</v>
      </c>
      <c r="E1342" s="236"/>
      <c r="F1342" s="236"/>
      <c r="G1342" s="236"/>
      <c r="H1342" s="240">
        <f>SUM(Tabla1321124[[#This Row],[PRIMER TRIMESTRE]:[CUARTO TRIMESTRE]])</f>
        <v>1</v>
      </c>
      <c r="I1342" s="17">
        <v>908000</v>
      </c>
      <c r="J1342" s="17">
        <f t="shared" si="25"/>
        <v>908000</v>
      </c>
      <c r="K1342" s="17"/>
      <c r="L1342" s="16" t="s">
        <v>18</v>
      </c>
      <c r="M1342" s="16" t="s">
        <v>22</v>
      </c>
      <c r="N1342" s="16"/>
      <c r="O1342" s="243"/>
      <c r="P1342" s="243"/>
      <c r="Q1342" s="243"/>
      <c r="R1342" s="243"/>
      <c r="S1342" s="243"/>
      <c r="T1342" s="243"/>
      <c r="U1342" s="243"/>
      <c r="V1342" s="243"/>
      <c r="W1342" s="243"/>
      <c r="X1342" s="243"/>
      <c r="Y1342" s="243"/>
      <c r="Z1342" s="243"/>
      <c r="AA1342" s="243"/>
      <c r="AB1342" s="243"/>
      <c r="AC1342" s="243"/>
      <c r="AD1342" s="243"/>
      <c r="AE1342" s="243"/>
      <c r="AF1342" s="243"/>
      <c r="AG1342" s="243"/>
      <c r="AH1342" s="243"/>
      <c r="AI1342" s="243"/>
      <c r="AJ1342" s="243"/>
      <c r="AK1342" s="243"/>
      <c r="AL1342" s="243"/>
      <c r="AM1342" s="243"/>
      <c r="AN1342" s="243"/>
      <c r="AO1342" s="243"/>
      <c r="AP1342" s="243"/>
      <c r="AQ1342" s="243"/>
      <c r="AR1342" s="243"/>
      <c r="AS1342" s="243"/>
      <c r="AT1342" s="243"/>
      <c r="AU1342" s="243"/>
      <c r="AV1342" s="243"/>
      <c r="AW1342" s="243"/>
      <c r="AX1342" s="243"/>
      <c r="AY1342" s="243"/>
      <c r="AZ1342" s="243"/>
      <c r="BA1342" s="243"/>
      <c r="BB1342" s="243"/>
      <c r="BC1342" s="243"/>
      <c r="BD1342" s="243"/>
      <c r="BE1342" s="243"/>
      <c r="BF1342" s="243"/>
      <c r="BG1342" s="243"/>
      <c r="BH1342" s="243"/>
      <c r="BI1342" s="243"/>
      <c r="BJ1342" s="243"/>
      <c r="BK1342" s="243"/>
      <c r="BL1342" s="243"/>
      <c r="BM1342" s="243"/>
      <c r="BN1342" s="243"/>
      <c r="BO1342" s="243"/>
      <c r="BP1342" s="243"/>
      <c r="BQ1342" s="243"/>
      <c r="BR1342" s="243"/>
      <c r="BS1342" s="243"/>
    </row>
    <row r="1343" spans="1:71" s="12" customFormat="1" ht="41.25" customHeight="1">
      <c r="A1343" s="178" t="s">
        <v>948</v>
      </c>
      <c r="B1343" s="75" t="str">
        <f ca="1">+UPPER(Tabla1321124[[#This Row],[DESCRIPCIÓN DE LA COMPRA O CONTRATACIÓN]])</f>
        <v>MAPA HIDROGEOLOGICO RD</v>
      </c>
      <c r="C1343" s="39" t="s">
        <v>17</v>
      </c>
      <c r="D1343" s="236">
        <f>1+4</f>
        <v>5</v>
      </c>
      <c r="E1343" s="236"/>
      <c r="F1343" s="236"/>
      <c r="G1343" s="236"/>
      <c r="H1343" s="240">
        <f>SUM(Tabla1321124[[#This Row],[PRIMER TRIMESTRE]:[CUARTO TRIMESTRE]])</f>
        <v>5</v>
      </c>
      <c r="I1343" s="17">
        <v>10000</v>
      </c>
      <c r="J1343" s="17">
        <f t="shared" si="25"/>
        <v>50000</v>
      </c>
      <c r="K1343" s="17"/>
      <c r="L1343" s="16" t="s">
        <v>18</v>
      </c>
      <c r="M1343" s="16" t="s">
        <v>22</v>
      </c>
      <c r="N1343" s="16"/>
      <c r="O1343" s="243"/>
      <c r="P1343" s="243"/>
      <c r="Q1343" s="243"/>
      <c r="R1343" s="243"/>
      <c r="S1343" s="243"/>
      <c r="T1343" s="243"/>
      <c r="U1343" s="243"/>
      <c r="V1343" s="243"/>
      <c r="W1343" s="243"/>
      <c r="X1343" s="243"/>
      <c r="Y1343" s="243"/>
      <c r="Z1343" s="243"/>
      <c r="AA1343" s="243"/>
      <c r="AB1343" s="243"/>
      <c r="AC1343" s="243"/>
      <c r="AD1343" s="243"/>
      <c r="AE1343" s="243"/>
      <c r="AF1343" s="243"/>
      <c r="AG1343" s="243"/>
      <c r="AH1343" s="243"/>
      <c r="AI1343" s="243"/>
      <c r="AJ1343" s="243"/>
      <c r="AK1343" s="243"/>
      <c r="AL1343" s="243"/>
      <c r="AM1343" s="243"/>
      <c r="AN1343" s="243"/>
      <c r="AO1343" s="243"/>
      <c r="AP1343" s="243"/>
      <c r="AQ1343" s="243"/>
      <c r="AR1343" s="243"/>
      <c r="AS1343" s="243"/>
      <c r="AT1343" s="243"/>
      <c r="AU1343" s="243"/>
      <c r="AV1343" s="243"/>
      <c r="AW1343" s="243"/>
      <c r="AX1343" s="243"/>
      <c r="AY1343" s="243"/>
      <c r="AZ1343" s="243"/>
      <c r="BA1343" s="243"/>
      <c r="BB1343" s="243"/>
      <c r="BC1343" s="243"/>
      <c r="BD1343" s="243"/>
      <c r="BE1343" s="243"/>
      <c r="BF1343" s="243"/>
      <c r="BG1343" s="243"/>
      <c r="BH1343" s="243"/>
      <c r="BI1343" s="243"/>
      <c r="BJ1343" s="243"/>
      <c r="BK1343" s="243"/>
      <c r="BL1343" s="243"/>
      <c r="BM1343" s="243"/>
      <c r="BN1343" s="243"/>
      <c r="BO1343" s="243"/>
      <c r="BP1343" s="243"/>
      <c r="BQ1343" s="243"/>
      <c r="BR1343" s="243"/>
      <c r="BS1343" s="243"/>
    </row>
    <row r="1344" spans="1:71" s="12" customFormat="1" ht="41.25" customHeight="1">
      <c r="A1344" s="178" t="s">
        <v>948</v>
      </c>
      <c r="B1344" s="75" t="str">
        <f ca="1">+UPPER(Tabla1321124[[#This Row],[DESCRIPCIÓN DE LA COMPRA O CONTRATACIÓN]])</f>
        <v>JUEGO DE CARTAS TOPOGRAFICAS (150 CARTAS) 1:50</v>
      </c>
      <c r="C1344" s="39" t="s">
        <v>17</v>
      </c>
      <c r="D1344" s="236">
        <v>3</v>
      </c>
      <c r="E1344" s="236"/>
      <c r="F1344" s="236"/>
      <c r="G1344" s="236"/>
      <c r="H1344" s="240">
        <f>SUM(Tabla1321124[[#This Row],[PRIMER TRIMESTRE]:[CUARTO TRIMESTRE]])</f>
        <v>3</v>
      </c>
      <c r="I1344" s="17">
        <v>37500</v>
      </c>
      <c r="J1344" s="17">
        <f t="shared" si="25"/>
        <v>112500</v>
      </c>
      <c r="K1344" s="17"/>
      <c r="L1344" s="16" t="s">
        <v>18</v>
      </c>
      <c r="M1344" s="16" t="s">
        <v>22</v>
      </c>
      <c r="N1344" s="16"/>
      <c r="O1344" s="243"/>
      <c r="P1344" s="243"/>
      <c r="Q1344" s="243"/>
      <c r="R1344" s="243"/>
      <c r="S1344" s="243"/>
      <c r="T1344" s="243"/>
      <c r="U1344" s="243"/>
      <c r="V1344" s="243"/>
      <c r="W1344" s="243"/>
      <c r="X1344" s="243"/>
      <c r="Y1344" s="243"/>
      <c r="Z1344" s="243"/>
      <c r="AA1344" s="243"/>
      <c r="AB1344" s="243"/>
      <c r="AC1344" s="243"/>
      <c r="AD1344" s="243"/>
      <c r="AE1344" s="243"/>
      <c r="AF1344" s="243"/>
      <c r="AG1344" s="243"/>
      <c r="AH1344" s="243"/>
      <c r="AI1344" s="243"/>
      <c r="AJ1344" s="243"/>
      <c r="AK1344" s="243"/>
      <c r="AL1344" s="243"/>
      <c r="AM1344" s="243"/>
      <c r="AN1344" s="243"/>
      <c r="AO1344" s="243"/>
      <c r="AP1344" s="243"/>
      <c r="AQ1344" s="243"/>
      <c r="AR1344" s="243"/>
      <c r="AS1344" s="243"/>
      <c r="AT1344" s="243"/>
      <c r="AU1344" s="243"/>
      <c r="AV1344" s="243"/>
      <c r="AW1344" s="243"/>
      <c r="AX1344" s="243"/>
      <c r="AY1344" s="243"/>
      <c r="AZ1344" s="243"/>
      <c r="BA1344" s="243"/>
      <c r="BB1344" s="243"/>
      <c r="BC1344" s="243"/>
      <c r="BD1344" s="243"/>
      <c r="BE1344" s="243"/>
      <c r="BF1344" s="243"/>
      <c r="BG1344" s="243"/>
      <c r="BH1344" s="243"/>
      <c r="BI1344" s="243"/>
      <c r="BJ1344" s="243"/>
      <c r="BK1344" s="243"/>
      <c r="BL1344" s="243"/>
      <c r="BM1344" s="243"/>
      <c r="BN1344" s="243"/>
      <c r="BO1344" s="243"/>
      <c r="BP1344" s="243"/>
      <c r="BQ1344" s="243"/>
      <c r="BR1344" s="243"/>
      <c r="BS1344" s="243"/>
    </row>
    <row r="1345" spans="1:71" s="12" customFormat="1" ht="41.25" customHeight="1">
      <c r="A1345" s="178" t="s">
        <v>948</v>
      </c>
      <c r="B1345" s="75" t="str">
        <f ca="1">+UPPER(Tabla1321124[[#This Row],[DESCRIPCIÓN DE LA COMPRA O CONTRATACIÓN]])</f>
        <v>REGLA DE MADERA METRADA</v>
      </c>
      <c r="C1345" s="39" t="s">
        <v>17</v>
      </c>
      <c r="D1345" s="236">
        <v>1</v>
      </c>
      <c r="E1345" s="236">
        <v>3</v>
      </c>
      <c r="F1345" s="236"/>
      <c r="G1345" s="236"/>
      <c r="H1345" s="240">
        <f>SUM(Tabla1321124[[#This Row],[PRIMER TRIMESTRE]:[CUARTO TRIMESTRE]])</f>
        <v>4</v>
      </c>
      <c r="I1345" s="17">
        <v>120</v>
      </c>
      <c r="J1345" s="17">
        <f t="shared" si="25"/>
        <v>480</v>
      </c>
      <c r="K1345" s="17"/>
      <c r="L1345" s="16" t="s">
        <v>18</v>
      </c>
      <c r="M1345" s="16" t="s">
        <v>22</v>
      </c>
      <c r="N1345" s="16"/>
      <c r="O1345" s="243"/>
      <c r="P1345" s="243"/>
      <c r="Q1345" s="243"/>
      <c r="R1345" s="243"/>
      <c r="S1345" s="243"/>
      <c r="T1345" s="243"/>
      <c r="U1345" s="243"/>
      <c r="V1345" s="243"/>
      <c r="W1345" s="243"/>
      <c r="X1345" s="243"/>
      <c r="Y1345" s="243"/>
      <c r="Z1345" s="243"/>
      <c r="AA1345" s="243"/>
      <c r="AB1345" s="243"/>
      <c r="AC1345" s="243"/>
      <c r="AD1345" s="243"/>
      <c r="AE1345" s="243"/>
      <c r="AF1345" s="243"/>
      <c r="AG1345" s="243"/>
      <c r="AH1345" s="243"/>
      <c r="AI1345" s="243"/>
      <c r="AJ1345" s="243"/>
      <c r="AK1345" s="243"/>
      <c r="AL1345" s="243"/>
      <c r="AM1345" s="243"/>
      <c r="AN1345" s="243"/>
      <c r="AO1345" s="243"/>
      <c r="AP1345" s="243"/>
      <c r="AQ1345" s="243"/>
      <c r="AR1345" s="243"/>
      <c r="AS1345" s="243"/>
      <c r="AT1345" s="243"/>
      <c r="AU1345" s="243"/>
      <c r="AV1345" s="243"/>
      <c r="AW1345" s="243"/>
      <c r="AX1345" s="243"/>
      <c r="AY1345" s="243"/>
      <c r="AZ1345" s="243"/>
      <c r="BA1345" s="243"/>
      <c r="BB1345" s="243"/>
      <c r="BC1345" s="243"/>
      <c r="BD1345" s="243"/>
      <c r="BE1345" s="243"/>
      <c r="BF1345" s="243"/>
      <c r="BG1345" s="243"/>
      <c r="BH1345" s="243"/>
      <c r="BI1345" s="243"/>
      <c r="BJ1345" s="243"/>
      <c r="BK1345" s="243"/>
      <c r="BL1345" s="243"/>
      <c r="BM1345" s="243"/>
      <c r="BN1345" s="243"/>
      <c r="BO1345" s="243"/>
      <c r="BP1345" s="243"/>
      <c r="BQ1345" s="243"/>
      <c r="BR1345" s="243"/>
      <c r="BS1345" s="243"/>
    </row>
    <row r="1346" spans="1:71" s="12" customFormat="1" ht="41.25" customHeight="1">
      <c r="A1346" s="178" t="s">
        <v>948</v>
      </c>
      <c r="B1346" s="75" t="str">
        <f ca="1">+UPPER(Tabla1321124[[#This Row],[DESCRIPCIÓN DE LA COMPRA O CONTRATACIÓN]])</f>
        <v>ARNES DE SEGURIDAD 9-059-7</v>
      </c>
      <c r="C1346" s="39" t="s">
        <v>17</v>
      </c>
      <c r="D1346" s="236">
        <f>3+3</f>
        <v>6</v>
      </c>
      <c r="E1346" s="236"/>
      <c r="F1346" s="236"/>
      <c r="G1346" s="236"/>
      <c r="H1346" s="240">
        <f>SUM(Tabla1321124[[#This Row],[PRIMER TRIMESTRE]:[CUARTO TRIMESTRE]])</f>
        <v>6</v>
      </c>
      <c r="I1346" s="17">
        <v>2627</v>
      </c>
      <c r="J1346" s="17">
        <f t="shared" si="25"/>
        <v>15762</v>
      </c>
      <c r="K1346" s="17"/>
      <c r="L1346" s="16" t="s">
        <v>18</v>
      </c>
      <c r="M1346" s="16" t="s">
        <v>22</v>
      </c>
      <c r="N1346" s="16"/>
      <c r="O1346" s="243"/>
      <c r="P1346" s="243"/>
      <c r="Q1346" s="243"/>
      <c r="R1346" s="243"/>
      <c r="S1346" s="243"/>
      <c r="T1346" s="243"/>
      <c r="U1346" s="243"/>
      <c r="V1346" s="243"/>
      <c r="W1346" s="243"/>
      <c r="X1346" s="243"/>
      <c r="Y1346" s="243"/>
      <c r="Z1346" s="243"/>
      <c r="AA1346" s="243"/>
      <c r="AB1346" s="243"/>
      <c r="AC1346" s="243"/>
      <c r="AD1346" s="243"/>
      <c r="AE1346" s="243"/>
      <c r="AF1346" s="243"/>
      <c r="AG1346" s="243"/>
      <c r="AH1346" s="243"/>
      <c r="AI1346" s="243"/>
      <c r="AJ1346" s="243"/>
      <c r="AK1346" s="243"/>
      <c r="AL1346" s="243"/>
      <c r="AM1346" s="243"/>
      <c r="AN1346" s="243"/>
      <c r="AO1346" s="243"/>
      <c r="AP1346" s="243"/>
      <c r="AQ1346" s="243"/>
      <c r="AR1346" s="243"/>
      <c r="AS1346" s="243"/>
      <c r="AT1346" s="243"/>
      <c r="AU1346" s="243"/>
      <c r="AV1346" s="243"/>
      <c r="AW1346" s="243"/>
      <c r="AX1346" s="243"/>
      <c r="AY1346" s="243"/>
      <c r="AZ1346" s="243"/>
      <c r="BA1346" s="243"/>
      <c r="BB1346" s="243"/>
      <c r="BC1346" s="243"/>
      <c r="BD1346" s="243"/>
      <c r="BE1346" s="243"/>
      <c r="BF1346" s="243"/>
      <c r="BG1346" s="243"/>
      <c r="BH1346" s="243"/>
      <c r="BI1346" s="243"/>
      <c r="BJ1346" s="243"/>
      <c r="BK1346" s="243"/>
      <c r="BL1346" s="243"/>
      <c r="BM1346" s="243"/>
      <c r="BN1346" s="243"/>
      <c r="BO1346" s="243"/>
      <c r="BP1346" s="243"/>
      <c r="BQ1346" s="243"/>
      <c r="BR1346" s="243"/>
      <c r="BS1346" s="243"/>
    </row>
    <row r="1347" spans="1:71" s="12" customFormat="1" ht="41.25" customHeight="1">
      <c r="A1347" s="178" t="s">
        <v>948</v>
      </c>
      <c r="B1347" s="75" t="str">
        <f ca="1">+UPPER(Tabla1321124[[#This Row],[DESCRIPCIÓN DE LA COMPRA O CONTRATACIÓN]])</f>
        <v>ES-105/PSLBG, TOTAL STATION</v>
      </c>
      <c r="C1347" s="39" t="s">
        <v>17</v>
      </c>
      <c r="D1347" s="236">
        <v>1</v>
      </c>
      <c r="E1347" s="236"/>
      <c r="F1347" s="236"/>
      <c r="G1347" s="236"/>
      <c r="H1347" s="240">
        <f>SUM(Tabla1321124[[#This Row],[PRIMER TRIMESTRE]:[CUARTO TRIMESTRE]])</f>
        <v>1</v>
      </c>
      <c r="I1347" s="17">
        <v>307341.48</v>
      </c>
      <c r="J1347" s="17">
        <f t="shared" si="25"/>
        <v>307341.48</v>
      </c>
      <c r="K1347" s="340"/>
      <c r="L1347" s="16" t="s">
        <v>18</v>
      </c>
      <c r="M1347" s="16" t="s">
        <v>22</v>
      </c>
      <c r="N1347" s="16"/>
      <c r="O1347" s="243"/>
      <c r="P1347" s="243"/>
      <c r="Q1347" s="243"/>
      <c r="R1347" s="243"/>
      <c r="S1347" s="243"/>
      <c r="T1347" s="243"/>
      <c r="U1347" s="243"/>
      <c r="V1347" s="243"/>
      <c r="W1347" s="243"/>
      <c r="X1347" s="243"/>
      <c r="Y1347" s="243"/>
      <c r="Z1347" s="243"/>
      <c r="AA1347" s="243"/>
      <c r="AB1347" s="243"/>
      <c r="AC1347" s="243"/>
      <c r="AD1347" s="243"/>
      <c r="AE1347" s="243"/>
      <c r="AF1347" s="243"/>
      <c r="AG1347" s="243"/>
      <c r="AH1347" s="243"/>
      <c r="AI1347" s="243"/>
      <c r="AJ1347" s="243"/>
      <c r="AK1347" s="243"/>
      <c r="AL1347" s="243"/>
      <c r="AM1347" s="243"/>
      <c r="AN1347" s="243"/>
      <c r="AO1347" s="243"/>
      <c r="AP1347" s="243"/>
      <c r="AQ1347" s="243"/>
      <c r="AR1347" s="243"/>
      <c r="AS1347" s="243"/>
      <c r="AT1347" s="243"/>
      <c r="AU1347" s="243"/>
      <c r="AV1347" s="243"/>
      <c r="AW1347" s="243"/>
      <c r="AX1347" s="243"/>
      <c r="AY1347" s="243"/>
      <c r="AZ1347" s="243"/>
      <c r="BA1347" s="243"/>
      <c r="BB1347" s="243"/>
      <c r="BC1347" s="243"/>
      <c r="BD1347" s="243"/>
      <c r="BE1347" s="243"/>
      <c r="BF1347" s="243"/>
      <c r="BG1347" s="243"/>
      <c r="BH1347" s="243"/>
      <c r="BI1347" s="243"/>
      <c r="BJ1347" s="243"/>
      <c r="BK1347" s="243"/>
      <c r="BL1347" s="243"/>
      <c r="BM1347" s="243"/>
      <c r="BN1347" s="243"/>
      <c r="BO1347" s="243"/>
      <c r="BP1347" s="243"/>
      <c r="BQ1347" s="243"/>
      <c r="BR1347" s="243"/>
      <c r="BS1347" s="243"/>
    </row>
    <row r="1348" spans="1:71" s="12" customFormat="1" ht="41.25" customHeight="1">
      <c r="A1348" s="178" t="s">
        <v>948</v>
      </c>
      <c r="B1348" s="75" t="str">
        <f ca="1">+UPPER(Tabla1321124[[#This Row],[DESCRIPCIÓN DE LA COMPRA O CONTRATACIÓN]])</f>
        <v>COLECTOR DE SATOS S-10</v>
      </c>
      <c r="C1348" s="39" t="s">
        <v>17</v>
      </c>
      <c r="D1348" s="236">
        <v>1</v>
      </c>
      <c r="E1348" s="236"/>
      <c r="F1348" s="236"/>
      <c r="G1348" s="236"/>
      <c r="H1348" s="240">
        <f>SUM(Tabla1321124[[#This Row],[PRIMER TRIMESTRE]:[CUARTO TRIMESTRE]])</f>
        <v>1</v>
      </c>
      <c r="I1348" s="17">
        <v>92615.85</v>
      </c>
      <c r="J1348" s="17">
        <f t="shared" si="25"/>
        <v>92615.85</v>
      </c>
      <c r="K1348" s="340"/>
      <c r="L1348" s="16" t="s">
        <v>18</v>
      </c>
      <c r="M1348" s="16" t="s">
        <v>22</v>
      </c>
      <c r="N1348" s="16"/>
      <c r="O1348" s="243"/>
      <c r="P1348" s="243"/>
      <c r="Q1348" s="243"/>
      <c r="R1348" s="243"/>
      <c r="S1348" s="243"/>
      <c r="T1348" s="243"/>
      <c r="U1348" s="243"/>
      <c r="V1348" s="243"/>
      <c r="W1348" s="243"/>
      <c r="X1348" s="243"/>
      <c r="Y1348" s="243"/>
      <c r="Z1348" s="243"/>
      <c r="AA1348" s="243"/>
      <c r="AB1348" s="243"/>
      <c r="AC1348" s="243"/>
      <c r="AD1348" s="243"/>
      <c r="AE1348" s="243"/>
      <c r="AF1348" s="243"/>
      <c r="AG1348" s="243"/>
      <c r="AH1348" s="243"/>
      <c r="AI1348" s="243"/>
      <c r="AJ1348" s="243"/>
      <c r="AK1348" s="243"/>
      <c r="AL1348" s="243"/>
      <c r="AM1348" s="243"/>
      <c r="AN1348" s="243"/>
      <c r="AO1348" s="243"/>
      <c r="AP1348" s="243"/>
      <c r="AQ1348" s="243"/>
      <c r="AR1348" s="243"/>
      <c r="AS1348" s="243"/>
      <c r="AT1348" s="243"/>
      <c r="AU1348" s="243"/>
      <c r="AV1348" s="243"/>
      <c r="AW1348" s="243"/>
      <c r="AX1348" s="243"/>
      <c r="AY1348" s="243"/>
      <c r="AZ1348" s="243"/>
      <c r="BA1348" s="243"/>
      <c r="BB1348" s="243"/>
      <c r="BC1348" s="243"/>
      <c r="BD1348" s="243"/>
      <c r="BE1348" s="243"/>
      <c r="BF1348" s="243"/>
      <c r="BG1348" s="243"/>
      <c r="BH1348" s="243"/>
      <c r="BI1348" s="243"/>
      <c r="BJ1348" s="243"/>
      <c r="BK1348" s="243"/>
      <c r="BL1348" s="243"/>
      <c r="BM1348" s="243"/>
      <c r="BN1348" s="243"/>
      <c r="BO1348" s="243"/>
      <c r="BP1348" s="243"/>
      <c r="BQ1348" s="243"/>
      <c r="BR1348" s="243"/>
      <c r="BS1348" s="243"/>
    </row>
    <row r="1349" spans="1:71" s="12" customFormat="1" ht="41.25" customHeight="1">
      <c r="A1349" s="178" t="s">
        <v>948</v>
      </c>
      <c r="B1349" s="75" t="str">
        <f ca="1">+UPPER(Tabla1321124[[#This Row],[DESCRIPCIÓN DE LA COMPRA O CONTRATACIÓN]])</f>
        <v>TRIPODE DE MADERA</v>
      </c>
      <c r="C1349" s="39" t="s">
        <v>17</v>
      </c>
      <c r="D1349" s="236">
        <v>2</v>
      </c>
      <c r="E1349" s="236"/>
      <c r="F1349" s="236"/>
      <c r="G1349" s="236"/>
      <c r="H1349" s="240">
        <f>SUM(Tabla1321124[[#This Row],[PRIMER TRIMESTRE]:[CUARTO TRIMESTRE]])</f>
        <v>2</v>
      </c>
      <c r="I1349" s="17">
        <v>12725</v>
      </c>
      <c r="J1349" s="17">
        <f t="shared" si="25"/>
        <v>25450</v>
      </c>
      <c r="K1349" s="340"/>
      <c r="L1349" s="16" t="s">
        <v>18</v>
      </c>
      <c r="M1349" s="16" t="s">
        <v>22</v>
      </c>
      <c r="N1349" s="16"/>
      <c r="O1349" s="243"/>
      <c r="P1349" s="243"/>
      <c r="Q1349" s="243"/>
      <c r="R1349" s="243"/>
      <c r="S1349" s="243"/>
      <c r="T1349" s="243"/>
      <c r="U1349" s="243"/>
      <c r="V1349" s="243"/>
      <c r="W1349" s="243"/>
      <c r="X1349" s="243"/>
      <c r="Y1349" s="243"/>
      <c r="Z1349" s="243"/>
      <c r="AA1349" s="243"/>
      <c r="AB1349" s="243"/>
      <c r="AC1349" s="243"/>
      <c r="AD1349" s="243"/>
      <c r="AE1349" s="243"/>
      <c r="AF1349" s="243"/>
      <c r="AG1349" s="243"/>
      <c r="AH1349" s="243"/>
      <c r="AI1349" s="243"/>
      <c r="AJ1349" s="243"/>
      <c r="AK1349" s="243"/>
      <c r="AL1349" s="243"/>
      <c r="AM1349" s="243"/>
      <c r="AN1349" s="243"/>
      <c r="AO1349" s="243"/>
      <c r="AP1349" s="243"/>
      <c r="AQ1349" s="243"/>
      <c r="AR1349" s="243"/>
      <c r="AS1349" s="243"/>
      <c r="AT1349" s="243"/>
      <c r="AU1349" s="243"/>
      <c r="AV1349" s="243"/>
      <c r="AW1349" s="243"/>
      <c r="AX1349" s="243"/>
      <c r="AY1349" s="243"/>
      <c r="AZ1349" s="243"/>
      <c r="BA1349" s="243"/>
      <c r="BB1349" s="243"/>
      <c r="BC1349" s="243"/>
      <c r="BD1349" s="243"/>
      <c r="BE1349" s="243"/>
      <c r="BF1349" s="243"/>
      <c r="BG1349" s="243"/>
      <c r="BH1349" s="243"/>
      <c r="BI1349" s="243"/>
      <c r="BJ1349" s="243"/>
      <c r="BK1349" s="243"/>
      <c r="BL1349" s="243"/>
      <c r="BM1349" s="243"/>
      <c r="BN1349" s="243"/>
      <c r="BO1349" s="243"/>
      <c r="BP1349" s="243"/>
      <c r="BQ1349" s="243"/>
      <c r="BR1349" s="243"/>
      <c r="BS1349" s="243"/>
    </row>
    <row r="1350" spans="1:71" s="12" customFormat="1" ht="41.25" customHeight="1">
      <c r="A1350" s="178" t="s">
        <v>948</v>
      </c>
      <c r="B1350" s="75" t="str">
        <f ca="1">+UPPER(Tabla1321124[[#This Row],[DESCRIPCIÓN DE LA COMPRA O CONTRATACIÓN]])</f>
        <v>NIVEL AUTOMATICO AT-B4</v>
      </c>
      <c r="C1350" s="39" t="s">
        <v>17</v>
      </c>
      <c r="D1350" s="236">
        <v>1</v>
      </c>
      <c r="E1350" s="236"/>
      <c r="F1350" s="236"/>
      <c r="G1350" s="236"/>
      <c r="H1350" s="240">
        <f>SUM(Tabla1321124[[#This Row],[PRIMER TRIMESTRE]:[CUARTO TRIMESTRE]])</f>
        <v>1</v>
      </c>
      <c r="I1350" s="17">
        <v>200003.83</v>
      </c>
      <c r="J1350" s="17">
        <f t="shared" si="25"/>
        <v>200003.83</v>
      </c>
      <c r="K1350" s="340"/>
      <c r="L1350" s="16" t="s">
        <v>18</v>
      </c>
      <c r="M1350" s="16" t="s">
        <v>22</v>
      </c>
      <c r="N1350" s="16"/>
      <c r="O1350" s="243"/>
      <c r="P1350" s="243"/>
      <c r="Q1350" s="243"/>
      <c r="R1350" s="243"/>
      <c r="S1350" s="243"/>
      <c r="T1350" s="243"/>
      <c r="U1350" s="243"/>
      <c r="V1350" s="243"/>
      <c r="W1350" s="243"/>
      <c r="X1350" s="243"/>
      <c r="Y1350" s="243"/>
      <c r="Z1350" s="243"/>
      <c r="AA1350" s="243"/>
      <c r="AB1350" s="243"/>
      <c r="AC1350" s="243"/>
      <c r="AD1350" s="243"/>
      <c r="AE1350" s="243"/>
      <c r="AF1350" s="243"/>
      <c r="AG1350" s="243"/>
      <c r="AH1350" s="243"/>
      <c r="AI1350" s="243"/>
      <c r="AJ1350" s="243"/>
      <c r="AK1350" s="243"/>
      <c r="AL1350" s="243"/>
      <c r="AM1350" s="243"/>
      <c r="AN1350" s="243"/>
      <c r="AO1350" s="243"/>
      <c r="AP1350" s="243"/>
      <c r="AQ1350" s="243"/>
      <c r="AR1350" s="243"/>
      <c r="AS1350" s="243"/>
      <c r="AT1350" s="243"/>
      <c r="AU1350" s="243"/>
      <c r="AV1350" s="243"/>
      <c r="AW1350" s="243"/>
      <c r="AX1350" s="243"/>
      <c r="AY1350" s="243"/>
      <c r="AZ1350" s="243"/>
      <c r="BA1350" s="243"/>
      <c r="BB1350" s="243"/>
      <c r="BC1350" s="243"/>
      <c r="BD1350" s="243"/>
      <c r="BE1350" s="243"/>
      <c r="BF1350" s="243"/>
      <c r="BG1350" s="243"/>
      <c r="BH1350" s="243"/>
      <c r="BI1350" s="243"/>
      <c r="BJ1350" s="243"/>
      <c r="BK1350" s="243"/>
      <c r="BL1350" s="243"/>
      <c r="BM1350" s="243"/>
      <c r="BN1350" s="243"/>
      <c r="BO1350" s="243"/>
      <c r="BP1350" s="243"/>
      <c r="BQ1350" s="243"/>
      <c r="BR1350" s="243"/>
      <c r="BS1350" s="243"/>
    </row>
    <row r="1351" spans="1:71" s="12" customFormat="1" ht="41.25" customHeight="1">
      <c r="A1351" s="178" t="s">
        <v>948</v>
      </c>
      <c r="B1351" s="75" t="str">
        <f ca="1">+UPPER(Tabla1321124[[#This Row],[DESCRIPCIÓN DE LA COMPRA O CONTRATACIÓN]])</f>
        <v>MIRA DE 5M</v>
      </c>
      <c r="C1351" s="39" t="s">
        <v>17</v>
      </c>
      <c r="D1351" s="236">
        <v>1</v>
      </c>
      <c r="E1351" s="236"/>
      <c r="F1351" s="236"/>
      <c r="G1351" s="236"/>
      <c r="H1351" s="240">
        <f>SUM(Tabla1321124[[#This Row],[PRIMER TRIMESTRE]:[CUARTO TRIMESTRE]])</f>
        <v>1</v>
      </c>
      <c r="I1351" s="17">
        <v>5550.21</v>
      </c>
      <c r="J1351" s="17">
        <f t="shared" si="25"/>
        <v>5550.21</v>
      </c>
      <c r="K1351" s="340"/>
      <c r="L1351" s="16" t="s">
        <v>18</v>
      </c>
      <c r="M1351" s="16" t="s">
        <v>22</v>
      </c>
      <c r="N1351" s="16"/>
      <c r="O1351" s="243"/>
      <c r="P1351" s="243"/>
      <c r="Q1351" s="243"/>
      <c r="R1351" s="243"/>
      <c r="S1351" s="243"/>
      <c r="T1351" s="243"/>
      <c r="U1351" s="243"/>
      <c r="V1351" s="243"/>
      <c r="W1351" s="243"/>
      <c r="X1351" s="243"/>
      <c r="Y1351" s="243"/>
      <c r="Z1351" s="243"/>
      <c r="AA1351" s="243"/>
      <c r="AB1351" s="243"/>
      <c r="AC1351" s="243"/>
      <c r="AD1351" s="243"/>
      <c r="AE1351" s="243"/>
      <c r="AF1351" s="243"/>
      <c r="AG1351" s="243"/>
      <c r="AH1351" s="243"/>
      <c r="AI1351" s="243"/>
      <c r="AJ1351" s="243"/>
      <c r="AK1351" s="243"/>
      <c r="AL1351" s="243"/>
      <c r="AM1351" s="243"/>
      <c r="AN1351" s="243"/>
      <c r="AO1351" s="243"/>
      <c r="AP1351" s="243"/>
      <c r="AQ1351" s="243"/>
      <c r="AR1351" s="243"/>
      <c r="AS1351" s="243"/>
      <c r="AT1351" s="243"/>
      <c r="AU1351" s="243"/>
      <c r="AV1351" s="243"/>
      <c r="AW1351" s="243"/>
      <c r="AX1351" s="243"/>
      <c r="AY1351" s="243"/>
      <c r="AZ1351" s="243"/>
      <c r="BA1351" s="243"/>
      <c r="BB1351" s="243"/>
      <c r="BC1351" s="243"/>
      <c r="BD1351" s="243"/>
      <c r="BE1351" s="243"/>
      <c r="BF1351" s="243"/>
      <c r="BG1351" s="243"/>
      <c r="BH1351" s="243"/>
      <c r="BI1351" s="243"/>
      <c r="BJ1351" s="243"/>
      <c r="BK1351" s="243"/>
      <c r="BL1351" s="243"/>
      <c r="BM1351" s="243"/>
      <c r="BN1351" s="243"/>
      <c r="BO1351" s="243"/>
      <c r="BP1351" s="243"/>
      <c r="BQ1351" s="243"/>
      <c r="BR1351" s="243"/>
      <c r="BS1351" s="243"/>
    </row>
    <row r="1352" spans="1:71" s="12" customFormat="1" ht="41.25" customHeight="1">
      <c r="A1352" s="178" t="s">
        <v>948</v>
      </c>
      <c r="B1352" s="75" t="str">
        <f ca="1">+UPPER(Tabla1321124[[#This Row],[DESCRIPCIÓN DE LA COMPRA O CONTRATACIÓN]])</f>
        <v>JALON PORTA-PRISMA (3.7M)</v>
      </c>
      <c r="C1352" s="39" t="s">
        <v>17</v>
      </c>
      <c r="D1352" s="236">
        <v>1</v>
      </c>
      <c r="E1352" s="236"/>
      <c r="F1352" s="236"/>
      <c r="G1352" s="236"/>
      <c r="H1352" s="240">
        <f>SUM(Tabla1321124[[#This Row],[PRIMER TRIMESTRE]:[CUARTO TRIMESTRE]])</f>
        <v>1</v>
      </c>
      <c r="I1352" s="17">
        <v>10830</v>
      </c>
      <c r="J1352" s="17">
        <f t="shared" si="25"/>
        <v>10830</v>
      </c>
      <c r="K1352" s="340"/>
      <c r="L1352" s="16" t="s">
        <v>18</v>
      </c>
      <c r="M1352" s="16" t="s">
        <v>22</v>
      </c>
      <c r="N1352" s="16"/>
      <c r="O1352" s="243"/>
      <c r="P1352" s="243"/>
      <c r="Q1352" s="243"/>
      <c r="R1352" s="243"/>
      <c r="S1352" s="243"/>
      <c r="T1352" s="243"/>
      <c r="U1352" s="243"/>
      <c r="V1352" s="243"/>
      <c r="W1352" s="243"/>
      <c r="X1352" s="243"/>
      <c r="Y1352" s="243"/>
      <c r="Z1352" s="243"/>
      <c r="AA1352" s="243"/>
      <c r="AB1352" s="243"/>
      <c r="AC1352" s="243"/>
      <c r="AD1352" s="243"/>
      <c r="AE1352" s="243"/>
      <c r="AF1352" s="243"/>
      <c r="AG1352" s="243"/>
      <c r="AH1352" s="243"/>
      <c r="AI1352" s="243"/>
      <c r="AJ1352" s="243"/>
      <c r="AK1352" s="243"/>
      <c r="AL1352" s="243"/>
      <c r="AM1352" s="243"/>
      <c r="AN1352" s="243"/>
      <c r="AO1352" s="243"/>
      <c r="AP1352" s="243"/>
      <c r="AQ1352" s="243"/>
      <c r="AR1352" s="243"/>
      <c r="AS1352" s="243"/>
      <c r="AT1352" s="243"/>
      <c r="AU1352" s="243"/>
      <c r="AV1352" s="243"/>
      <c r="AW1352" s="243"/>
      <c r="AX1352" s="243"/>
      <c r="AY1352" s="243"/>
      <c r="AZ1352" s="243"/>
      <c r="BA1352" s="243"/>
      <c r="BB1352" s="243"/>
      <c r="BC1352" s="243"/>
      <c r="BD1352" s="243"/>
      <c r="BE1352" s="243"/>
      <c r="BF1352" s="243"/>
      <c r="BG1352" s="243"/>
      <c r="BH1352" s="243"/>
      <c r="BI1352" s="243"/>
      <c r="BJ1352" s="243"/>
      <c r="BK1352" s="243"/>
      <c r="BL1352" s="243"/>
      <c r="BM1352" s="243"/>
      <c r="BN1352" s="243"/>
      <c r="BO1352" s="243"/>
      <c r="BP1352" s="243"/>
      <c r="BQ1352" s="243"/>
      <c r="BR1352" s="243"/>
      <c r="BS1352" s="243"/>
    </row>
    <row r="1353" spans="1:71" s="12" customFormat="1" ht="41.25" customHeight="1">
      <c r="A1353" s="178" t="s">
        <v>948</v>
      </c>
      <c r="B1353" s="75" t="str">
        <f ca="1">+UPPER(Tabla1321124[[#This Row],[DESCRIPCIÓN DE LA COMPRA O CONTRATACIÓN]])</f>
        <v>PORTA PRISMA C/TARJETA</v>
      </c>
      <c r="C1353" s="39" t="s">
        <v>17</v>
      </c>
      <c r="D1353" s="236">
        <v>2</v>
      </c>
      <c r="E1353" s="236"/>
      <c r="F1353" s="236"/>
      <c r="G1353" s="236"/>
      <c r="H1353" s="240">
        <f>SUM(Tabla1321124[[#This Row],[PRIMER TRIMESTRE]:[CUARTO TRIMESTRE]])</f>
        <v>2</v>
      </c>
      <c r="I1353" s="17">
        <v>8146</v>
      </c>
      <c r="J1353" s="17">
        <f t="shared" si="25"/>
        <v>16292</v>
      </c>
      <c r="K1353" s="340"/>
      <c r="L1353" s="16" t="s">
        <v>18</v>
      </c>
      <c r="M1353" s="16" t="s">
        <v>22</v>
      </c>
      <c r="N1353" s="16"/>
      <c r="O1353" s="243"/>
      <c r="P1353" s="243"/>
      <c r="Q1353" s="243"/>
      <c r="R1353" s="243"/>
      <c r="S1353" s="243"/>
      <c r="T1353" s="243"/>
      <c r="U1353" s="243"/>
      <c r="V1353" s="243"/>
      <c r="W1353" s="243"/>
      <c r="X1353" s="243"/>
      <c r="Y1353" s="243"/>
      <c r="Z1353" s="243"/>
      <c r="AA1353" s="243"/>
      <c r="AB1353" s="243"/>
      <c r="AC1353" s="243"/>
      <c r="AD1353" s="243"/>
      <c r="AE1353" s="243"/>
      <c r="AF1353" s="243"/>
      <c r="AG1353" s="243"/>
      <c r="AH1353" s="243"/>
      <c r="AI1353" s="243"/>
      <c r="AJ1353" s="243"/>
      <c r="AK1353" s="243"/>
      <c r="AL1353" s="243"/>
      <c r="AM1353" s="243"/>
      <c r="AN1353" s="243"/>
      <c r="AO1353" s="243"/>
      <c r="AP1353" s="243"/>
      <c r="AQ1353" s="243"/>
      <c r="AR1353" s="243"/>
      <c r="AS1353" s="243"/>
      <c r="AT1353" s="243"/>
      <c r="AU1353" s="243"/>
      <c r="AV1353" s="243"/>
      <c r="AW1353" s="243"/>
      <c r="AX1353" s="243"/>
      <c r="AY1353" s="243"/>
      <c r="AZ1353" s="243"/>
      <c r="BA1353" s="243"/>
      <c r="BB1353" s="243"/>
      <c r="BC1353" s="243"/>
      <c r="BD1353" s="243"/>
      <c r="BE1353" s="243"/>
      <c r="BF1353" s="243"/>
      <c r="BG1353" s="243"/>
      <c r="BH1353" s="243"/>
      <c r="BI1353" s="243"/>
      <c r="BJ1353" s="243"/>
      <c r="BK1353" s="243"/>
      <c r="BL1353" s="243"/>
      <c r="BM1353" s="243"/>
      <c r="BN1353" s="243"/>
      <c r="BO1353" s="243"/>
      <c r="BP1353" s="243"/>
      <c r="BQ1353" s="243"/>
      <c r="BR1353" s="243"/>
      <c r="BS1353" s="243"/>
    </row>
    <row r="1354" spans="1:71" s="12" customFormat="1" ht="41.25" customHeight="1">
      <c r="A1354" s="178" t="s">
        <v>948</v>
      </c>
      <c r="B1354" s="75" t="str">
        <f ca="1">+UPPER(Tabla1321124[[#This Row],[DESCRIPCIÓN DE LA COMPRA O CONTRATACIÓN]])</f>
        <v>PRISMA</v>
      </c>
      <c r="C1354" s="39" t="s">
        <v>17</v>
      </c>
      <c r="D1354" s="236">
        <v>2</v>
      </c>
      <c r="E1354" s="236"/>
      <c r="F1354" s="236"/>
      <c r="G1354" s="236"/>
      <c r="H1354" s="240">
        <f>SUM(Tabla1321124[[#This Row],[PRIMER TRIMESTRE]:[CUARTO TRIMESTRE]])</f>
        <v>2</v>
      </c>
      <c r="I1354" s="17">
        <v>13968.15</v>
      </c>
      <c r="J1354" s="17">
        <f t="shared" si="25"/>
        <v>27936.3</v>
      </c>
      <c r="K1354" s="340"/>
      <c r="L1354" s="16" t="s">
        <v>18</v>
      </c>
      <c r="M1354" s="16" t="s">
        <v>22</v>
      </c>
      <c r="N1354" s="16"/>
      <c r="O1354" s="243"/>
      <c r="P1354" s="243"/>
      <c r="Q1354" s="243"/>
      <c r="R1354" s="243"/>
      <c r="S1354" s="243"/>
      <c r="T1354" s="243"/>
      <c r="U1354" s="243"/>
      <c r="V1354" s="243"/>
      <c r="W1354" s="243"/>
      <c r="X1354" s="243"/>
      <c r="Y1354" s="243"/>
      <c r="Z1354" s="243"/>
      <c r="AA1354" s="243"/>
      <c r="AB1354" s="243"/>
      <c r="AC1354" s="243"/>
      <c r="AD1354" s="243"/>
      <c r="AE1354" s="243"/>
      <c r="AF1354" s="243"/>
      <c r="AG1354" s="243"/>
      <c r="AH1354" s="243"/>
      <c r="AI1354" s="243"/>
      <c r="AJ1354" s="243"/>
      <c r="AK1354" s="243"/>
      <c r="AL1354" s="243"/>
      <c r="AM1354" s="243"/>
      <c r="AN1354" s="243"/>
      <c r="AO1354" s="243"/>
      <c r="AP1354" s="243"/>
      <c r="AQ1354" s="243"/>
      <c r="AR1354" s="243"/>
      <c r="AS1354" s="243"/>
      <c r="AT1354" s="243"/>
      <c r="AU1354" s="243"/>
      <c r="AV1354" s="243"/>
      <c r="AW1354" s="243"/>
      <c r="AX1354" s="243"/>
      <c r="AY1354" s="243"/>
      <c r="AZ1354" s="243"/>
      <c r="BA1354" s="243"/>
      <c r="BB1354" s="243"/>
      <c r="BC1354" s="243"/>
      <c r="BD1354" s="243"/>
      <c r="BE1354" s="243"/>
      <c r="BF1354" s="243"/>
      <c r="BG1354" s="243"/>
      <c r="BH1354" s="243"/>
      <c r="BI1354" s="243"/>
      <c r="BJ1354" s="243"/>
      <c r="BK1354" s="243"/>
      <c r="BL1354" s="243"/>
      <c r="BM1354" s="243"/>
      <c r="BN1354" s="243"/>
      <c r="BO1354" s="243"/>
      <c r="BP1354" s="243"/>
      <c r="BQ1354" s="243"/>
      <c r="BR1354" s="243"/>
      <c r="BS1354" s="243"/>
    </row>
    <row r="1355" spans="1:71" s="12" customFormat="1" ht="41.25" customHeight="1">
      <c r="A1355" s="178" t="s">
        <v>948</v>
      </c>
      <c r="B1355" s="75" t="str">
        <f ca="1">+UPPER(Tabla1321124[[#This Row],[DESCRIPCIÓN DE LA COMPRA O CONTRATACIÓN]])</f>
        <v>CINTA METRICA DE 5 MTS</v>
      </c>
      <c r="C1355" s="39" t="s">
        <v>17</v>
      </c>
      <c r="D1355" s="236"/>
      <c r="E1355" s="236">
        <v>5</v>
      </c>
      <c r="F1355" s="236"/>
      <c r="G1355" s="236"/>
      <c r="H1355" s="240">
        <f>SUM(Tabla1321124[[#This Row],[PRIMER TRIMESTRE]:[CUARTO TRIMESTRE]])</f>
        <v>5</v>
      </c>
      <c r="I1355" s="17">
        <v>195</v>
      </c>
      <c r="J1355" s="17">
        <f t="shared" si="25"/>
        <v>975</v>
      </c>
      <c r="K1355" s="340"/>
      <c r="L1355" s="16" t="s">
        <v>18</v>
      </c>
      <c r="M1355" s="16" t="s">
        <v>22</v>
      </c>
      <c r="N1355" s="16"/>
      <c r="O1355" s="243"/>
      <c r="P1355" s="243"/>
      <c r="Q1355" s="243"/>
      <c r="R1355" s="243"/>
      <c r="S1355" s="243"/>
      <c r="T1355" s="243"/>
      <c r="U1355" s="243"/>
      <c r="V1355" s="243"/>
      <c r="W1355" s="243"/>
      <c r="X1355" s="243"/>
      <c r="Y1355" s="243"/>
      <c r="Z1355" s="243"/>
      <c r="AA1355" s="243"/>
      <c r="AB1355" s="243"/>
      <c r="AC1355" s="243"/>
      <c r="AD1355" s="243"/>
      <c r="AE1355" s="243"/>
      <c r="AF1355" s="243"/>
      <c r="AG1355" s="243"/>
      <c r="AH1355" s="243"/>
      <c r="AI1355" s="243"/>
      <c r="AJ1355" s="243"/>
      <c r="AK1355" s="243"/>
      <c r="AL1355" s="243"/>
      <c r="AM1355" s="243"/>
      <c r="AN1355" s="243"/>
      <c r="AO1355" s="243"/>
      <c r="AP1355" s="243"/>
      <c r="AQ1355" s="243"/>
      <c r="AR1355" s="243"/>
      <c r="AS1355" s="243"/>
      <c r="AT1355" s="243"/>
      <c r="AU1355" s="243"/>
      <c r="AV1355" s="243"/>
      <c r="AW1355" s="243"/>
      <c r="AX1355" s="243"/>
      <c r="AY1355" s="243"/>
      <c r="AZ1355" s="243"/>
      <c r="BA1355" s="243"/>
      <c r="BB1355" s="243"/>
      <c r="BC1355" s="243"/>
      <c r="BD1355" s="243"/>
      <c r="BE1355" s="243"/>
      <c r="BF1355" s="243"/>
      <c r="BG1355" s="243"/>
      <c r="BH1355" s="243"/>
      <c r="BI1355" s="243"/>
      <c r="BJ1355" s="243"/>
      <c r="BK1355" s="243"/>
      <c r="BL1355" s="243"/>
      <c r="BM1355" s="243"/>
      <c r="BN1355" s="243"/>
      <c r="BO1355" s="243"/>
      <c r="BP1355" s="243"/>
      <c r="BQ1355" s="243"/>
      <c r="BR1355" s="243"/>
      <c r="BS1355" s="243"/>
    </row>
    <row r="1356" spans="1:71" s="12" customFormat="1" ht="41.25" customHeight="1">
      <c r="A1356" s="178" t="s">
        <v>948</v>
      </c>
      <c r="B1356" s="75" t="str">
        <f ca="1">+UPPER(Tabla1321124[[#This Row],[DESCRIPCIÓN DE LA COMPRA O CONTRATACIÓN]])</f>
        <v>CINTA METRICA DE 20 MTS</v>
      </c>
      <c r="C1356" s="39" t="s">
        <v>17</v>
      </c>
      <c r="D1356" s="236"/>
      <c r="E1356" s="236">
        <v>3</v>
      </c>
      <c r="F1356" s="236"/>
      <c r="G1356" s="236"/>
      <c r="H1356" s="240">
        <f>SUM(Tabla1321124[[#This Row],[PRIMER TRIMESTRE]:[CUARTO TRIMESTRE]])</f>
        <v>3</v>
      </c>
      <c r="I1356" s="17">
        <v>1300</v>
      </c>
      <c r="J1356" s="17">
        <f t="shared" si="25"/>
        <v>3900</v>
      </c>
      <c r="K1356" s="340"/>
      <c r="L1356" s="16" t="s">
        <v>18</v>
      </c>
      <c r="M1356" s="16" t="s">
        <v>22</v>
      </c>
      <c r="N1356" s="16"/>
      <c r="O1356" s="243"/>
      <c r="P1356" s="243"/>
      <c r="Q1356" s="243"/>
      <c r="R1356" s="243"/>
      <c r="S1356" s="243"/>
      <c r="T1356" s="243"/>
      <c r="U1356" s="243"/>
      <c r="V1356" s="243"/>
      <c r="W1356" s="243"/>
      <c r="X1356" s="243"/>
      <c r="Y1356" s="243"/>
      <c r="Z1356" s="243"/>
      <c r="AA1356" s="243"/>
      <c r="AB1356" s="243"/>
      <c r="AC1356" s="243"/>
      <c r="AD1356" s="243"/>
      <c r="AE1356" s="243"/>
      <c r="AF1356" s="243"/>
      <c r="AG1356" s="243"/>
      <c r="AH1356" s="243"/>
      <c r="AI1356" s="243"/>
      <c r="AJ1356" s="243"/>
      <c r="AK1356" s="243"/>
      <c r="AL1356" s="243"/>
      <c r="AM1356" s="243"/>
      <c r="AN1356" s="243"/>
      <c r="AO1356" s="243"/>
      <c r="AP1356" s="243"/>
      <c r="AQ1356" s="243"/>
      <c r="AR1356" s="243"/>
      <c r="AS1356" s="243"/>
      <c r="AT1356" s="243"/>
      <c r="AU1356" s="243"/>
      <c r="AV1356" s="243"/>
      <c r="AW1356" s="243"/>
      <c r="AX1356" s="243"/>
      <c r="AY1356" s="243"/>
      <c r="AZ1356" s="243"/>
      <c r="BA1356" s="243"/>
      <c r="BB1356" s="243"/>
      <c r="BC1356" s="243"/>
      <c r="BD1356" s="243"/>
      <c r="BE1356" s="243"/>
      <c r="BF1356" s="243"/>
      <c r="BG1356" s="243"/>
      <c r="BH1356" s="243"/>
      <c r="BI1356" s="243"/>
      <c r="BJ1356" s="243"/>
      <c r="BK1356" s="243"/>
      <c r="BL1356" s="243"/>
      <c r="BM1356" s="243"/>
      <c r="BN1356" s="243"/>
      <c r="BO1356" s="243"/>
      <c r="BP1356" s="243"/>
      <c r="BQ1356" s="243"/>
      <c r="BR1356" s="243"/>
      <c r="BS1356" s="243"/>
    </row>
    <row r="1357" spans="1:71" s="12" customFormat="1" ht="41.25" customHeight="1">
      <c r="A1357" s="178" t="s">
        <v>948</v>
      </c>
      <c r="B1357" s="75" t="str">
        <f ca="1">+UPPER(Tabla1321124[[#This Row],[DESCRIPCIÓN DE LA COMPRA O CONTRATACIÓN]])</f>
        <v>CASCO PROTECTOR</v>
      </c>
      <c r="C1357" s="39" t="s">
        <v>17</v>
      </c>
      <c r="D1357" s="236">
        <v>5</v>
      </c>
      <c r="E1357" s="236"/>
      <c r="F1357" s="236"/>
      <c r="G1357" s="236"/>
      <c r="H1357" s="240">
        <f>SUM(Tabla1321124[[#This Row],[PRIMER TRIMESTRE]:[CUARTO TRIMESTRE]])</f>
        <v>5</v>
      </c>
      <c r="I1357" s="17">
        <v>188</v>
      </c>
      <c r="J1357" s="17">
        <f t="shared" si="25"/>
        <v>940</v>
      </c>
      <c r="K1357" s="340"/>
      <c r="L1357" s="16" t="s">
        <v>18</v>
      </c>
      <c r="M1357" s="16" t="s">
        <v>22</v>
      </c>
      <c r="N1357" s="16"/>
      <c r="O1357" s="243"/>
      <c r="P1357" s="243"/>
      <c r="Q1357" s="243"/>
      <c r="R1357" s="243"/>
      <c r="S1357" s="243"/>
      <c r="T1357" s="243"/>
      <c r="U1357" s="243"/>
      <c r="V1357" s="243"/>
      <c r="W1357" s="243"/>
      <c r="X1357" s="243"/>
      <c r="Y1357" s="243"/>
      <c r="Z1357" s="243"/>
      <c r="AA1357" s="243"/>
      <c r="AB1357" s="243"/>
      <c r="AC1357" s="243"/>
      <c r="AD1357" s="243"/>
      <c r="AE1357" s="243"/>
      <c r="AF1357" s="243"/>
      <c r="AG1357" s="243"/>
      <c r="AH1357" s="243"/>
      <c r="AI1357" s="243"/>
      <c r="AJ1357" s="243"/>
      <c r="AK1357" s="243"/>
      <c r="AL1357" s="243"/>
      <c r="AM1357" s="243"/>
      <c r="AN1357" s="243"/>
      <c r="AO1357" s="243"/>
      <c r="AP1357" s="243"/>
      <c r="AQ1357" s="243"/>
      <c r="AR1357" s="243"/>
      <c r="AS1357" s="243"/>
      <c r="AT1357" s="243"/>
      <c r="AU1357" s="243"/>
      <c r="AV1357" s="243"/>
      <c r="AW1357" s="243"/>
      <c r="AX1357" s="243"/>
      <c r="AY1357" s="243"/>
      <c r="AZ1357" s="243"/>
      <c r="BA1357" s="243"/>
      <c r="BB1357" s="243"/>
      <c r="BC1357" s="243"/>
      <c r="BD1357" s="243"/>
      <c r="BE1357" s="243"/>
      <c r="BF1357" s="243"/>
      <c r="BG1357" s="243"/>
      <c r="BH1357" s="243"/>
      <c r="BI1357" s="243"/>
      <c r="BJ1357" s="243"/>
      <c r="BK1357" s="243"/>
      <c r="BL1357" s="243"/>
      <c r="BM1357" s="243"/>
      <c r="BN1357" s="243"/>
      <c r="BO1357" s="243"/>
      <c r="BP1357" s="243"/>
      <c r="BQ1357" s="243"/>
      <c r="BR1357" s="243"/>
      <c r="BS1357" s="243"/>
    </row>
    <row r="1358" spans="1:71" s="12" customFormat="1" ht="41.25" customHeight="1">
      <c r="A1358" s="178" t="s">
        <v>948</v>
      </c>
      <c r="B1358" s="75" t="str">
        <f ca="1">+UPPER(Tabla1321124[[#This Row],[DESCRIPCIÓN DE LA COMPRA O CONTRATACIÓN]])</f>
        <v>PALA CUADRADA</v>
      </c>
      <c r="C1358" s="39" t="s">
        <v>17</v>
      </c>
      <c r="D1358" s="236">
        <v>2</v>
      </c>
      <c r="E1358" s="236"/>
      <c r="F1358" s="236"/>
      <c r="G1358" s="236"/>
      <c r="H1358" s="240">
        <f>SUM(Tabla1321124[[#This Row],[PRIMER TRIMESTRE]:[CUARTO TRIMESTRE]])</f>
        <v>2</v>
      </c>
      <c r="I1358" s="17">
        <v>230</v>
      </c>
      <c r="J1358" s="17">
        <f t="shared" si="25"/>
        <v>460</v>
      </c>
      <c r="K1358" s="340"/>
      <c r="L1358" s="16" t="s">
        <v>18</v>
      </c>
      <c r="M1358" s="16" t="s">
        <v>22</v>
      </c>
      <c r="N1358" s="16"/>
      <c r="O1358" s="243"/>
      <c r="P1358" s="243"/>
      <c r="Q1358" s="243"/>
      <c r="R1358" s="243"/>
      <c r="S1358" s="243"/>
      <c r="T1358" s="243"/>
      <c r="U1358" s="243"/>
      <c r="V1358" s="243"/>
      <c r="W1358" s="243"/>
      <c r="X1358" s="243"/>
      <c r="Y1358" s="243"/>
      <c r="Z1358" s="243"/>
      <c r="AA1358" s="243"/>
      <c r="AB1358" s="243"/>
      <c r="AC1358" s="243"/>
      <c r="AD1358" s="243"/>
      <c r="AE1358" s="243"/>
      <c r="AF1358" s="243"/>
      <c r="AG1358" s="243"/>
      <c r="AH1358" s="243"/>
      <c r="AI1358" s="243"/>
      <c r="AJ1358" s="243"/>
      <c r="AK1358" s="243"/>
      <c r="AL1358" s="243"/>
      <c r="AM1358" s="243"/>
      <c r="AN1358" s="243"/>
      <c r="AO1358" s="243"/>
      <c r="AP1358" s="243"/>
      <c r="AQ1358" s="243"/>
      <c r="AR1358" s="243"/>
      <c r="AS1358" s="243"/>
      <c r="AT1358" s="243"/>
      <c r="AU1358" s="243"/>
      <c r="AV1358" s="243"/>
      <c r="AW1358" s="243"/>
      <c r="AX1358" s="243"/>
      <c r="AY1358" s="243"/>
      <c r="AZ1358" s="243"/>
      <c r="BA1358" s="243"/>
      <c r="BB1358" s="243"/>
      <c r="BC1358" s="243"/>
      <c r="BD1358" s="243"/>
      <c r="BE1358" s="243"/>
      <c r="BF1358" s="243"/>
      <c r="BG1358" s="243"/>
      <c r="BH1358" s="243"/>
      <c r="BI1358" s="243"/>
      <c r="BJ1358" s="243"/>
      <c r="BK1358" s="243"/>
      <c r="BL1358" s="243"/>
      <c r="BM1358" s="243"/>
      <c r="BN1358" s="243"/>
      <c r="BO1358" s="243"/>
      <c r="BP1358" s="243"/>
      <c r="BQ1358" s="243"/>
      <c r="BR1358" s="243"/>
      <c r="BS1358" s="243"/>
    </row>
    <row r="1359" spans="1:71" s="12" customFormat="1" ht="41.25" customHeight="1">
      <c r="A1359" s="178" t="s">
        <v>948</v>
      </c>
      <c r="B1359" s="75" t="str">
        <f ca="1">+UPPER(Tabla1321124[[#This Row],[DESCRIPCIÓN DE LA COMPRA O CONTRATACIÓN]])</f>
        <v>ZAPAPICO 5 LBS</v>
      </c>
      <c r="C1359" s="39" t="s">
        <v>17</v>
      </c>
      <c r="D1359" s="236">
        <v>2</v>
      </c>
      <c r="E1359" s="236"/>
      <c r="F1359" s="236"/>
      <c r="G1359" s="236"/>
      <c r="H1359" s="240">
        <f>SUM(Tabla1321124[[#This Row],[PRIMER TRIMESTRE]:[CUARTO TRIMESTRE]])</f>
        <v>2</v>
      </c>
      <c r="I1359" s="17">
        <v>340</v>
      </c>
      <c r="J1359" s="17">
        <f t="shared" si="25"/>
        <v>680</v>
      </c>
      <c r="K1359" s="340"/>
      <c r="L1359" s="16" t="s">
        <v>18</v>
      </c>
      <c r="M1359" s="16" t="s">
        <v>22</v>
      </c>
      <c r="N1359" s="16"/>
      <c r="O1359" s="243"/>
      <c r="P1359" s="243"/>
      <c r="Q1359" s="243"/>
      <c r="R1359" s="243"/>
      <c r="S1359" s="243"/>
      <c r="T1359" s="243"/>
      <c r="U1359" s="243"/>
      <c r="V1359" s="243"/>
      <c r="W1359" s="243"/>
      <c r="X1359" s="243"/>
      <c r="Y1359" s="243"/>
      <c r="Z1359" s="243"/>
      <c r="AA1359" s="243"/>
      <c r="AB1359" s="243"/>
      <c r="AC1359" s="243"/>
      <c r="AD1359" s="243"/>
      <c r="AE1359" s="243"/>
      <c r="AF1359" s="243"/>
      <c r="AG1359" s="243"/>
      <c r="AH1359" s="243"/>
      <c r="AI1359" s="243"/>
      <c r="AJ1359" s="243"/>
      <c r="AK1359" s="243"/>
      <c r="AL1359" s="243"/>
      <c r="AM1359" s="243"/>
      <c r="AN1359" s="243"/>
      <c r="AO1359" s="243"/>
      <c r="AP1359" s="243"/>
      <c r="AQ1359" s="243"/>
      <c r="AR1359" s="243"/>
      <c r="AS1359" s="243"/>
      <c r="AT1359" s="243"/>
      <c r="AU1359" s="243"/>
      <c r="AV1359" s="243"/>
      <c r="AW1359" s="243"/>
      <c r="AX1359" s="243"/>
      <c r="AY1359" s="243"/>
      <c r="AZ1359" s="243"/>
      <c r="BA1359" s="243"/>
      <c r="BB1359" s="243"/>
      <c r="BC1359" s="243"/>
      <c r="BD1359" s="243"/>
      <c r="BE1359" s="243"/>
      <c r="BF1359" s="243"/>
      <c r="BG1359" s="243"/>
      <c r="BH1359" s="243"/>
      <c r="BI1359" s="243"/>
      <c r="BJ1359" s="243"/>
      <c r="BK1359" s="243"/>
      <c r="BL1359" s="243"/>
      <c r="BM1359" s="243"/>
      <c r="BN1359" s="243"/>
      <c r="BO1359" s="243"/>
      <c r="BP1359" s="243"/>
      <c r="BQ1359" s="243"/>
      <c r="BR1359" s="243"/>
      <c r="BS1359" s="243"/>
    </row>
    <row r="1360" spans="1:71" s="12" customFormat="1" ht="41.25" customHeight="1">
      <c r="A1360" s="178" t="s">
        <v>948</v>
      </c>
      <c r="B1360" s="75" t="str">
        <f ca="1">+UPPER(Tabla1321124[[#This Row],[DESCRIPCIÓN DE LA COMPRA O CONTRATACIÓN]])</f>
        <v>MACHETE TRAMONTINA</v>
      </c>
      <c r="C1360" s="39" t="s">
        <v>17</v>
      </c>
      <c r="D1360" s="236">
        <v>2</v>
      </c>
      <c r="E1360" s="236"/>
      <c r="F1360" s="236"/>
      <c r="G1360" s="236"/>
      <c r="H1360" s="240">
        <f>SUM(Tabla1321124[[#This Row],[PRIMER TRIMESTRE]:[CUARTO TRIMESTRE]])</f>
        <v>2</v>
      </c>
      <c r="I1360" s="17">
        <v>216</v>
      </c>
      <c r="J1360" s="17">
        <f t="shared" si="25"/>
        <v>432</v>
      </c>
      <c r="K1360" s="340"/>
      <c r="L1360" s="16" t="s">
        <v>18</v>
      </c>
      <c r="M1360" s="16" t="s">
        <v>22</v>
      </c>
      <c r="N1360" s="16"/>
      <c r="O1360" s="243"/>
      <c r="P1360" s="243"/>
      <c r="Q1360" s="243"/>
      <c r="R1360" s="243"/>
      <c r="S1360" s="243"/>
      <c r="T1360" s="243"/>
      <c r="U1360" s="243"/>
      <c r="V1360" s="243"/>
      <c r="W1360" s="243"/>
      <c r="X1360" s="243"/>
      <c r="Y1360" s="243"/>
      <c r="Z1360" s="243"/>
      <c r="AA1360" s="243"/>
      <c r="AB1360" s="243"/>
      <c r="AC1360" s="243"/>
      <c r="AD1360" s="243"/>
      <c r="AE1360" s="243"/>
      <c r="AF1360" s="243"/>
      <c r="AG1360" s="243"/>
      <c r="AH1360" s="243"/>
      <c r="AI1360" s="243"/>
      <c r="AJ1360" s="243"/>
      <c r="AK1360" s="243"/>
      <c r="AL1360" s="243"/>
      <c r="AM1360" s="243"/>
      <c r="AN1360" s="243"/>
      <c r="AO1360" s="243"/>
      <c r="AP1360" s="243"/>
      <c r="AQ1360" s="243"/>
      <c r="AR1360" s="243"/>
      <c r="AS1360" s="243"/>
      <c r="AT1360" s="243"/>
      <c r="AU1360" s="243"/>
      <c r="AV1360" s="243"/>
      <c r="AW1360" s="243"/>
      <c r="AX1360" s="243"/>
      <c r="AY1360" s="243"/>
      <c r="AZ1360" s="243"/>
      <c r="BA1360" s="243"/>
      <c r="BB1360" s="243"/>
      <c r="BC1360" s="243"/>
      <c r="BD1360" s="243"/>
      <c r="BE1360" s="243"/>
      <c r="BF1360" s="243"/>
      <c r="BG1360" s="243"/>
      <c r="BH1360" s="243"/>
      <c r="BI1360" s="243"/>
      <c r="BJ1360" s="243"/>
      <c r="BK1360" s="243"/>
      <c r="BL1360" s="243"/>
      <c r="BM1360" s="243"/>
      <c r="BN1360" s="243"/>
      <c r="BO1360" s="243"/>
      <c r="BP1360" s="243"/>
      <c r="BQ1360" s="243"/>
      <c r="BR1360" s="243"/>
      <c r="BS1360" s="243"/>
    </row>
    <row r="1361" spans="1:71" s="12" customFormat="1" ht="41.25" customHeight="1">
      <c r="A1361" s="178" t="s">
        <v>948</v>
      </c>
      <c r="B1361" s="75" t="str">
        <f ca="1">+UPPER(Tabla1321124[[#This Row],[DESCRIPCIÓN DE LA COMPRA O CONTRATACIÓN]])</f>
        <v>CABO P/PICO 900MM</v>
      </c>
      <c r="C1361" s="39" t="s">
        <v>17</v>
      </c>
      <c r="D1361" s="236">
        <v>2</v>
      </c>
      <c r="E1361" s="236"/>
      <c r="F1361" s="236"/>
      <c r="G1361" s="236"/>
      <c r="H1361" s="240">
        <f>SUM(Tabla1321124[[#This Row],[PRIMER TRIMESTRE]:[CUARTO TRIMESTRE]])</f>
        <v>2</v>
      </c>
      <c r="I1361" s="17">
        <v>249.67</v>
      </c>
      <c r="J1361" s="17">
        <f t="shared" si="25"/>
        <v>499.34</v>
      </c>
      <c r="K1361" s="340"/>
      <c r="L1361" s="16" t="s">
        <v>18</v>
      </c>
      <c r="M1361" s="16" t="s">
        <v>22</v>
      </c>
      <c r="N1361" s="16"/>
      <c r="O1361" s="243"/>
      <c r="P1361" s="243"/>
      <c r="Q1361" s="243"/>
      <c r="R1361" s="243"/>
      <c r="S1361" s="243"/>
      <c r="T1361" s="243"/>
      <c r="U1361" s="243"/>
      <c r="V1361" s="243"/>
      <c r="W1361" s="243"/>
      <c r="X1361" s="243"/>
      <c r="Y1361" s="243"/>
      <c r="Z1361" s="243"/>
      <c r="AA1361" s="243"/>
      <c r="AB1361" s="243"/>
      <c r="AC1361" s="243"/>
      <c r="AD1361" s="243"/>
      <c r="AE1361" s="243"/>
      <c r="AF1361" s="243"/>
      <c r="AG1361" s="243"/>
      <c r="AH1361" s="243"/>
      <c r="AI1361" s="243"/>
      <c r="AJ1361" s="243"/>
      <c r="AK1361" s="243"/>
      <c r="AL1361" s="243"/>
      <c r="AM1361" s="243"/>
      <c r="AN1361" s="243"/>
      <c r="AO1361" s="243"/>
      <c r="AP1361" s="243"/>
      <c r="AQ1361" s="243"/>
      <c r="AR1361" s="243"/>
      <c r="AS1361" s="243"/>
      <c r="AT1361" s="243"/>
      <c r="AU1361" s="243"/>
      <c r="AV1361" s="243"/>
      <c r="AW1361" s="243"/>
      <c r="AX1361" s="243"/>
      <c r="AY1361" s="243"/>
      <c r="AZ1361" s="243"/>
      <c r="BA1361" s="243"/>
      <c r="BB1361" s="243"/>
      <c r="BC1361" s="243"/>
      <c r="BD1361" s="243"/>
      <c r="BE1361" s="243"/>
      <c r="BF1361" s="243"/>
      <c r="BG1361" s="243"/>
      <c r="BH1361" s="243"/>
      <c r="BI1361" s="243"/>
      <c r="BJ1361" s="243"/>
      <c r="BK1361" s="243"/>
      <c r="BL1361" s="243"/>
      <c r="BM1361" s="243"/>
      <c r="BN1361" s="243"/>
      <c r="BO1361" s="243"/>
      <c r="BP1361" s="243"/>
      <c r="BQ1361" s="243"/>
      <c r="BR1361" s="243"/>
      <c r="BS1361" s="243"/>
    </row>
    <row r="1362" spans="1:71" s="12" customFormat="1" ht="41.25" customHeight="1">
      <c r="A1362" s="178" t="s">
        <v>948</v>
      </c>
      <c r="B1362" s="75" t="str">
        <f ca="1">+UPPER(Tabla1321124[[#This Row],[DESCRIPCIÓN DE LA COMPRA O CONTRATACIÓN]])</f>
        <v>LLAVE STILLSON 12''</v>
      </c>
      <c r="C1362" s="39" t="s">
        <v>17</v>
      </c>
      <c r="D1362" s="236">
        <v>2</v>
      </c>
      <c r="E1362" s="236"/>
      <c r="F1362" s="236"/>
      <c r="G1362" s="236"/>
      <c r="H1362" s="240">
        <f>SUM(Tabla1321124[[#This Row],[PRIMER TRIMESTRE]:[CUARTO TRIMESTRE]])</f>
        <v>2</v>
      </c>
      <c r="I1362" s="17">
        <v>428</v>
      </c>
      <c r="J1362" s="17">
        <f t="shared" si="25"/>
        <v>856</v>
      </c>
      <c r="K1362" s="340"/>
      <c r="L1362" s="16" t="s">
        <v>18</v>
      </c>
      <c r="M1362" s="16" t="s">
        <v>22</v>
      </c>
      <c r="N1362" s="16"/>
      <c r="O1362" s="243"/>
      <c r="P1362" s="243"/>
      <c r="Q1362" s="243"/>
      <c r="R1362" s="243"/>
      <c r="S1362" s="243"/>
      <c r="T1362" s="243"/>
      <c r="U1362" s="243"/>
      <c r="V1362" s="243"/>
      <c r="W1362" s="243"/>
      <c r="X1362" s="243"/>
      <c r="Y1362" s="243"/>
      <c r="Z1362" s="243"/>
      <c r="AA1362" s="243"/>
      <c r="AB1362" s="243"/>
      <c r="AC1362" s="243"/>
      <c r="AD1362" s="243"/>
      <c r="AE1362" s="243"/>
      <c r="AF1362" s="243"/>
      <c r="AG1362" s="243"/>
      <c r="AH1362" s="243"/>
      <c r="AI1362" s="243"/>
      <c r="AJ1362" s="243"/>
      <c r="AK1362" s="243"/>
      <c r="AL1362" s="243"/>
      <c r="AM1362" s="243"/>
      <c r="AN1362" s="243"/>
      <c r="AO1362" s="243"/>
      <c r="AP1362" s="243"/>
      <c r="AQ1362" s="243"/>
      <c r="AR1362" s="243"/>
      <c r="AS1362" s="243"/>
      <c r="AT1362" s="243"/>
      <c r="AU1362" s="243"/>
      <c r="AV1362" s="243"/>
      <c r="AW1362" s="243"/>
      <c r="AX1362" s="243"/>
      <c r="AY1362" s="243"/>
      <c r="AZ1362" s="243"/>
      <c r="BA1362" s="243"/>
      <c r="BB1362" s="243"/>
      <c r="BC1362" s="243"/>
      <c r="BD1362" s="243"/>
      <c r="BE1362" s="243"/>
      <c r="BF1362" s="243"/>
      <c r="BG1362" s="243"/>
      <c r="BH1362" s="243"/>
      <c r="BI1362" s="243"/>
      <c r="BJ1362" s="243"/>
      <c r="BK1362" s="243"/>
      <c r="BL1362" s="243"/>
      <c r="BM1362" s="243"/>
      <c r="BN1362" s="243"/>
      <c r="BO1362" s="243"/>
      <c r="BP1362" s="243"/>
      <c r="BQ1362" s="243"/>
      <c r="BR1362" s="243"/>
      <c r="BS1362" s="243"/>
    </row>
    <row r="1363" spans="1:71" s="12" customFormat="1" ht="41.25" customHeight="1">
      <c r="A1363" s="178" t="s">
        <v>948</v>
      </c>
      <c r="B1363" s="75" t="str">
        <f ca="1">+UPPER(Tabla1321124[[#This Row],[DESCRIPCIÓN DE LA COMPRA O CONTRATACIÓN]])</f>
        <v>LLAVE STILLSON 18''</v>
      </c>
      <c r="C1363" s="39" t="s">
        <v>17</v>
      </c>
      <c r="D1363" s="236">
        <v>2</v>
      </c>
      <c r="E1363" s="236"/>
      <c r="F1363" s="236"/>
      <c r="G1363" s="236"/>
      <c r="H1363" s="240">
        <f>SUM(Tabla1321124[[#This Row],[PRIMER TRIMESTRE]:[CUARTO TRIMESTRE]])</f>
        <v>2</v>
      </c>
      <c r="I1363" s="17">
        <v>798</v>
      </c>
      <c r="J1363" s="17">
        <f t="shared" si="25"/>
        <v>1596</v>
      </c>
      <c r="K1363" s="340"/>
      <c r="L1363" s="16" t="s">
        <v>18</v>
      </c>
      <c r="M1363" s="16" t="s">
        <v>22</v>
      </c>
      <c r="N1363" s="16"/>
      <c r="O1363" s="243"/>
      <c r="P1363" s="243"/>
      <c r="Q1363" s="243"/>
      <c r="R1363" s="243"/>
      <c r="S1363" s="243"/>
      <c r="T1363" s="243"/>
      <c r="U1363" s="243"/>
      <c r="V1363" s="243"/>
      <c r="W1363" s="243"/>
      <c r="X1363" s="243"/>
      <c r="Y1363" s="243"/>
      <c r="Z1363" s="243"/>
      <c r="AA1363" s="243"/>
      <c r="AB1363" s="243"/>
      <c r="AC1363" s="243"/>
      <c r="AD1363" s="243"/>
      <c r="AE1363" s="243"/>
      <c r="AF1363" s="243"/>
      <c r="AG1363" s="243"/>
      <c r="AH1363" s="243"/>
      <c r="AI1363" s="243"/>
      <c r="AJ1363" s="243"/>
      <c r="AK1363" s="243"/>
      <c r="AL1363" s="243"/>
      <c r="AM1363" s="243"/>
      <c r="AN1363" s="243"/>
      <c r="AO1363" s="243"/>
      <c r="AP1363" s="243"/>
      <c r="AQ1363" s="243"/>
      <c r="AR1363" s="243"/>
      <c r="AS1363" s="243"/>
      <c r="AT1363" s="243"/>
      <c r="AU1363" s="243"/>
      <c r="AV1363" s="243"/>
      <c r="AW1363" s="243"/>
      <c r="AX1363" s="243"/>
      <c r="AY1363" s="243"/>
      <c r="AZ1363" s="243"/>
      <c r="BA1363" s="243"/>
      <c r="BB1363" s="243"/>
      <c r="BC1363" s="243"/>
      <c r="BD1363" s="243"/>
      <c r="BE1363" s="243"/>
      <c r="BF1363" s="243"/>
      <c r="BG1363" s="243"/>
      <c r="BH1363" s="243"/>
      <c r="BI1363" s="243"/>
      <c r="BJ1363" s="243"/>
      <c r="BK1363" s="243"/>
      <c r="BL1363" s="243"/>
      <c r="BM1363" s="243"/>
      <c r="BN1363" s="243"/>
      <c r="BO1363" s="243"/>
      <c r="BP1363" s="243"/>
      <c r="BQ1363" s="243"/>
      <c r="BR1363" s="243"/>
      <c r="BS1363" s="243"/>
    </row>
    <row r="1364" spans="1:71" s="12" customFormat="1" ht="41.25" customHeight="1">
      <c r="A1364" s="178" t="s">
        <v>948</v>
      </c>
      <c r="B1364" s="75" t="str">
        <f ca="1">+UPPER(Tabla1321124[[#This Row],[DESCRIPCIÓN DE LA COMPRA O CONTRATACIÓN]])</f>
        <v>LLAVE STILLSON 24''</v>
      </c>
      <c r="C1364" s="39" t="s">
        <v>17</v>
      </c>
      <c r="D1364" s="236">
        <v>1</v>
      </c>
      <c r="E1364" s="236"/>
      <c r="F1364" s="236"/>
      <c r="G1364" s="236"/>
      <c r="H1364" s="240">
        <f>SUM(Tabla1321124[[#This Row],[PRIMER TRIMESTRE]:[CUARTO TRIMESTRE]])</f>
        <v>1</v>
      </c>
      <c r="I1364" s="17">
        <v>1185</v>
      </c>
      <c r="J1364" s="17">
        <f t="shared" si="25"/>
        <v>1185</v>
      </c>
      <c r="K1364" s="340"/>
      <c r="L1364" s="16" t="s">
        <v>18</v>
      </c>
      <c r="M1364" s="16" t="s">
        <v>22</v>
      </c>
      <c r="N1364" s="16"/>
      <c r="O1364" s="243"/>
      <c r="P1364" s="243"/>
      <c r="Q1364" s="243"/>
      <c r="R1364" s="243"/>
      <c r="S1364" s="243"/>
      <c r="T1364" s="243"/>
      <c r="U1364" s="243"/>
      <c r="V1364" s="243"/>
      <c r="W1364" s="243"/>
      <c r="X1364" s="243"/>
      <c r="Y1364" s="243"/>
      <c r="Z1364" s="243"/>
      <c r="AA1364" s="243"/>
      <c r="AB1364" s="243"/>
      <c r="AC1364" s="243"/>
      <c r="AD1364" s="243"/>
      <c r="AE1364" s="243"/>
      <c r="AF1364" s="243"/>
      <c r="AG1364" s="243"/>
      <c r="AH1364" s="243"/>
      <c r="AI1364" s="243"/>
      <c r="AJ1364" s="243"/>
      <c r="AK1364" s="243"/>
      <c r="AL1364" s="243"/>
      <c r="AM1364" s="243"/>
      <c r="AN1364" s="243"/>
      <c r="AO1364" s="243"/>
      <c r="AP1364" s="243"/>
      <c r="AQ1364" s="243"/>
      <c r="AR1364" s="243"/>
      <c r="AS1364" s="243"/>
      <c r="AT1364" s="243"/>
      <c r="AU1364" s="243"/>
      <c r="AV1364" s="243"/>
      <c r="AW1364" s="243"/>
      <c r="AX1364" s="243"/>
      <c r="AY1364" s="243"/>
      <c r="AZ1364" s="243"/>
      <c r="BA1364" s="243"/>
      <c r="BB1364" s="243"/>
      <c r="BC1364" s="243"/>
      <c r="BD1364" s="243"/>
      <c r="BE1364" s="243"/>
      <c r="BF1364" s="243"/>
      <c r="BG1364" s="243"/>
      <c r="BH1364" s="243"/>
      <c r="BI1364" s="243"/>
      <c r="BJ1364" s="243"/>
      <c r="BK1364" s="243"/>
      <c r="BL1364" s="243"/>
      <c r="BM1364" s="243"/>
      <c r="BN1364" s="243"/>
      <c r="BO1364" s="243"/>
      <c r="BP1364" s="243"/>
      <c r="BQ1364" s="243"/>
      <c r="BR1364" s="243"/>
      <c r="BS1364" s="243"/>
    </row>
    <row r="1365" spans="1:71" s="12" customFormat="1" ht="41.25" customHeight="1">
      <c r="A1365" s="178" t="s">
        <v>948</v>
      </c>
      <c r="B1365" s="75" t="str">
        <f ca="1">+UPPER(Tabla1321124[[#This Row],[DESCRIPCIÓN DE LA COMPRA O CONTRATACIÓN]])</f>
        <v>MOCHILA DE CAMPO PARA LLEVAR EQUIPOS VARIOS</v>
      </c>
      <c r="C1365" s="39" t="s">
        <v>17</v>
      </c>
      <c r="D1365" s="236">
        <f>3+1</f>
        <v>4</v>
      </c>
      <c r="E1365" s="236"/>
      <c r="F1365" s="236"/>
      <c r="G1365" s="236"/>
      <c r="H1365" s="240">
        <f>SUM(Tabla1321124[[#This Row],[PRIMER TRIMESTRE]:[CUARTO TRIMESTRE]])</f>
        <v>4</v>
      </c>
      <c r="I1365" s="17">
        <v>2552.54</v>
      </c>
      <c r="J1365" s="17">
        <f t="shared" si="25"/>
        <v>10210.16</v>
      </c>
      <c r="K1365" s="386"/>
      <c r="L1365" s="16" t="s">
        <v>18</v>
      </c>
      <c r="M1365" s="16" t="s">
        <v>22</v>
      </c>
      <c r="N1365" s="16"/>
      <c r="O1365" s="243"/>
      <c r="P1365" s="243"/>
      <c r="Q1365" s="243"/>
      <c r="R1365" s="243"/>
      <c r="S1365" s="243"/>
      <c r="T1365" s="243"/>
      <c r="U1365" s="243"/>
      <c r="V1365" s="243"/>
      <c r="W1365" s="243"/>
      <c r="X1365" s="243"/>
      <c r="Y1365" s="243"/>
      <c r="Z1365" s="243"/>
      <c r="AA1365" s="243"/>
      <c r="AB1365" s="243"/>
      <c r="AC1365" s="243"/>
      <c r="AD1365" s="243"/>
      <c r="AE1365" s="243"/>
      <c r="AF1365" s="243"/>
      <c r="AG1365" s="243"/>
      <c r="AH1365" s="243"/>
      <c r="AI1365" s="243"/>
      <c r="AJ1365" s="243"/>
      <c r="AK1365" s="243"/>
      <c r="AL1365" s="243"/>
      <c r="AM1365" s="243"/>
      <c r="AN1365" s="243"/>
      <c r="AO1365" s="243"/>
      <c r="AP1365" s="243"/>
      <c r="AQ1365" s="243"/>
      <c r="AR1365" s="243"/>
      <c r="AS1365" s="243"/>
      <c r="AT1365" s="243"/>
      <c r="AU1365" s="243"/>
      <c r="AV1365" s="243"/>
      <c r="AW1365" s="243"/>
      <c r="AX1365" s="243"/>
      <c r="AY1365" s="243"/>
      <c r="AZ1365" s="243"/>
      <c r="BA1365" s="243"/>
      <c r="BB1365" s="243"/>
      <c r="BC1365" s="243"/>
      <c r="BD1365" s="243"/>
      <c r="BE1365" s="243"/>
      <c r="BF1365" s="243"/>
      <c r="BG1365" s="243"/>
      <c r="BH1365" s="243"/>
      <c r="BI1365" s="243"/>
      <c r="BJ1365" s="243"/>
      <c r="BK1365" s="243"/>
      <c r="BL1365" s="243"/>
      <c r="BM1365" s="243"/>
      <c r="BN1365" s="243"/>
      <c r="BO1365" s="243"/>
      <c r="BP1365" s="243"/>
      <c r="BQ1365" s="243"/>
      <c r="BR1365" s="243"/>
      <c r="BS1365" s="243"/>
    </row>
    <row r="1366" spans="1:71" s="12" customFormat="1" ht="41.25" customHeight="1">
      <c r="A1366" s="538" t="s">
        <v>948</v>
      </c>
      <c r="B1366" s="76" t="str">
        <f ca="1">+UPPER(Tabla1321124[[#This Row],[DESCRIPCIÓN DE LA COMPRA O CONTRATACIÓN]])</f>
        <v/>
      </c>
      <c r="C1366" s="237"/>
      <c r="D1366" s="237"/>
      <c r="E1366" s="237"/>
      <c r="F1366" s="237"/>
      <c r="G1366" s="237"/>
      <c r="H1366" s="237"/>
      <c r="I1366" s="237"/>
      <c r="J1366" s="384"/>
      <c r="K1366" s="25">
        <f>SUM(J1336:J1365)</f>
        <v>3910810.67</v>
      </c>
      <c r="L1366" s="383"/>
      <c r="M1366" s="383"/>
      <c r="N1366" s="383"/>
      <c r="O1366" s="243"/>
      <c r="P1366" s="243"/>
      <c r="Q1366" s="243"/>
      <c r="R1366" s="243"/>
      <c r="S1366" s="243"/>
      <c r="T1366" s="243"/>
      <c r="U1366" s="243"/>
      <c r="V1366" s="243"/>
      <c r="W1366" s="243"/>
      <c r="X1366" s="243"/>
      <c r="Y1366" s="243"/>
      <c r="Z1366" s="243"/>
      <c r="AA1366" s="243"/>
      <c r="AB1366" s="243"/>
      <c r="AC1366" s="243"/>
      <c r="AD1366" s="243"/>
      <c r="AE1366" s="243"/>
      <c r="AF1366" s="243"/>
      <c r="AG1366" s="243"/>
      <c r="AH1366" s="243"/>
      <c r="AI1366" s="243"/>
      <c r="AJ1366" s="243"/>
      <c r="AK1366" s="243"/>
      <c r="AL1366" s="243"/>
      <c r="AM1366" s="243"/>
      <c r="AN1366" s="243"/>
      <c r="AO1366" s="243"/>
      <c r="AP1366" s="243"/>
      <c r="AQ1366" s="243"/>
      <c r="AR1366" s="243"/>
      <c r="AS1366" s="243"/>
      <c r="AT1366" s="243"/>
      <c r="AU1366" s="243"/>
      <c r="AV1366" s="243"/>
      <c r="AW1366" s="243"/>
      <c r="AX1366" s="243"/>
      <c r="AY1366" s="243"/>
      <c r="AZ1366" s="243"/>
      <c r="BA1366" s="243"/>
      <c r="BB1366" s="243"/>
      <c r="BC1366" s="243"/>
      <c r="BD1366" s="243"/>
      <c r="BE1366" s="243"/>
      <c r="BF1366" s="243"/>
      <c r="BG1366" s="243"/>
      <c r="BH1366" s="243"/>
      <c r="BI1366" s="243"/>
      <c r="BJ1366" s="243"/>
      <c r="BK1366" s="243"/>
      <c r="BL1366" s="243"/>
      <c r="BM1366" s="243"/>
      <c r="BN1366" s="243"/>
      <c r="BO1366" s="243"/>
      <c r="BP1366" s="243"/>
      <c r="BQ1366" s="243"/>
      <c r="BR1366" s="243"/>
      <c r="BS1366" s="243"/>
    </row>
    <row r="1367" spans="1:71" s="12" customFormat="1" ht="41.25" customHeight="1">
      <c r="A1367" s="178" t="s">
        <v>99</v>
      </c>
      <c r="B1367" s="379" t="str">
        <f ca="1">+UPPER(Tabla1321124[[#This Row],[DESCRIPCIÓN DE LA COMPRA O CONTRATACIÓN]])</f>
        <v>ATRAPA MARIPOSAS(P/SACAR MATERIALES SOLIDOS) DE LOS SEDIMENTADORES.</v>
      </c>
      <c r="C1367" s="39" t="s">
        <v>17</v>
      </c>
      <c r="D1367" s="534">
        <v>6</v>
      </c>
      <c r="E1367" s="534">
        <v>2</v>
      </c>
      <c r="F1367" s="534">
        <v>2</v>
      </c>
      <c r="G1367" s="534">
        <v>2</v>
      </c>
      <c r="H1367" s="534">
        <f>SUM(Tabla1321124[[#This Row],[PRIMER TRIMESTRE]:[CUARTO TRIMESTRE]])</f>
        <v>12</v>
      </c>
      <c r="I1367" s="17">
        <v>5600</v>
      </c>
      <c r="J1367" s="17">
        <f>+H1367*I1367</f>
        <v>67200</v>
      </c>
      <c r="K1367" s="175"/>
      <c r="L1367" s="16" t="s">
        <v>18</v>
      </c>
      <c r="M1367" s="16" t="s">
        <v>22</v>
      </c>
      <c r="N1367" s="16" t="s">
        <v>418</v>
      </c>
      <c r="O1367" s="243"/>
      <c r="P1367" s="243"/>
      <c r="Q1367" s="243"/>
      <c r="R1367" s="243"/>
      <c r="S1367" s="243"/>
      <c r="T1367" s="243"/>
      <c r="U1367" s="243"/>
      <c r="V1367" s="243"/>
      <c r="W1367" s="243"/>
      <c r="X1367" s="243"/>
      <c r="Y1367" s="243"/>
      <c r="Z1367" s="243"/>
      <c r="AA1367" s="243"/>
      <c r="AB1367" s="243"/>
      <c r="AC1367" s="243"/>
      <c r="AD1367" s="243"/>
      <c r="AE1367" s="243"/>
      <c r="AF1367" s="243"/>
      <c r="AG1367" s="243"/>
      <c r="AH1367" s="243"/>
      <c r="AI1367" s="243"/>
      <c r="AJ1367" s="243"/>
      <c r="AK1367" s="243"/>
      <c r="AL1367" s="243"/>
      <c r="AM1367" s="243"/>
      <c r="AN1367" s="243"/>
      <c r="AO1367" s="243"/>
      <c r="AP1367" s="243"/>
      <c r="AQ1367" s="243"/>
      <c r="AR1367" s="243"/>
      <c r="AS1367" s="243"/>
      <c r="AT1367" s="243"/>
      <c r="AU1367" s="243"/>
      <c r="AV1367" s="243"/>
      <c r="AW1367" s="243"/>
      <c r="AX1367" s="243"/>
      <c r="AY1367" s="243"/>
      <c r="AZ1367" s="243"/>
      <c r="BA1367" s="243"/>
      <c r="BB1367" s="243"/>
      <c r="BC1367" s="243"/>
      <c r="BD1367" s="243"/>
      <c r="BE1367" s="243"/>
      <c r="BF1367" s="243"/>
      <c r="BG1367" s="243"/>
      <c r="BH1367" s="243"/>
      <c r="BI1367" s="243"/>
      <c r="BJ1367" s="243"/>
      <c r="BK1367" s="243"/>
      <c r="BL1367" s="243"/>
      <c r="BM1367" s="243"/>
      <c r="BN1367" s="243"/>
      <c r="BO1367" s="243"/>
      <c r="BP1367" s="243"/>
      <c r="BQ1367" s="243"/>
      <c r="BR1367" s="243"/>
      <c r="BS1367" s="243"/>
    </row>
    <row r="1368" spans="1:71" s="12" customFormat="1" ht="41.25" customHeight="1">
      <c r="A1368" s="178" t="s">
        <v>99</v>
      </c>
      <c r="B1368" s="75" t="str">
        <f ca="1">+UPPER(Tabla1321124[[#This Row],[DESCRIPCIÓN DE LA COMPRA O CONTRATACIÓN]])</f>
        <v>SOLUCION ESTANDAR DE PH 10,00 LUPAC, FRASCO DE 500ML, CON CERTIFICADO DE ANALISIS INCLUIDO.</v>
      </c>
      <c r="C1368" s="39" t="s">
        <v>17</v>
      </c>
      <c r="D1368" s="236">
        <v>10</v>
      </c>
      <c r="E1368" s="236">
        <v>10</v>
      </c>
      <c r="F1368" s="236">
        <f>10</f>
        <v>10</v>
      </c>
      <c r="G1368" s="236">
        <f>10</f>
        <v>10</v>
      </c>
      <c r="H1368" s="236">
        <f>Tabla1321124[[#This Row],[CUARTO TRIMESTRE]]+Tabla1321124[[#This Row],[TERCER TRIMESTRE]]+Tabla1321124[[#This Row],[SEGUNDO TRIMESTRE]]+Tabla1321124[[#This Row],[PRIMER TRIMESTRE]]</f>
        <v>40</v>
      </c>
      <c r="I1368" s="17">
        <v>3500</v>
      </c>
      <c r="J1368" s="17">
        <f>+Tabla1321124[[#This Row],[CANTIDAD TOTAL]]*Tabla1321124[[#This Row],[PRECIO UNITARIO ESTIMADO]]</f>
        <v>140000</v>
      </c>
      <c r="K1368" s="75"/>
      <c r="L1368" s="16" t="s">
        <v>18</v>
      </c>
      <c r="M1368" s="16" t="s">
        <v>22</v>
      </c>
      <c r="N1368" s="16" t="s">
        <v>418</v>
      </c>
      <c r="O1368" s="243"/>
      <c r="P1368" s="243"/>
      <c r="Q1368" s="243"/>
      <c r="R1368" s="243"/>
      <c r="S1368" s="243"/>
      <c r="T1368" s="243"/>
      <c r="U1368" s="243"/>
      <c r="V1368" s="243"/>
      <c r="W1368" s="243"/>
      <c r="X1368" s="243"/>
      <c r="Y1368" s="243"/>
      <c r="Z1368" s="243"/>
      <c r="AA1368" s="243"/>
      <c r="AB1368" s="243"/>
      <c r="AC1368" s="243"/>
      <c r="AD1368" s="243"/>
      <c r="AE1368" s="243"/>
      <c r="AF1368" s="243"/>
      <c r="AG1368" s="243"/>
      <c r="AH1368" s="243"/>
      <c r="AI1368" s="243"/>
      <c r="AJ1368" s="243"/>
      <c r="AK1368" s="243"/>
      <c r="AL1368" s="243"/>
      <c r="AM1368" s="243"/>
      <c r="AN1368" s="243"/>
      <c r="AO1368" s="243"/>
      <c r="AP1368" s="243"/>
      <c r="AQ1368" s="243"/>
      <c r="AR1368" s="243"/>
      <c r="AS1368" s="243"/>
      <c r="AT1368" s="243"/>
      <c r="AU1368" s="243"/>
      <c r="AV1368" s="243"/>
      <c r="AW1368" s="243"/>
      <c r="AX1368" s="243"/>
      <c r="AY1368" s="243"/>
      <c r="AZ1368" s="243"/>
      <c r="BA1368" s="243"/>
      <c r="BB1368" s="243"/>
      <c r="BC1368" s="243"/>
      <c r="BD1368" s="243"/>
      <c r="BE1368" s="243"/>
      <c r="BF1368" s="243"/>
      <c r="BG1368" s="243"/>
      <c r="BH1368" s="243"/>
      <c r="BI1368" s="243"/>
      <c r="BJ1368" s="243"/>
      <c r="BK1368" s="243"/>
      <c r="BL1368" s="243"/>
      <c r="BM1368" s="243"/>
      <c r="BN1368" s="243"/>
      <c r="BO1368" s="243"/>
      <c r="BP1368" s="243"/>
      <c r="BQ1368" s="243"/>
      <c r="BR1368" s="243"/>
      <c r="BS1368" s="243"/>
    </row>
    <row r="1369" spans="1:71" s="12" customFormat="1" ht="41.25" customHeight="1">
      <c r="A1369" s="178" t="s">
        <v>99</v>
      </c>
      <c r="B1369" s="75" t="str">
        <f ca="1">+UPPER(Tabla1321124[[#This Row],[DESCRIPCIÓN DE LA COMPRA O CONTRATACIÓN]])</f>
        <v>SOLUCION ESTANDAR DE PH 7,00 LUPAC, FRASCO DE 500ML, CON CERTIFICADO DE ANALISIS INCLUIDO.</v>
      </c>
      <c r="C1369" s="39" t="s">
        <v>17</v>
      </c>
      <c r="D1369" s="354">
        <v>5</v>
      </c>
      <c r="E1369" s="354">
        <v>5</v>
      </c>
      <c r="F1369" s="354">
        <f>5</f>
        <v>5</v>
      </c>
      <c r="G1369" s="354">
        <f>5</f>
        <v>5</v>
      </c>
      <c r="H1369" s="236">
        <f>Tabla1321124[[#This Row],[CUARTO TRIMESTRE]]+Tabla1321124[[#This Row],[TERCER TRIMESTRE]]+Tabla1321124[[#This Row],[SEGUNDO TRIMESTRE]]+Tabla1321124[[#This Row],[PRIMER TRIMESTRE]]</f>
        <v>20</v>
      </c>
      <c r="I1369" s="17">
        <v>3500</v>
      </c>
      <c r="J1369" s="17">
        <f>+Tabla1321124[[#This Row],[CANTIDAD TOTAL]]*Tabla1321124[[#This Row],[PRECIO UNITARIO ESTIMADO]]</f>
        <v>70000</v>
      </c>
      <c r="K1369" s="286"/>
      <c r="L1369" s="16" t="s">
        <v>18</v>
      </c>
      <c r="M1369" s="16" t="s">
        <v>22</v>
      </c>
      <c r="N1369" s="16" t="s">
        <v>418</v>
      </c>
      <c r="O1369" s="243"/>
      <c r="P1369" s="243"/>
      <c r="Q1369" s="243"/>
      <c r="R1369" s="243"/>
      <c r="S1369" s="243"/>
      <c r="T1369" s="243"/>
      <c r="U1369" s="243"/>
      <c r="V1369" s="243"/>
      <c r="W1369" s="243"/>
      <c r="X1369" s="243"/>
      <c r="Y1369" s="243"/>
      <c r="Z1369" s="243"/>
      <c r="AA1369" s="243"/>
      <c r="AB1369" s="243"/>
      <c r="AC1369" s="243"/>
      <c r="AD1369" s="243"/>
      <c r="AE1369" s="243"/>
      <c r="AF1369" s="243"/>
      <c r="AG1369" s="243"/>
      <c r="AH1369" s="243"/>
      <c r="AI1369" s="243"/>
      <c r="AJ1369" s="243"/>
      <c r="AK1369" s="243"/>
      <c r="AL1369" s="243"/>
      <c r="AM1369" s="243"/>
      <c r="AN1369" s="243"/>
      <c r="AO1369" s="243"/>
      <c r="AP1369" s="243"/>
      <c r="AQ1369" s="243"/>
      <c r="AR1369" s="243"/>
      <c r="AS1369" s="243"/>
      <c r="AT1369" s="243"/>
      <c r="AU1369" s="243"/>
      <c r="AV1369" s="243"/>
      <c r="AW1369" s="243"/>
      <c r="AX1369" s="243"/>
      <c r="AY1369" s="243"/>
      <c r="AZ1369" s="243"/>
      <c r="BA1369" s="243"/>
      <c r="BB1369" s="243"/>
      <c r="BC1369" s="243"/>
      <c r="BD1369" s="243"/>
      <c r="BE1369" s="243"/>
      <c r="BF1369" s="243"/>
      <c r="BG1369" s="243"/>
      <c r="BH1369" s="243"/>
      <c r="BI1369" s="243"/>
      <c r="BJ1369" s="243"/>
      <c r="BK1369" s="243"/>
      <c r="BL1369" s="243"/>
      <c r="BM1369" s="243"/>
      <c r="BN1369" s="243"/>
      <c r="BO1369" s="243"/>
      <c r="BP1369" s="243"/>
      <c r="BQ1369" s="243"/>
      <c r="BR1369" s="243"/>
      <c r="BS1369" s="243"/>
    </row>
    <row r="1370" spans="1:71" s="12" customFormat="1" ht="41.25" customHeight="1">
      <c r="A1370" s="178" t="s">
        <v>99</v>
      </c>
      <c r="B1370" s="75" t="str">
        <f ca="1">+UPPER(Tabla1321124[[#This Row],[DESCRIPCIÓN DE LA COMPRA O CONTRATACIÓN]])</f>
        <v>SOLUCION ESTANDAR DE PH 4,00 LUPAC, FRASCO DE 500ML, CON CERTIFICADO DE ANALISIS INCLUIDO.</v>
      </c>
      <c r="C1370" s="39" t="s">
        <v>17</v>
      </c>
      <c r="D1370" s="236"/>
      <c r="E1370" s="236"/>
      <c r="F1370" s="236">
        <v>1</v>
      </c>
      <c r="G1370" s="236">
        <v>1</v>
      </c>
      <c r="H1370" s="236">
        <f>Tabla1321124[[#This Row],[CUARTO TRIMESTRE]]+Tabla1321124[[#This Row],[TERCER TRIMESTRE]]+Tabla1321124[[#This Row],[SEGUNDO TRIMESTRE]]+Tabla1321124[[#This Row],[PRIMER TRIMESTRE]]</f>
        <v>2</v>
      </c>
      <c r="I1370" s="17">
        <v>3500</v>
      </c>
      <c r="J1370" s="17">
        <f>+Tabla1321124[[#This Row],[CANTIDAD TOTAL]]*Tabla1321124[[#This Row],[PRECIO UNITARIO ESTIMADO]]</f>
        <v>7000</v>
      </c>
      <c r="K1370" s="75"/>
      <c r="L1370" s="16" t="s">
        <v>18</v>
      </c>
      <c r="M1370" s="16" t="s">
        <v>22</v>
      </c>
      <c r="N1370" s="16" t="s">
        <v>418</v>
      </c>
      <c r="O1370" s="243"/>
      <c r="P1370" s="243"/>
      <c r="Q1370" s="243"/>
      <c r="R1370" s="243"/>
      <c r="S1370" s="243"/>
      <c r="T1370" s="243"/>
      <c r="U1370" s="243"/>
      <c r="V1370" s="243"/>
      <c r="W1370" s="243"/>
      <c r="X1370" s="243"/>
      <c r="Y1370" s="243"/>
      <c r="Z1370" s="243"/>
      <c r="AA1370" s="243"/>
      <c r="AB1370" s="243"/>
      <c r="AC1370" s="243"/>
      <c r="AD1370" s="243"/>
      <c r="AE1370" s="243"/>
      <c r="AF1370" s="243"/>
      <c r="AG1370" s="243"/>
      <c r="AH1370" s="243"/>
      <c r="AI1370" s="243"/>
      <c r="AJ1370" s="243"/>
      <c r="AK1370" s="243"/>
      <c r="AL1370" s="243"/>
      <c r="AM1370" s="243"/>
      <c r="AN1370" s="243"/>
      <c r="AO1370" s="243"/>
      <c r="AP1370" s="243"/>
      <c r="AQ1370" s="243"/>
      <c r="AR1370" s="243"/>
      <c r="AS1370" s="243"/>
      <c r="AT1370" s="243"/>
      <c r="AU1370" s="243"/>
      <c r="AV1370" s="243"/>
      <c r="AW1370" s="243"/>
      <c r="AX1370" s="243"/>
      <c r="AY1370" s="243"/>
      <c r="AZ1370" s="243"/>
      <c r="BA1370" s="243"/>
      <c r="BB1370" s="243"/>
      <c r="BC1370" s="243"/>
      <c r="BD1370" s="243"/>
      <c r="BE1370" s="243"/>
      <c r="BF1370" s="243"/>
      <c r="BG1370" s="243"/>
      <c r="BH1370" s="243"/>
      <c r="BI1370" s="243"/>
      <c r="BJ1370" s="243"/>
      <c r="BK1370" s="243"/>
      <c r="BL1370" s="243"/>
      <c r="BM1370" s="243"/>
      <c r="BN1370" s="243"/>
      <c r="BO1370" s="243"/>
      <c r="BP1370" s="243"/>
      <c r="BQ1370" s="243"/>
      <c r="BR1370" s="243"/>
      <c r="BS1370" s="243"/>
    </row>
    <row r="1371" spans="1:71" s="12" customFormat="1" ht="41.25" customHeight="1">
      <c r="A1371" s="178" t="s">
        <v>99</v>
      </c>
      <c r="B1371" s="75" t="str">
        <f ca="1">+UPPER(Tabla1321124[[#This Row],[DESCRIPCIÓN DE LA COMPRA O CONTRATACIÓN]])</f>
        <v>DETERGENTE LIQUIDO LABCONCO</v>
      </c>
      <c r="C1371" s="39" t="s">
        <v>290</v>
      </c>
      <c r="D1371" s="236">
        <v>13</v>
      </c>
      <c r="E1371" s="236">
        <v>12</v>
      </c>
      <c r="F1371" s="236">
        <v>13</v>
      </c>
      <c r="G1371" s="236">
        <v>12</v>
      </c>
      <c r="H1371" s="236">
        <f>Tabla1321124[[#This Row],[CUARTO TRIMESTRE]]+Tabla1321124[[#This Row],[TERCER TRIMESTRE]]+Tabla1321124[[#This Row],[SEGUNDO TRIMESTRE]]+Tabla1321124[[#This Row],[PRIMER TRIMESTRE]]</f>
        <v>50</v>
      </c>
      <c r="I1371" s="17">
        <v>325</v>
      </c>
      <c r="J1371" s="17">
        <f>+Tabla1321124[[#This Row],[CANTIDAD TOTAL]]*Tabla1321124[[#This Row],[PRECIO UNITARIO ESTIMADO]]</f>
        <v>16250</v>
      </c>
      <c r="K1371" s="75"/>
      <c r="L1371" s="16" t="s">
        <v>18</v>
      </c>
      <c r="M1371" s="16" t="s">
        <v>22</v>
      </c>
      <c r="N1371" s="16" t="s">
        <v>418</v>
      </c>
      <c r="O1371" s="243"/>
      <c r="P1371" s="243"/>
      <c r="Q1371" s="243"/>
      <c r="R1371" s="243"/>
      <c r="S1371" s="243"/>
      <c r="T1371" s="243"/>
      <c r="U1371" s="243"/>
      <c r="V1371" s="243"/>
      <c r="W1371" s="243"/>
      <c r="X1371" s="243"/>
      <c r="Y1371" s="243"/>
      <c r="Z1371" s="243"/>
      <c r="AA1371" s="243"/>
      <c r="AB1371" s="243"/>
      <c r="AC1371" s="243"/>
      <c r="AD1371" s="243"/>
      <c r="AE1371" s="243"/>
      <c r="AF1371" s="243"/>
      <c r="AG1371" s="243"/>
      <c r="AH1371" s="243"/>
      <c r="AI1371" s="243"/>
      <c r="AJ1371" s="243"/>
      <c r="AK1371" s="243"/>
      <c r="AL1371" s="243"/>
      <c r="AM1371" s="243"/>
      <c r="AN1371" s="243"/>
      <c r="AO1371" s="243"/>
      <c r="AP1371" s="243"/>
      <c r="AQ1371" s="243"/>
      <c r="AR1371" s="243"/>
      <c r="AS1371" s="243"/>
      <c r="AT1371" s="243"/>
      <c r="AU1371" s="243"/>
      <c r="AV1371" s="243"/>
      <c r="AW1371" s="243"/>
      <c r="AX1371" s="243"/>
      <c r="AY1371" s="243"/>
      <c r="AZ1371" s="243"/>
      <c r="BA1371" s="243"/>
      <c r="BB1371" s="243"/>
      <c r="BC1371" s="243"/>
      <c r="BD1371" s="243"/>
      <c r="BE1371" s="243"/>
      <c r="BF1371" s="243"/>
      <c r="BG1371" s="243"/>
      <c r="BH1371" s="243"/>
      <c r="BI1371" s="243"/>
      <c r="BJ1371" s="243"/>
      <c r="BK1371" s="243"/>
      <c r="BL1371" s="243"/>
      <c r="BM1371" s="243"/>
      <c r="BN1371" s="243"/>
      <c r="BO1371" s="243"/>
      <c r="BP1371" s="243"/>
      <c r="BQ1371" s="243"/>
      <c r="BR1371" s="243"/>
      <c r="BS1371" s="243"/>
    </row>
    <row r="1372" spans="1:71" s="12" customFormat="1" ht="41.25" customHeight="1">
      <c r="A1372" s="178" t="s">
        <v>99</v>
      </c>
      <c r="B1372" s="75" t="str">
        <f ca="1">+UPPER(Tabla1321124[[#This Row],[DESCRIPCIÓN DE LA COMPRA O CONTRATACIÓN]])</f>
        <v>DETERGENTE LIQUIDO CONCENTRADO</v>
      </c>
      <c r="C1372" s="39" t="s">
        <v>290</v>
      </c>
      <c r="D1372" s="236">
        <v>11</v>
      </c>
      <c r="E1372" s="236">
        <v>10</v>
      </c>
      <c r="F1372" s="236">
        <v>11</v>
      </c>
      <c r="G1372" s="236">
        <v>10</v>
      </c>
      <c r="H1372" s="236">
        <f>Tabla1321124[[#This Row],[CUARTO TRIMESTRE]]+Tabla1321124[[#This Row],[TERCER TRIMESTRE]]+Tabla1321124[[#This Row],[SEGUNDO TRIMESTRE]]+Tabla1321124[[#This Row],[PRIMER TRIMESTRE]]</f>
        <v>42</v>
      </c>
      <c r="I1372" s="17">
        <v>420</v>
      </c>
      <c r="J1372" s="17">
        <f>+Tabla1321124[[#This Row],[CANTIDAD TOTAL]]*Tabla1321124[[#This Row],[PRECIO UNITARIO ESTIMADO]]</f>
        <v>17640</v>
      </c>
      <c r="K1372" s="75"/>
      <c r="L1372" s="16" t="s">
        <v>18</v>
      </c>
      <c r="M1372" s="16" t="s">
        <v>22</v>
      </c>
      <c r="N1372" s="16" t="s">
        <v>418</v>
      </c>
      <c r="O1372" s="243"/>
      <c r="P1372" s="243"/>
      <c r="Q1372" s="243"/>
      <c r="R1372" s="243"/>
      <c r="S1372" s="243"/>
      <c r="T1372" s="243"/>
      <c r="U1372" s="243"/>
      <c r="V1372" s="243"/>
      <c r="W1372" s="243"/>
      <c r="X1372" s="243"/>
      <c r="Y1372" s="243"/>
      <c r="Z1372" s="243"/>
      <c r="AA1372" s="243"/>
      <c r="AB1372" s="243"/>
      <c r="AC1372" s="243"/>
      <c r="AD1372" s="243"/>
      <c r="AE1372" s="243"/>
      <c r="AF1372" s="243"/>
      <c r="AG1372" s="243"/>
      <c r="AH1372" s="243"/>
      <c r="AI1372" s="243"/>
      <c r="AJ1372" s="243"/>
      <c r="AK1372" s="243"/>
      <c r="AL1372" s="243"/>
      <c r="AM1372" s="243"/>
      <c r="AN1372" s="243"/>
      <c r="AO1372" s="243"/>
      <c r="AP1372" s="243"/>
      <c r="AQ1372" s="243"/>
      <c r="AR1372" s="243"/>
      <c r="AS1372" s="243"/>
      <c r="AT1372" s="243"/>
      <c r="AU1372" s="243"/>
      <c r="AV1372" s="243"/>
      <c r="AW1372" s="243"/>
      <c r="AX1372" s="243"/>
      <c r="AY1372" s="243"/>
      <c r="AZ1372" s="243"/>
      <c r="BA1372" s="243"/>
      <c r="BB1372" s="243"/>
      <c r="BC1372" s="243"/>
      <c r="BD1372" s="243"/>
      <c r="BE1372" s="243"/>
      <c r="BF1372" s="243"/>
      <c r="BG1372" s="243"/>
      <c r="BH1372" s="243"/>
      <c r="BI1372" s="243"/>
      <c r="BJ1372" s="243"/>
      <c r="BK1372" s="243"/>
      <c r="BL1372" s="243"/>
      <c r="BM1372" s="243"/>
      <c r="BN1372" s="243"/>
      <c r="BO1372" s="243"/>
      <c r="BP1372" s="243"/>
      <c r="BQ1372" s="243"/>
      <c r="BR1372" s="243"/>
      <c r="BS1372" s="243"/>
    </row>
    <row r="1373" spans="1:71" s="12" customFormat="1" ht="41.25" customHeight="1">
      <c r="A1373" s="178" t="s">
        <v>99</v>
      </c>
      <c r="B1373" s="75" t="str">
        <f ca="1">+UPPER(Tabla1321124[[#This Row],[DESCRIPCIÓN DE LA COMPRA O CONTRATACIÓN]])</f>
        <v>ACIDO MURIATICO</v>
      </c>
      <c r="C1373" s="39" t="s">
        <v>33</v>
      </c>
      <c r="D1373" s="236">
        <f>28+11</f>
        <v>39</v>
      </c>
      <c r="E1373" s="236">
        <f>28+10</f>
        <v>38</v>
      </c>
      <c r="F1373" s="236">
        <f>28+10</f>
        <v>38</v>
      </c>
      <c r="G1373" s="236">
        <f>28+10</f>
        <v>38</v>
      </c>
      <c r="H1373" s="236">
        <f>Tabla1321124[[#This Row],[CUARTO TRIMESTRE]]+Tabla1321124[[#This Row],[TERCER TRIMESTRE]]+Tabla1321124[[#This Row],[SEGUNDO TRIMESTRE]]+Tabla1321124[[#This Row],[PRIMER TRIMESTRE]]</f>
        <v>153</v>
      </c>
      <c r="I1373" s="17">
        <v>260</v>
      </c>
      <c r="J1373" s="17">
        <f>+Tabla1321124[[#This Row],[CANTIDAD TOTAL]]*Tabla1321124[[#This Row],[PRECIO UNITARIO ESTIMADO]]</f>
        <v>39780</v>
      </c>
      <c r="K1373" s="17"/>
      <c r="L1373" s="16" t="s">
        <v>18</v>
      </c>
      <c r="M1373" s="16" t="s">
        <v>22</v>
      </c>
      <c r="N1373" s="16" t="s">
        <v>418</v>
      </c>
      <c r="O1373" s="243"/>
      <c r="P1373" s="243"/>
      <c r="Q1373" s="243"/>
      <c r="R1373" s="243"/>
      <c r="S1373" s="243"/>
      <c r="T1373" s="243"/>
      <c r="U1373" s="243"/>
      <c r="V1373" s="243"/>
      <c r="W1373" s="243"/>
      <c r="X1373" s="243"/>
      <c r="Y1373" s="243"/>
      <c r="Z1373" s="243"/>
      <c r="AA1373" s="243"/>
      <c r="AB1373" s="243"/>
      <c r="AC1373" s="243"/>
      <c r="AD1373" s="243"/>
      <c r="AE1373" s="243"/>
      <c r="AF1373" s="243"/>
      <c r="AG1373" s="243"/>
      <c r="AH1373" s="243"/>
      <c r="AI1373" s="243"/>
      <c r="AJ1373" s="243"/>
      <c r="AK1373" s="243"/>
      <c r="AL1373" s="243"/>
      <c r="AM1373" s="243"/>
      <c r="AN1373" s="243"/>
      <c r="AO1373" s="243"/>
      <c r="AP1373" s="243"/>
      <c r="AQ1373" s="243"/>
      <c r="AR1373" s="243"/>
      <c r="AS1373" s="243"/>
      <c r="AT1373" s="243"/>
      <c r="AU1373" s="243"/>
      <c r="AV1373" s="243"/>
      <c r="AW1373" s="243"/>
      <c r="AX1373" s="243"/>
      <c r="AY1373" s="243"/>
      <c r="AZ1373" s="243"/>
      <c r="BA1373" s="243"/>
      <c r="BB1373" s="243"/>
      <c r="BC1373" s="243"/>
      <c r="BD1373" s="243"/>
      <c r="BE1373" s="243"/>
      <c r="BF1373" s="243"/>
      <c r="BG1373" s="243"/>
      <c r="BH1373" s="243"/>
      <c r="BI1373" s="243"/>
      <c r="BJ1373" s="243"/>
      <c r="BK1373" s="243"/>
      <c r="BL1373" s="243"/>
      <c r="BM1373" s="243"/>
      <c r="BN1373" s="243"/>
      <c r="BO1373" s="243"/>
      <c r="BP1373" s="243"/>
      <c r="BQ1373" s="243"/>
      <c r="BR1373" s="243"/>
      <c r="BS1373" s="243"/>
    </row>
    <row r="1374" spans="1:71" s="12" customFormat="1" ht="41.25" customHeight="1">
      <c r="A1374" s="178" t="s">
        <v>99</v>
      </c>
      <c r="B1374" s="75" t="str">
        <f ca="1">+UPPER(Tabla1321124[[#This Row],[DESCRIPCIÓN DE LA COMPRA O CONTRATACIÓN]])</f>
        <v>ACIDO CLOHIDRICO</v>
      </c>
      <c r="C1374" s="39" t="s">
        <v>308</v>
      </c>
      <c r="D1374" s="236"/>
      <c r="E1374" s="236"/>
      <c r="F1374" s="236"/>
      <c r="G1374" s="236"/>
      <c r="H1374" s="236">
        <f>Tabla1321124[[#This Row],[CUARTO TRIMESTRE]]+Tabla1321124[[#This Row],[TERCER TRIMESTRE]]+Tabla1321124[[#This Row],[SEGUNDO TRIMESTRE]]+Tabla1321124[[#This Row],[PRIMER TRIMESTRE]]</f>
        <v>0</v>
      </c>
      <c r="I1374" s="17">
        <v>1237.82</v>
      </c>
      <c r="J1374" s="17">
        <f>+Tabla1321124[[#This Row],[CANTIDAD TOTAL]]*Tabla1321124[[#This Row],[PRECIO UNITARIO ESTIMADO]]</f>
        <v>0</v>
      </c>
      <c r="K1374" s="17"/>
      <c r="L1374" s="16" t="s">
        <v>18</v>
      </c>
      <c r="M1374" s="16" t="s">
        <v>22</v>
      </c>
      <c r="N1374" s="16" t="s">
        <v>418</v>
      </c>
      <c r="O1374" s="243"/>
      <c r="P1374" s="243"/>
      <c r="Q1374" s="243"/>
      <c r="R1374" s="243"/>
      <c r="S1374" s="243"/>
      <c r="T1374" s="243"/>
      <c r="U1374" s="243"/>
      <c r="V1374" s="243"/>
      <c r="W1374" s="243"/>
      <c r="X1374" s="243"/>
      <c r="Y1374" s="243"/>
      <c r="Z1374" s="243"/>
      <c r="AA1374" s="243"/>
      <c r="AB1374" s="243"/>
      <c r="AC1374" s="243"/>
      <c r="AD1374" s="243"/>
      <c r="AE1374" s="243"/>
      <c r="AF1374" s="243"/>
      <c r="AG1374" s="243"/>
      <c r="AH1374" s="243"/>
      <c r="AI1374" s="243"/>
      <c r="AJ1374" s="243"/>
      <c r="AK1374" s="243"/>
      <c r="AL1374" s="243"/>
      <c r="AM1374" s="243"/>
      <c r="AN1374" s="243"/>
      <c r="AO1374" s="243"/>
      <c r="AP1374" s="243"/>
      <c r="AQ1374" s="243"/>
      <c r="AR1374" s="243"/>
      <c r="AS1374" s="243"/>
      <c r="AT1374" s="243"/>
      <c r="AU1374" s="243"/>
      <c r="AV1374" s="243"/>
      <c r="AW1374" s="243"/>
      <c r="AX1374" s="243"/>
      <c r="AY1374" s="243"/>
      <c r="AZ1374" s="243"/>
      <c r="BA1374" s="243"/>
      <c r="BB1374" s="243"/>
      <c r="BC1374" s="243"/>
      <c r="BD1374" s="243"/>
      <c r="BE1374" s="243"/>
      <c r="BF1374" s="243"/>
      <c r="BG1374" s="243"/>
      <c r="BH1374" s="243"/>
      <c r="BI1374" s="243"/>
      <c r="BJ1374" s="243"/>
      <c r="BK1374" s="243"/>
      <c r="BL1374" s="243"/>
      <c r="BM1374" s="243"/>
      <c r="BN1374" s="243"/>
      <c r="BO1374" s="243"/>
      <c r="BP1374" s="243"/>
      <c r="BQ1374" s="243"/>
      <c r="BR1374" s="243"/>
      <c r="BS1374" s="243"/>
    </row>
    <row r="1375" spans="1:71" s="12" customFormat="1" ht="41.25" customHeight="1">
      <c r="A1375" s="178" t="s">
        <v>99</v>
      </c>
      <c r="B1375" s="75" t="str">
        <f ca="1">+UPPER(Tabla1321124[[#This Row],[DESCRIPCIÓN DE LA COMPRA O CONTRATACIÓN]])</f>
        <v>ACIDO SULFURICO</v>
      </c>
      <c r="C1375" s="39" t="s">
        <v>308</v>
      </c>
      <c r="D1375" s="236"/>
      <c r="E1375" s="236"/>
      <c r="F1375" s="236"/>
      <c r="G1375" s="236"/>
      <c r="H1375" s="236">
        <f>Tabla1321124[[#This Row],[CUARTO TRIMESTRE]]+Tabla1321124[[#This Row],[TERCER TRIMESTRE]]+Tabla1321124[[#This Row],[SEGUNDO TRIMESTRE]]+Tabla1321124[[#This Row],[PRIMER TRIMESTRE]]</f>
        <v>0</v>
      </c>
      <c r="I1375" s="17">
        <v>1770</v>
      </c>
      <c r="J1375" s="17">
        <f>+Tabla1321124[[#This Row],[CANTIDAD TOTAL]]*Tabla1321124[[#This Row],[PRECIO UNITARIO ESTIMADO]]</f>
        <v>0</v>
      </c>
      <c r="K1375" s="17"/>
      <c r="L1375" s="16" t="s">
        <v>18</v>
      </c>
      <c r="M1375" s="16" t="s">
        <v>22</v>
      </c>
      <c r="N1375" s="16" t="s">
        <v>418</v>
      </c>
      <c r="O1375" s="243"/>
      <c r="P1375" s="243"/>
      <c r="Q1375" s="243"/>
      <c r="R1375" s="243"/>
      <c r="S1375" s="243"/>
      <c r="T1375" s="243"/>
      <c r="U1375" s="243"/>
      <c r="V1375" s="243"/>
      <c r="W1375" s="243"/>
      <c r="X1375" s="243"/>
      <c r="Y1375" s="243"/>
      <c r="Z1375" s="243"/>
      <c r="AA1375" s="243"/>
      <c r="AB1375" s="243"/>
      <c r="AC1375" s="243"/>
      <c r="AD1375" s="243"/>
      <c r="AE1375" s="243"/>
      <c r="AF1375" s="243"/>
      <c r="AG1375" s="243"/>
      <c r="AH1375" s="243"/>
      <c r="AI1375" s="243"/>
      <c r="AJ1375" s="243"/>
      <c r="AK1375" s="243"/>
      <c r="AL1375" s="243"/>
      <c r="AM1375" s="243"/>
      <c r="AN1375" s="243"/>
      <c r="AO1375" s="243"/>
      <c r="AP1375" s="243"/>
      <c r="AQ1375" s="243"/>
      <c r="AR1375" s="243"/>
      <c r="AS1375" s="243"/>
      <c r="AT1375" s="243"/>
      <c r="AU1375" s="243"/>
      <c r="AV1375" s="243"/>
      <c r="AW1375" s="243"/>
      <c r="AX1375" s="243"/>
      <c r="AY1375" s="243"/>
      <c r="AZ1375" s="243"/>
      <c r="BA1375" s="243"/>
      <c r="BB1375" s="243"/>
      <c r="BC1375" s="243"/>
      <c r="BD1375" s="243"/>
      <c r="BE1375" s="243"/>
      <c r="BF1375" s="243"/>
      <c r="BG1375" s="243"/>
      <c r="BH1375" s="243"/>
      <c r="BI1375" s="243"/>
      <c r="BJ1375" s="243"/>
      <c r="BK1375" s="243"/>
      <c r="BL1375" s="243"/>
      <c r="BM1375" s="243"/>
      <c r="BN1375" s="243"/>
      <c r="BO1375" s="243"/>
      <c r="BP1375" s="243"/>
      <c r="BQ1375" s="243"/>
      <c r="BR1375" s="243"/>
      <c r="BS1375" s="243"/>
    </row>
    <row r="1376" spans="1:71" s="12" customFormat="1" ht="41.25" customHeight="1">
      <c r="A1376" s="178" t="s">
        <v>99</v>
      </c>
      <c r="B1376" s="75" t="str">
        <f ca="1">+UPPER(Tabla1321124[[#This Row],[DESCRIPCIÓN DE LA COMPRA O CONTRATACIÓN]])</f>
        <v>ANTORCHA</v>
      </c>
      <c r="C1376" s="39" t="s">
        <v>17</v>
      </c>
      <c r="D1376" s="236">
        <v>1</v>
      </c>
      <c r="E1376" s="236"/>
      <c r="F1376" s="236"/>
      <c r="G1376" s="236"/>
      <c r="H1376" s="236">
        <f>Tabla1321124[[#This Row],[CUARTO TRIMESTRE]]+Tabla1321124[[#This Row],[TERCER TRIMESTRE]]+Tabla1321124[[#This Row],[SEGUNDO TRIMESTRE]]+Tabla1321124[[#This Row],[PRIMER TRIMESTRE]]</f>
        <v>1</v>
      </c>
      <c r="I1376" s="17">
        <v>1740</v>
      </c>
      <c r="J1376" s="17">
        <f>+Tabla1321124[[#This Row],[CANTIDAD TOTAL]]*Tabla1321124[[#This Row],[PRECIO UNITARIO ESTIMADO]]</f>
        <v>1740</v>
      </c>
      <c r="K1376" s="17"/>
      <c r="L1376" s="16" t="s">
        <v>18</v>
      </c>
      <c r="M1376" s="16" t="s">
        <v>22</v>
      </c>
      <c r="N1376" s="16" t="s">
        <v>418</v>
      </c>
      <c r="O1376" s="243"/>
      <c r="P1376" s="243"/>
      <c r="Q1376" s="243"/>
      <c r="R1376" s="243"/>
      <c r="S1376" s="243"/>
      <c r="T1376" s="243"/>
      <c r="U1376" s="243"/>
      <c r="V1376" s="243"/>
      <c r="W1376" s="243"/>
      <c r="X1376" s="243"/>
      <c r="Y1376" s="243"/>
      <c r="Z1376" s="243"/>
      <c r="AA1376" s="243"/>
      <c r="AB1376" s="243"/>
      <c r="AC1376" s="243"/>
      <c r="AD1376" s="243"/>
      <c r="AE1376" s="243"/>
      <c r="AF1376" s="243"/>
      <c r="AG1376" s="243"/>
      <c r="AH1376" s="243"/>
      <c r="AI1376" s="243"/>
      <c r="AJ1376" s="243"/>
      <c r="AK1376" s="243"/>
      <c r="AL1376" s="243"/>
      <c r="AM1376" s="243"/>
      <c r="AN1376" s="243"/>
      <c r="AO1376" s="243"/>
      <c r="AP1376" s="243"/>
      <c r="AQ1376" s="243"/>
      <c r="AR1376" s="243"/>
      <c r="AS1376" s="243"/>
      <c r="AT1376" s="243"/>
      <c r="AU1376" s="243"/>
      <c r="AV1376" s="243"/>
      <c r="AW1376" s="243"/>
      <c r="AX1376" s="243"/>
      <c r="AY1376" s="243"/>
      <c r="AZ1376" s="243"/>
      <c r="BA1376" s="243"/>
      <c r="BB1376" s="243"/>
      <c r="BC1376" s="243"/>
      <c r="BD1376" s="243"/>
      <c r="BE1376" s="243"/>
      <c r="BF1376" s="243"/>
      <c r="BG1376" s="243"/>
      <c r="BH1376" s="243"/>
      <c r="BI1376" s="243"/>
      <c r="BJ1376" s="243"/>
      <c r="BK1376" s="243"/>
      <c r="BL1376" s="243"/>
      <c r="BM1376" s="243"/>
      <c r="BN1376" s="243"/>
      <c r="BO1376" s="243"/>
      <c r="BP1376" s="243"/>
      <c r="BQ1376" s="243"/>
      <c r="BR1376" s="243"/>
      <c r="BS1376" s="243"/>
    </row>
    <row r="1377" spans="1:71" s="12" customFormat="1" ht="41.25" customHeight="1">
      <c r="A1377" s="178" t="s">
        <v>99</v>
      </c>
      <c r="B1377" s="75" t="str">
        <f ca="1">+UPPER(Tabla1321124[[#This Row],[DESCRIPCIÓN DE LA COMPRA O CONTRATACIÓN]])</f>
        <v>CLORURO DE SODIO</v>
      </c>
      <c r="C1377" s="39" t="s">
        <v>308</v>
      </c>
      <c r="D1377" s="236"/>
      <c r="E1377" s="236"/>
      <c r="F1377" s="236"/>
      <c r="G1377" s="236"/>
      <c r="H1377" s="236">
        <f>Tabla1321124[[#This Row],[CUARTO TRIMESTRE]]+Tabla1321124[[#This Row],[TERCER TRIMESTRE]]+Tabla1321124[[#This Row],[SEGUNDO TRIMESTRE]]+Tabla1321124[[#This Row],[PRIMER TRIMESTRE]]</f>
        <v>0</v>
      </c>
      <c r="I1377" s="17">
        <v>1298</v>
      </c>
      <c r="J1377" s="17">
        <f>+Tabla1321124[[#This Row],[CANTIDAD TOTAL]]*Tabla1321124[[#This Row],[PRECIO UNITARIO ESTIMADO]]</f>
        <v>0</v>
      </c>
      <c r="K1377" s="17"/>
      <c r="L1377" s="16" t="s">
        <v>18</v>
      </c>
      <c r="M1377" s="16" t="s">
        <v>22</v>
      </c>
      <c r="N1377" s="16" t="s">
        <v>418</v>
      </c>
      <c r="O1377" s="243"/>
      <c r="P1377" s="243"/>
      <c r="Q1377" s="243"/>
      <c r="R1377" s="243"/>
      <c r="S1377" s="243"/>
      <c r="T1377" s="243"/>
      <c r="U1377" s="243"/>
      <c r="V1377" s="243"/>
      <c r="W1377" s="243"/>
      <c r="X1377" s="243"/>
      <c r="Y1377" s="243"/>
      <c r="Z1377" s="243"/>
      <c r="AA1377" s="243"/>
      <c r="AB1377" s="243"/>
      <c r="AC1377" s="243"/>
      <c r="AD1377" s="243"/>
      <c r="AE1377" s="243"/>
      <c r="AF1377" s="243"/>
      <c r="AG1377" s="243"/>
      <c r="AH1377" s="243"/>
      <c r="AI1377" s="243"/>
      <c r="AJ1377" s="243"/>
      <c r="AK1377" s="243"/>
      <c r="AL1377" s="243"/>
      <c r="AM1377" s="243"/>
      <c r="AN1377" s="243"/>
      <c r="AO1377" s="243"/>
      <c r="AP1377" s="243"/>
      <c r="AQ1377" s="243"/>
      <c r="AR1377" s="243"/>
      <c r="AS1377" s="243"/>
      <c r="AT1377" s="243"/>
      <c r="AU1377" s="243"/>
      <c r="AV1377" s="243"/>
      <c r="AW1377" s="243"/>
      <c r="AX1377" s="243"/>
      <c r="AY1377" s="243"/>
      <c r="AZ1377" s="243"/>
      <c r="BA1377" s="243"/>
      <c r="BB1377" s="243"/>
      <c r="BC1377" s="243"/>
      <c r="BD1377" s="243"/>
      <c r="BE1377" s="243"/>
      <c r="BF1377" s="243"/>
      <c r="BG1377" s="243"/>
      <c r="BH1377" s="243"/>
      <c r="BI1377" s="243"/>
      <c r="BJ1377" s="243"/>
      <c r="BK1377" s="243"/>
      <c r="BL1377" s="243"/>
      <c r="BM1377" s="243"/>
      <c r="BN1377" s="243"/>
      <c r="BO1377" s="243"/>
      <c r="BP1377" s="243"/>
      <c r="BQ1377" s="243"/>
      <c r="BR1377" s="243"/>
      <c r="BS1377" s="243"/>
    </row>
    <row r="1378" spans="1:71" s="12" customFormat="1" ht="41.25" customHeight="1">
      <c r="A1378" s="178" t="s">
        <v>99</v>
      </c>
      <c r="B1378" s="75" t="str">
        <f ca="1">+UPPER(Tabla1321124[[#This Row],[DESCRIPCIÓN DE LA COMPRA O CONTRATACIÓN]])</f>
        <v>CLORURO DE BARIO</v>
      </c>
      <c r="C1378" s="39" t="s">
        <v>312</v>
      </c>
      <c r="D1378" s="236"/>
      <c r="E1378" s="236"/>
      <c r="F1378" s="236"/>
      <c r="G1378" s="236"/>
      <c r="H1378" s="236">
        <f>Tabla1321124[[#This Row],[CUARTO TRIMESTRE]]+Tabla1321124[[#This Row],[TERCER TRIMESTRE]]+Tabla1321124[[#This Row],[SEGUNDO TRIMESTRE]]+Tabla1321124[[#This Row],[PRIMER TRIMESTRE]]</f>
        <v>0</v>
      </c>
      <c r="I1378" s="17">
        <v>3418.58</v>
      </c>
      <c r="J1378" s="17">
        <f>+Tabla1321124[[#This Row],[CANTIDAD TOTAL]]*Tabla1321124[[#This Row],[PRECIO UNITARIO ESTIMADO]]</f>
        <v>0</v>
      </c>
      <c r="K1378" s="17"/>
      <c r="L1378" s="16" t="s">
        <v>18</v>
      </c>
      <c r="M1378" s="16" t="s">
        <v>22</v>
      </c>
      <c r="N1378" s="16" t="s">
        <v>418</v>
      </c>
      <c r="O1378" s="243"/>
      <c r="P1378" s="243"/>
      <c r="Q1378" s="243"/>
      <c r="R1378" s="243"/>
      <c r="S1378" s="243"/>
      <c r="T1378" s="243"/>
      <c r="U1378" s="243"/>
      <c r="V1378" s="243"/>
      <c r="W1378" s="243"/>
      <c r="X1378" s="243"/>
      <c r="Y1378" s="243"/>
      <c r="Z1378" s="243"/>
      <c r="AA1378" s="243"/>
      <c r="AB1378" s="243"/>
      <c r="AC1378" s="243"/>
      <c r="AD1378" s="243"/>
      <c r="AE1378" s="243"/>
      <c r="AF1378" s="243"/>
      <c r="AG1378" s="243"/>
      <c r="AH1378" s="243"/>
      <c r="AI1378" s="243"/>
      <c r="AJ1378" s="243"/>
      <c r="AK1378" s="243"/>
      <c r="AL1378" s="243"/>
      <c r="AM1378" s="243"/>
      <c r="AN1378" s="243"/>
      <c r="AO1378" s="243"/>
      <c r="AP1378" s="243"/>
      <c r="AQ1378" s="243"/>
      <c r="AR1378" s="243"/>
      <c r="AS1378" s="243"/>
      <c r="AT1378" s="243"/>
      <c r="AU1378" s="243"/>
      <c r="AV1378" s="243"/>
      <c r="AW1378" s="243"/>
      <c r="AX1378" s="243"/>
      <c r="AY1378" s="243"/>
      <c r="AZ1378" s="243"/>
      <c r="BA1378" s="243"/>
      <c r="BB1378" s="243"/>
      <c r="BC1378" s="243"/>
      <c r="BD1378" s="243"/>
      <c r="BE1378" s="243"/>
      <c r="BF1378" s="243"/>
      <c r="BG1378" s="243"/>
      <c r="BH1378" s="243"/>
      <c r="BI1378" s="243"/>
      <c r="BJ1378" s="243"/>
      <c r="BK1378" s="243"/>
      <c r="BL1378" s="243"/>
      <c r="BM1378" s="243"/>
      <c r="BN1378" s="243"/>
      <c r="BO1378" s="243"/>
      <c r="BP1378" s="243"/>
      <c r="BQ1378" s="243"/>
      <c r="BR1378" s="243"/>
      <c r="BS1378" s="243"/>
    </row>
    <row r="1379" spans="1:71" s="12" customFormat="1" ht="41.25" customHeight="1">
      <c r="A1379" s="178" t="s">
        <v>99</v>
      </c>
      <c r="B1379" s="75" t="str">
        <f ca="1">+UPPER(Tabla1321124[[#This Row],[DESCRIPCIÓN DE LA COMPRA O CONTRATACIÓN]])</f>
        <v>GLICEROL</v>
      </c>
      <c r="C1379" s="39" t="s">
        <v>315</v>
      </c>
      <c r="D1379" s="236">
        <f>1+1+1</f>
        <v>3</v>
      </c>
      <c r="E1379" s="236"/>
      <c r="F1379" s="236"/>
      <c r="G1379" s="236"/>
      <c r="H1379" s="236">
        <f>Tabla1321124[[#This Row],[CUARTO TRIMESTRE]]+Tabla1321124[[#This Row],[TERCER TRIMESTRE]]+Tabla1321124[[#This Row],[SEGUNDO TRIMESTRE]]+Tabla1321124[[#This Row],[PRIMER TRIMESTRE]]</f>
        <v>3</v>
      </c>
      <c r="I1379" s="17">
        <v>1569.4</v>
      </c>
      <c r="J1379" s="17">
        <f>+Tabla1321124[[#This Row],[CANTIDAD TOTAL]]*Tabla1321124[[#This Row],[PRECIO UNITARIO ESTIMADO]]</f>
        <v>4708.2000000000007</v>
      </c>
      <c r="K1379" s="17"/>
      <c r="L1379" s="16" t="s">
        <v>18</v>
      </c>
      <c r="M1379" s="16" t="s">
        <v>22</v>
      </c>
      <c r="N1379" s="16" t="s">
        <v>418</v>
      </c>
      <c r="O1379" s="243"/>
      <c r="P1379" s="243"/>
      <c r="Q1379" s="243"/>
      <c r="R1379" s="243"/>
      <c r="S1379" s="243"/>
      <c r="T1379" s="243"/>
      <c r="U1379" s="243"/>
      <c r="V1379" s="243"/>
      <c r="W1379" s="243"/>
      <c r="X1379" s="243"/>
      <c r="Y1379" s="243"/>
      <c r="Z1379" s="243"/>
      <c r="AA1379" s="243"/>
      <c r="AB1379" s="243"/>
      <c r="AC1379" s="243"/>
      <c r="AD1379" s="243"/>
      <c r="AE1379" s="243"/>
      <c r="AF1379" s="243"/>
      <c r="AG1379" s="243"/>
      <c r="AH1379" s="243"/>
      <c r="AI1379" s="243"/>
      <c r="AJ1379" s="243"/>
      <c r="AK1379" s="243"/>
      <c r="AL1379" s="243"/>
      <c r="AM1379" s="243"/>
      <c r="AN1379" s="243"/>
      <c r="AO1379" s="243"/>
      <c r="AP1379" s="243"/>
      <c r="AQ1379" s="243"/>
      <c r="AR1379" s="243"/>
      <c r="AS1379" s="243"/>
      <c r="AT1379" s="243"/>
      <c r="AU1379" s="243"/>
      <c r="AV1379" s="243"/>
      <c r="AW1379" s="243"/>
      <c r="AX1379" s="243"/>
      <c r="AY1379" s="243"/>
      <c r="AZ1379" s="243"/>
      <c r="BA1379" s="243"/>
      <c r="BB1379" s="243"/>
      <c r="BC1379" s="243"/>
      <c r="BD1379" s="243"/>
      <c r="BE1379" s="243"/>
      <c r="BF1379" s="243"/>
      <c r="BG1379" s="243"/>
      <c r="BH1379" s="243"/>
      <c r="BI1379" s="243"/>
      <c r="BJ1379" s="243"/>
      <c r="BK1379" s="243"/>
      <c r="BL1379" s="243"/>
      <c r="BM1379" s="243"/>
      <c r="BN1379" s="243"/>
      <c r="BO1379" s="243"/>
      <c r="BP1379" s="243"/>
      <c r="BQ1379" s="243"/>
      <c r="BR1379" s="243"/>
      <c r="BS1379" s="243"/>
    </row>
    <row r="1380" spans="1:71" s="12" customFormat="1" ht="41.25" customHeight="1">
      <c r="A1380" s="178" t="s">
        <v>99</v>
      </c>
      <c r="B1380" s="75" t="str">
        <f ca="1">+UPPER(Tabla1321124[[#This Row],[DESCRIPCIÓN DE LA COMPRA O CONTRATACIÓN]])</f>
        <v>HIDROXIDO DE AMONIO</v>
      </c>
      <c r="C1380" s="39" t="s">
        <v>308</v>
      </c>
      <c r="D1380" s="236">
        <v>1</v>
      </c>
      <c r="E1380" s="236"/>
      <c r="F1380" s="236"/>
      <c r="G1380" s="236"/>
      <c r="H1380" s="236">
        <f>Tabla1321124[[#This Row],[CUARTO TRIMESTRE]]+Tabla1321124[[#This Row],[TERCER TRIMESTRE]]+Tabla1321124[[#This Row],[SEGUNDO TRIMESTRE]]+Tabla1321124[[#This Row],[PRIMER TRIMESTRE]]</f>
        <v>1</v>
      </c>
      <c r="I1380" s="17">
        <v>3651.69</v>
      </c>
      <c r="J1380" s="17">
        <f>+Tabla1321124[[#This Row],[CANTIDAD TOTAL]]*Tabla1321124[[#This Row],[PRECIO UNITARIO ESTIMADO]]</f>
        <v>3651.69</v>
      </c>
      <c r="K1380" s="17"/>
      <c r="L1380" s="16" t="s">
        <v>18</v>
      </c>
      <c r="M1380" s="16" t="s">
        <v>22</v>
      </c>
      <c r="N1380" s="16" t="s">
        <v>418</v>
      </c>
      <c r="O1380" s="243"/>
      <c r="P1380" s="243"/>
      <c r="Q1380" s="243"/>
      <c r="R1380" s="243"/>
      <c r="S1380" s="243"/>
      <c r="T1380" s="243"/>
      <c r="U1380" s="243"/>
      <c r="V1380" s="243"/>
      <c r="W1380" s="243"/>
      <c r="X1380" s="243"/>
      <c r="Y1380" s="243"/>
      <c r="Z1380" s="243"/>
      <c r="AA1380" s="243"/>
      <c r="AB1380" s="243"/>
      <c r="AC1380" s="243"/>
      <c r="AD1380" s="243"/>
      <c r="AE1380" s="243"/>
      <c r="AF1380" s="243"/>
      <c r="AG1380" s="243"/>
      <c r="AH1380" s="243"/>
      <c r="AI1380" s="243"/>
      <c r="AJ1380" s="243"/>
      <c r="AK1380" s="243"/>
      <c r="AL1380" s="243"/>
      <c r="AM1380" s="243"/>
      <c r="AN1380" s="243"/>
      <c r="AO1380" s="243"/>
      <c r="AP1380" s="243"/>
      <c r="AQ1380" s="243"/>
      <c r="AR1380" s="243"/>
      <c r="AS1380" s="243"/>
      <c r="AT1380" s="243"/>
      <c r="AU1380" s="243"/>
      <c r="AV1380" s="243"/>
      <c r="AW1380" s="243"/>
      <c r="AX1380" s="243"/>
      <c r="AY1380" s="243"/>
      <c r="AZ1380" s="243"/>
      <c r="BA1380" s="243"/>
      <c r="BB1380" s="243"/>
      <c r="BC1380" s="243"/>
      <c r="BD1380" s="243"/>
      <c r="BE1380" s="243"/>
      <c r="BF1380" s="243"/>
      <c r="BG1380" s="243"/>
      <c r="BH1380" s="243"/>
      <c r="BI1380" s="243"/>
      <c r="BJ1380" s="243"/>
      <c r="BK1380" s="243"/>
      <c r="BL1380" s="243"/>
      <c r="BM1380" s="243"/>
      <c r="BN1380" s="243"/>
      <c r="BO1380" s="243"/>
      <c r="BP1380" s="243"/>
      <c r="BQ1380" s="243"/>
      <c r="BR1380" s="243"/>
      <c r="BS1380" s="243"/>
    </row>
    <row r="1381" spans="1:71" s="12" customFormat="1" ht="41.25" customHeight="1">
      <c r="A1381" s="178" t="s">
        <v>99</v>
      </c>
      <c r="B1381" s="75" t="str">
        <f ca="1">+UPPER(Tabla1321124[[#This Row],[DESCRIPCIÓN DE LA COMPRA O CONTRATACIÓN]])</f>
        <v>KIT DE COMPARADORES DE CLORO Y PH</v>
      </c>
      <c r="C1381" s="39" t="s">
        <v>17</v>
      </c>
      <c r="D1381" s="236">
        <f>250+20</f>
        <v>270</v>
      </c>
      <c r="E1381" s="236">
        <f>250+20</f>
        <v>270</v>
      </c>
      <c r="F1381" s="236">
        <f>250+20</f>
        <v>270</v>
      </c>
      <c r="G1381" s="236">
        <f>250+20</f>
        <v>270</v>
      </c>
      <c r="H1381" s="236">
        <f>Tabla1321124[[#This Row],[CUARTO TRIMESTRE]]+Tabla1321124[[#This Row],[TERCER TRIMESTRE]]+Tabla1321124[[#This Row],[SEGUNDO TRIMESTRE]]+Tabla1321124[[#This Row],[PRIMER TRIMESTRE]]</f>
        <v>1080</v>
      </c>
      <c r="I1381" s="17">
        <v>574.20000000000005</v>
      </c>
      <c r="J1381" s="17">
        <f>+Tabla1321124[[#This Row],[CANTIDAD TOTAL]]*Tabla1321124[[#This Row],[PRECIO UNITARIO ESTIMADO]]</f>
        <v>620136</v>
      </c>
      <c r="K1381" s="17"/>
      <c r="L1381" s="16" t="s">
        <v>18</v>
      </c>
      <c r="M1381" s="16" t="s">
        <v>22</v>
      </c>
      <c r="N1381" s="16" t="s">
        <v>418</v>
      </c>
      <c r="O1381" s="243"/>
      <c r="P1381" s="243"/>
      <c r="Q1381" s="243"/>
      <c r="R1381" s="243"/>
      <c r="S1381" s="243"/>
      <c r="T1381" s="243"/>
      <c r="U1381" s="243"/>
      <c r="V1381" s="243"/>
      <c r="W1381" s="243"/>
      <c r="X1381" s="243"/>
      <c r="Y1381" s="243"/>
      <c r="Z1381" s="243"/>
      <c r="AA1381" s="243"/>
      <c r="AB1381" s="243"/>
      <c r="AC1381" s="243"/>
      <c r="AD1381" s="243"/>
      <c r="AE1381" s="243"/>
      <c r="AF1381" s="243"/>
      <c r="AG1381" s="243"/>
      <c r="AH1381" s="243"/>
      <c r="AI1381" s="243"/>
      <c r="AJ1381" s="243"/>
      <c r="AK1381" s="243"/>
      <c r="AL1381" s="243"/>
      <c r="AM1381" s="243"/>
      <c r="AN1381" s="243"/>
      <c r="AO1381" s="243"/>
      <c r="AP1381" s="243"/>
      <c r="AQ1381" s="243"/>
      <c r="AR1381" s="243"/>
      <c r="AS1381" s="243"/>
      <c r="AT1381" s="243"/>
      <c r="AU1381" s="243"/>
      <c r="AV1381" s="243"/>
      <c r="AW1381" s="243"/>
      <c r="AX1381" s="243"/>
      <c r="AY1381" s="243"/>
      <c r="AZ1381" s="243"/>
      <c r="BA1381" s="243"/>
      <c r="BB1381" s="243"/>
      <c r="BC1381" s="243"/>
      <c r="BD1381" s="243"/>
      <c r="BE1381" s="243"/>
      <c r="BF1381" s="243"/>
      <c r="BG1381" s="243"/>
      <c r="BH1381" s="243"/>
      <c r="BI1381" s="243"/>
      <c r="BJ1381" s="243"/>
      <c r="BK1381" s="243"/>
      <c r="BL1381" s="243"/>
      <c r="BM1381" s="243"/>
      <c r="BN1381" s="243"/>
      <c r="BO1381" s="243"/>
      <c r="BP1381" s="243"/>
      <c r="BQ1381" s="243"/>
      <c r="BR1381" s="243"/>
      <c r="BS1381" s="243"/>
    </row>
    <row r="1382" spans="1:71" s="12" customFormat="1" ht="41.25" customHeight="1">
      <c r="A1382" s="178" t="s">
        <v>99</v>
      </c>
      <c r="B1382" s="75" t="str">
        <f ca="1">+UPPER(Tabla1321124[[#This Row],[DESCRIPCIÓN DE LA COMPRA O CONTRATACIÓN]])</f>
        <v>NEVERA DE 10 QT</v>
      </c>
      <c r="C1382" s="39" t="s">
        <v>17</v>
      </c>
      <c r="D1382" s="236">
        <f>6+3</f>
        <v>9</v>
      </c>
      <c r="E1382" s="236">
        <v>1</v>
      </c>
      <c r="F1382" s="236"/>
      <c r="G1382" s="236">
        <v>5</v>
      </c>
      <c r="H1382" s="236">
        <f>Tabla1321124[[#This Row],[CUARTO TRIMESTRE]]+Tabla1321124[[#This Row],[TERCER TRIMESTRE]]+Tabla1321124[[#This Row],[SEGUNDO TRIMESTRE]]+Tabla1321124[[#This Row],[PRIMER TRIMESTRE]]</f>
        <v>15</v>
      </c>
      <c r="I1382" s="17">
        <v>1035</v>
      </c>
      <c r="J1382" s="17">
        <f>+Tabla1321124[[#This Row],[CANTIDAD TOTAL]]*Tabla1321124[[#This Row],[PRECIO UNITARIO ESTIMADO]]</f>
        <v>15525</v>
      </c>
      <c r="K1382" s="17"/>
      <c r="L1382" s="16" t="s">
        <v>18</v>
      </c>
      <c r="M1382" s="16" t="s">
        <v>22</v>
      </c>
      <c r="N1382" s="16" t="s">
        <v>418</v>
      </c>
      <c r="O1382" s="243"/>
      <c r="P1382" s="243"/>
      <c r="Q1382" s="243"/>
      <c r="R1382" s="243"/>
      <c r="S1382" s="243"/>
      <c r="T1382" s="243"/>
      <c r="U1382" s="243"/>
      <c r="V1382" s="243"/>
      <c r="W1382" s="243"/>
      <c r="X1382" s="243"/>
      <c r="Y1382" s="243"/>
      <c r="Z1382" s="243"/>
      <c r="AA1382" s="243"/>
      <c r="AB1382" s="243"/>
      <c r="AC1382" s="243"/>
      <c r="AD1382" s="243"/>
      <c r="AE1382" s="243"/>
      <c r="AF1382" s="243"/>
      <c r="AG1382" s="243"/>
      <c r="AH1382" s="243"/>
      <c r="AI1382" s="243"/>
      <c r="AJ1382" s="243"/>
      <c r="AK1382" s="243"/>
      <c r="AL1382" s="243"/>
      <c r="AM1382" s="243"/>
      <c r="AN1382" s="243"/>
      <c r="AO1382" s="243"/>
      <c r="AP1382" s="243"/>
      <c r="AQ1382" s="243"/>
      <c r="AR1382" s="243"/>
      <c r="AS1382" s="243"/>
      <c r="AT1382" s="243"/>
      <c r="AU1382" s="243"/>
      <c r="AV1382" s="243"/>
      <c r="AW1382" s="243"/>
      <c r="AX1382" s="243"/>
      <c r="AY1382" s="243"/>
      <c r="AZ1382" s="243"/>
      <c r="BA1382" s="243"/>
      <c r="BB1382" s="243"/>
      <c r="BC1382" s="243"/>
      <c r="BD1382" s="243"/>
      <c r="BE1382" s="243"/>
      <c r="BF1382" s="243"/>
      <c r="BG1382" s="243"/>
      <c r="BH1382" s="243"/>
      <c r="BI1382" s="243"/>
      <c r="BJ1382" s="243"/>
      <c r="BK1382" s="243"/>
      <c r="BL1382" s="243"/>
      <c r="BM1382" s="243"/>
      <c r="BN1382" s="243"/>
      <c r="BO1382" s="243"/>
      <c r="BP1382" s="243"/>
      <c r="BQ1382" s="243"/>
      <c r="BR1382" s="243"/>
      <c r="BS1382" s="243"/>
    </row>
    <row r="1383" spans="1:71" s="12" customFormat="1" ht="41.25" customHeight="1">
      <c r="A1383" s="178" t="s">
        <v>99</v>
      </c>
      <c r="B1383" s="75" t="s">
        <v>1884</v>
      </c>
      <c r="C1383" s="39" t="s">
        <v>1067</v>
      </c>
      <c r="D1383" s="236">
        <v>1</v>
      </c>
      <c r="E1383" s="236">
        <v>1</v>
      </c>
      <c r="F1383" s="236"/>
      <c r="G1383" s="236"/>
      <c r="H1383" s="236">
        <f>Tabla1321124[[#This Row],[CUARTO TRIMESTRE]]+Tabla1321124[[#This Row],[TERCER TRIMESTRE]]+Tabla1321124[[#This Row],[SEGUNDO TRIMESTRE]]+Tabla1321124[[#This Row],[PRIMER TRIMESTRE]]</f>
        <v>2</v>
      </c>
      <c r="I1383" s="17">
        <v>20000</v>
      </c>
      <c r="J1383" s="17">
        <v>40000</v>
      </c>
      <c r="K1383" s="17"/>
      <c r="L1383" s="16" t="s">
        <v>18</v>
      </c>
      <c r="M1383" s="16" t="s">
        <v>18</v>
      </c>
      <c r="N1383" s="39" t="s">
        <v>418</v>
      </c>
      <c r="O1383" s="243"/>
      <c r="P1383" s="243"/>
      <c r="Q1383" s="243"/>
      <c r="R1383" s="243"/>
      <c r="S1383" s="243"/>
      <c r="T1383" s="243"/>
      <c r="U1383" s="243"/>
      <c r="V1383" s="243"/>
      <c r="W1383" s="243"/>
      <c r="X1383" s="243"/>
      <c r="Y1383" s="243"/>
      <c r="Z1383" s="243"/>
      <c r="AA1383" s="243"/>
      <c r="AB1383" s="243"/>
      <c r="AC1383" s="243"/>
      <c r="AD1383" s="243"/>
      <c r="AE1383" s="243"/>
      <c r="AF1383" s="243"/>
      <c r="AG1383" s="243"/>
      <c r="AH1383" s="243"/>
      <c r="AI1383" s="243"/>
      <c r="AJ1383" s="243"/>
      <c r="AK1383" s="243"/>
      <c r="AL1383" s="243"/>
      <c r="AM1383" s="243"/>
      <c r="AN1383" s="243"/>
      <c r="AO1383" s="243"/>
      <c r="AP1383" s="243"/>
      <c r="AQ1383" s="243"/>
      <c r="AR1383" s="243"/>
      <c r="AS1383" s="243"/>
      <c r="AT1383" s="243"/>
      <c r="AU1383" s="243"/>
      <c r="AV1383" s="243"/>
      <c r="AW1383" s="243"/>
      <c r="AX1383" s="243"/>
      <c r="AY1383" s="243"/>
      <c r="AZ1383" s="243"/>
      <c r="BA1383" s="243"/>
      <c r="BB1383" s="243"/>
      <c r="BC1383" s="243"/>
      <c r="BD1383" s="243"/>
      <c r="BE1383" s="243"/>
      <c r="BF1383" s="243"/>
      <c r="BG1383" s="243"/>
      <c r="BH1383" s="243"/>
      <c r="BI1383" s="243"/>
      <c r="BJ1383" s="243"/>
      <c r="BK1383" s="243"/>
      <c r="BL1383" s="243"/>
      <c r="BM1383" s="243"/>
      <c r="BN1383" s="243"/>
      <c r="BO1383" s="243"/>
      <c r="BP1383" s="243"/>
      <c r="BQ1383" s="243"/>
      <c r="BR1383" s="243"/>
      <c r="BS1383" s="243"/>
    </row>
    <row r="1384" spans="1:71" s="12" customFormat="1" ht="41.25" customHeight="1">
      <c r="A1384" s="178" t="s">
        <v>99</v>
      </c>
      <c r="B1384" s="75" t="str">
        <f ca="1">+UPPER(Tabla1321124[[#This Row],[DESCRIPCIÓN DE LA COMPRA O CONTRATACIÓN]])</f>
        <v>LAURYL TRYPTOSE BROTH, FRASCOS DE 500G</v>
      </c>
      <c r="C1384" s="39" t="s">
        <v>1037</v>
      </c>
      <c r="D1384" s="236">
        <v>60</v>
      </c>
      <c r="E1384" s="236">
        <v>60</v>
      </c>
      <c r="F1384" s="236">
        <v>60</v>
      </c>
      <c r="G1384" s="236">
        <v>60</v>
      </c>
      <c r="H1384" s="236">
        <f>Tabla1321124[[#This Row],[CUARTO TRIMESTRE]]+Tabla1321124[[#This Row],[TERCER TRIMESTRE]]+Tabla1321124[[#This Row],[SEGUNDO TRIMESTRE]]+Tabla1321124[[#This Row],[PRIMER TRIMESTRE]]</f>
        <v>240</v>
      </c>
      <c r="I1384" s="17">
        <v>3800</v>
      </c>
      <c r="J1384" s="17">
        <f>+Tabla1321124[[#This Row],[CANTIDAD TOTAL]]*Tabla1321124[[#This Row],[PRECIO UNITARIO ESTIMADO]]</f>
        <v>912000</v>
      </c>
      <c r="K1384" s="17"/>
      <c r="L1384" s="16" t="s">
        <v>18</v>
      </c>
      <c r="M1384" s="16" t="s">
        <v>22</v>
      </c>
      <c r="N1384" s="16" t="s">
        <v>418</v>
      </c>
      <c r="O1384" s="243"/>
      <c r="P1384" s="243"/>
      <c r="Q1384" s="243"/>
      <c r="R1384" s="243"/>
      <c r="S1384" s="243"/>
      <c r="T1384" s="243"/>
      <c r="U1384" s="243"/>
      <c r="V1384" s="243"/>
      <c r="W1384" s="243"/>
      <c r="X1384" s="243"/>
      <c r="Y1384" s="243"/>
      <c r="Z1384" s="243"/>
      <c r="AA1384" s="243"/>
      <c r="AB1384" s="243"/>
      <c r="AC1384" s="243"/>
      <c r="AD1384" s="243"/>
      <c r="AE1384" s="243"/>
      <c r="AF1384" s="243"/>
      <c r="AG1384" s="243"/>
      <c r="AH1384" s="243"/>
      <c r="AI1384" s="243"/>
      <c r="AJ1384" s="243"/>
      <c r="AK1384" s="243"/>
      <c r="AL1384" s="243"/>
      <c r="AM1384" s="243"/>
      <c r="AN1384" s="243"/>
      <c r="AO1384" s="243"/>
      <c r="AP1384" s="243"/>
      <c r="AQ1384" s="243"/>
      <c r="AR1384" s="243"/>
      <c r="AS1384" s="243"/>
      <c r="AT1384" s="243"/>
      <c r="AU1384" s="243"/>
      <c r="AV1384" s="243"/>
      <c r="AW1384" s="243"/>
      <c r="AX1384" s="243"/>
      <c r="AY1384" s="243"/>
      <c r="AZ1384" s="243"/>
      <c r="BA1384" s="243"/>
      <c r="BB1384" s="243"/>
      <c r="BC1384" s="243"/>
      <c r="BD1384" s="243"/>
      <c r="BE1384" s="243"/>
      <c r="BF1384" s="243"/>
      <c r="BG1384" s="243"/>
      <c r="BH1384" s="243"/>
      <c r="BI1384" s="243"/>
      <c r="BJ1384" s="243"/>
      <c r="BK1384" s="243"/>
      <c r="BL1384" s="243"/>
      <c r="BM1384" s="243"/>
      <c r="BN1384" s="243"/>
      <c r="BO1384" s="243"/>
      <c r="BP1384" s="243"/>
      <c r="BQ1384" s="243"/>
      <c r="BR1384" s="243"/>
      <c r="BS1384" s="243"/>
    </row>
    <row r="1385" spans="1:71" s="12" customFormat="1" ht="41.25" customHeight="1">
      <c r="A1385" s="178" t="s">
        <v>99</v>
      </c>
      <c r="B1385" s="75" t="str">
        <f ca="1">+UPPER(Tabla1321124[[#This Row],[DESCRIPCIÓN DE LA COMPRA O CONTRATACIÓN]])</f>
        <v>EC. MEDIUM BROTH WITH MUG, FRASCOS DE 500G</v>
      </c>
      <c r="C1385" s="39" t="s">
        <v>1037</v>
      </c>
      <c r="D1385" s="236"/>
      <c r="E1385" s="236"/>
      <c r="F1385" s="236">
        <v>1</v>
      </c>
      <c r="G1385" s="236"/>
      <c r="H1385" s="236">
        <f>Tabla1321124[[#This Row],[CUARTO TRIMESTRE]]+Tabla1321124[[#This Row],[TERCER TRIMESTRE]]+Tabla1321124[[#This Row],[SEGUNDO TRIMESTRE]]+Tabla1321124[[#This Row],[PRIMER TRIMESTRE]]</f>
        <v>1</v>
      </c>
      <c r="I1385" s="17">
        <v>11200</v>
      </c>
      <c r="J1385" s="17">
        <f>+Tabla1321124[[#This Row],[CANTIDAD TOTAL]]*Tabla1321124[[#This Row],[PRECIO UNITARIO ESTIMADO]]</f>
        <v>11200</v>
      </c>
      <c r="K1385" s="17"/>
      <c r="L1385" s="16" t="s">
        <v>18</v>
      </c>
      <c r="M1385" s="16" t="s">
        <v>22</v>
      </c>
      <c r="N1385" s="16" t="s">
        <v>418</v>
      </c>
      <c r="O1385" s="243"/>
      <c r="P1385" s="243"/>
      <c r="Q1385" s="243"/>
      <c r="R1385" s="243"/>
      <c r="S1385" s="243"/>
      <c r="T1385" s="243"/>
      <c r="U1385" s="243"/>
      <c r="V1385" s="243"/>
      <c r="W1385" s="243"/>
      <c r="X1385" s="243"/>
      <c r="Y1385" s="243"/>
      <c r="Z1385" s="243"/>
      <c r="AA1385" s="243"/>
      <c r="AB1385" s="243"/>
      <c r="AC1385" s="243"/>
      <c r="AD1385" s="243"/>
      <c r="AE1385" s="243"/>
      <c r="AF1385" s="243"/>
      <c r="AG1385" s="243"/>
      <c r="AH1385" s="243"/>
      <c r="AI1385" s="243"/>
      <c r="AJ1385" s="243"/>
      <c r="AK1385" s="243"/>
      <c r="AL1385" s="243"/>
      <c r="AM1385" s="243"/>
      <c r="AN1385" s="243"/>
      <c r="AO1385" s="243"/>
      <c r="AP1385" s="243"/>
      <c r="AQ1385" s="243"/>
      <c r="AR1385" s="243"/>
      <c r="AS1385" s="243"/>
      <c r="AT1385" s="243"/>
      <c r="AU1385" s="243"/>
      <c r="AV1385" s="243"/>
      <c r="AW1385" s="243"/>
      <c r="AX1385" s="243"/>
      <c r="AY1385" s="243"/>
      <c r="AZ1385" s="243"/>
      <c r="BA1385" s="243"/>
      <c r="BB1385" s="243"/>
      <c r="BC1385" s="243"/>
      <c r="BD1385" s="243"/>
      <c r="BE1385" s="243"/>
      <c r="BF1385" s="243"/>
      <c r="BG1385" s="243"/>
      <c r="BH1385" s="243"/>
      <c r="BI1385" s="243"/>
      <c r="BJ1385" s="243"/>
      <c r="BK1385" s="243"/>
      <c r="BL1385" s="243"/>
      <c r="BM1385" s="243"/>
      <c r="BN1385" s="243"/>
      <c r="BO1385" s="243"/>
      <c r="BP1385" s="243"/>
      <c r="BQ1385" s="243"/>
      <c r="BR1385" s="243"/>
      <c r="BS1385" s="243"/>
    </row>
    <row r="1386" spans="1:71" s="12" customFormat="1" ht="41.25" customHeight="1">
      <c r="A1386" s="178" t="s">
        <v>99</v>
      </c>
      <c r="B1386" s="75" t="str">
        <f ca="1">+UPPER(Tabla1321124[[#This Row],[DESCRIPCIÓN DE LA COMPRA O CONTRATACIÓN]])</f>
        <v>BILI VERDE BRILLANTE AL 2%, FRASCO DE 500G</v>
      </c>
      <c r="C1386" s="39" t="s">
        <v>1037</v>
      </c>
      <c r="D1386" s="236">
        <f>3</f>
        <v>3</v>
      </c>
      <c r="E1386" s="236">
        <f>3</f>
        <v>3</v>
      </c>
      <c r="F1386" s="236">
        <f>3</f>
        <v>3</v>
      </c>
      <c r="G1386" s="236">
        <f>3</f>
        <v>3</v>
      </c>
      <c r="H1386" s="236">
        <f>Tabla1321124[[#This Row],[CUARTO TRIMESTRE]]+Tabla1321124[[#This Row],[TERCER TRIMESTRE]]+Tabla1321124[[#This Row],[SEGUNDO TRIMESTRE]]+Tabla1321124[[#This Row],[PRIMER TRIMESTRE]]</f>
        <v>12</v>
      </c>
      <c r="I1386" s="17">
        <v>3700</v>
      </c>
      <c r="J1386" s="17">
        <f>+Tabla1321124[[#This Row],[CANTIDAD TOTAL]]*Tabla1321124[[#This Row],[PRECIO UNITARIO ESTIMADO]]</f>
        <v>44400</v>
      </c>
      <c r="K1386" s="17"/>
      <c r="L1386" s="16" t="s">
        <v>18</v>
      </c>
      <c r="M1386" s="16" t="s">
        <v>22</v>
      </c>
      <c r="N1386" s="16" t="s">
        <v>418</v>
      </c>
      <c r="O1386" s="243"/>
      <c r="P1386" s="243"/>
      <c r="Q1386" s="243"/>
      <c r="R1386" s="243"/>
      <c r="S1386" s="243"/>
      <c r="T1386" s="243"/>
      <c r="U1386" s="243"/>
      <c r="V1386" s="243"/>
      <c r="W1386" s="243"/>
      <c r="X1386" s="243"/>
      <c r="Y1386" s="243"/>
      <c r="Z1386" s="243"/>
      <c r="AA1386" s="243"/>
      <c r="AB1386" s="243"/>
      <c r="AC1386" s="243"/>
      <c r="AD1386" s="243"/>
      <c r="AE1386" s="243"/>
      <c r="AF1386" s="243"/>
      <c r="AG1386" s="243"/>
      <c r="AH1386" s="243"/>
      <c r="AI1386" s="243"/>
      <c r="AJ1386" s="243"/>
      <c r="AK1386" s="243"/>
      <c r="AL1386" s="243"/>
      <c r="AM1386" s="243"/>
      <c r="AN1386" s="243"/>
      <c r="AO1386" s="243"/>
      <c r="AP1386" s="243"/>
      <c r="AQ1386" s="243"/>
      <c r="AR1386" s="243"/>
      <c r="AS1386" s="243"/>
      <c r="AT1386" s="243"/>
      <c r="AU1386" s="243"/>
      <c r="AV1386" s="243"/>
      <c r="AW1386" s="243"/>
      <c r="AX1386" s="243"/>
      <c r="AY1386" s="243"/>
      <c r="AZ1386" s="243"/>
      <c r="BA1386" s="243"/>
      <c r="BB1386" s="243"/>
      <c r="BC1386" s="243"/>
      <c r="BD1386" s="243"/>
      <c r="BE1386" s="243"/>
      <c r="BF1386" s="243"/>
      <c r="BG1386" s="243"/>
      <c r="BH1386" s="243"/>
      <c r="BI1386" s="243"/>
      <c r="BJ1386" s="243"/>
      <c r="BK1386" s="243"/>
      <c r="BL1386" s="243"/>
      <c r="BM1386" s="243"/>
      <c r="BN1386" s="243"/>
      <c r="BO1386" s="243"/>
      <c r="BP1386" s="243"/>
      <c r="BQ1386" s="243"/>
      <c r="BR1386" s="243"/>
      <c r="BS1386" s="243"/>
    </row>
    <row r="1387" spans="1:71" s="12" customFormat="1" ht="41.25" customHeight="1">
      <c r="A1387" s="178" t="s">
        <v>99</v>
      </c>
      <c r="B1387" s="75" t="str">
        <f ca="1">+UPPER(Tabla1321124[[#This Row],[DESCRIPCIÓN DE LA COMPRA O CONTRATACIÓN]])</f>
        <v>PLATE COUNT AGAR, 500G</v>
      </c>
      <c r="C1387" s="39" t="s">
        <v>1037</v>
      </c>
      <c r="D1387" s="236"/>
      <c r="E1387" s="236"/>
      <c r="F1387" s="236">
        <f>1</f>
        <v>1</v>
      </c>
      <c r="G1387" s="236"/>
      <c r="H1387" s="236">
        <f>Tabla1321124[[#This Row],[CUARTO TRIMESTRE]]+Tabla1321124[[#This Row],[TERCER TRIMESTRE]]+Tabla1321124[[#This Row],[SEGUNDO TRIMESTRE]]+Tabla1321124[[#This Row],[PRIMER TRIMESTRE]]</f>
        <v>1</v>
      </c>
      <c r="I1387" s="17">
        <v>4500</v>
      </c>
      <c r="J1387" s="17">
        <f>+Tabla1321124[[#This Row],[CANTIDAD TOTAL]]*Tabla1321124[[#This Row],[PRECIO UNITARIO ESTIMADO]]</f>
        <v>4500</v>
      </c>
      <c r="K1387" s="17"/>
      <c r="L1387" s="16" t="s">
        <v>18</v>
      </c>
      <c r="M1387" s="16" t="s">
        <v>22</v>
      </c>
      <c r="N1387" s="16" t="s">
        <v>418</v>
      </c>
      <c r="O1387" s="243"/>
      <c r="P1387" s="243"/>
      <c r="Q1387" s="243"/>
      <c r="R1387" s="243"/>
      <c r="S1387" s="243"/>
      <c r="T1387" s="243"/>
      <c r="U1387" s="243"/>
      <c r="V1387" s="243"/>
      <c r="W1387" s="243"/>
      <c r="X1387" s="243"/>
      <c r="Y1387" s="243"/>
      <c r="Z1387" s="243"/>
      <c r="AA1387" s="243"/>
      <c r="AB1387" s="243"/>
      <c r="AC1387" s="243"/>
      <c r="AD1387" s="243"/>
      <c r="AE1387" s="243"/>
      <c r="AF1387" s="243"/>
      <c r="AG1387" s="243"/>
      <c r="AH1387" s="243"/>
      <c r="AI1387" s="243"/>
      <c r="AJ1387" s="243"/>
      <c r="AK1387" s="243"/>
      <c r="AL1387" s="243"/>
      <c r="AM1387" s="243"/>
      <c r="AN1387" s="243"/>
      <c r="AO1387" s="243"/>
      <c r="AP1387" s="243"/>
      <c r="AQ1387" s="243"/>
      <c r="AR1387" s="243"/>
      <c r="AS1387" s="243"/>
      <c r="AT1387" s="243"/>
      <c r="AU1387" s="243"/>
      <c r="AV1387" s="243"/>
      <c r="AW1387" s="243"/>
      <c r="AX1387" s="243"/>
      <c r="AY1387" s="243"/>
      <c r="AZ1387" s="243"/>
      <c r="BA1387" s="243"/>
      <c r="BB1387" s="243"/>
      <c r="BC1387" s="243"/>
      <c r="BD1387" s="243"/>
      <c r="BE1387" s="243"/>
      <c r="BF1387" s="243"/>
      <c r="BG1387" s="243"/>
      <c r="BH1387" s="243"/>
      <c r="BI1387" s="243"/>
      <c r="BJ1387" s="243"/>
      <c r="BK1387" s="243"/>
      <c r="BL1387" s="243"/>
      <c r="BM1387" s="243"/>
      <c r="BN1387" s="243"/>
      <c r="BO1387" s="243"/>
      <c r="BP1387" s="243"/>
      <c r="BQ1387" s="243"/>
      <c r="BR1387" s="243"/>
      <c r="BS1387" s="243"/>
    </row>
    <row r="1388" spans="1:71" s="12" customFormat="1" ht="41.25" customHeight="1">
      <c r="A1388" s="178" t="s">
        <v>99</v>
      </c>
      <c r="B1388" s="344" t="str">
        <f ca="1">+UPPER(Tabla1321124[[#This Row],[DESCRIPCIÓN DE LA COMPRA O CONTRATACIÓN]])</f>
        <v>CETRIMIDE AGAR, FRASCO DE 500G</v>
      </c>
      <c r="C1388" s="39" t="s">
        <v>1037</v>
      </c>
      <c r="D1388" s="236">
        <f>1</f>
        <v>1</v>
      </c>
      <c r="E1388" s="236"/>
      <c r="F1388" s="236"/>
      <c r="G1388" s="236"/>
      <c r="H1388" s="236">
        <f>Tabla1321124[[#This Row],[CUARTO TRIMESTRE]]+Tabla1321124[[#This Row],[TERCER TRIMESTRE]]+Tabla1321124[[#This Row],[SEGUNDO TRIMESTRE]]+Tabla1321124[[#This Row],[PRIMER TRIMESTRE]]</f>
        <v>1</v>
      </c>
      <c r="I1388" s="17">
        <v>4500</v>
      </c>
      <c r="J1388" s="17">
        <f>+Tabla1321124[[#This Row],[CANTIDAD TOTAL]]*Tabla1321124[[#This Row],[PRECIO UNITARIO ESTIMADO]]</f>
        <v>4500</v>
      </c>
      <c r="K1388" s="345"/>
      <c r="L1388" s="16" t="s">
        <v>18</v>
      </c>
      <c r="M1388" s="16" t="s">
        <v>22</v>
      </c>
      <c r="N1388" s="16" t="s">
        <v>418</v>
      </c>
      <c r="O1388" s="243"/>
      <c r="P1388" s="243"/>
      <c r="Q1388" s="243"/>
      <c r="R1388" s="243"/>
      <c r="S1388" s="243"/>
      <c r="T1388" s="243"/>
      <c r="U1388" s="243"/>
      <c r="V1388" s="243"/>
      <c r="W1388" s="243"/>
      <c r="X1388" s="243"/>
      <c r="Y1388" s="243"/>
      <c r="Z1388" s="243"/>
      <c r="AA1388" s="243"/>
      <c r="AB1388" s="243"/>
      <c r="AC1388" s="243"/>
      <c r="AD1388" s="243"/>
      <c r="AE1388" s="243"/>
      <c r="AF1388" s="243"/>
      <c r="AG1388" s="243"/>
      <c r="AH1388" s="243"/>
      <c r="AI1388" s="243"/>
      <c r="AJ1388" s="243"/>
      <c r="AK1388" s="243"/>
      <c r="AL1388" s="243"/>
      <c r="AM1388" s="243"/>
      <c r="AN1388" s="243"/>
      <c r="AO1388" s="243"/>
      <c r="AP1388" s="243"/>
      <c r="AQ1388" s="243"/>
      <c r="AR1388" s="243"/>
      <c r="AS1388" s="243"/>
      <c r="AT1388" s="243"/>
      <c r="AU1388" s="243"/>
      <c r="AV1388" s="243"/>
      <c r="AW1388" s="243"/>
      <c r="AX1388" s="243"/>
      <c r="AY1388" s="243"/>
      <c r="AZ1388" s="243"/>
      <c r="BA1388" s="243"/>
      <c r="BB1388" s="243"/>
      <c r="BC1388" s="243"/>
      <c r="BD1388" s="243"/>
      <c r="BE1388" s="243"/>
      <c r="BF1388" s="243"/>
      <c r="BG1388" s="243"/>
      <c r="BH1388" s="243"/>
      <c r="BI1388" s="243"/>
      <c r="BJ1388" s="243"/>
      <c r="BK1388" s="243"/>
      <c r="BL1388" s="243"/>
      <c r="BM1388" s="243"/>
      <c r="BN1388" s="243"/>
      <c r="BO1388" s="243"/>
      <c r="BP1388" s="243"/>
      <c r="BQ1388" s="243"/>
      <c r="BR1388" s="243"/>
      <c r="BS1388" s="243"/>
    </row>
    <row r="1389" spans="1:71" s="12" customFormat="1" ht="41.25" customHeight="1">
      <c r="A1389" s="178" t="s">
        <v>99</v>
      </c>
      <c r="B1389" s="75" t="str">
        <f ca="1">+UPPER(Tabla1321124[[#This Row],[DESCRIPCIÓN DE LA COMPRA O CONTRATACIÓN]])</f>
        <v>TRYPTONE SOYA AGAR, FRASCO DE 500G</v>
      </c>
      <c r="C1389" s="39" t="s">
        <v>1037</v>
      </c>
      <c r="D1389" s="236"/>
      <c r="E1389" s="236"/>
      <c r="F1389" s="236"/>
      <c r="G1389" s="236"/>
      <c r="H1389" s="236">
        <f>Tabla1321124[[#This Row],[CUARTO TRIMESTRE]]+Tabla1321124[[#This Row],[TERCER TRIMESTRE]]+Tabla1321124[[#This Row],[SEGUNDO TRIMESTRE]]+Tabla1321124[[#This Row],[PRIMER TRIMESTRE]]</f>
        <v>0</v>
      </c>
      <c r="I1389" s="17">
        <v>2800</v>
      </c>
      <c r="J1389" s="17">
        <f>+Tabla1321124[[#This Row],[CANTIDAD TOTAL]]*Tabla1321124[[#This Row],[PRECIO UNITARIO ESTIMADO]]</f>
        <v>0</v>
      </c>
      <c r="K1389" s="17"/>
      <c r="L1389" s="16" t="s">
        <v>18</v>
      </c>
      <c r="M1389" s="16" t="s">
        <v>22</v>
      </c>
      <c r="N1389" s="16" t="s">
        <v>418</v>
      </c>
      <c r="O1389" s="243"/>
      <c r="P1389" s="243"/>
      <c r="Q1389" s="243"/>
      <c r="R1389" s="243"/>
      <c r="S1389" s="243"/>
      <c r="T1389" s="243"/>
      <c r="U1389" s="243"/>
      <c r="V1389" s="243"/>
      <c r="W1389" s="243"/>
      <c r="X1389" s="243"/>
      <c r="Y1389" s="243"/>
      <c r="Z1389" s="243"/>
      <c r="AA1389" s="243"/>
      <c r="AB1389" s="243"/>
      <c r="AC1389" s="243"/>
      <c r="AD1389" s="243"/>
      <c r="AE1389" s="243"/>
      <c r="AF1389" s="243"/>
      <c r="AG1389" s="243"/>
      <c r="AH1389" s="243"/>
      <c r="AI1389" s="243"/>
      <c r="AJ1389" s="243"/>
      <c r="AK1389" s="243"/>
      <c r="AL1389" s="243"/>
      <c r="AM1389" s="243"/>
      <c r="AN1389" s="243"/>
      <c r="AO1389" s="243"/>
      <c r="AP1389" s="243"/>
      <c r="AQ1389" s="243"/>
      <c r="AR1389" s="243"/>
      <c r="AS1389" s="243"/>
      <c r="AT1389" s="243"/>
      <c r="AU1389" s="243"/>
      <c r="AV1389" s="243"/>
      <c r="AW1389" s="243"/>
      <c r="AX1389" s="243"/>
      <c r="AY1389" s="243"/>
      <c r="AZ1389" s="243"/>
      <c r="BA1389" s="243"/>
      <c r="BB1389" s="243"/>
      <c r="BC1389" s="243"/>
      <c r="BD1389" s="243"/>
      <c r="BE1389" s="243"/>
      <c r="BF1389" s="243"/>
      <c r="BG1389" s="243"/>
      <c r="BH1389" s="243"/>
      <c r="BI1389" s="243"/>
      <c r="BJ1389" s="243"/>
      <c r="BK1389" s="243"/>
      <c r="BL1389" s="243"/>
      <c r="BM1389" s="243"/>
      <c r="BN1389" s="243"/>
      <c r="BO1389" s="243"/>
      <c r="BP1389" s="243"/>
      <c r="BQ1389" s="243"/>
      <c r="BR1389" s="243"/>
      <c r="BS1389" s="243"/>
    </row>
    <row r="1390" spans="1:71" s="12" customFormat="1" ht="41.25" customHeight="1">
      <c r="A1390" s="178" t="s">
        <v>99</v>
      </c>
      <c r="B1390" s="75" t="str">
        <f ca="1">+UPPER(Tabla1321124[[#This Row],[DESCRIPCIÓN DE LA COMPRA O CONTRATACIÓN]])</f>
        <v>EC.MEDIUM, FRASCOS DE 500G</v>
      </c>
      <c r="C1390" s="39" t="s">
        <v>1037</v>
      </c>
      <c r="D1390" s="236">
        <f>3</f>
        <v>3</v>
      </c>
      <c r="E1390" s="236">
        <f>3</f>
        <v>3</v>
      </c>
      <c r="F1390" s="236">
        <f>3</f>
        <v>3</v>
      </c>
      <c r="G1390" s="236">
        <f>3</f>
        <v>3</v>
      </c>
      <c r="H1390" s="236">
        <f>Tabla1321124[[#This Row],[CUARTO TRIMESTRE]]+Tabla1321124[[#This Row],[TERCER TRIMESTRE]]+Tabla1321124[[#This Row],[SEGUNDO TRIMESTRE]]+Tabla1321124[[#This Row],[PRIMER TRIMESTRE]]</f>
        <v>12</v>
      </c>
      <c r="I1390" s="17">
        <v>3500</v>
      </c>
      <c r="J1390" s="17">
        <f>+Tabla1321124[[#This Row],[CANTIDAD TOTAL]]*Tabla1321124[[#This Row],[PRECIO UNITARIO ESTIMADO]]</f>
        <v>42000</v>
      </c>
      <c r="K1390" s="17"/>
      <c r="L1390" s="16" t="s">
        <v>18</v>
      </c>
      <c r="M1390" s="16" t="s">
        <v>22</v>
      </c>
      <c r="N1390" s="16" t="s">
        <v>418</v>
      </c>
      <c r="O1390" s="243"/>
      <c r="P1390" s="243"/>
      <c r="Q1390" s="243"/>
      <c r="R1390" s="243"/>
      <c r="S1390" s="243"/>
      <c r="T1390" s="243"/>
      <c r="U1390" s="243"/>
      <c r="V1390" s="243"/>
      <c r="W1390" s="243"/>
      <c r="X1390" s="243"/>
      <c r="Y1390" s="243"/>
      <c r="Z1390" s="243"/>
      <c r="AA1390" s="243"/>
      <c r="AB1390" s="243"/>
      <c r="AC1390" s="243"/>
      <c r="AD1390" s="243"/>
      <c r="AE1390" s="243"/>
      <c r="AF1390" s="243"/>
      <c r="AG1390" s="243"/>
      <c r="AH1390" s="243"/>
      <c r="AI1390" s="243"/>
      <c r="AJ1390" s="243"/>
      <c r="AK1390" s="243"/>
      <c r="AL1390" s="243"/>
      <c r="AM1390" s="243"/>
      <c r="AN1390" s="243"/>
      <c r="AO1390" s="243"/>
      <c r="AP1390" s="243"/>
      <c r="AQ1390" s="243"/>
      <c r="AR1390" s="243"/>
      <c r="AS1390" s="243"/>
      <c r="AT1390" s="243"/>
      <c r="AU1390" s="243"/>
      <c r="AV1390" s="243"/>
      <c r="AW1390" s="243"/>
      <c r="AX1390" s="243"/>
      <c r="AY1390" s="243"/>
      <c r="AZ1390" s="243"/>
      <c r="BA1390" s="243"/>
      <c r="BB1390" s="243"/>
      <c r="BC1390" s="243"/>
      <c r="BD1390" s="243"/>
      <c r="BE1390" s="243"/>
      <c r="BF1390" s="243"/>
      <c r="BG1390" s="243"/>
      <c r="BH1390" s="243"/>
      <c r="BI1390" s="243"/>
      <c r="BJ1390" s="243"/>
      <c r="BK1390" s="243"/>
      <c r="BL1390" s="243"/>
      <c r="BM1390" s="243"/>
      <c r="BN1390" s="243"/>
      <c r="BO1390" s="243"/>
      <c r="BP1390" s="243"/>
      <c r="BQ1390" s="243"/>
      <c r="BR1390" s="243"/>
      <c r="BS1390" s="243"/>
    </row>
    <row r="1391" spans="1:71" s="12" customFormat="1" ht="41.25" customHeight="1">
      <c r="A1391" s="178" t="s">
        <v>99</v>
      </c>
      <c r="B1391" s="75" t="str">
        <f ca="1">+UPPER(Tabla1321124[[#This Row],[DESCRIPCIÓN DE LA COMPRA O CONTRATACIÓN]])</f>
        <v>SULFATO DE MERCURIO, EN POLVO, FRASCO DE 100G GRADO ANALITICO</v>
      </c>
      <c r="C1391" s="39" t="s">
        <v>1037</v>
      </c>
      <c r="D1391" s="236">
        <v>1</v>
      </c>
      <c r="E1391" s="236"/>
      <c r="F1391" s="236"/>
      <c r="G1391" s="236"/>
      <c r="H1391" s="236">
        <f>Tabla1321124[[#This Row],[CUARTO TRIMESTRE]]+Tabla1321124[[#This Row],[TERCER TRIMESTRE]]+Tabla1321124[[#This Row],[SEGUNDO TRIMESTRE]]+Tabla1321124[[#This Row],[PRIMER TRIMESTRE]]</f>
        <v>1</v>
      </c>
      <c r="I1391" s="17">
        <v>2500</v>
      </c>
      <c r="J1391" s="17">
        <f>+Tabla1321124[[#This Row],[CANTIDAD TOTAL]]*Tabla1321124[[#This Row],[PRECIO UNITARIO ESTIMADO]]</f>
        <v>2500</v>
      </c>
      <c r="K1391" s="17"/>
      <c r="L1391" s="16" t="s">
        <v>18</v>
      </c>
      <c r="M1391" s="16" t="s">
        <v>22</v>
      </c>
      <c r="N1391" s="16" t="s">
        <v>418</v>
      </c>
      <c r="O1391" s="243"/>
      <c r="P1391" s="243"/>
      <c r="Q1391" s="243"/>
      <c r="R1391" s="243"/>
      <c r="S1391" s="243"/>
      <c r="T1391" s="243"/>
      <c r="U1391" s="243"/>
      <c r="V1391" s="243"/>
      <c r="W1391" s="243"/>
      <c r="X1391" s="243"/>
      <c r="Y1391" s="243"/>
      <c r="Z1391" s="243"/>
      <c r="AA1391" s="243"/>
      <c r="AB1391" s="243"/>
      <c r="AC1391" s="243"/>
      <c r="AD1391" s="243"/>
      <c r="AE1391" s="243"/>
      <c r="AF1391" s="243"/>
      <c r="AG1391" s="243"/>
      <c r="AH1391" s="243"/>
      <c r="AI1391" s="243"/>
      <c r="AJ1391" s="243"/>
      <c r="AK1391" s="243"/>
      <c r="AL1391" s="243"/>
      <c r="AM1391" s="243"/>
      <c r="AN1391" s="243"/>
      <c r="AO1391" s="243"/>
      <c r="AP1391" s="243"/>
      <c r="AQ1391" s="243"/>
      <c r="AR1391" s="243"/>
      <c r="AS1391" s="243"/>
      <c r="AT1391" s="243"/>
      <c r="AU1391" s="243"/>
      <c r="AV1391" s="243"/>
      <c r="AW1391" s="243"/>
      <c r="AX1391" s="243"/>
      <c r="AY1391" s="243"/>
      <c r="AZ1391" s="243"/>
      <c r="BA1391" s="243"/>
      <c r="BB1391" s="243"/>
      <c r="BC1391" s="243"/>
      <c r="BD1391" s="243"/>
      <c r="BE1391" s="243"/>
      <c r="BF1391" s="243"/>
      <c r="BG1391" s="243"/>
      <c r="BH1391" s="243"/>
      <c r="BI1391" s="243"/>
      <c r="BJ1391" s="243"/>
      <c r="BK1391" s="243"/>
      <c r="BL1391" s="243"/>
      <c r="BM1391" s="243"/>
      <c r="BN1391" s="243"/>
      <c r="BO1391" s="243"/>
      <c r="BP1391" s="243"/>
      <c r="BQ1391" s="243"/>
      <c r="BR1391" s="243"/>
      <c r="BS1391" s="243"/>
    </row>
    <row r="1392" spans="1:71" s="12" customFormat="1" ht="41.25" customHeight="1">
      <c r="A1392" s="178" t="s">
        <v>99</v>
      </c>
      <c r="B1392" s="75" t="str">
        <f ca="1">+UPPER(Tabla1321124[[#This Row],[DESCRIPCIÓN DE LA COMPRA O CONTRATACIÓN]])</f>
        <v>SULFATO DE PLATA, EN POLVO, FRASCO DE 100G, GRADO ANALITICO</v>
      </c>
      <c r="C1392" s="39" t="s">
        <v>1037</v>
      </c>
      <c r="D1392" s="236">
        <v>1</v>
      </c>
      <c r="E1392" s="236"/>
      <c r="F1392" s="236"/>
      <c r="G1392" s="236"/>
      <c r="H1392" s="236">
        <f>Tabla1321124[[#This Row],[CUARTO TRIMESTRE]]+Tabla1321124[[#This Row],[TERCER TRIMESTRE]]+Tabla1321124[[#This Row],[SEGUNDO TRIMESTRE]]+Tabla1321124[[#This Row],[PRIMER TRIMESTRE]]</f>
        <v>1</v>
      </c>
      <c r="I1392" s="17">
        <v>3000</v>
      </c>
      <c r="J1392" s="17">
        <f>+Tabla1321124[[#This Row],[CANTIDAD TOTAL]]*Tabla1321124[[#This Row],[PRECIO UNITARIO ESTIMADO]]</f>
        <v>3000</v>
      </c>
      <c r="K1392" s="17"/>
      <c r="L1392" s="16" t="s">
        <v>18</v>
      </c>
      <c r="M1392" s="16" t="s">
        <v>22</v>
      </c>
      <c r="N1392" s="16" t="s">
        <v>418</v>
      </c>
      <c r="O1392" s="243"/>
      <c r="P1392" s="243"/>
      <c r="Q1392" s="243"/>
      <c r="R1392" s="243"/>
      <c r="S1392" s="243"/>
      <c r="T1392" s="243"/>
      <c r="U1392" s="243"/>
      <c r="V1392" s="243"/>
      <c r="W1392" s="243"/>
      <c r="X1392" s="243"/>
      <c r="Y1392" s="243"/>
      <c r="Z1392" s="243"/>
      <c r="AA1392" s="243"/>
      <c r="AB1392" s="243"/>
      <c r="AC1392" s="243"/>
      <c r="AD1392" s="243"/>
      <c r="AE1392" s="243"/>
      <c r="AF1392" s="243"/>
      <c r="AG1392" s="243"/>
      <c r="AH1392" s="243"/>
      <c r="AI1392" s="243"/>
      <c r="AJ1392" s="243"/>
      <c r="AK1392" s="243"/>
      <c r="AL1392" s="243"/>
      <c r="AM1392" s="243"/>
      <c r="AN1392" s="243"/>
      <c r="AO1392" s="243"/>
      <c r="AP1392" s="243"/>
      <c r="AQ1392" s="243"/>
      <c r="AR1392" s="243"/>
      <c r="AS1392" s="243"/>
      <c r="AT1392" s="243"/>
      <c r="AU1392" s="243"/>
      <c r="AV1392" s="243"/>
      <c r="AW1392" s="243"/>
      <c r="AX1392" s="243"/>
      <c r="AY1392" s="243"/>
      <c r="AZ1392" s="243"/>
      <c r="BA1392" s="243"/>
      <c r="BB1392" s="243"/>
      <c r="BC1392" s="243"/>
      <c r="BD1392" s="243"/>
      <c r="BE1392" s="243"/>
      <c r="BF1392" s="243"/>
      <c r="BG1392" s="243"/>
      <c r="BH1392" s="243"/>
      <c r="BI1392" s="243"/>
      <c r="BJ1392" s="243"/>
      <c r="BK1392" s="243"/>
      <c r="BL1392" s="243"/>
      <c r="BM1392" s="243"/>
      <c r="BN1392" s="243"/>
      <c r="BO1392" s="243"/>
      <c r="BP1392" s="243"/>
      <c r="BQ1392" s="243"/>
      <c r="BR1392" s="243"/>
      <c r="BS1392" s="243"/>
    </row>
    <row r="1393" spans="1:71" s="12" customFormat="1" ht="41.25" customHeight="1">
      <c r="A1393" s="178" t="s">
        <v>99</v>
      </c>
      <c r="B1393" s="75" t="str">
        <f ca="1">+UPPER(Tabla1321124[[#This Row],[DESCRIPCIÓN DE LA COMPRA O CONTRATACIÓN]])</f>
        <v>SULFATO DE SODIO (ANHIDROUS) FRASCO DE 500G</v>
      </c>
      <c r="C1393" s="39" t="s">
        <v>1037</v>
      </c>
      <c r="D1393" s="236">
        <v>1</v>
      </c>
      <c r="E1393" s="236"/>
      <c r="F1393" s="236"/>
      <c r="G1393" s="236"/>
      <c r="H1393" s="236">
        <f>Tabla1321124[[#This Row],[CUARTO TRIMESTRE]]+Tabla1321124[[#This Row],[TERCER TRIMESTRE]]+Tabla1321124[[#This Row],[SEGUNDO TRIMESTRE]]+Tabla1321124[[#This Row],[PRIMER TRIMESTRE]]</f>
        <v>1</v>
      </c>
      <c r="I1393" s="17">
        <v>3500</v>
      </c>
      <c r="J1393" s="17">
        <f>+Tabla1321124[[#This Row],[CANTIDAD TOTAL]]*Tabla1321124[[#This Row],[PRECIO UNITARIO ESTIMADO]]</f>
        <v>3500</v>
      </c>
      <c r="K1393" s="17"/>
      <c r="L1393" s="16" t="s">
        <v>18</v>
      </c>
      <c r="M1393" s="16" t="s">
        <v>22</v>
      </c>
      <c r="N1393" s="16" t="s">
        <v>418</v>
      </c>
      <c r="O1393" s="243"/>
      <c r="P1393" s="243"/>
      <c r="Q1393" s="243"/>
      <c r="R1393" s="243"/>
      <c r="S1393" s="243"/>
      <c r="T1393" s="243"/>
      <c r="U1393" s="243"/>
      <c r="V1393" s="243"/>
      <c r="W1393" s="243"/>
      <c r="X1393" s="243"/>
      <c r="Y1393" s="243"/>
      <c r="Z1393" s="243"/>
      <c r="AA1393" s="243"/>
      <c r="AB1393" s="243"/>
      <c r="AC1393" s="243"/>
      <c r="AD1393" s="243"/>
      <c r="AE1393" s="243"/>
      <c r="AF1393" s="243"/>
      <c r="AG1393" s="243"/>
      <c r="AH1393" s="243"/>
      <c r="AI1393" s="243"/>
      <c r="AJ1393" s="243"/>
      <c r="AK1393" s="243"/>
      <c r="AL1393" s="243"/>
      <c r="AM1393" s="243"/>
      <c r="AN1393" s="243"/>
      <c r="AO1393" s="243"/>
      <c r="AP1393" s="243"/>
      <c r="AQ1393" s="243"/>
      <c r="AR1393" s="243"/>
      <c r="AS1393" s="243"/>
      <c r="AT1393" s="243"/>
      <c r="AU1393" s="243"/>
      <c r="AV1393" s="243"/>
      <c r="AW1393" s="243"/>
      <c r="AX1393" s="243"/>
      <c r="AY1393" s="243"/>
      <c r="AZ1393" s="243"/>
      <c r="BA1393" s="243"/>
      <c r="BB1393" s="243"/>
      <c r="BC1393" s="243"/>
      <c r="BD1393" s="243"/>
      <c r="BE1393" s="243"/>
      <c r="BF1393" s="243"/>
      <c r="BG1393" s="243"/>
      <c r="BH1393" s="243"/>
      <c r="BI1393" s="243"/>
      <c r="BJ1393" s="243"/>
      <c r="BK1393" s="243"/>
      <c r="BL1393" s="243"/>
      <c r="BM1393" s="243"/>
      <c r="BN1393" s="243"/>
      <c r="BO1393" s="243"/>
      <c r="BP1393" s="243"/>
      <c r="BQ1393" s="243"/>
      <c r="BR1393" s="243"/>
      <c r="BS1393" s="243"/>
    </row>
    <row r="1394" spans="1:71" s="12" customFormat="1" ht="41.25" customHeight="1">
      <c r="A1394" s="178" t="s">
        <v>99</v>
      </c>
      <c r="B1394" s="75" t="str">
        <f ca="1">+UPPER(Tabla1321124[[#This Row],[DESCRIPCIÓN DE LA COMPRA O CONTRATACIÓN]])</f>
        <v>CLOROPLATINATO DE POTASIO, FRASCO DE 5G GRADO ANALITICO</v>
      </c>
      <c r="C1394" s="39" t="s">
        <v>1037</v>
      </c>
      <c r="D1394" s="236">
        <v>1</v>
      </c>
      <c r="E1394" s="236"/>
      <c r="F1394" s="236"/>
      <c r="G1394" s="236"/>
      <c r="H1394" s="236">
        <f>Tabla1321124[[#This Row],[CUARTO TRIMESTRE]]+Tabla1321124[[#This Row],[TERCER TRIMESTRE]]+Tabla1321124[[#This Row],[SEGUNDO TRIMESTRE]]+Tabla1321124[[#This Row],[PRIMER TRIMESTRE]]</f>
        <v>1</v>
      </c>
      <c r="I1394" s="17">
        <v>4000</v>
      </c>
      <c r="J1394" s="17">
        <f>+Tabla1321124[[#This Row],[CANTIDAD TOTAL]]*Tabla1321124[[#This Row],[PRECIO UNITARIO ESTIMADO]]</f>
        <v>4000</v>
      </c>
      <c r="K1394" s="17"/>
      <c r="L1394" s="16" t="s">
        <v>18</v>
      </c>
      <c r="M1394" s="16" t="s">
        <v>22</v>
      </c>
      <c r="N1394" s="16" t="s">
        <v>418</v>
      </c>
      <c r="O1394" s="243"/>
      <c r="P1394" s="243"/>
      <c r="Q1394" s="243"/>
      <c r="R1394" s="243"/>
      <c r="S1394" s="243"/>
      <c r="T1394" s="243"/>
      <c r="U1394" s="243"/>
      <c r="V1394" s="243"/>
      <c r="W1394" s="243"/>
      <c r="X1394" s="243"/>
      <c r="Y1394" s="243"/>
      <c r="Z1394" s="243"/>
      <c r="AA1394" s="243"/>
      <c r="AB1394" s="243"/>
      <c r="AC1394" s="243"/>
      <c r="AD1394" s="243"/>
      <c r="AE1394" s="243"/>
      <c r="AF1394" s="243"/>
      <c r="AG1394" s="243"/>
      <c r="AH1394" s="243"/>
      <c r="AI1394" s="243"/>
      <c r="AJ1394" s="243"/>
      <c r="AK1394" s="243"/>
      <c r="AL1394" s="243"/>
      <c r="AM1394" s="243"/>
      <c r="AN1394" s="243"/>
      <c r="AO1394" s="243"/>
      <c r="AP1394" s="243"/>
      <c r="AQ1394" s="243"/>
      <c r="AR1394" s="243"/>
      <c r="AS1394" s="243"/>
      <c r="AT1394" s="243"/>
      <c r="AU1394" s="243"/>
      <c r="AV1394" s="243"/>
      <c r="AW1394" s="243"/>
      <c r="AX1394" s="243"/>
      <c r="AY1394" s="243"/>
      <c r="AZ1394" s="243"/>
      <c r="BA1394" s="243"/>
      <c r="BB1394" s="243"/>
      <c r="BC1394" s="243"/>
      <c r="BD1394" s="243"/>
      <c r="BE1394" s="243"/>
      <c r="BF1394" s="243"/>
      <c r="BG1394" s="243"/>
      <c r="BH1394" s="243"/>
      <c r="BI1394" s="243"/>
      <c r="BJ1394" s="243"/>
      <c r="BK1394" s="243"/>
      <c r="BL1394" s="243"/>
      <c r="BM1394" s="243"/>
      <c r="BN1394" s="243"/>
      <c r="BO1394" s="243"/>
      <c r="BP1394" s="243"/>
      <c r="BQ1394" s="243"/>
      <c r="BR1394" s="243"/>
      <c r="BS1394" s="243"/>
    </row>
    <row r="1395" spans="1:71" s="12" customFormat="1" ht="41.25" customHeight="1">
      <c r="A1395" s="178" t="s">
        <v>99</v>
      </c>
      <c r="B1395" s="75" t="str">
        <f ca="1">+UPPER(Tabla1321124[[#This Row],[DESCRIPCIÓN DE LA COMPRA O CONTRATACIÓN]])</f>
        <v>NITRATO DE PLATA,  FRASCO DE 100G GRADO ANALITICO</v>
      </c>
      <c r="C1395" s="39" t="s">
        <v>1037</v>
      </c>
      <c r="D1395" s="236">
        <v>1</v>
      </c>
      <c r="E1395" s="236"/>
      <c r="F1395" s="236"/>
      <c r="G1395" s="236"/>
      <c r="H1395" s="236">
        <f>Tabla1321124[[#This Row],[CUARTO TRIMESTRE]]+Tabla1321124[[#This Row],[TERCER TRIMESTRE]]+Tabla1321124[[#This Row],[SEGUNDO TRIMESTRE]]+Tabla1321124[[#This Row],[PRIMER TRIMESTRE]]</f>
        <v>1</v>
      </c>
      <c r="I1395" s="17">
        <v>6000</v>
      </c>
      <c r="J1395" s="17">
        <f>+Tabla1321124[[#This Row],[CANTIDAD TOTAL]]*Tabla1321124[[#This Row],[PRECIO UNITARIO ESTIMADO]]</f>
        <v>6000</v>
      </c>
      <c r="K1395" s="17"/>
      <c r="L1395" s="16" t="s">
        <v>18</v>
      </c>
      <c r="M1395" s="16" t="s">
        <v>22</v>
      </c>
      <c r="N1395" s="16" t="s">
        <v>418</v>
      </c>
      <c r="O1395" s="243"/>
      <c r="P1395" s="243"/>
      <c r="Q1395" s="243"/>
      <c r="R1395" s="243"/>
      <c r="S1395" s="243"/>
      <c r="T1395" s="243"/>
      <c r="U1395" s="243"/>
      <c r="V1395" s="243"/>
      <c r="W1395" s="243"/>
      <c r="X1395" s="243"/>
      <c r="Y1395" s="243"/>
      <c r="Z1395" s="243"/>
      <c r="AA1395" s="243"/>
      <c r="AB1395" s="243"/>
      <c r="AC1395" s="243"/>
      <c r="AD1395" s="243"/>
      <c r="AE1395" s="243"/>
      <c r="AF1395" s="243"/>
      <c r="AG1395" s="243"/>
      <c r="AH1395" s="243"/>
      <c r="AI1395" s="243"/>
      <c r="AJ1395" s="243"/>
      <c r="AK1395" s="243"/>
      <c r="AL1395" s="243"/>
      <c r="AM1395" s="243"/>
      <c r="AN1395" s="243"/>
      <c r="AO1395" s="243"/>
      <c r="AP1395" s="243"/>
      <c r="AQ1395" s="243"/>
      <c r="AR1395" s="243"/>
      <c r="AS1395" s="243"/>
      <c r="AT1395" s="243"/>
      <c r="AU1395" s="243"/>
      <c r="AV1395" s="243"/>
      <c r="AW1395" s="243"/>
      <c r="AX1395" s="243"/>
      <c r="AY1395" s="243"/>
      <c r="AZ1395" s="243"/>
      <c r="BA1395" s="243"/>
      <c r="BB1395" s="243"/>
      <c r="BC1395" s="243"/>
      <c r="BD1395" s="243"/>
      <c r="BE1395" s="243"/>
      <c r="BF1395" s="243"/>
      <c r="BG1395" s="243"/>
      <c r="BH1395" s="243"/>
      <c r="BI1395" s="243"/>
      <c r="BJ1395" s="243"/>
      <c r="BK1395" s="243"/>
      <c r="BL1395" s="243"/>
      <c r="BM1395" s="243"/>
      <c r="BN1395" s="243"/>
      <c r="BO1395" s="243"/>
      <c r="BP1395" s="243"/>
      <c r="BQ1395" s="243"/>
      <c r="BR1395" s="243"/>
      <c r="BS1395" s="243"/>
    </row>
    <row r="1396" spans="1:71" s="12" customFormat="1" ht="41.25" customHeight="1">
      <c r="A1396" s="178" t="s">
        <v>99</v>
      </c>
      <c r="B1396" s="75" t="str">
        <f ca="1">+UPPER(Tabla1321124[[#This Row],[DESCRIPCIÓN DE LA COMPRA O CONTRATACIÓN]])</f>
        <v>CROMATO DE POTASIO, FRASCO DE 500G GRADO ANALITICO</v>
      </c>
      <c r="C1396" s="39" t="s">
        <v>1037</v>
      </c>
      <c r="D1396" s="236">
        <v>1</v>
      </c>
      <c r="E1396" s="236"/>
      <c r="F1396" s="236"/>
      <c r="G1396" s="236"/>
      <c r="H1396" s="236">
        <f>Tabla1321124[[#This Row],[CUARTO TRIMESTRE]]+Tabla1321124[[#This Row],[TERCER TRIMESTRE]]+Tabla1321124[[#This Row],[SEGUNDO TRIMESTRE]]+Tabla1321124[[#This Row],[PRIMER TRIMESTRE]]</f>
        <v>1</v>
      </c>
      <c r="I1396" s="17">
        <v>3500</v>
      </c>
      <c r="J1396" s="17">
        <f>+Tabla1321124[[#This Row],[CANTIDAD TOTAL]]*Tabla1321124[[#This Row],[PRECIO UNITARIO ESTIMADO]]</f>
        <v>3500</v>
      </c>
      <c r="K1396" s="17"/>
      <c r="L1396" s="16" t="s">
        <v>18</v>
      </c>
      <c r="M1396" s="16" t="s">
        <v>22</v>
      </c>
      <c r="N1396" s="16" t="s">
        <v>418</v>
      </c>
      <c r="O1396" s="243"/>
      <c r="P1396" s="243"/>
      <c r="Q1396" s="243"/>
      <c r="R1396" s="243"/>
      <c r="S1396" s="243"/>
      <c r="T1396" s="243"/>
      <c r="U1396" s="243"/>
      <c r="V1396" s="243"/>
      <c r="W1396" s="243"/>
      <c r="X1396" s="243"/>
      <c r="Y1396" s="243"/>
      <c r="Z1396" s="243"/>
      <c r="AA1396" s="243"/>
      <c r="AB1396" s="243"/>
      <c r="AC1396" s="243"/>
      <c r="AD1396" s="243"/>
      <c r="AE1396" s="243"/>
      <c r="AF1396" s="243"/>
      <c r="AG1396" s="243"/>
      <c r="AH1396" s="243"/>
      <c r="AI1396" s="243"/>
      <c r="AJ1396" s="243"/>
      <c r="AK1396" s="243"/>
      <c r="AL1396" s="243"/>
      <c r="AM1396" s="243"/>
      <c r="AN1396" s="243"/>
      <c r="AO1396" s="243"/>
      <c r="AP1396" s="243"/>
      <c r="AQ1396" s="243"/>
      <c r="AR1396" s="243"/>
      <c r="AS1396" s="243"/>
      <c r="AT1396" s="243"/>
      <c r="AU1396" s="243"/>
      <c r="AV1396" s="243"/>
      <c r="AW1396" s="243"/>
      <c r="AX1396" s="243"/>
      <c r="AY1396" s="243"/>
      <c r="AZ1396" s="243"/>
      <c r="BA1396" s="243"/>
      <c r="BB1396" s="243"/>
      <c r="BC1396" s="243"/>
      <c r="BD1396" s="243"/>
      <c r="BE1396" s="243"/>
      <c r="BF1396" s="243"/>
      <c r="BG1396" s="243"/>
      <c r="BH1396" s="243"/>
      <c r="BI1396" s="243"/>
      <c r="BJ1396" s="243"/>
      <c r="BK1396" s="243"/>
      <c r="BL1396" s="243"/>
      <c r="BM1396" s="243"/>
      <c r="BN1396" s="243"/>
      <c r="BO1396" s="243"/>
      <c r="BP1396" s="243"/>
      <c r="BQ1396" s="243"/>
      <c r="BR1396" s="243"/>
      <c r="BS1396" s="243"/>
    </row>
    <row r="1397" spans="1:71" s="12" customFormat="1" ht="41.25" customHeight="1">
      <c r="A1397" s="178" t="s">
        <v>99</v>
      </c>
      <c r="B1397" s="75" t="str">
        <f ca="1">+UPPER(Tabla1321124[[#This Row],[DESCRIPCIÓN DE LA COMPRA O CONTRATACIÓN]])</f>
        <v>ERIOCHROMO BLACK T. , FRASCO DE 25G GRADO ANALITICO</v>
      </c>
      <c r="C1397" s="39" t="s">
        <v>1037</v>
      </c>
      <c r="D1397" s="236">
        <v>1</v>
      </c>
      <c r="E1397" s="236"/>
      <c r="F1397" s="236"/>
      <c r="G1397" s="236"/>
      <c r="H1397" s="236">
        <f>Tabla1321124[[#This Row],[CUARTO TRIMESTRE]]+Tabla1321124[[#This Row],[TERCER TRIMESTRE]]+Tabla1321124[[#This Row],[SEGUNDO TRIMESTRE]]+Tabla1321124[[#This Row],[PRIMER TRIMESTRE]]</f>
        <v>1</v>
      </c>
      <c r="I1397" s="17">
        <v>2500</v>
      </c>
      <c r="J1397" s="17">
        <f>+Tabla1321124[[#This Row],[CANTIDAD TOTAL]]*Tabla1321124[[#This Row],[PRECIO UNITARIO ESTIMADO]]</f>
        <v>2500</v>
      </c>
      <c r="K1397" s="17"/>
      <c r="L1397" s="16" t="s">
        <v>18</v>
      </c>
      <c r="M1397" s="16" t="s">
        <v>22</v>
      </c>
      <c r="N1397" s="16" t="s">
        <v>418</v>
      </c>
      <c r="O1397" s="243"/>
      <c r="P1397" s="243"/>
      <c r="Q1397" s="243"/>
      <c r="R1397" s="243"/>
      <c r="S1397" s="243"/>
      <c r="T1397" s="243"/>
      <c r="U1397" s="243"/>
      <c r="V1397" s="243"/>
      <c r="W1397" s="243"/>
      <c r="X1397" s="243"/>
      <c r="Y1397" s="243"/>
      <c r="Z1397" s="243"/>
      <c r="AA1397" s="243"/>
      <c r="AB1397" s="243"/>
      <c r="AC1397" s="243"/>
      <c r="AD1397" s="243"/>
      <c r="AE1397" s="243"/>
      <c r="AF1397" s="243"/>
      <c r="AG1397" s="243"/>
      <c r="AH1397" s="243"/>
      <c r="AI1397" s="243"/>
      <c r="AJ1397" s="243"/>
      <c r="AK1397" s="243"/>
      <c r="AL1397" s="243"/>
      <c r="AM1397" s="243"/>
      <c r="AN1397" s="243"/>
      <c r="AO1397" s="243"/>
      <c r="AP1397" s="243"/>
      <c r="AQ1397" s="243"/>
      <c r="AR1397" s="243"/>
      <c r="AS1397" s="243"/>
      <c r="AT1397" s="243"/>
      <c r="AU1397" s="243"/>
      <c r="AV1397" s="243"/>
      <c r="AW1397" s="243"/>
      <c r="AX1397" s="243"/>
      <c r="AY1397" s="243"/>
      <c r="AZ1397" s="243"/>
      <c r="BA1397" s="243"/>
      <c r="BB1397" s="243"/>
      <c r="BC1397" s="243"/>
      <c r="BD1397" s="243"/>
      <c r="BE1397" s="243"/>
      <c r="BF1397" s="243"/>
      <c r="BG1397" s="243"/>
      <c r="BH1397" s="243"/>
      <c r="BI1397" s="243"/>
      <c r="BJ1397" s="243"/>
      <c r="BK1397" s="243"/>
      <c r="BL1397" s="243"/>
      <c r="BM1397" s="243"/>
      <c r="BN1397" s="243"/>
      <c r="BO1397" s="243"/>
      <c r="BP1397" s="243"/>
      <c r="BQ1397" s="243"/>
      <c r="BR1397" s="243"/>
      <c r="BS1397" s="243"/>
    </row>
    <row r="1398" spans="1:71" s="12" customFormat="1" ht="41.25" customHeight="1">
      <c r="A1398" s="346" t="s">
        <v>99</v>
      </c>
      <c r="B1398" s="77" t="str">
        <f ca="1">+UPPER(Tabla1321124[[#This Row],[DESCRIPCIÓN DE LA COMPRA O CONTRATACIÓN]])</f>
        <v>PROGRAMA DE LIMPIEZA Y DESINFECCION (PRESUPUESTO PARA EL PAGO A JORNALEROS)</v>
      </c>
      <c r="C1398" s="39" t="s">
        <v>17</v>
      </c>
      <c r="D1398" s="352">
        <v>1</v>
      </c>
      <c r="E1398" s="352"/>
      <c r="F1398" s="352"/>
      <c r="G1398" s="352"/>
      <c r="H1398" s="236">
        <f>Tabla1321124[[#This Row],[CUARTO TRIMESTRE]]+Tabla1321124[[#This Row],[TERCER TRIMESTRE]]+Tabla1321124[[#This Row],[SEGUNDO TRIMESTRE]]+Tabla1321124[[#This Row],[PRIMER TRIMESTRE]]</f>
        <v>1</v>
      </c>
      <c r="I1398" s="17">
        <v>3352250</v>
      </c>
      <c r="J1398" s="17">
        <f>+Tabla1321124[[#This Row],[CANTIDAD TOTAL]]*Tabla1321124[[#This Row],[PRECIO UNITARIO ESTIMADO]]</f>
        <v>3352250</v>
      </c>
      <c r="K1398" s="345"/>
      <c r="L1398" s="16" t="s">
        <v>18</v>
      </c>
      <c r="M1398" s="16" t="s">
        <v>22</v>
      </c>
      <c r="N1398" s="16" t="s">
        <v>418</v>
      </c>
      <c r="O1398" s="243"/>
      <c r="P1398" s="243"/>
      <c r="Q1398" s="243"/>
      <c r="R1398" s="243"/>
      <c r="S1398" s="243"/>
      <c r="T1398" s="243"/>
      <c r="U1398" s="243"/>
      <c r="V1398" s="243"/>
      <c r="W1398" s="243"/>
      <c r="X1398" s="243"/>
      <c r="Y1398" s="243"/>
      <c r="Z1398" s="243"/>
      <c r="AA1398" s="243"/>
      <c r="AB1398" s="243"/>
      <c r="AC1398" s="243"/>
      <c r="AD1398" s="243"/>
      <c r="AE1398" s="243"/>
      <c r="AF1398" s="243"/>
      <c r="AG1398" s="243"/>
      <c r="AH1398" s="243"/>
      <c r="AI1398" s="243"/>
      <c r="AJ1398" s="243"/>
      <c r="AK1398" s="243"/>
      <c r="AL1398" s="243"/>
      <c r="AM1398" s="243"/>
      <c r="AN1398" s="243"/>
      <c r="AO1398" s="243"/>
      <c r="AP1398" s="243"/>
      <c r="AQ1398" s="243"/>
      <c r="AR1398" s="243"/>
      <c r="AS1398" s="243"/>
      <c r="AT1398" s="243"/>
      <c r="AU1398" s="243"/>
      <c r="AV1398" s="243"/>
      <c r="AW1398" s="243"/>
      <c r="AX1398" s="243"/>
      <c r="AY1398" s="243"/>
      <c r="AZ1398" s="243"/>
      <c r="BA1398" s="243"/>
      <c r="BB1398" s="243"/>
      <c r="BC1398" s="243"/>
      <c r="BD1398" s="243"/>
      <c r="BE1398" s="243"/>
      <c r="BF1398" s="243"/>
      <c r="BG1398" s="243"/>
      <c r="BH1398" s="243"/>
      <c r="BI1398" s="243"/>
      <c r="BJ1398" s="243"/>
      <c r="BK1398" s="243"/>
      <c r="BL1398" s="243"/>
      <c r="BM1398" s="243"/>
      <c r="BN1398" s="243"/>
      <c r="BO1398" s="243"/>
      <c r="BP1398" s="243"/>
      <c r="BQ1398" s="243"/>
      <c r="BR1398" s="243"/>
      <c r="BS1398" s="243"/>
    </row>
    <row r="1399" spans="1:71" s="12" customFormat="1" ht="41.25" customHeight="1">
      <c r="A1399" s="178" t="s">
        <v>99</v>
      </c>
      <c r="B1399" s="75" t="str">
        <f ca="1">+UPPER(Tabla1321124[[#This Row],[DESCRIPCIÓN DE LA COMPRA O CONTRATACIÓN]])</f>
        <v>MUREXIDA(C₈H₈N₆O₆), FRASCO DE 5G, GRADO ANALITICO</v>
      </c>
      <c r="C1399" s="39" t="s">
        <v>1037</v>
      </c>
      <c r="D1399" s="236">
        <v>1</v>
      </c>
      <c r="E1399" s="236"/>
      <c r="F1399" s="236"/>
      <c r="G1399" s="236"/>
      <c r="H1399" s="236">
        <f>Tabla1321124[[#This Row],[CUARTO TRIMESTRE]]+Tabla1321124[[#This Row],[TERCER TRIMESTRE]]+Tabla1321124[[#This Row],[SEGUNDO TRIMESTRE]]+Tabla1321124[[#This Row],[PRIMER TRIMESTRE]]</f>
        <v>1</v>
      </c>
      <c r="I1399" s="17">
        <v>2000</v>
      </c>
      <c r="J1399" s="17">
        <f>+Tabla1321124[[#This Row],[CANTIDAD TOTAL]]*Tabla1321124[[#This Row],[PRECIO UNITARIO ESTIMADO]]</f>
        <v>2000</v>
      </c>
      <c r="K1399" s="17"/>
      <c r="L1399" s="16" t="s">
        <v>18</v>
      </c>
      <c r="M1399" s="16" t="s">
        <v>22</v>
      </c>
      <c r="N1399" s="16" t="s">
        <v>418</v>
      </c>
      <c r="O1399" s="243"/>
      <c r="P1399" s="243"/>
      <c r="Q1399" s="243"/>
      <c r="R1399" s="243"/>
      <c r="S1399" s="243"/>
      <c r="T1399" s="243"/>
      <c r="U1399" s="243"/>
      <c r="V1399" s="243"/>
      <c r="W1399" s="243"/>
      <c r="X1399" s="243"/>
      <c r="Y1399" s="243"/>
      <c r="Z1399" s="243"/>
      <c r="AA1399" s="243"/>
      <c r="AB1399" s="243"/>
      <c r="AC1399" s="243"/>
      <c r="AD1399" s="243"/>
      <c r="AE1399" s="243"/>
      <c r="AF1399" s="243"/>
      <c r="AG1399" s="243"/>
      <c r="AH1399" s="243"/>
      <c r="AI1399" s="243"/>
      <c r="AJ1399" s="243"/>
      <c r="AK1399" s="243"/>
      <c r="AL1399" s="243"/>
      <c r="AM1399" s="243"/>
      <c r="AN1399" s="243"/>
      <c r="AO1399" s="243"/>
      <c r="AP1399" s="243"/>
      <c r="AQ1399" s="243"/>
      <c r="AR1399" s="243"/>
      <c r="AS1399" s="243"/>
      <c r="AT1399" s="243"/>
      <c r="AU1399" s="243"/>
      <c r="AV1399" s="243"/>
      <c r="AW1399" s="243"/>
      <c r="AX1399" s="243"/>
      <c r="AY1399" s="243"/>
      <c r="AZ1399" s="243"/>
      <c r="BA1399" s="243"/>
      <c r="BB1399" s="243"/>
      <c r="BC1399" s="243"/>
      <c r="BD1399" s="243"/>
      <c r="BE1399" s="243"/>
      <c r="BF1399" s="243"/>
      <c r="BG1399" s="243"/>
      <c r="BH1399" s="243"/>
      <c r="BI1399" s="243"/>
      <c r="BJ1399" s="243"/>
      <c r="BK1399" s="243"/>
      <c r="BL1399" s="243"/>
      <c r="BM1399" s="243"/>
      <c r="BN1399" s="243"/>
      <c r="BO1399" s="243"/>
      <c r="BP1399" s="243"/>
      <c r="BQ1399" s="243"/>
      <c r="BR1399" s="243"/>
      <c r="BS1399" s="243"/>
    </row>
    <row r="1400" spans="1:71" s="12" customFormat="1" ht="41.25" customHeight="1">
      <c r="A1400" s="178" t="s">
        <v>99</v>
      </c>
      <c r="B1400" s="75" t="str">
        <f ca="1">+UPPER(Tabla1321124[[#This Row],[DESCRIPCIÓN DE LA COMPRA O CONTRATACIÓN]])</f>
        <v>CLORURO COBALTOSO(COCL₂6H₂O), FRASCO DE 5G GRADO ANALITICO</v>
      </c>
      <c r="C1400" s="39" t="s">
        <v>1037</v>
      </c>
      <c r="D1400" s="236">
        <v>1</v>
      </c>
      <c r="E1400" s="236"/>
      <c r="F1400" s="236"/>
      <c r="G1400" s="236"/>
      <c r="H1400" s="236">
        <f>Tabla1321124[[#This Row],[CUARTO TRIMESTRE]]+Tabla1321124[[#This Row],[TERCER TRIMESTRE]]+Tabla1321124[[#This Row],[SEGUNDO TRIMESTRE]]+Tabla1321124[[#This Row],[PRIMER TRIMESTRE]]</f>
        <v>1</v>
      </c>
      <c r="I1400" s="17">
        <v>3000</v>
      </c>
      <c r="J1400" s="17">
        <f>+Tabla1321124[[#This Row],[CANTIDAD TOTAL]]*Tabla1321124[[#This Row],[PRECIO UNITARIO ESTIMADO]]</f>
        <v>3000</v>
      </c>
      <c r="K1400" s="17"/>
      <c r="L1400" s="16" t="s">
        <v>18</v>
      </c>
      <c r="M1400" s="16" t="s">
        <v>22</v>
      </c>
      <c r="N1400" s="16" t="s">
        <v>418</v>
      </c>
      <c r="O1400" s="243"/>
      <c r="P1400" s="243"/>
      <c r="Q1400" s="243"/>
      <c r="R1400" s="243"/>
      <c r="S1400" s="243"/>
      <c r="T1400" s="243"/>
      <c r="U1400" s="243"/>
      <c r="V1400" s="243"/>
      <c r="W1400" s="243"/>
      <c r="X1400" s="243"/>
      <c r="Y1400" s="243"/>
      <c r="Z1400" s="243"/>
      <c r="AA1400" s="243"/>
      <c r="AB1400" s="243"/>
      <c r="AC1400" s="243"/>
      <c r="AD1400" s="243"/>
      <c r="AE1400" s="243"/>
      <c r="AF1400" s="243"/>
      <c r="AG1400" s="243"/>
      <c r="AH1400" s="243"/>
      <c r="AI1400" s="243"/>
      <c r="AJ1400" s="243"/>
      <c r="AK1400" s="243"/>
      <c r="AL1400" s="243"/>
      <c r="AM1400" s="243"/>
      <c r="AN1400" s="243"/>
      <c r="AO1400" s="243"/>
      <c r="AP1400" s="243"/>
      <c r="AQ1400" s="243"/>
      <c r="AR1400" s="243"/>
      <c r="AS1400" s="243"/>
      <c r="AT1400" s="243"/>
      <c r="AU1400" s="243"/>
      <c r="AV1400" s="243"/>
      <c r="AW1400" s="243"/>
      <c r="AX1400" s="243"/>
      <c r="AY1400" s="243"/>
      <c r="AZ1400" s="243"/>
      <c r="BA1400" s="243"/>
      <c r="BB1400" s="243"/>
      <c r="BC1400" s="243"/>
      <c r="BD1400" s="243"/>
      <c r="BE1400" s="243"/>
      <c r="BF1400" s="243"/>
      <c r="BG1400" s="243"/>
      <c r="BH1400" s="243"/>
      <c r="BI1400" s="243"/>
      <c r="BJ1400" s="243"/>
      <c r="BK1400" s="243"/>
      <c r="BL1400" s="243"/>
      <c r="BM1400" s="243"/>
      <c r="BN1400" s="243"/>
      <c r="BO1400" s="243"/>
      <c r="BP1400" s="243"/>
      <c r="BQ1400" s="243"/>
      <c r="BR1400" s="243"/>
      <c r="BS1400" s="243"/>
    </row>
    <row r="1401" spans="1:71" s="12" customFormat="1" ht="41.25" customHeight="1">
      <c r="A1401" s="178" t="s">
        <v>99</v>
      </c>
      <c r="B1401" s="75" t="str">
        <f ca="1">+UPPER(Tabla1321124[[#This Row],[DESCRIPCIÓN DE LA COMPRA O CONTRATACIÓN]])</f>
        <v>DICROMATO DE POTASIO (K₂CR₂O₇), FRASCO DE 100G GRADO ANALITICO</v>
      </c>
      <c r="C1401" s="39" t="s">
        <v>1037</v>
      </c>
      <c r="D1401" s="236">
        <v>1</v>
      </c>
      <c r="E1401" s="236"/>
      <c r="F1401" s="236"/>
      <c r="G1401" s="236"/>
      <c r="H1401" s="236">
        <f>Tabla1321124[[#This Row],[CUARTO TRIMESTRE]]+Tabla1321124[[#This Row],[TERCER TRIMESTRE]]+Tabla1321124[[#This Row],[SEGUNDO TRIMESTRE]]+Tabla1321124[[#This Row],[PRIMER TRIMESTRE]]</f>
        <v>1</v>
      </c>
      <c r="I1401" s="17">
        <v>3500</v>
      </c>
      <c r="J1401" s="17">
        <f>+Tabla1321124[[#This Row],[CANTIDAD TOTAL]]*Tabla1321124[[#This Row],[PRECIO UNITARIO ESTIMADO]]</f>
        <v>3500</v>
      </c>
      <c r="K1401" s="17"/>
      <c r="L1401" s="16" t="s">
        <v>18</v>
      </c>
      <c r="M1401" s="16" t="s">
        <v>22</v>
      </c>
      <c r="N1401" s="16" t="s">
        <v>418</v>
      </c>
      <c r="O1401" s="243"/>
      <c r="P1401" s="243"/>
      <c r="Q1401" s="243"/>
      <c r="R1401" s="243"/>
      <c r="S1401" s="243"/>
      <c r="T1401" s="243"/>
      <c r="U1401" s="243"/>
      <c r="V1401" s="243"/>
      <c r="W1401" s="243"/>
      <c r="X1401" s="243"/>
      <c r="Y1401" s="243"/>
      <c r="Z1401" s="243"/>
      <c r="AA1401" s="243"/>
      <c r="AB1401" s="243"/>
      <c r="AC1401" s="243"/>
      <c r="AD1401" s="243"/>
      <c r="AE1401" s="243"/>
      <c r="AF1401" s="243"/>
      <c r="AG1401" s="243"/>
      <c r="AH1401" s="243"/>
      <c r="AI1401" s="243"/>
      <c r="AJ1401" s="243"/>
      <c r="AK1401" s="243"/>
      <c r="AL1401" s="243"/>
      <c r="AM1401" s="243"/>
      <c r="AN1401" s="243"/>
      <c r="AO1401" s="243"/>
      <c r="AP1401" s="243"/>
      <c r="AQ1401" s="243"/>
      <c r="AR1401" s="243"/>
      <c r="AS1401" s="243"/>
      <c r="AT1401" s="243"/>
      <c r="AU1401" s="243"/>
      <c r="AV1401" s="243"/>
      <c r="AW1401" s="243"/>
      <c r="AX1401" s="243"/>
      <c r="AY1401" s="243"/>
      <c r="AZ1401" s="243"/>
      <c r="BA1401" s="243"/>
      <c r="BB1401" s="243"/>
      <c r="BC1401" s="243"/>
      <c r="BD1401" s="243"/>
      <c r="BE1401" s="243"/>
      <c r="BF1401" s="243"/>
      <c r="BG1401" s="243"/>
      <c r="BH1401" s="243"/>
      <c r="BI1401" s="243"/>
      <c r="BJ1401" s="243"/>
      <c r="BK1401" s="243"/>
      <c r="BL1401" s="243"/>
      <c r="BM1401" s="243"/>
      <c r="BN1401" s="243"/>
      <c r="BO1401" s="243"/>
      <c r="BP1401" s="243"/>
      <c r="BQ1401" s="243"/>
      <c r="BR1401" s="243"/>
      <c r="BS1401" s="243"/>
    </row>
    <row r="1402" spans="1:71" s="12" customFormat="1" ht="41.25" customHeight="1">
      <c r="A1402" s="178" t="s">
        <v>99</v>
      </c>
      <c r="B1402" s="75" t="str">
        <f ca="1">+UPPER(Tabla1321124[[#This Row],[DESCRIPCIÓN DE LA COMPRA O CONTRATACIÓN]])</f>
        <v>ACIDO CLORHIDRICO ACS PLUS, FRASCO DE 2.5 LITROS CON UN MAXIMO DE CLORO LIBRE DE 04. PPM Y UN MAXIMO DE HIERRO - 0.1 PPM, GRADO REACTIVO</v>
      </c>
      <c r="C1402" s="39" t="s">
        <v>1063</v>
      </c>
      <c r="D1402" s="236">
        <f>1+1</f>
        <v>2</v>
      </c>
      <c r="E1402" s="236">
        <f>1</f>
        <v>1</v>
      </c>
      <c r="F1402" s="236">
        <f>1</f>
        <v>1</v>
      </c>
      <c r="G1402" s="236"/>
      <c r="H1402" s="236">
        <f>Tabla1321124[[#This Row],[CUARTO TRIMESTRE]]+Tabla1321124[[#This Row],[TERCER TRIMESTRE]]+Tabla1321124[[#This Row],[SEGUNDO TRIMESTRE]]+Tabla1321124[[#This Row],[PRIMER TRIMESTRE]]</f>
        <v>4</v>
      </c>
      <c r="I1402" s="17">
        <v>3500</v>
      </c>
      <c r="J1402" s="17">
        <f>+Tabla1321124[[#This Row],[CANTIDAD TOTAL]]*Tabla1321124[[#This Row],[PRECIO UNITARIO ESTIMADO]]</f>
        <v>14000</v>
      </c>
      <c r="K1402" s="17"/>
      <c r="L1402" s="16" t="s">
        <v>18</v>
      </c>
      <c r="M1402" s="16" t="s">
        <v>22</v>
      </c>
      <c r="N1402" s="16" t="s">
        <v>418</v>
      </c>
      <c r="O1402" s="243"/>
      <c r="P1402" s="243"/>
      <c r="Q1402" s="243"/>
      <c r="R1402" s="243"/>
      <c r="S1402" s="243"/>
      <c r="T1402" s="243"/>
      <c r="U1402" s="243"/>
      <c r="V1402" s="243"/>
      <c r="W1402" s="243"/>
      <c r="X1402" s="243"/>
      <c r="Y1402" s="243"/>
      <c r="Z1402" s="243"/>
      <c r="AA1402" s="243"/>
      <c r="AB1402" s="243"/>
      <c r="AC1402" s="243"/>
      <c r="AD1402" s="243"/>
      <c r="AE1402" s="243"/>
      <c r="AF1402" s="243"/>
      <c r="AG1402" s="243"/>
      <c r="AH1402" s="243"/>
      <c r="AI1402" s="243"/>
      <c r="AJ1402" s="243"/>
      <c r="AK1402" s="243"/>
      <c r="AL1402" s="243"/>
      <c r="AM1402" s="243"/>
      <c r="AN1402" s="243"/>
      <c r="AO1402" s="243"/>
      <c r="AP1402" s="243"/>
      <c r="AQ1402" s="243"/>
      <c r="AR1402" s="243"/>
      <c r="AS1402" s="243"/>
      <c r="AT1402" s="243"/>
      <c r="AU1402" s="243"/>
      <c r="AV1402" s="243"/>
      <c r="AW1402" s="243"/>
      <c r="AX1402" s="243"/>
      <c r="AY1402" s="243"/>
      <c r="AZ1402" s="243"/>
      <c r="BA1402" s="243"/>
      <c r="BB1402" s="243"/>
      <c r="BC1402" s="243"/>
      <c r="BD1402" s="243"/>
      <c r="BE1402" s="243"/>
      <c r="BF1402" s="243"/>
      <c r="BG1402" s="243"/>
      <c r="BH1402" s="243"/>
      <c r="BI1402" s="243"/>
      <c r="BJ1402" s="243"/>
      <c r="BK1402" s="243"/>
      <c r="BL1402" s="243"/>
      <c r="BM1402" s="243"/>
      <c r="BN1402" s="243"/>
      <c r="BO1402" s="243"/>
      <c r="BP1402" s="243"/>
      <c r="BQ1402" s="243"/>
      <c r="BR1402" s="243"/>
      <c r="BS1402" s="243"/>
    </row>
    <row r="1403" spans="1:71" s="12" customFormat="1" ht="41.25" customHeight="1">
      <c r="A1403" s="178" t="s">
        <v>99</v>
      </c>
      <c r="B1403" s="75" t="str">
        <f ca="1">+UPPER(Tabla1321124[[#This Row],[DESCRIPCIÓN DE LA COMPRA O CONTRATACIÓN]])</f>
        <v>ACIDO SULFURICO (H₂SO₄) F.W.98.08, FRASCO DE 2.5 LITROS, GRADO REACTIVO</v>
      </c>
      <c r="C1403" s="39" t="s">
        <v>1063</v>
      </c>
      <c r="D1403" s="236">
        <v>1</v>
      </c>
      <c r="E1403" s="236"/>
      <c r="F1403" s="236"/>
      <c r="G1403" s="236"/>
      <c r="H1403" s="236">
        <f>Tabla1321124[[#This Row],[CUARTO TRIMESTRE]]+Tabla1321124[[#This Row],[TERCER TRIMESTRE]]+Tabla1321124[[#This Row],[SEGUNDO TRIMESTRE]]+Tabla1321124[[#This Row],[PRIMER TRIMESTRE]]</f>
        <v>1</v>
      </c>
      <c r="I1403" s="17">
        <v>2500</v>
      </c>
      <c r="J1403" s="17">
        <f>+Tabla1321124[[#This Row],[CANTIDAD TOTAL]]*Tabla1321124[[#This Row],[PRECIO UNITARIO ESTIMADO]]</f>
        <v>2500</v>
      </c>
      <c r="K1403" s="17"/>
      <c r="L1403" s="16" t="s">
        <v>18</v>
      </c>
      <c r="M1403" s="16" t="s">
        <v>22</v>
      </c>
      <c r="N1403" s="16" t="s">
        <v>418</v>
      </c>
      <c r="O1403" s="243"/>
      <c r="P1403" s="243"/>
      <c r="Q1403" s="243"/>
      <c r="R1403" s="243"/>
      <c r="S1403" s="243"/>
      <c r="T1403" s="243"/>
      <c r="U1403" s="243"/>
      <c r="V1403" s="243"/>
      <c r="W1403" s="243"/>
      <c r="X1403" s="243"/>
      <c r="Y1403" s="243"/>
      <c r="Z1403" s="243"/>
      <c r="AA1403" s="243"/>
      <c r="AB1403" s="243"/>
      <c r="AC1403" s="243"/>
      <c r="AD1403" s="243"/>
      <c r="AE1403" s="243"/>
      <c r="AF1403" s="243"/>
      <c r="AG1403" s="243"/>
      <c r="AH1403" s="243"/>
      <c r="AI1403" s="243"/>
      <c r="AJ1403" s="243"/>
      <c r="AK1403" s="243"/>
      <c r="AL1403" s="243"/>
      <c r="AM1403" s="243"/>
      <c r="AN1403" s="243"/>
      <c r="AO1403" s="243"/>
      <c r="AP1403" s="243"/>
      <c r="AQ1403" s="243"/>
      <c r="AR1403" s="243"/>
      <c r="AS1403" s="243"/>
      <c r="AT1403" s="243"/>
      <c r="AU1403" s="243"/>
      <c r="AV1403" s="243"/>
      <c r="AW1403" s="243"/>
      <c r="AX1403" s="243"/>
      <c r="AY1403" s="243"/>
      <c r="AZ1403" s="243"/>
      <c r="BA1403" s="243"/>
      <c r="BB1403" s="243"/>
      <c r="BC1403" s="243"/>
      <c r="BD1403" s="243"/>
      <c r="BE1403" s="243"/>
      <c r="BF1403" s="243"/>
      <c r="BG1403" s="243"/>
      <c r="BH1403" s="243"/>
      <c r="BI1403" s="243"/>
      <c r="BJ1403" s="243"/>
      <c r="BK1403" s="243"/>
      <c r="BL1403" s="243"/>
      <c r="BM1403" s="243"/>
      <c r="BN1403" s="243"/>
      <c r="BO1403" s="243"/>
      <c r="BP1403" s="243"/>
      <c r="BQ1403" s="243"/>
      <c r="BR1403" s="243"/>
      <c r="BS1403" s="243"/>
    </row>
    <row r="1404" spans="1:71" s="12" customFormat="1" ht="41.25" customHeight="1">
      <c r="A1404" s="178" t="s">
        <v>99</v>
      </c>
      <c r="B1404" s="75" t="str">
        <f ca="1">+UPPER(Tabla1321124[[#This Row],[DESCRIPCIÓN DE LA COMPRA O CONTRATACIÓN]])</f>
        <v>HIDROXIDO DE AMONIO (NH₄OH), FRASCO DE 2.5 LITROS GRADO REACTIVO</v>
      </c>
      <c r="C1404" s="39" t="s">
        <v>1063</v>
      </c>
      <c r="D1404" s="236">
        <v>1</v>
      </c>
      <c r="E1404" s="236"/>
      <c r="F1404" s="236"/>
      <c r="G1404" s="236"/>
      <c r="H1404" s="236">
        <f>Tabla1321124[[#This Row],[CUARTO TRIMESTRE]]+Tabla1321124[[#This Row],[TERCER TRIMESTRE]]+Tabla1321124[[#This Row],[SEGUNDO TRIMESTRE]]+Tabla1321124[[#This Row],[PRIMER TRIMESTRE]]</f>
        <v>1</v>
      </c>
      <c r="I1404" s="17">
        <v>2500</v>
      </c>
      <c r="J1404" s="17">
        <f>+Tabla1321124[[#This Row],[CANTIDAD TOTAL]]*Tabla1321124[[#This Row],[PRECIO UNITARIO ESTIMADO]]</f>
        <v>2500</v>
      </c>
      <c r="K1404" s="17"/>
      <c r="L1404" s="16" t="s">
        <v>18</v>
      </c>
      <c r="M1404" s="16" t="s">
        <v>22</v>
      </c>
      <c r="N1404" s="16" t="s">
        <v>418</v>
      </c>
      <c r="O1404" s="243"/>
      <c r="P1404" s="243"/>
      <c r="Q1404" s="243"/>
      <c r="R1404" s="243"/>
      <c r="S1404" s="243"/>
      <c r="T1404" s="243"/>
      <c r="U1404" s="243"/>
      <c r="V1404" s="243"/>
      <c r="W1404" s="243"/>
      <c r="X1404" s="243"/>
      <c r="Y1404" s="243"/>
      <c r="Z1404" s="243"/>
      <c r="AA1404" s="243"/>
      <c r="AB1404" s="243"/>
      <c r="AC1404" s="243"/>
      <c r="AD1404" s="243"/>
      <c r="AE1404" s="243"/>
      <c r="AF1404" s="243"/>
      <c r="AG1404" s="243"/>
      <c r="AH1404" s="243"/>
      <c r="AI1404" s="243"/>
      <c r="AJ1404" s="243"/>
      <c r="AK1404" s="243"/>
      <c r="AL1404" s="243"/>
      <c r="AM1404" s="243"/>
      <c r="AN1404" s="243"/>
      <c r="AO1404" s="243"/>
      <c r="AP1404" s="243"/>
      <c r="AQ1404" s="243"/>
      <c r="AR1404" s="243"/>
      <c r="AS1404" s="243"/>
      <c r="AT1404" s="243"/>
      <c r="AU1404" s="243"/>
      <c r="AV1404" s="243"/>
      <c r="AW1404" s="243"/>
      <c r="AX1404" s="243"/>
      <c r="AY1404" s="243"/>
      <c r="AZ1404" s="243"/>
      <c r="BA1404" s="243"/>
      <c r="BB1404" s="243"/>
      <c r="BC1404" s="243"/>
      <c r="BD1404" s="243"/>
      <c r="BE1404" s="243"/>
      <c r="BF1404" s="243"/>
      <c r="BG1404" s="243"/>
      <c r="BH1404" s="243"/>
      <c r="BI1404" s="243"/>
      <c r="BJ1404" s="243"/>
      <c r="BK1404" s="243"/>
      <c r="BL1404" s="243"/>
      <c r="BM1404" s="243"/>
      <c r="BN1404" s="243"/>
      <c r="BO1404" s="243"/>
      <c r="BP1404" s="243"/>
      <c r="BQ1404" s="243"/>
      <c r="BR1404" s="243"/>
      <c r="BS1404" s="243"/>
    </row>
    <row r="1405" spans="1:71" s="12" customFormat="1" ht="41.25" customHeight="1">
      <c r="A1405" s="178" t="s">
        <v>99</v>
      </c>
      <c r="B1405" s="75" t="str">
        <f ca="1">+UPPER(Tabla1321124[[#This Row],[DESCRIPCIÓN DE LA COMPRA O CONTRATACIÓN]])</f>
        <v>ACIDO SULFAMIC, EN CRISTAL, FRASCO DE 100G</v>
      </c>
      <c r="C1405" s="39" t="s">
        <v>1037</v>
      </c>
      <c r="D1405" s="236">
        <v>1</v>
      </c>
      <c r="E1405" s="236"/>
      <c r="F1405" s="236"/>
      <c r="G1405" s="236"/>
      <c r="H1405" s="236">
        <f>Tabla1321124[[#This Row],[CUARTO TRIMESTRE]]+Tabla1321124[[#This Row],[TERCER TRIMESTRE]]+Tabla1321124[[#This Row],[SEGUNDO TRIMESTRE]]+Tabla1321124[[#This Row],[PRIMER TRIMESTRE]]</f>
        <v>1</v>
      </c>
      <c r="I1405" s="17">
        <v>3000</v>
      </c>
      <c r="J1405" s="17">
        <f>+Tabla1321124[[#This Row],[CANTIDAD TOTAL]]*Tabla1321124[[#This Row],[PRECIO UNITARIO ESTIMADO]]</f>
        <v>3000</v>
      </c>
      <c r="K1405" s="17"/>
      <c r="L1405" s="16" t="s">
        <v>18</v>
      </c>
      <c r="M1405" s="16" t="s">
        <v>22</v>
      </c>
      <c r="N1405" s="16" t="s">
        <v>418</v>
      </c>
      <c r="O1405" s="243"/>
      <c r="P1405" s="243"/>
      <c r="Q1405" s="243"/>
      <c r="R1405" s="243"/>
      <c r="S1405" s="243"/>
      <c r="T1405" s="243"/>
      <c r="U1405" s="243"/>
      <c r="V1405" s="243"/>
      <c r="W1405" s="243"/>
      <c r="X1405" s="243"/>
      <c r="Y1405" s="243"/>
      <c r="Z1405" s="243"/>
      <c r="AA1405" s="243"/>
      <c r="AB1405" s="243"/>
      <c r="AC1405" s="243"/>
      <c r="AD1405" s="243"/>
      <c r="AE1405" s="243"/>
      <c r="AF1405" s="243"/>
      <c r="AG1405" s="243"/>
      <c r="AH1405" s="243"/>
      <c r="AI1405" s="243"/>
      <c r="AJ1405" s="243"/>
      <c r="AK1405" s="243"/>
      <c r="AL1405" s="243"/>
      <c r="AM1405" s="243"/>
      <c r="AN1405" s="243"/>
      <c r="AO1405" s="243"/>
      <c r="AP1405" s="243"/>
      <c r="AQ1405" s="243"/>
      <c r="AR1405" s="243"/>
      <c r="AS1405" s="243"/>
      <c r="AT1405" s="243"/>
      <c r="AU1405" s="243"/>
      <c r="AV1405" s="243"/>
      <c r="AW1405" s="243"/>
      <c r="AX1405" s="243"/>
      <c r="AY1405" s="243"/>
      <c r="AZ1405" s="243"/>
      <c r="BA1405" s="243"/>
      <c r="BB1405" s="243"/>
      <c r="BC1405" s="243"/>
      <c r="BD1405" s="243"/>
      <c r="BE1405" s="243"/>
      <c r="BF1405" s="243"/>
      <c r="BG1405" s="243"/>
      <c r="BH1405" s="243"/>
      <c r="BI1405" s="243"/>
      <c r="BJ1405" s="243"/>
      <c r="BK1405" s="243"/>
      <c r="BL1405" s="243"/>
      <c r="BM1405" s="243"/>
      <c r="BN1405" s="243"/>
      <c r="BO1405" s="243"/>
      <c r="BP1405" s="243"/>
      <c r="BQ1405" s="243"/>
      <c r="BR1405" s="243"/>
      <c r="BS1405" s="243"/>
    </row>
    <row r="1406" spans="1:71" s="12" customFormat="1" ht="41.25" customHeight="1">
      <c r="A1406" s="178" t="s">
        <v>99</v>
      </c>
      <c r="B1406" s="75" t="str">
        <f ca="1">+UPPER(Tabla1321124[[#This Row],[DESCRIPCIÓN DE LA COMPRA O CONTRATACIÓN]])</f>
        <v>SULFIDE 1, CATALOGO 1816-32, FRASCO DE 100 ML</v>
      </c>
      <c r="C1406" s="39" t="s">
        <v>1064</v>
      </c>
      <c r="D1406" s="236">
        <v>1</v>
      </c>
      <c r="E1406" s="236"/>
      <c r="F1406" s="236"/>
      <c r="G1406" s="236">
        <v>1</v>
      </c>
      <c r="H1406" s="236">
        <f>Tabla1321124[[#This Row],[CUARTO TRIMESTRE]]+Tabla1321124[[#This Row],[TERCER TRIMESTRE]]+Tabla1321124[[#This Row],[SEGUNDO TRIMESTRE]]+Tabla1321124[[#This Row],[PRIMER TRIMESTRE]]</f>
        <v>2</v>
      </c>
      <c r="I1406" s="17">
        <v>2500</v>
      </c>
      <c r="J1406" s="17">
        <f>+Tabla1321124[[#This Row],[CANTIDAD TOTAL]]*Tabla1321124[[#This Row],[PRECIO UNITARIO ESTIMADO]]</f>
        <v>5000</v>
      </c>
      <c r="K1406" s="17"/>
      <c r="L1406" s="16" t="s">
        <v>18</v>
      </c>
      <c r="M1406" s="16" t="s">
        <v>22</v>
      </c>
      <c r="N1406" s="16" t="s">
        <v>418</v>
      </c>
      <c r="O1406" s="243"/>
      <c r="P1406" s="243"/>
      <c r="Q1406" s="243"/>
      <c r="R1406" s="243"/>
      <c r="S1406" s="243"/>
      <c r="T1406" s="243"/>
      <c r="U1406" s="243"/>
      <c r="V1406" s="243"/>
      <c r="W1406" s="243"/>
      <c r="X1406" s="243"/>
      <c r="Y1406" s="243"/>
      <c r="Z1406" s="243"/>
      <c r="AA1406" s="243"/>
      <c r="AB1406" s="243"/>
      <c r="AC1406" s="243"/>
      <c r="AD1406" s="243"/>
      <c r="AE1406" s="243"/>
      <c r="AF1406" s="243"/>
      <c r="AG1406" s="243"/>
      <c r="AH1406" s="243"/>
      <c r="AI1406" s="243"/>
      <c r="AJ1406" s="243"/>
      <c r="AK1406" s="243"/>
      <c r="AL1406" s="243"/>
      <c r="AM1406" s="243"/>
      <c r="AN1406" s="243"/>
      <c r="AO1406" s="243"/>
      <c r="AP1406" s="243"/>
      <c r="AQ1406" s="243"/>
      <c r="AR1406" s="243"/>
      <c r="AS1406" s="243"/>
      <c r="AT1406" s="243"/>
      <c r="AU1406" s="243"/>
      <c r="AV1406" s="243"/>
      <c r="AW1406" s="243"/>
      <c r="AX1406" s="243"/>
      <c r="AY1406" s="243"/>
      <c r="AZ1406" s="243"/>
      <c r="BA1406" s="243"/>
      <c r="BB1406" s="243"/>
      <c r="BC1406" s="243"/>
      <c r="BD1406" s="243"/>
      <c r="BE1406" s="243"/>
      <c r="BF1406" s="243"/>
      <c r="BG1406" s="243"/>
      <c r="BH1406" s="243"/>
      <c r="BI1406" s="243"/>
      <c r="BJ1406" s="243"/>
      <c r="BK1406" s="243"/>
      <c r="BL1406" s="243"/>
      <c r="BM1406" s="243"/>
      <c r="BN1406" s="243"/>
      <c r="BO1406" s="243"/>
      <c r="BP1406" s="243"/>
      <c r="BQ1406" s="243"/>
      <c r="BR1406" s="243"/>
      <c r="BS1406" s="243"/>
    </row>
    <row r="1407" spans="1:71" s="12" customFormat="1" ht="41.25" customHeight="1">
      <c r="A1407" s="178" t="s">
        <v>99</v>
      </c>
      <c r="B1407" s="75" t="str">
        <f ca="1">+UPPER(Tabla1321124[[#This Row],[DESCRIPCIÓN DE LA COMPRA O CONTRATACIÓN]])</f>
        <v>SULFIDE 2, CATALOGO 1817-32, FRASCO DE 100 ML</v>
      </c>
      <c r="C1407" s="39" t="s">
        <v>1064</v>
      </c>
      <c r="D1407" s="236">
        <v>1</v>
      </c>
      <c r="E1407" s="236"/>
      <c r="F1407" s="236"/>
      <c r="G1407" s="236">
        <v>1</v>
      </c>
      <c r="H1407" s="236">
        <f>Tabla1321124[[#This Row],[CUARTO TRIMESTRE]]+Tabla1321124[[#This Row],[TERCER TRIMESTRE]]+Tabla1321124[[#This Row],[SEGUNDO TRIMESTRE]]+Tabla1321124[[#This Row],[PRIMER TRIMESTRE]]</f>
        <v>2</v>
      </c>
      <c r="I1407" s="17">
        <v>2500</v>
      </c>
      <c r="J1407" s="17">
        <f>+Tabla1321124[[#This Row],[CANTIDAD TOTAL]]*Tabla1321124[[#This Row],[PRECIO UNITARIO ESTIMADO]]</f>
        <v>5000</v>
      </c>
      <c r="K1407" s="17"/>
      <c r="L1407" s="16" t="s">
        <v>18</v>
      </c>
      <c r="M1407" s="16" t="s">
        <v>22</v>
      </c>
      <c r="N1407" s="16" t="s">
        <v>418</v>
      </c>
      <c r="O1407" s="243"/>
      <c r="P1407" s="243"/>
      <c r="Q1407" s="243"/>
      <c r="R1407" s="243"/>
      <c r="S1407" s="243"/>
      <c r="T1407" s="243"/>
      <c r="U1407" s="243"/>
      <c r="V1407" s="243"/>
      <c r="W1407" s="243"/>
      <c r="X1407" s="243"/>
      <c r="Y1407" s="243"/>
      <c r="Z1407" s="243"/>
      <c r="AA1407" s="243"/>
      <c r="AB1407" s="243"/>
      <c r="AC1407" s="243"/>
      <c r="AD1407" s="243"/>
      <c r="AE1407" s="243"/>
      <c r="AF1407" s="243"/>
      <c r="AG1407" s="243"/>
      <c r="AH1407" s="243"/>
      <c r="AI1407" s="243"/>
      <c r="AJ1407" s="243"/>
      <c r="AK1407" s="243"/>
      <c r="AL1407" s="243"/>
      <c r="AM1407" s="243"/>
      <c r="AN1407" s="243"/>
      <c r="AO1407" s="243"/>
      <c r="AP1407" s="243"/>
      <c r="AQ1407" s="243"/>
      <c r="AR1407" s="243"/>
      <c r="AS1407" s="243"/>
      <c r="AT1407" s="243"/>
      <c r="AU1407" s="243"/>
      <c r="AV1407" s="243"/>
      <c r="AW1407" s="243"/>
      <c r="AX1407" s="243"/>
      <c r="AY1407" s="243"/>
      <c r="AZ1407" s="243"/>
      <c r="BA1407" s="243"/>
      <c r="BB1407" s="243"/>
      <c r="BC1407" s="243"/>
      <c r="BD1407" s="243"/>
      <c r="BE1407" s="243"/>
      <c r="BF1407" s="243"/>
      <c r="BG1407" s="243"/>
      <c r="BH1407" s="243"/>
      <c r="BI1407" s="243"/>
      <c r="BJ1407" s="243"/>
      <c r="BK1407" s="243"/>
      <c r="BL1407" s="243"/>
      <c r="BM1407" s="243"/>
      <c r="BN1407" s="243"/>
      <c r="BO1407" s="243"/>
      <c r="BP1407" s="243"/>
      <c r="BQ1407" s="243"/>
      <c r="BR1407" s="243"/>
      <c r="BS1407" s="243"/>
    </row>
    <row r="1408" spans="1:71" s="12" customFormat="1" ht="41.25" customHeight="1">
      <c r="A1408" s="178" t="s">
        <v>99</v>
      </c>
      <c r="B1408" s="75" t="str">
        <f ca="1">+UPPER(Tabla1321124[[#This Row],[DESCRIPCIÓN DE LA COMPRA O CONTRATACIÓN]])</f>
        <v>SALICILATO DE AMMONIA, CATALOGO26532-99, PK/100</v>
      </c>
      <c r="C1408" s="39" t="s">
        <v>1064</v>
      </c>
      <c r="D1408" s="236">
        <f>1+1</f>
        <v>2</v>
      </c>
      <c r="E1408" s="236">
        <f>1</f>
        <v>1</v>
      </c>
      <c r="F1408" s="236">
        <f>1</f>
        <v>1</v>
      </c>
      <c r="G1408" s="236">
        <f>1</f>
        <v>1</v>
      </c>
      <c r="H1408" s="236">
        <f>Tabla1321124[[#This Row],[CUARTO TRIMESTRE]]+Tabla1321124[[#This Row],[TERCER TRIMESTRE]]+Tabla1321124[[#This Row],[SEGUNDO TRIMESTRE]]+Tabla1321124[[#This Row],[PRIMER TRIMESTRE]]</f>
        <v>5</v>
      </c>
      <c r="I1408" s="17">
        <v>2000</v>
      </c>
      <c r="J1408" s="17">
        <f>+Tabla1321124[[#This Row],[CANTIDAD TOTAL]]*Tabla1321124[[#This Row],[PRECIO UNITARIO ESTIMADO]]</f>
        <v>10000</v>
      </c>
      <c r="K1408" s="17"/>
      <c r="L1408" s="16" t="s">
        <v>18</v>
      </c>
      <c r="M1408" s="16" t="s">
        <v>22</v>
      </c>
      <c r="N1408" s="16" t="s">
        <v>418</v>
      </c>
      <c r="O1408" s="243"/>
      <c r="P1408" s="243"/>
      <c r="Q1408" s="243"/>
      <c r="R1408" s="243"/>
      <c r="S1408" s="243"/>
      <c r="T1408" s="243"/>
      <c r="U1408" s="243"/>
      <c r="V1408" s="243"/>
      <c r="W1408" s="243"/>
      <c r="X1408" s="243"/>
      <c r="Y1408" s="243"/>
      <c r="Z1408" s="243"/>
      <c r="AA1408" s="243"/>
      <c r="AB1408" s="243"/>
      <c r="AC1408" s="243"/>
      <c r="AD1408" s="243"/>
      <c r="AE1408" s="243"/>
      <c r="AF1408" s="243"/>
      <c r="AG1408" s="243"/>
      <c r="AH1408" s="243"/>
      <c r="AI1408" s="243"/>
      <c r="AJ1408" s="243"/>
      <c r="AK1408" s="243"/>
      <c r="AL1408" s="243"/>
      <c r="AM1408" s="243"/>
      <c r="AN1408" s="243"/>
      <c r="AO1408" s="243"/>
      <c r="AP1408" s="243"/>
      <c r="AQ1408" s="243"/>
      <c r="AR1408" s="243"/>
      <c r="AS1408" s="243"/>
      <c r="AT1408" s="243"/>
      <c r="AU1408" s="243"/>
      <c r="AV1408" s="243"/>
      <c r="AW1408" s="243"/>
      <c r="AX1408" s="243"/>
      <c r="AY1408" s="243"/>
      <c r="AZ1408" s="243"/>
      <c r="BA1408" s="243"/>
      <c r="BB1408" s="243"/>
      <c r="BC1408" s="243"/>
      <c r="BD1408" s="243"/>
      <c r="BE1408" s="243"/>
      <c r="BF1408" s="243"/>
      <c r="BG1408" s="243"/>
      <c r="BH1408" s="243"/>
      <c r="BI1408" s="243"/>
      <c r="BJ1408" s="243"/>
      <c r="BK1408" s="243"/>
      <c r="BL1408" s="243"/>
      <c r="BM1408" s="243"/>
      <c r="BN1408" s="243"/>
      <c r="BO1408" s="243"/>
      <c r="BP1408" s="243"/>
      <c r="BQ1408" s="243"/>
      <c r="BR1408" s="243"/>
      <c r="BS1408" s="243"/>
    </row>
    <row r="1409" spans="1:71" s="12" customFormat="1" ht="41.25" customHeight="1">
      <c r="A1409" s="178" t="s">
        <v>99</v>
      </c>
      <c r="B1409" s="75" t="str">
        <f ca="1">+UPPER(Tabla1321124[[#This Row],[DESCRIPCIÓN DE LA COMPRA O CONTRATACIÓN]])</f>
        <v>CYANURATE DE AMONIA , CATALOGO26531-99 PK/100</v>
      </c>
      <c r="C1409" s="39" t="s">
        <v>1065</v>
      </c>
      <c r="D1409" s="236">
        <f>1+1</f>
        <v>2</v>
      </c>
      <c r="E1409" s="236">
        <f>1</f>
        <v>1</v>
      </c>
      <c r="F1409" s="236">
        <f>1</f>
        <v>1</v>
      </c>
      <c r="G1409" s="236">
        <f>1</f>
        <v>1</v>
      </c>
      <c r="H1409" s="236">
        <f>Tabla1321124[[#This Row],[CUARTO TRIMESTRE]]+Tabla1321124[[#This Row],[TERCER TRIMESTRE]]+Tabla1321124[[#This Row],[SEGUNDO TRIMESTRE]]+Tabla1321124[[#This Row],[PRIMER TRIMESTRE]]</f>
        <v>5</v>
      </c>
      <c r="I1409" s="17">
        <v>2000</v>
      </c>
      <c r="J1409" s="17">
        <f>+Tabla1321124[[#This Row],[CANTIDAD TOTAL]]*Tabla1321124[[#This Row],[PRECIO UNITARIO ESTIMADO]]</f>
        <v>10000</v>
      </c>
      <c r="K1409" s="17"/>
      <c r="L1409" s="16" t="s">
        <v>18</v>
      </c>
      <c r="M1409" s="16" t="s">
        <v>22</v>
      </c>
      <c r="N1409" s="16" t="s">
        <v>418</v>
      </c>
      <c r="O1409" s="243"/>
      <c r="P1409" s="243"/>
      <c r="Q1409" s="243"/>
      <c r="R1409" s="243"/>
      <c r="S1409" s="243"/>
      <c r="T1409" s="243"/>
      <c r="U1409" s="243"/>
      <c r="V1409" s="243"/>
      <c r="W1409" s="243"/>
      <c r="X1409" s="243"/>
      <c r="Y1409" s="243"/>
      <c r="Z1409" s="243"/>
      <c r="AA1409" s="243"/>
      <c r="AB1409" s="243"/>
      <c r="AC1409" s="243"/>
      <c r="AD1409" s="243"/>
      <c r="AE1409" s="243"/>
      <c r="AF1409" s="243"/>
      <c r="AG1409" s="243"/>
      <c r="AH1409" s="243"/>
      <c r="AI1409" s="243"/>
      <c r="AJ1409" s="243"/>
      <c r="AK1409" s="243"/>
      <c r="AL1409" s="243"/>
      <c r="AM1409" s="243"/>
      <c r="AN1409" s="243"/>
      <c r="AO1409" s="243"/>
      <c r="AP1409" s="243"/>
      <c r="AQ1409" s="243"/>
      <c r="AR1409" s="243"/>
      <c r="AS1409" s="243"/>
      <c r="AT1409" s="243"/>
      <c r="AU1409" s="243"/>
      <c r="AV1409" s="243"/>
      <c r="AW1409" s="243"/>
      <c r="AX1409" s="243"/>
      <c r="AY1409" s="243"/>
      <c r="AZ1409" s="243"/>
      <c r="BA1409" s="243"/>
      <c r="BB1409" s="243"/>
      <c r="BC1409" s="243"/>
      <c r="BD1409" s="243"/>
      <c r="BE1409" s="243"/>
      <c r="BF1409" s="243"/>
      <c r="BG1409" s="243"/>
      <c r="BH1409" s="243"/>
      <c r="BI1409" s="243"/>
      <c r="BJ1409" s="243"/>
      <c r="BK1409" s="243"/>
      <c r="BL1409" s="243"/>
      <c r="BM1409" s="243"/>
      <c r="BN1409" s="243"/>
      <c r="BO1409" s="243"/>
      <c r="BP1409" s="243"/>
      <c r="BQ1409" s="243"/>
      <c r="BR1409" s="243"/>
      <c r="BS1409" s="243"/>
    </row>
    <row r="1410" spans="1:71" s="12" customFormat="1" ht="41.25" customHeight="1">
      <c r="A1410" s="178" t="s">
        <v>99</v>
      </c>
      <c r="B1410" s="75" t="str">
        <f ca="1">+UPPER(Tabla1321124[[#This Row],[DESCRIPCIÓN DE LA COMPRA O CONTRATACIÓN]])</f>
        <v>FERROVER, CATALOGO 21057-69 PK/100</v>
      </c>
      <c r="C1410" s="39" t="s">
        <v>1065</v>
      </c>
      <c r="D1410" s="236">
        <v>1</v>
      </c>
      <c r="E1410" s="236"/>
      <c r="F1410" s="236">
        <f>1</f>
        <v>1</v>
      </c>
      <c r="G1410" s="236">
        <f>1</f>
        <v>1</v>
      </c>
      <c r="H1410" s="236">
        <f>Tabla1321124[[#This Row],[CUARTO TRIMESTRE]]+Tabla1321124[[#This Row],[TERCER TRIMESTRE]]+Tabla1321124[[#This Row],[SEGUNDO TRIMESTRE]]+Tabla1321124[[#This Row],[PRIMER TRIMESTRE]]</f>
        <v>3</v>
      </c>
      <c r="I1410" s="17">
        <v>2100</v>
      </c>
      <c r="J1410" s="17">
        <f>+Tabla1321124[[#This Row],[CANTIDAD TOTAL]]*Tabla1321124[[#This Row],[PRECIO UNITARIO ESTIMADO]]</f>
        <v>6300</v>
      </c>
      <c r="K1410" s="17"/>
      <c r="L1410" s="16" t="s">
        <v>18</v>
      </c>
      <c r="M1410" s="16" t="s">
        <v>22</v>
      </c>
      <c r="N1410" s="16" t="s">
        <v>418</v>
      </c>
      <c r="O1410" s="243"/>
      <c r="P1410" s="243"/>
      <c r="Q1410" s="243"/>
      <c r="R1410" s="243"/>
      <c r="S1410" s="243"/>
      <c r="T1410" s="243"/>
      <c r="U1410" s="243"/>
      <c r="V1410" s="243"/>
      <c r="W1410" s="243"/>
      <c r="X1410" s="243"/>
      <c r="Y1410" s="243"/>
      <c r="Z1410" s="243"/>
      <c r="AA1410" s="243"/>
      <c r="AB1410" s="243"/>
      <c r="AC1410" s="243"/>
      <c r="AD1410" s="243"/>
      <c r="AE1410" s="243"/>
      <c r="AF1410" s="243"/>
      <c r="AG1410" s="243"/>
      <c r="AH1410" s="243"/>
      <c r="AI1410" s="243"/>
      <c r="AJ1410" s="243"/>
      <c r="AK1410" s="243"/>
      <c r="AL1410" s="243"/>
      <c r="AM1410" s="243"/>
      <c r="AN1410" s="243"/>
      <c r="AO1410" s="243"/>
      <c r="AP1410" s="243"/>
      <c r="AQ1410" s="243"/>
      <c r="AR1410" s="243"/>
      <c r="AS1410" s="243"/>
      <c r="AT1410" s="243"/>
      <c r="AU1410" s="243"/>
      <c r="AV1410" s="243"/>
      <c r="AW1410" s="243"/>
      <c r="AX1410" s="243"/>
      <c r="AY1410" s="243"/>
      <c r="AZ1410" s="243"/>
      <c r="BA1410" s="243"/>
      <c r="BB1410" s="243"/>
      <c r="BC1410" s="243"/>
      <c r="BD1410" s="243"/>
      <c r="BE1410" s="243"/>
      <c r="BF1410" s="243"/>
      <c r="BG1410" s="243"/>
      <c r="BH1410" s="243"/>
      <c r="BI1410" s="243"/>
      <c r="BJ1410" s="243"/>
      <c r="BK1410" s="243"/>
      <c r="BL1410" s="243"/>
      <c r="BM1410" s="243"/>
      <c r="BN1410" s="243"/>
      <c r="BO1410" s="243"/>
      <c r="BP1410" s="243"/>
      <c r="BQ1410" s="243"/>
      <c r="BR1410" s="243"/>
      <c r="BS1410" s="243"/>
    </row>
    <row r="1411" spans="1:71" s="12" customFormat="1" ht="41.25" customHeight="1">
      <c r="A1411" s="178" t="s">
        <v>99</v>
      </c>
      <c r="B1411" s="75" t="str">
        <f ca="1">+UPPER(Tabla1321124[[#This Row],[DESCRIPCIÓN DE LA COMPRA O CONTRATACIÓN]])</f>
        <v>NITRIVER 3, CATALOGO 21071-69 PK/100</v>
      </c>
      <c r="C1411" s="39" t="s">
        <v>1065</v>
      </c>
      <c r="D1411" s="236">
        <f>1+1</f>
        <v>2</v>
      </c>
      <c r="E1411" s="236">
        <f>1</f>
        <v>1</v>
      </c>
      <c r="F1411" s="236">
        <f>1</f>
        <v>1</v>
      </c>
      <c r="G1411" s="236">
        <f>1</f>
        <v>1</v>
      </c>
      <c r="H1411" s="236">
        <f>Tabla1321124[[#This Row],[CUARTO TRIMESTRE]]+Tabla1321124[[#This Row],[TERCER TRIMESTRE]]+Tabla1321124[[#This Row],[SEGUNDO TRIMESTRE]]+Tabla1321124[[#This Row],[PRIMER TRIMESTRE]]</f>
        <v>5</v>
      </c>
      <c r="I1411" s="17">
        <v>2500</v>
      </c>
      <c r="J1411" s="17">
        <f>+Tabla1321124[[#This Row],[CANTIDAD TOTAL]]*Tabla1321124[[#This Row],[PRECIO UNITARIO ESTIMADO]]</f>
        <v>12500</v>
      </c>
      <c r="K1411" s="17"/>
      <c r="L1411" s="16" t="s">
        <v>18</v>
      </c>
      <c r="M1411" s="16" t="s">
        <v>22</v>
      </c>
      <c r="N1411" s="16" t="s">
        <v>418</v>
      </c>
      <c r="O1411" s="243"/>
      <c r="P1411" s="243"/>
      <c r="Q1411" s="243"/>
      <c r="R1411" s="243"/>
      <c r="S1411" s="243"/>
      <c r="T1411" s="243"/>
      <c r="U1411" s="243"/>
      <c r="V1411" s="243"/>
      <c r="W1411" s="243"/>
      <c r="X1411" s="243"/>
      <c r="Y1411" s="243"/>
      <c r="Z1411" s="243"/>
      <c r="AA1411" s="243"/>
      <c r="AB1411" s="243"/>
      <c r="AC1411" s="243"/>
      <c r="AD1411" s="243"/>
      <c r="AE1411" s="243"/>
      <c r="AF1411" s="243"/>
      <c r="AG1411" s="243"/>
      <c r="AH1411" s="243"/>
      <c r="AI1411" s="243"/>
      <c r="AJ1411" s="243"/>
      <c r="AK1411" s="243"/>
      <c r="AL1411" s="243"/>
      <c r="AM1411" s="243"/>
      <c r="AN1411" s="243"/>
      <c r="AO1411" s="243"/>
      <c r="AP1411" s="243"/>
      <c r="AQ1411" s="243"/>
      <c r="AR1411" s="243"/>
      <c r="AS1411" s="243"/>
      <c r="AT1411" s="243"/>
      <c r="AU1411" s="243"/>
      <c r="AV1411" s="243"/>
      <c r="AW1411" s="243"/>
      <c r="AX1411" s="243"/>
      <c r="AY1411" s="243"/>
      <c r="AZ1411" s="243"/>
      <c r="BA1411" s="243"/>
      <c r="BB1411" s="243"/>
      <c r="BC1411" s="243"/>
      <c r="BD1411" s="243"/>
      <c r="BE1411" s="243"/>
      <c r="BF1411" s="243"/>
      <c r="BG1411" s="243"/>
      <c r="BH1411" s="243"/>
      <c r="BI1411" s="243"/>
      <c r="BJ1411" s="243"/>
      <c r="BK1411" s="243"/>
      <c r="BL1411" s="243"/>
      <c r="BM1411" s="243"/>
      <c r="BN1411" s="243"/>
      <c r="BO1411" s="243"/>
      <c r="BP1411" s="243"/>
      <c r="BQ1411" s="243"/>
      <c r="BR1411" s="243"/>
      <c r="BS1411" s="243"/>
    </row>
    <row r="1412" spans="1:71" s="12" customFormat="1" ht="41.25" customHeight="1">
      <c r="A1412" s="178" t="s">
        <v>99</v>
      </c>
      <c r="B1412" s="75" t="str">
        <f ca="1">+UPPER(Tabla1321124[[#This Row],[DESCRIPCIÓN DE LA COMPRA O CONTRATACIÓN]])</f>
        <v>NITRAVER 5, CATOLICO 21071-69 PK/100</v>
      </c>
      <c r="C1412" s="39" t="s">
        <v>1065</v>
      </c>
      <c r="D1412" s="236">
        <f>1+1</f>
        <v>2</v>
      </c>
      <c r="E1412" s="236">
        <f>1</f>
        <v>1</v>
      </c>
      <c r="F1412" s="236">
        <f>1</f>
        <v>1</v>
      </c>
      <c r="G1412" s="236">
        <f>1</f>
        <v>1</v>
      </c>
      <c r="H1412" s="236">
        <f>Tabla1321124[[#This Row],[CUARTO TRIMESTRE]]+Tabla1321124[[#This Row],[TERCER TRIMESTRE]]+Tabla1321124[[#This Row],[SEGUNDO TRIMESTRE]]+Tabla1321124[[#This Row],[PRIMER TRIMESTRE]]</f>
        <v>5</v>
      </c>
      <c r="I1412" s="17">
        <v>2500</v>
      </c>
      <c r="J1412" s="17">
        <f>+Tabla1321124[[#This Row],[CANTIDAD TOTAL]]*Tabla1321124[[#This Row],[PRECIO UNITARIO ESTIMADO]]</f>
        <v>12500</v>
      </c>
      <c r="K1412" s="17"/>
      <c r="L1412" s="16" t="s">
        <v>18</v>
      </c>
      <c r="M1412" s="16" t="s">
        <v>22</v>
      </c>
      <c r="N1412" s="16" t="s">
        <v>418</v>
      </c>
      <c r="O1412" s="243"/>
      <c r="P1412" s="243"/>
      <c r="Q1412" s="243"/>
      <c r="R1412" s="243"/>
      <c r="S1412" s="243"/>
      <c r="T1412" s="243"/>
      <c r="U1412" s="243"/>
      <c r="V1412" s="243"/>
      <c r="W1412" s="243"/>
      <c r="X1412" s="243"/>
      <c r="Y1412" s="243"/>
      <c r="Z1412" s="243"/>
      <c r="AA1412" s="243"/>
      <c r="AB1412" s="243"/>
      <c r="AC1412" s="243"/>
      <c r="AD1412" s="243"/>
      <c r="AE1412" s="243"/>
      <c r="AF1412" s="243"/>
      <c r="AG1412" s="243"/>
      <c r="AH1412" s="243"/>
      <c r="AI1412" s="243"/>
      <c r="AJ1412" s="243"/>
      <c r="AK1412" s="243"/>
      <c r="AL1412" s="243"/>
      <c r="AM1412" s="243"/>
      <c r="AN1412" s="243"/>
      <c r="AO1412" s="243"/>
      <c r="AP1412" s="243"/>
      <c r="AQ1412" s="243"/>
      <c r="AR1412" s="243"/>
      <c r="AS1412" s="243"/>
      <c r="AT1412" s="243"/>
      <c r="AU1412" s="243"/>
      <c r="AV1412" s="243"/>
      <c r="AW1412" s="243"/>
      <c r="AX1412" s="243"/>
      <c r="AY1412" s="243"/>
      <c r="AZ1412" s="243"/>
      <c r="BA1412" s="243"/>
      <c r="BB1412" s="243"/>
      <c r="BC1412" s="243"/>
      <c r="BD1412" s="243"/>
      <c r="BE1412" s="243"/>
      <c r="BF1412" s="243"/>
      <c r="BG1412" s="243"/>
      <c r="BH1412" s="243"/>
      <c r="BI1412" s="243"/>
      <c r="BJ1412" s="243"/>
      <c r="BK1412" s="243"/>
      <c r="BL1412" s="243"/>
      <c r="BM1412" s="243"/>
      <c r="BN1412" s="243"/>
      <c r="BO1412" s="243"/>
      <c r="BP1412" s="243"/>
      <c r="BQ1412" s="243"/>
      <c r="BR1412" s="243"/>
      <c r="BS1412" s="243"/>
    </row>
    <row r="1413" spans="1:71" s="12" customFormat="1" ht="41.25" customHeight="1">
      <c r="A1413" s="178" t="s">
        <v>99</v>
      </c>
      <c r="B1413" s="75" t="str">
        <f ca="1">+UPPER(Tabla1321124[[#This Row],[DESCRIPCIÓN DE LA COMPRA O CONTRATACIÓN]])</f>
        <v>SULFA VER 4, CATALOGO 21067-69 PK DE 100</v>
      </c>
      <c r="C1413" s="39" t="s">
        <v>1065</v>
      </c>
      <c r="D1413" s="236">
        <f>1</f>
        <v>1</v>
      </c>
      <c r="E1413" s="236">
        <f>1</f>
        <v>1</v>
      </c>
      <c r="F1413" s="236">
        <f>1</f>
        <v>1</v>
      </c>
      <c r="G1413" s="236">
        <f>1</f>
        <v>1</v>
      </c>
      <c r="H1413" s="236">
        <f>Tabla1321124[[#This Row],[CUARTO TRIMESTRE]]+Tabla1321124[[#This Row],[TERCER TRIMESTRE]]+Tabla1321124[[#This Row],[SEGUNDO TRIMESTRE]]+Tabla1321124[[#This Row],[PRIMER TRIMESTRE]]</f>
        <v>4</v>
      </c>
      <c r="I1413" s="17">
        <v>3000</v>
      </c>
      <c r="J1413" s="17">
        <f>+Tabla1321124[[#This Row],[CANTIDAD TOTAL]]*Tabla1321124[[#This Row],[PRECIO UNITARIO ESTIMADO]]</f>
        <v>12000</v>
      </c>
      <c r="K1413" s="17"/>
      <c r="L1413" s="16" t="s">
        <v>18</v>
      </c>
      <c r="M1413" s="16" t="s">
        <v>22</v>
      </c>
      <c r="N1413" s="16" t="s">
        <v>418</v>
      </c>
      <c r="O1413" s="243"/>
      <c r="P1413" s="243"/>
      <c r="Q1413" s="243"/>
      <c r="R1413" s="243"/>
      <c r="S1413" s="243"/>
      <c r="T1413" s="243"/>
      <c r="U1413" s="243"/>
      <c r="V1413" s="243"/>
      <c r="W1413" s="243"/>
      <c r="X1413" s="243"/>
      <c r="Y1413" s="243"/>
      <c r="Z1413" s="243"/>
      <c r="AA1413" s="243"/>
      <c r="AB1413" s="243"/>
      <c r="AC1413" s="243"/>
      <c r="AD1413" s="243"/>
      <c r="AE1413" s="243"/>
      <c r="AF1413" s="243"/>
      <c r="AG1413" s="243"/>
      <c r="AH1413" s="243"/>
      <c r="AI1413" s="243"/>
      <c r="AJ1413" s="243"/>
      <c r="AK1413" s="243"/>
      <c r="AL1413" s="243"/>
      <c r="AM1413" s="243"/>
      <c r="AN1413" s="243"/>
      <c r="AO1413" s="243"/>
      <c r="AP1413" s="243"/>
      <c r="AQ1413" s="243"/>
      <c r="AR1413" s="243"/>
      <c r="AS1413" s="243"/>
      <c r="AT1413" s="243"/>
      <c r="AU1413" s="243"/>
      <c r="AV1413" s="243"/>
      <c r="AW1413" s="243"/>
      <c r="AX1413" s="243"/>
      <c r="AY1413" s="243"/>
      <c r="AZ1413" s="243"/>
      <c r="BA1413" s="243"/>
      <c r="BB1413" s="243"/>
      <c r="BC1413" s="243"/>
      <c r="BD1413" s="243"/>
      <c r="BE1413" s="243"/>
      <c r="BF1413" s="243"/>
      <c r="BG1413" s="243"/>
      <c r="BH1413" s="243"/>
      <c r="BI1413" s="243"/>
      <c r="BJ1413" s="243"/>
      <c r="BK1413" s="243"/>
      <c r="BL1413" s="243"/>
      <c r="BM1413" s="243"/>
      <c r="BN1413" s="243"/>
      <c r="BO1413" s="243"/>
      <c r="BP1413" s="243"/>
      <c r="BQ1413" s="243"/>
      <c r="BR1413" s="243"/>
      <c r="BS1413" s="243"/>
    </row>
    <row r="1414" spans="1:71" s="12" customFormat="1" ht="41.25" customHeight="1">
      <c r="A1414" s="178" t="s">
        <v>99</v>
      </c>
      <c r="B1414" s="75" t="str">
        <f ca="1">+UPPER(Tabla1321124[[#This Row],[DESCRIPCIÓN DE LA COMPRA O CONTRATACIÓN]])</f>
        <v>PHOSVER 3 PWD PLWS 10ML PK/100</v>
      </c>
      <c r="C1414" s="39" t="s">
        <v>1065</v>
      </c>
      <c r="D1414" s="236">
        <f>1+1</f>
        <v>2</v>
      </c>
      <c r="E1414" s="236">
        <f>1</f>
        <v>1</v>
      </c>
      <c r="F1414" s="236">
        <f>1</f>
        <v>1</v>
      </c>
      <c r="G1414" s="236">
        <f>1</f>
        <v>1</v>
      </c>
      <c r="H1414" s="236">
        <f>Tabla1321124[[#This Row],[CUARTO TRIMESTRE]]+Tabla1321124[[#This Row],[TERCER TRIMESTRE]]+Tabla1321124[[#This Row],[SEGUNDO TRIMESTRE]]+Tabla1321124[[#This Row],[PRIMER TRIMESTRE]]</f>
        <v>5</v>
      </c>
      <c r="I1414" s="17">
        <v>2500</v>
      </c>
      <c r="J1414" s="17">
        <f>+Tabla1321124[[#This Row],[CANTIDAD TOTAL]]*Tabla1321124[[#This Row],[PRECIO UNITARIO ESTIMADO]]</f>
        <v>12500</v>
      </c>
      <c r="K1414" s="17"/>
      <c r="L1414" s="16" t="s">
        <v>18</v>
      </c>
      <c r="M1414" s="16" t="s">
        <v>22</v>
      </c>
      <c r="N1414" s="16" t="s">
        <v>418</v>
      </c>
      <c r="O1414" s="243"/>
      <c r="P1414" s="243"/>
      <c r="Q1414" s="243"/>
      <c r="R1414" s="243"/>
      <c r="S1414" s="243"/>
      <c r="T1414" s="243"/>
      <c r="U1414" s="243"/>
      <c r="V1414" s="243"/>
      <c r="W1414" s="243"/>
      <c r="X1414" s="243"/>
      <c r="Y1414" s="243"/>
      <c r="Z1414" s="243"/>
      <c r="AA1414" s="243"/>
      <c r="AB1414" s="243"/>
      <c r="AC1414" s="243"/>
      <c r="AD1414" s="243"/>
      <c r="AE1414" s="243"/>
      <c r="AF1414" s="243"/>
      <c r="AG1414" s="243"/>
      <c r="AH1414" s="243"/>
      <c r="AI1414" s="243"/>
      <c r="AJ1414" s="243"/>
      <c r="AK1414" s="243"/>
      <c r="AL1414" s="243"/>
      <c r="AM1414" s="243"/>
      <c r="AN1414" s="243"/>
      <c r="AO1414" s="243"/>
      <c r="AP1414" s="243"/>
      <c r="AQ1414" s="243"/>
      <c r="AR1414" s="243"/>
      <c r="AS1414" s="243"/>
      <c r="AT1414" s="243"/>
      <c r="AU1414" s="243"/>
      <c r="AV1414" s="243"/>
      <c r="AW1414" s="243"/>
      <c r="AX1414" s="243"/>
      <c r="AY1414" s="243"/>
      <c r="AZ1414" s="243"/>
      <c r="BA1414" s="243"/>
      <c r="BB1414" s="243"/>
      <c r="BC1414" s="243"/>
      <c r="BD1414" s="243"/>
      <c r="BE1414" s="243"/>
      <c r="BF1414" s="243"/>
      <c r="BG1414" s="243"/>
      <c r="BH1414" s="243"/>
      <c r="BI1414" s="243"/>
      <c r="BJ1414" s="243"/>
      <c r="BK1414" s="243"/>
      <c r="BL1414" s="243"/>
      <c r="BM1414" s="243"/>
      <c r="BN1414" s="243"/>
      <c r="BO1414" s="243"/>
      <c r="BP1414" s="243"/>
      <c r="BQ1414" s="243"/>
      <c r="BR1414" s="243"/>
      <c r="BS1414" s="243"/>
    </row>
    <row r="1415" spans="1:71" s="12" customFormat="1" ht="41.25" customHeight="1">
      <c r="A1415" s="178" t="s">
        <v>99</v>
      </c>
      <c r="B1415" s="75" t="str">
        <f ca="1">+UPPER(Tabla1321124[[#This Row],[DESCRIPCIÓN DE LA COMPRA O CONTRATACIÓN]])</f>
        <v>REACTIVO SPADNS PARA  FLORUROS, FRASCO DE 500 ML</v>
      </c>
      <c r="C1415" s="39" t="s">
        <v>1065</v>
      </c>
      <c r="D1415" s="236">
        <f>1+1</f>
        <v>2</v>
      </c>
      <c r="E1415" s="236"/>
      <c r="F1415" s="236"/>
      <c r="G1415" s="236">
        <v>1</v>
      </c>
      <c r="H1415" s="236">
        <f>Tabla1321124[[#This Row],[CUARTO TRIMESTRE]]+Tabla1321124[[#This Row],[TERCER TRIMESTRE]]+Tabla1321124[[#This Row],[SEGUNDO TRIMESTRE]]+Tabla1321124[[#This Row],[PRIMER TRIMESTRE]]</f>
        <v>3</v>
      </c>
      <c r="I1415" s="17">
        <v>4000</v>
      </c>
      <c r="J1415" s="17">
        <f>+Tabla1321124[[#This Row],[CANTIDAD TOTAL]]*Tabla1321124[[#This Row],[PRECIO UNITARIO ESTIMADO]]</f>
        <v>12000</v>
      </c>
      <c r="K1415" s="17"/>
      <c r="L1415" s="16" t="s">
        <v>18</v>
      </c>
      <c r="M1415" s="16" t="s">
        <v>22</v>
      </c>
      <c r="N1415" s="16" t="s">
        <v>418</v>
      </c>
      <c r="O1415" s="243"/>
      <c r="P1415" s="243"/>
      <c r="Q1415" s="243"/>
      <c r="R1415" s="243"/>
      <c r="S1415" s="243"/>
      <c r="T1415" s="243"/>
      <c r="U1415" s="243"/>
      <c r="V1415" s="243"/>
      <c r="W1415" s="243"/>
      <c r="X1415" s="243"/>
      <c r="Y1415" s="243"/>
      <c r="Z1415" s="243"/>
      <c r="AA1415" s="243"/>
      <c r="AB1415" s="243"/>
      <c r="AC1415" s="243"/>
      <c r="AD1415" s="243"/>
      <c r="AE1415" s="243"/>
      <c r="AF1415" s="243"/>
      <c r="AG1415" s="243"/>
      <c r="AH1415" s="243"/>
      <c r="AI1415" s="243"/>
      <c r="AJ1415" s="243"/>
      <c r="AK1415" s="243"/>
      <c r="AL1415" s="243"/>
      <c r="AM1415" s="243"/>
      <c r="AN1415" s="243"/>
      <c r="AO1415" s="243"/>
      <c r="AP1415" s="243"/>
      <c r="AQ1415" s="243"/>
      <c r="AR1415" s="243"/>
      <c r="AS1415" s="243"/>
      <c r="AT1415" s="243"/>
      <c r="AU1415" s="243"/>
      <c r="AV1415" s="243"/>
      <c r="AW1415" s="243"/>
      <c r="AX1415" s="243"/>
      <c r="AY1415" s="243"/>
      <c r="AZ1415" s="243"/>
      <c r="BA1415" s="243"/>
      <c r="BB1415" s="243"/>
      <c r="BC1415" s="243"/>
      <c r="BD1415" s="243"/>
      <c r="BE1415" s="243"/>
      <c r="BF1415" s="243"/>
      <c r="BG1415" s="243"/>
      <c r="BH1415" s="243"/>
      <c r="BI1415" s="243"/>
      <c r="BJ1415" s="243"/>
      <c r="BK1415" s="243"/>
      <c r="BL1415" s="243"/>
      <c r="BM1415" s="243"/>
      <c r="BN1415" s="243"/>
      <c r="BO1415" s="243"/>
      <c r="BP1415" s="243"/>
      <c r="BQ1415" s="243"/>
      <c r="BR1415" s="243"/>
      <c r="BS1415" s="243"/>
    </row>
    <row r="1416" spans="1:71" s="12" customFormat="1" ht="41.25" customHeight="1">
      <c r="A1416" s="178" t="s">
        <v>99</v>
      </c>
      <c r="B1416" s="75" t="str">
        <f ca="1">+UPPER(Tabla1321124[[#This Row],[DESCRIPCIÓN DE LA COMPRA O CONTRATACIÓN]])</f>
        <v>SOLUCION ESTANDAR DE CONDUCTIVIDAD 1413 µS/CM FRASCO DE 500 ML</v>
      </c>
      <c r="C1416" s="39" t="s">
        <v>1064</v>
      </c>
      <c r="D1416" s="236">
        <f>1+1</f>
        <v>2</v>
      </c>
      <c r="E1416" s="236"/>
      <c r="F1416" s="236"/>
      <c r="G1416" s="236">
        <v>1</v>
      </c>
      <c r="H1416" s="236">
        <f>Tabla1321124[[#This Row],[CUARTO TRIMESTRE]]+Tabla1321124[[#This Row],[TERCER TRIMESTRE]]+Tabla1321124[[#This Row],[SEGUNDO TRIMESTRE]]+Tabla1321124[[#This Row],[PRIMER TRIMESTRE]]</f>
        <v>3</v>
      </c>
      <c r="I1416" s="17">
        <v>3000</v>
      </c>
      <c r="J1416" s="17">
        <f>+Tabla1321124[[#This Row],[CANTIDAD TOTAL]]*Tabla1321124[[#This Row],[PRECIO UNITARIO ESTIMADO]]</f>
        <v>9000</v>
      </c>
      <c r="K1416" s="17"/>
      <c r="L1416" s="16" t="s">
        <v>18</v>
      </c>
      <c r="M1416" s="16" t="s">
        <v>22</v>
      </c>
      <c r="N1416" s="16" t="s">
        <v>418</v>
      </c>
      <c r="O1416" s="243"/>
      <c r="P1416" s="243"/>
      <c r="Q1416" s="243"/>
      <c r="R1416" s="243"/>
      <c r="S1416" s="243"/>
      <c r="T1416" s="243"/>
      <c r="U1416" s="243"/>
      <c r="V1416" s="243"/>
      <c r="W1416" s="243"/>
      <c r="X1416" s="243"/>
      <c r="Y1416" s="243"/>
      <c r="Z1416" s="243"/>
      <c r="AA1416" s="243"/>
      <c r="AB1416" s="243"/>
      <c r="AC1416" s="243"/>
      <c r="AD1416" s="243"/>
      <c r="AE1416" s="243"/>
      <c r="AF1416" s="243"/>
      <c r="AG1416" s="243"/>
      <c r="AH1416" s="243"/>
      <c r="AI1416" s="243"/>
      <c r="AJ1416" s="243"/>
      <c r="AK1416" s="243"/>
      <c r="AL1416" s="243"/>
      <c r="AM1416" s="243"/>
      <c r="AN1416" s="243"/>
      <c r="AO1416" s="243"/>
      <c r="AP1416" s="243"/>
      <c r="AQ1416" s="243"/>
      <c r="AR1416" s="243"/>
      <c r="AS1416" s="243"/>
      <c r="AT1416" s="243"/>
      <c r="AU1416" s="243"/>
      <c r="AV1416" s="243"/>
      <c r="AW1416" s="243"/>
      <c r="AX1416" s="243"/>
      <c r="AY1416" s="243"/>
      <c r="AZ1416" s="243"/>
      <c r="BA1416" s="243"/>
      <c r="BB1416" s="243"/>
      <c r="BC1416" s="243"/>
      <c r="BD1416" s="243"/>
      <c r="BE1416" s="243"/>
      <c r="BF1416" s="243"/>
      <c r="BG1416" s="243"/>
      <c r="BH1416" s="243"/>
      <c r="BI1416" s="243"/>
      <c r="BJ1416" s="243"/>
      <c r="BK1416" s="243"/>
      <c r="BL1416" s="243"/>
      <c r="BM1416" s="243"/>
      <c r="BN1416" s="243"/>
      <c r="BO1416" s="243"/>
      <c r="BP1416" s="243"/>
      <c r="BQ1416" s="243"/>
      <c r="BR1416" s="243"/>
      <c r="BS1416" s="243"/>
    </row>
    <row r="1417" spans="1:71" s="12" customFormat="1" ht="41.25" customHeight="1">
      <c r="A1417" s="178" t="s">
        <v>99</v>
      </c>
      <c r="B1417" s="75" t="str">
        <f ca="1">+UPPER(Tabla1321124[[#This Row],[DESCRIPCIÓN DE LA COMPRA O CONTRATACIÓN]])</f>
        <v>ALCOHOL ISOPROPILICO AL 70%</v>
      </c>
      <c r="C1417" s="39" t="s">
        <v>290</v>
      </c>
      <c r="D1417" s="236">
        <f>3+1</f>
        <v>4</v>
      </c>
      <c r="E1417" s="236">
        <f>3</f>
        <v>3</v>
      </c>
      <c r="F1417" s="236">
        <f>3</f>
        <v>3</v>
      </c>
      <c r="G1417" s="236">
        <f>3</f>
        <v>3</v>
      </c>
      <c r="H1417" s="236">
        <f>Tabla1321124[[#This Row],[CUARTO TRIMESTRE]]+Tabla1321124[[#This Row],[TERCER TRIMESTRE]]+Tabla1321124[[#This Row],[SEGUNDO TRIMESTRE]]+Tabla1321124[[#This Row],[PRIMER TRIMESTRE]]</f>
        <v>13</v>
      </c>
      <c r="I1417" s="17">
        <v>1200</v>
      </c>
      <c r="J1417" s="17">
        <f>+Tabla1321124[[#This Row],[CANTIDAD TOTAL]]*Tabla1321124[[#This Row],[PRECIO UNITARIO ESTIMADO]]</f>
        <v>15600</v>
      </c>
      <c r="K1417" s="17"/>
      <c r="L1417" s="16" t="s">
        <v>18</v>
      </c>
      <c r="M1417" s="16" t="s">
        <v>22</v>
      </c>
      <c r="N1417" s="16" t="s">
        <v>418</v>
      </c>
      <c r="O1417" s="243"/>
      <c r="P1417" s="243"/>
      <c r="Q1417" s="243"/>
      <c r="R1417" s="243"/>
      <c r="S1417" s="243"/>
      <c r="T1417" s="243"/>
      <c r="U1417" s="243"/>
      <c r="V1417" s="243"/>
      <c r="W1417" s="243"/>
      <c r="X1417" s="243"/>
      <c r="Y1417" s="243"/>
      <c r="Z1417" s="243"/>
      <c r="AA1417" s="243"/>
      <c r="AB1417" s="243"/>
      <c r="AC1417" s="243"/>
      <c r="AD1417" s="243"/>
      <c r="AE1417" s="243"/>
      <c r="AF1417" s="243"/>
      <c r="AG1417" s="243"/>
      <c r="AH1417" s="243"/>
      <c r="AI1417" s="243"/>
      <c r="AJ1417" s="243"/>
      <c r="AK1417" s="243"/>
      <c r="AL1417" s="243"/>
      <c r="AM1417" s="243"/>
      <c r="AN1417" s="243"/>
      <c r="AO1417" s="243"/>
      <c r="AP1417" s="243"/>
      <c r="AQ1417" s="243"/>
      <c r="AR1417" s="243"/>
      <c r="AS1417" s="243"/>
      <c r="AT1417" s="243"/>
      <c r="AU1417" s="243"/>
      <c r="AV1417" s="243"/>
      <c r="AW1417" s="243"/>
      <c r="AX1417" s="243"/>
      <c r="AY1417" s="243"/>
      <c r="AZ1417" s="243"/>
      <c r="BA1417" s="243"/>
      <c r="BB1417" s="243"/>
      <c r="BC1417" s="243"/>
      <c r="BD1417" s="243"/>
      <c r="BE1417" s="243"/>
      <c r="BF1417" s="243"/>
      <c r="BG1417" s="243"/>
      <c r="BH1417" s="243"/>
      <c r="BI1417" s="243"/>
      <c r="BJ1417" s="243"/>
      <c r="BK1417" s="243"/>
      <c r="BL1417" s="243"/>
      <c r="BM1417" s="243"/>
      <c r="BN1417" s="243"/>
      <c r="BO1417" s="243"/>
      <c r="BP1417" s="243"/>
      <c r="BQ1417" s="243"/>
      <c r="BR1417" s="243"/>
      <c r="BS1417" s="243"/>
    </row>
    <row r="1418" spans="1:71" s="12" customFormat="1" ht="41.25" customHeight="1">
      <c r="A1418" s="178" t="s">
        <v>99</v>
      </c>
      <c r="B1418" s="75" t="str">
        <f ca="1">+UPPER(Tabla1321124[[#This Row],[DESCRIPCIÓN DE LA COMPRA O CONTRATACIÓN]])</f>
        <v>PIPETAS AUTOMATICAS MONOCANAL, CALIBRADAS CON VOLUMEN DE 1-5 ML</v>
      </c>
      <c r="C1418" s="39" t="s">
        <v>1067</v>
      </c>
      <c r="D1418" s="236">
        <v>1</v>
      </c>
      <c r="E1418" s="236"/>
      <c r="F1418" s="236"/>
      <c r="G1418" s="236"/>
      <c r="H1418" s="236">
        <f>Tabla1321124[[#This Row],[CUARTO TRIMESTRE]]+Tabla1321124[[#This Row],[TERCER TRIMESTRE]]+Tabla1321124[[#This Row],[SEGUNDO TRIMESTRE]]+Tabla1321124[[#This Row],[PRIMER TRIMESTRE]]</f>
        <v>1</v>
      </c>
      <c r="I1418" s="17">
        <v>10000</v>
      </c>
      <c r="J1418" s="17">
        <f>+Tabla1321124[[#This Row],[CANTIDAD TOTAL]]*Tabla1321124[[#This Row],[PRECIO UNITARIO ESTIMADO]]</f>
        <v>10000</v>
      </c>
      <c r="K1418" s="17"/>
      <c r="L1418" s="16" t="s">
        <v>18</v>
      </c>
      <c r="M1418" s="16" t="s">
        <v>22</v>
      </c>
      <c r="N1418" s="16" t="s">
        <v>418</v>
      </c>
      <c r="O1418" s="243"/>
      <c r="P1418" s="243"/>
      <c r="Q1418" s="243"/>
      <c r="R1418" s="243"/>
      <c r="S1418" s="243"/>
      <c r="T1418" s="243"/>
      <c r="U1418" s="243"/>
      <c r="V1418" s="243"/>
      <c r="W1418" s="243"/>
      <c r="X1418" s="243"/>
      <c r="Y1418" s="243"/>
      <c r="Z1418" s="243"/>
      <c r="AA1418" s="243"/>
      <c r="AB1418" s="243"/>
      <c r="AC1418" s="243"/>
      <c r="AD1418" s="243"/>
      <c r="AE1418" s="243"/>
      <c r="AF1418" s="243"/>
      <c r="AG1418" s="243"/>
      <c r="AH1418" s="243"/>
      <c r="AI1418" s="243"/>
      <c r="AJ1418" s="243"/>
      <c r="AK1418" s="243"/>
      <c r="AL1418" s="243"/>
      <c r="AM1418" s="243"/>
      <c r="AN1418" s="243"/>
      <c r="AO1418" s="243"/>
      <c r="AP1418" s="243"/>
      <c r="AQ1418" s="243"/>
      <c r="AR1418" s="243"/>
      <c r="AS1418" s="243"/>
      <c r="AT1418" s="243"/>
      <c r="AU1418" s="243"/>
      <c r="AV1418" s="243"/>
      <c r="AW1418" s="243"/>
      <c r="AX1418" s="243"/>
      <c r="AY1418" s="243"/>
      <c r="AZ1418" s="243"/>
      <c r="BA1418" s="243"/>
      <c r="BB1418" s="243"/>
      <c r="BC1418" s="243"/>
      <c r="BD1418" s="243"/>
      <c r="BE1418" s="243"/>
      <c r="BF1418" s="243"/>
      <c r="BG1418" s="243"/>
      <c r="BH1418" s="243"/>
      <c r="BI1418" s="243"/>
      <c r="BJ1418" s="243"/>
      <c r="BK1418" s="243"/>
      <c r="BL1418" s="243"/>
      <c r="BM1418" s="243"/>
      <c r="BN1418" s="243"/>
      <c r="BO1418" s="243"/>
      <c r="BP1418" s="243"/>
      <c r="BQ1418" s="243"/>
      <c r="BR1418" s="243"/>
      <c r="BS1418" s="243"/>
    </row>
    <row r="1419" spans="1:71" s="12" customFormat="1" ht="41.25" customHeight="1">
      <c r="A1419" s="178" t="s">
        <v>99</v>
      </c>
      <c r="B1419" s="75" t="str">
        <f ca="1">+UPPER(Tabla1321124[[#This Row],[DESCRIPCIÓN DE LA COMPRA O CONTRATACIÓN]])</f>
        <v>PIPETAS AUTOMATICAS MONOCANAL, CALIBRADAS CON VOLUMEN DE 1-10 ML</v>
      </c>
      <c r="C1419" s="39" t="s">
        <v>1067</v>
      </c>
      <c r="D1419" s="236">
        <v>1</v>
      </c>
      <c r="E1419" s="236"/>
      <c r="F1419" s="236"/>
      <c r="G1419" s="236"/>
      <c r="H1419" s="236">
        <f>Tabla1321124[[#This Row],[CUARTO TRIMESTRE]]+Tabla1321124[[#This Row],[TERCER TRIMESTRE]]+Tabla1321124[[#This Row],[SEGUNDO TRIMESTRE]]+Tabla1321124[[#This Row],[PRIMER TRIMESTRE]]</f>
        <v>1</v>
      </c>
      <c r="I1419" s="17">
        <v>10000</v>
      </c>
      <c r="J1419" s="17">
        <f>+Tabla1321124[[#This Row],[CANTIDAD TOTAL]]*Tabla1321124[[#This Row],[PRECIO UNITARIO ESTIMADO]]</f>
        <v>10000</v>
      </c>
      <c r="K1419" s="17"/>
      <c r="L1419" s="16" t="s">
        <v>18</v>
      </c>
      <c r="M1419" s="16" t="s">
        <v>22</v>
      </c>
      <c r="N1419" s="16" t="s">
        <v>418</v>
      </c>
      <c r="O1419" s="243"/>
      <c r="P1419" s="243"/>
      <c r="Q1419" s="243"/>
      <c r="R1419" s="243"/>
      <c r="S1419" s="243"/>
      <c r="T1419" s="243"/>
      <c r="U1419" s="243"/>
      <c r="V1419" s="243"/>
      <c r="W1419" s="243"/>
      <c r="X1419" s="243"/>
      <c r="Y1419" s="243"/>
      <c r="Z1419" s="243"/>
      <c r="AA1419" s="243"/>
      <c r="AB1419" s="243"/>
      <c r="AC1419" s="243"/>
      <c r="AD1419" s="243"/>
      <c r="AE1419" s="243"/>
      <c r="AF1419" s="243"/>
      <c r="AG1419" s="243"/>
      <c r="AH1419" s="243"/>
      <c r="AI1419" s="243"/>
      <c r="AJ1419" s="243"/>
      <c r="AK1419" s="243"/>
      <c r="AL1419" s="243"/>
      <c r="AM1419" s="243"/>
      <c r="AN1419" s="243"/>
      <c r="AO1419" s="243"/>
      <c r="AP1419" s="243"/>
      <c r="AQ1419" s="243"/>
      <c r="AR1419" s="243"/>
      <c r="AS1419" s="243"/>
      <c r="AT1419" s="243"/>
      <c r="AU1419" s="243"/>
      <c r="AV1419" s="243"/>
      <c r="AW1419" s="243"/>
      <c r="AX1419" s="243"/>
      <c r="AY1419" s="243"/>
      <c r="AZ1419" s="243"/>
      <c r="BA1419" s="243"/>
      <c r="BB1419" s="243"/>
      <c r="BC1419" s="243"/>
      <c r="BD1419" s="243"/>
      <c r="BE1419" s="243"/>
      <c r="BF1419" s="243"/>
      <c r="BG1419" s="243"/>
      <c r="BH1419" s="243"/>
      <c r="BI1419" s="243"/>
      <c r="BJ1419" s="243"/>
      <c r="BK1419" s="243"/>
      <c r="BL1419" s="243"/>
      <c r="BM1419" s="243"/>
      <c r="BN1419" s="243"/>
      <c r="BO1419" s="243"/>
      <c r="BP1419" s="243"/>
      <c r="BQ1419" s="243"/>
      <c r="BR1419" s="243"/>
      <c r="BS1419" s="243"/>
    </row>
    <row r="1420" spans="1:71" s="12" customFormat="1" ht="41.25" customHeight="1">
      <c r="A1420" s="178" t="s">
        <v>99</v>
      </c>
      <c r="B1420" s="75" t="str">
        <f ca="1">+UPPER(Tabla1321124[[#This Row],[DESCRIPCIÓN DE LA COMPRA O CONTRATACIÓN]])</f>
        <v xml:space="preserve">  PUNTAS AUTOCLAVABLES, PARA PIPETAS AUTOMATICAS DE 1-5ML, PAQUETE DE 60 </v>
      </c>
      <c r="C1420" s="39" t="s">
        <v>1065</v>
      </c>
      <c r="D1420" s="236">
        <v>3</v>
      </c>
      <c r="E1420" s="236">
        <v>3</v>
      </c>
      <c r="F1420" s="236"/>
      <c r="G1420" s="236">
        <v>3</v>
      </c>
      <c r="H1420" s="236">
        <f>Tabla1321124[[#This Row],[CUARTO TRIMESTRE]]+Tabla1321124[[#This Row],[TERCER TRIMESTRE]]+Tabla1321124[[#This Row],[SEGUNDO TRIMESTRE]]+Tabla1321124[[#This Row],[PRIMER TRIMESTRE]]</f>
        <v>9</v>
      </c>
      <c r="I1420" s="17">
        <v>3000</v>
      </c>
      <c r="J1420" s="17">
        <f>+Tabla1321124[[#This Row],[CANTIDAD TOTAL]]*Tabla1321124[[#This Row],[PRECIO UNITARIO ESTIMADO]]</f>
        <v>27000</v>
      </c>
      <c r="K1420" s="17"/>
      <c r="L1420" s="16" t="s">
        <v>18</v>
      </c>
      <c r="M1420" s="16" t="s">
        <v>22</v>
      </c>
      <c r="N1420" s="16" t="s">
        <v>418</v>
      </c>
      <c r="O1420" s="243"/>
      <c r="P1420" s="243"/>
      <c r="Q1420" s="243"/>
      <c r="R1420" s="243"/>
      <c r="S1420" s="243"/>
      <c r="T1420" s="243"/>
      <c r="U1420" s="243"/>
      <c r="V1420" s="243"/>
      <c r="W1420" s="243"/>
      <c r="X1420" s="243"/>
      <c r="Y1420" s="243"/>
      <c r="Z1420" s="243"/>
      <c r="AA1420" s="243"/>
      <c r="AB1420" s="243"/>
      <c r="AC1420" s="243"/>
      <c r="AD1420" s="243"/>
      <c r="AE1420" s="243"/>
      <c r="AF1420" s="243"/>
      <c r="AG1420" s="243"/>
      <c r="AH1420" s="243"/>
      <c r="AI1420" s="243"/>
      <c r="AJ1420" s="243"/>
      <c r="AK1420" s="243"/>
      <c r="AL1420" s="243"/>
      <c r="AM1420" s="243"/>
      <c r="AN1420" s="243"/>
      <c r="AO1420" s="243"/>
      <c r="AP1420" s="243"/>
      <c r="AQ1420" s="243"/>
      <c r="AR1420" s="243"/>
      <c r="AS1420" s="243"/>
      <c r="AT1420" s="243"/>
      <c r="AU1420" s="243"/>
      <c r="AV1420" s="243"/>
      <c r="AW1420" s="243"/>
      <c r="AX1420" s="243"/>
      <c r="AY1420" s="243"/>
      <c r="AZ1420" s="243"/>
      <c r="BA1420" s="243"/>
      <c r="BB1420" s="243"/>
      <c r="BC1420" s="243"/>
      <c r="BD1420" s="243"/>
      <c r="BE1420" s="243"/>
      <c r="BF1420" s="243"/>
      <c r="BG1420" s="243"/>
      <c r="BH1420" s="243"/>
      <c r="BI1420" s="243"/>
      <c r="BJ1420" s="243"/>
      <c r="BK1420" s="243"/>
      <c r="BL1420" s="243"/>
      <c r="BM1420" s="243"/>
      <c r="BN1420" s="243"/>
      <c r="BO1420" s="243"/>
      <c r="BP1420" s="243"/>
      <c r="BQ1420" s="243"/>
      <c r="BR1420" s="243"/>
      <c r="BS1420" s="243"/>
    </row>
    <row r="1421" spans="1:71" s="12" customFormat="1" ht="41.25" customHeight="1">
      <c r="A1421" s="178" t="s">
        <v>99</v>
      </c>
      <c r="B1421" s="75" t="str">
        <f ca="1">+UPPER(Tabla1321124[[#This Row],[DESCRIPCIÓN DE LA COMPRA O CONTRATACIÓN]])</f>
        <v xml:space="preserve"> PUNTAS AUTOCLAVABLES, PARA PIPETAS AUTOMATICAS DE 1-10ML , PAQUETE DE 60</v>
      </c>
      <c r="C1421" s="39" t="s">
        <v>1065</v>
      </c>
      <c r="D1421" s="236">
        <v>5</v>
      </c>
      <c r="E1421" s="236">
        <v>5</v>
      </c>
      <c r="F1421" s="236">
        <v>5</v>
      </c>
      <c r="G1421" s="236">
        <v>5</v>
      </c>
      <c r="H1421" s="236">
        <f>Tabla1321124[[#This Row],[CUARTO TRIMESTRE]]+Tabla1321124[[#This Row],[TERCER TRIMESTRE]]+Tabla1321124[[#This Row],[SEGUNDO TRIMESTRE]]+Tabla1321124[[#This Row],[PRIMER TRIMESTRE]]</f>
        <v>20</v>
      </c>
      <c r="I1421" s="17">
        <v>3000</v>
      </c>
      <c r="J1421" s="17">
        <f>+Tabla1321124[[#This Row],[CANTIDAD TOTAL]]*Tabla1321124[[#This Row],[PRECIO UNITARIO ESTIMADO]]</f>
        <v>60000</v>
      </c>
      <c r="K1421" s="17"/>
      <c r="L1421" s="16" t="s">
        <v>18</v>
      </c>
      <c r="M1421" s="16" t="s">
        <v>22</v>
      </c>
      <c r="N1421" s="16" t="s">
        <v>418</v>
      </c>
      <c r="O1421" s="243"/>
      <c r="P1421" s="243"/>
      <c r="Q1421" s="243"/>
      <c r="R1421" s="243"/>
      <c r="S1421" s="243"/>
      <c r="T1421" s="243"/>
      <c r="U1421" s="243"/>
      <c r="V1421" s="243"/>
      <c r="W1421" s="243"/>
      <c r="X1421" s="243"/>
      <c r="Y1421" s="243"/>
      <c r="Z1421" s="243"/>
      <c r="AA1421" s="243"/>
      <c r="AB1421" s="243"/>
      <c r="AC1421" s="243"/>
      <c r="AD1421" s="243"/>
      <c r="AE1421" s="243"/>
      <c r="AF1421" s="243"/>
      <c r="AG1421" s="243"/>
      <c r="AH1421" s="243"/>
      <c r="AI1421" s="243"/>
      <c r="AJ1421" s="243"/>
      <c r="AK1421" s="243"/>
      <c r="AL1421" s="243"/>
      <c r="AM1421" s="243"/>
      <c r="AN1421" s="243"/>
      <c r="AO1421" s="243"/>
      <c r="AP1421" s="243"/>
      <c r="AQ1421" s="243"/>
      <c r="AR1421" s="243"/>
      <c r="AS1421" s="243"/>
      <c r="AT1421" s="243"/>
      <c r="AU1421" s="243"/>
      <c r="AV1421" s="243"/>
      <c r="AW1421" s="243"/>
      <c r="AX1421" s="243"/>
      <c r="AY1421" s="243"/>
      <c r="AZ1421" s="243"/>
      <c r="BA1421" s="243"/>
      <c r="BB1421" s="243"/>
      <c r="BC1421" s="243"/>
      <c r="BD1421" s="243"/>
      <c r="BE1421" s="243"/>
      <c r="BF1421" s="243"/>
      <c r="BG1421" s="243"/>
      <c r="BH1421" s="243"/>
      <c r="BI1421" s="243"/>
      <c r="BJ1421" s="243"/>
      <c r="BK1421" s="243"/>
      <c r="BL1421" s="243"/>
      <c r="BM1421" s="243"/>
      <c r="BN1421" s="243"/>
      <c r="BO1421" s="243"/>
      <c r="BP1421" s="243"/>
      <c r="BQ1421" s="243"/>
      <c r="BR1421" s="243"/>
      <c r="BS1421" s="243"/>
    </row>
    <row r="1422" spans="1:71" s="12" customFormat="1" ht="41.25" customHeight="1">
      <c r="A1422" s="178" t="s">
        <v>99</v>
      </c>
      <c r="B1422" s="75" t="str">
        <f ca="1">+UPPER(Tabla1321124[[#This Row],[DESCRIPCIÓN DE LA COMPRA O CONTRATACIÓN]])</f>
        <v>RACK/SOPORTE 60 PUNTAS AUTOCLAVABLES, PARA PIPETAS AUTOMATICAS DE 1-5ML CON CAJA Y PUNTAS INCLUIDAS</v>
      </c>
      <c r="C1422" s="39" t="s">
        <v>718</v>
      </c>
      <c r="D1422" s="236">
        <f>3+1</f>
        <v>4</v>
      </c>
      <c r="E1422" s="236">
        <v>3</v>
      </c>
      <c r="F1422" s="236"/>
      <c r="G1422" s="236">
        <v>3</v>
      </c>
      <c r="H1422" s="236">
        <f>Tabla1321124[[#This Row],[CUARTO TRIMESTRE]]+Tabla1321124[[#This Row],[TERCER TRIMESTRE]]+Tabla1321124[[#This Row],[SEGUNDO TRIMESTRE]]+Tabla1321124[[#This Row],[PRIMER TRIMESTRE]]</f>
        <v>10</v>
      </c>
      <c r="I1422" s="17">
        <v>10000</v>
      </c>
      <c r="J1422" s="17">
        <f>+Tabla1321124[[#This Row],[CANTIDAD TOTAL]]*Tabla1321124[[#This Row],[PRECIO UNITARIO ESTIMADO]]</f>
        <v>100000</v>
      </c>
      <c r="K1422" s="17"/>
      <c r="L1422" s="16" t="s">
        <v>18</v>
      </c>
      <c r="M1422" s="16" t="s">
        <v>22</v>
      </c>
      <c r="N1422" s="16" t="s">
        <v>418</v>
      </c>
      <c r="O1422" s="243"/>
      <c r="P1422" s="243"/>
      <c r="Q1422" s="243"/>
      <c r="R1422" s="243"/>
      <c r="S1422" s="243"/>
      <c r="T1422" s="243"/>
      <c r="U1422" s="243"/>
      <c r="V1422" s="243"/>
      <c r="W1422" s="243"/>
      <c r="X1422" s="243"/>
      <c r="Y1422" s="243"/>
      <c r="Z1422" s="243"/>
      <c r="AA1422" s="243"/>
      <c r="AB1422" s="243"/>
      <c r="AC1422" s="243"/>
      <c r="AD1422" s="243"/>
      <c r="AE1422" s="243"/>
      <c r="AF1422" s="243"/>
      <c r="AG1422" s="243"/>
      <c r="AH1422" s="243"/>
      <c r="AI1422" s="243"/>
      <c r="AJ1422" s="243"/>
      <c r="AK1422" s="243"/>
      <c r="AL1422" s="243"/>
      <c r="AM1422" s="243"/>
      <c r="AN1422" s="243"/>
      <c r="AO1422" s="243"/>
      <c r="AP1422" s="243"/>
      <c r="AQ1422" s="243"/>
      <c r="AR1422" s="243"/>
      <c r="AS1422" s="243"/>
      <c r="AT1422" s="243"/>
      <c r="AU1422" s="243"/>
      <c r="AV1422" s="243"/>
      <c r="AW1422" s="243"/>
      <c r="AX1422" s="243"/>
      <c r="AY1422" s="243"/>
      <c r="AZ1422" s="243"/>
      <c r="BA1422" s="243"/>
      <c r="BB1422" s="243"/>
      <c r="BC1422" s="243"/>
      <c r="BD1422" s="243"/>
      <c r="BE1422" s="243"/>
      <c r="BF1422" s="243"/>
      <c r="BG1422" s="243"/>
      <c r="BH1422" s="243"/>
      <c r="BI1422" s="243"/>
      <c r="BJ1422" s="243"/>
      <c r="BK1422" s="243"/>
      <c r="BL1422" s="243"/>
      <c r="BM1422" s="243"/>
      <c r="BN1422" s="243"/>
      <c r="BO1422" s="243"/>
      <c r="BP1422" s="243"/>
      <c r="BQ1422" s="243"/>
      <c r="BR1422" s="243"/>
      <c r="BS1422" s="243"/>
    </row>
    <row r="1423" spans="1:71" s="12" customFormat="1" ht="41.25" customHeight="1">
      <c r="A1423" s="178" t="s">
        <v>99</v>
      </c>
      <c r="B1423" s="75" t="str">
        <f ca="1">+UPPER(Tabla1321124[[#This Row],[DESCRIPCIÓN DE LA COMPRA O CONTRATACIÓN]])</f>
        <v>RACK/SOPORTES DE 60 PUNTAS AUTOCLAVABLES, PARA PIPETAS AUTOMATICAS DE 1-10ML CON CAJA Y PUNTAS INCLUIDAS</v>
      </c>
      <c r="C1423" s="39" t="s">
        <v>208</v>
      </c>
      <c r="D1423" s="236">
        <f>5+1</f>
        <v>6</v>
      </c>
      <c r="E1423" s="236">
        <v>5</v>
      </c>
      <c r="F1423" s="236">
        <v>5</v>
      </c>
      <c r="G1423" s="236">
        <v>5</v>
      </c>
      <c r="H1423" s="236">
        <f>Tabla1321124[[#This Row],[CUARTO TRIMESTRE]]+Tabla1321124[[#This Row],[TERCER TRIMESTRE]]+Tabla1321124[[#This Row],[SEGUNDO TRIMESTRE]]+Tabla1321124[[#This Row],[PRIMER TRIMESTRE]]</f>
        <v>21</v>
      </c>
      <c r="I1423" s="17">
        <v>10000</v>
      </c>
      <c r="J1423" s="17">
        <f>+Tabla1321124[[#This Row],[CANTIDAD TOTAL]]*Tabla1321124[[#This Row],[PRECIO UNITARIO ESTIMADO]]</f>
        <v>210000</v>
      </c>
      <c r="K1423" s="17"/>
      <c r="L1423" s="16" t="s">
        <v>18</v>
      </c>
      <c r="M1423" s="16" t="s">
        <v>22</v>
      </c>
      <c r="N1423" s="16" t="s">
        <v>418</v>
      </c>
      <c r="O1423" s="243"/>
      <c r="P1423" s="243"/>
      <c r="Q1423" s="243"/>
      <c r="R1423" s="243"/>
      <c r="S1423" s="243"/>
      <c r="T1423" s="243"/>
      <c r="U1423" s="243"/>
      <c r="V1423" s="243"/>
      <c r="W1423" s="243"/>
      <c r="X1423" s="243"/>
      <c r="Y1423" s="243"/>
      <c r="Z1423" s="243"/>
      <c r="AA1423" s="243"/>
      <c r="AB1423" s="243"/>
      <c r="AC1423" s="243"/>
      <c r="AD1423" s="243"/>
      <c r="AE1423" s="243"/>
      <c r="AF1423" s="243"/>
      <c r="AG1423" s="243"/>
      <c r="AH1423" s="243"/>
      <c r="AI1423" s="243"/>
      <c r="AJ1423" s="243"/>
      <c r="AK1423" s="243"/>
      <c r="AL1423" s="243"/>
      <c r="AM1423" s="243"/>
      <c r="AN1423" s="243"/>
      <c r="AO1423" s="243"/>
      <c r="AP1423" s="243"/>
      <c r="AQ1423" s="243"/>
      <c r="AR1423" s="243"/>
      <c r="AS1423" s="243"/>
      <c r="AT1423" s="243"/>
      <c r="AU1423" s="243"/>
      <c r="AV1423" s="243"/>
      <c r="AW1423" s="243"/>
      <c r="AX1423" s="243"/>
      <c r="AY1423" s="243"/>
      <c r="AZ1423" s="243"/>
      <c r="BA1423" s="243"/>
      <c r="BB1423" s="243"/>
      <c r="BC1423" s="243"/>
      <c r="BD1423" s="243"/>
      <c r="BE1423" s="243"/>
      <c r="BF1423" s="243"/>
      <c r="BG1423" s="243"/>
      <c r="BH1423" s="243"/>
      <c r="BI1423" s="243"/>
      <c r="BJ1423" s="243"/>
      <c r="BK1423" s="243"/>
      <c r="BL1423" s="243"/>
      <c r="BM1423" s="243"/>
      <c r="BN1423" s="243"/>
      <c r="BO1423" s="243"/>
      <c r="BP1423" s="243"/>
      <c r="BQ1423" s="243"/>
      <c r="BR1423" s="243"/>
      <c r="BS1423" s="243"/>
    </row>
    <row r="1424" spans="1:71" s="12" customFormat="1" ht="41.25" customHeight="1">
      <c r="A1424" s="178" t="s">
        <v>99</v>
      </c>
      <c r="B1424" s="75" t="str">
        <f ca="1">+UPPER(Tabla1321124[[#This Row],[DESCRIPCIÓN DE LA COMPRA O CONTRATACIÓN]])</f>
        <v>TUBOS DURHAM 6 X 50 MM, PAQUETES DE 72 TUBOS</v>
      </c>
      <c r="C1424" s="39" t="s">
        <v>1065</v>
      </c>
      <c r="D1424" s="236">
        <f>10+1</f>
        <v>11</v>
      </c>
      <c r="E1424" s="236">
        <f>10</f>
        <v>10</v>
      </c>
      <c r="F1424" s="236">
        <f>10</f>
        <v>10</v>
      </c>
      <c r="G1424" s="236">
        <f>10</f>
        <v>10</v>
      </c>
      <c r="H1424" s="236">
        <f>Tabla1321124[[#This Row],[CUARTO TRIMESTRE]]+Tabla1321124[[#This Row],[TERCER TRIMESTRE]]+Tabla1321124[[#This Row],[SEGUNDO TRIMESTRE]]+Tabla1321124[[#This Row],[PRIMER TRIMESTRE]]</f>
        <v>41</v>
      </c>
      <c r="I1424" s="17">
        <v>800</v>
      </c>
      <c r="J1424" s="17">
        <f>+Tabla1321124[[#This Row],[CANTIDAD TOTAL]]*Tabla1321124[[#This Row],[PRECIO UNITARIO ESTIMADO]]</f>
        <v>32800</v>
      </c>
      <c r="K1424" s="17"/>
      <c r="L1424" s="16" t="s">
        <v>18</v>
      </c>
      <c r="M1424" s="16" t="s">
        <v>22</v>
      </c>
      <c r="N1424" s="16" t="s">
        <v>418</v>
      </c>
      <c r="O1424" s="243"/>
      <c r="P1424" s="243"/>
      <c r="Q1424" s="243"/>
      <c r="R1424" s="243"/>
      <c r="S1424" s="243"/>
      <c r="T1424" s="243"/>
      <c r="U1424" s="243"/>
      <c r="V1424" s="243"/>
      <c r="W1424" s="243"/>
      <c r="X1424" s="243"/>
      <c r="Y1424" s="243"/>
      <c r="Z1424" s="243"/>
      <c r="AA1424" s="243"/>
      <c r="AB1424" s="243"/>
      <c r="AC1424" s="243"/>
      <c r="AD1424" s="243"/>
      <c r="AE1424" s="243"/>
      <c r="AF1424" s="243"/>
      <c r="AG1424" s="243"/>
      <c r="AH1424" s="243"/>
      <c r="AI1424" s="243"/>
      <c r="AJ1424" s="243"/>
      <c r="AK1424" s="243"/>
      <c r="AL1424" s="243"/>
      <c r="AM1424" s="243"/>
      <c r="AN1424" s="243"/>
      <c r="AO1424" s="243"/>
      <c r="AP1424" s="243"/>
      <c r="AQ1424" s="243"/>
      <c r="AR1424" s="243"/>
      <c r="AS1424" s="243"/>
      <c r="AT1424" s="243"/>
      <c r="AU1424" s="243"/>
      <c r="AV1424" s="243"/>
      <c r="AW1424" s="243"/>
      <c r="AX1424" s="243"/>
      <c r="AY1424" s="243"/>
      <c r="AZ1424" s="243"/>
      <c r="BA1424" s="243"/>
      <c r="BB1424" s="243"/>
      <c r="BC1424" s="243"/>
      <c r="BD1424" s="243"/>
      <c r="BE1424" s="243"/>
      <c r="BF1424" s="243"/>
      <c r="BG1424" s="243"/>
      <c r="BH1424" s="243"/>
      <c r="BI1424" s="243"/>
      <c r="BJ1424" s="243"/>
      <c r="BK1424" s="243"/>
      <c r="BL1424" s="243"/>
      <c r="BM1424" s="243"/>
      <c r="BN1424" s="243"/>
      <c r="BO1424" s="243"/>
      <c r="BP1424" s="243"/>
      <c r="BQ1424" s="243"/>
      <c r="BR1424" s="243"/>
      <c r="BS1424" s="243"/>
    </row>
    <row r="1425" spans="1:71" s="12" customFormat="1" ht="41.25" customHeight="1">
      <c r="A1425" s="178" t="s">
        <v>99</v>
      </c>
      <c r="B1425" s="75" t="str">
        <f ca="1">+UPPER(Tabla1321124[[#This Row],[DESCRIPCIÓN DE LA COMPRA O CONTRATACIÓN]])</f>
        <v xml:space="preserve">TUBOS DE ENSAYO 18 X 150MM, MARCA PYREX, CON SUS TAPAS </v>
      </c>
      <c r="C1425" s="39" t="s">
        <v>1073</v>
      </c>
      <c r="D1425" s="236">
        <v>1</v>
      </c>
      <c r="E1425" s="236">
        <f>5</f>
        <v>5</v>
      </c>
      <c r="F1425" s="236"/>
      <c r="G1425" s="236">
        <v>5</v>
      </c>
      <c r="H1425" s="236">
        <f>Tabla1321124[[#This Row],[CUARTO TRIMESTRE]]+Tabla1321124[[#This Row],[TERCER TRIMESTRE]]+Tabla1321124[[#This Row],[SEGUNDO TRIMESTRE]]+Tabla1321124[[#This Row],[PRIMER TRIMESTRE]]</f>
        <v>11</v>
      </c>
      <c r="I1425" s="17">
        <v>7500</v>
      </c>
      <c r="J1425" s="17">
        <f>+Tabla1321124[[#This Row],[CANTIDAD TOTAL]]*Tabla1321124[[#This Row],[PRECIO UNITARIO ESTIMADO]]</f>
        <v>82500</v>
      </c>
      <c r="K1425" s="17"/>
      <c r="L1425" s="16" t="s">
        <v>18</v>
      </c>
      <c r="M1425" s="16" t="s">
        <v>22</v>
      </c>
      <c r="N1425" s="16" t="s">
        <v>418</v>
      </c>
      <c r="O1425" s="243"/>
      <c r="P1425" s="243"/>
      <c r="Q1425" s="243"/>
      <c r="R1425" s="243"/>
      <c r="S1425" s="243"/>
      <c r="T1425" s="243"/>
      <c r="U1425" s="243"/>
      <c r="V1425" s="243"/>
      <c r="W1425" s="243"/>
      <c r="X1425" s="243"/>
      <c r="Y1425" s="243"/>
      <c r="Z1425" s="243"/>
      <c r="AA1425" s="243"/>
      <c r="AB1425" s="243"/>
      <c r="AC1425" s="243"/>
      <c r="AD1425" s="243"/>
      <c r="AE1425" s="243"/>
      <c r="AF1425" s="243"/>
      <c r="AG1425" s="243"/>
      <c r="AH1425" s="243"/>
      <c r="AI1425" s="243"/>
      <c r="AJ1425" s="243"/>
      <c r="AK1425" s="243"/>
      <c r="AL1425" s="243"/>
      <c r="AM1425" s="243"/>
      <c r="AN1425" s="243"/>
      <c r="AO1425" s="243"/>
      <c r="AP1425" s="243"/>
      <c r="AQ1425" s="243"/>
      <c r="AR1425" s="243"/>
      <c r="AS1425" s="243"/>
      <c r="AT1425" s="243"/>
      <c r="AU1425" s="243"/>
      <c r="AV1425" s="243"/>
      <c r="AW1425" s="243"/>
      <c r="AX1425" s="243"/>
      <c r="AY1425" s="243"/>
      <c r="AZ1425" s="243"/>
      <c r="BA1425" s="243"/>
      <c r="BB1425" s="243"/>
      <c r="BC1425" s="243"/>
      <c r="BD1425" s="243"/>
      <c r="BE1425" s="243"/>
      <c r="BF1425" s="243"/>
      <c r="BG1425" s="243"/>
      <c r="BH1425" s="243"/>
      <c r="BI1425" s="243"/>
      <c r="BJ1425" s="243"/>
      <c r="BK1425" s="243"/>
      <c r="BL1425" s="243"/>
      <c r="BM1425" s="243"/>
      <c r="BN1425" s="243"/>
      <c r="BO1425" s="243"/>
      <c r="BP1425" s="243"/>
      <c r="BQ1425" s="243"/>
      <c r="BR1425" s="243"/>
      <c r="BS1425" s="243"/>
    </row>
    <row r="1426" spans="1:71" s="12" customFormat="1" ht="41.25" customHeight="1">
      <c r="A1426" s="178" t="s">
        <v>99</v>
      </c>
      <c r="B1426" s="75" t="str">
        <f ca="1">+UPPER(Tabla1321124[[#This Row],[DESCRIPCIÓN DE LA COMPRA O CONTRATACIÓN]])</f>
        <v>CANASTOS DE ALUMINIO, REDONDO, TAMAÑO 10 X 6"</v>
      </c>
      <c r="C1426" s="39" t="s">
        <v>1067</v>
      </c>
      <c r="D1426" s="236">
        <f>5+5+1</f>
        <v>11</v>
      </c>
      <c r="E1426" s="236">
        <f>5+5</f>
        <v>10</v>
      </c>
      <c r="F1426" s="236">
        <f>5+5</f>
        <v>10</v>
      </c>
      <c r="G1426" s="236">
        <f>5+5</f>
        <v>10</v>
      </c>
      <c r="H1426" s="236">
        <f>Tabla1321124[[#This Row],[CUARTO TRIMESTRE]]+Tabla1321124[[#This Row],[TERCER TRIMESTRE]]+Tabla1321124[[#This Row],[SEGUNDO TRIMESTRE]]+Tabla1321124[[#This Row],[PRIMER TRIMESTRE]]</f>
        <v>41</v>
      </c>
      <c r="I1426" s="17">
        <v>1000</v>
      </c>
      <c r="J1426" s="17">
        <f>+Tabla1321124[[#This Row],[CANTIDAD TOTAL]]*Tabla1321124[[#This Row],[PRECIO UNITARIO ESTIMADO]]</f>
        <v>41000</v>
      </c>
      <c r="K1426" s="17"/>
      <c r="L1426" s="16" t="s">
        <v>18</v>
      </c>
      <c r="M1426" s="16" t="s">
        <v>22</v>
      </c>
      <c r="N1426" s="16" t="s">
        <v>418</v>
      </c>
      <c r="O1426" s="243"/>
      <c r="P1426" s="243"/>
      <c r="Q1426" s="243"/>
      <c r="R1426" s="243"/>
      <c r="S1426" s="243"/>
      <c r="T1426" s="243"/>
      <c r="U1426" s="243"/>
      <c r="V1426" s="243"/>
      <c r="W1426" s="243"/>
      <c r="X1426" s="243"/>
      <c r="Y1426" s="243"/>
      <c r="Z1426" s="243"/>
      <c r="AA1426" s="243"/>
      <c r="AB1426" s="243"/>
      <c r="AC1426" s="243"/>
      <c r="AD1426" s="243"/>
      <c r="AE1426" s="243"/>
      <c r="AF1426" s="243"/>
      <c r="AG1426" s="243"/>
      <c r="AH1426" s="243"/>
      <c r="AI1426" s="243"/>
      <c r="AJ1426" s="243"/>
      <c r="AK1426" s="243"/>
      <c r="AL1426" s="243"/>
      <c r="AM1426" s="243"/>
      <c r="AN1426" s="243"/>
      <c r="AO1426" s="243"/>
      <c r="AP1426" s="243"/>
      <c r="AQ1426" s="243"/>
      <c r="AR1426" s="243"/>
      <c r="AS1426" s="243"/>
      <c r="AT1426" s="243"/>
      <c r="AU1426" s="243"/>
      <c r="AV1426" s="243"/>
      <c r="AW1426" s="243"/>
      <c r="AX1426" s="243"/>
      <c r="AY1426" s="243"/>
      <c r="AZ1426" s="243"/>
      <c r="BA1426" s="243"/>
      <c r="BB1426" s="243"/>
      <c r="BC1426" s="243"/>
      <c r="BD1426" s="243"/>
      <c r="BE1426" s="243"/>
      <c r="BF1426" s="243"/>
      <c r="BG1426" s="243"/>
      <c r="BH1426" s="243"/>
      <c r="BI1426" s="243"/>
      <c r="BJ1426" s="243"/>
      <c r="BK1426" s="243"/>
      <c r="BL1426" s="243"/>
      <c r="BM1426" s="243"/>
      <c r="BN1426" s="243"/>
      <c r="BO1426" s="243"/>
      <c r="BP1426" s="243"/>
      <c r="BQ1426" s="243"/>
      <c r="BR1426" s="243"/>
      <c r="BS1426" s="243"/>
    </row>
    <row r="1427" spans="1:71" s="12" customFormat="1" ht="41.25" customHeight="1">
      <c r="A1427" s="178" t="s">
        <v>99</v>
      </c>
      <c r="B1427" s="75" t="str">
        <f ca="1">+UPPER(Tabla1321124[[#This Row],[DESCRIPCIÓN DE LA COMPRA O CONTRATACIÓN]])</f>
        <v>GRADILLAS DE POLIPROPILENO, 60 PLAZAS, PARA TUBOS DE 18 X 150 MM</v>
      </c>
      <c r="C1427" s="39" t="s">
        <v>1067</v>
      </c>
      <c r="D1427" s="236">
        <f>5+1</f>
        <v>6</v>
      </c>
      <c r="E1427" s="236">
        <f>5</f>
        <v>5</v>
      </c>
      <c r="F1427" s="236">
        <f>5</f>
        <v>5</v>
      </c>
      <c r="G1427" s="236">
        <f>5</f>
        <v>5</v>
      </c>
      <c r="H1427" s="236">
        <f>Tabla1321124[[#This Row],[CUARTO TRIMESTRE]]+Tabla1321124[[#This Row],[TERCER TRIMESTRE]]+Tabla1321124[[#This Row],[SEGUNDO TRIMESTRE]]+Tabla1321124[[#This Row],[PRIMER TRIMESTRE]]</f>
        <v>21</v>
      </c>
      <c r="I1427" s="17">
        <v>2500</v>
      </c>
      <c r="J1427" s="17">
        <f>+Tabla1321124[[#This Row],[CANTIDAD TOTAL]]*Tabla1321124[[#This Row],[PRECIO UNITARIO ESTIMADO]]</f>
        <v>52500</v>
      </c>
      <c r="K1427" s="17"/>
      <c r="L1427" s="16" t="s">
        <v>18</v>
      </c>
      <c r="M1427" s="16" t="s">
        <v>22</v>
      </c>
      <c r="N1427" s="16" t="s">
        <v>418</v>
      </c>
      <c r="O1427" s="243"/>
      <c r="P1427" s="243"/>
      <c r="Q1427" s="243"/>
      <c r="R1427" s="243"/>
      <c r="S1427" s="243"/>
      <c r="T1427" s="243"/>
      <c r="U1427" s="243"/>
      <c r="V1427" s="243"/>
      <c r="W1427" s="243"/>
      <c r="X1427" s="243"/>
      <c r="Y1427" s="243"/>
      <c r="Z1427" s="243"/>
      <c r="AA1427" s="243"/>
      <c r="AB1427" s="243"/>
      <c r="AC1427" s="243"/>
      <c r="AD1427" s="243"/>
      <c r="AE1427" s="243"/>
      <c r="AF1427" s="243"/>
      <c r="AG1427" s="243"/>
      <c r="AH1427" s="243"/>
      <c r="AI1427" s="243"/>
      <c r="AJ1427" s="243"/>
      <c r="AK1427" s="243"/>
      <c r="AL1427" s="243"/>
      <c r="AM1427" s="243"/>
      <c r="AN1427" s="243"/>
      <c r="AO1427" s="243"/>
      <c r="AP1427" s="243"/>
      <c r="AQ1427" s="243"/>
      <c r="AR1427" s="243"/>
      <c r="AS1427" s="243"/>
      <c r="AT1427" s="243"/>
      <c r="AU1427" s="243"/>
      <c r="AV1427" s="243"/>
      <c r="AW1427" s="243"/>
      <c r="AX1427" s="243"/>
      <c r="AY1427" s="243"/>
      <c r="AZ1427" s="243"/>
      <c r="BA1427" s="243"/>
      <c r="BB1427" s="243"/>
      <c r="BC1427" s="243"/>
      <c r="BD1427" s="243"/>
      <c r="BE1427" s="243"/>
      <c r="BF1427" s="243"/>
      <c r="BG1427" s="243"/>
      <c r="BH1427" s="243"/>
      <c r="BI1427" s="243"/>
      <c r="BJ1427" s="243"/>
      <c r="BK1427" s="243"/>
      <c r="BL1427" s="243"/>
      <c r="BM1427" s="243"/>
      <c r="BN1427" s="243"/>
      <c r="BO1427" s="243"/>
      <c r="BP1427" s="243"/>
      <c r="BQ1427" s="243"/>
      <c r="BR1427" s="243"/>
      <c r="BS1427" s="243"/>
    </row>
    <row r="1428" spans="1:71" s="12" customFormat="1" ht="41.25" customHeight="1">
      <c r="A1428" s="178" t="s">
        <v>99</v>
      </c>
      <c r="B1428" s="75" t="str">
        <f ca="1">+UPPER(Tabla1321124[[#This Row],[DESCRIPCIÓN DE LA COMPRA O CONTRATACIÓN]])</f>
        <v>DISPENSADOR DE LIQUIDOS, DE 10 ML, CON DIVISION DE 0.25 ML Y RESERVORIO DE UN LITRO DE CAPACIDAD</v>
      </c>
      <c r="C1428" s="39" t="s">
        <v>1067</v>
      </c>
      <c r="D1428" s="236">
        <f>2</f>
        <v>2</v>
      </c>
      <c r="E1428" s="236">
        <f>2</f>
        <v>2</v>
      </c>
      <c r="F1428" s="236">
        <f>2</f>
        <v>2</v>
      </c>
      <c r="G1428" s="236">
        <f>2</f>
        <v>2</v>
      </c>
      <c r="H1428" s="236">
        <f>Tabla1321124[[#This Row],[CUARTO TRIMESTRE]]+Tabla1321124[[#This Row],[TERCER TRIMESTRE]]+Tabla1321124[[#This Row],[SEGUNDO TRIMESTRE]]+Tabla1321124[[#This Row],[PRIMER TRIMESTRE]]</f>
        <v>8</v>
      </c>
      <c r="I1428" s="17">
        <v>10000</v>
      </c>
      <c r="J1428" s="17">
        <f>+Tabla1321124[[#This Row],[CANTIDAD TOTAL]]*Tabla1321124[[#This Row],[PRECIO UNITARIO ESTIMADO]]</f>
        <v>80000</v>
      </c>
      <c r="K1428" s="17"/>
      <c r="L1428" s="16" t="s">
        <v>18</v>
      </c>
      <c r="M1428" s="16" t="s">
        <v>22</v>
      </c>
      <c r="N1428" s="16" t="s">
        <v>418</v>
      </c>
      <c r="O1428" s="243"/>
      <c r="P1428" s="243"/>
      <c r="Q1428" s="243"/>
      <c r="R1428" s="243"/>
      <c r="S1428" s="243"/>
      <c r="T1428" s="243"/>
      <c r="U1428" s="243"/>
      <c r="V1428" s="243"/>
      <c r="W1428" s="243"/>
      <c r="X1428" s="243"/>
      <c r="Y1428" s="243"/>
      <c r="Z1428" s="243"/>
      <c r="AA1428" s="243"/>
      <c r="AB1428" s="243"/>
      <c r="AC1428" s="243"/>
      <c r="AD1428" s="243"/>
      <c r="AE1428" s="243"/>
      <c r="AF1428" s="243"/>
      <c r="AG1428" s="243"/>
      <c r="AH1428" s="243"/>
      <c r="AI1428" s="243"/>
      <c r="AJ1428" s="243"/>
      <c r="AK1428" s="243"/>
      <c r="AL1428" s="243"/>
      <c r="AM1428" s="243"/>
      <c r="AN1428" s="243"/>
      <c r="AO1428" s="243"/>
      <c r="AP1428" s="243"/>
      <c r="AQ1428" s="243"/>
      <c r="AR1428" s="243"/>
      <c r="AS1428" s="243"/>
      <c r="AT1428" s="243"/>
      <c r="AU1428" s="243"/>
      <c r="AV1428" s="243"/>
      <c r="AW1428" s="243"/>
      <c r="AX1428" s="243"/>
      <c r="AY1428" s="243"/>
      <c r="AZ1428" s="243"/>
      <c r="BA1428" s="243"/>
      <c r="BB1428" s="243"/>
      <c r="BC1428" s="243"/>
      <c r="BD1428" s="243"/>
      <c r="BE1428" s="243"/>
      <c r="BF1428" s="243"/>
      <c r="BG1428" s="243"/>
      <c r="BH1428" s="243"/>
      <c r="BI1428" s="243"/>
      <c r="BJ1428" s="243"/>
      <c r="BK1428" s="243"/>
      <c r="BL1428" s="243"/>
      <c r="BM1428" s="243"/>
      <c r="BN1428" s="243"/>
      <c r="BO1428" s="243"/>
      <c r="BP1428" s="243"/>
      <c r="BQ1428" s="243"/>
      <c r="BR1428" s="243"/>
      <c r="BS1428" s="243"/>
    </row>
    <row r="1429" spans="1:71" s="12" customFormat="1" ht="41.25" customHeight="1">
      <c r="A1429" s="178" t="s">
        <v>99</v>
      </c>
      <c r="B1429" s="75" t="str">
        <f ca="1">+UPPER(Tabla1321124[[#This Row],[DESCRIPCIÓN DE LA COMPRA O CONTRATACIÓN]])</f>
        <v>PLACAS DE CONTACTO (PLACAS RODAC) 60 X 14 MM, PLASTICAS, ESTERILES</v>
      </c>
      <c r="C1429" s="39" t="s">
        <v>718</v>
      </c>
      <c r="D1429" s="236">
        <f>3+3</f>
        <v>6</v>
      </c>
      <c r="E1429" s="236">
        <f>3+3</f>
        <v>6</v>
      </c>
      <c r="F1429" s="236">
        <f>3+3</f>
        <v>6</v>
      </c>
      <c r="G1429" s="236">
        <f>3+3</f>
        <v>6</v>
      </c>
      <c r="H1429" s="236">
        <f>Tabla1321124[[#This Row],[CUARTO TRIMESTRE]]+Tabla1321124[[#This Row],[TERCER TRIMESTRE]]+Tabla1321124[[#This Row],[SEGUNDO TRIMESTRE]]+Tabla1321124[[#This Row],[PRIMER TRIMESTRE]]</f>
        <v>24</v>
      </c>
      <c r="I1429" s="17">
        <v>10000</v>
      </c>
      <c r="J1429" s="17">
        <f>+Tabla1321124[[#This Row],[CANTIDAD TOTAL]]*Tabla1321124[[#This Row],[PRECIO UNITARIO ESTIMADO]]</f>
        <v>240000</v>
      </c>
      <c r="K1429" s="17"/>
      <c r="L1429" s="16" t="s">
        <v>18</v>
      </c>
      <c r="M1429" s="16" t="s">
        <v>22</v>
      </c>
      <c r="N1429" s="16" t="s">
        <v>418</v>
      </c>
      <c r="O1429" s="243"/>
      <c r="P1429" s="243"/>
      <c r="Q1429" s="243"/>
      <c r="R1429" s="243"/>
      <c r="S1429" s="243"/>
      <c r="T1429" s="243"/>
      <c r="U1429" s="243"/>
      <c r="V1429" s="243"/>
      <c r="W1429" s="243"/>
      <c r="X1429" s="243"/>
      <c r="Y1429" s="243"/>
      <c r="Z1429" s="243"/>
      <c r="AA1429" s="243"/>
      <c r="AB1429" s="243"/>
      <c r="AC1429" s="243"/>
      <c r="AD1429" s="243"/>
      <c r="AE1429" s="243"/>
      <c r="AF1429" s="243"/>
      <c r="AG1429" s="243"/>
      <c r="AH1429" s="243"/>
      <c r="AI1429" s="243"/>
      <c r="AJ1429" s="243"/>
      <c r="AK1429" s="243"/>
      <c r="AL1429" s="243"/>
      <c r="AM1429" s="243"/>
      <c r="AN1429" s="243"/>
      <c r="AO1429" s="243"/>
      <c r="AP1429" s="243"/>
      <c r="AQ1429" s="243"/>
      <c r="AR1429" s="243"/>
      <c r="AS1429" s="243"/>
      <c r="AT1429" s="243"/>
      <c r="AU1429" s="243"/>
      <c r="AV1429" s="243"/>
      <c r="AW1429" s="243"/>
      <c r="AX1429" s="243"/>
      <c r="AY1429" s="243"/>
      <c r="AZ1429" s="243"/>
      <c r="BA1429" s="243"/>
      <c r="BB1429" s="243"/>
      <c r="BC1429" s="243"/>
      <c r="BD1429" s="243"/>
      <c r="BE1429" s="243"/>
      <c r="BF1429" s="243"/>
      <c r="BG1429" s="243"/>
      <c r="BH1429" s="243"/>
      <c r="BI1429" s="243"/>
      <c r="BJ1429" s="243"/>
      <c r="BK1429" s="243"/>
      <c r="BL1429" s="243"/>
      <c r="BM1429" s="243"/>
      <c r="BN1429" s="243"/>
      <c r="BO1429" s="243"/>
      <c r="BP1429" s="243"/>
      <c r="BQ1429" s="243"/>
      <c r="BR1429" s="243"/>
      <c r="BS1429" s="243"/>
    </row>
    <row r="1430" spans="1:71" s="12" customFormat="1" ht="41.25" customHeight="1">
      <c r="A1430" s="178" t="s">
        <v>99</v>
      </c>
      <c r="B1430" s="75" t="str">
        <f ca="1">+UPPER(Tabla1321124[[#This Row],[DESCRIPCIÓN DE LA COMPRA O CONTRATACIÓN]])</f>
        <v>BATAS DE LABORATORIO EN TELA DE POLIESTER Y ALGODÓN, COLOR BLANCO, MANGAS LARGAS, TAMAÑO SMALL (S)</v>
      </c>
      <c r="C1430" s="39" t="s">
        <v>1067</v>
      </c>
      <c r="D1430" s="236">
        <v>1</v>
      </c>
      <c r="E1430" s="236"/>
      <c r="F1430" s="236"/>
      <c r="G1430" s="236">
        <v>6</v>
      </c>
      <c r="H1430" s="236">
        <f>Tabla1321124[[#This Row],[CUARTO TRIMESTRE]]+Tabla1321124[[#This Row],[TERCER TRIMESTRE]]+Tabla1321124[[#This Row],[SEGUNDO TRIMESTRE]]+Tabla1321124[[#This Row],[PRIMER TRIMESTRE]]</f>
        <v>7</v>
      </c>
      <c r="I1430" s="17">
        <v>1000</v>
      </c>
      <c r="J1430" s="17">
        <f>+Tabla1321124[[#This Row],[CANTIDAD TOTAL]]*Tabla1321124[[#This Row],[PRECIO UNITARIO ESTIMADO]]</f>
        <v>7000</v>
      </c>
      <c r="K1430" s="17"/>
      <c r="L1430" s="16" t="s">
        <v>18</v>
      </c>
      <c r="M1430" s="16" t="s">
        <v>22</v>
      </c>
      <c r="N1430" s="16" t="s">
        <v>418</v>
      </c>
      <c r="O1430" s="243"/>
      <c r="P1430" s="243"/>
      <c r="Q1430" s="243"/>
      <c r="R1430" s="243"/>
      <c r="S1430" s="243"/>
      <c r="T1430" s="243"/>
      <c r="U1430" s="243"/>
      <c r="V1430" s="243"/>
      <c r="W1430" s="243"/>
      <c r="X1430" s="243"/>
      <c r="Y1430" s="243"/>
      <c r="Z1430" s="243"/>
      <c r="AA1430" s="243"/>
      <c r="AB1430" s="243"/>
      <c r="AC1430" s="243"/>
      <c r="AD1430" s="243"/>
      <c r="AE1430" s="243"/>
      <c r="AF1430" s="243"/>
      <c r="AG1430" s="243"/>
      <c r="AH1430" s="243"/>
      <c r="AI1430" s="243"/>
      <c r="AJ1430" s="243"/>
      <c r="AK1430" s="243"/>
      <c r="AL1430" s="243"/>
      <c r="AM1430" s="243"/>
      <c r="AN1430" s="243"/>
      <c r="AO1430" s="243"/>
      <c r="AP1430" s="243"/>
      <c r="AQ1430" s="243"/>
      <c r="AR1430" s="243"/>
      <c r="AS1430" s="243"/>
      <c r="AT1430" s="243"/>
      <c r="AU1430" s="243"/>
      <c r="AV1430" s="243"/>
      <c r="AW1430" s="243"/>
      <c r="AX1430" s="243"/>
      <c r="AY1430" s="243"/>
      <c r="AZ1430" s="243"/>
      <c r="BA1430" s="243"/>
      <c r="BB1430" s="243"/>
      <c r="BC1430" s="243"/>
      <c r="BD1430" s="243"/>
      <c r="BE1430" s="243"/>
      <c r="BF1430" s="243"/>
      <c r="BG1430" s="243"/>
      <c r="BH1430" s="243"/>
      <c r="BI1430" s="243"/>
      <c r="BJ1430" s="243"/>
      <c r="BK1430" s="243"/>
      <c r="BL1430" s="243"/>
      <c r="BM1430" s="243"/>
      <c r="BN1430" s="243"/>
      <c r="BO1430" s="243"/>
      <c r="BP1430" s="243"/>
      <c r="BQ1430" s="243"/>
      <c r="BR1430" s="243"/>
      <c r="BS1430" s="243"/>
    </row>
    <row r="1431" spans="1:71" s="12" customFormat="1" ht="41.25" customHeight="1">
      <c r="A1431" s="178" t="s">
        <v>99</v>
      </c>
      <c r="B1431" s="75" t="str">
        <f ca="1">+UPPER(Tabla1321124[[#This Row],[DESCRIPCIÓN DE LA COMPRA O CONTRATACIÓN]])</f>
        <v>FUNDA ZIPLOC DE 16.5CMX8.2 CM CAJA DE 40</v>
      </c>
      <c r="C1431" s="39" t="s">
        <v>208</v>
      </c>
      <c r="D1431" s="236">
        <f>2+1</f>
        <v>3</v>
      </c>
      <c r="E1431" s="236"/>
      <c r="F1431" s="236"/>
      <c r="G1431" s="236">
        <f>2</f>
        <v>2</v>
      </c>
      <c r="H1431" s="236">
        <f>Tabla1321124[[#This Row],[CUARTO TRIMESTRE]]+Tabla1321124[[#This Row],[TERCER TRIMESTRE]]+Tabla1321124[[#This Row],[SEGUNDO TRIMESTRE]]+Tabla1321124[[#This Row],[PRIMER TRIMESTRE]]</f>
        <v>5</v>
      </c>
      <c r="I1431" s="17">
        <v>250</v>
      </c>
      <c r="J1431" s="17">
        <f>+Tabla1321124[[#This Row],[CANTIDAD TOTAL]]*Tabla1321124[[#This Row],[PRECIO UNITARIO ESTIMADO]]</f>
        <v>1250</v>
      </c>
      <c r="K1431" s="17"/>
      <c r="L1431" s="16" t="s">
        <v>18</v>
      </c>
      <c r="M1431" s="16" t="s">
        <v>22</v>
      </c>
      <c r="N1431" s="16" t="s">
        <v>418</v>
      </c>
      <c r="O1431" s="243"/>
      <c r="P1431" s="243"/>
      <c r="Q1431" s="243"/>
      <c r="R1431" s="243"/>
      <c r="S1431" s="243"/>
      <c r="T1431" s="243"/>
      <c r="U1431" s="243"/>
      <c r="V1431" s="243"/>
      <c r="W1431" s="243"/>
      <c r="X1431" s="243"/>
      <c r="Y1431" s="243"/>
      <c r="Z1431" s="243"/>
      <c r="AA1431" s="243"/>
      <c r="AB1431" s="243"/>
      <c r="AC1431" s="243"/>
      <c r="AD1431" s="243"/>
      <c r="AE1431" s="243"/>
      <c r="AF1431" s="243"/>
      <c r="AG1431" s="243"/>
      <c r="AH1431" s="243"/>
      <c r="AI1431" s="243"/>
      <c r="AJ1431" s="243"/>
      <c r="AK1431" s="243"/>
      <c r="AL1431" s="243"/>
      <c r="AM1431" s="243"/>
      <c r="AN1431" s="243"/>
      <c r="AO1431" s="243"/>
      <c r="AP1431" s="243"/>
      <c r="AQ1431" s="243"/>
      <c r="AR1431" s="243"/>
      <c r="AS1431" s="243"/>
      <c r="AT1431" s="243"/>
      <c r="AU1431" s="243"/>
      <c r="AV1431" s="243"/>
      <c r="AW1431" s="243"/>
      <c r="AX1431" s="243"/>
      <c r="AY1431" s="243"/>
      <c r="AZ1431" s="243"/>
      <c r="BA1431" s="243"/>
      <c r="BB1431" s="243"/>
      <c r="BC1431" s="243"/>
      <c r="BD1431" s="243"/>
      <c r="BE1431" s="243"/>
      <c r="BF1431" s="243"/>
      <c r="BG1431" s="243"/>
      <c r="BH1431" s="243"/>
      <c r="BI1431" s="243"/>
      <c r="BJ1431" s="243"/>
      <c r="BK1431" s="243"/>
      <c r="BL1431" s="243"/>
      <c r="BM1431" s="243"/>
      <c r="BN1431" s="243"/>
      <c r="BO1431" s="243"/>
      <c r="BP1431" s="243"/>
      <c r="BQ1431" s="243"/>
      <c r="BR1431" s="243"/>
      <c r="BS1431" s="243"/>
    </row>
    <row r="1432" spans="1:71" s="12" customFormat="1" ht="41.25" customHeight="1">
      <c r="A1432" s="178" t="s">
        <v>99</v>
      </c>
      <c r="B1432" s="75" t="str">
        <f ca="1">+UPPER(Tabla1321124[[#This Row],[DESCRIPCIÓN DE LA COMPRA O CONTRATACIÓN]])</f>
        <v>BATAS DE LABORATORIO EN TELA DE POLIESTER Y ALGODÓN, COLOR BLANCO, MANGAS LARGAS, TAMAÑO MEDIUM  (M)</v>
      </c>
      <c r="C1432" s="39" t="s">
        <v>1067</v>
      </c>
      <c r="D1432" s="236">
        <v>3</v>
      </c>
      <c r="E1432" s="236"/>
      <c r="F1432" s="236"/>
      <c r="G1432" s="236">
        <f>6</f>
        <v>6</v>
      </c>
      <c r="H1432" s="236">
        <f>Tabla1321124[[#This Row],[CUARTO TRIMESTRE]]+Tabla1321124[[#This Row],[TERCER TRIMESTRE]]+Tabla1321124[[#This Row],[SEGUNDO TRIMESTRE]]+Tabla1321124[[#This Row],[PRIMER TRIMESTRE]]</f>
        <v>9</v>
      </c>
      <c r="I1432" s="17">
        <v>1000</v>
      </c>
      <c r="J1432" s="17">
        <f>+Tabla1321124[[#This Row],[CANTIDAD TOTAL]]*Tabla1321124[[#This Row],[PRECIO UNITARIO ESTIMADO]]</f>
        <v>9000</v>
      </c>
      <c r="K1432" s="17"/>
      <c r="L1432" s="16" t="s">
        <v>18</v>
      </c>
      <c r="M1432" s="16" t="s">
        <v>22</v>
      </c>
      <c r="N1432" s="16" t="s">
        <v>418</v>
      </c>
      <c r="O1432" s="243"/>
      <c r="P1432" s="243"/>
      <c r="Q1432" s="243"/>
      <c r="R1432" s="243"/>
      <c r="S1432" s="243"/>
      <c r="T1432" s="243"/>
      <c r="U1432" s="243"/>
      <c r="V1432" s="243"/>
      <c r="W1432" s="243"/>
      <c r="X1432" s="243"/>
      <c r="Y1432" s="243"/>
      <c r="Z1432" s="243"/>
      <c r="AA1432" s="243"/>
      <c r="AB1432" s="243"/>
      <c r="AC1432" s="243"/>
      <c r="AD1432" s="243"/>
      <c r="AE1432" s="243"/>
      <c r="AF1432" s="243"/>
      <c r="AG1432" s="243"/>
      <c r="AH1432" s="243"/>
      <c r="AI1432" s="243"/>
      <c r="AJ1432" s="243"/>
      <c r="AK1432" s="243"/>
      <c r="AL1432" s="243"/>
      <c r="AM1432" s="243"/>
      <c r="AN1432" s="243"/>
      <c r="AO1432" s="243"/>
      <c r="AP1432" s="243"/>
      <c r="AQ1432" s="243"/>
      <c r="AR1432" s="243"/>
      <c r="AS1432" s="243"/>
      <c r="AT1432" s="243"/>
      <c r="AU1432" s="243"/>
      <c r="AV1432" s="243"/>
      <c r="AW1432" s="243"/>
      <c r="AX1432" s="243"/>
      <c r="AY1432" s="243"/>
      <c r="AZ1432" s="243"/>
      <c r="BA1432" s="243"/>
      <c r="BB1432" s="243"/>
      <c r="BC1432" s="243"/>
      <c r="BD1432" s="243"/>
      <c r="BE1432" s="243"/>
      <c r="BF1432" s="243"/>
      <c r="BG1432" s="243"/>
      <c r="BH1432" s="243"/>
      <c r="BI1432" s="243"/>
      <c r="BJ1432" s="243"/>
      <c r="BK1432" s="243"/>
      <c r="BL1432" s="243"/>
      <c r="BM1432" s="243"/>
      <c r="BN1432" s="243"/>
      <c r="BO1432" s="243"/>
      <c r="BP1432" s="243"/>
      <c r="BQ1432" s="243"/>
      <c r="BR1432" s="243"/>
      <c r="BS1432" s="243"/>
    </row>
    <row r="1433" spans="1:71" s="12" customFormat="1" ht="41.25" customHeight="1">
      <c r="A1433" s="178" t="s">
        <v>99</v>
      </c>
      <c r="B1433" s="75" t="str">
        <f ca="1">+UPPER(Tabla1321124[[#This Row],[DESCRIPCIÓN DE LA COMPRA O CONTRATACIÓN]])</f>
        <v>BATAS DE LABORATORIO EN TELA DE POLIESTER Y ALGODÓN, COLOR BLANCO, MANGAS LARGAS, TAMAÑO LARGE  (L)</v>
      </c>
      <c r="C1433" s="39" t="s">
        <v>1067</v>
      </c>
      <c r="D1433" s="236">
        <v>3</v>
      </c>
      <c r="E1433" s="236"/>
      <c r="F1433" s="236"/>
      <c r="G1433" s="236">
        <f>4</f>
        <v>4</v>
      </c>
      <c r="H1433" s="236">
        <f>Tabla1321124[[#This Row],[CUARTO TRIMESTRE]]+Tabla1321124[[#This Row],[TERCER TRIMESTRE]]+Tabla1321124[[#This Row],[SEGUNDO TRIMESTRE]]+Tabla1321124[[#This Row],[PRIMER TRIMESTRE]]</f>
        <v>7</v>
      </c>
      <c r="I1433" s="17">
        <v>1000</v>
      </c>
      <c r="J1433" s="17">
        <f>+Tabla1321124[[#This Row],[CANTIDAD TOTAL]]*Tabla1321124[[#This Row],[PRECIO UNITARIO ESTIMADO]]</f>
        <v>7000</v>
      </c>
      <c r="K1433" s="17"/>
      <c r="L1433" s="16" t="s">
        <v>18</v>
      </c>
      <c r="M1433" s="16" t="s">
        <v>22</v>
      </c>
      <c r="N1433" s="16" t="s">
        <v>418</v>
      </c>
      <c r="O1433" s="243"/>
      <c r="P1433" s="243"/>
      <c r="Q1433" s="243"/>
      <c r="R1433" s="243"/>
      <c r="S1433" s="243"/>
      <c r="T1433" s="243"/>
      <c r="U1433" s="243"/>
      <c r="V1433" s="243"/>
      <c r="W1433" s="243"/>
      <c r="X1433" s="243"/>
      <c r="Y1433" s="243"/>
      <c r="Z1433" s="243"/>
      <c r="AA1433" s="243"/>
      <c r="AB1433" s="243"/>
      <c r="AC1433" s="243"/>
      <c r="AD1433" s="243"/>
      <c r="AE1433" s="243"/>
      <c r="AF1433" s="243"/>
      <c r="AG1433" s="243"/>
      <c r="AH1433" s="243"/>
      <c r="AI1433" s="243"/>
      <c r="AJ1433" s="243"/>
      <c r="AK1433" s="243"/>
      <c r="AL1433" s="243"/>
      <c r="AM1433" s="243"/>
      <c r="AN1433" s="243"/>
      <c r="AO1433" s="243"/>
      <c r="AP1433" s="243"/>
      <c r="AQ1433" s="243"/>
      <c r="AR1433" s="243"/>
      <c r="AS1433" s="243"/>
      <c r="AT1433" s="243"/>
      <c r="AU1433" s="243"/>
      <c r="AV1433" s="243"/>
      <c r="AW1433" s="243"/>
      <c r="AX1433" s="243"/>
      <c r="AY1433" s="243"/>
      <c r="AZ1433" s="243"/>
      <c r="BA1433" s="243"/>
      <c r="BB1433" s="243"/>
      <c r="BC1433" s="243"/>
      <c r="BD1433" s="243"/>
      <c r="BE1433" s="243"/>
      <c r="BF1433" s="243"/>
      <c r="BG1433" s="243"/>
      <c r="BH1433" s="243"/>
      <c r="BI1433" s="243"/>
      <c r="BJ1433" s="243"/>
      <c r="BK1433" s="243"/>
      <c r="BL1433" s="243"/>
      <c r="BM1433" s="243"/>
      <c r="BN1433" s="243"/>
      <c r="BO1433" s="243"/>
      <c r="BP1433" s="243"/>
      <c r="BQ1433" s="243"/>
      <c r="BR1433" s="243"/>
      <c r="BS1433" s="243"/>
    </row>
    <row r="1434" spans="1:71" s="12" customFormat="1" ht="41.25" customHeight="1">
      <c r="A1434" s="178" t="s">
        <v>99</v>
      </c>
      <c r="B1434" s="75" t="str">
        <f ca="1">+UPPER(Tabla1321124[[#This Row],[DESCRIPCIÓN DE LA COMPRA O CONTRATACIÓN]])</f>
        <v>BATAS DE LABORATORIO EN TELA DE POLIESTER Y ALGODÓN, COLOR BLANCO, MANGAS LARGAS, TAMAÑO EXTRA LARGE  (XL)</v>
      </c>
      <c r="C1434" s="39" t="s">
        <v>1067</v>
      </c>
      <c r="D1434" s="236">
        <v>3</v>
      </c>
      <c r="E1434" s="236"/>
      <c r="F1434" s="236"/>
      <c r="G1434" s="236">
        <f>4</f>
        <v>4</v>
      </c>
      <c r="H1434" s="236">
        <f>Tabla1321124[[#This Row],[CUARTO TRIMESTRE]]+Tabla1321124[[#This Row],[TERCER TRIMESTRE]]+Tabla1321124[[#This Row],[SEGUNDO TRIMESTRE]]+Tabla1321124[[#This Row],[PRIMER TRIMESTRE]]</f>
        <v>7</v>
      </c>
      <c r="I1434" s="17">
        <v>1000</v>
      </c>
      <c r="J1434" s="17">
        <f>+Tabla1321124[[#This Row],[CANTIDAD TOTAL]]*Tabla1321124[[#This Row],[PRECIO UNITARIO ESTIMADO]]</f>
        <v>7000</v>
      </c>
      <c r="K1434" s="17"/>
      <c r="L1434" s="16" t="s">
        <v>18</v>
      </c>
      <c r="M1434" s="16" t="s">
        <v>22</v>
      </c>
      <c r="N1434" s="16" t="s">
        <v>418</v>
      </c>
      <c r="O1434" s="243"/>
      <c r="P1434" s="243"/>
      <c r="Q1434" s="243"/>
      <c r="R1434" s="243"/>
      <c r="S1434" s="243"/>
      <c r="T1434" s="243"/>
      <c r="U1434" s="243"/>
      <c r="V1434" s="243"/>
      <c r="W1434" s="243"/>
      <c r="X1434" s="243"/>
      <c r="Y1434" s="243"/>
      <c r="Z1434" s="243"/>
      <c r="AA1434" s="243"/>
      <c r="AB1434" s="243"/>
      <c r="AC1434" s="243"/>
      <c r="AD1434" s="243"/>
      <c r="AE1434" s="243"/>
      <c r="AF1434" s="243"/>
      <c r="AG1434" s="243"/>
      <c r="AH1434" s="243"/>
      <c r="AI1434" s="243"/>
      <c r="AJ1434" s="243"/>
      <c r="AK1434" s="243"/>
      <c r="AL1434" s="243"/>
      <c r="AM1434" s="243"/>
      <c r="AN1434" s="243"/>
      <c r="AO1434" s="243"/>
      <c r="AP1434" s="243"/>
      <c r="AQ1434" s="243"/>
      <c r="AR1434" s="243"/>
      <c r="AS1434" s="243"/>
      <c r="AT1434" s="243"/>
      <c r="AU1434" s="243"/>
      <c r="AV1434" s="243"/>
      <c r="AW1434" s="243"/>
      <c r="AX1434" s="243"/>
      <c r="AY1434" s="243"/>
      <c r="AZ1434" s="243"/>
      <c r="BA1434" s="243"/>
      <c r="BB1434" s="243"/>
      <c r="BC1434" s="243"/>
      <c r="BD1434" s="243"/>
      <c r="BE1434" s="243"/>
      <c r="BF1434" s="243"/>
      <c r="BG1434" s="243"/>
      <c r="BH1434" s="243"/>
      <c r="BI1434" s="243"/>
      <c r="BJ1434" s="243"/>
      <c r="BK1434" s="243"/>
      <c r="BL1434" s="243"/>
      <c r="BM1434" s="243"/>
      <c r="BN1434" s="243"/>
      <c r="BO1434" s="243"/>
      <c r="BP1434" s="243"/>
      <c r="BQ1434" s="243"/>
      <c r="BR1434" s="243"/>
      <c r="BS1434" s="243"/>
    </row>
    <row r="1435" spans="1:71" s="12" customFormat="1" ht="41.25" customHeight="1">
      <c r="A1435" s="178" t="s">
        <v>99</v>
      </c>
      <c r="B1435" s="75" t="str">
        <f ca="1">+UPPER(Tabla1321124[[#This Row],[DESCRIPCIÓN DE LA COMPRA O CONTRATACIÓN]])</f>
        <v>GORROS DE TELA PARA HIELO, DE 9" (PULGADAS)</v>
      </c>
      <c r="C1435" s="39" t="s">
        <v>1067</v>
      </c>
      <c r="D1435" s="236">
        <v>10</v>
      </c>
      <c r="E1435" s="236"/>
      <c r="F1435" s="236"/>
      <c r="G1435" s="236"/>
      <c r="H1435" s="236">
        <f>Tabla1321124[[#This Row],[CUARTO TRIMESTRE]]+Tabla1321124[[#This Row],[TERCER TRIMESTRE]]+Tabla1321124[[#This Row],[SEGUNDO TRIMESTRE]]+Tabla1321124[[#This Row],[PRIMER TRIMESTRE]]</f>
        <v>10</v>
      </c>
      <c r="I1435" s="17">
        <v>300</v>
      </c>
      <c r="J1435" s="17">
        <f>+Tabla1321124[[#This Row],[CANTIDAD TOTAL]]*Tabla1321124[[#This Row],[PRECIO UNITARIO ESTIMADO]]</f>
        <v>3000</v>
      </c>
      <c r="K1435" s="17"/>
      <c r="L1435" s="16" t="s">
        <v>18</v>
      </c>
      <c r="M1435" s="16" t="s">
        <v>22</v>
      </c>
      <c r="N1435" s="16" t="s">
        <v>418</v>
      </c>
      <c r="O1435" s="243"/>
      <c r="P1435" s="243"/>
      <c r="Q1435" s="243"/>
      <c r="R1435" s="243"/>
      <c r="S1435" s="243"/>
      <c r="T1435" s="243"/>
      <c r="U1435" s="243"/>
      <c r="V1435" s="243"/>
      <c r="W1435" s="243"/>
      <c r="X1435" s="243"/>
      <c r="Y1435" s="243"/>
      <c r="Z1435" s="243"/>
      <c r="AA1435" s="243"/>
      <c r="AB1435" s="243"/>
      <c r="AC1435" s="243"/>
      <c r="AD1435" s="243"/>
      <c r="AE1435" s="243"/>
      <c r="AF1435" s="243"/>
      <c r="AG1435" s="243"/>
      <c r="AH1435" s="243"/>
      <c r="AI1435" s="243"/>
      <c r="AJ1435" s="243"/>
      <c r="AK1435" s="243"/>
      <c r="AL1435" s="243"/>
      <c r="AM1435" s="243"/>
      <c r="AN1435" s="243"/>
      <c r="AO1435" s="243"/>
      <c r="AP1435" s="243"/>
      <c r="AQ1435" s="243"/>
      <c r="AR1435" s="243"/>
      <c r="AS1435" s="243"/>
      <c r="AT1435" s="243"/>
      <c r="AU1435" s="243"/>
      <c r="AV1435" s="243"/>
      <c r="AW1435" s="243"/>
      <c r="AX1435" s="243"/>
      <c r="AY1435" s="243"/>
      <c r="AZ1435" s="243"/>
      <c r="BA1435" s="243"/>
      <c r="BB1435" s="243"/>
      <c r="BC1435" s="243"/>
      <c r="BD1435" s="243"/>
      <c r="BE1435" s="243"/>
      <c r="BF1435" s="243"/>
      <c r="BG1435" s="243"/>
      <c r="BH1435" s="243"/>
      <c r="BI1435" s="243"/>
      <c r="BJ1435" s="243"/>
      <c r="BK1435" s="243"/>
      <c r="BL1435" s="243"/>
      <c r="BM1435" s="243"/>
      <c r="BN1435" s="243"/>
      <c r="BO1435" s="243"/>
      <c r="BP1435" s="243"/>
      <c r="BQ1435" s="243"/>
      <c r="BR1435" s="243"/>
      <c r="BS1435" s="243"/>
    </row>
    <row r="1436" spans="1:71" s="12" customFormat="1" ht="41.25" customHeight="1">
      <c r="A1436" s="178" t="s">
        <v>99</v>
      </c>
      <c r="B1436" s="75" t="str">
        <f ca="1">+UPPER(Tabla1321124[[#This Row],[DESCRIPCIÓN DE LA COMPRA O CONTRATACIÓN]])</f>
        <v>TERMOS DE 2 GALONES DE CAPACIDAD, BOCA ANCHA</v>
      </c>
      <c r="C1436" s="39" t="s">
        <v>1067</v>
      </c>
      <c r="D1436" s="236">
        <v>6</v>
      </c>
      <c r="E1436" s="236">
        <v>1</v>
      </c>
      <c r="F1436" s="236">
        <f>5+1</f>
        <v>6</v>
      </c>
      <c r="G1436" s="236">
        <f>5+1</f>
        <v>6</v>
      </c>
      <c r="H1436" s="236">
        <f>Tabla1321124[[#This Row],[CUARTO TRIMESTRE]]+Tabla1321124[[#This Row],[TERCER TRIMESTRE]]+Tabla1321124[[#This Row],[SEGUNDO TRIMESTRE]]+Tabla1321124[[#This Row],[PRIMER TRIMESTRE]]</f>
        <v>19</v>
      </c>
      <c r="I1436" s="17">
        <v>1500</v>
      </c>
      <c r="J1436" s="17">
        <f>+Tabla1321124[[#This Row],[CANTIDAD TOTAL]]*Tabla1321124[[#This Row],[PRECIO UNITARIO ESTIMADO]]</f>
        <v>28500</v>
      </c>
      <c r="K1436" s="17"/>
      <c r="L1436" s="16" t="s">
        <v>18</v>
      </c>
      <c r="M1436" s="16" t="s">
        <v>22</v>
      </c>
      <c r="N1436" s="16" t="s">
        <v>418</v>
      </c>
      <c r="O1436" s="243"/>
      <c r="P1436" s="243"/>
      <c r="Q1436" s="243"/>
      <c r="R1436" s="243"/>
      <c r="S1436" s="243"/>
      <c r="T1436" s="243"/>
      <c r="U1436" s="243"/>
      <c r="V1436" s="243"/>
      <c r="W1436" s="243"/>
      <c r="X1436" s="243"/>
      <c r="Y1436" s="243"/>
      <c r="Z1436" s="243"/>
      <c r="AA1436" s="243"/>
      <c r="AB1436" s="243"/>
      <c r="AC1436" s="243"/>
      <c r="AD1436" s="243"/>
      <c r="AE1436" s="243"/>
      <c r="AF1436" s="243"/>
      <c r="AG1436" s="243"/>
      <c r="AH1436" s="243"/>
      <c r="AI1436" s="243"/>
      <c r="AJ1436" s="243"/>
      <c r="AK1436" s="243"/>
      <c r="AL1436" s="243"/>
      <c r="AM1436" s="243"/>
      <c r="AN1436" s="243"/>
      <c r="AO1436" s="243"/>
      <c r="AP1436" s="243"/>
      <c r="AQ1436" s="243"/>
      <c r="AR1436" s="243"/>
      <c r="AS1436" s="243"/>
      <c r="AT1436" s="243"/>
      <c r="AU1436" s="243"/>
      <c r="AV1436" s="243"/>
      <c r="AW1436" s="243"/>
      <c r="AX1436" s="243"/>
      <c r="AY1436" s="243"/>
      <c r="AZ1436" s="243"/>
      <c r="BA1436" s="243"/>
      <c r="BB1436" s="243"/>
      <c r="BC1436" s="243"/>
      <c r="BD1436" s="243"/>
      <c r="BE1436" s="243"/>
      <c r="BF1436" s="243"/>
      <c r="BG1436" s="243"/>
      <c r="BH1436" s="243"/>
      <c r="BI1436" s="243"/>
      <c r="BJ1436" s="243"/>
      <c r="BK1436" s="243"/>
      <c r="BL1436" s="243"/>
      <c r="BM1436" s="243"/>
      <c r="BN1436" s="243"/>
      <c r="BO1436" s="243"/>
      <c r="BP1436" s="243"/>
      <c r="BQ1436" s="243"/>
      <c r="BR1436" s="243"/>
      <c r="BS1436" s="243"/>
    </row>
    <row r="1437" spans="1:71" s="12" customFormat="1" ht="41.25" customHeight="1">
      <c r="A1437" s="178" t="s">
        <v>99</v>
      </c>
      <c r="B1437" s="75" t="str">
        <f ca="1">+UPPER(Tabla1321124[[#This Row],[DESCRIPCIÓN DE LA COMPRA O CONTRATACIÓN]])</f>
        <v>TERMOS PEQUEÑOS, DE UN GALON DE CAPACIDAD, BOCA ANCHA</v>
      </c>
      <c r="C1437" s="39" t="s">
        <v>1067</v>
      </c>
      <c r="D1437" s="236">
        <v>5</v>
      </c>
      <c r="E1437" s="236"/>
      <c r="F1437" s="236"/>
      <c r="G1437" s="236"/>
      <c r="H1437" s="236">
        <f>Tabla1321124[[#This Row],[CUARTO TRIMESTRE]]+Tabla1321124[[#This Row],[TERCER TRIMESTRE]]+Tabla1321124[[#This Row],[SEGUNDO TRIMESTRE]]+Tabla1321124[[#This Row],[PRIMER TRIMESTRE]]</f>
        <v>5</v>
      </c>
      <c r="I1437" s="17">
        <v>700</v>
      </c>
      <c r="J1437" s="17">
        <f>+Tabla1321124[[#This Row],[CANTIDAD TOTAL]]*Tabla1321124[[#This Row],[PRECIO UNITARIO ESTIMADO]]</f>
        <v>3500</v>
      </c>
      <c r="K1437" s="17"/>
      <c r="L1437" s="16" t="s">
        <v>18</v>
      </c>
      <c r="M1437" s="16" t="s">
        <v>22</v>
      </c>
      <c r="N1437" s="16" t="s">
        <v>418</v>
      </c>
      <c r="O1437" s="243"/>
      <c r="P1437" s="243"/>
      <c r="Q1437" s="243"/>
      <c r="R1437" s="243"/>
      <c r="S1437" s="243"/>
      <c r="T1437" s="243"/>
      <c r="U1437" s="243"/>
      <c r="V1437" s="243"/>
      <c r="W1437" s="243"/>
      <c r="X1437" s="243"/>
      <c r="Y1437" s="243"/>
      <c r="Z1437" s="243"/>
      <c r="AA1437" s="243"/>
      <c r="AB1437" s="243"/>
      <c r="AC1437" s="243"/>
      <c r="AD1437" s="243"/>
      <c r="AE1437" s="243"/>
      <c r="AF1437" s="243"/>
      <c r="AG1437" s="243"/>
      <c r="AH1437" s="243"/>
      <c r="AI1437" s="243"/>
      <c r="AJ1437" s="243"/>
      <c r="AK1437" s="243"/>
      <c r="AL1437" s="243"/>
      <c r="AM1437" s="243"/>
      <c r="AN1437" s="243"/>
      <c r="AO1437" s="243"/>
      <c r="AP1437" s="243"/>
      <c r="AQ1437" s="243"/>
      <c r="AR1437" s="243"/>
      <c r="AS1437" s="243"/>
      <c r="AT1437" s="243"/>
      <c r="AU1437" s="243"/>
      <c r="AV1437" s="243"/>
      <c r="AW1437" s="243"/>
      <c r="AX1437" s="243"/>
      <c r="AY1437" s="243"/>
      <c r="AZ1437" s="243"/>
      <c r="BA1437" s="243"/>
      <c r="BB1437" s="243"/>
      <c r="BC1437" s="243"/>
      <c r="BD1437" s="243"/>
      <c r="BE1437" s="243"/>
      <c r="BF1437" s="243"/>
      <c r="BG1437" s="243"/>
      <c r="BH1437" s="243"/>
      <c r="BI1437" s="243"/>
      <c r="BJ1437" s="243"/>
      <c r="BK1437" s="243"/>
      <c r="BL1437" s="243"/>
      <c r="BM1437" s="243"/>
      <c r="BN1437" s="243"/>
      <c r="BO1437" s="243"/>
      <c r="BP1437" s="243"/>
      <c r="BQ1437" s="243"/>
      <c r="BR1437" s="243"/>
      <c r="BS1437" s="243"/>
    </row>
    <row r="1438" spans="1:71" s="12" customFormat="1" ht="30">
      <c r="A1438" s="178" t="s">
        <v>99</v>
      </c>
      <c r="B1438" s="75" t="str">
        <f ca="1">+UPPER(Tabla1321124[[#This Row],[DESCRIPCIÓN DE LA COMPRA O CONTRATACIÓN]])</f>
        <v>NEVERITAS PLASTICAS DE 10 QTS. DE CAPACIDAD</v>
      </c>
      <c r="C1438" s="39" t="s">
        <v>1067</v>
      </c>
      <c r="D1438" s="236">
        <f>5+5</f>
        <v>10</v>
      </c>
      <c r="E1438" s="236">
        <v>3</v>
      </c>
      <c r="F1438" s="236">
        <f>5+5</f>
        <v>10</v>
      </c>
      <c r="G1438" s="236">
        <v>3</v>
      </c>
      <c r="H1438" s="236">
        <f>Tabla1321124[[#This Row],[CUARTO TRIMESTRE]]+Tabla1321124[[#This Row],[TERCER TRIMESTRE]]+Tabla1321124[[#This Row],[SEGUNDO TRIMESTRE]]+Tabla1321124[[#This Row],[PRIMER TRIMESTRE]]</f>
        <v>26</v>
      </c>
      <c r="I1438" s="17">
        <v>1500</v>
      </c>
      <c r="J1438" s="17">
        <f>+Tabla1321124[[#This Row],[CANTIDAD TOTAL]]*Tabla1321124[[#This Row],[PRECIO UNITARIO ESTIMADO]]</f>
        <v>39000</v>
      </c>
      <c r="K1438" s="17"/>
      <c r="L1438" s="16" t="s">
        <v>18</v>
      </c>
      <c r="M1438" s="16" t="s">
        <v>22</v>
      </c>
      <c r="N1438" s="16" t="s">
        <v>418</v>
      </c>
      <c r="O1438" s="243"/>
      <c r="P1438" s="243"/>
      <c r="Q1438" s="243"/>
      <c r="R1438" s="243"/>
      <c r="S1438" s="243"/>
      <c r="T1438" s="243"/>
      <c r="U1438" s="243"/>
      <c r="V1438" s="243"/>
      <c r="W1438" s="243"/>
      <c r="X1438" s="243"/>
      <c r="Y1438" s="243"/>
      <c r="Z1438" s="243"/>
      <c r="AA1438" s="243"/>
      <c r="AB1438" s="243"/>
      <c r="AC1438" s="243"/>
      <c r="AD1438" s="243"/>
      <c r="AE1438" s="243"/>
      <c r="AF1438" s="243"/>
      <c r="AG1438" s="243"/>
      <c r="AH1438" s="243"/>
      <c r="AI1438" s="243"/>
      <c r="AJ1438" s="243"/>
      <c r="AK1438" s="243"/>
      <c r="AL1438" s="243"/>
      <c r="AM1438" s="243"/>
      <c r="AN1438" s="243"/>
      <c r="AO1438" s="243"/>
      <c r="AP1438" s="243"/>
      <c r="AQ1438" s="243"/>
      <c r="AR1438" s="243"/>
      <c r="AS1438" s="243"/>
      <c r="AT1438" s="243"/>
      <c r="AU1438" s="243"/>
      <c r="AV1438" s="243"/>
      <c r="AW1438" s="243"/>
      <c r="AX1438" s="243"/>
      <c r="AY1438" s="243"/>
      <c r="AZ1438" s="243"/>
      <c r="BA1438" s="243"/>
      <c r="BB1438" s="243"/>
      <c r="BC1438" s="243"/>
      <c r="BD1438" s="243"/>
      <c r="BE1438" s="243"/>
      <c r="BF1438" s="243"/>
      <c r="BG1438" s="243"/>
      <c r="BH1438" s="243"/>
      <c r="BI1438" s="243"/>
      <c r="BJ1438" s="243"/>
      <c r="BK1438" s="243"/>
      <c r="BL1438" s="243"/>
      <c r="BM1438" s="243"/>
      <c r="BN1438" s="243"/>
      <c r="BO1438" s="243"/>
      <c r="BP1438" s="243"/>
      <c r="BQ1438" s="243"/>
      <c r="BR1438" s="243"/>
      <c r="BS1438" s="243"/>
    </row>
    <row r="1439" spans="1:71" s="12" customFormat="1" ht="62.25" customHeight="1">
      <c r="A1439" s="178" t="s">
        <v>99</v>
      </c>
      <c r="B1439" s="75" t="str">
        <f ca="1">+UPPER(Tabla1321124[[#This Row],[DESCRIPCIÓN DE LA COMPRA O CONTRATACIÓN]])</f>
        <v>NON-WOVEN SHOE COVER (CUBIERTA PARA ZAPATOS), TAMAÑO REGULAR, (CAJAS DE 3 PAQUETES)</v>
      </c>
      <c r="C1439" s="39" t="s">
        <v>208</v>
      </c>
      <c r="D1439" s="236">
        <v>10</v>
      </c>
      <c r="E1439" s="236"/>
      <c r="F1439" s="236">
        <f>2</f>
        <v>2</v>
      </c>
      <c r="G1439" s="236">
        <f>2</f>
        <v>2</v>
      </c>
      <c r="H1439" s="236">
        <f>Tabla1321124[[#This Row],[CUARTO TRIMESTRE]]+Tabla1321124[[#This Row],[TERCER TRIMESTRE]]+Tabla1321124[[#This Row],[SEGUNDO TRIMESTRE]]+Tabla1321124[[#This Row],[PRIMER TRIMESTRE]]</f>
        <v>14</v>
      </c>
      <c r="I1439" s="17">
        <v>500</v>
      </c>
      <c r="J1439" s="17">
        <f>+Tabla1321124[[#This Row],[CANTIDAD TOTAL]]*Tabla1321124[[#This Row],[PRECIO UNITARIO ESTIMADO]]</f>
        <v>7000</v>
      </c>
      <c r="K1439" s="17"/>
      <c r="L1439" s="16" t="s">
        <v>18</v>
      </c>
      <c r="M1439" s="16" t="s">
        <v>22</v>
      </c>
      <c r="N1439" s="16" t="s">
        <v>418</v>
      </c>
      <c r="O1439" s="243"/>
      <c r="P1439" s="243"/>
      <c r="Q1439" s="243"/>
      <c r="R1439" s="243"/>
      <c r="S1439" s="243"/>
      <c r="T1439" s="243"/>
      <c r="U1439" s="243"/>
      <c r="V1439" s="243"/>
      <c r="W1439" s="243"/>
      <c r="X1439" s="243"/>
      <c r="Y1439" s="243"/>
      <c r="Z1439" s="243"/>
      <c r="AA1439" s="243"/>
      <c r="AB1439" s="243"/>
      <c r="AC1439" s="243"/>
      <c r="AD1439" s="243"/>
      <c r="AE1439" s="243"/>
      <c r="AF1439" s="243"/>
      <c r="AG1439" s="243"/>
      <c r="AH1439" s="243"/>
      <c r="AI1439" s="243"/>
      <c r="AJ1439" s="243"/>
      <c r="AK1439" s="243"/>
      <c r="AL1439" s="243"/>
      <c r="AM1439" s="243"/>
      <c r="AN1439" s="243"/>
      <c r="AO1439" s="243"/>
      <c r="AP1439" s="243"/>
      <c r="AQ1439" s="243"/>
      <c r="AR1439" s="243"/>
      <c r="AS1439" s="243"/>
      <c r="AT1439" s="243"/>
      <c r="AU1439" s="243"/>
      <c r="AV1439" s="243"/>
      <c r="AW1439" s="243"/>
      <c r="AX1439" s="243"/>
      <c r="AY1439" s="243"/>
      <c r="AZ1439" s="243"/>
      <c r="BA1439" s="243"/>
      <c r="BB1439" s="243"/>
      <c r="BC1439" s="243"/>
      <c r="BD1439" s="243"/>
      <c r="BE1439" s="243"/>
      <c r="BF1439" s="243"/>
      <c r="BG1439" s="243"/>
      <c r="BH1439" s="243"/>
      <c r="BI1439" s="243"/>
      <c r="BJ1439" s="243"/>
      <c r="BK1439" s="243"/>
      <c r="BL1439" s="243"/>
      <c r="BM1439" s="243"/>
      <c r="BN1439" s="243"/>
      <c r="BO1439" s="243"/>
      <c r="BP1439" s="243"/>
      <c r="BQ1439" s="243"/>
      <c r="BR1439" s="243"/>
      <c r="BS1439" s="243"/>
    </row>
    <row r="1440" spans="1:71" s="12" customFormat="1" ht="41.25" customHeight="1">
      <c r="A1440" s="178" t="s">
        <v>99</v>
      </c>
      <c r="B1440" s="75" t="str">
        <f ca="1">+UPPER(Tabla1321124[[#This Row],[DESCRIPCIÓN DE LA COMPRA O CONTRATACIÓN]])</f>
        <v>STANDARD METHODS FOR THE EXAMINATION OF WATER &amp; WASTEWATER, 22 EDITION-2012 (METODOS ESTANDAR PARA EL EXAMEN DE AGUAS Y AGUAS RESIDUALES, 22 EDICION DEL AÑO 2012)</v>
      </c>
      <c r="C1440" s="39" t="s">
        <v>1067</v>
      </c>
      <c r="D1440" s="236">
        <v>1</v>
      </c>
      <c r="E1440" s="236"/>
      <c r="F1440" s="236"/>
      <c r="G1440" s="236"/>
      <c r="H1440" s="236">
        <f>Tabla1321124[[#This Row],[CUARTO TRIMESTRE]]+Tabla1321124[[#This Row],[TERCER TRIMESTRE]]+Tabla1321124[[#This Row],[SEGUNDO TRIMESTRE]]+Tabla1321124[[#This Row],[PRIMER TRIMESTRE]]</f>
        <v>1</v>
      </c>
      <c r="I1440" s="17">
        <v>15000</v>
      </c>
      <c r="J1440" s="17">
        <f>+Tabla1321124[[#This Row],[CANTIDAD TOTAL]]*Tabla1321124[[#This Row],[PRECIO UNITARIO ESTIMADO]]</f>
        <v>15000</v>
      </c>
      <c r="K1440" s="17"/>
      <c r="L1440" s="16" t="s">
        <v>18</v>
      </c>
      <c r="M1440" s="16" t="s">
        <v>22</v>
      </c>
      <c r="N1440" s="16" t="s">
        <v>418</v>
      </c>
      <c r="O1440" s="243"/>
      <c r="P1440" s="243"/>
      <c r="Q1440" s="243"/>
      <c r="R1440" s="243"/>
      <c r="S1440" s="243"/>
      <c r="T1440" s="243"/>
      <c r="U1440" s="243"/>
      <c r="V1440" s="243"/>
      <c r="W1440" s="243"/>
      <c r="X1440" s="243"/>
      <c r="Y1440" s="243"/>
      <c r="Z1440" s="243"/>
      <c r="AA1440" s="243"/>
      <c r="AB1440" s="243"/>
      <c r="AC1440" s="243"/>
      <c r="AD1440" s="243"/>
      <c r="AE1440" s="243"/>
      <c r="AF1440" s="243"/>
      <c r="AG1440" s="243"/>
      <c r="AH1440" s="243"/>
      <c r="AI1440" s="243"/>
      <c r="AJ1440" s="243"/>
      <c r="AK1440" s="243"/>
      <c r="AL1440" s="243"/>
      <c r="AM1440" s="243"/>
      <c r="AN1440" s="243"/>
      <c r="AO1440" s="243"/>
      <c r="AP1440" s="243"/>
      <c r="AQ1440" s="243"/>
      <c r="AR1440" s="243"/>
      <c r="AS1440" s="243"/>
      <c r="AT1440" s="243"/>
      <c r="AU1440" s="243"/>
      <c r="AV1440" s="243"/>
      <c r="AW1440" s="243"/>
      <c r="AX1440" s="243"/>
      <c r="AY1440" s="243"/>
      <c r="AZ1440" s="243"/>
      <c r="BA1440" s="243"/>
      <c r="BB1440" s="243"/>
      <c r="BC1440" s="243"/>
      <c r="BD1440" s="243"/>
      <c r="BE1440" s="243"/>
      <c r="BF1440" s="243"/>
      <c r="BG1440" s="243"/>
      <c r="BH1440" s="243"/>
      <c r="BI1440" s="243"/>
      <c r="BJ1440" s="243"/>
      <c r="BK1440" s="243"/>
      <c r="BL1440" s="243"/>
      <c r="BM1440" s="243"/>
      <c r="BN1440" s="243"/>
      <c r="BO1440" s="243"/>
      <c r="BP1440" s="243"/>
      <c r="BQ1440" s="243"/>
      <c r="BR1440" s="243"/>
      <c r="BS1440" s="243"/>
    </row>
    <row r="1441" spans="1:71" s="12" customFormat="1" ht="41.25" customHeight="1">
      <c r="A1441" s="178" t="s">
        <v>99</v>
      </c>
      <c r="B1441" s="75" t="str">
        <f ca="1">+UPPER(Tabla1321124[[#This Row],[DESCRIPCIÓN DE LA COMPRA O CONTRATACIÓN]])</f>
        <v>FRASCO DE CRISTAL TRANSPARENTE, DE BOROCILICATO CON TAPA DE BAQUELITA DE 120 ML</v>
      </c>
      <c r="C1441" s="39" t="s">
        <v>1090</v>
      </c>
      <c r="D1441" s="236">
        <f>200+2</f>
        <v>202</v>
      </c>
      <c r="E1441" s="236">
        <f>200</f>
        <v>200</v>
      </c>
      <c r="F1441" s="236">
        <f>200</f>
        <v>200</v>
      </c>
      <c r="G1441" s="236">
        <f>200</f>
        <v>200</v>
      </c>
      <c r="H1441" s="236">
        <f>Tabla1321124[[#This Row],[CUARTO TRIMESTRE]]+Tabla1321124[[#This Row],[TERCER TRIMESTRE]]+Tabla1321124[[#This Row],[SEGUNDO TRIMESTRE]]+Tabla1321124[[#This Row],[PRIMER TRIMESTRE]]</f>
        <v>802</v>
      </c>
      <c r="I1441" s="17">
        <v>50</v>
      </c>
      <c r="J1441" s="17">
        <f>+Tabla1321124[[#This Row],[CANTIDAD TOTAL]]*Tabla1321124[[#This Row],[PRECIO UNITARIO ESTIMADO]]</f>
        <v>40100</v>
      </c>
      <c r="K1441" s="17"/>
      <c r="L1441" s="16" t="s">
        <v>18</v>
      </c>
      <c r="M1441" s="16" t="s">
        <v>22</v>
      </c>
      <c r="N1441" s="16" t="s">
        <v>418</v>
      </c>
      <c r="O1441" s="243"/>
      <c r="P1441" s="243"/>
      <c r="Q1441" s="243"/>
      <c r="R1441" s="243"/>
      <c r="S1441" s="243"/>
      <c r="T1441" s="243"/>
      <c r="U1441" s="243"/>
      <c r="V1441" s="243"/>
      <c r="W1441" s="243"/>
      <c r="X1441" s="243"/>
      <c r="Y1441" s="243"/>
      <c r="Z1441" s="243"/>
      <c r="AA1441" s="243"/>
      <c r="AB1441" s="243"/>
      <c r="AC1441" s="243"/>
      <c r="AD1441" s="243"/>
      <c r="AE1441" s="243"/>
      <c r="AF1441" s="243"/>
      <c r="AG1441" s="243"/>
      <c r="AH1441" s="243"/>
      <c r="AI1441" s="243"/>
      <c r="AJ1441" s="243"/>
      <c r="AK1441" s="243"/>
      <c r="AL1441" s="243"/>
      <c r="AM1441" s="243"/>
      <c r="AN1441" s="243"/>
      <c r="AO1441" s="243"/>
      <c r="AP1441" s="243"/>
      <c r="AQ1441" s="243"/>
      <c r="AR1441" s="243"/>
      <c r="AS1441" s="243"/>
      <c r="AT1441" s="243"/>
      <c r="AU1441" s="243"/>
      <c r="AV1441" s="243"/>
      <c r="AW1441" s="243"/>
      <c r="AX1441" s="243"/>
      <c r="AY1441" s="243"/>
      <c r="AZ1441" s="243"/>
      <c r="BA1441" s="243"/>
      <c r="BB1441" s="243"/>
      <c r="BC1441" s="243"/>
      <c r="BD1441" s="243"/>
      <c r="BE1441" s="243"/>
      <c r="BF1441" s="243"/>
      <c r="BG1441" s="243"/>
      <c r="BH1441" s="243"/>
      <c r="BI1441" s="243"/>
      <c r="BJ1441" s="243"/>
      <c r="BK1441" s="243"/>
      <c r="BL1441" s="243"/>
      <c r="BM1441" s="243"/>
      <c r="BN1441" s="243"/>
      <c r="BO1441" s="243"/>
      <c r="BP1441" s="243"/>
      <c r="BQ1441" s="243"/>
      <c r="BR1441" s="243"/>
      <c r="BS1441" s="243"/>
    </row>
    <row r="1442" spans="1:71" s="12" customFormat="1" ht="41.25" customHeight="1">
      <c r="A1442" s="178" t="s">
        <v>99</v>
      </c>
      <c r="B1442" s="75" t="str">
        <f ca="1">+UPPER(Tabla1321124[[#This Row],[DESCRIPCIÓN DE LA COMPRA O CONTRATACIÓN]])</f>
        <v xml:space="preserve">FILTRO  DE MEMBRANA CON POROS DE0.2 A 0.22 MICRAS CON DIAMETRO DE 47 MM        </v>
      </c>
      <c r="C1442" s="39" t="s">
        <v>718</v>
      </c>
      <c r="D1442" s="236">
        <f>1+1</f>
        <v>2</v>
      </c>
      <c r="E1442" s="236"/>
      <c r="F1442" s="236">
        <f>1</f>
        <v>1</v>
      </c>
      <c r="G1442" s="236"/>
      <c r="H1442" s="236">
        <f>Tabla1321124[[#This Row],[CUARTO TRIMESTRE]]+Tabla1321124[[#This Row],[TERCER TRIMESTRE]]+Tabla1321124[[#This Row],[SEGUNDO TRIMESTRE]]+Tabla1321124[[#This Row],[PRIMER TRIMESTRE]]</f>
        <v>3</v>
      </c>
      <c r="I1442" s="17">
        <v>2000</v>
      </c>
      <c r="J1442" s="17">
        <f>+Tabla1321124[[#This Row],[CANTIDAD TOTAL]]*Tabla1321124[[#This Row],[PRECIO UNITARIO ESTIMADO]]</f>
        <v>6000</v>
      </c>
      <c r="K1442" s="17"/>
      <c r="L1442" s="16" t="s">
        <v>18</v>
      </c>
      <c r="M1442" s="16" t="s">
        <v>22</v>
      </c>
      <c r="N1442" s="16" t="s">
        <v>418</v>
      </c>
      <c r="O1442" s="243"/>
      <c r="P1442" s="243"/>
      <c r="Q1442" s="243"/>
      <c r="R1442" s="243"/>
      <c r="S1442" s="243"/>
      <c r="T1442" s="243"/>
      <c r="U1442" s="243"/>
      <c r="V1442" s="243"/>
      <c r="W1442" s="243"/>
      <c r="X1442" s="243"/>
      <c r="Y1442" s="243"/>
      <c r="Z1442" s="243"/>
      <c r="AA1442" s="243"/>
      <c r="AB1442" s="243"/>
      <c r="AC1442" s="243"/>
      <c r="AD1442" s="243"/>
      <c r="AE1442" s="243"/>
      <c r="AF1442" s="243"/>
      <c r="AG1442" s="243"/>
      <c r="AH1442" s="243"/>
      <c r="AI1442" s="243"/>
      <c r="AJ1442" s="243"/>
      <c r="AK1442" s="243"/>
      <c r="AL1442" s="243"/>
      <c r="AM1442" s="243"/>
      <c r="AN1442" s="243"/>
      <c r="AO1442" s="243"/>
      <c r="AP1442" s="243"/>
      <c r="AQ1442" s="243"/>
      <c r="AR1442" s="243"/>
      <c r="AS1442" s="243"/>
      <c r="AT1442" s="243"/>
      <c r="AU1442" s="243"/>
      <c r="AV1442" s="243"/>
      <c r="AW1442" s="243"/>
      <c r="AX1442" s="243"/>
      <c r="AY1442" s="243"/>
      <c r="AZ1442" s="243"/>
      <c r="BA1442" s="243"/>
      <c r="BB1442" s="243"/>
      <c r="BC1442" s="243"/>
      <c r="BD1442" s="243"/>
      <c r="BE1442" s="243"/>
      <c r="BF1442" s="243"/>
      <c r="BG1442" s="243"/>
      <c r="BH1442" s="243"/>
      <c r="BI1442" s="243"/>
      <c r="BJ1442" s="243"/>
      <c r="BK1442" s="243"/>
      <c r="BL1442" s="243"/>
      <c r="BM1442" s="243"/>
      <c r="BN1442" s="243"/>
      <c r="BO1442" s="243"/>
      <c r="BP1442" s="243"/>
      <c r="BQ1442" s="243"/>
      <c r="BR1442" s="243"/>
      <c r="BS1442" s="243"/>
    </row>
    <row r="1443" spans="1:71" s="12" customFormat="1" ht="41.25" customHeight="1">
      <c r="A1443" s="178" t="s">
        <v>99</v>
      </c>
      <c r="B1443" s="75" t="str">
        <f ca="1">+UPPER(Tabla1321124[[#This Row],[DESCRIPCIÓN DE LA COMPRA O CONTRATACIÓN]])</f>
        <v>ASAS BACTERIOLOGICAS DE ACERO INOXIDAABLE, DE 3MM DE DIAMETRO</v>
      </c>
      <c r="C1443" s="39" t="s">
        <v>1067</v>
      </c>
      <c r="D1443" s="236">
        <f>10+1</f>
        <v>11</v>
      </c>
      <c r="E1443" s="236"/>
      <c r="F1443" s="236"/>
      <c r="G1443" s="236">
        <f>10</f>
        <v>10</v>
      </c>
      <c r="H1443" s="236">
        <f>Tabla1321124[[#This Row],[CUARTO TRIMESTRE]]+Tabla1321124[[#This Row],[TERCER TRIMESTRE]]+Tabla1321124[[#This Row],[SEGUNDO TRIMESTRE]]+Tabla1321124[[#This Row],[PRIMER TRIMESTRE]]</f>
        <v>21</v>
      </c>
      <c r="I1443" s="17">
        <v>200</v>
      </c>
      <c r="J1443" s="17">
        <f>+Tabla1321124[[#This Row],[CANTIDAD TOTAL]]*Tabla1321124[[#This Row],[PRECIO UNITARIO ESTIMADO]]</f>
        <v>4200</v>
      </c>
      <c r="K1443" s="17"/>
      <c r="L1443" s="16" t="s">
        <v>27</v>
      </c>
      <c r="M1443" s="16" t="s">
        <v>22</v>
      </c>
      <c r="N1443" s="16" t="s">
        <v>418</v>
      </c>
      <c r="O1443" s="243"/>
      <c r="P1443" s="243"/>
      <c r="Q1443" s="243"/>
      <c r="R1443" s="243"/>
      <c r="S1443" s="243"/>
      <c r="T1443" s="243"/>
      <c r="U1443" s="243"/>
      <c r="V1443" s="243"/>
      <c r="W1443" s="243"/>
      <c r="X1443" s="243"/>
      <c r="Y1443" s="243"/>
      <c r="Z1443" s="243"/>
      <c r="AA1443" s="243"/>
      <c r="AB1443" s="243"/>
      <c r="AC1443" s="243"/>
      <c r="AD1443" s="243"/>
      <c r="AE1443" s="243"/>
      <c r="AF1443" s="243"/>
      <c r="AG1443" s="243"/>
      <c r="AH1443" s="243"/>
      <c r="AI1443" s="243"/>
      <c r="AJ1443" s="243"/>
      <c r="AK1443" s="243"/>
      <c r="AL1443" s="243"/>
      <c r="AM1443" s="243"/>
      <c r="AN1443" s="243"/>
      <c r="AO1443" s="243"/>
      <c r="AP1443" s="243"/>
      <c r="AQ1443" s="243"/>
      <c r="AR1443" s="243"/>
      <c r="AS1443" s="243"/>
      <c r="AT1443" s="243"/>
      <c r="AU1443" s="243"/>
      <c r="AV1443" s="243"/>
      <c r="AW1443" s="243"/>
      <c r="AX1443" s="243"/>
      <c r="AY1443" s="243"/>
      <c r="AZ1443" s="243"/>
      <c r="BA1443" s="243"/>
      <c r="BB1443" s="243"/>
      <c r="BC1443" s="243"/>
      <c r="BD1443" s="243"/>
      <c r="BE1443" s="243"/>
      <c r="BF1443" s="243"/>
      <c r="BG1443" s="243"/>
      <c r="BH1443" s="243"/>
      <c r="BI1443" s="243"/>
      <c r="BJ1443" s="243"/>
      <c r="BK1443" s="243"/>
      <c r="BL1443" s="243"/>
      <c r="BM1443" s="243"/>
      <c r="BN1443" s="243"/>
      <c r="BO1443" s="243"/>
      <c r="BP1443" s="243"/>
      <c r="BQ1443" s="243"/>
      <c r="BR1443" s="243"/>
      <c r="BS1443" s="243"/>
    </row>
    <row r="1444" spans="1:71" s="12" customFormat="1" ht="41.25" customHeight="1">
      <c r="A1444" s="178" t="s">
        <v>99</v>
      </c>
      <c r="B1444" s="75" t="str">
        <f ca="1">+UPPER(Tabla1321124[[#This Row],[DESCRIPCIÓN DE LA COMPRA O CONTRATACIÓN]])</f>
        <v>ESCOBILLAS PARA LAVAR TUBOS DE CULTIVOS DE 18 X 150 MM, CON PROTECCION DE ALGODÓN</v>
      </c>
      <c r="C1444" s="39" t="s">
        <v>1067</v>
      </c>
      <c r="D1444" s="236">
        <f>20+10</f>
        <v>30</v>
      </c>
      <c r="E1444" s="236">
        <v>10</v>
      </c>
      <c r="F1444" s="236"/>
      <c r="G1444" s="236">
        <f>10</f>
        <v>10</v>
      </c>
      <c r="H1444" s="236">
        <f>Tabla1321124[[#This Row],[CUARTO TRIMESTRE]]+Tabla1321124[[#This Row],[TERCER TRIMESTRE]]+Tabla1321124[[#This Row],[SEGUNDO TRIMESTRE]]+Tabla1321124[[#This Row],[PRIMER TRIMESTRE]]</f>
        <v>50</v>
      </c>
      <c r="I1444" s="17">
        <v>100</v>
      </c>
      <c r="J1444" s="17">
        <f>+Tabla1321124[[#This Row],[CANTIDAD TOTAL]]*Tabla1321124[[#This Row],[PRECIO UNITARIO ESTIMADO]]</f>
        <v>5000</v>
      </c>
      <c r="K1444" s="17"/>
      <c r="L1444" s="16" t="s">
        <v>18</v>
      </c>
      <c r="M1444" s="16" t="s">
        <v>22</v>
      </c>
      <c r="N1444" s="16" t="s">
        <v>418</v>
      </c>
      <c r="O1444" s="243"/>
      <c r="P1444" s="243"/>
      <c r="Q1444" s="243"/>
      <c r="R1444" s="243"/>
      <c r="S1444" s="243"/>
      <c r="T1444" s="243"/>
      <c r="U1444" s="243"/>
      <c r="V1444" s="243"/>
      <c r="W1444" s="243"/>
      <c r="X1444" s="243"/>
      <c r="Y1444" s="243"/>
      <c r="Z1444" s="243"/>
      <c r="AA1444" s="243"/>
      <c r="AB1444" s="243"/>
      <c r="AC1444" s="243"/>
      <c r="AD1444" s="243"/>
      <c r="AE1444" s="243"/>
      <c r="AF1444" s="243"/>
      <c r="AG1444" s="243"/>
      <c r="AH1444" s="243"/>
      <c r="AI1444" s="243"/>
      <c r="AJ1444" s="243"/>
      <c r="AK1444" s="243"/>
      <c r="AL1444" s="243"/>
      <c r="AM1444" s="243"/>
      <c r="AN1444" s="243"/>
      <c r="AO1444" s="243"/>
      <c r="AP1444" s="243"/>
      <c r="AQ1444" s="243"/>
      <c r="AR1444" s="243"/>
      <c r="AS1444" s="243"/>
      <c r="AT1444" s="243"/>
      <c r="AU1444" s="243"/>
      <c r="AV1444" s="243"/>
      <c r="AW1444" s="243"/>
      <c r="AX1444" s="243"/>
      <c r="AY1444" s="243"/>
      <c r="AZ1444" s="243"/>
      <c r="BA1444" s="243"/>
      <c r="BB1444" s="243"/>
      <c r="BC1444" s="243"/>
      <c r="BD1444" s="243"/>
      <c r="BE1444" s="243"/>
      <c r="BF1444" s="243"/>
      <c r="BG1444" s="243"/>
      <c r="BH1444" s="243"/>
      <c r="BI1444" s="243"/>
      <c r="BJ1444" s="243"/>
      <c r="BK1444" s="243"/>
      <c r="BL1444" s="243"/>
      <c r="BM1444" s="243"/>
      <c r="BN1444" s="243"/>
      <c r="BO1444" s="243"/>
      <c r="BP1444" s="243"/>
      <c r="BQ1444" s="243"/>
      <c r="BR1444" s="243"/>
      <c r="BS1444" s="243"/>
    </row>
    <row r="1445" spans="1:71" s="12" customFormat="1" ht="41.25" customHeight="1">
      <c r="A1445" s="178" t="s">
        <v>99</v>
      </c>
      <c r="B1445" s="75" t="str">
        <f ca="1">+UPPER(Tabla1321124[[#This Row],[DESCRIPCIÓN DE LA COMPRA O CONTRATACIÓN]])</f>
        <v>GUANTES DESECHABLES, TAMAÑO SMALL (S)</v>
      </c>
      <c r="C1445" s="39" t="s">
        <v>208</v>
      </c>
      <c r="D1445" s="236">
        <f>10+1</f>
        <v>11</v>
      </c>
      <c r="E1445" s="236"/>
      <c r="F1445" s="236"/>
      <c r="G1445" s="236">
        <f>10</f>
        <v>10</v>
      </c>
      <c r="H1445" s="236">
        <f>Tabla1321124[[#This Row],[CUARTO TRIMESTRE]]+Tabla1321124[[#This Row],[TERCER TRIMESTRE]]+Tabla1321124[[#This Row],[SEGUNDO TRIMESTRE]]+Tabla1321124[[#This Row],[PRIMER TRIMESTRE]]</f>
        <v>21</v>
      </c>
      <c r="I1445" s="17">
        <v>200</v>
      </c>
      <c r="J1445" s="17">
        <f>+Tabla1321124[[#This Row],[CANTIDAD TOTAL]]*Tabla1321124[[#This Row],[PRECIO UNITARIO ESTIMADO]]</f>
        <v>4200</v>
      </c>
      <c r="K1445" s="17"/>
      <c r="L1445" s="16" t="s">
        <v>18</v>
      </c>
      <c r="M1445" s="16" t="s">
        <v>22</v>
      </c>
      <c r="N1445" s="16" t="s">
        <v>418</v>
      </c>
      <c r="O1445" s="243"/>
      <c r="P1445" s="243"/>
      <c r="Q1445" s="243"/>
      <c r="R1445" s="243"/>
      <c r="S1445" s="243"/>
      <c r="T1445" s="243"/>
      <c r="U1445" s="243"/>
      <c r="V1445" s="243"/>
      <c r="W1445" s="243"/>
      <c r="X1445" s="243"/>
      <c r="Y1445" s="243"/>
      <c r="Z1445" s="243"/>
      <c r="AA1445" s="243"/>
      <c r="AB1445" s="243"/>
      <c r="AC1445" s="243"/>
      <c r="AD1445" s="243"/>
      <c r="AE1445" s="243"/>
      <c r="AF1445" s="243"/>
      <c r="AG1445" s="243"/>
      <c r="AH1445" s="243"/>
      <c r="AI1445" s="243"/>
      <c r="AJ1445" s="243"/>
      <c r="AK1445" s="243"/>
      <c r="AL1445" s="243"/>
      <c r="AM1445" s="243"/>
      <c r="AN1445" s="243"/>
      <c r="AO1445" s="243"/>
      <c r="AP1445" s="243"/>
      <c r="AQ1445" s="243"/>
      <c r="AR1445" s="243"/>
      <c r="AS1445" s="243"/>
      <c r="AT1445" s="243"/>
      <c r="AU1445" s="243"/>
      <c r="AV1445" s="243"/>
      <c r="AW1445" s="243"/>
      <c r="AX1445" s="243"/>
      <c r="AY1445" s="243"/>
      <c r="AZ1445" s="243"/>
      <c r="BA1445" s="243"/>
      <c r="BB1445" s="243"/>
      <c r="BC1445" s="243"/>
      <c r="BD1445" s="243"/>
      <c r="BE1445" s="243"/>
      <c r="BF1445" s="243"/>
      <c r="BG1445" s="243"/>
      <c r="BH1445" s="243"/>
      <c r="BI1445" s="243"/>
      <c r="BJ1445" s="243"/>
      <c r="BK1445" s="243"/>
      <c r="BL1445" s="243"/>
      <c r="BM1445" s="243"/>
      <c r="BN1445" s="243"/>
      <c r="BO1445" s="243"/>
      <c r="BP1445" s="243"/>
      <c r="BQ1445" s="243"/>
      <c r="BR1445" s="243"/>
      <c r="BS1445" s="243"/>
    </row>
    <row r="1446" spans="1:71" s="12" customFormat="1" ht="41.25" customHeight="1">
      <c r="A1446" s="178" t="s">
        <v>99</v>
      </c>
      <c r="B1446" s="75" t="str">
        <f ca="1">+UPPER(Tabla1321124[[#This Row],[DESCRIPCIÓN DE LA COMPRA O CONTRATACIÓN]])</f>
        <v>GUANTES DESECHABLES, SIN LATEX, TAMAÑO SMALL (S)</v>
      </c>
      <c r="C1446" s="39" t="s">
        <v>208</v>
      </c>
      <c r="D1446" s="236">
        <f>10+1</f>
        <v>11</v>
      </c>
      <c r="E1446" s="236"/>
      <c r="F1446" s="236"/>
      <c r="G1446" s="236">
        <f>10</f>
        <v>10</v>
      </c>
      <c r="H1446" s="236">
        <f>Tabla1321124[[#This Row],[CUARTO TRIMESTRE]]+Tabla1321124[[#This Row],[TERCER TRIMESTRE]]+Tabla1321124[[#This Row],[SEGUNDO TRIMESTRE]]+Tabla1321124[[#This Row],[PRIMER TRIMESTRE]]</f>
        <v>21</v>
      </c>
      <c r="I1446" s="17">
        <v>200</v>
      </c>
      <c r="J1446" s="17">
        <f>+Tabla1321124[[#This Row],[CANTIDAD TOTAL]]*Tabla1321124[[#This Row],[PRECIO UNITARIO ESTIMADO]]</f>
        <v>4200</v>
      </c>
      <c r="K1446" s="17"/>
      <c r="L1446" s="16" t="s">
        <v>18</v>
      </c>
      <c r="M1446" s="16" t="s">
        <v>22</v>
      </c>
      <c r="N1446" s="16" t="s">
        <v>418</v>
      </c>
      <c r="O1446" s="243"/>
      <c r="P1446" s="243"/>
      <c r="Q1446" s="243"/>
      <c r="R1446" s="243"/>
      <c r="S1446" s="243"/>
      <c r="T1446" s="243"/>
      <c r="U1446" s="243"/>
      <c r="V1446" s="243"/>
      <c r="W1446" s="243"/>
      <c r="X1446" s="243"/>
      <c r="Y1446" s="243"/>
      <c r="Z1446" s="243"/>
      <c r="AA1446" s="243"/>
      <c r="AB1446" s="243"/>
      <c r="AC1446" s="243"/>
      <c r="AD1446" s="243"/>
      <c r="AE1446" s="243"/>
      <c r="AF1446" s="243"/>
      <c r="AG1446" s="243"/>
      <c r="AH1446" s="243"/>
      <c r="AI1446" s="243"/>
      <c r="AJ1446" s="243"/>
      <c r="AK1446" s="243"/>
      <c r="AL1446" s="243"/>
      <c r="AM1446" s="243"/>
      <c r="AN1446" s="243"/>
      <c r="AO1446" s="243"/>
      <c r="AP1446" s="243"/>
      <c r="AQ1446" s="243"/>
      <c r="AR1446" s="243"/>
      <c r="AS1446" s="243"/>
      <c r="AT1446" s="243"/>
      <c r="AU1446" s="243"/>
      <c r="AV1446" s="243"/>
      <c r="AW1446" s="243"/>
      <c r="AX1446" s="243"/>
      <c r="AY1446" s="243"/>
      <c r="AZ1446" s="243"/>
      <c r="BA1446" s="243"/>
      <c r="BB1446" s="243"/>
      <c r="BC1446" s="243"/>
      <c r="BD1446" s="243"/>
      <c r="BE1446" s="243"/>
      <c r="BF1446" s="243"/>
      <c r="BG1446" s="243"/>
      <c r="BH1446" s="243"/>
      <c r="BI1446" s="243"/>
      <c r="BJ1446" s="243"/>
      <c r="BK1446" s="243"/>
      <c r="BL1446" s="243"/>
      <c r="BM1446" s="243"/>
      <c r="BN1446" s="243"/>
      <c r="BO1446" s="243"/>
      <c r="BP1446" s="243"/>
      <c r="BQ1446" s="243"/>
      <c r="BR1446" s="243"/>
      <c r="BS1446" s="243"/>
    </row>
    <row r="1447" spans="1:71" s="12" customFormat="1" ht="41.25" customHeight="1">
      <c r="A1447" s="178" t="s">
        <v>99</v>
      </c>
      <c r="B1447" s="75" t="str">
        <f ca="1">+UPPER(Tabla1321124[[#This Row],[DESCRIPCIÓN DE LA COMPRA O CONTRATACIÓN]])</f>
        <v>MASCARILLAS DESECHABLES, CON AMARRE</v>
      </c>
      <c r="C1447" s="39" t="s">
        <v>208</v>
      </c>
      <c r="D1447" s="236">
        <f>140+3</f>
        <v>143</v>
      </c>
      <c r="E1447" s="236">
        <v>55</v>
      </c>
      <c r="F1447" s="236">
        <v>105</v>
      </c>
      <c r="G1447" s="236">
        <f>60</f>
        <v>60</v>
      </c>
      <c r="H1447" s="236">
        <f>Tabla1321124[[#This Row],[CUARTO TRIMESTRE]]+Tabla1321124[[#This Row],[TERCER TRIMESTRE]]+Tabla1321124[[#This Row],[SEGUNDO TRIMESTRE]]+Tabla1321124[[#This Row],[PRIMER TRIMESTRE]]</f>
        <v>363</v>
      </c>
      <c r="I1447" s="17">
        <v>500</v>
      </c>
      <c r="J1447" s="17">
        <f>+Tabla1321124[[#This Row],[CANTIDAD TOTAL]]*Tabla1321124[[#This Row],[PRECIO UNITARIO ESTIMADO]]</f>
        <v>181500</v>
      </c>
      <c r="K1447" s="17"/>
      <c r="L1447" s="16" t="s">
        <v>18</v>
      </c>
      <c r="M1447" s="16" t="s">
        <v>22</v>
      </c>
      <c r="N1447" s="16" t="s">
        <v>418</v>
      </c>
      <c r="O1447" s="243"/>
      <c r="P1447" s="243"/>
      <c r="Q1447" s="243"/>
      <c r="R1447" s="243"/>
      <c r="S1447" s="243"/>
      <c r="T1447" s="243"/>
      <c r="U1447" s="243"/>
      <c r="V1447" s="243"/>
      <c r="W1447" s="243"/>
      <c r="X1447" s="243"/>
      <c r="Y1447" s="243"/>
      <c r="Z1447" s="243"/>
      <c r="AA1447" s="243"/>
      <c r="AB1447" s="243"/>
      <c r="AC1447" s="243"/>
      <c r="AD1447" s="243"/>
      <c r="AE1447" s="243"/>
      <c r="AF1447" s="243"/>
      <c r="AG1447" s="243"/>
      <c r="AH1447" s="243"/>
      <c r="AI1447" s="243"/>
      <c r="AJ1447" s="243"/>
      <c r="AK1447" s="243"/>
      <c r="AL1447" s="243"/>
      <c r="AM1447" s="243"/>
      <c r="AN1447" s="243"/>
      <c r="AO1447" s="243"/>
      <c r="AP1447" s="243"/>
      <c r="AQ1447" s="243"/>
      <c r="AR1447" s="243"/>
      <c r="AS1447" s="243"/>
      <c r="AT1447" s="243"/>
      <c r="AU1447" s="243"/>
      <c r="AV1447" s="243"/>
      <c r="AW1447" s="243"/>
      <c r="AX1447" s="243"/>
      <c r="AY1447" s="243"/>
      <c r="AZ1447" s="243"/>
      <c r="BA1447" s="243"/>
      <c r="BB1447" s="243"/>
      <c r="BC1447" s="243"/>
      <c r="BD1447" s="243"/>
      <c r="BE1447" s="243"/>
      <c r="BF1447" s="243"/>
      <c r="BG1447" s="243"/>
      <c r="BH1447" s="243"/>
      <c r="BI1447" s="243"/>
      <c r="BJ1447" s="243"/>
      <c r="BK1447" s="243"/>
      <c r="BL1447" s="243"/>
      <c r="BM1447" s="243"/>
      <c r="BN1447" s="243"/>
      <c r="BO1447" s="243"/>
      <c r="BP1447" s="243"/>
      <c r="BQ1447" s="243"/>
      <c r="BR1447" s="243"/>
      <c r="BS1447" s="243"/>
    </row>
    <row r="1448" spans="1:71" s="12" customFormat="1" ht="41.25" customHeight="1">
      <c r="A1448" s="178" t="s">
        <v>99</v>
      </c>
      <c r="B1448" s="75" t="str">
        <f ca="1">+UPPER(Tabla1321124[[#This Row],[DESCRIPCIÓN DE LA COMPRA O CONTRATACIÓN]])</f>
        <v>MASCARILLAS DESECHABLES, PARA OXIGENOS CON AMARRE</v>
      </c>
      <c r="C1448" s="39" t="s">
        <v>208</v>
      </c>
      <c r="D1448" s="236">
        <v>35</v>
      </c>
      <c r="E1448" s="236">
        <v>5</v>
      </c>
      <c r="F1448" s="236">
        <v>5</v>
      </c>
      <c r="G1448" s="236">
        <v>5</v>
      </c>
      <c r="H1448" s="236">
        <f>Tabla1321124[[#This Row],[CUARTO TRIMESTRE]]+Tabla1321124[[#This Row],[TERCER TRIMESTRE]]+Tabla1321124[[#This Row],[SEGUNDO TRIMESTRE]]+Tabla1321124[[#This Row],[PRIMER TRIMESTRE]]</f>
        <v>50</v>
      </c>
      <c r="I1448" s="17">
        <v>500</v>
      </c>
      <c r="J1448" s="17">
        <f>+Tabla1321124[[#This Row],[CANTIDAD TOTAL]]*Tabla1321124[[#This Row],[PRECIO UNITARIO ESTIMADO]]</f>
        <v>25000</v>
      </c>
      <c r="K1448" s="345"/>
      <c r="L1448" s="16" t="s">
        <v>18</v>
      </c>
      <c r="M1448" s="16" t="s">
        <v>22</v>
      </c>
      <c r="N1448" s="16" t="s">
        <v>418</v>
      </c>
      <c r="O1448" s="243"/>
      <c r="P1448" s="243"/>
      <c r="Q1448" s="243"/>
      <c r="R1448" s="243"/>
      <c r="S1448" s="243"/>
      <c r="T1448" s="243"/>
      <c r="U1448" s="243"/>
      <c r="V1448" s="243"/>
      <c r="W1448" s="243"/>
      <c r="X1448" s="243"/>
      <c r="Y1448" s="243"/>
      <c r="Z1448" s="243"/>
      <c r="AA1448" s="243"/>
      <c r="AB1448" s="243"/>
      <c r="AC1448" s="243"/>
      <c r="AD1448" s="243"/>
      <c r="AE1448" s="243"/>
      <c r="AF1448" s="243"/>
      <c r="AG1448" s="243"/>
      <c r="AH1448" s="243"/>
      <c r="AI1448" s="243"/>
      <c r="AJ1448" s="243"/>
      <c r="AK1448" s="243"/>
      <c r="AL1448" s="243"/>
      <c r="AM1448" s="243"/>
      <c r="AN1448" s="243"/>
      <c r="AO1448" s="243"/>
      <c r="AP1448" s="243"/>
      <c r="AQ1448" s="243"/>
      <c r="AR1448" s="243"/>
      <c r="AS1448" s="243"/>
      <c r="AT1448" s="243"/>
      <c r="AU1448" s="243"/>
      <c r="AV1448" s="243"/>
      <c r="AW1448" s="243"/>
      <c r="AX1448" s="243"/>
      <c r="AY1448" s="243"/>
      <c r="AZ1448" s="243"/>
      <c r="BA1448" s="243"/>
      <c r="BB1448" s="243"/>
      <c r="BC1448" s="243"/>
      <c r="BD1448" s="243"/>
      <c r="BE1448" s="243"/>
      <c r="BF1448" s="243"/>
      <c r="BG1448" s="243"/>
      <c r="BH1448" s="243"/>
      <c r="BI1448" s="243"/>
      <c r="BJ1448" s="243"/>
      <c r="BK1448" s="243"/>
      <c r="BL1448" s="243"/>
      <c r="BM1448" s="243"/>
      <c r="BN1448" s="243"/>
      <c r="BO1448" s="243"/>
      <c r="BP1448" s="243"/>
      <c r="BQ1448" s="243"/>
      <c r="BR1448" s="243"/>
      <c r="BS1448" s="243"/>
    </row>
    <row r="1449" spans="1:71" s="12" customFormat="1" ht="41.25" customHeight="1">
      <c r="A1449" s="178" t="s">
        <v>99</v>
      </c>
      <c r="B1449" s="382" t="str">
        <f ca="1">+UPPER(Tabla1321124[[#This Row],[DESCRIPCIÓN DE LA COMPRA O CONTRATACIÓN]])</f>
        <v>ESFINOMANOMATRO DE PARED</v>
      </c>
      <c r="C1449" s="39" t="s">
        <v>1067</v>
      </c>
      <c r="D1449" s="236">
        <v>1</v>
      </c>
      <c r="E1449" s="236"/>
      <c r="F1449" s="236"/>
      <c r="G1449" s="236"/>
      <c r="H1449" s="236">
        <f>Tabla1321124[[#This Row],[CUARTO TRIMESTRE]]+Tabla1321124[[#This Row],[TERCER TRIMESTRE]]+Tabla1321124[[#This Row],[SEGUNDO TRIMESTRE]]+Tabla1321124[[#This Row],[PRIMER TRIMESTRE]]</f>
        <v>1</v>
      </c>
      <c r="I1449" s="17">
        <v>2000</v>
      </c>
      <c r="J1449" s="17">
        <f>+Tabla1321124[[#This Row],[CANTIDAD TOTAL]]*Tabla1321124[[#This Row],[PRECIO UNITARIO ESTIMADO]]</f>
        <v>2000</v>
      </c>
      <c r="K1449" s="345"/>
      <c r="L1449" s="16" t="s">
        <v>18</v>
      </c>
      <c r="M1449" s="16" t="s">
        <v>22</v>
      </c>
      <c r="N1449" s="16" t="s">
        <v>418</v>
      </c>
      <c r="O1449" s="243"/>
      <c r="P1449" s="243"/>
      <c r="Q1449" s="243"/>
      <c r="R1449" s="243"/>
      <c r="S1449" s="243"/>
      <c r="T1449" s="243"/>
      <c r="U1449" s="243"/>
      <c r="V1449" s="243"/>
      <c r="W1449" s="243"/>
      <c r="X1449" s="243"/>
      <c r="Y1449" s="243"/>
      <c r="Z1449" s="243"/>
      <c r="AA1449" s="243"/>
      <c r="AB1449" s="243"/>
      <c r="AC1449" s="243"/>
      <c r="AD1449" s="243"/>
      <c r="AE1449" s="243"/>
      <c r="AF1449" s="243"/>
      <c r="AG1449" s="243"/>
      <c r="AH1449" s="243"/>
      <c r="AI1449" s="243"/>
      <c r="AJ1449" s="243"/>
      <c r="AK1449" s="243"/>
      <c r="AL1449" s="243"/>
      <c r="AM1449" s="243"/>
      <c r="AN1449" s="243"/>
      <c r="AO1449" s="243"/>
      <c r="AP1449" s="243"/>
      <c r="AQ1449" s="243"/>
      <c r="AR1449" s="243"/>
      <c r="AS1449" s="243"/>
      <c r="AT1449" s="243"/>
      <c r="AU1449" s="243"/>
      <c r="AV1449" s="243"/>
      <c r="AW1449" s="243"/>
      <c r="AX1449" s="243"/>
      <c r="AY1449" s="243"/>
      <c r="AZ1449" s="243"/>
      <c r="BA1449" s="243"/>
      <c r="BB1449" s="243"/>
      <c r="BC1449" s="243"/>
      <c r="BD1449" s="243"/>
      <c r="BE1449" s="243"/>
      <c r="BF1449" s="243"/>
      <c r="BG1449" s="243"/>
      <c r="BH1449" s="243"/>
      <c r="BI1449" s="243"/>
      <c r="BJ1449" s="243"/>
      <c r="BK1449" s="243"/>
      <c r="BL1449" s="243"/>
      <c r="BM1449" s="243"/>
      <c r="BN1449" s="243"/>
      <c r="BO1449" s="243"/>
      <c r="BP1449" s="243"/>
      <c r="BQ1449" s="243"/>
      <c r="BR1449" s="243"/>
      <c r="BS1449" s="243"/>
    </row>
    <row r="1450" spans="1:71" s="12" customFormat="1" ht="41.25" customHeight="1">
      <c r="A1450" s="178" t="s">
        <v>99</v>
      </c>
      <c r="B1450" s="382" t="str">
        <f ca="1">+UPPER(Tabla1321124[[#This Row],[DESCRIPCIÓN DE LA COMPRA O CONTRATACIÓN]])</f>
        <v>TIRAS PRUEBAS DE GLUCOSA</v>
      </c>
      <c r="C1450" s="39" t="s">
        <v>1067</v>
      </c>
      <c r="D1450" s="236">
        <v>400</v>
      </c>
      <c r="E1450" s="236">
        <v>200</v>
      </c>
      <c r="F1450" s="236">
        <v>200</v>
      </c>
      <c r="G1450" s="236">
        <v>200</v>
      </c>
      <c r="H1450" s="236">
        <f>Tabla1321124[[#This Row],[CUARTO TRIMESTRE]]+Tabla1321124[[#This Row],[TERCER TRIMESTRE]]+Tabla1321124[[#This Row],[SEGUNDO TRIMESTRE]]+Tabla1321124[[#This Row],[PRIMER TRIMESTRE]]</f>
        <v>1000</v>
      </c>
      <c r="I1450" s="17">
        <v>500</v>
      </c>
      <c r="J1450" s="17">
        <f>+Tabla1321124[[#This Row],[CANTIDAD TOTAL]]*Tabla1321124[[#This Row],[PRECIO UNITARIO ESTIMADO]]</f>
        <v>500000</v>
      </c>
      <c r="K1450" s="345"/>
      <c r="L1450" s="16" t="s">
        <v>18</v>
      </c>
      <c r="M1450" s="16" t="s">
        <v>22</v>
      </c>
      <c r="N1450" s="16" t="s">
        <v>418</v>
      </c>
      <c r="O1450" s="243"/>
      <c r="P1450" s="243"/>
      <c r="Q1450" s="243"/>
      <c r="R1450" s="243"/>
      <c r="S1450" s="243"/>
      <c r="T1450" s="243"/>
      <c r="U1450" s="243"/>
      <c r="V1450" s="243"/>
      <c r="W1450" s="243"/>
      <c r="X1450" s="243"/>
      <c r="Y1450" s="243"/>
      <c r="Z1450" s="243"/>
      <c r="AA1450" s="243"/>
      <c r="AB1450" s="243"/>
      <c r="AC1450" s="243"/>
      <c r="AD1450" s="243"/>
      <c r="AE1450" s="243"/>
      <c r="AF1450" s="243"/>
      <c r="AG1450" s="243"/>
      <c r="AH1450" s="243"/>
      <c r="AI1450" s="243"/>
      <c r="AJ1450" s="243"/>
      <c r="AK1450" s="243"/>
      <c r="AL1450" s="243"/>
      <c r="AM1450" s="243"/>
      <c r="AN1450" s="243"/>
      <c r="AO1450" s="243"/>
      <c r="AP1450" s="243"/>
      <c r="AQ1450" s="243"/>
      <c r="AR1450" s="243"/>
      <c r="AS1450" s="243"/>
      <c r="AT1450" s="243"/>
      <c r="AU1450" s="243"/>
      <c r="AV1450" s="243"/>
      <c r="AW1450" s="243"/>
      <c r="AX1450" s="243"/>
      <c r="AY1450" s="243"/>
      <c r="AZ1450" s="243"/>
      <c r="BA1450" s="243"/>
      <c r="BB1450" s="243"/>
      <c r="BC1450" s="243"/>
      <c r="BD1450" s="243"/>
      <c r="BE1450" s="243"/>
      <c r="BF1450" s="243"/>
      <c r="BG1450" s="243"/>
      <c r="BH1450" s="243"/>
      <c r="BI1450" s="243"/>
      <c r="BJ1450" s="243"/>
      <c r="BK1450" s="243"/>
      <c r="BL1450" s="243"/>
      <c r="BM1450" s="243"/>
      <c r="BN1450" s="243"/>
      <c r="BO1450" s="243"/>
      <c r="BP1450" s="243"/>
      <c r="BQ1450" s="243"/>
      <c r="BR1450" s="243"/>
      <c r="BS1450" s="243"/>
    </row>
    <row r="1451" spans="1:71" s="12" customFormat="1" ht="41.25" customHeight="1">
      <c r="A1451" s="178" t="s">
        <v>99</v>
      </c>
      <c r="B1451" s="382" t="str">
        <f ca="1">+UPPER(Tabla1321124[[#This Row],[DESCRIPCIÓN DE LA COMPRA O CONTRATACIÓN]])</f>
        <v>DEXAMETAZONA 5.2MG EN AMPOLLA</v>
      </c>
      <c r="C1451" s="39" t="s">
        <v>1067</v>
      </c>
      <c r="D1451" s="236">
        <v>400</v>
      </c>
      <c r="E1451" s="236">
        <v>200</v>
      </c>
      <c r="F1451" s="236">
        <v>200</v>
      </c>
      <c r="G1451" s="236">
        <v>200</v>
      </c>
      <c r="H1451" s="236">
        <f>Tabla1321124[[#This Row],[CUARTO TRIMESTRE]]+Tabla1321124[[#This Row],[TERCER TRIMESTRE]]+Tabla1321124[[#This Row],[SEGUNDO TRIMESTRE]]+Tabla1321124[[#This Row],[PRIMER TRIMESTRE]]</f>
        <v>1000</v>
      </c>
      <c r="I1451" s="17">
        <v>10</v>
      </c>
      <c r="J1451" s="17">
        <f>+Tabla1321124[[#This Row],[CANTIDAD TOTAL]]*Tabla1321124[[#This Row],[PRECIO UNITARIO ESTIMADO]]</f>
        <v>10000</v>
      </c>
      <c r="K1451" s="345"/>
      <c r="L1451" s="16" t="s">
        <v>18</v>
      </c>
      <c r="M1451" s="16" t="s">
        <v>22</v>
      </c>
      <c r="N1451" s="16" t="s">
        <v>418</v>
      </c>
      <c r="O1451" s="243"/>
      <c r="P1451" s="243"/>
      <c r="Q1451" s="243"/>
      <c r="R1451" s="243"/>
      <c r="S1451" s="243"/>
      <c r="T1451" s="243"/>
      <c r="U1451" s="243"/>
      <c r="V1451" s="243"/>
      <c r="W1451" s="243"/>
      <c r="X1451" s="243"/>
      <c r="Y1451" s="243"/>
      <c r="Z1451" s="243"/>
      <c r="AA1451" s="243"/>
      <c r="AB1451" s="243"/>
      <c r="AC1451" s="243"/>
      <c r="AD1451" s="243"/>
      <c r="AE1451" s="243"/>
      <c r="AF1451" s="243"/>
      <c r="AG1451" s="243"/>
      <c r="AH1451" s="243"/>
      <c r="AI1451" s="243"/>
      <c r="AJ1451" s="243"/>
      <c r="AK1451" s="243"/>
      <c r="AL1451" s="243"/>
      <c r="AM1451" s="243"/>
      <c r="AN1451" s="243"/>
      <c r="AO1451" s="243"/>
      <c r="AP1451" s="243"/>
      <c r="AQ1451" s="243"/>
      <c r="AR1451" s="243"/>
      <c r="AS1451" s="243"/>
      <c r="AT1451" s="243"/>
      <c r="AU1451" s="243"/>
      <c r="AV1451" s="243"/>
      <c r="AW1451" s="243"/>
      <c r="AX1451" s="243"/>
      <c r="AY1451" s="243"/>
      <c r="AZ1451" s="243"/>
      <c r="BA1451" s="243"/>
      <c r="BB1451" s="243"/>
      <c r="BC1451" s="243"/>
      <c r="BD1451" s="243"/>
      <c r="BE1451" s="243"/>
      <c r="BF1451" s="243"/>
      <c r="BG1451" s="243"/>
      <c r="BH1451" s="243"/>
      <c r="BI1451" s="243"/>
      <c r="BJ1451" s="243"/>
      <c r="BK1451" s="243"/>
      <c r="BL1451" s="243"/>
      <c r="BM1451" s="243"/>
      <c r="BN1451" s="243"/>
      <c r="BO1451" s="243"/>
      <c r="BP1451" s="243"/>
      <c r="BQ1451" s="243"/>
      <c r="BR1451" s="243"/>
      <c r="BS1451" s="243"/>
    </row>
    <row r="1452" spans="1:71" s="12" customFormat="1" ht="41.25" customHeight="1">
      <c r="A1452" s="178" t="s">
        <v>99</v>
      </c>
      <c r="B1452" s="382" t="str">
        <f ca="1">+UPPER(Tabla1321124[[#This Row],[DESCRIPCIÓN DE LA COMPRA O CONTRATACIÓN]])</f>
        <v xml:space="preserve">DICLOFENAC SÓDICO 100MG </v>
      </c>
      <c r="C1452" s="39" t="s">
        <v>1067</v>
      </c>
      <c r="D1452" s="236">
        <v>400</v>
      </c>
      <c r="E1452" s="236">
        <v>200</v>
      </c>
      <c r="F1452" s="236">
        <v>200</v>
      </c>
      <c r="G1452" s="236">
        <v>200</v>
      </c>
      <c r="H1452" s="236">
        <f>Tabla1321124[[#This Row],[CUARTO TRIMESTRE]]+Tabla1321124[[#This Row],[TERCER TRIMESTRE]]+Tabla1321124[[#This Row],[SEGUNDO TRIMESTRE]]+Tabla1321124[[#This Row],[PRIMER TRIMESTRE]]</f>
        <v>1000</v>
      </c>
      <c r="I1452" s="17">
        <v>1.4</v>
      </c>
      <c r="J1452" s="17">
        <f>+Tabla1321124[[#This Row],[CANTIDAD TOTAL]]*Tabla1321124[[#This Row],[PRECIO UNITARIO ESTIMADO]]</f>
        <v>1400</v>
      </c>
      <c r="K1452" s="345"/>
      <c r="L1452" s="16" t="s">
        <v>18</v>
      </c>
      <c r="M1452" s="16" t="s">
        <v>22</v>
      </c>
      <c r="N1452" s="16" t="s">
        <v>418</v>
      </c>
      <c r="O1452" s="243"/>
      <c r="P1452" s="243"/>
      <c r="Q1452" s="243"/>
      <c r="R1452" s="243"/>
      <c r="S1452" s="243"/>
      <c r="T1452" s="243"/>
      <c r="U1452" s="243"/>
      <c r="V1452" s="243"/>
      <c r="W1452" s="243"/>
      <c r="X1452" s="243"/>
      <c r="Y1452" s="243"/>
      <c r="Z1452" s="243"/>
      <c r="AA1452" s="243"/>
      <c r="AB1452" s="243"/>
      <c r="AC1452" s="243"/>
      <c r="AD1452" s="243"/>
      <c r="AE1452" s="243"/>
      <c r="AF1452" s="243"/>
      <c r="AG1452" s="243"/>
      <c r="AH1452" s="243"/>
      <c r="AI1452" s="243"/>
      <c r="AJ1452" s="243"/>
      <c r="AK1452" s="243"/>
      <c r="AL1452" s="243"/>
      <c r="AM1452" s="243"/>
      <c r="AN1452" s="243"/>
      <c r="AO1452" s="243"/>
      <c r="AP1452" s="243"/>
      <c r="AQ1452" s="243"/>
      <c r="AR1452" s="243"/>
      <c r="AS1452" s="243"/>
      <c r="AT1452" s="243"/>
      <c r="AU1452" s="243"/>
      <c r="AV1452" s="243"/>
      <c r="AW1452" s="243"/>
      <c r="AX1452" s="243"/>
      <c r="AY1452" s="243"/>
      <c r="AZ1452" s="243"/>
      <c r="BA1452" s="243"/>
      <c r="BB1452" s="243"/>
      <c r="BC1452" s="243"/>
      <c r="BD1452" s="243"/>
      <c r="BE1452" s="243"/>
      <c r="BF1452" s="243"/>
      <c r="BG1452" s="243"/>
      <c r="BH1452" s="243"/>
      <c r="BI1452" s="243"/>
      <c r="BJ1452" s="243"/>
      <c r="BK1452" s="243"/>
      <c r="BL1452" s="243"/>
      <c r="BM1452" s="243"/>
      <c r="BN1452" s="243"/>
      <c r="BO1452" s="243"/>
      <c r="BP1452" s="243"/>
      <c r="BQ1452" s="243"/>
      <c r="BR1452" s="243"/>
      <c r="BS1452" s="243"/>
    </row>
    <row r="1453" spans="1:71" s="12" customFormat="1" ht="41.25" customHeight="1">
      <c r="A1453" s="178" t="s">
        <v>99</v>
      </c>
      <c r="B1453" s="382" t="str">
        <f ca="1">+UPPER(Tabla1321124[[#This Row],[DESCRIPCIÓN DE LA COMPRA O CONTRATACIÓN]])</f>
        <v>DICLOFENAC EN AMPOLLAS Y PASTILLAS</v>
      </c>
      <c r="C1453" s="39" t="s">
        <v>1067</v>
      </c>
      <c r="D1453" s="236">
        <v>400</v>
      </c>
      <c r="E1453" s="236">
        <v>200</v>
      </c>
      <c r="F1453" s="236">
        <v>200</v>
      </c>
      <c r="G1453" s="236">
        <v>200</v>
      </c>
      <c r="H1453" s="236">
        <f>Tabla1321124[[#This Row],[CUARTO TRIMESTRE]]+Tabla1321124[[#This Row],[TERCER TRIMESTRE]]+Tabla1321124[[#This Row],[SEGUNDO TRIMESTRE]]+Tabla1321124[[#This Row],[PRIMER TRIMESTRE]]</f>
        <v>1000</v>
      </c>
      <c r="I1453" s="17">
        <v>2.4</v>
      </c>
      <c r="J1453" s="17">
        <f>+Tabla1321124[[#This Row],[CANTIDAD TOTAL]]*Tabla1321124[[#This Row],[PRECIO UNITARIO ESTIMADO]]</f>
        <v>2400</v>
      </c>
      <c r="K1453" s="345"/>
      <c r="L1453" s="16" t="s">
        <v>18</v>
      </c>
      <c r="M1453" s="16" t="s">
        <v>22</v>
      </c>
      <c r="N1453" s="16" t="s">
        <v>418</v>
      </c>
      <c r="O1453" s="243"/>
      <c r="P1453" s="243"/>
      <c r="Q1453" s="243"/>
      <c r="R1453" s="243"/>
      <c r="S1453" s="243"/>
      <c r="T1453" s="243"/>
      <c r="U1453" s="243"/>
      <c r="V1453" s="243"/>
      <c r="W1453" s="243"/>
      <c r="X1453" s="243"/>
      <c r="Y1453" s="243"/>
      <c r="Z1453" s="243"/>
      <c r="AA1453" s="243"/>
      <c r="AB1453" s="243"/>
      <c r="AC1453" s="243"/>
      <c r="AD1453" s="243"/>
      <c r="AE1453" s="243"/>
      <c r="AF1453" s="243"/>
      <c r="AG1453" s="243"/>
      <c r="AH1453" s="243"/>
      <c r="AI1453" s="243"/>
      <c r="AJ1453" s="243"/>
      <c r="AK1453" s="243"/>
      <c r="AL1453" s="243"/>
      <c r="AM1453" s="243"/>
      <c r="AN1453" s="243"/>
      <c r="AO1453" s="243"/>
      <c r="AP1453" s="243"/>
      <c r="AQ1453" s="243"/>
      <c r="AR1453" s="243"/>
      <c r="AS1453" s="243"/>
      <c r="AT1453" s="243"/>
      <c r="AU1453" s="243"/>
      <c r="AV1453" s="243"/>
      <c r="AW1453" s="243"/>
      <c r="AX1453" s="243"/>
      <c r="AY1453" s="243"/>
      <c r="AZ1453" s="243"/>
      <c r="BA1453" s="243"/>
      <c r="BB1453" s="243"/>
      <c r="BC1453" s="243"/>
      <c r="BD1453" s="243"/>
      <c r="BE1453" s="243"/>
      <c r="BF1453" s="243"/>
      <c r="BG1453" s="243"/>
      <c r="BH1453" s="243"/>
      <c r="BI1453" s="243"/>
      <c r="BJ1453" s="243"/>
      <c r="BK1453" s="243"/>
      <c r="BL1453" s="243"/>
      <c r="BM1453" s="243"/>
      <c r="BN1453" s="243"/>
      <c r="BO1453" s="243"/>
      <c r="BP1453" s="243"/>
      <c r="BQ1453" s="243"/>
      <c r="BR1453" s="243"/>
      <c r="BS1453" s="243"/>
    </row>
    <row r="1454" spans="1:71" s="12" customFormat="1" ht="41.25" customHeight="1">
      <c r="A1454" s="178" t="s">
        <v>99</v>
      </c>
      <c r="B1454" s="382" t="str">
        <f ca="1">+UPPER(Tabla1321124[[#This Row],[DESCRIPCIÓN DE LA COMPRA O CONTRATACIÓN]])</f>
        <v>OMEPRAZOL 40MG (CAPSULA)</v>
      </c>
      <c r="C1454" s="39" t="s">
        <v>1067</v>
      </c>
      <c r="D1454" s="236">
        <v>200</v>
      </c>
      <c r="E1454" s="236">
        <v>100</v>
      </c>
      <c r="F1454" s="236">
        <v>100</v>
      </c>
      <c r="G1454" s="236">
        <v>100</v>
      </c>
      <c r="H1454" s="236">
        <f>Tabla1321124[[#This Row],[CUARTO TRIMESTRE]]+Tabla1321124[[#This Row],[TERCER TRIMESTRE]]+Tabla1321124[[#This Row],[SEGUNDO TRIMESTRE]]+Tabla1321124[[#This Row],[PRIMER TRIMESTRE]]</f>
        <v>500</v>
      </c>
      <c r="I1454" s="17">
        <v>0.8</v>
      </c>
      <c r="J1454" s="17">
        <f>+Tabla1321124[[#This Row],[CANTIDAD TOTAL]]*Tabla1321124[[#This Row],[PRECIO UNITARIO ESTIMADO]]</f>
        <v>400</v>
      </c>
      <c r="K1454" s="345"/>
      <c r="L1454" s="16" t="s">
        <v>18</v>
      </c>
      <c r="M1454" s="16" t="s">
        <v>22</v>
      </c>
      <c r="N1454" s="16" t="s">
        <v>418</v>
      </c>
      <c r="O1454" s="243"/>
      <c r="P1454" s="243"/>
      <c r="Q1454" s="243"/>
      <c r="R1454" s="243"/>
      <c r="S1454" s="243"/>
      <c r="T1454" s="243"/>
      <c r="U1454" s="243"/>
      <c r="V1454" s="243"/>
      <c r="W1454" s="243"/>
      <c r="X1454" s="243"/>
      <c r="Y1454" s="243"/>
      <c r="Z1454" s="243"/>
      <c r="AA1454" s="243"/>
      <c r="AB1454" s="243"/>
      <c r="AC1454" s="243"/>
      <c r="AD1454" s="243"/>
      <c r="AE1454" s="243"/>
      <c r="AF1454" s="243"/>
      <c r="AG1454" s="243"/>
      <c r="AH1454" s="243"/>
      <c r="AI1454" s="243"/>
      <c r="AJ1454" s="243"/>
      <c r="AK1454" s="243"/>
      <c r="AL1454" s="243"/>
      <c r="AM1454" s="243"/>
      <c r="AN1454" s="243"/>
      <c r="AO1454" s="243"/>
      <c r="AP1454" s="243"/>
      <c r="AQ1454" s="243"/>
      <c r="AR1454" s="243"/>
      <c r="AS1454" s="243"/>
      <c r="AT1454" s="243"/>
      <c r="AU1454" s="243"/>
      <c r="AV1454" s="243"/>
      <c r="AW1454" s="243"/>
      <c r="AX1454" s="243"/>
      <c r="AY1454" s="243"/>
      <c r="AZ1454" s="243"/>
      <c r="BA1454" s="243"/>
      <c r="BB1454" s="243"/>
      <c r="BC1454" s="243"/>
      <c r="BD1454" s="243"/>
      <c r="BE1454" s="243"/>
      <c r="BF1454" s="243"/>
      <c r="BG1454" s="243"/>
      <c r="BH1454" s="243"/>
      <c r="BI1454" s="243"/>
      <c r="BJ1454" s="243"/>
      <c r="BK1454" s="243"/>
      <c r="BL1454" s="243"/>
      <c r="BM1454" s="243"/>
      <c r="BN1454" s="243"/>
      <c r="BO1454" s="243"/>
      <c r="BP1454" s="243"/>
      <c r="BQ1454" s="243"/>
      <c r="BR1454" s="243"/>
      <c r="BS1454" s="243"/>
    </row>
    <row r="1455" spans="1:71" s="12" customFormat="1" ht="41.25" customHeight="1">
      <c r="A1455" s="178" t="s">
        <v>99</v>
      </c>
      <c r="B1455" s="382" t="str">
        <f ca="1">+UPPER(Tabla1321124[[#This Row],[DESCRIPCIÓN DE LA COMPRA O CONTRATACIÓN]])</f>
        <v>ACETAMINOFÉN 500MG</v>
      </c>
      <c r="C1455" s="39" t="s">
        <v>1067</v>
      </c>
      <c r="D1455" s="236">
        <v>400</v>
      </c>
      <c r="E1455" s="236">
        <v>200</v>
      </c>
      <c r="F1455" s="236">
        <v>200</v>
      </c>
      <c r="G1455" s="236">
        <v>200</v>
      </c>
      <c r="H1455" s="236">
        <f>Tabla1321124[[#This Row],[CUARTO TRIMESTRE]]+Tabla1321124[[#This Row],[TERCER TRIMESTRE]]+Tabla1321124[[#This Row],[SEGUNDO TRIMESTRE]]+Tabla1321124[[#This Row],[PRIMER TRIMESTRE]]</f>
        <v>1000</v>
      </c>
      <c r="I1455" s="17">
        <v>0.25</v>
      </c>
      <c r="J1455" s="17">
        <f>+Tabla1321124[[#This Row],[CANTIDAD TOTAL]]*Tabla1321124[[#This Row],[PRECIO UNITARIO ESTIMADO]]</f>
        <v>250</v>
      </c>
      <c r="K1455" s="345"/>
      <c r="L1455" s="16" t="s">
        <v>18</v>
      </c>
      <c r="M1455" s="16" t="s">
        <v>22</v>
      </c>
      <c r="N1455" s="16" t="s">
        <v>418</v>
      </c>
      <c r="O1455" s="243"/>
      <c r="P1455" s="243"/>
      <c r="Q1455" s="243"/>
      <c r="R1455" s="243"/>
      <c r="S1455" s="243"/>
      <c r="T1455" s="243"/>
      <c r="U1455" s="243"/>
      <c r="V1455" s="243"/>
      <c r="W1455" s="243"/>
      <c r="X1455" s="243"/>
      <c r="Y1455" s="243"/>
      <c r="Z1455" s="243"/>
      <c r="AA1455" s="243"/>
      <c r="AB1455" s="243"/>
      <c r="AC1455" s="243"/>
      <c r="AD1455" s="243"/>
      <c r="AE1455" s="243"/>
      <c r="AF1455" s="243"/>
      <c r="AG1455" s="243"/>
      <c r="AH1455" s="243"/>
      <c r="AI1455" s="243"/>
      <c r="AJ1455" s="243"/>
      <c r="AK1455" s="243"/>
      <c r="AL1455" s="243"/>
      <c r="AM1455" s="243"/>
      <c r="AN1455" s="243"/>
      <c r="AO1455" s="243"/>
      <c r="AP1455" s="243"/>
      <c r="AQ1455" s="243"/>
      <c r="AR1455" s="243"/>
      <c r="AS1455" s="243"/>
      <c r="AT1455" s="243"/>
      <c r="AU1455" s="243"/>
      <c r="AV1455" s="243"/>
      <c r="AW1455" s="243"/>
      <c r="AX1455" s="243"/>
      <c r="AY1455" s="243"/>
      <c r="AZ1455" s="243"/>
      <c r="BA1455" s="243"/>
      <c r="BB1455" s="243"/>
      <c r="BC1455" s="243"/>
      <c r="BD1455" s="243"/>
      <c r="BE1455" s="243"/>
      <c r="BF1455" s="243"/>
      <c r="BG1455" s="243"/>
      <c r="BH1455" s="243"/>
      <c r="BI1455" s="243"/>
      <c r="BJ1455" s="243"/>
      <c r="BK1455" s="243"/>
      <c r="BL1455" s="243"/>
      <c r="BM1455" s="243"/>
      <c r="BN1455" s="243"/>
      <c r="BO1455" s="243"/>
      <c r="BP1455" s="243"/>
      <c r="BQ1455" s="243"/>
      <c r="BR1455" s="243"/>
      <c r="BS1455" s="243"/>
    </row>
    <row r="1456" spans="1:71" s="12" customFormat="1" ht="41.25" customHeight="1">
      <c r="A1456" s="178" t="s">
        <v>99</v>
      </c>
      <c r="B1456" s="382" t="str">
        <f ca="1">+UPPER(Tabla1321124[[#This Row],[DESCRIPCIÓN DE LA COMPRA O CONTRATACIÓN]])</f>
        <v>BROMHEXINA</v>
      </c>
      <c r="C1456" s="39" t="s">
        <v>1067</v>
      </c>
      <c r="D1456" s="236">
        <v>350</v>
      </c>
      <c r="E1456" s="236">
        <v>150</v>
      </c>
      <c r="F1456" s="236">
        <v>150</v>
      </c>
      <c r="G1456" s="236">
        <v>150</v>
      </c>
      <c r="H1456" s="236">
        <f>Tabla1321124[[#This Row],[CUARTO TRIMESTRE]]+Tabla1321124[[#This Row],[TERCER TRIMESTRE]]+Tabla1321124[[#This Row],[SEGUNDO TRIMESTRE]]+Tabla1321124[[#This Row],[PRIMER TRIMESTRE]]</f>
        <v>800</v>
      </c>
      <c r="I1456" s="17">
        <v>10</v>
      </c>
      <c r="J1456" s="17">
        <f>+Tabla1321124[[#This Row],[CANTIDAD TOTAL]]*Tabla1321124[[#This Row],[PRECIO UNITARIO ESTIMADO]]</f>
        <v>8000</v>
      </c>
      <c r="K1456" s="345"/>
      <c r="L1456" s="16" t="s">
        <v>18</v>
      </c>
      <c r="M1456" s="16" t="s">
        <v>22</v>
      </c>
      <c r="N1456" s="16" t="s">
        <v>418</v>
      </c>
      <c r="O1456" s="243"/>
      <c r="P1456" s="243"/>
      <c r="Q1456" s="243"/>
      <c r="R1456" s="243"/>
      <c r="S1456" s="243"/>
      <c r="T1456" s="243"/>
      <c r="U1456" s="243"/>
      <c r="V1456" s="243"/>
      <c r="W1456" s="243"/>
      <c r="X1456" s="243"/>
      <c r="Y1456" s="243"/>
      <c r="Z1456" s="243"/>
      <c r="AA1456" s="243"/>
      <c r="AB1456" s="243"/>
      <c r="AC1456" s="243"/>
      <c r="AD1456" s="243"/>
      <c r="AE1456" s="243"/>
      <c r="AF1456" s="243"/>
      <c r="AG1456" s="243"/>
      <c r="AH1456" s="243"/>
      <c r="AI1456" s="243"/>
      <c r="AJ1456" s="243"/>
      <c r="AK1456" s="243"/>
      <c r="AL1456" s="243"/>
      <c r="AM1456" s="243"/>
      <c r="AN1456" s="243"/>
      <c r="AO1456" s="243"/>
      <c r="AP1456" s="243"/>
      <c r="AQ1456" s="243"/>
      <c r="AR1456" s="243"/>
      <c r="AS1456" s="243"/>
      <c r="AT1456" s="243"/>
      <c r="AU1456" s="243"/>
      <c r="AV1456" s="243"/>
      <c r="AW1456" s="243"/>
      <c r="AX1456" s="243"/>
      <c r="AY1456" s="243"/>
      <c r="AZ1456" s="243"/>
      <c r="BA1456" s="243"/>
      <c r="BB1456" s="243"/>
      <c r="BC1456" s="243"/>
      <c r="BD1456" s="243"/>
      <c r="BE1456" s="243"/>
      <c r="BF1456" s="243"/>
      <c r="BG1456" s="243"/>
      <c r="BH1456" s="243"/>
      <c r="BI1456" s="243"/>
      <c r="BJ1456" s="243"/>
      <c r="BK1456" s="243"/>
      <c r="BL1456" s="243"/>
      <c r="BM1456" s="243"/>
      <c r="BN1456" s="243"/>
      <c r="BO1456" s="243"/>
      <c r="BP1456" s="243"/>
      <c r="BQ1456" s="243"/>
      <c r="BR1456" s="243"/>
      <c r="BS1456" s="243"/>
    </row>
    <row r="1457" spans="1:71" s="12" customFormat="1" ht="41.25" customHeight="1">
      <c r="A1457" s="178" t="s">
        <v>99</v>
      </c>
      <c r="B1457" s="382" t="str">
        <f ca="1">+UPPER(Tabla1321124[[#This Row],[DESCRIPCIÓN DE LA COMPRA O CONTRATACIÓN]])</f>
        <v>AMOXICILINA 500MG (CAPSULA)</v>
      </c>
      <c r="C1457" s="39" t="s">
        <v>1067</v>
      </c>
      <c r="D1457" s="236">
        <v>400</v>
      </c>
      <c r="E1457" s="236">
        <v>200</v>
      </c>
      <c r="F1457" s="236">
        <v>200</v>
      </c>
      <c r="G1457" s="236">
        <v>200</v>
      </c>
      <c r="H1457" s="236">
        <f>Tabla1321124[[#This Row],[CUARTO TRIMESTRE]]+Tabla1321124[[#This Row],[TERCER TRIMESTRE]]+Tabla1321124[[#This Row],[SEGUNDO TRIMESTRE]]+Tabla1321124[[#This Row],[PRIMER TRIMESTRE]]</f>
        <v>1000</v>
      </c>
      <c r="I1457" s="17">
        <v>1</v>
      </c>
      <c r="J1457" s="17">
        <f>+Tabla1321124[[#This Row],[CANTIDAD TOTAL]]*Tabla1321124[[#This Row],[PRECIO UNITARIO ESTIMADO]]</f>
        <v>1000</v>
      </c>
      <c r="K1457" s="345"/>
      <c r="L1457" s="16" t="s">
        <v>18</v>
      </c>
      <c r="M1457" s="16" t="s">
        <v>22</v>
      </c>
      <c r="N1457" s="16" t="s">
        <v>418</v>
      </c>
      <c r="O1457" s="243"/>
      <c r="P1457" s="243"/>
      <c r="Q1457" s="243"/>
      <c r="R1457" s="243"/>
      <c r="S1457" s="243"/>
      <c r="T1457" s="243"/>
      <c r="U1457" s="243"/>
      <c r="V1457" s="243"/>
      <c r="W1457" s="243"/>
      <c r="X1457" s="243"/>
      <c r="Y1457" s="243"/>
      <c r="Z1457" s="243"/>
      <c r="AA1457" s="243"/>
      <c r="AB1457" s="243"/>
      <c r="AC1457" s="243"/>
      <c r="AD1457" s="243"/>
      <c r="AE1457" s="243"/>
      <c r="AF1457" s="243"/>
      <c r="AG1457" s="243"/>
      <c r="AH1457" s="243"/>
      <c r="AI1457" s="243"/>
      <c r="AJ1457" s="243"/>
      <c r="AK1457" s="243"/>
      <c r="AL1457" s="243"/>
      <c r="AM1457" s="243"/>
      <c r="AN1457" s="243"/>
      <c r="AO1457" s="243"/>
      <c r="AP1457" s="243"/>
      <c r="AQ1457" s="243"/>
      <c r="AR1457" s="243"/>
      <c r="AS1457" s="243"/>
      <c r="AT1457" s="243"/>
      <c r="AU1457" s="243"/>
      <c r="AV1457" s="243"/>
      <c r="AW1457" s="243"/>
      <c r="AX1457" s="243"/>
      <c r="AY1457" s="243"/>
      <c r="AZ1457" s="243"/>
      <c r="BA1457" s="243"/>
      <c r="BB1457" s="243"/>
      <c r="BC1457" s="243"/>
      <c r="BD1457" s="243"/>
      <c r="BE1457" s="243"/>
      <c r="BF1457" s="243"/>
      <c r="BG1457" s="243"/>
      <c r="BH1457" s="243"/>
      <c r="BI1457" s="243"/>
      <c r="BJ1457" s="243"/>
      <c r="BK1457" s="243"/>
      <c r="BL1457" s="243"/>
      <c r="BM1457" s="243"/>
      <c r="BN1457" s="243"/>
      <c r="BO1457" s="243"/>
      <c r="BP1457" s="243"/>
      <c r="BQ1457" s="243"/>
      <c r="BR1457" s="243"/>
      <c r="BS1457" s="243"/>
    </row>
    <row r="1458" spans="1:71" s="12" customFormat="1" ht="41.25" customHeight="1">
      <c r="A1458" s="178" t="s">
        <v>99</v>
      </c>
      <c r="B1458" s="382" t="str">
        <f ca="1">+UPPER(Tabla1321124[[#This Row],[DESCRIPCIÓN DE LA COMPRA O CONTRATACIÓN]])</f>
        <v>CIPROFLOXACINA 500MG (TABLETAS)</v>
      </c>
      <c r="C1458" s="39" t="s">
        <v>1067</v>
      </c>
      <c r="D1458" s="236">
        <v>400</v>
      </c>
      <c r="E1458" s="236">
        <v>200</v>
      </c>
      <c r="F1458" s="236">
        <v>200</v>
      </c>
      <c r="G1458" s="236">
        <v>200</v>
      </c>
      <c r="H1458" s="236">
        <f>Tabla1321124[[#This Row],[CUARTO TRIMESTRE]]+Tabla1321124[[#This Row],[TERCER TRIMESTRE]]+Tabla1321124[[#This Row],[SEGUNDO TRIMESTRE]]+Tabla1321124[[#This Row],[PRIMER TRIMESTRE]]</f>
        <v>1000</v>
      </c>
      <c r="I1458" s="17">
        <v>1.4</v>
      </c>
      <c r="J1458" s="17">
        <f>+Tabla1321124[[#This Row],[CANTIDAD TOTAL]]*Tabla1321124[[#This Row],[PRECIO UNITARIO ESTIMADO]]</f>
        <v>1400</v>
      </c>
      <c r="K1458" s="345"/>
      <c r="L1458" s="16" t="s">
        <v>18</v>
      </c>
      <c r="M1458" s="16" t="s">
        <v>22</v>
      </c>
      <c r="N1458" s="16" t="s">
        <v>418</v>
      </c>
      <c r="O1458" s="243"/>
      <c r="P1458" s="243"/>
      <c r="Q1458" s="243"/>
      <c r="R1458" s="243"/>
      <c r="S1458" s="243"/>
      <c r="T1458" s="243"/>
      <c r="U1458" s="243"/>
      <c r="V1458" s="243"/>
      <c r="W1458" s="243"/>
      <c r="X1458" s="243"/>
      <c r="Y1458" s="243"/>
      <c r="Z1458" s="243"/>
      <c r="AA1458" s="243"/>
      <c r="AB1458" s="243"/>
      <c r="AC1458" s="243"/>
      <c r="AD1458" s="243"/>
      <c r="AE1458" s="243"/>
      <c r="AF1458" s="243"/>
      <c r="AG1458" s="243"/>
      <c r="AH1458" s="243"/>
      <c r="AI1458" s="243"/>
      <c r="AJ1458" s="243"/>
      <c r="AK1458" s="243"/>
      <c r="AL1458" s="243"/>
      <c r="AM1458" s="243"/>
      <c r="AN1458" s="243"/>
      <c r="AO1458" s="243"/>
      <c r="AP1458" s="243"/>
      <c r="AQ1458" s="243"/>
      <c r="AR1458" s="243"/>
      <c r="AS1458" s="243"/>
      <c r="AT1458" s="243"/>
      <c r="AU1458" s="243"/>
      <c r="AV1458" s="243"/>
      <c r="AW1458" s="243"/>
      <c r="AX1458" s="243"/>
      <c r="AY1458" s="243"/>
      <c r="AZ1458" s="243"/>
      <c r="BA1458" s="243"/>
      <c r="BB1458" s="243"/>
      <c r="BC1458" s="243"/>
      <c r="BD1458" s="243"/>
      <c r="BE1458" s="243"/>
      <c r="BF1458" s="243"/>
      <c r="BG1458" s="243"/>
      <c r="BH1458" s="243"/>
      <c r="BI1458" s="243"/>
      <c r="BJ1458" s="243"/>
      <c r="BK1458" s="243"/>
      <c r="BL1458" s="243"/>
      <c r="BM1458" s="243"/>
      <c r="BN1458" s="243"/>
      <c r="BO1458" s="243"/>
      <c r="BP1458" s="243"/>
      <c r="BQ1458" s="243"/>
      <c r="BR1458" s="243"/>
      <c r="BS1458" s="243"/>
    </row>
    <row r="1459" spans="1:71" s="12" customFormat="1" ht="41.25" customHeight="1">
      <c r="A1459" s="178" t="s">
        <v>99</v>
      </c>
      <c r="B1459" s="382" t="str">
        <f ca="1">+UPPER(Tabla1321124[[#This Row],[DESCRIPCIÓN DE LA COMPRA O CONTRATACIÓN]])</f>
        <v>DIFENAMINA TABLETAS DE 25MG (COMPRIMIDOS)</v>
      </c>
      <c r="C1459" s="39" t="s">
        <v>1067</v>
      </c>
      <c r="D1459" s="236">
        <v>400</v>
      </c>
      <c r="E1459" s="236">
        <v>200</v>
      </c>
      <c r="F1459" s="236">
        <v>200</v>
      </c>
      <c r="G1459" s="236">
        <v>200</v>
      </c>
      <c r="H1459" s="236">
        <f>Tabla1321124[[#This Row],[CUARTO TRIMESTRE]]+Tabla1321124[[#This Row],[TERCER TRIMESTRE]]+Tabla1321124[[#This Row],[SEGUNDO TRIMESTRE]]+Tabla1321124[[#This Row],[PRIMER TRIMESTRE]]</f>
        <v>1000</v>
      </c>
      <c r="I1459" s="17">
        <v>0.3</v>
      </c>
      <c r="J1459" s="17">
        <f>+Tabla1321124[[#This Row],[CANTIDAD TOTAL]]*Tabla1321124[[#This Row],[PRECIO UNITARIO ESTIMADO]]</f>
        <v>300</v>
      </c>
      <c r="K1459" s="345"/>
      <c r="L1459" s="16" t="s">
        <v>18</v>
      </c>
      <c r="M1459" s="16" t="s">
        <v>22</v>
      </c>
      <c r="N1459" s="16" t="s">
        <v>418</v>
      </c>
      <c r="O1459" s="243"/>
      <c r="P1459" s="243"/>
      <c r="Q1459" s="243"/>
      <c r="R1459" s="243"/>
      <c r="S1459" s="243"/>
      <c r="T1459" s="243"/>
      <c r="U1459" s="243"/>
      <c r="V1459" s="243"/>
      <c r="W1459" s="243"/>
      <c r="X1459" s="243"/>
      <c r="Y1459" s="243"/>
      <c r="Z1459" s="243"/>
      <c r="AA1459" s="243"/>
      <c r="AB1459" s="243"/>
      <c r="AC1459" s="243"/>
      <c r="AD1459" s="243"/>
      <c r="AE1459" s="243"/>
      <c r="AF1459" s="243"/>
      <c r="AG1459" s="243"/>
      <c r="AH1459" s="243"/>
      <c r="AI1459" s="243"/>
      <c r="AJ1459" s="243"/>
      <c r="AK1459" s="243"/>
      <c r="AL1459" s="243"/>
      <c r="AM1459" s="243"/>
      <c r="AN1459" s="243"/>
      <c r="AO1459" s="243"/>
      <c r="AP1459" s="243"/>
      <c r="AQ1459" s="243"/>
      <c r="AR1459" s="243"/>
      <c r="AS1459" s="243"/>
      <c r="AT1459" s="243"/>
      <c r="AU1459" s="243"/>
      <c r="AV1459" s="243"/>
      <c r="AW1459" s="243"/>
      <c r="AX1459" s="243"/>
      <c r="AY1459" s="243"/>
      <c r="AZ1459" s="243"/>
      <c r="BA1459" s="243"/>
      <c r="BB1459" s="243"/>
      <c r="BC1459" s="243"/>
      <c r="BD1459" s="243"/>
      <c r="BE1459" s="243"/>
      <c r="BF1459" s="243"/>
      <c r="BG1459" s="243"/>
      <c r="BH1459" s="243"/>
      <c r="BI1459" s="243"/>
      <c r="BJ1459" s="243"/>
      <c r="BK1459" s="243"/>
      <c r="BL1459" s="243"/>
      <c r="BM1459" s="243"/>
      <c r="BN1459" s="243"/>
      <c r="BO1459" s="243"/>
      <c r="BP1459" s="243"/>
      <c r="BQ1459" s="243"/>
      <c r="BR1459" s="243"/>
      <c r="BS1459" s="243"/>
    </row>
    <row r="1460" spans="1:71" s="12" customFormat="1" ht="41.25" customHeight="1">
      <c r="A1460" s="178" t="s">
        <v>99</v>
      </c>
      <c r="B1460" s="382" t="str">
        <f ca="1">+UPPER(Tabla1321124[[#This Row],[DESCRIPCIÓN DE LA COMPRA O CONTRATACIÓN]])</f>
        <v>CAPTROPIL 50MG (COMPRIMIDOS)</v>
      </c>
      <c r="C1460" s="39" t="s">
        <v>1067</v>
      </c>
      <c r="D1460" s="236">
        <v>400</v>
      </c>
      <c r="E1460" s="236">
        <v>200</v>
      </c>
      <c r="F1460" s="236">
        <v>200</v>
      </c>
      <c r="G1460" s="236">
        <v>200</v>
      </c>
      <c r="H1460" s="236">
        <f>Tabla1321124[[#This Row],[CUARTO TRIMESTRE]]+Tabla1321124[[#This Row],[TERCER TRIMESTRE]]+Tabla1321124[[#This Row],[SEGUNDO TRIMESTRE]]+Tabla1321124[[#This Row],[PRIMER TRIMESTRE]]</f>
        <v>1000</v>
      </c>
      <c r="I1460" s="17">
        <v>1</v>
      </c>
      <c r="J1460" s="17">
        <f>+Tabla1321124[[#This Row],[CANTIDAD TOTAL]]*Tabla1321124[[#This Row],[PRECIO UNITARIO ESTIMADO]]</f>
        <v>1000</v>
      </c>
      <c r="K1460" s="345"/>
      <c r="L1460" s="16" t="s">
        <v>18</v>
      </c>
      <c r="M1460" s="16" t="s">
        <v>22</v>
      </c>
      <c r="N1460" s="16" t="s">
        <v>418</v>
      </c>
      <c r="O1460" s="243"/>
      <c r="P1460" s="243"/>
      <c r="Q1460" s="243"/>
      <c r="R1460" s="243"/>
      <c r="S1460" s="243"/>
      <c r="T1460" s="243"/>
      <c r="U1460" s="243"/>
      <c r="V1460" s="243"/>
      <c r="W1460" s="243"/>
      <c r="X1460" s="243"/>
      <c r="Y1460" s="243"/>
      <c r="Z1460" s="243"/>
      <c r="AA1460" s="243"/>
      <c r="AB1460" s="243"/>
      <c r="AC1460" s="243"/>
      <c r="AD1460" s="243"/>
      <c r="AE1460" s="243"/>
      <c r="AF1460" s="243"/>
      <c r="AG1460" s="243"/>
      <c r="AH1460" s="243"/>
      <c r="AI1460" s="243"/>
      <c r="AJ1460" s="243"/>
      <c r="AK1460" s="243"/>
      <c r="AL1460" s="243"/>
      <c r="AM1460" s="243"/>
      <c r="AN1460" s="243"/>
      <c r="AO1460" s="243"/>
      <c r="AP1460" s="243"/>
      <c r="AQ1460" s="243"/>
      <c r="AR1460" s="243"/>
      <c r="AS1460" s="243"/>
      <c r="AT1460" s="243"/>
      <c r="AU1460" s="243"/>
      <c r="AV1460" s="243"/>
      <c r="AW1460" s="243"/>
      <c r="AX1460" s="243"/>
      <c r="AY1460" s="243"/>
      <c r="AZ1460" s="243"/>
      <c r="BA1460" s="243"/>
      <c r="BB1460" s="243"/>
      <c r="BC1460" s="243"/>
      <c r="BD1460" s="243"/>
      <c r="BE1460" s="243"/>
      <c r="BF1460" s="243"/>
      <c r="BG1460" s="243"/>
      <c r="BH1460" s="243"/>
      <c r="BI1460" s="243"/>
      <c r="BJ1460" s="243"/>
      <c r="BK1460" s="243"/>
      <c r="BL1460" s="243"/>
      <c r="BM1460" s="243"/>
      <c r="BN1460" s="243"/>
      <c r="BO1460" s="243"/>
      <c r="BP1460" s="243"/>
      <c r="BQ1460" s="243"/>
      <c r="BR1460" s="243"/>
      <c r="BS1460" s="243"/>
    </row>
    <row r="1461" spans="1:71" s="12" customFormat="1" ht="41.25" customHeight="1">
      <c r="A1461" s="178" t="s">
        <v>99</v>
      </c>
      <c r="B1461" s="382" t="str">
        <f ca="1">+UPPER(Tabla1321124[[#This Row],[DESCRIPCIÓN DE LA COMPRA O CONTRATACIÓN]])</f>
        <v>ACIDO CLAVULAMICO (COMPRIMIDOS)</v>
      </c>
      <c r="C1461" s="39" t="s">
        <v>1067</v>
      </c>
      <c r="D1461" s="236">
        <v>400</v>
      </c>
      <c r="E1461" s="236">
        <v>100</v>
      </c>
      <c r="F1461" s="236">
        <v>100</v>
      </c>
      <c r="G1461" s="236">
        <v>100</v>
      </c>
      <c r="H1461" s="236">
        <f>Tabla1321124[[#This Row],[CUARTO TRIMESTRE]]+Tabla1321124[[#This Row],[TERCER TRIMESTRE]]+Tabla1321124[[#This Row],[SEGUNDO TRIMESTRE]]+Tabla1321124[[#This Row],[PRIMER TRIMESTRE]]</f>
        <v>700</v>
      </c>
      <c r="I1461" s="17">
        <v>6</v>
      </c>
      <c r="J1461" s="17">
        <f>+Tabla1321124[[#This Row],[CANTIDAD TOTAL]]*Tabla1321124[[#This Row],[PRECIO UNITARIO ESTIMADO]]</f>
        <v>4200</v>
      </c>
      <c r="K1461" s="345"/>
      <c r="L1461" s="16" t="s">
        <v>18</v>
      </c>
      <c r="M1461" s="16" t="s">
        <v>22</v>
      </c>
      <c r="N1461" s="16" t="s">
        <v>418</v>
      </c>
      <c r="O1461" s="243"/>
      <c r="P1461" s="243"/>
      <c r="Q1461" s="243"/>
      <c r="R1461" s="243"/>
      <c r="S1461" s="243"/>
      <c r="T1461" s="243"/>
      <c r="U1461" s="243"/>
      <c r="V1461" s="243"/>
      <c r="W1461" s="243"/>
      <c r="X1461" s="243"/>
      <c r="Y1461" s="243"/>
      <c r="Z1461" s="243"/>
      <c r="AA1461" s="243"/>
      <c r="AB1461" s="243"/>
      <c r="AC1461" s="243"/>
      <c r="AD1461" s="243"/>
      <c r="AE1461" s="243"/>
      <c r="AF1461" s="243"/>
      <c r="AG1461" s="243"/>
      <c r="AH1461" s="243"/>
      <c r="AI1461" s="243"/>
      <c r="AJ1461" s="243"/>
      <c r="AK1461" s="243"/>
      <c r="AL1461" s="243"/>
      <c r="AM1461" s="243"/>
      <c r="AN1461" s="243"/>
      <c r="AO1461" s="243"/>
      <c r="AP1461" s="243"/>
      <c r="AQ1461" s="243"/>
      <c r="AR1461" s="243"/>
      <c r="AS1461" s="243"/>
      <c r="AT1461" s="243"/>
      <c r="AU1461" s="243"/>
      <c r="AV1461" s="243"/>
      <c r="AW1461" s="243"/>
      <c r="AX1461" s="243"/>
      <c r="AY1461" s="243"/>
      <c r="AZ1461" s="243"/>
      <c r="BA1461" s="243"/>
      <c r="BB1461" s="243"/>
      <c r="BC1461" s="243"/>
      <c r="BD1461" s="243"/>
      <c r="BE1461" s="243"/>
      <c r="BF1461" s="243"/>
      <c r="BG1461" s="243"/>
      <c r="BH1461" s="243"/>
      <c r="BI1461" s="243"/>
      <c r="BJ1461" s="243"/>
      <c r="BK1461" s="243"/>
      <c r="BL1461" s="243"/>
      <c r="BM1461" s="243"/>
      <c r="BN1461" s="243"/>
      <c r="BO1461" s="243"/>
      <c r="BP1461" s="243"/>
      <c r="BQ1461" s="243"/>
      <c r="BR1461" s="243"/>
      <c r="BS1461" s="243"/>
    </row>
    <row r="1462" spans="1:71" s="12" customFormat="1" ht="41.25" customHeight="1">
      <c r="A1462" s="178" t="s">
        <v>99</v>
      </c>
      <c r="B1462" s="382" t="str">
        <f ca="1">+UPPER(Tabla1321124[[#This Row],[DESCRIPCIÓN DE LA COMPRA O CONTRATACIÓN]])</f>
        <v>PENICILINA BENZATINICA 2.4</v>
      </c>
      <c r="C1462" s="39" t="s">
        <v>1067</v>
      </c>
      <c r="D1462" s="236">
        <v>400</v>
      </c>
      <c r="E1462" s="236">
        <v>100</v>
      </c>
      <c r="F1462" s="236">
        <v>100</v>
      </c>
      <c r="G1462" s="236">
        <v>100</v>
      </c>
      <c r="H1462" s="236">
        <f>Tabla1321124[[#This Row],[CUARTO TRIMESTRE]]+Tabla1321124[[#This Row],[TERCER TRIMESTRE]]+Tabla1321124[[#This Row],[SEGUNDO TRIMESTRE]]+Tabla1321124[[#This Row],[PRIMER TRIMESTRE]]</f>
        <v>700</v>
      </c>
      <c r="I1462" s="17">
        <v>15</v>
      </c>
      <c r="J1462" s="17">
        <f>+Tabla1321124[[#This Row],[CANTIDAD TOTAL]]*Tabla1321124[[#This Row],[PRECIO UNITARIO ESTIMADO]]</f>
        <v>10500</v>
      </c>
      <c r="K1462" s="345"/>
      <c r="L1462" s="16" t="s">
        <v>18</v>
      </c>
      <c r="M1462" s="16" t="s">
        <v>22</v>
      </c>
      <c r="N1462" s="16" t="s">
        <v>418</v>
      </c>
      <c r="O1462" s="243"/>
      <c r="P1462" s="243"/>
      <c r="Q1462" s="243"/>
      <c r="R1462" s="243"/>
      <c r="S1462" s="243"/>
      <c r="T1462" s="243"/>
      <c r="U1462" s="243"/>
      <c r="V1462" s="243"/>
      <c r="W1462" s="243"/>
      <c r="X1462" s="243"/>
      <c r="Y1462" s="243"/>
      <c r="Z1462" s="243"/>
      <c r="AA1462" s="243"/>
      <c r="AB1462" s="243"/>
      <c r="AC1462" s="243"/>
      <c r="AD1462" s="243"/>
      <c r="AE1462" s="243"/>
      <c r="AF1462" s="243"/>
      <c r="AG1462" s="243"/>
      <c r="AH1462" s="243"/>
      <c r="AI1462" s="243"/>
      <c r="AJ1462" s="243"/>
      <c r="AK1462" s="243"/>
      <c r="AL1462" s="243"/>
      <c r="AM1462" s="243"/>
      <c r="AN1462" s="243"/>
      <c r="AO1462" s="243"/>
      <c r="AP1462" s="243"/>
      <c r="AQ1462" s="243"/>
      <c r="AR1462" s="243"/>
      <c r="AS1462" s="243"/>
      <c r="AT1462" s="243"/>
      <c r="AU1462" s="243"/>
      <c r="AV1462" s="243"/>
      <c r="AW1462" s="243"/>
      <c r="AX1462" s="243"/>
      <c r="AY1462" s="243"/>
      <c r="AZ1462" s="243"/>
      <c r="BA1462" s="243"/>
      <c r="BB1462" s="243"/>
      <c r="BC1462" s="243"/>
      <c r="BD1462" s="243"/>
      <c r="BE1462" s="243"/>
      <c r="BF1462" s="243"/>
      <c r="BG1462" s="243"/>
      <c r="BH1462" s="243"/>
      <c r="BI1462" s="243"/>
      <c r="BJ1462" s="243"/>
      <c r="BK1462" s="243"/>
      <c r="BL1462" s="243"/>
      <c r="BM1462" s="243"/>
      <c r="BN1462" s="243"/>
      <c r="BO1462" s="243"/>
      <c r="BP1462" s="243"/>
      <c r="BQ1462" s="243"/>
      <c r="BR1462" s="243"/>
      <c r="BS1462" s="243"/>
    </row>
    <row r="1463" spans="1:71" s="12" customFormat="1" ht="41.25" customHeight="1">
      <c r="A1463" s="178" t="s">
        <v>99</v>
      </c>
      <c r="B1463" s="382" t="str">
        <f ca="1">+UPPER(Tabla1321124[[#This Row],[DESCRIPCIÓN DE LA COMPRA O CONTRATACIÓN]])</f>
        <v>FENDRAMIN DE 10MG/ML AMPOLLA</v>
      </c>
      <c r="C1463" s="39" t="s">
        <v>1067</v>
      </c>
      <c r="D1463" s="236">
        <v>400</v>
      </c>
      <c r="E1463" s="236">
        <v>200</v>
      </c>
      <c r="F1463" s="236">
        <v>200</v>
      </c>
      <c r="G1463" s="236">
        <v>200</v>
      </c>
      <c r="H1463" s="236">
        <f>Tabla1321124[[#This Row],[CUARTO TRIMESTRE]]+Tabla1321124[[#This Row],[TERCER TRIMESTRE]]+Tabla1321124[[#This Row],[SEGUNDO TRIMESTRE]]+Tabla1321124[[#This Row],[PRIMER TRIMESTRE]]</f>
        <v>1000</v>
      </c>
      <c r="I1463" s="17">
        <v>5</v>
      </c>
      <c r="J1463" s="17">
        <f>+Tabla1321124[[#This Row],[CANTIDAD TOTAL]]*Tabla1321124[[#This Row],[PRECIO UNITARIO ESTIMADO]]</f>
        <v>5000</v>
      </c>
      <c r="K1463" s="345"/>
      <c r="L1463" s="16" t="s">
        <v>18</v>
      </c>
      <c r="M1463" s="16" t="s">
        <v>22</v>
      </c>
      <c r="N1463" s="16" t="s">
        <v>418</v>
      </c>
      <c r="O1463" s="243"/>
      <c r="P1463" s="243"/>
      <c r="Q1463" s="243"/>
      <c r="R1463" s="243"/>
      <c r="S1463" s="243"/>
      <c r="T1463" s="243"/>
      <c r="U1463" s="243"/>
      <c r="V1463" s="243"/>
      <c r="W1463" s="243"/>
      <c r="X1463" s="243"/>
      <c r="Y1463" s="243"/>
      <c r="Z1463" s="243"/>
      <c r="AA1463" s="243"/>
      <c r="AB1463" s="243"/>
      <c r="AC1463" s="243"/>
      <c r="AD1463" s="243"/>
      <c r="AE1463" s="243"/>
      <c r="AF1463" s="243"/>
      <c r="AG1463" s="243"/>
      <c r="AH1463" s="243"/>
      <c r="AI1463" s="243"/>
      <c r="AJ1463" s="243"/>
      <c r="AK1463" s="243"/>
      <c r="AL1463" s="243"/>
      <c r="AM1463" s="243"/>
      <c r="AN1463" s="243"/>
      <c r="AO1463" s="243"/>
      <c r="AP1463" s="243"/>
      <c r="AQ1463" s="243"/>
      <c r="AR1463" s="243"/>
      <c r="AS1463" s="243"/>
      <c r="AT1463" s="243"/>
      <c r="AU1463" s="243"/>
      <c r="AV1463" s="243"/>
      <c r="AW1463" s="243"/>
      <c r="AX1463" s="243"/>
      <c r="AY1463" s="243"/>
      <c r="AZ1463" s="243"/>
      <c r="BA1463" s="243"/>
      <c r="BB1463" s="243"/>
      <c r="BC1463" s="243"/>
      <c r="BD1463" s="243"/>
      <c r="BE1463" s="243"/>
      <c r="BF1463" s="243"/>
      <c r="BG1463" s="243"/>
      <c r="BH1463" s="243"/>
      <c r="BI1463" s="243"/>
      <c r="BJ1463" s="243"/>
      <c r="BK1463" s="243"/>
      <c r="BL1463" s="243"/>
      <c r="BM1463" s="243"/>
      <c r="BN1463" s="243"/>
      <c r="BO1463" s="243"/>
      <c r="BP1463" s="243"/>
      <c r="BQ1463" s="243"/>
      <c r="BR1463" s="243"/>
      <c r="BS1463" s="243"/>
    </row>
    <row r="1464" spans="1:71" s="12" customFormat="1" ht="41.25" customHeight="1">
      <c r="A1464" s="178" t="s">
        <v>99</v>
      </c>
      <c r="B1464" s="382" t="str">
        <f ca="1">+UPPER(Tabla1321124[[#This Row],[DESCRIPCIÓN DE LA COMPRA O CONTRATACIÓN]])</f>
        <v>FUROSEMIDA 40MG AMPOLLA</v>
      </c>
      <c r="C1464" s="39" t="s">
        <v>1067</v>
      </c>
      <c r="D1464" s="236">
        <v>400</v>
      </c>
      <c r="E1464" s="236">
        <v>200</v>
      </c>
      <c r="F1464" s="236">
        <v>200</v>
      </c>
      <c r="G1464" s="236">
        <v>200</v>
      </c>
      <c r="H1464" s="236">
        <f>Tabla1321124[[#This Row],[CUARTO TRIMESTRE]]+Tabla1321124[[#This Row],[TERCER TRIMESTRE]]+Tabla1321124[[#This Row],[SEGUNDO TRIMESTRE]]+Tabla1321124[[#This Row],[PRIMER TRIMESTRE]]</f>
        <v>1000</v>
      </c>
      <c r="I1464" s="17">
        <v>0.35</v>
      </c>
      <c r="J1464" s="17">
        <f>+Tabla1321124[[#This Row],[CANTIDAD TOTAL]]*Tabla1321124[[#This Row],[PRECIO UNITARIO ESTIMADO]]</f>
        <v>350</v>
      </c>
      <c r="K1464" s="345"/>
      <c r="L1464" s="16" t="s">
        <v>18</v>
      </c>
      <c r="M1464" s="16" t="s">
        <v>22</v>
      </c>
      <c r="N1464" s="16" t="s">
        <v>418</v>
      </c>
      <c r="O1464" s="243"/>
      <c r="P1464" s="243"/>
      <c r="Q1464" s="243"/>
      <c r="R1464" s="243"/>
      <c r="S1464" s="243"/>
      <c r="T1464" s="243"/>
      <c r="U1464" s="243"/>
      <c r="V1464" s="243"/>
      <c r="W1464" s="243"/>
      <c r="X1464" s="243"/>
      <c r="Y1464" s="243"/>
      <c r="Z1464" s="243"/>
      <c r="AA1464" s="243"/>
      <c r="AB1464" s="243"/>
      <c r="AC1464" s="243"/>
      <c r="AD1464" s="243"/>
      <c r="AE1464" s="243"/>
      <c r="AF1464" s="243"/>
      <c r="AG1464" s="243"/>
      <c r="AH1464" s="243"/>
      <c r="AI1464" s="243"/>
      <c r="AJ1464" s="243"/>
      <c r="AK1464" s="243"/>
      <c r="AL1464" s="243"/>
      <c r="AM1464" s="243"/>
      <c r="AN1464" s="243"/>
      <c r="AO1464" s="243"/>
      <c r="AP1464" s="243"/>
      <c r="AQ1464" s="243"/>
      <c r="AR1464" s="243"/>
      <c r="AS1464" s="243"/>
      <c r="AT1464" s="243"/>
      <c r="AU1464" s="243"/>
      <c r="AV1464" s="243"/>
      <c r="AW1464" s="243"/>
      <c r="AX1464" s="243"/>
      <c r="AY1464" s="243"/>
      <c r="AZ1464" s="243"/>
      <c r="BA1464" s="243"/>
      <c r="BB1464" s="243"/>
      <c r="BC1464" s="243"/>
      <c r="BD1464" s="243"/>
      <c r="BE1464" s="243"/>
      <c r="BF1464" s="243"/>
      <c r="BG1464" s="243"/>
      <c r="BH1464" s="243"/>
      <c r="BI1464" s="243"/>
      <c r="BJ1464" s="243"/>
      <c r="BK1464" s="243"/>
      <c r="BL1464" s="243"/>
      <c r="BM1464" s="243"/>
      <c r="BN1464" s="243"/>
      <c r="BO1464" s="243"/>
      <c r="BP1464" s="243"/>
      <c r="BQ1464" s="243"/>
      <c r="BR1464" s="243"/>
      <c r="BS1464" s="243"/>
    </row>
    <row r="1465" spans="1:71" s="12" customFormat="1" ht="41.25" customHeight="1">
      <c r="A1465" s="178" t="s">
        <v>99</v>
      </c>
      <c r="B1465" s="382" t="str">
        <f ca="1">+UPPER(Tabla1321124[[#This Row],[DESCRIPCIÓN DE LA COMPRA O CONTRATACIÓN]])</f>
        <v>SOBRE ANTIÁCIDO</v>
      </c>
      <c r="C1465" s="39" t="s">
        <v>1067</v>
      </c>
      <c r="D1465" s="236">
        <v>15</v>
      </c>
      <c r="E1465" s="236">
        <v>5</v>
      </c>
      <c r="F1465" s="236">
        <v>5</v>
      </c>
      <c r="G1465" s="236">
        <v>5</v>
      </c>
      <c r="H1465" s="236">
        <f>Tabla1321124[[#This Row],[CUARTO TRIMESTRE]]+Tabla1321124[[#This Row],[TERCER TRIMESTRE]]+Tabla1321124[[#This Row],[SEGUNDO TRIMESTRE]]+Tabla1321124[[#This Row],[PRIMER TRIMESTRE]]</f>
        <v>30</v>
      </c>
      <c r="I1465" s="17">
        <v>10</v>
      </c>
      <c r="J1465" s="17">
        <f>+Tabla1321124[[#This Row],[CANTIDAD TOTAL]]*Tabla1321124[[#This Row],[PRECIO UNITARIO ESTIMADO]]</f>
        <v>300</v>
      </c>
      <c r="K1465" s="345"/>
      <c r="L1465" s="16" t="s">
        <v>18</v>
      </c>
      <c r="M1465" s="16" t="s">
        <v>22</v>
      </c>
      <c r="N1465" s="16" t="s">
        <v>418</v>
      </c>
      <c r="O1465" s="243"/>
      <c r="P1465" s="243"/>
      <c r="Q1465" s="243"/>
      <c r="R1465" s="243"/>
      <c r="S1465" s="243"/>
      <c r="T1465" s="243"/>
      <c r="U1465" s="243"/>
      <c r="V1465" s="243"/>
      <c r="W1465" s="243"/>
      <c r="X1465" s="243"/>
      <c r="Y1465" s="243"/>
      <c r="Z1465" s="243"/>
      <c r="AA1465" s="243"/>
      <c r="AB1465" s="243"/>
      <c r="AC1465" s="243"/>
      <c r="AD1465" s="243"/>
      <c r="AE1465" s="243"/>
      <c r="AF1465" s="243"/>
      <c r="AG1465" s="243"/>
      <c r="AH1465" s="243"/>
      <c r="AI1465" s="243"/>
      <c r="AJ1465" s="243"/>
      <c r="AK1465" s="243"/>
      <c r="AL1465" s="243"/>
      <c r="AM1465" s="243"/>
      <c r="AN1465" s="243"/>
      <c r="AO1465" s="243"/>
      <c r="AP1465" s="243"/>
      <c r="AQ1465" s="243"/>
      <c r="AR1465" s="243"/>
      <c r="AS1465" s="243"/>
      <c r="AT1465" s="243"/>
      <c r="AU1465" s="243"/>
      <c r="AV1465" s="243"/>
      <c r="AW1465" s="243"/>
      <c r="AX1465" s="243"/>
      <c r="AY1465" s="243"/>
      <c r="AZ1465" s="243"/>
      <c r="BA1465" s="243"/>
      <c r="BB1465" s="243"/>
      <c r="BC1465" s="243"/>
      <c r="BD1465" s="243"/>
      <c r="BE1465" s="243"/>
      <c r="BF1465" s="243"/>
      <c r="BG1465" s="243"/>
      <c r="BH1465" s="243"/>
      <c r="BI1465" s="243"/>
      <c r="BJ1465" s="243"/>
      <c r="BK1465" s="243"/>
      <c r="BL1465" s="243"/>
      <c r="BM1465" s="243"/>
      <c r="BN1465" s="243"/>
      <c r="BO1465" s="243"/>
      <c r="BP1465" s="243"/>
      <c r="BQ1465" s="243"/>
      <c r="BR1465" s="243"/>
      <c r="BS1465" s="243"/>
    </row>
    <row r="1466" spans="1:71" s="12" customFormat="1" ht="41.25" customHeight="1">
      <c r="A1466" s="178" t="s">
        <v>99</v>
      </c>
      <c r="B1466" s="382" t="str">
        <f ca="1">+UPPER(Tabla1321124[[#This Row],[DESCRIPCIÓN DE LA COMPRA O CONTRATACIÓN]])</f>
        <v>ELIXER</v>
      </c>
      <c r="C1466" s="39" t="s">
        <v>1067</v>
      </c>
      <c r="D1466" s="236">
        <v>20</v>
      </c>
      <c r="E1466" s="236">
        <v>10</v>
      </c>
      <c r="F1466" s="236">
        <v>10</v>
      </c>
      <c r="G1466" s="236">
        <v>10</v>
      </c>
      <c r="H1466" s="236">
        <f>Tabla1321124[[#This Row],[CUARTO TRIMESTRE]]+Tabla1321124[[#This Row],[TERCER TRIMESTRE]]+Tabla1321124[[#This Row],[SEGUNDO TRIMESTRE]]+Tabla1321124[[#This Row],[PRIMER TRIMESTRE]]</f>
        <v>50</v>
      </c>
      <c r="I1466" s="17">
        <v>30</v>
      </c>
      <c r="J1466" s="17">
        <f>+Tabla1321124[[#This Row],[CANTIDAD TOTAL]]*Tabla1321124[[#This Row],[PRECIO UNITARIO ESTIMADO]]</f>
        <v>1500</v>
      </c>
      <c r="K1466" s="345"/>
      <c r="L1466" s="16" t="s">
        <v>18</v>
      </c>
      <c r="M1466" s="16" t="s">
        <v>22</v>
      </c>
      <c r="N1466" s="16" t="s">
        <v>418</v>
      </c>
      <c r="O1466" s="243"/>
      <c r="P1466" s="243"/>
      <c r="Q1466" s="243"/>
      <c r="R1466" s="243"/>
      <c r="S1466" s="243"/>
      <c r="T1466" s="243"/>
      <c r="U1466" s="243"/>
      <c r="V1466" s="243"/>
      <c r="W1466" s="243"/>
      <c r="X1466" s="243"/>
      <c r="Y1466" s="243"/>
      <c r="Z1466" s="243"/>
      <c r="AA1466" s="243"/>
      <c r="AB1466" s="243"/>
      <c r="AC1466" s="243"/>
      <c r="AD1466" s="243"/>
      <c r="AE1466" s="243"/>
      <c r="AF1466" s="243"/>
      <c r="AG1466" s="243"/>
      <c r="AH1466" s="243"/>
      <c r="AI1466" s="243"/>
      <c r="AJ1466" s="243"/>
      <c r="AK1466" s="243"/>
      <c r="AL1466" s="243"/>
      <c r="AM1466" s="243"/>
      <c r="AN1466" s="243"/>
      <c r="AO1466" s="243"/>
      <c r="AP1466" s="243"/>
      <c r="AQ1466" s="243"/>
      <c r="AR1466" s="243"/>
      <c r="AS1466" s="243"/>
      <c r="AT1466" s="243"/>
      <c r="AU1466" s="243"/>
      <c r="AV1466" s="243"/>
      <c r="AW1466" s="243"/>
      <c r="AX1466" s="243"/>
      <c r="AY1466" s="243"/>
      <c r="AZ1466" s="243"/>
      <c r="BA1466" s="243"/>
      <c r="BB1466" s="243"/>
      <c r="BC1466" s="243"/>
      <c r="BD1466" s="243"/>
      <c r="BE1466" s="243"/>
      <c r="BF1466" s="243"/>
      <c r="BG1466" s="243"/>
      <c r="BH1466" s="243"/>
      <c r="BI1466" s="243"/>
      <c r="BJ1466" s="243"/>
      <c r="BK1466" s="243"/>
      <c r="BL1466" s="243"/>
      <c r="BM1466" s="243"/>
      <c r="BN1466" s="243"/>
      <c r="BO1466" s="243"/>
      <c r="BP1466" s="243"/>
      <c r="BQ1466" s="243"/>
      <c r="BR1466" s="243"/>
      <c r="BS1466" s="243"/>
    </row>
    <row r="1467" spans="1:71" s="12" customFormat="1" ht="41.25" customHeight="1">
      <c r="A1467" s="178" t="s">
        <v>99</v>
      </c>
      <c r="B1467" s="382" t="str">
        <f ca="1">+UPPER(Tabla1321124[[#This Row],[DESCRIPCIÓN DE LA COMPRA O CONTRATACIÓN]])</f>
        <v>SALBUTAMOL SOLUCIÓN PARA NEUBULIZAR</v>
      </c>
      <c r="C1467" s="39" t="s">
        <v>1067</v>
      </c>
      <c r="D1467" s="236">
        <v>25</v>
      </c>
      <c r="E1467" s="236">
        <v>25</v>
      </c>
      <c r="F1467" s="236">
        <v>25</v>
      </c>
      <c r="G1467" s="236">
        <v>25</v>
      </c>
      <c r="H1467" s="236">
        <f>Tabla1321124[[#This Row],[CUARTO TRIMESTRE]]+Tabla1321124[[#This Row],[TERCER TRIMESTRE]]+Tabla1321124[[#This Row],[SEGUNDO TRIMESTRE]]+Tabla1321124[[#This Row],[PRIMER TRIMESTRE]]</f>
        <v>100</v>
      </c>
      <c r="I1467" s="17">
        <v>25</v>
      </c>
      <c r="J1467" s="17">
        <f>+Tabla1321124[[#This Row],[CANTIDAD TOTAL]]*Tabla1321124[[#This Row],[PRECIO UNITARIO ESTIMADO]]</f>
        <v>2500</v>
      </c>
      <c r="K1467" s="345"/>
      <c r="L1467" s="16" t="s">
        <v>18</v>
      </c>
      <c r="M1467" s="16" t="s">
        <v>22</v>
      </c>
      <c r="N1467" s="16" t="s">
        <v>418</v>
      </c>
      <c r="O1467" s="243"/>
      <c r="P1467" s="243"/>
      <c r="Q1467" s="243"/>
      <c r="R1467" s="243"/>
      <c r="S1467" s="243"/>
      <c r="T1467" s="243"/>
      <c r="U1467" s="243"/>
      <c r="V1467" s="243"/>
      <c r="W1467" s="243"/>
      <c r="X1467" s="243"/>
      <c r="Y1467" s="243"/>
      <c r="Z1467" s="243"/>
      <c r="AA1467" s="243"/>
      <c r="AB1467" s="243"/>
      <c r="AC1467" s="243"/>
      <c r="AD1467" s="243"/>
      <c r="AE1467" s="243"/>
      <c r="AF1467" s="243"/>
      <c r="AG1467" s="243"/>
      <c r="AH1467" s="243"/>
      <c r="AI1467" s="243"/>
      <c r="AJ1467" s="243"/>
      <c r="AK1467" s="243"/>
      <c r="AL1467" s="243"/>
      <c r="AM1467" s="243"/>
      <c r="AN1467" s="243"/>
      <c r="AO1467" s="243"/>
      <c r="AP1467" s="243"/>
      <c r="AQ1467" s="243"/>
      <c r="AR1467" s="243"/>
      <c r="AS1467" s="243"/>
      <c r="AT1467" s="243"/>
      <c r="AU1467" s="243"/>
      <c r="AV1467" s="243"/>
      <c r="AW1467" s="243"/>
      <c r="AX1467" s="243"/>
      <c r="AY1467" s="243"/>
      <c r="AZ1467" s="243"/>
      <c r="BA1467" s="243"/>
      <c r="BB1467" s="243"/>
      <c r="BC1467" s="243"/>
      <c r="BD1467" s="243"/>
      <c r="BE1467" s="243"/>
      <c r="BF1467" s="243"/>
      <c r="BG1467" s="243"/>
      <c r="BH1467" s="243"/>
      <c r="BI1467" s="243"/>
      <c r="BJ1467" s="243"/>
      <c r="BK1467" s="243"/>
      <c r="BL1467" s="243"/>
      <c r="BM1467" s="243"/>
      <c r="BN1467" s="243"/>
      <c r="BO1467" s="243"/>
      <c r="BP1467" s="243"/>
      <c r="BQ1467" s="243"/>
      <c r="BR1467" s="243"/>
      <c r="BS1467" s="243"/>
    </row>
    <row r="1468" spans="1:71" s="12" customFormat="1" ht="41.25" customHeight="1">
      <c r="A1468" s="178" t="s">
        <v>99</v>
      </c>
      <c r="B1468" s="382" t="str">
        <f ca="1">+UPPER(Tabla1321124[[#This Row],[DESCRIPCIÓN DE LA COMPRA O CONTRATACIÓN]])</f>
        <v>ASPIRINA</v>
      </c>
      <c r="C1468" s="39" t="s">
        <v>1067</v>
      </c>
      <c r="D1468" s="236">
        <v>1250</v>
      </c>
      <c r="E1468" s="236">
        <v>1250</v>
      </c>
      <c r="F1468" s="236">
        <v>1250</v>
      </c>
      <c r="G1468" s="236">
        <v>1250</v>
      </c>
      <c r="H1468" s="236">
        <f>Tabla1321124[[#This Row],[CUARTO TRIMESTRE]]+Tabla1321124[[#This Row],[TERCER TRIMESTRE]]+Tabla1321124[[#This Row],[SEGUNDO TRIMESTRE]]+Tabla1321124[[#This Row],[PRIMER TRIMESTRE]]</f>
        <v>5000</v>
      </c>
      <c r="I1468" s="17">
        <v>5</v>
      </c>
      <c r="J1468" s="17">
        <f>+Tabla1321124[[#This Row],[CANTIDAD TOTAL]]*Tabla1321124[[#This Row],[PRECIO UNITARIO ESTIMADO]]</f>
        <v>25000</v>
      </c>
      <c r="K1468" s="345"/>
      <c r="L1468" s="16" t="s">
        <v>18</v>
      </c>
      <c r="M1468" s="16" t="s">
        <v>22</v>
      </c>
      <c r="N1468" s="16" t="s">
        <v>418</v>
      </c>
      <c r="O1468" s="243"/>
      <c r="P1468" s="243"/>
      <c r="Q1468" s="243"/>
      <c r="R1468" s="243"/>
      <c r="S1468" s="243"/>
      <c r="T1468" s="243"/>
      <c r="U1468" s="243"/>
      <c r="V1468" s="243"/>
      <c r="W1468" s="243"/>
      <c r="X1468" s="243"/>
      <c r="Y1468" s="243"/>
      <c r="Z1468" s="243"/>
      <c r="AA1468" s="243"/>
      <c r="AB1468" s="243"/>
      <c r="AC1468" s="243"/>
      <c r="AD1468" s="243"/>
      <c r="AE1468" s="243"/>
      <c r="AF1468" s="243"/>
      <c r="AG1468" s="243"/>
      <c r="AH1468" s="243"/>
      <c r="AI1468" s="243"/>
      <c r="AJ1468" s="243"/>
      <c r="AK1468" s="243"/>
      <c r="AL1468" s="243"/>
      <c r="AM1468" s="243"/>
      <c r="AN1468" s="243"/>
      <c r="AO1468" s="243"/>
      <c r="AP1468" s="243"/>
      <c r="AQ1468" s="243"/>
      <c r="AR1468" s="243"/>
      <c r="AS1468" s="243"/>
      <c r="AT1468" s="243"/>
      <c r="AU1468" s="243"/>
      <c r="AV1468" s="243"/>
      <c r="AW1468" s="243"/>
      <c r="AX1468" s="243"/>
      <c r="AY1468" s="243"/>
      <c r="AZ1468" s="243"/>
      <c r="BA1468" s="243"/>
      <c r="BB1468" s="243"/>
      <c r="BC1468" s="243"/>
      <c r="BD1468" s="243"/>
      <c r="BE1468" s="243"/>
      <c r="BF1468" s="243"/>
      <c r="BG1468" s="243"/>
      <c r="BH1468" s="243"/>
      <c r="BI1468" s="243"/>
      <c r="BJ1468" s="243"/>
      <c r="BK1468" s="243"/>
      <c r="BL1468" s="243"/>
      <c r="BM1468" s="243"/>
      <c r="BN1468" s="243"/>
      <c r="BO1468" s="243"/>
      <c r="BP1468" s="243"/>
      <c r="BQ1468" s="243"/>
      <c r="BR1468" s="243"/>
      <c r="BS1468" s="243"/>
    </row>
    <row r="1469" spans="1:71" s="12" customFormat="1" ht="41.25" customHeight="1">
      <c r="A1469" s="178" t="s">
        <v>99</v>
      </c>
      <c r="B1469" s="382" t="str">
        <f ca="1">+UPPER(Tabla1321124[[#This Row],[DESCRIPCIÓN DE LA COMPRA O CONTRATACIÓN]])</f>
        <v xml:space="preserve">HIDROCORTISONA </v>
      </c>
      <c r="C1469" s="39" t="s">
        <v>1067</v>
      </c>
      <c r="D1469" s="236">
        <v>250</v>
      </c>
      <c r="E1469" s="236">
        <v>150</v>
      </c>
      <c r="F1469" s="236">
        <v>150</v>
      </c>
      <c r="G1469" s="236">
        <v>150</v>
      </c>
      <c r="H1469" s="236">
        <f>Tabla1321124[[#This Row],[CUARTO TRIMESTRE]]+Tabla1321124[[#This Row],[TERCER TRIMESTRE]]+Tabla1321124[[#This Row],[SEGUNDO TRIMESTRE]]+Tabla1321124[[#This Row],[PRIMER TRIMESTRE]]</f>
        <v>700</v>
      </c>
      <c r="I1469" s="17">
        <v>14</v>
      </c>
      <c r="J1469" s="17">
        <f>+Tabla1321124[[#This Row],[CANTIDAD TOTAL]]*Tabla1321124[[#This Row],[PRECIO UNITARIO ESTIMADO]]</f>
        <v>9800</v>
      </c>
      <c r="K1469" s="345"/>
      <c r="L1469" s="16" t="s">
        <v>18</v>
      </c>
      <c r="M1469" s="16" t="s">
        <v>22</v>
      </c>
      <c r="N1469" s="16" t="s">
        <v>418</v>
      </c>
      <c r="O1469" s="243"/>
      <c r="P1469" s="243"/>
      <c r="Q1469" s="243"/>
      <c r="R1469" s="243"/>
      <c r="S1469" s="243"/>
      <c r="T1469" s="243"/>
      <c r="U1469" s="243"/>
      <c r="V1469" s="243"/>
      <c r="W1469" s="243"/>
      <c r="X1469" s="243"/>
      <c r="Y1469" s="243"/>
      <c r="Z1469" s="243"/>
      <c r="AA1469" s="243"/>
      <c r="AB1469" s="243"/>
      <c r="AC1469" s="243"/>
      <c r="AD1469" s="243"/>
      <c r="AE1469" s="243"/>
      <c r="AF1469" s="243"/>
      <c r="AG1469" s="243"/>
      <c r="AH1469" s="243"/>
      <c r="AI1469" s="243"/>
      <c r="AJ1469" s="243"/>
      <c r="AK1469" s="243"/>
      <c r="AL1469" s="243"/>
      <c r="AM1469" s="243"/>
      <c r="AN1469" s="243"/>
      <c r="AO1469" s="243"/>
      <c r="AP1469" s="243"/>
      <c r="AQ1469" s="243"/>
      <c r="AR1469" s="243"/>
      <c r="AS1469" s="243"/>
      <c r="AT1469" s="243"/>
      <c r="AU1469" s="243"/>
      <c r="AV1469" s="243"/>
      <c r="AW1469" s="243"/>
      <c r="AX1469" s="243"/>
      <c r="AY1469" s="243"/>
      <c r="AZ1469" s="243"/>
      <c r="BA1469" s="243"/>
      <c r="BB1469" s="243"/>
      <c r="BC1469" s="243"/>
      <c r="BD1469" s="243"/>
      <c r="BE1469" s="243"/>
      <c r="BF1469" s="243"/>
      <c r="BG1469" s="243"/>
      <c r="BH1469" s="243"/>
      <c r="BI1469" s="243"/>
      <c r="BJ1469" s="243"/>
      <c r="BK1469" s="243"/>
      <c r="BL1469" s="243"/>
      <c r="BM1469" s="243"/>
      <c r="BN1469" s="243"/>
      <c r="BO1469" s="243"/>
      <c r="BP1469" s="243"/>
      <c r="BQ1469" s="243"/>
      <c r="BR1469" s="243"/>
      <c r="BS1469" s="243"/>
    </row>
    <row r="1470" spans="1:71" s="12" customFormat="1" ht="41.25" customHeight="1">
      <c r="A1470" s="178" t="s">
        <v>99</v>
      </c>
      <c r="B1470" s="382" t="str">
        <f ca="1">+UPPER(Tabla1321124[[#This Row],[DESCRIPCIÓN DE LA COMPRA O CONTRATACIÓN]])</f>
        <v>GUANTES DESECHABLES</v>
      </c>
      <c r="C1470" s="39" t="s">
        <v>1067</v>
      </c>
      <c r="D1470" s="236">
        <v>150</v>
      </c>
      <c r="E1470" s="236">
        <v>50</v>
      </c>
      <c r="F1470" s="236">
        <v>50</v>
      </c>
      <c r="G1470" s="236">
        <v>50</v>
      </c>
      <c r="H1470" s="236">
        <f>Tabla1321124[[#This Row],[CUARTO TRIMESTRE]]+Tabla1321124[[#This Row],[TERCER TRIMESTRE]]+Tabla1321124[[#This Row],[SEGUNDO TRIMESTRE]]+Tabla1321124[[#This Row],[PRIMER TRIMESTRE]]</f>
        <v>300</v>
      </c>
      <c r="I1470" s="17">
        <v>7</v>
      </c>
      <c r="J1470" s="17">
        <f>+Tabla1321124[[#This Row],[CANTIDAD TOTAL]]*Tabla1321124[[#This Row],[PRECIO UNITARIO ESTIMADO]]</f>
        <v>2100</v>
      </c>
      <c r="K1470" s="345"/>
      <c r="L1470" s="16" t="s">
        <v>18</v>
      </c>
      <c r="M1470" s="16" t="s">
        <v>22</v>
      </c>
      <c r="N1470" s="16" t="s">
        <v>418</v>
      </c>
      <c r="O1470" s="243"/>
      <c r="P1470" s="243"/>
      <c r="Q1470" s="243"/>
      <c r="R1470" s="243"/>
      <c r="S1470" s="243"/>
      <c r="T1470" s="243"/>
      <c r="U1470" s="243"/>
      <c r="V1470" s="243"/>
      <c r="W1470" s="243"/>
      <c r="X1470" s="243"/>
      <c r="Y1470" s="243"/>
      <c r="Z1470" s="243"/>
      <c r="AA1470" s="243"/>
      <c r="AB1470" s="243"/>
      <c r="AC1470" s="243"/>
      <c r="AD1470" s="243"/>
      <c r="AE1470" s="243"/>
      <c r="AF1470" s="243"/>
      <c r="AG1470" s="243"/>
      <c r="AH1470" s="243"/>
      <c r="AI1470" s="243"/>
      <c r="AJ1470" s="243"/>
      <c r="AK1470" s="243"/>
      <c r="AL1470" s="243"/>
      <c r="AM1470" s="243"/>
      <c r="AN1470" s="243"/>
      <c r="AO1470" s="243"/>
      <c r="AP1470" s="243"/>
      <c r="AQ1470" s="243"/>
      <c r="AR1470" s="243"/>
      <c r="AS1470" s="243"/>
      <c r="AT1470" s="243"/>
      <c r="AU1470" s="243"/>
      <c r="AV1470" s="243"/>
      <c r="AW1470" s="243"/>
      <c r="AX1470" s="243"/>
      <c r="AY1470" s="243"/>
      <c r="AZ1470" s="243"/>
      <c r="BA1470" s="243"/>
      <c r="BB1470" s="243"/>
      <c r="BC1470" s="243"/>
      <c r="BD1470" s="243"/>
      <c r="BE1470" s="243"/>
      <c r="BF1470" s="243"/>
      <c r="BG1470" s="243"/>
      <c r="BH1470" s="243"/>
      <c r="BI1470" s="243"/>
      <c r="BJ1470" s="243"/>
      <c r="BK1470" s="243"/>
      <c r="BL1470" s="243"/>
      <c r="BM1470" s="243"/>
      <c r="BN1470" s="243"/>
      <c r="BO1470" s="243"/>
      <c r="BP1470" s="243"/>
      <c r="BQ1470" s="243"/>
      <c r="BR1470" s="243"/>
      <c r="BS1470" s="243"/>
    </row>
    <row r="1471" spans="1:71" s="12" customFormat="1" ht="41.25" customHeight="1">
      <c r="A1471" s="178" t="s">
        <v>99</v>
      </c>
      <c r="B1471" s="382" t="str">
        <f ca="1">+UPPER(Tabla1321124[[#This Row],[DESCRIPCIÓN DE LA COMPRA O CONTRATACIÓN]])</f>
        <v>GUANTES ESTÉRIL</v>
      </c>
      <c r="C1471" s="39" t="s">
        <v>1067</v>
      </c>
      <c r="D1471" s="236">
        <v>150</v>
      </c>
      <c r="E1471" s="236">
        <v>50</v>
      </c>
      <c r="F1471" s="236">
        <v>50</v>
      </c>
      <c r="G1471" s="236">
        <v>50</v>
      </c>
      <c r="H1471" s="236">
        <f>Tabla1321124[[#This Row],[CUARTO TRIMESTRE]]+Tabla1321124[[#This Row],[TERCER TRIMESTRE]]+Tabla1321124[[#This Row],[SEGUNDO TRIMESTRE]]+Tabla1321124[[#This Row],[PRIMER TRIMESTRE]]</f>
        <v>300</v>
      </c>
      <c r="I1471" s="17">
        <v>7</v>
      </c>
      <c r="J1471" s="17">
        <f>+Tabla1321124[[#This Row],[CANTIDAD TOTAL]]*Tabla1321124[[#This Row],[PRECIO UNITARIO ESTIMADO]]</f>
        <v>2100</v>
      </c>
      <c r="K1471" s="345"/>
      <c r="L1471" s="16" t="s">
        <v>18</v>
      </c>
      <c r="M1471" s="16" t="s">
        <v>22</v>
      </c>
      <c r="N1471" s="16" t="s">
        <v>418</v>
      </c>
      <c r="O1471" s="243"/>
      <c r="P1471" s="243"/>
      <c r="Q1471" s="243"/>
      <c r="R1471" s="243"/>
      <c r="S1471" s="243"/>
      <c r="T1471" s="243"/>
      <c r="U1471" s="243"/>
      <c r="V1471" s="243"/>
      <c r="W1471" s="243"/>
      <c r="X1471" s="243"/>
      <c r="Y1471" s="243"/>
      <c r="Z1471" s="243"/>
      <c r="AA1471" s="243"/>
      <c r="AB1471" s="243"/>
      <c r="AC1471" s="243"/>
      <c r="AD1471" s="243"/>
      <c r="AE1471" s="243"/>
      <c r="AF1471" s="243"/>
      <c r="AG1471" s="243"/>
      <c r="AH1471" s="243"/>
      <c r="AI1471" s="243"/>
      <c r="AJ1471" s="243"/>
      <c r="AK1471" s="243"/>
      <c r="AL1471" s="243"/>
      <c r="AM1471" s="243"/>
      <c r="AN1471" s="243"/>
      <c r="AO1471" s="243"/>
      <c r="AP1471" s="243"/>
      <c r="AQ1471" s="243"/>
      <c r="AR1471" s="243"/>
      <c r="AS1471" s="243"/>
      <c r="AT1471" s="243"/>
      <c r="AU1471" s="243"/>
      <c r="AV1471" s="243"/>
      <c r="AW1471" s="243"/>
      <c r="AX1471" s="243"/>
      <c r="AY1471" s="243"/>
      <c r="AZ1471" s="243"/>
      <c r="BA1471" s="243"/>
      <c r="BB1471" s="243"/>
      <c r="BC1471" s="243"/>
      <c r="BD1471" s="243"/>
      <c r="BE1471" s="243"/>
      <c r="BF1471" s="243"/>
      <c r="BG1471" s="243"/>
      <c r="BH1471" s="243"/>
      <c r="BI1471" s="243"/>
      <c r="BJ1471" s="243"/>
      <c r="BK1471" s="243"/>
      <c r="BL1471" s="243"/>
      <c r="BM1471" s="243"/>
      <c r="BN1471" s="243"/>
      <c r="BO1471" s="243"/>
      <c r="BP1471" s="243"/>
      <c r="BQ1471" s="243"/>
      <c r="BR1471" s="243"/>
      <c r="BS1471" s="243"/>
    </row>
    <row r="1472" spans="1:71" s="12" customFormat="1" ht="41.25" customHeight="1">
      <c r="A1472" s="178" t="s">
        <v>99</v>
      </c>
      <c r="B1472" s="382" t="str">
        <f ca="1">+UPPER(Tabla1321124[[#This Row],[DESCRIPCIÓN DE LA COMPRA O CONTRATACIÓN]])</f>
        <v>GASAS</v>
      </c>
      <c r="C1472" s="39" t="s">
        <v>1067</v>
      </c>
      <c r="D1472" s="236">
        <v>175</v>
      </c>
      <c r="E1472" s="236">
        <v>75</v>
      </c>
      <c r="F1472" s="236">
        <v>75</v>
      </c>
      <c r="G1472" s="236">
        <v>75</v>
      </c>
      <c r="H1472" s="236">
        <f>Tabla1321124[[#This Row],[CUARTO TRIMESTRE]]+Tabla1321124[[#This Row],[TERCER TRIMESTRE]]+Tabla1321124[[#This Row],[SEGUNDO TRIMESTRE]]+Tabla1321124[[#This Row],[PRIMER TRIMESTRE]]</f>
        <v>400</v>
      </c>
      <c r="I1472" s="17">
        <v>7</v>
      </c>
      <c r="J1472" s="17">
        <f>+Tabla1321124[[#This Row],[CANTIDAD TOTAL]]*Tabla1321124[[#This Row],[PRECIO UNITARIO ESTIMADO]]</f>
        <v>2800</v>
      </c>
      <c r="K1472" s="345"/>
      <c r="L1472" s="16" t="s">
        <v>18</v>
      </c>
      <c r="M1472" s="16" t="s">
        <v>22</v>
      </c>
      <c r="N1472" s="16" t="s">
        <v>418</v>
      </c>
      <c r="O1472" s="243"/>
      <c r="P1472" s="243"/>
      <c r="Q1472" s="243"/>
      <c r="R1472" s="243"/>
      <c r="S1472" s="243"/>
      <c r="T1472" s="243"/>
      <c r="U1472" s="243"/>
      <c r="V1472" s="243"/>
      <c r="W1472" s="243"/>
      <c r="X1472" s="243"/>
      <c r="Y1472" s="243"/>
      <c r="Z1472" s="243"/>
      <c r="AA1472" s="243"/>
      <c r="AB1472" s="243"/>
      <c r="AC1472" s="243"/>
      <c r="AD1472" s="243"/>
      <c r="AE1472" s="243"/>
      <c r="AF1472" s="243"/>
      <c r="AG1472" s="243"/>
      <c r="AH1472" s="243"/>
      <c r="AI1472" s="243"/>
      <c r="AJ1472" s="243"/>
      <c r="AK1472" s="243"/>
      <c r="AL1472" s="243"/>
      <c r="AM1472" s="243"/>
      <c r="AN1472" s="243"/>
      <c r="AO1472" s="243"/>
      <c r="AP1472" s="243"/>
      <c r="AQ1472" s="243"/>
      <c r="AR1472" s="243"/>
      <c r="AS1472" s="243"/>
      <c r="AT1472" s="243"/>
      <c r="AU1472" s="243"/>
      <c r="AV1472" s="243"/>
      <c r="AW1472" s="243"/>
      <c r="AX1472" s="243"/>
      <c r="AY1472" s="243"/>
      <c r="AZ1472" s="243"/>
      <c r="BA1472" s="243"/>
      <c r="BB1472" s="243"/>
      <c r="BC1472" s="243"/>
      <c r="BD1472" s="243"/>
      <c r="BE1472" s="243"/>
      <c r="BF1472" s="243"/>
      <c r="BG1472" s="243"/>
      <c r="BH1472" s="243"/>
      <c r="BI1472" s="243"/>
      <c r="BJ1472" s="243"/>
      <c r="BK1472" s="243"/>
      <c r="BL1472" s="243"/>
      <c r="BM1472" s="243"/>
      <c r="BN1472" s="243"/>
      <c r="BO1472" s="243"/>
      <c r="BP1472" s="243"/>
      <c r="BQ1472" s="243"/>
      <c r="BR1472" s="243"/>
      <c r="BS1472" s="243"/>
    </row>
    <row r="1473" spans="1:71" s="12" customFormat="1" ht="41.25" customHeight="1">
      <c r="A1473" s="178" t="s">
        <v>99</v>
      </c>
      <c r="B1473" s="382" t="str">
        <f ca="1">+UPPER(Tabla1321124[[#This Row],[DESCRIPCIÓN DE LA COMPRA O CONTRATACIÓN]])</f>
        <v>PAQUETES ALGODÓN</v>
      </c>
      <c r="C1473" s="39" t="s">
        <v>1067</v>
      </c>
      <c r="D1473" s="236">
        <v>20</v>
      </c>
      <c r="E1473" s="236">
        <v>10</v>
      </c>
      <c r="F1473" s="236">
        <v>10</v>
      </c>
      <c r="G1473" s="236">
        <v>10</v>
      </c>
      <c r="H1473" s="236">
        <f>Tabla1321124[[#This Row],[CUARTO TRIMESTRE]]+Tabla1321124[[#This Row],[TERCER TRIMESTRE]]+Tabla1321124[[#This Row],[SEGUNDO TRIMESTRE]]+Tabla1321124[[#This Row],[PRIMER TRIMESTRE]]</f>
        <v>50</v>
      </c>
      <c r="I1473" s="17">
        <v>5</v>
      </c>
      <c r="J1473" s="17">
        <f>+Tabla1321124[[#This Row],[CANTIDAD TOTAL]]*Tabla1321124[[#This Row],[PRECIO UNITARIO ESTIMADO]]</f>
        <v>250</v>
      </c>
      <c r="K1473" s="345"/>
      <c r="L1473" s="16" t="s">
        <v>18</v>
      </c>
      <c r="M1473" s="16" t="s">
        <v>22</v>
      </c>
      <c r="N1473" s="16" t="s">
        <v>418</v>
      </c>
      <c r="O1473" s="243"/>
      <c r="P1473" s="243"/>
      <c r="Q1473" s="243"/>
      <c r="R1473" s="243"/>
      <c r="S1473" s="243"/>
      <c r="T1473" s="243"/>
      <c r="U1473" s="243"/>
      <c r="V1473" s="243"/>
      <c r="W1473" s="243"/>
      <c r="X1473" s="243"/>
      <c r="Y1473" s="243"/>
      <c r="Z1473" s="243"/>
      <c r="AA1473" s="243"/>
      <c r="AB1473" s="243"/>
      <c r="AC1473" s="243"/>
      <c r="AD1473" s="243"/>
      <c r="AE1473" s="243"/>
      <c r="AF1473" s="243"/>
      <c r="AG1473" s="243"/>
      <c r="AH1473" s="243"/>
      <c r="AI1473" s="243"/>
      <c r="AJ1473" s="243"/>
      <c r="AK1473" s="243"/>
      <c r="AL1473" s="243"/>
      <c r="AM1473" s="243"/>
      <c r="AN1473" s="243"/>
      <c r="AO1473" s="243"/>
      <c r="AP1473" s="243"/>
      <c r="AQ1473" s="243"/>
      <c r="AR1473" s="243"/>
      <c r="AS1473" s="243"/>
      <c r="AT1473" s="243"/>
      <c r="AU1473" s="243"/>
      <c r="AV1473" s="243"/>
      <c r="AW1473" s="243"/>
      <c r="AX1473" s="243"/>
      <c r="AY1473" s="243"/>
      <c r="AZ1473" s="243"/>
      <c r="BA1473" s="243"/>
      <c r="BB1473" s="243"/>
      <c r="BC1473" s="243"/>
      <c r="BD1473" s="243"/>
      <c r="BE1473" s="243"/>
      <c r="BF1473" s="243"/>
      <c r="BG1473" s="243"/>
      <c r="BH1473" s="243"/>
      <c r="BI1473" s="243"/>
      <c r="BJ1473" s="243"/>
      <c r="BK1473" s="243"/>
      <c r="BL1473" s="243"/>
      <c r="BM1473" s="243"/>
      <c r="BN1473" s="243"/>
      <c r="BO1473" s="243"/>
      <c r="BP1473" s="243"/>
      <c r="BQ1473" s="243"/>
      <c r="BR1473" s="243"/>
      <c r="BS1473" s="243"/>
    </row>
    <row r="1474" spans="1:71" s="12" customFormat="1" ht="41.25" customHeight="1">
      <c r="A1474" s="178" t="s">
        <v>99</v>
      </c>
      <c r="B1474" s="382" t="str">
        <f ca="1">+UPPER(Tabla1321124[[#This Row],[DESCRIPCIÓN DE LA COMPRA O CONTRATACIÓN]])</f>
        <v>FRASCO DE ALCOHOL</v>
      </c>
      <c r="C1474" s="39" t="s">
        <v>1067</v>
      </c>
      <c r="D1474" s="236">
        <v>35</v>
      </c>
      <c r="E1474" s="236">
        <v>15</v>
      </c>
      <c r="F1474" s="236">
        <v>15</v>
      </c>
      <c r="G1474" s="236">
        <v>15</v>
      </c>
      <c r="H1474" s="236">
        <f>Tabla1321124[[#This Row],[CUARTO TRIMESTRE]]+Tabla1321124[[#This Row],[TERCER TRIMESTRE]]+Tabla1321124[[#This Row],[SEGUNDO TRIMESTRE]]+Tabla1321124[[#This Row],[PRIMER TRIMESTRE]]</f>
        <v>80</v>
      </c>
      <c r="I1474" s="17">
        <v>20</v>
      </c>
      <c r="J1474" s="17">
        <f>+Tabla1321124[[#This Row],[CANTIDAD TOTAL]]*Tabla1321124[[#This Row],[PRECIO UNITARIO ESTIMADO]]</f>
        <v>1600</v>
      </c>
      <c r="K1474" s="345"/>
      <c r="L1474" s="16" t="s">
        <v>18</v>
      </c>
      <c r="M1474" s="16" t="s">
        <v>22</v>
      </c>
      <c r="N1474" s="16" t="s">
        <v>418</v>
      </c>
      <c r="O1474" s="243"/>
      <c r="P1474" s="243"/>
      <c r="Q1474" s="243"/>
      <c r="R1474" s="243"/>
      <c r="S1474" s="243"/>
      <c r="T1474" s="243"/>
      <c r="U1474" s="243"/>
      <c r="V1474" s="243"/>
      <c r="W1474" s="243"/>
      <c r="X1474" s="243"/>
      <c r="Y1474" s="243"/>
      <c r="Z1474" s="243"/>
      <c r="AA1474" s="243"/>
      <c r="AB1474" s="243"/>
      <c r="AC1474" s="243"/>
      <c r="AD1474" s="243"/>
      <c r="AE1474" s="243"/>
      <c r="AF1474" s="243"/>
      <c r="AG1474" s="243"/>
      <c r="AH1474" s="243"/>
      <c r="AI1474" s="243"/>
      <c r="AJ1474" s="243"/>
      <c r="AK1474" s="243"/>
      <c r="AL1474" s="243"/>
      <c r="AM1474" s="243"/>
      <c r="AN1474" s="243"/>
      <c r="AO1474" s="243"/>
      <c r="AP1474" s="243"/>
      <c r="AQ1474" s="243"/>
      <c r="AR1474" s="243"/>
      <c r="AS1474" s="243"/>
      <c r="AT1474" s="243"/>
      <c r="AU1474" s="243"/>
      <c r="AV1474" s="243"/>
      <c r="AW1474" s="243"/>
      <c r="AX1474" s="243"/>
      <c r="AY1474" s="243"/>
      <c r="AZ1474" s="243"/>
      <c r="BA1474" s="243"/>
      <c r="BB1474" s="243"/>
      <c r="BC1474" s="243"/>
      <c r="BD1474" s="243"/>
      <c r="BE1474" s="243"/>
      <c r="BF1474" s="243"/>
      <c r="BG1474" s="243"/>
      <c r="BH1474" s="243"/>
      <c r="BI1474" s="243"/>
      <c r="BJ1474" s="243"/>
      <c r="BK1474" s="243"/>
      <c r="BL1474" s="243"/>
      <c r="BM1474" s="243"/>
      <c r="BN1474" s="243"/>
      <c r="BO1474" s="243"/>
      <c r="BP1474" s="243"/>
      <c r="BQ1474" s="243"/>
      <c r="BR1474" s="243"/>
      <c r="BS1474" s="243"/>
    </row>
    <row r="1475" spans="1:71" s="12" customFormat="1" ht="41.25" customHeight="1">
      <c r="A1475" s="178" t="s">
        <v>99</v>
      </c>
      <c r="B1475" s="382" t="str">
        <f ca="1">+UPPER(Tabla1321124[[#This Row],[DESCRIPCIÓN DE LA COMPRA O CONTRATACIÓN]])</f>
        <v>JERINGUILLAS DE 3CC</v>
      </c>
      <c r="C1475" s="39" t="s">
        <v>1067</v>
      </c>
      <c r="D1475" s="236">
        <v>150</v>
      </c>
      <c r="E1475" s="236">
        <v>50</v>
      </c>
      <c r="F1475" s="236">
        <v>50</v>
      </c>
      <c r="G1475" s="236">
        <v>50</v>
      </c>
      <c r="H1475" s="236">
        <f>Tabla1321124[[#This Row],[CUARTO TRIMESTRE]]+Tabla1321124[[#This Row],[TERCER TRIMESTRE]]+Tabla1321124[[#This Row],[SEGUNDO TRIMESTRE]]+Tabla1321124[[#This Row],[PRIMER TRIMESTRE]]</f>
        <v>300</v>
      </c>
      <c r="I1475" s="17">
        <v>1</v>
      </c>
      <c r="J1475" s="17">
        <f>+Tabla1321124[[#This Row],[CANTIDAD TOTAL]]*Tabla1321124[[#This Row],[PRECIO UNITARIO ESTIMADO]]</f>
        <v>300</v>
      </c>
      <c r="K1475" s="345"/>
      <c r="L1475" s="16" t="s">
        <v>18</v>
      </c>
      <c r="M1475" s="16" t="s">
        <v>22</v>
      </c>
      <c r="N1475" s="16" t="s">
        <v>418</v>
      </c>
      <c r="O1475" s="243"/>
      <c r="P1475" s="243"/>
      <c r="Q1475" s="243"/>
      <c r="R1475" s="243"/>
      <c r="S1475" s="243"/>
      <c r="T1475" s="243"/>
      <c r="U1475" s="243"/>
      <c r="V1475" s="243"/>
      <c r="W1475" s="243"/>
      <c r="X1475" s="243"/>
      <c r="Y1475" s="243"/>
      <c r="Z1475" s="243"/>
      <c r="AA1475" s="243"/>
      <c r="AB1475" s="243"/>
      <c r="AC1475" s="243"/>
      <c r="AD1475" s="243"/>
      <c r="AE1475" s="243"/>
      <c r="AF1475" s="243"/>
      <c r="AG1475" s="243"/>
      <c r="AH1475" s="243"/>
      <c r="AI1475" s="243"/>
      <c r="AJ1475" s="243"/>
      <c r="AK1475" s="243"/>
      <c r="AL1475" s="243"/>
      <c r="AM1475" s="243"/>
      <c r="AN1475" s="243"/>
      <c r="AO1475" s="243"/>
      <c r="AP1475" s="243"/>
      <c r="AQ1475" s="243"/>
      <c r="AR1475" s="243"/>
      <c r="AS1475" s="243"/>
      <c r="AT1475" s="243"/>
      <c r="AU1475" s="243"/>
      <c r="AV1475" s="243"/>
      <c r="AW1475" s="243"/>
      <c r="AX1475" s="243"/>
      <c r="AY1475" s="243"/>
      <c r="AZ1475" s="243"/>
      <c r="BA1475" s="243"/>
      <c r="BB1475" s="243"/>
      <c r="BC1475" s="243"/>
      <c r="BD1475" s="243"/>
      <c r="BE1475" s="243"/>
      <c r="BF1475" s="243"/>
      <c r="BG1475" s="243"/>
      <c r="BH1475" s="243"/>
      <c r="BI1475" s="243"/>
      <c r="BJ1475" s="243"/>
      <c r="BK1475" s="243"/>
      <c r="BL1475" s="243"/>
      <c r="BM1475" s="243"/>
      <c r="BN1475" s="243"/>
      <c r="BO1475" s="243"/>
      <c r="BP1475" s="243"/>
      <c r="BQ1475" s="243"/>
      <c r="BR1475" s="243"/>
      <c r="BS1475" s="243"/>
    </row>
    <row r="1476" spans="1:71" s="12" customFormat="1" ht="41.25" customHeight="1">
      <c r="A1476" s="178" t="s">
        <v>99</v>
      </c>
      <c r="B1476" s="382" t="str">
        <f ca="1">+UPPER(Tabla1321124[[#This Row],[DESCRIPCIÓN DE LA COMPRA O CONTRATACIÓN]])</f>
        <v>JERINGUILLAS DE 5CC</v>
      </c>
      <c r="C1476" s="39" t="s">
        <v>1067</v>
      </c>
      <c r="D1476" s="236">
        <v>150</v>
      </c>
      <c r="E1476" s="236">
        <v>50</v>
      </c>
      <c r="F1476" s="236">
        <v>50</v>
      </c>
      <c r="G1476" s="236">
        <v>50</v>
      </c>
      <c r="H1476" s="236">
        <f>Tabla1321124[[#This Row],[CUARTO TRIMESTRE]]+Tabla1321124[[#This Row],[TERCER TRIMESTRE]]+Tabla1321124[[#This Row],[SEGUNDO TRIMESTRE]]+Tabla1321124[[#This Row],[PRIMER TRIMESTRE]]</f>
        <v>300</v>
      </c>
      <c r="I1476" s="17">
        <v>1.3</v>
      </c>
      <c r="J1476" s="17">
        <f>+Tabla1321124[[#This Row],[CANTIDAD TOTAL]]*Tabla1321124[[#This Row],[PRECIO UNITARIO ESTIMADO]]</f>
        <v>390</v>
      </c>
      <c r="K1476" s="345"/>
      <c r="L1476" s="16" t="s">
        <v>18</v>
      </c>
      <c r="M1476" s="16" t="s">
        <v>22</v>
      </c>
      <c r="N1476" s="16" t="s">
        <v>418</v>
      </c>
      <c r="O1476" s="243"/>
      <c r="P1476" s="243"/>
      <c r="Q1476" s="243"/>
      <c r="R1476" s="243"/>
      <c r="S1476" s="243"/>
      <c r="T1476" s="243"/>
      <c r="U1476" s="243"/>
      <c r="V1476" s="243"/>
      <c r="W1476" s="243"/>
      <c r="X1476" s="243"/>
      <c r="Y1476" s="243"/>
      <c r="Z1476" s="243"/>
      <c r="AA1476" s="243"/>
      <c r="AB1476" s="243"/>
      <c r="AC1476" s="243"/>
      <c r="AD1476" s="243"/>
      <c r="AE1476" s="243"/>
      <c r="AF1476" s="243"/>
      <c r="AG1476" s="243"/>
      <c r="AH1476" s="243"/>
      <c r="AI1476" s="243"/>
      <c r="AJ1476" s="243"/>
      <c r="AK1476" s="243"/>
      <c r="AL1476" s="243"/>
      <c r="AM1476" s="243"/>
      <c r="AN1476" s="243"/>
      <c r="AO1476" s="243"/>
      <c r="AP1476" s="243"/>
      <c r="AQ1476" s="243"/>
      <c r="AR1476" s="243"/>
      <c r="AS1476" s="243"/>
      <c r="AT1476" s="243"/>
      <c r="AU1476" s="243"/>
      <c r="AV1476" s="243"/>
      <c r="AW1476" s="243"/>
      <c r="AX1476" s="243"/>
      <c r="AY1476" s="243"/>
      <c r="AZ1476" s="243"/>
      <c r="BA1476" s="243"/>
      <c r="BB1476" s="243"/>
      <c r="BC1476" s="243"/>
      <c r="BD1476" s="243"/>
      <c r="BE1476" s="243"/>
      <c r="BF1476" s="243"/>
      <c r="BG1476" s="243"/>
      <c r="BH1476" s="243"/>
      <c r="BI1476" s="243"/>
      <c r="BJ1476" s="243"/>
      <c r="BK1476" s="243"/>
      <c r="BL1476" s="243"/>
      <c r="BM1476" s="243"/>
      <c r="BN1476" s="243"/>
      <c r="BO1476" s="243"/>
      <c r="BP1476" s="243"/>
      <c r="BQ1476" s="243"/>
      <c r="BR1476" s="243"/>
      <c r="BS1476" s="243"/>
    </row>
    <row r="1477" spans="1:71" s="12" customFormat="1" ht="41.25" customHeight="1">
      <c r="A1477" s="178" t="s">
        <v>99</v>
      </c>
      <c r="B1477" s="382" t="str">
        <f ca="1">+UPPER(Tabla1321124[[#This Row],[DESCRIPCIÓN DE LA COMPRA O CONTRATACIÓN]])</f>
        <v>JERINGUILLAS DE 10CC</v>
      </c>
      <c r="C1477" s="39" t="s">
        <v>1067</v>
      </c>
      <c r="D1477" s="236">
        <v>150</v>
      </c>
      <c r="E1477" s="236">
        <v>50</v>
      </c>
      <c r="F1477" s="236">
        <v>50</v>
      </c>
      <c r="G1477" s="236">
        <v>50</v>
      </c>
      <c r="H1477" s="236">
        <f>Tabla1321124[[#This Row],[CUARTO TRIMESTRE]]+Tabla1321124[[#This Row],[TERCER TRIMESTRE]]+Tabla1321124[[#This Row],[SEGUNDO TRIMESTRE]]+Tabla1321124[[#This Row],[PRIMER TRIMESTRE]]</f>
        <v>300</v>
      </c>
      <c r="I1477" s="17">
        <v>2</v>
      </c>
      <c r="J1477" s="17">
        <f>+Tabla1321124[[#This Row],[CANTIDAD TOTAL]]*Tabla1321124[[#This Row],[PRECIO UNITARIO ESTIMADO]]</f>
        <v>600</v>
      </c>
      <c r="K1477" s="345"/>
      <c r="L1477" s="16" t="s">
        <v>18</v>
      </c>
      <c r="M1477" s="16" t="s">
        <v>22</v>
      </c>
      <c r="N1477" s="16" t="s">
        <v>418</v>
      </c>
      <c r="O1477" s="243"/>
      <c r="P1477" s="243"/>
      <c r="Q1477" s="243"/>
      <c r="R1477" s="243"/>
      <c r="S1477" s="243"/>
      <c r="T1477" s="243"/>
      <c r="U1477" s="243"/>
      <c r="V1477" s="243"/>
      <c r="W1477" s="243"/>
      <c r="X1477" s="243"/>
      <c r="Y1477" s="243"/>
      <c r="Z1477" s="243"/>
      <c r="AA1477" s="243"/>
      <c r="AB1477" s="243"/>
      <c r="AC1477" s="243"/>
      <c r="AD1477" s="243"/>
      <c r="AE1477" s="243"/>
      <c r="AF1477" s="243"/>
      <c r="AG1477" s="243"/>
      <c r="AH1477" s="243"/>
      <c r="AI1477" s="243"/>
      <c r="AJ1477" s="243"/>
      <c r="AK1477" s="243"/>
      <c r="AL1477" s="243"/>
      <c r="AM1477" s="243"/>
      <c r="AN1477" s="243"/>
      <c r="AO1477" s="243"/>
      <c r="AP1477" s="243"/>
      <c r="AQ1477" s="243"/>
      <c r="AR1477" s="243"/>
      <c r="AS1477" s="243"/>
      <c r="AT1477" s="243"/>
      <c r="AU1477" s="243"/>
      <c r="AV1477" s="243"/>
      <c r="AW1477" s="243"/>
      <c r="AX1477" s="243"/>
      <c r="AY1477" s="243"/>
      <c r="AZ1477" s="243"/>
      <c r="BA1477" s="243"/>
      <c r="BB1477" s="243"/>
      <c r="BC1477" s="243"/>
      <c r="BD1477" s="243"/>
      <c r="BE1477" s="243"/>
      <c r="BF1477" s="243"/>
      <c r="BG1477" s="243"/>
      <c r="BH1477" s="243"/>
      <c r="BI1477" s="243"/>
      <c r="BJ1477" s="243"/>
      <c r="BK1477" s="243"/>
      <c r="BL1477" s="243"/>
      <c r="BM1477" s="243"/>
      <c r="BN1477" s="243"/>
      <c r="BO1477" s="243"/>
      <c r="BP1477" s="243"/>
      <c r="BQ1477" s="243"/>
      <c r="BR1477" s="243"/>
      <c r="BS1477" s="243"/>
    </row>
    <row r="1478" spans="1:71" s="12" customFormat="1" ht="41.25" customHeight="1">
      <c r="A1478" s="178" t="s">
        <v>99</v>
      </c>
      <c r="B1478" s="382" t="str">
        <f ca="1">+UPPER(Tabla1321124[[#This Row],[DESCRIPCIÓN DE LA COMPRA O CONTRATACIÓN]])</f>
        <v>CAJA BAJA LENGUA (100 UNIDADES)</v>
      </c>
      <c r="C1478" s="39" t="s">
        <v>208</v>
      </c>
      <c r="D1478" s="236">
        <v>20</v>
      </c>
      <c r="E1478" s="236">
        <v>10</v>
      </c>
      <c r="F1478" s="236">
        <v>10</v>
      </c>
      <c r="G1478" s="236">
        <v>10</v>
      </c>
      <c r="H1478" s="236">
        <f>Tabla1321124[[#This Row],[CUARTO TRIMESTRE]]+Tabla1321124[[#This Row],[TERCER TRIMESTRE]]+Tabla1321124[[#This Row],[SEGUNDO TRIMESTRE]]+Tabla1321124[[#This Row],[PRIMER TRIMESTRE]]</f>
        <v>50</v>
      </c>
      <c r="I1478" s="17">
        <v>300</v>
      </c>
      <c r="J1478" s="17">
        <f>+Tabla1321124[[#This Row],[CANTIDAD TOTAL]]*Tabla1321124[[#This Row],[PRECIO UNITARIO ESTIMADO]]</f>
        <v>15000</v>
      </c>
      <c r="K1478" s="345"/>
      <c r="L1478" s="16" t="s">
        <v>18</v>
      </c>
      <c r="M1478" s="16" t="s">
        <v>22</v>
      </c>
      <c r="N1478" s="16" t="s">
        <v>418</v>
      </c>
      <c r="O1478" s="243"/>
      <c r="P1478" s="243"/>
      <c r="Q1478" s="243"/>
      <c r="R1478" s="243"/>
      <c r="S1478" s="243"/>
      <c r="T1478" s="243"/>
      <c r="U1478" s="243"/>
      <c r="V1478" s="243"/>
      <c r="W1478" s="243"/>
      <c r="X1478" s="243"/>
      <c r="Y1478" s="243"/>
      <c r="Z1478" s="243"/>
      <c r="AA1478" s="243"/>
      <c r="AB1478" s="243"/>
      <c r="AC1478" s="243"/>
      <c r="AD1478" s="243"/>
      <c r="AE1478" s="243"/>
      <c r="AF1478" s="243"/>
      <c r="AG1478" s="243"/>
      <c r="AH1478" s="243"/>
      <c r="AI1478" s="243"/>
      <c r="AJ1478" s="243"/>
      <c r="AK1478" s="243"/>
      <c r="AL1478" s="243"/>
      <c r="AM1478" s="243"/>
      <c r="AN1478" s="243"/>
      <c r="AO1478" s="243"/>
      <c r="AP1478" s="243"/>
      <c r="AQ1478" s="243"/>
      <c r="AR1478" s="243"/>
      <c r="AS1478" s="243"/>
      <c r="AT1478" s="243"/>
      <c r="AU1478" s="243"/>
      <c r="AV1478" s="243"/>
      <c r="AW1478" s="243"/>
      <c r="AX1478" s="243"/>
      <c r="AY1478" s="243"/>
      <c r="AZ1478" s="243"/>
      <c r="BA1478" s="243"/>
      <c r="BB1478" s="243"/>
      <c r="BC1478" s="243"/>
      <c r="BD1478" s="243"/>
      <c r="BE1478" s="243"/>
      <c r="BF1478" s="243"/>
      <c r="BG1478" s="243"/>
      <c r="BH1478" s="243"/>
      <c r="BI1478" s="243"/>
      <c r="BJ1478" s="243"/>
      <c r="BK1478" s="243"/>
      <c r="BL1478" s="243"/>
      <c r="BM1478" s="243"/>
      <c r="BN1478" s="243"/>
      <c r="BO1478" s="243"/>
      <c r="BP1478" s="243"/>
      <c r="BQ1478" s="243"/>
      <c r="BR1478" s="243"/>
      <c r="BS1478" s="243"/>
    </row>
    <row r="1479" spans="1:71" s="12" customFormat="1" ht="41.25" customHeight="1">
      <c r="A1479" s="178" t="s">
        <v>99</v>
      </c>
      <c r="B1479" s="382" t="str">
        <f ca="1">+UPPER(Tabla1321124[[#This Row],[DESCRIPCIÓN DE LA COMPRA O CONTRATACIÓN]])</f>
        <v>FRASCO DE YODO</v>
      </c>
      <c r="C1479" s="39" t="s">
        <v>1067</v>
      </c>
      <c r="D1479" s="236">
        <v>30</v>
      </c>
      <c r="E1479" s="236">
        <v>20</v>
      </c>
      <c r="F1479" s="236">
        <v>15</v>
      </c>
      <c r="G1479" s="236">
        <v>15</v>
      </c>
      <c r="H1479" s="236">
        <f>Tabla1321124[[#This Row],[CUARTO TRIMESTRE]]+Tabla1321124[[#This Row],[TERCER TRIMESTRE]]+Tabla1321124[[#This Row],[SEGUNDO TRIMESTRE]]+Tabla1321124[[#This Row],[PRIMER TRIMESTRE]]</f>
        <v>80</v>
      </c>
      <c r="I1479" s="17">
        <v>2.5</v>
      </c>
      <c r="J1479" s="17">
        <f>+Tabla1321124[[#This Row],[CANTIDAD TOTAL]]*Tabla1321124[[#This Row],[PRECIO UNITARIO ESTIMADO]]</f>
        <v>200</v>
      </c>
      <c r="K1479" s="345"/>
      <c r="L1479" s="16" t="s">
        <v>18</v>
      </c>
      <c r="M1479" s="16" t="s">
        <v>22</v>
      </c>
      <c r="N1479" s="16" t="s">
        <v>418</v>
      </c>
      <c r="O1479" s="243"/>
      <c r="P1479" s="243"/>
      <c r="Q1479" s="243"/>
      <c r="R1479" s="243"/>
      <c r="S1479" s="243"/>
      <c r="T1479" s="243"/>
      <c r="U1479" s="243"/>
      <c r="V1479" s="243"/>
      <c r="W1479" s="243"/>
      <c r="X1479" s="243"/>
      <c r="Y1479" s="243"/>
      <c r="Z1479" s="243"/>
      <c r="AA1479" s="243"/>
      <c r="AB1479" s="243"/>
      <c r="AC1479" s="243"/>
      <c r="AD1479" s="243"/>
      <c r="AE1479" s="243"/>
      <c r="AF1479" s="243"/>
      <c r="AG1479" s="243"/>
      <c r="AH1479" s="243"/>
      <c r="AI1479" s="243"/>
      <c r="AJ1479" s="243"/>
      <c r="AK1479" s="243"/>
      <c r="AL1479" s="243"/>
      <c r="AM1479" s="243"/>
      <c r="AN1479" s="243"/>
      <c r="AO1479" s="243"/>
      <c r="AP1479" s="243"/>
      <c r="AQ1479" s="243"/>
      <c r="AR1479" s="243"/>
      <c r="AS1479" s="243"/>
      <c r="AT1479" s="243"/>
      <c r="AU1479" s="243"/>
      <c r="AV1479" s="243"/>
      <c r="AW1479" s="243"/>
      <c r="AX1479" s="243"/>
      <c r="AY1479" s="243"/>
      <c r="AZ1479" s="243"/>
      <c r="BA1479" s="243"/>
      <c r="BB1479" s="243"/>
      <c r="BC1479" s="243"/>
      <c r="BD1479" s="243"/>
      <c r="BE1479" s="243"/>
      <c r="BF1479" s="243"/>
      <c r="BG1479" s="243"/>
      <c r="BH1479" s="243"/>
      <c r="BI1479" s="243"/>
      <c r="BJ1479" s="243"/>
      <c r="BK1479" s="243"/>
      <c r="BL1479" s="243"/>
      <c r="BM1479" s="243"/>
      <c r="BN1479" s="243"/>
      <c r="BO1479" s="243"/>
      <c r="BP1479" s="243"/>
      <c r="BQ1479" s="243"/>
      <c r="BR1479" s="243"/>
      <c r="BS1479" s="243"/>
    </row>
    <row r="1480" spans="1:71" s="12" customFormat="1" ht="41.25" customHeight="1">
      <c r="A1480" s="178" t="s">
        <v>99</v>
      </c>
      <c r="B1480" s="382" t="str">
        <f ca="1">+UPPER(Tabla1321124[[#This Row],[DESCRIPCIÓN DE LA COMPRA O CONTRATACIÓN]])</f>
        <v>FRASCO DE AGUA OXIGENADA</v>
      </c>
      <c r="C1480" s="39" t="s">
        <v>1067</v>
      </c>
      <c r="D1480" s="236">
        <v>20</v>
      </c>
      <c r="E1480" s="236">
        <v>20</v>
      </c>
      <c r="F1480" s="236">
        <v>20</v>
      </c>
      <c r="G1480" s="236">
        <v>20</v>
      </c>
      <c r="H1480" s="236">
        <f>Tabla1321124[[#This Row],[CUARTO TRIMESTRE]]+Tabla1321124[[#This Row],[TERCER TRIMESTRE]]+Tabla1321124[[#This Row],[SEGUNDO TRIMESTRE]]+Tabla1321124[[#This Row],[PRIMER TRIMESTRE]]</f>
        <v>80</v>
      </c>
      <c r="I1480" s="17">
        <v>2.5</v>
      </c>
      <c r="J1480" s="17">
        <f>+Tabla1321124[[#This Row],[CANTIDAD TOTAL]]*Tabla1321124[[#This Row],[PRECIO UNITARIO ESTIMADO]]</f>
        <v>200</v>
      </c>
      <c r="K1480" s="345"/>
      <c r="L1480" s="16" t="s">
        <v>18</v>
      </c>
      <c r="M1480" s="16" t="s">
        <v>22</v>
      </c>
      <c r="N1480" s="16" t="s">
        <v>418</v>
      </c>
      <c r="O1480" s="243"/>
      <c r="P1480" s="243"/>
      <c r="Q1480" s="243"/>
      <c r="R1480" s="243"/>
      <c r="S1480" s="243"/>
      <c r="T1480" s="243"/>
      <c r="U1480" s="243"/>
      <c r="V1480" s="243"/>
      <c r="W1480" s="243"/>
      <c r="X1480" s="243"/>
      <c r="Y1480" s="243"/>
      <c r="Z1480" s="243"/>
      <c r="AA1480" s="243"/>
      <c r="AB1480" s="243"/>
      <c r="AC1480" s="243"/>
      <c r="AD1480" s="243"/>
      <c r="AE1480" s="243"/>
      <c r="AF1480" s="243"/>
      <c r="AG1480" s="243"/>
      <c r="AH1480" s="243"/>
      <c r="AI1480" s="243"/>
      <c r="AJ1480" s="243"/>
      <c r="AK1480" s="243"/>
      <c r="AL1480" s="243"/>
      <c r="AM1480" s="243"/>
      <c r="AN1480" s="243"/>
      <c r="AO1480" s="243"/>
      <c r="AP1480" s="243"/>
      <c r="AQ1480" s="243"/>
      <c r="AR1480" s="243"/>
      <c r="AS1480" s="243"/>
      <c r="AT1480" s="243"/>
      <c r="AU1480" s="243"/>
      <c r="AV1480" s="243"/>
      <c r="AW1480" s="243"/>
      <c r="AX1480" s="243"/>
      <c r="AY1480" s="243"/>
      <c r="AZ1480" s="243"/>
      <c r="BA1480" s="243"/>
      <c r="BB1480" s="243"/>
      <c r="BC1480" s="243"/>
      <c r="BD1480" s="243"/>
      <c r="BE1480" s="243"/>
      <c r="BF1480" s="243"/>
      <c r="BG1480" s="243"/>
      <c r="BH1480" s="243"/>
      <c r="BI1480" s="243"/>
      <c r="BJ1480" s="243"/>
      <c r="BK1480" s="243"/>
      <c r="BL1480" s="243"/>
      <c r="BM1480" s="243"/>
      <c r="BN1480" s="243"/>
      <c r="BO1480" s="243"/>
      <c r="BP1480" s="243"/>
      <c r="BQ1480" s="243"/>
      <c r="BR1480" s="243"/>
      <c r="BS1480" s="243"/>
    </row>
    <row r="1481" spans="1:71" s="12" customFormat="1" ht="41.25" customHeight="1">
      <c r="A1481" s="178" t="s">
        <v>99</v>
      </c>
      <c r="B1481" s="382" t="str">
        <f ca="1">+UPPER(Tabla1321124[[#This Row],[DESCRIPCIÓN DE LA COMPRA O CONTRATACIÓN]])</f>
        <v>SOLUCIÓN SALINA</v>
      </c>
      <c r="C1481" s="39" t="s">
        <v>1067</v>
      </c>
      <c r="D1481" s="236">
        <v>20</v>
      </c>
      <c r="E1481" s="236">
        <v>10</v>
      </c>
      <c r="F1481" s="236">
        <v>10</v>
      </c>
      <c r="G1481" s="236">
        <v>10</v>
      </c>
      <c r="H1481" s="236">
        <f>Tabla1321124[[#This Row],[CUARTO TRIMESTRE]]+Tabla1321124[[#This Row],[TERCER TRIMESTRE]]+Tabla1321124[[#This Row],[SEGUNDO TRIMESTRE]]+Tabla1321124[[#This Row],[PRIMER TRIMESTRE]]</f>
        <v>50</v>
      </c>
      <c r="I1481" s="17">
        <v>30</v>
      </c>
      <c r="J1481" s="17">
        <f>+Tabla1321124[[#This Row],[CANTIDAD TOTAL]]*Tabla1321124[[#This Row],[PRECIO UNITARIO ESTIMADO]]</f>
        <v>1500</v>
      </c>
      <c r="K1481" s="345"/>
      <c r="L1481" s="16" t="s">
        <v>18</v>
      </c>
      <c r="M1481" s="16" t="s">
        <v>22</v>
      </c>
      <c r="N1481" s="16" t="s">
        <v>418</v>
      </c>
      <c r="O1481" s="243"/>
      <c r="P1481" s="243"/>
      <c r="Q1481" s="243"/>
      <c r="R1481" s="243"/>
      <c r="S1481" s="243"/>
      <c r="T1481" s="243"/>
      <c r="U1481" s="243"/>
      <c r="V1481" s="243"/>
      <c r="W1481" s="243"/>
      <c r="X1481" s="243"/>
      <c r="Y1481" s="243"/>
      <c r="Z1481" s="243"/>
      <c r="AA1481" s="243"/>
      <c r="AB1481" s="243"/>
      <c r="AC1481" s="243"/>
      <c r="AD1481" s="243"/>
      <c r="AE1481" s="243"/>
      <c r="AF1481" s="243"/>
      <c r="AG1481" s="243"/>
      <c r="AH1481" s="243"/>
      <c r="AI1481" s="243"/>
      <c r="AJ1481" s="243"/>
      <c r="AK1481" s="243"/>
      <c r="AL1481" s="243"/>
      <c r="AM1481" s="243"/>
      <c r="AN1481" s="243"/>
      <c r="AO1481" s="243"/>
      <c r="AP1481" s="243"/>
      <c r="AQ1481" s="243"/>
      <c r="AR1481" s="243"/>
      <c r="AS1481" s="243"/>
      <c r="AT1481" s="243"/>
      <c r="AU1481" s="243"/>
      <c r="AV1481" s="243"/>
      <c r="AW1481" s="243"/>
      <c r="AX1481" s="243"/>
      <c r="AY1481" s="243"/>
      <c r="AZ1481" s="243"/>
      <c r="BA1481" s="243"/>
      <c r="BB1481" s="243"/>
      <c r="BC1481" s="243"/>
      <c r="BD1481" s="243"/>
      <c r="BE1481" s="243"/>
      <c r="BF1481" s="243"/>
      <c r="BG1481" s="243"/>
      <c r="BH1481" s="243"/>
      <c r="BI1481" s="243"/>
      <c r="BJ1481" s="243"/>
      <c r="BK1481" s="243"/>
      <c r="BL1481" s="243"/>
      <c r="BM1481" s="243"/>
      <c r="BN1481" s="243"/>
      <c r="BO1481" s="243"/>
      <c r="BP1481" s="243"/>
      <c r="BQ1481" s="243"/>
      <c r="BR1481" s="243"/>
      <c r="BS1481" s="243"/>
    </row>
    <row r="1482" spans="1:71" s="12" customFormat="1" ht="41.25" customHeight="1">
      <c r="A1482" s="178" t="s">
        <v>99</v>
      </c>
      <c r="B1482" s="382" t="str">
        <f ca="1">+UPPER(Tabla1321124[[#This Row],[DESCRIPCIÓN DE LA COMPRA O CONTRATACIÓN]])</f>
        <v>ZO</v>
      </c>
      <c r="C1482" s="39" t="s">
        <v>1067</v>
      </c>
      <c r="D1482" s="236">
        <v>25</v>
      </c>
      <c r="E1482" s="236">
        <v>25</v>
      </c>
      <c r="F1482" s="236">
        <v>25</v>
      </c>
      <c r="G1482" s="236">
        <v>25</v>
      </c>
      <c r="H1482" s="236">
        <f>Tabla1321124[[#This Row],[CUARTO TRIMESTRE]]+Tabla1321124[[#This Row],[TERCER TRIMESTRE]]+Tabla1321124[[#This Row],[SEGUNDO TRIMESTRE]]+Tabla1321124[[#This Row],[PRIMER TRIMESTRE]]</f>
        <v>100</v>
      </c>
      <c r="I1482" s="17">
        <v>100</v>
      </c>
      <c r="J1482" s="17">
        <f>+Tabla1321124[[#This Row],[CANTIDAD TOTAL]]*Tabla1321124[[#This Row],[PRECIO UNITARIO ESTIMADO]]</f>
        <v>10000</v>
      </c>
      <c r="K1482" s="345"/>
      <c r="L1482" s="16" t="s">
        <v>18</v>
      </c>
      <c r="M1482" s="16" t="s">
        <v>22</v>
      </c>
      <c r="N1482" s="16" t="s">
        <v>418</v>
      </c>
      <c r="O1482" s="243"/>
      <c r="P1482" s="243"/>
      <c r="Q1482" s="243"/>
      <c r="R1482" s="243"/>
      <c r="S1482" s="243"/>
      <c r="T1482" s="243"/>
      <c r="U1482" s="243"/>
      <c r="V1482" s="243"/>
      <c r="W1482" s="243"/>
      <c r="X1482" s="243"/>
      <c r="Y1482" s="243"/>
      <c r="Z1482" s="243"/>
      <c r="AA1482" s="243"/>
      <c r="AB1482" s="243"/>
      <c r="AC1482" s="243"/>
      <c r="AD1482" s="243"/>
      <c r="AE1482" s="243"/>
      <c r="AF1482" s="243"/>
      <c r="AG1482" s="243"/>
      <c r="AH1482" s="243"/>
      <c r="AI1482" s="243"/>
      <c r="AJ1482" s="243"/>
      <c r="AK1482" s="243"/>
      <c r="AL1482" s="243"/>
      <c r="AM1482" s="243"/>
      <c r="AN1482" s="243"/>
      <c r="AO1482" s="243"/>
      <c r="AP1482" s="243"/>
      <c r="AQ1482" s="243"/>
      <c r="AR1482" s="243"/>
      <c r="AS1482" s="243"/>
      <c r="AT1482" s="243"/>
      <c r="AU1482" s="243"/>
      <c r="AV1482" s="243"/>
      <c r="AW1482" s="243"/>
      <c r="AX1482" s="243"/>
      <c r="AY1482" s="243"/>
      <c r="AZ1482" s="243"/>
      <c r="BA1482" s="243"/>
      <c r="BB1482" s="243"/>
      <c r="BC1482" s="243"/>
      <c r="BD1482" s="243"/>
      <c r="BE1482" s="243"/>
      <c r="BF1482" s="243"/>
      <c r="BG1482" s="243"/>
      <c r="BH1482" s="243"/>
      <c r="BI1482" s="243"/>
      <c r="BJ1482" s="243"/>
      <c r="BK1482" s="243"/>
      <c r="BL1482" s="243"/>
      <c r="BM1482" s="243"/>
      <c r="BN1482" s="243"/>
      <c r="BO1482" s="243"/>
      <c r="BP1482" s="243"/>
      <c r="BQ1482" s="243"/>
      <c r="BR1482" s="243"/>
      <c r="BS1482" s="243"/>
    </row>
    <row r="1483" spans="1:71" s="12" customFormat="1" ht="41.25" customHeight="1">
      <c r="A1483" s="178" t="s">
        <v>99</v>
      </c>
      <c r="B1483" s="382" t="str">
        <f ca="1">+UPPER(Tabla1321124[[#This Row],[DESCRIPCIÓN DE LA COMPRA O CONTRATACIÓN]])</f>
        <v>TERMÓMETRO</v>
      </c>
      <c r="C1483" s="39" t="s">
        <v>1067</v>
      </c>
      <c r="D1483" s="236">
        <v>20</v>
      </c>
      <c r="E1483" s="236">
        <v>10</v>
      </c>
      <c r="F1483" s="236">
        <v>10</v>
      </c>
      <c r="G1483" s="236">
        <v>10</v>
      </c>
      <c r="H1483" s="236">
        <f>Tabla1321124[[#This Row],[CUARTO TRIMESTRE]]+Tabla1321124[[#This Row],[TERCER TRIMESTRE]]+Tabla1321124[[#This Row],[SEGUNDO TRIMESTRE]]+Tabla1321124[[#This Row],[PRIMER TRIMESTRE]]</f>
        <v>50</v>
      </c>
      <c r="I1483" s="17">
        <v>15</v>
      </c>
      <c r="J1483" s="17">
        <f>+Tabla1321124[[#This Row],[CANTIDAD TOTAL]]*Tabla1321124[[#This Row],[PRECIO UNITARIO ESTIMADO]]</f>
        <v>750</v>
      </c>
      <c r="K1483" s="345"/>
      <c r="L1483" s="16" t="s">
        <v>18</v>
      </c>
      <c r="M1483" s="16" t="s">
        <v>22</v>
      </c>
      <c r="N1483" s="16" t="s">
        <v>418</v>
      </c>
      <c r="O1483" s="243"/>
      <c r="P1483" s="243"/>
      <c r="Q1483" s="243"/>
      <c r="R1483" s="243"/>
      <c r="S1483" s="243"/>
      <c r="T1483" s="243"/>
      <c r="U1483" s="243"/>
      <c r="V1483" s="243"/>
      <c r="W1483" s="243"/>
      <c r="X1483" s="243"/>
      <c r="Y1483" s="243"/>
      <c r="Z1483" s="243"/>
      <c r="AA1483" s="243"/>
      <c r="AB1483" s="243"/>
      <c r="AC1483" s="243"/>
      <c r="AD1483" s="243"/>
      <c r="AE1483" s="243"/>
      <c r="AF1483" s="243"/>
      <c r="AG1483" s="243"/>
      <c r="AH1483" s="243"/>
      <c r="AI1483" s="243"/>
      <c r="AJ1483" s="243"/>
      <c r="AK1483" s="243"/>
      <c r="AL1483" s="243"/>
      <c r="AM1483" s="243"/>
      <c r="AN1483" s="243"/>
      <c r="AO1483" s="243"/>
      <c r="AP1483" s="243"/>
      <c r="AQ1483" s="243"/>
      <c r="AR1483" s="243"/>
      <c r="AS1483" s="243"/>
      <c r="AT1483" s="243"/>
      <c r="AU1483" s="243"/>
      <c r="AV1483" s="243"/>
      <c r="AW1483" s="243"/>
      <c r="AX1483" s="243"/>
      <c r="AY1483" s="243"/>
      <c r="AZ1483" s="243"/>
      <c r="BA1483" s="243"/>
      <c r="BB1483" s="243"/>
      <c r="BC1483" s="243"/>
      <c r="BD1483" s="243"/>
      <c r="BE1483" s="243"/>
      <c r="BF1483" s="243"/>
      <c r="BG1483" s="243"/>
      <c r="BH1483" s="243"/>
      <c r="BI1483" s="243"/>
      <c r="BJ1483" s="243"/>
      <c r="BK1483" s="243"/>
      <c r="BL1483" s="243"/>
      <c r="BM1483" s="243"/>
      <c r="BN1483" s="243"/>
      <c r="BO1483" s="243"/>
      <c r="BP1483" s="243"/>
      <c r="BQ1483" s="243"/>
      <c r="BR1483" s="243"/>
      <c r="BS1483" s="243"/>
    </row>
    <row r="1484" spans="1:71" s="12" customFormat="1" ht="41.25" customHeight="1">
      <c r="A1484" s="178" t="s">
        <v>99</v>
      </c>
      <c r="B1484" s="382" t="str">
        <f ca="1">+UPPER(Tabla1321124[[#This Row],[DESCRIPCIÓN DE LA COMPRA O CONTRATACIÓN]])</f>
        <v>ESFINOMANOMETRO MANUAL</v>
      </c>
      <c r="C1484" s="39" t="s">
        <v>1067</v>
      </c>
      <c r="D1484" s="236">
        <v>1</v>
      </c>
      <c r="E1484" s="236"/>
      <c r="F1484" s="236">
        <v>1</v>
      </c>
      <c r="G1484" s="236"/>
      <c r="H1484" s="236">
        <f>Tabla1321124[[#This Row],[CUARTO TRIMESTRE]]+Tabla1321124[[#This Row],[TERCER TRIMESTRE]]+Tabla1321124[[#This Row],[SEGUNDO TRIMESTRE]]+Tabla1321124[[#This Row],[PRIMER TRIMESTRE]]</f>
        <v>2</v>
      </c>
      <c r="I1484" s="17">
        <v>1000</v>
      </c>
      <c r="J1484" s="17">
        <f>+Tabla1321124[[#This Row],[CANTIDAD TOTAL]]*Tabla1321124[[#This Row],[PRECIO UNITARIO ESTIMADO]]</f>
        <v>2000</v>
      </c>
      <c r="K1484" s="345"/>
      <c r="L1484" s="16" t="s">
        <v>18</v>
      </c>
      <c r="M1484" s="16" t="s">
        <v>22</v>
      </c>
      <c r="N1484" s="16" t="s">
        <v>418</v>
      </c>
      <c r="O1484" s="243"/>
      <c r="P1484" s="243"/>
      <c r="Q1484" s="243"/>
      <c r="R1484" s="243"/>
      <c r="S1484" s="243"/>
      <c r="T1484" s="243"/>
      <c r="U1484" s="243"/>
      <c r="V1484" s="243"/>
      <c r="W1484" s="243"/>
      <c r="X1484" s="243"/>
      <c r="Y1484" s="243"/>
      <c r="Z1484" s="243"/>
      <c r="AA1484" s="243"/>
      <c r="AB1484" s="243"/>
      <c r="AC1484" s="243"/>
      <c r="AD1484" s="243"/>
      <c r="AE1484" s="243"/>
      <c r="AF1484" s="243"/>
      <c r="AG1484" s="243"/>
      <c r="AH1484" s="243"/>
      <c r="AI1484" s="243"/>
      <c r="AJ1484" s="243"/>
      <c r="AK1484" s="243"/>
      <c r="AL1484" s="243"/>
      <c r="AM1484" s="243"/>
      <c r="AN1484" s="243"/>
      <c r="AO1484" s="243"/>
      <c r="AP1484" s="243"/>
      <c r="AQ1484" s="243"/>
      <c r="AR1484" s="243"/>
      <c r="AS1484" s="243"/>
      <c r="AT1484" s="243"/>
      <c r="AU1484" s="243"/>
      <c r="AV1484" s="243"/>
      <c r="AW1484" s="243"/>
      <c r="AX1484" s="243"/>
      <c r="AY1484" s="243"/>
      <c r="AZ1484" s="243"/>
      <c r="BA1484" s="243"/>
      <c r="BB1484" s="243"/>
      <c r="BC1484" s="243"/>
      <c r="BD1484" s="243"/>
      <c r="BE1484" s="243"/>
      <c r="BF1484" s="243"/>
      <c r="BG1484" s="243"/>
      <c r="BH1484" s="243"/>
      <c r="BI1484" s="243"/>
      <c r="BJ1484" s="243"/>
      <c r="BK1484" s="243"/>
      <c r="BL1484" s="243"/>
      <c r="BM1484" s="243"/>
      <c r="BN1484" s="243"/>
      <c r="BO1484" s="243"/>
      <c r="BP1484" s="243"/>
      <c r="BQ1484" s="243"/>
      <c r="BR1484" s="243"/>
      <c r="BS1484" s="243"/>
    </row>
    <row r="1485" spans="1:71" s="12" customFormat="1" ht="41.25" customHeight="1">
      <c r="A1485" s="178" t="s">
        <v>99</v>
      </c>
      <c r="B1485" s="382" t="str">
        <f ca="1">+UPPER(Tabla1321124[[#This Row],[DESCRIPCIÓN DE LA COMPRA O CONTRATACIÓN]])</f>
        <v>ESTETOSCOPIO MECÁNICO</v>
      </c>
      <c r="C1485" s="39" t="s">
        <v>1067</v>
      </c>
      <c r="D1485" s="236">
        <v>1</v>
      </c>
      <c r="E1485" s="236"/>
      <c r="F1485" s="236">
        <v>1</v>
      </c>
      <c r="G1485" s="236"/>
      <c r="H1485" s="236">
        <f>Tabla1321124[[#This Row],[CUARTO TRIMESTRE]]+Tabla1321124[[#This Row],[TERCER TRIMESTRE]]+Tabla1321124[[#This Row],[SEGUNDO TRIMESTRE]]+Tabla1321124[[#This Row],[PRIMER TRIMESTRE]]</f>
        <v>2</v>
      </c>
      <c r="I1485" s="17">
        <v>500</v>
      </c>
      <c r="J1485" s="17">
        <f>+Tabla1321124[[#This Row],[CANTIDAD TOTAL]]*Tabla1321124[[#This Row],[PRECIO UNITARIO ESTIMADO]]</f>
        <v>1000</v>
      </c>
      <c r="K1485" s="345"/>
      <c r="L1485" s="16" t="s">
        <v>18</v>
      </c>
      <c r="M1485" s="16" t="s">
        <v>22</v>
      </c>
      <c r="N1485" s="16" t="s">
        <v>418</v>
      </c>
      <c r="O1485" s="243"/>
      <c r="P1485" s="243"/>
      <c r="Q1485" s="243"/>
      <c r="R1485" s="243"/>
      <c r="S1485" s="243"/>
      <c r="T1485" s="243"/>
      <c r="U1485" s="243"/>
      <c r="V1485" s="243"/>
      <c r="W1485" s="243"/>
      <c r="X1485" s="243"/>
      <c r="Y1485" s="243"/>
      <c r="Z1485" s="243"/>
      <c r="AA1485" s="243"/>
      <c r="AB1485" s="243"/>
      <c r="AC1485" s="243"/>
      <c r="AD1485" s="243"/>
      <c r="AE1485" s="243"/>
      <c r="AF1485" s="243"/>
      <c r="AG1485" s="243"/>
      <c r="AH1485" s="243"/>
      <c r="AI1485" s="243"/>
      <c r="AJ1485" s="243"/>
      <c r="AK1485" s="243"/>
      <c r="AL1485" s="243"/>
      <c r="AM1485" s="243"/>
      <c r="AN1485" s="243"/>
      <c r="AO1485" s="243"/>
      <c r="AP1485" s="243"/>
      <c r="AQ1485" s="243"/>
      <c r="AR1485" s="243"/>
      <c r="AS1485" s="243"/>
      <c r="AT1485" s="243"/>
      <c r="AU1485" s="243"/>
      <c r="AV1485" s="243"/>
      <c r="AW1485" s="243"/>
      <c r="AX1485" s="243"/>
      <c r="AY1485" s="243"/>
      <c r="AZ1485" s="243"/>
      <c r="BA1485" s="243"/>
      <c r="BB1485" s="243"/>
      <c r="BC1485" s="243"/>
      <c r="BD1485" s="243"/>
      <c r="BE1485" s="243"/>
      <c r="BF1485" s="243"/>
      <c r="BG1485" s="243"/>
      <c r="BH1485" s="243"/>
      <c r="BI1485" s="243"/>
      <c r="BJ1485" s="243"/>
      <c r="BK1485" s="243"/>
      <c r="BL1485" s="243"/>
      <c r="BM1485" s="243"/>
      <c r="BN1485" s="243"/>
      <c r="BO1485" s="243"/>
      <c r="BP1485" s="243"/>
      <c r="BQ1485" s="243"/>
      <c r="BR1485" s="243"/>
      <c r="BS1485" s="243"/>
    </row>
    <row r="1486" spans="1:71" s="12" customFormat="1" ht="41.25" customHeight="1">
      <c r="A1486" s="178" t="s">
        <v>99</v>
      </c>
      <c r="B1486" s="382" t="str">
        <f ca="1">+UPPER(Tabla1321124[[#This Row],[DESCRIPCIÓN DE LA COMPRA O CONTRATACIÓN]])</f>
        <v>ESTETOSCOPIO</v>
      </c>
      <c r="C1486" s="39" t="s">
        <v>1067</v>
      </c>
      <c r="D1486" s="236">
        <v>1</v>
      </c>
      <c r="E1486" s="236"/>
      <c r="F1486" s="236">
        <v>1</v>
      </c>
      <c r="G1486" s="236"/>
      <c r="H1486" s="236">
        <f>Tabla1321124[[#This Row],[CUARTO TRIMESTRE]]+Tabla1321124[[#This Row],[TERCER TRIMESTRE]]+Tabla1321124[[#This Row],[SEGUNDO TRIMESTRE]]+Tabla1321124[[#This Row],[PRIMER TRIMESTRE]]</f>
        <v>2</v>
      </c>
      <c r="I1486" s="17">
        <v>1500</v>
      </c>
      <c r="J1486" s="17">
        <f>+Tabla1321124[[#This Row],[CANTIDAD TOTAL]]*Tabla1321124[[#This Row],[PRECIO UNITARIO ESTIMADO]]</f>
        <v>3000</v>
      </c>
      <c r="K1486" s="345"/>
      <c r="L1486" s="16" t="s">
        <v>18</v>
      </c>
      <c r="M1486" s="16" t="s">
        <v>22</v>
      </c>
      <c r="N1486" s="16" t="s">
        <v>418</v>
      </c>
      <c r="O1486" s="243"/>
      <c r="P1486" s="243"/>
      <c r="Q1486" s="243"/>
      <c r="R1486" s="243"/>
      <c r="S1486" s="243"/>
      <c r="T1486" s="243"/>
      <c r="U1486" s="243"/>
      <c r="V1486" s="243"/>
      <c r="W1486" s="243"/>
      <c r="X1486" s="243"/>
      <c r="Y1486" s="243"/>
      <c r="Z1486" s="243"/>
      <c r="AA1486" s="243"/>
      <c r="AB1486" s="243"/>
      <c r="AC1486" s="243"/>
      <c r="AD1486" s="243"/>
      <c r="AE1486" s="243"/>
      <c r="AF1486" s="243"/>
      <c r="AG1486" s="243"/>
      <c r="AH1486" s="243"/>
      <c r="AI1486" s="243"/>
      <c r="AJ1486" s="243"/>
      <c r="AK1486" s="243"/>
      <c r="AL1486" s="243"/>
      <c r="AM1486" s="243"/>
      <c r="AN1486" s="243"/>
      <c r="AO1486" s="243"/>
      <c r="AP1486" s="243"/>
      <c r="AQ1486" s="243"/>
      <c r="AR1486" s="243"/>
      <c r="AS1486" s="243"/>
      <c r="AT1486" s="243"/>
      <c r="AU1486" s="243"/>
      <c r="AV1486" s="243"/>
      <c r="AW1486" s="243"/>
      <c r="AX1486" s="243"/>
      <c r="AY1486" s="243"/>
      <c r="AZ1486" s="243"/>
      <c r="BA1486" s="243"/>
      <c r="BB1486" s="243"/>
      <c r="BC1486" s="243"/>
      <c r="BD1486" s="243"/>
      <c r="BE1486" s="243"/>
      <c r="BF1486" s="243"/>
      <c r="BG1486" s="243"/>
      <c r="BH1486" s="243"/>
      <c r="BI1486" s="243"/>
      <c r="BJ1486" s="243"/>
      <c r="BK1486" s="243"/>
      <c r="BL1486" s="243"/>
      <c r="BM1486" s="243"/>
      <c r="BN1486" s="243"/>
      <c r="BO1486" s="243"/>
      <c r="BP1486" s="243"/>
      <c r="BQ1486" s="243"/>
      <c r="BR1486" s="243"/>
      <c r="BS1486" s="243"/>
    </row>
    <row r="1487" spans="1:71" s="12" customFormat="1" ht="41.25" customHeight="1">
      <c r="A1487" s="178" t="s">
        <v>99</v>
      </c>
      <c r="B1487" s="382" t="str">
        <f ca="1">+UPPER(Tabla1321124[[#This Row],[DESCRIPCIÓN DE LA COMPRA O CONTRATACIÓN]])</f>
        <v>OTOSCOPIO</v>
      </c>
      <c r="C1487" s="39" t="s">
        <v>1067</v>
      </c>
      <c r="D1487" s="236">
        <v>1</v>
      </c>
      <c r="E1487" s="236"/>
      <c r="F1487" s="236">
        <v>1</v>
      </c>
      <c r="G1487" s="236"/>
      <c r="H1487" s="236">
        <f>Tabla1321124[[#This Row],[CUARTO TRIMESTRE]]+Tabla1321124[[#This Row],[TERCER TRIMESTRE]]+Tabla1321124[[#This Row],[SEGUNDO TRIMESTRE]]+Tabla1321124[[#This Row],[PRIMER TRIMESTRE]]</f>
        <v>2</v>
      </c>
      <c r="I1487" s="17">
        <v>3000</v>
      </c>
      <c r="J1487" s="17">
        <f>+Tabla1321124[[#This Row],[CANTIDAD TOTAL]]*Tabla1321124[[#This Row],[PRECIO UNITARIO ESTIMADO]]</f>
        <v>6000</v>
      </c>
      <c r="K1487" s="345"/>
      <c r="L1487" s="16" t="s">
        <v>18</v>
      </c>
      <c r="M1487" s="16" t="s">
        <v>22</v>
      </c>
      <c r="N1487" s="16" t="s">
        <v>418</v>
      </c>
      <c r="O1487" s="243"/>
      <c r="P1487" s="243"/>
      <c r="Q1487" s="243"/>
      <c r="R1487" s="243"/>
      <c r="S1487" s="243"/>
      <c r="T1487" s="243"/>
      <c r="U1487" s="243"/>
      <c r="V1487" s="243"/>
      <c r="W1487" s="243"/>
      <c r="X1487" s="243"/>
      <c r="Y1487" s="243"/>
      <c r="Z1487" s="243"/>
      <c r="AA1487" s="243"/>
      <c r="AB1487" s="243"/>
      <c r="AC1487" s="243"/>
      <c r="AD1487" s="243"/>
      <c r="AE1487" s="243"/>
      <c r="AF1487" s="243"/>
      <c r="AG1487" s="243"/>
      <c r="AH1487" s="243"/>
      <c r="AI1487" s="243"/>
      <c r="AJ1487" s="243"/>
      <c r="AK1487" s="243"/>
      <c r="AL1487" s="243"/>
      <c r="AM1487" s="243"/>
      <c r="AN1487" s="243"/>
      <c r="AO1487" s="243"/>
      <c r="AP1487" s="243"/>
      <c r="AQ1487" s="243"/>
      <c r="AR1487" s="243"/>
      <c r="AS1487" s="243"/>
      <c r="AT1487" s="243"/>
      <c r="AU1487" s="243"/>
      <c r="AV1487" s="243"/>
      <c r="AW1487" s="243"/>
      <c r="AX1487" s="243"/>
      <c r="AY1487" s="243"/>
      <c r="AZ1487" s="243"/>
      <c r="BA1487" s="243"/>
      <c r="BB1487" s="243"/>
      <c r="BC1487" s="243"/>
      <c r="BD1487" s="243"/>
      <c r="BE1487" s="243"/>
      <c r="BF1487" s="243"/>
      <c r="BG1487" s="243"/>
      <c r="BH1487" s="243"/>
      <c r="BI1487" s="243"/>
      <c r="BJ1487" s="243"/>
      <c r="BK1487" s="243"/>
      <c r="BL1487" s="243"/>
      <c r="BM1487" s="243"/>
      <c r="BN1487" s="243"/>
      <c r="BO1487" s="243"/>
      <c r="BP1487" s="243"/>
      <c r="BQ1487" s="243"/>
      <c r="BR1487" s="243"/>
      <c r="BS1487" s="243"/>
    </row>
    <row r="1488" spans="1:71" s="12" customFormat="1" ht="41.25" customHeight="1">
      <c r="A1488" s="178" t="s">
        <v>99</v>
      </c>
      <c r="B1488" s="382" t="str">
        <f ca="1">+UPPER(Tabla1321124[[#This Row],[DESCRIPCIÓN DE LA COMPRA O CONTRATACIÓN]])</f>
        <v>TANQUE DE OXÍGENO 100LB</v>
      </c>
      <c r="C1488" s="39" t="s">
        <v>1067</v>
      </c>
      <c r="D1488" s="236">
        <v>1</v>
      </c>
      <c r="E1488" s="236"/>
      <c r="F1488" s="236"/>
      <c r="G1488" s="236"/>
      <c r="H1488" s="236">
        <f>Tabla1321124[[#This Row],[CUARTO TRIMESTRE]]+Tabla1321124[[#This Row],[TERCER TRIMESTRE]]+Tabla1321124[[#This Row],[SEGUNDO TRIMESTRE]]+Tabla1321124[[#This Row],[PRIMER TRIMESTRE]]</f>
        <v>1</v>
      </c>
      <c r="I1488" s="17">
        <v>10000</v>
      </c>
      <c r="J1488" s="17">
        <f>+Tabla1321124[[#This Row],[CANTIDAD TOTAL]]*Tabla1321124[[#This Row],[PRECIO UNITARIO ESTIMADO]]</f>
        <v>10000</v>
      </c>
      <c r="K1488" s="345"/>
      <c r="L1488" s="16" t="s">
        <v>18</v>
      </c>
      <c r="M1488" s="16" t="s">
        <v>22</v>
      </c>
      <c r="N1488" s="16" t="s">
        <v>418</v>
      </c>
      <c r="O1488" s="243"/>
      <c r="P1488" s="243"/>
      <c r="Q1488" s="243"/>
      <c r="R1488" s="243"/>
      <c r="S1488" s="243"/>
      <c r="T1488" s="243"/>
      <c r="U1488" s="243"/>
      <c r="V1488" s="243"/>
      <c r="W1488" s="243"/>
      <c r="X1488" s="243"/>
      <c r="Y1488" s="243"/>
      <c r="Z1488" s="243"/>
      <c r="AA1488" s="243"/>
      <c r="AB1488" s="243"/>
      <c r="AC1488" s="243"/>
      <c r="AD1488" s="243"/>
      <c r="AE1488" s="243"/>
      <c r="AF1488" s="243"/>
      <c r="AG1488" s="243"/>
      <c r="AH1488" s="243"/>
      <c r="AI1488" s="243"/>
      <c r="AJ1488" s="243"/>
      <c r="AK1488" s="243"/>
      <c r="AL1488" s="243"/>
      <c r="AM1488" s="243"/>
      <c r="AN1488" s="243"/>
      <c r="AO1488" s="243"/>
      <c r="AP1488" s="243"/>
      <c r="AQ1488" s="243"/>
      <c r="AR1488" s="243"/>
      <c r="AS1488" s="243"/>
      <c r="AT1488" s="243"/>
      <c r="AU1488" s="243"/>
      <c r="AV1488" s="243"/>
      <c r="AW1488" s="243"/>
      <c r="AX1488" s="243"/>
      <c r="AY1488" s="243"/>
      <c r="AZ1488" s="243"/>
      <c r="BA1488" s="243"/>
      <c r="BB1488" s="243"/>
      <c r="BC1488" s="243"/>
      <c r="BD1488" s="243"/>
      <c r="BE1488" s="243"/>
      <c r="BF1488" s="243"/>
      <c r="BG1488" s="243"/>
      <c r="BH1488" s="243"/>
      <c r="BI1488" s="243"/>
      <c r="BJ1488" s="243"/>
      <c r="BK1488" s="243"/>
      <c r="BL1488" s="243"/>
      <c r="BM1488" s="243"/>
      <c r="BN1488" s="243"/>
      <c r="BO1488" s="243"/>
      <c r="BP1488" s="243"/>
      <c r="BQ1488" s="243"/>
      <c r="BR1488" s="243"/>
      <c r="BS1488" s="243"/>
    </row>
    <row r="1489" spans="1:71" s="12" customFormat="1" ht="41.25" customHeight="1">
      <c r="A1489" s="178" t="s">
        <v>99</v>
      </c>
      <c r="B1489" s="382" t="str">
        <f ca="1">+UPPER(Tabla1321124[[#This Row],[DESCRIPCIÓN DE LA COMPRA O CONTRATACIÓN]])</f>
        <v>NITOR MEDIDOR DE LA GLUCOSA</v>
      </c>
      <c r="C1489" s="39" t="s">
        <v>1067</v>
      </c>
      <c r="D1489" s="236">
        <v>1</v>
      </c>
      <c r="E1489" s="236"/>
      <c r="F1489" s="236">
        <v>1</v>
      </c>
      <c r="G1489" s="236"/>
      <c r="H1489" s="236">
        <f>Tabla1321124[[#This Row],[CUARTO TRIMESTRE]]+Tabla1321124[[#This Row],[TERCER TRIMESTRE]]+Tabla1321124[[#This Row],[SEGUNDO TRIMESTRE]]+Tabla1321124[[#This Row],[PRIMER TRIMESTRE]]</f>
        <v>2</v>
      </c>
      <c r="I1489" s="17">
        <v>3000</v>
      </c>
      <c r="J1489" s="17">
        <f>+Tabla1321124[[#This Row],[CANTIDAD TOTAL]]*Tabla1321124[[#This Row],[PRECIO UNITARIO ESTIMADO]]</f>
        <v>6000</v>
      </c>
      <c r="K1489" s="17"/>
      <c r="L1489" s="16" t="s">
        <v>18</v>
      </c>
      <c r="M1489" s="16" t="s">
        <v>22</v>
      </c>
      <c r="N1489" s="16" t="s">
        <v>418</v>
      </c>
      <c r="O1489" s="243"/>
      <c r="P1489" s="243"/>
      <c r="Q1489" s="243"/>
      <c r="R1489" s="243"/>
      <c r="S1489" s="243"/>
      <c r="T1489" s="243"/>
      <c r="U1489" s="243"/>
      <c r="V1489" s="243"/>
      <c r="W1489" s="243"/>
      <c r="X1489" s="243"/>
      <c r="Y1489" s="243"/>
      <c r="Z1489" s="243"/>
      <c r="AA1489" s="243"/>
      <c r="AB1489" s="243"/>
      <c r="AC1489" s="243"/>
      <c r="AD1489" s="243"/>
      <c r="AE1489" s="243"/>
      <c r="AF1489" s="243"/>
      <c r="AG1489" s="243"/>
      <c r="AH1489" s="243"/>
      <c r="AI1489" s="243"/>
      <c r="AJ1489" s="243"/>
      <c r="AK1489" s="243"/>
      <c r="AL1489" s="243"/>
      <c r="AM1489" s="243"/>
      <c r="AN1489" s="243"/>
      <c r="AO1489" s="243"/>
      <c r="AP1489" s="243"/>
      <c r="AQ1489" s="243"/>
      <c r="AR1489" s="243"/>
      <c r="AS1489" s="243"/>
      <c r="AT1489" s="243"/>
      <c r="AU1489" s="243"/>
      <c r="AV1489" s="243"/>
      <c r="AW1489" s="243"/>
      <c r="AX1489" s="243"/>
      <c r="AY1489" s="243"/>
      <c r="AZ1489" s="243"/>
      <c r="BA1489" s="243"/>
      <c r="BB1489" s="243"/>
      <c r="BC1489" s="243"/>
      <c r="BD1489" s="243"/>
      <c r="BE1489" s="243"/>
      <c r="BF1489" s="243"/>
      <c r="BG1489" s="243"/>
      <c r="BH1489" s="243"/>
      <c r="BI1489" s="243"/>
      <c r="BJ1489" s="243"/>
      <c r="BK1489" s="243"/>
      <c r="BL1489" s="243"/>
      <c r="BM1489" s="243"/>
      <c r="BN1489" s="243"/>
      <c r="BO1489" s="243"/>
      <c r="BP1489" s="243"/>
      <c r="BQ1489" s="243"/>
      <c r="BR1489" s="243"/>
      <c r="BS1489" s="243"/>
    </row>
    <row r="1490" spans="1:71" s="12" customFormat="1" ht="41.25" customHeight="1">
      <c r="A1490" s="178" t="s">
        <v>99</v>
      </c>
      <c r="B1490" s="75" t="str">
        <f ca="1">+UPPER(Tabla1321124[[#This Row],[DESCRIPCIÓN DE LA COMPRA O CONTRATACIÓN]])</f>
        <v>GAS PARA NEVERAS, (LATA DE REFRIGERANTE)</v>
      </c>
      <c r="C1490" s="39" t="s">
        <v>1099</v>
      </c>
      <c r="D1490" s="236">
        <v>10</v>
      </c>
      <c r="E1490" s="236"/>
      <c r="F1490" s="236"/>
      <c r="G1490" s="236"/>
      <c r="H1490" s="236">
        <f>Tabla1321124[[#This Row],[CUARTO TRIMESTRE]]+Tabla1321124[[#This Row],[TERCER TRIMESTRE]]+Tabla1321124[[#This Row],[SEGUNDO TRIMESTRE]]+Tabla1321124[[#This Row],[PRIMER TRIMESTRE]]</f>
        <v>10</v>
      </c>
      <c r="I1490" s="17">
        <v>115</v>
      </c>
      <c r="J1490" s="17">
        <f>+Tabla1321124[[#This Row],[CANTIDAD TOTAL]]*Tabla1321124[[#This Row],[PRECIO UNITARIO ESTIMADO]]</f>
        <v>1150</v>
      </c>
      <c r="K1490" s="17"/>
      <c r="L1490" s="16" t="s">
        <v>18</v>
      </c>
      <c r="M1490" s="16" t="s">
        <v>22</v>
      </c>
      <c r="N1490" s="16" t="s">
        <v>418</v>
      </c>
      <c r="O1490" s="243"/>
      <c r="P1490" s="243"/>
      <c r="Q1490" s="243"/>
      <c r="R1490" s="243"/>
      <c r="S1490" s="243"/>
      <c r="T1490" s="243"/>
      <c r="U1490" s="243"/>
      <c r="V1490" s="243"/>
      <c r="W1490" s="243"/>
      <c r="X1490" s="243"/>
      <c r="Y1490" s="243"/>
      <c r="Z1490" s="243"/>
      <c r="AA1490" s="243"/>
      <c r="AB1490" s="243"/>
      <c r="AC1490" s="243"/>
      <c r="AD1490" s="243"/>
      <c r="AE1490" s="243"/>
      <c r="AF1490" s="243"/>
      <c r="AG1490" s="243"/>
      <c r="AH1490" s="243"/>
      <c r="AI1490" s="243"/>
      <c r="AJ1490" s="243"/>
      <c r="AK1490" s="243"/>
      <c r="AL1490" s="243"/>
      <c r="AM1490" s="243"/>
      <c r="AN1490" s="243"/>
      <c r="AO1490" s="243"/>
      <c r="AP1490" s="243"/>
      <c r="AQ1490" s="243"/>
      <c r="AR1490" s="243"/>
      <c r="AS1490" s="243"/>
      <c r="AT1490" s="243"/>
      <c r="AU1490" s="243"/>
      <c r="AV1490" s="243"/>
      <c r="AW1490" s="243"/>
      <c r="AX1490" s="243"/>
      <c r="AY1490" s="243"/>
      <c r="AZ1490" s="243"/>
      <c r="BA1490" s="243"/>
      <c r="BB1490" s="243"/>
      <c r="BC1490" s="243"/>
      <c r="BD1490" s="243"/>
      <c r="BE1490" s="243"/>
      <c r="BF1490" s="243"/>
      <c r="BG1490" s="243"/>
      <c r="BH1490" s="243"/>
      <c r="BI1490" s="243"/>
      <c r="BJ1490" s="243"/>
      <c r="BK1490" s="243"/>
      <c r="BL1490" s="243"/>
      <c r="BM1490" s="243"/>
      <c r="BN1490" s="243"/>
      <c r="BO1490" s="243"/>
      <c r="BP1490" s="243"/>
      <c r="BQ1490" s="243"/>
      <c r="BR1490" s="243"/>
      <c r="BS1490" s="243"/>
    </row>
    <row r="1491" spans="1:71" s="12" customFormat="1" ht="41.25" customHeight="1">
      <c r="A1491" s="178" t="s">
        <v>99</v>
      </c>
      <c r="B1491" s="75" t="str">
        <f ca="1">+UPPER(Tabla1321124[[#This Row],[DESCRIPCIÓN DE LA COMPRA O CONTRATACIÓN]])</f>
        <v>FILTRO PARA NEVERA 25G (MEDIANO)</v>
      </c>
      <c r="C1491" s="39" t="s">
        <v>1067</v>
      </c>
      <c r="D1491" s="236">
        <v>10</v>
      </c>
      <c r="E1491" s="236"/>
      <c r="F1491" s="236"/>
      <c r="G1491" s="236"/>
      <c r="H1491" s="236">
        <f>Tabla1321124[[#This Row],[CUARTO TRIMESTRE]]+Tabla1321124[[#This Row],[TERCER TRIMESTRE]]+Tabla1321124[[#This Row],[SEGUNDO TRIMESTRE]]+Tabla1321124[[#This Row],[PRIMER TRIMESTRE]]</f>
        <v>10</v>
      </c>
      <c r="I1491" s="17">
        <v>50</v>
      </c>
      <c r="J1491" s="17">
        <f>+Tabla1321124[[#This Row],[CANTIDAD TOTAL]]*Tabla1321124[[#This Row],[PRECIO UNITARIO ESTIMADO]]</f>
        <v>500</v>
      </c>
      <c r="K1491" s="17"/>
      <c r="L1491" s="16" t="s">
        <v>18</v>
      </c>
      <c r="M1491" s="16" t="s">
        <v>22</v>
      </c>
      <c r="N1491" s="16" t="s">
        <v>418</v>
      </c>
      <c r="O1491" s="243"/>
      <c r="P1491" s="243"/>
      <c r="Q1491" s="243"/>
      <c r="R1491" s="243"/>
      <c r="S1491" s="243"/>
      <c r="T1491" s="243"/>
      <c r="U1491" s="243"/>
      <c r="V1491" s="243"/>
      <c r="W1491" s="243"/>
      <c r="X1491" s="243"/>
      <c r="Y1491" s="243"/>
      <c r="Z1491" s="243"/>
      <c r="AA1491" s="243"/>
      <c r="AB1491" s="243"/>
      <c r="AC1491" s="243"/>
      <c r="AD1491" s="243"/>
      <c r="AE1491" s="243"/>
      <c r="AF1491" s="243"/>
      <c r="AG1491" s="243"/>
      <c r="AH1491" s="243"/>
      <c r="AI1491" s="243"/>
      <c r="AJ1491" s="243"/>
      <c r="AK1491" s="243"/>
      <c r="AL1491" s="243"/>
      <c r="AM1491" s="243"/>
      <c r="AN1491" s="243"/>
      <c r="AO1491" s="243"/>
      <c r="AP1491" s="243"/>
      <c r="AQ1491" s="243"/>
      <c r="AR1491" s="243"/>
      <c r="AS1491" s="243"/>
      <c r="AT1491" s="243"/>
      <c r="AU1491" s="243"/>
      <c r="AV1491" s="243"/>
      <c r="AW1491" s="243"/>
      <c r="AX1491" s="243"/>
      <c r="AY1491" s="243"/>
      <c r="AZ1491" s="243"/>
      <c r="BA1491" s="243"/>
      <c r="BB1491" s="243"/>
      <c r="BC1491" s="243"/>
      <c r="BD1491" s="243"/>
      <c r="BE1491" s="243"/>
      <c r="BF1491" s="243"/>
      <c r="BG1491" s="243"/>
      <c r="BH1491" s="243"/>
      <c r="BI1491" s="243"/>
      <c r="BJ1491" s="243"/>
      <c r="BK1491" s="243"/>
      <c r="BL1491" s="243"/>
      <c r="BM1491" s="243"/>
      <c r="BN1491" s="243"/>
      <c r="BO1491" s="243"/>
      <c r="BP1491" s="243"/>
      <c r="BQ1491" s="243"/>
      <c r="BR1491" s="243"/>
      <c r="BS1491" s="243"/>
    </row>
    <row r="1492" spans="1:71" s="12" customFormat="1" ht="41.25" customHeight="1">
      <c r="A1492" s="178" t="s">
        <v>99</v>
      </c>
      <c r="B1492" s="75" t="str">
        <f ca="1">+UPPER(Tabla1321124[[#This Row],[DESCRIPCIÓN DE LA COMPRA O CONTRATACIÓN]])</f>
        <v>GAS PROPANO, LLENADO TANQUE DE 100 LIBRAS</v>
      </c>
      <c r="C1492" s="39" t="s">
        <v>35</v>
      </c>
      <c r="D1492" s="236">
        <f>13+1</f>
        <v>14</v>
      </c>
      <c r="E1492" s="236">
        <v>12</v>
      </c>
      <c r="F1492" s="236">
        <v>12</v>
      </c>
      <c r="G1492" s="236">
        <f>13</f>
        <v>13</v>
      </c>
      <c r="H1492" s="236">
        <f>Tabla1321124[[#This Row],[CUARTO TRIMESTRE]]+Tabla1321124[[#This Row],[TERCER TRIMESTRE]]+Tabla1321124[[#This Row],[SEGUNDO TRIMESTRE]]+Tabla1321124[[#This Row],[PRIMER TRIMESTRE]]</f>
        <v>51</v>
      </c>
      <c r="I1492" s="17">
        <v>2000</v>
      </c>
      <c r="J1492" s="17">
        <f>+Tabla1321124[[#This Row],[CANTIDAD TOTAL]]*Tabla1321124[[#This Row],[PRECIO UNITARIO ESTIMADO]]</f>
        <v>102000</v>
      </c>
      <c r="K1492" s="17"/>
      <c r="L1492" s="16" t="s">
        <v>18</v>
      </c>
      <c r="M1492" s="16" t="s">
        <v>22</v>
      </c>
      <c r="N1492" s="16" t="s">
        <v>418</v>
      </c>
      <c r="O1492" s="243"/>
      <c r="P1492" s="243"/>
      <c r="Q1492" s="243"/>
      <c r="R1492" s="243"/>
      <c r="S1492" s="243"/>
      <c r="T1492" s="243"/>
      <c r="U1492" s="243"/>
      <c r="V1492" s="243"/>
      <c r="W1492" s="243"/>
      <c r="X1492" s="243"/>
      <c r="Y1492" s="243"/>
      <c r="Z1492" s="243"/>
      <c r="AA1492" s="243"/>
      <c r="AB1492" s="243"/>
      <c r="AC1492" s="243"/>
      <c r="AD1492" s="243"/>
      <c r="AE1492" s="243"/>
      <c r="AF1492" s="243"/>
      <c r="AG1492" s="243"/>
      <c r="AH1492" s="243"/>
      <c r="AI1492" s="243"/>
      <c r="AJ1492" s="243"/>
      <c r="AK1492" s="243"/>
      <c r="AL1492" s="243"/>
      <c r="AM1492" s="243"/>
      <c r="AN1492" s="243"/>
      <c r="AO1492" s="243"/>
      <c r="AP1492" s="243"/>
      <c r="AQ1492" s="243"/>
      <c r="AR1492" s="243"/>
      <c r="AS1492" s="243"/>
      <c r="AT1492" s="243"/>
      <c r="AU1492" s="243"/>
      <c r="AV1492" s="243"/>
      <c r="AW1492" s="243"/>
      <c r="AX1492" s="243"/>
      <c r="AY1492" s="243"/>
      <c r="AZ1492" s="243"/>
      <c r="BA1492" s="243"/>
      <c r="BB1492" s="243"/>
      <c r="BC1492" s="243"/>
      <c r="BD1492" s="243"/>
      <c r="BE1492" s="243"/>
      <c r="BF1492" s="243"/>
      <c r="BG1492" s="243"/>
      <c r="BH1492" s="243"/>
      <c r="BI1492" s="243"/>
      <c r="BJ1492" s="243"/>
      <c r="BK1492" s="243"/>
      <c r="BL1492" s="243"/>
      <c r="BM1492" s="243"/>
      <c r="BN1492" s="243"/>
      <c r="BO1492" s="243"/>
      <c r="BP1492" s="243"/>
      <c r="BQ1492" s="243"/>
      <c r="BR1492" s="243"/>
      <c r="BS1492" s="243"/>
    </row>
    <row r="1493" spans="1:71" s="12" customFormat="1" ht="41.25" customHeight="1">
      <c r="A1493" s="178" t="s">
        <v>99</v>
      </c>
      <c r="B1493" s="75" t="str">
        <f ca="1">+UPPER(Tabla1321124[[#This Row],[DESCRIPCIÓN DE LA COMPRA O CONTRATACIÓN]])</f>
        <v>TANQUE REFRIGERANTE 22 / TANQUE 30LB DUPOIT</v>
      </c>
      <c r="C1493" s="39" t="s">
        <v>35</v>
      </c>
      <c r="D1493" s="236">
        <v>1</v>
      </c>
      <c r="E1493" s="236"/>
      <c r="F1493" s="236"/>
      <c r="G1493" s="236"/>
      <c r="H1493" s="236">
        <f>Tabla1321124[[#This Row],[CUARTO TRIMESTRE]]+Tabla1321124[[#This Row],[TERCER TRIMESTRE]]+Tabla1321124[[#This Row],[SEGUNDO TRIMESTRE]]+Tabla1321124[[#This Row],[PRIMER TRIMESTRE]]</f>
        <v>1</v>
      </c>
      <c r="I1493" s="17">
        <v>2850</v>
      </c>
      <c r="J1493" s="17">
        <f>+Tabla1321124[[#This Row],[CANTIDAD TOTAL]]*Tabla1321124[[#This Row],[PRECIO UNITARIO ESTIMADO]]</f>
        <v>2850</v>
      </c>
      <c r="K1493" s="17"/>
      <c r="L1493" s="16" t="s">
        <v>18</v>
      </c>
      <c r="M1493" s="16" t="s">
        <v>22</v>
      </c>
      <c r="N1493" s="16" t="s">
        <v>418</v>
      </c>
      <c r="O1493" s="243"/>
      <c r="P1493" s="243"/>
      <c r="Q1493" s="243"/>
      <c r="R1493" s="243"/>
      <c r="S1493" s="243"/>
      <c r="T1493" s="243"/>
      <c r="U1493" s="243"/>
      <c r="V1493" s="243"/>
      <c r="W1493" s="243"/>
      <c r="X1493" s="243"/>
      <c r="Y1493" s="243"/>
      <c r="Z1493" s="243"/>
      <c r="AA1493" s="243"/>
      <c r="AB1493" s="243"/>
      <c r="AC1493" s="243"/>
      <c r="AD1493" s="243"/>
      <c r="AE1493" s="243"/>
      <c r="AF1493" s="243"/>
      <c r="AG1493" s="243"/>
      <c r="AH1493" s="243"/>
      <c r="AI1493" s="243"/>
      <c r="AJ1493" s="243"/>
      <c r="AK1493" s="243"/>
      <c r="AL1493" s="243"/>
      <c r="AM1493" s="243"/>
      <c r="AN1493" s="243"/>
      <c r="AO1493" s="243"/>
      <c r="AP1493" s="243"/>
      <c r="AQ1493" s="243"/>
      <c r="AR1493" s="243"/>
      <c r="AS1493" s="243"/>
      <c r="AT1493" s="243"/>
      <c r="AU1493" s="243"/>
      <c r="AV1493" s="243"/>
      <c r="AW1493" s="243"/>
      <c r="AX1493" s="243"/>
      <c r="AY1493" s="243"/>
      <c r="AZ1493" s="243"/>
      <c r="BA1493" s="243"/>
      <c r="BB1493" s="243"/>
      <c r="BC1493" s="243"/>
      <c r="BD1493" s="243"/>
      <c r="BE1493" s="243"/>
      <c r="BF1493" s="243"/>
      <c r="BG1493" s="243"/>
      <c r="BH1493" s="243"/>
      <c r="BI1493" s="243"/>
      <c r="BJ1493" s="243"/>
      <c r="BK1493" s="243"/>
      <c r="BL1493" s="243"/>
      <c r="BM1493" s="243"/>
      <c r="BN1493" s="243"/>
      <c r="BO1493" s="243"/>
      <c r="BP1493" s="243"/>
      <c r="BQ1493" s="243"/>
      <c r="BR1493" s="243"/>
      <c r="BS1493" s="243"/>
    </row>
    <row r="1494" spans="1:71" s="12" customFormat="1" ht="41.25" customHeight="1">
      <c r="A1494" s="178" t="s">
        <v>99</v>
      </c>
      <c r="B1494" s="75" t="str">
        <f ca="1">+UPPER(Tabla1321124[[#This Row],[DESCRIPCIÓN DE LA COMPRA O CONTRATACIÓN]])</f>
        <v>PILAS DE 1.5V, TRIPE A  DE PACK/4</v>
      </c>
      <c r="C1494" s="39" t="s">
        <v>1065</v>
      </c>
      <c r="D1494" s="236">
        <f>5+22</f>
        <v>27</v>
      </c>
      <c r="E1494" s="236">
        <v>12</v>
      </c>
      <c r="F1494" s="236">
        <v>22</v>
      </c>
      <c r="G1494" s="236">
        <f>5+12</f>
        <v>17</v>
      </c>
      <c r="H1494" s="236">
        <f>Tabla1321124[[#This Row],[CUARTO TRIMESTRE]]+Tabla1321124[[#This Row],[TERCER TRIMESTRE]]+Tabla1321124[[#This Row],[SEGUNDO TRIMESTRE]]+Tabla1321124[[#This Row],[PRIMER TRIMESTRE]]</f>
        <v>78</v>
      </c>
      <c r="I1494" s="17">
        <v>100</v>
      </c>
      <c r="J1494" s="17">
        <f>+Tabla1321124[[#This Row],[CANTIDAD TOTAL]]*Tabla1321124[[#This Row],[PRECIO UNITARIO ESTIMADO]]</f>
        <v>7800</v>
      </c>
      <c r="K1494" s="17"/>
      <c r="L1494" s="16" t="s">
        <v>18</v>
      </c>
      <c r="M1494" s="16" t="s">
        <v>22</v>
      </c>
      <c r="N1494" s="16" t="s">
        <v>418</v>
      </c>
      <c r="O1494" s="243"/>
      <c r="P1494" s="243"/>
      <c r="Q1494" s="243"/>
      <c r="R1494" s="243"/>
      <c r="S1494" s="243"/>
      <c r="T1494" s="243"/>
      <c r="U1494" s="243"/>
      <c r="V1494" s="243"/>
      <c r="W1494" s="243"/>
      <c r="X1494" s="243"/>
      <c r="Y1494" s="243"/>
      <c r="Z1494" s="243"/>
      <c r="AA1494" s="243"/>
      <c r="AB1494" s="243"/>
      <c r="AC1494" s="243"/>
      <c r="AD1494" s="243"/>
      <c r="AE1494" s="243"/>
      <c r="AF1494" s="243"/>
      <c r="AG1494" s="243"/>
      <c r="AH1494" s="243"/>
      <c r="AI1494" s="243"/>
      <c r="AJ1494" s="243"/>
      <c r="AK1494" s="243"/>
      <c r="AL1494" s="243"/>
      <c r="AM1494" s="243"/>
      <c r="AN1494" s="243"/>
      <c r="AO1494" s="243"/>
      <c r="AP1494" s="243"/>
      <c r="AQ1494" s="243"/>
      <c r="AR1494" s="243"/>
      <c r="AS1494" s="243"/>
      <c r="AT1494" s="243"/>
      <c r="AU1494" s="243"/>
      <c r="AV1494" s="243"/>
      <c r="AW1494" s="243"/>
      <c r="AX1494" s="243"/>
      <c r="AY1494" s="243"/>
      <c r="AZ1494" s="243"/>
      <c r="BA1494" s="243"/>
      <c r="BB1494" s="243"/>
      <c r="BC1494" s="243"/>
      <c r="BD1494" s="243"/>
      <c r="BE1494" s="243"/>
      <c r="BF1494" s="243"/>
      <c r="BG1494" s="243"/>
      <c r="BH1494" s="243"/>
      <c r="BI1494" s="243"/>
      <c r="BJ1494" s="243"/>
      <c r="BK1494" s="243"/>
      <c r="BL1494" s="243"/>
      <c r="BM1494" s="243"/>
      <c r="BN1494" s="243"/>
      <c r="BO1494" s="243"/>
      <c r="BP1494" s="243"/>
      <c r="BQ1494" s="243"/>
      <c r="BR1494" s="243"/>
      <c r="BS1494" s="243"/>
    </row>
    <row r="1495" spans="1:71" s="12" customFormat="1" ht="41.25" customHeight="1">
      <c r="A1495" s="178" t="s">
        <v>99</v>
      </c>
      <c r="B1495" s="75" t="str">
        <f ca="1">+UPPER(Tabla1321124[[#This Row],[DESCRIPCIÓN DE LA COMPRA O CONTRATACIÓN]])</f>
        <v>PILAS DE 1.5V, DOBLE A DE PACK/4</v>
      </c>
      <c r="C1495" s="39" t="s">
        <v>1065</v>
      </c>
      <c r="D1495" s="236">
        <f>5+22</f>
        <v>27</v>
      </c>
      <c r="E1495" s="236">
        <v>12</v>
      </c>
      <c r="F1495" s="236">
        <v>22</v>
      </c>
      <c r="G1495" s="236">
        <f>5+12</f>
        <v>17</v>
      </c>
      <c r="H1495" s="236">
        <f>Tabla1321124[[#This Row],[CUARTO TRIMESTRE]]+Tabla1321124[[#This Row],[TERCER TRIMESTRE]]+Tabla1321124[[#This Row],[SEGUNDO TRIMESTRE]]+Tabla1321124[[#This Row],[PRIMER TRIMESTRE]]</f>
        <v>78</v>
      </c>
      <c r="I1495" s="17">
        <v>100</v>
      </c>
      <c r="J1495" s="17">
        <f>+Tabla1321124[[#This Row],[CANTIDAD TOTAL]]*Tabla1321124[[#This Row],[PRECIO UNITARIO ESTIMADO]]</f>
        <v>7800</v>
      </c>
      <c r="K1495" s="17"/>
      <c r="L1495" s="16" t="s">
        <v>18</v>
      </c>
      <c r="M1495" s="16" t="s">
        <v>22</v>
      </c>
      <c r="N1495" s="16" t="s">
        <v>418</v>
      </c>
      <c r="O1495" s="243"/>
      <c r="P1495" s="243"/>
      <c r="Q1495" s="243"/>
      <c r="R1495" s="243"/>
      <c r="S1495" s="243"/>
      <c r="T1495" s="243"/>
      <c r="U1495" s="243"/>
      <c r="V1495" s="243"/>
      <c r="W1495" s="243"/>
      <c r="X1495" s="243"/>
      <c r="Y1495" s="243"/>
      <c r="Z1495" s="243"/>
      <c r="AA1495" s="243"/>
      <c r="AB1495" s="243"/>
      <c r="AC1495" s="243"/>
      <c r="AD1495" s="243"/>
      <c r="AE1495" s="243"/>
      <c r="AF1495" s="243"/>
      <c r="AG1495" s="243"/>
      <c r="AH1495" s="243"/>
      <c r="AI1495" s="243"/>
      <c r="AJ1495" s="243"/>
      <c r="AK1495" s="243"/>
      <c r="AL1495" s="243"/>
      <c r="AM1495" s="243"/>
      <c r="AN1495" s="243"/>
      <c r="AO1495" s="243"/>
      <c r="AP1495" s="243"/>
      <c r="AQ1495" s="243"/>
      <c r="AR1495" s="243"/>
      <c r="AS1495" s="243"/>
      <c r="AT1495" s="243"/>
      <c r="AU1495" s="243"/>
      <c r="AV1495" s="243"/>
      <c r="AW1495" s="243"/>
      <c r="AX1495" s="243"/>
      <c r="AY1495" s="243"/>
      <c r="AZ1495" s="243"/>
      <c r="BA1495" s="243"/>
      <c r="BB1495" s="243"/>
      <c r="BC1495" s="243"/>
      <c r="BD1495" s="243"/>
      <c r="BE1495" s="243"/>
      <c r="BF1495" s="243"/>
      <c r="BG1495" s="243"/>
      <c r="BH1495" s="243"/>
      <c r="BI1495" s="243"/>
      <c r="BJ1495" s="243"/>
      <c r="BK1495" s="243"/>
      <c r="BL1495" s="243"/>
      <c r="BM1495" s="243"/>
      <c r="BN1495" s="243"/>
      <c r="BO1495" s="243"/>
      <c r="BP1495" s="243"/>
      <c r="BQ1495" s="243"/>
      <c r="BR1495" s="243"/>
      <c r="BS1495" s="243"/>
    </row>
    <row r="1496" spans="1:71" s="12" customFormat="1" ht="41.25" customHeight="1">
      <c r="A1496" s="178" t="s">
        <v>99</v>
      </c>
      <c r="B1496" s="75" t="str">
        <f ca="1">+UPPER(Tabla1321124[[#This Row],[DESCRIPCIÓN DE LA COMPRA O CONTRATACIÓN]])</f>
        <v>PAPEL DE ALUMINIO, ROLLO HEAVY DUTY, DE 12" X 500 FT</v>
      </c>
      <c r="C1496" s="39" t="s">
        <v>102</v>
      </c>
      <c r="D1496" s="236">
        <f>15+2</f>
        <v>17</v>
      </c>
      <c r="E1496" s="236">
        <f>15+2</f>
        <v>17</v>
      </c>
      <c r="F1496" s="236">
        <f>15+2</f>
        <v>17</v>
      </c>
      <c r="G1496" s="236">
        <f>15+2</f>
        <v>17</v>
      </c>
      <c r="H1496" s="236">
        <f>Tabla1321124[[#This Row],[CUARTO TRIMESTRE]]+Tabla1321124[[#This Row],[TERCER TRIMESTRE]]+Tabla1321124[[#This Row],[SEGUNDO TRIMESTRE]]+Tabla1321124[[#This Row],[PRIMER TRIMESTRE]]</f>
        <v>68</v>
      </c>
      <c r="I1496" s="17">
        <v>600</v>
      </c>
      <c r="J1496" s="17">
        <f>+Tabla1321124[[#This Row],[CANTIDAD TOTAL]]*Tabla1321124[[#This Row],[PRECIO UNITARIO ESTIMADO]]</f>
        <v>40800</v>
      </c>
      <c r="K1496" s="17"/>
      <c r="L1496" s="16" t="s">
        <v>18</v>
      </c>
      <c r="M1496" s="16" t="s">
        <v>22</v>
      </c>
      <c r="N1496" s="16" t="s">
        <v>418</v>
      </c>
      <c r="O1496" s="243"/>
      <c r="P1496" s="243"/>
      <c r="Q1496" s="243"/>
      <c r="R1496" s="243"/>
      <c r="S1496" s="243"/>
      <c r="T1496" s="243"/>
      <c r="U1496" s="243"/>
      <c r="V1496" s="243"/>
      <c r="W1496" s="243"/>
      <c r="X1496" s="243"/>
      <c r="Y1496" s="243"/>
      <c r="Z1496" s="243"/>
      <c r="AA1496" s="243"/>
      <c r="AB1496" s="243"/>
      <c r="AC1496" s="243"/>
      <c r="AD1496" s="243"/>
      <c r="AE1496" s="243"/>
      <c r="AF1496" s="243"/>
      <c r="AG1496" s="243"/>
      <c r="AH1496" s="243"/>
      <c r="AI1496" s="243"/>
      <c r="AJ1496" s="243"/>
      <c r="AK1496" s="243"/>
      <c r="AL1496" s="243"/>
      <c r="AM1496" s="243"/>
      <c r="AN1496" s="243"/>
      <c r="AO1496" s="243"/>
      <c r="AP1496" s="243"/>
      <c r="AQ1496" s="243"/>
      <c r="AR1496" s="243"/>
      <c r="AS1496" s="243"/>
      <c r="AT1496" s="243"/>
      <c r="AU1496" s="243"/>
      <c r="AV1496" s="243"/>
      <c r="AW1496" s="243"/>
      <c r="AX1496" s="243"/>
      <c r="AY1496" s="243"/>
      <c r="AZ1496" s="243"/>
      <c r="BA1496" s="243"/>
      <c r="BB1496" s="243"/>
      <c r="BC1496" s="243"/>
      <c r="BD1496" s="243"/>
      <c r="BE1496" s="243"/>
      <c r="BF1496" s="243"/>
      <c r="BG1496" s="243"/>
      <c r="BH1496" s="243"/>
      <c r="BI1496" s="243"/>
      <c r="BJ1496" s="243"/>
      <c r="BK1496" s="243"/>
      <c r="BL1496" s="243"/>
      <c r="BM1496" s="243"/>
      <c r="BN1496" s="243"/>
      <c r="BO1496" s="243"/>
      <c r="BP1496" s="243"/>
      <c r="BQ1496" s="243"/>
      <c r="BR1496" s="243"/>
      <c r="BS1496" s="243"/>
    </row>
    <row r="1497" spans="1:71" s="12" customFormat="1" ht="41.25" customHeight="1">
      <c r="A1497" s="178" t="s">
        <v>99</v>
      </c>
      <c r="B1497" s="75" t="str">
        <f ca="1">+UPPER(Tabla1321124[[#This Row],[DESCRIPCIÓN DE LA COMPRA O CONTRATACIÓN]])</f>
        <v xml:space="preserve">GUANTES DE GOMA, TAMAÑO SMALL (S), </v>
      </c>
      <c r="C1497" s="39" t="s">
        <v>149</v>
      </c>
      <c r="D1497" s="236">
        <f>10+20</f>
        <v>30</v>
      </c>
      <c r="E1497" s="236">
        <f>10+20</f>
        <v>30</v>
      </c>
      <c r="F1497" s="236">
        <f>10+20</f>
        <v>30</v>
      </c>
      <c r="G1497" s="236">
        <f>10+20</f>
        <v>30</v>
      </c>
      <c r="H1497" s="236">
        <f>Tabla1321124[[#This Row],[CUARTO TRIMESTRE]]+Tabla1321124[[#This Row],[TERCER TRIMESTRE]]+Tabla1321124[[#This Row],[SEGUNDO TRIMESTRE]]+Tabla1321124[[#This Row],[PRIMER TRIMESTRE]]</f>
        <v>120</v>
      </c>
      <c r="I1497" s="17">
        <v>80</v>
      </c>
      <c r="J1497" s="17">
        <f>+Tabla1321124[[#This Row],[CANTIDAD TOTAL]]*Tabla1321124[[#This Row],[PRECIO UNITARIO ESTIMADO]]</f>
        <v>9600</v>
      </c>
      <c r="K1497" s="17"/>
      <c r="L1497" s="16" t="s">
        <v>18</v>
      </c>
      <c r="M1497" s="16" t="s">
        <v>22</v>
      </c>
      <c r="N1497" s="16" t="s">
        <v>418</v>
      </c>
      <c r="O1497" s="243"/>
      <c r="P1497" s="243"/>
      <c r="Q1497" s="243"/>
      <c r="R1497" s="243"/>
      <c r="S1497" s="243"/>
      <c r="T1497" s="243"/>
      <c r="U1497" s="243"/>
      <c r="V1497" s="243"/>
      <c r="W1497" s="243"/>
      <c r="X1497" s="243"/>
      <c r="Y1497" s="243"/>
      <c r="Z1497" s="243"/>
      <c r="AA1497" s="243"/>
      <c r="AB1497" s="243"/>
      <c r="AC1497" s="243"/>
      <c r="AD1497" s="243"/>
      <c r="AE1497" s="243"/>
      <c r="AF1497" s="243"/>
      <c r="AG1497" s="243"/>
      <c r="AH1497" s="243"/>
      <c r="AI1497" s="243"/>
      <c r="AJ1497" s="243"/>
      <c r="AK1497" s="243"/>
      <c r="AL1497" s="243"/>
      <c r="AM1497" s="243"/>
      <c r="AN1497" s="243"/>
      <c r="AO1497" s="243"/>
      <c r="AP1497" s="243"/>
      <c r="AQ1497" s="243"/>
      <c r="AR1497" s="243"/>
      <c r="AS1497" s="243"/>
      <c r="AT1497" s="243"/>
      <c r="AU1497" s="243"/>
      <c r="AV1497" s="243"/>
      <c r="AW1497" s="243"/>
      <c r="AX1497" s="243"/>
      <c r="AY1497" s="243"/>
      <c r="AZ1497" s="243"/>
      <c r="BA1497" s="243"/>
      <c r="BB1497" s="243"/>
      <c r="BC1497" s="243"/>
      <c r="BD1497" s="243"/>
      <c r="BE1497" s="243"/>
      <c r="BF1497" s="243"/>
      <c r="BG1497" s="243"/>
      <c r="BH1497" s="243"/>
      <c r="BI1497" s="243"/>
      <c r="BJ1497" s="243"/>
      <c r="BK1497" s="243"/>
      <c r="BL1497" s="243"/>
      <c r="BM1497" s="243"/>
      <c r="BN1497" s="243"/>
      <c r="BO1497" s="243"/>
      <c r="BP1497" s="243"/>
      <c r="BQ1497" s="243"/>
      <c r="BR1497" s="243"/>
      <c r="BS1497" s="243"/>
    </row>
    <row r="1498" spans="1:71" s="12" customFormat="1" ht="49.5" customHeight="1">
      <c r="A1498" s="178" t="s">
        <v>99</v>
      </c>
      <c r="B1498" s="75" t="str">
        <f ca="1">+UPPER(Tabla1321124[[#This Row],[DESCRIPCIÓN DE LA COMPRA O CONTRATACIÓN]])</f>
        <v>GUANTES DE GOMA, TAMAÑO MEDIUM (M)</v>
      </c>
      <c r="C1498" s="39" t="s">
        <v>149</v>
      </c>
      <c r="D1498" s="236">
        <f>5+20</f>
        <v>25</v>
      </c>
      <c r="E1498" s="236">
        <f>5+20</f>
        <v>25</v>
      </c>
      <c r="F1498" s="236">
        <f>5+20</f>
        <v>25</v>
      </c>
      <c r="G1498" s="236">
        <f>5+20</f>
        <v>25</v>
      </c>
      <c r="H1498" s="236">
        <f>Tabla1321124[[#This Row],[CUARTO TRIMESTRE]]+Tabla1321124[[#This Row],[TERCER TRIMESTRE]]+Tabla1321124[[#This Row],[SEGUNDO TRIMESTRE]]+Tabla1321124[[#This Row],[PRIMER TRIMESTRE]]</f>
        <v>100</v>
      </c>
      <c r="I1498" s="17">
        <v>80</v>
      </c>
      <c r="J1498" s="17">
        <f>+Tabla1321124[[#This Row],[CANTIDAD TOTAL]]*Tabla1321124[[#This Row],[PRECIO UNITARIO ESTIMADO]]</f>
        <v>8000</v>
      </c>
      <c r="K1498" s="17"/>
      <c r="L1498" s="16" t="s">
        <v>18</v>
      </c>
      <c r="M1498" s="16" t="s">
        <v>22</v>
      </c>
      <c r="N1498" s="16" t="s">
        <v>418</v>
      </c>
      <c r="O1498" s="243"/>
      <c r="P1498" s="243"/>
      <c r="Q1498" s="243"/>
      <c r="R1498" s="243"/>
      <c r="S1498" s="243"/>
      <c r="T1498" s="243"/>
      <c r="U1498" s="243"/>
      <c r="V1498" s="243"/>
      <c r="W1498" s="243"/>
      <c r="X1498" s="243"/>
      <c r="Y1498" s="243"/>
      <c r="Z1498" s="243"/>
      <c r="AA1498" s="243"/>
      <c r="AB1498" s="243"/>
      <c r="AC1498" s="243"/>
      <c r="AD1498" s="243"/>
      <c r="AE1498" s="243"/>
      <c r="AF1498" s="243"/>
      <c r="AG1498" s="243"/>
      <c r="AH1498" s="243"/>
      <c r="AI1498" s="243"/>
      <c r="AJ1498" s="243"/>
      <c r="AK1498" s="243"/>
      <c r="AL1498" s="243"/>
      <c r="AM1498" s="243"/>
      <c r="AN1498" s="243"/>
      <c r="AO1498" s="243"/>
      <c r="AP1498" s="243"/>
      <c r="AQ1498" s="243"/>
      <c r="AR1498" s="243"/>
      <c r="AS1498" s="243"/>
      <c r="AT1498" s="243"/>
      <c r="AU1498" s="243"/>
      <c r="AV1498" s="243"/>
      <c r="AW1498" s="243"/>
      <c r="AX1498" s="243"/>
      <c r="AY1498" s="243"/>
      <c r="AZ1498" s="243"/>
      <c r="BA1498" s="243"/>
      <c r="BB1498" s="243"/>
      <c r="BC1498" s="243"/>
      <c r="BD1498" s="243"/>
      <c r="BE1498" s="243"/>
      <c r="BF1498" s="243"/>
      <c r="BG1498" s="243"/>
      <c r="BH1498" s="243"/>
      <c r="BI1498" s="243"/>
      <c r="BJ1498" s="243"/>
      <c r="BK1498" s="243"/>
      <c r="BL1498" s="243"/>
      <c r="BM1498" s="243"/>
      <c r="BN1498" s="243"/>
      <c r="BO1498" s="243"/>
      <c r="BP1498" s="243"/>
      <c r="BQ1498" s="243"/>
      <c r="BR1498" s="243"/>
      <c r="BS1498" s="243"/>
    </row>
    <row r="1499" spans="1:71" s="12" customFormat="1" ht="86.25" customHeight="1">
      <c r="A1499" s="178" t="s">
        <v>99</v>
      </c>
      <c r="B1499" s="75" t="str">
        <f ca="1">+UPPER(Tabla1321124[[#This Row],[DESCRIPCIÓN DE LA COMPRA O CONTRATACIÓN]])</f>
        <v>ACIDO MURIATICO</v>
      </c>
      <c r="C1499" s="39" t="s">
        <v>290</v>
      </c>
      <c r="D1499" s="236">
        <f>2+1</f>
        <v>3</v>
      </c>
      <c r="E1499" s="236">
        <v>1</v>
      </c>
      <c r="F1499" s="236">
        <v>1</v>
      </c>
      <c r="G1499" s="236">
        <f>2+1</f>
        <v>3</v>
      </c>
      <c r="H1499" s="236">
        <f>Tabla1321124[[#This Row],[CUARTO TRIMESTRE]]+Tabla1321124[[#This Row],[TERCER TRIMESTRE]]+Tabla1321124[[#This Row],[SEGUNDO TRIMESTRE]]+Tabla1321124[[#This Row],[PRIMER TRIMESTRE]]</f>
        <v>8</v>
      </c>
      <c r="I1499" s="17">
        <v>200</v>
      </c>
      <c r="J1499" s="17">
        <f>+Tabla1321124[[#This Row],[CANTIDAD TOTAL]]*Tabla1321124[[#This Row],[PRECIO UNITARIO ESTIMADO]]</f>
        <v>1600</v>
      </c>
      <c r="K1499" s="17"/>
      <c r="L1499" s="16" t="s">
        <v>18</v>
      </c>
      <c r="M1499" s="16" t="s">
        <v>22</v>
      </c>
      <c r="N1499" s="16" t="s">
        <v>418</v>
      </c>
      <c r="O1499" s="243"/>
      <c r="P1499" s="243"/>
      <c r="Q1499" s="243"/>
      <c r="R1499" s="243"/>
      <c r="S1499" s="243"/>
      <c r="T1499" s="243"/>
      <c r="U1499" s="243"/>
      <c r="V1499" s="243"/>
      <c r="W1499" s="243"/>
      <c r="X1499" s="243"/>
      <c r="Y1499" s="243"/>
      <c r="Z1499" s="243"/>
      <c r="AA1499" s="243"/>
      <c r="AB1499" s="243"/>
      <c r="AC1499" s="243"/>
      <c r="AD1499" s="243"/>
      <c r="AE1499" s="243"/>
      <c r="AF1499" s="243"/>
      <c r="AG1499" s="243"/>
      <c r="AH1499" s="243"/>
      <c r="AI1499" s="243"/>
      <c r="AJ1499" s="243"/>
      <c r="AK1499" s="243"/>
      <c r="AL1499" s="243"/>
      <c r="AM1499" s="243"/>
      <c r="AN1499" s="243"/>
      <c r="AO1499" s="243"/>
      <c r="AP1499" s="243"/>
      <c r="AQ1499" s="243"/>
      <c r="AR1499" s="243"/>
      <c r="AS1499" s="243"/>
      <c r="AT1499" s="243"/>
      <c r="AU1499" s="243"/>
      <c r="AV1499" s="243"/>
      <c r="AW1499" s="243"/>
      <c r="AX1499" s="243"/>
      <c r="AY1499" s="243"/>
      <c r="AZ1499" s="243"/>
      <c r="BA1499" s="243"/>
      <c r="BB1499" s="243"/>
      <c r="BC1499" s="243"/>
      <c r="BD1499" s="243"/>
      <c r="BE1499" s="243"/>
      <c r="BF1499" s="243"/>
      <c r="BG1499" s="243"/>
      <c r="BH1499" s="243"/>
      <c r="BI1499" s="243"/>
      <c r="BJ1499" s="243"/>
      <c r="BK1499" s="243"/>
      <c r="BL1499" s="243"/>
      <c r="BM1499" s="243"/>
      <c r="BN1499" s="243"/>
      <c r="BO1499" s="243"/>
      <c r="BP1499" s="243"/>
      <c r="BQ1499" s="243"/>
      <c r="BR1499" s="243"/>
      <c r="BS1499" s="243"/>
    </row>
    <row r="1500" spans="1:71" s="12" customFormat="1" ht="63" customHeight="1">
      <c r="A1500" s="178" t="s">
        <v>99</v>
      </c>
      <c r="B1500" s="75" t="str">
        <f ca="1">+UPPER(Tabla1321124[[#This Row],[DESCRIPCIÓN DE LA COMPRA O CONTRATACIÓN]])</f>
        <v>ALARMTAERMDYGROMETER (TERMOMETRO, ALARMA Y MEDIDOR DE HUMEDAD), CON LAS SIGUIENTES ESPECIFICACIONES: HUMEDAD RELATIVA DE 20 A 80%, RESOLUCION DE 0.1% RH, RANGO DE HUMEDAD RELATIVA DE 1 A 99%; RANGO DE TEMPERATURA DE -40 A 70 0C, CON CERTIFICADO TRAZABLE AL NIST.</v>
      </c>
      <c r="C1500" s="39" t="s">
        <v>1067</v>
      </c>
      <c r="D1500" s="236">
        <v>1</v>
      </c>
      <c r="E1500" s="236"/>
      <c r="F1500" s="236">
        <f>6</f>
        <v>6</v>
      </c>
      <c r="G1500" s="236"/>
      <c r="H1500" s="236">
        <f>Tabla1321124[[#This Row],[CUARTO TRIMESTRE]]+Tabla1321124[[#This Row],[TERCER TRIMESTRE]]+Tabla1321124[[#This Row],[SEGUNDO TRIMESTRE]]+Tabla1321124[[#This Row],[PRIMER TRIMESTRE]]</f>
        <v>7</v>
      </c>
      <c r="I1500" s="17">
        <v>3000</v>
      </c>
      <c r="J1500" s="17">
        <f>+Tabla1321124[[#This Row],[CANTIDAD TOTAL]]*Tabla1321124[[#This Row],[PRECIO UNITARIO ESTIMADO]]</f>
        <v>21000</v>
      </c>
      <c r="K1500" s="17"/>
      <c r="L1500" s="16" t="s">
        <v>18</v>
      </c>
      <c r="M1500" s="16" t="s">
        <v>22</v>
      </c>
      <c r="N1500" s="16" t="s">
        <v>418</v>
      </c>
      <c r="O1500" s="243"/>
      <c r="P1500" s="243"/>
      <c r="Q1500" s="243"/>
      <c r="R1500" s="243"/>
      <c r="S1500" s="243"/>
      <c r="T1500" s="243"/>
      <c r="U1500" s="243"/>
      <c r="V1500" s="243"/>
      <c r="W1500" s="243"/>
      <c r="X1500" s="243"/>
      <c r="Y1500" s="243"/>
      <c r="Z1500" s="243"/>
      <c r="AA1500" s="243"/>
      <c r="AB1500" s="243"/>
      <c r="AC1500" s="243"/>
      <c r="AD1500" s="243"/>
      <c r="AE1500" s="243"/>
      <c r="AF1500" s="243"/>
      <c r="AG1500" s="243"/>
      <c r="AH1500" s="243"/>
      <c r="AI1500" s="243"/>
      <c r="AJ1500" s="243"/>
      <c r="AK1500" s="243"/>
      <c r="AL1500" s="243"/>
      <c r="AM1500" s="243"/>
      <c r="AN1500" s="243"/>
      <c r="AO1500" s="243"/>
      <c r="AP1500" s="243"/>
      <c r="AQ1500" s="243"/>
      <c r="AR1500" s="243"/>
      <c r="AS1500" s="243"/>
      <c r="AT1500" s="243"/>
      <c r="AU1500" s="243"/>
      <c r="AV1500" s="243"/>
      <c r="AW1500" s="243"/>
      <c r="AX1500" s="243"/>
      <c r="AY1500" s="243"/>
      <c r="AZ1500" s="243"/>
      <c r="BA1500" s="243"/>
      <c r="BB1500" s="243"/>
      <c r="BC1500" s="243"/>
      <c r="BD1500" s="243"/>
      <c r="BE1500" s="243"/>
      <c r="BF1500" s="243"/>
      <c r="BG1500" s="243"/>
      <c r="BH1500" s="243"/>
      <c r="BI1500" s="243"/>
      <c r="BJ1500" s="243"/>
      <c r="BK1500" s="243"/>
      <c r="BL1500" s="243"/>
      <c r="BM1500" s="243"/>
      <c r="BN1500" s="243"/>
      <c r="BO1500" s="243"/>
      <c r="BP1500" s="243"/>
      <c r="BQ1500" s="243"/>
      <c r="BR1500" s="243"/>
      <c r="BS1500" s="243"/>
    </row>
    <row r="1501" spans="1:71" s="12" customFormat="1" ht="63" customHeight="1">
      <c r="A1501" s="178" t="s">
        <v>99</v>
      </c>
      <c r="B1501" s="75" t="str">
        <f ca="1">+UPPER(Tabla1321124[[#This Row],[DESCRIPCIÓN DE LA COMPRA O CONTRATACIÓN]])</f>
        <v>TERMOMETRO PARA HORNO, RANGO DE +35 0C A +200 0C, CON SUBDIVISIONES DE 1 0C, DE 145 MM, CALIBRADO Y TRAZABLE AL NIST, CON CERTIFICADO DE CALIBRACION INCLUIDO</v>
      </c>
      <c r="C1501" s="39" t="s">
        <v>1067</v>
      </c>
      <c r="D1501" s="236">
        <v>1</v>
      </c>
      <c r="E1501" s="236"/>
      <c r="F1501" s="236"/>
      <c r="G1501" s="236"/>
      <c r="H1501" s="236">
        <f>Tabla1321124[[#This Row],[CUARTO TRIMESTRE]]+Tabla1321124[[#This Row],[TERCER TRIMESTRE]]+Tabla1321124[[#This Row],[SEGUNDO TRIMESTRE]]+Tabla1321124[[#This Row],[PRIMER TRIMESTRE]]</f>
        <v>1</v>
      </c>
      <c r="I1501" s="17">
        <v>2000</v>
      </c>
      <c r="J1501" s="17">
        <f>+Tabla1321124[[#This Row],[CANTIDAD TOTAL]]*Tabla1321124[[#This Row],[PRECIO UNITARIO ESTIMADO]]</f>
        <v>2000</v>
      </c>
      <c r="K1501" s="17"/>
      <c r="L1501" s="16" t="s">
        <v>18</v>
      </c>
      <c r="M1501" s="16" t="s">
        <v>22</v>
      </c>
      <c r="N1501" s="16" t="s">
        <v>418</v>
      </c>
      <c r="O1501" s="243"/>
      <c r="P1501" s="243"/>
      <c r="Q1501" s="243"/>
      <c r="R1501" s="243"/>
      <c r="S1501" s="243"/>
      <c r="T1501" s="243"/>
      <c r="U1501" s="243"/>
      <c r="V1501" s="243"/>
      <c r="W1501" s="243"/>
      <c r="X1501" s="243"/>
      <c r="Y1501" s="243"/>
      <c r="Z1501" s="243"/>
      <c r="AA1501" s="243"/>
      <c r="AB1501" s="243"/>
      <c r="AC1501" s="243"/>
      <c r="AD1501" s="243"/>
      <c r="AE1501" s="243"/>
      <c r="AF1501" s="243"/>
      <c r="AG1501" s="243"/>
      <c r="AH1501" s="243"/>
      <c r="AI1501" s="243"/>
      <c r="AJ1501" s="243"/>
      <c r="AK1501" s="243"/>
      <c r="AL1501" s="243"/>
      <c r="AM1501" s="243"/>
      <c r="AN1501" s="243"/>
      <c r="AO1501" s="243"/>
      <c r="AP1501" s="243"/>
      <c r="AQ1501" s="243"/>
      <c r="AR1501" s="243"/>
      <c r="AS1501" s="243"/>
      <c r="AT1501" s="243"/>
      <c r="AU1501" s="243"/>
      <c r="AV1501" s="243"/>
      <c r="AW1501" s="243"/>
      <c r="AX1501" s="243"/>
      <c r="AY1501" s="243"/>
      <c r="AZ1501" s="243"/>
      <c r="BA1501" s="243"/>
      <c r="BB1501" s="243"/>
      <c r="BC1501" s="243"/>
      <c r="BD1501" s="243"/>
      <c r="BE1501" s="243"/>
      <c r="BF1501" s="243"/>
      <c r="BG1501" s="243"/>
      <c r="BH1501" s="243"/>
      <c r="BI1501" s="243"/>
      <c r="BJ1501" s="243"/>
      <c r="BK1501" s="243"/>
      <c r="BL1501" s="243"/>
      <c r="BM1501" s="243"/>
      <c r="BN1501" s="243"/>
      <c r="BO1501" s="243"/>
      <c r="BP1501" s="243"/>
      <c r="BQ1501" s="243"/>
      <c r="BR1501" s="243"/>
      <c r="BS1501" s="243"/>
    </row>
    <row r="1502" spans="1:71" s="12" customFormat="1" ht="56.25" customHeight="1">
      <c r="A1502" s="178" t="s">
        <v>99</v>
      </c>
      <c r="B1502" s="75" t="str">
        <f ca="1">+UPPER(Tabla1321124[[#This Row],[DESCRIPCIÓN DE LA COMPRA O CONTRATACIÓN]])</f>
        <v>TERMOMETRO PARA AUTOCLAVE, RAGO DE 850C A 135 0C, CON SUBDIVISIONES DE 1 0C, DE 200 MM, CALIBRADOS Y TRAZABLES AL NIST, CON CERTIFICADO DE CALIBRACION INCLUIDO</v>
      </c>
      <c r="C1502" s="39" t="s">
        <v>1067</v>
      </c>
      <c r="D1502" s="236">
        <v>1</v>
      </c>
      <c r="E1502" s="236"/>
      <c r="F1502" s="236"/>
      <c r="G1502" s="236"/>
      <c r="H1502" s="236">
        <f>Tabla1321124[[#This Row],[CUARTO TRIMESTRE]]+Tabla1321124[[#This Row],[TERCER TRIMESTRE]]+Tabla1321124[[#This Row],[SEGUNDO TRIMESTRE]]+Tabla1321124[[#This Row],[PRIMER TRIMESTRE]]</f>
        <v>1</v>
      </c>
      <c r="I1502" s="17">
        <v>2000</v>
      </c>
      <c r="J1502" s="17">
        <f>+Tabla1321124[[#This Row],[CANTIDAD TOTAL]]*Tabla1321124[[#This Row],[PRECIO UNITARIO ESTIMADO]]</f>
        <v>2000</v>
      </c>
      <c r="K1502" s="17"/>
      <c r="L1502" s="16" t="s">
        <v>18</v>
      </c>
      <c r="M1502" s="16" t="s">
        <v>22</v>
      </c>
      <c r="N1502" s="16" t="s">
        <v>418</v>
      </c>
      <c r="O1502" s="243"/>
      <c r="P1502" s="243"/>
      <c r="Q1502" s="243"/>
      <c r="R1502" s="243"/>
      <c r="S1502" s="243"/>
      <c r="T1502" s="243"/>
      <c r="U1502" s="243"/>
      <c r="V1502" s="243"/>
      <c r="W1502" s="243"/>
      <c r="X1502" s="243"/>
      <c r="Y1502" s="243"/>
      <c r="Z1502" s="243"/>
      <c r="AA1502" s="243"/>
      <c r="AB1502" s="243"/>
      <c r="AC1502" s="243"/>
      <c r="AD1502" s="243"/>
      <c r="AE1502" s="243"/>
      <c r="AF1502" s="243"/>
      <c r="AG1502" s="243"/>
      <c r="AH1502" s="243"/>
      <c r="AI1502" s="243"/>
      <c r="AJ1502" s="243"/>
      <c r="AK1502" s="243"/>
      <c r="AL1502" s="243"/>
      <c r="AM1502" s="243"/>
      <c r="AN1502" s="243"/>
      <c r="AO1502" s="243"/>
      <c r="AP1502" s="243"/>
      <c r="AQ1502" s="243"/>
      <c r="AR1502" s="243"/>
      <c r="AS1502" s="243"/>
      <c r="AT1502" s="243"/>
      <c r="AU1502" s="243"/>
      <c r="AV1502" s="243"/>
      <c r="AW1502" s="243"/>
      <c r="AX1502" s="243"/>
      <c r="AY1502" s="243"/>
      <c r="AZ1502" s="243"/>
      <c r="BA1502" s="243"/>
      <c r="BB1502" s="243"/>
      <c r="BC1502" s="243"/>
      <c r="BD1502" s="243"/>
      <c r="BE1502" s="243"/>
      <c r="BF1502" s="243"/>
      <c r="BG1502" s="243"/>
      <c r="BH1502" s="243"/>
      <c r="BI1502" s="243"/>
      <c r="BJ1502" s="243"/>
      <c r="BK1502" s="243"/>
      <c r="BL1502" s="243"/>
      <c r="BM1502" s="243"/>
      <c r="BN1502" s="243"/>
      <c r="BO1502" s="243"/>
      <c r="BP1502" s="243"/>
      <c r="BQ1502" s="243"/>
      <c r="BR1502" s="243"/>
      <c r="BS1502" s="243"/>
    </row>
    <row r="1503" spans="1:71" s="12" customFormat="1" ht="56.25" customHeight="1">
      <c r="A1503" s="178" t="s">
        <v>99</v>
      </c>
      <c r="B1503" s="75" t="str">
        <f ca="1">+UPPER(Tabla1321124[[#This Row],[DESCRIPCIÓN DE LA COMPRA O CONTRATACIÓN]])</f>
        <v>TERMOMETRO FRIO-TEMP, ENVIO-SAFE, PARA INCUBADORA CON RANGO DE 15 0C A 50 OC, CON DIVISION DE 0.5 0C, DE 5.3" (135 MM), CON CERTIFICADO DE CALIBRACION ISO 17025 INCLUIDO</v>
      </c>
      <c r="C1503" s="39" t="s">
        <v>1067</v>
      </c>
      <c r="D1503" s="236">
        <f>6+1</f>
        <v>7</v>
      </c>
      <c r="E1503" s="236"/>
      <c r="F1503" s="236"/>
      <c r="G1503" s="236"/>
      <c r="H1503" s="236">
        <f>Tabla1321124[[#This Row],[CUARTO TRIMESTRE]]+Tabla1321124[[#This Row],[TERCER TRIMESTRE]]+Tabla1321124[[#This Row],[SEGUNDO TRIMESTRE]]+Tabla1321124[[#This Row],[PRIMER TRIMESTRE]]</f>
        <v>7</v>
      </c>
      <c r="I1503" s="17">
        <v>2000</v>
      </c>
      <c r="J1503" s="17">
        <f>+Tabla1321124[[#This Row],[CANTIDAD TOTAL]]*Tabla1321124[[#This Row],[PRECIO UNITARIO ESTIMADO]]</f>
        <v>14000</v>
      </c>
      <c r="K1503" s="17"/>
      <c r="L1503" s="16" t="s">
        <v>18</v>
      </c>
      <c r="M1503" s="16" t="s">
        <v>22</v>
      </c>
      <c r="N1503" s="16" t="s">
        <v>418</v>
      </c>
      <c r="O1503" s="243"/>
      <c r="P1503" s="243"/>
      <c r="Q1503" s="243"/>
      <c r="R1503" s="243"/>
      <c r="S1503" s="243"/>
      <c r="T1503" s="243"/>
      <c r="U1503" s="243"/>
      <c r="V1503" s="243"/>
      <c r="W1503" s="243"/>
      <c r="X1503" s="243"/>
      <c r="Y1503" s="243"/>
      <c r="Z1503" s="243"/>
      <c r="AA1503" s="243"/>
      <c r="AB1503" s="243"/>
      <c r="AC1503" s="243"/>
      <c r="AD1503" s="243"/>
      <c r="AE1503" s="243"/>
      <c r="AF1503" s="243"/>
      <c r="AG1503" s="243"/>
      <c r="AH1503" s="243"/>
      <c r="AI1503" s="243"/>
      <c r="AJ1503" s="243"/>
      <c r="AK1503" s="243"/>
      <c r="AL1503" s="243"/>
      <c r="AM1503" s="243"/>
      <c r="AN1503" s="243"/>
      <c r="AO1503" s="243"/>
      <c r="AP1503" s="243"/>
      <c r="AQ1503" s="243"/>
      <c r="AR1503" s="243"/>
      <c r="AS1503" s="243"/>
      <c r="AT1503" s="243"/>
      <c r="AU1503" s="243"/>
      <c r="AV1503" s="243"/>
      <c r="AW1503" s="243"/>
      <c r="AX1503" s="243"/>
      <c r="AY1503" s="243"/>
      <c r="AZ1503" s="243"/>
      <c r="BA1503" s="243"/>
      <c r="BB1503" s="243"/>
      <c r="BC1503" s="243"/>
      <c r="BD1503" s="243"/>
      <c r="BE1503" s="243"/>
      <c r="BF1503" s="243"/>
      <c r="BG1503" s="243"/>
      <c r="BH1503" s="243"/>
      <c r="BI1503" s="243"/>
      <c r="BJ1503" s="243"/>
      <c r="BK1503" s="243"/>
      <c r="BL1503" s="243"/>
      <c r="BM1503" s="243"/>
      <c r="BN1503" s="243"/>
      <c r="BO1503" s="243"/>
      <c r="BP1503" s="243"/>
      <c r="BQ1503" s="243"/>
      <c r="BR1503" s="243"/>
      <c r="BS1503" s="243"/>
    </row>
    <row r="1504" spans="1:71" s="12" customFormat="1" ht="41.25" customHeight="1">
      <c r="A1504" s="178" t="s">
        <v>99</v>
      </c>
      <c r="B1504" s="75" t="str">
        <f ca="1">+UPPER(Tabla1321124[[#This Row],[DESCRIPCIÓN DE LA COMPRA O CONTRATACIÓN]])</f>
        <v>TERMOMETRO PATRON O DE REFERENCIA, DIGITAL, DE -10 A 250 0C, CON PRECISION DE 0.01, CON SONDA Y CERTIFICADO DE CALIBRACION INCLUIDOS</v>
      </c>
      <c r="C1504" s="39" t="s">
        <v>1067</v>
      </c>
      <c r="D1504" s="236">
        <f>6+1</f>
        <v>7</v>
      </c>
      <c r="E1504" s="236"/>
      <c r="F1504" s="236"/>
      <c r="G1504" s="236"/>
      <c r="H1504" s="236">
        <f>Tabla1321124[[#This Row],[CUARTO TRIMESTRE]]+Tabla1321124[[#This Row],[TERCER TRIMESTRE]]+Tabla1321124[[#This Row],[SEGUNDO TRIMESTRE]]+Tabla1321124[[#This Row],[PRIMER TRIMESTRE]]</f>
        <v>7</v>
      </c>
      <c r="I1504" s="17">
        <v>20000</v>
      </c>
      <c r="J1504" s="17">
        <f>+Tabla1321124[[#This Row],[CANTIDAD TOTAL]]*Tabla1321124[[#This Row],[PRECIO UNITARIO ESTIMADO]]</f>
        <v>140000</v>
      </c>
      <c r="K1504" s="17"/>
      <c r="L1504" s="16" t="s">
        <v>18</v>
      </c>
      <c r="M1504" s="16" t="s">
        <v>22</v>
      </c>
      <c r="N1504" s="16" t="s">
        <v>418</v>
      </c>
      <c r="O1504" s="243"/>
      <c r="P1504" s="243"/>
      <c r="Q1504" s="243"/>
      <c r="R1504" s="243"/>
      <c r="S1504" s="243"/>
      <c r="T1504" s="243"/>
      <c r="U1504" s="243"/>
      <c r="V1504" s="243"/>
      <c r="W1504" s="243"/>
      <c r="X1504" s="243"/>
      <c r="Y1504" s="243"/>
      <c r="Z1504" s="243"/>
      <c r="AA1504" s="243"/>
      <c r="AB1504" s="243"/>
      <c r="AC1504" s="243"/>
      <c r="AD1504" s="243"/>
      <c r="AE1504" s="243"/>
      <c r="AF1504" s="243"/>
      <c r="AG1504" s="243"/>
      <c r="AH1504" s="243"/>
      <c r="AI1504" s="243"/>
      <c r="AJ1504" s="243"/>
      <c r="AK1504" s="243"/>
      <c r="AL1504" s="243"/>
      <c r="AM1504" s="243"/>
      <c r="AN1504" s="243"/>
      <c r="AO1504" s="243"/>
      <c r="AP1504" s="243"/>
      <c r="AQ1504" s="243"/>
      <c r="AR1504" s="243"/>
      <c r="AS1504" s="243"/>
      <c r="AT1504" s="243"/>
      <c r="AU1504" s="243"/>
      <c r="AV1504" s="243"/>
      <c r="AW1504" s="243"/>
      <c r="AX1504" s="243"/>
      <c r="AY1504" s="243"/>
      <c r="AZ1504" s="243"/>
      <c r="BA1504" s="243"/>
      <c r="BB1504" s="243"/>
      <c r="BC1504" s="243"/>
      <c r="BD1504" s="243"/>
      <c r="BE1504" s="243"/>
      <c r="BF1504" s="243"/>
      <c r="BG1504" s="243"/>
      <c r="BH1504" s="243"/>
      <c r="BI1504" s="243"/>
      <c r="BJ1504" s="243"/>
      <c r="BK1504" s="243"/>
      <c r="BL1504" s="243"/>
      <c r="BM1504" s="243"/>
      <c r="BN1504" s="243"/>
      <c r="BO1504" s="243"/>
      <c r="BP1504" s="243"/>
      <c r="BQ1504" s="243"/>
      <c r="BR1504" s="243"/>
      <c r="BS1504" s="243"/>
    </row>
    <row r="1505" spans="1:71" s="12" customFormat="1" ht="41.25" customHeight="1">
      <c r="A1505" s="178" t="s">
        <v>99</v>
      </c>
      <c r="B1505" s="75" t="str">
        <f ca="1">+UPPER(Tabla1321124[[#This Row],[DESCRIPCIÓN DE LA COMPRA O CONTRATACIÓN]])</f>
        <v>TERMOMETRO DIGITAL, CON SONDA DE TEMPERATURA, RANGO DE -40 A 70 0C, CON CALIBRACION ISO 17025 Y CERTIFICADO DE CALIBRACION AL NIST.</v>
      </c>
      <c r="C1505" s="39" t="s">
        <v>1067</v>
      </c>
      <c r="D1505" s="236">
        <v>1</v>
      </c>
      <c r="E1505" s="236"/>
      <c r="F1505" s="236"/>
      <c r="G1505" s="236"/>
      <c r="H1505" s="236">
        <f>Tabla1321124[[#This Row],[CUARTO TRIMESTRE]]+Tabla1321124[[#This Row],[TERCER TRIMESTRE]]+Tabla1321124[[#This Row],[SEGUNDO TRIMESTRE]]+Tabla1321124[[#This Row],[PRIMER TRIMESTRE]]</f>
        <v>1</v>
      </c>
      <c r="I1505" s="17">
        <v>5000</v>
      </c>
      <c r="J1505" s="17">
        <f>+Tabla1321124[[#This Row],[CANTIDAD TOTAL]]*Tabla1321124[[#This Row],[PRECIO UNITARIO ESTIMADO]]</f>
        <v>5000</v>
      </c>
      <c r="K1505" s="17"/>
      <c r="L1505" s="16" t="s">
        <v>18</v>
      </c>
      <c r="M1505" s="16" t="s">
        <v>22</v>
      </c>
      <c r="N1505" s="16" t="s">
        <v>418</v>
      </c>
      <c r="O1505" s="243"/>
      <c r="P1505" s="243"/>
      <c r="Q1505" s="243"/>
      <c r="R1505" s="243"/>
      <c r="S1505" s="243"/>
      <c r="T1505" s="243"/>
      <c r="U1505" s="243"/>
      <c r="V1505" s="243"/>
      <c r="W1505" s="243"/>
      <c r="X1505" s="243"/>
      <c r="Y1505" s="243"/>
      <c r="Z1505" s="243"/>
      <c r="AA1505" s="243"/>
      <c r="AB1505" s="243"/>
      <c r="AC1505" s="243"/>
      <c r="AD1505" s="243"/>
      <c r="AE1505" s="243"/>
      <c r="AF1505" s="243"/>
      <c r="AG1505" s="243"/>
      <c r="AH1505" s="243"/>
      <c r="AI1505" s="243"/>
      <c r="AJ1505" s="243"/>
      <c r="AK1505" s="243"/>
      <c r="AL1505" s="243"/>
      <c r="AM1505" s="243"/>
      <c r="AN1505" s="243"/>
      <c r="AO1505" s="243"/>
      <c r="AP1505" s="243"/>
      <c r="AQ1505" s="243"/>
      <c r="AR1505" s="243"/>
      <c r="AS1505" s="243"/>
      <c r="AT1505" s="243"/>
      <c r="AU1505" s="243"/>
      <c r="AV1505" s="243"/>
      <c r="AW1505" s="243"/>
      <c r="AX1505" s="243"/>
      <c r="AY1505" s="243"/>
      <c r="AZ1505" s="243"/>
      <c r="BA1505" s="243"/>
      <c r="BB1505" s="243"/>
      <c r="BC1505" s="243"/>
      <c r="BD1505" s="243"/>
      <c r="BE1505" s="243"/>
      <c r="BF1505" s="243"/>
      <c r="BG1505" s="243"/>
      <c r="BH1505" s="243"/>
      <c r="BI1505" s="243"/>
      <c r="BJ1505" s="243"/>
      <c r="BK1505" s="243"/>
      <c r="BL1505" s="243"/>
      <c r="BM1505" s="243"/>
      <c r="BN1505" s="243"/>
      <c r="BO1505" s="243"/>
      <c r="BP1505" s="243"/>
      <c r="BQ1505" s="243"/>
      <c r="BR1505" s="243"/>
      <c r="BS1505" s="243"/>
    </row>
    <row r="1506" spans="1:71" s="12" customFormat="1" ht="41.25" customHeight="1">
      <c r="A1506" s="178" t="s">
        <v>99</v>
      </c>
      <c r="B1506" s="75" t="str">
        <f ca="1">+UPPER(Tabla1321124[[#This Row],[DESCRIPCIÓN DE LA COMPRA O CONTRATACIÓN]])</f>
        <v>RESISTENCIA ELECTRICA DE INMERSION VYCOR, DE 240V-2500W, MODELO A 440367 (PARA DESTILADOR MEGA-PURE, 3A, WATER STEEL)</v>
      </c>
      <c r="C1506" s="39" t="s">
        <v>1067</v>
      </c>
      <c r="D1506" s="236">
        <v>1</v>
      </c>
      <c r="E1506" s="236"/>
      <c r="F1506" s="236"/>
      <c r="G1506" s="236"/>
      <c r="H1506" s="236">
        <f>Tabla1321124[[#This Row],[CUARTO TRIMESTRE]]+Tabla1321124[[#This Row],[TERCER TRIMESTRE]]+Tabla1321124[[#This Row],[SEGUNDO TRIMESTRE]]+Tabla1321124[[#This Row],[PRIMER TRIMESTRE]]</f>
        <v>1</v>
      </c>
      <c r="I1506" s="17">
        <v>80000</v>
      </c>
      <c r="J1506" s="17">
        <f>+Tabla1321124[[#This Row],[CANTIDAD TOTAL]]*Tabla1321124[[#This Row],[PRECIO UNITARIO ESTIMADO]]</f>
        <v>80000</v>
      </c>
      <c r="K1506" s="17"/>
      <c r="L1506" s="16" t="s">
        <v>18</v>
      </c>
      <c r="M1506" s="16" t="s">
        <v>22</v>
      </c>
      <c r="N1506" s="16" t="s">
        <v>418</v>
      </c>
      <c r="O1506" s="243"/>
      <c r="P1506" s="243"/>
      <c r="Q1506" s="243"/>
      <c r="R1506" s="243"/>
      <c r="S1506" s="243"/>
      <c r="T1506" s="243"/>
      <c r="U1506" s="243"/>
      <c r="V1506" s="243"/>
      <c r="W1506" s="243"/>
      <c r="X1506" s="243"/>
      <c r="Y1506" s="243"/>
      <c r="Z1506" s="243"/>
      <c r="AA1506" s="243"/>
      <c r="AB1506" s="243"/>
      <c r="AC1506" s="243"/>
      <c r="AD1506" s="243"/>
      <c r="AE1506" s="243"/>
      <c r="AF1506" s="243"/>
      <c r="AG1506" s="243"/>
      <c r="AH1506" s="243"/>
      <c r="AI1506" s="243"/>
      <c r="AJ1506" s="243"/>
      <c r="AK1506" s="243"/>
      <c r="AL1506" s="243"/>
      <c r="AM1506" s="243"/>
      <c r="AN1506" s="243"/>
      <c r="AO1506" s="243"/>
      <c r="AP1506" s="243"/>
      <c r="AQ1506" s="243"/>
      <c r="AR1506" s="243"/>
      <c r="AS1506" s="243"/>
      <c r="AT1506" s="243"/>
      <c r="AU1506" s="243"/>
      <c r="AV1506" s="243"/>
      <c r="AW1506" s="243"/>
      <c r="AX1506" s="243"/>
      <c r="AY1506" s="243"/>
      <c r="AZ1506" s="243"/>
      <c r="BA1506" s="243"/>
      <c r="BB1506" s="243"/>
      <c r="BC1506" s="243"/>
      <c r="BD1506" s="243"/>
      <c r="BE1506" s="243"/>
      <c r="BF1506" s="243"/>
      <c r="BG1506" s="243"/>
      <c r="BH1506" s="243"/>
      <c r="BI1506" s="243"/>
      <c r="BJ1506" s="243"/>
      <c r="BK1506" s="243"/>
      <c r="BL1506" s="243"/>
      <c r="BM1506" s="243"/>
      <c r="BN1506" s="243"/>
      <c r="BO1506" s="243"/>
      <c r="BP1506" s="243"/>
      <c r="BQ1506" s="243"/>
      <c r="BR1506" s="243"/>
      <c r="BS1506" s="243"/>
    </row>
    <row r="1507" spans="1:71" s="26" customFormat="1" ht="41.25" customHeight="1">
      <c r="A1507" s="178" t="s">
        <v>99</v>
      </c>
      <c r="B1507" s="75" t="str">
        <f ca="1">+UPPER(Tabla1321124[[#This Row],[DESCRIPCIÓN DE LA COMPRA O CONTRATACIÓN]])</f>
        <v>GABINETE PARA ALMACENAJE DE LIQUIDOS INFLAMABLES, DE 4 GALONES DE CAPACIDAD.  DIMENSIONES: 18" X 17 1/2" X 22 1/4" (46 X 45 X 57 CMS)</v>
      </c>
      <c r="C1507" s="39" t="s">
        <v>1067</v>
      </c>
      <c r="D1507" s="236">
        <v>1</v>
      </c>
      <c r="E1507" s="236"/>
      <c r="F1507" s="236"/>
      <c r="G1507" s="236"/>
      <c r="H1507" s="236">
        <f>Tabla1321124[[#This Row],[CUARTO TRIMESTRE]]+Tabla1321124[[#This Row],[TERCER TRIMESTRE]]+Tabla1321124[[#This Row],[SEGUNDO TRIMESTRE]]+Tabla1321124[[#This Row],[PRIMER TRIMESTRE]]</f>
        <v>1</v>
      </c>
      <c r="I1507" s="17">
        <v>38000</v>
      </c>
      <c r="J1507" s="17">
        <f>+Tabla1321124[[#This Row],[CANTIDAD TOTAL]]*Tabla1321124[[#This Row],[PRECIO UNITARIO ESTIMADO]]</f>
        <v>38000</v>
      </c>
      <c r="K1507" s="17"/>
      <c r="L1507" s="16" t="s">
        <v>18</v>
      </c>
      <c r="M1507" s="16" t="s">
        <v>22</v>
      </c>
      <c r="N1507" s="16" t="s">
        <v>418</v>
      </c>
      <c r="O1507" s="243"/>
      <c r="P1507" s="243"/>
      <c r="Q1507" s="243"/>
      <c r="R1507" s="243"/>
      <c r="S1507" s="243"/>
      <c r="T1507" s="243"/>
      <c r="U1507" s="243"/>
      <c r="V1507" s="243"/>
      <c r="W1507" s="243"/>
      <c r="X1507" s="243"/>
      <c r="Y1507" s="243"/>
      <c r="Z1507" s="243"/>
      <c r="AA1507" s="243"/>
      <c r="AB1507" s="243"/>
      <c r="AC1507" s="243"/>
      <c r="AD1507" s="243"/>
      <c r="AE1507" s="243"/>
      <c r="AF1507" s="243"/>
      <c r="AG1507" s="243"/>
      <c r="AH1507" s="243"/>
      <c r="AI1507" s="243"/>
      <c r="AJ1507" s="243"/>
      <c r="AK1507" s="243"/>
      <c r="AL1507" s="243"/>
      <c r="AM1507" s="243"/>
      <c r="AN1507" s="243"/>
      <c r="AO1507" s="243"/>
      <c r="AP1507" s="243"/>
      <c r="AQ1507" s="243"/>
      <c r="AR1507" s="243"/>
      <c r="AS1507" s="243"/>
      <c r="AT1507" s="243"/>
      <c r="AU1507" s="243"/>
      <c r="AV1507" s="243"/>
      <c r="AW1507" s="243"/>
      <c r="AX1507" s="243"/>
      <c r="AY1507" s="243"/>
      <c r="AZ1507" s="243"/>
      <c r="BA1507" s="243"/>
      <c r="BB1507" s="243"/>
      <c r="BC1507" s="243"/>
      <c r="BD1507" s="243"/>
      <c r="BE1507" s="243"/>
      <c r="BF1507" s="243"/>
      <c r="BG1507" s="243"/>
      <c r="BH1507" s="243"/>
      <c r="BI1507" s="243"/>
      <c r="BJ1507" s="243"/>
      <c r="BK1507" s="243"/>
      <c r="BL1507" s="243"/>
      <c r="BM1507" s="243"/>
      <c r="BN1507" s="243"/>
      <c r="BO1507" s="243"/>
      <c r="BP1507" s="243"/>
      <c r="BQ1507" s="243"/>
      <c r="BR1507" s="243"/>
      <c r="BS1507" s="243"/>
    </row>
    <row r="1508" spans="1:71" s="26" customFormat="1" ht="41.25" customHeight="1">
      <c r="A1508" s="178" t="s">
        <v>99</v>
      </c>
      <c r="B1508" s="75" t="str">
        <f ca="1">+UPPER(Tabla1321124[[#This Row],[DESCRIPCIÓN DE LA COMPRA O CONTRATACIÓN]])</f>
        <v>BLOCK CALENTADOR, DIGITAL, DE 120 V, CON DIMENSIONES DE 31.5 DE LARGO X 20.3 DE DIAMETRO X 8.9 DE ALTURA</v>
      </c>
      <c r="C1508" s="39" t="s">
        <v>1067</v>
      </c>
      <c r="D1508" s="236">
        <v>1</v>
      </c>
      <c r="E1508" s="236"/>
      <c r="F1508" s="236"/>
      <c r="G1508" s="236"/>
      <c r="H1508" s="236">
        <f>Tabla1321124[[#This Row],[CUARTO TRIMESTRE]]+Tabla1321124[[#This Row],[TERCER TRIMESTRE]]+Tabla1321124[[#This Row],[SEGUNDO TRIMESTRE]]+Tabla1321124[[#This Row],[PRIMER TRIMESTRE]]</f>
        <v>1</v>
      </c>
      <c r="I1508" s="17">
        <v>52000</v>
      </c>
      <c r="J1508" s="17">
        <f>+Tabla1321124[[#This Row],[CANTIDAD TOTAL]]*Tabla1321124[[#This Row],[PRECIO UNITARIO ESTIMADO]]</f>
        <v>52000</v>
      </c>
      <c r="K1508" s="17"/>
      <c r="L1508" s="16" t="s">
        <v>18</v>
      </c>
      <c r="M1508" s="16" t="s">
        <v>22</v>
      </c>
      <c r="N1508" s="16" t="s">
        <v>418</v>
      </c>
      <c r="O1508" s="243"/>
      <c r="P1508" s="243"/>
      <c r="Q1508" s="243"/>
      <c r="R1508" s="243"/>
      <c r="S1508" s="243"/>
      <c r="T1508" s="243"/>
      <c r="U1508" s="243"/>
      <c r="V1508" s="243"/>
      <c r="W1508" s="243"/>
      <c r="X1508" s="243"/>
      <c r="Y1508" s="243"/>
      <c r="Z1508" s="243"/>
      <c r="AA1508" s="243"/>
      <c r="AB1508" s="243"/>
      <c r="AC1508" s="243"/>
      <c r="AD1508" s="243"/>
      <c r="AE1508" s="243"/>
      <c r="AF1508" s="243"/>
      <c r="AG1508" s="243"/>
      <c r="AH1508" s="243"/>
      <c r="AI1508" s="243"/>
      <c r="AJ1508" s="243"/>
      <c r="AK1508" s="243"/>
      <c r="AL1508" s="243"/>
      <c r="AM1508" s="243"/>
      <c r="AN1508" s="243"/>
      <c r="AO1508" s="243"/>
      <c r="AP1508" s="243"/>
      <c r="AQ1508" s="243"/>
      <c r="AR1508" s="243"/>
      <c r="AS1508" s="243"/>
      <c r="AT1508" s="243"/>
      <c r="AU1508" s="243"/>
      <c r="AV1508" s="243"/>
      <c r="AW1508" s="243"/>
      <c r="AX1508" s="243"/>
      <c r="AY1508" s="243"/>
      <c r="AZ1508" s="243"/>
      <c r="BA1508" s="243"/>
      <c r="BB1508" s="243"/>
      <c r="BC1508" s="243"/>
      <c r="BD1508" s="243"/>
      <c r="BE1508" s="243"/>
      <c r="BF1508" s="243"/>
      <c r="BG1508" s="243"/>
      <c r="BH1508" s="243"/>
      <c r="BI1508" s="243"/>
      <c r="BJ1508" s="243"/>
      <c r="BK1508" s="243"/>
      <c r="BL1508" s="243"/>
      <c r="BM1508" s="243"/>
      <c r="BN1508" s="243"/>
      <c r="BO1508" s="243"/>
      <c r="BP1508" s="243"/>
      <c r="BQ1508" s="243"/>
      <c r="BR1508" s="243"/>
      <c r="BS1508" s="243"/>
    </row>
    <row r="1509" spans="1:71" s="26" customFormat="1" ht="41.25" customHeight="1">
      <c r="A1509" s="178" t="s">
        <v>99</v>
      </c>
      <c r="B1509" s="75" t="str">
        <f ca="1">+UPPER(Tabla1321124[[#This Row],[DESCRIPCIÓN DE LA COMPRA O CONTRATACIÓN]])</f>
        <v>STAN DE 3 POSICIONES PARA PIPETAS AUTOMATICAS MONOCANAL</v>
      </c>
      <c r="C1509" s="39" t="s">
        <v>1067</v>
      </c>
      <c r="D1509" s="236">
        <v>1</v>
      </c>
      <c r="E1509" s="236"/>
      <c r="F1509" s="236"/>
      <c r="G1509" s="236"/>
      <c r="H1509" s="236">
        <f>Tabla1321124[[#This Row],[CUARTO TRIMESTRE]]+Tabla1321124[[#This Row],[TERCER TRIMESTRE]]+Tabla1321124[[#This Row],[SEGUNDO TRIMESTRE]]+Tabla1321124[[#This Row],[PRIMER TRIMESTRE]]</f>
        <v>1</v>
      </c>
      <c r="I1509" s="17">
        <v>4000</v>
      </c>
      <c r="J1509" s="17">
        <f>+Tabla1321124[[#This Row],[CANTIDAD TOTAL]]*Tabla1321124[[#This Row],[PRECIO UNITARIO ESTIMADO]]</f>
        <v>4000</v>
      </c>
      <c r="K1509" s="17"/>
      <c r="L1509" s="16" t="s">
        <v>18</v>
      </c>
      <c r="M1509" s="16" t="s">
        <v>22</v>
      </c>
      <c r="N1509" s="16" t="s">
        <v>418</v>
      </c>
      <c r="O1509" s="243"/>
      <c r="P1509" s="243"/>
      <c r="Q1509" s="243"/>
      <c r="R1509" s="243"/>
      <c r="S1509" s="243"/>
      <c r="T1509" s="243"/>
      <c r="U1509" s="243"/>
      <c r="V1509" s="243"/>
      <c r="W1509" s="243"/>
      <c r="X1509" s="243"/>
      <c r="Y1509" s="243"/>
      <c r="Z1509" s="243"/>
      <c r="AA1509" s="243"/>
      <c r="AB1509" s="243"/>
      <c r="AC1509" s="243"/>
      <c r="AD1509" s="243"/>
      <c r="AE1509" s="243"/>
      <c r="AF1509" s="243"/>
      <c r="AG1509" s="243"/>
      <c r="AH1509" s="243"/>
      <c r="AI1509" s="243"/>
      <c r="AJ1509" s="243"/>
      <c r="AK1509" s="243"/>
      <c r="AL1509" s="243"/>
      <c r="AM1509" s="243"/>
      <c r="AN1509" s="243"/>
      <c r="AO1509" s="243"/>
      <c r="AP1509" s="243"/>
      <c r="AQ1509" s="243"/>
      <c r="AR1509" s="243"/>
      <c r="AS1509" s="243"/>
      <c r="AT1509" s="243"/>
      <c r="AU1509" s="243"/>
      <c r="AV1509" s="243"/>
      <c r="AW1509" s="243"/>
      <c r="AX1509" s="243"/>
      <c r="AY1509" s="243"/>
      <c r="AZ1509" s="243"/>
      <c r="BA1509" s="243"/>
      <c r="BB1509" s="243"/>
      <c r="BC1509" s="243"/>
      <c r="BD1509" s="243"/>
      <c r="BE1509" s="243"/>
      <c r="BF1509" s="243"/>
      <c r="BG1509" s="243"/>
      <c r="BH1509" s="243"/>
      <c r="BI1509" s="243"/>
      <c r="BJ1509" s="243"/>
      <c r="BK1509" s="243"/>
      <c r="BL1509" s="243"/>
      <c r="BM1509" s="243"/>
      <c r="BN1509" s="243"/>
      <c r="BO1509" s="243"/>
      <c r="BP1509" s="243"/>
      <c r="BQ1509" s="243"/>
      <c r="BR1509" s="243"/>
      <c r="BS1509" s="243"/>
    </row>
    <row r="1510" spans="1:71" s="26" customFormat="1" ht="41.25" customHeight="1">
      <c r="A1510" s="178" t="s">
        <v>99</v>
      </c>
      <c r="B1510" s="75" t="str">
        <f ca="1">+UPPER(Tabla1321124[[#This Row],[DESCRIPCIÓN DE LA COMPRA O CONTRATACIÓN]])</f>
        <v>BLOCK DE CALEFACCION MODULAR, ESTANDAR, DE 16 ORIFICIOS DE 13.0 MM</v>
      </c>
      <c r="C1510" s="39" t="s">
        <v>1067</v>
      </c>
      <c r="D1510" s="236">
        <v>1</v>
      </c>
      <c r="E1510" s="236"/>
      <c r="F1510" s="236"/>
      <c r="G1510" s="236"/>
      <c r="H1510" s="236">
        <f>Tabla1321124[[#This Row],[CUARTO TRIMESTRE]]+Tabla1321124[[#This Row],[TERCER TRIMESTRE]]+Tabla1321124[[#This Row],[SEGUNDO TRIMESTRE]]+Tabla1321124[[#This Row],[PRIMER TRIMESTRE]]</f>
        <v>1</v>
      </c>
      <c r="I1510" s="17">
        <v>8000</v>
      </c>
      <c r="J1510" s="17">
        <f>+Tabla1321124[[#This Row],[CANTIDAD TOTAL]]*Tabla1321124[[#This Row],[PRECIO UNITARIO ESTIMADO]]</f>
        <v>8000</v>
      </c>
      <c r="K1510" s="17"/>
      <c r="L1510" s="16" t="s">
        <v>18</v>
      </c>
      <c r="M1510" s="16" t="s">
        <v>22</v>
      </c>
      <c r="N1510" s="16" t="s">
        <v>418</v>
      </c>
      <c r="O1510" s="243"/>
      <c r="P1510" s="243"/>
      <c r="Q1510" s="243"/>
      <c r="R1510" s="243"/>
      <c r="S1510" s="243"/>
      <c r="T1510" s="243"/>
      <c r="U1510" s="243"/>
      <c r="V1510" s="243"/>
      <c r="W1510" s="243"/>
      <c r="X1510" s="243"/>
      <c r="Y1510" s="243"/>
      <c r="Z1510" s="243"/>
      <c r="AA1510" s="243"/>
      <c r="AB1510" s="243"/>
      <c r="AC1510" s="243"/>
      <c r="AD1510" s="243"/>
      <c r="AE1510" s="243"/>
      <c r="AF1510" s="243"/>
      <c r="AG1510" s="243"/>
      <c r="AH1510" s="243"/>
      <c r="AI1510" s="243"/>
      <c r="AJ1510" s="243"/>
      <c r="AK1510" s="243"/>
      <c r="AL1510" s="243"/>
      <c r="AM1510" s="243"/>
      <c r="AN1510" s="243"/>
      <c r="AO1510" s="243"/>
      <c r="AP1510" s="243"/>
      <c r="AQ1510" s="243"/>
      <c r="AR1510" s="243"/>
      <c r="AS1510" s="243"/>
      <c r="AT1510" s="243"/>
      <c r="AU1510" s="243"/>
      <c r="AV1510" s="243"/>
      <c r="AW1510" s="243"/>
      <c r="AX1510" s="243"/>
      <c r="AY1510" s="243"/>
      <c r="AZ1510" s="243"/>
      <c r="BA1510" s="243"/>
      <c r="BB1510" s="243"/>
      <c r="BC1510" s="243"/>
      <c r="BD1510" s="243"/>
      <c r="BE1510" s="243"/>
      <c r="BF1510" s="243"/>
      <c r="BG1510" s="243"/>
      <c r="BH1510" s="243"/>
      <c r="BI1510" s="243"/>
      <c r="BJ1510" s="243"/>
      <c r="BK1510" s="243"/>
      <c r="BL1510" s="243"/>
      <c r="BM1510" s="243"/>
      <c r="BN1510" s="243"/>
      <c r="BO1510" s="243"/>
      <c r="BP1510" s="243"/>
      <c r="BQ1510" s="243"/>
      <c r="BR1510" s="243"/>
      <c r="BS1510" s="243"/>
    </row>
    <row r="1511" spans="1:71" s="26" customFormat="1" ht="51" customHeight="1">
      <c r="A1511" s="178" t="s">
        <v>99</v>
      </c>
      <c r="B1511" s="75" t="str">
        <f ca="1">+UPPER(Tabla1321124[[#This Row],[DESCRIPCIÓN DE LA COMPRA O CONTRATACIÓN]])</f>
        <v>AUTOCLAVE AUTOMATICO DE MESA, DE 35 LITROS DE CAPACIDAD, DE 220 V, MONOFASICO</v>
      </c>
      <c r="C1511" s="39" t="s">
        <v>1067</v>
      </c>
      <c r="D1511" s="236">
        <f>1+1</f>
        <v>2</v>
      </c>
      <c r="E1511" s="236">
        <f>1</f>
        <v>1</v>
      </c>
      <c r="F1511" s="236"/>
      <c r="G1511" s="236"/>
      <c r="H1511" s="236">
        <f>Tabla1321124[[#This Row],[CUARTO TRIMESTRE]]+Tabla1321124[[#This Row],[TERCER TRIMESTRE]]+Tabla1321124[[#This Row],[SEGUNDO TRIMESTRE]]+Tabla1321124[[#This Row],[PRIMER TRIMESTRE]]</f>
        <v>3</v>
      </c>
      <c r="I1511" s="17">
        <v>350000</v>
      </c>
      <c r="J1511" s="17">
        <f>+Tabla1321124[[#This Row],[CANTIDAD TOTAL]]*Tabla1321124[[#This Row],[PRECIO UNITARIO ESTIMADO]]</f>
        <v>1050000</v>
      </c>
      <c r="K1511" s="17"/>
      <c r="L1511" s="16" t="s">
        <v>18</v>
      </c>
      <c r="M1511" s="16" t="s">
        <v>22</v>
      </c>
      <c r="N1511" s="16" t="s">
        <v>418</v>
      </c>
      <c r="O1511" s="243"/>
      <c r="P1511" s="243"/>
      <c r="Q1511" s="243"/>
      <c r="R1511" s="243"/>
      <c r="S1511" s="243"/>
      <c r="T1511" s="243"/>
      <c r="U1511" s="243"/>
      <c r="V1511" s="243"/>
      <c r="W1511" s="243"/>
      <c r="X1511" s="243"/>
      <c r="Y1511" s="243"/>
      <c r="Z1511" s="243"/>
      <c r="AA1511" s="243"/>
      <c r="AB1511" s="243"/>
      <c r="AC1511" s="243"/>
      <c r="AD1511" s="243"/>
      <c r="AE1511" s="243"/>
      <c r="AF1511" s="243"/>
      <c r="AG1511" s="243"/>
      <c r="AH1511" s="243"/>
      <c r="AI1511" s="243"/>
      <c r="AJ1511" s="243"/>
      <c r="AK1511" s="243"/>
      <c r="AL1511" s="243"/>
      <c r="AM1511" s="243"/>
      <c r="AN1511" s="243"/>
      <c r="AO1511" s="243"/>
      <c r="AP1511" s="243"/>
      <c r="AQ1511" s="243"/>
      <c r="AR1511" s="243"/>
      <c r="AS1511" s="243"/>
      <c r="AT1511" s="243"/>
      <c r="AU1511" s="243"/>
      <c r="AV1511" s="243"/>
      <c r="AW1511" s="243"/>
      <c r="AX1511" s="243"/>
      <c r="AY1511" s="243"/>
      <c r="AZ1511" s="243"/>
      <c r="BA1511" s="243"/>
      <c r="BB1511" s="243"/>
      <c r="BC1511" s="243"/>
      <c r="BD1511" s="243"/>
      <c r="BE1511" s="243"/>
      <c r="BF1511" s="243"/>
      <c r="BG1511" s="243"/>
      <c r="BH1511" s="243"/>
      <c r="BI1511" s="243"/>
      <c r="BJ1511" s="243"/>
      <c r="BK1511" s="243"/>
      <c r="BL1511" s="243"/>
      <c r="BM1511" s="243"/>
      <c r="BN1511" s="243"/>
      <c r="BO1511" s="243"/>
      <c r="BP1511" s="243"/>
      <c r="BQ1511" s="243"/>
      <c r="BR1511" s="243"/>
      <c r="BS1511" s="243"/>
    </row>
    <row r="1512" spans="1:71" s="26" customFormat="1" ht="55.5" customHeight="1">
      <c r="A1512" s="178" t="s">
        <v>99</v>
      </c>
      <c r="B1512" s="75" t="str">
        <f ca="1">+UPPER(Tabla1321124[[#This Row],[DESCRIPCIÓN DE LA COMPRA O CONTRATACIÓN]])</f>
        <v>LAVADOR/ENJUAGADOR DE PIPETAS NALGENE (PIPET WASHERS/RINSERS), CON DIMENSIONES DE 16" L (41 CMS).</v>
      </c>
      <c r="C1512" s="39" t="s">
        <v>1067</v>
      </c>
      <c r="D1512" s="236">
        <v>1</v>
      </c>
      <c r="E1512" s="236">
        <f>1</f>
        <v>1</v>
      </c>
      <c r="F1512" s="236"/>
      <c r="G1512" s="236"/>
      <c r="H1512" s="236">
        <f>Tabla1321124[[#This Row],[CUARTO TRIMESTRE]]+Tabla1321124[[#This Row],[TERCER TRIMESTRE]]+Tabla1321124[[#This Row],[SEGUNDO TRIMESTRE]]+Tabla1321124[[#This Row],[PRIMER TRIMESTRE]]</f>
        <v>2</v>
      </c>
      <c r="I1512" s="17">
        <v>21000</v>
      </c>
      <c r="J1512" s="17">
        <f>+Tabla1321124[[#This Row],[CANTIDAD TOTAL]]*Tabla1321124[[#This Row],[PRECIO UNITARIO ESTIMADO]]</f>
        <v>42000</v>
      </c>
      <c r="K1512" s="17"/>
      <c r="L1512" s="16" t="s">
        <v>18</v>
      </c>
      <c r="M1512" s="16" t="s">
        <v>22</v>
      </c>
      <c r="N1512" s="16" t="s">
        <v>418</v>
      </c>
      <c r="O1512" s="243"/>
      <c r="P1512" s="243"/>
      <c r="Q1512" s="243"/>
      <c r="R1512" s="243"/>
      <c r="S1512" s="243"/>
      <c r="T1512" s="243"/>
      <c r="U1512" s="243"/>
      <c r="V1512" s="243"/>
      <c r="W1512" s="243"/>
      <c r="X1512" s="243"/>
      <c r="Y1512" s="243"/>
      <c r="Z1512" s="243"/>
      <c r="AA1512" s="243"/>
      <c r="AB1512" s="243"/>
      <c r="AC1512" s="243"/>
      <c r="AD1512" s="243"/>
      <c r="AE1512" s="243"/>
      <c r="AF1512" s="243"/>
      <c r="AG1512" s="243"/>
      <c r="AH1512" s="243"/>
      <c r="AI1512" s="243"/>
      <c r="AJ1512" s="243"/>
      <c r="AK1512" s="243"/>
      <c r="AL1512" s="243"/>
      <c r="AM1512" s="243"/>
      <c r="AN1512" s="243"/>
      <c r="AO1512" s="243"/>
      <c r="AP1512" s="243"/>
      <c r="AQ1512" s="243"/>
      <c r="AR1512" s="243"/>
      <c r="AS1512" s="243"/>
      <c r="AT1512" s="243"/>
      <c r="AU1512" s="243"/>
      <c r="AV1512" s="243"/>
      <c r="AW1512" s="243"/>
      <c r="AX1512" s="243"/>
      <c r="AY1512" s="243"/>
      <c r="AZ1512" s="243"/>
      <c r="BA1512" s="243"/>
      <c r="BB1512" s="243"/>
      <c r="BC1512" s="243"/>
      <c r="BD1512" s="243"/>
      <c r="BE1512" s="243"/>
      <c r="BF1512" s="243"/>
      <c r="BG1512" s="243"/>
      <c r="BH1512" s="243"/>
      <c r="BI1512" s="243"/>
      <c r="BJ1512" s="243"/>
      <c r="BK1512" s="243"/>
      <c r="BL1512" s="243"/>
      <c r="BM1512" s="243"/>
      <c r="BN1512" s="243"/>
      <c r="BO1512" s="243"/>
      <c r="BP1512" s="243"/>
      <c r="BQ1512" s="243"/>
      <c r="BR1512" s="243"/>
      <c r="BS1512" s="243"/>
    </row>
    <row r="1513" spans="1:71" s="26" customFormat="1" ht="97.5" customHeight="1">
      <c r="A1513" s="178" t="s">
        <v>99</v>
      </c>
      <c r="B1513" s="75" t="str">
        <f ca="1">+UPPER(Tabla1321124[[#This Row],[DESCRIPCIÓN DE LA COMPRA O CONTRATACIÓN]])</f>
        <v>REFRIGERADOR INCUBADORA PARA DBO, CON CAPACIDAD DE 20 PIES CUBICOS, CON CONTROL MICROPROCESADOR DE TEMPERATURA, RANGO DE TEMPERATURA DE -10 0C A +50 0C; UNIFORMIDAD DE +0.5 0C A 20 0C; VOLTAJE DE 115V, 60 HZ, 7.0 A.  DIMENSIONES INTERIOR: D X W X H 50.8 X 67.3 X 144.8 CMS.  DIMENSION EXTERIOR: L X W X H 82 X 92 X 191 CMS.</v>
      </c>
      <c r="C1513" s="39" t="s">
        <v>1067</v>
      </c>
      <c r="D1513" s="236">
        <v>1</v>
      </c>
      <c r="E1513" s="236"/>
      <c r="F1513" s="236"/>
      <c r="G1513" s="236"/>
      <c r="H1513" s="236">
        <f>Tabla1321124[[#This Row],[CUARTO TRIMESTRE]]+Tabla1321124[[#This Row],[TERCER TRIMESTRE]]+Tabla1321124[[#This Row],[SEGUNDO TRIMESTRE]]+Tabla1321124[[#This Row],[PRIMER TRIMESTRE]]</f>
        <v>1</v>
      </c>
      <c r="I1513" s="17">
        <v>300000</v>
      </c>
      <c r="J1513" s="17">
        <f>+Tabla1321124[[#This Row],[CANTIDAD TOTAL]]*Tabla1321124[[#This Row],[PRECIO UNITARIO ESTIMADO]]</f>
        <v>300000</v>
      </c>
      <c r="K1513" s="17"/>
      <c r="L1513" s="16" t="s">
        <v>18</v>
      </c>
      <c r="M1513" s="16" t="s">
        <v>22</v>
      </c>
      <c r="N1513" s="16" t="s">
        <v>418</v>
      </c>
      <c r="O1513" s="243"/>
      <c r="P1513" s="243"/>
      <c r="Q1513" s="243"/>
      <c r="R1513" s="243"/>
      <c r="S1513" s="243"/>
      <c r="T1513" s="243"/>
      <c r="U1513" s="243"/>
      <c r="V1513" s="243"/>
      <c r="W1513" s="243"/>
      <c r="X1513" s="243"/>
      <c r="Y1513" s="243"/>
      <c r="Z1513" s="243"/>
      <c r="AA1513" s="243"/>
      <c r="AB1513" s="243"/>
      <c r="AC1513" s="243"/>
      <c r="AD1513" s="243"/>
      <c r="AE1513" s="243"/>
      <c r="AF1513" s="243"/>
      <c r="AG1513" s="243"/>
      <c r="AH1513" s="243"/>
      <c r="AI1513" s="243"/>
      <c r="AJ1513" s="243"/>
      <c r="AK1513" s="243"/>
      <c r="AL1513" s="243"/>
      <c r="AM1513" s="243"/>
      <c r="AN1513" s="243"/>
      <c r="AO1513" s="243"/>
      <c r="AP1513" s="243"/>
      <c r="AQ1513" s="243"/>
      <c r="AR1513" s="243"/>
      <c r="AS1513" s="243"/>
      <c r="AT1513" s="243"/>
      <c r="AU1513" s="243"/>
      <c r="AV1513" s="243"/>
      <c r="AW1513" s="243"/>
      <c r="AX1513" s="243"/>
      <c r="AY1513" s="243"/>
      <c r="AZ1513" s="243"/>
      <c r="BA1513" s="243"/>
      <c r="BB1513" s="243"/>
      <c r="BC1513" s="243"/>
      <c r="BD1513" s="243"/>
      <c r="BE1513" s="243"/>
      <c r="BF1513" s="243"/>
      <c r="BG1513" s="243"/>
      <c r="BH1513" s="243"/>
      <c r="BI1513" s="243"/>
      <c r="BJ1513" s="243"/>
      <c r="BK1513" s="243"/>
      <c r="BL1513" s="243"/>
      <c r="BM1513" s="243"/>
      <c r="BN1513" s="243"/>
      <c r="BO1513" s="243"/>
      <c r="BP1513" s="243"/>
      <c r="BQ1513" s="243"/>
      <c r="BR1513" s="243"/>
      <c r="BS1513" s="243"/>
    </row>
    <row r="1514" spans="1:71" s="26" customFormat="1" ht="41.25" customHeight="1">
      <c r="A1514" s="178" t="s">
        <v>99</v>
      </c>
      <c r="B1514" s="75" t="str">
        <f ca="1">+UPPER(Tabla1321124[[#This Row],[DESCRIPCIÓN DE LA COMPRA O CONTRATACIÓN]])</f>
        <v>FILTROS HEPA,, DE 3 PIES, PARA USO EN LA CAMPANA DE FLUJO LAMINAR MODELO 36000, # DE PARTE 1489000</v>
      </c>
      <c r="C1514" s="39" t="s">
        <v>1067</v>
      </c>
      <c r="D1514" s="236">
        <v>1</v>
      </c>
      <c r="E1514" s="236"/>
      <c r="F1514" s="236"/>
      <c r="G1514" s="236"/>
      <c r="H1514" s="236">
        <f>Tabla1321124[[#This Row],[CUARTO TRIMESTRE]]+Tabla1321124[[#This Row],[TERCER TRIMESTRE]]+Tabla1321124[[#This Row],[SEGUNDO TRIMESTRE]]+Tabla1321124[[#This Row],[PRIMER TRIMESTRE]]</f>
        <v>1</v>
      </c>
      <c r="I1514" s="17">
        <v>12000</v>
      </c>
      <c r="J1514" s="17">
        <f>+Tabla1321124[[#This Row],[CANTIDAD TOTAL]]*Tabla1321124[[#This Row],[PRECIO UNITARIO ESTIMADO]]</f>
        <v>12000</v>
      </c>
      <c r="K1514" s="17"/>
      <c r="L1514" s="16" t="s">
        <v>18</v>
      </c>
      <c r="M1514" s="16" t="s">
        <v>22</v>
      </c>
      <c r="N1514" s="16" t="s">
        <v>418</v>
      </c>
      <c r="O1514" s="243"/>
      <c r="P1514" s="243"/>
      <c r="Q1514" s="243"/>
      <c r="R1514" s="243"/>
      <c r="S1514" s="243"/>
      <c r="T1514" s="243"/>
      <c r="U1514" s="243"/>
      <c r="V1514" s="243"/>
      <c r="W1514" s="243"/>
      <c r="X1514" s="243"/>
      <c r="Y1514" s="243"/>
      <c r="Z1514" s="243"/>
      <c r="AA1514" s="243"/>
      <c r="AB1514" s="243"/>
      <c r="AC1514" s="243"/>
      <c r="AD1514" s="243"/>
      <c r="AE1514" s="243"/>
      <c r="AF1514" s="243"/>
      <c r="AG1514" s="243"/>
      <c r="AH1514" s="243"/>
      <c r="AI1514" s="243"/>
      <c r="AJ1514" s="243"/>
      <c r="AK1514" s="243"/>
      <c r="AL1514" s="243"/>
      <c r="AM1514" s="243"/>
      <c r="AN1514" s="243"/>
      <c r="AO1514" s="243"/>
      <c r="AP1514" s="243"/>
      <c r="AQ1514" s="243"/>
      <c r="AR1514" s="243"/>
      <c r="AS1514" s="243"/>
      <c r="AT1514" s="243"/>
      <c r="AU1514" s="243"/>
      <c r="AV1514" s="243"/>
      <c r="AW1514" s="243"/>
      <c r="AX1514" s="243"/>
      <c r="AY1514" s="243"/>
      <c r="AZ1514" s="243"/>
      <c r="BA1514" s="243"/>
      <c r="BB1514" s="243"/>
      <c r="BC1514" s="243"/>
      <c r="BD1514" s="243"/>
      <c r="BE1514" s="243"/>
      <c r="BF1514" s="243"/>
      <c r="BG1514" s="243"/>
      <c r="BH1514" s="243"/>
      <c r="BI1514" s="243"/>
      <c r="BJ1514" s="243"/>
      <c r="BK1514" s="243"/>
      <c r="BL1514" s="243"/>
      <c r="BM1514" s="243"/>
      <c r="BN1514" s="243"/>
      <c r="BO1514" s="243"/>
      <c r="BP1514" s="243"/>
      <c r="BQ1514" s="243"/>
      <c r="BR1514" s="243"/>
      <c r="BS1514" s="243"/>
    </row>
    <row r="1515" spans="1:71" s="26" customFormat="1" ht="41.25" customHeight="1">
      <c r="A1515" s="343"/>
      <c r="B1515" s="344" t="str">
        <f ca="1">+UPPER(Tabla1321124[[#This Row],[DESCRIPCIÓN DE LA COMPRA O CONTRATACIÓN]])</f>
        <v>MECHEROS DE ALTA TEMPERATURA</v>
      </c>
      <c r="C1515" s="39" t="s">
        <v>1067</v>
      </c>
      <c r="D1515" s="236">
        <f>2</f>
        <v>2</v>
      </c>
      <c r="E1515" s="236"/>
      <c r="F1515" s="236">
        <v>2</v>
      </c>
      <c r="G1515" s="236"/>
      <c r="H1515" s="236">
        <f>Tabla1321124[[#This Row],[CUARTO TRIMESTRE]]+Tabla1321124[[#This Row],[TERCER TRIMESTRE]]+Tabla1321124[[#This Row],[SEGUNDO TRIMESTRE]]+Tabla1321124[[#This Row],[PRIMER TRIMESTRE]]</f>
        <v>4</v>
      </c>
      <c r="I1515" s="17">
        <v>10000</v>
      </c>
      <c r="J1515" s="17">
        <f>+Tabla1321124[[#This Row],[CANTIDAD TOTAL]]*Tabla1321124[[#This Row],[PRECIO UNITARIO ESTIMADO]]</f>
        <v>40000</v>
      </c>
      <c r="K1515" s="345"/>
      <c r="L1515" s="16" t="s">
        <v>18</v>
      </c>
      <c r="M1515" s="16" t="s">
        <v>22</v>
      </c>
      <c r="N1515" s="16" t="s">
        <v>418</v>
      </c>
      <c r="O1515" s="243"/>
      <c r="P1515" s="243"/>
      <c r="Q1515" s="243"/>
      <c r="R1515" s="243"/>
      <c r="S1515" s="243"/>
      <c r="T1515" s="243"/>
      <c r="U1515" s="243"/>
      <c r="V1515" s="243"/>
      <c r="W1515" s="243"/>
      <c r="X1515" s="243"/>
      <c r="Y1515" s="243"/>
      <c r="Z1515" s="243"/>
      <c r="AA1515" s="243"/>
      <c r="AB1515" s="243"/>
      <c r="AC1515" s="243"/>
      <c r="AD1515" s="243"/>
      <c r="AE1515" s="243"/>
      <c r="AF1515" s="243"/>
      <c r="AG1515" s="243"/>
      <c r="AH1515" s="243"/>
      <c r="AI1515" s="243"/>
      <c r="AJ1515" s="243"/>
      <c r="AK1515" s="243"/>
      <c r="AL1515" s="243"/>
      <c r="AM1515" s="243"/>
      <c r="AN1515" s="243"/>
      <c r="AO1515" s="243"/>
      <c r="AP1515" s="243"/>
      <c r="AQ1515" s="243"/>
      <c r="AR1515" s="243"/>
      <c r="AS1515" s="243"/>
      <c r="AT1515" s="243"/>
      <c r="AU1515" s="243"/>
      <c r="AV1515" s="243"/>
      <c r="AW1515" s="243"/>
      <c r="AX1515" s="243"/>
      <c r="AY1515" s="243"/>
      <c r="AZ1515" s="243"/>
      <c r="BA1515" s="243"/>
      <c r="BB1515" s="243"/>
      <c r="BC1515" s="243"/>
      <c r="BD1515" s="243"/>
      <c r="BE1515" s="243"/>
      <c r="BF1515" s="243"/>
      <c r="BG1515" s="243"/>
      <c r="BH1515" s="243"/>
      <c r="BI1515" s="243"/>
      <c r="BJ1515" s="243"/>
      <c r="BK1515" s="243"/>
      <c r="BL1515" s="243"/>
      <c r="BM1515" s="243"/>
      <c r="BN1515" s="243"/>
      <c r="BO1515" s="243"/>
      <c r="BP1515" s="243"/>
      <c r="BQ1515" s="243"/>
      <c r="BR1515" s="243"/>
      <c r="BS1515" s="243"/>
    </row>
    <row r="1516" spans="1:71" s="26" customFormat="1" ht="41.25" customHeight="1">
      <c r="A1516" s="178" t="s">
        <v>99</v>
      </c>
      <c r="B1516" s="75" t="str">
        <f ca="1">+UPPER(Tabla1321124[[#This Row],[DESCRIPCIÓN DE LA COMPRA O CONTRATACIÓN]])</f>
        <v>PREFILTROS HEPA, DE 3 PIES, PARA USO EN LA CAMPANA DE FLUJO LAMINAR MODELO 36000, # DE PARTE 3768900</v>
      </c>
      <c r="C1516" s="39" t="s">
        <v>1067</v>
      </c>
      <c r="D1516" s="236">
        <v>1</v>
      </c>
      <c r="E1516" s="236"/>
      <c r="F1516" s="236"/>
      <c r="G1516" s="236"/>
      <c r="H1516" s="236">
        <f>Tabla1321124[[#This Row],[CUARTO TRIMESTRE]]+Tabla1321124[[#This Row],[TERCER TRIMESTRE]]+Tabla1321124[[#This Row],[SEGUNDO TRIMESTRE]]+Tabla1321124[[#This Row],[PRIMER TRIMESTRE]]</f>
        <v>1</v>
      </c>
      <c r="I1516" s="17">
        <v>10000</v>
      </c>
      <c r="J1516" s="17">
        <f>+Tabla1321124[[#This Row],[CANTIDAD TOTAL]]*Tabla1321124[[#This Row],[PRECIO UNITARIO ESTIMADO]]</f>
        <v>10000</v>
      </c>
      <c r="K1516" s="17"/>
      <c r="L1516" s="16" t="s">
        <v>18</v>
      </c>
      <c r="M1516" s="16" t="s">
        <v>22</v>
      </c>
      <c r="N1516" s="16" t="s">
        <v>418</v>
      </c>
      <c r="O1516" s="243"/>
      <c r="P1516" s="243"/>
      <c r="Q1516" s="243"/>
      <c r="R1516" s="243"/>
      <c r="S1516" s="243"/>
      <c r="T1516" s="243"/>
      <c r="U1516" s="243"/>
      <c r="V1516" s="243"/>
      <c r="W1516" s="243"/>
      <c r="X1516" s="243"/>
      <c r="Y1516" s="243"/>
      <c r="Z1516" s="243"/>
      <c r="AA1516" s="243"/>
      <c r="AB1516" s="243"/>
      <c r="AC1516" s="243"/>
      <c r="AD1516" s="243"/>
      <c r="AE1516" s="243"/>
      <c r="AF1516" s="243"/>
      <c r="AG1516" s="243"/>
      <c r="AH1516" s="243"/>
      <c r="AI1516" s="243"/>
      <c r="AJ1516" s="243"/>
      <c r="AK1516" s="243"/>
      <c r="AL1516" s="243"/>
      <c r="AM1516" s="243"/>
      <c r="AN1516" s="243"/>
      <c r="AO1516" s="243"/>
      <c r="AP1516" s="243"/>
      <c r="AQ1516" s="243"/>
      <c r="AR1516" s="243"/>
      <c r="AS1516" s="243"/>
      <c r="AT1516" s="243"/>
      <c r="AU1516" s="243"/>
      <c r="AV1516" s="243"/>
      <c r="AW1516" s="243"/>
      <c r="AX1516" s="243"/>
      <c r="AY1516" s="243"/>
      <c r="AZ1516" s="243"/>
      <c r="BA1516" s="243"/>
      <c r="BB1516" s="243"/>
      <c r="BC1516" s="243"/>
      <c r="BD1516" s="243"/>
      <c r="BE1516" s="243"/>
      <c r="BF1516" s="243"/>
      <c r="BG1516" s="243"/>
      <c r="BH1516" s="243"/>
      <c r="BI1516" s="243"/>
      <c r="BJ1516" s="243"/>
      <c r="BK1516" s="243"/>
      <c r="BL1516" s="243"/>
      <c r="BM1516" s="243"/>
      <c r="BN1516" s="243"/>
      <c r="BO1516" s="243"/>
      <c r="BP1516" s="243"/>
      <c r="BQ1516" s="243"/>
      <c r="BR1516" s="243"/>
      <c r="BS1516" s="243"/>
    </row>
    <row r="1517" spans="1:71" s="12" customFormat="1" ht="41.25" customHeight="1">
      <c r="A1517" s="178" t="s">
        <v>99</v>
      </c>
      <c r="B1517" s="75" t="str">
        <f ca="1">+UPPER(Tabla1321124[[#This Row],[DESCRIPCIÓN DE LA COMPRA O CONTRATACIÓN]])</f>
        <v>SONDA DE PH - HQ-40D, MODELO PHC 301-01, CON CERTIFICADO DE CALIBRACION INCLUIDO</v>
      </c>
      <c r="C1517" s="39" t="s">
        <v>1067</v>
      </c>
      <c r="D1517" s="236">
        <f>1</f>
        <v>1</v>
      </c>
      <c r="E1517" s="236"/>
      <c r="F1517" s="236"/>
      <c r="G1517" s="236"/>
      <c r="H1517" s="236">
        <f>Tabla1321124[[#This Row],[CUARTO TRIMESTRE]]+Tabla1321124[[#This Row],[TERCER TRIMESTRE]]+Tabla1321124[[#This Row],[SEGUNDO TRIMESTRE]]+Tabla1321124[[#This Row],[PRIMER TRIMESTRE]]</f>
        <v>1</v>
      </c>
      <c r="I1517" s="17">
        <v>5000</v>
      </c>
      <c r="J1517" s="17">
        <f>+Tabla1321124[[#This Row],[CANTIDAD TOTAL]]*Tabla1321124[[#This Row],[PRECIO UNITARIO ESTIMADO]]</f>
        <v>5000</v>
      </c>
      <c r="K1517" s="17"/>
      <c r="L1517" s="16" t="s">
        <v>18</v>
      </c>
      <c r="M1517" s="16" t="s">
        <v>22</v>
      </c>
      <c r="N1517" s="16" t="s">
        <v>418</v>
      </c>
      <c r="O1517" s="243"/>
      <c r="P1517" s="243"/>
      <c r="Q1517" s="243"/>
      <c r="R1517" s="243"/>
      <c r="S1517" s="243"/>
      <c r="T1517" s="243"/>
      <c r="U1517" s="243"/>
      <c r="V1517" s="243"/>
      <c r="W1517" s="243"/>
      <c r="X1517" s="243"/>
      <c r="Y1517" s="243"/>
      <c r="Z1517" s="243"/>
      <c r="AA1517" s="243"/>
      <c r="AB1517" s="243"/>
      <c r="AC1517" s="243"/>
      <c r="AD1517" s="243"/>
      <c r="AE1517" s="243"/>
      <c r="AF1517" s="243"/>
      <c r="AG1517" s="243"/>
      <c r="AH1517" s="243"/>
      <c r="AI1517" s="243"/>
      <c r="AJ1517" s="243"/>
      <c r="AK1517" s="243"/>
      <c r="AL1517" s="243"/>
      <c r="AM1517" s="243"/>
      <c r="AN1517" s="243"/>
      <c r="AO1517" s="243"/>
      <c r="AP1517" s="243"/>
      <c r="AQ1517" s="243"/>
      <c r="AR1517" s="243"/>
      <c r="AS1517" s="243"/>
      <c r="AT1517" s="243"/>
      <c r="AU1517" s="243"/>
      <c r="AV1517" s="243"/>
      <c r="AW1517" s="243"/>
      <c r="AX1517" s="243"/>
      <c r="AY1517" s="243"/>
      <c r="AZ1517" s="243"/>
      <c r="BA1517" s="243"/>
      <c r="BB1517" s="243"/>
      <c r="BC1517" s="243"/>
      <c r="BD1517" s="243"/>
      <c r="BE1517" s="243"/>
      <c r="BF1517" s="243"/>
      <c r="BG1517" s="243"/>
      <c r="BH1517" s="243"/>
      <c r="BI1517" s="243"/>
      <c r="BJ1517" s="243"/>
      <c r="BK1517" s="243"/>
      <c r="BL1517" s="243"/>
      <c r="BM1517" s="243"/>
      <c r="BN1517" s="243"/>
      <c r="BO1517" s="243"/>
      <c r="BP1517" s="243"/>
      <c r="BQ1517" s="243"/>
      <c r="BR1517" s="243"/>
      <c r="BS1517" s="243"/>
    </row>
    <row r="1518" spans="1:71" s="12" customFormat="1" ht="41.25" customHeight="1">
      <c r="A1518" s="178" t="s">
        <v>99</v>
      </c>
      <c r="B1518" s="75" t="str">
        <f ca="1">+UPPER(Tabla1321124[[#This Row],[DESCRIPCIÓN DE LA COMPRA O CONTRATACIÓN]])</f>
        <v>SONDA DE CONDUCTIVIDAD HQ40D, MODELO CDC 401-01, CON CERTIFICADO DE CALIBRACION INCLUIDO</v>
      </c>
      <c r="C1518" s="39" t="s">
        <v>1067</v>
      </c>
      <c r="D1518" s="236">
        <f>1</f>
        <v>1</v>
      </c>
      <c r="E1518" s="236"/>
      <c r="F1518" s="236"/>
      <c r="G1518" s="236"/>
      <c r="H1518" s="236">
        <f>Tabla1321124[[#This Row],[CUARTO TRIMESTRE]]+Tabla1321124[[#This Row],[TERCER TRIMESTRE]]+Tabla1321124[[#This Row],[SEGUNDO TRIMESTRE]]+Tabla1321124[[#This Row],[PRIMER TRIMESTRE]]</f>
        <v>1</v>
      </c>
      <c r="I1518" s="17">
        <v>5000</v>
      </c>
      <c r="J1518" s="17">
        <f>+Tabla1321124[[#This Row],[CANTIDAD TOTAL]]*Tabla1321124[[#This Row],[PRECIO UNITARIO ESTIMADO]]</f>
        <v>5000</v>
      </c>
      <c r="K1518" s="17"/>
      <c r="L1518" s="16" t="s">
        <v>18</v>
      </c>
      <c r="M1518" s="16" t="s">
        <v>22</v>
      </c>
      <c r="N1518" s="16" t="s">
        <v>418</v>
      </c>
      <c r="O1518" s="243"/>
      <c r="P1518" s="243"/>
      <c r="Q1518" s="243"/>
      <c r="R1518" s="243"/>
      <c r="S1518" s="243"/>
      <c r="T1518" s="243"/>
      <c r="U1518" s="243"/>
      <c r="V1518" s="243"/>
      <c r="W1518" s="243"/>
      <c r="X1518" s="243"/>
      <c r="Y1518" s="243"/>
      <c r="Z1518" s="243"/>
      <c r="AA1518" s="243"/>
      <c r="AB1518" s="243"/>
      <c r="AC1518" s="243"/>
      <c r="AD1518" s="243"/>
      <c r="AE1518" s="243"/>
      <c r="AF1518" s="243"/>
      <c r="AG1518" s="243"/>
      <c r="AH1518" s="243"/>
      <c r="AI1518" s="243"/>
      <c r="AJ1518" s="243"/>
      <c r="AK1518" s="243"/>
      <c r="AL1518" s="243"/>
      <c r="AM1518" s="243"/>
      <c r="AN1518" s="243"/>
      <c r="AO1518" s="243"/>
      <c r="AP1518" s="243"/>
      <c r="AQ1518" s="243"/>
      <c r="AR1518" s="243"/>
      <c r="AS1518" s="243"/>
      <c r="AT1518" s="243"/>
      <c r="AU1518" s="243"/>
      <c r="AV1518" s="243"/>
      <c r="AW1518" s="243"/>
      <c r="AX1518" s="243"/>
      <c r="AY1518" s="243"/>
      <c r="AZ1518" s="243"/>
      <c r="BA1518" s="243"/>
      <c r="BB1518" s="243"/>
      <c r="BC1518" s="243"/>
      <c r="BD1518" s="243"/>
      <c r="BE1518" s="243"/>
      <c r="BF1518" s="243"/>
      <c r="BG1518" s="243"/>
      <c r="BH1518" s="243"/>
      <c r="BI1518" s="243"/>
      <c r="BJ1518" s="243"/>
      <c r="BK1518" s="243"/>
      <c r="BL1518" s="243"/>
      <c r="BM1518" s="243"/>
      <c r="BN1518" s="243"/>
      <c r="BO1518" s="243"/>
      <c r="BP1518" s="243"/>
      <c r="BQ1518" s="243"/>
      <c r="BR1518" s="243"/>
      <c r="BS1518" s="243"/>
    </row>
    <row r="1519" spans="1:71" s="12" customFormat="1" ht="41.25" customHeight="1">
      <c r="A1519" s="343"/>
      <c r="B1519" s="344" t="str">
        <f ca="1">+UPPER(Tabla1321124[[#This Row],[DESCRIPCIÓN DE LA COMPRA O CONTRATACIÓN]])</f>
        <v>BAÑO DE MARIA DE CIRCULACION, 120V, CON TAPA, DIGITAL, DE 19 LITROS DE CAPACIDAD</v>
      </c>
      <c r="C1519" s="39" t="s">
        <v>1067</v>
      </c>
      <c r="D1519" s="236">
        <f>1</f>
        <v>1</v>
      </c>
      <c r="E1519" s="236">
        <v>1</v>
      </c>
      <c r="F1519" s="236"/>
      <c r="G1519" s="236"/>
      <c r="H1519" s="236">
        <f>Tabla1321124[[#This Row],[CUARTO TRIMESTRE]]+Tabla1321124[[#This Row],[TERCER TRIMESTRE]]+Tabla1321124[[#This Row],[SEGUNDO TRIMESTRE]]+Tabla1321124[[#This Row],[PRIMER TRIMESTRE]]</f>
        <v>2</v>
      </c>
      <c r="I1519" s="17">
        <v>150000</v>
      </c>
      <c r="J1519" s="17">
        <f>+Tabla1321124[[#This Row],[CANTIDAD TOTAL]]*Tabla1321124[[#This Row],[PRECIO UNITARIO ESTIMADO]]</f>
        <v>300000</v>
      </c>
      <c r="K1519" s="345"/>
      <c r="L1519" s="16" t="s">
        <v>18</v>
      </c>
      <c r="M1519" s="16" t="s">
        <v>22</v>
      </c>
      <c r="N1519" s="16" t="s">
        <v>418</v>
      </c>
      <c r="O1519" s="243"/>
      <c r="P1519" s="243"/>
      <c r="Q1519" s="243"/>
      <c r="R1519" s="243"/>
      <c r="S1519" s="243"/>
      <c r="T1519" s="243"/>
      <c r="U1519" s="243"/>
      <c r="V1519" s="243"/>
      <c r="W1519" s="243"/>
      <c r="X1519" s="243"/>
      <c r="Y1519" s="243"/>
      <c r="Z1519" s="243"/>
      <c r="AA1519" s="243"/>
      <c r="AB1519" s="243"/>
      <c r="AC1519" s="243"/>
      <c r="AD1519" s="243"/>
      <c r="AE1519" s="243"/>
      <c r="AF1519" s="243"/>
      <c r="AG1519" s="243"/>
      <c r="AH1519" s="243"/>
      <c r="AI1519" s="243"/>
      <c r="AJ1519" s="243"/>
      <c r="AK1519" s="243"/>
      <c r="AL1519" s="243"/>
      <c r="AM1519" s="243"/>
      <c r="AN1519" s="243"/>
      <c r="AO1519" s="243"/>
      <c r="AP1519" s="243"/>
      <c r="AQ1519" s="243"/>
      <c r="AR1519" s="243"/>
      <c r="AS1519" s="243"/>
      <c r="AT1519" s="243"/>
      <c r="AU1519" s="243"/>
      <c r="AV1519" s="243"/>
      <c r="AW1519" s="243"/>
      <c r="AX1519" s="243"/>
      <c r="AY1519" s="243"/>
      <c r="AZ1519" s="243"/>
      <c r="BA1519" s="243"/>
      <c r="BB1519" s="243"/>
      <c r="BC1519" s="243"/>
      <c r="BD1519" s="243"/>
      <c r="BE1519" s="243"/>
      <c r="BF1519" s="243"/>
      <c r="BG1519" s="243"/>
      <c r="BH1519" s="243"/>
      <c r="BI1519" s="243"/>
      <c r="BJ1519" s="243"/>
      <c r="BK1519" s="243"/>
      <c r="BL1519" s="243"/>
      <c r="BM1519" s="243"/>
      <c r="BN1519" s="243"/>
      <c r="BO1519" s="243"/>
      <c r="BP1519" s="243"/>
      <c r="BQ1519" s="243"/>
      <c r="BR1519" s="243"/>
      <c r="BS1519" s="243"/>
    </row>
    <row r="1520" spans="1:71" s="12" customFormat="1" ht="41.25" customHeight="1">
      <c r="A1520" s="178" t="s">
        <v>99</v>
      </c>
      <c r="B1520" s="75" t="str">
        <f ca="1">+UPPER(Tabla1321124[[#This Row],[DESCRIPCIÓN DE LA COMPRA O CONTRATACIÓN]])</f>
        <v>LLAVE DEFREGADERO, ALTA</v>
      </c>
      <c r="C1520" s="39" t="s">
        <v>1067</v>
      </c>
      <c r="D1520" s="236">
        <f>2+5</f>
        <v>7</v>
      </c>
      <c r="E1520" s="236">
        <v>2</v>
      </c>
      <c r="F1520" s="236">
        <v>2</v>
      </c>
      <c r="G1520" s="236"/>
      <c r="H1520" s="236">
        <f>Tabla1321124[[#This Row],[CUARTO TRIMESTRE]]+Tabla1321124[[#This Row],[TERCER TRIMESTRE]]+Tabla1321124[[#This Row],[SEGUNDO TRIMESTRE]]+Tabla1321124[[#This Row],[PRIMER TRIMESTRE]]</f>
        <v>11</v>
      </c>
      <c r="I1520" s="17">
        <v>3000</v>
      </c>
      <c r="J1520" s="17">
        <f>+Tabla1321124[[#This Row],[CANTIDAD TOTAL]]*Tabla1321124[[#This Row],[PRECIO UNITARIO ESTIMADO]]</f>
        <v>33000</v>
      </c>
      <c r="K1520" s="17"/>
      <c r="L1520" s="16" t="s">
        <v>18</v>
      </c>
      <c r="M1520" s="16" t="s">
        <v>22</v>
      </c>
      <c r="N1520" s="16" t="s">
        <v>418</v>
      </c>
      <c r="O1520" s="243"/>
      <c r="P1520" s="243"/>
      <c r="Q1520" s="243"/>
      <c r="R1520" s="243"/>
      <c r="S1520" s="243"/>
      <c r="T1520" s="243"/>
      <c r="U1520" s="243"/>
      <c r="V1520" s="243"/>
      <c r="W1520" s="243"/>
      <c r="X1520" s="243"/>
      <c r="Y1520" s="243"/>
      <c r="Z1520" s="243"/>
      <c r="AA1520" s="243"/>
      <c r="AB1520" s="243"/>
      <c r="AC1520" s="243"/>
      <c r="AD1520" s="243"/>
      <c r="AE1520" s="243"/>
      <c r="AF1520" s="243"/>
      <c r="AG1520" s="243"/>
      <c r="AH1520" s="243"/>
      <c r="AI1520" s="243"/>
      <c r="AJ1520" s="243"/>
      <c r="AK1520" s="243"/>
      <c r="AL1520" s="243"/>
      <c r="AM1520" s="243"/>
      <c r="AN1520" s="243"/>
      <c r="AO1520" s="243"/>
      <c r="AP1520" s="243"/>
      <c r="AQ1520" s="243"/>
      <c r="AR1520" s="243"/>
      <c r="AS1520" s="243"/>
      <c r="AT1520" s="243"/>
      <c r="AU1520" s="243"/>
      <c r="AV1520" s="243"/>
      <c r="AW1520" s="243"/>
      <c r="AX1520" s="243"/>
      <c r="AY1520" s="243"/>
      <c r="AZ1520" s="243"/>
      <c r="BA1520" s="243"/>
      <c r="BB1520" s="243"/>
      <c r="BC1520" s="243"/>
      <c r="BD1520" s="243"/>
      <c r="BE1520" s="243"/>
      <c r="BF1520" s="243"/>
      <c r="BG1520" s="243"/>
      <c r="BH1520" s="243"/>
      <c r="BI1520" s="243"/>
      <c r="BJ1520" s="243"/>
      <c r="BK1520" s="243"/>
      <c r="BL1520" s="243"/>
      <c r="BM1520" s="243"/>
      <c r="BN1520" s="243"/>
      <c r="BO1520" s="243"/>
      <c r="BP1520" s="243"/>
      <c r="BQ1520" s="243"/>
      <c r="BR1520" s="243"/>
      <c r="BS1520" s="243"/>
    </row>
    <row r="1521" spans="1:71" s="12" customFormat="1" ht="41.25" customHeight="1">
      <c r="A1521" s="178" t="s">
        <v>99</v>
      </c>
      <c r="B1521" s="75" t="str">
        <f ca="1">+UPPER(Tabla1321124[[#This Row],[DESCRIPCIÓN DE LA COMPRA O CONTRATACIÓN]])</f>
        <v>ESCOBILLAS PARA LAVAR TUBOS DE CULTIVOS DE 18 X 150 MM, CON PROTECCION DE ALGODÓN</v>
      </c>
      <c r="C1521" s="39" t="s">
        <v>1067</v>
      </c>
      <c r="D1521" s="236">
        <f>10+2</f>
        <v>12</v>
      </c>
      <c r="E1521" s="236">
        <f>10</f>
        <v>10</v>
      </c>
      <c r="F1521" s="236">
        <v>2</v>
      </c>
      <c r="G1521" s="236"/>
      <c r="H1521" s="236">
        <f>Tabla1321124[[#This Row],[CUARTO TRIMESTRE]]+Tabla1321124[[#This Row],[TERCER TRIMESTRE]]+Tabla1321124[[#This Row],[SEGUNDO TRIMESTRE]]+Tabla1321124[[#This Row],[PRIMER TRIMESTRE]]</f>
        <v>24</v>
      </c>
      <c r="I1521" s="17">
        <v>250</v>
      </c>
      <c r="J1521" s="17">
        <f>+Tabla1321124[[#This Row],[CANTIDAD TOTAL]]*Tabla1321124[[#This Row],[PRECIO UNITARIO ESTIMADO]]</f>
        <v>6000</v>
      </c>
      <c r="K1521" s="17"/>
      <c r="L1521" s="16" t="s">
        <v>18</v>
      </c>
      <c r="M1521" s="16" t="s">
        <v>22</v>
      </c>
      <c r="N1521" s="16" t="s">
        <v>418</v>
      </c>
      <c r="O1521" s="243"/>
      <c r="P1521" s="243"/>
      <c r="Q1521" s="243"/>
      <c r="R1521" s="243"/>
      <c r="S1521" s="243"/>
      <c r="T1521" s="243"/>
      <c r="U1521" s="243"/>
      <c r="V1521" s="243"/>
      <c r="W1521" s="243"/>
      <c r="X1521" s="243"/>
      <c r="Y1521" s="243"/>
      <c r="Z1521" s="243"/>
      <c r="AA1521" s="243"/>
      <c r="AB1521" s="243"/>
      <c r="AC1521" s="243"/>
      <c r="AD1521" s="243"/>
      <c r="AE1521" s="243"/>
      <c r="AF1521" s="243"/>
      <c r="AG1521" s="243"/>
      <c r="AH1521" s="243"/>
      <c r="AI1521" s="243"/>
      <c r="AJ1521" s="243"/>
      <c r="AK1521" s="243"/>
      <c r="AL1521" s="243"/>
      <c r="AM1521" s="243"/>
      <c r="AN1521" s="243"/>
      <c r="AO1521" s="243"/>
      <c r="AP1521" s="243"/>
      <c r="AQ1521" s="243"/>
      <c r="AR1521" s="243"/>
      <c r="AS1521" s="243"/>
      <c r="AT1521" s="243"/>
      <c r="AU1521" s="243"/>
      <c r="AV1521" s="243"/>
      <c r="AW1521" s="243"/>
      <c r="AX1521" s="243"/>
      <c r="AY1521" s="243"/>
      <c r="AZ1521" s="243"/>
      <c r="BA1521" s="243"/>
      <c r="BB1521" s="243"/>
      <c r="BC1521" s="243"/>
      <c r="BD1521" s="243"/>
      <c r="BE1521" s="243"/>
      <c r="BF1521" s="243"/>
      <c r="BG1521" s="243"/>
      <c r="BH1521" s="243"/>
      <c r="BI1521" s="243"/>
      <c r="BJ1521" s="243"/>
      <c r="BK1521" s="243"/>
      <c r="BL1521" s="243"/>
      <c r="BM1521" s="243"/>
      <c r="BN1521" s="243"/>
      <c r="BO1521" s="243"/>
      <c r="BP1521" s="243"/>
      <c r="BQ1521" s="243"/>
      <c r="BR1521" s="243"/>
      <c r="BS1521" s="243"/>
    </row>
    <row r="1522" spans="1:71" s="12" customFormat="1" ht="45" customHeight="1">
      <c r="A1522" s="178" t="s">
        <v>99</v>
      </c>
      <c r="B1522" s="75" t="str">
        <f ca="1">+UPPER(Tabla1321124[[#This Row],[DESCRIPCIÓN DE LA COMPRA O CONTRATACIÓN]])</f>
        <v>BOILER (CALDERA) PIEZA PARA DESTILADOR DE CRISTAL MEGA-PURE 3A, PARTE #401204 (ITEM P)</v>
      </c>
      <c r="C1522" s="39" t="s">
        <v>1067</v>
      </c>
      <c r="D1522" s="236">
        <v>1</v>
      </c>
      <c r="E1522" s="236"/>
      <c r="F1522" s="236"/>
      <c r="G1522" s="236"/>
      <c r="H1522" s="236">
        <f>Tabla1321124[[#This Row],[CUARTO TRIMESTRE]]+Tabla1321124[[#This Row],[TERCER TRIMESTRE]]+Tabla1321124[[#This Row],[SEGUNDO TRIMESTRE]]+Tabla1321124[[#This Row],[PRIMER TRIMESTRE]]</f>
        <v>1</v>
      </c>
      <c r="I1522" s="17">
        <v>80000</v>
      </c>
      <c r="J1522" s="17">
        <f>+Tabla1321124[[#This Row],[CANTIDAD TOTAL]]*Tabla1321124[[#This Row],[PRECIO UNITARIO ESTIMADO]]</f>
        <v>80000</v>
      </c>
      <c r="K1522" s="17"/>
      <c r="L1522" s="16" t="s">
        <v>18</v>
      </c>
      <c r="M1522" s="16" t="s">
        <v>22</v>
      </c>
      <c r="N1522" s="16" t="s">
        <v>418</v>
      </c>
      <c r="O1522" s="243"/>
      <c r="P1522" s="243"/>
      <c r="Q1522" s="243"/>
      <c r="R1522" s="243"/>
      <c r="S1522" s="243"/>
      <c r="T1522" s="243"/>
      <c r="U1522" s="243"/>
      <c r="V1522" s="243"/>
      <c r="W1522" s="243"/>
      <c r="X1522" s="243"/>
      <c r="Y1522" s="243"/>
      <c r="Z1522" s="243"/>
      <c r="AA1522" s="243"/>
      <c r="AB1522" s="243"/>
      <c r="AC1522" s="243"/>
      <c r="AD1522" s="243"/>
      <c r="AE1522" s="243"/>
      <c r="AF1522" s="243"/>
      <c r="AG1522" s="243"/>
      <c r="AH1522" s="243"/>
      <c r="AI1522" s="243"/>
      <c r="AJ1522" s="243"/>
      <c r="AK1522" s="243"/>
      <c r="AL1522" s="243"/>
      <c r="AM1522" s="243"/>
      <c r="AN1522" s="243"/>
      <c r="AO1522" s="243"/>
      <c r="AP1522" s="243"/>
      <c r="AQ1522" s="243"/>
      <c r="AR1522" s="243"/>
      <c r="AS1522" s="243"/>
      <c r="AT1522" s="243"/>
      <c r="AU1522" s="243"/>
      <c r="AV1522" s="243"/>
      <c r="AW1522" s="243"/>
      <c r="AX1522" s="243"/>
      <c r="AY1522" s="243"/>
      <c r="AZ1522" s="243"/>
      <c r="BA1522" s="243"/>
      <c r="BB1522" s="243"/>
      <c r="BC1522" s="243"/>
      <c r="BD1522" s="243"/>
      <c r="BE1522" s="243"/>
      <c r="BF1522" s="243"/>
      <c r="BG1522" s="243"/>
      <c r="BH1522" s="243"/>
      <c r="BI1522" s="243"/>
      <c r="BJ1522" s="243"/>
      <c r="BK1522" s="243"/>
      <c r="BL1522" s="243"/>
      <c r="BM1522" s="243"/>
      <c r="BN1522" s="243"/>
      <c r="BO1522" s="243"/>
      <c r="BP1522" s="243"/>
      <c r="BQ1522" s="243"/>
      <c r="BR1522" s="243"/>
      <c r="BS1522" s="243"/>
    </row>
    <row r="1523" spans="1:71" s="12" customFormat="1" ht="41.25" customHeight="1">
      <c r="A1523" s="178" t="s">
        <v>99</v>
      </c>
      <c r="B1523" s="75" t="str">
        <f ca="1">+UPPER(Tabla1321124[[#This Row],[DESCRIPCIÓN DE LA COMPRA O CONTRATACIÓN]])</f>
        <v xml:space="preserve">ENCUADERNACION </v>
      </c>
      <c r="C1523" s="39" t="s">
        <v>1067</v>
      </c>
      <c r="D1523" s="236">
        <v>5</v>
      </c>
      <c r="E1523" s="236"/>
      <c r="F1523" s="236">
        <v>5</v>
      </c>
      <c r="G1523" s="236">
        <v>5</v>
      </c>
      <c r="H1523" s="236">
        <f>Tabla1321124[[#This Row],[CUARTO TRIMESTRE]]+Tabla1321124[[#This Row],[TERCER TRIMESTRE]]+Tabla1321124[[#This Row],[SEGUNDO TRIMESTRE]]+Tabla1321124[[#This Row],[PRIMER TRIMESTRE]]</f>
        <v>15</v>
      </c>
      <c r="I1523" s="17">
        <v>10000</v>
      </c>
      <c r="J1523" s="17">
        <f>+Tabla1321124[[#This Row],[CANTIDAD TOTAL]]*Tabla1321124[[#This Row],[PRECIO UNITARIO ESTIMADO]]</f>
        <v>150000</v>
      </c>
      <c r="K1523" s="17"/>
      <c r="L1523" s="16" t="s">
        <v>18</v>
      </c>
      <c r="M1523" s="16" t="s">
        <v>22</v>
      </c>
      <c r="N1523" s="16"/>
      <c r="O1523" s="243"/>
      <c r="P1523" s="243"/>
      <c r="Q1523" s="243"/>
      <c r="R1523" s="243"/>
      <c r="S1523" s="243"/>
      <c r="T1523" s="243"/>
      <c r="U1523" s="243"/>
      <c r="V1523" s="243"/>
      <c r="W1523" s="243"/>
      <c r="X1523" s="243"/>
      <c r="Y1523" s="243"/>
      <c r="Z1523" s="243"/>
      <c r="AA1523" s="243"/>
      <c r="AB1523" s="243"/>
      <c r="AC1523" s="243"/>
      <c r="AD1523" s="243"/>
      <c r="AE1523" s="243"/>
      <c r="AF1523" s="243"/>
      <c r="AG1523" s="243"/>
      <c r="AH1523" s="243"/>
      <c r="AI1523" s="243"/>
      <c r="AJ1523" s="243"/>
      <c r="AK1523" s="243"/>
      <c r="AL1523" s="243"/>
      <c r="AM1523" s="243"/>
      <c r="AN1523" s="243"/>
      <c r="AO1523" s="243"/>
      <c r="AP1523" s="243"/>
      <c r="AQ1523" s="243"/>
      <c r="AR1523" s="243"/>
      <c r="AS1523" s="243"/>
      <c r="AT1523" s="243"/>
      <c r="AU1523" s="243"/>
      <c r="AV1523" s="243"/>
      <c r="AW1523" s="243"/>
      <c r="AX1523" s="243"/>
      <c r="AY1523" s="243"/>
      <c r="AZ1523" s="243"/>
      <c r="BA1523" s="243"/>
      <c r="BB1523" s="243"/>
      <c r="BC1523" s="243"/>
      <c r="BD1523" s="243"/>
      <c r="BE1523" s="243"/>
      <c r="BF1523" s="243"/>
      <c r="BG1523" s="243"/>
      <c r="BH1523" s="243"/>
      <c r="BI1523" s="243"/>
      <c r="BJ1523" s="243"/>
      <c r="BK1523" s="243"/>
      <c r="BL1523" s="243"/>
      <c r="BM1523" s="243"/>
      <c r="BN1523" s="243"/>
      <c r="BO1523" s="243"/>
      <c r="BP1523" s="243"/>
      <c r="BQ1523" s="243"/>
      <c r="BR1523" s="243"/>
      <c r="BS1523" s="243"/>
    </row>
    <row r="1524" spans="1:71" s="12" customFormat="1" ht="41.25" customHeight="1">
      <c r="A1524" s="178" t="s">
        <v>99</v>
      </c>
      <c r="B1524" s="75" t="str">
        <f ca="1">+UPPER(Tabla1321124[[#This Row],[DESCRIPCIÓN DE LA COMPRA O CONTRATACIÓN]])</f>
        <v>TURBIDIMETRO 2100Q, PORTABLE, CON RANGO DE 0-1000 NTU Y RESOLUCION 0.01</v>
      </c>
      <c r="C1524" s="39" t="s">
        <v>1067</v>
      </c>
      <c r="D1524" s="236">
        <v>1</v>
      </c>
      <c r="E1524" s="236">
        <v>1</v>
      </c>
      <c r="F1524" s="236">
        <v>1</v>
      </c>
      <c r="G1524" s="236"/>
      <c r="H1524" s="236">
        <f>Tabla1321124[[#This Row],[CUARTO TRIMESTRE]]+Tabla1321124[[#This Row],[TERCER TRIMESTRE]]+Tabla1321124[[#This Row],[SEGUNDO TRIMESTRE]]+Tabla1321124[[#This Row],[PRIMER TRIMESTRE]]</f>
        <v>3</v>
      </c>
      <c r="I1524" s="17">
        <v>17800</v>
      </c>
      <c r="J1524" s="17">
        <f>+Tabla1321124[[#This Row],[CANTIDAD TOTAL]]*Tabla1321124[[#This Row],[PRECIO UNITARIO ESTIMADO]]</f>
        <v>53400</v>
      </c>
      <c r="K1524" s="17"/>
      <c r="L1524" s="16" t="s">
        <v>18</v>
      </c>
      <c r="M1524" s="16" t="s">
        <v>22</v>
      </c>
      <c r="N1524" s="16"/>
      <c r="O1524" s="243"/>
      <c r="P1524" s="243"/>
      <c r="Q1524" s="243"/>
      <c r="R1524" s="243"/>
      <c r="S1524" s="243"/>
      <c r="T1524" s="243"/>
      <c r="U1524" s="243"/>
      <c r="V1524" s="243"/>
      <c r="W1524" s="243"/>
      <c r="X1524" s="243"/>
      <c r="Y1524" s="243"/>
      <c r="Z1524" s="243"/>
      <c r="AA1524" s="243"/>
      <c r="AB1524" s="243"/>
      <c r="AC1524" s="243"/>
      <c r="AD1524" s="243"/>
      <c r="AE1524" s="243"/>
      <c r="AF1524" s="243"/>
      <c r="AG1524" s="243"/>
      <c r="AH1524" s="243"/>
      <c r="AI1524" s="243"/>
      <c r="AJ1524" s="243"/>
      <c r="AK1524" s="243"/>
      <c r="AL1524" s="243"/>
      <c r="AM1524" s="243"/>
      <c r="AN1524" s="243"/>
      <c r="AO1524" s="243"/>
      <c r="AP1524" s="243"/>
      <c r="AQ1524" s="243"/>
      <c r="AR1524" s="243"/>
      <c r="AS1524" s="243"/>
      <c r="AT1524" s="243"/>
      <c r="AU1524" s="243"/>
      <c r="AV1524" s="243"/>
      <c r="AW1524" s="243"/>
      <c r="AX1524" s="243"/>
      <c r="AY1524" s="243"/>
      <c r="AZ1524" s="243"/>
      <c r="BA1524" s="243"/>
      <c r="BB1524" s="243"/>
      <c r="BC1524" s="243"/>
      <c r="BD1524" s="243"/>
      <c r="BE1524" s="243"/>
      <c r="BF1524" s="243"/>
      <c r="BG1524" s="243"/>
      <c r="BH1524" s="243"/>
      <c r="BI1524" s="243"/>
      <c r="BJ1524" s="243"/>
      <c r="BK1524" s="243"/>
      <c r="BL1524" s="243"/>
      <c r="BM1524" s="243"/>
      <c r="BN1524" s="243"/>
      <c r="BO1524" s="243"/>
      <c r="BP1524" s="243"/>
      <c r="BQ1524" s="243"/>
      <c r="BR1524" s="243"/>
      <c r="BS1524" s="243"/>
    </row>
    <row r="1525" spans="1:71" s="12" customFormat="1" ht="41.25" customHeight="1">
      <c r="A1525" s="178" t="s">
        <v>99</v>
      </c>
      <c r="B1525" s="75" t="str">
        <f ca="1">+UPPER(Tabla1321124[[#This Row],[DESCRIPCIÓN DE LA COMPRA O CONTRATACIÓN]])</f>
        <v>LLAVE DE PASO DE DRENAJE, PIEZA PARA EL DESTILADOR DE CRISTALMEGA-PURE 3A, PARTE #410038 (ITEM K)</v>
      </c>
      <c r="C1525" s="39" t="s">
        <v>1067</v>
      </c>
      <c r="D1525" s="236">
        <v>1</v>
      </c>
      <c r="E1525" s="347"/>
      <c r="F1525" s="236"/>
      <c r="G1525" s="236"/>
      <c r="H1525" s="236">
        <f>Tabla1321124[[#This Row],[CUARTO TRIMESTRE]]+Tabla1321124[[#This Row],[TERCER TRIMESTRE]]+Tabla1321124[[#This Row],[SEGUNDO TRIMESTRE]]+Tabla1321124[[#This Row],[PRIMER TRIMESTRE]]</f>
        <v>1</v>
      </c>
      <c r="I1525" s="17">
        <v>1500</v>
      </c>
      <c r="J1525" s="17">
        <f>+Tabla1321124[[#This Row],[CANTIDAD TOTAL]]*Tabla1321124[[#This Row],[PRECIO UNITARIO ESTIMADO]]</f>
        <v>1500</v>
      </c>
      <c r="K1525" s="17"/>
      <c r="L1525" s="16" t="s">
        <v>18</v>
      </c>
      <c r="M1525" s="16" t="s">
        <v>22</v>
      </c>
      <c r="N1525" s="16" t="s">
        <v>418</v>
      </c>
      <c r="O1525" s="243"/>
      <c r="P1525" s="243"/>
      <c r="Q1525" s="243"/>
      <c r="R1525" s="243"/>
      <c r="S1525" s="243"/>
      <c r="T1525" s="243"/>
      <c r="U1525" s="243"/>
      <c r="V1525" s="243"/>
      <c r="W1525" s="243"/>
      <c r="X1525" s="243"/>
      <c r="Y1525" s="243"/>
      <c r="Z1525" s="243"/>
      <c r="AA1525" s="243"/>
      <c r="AB1525" s="243"/>
      <c r="AC1525" s="243"/>
      <c r="AD1525" s="243"/>
      <c r="AE1525" s="243"/>
      <c r="AF1525" s="243"/>
      <c r="AG1525" s="243"/>
      <c r="AH1525" s="243"/>
      <c r="AI1525" s="243"/>
      <c r="AJ1525" s="243"/>
      <c r="AK1525" s="243"/>
      <c r="AL1525" s="243"/>
      <c r="AM1525" s="243"/>
      <c r="AN1525" s="243"/>
      <c r="AO1525" s="243"/>
      <c r="AP1525" s="243"/>
      <c r="AQ1525" s="243"/>
      <c r="AR1525" s="243"/>
      <c r="AS1525" s="243"/>
      <c r="AT1525" s="243"/>
      <c r="AU1525" s="243"/>
      <c r="AV1525" s="243"/>
      <c r="AW1525" s="243"/>
      <c r="AX1525" s="243"/>
      <c r="AY1525" s="243"/>
      <c r="AZ1525" s="243"/>
      <c r="BA1525" s="243"/>
      <c r="BB1525" s="243"/>
      <c r="BC1525" s="243"/>
      <c r="BD1525" s="243"/>
      <c r="BE1525" s="243"/>
      <c r="BF1525" s="243"/>
      <c r="BG1525" s="243"/>
      <c r="BH1525" s="243"/>
      <c r="BI1525" s="243"/>
      <c r="BJ1525" s="243"/>
      <c r="BK1525" s="243"/>
      <c r="BL1525" s="243"/>
      <c r="BM1525" s="243"/>
      <c r="BN1525" s="243"/>
      <c r="BO1525" s="243"/>
      <c r="BP1525" s="243"/>
      <c r="BQ1525" s="243"/>
      <c r="BR1525" s="243"/>
      <c r="BS1525" s="243"/>
    </row>
    <row r="1526" spans="1:71" s="12" customFormat="1" ht="41.25" customHeight="1">
      <c r="A1526" s="178" t="s">
        <v>99</v>
      </c>
      <c r="B1526" s="75" t="str">
        <f ca="1">+UPPER(Tabla1321124[[#This Row],[DESCRIPCIÓN DE LA COMPRA O CONTRATACIÓN]])</f>
        <v>ABRAZADERA, PIEZA PARA EL DESTILADOR DE CRISTAL MEGA-PURE 3A, PARTE #410141 (ITEM D)</v>
      </c>
      <c r="C1526" s="39" t="s">
        <v>1067</v>
      </c>
      <c r="D1526" s="236">
        <v>1</v>
      </c>
      <c r="E1526" s="236"/>
      <c r="F1526" s="236"/>
      <c r="G1526" s="236"/>
      <c r="H1526" s="236">
        <f>Tabla1321124[[#This Row],[CUARTO TRIMESTRE]]+Tabla1321124[[#This Row],[TERCER TRIMESTRE]]+Tabla1321124[[#This Row],[SEGUNDO TRIMESTRE]]+Tabla1321124[[#This Row],[PRIMER TRIMESTRE]]</f>
        <v>1</v>
      </c>
      <c r="I1526" s="17">
        <v>1000</v>
      </c>
      <c r="J1526" s="17">
        <f>+Tabla1321124[[#This Row],[CANTIDAD TOTAL]]*Tabla1321124[[#This Row],[PRECIO UNITARIO ESTIMADO]]</f>
        <v>1000</v>
      </c>
      <c r="K1526" s="17"/>
      <c r="L1526" s="16" t="s">
        <v>18</v>
      </c>
      <c r="M1526" s="16" t="s">
        <v>22</v>
      </c>
      <c r="N1526" s="16" t="s">
        <v>418</v>
      </c>
      <c r="O1526" s="243"/>
      <c r="P1526" s="243"/>
      <c r="Q1526" s="243"/>
      <c r="R1526" s="243"/>
      <c r="S1526" s="243"/>
      <c r="T1526" s="243"/>
      <c r="U1526" s="243"/>
      <c r="V1526" s="243"/>
      <c r="W1526" s="243"/>
      <c r="X1526" s="243"/>
      <c r="Y1526" s="243"/>
      <c r="Z1526" s="243"/>
      <c r="AA1526" s="243"/>
      <c r="AB1526" s="243"/>
      <c r="AC1526" s="243"/>
      <c r="AD1526" s="243"/>
      <c r="AE1526" s="243"/>
      <c r="AF1526" s="243"/>
      <c r="AG1526" s="243"/>
      <c r="AH1526" s="243"/>
      <c r="AI1526" s="243"/>
      <c r="AJ1526" s="243"/>
      <c r="AK1526" s="243"/>
      <c r="AL1526" s="243"/>
      <c r="AM1526" s="243"/>
      <c r="AN1526" s="243"/>
      <c r="AO1526" s="243"/>
      <c r="AP1526" s="243"/>
      <c r="AQ1526" s="243"/>
      <c r="AR1526" s="243"/>
      <c r="AS1526" s="243"/>
      <c r="AT1526" s="243"/>
      <c r="AU1526" s="243"/>
      <c r="AV1526" s="243"/>
      <c r="AW1526" s="243"/>
      <c r="AX1526" s="243"/>
      <c r="AY1526" s="243"/>
      <c r="AZ1526" s="243"/>
      <c r="BA1526" s="243"/>
      <c r="BB1526" s="243"/>
      <c r="BC1526" s="243"/>
      <c r="BD1526" s="243"/>
      <c r="BE1526" s="243"/>
      <c r="BF1526" s="243"/>
      <c r="BG1526" s="243"/>
      <c r="BH1526" s="243"/>
      <c r="BI1526" s="243"/>
      <c r="BJ1526" s="243"/>
      <c r="BK1526" s="243"/>
      <c r="BL1526" s="243"/>
      <c r="BM1526" s="243"/>
      <c r="BN1526" s="243"/>
      <c r="BO1526" s="243"/>
      <c r="BP1526" s="243"/>
      <c r="BQ1526" s="243"/>
      <c r="BR1526" s="243"/>
      <c r="BS1526" s="243"/>
    </row>
    <row r="1527" spans="1:71" s="12" customFormat="1" ht="41.25" customHeight="1">
      <c r="A1527" s="178" t="s">
        <v>99</v>
      </c>
      <c r="B1527" s="75" t="str">
        <f ca="1">+UPPER(Tabla1321124[[#This Row],[DESCRIPCIÓN DE LA COMPRA O CONTRATACIÓN]])</f>
        <v>HI-TEMP CUT OFF SWICTH (INTERRUPTOR), PIEZA PARA EL DESTILADOR DE CRISTAL MEGA-PURE 3A, PARTE #410131</v>
      </c>
      <c r="C1527" s="39" t="s">
        <v>1067</v>
      </c>
      <c r="D1527" s="236">
        <v>1</v>
      </c>
      <c r="E1527" s="236"/>
      <c r="F1527" s="236"/>
      <c r="G1527" s="236"/>
      <c r="H1527" s="236">
        <f>Tabla1321124[[#This Row],[CUARTO TRIMESTRE]]+Tabla1321124[[#This Row],[TERCER TRIMESTRE]]+Tabla1321124[[#This Row],[SEGUNDO TRIMESTRE]]+Tabla1321124[[#This Row],[PRIMER TRIMESTRE]]</f>
        <v>1</v>
      </c>
      <c r="I1527" s="17">
        <v>2000</v>
      </c>
      <c r="J1527" s="17">
        <f>+Tabla1321124[[#This Row],[CANTIDAD TOTAL]]*Tabla1321124[[#This Row],[PRECIO UNITARIO ESTIMADO]]</f>
        <v>2000</v>
      </c>
      <c r="K1527" s="17"/>
      <c r="L1527" s="16" t="s">
        <v>18</v>
      </c>
      <c r="M1527" s="16" t="s">
        <v>22</v>
      </c>
      <c r="N1527" s="16" t="s">
        <v>418</v>
      </c>
      <c r="O1527" s="243"/>
      <c r="P1527" s="243"/>
      <c r="Q1527" s="243"/>
      <c r="R1527" s="243"/>
      <c r="S1527" s="243"/>
      <c r="T1527" s="243"/>
      <c r="U1527" s="243"/>
      <c r="V1527" s="243"/>
      <c r="W1527" s="243"/>
      <c r="X1527" s="243"/>
      <c r="Y1527" s="243"/>
      <c r="Z1527" s="243"/>
      <c r="AA1527" s="243"/>
      <c r="AB1527" s="243"/>
      <c r="AC1527" s="243"/>
      <c r="AD1527" s="243"/>
      <c r="AE1527" s="243"/>
      <c r="AF1527" s="243"/>
      <c r="AG1527" s="243"/>
      <c r="AH1527" s="243"/>
      <c r="AI1527" s="243"/>
      <c r="AJ1527" s="243"/>
      <c r="AK1527" s="243"/>
      <c r="AL1527" s="243"/>
      <c r="AM1527" s="243"/>
      <c r="AN1527" s="243"/>
      <c r="AO1527" s="243"/>
      <c r="AP1527" s="243"/>
      <c r="AQ1527" s="243"/>
      <c r="AR1527" s="243"/>
      <c r="AS1527" s="243"/>
      <c r="AT1527" s="243"/>
      <c r="AU1527" s="243"/>
      <c r="AV1527" s="243"/>
      <c r="AW1527" s="243"/>
      <c r="AX1527" s="243"/>
      <c r="AY1527" s="243"/>
      <c r="AZ1527" s="243"/>
      <c r="BA1527" s="243"/>
      <c r="BB1527" s="243"/>
      <c r="BC1527" s="243"/>
      <c r="BD1527" s="243"/>
      <c r="BE1527" s="243"/>
      <c r="BF1527" s="243"/>
      <c r="BG1527" s="243"/>
      <c r="BH1527" s="243"/>
      <c r="BI1527" s="243"/>
      <c r="BJ1527" s="243"/>
      <c r="BK1527" s="243"/>
      <c r="BL1527" s="243"/>
      <c r="BM1527" s="243"/>
      <c r="BN1527" s="243"/>
      <c r="BO1527" s="243"/>
      <c r="BP1527" s="243"/>
      <c r="BQ1527" s="243"/>
      <c r="BR1527" s="243"/>
      <c r="BS1527" s="243"/>
    </row>
    <row r="1528" spans="1:71" s="12" customFormat="1" ht="41.25" customHeight="1">
      <c r="A1528" s="178" t="s">
        <v>99</v>
      </c>
      <c r="B1528" s="75" t="str">
        <f ca="1">+UPPER(Tabla1321124[[#This Row],[DESCRIPCIÓN DE LA COMPRA O CONTRATACIÓN]])</f>
        <v>FUSIBLE 12A-250V ABC, PIEZA PARA EL DESTILADOR DE CRISTAL MEGA-PURE, PARTE #FZX4</v>
      </c>
      <c r="C1528" s="39" t="s">
        <v>1067</v>
      </c>
      <c r="D1528" s="236">
        <v>2</v>
      </c>
      <c r="E1528" s="236"/>
      <c r="F1528" s="236">
        <v>2</v>
      </c>
      <c r="G1528" s="236"/>
      <c r="H1528" s="236">
        <f>Tabla1321124[[#This Row],[CUARTO TRIMESTRE]]+Tabla1321124[[#This Row],[TERCER TRIMESTRE]]+Tabla1321124[[#This Row],[SEGUNDO TRIMESTRE]]+Tabla1321124[[#This Row],[PRIMER TRIMESTRE]]</f>
        <v>4</v>
      </c>
      <c r="I1528" s="17">
        <v>300</v>
      </c>
      <c r="J1528" s="17">
        <f>+Tabla1321124[[#This Row],[CANTIDAD TOTAL]]*Tabla1321124[[#This Row],[PRECIO UNITARIO ESTIMADO]]</f>
        <v>1200</v>
      </c>
      <c r="K1528" s="17"/>
      <c r="L1528" s="16" t="s">
        <v>18</v>
      </c>
      <c r="M1528" s="16" t="s">
        <v>22</v>
      </c>
      <c r="N1528" s="16" t="s">
        <v>418</v>
      </c>
      <c r="O1528" s="243"/>
      <c r="P1528" s="243"/>
      <c r="Q1528" s="243"/>
      <c r="R1528" s="243"/>
      <c r="S1528" s="243"/>
      <c r="T1528" s="243"/>
      <c r="U1528" s="243"/>
      <c r="V1528" s="243"/>
      <c r="W1528" s="243"/>
      <c r="X1528" s="243"/>
      <c r="Y1528" s="243"/>
      <c r="Z1528" s="243"/>
      <c r="AA1528" s="243"/>
      <c r="AB1528" s="243"/>
      <c r="AC1528" s="243"/>
      <c r="AD1528" s="243"/>
      <c r="AE1528" s="243"/>
      <c r="AF1528" s="243"/>
      <c r="AG1528" s="243"/>
      <c r="AH1528" s="243"/>
      <c r="AI1528" s="243"/>
      <c r="AJ1528" s="243"/>
      <c r="AK1528" s="243"/>
      <c r="AL1528" s="243"/>
      <c r="AM1528" s="243"/>
      <c r="AN1528" s="243"/>
      <c r="AO1528" s="243"/>
      <c r="AP1528" s="243"/>
      <c r="AQ1528" s="243"/>
      <c r="AR1528" s="243"/>
      <c r="AS1528" s="243"/>
      <c r="AT1528" s="243"/>
      <c r="AU1528" s="243"/>
      <c r="AV1528" s="243"/>
      <c r="AW1528" s="243"/>
      <c r="AX1528" s="243"/>
      <c r="AY1528" s="243"/>
      <c r="AZ1528" s="243"/>
      <c r="BA1528" s="243"/>
      <c r="BB1528" s="243"/>
      <c r="BC1528" s="243"/>
      <c r="BD1528" s="243"/>
      <c r="BE1528" s="243"/>
      <c r="BF1528" s="243"/>
      <c r="BG1528" s="243"/>
      <c r="BH1528" s="243"/>
      <c r="BI1528" s="243"/>
      <c r="BJ1528" s="243"/>
      <c r="BK1528" s="243"/>
      <c r="BL1528" s="243"/>
      <c r="BM1528" s="243"/>
      <c r="BN1528" s="243"/>
      <c r="BO1528" s="243"/>
      <c r="BP1528" s="243"/>
      <c r="BQ1528" s="243"/>
      <c r="BR1528" s="243"/>
      <c r="BS1528" s="243"/>
    </row>
    <row r="1529" spans="1:71" s="12" customFormat="1" ht="43.5" customHeight="1">
      <c r="A1529" s="178" t="s">
        <v>99</v>
      </c>
      <c r="B1529" s="75" t="str">
        <f ca="1">+UPPER(Tabla1321124[[#This Row],[DESCRIPCIÓN DE LA COMPRA O CONTRATACIÓN]])</f>
        <v>FUSIBLE DE 150 AMP 600V, TIPO CARTUCHO</v>
      </c>
      <c r="C1529" s="39" t="s">
        <v>1067</v>
      </c>
      <c r="D1529" s="236">
        <v>2</v>
      </c>
      <c r="E1529" s="236"/>
      <c r="F1529" s="236">
        <v>2</v>
      </c>
      <c r="G1529" s="236"/>
      <c r="H1529" s="236">
        <f>Tabla1321124[[#This Row],[CUARTO TRIMESTRE]]+Tabla1321124[[#This Row],[TERCER TRIMESTRE]]+Tabla1321124[[#This Row],[SEGUNDO TRIMESTRE]]+Tabla1321124[[#This Row],[PRIMER TRIMESTRE]]</f>
        <v>4</v>
      </c>
      <c r="I1529" s="17">
        <v>392</v>
      </c>
      <c r="J1529" s="17">
        <f>+Tabla1321124[[#This Row],[CANTIDAD TOTAL]]*Tabla1321124[[#This Row],[PRECIO UNITARIO ESTIMADO]]</f>
        <v>1568</v>
      </c>
      <c r="K1529" s="17"/>
      <c r="L1529" s="16" t="s">
        <v>27</v>
      </c>
      <c r="M1529" s="16" t="s">
        <v>22</v>
      </c>
      <c r="N1529" s="16" t="s">
        <v>418</v>
      </c>
      <c r="O1529" s="243"/>
      <c r="P1529" s="243"/>
      <c r="Q1529" s="243"/>
      <c r="R1529" s="243"/>
      <c r="S1529" s="243"/>
      <c r="T1529" s="243"/>
      <c r="U1529" s="243"/>
      <c r="V1529" s="243"/>
      <c r="W1529" s="243"/>
      <c r="X1529" s="243"/>
      <c r="Y1529" s="243"/>
      <c r="Z1529" s="243"/>
      <c r="AA1529" s="243"/>
      <c r="AB1529" s="243"/>
      <c r="AC1529" s="243"/>
      <c r="AD1529" s="243"/>
      <c r="AE1529" s="243"/>
      <c r="AF1529" s="243"/>
      <c r="AG1529" s="243"/>
      <c r="AH1529" s="243"/>
      <c r="AI1529" s="243"/>
      <c r="AJ1529" s="243"/>
      <c r="AK1529" s="243"/>
      <c r="AL1529" s="243"/>
      <c r="AM1529" s="243"/>
      <c r="AN1529" s="243"/>
      <c r="AO1529" s="243"/>
      <c r="AP1529" s="243"/>
      <c r="AQ1529" s="243"/>
      <c r="AR1529" s="243"/>
      <c r="AS1529" s="243"/>
      <c r="AT1529" s="243"/>
      <c r="AU1529" s="243"/>
      <c r="AV1529" s="243"/>
      <c r="AW1529" s="243"/>
      <c r="AX1529" s="243"/>
      <c r="AY1529" s="243"/>
      <c r="AZ1529" s="243"/>
      <c r="BA1529" s="243"/>
      <c r="BB1529" s="243"/>
      <c r="BC1529" s="243"/>
      <c r="BD1529" s="243"/>
      <c r="BE1529" s="243"/>
      <c r="BF1529" s="243"/>
      <c r="BG1529" s="243"/>
      <c r="BH1529" s="243"/>
      <c r="BI1529" s="243"/>
      <c r="BJ1529" s="243"/>
      <c r="BK1529" s="243"/>
      <c r="BL1529" s="243"/>
      <c r="BM1529" s="243"/>
      <c r="BN1529" s="243"/>
      <c r="BO1529" s="243"/>
      <c r="BP1529" s="243"/>
      <c r="BQ1529" s="243"/>
      <c r="BR1529" s="243"/>
      <c r="BS1529" s="243"/>
    </row>
    <row r="1530" spans="1:71" s="26" customFormat="1" ht="30">
      <c r="A1530" s="178" t="s">
        <v>99</v>
      </c>
      <c r="B1530" s="75" t="str">
        <f ca="1">+UPPER(Tabla1321124[[#This Row],[DESCRIPCIÓN DE LA COMPRA O CONTRATACIÓN]])</f>
        <v>TURBIDIMETRO 2100Q, PORTABLE, CON RANGO DE 0-1000 NTU Y RESOLUCION 0.01</v>
      </c>
      <c r="C1530" s="39" t="s">
        <v>1067</v>
      </c>
      <c r="D1530" s="236">
        <v>4</v>
      </c>
      <c r="E1530" s="236">
        <v>5</v>
      </c>
      <c r="F1530" s="236">
        <v>5</v>
      </c>
      <c r="G1530" s="236">
        <v>4</v>
      </c>
      <c r="H1530" s="236">
        <f>Tabla1321124[[#This Row],[CUARTO TRIMESTRE]]+Tabla1321124[[#This Row],[TERCER TRIMESTRE]]+Tabla1321124[[#This Row],[SEGUNDO TRIMESTRE]]+Tabla1321124[[#This Row],[PRIMER TRIMESTRE]]</f>
        <v>18</v>
      </c>
      <c r="I1530" s="17">
        <v>60000</v>
      </c>
      <c r="J1530" s="17">
        <f>+Tabla1321124[[#This Row],[CANTIDAD TOTAL]]*Tabla1321124[[#This Row],[PRECIO UNITARIO ESTIMADO]]</f>
        <v>1080000</v>
      </c>
      <c r="K1530" s="17"/>
      <c r="L1530" s="16" t="s">
        <v>18</v>
      </c>
      <c r="M1530" s="16" t="s">
        <v>22</v>
      </c>
      <c r="N1530" s="16" t="s">
        <v>418</v>
      </c>
      <c r="O1530" s="243"/>
      <c r="P1530" s="243"/>
      <c r="Q1530" s="243"/>
      <c r="R1530" s="243"/>
      <c r="S1530" s="243"/>
      <c r="T1530" s="243"/>
      <c r="U1530" s="243"/>
      <c r="V1530" s="243"/>
      <c r="W1530" s="243"/>
      <c r="X1530" s="243"/>
      <c r="Y1530" s="243"/>
      <c r="Z1530" s="243"/>
      <c r="AA1530" s="243"/>
      <c r="AB1530" s="243"/>
      <c r="AC1530" s="243"/>
      <c r="AD1530" s="243"/>
      <c r="AE1530" s="243"/>
      <c r="AF1530" s="243"/>
      <c r="AG1530" s="243"/>
      <c r="AH1530" s="243"/>
      <c r="AI1530" s="243"/>
      <c r="AJ1530" s="243"/>
      <c r="AK1530" s="243"/>
      <c r="AL1530" s="243"/>
      <c r="AM1530" s="243"/>
      <c r="AN1530" s="243"/>
      <c r="AO1530" s="243"/>
      <c r="AP1530" s="243"/>
      <c r="AQ1530" s="243"/>
      <c r="AR1530" s="243"/>
      <c r="AS1530" s="243"/>
      <c r="AT1530" s="243"/>
      <c r="AU1530" s="243"/>
      <c r="AV1530" s="243"/>
      <c r="AW1530" s="243"/>
      <c r="AX1530" s="243"/>
      <c r="AY1530" s="243"/>
      <c r="AZ1530" s="243"/>
      <c r="BA1530" s="243"/>
      <c r="BB1530" s="243"/>
      <c r="BC1530" s="243"/>
      <c r="BD1530" s="243"/>
      <c r="BE1530" s="243"/>
      <c r="BF1530" s="243"/>
      <c r="BG1530" s="243"/>
      <c r="BH1530" s="243"/>
      <c r="BI1530" s="243"/>
      <c r="BJ1530" s="243"/>
      <c r="BK1530" s="243"/>
      <c r="BL1530" s="243"/>
      <c r="BM1530" s="243"/>
      <c r="BN1530" s="243"/>
      <c r="BO1530" s="243"/>
      <c r="BP1530" s="243"/>
      <c r="BQ1530" s="243"/>
      <c r="BR1530" s="243"/>
      <c r="BS1530" s="243"/>
    </row>
    <row r="1531" spans="1:71" s="26" customFormat="1" ht="63.75">
      <c r="A1531" s="178" t="s">
        <v>99</v>
      </c>
      <c r="B1531" s="75" t="str">
        <f ca="1">+UPPER(Tabla1321124[[#This Row],[DESCRIPCIÓN DE LA COMPRA O CONTRATACIÓN]])</f>
        <v>ALARM TIMER (TEMPORIZADOR DE ALARMA), PROGRAMABLE, VOLUMEN DE ALARMA AJUSTABLE, CON LUZ DE LED INTERMITENTE, DIGITOS DE ALERTA GRANDES, CON CALIBRACION ISO 17025, CON CERTIFICADO DE CALIBRACION INCLUIDO</v>
      </c>
      <c r="C1531" s="39" t="s">
        <v>1067</v>
      </c>
      <c r="D1531" s="236">
        <v>1</v>
      </c>
      <c r="E1531" s="236"/>
      <c r="F1531" s="236"/>
      <c r="G1531" s="236"/>
      <c r="H1531" s="236">
        <f>Tabla1321124[[#This Row],[CUARTO TRIMESTRE]]+Tabla1321124[[#This Row],[TERCER TRIMESTRE]]+Tabla1321124[[#This Row],[SEGUNDO TRIMESTRE]]+Tabla1321124[[#This Row],[PRIMER TRIMESTRE]]</f>
        <v>1</v>
      </c>
      <c r="I1531" s="17">
        <v>3500</v>
      </c>
      <c r="J1531" s="17">
        <f>+Tabla1321124[[#This Row],[CANTIDAD TOTAL]]*Tabla1321124[[#This Row],[PRECIO UNITARIO ESTIMADO]]</f>
        <v>3500</v>
      </c>
      <c r="K1531" s="17"/>
      <c r="L1531" s="16" t="s">
        <v>18</v>
      </c>
      <c r="M1531" s="16" t="s">
        <v>22</v>
      </c>
      <c r="N1531" s="16" t="s">
        <v>418</v>
      </c>
      <c r="O1531" s="243"/>
      <c r="P1531" s="243"/>
      <c r="Q1531" s="243"/>
      <c r="R1531" s="243"/>
      <c r="S1531" s="243"/>
      <c r="T1531" s="243"/>
      <c r="U1531" s="243"/>
      <c r="V1531" s="243"/>
      <c r="W1531" s="243"/>
      <c r="X1531" s="243"/>
      <c r="Y1531" s="243"/>
      <c r="Z1531" s="243"/>
      <c r="AA1531" s="243"/>
      <c r="AB1531" s="243"/>
      <c r="AC1531" s="243"/>
      <c r="AD1531" s="243"/>
      <c r="AE1531" s="243"/>
      <c r="AF1531" s="243"/>
      <c r="AG1531" s="243"/>
      <c r="AH1531" s="243"/>
      <c r="AI1531" s="243"/>
      <c r="AJ1531" s="243"/>
      <c r="AK1531" s="243"/>
      <c r="AL1531" s="243"/>
      <c r="AM1531" s="243"/>
      <c r="AN1531" s="243"/>
      <c r="AO1531" s="243"/>
      <c r="AP1531" s="243"/>
      <c r="AQ1531" s="243"/>
      <c r="AR1531" s="243"/>
      <c r="AS1531" s="243"/>
      <c r="AT1531" s="243"/>
      <c r="AU1531" s="243"/>
      <c r="AV1531" s="243"/>
      <c r="AW1531" s="243"/>
      <c r="AX1531" s="243"/>
      <c r="AY1531" s="243"/>
      <c r="AZ1531" s="243"/>
      <c r="BA1531" s="243"/>
      <c r="BB1531" s="243"/>
      <c r="BC1531" s="243"/>
      <c r="BD1531" s="243"/>
      <c r="BE1531" s="243"/>
      <c r="BF1531" s="243"/>
      <c r="BG1531" s="243"/>
      <c r="BH1531" s="243"/>
      <c r="BI1531" s="243"/>
      <c r="BJ1531" s="243"/>
      <c r="BK1531" s="243"/>
      <c r="BL1531" s="243"/>
      <c r="BM1531" s="243"/>
      <c r="BN1531" s="243"/>
      <c r="BO1531" s="243"/>
      <c r="BP1531" s="243"/>
      <c r="BQ1531" s="243"/>
      <c r="BR1531" s="243"/>
      <c r="BS1531" s="243"/>
    </row>
    <row r="1532" spans="1:71" s="12" customFormat="1" ht="41.25" customHeight="1">
      <c r="A1532" s="178" t="s">
        <v>99</v>
      </c>
      <c r="B1532" s="75" t="str">
        <f ca="1">+UPPER(Tabla1321124[[#This Row],[DESCRIPCIÓN DE LA COMPRA O CONTRATACIÓN]])</f>
        <v>TEMPORIZADOR ANALOGO 0-60 SEG. 220</v>
      </c>
      <c r="C1532" s="39" t="s">
        <v>1067</v>
      </c>
      <c r="D1532" s="236">
        <v>1</v>
      </c>
      <c r="E1532" s="236"/>
      <c r="F1532" s="236"/>
      <c r="G1532" s="236"/>
      <c r="H1532" s="236">
        <f>Tabla1321124[[#This Row],[CUARTO TRIMESTRE]]+Tabla1321124[[#This Row],[TERCER TRIMESTRE]]+Tabla1321124[[#This Row],[SEGUNDO TRIMESTRE]]+Tabla1321124[[#This Row],[PRIMER TRIMESTRE]]</f>
        <v>1</v>
      </c>
      <c r="I1532" s="17">
        <v>1150</v>
      </c>
      <c r="J1532" s="17">
        <f>+Tabla1321124[[#This Row],[CANTIDAD TOTAL]]*Tabla1321124[[#This Row],[PRECIO UNITARIO ESTIMADO]]</f>
        <v>1150</v>
      </c>
      <c r="K1532" s="17"/>
      <c r="L1532" s="16" t="s">
        <v>18</v>
      </c>
      <c r="M1532" s="16" t="s">
        <v>22</v>
      </c>
      <c r="N1532" s="16" t="s">
        <v>418</v>
      </c>
      <c r="O1532" s="243"/>
      <c r="P1532" s="243"/>
      <c r="Q1532" s="243"/>
      <c r="R1532" s="243"/>
      <c r="S1532" s="243"/>
      <c r="T1532" s="243"/>
      <c r="U1532" s="243"/>
      <c r="V1532" s="243"/>
      <c r="W1532" s="243"/>
      <c r="X1532" s="243"/>
      <c r="Y1532" s="243"/>
      <c r="Z1532" s="243"/>
      <c r="AA1532" s="243"/>
      <c r="AB1532" s="243"/>
      <c r="AC1532" s="243"/>
      <c r="AD1532" s="243"/>
      <c r="AE1532" s="243"/>
      <c r="AF1532" s="243"/>
      <c r="AG1532" s="243"/>
      <c r="AH1532" s="243"/>
      <c r="AI1532" s="243"/>
      <c r="AJ1532" s="243"/>
      <c r="AK1532" s="243"/>
      <c r="AL1532" s="243"/>
      <c r="AM1532" s="243"/>
      <c r="AN1532" s="243"/>
      <c r="AO1532" s="243"/>
      <c r="AP1532" s="243"/>
      <c r="AQ1532" s="243"/>
      <c r="AR1532" s="243"/>
      <c r="AS1532" s="243"/>
      <c r="AT1532" s="243"/>
      <c r="AU1532" s="243"/>
      <c r="AV1532" s="243"/>
      <c r="AW1532" s="243"/>
      <c r="AX1532" s="243"/>
      <c r="AY1532" s="243"/>
      <c r="AZ1532" s="243"/>
      <c r="BA1532" s="243"/>
      <c r="BB1532" s="243"/>
      <c r="BC1532" s="243"/>
      <c r="BD1532" s="243"/>
      <c r="BE1532" s="243"/>
      <c r="BF1532" s="243"/>
      <c r="BG1532" s="243"/>
      <c r="BH1532" s="243"/>
      <c r="BI1532" s="243"/>
      <c r="BJ1532" s="243"/>
      <c r="BK1532" s="243"/>
      <c r="BL1532" s="243"/>
      <c r="BM1532" s="243"/>
      <c r="BN1532" s="243"/>
      <c r="BO1532" s="243"/>
      <c r="BP1532" s="243"/>
      <c r="BQ1532" s="243"/>
      <c r="BR1532" s="243"/>
      <c r="BS1532" s="243"/>
    </row>
    <row r="1533" spans="1:71" s="12" customFormat="1" ht="51" customHeight="1">
      <c r="A1533" s="178" t="s">
        <v>99</v>
      </c>
      <c r="B1533" s="75" t="str">
        <f ca="1">+UPPER(Tabla1321124[[#This Row],[DESCRIPCIÓN DE LA COMPRA O CONTRATACIÓN]])</f>
        <v>TURBIDIM ETRO LASER</v>
      </c>
      <c r="C1533" s="39" t="s">
        <v>1067</v>
      </c>
      <c r="D1533" s="236">
        <v>1</v>
      </c>
      <c r="E1533" s="236"/>
      <c r="F1533" s="236"/>
      <c r="G1533" s="236"/>
      <c r="H1533" s="236">
        <f>Tabla1321124[[#This Row],[CUARTO TRIMESTRE]]+Tabla1321124[[#This Row],[TERCER TRIMESTRE]]+Tabla1321124[[#This Row],[SEGUNDO TRIMESTRE]]+Tabla1321124[[#This Row],[PRIMER TRIMESTRE]]</f>
        <v>1</v>
      </c>
      <c r="I1533" s="17">
        <v>200000</v>
      </c>
      <c r="J1533" s="17">
        <f>+Tabla1321124[[#This Row],[CANTIDAD TOTAL]]*Tabla1321124[[#This Row],[PRECIO UNITARIO ESTIMADO]]</f>
        <v>200000</v>
      </c>
      <c r="K1533" s="17"/>
      <c r="L1533" s="16" t="s">
        <v>18</v>
      </c>
      <c r="M1533" s="16" t="s">
        <v>22</v>
      </c>
      <c r="N1533" s="16" t="s">
        <v>418</v>
      </c>
      <c r="O1533" s="243"/>
      <c r="P1533" s="243"/>
      <c r="Q1533" s="243"/>
      <c r="R1533" s="243"/>
      <c r="S1533" s="243"/>
      <c r="T1533" s="243"/>
      <c r="U1533" s="243"/>
      <c r="V1533" s="243"/>
      <c r="W1533" s="243"/>
      <c r="X1533" s="243"/>
      <c r="Y1533" s="243"/>
      <c r="Z1533" s="243"/>
      <c r="AA1533" s="243"/>
      <c r="AB1533" s="243"/>
      <c r="AC1533" s="243"/>
      <c r="AD1533" s="243"/>
      <c r="AE1533" s="243"/>
      <c r="AF1533" s="243"/>
      <c r="AG1533" s="243"/>
      <c r="AH1533" s="243"/>
      <c r="AI1533" s="243"/>
      <c r="AJ1533" s="243"/>
      <c r="AK1533" s="243"/>
      <c r="AL1533" s="243"/>
      <c r="AM1533" s="243"/>
      <c r="AN1533" s="243"/>
      <c r="AO1533" s="243"/>
      <c r="AP1533" s="243"/>
      <c r="AQ1533" s="243"/>
      <c r="AR1533" s="243"/>
      <c r="AS1533" s="243"/>
      <c r="AT1533" s="243"/>
      <c r="AU1533" s="243"/>
      <c r="AV1533" s="243"/>
      <c r="AW1533" s="243"/>
      <c r="AX1533" s="243"/>
      <c r="AY1533" s="243"/>
      <c r="AZ1533" s="243"/>
      <c r="BA1533" s="243"/>
      <c r="BB1533" s="243"/>
      <c r="BC1533" s="243"/>
      <c r="BD1533" s="243"/>
      <c r="BE1533" s="243"/>
      <c r="BF1533" s="243"/>
      <c r="BG1533" s="243"/>
      <c r="BH1533" s="243"/>
      <c r="BI1533" s="243"/>
      <c r="BJ1533" s="243"/>
      <c r="BK1533" s="243"/>
      <c r="BL1533" s="243"/>
      <c r="BM1533" s="243"/>
      <c r="BN1533" s="243"/>
      <c r="BO1533" s="243"/>
      <c r="BP1533" s="243"/>
      <c r="BQ1533" s="243"/>
      <c r="BR1533" s="243"/>
      <c r="BS1533" s="243"/>
    </row>
    <row r="1534" spans="1:71" s="12" customFormat="1" ht="71.25" customHeight="1">
      <c r="A1534" s="178" t="s">
        <v>99</v>
      </c>
      <c r="B1534" s="75" t="str">
        <f ca="1">+UPPER(Tabla1321124[[#This Row],[DESCRIPCIÓN DE LA COMPRA O CONTRATACIÓN]])</f>
        <v>ESPECTROFOTOMETRO, DR 6000</v>
      </c>
      <c r="C1534" s="39" t="s">
        <v>1067</v>
      </c>
      <c r="D1534" s="236">
        <v>1</v>
      </c>
      <c r="E1534" s="236"/>
      <c r="F1534" s="236"/>
      <c r="G1534" s="236"/>
      <c r="H1534" s="236">
        <f>Tabla1321124[[#This Row],[CUARTO TRIMESTRE]]+Tabla1321124[[#This Row],[TERCER TRIMESTRE]]+Tabla1321124[[#This Row],[SEGUNDO TRIMESTRE]]+Tabla1321124[[#This Row],[PRIMER TRIMESTRE]]</f>
        <v>1</v>
      </c>
      <c r="I1534" s="17">
        <v>250000</v>
      </c>
      <c r="J1534" s="17">
        <f>+Tabla1321124[[#This Row],[CANTIDAD TOTAL]]*Tabla1321124[[#This Row],[PRECIO UNITARIO ESTIMADO]]</f>
        <v>250000</v>
      </c>
      <c r="K1534" s="17"/>
      <c r="L1534" s="16" t="s">
        <v>18</v>
      </c>
      <c r="M1534" s="16" t="s">
        <v>22</v>
      </c>
      <c r="N1534" s="16" t="s">
        <v>418</v>
      </c>
      <c r="O1534" s="243"/>
      <c r="P1534" s="243"/>
      <c r="Q1534" s="243"/>
      <c r="R1534" s="243"/>
      <c r="S1534" s="243"/>
      <c r="T1534" s="243"/>
      <c r="U1534" s="243"/>
      <c r="V1534" s="243"/>
      <c r="W1534" s="243"/>
      <c r="X1534" s="243"/>
      <c r="Y1534" s="243"/>
      <c r="Z1534" s="243"/>
      <c r="AA1534" s="243"/>
      <c r="AB1534" s="243"/>
      <c r="AC1534" s="243"/>
      <c r="AD1534" s="243"/>
      <c r="AE1534" s="243"/>
      <c r="AF1534" s="243"/>
      <c r="AG1534" s="243"/>
      <c r="AH1534" s="243"/>
      <c r="AI1534" s="243"/>
      <c r="AJ1534" s="243"/>
      <c r="AK1534" s="243"/>
      <c r="AL1534" s="243"/>
      <c r="AM1534" s="243"/>
      <c r="AN1534" s="243"/>
      <c r="AO1534" s="243"/>
      <c r="AP1534" s="243"/>
      <c r="AQ1534" s="243"/>
      <c r="AR1534" s="243"/>
      <c r="AS1534" s="243"/>
      <c r="AT1534" s="243"/>
      <c r="AU1534" s="243"/>
      <c r="AV1534" s="243"/>
      <c r="AW1534" s="243"/>
      <c r="AX1534" s="243"/>
      <c r="AY1534" s="243"/>
      <c r="AZ1534" s="243"/>
      <c r="BA1534" s="243"/>
      <c r="BB1534" s="243"/>
      <c r="BC1534" s="243"/>
      <c r="BD1534" s="243"/>
      <c r="BE1534" s="243"/>
      <c r="BF1534" s="243"/>
      <c r="BG1534" s="243"/>
      <c r="BH1534" s="243"/>
      <c r="BI1534" s="243"/>
      <c r="BJ1534" s="243"/>
      <c r="BK1534" s="243"/>
      <c r="BL1534" s="243"/>
      <c r="BM1534" s="243"/>
      <c r="BN1534" s="243"/>
      <c r="BO1534" s="243"/>
      <c r="BP1534" s="243"/>
      <c r="BQ1534" s="243"/>
      <c r="BR1534" s="243"/>
      <c r="BS1534" s="243"/>
    </row>
    <row r="1535" spans="1:71" s="12" customFormat="1" ht="65.25" customHeight="1">
      <c r="A1535" s="178" t="s">
        <v>99</v>
      </c>
      <c r="B1535" s="75" t="str">
        <f ca="1">+UPPER(Tabla1321124[[#This Row],[DESCRIPCIÓN DE LA COMPRA O CONTRATACIÓN]])</f>
        <v>INCUBADORA CON CHAQUETA DE AGUA, DIGITAL, DE 120V, DIMENSIONES INTERIOR: 21.3"W X 26.8"H X 20.0" F-B; DIMENSION EXTERIOR: 26.3"W X 39.5"H X 25.0" F-B, CON CAPACIDAD DE 6.60 PIES CUBICOS</v>
      </c>
      <c r="C1535" s="39" t="s">
        <v>1067</v>
      </c>
      <c r="D1535" s="236">
        <v>1</v>
      </c>
      <c r="E1535" s="236">
        <v>0</v>
      </c>
      <c r="F1535" s="236"/>
      <c r="G1535" s="236">
        <v>1</v>
      </c>
      <c r="H1535" s="236">
        <f>Tabla1321124[[#This Row],[CUARTO TRIMESTRE]]+Tabla1321124[[#This Row],[TERCER TRIMESTRE]]+Tabla1321124[[#This Row],[SEGUNDO TRIMESTRE]]+Tabla1321124[[#This Row],[PRIMER TRIMESTRE]]</f>
        <v>2</v>
      </c>
      <c r="I1535" s="17">
        <v>450000</v>
      </c>
      <c r="J1535" s="17">
        <f>+Tabla1321124[[#This Row],[CANTIDAD TOTAL]]*Tabla1321124[[#This Row],[PRECIO UNITARIO ESTIMADO]]</f>
        <v>900000</v>
      </c>
      <c r="K1535" s="17"/>
      <c r="L1535" s="16" t="s">
        <v>18</v>
      </c>
      <c r="M1535" s="16" t="s">
        <v>22</v>
      </c>
      <c r="N1535" s="16" t="s">
        <v>418</v>
      </c>
      <c r="O1535" s="243"/>
      <c r="P1535" s="243"/>
      <c r="Q1535" s="243"/>
      <c r="R1535" s="243"/>
      <c r="S1535" s="243"/>
      <c r="T1535" s="243"/>
      <c r="U1535" s="243"/>
      <c r="V1535" s="243"/>
      <c r="W1535" s="243"/>
      <c r="X1535" s="243"/>
      <c r="Y1535" s="243"/>
      <c r="Z1535" s="243"/>
      <c r="AA1535" s="243"/>
      <c r="AB1535" s="243"/>
      <c r="AC1535" s="243"/>
      <c r="AD1535" s="243"/>
      <c r="AE1535" s="243"/>
      <c r="AF1535" s="243"/>
      <c r="AG1535" s="243"/>
      <c r="AH1535" s="243"/>
      <c r="AI1535" s="243"/>
      <c r="AJ1535" s="243"/>
      <c r="AK1535" s="243"/>
      <c r="AL1535" s="243"/>
      <c r="AM1535" s="243"/>
      <c r="AN1535" s="243"/>
      <c r="AO1535" s="243"/>
      <c r="AP1535" s="243"/>
      <c r="AQ1535" s="243"/>
      <c r="AR1535" s="243"/>
      <c r="AS1535" s="243"/>
      <c r="AT1535" s="243"/>
      <c r="AU1535" s="243"/>
      <c r="AV1535" s="243"/>
      <c r="AW1535" s="243"/>
      <c r="AX1535" s="243"/>
      <c r="AY1535" s="243"/>
      <c r="AZ1535" s="243"/>
      <c r="BA1535" s="243"/>
      <c r="BB1535" s="243"/>
      <c r="BC1535" s="243"/>
      <c r="BD1535" s="243"/>
      <c r="BE1535" s="243"/>
      <c r="BF1535" s="243"/>
      <c r="BG1535" s="243"/>
      <c r="BH1535" s="243"/>
      <c r="BI1535" s="243"/>
      <c r="BJ1535" s="243"/>
      <c r="BK1535" s="243"/>
      <c r="BL1535" s="243"/>
      <c r="BM1535" s="243"/>
      <c r="BN1535" s="243"/>
      <c r="BO1535" s="243"/>
      <c r="BP1535" s="243"/>
      <c r="BQ1535" s="243"/>
      <c r="BR1535" s="243"/>
      <c r="BS1535" s="243"/>
    </row>
    <row r="1536" spans="1:71" s="12" customFormat="1" ht="50.25" customHeight="1">
      <c r="A1536" s="178" t="s">
        <v>99</v>
      </c>
      <c r="B1536" s="75" t="str">
        <f ca="1">+UPPER(Tabla1321124[[#This Row],[DESCRIPCIÓN DE LA COMPRA O CONTRATACIÓN]])</f>
        <v>BALANZA DIGITAL, DE MESA, CON SONDA Y COMPENSACION AUTOMATICA DE TEMPERATURA, QUE MIDA EL % DE SALINIDAD Y SOLIDOS TOTALES DISUELTOS, DE 115 V, CON CERTIFICADO DE CALIBRACION INCLUIDO</v>
      </c>
      <c r="C1536" s="39" t="s">
        <v>1067</v>
      </c>
      <c r="D1536" s="236">
        <v>1</v>
      </c>
      <c r="E1536" s="236">
        <v>1</v>
      </c>
      <c r="F1536" s="236"/>
      <c r="G1536" s="236"/>
      <c r="H1536" s="236">
        <f>Tabla1321124[[#This Row],[CUARTO TRIMESTRE]]+Tabla1321124[[#This Row],[TERCER TRIMESTRE]]+Tabla1321124[[#This Row],[SEGUNDO TRIMESTRE]]+Tabla1321124[[#This Row],[PRIMER TRIMESTRE]]</f>
        <v>2</v>
      </c>
      <c r="I1536" s="17">
        <v>200000</v>
      </c>
      <c r="J1536" s="17">
        <f>+Tabla1321124[[#This Row],[CANTIDAD TOTAL]]*Tabla1321124[[#This Row],[PRECIO UNITARIO ESTIMADO]]</f>
        <v>400000</v>
      </c>
      <c r="K1536" s="17"/>
      <c r="L1536" s="16" t="s">
        <v>18</v>
      </c>
      <c r="M1536" s="16" t="s">
        <v>22</v>
      </c>
      <c r="N1536" s="16" t="s">
        <v>418</v>
      </c>
      <c r="O1536" s="243"/>
      <c r="P1536" s="243"/>
      <c r="Q1536" s="243"/>
      <c r="R1536" s="243"/>
      <c r="S1536" s="243"/>
      <c r="T1536" s="243"/>
      <c r="U1536" s="243"/>
      <c r="V1536" s="243"/>
      <c r="W1536" s="243"/>
      <c r="X1536" s="243"/>
      <c r="Y1536" s="243"/>
      <c r="Z1536" s="243"/>
      <c r="AA1536" s="243"/>
      <c r="AB1536" s="243"/>
      <c r="AC1536" s="243"/>
      <c r="AD1536" s="243"/>
      <c r="AE1536" s="243"/>
      <c r="AF1536" s="243"/>
      <c r="AG1536" s="243"/>
      <c r="AH1536" s="243"/>
      <c r="AI1536" s="243"/>
      <c r="AJ1536" s="243"/>
      <c r="AK1536" s="243"/>
      <c r="AL1536" s="243"/>
      <c r="AM1536" s="243"/>
      <c r="AN1536" s="243"/>
      <c r="AO1536" s="243"/>
      <c r="AP1536" s="243"/>
      <c r="AQ1536" s="243"/>
      <c r="AR1536" s="243"/>
      <c r="AS1536" s="243"/>
      <c r="AT1536" s="243"/>
      <c r="AU1536" s="243"/>
      <c r="AV1536" s="243"/>
      <c r="AW1536" s="243"/>
      <c r="AX1536" s="243"/>
      <c r="AY1536" s="243"/>
      <c r="AZ1536" s="243"/>
      <c r="BA1536" s="243"/>
      <c r="BB1536" s="243"/>
      <c r="BC1536" s="243"/>
      <c r="BD1536" s="243"/>
      <c r="BE1536" s="243"/>
      <c r="BF1536" s="243"/>
      <c r="BG1536" s="243"/>
      <c r="BH1536" s="243"/>
      <c r="BI1536" s="243"/>
      <c r="BJ1536" s="243"/>
      <c r="BK1536" s="243"/>
      <c r="BL1536" s="243"/>
      <c r="BM1536" s="243"/>
      <c r="BN1536" s="243"/>
      <c r="BO1536" s="243"/>
      <c r="BP1536" s="243"/>
      <c r="BQ1536" s="243"/>
      <c r="BR1536" s="243"/>
      <c r="BS1536" s="243"/>
    </row>
    <row r="1537" spans="1:71" s="12" customFormat="1" ht="41.25" customHeight="1">
      <c r="A1537" s="178" t="s">
        <v>99</v>
      </c>
      <c r="B1537" s="75" t="str">
        <f ca="1">+UPPER(Tabla1321124[[#This Row],[DESCRIPCIÓN DE LA COMPRA O CONTRATACIÓN]])</f>
        <v>PHMETRO DIGITAL, DE MESA, CON ELECTRODO Y COMEPENSACION AUTOMATICA DE TEMPERATURA, DE 115V CON CERTIFICADO DE CALIBRACION INCLUIDO</v>
      </c>
      <c r="C1537" s="39" t="s">
        <v>1067</v>
      </c>
      <c r="D1537" s="236">
        <f>2+2</f>
        <v>4</v>
      </c>
      <c r="E1537" s="236">
        <f>2</f>
        <v>2</v>
      </c>
      <c r="F1537" s="236">
        <f>1</f>
        <v>1</v>
      </c>
      <c r="G1537" s="236"/>
      <c r="H1537" s="236">
        <f>Tabla1321124[[#This Row],[CUARTO TRIMESTRE]]+Tabla1321124[[#This Row],[TERCER TRIMESTRE]]+Tabla1321124[[#This Row],[SEGUNDO TRIMESTRE]]+Tabla1321124[[#This Row],[PRIMER TRIMESTRE]]</f>
        <v>7</v>
      </c>
      <c r="I1537" s="17">
        <v>70000</v>
      </c>
      <c r="J1537" s="17">
        <f>+Tabla1321124[[#This Row],[CANTIDAD TOTAL]]*Tabla1321124[[#This Row],[PRECIO UNITARIO ESTIMADO]]</f>
        <v>490000</v>
      </c>
      <c r="K1537" s="17"/>
      <c r="L1537" s="16" t="s">
        <v>18</v>
      </c>
      <c r="M1537" s="16" t="s">
        <v>22</v>
      </c>
      <c r="N1537" s="16" t="s">
        <v>418</v>
      </c>
      <c r="O1537" s="243"/>
      <c r="P1537" s="243"/>
      <c r="Q1537" s="243"/>
      <c r="R1537" s="243"/>
      <c r="S1537" s="243"/>
      <c r="T1537" s="243"/>
      <c r="U1537" s="243"/>
      <c r="V1537" s="243"/>
      <c r="W1537" s="243"/>
      <c r="X1537" s="243"/>
      <c r="Y1537" s="243"/>
      <c r="Z1537" s="243"/>
      <c r="AA1537" s="243"/>
      <c r="AB1537" s="243"/>
      <c r="AC1537" s="243"/>
      <c r="AD1537" s="243"/>
      <c r="AE1537" s="243"/>
      <c r="AF1537" s="243"/>
      <c r="AG1537" s="243"/>
      <c r="AH1537" s="243"/>
      <c r="AI1537" s="243"/>
      <c r="AJ1537" s="243"/>
      <c r="AK1537" s="243"/>
      <c r="AL1537" s="243"/>
      <c r="AM1537" s="243"/>
      <c r="AN1537" s="243"/>
      <c r="AO1537" s="243"/>
      <c r="AP1537" s="243"/>
      <c r="AQ1537" s="243"/>
      <c r="AR1537" s="243"/>
      <c r="AS1537" s="243"/>
      <c r="AT1537" s="243"/>
      <c r="AU1537" s="243"/>
      <c r="AV1537" s="243"/>
      <c r="AW1537" s="243"/>
      <c r="AX1537" s="243"/>
      <c r="AY1537" s="243"/>
      <c r="AZ1537" s="243"/>
      <c r="BA1537" s="243"/>
      <c r="BB1537" s="243"/>
      <c r="BC1537" s="243"/>
      <c r="BD1537" s="243"/>
      <c r="BE1537" s="243"/>
      <c r="BF1537" s="243"/>
      <c r="BG1537" s="243"/>
      <c r="BH1537" s="243"/>
      <c r="BI1537" s="243"/>
      <c r="BJ1537" s="243"/>
      <c r="BK1537" s="243"/>
      <c r="BL1537" s="243"/>
      <c r="BM1537" s="243"/>
      <c r="BN1537" s="243"/>
      <c r="BO1537" s="243"/>
      <c r="BP1537" s="243"/>
      <c r="BQ1537" s="243"/>
      <c r="BR1537" s="243"/>
      <c r="BS1537" s="243"/>
    </row>
    <row r="1538" spans="1:71" s="12" customFormat="1" ht="41.25" customHeight="1">
      <c r="A1538" s="178" t="s">
        <v>99</v>
      </c>
      <c r="B1538" s="75" t="str">
        <f ca="1">+UPPER(Tabla1321124[[#This Row],[DESCRIPCIÓN DE LA COMPRA O CONTRATACIÓN]])</f>
        <v>SONDA DE OXIGENO DISUELTO, LUMINISCENT-HQ40D LDO101-01, CON CERTIFICADO DE CALIBRACION INCLUIDO</v>
      </c>
      <c r="C1538" s="39" t="s">
        <v>1067</v>
      </c>
      <c r="D1538" s="236">
        <f>1+1</f>
        <v>2</v>
      </c>
      <c r="E1538" s="236"/>
      <c r="F1538" s="236"/>
      <c r="G1538" s="236"/>
      <c r="H1538" s="236">
        <f>Tabla1321124[[#This Row],[CUARTO TRIMESTRE]]+Tabla1321124[[#This Row],[TERCER TRIMESTRE]]+Tabla1321124[[#This Row],[SEGUNDO TRIMESTRE]]+Tabla1321124[[#This Row],[PRIMER TRIMESTRE]]</f>
        <v>2</v>
      </c>
      <c r="I1538" s="17">
        <v>20000</v>
      </c>
      <c r="J1538" s="17">
        <f>+Tabla1321124[[#This Row],[CANTIDAD TOTAL]]*Tabla1321124[[#This Row],[PRECIO UNITARIO ESTIMADO]]</f>
        <v>40000</v>
      </c>
      <c r="K1538" s="17"/>
      <c r="L1538" s="16" t="s">
        <v>18</v>
      </c>
      <c r="M1538" s="16" t="s">
        <v>22</v>
      </c>
      <c r="N1538" s="16" t="s">
        <v>418</v>
      </c>
      <c r="O1538" s="243"/>
      <c r="P1538" s="243"/>
      <c r="Q1538" s="243"/>
      <c r="R1538" s="243"/>
      <c r="S1538" s="243"/>
      <c r="T1538" s="243"/>
      <c r="U1538" s="243"/>
      <c r="V1538" s="243"/>
      <c r="W1538" s="243"/>
      <c r="X1538" s="243"/>
      <c r="Y1538" s="243"/>
      <c r="Z1538" s="243"/>
      <c r="AA1538" s="243"/>
      <c r="AB1538" s="243"/>
      <c r="AC1538" s="243"/>
      <c r="AD1538" s="243"/>
      <c r="AE1538" s="243"/>
      <c r="AF1538" s="243"/>
      <c r="AG1538" s="243"/>
      <c r="AH1538" s="243"/>
      <c r="AI1538" s="243"/>
      <c r="AJ1538" s="243"/>
      <c r="AK1538" s="243"/>
      <c r="AL1538" s="243"/>
      <c r="AM1538" s="243"/>
      <c r="AN1538" s="243"/>
      <c r="AO1538" s="243"/>
      <c r="AP1538" s="243"/>
      <c r="AQ1538" s="243"/>
      <c r="AR1538" s="243"/>
      <c r="AS1538" s="243"/>
      <c r="AT1538" s="243"/>
      <c r="AU1538" s="243"/>
      <c r="AV1538" s="243"/>
      <c r="AW1538" s="243"/>
      <c r="AX1538" s="243"/>
      <c r="AY1538" s="243"/>
      <c r="AZ1538" s="243"/>
      <c r="BA1538" s="243"/>
      <c r="BB1538" s="243"/>
      <c r="BC1538" s="243"/>
      <c r="BD1538" s="243"/>
      <c r="BE1538" s="243"/>
      <c r="BF1538" s="243"/>
      <c r="BG1538" s="243"/>
      <c r="BH1538" s="243"/>
      <c r="BI1538" s="243"/>
      <c r="BJ1538" s="243"/>
      <c r="BK1538" s="243"/>
      <c r="BL1538" s="243"/>
      <c r="BM1538" s="243"/>
      <c r="BN1538" s="243"/>
      <c r="BO1538" s="243"/>
      <c r="BP1538" s="243"/>
      <c r="BQ1538" s="243"/>
      <c r="BR1538" s="243"/>
      <c r="BS1538" s="243"/>
    </row>
    <row r="1539" spans="1:71" s="12" customFormat="1" ht="41.25" customHeight="1">
      <c r="A1539" s="178" t="s">
        <v>99</v>
      </c>
      <c r="B1539" s="75" t="str">
        <f ca="1">+UPPER(Tabla1321124[[#This Row],[DESCRIPCIÓN DE LA COMPRA O CONTRATACIÓN]])</f>
        <v xml:space="preserve">MARCADORES PUNTA FINA </v>
      </c>
      <c r="C1539" s="39" t="s">
        <v>1067</v>
      </c>
      <c r="D1539" s="236">
        <f>10+10</f>
        <v>20</v>
      </c>
      <c r="E1539" s="236"/>
      <c r="F1539" s="236">
        <v>10</v>
      </c>
      <c r="G1539" s="236">
        <f>10</f>
        <v>10</v>
      </c>
      <c r="H1539" s="236">
        <f>Tabla1321124[[#This Row],[CUARTO TRIMESTRE]]+Tabla1321124[[#This Row],[TERCER TRIMESTRE]]+Tabla1321124[[#This Row],[SEGUNDO TRIMESTRE]]+Tabla1321124[[#This Row],[PRIMER TRIMESTRE]]</f>
        <v>40</v>
      </c>
      <c r="I1539" s="17">
        <v>70</v>
      </c>
      <c r="J1539" s="17">
        <f>+Tabla1321124[[#This Row],[CANTIDAD TOTAL]]*Tabla1321124[[#This Row],[PRECIO UNITARIO ESTIMADO]]</f>
        <v>2800</v>
      </c>
      <c r="K1539" s="17"/>
      <c r="L1539" s="16" t="s">
        <v>18</v>
      </c>
      <c r="M1539" s="16" t="s">
        <v>22</v>
      </c>
      <c r="N1539" s="16" t="s">
        <v>418</v>
      </c>
      <c r="O1539" s="243"/>
      <c r="P1539" s="243"/>
      <c r="Q1539" s="243"/>
      <c r="R1539" s="243"/>
      <c r="S1539" s="243"/>
      <c r="T1539" s="243"/>
      <c r="U1539" s="243"/>
      <c r="V1539" s="243"/>
      <c r="W1539" s="243"/>
      <c r="X1539" s="243"/>
      <c r="Y1539" s="243"/>
      <c r="Z1539" s="243"/>
      <c r="AA1539" s="243"/>
      <c r="AB1539" s="243"/>
      <c r="AC1539" s="243"/>
      <c r="AD1539" s="243"/>
      <c r="AE1539" s="243"/>
      <c r="AF1539" s="243"/>
      <c r="AG1539" s="243"/>
      <c r="AH1539" s="243"/>
      <c r="AI1539" s="243"/>
      <c r="AJ1539" s="243"/>
      <c r="AK1539" s="243"/>
      <c r="AL1539" s="243"/>
      <c r="AM1539" s="243"/>
      <c r="AN1539" s="243"/>
      <c r="AO1539" s="243"/>
      <c r="AP1539" s="243"/>
      <c r="AQ1539" s="243"/>
      <c r="AR1539" s="243"/>
      <c r="AS1539" s="243"/>
      <c r="AT1539" s="243"/>
      <c r="AU1539" s="243"/>
      <c r="AV1539" s="243"/>
      <c r="AW1539" s="243"/>
      <c r="AX1539" s="243"/>
      <c r="AY1539" s="243"/>
      <c r="AZ1539" s="243"/>
      <c r="BA1539" s="243"/>
      <c r="BB1539" s="243"/>
      <c r="BC1539" s="243"/>
      <c r="BD1539" s="243"/>
      <c r="BE1539" s="243"/>
      <c r="BF1539" s="243"/>
      <c r="BG1539" s="243"/>
      <c r="BH1539" s="243"/>
      <c r="BI1539" s="243"/>
      <c r="BJ1539" s="243"/>
      <c r="BK1539" s="243"/>
      <c r="BL1539" s="243"/>
      <c r="BM1539" s="243"/>
      <c r="BN1539" s="243"/>
      <c r="BO1539" s="243"/>
      <c r="BP1539" s="243"/>
      <c r="BQ1539" s="243"/>
      <c r="BR1539" s="243"/>
      <c r="BS1539" s="243"/>
    </row>
    <row r="1540" spans="1:71" s="12" customFormat="1" ht="41.25" customHeight="1">
      <c r="A1540" s="178" t="s">
        <v>99</v>
      </c>
      <c r="B1540" s="75" t="str">
        <f ca="1">+UPPER(Tabla1321124[[#This Row],[DESCRIPCIÓN DE LA COMPRA O CONTRATACIÓN]])</f>
        <v>EQUIPO HQ40D MULTIPARAMETRO PORTABLE METERS</v>
      </c>
      <c r="C1540" s="39" t="s">
        <v>1067</v>
      </c>
      <c r="D1540" s="236">
        <v>1</v>
      </c>
      <c r="E1540" s="236"/>
      <c r="F1540" s="236"/>
      <c r="G1540" s="236"/>
      <c r="H1540" s="236">
        <f>Tabla1321124[[#This Row],[CUARTO TRIMESTRE]]+Tabla1321124[[#This Row],[TERCER TRIMESTRE]]+Tabla1321124[[#This Row],[SEGUNDO TRIMESTRE]]+Tabla1321124[[#This Row],[PRIMER TRIMESTRE]]</f>
        <v>1</v>
      </c>
      <c r="I1540" s="17">
        <v>40000</v>
      </c>
      <c r="J1540" s="17">
        <f>+Tabla1321124[[#This Row],[CANTIDAD TOTAL]]*Tabla1321124[[#This Row],[PRECIO UNITARIO ESTIMADO]]</f>
        <v>40000</v>
      </c>
      <c r="K1540" s="17"/>
      <c r="L1540" s="16" t="s">
        <v>18</v>
      </c>
      <c r="M1540" s="16" t="s">
        <v>22</v>
      </c>
      <c r="N1540" s="16" t="s">
        <v>418</v>
      </c>
      <c r="O1540" s="243"/>
      <c r="P1540" s="243"/>
      <c r="Q1540" s="243"/>
      <c r="R1540" s="243"/>
      <c r="S1540" s="243"/>
      <c r="T1540" s="243"/>
      <c r="U1540" s="243"/>
      <c r="V1540" s="243"/>
      <c r="W1540" s="243"/>
      <c r="X1540" s="243"/>
      <c r="Y1540" s="243"/>
      <c r="Z1540" s="243"/>
      <c r="AA1540" s="243"/>
      <c r="AB1540" s="243"/>
      <c r="AC1540" s="243"/>
      <c r="AD1540" s="243"/>
      <c r="AE1540" s="243"/>
      <c r="AF1540" s="243"/>
      <c r="AG1540" s="243"/>
      <c r="AH1540" s="243"/>
      <c r="AI1540" s="243"/>
      <c r="AJ1540" s="243"/>
      <c r="AK1540" s="243"/>
      <c r="AL1540" s="243"/>
      <c r="AM1540" s="243"/>
      <c r="AN1540" s="243"/>
      <c r="AO1540" s="243"/>
      <c r="AP1540" s="243"/>
      <c r="AQ1540" s="243"/>
      <c r="AR1540" s="243"/>
      <c r="AS1540" s="243"/>
      <c r="AT1540" s="243"/>
      <c r="AU1540" s="243"/>
      <c r="AV1540" s="243"/>
      <c r="AW1540" s="243"/>
      <c r="AX1540" s="243"/>
      <c r="AY1540" s="243"/>
      <c r="AZ1540" s="243"/>
      <c r="BA1540" s="243"/>
      <c r="BB1540" s="243"/>
      <c r="BC1540" s="243"/>
      <c r="BD1540" s="243"/>
      <c r="BE1540" s="243"/>
      <c r="BF1540" s="243"/>
      <c r="BG1540" s="243"/>
      <c r="BH1540" s="243"/>
      <c r="BI1540" s="243"/>
      <c r="BJ1540" s="243"/>
      <c r="BK1540" s="243"/>
      <c r="BL1540" s="243"/>
      <c r="BM1540" s="243"/>
      <c r="BN1540" s="243"/>
      <c r="BO1540" s="243"/>
      <c r="BP1540" s="243"/>
      <c r="BQ1540" s="243"/>
      <c r="BR1540" s="243"/>
      <c r="BS1540" s="243"/>
    </row>
    <row r="1541" spans="1:71" s="12" customFormat="1" ht="41.25" customHeight="1">
      <c r="A1541" s="178" t="s">
        <v>99</v>
      </c>
      <c r="B1541" s="75" t="str">
        <f ca="1">+UPPER(Tabla1321124[[#This Row],[DESCRIPCIÓN DE LA COMPRA O CONTRATACIÓN]])</f>
        <v>CARTUCHOS PARA DESIONIZADOR</v>
      </c>
      <c r="C1541" s="39" t="s">
        <v>1067</v>
      </c>
      <c r="D1541" s="236"/>
      <c r="E1541" s="236"/>
      <c r="F1541" s="236"/>
      <c r="G1541" s="236">
        <v>4</v>
      </c>
      <c r="H1541" s="236">
        <f>Tabla1321124[[#This Row],[CUARTO TRIMESTRE]]+Tabla1321124[[#This Row],[TERCER TRIMESTRE]]+Tabla1321124[[#This Row],[SEGUNDO TRIMESTRE]]+Tabla1321124[[#This Row],[PRIMER TRIMESTRE]]</f>
        <v>4</v>
      </c>
      <c r="I1541" s="17">
        <v>10000</v>
      </c>
      <c r="J1541" s="17">
        <f>+Tabla1321124[[#This Row],[CANTIDAD TOTAL]]*Tabla1321124[[#This Row],[PRECIO UNITARIO ESTIMADO]]</f>
        <v>40000</v>
      </c>
      <c r="K1541" s="17"/>
      <c r="L1541" s="16" t="s">
        <v>18</v>
      </c>
      <c r="M1541" s="16" t="s">
        <v>22</v>
      </c>
      <c r="N1541" s="16" t="s">
        <v>418</v>
      </c>
      <c r="O1541" s="243"/>
      <c r="P1541" s="243"/>
      <c r="Q1541" s="243"/>
      <c r="R1541" s="243"/>
      <c r="S1541" s="243"/>
      <c r="T1541" s="243"/>
      <c r="U1541" s="243"/>
      <c r="V1541" s="243"/>
      <c r="W1541" s="243"/>
      <c r="X1541" s="243"/>
      <c r="Y1541" s="243"/>
      <c r="Z1541" s="243"/>
      <c r="AA1541" s="243"/>
      <c r="AB1541" s="243"/>
      <c r="AC1541" s="243"/>
      <c r="AD1541" s="243"/>
      <c r="AE1541" s="243"/>
      <c r="AF1541" s="243"/>
      <c r="AG1541" s="243"/>
      <c r="AH1541" s="243"/>
      <c r="AI1541" s="243"/>
      <c r="AJ1541" s="243"/>
      <c r="AK1541" s="243"/>
      <c r="AL1541" s="243"/>
      <c r="AM1541" s="243"/>
      <c r="AN1541" s="243"/>
      <c r="AO1541" s="243"/>
      <c r="AP1541" s="243"/>
      <c r="AQ1541" s="243"/>
      <c r="AR1541" s="243"/>
      <c r="AS1541" s="243"/>
      <c r="AT1541" s="243"/>
      <c r="AU1541" s="243"/>
      <c r="AV1541" s="243"/>
      <c r="AW1541" s="243"/>
      <c r="AX1541" s="243"/>
      <c r="AY1541" s="243"/>
      <c r="AZ1541" s="243"/>
      <c r="BA1541" s="243"/>
      <c r="BB1541" s="243"/>
      <c r="BC1541" s="243"/>
      <c r="BD1541" s="243"/>
      <c r="BE1541" s="243"/>
      <c r="BF1541" s="243"/>
      <c r="BG1541" s="243"/>
      <c r="BH1541" s="243"/>
      <c r="BI1541" s="243"/>
      <c r="BJ1541" s="243"/>
      <c r="BK1541" s="243"/>
      <c r="BL1541" s="243"/>
      <c r="BM1541" s="243"/>
      <c r="BN1541" s="243"/>
      <c r="BO1541" s="243"/>
      <c r="BP1541" s="243"/>
      <c r="BQ1541" s="243"/>
      <c r="BR1541" s="243"/>
      <c r="BS1541" s="243"/>
    </row>
    <row r="1542" spans="1:71" s="12" customFormat="1" ht="41.25" customHeight="1">
      <c r="A1542" s="178" t="s">
        <v>99</v>
      </c>
      <c r="B1542" s="75" t="str">
        <f ca="1">+UPPER(Tabla1321124[[#This Row],[DESCRIPCIÓN DE LA COMPRA O CONTRATACIÓN]])</f>
        <v>PEACHIMETRO DE MESA, DIGITAL CON ELECTRODO, COMPENSACION AUTOMATICA DE TEMPERATURA, 115V, CERTIFICADO DE CALIBRACION INCLUIDO</v>
      </c>
      <c r="C1542" s="39" t="s">
        <v>1067</v>
      </c>
      <c r="D1542" s="236">
        <v>1</v>
      </c>
      <c r="E1542" s="236"/>
      <c r="F1542" s="236"/>
      <c r="G1542" s="236"/>
      <c r="H1542" s="236">
        <f>Tabla1321124[[#This Row],[CUARTO TRIMESTRE]]+Tabla1321124[[#This Row],[TERCER TRIMESTRE]]+Tabla1321124[[#This Row],[SEGUNDO TRIMESTRE]]+Tabla1321124[[#This Row],[PRIMER TRIMESTRE]]</f>
        <v>1</v>
      </c>
      <c r="I1542" s="17">
        <v>70000</v>
      </c>
      <c r="J1542" s="17">
        <f>+Tabla1321124[[#This Row],[CANTIDAD TOTAL]]*Tabla1321124[[#This Row],[PRECIO UNITARIO ESTIMADO]]</f>
        <v>70000</v>
      </c>
      <c r="K1542" s="17"/>
      <c r="L1542" s="16" t="s">
        <v>18</v>
      </c>
      <c r="M1542" s="16" t="s">
        <v>22</v>
      </c>
      <c r="N1542" s="16" t="s">
        <v>418</v>
      </c>
      <c r="O1542" s="243"/>
      <c r="P1542" s="243"/>
      <c r="Q1542" s="243"/>
      <c r="R1542" s="243"/>
      <c r="S1542" s="243"/>
      <c r="T1542" s="243"/>
      <c r="U1542" s="243"/>
      <c r="V1542" s="243"/>
      <c r="W1542" s="243"/>
      <c r="X1542" s="243"/>
      <c r="Y1542" s="243"/>
      <c r="Z1542" s="243"/>
      <c r="AA1542" s="243"/>
      <c r="AB1542" s="243"/>
      <c r="AC1542" s="243"/>
      <c r="AD1542" s="243"/>
      <c r="AE1542" s="243"/>
      <c r="AF1542" s="243"/>
      <c r="AG1542" s="243"/>
      <c r="AH1542" s="243"/>
      <c r="AI1542" s="243"/>
      <c r="AJ1542" s="243"/>
      <c r="AK1542" s="243"/>
      <c r="AL1542" s="243"/>
      <c r="AM1542" s="243"/>
      <c r="AN1542" s="243"/>
      <c r="AO1542" s="243"/>
      <c r="AP1542" s="243"/>
      <c r="AQ1542" s="243"/>
      <c r="AR1542" s="243"/>
      <c r="AS1542" s="243"/>
      <c r="AT1542" s="243"/>
      <c r="AU1542" s="243"/>
      <c r="AV1542" s="243"/>
      <c r="AW1542" s="243"/>
      <c r="AX1542" s="243"/>
      <c r="AY1542" s="243"/>
      <c r="AZ1542" s="243"/>
      <c r="BA1542" s="243"/>
      <c r="BB1542" s="243"/>
      <c r="BC1542" s="243"/>
      <c r="BD1542" s="243"/>
      <c r="BE1542" s="243"/>
      <c r="BF1542" s="243"/>
      <c r="BG1542" s="243"/>
      <c r="BH1542" s="243"/>
      <c r="BI1542" s="243"/>
      <c r="BJ1542" s="243"/>
      <c r="BK1542" s="243"/>
      <c r="BL1542" s="243"/>
      <c r="BM1542" s="243"/>
      <c r="BN1542" s="243"/>
      <c r="BO1542" s="243"/>
      <c r="BP1542" s="243"/>
      <c r="BQ1542" s="243"/>
      <c r="BR1542" s="243"/>
      <c r="BS1542" s="243"/>
    </row>
    <row r="1543" spans="1:71" s="12" customFormat="1" ht="48.75" customHeight="1">
      <c r="A1543" s="178" t="s">
        <v>99</v>
      </c>
      <c r="B1543" s="75" t="str">
        <f ca="1">+UPPER(Tabla1321124[[#This Row],[DESCRIPCIÓN DE LA COMPRA O CONTRATACIÓN]])</f>
        <v>PILAS CONGELADOR PARA PRESERVACION DE TEMPERATURA</v>
      </c>
      <c r="C1543" s="39" t="s">
        <v>1067</v>
      </c>
      <c r="D1543" s="236">
        <v>20</v>
      </c>
      <c r="E1543" s="236"/>
      <c r="F1543" s="236"/>
      <c r="G1543" s="236"/>
      <c r="H1543" s="236">
        <f>Tabla1321124[[#This Row],[CUARTO TRIMESTRE]]+Tabla1321124[[#This Row],[TERCER TRIMESTRE]]+Tabla1321124[[#This Row],[SEGUNDO TRIMESTRE]]+Tabla1321124[[#This Row],[PRIMER TRIMESTRE]]</f>
        <v>20</v>
      </c>
      <c r="I1543" s="17">
        <v>1000</v>
      </c>
      <c r="J1543" s="17">
        <f>+Tabla1321124[[#This Row],[CANTIDAD TOTAL]]*Tabla1321124[[#This Row],[PRECIO UNITARIO ESTIMADO]]</f>
        <v>20000</v>
      </c>
      <c r="K1543" s="17"/>
      <c r="L1543" s="16" t="s">
        <v>18</v>
      </c>
      <c r="M1543" s="16" t="s">
        <v>22</v>
      </c>
      <c r="N1543" s="16" t="s">
        <v>418</v>
      </c>
      <c r="O1543" s="243"/>
      <c r="P1543" s="243"/>
      <c r="Q1543" s="243"/>
      <c r="R1543" s="243"/>
      <c r="S1543" s="243"/>
      <c r="T1543" s="243"/>
      <c r="U1543" s="243"/>
      <c r="V1543" s="243"/>
      <c r="W1543" s="243"/>
      <c r="X1543" s="243"/>
      <c r="Y1543" s="243"/>
      <c r="Z1543" s="243"/>
      <c r="AA1543" s="243"/>
      <c r="AB1543" s="243"/>
      <c r="AC1543" s="243"/>
      <c r="AD1543" s="243"/>
      <c r="AE1543" s="243"/>
      <c r="AF1543" s="243"/>
      <c r="AG1543" s="243"/>
      <c r="AH1543" s="243"/>
      <c r="AI1543" s="243"/>
      <c r="AJ1543" s="243"/>
      <c r="AK1543" s="243"/>
      <c r="AL1543" s="243"/>
      <c r="AM1543" s="243"/>
      <c r="AN1543" s="243"/>
      <c r="AO1543" s="243"/>
      <c r="AP1543" s="243"/>
      <c r="AQ1543" s="243"/>
      <c r="AR1543" s="243"/>
      <c r="AS1543" s="243"/>
      <c r="AT1543" s="243"/>
      <c r="AU1543" s="243"/>
      <c r="AV1543" s="243"/>
      <c r="AW1543" s="243"/>
      <c r="AX1543" s="243"/>
      <c r="AY1543" s="243"/>
      <c r="AZ1543" s="243"/>
      <c r="BA1543" s="243"/>
      <c r="BB1543" s="243"/>
      <c r="BC1543" s="243"/>
      <c r="BD1543" s="243"/>
      <c r="BE1543" s="243"/>
      <c r="BF1543" s="243"/>
      <c r="BG1543" s="243"/>
      <c r="BH1543" s="243"/>
      <c r="BI1543" s="243"/>
      <c r="BJ1543" s="243"/>
      <c r="BK1543" s="243"/>
      <c r="BL1543" s="243"/>
      <c r="BM1543" s="243"/>
      <c r="BN1543" s="243"/>
      <c r="BO1543" s="243"/>
      <c r="BP1543" s="243"/>
      <c r="BQ1543" s="243"/>
      <c r="BR1543" s="243"/>
      <c r="BS1543" s="243"/>
    </row>
    <row r="1544" spans="1:71" s="12" customFormat="1" ht="85.5" customHeight="1">
      <c r="A1544" s="178" t="s">
        <v>99</v>
      </c>
      <c r="B1544" s="75" t="str">
        <f ca="1">+UPPER(Tabla1321124[[#This Row],[DESCRIPCIÓN DE LA COMPRA O CONTRATACIÓN]])</f>
        <v>SOPORTE PARA ELECTRODOS, CON BRAZOS DE MULTIPLES POSICIONES</v>
      </c>
      <c r="C1544" s="39" t="s">
        <v>1067</v>
      </c>
      <c r="D1544" s="236">
        <f>1+1</f>
        <v>2</v>
      </c>
      <c r="E1544" s="236"/>
      <c r="F1544" s="236">
        <v>1</v>
      </c>
      <c r="G1544" s="236"/>
      <c r="H1544" s="236">
        <f>Tabla1321124[[#This Row],[CUARTO TRIMESTRE]]+Tabla1321124[[#This Row],[TERCER TRIMESTRE]]+Tabla1321124[[#This Row],[SEGUNDO TRIMESTRE]]+Tabla1321124[[#This Row],[PRIMER TRIMESTRE]]</f>
        <v>3</v>
      </c>
      <c r="I1544" s="17">
        <v>10000</v>
      </c>
      <c r="J1544" s="17">
        <f>+Tabla1321124[[#This Row],[CANTIDAD TOTAL]]*Tabla1321124[[#This Row],[PRECIO UNITARIO ESTIMADO]]</f>
        <v>30000</v>
      </c>
      <c r="K1544" s="17"/>
      <c r="L1544" s="16" t="s">
        <v>18</v>
      </c>
      <c r="M1544" s="16" t="s">
        <v>22</v>
      </c>
      <c r="N1544" s="16" t="s">
        <v>418</v>
      </c>
      <c r="O1544" s="243"/>
      <c r="P1544" s="243"/>
      <c r="Q1544" s="243"/>
      <c r="R1544" s="243"/>
      <c r="S1544" s="243"/>
      <c r="T1544" s="243"/>
      <c r="U1544" s="243"/>
      <c r="V1544" s="243"/>
      <c r="W1544" s="243"/>
      <c r="X1544" s="243"/>
      <c r="Y1544" s="243"/>
      <c r="Z1544" s="243"/>
      <c r="AA1544" s="243"/>
      <c r="AB1544" s="243"/>
      <c r="AC1544" s="243"/>
      <c r="AD1544" s="243"/>
      <c r="AE1544" s="243"/>
      <c r="AF1544" s="243"/>
      <c r="AG1544" s="243"/>
      <c r="AH1544" s="243"/>
      <c r="AI1544" s="243"/>
      <c r="AJ1544" s="243"/>
      <c r="AK1544" s="243"/>
      <c r="AL1544" s="243"/>
      <c r="AM1544" s="243"/>
      <c r="AN1544" s="243"/>
      <c r="AO1544" s="243"/>
      <c r="AP1544" s="243"/>
      <c r="AQ1544" s="243"/>
      <c r="AR1544" s="243"/>
      <c r="AS1544" s="243"/>
      <c r="AT1544" s="243"/>
      <c r="AU1544" s="243"/>
      <c r="AV1544" s="243"/>
      <c r="AW1544" s="243"/>
      <c r="AX1544" s="243"/>
      <c r="AY1544" s="243"/>
      <c r="AZ1544" s="243"/>
      <c r="BA1544" s="243"/>
      <c r="BB1544" s="243"/>
      <c r="BC1544" s="243"/>
      <c r="BD1544" s="243"/>
      <c r="BE1544" s="243"/>
      <c r="BF1544" s="243"/>
      <c r="BG1544" s="243"/>
      <c r="BH1544" s="243"/>
      <c r="BI1544" s="243"/>
      <c r="BJ1544" s="243"/>
      <c r="BK1544" s="243"/>
      <c r="BL1544" s="243"/>
      <c r="BM1544" s="243"/>
      <c r="BN1544" s="243"/>
      <c r="BO1544" s="243"/>
      <c r="BP1544" s="243"/>
      <c r="BQ1544" s="243"/>
      <c r="BR1544" s="243"/>
      <c r="BS1544" s="243"/>
    </row>
    <row r="1545" spans="1:71" s="12" customFormat="1" ht="41.25" customHeight="1">
      <c r="A1545" s="178" t="s">
        <v>99</v>
      </c>
      <c r="B1545" s="75" t="str">
        <f ca="1">+UPPER(Tabla1321124[[#This Row],[DESCRIPCIÓN DE LA COMPRA O CONTRATACIÓN]])</f>
        <v>ABLANDADOR DE AGUA CON CAPACIDAD DE 07-10 GPH, VALVULA DE ENTRADA TY SALIDA DE 1.0", TIPO DE VALVULAS 5600-A; VOLUMEN DE RESINA 1.0 PIES CUBICO, DENSIDAD DE LA RESINA 51 LIBS/PIES CUBICOS; DIMENSIONES 9" X 48", ESTRUCTURA FIBERGLASS CALIDAD UNO (1)</v>
      </c>
      <c r="C1545" s="39" t="s">
        <v>1067</v>
      </c>
      <c r="D1545" s="236">
        <v>1</v>
      </c>
      <c r="E1545" s="236"/>
      <c r="F1545" s="236"/>
      <c r="G1545" s="236"/>
      <c r="H1545" s="236">
        <f>Tabla1321124[[#This Row],[CUARTO TRIMESTRE]]+Tabla1321124[[#This Row],[TERCER TRIMESTRE]]+Tabla1321124[[#This Row],[SEGUNDO TRIMESTRE]]+Tabla1321124[[#This Row],[PRIMER TRIMESTRE]]</f>
        <v>1</v>
      </c>
      <c r="I1545" s="17">
        <v>60000</v>
      </c>
      <c r="J1545" s="17">
        <f>+Tabla1321124[[#This Row],[CANTIDAD TOTAL]]*Tabla1321124[[#This Row],[PRECIO UNITARIO ESTIMADO]]</f>
        <v>60000</v>
      </c>
      <c r="K1545" s="17"/>
      <c r="L1545" s="16" t="s">
        <v>18</v>
      </c>
      <c r="M1545" s="16" t="s">
        <v>22</v>
      </c>
      <c r="N1545" s="16" t="s">
        <v>418</v>
      </c>
      <c r="O1545" s="243"/>
      <c r="P1545" s="243"/>
      <c r="Q1545" s="243"/>
      <c r="R1545" s="243"/>
      <c r="S1545" s="243"/>
      <c r="T1545" s="243"/>
      <c r="U1545" s="243"/>
      <c r="V1545" s="243"/>
      <c r="W1545" s="243"/>
      <c r="X1545" s="243"/>
      <c r="Y1545" s="243"/>
      <c r="Z1545" s="243"/>
      <c r="AA1545" s="243"/>
      <c r="AB1545" s="243"/>
      <c r="AC1545" s="243"/>
      <c r="AD1545" s="243"/>
      <c r="AE1545" s="243"/>
      <c r="AF1545" s="243"/>
      <c r="AG1545" s="243"/>
      <c r="AH1545" s="243"/>
      <c r="AI1545" s="243"/>
      <c r="AJ1545" s="243"/>
      <c r="AK1545" s="243"/>
      <c r="AL1545" s="243"/>
      <c r="AM1545" s="243"/>
      <c r="AN1545" s="243"/>
      <c r="AO1545" s="243"/>
      <c r="AP1545" s="243"/>
      <c r="AQ1545" s="243"/>
      <c r="AR1545" s="243"/>
      <c r="AS1545" s="243"/>
      <c r="AT1545" s="243"/>
      <c r="AU1545" s="243"/>
      <c r="AV1545" s="243"/>
      <c r="AW1545" s="243"/>
      <c r="AX1545" s="243"/>
      <c r="AY1545" s="243"/>
      <c r="AZ1545" s="243"/>
      <c r="BA1545" s="243"/>
      <c r="BB1545" s="243"/>
      <c r="BC1545" s="243"/>
      <c r="BD1545" s="243"/>
      <c r="BE1545" s="243"/>
      <c r="BF1545" s="243"/>
      <c r="BG1545" s="243"/>
      <c r="BH1545" s="243"/>
      <c r="BI1545" s="243"/>
      <c r="BJ1545" s="243"/>
      <c r="BK1545" s="243"/>
      <c r="BL1545" s="243"/>
      <c r="BM1545" s="243"/>
      <c r="BN1545" s="243"/>
      <c r="BO1545" s="243"/>
      <c r="BP1545" s="243"/>
      <c r="BQ1545" s="243"/>
      <c r="BR1545" s="243"/>
      <c r="BS1545" s="243"/>
    </row>
    <row r="1546" spans="1:71" s="26" customFormat="1" ht="41.25" customHeight="1">
      <c r="A1546" s="178" t="s">
        <v>99</v>
      </c>
      <c r="B1546" s="75" t="str">
        <f ca="1">+UPPER(Tabla1321124[[#This Row],[DESCRIPCIÓN DE LA COMPRA O CONTRATACIÓN]])</f>
        <v>AMPOLLAS BIOINDICADORAS, PARA EL CONTROL DE ESTERILIZACION DEL AUTOCLAVE, CAJA DE 15 AMPOLLAS</v>
      </c>
      <c r="C1546" s="39" t="s">
        <v>718</v>
      </c>
      <c r="D1546" s="236">
        <v>1</v>
      </c>
      <c r="E1546" s="236"/>
      <c r="F1546" s="236"/>
      <c r="G1546" s="236">
        <v>1</v>
      </c>
      <c r="H1546" s="236">
        <f>Tabla1321124[[#This Row],[CUARTO TRIMESTRE]]+Tabla1321124[[#This Row],[TERCER TRIMESTRE]]+Tabla1321124[[#This Row],[SEGUNDO TRIMESTRE]]+Tabla1321124[[#This Row],[PRIMER TRIMESTRE]]</f>
        <v>2</v>
      </c>
      <c r="I1546" s="17">
        <v>4000</v>
      </c>
      <c r="J1546" s="17">
        <f>+Tabla1321124[[#This Row],[CANTIDAD TOTAL]]*Tabla1321124[[#This Row],[PRECIO UNITARIO ESTIMADO]]</f>
        <v>8000</v>
      </c>
      <c r="K1546" s="17"/>
      <c r="L1546" s="16" t="s">
        <v>18</v>
      </c>
      <c r="M1546" s="16" t="s">
        <v>22</v>
      </c>
      <c r="N1546" s="16" t="s">
        <v>418</v>
      </c>
      <c r="O1546" s="243"/>
      <c r="P1546" s="243"/>
      <c r="Q1546" s="243"/>
      <c r="R1546" s="243"/>
      <c r="S1546" s="243"/>
      <c r="T1546" s="243"/>
      <c r="U1546" s="243"/>
      <c r="V1546" s="243"/>
      <c r="W1546" s="243"/>
      <c r="X1546" s="243"/>
      <c r="Y1546" s="243"/>
      <c r="Z1546" s="243"/>
      <c r="AA1546" s="243"/>
      <c r="AB1546" s="243"/>
      <c r="AC1546" s="243"/>
      <c r="AD1546" s="243"/>
      <c r="AE1546" s="243"/>
      <c r="AF1546" s="243"/>
      <c r="AG1546" s="243"/>
      <c r="AH1546" s="243"/>
      <c r="AI1546" s="243"/>
      <c r="AJ1546" s="243"/>
      <c r="AK1546" s="243"/>
      <c r="AL1546" s="243"/>
      <c r="AM1546" s="243"/>
      <c r="AN1546" s="243"/>
      <c r="AO1546" s="243"/>
      <c r="AP1546" s="243"/>
      <c r="AQ1546" s="243"/>
      <c r="AR1546" s="243"/>
      <c r="AS1546" s="243"/>
      <c r="AT1546" s="243"/>
      <c r="AU1546" s="243"/>
      <c r="AV1546" s="243"/>
      <c r="AW1546" s="243"/>
      <c r="AX1546" s="243"/>
      <c r="AY1546" s="243"/>
      <c r="AZ1546" s="243"/>
      <c r="BA1546" s="243"/>
      <c r="BB1546" s="243"/>
      <c r="BC1546" s="243"/>
      <c r="BD1546" s="243"/>
      <c r="BE1546" s="243"/>
      <c r="BF1546" s="243"/>
      <c r="BG1546" s="243"/>
      <c r="BH1546" s="243"/>
      <c r="BI1546" s="243"/>
      <c r="BJ1546" s="243"/>
      <c r="BK1546" s="243"/>
      <c r="BL1546" s="243"/>
      <c r="BM1546" s="243"/>
      <c r="BN1546" s="243"/>
      <c r="BO1546" s="243"/>
      <c r="BP1546" s="243"/>
      <c r="BQ1546" s="243"/>
      <c r="BR1546" s="243"/>
      <c r="BS1546" s="243"/>
    </row>
    <row r="1547" spans="1:71" s="12" customFormat="1" ht="41.25" customHeight="1">
      <c r="A1547" s="178" t="s">
        <v>99</v>
      </c>
      <c r="B1547" s="75" t="str">
        <f ca="1">+UPPER(Tabla1321124[[#This Row],[DESCRIPCIÓN DE LA COMPRA O CONTRATACIÓN]])</f>
        <v>DISCO MICROFIBRA GLASS, GRADO (MGA), DIAMETRO DE 47 MM, CAJA DE 100 UNIDADES</v>
      </c>
      <c r="C1547" s="39" t="s">
        <v>718</v>
      </c>
      <c r="D1547" s="236">
        <v>1</v>
      </c>
      <c r="E1547" s="236"/>
      <c r="F1547" s="236"/>
      <c r="G1547" s="236">
        <f>1+1</f>
        <v>2</v>
      </c>
      <c r="H1547" s="236">
        <f>Tabla1321124[[#This Row],[CUARTO TRIMESTRE]]+Tabla1321124[[#This Row],[TERCER TRIMESTRE]]+Tabla1321124[[#This Row],[SEGUNDO TRIMESTRE]]+Tabla1321124[[#This Row],[PRIMER TRIMESTRE]]</f>
        <v>3</v>
      </c>
      <c r="I1547" s="17">
        <v>3000</v>
      </c>
      <c r="J1547" s="17">
        <f>+Tabla1321124[[#This Row],[CANTIDAD TOTAL]]*Tabla1321124[[#This Row],[PRECIO UNITARIO ESTIMADO]]</f>
        <v>9000</v>
      </c>
      <c r="K1547" s="17"/>
      <c r="L1547" s="16" t="s">
        <v>18</v>
      </c>
      <c r="M1547" s="16" t="s">
        <v>22</v>
      </c>
      <c r="N1547" s="16" t="s">
        <v>418</v>
      </c>
      <c r="O1547" s="243"/>
      <c r="P1547" s="243"/>
      <c r="Q1547" s="243"/>
      <c r="R1547" s="243"/>
      <c r="S1547" s="243"/>
      <c r="T1547" s="243"/>
      <c r="U1547" s="243"/>
      <c r="V1547" s="243"/>
      <c r="W1547" s="243"/>
      <c r="X1547" s="243"/>
      <c r="Y1547" s="243"/>
      <c r="Z1547" s="243"/>
      <c r="AA1547" s="243"/>
      <c r="AB1547" s="243"/>
      <c r="AC1547" s="243"/>
      <c r="AD1547" s="243"/>
      <c r="AE1547" s="243"/>
      <c r="AF1547" s="243"/>
      <c r="AG1547" s="243"/>
      <c r="AH1547" s="243"/>
      <c r="AI1547" s="243"/>
      <c r="AJ1547" s="243"/>
      <c r="AK1547" s="243"/>
      <c r="AL1547" s="243"/>
      <c r="AM1547" s="243"/>
      <c r="AN1547" s="243"/>
      <c r="AO1547" s="243"/>
      <c r="AP1547" s="243"/>
      <c r="AQ1547" s="243"/>
      <c r="AR1547" s="243"/>
      <c r="AS1547" s="243"/>
      <c r="AT1547" s="243"/>
      <c r="AU1547" s="243"/>
      <c r="AV1547" s="243"/>
      <c r="AW1547" s="243"/>
      <c r="AX1547" s="243"/>
      <c r="AY1547" s="243"/>
      <c r="AZ1547" s="243"/>
      <c r="BA1547" s="243"/>
      <c r="BB1547" s="243"/>
      <c r="BC1547" s="243"/>
      <c r="BD1547" s="243"/>
      <c r="BE1547" s="243"/>
      <c r="BF1547" s="243"/>
      <c r="BG1547" s="243"/>
      <c r="BH1547" s="243"/>
      <c r="BI1547" s="243"/>
      <c r="BJ1547" s="243"/>
      <c r="BK1547" s="243"/>
      <c r="BL1547" s="243"/>
      <c r="BM1547" s="243"/>
      <c r="BN1547" s="243"/>
      <c r="BO1547" s="243"/>
      <c r="BP1547" s="243"/>
      <c r="BQ1547" s="243"/>
      <c r="BR1547" s="243"/>
      <c r="BS1547" s="243"/>
    </row>
    <row r="1548" spans="1:71" s="12" customFormat="1" ht="41.25" customHeight="1">
      <c r="A1548" s="178" t="s">
        <v>99</v>
      </c>
      <c r="B1548" s="75" t="str">
        <f ca="1">+UPPER(Tabla1321124[[#This Row],[DESCRIPCIÓN DE LA COMPRA O CONTRATACIÓN]])</f>
        <v>TIRILLAS INDICADORAS PARA ESTERILIZACION BIOLOGICA EN SECO, TAMAÑO ESTANDAR 6 X 30 MM, PAQUETE DE 100</v>
      </c>
      <c r="C1548" s="39" t="s">
        <v>1065</v>
      </c>
      <c r="D1548" s="236">
        <f>1+1</f>
        <v>2</v>
      </c>
      <c r="E1548" s="236"/>
      <c r="F1548" s="236"/>
      <c r="G1548" s="236"/>
      <c r="H1548" s="236">
        <f>Tabla1321124[[#This Row],[CUARTO TRIMESTRE]]+Tabla1321124[[#This Row],[TERCER TRIMESTRE]]+Tabla1321124[[#This Row],[SEGUNDO TRIMESTRE]]+Tabla1321124[[#This Row],[PRIMER TRIMESTRE]]</f>
        <v>2</v>
      </c>
      <c r="I1548" s="17">
        <v>4500</v>
      </c>
      <c r="J1548" s="17">
        <f>+Tabla1321124[[#This Row],[CANTIDAD TOTAL]]*Tabla1321124[[#This Row],[PRECIO UNITARIO ESTIMADO]]</f>
        <v>9000</v>
      </c>
      <c r="K1548" s="17"/>
      <c r="L1548" s="16" t="s">
        <v>18</v>
      </c>
      <c r="M1548" s="16" t="s">
        <v>22</v>
      </c>
      <c r="N1548" s="16" t="s">
        <v>418</v>
      </c>
      <c r="O1548" s="243"/>
      <c r="P1548" s="243"/>
      <c r="Q1548" s="243"/>
      <c r="R1548" s="243"/>
      <c r="S1548" s="243"/>
      <c r="T1548" s="243"/>
      <c r="U1548" s="243"/>
      <c r="V1548" s="243"/>
      <c r="W1548" s="243"/>
      <c r="X1548" s="243"/>
      <c r="Y1548" s="243"/>
      <c r="Z1548" s="243"/>
      <c r="AA1548" s="243"/>
      <c r="AB1548" s="243"/>
      <c r="AC1548" s="243"/>
      <c r="AD1548" s="243"/>
      <c r="AE1548" s="243"/>
      <c r="AF1548" s="243"/>
      <c r="AG1548" s="243"/>
      <c r="AH1548" s="243"/>
      <c r="AI1548" s="243"/>
      <c r="AJ1548" s="243"/>
      <c r="AK1548" s="243"/>
      <c r="AL1548" s="243"/>
      <c r="AM1548" s="243"/>
      <c r="AN1548" s="243"/>
      <c r="AO1548" s="243"/>
      <c r="AP1548" s="243"/>
      <c r="AQ1548" s="243"/>
      <c r="AR1548" s="243"/>
      <c r="AS1548" s="243"/>
      <c r="AT1548" s="243"/>
      <c r="AU1548" s="243"/>
      <c r="AV1548" s="243"/>
      <c r="AW1548" s="243"/>
      <c r="AX1548" s="243"/>
      <c r="AY1548" s="243"/>
      <c r="AZ1548" s="243"/>
      <c r="BA1548" s="243"/>
      <c r="BB1548" s="243"/>
      <c r="BC1548" s="243"/>
      <c r="BD1548" s="243"/>
      <c r="BE1548" s="243"/>
      <c r="BF1548" s="243"/>
      <c r="BG1548" s="243"/>
      <c r="BH1548" s="243"/>
      <c r="BI1548" s="243"/>
      <c r="BJ1548" s="243"/>
      <c r="BK1548" s="243"/>
      <c r="BL1548" s="243"/>
      <c r="BM1548" s="243"/>
      <c r="BN1548" s="243"/>
      <c r="BO1548" s="243"/>
      <c r="BP1548" s="243"/>
      <c r="BQ1548" s="243"/>
      <c r="BR1548" s="243"/>
      <c r="BS1548" s="243"/>
    </row>
    <row r="1549" spans="1:71" s="12" customFormat="1" ht="41.25" customHeight="1">
      <c r="A1549" s="178" t="s">
        <v>99</v>
      </c>
      <c r="B1549" s="75" t="str">
        <f ca="1">+UPPER(Tabla1321124[[#This Row],[DESCRIPCIÓN DE LA COMPRA O CONTRATACIÓN]])</f>
        <v>CINTA INDICADORA PARA AUTOCLAVE</v>
      </c>
      <c r="C1549" s="39" t="s">
        <v>102</v>
      </c>
      <c r="D1549" s="236">
        <f>1+1</f>
        <v>2</v>
      </c>
      <c r="E1549" s="236"/>
      <c r="F1549" s="236"/>
      <c r="G1549" s="236">
        <f>1</f>
        <v>1</v>
      </c>
      <c r="H1549" s="236">
        <f>Tabla1321124[[#This Row],[CUARTO TRIMESTRE]]+Tabla1321124[[#This Row],[TERCER TRIMESTRE]]+Tabla1321124[[#This Row],[SEGUNDO TRIMESTRE]]+Tabla1321124[[#This Row],[PRIMER TRIMESTRE]]</f>
        <v>3</v>
      </c>
      <c r="I1549" s="17">
        <v>1000</v>
      </c>
      <c r="J1549" s="17">
        <f>+Tabla1321124[[#This Row],[CANTIDAD TOTAL]]*Tabla1321124[[#This Row],[PRECIO UNITARIO ESTIMADO]]</f>
        <v>3000</v>
      </c>
      <c r="K1549" s="17"/>
      <c r="L1549" s="16" t="s">
        <v>18</v>
      </c>
      <c r="M1549" s="16" t="s">
        <v>22</v>
      </c>
      <c r="N1549" s="16" t="s">
        <v>418</v>
      </c>
      <c r="O1549" s="243"/>
      <c r="P1549" s="243"/>
      <c r="Q1549" s="243"/>
      <c r="R1549" s="243"/>
      <c r="S1549" s="243"/>
      <c r="T1549" s="243"/>
      <c r="U1549" s="243"/>
      <c r="V1549" s="243"/>
      <c r="W1549" s="243"/>
      <c r="X1549" s="243"/>
      <c r="Y1549" s="243"/>
      <c r="Z1549" s="243"/>
      <c r="AA1549" s="243"/>
      <c r="AB1549" s="243"/>
      <c r="AC1549" s="243"/>
      <c r="AD1549" s="243"/>
      <c r="AE1549" s="243"/>
      <c r="AF1549" s="243"/>
      <c r="AG1549" s="243"/>
      <c r="AH1549" s="243"/>
      <c r="AI1549" s="243"/>
      <c r="AJ1549" s="243"/>
      <c r="AK1549" s="243"/>
      <c r="AL1549" s="243"/>
      <c r="AM1549" s="243"/>
      <c r="AN1549" s="243"/>
      <c r="AO1549" s="243"/>
      <c r="AP1549" s="243"/>
      <c r="AQ1549" s="243"/>
      <c r="AR1549" s="243"/>
      <c r="AS1549" s="243"/>
      <c r="AT1549" s="243"/>
      <c r="AU1549" s="243"/>
      <c r="AV1549" s="243"/>
      <c r="AW1549" s="243"/>
      <c r="AX1549" s="243"/>
      <c r="AY1549" s="243"/>
      <c r="AZ1549" s="243"/>
      <c r="BA1549" s="243"/>
      <c r="BB1549" s="243"/>
      <c r="BC1549" s="243"/>
      <c r="BD1549" s="243"/>
      <c r="BE1549" s="243"/>
      <c r="BF1549" s="243"/>
      <c r="BG1549" s="243"/>
      <c r="BH1549" s="243"/>
      <c r="BI1549" s="243"/>
      <c r="BJ1549" s="243"/>
      <c r="BK1549" s="243"/>
      <c r="BL1549" s="243"/>
      <c r="BM1549" s="243"/>
      <c r="BN1549" s="243"/>
      <c r="BO1549" s="243"/>
      <c r="BP1549" s="243"/>
      <c r="BQ1549" s="243"/>
      <c r="BR1549" s="243"/>
      <c r="BS1549" s="243"/>
    </row>
    <row r="1550" spans="1:71" s="12" customFormat="1" ht="41.25" customHeight="1">
      <c r="A1550" s="178" t="s">
        <v>99</v>
      </c>
      <c r="B1550" s="75" t="str">
        <f ca="1">+UPPER(Tabla1321124[[#This Row],[DESCRIPCIÓN DE LA COMPRA O CONTRATACIÓN]])</f>
        <v xml:space="preserve">CALIBRACION DE EQUIPOS </v>
      </c>
      <c r="C1550" s="39" t="s">
        <v>1067</v>
      </c>
      <c r="D1550" s="236">
        <v>1</v>
      </c>
      <c r="E1550" s="236">
        <v>1</v>
      </c>
      <c r="F1550" s="236">
        <v>1</v>
      </c>
      <c r="G1550" s="236">
        <v>1</v>
      </c>
      <c r="H1550" s="236">
        <f>Tabla1321124[[#This Row],[CUARTO TRIMESTRE]]+Tabla1321124[[#This Row],[TERCER TRIMESTRE]]+Tabla1321124[[#This Row],[SEGUNDO TRIMESTRE]]+Tabla1321124[[#This Row],[PRIMER TRIMESTRE]]</f>
        <v>4</v>
      </c>
      <c r="I1550" s="17">
        <v>184000</v>
      </c>
      <c r="J1550" s="17">
        <f>+Tabla1321124[[#This Row],[CANTIDAD TOTAL]]*Tabla1321124[[#This Row],[PRECIO UNITARIO ESTIMADO]]</f>
        <v>736000</v>
      </c>
      <c r="K1550" s="17"/>
      <c r="L1550" s="16" t="s">
        <v>18</v>
      </c>
      <c r="M1550" s="16" t="s">
        <v>22</v>
      </c>
      <c r="N1550" s="16" t="s">
        <v>418</v>
      </c>
      <c r="O1550" s="243"/>
      <c r="P1550" s="243"/>
      <c r="Q1550" s="243"/>
      <c r="R1550" s="243"/>
      <c r="S1550" s="243"/>
      <c r="T1550" s="243"/>
      <c r="U1550" s="243"/>
      <c r="V1550" s="243"/>
      <c r="W1550" s="243"/>
      <c r="X1550" s="243"/>
      <c r="Y1550" s="243"/>
      <c r="Z1550" s="243"/>
      <c r="AA1550" s="243"/>
      <c r="AB1550" s="243"/>
      <c r="AC1550" s="243"/>
      <c r="AD1550" s="243"/>
      <c r="AE1550" s="243"/>
      <c r="AF1550" s="243"/>
      <c r="AG1550" s="243"/>
      <c r="AH1550" s="243"/>
      <c r="AI1550" s="243"/>
      <c r="AJ1550" s="243"/>
      <c r="AK1550" s="243"/>
      <c r="AL1550" s="243"/>
      <c r="AM1550" s="243"/>
      <c r="AN1550" s="243"/>
      <c r="AO1550" s="243"/>
      <c r="AP1550" s="243"/>
      <c r="AQ1550" s="243"/>
      <c r="AR1550" s="243"/>
      <c r="AS1550" s="243"/>
      <c r="AT1550" s="243"/>
      <c r="AU1550" s="243"/>
      <c r="AV1550" s="243"/>
      <c r="AW1550" s="243"/>
      <c r="AX1550" s="243"/>
      <c r="AY1550" s="243"/>
      <c r="AZ1550" s="243"/>
      <c r="BA1550" s="243"/>
      <c r="BB1550" s="243"/>
      <c r="BC1550" s="243"/>
      <c r="BD1550" s="243"/>
      <c r="BE1550" s="243"/>
      <c r="BF1550" s="243"/>
      <c r="BG1550" s="243"/>
      <c r="BH1550" s="243"/>
      <c r="BI1550" s="243"/>
      <c r="BJ1550" s="243"/>
      <c r="BK1550" s="243"/>
      <c r="BL1550" s="243"/>
      <c r="BM1550" s="243"/>
      <c r="BN1550" s="243"/>
      <c r="BO1550" s="243"/>
      <c r="BP1550" s="243"/>
      <c r="BQ1550" s="243"/>
      <c r="BR1550" s="243"/>
      <c r="BS1550" s="243"/>
    </row>
    <row r="1551" spans="1:71" s="12" customFormat="1" ht="41.25" customHeight="1">
      <c r="A1551" s="178" t="s">
        <v>99</v>
      </c>
      <c r="B1551" s="75" t="str">
        <f ca="1">+UPPER(Tabla1321124[[#This Row],[DESCRIPCIÓN DE LA COMPRA O CONTRATACIÓN]])</f>
        <v>MANTENIMIENTO DE EQUIPOS</v>
      </c>
      <c r="C1551" s="39" t="s">
        <v>1067</v>
      </c>
      <c r="D1551" s="236">
        <v>2</v>
      </c>
      <c r="E1551" s="236">
        <v>4</v>
      </c>
      <c r="F1551" s="236">
        <v>2</v>
      </c>
      <c r="G1551" s="236">
        <v>3</v>
      </c>
      <c r="H1551" s="236">
        <f>Tabla1321124[[#This Row],[CUARTO TRIMESTRE]]+Tabla1321124[[#This Row],[TERCER TRIMESTRE]]+Tabla1321124[[#This Row],[SEGUNDO TRIMESTRE]]+Tabla1321124[[#This Row],[PRIMER TRIMESTRE]]</f>
        <v>11</v>
      </c>
      <c r="I1551" s="17">
        <v>85000</v>
      </c>
      <c r="J1551" s="17">
        <f>+Tabla1321124[[#This Row],[CANTIDAD TOTAL]]*Tabla1321124[[#This Row],[PRECIO UNITARIO ESTIMADO]]</f>
        <v>935000</v>
      </c>
      <c r="K1551" s="17"/>
      <c r="L1551" s="16" t="s">
        <v>18</v>
      </c>
      <c r="M1551" s="16" t="s">
        <v>22</v>
      </c>
      <c r="N1551" s="16" t="s">
        <v>418</v>
      </c>
      <c r="O1551" s="243"/>
      <c r="P1551" s="243"/>
      <c r="Q1551" s="243"/>
      <c r="R1551" s="243"/>
      <c r="S1551" s="243"/>
      <c r="T1551" s="243"/>
      <c r="U1551" s="243"/>
      <c r="V1551" s="243"/>
      <c r="W1551" s="243"/>
      <c r="X1551" s="243"/>
      <c r="Y1551" s="243"/>
      <c r="Z1551" s="243"/>
      <c r="AA1551" s="243"/>
      <c r="AB1551" s="243"/>
      <c r="AC1551" s="243"/>
      <c r="AD1551" s="243"/>
      <c r="AE1551" s="243"/>
      <c r="AF1551" s="243"/>
      <c r="AG1551" s="243"/>
      <c r="AH1551" s="243"/>
      <c r="AI1551" s="243"/>
      <c r="AJ1551" s="243"/>
      <c r="AK1551" s="243"/>
      <c r="AL1551" s="243"/>
      <c r="AM1551" s="243"/>
      <c r="AN1551" s="243"/>
      <c r="AO1551" s="243"/>
      <c r="AP1551" s="243"/>
      <c r="AQ1551" s="243"/>
      <c r="AR1551" s="243"/>
      <c r="AS1551" s="243"/>
      <c r="AT1551" s="243"/>
      <c r="AU1551" s="243"/>
      <c r="AV1551" s="243"/>
      <c r="AW1551" s="243"/>
      <c r="AX1551" s="243"/>
      <c r="AY1551" s="243"/>
      <c r="AZ1551" s="243"/>
      <c r="BA1551" s="243"/>
      <c r="BB1551" s="243"/>
      <c r="BC1551" s="243"/>
      <c r="BD1551" s="243"/>
      <c r="BE1551" s="243"/>
      <c r="BF1551" s="243"/>
      <c r="BG1551" s="243"/>
      <c r="BH1551" s="243"/>
      <c r="BI1551" s="243"/>
      <c r="BJ1551" s="243"/>
      <c r="BK1551" s="243"/>
      <c r="BL1551" s="243"/>
      <c r="BM1551" s="243"/>
      <c r="BN1551" s="243"/>
      <c r="BO1551" s="243"/>
      <c r="BP1551" s="243"/>
      <c r="BQ1551" s="243"/>
      <c r="BR1551" s="243"/>
      <c r="BS1551" s="243"/>
    </row>
    <row r="1552" spans="1:71" s="26" customFormat="1" ht="41.25" customHeight="1">
      <c r="A1552" s="178" t="s">
        <v>99</v>
      </c>
      <c r="B1552" s="75" t="str">
        <f ca="1">+UPPER(Tabla1321124[[#This Row],[DESCRIPCIÓN DE LA COMPRA O CONTRATACIÓN]])</f>
        <v>REPARACION EQUIPO ABSORCION ATOMICA</v>
      </c>
      <c r="C1552" s="39" t="s">
        <v>1067</v>
      </c>
      <c r="D1552" s="236">
        <v>1</v>
      </c>
      <c r="E1552" s="236"/>
      <c r="F1552" s="236"/>
      <c r="G1552" s="236"/>
      <c r="H1552" s="236">
        <f>Tabla1321124[[#This Row],[CUARTO TRIMESTRE]]+Tabla1321124[[#This Row],[TERCER TRIMESTRE]]+Tabla1321124[[#This Row],[SEGUNDO TRIMESTRE]]+Tabla1321124[[#This Row],[PRIMER TRIMESTRE]]</f>
        <v>1</v>
      </c>
      <c r="I1552" s="17">
        <v>250000</v>
      </c>
      <c r="J1552" s="17">
        <f>+Tabla1321124[[#This Row],[CANTIDAD TOTAL]]*Tabla1321124[[#This Row],[PRECIO UNITARIO ESTIMADO]]</f>
        <v>250000</v>
      </c>
      <c r="K1552" s="17"/>
      <c r="L1552" s="16" t="s">
        <v>18</v>
      </c>
      <c r="M1552" s="16" t="s">
        <v>22</v>
      </c>
      <c r="N1552" s="16" t="s">
        <v>418</v>
      </c>
      <c r="O1552" s="243"/>
      <c r="P1552" s="243"/>
      <c r="Q1552" s="243"/>
      <c r="R1552" s="243"/>
      <c r="S1552" s="243"/>
      <c r="T1552" s="243"/>
      <c r="U1552" s="243"/>
      <c r="V1552" s="243"/>
      <c r="W1552" s="243"/>
      <c r="X1552" s="243"/>
      <c r="Y1552" s="243"/>
      <c r="Z1552" s="243"/>
      <c r="AA1552" s="243"/>
      <c r="AB1552" s="243"/>
      <c r="AC1552" s="243"/>
      <c r="AD1552" s="243"/>
      <c r="AE1552" s="243"/>
      <c r="AF1552" s="243"/>
      <c r="AG1552" s="243"/>
      <c r="AH1552" s="243"/>
      <c r="AI1552" s="243"/>
      <c r="AJ1552" s="243"/>
      <c r="AK1552" s="243"/>
      <c r="AL1552" s="243"/>
      <c r="AM1552" s="243"/>
      <c r="AN1552" s="243"/>
      <c r="AO1552" s="243"/>
      <c r="AP1552" s="243"/>
      <c r="AQ1552" s="243"/>
      <c r="AR1552" s="243"/>
      <c r="AS1552" s="243"/>
      <c r="AT1552" s="243"/>
      <c r="AU1552" s="243"/>
      <c r="AV1552" s="243"/>
      <c r="AW1552" s="243"/>
      <c r="AX1552" s="243"/>
      <c r="AY1552" s="243"/>
      <c r="AZ1552" s="243"/>
      <c r="BA1552" s="243"/>
      <c r="BB1552" s="243"/>
      <c r="BC1552" s="243"/>
      <c r="BD1552" s="243"/>
      <c r="BE1552" s="243"/>
      <c r="BF1552" s="243"/>
      <c r="BG1552" s="243"/>
      <c r="BH1552" s="243"/>
      <c r="BI1552" s="243"/>
      <c r="BJ1552" s="243"/>
      <c r="BK1552" s="243"/>
      <c r="BL1552" s="243"/>
      <c r="BM1552" s="243"/>
      <c r="BN1552" s="243"/>
      <c r="BO1552" s="243"/>
      <c r="BP1552" s="243"/>
      <c r="BQ1552" s="243"/>
      <c r="BR1552" s="243"/>
      <c r="BS1552" s="243"/>
    </row>
    <row r="1553" spans="1:71" s="12" customFormat="1" ht="41.25" customHeight="1">
      <c r="A1553" s="178" t="s">
        <v>99</v>
      </c>
      <c r="B1553" s="75" t="str">
        <f ca="1">+UPPER(Tabla1321124[[#This Row],[DESCRIPCIÓN DE LA COMPRA O CONTRATACIÓN]])</f>
        <v>REPARACION DE EQUIPOS</v>
      </c>
      <c r="C1553" s="39" t="s">
        <v>1067</v>
      </c>
      <c r="D1553" s="236">
        <f>3+3</f>
        <v>6</v>
      </c>
      <c r="E1553" s="236">
        <f>2+3</f>
        <v>5</v>
      </c>
      <c r="F1553" s="236">
        <f>2+3</f>
        <v>5</v>
      </c>
      <c r="G1553" s="236">
        <f>2+3</f>
        <v>5</v>
      </c>
      <c r="H1553" s="236">
        <f>Tabla1321124[[#This Row],[CUARTO TRIMESTRE]]+Tabla1321124[[#This Row],[TERCER TRIMESTRE]]+Tabla1321124[[#This Row],[SEGUNDO TRIMESTRE]]+Tabla1321124[[#This Row],[PRIMER TRIMESTRE]]</f>
        <v>21</v>
      </c>
      <c r="I1553" s="17">
        <v>10000</v>
      </c>
      <c r="J1553" s="17">
        <f>+Tabla1321124[[#This Row],[CANTIDAD TOTAL]]*Tabla1321124[[#This Row],[PRECIO UNITARIO ESTIMADO]]</f>
        <v>210000</v>
      </c>
      <c r="K1553" s="17"/>
      <c r="L1553" s="16" t="s">
        <v>18</v>
      </c>
      <c r="M1553" s="16" t="s">
        <v>22</v>
      </c>
      <c r="N1553" s="16" t="s">
        <v>418</v>
      </c>
      <c r="O1553" s="243"/>
      <c r="P1553" s="243"/>
      <c r="Q1553" s="243"/>
      <c r="R1553" s="243"/>
      <c r="S1553" s="243"/>
      <c r="T1553" s="243"/>
      <c r="U1553" s="243"/>
      <c r="V1553" s="243"/>
      <c r="W1553" s="243"/>
      <c r="X1553" s="243"/>
      <c r="Y1553" s="243"/>
      <c r="Z1553" s="243"/>
      <c r="AA1553" s="243"/>
      <c r="AB1553" s="243"/>
      <c r="AC1553" s="243"/>
      <c r="AD1553" s="243"/>
      <c r="AE1553" s="243"/>
      <c r="AF1553" s="243"/>
      <c r="AG1553" s="243"/>
      <c r="AH1553" s="243"/>
      <c r="AI1553" s="243"/>
      <c r="AJ1553" s="243"/>
      <c r="AK1553" s="243"/>
      <c r="AL1553" s="243"/>
      <c r="AM1553" s="243"/>
      <c r="AN1553" s="243"/>
      <c r="AO1553" s="243"/>
      <c r="AP1553" s="243"/>
      <c r="AQ1553" s="243"/>
      <c r="AR1553" s="243"/>
      <c r="AS1553" s="243"/>
      <c r="AT1553" s="243"/>
      <c r="AU1553" s="243"/>
      <c r="AV1553" s="243"/>
      <c r="AW1553" s="243"/>
      <c r="AX1553" s="243"/>
      <c r="AY1553" s="243"/>
      <c r="AZ1553" s="243"/>
      <c r="BA1553" s="243"/>
      <c r="BB1553" s="243"/>
      <c r="BC1553" s="243"/>
      <c r="BD1553" s="243"/>
      <c r="BE1553" s="243"/>
      <c r="BF1553" s="243"/>
      <c r="BG1553" s="243"/>
      <c r="BH1553" s="243"/>
      <c r="BI1553" s="243"/>
      <c r="BJ1553" s="243"/>
      <c r="BK1553" s="243"/>
      <c r="BL1553" s="243"/>
      <c r="BM1553" s="243"/>
      <c r="BN1553" s="243"/>
      <c r="BO1553" s="243"/>
      <c r="BP1553" s="243"/>
      <c r="BQ1553" s="243"/>
      <c r="BR1553" s="243"/>
      <c r="BS1553" s="243"/>
    </row>
    <row r="1554" spans="1:71" s="12" customFormat="1" ht="41.25" customHeight="1">
      <c r="A1554" s="178" t="s">
        <v>99</v>
      </c>
      <c r="B1554" s="75" t="str">
        <f ca="1">+UPPER(Tabla1321124[[#This Row],[DESCRIPCIÓN DE LA COMPRA O CONTRATACIÓN]])</f>
        <v>ACREDITACION DE LABORATORIO</v>
      </c>
      <c r="C1554" s="39" t="s">
        <v>1067</v>
      </c>
      <c r="D1554" s="239"/>
      <c r="E1554" s="236">
        <f>1</f>
        <v>1</v>
      </c>
      <c r="F1554" s="236"/>
      <c r="G1554" s="236"/>
      <c r="H1554" s="236">
        <f>Tabla1321124[[#This Row],[CUARTO TRIMESTRE]]+Tabla1321124[[#This Row],[TERCER TRIMESTRE]]+Tabla1321124[[#This Row],[SEGUNDO TRIMESTRE]]+Tabla1321124[[#This Row],[PRIMER TRIMESTRE]]</f>
        <v>1</v>
      </c>
      <c r="I1554" s="17">
        <v>4000000</v>
      </c>
      <c r="J1554" s="17">
        <f>+Tabla1321124[[#This Row],[CANTIDAD TOTAL]]*Tabla1321124[[#This Row],[PRECIO UNITARIO ESTIMADO]]</f>
        <v>4000000</v>
      </c>
      <c r="K1554" s="17"/>
      <c r="L1554" s="16" t="s">
        <v>18</v>
      </c>
      <c r="M1554" s="16" t="s">
        <v>22</v>
      </c>
      <c r="N1554" s="16" t="s">
        <v>418</v>
      </c>
      <c r="O1554" s="243"/>
      <c r="P1554" s="243"/>
      <c r="Q1554" s="243"/>
      <c r="R1554" s="243"/>
      <c r="S1554" s="243"/>
      <c r="T1554" s="243"/>
      <c r="U1554" s="243"/>
      <c r="V1554" s="243"/>
      <c r="W1554" s="243"/>
      <c r="X1554" s="243"/>
      <c r="Y1554" s="243"/>
      <c r="Z1554" s="243"/>
      <c r="AA1554" s="243"/>
      <c r="AB1554" s="243"/>
      <c r="AC1554" s="243"/>
      <c r="AD1554" s="243"/>
      <c r="AE1554" s="243"/>
      <c r="AF1554" s="243"/>
      <c r="AG1554" s="243"/>
      <c r="AH1554" s="243"/>
      <c r="AI1554" s="243"/>
      <c r="AJ1554" s="243"/>
      <c r="AK1554" s="243"/>
      <c r="AL1554" s="243"/>
      <c r="AM1554" s="243"/>
      <c r="AN1554" s="243"/>
      <c r="AO1554" s="243"/>
      <c r="AP1554" s="243"/>
      <c r="AQ1554" s="243"/>
      <c r="AR1554" s="243"/>
      <c r="AS1554" s="243"/>
      <c r="AT1554" s="243"/>
      <c r="AU1554" s="243"/>
      <c r="AV1554" s="243"/>
      <c r="AW1554" s="243"/>
      <c r="AX1554" s="243"/>
      <c r="AY1554" s="243"/>
      <c r="AZ1554" s="243"/>
      <c r="BA1554" s="243"/>
      <c r="BB1554" s="243"/>
      <c r="BC1554" s="243"/>
      <c r="BD1554" s="243"/>
      <c r="BE1554" s="243"/>
      <c r="BF1554" s="243"/>
      <c r="BG1554" s="243"/>
      <c r="BH1554" s="243"/>
      <c r="BI1554" s="243"/>
      <c r="BJ1554" s="243"/>
      <c r="BK1554" s="243"/>
      <c r="BL1554" s="243"/>
      <c r="BM1554" s="243"/>
      <c r="BN1554" s="243"/>
      <c r="BO1554" s="243"/>
      <c r="BP1554" s="243"/>
      <c r="BQ1554" s="243"/>
      <c r="BR1554" s="243"/>
      <c r="BS1554" s="243"/>
    </row>
    <row r="1555" spans="1:71" s="12" customFormat="1" ht="41.25" customHeight="1">
      <c r="A1555" s="178" t="s">
        <v>99</v>
      </c>
      <c r="B1555" s="75" t="str">
        <f ca="1">+UPPER(Tabla1321124[[#This Row],[DESCRIPCIÓN DE LA COMPRA O CONTRATACIÓN]])</f>
        <v>PISCINA WATERWAY</v>
      </c>
      <c r="C1555" s="39" t="s">
        <v>17</v>
      </c>
      <c r="D1555" s="236">
        <v>1</v>
      </c>
      <c r="E1555" s="236"/>
      <c r="F1555" s="236"/>
      <c r="G1555" s="236"/>
      <c r="H1555" s="236">
        <f>Tabla1321124[[#This Row],[CUARTO TRIMESTRE]]+Tabla1321124[[#This Row],[TERCER TRIMESTRE]]+Tabla1321124[[#This Row],[SEGUNDO TRIMESTRE]]+Tabla1321124[[#This Row],[PRIMER TRIMESTRE]]</f>
        <v>1</v>
      </c>
      <c r="I1555" s="17">
        <v>5589.05</v>
      </c>
      <c r="J1555" s="17">
        <f>+Tabla1321124[[#This Row],[CANTIDAD TOTAL]]*Tabla1321124[[#This Row],[PRECIO UNITARIO ESTIMADO]]</f>
        <v>5589.05</v>
      </c>
      <c r="K1555" s="17"/>
      <c r="L1555" s="16" t="s">
        <v>27</v>
      </c>
      <c r="M1555" s="16" t="s">
        <v>19</v>
      </c>
      <c r="N1555" s="16" t="s">
        <v>342</v>
      </c>
      <c r="O1555" s="243"/>
      <c r="P1555" s="243"/>
      <c r="Q1555" s="243"/>
      <c r="R1555" s="243"/>
      <c r="S1555" s="243"/>
      <c r="T1555" s="243"/>
      <c r="U1555" s="243"/>
      <c r="V1555" s="243"/>
      <c r="W1555" s="243"/>
      <c r="X1555" s="243"/>
      <c r="Y1555" s="243"/>
      <c r="Z1555" s="243"/>
      <c r="AA1555" s="243"/>
      <c r="AB1555" s="243"/>
      <c r="AC1555" s="243"/>
      <c r="AD1555" s="243"/>
      <c r="AE1555" s="243"/>
      <c r="AF1555" s="243"/>
      <c r="AG1555" s="243"/>
      <c r="AH1555" s="243"/>
      <c r="AI1555" s="243"/>
      <c r="AJ1555" s="243"/>
      <c r="AK1555" s="243"/>
      <c r="AL1555" s="243"/>
      <c r="AM1555" s="243"/>
      <c r="AN1555" s="243"/>
      <c r="AO1555" s="243"/>
      <c r="AP1555" s="243"/>
      <c r="AQ1555" s="243"/>
      <c r="AR1555" s="243"/>
      <c r="AS1555" s="243"/>
      <c r="AT1555" s="243"/>
      <c r="AU1555" s="243"/>
      <c r="AV1555" s="243"/>
      <c r="AW1555" s="243"/>
      <c r="AX1555" s="243"/>
      <c r="AY1555" s="243"/>
      <c r="AZ1555" s="243"/>
      <c r="BA1555" s="243"/>
      <c r="BB1555" s="243"/>
      <c r="BC1555" s="243"/>
      <c r="BD1555" s="243"/>
      <c r="BE1555" s="243"/>
      <c r="BF1555" s="243"/>
      <c r="BG1555" s="243"/>
      <c r="BH1555" s="243"/>
      <c r="BI1555" s="243"/>
      <c r="BJ1555" s="243"/>
      <c r="BK1555" s="243"/>
      <c r="BL1555" s="243"/>
      <c r="BM1555" s="243"/>
      <c r="BN1555" s="243"/>
      <c r="BO1555" s="243"/>
      <c r="BP1555" s="243"/>
      <c r="BQ1555" s="243"/>
      <c r="BR1555" s="243"/>
      <c r="BS1555" s="243"/>
    </row>
    <row r="1556" spans="1:71" s="12" customFormat="1" ht="41.25" customHeight="1">
      <c r="A1556" s="178" t="s">
        <v>99</v>
      </c>
      <c r="B1556" s="75" t="str">
        <f ca="1">+UPPER(Tabla1321124[[#This Row],[DESCRIPCIÓN DE LA COMPRA O CONTRATACIÓN]])</f>
        <v>RESISTENCIA ELECTRICA PARA DESTILADOR DE AGUA CAP. 2G</v>
      </c>
      <c r="C1556" s="39" t="s">
        <v>17</v>
      </c>
      <c r="D1556" s="236">
        <f>2+6+1</f>
        <v>9</v>
      </c>
      <c r="E1556" s="236"/>
      <c r="F1556" s="236"/>
      <c r="G1556" s="236">
        <v>2</v>
      </c>
      <c r="H1556" s="236">
        <f>Tabla1321124[[#This Row],[CUARTO TRIMESTRE]]+Tabla1321124[[#This Row],[TERCER TRIMESTRE]]+Tabla1321124[[#This Row],[SEGUNDO TRIMESTRE]]+Tabla1321124[[#This Row],[PRIMER TRIMESTRE]]</f>
        <v>11</v>
      </c>
      <c r="I1556" s="17">
        <v>15710.6</v>
      </c>
      <c r="J1556" s="17">
        <f>+Tabla1321124[[#This Row],[CANTIDAD TOTAL]]*Tabla1321124[[#This Row],[PRECIO UNITARIO ESTIMADO]]</f>
        <v>172816.6</v>
      </c>
      <c r="K1556" s="17"/>
      <c r="L1556" s="16" t="s">
        <v>27</v>
      </c>
      <c r="M1556" s="16" t="s">
        <v>19</v>
      </c>
      <c r="N1556" s="16" t="s">
        <v>342</v>
      </c>
      <c r="O1556" s="243"/>
      <c r="P1556" s="243"/>
      <c r="Q1556" s="243"/>
      <c r="R1556" s="243"/>
      <c r="S1556" s="243"/>
      <c r="T1556" s="243"/>
      <c r="U1556" s="243"/>
      <c r="V1556" s="243"/>
      <c r="W1556" s="243"/>
      <c r="X1556" s="243"/>
      <c r="Y1556" s="243"/>
      <c r="Z1556" s="243"/>
      <c r="AA1556" s="243"/>
      <c r="AB1556" s="243"/>
      <c r="AC1556" s="243"/>
      <c r="AD1556" s="243"/>
      <c r="AE1556" s="243"/>
      <c r="AF1556" s="243"/>
      <c r="AG1556" s="243"/>
      <c r="AH1556" s="243"/>
      <c r="AI1556" s="243"/>
      <c r="AJ1556" s="243"/>
      <c r="AK1556" s="243"/>
      <c r="AL1556" s="243"/>
      <c r="AM1556" s="243"/>
      <c r="AN1556" s="243"/>
      <c r="AO1556" s="243"/>
      <c r="AP1556" s="243"/>
      <c r="AQ1556" s="243"/>
      <c r="AR1556" s="243"/>
      <c r="AS1556" s="243"/>
      <c r="AT1556" s="243"/>
      <c r="AU1556" s="243"/>
      <c r="AV1556" s="243"/>
      <c r="AW1556" s="243"/>
      <c r="AX1556" s="243"/>
      <c r="AY1556" s="243"/>
      <c r="AZ1556" s="243"/>
      <c r="BA1556" s="243"/>
      <c r="BB1556" s="243"/>
      <c r="BC1556" s="243"/>
      <c r="BD1556" s="243"/>
      <c r="BE1556" s="243"/>
      <c r="BF1556" s="243"/>
      <c r="BG1556" s="243"/>
      <c r="BH1556" s="243"/>
      <c r="BI1556" s="243"/>
      <c r="BJ1556" s="243"/>
      <c r="BK1556" s="243"/>
      <c r="BL1556" s="243"/>
      <c r="BM1556" s="243"/>
      <c r="BN1556" s="243"/>
      <c r="BO1556" s="243"/>
      <c r="BP1556" s="243"/>
      <c r="BQ1556" s="243"/>
      <c r="BR1556" s="243"/>
      <c r="BS1556" s="243"/>
    </row>
    <row r="1557" spans="1:71" s="12" customFormat="1" ht="41.25" customHeight="1">
      <c r="A1557" s="178" t="s">
        <v>99</v>
      </c>
      <c r="B1557" s="75" t="str">
        <f ca="1">+UPPER(Tabla1321124[[#This Row],[DESCRIPCIÓN DE LA COMPRA O CONTRATACIÓN]])</f>
        <v>JUNTA AUTOCLAVE MARKETFORGETH</v>
      </c>
      <c r="C1557" s="39" t="s">
        <v>17</v>
      </c>
      <c r="D1557" s="236">
        <v>1</v>
      </c>
      <c r="E1557" s="236">
        <f>2</f>
        <v>2</v>
      </c>
      <c r="F1557" s="236"/>
      <c r="G1557" s="236">
        <f>2</f>
        <v>2</v>
      </c>
      <c r="H1557" s="236">
        <f>Tabla1321124[[#This Row],[CUARTO TRIMESTRE]]+Tabla1321124[[#This Row],[TERCER TRIMESTRE]]+Tabla1321124[[#This Row],[SEGUNDO TRIMESTRE]]+Tabla1321124[[#This Row],[PRIMER TRIMESTRE]]</f>
        <v>5</v>
      </c>
      <c r="I1557" s="17">
        <v>5347.87</v>
      </c>
      <c r="J1557" s="17">
        <f>+Tabla1321124[[#This Row],[CANTIDAD TOTAL]]*Tabla1321124[[#This Row],[PRECIO UNITARIO ESTIMADO]]</f>
        <v>26739.35</v>
      </c>
      <c r="K1557" s="17"/>
      <c r="L1557" s="16" t="s">
        <v>27</v>
      </c>
      <c r="M1557" s="16" t="s">
        <v>19</v>
      </c>
      <c r="N1557" s="16" t="s">
        <v>342</v>
      </c>
      <c r="O1557" s="243"/>
      <c r="P1557" s="243"/>
      <c r="Q1557" s="243"/>
      <c r="R1557" s="243"/>
      <c r="S1557" s="243"/>
      <c r="T1557" s="243"/>
      <c r="U1557" s="243"/>
      <c r="V1557" s="243"/>
      <c r="W1557" s="243"/>
      <c r="X1557" s="243"/>
      <c r="Y1557" s="243"/>
      <c r="Z1557" s="243"/>
      <c r="AA1557" s="243"/>
      <c r="AB1557" s="243"/>
      <c r="AC1557" s="243"/>
      <c r="AD1557" s="243"/>
      <c r="AE1557" s="243"/>
      <c r="AF1557" s="243"/>
      <c r="AG1557" s="243"/>
      <c r="AH1557" s="243"/>
      <c r="AI1557" s="243"/>
      <c r="AJ1557" s="243"/>
      <c r="AK1557" s="243"/>
      <c r="AL1557" s="243"/>
      <c r="AM1557" s="243"/>
      <c r="AN1557" s="243"/>
      <c r="AO1557" s="243"/>
      <c r="AP1557" s="243"/>
      <c r="AQ1557" s="243"/>
      <c r="AR1557" s="243"/>
      <c r="AS1557" s="243"/>
      <c r="AT1557" s="243"/>
      <c r="AU1557" s="243"/>
      <c r="AV1557" s="243"/>
      <c r="AW1557" s="243"/>
      <c r="AX1557" s="243"/>
      <c r="AY1557" s="243"/>
      <c r="AZ1557" s="243"/>
      <c r="BA1557" s="243"/>
      <c r="BB1557" s="243"/>
      <c r="BC1557" s="243"/>
      <c r="BD1557" s="243"/>
      <c r="BE1557" s="243"/>
      <c r="BF1557" s="243"/>
      <c r="BG1557" s="243"/>
      <c r="BH1557" s="243"/>
      <c r="BI1557" s="243"/>
      <c r="BJ1557" s="243"/>
      <c r="BK1557" s="243"/>
      <c r="BL1557" s="243"/>
      <c r="BM1557" s="243"/>
      <c r="BN1557" s="243"/>
      <c r="BO1557" s="243"/>
      <c r="BP1557" s="243"/>
      <c r="BQ1557" s="243"/>
      <c r="BR1557" s="243"/>
      <c r="BS1557" s="243"/>
    </row>
    <row r="1558" spans="1:71" s="12" customFormat="1" ht="41.25" customHeight="1">
      <c r="A1558" s="178" t="s">
        <v>99</v>
      </c>
      <c r="B1558" s="75" t="str">
        <f ca="1">+UPPER(Tabla1321124[[#This Row],[DESCRIPCIÓN DE LA COMPRA O CONTRATACIÓN]])</f>
        <v>FRASCO DE CRISTAL TRANSPARENTE DE BOROSILICATO 120ML</v>
      </c>
      <c r="C1558" s="39" t="s">
        <v>17</v>
      </c>
      <c r="D1558" s="236">
        <v>1</v>
      </c>
      <c r="E1558" s="236"/>
      <c r="F1558" s="236"/>
      <c r="G1558" s="236"/>
      <c r="H1558" s="236">
        <f>Tabla1321124[[#This Row],[CUARTO TRIMESTRE]]+Tabla1321124[[#This Row],[TERCER TRIMESTRE]]+Tabla1321124[[#This Row],[SEGUNDO TRIMESTRE]]+Tabla1321124[[#This Row],[PRIMER TRIMESTRE]]</f>
        <v>1</v>
      </c>
      <c r="I1558" s="17">
        <v>213.48</v>
      </c>
      <c r="J1558" s="17">
        <f>+Tabla1321124[[#This Row],[CANTIDAD TOTAL]]*Tabla1321124[[#This Row],[PRECIO UNITARIO ESTIMADO]]</f>
        <v>213.48</v>
      </c>
      <c r="K1558" s="17"/>
      <c r="L1558" s="16" t="s">
        <v>27</v>
      </c>
      <c r="M1558" s="16" t="s">
        <v>19</v>
      </c>
      <c r="N1558" s="16" t="s">
        <v>342</v>
      </c>
      <c r="O1558" s="243"/>
      <c r="P1558" s="243"/>
      <c r="Q1558" s="243"/>
      <c r="R1558" s="243"/>
      <c r="S1558" s="243"/>
      <c r="T1558" s="243"/>
      <c r="U1558" s="243"/>
      <c r="V1558" s="243"/>
      <c r="W1558" s="243"/>
      <c r="X1558" s="243"/>
      <c r="Y1558" s="243"/>
      <c r="Z1558" s="243"/>
      <c r="AA1558" s="243"/>
      <c r="AB1558" s="243"/>
      <c r="AC1558" s="243"/>
      <c r="AD1558" s="243"/>
      <c r="AE1558" s="243"/>
      <c r="AF1558" s="243"/>
      <c r="AG1558" s="243"/>
      <c r="AH1558" s="243"/>
      <c r="AI1558" s="243"/>
      <c r="AJ1558" s="243"/>
      <c r="AK1558" s="243"/>
      <c r="AL1558" s="243"/>
      <c r="AM1558" s="243"/>
      <c r="AN1558" s="243"/>
      <c r="AO1558" s="243"/>
      <c r="AP1558" s="243"/>
      <c r="AQ1558" s="243"/>
      <c r="AR1558" s="243"/>
      <c r="AS1558" s="243"/>
      <c r="AT1558" s="243"/>
      <c r="AU1558" s="243"/>
      <c r="AV1558" s="243"/>
      <c r="AW1558" s="243"/>
      <c r="AX1558" s="243"/>
      <c r="AY1558" s="243"/>
      <c r="AZ1558" s="243"/>
      <c r="BA1558" s="243"/>
      <c r="BB1558" s="243"/>
      <c r="BC1558" s="243"/>
      <c r="BD1558" s="243"/>
      <c r="BE1558" s="243"/>
      <c r="BF1558" s="243"/>
      <c r="BG1558" s="243"/>
      <c r="BH1558" s="243"/>
      <c r="BI1558" s="243"/>
      <c r="BJ1558" s="243"/>
      <c r="BK1558" s="243"/>
      <c r="BL1558" s="243"/>
      <c r="BM1558" s="243"/>
      <c r="BN1558" s="243"/>
      <c r="BO1558" s="243"/>
      <c r="BP1558" s="243"/>
      <c r="BQ1558" s="243"/>
      <c r="BR1558" s="243"/>
      <c r="BS1558" s="243"/>
    </row>
    <row r="1559" spans="1:71" s="12" customFormat="1" ht="41.25" customHeight="1">
      <c r="A1559" s="178" t="s">
        <v>99</v>
      </c>
      <c r="B1559" s="75" t="str">
        <f ca="1">+UPPER(Tabla1321124[[#This Row],[DESCRIPCIÓN DE LA COMPRA O CONTRATACIÓN]])</f>
        <v>TUBO 6X50</v>
      </c>
      <c r="C1559" s="39" t="s">
        <v>17</v>
      </c>
      <c r="D1559" s="236">
        <v>3</v>
      </c>
      <c r="E1559" s="236"/>
      <c r="F1559" s="236">
        <v>2</v>
      </c>
      <c r="G1559" s="236"/>
      <c r="H1559" s="236">
        <f>Tabla1321124[[#This Row],[CUARTO TRIMESTRE]]+Tabla1321124[[#This Row],[TERCER TRIMESTRE]]+Tabla1321124[[#This Row],[SEGUNDO TRIMESTRE]]+Tabla1321124[[#This Row],[PRIMER TRIMESTRE]]</f>
        <v>5</v>
      </c>
      <c r="I1559" s="17">
        <v>719</v>
      </c>
      <c r="J1559" s="17">
        <f>+Tabla1321124[[#This Row],[CANTIDAD TOTAL]]*Tabla1321124[[#This Row],[PRECIO UNITARIO ESTIMADO]]</f>
        <v>3595</v>
      </c>
      <c r="K1559" s="17"/>
      <c r="L1559" s="16" t="s">
        <v>27</v>
      </c>
      <c r="M1559" s="16" t="s">
        <v>19</v>
      </c>
      <c r="N1559" s="16" t="s">
        <v>342</v>
      </c>
      <c r="O1559" s="243"/>
      <c r="P1559" s="243"/>
      <c r="Q1559" s="243"/>
      <c r="R1559" s="243"/>
      <c r="S1559" s="243"/>
      <c r="T1559" s="243"/>
      <c r="U1559" s="243"/>
      <c r="V1559" s="243"/>
      <c r="W1559" s="243"/>
      <c r="X1559" s="243"/>
      <c r="Y1559" s="243"/>
      <c r="Z1559" s="243"/>
      <c r="AA1559" s="243"/>
      <c r="AB1559" s="243"/>
      <c r="AC1559" s="243"/>
      <c r="AD1559" s="243"/>
      <c r="AE1559" s="243"/>
      <c r="AF1559" s="243"/>
      <c r="AG1559" s="243"/>
      <c r="AH1559" s="243"/>
      <c r="AI1559" s="243"/>
      <c r="AJ1559" s="243"/>
      <c r="AK1559" s="243"/>
      <c r="AL1559" s="243"/>
      <c r="AM1559" s="243"/>
      <c r="AN1559" s="243"/>
      <c r="AO1559" s="243"/>
      <c r="AP1559" s="243"/>
      <c r="AQ1559" s="243"/>
      <c r="AR1559" s="243"/>
      <c r="AS1559" s="243"/>
      <c r="AT1559" s="243"/>
      <c r="AU1559" s="243"/>
      <c r="AV1559" s="243"/>
      <c r="AW1559" s="243"/>
      <c r="AX1559" s="243"/>
      <c r="AY1559" s="243"/>
      <c r="AZ1559" s="243"/>
      <c r="BA1559" s="243"/>
      <c r="BB1559" s="243"/>
      <c r="BC1559" s="243"/>
      <c r="BD1559" s="243"/>
      <c r="BE1559" s="243"/>
      <c r="BF1559" s="243"/>
      <c r="BG1559" s="243"/>
      <c r="BH1559" s="243"/>
      <c r="BI1559" s="243"/>
      <c r="BJ1559" s="243"/>
      <c r="BK1559" s="243"/>
      <c r="BL1559" s="243"/>
      <c r="BM1559" s="243"/>
      <c r="BN1559" s="243"/>
      <c r="BO1559" s="243"/>
      <c r="BP1559" s="243"/>
      <c r="BQ1559" s="243"/>
      <c r="BR1559" s="243"/>
      <c r="BS1559" s="243"/>
    </row>
    <row r="1560" spans="1:71" s="12" customFormat="1" ht="41.25" customHeight="1">
      <c r="A1560" s="178" t="s">
        <v>99</v>
      </c>
      <c r="B1560" s="75" t="str">
        <f ca="1">+UPPER(Tabla1321124[[#This Row],[DESCRIPCIÓN DE LA COMPRA O CONTRATACIÓN]])</f>
        <v xml:space="preserve">ASAS BACTERIOLOGIC DE ACERO INOXIDABLE </v>
      </c>
      <c r="C1560" s="39" t="s">
        <v>17</v>
      </c>
      <c r="D1560" s="236">
        <v>1</v>
      </c>
      <c r="E1560" s="236"/>
      <c r="F1560" s="236"/>
      <c r="G1560" s="236"/>
      <c r="H1560" s="236">
        <f>Tabla1321124[[#This Row],[CUARTO TRIMESTRE]]+Tabla1321124[[#This Row],[TERCER TRIMESTRE]]+Tabla1321124[[#This Row],[SEGUNDO TRIMESTRE]]+Tabla1321124[[#This Row],[PRIMER TRIMESTRE]]</f>
        <v>1</v>
      </c>
      <c r="I1560" s="17">
        <v>213.48</v>
      </c>
      <c r="J1560" s="17">
        <f>+Tabla1321124[[#This Row],[CANTIDAD TOTAL]]*Tabla1321124[[#This Row],[PRECIO UNITARIO ESTIMADO]]</f>
        <v>213.48</v>
      </c>
      <c r="K1560" s="17"/>
      <c r="L1560" s="16" t="s">
        <v>27</v>
      </c>
      <c r="M1560" s="16" t="s">
        <v>19</v>
      </c>
      <c r="N1560" s="16" t="s">
        <v>342</v>
      </c>
      <c r="O1560" s="243"/>
      <c r="P1560" s="243"/>
      <c r="Q1560" s="243"/>
      <c r="R1560" s="243"/>
      <c r="S1560" s="243"/>
      <c r="T1560" s="243"/>
      <c r="U1560" s="243"/>
      <c r="V1560" s="243"/>
      <c r="W1560" s="243"/>
      <c r="X1560" s="243"/>
      <c r="Y1560" s="243"/>
      <c r="Z1560" s="243"/>
      <c r="AA1560" s="243"/>
      <c r="AB1560" s="243"/>
      <c r="AC1560" s="243"/>
      <c r="AD1560" s="243"/>
      <c r="AE1560" s="243"/>
      <c r="AF1560" s="243"/>
      <c r="AG1560" s="243"/>
      <c r="AH1560" s="243"/>
      <c r="AI1560" s="243"/>
      <c r="AJ1560" s="243"/>
      <c r="AK1560" s="243"/>
      <c r="AL1560" s="243"/>
      <c r="AM1560" s="243"/>
      <c r="AN1560" s="243"/>
      <c r="AO1560" s="243"/>
      <c r="AP1560" s="243"/>
      <c r="AQ1560" s="243"/>
      <c r="AR1560" s="243"/>
      <c r="AS1560" s="243"/>
      <c r="AT1560" s="243"/>
      <c r="AU1560" s="243"/>
      <c r="AV1560" s="243"/>
      <c r="AW1560" s="243"/>
      <c r="AX1560" s="243"/>
      <c r="AY1560" s="243"/>
      <c r="AZ1560" s="243"/>
      <c r="BA1560" s="243"/>
      <c r="BB1560" s="243"/>
      <c r="BC1560" s="243"/>
      <c r="BD1560" s="243"/>
      <c r="BE1560" s="243"/>
      <c r="BF1560" s="243"/>
      <c r="BG1560" s="243"/>
      <c r="BH1560" s="243"/>
      <c r="BI1560" s="243"/>
      <c r="BJ1560" s="243"/>
      <c r="BK1560" s="243"/>
      <c r="BL1560" s="243"/>
      <c r="BM1560" s="243"/>
      <c r="BN1560" s="243"/>
      <c r="BO1560" s="243"/>
      <c r="BP1560" s="243"/>
      <c r="BQ1560" s="243"/>
      <c r="BR1560" s="243"/>
      <c r="BS1560" s="243"/>
    </row>
    <row r="1561" spans="1:71" s="12" customFormat="1" ht="41.25" customHeight="1">
      <c r="A1561" s="178" t="s">
        <v>99</v>
      </c>
      <c r="B1561" s="75" t="str">
        <f ca="1">+UPPER(Tabla1321124[[#This Row],[DESCRIPCIÓN DE LA COMPRA O CONTRATACIÓN]])</f>
        <v>GRABILLAS DE POLIPROPIRENO 60 PLAZAS</v>
      </c>
      <c r="C1561" s="39" t="s">
        <v>17</v>
      </c>
      <c r="D1561" s="236">
        <v>1</v>
      </c>
      <c r="E1561" s="236"/>
      <c r="F1561" s="236"/>
      <c r="G1561" s="236"/>
      <c r="H1561" s="236">
        <f>Tabla1321124[[#This Row],[CUARTO TRIMESTRE]]+Tabla1321124[[#This Row],[TERCER TRIMESTRE]]+Tabla1321124[[#This Row],[SEGUNDO TRIMESTRE]]+Tabla1321124[[#This Row],[PRIMER TRIMESTRE]]</f>
        <v>1</v>
      </c>
      <c r="I1561" s="17">
        <v>1100</v>
      </c>
      <c r="J1561" s="17">
        <f>+Tabla1321124[[#This Row],[CANTIDAD TOTAL]]*Tabla1321124[[#This Row],[PRECIO UNITARIO ESTIMADO]]</f>
        <v>1100</v>
      </c>
      <c r="K1561" s="17"/>
      <c r="L1561" s="16" t="s">
        <v>27</v>
      </c>
      <c r="M1561" s="16" t="s">
        <v>19</v>
      </c>
      <c r="N1561" s="16" t="s">
        <v>342</v>
      </c>
      <c r="O1561" s="243"/>
      <c r="P1561" s="243"/>
      <c r="Q1561" s="243"/>
      <c r="R1561" s="243"/>
      <c r="S1561" s="243"/>
      <c r="T1561" s="243"/>
      <c r="U1561" s="243"/>
      <c r="V1561" s="243"/>
      <c r="W1561" s="243"/>
      <c r="X1561" s="243"/>
      <c r="Y1561" s="243"/>
      <c r="Z1561" s="243"/>
      <c r="AA1561" s="243"/>
      <c r="AB1561" s="243"/>
      <c r="AC1561" s="243"/>
      <c r="AD1561" s="243"/>
      <c r="AE1561" s="243"/>
      <c r="AF1561" s="243"/>
      <c r="AG1561" s="243"/>
      <c r="AH1561" s="243"/>
      <c r="AI1561" s="243"/>
      <c r="AJ1561" s="243"/>
      <c r="AK1561" s="243"/>
      <c r="AL1561" s="243"/>
      <c r="AM1561" s="243"/>
      <c r="AN1561" s="243"/>
      <c r="AO1561" s="243"/>
      <c r="AP1561" s="243"/>
      <c r="AQ1561" s="243"/>
      <c r="AR1561" s="243"/>
      <c r="AS1561" s="243"/>
      <c r="AT1561" s="243"/>
      <c r="AU1561" s="243"/>
      <c r="AV1561" s="243"/>
      <c r="AW1561" s="243"/>
      <c r="AX1561" s="243"/>
      <c r="AY1561" s="243"/>
      <c r="AZ1561" s="243"/>
      <c r="BA1561" s="243"/>
      <c r="BB1561" s="243"/>
      <c r="BC1561" s="243"/>
      <c r="BD1561" s="243"/>
      <c r="BE1561" s="243"/>
      <c r="BF1561" s="243"/>
      <c r="BG1561" s="243"/>
      <c r="BH1561" s="243"/>
      <c r="BI1561" s="243"/>
      <c r="BJ1561" s="243"/>
      <c r="BK1561" s="243"/>
      <c r="BL1561" s="243"/>
      <c r="BM1561" s="243"/>
      <c r="BN1561" s="243"/>
      <c r="BO1561" s="243"/>
      <c r="BP1561" s="243"/>
      <c r="BQ1561" s="243"/>
      <c r="BR1561" s="243"/>
      <c r="BS1561" s="243"/>
    </row>
    <row r="1562" spans="1:71" s="12" customFormat="1" ht="41.25" customHeight="1">
      <c r="A1562" s="178" t="s">
        <v>99</v>
      </c>
      <c r="B1562" s="75" t="str">
        <f ca="1">+UPPER(Tabla1321124[[#This Row],[DESCRIPCIÓN DE LA COMPRA O CONTRATACIÓN]])</f>
        <v>JABON LIQUIDO SIN FOSFATO</v>
      </c>
      <c r="C1562" s="39" t="s">
        <v>33</v>
      </c>
      <c r="D1562" s="236">
        <f>3+1</f>
        <v>4</v>
      </c>
      <c r="E1562" s="236">
        <f>3</f>
        <v>3</v>
      </c>
      <c r="F1562" s="236">
        <f>3+1</f>
        <v>4</v>
      </c>
      <c r="G1562" s="236">
        <f>3</f>
        <v>3</v>
      </c>
      <c r="H1562" s="236">
        <f>Tabla1321124[[#This Row],[CUARTO TRIMESTRE]]+Tabla1321124[[#This Row],[TERCER TRIMESTRE]]+Tabla1321124[[#This Row],[SEGUNDO TRIMESTRE]]+Tabla1321124[[#This Row],[PRIMER TRIMESTRE]]</f>
        <v>14</v>
      </c>
      <c r="I1562" s="17">
        <v>250</v>
      </c>
      <c r="J1562" s="17">
        <f>+Tabla1321124[[#This Row],[CANTIDAD TOTAL]]*Tabla1321124[[#This Row],[PRECIO UNITARIO ESTIMADO]]</f>
        <v>3500</v>
      </c>
      <c r="K1562" s="17"/>
      <c r="L1562" s="16" t="s">
        <v>27</v>
      </c>
      <c r="M1562" s="16" t="s">
        <v>19</v>
      </c>
      <c r="N1562" s="16" t="s">
        <v>342</v>
      </c>
      <c r="O1562" s="243"/>
      <c r="P1562" s="243"/>
      <c r="Q1562" s="243"/>
      <c r="R1562" s="243"/>
      <c r="S1562" s="243"/>
      <c r="T1562" s="243"/>
      <c r="U1562" s="243"/>
      <c r="V1562" s="243"/>
      <c r="W1562" s="243"/>
      <c r="X1562" s="243"/>
      <c r="Y1562" s="243"/>
      <c r="Z1562" s="243"/>
      <c r="AA1562" s="243"/>
      <c r="AB1562" s="243"/>
      <c r="AC1562" s="243"/>
      <c r="AD1562" s="243"/>
      <c r="AE1562" s="243"/>
      <c r="AF1562" s="243"/>
      <c r="AG1562" s="243"/>
      <c r="AH1562" s="243"/>
      <c r="AI1562" s="243"/>
      <c r="AJ1562" s="243"/>
      <c r="AK1562" s="243"/>
      <c r="AL1562" s="243"/>
      <c r="AM1562" s="243"/>
      <c r="AN1562" s="243"/>
      <c r="AO1562" s="243"/>
      <c r="AP1562" s="243"/>
      <c r="AQ1562" s="243"/>
      <c r="AR1562" s="243"/>
      <c r="AS1562" s="243"/>
      <c r="AT1562" s="243"/>
      <c r="AU1562" s="243"/>
      <c r="AV1562" s="243"/>
      <c r="AW1562" s="243"/>
      <c r="AX1562" s="243"/>
      <c r="AY1562" s="243"/>
      <c r="AZ1562" s="243"/>
      <c r="BA1562" s="243"/>
      <c r="BB1562" s="243"/>
      <c r="BC1562" s="243"/>
      <c r="BD1562" s="243"/>
      <c r="BE1562" s="243"/>
      <c r="BF1562" s="243"/>
      <c r="BG1562" s="243"/>
      <c r="BH1562" s="243"/>
      <c r="BI1562" s="243"/>
      <c r="BJ1562" s="243"/>
      <c r="BK1562" s="243"/>
      <c r="BL1562" s="243"/>
      <c r="BM1562" s="243"/>
      <c r="BN1562" s="243"/>
      <c r="BO1562" s="243"/>
      <c r="BP1562" s="243"/>
      <c r="BQ1562" s="243"/>
      <c r="BR1562" s="243"/>
      <c r="BS1562" s="243"/>
    </row>
    <row r="1563" spans="1:71" s="12" customFormat="1" ht="41.25" customHeight="1">
      <c r="A1563" s="178" t="s">
        <v>99</v>
      </c>
      <c r="B1563" s="75" t="str">
        <f ca="1">+UPPER(Tabla1321124[[#This Row],[DESCRIPCIÓN DE LA COMPRA O CONTRATACIÓN]])</f>
        <v>DISCO GRADO</v>
      </c>
      <c r="C1563" s="39" t="s">
        <v>208</v>
      </c>
      <c r="D1563" s="236">
        <v>1</v>
      </c>
      <c r="E1563" s="236"/>
      <c r="F1563" s="236">
        <v>1</v>
      </c>
      <c r="G1563" s="236"/>
      <c r="H1563" s="236">
        <f>Tabla1321124[[#This Row],[CUARTO TRIMESTRE]]+Tabla1321124[[#This Row],[TERCER TRIMESTRE]]+Tabla1321124[[#This Row],[SEGUNDO TRIMESTRE]]+Tabla1321124[[#This Row],[PRIMER TRIMESTRE]]</f>
        <v>2</v>
      </c>
      <c r="I1563" s="17">
        <v>1130</v>
      </c>
      <c r="J1563" s="17">
        <f>+Tabla1321124[[#This Row],[CANTIDAD TOTAL]]*Tabla1321124[[#This Row],[PRECIO UNITARIO ESTIMADO]]</f>
        <v>2260</v>
      </c>
      <c r="K1563" s="387">
        <f>SUM(J1367:J1563)</f>
        <v>20233965.850000005</v>
      </c>
      <c r="L1563" s="16" t="s">
        <v>27</v>
      </c>
      <c r="M1563" s="16" t="s">
        <v>19</v>
      </c>
      <c r="N1563" s="16" t="s">
        <v>342</v>
      </c>
      <c r="O1563" s="243"/>
      <c r="P1563" s="243"/>
      <c r="Q1563" s="243"/>
      <c r="R1563" s="243"/>
      <c r="S1563" s="243"/>
      <c r="T1563" s="243"/>
      <c r="U1563" s="243"/>
      <c r="V1563" s="243"/>
      <c r="W1563" s="243"/>
      <c r="X1563" s="243"/>
      <c r="Y1563" s="243"/>
      <c r="Z1563" s="243"/>
      <c r="AA1563" s="243"/>
      <c r="AB1563" s="243"/>
      <c r="AC1563" s="243"/>
      <c r="AD1563" s="243"/>
      <c r="AE1563" s="243"/>
      <c r="AF1563" s="243"/>
      <c r="AG1563" s="243"/>
      <c r="AH1563" s="243"/>
      <c r="AI1563" s="243"/>
      <c r="AJ1563" s="243"/>
      <c r="AK1563" s="243"/>
      <c r="AL1563" s="243"/>
      <c r="AM1563" s="243"/>
      <c r="AN1563" s="243"/>
      <c r="AO1563" s="243"/>
      <c r="AP1563" s="243"/>
      <c r="AQ1563" s="243"/>
      <c r="AR1563" s="243"/>
      <c r="AS1563" s="243"/>
      <c r="AT1563" s="243"/>
      <c r="AU1563" s="243"/>
      <c r="AV1563" s="243"/>
      <c r="AW1563" s="243"/>
      <c r="AX1563" s="243"/>
      <c r="AY1563" s="243"/>
      <c r="AZ1563" s="243"/>
      <c r="BA1563" s="243"/>
      <c r="BB1563" s="243"/>
      <c r="BC1563" s="243"/>
      <c r="BD1563" s="243"/>
      <c r="BE1563" s="243"/>
      <c r="BF1563" s="243"/>
      <c r="BG1563" s="243"/>
      <c r="BH1563" s="243"/>
      <c r="BI1563" s="243"/>
      <c r="BJ1563" s="243"/>
      <c r="BK1563" s="243"/>
      <c r="BL1563" s="243"/>
      <c r="BM1563" s="243"/>
      <c r="BN1563" s="243"/>
      <c r="BO1563" s="243"/>
      <c r="BP1563" s="243"/>
      <c r="BQ1563" s="243"/>
      <c r="BR1563" s="243"/>
      <c r="BS1563" s="243"/>
    </row>
    <row r="1564" spans="1:71" s="12" customFormat="1" ht="41.25" customHeight="1">
      <c r="A1564" s="179" t="s">
        <v>99</v>
      </c>
      <c r="B1564" s="76" t="str">
        <f ca="1">+UPPER(Tabla1321124[[#This Row],[DESCRIPCIÓN DE LA COMPRA O CONTRATACIÓN]])</f>
        <v/>
      </c>
      <c r="C1564" s="237"/>
      <c r="D1564" s="237"/>
      <c r="E1564" s="237"/>
      <c r="F1564" s="237"/>
      <c r="G1564" s="237"/>
      <c r="H1564" s="237"/>
      <c r="I1564" s="237"/>
      <c r="J1564" s="383"/>
      <c r="K1564" s="25">
        <f>SUM(J1367:J1563)</f>
        <v>20233965.850000005</v>
      </c>
      <c r="L1564" s="383"/>
      <c r="M1564" s="383"/>
      <c r="N1564" s="383"/>
      <c r="O1564" s="243"/>
      <c r="P1564" s="243"/>
      <c r="Q1564" s="243"/>
      <c r="R1564" s="243"/>
      <c r="S1564" s="243"/>
      <c r="T1564" s="243"/>
      <c r="U1564" s="243"/>
      <c r="V1564" s="243"/>
      <c r="W1564" s="243"/>
      <c r="X1564" s="243"/>
      <c r="Y1564" s="243"/>
      <c r="Z1564" s="243"/>
      <c r="AA1564" s="243"/>
      <c r="AB1564" s="243"/>
      <c r="AC1564" s="243"/>
      <c r="AD1564" s="243"/>
      <c r="AE1564" s="243"/>
      <c r="AF1564" s="243"/>
      <c r="AG1564" s="243"/>
      <c r="AH1564" s="243"/>
      <c r="AI1564" s="243"/>
      <c r="AJ1564" s="243"/>
      <c r="AK1564" s="243"/>
      <c r="AL1564" s="243"/>
      <c r="AM1564" s="243"/>
      <c r="AN1564" s="243"/>
      <c r="AO1564" s="243"/>
      <c r="AP1564" s="243"/>
      <c r="AQ1564" s="243"/>
      <c r="AR1564" s="243"/>
      <c r="AS1564" s="243"/>
      <c r="AT1564" s="243"/>
      <c r="AU1564" s="243"/>
      <c r="AV1564" s="243"/>
      <c r="AW1564" s="243"/>
      <c r="AX1564" s="243"/>
      <c r="AY1564" s="243"/>
      <c r="AZ1564" s="243"/>
      <c r="BA1564" s="243"/>
      <c r="BB1564" s="243"/>
      <c r="BC1564" s="243"/>
      <c r="BD1564" s="243"/>
      <c r="BE1564" s="243"/>
      <c r="BF1564" s="243"/>
      <c r="BG1564" s="243"/>
      <c r="BH1564" s="243"/>
      <c r="BI1564" s="243"/>
      <c r="BJ1564" s="243"/>
      <c r="BK1564" s="243"/>
      <c r="BL1564" s="243"/>
      <c r="BM1564" s="243"/>
      <c r="BN1564" s="243"/>
      <c r="BO1564" s="243"/>
      <c r="BP1564" s="243"/>
      <c r="BQ1564" s="243"/>
      <c r="BR1564" s="243"/>
      <c r="BS1564" s="243"/>
    </row>
    <row r="1565" spans="1:71" s="12" customFormat="1" ht="41.25" customHeight="1">
      <c r="A1565" s="178" t="s">
        <v>113</v>
      </c>
      <c r="B1565" s="75" t="str">
        <f ca="1">+UPPER(Tabla1321124[[#This Row],[DESCRIPCIÓN DE LA COMPRA O CONTRATACIÓN]])</f>
        <v>APARATO TELEFONICO</v>
      </c>
      <c r="C1565" s="39" t="s">
        <v>17</v>
      </c>
      <c r="D1565" s="236">
        <v>85</v>
      </c>
      <c r="E1565" s="236">
        <f>72+4</f>
        <v>76</v>
      </c>
      <c r="F1565" s="236">
        <v>85</v>
      </c>
      <c r="G1565" s="236">
        <f>72+4</f>
        <v>76</v>
      </c>
      <c r="H1565" s="236">
        <f>Tabla1321124[[#This Row],[CUARTO TRIMESTRE]]+Tabla1321124[[#This Row],[TERCER TRIMESTRE]]+Tabla1321124[[#This Row],[SEGUNDO TRIMESTRE]]+Tabla1321124[[#This Row],[PRIMER TRIMESTRE]]</f>
        <v>322</v>
      </c>
      <c r="I1565" s="17">
        <v>806.2</v>
      </c>
      <c r="J1565" s="17">
        <f>+Tabla1321124[[#This Row],[CANTIDAD TOTAL]]*Tabla1321124[[#This Row],[PRECIO UNITARIO ESTIMADO]]</f>
        <v>259596.40000000002</v>
      </c>
      <c r="K1565" s="17"/>
      <c r="L1565" s="16" t="s">
        <v>15</v>
      </c>
      <c r="M1565" s="16" t="s">
        <v>22</v>
      </c>
      <c r="N1565" s="16" t="s">
        <v>418</v>
      </c>
      <c r="O1565" s="243"/>
      <c r="P1565" s="243"/>
      <c r="Q1565" s="243"/>
      <c r="R1565" s="243"/>
      <c r="S1565" s="243"/>
      <c r="T1565" s="243"/>
      <c r="U1565" s="243"/>
      <c r="V1565" s="243"/>
      <c r="W1565" s="243"/>
      <c r="X1565" s="243"/>
      <c r="Y1565" s="243"/>
      <c r="Z1565" s="243"/>
      <c r="AA1565" s="243"/>
      <c r="AB1565" s="243"/>
      <c r="AC1565" s="243"/>
      <c r="AD1565" s="243"/>
      <c r="AE1565" s="243"/>
      <c r="AF1565" s="243"/>
      <c r="AG1565" s="243"/>
      <c r="AH1565" s="243"/>
      <c r="AI1565" s="243"/>
      <c r="AJ1565" s="243"/>
      <c r="AK1565" s="243"/>
      <c r="AL1565" s="243"/>
      <c r="AM1565" s="243"/>
      <c r="AN1565" s="243"/>
      <c r="AO1565" s="243"/>
      <c r="AP1565" s="243"/>
      <c r="AQ1565" s="243"/>
      <c r="AR1565" s="243"/>
      <c r="AS1565" s="243"/>
      <c r="AT1565" s="243"/>
      <c r="AU1565" s="243"/>
      <c r="AV1565" s="243"/>
      <c r="AW1565" s="243"/>
      <c r="AX1565" s="243"/>
      <c r="AY1565" s="243"/>
      <c r="AZ1565" s="243"/>
      <c r="BA1565" s="243"/>
      <c r="BB1565" s="243"/>
      <c r="BC1565" s="243"/>
      <c r="BD1565" s="243"/>
      <c r="BE1565" s="243"/>
      <c r="BF1565" s="243"/>
      <c r="BG1565" s="243"/>
      <c r="BH1565" s="243"/>
      <c r="BI1565" s="243"/>
      <c r="BJ1565" s="243"/>
      <c r="BK1565" s="243"/>
      <c r="BL1565" s="243"/>
      <c r="BM1565" s="243"/>
      <c r="BN1565" s="243"/>
      <c r="BO1565" s="243"/>
      <c r="BP1565" s="243"/>
      <c r="BQ1565" s="243"/>
      <c r="BR1565" s="243"/>
      <c r="BS1565" s="243"/>
    </row>
    <row r="1566" spans="1:71" s="12" customFormat="1" ht="41.25" customHeight="1">
      <c r="A1566" s="178" t="s">
        <v>113</v>
      </c>
      <c r="B1566" s="75" t="str">
        <f ca="1">+UPPER(Tabla1321124[[#This Row],[DESCRIPCIÓN DE LA COMPRA O CONTRATACIÓN]])</f>
        <v>CABLE DE TELEFONO DE INTERIOR DE 4 HILOS</v>
      </c>
      <c r="C1566" s="39" t="s">
        <v>234</v>
      </c>
      <c r="D1566" s="236">
        <v>26</v>
      </c>
      <c r="E1566" s="236">
        <v>25</v>
      </c>
      <c r="F1566" s="236">
        <v>26</v>
      </c>
      <c r="G1566" s="236">
        <v>25</v>
      </c>
      <c r="H1566" s="236">
        <f>Tabla1321124[[#This Row],[CUARTO TRIMESTRE]]+Tabla1321124[[#This Row],[TERCER TRIMESTRE]]+Tabla1321124[[#This Row],[SEGUNDO TRIMESTRE]]+Tabla1321124[[#This Row],[PRIMER TRIMESTRE]]</f>
        <v>102</v>
      </c>
      <c r="I1566" s="17">
        <v>7099.2</v>
      </c>
      <c r="J1566" s="17">
        <f>+Tabla1321124[[#This Row],[CANTIDAD TOTAL]]*Tabla1321124[[#This Row],[PRECIO UNITARIO ESTIMADO]]</f>
        <v>724118.4</v>
      </c>
      <c r="K1566" s="17"/>
      <c r="L1566" s="16" t="s">
        <v>27</v>
      </c>
      <c r="M1566" s="16" t="s">
        <v>22</v>
      </c>
      <c r="N1566" s="16" t="s">
        <v>418</v>
      </c>
      <c r="O1566" s="243"/>
      <c r="P1566" s="243"/>
      <c r="Q1566" s="243"/>
      <c r="R1566" s="243"/>
      <c r="S1566" s="243"/>
      <c r="T1566" s="243"/>
      <c r="U1566" s="243"/>
      <c r="V1566" s="243"/>
      <c r="W1566" s="243"/>
      <c r="X1566" s="243"/>
      <c r="Y1566" s="243"/>
      <c r="Z1566" s="243"/>
      <c r="AA1566" s="243"/>
      <c r="AB1566" s="243"/>
      <c r="AC1566" s="243"/>
      <c r="AD1566" s="243"/>
      <c r="AE1566" s="243"/>
      <c r="AF1566" s="243"/>
      <c r="AG1566" s="243"/>
      <c r="AH1566" s="243"/>
      <c r="AI1566" s="243"/>
      <c r="AJ1566" s="243"/>
      <c r="AK1566" s="243"/>
      <c r="AL1566" s="243"/>
      <c r="AM1566" s="243"/>
      <c r="AN1566" s="243"/>
      <c r="AO1566" s="243"/>
      <c r="AP1566" s="243"/>
      <c r="AQ1566" s="243"/>
      <c r="AR1566" s="243"/>
      <c r="AS1566" s="243"/>
      <c r="AT1566" s="243"/>
      <c r="AU1566" s="243"/>
      <c r="AV1566" s="243"/>
      <c r="AW1566" s="243"/>
      <c r="AX1566" s="243"/>
      <c r="AY1566" s="243"/>
      <c r="AZ1566" s="243"/>
      <c r="BA1566" s="243"/>
      <c r="BB1566" s="243"/>
      <c r="BC1566" s="243"/>
      <c r="BD1566" s="243"/>
      <c r="BE1566" s="243"/>
      <c r="BF1566" s="243"/>
      <c r="BG1566" s="243"/>
      <c r="BH1566" s="243"/>
      <c r="BI1566" s="243"/>
      <c r="BJ1566" s="243"/>
      <c r="BK1566" s="243"/>
      <c r="BL1566" s="243"/>
      <c r="BM1566" s="243"/>
      <c r="BN1566" s="243"/>
      <c r="BO1566" s="243"/>
      <c r="BP1566" s="243"/>
      <c r="BQ1566" s="243"/>
      <c r="BR1566" s="243"/>
      <c r="BS1566" s="243"/>
    </row>
    <row r="1567" spans="1:71" s="12" customFormat="1" ht="41.25" customHeight="1">
      <c r="A1567" s="178" t="s">
        <v>113</v>
      </c>
      <c r="B1567" s="75" t="str">
        <f ca="1">+UPPER(Tabla1321124[[#This Row],[DESCRIPCIÓN DE LA COMPRA O CONTRATACIÓN]])</f>
        <v>CABLE DE PUÑO DE TELEFONO</v>
      </c>
      <c r="C1567" s="39" t="s">
        <v>69</v>
      </c>
      <c r="D1567" s="236">
        <v>107</v>
      </c>
      <c r="E1567" s="236">
        <v>12</v>
      </c>
      <c r="F1567" s="236">
        <v>13</v>
      </c>
      <c r="G1567" s="236">
        <v>5</v>
      </c>
      <c r="H1567" s="236">
        <f>Tabla1321124[[#This Row],[CUARTO TRIMESTRE]]+Tabla1321124[[#This Row],[TERCER TRIMESTRE]]+Tabla1321124[[#This Row],[SEGUNDO TRIMESTRE]]+Tabla1321124[[#This Row],[PRIMER TRIMESTRE]]</f>
        <v>137</v>
      </c>
      <c r="I1567" s="17">
        <v>52.2</v>
      </c>
      <c r="J1567" s="17">
        <f>+Tabla1321124[[#This Row],[CANTIDAD TOTAL]]*Tabla1321124[[#This Row],[PRECIO UNITARIO ESTIMADO]]</f>
        <v>7151.4000000000005</v>
      </c>
      <c r="K1567" s="17"/>
      <c r="L1567" s="16" t="s">
        <v>27</v>
      </c>
      <c r="M1567" s="16" t="s">
        <v>22</v>
      </c>
      <c r="N1567" s="16" t="s">
        <v>418</v>
      </c>
      <c r="O1567" s="243"/>
      <c r="P1567" s="243"/>
      <c r="Q1567" s="243"/>
      <c r="R1567" s="243"/>
      <c r="S1567" s="243"/>
      <c r="T1567" s="243"/>
      <c r="U1567" s="243"/>
      <c r="V1567" s="243"/>
      <c r="W1567" s="243"/>
      <c r="X1567" s="243"/>
      <c r="Y1567" s="243"/>
      <c r="Z1567" s="243"/>
      <c r="AA1567" s="243"/>
      <c r="AB1567" s="243"/>
      <c r="AC1567" s="243"/>
      <c r="AD1567" s="243"/>
      <c r="AE1567" s="243"/>
      <c r="AF1567" s="243"/>
      <c r="AG1567" s="243"/>
      <c r="AH1567" s="243"/>
      <c r="AI1567" s="243"/>
      <c r="AJ1567" s="243"/>
      <c r="AK1567" s="243"/>
      <c r="AL1567" s="243"/>
      <c r="AM1567" s="243"/>
      <c r="AN1567" s="243"/>
      <c r="AO1567" s="243"/>
      <c r="AP1567" s="243"/>
      <c r="AQ1567" s="243"/>
      <c r="AR1567" s="243"/>
      <c r="AS1567" s="243"/>
      <c r="AT1567" s="243"/>
      <c r="AU1567" s="243"/>
      <c r="AV1567" s="243"/>
      <c r="AW1567" s="243"/>
      <c r="AX1567" s="243"/>
      <c r="AY1567" s="243"/>
      <c r="AZ1567" s="243"/>
      <c r="BA1567" s="243"/>
      <c r="BB1567" s="243"/>
      <c r="BC1567" s="243"/>
      <c r="BD1567" s="243"/>
      <c r="BE1567" s="243"/>
      <c r="BF1567" s="243"/>
      <c r="BG1567" s="243"/>
      <c r="BH1567" s="243"/>
      <c r="BI1567" s="243"/>
      <c r="BJ1567" s="243"/>
      <c r="BK1567" s="243"/>
      <c r="BL1567" s="243"/>
      <c r="BM1567" s="243"/>
      <c r="BN1567" s="243"/>
      <c r="BO1567" s="243"/>
      <c r="BP1567" s="243"/>
      <c r="BQ1567" s="243"/>
      <c r="BR1567" s="243"/>
      <c r="BS1567" s="243"/>
    </row>
    <row r="1568" spans="1:71" s="12" customFormat="1" ht="41.25" customHeight="1">
      <c r="A1568" s="178" t="s">
        <v>113</v>
      </c>
      <c r="B1568" s="75" t="str">
        <f ca="1">+UPPER(Tabla1321124[[#This Row],[DESCRIPCIÓN DE LA COMPRA O CONTRATACIÓN]])</f>
        <v>CABLE VGA PARA MONITOR</v>
      </c>
      <c r="C1568" s="39" t="s">
        <v>17</v>
      </c>
      <c r="D1568" s="236">
        <v>7</v>
      </c>
      <c r="E1568" s="236">
        <v>7</v>
      </c>
      <c r="F1568" s="236">
        <v>7</v>
      </c>
      <c r="G1568" s="236">
        <v>7</v>
      </c>
      <c r="H1568" s="236">
        <f>Tabla1321124[[#This Row],[CUARTO TRIMESTRE]]+Tabla1321124[[#This Row],[TERCER TRIMESTRE]]+Tabla1321124[[#This Row],[SEGUNDO TRIMESTRE]]+Tabla1321124[[#This Row],[PRIMER TRIMESTRE]]</f>
        <v>28</v>
      </c>
      <c r="I1568" s="17">
        <f>41960.8/121</f>
        <v>346.7834710743802</v>
      </c>
      <c r="J1568" s="17">
        <f>+Tabla1321124[[#This Row],[CANTIDAD TOTAL]]*Tabla1321124[[#This Row],[PRECIO UNITARIO ESTIMADO]]</f>
        <v>9709.9371900826463</v>
      </c>
      <c r="K1568" s="17"/>
      <c r="L1568" s="16" t="s">
        <v>15</v>
      </c>
      <c r="M1568" s="16" t="s">
        <v>22</v>
      </c>
      <c r="N1568" s="16" t="s">
        <v>418</v>
      </c>
      <c r="O1568" s="243"/>
      <c r="P1568" s="243"/>
      <c r="Q1568" s="243"/>
      <c r="R1568" s="243"/>
      <c r="S1568" s="243"/>
      <c r="T1568" s="243"/>
      <c r="U1568" s="243"/>
      <c r="V1568" s="243"/>
      <c r="W1568" s="243"/>
      <c r="X1568" s="243"/>
      <c r="Y1568" s="243"/>
      <c r="Z1568" s="243"/>
      <c r="AA1568" s="243"/>
      <c r="AB1568" s="243"/>
      <c r="AC1568" s="243"/>
      <c r="AD1568" s="243"/>
      <c r="AE1568" s="243"/>
      <c r="AF1568" s="243"/>
      <c r="AG1568" s="243"/>
      <c r="AH1568" s="243"/>
      <c r="AI1568" s="243"/>
      <c r="AJ1568" s="243"/>
      <c r="AK1568" s="243"/>
      <c r="AL1568" s="243"/>
      <c r="AM1568" s="243"/>
      <c r="AN1568" s="243"/>
      <c r="AO1568" s="243"/>
      <c r="AP1568" s="243"/>
      <c r="AQ1568" s="243"/>
      <c r="AR1568" s="243"/>
      <c r="AS1568" s="243"/>
      <c r="AT1568" s="243"/>
      <c r="AU1568" s="243"/>
      <c r="AV1568" s="243"/>
      <c r="AW1568" s="243"/>
      <c r="AX1568" s="243"/>
      <c r="AY1568" s="243"/>
      <c r="AZ1568" s="243"/>
      <c r="BA1568" s="243"/>
      <c r="BB1568" s="243"/>
      <c r="BC1568" s="243"/>
      <c r="BD1568" s="243"/>
      <c r="BE1568" s="243"/>
      <c r="BF1568" s="243"/>
      <c r="BG1568" s="243"/>
      <c r="BH1568" s="243"/>
      <c r="BI1568" s="243"/>
      <c r="BJ1568" s="243"/>
      <c r="BK1568" s="243"/>
      <c r="BL1568" s="243"/>
      <c r="BM1568" s="243"/>
      <c r="BN1568" s="243"/>
      <c r="BO1568" s="243"/>
      <c r="BP1568" s="243"/>
      <c r="BQ1568" s="243"/>
      <c r="BR1568" s="243"/>
      <c r="BS1568" s="243"/>
    </row>
    <row r="1569" spans="1:71" s="12" customFormat="1" ht="41.25" customHeight="1">
      <c r="A1569" s="178" t="s">
        <v>113</v>
      </c>
      <c r="B1569" s="75" t="str">
        <f ca="1">+UPPER(Tabla1321124[[#This Row],[DESCRIPCIÓN DE LA COMPRA O CONTRATACIÓN]])</f>
        <v>MICROFONO INALAMBRICO EW135-PG3-A</v>
      </c>
      <c r="C1569" s="39" t="s">
        <v>17</v>
      </c>
      <c r="D1569" s="236">
        <v>4</v>
      </c>
      <c r="E1569" s="236"/>
      <c r="F1569" s="236"/>
      <c r="G1569" s="236"/>
      <c r="H1569" s="236">
        <f>Tabla1321124[[#This Row],[CUARTO TRIMESTRE]]+Tabla1321124[[#This Row],[TERCER TRIMESTRE]]+Tabla1321124[[#This Row],[SEGUNDO TRIMESTRE]]+Tabla1321124[[#This Row],[PRIMER TRIMESTRE]]</f>
        <v>4</v>
      </c>
      <c r="I1569" s="17">
        <v>668</v>
      </c>
      <c r="J1569" s="17">
        <f>+Tabla1321124[[#This Row],[CANTIDAD TOTAL]]*Tabla1321124[[#This Row],[PRECIO UNITARIO ESTIMADO]]</f>
        <v>2672</v>
      </c>
      <c r="K1569" s="17"/>
      <c r="L1569" s="16" t="s">
        <v>15</v>
      </c>
      <c r="M1569" s="16" t="s">
        <v>22</v>
      </c>
      <c r="N1569" s="16" t="s">
        <v>418</v>
      </c>
      <c r="O1569" s="243"/>
      <c r="P1569" s="243"/>
      <c r="Q1569" s="243"/>
      <c r="R1569" s="243"/>
      <c r="S1569" s="243"/>
      <c r="T1569" s="243"/>
      <c r="U1569" s="243"/>
      <c r="V1569" s="243"/>
      <c r="W1569" s="243"/>
      <c r="X1569" s="243"/>
      <c r="Y1569" s="243"/>
      <c r="Z1569" s="243"/>
      <c r="AA1569" s="243"/>
      <c r="AB1569" s="243"/>
      <c r="AC1569" s="243"/>
      <c r="AD1569" s="243"/>
      <c r="AE1569" s="243"/>
      <c r="AF1569" s="243"/>
      <c r="AG1569" s="243"/>
      <c r="AH1569" s="243"/>
      <c r="AI1569" s="243"/>
      <c r="AJ1569" s="243"/>
      <c r="AK1569" s="243"/>
      <c r="AL1569" s="243"/>
      <c r="AM1569" s="243"/>
      <c r="AN1569" s="243"/>
      <c r="AO1569" s="243"/>
      <c r="AP1569" s="243"/>
      <c r="AQ1569" s="243"/>
      <c r="AR1569" s="243"/>
      <c r="AS1569" s="243"/>
      <c r="AT1569" s="243"/>
      <c r="AU1569" s="243"/>
      <c r="AV1569" s="243"/>
      <c r="AW1569" s="243"/>
      <c r="AX1569" s="243"/>
      <c r="AY1569" s="243"/>
      <c r="AZ1569" s="243"/>
      <c r="BA1569" s="243"/>
      <c r="BB1569" s="243"/>
      <c r="BC1569" s="243"/>
      <c r="BD1569" s="243"/>
      <c r="BE1569" s="243"/>
      <c r="BF1569" s="243"/>
      <c r="BG1569" s="243"/>
      <c r="BH1569" s="243"/>
      <c r="BI1569" s="243"/>
      <c r="BJ1569" s="243"/>
      <c r="BK1569" s="243"/>
      <c r="BL1569" s="243"/>
      <c r="BM1569" s="243"/>
      <c r="BN1569" s="243"/>
      <c r="BO1569" s="243"/>
      <c r="BP1569" s="243"/>
      <c r="BQ1569" s="243"/>
      <c r="BR1569" s="243"/>
      <c r="BS1569" s="243"/>
    </row>
    <row r="1570" spans="1:71" s="12" customFormat="1" ht="41.25" customHeight="1">
      <c r="A1570" s="178" t="s">
        <v>113</v>
      </c>
      <c r="B1570" s="75" t="str">
        <f ca="1">+UPPER(Tabla1321124[[#This Row],[DESCRIPCIÓN DE LA COMPRA O CONTRATACIÓN]])</f>
        <v>MINI DVD CAM</v>
      </c>
      <c r="C1570" s="39" t="s">
        <v>208</v>
      </c>
      <c r="D1570" s="236">
        <v>1</v>
      </c>
      <c r="E1570" s="236"/>
      <c r="F1570" s="236"/>
      <c r="G1570" s="236"/>
      <c r="H1570" s="236">
        <f>Tabla1321124[[#This Row],[CUARTO TRIMESTRE]]+Tabla1321124[[#This Row],[TERCER TRIMESTRE]]+Tabla1321124[[#This Row],[SEGUNDO TRIMESTRE]]+Tabla1321124[[#This Row],[PRIMER TRIMESTRE]]</f>
        <v>1</v>
      </c>
      <c r="I1570" s="17">
        <v>754</v>
      </c>
      <c r="J1570" s="17">
        <f>+Tabla1321124[[#This Row],[CANTIDAD TOTAL]]*Tabla1321124[[#This Row],[PRECIO UNITARIO ESTIMADO]]</f>
        <v>754</v>
      </c>
      <c r="K1570" s="386">
        <f>SUM(J1565:J1570)</f>
        <v>1004002.1371900827</v>
      </c>
      <c r="L1570" s="16" t="s">
        <v>27</v>
      </c>
      <c r="M1570" s="16" t="s">
        <v>22</v>
      </c>
      <c r="N1570" s="16" t="s">
        <v>418</v>
      </c>
      <c r="O1570" s="243"/>
      <c r="P1570" s="243"/>
      <c r="Q1570" s="243"/>
      <c r="R1570" s="243"/>
      <c r="S1570" s="243"/>
      <c r="T1570" s="243"/>
      <c r="U1570" s="243"/>
      <c r="V1570" s="243"/>
      <c r="W1570" s="243"/>
      <c r="X1570" s="243"/>
      <c r="Y1570" s="243"/>
      <c r="Z1570" s="243"/>
      <c r="AA1570" s="243"/>
      <c r="AB1570" s="243"/>
      <c r="AC1570" s="243"/>
      <c r="AD1570" s="243"/>
      <c r="AE1570" s="243"/>
      <c r="AF1570" s="243"/>
      <c r="AG1570" s="243"/>
      <c r="AH1570" s="243"/>
      <c r="AI1570" s="243"/>
      <c r="AJ1570" s="243"/>
      <c r="AK1570" s="243"/>
      <c r="AL1570" s="243"/>
      <c r="AM1570" s="243"/>
      <c r="AN1570" s="243"/>
      <c r="AO1570" s="243"/>
      <c r="AP1570" s="243"/>
      <c r="AQ1570" s="243"/>
      <c r="AR1570" s="243"/>
      <c r="AS1570" s="243"/>
      <c r="AT1570" s="243"/>
      <c r="AU1570" s="243"/>
      <c r="AV1570" s="243"/>
      <c r="AW1570" s="243"/>
      <c r="AX1570" s="243"/>
      <c r="AY1570" s="243"/>
      <c r="AZ1570" s="243"/>
      <c r="BA1570" s="243"/>
      <c r="BB1570" s="243"/>
      <c r="BC1570" s="243"/>
      <c r="BD1570" s="243"/>
      <c r="BE1570" s="243"/>
      <c r="BF1570" s="243"/>
      <c r="BG1570" s="243"/>
      <c r="BH1570" s="243"/>
      <c r="BI1570" s="243"/>
      <c r="BJ1570" s="243"/>
      <c r="BK1570" s="243"/>
      <c r="BL1570" s="243"/>
      <c r="BM1570" s="243"/>
      <c r="BN1570" s="243"/>
      <c r="BO1570" s="243"/>
      <c r="BP1570" s="243"/>
      <c r="BQ1570" s="243"/>
      <c r="BR1570" s="243"/>
      <c r="BS1570" s="243"/>
    </row>
    <row r="1571" spans="1:71" s="12" customFormat="1" ht="41.25" customHeight="1">
      <c r="A1571" s="538" t="s">
        <v>113</v>
      </c>
      <c r="B1571" s="76" t="str">
        <f ca="1">+UPPER(Tabla1321124[[#This Row],[DESCRIPCIÓN DE LA COMPRA O CONTRATACIÓN]])</f>
        <v/>
      </c>
      <c r="C1571" s="237"/>
      <c r="D1571" s="237"/>
      <c r="E1571" s="237"/>
      <c r="F1571" s="237"/>
      <c r="G1571" s="237"/>
      <c r="H1571" s="237"/>
      <c r="I1571" s="237"/>
      <c r="J1571" s="383"/>
      <c r="K1571" s="25">
        <f>SUM(J1565:J1570)</f>
        <v>1004002.1371900827</v>
      </c>
      <c r="L1571" s="383"/>
      <c r="M1571" s="383"/>
      <c r="N1571" s="383"/>
      <c r="O1571" s="243"/>
      <c r="P1571" s="243"/>
      <c r="Q1571" s="243"/>
      <c r="R1571" s="243"/>
      <c r="S1571" s="243"/>
      <c r="T1571" s="243"/>
      <c r="U1571" s="243"/>
      <c r="V1571" s="243"/>
      <c r="W1571" s="243"/>
      <c r="X1571" s="243"/>
      <c r="Y1571" s="243"/>
      <c r="Z1571" s="243"/>
      <c r="AA1571" s="243"/>
      <c r="AB1571" s="243"/>
      <c r="AC1571" s="243"/>
      <c r="AD1571" s="243"/>
      <c r="AE1571" s="243"/>
      <c r="AF1571" s="243"/>
      <c r="AG1571" s="243"/>
      <c r="AH1571" s="243"/>
      <c r="AI1571" s="243"/>
      <c r="AJ1571" s="243"/>
      <c r="AK1571" s="243"/>
      <c r="AL1571" s="243"/>
      <c r="AM1571" s="243"/>
      <c r="AN1571" s="243"/>
      <c r="AO1571" s="243"/>
      <c r="AP1571" s="243"/>
      <c r="AQ1571" s="243"/>
      <c r="AR1571" s="243"/>
      <c r="AS1571" s="243"/>
      <c r="AT1571" s="243"/>
      <c r="AU1571" s="243"/>
      <c r="AV1571" s="243"/>
      <c r="AW1571" s="243"/>
      <c r="AX1571" s="243"/>
      <c r="AY1571" s="243"/>
      <c r="AZ1571" s="243"/>
      <c r="BA1571" s="243"/>
      <c r="BB1571" s="243"/>
      <c r="BC1571" s="243"/>
      <c r="BD1571" s="243"/>
      <c r="BE1571" s="243"/>
      <c r="BF1571" s="243"/>
      <c r="BG1571" s="243"/>
      <c r="BH1571" s="243"/>
      <c r="BI1571" s="243"/>
      <c r="BJ1571" s="243"/>
      <c r="BK1571" s="243"/>
      <c r="BL1571" s="243"/>
      <c r="BM1571" s="243"/>
      <c r="BN1571" s="243"/>
      <c r="BO1571" s="243"/>
      <c r="BP1571" s="243"/>
      <c r="BQ1571" s="243"/>
      <c r="BR1571" s="243"/>
      <c r="BS1571" s="243"/>
    </row>
    <row r="1572" spans="1:71" s="12" customFormat="1" ht="41.25" customHeight="1">
      <c r="A1572" s="180" t="s">
        <v>115</v>
      </c>
      <c r="B1572" s="75" t="str">
        <f ca="1">+UPPER(Tabla1321124[[#This Row],[DESCRIPCIÓN DE LA COMPRA O CONTRATACIÓN]])</f>
        <v xml:space="preserve">ESCANER </v>
      </c>
      <c r="C1572" s="39" t="s">
        <v>17</v>
      </c>
      <c r="D1572" s="210">
        <v>2</v>
      </c>
      <c r="E1572" s="210"/>
      <c r="F1572" s="210"/>
      <c r="G1572" s="210"/>
      <c r="H1572" s="236">
        <f>Tabla1321124[[#This Row],[CUARTO TRIMESTRE]]+Tabla1321124[[#This Row],[TERCER TRIMESTRE]]+Tabla1321124[[#This Row],[SEGUNDO TRIMESTRE]]+Tabla1321124[[#This Row],[PRIMER TRIMESTRE]]</f>
        <v>2</v>
      </c>
      <c r="I1572" s="17">
        <f>544724/8</f>
        <v>68090.5</v>
      </c>
      <c r="J1572" s="72">
        <f>+Tabla1321124[[#This Row],[CANTIDAD TOTAL]]*Tabla1321124[[#This Row],[PRECIO UNITARIO ESTIMADO]]</f>
        <v>136181</v>
      </c>
      <c r="K1572" s="72"/>
      <c r="L1572" s="16" t="s">
        <v>18</v>
      </c>
      <c r="M1572" s="16" t="s">
        <v>22</v>
      </c>
      <c r="N1572" s="16" t="s">
        <v>418</v>
      </c>
      <c r="O1572" s="243"/>
      <c r="P1572" s="243"/>
      <c r="Q1572" s="243"/>
      <c r="R1572" s="243"/>
      <c r="S1572" s="243"/>
      <c r="T1572" s="243"/>
      <c r="U1572" s="243"/>
      <c r="V1572" s="243"/>
      <c r="W1572" s="243"/>
      <c r="X1572" s="243"/>
      <c r="Y1572" s="243"/>
      <c r="Z1572" s="243"/>
      <c r="AA1572" s="243"/>
      <c r="AB1572" s="243"/>
      <c r="AC1572" s="243"/>
      <c r="AD1572" s="243"/>
      <c r="AE1572" s="243"/>
      <c r="AF1572" s="243"/>
      <c r="AG1572" s="243"/>
      <c r="AH1572" s="243"/>
      <c r="AI1572" s="243"/>
      <c r="AJ1572" s="243"/>
      <c r="AK1572" s="243"/>
      <c r="AL1572" s="243"/>
      <c r="AM1572" s="243"/>
      <c r="AN1572" s="243"/>
      <c r="AO1572" s="243"/>
      <c r="AP1572" s="243"/>
      <c r="AQ1572" s="243"/>
      <c r="AR1572" s="243"/>
      <c r="AS1572" s="243"/>
      <c r="AT1572" s="243"/>
      <c r="AU1572" s="243"/>
      <c r="AV1572" s="243"/>
      <c r="AW1572" s="243"/>
      <c r="AX1572" s="243"/>
      <c r="AY1572" s="243"/>
      <c r="AZ1572" s="243"/>
      <c r="BA1572" s="243"/>
      <c r="BB1572" s="243"/>
      <c r="BC1572" s="243"/>
      <c r="BD1572" s="243"/>
      <c r="BE1572" s="243"/>
      <c r="BF1572" s="243"/>
      <c r="BG1572" s="243"/>
      <c r="BH1572" s="243"/>
      <c r="BI1572" s="243"/>
      <c r="BJ1572" s="243"/>
      <c r="BK1572" s="243"/>
      <c r="BL1572" s="243"/>
      <c r="BM1572" s="243"/>
      <c r="BN1572" s="243"/>
      <c r="BO1572" s="243"/>
      <c r="BP1572" s="243"/>
      <c r="BQ1572" s="243"/>
      <c r="BR1572" s="243"/>
      <c r="BS1572" s="243"/>
    </row>
    <row r="1573" spans="1:71" s="12" customFormat="1" ht="41.25" customHeight="1">
      <c r="A1573" s="178" t="s">
        <v>115</v>
      </c>
      <c r="B1573" s="75" t="str">
        <f ca="1">+UPPER(Tabla1321124[[#This Row],[DESCRIPCIÓN DE LA COMPRA O CONTRATACIÓN]])</f>
        <v>FAX UX45</v>
      </c>
      <c r="C1573" s="39" t="s">
        <v>17</v>
      </c>
      <c r="D1573" s="236"/>
      <c r="E1573" s="236"/>
      <c r="F1573" s="236"/>
      <c r="G1573" s="236"/>
      <c r="H1573" s="236">
        <f>Tabla1321124[[#This Row],[CUARTO TRIMESTRE]]+Tabla1321124[[#This Row],[TERCER TRIMESTRE]]+Tabla1321124[[#This Row],[SEGUNDO TRIMESTRE]]+Tabla1321124[[#This Row],[PRIMER TRIMESTRE]]</f>
        <v>0</v>
      </c>
      <c r="I1573" s="17">
        <v>3074</v>
      </c>
      <c r="J1573" s="72">
        <f>+Tabla1321124[[#This Row],[CANTIDAD TOTAL]]*Tabla1321124[[#This Row],[PRECIO UNITARIO ESTIMADO]]</f>
        <v>0</v>
      </c>
      <c r="K1573" s="17"/>
      <c r="L1573" s="16" t="s">
        <v>18</v>
      </c>
      <c r="M1573" s="16" t="s">
        <v>22</v>
      </c>
      <c r="N1573" s="16" t="s">
        <v>418</v>
      </c>
      <c r="O1573" s="243"/>
      <c r="P1573" s="243"/>
      <c r="Q1573" s="243"/>
      <c r="R1573" s="243"/>
      <c r="S1573" s="243"/>
      <c r="T1573" s="243"/>
      <c r="U1573" s="243"/>
      <c r="V1573" s="243"/>
      <c r="W1573" s="243"/>
      <c r="X1573" s="243"/>
      <c r="Y1573" s="243"/>
      <c r="Z1573" s="243"/>
      <c r="AA1573" s="243"/>
      <c r="AB1573" s="243"/>
      <c r="AC1573" s="243"/>
      <c r="AD1573" s="243"/>
      <c r="AE1573" s="243"/>
      <c r="AF1573" s="243"/>
      <c r="AG1573" s="243"/>
      <c r="AH1573" s="243"/>
      <c r="AI1573" s="243"/>
      <c r="AJ1573" s="243"/>
      <c r="AK1573" s="243"/>
      <c r="AL1573" s="243"/>
      <c r="AM1573" s="243"/>
      <c r="AN1573" s="243"/>
      <c r="AO1573" s="243"/>
      <c r="AP1573" s="243"/>
      <c r="AQ1573" s="243"/>
      <c r="AR1573" s="243"/>
      <c r="AS1573" s="243"/>
      <c r="AT1573" s="243"/>
      <c r="AU1573" s="243"/>
      <c r="AV1573" s="243"/>
      <c r="AW1573" s="243"/>
      <c r="AX1573" s="243"/>
      <c r="AY1573" s="243"/>
      <c r="AZ1573" s="243"/>
      <c r="BA1573" s="243"/>
      <c r="BB1573" s="243"/>
      <c r="BC1573" s="243"/>
      <c r="BD1573" s="243"/>
      <c r="BE1573" s="243"/>
      <c r="BF1573" s="243"/>
      <c r="BG1573" s="243"/>
      <c r="BH1573" s="243"/>
      <c r="BI1573" s="243"/>
      <c r="BJ1573" s="243"/>
      <c r="BK1573" s="243"/>
      <c r="BL1573" s="243"/>
      <c r="BM1573" s="243"/>
      <c r="BN1573" s="243"/>
      <c r="BO1573" s="243"/>
      <c r="BP1573" s="243"/>
      <c r="BQ1573" s="243"/>
      <c r="BR1573" s="243"/>
      <c r="BS1573" s="243"/>
    </row>
    <row r="1574" spans="1:71" s="12" customFormat="1" ht="41.25" customHeight="1">
      <c r="A1574" s="178" t="s">
        <v>115</v>
      </c>
      <c r="B1574" s="75" t="str">
        <f ca="1">+UPPER(Tabla1321124[[#This Row],[DESCRIPCIÓN DE LA COMPRA O CONTRATACIÓN]])</f>
        <v>FOTOCOPIADORA</v>
      </c>
      <c r="C1574" s="39" t="s">
        <v>17</v>
      </c>
      <c r="D1574" s="236">
        <v>1</v>
      </c>
      <c r="E1574" s="236"/>
      <c r="F1574" s="236"/>
      <c r="G1574" s="236"/>
      <c r="H1574" s="236">
        <f>Tabla1321124[[#This Row],[CUARTO TRIMESTRE]]+Tabla1321124[[#This Row],[TERCER TRIMESTRE]]+Tabla1321124[[#This Row],[SEGUNDO TRIMESTRE]]+Tabla1321124[[#This Row],[PRIMER TRIMESTRE]]</f>
        <v>1</v>
      </c>
      <c r="I1574" s="17">
        <v>24940</v>
      </c>
      <c r="J1574" s="72">
        <f>+Tabla1321124[[#This Row],[CANTIDAD TOTAL]]*Tabla1321124[[#This Row],[PRECIO UNITARIO ESTIMADO]]</f>
        <v>24940</v>
      </c>
      <c r="K1574" s="17"/>
      <c r="L1574" s="16" t="s">
        <v>18</v>
      </c>
      <c r="M1574" s="16" t="s">
        <v>22</v>
      </c>
      <c r="N1574" s="16" t="s">
        <v>418</v>
      </c>
      <c r="O1574" s="243"/>
      <c r="P1574" s="243"/>
      <c r="Q1574" s="243"/>
      <c r="R1574" s="243"/>
      <c r="S1574" s="243"/>
      <c r="T1574" s="243"/>
      <c r="U1574" s="243"/>
      <c r="V1574" s="243"/>
      <c r="W1574" s="243"/>
      <c r="X1574" s="243"/>
      <c r="Y1574" s="243"/>
      <c r="Z1574" s="243"/>
      <c r="AA1574" s="243"/>
      <c r="AB1574" s="243"/>
      <c r="AC1574" s="243"/>
      <c r="AD1574" s="243"/>
      <c r="AE1574" s="243"/>
      <c r="AF1574" s="243"/>
      <c r="AG1574" s="243"/>
      <c r="AH1574" s="243"/>
      <c r="AI1574" s="243"/>
      <c r="AJ1574" s="243"/>
      <c r="AK1574" s="243"/>
      <c r="AL1574" s="243"/>
      <c r="AM1574" s="243"/>
      <c r="AN1574" s="243"/>
      <c r="AO1574" s="243"/>
      <c r="AP1574" s="243"/>
      <c r="AQ1574" s="243"/>
      <c r="AR1574" s="243"/>
      <c r="AS1574" s="243"/>
      <c r="AT1574" s="243"/>
      <c r="AU1574" s="243"/>
      <c r="AV1574" s="243"/>
      <c r="AW1574" s="243"/>
      <c r="AX1574" s="243"/>
      <c r="AY1574" s="243"/>
      <c r="AZ1574" s="243"/>
      <c r="BA1574" s="243"/>
      <c r="BB1574" s="243"/>
      <c r="BC1574" s="243"/>
      <c r="BD1574" s="243"/>
      <c r="BE1574" s="243"/>
      <c r="BF1574" s="243"/>
      <c r="BG1574" s="243"/>
      <c r="BH1574" s="243"/>
      <c r="BI1574" s="243"/>
      <c r="BJ1574" s="243"/>
      <c r="BK1574" s="243"/>
      <c r="BL1574" s="243"/>
      <c r="BM1574" s="243"/>
      <c r="BN1574" s="243"/>
      <c r="BO1574" s="243"/>
      <c r="BP1574" s="243"/>
      <c r="BQ1574" s="243"/>
      <c r="BR1574" s="243"/>
      <c r="BS1574" s="243"/>
    </row>
    <row r="1575" spans="1:71" s="12" customFormat="1" ht="41.25" customHeight="1">
      <c r="A1575" s="178" t="s">
        <v>115</v>
      </c>
      <c r="B1575" s="75" t="str">
        <f ca="1">+UPPER(Tabla1321124[[#This Row],[DESCRIPCIÓN DE LA COMPRA O CONTRATACIÓN]])</f>
        <v>FOTOCOPIADORA  ARM 237</v>
      </c>
      <c r="C1575" s="39" t="s">
        <v>17</v>
      </c>
      <c r="D1575" s="236"/>
      <c r="E1575" s="236"/>
      <c r="F1575" s="236"/>
      <c r="G1575" s="236"/>
      <c r="H1575" s="236">
        <f>Tabla1321124[[#This Row],[CUARTO TRIMESTRE]]+Tabla1321124[[#This Row],[TERCER TRIMESTRE]]+Tabla1321124[[#This Row],[SEGUNDO TRIMESTRE]]+Tabla1321124[[#This Row],[PRIMER TRIMESTRE]]</f>
        <v>0</v>
      </c>
      <c r="I1575" s="17">
        <v>77185.240000000005</v>
      </c>
      <c r="J1575" s="72">
        <f>+Tabla1321124[[#This Row],[CANTIDAD TOTAL]]*Tabla1321124[[#This Row],[PRECIO UNITARIO ESTIMADO]]</f>
        <v>0</v>
      </c>
      <c r="K1575" s="17"/>
      <c r="L1575" s="16" t="s">
        <v>18</v>
      </c>
      <c r="M1575" s="16" t="s">
        <v>22</v>
      </c>
      <c r="N1575" s="16" t="s">
        <v>418</v>
      </c>
      <c r="O1575" s="243"/>
      <c r="P1575" s="243"/>
      <c r="Q1575" s="243"/>
      <c r="R1575" s="243"/>
      <c r="S1575" s="243"/>
      <c r="T1575" s="243"/>
      <c r="U1575" s="243"/>
      <c r="V1575" s="243"/>
      <c r="W1575" s="243"/>
      <c r="X1575" s="243"/>
      <c r="Y1575" s="243"/>
      <c r="Z1575" s="243"/>
      <c r="AA1575" s="243"/>
      <c r="AB1575" s="243"/>
      <c r="AC1575" s="243"/>
      <c r="AD1575" s="243"/>
      <c r="AE1575" s="243"/>
      <c r="AF1575" s="243"/>
      <c r="AG1575" s="243"/>
      <c r="AH1575" s="243"/>
      <c r="AI1575" s="243"/>
      <c r="AJ1575" s="243"/>
      <c r="AK1575" s="243"/>
      <c r="AL1575" s="243"/>
      <c r="AM1575" s="243"/>
      <c r="AN1575" s="243"/>
      <c r="AO1575" s="243"/>
      <c r="AP1575" s="243"/>
      <c r="AQ1575" s="243"/>
      <c r="AR1575" s="243"/>
      <c r="AS1575" s="243"/>
      <c r="AT1575" s="243"/>
      <c r="AU1575" s="243"/>
      <c r="AV1575" s="243"/>
      <c r="AW1575" s="243"/>
      <c r="AX1575" s="243"/>
      <c r="AY1575" s="243"/>
      <c r="AZ1575" s="243"/>
      <c r="BA1575" s="243"/>
      <c r="BB1575" s="243"/>
      <c r="BC1575" s="243"/>
      <c r="BD1575" s="243"/>
      <c r="BE1575" s="243"/>
      <c r="BF1575" s="243"/>
      <c r="BG1575" s="243"/>
      <c r="BH1575" s="243"/>
      <c r="BI1575" s="243"/>
      <c r="BJ1575" s="243"/>
      <c r="BK1575" s="243"/>
      <c r="BL1575" s="243"/>
      <c r="BM1575" s="243"/>
      <c r="BN1575" s="243"/>
      <c r="BO1575" s="243"/>
      <c r="BP1575" s="243"/>
      <c r="BQ1575" s="243"/>
      <c r="BR1575" s="243"/>
      <c r="BS1575" s="243"/>
    </row>
    <row r="1576" spans="1:71" s="12" customFormat="1" ht="47.25" customHeight="1">
      <c r="A1576" s="178" t="s">
        <v>115</v>
      </c>
      <c r="B1576" s="75" t="str">
        <f ca="1">+UPPER(Tabla1321124[[#This Row],[DESCRIPCIÓN DE LA COMPRA O CONTRATACIÓN]])</f>
        <v>CALCULADORA</v>
      </c>
      <c r="C1576" s="39" t="s">
        <v>17</v>
      </c>
      <c r="D1576" s="236"/>
      <c r="E1576" s="236"/>
      <c r="F1576" s="236"/>
      <c r="G1576" s="236"/>
      <c r="H1576" s="236">
        <f>Tabla1321124[[#This Row],[CUARTO TRIMESTRE]]+Tabla1321124[[#This Row],[TERCER TRIMESTRE]]+Tabla1321124[[#This Row],[SEGUNDO TRIMESTRE]]+Tabla1321124[[#This Row],[PRIMER TRIMESTRE]]</f>
        <v>0</v>
      </c>
      <c r="I1576" s="17">
        <f>31243.78/16</f>
        <v>1952.7362499999999</v>
      </c>
      <c r="J1576" s="72">
        <f>+Tabla1321124[[#This Row],[CANTIDAD TOTAL]]*Tabla1321124[[#This Row],[PRECIO UNITARIO ESTIMADO]]</f>
        <v>0</v>
      </c>
      <c r="K1576" s="17"/>
      <c r="L1576" s="16" t="s">
        <v>18</v>
      </c>
      <c r="M1576" s="16" t="s">
        <v>22</v>
      </c>
      <c r="N1576" s="16" t="s">
        <v>418</v>
      </c>
      <c r="O1576" s="243"/>
      <c r="P1576" s="243"/>
      <c r="Q1576" s="243"/>
      <c r="R1576" s="243"/>
      <c r="S1576" s="243"/>
      <c r="T1576" s="243"/>
      <c r="U1576" s="243"/>
      <c r="V1576" s="243"/>
      <c r="W1576" s="243"/>
      <c r="X1576" s="243"/>
      <c r="Y1576" s="243"/>
      <c r="Z1576" s="243"/>
      <c r="AA1576" s="243"/>
      <c r="AB1576" s="243"/>
      <c r="AC1576" s="243"/>
      <c r="AD1576" s="243"/>
      <c r="AE1576" s="243"/>
      <c r="AF1576" s="243"/>
      <c r="AG1576" s="243"/>
      <c r="AH1576" s="243"/>
      <c r="AI1576" s="243"/>
      <c r="AJ1576" s="243"/>
      <c r="AK1576" s="243"/>
      <c r="AL1576" s="243"/>
      <c r="AM1576" s="243"/>
      <c r="AN1576" s="243"/>
      <c r="AO1576" s="243"/>
      <c r="AP1576" s="243"/>
      <c r="AQ1576" s="243"/>
      <c r="AR1576" s="243"/>
      <c r="AS1576" s="243"/>
      <c r="AT1576" s="243"/>
      <c r="AU1576" s="243"/>
      <c r="AV1576" s="243"/>
      <c r="AW1576" s="243"/>
      <c r="AX1576" s="243"/>
      <c r="AY1576" s="243"/>
      <c r="AZ1576" s="243"/>
      <c r="BA1576" s="243"/>
      <c r="BB1576" s="243"/>
      <c r="BC1576" s="243"/>
      <c r="BD1576" s="243"/>
      <c r="BE1576" s="243"/>
      <c r="BF1576" s="243"/>
      <c r="BG1576" s="243"/>
      <c r="BH1576" s="243"/>
      <c r="BI1576" s="243"/>
      <c r="BJ1576" s="243"/>
      <c r="BK1576" s="243"/>
      <c r="BL1576" s="243"/>
      <c r="BM1576" s="243"/>
      <c r="BN1576" s="243"/>
      <c r="BO1576" s="243"/>
      <c r="BP1576" s="243"/>
      <c r="BQ1576" s="243"/>
      <c r="BR1576" s="243"/>
      <c r="BS1576" s="243"/>
    </row>
    <row r="1577" spans="1:71" s="12" customFormat="1" ht="41.25" customHeight="1">
      <c r="A1577" s="180" t="s">
        <v>115</v>
      </c>
      <c r="B1577" s="75" t="str">
        <f ca="1">+UPPER(Tabla1321124[[#This Row],[DESCRIPCIÓN DE LA COMPRA O CONTRATACIÓN]])</f>
        <v>DISCOS DUROS (ESTACIONES DE TRABAJO) PARA EL STOCK DE EQUIPOS Y SUPLIR LAS NECESIDADES DE LAS DIFERENTES DEPENDENCIAS</v>
      </c>
      <c r="C1577" s="39" t="s">
        <v>17</v>
      </c>
      <c r="D1577" s="210"/>
      <c r="E1577" s="210"/>
      <c r="F1577" s="210"/>
      <c r="G1577" s="210"/>
      <c r="H1577" s="236">
        <f>Tabla1321124[[#This Row],[CUARTO TRIMESTRE]]+Tabla1321124[[#This Row],[TERCER TRIMESTRE]]+Tabla1321124[[#This Row],[SEGUNDO TRIMESTRE]]+Tabla1321124[[#This Row],[PRIMER TRIMESTRE]]</f>
        <v>0</v>
      </c>
      <c r="I1577" s="17">
        <v>3519</v>
      </c>
      <c r="J1577" s="72">
        <f>+Tabla1321124[[#This Row],[CANTIDAD TOTAL]]*Tabla1321124[[#This Row],[PRECIO UNITARIO ESTIMADO]]</f>
        <v>0</v>
      </c>
      <c r="K1577" s="72"/>
      <c r="L1577" s="16" t="s">
        <v>18</v>
      </c>
      <c r="M1577" s="16" t="s">
        <v>22</v>
      </c>
      <c r="N1577" s="16" t="s">
        <v>418</v>
      </c>
      <c r="O1577" s="243"/>
      <c r="P1577" s="243"/>
      <c r="Q1577" s="243"/>
      <c r="R1577" s="243"/>
      <c r="S1577" s="243"/>
      <c r="T1577" s="243"/>
      <c r="U1577" s="243"/>
      <c r="V1577" s="243"/>
      <c r="W1577" s="243"/>
      <c r="X1577" s="243"/>
      <c r="Y1577" s="243"/>
      <c r="Z1577" s="243"/>
      <c r="AA1577" s="243"/>
      <c r="AB1577" s="243"/>
      <c r="AC1577" s="243"/>
      <c r="AD1577" s="243"/>
      <c r="AE1577" s="243"/>
      <c r="AF1577" s="243"/>
      <c r="AG1577" s="243"/>
      <c r="AH1577" s="243"/>
      <c r="AI1577" s="243"/>
      <c r="AJ1577" s="243"/>
      <c r="AK1577" s="243"/>
      <c r="AL1577" s="243"/>
      <c r="AM1577" s="243"/>
      <c r="AN1577" s="243"/>
      <c r="AO1577" s="243"/>
      <c r="AP1577" s="243"/>
      <c r="AQ1577" s="243"/>
      <c r="AR1577" s="243"/>
      <c r="AS1577" s="243"/>
      <c r="AT1577" s="243"/>
      <c r="AU1577" s="243"/>
      <c r="AV1577" s="243"/>
      <c r="AW1577" s="243"/>
      <c r="AX1577" s="243"/>
      <c r="AY1577" s="243"/>
      <c r="AZ1577" s="243"/>
      <c r="BA1577" s="243"/>
      <c r="BB1577" s="243"/>
      <c r="BC1577" s="243"/>
      <c r="BD1577" s="243"/>
      <c r="BE1577" s="243"/>
      <c r="BF1577" s="243"/>
      <c r="BG1577" s="243"/>
      <c r="BH1577" s="243"/>
      <c r="BI1577" s="243"/>
      <c r="BJ1577" s="243"/>
      <c r="BK1577" s="243"/>
      <c r="BL1577" s="243"/>
      <c r="BM1577" s="243"/>
      <c r="BN1577" s="243"/>
      <c r="BO1577" s="243"/>
      <c r="BP1577" s="243"/>
      <c r="BQ1577" s="243"/>
      <c r="BR1577" s="243"/>
      <c r="BS1577" s="243"/>
    </row>
    <row r="1578" spans="1:71" s="12" customFormat="1" ht="41.25" customHeight="1">
      <c r="A1578" s="180" t="s">
        <v>115</v>
      </c>
      <c r="B1578" s="75" t="str">
        <f ca="1">+UPPER(Tabla1321124[[#This Row],[DESCRIPCIÓN DE LA COMPRA O CONTRATACIÓN]])</f>
        <v>MEMORIAS DDR3  PARA EL STOCK DE EQUIPOS Y SUPLIR LAS NECESIDADES DE LAS DIFERENTES DEPENDENCIAS</v>
      </c>
      <c r="C1578" s="39" t="s">
        <v>17</v>
      </c>
      <c r="D1578" s="210"/>
      <c r="E1578" s="210"/>
      <c r="F1578" s="210"/>
      <c r="G1578" s="210"/>
      <c r="H1578" s="236">
        <f>Tabla1321124[[#This Row],[CUARTO TRIMESTRE]]+Tabla1321124[[#This Row],[TERCER TRIMESTRE]]+Tabla1321124[[#This Row],[SEGUNDO TRIMESTRE]]+Tabla1321124[[#This Row],[PRIMER TRIMESTRE]]</f>
        <v>0</v>
      </c>
      <c r="I1578" s="17">
        <v>1500</v>
      </c>
      <c r="J1578" s="72">
        <f>+Tabla1321124[[#This Row],[CANTIDAD TOTAL]]*Tabla1321124[[#This Row],[PRECIO UNITARIO ESTIMADO]]</f>
        <v>0</v>
      </c>
      <c r="K1578" s="72"/>
      <c r="L1578" s="16" t="s">
        <v>18</v>
      </c>
      <c r="M1578" s="16" t="s">
        <v>22</v>
      </c>
      <c r="N1578" s="16" t="s">
        <v>418</v>
      </c>
      <c r="O1578" s="243"/>
      <c r="P1578" s="243"/>
      <c r="Q1578" s="243"/>
      <c r="R1578" s="243"/>
      <c r="S1578" s="243"/>
      <c r="T1578" s="243"/>
      <c r="U1578" s="243"/>
      <c r="V1578" s="243"/>
      <c r="W1578" s="243"/>
      <c r="X1578" s="243"/>
      <c r="Y1578" s="243"/>
      <c r="Z1578" s="243"/>
      <c r="AA1578" s="243"/>
      <c r="AB1578" s="243"/>
      <c r="AC1578" s="243"/>
      <c r="AD1578" s="243"/>
      <c r="AE1578" s="243"/>
      <c r="AF1578" s="243"/>
      <c r="AG1578" s="243"/>
      <c r="AH1578" s="243"/>
      <c r="AI1578" s="243"/>
      <c r="AJ1578" s="243"/>
      <c r="AK1578" s="243"/>
      <c r="AL1578" s="243"/>
      <c r="AM1578" s="243"/>
      <c r="AN1578" s="243"/>
      <c r="AO1578" s="243"/>
      <c r="AP1578" s="243"/>
      <c r="AQ1578" s="243"/>
      <c r="AR1578" s="243"/>
      <c r="AS1578" s="243"/>
      <c r="AT1578" s="243"/>
      <c r="AU1578" s="243"/>
      <c r="AV1578" s="243"/>
      <c r="AW1578" s="243"/>
      <c r="AX1578" s="243"/>
      <c r="AY1578" s="243"/>
      <c r="AZ1578" s="243"/>
      <c r="BA1578" s="243"/>
      <c r="BB1578" s="243"/>
      <c r="BC1578" s="243"/>
      <c r="BD1578" s="243"/>
      <c r="BE1578" s="243"/>
      <c r="BF1578" s="243"/>
      <c r="BG1578" s="243"/>
      <c r="BH1578" s="243"/>
      <c r="BI1578" s="243"/>
      <c r="BJ1578" s="243"/>
      <c r="BK1578" s="243"/>
      <c r="BL1578" s="243"/>
      <c r="BM1578" s="243"/>
      <c r="BN1578" s="243"/>
      <c r="BO1578" s="243"/>
      <c r="BP1578" s="243"/>
      <c r="BQ1578" s="243"/>
      <c r="BR1578" s="243"/>
      <c r="BS1578" s="243"/>
    </row>
    <row r="1579" spans="1:71" s="12" customFormat="1" ht="41.25" customHeight="1">
      <c r="A1579" s="180" t="s">
        <v>115</v>
      </c>
      <c r="B1579" s="75" t="str">
        <f ca="1">+UPPER(Tabla1321124[[#This Row],[DESCRIPCIÓN DE LA COMPRA O CONTRATACIÓN]])</f>
        <v>TECLADOS PARA EL STOCK DE EQUIPOS Y SUPLIR LAS NECESIDADES DE LAS DIFERENTES DEPENDENCIAS</v>
      </c>
      <c r="C1579" s="39" t="s">
        <v>17</v>
      </c>
      <c r="D1579" s="210">
        <v>17</v>
      </c>
      <c r="E1579" s="210"/>
      <c r="F1579" s="210"/>
      <c r="G1579" s="210"/>
      <c r="H1579" s="236">
        <f>Tabla1321124[[#This Row],[CUARTO TRIMESTRE]]+Tabla1321124[[#This Row],[TERCER TRIMESTRE]]+Tabla1321124[[#This Row],[SEGUNDO TRIMESTRE]]+Tabla1321124[[#This Row],[PRIMER TRIMESTRE]]</f>
        <v>17</v>
      </c>
      <c r="I1579" s="17">
        <v>600</v>
      </c>
      <c r="J1579" s="72">
        <f>+Tabla1321124[[#This Row],[CANTIDAD TOTAL]]*Tabla1321124[[#This Row],[PRECIO UNITARIO ESTIMADO]]</f>
        <v>10200</v>
      </c>
      <c r="K1579" s="72"/>
      <c r="L1579" s="16" t="s">
        <v>18</v>
      </c>
      <c r="M1579" s="16" t="s">
        <v>22</v>
      </c>
      <c r="N1579" s="16" t="s">
        <v>418</v>
      </c>
      <c r="O1579" s="243"/>
      <c r="P1579" s="243"/>
      <c r="Q1579" s="243"/>
      <c r="R1579" s="243"/>
      <c r="S1579" s="243"/>
      <c r="T1579" s="243"/>
      <c r="U1579" s="243"/>
      <c r="V1579" s="243"/>
      <c r="W1579" s="243"/>
      <c r="X1579" s="243"/>
      <c r="Y1579" s="243"/>
      <c r="Z1579" s="243"/>
      <c r="AA1579" s="243"/>
      <c r="AB1579" s="243"/>
      <c r="AC1579" s="243"/>
      <c r="AD1579" s="243"/>
      <c r="AE1579" s="243"/>
      <c r="AF1579" s="243"/>
      <c r="AG1579" s="243"/>
      <c r="AH1579" s="243"/>
      <c r="AI1579" s="243"/>
      <c r="AJ1579" s="243"/>
      <c r="AK1579" s="243"/>
      <c r="AL1579" s="243"/>
      <c r="AM1579" s="243"/>
      <c r="AN1579" s="243"/>
      <c r="AO1579" s="243"/>
      <c r="AP1579" s="243"/>
      <c r="AQ1579" s="243"/>
      <c r="AR1579" s="243"/>
      <c r="AS1579" s="243"/>
      <c r="AT1579" s="243"/>
      <c r="AU1579" s="243"/>
      <c r="AV1579" s="243"/>
      <c r="AW1579" s="243"/>
      <c r="AX1579" s="243"/>
      <c r="AY1579" s="243"/>
      <c r="AZ1579" s="243"/>
      <c r="BA1579" s="243"/>
      <c r="BB1579" s="243"/>
      <c r="BC1579" s="243"/>
      <c r="BD1579" s="243"/>
      <c r="BE1579" s="243"/>
      <c r="BF1579" s="243"/>
      <c r="BG1579" s="243"/>
      <c r="BH1579" s="243"/>
      <c r="BI1579" s="243"/>
      <c r="BJ1579" s="243"/>
      <c r="BK1579" s="243"/>
      <c r="BL1579" s="243"/>
      <c r="BM1579" s="243"/>
      <c r="BN1579" s="243"/>
      <c r="BO1579" s="243"/>
      <c r="BP1579" s="243"/>
      <c r="BQ1579" s="243"/>
      <c r="BR1579" s="243"/>
      <c r="BS1579" s="243"/>
    </row>
    <row r="1580" spans="1:71" s="12" customFormat="1" ht="41.25" customHeight="1">
      <c r="A1580" s="180" t="s">
        <v>115</v>
      </c>
      <c r="B1580" s="75" t="str">
        <f ca="1">+UPPER(Tabla1321124[[#This Row],[DESCRIPCIÓN DE LA COMPRA O CONTRATACIÓN]])</f>
        <v>MOUSE PARA EL STOCK DE EQUIPOS Y SUPLIR LAS NECESIDADES DE LAS DIFERENTES DEPENDENCIAS</v>
      </c>
      <c r="C1580" s="39" t="s">
        <v>17</v>
      </c>
      <c r="D1580" s="210">
        <v>17</v>
      </c>
      <c r="E1580" s="210"/>
      <c r="F1580" s="210"/>
      <c r="G1580" s="210"/>
      <c r="H1580" s="236">
        <f>Tabla1321124[[#This Row],[CUARTO TRIMESTRE]]+Tabla1321124[[#This Row],[TERCER TRIMESTRE]]+Tabla1321124[[#This Row],[SEGUNDO TRIMESTRE]]+Tabla1321124[[#This Row],[PRIMER TRIMESTRE]]</f>
        <v>17</v>
      </c>
      <c r="I1580" s="17">
        <v>450</v>
      </c>
      <c r="J1580" s="72">
        <f>+Tabla1321124[[#This Row],[CANTIDAD TOTAL]]*Tabla1321124[[#This Row],[PRECIO UNITARIO ESTIMADO]]</f>
        <v>7650</v>
      </c>
      <c r="K1580" s="72"/>
      <c r="L1580" s="16" t="s">
        <v>18</v>
      </c>
      <c r="M1580" s="16" t="s">
        <v>22</v>
      </c>
      <c r="N1580" s="16" t="s">
        <v>418</v>
      </c>
      <c r="O1580" s="243"/>
      <c r="P1580" s="243"/>
      <c r="Q1580" s="243"/>
      <c r="R1580" s="243"/>
      <c r="S1580" s="243"/>
      <c r="T1580" s="243"/>
      <c r="U1580" s="243"/>
      <c r="V1580" s="243"/>
      <c r="W1580" s="243"/>
      <c r="X1580" s="243"/>
      <c r="Y1580" s="243"/>
      <c r="Z1580" s="243"/>
      <c r="AA1580" s="243"/>
      <c r="AB1580" s="243"/>
      <c r="AC1580" s="243"/>
      <c r="AD1580" s="243"/>
      <c r="AE1580" s="243"/>
      <c r="AF1580" s="243"/>
      <c r="AG1580" s="243"/>
      <c r="AH1580" s="243"/>
      <c r="AI1580" s="243"/>
      <c r="AJ1580" s="243"/>
      <c r="AK1580" s="243"/>
      <c r="AL1580" s="243"/>
      <c r="AM1580" s="243"/>
      <c r="AN1580" s="243"/>
      <c r="AO1580" s="243"/>
      <c r="AP1580" s="243"/>
      <c r="AQ1580" s="243"/>
      <c r="AR1580" s="243"/>
      <c r="AS1580" s="243"/>
      <c r="AT1580" s="243"/>
      <c r="AU1580" s="243"/>
      <c r="AV1580" s="243"/>
      <c r="AW1580" s="243"/>
      <c r="AX1580" s="243"/>
      <c r="AY1580" s="243"/>
      <c r="AZ1580" s="243"/>
      <c r="BA1580" s="243"/>
      <c r="BB1580" s="243"/>
      <c r="BC1580" s="243"/>
      <c r="BD1580" s="243"/>
      <c r="BE1580" s="243"/>
      <c r="BF1580" s="243"/>
      <c r="BG1580" s="243"/>
      <c r="BH1580" s="243"/>
      <c r="BI1580" s="243"/>
      <c r="BJ1580" s="243"/>
      <c r="BK1580" s="243"/>
      <c r="BL1580" s="243"/>
      <c r="BM1580" s="243"/>
      <c r="BN1580" s="243"/>
      <c r="BO1580" s="243"/>
      <c r="BP1580" s="243"/>
      <c r="BQ1580" s="243"/>
      <c r="BR1580" s="243"/>
      <c r="BS1580" s="243"/>
    </row>
    <row r="1581" spans="1:71" s="12" customFormat="1" ht="41.25" customHeight="1">
      <c r="A1581" s="180" t="s">
        <v>115</v>
      </c>
      <c r="B1581" s="75" t="str">
        <f ca="1">+UPPER(Tabla1321124[[#This Row],[DESCRIPCIÓN DE LA COMPRA O CONTRATACIÓN]])</f>
        <v>KIT PROFESIONAL DE REDES</v>
      </c>
      <c r="C1581" s="39" t="s">
        <v>17</v>
      </c>
      <c r="D1581" s="210"/>
      <c r="E1581" s="210"/>
      <c r="F1581" s="210"/>
      <c r="G1581" s="210"/>
      <c r="H1581" s="236">
        <f>Tabla1321124[[#This Row],[CUARTO TRIMESTRE]]+Tabla1321124[[#This Row],[TERCER TRIMESTRE]]+Tabla1321124[[#This Row],[SEGUNDO TRIMESTRE]]+Tabla1321124[[#This Row],[PRIMER TRIMESTRE]]</f>
        <v>0</v>
      </c>
      <c r="I1581" s="17">
        <v>85000</v>
      </c>
      <c r="J1581" s="72">
        <f>+Tabla1321124[[#This Row],[CANTIDAD TOTAL]]*Tabla1321124[[#This Row],[PRECIO UNITARIO ESTIMADO]]</f>
        <v>0</v>
      </c>
      <c r="K1581" s="72"/>
      <c r="L1581" s="16" t="s">
        <v>18</v>
      </c>
      <c r="M1581" s="16" t="s">
        <v>22</v>
      </c>
      <c r="N1581" s="16" t="s">
        <v>418</v>
      </c>
      <c r="O1581" s="243"/>
      <c r="P1581" s="243"/>
      <c r="Q1581" s="243"/>
      <c r="R1581" s="243"/>
      <c r="S1581" s="243"/>
      <c r="T1581" s="243"/>
      <c r="U1581" s="243"/>
      <c r="V1581" s="243"/>
      <c r="W1581" s="243"/>
      <c r="X1581" s="243"/>
      <c r="Y1581" s="243"/>
      <c r="Z1581" s="243"/>
      <c r="AA1581" s="243"/>
      <c r="AB1581" s="243"/>
      <c r="AC1581" s="243"/>
      <c r="AD1581" s="243"/>
      <c r="AE1581" s="243"/>
      <c r="AF1581" s="243"/>
      <c r="AG1581" s="243"/>
      <c r="AH1581" s="243"/>
      <c r="AI1581" s="243"/>
      <c r="AJ1581" s="243"/>
      <c r="AK1581" s="243"/>
      <c r="AL1581" s="243"/>
      <c r="AM1581" s="243"/>
      <c r="AN1581" s="243"/>
      <c r="AO1581" s="243"/>
      <c r="AP1581" s="243"/>
      <c r="AQ1581" s="243"/>
      <c r="AR1581" s="243"/>
      <c r="AS1581" s="243"/>
      <c r="AT1581" s="243"/>
      <c r="AU1581" s="243"/>
      <c r="AV1581" s="243"/>
      <c r="AW1581" s="243"/>
      <c r="AX1581" s="243"/>
      <c r="AY1581" s="243"/>
      <c r="AZ1581" s="243"/>
      <c r="BA1581" s="243"/>
      <c r="BB1581" s="243"/>
      <c r="BC1581" s="243"/>
      <c r="BD1581" s="243"/>
      <c r="BE1581" s="243"/>
      <c r="BF1581" s="243"/>
      <c r="BG1581" s="243"/>
      <c r="BH1581" s="243"/>
      <c r="BI1581" s="243"/>
      <c r="BJ1581" s="243"/>
      <c r="BK1581" s="243"/>
      <c r="BL1581" s="243"/>
      <c r="BM1581" s="243"/>
      <c r="BN1581" s="243"/>
      <c r="BO1581" s="243"/>
      <c r="BP1581" s="243"/>
      <c r="BQ1581" s="243"/>
      <c r="BR1581" s="243"/>
      <c r="BS1581" s="243"/>
    </row>
    <row r="1582" spans="1:71" s="12" customFormat="1" ht="44.25" customHeight="1">
      <c r="A1582" s="180" t="s">
        <v>115</v>
      </c>
      <c r="B1582" s="75" t="str">
        <f ca="1">+UPPER(Tabla1321124[[#This Row],[DESCRIPCIÓN DE LA COMPRA O CONTRATACIÓN]])</f>
        <v>UPS PARA EL STOCK DE EQUIPOS Y SUPLIR LAS NECESIDADES DE LAS DIFERENTES DEPENDENCIAS</v>
      </c>
      <c r="C1582" s="39" t="s">
        <v>17</v>
      </c>
      <c r="D1582" s="210">
        <v>23</v>
      </c>
      <c r="E1582" s="210">
        <v>18</v>
      </c>
      <c r="F1582" s="210">
        <v>25</v>
      </c>
      <c r="G1582" s="210">
        <v>16</v>
      </c>
      <c r="H1582" s="236">
        <f>Tabla1321124[[#This Row],[CUARTO TRIMESTRE]]+Tabla1321124[[#This Row],[TERCER TRIMESTRE]]+Tabla1321124[[#This Row],[SEGUNDO TRIMESTRE]]+Tabla1321124[[#This Row],[PRIMER TRIMESTRE]]</f>
        <v>82</v>
      </c>
      <c r="I1582" s="17">
        <v>2500</v>
      </c>
      <c r="J1582" s="72">
        <f>+Tabla1321124[[#This Row],[CANTIDAD TOTAL]]*Tabla1321124[[#This Row],[PRECIO UNITARIO ESTIMADO]]</f>
        <v>205000</v>
      </c>
      <c r="K1582" s="72"/>
      <c r="L1582" s="16" t="s">
        <v>18</v>
      </c>
      <c r="M1582" s="16" t="s">
        <v>22</v>
      </c>
      <c r="N1582" s="16" t="s">
        <v>418</v>
      </c>
      <c r="O1582" s="243"/>
      <c r="P1582" s="243"/>
      <c r="Q1582" s="243"/>
      <c r="R1582" s="243"/>
      <c r="S1582" s="243"/>
      <c r="T1582" s="243"/>
      <c r="U1582" s="243"/>
      <c r="V1582" s="243"/>
      <c r="W1582" s="243"/>
      <c r="X1582" s="243"/>
      <c r="Y1582" s="243"/>
      <c r="Z1582" s="243"/>
      <c r="AA1582" s="243"/>
      <c r="AB1582" s="243"/>
      <c r="AC1582" s="243"/>
      <c r="AD1582" s="243"/>
      <c r="AE1582" s="243"/>
      <c r="AF1582" s="243"/>
      <c r="AG1582" s="243"/>
      <c r="AH1582" s="243"/>
      <c r="AI1582" s="243"/>
      <c r="AJ1582" s="243"/>
      <c r="AK1582" s="243"/>
      <c r="AL1582" s="243"/>
      <c r="AM1582" s="243"/>
      <c r="AN1582" s="243"/>
      <c r="AO1582" s="243"/>
      <c r="AP1582" s="243"/>
      <c r="AQ1582" s="243"/>
      <c r="AR1582" s="243"/>
      <c r="AS1582" s="243"/>
      <c r="AT1582" s="243"/>
      <c r="AU1582" s="243"/>
      <c r="AV1582" s="243"/>
      <c r="AW1582" s="243"/>
      <c r="AX1582" s="243"/>
      <c r="AY1582" s="243"/>
      <c r="AZ1582" s="243"/>
      <c r="BA1582" s="243"/>
      <c r="BB1582" s="243"/>
      <c r="BC1582" s="243"/>
      <c r="BD1582" s="243"/>
      <c r="BE1582" s="243"/>
      <c r="BF1582" s="243"/>
      <c r="BG1582" s="243"/>
      <c r="BH1582" s="243"/>
      <c r="BI1582" s="243"/>
      <c r="BJ1582" s="243"/>
      <c r="BK1582" s="243"/>
      <c r="BL1582" s="243"/>
      <c r="BM1582" s="243"/>
      <c r="BN1582" s="243"/>
      <c r="BO1582" s="243"/>
      <c r="BP1582" s="243"/>
      <c r="BQ1582" s="243"/>
      <c r="BR1582" s="243"/>
      <c r="BS1582" s="243"/>
    </row>
    <row r="1583" spans="1:71" s="26" customFormat="1" ht="49.5" customHeight="1">
      <c r="A1583" s="180" t="s">
        <v>115</v>
      </c>
      <c r="B1583" s="75" t="str">
        <f ca="1">+UPPER(Tabla1321124[[#This Row],[DESCRIPCIÓN DE LA COMPRA O CONTRATACIÓN]])</f>
        <v>PATH CORDS DE 3 PIES  PARA EL STOCK DE EQUIPOS Y SUPLIR LAS NECESIDADES  DE LAS DIFERENTES DEPENDENCIAS</v>
      </c>
      <c r="C1583" s="39" t="s">
        <v>17</v>
      </c>
      <c r="D1583" s="210"/>
      <c r="E1583" s="210"/>
      <c r="F1583" s="210"/>
      <c r="G1583" s="210"/>
      <c r="H1583" s="236">
        <f>Tabla1321124[[#This Row],[CUARTO TRIMESTRE]]+Tabla1321124[[#This Row],[TERCER TRIMESTRE]]+Tabla1321124[[#This Row],[SEGUNDO TRIMESTRE]]+Tabla1321124[[#This Row],[PRIMER TRIMESTRE]]</f>
        <v>0</v>
      </c>
      <c r="I1583" s="17">
        <v>420</v>
      </c>
      <c r="J1583" s="72">
        <f>+Tabla1321124[[#This Row],[CANTIDAD TOTAL]]*Tabla1321124[[#This Row],[PRECIO UNITARIO ESTIMADO]]</f>
        <v>0</v>
      </c>
      <c r="K1583" s="72"/>
      <c r="L1583" s="16" t="s">
        <v>18</v>
      </c>
      <c r="M1583" s="16" t="s">
        <v>22</v>
      </c>
      <c r="N1583" s="16" t="s">
        <v>418</v>
      </c>
      <c r="O1583" s="243"/>
      <c r="P1583" s="243"/>
      <c r="Q1583" s="243"/>
      <c r="R1583" s="243"/>
      <c r="S1583" s="243"/>
      <c r="T1583" s="243"/>
      <c r="U1583" s="243"/>
      <c r="V1583" s="243"/>
      <c r="W1583" s="243"/>
      <c r="X1583" s="243"/>
      <c r="Y1583" s="243"/>
      <c r="Z1583" s="243"/>
      <c r="AA1583" s="243"/>
      <c r="AB1583" s="243"/>
      <c r="AC1583" s="243"/>
      <c r="AD1583" s="243"/>
      <c r="AE1583" s="243"/>
      <c r="AF1583" s="243"/>
      <c r="AG1583" s="243"/>
      <c r="AH1583" s="243"/>
      <c r="AI1583" s="243"/>
      <c r="AJ1583" s="243"/>
      <c r="AK1583" s="243"/>
      <c r="AL1583" s="243"/>
      <c r="AM1583" s="243"/>
      <c r="AN1583" s="243"/>
      <c r="AO1583" s="243"/>
      <c r="AP1583" s="243"/>
      <c r="AQ1583" s="243"/>
      <c r="AR1583" s="243"/>
      <c r="AS1583" s="243"/>
      <c r="AT1583" s="243"/>
      <c r="AU1583" s="243"/>
      <c r="AV1583" s="243"/>
      <c r="AW1583" s="243"/>
      <c r="AX1583" s="243"/>
      <c r="AY1583" s="243"/>
      <c r="AZ1583" s="243"/>
      <c r="BA1583" s="243"/>
      <c r="BB1583" s="243"/>
      <c r="BC1583" s="243"/>
      <c r="BD1583" s="243"/>
      <c r="BE1583" s="243"/>
      <c r="BF1583" s="243"/>
      <c r="BG1583" s="243"/>
      <c r="BH1583" s="243"/>
      <c r="BI1583" s="243"/>
      <c r="BJ1583" s="243"/>
      <c r="BK1583" s="243"/>
      <c r="BL1583" s="243"/>
      <c r="BM1583" s="243"/>
      <c r="BN1583" s="243"/>
      <c r="BO1583" s="243"/>
      <c r="BP1583" s="243"/>
      <c r="BQ1583" s="243"/>
      <c r="BR1583" s="243"/>
      <c r="BS1583" s="243"/>
    </row>
    <row r="1584" spans="1:71" s="12" customFormat="1" ht="54" customHeight="1">
      <c r="A1584" s="180" t="s">
        <v>115</v>
      </c>
      <c r="B1584" s="75" t="str">
        <f ca="1">+UPPER(Tabla1321124[[#This Row],[DESCRIPCIÓN DE LA COMPRA O CONTRATACIÓN]])</f>
        <v>PATH CORDS DE 7 PIES  PARA EL STOCK DE EQUIPOS Y SUPLIR LAS NECESIDADES  DE LAS DIFERENTES DEPENDENCIAS</v>
      </c>
      <c r="C1584" s="39" t="s">
        <v>17</v>
      </c>
      <c r="D1584" s="210"/>
      <c r="E1584" s="210"/>
      <c r="F1584" s="210"/>
      <c r="G1584" s="210"/>
      <c r="H1584" s="236">
        <f>Tabla1321124[[#This Row],[CUARTO TRIMESTRE]]+Tabla1321124[[#This Row],[TERCER TRIMESTRE]]+Tabla1321124[[#This Row],[SEGUNDO TRIMESTRE]]+Tabla1321124[[#This Row],[PRIMER TRIMESTRE]]</f>
        <v>0</v>
      </c>
      <c r="I1584" s="17">
        <v>450</v>
      </c>
      <c r="J1584" s="72">
        <f>+Tabla1321124[[#This Row],[CANTIDAD TOTAL]]*Tabla1321124[[#This Row],[PRECIO UNITARIO ESTIMADO]]</f>
        <v>0</v>
      </c>
      <c r="K1584" s="72"/>
      <c r="L1584" s="16" t="s">
        <v>18</v>
      </c>
      <c r="M1584" s="16" t="s">
        <v>22</v>
      </c>
      <c r="N1584" s="16" t="s">
        <v>418</v>
      </c>
      <c r="O1584" s="243"/>
      <c r="P1584" s="243"/>
      <c r="Q1584" s="243"/>
      <c r="R1584" s="243"/>
      <c r="S1584" s="243"/>
      <c r="T1584" s="243"/>
      <c r="U1584" s="243"/>
      <c r="V1584" s="243"/>
      <c r="W1584" s="243"/>
      <c r="X1584" s="243"/>
      <c r="Y1584" s="243"/>
      <c r="Z1584" s="243"/>
      <c r="AA1584" s="243"/>
      <c r="AB1584" s="243"/>
      <c r="AC1584" s="243"/>
      <c r="AD1584" s="243"/>
      <c r="AE1584" s="243"/>
      <c r="AF1584" s="243"/>
      <c r="AG1584" s="243"/>
      <c r="AH1584" s="243"/>
      <c r="AI1584" s="243"/>
      <c r="AJ1584" s="243"/>
      <c r="AK1584" s="243"/>
      <c r="AL1584" s="243"/>
      <c r="AM1584" s="243"/>
      <c r="AN1584" s="243"/>
      <c r="AO1584" s="243"/>
      <c r="AP1584" s="243"/>
      <c r="AQ1584" s="243"/>
      <c r="AR1584" s="243"/>
      <c r="AS1584" s="243"/>
      <c r="AT1584" s="243"/>
      <c r="AU1584" s="243"/>
      <c r="AV1584" s="243"/>
      <c r="AW1584" s="243"/>
      <c r="AX1584" s="243"/>
      <c r="AY1584" s="243"/>
      <c r="AZ1584" s="243"/>
      <c r="BA1584" s="243"/>
      <c r="BB1584" s="243"/>
      <c r="BC1584" s="243"/>
      <c r="BD1584" s="243"/>
      <c r="BE1584" s="243"/>
      <c r="BF1584" s="243"/>
      <c r="BG1584" s="243"/>
      <c r="BH1584" s="243"/>
      <c r="BI1584" s="243"/>
      <c r="BJ1584" s="243"/>
      <c r="BK1584" s="243"/>
      <c r="BL1584" s="243"/>
      <c r="BM1584" s="243"/>
      <c r="BN1584" s="243"/>
      <c r="BO1584" s="243"/>
      <c r="BP1584" s="243"/>
      <c r="BQ1584" s="243"/>
      <c r="BR1584" s="243"/>
      <c r="BS1584" s="243"/>
    </row>
    <row r="1585" spans="1:71" s="12" customFormat="1" ht="41.25" customHeight="1">
      <c r="A1585" s="180" t="s">
        <v>115</v>
      </c>
      <c r="B1585" s="75" t="str">
        <f ca="1">+UPPER(Tabla1321124[[#This Row],[DESCRIPCIÓN DE LA COMPRA O CONTRATACIÓN]])</f>
        <v>CONECTORES JACK</v>
      </c>
      <c r="C1585" s="39" t="s">
        <v>17</v>
      </c>
      <c r="D1585" s="210"/>
      <c r="E1585" s="210"/>
      <c r="F1585" s="210"/>
      <c r="G1585" s="210"/>
      <c r="H1585" s="236">
        <f>Tabla1321124[[#This Row],[CUARTO TRIMESTRE]]+Tabla1321124[[#This Row],[TERCER TRIMESTRE]]+Tabla1321124[[#This Row],[SEGUNDO TRIMESTRE]]+Tabla1321124[[#This Row],[PRIMER TRIMESTRE]]</f>
        <v>0</v>
      </c>
      <c r="I1585" s="17">
        <v>125</v>
      </c>
      <c r="J1585" s="72">
        <f>+Tabla1321124[[#This Row],[CANTIDAD TOTAL]]*Tabla1321124[[#This Row],[PRECIO UNITARIO ESTIMADO]]</f>
        <v>0</v>
      </c>
      <c r="K1585" s="72"/>
      <c r="L1585" s="16" t="s">
        <v>18</v>
      </c>
      <c r="M1585" s="16" t="s">
        <v>22</v>
      </c>
      <c r="N1585" s="16" t="s">
        <v>418</v>
      </c>
      <c r="O1585" s="243"/>
      <c r="P1585" s="243"/>
      <c r="Q1585" s="243"/>
      <c r="R1585" s="243"/>
      <c r="S1585" s="243"/>
      <c r="T1585" s="243"/>
      <c r="U1585" s="243"/>
      <c r="V1585" s="243"/>
      <c r="W1585" s="243"/>
      <c r="X1585" s="243"/>
      <c r="Y1585" s="243"/>
      <c r="Z1585" s="243"/>
      <c r="AA1585" s="243"/>
      <c r="AB1585" s="243"/>
      <c r="AC1585" s="243"/>
      <c r="AD1585" s="243"/>
      <c r="AE1585" s="243"/>
      <c r="AF1585" s="243"/>
      <c r="AG1585" s="243"/>
      <c r="AH1585" s="243"/>
      <c r="AI1585" s="243"/>
      <c r="AJ1585" s="243"/>
      <c r="AK1585" s="243"/>
      <c r="AL1585" s="243"/>
      <c r="AM1585" s="243"/>
      <c r="AN1585" s="243"/>
      <c r="AO1585" s="243"/>
      <c r="AP1585" s="243"/>
      <c r="AQ1585" s="243"/>
      <c r="AR1585" s="243"/>
      <c r="AS1585" s="243"/>
      <c r="AT1585" s="243"/>
      <c r="AU1585" s="243"/>
      <c r="AV1585" s="243"/>
      <c r="AW1585" s="243"/>
      <c r="AX1585" s="243"/>
      <c r="AY1585" s="243"/>
      <c r="AZ1585" s="243"/>
      <c r="BA1585" s="243"/>
      <c r="BB1585" s="243"/>
      <c r="BC1585" s="243"/>
      <c r="BD1585" s="243"/>
      <c r="BE1585" s="243"/>
      <c r="BF1585" s="243"/>
      <c r="BG1585" s="243"/>
      <c r="BH1585" s="243"/>
      <c r="BI1585" s="243"/>
      <c r="BJ1585" s="243"/>
      <c r="BK1585" s="243"/>
      <c r="BL1585" s="243"/>
      <c r="BM1585" s="243"/>
      <c r="BN1585" s="243"/>
      <c r="BO1585" s="243"/>
      <c r="BP1585" s="243"/>
      <c r="BQ1585" s="243"/>
      <c r="BR1585" s="243"/>
      <c r="BS1585" s="243"/>
    </row>
    <row r="1586" spans="1:71" s="12" customFormat="1" ht="41.25" customHeight="1">
      <c r="A1586" s="180" t="s">
        <v>115</v>
      </c>
      <c r="B1586" s="75" t="str">
        <f ca="1">+UPPER(Tabla1321124[[#This Row],[DESCRIPCIÓN DE LA COMPRA O CONTRATACIÓN]])</f>
        <v>CABLE UTP CAT6</v>
      </c>
      <c r="C1586" s="39" t="s">
        <v>208</v>
      </c>
      <c r="D1586" s="210"/>
      <c r="E1586" s="210"/>
      <c r="F1586" s="210"/>
      <c r="G1586" s="210"/>
      <c r="H1586" s="236">
        <f>Tabla1321124[[#This Row],[CUARTO TRIMESTRE]]+Tabla1321124[[#This Row],[TERCER TRIMESTRE]]+Tabla1321124[[#This Row],[SEGUNDO TRIMESTRE]]+Tabla1321124[[#This Row],[PRIMER TRIMESTRE]]</f>
        <v>0</v>
      </c>
      <c r="I1586" s="17">
        <v>4300</v>
      </c>
      <c r="J1586" s="72">
        <f>+Tabla1321124[[#This Row],[CANTIDAD TOTAL]]*Tabla1321124[[#This Row],[PRECIO UNITARIO ESTIMADO]]</f>
        <v>0</v>
      </c>
      <c r="K1586" s="72"/>
      <c r="L1586" s="16" t="s">
        <v>18</v>
      </c>
      <c r="M1586" s="16" t="s">
        <v>22</v>
      </c>
      <c r="N1586" s="16" t="s">
        <v>418</v>
      </c>
      <c r="O1586" s="243"/>
      <c r="P1586" s="243"/>
      <c r="Q1586" s="243"/>
      <c r="R1586" s="243"/>
      <c r="S1586" s="243"/>
      <c r="T1586" s="243"/>
      <c r="U1586" s="243"/>
      <c r="V1586" s="243"/>
      <c r="W1586" s="243"/>
      <c r="X1586" s="243"/>
      <c r="Y1586" s="243"/>
      <c r="Z1586" s="243"/>
      <c r="AA1586" s="243"/>
      <c r="AB1586" s="243"/>
      <c r="AC1586" s="243"/>
      <c r="AD1586" s="243"/>
      <c r="AE1586" s="243"/>
      <c r="AF1586" s="243"/>
      <c r="AG1586" s="243"/>
      <c r="AH1586" s="243"/>
      <c r="AI1586" s="243"/>
      <c r="AJ1586" s="243"/>
      <c r="AK1586" s="243"/>
      <c r="AL1586" s="243"/>
      <c r="AM1586" s="243"/>
      <c r="AN1586" s="243"/>
      <c r="AO1586" s="243"/>
      <c r="AP1586" s="243"/>
      <c r="AQ1586" s="243"/>
      <c r="AR1586" s="243"/>
      <c r="AS1586" s="243"/>
      <c r="AT1586" s="243"/>
      <c r="AU1586" s="243"/>
      <c r="AV1586" s="243"/>
      <c r="AW1586" s="243"/>
      <c r="AX1586" s="243"/>
      <c r="AY1586" s="243"/>
      <c r="AZ1586" s="243"/>
      <c r="BA1586" s="243"/>
      <c r="BB1586" s="243"/>
      <c r="BC1586" s="243"/>
      <c r="BD1586" s="243"/>
      <c r="BE1586" s="243"/>
      <c r="BF1586" s="243"/>
      <c r="BG1586" s="243"/>
      <c r="BH1586" s="243"/>
      <c r="BI1586" s="243"/>
      <c r="BJ1586" s="243"/>
      <c r="BK1586" s="243"/>
      <c r="BL1586" s="243"/>
      <c r="BM1586" s="243"/>
      <c r="BN1586" s="243"/>
      <c r="BO1586" s="243"/>
      <c r="BP1586" s="243"/>
      <c r="BQ1586" s="243"/>
      <c r="BR1586" s="243"/>
      <c r="BS1586" s="243"/>
    </row>
    <row r="1587" spans="1:71" s="12" customFormat="1" ht="41.25" customHeight="1">
      <c r="A1587" s="180" t="s">
        <v>115</v>
      </c>
      <c r="B1587" s="75" t="str">
        <f ca="1">+UPPER(Tabla1321124[[#This Row],[DESCRIPCIÓN DE LA COMPRA O CONTRATACIÓN]])</f>
        <v>DISCOS DUROS HP 450GB SAS PARA AUMENTAR LA CAPACIDAD DE ALMACENAMIENTO.</v>
      </c>
      <c r="C1587" s="39" t="s">
        <v>17</v>
      </c>
      <c r="D1587" s="210">
        <v>3</v>
      </c>
      <c r="E1587" s="210"/>
      <c r="F1587" s="210"/>
      <c r="G1587" s="210"/>
      <c r="H1587" s="236">
        <f>Tabla1321124[[#This Row],[CUARTO TRIMESTRE]]+Tabla1321124[[#This Row],[TERCER TRIMESTRE]]+Tabla1321124[[#This Row],[SEGUNDO TRIMESTRE]]+Tabla1321124[[#This Row],[PRIMER TRIMESTRE]]</f>
        <v>3</v>
      </c>
      <c r="I1587" s="17">
        <v>7300</v>
      </c>
      <c r="J1587" s="72">
        <f>+Tabla1321124[[#This Row],[CANTIDAD TOTAL]]*Tabla1321124[[#This Row],[PRECIO UNITARIO ESTIMADO]]</f>
        <v>21900</v>
      </c>
      <c r="K1587" s="72"/>
      <c r="L1587" s="16" t="s">
        <v>18</v>
      </c>
      <c r="M1587" s="16" t="s">
        <v>22</v>
      </c>
      <c r="N1587" s="16" t="s">
        <v>418</v>
      </c>
      <c r="O1587" s="243"/>
      <c r="P1587" s="243"/>
      <c r="Q1587" s="243"/>
      <c r="R1587" s="243"/>
      <c r="S1587" s="243"/>
      <c r="T1587" s="243"/>
      <c r="U1587" s="243"/>
      <c r="V1587" s="243"/>
      <c r="W1587" s="243"/>
      <c r="X1587" s="243"/>
      <c r="Y1587" s="243"/>
      <c r="Z1587" s="243"/>
      <c r="AA1587" s="243"/>
      <c r="AB1587" s="243"/>
      <c r="AC1587" s="243"/>
      <c r="AD1587" s="243"/>
      <c r="AE1587" s="243"/>
      <c r="AF1587" s="243"/>
      <c r="AG1587" s="243"/>
      <c r="AH1587" s="243"/>
      <c r="AI1587" s="243"/>
      <c r="AJ1587" s="243"/>
      <c r="AK1587" s="243"/>
      <c r="AL1587" s="243"/>
      <c r="AM1587" s="243"/>
      <c r="AN1587" s="243"/>
      <c r="AO1587" s="243"/>
      <c r="AP1587" s="243"/>
      <c r="AQ1587" s="243"/>
      <c r="AR1587" s="243"/>
      <c r="AS1587" s="243"/>
      <c r="AT1587" s="243"/>
      <c r="AU1587" s="243"/>
      <c r="AV1587" s="243"/>
      <c r="AW1587" s="243"/>
      <c r="AX1587" s="243"/>
      <c r="AY1587" s="243"/>
      <c r="AZ1587" s="243"/>
      <c r="BA1587" s="243"/>
      <c r="BB1587" s="243"/>
      <c r="BC1587" s="243"/>
      <c r="BD1587" s="243"/>
      <c r="BE1587" s="243"/>
      <c r="BF1587" s="243"/>
      <c r="BG1587" s="243"/>
      <c r="BH1587" s="243"/>
      <c r="BI1587" s="243"/>
      <c r="BJ1587" s="243"/>
      <c r="BK1587" s="243"/>
      <c r="BL1587" s="243"/>
      <c r="BM1587" s="243"/>
      <c r="BN1587" s="243"/>
      <c r="BO1587" s="243"/>
      <c r="BP1587" s="243"/>
      <c r="BQ1587" s="243"/>
      <c r="BR1587" s="243"/>
      <c r="BS1587" s="243"/>
    </row>
    <row r="1588" spans="1:71" s="12" customFormat="1" ht="41.25" customHeight="1">
      <c r="A1588" s="180" t="s">
        <v>115</v>
      </c>
      <c r="B1588" s="75" t="str">
        <f ca="1">+UPPER(Tabla1321124[[#This Row],[DESCRIPCIÓN DE LA COMPRA O CONTRATACIÓN]])</f>
        <v>DISCOS DUROS DELL 1TB SAS PARA AUMENTAR LA CAPACIDAD DE ALMACENAMIENTO.</v>
      </c>
      <c r="C1588" s="39" t="s">
        <v>17</v>
      </c>
      <c r="D1588" s="210">
        <v>2</v>
      </c>
      <c r="E1588" s="210"/>
      <c r="F1588" s="210"/>
      <c r="G1588" s="210"/>
      <c r="H1588" s="236">
        <f>Tabla1321124[[#This Row],[CUARTO TRIMESTRE]]+Tabla1321124[[#This Row],[TERCER TRIMESTRE]]+Tabla1321124[[#This Row],[SEGUNDO TRIMESTRE]]+Tabla1321124[[#This Row],[PRIMER TRIMESTRE]]</f>
        <v>2</v>
      </c>
      <c r="I1588" s="17">
        <v>14671</v>
      </c>
      <c r="J1588" s="72">
        <f>+Tabla1321124[[#This Row],[CANTIDAD TOTAL]]*Tabla1321124[[#This Row],[PRECIO UNITARIO ESTIMADO]]</f>
        <v>29342</v>
      </c>
      <c r="K1588" s="72"/>
      <c r="L1588" s="16" t="s">
        <v>18</v>
      </c>
      <c r="M1588" s="16" t="s">
        <v>22</v>
      </c>
      <c r="N1588" s="16" t="s">
        <v>418</v>
      </c>
      <c r="O1588" s="243"/>
      <c r="P1588" s="243"/>
      <c r="Q1588" s="243"/>
      <c r="R1588" s="243"/>
      <c r="S1588" s="243"/>
      <c r="T1588" s="243"/>
      <c r="U1588" s="243"/>
      <c r="V1588" s="243"/>
      <c r="W1588" s="243"/>
      <c r="X1588" s="243"/>
      <c r="Y1588" s="243"/>
      <c r="Z1588" s="243"/>
      <c r="AA1588" s="243"/>
      <c r="AB1588" s="243"/>
      <c r="AC1588" s="243"/>
      <c r="AD1588" s="243"/>
      <c r="AE1588" s="243"/>
      <c r="AF1588" s="243"/>
      <c r="AG1588" s="243"/>
      <c r="AH1588" s="243"/>
      <c r="AI1588" s="243"/>
      <c r="AJ1588" s="243"/>
      <c r="AK1588" s="243"/>
      <c r="AL1588" s="243"/>
      <c r="AM1588" s="243"/>
      <c r="AN1588" s="243"/>
      <c r="AO1588" s="243"/>
      <c r="AP1588" s="243"/>
      <c r="AQ1588" s="243"/>
      <c r="AR1588" s="243"/>
      <c r="AS1588" s="243"/>
      <c r="AT1588" s="243"/>
      <c r="AU1588" s="243"/>
      <c r="AV1588" s="243"/>
      <c r="AW1588" s="243"/>
      <c r="AX1588" s="243"/>
      <c r="AY1588" s="243"/>
      <c r="AZ1588" s="243"/>
      <c r="BA1588" s="243"/>
      <c r="BB1588" s="243"/>
      <c r="BC1588" s="243"/>
      <c r="BD1588" s="243"/>
      <c r="BE1588" s="243"/>
      <c r="BF1588" s="243"/>
      <c r="BG1588" s="243"/>
      <c r="BH1588" s="243"/>
      <c r="BI1588" s="243"/>
      <c r="BJ1588" s="243"/>
      <c r="BK1588" s="243"/>
      <c r="BL1588" s="243"/>
      <c r="BM1588" s="243"/>
      <c r="BN1588" s="243"/>
      <c r="BO1588" s="243"/>
      <c r="BP1588" s="243"/>
      <c r="BQ1588" s="243"/>
      <c r="BR1588" s="243"/>
      <c r="BS1588" s="243"/>
    </row>
    <row r="1589" spans="1:71" s="12" customFormat="1" ht="41.25" customHeight="1">
      <c r="A1589" s="180" t="s">
        <v>115</v>
      </c>
      <c r="B1589" s="75" t="str">
        <f ca="1">+UPPER(Tabla1321124[[#This Row],[DESCRIPCIÓN DE LA COMPRA O CONTRATACIÓN]])</f>
        <v>TARJETA DE RED PARA MODULO DE FIBRA PARA SERVIDOR HP PROLIANT DL360P GEN8</v>
      </c>
      <c r="C1589" s="39" t="s">
        <v>17</v>
      </c>
      <c r="D1589" s="210"/>
      <c r="E1589" s="210"/>
      <c r="F1589" s="210"/>
      <c r="G1589" s="210"/>
      <c r="H1589" s="236">
        <f>Tabla1321124[[#This Row],[CUARTO TRIMESTRE]]+Tabla1321124[[#This Row],[TERCER TRIMESTRE]]+Tabla1321124[[#This Row],[SEGUNDO TRIMESTRE]]+Tabla1321124[[#This Row],[PRIMER TRIMESTRE]]</f>
        <v>0</v>
      </c>
      <c r="I1589" s="17">
        <v>34000</v>
      </c>
      <c r="J1589" s="72">
        <f>+Tabla1321124[[#This Row],[CANTIDAD TOTAL]]*Tabla1321124[[#This Row],[PRECIO UNITARIO ESTIMADO]]</f>
        <v>0</v>
      </c>
      <c r="K1589" s="72"/>
      <c r="L1589" s="16" t="s">
        <v>18</v>
      </c>
      <c r="M1589" s="16" t="s">
        <v>22</v>
      </c>
      <c r="N1589" s="16" t="s">
        <v>418</v>
      </c>
      <c r="O1589" s="243"/>
      <c r="P1589" s="243"/>
      <c r="Q1589" s="243"/>
      <c r="R1589" s="243"/>
      <c r="S1589" s="243"/>
      <c r="T1589" s="243"/>
      <c r="U1589" s="243"/>
      <c r="V1589" s="243"/>
      <c r="W1589" s="243"/>
      <c r="X1589" s="243"/>
      <c r="Y1589" s="243"/>
      <c r="Z1589" s="243"/>
      <c r="AA1589" s="243"/>
      <c r="AB1589" s="243"/>
      <c r="AC1589" s="243"/>
      <c r="AD1589" s="243"/>
      <c r="AE1589" s="243"/>
      <c r="AF1589" s="243"/>
      <c r="AG1589" s="243"/>
      <c r="AH1589" s="243"/>
      <c r="AI1589" s="243"/>
      <c r="AJ1589" s="243"/>
      <c r="AK1589" s="243"/>
      <c r="AL1589" s="243"/>
      <c r="AM1589" s="243"/>
      <c r="AN1589" s="243"/>
      <c r="AO1589" s="243"/>
      <c r="AP1589" s="243"/>
      <c r="AQ1589" s="243"/>
      <c r="AR1589" s="243"/>
      <c r="AS1589" s="243"/>
      <c r="AT1589" s="243"/>
      <c r="AU1589" s="243"/>
      <c r="AV1589" s="243"/>
      <c r="AW1589" s="243"/>
      <c r="AX1589" s="243"/>
      <c r="AY1589" s="243"/>
      <c r="AZ1589" s="243"/>
      <c r="BA1589" s="243"/>
      <c r="BB1589" s="243"/>
      <c r="BC1589" s="243"/>
      <c r="BD1589" s="243"/>
      <c r="BE1589" s="243"/>
      <c r="BF1589" s="243"/>
      <c r="BG1589" s="243"/>
      <c r="BH1589" s="243"/>
      <c r="BI1589" s="243"/>
      <c r="BJ1589" s="243"/>
      <c r="BK1589" s="243"/>
      <c r="BL1589" s="243"/>
      <c r="BM1589" s="243"/>
      <c r="BN1589" s="243"/>
      <c r="BO1589" s="243"/>
      <c r="BP1589" s="243"/>
      <c r="BQ1589" s="243"/>
      <c r="BR1589" s="243"/>
      <c r="BS1589" s="243"/>
    </row>
    <row r="1590" spans="1:71" s="12" customFormat="1" ht="41.25" customHeight="1">
      <c r="A1590" s="180" t="s">
        <v>115</v>
      </c>
      <c r="B1590" s="75" t="str">
        <f ca="1">+UPPER(Tabla1321124[[#This Row],[DESCRIPCIÓN DE LA COMPRA O CONTRATACIÓN]])</f>
        <v>CAMARAS DE SEGURIDAD 360 GRADOS DE ROTOR</v>
      </c>
      <c r="C1590" s="39" t="s">
        <v>17</v>
      </c>
      <c r="D1590" s="210">
        <v>16</v>
      </c>
      <c r="E1590" s="210"/>
      <c r="F1590" s="249"/>
      <c r="G1590" s="249"/>
      <c r="H1590" s="236">
        <f>Tabla1321124[[#This Row],[CUARTO TRIMESTRE]]+Tabla1321124[[#This Row],[TERCER TRIMESTRE]]+Tabla1321124[[#This Row],[SEGUNDO TRIMESTRE]]+Tabla1321124[[#This Row],[PRIMER TRIMESTRE]]</f>
        <v>16</v>
      </c>
      <c r="I1590" s="17">
        <v>3500</v>
      </c>
      <c r="J1590" s="72">
        <f>+Tabla1321124[[#This Row],[CANTIDAD TOTAL]]*Tabla1321124[[#This Row],[PRECIO UNITARIO ESTIMADO]]</f>
        <v>56000</v>
      </c>
      <c r="K1590" s="72"/>
      <c r="L1590" s="16" t="s">
        <v>18</v>
      </c>
      <c r="M1590" s="16" t="s">
        <v>22</v>
      </c>
      <c r="N1590" s="16" t="s">
        <v>418</v>
      </c>
      <c r="O1590" s="243"/>
      <c r="P1590" s="243"/>
      <c r="Q1590" s="243"/>
      <c r="R1590" s="243"/>
      <c r="S1590" s="243"/>
      <c r="T1590" s="243"/>
      <c r="U1590" s="243"/>
      <c r="V1590" s="243"/>
      <c r="W1590" s="243"/>
      <c r="X1590" s="243"/>
      <c r="Y1590" s="243"/>
      <c r="Z1590" s="243"/>
      <c r="AA1590" s="243"/>
      <c r="AB1590" s="243"/>
      <c r="AC1590" s="243"/>
      <c r="AD1590" s="243"/>
      <c r="AE1590" s="243"/>
      <c r="AF1590" s="243"/>
      <c r="AG1590" s="243"/>
      <c r="AH1590" s="243"/>
      <c r="AI1590" s="243"/>
      <c r="AJ1590" s="243"/>
      <c r="AK1590" s="243"/>
      <c r="AL1590" s="243"/>
      <c r="AM1590" s="243"/>
      <c r="AN1590" s="243"/>
      <c r="AO1590" s="243"/>
      <c r="AP1590" s="243"/>
      <c r="AQ1590" s="243"/>
      <c r="AR1590" s="243"/>
      <c r="AS1590" s="243"/>
      <c r="AT1590" s="243"/>
      <c r="AU1590" s="243"/>
      <c r="AV1590" s="243"/>
      <c r="AW1590" s="243"/>
      <c r="AX1590" s="243"/>
      <c r="AY1590" s="243"/>
      <c r="AZ1590" s="243"/>
      <c r="BA1590" s="243"/>
      <c r="BB1590" s="243"/>
      <c r="BC1590" s="243"/>
      <c r="BD1590" s="243"/>
      <c r="BE1590" s="243"/>
      <c r="BF1590" s="243"/>
      <c r="BG1590" s="243"/>
      <c r="BH1590" s="243"/>
      <c r="BI1590" s="243"/>
      <c r="BJ1590" s="243"/>
      <c r="BK1590" s="243"/>
      <c r="BL1590" s="243"/>
      <c r="BM1590" s="243"/>
      <c r="BN1590" s="243"/>
      <c r="BO1590" s="243"/>
      <c r="BP1590" s="243"/>
      <c r="BQ1590" s="243"/>
      <c r="BR1590" s="243"/>
      <c r="BS1590" s="243"/>
    </row>
    <row r="1591" spans="1:71" s="12" customFormat="1" ht="41.25" customHeight="1">
      <c r="A1591" s="180" t="s">
        <v>115</v>
      </c>
      <c r="B1591" s="75" t="str">
        <f ca="1">+UPPER(Tabla1321124[[#This Row],[DESCRIPCIÓN DE LA COMPRA O CONTRATACIÓN]])</f>
        <v>VCR DE SEGGURIDAD Y VIGILANCIA</v>
      </c>
      <c r="C1591" s="39" t="s">
        <v>17</v>
      </c>
      <c r="D1591" s="210"/>
      <c r="E1591" s="210"/>
      <c r="F1591" s="249"/>
      <c r="G1591" s="249"/>
      <c r="H1591" s="236">
        <f>Tabla1321124[[#This Row],[CUARTO TRIMESTRE]]+Tabla1321124[[#This Row],[TERCER TRIMESTRE]]+Tabla1321124[[#This Row],[SEGUNDO TRIMESTRE]]+Tabla1321124[[#This Row],[PRIMER TRIMESTRE]]</f>
        <v>0</v>
      </c>
      <c r="I1591" s="17">
        <v>14000</v>
      </c>
      <c r="J1591" s="72">
        <f>+Tabla1321124[[#This Row],[CANTIDAD TOTAL]]*Tabla1321124[[#This Row],[PRECIO UNITARIO ESTIMADO]]</f>
        <v>0</v>
      </c>
      <c r="K1591" s="72"/>
      <c r="L1591" s="16" t="s">
        <v>18</v>
      </c>
      <c r="M1591" s="16" t="s">
        <v>22</v>
      </c>
      <c r="N1591" s="16" t="s">
        <v>418</v>
      </c>
      <c r="O1591" s="243"/>
      <c r="P1591" s="243"/>
      <c r="Q1591" s="243"/>
      <c r="R1591" s="243"/>
      <c r="S1591" s="243"/>
      <c r="T1591" s="243"/>
      <c r="U1591" s="243"/>
      <c r="V1591" s="243"/>
      <c r="W1591" s="243"/>
      <c r="X1591" s="243"/>
      <c r="Y1591" s="243"/>
      <c r="Z1591" s="243"/>
      <c r="AA1591" s="243"/>
      <c r="AB1591" s="243"/>
      <c r="AC1591" s="243"/>
      <c r="AD1591" s="243"/>
      <c r="AE1591" s="243"/>
      <c r="AF1591" s="243"/>
      <c r="AG1591" s="243"/>
      <c r="AH1591" s="243"/>
      <c r="AI1591" s="243"/>
      <c r="AJ1591" s="243"/>
      <c r="AK1591" s="243"/>
      <c r="AL1591" s="243"/>
      <c r="AM1591" s="243"/>
      <c r="AN1591" s="243"/>
      <c r="AO1591" s="243"/>
      <c r="AP1591" s="243"/>
      <c r="AQ1591" s="243"/>
      <c r="AR1591" s="243"/>
      <c r="AS1591" s="243"/>
      <c r="AT1591" s="243"/>
      <c r="AU1591" s="243"/>
      <c r="AV1591" s="243"/>
      <c r="AW1591" s="243"/>
      <c r="AX1591" s="243"/>
      <c r="AY1591" s="243"/>
      <c r="AZ1591" s="243"/>
      <c r="BA1591" s="243"/>
      <c r="BB1591" s="243"/>
      <c r="BC1591" s="243"/>
      <c r="BD1591" s="243"/>
      <c r="BE1591" s="243"/>
      <c r="BF1591" s="243"/>
      <c r="BG1591" s="243"/>
      <c r="BH1591" s="243"/>
      <c r="BI1591" s="243"/>
      <c r="BJ1591" s="243"/>
      <c r="BK1591" s="243"/>
      <c r="BL1591" s="243"/>
      <c r="BM1591" s="243"/>
      <c r="BN1591" s="243"/>
      <c r="BO1591" s="243"/>
      <c r="BP1591" s="243"/>
      <c r="BQ1591" s="243"/>
      <c r="BR1591" s="243"/>
      <c r="BS1591" s="243"/>
    </row>
    <row r="1592" spans="1:71" s="12" customFormat="1" ht="41.25" customHeight="1">
      <c r="A1592" s="180" t="s">
        <v>115</v>
      </c>
      <c r="B1592" s="75" t="str">
        <f ca="1">+UPPER(Tabla1321124[[#This Row],[DESCRIPCIÓN DE LA COMPRA O CONTRATACIÓN]])</f>
        <v>TARJETA DE RED PARA MODULO DE FIBRA PARA SERVIDOR HP PROLIANT ML350P GEN8</v>
      </c>
      <c r="C1592" s="39" t="s">
        <v>17</v>
      </c>
      <c r="D1592" s="210"/>
      <c r="E1592" s="210"/>
      <c r="F1592" s="210"/>
      <c r="G1592" s="210"/>
      <c r="H1592" s="236">
        <f>Tabla1321124[[#This Row],[CUARTO TRIMESTRE]]+Tabla1321124[[#This Row],[TERCER TRIMESTRE]]+Tabla1321124[[#This Row],[SEGUNDO TRIMESTRE]]+Tabla1321124[[#This Row],[PRIMER TRIMESTRE]]</f>
        <v>0</v>
      </c>
      <c r="I1592" s="17">
        <v>34000</v>
      </c>
      <c r="J1592" s="72">
        <f>+Tabla1321124[[#This Row],[CANTIDAD TOTAL]]*Tabla1321124[[#This Row],[PRECIO UNITARIO ESTIMADO]]</f>
        <v>0</v>
      </c>
      <c r="K1592" s="72"/>
      <c r="L1592" s="16" t="s">
        <v>18</v>
      </c>
      <c r="M1592" s="16" t="s">
        <v>22</v>
      </c>
      <c r="N1592" s="16" t="s">
        <v>418</v>
      </c>
      <c r="O1592" s="243"/>
      <c r="P1592" s="243"/>
      <c r="Q1592" s="243"/>
      <c r="R1592" s="243"/>
      <c r="S1592" s="243"/>
      <c r="T1592" s="243"/>
      <c r="U1592" s="243"/>
      <c r="V1592" s="243"/>
      <c r="W1592" s="243"/>
      <c r="X1592" s="243"/>
      <c r="Y1592" s="243"/>
      <c r="Z1592" s="243"/>
      <c r="AA1592" s="243"/>
      <c r="AB1592" s="243"/>
      <c r="AC1592" s="243"/>
      <c r="AD1592" s="243"/>
      <c r="AE1592" s="243"/>
      <c r="AF1592" s="243"/>
      <c r="AG1592" s="243"/>
      <c r="AH1592" s="243"/>
      <c r="AI1592" s="243"/>
      <c r="AJ1592" s="243"/>
      <c r="AK1592" s="243"/>
      <c r="AL1592" s="243"/>
      <c r="AM1592" s="243"/>
      <c r="AN1592" s="243"/>
      <c r="AO1592" s="243"/>
      <c r="AP1592" s="243"/>
      <c r="AQ1592" s="243"/>
      <c r="AR1592" s="243"/>
      <c r="AS1592" s="243"/>
      <c r="AT1592" s="243"/>
      <c r="AU1592" s="243"/>
      <c r="AV1592" s="243"/>
      <c r="AW1592" s="243"/>
      <c r="AX1592" s="243"/>
      <c r="AY1592" s="243"/>
      <c r="AZ1592" s="243"/>
      <c r="BA1592" s="243"/>
      <c r="BB1592" s="243"/>
      <c r="BC1592" s="243"/>
      <c r="BD1592" s="243"/>
      <c r="BE1592" s="243"/>
      <c r="BF1592" s="243"/>
      <c r="BG1592" s="243"/>
      <c r="BH1592" s="243"/>
      <c r="BI1592" s="243"/>
      <c r="BJ1592" s="243"/>
      <c r="BK1592" s="243"/>
      <c r="BL1592" s="243"/>
      <c r="BM1592" s="243"/>
      <c r="BN1592" s="243"/>
      <c r="BO1592" s="243"/>
      <c r="BP1592" s="243"/>
      <c r="BQ1592" s="243"/>
      <c r="BR1592" s="243"/>
      <c r="BS1592" s="243"/>
    </row>
    <row r="1593" spans="1:71" s="12" customFormat="1" ht="41.25" customHeight="1">
      <c r="A1593" s="180" t="s">
        <v>115</v>
      </c>
      <c r="B1593" s="75" t="str">
        <f ca="1">+UPPER(Tabla1321124[[#This Row],[DESCRIPCIÓN DE LA COMPRA O CONTRATACIÓN]])</f>
        <v>DISCO DUROS DE 2 TERRABITES</v>
      </c>
      <c r="C1593" s="39" t="s">
        <v>17</v>
      </c>
      <c r="D1593" s="210"/>
      <c r="E1593" s="210"/>
      <c r="F1593" s="210"/>
      <c r="G1593" s="210"/>
      <c r="H1593" s="236">
        <f>Tabla1321124[[#This Row],[CUARTO TRIMESTRE]]+Tabla1321124[[#This Row],[TERCER TRIMESTRE]]+Tabla1321124[[#This Row],[SEGUNDO TRIMESTRE]]+Tabla1321124[[#This Row],[PRIMER TRIMESTRE]]</f>
        <v>0</v>
      </c>
      <c r="I1593" s="17">
        <v>4000</v>
      </c>
      <c r="J1593" s="72">
        <f>+Tabla1321124[[#This Row],[CANTIDAD TOTAL]]*Tabla1321124[[#This Row],[PRECIO UNITARIO ESTIMADO]]</f>
        <v>0</v>
      </c>
      <c r="K1593" s="72"/>
      <c r="L1593" s="16" t="s">
        <v>18</v>
      </c>
      <c r="M1593" s="16" t="s">
        <v>22</v>
      </c>
      <c r="N1593" s="16" t="s">
        <v>418</v>
      </c>
      <c r="O1593" s="243"/>
      <c r="P1593" s="243"/>
      <c r="Q1593" s="243"/>
      <c r="R1593" s="243"/>
      <c r="S1593" s="243"/>
      <c r="T1593" s="243"/>
      <c r="U1593" s="243"/>
      <c r="V1593" s="243"/>
      <c r="W1593" s="243"/>
      <c r="X1593" s="243"/>
      <c r="Y1593" s="243"/>
      <c r="Z1593" s="243"/>
      <c r="AA1593" s="243"/>
      <c r="AB1593" s="243"/>
      <c r="AC1593" s="243"/>
      <c r="AD1593" s="243"/>
      <c r="AE1593" s="243"/>
      <c r="AF1593" s="243"/>
      <c r="AG1593" s="243"/>
      <c r="AH1593" s="243"/>
      <c r="AI1593" s="243"/>
      <c r="AJ1593" s="243"/>
      <c r="AK1593" s="243"/>
      <c r="AL1593" s="243"/>
      <c r="AM1593" s="243"/>
      <c r="AN1593" s="243"/>
      <c r="AO1593" s="243"/>
      <c r="AP1593" s="243"/>
      <c r="AQ1593" s="243"/>
      <c r="AR1593" s="243"/>
      <c r="AS1593" s="243"/>
      <c r="AT1593" s="243"/>
      <c r="AU1593" s="243"/>
      <c r="AV1593" s="243"/>
      <c r="AW1593" s="243"/>
      <c r="AX1593" s="243"/>
      <c r="AY1593" s="243"/>
      <c r="AZ1593" s="243"/>
      <c r="BA1593" s="243"/>
      <c r="BB1593" s="243"/>
      <c r="BC1593" s="243"/>
      <c r="BD1593" s="243"/>
      <c r="BE1593" s="243"/>
      <c r="BF1593" s="243"/>
      <c r="BG1593" s="243"/>
      <c r="BH1593" s="243"/>
      <c r="BI1593" s="243"/>
      <c r="BJ1593" s="243"/>
      <c r="BK1593" s="243"/>
      <c r="BL1593" s="243"/>
      <c r="BM1593" s="243"/>
      <c r="BN1593" s="243"/>
      <c r="BO1593" s="243"/>
      <c r="BP1593" s="243"/>
      <c r="BQ1593" s="243"/>
      <c r="BR1593" s="243"/>
      <c r="BS1593" s="243"/>
    </row>
    <row r="1594" spans="1:71" s="12" customFormat="1" ht="41.25" customHeight="1">
      <c r="A1594" s="180" t="s">
        <v>115</v>
      </c>
      <c r="B1594" s="75" t="str">
        <f ca="1">+UPPER(Tabla1321124[[#This Row],[DESCRIPCIÓN DE LA COMPRA O CONTRATACIÓN]])</f>
        <v>PANTALLAS PLANAS 20 LED</v>
      </c>
      <c r="C1594" s="39" t="s">
        <v>17</v>
      </c>
      <c r="D1594" s="210"/>
      <c r="E1594" s="210"/>
      <c r="F1594" s="210"/>
      <c r="G1594" s="210"/>
      <c r="H1594" s="236">
        <f>Tabla1321124[[#This Row],[CUARTO TRIMESTRE]]+Tabla1321124[[#This Row],[TERCER TRIMESTRE]]+Tabla1321124[[#This Row],[SEGUNDO TRIMESTRE]]+Tabla1321124[[#This Row],[PRIMER TRIMESTRE]]</f>
        <v>0</v>
      </c>
      <c r="I1594" s="17">
        <v>20000</v>
      </c>
      <c r="J1594" s="72">
        <f>+Tabla1321124[[#This Row],[CANTIDAD TOTAL]]*Tabla1321124[[#This Row],[PRECIO UNITARIO ESTIMADO]]</f>
        <v>0</v>
      </c>
      <c r="K1594" s="72"/>
      <c r="L1594" s="16" t="s">
        <v>18</v>
      </c>
      <c r="M1594" s="16" t="s">
        <v>22</v>
      </c>
      <c r="N1594" s="16" t="s">
        <v>418</v>
      </c>
      <c r="O1594" s="243"/>
      <c r="P1594" s="243"/>
      <c r="Q1594" s="243"/>
      <c r="R1594" s="243"/>
      <c r="S1594" s="243"/>
      <c r="T1594" s="243"/>
      <c r="U1594" s="243"/>
      <c r="V1594" s="243"/>
      <c r="W1594" s="243"/>
      <c r="X1594" s="243"/>
      <c r="Y1594" s="243"/>
      <c r="Z1594" s="243"/>
      <c r="AA1594" s="243"/>
      <c r="AB1594" s="243"/>
      <c r="AC1594" s="243"/>
      <c r="AD1594" s="243"/>
      <c r="AE1594" s="243"/>
      <c r="AF1594" s="243"/>
      <c r="AG1594" s="243"/>
      <c r="AH1594" s="243"/>
      <c r="AI1594" s="243"/>
      <c r="AJ1594" s="243"/>
      <c r="AK1594" s="243"/>
      <c r="AL1594" s="243"/>
      <c r="AM1594" s="243"/>
      <c r="AN1594" s="243"/>
      <c r="AO1594" s="243"/>
      <c r="AP1594" s="243"/>
      <c r="AQ1594" s="243"/>
      <c r="AR1594" s="243"/>
      <c r="AS1594" s="243"/>
      <c r="AT1594" s="243"/>
      <c r="AU1594" s="243"/>
      <c r="AV1594" s="243"/>
      <c r="AW1594" s="243"/>
      <c r="AX1594" s="243"/>
      <c r="AY1594" s="243"/>
      <c r="AZ1594" s="243"/>
      <c r="BA1594" s="243"/>
      <c r="BB1594" s="243"/>
      <c r="BC1594" s="243"/>
      <c r="BD1594" s="243"/>
      <c r="BE1594" s="243"/>
      <c r="BF1594" s="243"/>
      <c r="BG1594" s="243"/>
      <c r="BH1594" s="243"/>
      <c r="BI1594" s="243"/>
      <c r="BJ1594" s="243"/>
      <c r="BK1594" s="243"/>
      <c r="BL1594" s="243"/>
      <c r="BM1594" s="243"/>
      <c r="BN1594" s="243"/>
      <c r="BO1594" s="243"/>
      <c r="BP1594" s="243"/>
      <c r="BQ1594" s="243"/>
      <c r="BR1594" s="243"/>
      <c r="BS1594" s="243"/>
    </row>
    <row r="1595" spans="1:71" s="12" customFormat="1" ht="41.25" customHeight="1">
      <c r="A1595" s="180" t="s">
        <v>115</v>
      </c>
      <c r="B1595" s="75" t="str">
        <f ca="1">+UPPER(Tabla1321124[[#This Row],[DESCRIPCIÓN DE LA COMPRA O CONTRATACIÓN]])</f>
        <v>PROYECTOR</v>
      </c>
      <c r="C1595" s="39" t="s">
        <v>17</v>
      </c>
      <c r="D1595" s="210"/>
      <c r="E1595" s="210"/>
      <c r="F1595" s="210"/>
      <c r="G1595" s="210"/>
      <c r="H1595" s="236">
        <f>Tabla1321124[[#This Row],[CUARTO TRIMESTRE]]+Tabla1321124[[#This Row],[TERCER TRIMESTRE]]+Tabla1321124[[#This Row],[SEGUNDO TRIMESTRE]]+Tabla1321124[[#This Row],[PRIMER TRIMESTRE]]</f>
        <v>0</v>
      </c>
      <c r="I1595" s="17">
        <v>55000</v>
      </c>
      <c r="J1595" s="72">
        <f>+Tabla1321124[[#This Row],[CANTIDAD TOTAL]]*Tabla1321124[[#This Row],[PRECIO UNITARIO ESTIMADO]]</f>
        <v>0</v>
      </c>
      <c r="K1595" s="350"/>
      <c r="L1595" s="16" t="s">
        <v>18</v>
      </c>
      <c r="M1595" s="16" t="s">
        <v>22</v>
      </c>
      <c r="N1595" s="16" t="s">
        <v>418</v>
      </c>
      <c r="O1595" s="243"/>
      <c r="P1595" s="243"/>
      <c r="Q1595" s="243"/>
      <c r="R1595" s="243"/>
      <c r="S1595" s="243"/>
      <c r="T1595" s="243"/>
      <c r="U1595" s="243"/>
      <c r="V1595" s="243"/>
      <c r="W1595" s="243"/>
      <c r="X1595" s="243"/>
      <c r="Y1595" s="243"/>
      <c r="Z1595" s="243"/>
      <c r="AA1595" s="243"/>
      <c r="AB1595" s="243"/>
      <c r="AC1595" s="243"/>
      <c r="AD1595" s="243"/>
      <c r="AE1595" s="243"/>
      <c r="AF1595" s="243"/>
      <c r="AG1595" s="243"/>
      <c r="AH1595" s="243"/>
      <c r="AI1595" s="243"/>
      <c r="AJ1595" s="243"/>
      <c r="AK1595" s="243"/>
      <c r="AL1595" s="243"/>
      <c r="AM1595" s="243"/>
      <c r="AN1595" s="243"/>
      <c r="AO1595" s="243"/>
      <c r="AP1595" s="243"/>
      <c r="AQ1595" s="243"/>
      <c r="AR1595" s="243"/>
      <c r="AS1595" s="243"/>
      <c r="AT1595" s="243"/>
      <c r="AU1595" s="243"/>
      <c r="AV1595" s="243"/>
      <c r="AW1595" s="243"/>
      <c r="AX1595" s="243"/>
      <c r="AY1595" s="243"/>
      <c r="AZ1595" s="243"/>
      <c r="BA1595" s="243"/>
      <c r="BB1595" s="243"/>
      <c r="BC1595" s="243"/>
      <c r="BD1595" s="243"/>
      <c r="BE1595" s="243"/>
      <c r="BF1595" s="243"/>
      <c r="BG1595" s="243"/>
      <c r="BH1595" s="243"/>
      <c r="BI1595" s="243"/>
      <c r="BJ1595" s="243"/>
      <c r="BK1595" s="243"/>
      <c r="BL1595" s="243"/>
      <c r="BM1595" s="243"/>
      <c r="BN1595" s="243"/>
      <c r="BO1595" s="243"/>
      <c r="BP1595" s="243"/>
      <c r="BQ1595" s="243"/>
      <c r="BR1595" s="243"/>
      <c r="BS1595" s="243"/>
    </row>
    <row r="1596" spans="1:71" s="12" customFormat="1" ht="41.25" customHeight="1">
      <c r="A1596" s="180" t="s">
        <v>115</v>
      </c>
      <c r="B1596" s="75" t="str">
        <f ca="1">+UPPER(Tabla1321124[[#This Row],[DESCRIPCIÓN DE LA COMPRA O CONTRATACIÓN]])</f>
        <v>SERVICIO DE INSTALACION DE EQUIPOS DE SEGURIDAD</v>
      </c>
      <c r="C1596" s="39" t="s">
        <v>17</v>
      </c>
      <c r="D1596" s="210"/>
      <c r="E1596" s="210"/>
      <c r="F1596" s="210"/>
      <c r="G1596" s="210"/>
      <c r="H1596" s="249">
        <f>SUM(Tabla1321124[[#This Row],[PRIMER TRIMESTRE]:[CUARTO TRIMESTRE]])</f>
        <v>0</v>
      </c>
      <c r="I1596" s="17">
        <v>300000</v>
      </c>
      <c r="J1596" s="72">
        <f>+Tabla1321124[[#This Row],[CANTIDAD TOTAL]]*Tabla1321124[[#This Row],[PRECIO UNITARIO ESTIMADO]]</f>
        <v>0</v>
      </c>
      <c r="K1596" s="72"/>
      <c r="L1596" s="16" t="s">
        <v>18</v>
      </c>
      <c r="M1596" s="16" t="s">
        <v>22</v>
      </c>
      <c r="N1596" s="16" t="s">
        <v>418</v>
      </c>
      <c r="O1596" s="243"/>
      <c r="P1596" s="243"/>
      <c r="Q1596" s="243"/>
      <c r="R1596" s="243"/>
      <c r="S1596" s="243"/>
      <c r="T1596" s="243"/>
      <c r="U1596" s="243"/>
      <c r="V1596" s="243"/>
      <c r="W1596" s="243"/>
      <c r="X1596" s="243"/>
      <c r="Y1596" s="243"/>
      <c r="Z1596" s="243"/>
      <c r="AA1596" s="243"/>
      <c r="AB1596" s="243"/>
      <c r="AC1596" s="243"/>
      <c r="AD1596" s="243"/>
      <c r="AE1596" s="243"/>
      <c r="AF1596" s="243"/>
      <c r="AG1596" s="243"/>
      <c r="AH1596" s="243"/>
      <c r="AI1596" s="243"/>
      <c r="AJ1596" s="243"/>
      <c r="AK1596" s="243"/>
      <c r="AL1596" s="243"/>
      <c r="AM1596" s="243"/>
      <c r="AN1596" s="243"/>
      <c r="AO1596" s="243"/>
      <c r="AP1596" s="243"/>
      <c r="AQ1596" s="243"/>
      <c r="AR1596" s="243"/>
      <c r="AS1596" s="243"/>
      <c r="AT1596" s="243"/>
      <c r="AU1596" s="243"/>
      <c r="AV1596" s="243"/>
      <c r="AW1596" s="243"/>
      <c r="AX1596" s="243"/>
      <c r="AY1596" s="243"/>
      <c r="AZ1596" s="243"/>
      <c r="BA1596" s="243"/>
      <c r="BB1596" s="243"/>
      <c r="BC1596" s="243"/>
      <c r="BD1596" s="243"/>
      <c r="BE1596" s="243"/>
      <c r="BF1596" s="243"/>
      <c r="BG1596" s="243"/>
      <c r="BH1596" s="243"/>
      <c r="BI1596" s="243"/>
      <c r="BJ1596" s="243"/>
      <c r="BK1596" s="243"/>
      <c r="BL1596" s="243"/>
      <c r="BM1596" s="243"/>
      <c r="BN1596" s="243"/>
      <c r="BO1596" s="243"/>
      <c r="BP1596" s="243"/>
      <c r="BQ1596" s="243"/>
      <c r="BR1596" s="243"/>
      <c r="BS1596" s="243"/>
    </row>
    <row r="1597" spans="1:71" s="12" customFormat="1" ht="53.25" customHeight="1">
      <c r="A1597" s="180" t="s">
        <v>115</v>
      </c>
      <c r="B1597" s="75" t="str">
        <f ca="1">+UPPER(Tabla1321124[[#This Row],[DESCRIPCIÓN DE LA COMPRA O CONTRATACIÓN]])</f>
        <v>SWITCH 48 PUERTOS POE CISCO PARA CAMBIAR TODOS LOS PUNTOS DE INAPA A POE.CON LICENCIA.</v>
      </c>
      <c r="C1597" s="39" t="s">
        <v>17</v>
      </c>
      <c r="D1597" s="210"/>
      <c r="E1597" s="210"/>
      <c r="F1597" s="210"/>
      <c r="G1597" s="210"/>
      <c r="H1597" s="249">
        <f>SUM(Tabla1321124[[#This Row],[PRIMER TRIMESTRE]:[CUARTO TRIMESTRE]])</f>
        <v>0</v>
      </c>
      <c r="I1597" s="17">
        <v>210000</v>
      </c>
      <c r="J1597" s="72">
        <f>+Tabla1321124[[#This Row],[CANTIDAD TOTAL]]*Tabla1321124[[#This Row],[PRECIO UNITARIO ESTIMADO]]</f>
        <v>0</v>
      </c>
      <c r="K1597" s="72"/>
      <c r="L1597" s="16" t="s">
        <v>18</v>
      </c>
      <c r="M1597" s="16" t="s">
        <v>22</v>
      </c>
      <c r="N1597" s="16" t="s">
        <v>418</v>
      </c>
      <c r="O1597" s="243"/>
      <c r="P1597" s="243"/>
      <c r="Q1597" s="243"/>
      <c r="R1597" s="243"/>
      <c r="S1597" s="243"/>
      <c r="T1597" s="243"/>
      <c r="U1597" s="243"/>
      <c r="V1597" s="243"/>
      <c r="W1597" s="243"/>
      <c r="X1597" s="243"/>
      <c r="Y1597" s="243"/>
      <c r="Z1597" s="243"/>
      <c r="AA1597" s="243"/>
      <c r="AB1597" s="243"/>
      <c r="AC1597" s="243"/>
      <c r="AD1597" s="243"/>
      <c r="AE1597" s="243"/>
      <c r="AF1597" s="243"/>
      <c r="AG1597" s="243"/>
      <c r="AH1597" s="243"/>
      <c r="AI1597" s="243"/>
      <c r="AJ1597" s="243"/>
      <c r="AK1597" s="243"/>
      <c r="AL1597" s="243"/>
      <c r="AM1597" s="243"/>
      <c r="AN1597" s="243"/>
      <c r="AO1597" s="243"/>
      <c r="AP1597" s="243"/>
      <c r="AQ1597" s="243"/>
      <c r="AR1597" s="243"/>
      <c r="AS1597" s="243"/>
      <c r="AT1597" s="243"/>
      <c r="AU1597" s="243"/>
      <c r="AV1597" s="243"/>
      <c r="AW1597" s="243"/>
      <c r="AX1597" s="243"/>
      <c r="AY1597" s="243"/>
      <c r="AZ1597" s="243"/>
      <c r="BA1597" s="243"/>
      <c r="BB1597" s="243"/>
      <c r="BC1597" s="243"/>
      <c r="BD1597" s="243"/>
      <c r="BE1597" s="243"/>
      <c r="BF1597" s="243"/>
      <c r="BG1597" s="243"/>
      <c r="BH1597" s="243"/>
      <c r="BI1597" s="243"/>
      <c r="BJ1597" s="243"/>
      <c r="BK1597" s="243"/>
      <c r="BL1597" s="243"/>
      <c r="BM1597" s="243"/>
      <c r="BN1597" s="243"/>
      <c r="BO1597" s="243"/>
      <c r="BP1597" s="243"/>
      <c r="BQ1597" s="243"/>
      <c r="BR1597" s="243"/>
      <c r="BS1597" s="243"/>
    </row>
    <row r="1598" spans="1:71" s="12" customFormat="1" ht="73.5" customHeight="1">
      <c r="A1598" s="180" t="s">
        <v>115</v>
      </c>
      <c r="B1598" s="75" t="str">
        <f ca="1">+UPPER(Tabla1321124[[#This Row],[DESCRIPCIÓN DE LA COMPRA O CONTRATACIÓN]])</f>
        <v>COMPUTADORAS PARA EL STOCK DE EQUIPOS Y SUPLIR LAS NECESIDADES DE LAS DIFERENTES DEPENDENCIAS</v>
      </c>
      <c r="C1598" s="39" t="s">
        <v>17</v>
      </c>
      <c r="D1598" s="210">
        <v>20</v>
      </c>
      <c r="E1598" s="210">
        <v>15</v>
      </c>
      <c r="F1598" s="210">
        <v>20</v>
      </c>
      <c r="G1598" s="210">
        <v>14</v>
      </c>
      <c r="H1598" s="249">
        <f>SUM(Tabla1321124[[#This Row],[PRIMER TRIMESTRE]:[CUARTO TRIMESTRE]])</f>
        <v>69</v>
      </c>
      <c r="I1598" s="17">
        <v>50000</v>
      </c>
      <c r="J1598" s="72">
        <f>+Tabla1321124[[#This Row],[CANTIDAD TOTAL]]*Tabla1321124[[#This Row],[PRECIO UNITARIO ESTIMADO]]</f>
        <v>3450000</v>
      </c>
      <c r="K1598" s="341"/>
      <c r="L1598" s="16" t="s">
        <v>18</v>
      </c>
      <c r="M1598" s="16" t="s">
        <v>22</v>
      </c>
      <c r="N1598" s="16" t="s">
        <v>418</v>
      </c>
      <c r="O1598" s="243"/>
      <c r="P1598" s="243"/>
      <c r="Q1598" s="243"/>
      <c r="R1598" s="243"/>
      <c r="S1598" s="243"/>
      <c r="T1598" s="243"/>
      <c r="U1598" s="243"/>
      <c r="V1598" s="243"/>
      <c r="W1598" s="243"/>
      <c r="X1598" s="243"/>
      <c r="Y1598" s="243"/>
      <c r="Z1598" s="243"/>
      <c r="AA1598" s="243"/>
      <c r="AB1598" s="243"/>
      <c r="AC1598" s="243"/>
      <c r="AD1598" s="243"/>
      <c r="AE1598" s="243"/>
      <c r="AF1598" s="243"/>
      <c r="AG1598" s="243"/>
      <c r="AH1598" s="243"/>
      <c r="AI1598" s="243"/>
      <c r="AJ1598" s="243"/>
      <c r="AK1598" s="243"/>
      <c r="AL1598" s="243"/>
      <c r="AM1598" s="243"/>
      <c r="AN1598" s="243"/>
      <c r="AO1598" s="243"/>
      <c r="AP1598" s="243"/>
      <c r="AQ1598" s="243"/>
      <c r="AR1598" s="243"/>
      <c r="AS1598" s="243"/>
      <c r="AT1598" s="243"/>
      <c r="AU1598" s="243"/>
      <c r="AV1598" s="243"/>
      <c r="AW1598" s="243"/>
      <c r="AX1598" s="243"/>
      <c r="AY1598" s="243"/>
      <c r="AZ1598" s="243"/>
      <c r="BA1598" s="243"/>
      <c r="BB1598" s="243"/>
      <c r="BC1598" s="243"/>
      <c r="BD1598" s="243"/>
      <c r="BE1598" s="243"/>
      <c r="BF1598" s="243"/>
      <c r="BG1598" s="243"/>
      <c r="BH1598" s="243"/>
      <c r="BI1598" s="243"/>
      <c r="BJ1598" s="243"/>
      <c r="BK1598" s="243"/>
      <c r="BL1598" s="243"/>
      <c r="BM1598" s="243"/>
      <c r="BN1598" s="243"/>
      <c r="BO1598" s="243"/>
      <c r="BP1598" s="243"/>
      <c r="BQ1598" s="243"/>
      <c r="BR1598" s="243"/>
      <c r="BS1598" s="243"/>
    </row>
    <row r="1599" spans="1:71" s="12" customFormat="1" ht="73.5" customHeight="1">
      <c r="A1599" s="180" t="s">
        <v>115</v>
      </c>
      <c r="B1599" s="75" t="str">
        <f ca="1">+UPPER(Tabla1321124[[#This Row],[DESCRIPCIÓN DE LA COMPRA O CONTRATACIÓN]])</f>
        <v>COMPUTADORA CAPACIDAD DISCO DURO 1000 GIGABYTES, VELOCIDAD DEL PROCESADOR 4.0 GIGAHERTZ, PROCESADOR INTEL CORE I7 4TA GENERACION, MEMORIA RAM 16 GIGABYTES, MEMORIA DE VIDEO 4000 MEGABYTES, DISCO DURO D</v>
      </c>
      <c r="C1599" s="39" t="s">
        <v>17</v>
      </c>
      <c r="D1599" s="210">
        <v>7</v>
      </c>
      <c r="E1599" s="210">
        <v>7</v>
      </c>
      <c r="F1599" s="210">
        <v>5</v>
      </c>
      <c r="G1599" s="210">
        <v>4</v>
      </c>
      <c r="H1599" s="249">
        <f>SUM(Tabla1321124[[#This Row],[PRIMER TRIMESTRE]:[CUARTO TRIMESTRE]])</f>
        <v>23</v>
      </c>
      <c r="I1599" s="17">
        <v>41800</v>
      </c>
      <c r="J1599" s="72">
        <f>+Tabla1321124[[#This Row],[CANTIDAD TOTAL]]*Tabla1321124[[#This Row],[PRECIO UNITARIO ESTIMADO]]</f>
        <v>961400</v>
      </c>
      <c r="K1599" s="341"/>
      <c r="L1599" s="16" t="s">
        <v>18</v>
      </c>
      <c r="M1599" s="16" t="s">
        <v>22</v>
      </c>
      <c r="N1599" s="16" t="s">
        <v>418</v>
      </c>
      <c r="O1599" s="243"/>
      <c r="P1599" s="243"/>
      <c r="Q1599" s="243"/>
      <c r="R1599" s="243"/>
      <c r="S1599" s="243"/>
      <c r="T1599" s="243"/>
      <c r="U1599" s="243"/>
      <c r="V1599" s="243"/>
      <c r="W1599" s="243"/>
      <c r="X1599" s="243"/>
      <c r="Y1599" s="243"/>
      <c r="Z1599" s="243"/>
      <c r="AA1599" s="243"/>
      <c r="AB1599" s="243"/>
      <c r="AC1599" s="243"/>
      <c r="AD1599" s="243"/>
      <c r="AE1599" s="243"/>
      <c r="AF1599" s="243"/>
      <c r="AG1599" s="243"/>
      <c r="AH1599" s="243"/>
      <c r="AI1599" s="243"/>
      <c r="AJ1599" s="243"/>
      <c r="AK1599" s="243"/>
      <c r="AL1599" s="243"/>
      <c r="AM1599" s="243"/>
      <c r="AN1599" s="243"/>
      <c r="AO1599" s="243"/>
      <c r="AP1599" s="243"/>
      <c r="AQ1599" s="243"/>
      <c r="AR1599" s="243"/>
      <c r="AS1599" s="243"/>
      <c r="AT1599" s="243"/>
      <c r="AU1599" s="243"/>
      <c r="AV1599" s="243"/>
      <c r="AW1599" s="243"/>
      <c r="AX1599" s="243"/>
      <c r="AY1599" s="243"/>
      <c r="AZ1599" s="243"/>
      <c r="BA1599" s="243"/>
      <c r="BB1599" s="243"/>
      <c r="BC1599" s="243"/>
      <c r="BD1599" s="243"/>
      <c r="BE1599" s="243"/>
      <c r="BF1599" s="243"/>
      <c r="BG1599" s="243"/>
      <c r="BH1599" s="243"/>
      <c r="BI1599" s="243"/>
      <c r="BJ1599" s="243"/>
      <c r="BK1599" s="243"/>
      <c r="BL1599" s="243"/>
      <c r="BM1599" s="243"/>
      <c r="BN1599" s="243"/>
      <c r="BO1599" s="243"/>
      <c r="BP1599" s="243"/>
      <c r="BQ1599" s="243"/>
      <c r="BR1599" s="243"/>
      <c r="BS1599" s="243"/>
    </row>
    <row r="1600" spans="1:71" s="12" customFormat="1" ht="41.25" customHeight="1">
      <c r="A1600" s="178" t="s">
        <v>115</v>
      </c>
      <c r="B1600" s="75" t="str">
        <f ca="1">+UPPER(Tabla1321124[[#This Row],[DESCRIPCIÓN DE LA COMPRA O CONTRATACIÓN]])</f>
        <v>COMPUTADORAS COMPLETA (CORE I5, 8GB DE RAM, 500 DISCO DURO), TECLADO,MOUSE.'</v>
      </c>
      <c r="C1600" s="39" t="s">
        <v>17</v>
      </c>
      <c r="D1600" s="210">
        <v>35</v>
      </c>
      <c r="E1600" s="210">
        <v>4</v>
      </c>
      <c r="F1600" s="210">
        <v>1</v>
      </c>
      <c r="G1600" s="210">
        <v>1</v>
      </c>
      <c r="H1600" s="249">
        <f>SUM(Tabla1321124[[#This Row],[PRIMER TRIMESTRE]:[CUARTO TRIMESTRE]])</f>
        <v>41</v>
      </c>
      <c r="I1600" s="17">
        <v>35000</v>
      </c>
      <c r="J1600" s="72">
        <f>+Tabla1321124[[#This Row],[CANTIDAD TOTAL]]*Tabla1321124[[#This Row],[PRECIO UNITARIO ESTIMADO]]</f>
        <v>1435000</v>
      </c>
      <c r="K1600" s="301"/>
      <c r="L1600" s="16" t="s">
        <v>18</v>
      </c>
      <c r="M1600" s="16" t="s">
        <v>22</v>
      </c>
      <c r="N1600" s="16" t="s">
        <v>418</v>
      </c>
      <c r="O1600" s="243"/>
      <c r="P1600" s="243"/>
      <c r="Q1600" s="243"/>
      <c r="R1600" s="243"/>
      <c r="S1600" s="243"/>
      <c r="T1600" s="243"/>
      <c r="U1600" s="243"/>
      <c r="V1600" s="243"/>
      <c r="W1600" s="243"/>
      <c r="X1600" s="243"/>
      <c r="Y1600" s="243"/>
      <c r="Z1600" s="243"/>
      <c r="AA1600" s="243"/>
      <c r="AB1600" s="243"/>
      <c r="AC1600" s="243"/>
      <c r="AD1600" s="243"/>
      <c r="AE1600" s="243"/>
      <c r="AF1600" s="243"/>
      <c r="AG1600" s="243"/>
      <c r="AH1600" s="243"/>
      <c r="AI1600" s="243"/>
      <c r="AJ1600" s="243"/>
      <c r="AK1600" s="243"/>
      <c r="AL1600" s="243"/>
      <c r="AM1600" s="243"/>
      <c r="AN1600" s="243"/>
      <c r="AO1600" s="243"/>
      <c r="AP1600" s="243"/>
      <c r="AQ1600" s="243"/>
      <c r="AR1600" s="243"/>
      <c r="AS1600" s="243"/>
      <c r="AT1600" s="243"/>
      <c r="AU1600" s="243"/>
      <c r="AV1600" s="243"/>
      <c r="AW1600" s="243"/>
      <c r="AX1600" s="243"/>
      <c r="AY1600" s="243"/>
      <c r="AZ1600" s="243"/>
      <c r="BA1600" s="243"/>
      <c r="BB1600" s="243"/>
      <c r="BC1600" s="243"/>
      <c r="BD1600" s="243"/>
      <c r="BE1600" s="243"/>
      <c r="BF1600" s="243"/>
      <c r="BG1600" s="243"/>
      <c r="BH1600" s="243"/>
      <c r="BI1600" s="243"/>
      <c r="BJ1600" s="243"/>
      <c r="BK1600" s="243"/>
      <c r="BL1600" s="243"/>
      <c r="BM1600" s="243"/>
      <c r="BN1600" s="243"/>
      <c r="BO1600" s="243"/>
      <c r="BP1600" s="243"/>
      <c r="BQ1600" s="243"/>
      <c r="BR1600" s="243"/>
      <c r="BS1600" s="243"/>
    </row>
    <row r="1601" spans="1:71" s="12" customFormat="1" ht="41.25" customHeight="1">
      <c r="A1601" s="178" t="s">
        <v>115</v>
      </c>
      <c r="B1601" s="75" t="str">
        <f ca="1">+UPPER(Tabla1321124[[#This Row],[DESCRIPCIÓN DE LA COMPRA O CONTRATACIÓN]])</f>
        <v>MONITOR FLAT 19'' VGA, DISPLAYPORT</v>
      </c>
      <c r="C1601" s="39" t="s">
        <v>17</v>
      </c>
      <c r="D1601" s="210"/>
      <c r="E1601" s="210"/>
      <c r="F1601" s="210"/>
      <c r="G1601" s="210"/>
      <c r="H1601" s="249">
        <f>SUM(Tabla1321124[[#This Row],[PRIMER TRIMESTRE]:[CUARTO TRIMESTRE]])</f>
        <v>0</v>
      </c>
      <c r="I1601" s="17">
        <v>15000</v>
      </c>
      <c r="J1601" s="72">
        <f>+Tabla1321124[[#This Row],[CANTIDAD TOTAL]]*Tabla1321124[[#This Row],[PRECIO UNITARIO ESTIMADO]]</f>
        <v>0</v>
      </c>
      <c r="K1601" s="301"/>
      <c r="L1601" s="16" t="s">
        <v>18</v>
      </c>
      <c r="M1601" s="16" t="s">
        <v>22</v>
      </c>
      <c r="N1601" s="16" t="s">
        <v>418</v>
      </c>
      <c r="O1601" s="243"/>
      <c r="P1601" s="243"/>
      <c r="Q1601" s="243"/>
      <c r="R1601" s="243"/>
      <c r="S1601" s="243"/>
      <c r="T1601" s="243"/>
      <c r="U1601" s="243"/>
      <c r="V1601" s="243"/>
      <c r="W1601" s="243"/>
      <c r="X1601" s="243"/>
      <c r="Y1601" s="243"/>
      <c r="Z1601" s="243"/>
      <c r="AA1601" s="243"/>
      <c r="AB1601" s="243"/>
      <c r="AC1601" s="243"/>
      <c r="AD1601" s="243"/>
      <c r="AE1601" s="243"/>
      <c r="AF1601" s="243"/>
      <c r="AG1601" s="243"/>
      <c r="AH1601" s="243"/>
      <c r="AI1601" s="243"/>
      <c r="AJ1601" s="243"/>
      <c r="AK1601" s="243"/>
      <c r="AL1601" s="243"/>
      <c r="AM1601" s="243"/>
      <c r="AN1601" s="243"/>
      <c r="AO1601" s="243"/>
      <c r="AP1601" s="243"/>
      <c r="AQ1601" s="243"/>
      <c r="AR1601" s="243"/>
      <c r="AS1601" s="243"/>
      <c r="AT1601" s="243"/>
      <c r="AU1601" s="243"/>
      <c r="AV1601" s="243"/>
      <c r="AW1601" s="243"/>
      <c r="AX1601" s="243"/>
      <c r="AY1601" s="243"/>
      <c r="AZ1601" s="243"/>
      <c r="BA1601" s="243"/>
      <c r="BB1601" s="243"/>
      <c r="BC1601" s="243"/>
      <c r="BD1601" s="243"/>
      <c r="BE1601" s="243"/>
      <c r="BF1601" s="243"/>
      <c r="BG1601" s="243"/>
      <c r="BH1601" s="243"/>
      <c r="BI1601" s="243"/>
      <c r="BJ1601" s="243"/>
      <c r="BK1601" s="243"/>
      <c r="BL1601" s="243"/>
      <c r="BM1601" s="243"/>
      <c r="BN1601" s="243"/>
      <c r="BO1601" s="243"/>
      <c r="BP1601" s="243"/>
      <c r="BQ1601" s="243"/>
      <c r="BR1601" s="243"/>
      <c r="BS1601" s="243"/>
    </row>
    <row r="1602" spans="1:71" s="12" customFormat="1" ht="41.25" customHeight="1">
      <c r="A1602" s="178" t="s">
        <v>115</v>
      </c>
      <c r="B1602" s="75" t="str">
        <f ca="1">+UPPER(Tabla1321124[[#This Row],[DESCRIPCIÓN DE LA COMPRA O CONTRATACIÓN]])</f>
        <v>GPS GARMIN ETRX 20</v>
      </c>
      <c r="C1602" s="39" t="s">
        <v>17</v>
      </c>
      <c r="D1602" s="236">
        <v>4</v>
      </c>
      <c r="E1602" s="236"/>
      <c r="F1602" s="236">
        <v>3</v>
      </c>
      <c r="G1602" s="236"/>
      <c r="H1602" s="249">
        <f>SUM(Tabla1321124[[#This Row],[PRIMER TRIMESTRE]:[CUARTO TRIMESTRE]])</f>
        <v>7</v>
      </c>
      <c r="I1602" s="17">
        <v>7498</v>
      </c>
      <c r="J1602" s="72">
        <f>+Tabla1321124[[#This Row],[CANTIDAD TOTAL]]*Tabla1321124[[#This Row],[PRECIO UNITARIO ESTIMADO]]</f>
        <v>52486</v>
      </c>
      <c r="K1602" s="17"/>
      <c r="L1602" s="16" t="s">
        <v>18</v>
      </c>
      <c r="M1602" s="16" t="s">
        <v>22</v>
      </c>
      <c r="N1602" s="16" t="s">
        <v>418</v>
      </c>
      <c r="O1602" s="243"/>
      <c r="P1602" s="243"/>
      <c r="Q1602" s="243"/>
      <c r="R1602" s="243"/>
      <c r="S1602" s="243"/>
      <c r="T1602" s="243"/>
      <c r="U1602" s="243"/>
      <c r="V1602" s="243"/>
      <c r="W1602" s="243"/>
      <c r="X1602" s="243"/>
      <c r="Y1602" s="243"/>
      <c r="Z1602" s="243"/>
      <c r="AA1602" s="243"/>
      <c r="AB1602" s="243"/>
      <c r="AC1602" s="243"/>
      <c r="AD1602" s="243"/>
      <c r="AE1602" s="243"/>
      <c r="AF1602" s="243"/>
      <c r="AG1602" s="243"/>
      <c r="AH1602" s="243"/>
      <c r="AI1602" s="243"/>
      <c r="AJ1602" s="243"/>
      <c r="AK1602" s="243"/>
      <c r="AL1602" s="243"/>
      <c r="AM1602" s="243"/>
      <c r="AN1602" s="243"/>
      <c r="AO1602" s="243"/>
      <c r="AP1602" s="243"/>
      <c r="AQ1602" s="243"/>
      <c r="AR1602" s="243"/>
      <c r="AS1602" s="243"/>
      <c r="AT1602" s="243"/>
      <c r="AU1602" s="243"/>
      <c r="AV1602" s="243"/>
      <c r="AW1602" s="243"/>
      <c r="AX1602" s="243"/>
      <c r="AY1602" s="243"/>
      <c r="AZ1602" s="243"/>
      <c r="BA1602" s="243"/>
      <c r="BB1602" s="243"/>
      <c r="BC1602" s="243"/>
      <c r="BD1602" s="243"/>
      <c r="BE1602" s="243"/>
      <c r="BF1602" s="243"/>
      <c r="BG1602" s="243"/>
      <c r="BH1602" s="243"/>
      <c r="BI1602" s="243"/>
      <c r="BJ1602" s="243"/>
      <c r="BK1602" s="243"/>
      <c r="BL1602" s="243"/>
      <c r="BM1602" s="243"/>
      <c r="BN1602" s="243"/>
      <c r="BO1602" s="243"/>
      <c r="BP1602" s="243"/>
      <c r="BQ1602" s="243"/>
      <c r="BR1602" s="243"/>
      <c r="BS1602" s="243"/>
    </row>
    <row r="1603" spans="1:71" s="12" customFormat="1" ht="41.25" customHeight="1">
      <c r="A1603" s="178" t="s">
        <v>115</v>
      </c>
      <c r="B1603" s="75" t="s">
        <v>2669</v>
      </c>
      <c r="C1603" s="39" t="s">
        <v>17</v>
      </c>
      <c r="D1603" s="236">
        <v>25</v>
      </c>
      <c r="E1603" s="236">
        <v>25</v>
      </c>
      <c r="F1603" s="236">
        <v>25</v>
      </c>
      <c r="G1603" s="236">
        <f>+Tabla1321124[[#This Row],[TERCER TRIMESTRE]]+Tabla1321124[[#This Row],[SEGUNDO TRIMESTRE]]+Tabla1321124[[#This Row],[PRIMER TRIMESTRE]]</f>
        <v>75</v>
      </c>
      <c r="H1603" s="249">
        <f>Tabla1321124[[#This Row],[CUARTO TRIMESTRE]]+Tabla1321124[[#This Row],[TERCER TRIMESTRE]]+Tabla1321124[[#This Row],[SEGUNDO TRIMESTRE]]+Tabla1321124[[#This Row],[PRIMER TRIMESTRE]]</f>
        <v>150</v>
      </c>
      <c r="I1603" s="17">
        <v>6500</v>
      </c>
      <c r="J1603" s="72">
        <f>Tabla1321124[[#This Row],[PRECIO UNITARIO ESTIMADO]]*Tabla1321124[[#This Row],[CANTIDAD TOTAL]]</f>
        <v>975000</v>
      </c>
      <c r="K1603" s="17"/>
      <c r="L1603" s="16" t="s">
        <v>18</v>
      </c>
      <c r="M1603" s="16" t="s">
        <v>22</v>
      </c>
      <c r="N1603" s="16" t="s">
        <v>418</v>
      </c>
      <c r="O1603" s="243"/>
      <c r="P1603" s="243"/>
      <c r="Q1603" s="243"/>
      <c r="R1603" s="243"/>
      <c r="S1603" s="243"/>
      <c r="T1603" s="243"/>
      <c r="U1603" s="243"/>
      <c r="V1603" s="243"/>
      <c r="W1603" s="243"/>
      <c r="X1603" s="243"/>
      <c r="Y1603" s="243"/>
      <c r="Z1603" s="243"/>
      <c r="AA1603" s="243"/>
      <c r="AB1603" s="243"/>
      <c r="AC1603" s="243"/>
      <c r="AD1603" s="243"/>
      <c r="AE1603" s="243"/>
      <c r="AF1603" s="243"/>
      <c r="AG1603" s="243"/>
      <c r="AH1603" s="243"/>
      <c r="AI1603" s="243"/>
      <c r="AJ1603" s="243"/>
      <c r="AK1603" s="243"/>
      <c r="AL1603" s="243"/>
      <c r="AM1603" s="243"/>
      <c r="AN1603" s="243"/>
      <c r="AO1603" s="243"/>
      <c r="AP1603" s="243"/>
      <c r="AQ1603" s="243"/>
      <c r="AR1603" s="243"/>
      <c r="AS1603" s="243"/>
      <c r="AT1603" s="243"/>
      <c r="AU1603" s="243"/>
      <c r="AV1603" s="243"/>
      <c r="AW1603" s="243"/>
      <c r="AX1603" s="243"/>
      <c r="AY1603" s="243"/>
      <c r="AZ1603" s="243"/>
      <c r="BA1603" s="243"/>
      <c r="BB1603" s="243"/>
      <c r="BC1603" s="243"/>
      <c r="BD1603" s="243"/>
      <c r="BE1603" s="243"/>
      <c r="BF1603" s="243"/>
      <c r="BG1603" s="243"/>
      <c r="BH1603" s="243"/>
      <c r="BI1603" s="243"/>
      <c r="BJ1603" s="243"/>
      <c r="BK1603" s="243"/>
      <c r="BL1603" s="243"/>
      <c r="BM1603" s="243"/>
      <c r="BN1603" s="243"/>
      <c r="BO1603" s="243"/>
      <c r="BP1603" s="243"/>
      <c r="BQ1603" s="243"/>
      <c r="BR1603" s="243"/>
      <c r="BS1603" s="243"/>
    </row>
    <row r="1604" spans="1:71" s="12" customFormat="1" ht="41.25" customHeight="1">
      <c r="A1604" s="178" t="s">
        <v>115</v>
      </c>
      <c r="B1604" s="75" t="str">
        <f ca="1">+UPPER(Tabla1321124[[#This Row],[DESCRIPCIÓN DE LA COMPRA O CONTRATACIÓN]])</f>
        <v>CAMARA DIGITAL A PRUEBA DE AGUA Y GOLPES</v>
      </c>
      <c r="C1604" s="39" t="s">
        <v>17</v>
      </c>
      <c r="D1604" s="236"/>
      <c r="E1604" s="236"/>
      <c r="F1604" s="236"/>
      <c r="G1604" s="236"/>
      <c r="H1604" s="249">
        <f>SUM(Tabla1321124[[#This Row],[PRIMER TRIMESTRE]:[CUARTO TRIMESTRE]])</f>
        <v>0</v>
      </c>
      <c r="I1604" s="17">
        <v>4600</v>
      </c>
      <c r="J1604" s="72">
        <f>+Tabla1321124[[#This Row],[CANTIDAD TOTAL]]*Tabla1321124[[#This Row],[PRECIO UNITARIO ESTIMADO]]</f>
        <v>0</v>
      </c>
      <c r="K1604" s="17"/>
      <c r="L1604" s="16" t="s">
        <v>18</v>
      </c>
      <c r="M1604" s="16" t="s">
        <v>22</v>
      </c>
      <c r="N1604" s="16" t="s">
        <v>418</v>
      </c>
      <c r="O1604" s="243"/>
      <c r="P1604" s="243"/>
      <c r="Q1604" s="243"/>
      <c r="R1604" s="243"/>
      <c r="S1604" s="243"/>
      <c r="T1604" s="243"/>
      <c r="U1604" s="243"/>
      <c r="V1604" s="243"/>
      <c r="W1604" s="243"/>
      <c r="X1604" s="243"/>
      <c r="Y1604" s="243"/>
      <c r="Z1604" s="243"/>
      <c r="AA1604" s="243"/>
      <c r="AB1604" s="243"/>
      <c r="AC1604" s="243"/>
      <c r="AD1604" s="243"/>
      <c r="AE1604" s="243"/>
      <c r="AF1604" s="243"/>
      <c r="AG1604" s="243"/>
      <c r="AH1604" s="243"/>
      <c r="AI1604" s="243"/>
      <c r="AJ1604" s="243"/>
      <c r="AK1604" s="243"/>
      <c r="AL1604" s="243"/>
      <c r="AM1604" s="243"/>
      <c r="AN1604" s="243"/>
      <c r="AO1604" s="243"/>
      <c r="AP1604" s="243"/>
      <c r="AQ1604" s="243"/>
      <c r="AR1604" s="243"/>
      <c r="AS1604" s="243"/>
      <c r="AT1604" s="243"/>
      <c r="AU1604" s="243"/>
      <c r="AV1604" s="243"/>
      <c r="AW1604" s="243"/>
      <c r="AX1604" s="243"/>
      <c r="AY1604" s="243"/>
      <c r="AZ1604" s="243"/>
      <c r="BA1604" s="243"/>
      <c r="BB1604" s="243"/>
      <c r="BC1604" s="243"/>
      <c r="BD1604" s="243"/>
      <c r="BE1604" s="243"/>
      <c r="BF1604" s="243"/>
      <c r="BG1604" s="243"/>
      <c r="BH1604" s="243"/>
      <c r="BI1604" s="243"/>
      <c r="BJ1604" s="243"/>
      <c r="BK1604" s="243"/>
      <c r="BL1604" s="243"/>
      <c r="BM1604" s="243"/>
      <c r="BN1604" s="243"/>
      <c r="BO1604" s="243"/>
      <c r="BP1604" s="243"/>
      <c r="BQ1604" s="243"/>
      <c r="BR1604" s="243"/>
      <c r="BS1604" s="243"/>
    </row>
    <row r="1605" spans="1:71" s="12" customFormat="1" ht="41.25" customHeight="1">
      <c r="A1605" s="178" t="s">
        <v>115</v>
      </c>
      <c r="B1605" s="75" t="str">
        <f ca="1">+UPPER(Tabla1321124[[#This Row],[DESCRIPCIÓN DE LA COMPRA O CONTRATACIÓN]])</f>
        <v>ESCANER A COLOR</v>
      </c>
      <c r="C1605" s="39" t="s">
        <v>17</v>
      </c>
      <c r="D1605" s="236"/>
      <c r="E1605" s="236"/>
      <c r="F1605" s="236"/>
      <c r="G1605" s="236"/>
      <c r="H1605" s="249">
        <f>SUM(Tabla1321124[[#This Row],[PRIMER TRIMESTRE]:[CUARTO TRIMESTRE]])</f>
        <v>0</v>
      </c>
      <c r="I1605" s="17">
        <v>3496</v>
      </c>
      <c r="J1605" s="72">
        <f>+Tabla1321124[[#This Row],[CANTIDAD TOTAL]]*Tabla1321124[[#This Row],[PRECIO UNITARIO ESTIMADO]]</f>
        <v>0</v>
      </c>
      <c r="K1605" s="17"/>
      <c r="L1605" s="16" t="s">
        <v>18</v>
      </c>
      <c r="M1605" s="16" t="s">
        <v>22</v>
      </c>
      <c r="N1605" s="16" t="s">
        <v>418</v>
      </c>
      <c r="O1605" s="243"/>
      <c r="P1605" s="243"/>
      <c r="Q1605" s="243"/>
      <c r="R1605" s="243"/>
      <c r="S1605" s="243"/>
      <c r="T1605" s="243"/>
      <c r="U1605" s="243"/>
      <c r="V1605" s="243"/>
      <c r="W1605" s="243"/>
      <c r="X1605" s="243"/>
      <c r="Y1605" s="243"/>
      <c r="Z1605" s="243"/>
      <c r="AA1605" s="243"/>
      <c r="AB1605" s="243"/>
      <c r="AC1605" s="243"/>
      <c r="AD1605" s="243"/>
      <c r="AE1605" s="243"/>
      <c r="AF1605" s="243"/>
      <c r="AG1605" s="243"/>
      <c r="AH1605" s="243"/>
      <c r="AI1605" s="243"/>
      <c r="AJ1605" s="243"/>
      <c r="AK1605" s="243"/>
      <c r="AL1605" s="243"/>
      <c r="AM1605" s="243"/>
      <c r="AN1605" s="243"/>
      <c r="AO1605" s="243"/>
      <c r="AP1605" s="243"/>
      <c r="AQ1605" s="243"/>
      <c r="AR1605" s="243"/>
      <c r="AS1605" s="243"/>
      <c r="AT1605" s="243"/>
      <c r="AU1605" s="243"/>
      <c r="AV1605" s="243"/>
      <c r="AW1605" s="243"/>
      <c r="AX1605" s="243"/>
      <c r="AY1605" s="243"/>
      <c r="AZ1605" s="243"/>
      <c r="BA1605" s="243"/>
      <c r="BB1605" s="243"/>
      <c r="BC1605" s="243"/>
      <c r="BD1605" s="243"/>
      <c r="BE1605" s="243"/>
      <c r="BF1605" s="243"/>
      <c r="BG1605" s="243"/>
      <c r="BH1605" s="243"/>
      <c r="BI1605" s="243"/>
      <c r="BJ1605" s="243"/>
      <c r="BK1605" s="243"/>
      <c r="BL1605" s="243"/>
      <c r="BM1605" s="243"/>
      <c r="BN1605" s="243"/>
      <c r="BO1605" s="243"/>
      <c r="BP1605" s="243"/>
      <c r="BQ1605" s="243"/>
      <c r="BR1605" s="243"/>
      <c r="BS1605" s="243"/>
    </row>
    <row r="1606" spans="1:71" s="12" customFormat="1" ht="41.25" customHeight="1">
      <c r="A1606" s="178" t="s">
        <v>115</v>
      </c>
      <c r="B1606" s="75" t="str">
        <f ca="1">+UPPER(Tabla1321124[[#This Row],[DESCRIPCIÓN DE LA COMPRA O CONTRATACIÓN]])</f>
        <v>IMPRESORA A COLOR</v>
      </c>
      <c r="C1606" s="39" t="s">
        <v>17</v>
      </c>
      <c r="D1606" s="236">
        <v>1</v>
      </c>
      <c r="E1606" s="236"/>
      <c r="F1606" s="236"/>
      <c r="G1606" s="236"/>
      <c r="H1606" s="249">
        <f>SUM(Tabla1321124[[#This Row],[PRIMER TRIMESTRE]:[CUARTO TRIMESTRE]])</f>
        <v>1</v>
      </c>
      <c r="I1606" s="17">
        <v>4500</v>
      </c>
      <c r="J1606" s="72">
        <f>+Tabla1321124[[#This Row],[CANTIDAD TOTAL]]*Tabla1321124[[#This Row],[PRECIO UNITARIO ESTIMADO]]</f>
        <v>4500</v>
      </c>
      <c r="K1606" s="17"/>
      <c r="L1606" s="16" t="s">
        <v>18</v>
      </c>
      <c r="M1606" s="16" t="s">
        <v>22</v>
      </c>
      <c r="N1606" s="16" t="s">
        <v>418</v>
      </c>
      <c r="O1606" s="243"/>
      <c r="P1606" s="243"/>
      <c r="Q1606" s="243"/>
      <c r="R1606" s="243"/>
      <c r="S1606" s="243"/>
      <c r="T1606" s="243"/>
      <c r="U1606" s="243"/>
      <c r="V1606" s="243"/>
      <c r="W1606" s="243"/>
      <c r="X1606" s="243"/>
      <c r="Y1606" s="243"/>
      <c r="Z1606" s="243"/>
      <c r="AA1606" s="243"/>
      <c r="AB1606" s="243"/>
      <c r="AC1606" s="243"/>
      <c r="AD1606" s="243"/>
      <c r="AE1606" s="243"/>
      <c r="AF1606" s="243"/>
      <c r="AG1606" s="243"/>
      <c r="AH1606" s="243"/>
      <c r="AI1606" s="243"/>
      <c r="AJ1606" s="243"/>
      <c r="AK1606" s="243"/>
      <c r="AL1606" s="243"/>
      <c r="AM1606" s="243"/>
      <c r="AN1606" s="243"/>
      <c r="AO1606" s="243"/>
      <c r="AP1606" s="243"/>
      <c r="AQ1606" s="243"/>
      <c r="AR1606" s="243"/>
      <c r="AS1606" s="243"/>
      <c r="AT1606" s="243"/>
      <c r="AU1606" s="243"/>
      <c r="AV1606" s="243"/>
      <c r="AW1606" s="243"/>
      <c r="AX1606" s="243"/>
      <c r="AY1606" s="243"/>
      <c r="AZ1606" s="243"/>
      <c r="BA1606" s="243"/>
      <c r="BB1606" s="243"/>
      <c r="BC1606" s="243"/>
      <c r="BD1606" s="243"/>
      <c r="BE1606" s="243"/>
      <c r="BF1606" s="243"/>
      <c r="BG1606" s="243"/>
      <c r="BH1606" s="243"/>
      <c r="BI1606" s="243"/>
      <c r="BJ1606" s="243"/>
      <c r="BK1606" s="243"/>
      <c r="BL1606" s="243"/>
      <c r="BM1606" s="243"/>
      <c r="BN1606" s="243"/>
      <c r="BO1606" s="243"/>
      <c r="BP1606" s="243"/>
      <c r="BQ1606" s="243"/>
      <c r="BR1606" s="243"/>
      <c r="BS1606" s="243"/>
    </row>
    <row r="1607" spans="1:71" s="12" customFormat="1" ht="41.25" customHeight="1">
      <c r="A1607" s="178" t="s">
        <v>115</v>
      </c>
      <c r="B1607" s="75" t="str">
        <f ca="1">+UPPER(Tabla1321124[[#This Row],[DESCRIPCIÓN DE LA COMPRA O CONTRATACIÓN]])</f>
        <v>CAPACITACION</v>
      </c>
      <c r="C1607" s="39" t="s">
        <v>17</v>
      </c>
      <c r="D1607" s="348"/>
      <c r="E1607" s="348"/>
      <c r="F1607" s="348"/>
      <c r="G1607" s="348"/>
      <c r="H1607" s="249">
        <f>SUM(Tabla1321124[[#This Row],[PRIMER TRIMESTRE]:[CUARTO TRIMESTRE]])</f>
        <v>0</v>
      </c>
      <c r="I1607" s="17">
        <v>150000</v>
      </c>
      <c r="J1607" s="72">
        <f>+Tabla1321124[[#This Row],[CANTIDAD TOTAL]]*Tabla1321124[[#This Row],[PRECIO UNITARIO ESTIMADO]]</f>
        <v>0</v>
      </c>
      <c r="K1607" s="17"/>
      <c r="L1607" s="16" t="s">
        <v>18</v>
      </c>
      <c r="M1607" s="16" t="s">
        <v>22</v>
      </c>
      <c r="N1607" s="16" t="s">
        <v>418</v>
      </c>
      <c r="O1607" s="243"/>
      <c r="P1607" s="243"/>
      <c r="Q1607" s="243"/>
      <c r="R1607" s="243"/>
      <c r="S1607" s="243"/>
      <c r="T1607" s="243"/>
      <c r="U1607" s="243"/>
      <c r="V1607" s="243"/>
      <c r="W1607" s="243"/>
      <c r="X1607" s="243"/>
      <c r="Y1607" s="243"/>
      <c r="Z1607" s="243"/>
      <c r="AA1607" s="243"/>
      <c r="AB1607" s="243"/>
      <c r="AC1607" s="243"/>
      <c r="AD1607" s="243"/>
      <c r="AE1607" s="243"/>
      <c r="AF1607" s="243"/>
      <c r="AG1607" s="243"/>
      <c r="AH1607" s="243"/>
      <c r="AI1607" s="243"/>
      <c r="AJ1607" s="243"/>
      <c r="AK1607" s="243"/>
      <c r="AL1607" s="243"/>
      <c r="AM1607" s="243"/>
      <c r="AN1607" s="243"/>
      <c r="AO1607" s="243"/>
      <c r="AP1607" s="243"/>
      <c r="AQ1607" s="243"/>
      <c r="AR1607" s="243"/>
      <c r="AS1607" s="243"/>
      <c r="AT1607" s="243"/>
      <c r="AU1607" s="243"/>
      <c r="AV1607" s="243"/>
      <c r="AW1607" s="243"/>
      <c r="AX1607" s="243"/>
      <c r="AY1607" s="243"/>
      <c r="AZ1607" s="243"/>
      <c r="BA1607" s="243"/>
      <c r="BB1607" s="243"/>
      <c r="BC1607" s="243"/>
      <c r="BD1607" s="243"/>
      <c r="BE1607" s="243"/>
      <c r="BF1607" s="243"/>
      <c r="BG1607" s="243"/>
      <c r="BH1607" s="243"/>
      <c r="BI1607" s="243"/>
      <c r="BJ1607" s="243"/>
      <c r="BK1607" s="243"/>
      <c r="BL1607" s="243"/>
      <c r="BM1607" s="243"/>
      <c r="BN1607" s="243"/>
      <c r="BO1607" s="243"/>
      <c r="BP1607" s="243"/>
      <c r="BQ1607" s="243"/>
      <c r="BR1607" s="243"/>
      <c r="BS1607" s="243"/>
    </row>
    <row r="1608" spans="1:71" s="26" customFormat="1" ht="41.25" customHeight="1">
      <c r="A1608" s="178" t="s">
        <v>115</v>
      </c>
      <c r="B1608" s="75" t="str">
        <f ca="1">+UPPER(Tabla1321124[[#This Row],[DESCRIPCIÓN DE LA COMPRA O CONTRATACIÓN]])</f>
        <v>MODEMS</v>
      </c>
      <c r="C1608" s="39" t="s">
        <v>17</v>
      </c>
      <c r="D1608" s="348"/>
      <c r="E1608" s="348"/>
      <c r="F1608" s="348"/>
      <c r="G1608" s="348"/>
      <c r="H1608" s="249">
        <f>SUM(Tabla1321124[[#This Row],[PRIMER TRIMESTRE]:[CUARTO TRIMESTRE]])</f>
        <v>0</v>
      </c>
      <c r="I1608" s="17">
        <v>2000</v>
      </c>
      <c r="J1608" s="72">
        <f>+Tabla1321124[[#This Row],[CANTIDAD TOTAL]]*Tabla1321124[[#This Row],[PRECIO UNITARIO ESTIMADO]]</f>
        <v>0</v>
      </c>
      <c r="K1608" s="17"/>
      <c r="L1608" s="16" t="s">
        <v>18</v>
      </c>
      <c r="M1608" s="16" t="s">
        <v>22</v>
      </c>
      <c r="N1608" s="16" t="s">
        <v>418</v>
      </c>
      <c r="O1608" s="243"/>
      <c r="P1608" s="243"/>
      <c r="Q1608" s="243"/>
      <c r="R1608" s="243"/>
      <c r="S1608" s="243"/>
      <c r="T1608" s="243"/>
      <c r="U1608" s="243"/>
      <c r="V1608" s="243"/>
      <c r="W1608" s="243"/>
      <c r="X1608" s="243"/>
      <c r="Y1608" s="243"/>
      <c r="Z1608" s="243"/>
      <c r="AA1608" s="243"/>
      <c r="AB1608" s="243"/>
      <c r="AC1608" s="243"/>
      <c r="AD1608" s="243"/>
      <c r="AE1608" s="243"/>
      <c r="AF1608" s="243"/>
      <c r="AG1608" s="243"/>
      <c r="AH1608" s="243"/>
      <c r="AI1608" s="243"/>
      <c r="AJ1608" s="243"/>
      <c r="AK1608" s="243"/>
      <c r="AL1608" s="243"/>
      <c r="AM1608" s="243"/>
      <c r="AN1608" s="243"/>
      <c r="AO1608" s="243"/>
      <c r="AP1608" s="243"/>
      <c r="AQ1608" s="243"/>
      <c r="AR1608" s="243"/>
      <c r="AS1608" s="243"/>
      <c r="AT1608" s="243"/>
      <c r="AU1608" s="243"/>
      <c r="AV1608" s="243"/>
      <c r="AW1608" s="243"/>
      <c r="AX1608" s="243"/>
      <c r="AY1608" s="243"/>
      <c r="AZ1608" s="243"/>
      <c r="BA1608" s="243"/>
      <c r="BB1608" s="243"/>
      <c r="BC1608" s="243"/>
      <c r="BD1608" s="243"/>
      <c r="BE1608" s="243"/>
      <c r="BF1608" s="243"/>
      <c r="BG1608" s="243"/>
      <c r="BH1608" s="243"/>
      <c r="BI1608" s="243"/>
      <c r="BJ1608" s="243"/>
      <c r="BK1608" s="243"/>
      <c r="BL1608" s="243"/>
      <c r="BM1608" s="243"/>
      <c r="BN1608" s="243"/>
      <c r="BO1608" s="243"/>
      <c r="BP1608" s="243"/>
      <c r="BQ1608" s="243"/>
      <c r="BR1608" s="243"/>
      <c r="BS1608" s="243"/>
    </row>
    <row r="1609" spans="1:71" s="12" customFormat="1" ht="41.25" customHeight="1">
      <c r="A1609" s="178" t="s">
        <v>115</v>
      </c>
      <c r="B1609" s="75" t="str">
        <f ca="1">+UPPER(Tabla1321124[[#This Row],[DESCRIPCIÓN DE LA COMPRA O CONTRATACIÓN]])</f>
        <v>CABEZAL DE IMPRESION HP72 GRAY</v>
      </c>
      <c r="C1609" s="39" t="s">
        <v>17</v>
      </c>
      <c r="D1609" s="236"/>
      <c r="E1609" s="236"/>
      <c r="F1609" s="236"/>
      <c r="G1609" s="236"/>
      <c r="H1609" s="249">
        <f>SUM(Tabla1321124[[#This Row],[PRIMER TRIMESTRE]:[CUARTO TRIMESTRE]])</f>
        <v>0</v>
      </c>
      <c r="I1609" s="17">
        <v>5310</v>
      </c>
      <c r="J1609" s="72">
        <f>+Tabla1321124[[#This Row],[CANTIDAD TOTAL]]*Tabla1321124[[#This Row],[PRECIO UNITARIO ESTIMADO]]</f>
        <v>0</v>
      </c>
      <c r="K1609" s="17"/>
      <c r="L1609" s="16" t="s">
        <v>18</v>
      </c>
      <c r="M1609" s="16" t="s">
        <v>22</v>
      </c>
      <c r="N1609" s="16" t="s">
        <v>418</v>
      </c>
      <c r="O1609" s="243"/>
      <c r="P1609" s="243"/>
      <c r="Q1609" s="243"/>
      <c r="R1609" s="243"/>
      <c r="S1609" s="243"/>
      <c r="T1609" s="243"/>
      <c r="U1609" s="243"/>
      <c r="V1609" s="243"/>
      <c r="W1609" s="243"/>
      <c r="X1609" s="243"/>
      <c r="Y1609" s="243"/>
      <c r="Z1609" s="243"/>
      <c r="AA1609" s="243"/>
      <c r="AB1609" s="243"/>
      <c r="AC1609" s="243"/>
      <c r="AD1609" s="243"/>
      <c r="AE1609" s="243"/>
      <c r="AF1609" s="243"/>
      <c r="AG1609" s="243"/>
      <c r="AH1609" s="243"/>
      <c r="AI1609" s="243"/>
      <c r="AJ1609" s="243"/>
      <c r="AK1609" s="243"/>
      <c r="AL1609" s="243"/>
      <c r="AM1609" s="243"/>
      <c r="AN1609" s="243"/>
      <c r="AO1609" s="243"/>
      <c r="AP1609" s="243"/>
      <c r="AQ1609" s="243"/>
      <c r="AR1609" s="243"/>
      <c r="AS1609" s="243"/>
      <c r="AT1609" s="243"/>
      <c r="AU1609" s="243"/>
      <c r="AV1609" s="243"/>
      <c r="AW1609" s="243"/>
      <c r="AX1609" s="243"/>
      <c r="AY1609" s="243"/>
      <c r="AZ1609" s="243"/>
      <c r="BA1609" s="243"/>
      <c r="BB1609" s="243"/>
      <c r="BC1609" s="243"/>
      <c r="BD1609" s="243"/>
      <c r="BE1609" s="243"/>
      <c r="BF1609" s="243"/>
      <c r="BG1609" s="243"/>
      <c r="BH1609" s="243"/>
      <c r="BI1609" s="243"/>
      <c r="BJ1609" s="243"/>
      <c r="BK1609" s="243"/>
      <c r="BL1609" s="243"/>
      <c r="BM1609" s="243"/>
      <c r="BN1609" s="243"/>
      <c r="BO1609" s="243"/>
      <c r="BP1609" s="243"/>
      <c r="BQ1609" s="243"/>
      <c r="BR1609" s="243"/>
      <c r="BS1609" s="243"/>
    </row>
    <row r="1610" spans="1:71" s="12" customFormat="1" ht="41.25" customHeight="1">
      <c r="A1610" s="178" t="s">
        <v>115</v>
      </c>
      <c r="B1610" s="75" t="str">
        <f ca="1">+UPPER(Tabla1321124[[#This Row],[DESCRIPCIÓN DE LA COMPRA O CONTRATACIÓN]])</f>
        <v>CABEZAL DE IMPRESION HP72 MAGENTA</v>
      </c>
      <c r="C1610" s="39" t="s">
        <v>17</v>
      </c>
      <c r="D1610" s="236"/>
      <c r="E1610" s="236"/>
      <c r="F1610" s="236"/>
      <c r="G1610" s="236"/>
      <c r="H1610" s="249">
        <f>SUM(Tabla1321124[[#This Row],[PRIMER TRIMESTRE]:[CUARTO TRIMESTRE]])</f>
        <v>0</v>
      </c>
      <c r="I1610" s="17">
        <v>5310</v>
      </c>
      <c r="J1610" s="72">
        <f>+Tabla1321124[[#This Row],[CANTIDAD TOTAL]]*Tabla1321124[[#This Row],[PRECIO UNITARIO ESTIMADO]]</f>
        <v>0</v>
      </c>
      <c r="K1610" s="17"/>
      <c r="L1610" s="16" t="s">
        <v>18</v>
      </c>
      <c r="M1610" s="16" t="s">
        <v>22</v>
      </c>
      <c r="N1610" s="16" t="s">
        <v>418</v>
      </c>
      <c r="O1610" s="243"/>
      <c r="P1610" s="243"/>
      <c r="Q1610" s="243"/>
      <c r="R1610" s="243"/>
      <c r="S1610" s="243"/>
      <c r="T1610" s="243"/>
      <c r="U1610" s="243"/>
      <c r="V1610" s="243"/>
      <c r="W1610" s="243"/>
      <c r="X1610" s="243"/>
      <c r="Y1610" s="243"/>
      <c r="Z1610" s="243"/>
      <c r="AA1610" s="243"/>
      <c r="AB1610" s="243"/>
      <c r="AC1610" s="243"/>
      <c r="AD1610" s="243"/>
      <c r="AE1610" s="243"/>
      <c r="AF1610" s="243"/>
      <c r="AG1610" s="243"/>
      <c r="AH1610" s="243"/>
      <c r="AI1610" s="243"/>
      <c r="AJ1610" s="243"/>
      <c r="AK1610" s="243"/>
      <c r="AL1610" s="243"/>
      <c r="AM1610" s="243"/>
      <c r="AN1610" s="243"/>
      <c r="AO1610" s="243"/>
      <c r="AP1610" s="243"/>
      <c r="AQ1610" s="243"/>
      <c r="AR1610" s="243"/>
      <c r="AS1610" s="243"/>
      <c r="AT1610" s="243"/>
      <c r="AU1610" s="243"/>
      <c r="AV1610" s="243"/>
      <c r="AW1610" s="243"/>
      <c r="AX1610" s="243"/>
      <c r="AY1610" s="243"/>
      <c r="AZ1610" s="243"/>
      <c r="BA1610" s="243"/>
      <c r="BB1610" s="243"/>
      <c r="BC1610" s="243"/>
      <c r="BD1610" s="243"/>
      <c r="BE1610" s="243"/>
      <c r="BF1610" s="243"/>
      <c r="BG1610" s="243"/>
      <c r="BH1610" s="243"/>
      <c r="BI1610" s="243"/>
      <c r="BJ1610" s="243"/>
      <c r="BK1610" s="243"/>
      <c r="BL1610" s="243"/>
      <c r="BM1610" s="243"/>
      <c r="BN1610" s="243"/>
      <c r="BO1610" s="243"/>
      <c r="BP1610" s="243"/>
      <c r="BQ1610" s="243"/>
      <c r="BR1610" s="243"/>
      <c r="BS1610" s="243"/>
    </row>
    <row r="1611" spans="1:71" s="12" customFormat="1" ht="41.25" customHeight="1">
      <c r="A1611" s="178" t="s">
        <v>115</v>
      </c>
      <c r="B1611" s="75" t="str">
        <f ca="1">+UPPER(Tabla1321124[[#This Row],[DESCRIPCIÓN DE LA COMPRA O CONTRATACIÓN]])</f>
        <v>CABEZAL DE IMPRESION HP72 MATTE BLACK</v>
      </c>
      <c r="C1611" s="39" t="s">
        <v>17</v>
      </c>
      <c r="D1611" s="236"/>
      <c r="E1611" s="236"/>
      <c r="F1611" s="236"/>
      <c r="G1611" s="236"/>
      <c r="H1611" s="249">
        <f>SUM(Tabla1321124[[#This Row],[PRIMER TRIMESTRE]:[CUARTO TRIMESTRE]])</f>
        <v>0</v>
      </c>
      <c r="I1611" s="17">
        <v>5310</v>
      </c>
      <c r="J1611" s="72">
        <f>+Tabla1321124[[#This Row],[CANTIDAD TOTAL]]*Tabla1321124[[#This Row],[PRECIO UNITARIO ESTIMADO]]</f>
        <v>0</v>
      </c>
      <c r="K1611" s="386">
        <f>SUM(J1572:J1611)</f>
        <v>7369599</v>
      </c>
      <c r="L1611" s="16" t="s">
        <v>18</v>
      </c>
      <c r="M1611" s="16" t="s">
        <v>22</v>
      </c>
      <c r="N1611" s="16" t="s">
        <v>418</v>
      </c>
      <c r="O1611" s="243"/>
      <c r="P1611" s="243"/>
      <c r="Q1611" s="243"/>
      <c r="R1611" s="243"/>
      <c r="S1611" s="243"/>
      <c r="T1611" s="243"/>
      <c r="U1611" s="243"/>
      <c r="V1611" s="243"/>
      <c r="W1611" s="243"/>
      <c r="X1611" s="243"/>
      <c r="Y1611" s="243"/>
      <c r="Z1611" s="243"/>
      <c r="AA1611" s="243"/>
      <c r="AB1611" s="243"/>
      <c r="AC1611" s="243"/>
      <c r="AD1611" s="243"/>
      <c r="AE1611" s="243"/>
      <c r="AF1611" s="243"/>
      <c r="AG1611" s="243"/>
      <c r="AH1611" s="243"/>
      <c r="AI1611" s="243"/>
      <c r="AJ1611" s="243"/>
      <c r="AK1611" s="243"/>
      <c r="AL1611" s="243"/>
      <c r="AM1611" s="243"/>
      <c r="AN1611" s="243"/>
      <c r="AO1611" s="243"/>
      <c r="AP1611" s="243"/>
      <c r="AQ1611" s="243"/>
      <c r="AR1611" s="243"/>
      <c r="AS1611" s="243"/>
      <c r="AT1611" s="243"/>
      <c r="AU1611" s="243"/>
      <c r="AV1611" s="243"/>
      <c r="AW1611" s="243"/>
      <c r="AX1611" s="243"/>
      <c r="AY1611" s="243"/>
      <c r="AZ1611" s="243"/>
      <c r="BA1611" s="243"/>
      <c r="BB1611" s="243"/>
      <c r="BC1611" s="243"/>
      <c r="BD1611" s="243"/>
      <c r="BE1611" s="243"/>
      <c r="BF1611" s="243"/>
      <c r="BG1611" s="243"/>
      <c r="BH1611" s="243"/>
      <c r="BI1611" s="243"/>
      <c r="BJ1611" s="243"/>
      <c r="BK1611" s="243"/>
      <c r="BL1611" s="243"/>
      <c r="BM1611" s="243"/>
      <c r="BN1611" s="243"/>
      <c r="BO1611" s="243"/>
      <c r="BP1611" s="243"/>
      <c r="BQ1611" s="243"/>
      <c r="BR1611" s="243"/>
      <c r="BS1611" s="243"/>
    </row>
    <row r="1612" spans="1:71" s="12" customFormat="1" ht="41.25" customHeight="1">
      <c r="A1612" s="538" t="s">
        <v>115</v>
      </c>
      <c r="B1612" s="237"/>
      <c r="C1612" s="237"/>
      <c r="D1612" s="237"/>
      <c r="E1612" s="237"/>
      <c r="F1612" s="237"/>
      <c r="G1612" s="237"/>
      <c r="H1612" s="238"/>
      <c r="I1612" s="238"/>
      <c r="J1612" s="383"/>
      <c r="K1612" s="25">
        <f>SUM(J1572:J1611)</f>
        <v>7369599</v>
      </c>
      <c r="L1612" s="383"/>
      <c r="M1612" s="383"/>
      <c r="N1612" s="383"/>
      <c r="O1612" s="243"/>
      <c r="P1612" s="243"/>
      <c r="Q1612" s="243"/>
      <c r="R1612" s="243"/>
      <c r="S1612" s="243"/>
      <c r="T1612" s="243"/>
      <c r="U1612" s="243"/>
      <c r="V1612" s="243"/>
      <c r="W1612" s="243"/>
      <c r="X1612" s="243"/>
      <c r="Y1612" s="243"/>
      <c r="Z1612" s="243"/>
      <c r="AA1612" s="243"/>
      <c r="AB1612" s="243"/>
      <c r="AC1612" s="243"/>
      <c r="AD1612" s="243"/>
      <c r="AE1612" s="243"/>
      <c r="AF1612" s="243"/>
      <c r="AG1612" s="243"/>
      <c r="AH1612" s="243"/>
      <c r="AI1612" s="243"/>
      <c r="AJ1612" s="243"/>
      <c r="AK1612" s="243"/>
      <c r="AL1612" s="243"/>
      <c r="AM1612" s="243"/>
      <c r="AN1612" s="243"/>
      <c r="AO1612" s="243"/>
      <c r="AP1612" s="243"/>
      <c r="AQ1612" s="243"/>
      <c r="AR1612" s="243"/>
      <c r="AS1612" s="243"/>
      <c r="AT1612" s="243"/>
      <c r="AU1612" s="243"/>
      <c r="AV1612" s="243"/>
      <c r="AW1612" s="243"/>
      <c r="AX1612" s="243"/>
      <c r="AY1612" s="243"/>
      <c r="AZ1612" s="243"/>
      <c r="BA1612" s="243"/>
      <c r="BB1612" s="243"/>
      <c r="BC1612" s="243"/>
      <c r="BD1612" s="243"/>
      <c r="BE1612" s="243"/>
      <c r="BF1612" s="243"/>
      <c r="BG1612" s="243"/>
      <c r="BH1612" s="243"/>
      <c r="BI1612" s="243"/>
      <c r="BJ1612" s="243"/>
      <c r="BK1612" s="243"/>
      <c r="BL1612" s="243"/>
      <c r="BM1612" s="243"/>
      <c r="BN1612" s="243"/>
      <c r="BO1612" s="243"/>
      <c r="BP1612" s="243"/>
      <c r="BQ1612" s="243"/>
      <c r="BR1612" s="243"/>
      <c r="BS1612" s="243"/>
    </row>
    <row r="1613" spans="1:71" s="12" customFormat="1" ht="41.25" customHeight="1">
      <c r="A1613" s="548" t="s">
        <v>117</v>
      </c>
      <c r="B1613" s="75" t="str">
        <f ca="1">+UPPER(Tabla1321124[[#This Row],[DESCRIPCIÓN DE LA COMPRA O CONTRATACIÓN]])</f>
        <v>PHOTOSHOP CC</v>
      </c>
      <c r="C1613" s="39" t="s">
        <v>17</v>
      </c>
      <c r="D1613" s="236">
        <v>6</v>
      </c>
      <c r="E1613" s="236"/>
      <c r="F1613" s="236"/>
      <c r="G1613" s="236"/>
      <c r="H1613" s="240">
        <f>SUM(Tabla1321124[[#This Row],[PRIMER TRIMESTRE]:[CUARTO TRIMESTRE]])</f>
        <v>6</v>
      </c>
      <c r="I1613" s="17">
        <v>900</v>
      </c>
      <c r="J1613" s="17">
        <f>+H1613*I1613</f>
        <v>5400</v>
      </c>
      <c r="K1613" s="17"/>
      <c r="L1613" s="16" t="s">
        <v>18</v>
      </c>
      <c r="M1613" s="16" t="s">
        <v>22</v>
      </c>
      <c r="N1613" s="16"/>
      <c r="O1613" s="243"/>
      <c r="P1613" s="243"/>
      <c r="Q1613" s="243"/>
      <c r="R1613" s="243"/>
      <c r="S1613" s="243"/>
      <c r="T1613" s="243"/>
      <c r="U1613" s="243"/>
      <c r="V1613" s="243"/>
      <c r="W1613" s="243"/>
      <c r="X1613" s="243"/>
      <c r="Y1613" s="243"/>
      <c r="Z1613" s="243"/>
      <c r="AA1613" s="243"/>
      <c r="AB1613" s="243"/>
      <c r="AC1613" s="243"/>
      <c r="AD1613" s="243"/>
      <c r="AE1613" s="243"/>
      <c r="AF1613" s="243"/>
      <c r="AG1613" s="243"/>
      <c r="AH1613" s="243"/>
      <c r="AI1613" s="243"/>
      <c r="AJ1613" s="243"/>
      <c r="AK1613" s="243"/>
      <c r="AL1613" s="243"/>
      <c r="AM1613" s="243"/>
      <c r="AN1613" s="243"/>
      <c r="AO1613" s="243"/>
      <c r="AP1613" s="243"/>
      <c r="AQ1613" s="243"/>
      <c r="AR1613" s="243"/>
      <c r="AS1613" s="243"/>
      <c r="AT1613" s="243"/>
      <c r="AU1613" s="243"/>
      <c r="AV1613" s="243"/>
      <c r="AW1613" s="243"/>
      <c r="AX1613" s="243"/>
      <c r="AY1613" s="243"/>
      <c r="AZ1613" s="243"/>
      <c r="BA1613" s="243"/>
      <c r="BB1613" s="243"/>
      <c r="BC1613" s="243"/>
      <c r="BD1613" s="243"/>
      <c r="BE1613" s="243"/>
      <c r="BF1613" s="243"/>
      <c r="BG1613" s="243"/>
      <c r="BH1613" s="243"/>
      <c r="BI1613" s="243"/>
      <c r="BJ1613" s="243"/>
      <c r="BK1613" s="243"/>
      <c r="BL1613" s="243"/>
      <c r="BM1613" s="243"/>
      <c r="BN1613" s="243"/>
      <c r="BO1613" s="243"/>
      <c r="BP1613" s="243"/>
      <c r="BQ1613" s="243"/>
      <c r="BR1613" s="243"/>
      <c r="BS1613" s="243"/>
    </row>
    <row r="1614" spans="1:71" s="12" customFormat="1" ht="41.25" customHeight="1">
      <c r="A1614" s="178" t="s">
        <v>117</v>
      </c>
      <c r="B1614" s="75" t="str">
        <f ca="1">+UPPER(Tabla1321124[[#This Row],[DESCRIPCIÓN DE LA COMPRA O CONTRATACIÓN]])</f>
        <v>DREAMWEABER CC</v>
      </c>
      <c r="C1614" s="39" t="s">
        <v>17</v>
      </c>
      <c r="D1614" s="236">
        <v>1</v>
      </c>
      <c r="E1614" s="236"/>
      <c r="F1614" s="236"/>
      <c r="G1614" s="236"/>
      <c r="H1614" s="240">
        <f>SUM(Tabla1321124[[#This Row],[PRIMER TRIMESTRE]:[CUARTO TRIMESTRE]])</f>
        <v>1</v>
      </c>
      <c r="I1614" s="17">
        <v>900</v>
      </c>
      <c r="J1614" s="17">
        <f t="shared" ref="J1614:J1636" si="26">+H1614*I1614</f>
        <v>900</v>
      </c>
      <c r="K1614" s="17"/>
      <c r="L1614" s="16" t="s">
        <v>18</v>
      </c>
      <c r="M1614" s="16" t="s">
        <v>22</v>
      </c>
      <c r="N1614" s="16" t="s">
        <v>418</v>
      </c>
      <c r="O1614" s="243"/>
      <c r="P1614" s="243"/>
      <c r="Q1614" s="243"/>
      <c r="R1614" s="243"/>
      <c r="S1614" s="243"/>
      <c r="T1614" s="243"/>
      <c r="U1614" s="243"/>
      <c r="V1614" s="243"/>
      <c r="W1614" s="243"/>
      <c r="X1614" s="243"/>
      <c r="Y1614" s="243"/>
      <c r="Z1614" s="243"/>
      <c r="AA1614" s="243"/>
      <c r="AB1614" s="243"/>
      <c r="AC1614" s="243"/>
      <c r="AD1614" s="243"/>
      <c r="AE1614" s="243"/>
      <c r="AF1614" s="243"/>
      <c r="AG1614" s="243"/>
      <c r="AH1614" s="243"/>
      <c r="AI1614" s="243"/>
      <c r="AJ1614" s="243"/>
      <c r="AK1614" s="243"/>
      <c r="AL1614" s="243"/>
      <c r="AM1614" s="243"/>
      <c r="AN1614" s="243"/>
      <c r="AO1614" s="243"/>
      <c r="AP1614" s="243"/>
      <c r="AQ1614" s="243"/>
      <c r="AR1614" s="243"/>
      <c r="AS1614" s="243"/>
      <c r="AT1614" s="243"/>
      <c r="AU1614" s="243"/>
      <c r="AV1614" s="243"/>
      <c r="AW1614" s="243"/>
      <c r="AX1614" s="243"/>
      <c r="AY1614" s="243"/>
      <c r="AZ1614" s="243"/>
      <c r="BA1614" s="243"/>
      <c r="BB1614" s="243"/>
      <c r="BC1614" s="243"/>
      <c r="BD1614" s="243"/>
      <c r="BE1614" s="243"/>
      <c r="BF1614" s="243"/>
      <c r="BG1614" s="243"/>
      <c r="BH1614" s="243"/>
      <c r="BI1614" s="243"/>
      <c r="BJ1614" s="243"/>
      <c r="BK1614" s="243"/>
      <c r="BL1614" s="243"/>
      <c r="BM1614" s="243"/>
      <c r="BN1614" s="243"/>
      <c r="BO1614" s="243"/>
      <c r="BP1614" s="243"/>
      <c r="BQ1614" s="243"/>
      <c r="BR1614" s="243"/>
      <c r="BS1614" s="243"/>
    </row>
    <row r="1615" spans="1:71" s="12" customFormat="1" ht="41.25" customHeight="1">
      <c r="A1615" s="178" t="s">
        <v>117</v>
      </c>
      <c r="B1615" s="75" t="str">
        <f ca="1">+UPPER(Tabla1321124[[#This Row],[DESCRIPCIÓN DE LA COMPRA O CONTRATACIÓN]])</f>
        <v>LICENCIAS DE FORTINET 600C</v>
      </c>
      <c r="C1615" s="39" t="s">
        <v>17</v>
      </c>
      <c r="D1615" s="236"/>
      <c r="E1615" s="236"/>
      <c r="F1615" s="236"/>
      <c r="G1615" s="236"/>
      <c r="H1615" s="240">
        <f>SUM(Tabla1321124[[#This Row],[PRIMER TRIMESTRE]:[CUARTO TRIMESTRE]])</f>
        <v>0</v>
      </c>
      <c r="I1615" s="17">
        <v>800000</v>
      </c>
      <c r="J1615" s="17">
        <f t="shared" si="26"/>
        <v>0</v>
      </c>
      <c r="K1615" s="17"/>
      <c r="L1615" s="16" t="s">
        <v>18</v>
      </c>
      <c r="M1615" s="16" t="s">
        <v>22</v>
      </c>
      <c r="N1615" s="16" t="s">
        <v>418</v>
      </c>
      <c r="O1615" s="243"/>
      <c r="P1615" s="243"/>
      <c r="Q1615" s="243"/>
      <c r="R1615" s="243"/>
      <c r="S1615" s="243"/>
      <c r="T1615" s="243"/>
      <c r="U1615" s="243"/>
      <c r="V1615" s="243"/>
      <c r="W1615" s="243"/>
      <c r="X1615" s="243"/>
      <c r="Y1615" s="243"/>
      <c r="Z1615" s="243"/>
      <c r="AA1615" s="243"/>
      <c r="AB1615" s="243"/>
      <c r="AC1615" s="243"/>
      <c r="AD1615" s="243"/>
      <c r="AE1615" s="243"/>
      <c r="AF1615" s="243"/>
      <c r="AG1615" s="243"/>
      <c r="AH1615" s="243"/>
      <c r="AI1615" s="243"/>
      <c r="AJ1615" s="243"/>
      <c r="AK1615" s="243"/>
      <c r="AL1615" s="243"/>
      <c r="AM1615" s="243"/>
      <c r="AN1615" s="243"/>
      <c r="AO1615" s="243"/>
      <c r="AP1615" s="243"/>
      <c r="AQ1615" s="243"/>
      <c r="AR1615" s="243"/>
      <c r="AS1615" s="243"/>
      <c r="AT1615" s="243"/>
      <c r="AU1615" s="243"/>
      <c r="AV1615" s="243"/>
      <c r="AW1615" s="243"/>
      <c r="AX1615" s="243"/>
      <c r="AY1615" s="243"/>
      <c r="AZ1615" s="243"/>
      <c r="BA1615" s="243"/>
      <c r="BB1615" s="243"/>
      <c r="BC1615" s="243"/>
      <c r="BD1615" s="243"/>
      <c r="BE1615" s="243"/>
      <c r="BF1615" s="243"/>
      <c r="BG1615" s="243"/>
      <c r="BH1615" s="243"/>
      <c r="BI1615" s="243"/>
      <c r="BJ1615" s="243"/>
      <c r="BK1615" s="243"/>
      <c r="BL1615" s="243"/>
      <c r="BM1615" s="243"/>
      <c r="BN1615" s="243"/>
      <c r="BO1615" s="243"/>
      <c r="BP1615" s="243"/>
      <c r="BQ1615" s="243"/>
      <c r="BR1615" s="243"/>
      <c r="BS1615" s="243"/>
    </row>
    <row r="1616" spans="1:71" s="12" customFormat="1" ht="41.25" customHeight="1">
      <c r="A1616" s="178" t="s">
        <v>117</v>
      </c>
      <c r="B1616" s="75" t="str">
        <f ca="1">+UPPER(Tabla1321124[[#This Row],[DESCRIPCIÓN DE LA COMPRA O CONTRATACIÓN]])</f>
        <v>LICENCIAS DE ANTIVIRUS</v>
      </c>
      <c r="C1616" s="39" t="s">
        <v>17</v>
      </c>
      <c r="D1616" s="236"/>
      <c r="E1616" s="236"/>
      <c r="F1616" s="236"/>
      <c r="G1616" s="236"/>
      <c r="H1616" s="240">
        <f>SUM(Tabla1321124[[#This Row],[PRIMER TRIMESTRE]:[CUARTO TRIMESTRE]])</f>
        <v>0</v>
      </c>
      <c r="I1616" s="17">
        <v>758</v>
      </c>
      <c r="J1616" s="17">
        <f t="shared" si="26"/>
        <v>0</v>
      </c>
      <c r="K1616" s="17"/>
      <c r="L1616" s="16" t="s">
        <v>18</v>
      </c>
      <c r="M1616" s="16" t="s">
        <v>22</v>
      </c>
      <c r="N1616" s="16" t="s">
        <v>418</v>
      </c>
      <c r="O1616" s="243"/>
      <c r="P1616" s="243"/>
      <c r="Q1616" s="243"/>
      <c r="R1616" s="243"/>
      <c r="S1616" s="243"/>
      <c r="T1616" s="243"/>
      <c r="U1616" s="243"/>
      <c r="V1616" s="243"/>
      <c r="W1616" s="243"/>
      <c r="X1616" s="243"/>
      <c r="Y1616" s="243"/>
      <c r="Z1616" s="243"/>
      <c r="AA1616" s="243"/>
      <c r="AB1616" s="243"/>
      <c r="AC1616" s="243"/>
      <c r="AD1616" s="243"/>
      <c r="AE1616" s="243"/>
      <c r="AF1616" s="243"/>
      <c r="AG1616" s="243"/>
      <c r="AH1616" s="243"/>
      <c r="AI1616" s="243"/>
      <c r="AJ1616" s="243"/>
      <c r="AK1616" s="243"/>
      <c r="AL1616" s="243"/>
      <c r="AM1616" s="243"/>
      <c r="AN1616" s="243"/>
      <c r="AO1616" s="243"/>
      <c r="AP1616" s="243"/>
      <c r="AQ1616" s="243"/>
      <c r="AR1616" s="243"/>
      <c r="AS1616" s="243"/>
      <c r="AT1616" s="243"/>
      <c r="AU1616" s="243"/>
      <c r="AV1616" s="243"/>
      <c r="AW1616" s="243"/>
      <c r="AX1616" s="243"/>
      <c r="AY1616" s="243"/>
      <c r="AZ1616" s="243"/>
      <c r="BA1616" s="243"/>
      <c r="BB1616" s="243"/>
      <c r="BC1616" s="243"/>
      <c r="BD1616" s="243"/>
      <c r="BE1616" s="243"/>
      <c r="BF1616" s="243"/>
      <c r="BG1616" s="243"/>
      <c r="BH1616" s="243"/>
      <c r="BI1616" s="243"/>
      <c r="BJ1616" s="243"/>
      <c r="BK1616" s="243"/>
      <c r="BL1616" s="243"/>
      <c r="BM1616" s="243"/>
      <c r="BN1616" s="243"/>
      <c r="BO1616" s="243"/>
      <c r="BP1616" s="243"/>
      <c r="BQ1616" s="243"/>
      <c r="BR1616" s="243"/>
      <c r="BS1616" s="243"/>
    </row>
    <row r="1617" spans="1:71" s="12" customFormat="1" ht="41.25" customHeight="1">
      <c r="A1617" s="178" t="s">
        <v>117</v>
      </c>
      <c r="B1617" s="75" t="str">
        <f ca="1">+UPPER(Tabla1321124[[#This Row],[DESCRIPCIÓN DE LA COMPRA O CONTRATACIÓN]])</f>
        <v xml:space="preserve">SOFTWARE ANTISPAM </v>
      </c>
      <c r="C1617" s="39" t="s">
        <v>17</v>
      </c>
      <c r="D1617" s="236"/>
      <c r="E1617" s="236"/>
      <c r="F1617" s="236"/>
      <c r="G1617" s="236"/>
      <c r="H1617" s="240">
        <f>SUM(Tabla1321124[[#This Row],[PRIMER TRIMESTRE]:[CUARTO TRIMESTRE]])</f>
        <v>0</v>
      </c>
      <c r="I1617" s="17">
        <v>12000</v>
      </c>
      <c r="J1617" s="17">
        <f t="shared" si="26"/>
        <v>0</v>
      </c>
      <c r="K1617" s="17"/>
      <c r="L1617" s="16" t="s">
        <v>18</v>
      </c>
      <c r="M1617" s="16" t="s">
        <v>22</v>
      </c>
      <c r="N1617" s="16" t="s">
        <v>418</v>
      </c>
      <c r="O1617" s="243"/>
      <c r="P1617" s="243"/>
      <c r="Q1617" s="243"/>
      <c r="R1617" s="243"/>
      <c r="S1617" s="243"/>
      <c r="T1617" s="243"/>
      <c r="U1617" s="243"/>
      <c r="V1617" s="243"/>
      <c r="W1617" s="243"/>
      <c r="X1617" s="243"/>
      <c r="Y1617" s="243"/>
      <c r="Z1617" s="243"/>
      <c r="AA1617" s="243"/>
      <c r="AB1617" s="243"/>
      <c r="AC1617" s="243"/>
      <c r="AD1617" s="243"/>
      <c r="AE1617" s="243"/>
      <c r="AF1617" s="243"/>
      <c r="AG1617" s="243"/>
      <c r="AH1617" s="243"/>
      <c r="AI1617" s="243"/>
      <c r="AJ1617" s="243"/>
      <c r="AK1617" s="243"/>
      <c r="AL1617" s="243"/>
      <c r="AM1617" s="243"/>
      <c r="AN1617" s="243"/>
      <c r="AO1617" s="243"/>
      <c r="AP1617" s="243"/>
      <c r="AQ1617" s="243"/>
      <c r="AR1617" s="243"/>
      <c r="AS1617" s="243"/>
      <c r="AT1617" s="243"/>
      <c r="AU1617" s="243"/>
      <c r="AV1617" s="243"/>
      <c r="AW1617" s="243"/>
      <c r="AX1617" s="243"/>
      <c r="AY1617" s="243"/>
      <c r="AZ1617" s="243"/>
      <c r="BA1617" s="243"/>
      <c r="BB1617" s="243"/>
      <c r="BC1617" s="243"/>
      <c r="BD1617" s="243"/>
      <c r="BE1617" s="243"/>
      <c r="BF1617" s="243"/>
      <c r="BG1617" s="243"/>
      <c r="BH1617" s="243"/>
      <c r="BI1617" s="243"/>
      <c r="BJ1617" s="243"/>
      <c r="BK1617" s="243"/>
      <c r="BL1617" s="243"/>
      <c r="BM1617" s="243"/>
      <c r="BN1617" s="243"/>
      <c r="BO1617" s="243"/>
      <c r="BP1617" s="243"/>
      <c r="BQ1617" s="243"/>
      <c r="BR1617" s="243"/>
      <c r="BS1617" s="243"/>
    </row>
    <row r="1618" spans="1:71" s="12" customFormat="1" ht="41.25" customHeight="1">
      <c r="A1618" s="178" t="s">
        <v>117</v>
      </c>
      <c r="B1618" s="75" t="str">
        <f ca="1">+UPPER(Tabla1321124[[#This Row],[DESCRIPCIÓN DE LA COMPRA O CONTRATACIÓN]])</f>
        <v>SOFTWARE DE GESTION DE LICENCIAS AQUARIUS DMS PRO (PACK 1 USER LICENSES)</v>
      </c>
      <c r="C1618" s="39" t="s">
        <v>17</v>
      </c>
      <c r="D1618" s="236"/>
      <c r="E1618" s="236"/>
      <c r="F1618" s="236"/>
      <c r="G1618" s="236"/>
      <c r="H1618" s="240">
        <f>SUM(Tabla1321124[[#This Row],[PRIMER TRIMESTRE]:[CUARTO TRIMESTRE]])</f>
        <v>0</v>
      </c>
      <c r="I1618" s="17">
        <v>0</v>
      </c>
      <c r="J1618" s="17">
        <f t="shared" si="26"/>
        <v>0</v>
      </c>
      <c r="K1618" s="302"/>
      <c r="L1618" s="16" t="s">
        <v>18</v>
      </c>
      <c r="M1618" s="16" t="s">
        <v>22</v>
      </c>
      <c r="N1618" s="16" t="s">
        <v>418</v>
      </c>
      <c r="O1618" s="243"/>
      <c r="P1618" s="243"/>
      <c r="Q1618" s="243"/>
      <c r="R1618" s="243"/>
      <c r="S1618" s="243"/>
      <c r="T1618" s="243"/>
      <c r="U1618" s="243"/>
      <c r="V1618" s="243"/>
      <c r="W1618" s="243"/>
      <c r="X1618" s="243"/>
      <c r="Y1618" s="243"/>
      <c r="Z1618" s="243"/>
      <c r="AA1618" s="243"/>
      <c r="AB1618" s="243"/>
      <c r="AC1618" s="243"/>
      <c r="AD1618" s="243"/>
      <c r="AE1618" s="243"/>
      <c r="AF1618" s="243"/>
      <c r="AG1618" s="243"/>
      <c r="AH1618" s="243"/>
      <c r="AI1618" s="243"/>
      <c r="AJ1618" s="243"/>
      <c r="AK1618" s="243"/>
      <c r="AL1618" s="243"/>
      <c r="AM1618" s="243"/>
      <c r="AN1618" s="243"/>
      <c r="AO1618" s="243"/>
      <c r="AP1618" s="243"/>
      <c r="AQ1618" s="243"/>
      <c r="AR1618" s="243"/>
      <c r="AS1618" s="243"/>
      <c r="AT1618" s="243"/>
      <c r="AU1618" s="243"/>
      <c r="AV1618" s="243"/>
      <c r="AW1618" s="243"/>
      <c r="AX1618" s="243"/>
      <c r="AY1618" s="243"/>
      <c r="AZ1618" s="243"/>
      <c r="BA1618" s="243"/>
      <c r="BB1618" s="243"/>
      <c r="BC1618" s="243"/>
      <c r="BD1618" s="243"/>
      <c r="BE1618" s="243"/>
      <c r="BF1618" s="243"/>
      <c r="BG1618" s="243"/>
      <c r="BH1618" s="243"/>
      <c r="BI1618" s="243"/>
      <c r="BJ1618" s="243"/>
      <c r="BK1618" s="243"/>
      <c r="BL1618" s="243"/>
      <c r="BM1618" s="243"/>
      <c r="BN1618" s="243"/>
      <c r="BO1618" s="243"/>
      <c r="BP1618" s="243"/>
      <c r="BQ1618" s="243"/>
      <c r="BR1618" s="243"/>
      <c r="BS1618" s="243"/>
    </row>
    <row r="1619" spans="1:71" s="12" customFormat="1" ht="41.25" customHeight="1">
      <c r="A1619" s="178" t="s">
        <v>117</v>
      </c>
      <c r="B1619" s="75" t="str">
        <f ca="1">+UPPER(Tabla1321124[[#This Row],[DESCRIPCIÓN DE LA COMPRA O CONTRATACIÓN]])</f>
        <v>SOFTWARE DE GESTION DE LICENCIAS  (1) AQUARIUS DMS PRO (PACK 6 USER LICENSES) (2)</v>
      </c>
      <c r="C1619" s="39" t="s">
        <v>17</v>
      </c>
      <c r="D1619" s="236">
        <v>6</v>
      </c>
      <c r="E1619" s="236"/>
      <c r="F1619" s="236">
        <v>2</v>
      </c>
      <c r="G1619" s="236"/>
      <c r="H1619" s="240">
        <f>SUM(Tabla1321124[[#This Row],[PRIMER TRIMESTRE]:[CUARTO TRIMESTRE]])</f>
        <v>8</v>
      </c>
      <c r="I1619" s="17">
        <v>251000</v>
      </c>
      <c r="J1619" s="17">
        <f t="shared" si="26"/>
        <v>2008000</v>
      </c>
      <c r="K1619" s="17"/>
      <c r="L1619" s="16" t="s">
        <v>18</v>
      </c>
      <c r="M1619" s="16" t="s">
        <v>22</v>
      </c>
      <c r="N1619" s="16" t="s">
        <v>418</v>
      </c>
      <c r="O1619" s="243"/>
      <c r="P1619" s="243"/>
      <c r="Q1619" s="243"/>
      <c r="R1619" s="243"/>
      <c r="S1619" s="243"/>
      <c r="T1619" s="243"/>
      <c r="U1619" s="243"/>
      <c r="V1619" s="243"/>
      <c r="W1619" s="243"/>
      <c r="X1619" s="243"/>
      <c r="Y1619" s="243"/>
      <c r="Z1619" s="243"/>
      <c r="AA1619" s="243"/>
      <c r="AB1619" s="243"/>
      <c r="AC1619" s="243"/>
      <c r="AD1619" s="243"/>
      <c r="AE1619" s="243"/>
      <c r="AF1619" s="243"/>
      <c r="AG1619" s="243"/>
      <c r="AH1619" s="243"/>
      <c r="AI1619" s="243"/>
      <c r="AJ1619" s="243"/>
      <c r="AK1619" s="243"/>
      <c r="AL1619" s="243"/>
      <c r="AM1619" s="243"/>
      <c r="AN1619" s="243"/>
      <c r="AO1619" s="243"/>
      <c r="AP1619" s="243"/>
      <c r="AQ1619" s="243"/>
      <c r="AR1619" s="243"/>
      <c r="AS1619" s="243"/>
      <c r="AT1619" s="243"/>
      <c r="AU1619" s="243"/>
      <c r="AV1619" s="243"/>
      <c r="AW1619" s="243"/>
      <c r="AX1619" s="243"/>
      <c r="AY1619" s="243"/>
      <c r="AZ1619" s="243"/>
      <c r="BA1619" s="243"/>
      <c r="BB1619" s="243"/>
      <c r="BC1619" s="243"/>
      <c r="BD1619" s="243"/>
      <c r="BE1619" s="243"/>
      <c r="BF1619" s="243"/>
      <c r="BG1619" s="243"/>
      <c r="BH1619" s="243"/>
      <c r="BI1619" s="243"/>
      <c r="BJ1619" s="243"/>
      <c r="BK1619" s="243"/>
      <c r="BL1619" s="243"/>
      <c r="BM1619" s="243"/>
      <c r="BN1619" s="243"/>
      <c r="BO1619" s="243"/>
      <c r="BP1619" s="243"/>
      <c r="BQ1619" s="243"/>
      <c r="BR1619" s="243"/>
      <c r="BS1619" s="243"/>
    </row>
    <row r="1620" spans="1:71" s="12" customFormat="1" ht="41.25" customHeight="1">
      <c r="A1620" s="178" t="s">
        <v>117</v>
      </c>
      <c r="B1620" s="75" t="str">
        <f ca="1">+UPPER(Tabla1321124[[#This Row],[DESCRIPCIÓN DE LA COMPRA O CONTRATACIÓN]])</f>
        <v>LICENCIA DE AUTO CAD 2015</v>
      </c>
      <c r="C1620" s="39" t="s">
        <v>17</v>
      </c>
      <c r="D1620" s="236">
        <v>2</v>
      </c>
      <c r="E1620" s="236"/>
      <c r="F1620" s="236">
        <v>2</v>
      </c>
      <c r="G1620" s="236"/>
      <c r="H1620" s="240">
        <f>SUM(Tabla1321124[[#This Row],[PRIMER TRIMESTRE]:[CUARTO TRIMESTRE]])</f>
        <v>4</v>
      </c>
      <c r="I1620" s="17">
        <v>250000</v>
      </c>
      <c r="J1620" s="17">
        <f t="shared" si="26"/>
        <v>1000000</v>
      </c>
      <c r="K1620" s="17"/>
      <c r="L1620" s="16" t="s">
        <v>18</v>
      </c>
      <c r="M1620" s="16" t="s">
        <v>22</v>
      </c>
      <c r="N1620" s="16" t="s">
        <v>418</v>
      </c>
      <c r="O1620" s="243"/>
      <c r="P1620" s="243"/>
      <c r="Q1620" s="243"/>
      <c r="R1620" s="243"/>
      <c r="S1620" s="243"/>
      <c r="T1620" s="243"/>
      <c r="U1620" s="243"/>
      <c r="V1620" s="243"/>
      <c r="W1620" s="243"/>
      <c r="X1620" s="243"/>
      <c r="Y1620" s="243"/>
      <c r="Z1620" s="243"/>
      <c r="AA1620" s="243"/>
      <c r="AB1620" s="243"/>
      <c r="AC1620" s="243"/>
      <c r="AD1620" s="243"/>
      <c r="AE1620" s="243"/>
      <c r="AF1620" s="243"/>
      <c r="AG1620" s="243"/>
      <c r="AH1620" s="243"/>
      <c r="AI1620" s="243"/>
      <c r="AJ1620" s="243"/>
      <c r="AK1620" s="243"/>
      <c r="AL1620" s="243"/>
      <c r="AM1620" s="243"/>
      <c r="AN1620" s="243"/>
      <c r="AO1620" s="243"/>
      <c r="AP1620" s="243"/>
      <c r="AQ1620" s="243"/>
      <c r="AR1620" s="243"/>
      <c r="AS1620" s="243"/>
      <c r="AT1620" s="243"/>
      <c r="AU1620" s="243"/>
      <c r="AV1620" s="243"/>
      <c r="AW1620" s="243"/>
      <c r="AX1620" s="243"/>
      <c r="AY1620" s="243"/>
      <c r="AZ1620" s="243"/>
      <c r="BA1620" s="243"/>
      <c r="BB1620" s="243"/>
      <c r="BC1620" s="243"/>
      <c r="BD1620" s="243"/>
      <c r="BE1620" s="243"/>
      <c r="BF1620" s="243"/>
      <c r="BG1620" s="243"/>
      <c r="BH1620" s="243"/>
      <c r="BI1620" s="243"/>
      <c r="BJ1620" s="243"/>
      <c r="BK1620" s="243"/>
      <c r="BL1620" s="243"/>
      <c r="BM1620" s="243"/>
      <c r="BN1620" s="243"/>
      <c r="BO1620" s="243"/>
      <c r="BP1620" s="243"/>
      <c r="BQ1620" s="243"/>
      <c r="BR1620" s="243"/>
      <c r="BS1620" s="243"/>
    </row>
    <row r="1621" spans="1:71" s="12" customFormat="1" ht="41.25" customHeight="1">
      <c r="A1621" s="178" t="s">
        <v>117</v>
      </c>
      <c r="B1621" s="75" t="str">
        <f ca="1">+UPPER(Tabla1321124[[#This Row],[DESCRIPCIÓN DE LA COMPRA O CONTRATACIÓN]])</f>
        <v>DATACENTER/ DIGITALIZACION</v>
      </c>
      <c r="C1621" s="39" t="s">
        <v>17</v>
      </c>
      <c r="D1621" s="236"/>
      <c r="E1621" s="236"/>
      <c r="F1621" s="236"/>
      <c r="G1621" s="236"/>
      <c r="H1621" s="240">
        <f>SUM(Tabla1321124[[#This Row],[PRIMER TRIMESTRE]:[CUARTO TRIMESTRE]])</f>
        <v>0</v>
      </c>
      <c r="I1621" s="17">
        <v>25000000</v>
      </c>
      <c r="J1621" s="17">
        <f t="shared" si="26"/>
        <v>0</v>
      </c>
      <c r="K1621" s="17"/>
      <c r="L1621" s="16" t="s">
        <v>18</v>
      </c>
      <c r="M1621" s="16" t="s">
        <v>22</v>
      </c>
      <c r="N1621" s="16" t="s">
        <v>418</v>
      </c>
      <c r="O1621" s="243"/>
      <c r="P1621" s="243"/>
      <c r="Q1621" s="243"/>
      <c r="R1621" s="243"/>
      <c r="S1621" s="243"/>
      <c r="T1621" s="243"/>
      <c r="U1621" s="243"/>
      <c r="V1621" s="243"/>
      <c r="W1621" s="243"/>
      <c r="X1621" s="243"/>
      <c r="Y1621" s="243"/>
      <c r="Z1621" s="243"/>
      <c r="AA1621" s="243"/>
      <c r="AB1621" s="243"/>
      <c r="AC1621" s="243"/>
      <c r="AD1621" s="243"/>
      <c r="AE1621" s="243"/>
      <c r="AF1621" s="243"/>
      <c r="AG1621" s="243"/>
      <c r="AH1621" s="243"/>
      <c r="AI1621" s="243"/>
      <c r="AJ1621" s="243"/>
      <c r="AK1621" s="243"/>
      <c r="AL1621" s="243"/>
      <c r="AM1621" s="243"/>
      <c r="AN1621" s="243"/>
      <c r="AO1621" s="243"/>
      <c r="AP1621" s="243"/>
      <c r="AQ1621" s="243"/>
      <c r="AR1621" s="243"/>
      <c r="AS1621" s="243"/>
      <c r="AT1621" s="243"/>
      <c r="AU1621" s="243"/>
      <c r="AV1621" s="243"/>
      <c r="AW1621" s="243"/>
      <c r="AX1621" s="243"/>
      <c r="AY1621" s="243"/>
      <c r="AZ1621" s="243"/>
      <c r="BA1621" s="243"/>
      <c r="BB1621" s="243"/>
      <c r="BC1621" s="243"/>
      <c r="BD1621" s="243"/>
      <c r="BE1621" s="243"/>
      <c r="BF1621" s="243"/>
      <c r="BG1621" s="243"/>
      <c r="BH1621" s="243"/>
      <c r="BI1621" s="243"/>
      <c r="BJ1621" s="243"/>
      <c r="BK1621" s="243"/>
      <c r="BL1621" s="243"/>
      <c r="BM1621" s="243"/>
      <c r="BN1621" s="243"/>
      <c r="BO1621" s="243"/>
      <c r="BP1621" s="243"/>
      <c r="BQ1621" s="243"/>
      <c r="BR1621" s="243"/>
      <c r="BS1621" s="243"/>
    </row>
    <row r="1622" spans="1:71" s="12" customFormat="1" ht="41.25" customHeight="1">
      <c r="A1622" s="178" t="s">
        <v>117</v>
      </c>
      <c r="B1622" s="75" t="str">
        <f ca="1">+UPPER(Tabla1321124[[#This Row],[DESCRIPCIÓN DE LA COMPRA O CONTRATACIÓN]])</f>
        <v>CIVIL 3D</v>
      </c>
      <c r="C1622" s="39" t="s">
        <v>17</v>
      </c>
      <c r="D1622" s="236">
        <v>1</v>
      </c>
      <c r="E1622" s="236"/>
      <c r="F1622" s="236"/>
      <c r="G1622" s="236"/>
      <c r="H1622" s="240">
        <f>SUM(Tabla1321124[[#This Row],[PRIMER TRIMESTRE]:[CUARTO TRIMESTRE]])</f>
        <v>1</v>
      </c>
      <c r="I1622" s="17">
        <v>327618.2</v>
      </c>
      <c r="J1622" s="17">
        <f t="shared" si="26"/>
        <v>327618.2</v>
      </c>
      <c r="K1622" s="17"/>
      <c r="L1622" s="16" t="s">
        <v>18</v>
      </c>
      <c r="M1622" s="16" t="s">
        <v>22</v>
      </c>
      <c r="N1622" s="16" t="s">
        <v>418</v>
      </c>
      <c r="O1622" s="243"/>
      <c r="P1622" s="243"/>
      <c r="Q1622" s="243"/>
      <c r="R1622" s="243"/>
      <c r="S1622" s="243"/>
      <c r="T1622" s="243"/>
      <c r="U1622" s="243"/>
      <c r="V1622" s="243"/>
      <c r="W1622" s="243"/>
      <c r="X1622" s="243"/>
      <c r="Y1622" s="243"/>
      <c r="Z1622" s="243"/>
      <c r="AA1622" s="243"/>
      <c r="AB1622" s="243"/>
      <c r="AC1622" s="243"/>
      <c r="AD1622" s="243"/>
      <c r="AE1622" s="243"/>
      <c r="AF1622" s="243"/>
      <c r="AG1622" s="243"/>
      <c r="AH1622" s="243"/>
      <c r="AI1622" s="243"/>
      <c r="AJ1622" s="243"/>
      <c r="AK1622" s="243"/>
      <c r="AL1622" s="243"/>
      <c r="AM1622" s="243"/>
      <c r="AN1622" s="243"/>
      <c r="AO1622" s="243"/>
      <c r="AP1622" s="243"/>
      <c r="AQ1622" s="243"/>
      <c r="AR1622" s="243"/>
      <c r="AS1622" s="243"/>
      <c r="AT1622" s="243"/>
      <c r="AU1622" s="243"/>
      <c r="AV1622" s="243"/>
      <c r="AW1622" s="243"/>
      <c r="AX1622" s="243"/>
      <c r="AY1622" s="243"/>
      <c r="AZ1622" s="243"/>
      <c r="BA1622" s="243"/>
      <c r="BB1622" s="243"/>
      <c r="BC1622" s="243"/>
      <c r="BD1622" s="243"/>
      <c r="BE1622" s="243"/>
      <c r="BF1622" s="243"/>
      <c r="BG1622" s="243"/>
      <c r="BH1622" s="243"/>
      <c r="BI1622" s="243"/>
      <c r="BJ1622" s="243"/>
      <c r="BK1622" s="243"/>
      <c r="BL1622" s="243"/>
      <c r="BM1622" s="243"/>
      <c r="BN1622" s="243"/>
      <c r="BO1622" s="243"/>
      <c r="BP1622" s="243"/>
      <c r="BQ1622" s="243"/>
      <c r="BR1622" s="243"/>
      <c r="BS1622" s="243"/>
    </row>
    <row r="1623" spans="1:71" s="12" customFormat="1" ht="41.25" customHeight="1">
      <c r="A1623" s="178" t="s">
        <v>117</v>
      </c>
      <c r="B1623" s="75" t="str">
        <f ca="1">+UPPER(Tabla1321124[[#This Row],[DESCRIPCIÓN DE LA COMPRA O CONTRATACIÓN]])</f>
        <v>SEWER GEMS</v>
      </c>
      <c r="C1623" s="39" t="s">
        <v>17</v>
      </c>
      <c r="D1623" s="236">
        <v>1</v>
      </c>
      <c r="E1623" s="236"/>
      <c r="F1623" s="236"/>
      <c r="G1623" s="236"/>
      <c r="H1623" s="240">
        <f>SUM(Tabla1321124[[#This Row],[PRIMER TRIMESTRE]:[CUARTO TRIMESTRE]])</f>
        <v>1</v>
      </c>
      <c r="I1623" s="17">
        <v>815223.95</v>
      </c>
      <c r="J1623" s="17">
        <f t="shared" si="26"/>
        <v>815223.95</v>
      </c>
      <c r="K1623" s="17"/>
      <c r="L1623" s="16" t="s">
        <v>18</v>
      </c>
      <c r="M1623" s="16" t="s">
        <v>22</v>
      </c>
      <c r="N1623" s="16" t="s">
        <v>418</v>
      </c>
      <c r="O1623" s="243"/>
      <c r="P1623" s="243"/>
      <c r="Q1623" s="243"/>
      <c r="R1623" s="243"/>
      <c r="S1623" s="243"/>
      <c r="T1623" s="243"/>
      <c r="U1623" s="243"/>
      <c r="V1623" s="243"/>
      <c r="W1623" s="243"/>
      <c r="X1623" s="243"/>
      <c r="Y1623" s="243"/>
      <c r="Z1623" s="243"/>
      <c r="AA1623" s="243"/>
      <c r="AB1623" s="243"/>
      <c r="AC1623" s="243"/>
      <c r="AD1623" s="243"/>
      <c r="AE1623" s="243"/>
      <c r="AF1623" s="243"/>
      <c r="AG1623" s="243"/>
      <c r="AH1623" s="243"/>
      <c r="AI1623" s="243"/>
      <c r="AJ1623" s="243"/>
      <c r="AK1623" s="243"/>
      <c r="AL1623" s="243"/>
      <c r="AM1623" s="243"/>
      <c r="AN1623" s="243"/>
      <c r="AO1623" s="243"/>
      <c r="AP1623" s="243"/>
      <c r="AQ1623" s="243"/>
      <c r="AR1623" s="243"/>
      <c r="AS1623" s="243"/>
      <c r="AT1623" s="243"/>
      <c r="AU1623" s="243"/>
      <c r="AV1623" s="243"/>
      <c r="AW1623" s="243"/>
      <c r="AX1623" s="243"/>
      <c r="AY1623" s="243"/>
      <c r="AZ1623" s="243"/>
      <c r="BA1623" s="243"/>
      <c r="BB1623" s="243"/>
      <c r="BC1623" s="243"/>
      <c r="BD1623" s="243"/>
      <c r="BE1623" s="243"/>
      <c r="BF1623" s="243"/>
      <c r="BG1623" s="243"/>
      <c r="BH1623" s="243"/>
      <c r="BI1623" s="243"/>
      <c r="BJ1623" s="243"/>
      <c r="BK1623" s="243"/>
      <c r="BL1623" s="243"/>
      <c r="BM1623" s="243"/>
      <c r="BN1623" s="243"/>
      <c r="BO1623" s="243"/>
      <c r="BP1623" s="243"/>
      <c r="BQ1623" s="243"/>
      <c r="BR1623" s="243"/>
      <c r="BS1623" s="243"/>
    </row>
    <row r="1624" spans="1:71" s="12" customFormat="1" ht="41.25" customHeight="1">
      <c r="A1624" s="372" t="s">
        <v>117</v>
      </c>
      <c r="B1624" s="75" t="str">
        <f ca="1">+UPPER(Tabla1321124[[#This Row],[DESCRIPCIÓN DE LA COMPRA O CONTRATACIÓN]])</f>
        <v>WINFLUID</v>
      </c>
      <c r="C1624" s="39" t="s">
        <v>17</v>
      </c>
      <c r="D1624" s="177">
        <v>4</v>
      </c>
      <c r="E1624" s="370"/>
      <c r="F1624" s="370"/>
      <c r="G1624" s="370"/>
      <c r="H1624" s="240">
        <f>SUM(Tabla1321124[[#This Row],[PRIMER TRIMESTRE]:[CUARTO TRIMESTRE]])</f>
        <v>4</v>
      </c>
      <c r="I1624" s="17">
        <v>150000</v>
      </c>
      <c r="J1624" s="17">
        <f t="shared" si="26"/>
        <v>600000</v>
      </c>
      <c r="K1624" s="175"/>
      <c r="L1624" s="16" t="s">
        <v>18</v>
      </c>
      <c r="M1624" s="16" t="s">
        <v>22</v>
      </c>
      <c r="N1624" s="16" t="s">
        <v>418</v>
      </c>
      <c r="O1624" s="243"/>
      <c r="P1624" s="243"/>
      <c r="Q1624" s="243"/>
      <c r="R1624" s="243"/>
      <c r="S1624" s="243"/>
      <c r="T1624" s="243"/>
      <c r="U1624" s="243"/>
      <c r="V1624" s="243"/>
      <c r="W1624" s="243"/>
      <c r="X1624" s="243"/>
      <c r="Y1624" s="243"/>
      <c r="Z1624" s="243"/>
      <c r="AA1624" s="243"/>
      <c r="AB1624" s="243"/>
      <c r="AC1624" s="243"/>
      <c r="AD1624" s="243"/>
      <c r="AE1624" s="243"/>
      <c r="AF1624" s="243"/>
      <c r="AG1624" s="243"/>
      <c r="AH1624" s="243"/>
      <c r="AI1624" s="243"/>
      <c r="AJ1624" s="243"/>
      <c r="AK1624" s="243"/>
      <c r="AL1624" s="243"/>
      <c r="AM1624" s="243"/>
      <c r="AN1624" s="243"/>
      <c r="AO1624" s="243"/>
      <c r="AP1624" s="243"/>
      <c r="AQ1624" s="243"/>
      <c r="AR1624" s="243"/>
      <c r="AS1624" s="243"/>
      <c r="AT1624" s="243"/>
      <c r="AU1624" s="243"/>
      <c r="AV1624" s="243"/>
      <c r="AW1624" s="243"/>
      <c r="AX1624" s="243"/>
      <c r="AY1624" s="243"/>
      <c r="AZ1624" s="243"/>
      <c r="BA1624" s="243"/>
      <c r="BB1624" s="243"/>
      <c r="BC1624" s="243"/>
      <c r="BD1624" s="243"/>
      <c r="BE1624" s="243"/>
      <c r="BF1624" s="243"/>
      <c r="BG1624" s="243"/>
      <c r="BH1624" s="243"/>
      <c r="BI1624" s="243"/>
      <c r="BJ1624" s="243"/>
      <c r="BK1624" s="243"/>
      <c r="BL1624" s="243"/>
      <c r="BM1624" s="243"/>
      <c r="BN1624" s="243"/>
      <c r="BO1624" s="243"/>
      <c r="BP1624" s="243"/>
      <c r="BQ1624" s="243"/>
      <c r="BR1624" s="243"/>
      <c r="BS1624" s="243"/>
    </row>
    <row r="1625" spans="1:71" s="12" customFormat="1" ht="41.25" customHeight="1">
      <c r="A1625" s="178" t="s">
        <v>117</v>
      </c>
      <c r="B1625" s="75" t="str">
        <f ca="1">+UPPER(Tabla1321124[[#This Row],[DESCRIPCIÓN DE LA COMPRA O CONTRATACIÓN]])</f>
        <v>CYPE CAD</v>
      </c>
      <c r="C1625" s="39" t="s">
        <v>17</v>
      </c>
      <c r="D1625" s="236">
        <v>1</v>
      </c>
      <c r="E1625" s="236"/>
      <c r="F1625" s="236"/>
      <c r="G1625" s="236"/>
      <c r="H1625" s="240">
        <f>SUM(Tabla1321124[[#This Row],[PRIMER TRIMESTRE]:[CUARTO TRIMESTRE]])</f>
        <v>1</v>
      </c>
      <c r="I1625" s="17">
        <v>341286.40000000002</v>
      </c>
      <c r="J1625" s="17">
        <f t="shared" si="26"/>
        <v>341286.40000000002</v>
      </c>
      <c r="K1625" s="17"/>
      <c r="L1625" s="16" t="s">
        <v>18</v>
      </c>
      <c r="M1625" s="16" t="s">
        <v>22</v>
      </c>
      <c r="N1625" s="16" t="s">
        <v>418</v>
      </c>
      <c r="O1625" s="243"/>
      <c r="P1625" s="243"/>
      <c r="Q1625" s="243"/>
      <c r="R1625" s="243"/>
      <c r="S1625" s="243"/>
      <c r="T1625" s="243"/>
      <c r="U1625" s="243"/>
      <c r="V1625" s="243"/>
      <c r="W1625" s="243"/>
      <c r="X1625" s="243"/>
      <c r="Y1625" s="243"/>
      <c r="Z1625" s="243"/>
      <c r="AA1625" s="243"/>
      <c r="AB1625" s="243"/>
      <c r="AC1625" s="243"/>
      <c r="AD1625" s="243"/>
      <c r="AE1625" s="243"/>
      <c r="AF1625" s="243"/>
      <c r="AG1625" s="243"/>
      <c r="AH1625" s="243"/>
      <c r="AI1625" s="243"/>
      <c r="AJ1625" s="243"/>
      <c r="AK1625" s="243"/>
      <c r="AL1625" s="243"/>
      <c r="AM1625" s="243"/>
      <c r="AN1625" s="243"/>
      <c r="AO1625" s="243"/>
      <c r="AP1625" s="243"/>
      <c r="AQ1625" s="243"/>
      <c r="AR1625" s="243"/>
      <c r="AS1625" s="243"/>
      <c r="AT1625" s="243"/>
      <c r="AU1625" s="243"/>
      <c r="AV1625" s="243"/>
      <c r="AW1625" s="243"/>
      <c r="AX1625" s="243"/>
      <c r="AY1625" s="243"/>
      <c r="AZ1625" s="243"/>
      <c r="BA1625" s="243"/>
      <c r="BB1625" s="243"/>
      <c r="BC1625" s="243"/>
      <c r="BD1625" s="243"/>
      <c r="BE1625" s="243"/>
      <c r="BF1625" s="243"/>
      <c r="BG1625" s="243"/>
      <c r="BH1625" s="243"/>
      <c r="BI1625" s="243"/>
      <c r="BJ1625" s="243"/>
      <c r="BK1625" s="243"/>
      <c r="BL1625" s="243"/>
      <c r="BM1625" s="243"/>
      <c r="BN1625" s="243"/>
      <c r="BO1625" s="243"/>
      <c r="BP1625" s="243"/>
      <c r="BQ1625" s="243"/>
      <c r="BR1625" s="243"/>
      <c r="BS1625" s="243"/>
    </row>
    <row r="1626" spans="1:71" s="12" customFormat="1" ht="41.25" customHeight="1">
      <c r="A1626" s="178" t="s">
        <v>117</v>
      </c>
      <c r="B1626" s="75" t="str">
        <f ca="1">+UPPER(Tabla1321124[[#This Row],[DESCRIPCIÓN DE LA COMPRA O CONTRATACIÓN]])</f>
        <v>WATER GEMS</v>
      </c>
      <c r="C1626" s="39" t="s">
        <v>17</v>
      </c>
      <c r="D1626" s="236">
        <v>2</v>
      </c>
      <c r="E1626" s="236"/>
      <c r="F1626" s="236">
        <v>1</v>
      </c>
      <c r="G1626" s="236"/>
      <c r="H1626" s="240">
        <f>SUM(Tabla1321124[[#This Row],[PRIMER TRIMESTRE]:[CUARTO TRIMESTRE]])</f>
        <v>3</v>
      </c>
      <c r="I1626" s="17">
        <v>498739.15</v>
      </c>
      <c r="J1626" s="17">
        <f t="shared" si="26"/>
        <v>1496217.4500000002</v>
      </c>
      <c r="K1626" s="17"/>
      <c r="L1626" s="16" t="s">
        <v>18</v>
      </c>
      <c r="M1626" s="16" t="s">
        <v>22</v>
      </c>
      <c r="N1626" s="16" t="s">
        <v>418</v>
      </c>
      <c r="O1626" s="243"/>
      <c r="P1626" s="243"/>
      <c r="Q1626" s="243"/>
      <c r="R1626" s="243"/>
      <c r="S1626" s="243"/>
      <c r="T1626" s="243"/>
      <c r="U1626" s="243"/>
      <c r="V1626" s="243"/>
      <c r="W1626" s="243"/>
      <c r="X1626" s="243"/>
      <c r="Y1626" s="243"/>
      <c r="Z1626" s="243"/>
      <c r="AA1626" s="243"/>
      <c r="AB1626" s="243"/>
      <c r="AC1626" s="243"/>
      <c r="AD1626" s="243"/>
      <c r="AE1626" s="243"/>
      <c r="AF1626" s="243"/>
      <c r="AG1626" s="243"/>
      <c r="AH1626" s="243"/>
      <c r="AI1626" s="243"/>
      <c r="AJ1626" s="243"/>
      <c r="AK1626" s="243"/>
      <c r="AL1626" s="243"/>
      <c r="AM1626" s="243"/>
      <c r="AN1626" s="243"/>
      <c r="AO1626" s="243"/>
      <c r="AP1626" s="243"/>
      <c r="AQ1626" s="243"/>
      <c r="AR1626" s="243"/>
      <c r="AS1626" s="243"/>
      <c r="AT1626" s="243"/>
      <c r="AU1626" s="243"/>
      <c r="AV1626" s="243"/>
      <c r="AW1626" s="243"/>
      <c r="AX1626" s="243"/>
      <c r="AY1626" s="243"/>
      <c r="AZ1626" s="243"/>
      <c r="BA1626" s="243"/>
      <c r="BB1626" s="243"/>
      <c r="BC1626" s="243"/>
      <c r="BD1626" s="243"/>
      <c r="BE1626" s="243"/>
      <c r="BF1626" s="243"/>
      <c r="BG1626" s="243"/>
      <c r="BH1626" s="243"/>
      <c r="BI1626" s="243"/>
      <c r="BJ1626" s="243"/>
      <c r="BK1626" s="243"/>
      <c r="BL1626" s="243"/>
      <c r="BM1626" s="243"/>
      <c r="BN1626" s="243"/>
      <c r="BO1626" s="243"/>
      <c r="BP1626" s="243"/>
      <c r="BQ1626" s="243"/>
      <c r="BR1626" s="243"/>
      <c r="BS1626" s="243"/>
    </row>
    <row r="1627" spans="1:71" s="12" customFormat="1" ht="41.25" customHeight="1">
      <c r="A1627" s="178" t="s">
        <v>117</v>
      </c>
      <c r="B1627" s="75" t="str">
        <f ca="1">+UPPER(Tabla1321124[[#This Row],[DESCRIPCIÓN DE LA COMPRA O CONTRATACIÓN]])</f>
        <v>WATER CAD</v>
      </c>
      <c r="C1627" s="39" t="s">
        <v>17</v>
      </c>
      <c r="D1627" s="236">
        <v>1</v>
      </c>
      <c r="E1627" s="236"/>
      <c r="F1627" s="236"/>
      <c r="G1627" s="236"/>
      <c r="H1627" s="240">
        <f>SUM(Tabla1321124[[#This Row],[PRIMER TRIMESTRE]:[CUARTO TRIMESTRE]])</f>
        <v>1</v>
      </c>
      <c r="I1627" s="17">
        <v>498739.15</v>
      </c>
      <c r="J1627" s="17">
        <f t="shared" si="26"/>
        <v>498739.15</v>
      </c>
      <c r="K1627" s="340"/>
      <c r="L1627" s="16" t="s">
        <v>18</v>
      </c>
      <c r="M1627" s="16" t="s">
        <v>22</v>
      </c>
      <c r="N1627" s="16" t="s">
        <v>418</v>
      </c>
      <c r="O1627" s="243"/>
      <c r="P1627" s="243"/>
      <c r="Q1627" s="243"/>
      <c r="R1627" s="243"/>
      <c r="S1627" s="243"/>
      <c r="T1627" s="243"/>
      <c r="U1627" s="243"/>
      <c r="V1627" s="243"/>
      <c r="W1627" s="243"/>
      <c r="X1627" s="243"/>
      <c r="Y1627" s="243"/>
      <c r="Z1627" s="243"/>
      <c r="AA1627" s="243"/>
      <c r="AB1627" s="243"/>
      <c r="AC1627" s="243"/>
      <c r="AD1627" s="243"/>
      <c r="AE1627" s="243"/>
      <c r="AF1627" s="243"/>
      <c r="AG1627" s="243"/>
      <c r="AH1627" s="243"/>
      <c r="AI1627" s="243"/>
      <c r="AJ1627" s="243"/>
      <c r="AK1627" s="243"/>
      <c r="AL1627" s="243"/>
      <c r="AM1627" s="243"/>
      <c r="AN1627" s="243"/>
      <c r="AO1627" s="243"/>
      <c r="AP1627" s="243"/>
      <c r="AQ1627" s="243"/>
      <c r="AR1627" s="243"/>
      <c r="AS1627" s="243"/>
      <c r="AT1627" s="243"/>
      <c r="AU1627" s="243"/>
      <c r="AV1627" s="243"/>
      <c r="AW1627" s="243"/>
      <c r="AX1627" s="243"/>
      <c r="AY1627" s="243"/>
      <c r="AZ1627" s="243"/>
      <c r="BA1627" s="243"/>
      <c r="BB1627" s="243"/>
      <c r="BC1627" s="243"/>
      <c r="BD1627" s="243"/>
      <c r="BE1627" s="243"/>
      <c r="BF1627" s="243"/>
      <c r="BG1627" s="243"/>
      <c r="BH1627" s="243"/>
      <c r="BI1627" s="243"/>
      <c r="BJ1627" s="243"/>
      <c r="BK1627" s="243"/>
      <c r="BL1627" s="243"/>
      <c r="BM1627" s="243"/>
      <c r="BN1627" s="243"/>
      <c r="BO1627" s="243"/>
      <c r="BP1627" s="243"/>
      <c r="BQ1627" s="243"/>
      <c r="BR1627" s="243"/>
      <c r="BS1627" s="243"/>
    </row>
    <row r="1628" spans="1:71" s="12" customFormat="1" ht="41.25" customHeight="1">
      <c r="A1628" s="178" t="s">
        <v>117</v>
      </c>
      <c r="B1628" s="75" t="str">
        <f ca="1">+UPPER(Tabla1321124[[#This Row],[DESCRIPCIÓN DE LA COMPRA O CONTRATACIÓN]])</f>
        <v xml:space="preserve">MICRO STATION </v>
      </c>
      <c r="C1628" s="39" t="s">
        <v>17</v>
      </c>
      <c r="D1628" s="236">
        <v>1</v>
      </c>
      <c r="E1628" s="236"/>
      <c r="F1628" s="236"/>
      <c r="G1628" s="236"/>
      <c r="H1628" s="240">
        <f>SUM(Tabla1321124[[#This Row],[PRIMER TRIMESTRE]:[CUARTO TRIMESTRE]])</f>
        <v>1</v>
      </c>
      <c r="I1628" s="17">
        <v>495000</v>
      </c>
      <c r="J1628" s="17">
        <f t="shared" si="26"/>
        <v>495000</v>
      </c>
      <c r="K1628" s="340"/>
      <c r="L1628" s="16" t="s">
        <v>18</v>
      </c>
      <c r="M1628" s="16" t="s">
        <v>22</v>
      </c>
      <c r="N1628" s="16" t="s">
        <v>418</v>
      </c>
      <c r="O1628" s="243"/>
      <c r="P1628" s="243"/>
      <c r="Q1628" s="243"/>
      <c r="R1628" s="243"/>
      <c r="S1628" s="243"/>
      <c r="T1628" s="243"/>
      <c r="U1628" s="243"/>
      <c r="V1628" s="243"/>
      <c r="W1628" s="243"/>
      <c r="X1628" s="243"/>
      <c r="Y1628" s="243"/>
      <c r="Z1628" s="243"/>
      <c r="AA1628" s="243"/>
      <c r="AB1628" s="243"/>
      <c r="AC1628" s="243"/>
      <c r="AD1628" s="243"/>
      <c r="AE1628" s="243"/>
      <c r="AF1628" s="243"/>
      <c r="AG1628" s="243"/>
      <c r="AH1628" s="243"/>
      <c r="AI1628" s="243"/>
      <c r="AJ1628" s="243"/>
      <c r="AK1628" s="243"/>
      <c r="AL1628" s="243"/>
      <c r="AM1628" s="243"/>
      <c r="AN1628" s="243"/>
      <c r="AO1628" s="243"/>
      <c r="AP1628" s="243"/>
      <c r="AQ1628" s="243"/>
      <c r="AR1628" s="243"/>
      <c r="AS1628" s="243"/>
      <c r="AT1628" s="243"/>
      <c r="AU1628" s="243"/>
      <c r="AV1628" s="243"/>
      <c r="AW1628" s="243"/>
      <c r="AX1628" s="243"/>
      <c r="AY1628" s="243"/>
      <c r="AZ1628" s="243"/>
      <c r="BA1628" s="243"/>
      <c r="BB1628" s="243"/>
      <c r="BC1628" s="243"/>
      <c r="BD1628" s="243"/>
      <c r="BE1628" s="243"/>
      <c r="BF1628" s="243"/>
      <c r="BG1628" s="243"/>
      <c r="BH1628" s="243"/>
      <c r="BI1628" s="243"/>
      <c r="BJ1628" s="243"/>
      <c r="BK1628" s="243"/>
      <c r="BL1628" s="243"/>
      <c r="BM1628" s="243"/>
      <c r="BN1628" s="243"/>
      <c r="BO1628" s="243"/>
      <c r="BP1628" s="243"/>
      <c r="BQ1628" s="243"/>
      <c r="BR1628" s="243"/>
      <c r="BS1628" s="243"/>
    </row>
    <row r="1629" spans="1:71" s="26" customFormat="1" ht="41.25" customHeight="1">
      <c r="A1629" s="178" t="s">
        <v>117</v>
      </c>
      <c r="B1629" s="75" t="str">
        <f ca="1">+UPPER(Tabla1321124[[#This Row],[DESCRIPCIÓN DE LA COMPRA O CONTRATACIÓN]])</f>
        <v xml:space="preserve">ARGIS </v>
      </c>
      <c r="C1629" s="39" t="s">
        <v>17</v>
      </c>
      <c r="D1629" s="236">
        <v>1</v>
      </c>
      <c r="E1629" s="236"/>
      <c r="F1629" s="236"/>
      <c r="G1629" s="236"/>
      <c r="H1629" s="240">
        <f>SUM(Tabla1321124[[#This Row],[PRIMER TRIMESTRE]:[CUARTO TRIMESTRE]])</f>
        <v>1</v>
      </c>
      <c r="I1629" s="17">
        <v>750000</v>
      </c>
      <c r="J1629" s="17">
        <f t="shared" si="26"/>
        <v>750000</v>
      </c>
      <c r="K1629" s="340"/>
      <c r="L1629" s="16" t="s">
        <v>18</v>
      </c>
      <c r="M1629" s="16" t="s">
        <v>22</v>
      </c>
      <c r="N1629" s="16" t="s">
        <v>418</v>
      </c>
      <c r="O1629" s="243"/>
      <c r="P1629" s="243"/>
      <c r="Q1629" s="243"/>
      <c r="R1629" s="243"/>
      <c r="S1629" s="243"/>
      <c r="T1629" s="243"/>
      <c r="U1629" s="243"/>
      <c r="V1629" s="243"/>
      <c r="W1629" s="243"/>
      <c r="X1629" s="243"/>
      <c r="Y1629" s="243"/>
      <c r="Z1629" s="243"/>
      <c r="AA1629" s="243"/>
      <c r="AB1629" s="243"/>
      <c r="AC1629" s="243"/>
      <c r="AD1629" s="243"/>
      <c r="AE1629" s="243"/>
      <c r="AF1629" s="243"/>
      <c r="AG1629" s="243"/>
      <c r="AH1629" s="243"/>
      <c r="AI1629" s="243"/>
      <c r="AJ1629" s="243"/>
      <c r="AK1629" s="243"/>
      <c r="AL1629" s="243"/>
      <c r="AM1629" s="243"/>
      <c r="AN1629" s="243"/>
      <c r="AO1629" s="243"/>
      <c r="AP1629" s="243"/>
      <c r="AQ1629" s="243"/>
      <c r="AR1629" s="243"/>
      <c r="AS1629" s="243"/>
      <c r="AT1629" s="243"/>
      <c r="AU1629" s="243"/>
      <c r="AV1629" s="243"/>
      <c r="AW1629" s="243"/>
      <c r="AX1629" s="243"/>
      <c r="AY1629" s="243"/>
      <c r="AZ1629" s="243"/>
      <c r="BA1629" s="243"/>
      <c r="BB1629" s="243"/>
      <c r="BC1629" s="243"/>
      <c r="BD1629" s="243"/>
      <c r="BE1629" s="243"/>
      <c r="BF1629" s="243"/>
      <c r="BG1629" s="243"/>
      <c r="BH1629" s="243"/>
      <c r="BI1629" s="243"/>
      <c r="BJ1629" s="243"/>
      <c r="BK1629" s="243"/>
      <c r="BL1629" s="243"/>
      <c r="BM1629" s="243"/>
      <c r="BN1629" s="243"/>
      <c r="BO1629" s="243"/>
      <c r="BP1629" s="243"/>
      <c r="BQ1629" s="243"/>
      <c r="BR1629" s="243"/>
      <c r="BS1629" s="243"/>
    </row>
    <row r="1630" spans="1:71" s="12" customFormat="1" ht="41.25" customHeight="1">
      <c r="A1630" s="178" t="s">
        <v>117</v>
      </c>
      <c r="B1630" s="75" t="str">
        <f ca="1">+UPPER(Tabla1321124[[#This Row],[DESCRIPCIÓN DE LA COMPRA O CONTRATACIÓN]])</f>
        <v xml:space="preserve">TEKLA STRUCTURE </v>
      </c>
      <c r="C1630" s="39" t="s">
        <v>17</v>
      </c>
      <c r="D1630" s="236">
        <v>1</v>
      </c>
      <c r="E1630" s="236"/>
      <c r="F1630" s="236"/>
      <c r="G1630" s="236"/>
      <c r="H1630" s="240">
        <f>SUM(Tabla1321124[[#This Row],[PRIMER TRIMESTRE]:[CUARTO TRIMESTRE]])</f>
        <v>1</v>
      </c>
      <c r="I1630" s="17">
        <v>670000</v>
      </c>
      <c r="J1630" s="17">
        <f t="shared" si="26"/>
        <v>670000</v>
      </c>
      <c r="K1630" s="340"/>
      <c r="L1630" s="16" t="s">
        <v>18</v>
      </c>
      <c r="M1630" s="16" t="s">
        <v>22</v>
      </c>
      <c r="N1630" s="16" t="s">
        <v>418</v>
      </c>
      <c r="O1630" s="243"/>
      <c r="P1630" s="243"/>
      <c r="Q1630" s="243"/>
      <c r="R1630" s="243"/>
      <c r="S1630" s="243"/>
      <c r="T1630" s="243"/>
      <c r="U1630" s="243"/>
      <c r="V1630" s="243"/>
      <c r="W1630" s="243"/>
      <c r="X1630" s="243"/>
      <c r="Y1630" s="243"/>
      <c r="Z1630" s="243"/>
      <c r="AA1630" s="243"/>
      <c r="AB1630" s="243"/>
      <c r="AC1630" s="243"/>
      <c r="AD1630" s="243"/>
      <c r="AE1630" s="243"/>
      <c r="AF1630" s="243"/>
      <c r="AG1630" s="243"/>
      <c r="AH1630" s="243"/>
      <c r="AI1630" s="243"/>
      <c r="AJ1630" s="243"/>
      <c r="AK1630" s="243"/>
      <c r="AL1630" s="243"/>
      <c r="AM1630" s="243"/>
      <c r="AN1630" s="243"/>
      <c r="AO1630" s="243"/>
      <c r="AP1630" s="243"/>
      <c r="AQ1630" s="243"/>
      <c r="AR1630" s="243"/>
      <c r="AS1630" s="243"/>
      <c r="AT1630" s="243"/>
      <c r="AU1630" s="243"/>
      <c r="AV1630" s="243"/>
      <c r="AW1630" s="243"/>
      <c r="AX1630" s="243"/>
      <c r="AY1630" s="243"/>
      <c r="AZ1630" s="243"/>
      <c r="BA1630" s="243"/>
      <c r="BB1630" s="243"/>
      <c r="BC1630" s="243"/>
      <c r="BD1630" s="243"/>
      <c r="BE1630" s="243"/>
      <c r="BF1630" s="243"/>
      <c r="BG1630" s="243"/>
      <c r="BH1630" s="243"/>
      <c r="BI1630" s="243"/>
      <c r="BJ1630" s="243"/>
      <c r="BK1630" s="243"/>
      <c r="BL1630" s="243"/>
      <c r="BM1630" s="243"/>
      <c r="BN1630" s="243"/>
      <c r="BO1630" s="243"/>
      <c r="BP1630" s="243"/>
      <c r="BQ1630" s="243"/>
      <c r="BR1630" s="243"/>
      <c r="BS1630" s="243"/>
    </row>
    <row r="1631" spans="1:71" s="12" customFormat="1" ht="41.25" customHeight="1">
      <c r="A1631" s="178" t="s">
        <v>117</v>
      </c>
      <c r="B1631" s="75" t="str">
        <f ca="1">+UPPER(Tabla1321124[[#This Row],[DESCRIPCIÓN DE LA COMPRA O CONTRATACIÓN]])</f>
        <v>MIDAS GPS NX</v>
      </c>
      <c r="C1631" s="39" t="s">
        <v>17</v>
      </c>
      <c r="D1631" s="236">
        <v>1</v>
      </c>
      <c r="E1631" s="236"/>
      <c r="F1631" s="236"/>
      <c r="G1631" s="236"/>
      <c r="H1631" s="240">
        <f>SUM(Tabla1321124[[#This Row],[PRIMER TRIMESTRE]:[CUARTO TRIMESTRE]])</f>
        <v>1</v>
      </c>
      <c r="I1631" s="17">
        <v>670001</v>
      </c>
      <c r="J1631" s="17">
        <f t="shared" si="26"/>
        <v>670001</v>
      </c>
      <c r="K1631" s="340"/>
      <c r="L1631" s="16" t="s">
        <v>18</v>
      </c>
      <c r="M1631" s="16" t="s">
        <v>22</v>
      </c>
      <c r="N1631" s="16" t="s">
        <v>418</v>
      </c>
      <c r="O1631" s="243"/>
      <c r="P1631" s="243"/>
      <c r="Q1631" s="243"/>
      <c r="R1631" s="243"/>
      <c r="S1631" s="243"/>
      <c r="T1631" s="243"/>
      <c r="U1631" s="243"/>
      <c r="V1631" s="243"/>
      <c r="W1631" s="243"/>
      <c r="X1631" s="243"/>
      <c r="Y1631" s="243"/>
      <c r="Z1631" s="243"/>
      <c r="AA1631" s="243"/>
      <c r="AB1631" s="243"/>
      <c r="AC1631" s="243"/>
      <c r="AD1631" s="243"/>
      <c r="AE1631" s="243"/>
      <c r="AF1631" s="243"/>
      <c r="AG1631" s="243"/>
      <c r="AH1631" s="243"/>
      <c r="AI1631" s="243"/>
      <c r="AJ1631" s="243"/>
      <c r="AK1631" s="243"/>
      <c r="AL1631" s="243"/>
      <c r="AM1631" s="243"/>
      <c r="AN1631" s="243"/>
      <c r="AO1631" s="243"/>
      <c r="AP1631" s="243"/>
      <c r="AQ1631" s="243"/>
      <c r="AR1631" s="243"/>
      <c r="AS1631" s="243"/>
      <c r="AT1631" s="243"/>
      <c r="AU1631" s="243"/>
      <c r="AV1631" s="243"/>
      <c r="AW1631" s="243"/>
      <c r="AX1631" s="243"/>
      <c r="AY1631" s="243"/>
      <c r="AZ1631" s="243"/>
      <c r="BA1631" s="243"/>
      <c r="BB1631" s="243"/>
      <c r="BC1631" s="243"/>
      <c r="BD1631" s="243"/>
      <c r="BE1631" s="243"/>
      <c r="BF1631" s="243"/>
      <c r="BG1631" s="243"/>
      <c r="BH1631" s="243"/>
      <c r="BI1631" s="243"/>
      <c r="BJ1631" s="243"/>
      <c r="BK1631" s="243"/>
      <c r="BL1631" s="243"/>
      <c r="BM1631" s="243"/>
      <c r="BN1631" s="243"/>
      <c r="BO1631" s="243"/>
      <c r="BP1631" s="243"/>
      <c r="BQ1631" s="243"/>
      <c r="BR1631" s="243"/>
      <c r="BS1631" s="243"/>
    </row>
    <row r="1632" spans="1:71" s="12" customFormat="1" ht="41.25" customHeight="1">
      <c r="A1632" s="178" t="s">
        <v>117</v>
      </c>
      <c r="B1632" s="75" t="str">
        <f ca="1">+UPPER(Tabla1321124[[#This Row],[DESCRIPCIÓN DE LA COMPRA O CONTRATACIÓN]])</f>
        <v xml:space="preserve">MIDAS  GEMS </v>
      </c>
      <c r="C1632" s="39" t="s">
        <v>17</v>
      </c>
      <c r="D1632" s="236">
        <v>1</v>
      </c>
      <c r="E1632" s="236"/>
      <c r="F1632" s="236"/>
      <c r="G1632" s="236"/>
      <c r="H1632" s="240">
        <f>SUM(Tabla1321124[[#This Row],[PRIMER TRIMESTRE]:[CUARTO TRIMESTRE]])</f>
        <v>1</v>
      </c>
      <c r="I1632" s="17">
        <v>315000</v>
      </c>
      <c r="J1632" s="17">
        <f t="shared" si="26"/>
        <v>315000</v>
      </c>
      <c r="K1632" s="340"/>
      <c r="L1632" s="16" t="s">
        <v>18</v>
      </c>
      <c r="M1632" s="16" t="s">
        <v>22</v>
      </c>
      <c r="N1632" s="16" t="s">
        <v>418</v>
      </c>
      <c r="O1632" s="243"/>
      <c r="P1632" s="243"/>
      <c r="Q1632" s="243"/>
      <c r="R1632" s="243"/>
      <c r="S1632" s="243"/>
      <c r="T1632" s="243"/>
      <c r="U1632" s="243"/>
      <c r="V1632" s="243"/>
      <c r="W1632" s="243"/>
      <c r="X1632" s="243"/>
      <c r="Y1632" s="243"/>
      <c r="Z1632" s="243"/>
      <c r="AA1632" s="243"/>
      <c r="AB1632" s="243"/>
      <c r="AC1632" s="243"/>
      <c r="AD1632" s="243"/>
      <c r="AE1632" s="243"/>
      <c r="AF1632" s="243"/>
      <c r="AG1632" s="243"/>
      <c r="AH1632" s="243"/>
      <c r="AI1632" s="243"/>
      <c r="AJ1632" s="243"/>
      <c r="AK1632" s="243"/>
      <c r="AL1632" s="243"/>
      <c r="AM1632" s="243"/>
      <c r="AN1632" s="243"/>
      <c r="AO1632" s="243"/>
      <c r="AP1632" s="243"/>
      <c r="AQ1632" s="243"/>
      <c r="AR1632" s="243"/>
      <c r="AS1632" s="243"/>
      <c r="AT1632" s="243"/>
      <c r="AU1632" s="243"/>
      <c r="AV1632" s="243"/>
      <c r="AW1632" s="243"/>
      <c r="AX1632" s="243"/>
      <c r="AY1632" s="243"/>
      <c r="AZ1632" s="243"/>
      <c r="BA1632" s="243"/>
      <c r="BB1632" s="243"/>
      <c r="BC1632" s="243"/>
      <c r="BD1632" s="243"/>
      <c r="BE1632" s="243"/>
      <c r="BF1632" s="243"/>
      <c r="BG1632" s="243"/>
      <c r="BH1632" s="243"/>
      <c r="BI1632" s="243"/>
      <c r="BJ1632" s="243"/>
      <c r="BK1632" s="243"/>
      <c r="BL1632" s="243"/>
      <c r="BM1632" s="243"/>
      <c r="BN1632" s="243"/>
      <c r="BO1632" s="243"/>
      <c r="BP1632" s="243"/>
      <c r="BQ1632" s="243"/>
      <c r="BR1632" s="243"/>
      <c r="BS1632" s="243"/>
    </row>
    <row r="1633" spans="1:71" s="12" customFormat="1" ht="41.25" customHeight="1">
      <c r="A1633" s="178" t="s">
        <v>117</v>
      </c>
      <c r="B1633" s="75" t="str">
        <f ca="1">+UPPER(Tabla1321124[[#This Row],[DESCRIPCIÓN DE LA COMPRA O CONTRATACIÓN]])</f>
        <v>SUIT STRUCTURAL AUTO DESK</v>
      </c>
      <c r="C1633" s="39" t="s">
        <v>17</v>
      </c>
      <c r="D1633" s="236">
        <v>1</v>
      </c>
      <c r="E1633" s="236"/>
      <c r="F1633" s="236"/>
      <c r="G1633" s="236"/>
      <c r="H1633" s="240">
        <f>SUM(Tabla1321124[[#This Row],[PRIMER TRIMESTRE]:[CUARTO TRIMESTRE]])</f>
        <v>1</v>
      </c>
      <c r="I1633" s="17">
        <v>418000</v>
      </c>
      <c r="J1633" s="17">
        <f t="shared" si="26"/>
        <v>418000</v>
      </c>
      <c r="K1633" s="340"/>
      <c r="L1633" s="16" t="s">
        <v>18</v>
      </c>
      <c r="M1633" s="16" t="s">
        <v>22</v>
      </c>
      <c r="N1633" s="16" t="s">
        <v>418</v>
      </c>
      <c r="O1633" s="243"/>
      <c r="P1633" s="243"/>
      <c r="Q1633" s="243"/>
      <c r="R1633" s="243"/>
      <c r="S1633" s="243"/>
      <c r="T1633" s="243"/>
      <c r="U1633" s="243"/>
      <c r="V1633" s="243"/>
      <c r="W1633" s="243"/>
      <c r="X1633" s="243"/>
      <c r="Y1633" s="243"/>
      <c r="Z1633" s="243"/>
      <c r="AA1633" s="243"/>
      <c r="AB1633" s="243"/>
      <c r="AC1633" s="243"/>
      <c r="AD1633" s="243"/>
      <c r="AE1633" s="243"/>
      <c r="AF1633" s="243"/>
      <c r="AG1633" s="243"/>
      <c r="AH1633" s="243"/>
      <c r="AI1633" s="243"/>
      <c r="AJ1633" s="243"/>
      <c r="AK1633" s="243"/>
      <c r="AL1633" s="243"/>
      <c r="AM1633" s="243"/>
      <c r="AN1633" s="243"/>
      <c r="AO1633" s="243"/>
      <c r="AP1633" s="243"/>
      <c r="AQ1633" s="243"/>
      <c r="AR1633" s="243"/>
      <c r="AS1633" s="243"/>
      <c r="AT1633" s="243"/>
      <c r="AU1633" s="243"/>
      <c r="AV1633" s="243"/>
      <c r="AW1633" s="243"/>
      <c r="AX1633" s="243"/>
      <c r="AY1633" s="243"/>
      <c r="AZ1633" s="243"/>
      <c r="BA1633" s="243"/>
      <c r="BB1633" s="243"/>
      <c r="BC1633" s="243"/>
      <c r="BD1633" s="243"/>
      <c r="BE1633" s="243"/>
      <c r="BF1633" s="243"/>
      <c r="BG1633" s="243"/>
      <c r="BH1633" s="243"/>
      <c r="BI1633" s="243"/>
      <c r="BJ1633" s="243"/>
      <c r="BK1633" s="243"/>
      <c r="BL1633" s="243"/>
      <c r="BM1633" s="243"/>
      <c r="BN1633" s="243"/>
      <c r="BO1633" s="243"/>
      <c r="BP1633" s="243"/>
      <c r="BQ1633" s="243"/>
      <c r="BR1633" s="243"/>
      <c r="BS1633" s="243"/>
    </row>
    <row r="1634" spans="1:71" s="12" customFormat="1" ht="41.25" customHeight="1">
      <c r="A1634" s="178" t="s">
        <v>117</v>
      </c>
      <c r="B1634" s="75" t="str">
        <f ca="1">+UPPER(Tabla1321124[[#This Row],[DESCRIPCIÓN DE LA COMPRA O CONTRATACIÓN]])</f>
        <v>AQUACHEM 2016</v>
      </c>
      <c r="C1634" s="39" t="s">
        <v>17</v>
      </c>
      <c r="D1634" s="236">
        <v>1</v>
      </c>
      <c r="E1634" s="236"/>
      <c r="F1634" s="236"/>
      <c r="G1634" s="236"/>
      <c r="H1634" s="240">
        <f>SUM(Tabla1321124[[#This Row],[PRIMER TRIMESTRE]:[CUARTO TRIMESTRE]])</f>
        <v>1</v>
      </c>
      <c r="I1634" s="17">
        <v>73840</v>
      </c>
      <c r="J1634" s="17">
        <f t="shared" si="26"/>
        <v>73840</v>
      </c>
      <c r="K1634" s="340"/>
      <c r="L1634" s="16" t="s">
        <v>18</v>
      </c>
      <c r="M1634" s="16" t="s">
        <v>22</v>
      </c>
      <c r="N1634" s="16" t="s">
        <v>418</v>
      </c>
      <c r="O1634" s="243"/>
      <c r="P1634" s="243"/>
      <c r="Q1634" s="243"/>
      <c r="R1634" s="243"/>
      <c r="S1634" s="243"/>
      <c r="T1634" s="243"/>
      <c r="U1634" s="243"/>
      <c r="V1634" s="243"/>
      <c r="W1634" s="243"/>
      <c r="X1634" s="243"/>
      <c r="Y1634" s="243"/>
      <c r="Z1634" s="243"/>
      <c r="AA1634" s="243"/>
      <c r="AB1634" s="243"/>
      <c r="AC1634" s="243"/>
      <c r="AD1634" s="243"/>
      <c r="AE1634" s="243"/>
      <c r="AF1634" s="243"/>
      <c r="AG1634" s="243"/>
      <c r="AH1634" s="243"/>
      <c r="AI1634" s="243"/>
      <c r="AJ1634" s="243"/>
      <c r="AK1634" s="243"/>
      <c r="AL1634" s="243"/>
      <c r="AM1634" s="243"/>
      <c r="AN1634" s="243"/>
      <c r="AO1634" s="243"/>
      <c r="AP1634" s="243"/>
      <c r="AQ1634" s="243"/>
      <c r="AR1634" s="243"/>
      <c r="AS1634" s="243"/>
      <c r="AT1634" s="243"/>
      <c r="AU1634" s="243"/>
      <c r="AV1634" s="243"/>
      <c r="AW1634" s="243"/>
      <c r="AX1634" s="243"/>
      <c r="AY1634" s="243"/>
      <c r="AZ1634" s="243"/>
      <c r="BA1634" s="243"/>
      <c r="BB1634" s="243"/>
      <c r="BC1634" s="243"/>
      <c r="BD1634" s="243"/>
      <c r="BE1634" s="243"/>
      <c r="BF1634" s="243"/>
      <c r="BG1634" s="243"/>
      <c r="BH1634" s="243"/>
      <c r="BI1634" s="243"/>
      <c r="BJ1634" s="243"/>
      <c r="BK1634" s="243"/>
      <c r="BL1634" s="243"/>
      <c r="BM1634" s="243"/>
      <c r="BN1634" s="243"/>
      <c r="BO1634" s="243"/>
      <c r="BP1634" s="243"/>
      <c r="BQ1634" s="243"/>
      <c r="BR1634" s="243"/>
      <c r="BS1634" s="243"/>
    </row>
    <row r="1635" spans="1:71" s="12" customFormat="1" ht="41.25" customHeight="1">
      <c r="A1635" s="178" t="s">
        <v>117</v>
      </c>
      <c r="B1635" s="75" t="str">
        <f ca="1">+UPPER(Tabla1321124[[#This Row],[DESCRIPCIÓN DE LA COMPRA O CONTRATACIÓN]])</f>
        <v>HIDROGEOANALYST</v>
      </c>
      <c r="C1635" s="39" t="s">
        <v>17</v>
      </c>
      <c r="D1635" s="236">
        <v>1</v>
      </c>
      <c r="E1635" s="236"/>
      <c r="F1635" s="236"/>
      <c r="G1635" s="236"/>
      <c r="H1635" s="240">
        <f>SUM(Tabla1321124[[#This Row],[PRIMER TRIMESTRE]:[CUARTO TRIMESTRE]])</f>
        <v>1</v>
      </c>
      <c r="I1635" s="17">
        <v>290745</v>
      </c>
      <c r="J1635" s="17">
        <f t="shared" si="26"/>
        <v>290745</v>
      </c>
      <c r="K1635" s="340"/>
      <c r="L1635" s="16" t="s">
        <v>18</v>
      </c>
      <c r="M1635" s="16" t="s">
        <v>22</v>
      </c>
      <c r="N1635" s="16" t="s">
        <v>418</v>
      </c>
      <c r="O1635" s="243"/>
      <c r="P1635" s="243"/>
      <c r="Q1635" s="243"/>
      <c r="R1635" s="243"/>
      <c r="S1635" s="243"/>
      <c r="T1635" s="243"/>
      <c r="U1635" s="243"/>
      <c r="V1635" s="243"/>
      <c r="W1635" s="243"/>
      <c r="X1635" s="243"/>
      <c r="Y1635" s="243"/>
      <c r="Z1635" s="243"/>
      <c r="AA1635" s="243"/>
      <c r="AB1635" s="243"/>
      <c r="AC1635" s="243"/>
      <c r="AD1635" s="243"/>
      <c r="AE1635" s="243"/>
      <c r="AF1635" s="243"/>
      <c r="AG1635" s="243"/>
      <c r="AH1635" s="243"/>
      <c r="AI1635" s="243"/>
      <c r="AJ1635" s="243"/>
      <c r="AK1635" s="243"/>
      <c r="AL1635" s="243"/>
      <c r="AM1635" s="243"/>
      <c r="AN1635" s="243"/>
      <c r="AO1635" s="243"/>
      <c r="AP1635" s="243"/>
      <c r="AQ1635" s="243"/>
      <c r="AR1635" s="243"/>
      <c r="AS1635" s="243"/>
      <c r="AT1635" s="243"/>
      <c r="AU1635" s="243"/>
      <c r="AV1635" s="243"/>
      <c r="AW1635" s="243"/>
      <c r="AX1635" s="243"/>
      <c r="AY1635" s="243"/>
      <c r="AZ1635" s="243"/>
      <c r="BA1635" s="243"/>
      <c r="BB1635" s="243"/>
      <c r="BC1635" s="243"/>
      <c r="BD1635" s="243"/>
      <c r="BE1635" s="243"/>
      <c r="BF1635" s="243"/>
      <c r="BG1635" s="243"/>
      <c r="BH1635" s="243"/>
      <c r="BI1635" s="243"/>
      <c r="BJ1635" s="243"/>
      <c r="BK1635" s="243"/>
      <c r="BL1635" s="243"/>
      <c r="BM1635" s="243"/>
      <c r="BN1635" s="243"/>
      <c r="BO1635" s="243"/>
      <c r="BP1635" s="243"/>
      <c r="BQ1635" s="243"/>
      <c r="BR1635" s="243"/>
      <c r="BS1635" s="243"/>
    </row>
    <row r="1636" spans="1:71" s="12" customFormat="1" ht="41.25" customHeight="1">
      <c r="A1636" s="178" t="s">
        <v>117</v>
      </c>
      <c r="B1636" s="75" t="str">
        <f ca="1">+UPPER(Tabla1321124[[#This Row],[DESCRIPCIÓN DE LA COMPRA O CONTRATACIÓN]])</f>
        <v>LICENCIAS MICROSOFT</v>
      </c>
      <c r="C1636" s="39" t="s">
        <v>17</v>
      </c>
      <c r="D1636" s="236"/>
      <c r="E1636" s="236"/>
      <c r="F1636" s="236"/>
      <c r="G1636" s="236"/>
      <c r="H1636" s="240">
        <f>SUM(Tabla1321124[[#This Row],[PRIMER TRIMESTRE]:[CUARTO TRIMESTRE]])</f>
        <v>0</v>
      </c>
      <c r="I1636" s="17">
        <v>48163257.060000002</v>
      </c>
      <c r="J1636" s="17">
        <f t="shared" si="26"/>
        <v>0</v>
      </c>
      <c r="K1636" s="387">
        <f>SUM(J1613:J1636)</f>
        <v>10775971.150000002</v>
      </c>
      <c r="L1636" s="16" t="s">
        <v>18</v>
      </c>
      <c r="M1636" s="16" t="s">
        <v>22</v>
      </c>
      <c r="N1636" s="16" t="s">
        <v>418</v>
      </c>
      <c r="O1636" s="243"/>
      <c r="P1636" s="243"/>
      <c r="Q1636" s="243"/>
      <c r="R1636" s="243"/>
      <c r="S1636" s="243"/>
      <c r="T1636" s="243"/>
      <c r="U1636" s="243"/>
      <c r="V1636" s="243"/>
      <c r="W1636" s="243"/>
      <c r="X1636" s="243"/>
      <c r="Y1636" s="243"/>
      <c r="Z1636" s="243"/>
      <c r="AA1636" s="243"/>
      <c r="AB1636" s="243"/>
      <c r="AC1636" s="243"/>
      <c r="AD1636" s="243"/>
      <c r="AE1636" s="243"/>
      <c r="AF1636" s="243"/>
      <c r="AG1636" s="243"/>
      <c r="AH1636" s="243"/>
      <c r="AI1636" s="243"/>
      <c r="AJ1636" s="243"/>
      <c r="AK1636" s="243"/>
      <c r="AL1636" s="243"/>
      <c r="AM1636" s="243"/>
      <c r="AN1636" s="243"/>
      <c r="AO1636" s="243"/>
      <c r="AP1636" s="243"/>
      <c r="AQ1636" s="243"/>
      <c r="AR1636" s="243"/>
      <c r="AS1636" s="243"/>
      <c r="AT1636" s="243"/>
      <c r="AU1636" s="243"/>
      <c r="AV1636" s="243"/>
      <c r="AW1636" s="243"/>
      <c r="AX1636" s="243"/>
      <c r="AY1636" s="243"/>
      <c r="AZ1636" s="243"/>
      <c r="BA1636" s="243"/>
      <c r="BB1636" s="243"/>
      <c r="BC1636" s="243"/>
      <c r="BD1636" s="243"/>
      <c r="BE1636" s="243"/>
      <c r="BF1636" s="243"/>
      <c r="BG1636" s="243"/>
      <c r="BH1636" s="243"/>
      <c r="BI1636" s="243"/>
      <c r="BJ1636" s="243"/>
      <c r="BK1636" s="243"/>
      <c r="BL1636" s="243"/>
      <c r="BM1636" s="243"/>
      <c r="BN1636" s="243"/>
      <c r="BO1636" s="243"/>
      <c r="BP1636" s="243"/>
      <c r="BQ1636" s="243"/>
      <c r="BR1636" s="243"/>
      <c r="BS1636" s="243"/>
    </row>
    <row r="1637" spans="1:71" s="12" customFormat="1" ht="41.25" customHeight="1">
      <c r="A1637" s="538" t="s">
        <v>117</v>
      </c>
      <c r="B1637" s="76" t="str">
        <f ca="1">+UPPER(Tabla1321124[[#This Row],[DESCRIPCIÓN DE LA COMPRA O CONTRATACIÓN]])</f>
        <v/>
      </c>
      <c r="C1637" s="237"/>
      <c r="D1637" s="237"/>
      <c r="E1637" s="237"/>
      <c r="F1637" s="237"/>
      <c r="G1637" s="237"/>
      <c r="H1637" s="238"/>
      <c r="I1637" s="238"/>
      <c r="J1637" s="383"/>
      <c r="K1637" s="25">
        <f>SUM(J1613:J1636)</f>
        <v>10775971.150000002</v>
      </c>
      <c r="L1637" s="383"/>
      <c r="M1637" s="383"/>
      <c r="N1637" s="383"/>
      <c r="O1637" s="243"/>
      <c r="P1637" s="243"/>
      <c r="Q1637" s="243"/>
      <c r="R1637" s="243"/>
      <c r="S1637" s="243"/>
      <c r="T1637" s="243"/>
      <c r="U1637" s="243"/>
      <c r="V1637" s="243"/>
      <c r="W1637" s="243"/>
      <c r="X1637" s="243"/>
      <c r="Y1637" s="243"/>
      <c r="Z1637" s="243"/>
      <c r="AA1637" s="243"/>
      <c r="AB1637" s="243"/>
      <c r="AC1637" s="243"/>
      <c r="AD1637" s="243"/>
      <c r="AE1637" s="243"/>
      <c r="AF1637" s="243"/>
      <c r="AG1637" s="243"/>
      <c r="AH1637" s="243"/>
      <c r="AI1637" s="243"/>
      <c r="AJ1637" s="243"/>
      <c r="AK1637" s="243"/>
      <c r="AL1637" s="243"/>
      <c r="AM1637" s="243"/>
      <c r="AN1637" s="243"/>
      <c r="AO1637" s="243"/>
      <c r="AP1637" s="243"/>
      <c r="AQ1637" s="243"/>
      <c r="AR1637" s="243"/>
      <c r="AS1637" s="243"/>
      <c r="AT1637" s="243"/>
      <c r="AU1637" s="243"/>
      <c r="AV1637" s="243"/>
      <c r="AW1637" s="243"/>
      <c r="AX1637" s="243"/>
      <c r="AY1637" s="243"/>
      <c r="AZ1637" s="243"/>
      <c r="BA1637" s="243"/>
      <c r="BB1637" s="243"/>
      <c r="BC1637" s="243"/>
      <c r="BD1637" s="243"/>
      <c r="BE1637" s="243"/>
      <c r="BF1637" s="243"/>
      <c r="BG1637" s="243"/>
      <c r="BH1637" s="243"/>
      <c r="BI1637" s="243"/>
      <c r="BJ1637" s="243"/>
      <c r="BK1637" s="243"/>
      <c r="BL1637" s="243"/>
      <c r="BM1637" s="243"/>
      <c r="BN1637" s="243"/>
      <c r="BO1637" s="243"/>
      <c r="BP1637" s="243"/>
      <c r="BQ1637" s="243"/>
      <c r="BR1637" s="243"/>
      <c r="BS1637" s="243"/>
    </row>
    <row r="1638" spans="1:71" s="12" customFormat="1" ht="41.25" customHeight="1">
      <c r="A1638" s="178" t="s">
        <v>118</v>
      </c>
      <c r="B1638" s="75" t="str">
        <f ca="1">+UPPER(Tabla1321124[[#This Row],[DESCRIPCIÓN DE LA COMPRA O CONTRATACIÓN]])</f>
        <v>ARCHIVO DE METAL 8 1/2 X 11 4 GAVETAS</v>
      </c>
      <c r="C1638" s="39" t="s">
        <v>17</v>
      </c>
      <c r="D1638" s="236">
        <v>50</v>
      </c>
      <c r="E1638" s="236">
        <v>20</v>
      </c>
      <c r="F1638" s="236">
        <v>50</v>
      </c>
      <c r="G1638" s="236">
        <v>20</v>
      </c>
      <c r="H1638" s="240">
        <f>SUM(Tabla1321124[[#This Row],[PRIMER TRIMESTRE]:[CUARTO TRIMESTRE]])</f>
        <v>140</v>
      </c>
      <c r="I1638" s="17">
        <v>7544.8</v>
      </c>
      <c r="J1638" s="17">
        <f>+Tabla1321124[[#This Row],[CANTIDAD TOTAL]]*Tabla1321124[[#This Row],[PRECIO UNITARIO ESTIMADO]]</f>
        <v>1056272</v>
      </c>
      <c r="K1638" s="17"/>
      <c r="L1638" s="16" t="s">
        <v>27</v>
      </c>
      <c r="M1638" s="16" t="s">
        <v>22</v>
      </c>
      <c r="N1638" s="16" t="s">
        <v>418</v>
      </c>
      <c r="O1638" s="243"/>
      <c r="P1638" s="243"/>
      <c r="Q1638" s="243"/>
      <c r="R1638" s="243"/>
      <c r="S1638" s="243"/>
      <c r="T1638" s="243"/>
      <c r="U1638" s="243"/>
      <c r="V1638" s="243"/>
      <c r="W1638" s="243"/>
      <c r="X1638" s="243"/>
      <c r="Y1638" s="243"/>
      <c r="Z1638" s="243"/>
      <c r="AA1638" s="243"/>
      <c r="AB1638" s="243"/>
      <c r="AC1638" s="243"/>
      <c r="AD1638" s="243"/>
      <c r="AE1638" s="243"/>
      <c r="AF1638" s="243"/>
      <c r="AG1638" s="243"/>
      <c r="AH1638" s="243"/>
      <c r="AI1638" s="243"/>
      <c r="AJ1638" s="243"/>
      <c r="AK1638" s="243"/>
      <c r="AL1638" s="243"/>
      <c r="AM1638" s="243"/>
      <c r="AN1638" s="243"/>
      <c r="AO1638" s="243"/>
      <c r="AP1638" s="243"/>
      <c r="AQ1638" s="243"/>
      <c r="AR1638" s="243"/>
      <c r="AS1638" s="243"/>
      <c r="AT1638" s="243"/>
      <c r="AU1638" s="243"/>
      <c r="AV1638" s="243"/>
      <c r="AW1638" s="243"/>
      <c r="AX1638" s="243"/>
      <c r="AY1638" s="243"/>
      <c r="AZ1638" s="243"/>
      <c r="BA1638" s="243"/>
      <c r="BB1638" s="243"/>
      <c r="BC1638" s="243"/>
      <c r="BD1638" s="243"/>
      <c r="BE1638" s="243"/>
      <c r="BF1638" s="243"/>
      <c r="BG1638" s="243"/>
      <c r="BH1638" s="243"/>
      <c r="BI1638" s="243"/>
      <c r="BJ1638" s="243"/>
      <c r="BK1638" s="243"/>
      <c r="BL1638" s="243"/>
      <c r="BM1638" s="243"/>
      <c r="BN1638" s="243"/>
      <c r="BO1638" s="243"/>
      <c r="BP1638" s="243"/>
      <c r="BQ1638" s="243"/>
      <c r="BR1638" s="243"/>
      <c r="BS1638" s="243"/>
    </row>
    <row r="1639" spans="1:71" s="12" customFormat="1" ht="41.25" customHeight="1">
      <c r="A1639" s="178" t="s">
        <v>118</v>
      </c>
      <c r="B1639" s="75" t="str">
        <f ca="1">+UPPER(Tabla1321124[[#This Row],[DESCRIPCIÓN DE LA COMPRA O CONTRATACIÓN]])</f>
        <v>ARCHIVO DE METAL 8 1/2 X 11 2 GAVETAS</v>
      </c>
      <c r="C1639" s="39" t="s">
        <v>17</v>
      </c>
      <c r="D1639" s="236">
        <v>50</v>
      </c>
      <c r="E1639" s="236">
        <f>48+2</f>
        <v>50</v>
      </c>
      <c r="F1639" s="236">
        <v>50</v>
      </c>
      <c r="G1639" s="236">
        <f>48+2</f>
        <v>50</v>
      </c>
      <c r="H1639" s="240">
        <f>SUM(Tabla1321124[[#This Row],[PRIMER TRIMESTRE]:[CUARTO TRIMESTRE]])</f>
        <v>200</v>
      </c>
      <c r="I1639" s="17">
        <v>4756</v>
      </c>
      <c r="J1639" s="17">
        <f>+Tabla1321124[[#This Row],[CANTIDAD TOTAL]]*Tabla1321124[[#This Row],[PRECIO UNITARIO ESTIMADO]]</f>
        <v>951200</v>
      </c>
      <c r="K1639" s="17"/>
      <c r="L1639" s="16" t="s">
        <v>27</v>
      </c>
      <c r="M1639" s="16" t="s">
        <v>22</v>
      </c>
      <c r="N1639" s="16" t="s">
        <v>418</v>
      </c>
      <c r="O1639" s="243"/>
      <c r="P1639" s="243"/>
      <c r="Q1639" s="243"/>
      <c r="R1639" s="243"/>
      <c r="S1639" s="243"/>
      <c r="T1639" s="243"/>
      <c r="U1639" s="243"/>
      <c r="V1639" s="243"/>
      <c r="W1639" s="243"/>
      <c r="X1639" s="243"/>
      <c r="Y1639" s="243"/>
      <c r="Z1639" s="243"/>
      <c r="AA1639" s="243"/>
      <c r="AB1639" s="243"/>
      <c r="AC1639" s="243"/>
      <c r="AD1639" s="243"/>
      <c r="AE1639" s="243"/>
      <c r="AF1639" s="243"/>
      <c r="AG1639" s="243"/>
      <c r="AH1639" s="243"/>
      <c r="AI1639" s="243"/>
      <c r="AJ1639" s="243"/>
      <c r="AK1639" s="243"/>
      <c r="AL1639" s="243"/>
      <c r="AM1639" s="243"/>
      <c r="AN1639" s="243"/>
      <c r="AO1639" s="243"/>
      <c r="AP1639" s="243"/>
      <c r="AQ1639" s="243"/>
      <c r="AR1639" s="243"/>
      <c r="AS1639" s="243"/>
      <c r="AT1639" s="243"/>
      <c r="AU1639" s="243"/>
      <c r="AV1639" s="243"/>
      <c r="AW1639" s="243"/>
      <c r="AX1639" s="243"/>
      <c r="AY1639" s="243"/>
      <c r="AZ1639" s="243"/>
      <c r="BA1639" s="243"/>
      <c r="BB1639" s="243"/>
      <c r="BC1639" s="243"/>
      <c r="BD1639" s="243"/>
      <c r="BE1639" s="243"/>
      <c r="BF1639" s="243"/>
      <c r="BG1639" s="243"/>
      <c r="BH1639" s="243"/>
      <c r="BI1639" s="243"/>
      <c r="BJ1639" s="243"/>
      <c r="BK1639" s="243"/>
      <c r="BL1639" s="243"/>
      <c r="BM1639" s="243"/>
      <c r="BN1639" s="243"/>
      <c r="BO1639" s="243"/>
      <c r="BP1639" s="243"/>
      <c r="BQ1639" s="243"/>
      <c r="BR1639" s="243"/>
      <c r="BS1639" s="243"/>
    </row>
    <row r="1640" spans="1:71" s="12" customFormat="1" ht="41.25" customHeight="1">
      <c r="A1640" s="178" t="s">
        <v>118</v>
      </c>
      <c r="B1640" s="75" t="str">
        <f ca="1">+UPPER(Tabla1321124[[#This Row],[DESCRIPCIÓN DE LA COMPRA O CONTRATACIÓN]])</f>
        <v xml:space="preserve">ARCHIVO TIPO ARMARIO DE 6 PIES </v>
      </c>
      <c r="C1640" s="39" t="s">
        <v>17</v>
      </c>
      <c r="D1640" s="236">
        <f>3+1+8</f>
        <v>12</v>
      </c>
      <c r="E1640" s="236">
        <v>3</v>
      </c>
      <c r="F1640" s="236">
        <f>6+8</f>
        <v>14</v>
      </c>
      <c r="G1640" s="236">
        <v>2</v>
      </c>
      <c r="H1640" s="240">
        <f>SUM(Tabla1321124[[#This Row],[PRIMER TRIMESTRE]:[CUARTO TRIMESTRE]])</f>
        <v>31</v>
      </c>
      <c r="I1640" s="17">
        <v>4610.34</v>
      </c>
      <c r="J1640" s="17">
        <f>+Tabla1321124[[#This Row],[CANTIDAD TOTAL]]*Tabla1321124[[#This Row],[PRECIO UNITARIO ESTIMADO]]</f>
        <v>142920.54</v>
      </c>
      <c r="K1640" s="17"/>
      <c r="L1640" s="16" t="s">
        <v>27</v>
      </c>
      <c r="M1640" s="16" t="s">
        <v>22</v>
      </c>
      <c r="N1640" s="16" t="s">
        <v>418</v>
      </c>
      <c r="O1640" s="243"/>
      <c r="P1640" s="243"/>
      <c r="Q1640" s="243"/>
      <c r="R1640" s="243"/>
      <c r="S1640" s="243"/>
      <c r="T1640" s="243"/>
      <c r="U1640" s="243"/>
      <c r="V1640" s="243"/>
      <c r="W1640" s="243"/>
      <c r="X1640" s="243"/>
      <c r="Y1640" s="243"/>
      <c r="Z1640" s="243"/>
      <c r="AA1640" s="243"/>
      <c r="AB1640" s="243"/>
      <c r="AC1640" s="243"/>
      <c r="AD1640" s="243"/>
      <c r="AE1640" s="243"/>
      <c r="AF1640" s="243"/>
      <c r="AG1640" s="243"/>
      <c r="AH1640" s="243"/>
      <c r="AI1640" s="243"/>
      <c r="AJ1640" s="243"/>
      <c r="AK1640" s="243"/>
      <c r="AL1640" s="243"/>
      <c r="AM1640" s="243"/>
      <c r="AN1640" s="243"/>
      <c r="AO1640" s="243"/>
      <c r="AP1640" s="243"/>
      <c r="AQ1640" s="243"/>
      <c r="AR1640" s="243"/>
      <c r="AS1640" s="243"/>
      <c r="AT1640" s="243"/>
      <c r="AU1640" s="243"/>
      <c r="AV1640" s="243"/>
      <c r="AW1640" s="243"/>
      <c r="AX1640" s="243"/>
      <c r="AY1640" s="243"/>
      <c r="AZ1640" s="243"/>
      <c r="BA1640" s="243"/>
      <c r="BB1640" s="243"/>
      <c r="BC1640" s="243"/>
      <c r="BD1640" s="243"/>
      <c r="BE1640" s="243"/>
      <c r="BF1640" s="243"/>
      <c r="BG1640" s="243"/>
      <c r="BH1640" s="243"/>
      <c r="BI1640" s="243"/>
      <c r="BJ1640" s="243"/>
      <c r="BK1640" s="243"/>
      <c r="BL1640" s="243"/>
      <c r="BM1640" s="243"/>
      <c r="BN1640" s="243"/>
      <c r="BO1640" s="243"/>
      <c r="BP1640" s="243"/>
      <c r="BQ1640" s="243"/>
      <c r="BR1640" s="243"/>
      <c r="BS1640" s="243"/>
    </row>
    <row r="1641" spans="1:71" s="12" customFormat="1" ht="41.25" customHeight="1">
      <c r="A1641" s="178" t="s">
        <v>118</v>
      </c>
      <c r="B1641" s="75" t="str">
        <f ca="1">+UPPER(Tabla1321124[[#This Row],[DESCRIPCIÓN DE LA COMPRA O CONTRATACIÓN]])</f>
        <v>BANCADA DE ESPERA</v>
      </c>
      <c r="C1641" s="39" t="s">
        <v>17</v>
      </c>
      <c r="D1641" s="236">
        <f>21+5</f>
        <v>26</v>
      </c>
      <c r="E1641" s="236">
        <f>21+2</f>
        <v>23</v>
      </c>
      <c r="F1641" s="236">
        <f>20+7</f>
        <v>27</v>
      </c>
      <c r="G1641" s="236">
        <f>20+2</f>
        <v>22</v>
      </c>
      <c r="H1641" s="240">
        <f>SUM(Tabla1321124[[#This Row],[PRIMER TRIMESTRE]:[CUARTO TRIMESTRE]])</f>
        <v>98</v>
      </c>
      <c r="I1641" s="17">
        <v>10115</v>
      </c>
      <c r="J1641" s="17">
        <f>+Tabla1321124[[#This Row],[CANTIDAD TOTAL]]*Tabla1321124[[#This Row],[PRECIO UNITARIO ESTIMADO]]</f>
        <v>991270</v>
      </c>
      <c r="K1641" s="17"/>
      <c r="L1641" s="16" t="s">
        <v>27</v>
      </c>
      <c r="M1641" s="16" t="s">
        <v>22</v>
      </c>
      <c r="N1641" s="16" t="s">
        <v>418</v>
      </c>
      <c r="O1641" s="243"/>
      <c r="P1641" s="243"/>
      <c r="Q1641" s="243"/>
      <c r="R1641" s="243"/>
      <c r="S1641" s="243"/>
      <c r="T1641" s="243"/>
      <c r="U1641" s="243"/>
      <c r="V1641" s="243"/>
      <c r="W1641" s="243"/>
      <c r="X1641" s="243"/>
      <c r="Y1641" s="243"/>
      <c r="Z1641" s="243"/>
      <c r="AA1641" s="243"/>
      <c r="AB1641" s="243"/>
      <c r="AC1641" s="243"/>
      <c r="AD1641" s="243"/>
      <c r="AE1641" s="243"/>
      <c r="AF1641" s="243"/>
      <c r="AG1641" s="243"/>
      <c r="AH1641" s="243"/>
      <c r="AI1641" s="243"/>
      <c r="AJ1641" s="243"/>
      <c r="AK1641" s="243"/>
      <c r="AL1641" s="243"/>
      <c r="AM1641" s="243"/>
      <c r="AN1641" s="243"/>
      <c r="AO1641" s="243"/>
      <c r="AP1641" s="243"/>
      <c r="AQ1641" s="243"/>
      <c r="AR1641" s="243"/>
      <c r="AS1641" s="243"/>
      <c r="AT1641" s="243"/>
      <c r="AU1641" s="243"/>
      <c r="AV1641" s="243"/>
      <c r="AW1641" s="243"/>
      <c r="AX1641" s="243"/>
      <c r="AY1641" s="243"/>
      <c r="AZ1641" s="243"/>
      <c r="BA1641" s="243"/>
      <c r="BB1641" s="243"/>
      <c r="BC1641" s="243"/>
      <c r="BD1641" s="243"/>
      <c r="BE1641" s="243"/>
      <c r="BF1641" s="243"/>
      <c r="BG1641" s="243"/>
      <c r="BH1641" s="243"/>
      <c r="BI1641" s="243"/>
      <c r="BJ1641" s="243"/>
      <c r="BK1641" s="243"/>
      <c r="BL1641" s="243"/>
      <c r="BM1641" s="243"/>
      <c r="BN1641" s="243"/>
      <c r="BO1641" s="243"/>
      <c r="BP1641" s="243"/>
      <c r="BQ1641" s="243"/>
      <c r="BR1641" s="243"/>
      <c r="BS1641" s="243"/>
    </row>
    <row r="1642" spans="1:71" s="12" customFormat="1" ht="41.25" customHeight="1">
      <c r="A1642" s="178" t="s">
        <v>118</v>
      </c>
      <c r="B1642" s="75" t="str">
        <f ca="1">+UPPER(Tabla1321124[[#This Row],[DESCRIPCIÓN DE LA COMPRA O CONTRATACIÓN]])</f>
        <v>CARRITO DESLIZANTE ºPARA TRASLADAR TANQUE OXIGENO</v>
      </c>
      <c r="C1642" s="39" t="s">
        <v>17</v>
      </c>
      <c r="D1642" s="236">
        <v>1</v>
      </c>
      <c r="E1642" s="236"/>
      <c r="F1642" s="236">
        <v>1</v>
      </c>
      <c r="G1642" s="236"/>
      <c r="H1642" s="240">
        <f>SUM(Tabla1321124[[#This Row],[PRIMER TRIMESTRE]:[CUARTO TRIMESTRE]])</f>
        <v>2</v>
      </c>
      <c r="I1642" s="17">
        <f>+(5938.35+4838)/2</f>
        <v>5388.1750000000002</v>
      </c>
      <c r="J1642" s="17">
        <f>+Tabla1321124[[#This Row],[CANTIDAD TOTAL]]*Tabla1321124[[#This Row],[PRECIO UNITARIO ESTIMADO]]</f>
        <v>10776.35</v>
      </c>
      <c r="K1642" s="17"/>
      <c r="L1642" s="16" t="s">
        <v>27</v>
      </c>
      <c r="M1642" s="16" t="s">
        <v>22</v>
      </c>
      <c r="N1642" s="16" t="s">
        <v>418</v>
      </c>
      <c r="O1642" s="243"/>
      <c r="P1642" s="243"/>
      <c r="Q1642" s="243"/>
      <c r="R1642" s="243"/>
      <c r="S1642" s="243"/>
      <c r="T1642" s="243"/>
      <c r="U1642" s="243"/>
      <c r="V1642" s="243"/>
      <c r="W1642" s="243"/>
      <c r="X1642" s="243"/>
      <c r="Y1642" s="243"/>
      <c r="Z1642" s="243"/>
      <c r="AA1642" s="243"/>
      <c r="AB1642" s="243"/>
      <c r="AC1642" s="243"/>
      <c r="AD1642" s="243"/>
      <c r="AE1642" s="243"/>
      <c r="AF1642" s="243"/>
      <c r="AG1642" s="243"/>
      <c r="AH1642" s="243"/>
      <c r="AI1642" s="243"/>
      <c r="AJ1642" s="243"/>
      <c r="AK1642" s="243"/>
      <c r="AL1642" s="243"/>
      <c r="AM1642" s="243"/>
      <c r="AN1642" s="243"/>
      <c r="AO1642" s="243"/>
      <c r="AP1642" s="243"/>
      <c r="AQ1642" s="243"/>
      <c r="AR1642" s="243"/>
      <c r="AS1642" s="243"/>
      <c r="AT1642" s="243"/>
      <c r="AU1642" s="243"/>
      <c r="AV1642" s="243"/>
      <c r="AW1642" s="243"/>
      <c r="AX1642" s="243"/>
      <c r="AY1642" s="243"/>
      <c r="AZ1642" s="243"/>
      <c r="BA1642" s="243"/>
      <c r="BB1642" s="243"/>
      <c r="BC1642" s="243"/>
      <c r="BD1642" s="243"/>
      <c r="BE1642" s="243"/>
      <c r="BF1642" s="243"/>
      <c r="BG1642" s="243"/>
      <c r="BH1642" s="243"/>
      <c r="BI1642" s="243"/>
      <c r="BJ1642" s="243"/>
      <c r="BK1642" s="243"/>
      <c r="BL1642" s="243"/>
      <c r="BM1642" s="243"/>
      <c r="BN1642" s="243"/>
      <c r="BO1642" s="243"/>
      <c r="BP1642" s="243"/>
      <c r="BQ1642" s="243"/>
      <c r="BR1642" s="243"/>
      <c r="BS1642" s="243"/>
    </row>
    <row r="1643" spans="1:71" s="12" customFormat="1" ht="41.25" customHeight="1">
      <c r="A1643" s="178" t="s">
        <v>118</v>
      </c>
      <c r="B1643" s="75" t="str">
        <f ca="1">+UPPER(Tabla1321124[[#This Row],[DESCRIPCIÓN DE LA COMPRA O CONTRATACIÓN]])</f>
        <v>CREDENZA</v>
      </c>
      <c r="C1643" s="39" t="s">
        <v>17</v>
      </c>
      <c r="D1643" s="236">
        <f>11+3</f>
        <v>14</v>
      </c>
      <c r="E1643" s="236">
        <v>11</v>
      </c>
      <c r="F1643" s="236">
        <f>11+1</f>
        <v>12</v>
      </c>
      <c r="G1643" s="236">
        <v>10</v>
      </c>
      <c r="H1643" s="240">
        <f>SUM(Tabla1321124[[#This Row],[PRIMER TRIMESTRE]:[CUARTO TRIMESTRE]])</f>
        <v>47</v>
      </c>
      <c r="I1643" s="17">
        <v>7080</v>
      </c>
      <c r="J1643" s="17">
        <f>+Tabla1321124[[#This Row],[CANTIDAD TOTAL]]*Tabla1321124[[#This Row],[PRECIO UNITARIO ESTIMADO]]</f>
        <v>332760</v>
      </c>
      <c r="K1643" s="17"/>
      <c r="L1643" s="16" t="s">
        <v>27</v>
      </c>
      <c r="M1643" s="16" t="s">
        <v>22</v>
      </c>
      <c r="N1643" s="16" t="s">
        <v>418</v>
      </c>
      <c r="O1643" s="243"/>
      <c r="P1643" s="243"/>
      <c r="Q1643" s="243"/>
      <c r="R1643" s="243"/>
      <c r="S1643" s="243"/>
      <c r="T1643" s="243"/>
      <c r="U1643" s="243"/>
      <c r="V1643" s="243"/>
      <c r="W1643" s="243"/>
      <c r="X1643" s="243"/>
      <c r="Y1643" s="243"/>
      <c r="Z1643" s="243"/>
      <c r="AA1643" s="243"/>
      <c r="AB1643" s="243"/>
      <c r="AC1643" s="243"/>
      <c r="AD1643" s="243"/>
      <c r="AE1643" s="243"/>
      <c r="AF1643" s="243"/>
      <c r="AG1643" s="243"/>
      <c r="AH1643" s="243"/>
      <c r="AI1643" s="243"/>
      <c r="AJ1643" s="243"/>
      <c r="AK1643" s="243"/>
      <c r="AL1643" s="243"/>
      <c r="AM1643" s="243"/>
      <c r="AN1643" s="243"/>
      <c r="AO1643" s="243"/>
      <c r="AP1643" s="243"/>
      <c r="AQ1643" s="243"/>
      <c r="AR1643" s="243"/>
      <c r="AS1643" s="243"/>
      <c r="AT1643" s="243"/>
      <c r="AU1643" s="243"/>
      <c r="AV1643" s="243"/>
      <c r="AW1643" s="243"/>
      <c r="AX1643" s="243"/>
      <c r="AY1643" s="243"/>
      <c r="AZ1643" s="243"/>
      <c r="BA1643" s="243"/>
      <c r="BB1643" s="243"/>
      <c r="BC1643" s="243"/>
      <c r="BD1643" s="243"/>
      <c r="BE1643" s="243"/>
      <c r="BF1643" s="243"/>
      <c r="BG1643" s="243"/>
      <c r="BH1643" s="243"/>
      <c r="BI1643" s="243"/>
      <c r="BJ1643" s="243"/>
      <c r="BK1643" s="243"/>
      <c r="BL1643" s="243"/>
      <c r="BM1643" s="243"/>
      <c r="BN1643" s="243"/>
      <c r="BO1643" s="243"/>
      <c r="BP1643" s="243"/>
      <c r="BQ1643" s="243"/>
      <c r="BR1643" s="243"/>
      <c r="BS1643" s="243"/>
    </row>
    <row r="1644" spans="1:71" s="12" customFormat="1" ht="41.25" customHeight="1">
      <c r="A1644" s="178" t="s">
        <v>118</v>
      </c>
      <c r="B1644" s="75" t="str">
        <f ca="1">+UPPER(Tabla1321124[[#This Row],[DESCRIPCIÓN DE LA COMPRA O CONTRATACIÓN]])</f>
        <v>CORTINAS VENECIANAS</v>
      </c>
      <c r="C1644" s="39" t="s">
        <v>17</v>
      </c>
      <c r="D1644" s="236">
        <f>5+6</f>
        <v>11</v>
      </c>
      <c r="E1644" s="236">
        <v>3</v>
      </c>
      <c r="F1644" s="236">
        <f>4+7</f>
        <v>11</v>
      </c>
      <c r="G1644" s="236">
        <v>3</v>
      </c>
      <c r="H1644" s="240">
        <f>SUM(Tabla1321124[[#This Row],[PRIMER TRIMESTRE]:[CUARTO TRIMESTRE]])</f>
        <v>28</v>
      </c>
      <c r="I1644" s="17">
        <v>13684.27</v>
      </c>
      <c r="J1644" s="17">
        <f>+Tabla1321124[[#This Row],[CANTIDAD TOTAL]]*Tabla1321124[[#This Row],[PRECIO UNITARIO ESTIMADO]]</f>
        <v>383159.56</v>
      </c>
      <c r="K1644" s="17"/>
      <c r="L1644" s="16" t="s">
        <v>27</v>
      </c>
      <c r="M1644" s="16" t="s">
        <v>22</v>
      </c>
      <c r="N1644" s="16" t="s">
        <v>418</v>
      </c>
      <c r="O1644" s="243"/>
      <c r="P1644" s="243"/>
      <c r="Q1644" s="243"/>
      <c r="R1644" s="243"/>
      <c r="S1644" s="243"/>
      <c r="T1644" s="243"/>
      <c r="U1644" s="243"/>
      <c r="V1644" s="243"/>
      <c r="W1644" s="243"/>
      <c r="X1644" s="243"/>
      <c r="Y1644" s="243"/>
      <c r="Z1644" s="243"/>
      <c r="AA1644" s="243"/>
      <c r="AB1644" s="243"/>
      <c r="AC1644" s="243"/>
      <c r="AD1644" s="243"/>
      <c r="AE1644" s="243"/>
      <c r="AF1644" s="243"/>
      <c r="AG1644" s="243"/>
      <c r="AH1644" s="243"/>
      <c r="AI1644" s="243"/>
      <c r="AJ1644" s="243"/>
      <c r="AK1644" s="243"/>
      <c r="AL1644" s="243"/>
      <c r="AM1644" s="243"/>
      <c r="AN1644" s="243"/>
      <c r="AO1644" s="243"/>
      <c r="AP1644" s="243"/>
      <c r="AQ1644" s="243"/>
      <c r="AR1644" s="243"/>
      <c r="AS1644" s="243"/>
      <c r="AT1644" s="243"/>
      <c r="AU1644" s="243"/>
      <c r="AV1644" s="243"/>
      <c r="AW1644" s="243"/>
      <c r="AX1644" s="243"/>
      <c r="AY1644" s="243"/>
      <c r="AZ1644" s="243"/>
      <c r="BA1644" s="243"/>
      <c r="BB1644" s="243"/>
      <c r="BC1644" s="243"/>
      <c r="BD1644" s="243"/>
      <c r="BE1644" s="243"/>
      <c r="BF1644" s="243"/>
      <c r="BG1644" s="243"/>
      <c r="BH1644" s="243"/>
      <c r="BI1644" s="243"/>
      <c r="BJ1644" s="243"/>
      <c r="BK1644" s="243"/>
      <c r="BL1644" s="243"/>
      <c r="BM1644" s="243"/>
      <c r="BN1644" s="243"/>
      <c r="BO1644" s="243"/>
      <c r="BP1644" s="243"/>
      <c r="BQ1644" s="243"/>
      <c r="BR1644" s="243"/>
      <c r="BS1644" s="243"/>
    </row>
    <row r="1645" spans="1:71" s="12" customFormat="1" ht="41.25" customHeight="1">
      <c r="A1645" s="178" t="s">
        <v>118</v>
      </c>
      <c r="B1645" s="75" t="str">
        <f ca="1">+UPPER(Tabla1321124[[#This Row],[DESCRIPCIÓN DE LA COMPRA O CONTRATACIÓN]])</f>
        <v>ESCRITORIO PARA COMPUTADORA</v>
      </c>
      <c r="C1645" s="39" t="s">
        <v>17</v>
      </c>
      <c r="D1645" s="236">
        <v>11</v>
      </c>
      <c r="E1645" s="236">
        <v>11</v>
      </c>
      <c r="F1645" s="236">
        <v>20</v>
      </c>
      <c r="G1645" s="236">
        <v>10</v>
      </c>
      <c r="H1645" s="240">
        <f>SUM(Tabla1321124[[#This Row],[PRIMER TRIMESTRE]:[CUARTO TRIMESTRE]])</f>
        <v>52</v>
      </c>
      <c r="I1645" s="17">
        <v>9118.43</v>
      </c>
      <c r="J1645" s="17">
        <f>+Tabla1321124[[#This Row],[CANTIDAD TOTAL]]*Tabla1321124[[#This Row],[PRECIO UNITARIO ESTIMADO]]</f>
        <v>474158.36</v>
      </c>
      <c r="K1645" s="340"/>
      <c r="L1645" s="16" t="s">
        <v>27</v>
      </c>
      <c r="M1645" s="16" t="s">
        <v>22</v>
      </c>
      <c r="N1645" s="16" t="s">
        <v>418</v>
      </c>
      <c r="O1645" s="243"/>
      <c r="P1645" s="243"/>
      <c r="Q1645" s="243"/>
      <c r="R1645" s="243"/>
      <c r="S1645" s="243"/>
      <c r="T1645" s="243"/>
      <c r="U1645" s="243"/>
      <c r="V1645" s="243"/>
      <c r="W1645" s="243"/>
      <c r="X1645" s="243"/>
      <c r="Y1645" s="243"/>
      <c r="Z1645" s="243"/>
      <c r="AA1645" s="243"/>
      <c r="AB1645" s="243"/>
      <c r="AC1645" s="243"/>
      <c r="AD1645" s="243"/>
      <c r="AE1645" s="243"/>
      <c r="AF1645" s="243"/>
      <c r="AG1645" s="243"/>
      <c r="AH1645" s="243"/>
      <c r="AI1645" s="243"/>
      <c r="AJ1645" s="243"/>
      <c r="AK1645" s="243"/>
      <c r="AL1645" s="243"/>
      <c r="AM1645" s="243"/>
      <c r="AN1645" s="243"/>
      <c r="AO1645" s="243"/>
      <c r="AP1645" s="243"/>
      <c r="AQ1645" s="243"/>
      <c r="AR1645" s="243"/>
      <c r="AS1645" s="243"/>
      <c r="AT1645" s="243"/>
      <c r="AU1645" s="243"/>
      <c r="AV1645" s="243"/>
      <c r="AW1645" s="243"/>
      <c r="AX1645" s="243"/>
      <c r="AY1645" s="243"/>
      <c r="AZ1645" s="243"/>
      <c r="BA1645" s="243"/>
      <c r="BB1645" s="243"/>
      <c r="BC1645" s="243"/>
      <c r="BD1645" s="243"/>
      <c r="BE1645" s="243"/>
      <c r="BF1645" s="243"/>
      <c r="BG1645" s="243"/>
      <c r="BH1645" s="243"/>
      <c r="BI1645" s="243"/>
      <c r="BJ1645" s="243"/>
      <c r="BK1645" s="243"/>
      <c r="BL1645" s="243"/>
      <c r="BM1645" s="243"/>
      <c r="BN1645" s="243"/>
      <c r="BO1645" s="243"/>
      <c r="BP1645" s="243"/>
      <c r="BQ1645" s="243"/>
      <c r="BR1645" s="243"/>
      <c r="BS1645" s="243"/>
    </row>
    <row r="1646" spans="1:71" s="12" customFormat="1" ht="41.25" customHeight="1">
      <c r="A1646" s="178" t="s">
        <v>118</v>
      </c>
      <c r="B1646" s="75" t="str">
        <f ca="1">+UPPER(Tabla1321124[[#This Row],[DESCRIPCIÓN DE LA COMPRA O CONTRATACIÓN]])</f>
        <v>ARMARIO DE METAL DE DOS PUERTAS</v>
      </c>
      <c r="C1646" s="39" t="s">
        <v>1067</v>
      </c>
      <c r="D1646" s="236">
        <v>7</v>
      </c>
      <c r="E1646" s="236">
        <v>2</v>
      </c>
      <c r="F1646" s="236">
        <v>7</v>
      </c>
      <c r="G1646" s="236">
        <v>2</v>
      </c>
      <c r="H1646" s="240">
        <f>SUM(Tabla1321124[[#This Row],[PRIMER TRIMESTRE]:[CUARTO TRIMESTRE]])</f>
        <v>18</v>
      </c>
      <c r="I1646" s="17">
        <v>3000</v>
      </c>
      <c r="J1646" s="17">
        <f>+Tabla1321124[[#This Row],[CANTIDAD TOTAL]]*Tabla1321124[[#This Row],[PRECIO UNITARIO ESTIMADO]]</f>
        <v>54000</v>
      </c>
      <c r="K1646" s="17"/>
      <c r="L1646" s="16" t="s">
        <v>27</v>
      </c>
      <c r="M1646" s="16" t="s">
        <v>22</v>
      </c>
      <c r="N1646" s="16" t="s">
        <v>418</v>
      </c>
      <c r="O1646" s="243"/>
      <c r="P1646" s="243"/>
      <c r="Q1646" s="243"/>
      <c r="R1646" s="243"/>
      <c r="S1646" s="243"/>
      <c r="T1646" s="243"/>
      <c r="U1646" s="243"/>
      <c r="V1646" s="243"/>
      <c r="W1646" s="243"/>
      <c r="X1646" s="243"/>
      <c r="Y1646" s="243"/>
      <c r="Z1646" s="243"/>
      <c r="AA1646" s="243"/>
      <c r="AB1646" s="243"/>
      <c r="AC1646" s="243"/>
      <c r="AD1646" s="243"/>
      <c r="AE1646" s="243"/>
      <c r="AF1646" s="243"/>
      <c r="AG1646" s="243"/>
      <c r="AH1646" s="243"/>
      <c r="AI1646" s="243"/>
      <c r="AJ1646" s="243"/>
      <c r="AK1646" s="243"/>
      <c r="AL1646" s="243"/>
      <c r="AM1646" s="243"/>
      <c r="AN1646" s="243"/>
      <c r="AO1646" s="243"/>
      <c r="AP1646" s="243"/>
      <c r="AQ1646" s="243"/>
      <c r="AR1646" s="243"/>
      <c r="AS1646" s="243"/>
      <c r="AT1646" s="243"/>
      <c r="AU1646" s="243"/>
      <c r="AV1646" s="243"/>
      <c r="AW1646" s="243"/>
      <c r="AX1646" s="243"/>
      <c r="AY1646" s="243"/>
      <c r="AZ1646" s="243"/>
      <c r="BA1646" s="243"/>
      <c r="BB1646" s="243"/>
      <c r="BC1646" s="243"/>
      <c r="BD1646" s="243"/>
      <c r="BE1646" s="243"/>
      <c r="BF1646" s="243"/>
      <c r="BG1646" s="243"/>
      <c r="BH1646" s="243"/>
      <c r="BI1646" s="243"/>
      <c r="BJ1646" s="243"/>
      <c r="BK1646" s="243"/>
      <c r="BL1646" s="243"/>
      <c r="BM1646" s="243"/>
      <c r="BN1646" s="243"/>
      <c r="BO1646" s="243"/>
      <c r="BP1646" s="243"/>
      <c r="BQ1646" s="243"/>
      <c r="BR1646" s="243"/>
      <c r="BS1646" s="243"/>
    </row>
    <row r="1647" spans="1:71" s="12" customFormat="1" ht="41.25" customHeight="1">
      <c r="A1647" s="178" t="s">
        <v>118</v>
      </c>
      <c r="B1647" s="75" t="str">
        <f ca="1">+UPPER(Tabla1321124[[#This Row],[DESCRIPCIÓN DE LA COMPRA O CONTRATACIÓN]])</f>
        <v>MAQUINA DE ESCRIBIR</v>
      </c>
      <c r="C1647" s="39" t="s">
        <v>17</v>
      </c>
      <c r="D1647" s="236">
        <f>6+5</f>
        <v>11</v>
      </c>
      <c r="E1647" s="236"/>
      <c r="F1647" s="236"/>
      <c r="G1647" s="236"/>
      <c r="H1647" s="240">
        <f>SUM(Tabla1321124[[#This Row],[PRIMER TRIMESTRE]:[CUARTO TRIMESTRE]])</f>
        <v>11</v>
      </c>
      <c r="I1647" s="17">
        <v>10788</v>
      </c>
      <c r="J1647" s="17">
        <f>+Tabla1321124[[#This Row],[CANTIDAD TOTAL]]*Tabla1321124[[#This Row],[PRECIO UNITARIO ESTIMADO]]</f>
        <v>118668</v>
      </c>
      <c r="K1647" s="17"/>
      <c r="L1647" s="16" t="s">
        <v>27</v>
      </c>
      <c r="M1647" s="16" t="s">
        <v>22</v>
      </c>
      <c r="N1647" s="16" t="s">
        <v>418</v>
      </c>
      <c r="O1647" s="243"/>
      <c r="P1647" s="243"/>
      <c r="Q1647" s="243"/>
      <c r="R1647" s="243"/>
      <c r="S1647" s="243"/>
      <c r="T1647" s="243"/>
      <c r="U1647" s="243"/>
      <c r="V1647" s="243"/>
      <c r="W1647" s="243"/>
      <c r="X1647" s="243"/>
      <c r="Y1647" s="243"/>
      <c r="Z1647" s="243"/>
      <c r="AA1647" s="243"/>
      <c r="AB1647" s="243"/>
      <c r="AC1647" s="243"/>
      <c r="AD1647" s="243"/>
      <c r="AE1647" s="243"/>
      <c r="AF1647" s="243"/>
      <c r="AG1647" s="243"/>
      <c r="AH1647" s="243"/>
      <c r="AI1647" s="243"/>
      <c r="AJ1647" s="243"/>
      <c r="AK1647" s="243"/>
      <c r="AL1647" s="243"/>
      <c r="AM1647" s="243"/>
      <c r="AN1647" s="243"/>
      <c r="AO1647" s="243"/>
      <c r="AP1647" s="243"/>
      <c r="AQ1647" s="243"/>
      <c r="AR1647" s="243"/>
      <c r="AS1647" s="243"/>
      <c r="AT1647" s="243"/>
      <c r="AU1647" s="243"/>
      <c r="AV1647" s="243"/>
      <c r="AW1647" s="243"/>
      <c r="AX1647" s="243"/>
      <c r="AY1647" s="243"/>
      <c r="AZ1647" s="243"/>
      <c r="BA1647" s="243"/>
      <c r="BB1647" s="243"/>
      <c r="BC1647" s="243"/>
      <c r="BD1647" s="243"/>
      <c r="BE1647" s="243"/>
      <c r="BF1647" s="243"/>
      <c r="BG1647" s="243"/>
      <c r="BH1647" s="243"/>
      <c r="BI1647" s="243"/>
      <c r="BJ1647" s="243"/>
      <c r="BK1647" s="243"/>
      <c r="BL1647" s="243"/>
      <c r="BM1647" s="243"/>
      <c r="BN1647" s="243"/>
      <c r="BO1647" s="243"/>
      <c r="BP1647" s="243"/>
      <c r="BQ1647" s="243"/>
      <c r="BR1647" s="243"/>
      <c r="BS1647" s="243"/>
    </row>
    <row r="1648" spans="1:71" s="12" customFormat="1" ht="41.25" customHeight="1">
      <c r="A1648" s="178" t="s">
        <v>118</v>
      </c>
      <c r="B1648" s="75" t="str">
        <f ca="1">+UPPER(Tabla1321124[[#This Row],[DESCRIPCIÓN DE LA COMPRA O CONTRATACIÓN]])</f>
        <v>MAQUINA SUMADORA</v>
      </c>
      <c r="C1648" s="39" t="s">
        <v>17</v>
      </c>
      <c r="D1648" s="236">
        <v>21</v>
      </c>
      <c r="E1648" s="236">
        <v>17</v>
      </c>
      <c r="F1648" s="236">
        <v>10</v>
      </c>
      <c r="G1648" s="236">
        <v>10</v>
      </c>
      <c r="H1648" s="240">
        <f>SUM(Tabla1321124[[#This Row],[PRIMER TRIMESTRE]:[CUARTO TRIMESTRE]])</f>
        <v>58</v>
      </c>
      <c r="I1648" s="17">
        <v>2467.71</v>
      </c>
      <c r="J1648" s="17">
        <f>+Tabla1321124[[#This Row],[CANTIDAD TOTAL]]*Tabla1321124[[#This Row],[PRECIO UNITARIO ESTIMADO]]</f>
        <v>143127.18</v>
      </c>
      <c r="K1648" s="17"/>
      <c r="L1648" s="16" t="s">
        <v>27</v>
      </c>
      <c r="M1648" s="16" t="s">
        <v>22</v>
      </c>
      <c r="N1648" s="16" t="s">
        <v>418</v>
      </c>
      <c r="O1648" s="243"/>
      <c r="P1648" s="243"/>
      <c r="Q1648" s="243"/>
      <c r="R1648" s="243"/>
      <c r="S1648" s="243"/>
      <c r="T1648" s="243"/>
      <c r="U1648" s="243"/>
      <c r="V1648" s="243"/>
      <c r="W1648" s="243"/>
      <c r="X1648" s="243"/>
      <c r="Y1648" s="243"/>
      <c r="Z1648" s="243"/>
      <c r="AA1648" s="243"/>
      <c r="AB1648" s="243"/>
      <c r="AC1648" s="243"/>
      <c r="AD1648" s="243"/>
      <c r="AE1648" s="243"/>
      <c r="AF1648" s="243"/>
      <c r="AG1648" s="243"/>
      <c r="AH1648" s="243"/>
      <c r="AI1648" s="243"/>
      <c r="AJ1648" s="243"/>
      <c r="AK1648" s="243"/>
      <c r="AL1648" s="243"/>
      <c r="AM1648" s="243"/>
      <c r="AN1648" s="243"/>
      <c r="AO1648" s="243"/>
      <c r="AP1648" s="243"/>
      <c r="AQ1648" s="243"/>
      <c r="AR1648" s="243"/>
      <c r="AS1648" s="243"/>
      <c r="AT1648" s="243"/>
      <c r="AU1648" s="243"/>
      <c r="AV1648" s="243"/>
      <c r="AW1648" s="243"/>
      <c r="AX1648" s="243"/>
      <c r="AY1648" s="243"/>
      <c r="AZ1648" s="243"/>
      <c r="BA1648" s="243"/>
      <c r="BB1648" s="243"/>
      <c r="BC1648" s="243"/>
      <c r="BD1648" s="243"/>
      <c r="BE1648" s="243"/>
      <c r="BF1648" s="243"/>
      <c r="BG1648" s="243"/>
      <c r="BH1648" s="243"/>
      <c r="BI1648" s="243"/>
      <c r="BJ1648" s="243"/>
      <c r="BK1648" s="243"/>
      <c r="BL1648" s="243"/>
      <c r="BM1648" s="243"/>
      <c r="BN1648" s="243"/>
      <c r="BO1648" s="243"/>
      <c r="BP1648" s="243"/>
      <c r="BQ1648" s="243"/>
      <c r="BR1648" s="243"/>
      <c r="BS1648" s="243"/>
    </row>
    <row r="1649" spans="1:71" s="12" customFormat="1" ht="41.25" customHeight="1">
      <c r="A1649" s="178" t="s">
        <v>118</v>
      </c>
      <c r="B1649" s="75" t="str">
        <f ca="1">+UPPER(Tabla1321124[[#This Row],[DESCRIPCIÓN DE LA COMPRA O CONTRATACIÓN]])</f>
        <v>MESA RECTANGULAR DE 3 MTS</v>
      </c>
      <c r="C1649" s="39" t="s">
        <v>17</v>
      </c>
      <c r="D1649" s="236">
        <f>1+2</f>
        <v>3</v>
      </c>
      <c r="E1649" s="236"/>
      <c r="F1649" s="236">
        <v>1</v>
      </c>
      <c r="G1649" s="236"/>
      <c r="H1649" s="240">
        <f>SUM(Tabla1321124[[#This Row],[PRIMER TRIMESTRE]:[CUARTO TRIMESTRE]])</f>
        <v>4</v>
      </c>
      <c r="I1649" s="17">
        <v>14434.48</v>
      </c>
      <c r="J1649" s="17">
        <f>+Tabla1321124[[#This Row],[CANTIDAD TOTAL]]*Tabla1321124[[#This Row],[PRECIO UNITARIO ESTIMADO]]</f>
        <v>57737.919999999998</v>
      </c>
      <c r="K1649" s="17"/>
      <c r="L1649" s="16" t="s">
        <v>27</v>
      </c>
      <c r="M1649" s="16" t="s">
        <v>22</v>
      </c>
      <c r="N1649" s="16" t="s">
        <v>418</v>
      </c>
      <c r="O1649" s="243"/>
      <c r="P1649" s="243"/>
      <c r="Q1649" s="243"/>
      <c r="R1649" s="243"/>
      <c r="S1649" s="243"/>
      <c r="T1649" s="243"/>
      <c r="U1649" s="243"/>
      <c r="V1649" s="243"/>
      <c r="W1649" s="243"/>
      <c r="X1649" s="243"/>
      <c r="Y1649" s="243"/>
      <c r="Z1649" s="243"/>
      <c r="AA1649" s="243"/>
      <c r="AB1649" s="243"/>
      <c r="AC1649" s="243"/>
      <c r="AD1649" s="243"/>
      <c r="AE1649" s="243"/>
      <c r="AF1649" s="243"/>
      <c r="AG1649" s="243"/>
      <c r="AH1649" s="243"/>
      <c r="AI1649" s="243"/>
      <c r="AJ1649" s="243"/>
      <c r="AK1649" s="243"/>
      <c r="AL1649" s="243"/>
      <c r="AM1649" s="243"/>
      <c r="AN1649" s="243"/>
      <c r="AO1649" s="243"/>
      <c r="AP1649" s="243"/>
      <c r="AQ1649" s="243"/>
      <c r="AR1649" s="243"/>
      <c r="AS1649" s="243"/>
      <c r="AT1649" s="243"/>
      <c r="AU1649" s="243"/>
      <c r="AV1649" s="243"/>
      <c r="AW1649" s="243"/>
      <c r="AX1649" s="243"/>
      <c r="AY1649" s="243"/>
      <c r="AZ1649" s="243"/>
      <c r="BA1649" s="243"/>
      <c r="BB1649" s="243"/>
      <c r="BC1649" s="243"/>
      <c r="BD1649" s="243"/>
      <c r="BE1649" s="243"/>
      <c r="BF1649" s="243"/>
      <c r="BG1649" s="243"/>
      <c r="BH1649" s="243"/>
      <c r="BI1649" s="243"/>
      <c r="BJ1649" s="243"/>
      <c r="BK1649" s="243"/>
      <c r="BL1649" s="243"/>
      <c r="BM1649" s="243"/>
      <c r="BN1649" s="243"/>
      <c r="BO1649" s="243"/>
      <c r="BP1649" s="243"/>
      <c r="BQ1649" s="243"/>
      <c r="BR1649" s="243"/>
      <c r="BS1649" s="243"/>
    </row>
    <row r="1650" spans="1:71" s="12" customFormat="1" ht="41.25" customHeight="1">
      <c r="A1650" s="178" t="s">
        <v>118</v>
      </c>
      <c r="B1650" s="75" t="str">
        <f ca="1">+UPPER(Tabla1321124[[#This Row],[DESCRIPCIÓN DE LA COMPRA O CONTRATACIÓN]])</f>
        <v>PERFORADORA DE ESPIRAL CONTINUO</v>
      </c>
      <c r="C1650" s="39" t="s">
        <v>17</v>
      </c>
      <c r="D1650" s="236">
        <v>1</v>
      </c>
      <c r="E1650" s="236"/>
      <c r="F1650" s="236"/>
      <c r="G1650" s="236"/>
      <c r="H1650" s="240">
        <f>SUM(Tabla1321124[[#This Row],[PRIMER TRIMESTRE]:[CUARTO TRIMESTRE]])</f>
        <v>1</v>
      </c>
      <c r="I1650" s="17">
        <v>5500</v>
      </c>
      <c r="J1650" s="17">
        <f>+Tabla1321124[[#This Row],[CANTIDAD TOTAL]]*Tabla1321124[[#This Row],[PRECIO UNITARIO ESTIMADO]]</f>
        <v>5500</v>
      </c>
      <c r="K1650" s="17"/>
      <c r="L1650" s="16" t="s">
        <v>27</v>
      </c>
      <c r="M1650" s="16" t="s">
        <v>22</v>
      </c>
      <c r="N1650" s="16" t="s">
        <v>418</v>
      </c>
      <c r="O1650" s="243"/>
      <c r="P1650" s="243"/>
      <c r="Q1650" s="243"/>
      <c r="R1650" s="243"/>
      <c r="S1650" s="243"/>
      <c r="T1650" s="243"/>
      <c r="U1650" s="243"/>
      <c r="V1650" s="243"/>
      <c r="W1650" s="243"/>
      <c r="X1650" s="243"/>
      <c r="Y1650" s="243"/>
      <c r="Z1650" s="243"/>
      <c r="AA1650" s="243"/>
      <c r="AB1650" s="243"/>
      <c r="AC1650" s="243"/>
      <c r="AD1650" s="243"/>
      <c r="AE1650" s="243"/>
      <c r="AF1650" s="243"/>
      <c r="AG1650" s="243"/>
      <c r="AH1650" s="243"/>
      <c r="AI1650" s="243"/>
      <c r="AJ1650" s="243"/>
      <c r="AK1650" s="243"/>
      <c r="AL1650" s="243"/>
      <c r="AM1650" s="243"/>
      <c r="AN1650" s="243"/>
      <c r="AO1650" s="243"/>
      <c r="AP1650" s="243"/>
      <c r="AQ1650" s="243"/>
      <c r="AR1650" s="243"/>
      <c r="AS1650" s="243"/>
      <c r="AT1650" s="243"/>
      <c r="AU1650" s="243"/>
      <c r="AV1650" s="243"/>
      <c r="AW1650" s="243"/>
      <c r="AX1650" s="243"/>
      <c r="AY1650" s="243"/>
      <c r="AZ1650" s="243"/>
      <c r="BA1650" s="243"/>
      <c r="BB1650" s="243"/>
      <c r="BC1650" s="243"/>
      <c r="BD1650" s="243"/>
      <c r="BE1650" s="243"/>
      <c r="BF1650" s="243"/>
      <c r="BG1650" s="243"/>
      <c r="BH1650" s="243"/>
      <c r="BI1650" s="243"/>
      <c r="BJ1650" s="243"/>
      <c r="BK1650" s="243"/>
      <c r="BL1650" s="243"/>
      <c r="BM1650" s="243"/>
      <c r="BN1650" s="243"/>
      <c r="BO1650" s="243"/>
      <c r="BP1650" s="243"/>
      <c r="BQ1650" s="243"/>
      <c r="BR1650" s="243"/>
      <c r="BS1650" s="243"/>
    </row>
    <row r="1651" spans="1:71" s="12" customFormat="1" ht="41.25" customHeight="1">
      <c r="A1651" s="178" t="s">
        <v>118</v>
      </c>
      <c r="B1651" s="75" t="str">
        <f ca="1">+UPPER(Tabla1321124[[#This Row],[DESCRIPCIÓN DE LA COMPRA O CONTRATACIÓN]])</f>
        <v>SILLONES EJECUTIVOS</v>
      </c>
      <c r="C1651" s="39" t="s">
        <v>17</v>
      </c>
      <c r="D1651" s="236">
        <f>3+8+7</f>
        <v>18</v>
      </c>
      <c r="E1651" s="236"/>
      <c r="F1651" s="236">
        <v>3</v>
      </c>
      <c r="G1651" s="236"/>
      <c r="H1651" s="240">
        <f>SUM(Tabla1321124[[#This Row],[PRIMER TRIMESTRE]:[CUARTO TRIMESTRE]])</f>
        <v>21</v>
      </c>
      <c r="I1651" s="17">
        <v>4800</v>
      </c>
      <c r="J1651" s="17">
        <f>+Tabla1321124[[#This Row],[CANTIDAD TOTAL]]*Tabla1321124[[#This Row],[PRECIO UNITARIO ESTIMADO]]</f>
        <v>100800</v>
      </c>
      <c r="K1651" s="17"/>
      <c r="L1651" s="16" t="s">
        <v>27</v>
      </c>
      <c r="M1651" s="16" t="s">
        <v>22</v>
      </c>
      <c r="N1651" s="16" t="s">
        <v>418</v>
      </c>
      <c r="O1651" s="243"/>
      <c r="P1651" s="243"/>
      <c r="Q1651" s="243"/>
      <c r="R1651" s="243"/>
      <c r="S1651" s="243"/>
      <c r="T1651" s="243"/>
      <c r="U1651" s="243"/>
      <c r="V1651" s="243"/>
      <c r="W1651" s="243"/>
      <c r="X1651" s="243"/>
      <c r="Y1651" s="243"/>
      <c r="Z1651" s="243"/>
      <c r="AA1651" s="243"/>
      <c r="AB1651" s="243"/>
      <c r="AC1651" s="243"/>
      <c r="AD1651" s="243"/>
      <c r="AE1651" s="243"/>
      <c r="AF1651" s="243"/>
      <c r="AG1651" s="243"/>
      <c r="AH1651" s="243"/>
      <c r="AI1651" s="243"/>
      <c r="AJ1651" s="243"/>
      <c r="AK1651" s="243"/>
      <c r="AL1651" s="243"/>
      <c r="AM1651" s="243"/>
      <c r="AN1651" s="243"/>
      <c r="AO1651" s="243"/>
      <c r="AP1651" s="243"/>
      <c r="AQ1651" s="243"/>
      <c r="AR1651" s="243"/>
      <c r="AS1651" s="243"/>
      <c r="AT1651" s="243"/>
      <c r="AU1651" s="243"/>
      <c r="AV1651" s="243"/>
      <c r="AW1651" s="243"/>
      <c r="AX1651" s="243"/>
      <c r="AY1651" s="243"/>
      <c r="AZ1651" s="243"/>
      <c r="BA1651" s="243"/>
      <c r="BB1651" s="243"/>
      <c r="BC1651" s="243"/>
      <c r="BD1651" s="243"/>
      <c r="BE1651" s="243"/>
      <c r="BF1651" s="243"/>
      <c r="BG1651" s="243"/>
      <c r="BH1651" s="243"/>
      <c r="BI1651" s="243"/>
      <c r="BJ1651" s="243"/>
      <c r="BK1651" s="243"/>
      <c r="BL1651" s="243"/>
      <c r="BM1651" s="243"/>
      <c r="BN1651" s="243"/>
      <c r="BO1651" s="243"/>
      <c r="BP1651" s="243"/>
      <c r="BQ1651" s="243"/>
      <c r="BR1651" s="243"/>
      <c r="BS1651" s="243"/>
    </row>
    <row r="1652" spans="1:71" s="26" customFormat="1" ht="41.25" customHeight="1">
      <c r="A1652" s="178" t="s">
        <v>118</v>
      </c>
      <c r="B1652" s="75" t="str">
        <f ca="1">+UPPER(Tabla1321124[[#This Row],[DESCRIPCIÓN DE LA COMPRA O CONTRATACIÓN]])</f>
        <v>PANELES PARA ESTACIONES DE TRABAJO</v>
      </c>
      <c r="C1652" s="39" t="s">
        <v>17</v>
      </c>
      <c r="D1652" s="236">
        <v>3</v>
      </c>
      <c r="E1652" s="236"/>
      <c r="F1652" s="236"/>
      <c r="G1652" s="236"/>
      <c r="H1652" s="240">
        <f>SUM(Tabla1321124[[#This Row],[PRIMER TRIMESTRE]:[CUARTO TRIMESTRE]])</f>
        <v>3</v>
      </c>
      <c r="I1652" s="17">
        <f>115079.5/24</f>
        <v>4794.979166666667</v>
      </c>
      <c r="J1652" s="17">
        <f>+Tabla1321124[[#This Row],[CANTIDAD TOTAL]]*Tabla1321124[[#This Row],[PRECIO UNITARIO ESTIMADO]]</f>
        <v>14384.9375</v>
      </c>
      <c r="K1652" s="17"/>
      <c r="L1652" s="16" t="s">
        <v>27</v>
      </c>
      <c r="M1652" s="16" t="s">
        <v>22</v>
      </c>
      <c r="N1652" s="16" t="s">
        <v>418</v>
      </c>
      <c r="O1652" s="243"/>
      <c r="P1652" s="243"/>
      <c r="Q1652" s="243"/>
      <c r="R1652" s="243"/>
      <c r="S1652" s="243"/>
      <c r="T1652" s="243"/>
      <c r="U1652" s="243"/>
      <c r="V1652" s="243"/>
      <c r="W1652" s="243"/>
      <c r="X1652" s="243"/>
      <c r="Y1652" s="243"/>
      <c r="Z1652" s="243"/>
      <c r="AA1652" s="243"/>
      <c r="AB1652" s="243"/>
      <c r="AC1652" s="243"/>
      <c r="AD1652" s="243"/>
      <c r="AE1652" s="243"/>
      <c r="AF1652" s="243"/>
      <c r="AG1652" s="243"/>
      <c r="AH1652" s="243"/>
      <c r="AI1652" s="243"/>
      <c r="AJ1652" s="243"/>
      <c r="AK1652" s="243"/>
      <c r="AL1652" s="243"/>
      <c r="AM1652" s="243"/>
      <c r="AN1652" s="243"/>
      <c r="AO1652" s="243"/>
      <c r="AP1652" s="243"/>
      <c r="AQ1652" s="243"/>
      <c r="AR1652" s="243"/>
      <c r="AS1652" s="243"/>
      <c r="AT1652" s="243"/>
      <c r="AU1652" s="243"/>
      <c r="AV1652" s="243"/>
      <c r="AW1652" s="243"/>
      <c r="AX1652" s="243"/>
      <c r="AY1652" s="243"/>
      <c r="AZ1652" s="243"/>
      <c r="BA1652" s="243"/>
      <c r="BB1652" s="243"/>
      <c r="BC1652" s="243"/>
      <c r="BD1652" s="243"/>
      <c r="BE1652" s="243"/>
      <c r="BF1652" s="243"/>
      <c r="BG1652" s="243"/>
      <c r="BH1652" s="243"/>
      <c r="BI1652" s="243"/>
      <c r="BJ1652" s="243"/>
      <c r="BK1652" s="243"/>
      <c r="BL1652" s="243"/>
      <c r="BM1652" s="243"/>
      <c r="BN1652" s="243"/>
      <c r="BO1652" s="243"/>
      <c r="BP1652" s="243"/>
      <c r="BQ1652" s="243"/>
      <c r="BR1652" s="243"/>
      <c r="BS1652" s="243"/>
    </row>
    <row r="1653" spans="1:71" s="169" customFormat="1" ht="41.25" customHeight="1">
      <c r="A1653" s="178" t="s">
        <v>118</v>
      </c>
      <c r="B1653" s="75" t="str">
        <f ca="1">+UPPER(Tabla1321124[[#This Row],[DESCRIPCIÓN DE LA COMPRA O CONTRATACIÓN]])</f>
        <v>SILLAS</v>
      </c>
      <c r="C1653" s="39" t="s">
        <v>17</v>
      </c>
      <c r="D1653" s="236">
        <f>100+6</f>
        <v>106</v>
      </c>
      <c r="E1653" s="236">
        <f>25+6</f>
        <v>31</v>
      </c>
      <c r="F1653" s="236">
        <f>35+6</f>
        <v>41</v>
      </c>
      <c r="G1653" s="236">
        <f>25+6</f>
        <v>31</v>
      </c>
      <c r="H1653" s="240">
        <f>SUM(Tabla1321124[[#This Row],[PRIMER TRIMESTRE]:[CUARTO TRIMESTRE]])</f>
        <v>209</v>
      </c>
      <c r="I1653" s="17">
        <v>2262</v>
      </c>
      <c r="J1653" s="17">
        <f>+Tabla1321124[[#This Row],[CANTIDAD TOTAL]]*Tabla1321124[[#This Row],[PRECIO UNITARIO ESTIMADO]]</f>
        <v>472758</v>
      </c>
      <c r="K1653" s="17"/>
      <c r="L1653" s="16" t="s">
        <v>27</v>
      </c>
      <c r="M1653" s="16" t="s">
        <v>22</v>
      </c>
      <c r="N1653" s="16" t="s">
        <v>418</v>
      </c>
      <c r="O1653" s="243"/>
      <c r="P1653" s="243"/>
      <c r="Q1653" s="243"/>
      <c r="R1653" s="243"/>
      <c r="S1653" s="243"/>
      <c r="T1653" s="243"/>
      <c r="U1653" s="243"/>
      <c r="V1653" s="243"/>
      <c r="W1653" s="243"/>
      <c r="X1653" s="243"/>
      <c r="Y1653" s="243"/>
      <c r="Z1653" s="243"/>
      <c r="AA1653" s="243"/>
      <c r="AB1653" s="243"/>
      <c r="AC1653" s="243"/>
      <c r="AD1653" s="243"/>
      <c r="AE1653" s="243"/>
      <c r="AF1653" s="243"/>
      <c r="AG1653" s="243"/>
      <c r="AH1653" s="243"/>
      <c r="AI1653" s="243"/>
      <c r="AJ1653" s="243"/>
      <c r="AK1653" s="243"/>
      <c r="AL1653" s="243"/>
      <c r="AM1653" s="243"/>
      <c r="AN1653" s="243"/>
      <c r="AO1653" s="243"/>
      <c r="AP1653" s="243"/>
      <c r="AQ1653" s="243"/>
      <c r="AR1653" s="243"/>
      <c r="AS1653" s="243"/>
      <c r="AT1653" s="243"/>
      <c r="AU1653" s="243"/>
      <c r="AV1653" s="243"/>
      <c r="AW1653" s="243"/>
      <c r="AX1653" s="243"/>
      <c r="AY1653" s="243"/>
      <c r="AZ1653" s="243"/>
      <c r="BA1653" s="243"/>
      <c r="BB1653" s="243"/>
      <c r="BC1653" s="243"/>
      <c r="BD1653" s="243"/>
      <c r="BE1653" s="243"/>
      <c r="BF1653" s="243"/>
      <c r="BG1653" s="243"/>
      <c r="BH1653" s="243"/>
      <c r="BI1653" s="243"/>
      <c r="BJ1653" s="243"/>
      <c r="BK1653" s="243"/>
      <c r="BL1653" s="243"/>
      <c r="BM1653" s="243"/>
      <c r="BN1653" s="243"/>
      <c r="BO1653" s="243"/>
      <c r="BP1653" s="243"/>
      <c r="BQ1653" s="243"/>
      <c r="BR1653" s="243"/>
      <c r="BS1653" s="243"/>
    </row>
    <row r="1654" spans="1:71" s="169" customFormat="1" ht="41.25" customHeight="1">
      <c r="A1654" s="178" t="s">
        <v>118</v>
      </c>
      <c r="B1654" s="75" t="str">
        <f ca="1">+UPPER(Tabla1321124[[#This Row],[DESCRIPCIÓN DE LA COMPRA O CONTRATACIÓN]])</f>
        <v>SILLA SECRETARIAL</v>
      </c>
      <c r="C1654" s="39" t="s">
        <v>17</v>
      </c>
      <c r="D1654" s="236">
        <v>100</v>
      </c>
      <c r="E1654" s="236">
        <v>40</v>
      </c>
      <c r="F1654" s="236">
        <v>100</v>
      </c>
      <c r="G1654" s="236">
        <v>40</v>
      </c>
      <c r="H1654" s="240">
        <f>SUM(Tabla1321124[[#This Row],[PRIMER TRIMESTRE]:[CUARTO TRIMESTRE]])</f>
        <v>280</v>
      </c>
      <c r="I1654" s="17">
        <v>3250</v>
      </c>
      <c r="J1654" s="17">
        <f>+Tabla1321124[[#This Row],[CANTIDAD TOTAL]]*Tabla1321124[[#This Row],[PRECIO UNITARIO ESTIMADO]]</f>
        <v>910000</v>
      </c>
      <c r="K1654" s="17"/>
      <c r="L1654" s="16" t="s">
        <v>27</v>
      </c>
      <c r="M1654" s="16" t="s">
        <v>22</v>
      </c>
      <c r="N1654" s="16" t="s">
        <v>418</v>
      </c>
      <c r="O1654" s="243"/>
      <c r="P1654" s="243"/>
      <c r="Q1654" s="243"/>
      <c r="R1654" s="243"/>
      <c r="S1654" s="243"/>
      <c r="T1654" s="243"/>
      <c r="U1654" s="243"/>
      <c r="V1654" s="243"/>
      <c r="W1654" s="243"/>
      <c r="X1654" s="243"/>
      <c r="Y1654" s="243"/>
      <c r="Z1654" s="243"/>
      <c r="AA1654" s="243"/>
      <c r="AB1654" s="243"/>
      <c r="AC1654" s="243"/>
      <c r="AD1654" s="243"/>
      <c r="AE1654" s="243"/>
      <c r="AF1654" s="243"/>
      <c r="AG1654" s="243"/>
      <c r="AH1654" s="243"/>
      <c r="AI1654" s="243"/>
      <c r="AJ1654" s="243"/>
      <c r="AK1654" s="243"/>
      <c r="AL1654" s="243"/>
      <c r="AM1654" s="243"/>
      <c r="AN1654" s="243"/>
      <c r="AO1654" s="243"/>
      <c r="AP1654" s="243"/>
      <c r="AQ1654" s="243"/>
      <c r="AR1654" s="243"/>
      <c r="AS1654" s="243"/>
      <c r="AT1654" s="243"/>
      <c r="AU1654" s="243"/>
      <c r="AV1654" s="243"/>
      <c r="AW1654" s="243"/>
      <c r="AX1654" s="243"/>
      <c r="AY1654" s="243"/>
      <c r="AZ1654" s="243"/>
      <c r="BA1654" s="243"/>
      <c r="BB1654" s="243"/>
      <c r="BC1654" s="243"/>
      <c r="BD1654" s="243"/>
      <c r="BE1654" s="243"/>
      <c r="BF1654" s="243"/>
      <c r="BG1654" s="243"/>
      <c r="BH1654" s="243"/>
      <c r="BI1654" s="243"/>
      <c r="BJ1654" s="243"/>
      <c r="BK1654" s="243"/>
      <c r="BL1654" s="243"/>
      <c r="BM1654" s="243"/>
      <c r="BN1654" s="243"/>
      <c r="BO1654" s="243"/>
      <c r="BP1654" s="243"/>
      <c r="BQ1654" s="243"/>
      <c r="BR1654" s="243"/>
      <c r="BS1654" s="243"/>
    </row>
    <row r="1655" spans="1:71" s="169" customFormat="1" ht="41.25" customHeight="1">
      <c r="A1655" s="178" t="s">
        <v>118</v>
      </c>
      <c r="B1655" s="75" t="str">
        <f ca="1">+UPPER(Tabla1321124[[#This Row],[DESCRIPCIÓN DE LA COMPRA O CONTRATACIÓN]])</f>
        <v>SILLONES SEMI-EJECUTIVO</v>
      </c>
      <c r="C1655" s="39" t="s">
        <v>17</v>
      </c>
      <c r="D1655" s="236">
        <f>12+2+8+5</f>
        <v>27</v>
      </c>
      <c r="E1655" s="236">
        <v>2</v>
      </c>
      <c r="F1655" s="236">
        <f>6+5</f>
        <v>11</v>
      </c>
      <c r="G1655" s="236">
        <v>2</v>
      </c>
      <c r="H1655" s="240">
        <f>SUM(Tabla1321124[[#This Row],[PRIMER TRIMESTRE]:[CUARTO TRIMESTRE]])</f>
        <v>42</v>
      </c>
      <c r="I1655" s="17">
        <v>3959.88</v>
      </c>
      <c r="J1655" s="17">
        <f>+Tabla1321124[[#This Row],[CANTIDAD TOTAL]]*Tabla1321124[[#This Row],[PRECIO UNITARIO ESTIMADO]]</f>
        <v>166314.96</v>
      </c>
      <c r="K1655" s="17"/>
      <c r="L1655" s="16" t="s">
        <v>27</v>
      </c>
      <c r="M1655" s="16" t="s">
        <v>22</v>
      </c>
      <c r="N1655" s="16" t="s">
        <v>418</v>
      </c>
      <c r="O1655" s="243"/>
      <c r="P1655" s="243"/>
      <c r="Q1655" s="243"/>
      <c r="R1655" s="243"/>
      <c r="S1655" s="243"/>
      <c r="T1655" s="243"/>
      <c r="U1655" s="243"/>
      <c r="V1655" s="243"/>
      <c r="W1655" s="243"/>
      <c r="X1655" s="243"/>
      <c r="Y1655" s="243"/>
      <c r="Z1655" s="243"/>
      <c r="AA1655" s="243"/>
      <c r="AB1655" s="243"/>
      <c r="AC1655" s="243"/>
      <c r="AD1655" s="243"/>
      <c r="AE1655" s="243"/>
      <c r="AF1655" s="243"/>
      <c r="AG1655" s="243"/>
      <c r="AH1655" s="243"/>
      <c r="AI1655" s="243"/>
      <c r="AJ1655" s="243"/>
      <c r="AK1655" s="243"/>
      <c r="AL1655" s="243"/>
      <c r="AM1655" s="243"/>
      <c r="AN1655" s="243"/>
      <c r="AO1655" s="243"/>
      <c r="AP1655" s="243"/>
      <c r="AQ1655" s="243"/>
      <c r="AR1655" s="243"/>
      <c r="AS1655" s="243"/>
      <c r="AT1655" s="243"/>
      <c r="AU1655" s="243"/>
      <c r="AV1655" s="243"/>
      <c r="AW1655" s="243"/>
      <c r="AX1655" s="243"/>
      <c r="AY1655" s="243"/>
      <c r="AZ1655" s="243"/>
      <c r="BA1655" s="243"/>
      <c r="BB1655" s="243"/>
      <c r="BC1655" s="243"/>
      <c r="BD1655" s="243"/>
      <c r="BE1655" s="243"/>
      <c r="BF1655" s="243"/>
      <c r="BG1655" s="243"/>
      <c r="BH1655" s="243"/>
      <c r="BI1655" s="243"/>
      <c r="BJ1655" s="243"/>
      <c r="BK1655" s="243"/>
      <c r="BL1655" s="243"/>
      <c r="BM1655" s="243"/>
      <c r="BN1655" s="243"/>
      <c r="BO1655" s="243"/>
      <c r="BP1655" s="243"/>
      <c r="BQ1655" s="243"/>
      <c r="BR1655" s="243"/>
      <c r="BS1655" s="243"/>
    </row>
    <row r="1656" spans="1:71" s="169" customFormat="1" ht="41.25" customHeight="1">
      <c r="A1656" s="178" t="s">
        <v>118</v>
      </c>
      <c r="B1656" s="75" t="str">
        <f ca="1">+UPPER(Tabla1321124[[#This Row],[DESCRIPCIÓN DE LA COMPRA O CONTRATACIÓN]])</f>
        <v>PERFORADORA DE ESPIRAL CONTINUO</v>
      </c>
      <c r="C1656" s="39" t="s">
        <v>17</v>
      </c>
      <c r="D1656" s="236">
        <v>1</v>
      </c>
      <c r="E1656" s="236"/>
      <c r="F1656" s="236"/>
      <c r="G1656" s="236"/>
      <c r="H1656" s="240">
        <f>SUM(Tabla1321124[[#This Row],[PRIMER TRIMESTRE]:[CUARTO TRIMESTRE]])</f>
        <v>1</v>
      </c>
      <c r="I1656" s="17">
        <v>3600</v>
      </c>
      <c r="J1656" s="17">
        <f>+Tabla1321124[[#This Row],[CANTIDAD TOTAL]]*Tabla1321124[[#This Row],[PRECIO UNITARIO ESTIMADO]]</f>
        <v>3600</v>
      </c>
      <c r="K1656" s="17"/>
      <c r="L1656" s="16" t="s">
        <v>27</v>
      </c>
      <c r="M1656" s="16" t="s">
        <v>22</v>
      </c>
      <c r="N1656" s="16" t="s">
        <v>418</v>
      </c>
      <c r="O1656" s="243"/>
      <c r="P1656" s="243"/>
      <c r="Q1656" s="243"/>
      <c r="R1656" s="243"/>
      <c r="S1656" s="243"/>
      <c r="T1656" s="243"/>
      <c r="U1656" s="243"/>
      <c r="V1656" s="243"/>
      <c r="W1656" s="243"/>
      <c r="X1656" s="243"/>
      <c r="Y1656" s="243"/>
      <c r="Z1656" s="243"/>
      <c r="AA1656" s="243"/>
      <c r="AB1656" s="243"/>
      <c r="AC1656" s="243"/>
      <c r="AD1656" s="243"/>
      <c r="AE1656" s="243"/>
      <c r="AF1656" s="243"/>
      <c r="AG1656" s="243"/>
      <c r="AH1656" s="243"/>
      <c r="AI1656" s="243"/>
      <c r="AJ1656" s="243"/>
      <c r="AK1656" s="243"/>
      <c r="AL1656" s="243"/>
      <c r="AM1656" s="243"/>
      <c r="AN1656" s="243"/>
      <c r="AO1656" s="243"/>
      <c r="AP1656" s="243"/>
      <c r="AQ1656" s="243"/>
      <c r="AR1656" s="243"/>
      <c r="AS1656" s="243"/>
      <c r="AT1656" s="243"/>
      <c r="AU1656" s="243"/>
      <c r="AV1656" s="243"/>
      <c r="AW1656" s="243"/>
      <c r="AX1656" s="243"/>
      <c r="AY1656" s="243"/>
      <c r="AZ1656" s="243"/>
      <c r="BA1656" s="243"/>
      <c r="BB1656" s="243"/>
      <c r="BC1656" s="243"/>
      <c r="BD1656" s="243"/>
      <c r="BE1656" s="243"/>
      <c r="BF1656" s="243"/>
      <c r="BG1656" s="243"/>
      <c r="BH1656" s="243"/>
      <c r="BI1656" s="243"/>
      <c r="BJ1656" s="243"/>
      <c r="BK1656" s="243"/>
      <c r="BL1656" s="243"/>
      <c r="BM1656" s="243"/>
      <c r="BN1656" s="243"/>
      <c r="BO1656" s="243"/>
      <c r="BP1656" s="243"/>
      <c r="BQ1656" s="243"/>
      <c r="BR1656" s="243"/>
      <c r="BS1656" s="243"/>
    </row>
    <row r="1657" spans="1:71" s="169" customFormat="1" ht="41.25" customHeight="1">
      <c r="A1657" s="178" t="s">
        <v>118</v>
      </c>
      <c r="B1657" s="75" t="str">
        <f ca="1">+UPPER(Tabla1321124[[#This Row],[DESCRIPCIÓN DE LA COMPRA O CONTRATACIÓN]])</f>
        <v>MAQUINA ROTULADORA</v>
      </c>
      <c r="C1657" s="39" t="s">
        <v>17</v>
      </c>
      <c r="D1657" s="236">
        <f>2+3</f>
        <v>5</v>
      </c>
      <c r="E1657" s="236"/>
      <c r="F1657" s="236"/>
      <c r="G1657" s="236"/>
      <c r="H1657" s="240">
        <f>SUM(Tabla1321124[[#This Row],[PRIMER TRIMESTRE]:[CUARTO TRIMESTRE]])</f>
        <v>5</v>
      </c>
      <c r="I1657" s="17">
        <f>16086.57/3</f>
        <v>5362.19</v>
      </c>
      <c r="J1657" s="17">
        <f>+Tabla1321124[[#This Row],[CANTIDAD TOTAL]]*Tabla1321124[[#This Row],[PRECIO UNITARIO ESTIMADO]]</f>
        <v>26810.949999999997</v>
      </c>
      <c r="K1657" s="386">
        <f>SUM(J1638:J1657)</f>
        <v>6416218.7575000003</v>
      </c>
      <c r="L1657" s="16" t="s">
        <v>27</v>
      </c>
      <c r="M1657" s="16" t="s">
        <v>22</v>
      </c>
      <c r="N1657" s="16" t="s">
        <v>418</v>
      </c>
      <c r="O1657" s="243"/>
      <c r="P1657" s="243"/>
      <c r="Q1657" s="243"/>
      <c r="R1657" s="243"/>
      <c r="S1657" s="243"/>
      <c r="T1657" s="243"/>
      <c r="U1657" s="243"/>
      <c r="V1657" s="243"/>
      <c r="W1657" s="243"/>
      <c r="X1657" s="243"/>
      <c r="Y1657" s="243"/>
      <c r="Z1657" s="243"/>
      <c r="AA1657" s="243"/>
      <c r="AB1657" s="243"/>
      <c r="AC1657" s="243"/>
      <c r="AD1657" s="243"/>
      <c r="AE1657" s="243"/>
      <c r="AF1657" s="243"/>
      <c r="AG1657" s="243"/>
      <c r="AH1657" s="243"/>
      <c r="AI1657" s="243"/>
      <c r="AJ1657" s="243"/>
      <c r="AK1657" s="243"/>
      <c r="AL1657" s="243"/>
      <c r="AM1657" s="243"/>
      <c r="AN1657" s="243"/>
      <c r="AO1657" s="243"/>
      <c r="AP1657" s="243"/>
      <c r="AQ1657" s="243"/>
      <c r="AR1657" s="243"/>
      <c r="AS1657" s="243"/>
      <c r="AT1657" s="243"/>
      <c r="AU1657" s="243"/>
      <c r="AV1657" s="243"/>
      <c r="AW1657" s="243"/>
      <c r="AX1657" s="243"/>
      <c r="AY1657" s="243"/>
      <c r="AZ1657" s="243"/>
      <c r="BA1657" s="243"/>
      <c r="BB1657" s="243"/>
      <c r="BC1657" s="243"/>
      <c r="BD1657" s="243"/>
      <c r="BE1657" s="243"/>
      <c r="BF1657" s="243"/>
      <c r="BG1657" s="243"/>
      <c r="BH1657" s="243"/>
      <c r="BI1657" s="243"/>
      <c r="BJ1657" s="243"/>
      <c r="BK1657" s="243"/>
      <c r="BL1657" s="243"/>
      <c r="BM1657" s="243"/>
      <c r="BN1657" s="243"/>
      <c r="BO1657" s="243"/>
      <c r="BP1657" s="243"/>
      <c r="BQ1657" s="243"/>
      <c r="BR1657" s="243"/>
      <c r="BS1657" s="243"/>
    </row>
    <row r="1658" spans="1:71" s="169" customFormat="1" ht="41.25" customHeight="1">
      <c r="A1658" s="538" t="s">
        <v>118</v>
      </c>
      <c r="B1658" s="76" t="str">
        <f ca="1">+UPPER(Tabla1321124[[#This Row],[DESCRIPCIÓN DE LA COMPRA O CONTRATACIÓN]])</f>
        <v/>
      </c>
      <c r="C1658" s="237"/>
      <c r="D1658" s="237"/>
      <c r="E1658" s="237"/>
      <c r="F1658" s="237"/>
      <c r="G1658" s="237"/>
      <c r="H1658" s="238"/>
      <c r="I1658" s="238"/>
      <c r="J1658" s="383"/>
      <c r="K1658" s="25">
        <f>SUM(J1638:J1657)</f>
        <v>6416218.7575000003</v>
      </c>
      <c r="L1658" s="383"/>
      <c r="M1658" s="383"/>
      <c r="N1658" s="383"/>
      <c r="O1658" s="243"/>
      <c r="P1658" s="243"/>
      <c r="Q1658" s="243"/>
      <c r="R1658" s="243"/>
      <c r="S1658" s="243"/>
      <c r="T1658" s="243"/>
      <c r="U1658" s="243"/>
      <c r="V1658" s="243"/>
      <c r="W1658" s="243"/>
      <c r="X1658" s="243"/>
      <c r="Y1658" s="243"/>
      <c r="Z1658" s="243"/>
      <c r="AA1658" s="243"/>
      <c r="AB1658" s="243"/>
      <c r="AC1658" s="243"/>
      <c r="AD1658" s="243"/>
      <c r="AE1658" s="243"/>
      <c r="AF1658" s="243"/>
      <c r="AG1658" s="243"/>
      <c r="AH1658" s="243"/>
      <c r="AI1658" s="243"/>
      <c r="AJ1658" s="243"/>
      <c r="AK1658" s="243"/>
      <c r="AL1658" s="243"/>
      <c r="AM1658" s="243"/>
      <c r="AN1658" s="243"/>
      <c r="AO1658" s="243"/>
      <c r="AP1658" s="243"/>
      <c r="AQ1658" s="243"/>
      <c r="AR1658" s="243"/>
      <c r="AS1658" s="243"/>
      <c r="AT1658" s="243"/>
      <c r="AU1658" s="243"/>
      <c r="AV1658" s="243"/>
      <c r="AW1658" s="243"/>
      <c r="AX1658" s="243"/>
      <c r="AY1658" s="243"/>
      <c r="AZ1658" s="243"/>
      <c r="BA1658" s="243"/>
      <c r="BB1658" s="243"/>
      <c r="BC1658" s="243"/>
      <c r="BD1658" s="243"/>
      <c r="BE1658" s="243"/>
      <c r="BF1658" s="243"/>
      <c r="BG1658" s="243"/>
      <c r="BH1658" s="243"/>
      <c r="BI1658" s="243"/>
      <c r="BJ1658" s="243"/>
      <c r="BK1658" s="243"/>
      <c r="BL1658" s="243"/>
      <c r="BM1658" s="243"/>
      <c r="BN1658" s="243"/>
      <c r="BO1658" s="243"/>
      <c r="BP1658" s="243"/>
      <c r="BQ1658" s="243"/>
      <c r="BR1658" s="243"/>
      <c r="BS1658" s="243"/>
    </row>
    <row r="1659" spans="1:71" s="169" customFormat="1" ht="41.25" customHeight="1">
      <c r="A1659" s="178" t="s">
        <v>119</v>
      </c>
      <c r="B1659" s="75" t="str">
        <f ca="1">+UPPER(Tabla1321124[[#This Row],[DESCRIPCIÓN DE LA COMPRA O CONTRATACIÓN]])</f>
        <v>ARTICULOS PARA DECORACION NAVIDEÑA</v>
      </c>
      <c r="C1659" s="39" t="s">
        <v>17</v>
      </c>
      <c r="D1659" s="236">
        <v>1</v>
      </c>
      <c r="E1659" s="236"/>
      <c r="F1659" s="236"/>
      <c r="G1659" s="236"/>
      <c r="H1659" s="240">
        <f>SUM(Tabla1321124[[#This Row],[PRIMER TRIMESTRE]:[CUARTO TRIMESTRE]])</f>
        <v>1</v>
      </c>
      <c r="I1659" s="17">
        <f>2160.9+22288+501.5+6355.8+18041.9+5084.64+8389.8+3050.76+2466.06+1983.5+6203.28</f>
        <v>76526.14</v>
      </c>
      <c r="J1659" s="17">
        <f>+Tabla1321124[[#This Row],[CANTIDAD TOTAL]]*Tabla1321124[[#This Row],[PRECIO UNITARIO ESTIMADO]]</f>
        <v>76526.14</v>
      </c>
      <c r="K1659" s="17"/>
      <c r="L1659" s="16" t="s">
        <v>15</v>
      </c>
      <c r="M1659" s="16" t="s">
        <v>22</v>
      </c>
      <c r="N1659" s="16" t="s">
        <v>418</v>
      </c>
      <c r="O1659" s="243"/>
      <c r="P1659" s="243"/>
      <c r="Q1659" s="243"/>
      <c r="R1659" s="243"/>
      <c r="S1659" s="243"/>
      <c r="T1659" s="243"/>
      <c r="U1659" s="243"/>
      <c r="V1659" s="243"/>
      <c r="W1659" s="243"/>
      <c r="X1659" s="243"/>
      <c r="Y1659" s="243"/>
      <c r="Z1659" s="243"/>
      <c r="AA1659" s="243"/>
      <c r="AB1659" s="243"/>
      <c r="AC1659" s="243"/>
      <c r="AD1659" s="243"/>
      <c r="AE1659" s="243"/>
      <c r="AF1659" s="243"/>
      <c r="AG1659" s="243"/>
      <c r="AH1659" s="243"/>
      <c r="AI1659" s="243"/>
      <c r="AJ1659" s="243"/>
      <c r="AK1659" s="243"/>
      <c r="AL1659" s="243"/>
      <c r="AM1659" s="243"/>
      <c r="AN1659" s="243"/>
      <c r="AO1659" s="243"/>
      <c r="AP1659" s="243"/>
      <c r="AQ1659" s="243"/>
      <c r="AR1659" s="243"/>
      <c r="AS1659" s="243"/>
      <c r="AT1659" s="243"/>
      <c r="AU1659" s="243"/>
      <c r="AV1659" s="243"/>
      <c r="AW1659" s="243"/>
      <c r="AX1659" s="243"/>
      <c r="AY1659" s="243"/>
      <c r="AZ1659" s="243"/>
      <c r="BA1659" s="243"/>
      <c r="BB1659" s="243"/>
      <c r="BC1659" s="243"/>
      <c r="BD1659" s="243"/>
      <c r="BE1659" s="243"/>
      <c r="BF1659" s="243"/>
      <c r="BG1659" s="243"/>
      <c r="BH1659" s="243"/>
      <c r="BI1659" s="243"/>
      <c r="BJ1659" s="243"/>
      <c r="BK1659" s="243"/>
      <c r="BL1659" s="243"/>
      <c r="BM1659" s="243"/>
      <c r="BN1659" s="243"/>
      <c r="BO1659" s="243"/>
      <c r="BP1659" s="243"/>
      <c r="BQ1659" s="243"/>
      <c r="BR1659" s="243"/>
      <c r="BS1659" s="243"/>
    </row>
    <row r="1660" spans="1:71" s="12" customFormat="1" ht="41.25" customHeight="1">
      <c r="A1660" s="178" t="s">
        <v>119</v>
      </c>
      <c r="B1660" s="75" t="str">
        <f ca="1">+UPPER(Tabla1321124[[#This Row],[DESCRIPCIÓN DE LA COMPRA O CONTRATACIÓN]])</f>
        <v>ESPIRALES  DE TODOS LOS TAMAÑOS</v>
      </c>
      <c r="C1660" s="39" t="s">
        <v>17</v>
      </c>
      <c r="D1660" s="236">
        <v>25</v>
      </c>
      <c r="E1660" s="236">
        <v>25</v>
      </c>
      <c r="F1660" s="236">
        <v>25</v>
      </c>
      <c r="G1660" s="236">
        <v>25</v>
      </c>
      <c r="H1660" s="240">
        <f>SUM(Tabla1321124[[#This Row],[PRIMER TRIMESTRE]:[CUARTO TRIMESTRE]])</f>
        <v>100</v>
      </c>
      <c r="I1660" s="17">
        <v>26.45</v>
      </c>
      <c r="J1660" s="17">
        <f>+Tabla1321124[[#This Row],[CANTIDAD TOTAL]]*Tabla1321124[[#This Row],[PRECIO UNITARIO ESTIMADO]]</f>
        <v>2645</v>
      </c>
      <c r="K1660" s="17"/>
      <c r="L1660" s="16" t="s">
        <v>15</v>
      </c>
      <c r="M1660" s="16" t="s">
        <v>22</v>
      </c>
      <c r="N1660" s="16" t="s">
        <v>418</v>
      </c>
      <c r="O1660" s="243"/>
      <c r="P1660" s="243"/>
      <c r="Q1660" s="243"/>
      <c r="R1660" s="243"/>
      <c r="S1660" s="243"/>
      <c r="T1660" s="243"/>
      <c r="U1660" s="243"/>
      <c r="V1660" s="243"/>
      <c r="W1660" s="243"/>
      <c r="X1660" s="243"/>
      <c r="Y1660" s="243"/>
      <c r="Z1660" s="243"/>
      <c r="AA1660" s="243"/>
      <c r="AB1660" s="243"/>
      <c r="AC1660" s="243"/>
      <c r="AD1660" s="243"/>
      <c r="AE1660" s="243"/>
      <c r="AF1660" s="243"/>
      <c r="AG1660" s="243"/>
      <c r="AH1660" s="243"/>
      <c r="AI1660" s="243"/>
      <c r="AJ1660" s="243"/>
      <c r="AK1660" s="243"/>
      <c r="AL1660" s="243"/>
      <c r="AM1660" s="243"/>
      <c r="AN1660" s="243"/>
      <c r="AO1660" s="243"/>
      <c r="AP1660" s="243"/>
      <c r="AQ1660" s="243"/>
      <c r="AR1660" s="243"/>
      <c r="AS1660" s="243"/>
      <c r="AT1660" s="243"/>
      <c r="AU1660" s="243"/>
      <c r="AV1660" s="243"/>
      <c r="AW1660" s="243"/>
      <c r="AX1660" s="243"/>
      <c r="AY1660" s="243"/>
      <c r="AZ1660" s="243"/>
      <c r="BA1660" s="243"/>
      <c r="BB1660" s="243"/>
      <c r="BC1660" s="243"/>
      <c r="BD1660" s="243"/>
      <c r="BE1660" s="243"/>
      <c r="BF1660" s="243"/>
      <c r="BG1660" s="243"/>
      <c r="BH1660" s="243"/>
      <c r="BI1660" s="243"/>
      <c r="BJ1660" s="243"/>
      <c r="BK1660" s="243"/>
      <c r="BL1660" s="243"/>
      <c r="BM1660" s="243"/>
      <c r="BN1660" s="243"/>
      <c r="BO1660" s="243"/>
      <c r="BP1660" s="243"/>
      <c r="BQ1660" s="243"/>
      <c r="BR1660" s="243"/>
      <c r="BS1660" s="243"/>
    </row>
    <row r="1661" spans="1:71" s="169" customFormat="1" ht="41.25" customHeight="1">
      <c r="A1661" s="178" t="s">
        <v>119</v>
      </c>
      <c r="B1661" s="75" t="str">
        <f ca="1">+UPPER(Tabla1321124[[#This Row],[DESCRIPCIÓN DE LA COMPRA O CONTRATACIÓN]])</f>
        <v>ESCRITORIOS STANDAR (CON GAVETAS)</v>
      </c>
      <c r="C1661" s="39" t="s">
        <v>17</v>
      </c>
      <c r="D1661" s="236">
        <v>10</v>
      </c>
      <c r="E1661" s="236">
        <v>5</v>
      </c>
      <c r="F1661" s="236">
        <v>10</v>
      </c>
      <c r="G1661" s="236">
        <v>5</v>
      </c>
      <c r="H1661" s="240">
        <f>SUM(Tabla1321124[[#This Row],[PRIMER TRIMESTRE]:[CUARTO TRIMESTRE]])</f>
        <v>30</v>
      </c>
      <c r="I1661" s="17">
        <v>8000</v>
      </c>
      <c r="J1661" s="17">
        <f>+Tabla1321124[[#This Row],[CANTIDAD TOTAL]]*Tabla1321124[[#This Row],[PRECIO UNITARIO ESTIMADO]]</f>
        <v>240000</v>
      </c>
      <c r="K1661" s="17"/>
      <c r="L1661" s="16" t="s">
        <v>15</v>
      </c>
      <c r="M1661" s="16" t="s">
        <v>22</v>
      </c>
      <c r="N1661" s="16" t="s">
        <v>418</v>
      </c>
      <c r="O1661" s="243"/>
      <c r="P1661" s="243"/>
      <c r="Q1661" s="243"/>
      <c r="R1661" s="243"/>
      <c r="S1661" s="243"/>
      <c r="T1661" s="243"/>
      <c r="U1661" s="243"/>
      <c r="V1661" s="243"/>
      <c r="W1661" s="243"/>
      <c r="X1661" s="243"/>
      <c r="Y1661" s="243"/>
      <c r="Z1661" s="243"/>
      <c r="AA1661" s="243"/>
      <c r="AB1661" s="243"/>
      <c r="AC1661" s="243"/>
      <c r="AD1661" s="243"/>
      <c r="AE1661" s="243"/>
      <c r="AF1661" s="243"/>
      <c r="AG1661" s="243"/>
      <c r="AH1661" s="243"/>
      <c r="AI1661" s="243"/>
      <c r="AJ1661" s="243"/>
      <c r="AK1661" s="243"/>
      <c r="AL1661" s="243"/>
      <c r="AM1661" s="243"/>
      <c r="AN1661" s="243"/>
      <c r="AO1661" s="243"/>
      <c r="AP1661" s="243"/>
      <c r="AQ1661" s="243"/>
      <c r="AR1661" s="243"/>
      <c r="AS1661" s="243"/>
      <c r="AT1661" s="243"/>
      <c r="AU1661" s="243"/>
      <c r="AV1661" s="243"/>
      <c r="AW1661" s="243"/>
      <c r="AX1661" s="243"/>
      <c r="AY1661" s="243"/>
      <c r="AZ1661" s="243"/>
      <c r="BA1661" s="243"/>
      <c r="BB1661" s="243"/>
      <c r="BC1661" s="243"/>
      <c r="BD1661" s="243"/>
      <c r="BE1661" s="243"/>
      <c r="BF1661" s="243"/>
      <c r="BG1661" s="243"/>
      <c r="BH1661" s="243"/>
      <c r="BI1661" s="243"/>
      <c r="BJ1661" s="243"/>
      <c r="BK1661" s="243"/>
      <c r="BL1661" s="243"/>
      <c r="BM1661" s="243"/>
      <c r="BN1661" s="243"/>
      <c r="BO1661" s="243"/>
      <c r="BP1661" s="243"/>
      <c r="BQ1661" s="243"/>
      <c r="BR1661" s="243"/>
      <c r="BS1661" s="243"/>
    </row>
    <row r="1662" spans="1:71" s="169" customFormat="1" ht="41.25" customHeight="1">
      <c r="A1662" s="178" t="s">
        <v>119</v>
      </c>
      <c r="B1662" s="75" t="str">
        <f ca="1">+UPPER(Tabla1321124[[#This Row],[DESCRIPCIÓN DE LA COMPRA O CONTRATACIÓN]])</f>
        <v>ESCRITORIO PEQUEÑO CON TOPE DE CRISTAL</v>
      </c>
      <c r="C1662" s="39" t="s">
        <v>17</v>
      </c>
      <c r="D1662" s="236">
        <v>2</v>
      </c>
      <c r="E1662" s="236"/>
      <c r="F1662" s="236"/>
      <c r="G1662" s="236"/>
      <c r="H1662" s="240">
        <f>Tabla1321124[[#This Row],[CUARTO TRIMESTRE]]+Tabla1321124[[#This Row],[TERCER TRIMESTRE]]+Tabla1321124[[#This Row],[SEGUNDO TRIMESTRE]]+Tabla1321124[[#This Row],[PRIMER TRIMESTRE]]</f>
        <v>2</v>
      </c>
      <c r="I1662" s="17">
        <v>7800</v>
      </c>
      <c r="J1662" s="17">
        <f>+Tabla1321124[[#This Row],[CANTIDAD TOTAL]]*Tabla1321124[[#This Row],[PRECIO UNITARIO ESTIMADO]]</f>
        <v>15600</v>
      </c>
      <c r="K1662" s="345"/>
      <c r="L1662" s="16" t="s">
        <v>15</v>
      </c>
      <c r="M1662" s="16" t="s">
        <v>22</v>
      </c>
      <c r="N1662" s="16" t="s">
        <v>418</v>
      </c>
      <c r="O1662" s="243"/>
      <c r="P1662" s="243"/>
      <c r="Q1662" s="243"/>
      <c r="R1662" s="243"/>
      <c r="S1662" s="243"/>
      <c r="T1662" s="243"/>
      <c r="U1662" s="243"/>
      <c r="V1662" s="243"/>
      <c r="W1662" s="243"/>
      <c r="X1662" s="243"/>
      <c r="Y1662" s="243"/>
      <c r="Z1662" s="243"/>
      <c r="AA1662" s="243"/>
      <c r="AB1662" s="243"/>
      <c r="AC1662" s="243"/>
      <c r="AD1662" s="243"/>
      <c r="AE1662" s="243"/>
      <c r="AF1662" s="243"/>
      <c r="AG1662" s="243"/>
      <c r="AH1662" s="243"/>
      <c r="AI1662" s="243"/>
      <c r="AJ1662" s="243"/>
      <c r="AK1662" s="243"/>
      <c r="AL1662" s="243"/>
      <c r="AM1662" s="243"/>
      <c r="AN1662" s="243"/>
      <c r="AO1662" s="243"/>
      <c r="AP1662" s="243"/>
      <c r="AQ1662" s="243"/>
      <c r="AR1662" s="243"/>
      <c r="AS1662" s="243"/>
      <c r="AT1662" s="243"/>
      <c r="AU1662" s="243"/>
      <c r="AV1662" s="243"/>
      <c r="AW1662" s="243"/>
      <c r="AX1662" s="243"/>
      <c r="AY1662" s="243"/>
      <c r="AZ1662" s="243"/>
      <c r="BA1662" s="243"/>
      <c r="BB1662" s="243"/>
      <c r="BC1662" s="243"/>
      <c r="BD1662" s="243"/>
      <c r="BE1662" s="243"/>
      <c r="BF1662" s="243"/>
      <c r="BG1662" s="243"/>
      <c r="BH1662" s="243"/>
      <c r="BI1662" s="243"/>
      <c r="BJ1662" s="243"/>
      <c r="BK1662" s="243"/>
      <c r="BL1662" s="243"/>
      <c r="BM1662" s="243"/>
      <c r="BN1662" s="243"/>
      <c r="BO1662" s="243"/>
      <c r="BP1662" s="243"/>
      <c r="BQ1662" s="243"/>
      <c r="BR1662" s="243"/>
      <c r="BS1662" s="243"/>
    </row>
    <row r="1663" spans="1:71" s="169" customFormat="1" ht="41.25" customHeight="1">
      <c r="A1663" s="178" t="s">
        <v>119</v>
      </c>
      <c r="B1663" s="75" t="str">
        <f ca="1">+UPPER(Tabla1321124[[#This Row],[DESCRIPCIÓN DE LA COMPRA O CONTRATACIÓN]])</f>
        <v>ESCRITORIOS EJECUTIVOS</v>
      </c>
      <c r="C1663" s="39" t="s">
        <v>17</v>
      </c>
      <c r="D1663" s="236">
        <f>2+2+2</f>
        <v>6</v>
      </c>
      <c r="E1663" s="236"/>
      <c r="F1663" s="236"/>
      <c r="G1663" s="236"/>
      <c r="H1663" s="240">
        <f>SUM(Tabla1321124[[#This Row],[PRIMER TRIMESTRE]:[CUARTO TRIMESTRE]])</f>
        <v>6</v>
      </c>
      <c r="I1663" s="17">
        <v>12500</v>
      </c>
      <c r="J1663" s="17">
        <f>+Tabla1321124[[#This Row],[CANTIDAD TOTAL]]*Tabla1321124[[#This Row],[PRECIO UNITARIO ESTIMADO]]</f>
        <v>75000</v>
      </c>
      <c r="K1663" s="17"/>
      <c r="L1663" s="16" t="s">
        <v>15</v>
      </c>
      <c r="M1663" s="16" t="s">
        <v>22</v>
      </c>
      <c r="N1663" s="16" t="s">
        <v>418</v>
      </c>
      <c r="O1663" s="243"/>
      <c r="P1663" s="243"/>
      <c r="Q1663" s="243"/>
      <c r="R1663" s="243"/>
      <c r="S1663" s="243"/>
      <c r="T1663" s="243"/>
      <c r="U1663" s="243"/>
      <c r="V1663" s="243"/>
      <c r="W1663" s="243"/>
      <c r="X1663" s="243"/>
      <c r="Y1663" s="243"/>
      <c r="Z1663" s="243"/>
      <c r="AA1663" s="243"/>
      <c r="AB1663" s="243"/>
      <c r="AC1663" s="243"/>
      <c r="AD1663" s="243"/>
      <c r="AE1663" s="243"/>
      <c r="AF1663" s="243"/>
      <c r="AG1663" s="243"/>
      <c r="AH1663" s="243"/>
      <c r="AI1663" s="243"/>
      <c r="AJ1663" s="243"/>
      <c r="AK1663" s="243"/>
      <c r="AL1663" s="243"/>
      <c r="AM1663" s="243"/>
      <c r="AN1663" s="243"/>
      <c r="AO1663" s="243"/>
      <c r="AP1663" s="243"/>
      <c r="AQ1663" s="243"/>
      <c r="AR1663" s="243"/>
      <c r="AS1663" s="243"/>
      <c r="AT1663" s="243"/>
      <c r="AU1663" s="243"/>
      <c r="AV1663" s="243"/>
      <c r="AW1663" s="243"/>
      <c r="AX1663" s="243"/>
      <c r="AY1663" s="243"/>
      <c r="AZ1663" s="243"/>
      <c r="BA1663" s="243"/>
      <c r="BB1663" s="243"/>
      <c r="BC1663" s="243"/>
      <c r="BD1663" s="243"/>
      <c r="BE1663" s="243"/>
      <c r="BF1663" s="243"/>
      <c r="BG1663" s="243"/>
      <c r="BH1663" s="243"/>
      <c r="BI1663" s="243"/>
      <c r="BJ1663" s="243"/>
      <c r="BK1663" s="243"/>
      <c r="BL1663" s="243"/>
      <c r="BM1663" s="243"/>
      <c r="BN1663" s="243"/>
      <c r="BO1663" s="243"/>
      <c r="BP1663" s="243"/>
      <c r="BQ1663" s="243"/>
      <c r="BR1663" s="243"/>
      <c r="BS1663" s="243"/>
    </row>
    <row r="1664" spans="1:71" s="169" customFormat="1" ht="41.25" customHeight="1">
      <c r="A1664" s="178" t="s">
        <v>119</v>
      </c>
      <c r="B1664" s="75" t="str">
        <f ca="1">+UPPER(Tabla1321124[[#This Row],[DESCRIPCIÓN DE LA COMPRA O CONTRATACIÓN]])</f>
        <v>JUEGO DE BANDEJA DE ESCRITORIO</v>
      </c>
      <c r="C1664" s="39" t="s">
        <v>17</v>
      </c>
      <c r="D1664" s="236">
        <v>15</v>
      </c>
      <c r="E1664" s="236">
        <v>15</v>
      </c>
      <c r="F1664" s="236">
        <v>15</v>
      </c>
      <c r="G1664" s="236">
        <v>15</v>
      </c>
      <c r="H1664" s="240">
        <f>SUM(Tabla1321124[[#This Row],[PRIMER TRIMESTRE]:[CUARTO TRIMESTRE]])</f>
        <v>60</v>
      </c>
      <c r="I1664" s="17">
        <v>434.24</v>
      </c>
      <c r="J1664" s="17">
        <f>+Tabla1321124[[#This Row],[CANTIDAD TOTAL]]*Tabla1321124[[#This Row],[PRECIO UNITARIO ESTIMADO]]</f>
        <v>26054.400000000001</v>
      </c>
      <c r="K1664" s="17"/>
      <c r="L1664" s="16" t="s">
        <v>15</v>
      </c>
      <c r="M1664" s="16" t="s">
        <v>22</v>
      </c>
      <c r="N1664" s="16" t="s">
        <v>418</v>
      </c>
      <c r="O1664" s="243"/>
      <c r="P1664" s="243"/>
      <c r="Q1664" s="243"/>
      <c r="R1664" s="243"/>
      <c r="S1664" s="243"/>
      <c r="T1664" s="243"/>
      <c r="U1664" s="243"/>
      <c r="V1664" s="243"/>
      <c r="W1664" s="243"/>
      <c r="X1664" s="243"/>
      <c r="Y1664" s="243"/>
      <c r="Z1664" s="243"/>
      <c r="AA1664" s="243"/>
      <c r="AB1664" s="243"/>
      <c r="AC1664" s="243"/>
      <c r="AD1664" s="243"/>
      <c r="AE1664" s="243"/>
      <c r="AF1664" s="243"/>
      <c r="AG1664" s="243"/>
      <c r="AH1664" s="243"/>
      <c r="AI1664" s="243"/>
      <c r="AJ1664" s="243"/>
      <c r="AK1664" s="243"/>
      <c r="AL1664" s="243"/>
      <c r="AM1664" s="243"/>
      <c r="AN1664" s="243"/>
      <c r="AO1664" s="243"/>
      <c r="AP1664" s="243"/>
      <c r="AQ1664" s="243"/>
      <c r="AR1664" s="243"/>
      <c r="AS1664" s="243"/>
      <c r="AT1664" s="243"/>
      <c r="AU1664" s="243"/>
      <c r="AV1664" s="243"/>
      <c r="AW1664" s="243"/>
      <c r="AX1664" s="243"/>
      <c r="AY1664" s="243"/>
      <c r="AZ1664" s="243"/>
      <c r="BA1664" s="243"/>
      <c r="BB1664" s="243"/>
      <c r="BC1664" s="243"/>
      <c r="BD1664" s="243"/>
      <c r="BE1664" s="243"/>
      <c r="BF1664" s="243"/>
      <c r="BG1664" s="243"/>
      <c r="BH1664" s="243"/>
      <c r="BI1664" s="243"/>
      <c r="BJ1664" s="243"/>
      <c r="BK1664" s="243"/>
      <c r="BL1664" s="243"/>
      <c r="BM1664" s="243"/>
      <c r="BN1664" s="243"/>
      <c r="BO1664" s="243"/>
      <c r="BP1664" s="243"/>
      <c r="BQ1664" s="243"/>
      <c r="BR1664" s="243"/>
      <c r="BS1664" s="243"/>
    </row>
    <row r="1665" spans="1:71" s="169" customFormat="1" ht="41.25" customHeight="1">
      <c r="A1665" s="178" t="s">
        <v>119</v>
      </c>
      <c r="B1665" s="75" t="str">
        <f ca="1">+UPPER(Tabla1321124[[#This Row],[DESCRIPCIÓN DE LA COMPRA O CONTRATACIÓN]])</f>
        <v>SACA PUNTAS ELECTRICOS</v>
      </c>
      <c r="C1665" s="39" t="s">
        <v>17</v>
      </c>
      <c r="D1665" s="236">
        <v>3</v>
      </c>
      <c r="E1665" s="236"/>
      <c r="F1665" s="236">
        <v>3</v>
      </c>
      <c r="G1665" s="236"/>
      <c r="H1665" s="240">
        <f>Tabla1321124[[#This Row],[CUARTO TRIMESTRE]]+Tabla1321124[[#This Row],[TERCER TRIMESTRE]]+Tabla1321124[[#This Row],[SEGUNDO TRIMESTRE]]+Tabla1321124[[#This Row],[PRIMER TRIMESTRE]]</f>
        <v>6</v>
      </c>
      <c r="I1665" s="17">
        <v>950</v>
      </c>
      <c r="J1665" s="17">
        <f>+Tabla1321124[[#This Row],[CANTIDAD TOTAL]]*Tabla1321124[[#This Row],[PRECIO UNITARIO ESTIMADO]]</f>
        <v>5700</v>
      </c>
      <c r="K1665" s="345"/>
      <c r="L1665" s="16" t="s">
        <v>15</v>
      </c>
      <c r="M1665" s="16" t="s">
        <v>22</v>
      </c>
      <c r="N1665" s="16" t="s">
        <v>418</v>
      </c>
      <c r="O1665" s="243"/>
      <c r="P1665" s="243"/>
      <c r="Q1665" s="243"/>
      <c r="R1665" s="243"/>
      <c r="S1665" s="243"/>
      <c r="T1665" s="243"/>
      <c r="U1665" s="243"/>
      <c r="V1665" s="243"/>
      <c r="W1665" s="243"/>
      <c r="X1665" s="243"/>
      <c r="Y1665" s="243"/>
      <c r="Z1665" s="243"/>
      <c r="AA1665" s="243"/>
      <c r="AB1665" s="243"/>
      <c r="AC1665" s="243"/>
      <c r="AD1665" s="243"/>
      <c r="AE1665" s="243"/>
      <c r="AF1665" s="243"/>
      <c r="AG1665" s="243"/>
      <c r="AH1665" s="243"/>
      <c r="AI1665" s="243"/>
      <c r="AJ1665" s="243"/>
      <c r="AK1665" s="243"/>
      <c r="AL1665" s="243"/>
      <c r="AM1665" s="243"/>
      <c r="AN1665" s="243"/>
      <c r="AO1665" s="243"/>
      <c r="AP1665" s="243"/>
      <c r="AQ1665" s="243"/>
      <c r="AR1665" s="243"/>
      <c r="AS1665" s="243"/>
      <c r="AT1665" s="243"/>
      <c r="AU1665" s="243"/>
      <c r="AV1665" s="243"/>
      <c r="AW1665" s="243"/>
      <c r="AX1665" s="243"/>
      <c r="AY1665" s="243"/>
      <c r="AZ1665" s="243"/>
      <c r="BA1665" s="243"/>
      <c r="BB1665" s="243"/>
      <c r="BC1665" s="243"/>
      <c r="BD1665" s="243"/>
      <c r="BE1665" s="243"/>
      <c r="BF1665" s="243"/>
      <c r="BG1665" s="243"/>
      <c r="BH1665" s="243"/>
      <c r="BI1665" s="243"/>
      <c r="BJ1665" s="243"/>
      <c r="BK1665" s="243"/>
      <c r="BL1665" s="243"/>
      <c r="BM1665" s="243"/>
      <c r="BN1665" s="243"/>
      <c r="BO1665" s="243"/>
      <c r="BP1665" s="243"/>
      <c r="BQ1665" s="243"/>
      <c r="BR1665" s="243"/>
      <c r="BS1665" s="243"/>
    </row>
    <row r="1666" spans="1:71" s="55" customFormat="1" ht="41.25" customHeight="1">
      <c r="A1666" s="178" t="s">
        <v>119</v>
      </c>
      <c r="B1666" s="75" t="str">
        <f ca="1">+UPPER(Tabla1321124[[#This Row],[DESCRIPCIÓN DE LA COMPRA O CONTRATACIÓN]])</f>
        <v>PIZARRA ROTAFOLIO</v>
      </c>
      <c r="C1666" s="39" t="s">
        <v>17</v>
      </c>
      <c r="D1666" s="236">
        <v>5</v>
      </c>
      <c r="E1666" s="236">
        <v>5</v>
      </c>
      <c r="F1666" s="236">
        <v>5</v>
      </c>
      <c r="G1666" s="236">
        <v>5</v>
      </c>
      <c r="H1666" s="240">
        <f>SUM(Tabla1321124[[#This Row],[PRIMER TRIMESTRE]:[CUARTO TRIMESTRE]])</f>
        <v>20</v>
      </c>
      <c r="I1666" s="17">
        <f>3536.75/2</f>
        <v>1768.375</v>
      </c>
      <c r="J1666" s="17">
        <f>+Tabla1321124[[#This Row],[CANTIDAD TOTAL]]*Tabla1321124[[#This Row],[PRECIO UNITARIO ESTIMADO]]</f>
        <v>35367.5</v>
      </c>
      <c r="K1666" s="17"/>
      <c r="L1666" s="16" t="s">
        <v>15</v>
      </c>
      <c r="M1666" s="16" t="s">
        <v>22</v>
      </c>
      <c r="N1666" s="16" t="s">
        <v>418</v>
      </c>
      <c r="O1666" s="395"/>
      <c r="P1666" s="395"/>
      <c r="Q1666" s="395"/>
      <c r="R1666" s="395"/>
      <c r="S1666" s="395"/>
      <c r="T1666" s="395"/>
      <c r="U1666" s="395"/>
      <c r="V1666" s="395"/>
      <c r="W1666" s="395"/>
      <c r="X1666" s="395"/>
      <c r="Y1666" s="395"/>
      <c r="Z1666" s="395"/>
      <c r="AA1666" s="395"/>
      <c r="AB1666" s="395"/>
      <c r="AC1666" s="395"/>
      <c r="AD1666" s="395"/>
      <c r="AE1666" s="395"/>
      <c r="AF1666" s="395"/>
      <c r="AG1666" s="395"/>
      <c r="AH1666" s="395"/>
      <c r="AI1666" s="395"/>
      <c r="AJ1666" s="395"/>
      <c r="AK1666" s="395"/>
      <c r="AL1666" s="395"/>
      <c r="AM1666" s="395"/>
      <c r="AN1666" s="395"/>
      <c r="AO1666" s="395"/>
      <c r="AP1666" s="395"/>
      <c r="AQ1666" s="395"/>
      <c r="AR1666" s="395"/>
      <c r="AS1666" s="395"/>
      <c r="AT1666" s="395"/>
      <c r="AU1666" s="395"/>
      <c r="AV1666" s="395"/>
      <c r="AW1666" s="395"/>
      <c r="AX1666" s="395"/>
      <c r="AY1666" s="395"/>
      <c r="AZ1666" s="395"/>
      <c r="BA1666" s="395"/>
      <c r="BB1666" s="395"/>
      <c r="BC1666" s="395"/>
      <c r="BD1666" s="395"/>
      <c r="BE1666" s="395"/>
      <c r="BF1666" s="395"/>
      <c r="BG1666" s="395"/>
      <c r="BH1666" s="395"/>
      <c r="BI1666" s="395"/>
      <c r="BJ1666" s="395"/>
      <c r="BK1666" s="395"/>
      <c r="BL1666" s="395"/>
      <c r="BM1666" s="395"/>
      <c r="BN1666" s="395"/>
      <c r="BO1666" s="395"/>
      <c r="BP1666" s="395"/>
      <c r="BQ1666" s="395"/>
      <c r="BR1666" s="395"/>
      <c r="BS1666" s="395"/>
    </row>
    <row r="1667" spans="1:71" s="55" customFormat="1" ht="41.25" customHeight="1">
      <c r="A1667" s="178" t="s">
        <v>119</v>
      </c>
      <c r="B1667" s="75" t="str">
        <f ca="1">+UPPER(Tabla1321124[[#This Row],[DESCRIPCIÓN DE LA COMPRA O CONTRATACIÓN]])</f>
        <v>RELOJ DE PARED</v>
      </c>
      <c r="C1667" s="39" t="s">
        <v>17</v>
      </c>
      <c r="D1667" s="236">
        <v>5</v>
      </c>
      <c r="E1667" s="236">
        <v>5</v>
      </c>
      <c r="F1667" s="236">
        <v>5</v>
      </c>
      <c r="G1667" s="236">
        <v>5</v>
      </c>
      <c r="H1667" s="240">
        <f>SUM(Tabla1321124[[#This Row],[PRIMER TRIMESTRE]:[CUARTO TRIMESTRE]])</f>
        <v>20</v>
      </c>
      <c r="I1667" s="17">
        <v>522</v>
      </c>
      <c r="J1667" s="17">
        <f>+Tabla1321124[[#This Row],[CANTIDAD TOTAL]]*Tabla1321124[[#This Row],[PRECIO UNITARIO ESTIMADO]]</f>
        <v>10440</v>
      </c>
      <c r="K1667" s="386">
        <f>SUM(J1659:J1667)</f>
        <v>487333.04000000004</v>
      </c>
      <c r="L1667" s="16" t="s">
        <v>15</v>
      </c>
      <c r="M1667" s="16" t="s">
        <v>22</v>
      </c>
      <c r="N1667" s="16" t="s">
        <v>418</v>
      </c>
      <c r="O1667" s="395"/>
      <c r="P1667" s="395"/>
      <c r="Q1667" s="395"/>
      <c r="R1667" s="395"/>
      <c r="S1667" s="395"/>
      <c r="T1667" s="395"/>
      <c r="U1667" s="395"/>
      <c r="V1667" s="395"/>
      <c r="W1667" s="395"/>
      <c r="X1667" s="395"/>
      <c r="Y1667" s="395"/>
      <c r="Z1667" s="395"/>
      <c r="AA1667" s="395"/>
      <c r="AB1667" s="395"/>
      <c r="AC1667" s="395"/>
      <c r="AD1667" s="395"/>
      <c r="AE1667" s="395"/>
      <c r="AF1667" s="395"/>
      <c r="AG1667" s="395"/>
      <c r="AH1667" s="395"/>
      <c r="AI1667" s="395"/>
      <c r="AJ1667" s="395"/>
      <c r="AK1667" s="395"/>
      <c r="AL1667" s="395"/>
      <c r="AM1667" s="395"/>
      <c r="AN1667" s="395"/>
      <c r="AO1667" s="395"/>
      <c r="AP1667" s="395"/>
      <c r="AQ1667" s="395"/>
      <c r="AR1667" s="395"/>
      <c r="AS1667" s="395"/>
      <c r="AT1667" s="395"/>
      <c r="AU1667" s="395"/>
      <c r="AV1667" s="395"/>
      <c r="AW1667" s="395"/>
      <c r="AX1667" s="395"/>
      <c r="AY1667" s="395"/>
      <c r="AZ1667" s="395"/>
      <c r="BA1667" s="395"/>
      <c r="BB1667" s="395"/>
      <c r="BC1667" s="395"/>
      <c r="BD1667" s="395"/>
      <c r="BE1667" s="395"/>
      <c r="BF1667" s="395"/>
      <c r="BG1667" s="395"/>
      <c r="BH1667" s="395"/>
      <c r="BI1667" s="395"/>
      <c r="BJ1667" s="395"/>
      <c r="BK1667" s="395"/>
      <c r="BL1667" s="395"/>
      <c r="BM1667" s="395"/>
      <c r="BN1667" s="395"/>
      <c r="BO1667" s="395"/>
      <c r="BP1667" s="395"/>
      <c r="BQ1667" s="395"/>
      <c r="BR1667" s="395"/>
      <c r="BS1667" s="395"/>
    </row>
    <row r="1668" spans="1:71" s="55" customFormat="1" ht="41.25" customHeight="1">
      <c r="A1668" s="538" t="s">
        <v>119</v>
      </c>
      <c r="B1668" s="76" t="str">
        <f ca="1">+UPPER(Tabla1321124[[#This Row],[DESCRIPCIÓN DE LA COMPRA O CONTRATACIÓN]])</f>
        <v/>
      </c>
      <c r="C1668" s="237"/>
      <c r="D1668" s="237"/>
      <c r="E1668" s="237"/>
      <c r="F1668" s="237"/>
      <c r="G1668" s="237"/>
      <c r="H1668" s="238"/>
      <c r="I1668" s="238"/>
      <c r="J1668" s="383"/>
      <c r="K1668" s="25">
        <f>SUM(J1659:J1667)</f>
        <v>487333.04000000004</v>
      </c>
      <c r="L1668" s="383"/>
      <c r="M1668" s="383"/>
      <c r="N1668" s="383"/>
      <c r="O1668" s="395"/>
      <c r="P1668" s="395"/>
      <c r="Q1668" s="395"/>
      <c r="R1668" s="395"/>
      <c r="S1668" s="395"/>
      <c r="T1668" s="395"/>
      <c r="U1668" s="395"/>
      <c r="V1668" s="395"/>
      <c r="W1668" s="395"/>
      <c r="X1668" s="395"/>
      <c r="Y1668" s="395"/>
      <c r="Z1668" s="395"/>
      <c r="AA1668" s="395"/>
      <c r="AB1668" s="395"/>
      <c r="AC1668" s="395"/>
      <c r="AD1668" s="395"/>
      <c r="AE1668" s="395"/>
      <c r="AF1668" s="395"/>
      <c r="AG1668" s="395"/>
      <c r="AH1668" s="395"/>
      <c r="AI1668" s="395"/>
      <c r="AJ1668" s="395"/>
      <c r="AK1668" s="395"/>
      <c r="AL1668" s="395"/>
      <c r="AM1668" s="395"/>
      <c r="AN1668" s="395"/>
      <c r="AO1668" s="395"/>
      <c r="AP1668" s="395"/>
      <c r="AQ1668" s="395"/>
      <c r="AR1668" s="395"/>
      <c r="AS1668" s="395"/>
      <c r="AT1668" s="395"/>
      <c r="AU1668" s="395"/>
      <c r="AV1668" s="395"/>
      <c r="AW1668" s="395"/>
      <c r="AX1668" s="395"/>
      <c r="AY1668" s="395"/>
      <c r="AZ1668" s="395"/>
      <c r="BA1668" s="395"/>
      <c r="BB1668" s="395"/>
      <c r="BC1668" s="395"/>
      <c r="BD1668" s="395"/>
      <c r="BE1668" s="395"/>
      <c r="BF1668" s="395"/>
      <c r="BG1668" s="395"/>
      <c r="BH1668" s="395"/>
      <c r="BI1668" s="395"/>
      <c r="BJ1668" s="395"/>
      <c r="BK1668" s="395"/>
      <c r="BL1668" s="395"/>
      <c r="BM1668" s="395"/>
      <c r="BN1668" s="395"/>
      <c r="BO1668" s="395"/>
      <c r="BP1668" s="395"/>
      <c r="BQ1668" s="395"/>
      <c r="BR1668" s="395"/>
      <c r="BS1668" s="395"/>
    </row>
    <row r="1669" spans="1:71" s="12" customFormat="1" ht="41.25" customHeight="1">
      <c r="A1669" s="178" t="s">
        <v>120</v>
      </c>
      <c r="B1669" s="75" t="str">
        <f ca="1">+UPPER(Tabla1321124[[#This Row],[DESCRIPCIÓN DE LA COMPRA O CONTRATACIÓN]])</f>
        <v>BOLIGRAFOS AZULES 0.5 MM CAJAS 12 UDS</v>
      </c>
      <c r="C1669" s="39" t="s">
        <v>208</v>
      </c>
      <c r="D1669" s="236">
        <v>250</v>
      </c>
      <c r="E1669" s="236">
        <v>250</v>
      </c>
      <c r="F1669" s="236">
        <v>250</v>
      </c>
      <c r="G1669" s="236">
        <v>250</v>
      </c>
      <c r="H1669" s="299">
        <f>SUM(Tabla1321124[[#This Row],[PRIMER TRIMESTRE]:[CUARTO TRIMESTRE]])</f>
        <v>1000</v>
      </c>
      <c r="I1669" s="17">
        <v>48.12</v>
      </c>
      <c r="J1669" s="17">
        <f>+H1669*I1669</f>
        <v>48120</v>
      </c>
      <c r="K1669" s="17"/>
      <c r="L1669" s="16" t="s">
        <v>18</v>
      </c>
      <c r="M1669" s="16" t="s">
        <v>22</v>
      </c>
      <c r="N1669" s="16" t="s">
        <v>418</v>
      </c>
      <c r="O1669" s="243"/>
      <c r="P1669" s="243"/>
      <c r="Q1669" s="243"/>
      <c r="R1669" s="243"/>
      <c r="S1669" s="243"/>
      <c r="T1669" s="243"/>
      <c r="U1669" s="243"/>
      <c r="V1669" s="243"/>
      <c r="W1669" s="243"/>
      <c r="X1669" s="243"/>
      <c r="Y1669" s="243"/>
      <c r="Z1669" s="243"/>
      <c r="AA1669" s="243"/>
      <c r="AB1669" s="243"/>
      <c r="AC1669" s="243"/>
      <c r="AD1669" s="243"/>
      <c r="AE1669" s="243"/>
      <c r="AF1669" s="243"/>
      <c r="AG1669" s="243"/>
      <c r="AH1669" s="243"/>
      <c r="AI1669" s="243"/>
      <c r="AJ1669" s="243"/>
      <c r="AK1669" s="243"/>
      <c r="AL1669" s="243"/>
      <c r="AM1669" s="243"/>
      <c r="AN1669" s="243"/>
      <c r="AO1669" s="243"/>
      <c r="AP1669" s="243"/>
      <c r="AQ1669" s="243"/>
      <c r="AR1669" s="243"/>
      <c r="AS1669" s="243"/>
      <c r="AT1669" s="243"/>
      <c r="AU1669" s="243"/>
      <c r="AV1669" s="243"/>
      <c r="AW1669" s="243"/>
      <c r="AX1669" s="243"/>
      <c r="AY1669" s="243"/>
      <c r="AZ1669" s="243"/>
      <c r="BA1669" s="243"/>
      <c r="BB1669" s="243"/>
      <c r="BC1669" s="243"/>
      <c r="BD1669" s="243"/>
      <c r="BE1669" s="243"/>
      <c r="BF1669" s="243"/>
      <c r="BG1669" s="243"/>
      <c r="BH1669" s="243"/>
      <c r="BI1669" s="243"/>
      <c r="BJ1669" s="243"/>
      <c r="BK1669" s="243"/>
      <c r="BL1669" s="243"/>
      <c r="BM1669" s="243"/>
      <c r="BN1669" s="243"/>
      <c r="BO1669" s="243"/>
      <c r="BP1669" s="243"/>
      <c r="BQ1669" s="243"/>
      <c r="BR1669" s="243"/>
      <c r="BS1669" s="243"/>
    </row>
    <row r="1670" spans="1:71" s="12" customFormat="1" ht="41.25" customHeight="1">
      <c r="A1670" s="178" t="s">
        <v>120</v>
      </c>
      <c r="B1670" s="75" t="str">
        <f ca="1">+UPPER(Tabla1321124[[#This Row],[DESCRIPCIÓN DE LA COMPRA O CONTRATACIÓN]])</f>
        <v>BOLIGRAFOS NEGROS 0.5 MM CAJAS DE 12 UDS</v>
      </c>
      <c r="C1670" s="39" t="s">
        <v>208</v>
      </c>
      <c r="D1670" s="236">
        <v>175</v>
      </c>
      <c r="E1670" s="236">
        <v>175</v>
      </c>
      <c r="F1670" s="236">
        <v>175</v>
      </c>
      <c r="G1670" s="236">
        <v>175</v>
      </c>
      <c r="H1670" s="299">
        <f>SUM(Tabla1321124[[#This Row],[PRIMER TRIMESTRE]:[CUARTO TRIMESTRE]])</f>
        <v>700</v>
      </c>
      <c r="I1670" s="17">
        <v>41.28</v>
      </c>
      <c r="J1670" s="17">
        <f t="shared" ref="J1670:J1733" si="27">+H1670*I1670</f>
        <v>28896</v>
      </c>
      <c r="K1670" s="17"/>
      <c r="L1670" s="16" t="s">
        <v>18</v>
      </c>
      <c r="M1670" s="16" t="s">
        <v>22</v>
      </c>
      <c r="N1670" s="16" t="s">
        <v>418</v>
      </c>
      <c r="O1670" s="243"/>
      <c r="P1670" s="243"/>
      <c r="Q1670" s="243"/>
      <c r="R1670" s="243"/>
      <c r="S1670" s="243"/>
      <c r="T1670" s="243"/>
      <c r="U1670" s="243"/>
      <c r="V1670" s="243"/>
      <c r="W1670" s="243"/>
      <c r="X1670" s="243"/>
      <c r="Y1670" s="243"/>
      <c r="Z1670" s="243"/>
      <c r="AA1670" s="243"/>
      <c r="AB1670" s="243"/>
      <c r="AC1670" s="243"/>
      <c r="AD1670" s="243"/>
      <c r="AE1670" s="243"/>
      <c r="AF1670" s="243"/>
      <c r="AG1670" s="243"/>
      <c r="AH1670" s="243"/>
      <c r="AI1670" s="243"/>
      <c r="AJ1670" s="243"/>
      <c r="AK1670" s="243"/>
      <c r="AL1670" s="243"/>
      <c r="AM1670" s="243"/>
      <c r="AN1670" s="243"/>
      <c r="AO1670" s="243"/>
      <c r="AP1670" s="243"/>
      <c r="AQ1670" s="243"/>
      <c r="AR1670" s="243"/>
      <c r="AS1670" s="243"/>
      <c r="AT1670" s="243"/>
      <c r="AU1670" s="243"/>
      <c r="AV1670" s="243"/>
      <c r="AW1670" s="243"/>
      <c r="AX1670" s="243"/>
      <c r="AY1670" s="243"/>
      <c r="AZ1670" s="243"/>
      <c r="BA1670" s="243"/>
      <c r="BB1670" s="243"/>
      <c r="BC1670" s="243"/>
      <c r="BD1670" s="243"/>
      <c r="BE1670" s="243"/>
      <c r="BF1670" s="243"/>
      <c r="BG1670" s="243"/>
      <c r="BH1670" s="243"/>
      <c r="BI1670" s="243"/>
      <c r="BJ1670" s="243"/>
      <c r="BK1670" s="243"/>
      <c r="BL1670" s="243"/>
      <c r="BM1670" s="243"/>
      <c r="BN1670" s="243"/>
      <c r="BO1670" s="243"/>
      <c r="BP1670" s="243"/>
      <c r="BQ1670" s="243"/>
      <c r="BR1670" s="243"/>
      <c r="BS1670" s="243"/>
    </row>
    <row r="1671" spans="1:71" s="12" customFormat="1" ht="41.25" customHeight="1">
      <c r="A1671" s="178" t="s">
        <v>120</v>
      </c>
      <c r="B1671" s="75" t="str">
        <f ca="1">+UPPER(Tabla1321124[[#This Row],[DESCRIPCIÓN DE LA COMPRA O CONTRATACIÓN]])</f>
        <v>BOLIGRAFOS ROJOS 0.5 MM CAJAS DE 12 UDS</v>
      </c>
      <c r="C1671" s="39" t="s">
        <v>208</v>
      </c>
      <c r="D1671" s="236">
        <v>150</v>
      </c>
      <c r="E1671" s="236">
        <v>150</v>
      </c>
      <c r="F1671" s="236">
        <v>150</v>
      </c>
      <c r="G1671" s="236">
        <v>150</v>
      </c>
      <c r="H1671" s="299">
        <f>SUM(Tabla1321124[[#This Row],[PRIMER TRIMESTRE]:[CUARTO TRIMESTRE]])</f>
        <v>600</v>
      </c>
      <c r="I1671" s="17">
        <f>4.42*12</f>
        <v>53.04</v>
      </c>
      <c r="J1671" s="17">
        <f t="shared" si="27"/>
        <v>31824</v>
      </c>
      <c r="K1671" s="17"/>
      <c r="L1671" s="16" t="s">
        <v>18</v>
      </c>
      <c r="M1671" s="16" t="s">
        <v>22</v>
      </c>
      <c r="N1671" s="16" t="s">
        <v>418</v>
      </c>
      <c r="O1671" s="243"/>
      <c r="P1671" s="243"/>
      <c r="Q1671" s="243"/>
      <c r="R1671" s="243"/>
      <c r="S1671" s="243"/>
      <c r="T1671" s="243"/>
      <c r="U1671" s="243"/>
      <c r="V1671" s="243"/>
      <c r="W1671" s="243"/>
      <c r="X1671" s="243"/>
      <c r="Y1671" s="243"/>
      <c r="Z1671" s="243"/>
      <c r="AA1671" s="243"/>
      <c r="AB1671" s="243"/>
      <c r="AC1671" s="243"/>
      <c r="AD1671" s="243"/>
      <c r="AE1671" s="243"/>
      <c r="AF1671" s="243"/>
      <c r="AG1671" s="243"/>
      <c r="AH1671" s="243"/>
      <c r="AI1671" s="243"/>
      <c r="AJ1671" s="243"/>
      <c r="AK1671" s="243"/>
      <c r="AL1671" s="243"/>
      <c r="AM1671" s="243"/>
      <c r="AN1671" s="243"/>
      <c r="AO1671" s="243"/>
      <c r="AP1671" s="243"/>
      <c r="AQ1671" s="243"/>
      <c r="AR1671" s="243"/>
      <c r="AS1671" s="243"/>
      <c r="AT1671" s="243"/>
      <c r="AU1671" s="243"/>
      <c r="AV1671" s="243"/>
      <c r="AW1671" s="243"/>
      <c r="AX1671" s="243"/>
      <c r="AY1671" s="243"/>
      <c r="AZ1671" s="243"/>
      <c r="BA1671" s="243"/>
      <c r="BB1671" s="243"/>
      <c r="BC1671" s="243"/>
      <c r="BD1671" s="243"/>
      <c r="BE1671" s="243"/>
      <c r="BF1671" s="243"/>
      <c r="BG1671" s="243"/>
      <c r="BH1671" s="243"/>
      <c r="BI1671" s="243"/>
      <c r="BJ1671" s="243"/>
      <c r="BK1671" s="243"/>
      <c r="BL1671" s="243"/>
      <c r="BM1671" s="243"/>
      <c r="BN1671" s="243"/>
      <c r="BO1671" s="243"/>
      <c r="BP1671" s="243"/>
      <c r="BQ1671" s="243"/>
      <c r="BR1671" s="243"/>
      <c r="BS1671" s="243"/>
    </row>
    <row r="1672" spans="1:71" s="12" customFormat="1" ht="41.25" customHeight="1">
      <c r="A1672" s="178" t="s">
        <v>120</v>
      </c>
      <c r="B1672" s="75" t="str">
        <f ca="1">+UPPER(Tabla1321124[[#This Row],[DESCRIPCIÓN DE LA COMPRA O CONTRATACIÓN]])</f>
        <v>BANDITA DE GOMA</v>
      </c>
      <c r="C1672" s="39" t="s">
        <v>208</v>
      </c>
      <c r="D1672" s="236">
        <v>150</v>
      </c>
      <c r="E1672" s="236">
        <v>150</v>
      </c>
      <c r="F1672" s="236">
        <v>150</v>
      </c>
      <c r="G1672" s="236">
        <v>150</v>
      </c>
      <c r="H1672" s="299">
        <f>SUM(Tabla1321124[[#This Row],[PRIMER TRIMESTRE]:[CUARTO TRIMESTRE]])</f>
        <v>600</v>
      </c>
      <c r="I1672" s="17">
        <v>22.42</v>
      </c>
      <c r="J1672" s="17">
        <f t="shared" si="27"/>
        <v>13452.000000000002</v>
      </c>
      <c r="K1672" s="17"/>
      <c r="L1672" s="16" t="s">
        <v>18</v>
      </c>
      <c r="M1672" s="16" t="s">
        <v>22</v>
      </c>
      <c r="N1672" s="16" t="s">
        <v>418</v>
      </c>
      <c r="O1672" s="243"/>
      <c r="P1672" s="243"/>
      <c r="Q1672" s="243"/>
      <c r="R1672" s="243"/>
      <c r="S1672" s="243"/>
      <c r="T1672" s="243"/>
      <c r="U1672" s="243"/>
      <c r="V1672" s="243"/>
      <c r="W1672" s="243"/>
      <c r="X1672" s="243"/>
      <c r="Y1672" s="243"/>
      <c r="Z1672" s="243"/>
      <c r="AA1672" s="243"/>
      <c r="AB1672" s="243"/>
      <c r="AC1672" s="243"/>
      <c r="AD1672" s="243"/>
      <c r="AE1672" s="243"/>
      <c r="AF1672" s="243"/>
      <c r="AG1672" s="243"/>
      <c r="AH1672" s="243"/>
      <c r="AI1672" s="243"/>
      <c r="AJ1672" s="243"/>
      <c r="AK1672" s="243"/>
      <c r="AL1672" s="243"/>
      <c r="AM1672" s="243"/>
      <c r="AN1672" s="243"/>
      <c r="AO1672" s="243"/>
      <c r="AP1672" s="243"/>
      <c r="AQ1672" s="243"/>
      <c r="AR1672" s="243"/>
      <c r="AS1672" s="243"/>
      <c r="AT1672" s="243"/>
      <c r="AU1672" s="243"/>
      <c r="AV1672" s="243"/>
      <c r="AW1672" s="243"/>
      <c r="AX1672" s="243"/>
      <c r="AY1672" s="243"/>
      <c r="AZ1672" s="243"/>
      <c r="BA1672" s="243"/>
      <c r="BB1672" s="243"/>
      <c r="BC1672" s="243"/>
      <c r="BD1672" s="243"/>
      <c r="BE1672" s="243"/>
      <c r="BF1672" s="243"/>
      <c r="BG1672" s="243"/>
      <c r="BH1672" s="243"/>
      <c r="BI1672" s="243"/>
      <c r="BJ1672" s="243"/>
      <c r="BK1672" s="243"/>
      <c r="BL1672" s="243"/>
      <c r="BM1672" s="243"/>
      <c r="BN1672" s="243"/>
      <c r="BO1672" s="243"/>
      <c r="BP1672" s="243"/>
      <c r="BQ1672" s="243"/>
      <c r="BR1672" s="243"/>
      <c r="BS1672" s="243"/>
    </row>
    <row r="1673" spans="1:71" s="12" customFormat="1" ht="41.25" customHeight="1">
      <c r="A1673" s="178" t="s">
        <v>120</v>
      </c>
      <c r="B1673" s="75" t="str">
        <f ca="1">+UPPER(Tabla1321124[[#This Row],[DESCRIPCIÓN DE LA COMPRA O CONTRATACIÓN]])</f>
        <v>GANCHO PARA FOLDERS</v>
      </c>
      <c r="C1673" s="39" t="s">
        <v>208</v>
      </c>
      <c r="D1673" s="236">
        <v>150</v>
      </c>
      <c r="E1673" s="236">
        <v>150</v>
      </c>
      <c r="F1673" s="236">
        <v>150</v>
      </c>
      <c r="G1673" s="236">
        <v>150</v>
      </c>
      <c r="H1673" s="299">
        <f>SUM(Tabla1321124[[#This Row],[PRIMER TRIMESTRE]:[CUARTO TRIMESTRE]])</f>
        <v>600</v>
      </c>
      <c r="I1673" s="17">
        <v>52.28</v>
      </c>
      <c r="J1673" s="17">
        <f t="shared" si="27"/>
        <v>31368</v>
      </c>
      <c r="K1673" s="17"/>
      <c r="L1673" s="16" t="s">
        <v>18</v>
      </c>
      <c r="M1673" s="16" t="s">
        <v>22</v>
      </c>
      <c r="N1673" s="16" t="s">
        <v>418</v>
      </c>
      <c r="O1673" s="243"/>
      <c r="P1673" s="243"/>
      <c r="Q1673" s="243"/>
      <c r="R1673" s="243"/>
      <c r="S1673" s="243"/>
      <c r="T1673" s="243"/>
      <c r="U1673" s="243"/>
      <c r="V1673" s="243"/>
      <c r="W1673" s="243"/>
      <c r="X1673" s="243"/>
      <c r="Y1673" s="243"/>
      <c r="Z1673" s="243"/>
      <c r="AA1673" s="243"/>
      <c r="AB1673" s="243"/>
      <c r="AC1673" s="243"/>
      <c r="AD1673" s="243"/>
      <c r="AE1673" s="243"/>
      <c r="AF1673" s="243"/>
      <c r="AG1673" s="243"/>
      <c r="AH1673" s="243"/>
      <c r="AI1673" s="243"/>
      <c r="AJ1673" s="243"/>
      <c r="AK1673" s="243"/>
      <c r="AL1673" s="243"/>
      <c r="AM1673" s="243"/>
      <c r="AN1673" s="243"/>
      <c r="AO1673" s="243"/>
      <c r="AP1673" s="243"/>
      <c r="AQ1673" s="243"/>
      <c r="AR1673" s="243"/>
      <c r="AS1673" s="243"/>
      <c r="AT1673" s="243"/>
      <c r="AU1673" s="243"/>
      <c r="AV1673" s="243"/>
      <c r="AW1673" s="243"/>
      <c r="AX1673" s="243"/>
      <c r="AY1673" s="243"/>
      <c r="AZ1673" s="243"/>
      <c r="BA1673" s="243"/>
      <c r="BB1673" s="243"/>
      <c r="BC1673" s="243"/>
      <c r="BD1673" s="243"/>
      <c r="BE1673" s="243"/>
      <c r="BF1673" s="243"/>
      <c r="BG1673" s="243"/>
      <c r="BH1673" s="243"/>
      <c r="BI1673" s="243"/>
      <c r="BJ1673" s="243"/>
      <c r="BK1673" s="243"/>
      <c r="BL1673" s="243"/>
      <c r="BM1673" s="243"/>
      <c r="BN1673" s="243"/>
      <c r="BO1673" s="243"/>
      <c r="BP1673" s="243"/>
      <c r="BQ1673" s="243"/>
      <c r="BR1673" s="243"/>
      <c r="BS1673" s="243"/>
    </row>
    <row r="1674" spans="1:71" s="12" customFormat="1" ht="41.25" customHeight="1">
      <c r="A1674" s="178" t="s">
        <v>120</v>
      </c>
      <c r="B1674" s="75" t="str">
        <f ca="1">+UPPER(Tabla1321124[[#This Row],[DESCRIPCIÓN DE LA COMPRA O CONTRATACIÓN]])</f>
        <v>GRAPADORAS DE METAL CAPACIDAD 25 HOJAS</v>
      </c>
      <c r="C1674" s="39" t="s">
        <v>17</v>
      </c>
      <c r="D1674" s="236">
        <v>100</v>
      </c>
      <c r="E1674" s="236">
        <v>100</v>
      </c>
      <c r="F1674" s="236">
        <v>100</v>
      </c>
      <c r="G1674" s="236">
        <v>100</v>
      </c>
      <c r="H1674" s="299">
        <f>SUM(Tabla1321124[[#This Row],[PRIMER TRIMESTRE]:[CUARTO TRIMESTRE]])</f>
        <v>400</v>
      </c>
      <c r="I1674" s="17">
        <v>182.9</v>
      </c>
      <c r="J1674" s="17">
        <f t="shared" si="27"/>
        <v>73160</v>
      </c>
      <c r="K1674" s="17"/>
      <c r="L1674" s="16" t="s">
        <v>18</v>
      </c>
      <c r="M1674" s="16" t="s">
        <v>22</v>
      </c>
      <c r="N1674" s="16" t="s">
        <v>418</v>
      </c>
      <c r="O1674" s="243"/>
      <c r="P1674" s="243"/>
      <c r="Q1674" s="243"/>
      <c r="R1674" s="243"/>
      <c r="S1674" s="243"/>
      <c r="T1674" s="243"/>
      <c r="U1674" s="243"/>
      <c r="V1674" s="243"/>
      <c r="W1674" s="243"/>
      <c r="X1674" s="243"/>
      <c r="Y1674" s="243"/>
      <c r="Z1674" s="243"/>
      <c r="AA1674" s="243"/>
      <c r="AB1674" s="243"/>
      <c r="AC1674" s="243"/>
      <c r="AD1674" s="243"/>
      <c r="AE1674" s="243"/>
      <c r="AF1674" s="243"/>
      <c r="AG1674" s="243"/>
      <c r="AH1674" s="243"/>
      <c r="AI1674" s="243"/>
      <c r="AJ1674" s="243"/>
      <c r="AK1674" s="243"/>
      <c r="AL1674" s="243"/>
      <c r="AM1674" s="243"/>
      <c r="AN1674" s="243"/>
      <c r="AO1674" s="243"/>
      <c r="AP1674" s="243"/>
      <c r="AQ1674" s="243"/>
      <c r="AR1674" s="243"/>
      <c r="AS1674" s="243"/>
      <c r="AT1674" s="243"/>
      <c r="AU1674" s="243"/>
      <c r="AV1674" s="243"/>
      <c r="AW1674" s="243"/>
      <c r="AX1674" s="243"/>
      <c r="AY1674" s="243"/>
      <c r="AZ1674" s="243"/>
      <c r="BA1674" s="243"/>
      <c r="BB1674" s="243"/>
      <c r="BC1674" s="243"/>
      <c r="BD1674" s="243"/>
      <c r="BE1674" s="243"/>
      <c r="BF1674" s="243"/>
      <c r="BG1674" s="243"/>
      <c r="BH1674" s="243"/>
      <c r="BI1674" s="243"/>
      <c r="BJ1674" s="243"/>
      <c r="BK1674" s="243"/>
      <c r="BL1674" s="243"/>
      <c r="BM1674" s="243"/>
      <c r="BN1674" s="243"/>
      <c r="BO1674" s="243"/>
      <c r="BP1674" s="243"/>
      <c r="BQ1674" s="243"/>
      <c r="BR1674" s="243"/>
      <c r="BS1674" s="243"/>
    </row>
    <row r="1675" spans="1:71" s="12" customFormat="1" ht="41.25" customHeight="1">
      <c r="A1675" s="178" t="s">
        <v>120</v>
      </c>
      <c r="B1675" s="75" t="str">
        <f ca="1">+UPPER(Tabla1321124[[#This Row],[DESCRIPCIÓN DE LA COMPRA O CONTRATACIÓN]])</f>
        <v>GRAPADORAS DE METAL CAPACIDAD GRANDE</v>
      </c>
      <c r="C1675" s="39" t="s">
        <v>17</v>
      </c>
      <c r="D1675" s="236">
        <v>1</v>
      </c>
      <c r="E1675" s="236"/>
      <c r="F1675" s="236">
        <v>1</v>
      </c>
      <c r="G1675" s="236">
        <v>1</v>
      </c>
      <c r="H1675" s="299">
        <f>SUM(Tabla1321124[[#This Row],[PRIMER TRIMESTRE]:[CUARTO TRIMESTRE]])</f>
        <v>3</v>
      </c>
      <c r="I1675" s="17">
        <v>400</v>
      </c>
      <c r="J1675" s="17">
        <f t="shared" si="27"/>
        <v>1200</v>
      </c>
      <c r="K1675" s="345"/>
      <c r="L1675" s="16" t="s">
        <v>18</v>
      </c>
      <c r="M1675" s="16" t="s">
        <v>22</v>
      </c>
      <c r="N1675" s="16" t="s">
        <v>418</v>
      </c>
      <c r="O1675" s="243"/>
      <c r="P1675" s="243"/>
      <c r="Q1675" s="243"/>
      <c r="R1675" s="243"/>
      <c r="S1675" s="243"/>
      <c r="T1675" s="243"/>
      <c r="U1675" s="243"/>
      <c r="V1675" s="243"/>
      <c r="W1675" s="243"/>
      <c r="X1675" s="243"/>
      <c r="Y1675" s="243"/>
      <c r="Z1675" s="243"/>
      <c r="AA1675" s="243"/>
      <c r="AB1675" s="243"/>
      <c r="AC1675" s="243"/>
      <c r="AD1675" s="243"/>
      <c r="AE1675" s="243"/>
      <c r="AF1675" s="243"/>
      <c r="AG1675" s="243"/>
      <c r="AH1675" s="243"/>
      <c r="AI1675" s="243"/>
      <c r="AJ1675" s="243"/>
      <c r="AK1675" s="243"/>
      <c r="AL1675" s="243"/>
      <c r="AM1675" s="243"/>
      <c r="AN1675" s="243"/>
      <c r="AO1675" s="243"/>
      <c r="AP1675" s="243"/>
      <c r="AQ1675" s="243"/>
      <c r="AR1675" s="243"/>
      <c r="AS1675" s="243"/>
      <c r="AT1675" s="243"/>
      <c r="AU1675" s="243"/>
      <c r="AV1675" s="243"/>
      <c r="AW1675" s="243"/>
      <c r="AX1675" s="243"/>
      <c r="AY1675" s="243"/>
      <c r="AZ1675" s="243"/>
      <c r="BA1675" s="243"/>
      <c r="BB1675" s="243"/>
      <c r="BC1675" s="243"/>
      <c r="BD1675" s="243"/>
      <c r="BE1675" s="243"/>
      <c r="BF1675" s="243"/>
      <c r="BG1675" s="243"/>
      <c r="BH1675" s="243"/>
      <c r="BI1675" s="243"/>
      <c r="BJ1675" s="243"/>
      <c r="BK1675" s="243"/>
      <c r="BL1675" s="243"/>
      <c r="BM1675" s="243"/>
      <c r="BN1675" s="243"/>
      <c r="BO1675" s="243"/>
      <c r="BP1675" s="243"/>
      <c r="BQ1675" s="243"/>
      <c r="BR1675" s="243"/>
      <c r="BS1675" s="243"/>
    </row>
    <row r="1676" spans="1:71" s="64" customFormat="1" ht="41.25" customHeight="1">
      <c r="A1676" s="178" t="s">
        <v>120</v>
      </c>
      <c r="B1676" s="75" t="str">
        <f ca="1">+UPPER(Tabla1321124[[#This Row],[DESCRIPCIÓN DE LA COMPRA O CONTRATACIÓN]])</f>
        <v>TIJERAS DE OFICINA</v>
      </c>
      <c r="C1676" s="39" t="s">
        <v>17</v>
      </c>
      <c r="D1676" s="236">
        <v>150</v>
      </c>
      <c r="E1676" s="236">
        <v>150</v>
      </c>
      <c r="F1676" s="236">
        <v>150</v>
      </c>
      <c r="G1676" s="236">
        <v>150</v>
      </c>
      <c r="H1676" s="299">
        <f>SUM(Tabla1321124[[#This Row],[PRIMER TRIMESTRE]:[CUARTO TRIMESTRE]])</f>
        <v>600</v>
      </c>
      <c r="I1676" s="17">
        <v>29.28</v>
      </c>
      <c r="J1676" s="17">
        <f t="shared" si="27"/>
        <v>17568</v>
      </c>
      <c r="K1676" s="17"/>
      <c r="L1676" s="16" t="s">
        <v>18</v>
      </c>
      <c r="M1676" s="16" t="s">
        <v>22</v>
      </c>
      <c r="N1676" s="16" t="s">
        <v>418</v>
      </c>
      <c r="O1676" s="395"/>
      <c r="P1676" s="395"/>
      <c r="Q1676" s="395"/>
      <c r="R1676" s="395"/>
      <c r="S1676" s="395"/>
      <c r="T1676" s="395"/>
      <c r="U1676" s="395"/>
      <c r="V1676" s="395"/>
      <c r="W1676" s="395"/>
      <c r="X1676" s="395"/>
      <c r="Y1676" s="395"/>
      <c r="Z1676" s="395"/>
      <c r="AA1676" s="395"/>
      <c r="AB1676" s="395"/>
      <c r="AC1676" s="395"/>
      <c r="AD1676" s="395"/>
      <c r="AE1676" s="395"/>
      <c r="AF1676" s="395"/>
      <c r="AG1676" s="395"/>
      <c r="AH1676" s="395"/>
      <c r="AI1676" s="395"/>
      <c r="AJ1676" s="395"/>
      <c r="AK1676" s="395"/>
      <c r="AL1676" s="395"/>
      <c r="AM1676" s="395"/>
      <c r="AN1676" s="395"/>
      <c r="AO1676" s="395"/>
      <c r="AP1676" s="395"/>
      <c r="AQ1676" s="395"/>
      <c r="AR1676" s="395"/>
      <c r="AS1676" s="395"/>
      <c r="AT1676" s="395"/>
      <c r="AU1676" s="395"/>
      <c r="AV1676" s="395"/>
      <c r="AW1676" s="395"/>
      <c r="AX1676" s="395"/>
      <c r="AY1676" s="395"/>
      <c r="AZ1676" s="395"/>
      <c r="BA1676" s="395"/>
      <c r="BB1676" s="395"/>
      <c r="BC1676" s="395"/>
      <c r="BD1676" s="395"/>
      <c r="BE1676" s="395"/>
      <c r="BF1676" s="395"/>
      <c r="BG1676" s="395"/>
      <c r="BH1676" s="395"/>
      <c r="BI1676" s="395"/>
      <c r="BJ1676" s="395"/>
      <c r="BK1676" s="395"/>
      <c r="BL1676" s="395"/>
      <c r="BM1676" s="395"/>
      <c r="BN1676" s="395"/>
      <c r="BO1676" s="395"/>
      <c r="BP1676" s="395"/>
      <c r="BQ1676" s="395"/>
      <c r="BR1676" s="395"/>
      <c r="BS1676" s="395"/>
    </row>
    <row r="1677" spans="1:71" s="34" customFormat="1" ht="41.25" customHeight="1" thickBot="1">
      <c r="A1677" s="180" t="s">
        <v>120</v>
      </c>
      <c r="B1677" s="75" t="str">
        <f ca="1">+UPPER(Tabla1321124[[#This Row],[DESCRIPCIÓN DE LA COMPRA O CONTRATACIÓN]])</f>
        <v>CD REGRABABLES</v>
      </c>
      <c r="C1677" s="39" t="s">
        <v>208</v>
      </c>
      <c r="D1677" s="210">
        <v>52</v>
      </c>
      <c r="E1677" s="210">
        <v>51</v>
      </c>
      <c r="F1677" s="210">
        <v>51</v>
      </c>
      <c r="G1677" s="210">
        <v>51</v>
      </c>
      <c r="H1677" s="299">
        <f>SUM(Tabla1321124[[#This Row],[PRIMER TRIMESTRE]:[CUARTO TRIMESTRE]])</f>
        <v>205</v>
      </c>
      <c r="I1677" s="17">
        <v>232</v>
      </c>
      <c r="J1677" s="17">
        <f t="shared" si="27"/>
        <v>47560</v>
      </c>
      <c r="K1677" s="72"/>
      <c r="L1677" s="16" t="s">
        <v>18</v>
      </c>
      <c r="M1677" s="16" t="s">
        <v>22</v>
      </c>
      <c r="N1677" s="16" t="s">
        <v>418</v>
      </c>
      <c r="O1677" s="396"/>
      <c r="P1677" s="396"/>
      <c r="Q1677" s="396"/>
      <c r="R1677" s="396"/>
      <c r="S1677" s="396"/>
      <c r="T1677" s="396"/>
      <c r="U1677" s="396"/>
      <c r="V1677" s="396"/>
      <c r="W1677" s="396"/>
      <c r="X1677" s="396"/>
      <c r="Y1677" s="396"/>
      <c r="Z1677" s="396"/>
      <c r="AA1677" s="396"/>
      <c r="AB1677" s="396"/>
      <c r="AC1677" s="396"/>
      <c r="AD1677" s="396"/>
      <c r="AE1677" s="396"/>
      <c r="AF1677" s="396"/>
      <c r="AG1677" s="396"/>
      <c r="AH1677" s="396"/>
      <c r="AI1677" s="396"/>
      <c r="AJ1677" s="396"/>
      <c r="AK1677" s="396"/>
      <c r="AL1677" s="396"/>
      <c r="AM1677" s="396"/>
      <c r="AN1677" s="396"/>
      <c r="AO1677" s="396"/>
      <c r="AP1677" s="396"/>
      <c r="AQ1677" s="396"/>
      <c r="AR1677" s="396"/>
      <c r="AS1677" s="396"/>
      <c r="AT1677" s="396"/>
      <c r="AU1677" s="396"/>
      <c r="AV1677" s="396"/>
      <c r="AW1677" s="396"/>
      <c r="AX1677" s="396"/>
      <c r="AY1677" s="396"/>
      <c r="AZ1677" s="396"/>
      <c r="BA1677" s="396"/>
      <c r="BB1677" s="396"/>
      <c r="BC1677" s="396"/>
      <c r="BD1677" s="396"/>
      <c r="BE1677" s="396"/>
      <c r="BF1677" s="396"/>
      <c r="BG1677" s="396"/>
      <c r="BH1677" s="396"/>
      <c r="BI1677" s="396"/>
      <c r="BJ1677" s="396"/>
      <c r="BK1677" s="396"/>
      <c r="BL1677" s="396"/>
      <c r="BM1677" s="396"/>
      <c r="BN1677" s="396"/>
      <c r="BO1677" s="396"/>
      <c r="BP1677" s="396"/>
      <c r="BQ1677" s="396"/>
      <c r="BR1677" s="396"/>
      <c r="BS1677" s="396"/>
    </row>
    <row r="1678" spans="1:71" ht="41.25" customHeight="1">
      <c r="A1678" s="178" t="s">
        <v>120</v>
      </c>
      <c r="B1678" s="75" t="str">
        <f ca="1">+UPPER(Tabla1321124[[#This Row],[DESCRIPCIÓN DE LA COMPRA O CONTRATACIÓN]])</f>
        <v>CD EN BLANCO</v>
      </c>
      <c r="C1678" s="39" t="s">
        <v>417</v>
      </c>
      <c r="D1678" s="236">
        <v>250</v>
      </c>
      <c r="E1678" s="236">
        <v>250</v>
      </c>
      <c r="F1678" s="236">
        <v>250</v>
      </c>
      <c r="G1678" s="236">
        <v>250</v>
      </c>
      <c r="H1678" s="299">
        <f>SUM(Tabla1321124[[#This Row],[PRIMER TRIMESTRE]:[CUARTO TRIMESTRE]])</f>
        <v>1000</v>
      </c>
      <c r="I1678" s="17">
        <v>13.57</v>
      </c>
      <c r="J1678" s="17">
        <f t="shared" si="27"/>
        <v>13570</v>
      </c>
      <c r="K1678" s="17"/>
      <c r="L1678" s="16" t="s">
        <v>18</v>
      </c>
      <c r="M1678" s="16" t="s">
        <v>22</v>
      </c>
      <c r="N1678" s="16" t="s">
        <v>418</v>
      </c>
    </row>
    <row r="1679" spans="1:71" s="339" customFormat="1" ht="41.25" customHeight="1">
      <c r="A1679" s="180" t="s">
        <v>120</v>
      </c>
      <c r="B1679" s="75" t="str">
        <f ca="1">+UPPER(Tabla1321124[[#This Row],[DESCRIPCIÓN DE LA COMPRA O CONTRATACIÓN]])</f>
        <v>DVD REGRABABLES</v>
      </c>
      <c r="C1679" s="39" t="s">
        <v>208</v>
      </c>
      <c r="D1679" s="210">
        <v>200</v>
      </c>
      <c r="E1679" s="210">
        <v>200</v>
      </c>
      <c r="F1679" s="210">
        <v>200</v>
      </c>
      <c r="G1679" s="210">
        <v>200</v>
      </c>
      <c r="H1679" s="299">
        <f>SUM(Tabla1321124[[#This Row],[PRIMER TRIMESTRE]:[CUARTO TRIMESTRE]])</f>
        <v>800</v>
      </c>
      <c r="I1679" s="17">
        <v>5341.57</v>
      </c>
      <c r="J1679" s="17">
        <f t="shared" si="27"/>
        <v>4273256</v>
      </c>
      <c r="K1679" s="72"/>
      <c r="L1679" s="16" t="s">
        <v>18</v>
      </c>
      <c r="M1679" s="16" t="s">
        <v>22</v>
      </c>
      <c r="N1679" s="16" t="s">
        <v>418</v>
      </c>
      <c r="O1679" s="392"/>
      <c r="P1679" s="392"/>
      <c r="Q1679" s="392"/>
      <c r="R1679" s="392"/>
      <c r="S1679" s="392"/>
      <c r="T1679" s="392"/>
      <c r="U1679" s="392"/>
      <c r="V1679" s="392"/>
      <c r="W1679" s="392"/>
      <c r="X1679" s="392"/>
      <c r="Y1679" s="392"/>
      <c r="Z1679" s="392"/>
      <c r="AA1679" s="392"/>
      <c r="AB1679" s="392"/>
      <c r="AC1679" s="392"/>
      <c r="AD1679" s="392"/>
      <c r="AE1679" s="392"/>
      <c r="AF1679" s="392"/>
      <c r="AG1679" s="392"/>
      <c r="AH1679" s="392"/>
      <c r="AI1679" s="392"/>
      <c r="AJ1679" s="392"/>
      <c r="AK1679" s="392"/>
      <c r="AL1679" s="392"/>
      <c r="AM1679" s="392"/>
      <c r="AN1679" s="392"/>
      <c r="AO1679" s="392"/>
      <c r="AP1679" s="392"/>
      <c r="AQ1679" s="392"/>
      <c r="AR1679" s="392"/>
      <c r="AS1679" s="392"/>
      <c r="AT1679" s="392"/>
      <c r="AU1679" s="392"/>
      <c r="AV1679" s="392"/>
      <c r="AW1679" s="392"/>
      <c r="AX1679" s="392"/>
      <c r="AY1679" s="392"/>
      <c r="AZ1679" s="392"/>
      <c r="BA1679" s="392"/>
      <c r="BB1679" s="392"/>
      <c r="BC1679" s="392"/>
      <c r="BD1679" s="392"/>
      <c r="BE1679" s="392"/>
      <c r="BF1679" s="392"/>
      <c r="BG1679" s="392"/>
      <c r="BH1679" s="392"/>
      <c r="BI1679" s="392"/>
      <c r="BJ1679" s="392"/>
      <c r="BK1679" s="392"/>
      <c r="BL1679" s="392"/>
      <c r="BM1679" s="392"/>
      <c r="BN1679" s="392"/>
      <c r="BO1679" s="392"/>
      <c r="BP1679" s="392"/>
      <c r="BQ1679" s="392"/>
      <c r="BR1679" s="392"/>
      <c r="BS1679" s="392"/>
    </row>
    <row r="1680" spans="1:71" s="339" customFormat="1" ht="41.25" customHeight="1">
      <c r="A1680" s="178" t="s">
        <v>120</v>
      </c>
      <c r="B1680" s="75" t="str">
        <f ca="1">+UPPER(Tabla1321124[[#This Row],[DESCRIPCIÓN DE LA COMPRA O CONTRATACIÓN]])</f>
        <v>CARPETAS DE 4"</v>
      </c>
      <c r="C1680" s="39" t="s">
        <v>17</v>
      </c>
      <c r="D1680" s="236">
        <v>150</v>
      </c>
      <c r="E1680" s="236">
        <v>150</v>
      </c>
      <c r="F1680" s="236">
        <v>150</v>
      </c>
      <c r="G1680" s="236">
        <v>150</v>
      </c>
      <c r="H1680" s="299">
        <f>SUM(Tabla1321124[[#This Row],[PRIMER TRIMESTRE]:[CUARTO TRIMESTRE]])</f>
        <v>600</v>
      </c>
      <c r="I1680" s="17">
        <v>463.74</v>
      </c>
      <c r="J1680" s="17">
        <f t="shared" si="27"/>
        <v>278244</v>
      </c>
      <c r="K1680" s="17"/>
      <c r="L1680" s="16" t="s">
        <v>18</v>
      </c>
      <c r="M1680" s="16" t="s">
        <v>22</v>
      </c>
      <c r="N1680" s="16" t="s">
        <v>418</v>
      </c>
      <c r="O1680" s="392"/>
      <c r="P1680" s="392"/>
      <c r="Q1680" s="392"/>
      <c r="R1680" s="392"/>
      <c r="S1680" s="392"/>
      <c r="T1680" s="392"/>
      <c r="U1680" s="392"/>
      <c r="V1680" s="392"/>
      <c r="W1680" s="392"/>
      <c r="X1680" s="392"/>
      <c r="Y1680" s="392"/>
      <c r="Z1680" s="392"/>
      <c r="AA1680" s="392"/>
      <c r="AB1680" s="392"/>
      <c r="AC1680" s="392"/>
      <c r="AD1680" s="392"/>
      <c r="AE1680" s="392"/>
      <c r="AF1680" s="392"/>
      <c r="AG1680" s="392"/>
      <c r="AH1680" s="392"/>
      <c r="AI1680" s="392"/>
      <c r="AJ1680" s="392"/>
      <c r="AK1680" s="392"/>
      <c r="AL1680" s="392"/>
      <c r="AM1680" s="392"/>
      <c r="AN1680" s="392"/>
      <c r="AO1680" s="392"/>
      <c r="AP1680" s="392"/>
      <c r="AQ1680" s="392"/>
      <c r="AR1680" s="392"/>
      <c r="AS1680" s="392"/>
      <c r="AT1680" s="392"/>
      <c r="AU1680" s="392"/>
      <c r="AV1680" s="392"/>
      <c r="AW1680" s="392"/>
      <c r="AX1680" s="392"/>
      <c r="AY1680" s="392"/>
      <c r="AZ1680" s="392"/>
      <c r="BA1680" s="392"/>
      <c r="BB1680" s="392"/>
      <c r="BC1680" s="392"/>
      <c r="BD1680" s="392"/>
      <c r="BE1680" s="392"/>
      <c r="BF1680" s="392"/>
      <c r="BG1680" s="392"/>
      <c r="BH1680" s="392"/>
      <c r="BI1680" s="392"/>
      <c r="BJ1680" s="392"/>
      <c r="BK1680" s="392"/>
      <c r="BL1680" s="392"/>
      <c r="BM1680" s="392"/>
      <c r="BN1680" s="392"/>
      <c r="BO1680" s="392"/>
      <c r="BP1680" s="392"/>
      <c r="BQ1680" s="392"/>
      <c r="BR1680" s="392"/>
      <c r="BS1680" s="392"/>
    </row>
    <row r="1681" spans="1:71" s="339" customFormat="1" ht="41.25" customHeight="1">
      <c r="A1681" s="178" t="s">
        <v>120</v>
      </c>
      <c r="B1681" s="75" t="str">
        <f ca="1">+UPPER(Tabla1321124[[#This Row],[DESCRIPCIÓN DE LA COMPRA O CONTRATACIÓN]])</f>
        <v>CARPETAS DE 3"</v>
      </c>
      <c r="C1681" s="39" t="s">
        <v>17</v>
      </c>
      <c r="D1681" s="236">
        <v>150</v>
      </c>
      <c r="E1681" s="236">
        <v>150</v>
      </c>
      <c r="F1681" s="236">
        <v>150</v>
      </c>
      <c r="G1681" s="236">
        <v>150</v>
      </c>
      <c r="H1681" s="299">
        <f>SUM(Tabla1321124[[#This Row],[PRIMER TRIMESTRE]:[CUARTO TRIMESTRE]])</f>
        <v>600</v>
      </c>
      <c r="I1681" s="17">
        <v>217.02</v>
      </c>
      <c r="J1681" s="17">
        <f t="shared" si="27"/>
        <v>130212</v>
      </c>
      <c r="K1681" s="17"/>
      <c r="L1681" s="16" t="s">
        <v>18</v>
      </c>
      <c r="M1681" s="16" t="s">
        <v>22</v>
      </c>
      <c r="N1681" s="16" t="s">
        <v>418</v>
      </c>
      <c r="O1681" s="392"/>
      <c r="P1681" s="392"/>
      <c r="Q1681" s="392"/>
      <c r="R1681" s="392"/>
      <c r="S1681" s="392"/>
      <c r="T1681" s="392"/>
      <c r="U1681" s="392"/>
      <c r="V1681" s="392"/>
      <c r="W1681" s="392"/>
      <c r="X1681" s="392"/>
      <c r="Y1681" s="392"/>
      <c r="Z1681" s="392"/>
      <c r="AA1681" s="392"/>
      <c r="AB1681" s="392"/>
      <c r="AC1681" s="392"/>
      <c r="AD1681" s="392"/>
      <c r="AE1681" s="392"/>
      <c r="AF1681" s="392"/>
      <c r="AG1681" s="392"/>
      <c r="AH1681" s="392"/>
      <c r="AI1681" s="392"/>
      <c r="AJ1681" s="392"/>
      <c r="AK1681" s="392"/>
      <c r="AL1681" s="392"/>
      <c r="AM1681" s="392"/>
      <c r="AN1681" s="392"/>
      <c r="AO1681" s="392"/>
      <c r="AP1681" s="392"/>
      <c r="AQ1681" s="392"/>
      <c r="AR1681" s="392"/>
      <c r="AS1681" s="392"/>
      <c r="AT1681" s="392"/>
      <c r="AU1681" s="392"/>
      <c r="AV1681" s="392"/>
      <c r="AW1681" s="392"/>
      <c r="AX1681" s="392"/>
      <c r="AY1681" s="392"/>
      <c r="AZ1681" s="392"/>
      <c r="BA1681" s="392"/>
      <c r="BB1681" s="392"/>
      <c r="BC1681" s="392"/>
      <c r="BD1681" s="392"/>
      <c r="BE1681" s="392"/>
      <c r="BF1681" s="392"/>
      <c r="BG1681" s="392"/>
      <c r="BH1681" s="392"/>
      <c r="BI1681" s="392"/>
      <c r="BJ1681" s="392"/>
      <c r="BK1681" s="392"/>
      <c r="BL1681" s="392"/>
      <c r="BM1681" s="392"/>
      <c r="BN1681" s="392"/>
      <c r="BO1681" s="392"/>
      <c r="BP1681" s="392"/>
      <c r="BQ1681" s="392"/>
      <c r="BR1681" s="392"/>
      <c r="BS1681" s="392"/>
    </row>
    <row r="1682" spans="1:71" s="339" customFormat="1" ht="41.25" customHeight="1">
      <c r="A1682" s="178" t="s">
        <v>120</v>
      </c>
      <c r="B1682" s="75" t="str">
        <f ca="1">+UPPER(Tabla1321124[[#This Row],[DESCRIPCIÓN DE LA COMPRA O CONTRATACIÓN]])</f>
        <v>CARPETAS DE 2"</v>
      </c>
      <c r="C1682" s="39" t="s">
        <v>17</v>
      </c>
      <c r="D1682" s="236">
        <v>150</v>
      </c>
      <c r="E1682" s="236">
        <v>75</v>
      </c>
      <c r="F1682" s="236">
        <v>150</v>
      </c>
      <c r="G1682" s="236">
        <v>75</v>
      </c>
      <c r="H1682" s="299">
        <f>SUM(Tabla1321124[[#This Row],[PRIMER TRIMESTRE]:[CUARTO TRIMESTRE]])</f>
        <v>450</v>
      </c>
      <c r="I1682" s="17">
        <v>186.44</v>
      </c>
      <c r="J1682" s="17">
        <f t="shared" si="27"/>
        <v>83898</v>
      </c>
      <c r="K1682" s="17"/>
      <c r="L1682" s="16" t="s">
        <v>18</v>
      </c>
      <c r="M1682" s="16" t="s">
        <v>22</v>
      </c>
      <c r="N1682" s="16" t="s">
        <v>418</v>
      </c>
      <c r="O1682" s="392"/>
      <c r="P1682" s="392"/>
      <c r="Q1682" s="392"/>
      <c r="R1682" s="392"/>
      <c r="S1682" s="392"/>
      <c r="T1682" s="392"/>
      <c r="U1682" s="392"/>
      <c r="V1682" s="392"/>
      <c r="W1682" s="392"/>
      <c r="X1682" s="392"/>
      <c r="Y1682" s="392"/>
      <c r="Z1682" s="392"/>
      <c r="AA1682" s="392"/>
      <c r="AB1682" s="392"/>
      <c r="AC1682" s="392"/>
      <c r="AD1682" s="392"/>
      <c r="AE1682" s="392"/>
      <c r="AF1682" s="392"/>
      <c r="AG1682" s="392"/>
      <c r="AH1682" s="392"/>
      <c r="AI1682" s="392"/>
      <c r="AJ1682" s="392"/>
      <c r="AK1682" s="392"/>
      <c r="AL1682" s="392"/>
      <c r="AM1682" s="392"/>
      <c r="AN1682" s="392"/>
      <c r="AO1682" s="392"/>
      <c r="AP1682" s="392"/>
      <c r="AQ1682" s="392"/>
      <c r="AR1682" s="392"/>
      <c r="AS1682" s="392"/>
      <c r="AT1682" s="392"/>
      <c r="AU1682" s="392"/>
      <c r="AV1682" s="392"/>
      <c r="AW1682" s="392"/>
      <c r="AX1682" s="392"/>
      <c r="AY1682" s="392"/>
      <c r="AZ1682" s="392"/>
      <c r="BA1682" s="392"/>
      <c r="BB1682" s="392"/>
      <c r="BC1682" s="392"/>
      <c r="BD1682" s="392"/>
      <c r="BE1682" s="392"/>
      <c r="BF1682" s="392"/>
      <c r="BG1682" s="392"/>
      <c r="BH1682" s="392"/>
      <c r="BI1682" s="392"/>
      <c r="BJ1682" s="392"/>
      <c r="BK1682" s="392"/>
      <c r="BL1682" s="392"/>
      <c r="BM1682" s="392"/>
      <c r="BN1682" s="392"/>
      <c r="BO1682" s="392"/>
      <c r="BP1682" s="392"/>
      <c r="BQ1682" s="392"/>
      <c r="BR1682" s="392"/>
      <c r="BS1682" s="392"/>
    </row>
    <row r="1683" spans="1:71" s="339" customFormat="1" ht="41.25" customHeight="1">
      <c r="A1683" s="178" t="s">
        <v>120</v>
      </c>
      <c r="B1683" s="75" t="str">
        <f ca="1">+UPPER(Tabla1321124[[#This Row],[DESCRIPCIÓN DE LA COMPRA O CONTRATACIÓN]])</f>
        <v>CARPETAS DE 1"</v>
      </c>
      <c r="C1683" s="39" t="s">
        <v>17</v>
      </c>
      <c r="D1683" s="236">
        <v>150</v>
      </c>
      <c r="E1683" s="236">
        <v>50</v>
      </c>
      <c r="F1683" s="236">
        <v>150</v>
      </c>
      <c r="G1683" s="236">
        <v>50</v>
      </c>
      <c r="H1683" s="299">
        <f>SUM(Tabla1321124[[#This Row],[PRIMER TRIMESTRE]:[CUARTO TRIMESTRE]])</f>
        <v>400</v>
      </c>
      <c r="I1683" s="17">
        <v>129.80000000000001</v>
      </c>
      <c r="J1683" s="17">
        <f t="shared" si="27"/>
        <v>51920.000000000007</v>
      </c>
      <c r="K1683" s="17"/>
      <c r="L1683" s="16" t="s">
        <v>18</v>
      </c>
      <c r="M1683" s="16" t="s">
        <v>22</v>
      </c>
      <c r="N1683" s="16" t="s">
        <v>418</v>
      </c>
      <c r="O1683" s="392"/>
      <c r="P1683" s="392"/>
      <c r="Q1683" s="392"/>
      <c r="R1683" s="392"/>
      <c r="S1683" s="392"/>
      <c r="T1683" s="392"/>
      <c r="U1683" s="392"/>
      <c r="V1683" s="392"/>
      <c r="W1683" s="392"/>
      <c r="X1683" s="392"/>
      <c r="Y1683" s="392"/>
      <c r="Z1683" s="392"/>
      <c r="AA1683" s="392"/>
      <c r="AB1683" s="392"/>
      <c r="AC1683" s="392"/>
      <c r="AD1683" s="392"/>
      <c r="AE1683" s="392"/>
      <c r="AF1683" s="392"/>
      <c r="AG1683" s="392"/>
      <c r="AH1683" s="392"/>
      <c r="AI1683" s="392"/>
      <c r="AJ1683" s="392"/>
      <c r="AK1683" s="392"/>
      <c r="AL1683" s="392"/>
      <c r="AM1683" s="392"/>
      <c r="AN1683" s="392"/>
      <c r="AO1683" s="392"/>
      <c r="AP1683" s="392"/>
      <c r="AQ1683" s="392"/>
      <c r="AR1683" s="392"/>
      <c r="AS1683" s="392"/>
      <c r="AT1683" s="392"/>
      <c r="AU1683" s="392"/>
      <c r="AV1683" s="392"/>
      <c r="AW1683" s="392"/>
      <c r="AX1683" s="392"/>
      <c r="AY1683" s="392"/>
      <c r="AZ1683" s="392"/>
      <c r="BA1683" s="392"/>
      <c r="BB1683" s="392"/>
      <c r="BC1683" s="392"/>
      <c r="BD1683" s="392"/>
      <c r="BE1683" s="392"/>
      <c r="BF1683" s="392"/>
      <c r="BG1683" s="392"/>
      <c r="BH1683" s="392"/>
      <c r="BI1683" s="392"/>
      <c r="BJ1683" s="392"/>
      <c r="BK1683" s="392"/>
      <c r="BL1683" s="392"/>
      <c r="BM1683" s="392"/>
      <c r="BN1683" s="392"/>
      <c r="BO1683" s="392"/>
      <c r="BP1683" s="392"/>
      <c r="BQ1683" s="392"/>
      <c r="BR1683" s="392"/>
      <c r="BS1683" s="392"/>
    </row>
    <row r="1684" spans="1:71" s="339" customFormat="1" ht="41.25" customHeight="1">
      <c r="A1684" s="178" t="s">
        <v>120</v>
      </c>
      <c r="B1684" s="75" t="str">
        <f ca="1">+UPPER(Tabla1321124[[#This Row],[DESCRIPCIÓN DE LA COMPRA O CONTRATACIÓN]])</f>
        <v>CINTA ADHESIVA</v>
      </c>
      <c r="C1684" s="39" t="s">
        <v>416</v>
      </c>
      <c r="D1684" s="236">
        <v>300</v>
      </c>
      <c r="E1684" s="236">
        <v>300</v>
      </c>
      <c r="F1684" s="236">
        <v>300</v>
      </c>
      <c r="G1684" s="236">
        <v>300</v>
      </c>
      <c r="H1684" s="299">
        <f>SUM(Tabla1321124[[#This Row],[PRIMER TRIMESTRE]:[CUARTO TRIMESTRE]])</f>
        <v>1200</v>
      </c>
      <c r="I1684" s="17">
        <v>75</v>
      </c>
      <c r="J1684" s="17">
        <f t="shared" si="27"/>
        <v>90000</v>
      </c>
      <c r="K1684" s="17"/>
      <c r="L1684" s="16" t="s">
        <v>18</v>
      </c>
      <c r="M1684" s="16" t="s">
        <v>22</v>
      </c>
      <c r="N1684" s="16" t="s">
        <v>418</v>
      </c>
      <c r="O1684" s="392"/>
      <c r="P1684" s="392"/>
      <c r="Q1684" s="392"/>
      <c r="R1684" s="392"/>
      <c r="S1684" s="392"/>
      <c r="T1684" s="392"/>
      <c r="U1684" s="392"/>
      <c r="V1684" s="392"/>
      <c r="W1684" s="392"/>
      <c r="X1684" s="392"/>
      <c r="Y1684" s="392"/>
      <c r="Z1684" s="392"/>
      <c r="AA1684" s="392"/>
      <c r="AB1684" s="392"/>
      <c r="AC1684" s="392"/>
      <c r="AD1684" s="392"/>
      <c r="AE1684" s="392"/>
      <c r="AF1684" s="392"/>
      <c r="AG1684" s="392"/>
      <c r="AH1684" s="392"/>
      <c r="AI1684" s="392"/>
      <c r="AJ1684" s="392"/>
      <c r="AK1684" s="392"/>
      <c r="AL1684" s="392"/>
      <c r="AM1684" s="392"/>
      <c r="AN1684" s="392"/>
      <c r="AO1684" s="392"/>
      <c r="AP1684" s="392"/>
      <c r="AQ1684" s="392"/>
      <c r="AR1684" s="392"/>
      <c r="AS1684" s="392"/>
      <c r="AT1684" s="392"/>
      <c r="AU1684" s="392"/>
      <c r="AV1684" s="392"/>
      <c r="AW1684" s="392"/>
      <c r="AX1684" s="392"/>
      <c r="AY1684" s="392"/>
      <c r="AZ1684" s="392"/>
      <c r="BA1684" s="392"/>
      <c r="BB1684" s="392"/>
      <c r="BC1684" s="392"/>
      <c r="BD1684" s="392"/>
      <c r="BE1684" s="392"/>
      <c r="BF1684" s="392"/>
      <c r="BG1684" s="392"/>
      <c r="BH1684" s="392"/>
      <c r="BI1684" s="392"/>
      <c r="BJ1684" s="392"/>
      <c r="BK1684" s="392"/>
      <c r="BL1684" s="392"/>
      <c r="BM1684" s="392"/>
      <c r="BN1684" s="392"/>
      <c r="BO1684" s="392"/>
      <c r="BP1684" s="392"/>
      <c r="BQ1684" s="392"/>
      <c r="BR1684" s="392"/>
      <c r="BS1684" s="392"/>
    </row>
    <row r="1685" spans="1:71" s="339" customFormat="1" ht="41.25" customHeight="1">
      <c r="A1685" s="178" t="s">
        <v>120</v>
      </c>
      <c r="B1685" s="75" t="str">
        <f ca="1">+UPPER(Tabla1321124[[#This Row],[DESCRIPCIÓN DE LA COMPRA O CONTRATACIÓN]])</f>
        <v>CINTA DE EMPAQUE</v>
      </c>
      <c r="C1685" s="39" t="s">
        <v>17</v>
      </c>
      <c r="D1685" s="236">
        <v>100</v>
      </c>
      <c r="E1685" s="236">
        <v>100</v>
      </c>
      <c r="F1685" s="236">
        <v>100</v>
      </c>
      <c r="G1685" s="236">
        <v>100</v>
      </c>
      <c r="H1685" s="299">
        <f>SUM(Tabla1321124[[#This Row],[PRIMER TRIMESTRE]:[CUARTO TRIMESTRE]])</f>
        <v>400</v>
      </c>
      <c r="I1685" s="17">
        <v>43.66</v>
      </c>
      <c r="J1685" s="17">
        <f t="shared" si="27"/>
        <v>17464</v>
      </c>
      <c r="K1685" s="17"/>
      <c r="L1685" s="16" t="s">
        <v>18</v>
      </c>
      <c r="M1685" s="16" t="s">
        <v>22</v>
      </c>
      <c r="N1685" s="16" t="s">
        <v>418</v>
      </c>
      <c r="O1685" s="392"/>
      <c r="P1685" s="392"/>
      <c r="Q1685" s="392"/>
      <c r="R1685" s="392"/>
      <c r="S1685" s="392"/>
      <c r="T1685" s="392"/>
      <c r="U1685" s="392"/>
      <c r="V1685" s="392"/>
      <c r="W1685" s="392"/>
      <c r="X1685" s="392"/>
      <c r="Y1685" s="392"/>
      <c r="Z1685" s="392"/>
      <c r="AA1685" s="392"/>
      <c r="AB1685" s="392"/>
      <c r="AC1685" s="392"/>
      <c r="AD1685" s="392"/>
      <c r="AE1685" s="392"/>
      <c r="AF1685" s="392"/>
      <c r="AG1685" s="392"/>
      <c r="AH1685" s="392"/>
      <c r="AI1685" s="392"/>
      <c r="AJ1685" s="392"/>
      <c r="AK1685" s="392"/>
      <c r="AL1685" s="392"/>
      <c r="AM1685" s="392"/>
      <c r="AN1685" s="392"/>
      <c r="AO1685" s="392"/>
      <c r="AP1685" s="392"/>
      <c r="AQ1685" s="392"/>
      <c r="AR1685" s="392"/>
      <c r="AS1685" s="392"/>
      <c r="AT1685" s="392"/>
      <c r="AU1685" s="392"/>
      <c r="AV1685" s="392"/>
      <c r="AW1685" s="392"/>
      <c r="AX1685" s="392"/>
      <c r="AY1685" s="392"/>
      <c r="AZ1685" s="392"/>
      <c r="BA1685" s="392"/>
      <c r="BB1685" s="392"/>
      <c r="BC1685" s="392"/>
      <c r="BD1685" s="392"/>
      <c r="BE1685" s="392"/>
      <c r="BF1685" s="392"/>
      <c r="BG1685" s="392"/>
      <c r="BH1685" s="392"/>
      <c r="BI1685" s="392"/>
      <c r="BJ1685" s="392"/>
      <c r="BK1685" s="392"/>
      <c r="BL1685" s="392"/>
      <c r="BM1685" s="392"/>
      <c r="BN1685" s="392"/>
      <c r="BO1685" s="392"/>
      <c r="BP1685" s="392"/>
      <c r="BQ1685" s="392"/>
      <c r="BR1685" s="392"/>
      <c r="BS1685" s="392"/>
    </row>
    <row r="1686" spans="1:71" s="339" customFormat="1" ht="41.25" customHeight="1">
      <c r="A1686" s="178" t="s">
        <v>120</v>
      </c>
      <c r="B1686" s="75" t="str">
        <f ca="1">+UPPER(Tabla1321124[[#This Row],[DESCRIPCIÓN DE LA COMPRA O CONTRATACIÓN]])</f>
        <v>CINTA EPSON 8750</v>
      </c>
      <c r="C1686" s="39" t="s">
        <v>17</v>
      </c>
      <c r="D1686" s="236"/>
      <c r="E1686" s="236">
        <v>350</v>
      </c>
      <c r="F1686" s="236"/>
      <c r="G1686" s="236"/>
      <c r="H1686" s="299">
        <f>SUM(Tabla1321124[[#This Row],[PRIMER TRIMESTRE]:[CUARTO TRIMESTRE]])</f>
        <v>350</v>
      </c>
      <c r="I1686" s="17">
        <v>185</v>
      </c>
      <c r="J1686" s="17">
        <f t="shared" si="27"/>
        <v>64750</v>
      </c>
      <c r="K1686" s="17"/>
      <c r="L1686" s="16" t="s">
        <v>18</v>
      </c>
      <c r="M1686" s="16" t="s">
        <v>22</v>
      </c>
      <c r="N1686" s="16" t="s">
        <v>418</v>
      </c>
      <c r="O1686" s="392"/>
      <c r="P1686" s="392"/>
      <c r="Q1686" s="392"/>
      <c r="R1686" s="392"/>
      <c r="S1686" s="392"/>
      <c r="T1686" s="392"/>
      <c r="U1686" s="392"/>
      <c r="V1686" s="392"/>
      <c r="W1686" s="392"/>
      <c r="X1686" s="392"/>
      <c r="Y1686" s="392"/>
      <c r="Z1686" s="392"/>
      <c r="AA1686" s="392"/>
      <c r="AB1686" s="392"/>
      <c r="AC1686" s="392"/>
      <c r="AD1686" s="392"/>
      <c r="AE1686" s="392"/>
      <c r="AF1686" s="392"/>
      <c r="AG1686" s="392"/>
      <c r="AH1686" s="392"/>
      <c r="AI1686" s="392"/>
      <c r="AJ1686" s="392"/>
      <c r="AK1686" s="392"/>
      <c r="AL1686" s="392"/>
      <c r="AM1686" s="392"/>
      <c r="AN1686" s="392"/>
      <c r="AO1686" s="392"/>
      <c r="AP1686" s="392"/>
      <c r="AQ1686" s="392"/>
      <c r="AR1686" s="392"/>
      <c r="AS1686" s="392"/>
      <c r="AT1686" s="392"/>
      <c r="AU1686" s="392"/>
      <c r="AV1686" s="392"/>
      <c r="AW1686" s="392"/>
      <c r="AX1686" s="392"/>
      <c r="AY1686" s="392"/>
      <c r="AZ1686" s="392"/>
      <c r="BA1686" s="392"/>
      <c r="BB1686" s="392"/>
      <c r="BC1686" s="392"/>
      <c r="BD1686" s="392"/>
      <c r="BE1686" s="392"/>
      <c r="BF1686" s="392"/>
      <c r="BG1686" s="392"/>
      <c r="BH1686" s="392"/>
      <c r="BI1686" s="392"/>
      <c r="BJ1686" s="392"/>
      <c r="BK1686" s="392"/>
      <c r="BL1686" s="392"/>
      <c r="BM1686" s="392"/>
      <c r="BN1686" s="392"/>
      <c r="BO1686" s="392"/>
      <c r="BP1686" s="392"/>
      <c r="BQ1686" s="392"/>
      <c r="BR1686" s="392"/>
      <c r="BS1686" s="392"/>
    </row>
    <row r="1687" spans="1:71" s="339" customFormat="1" ht="41.25" customHeight="1">
      <c r="A1687" s="178" t="s">
        <v>120</v>
      </c>
      <c r="B1687" s="75" t="str">
        <f ca="1">+UPPER(Tabla1321124[[#This Row],[DESCRIPCIÓN DE LA COMPRA O CONTRATACIÓN]])</f>
        <v>CHINCHETAS</v>
      </c>
      <c r="C1687" s="39" t="s">
        <v>208</v>
      </c>
      <c r="D1687" s="236">
        <f>60+1+4</f>
        <v>65</v>
      </c>
      <c r="E1687" s="236">
        <v>60</v>
      </c>
      <c r="F1687" s="236">
        <v>60</v>
      </c>
      <c r="G1687" s="236">
        <v>60</v>
      </c>
      <c r="H1687" s="299">
        <f>SUM(Tabla1321124[[#This Row],[PRIMER TRIMESTRE]:[CUARTO TRIMESTRE]])</f>
        <v>245</v>
      </c>
      <c r="I1687" s="17">
        <v>43.66</v>
      </c>
      <c r="J1687" s="17">
        <f t="shared" si="27"/>
        <v>10696.699999999999</v>
      </c>
      <c r="K1687" s="17"/>
      <c r="L1687" s="16" t="s">
        <v>18</v>
      </c>
      <c r="M1687" s="16" t="s">
        <v>22</v>
      </c>
      <c r="N1687" s="16" t="s">
        <v>418</v>
      </c>
      <c r="O1687" s="392"/>
      <c r="P1687" s="392"/>
      <c r="Q1687" s="392"/>
      <c r="R1687" s="392"/>
      <c r="S1687" s="392"/>
      <c r="T1687" s="392"/>
      <c r="U1687" s="392"/>
      <c r="V1687" s="392"/>
      <c r="W1687" s="392"/>
      <c r="X1687" s="392"/>
      <c r="Y1687" s="392"/>
      <c r="Z1687" s="392"/>
      <c r="AA1687" s="392"/>
      <c r="AB1687" s="392"/>
      <c r="AC1687" s="392"/>
      <c r="AD1687" s="392"/>
      <c r="AE1687" s="392"/>
      <c r="AF1687" s="392"/>
      <c r="AG1687" s="392"/>
      <c r="AH1687" s="392"/>
      <c r="AI1687" s="392"/>
      <c r="AJ1687" s="392"/>
      <c r="AK1687" s="392"/>
      <c r="AL1687" s="392"/>
      <c r="AM1687" s="392"/>
      <c r="AN1687" s="392"/>
      <c r="AO1687" s="392"/>
      <c r="AP1687" s="392"/>
      <c r="AQ1687" s="392"/>
      <c r="AR1687" s="392"/>
      <c r="AS1687" s="392"/>
      <c r="AT1687" s="392"/>
      <c r="AU1687" s="392"/>
      <c r="AV1687" s="392"/>
      <c r="AW1687" s="392"/>
      <c r="AX1687" s="392"/>
      <c r="AY1687" s="392"/>
      <c r="AZ1687" s="392"/>
      <c r="BA1687" s="392"/>
      <c r="BB1687" s="392"/>
      <c r="BC1687" s="392"/>
      <c r="BD1687" s="392"/>
      <c r="BE1687" s="392"/>
      <c r="BF1687" s="392"/>
      <c r="BG1687" s="392"/>
      <c r="BH1687" s="392"/>
      <c r="BI1687" s="392"/>
      <c r="BJ1687" s="392"/>
      <c r="BK1687" s="392"/>
      <c r="BL1687" s="392"/>
      <c r="BM1687" s="392"/>
      <c r="BN1687" s="392"/>
      <c r="BO1687" s="392"/>
      <c r="BP1687" s="392"/>
      <c r="BQ1687" s="392"/>
      <c r="BR1687" s="392"/>
      <c r="BS1687" s="392"/>
    </row>
    <row r="1688" spans="1:71" s="339" customFormat="1" ht="41.25" customHeight="1">
      <c r="A1688" s="178" t="s">
        <v>120</v>
      </c>
      <c r="B1688" s="75" t="str">
        <f ca="1">+UPPER(Tabla1321124[[#This Row],[DESCRIPCIÓN DE LA COMPRA O CONTRATACIÓN]])</f>
        <v>CLIPS GRANDES</v>
      </c>
      <c r="C1688" s="39" t="s">
        <v>208</v>
      </c>
      <c r="D1688" s="236">
        <v>200</v>
      </c>
      <c r="E1688" s="236">
        <v>200</v>
      </c>
      <c r="F1688" s="236">
        <v>200</v>
      </c>
      <c r="G1688" s="236">
        <v>200</v>
      </c>
      <c r="H1688" s="299">
        <f>SUM(Tabla1321124[[#This Row],[PRIMER TRIMESTRE]:[CUARTO TRIMESTRE]])</f>
        <v>800</v>
      </c>
      <c r="I1688" s="17">
        <v>43.66</v>
      </c>
      <c r="J1688" s="17">
        <f t="shared" si="27"/>
        <v>34928</v>
      </c>
      <c r="K1688" s="17"/>
      <c r="L1688" s="16" t="s">
        <v>18</v>
      </c>
      <c r="M1688" s="16" t="s">
        <v>22</v>
      </c>
      <c r="N1688" s="16" t="s">
        <v>418</v>
      </c>
      <c r="O1688" s="392"/>
      <c r="P1688" s="392"/>
      <c r="Q1688" s="392"/>
      <c r="R1688" s="392"/>
      <c r="S1688" s="392"/>
      <c r="T1688" s="392"/>
      <c r="U1688" s="392"/>
      <c r="V1688" s="392"/>
      <c r="W1688" s="392"/>
      <c r="X1688" s="392"/>
      <c r="Y1688" s="392"/>
      <c r="Z1688" s="392"/>
      <c r="AA1688" s="392"/>
      <c r="AB1688" s="392"/>
      <c r="AC1688" s="392"/>
      <c r="AD1688" s="392"/>
      <c r="AE1688" s="392"/>
      <c r="AF1688" s="392"/>
      <c r="AG1688" s="392"/>
      <c r="AH1688" s="392"/>
      <c r="AI1688" s="392"/>
      <c r="AJ1688" s="392"/>
      <c r="AK1688" s="392"/>
      <c r="AL1688" s="392"/>
      <c r="AM1688" s="392"/>
      <c r="AN1688" s="392"/>
      <c r="AO1688" s="392"/>
      <c r="AP1688" s="392"/>
      <c r="AQ1688" s="392"/>
      <c r="AR1688" s="392"/>
      <c r="AS1688" s="392"/>
      <c r="AT1688" s="392"/>
      <c r="AU1688" s="392"/>
      <c r="AV1688" s="392"/>
      <c r="AW1688" s="392"/>
      <c r="AX1688" s="392"/>
      <c r="AY1688" s="392"/>
      <c r="AZ1688" s="392"/>
      <c r="BA1688" s="392"/>
      <c r="BB1688" s="392"/>
      <c r="BC1688" s="392"/>
      <c r="BD1688" s="392"/>
      <c r="BE1688" s="392"/>
      <c r="BF1688" s="392"/>
      <c r="BG1688" s="392"/>
      <c r="BH1688" s="392"/>
      <c r="BI1688" s="392"/>
      <c r="BJ1688" s="392"/>
      <c r="BK1688" s="392"/>
      <c r="BL1688" s="392"/>
      <c r="BM1688" s="392"/>
      <c r="BN1688" s="392"/>
      <c r="BO1688" s="392"/>
      <c r="BP1688" s="392"/>
      <c r="BQ1688" s="392"/>
      <c r="BR1688" s="392"/>
      <c r="BS1688" s="392"/>
    </row>
    <row r="1689" spans="1:71" s="339" customFormat="1" ht="41.25" customHeight="1">
      <c r="A1689" s="178" t="s">
        <v>120</v>
      </c>
      <c r="B1689" s="75" t="str">
        <f ca="1">+UPPER(Tabla1321124[[#This Row],[DESCRIPCIÓN DE LA COMPRA O CONTRATACIÓN]])</f>
        <v>CLIP PEQUEÑOS</v>
      </c>
      <c r="C1689" s="39" t="s">
        <v>208</v>
      </c>
      <c r="D1689" s="236">
        <v>250</v>
      </c>
      <c r="E1689" s="236">
        <v>250</v>
      </c>
      <c r="F1689" s="236">
        <v>250</v>
      </c>
      <c r="G1689" s="236">
        <v>250</v>
      </c>
      <c r="H1689" s="299">
        <f>SUM(Tabla1321124[[#This Row],[PRIMER TRIMESTRE]:[CUARTO TRIMESTRE]])</f>
        <v>1000</v>
      </c>
      <c r="I1689" s="17">
        <v>12.98</v>
      </c>
      <c r="J1689" s="17">
        <f t="shared" si="27"/>
        <v>12980</v>
      </c>
      <c r="K1689" s="17"/>
      <c r="L1689" s="16" t="s">
        <v>18</v>
      </c>
      <c r="M1689" s="16" t="s">
        <v>22</v>
      </c>
      <c r="N1689" s="16" t="s">
        <v>418</v>
      </c>
      <c r="O1689" s="392"/>
      <c r="P1689" s="392"/>
      <c r="Q1689" s="392"/>
      <c r="R1689" s="392"/>
      <c r="S1689" s="392"/>
      <c r="T1689" s="392"/>
      <c r="U1689" s="392"/>
      <c r="V1689" s="392"/>
      <c r="W1689" s="392"/>
      <c r="X1689" s="392"/>
      <c r="Y1689" s="392"/>
      <c r="Z1689" s="392"/>
      <c r="AA1689" s="392"/>
      <c r="AB1689" s="392"/>
      <c r="AC1689" s="392"/>
      <c r="AD1689" s="392"/>
      <c r="AE1689" s="392"/>
      <c r="AF1689" s="392"/>
      <c r="AG1689" s="392"/>
      <c r="AH1689" s="392"/>
      <c r="AI1689" s="392"/>
      <c r="AJ1689" s="392"/>
      <c r="AK1689" s="392"/>
      <c r="AL1689" s="392"/>
      <c r="AM1689" s="392"/>
      <c r="AN1689" s="392"/>
      <c r="AO1689" s="392"/>
      <c r="AP1689" s="392"/>
      <c r="AQ1689" s="392"/>
      <c r="AR1689" s="392"/>
      <c r="AS1689" s="392"/>
      <c r="AT1689" s="392"/>
      <c r="AU1689" s="392"/>
      <c r="AV1689" s="392"/>
      <c r="AW1689" s="392"/>
      <c r="AX1689" s="392"/>
      <c r="AY1689" s="392"/>
      <c r="AZ1689" s="392"/>
      <c r="BA1689" s="392"/>
      <c r="BB1689" s="392"/>
      <c r="BC1689" s="392"/>
      <c r="BD1689" s="392"/>
      <c r="BE1689" s="392"/>
      <c r="BF1689" s="392"/>
      <c r="BG1689" s="392"/>
      <c r="BH1689" s="392"/>
      <c r="BI1689" s="392"/>
      <c r="BJ1689" s="392"/>
      <c r="BK1689" s="392"/>
      <c r="BL1689" s="392"/>
      <c r="BM1689" s="392"/>
      <c r="BN1689" s="392"/>
      <c r="BO1689" s="392"/>
      <c r="BP1689" s="392"/>
      <c r="BQ1689" s="392"/>
      <c r="BR1689" s="392"/>
      <c r="BS1689" s="392"/>
    </row>
    <row r="1690" spans="1:71" s="339" customFormat="1" ht="41.25" customHeight="1">
      <c r="A1690" s="178" t="s">
        <v>120</v>
      </c>
      <c r="B1690" s="75" t="str">
        <f ca="1">+UPPER(Tabla1321124[[#This Row],[DESCRIPCIÓN DE LA COMPRA O CONTRATACIÓN]])</f>
        <v>CLIPS DE BILLETEROS GRANDES DE 2 PULG.  CAJAS DE 12</v>
      </c>
      <c r="C1690" s="39" t="s">
        <v>208</v>
      </c>
      <c r="D1690" s="236">
        <v>300</v>
      </c>
      <c r="E1690" s="236">
        <v>300</v>
      </c>
      <c r="F1690" s="236">
        <v>300</v>
      </c>
      <c r="G1690" s="236">
        <v>300</v>
      </c>
      <c r="H1690" s="299">
        <f>SUM(Tabla1321124[[#This Row],[PRIMER TRIMESTRE]:[CUARTO TRIMESTRE]])</f>
        <v>1200</v>
      </c>
      <c r="I1690" s="17">
        <v>86.81</v>
      </c>
      <c r="J1690" s="17">
        <f t="shared" si="27"/>
        <v>104172</v>
      </c>
      <c r="K1690" s="17"/>
      <c r="L1690" s="16" t="s">
        <v>18</v>
      </c>
      <c r="M1690" s="16" t="s">
        <v>22</v>
      </c>
      <c r="N1690" s="16" t="s">
        <v>418</v>
      </c>
      <c r="O1690" s="392"/>
      <c r="P1690" s="392"/>
      <c r="Q1690" s="392"/>
      <c r="R1690" s="392"/>
      <c r="S1690" s="392"/>
      <c r="T1690" s="392"/>
      <c r="U1690" s="392"/>
      <c r="V1690" s="392"/>
      <c r="W1690" s="392"/>
      <c r="X1690" s="392"/>
      <c r="Y1690" s="392"/>
      <c r="Z1690" s="392"/>
      <c r="AA1690" s="392"/>
      <c r="AB1690" s="392"/>
      <c r="AC1690" s="392"/>
      <c r="AD1690" s="392"/>
      <c r="AE1690" s="392"/>
      <c r="AF1690" s="392"/>
      <c r="AG1690" s="392"/>
      <c r="AH1690" s="392"/>
      <c r="AI1690" s="392"/>
      <c r="AJ1690" s="392"/>
      <c r="AK1690" s="392"/>
      <c r="AL1690" s="392"/>
      <c r="AM1690" s="392"/>
      <c r="AN1690" s="392"/>
      <c r="AO1690" s="392"/>
      <c r="AP1690" s="392"/>
      <c r="AQ1690" s="392"/>
      <c r="AR1690" s="392"/>
      <c r="AS1690" s="392"/>
      <c r="AT1690" s="392"/>
      <c r="AU1690" s="392"/>
      <c r="AV1690" s="392"/>
      <c r="AW1690" s="392"/>
      <c r="AX1690" s="392"/>
      <c r="AY1690" s="392"/>
      <c r="AZ1690" s="392"/>
      <c r="BA1690" s="392"/>
      <c r="BB1690" s="392"/>
      <c r="BC1690" s="392"/>
      <c r="BD1690" s="392"/>
      <c r="BE1690" s="392"/>
      <c r="BF1690" s="392"/>
      <c r="BG1690" s="392"/>
      <c r="BH1690" s="392"/>
      <c r="BI1690" s="392"/>
      <c r="BJ1690" s="392"/>
      <c r="BK1690" s="392"/>
      <c r="BL1690" s="392"/>
      <c r="BM1690" s="392"/>
      <c r="BN1690" s="392"/>
      <c r="BO1690" s="392"/>
      <c r="BP1690" s="392"/>
      <c r="BQ1690" s="392"/>
      <c r="BR1690" s="392"/>
      <c r="BS1690" s="392"/>
    </row>
    <row r="1691" spans="1:71" s="349" customFormat="1" ht="41.25" customHeight="1">
      <c r="A1691" s="178" t="s">
        <v>120</v>
      </c>
      <c r="B1691" s="75" t="str">
        <f ca="1">+UPPER(Tabla1321124[[#This Row],[DESCRIPCIÓN DE LA COMPRA O CONTRATACIÓN]])</f>
        <v>CLIPS DE BILLETEROS MEDIANOS DE 1 PULG. CAJAS DE 12</v>
      </c>
      <c r="C1691" s="39" t="s">
        <v>208</v>
      </c>
      <c r="D1691" s="236">
        <v>200</v>
      </c>
      <c r="E1691" s="236">
        <v>200</v>
      </c>
      <c r="F1691" s="236">
        <v>200</v>
      </c>
      <c r="G1691" s="236">
        <v>200</v>
      </c>
      <c r="H1691" s="299">
        <f>SUM(Tabla1321124[[#This Row],[PRIMER TRIMESTRE]:[CUARTO TRIMESTRE]])</f>
        <v>800</v>
      </c>
      <c r="I1691" s="17">
        <v>25.4</v>
      </c>
      <c r="J1691" s="17">
        <f t="shared" si="27"/>
        <v>20320</v>
      </c>
      <c r="K1691" s="17"/>
      <c r="L1691" s="16" t="s">
        <v>18</v>
      </c>
      <c r="M1691" s="16" t="s">
        <v>22</v>
      </c>
      <c r="N1691" s="16" t="s">
        <v>418</v>
      </c>
      <c r="O1691" s="392"/>
      <c r="P1691" s="392"/>
      <c r="Q1691" s="392"/>
      <c r="R1691" s="392"/>
      <c r="S1691" s="392"/>
      <c r="T1691" s="392"/>
      <c r="U1691" s="392"/>
      <c r="V1691" s="392"/>
      <c r="W1691" s="392"/>
      <c r="X1691" s="392"/>
      <c r="Y1691" s="392"/>
      <c r="Z1691" s="392"/>
      <c r="AA1691" s="392"/>
      <c r="AB1691" s="392"/>
      <c r="AC1691" s="392"/>
      <c r="AD1691" s="392"/>
      <c r="AE1691" s="392"/>
      <c r="AF1691" s="392"/>
      <c r="AG1691" s="392"/>
      <c r="AH1691" s="392"/>
      <c r="AI1691" s="392"/>
      <c r="AJ1691" s="392"/>
      <c r="AK1691" s="392"/>
      <c r="AL1691" s="392"/>
      <c r="AM1691" s="392"/>
      <c r="AN1691" s="392"/>
      <c r="AO1691" s="392"/>
      <c r="AP1691" s="392"/>
      <c r="AQ1691" s="392"/>
      <c r="AR1691" s="392"/>
      <c r="AS1691" s="392"/>
      <c r="AT1691" s="392"/>
      <c r="AU1691" s="392"/>
      <c r="AV1691" s="392"/>
      <c r="AW1691" s="392"/>
      <c r="AX1691" s="392"/>
      <c r="AY1691" s="392"/>
      <c r="AZ1691" s="392"/>
      <c r="BA1691" s="392"/>
      <c r="BB1691" s="392"/>
      <c r="BC1691" s="392"/>
      <c r="BD1691" s="392"/>
      <c r="BE1691" s="392"/>
      <c r="BF1691" s="392"/>
      <c r="BG1691" s="392"/>
      <c r="BH1691" s="392"/>
      <c r="BI1691" s="392"/>
      <c r="BJ1691" s="392"/>
      <c r="BK1691" s="392"/>
      <c r="BL1691" s="392"/>
      <c r="BM1691" s="392"/>
      <c r="BN1691" s="392"/>
      <c r="BO1691" s="392"/>
      <c r="BP1691" s="392"/>
      <c r="BQ1691" s="392"/>
      <c r="BR1691" s="392"/>
      <c r="BS1691" s="392"/>
    </row>
    <row r="1692" spans="1:71" s="371" customFormat="1" ht="41.25" customHeight="1">
      <c r="A1692" s="178" t="s">
        <v>120</v>
      </c>
      <c r="B1692" s="75" t="str">
        <f ca="1">+UPPER(Tabla1321124[[#This Row],[DESCRIPCIÓN DE LA COMPRA O CONTRATACIÓN]])</f>
        <v>CORRECTOR LIQUIDO EN BOTELLA BLANCO 20 ML CAJAS DE 12 UDS</v>
      </c>
      <c r="C1692" s="39" t="s">
        <v>208</v>
      </c>
      <c r="D1692" s="236">
        <v>200</v>
      </c>
      <c r="E1692" s="236">
        <v>200</v>
      </c>
      <c r="F1692" s="236">
        <v>200</v>
      </c>
      <c r="G1692" s="236">
        <v>200</v>
      </c>
      <c r="H1692" s="299">
        <f>SUM(Tabla1321124[[#This Row],[PRIMER TRIMESTRE]:[CUARTO TRIMESTRE]])</f>
        <v>800</v>
      </c>
      <c r="I1692" s="17">
        <v>235.20000000000002</v>
      </c>
      <c r="J1692" s="17">
        <f t="shared" si="27"/>
        <v>188160</v>
      </c>
      <c r="K1692" s="17"/>
      <c r="L1692" s="16" t="s">
        <v>18</v>
      </c>
      <c r="M1692" s="16" t="s">
        <v>22</v>
      </c>
      <c r="N1692" s="16" t="s">
        <v>418</v>
      </c>
      <c r="O1692" s="392"/>
      <c r="P1692" s="392"/>
      <c r="Q1692" s="392"/>
      <c r="R1692" s="392"/>
      <c r="S1692" s="392"/>
      <c r="T1692" s="392"/>
      <c r="U1692" s="392"/>
      <c r="V1692" s="392"/>
      <c r="W1692" s="392"/>
      <c r="X1692" s="392"/>
      <c r="Y1692" s="392"/>
      <c r="Z1692" s="392"/>
      <c r="AA1692" s="392"/>
      <c r="AB1692" s="392"/>
      <c r="AC1692" s="392"/>
      <c r="AD1692" s="392"/>
      <c r="AE1692" s="392"/>
      <c r="AF1692" s="392"/>
      <c r="AG1692" s="392"/>
      <c r="AH1692" s="392"/>
      <c r="AI1692" s="392"/>
      <c r="AJ1692" s="392"/>
      <c r="AK1692" s="392"/>
      <c r="AL1692" s="392"/>
      <c r="AM1692" s="392"/>
      <c r="AN1692" s="392"/>
      <c r="AO1692" s="392"/>
      <c r="AP1692" s="392"/>
      <c r="AQ1692" s="392"/>
      <c r="AR1692" s="392"/>
      <c r="AS1692" s="392"/>
      <c r="AT1692" s="392"/>
      <c r="AU1692" s="392"/>
      <c r="AV1692" s="392"/>
      <c r="AW1692" s="392"/>
      <c r="AX1692" s="392"/>
      <c r="AY1692" s="392"/>
      <c r="AZ1692" s="392"/>
      <c r="BA1692" s="392"/>
      <c r="BB1692" s="392"/>
      <c r="BC1692" s="392"/>
      <c r="BD1692" s="392"/>
      <c r="BE1692" s="392"/>
      <c r="BF1692" s="392"/>
      <c r="BG1692" s="392"/>
      <c r="BH1692" s="392"/>
      <c r="BI1692" s="392"/>
      <c r="BJ1692" s="392"/>
      <c r="BK1692" s="392"/>
      <c r="BL1692" s="392"/>
      <c r="BM1692" s="392"/>
      <c r="BN1692" s="392"/>
      <c r="BO1692" s="392"/>
      <c r="BP1692" s="392"/>
      <c r="BQ1692" s="392"/>
      <c r="BR1692" s="392"/>
      <c r="BS1692" s="392"/>
    </row>
    <row r="1693" spans="1:71" s="349" customFormat="1" ht="41.25" customHeight="1">
      <c r="A1693" s="178" t="s">
        <v>120</v>
      </c>
      <c r="B1693" s="75" t="str">
        <f ca="1">+UPPER(Tabla1321124[[#This Row],[DESCRIPCIÓN DE LA COMPRA O CONTRATACIÓN]])</f>
        <v>EGA</v>
      </c>
      <c r="C1693" s="39" t="s">
        <v>17</v>
      </c>
      <c r="D1693" s="236">
        <v>5</v>
      </c>
      <c r="E1693" s="236">
        <v>5</v>
      </c>
      <c r="F1693" s="236">
        <v>5</v>
      </c>
      <c r="G1693" s="236">
        <v>5</v>
      </c>
      <c r="H1693" s="299">
        <f>SUM(Tabla1321124[[#This Row],[PRIMER TRIMESTRE]:[CUARTO TRIMESTRE]])</f>
        <v>20</v>
      </c>
      <c r="I1693" s="17">
        <v>15</v>
      </c>
      <c r="J1693" s="17">
        <f t="shared" si="27"/>
        <v>300</v>
      </c>
      <c r="K1693" s="345"/>
      <c r="L1693" s="16" t="s">
        <v>18</v>
      </c>
      <c r="M1693" s="16" t="s">
        <v>22</v>
      </c>
      <c r="N1693" s="16" t="s">
        <v>418</v>
      </c>
      <c r="O1693" s="392"/>
      <c r="P1693" s="392"/>
      <c r="Q1693" s="392"/>
      <c r="R1693" s="392"/>
      <c r="S1693" s="392"/>
      <c r="T1693" s="392"/>
      <c r="U1693" s="392"/>
      <c r="V1693" s="392"/>
      <c r="W1693" s="392"/>
      <c r="X1693" s="392"/>
      <c r="Y1693" s="392"/>
      <c r="Z1693" s="392"/>
      <c r="AA1693" s="392"/>
      <c r="AB1693" s="392"/>
      <c r="AC1693" s="392"/>
      <c r="AD1693" s="392"/>
      <c r="AE1693" s="392"/>
      <c r="AF1693" s="392"/>
      <c r="AG1693" s="392"/>
      <c r="AH1693" s="392"/>
      <c r="AI1693" s="392"/>
      <c r="AJ1693" s="392"/>
      <c r="AK1693" s="392"/>
      <c r="AL1693" s="392"/>
      <c r="AM1693" s="392"/>
      <c r="AN1693" s="392"/>
      <c r="AO1693" s="392"/>
      <c r="AP1693" s="392"/>
      <c r="AQ1693" s="392"/>
      <c r="AR1693" s="392"/>
      <c r="AS1693" s="392"/>
      <c r="AT1693" s="392"/>
      <c r="AU1693" s="392"/>
      <c r="AV1693" s="392"/>
      <c r="AW1693" s="392"/>
      <c r="AX1693" s="392"/>
      <c r="AY1693" s="392"/>
      <c r="AZ1693" s="392"/>
      <c r="BA1693" s="392"/>
      <c r="BB1693" s="392"/>
      <c r="BC1693" s="392"/>
      <c r="BD1693" s="392"/>
      <c r="BE1693" s="392"/>
      <c r="BF1693" s="392"/>
      <c r="BG1693" s="392"/>
      <c r="BH1693" s="392"/>
      <c r="BI1693" s="392"/>
      <c r="BJ1693" s="392"/>
      <c r="BK1693" s="392"/>
      <c r="BL1693" s="392"/>
      <c r="BM1693" s="392"/>
      <c r="BN1693" s="392"/>
      <c r="BO1693" s="392"/>
      <c r="BP1693" s="392"/>
      <c r="BQ1693" s="392"/>
      <c r="BR1693" s="392"/>
      <c r="BS1693" s="392"/>
    </row>
    <row r="1694" spans="1:71" s="349" customFormat="1" ht="41.25" customHeight="1">
      <c r="A1694" s="178" t="s">
        <v>120</v>
      </c>
      <c r="B1694" s="75" t="str">
        <f ca="1">+UPPER(Tabla1321124[[#This Row],[DESCRIPCIÓN DE LA COMPRA O CONTRATACIÓN]])</f>
        <v>FELPAS NEGRAS</v>
      </c>
      <c r="C1694" s="39" t="s">
        <v>17</v>
      </c>
      <c r="D1694" s="236">
        <v>100</v>
      </c>
      <c r="E1694" s="236">
        <v>100</v>
      </c>
      <c r="F1694" s="236">
        <v>100</v>
      </c>
      <c r="G1694" s="236">
        <v>100</v>
      </c>
      <c r="H1694" s="299">
        <f>SUM(Tabla1321124[[#This Row],[PRIMER TRIMESTRE]:[CUARTO TRIMESTRE]])</f>
        <v>400</v>
      </c>
      <c r="I1694" s="17">
        <v>23.32</v>
      </c>
      <c r="J1694" s="17">
        <f t="shared" si="27"/>
        <v>9328</v>
      </c>
      <c r="K1694" s="17"/>
      <c r="L1694" s="16" t="s">
        <v>18</v>
      </c>
      <c r="M1694" s="16" t="s">
        <v>22</v>
      </c>
      <c r="N1694" s="16" t="s">
        <v>418</v>
      </c>
      <c r="O1694" s="392"/>
      <c r="P1694" s="392"/>
      <c r="Q1694" s="392"/>
      <c r="R1694" s="392"/>
      <c r="S1694" s="392"/>
      <c r="T1694" s="392"/>
      <c r="U1694" s="392"/>
      <c r="V1694" s="392"/>
      <c r="W1694" s="392"/>
      <c r="X1694" s="392"/>
      <c r="Y1694" s="392"/>
      <c r="Z1694" s="392"/>
      <c r="AA1694" s="392"/>
      <c r="AB1694" s="392"/>
      <c r="AC1694" s="392"/>
      <c r="AD1694" s="392"/>
      <c r="AE1694" s="392"/>
      <c r="AF1694" s="392"/>
      <c r="AG1694" s="392"/>
      <c r="AH1694" s="392"/>
      <c r="AI1694" s="392"/>
      <c r="AJ1694" s="392"/>
      <c r="AK1694" s="392"/>
      <c r="AL1694" s="392"/>
      <c r="AM1694" s="392"/>
      <c r="AN1694" s="392"/>
      <c r="AO1694" s="392"/>
      <c r="AP1694" s="392"/>
      <c r="AQ1694" s="392"/>
      <c r="AR1694" s="392"/>
      <c r="AS1694" s="392"/>
      <c r="AT1694" s="392"/>
      <c r="AU1694" s="392"/>
      <c r="AV1694" s="392"/>
      <c r="AW1694" s="392"/>
      <c r="AX1694" s="392"/>
      <c r="AY1694" s="392"/>
      <c r="AZ1694" s="392"/>
      <c r="BA1694" s="392"/>
      <c r="BB1694" s="392"/>
      <c r="BC1694" s="392"/>
      <c r="BD1694" s="392"/>
      <c r="BE1694" s="392"/>
      <c r="BF1694" s="392"/>
      <c r="BG1694" s="392"/>
      <c r="BH1694" s="392"/>
      <c r="BI1694" s="392"/>
      <c r="BJ1694" s="392"/>
      <c r="BK1694" s="392"/>
      <c r="BL1694" s="392"/>
      <c r="BM1694" s="392"/>
      <c r="BN1694" s="392"/>
      <c r="BO1694" s="392"/>
      <c r="BP1694" s="392"/>
      <c r="BQ1694" s="392"/>
      <c r="BR1694" s="392"/>
      <c r="BS1694" s="392"/>
    </row>
    <row r="1695" spans="1:71" s="349" customFormat="1" ht="41.25" customHeight="1">
      <c r="A1695" s="178" t="s">
        <v>120</v>
      </c>
      <c r="B1695" s="75" t="str">
        <f ca="1">+UPPER(Tabla1321124[[#This Row],[DESCRIPCIÓN DE LA COMPRA O CONTRATACIÓN]])</f>
        <v>FELPAS AZULES</v>
      </c>
      <c r="C1695" s="39" t="s">
        <v>17</v>
      </c>
      <c r="D1695" s="236">
        <v>100</v>
      </c>
      <c r="E1695" s="236">
        <v>100</v>
      </c>
      <c r="F1695" s="236">
        <v>100</v>
      </c>
      <c r="G1695" s="236">
        <v>100</v>
      </c>
      <c r="H1695" s="299">
        <f>SUM(Tabla1321124[[#This Row],[PRIMER TRIMESTRE]:[CUARTO TRIMESTRE]])</f>
        <v>400</v>
      </c>
      <c r="I1695" s="17">
        <v>23.32</v>
      </c>
      <c r="J1695" s="17">
        <f t="shared" si="27"/>
        <v>9328</v>
      </c>
      <c r="K1695" s="17"/>
      <c r="L1695" s="16" t="s">
        <v>18</v>
      </c>
      <c r="M1695" s="16" t="s">
        <v>22</v>
      </c>
      <c r="N1695" s="16" t="s">
        <v>418</v>
      </c>
      <c r="O1695" s="392"/>
      <c r="P1695" s="392"/>
      <c r="Q1695" s="392"/>
      <c r="R1695" s="392"/>
      <c r="S1695" s="392"/>
      <c r="T1695" s="392"/>
      <c r="U1695" s="392"/>
      <c r="V1695" s="392"/>
      <c r="W1695" s="392"/>
      <c r="X1695" s="392"/>
      <c r="Y1695" s="392"/>
      <c r="Z1695" s="392"/>
      <c r="AA1695" s="392"/>
      <c r="AB1695" s="392"/>
      <c r="AC1695" s="392"/>
      <c r="AD1695" s="392"/>
      <c r="AE1695" s="392"/>
      <c r="AF1695" s="392"/>
      <c r="AG1695" s="392"/>
      <c r="AH1695" s="392"/>
      <c r="AI1695" s="392"/>
      <c r="AJ1695" s="392"/>
      <c r="AK1695" s="392"/>
      <c r="AL1695" s="392"/>
      <c r="AM1695" s="392"/>
      <c r="AN1695" s="392"/>
      <c r="AO1695" s="392"/>
      <c r="AP1695" s="392"/>
      <c r="AQ1695" s="392"/>
      <c r="AR1695" s="392"/>
      <c r="AS1695" s="392"/>
      <c r="AT1695" s="392"/>
      <c r="AU1695" s="392"/>
      <c r="AV1695" s="392"/>
      <c r="AW1695" s="392"/>
      <c r="AX1695" s="392"/>
      <c r="AY1695" s="392"/>
      <c r="AZ1695" s="392"/>
      <c r="BA1695" s="392"/>
      <c r="BB1695" s="392"/>
      <c r="BC1695" s="392"/>
      <c r="BD1695" s="392"/>
      <c r="BE1695" s="392"/>
      <c r="BF1695" s="392"/>
      <c r="BG1695" s="392"/>
      <c r="BH1695" s="392"/>
      <c r="BI1695" s="392"/>
      <c r="BJ1695" s="392"/>
      <c r="BK1695" s="392"/>
      <c r="BL1695" s="392"/>
      <c r="BM1695" s="392"/>
      <c r="BN1695" s="392"/>
      <c r="BO1695" s="392"/>
      <c r="BP1695" s="392"/>
      <c r="BQ1695" s="392"/>
      <c r="BR1695" s="392"/>
      <c r="BS1695" s="392"/>
    </row>
    <row r="1696" spans="1:71" s="359" customFormat="1" ht="41.25" customHeight="1">
      <c r="A1696" s="372" t="s">
        <v>120</v>
      </c>
      <c r="B1696" s="75" t="str">
        <f ca="1">+UPPER(Tabla1321124[[#This Row],[DESCRIPCIÓN DE LA COMPRA O CONTRATACIÓN]])</f>
        <v>SOMBRILLA GRANDE</v>
      </c>
      <c r="C1696" s="39" t="s">
        <v>17</v>
      </c>
      <c r="D1696" s="529">
        <v>4</v>
      </c>
      <c r="E1696" s="362"/>
      <c r="F1696" s="552">
        <v>4</v>
      </c>
      <c r="G1696" s="362"/>
      <c r="H1696" s="299">
        <f>SUM(Tabla1321124[[#This Row],[PRIMER TRIMESTRE]:[CUARTO TRIMESTRE]])</f>
        <v>8</v>
      </c>
      <c r="I1696" s="17">
        <v>450</v>
      </c>
      <c r="J1696" s="17">
        <f t="shared" si="27"/>
        <v>3600</v>
      </c>
      <c r="K1696" s="175"/>
      <c r="L1696" s="16" t="s">
        <v>18</v>
      </c>
      <c r="M1696" s="16" t="s">
        <v>22</v>
      </c>
      <c r="N1696" s="16" t="s">
        <v>418</v>
      </c>
      <c r="O1696" s="392"/>
      <c r="P1696" s="392"/>
      <c r="Q1696" s="392"/>
      <c r="R1696" s="392"/>
      <c r="S1696" s="392"/>
      <c r="T1696" s="392"/>
      <c r="U1696" s="392"/>
      <c r="V1696" s="392"/>
      <c r="W1696" s="392"/>
      <c r="X1696" s="392"/>
      <c r="Y1696" s="392"/>
      <c r="Z1696" s="392"/>
      <c r="AA1696" s="392"/>
      <c r="AB1696" s="392"/>
      <c r="AC1696" s="392"/>
      <c r="AD1696" s="392"/>
      <c r="AE1696" s="392"/>
      <c r="AF1696" s="392"/>
      <c r="AG1696" s="392"/>
      <c r="AH1696" s="392"/>
      <c r="AI1696" s="392"/>
      <c r="AJ1696" s="392"/>
      <c r="AK1696" s="392"/>
      <c r="AL1696" s="392"/>
      <c r="AM1696" s="392"/>
      <c r="AN1696" s="392"/>
      <c r="AO1696" s="392"/>
      <c r="AP1696" s="392"/>
      <c r="AQ1696" s="392"/>
      <c r="AR1696" s="392"/>
      <c r="AS1696" s="392"/>
      <c r="AT1696" s="392"/>
      <c r="AU1696" s="392"/>
      <c r="AV1696" s="392"/>
      <c r="AW1696" s="392"/>
      <c r="AX1696" s="392"/>
      <c r="AY1696" s="392"/>
      <c r="AZ1696" s="392"/>
      <c r="BA1696" s="392"/>
      <c r="BB1696" s="392"/>
      <c r="BC1696" s="392"/>
      <c r="BD1696" s="392"/>
      <c r="BE1696" s="392"/>
      <c r="BF1696" s="392"/>
      <c r="BG1696" s="392"/>
      <c r="BH1696" s="392"/>
      <c r="BI1696" s="392"/>
      <c r="BJ1696" s="392"/>
      <c r="BK1696" s="392"/>
      <c r="BL1696" s="392"/>
      <c r="BM1696" s="392"/>
      <c r="BN1696" s="392"/>
      <c r="BO1696" s="392"/>
      <c r="BP1696" s="392"/>
      <c r="BQ1696" s="392"/>
      <c r="BR1696" s="392"/>
      <c r="BS1696" s="392"/>
    </row>
    <row r="1697" spans="1:71" s="359" customFormat="1" ht="41.25" customHeight="1">
      <c r="A1697" s="178" t="s">
        <v>120</v>
      </c>
      <c r="B1697" s="75" t="str">
        <f ca="1">+UPPER(Tabla1321124[[#This Row],[DESCRIPCIÓN DE LA COMPRA O CONTRATACIÓN]])</f>
        <v>FOLDERS 8 1/2 X 11 AMARILLO EN CAJA DE 100 UDS</v>
      </c>
      <c r="C1697" s="39" t="s">
        <v>208</v>
      </c>
      <c r="D1697" s="236">
        <v>250</v>
      </c>
      <c r="E1697" s="236">
        <v>250</v>
      </c>
      <c r="F1697" s="236">
        <v>250</v>
      </c>
      <c r="G1697" s="236">
        <v>250</v>
      </c>
      <c r="H1697" s="299">
        <f>SUM(Tabla1321124[[#This Row],[PRIMER TRIMESTRE]:[CUARTO TRIMESTRE]])</f>
        <v>1000</v>
      </c>
      <c r="I1697" s="17">
        <v>194.7</v>
      </c>
      <c r="J1697" s="17">
        <f t="shared" si="27"/>
        <v>194700</v>
      </c>
      <c r="K1697" s="17"/>
      <c r="L1697" s="16" t="s">
        <v>18</v>
      </c>
      <c r="M1697" s="16" t="s">
        <v>22</v>
      </c>
      <c r="N1697" s="16" t="s">
        <v>418</v>
      </c>
      <c r="O1697" s="392"/>
      <c r="P1697" s="392"/>
      <c r="Q1697" s="392"/>
      <c r="R1697" s="392"/>
      <c r="S1697" s="392"/>
      <c r="T1697" s="392"/>
      <c r="U1697" s="392"/>
      <c r="V1697" s="392"/>
      <c r="W1697" s="392"/>
      <c r="X1697" s="392"/>
      <c r="Y1697" s="392"/>
      <c r="Z1697" s="392"/>
      <c r="AA1697" s="392"/>
      <c r="AB1697" s="392"/>
      <c r="AC1697" s="392"/>
      <c r="AD1697" s="392"/>
      <c r="AE1697" s="392"/>
      <c r="AF1697" s="392"/>
      <c r="AG1697" s="392"/>
      <c r="AH1697" s="392"/>
      <c r="AI1697" s="392"/>
      <c r="AJ1697" s="392"/>
      <c r="AK1697" s="392"/>
      <c r="AL1697" s="392"/>
      <c r="AM1697" s="392"/>
      <c r="AN1697" s="392"/>
      <c r="AO1697" s="392"/>
      <c r="AP1697" s="392"/>
      <c r="AQ1697" s="392"/>
      <c r="AR1697" s="392"/>
      <c r="AS1697" s="392"/>
      <c r="AT1697" s="392"/>
      <c r="AU1697" s="392"/>
      <c r="AV1697" s="392"/>
      <c r="AW1697" s="392"/>
      <c r="AX1697" s="392"/>
      <c r="AY1697" s="392"/>
      <c r="AZ1697" s="392"/>
      <c r="BA1697" s="392"/>
      <c r="BB1697" s="392"/>
      <c r="BC1697" s="392"/>
      <c r="BD1697" s="392"/>
      <c r="BE1697" s="392"/>
      <c r="BF1697" s="392"/>
      <c r="BG1697" s="392"/>
      <c r="BH1697" s="392"/>
      <c r="BI1697" s="392"/>
      <c r="BJ1697" s="392"/>
      <c r="BK1697" s="392"/>
      <c r="BL1697" s="392"/>
      <c r="BM1697" s="392"/>
      <c r="BN1697" s="392"/>
      <c r="BO1697" s="392"/>
      <c r="BP1697" s="392"/>
      <c r="BQ1697" s="392"/>
      <c r="BR1697" s="392"/>
      <c r="BS1697" s="392"/>
    </row>
    <row r="1698" spans="1:71" s="359" customFormat="1" ht="41.25" customHeight="1">
      <c r="A1698" s="178" t="s">
        <v>120</v>
      </c>
      <c r="B1698" s="75" t="str">
        <f ca="1">+UPPER(Tabla1321124[[#This Row],[DESCRIPCIÓN DE LA COMPRA O CONTRATACIÓN]])</f>
        <v>FOLDERS 8 1/2 X 13 AMARILLO EN CAJA DE 100 UDS</v>
      </c>
      <c r="C1698" s="39" t="s">
        <v>208</v>
      </c>
      <c r="D1698" s="236">
        <v>100</v>
      </c>
      <c r="E1698" s="236">
        <v>100</v>
      </c>
      <c r="F1698" s="236">
        <v>100</v>
      </c>
      <c r="G1698" s="236">
        <v>100</v>
      </c>
      <c r="H1698" s="299">
        <f>SUM(Tabla1321124[[#This Row],[PRIMER TRIMESTRE]:[CUARTO TRIMESTRE]])</f>
        <v>400</v>
      </c>
      <c r="I1698" s="17">
        <v>309.14</v>
      </c>
      <c r="J1698" s="17">
        <f t="shared" si="27"/>
        <v>123656</v>
      </c>
      <c r="K1698" s="17"/>
      <c r="L1698" s="16" t="s">
        <v>18</v>
      </c>
      <c r="M1698" s="16" t="s">
        <v>22</v>
      </c>
      <c r="N1698" s="16" t="s">
        <v>418</v>
      </c>
      <c r="O1698" s="392"/>
      <c r="P1698" s="392"/>
      <c r="Q1698" s="392"/>
      <c r="R1698" s="392"/>
      <c r="S1698" s="392"/>
      <c r="T1698" s="392"/>
      <c r="U1698" s="392"/>
      <c r="V1698" s="392"/>
      <c r="W1698" s="392"/>
      <c r="X1698" s="392"/>
      <c r="Y1698" s="392"/>
      <c r="Z1698" s="392"/>
      <c r="AA1698" s="392"/>
      <c r="AB1698" s="392"/>
      <c r="AC1698" s="392"/>
      <c r="AD1698" s="392"/>
      <c r="AE1698" s="392"/>
      <c r="AF1698" s="392"/>
      <c r="AG1698" s="392"/>
      <c r="AH1698" s="392"/>
      <c r="AI1698" s="392"/>
      <c r="AJ1698" s="392"/>
      <c r="AK1698" s="392"/>
      <c r="AL1698" s="392"/>
      <c r="AM1698" s="392"/>
      <c r="AN1698" s="392"/>
      <c r="AO1698" s="392"/>
      <c r="AP1698" s="392"/>
      <c r="AQ1698" s="392"/>
      <c r="AR1698" s="392"/>
      <c r="AS1698" s="392"/>
      <c r="AT1698" s="392"/>
      <c r="AU1698" s="392"/>
      <c r="AV1698" s="392"/>
      <c r="AW1698" s="392"/>
      <c r="AX1698" s="392"/>
      <c r="AY1698" s="392"/>
      <c r="AZ1698" s="392"/>
      <c r="BA1698" s="392"/>
      <c r="BB1698" s="392"/>
      <c r="BC1698" s="392"/>
      <c r="BD1698" s="392"/>
      <c r="BE1698" s="392"/>
      <c r="BF1698" s="392"/>
      <c r="BG1698" s="392"/>
      <c r="BH1698" s="392"/>
      <c r="BI1698" s="392"/>
      <c r="BJ1698" s="392"/>
      <c r="BK1698" s="392"/>
      <c r="BL1698" s="392"/>
      <c r="BM1698" s="392"/>
      <c r="BN1698" s="392"/>
      <c r="BO1698" s="392"/>
      <c r="BP1698" s="392"/>
      <c r="BQ1698" s="392"/>
      <c r="BR1698" s="392"/>
      <c r="BS1698" s="392"/>
    </row>
    <row r="1699" spans="1:71" s="359" customFormat="1" ht="41.25" customHeight="1">
      <c r="A1699" s="178" t="s">
        <v>120</v>
      </c>
      <c r="B1699" s="75" t="str">
        <f ca="1">+UPPER(Tabla1321124[[#This Row],[DESCRIPCIÓN DE LA COMPRA O CONTRATACIÓN]])</f>
        <v>FOLDERS 8 1/2 X 11 AMARILLO EN CAJA DE 100 UDS CON LOGO CARPETA</v>
      </c>
      <c r="C1699" s="39" t="s">
        <v>417</v>
      </c>
      <c r="D1699" s="236">
        <v>2000</v>
      </c>
      <c r="E1699" s="236">
        <v>1000</v>
      </c>
      <c r="F1699" s="236">
        <v>2000</v>
      </c>
      <c r="G1699" s="236">
        <v>1000</v>
      </c>
      <c r="H1699" s="299">
        <f>SUM(Tabla1321124[[#This Row],[PRIMER TRIMESTRE]:[CUARTO TRIMESTRE]])</f>
        <v>6000</v>
      </c>
      <c r="I1699" s="17">
        <v>15</v>
      </c>
      <c r="J1699" s="17">
        <f t="shared" si="27"/>
        <v>90000</v>
      </c>
      <c r="K1699" s="345"/>
      <c r="L1699" s="16" t="s">
        <v>18</v>
      </c>
      <c r="M1699" s="16" t="s">
        <v>22</v>
      </c>
      <c r="N1699" s="16" t="s">
        <v>418</v>
      </c>
      <c r="O1699" s="392"/>
      <c r="P1699" s="392"/>
      <c r="Q1699" s="392"/>
      <c r="R1699" s="392"/>
      <c r="S1699" s="392"/>
      <c r="T1699" s="392"/>
      <c r="U1699" s="392"/>
      <c r="V1699" s="392"/>
      <c r="W1699" s="392"/>
      <c r="X1699" s="392"/>
      <c r="Y1699" s="392"/>
      <c r="Z1699" s="392"/>
      <c r="AA1699" s="392"/>
      <c r="AB1699" s="392"/>
      <c r="AC1699" s="392"/>
      <c r="AD1699" s="392"/>
      <c r="AE1699" s="392"/>
      <c r="AF1699" s="392"/>
      <c r="AG1699" s="392"/>
      <c r="AH1699" s="392"/>
      <c r="AI1699" s="392"/>
      <c r="AJ1699" s="392"/>
      <c r="AK1699" s="392"/>
      <c r="AL1699" s="392"/>
      <c r="AM1699" s="392"/>
      <c r="AN1699" s="392"/>
      <c r="AO1699" s="392"/>
      <c r="AP1699" s="392"/>
      <c r="AQ1699" s="392"/>
      <c r="AR1699" s="392"/>
      <c r="AS1699" s="392"/>
      <c r="AT1699" s="392"/>
      <c r="AU1699" s="392"/>
      <c r="AV1699" s="392"/>
      <c r="AW1699" s="392"/>
      <c r="AX1699" s="392"/>
      <c r="AY1699" s="392"/>
      <c r="AZ1699" s="392"/>
      <c r="BA1699" s="392"/>
      <c r="BB1699" s="392"/>
      <c r="BC1699" s="392"/>
      <c r="BD1699" s="392"/>
      <c r="BE1699" s="392"/>
      <c r="BF1699" s="392"/>
      <c r="BG1699" s="392"/>
      <c r="BH1699" s="392"/>
      <c r="BI1699" s="392"/>
      <c r="BJ1699" s="392"/>
      <c r="BK1699" s="392"/>
      <c r="BL1699" s="392"/>
      <c r="BM1699" s="392"/>
      <c r="BN1699" s="392"/>
      <c r="BO1699" s="392"/>
      <c r="BP1699" s="392"/>
      <c r="BQ1699" s="392"/>
      <c r="BR1699" s="392"/>
      <c r="BS1699" s="392"/>
    </row>
    <row r="1700" spans="1:71" s="359" customFormat="1" ht="41.25" customHeight="1">
      <c r="A1700" s="178" t="s">
        <v>120</v>
      </c>
      <c r="B1700" s="75" t="str">
        <f ca="1">+UPPER(Tabla1321124[[#This Row],[DESCRIPCIÓN DE LA COMPRA O CONTRATACIÓN]])</f>
        <v>FOLDERS 8 1/2 X 11 DE 2 DIVISIONES (PARTITION) VERDE</v>
      </c>
      <c r="C1700" s="39" t="s">
        <v>417</v>
      </c>
      <c r="D1700" s="236">
        <v>2000</v>
      </c>
      <c r="E1700" s="236">
        <v>1000</v>
      </c>
      <c r="F1700" s="236">
        <v>2000</v>
      </c>
      <c r="G1700" s="236">
        <v>1000</v>
      </c>
      <c r="H1700" s="299">
        <f>SUM(Tabla1321124[[#This Row],[PRIMER TRIMESTRE]:[CUARTO TRIMESTRE]])</f>
        <v>6000</v>
      </c>
      <c r="I1700" s="17">
        <v>17</v>
      </c>
      <c r="J1700" s="17">
        <f t="shared" si="27"/>
        <v>102000</v>
      </c>
      <c r="K1700" s="345"/>
      <c r="L1700" s="16" t="s">
        <v>18</v>
      </c>
      <c r="M1700" s="16" t="s">
        <v>22</v>
      </c>
      <c r="N1700" s="16" t="s">
        <v>418</v>
      </c>
      <c r="O1700" s="392"/>
      <c r="P1700" s="392"/>
      <c r="Q1700" s="392"/>
      <c r="R1700" s="392"/>
      <c r="S1700" s="392"/>
      <c r="T1700" s="392"/>
      <c r="U1700" s="392"/>
      <c r="V1700" s="392"/>
      <c r="W1700" s="392"/>
      <c r="X1700" s="392"/>
      <c r="Y1700" s="392"/>
      <c r="Z1700" s="392"/>
      <c r="AA1700" s="392"/>
      <c r="AB1700" s="392"/>
      <c r="AC1700" s="392"/>
      <c r="AD1700" s="392"/>
      <c r="AE1700" s="392"/>
      <c r="AF1700" s="392"/>
      <c r="AG1700" s="392"/>
      <c r="AH1700" s="392"/>
      <c r="AI1700" s="392"/>
      <c r="AJ1700" s="392"/>
      <c r="AK1700" s="392"/>
      <c r="AL1700" s="392"/>
      <c r="AM1700" s="392"/>
      <c r="AN1700" s="392"/>
      <c r="AO1700" s="392"/>
      <c r="AP1700" s="392"/>
      <c r="AQ1700" s="392"/>
      <c r="AR1700" s="392"/>
      <c r="AS1700" s="392"/>
      <c r="AT1700" s="392"/>
      <c r="AU1700" s="392"/>
      <c r="AV1700" s="392"/>
      <c r="AW1700" s="392"/>
      <c r="AX1700" s="392"/>
      <c r="AY1700" s="392"/>
      <c r="AZ1700" s="392"/>
      <c r="BA1700" s="392"/>
      <c r="BB1700" s="392"/>
      <c r="BC1700" s="392"/>
      <c r="BD1700" s="392"/>
      <c r="BE1700" s="392"/>
      <c r="BF1700" s="392"/>
      <c r="BG1700" s="392"/>
      <c r="BH1700" s="392"/>
      <c r="BI1700" s="392"/>
      <c r="BJ1700" s="392"/>
      <c r="BK1700" s="392"/>
      <c r="BL1700" s="392"/>
      <c r="BM1700" s="392"/>
      <c r="BN1700" s="392"/>
      <c r="BO1700" s="392"/>
      <c r="BP1700" s="392"/>
      <c r="BQ1700" s="392"/>
      <c r="BR1700" s="392"/>
      <c r="BS1700" s="392"/>
    </row>
    <row r="1701" spans="1:71" s="359" customFormat="1" ht="41.25" customHeight="1">
      <c r="A1701" s="178" t="s">
        <v>120</v>
      </c>
      <c r="B1701" s="75" t="str">
        <f ca="1">+UPPER(Tabla1321124[[#This Row],[DESCRIPCIÓN DE LA COMPRA O CONTRATACIÓN]])</f>
        <v>GRAPAS STANDARS</v>
      </c>
      <c r="C1701" s="39" t="s">
        <v>255</v>
      </c>
      <c r="D1701" s="236">
        <v>400</v>
      </c>
      <c r="E1701" s="236">
        <v>400</v>
      </c>
      <c r="F1701" s="236">
        <v>400</v>
      </c>
      <c r="G1701" s="236">
        <v>400</v>
      </c>
      <c r="H1701" s="299">
        <f>SUM(Tabla1321124[[#This Row],[PRIMER TRIMESTRE]:[CUARTO TRIMESTRE]])</f>
        <v>1600</v>
      </c>
      <c r="I1701" s="17">
        <v>29.5</v>
      </c>
      <c r="J1701" s="17">
        <f t="shared" si="27"/>
        <v>47200</v>
      </c>
      <c r="K1701" s="17"/>
      <c r="L1701" s="16" t="s">
        <v>18</v>
      </c>
      <c r="M1701" s="16" t="s">
        <v>22</v>
      </c>
      <c r="N1701" s="16" t="s">
        <v>418</v>
      </c>
      <c r="O1701" s="392"/>
      <c r="P1701" s="392"/>
      <c r="Q1701" s="392"/>
      <c r="R1701" s="392"/>
      <c r="S1701" s="392"/>
      <c r="T1701" s="392"/>
      <c r="U1701" s="392"/>
      <c r="V1701" s="392"/>
      <c r="W1701" s="392"/>
      <c r="X1701" s="392"/>
      <c r="Y1701" s="392"/>
      <c r="Z1701" s="392"/>
      <c r="AA1701" s="392"/>
      <c r="AB1701" s="392"/>
      <c r="AC1701" s="392"/>
      <c r="AD1701" s="392"/>
      <c r="AE1701" s="392"/>
      <c r="AF1701" s="392"/>
      <c r="AG1701" s="392"/>
      <c r="AH1701" s="392"/>
      <c r="AI1701" s="392"/>
      <c r="AJ1701" s="392"/>
      <c r="AK1701" s="392"/>
      <c r="AL1701" s="392"/>
      <c r="AM1701" s="392"/>
      <c r="AN1701" s="392"/>
      <c r="AO1701" s="392"/>
      <c r="AP1701" s="392"/>
      <c r="AQ1701" s="392"/>
      <c r="AR1701" s="392"/>
      <c r="AS1701" s="392"/>
      <c r="AT1701" s="392"/>
      <c r="AU1701" s="392"/>
      <c r="AV1701" s="392"/>
      <c r="AW1701" s="392"/>
      <c r="AX1701" s="392"/>
      <c r="AY1701" s="392"/>
      <c r="AZ1701" s="392"/>
      <c r="BA1701" s="392"/>
      <c r="BB1701" s="392"/>
      <c r="BC1701" s="392"/>
      <c r="BD1701" s="392"/>
      <c r="BE1701" s="392"/>
      <c r="BF1701" s="392"/>
      <c r="BG1701" s="392"/>
      <c r="BH1701" s="392"/>
      <c r="BI1701" s="392"/>
      <c r="BJ1701" s="392"/>
      <c r="BK1701" s="392"/>
      <c r="BL1701" s="392"/>
      <c r="BM1701" s="392"/>
      <c r="BN1701" s="392"/>
      <c r="BO1701" s="392"/>
      <c r="BP1701" s="392"/>
      <c r="BQ1701" s="392"/>
      <c r="BR1701" s="392"/>
      <c r="BS1701" s="392"/>
    </row>
    <row r="1702" spans="1:71" s="359" customFormat="1" ht="41.25" customHeight="1">
      <c r="A1702" s="178" t="s">
        <v>120</v>
      </c>
      <c r="B1702" s="75" t="str">
        <f ca="1">+UPPER(Tabla1321124[[#This Row],[DESCRIPCIÓN DE LA COMPRA O CONTRATACIÓN]])</f>
        <v>GOMAS DE BORRAR</v>
      </c>
      <c r="C1702" s="39" t="s">
        <v>417</v>
      </c>
      <c r="D1702" s="236">
        <v>100</v>
      </c>
      <c r="E1702" s="236">
        <v>100</v>
      </c>
      <c r="F1702" s="236">
        <v>1000</v>
      </c>
      <c r="G1702" s="236">
        <v>100</v>
      </c>
      <c r="H1702" s="299">
        <f>SUM(Tabla1321124[[#This Row],[PRIMER TRIMESTRE]:[CUARTO TRIMESTRE]])</f>
        <v>1300</v>
      </c>
      <c r="I1702" s="17">
        <v>12</v>
      </c>
      <c r="J1702" s="17">
        <f t="shared" si="27"/>
        <v>15600</v>
      </c>
      <c r="K1702" s="17"/>
      <c r="L1702" s="16" t="s">
        <v>18</v>
      </c>
      <c r="M1702" s="16" t="s">
        <v>22</v>
      </c>
      <c r="N1702" s="16" t="s">
        <v>418</v>
      </c>
      <c r="O1702" s="392"/>
      <c r="P1702" s="392"/>
      <c r="Q1702" s="392"/>
      <c r="R1702" s="392"/>
      <c r="S1702" s="392"/>
      <c r="T1702" s="392"/>
      <c r="U1702" s="392"/>
      <c r="V1702" s="392"/>
      <c r="W1702" s="392"/>
      <c r="X1702" s="392"/>
      <c r="Y1702" s="392"/>
      <c r="Z1702" s="392"/>
      <c r="AA1702" s="392"/>
      <c r="AB1702" s="392"/>
      <c r="AC1702" s="392"/>
      <c r="AD1702" s="392"/>
      <c r="AE1702" s="392"/>
      <c r="AF1702" s="392"/>
      <c r="AG1702" s="392"/>
      <c r="AH1702" s="392"/>
      <c r="AI1702" s="392"/>
      <c r="AJ1702" s="392"/>
      <c r="AK1702" s="392"/>
      <c r="AL1702" s="392"/>
      <c r="AM1702" s="392"/>
      <c r="AN1702" s="392"/>
      <c r="AO1702" s="392"/>
      <c r="AP1702" s="392"/>
      <c r="AQ1702" s="392"/>
      <c r="AR1702" s="392"/>
      <c r="AS1702" s="392"/>
      <c r="AT1702" s="392"/>
      <c r="AU1702" s="392"/>
      <c r="AV1702" s="392"/>
      <c r="AW1702" s="392"/>
      <c r="AX1702" s="392"/>
      <c r="AY1702" s="392"/>
      <c r="AZ1702" s="392"/>
      <c r="BA1702" s="392"/>
      <c r="BB1702" s="392"/>
      <c r="BC1702" s="392"/>
      <c r="BD1702" s="392"/>
      <c r="BE1702" s="392"/>
      <c r="BF1702" s="392"/>
      <c r="BG1702" s="392"/>
      <c r="BH1702" s="392"/>
      <c r="BI1702" s="392"/>
      <c r="BJ1702" s="392"/>
      <c r="BK1702" s="392"/>
      <c r="BL1702" s="392"/>
      <c r="BM1702" s="392"/>
      <c r="BN1702" s="392"/>
      <c r="BO1702" s="392"/>
      <c r="BP1702" s="392"/>
      <c r="BQ1702" s="392"/>
      <c r="BR1702" s="392"/>
      <c r="BS1702" s="392"/>
    </row>
    <row r="1703" spans="1:71" s="359" customFormat="1" ht="41.25" customHeight="1">
      <c r="A1703" s="178" t="s">
        <v>120</v>
      </c>
      <c r="B1703" s="75" t="str">
        <f ca="1">+UPPER(Tabla1321124[[#This Row],[DESCRIPCIÓN DE LA COMPRA O CONTRATACIÓN]])</f>
        <v>LAPIZ CARBON HB= 2 CAJAS DE 12 UDS</v>
      </c>
      <c r="C1703" s="39" t="s">
        <v>208</v>
      </c>
      <c r="D1703" s="236">
        <v>250</v>
      </c>
      <c r="E1703" s="236">
        <v>250</v>
      </c>
      <c r="F1703" s="236">
        <v>250</v>
      </c>
      <c r="G1703" s="236">
        <v>250</v>
      </c>
      <c r="H1703" s="299">
        <f>SUM(Tabla1321124[[#This Row],[PRIMER TRIMESTRE]:[CUARTO TRIMESTRE]])</f>
        <v>1000</v>
      </c>
      <c r="I1703" s="17">
        <v>69.599999999999994</v>
      </c>
      <c r="J1703" s="17">
        <f t="shared" si="27"/>
        <v>69600</v>
      </c>
      <c r="K1703" s="17"/>
      <c r="L1703" s="16" t="s">
        <v>18</v>
      </c>
      <c r="M1703" s="16" t="s">
        <v>22</v>
      </c>
      <c r="N1703" s="16" t="s">
        <v>418</v>
      </c>
      <c r="O1703" s="392"/>
      <c r="P1703" s="392"/>
      <c r="Q1703" s="392"/>
      <c r="R1703" s="392"/>
      <c r="S1703" s="392"/>
      <c r="T1703" s="392"/>
      <c r="U1703" s="392"/>
      <c r="V1703" s="392"/>
      <c r="W1703" s="392"/>
      <c r="X1703" s="392"/>
      <c r="Y1703" s="392"/>
      <c r="Z1703" s="392"/>
      <c r="AA1703" s="392"/>
      <c r="AB1703" s="392"/>
      <c r="AC1703" s="392"/>
      <c r="AD1703" s="392"/>
      <c r="AE1703" s="392"/>
      <c r="AF1703" s="392"/>
      <c r="AG1703" s="392"/>
      <c r="AH1703" s="392"/>
      <c r="AI1703" s="392"/>
      <c r="AJ1703" s="392"/>
      <c r="AK1703" s="392"/>
      <c r="AL1703" s="392"/>
      <c r="AM1703" s="392"/>
      <c r="AN1703" s="392"/>
      <c r="AO1703" s="392"/>
      <c r="AP1703" s="392"/>
      <c r="AQ1703" s="392"/>
      <c r="AR1703" s="392"/>
      <c r="AS1703" s="392"/>
      <c r="AT1703" s="392"/>
      <c r="AU1703" s="392"/>
      <c r="AV1703" s="392"/>
      <c r="AW1703" s="392"/>
      <c r="AX1703" s="392"/>
      <c r="AY1703" s="392"/>
      <c r="AZ1703" s="392"/>
      <c r="BA1703" s="392"/>
      <c r="BB1703" s="392"/>
      <c r="BC1703" s="392"/>
      <c r="BD1703" s="392"/>
      <c r="BE1703" s="392"/>
      <c r="BF1703" s="392"/>
      <c r="BG1703" s="392"/>
      <c r="BH1703" s="392"/>
      <c r="BI1703" s="392"/>
      <c r="BJ1703" s="392"/>
      <c r="BK1703" s="392"/>
      <c r="BL1703" s="392"/>
      <c r="BM1703" s="392"/>
      <c r="BN1703" s="392"/>
      <c r="BO1703" s="392"/>
      <c r="BP1703" s="392"/>
      <c r="BQ1703" s="392"/>
      <c r="BR1703" s="392"/>
      <c r="BS1703" s="392"/>
    </row>
    <row r="1704" spans="1:71" s="349" customFormat="1" ht="41.25" customHeight="1">
      <c r="A1704" s="178" t="s">
        <v>120</v>
      </c>
      <c r="B1704" s="75" t="str">
        <f ca="1">+UPPER(Tabla1321124[[#This Row],[DESCRIPCIÓN DE LA COMPRA O CONTRATACIÓN]])</f>
        <v>LIBRETA RAYADA 8 1/2" X 11"</v>
      </c>
      <c r="C1704" s="39" t="s">
        <v>417</v>
      </c>
      <c r="D1704" s="236">
        <v>400</v>
      </c>
      <c r="E1704" s="236">
        <v>400</v>
      </c>
      <c r="F1704" s="236">
        <v>400</v>
      </c>
      <c r="G1704" s="236">
        <v>400</v>
      </c>
      <c r="H1704" s="299">
        <f>SUM(Tabla1321124[[#This Row],[PRIMER TRIMESTRE]:[CUARTO TRIMESTRE]])</f>
        <v>1600</v>
      </c>
      <c r="I1704" s="17">
        <v>43.7</v>
      </c>
      <c r="J1704" s="17">
        <f t="shared" si="27"/>
        <v>69920</v>
      </c>
      <c r="K1704" s="17"/>
      <c r="L1704" s="16" t="s">
        <v>18</v>
      </c>
      <c r="M1704" s="16" t="s">
        <v>22</v>
      </c>
      <c r="N1704" s="16" t="s">
        <v>418</v>
      </c>
      <c r="O1704" s="392"/>
      <c r="P1704" s="392"/>
      <c r="Q1704" s="392"/>
      <c r="R1704" s="392"/>
      <c r="S1704" s="392"/>
      <c r="T1704" s="392"/>
      <c r="U1704" s="392"/>
      <c r="V1704" s="392"/>
      <c r="W1704" s="392"/>
      <c r="X1704" s="392"/>
      <c r="Y1704" s="392"/>
      <c r="Z1704" s="392"/>
      <c r="AA1704" s="392"/>
      <c r="AB1704" s="392"/>
      <c r="AC1704" s="392"/>
      <c r="AD1704" s="392"/>
      <c r="AE1704" s="392"/>
      <c r="AF1704" s="392"/>
      <c r="AG1704" s="392"/>
      <c r="AH1704" s="392"/>
      <c r="AI1704" s="392"/>
      <c r="AJ1704" s="392"/>
      <c r="AK1704" s="392"/>
      <c r="AL1704" s="392"/>
      <c r="AM1704" s="392"/>
      <c r="AN1704" s="392"/>
      <c r="AO1704" s="392"/>
      <c r="AP1704" s="392"/>
      <c r="AQ1704" s="392"/>
      <c r="AR1704" s="392"/>
      <c r="AS1704" s="392"/>
      <c r="AT1704" s="392"/>
      <c r="AU1704" s="392"/>
      <c r="AV1704" s="392"/>
      <c r="AW1704" s="392"/>
      <c r="AX1704" s="392"/>
      <c r="AY1704" s="392"/>
      <c r="AZ1704" s="392"/>
      <c r="BA1704" s="392"/>
      <c r="BB1704" s="392"/>
      <c r="BC1704" s="392"/>
      <c r="BD1704" s="392"/>
      <c r="BE1704" s="392"/>
      <c r="BF1704" s="392"/>
      <c r="BG1704" s="392"/>
      <c r="BH1704" s="392"/>
      <c r="BI1704" s="392"/>
      <c r="BJ1704" s="392"/>
      <c r="BK1704" s="392"/>
      <c r="BL1704" s="392"/>
      <c r="BM1704" s="392"/>
      <c r="BN1704" s="392"/>
      <c r="BO1704" s="392"/>
      <c r="BP1704" s="392"/>
      <c r="BQ1704" s="392"/>
      <c r="BR1704" s="392"/>
      <c r="BS1704" s="392"/>
    </row>
    <row r="1705" spans="1:71" ht="41.25" customHeight="1">
      <c r="A1705" s="178" t="s">
        <v>120</v>
      </c>
      <c r="B1705" s="75" t="str">
        <f ca="1">+UPPER(Tabla1321124[[#This Row],[DESCRIPCIÓN DE LA COMPRA O CONTRATACIÓN]])</f>
        <v>LIBRETA RAYADA 5" X 7"</v>
      </c>
      <c r="C1705" s="39" t="s">
        <v>417</v>
      </c>
      <c r="D1705" s="236">
        <v>250</v>
      </c>
      <c r="E1705" s="236">
        <v>250</v>
      </c>
      <c r="F1705" s="236">
        <v>250</v>
      </c>
      <c r="G1705" s="236">
        <v>250</v>
      </c>
      <c r="H1705" s="299">
        <f>SUM(Tabla1321124[[#This Row],[PRIMER TRIMESTRE]:[CUARTO TRIMESTRE]])</f>
        <v>1000</v>
      </c>
      <c r="I1705" s="17">
        <v>15.21</v>
      </c>
      <c r="J1705" s="17">
        <f t="shared" si="27"/>
        <v>15210</v>
      </c>
      <c r="K1705" s="17"/>
      <c r="L1705" s="16" t="s">
        <v>18</v>
      </c>
      <c r="M1705" s="16" t="s">
        <v>22</v>
      </c>
      <c r="N1705" s="16" t="s">
        <v>418</v>
      </c>
    </row>
    <row r="1706" spans="1:71" ht="41.25" customHeight="1">
      <c r="A1706" s="178" t="s">
        <v>120</v>
      </c>
      <c r="B1706" s="75" t="str">
        <f ca="1">+UPPER(Tabla1321124[[#This Row],[DESCRIPCIÓN DE LA COMPRA O CONTRATACIÓN]])</f>
        <v>LIBRETAS TIMBRADAS</v>
      </c>
      <c r="C1706" s="39" t="s">
        <v>1773</v>
      </c>
      <c r="D1706" s="236">
        <v>100</v>
      </c>
      <c r="E1706" s="236"/>
      <c r="F1706" s="236"/>
      <c r="G1706" s="236"/>
      <c r="H1706" s="299">
        <f>SUM(Tabla1321124[[#This Row],[PRIMER TRIMESTRE]:[CUARTO TRIMESTRE]])</f>
        <v>100</v>
      </c>
      <c r="I1706" s="17">
        <v>325</v>
      </c>
      <c r="J1706" s="17">
        <f t="shared" si="27"/>
        <v>32500</v>
      </c>
      <c r="K1706" s="345"/>
      <c r="L1706" s="16" t="s">
        <v>18</v>
      </c>
      <c r="M1706" s="16" t="s">
        <v>22</v>
      </c>
      <c r="N1706" s="16" t="s">
        <v>418</v>
      </c>
    </row>
    <row r="1707" spans="1:71" ht="41.25" customHeight="1">
      <c r="A1707" s="178" t="s">
        <v>120</v>
      </c>
      <c r="B1707" s="75" t="str">
        <f ca="1">+UPPER(Tabla1321124[[#This Row],[DESCRIPCIÓN DE LA COMPRA O CONTRATACIÓN]])</f>
        <v>LIBROS RECORD DE 500 PAGINAS</v>
      </c>
      <c r="C1707" s="39" t="s">
        <v>17</v>
      </c>
      <c r="D1707" s="236">
        <v>250</v>
      </c>
      <c r="E1707" s="236">
        <v>150</v>
      </c>
      <c r="F1707" s="236">
        <v>250</v>
      </c>
      <c r="G1707" s="236">
        <v>150</v>
      </c>
      <c r="H1707" s="299">
        <f>SUM(Tabla1321124[[#This Row],[PRIMER TRIMESTRE]:[CUARTO TRIMESTRE]])</f>
        <v>800</v>
      </c>
      <c r="I1707" s="17">
        <v>185.6</v>
      </c>
      <c r="J1707" s="17">
        <f t="shared" si="27"/>
        <v>148480</v>
      </c>
      <c r="K1707" s="17"/>
      <c r="L1707" s="16" t="s">
        <v>18</v>
      </c>
      <c r="M1707" s="16" t="s">
        <v>22</v>
      </c>
      <c r="N1707" s="16" t="s">
        <v>418</v>
      </c>
    </row>
    <row r="1708" spans="1:71" ht="41.25" customHeight="1">
      <c r="A1708" s="178" t="s">
        <v>120</v>
      </c>
      <c r="B1708" s="75" t="str">
        <f ca="1">+UPPER(Tabla1321124[[#This Row],[DESCRIPCIÓN DE LA COMPRA O CONTRATACIÓN]])</f>
        <v>LIBROS RECORD DE 300 PAGINAS</v>
      </c>
      <c r="C1708" s="39" t="s">
        <v>17</v>
      </c>
      <c r="D1708" s="236">
        <v>19</v>
      </c>
      <c r="E1708" s="236">
        <v>17</v>
      </c>
      <c r="F1708" s="236">
        <v>15</v>
      </c>
      <c r="G1708" s="236">
        <v>15</v>
      </c>
      <c r="H1708" s="299">
        <f>SUM(Tabla1321124[[#This Row],[PRIMER TRIMESTRE]:[CUARTO TRIMESTRE]])</f>
        <v>66</v>
      </c>
      <c r="I1708" s="17">
        <v>170</v>
      </c>
      <c r="J1708" s="17">
        <f t="shared" si="27"/>
        <v>11220</v>
      </c>
      <c r="K1708" s="17"/>
      <c r="L1708" s="16" t="s">
        <v>18</v>
      </c>
      <c r="M1708" s="16" t="s">
        <v>22</v>
      </c>
      <c r="N1708" s="16" t="s">
        <v>418</v>
      </c>
    </row>
    <row r="1709" spans="1:71" ht="41.25" customHeight="1">
      <c r="A1709" s="178" t="s">
        <v>120</v>
      </c>
      <c r="B1709" s="75" t="str">
        <f ca="1">+UPPER(Tabla1321124[[#This Row],[DESCRIPCIÓN DE LA COMPRA O CONTRATACIÓN]])</f>
        <v>LIBROS RECORD DE 150 PAGINAS</v>
      </c>
      <c r="C1709" s="39" t="s">
        <v>17</v>
      </c>
      <c r="D1709" s="236">
        <v>15</v>
      </c>
      <c r="E1709" s="236">
        <v>15</v>
      </c>
      <c r="F1709" s="236">
        <v>15</v>
      </c>
      <c r="G1709" s="236">
        <v>15</v>
      </c>
      <c r="H1709" s="299">
        <f>SUM(Tabla1321124[[#This Row],[PRIMER TRIMESTRE]:[CUARTO TRIMESTRE]])</f>
        <v>60</v>
      </c>
      <c r="I1709" s="17">
        <v>150</v>
      </c>
      <c r="J1709" s="17">
        <f t="shared" si="27"/>
        <v>9000</v>
      </c>
      <c r="K1709" s="345"/>
      <c r="L1709" s="16" t="s">
        <v>18</v>
      </c>
      <c r="M1709" s="16" t="s">
        <v>22</v>
      </c>
      <c r="N1709" s="16" t="s">
        <v>418</v>
      </c>
    </row>
    <row r="1710" spans="1:71" ht="41.25" customHeight="1">
      <c r="A1710" s="178" t="s">
        <v>120</v>
      </c>
      <c r="B1710" s="75" t="str">
        <f ca="1">+UPPER(Tabla1321124[[#This Row],[DESCRIPCIÓN DE LA COMPRA O CONTRATACIÓN]])</f>
        <v>LOGOS GRANDES IMPRESOS</v>
      </c>
      <c r="C1710" s="39" t="s">
        <v>17</v>
      </c>
      <c r="D1710" s="236">
        <f>83+15</f>
        <v>98</v>
      </c>
      <c r="E1710" s="236">
        <f>2+5</f>
        <v>7</v>
      </c>
      <c r="F1710" s="236">
        <f>2+15</f>
        <v>17</v>
      </c>
      <c r="G1710" s="236">
        <f>2+5</f>
        <v>7</v>
      </c>
      <c r="H1710" s="299">
        <f>SUM(Tabla1321124[[#This Row],[PRIMER TRIMESTRE]:[CUARTO TRIMESTRE]])</f>
        <v>129</v>
      </c>
      <c r="I1710" s="17">
        <v>148</v>
      </c>
      <c r="J1710" s="17">
        <f t="shared" si="27"/>
        <v>19092</v>
      </c>
      <c r="K1710" s="17"/>
      <c r="L1710" s="16" t="s">
        <v>18</v>
      </c>
      <c r="M1710" s="16" t="s">
        <v>22</v>
      </c>
      <c r="N1710" s="16" t="s">
        <v>418</v>
      </c>
    </row>
    <row r="1711" spans="1:71" ht="41.25" customHeight="1">
      <c r="A1711" s="178" t="s">
        <v>120</v>
      </c>
      <c r="B1711" s="75" t="str">
        <f ca="1">+UPPER(Tabla1321124[[#This Row],[DESCRIPCIÓN DE LA COMPRA O CONTRATACIÓN]])</f>
        <v>MARCADORES NEGROS</v>
      </c>
      <c r="C1711" s="39" t="s">
        <v>17</v>
      </c>
      <c r="D1711" s="236">
        <v>150</v>
      </c>
      <c r="E1711" s="236">
        <v>150</v>
      </c>
      <c r="F1711" s="236">
        <v>150</v>
      </c>
      <c r="G1711" s="236">
        <v>150</v>
      </c>
      <c r="H1711" s="299">
        <f>SUM(Tabla1321124[[#This Row],[PRIMER TRIMESTRE]:[CUARTO TRIMESTRE]])</f>
        <v>600</v>
      </c>
      <c r="I1711" s="17">
        <v>15.54</v>
      </c>
      <c r="J1711" s="17">
        <f t="shared" si="27"/>
        <v>9324</v>
      </c>
      <c r="K1711" s="17"/>
      <c r="L1711" s="16" t="s">
        <v>18</v>
      </c>
      <c r="M1711" s="16" t="s">
        <v>22</v>
      </c>
      <c r="N1711" s="16" t="s">
        <v>418</v>
      </c>
    </row>
    <row r="1712" spans="1:71" ht="41.25" customHeight="1">
      <c r="A1712" s="178" t="s">
        <v>120</v>
      </c>
      <c r="B1712" s="75" t="str">
        <f ca="1">+UPPER(Tabla1321124[[#This Row],[DESCRIPCIÓN DE LA COMPRA O CONTRATACIÓN]])</f>
        <v>MARCADORES AZUL</v>
      </c>
      <c r="C1712" s="39" t="s">
        <v>17</v>
      </c>
      <c r="D1712" s="236">
        <v>200</v>
      </c>
      <c r="E1712" s="236">
        <v>200</v>
      </c>
      <c r="F1712" s="236">
        <v>200</v>
      </c>
      <c r="G1712" s="236">
        <v>200</v>
      </c>
      <c r="H1712" s="299">
        <f>SUM(Tabla1321124[[#This Row],[PRIMER TRIMESTRE]:[CUARTO TRIMESTRE]])</f>
        <v>800</v>
      </c>
      <c r="I1712" s="17">
        <v>15.54</v>
      </c>
      <c r="J1712" s="17">
        <f t="shared" si="27"/>
        <v>12432</v>
      </c>
      <c r="K1712" s="17"/>
      <c r="L1712" s="16" t="s">
        <v>18</v>
      </c>
      <c r="M1712" s="16" t="s">
        <v>22</v>
      </c>
      <c r="N1712" s="16" t="s">
        <v>418</v>
      </c>
    </row>
    <row r="1713" spans="1:14" ht="41.25" customHeight="1">
      <c r="A1713" s="178" t="s">
        <v>120</v>
      </c>
      <c r="B1713" s="75" t="str">
        <f ca="1">+UPPER(Tabla1321124[[#This Row],[DESCRIPCIÓN DE LA COMPRA O CONTRATACIÓN]])</f>
        <v>MARCADORES ROJO</v>
      </c>
      <c r="C1713" s="39" t="s">
        <v>17</v>
      </c>
      <c r="D1713" s="236">
        <v>250</v>
      </c>
      <c r="E1713" s="236">
        <v>250</v>
      </c>
      <c r="F1713" s="236">
        <v>250</v>
      </c>
      <c r="G1713" s="236">
        <v>250</v>
      </c>
      <c r="H1713" s="299">
        <f>SUM(Tabla1321124[[#This Row],[PRIMER TRIMESTRE]:[CUARTO TRIMESTRE]])</f>
        <v>1000</v>
      </c>
      <c r="I1713" s="17">
        <v>15.54</v>
      </c>
      <c r="J1713" s="17">
        <f t="shared" si="27"/>
        <v>15540</v>
      </c>
      <c r="K1713" s="17"/>
      <c r="L1713" s="16" t="s">
        <v>18</v>
      </c>
      <c r="M1713" s="16" t="s">
        <v>22</v>
      </c>
      <c r="N1713" s="16" t="s">
        <v>418</v>
      </c>
    </row>
    <row r="1714" spans="1:14" ht="41.25" customHeight="1">
      <c r="A1714" s="178" t="s">
        <v>752</v>
      </c>
      <c r="B1714" s="75" t="str">
        <f ca="1">+UPPER(Tabla1321124[[#This Row],[DESCRIPCIÓN DE LA COMPRA O CONTRATACIÓN]])</f>
        <v>PAPEL BOND 20  8 1/2" X 11"</v>
      </c>
      <c r="C1714" s="39" t="s">
        <v>266</v>
      </c>
      <c r="D1714" s="236">
        <v>3000</v>
      </c>
      <c r="E1714" s="236">
        <v>3000</v>
      </c>
      <c r="F1714" s="236">
        <v>3000</v>
      </c>
      <c r="G1714" s="236">
        <v>3000</v>
      </c>
      <c r="H1714" s="299">
        <f>SUM(Tabla1321124[[#This Row],[PRIMER TRIMESTRE]:[CUARTO TRIMESTRE]])</f>
        <v>12000</v>
      </c>
      <c r="I1714" s="17">
        <v>145.13999999999999</v>
      </c>
      <c r="J1714" s="17">
        <f t="shared" si="27"/>
        <v>1741679.9999999998</v>
      </c>
      <c r="K1714" s="21"/>
      <c r="L1714" s="16" t="s">
        <v>18</v>
      </c>
      <c r="M1714" s="16" t="s">
        <v>22</v>
      </c>
      <c r="N1714" s="16" t="s">
        <v>418</v>
      </c>
    </row>
    <row r="1715" spans="1:14" ht="41.25" customHeight="1">
      <c r="A1715" s="178" t="s">
        <v>120</v>
      </c>
      <c r="B1715" s="75" t="str">
        <f ca="1">+UPPER(Tabla1321124[[#This Row],[DESCRIPCIÓN DE LA COMPRA O CONTRATACIÓN]])</f>
        <v>PAPEL BOND 20  8 1/2" X 14"</v>
      </c>
      <c r="C1715" s="39" t="s">
        <v>415</v>
      </c>
      <c r="D1715" s="236">
        <v>200</v>
      </c>
      <c r="E1715" s="236">
        <v>200</v>
      </c>
      <c r="F1715" s="236">
        <v>200</v>
      </c>
      <c r="G1715" s="236">
        <v>200</v>
      </c>
      <c r="H1715" s="299">
        <f>SUM(Tabla1321124[[#This Row],[PRIMER TRIMESTRE]:[CUARTO TRIMESTRE]])</f>
        <v>800</v>
      </c>
      <c r="I1715" s="17">
        <v>214.76</v>
      </c>
      <c r="J1715" s="17">
        <f t="shared" si="27"/>
        <v>171808</v>
      </c>
      <c r="K1715" s="17"/>
      <c r="L1715" s="16" t="s">
        <v>18</v>
      </c>
      <c r="M1715" s="16" t="s">
        <v>22</v>
      </c>
      <c r="N1715" s="16" t="s">
        <v>418</v>
      </c>
    </row>
    <row r="1716" spans="1:14" ht="41.25" customHeight="1">
      <c r="A1716" s="178" t="s">
        <v>120</v>
      </c>
      <c r="B1716" s="75" t="str">
        <f ca="1">+UPPER(Tabla1321124[[#This Row],[DESCRIPCIÓN DE LA COMPRA O CONTRATACIÓN]])</f>
        <v>PAPEL BOND 18 X 24 PARA PLOTTER</v>
      </c>
      <c r="C1716" s="39" t="s">
        <v>102</v>
      </c>
      <c r="D1716" s="236">
        <v>70</v>
      </c>
      <c r="E1716" s="236">
        <v>70</v>
      </c>
      <c r="F1716" s="236">
        <v>70</v>
      </c>
      <c r="G1716" s="236">
        <v>60</v>
      </c>
      <c r="H1716" s="299">
        <f>SUM(Tabla1321124[[#This Row],[PRIMER TRIMESTRE]:[CUARTO TRIMESTRE]])</f>
        <v>270</v>
      </c>
      <c r="I1716" s="17">
        <v>1063.19</v>
      </c>
      <c r="J1716" s="17">
        <f t="shared" si="27"/>
        <v>287061.3</v>
      </c>
      <c r="K1716" s="17"/>
      <c r="L1716" s="16" t="s">
        <v>18</v>
      </c>
      <c r="M1716" s="16" t="s">
        <v>22</v>
      </c>
      <c r="N1716" s="16" t="s">
        <v>418</v>
      </c>
    </row>
    <row r="1717" spans="1:14" ht="41.25" customHeight="1">
      <c r="A1717" s="178" t="s">
        <v>120</v>
      </c>
      <c r="B1717" s="75" t="str">
        <f ca="1">+UPPER(Tabla1321124[[#This Row],[DESCRIPCIÓN DE LA COMPRA O CONTRATACIÓN]])</f>
        <v>PAPEL CARBON AZUL</v>
      </c>
      <c r="C1717" s="39" t="s">
        <v>208</v>
      </c>
      <c r="D1717" s="236">
        <f>12+5+3</f>
        <v>20</v>
      </c>
      <c r="E1717" s="236">
        <f>10+3</f>
        <v>13</v>
      </c>
      <c r="F1717" s="236">
        <f>11+3</f>
        <v>14</v>
      </c>
      <c r="G1717" s="236">
        <f>10+3</f>
        <v>13</v>
      </c>
      <c r="H1717" s="299">
        <f>SUM(Tabla1321124[[#This Row],[PRIMER TRIMESTRE]:[CUARTO TRIMESTRE]])</f>
        <v>60</v>
      </c>
      <c r="I1717" s="17">
        <v>161.66</v>
      </c>
      <c r="J1717" s="17">
        <f t="shared" si="27"/>
        <v>9699.6</v>
      </c>
      <c r="K1717" s="17"/>
      <c r="L1717" s="16" t="s">
        <v>18</v>
      </c>
      <c r="M1717" s="16" t="s">
        <v>22</v>
      </c>
      <c r="N1717" s="16" t="s">
        <v>418</v>
      </c>
    </row>
    <row r="1718" spans="1:14" ht="41.25" customHeight="1">
      <c r="A1718" s="178" t="s">
        <v>120</v>
      </c>
      <c r="B1718" s="75" t="str">
        <f ca="1">+UPPER(Tabla1321124[[#This Row],[DESCRIPCIÓN DE LA COMPRA O CONTRATACIÓN]])</f>
        <v>PAPEL CONTINUO 14 7/8 X 11</v>
      </c>
      <c r="C1718" s="39" t="s">
        <v>208</v>
      </c>
      <c r="D1718" s="236"/>
      <c r="E1718" s="236"/>
      <c r="F1718" s="236"/>
      <c r="G1718" s="236"/>
      <c r="H1718" s="299">
        <f>SUM(Tabla1321124[[#This Row],[PRIMER TRIMESTRE]:[CUARTO TRIMESTRE]])</f>
        <v>0</v>
      </c>
      <c r="I1718" s="17">
        <v>1450</v>
      </c>
      <c r="J1718" s="17">
        <f t="shared" si="27"/>
        <v>0</v>
      </c>
      <c r="K1718" s="17"/>
      <c r="L1718" s="16" t="s">
        <v>18</v>
      </c>
      <c r="M1718" s="16" t="s">
        <v>22</v>
      </c>
      <c r="N1718" s="16" t="s">
        <v>418</v>
      </c>
    </row>
    <row r="1719" spans="1:14" ht="41.25" customHeight="1">
      <c r="A1719" s="178" t="s">
        <v>120</v>
      </c>
      <c r="B1719" s="75" t="str">
        <f ca="1">+UPPER(Tabla1321124[[#This Row],[DESCRIPCIÓN DE LA COMPRA O CONTRATACIÓN]])</f>
        <v>PAPEL TIMBRADO EN HILO</v>
      </c>
      <c r="C1719" s="39" t="s">
        <v>266</v>
      </c>
      <c r="D1719" s="236">
        <v>400</v>
      </c>
      <c r="E1719" s="236">
        <v>200</v>
      </c>
      <c r="F1719" s="236">
        <v>400</v>
      </c>
      <c r="G1719" s="236">
        <v>200</v>
      </c>
      <c r="H1719" s="299">
        <f>SUM(Tabla1321124[[#This Row],[PRIMER TRIMESTRE]:[CUARTO TRIMESTRE]])</f>
        <v>1200</v>
      </c>
      <c r="I1719" s="17">
        <v>2552</v>
      </c>
      <c r="J1719" s="17">
        <f t="shared" si="27"/>
        <v>3062400</v>
      </c>
      <c r="K1719" s="17"/>
      <c r="L1719" s="16" t="s">
        <v>18</v>
      </c>
      <c r="M1719" s="16" t="s">
        <v>22</v>
      </c>
      <c r="N1719" s="16" t="s">
        <v>418</v>
      </c>
    </row>
    <row r="1720" spans="1:14" ht="41.25" customHeight="1">
      <c r="A1720" s="178" t="s">
        <v>120</v>
      </c>
      <c r="B1720" s="75" t="str">
        <f ca="1">+UPPER(Tabla1321124[[#This Row],[DESCRIPCIÓN DE LA COMPRA O CONTRATACIÓN]])</f>
        <v>PAPEL PARA SUMADORA</v>
      </c>
      <c r="C1720" s="39" t="s">
        <v>234</v>
      </c>
      <c r="D1720" s="236">
        <v>200</v>
      </c>
      <c r="E1720" s="236">
        <v>150</v>
      </c>
      <c r="F1720" s="236">
        <v>200</v>
      </c>
      <c r="G1720" s="236">
        <v>150</v>
      </c>
      <c r="H1720" s="299">
        <f>SUM(Tabla1321124[[#This Row],[PRIMER TRIMESTRE]:[CUARTO TRIMESTRE]])</f>
        <v>700</v>
      </c>
      <c r="I1720" s="17">
        <v>24.78</v>
      </c>
      <c r="J1720" s="17">
        <f t="shared" si="27"/>
        <v>17346</v>
      </c>
      <c r="K1720" s="17"/>
      <c r="L1720" s="16" t="s">
        <v>18</v>
      </c>
      <c r="M1720" s="16" t="s">
        <v>22</v>
      </c>
      <c r="N1720" s="16" t="s">
        <v>418</v>
      </c>
    </row>
    <row r="1721" spans="1:14" ht="41.25" customHeight="1">
      <c r="A1721" s="178" t="s">
        <v>120</v>
      </c>
      <c r="B1721" s="75" t="str">
        <f ca="1">+UPPER(Tabla1321124[[#This Row],[DESCRIPCIÓN DE LA COMPRA O CONTRATACIÓN]])</f>
        <v>PAPEL TIMBRADO NORMAL</v>
      </c>
      <c r="C1721" s="39" t="s">
        <v>266</v>
      </c>
      <c r="D1721" s="236">
        <v>50</v>
      </c>
      <c r="E1721" s="236">
        <v>50</v>
      </c>
      <c r="F1721" s="236">
        <v>50</v>
      </c>
      <c r="G1721" s="236">
        <v>50</v>
      </c>
      <c r="H1721" s="299">
        <f>SUM(Tabla1321124[[#This Row],[PRIMER TRIMESTRE]:[CUARTO TRIMESTRE]])</f>
        <v>200</v>
      </c>
      <c r="I1721" s="17">
        <v>375</v>
      </c>
      <c r="J1721" s="17">
        <f t="shared" si="27"/>
        <v>75000</v>
      </c>
      <c r="K1721" s="345"/>
      <c r="L1721" s="16" t="s">
        <v>18</v>
      </c>
      <c r="M1721" s="16" t="s">
        <v>22</v>
      </c>
      <c r="N1721" s="16" t="s">
        <v>418</v>
      </c>
    </row>
    <row r="1722" spans="1:14" ht="41.25" customHeight="1">
      <c r="A1722" s="178" t="s">
        <v>120</v>
      </c>
      <c r="B1722" s="75" t="str">
        <f ca="1">+UPPER(Tabla1321124[[#This Row],[DESCRIPCIÓN DE LA COMPRA O CONTRATACIÓN]])</f>
        <v>PERFORADORA PARA 2 HOYOS</v>
      </c>
      <c r="C1722" s="39" t="s">
        <v>17</v>
      </c>
      <c r="D1722" s="236">
        <v>200</v>
      </c>
      <c r="E1722" s="236">
        <v>150</v>
      </c>
      <c r="F1722" s="236">
        <v>200</v>
      </c>
      <c r="G1722" s="236">
        <v>150</v>
      </c>
      <c r="H1722" s="299">
        <f>SUM(Tabla1321124[[#This Row],[PRIMER TRIMESTRE]:[CUARTO TRIMESTRE]])</f>
        <v>700</v>
      </c>
      <c r="I1722" s="17">
        <v>186.44</v>
      </c>
      <c r="J1722" s="17">
        <f t="shared" si="27"/>
        <v>130508</v>
      </c>
      <c r="K1722" s="17"/>
      <c r="L1722" s="16" t="s">
        <v>18</v>
      </c>
      <c r="M1722" s="16" t="s">
        <v>22</v>
      </c>
      <c r="N1722" s="16" t="s">
        <v>418</v>
      </c>
    </row>
    <row r="1723" spans="1:14" ht="41.25" customHeight="1">
      <c r="A1723" s="178" t="s">
        <v>120</v>
      </c>
      <c r="B1723" s="75" t="str">
        <f ca="1">+UPPER(Tabla1321124[[#This Row],[DESCRIPCIÓN DE LA COMPRA O CONTRATACIÓN]])</f>
        <v>PERFORADORA PARA 3 HOYOS</v>
      </c>
      <c r="C1723" s="39" t="s">
        <v>17</v>
      </c>
      <c r="D1723" s="236">
        <v>2</v>
      </c>
      <c r="E1723" s="236">
        <v>1</v>
      </c>
      <c r="F1723" s="236">
        <v>1</v>
      </c>
      <c r="G1723" s="236">
        <v>1</v>
      </c>
      <c r="H1723" s="299">
        <f>SUM(Tabla1321124[[#This Row],[PRIMER TRIMESTRE]:[CUARTO TRIMESTRE]])</f>
        <v>5</v>
      </c>
      <c r="I1723" s="17">
        <v>286.44</v>
      </c>
      <c r="J1723" s="17">
        <f t="shared" si="27"/>
        <v>1432.2</v>
      </c>
      <c r="K1723" s="345"/>
      <c r="L1723" s="16" t="s">
        <v>18</v>
      </c>
      <c r="M1723" s="16" t="s">
        <v>22</v>
      </c>
      <c r="N1723" s="16" t="s">
        <v>418</v>
      </c>
    </row>
    <row r="1724" spans="1:14" ht="41.25" customHeight="1">
      <c r="A1724" s="178" t="s">
        <v>120</v>
      </c>
      <c r="B1724" s="75" t="str">
        <f ca="1">+UPPER(Tabla1321124[[#This Row],[DESCRIPCIÓN DE LA COMPRA O CONTRATACIÓN]])</f>
        <v>POST-IT PEQUEÑO 1 1/2" X 1 1/2"</v>
      </c>
      <c r="C1724" s="39" t="s">
        <v>417</v>
      </c>
      <c r="D1724" s="236">
        <v>800</v>
      </c>
      <c r="E1724" s="236">
        <v>800</v>
      </c>
      <c r="F1724" s="236">
        <v>800</v>
      </c>
      <c r="G1724" s="236">
        <v>800</v>
      </c>
      <c r="H1724" s="299">
        <f>SUM(Tabla1321124[[#This Row],[PRIMER TRIMESTRE]:[CUARTO TRIMESTRE]])</f>
        <v>3200</v>
      </c>
      <c r="I1724" s="17">
        <v>10</v>
      </c>
      <c r="J1724" s="17">
        <f t="shared" si="27"/>
        <v>32000</v>
      </c>
      <c r="K1724" s="17"/>
      <c r="L1724" s="16" t="s">
        <v>18</v>
      </c>
      <c r="M1724" s="16" t="s">
        <v>22</v>
      </c>
      <c r="N1724" s="16" t="s">
        <v>418</v>
      </c>
    </row>
    <row r="1725" spans="1:14" ht="41.25" customHeight="1">
      <c r="A1725" s="178" t="s">
        <v>120</v>
      </c>
      <c r="B1725" s="75" t="str">
        <f ca="1">+UPPER(Tabla1321124[[#This Row],[DESCRIPCIÓN DE LA COMPRA O CONTRATACIÓN]])</f>
        <v>POST-IT MEDIANO 3" X 3"</v>
      </c>
      <c r="C1725" s="39" t="s">
        <v>417</v>
      </c>
      <c r="D1725" s="236">
        <v>800</v>
      </c>
      <c r="E1725" s="236">
        <v>800</v>
      </c>
      <c r="F1725" s="236">
        <v>800</v>
      </c>
      <c r="G1725" s="236">
        <v>800</v>
      </c>
      <c r="H1725" s="299">
        <f>SUM(Tabla1321124[[#This Row],[PRIMER TRIMESTRE]:[CUARTO TRIMESTRE]])</f>
        <v>3200</v>
      </c>
      <c r="I1725" s="17">
        <v>14.37</v>
      </c>
      <c r="J1725" s="17">
        <f t="shared" si="27"/>
        <v>45984</v>
      </c>
      <c r="K1725" s="17"/>
      <c r="L1725" s="16" t="s">
        <v>18</v>
      </c>
      <c r="M1725" s="16" t="s">
        <v>22</v>
      </c>
      <c r="N1725" s="16" t="s">
        <v>418</v>
      </c>
    </row>
    <row r="1726" spans="1:14" ht="41.25" customHeight="1">
      <c r="A1726" s="178" t="s">
        <v>120</v>
      </c>
      <c r="B1726" s="75" t="str">
        <f ca="1">+UPPER(Tabla1321124[[#This Row],[DESCRIPCIÓN DE LA COMPRA O CONTRATACIÓN]])</f>
        <v>POST-IT GRANDE 3" X 5"</v>
      </c>
      <c r="C1726" s="39" t="s">
        <v>417</v>
      </c>
      <c r="D1726" s="236">
        <v>800</v>
      </c>
      <c r="E1726" s="236">
        <v>800</v>
      </c>
      <c r="F1726" s="236">
        <v>800</v>
      </c>
      <c r="G1726" s="236">
        <v>800</v>
      </c>
      <c r="H1726" s="299">
        <f>SUM(Tabla1321124[[#This Row],[PRIMER TRIMESTRE]:[CUARTO TRIMESTRE]])</f>
        <v>3200</v>
      </c>
      <c r="I1726" s="17">
        <v>24.79</v>
      </c>
      <c r="J1726" s="17">
        <f t="shared" si="27"/>
        <v>79328</v>
      </c>
      <c r="K1726" s="17"/>
      <c r="L1726" s="16" t="s">
        <v>18</v>
      </c>
      <c r="M1726" s="16" t="s">
        <v>22</v>
      </c>
      <c r="N1726" s="16" t="s">
        <v>418</v>
      </c>
    </row>
    <row r="1727" spans="1:14" ht="41.25" customHeight="1">
      <c r="A1727" s="178" t="s">
        <v>120</v>
      </c>
      <c r="B1727" s="75" t="str">
        <f ca="1">+UPPER(Tabla1321124[[#This Row],[DESCRIPCIÓN DE LA COMPRA O CONTRATACIÓN]])</f>
        <v>PENDAFLEX 8 1/2" X 11"</v>
      </c>
      <c r="C1727" s="39" t="s">
        <v>208</v>
      </c>
      <c r="D1727" s="236">
        <v>100</v>
      </c>
      <c r="E1727" s="236">
        <v>100</v>
      </c>
      <c r="F1727" s="236">
        <v>100</v>
      </c>
      <c r="G1727" s="236">
        <v>100</v>
      </c>
      <c r="H1727" s="299">
        <f>SUM(Tabla1321124[[#This Row],[PRIMER TRIMESTRE]:[CUARTO TRIMESTRE]])</f>
        <v>400</v>
      </c>
      <c r="I1727" s="17">
        <v>371.09</v>
      </c>
      <c r="J1727" s="17">
        <f t="shared" si="27"/>
        <v>148436</v>
      </c>
      <c r="K1727" s="17"/>
      <c r="L1727" s="16" t="s">
        <v>18</v>
      </c>
      <c r="M1727" s="16" t="s">
        <v>22</v>
      </c>
      <c r="N1727" s="16" t="s">
        <v>418</v>
      </c>
    </row>
    <row r="1728" spans="1:14" ht="41.25" customHeight="1">
      <c r="A1728" s="178" t="s">
        <v>120</v>
      </c>
      <c r="B1728" s="75" t="str">
        <f ca="1">+UPPER(Tabla1321124[[#This Row],[DESCRIPCIÓN DE LA COMPRA O CONTRATACIÓN]])</f>
        <v>PENDAFLEX 8 1/2" X 13"</v>
      </c>
      <c r="C1728" s="39" t="s">
        <v>208</v>
      </c>
      <c r="D1728" s="236">
        <v>75</v>
      </c>
      <c r="E1728" s="236">
        <v>75</v>
      </c>
      <c r="F1728" s="236">
        <v>75</v>
      </c>
      <c r="G1728" s="236">
        <v>75</v>
      </c>
      <c r="H1728" s="299">
        <f>SUM(Tabla1321124[[#This Row],[PRIMER TRIMESTRE]:[CUARTO TRIMESTRE]])</f>
        <v>300</v>
      </c>
      <c r="I1728" s="17">
        <v>433.06</v>
      </c>
      <c r="J1728" s="17">
        <f t="shared" si="27"/>
        <v>129918</v>
      </c>
      <c r="K1728" s="17"/>
      <c r="L1728" s="16" t="s">
        <v>18</v>
      </c>
      <c r="M1728" s="16" t="s">
        <v>22</v>
      </c>
      <c r="N1728" s="16" t="s">
        <v>418</v>
      </c>
    </row>
    <row r="1729" spans="1:14" ht="41.25" customHeight="1">
      <c r="A1729" s="178" t="s">
        <v>120</v>
      </c>
      <c r="B1729" s="75" t="str">
        <f ca="1">+UPPER(Tabla1321124[[#This Row],[DESCRIPCIÓN DE LA COMPRA O CONTRATACIÓN]])</f>
        <v>REGLAS</v>
      </c>
      <c r="C1729" s="39" t="s">
        <v>17</v>
      </c>
      <c r="D1729" s="236">
        <v>150</v>
      </c>
      <c r="E1729" s="236">
        <v>100</v>
      </c>
      <c r="F1729" s="236">
        <v>150</v>
      </c>
      <c r="G1729" s="236">
        <v>100</v>
      </c>
      <c r="H1729" s="299">
        <f>SUM(Tabla1321124[[#This Row],[PRIMER TRIMESTRE]:[CUARTO TRIMESTRE]])</f>
        <v>500</v>
      </c>
      <c r="I1729" s="17">
        <v>9.2799999999999994</v>
      </c>
      <c r="J1729" s="17">
        <f t="shared" si="27"/>
        <v>4640</v>
      </c>
      <c r="K1729" s="17"/>
      <c r="L1729" s="16" t="s">
        <v>18</v>
      </c>
      <c r="M1729" s="16" t="s">
        <v>22</v>
      </c>
      <c r="N1729" s="16" t="s">
        <v>418</v>
      </c>
    </row>
    <row r="1730" spans="1:14" ht="41.25" customHeight="1">
      <c r="A1730" s="178" t="s">
        <v>120</v>
      </c>
      <c r="B1730" s="75" t="str">
        <f ca="1">+UPPER(Tabla1321124[[#This Row],[DESCRIPCIÓN DE LA COMPRA O CONTRATACIÓN]])</f>
        <v>RESALTADORES ROSADO</v>
      </c>
      <c r="C1730" s="39" t="s">
        <v>17</v>
      </c>
      <c r="D1730" s="236">
        <v>250</v>
      </c>
      <c r="E1730" s="236">
        <v>250</v>
      </c>
      <c r="F1730" s="236">
        <v>250</v>
      </c>
      <c r="G1730" s="236">
        <v>250</v>
      </c>
      <c r="H1730" s="299">
        <f>SUM(Tabla1321124[[#This Row],[PRIMER TRIMESTRE]:[CUARTO TRIMESTRE]])</f>
        <v>1000</v>
      </c>
      <c r="I1730" s="17">
        <v>11.21</v>
      </c>
      <c r="J1730" s="17">
        <f t="shared" si="27"/>
        <v>11210</v>
      </c>
      <c r="K1730" s="17"/>
      <c r="L1730" s="16" t="s">
        <v>18</v>
      </c>
      <c r="M1730" s="16" t="s">
        <v>22</v>
      </c>
      <c r="N1730" s="16" t="s">
        <v>418</v>
      </c>
    </row>
    <row r="1731" spans="1:14" ht="41.25" customHeight="1">
      <c r="A1731" s="178" t="s">
        <v>120</v>
      </c>
      <c r="B1731" s="75" t="str">
        <f ca="1">+UPPER(Tabla1321124[[#This Row],[DESCRIPCIÓN DE LA COMPRA O CONTRATACIÓN]])</f>
        <v>RESALTADORES AMARILLO</v>
      </c>
      <c r="C1731" s="39" t="s">
        <v>17</v>
      </c>
      <c r="D1731" s="236">
        <v>250</v>
      </c>
      <c r="E1731" s="236">
        <v>250</v>
      </c>
      <c r="F1731" s="236">
        <v>250</v>
      </c>
      <c r="G1731" s="236">
        <v>250</v>
      </c>
      <c r="H1731" s="299">
        <f>SUM(Tabla1321124[[#This Row],[PRIMER TRIMESTRE]:[CUARTO TRIMESTRE]])</f>
        <v>1000</v>
      </c>
      <c r="I1731" s="17">
        <v>10.56</v>
      </c>
      <c r="J1731" s="17">
        <f t="shared" si="27"/>
        <v>10560</v>
      </c>
      <c r="K1731" s="17"/>
      <c r="L1731" s="16" t="s">
        <v>18</v>
      </c>
      <c r="M1731" s="16" t="s">
        <v>22</v>
      </c>
      <c r="N1731" s="16" t="s">
        <v>418</v>
      </c>
    </row>
    <row r="1732" spans="1:14" ht="41.25" customHeight="1">
      <c r="A1732" s="178" t="s">
        <v>120</v>
      </c>
      <c r="B1732" s="75" t="str">
        <f ca="1">+UPPER(Tabla1321124[[#This Row],[DESCRIPCIÓN DE LA COMPRA O CONTRATACIÓN]])</f>
        <v>RESALTADORES MAMEY</v>
      </c>
      <c r="C1732" s="39" t="s">
        <v>17</v>
      </c>
      <c r="D1732" s="236">
        <v>250</v>
      </c>
      <c r="E1732" s="236">
        <v>250</v>
      </c>
      <c r="F1732" s="236">
        <v>250</v>
      </c>
      <c r="G1732" s="236">
        <v>250</v>
      </c>
      <c r="H1732" s="299">
        <f>SUM(Tabla1321124[[#This Row],[PRIMER TRIMESTRE]:[CUARTO TRIMESTRE]])</f>
        <v>1000</v>
      </c>
      <c r="I1732" s="17">
        <v>11.21</v>
      </c>
      <c r="J1732" s="17">
        <f t="shared" si="27"/>
        <v>11210</v>
      </c>
      <c r="K1732" s="17"/>
      <c r="L1732" s="16" t="s">
        <v>18</v>
      </c>
      <c r="M1732" s="16" t="s">
        <v>22</v>
      </c>
      <c r="N1732" s="16" t="s">
        <v>418</v>
      </c>
    </row>
    <row r="1733" spans="1:14" ht="41.25" customHeight="1">
      <c r="A1733" s="178" t="s">
        <v>120</v>
      </c>
      <c r="B1733" s="75" t="str">
        <f ca="1">+UPPER(Tabla1321124[[#This Row],[DESCRIPCIÓN DE LA COMPRA O CONTRATACIÓN]])</f>
        <v>SEPARADORES DE CARPETA</v>
      </c>
      <c r="C1733" s="39" t="s">
        <v>208</v>
      </c>
      <c r="D1733" s="236">
        <v>50</v>
      </c>
      <c r="E1733" s="236">
        <v>50</v>
      </c>
      <c r="F1733" s="236">
        <v>50</v>
      </c>
      <c r="G1733" s="236">
        <v>50</v>
      </c>
      <c r="H1733" s="299">
        <f>SUM(Tabla1321124[[#This Row],[PRIMER TRIMESTRE]:[CUARTO TRIMESTRE]])</f>
        <v>200</v>
      </c>
      <c r="I1733" s="17">
        <v>53.1</v>
      </c>
      <c r="J1733" s="17">
        <f t="shared" si="27"/>
        <v>10620</v>
      </c>
      <c r="K1733" s="17"/>
      <c r="L1733" s="16" t="s">
        <v>18</v>
      </c>
      <c r="M1733" s="16" t="s">
        <v>22</v>
      </c>
      <c r="N1733" s="16" t="s">
        <v>418</v>
      </c>
    </row>
    <row r="1734" spans="1:14" ht="41.25" customHeight="1">
      <c r="A1734" s="178" t="s">
        <v>120</v>
      </c>
      <c r="B1734" s="75" t="str">
        <f ca="1">+UPPER(Tabla1321124[[#This Row],[DESCRIPCIÓN DE LA COMPRA O CONTRATACIÓN]])</f>
        <v>SACA GRAPAS</v>
      </c>
      <c r="C1734" s="39" t="s">
        <v>17</v>
      </c>
      <c r="D1734" s="236">
        <v>150</v>
      </c>
      <c r="E1734" s="236">
        <v>150</v>
      </c>
      <c r="F1734" s="236">
        <v>150</v>
      </c>
      <c r="G1734" s="236">
        <v>150</v>
      </c>
      <c r="H1734" s="299">
        <f>SUM(Tabla1321124[[#This Row],[PRIMER TRIMESTRE]:[CUARTO TRIMESTRE]])</f>
        <v>600</v>
      </c>
      <c r="I1734" s="17">
        <v>18.399999999999999</v>
      </c>
      <c r="J1734" s="17">
        <f t="shared" ref="J1734:J1797" si="28">+H1734*I1734</f>
        <v>11040</v>
      </c>
      <c r="K1734" s="17"/>
      <c r="L1734" s="16" t="s">
        <v>18</v>
      </c>
      <c r="M1734" s="16" t="s">
        <v>22</v>
      </c>
      <c r="N1734" s="16" t="s">
        <v>418</v>
      </c>
    </row>
    <row r="1735" spans="1:14" ht="41.25" customHeight="1">
      <c r="A1735" s="178" t="s">
        <v>120</v>
      </c>
      <c r="B1735" s="75" t="str">
        <f ca="1">+UPPER(Tabla1321124[[#This Row],[DESCRIPCIÓN DE LA COMPRA O CONTRATACIÓN]])</f>
        <v>SACAPUNTAS</v>
      </c>
      <c r="C1735" s="39" t="s">
        <v>17</v>
      </c>
      <c r="D1735" s="236">
        <v>150</v>
      </c>
      <c r="E1735" s="236">
        <v>150</v>
      </c>
      <c r="F1735" s="236">
        <v>150</v>
      </c>
      <c r="G1735" s="236">
        <v>150</v>
      </c>
      <c r="H1735" s="299">
        <f>SUM(Tabla1321124[[#This Row],[PRIMER TRIMESTRE]:[CUARTO TRIMESTRE]])</f>
        <v>600</v>
      </c>
      <c r="I1735" s="17">
        <v>12.92</v>
      </c>
      <c r="J1735" s="17">
        <f t="shared" si="28"/>
        <v>7752</v>
      </c>
      <c r="K1735" s="17"/>
      <c r="L1735" s="16" t="s">
        <v>18</v>
      </c>
      <c r="M1735" s="16" t="s">
        <v>22</v>
      </c>
      <c r="N1735" s="16" t="s">
        <v>418</v>
      </c>
    </row>
    <row r="1736" spans="1:14" ht="41.25" customHeight="1">
      <c r="A1736" s="178" t="s">
        <v>120</v>
      </c>
      <c r="B1736" s="75" t="str">
        <f ca="1">+UPPER(Tabla1321124[[#This Row],[DESCRIPCIÓN DE LA COMPRA O CONTRATACIÓN]])</f>
        <v xml:space="preserve">SACAPUNTAS ELECTRICO </v>
      </c>
      <c r="C1736" s="39" t="s">
        <v>17</v>
      </c>
      <c r="D1736" s="552">
        <v>2</v>
      </c>
      <c r="E1736" s="552"/>
      <c r="F1736" s="552"/>
      <c r="G1736" s="552"/>
      <c r="H1736" s="299">
        <f>SUM(Tabla1321124[[#This Row],[PRIMER TRIMESTRE]:[CUARTO TRIMESTRE]])</f>
        <v>2</v>
      </c>
      <c r="I1736" s="17">
        <v>500</v>
      </c>
      <c r="J1736" s="17">
        <f t="shared" si="28"/>
        <v>1000</v>
      </c>
      <c r="K1736" s="175"/>
      <c r="L1736" s="16" t="s">
        <v>18</v>
      </c>
      <c r="M1736" s="16" t="s">
        <v>22</v>
      </c>
      <c r="N1736" s="16" t="s">
        <v>418</v>
      </c>
    </row>
    <row r="1737" spans="1:14" ht="41.25" customHeight="1">
      <c r="A1737" s="178" t="s">
        <v>120</v>
      </c>
      <c r="B1737" s="75" t="str">
        <f ca="1">+UPPER(Tabla1321124[[#This Row],[DESCRIPCIÓN DE LA COMPRA O CONTRATACIÓN]])</f>
        <v>FECHEROS</v>
      </c>
      <c r="C1737" s="39" t="s">
        <v>17</v>
      </c>
      <c r="D1737" s="236">
        <v>2</v>
      </c>
      <c r="E1737" s="236"/>
      <c r="F1737" s="236">
        <v>2</v>
      </c>
      <c r="G1737" s="236"/>
      <c r="H1737" s="299">
        <f>SUM(Tabla1321124[[#This Row],[PRIMER TRIMESTRE]:[CUARTO TRIMESTRE]])</f>
        <v>4</v>
      </c>
      <c r="I1737" s="17">
        <v>50</v>
      </c>
      <c r="J1737" s="17">
        <f t="shared" si="28"/>
        <v>200</v>
      </c>
      <c r="K1737" s="17"/>
      <c r="L1737" s="16" t="s">
        <v>18</v>
      </c>
      <c r="M1737" s="16" t="s">
        <v>22</v>
      </c>
      <c r="N1737" s="16" t="s">
        <v>418</v>
      </c>
    </row>
    <row r="1738" spans="1:14" ht="41.25" customHeight="1">
      <c r="A1738" s="178" t="s">
        <v>120</v>
      </c>
      <c r="B1738" s="75" t="str">
        <f ca="1">+UPPER(Tabla1321124[[#This Row],[DESCRIPCIÓN DE LA COMPRA O CONTRATACIÓN]])</f>
        <v>SOBRES</v>
      </c>
      <c r="C1738" s="39" t="s">
        <v>17</v>
      </c>
      <c r="D1738" s="236">
        <f>775+24+42</f>
        <v>841</v>
      </c>
      <c r="E1738" s="236">
        <f>780+42</f>
        <v>822</v>
      </c>
      <c r="F1738" s="236">
        <f>785+42</f>
        <v>827</v>
      </c>
      <c r="G1738" s="236">
        <f>780+42</f>
        <v>822</v>
      </c>
      <c r="H1738" s="299">
        <f>SUM(Tabla1321124[[#This Row],[PRIMER TRIMESTRE]:[CUARTO TRIMESTRE]])</f>
        <v>3312</v>
      </c>
      <c r="I1738" s="17">
        <f>337351.26/1251</f>
        <v>269.66527577937649</v>
      </c>
      <c r="J1738" s="17">
        <f t="shared" si="28"/>
        <v>893131.39338129491</v>
      </c>
      <c r="K1738" s="17"/>
      <c r="L1738" s="16" t="s">
        <v>18</v>
      </c>
      <c r="M1738" s="16" t="s">
        <v>22</v>
      </c>
      <c r="N1738" s="16" t="s">
        <v>418</v>
      </c>
    </row>
    <row r="1739" spans="1:14" ht="41.25" customHeight="1">
      <c r="A1739" s="178" t="s">
        <v>120</v>
      </c>
      <c r="B1739" s="75" t="str">
        <f ca="1">+UPPER(Tabla1321124[[#This Row],[DESCRIPCIÓN DE LA COMPRA O CONTRATACIÓN]])</f>
        <v>SOBRE MANILA PEQUEÑO</v>
      </c>
      <c r="C1739" s="39" t="s">
        <v>17</v>
      </c>
      <c r="D1739" s="236">
        <v>400</v>
      </c>
      <c r="E1739" s="236">
        <v>200</v>
      </c>
      <c r="F1739" s="236">
        <v>200</v>
      </c>
      <c r="G1739" s="236">
        <v>200</v>
      </c>
      <c r="H1739" s="299">
        <f>SUM(Tabla1321124[[#This Row],[PRIMER TRIMESTRE]:[CUARTO TRIMESTRE]])</f>
        <v>1000</v>
      </c>
      <c r="I1739" s="17">
        <v>2.72</v>
      </c>
      <c r="J1739" s="17">
        <f t="shared" si="28"/>
        <v>2720</v>
      </c>
      <c r="K1739" s="345"/>
      <c r="L1739" s="16" t="s">
        <v>18</v>
      </c>
      <c r="M1739" s="16" t="s">
        <v>22</v>
      </c>
      <c r="N1739" s="16" t="s">
        <v>418</v>
      </c>
    </row>
    <row r="1740" spans="1:14" ht="41.25" customHeight="1">
      <c r="A1740" s="178" t="s">
        <v>120</v>
      </c>
      <c r="B1740" s="75" t="str">
        <f ca="1">+UPPER(Tabla1321124[[#This Row],[DESCRIPCIÓN DE LA COMPRA O CONTRATACIÓN]])</f>
        <v>SOBRE MANILA MEDIANO</v>
      </c>
      <c r="C1740" s="39" t="s">
        <v>17</v>
      </c>
      <c r="D1740" s="236">
        <v>63</v>
      </c>
      <c r="E1740" s="236">
        <v>63</v>
      </c>
      <c r="F1740" s="236">
        <v>63</v>
      </c>
      <c r="G1740" s="236">
        <v>63</v>
      </c>
      <c r="H1740" s="299">
        <f>SUM(Tabla1321124[[#This Row],[PRIMER TRIMESTRE]:[CUARTO TRIMESTRE]])</f>
        <v>252</v>
      </c>
      <c r="I1740" s="17">
        <v>15</v>
      </c>
      <c r="J1740" s="17">
        <f t="shared" si="28"/>
        <v>3780</v>
      </c>
      <c r="K1740" s="17"/>
      <c r="L1740" s="16" t="s">
        <v>18</v>
      </c>
      <c r="M1740" s="16" t="s">
        <v>22</v>
      </c>
      <c r="N1740" s="16" t="s">
        <v>418</v>
      </c>
    </row>
    <row r="1741" spans="1:14" ht="41.25" customHeight="1">
      <c r="A1741" s="178" t="s">
        <v>120</v>
      </c>
      <c r="B1741" s="75" t="str">
        <f ca="1">+UPPER(Tabla1321124[[#This Row],[DESCRIPCIÓN DE LA COMPRA O CONTRATACIÓN]])</f>
        <v>SOBRE MANILA 14'' X 17"</v>
      </c>
      <c r="C1741" s="39" t="s">
        <v>17</v>
      </c>
      <c r="D1741" s="236">
        <f>600+30+48</f>
        <v>678</v>
      </c>
      <c r="E1741" s="236">
        <f>500+48</f>
        <v>548</v>
      </c>
      <c r="F1741" s="236">
        <f>500+48</f>
        <v>548</v>
      </c>
      <c r="G1741" s="236">
        <f>500+48</f>
        <v>548</v>
      </c>
      <c r="H1741" s="299">
        <f>SUM(Tabla1321124[[#This Row],[PRIMER TRIMESTRE]:[CUARTO TRIMESTRE]])</f>
        <v>2322</v>
      </c>
      <c r="I1741" s="17">
        <f>20*1.18</f>
        <v>23.599999999999998</v>
      </c>
      <c r="J1741" s="17">
        <f t="shared" si="28"/>
        <v>54799.199999999997</v>
      </c>
      <c r="K1741" s="17"/>
      <c r="L1741" s="16" t="s">
        <v>18</v>
      </c>
      <c r="M1741" s="16" t="s">
        <v>22</v>
      </c>
      <c r="N1741" s="16" t="s">
        <v>418</v>
      </c>
    </row>
    <row r="1742" spans="1:14" ht="41.25" customHeight="1">
      <c r="A1742" s="178" t="s">
        <v>120</v>
      </c>
      <c r="B1742" s="75" t="str">
        <f ca="1">+UPPER(Tabla1321124[[#This Row],[DESCRIPCIÓN DE LA COMPRA O CONTRATACIÓN]])</f>
        <v>SOBRE MANILA 8 1/2" X 11"</v>
      </c>
      <c r="C1742" s="39" t="s">
        <v>17</v>
      </c>
      <c r="D1742" s="236">
        <f>900+30+30</f>
        <v>960</v>
      </c>
      <c r="E1742" s="236">
        <f>700+5</f>
        <v>705</v>
      </c>
      <c r="F1742" s="236">
        <f>700+10</f>
        <v>710</v>
      </c>
      <c r="G1742" s="236">
        <f>700+5</f>
        <v>705</v>
      </c>
      <c r="H1742" s="299">
        <f>SUM(Tabla1321124[[#This Row],[PRIMER TRIMESTRE]:[CUARTO TRIMESTRE]])</f>
        <v>3080</v>
      </c>
      <c r="I1742" s="17">
        <f>4*1.18</f>
        <v>4.72</v>
      </c>
      <c r="J1742" s="17">
        <f t="shared" si="28"/>
        <v>14537.599999999999</v>
      </c>
      <c r="K1742" s="17"/>
      <c r="L1742" s="16" t="s">
        <v>18</v>
      </c>
      <c r="M1742" s="16" t="s">
        <v>22</v>
      </c>
      <c r="N1742" s="16" t="s">
        <v>418</v>
      </c>
    </row>
    <row r="1743" spans="1:14" ht="41.25" customHeight="1">
      <c r="A1743" s="178" t="s">
        <v>120</v>
      </c>
      <c r="B1743" s="75" t="str">
        <f ca="1">+UPPER(Tabla1321124[[#This Row],[DESCRIPCIÓN DE LA COMPRA O CONTRATACIÓN]])</f>
        <v xml:space="preserve">SOBRES MANILA 8 1/2 X 14 CAJAS </v>
      </c>
      <c r="C1743" s="39" t="s">
        <v>208</v>
      </c>
      <c r="D1743" s="362">
        <v>25</v>
      </c>
      <c r="E1743" s="362">
        <v>25</v>
      </c>
      <c r="F1743" s="362">
        <v>25</v>
      </c>
      <c r="G1743" s="362">
        <v>25</v>
      </c>
      <c r="H1743" s="299">
        <f>SUM(Tabla1321124[[#This Row],[PRIMER TRIMESTRE]:[CUARTO TRIMESTRE]])</f>
        <v>100</v>
      </c>
      <c r="I1743" s="17">
        <v>10</v>
      </c>
      <c r="J1743" s="17">
        <f t="shared" si="28"/>
        <v>1000</v>
      </c>
      <c r="K1743" s="175"/>
      <c r="L1743" s="16" t="s">
        <v>18</v>
      </c>
      <c r="M1743" s="16" t="s">
        <v>22</v>
      </c>
      <c r="N1743" s="16" t="s">
        <v>418</v>
      </c>
    </row>
    <row r="1744" spans="1:14" ht="41.25" customHeight="1">
      <c r="A1744" s="178" t="s">
        <v>120</v>
      </c>
      <c r="B1744" s="75" t="str">
        <f ca="1">+UPPER(Tabla1321124[[#This Row],[DESCRIPCIÓN DE LA COMPRA O CONTRATACIÓN]])</f>
        <v xml:space="preserve">SOBRES MANILA 8 1/2 Z 16 </v>
      </c>
      <c r="C1744" s="39" t="s">
        <v>208</v>
      </c>
      <c r="D1744" s="362">
        <v>10</v>
      </c>
      <c r="E1744" s="362">
        <v>10</v>
      </c>
      <c r="F1744" s="362">
        <v>10</v>
      </c>
      <c r="G1744" s="362">
        <v>20</v>
      </c>
      <c r="H1744" s="299">
        <f>SUM(Tabla1321124[[#This Row],[PRIMER TRIMESTRE]:[CUARTO TRIMESTRE]])</f>
        <v>50</v>
      </c>
      <c r="I1744" s="17">
        <v>15</v>
      </c>
      <c r="J1744" s="17">
        <f t="shared" si="28"/>
        <v>750</v>
      </c>
      <c r="K1744" s="175"/>
      <c r="L1744" s="16" t="s">
        <v>18</v>
      </c>
      <c r="M1744" s="16" t="s">
        <v>22</v>
      </c>
      <c r="N1744" s="16" t="s">
        <v>418</v>
      </c>
    </row>
    <row r="1745" spans="1:14" ht="41.25" customHeight="1">
      <c r="A1745" s="178" t="s">
        <v>120</v>
      </c>
      <c r="B1745" s="75" t="str">
        <f ca="1">+UPPER(Tabla1321124[[#This Row],[DESCRIPCIÓN DE LA COMPRA O CONTRATACIÓN]])</f>
        <v>BATERIA RECARGABLE AA Y AAA</v>
      </c>
      <c r="C1745" s="39" t="s">
        <v>17</v>
      </c>
      <c r="D1745" s="362">
        <v>10</v>
      </c>
      <c r="E1745" s="362">
        <v>10</v>
      </c>
      <c r="F1745" s="362">
        <v>10</v>
      </c>
      <c r="G1745" s="362"/>
      <c r="H1745" s="299">
        <f>SUM(Tabla1321124[[#This Row],[PRIMER TRIMESTRE]:[CUARTO TRIMESTRE]])</f>
        <v>30</v>
      </c>
      <c r="I1745" s="17">
        <v>150</v>
      </c>
      <c r="J1745" s="17">
        <f t="shared" si="28"/>
        <v>4500</v>
      </c>
      <c r="K1745" s="175"/>
      <c r="L1745" s="16" t="s">
        <v>18</v>
      </c>
      <c r="M1745" s="16" t="s">
        <v>22</v>
      </c>
      <c r="N1745" s="16" t="s">
        <v>418</v>
      </c>
    </row>
    <row r="1746" spans="1:14" ht="41.25" customHeight="1">
      <c r="A1746" s="178" t="s">
        <v>120</v>
      </c>
      <c r="B1746" s="75" t="str">
        <f ca="1">+UPPER(Tabla1321124[[#This Row],[DESCRIPCIÓN DE LA COMPRA O CONTRATACIÓN]])</f>
        <v>CARPETAS DE 3"</v>
      </c>
      <c r="C1746" s="39" t="s">
        <v>17</v>
      </c>
      <c r="D1746" s="362">
        <v>5</v>
      </c>
      <c r="E1746" s="362"/>
      <c r="F1746" s="362"/>
      <c r="G1746" s="362"/>
      <c r="H1746" s="299">
        <f>SUM(Tabla1321124[[#This Row],[PRIMER TRIMESTRE]:[CUARTO TRIMESTRE]])</f>
        <v>5</v>
      </c>
      <c r="I1746" s="17">
        <v>269</v>
      </c>
      <c r="J1746" s="17">
        <f t="shared" si="28"/>
        <v>1345</v>
      </c>
      <c r="K1746" s="175"/>
      <c r="L1746" s="16" t="s">
        <v>18</v>
      </c>
      <c r="M1746" s="16" t="s">
        <v>22</v>
      </c>
      <c r="N1746" s="16" t="s">
        <v>418</v>
      </c>
    </row>
    <row r="1747" spans="1:14" ht="41.25" customHeight="1">
      <c r="A1747" s="178" t="s">
        <v>120</v>
      </c>
      <c r="B1747" s="75" t="str">
        <f ca="1">+UPPER(Tabla1321124[[#This Row],[DESCRIPCIÓN DE LA COMPRA O CONTRATACIÓN]])</f>
        <v>ROLLO PAPEL 3 COPIAS (PRINTER P. VENTA)</v>
      </c>
      <c r="C1747" s="39" t="s">
        <v>102</v>
      </c>
      <c r="D1747" s="362">
        <v>200</v>
      </c>
      <c r="E1747" s="362">
        <v>150</v>
      </c>
      <c r="F1747" s="362">
        <v>200</v>
      </c>
      <c r="G1747" s="362">
        <v>150</v>
      </c>
      <c r="H1747" s="299">
        <f>SUM(Tabla1321124[[#This Row],[PRIMER TRIMESTRE]:[CUARTO TRIMESTRE]])</f>
        <v>700</v>
      </c>
      <c r="I1747" s="17">
        <v>3600</v>
      </c>
      <c r="J1747" s="17">
        <f t="shared" si="28"/>
        <v>2520000</v>
      </c>
      <c r="K1747" s="175"/>
      <c r="L1747" s="16" t="s">
        <v>18</v>
      </c>
      <c r="M1747" s="16" t="s">
        <v>22</v>
      </c>
      <c r="N1747" s="16" t="s">
        <v>418</v>
      </c>
    </row>
    <row r="1748" spans="1:14" ht="41.25" customHeight="1">
      <c r="A1748" s="178" t="s">
        <v>120</v>
      </c>
      <c r="B1748" s="75" t="str">
        <f ca="1">+UPPER(Tabla1321124[[#This Row],[DESCRIPCIÓN DE LA COMPRA O CONTRATACIÓN]])</f>
        <v>CINTA MAQUINA DE ESCRIBIR ELECTRICA  NO.188</v>
      </c>
      <c r="C1748" s="39" t="s">
        <v>17</v>
      </c>
      <c r="D1748" s="362">
        <v>2</v>
      </c>
      <c r="E1748" s="362">
        <v>2</v>
      </c>
      <c r="F1748" s="362">
        <v>2</v>
      </c>
      <c r="G1748" s="362">
        <v>2</v>
      </c>
      <c r="H1748" s="299">
        <f>SUM(Tabla1321124[[#This Row],[PRIMER TRIMESTRE]:[CUARTO TRIMESTRE]])</f>
        <v>8</v>
      </c>
      <c r="I1748" s="17">
        <v>800</v>
      </c>
      <c r="J1748" s="17">
        <f t="shared" si="28"/>
        <v>6400</v>
      </c>
      <c r="K1748" s="175"/>
      <c r="L1748" s="16" t="s">
        <v>18</v>
      </c>
      <c r="M1748" s="16" t="s">
        <v>22</v>
      </c>
      <c r="N1748" s="16" t="s">
        <v>418</v>
      </c>
    </row>
    <row r="1749" spans="1:14" ht="41.25" customHeight="1">
      <c r="A1749" s="178" t="s">
        <v>120</v>
      </c>
      <c r="B1749" s="75" t="str">
        <f ca="1">+UPPER(Tabla1321124[[#This Row],[DESCRIPCIÓN DE LA COMPRA O CONTRATACIÓN]])</f>
        <v>LABELS</v>
      </c>
      <c r="C1749" s="39" t="s">
        <v>17</v>
      </c>
      <c r="D1749" s="236">
        <v>10</v>
      </c>
      <c r="E1749" s="236">
        <v>10</v>
      </c>
      <c r="F1749" s="236">
        <v>10</v>
      </c>
      <c r="G1749" s="236">
        <v>10</v>
      </c>
      <c r="H1749" s="299">
        <f>SUM(Tabla1321124[[#This Row],[PRIMER TRIMESTRE]:[CUARTO TRIMESTRE]])</f>
        <v>40</v>
      </c>
      <c r="I1749" s="17">
        <v>65</v>
      </c>
      <c r="J1749" s="17">
        <f t="shared" si="28"/>
        <v>2600</v>
      </c>
      <c r="K1749" s="345"/>
      <c r="L1749" s="16" t="s">
        <v>18</v>
      </c>
      <c r="M1749" s="16" t="s">
        <v>22</v>
      </c>
      <c r="N1749" s="16" t="s">
        <v>418</v>
      </c>
    </row>
    <row r="1750" spans="1:14" ht="41.25" customHeight="1">
      <c r="A1750" s="178" t="s">
        <v>120</v>
      </c>
      <c r="B1750" s="75" t="str">
        <f ca="1">+UPPER(Tabla1321124[[#This Row],[DESCRIPCIÓN DE LA COMPRA O CONTRATACIÓN]])</f>
        <v>CAJAS SOBRES TIMBRADOS</v>
      </c>
      <c r="C1750" s="39" t="s">
        <v>17</v>
      </c>
      <c r="D1750" s="236">
        <v>200</v>
      </c>
      <c r="E1750" s="236">
        <v>150</v>
      </c>
      <c r="F1750" s="236">
        <v>200</v>
      </c>
      <c r="G1750" s="236">
        <v>150</v>
      </c>
      <c r="H1750" s="299">
        <f>SUM(Tabla1321124[[#This Row],[PRIMER TRIMESTRE]:[CUARTO TRIMESTRE]])</f>
        <v>700</v>
      </c>
      <c r="I1750" s="17">
        <v>270</v>
      </c>
      <c r="J1750" s="17">
        <f t="shared" si="28"/>
        <v>189000</v>
      </c>
      <c r="K1750" s="345"/>
      <c r="L1750" s="16" t="s">
        <v>18</v>
      </c>
      <c r="M1750" s="16" t="s">
        <v>22</v>
      </c>
      <c r="N1750" s="16" t="s">
        <v>418</v>
      </c>
    </row>
    <row r="1751" spans="1:14" ht="41.25" customHeight="1">
      <c r="A1751" s="178" t="s">
        <v>120</v>
      </c>
      <c r="B1751" s="75" t="str">
        <f ca="1">+UPPER(Tabla1321124[[#This Row],[DESCRIPCIÓN DE LA COMPRA O CONTRATACIÓN]])</f>
        <v>TAPE DE OFICINA 3M</v>
      </c>
      <c r="C1751" s="39" t="s">
        <v>17</v>
      </c>
      <c r="D1751" s="236">
        <v>100</v>
      </c>
      <c r="E1751" s="236">
        <v>100</v>
      </c>
      <c r="F1751" s="236">
        <v>100</v>
      </c>
      <c r="G1751" s="236">
        <v>100</v>
      </c>
      <c r="H1751" s="299">
        <f>SUM(Tabla1321124[[#This Row],[PRIMER TRIMESTRE]:[CUARTO TRIMESTRE]])</f>
        <v>400</v>
      </c>
      <c r="I1751" s="17">
        <v>348</v>
      </c>
      <c r="J1751" s="17">
        <f t="shared" si="28"/>
        <v>139200</v>
      </c>
      <c r="K1751" s="17"/>
      <c r="L1751" s="16" t="s">
        <v>18</v>
      </c>
      <c r="M1751" s="16" t="s">
        <v>22</v>
      </c>
      <c r="N1751" s="16" t="s">
        <v>418</v>
      </c>
    </row>
    <row r="1752" spans="1:14" ht="41.25" customHeight="1">
      <c r="A1752" s="178" t="s">
        <v>120</v>
      </c>
      <c r="B1752" s="75" t="str">
        <f ca="1">+UPPER(Tabla1321124[[#This Row],[DESCRIPCIÓN DE LA COMPRA O CONTRATACIÓN]])</f>
        <v>TINTA AZUL PARA ALMOHADILLAS</v>
      </c>
      <c r="C1752" s="39" t="s">
        <v>17</v>
      </c>
      <c r="D1752" s="236">
        <v>50</v>
      </c>
      <c r="E1752" s="236">
        <v>50</v>
      </c>
      <c r="F1752" s="236">
        <v>50</v>
      </c>
      <c r="G1752" s="236">
        <v>50</v>
      </c>
      <c r="H1752" s="299">
        <f>SUM(Tabla1321124[[#This Row],[PRIMER TRIMESTRE]:[CUARTO TRIMESTRE]])</f>
        <v>200</v>
      </c>
      <c r="I1752" s="17">
        <v>61.95</v>
      </c>
      <c r="J1752" s="17">
        <f t="shared" si="28"/>
        <v>12390</v>
      </c>
      <c r="K1752" s="17"/>
      <c r="L1752" s="16" t="s">
        <v>18</v>
      </c>
      <c r="M1752" s="16" t="s">
        <v>22</v>
      </c>
      <c r="N1752" s="16" t="s">
        <v>418</v>
      </c>
    </row>
    <row r="1753" spans="1:14" ht="41.25" customHeight="1">
      <c r="A1753" s="178" t="s">
        <v>120</v>
      </c>
      <c r="B1753" s="75" t="str">
        <f ca="1">+UPPER(Tabla1321124[[#This Row],[DESCRIPCIÓN DE LA COMPRA O CONTRATACIÓN]])</f>
        <v>TINTA ROJA PARA SELLOS</v>
      </c>
      <c r="C1753" s="39" t="s">
        <v>417</v>
      </c>
      <c r="D1753" s="236"/>
      <c r="E1753" s="236">
        <v>1</v>
      </c>
      <c r="F1753" s="236"/>
      <c r="G1753" s="236"/>
      <c r="H1753" s="299">
        <f>SUM(Tabla1321124[[#This Row],[PRIMER TRIMESTRE]:[CUARTO TRIMESTRE]])</f>
        <v>1</v>
      </c>
      <c r="I1753" s="17">
        <v>125</v>
      </c>
      <c r="J1753" s="17">
        <f t="shared" si="28"/>
        <v>125</v>
      </c>
      <c r="K1753" s="330"/>
      <c r="L1753" s="16" t="s">
        <v>18</v>
      </c>
      <c r="M1753" s="16" t="s">
        <v>22</v>
      </c>
      <c r="N1753" s="16" t="s">
        <v>418</v>
      </c>
    </row>
    <row r="1754" spans="1:14" ht="41.25" customHeight="1">
      <c r="A1754" s="178" t="s">
        <v>120</v>
      </c>
      <c r="B1754" s="75" t="str">
        <f ca="1">+UPPER(Tabla1321124[[#This Row],[DESCRIPCIÓN DE LA COMPRA O CONTRATACIÓN]])</f>
        <v>TENTA NEGRA PARA SELLOS</v>
      </c>
      <c r="C1754" s="39" t="s">
        <v>417</v>
      </c>
      <c r="D1754" s="236">
        <v>1</v>
      </c>
      <c r="E1754" s="236"/>
      <c r="F1754" s="236"/>
      <c r="G1754" s="236"/>
      <c r="H1754" s="299">
        <f>SUM(Tabla1321124[[#This Row],[PRIMER TRIMESTRE]:[CUARTO TRIMESTRE]])</f>
        <v>1</v>
      </c>
      <c r="I1754" s="17">
        <v>115</v>
      </c>
      <c r="J1754" s="17">
        <f t="shared" si="28"/>
        <v>115</v>
      </c>
      <c r="K1754" s="17"/>
      <c r="L1754" s="16" t="s">
        <v>18</v>
      </c>
      <c r="M1754" s="16" t="s">
        <v>22</v>
      </c>
      <c r="N1754" s="16" t="s">
        <v>418</v>
      </c>
    </row>
    <row r="1755" spans="1:14" ht="41.25" customHeight="1">
      <c r="A1755" s="178" t="s">
        <v>120</v>
      </c>
      <c r="B1755" s="75" t="str">
        <f ca="1">+UPPER(Tabla1321124[[#This Row],[DESCRIPCIÓN DE LA COMPRA O CONTRATACIÓN]])</f>
        <v>ALMOHADILLA PARA SELLOS</v>
      </c>
      <c r="C1755" s="39" t="s">
        <v>417</v>
      </c>
      <c r="D1755" s="236">
        <v>1</v>
      </c>
      <c r="E1755" s="236"/>
      <c r="F1755" s="236"/>
      <c r="G1755" s="236"/>
      <c r="H1755" s="299">
        <f>SUM(Tabla1321124[[#This Row],[PRIMER TRIMESTRE]:[CUARTO TRIMESTRE]])</f>
        <v>1</v>
      </c>
      <c r="I1755" s="17">
        <v>145</v>
      </c>
      <c r="J1755" s="17">
        <f t="shared" si="28"/>
        <v>145</v>
      </c>
      <c r="K1755" s="17"/>
      <c r="L1755" s="16" t="s">
        <v>18</v>
      </c>
      <c r="M1755" s="16" t="s">
        <v>22</v>
      </c>
      <c r="N1755" s="16" t="s">
        <v>418</v>
      </c>
    </row>
    <row r="1756" spans="1:14" ht="41.25" customHeight="1">
      <c r="A1756" s="178" t="s">
        <v>120</v>
      </c>
      <c r="B1756" s="75" t="str">
        <f ca="1">+UPPER(Tabla1321124[[#This Row],[DESCRIPCIÓN DE LA COMPRA O CONTRATACIÓN]])</f>
        <v>SELLO PRETINADO</v>
      </c>
      <c r="C1756" s="39" t="s">
        <v>17</v>
      </c>
      <c r="D1756" s="236">
        <v>50</v>
      </c>
      <c r="E1756" s="236">
        <v>50</v>
      </c>
      <c r="F1756" s="236">
        <v>50</v>
      </c>
      <c r="G1756" s="236">
        <v>50</v>
      </c>
      <c r="H1756" s="299">
        <f>SUM(Tabla1321124[[#This Row],[PRIMER TRIMESTRE]:[CUARTO TRIMESTRE]])</f>
        <v>200</v>
      </c>
      <c r="I1756" s="17">
        <v>1245</v>
      </c>
      <c r="J1756" s="17">
        <f t="shared" si="28"/>
        <v>249000</v>
      </c>
      <c r="K1756" s="340"/>
      <c r="L1756" s="16" t="s">
        <v>18</v>
      </c>
      <c r="M1756" s="16" t="s">
        <v>22</v>
      </c>
      <c r="N1756" s="16" t="s">
        <v>418</v>
      </c>
    </row>
    <row r="1757" spans="1:14" ht="41.25" customHeight="1">
      <c r="A1757" s="178" t="s">
        <v>120</v>
      </c>
      <c r="B1757" s="75" t="str">
        <f ca="1">+UPPER(Tabla1321124[[#This Row],[DESCRIPCIÓN DE LA COMPRA O CONTRATACIÓN]])</f>
        <v>CARTUCHO HP DESJET 21 (C9351A) BLACK</v>
      </c>
      <c r="C1757" s="39" t="s">
        <v>417</v>
      </c>
      <c r="D1757" s="236"/>
      <c r="E1757" s="236"/>
      <c r="F1757" s="236"/>
      <c r="G1757" s="236"/>
      <c r="H1757" s="299">
        <f>SUM(Tabla1321124[[#This Row],[PRIMER TRIMESTRE]:[CUARTO TRIMESTRE]])</f>
        <v>0</v>
      </c>
      <c r="I1757" s="17">
        <v>650</v>
      </c>
      <c r="J1757" s="17">
        <f t="shared" si="28"/>
        <v>0</v>
      </c>
      <c r="K1757" s="17"/>
      <c r="L1757" s="16" t="s">
        <v>18</v>
      </c>
      <c r="M1757" s="16" t="s">
        <v>22</v>
      </c>
      <c r="N1757" s="16" t="s">
        <v>418</v>
      </c>
    </row>
    <row r="1758" spans="1:14" ht="41.25" customHeight="1">
      <c r="A1758" s="178" t="s">
        <v>120</v>
      </c>
      <c r="B1758" s="75" t="str">
        <f ca="1">+UPPER(Tabla1321124[[#This Row],[DESCRIPCIÓN DE LA COMPRA O CONTRATACIÓN]])</f>
        <v>CARTUCHO HP DESJET 22 (C9352A) TRICOLOR</v>
      </c>
      <c r="C1758" s="39" t="s">
        <v>417</v>
      </c>
      <c r="D1758" s="236"/>
      <c r="E1758" s="236"/>
      <c r="F1758" s="236"/>
      <c r="G1758" s="236"/>
      <c r="H1758" s="299">
        <f>SUM(Tabla1321124[[#This Row],[PRIMER TRIMESTRE]:[CUARTO TRIMESTRE]])</f>
        <v>0</v>
      </c>
      <c r="I1758" s="17">
        <v>950</v>
      </c>
      <c r="J1758" s="17">
        <f t="shared" si="28"/>
        <v>0</v>
      </c>
      <c r="K1758" s="17"/>
      <c r="L1758" s="16" t="s">
        <v>18</v>
      </c>
      <c r="M1758" s="16" t="s">
        <v>22</v>
      </c>
      <c r="N1758" s="16" t="s">
        <v>418</v>
      </c>
    </row>
    <row r="1759" spans="1:14" ht="41.25" customHeight="1">
      <c r="A1759" s="178" t="s">
        <v>120</v>
      </c>
      <c r="B1759" s="75" t="str">
        <f ca="1">+UPPER(Tabla1321124[[#This Row],[DESCRIPCIÓN DE LA COMPRA O CONTRATACIÓN]])</f>
        <v>CARTUCHO HP 60 NEGRO (CC643W)</v>
      </c>
      <c r="C1759" s="39" t="s">
        <v>417</v>
      </c>
      <c r="D1759" s="236">
        <v>3</v>
      </c>
      <c r="E1759" s="236">
        <v>3</v>
      </c>
      <c r="F1759" s="236">
        <v>3</v>
      </c>
      <c r="G1759" s="236">
        <v>3</v>
      </c>
      <c r="H1759" s="299">
        <f>SUM(Tabla1321124[[#This Row],[PRIMER TRIMESTRE]:[CUARTO TRIMESTRE]])</f>
        <v>12</v>
      </c>
      <c r="I1759" s="17">
        <v>650</v>
      </c>
      <c r="J1759" s="17">
        <f t="shared" si="28"/>
        <v>7800</v>
      </c>
      <c r="K1759" s="17"/>
      <c r="L1759" s="16" t="s">
        <v>18</v>
      </c>
      <c r="M1759" s="16" t="s">
        <v>22</v>
      </c>
      <c r="N1759" s="16" t="s">
        <v>418</v>
      </c>
    </row>
    <row r="1760" spans="1:14" ht="41.25" customHeight="1">
      <c r="A1760" s="178" t="s">
        <v>120</v>
      </c>
      <c r="B1760" s="75" t="str">
        <f ca="1">+UPPER(Tabla1321124[[#This Row],[DESCRIPCIÓN DE LA COMPRA O CONTRATACIÓN]])</f>
        <v>CARTUCHO HP 60 COLOR (CC640W)</v>
      </c>
      <c r="C1760" s="39" t="s">
        <v>417</v>
      </c>
      <c r="D1760" s="236">
        <v>3</v>
      </c>
      <c r="E1760" s="236">
        <v>3</v>
      </c>
      <c r="F1760" s="236">
        <v>3</v>
      </c>
      <c r="G1760" s="236">
        <v>3</v>
      </c>
      <c r="H1760" s="299">
        <f>SUM(Tabla1321124[[#This Row],[PRIMER TRIMESTRE]:[CUARTO TRIMESTRE]])</f>
        <v>12</v>
      </c>
      <c r="I1760" s="17">
        <v>800</v>
      </c>
      <c r="J1760" s="17">
        <f t="shared" si="28"/>
        <v>9600</v>
      </c>
      <c r="K1760" s="17"/>
      <c r="L1760" s="16" t="s">
        <v>18</v>
      </c>
      <c r="M1760" s="16" t="s">
        <v>22</v>
      </c>
      <c r="N1760" s="16" t="s">
        <v>418</v>
      </c>
    </row>
    <row r="1761" spans="1:14" ht="41.25" customHeight="1">
      <c r="A1761" s="178" t="s">
        <v>120</v>
      </c>
      <c r="B1761" s="75" t="str">
        <f ca="1">+UPPER(Tabla1321124[[#This Row],[DESCRIPCIÓN DE LA COMPRA O CONTRATACIÓN]])</f>
        <v>CARTUCHO HP 95 TRICOLOR</v>
      </c>
      <c r="C1761" s="39" t="s">
        <v>417</v>
      </c>
      <c r="D1761" s="236"/>
      <c r="E1761" s="236"/>
      <c r="F1761" s="236"/>
      <c r="G1761" s="236"/>
      <c r="H1761" s="299">
        <f>SUM(Tabla1321124[[#This Row],[PRIMER TRIMESTRE]:[CUARTO TRIMESTRE]])</f>
        <v>0</v>
      </c>
      <c r="I1761" s="17">
        <v>1190</v>
      </c>
      <c r="J1761" s="17">
        <f t="shared" si="28"/>
        <v>0</v>
      </c>
      <c r="K1761" s="17"/>
      <c r="L1761" s="16" t="s">
        <v>18</v>
      </c>
      <c r="M1761" s="16" t="s">
        <v>22</v>
      </c>
      <c r="N1761" s="16" t="s">
        <v>418</v>
      </c>
    </row>
    <row r="1762" spans="1:14" ht="41.25" customHeight="1">
      <c r="A1762" s="178" t="s">
        <v>120</v>
      </c>
      <c r="B1762" s="75" t="str">
        <f ca="1">+UPPER(Tabla1321124[[#This Row],[DESCRIPCIÓN DE LA COMPRA O CONTRATACIÓN]])</f>
        <v xml:space="preserve">CARTUCHO HP DESKJET 98 (C9364W) </v>
      </c>
      <c r="C1762" s="39" t="s">
        <v>417</v>
      </c>
      <c r="D1762" s="236">
        <v>10</v>
      </c>
      <c r="E1762" s="236"/>
      <c r="F1762" s="236">
        <v>15</v>
      </c>
      <c r="G1762" s="236"/>
      <c r="H1762" s="299">
        <f>SUM(Tabla1321124[[#This Row],[PRIMER TRIMESTRE]:[CUARTO TRIMESTRE]])</f>
        <v>25</v>
      </c>
      <c r="I1762" s="17">
        <v>1050</v>
      </c>
      <c r="J1762" s="17">
        <f t="shared" si="28"/>
        <v>26250</v>
      </c>
      <c r="K1762" s="17"/>
      <c r="L1762" s="16" t="s">
        <v>18</v>
      </c>
      <c r="M1762" s="16" t="s">
        <v>22</v>
      </c>
      <c r="N1762" s="16" t="s">
        <v>418</v>
      </c>
    </row>
    <row r="1763" spans="1:14" ht="41.25" customHeight="1">
      <c r="A1763" s="178" t="s">
        <v>120</v>
      </c>
      <c r="B1763" s="75" t="str">
        <f ca="1">+UPPER(Tabla1321124[[#This Row],[DESCRIPCIÓN DE LA COMPRA O CONTRATACIÓN]])</f>
        <v>CARTUCHO HP 27 NEGRO</v>
      </c>
      <c r="C1763" s="39" t="s">
        <v>417</v>
      </c>
      <c r="D1763" s="236"/>
      <c r="E1763" s="236"/>
      <c r="F1763" s="236"/>
      <c r="G1763" s="236"/>
      <c r="H1763" s="299">
        <f>SUM(Tabla1321124[[#This Row],[PRIMER TRIMESTRE]:[CUARTO TRIMESTRE]])</f>
        <v>0</v>
      </c>
      <c r="I1763" s="17">
        <v>990</v>
      </c>
      <c r="J1763" s="17">
        <f t="shared" si="28"/>
        <v>0</v>
      </c>
      <c r="K1763" s="17"/>
      <c r="L1763" s="16" t="s">
        <v>18</v>
      </c>
      <c r="M1763" s="16" t="s">
        <v>22</v>
      </c>
      <c r="N1763" s="16" t="s">
        <v>418</v>
      </c>
    </row>
    <row r="1764" spans="1:14" ht="41.25" customHeight="1">
      <c r="A1764" s="178" t="s">
        <v>120</v>
      </c>
      <c r="B1764" s="75" t="str">
        <f ca="1">+UPPER(Tabla1321124[[#This Row],[DESCRIPCIÓN DE LA COMPRA O CONTRATACIÓN]])</f>
        <v>CARTUCHO HP DEKJET 122 NEGRO (CH561H)</v>
      </c>
      <c r="C1764" s="39" t="s">
        <v>417</v>
      </c>
      <c r="D1764" s="236">
        <v>10</v>
      </c>
      <c r="E1764" s="236"/>
      <c r="F1764" s="236">
        <v>10</v>
      </c>
      <c r="G1764" s="236"/>
      <c r="H1764" s="299">
        <f>SUM(Tabla1321124[[#This Row],[PRIMER TRIMESTRE]:[CUARTO TRIMESTRE]])</f>
        <v>20</v>
      </c>
      <c r="I1764" s="17">
        <v>450</v>
      </c>
      <c r="J1764" s="17">
        <f t="shared" si="28"/>
        <v>9000</v>
      </c>
      <c r="K1764" s="17"/>
      <c r="L1764" s="16" t="s">
        <v>18</v>
      </c>
      <c r="M1764" s="16" t="s">
        <v>22</v>
      </c>
      <c r="N1764" s="16" t="s">
        <v>418</v>
      </c>
    </row>
    <row r="1765" spans="1:14" ht="41.25" customHeight="1">
      <c r="A1765" s="178" t="s">
        <v>120</v>
      </c>
      <c r="B1765" s="75" t="str">
        <f ca="1">+UPPER(Tabla1321124[[#This Row],[DESCRIPCIÓN DE LA COMPRA O CONTRATACIÓN]])</f>
        <v>CARTUCHOS HP DESKJET 122 TRICOLOR (CH562H)</v>
      </c>
      <c r="C1765" s="39" t="s">
        <v>417</v>
      </c>
      <c r="D1765" s="236">
        <v>10</v>
      </c>
      <c r="E1765" s="236"/>
      <c r="F1765" s="236">
        <v>10</v>
      </c>
      <c r="G1765" s="236"/>
      <c r="H1765" s="299">
        <f>SUM(Tabla1321124[[#This Row],[PRIMER TRIMESTRE]:[CUARTO TRIMESTRE]])</f>
        <v>20</v>
      </c>
      <c r="I1765" s="17">
        <v>550</v>
      </c>
      <c r="J1765" s="17">
        <f t="shared" si="28"/>
        <v>11000</v>
      </c>
      <c r="K1765" s="17"/>
      <c r="L1765" s="16" t="s">
        <v>18</v>
      </c>
      <c r="M1765" s="16" t="s">
        <v>22</v>
      </c>
      <c r="N1765" s="16" t="s">
        <v>418</v>
      </c>
    </row>
    <row r="1766" spans="1:14" ht="41.25" customHeight="1">
      <c r="A1766" s="178" t="s">
        <v>120</v>
      </c>
      <c r="B1766" s="75" t="str">
        <f ca="1">+UPPER(Tabla1321124[[#This Row],[DESCRIPCIÓN DE LA COMPRA O CONTRATACIÓN]])</f>
        <v>CARTUCHO NEGRO 35A</v>
      </c>
      <c r="C1766" s="39" t="s">
        <v>1778</v>
      </c>
      <c r="D1766" s="236">
        <v>2</v>
      </c>
      <c r="E1766" s="236">
        <v>2</v>
      </c>
      <c r="F1766" s="236">
        <v>2</v>
      </c>
      <c r="G1766" s="236">
        <v>2</v>
      </c>
      <c r="H1766" s="299">
        <f>SUM(Tabla1321124[[#This Row],[PRIMER TRIMESTRE]:[CUARTO TRIMESTRE]])</f>
        <v>8</v>
      </c>
      <c r="I1766" s="17">
        <v>1000</v>
      </c>
      <c r="J1766" s="17">
        <f t="shared" si="28"/>
        <v>8000</v>
      </c>
      <c r="K1766" s="17"/>
      <c r="L1766" s="16" t="s">
        <v>18</v>
      </c>
      <c r="M1766" s="16" t="s">
        <v>22</v>
      </c>
      <c r="N1766" s="16" t="s">
        <v>418</v>
      </c>
    </row>
    <row r="1767" spans="1:14" ht="41.25" customHeight="1">
      <c r="A1767" s="178" t="s">
        <v>120</v>
      </c>
      <c r="B1767" s="75" t="str">
        <f ca="1">+UPPER(Tabla1321124[[#This Row],[DESCRIPCIÓN DE LA COMPRA O CONTRATACIÓN]])</f>
        <v>CARTUCHO HP 56 (C6656AL)</v>
      </c>
      <c r="C1767" s="39" t="s">
        <v>417</v>
      </c>
      <c r="D1767" s="236"/>
      <c r="E1767" s="236"/>
      <c r="F1767" s="236"/>
      <c r="G1767" s="236"/>
      <c r="H1767" s="299">
        <f>SUM(Tabla1321124[[#This Row],[PRIMER TRIMESTRE]:[CUARTO TRIMESTRE]])</f>
        <v>0</v>
      </c>
      <c r="I1767" s="17">
        <v>1000</v>
      </c>
      <c r="J1767" s="17">
        <f t="shared" si="28"/>
        <v>0</v>
      </c>
      <c r="K1767" s="17"/>
      <c r="L1767" s="16" t="s">
        <v>18</v>
      </c>
      <c r="M1767" s="16" t="s">
        <v>22</v>
      </c>
      <c r="N1767" s="16" t="s">
        <v>418</v>
      </c>
    </row>
    <row r="1768" spans="1:14" ht="41.25" customHeight="1">
      <c r="A1768" s="178" t="s">
        <v>120</v>
      </c>
      <c r="B1768" s="75" t="str">
        <f ca="1">+UPPER(Tabla1321124[[#This Row],[DESCRIPCIÓN DE LA COMPRA O CONTRATACIÓN]])</f>
        <v>CARTUCHO HP 74 BLACK (CB335W)</v>
      </c>
      <c r="C1768" s="39" t="s">
        <v>417</v>
      </c>
      <c r="D1768" s="236"/>
      <c r="E1768" s="236"/>
      <c r="F1768" s="236"/>
      <c r="G1768" s="236"/>
      <c r="H1768" s="299">
        <f>SUM(Tabla1321124[[#This Row],[PRIMER TRIMESTRE]:[CUARTO TRIMESTRE]])</f>
        <v>0</v>
      </c>
      <c r="I1768" s="17">
        <v>850</v>
      </c>
      <c r="J1768" s="17">
        <f t="shared" si="28"/>
        <v>0</v>
      </c>
      <c r="K1768" s="17"/>
      <c r="L1768" s="16" t="s">
        <v>18</v>
      </c>
      <c r="M1768" s="16" t="s">
        <v>22</v>
      </c>
      <c r="N1768" s="16" t="s">
        <v>418</v>
      </c>
    </row>
    <row r="1769" spans="1:14" ht="41.25" customHeight="1">
      <c r="A1769" s="178" t="s">
        <v>120</v>
      </c>
      <c r="B1769" s="75" t="str">
        <f ca="1">+UPPER(Tabla1321124[[#This Row],[DESCRIPCIÓN DE LA COMPRA O CONTRATACIÓN]])</f>
        <v>CARTUCHO HP 75 TRICOLOR (CB337W)</v>
      </c>
      <c r="C1769" s="39" t="s">
        <v>417</v>
      </c>
      <c r="D1769" s="236"/>
      <c r="E1769" s="236"/>
      <c r="F1769" s="236"/>
      <c r="G1769" s="236"/>
      <c r="H1769" s="299">
        <f>SUM(Tabla1321124[[#This Row],[PRIMER TRIMESTRE]:[CUARTO TRIMESTRE]])</f>
        <v>0</v>
      </c>
      <c r="I1769" s="17">
        <v>850</v>
      </c>
      <c r="J1769" s="17">
        <f t="shared" si="28"/>
        <v>0</v>
      </c>
      <c r="K1769" s="17"/>
      <c r="L1769" s="16" t="s">
        <v>18</v>
      </c>
      <c r="M1769" s="16" t="s">
        <v>22</v>
      </c>
      <c r="N1769" s="16" t="s">
        <v>418</v>
      </c>
    </row>
    <row r="1770" spans="1:14" ht="41.25" customHeight="1">
      <c r="A1770" s="178" t="s">
        <v>120</v>
      </c>
      <c r="B1770" s="75" t="str">
        <f ca="1">+UPPER(Tabla1321124[[#This Row],[DESCRIPCIÓN DE LA COMPRA O CONTRATACIÓN]])</f>
        <v xml:space="preserve">CARTUCHO HP 92 </v>
      </c>
      <c r="C1770" s="39" t="s">
        <v>417</v>
      </c>
      <c r="D1770" s="236">
        <v>6</v>
      </c>
      <c r="E1770" s="236"/>
      <c r="F1770" s="236">
        <v>6</v>
      </c>
      <c r="G1770" s="236"/>
      <c r="H1770" s="299">
        <f>SUM(Tabla1321124[[#This Row],[PRIMER TRIMESTRE]:[CUARTO TRIMESTRE]])</f>
        <v>12</v>
      </c>
      <c r="I1770" s="17">
        <v>650</v>
      </c>
      <c r="J1770" s="17">
        <f t="shared" si="28"/>
        <v>7800</v>
      </c>
      <c r="K1770" s="17"/>
      <c r="L1770" s="16" t="s">
        <v>18</v>
      </c>
      <c r="M1770" s="16" t="s">
        <v>22</v>
      </c>
      <c r="N1770" s="16" t="s">
        <v>418</v>
      </c>
    </row>
    <row r="1771" spans="1:14" ht="41.25" customHeight="1">
      <c r="A1771" s="178" t="s">
        <v>120</v>
      </c>
      <c r="B1771" s="75" t="str">
        <f ca="1">+UPPER(Tabla1321124[[#This Row],[DESCRIPCIÓN DE LA COMPRA O CONTRATACIÓN]])</f>
        <v>CARTUCHO HP DESKJET TRICOLOR 93 (C9361W)</v>
      </c>
      <c r="C1771" s="39" t="s">
        <v>417</v>
      </c>
      <c r="D1771" s="236">
        <v>6</v>
      </c>
      <c r="E1771" s="236"/>
      <c r="F1771" s="236">
        <v>6</v>
      </c>
      <c r="G1771" s="236"/>
      <c r="H1771" s="299">
        <f>SUM(Tabla1321124[[#This Row],[PRIMER TRIMESTRE]:[CUARTO TRIMESTRE]])</f>
        <v>12</v>
      </c>
      <c r="I1771" s="17">
        <v>1100</v>
      </c>
      <c r="J1771" s="17">
        <f t="shared" si="28"/>
        <v>13200</v>
      </c>
      <c r="K1771" s="17"/>
      <c r="L1771" s="16" t="s">
        <v>18</v>
      </c>
      <c r="M1771" s="16" t="s">
        <v>22</v>
      </c>
      <c r="N1771" s="16" t="s">
        <v>418</v>
      </c>
    </row>
    <row r="1772" spans="1:14" ht="41.25" customHeight="1">
      <c r="A1772" s="178" t="s">
        <v>120</v>
      </c>
      <c r="B1772" s="75" t="str">
        <f ca="1">+UPPER(Tabla1321124[[#This Row],[DESCRIPCIÓN DE LA COMPRA O CONTRATACIÓN]])</f>
        <v xml:space="preserve">CARTUCHO HP 94 </v>
      </c>
      <c r="C1772" s="39" t="s">
        <v>417</v>
      </c>
      <c r="D1772" s="236"/>
      <c r="E1772" s="236"/>
      <c r="F1772" s="236"/>
      <c r="G1772" s="236"/>
      <c r="H1772" s="299">
        <f>SUM(Tabla1321124[[#This Row],[PRIMER TRIMESTRE]:[CUARTO TRIMESTRE]])</f>
        <v>0</v>
      </c>
      <c r="I1772" s="17">
        <v>1100</v>
      </c>
      <c r="J1772" s="17">
        <f t="shared" si="28"/>
        <v>0</v>
      </c>
      <c r="K1772" s="17"/>
      <c r="L1772" s="16" t="s">
        <v>18</v>
      </c>
      <c r="M1772" s="16" t="s">
        <v>22</v>
      </c>
      <c r="N1772" s="16" t="s">
        <v>418</v>
      </c>
    </row>
    <row r="1773" spans="1:14" ht="41.25" customHeight="1">
      <c r="A1773" s="178" t="s">
        <v>120</v>
      </c>
      <c r="B1773" s="75" t="str">
        <f ca="1">+UPPER(Tabla1321124[[#This Row],[DESCRIPCIÓN DE LA COMPRA O CONTRATACIÓN]])</f>
        <v>CARTUCHO HP BLACK 96 (C8767W)</v>
      </c>
      <c r="C1773" s="39" t="s">
        <v>417</v>
      </c>
      <c r="D1773" s="236"/>
      <c r="E1773" s="236"/>
      <c r="F1773" s="236"/>
      <c r="G1773" s="236"/>
      <c r="H1773" s="299">
        <f>SUM(Tabla1321124[[#This Row],[PRIMER TRIMESTRE]:[CUARTO TRIMESTRE]])</f>
        <v>0</v>
      </c>
      <c r="I1773" s="17">
        <v>1500</v>
      </c>
      <c r="J1773" s="17">
        <f t="shared" si="28"/>
        <v>0</v>
      </c>
      <c r="K1773" s="17"/>
      <c r="L1773" s="16" t="s">
        <v>18</v>
      </c>
      <c r="M1773" s="16" t="s">
        <v>22</v>
      </c>
      <c r="N1773" s="16" t="s">
        <v>418</v>
      </c>
    </row>
    <row r="1774" spans="1:14" ht="41.25" customHeight="1">
      <c r="A1774" s="178" t="s">
        <v>120</v>
      </c>
      <c r="B1774" s="75" t="str">
        <f ca="1">+UPPER(Tabla1321124[[#This Row],[DESCRIPCIÓN DE LA COMPRA O CONTRATACIÓN]])</f>
        <v>CARTUCHO HP 72 AMARILLO PARA DESIGNJET T610/T1100 69 ML TRAMO 3 JAULA</v>
      </c>
      <c r="C1774" s="39" t="s">
        <v>417</v>
      </c>
      <c r="D1774" s="236">
        <v>9</v>
      </c>
      <c r="E1774" s="236"/>
      <c r="F1774" s="236">
        <v>9</v>
      </c>
      <c r="G1774" s="236"/>
      <c r="H1774" s="299">
        <f>SUM(Tabla1321124[[#This Row],[PRIMER TRIMESTRE]:[CUARTO TRIMESTRE]])</f>
        <v>18</v>
      </c>
      <c r="I1774" s="17">
        <v>2200</v>
      </c>
      <c r="J1774" s="17">
        <f t="shared" si="28"/>
        <v>39600</v>
      </c>
      <c r="K1774" s="340"/>
      <c r="L1774" s="16" t="s">
        <v>18</v>
      </c>
      <c r="M1774" s="16" t="s">
        <v>22</v>
      </c>
      <c r="N1774" s="16" t="s">
        <v>418</v>
      </c>
    </row>
    <row r="1775" spans="1:14" ht="41.25" customHeight="1">
      <c r="A1775" s="178" t="s">
        <v>120</v>
      </c>
      <c r="B1775" s="75" t="str">
        <f ca="1">+UPPER(Tabla1321124[[#This Row],[DESCRIPCIÓN DE LA COMPRA O CONTRATACIÓN]])</f>
        <v>CARTUCHO HP 72 CIAN  PARA DESIGNJET T610/T1100 69 ML TRAMO 3 JAULA</v>
      </c>
      <c r="C1775" s="39" t="s">
        <v>417</v>
      </c>
      <c r="D1775" s="236">
        <v>9</v>
      </c>
      <c r="E1775" s="236"/>
      <c r="F1775" s="236">
        <v>9</v>
      </c>
      <c r="G1775" s="236"/>
      <c r="H1775" s="299">
        <f>SUM(Tabla1321124[[#This Row],[PRIMER TRIMESTRE]:[CUARTO TRIMESTRE]])</f>
        <v>18</v>
      </c>
      <c r="I1775" s="17">
        <v>2200</v>
      </c>
      <c r="J1775" s="17">
        <f t="shared" si="28"/>
        <v>39600</v>
      </c>
      <c r="K1775" s="340"/>
      <c r="L1775" s="16" t="s">
        <v>18</v>
      </c>
      <c r="M1775" s="16" t="s">
        <v>22</v>
      </c>
      <c r="N1775" s="16" t="s">
        <v>418</v>
      </c>
    </row>
    <row r="1776" spans="1:14" ht="41.25" customHeight="1">
      <c r="A1776" s="178" t="s">
        <v>120</v>
      </c>
      <c r="B1776" s="75" t="str">
        <f ca="1">+UPPER(Tabla1321124[[#This Row],[DESCRIPCIÓN DE LA COMPRA O CONTRATACIÓN]])</f>
        <v>CARTUCHO HP 72 GRIS  PARA DESIGNJET T610/T1100 69 ML TRAMO 3 JAULA</v>
      </c>
      <c r="C1776" s="39" t="s">
        <v>417</v>
      </c>
      <c r="D1776" s="236">
        <v>9</v>
      </c>
      <c r="E1776" s="236"/>
      <c r="F1776" s="236">
        <v>9</v>
      </c>
      <c r="G1776" s="236"/>
      <c r="H1776" s="299">
        <f>SUM(Tabla1321124[[#This Row],[PRIMER TRIMESTRE]:[CUARTO TRIMESTRE]])</f>
        <v>18</v>
      </c>
      <c r="I1776" s="17">
        <v>2230</v>
      </c>
      <c r="J1776" s="17">
        <f t="shared" si="28"/>
        <v>40140</v>
      </c>
      <c r="K1776" s="340"/>
      <c r="L1776" s="16" t="s">
        <v>18</v>
      </c>
      <c r="M1776" s="16" t="s">
        <v>22</v>
      </c>
      <c r="N1776" s="16" t="s">
        <v>418</v>
      </c>
    </row>
    <row r="1777" spans="1:14" ht="41.25" customHeight="1">
      <c r="A1777" s="178" t="s">
        <v>120</v>
      </c>
      <c r="B1777" s="75" t="str">
        <f ca="1">+UPPER(Tabla1321124[[#This Row],[DESCRIPCIÓN DE LA COMPRA O CONTRATACIÓN]])</f>
        <v>CARTUCHO HP 72 MAGENTA  PARA DESIGNJET T610/T1100 69 ML TRAMO 3 JAULA</v>
      </c>
      <c r="C1777" s="39" t="s">
        <v>417</v>
      </c>
      <c r="D1777" s="236">
        <v>9</v>
      </c>
      <c r="E1777" s="236"/>
      <c r="F1777" s="236">
        <v>9</v>
      </c>
      <c r="G1777" s="236"/>
      <c r="H1777" s="299">
        <f>SUM(Tabla1321124[[#This Row],[PRIMER TRIMESTRE]:[CUARTO TRIMESTRE]])</f>
        <v>18</v>
      </c>
      <c r="I1777" s="17">
        <v>2200</v>
      </c>
      <c r="J1777" s="17">
        <f t="shared" si="28"/>
        <v>39600</v>
      </c>
      <c r="K1777" s="340"/>
      <c r="L1777" s="16" t="s">
        <v>18</v>
      </c>
      <c r="M1777" s="16" t="s">
        <v>22</v>
      </c>
      <c r="N1777" s="16" t="s">
        <v>418</v>
      </c>
    </row>
    <row r="1778" spans="1:14" ht="41.25" customHeight="1">
      <c r="A1778" s="178" t="s">
        <v>120</v>
      </c>
      <c r="B1778" s="75" t="str">
        <f ca="1">+UPPER(Tabla1321124[[#This Row],[DESCRIPCIÓN DE LA COMPRA O CONTRATACIÓN]])</f>
        <v>CARTUCHO HP 72 NEGRO  PARA DESIGNJET T610/T1100 69 ML TRAMO 3 JAULA</v>
      </c>
      <c r="C1778" s="39" t="s">
        <v>417</v>
      </c>
      <c r="D1778" s="236">
        <v>9</v>
      </c>
      <c r="E1778" s="236"/>
      <c r="F1778" s="236">
        <v>9</v>
      </c>
      <c r="G1778" s="236"/>
      <c r="H1778" s="299">
        <f>SUM(Tabla1321124[[#This Row],[PRIMER TRIMESTRE]:[CUARTO TRIMESTRE]])</f>
        <v>18</v>
      </c>
      <c r="I1778" s="17">
        <v>2200</v>
      </c>
      <c r="J1778" s="17">
        <f t="shared" si="28"/>
        <v>39600</v>
      </c>
      <c r="K1778" s="340"/>
      <c r="L1778" s="16" t="s">
        <v>18</v>
      </c>
      <c r="M1778" s="16" t="s">
        <v>22</v>
      </c>
      <c r="N1778" s="16" t="s">
        <v>418</v>
      </c>
    </row>
    <row r="1779" spans="1:14" ht="41.25" customHeight="1">
      <c r="A1779" s="178" t="s">
        <v>120</v>
      </c>
      <c r="B1779" s="75" t="str">
        <f ca="1">+UPPER(Tabla1321124[[#This Row],[DESCRIPCIÓN DE LA COMPRA O CONTRATACIÓN]])</f>
        <v>CARTUCHO HP 72 NEGRO MATE  PARA DESIGNJET T610/T1100 69 ML TRAMO 3 JAULA</v>
      </c>
      <c r="C1779" s="39" t="s">
        <v>417</v>
      </c>
      <c r="D1779" s="236">
        <v>9</v>
      </c>
      <c r="E1779" s="236"/>
      <c r="F1779" s="236">
        <v>9</v>
      </c>
      <c r="G1779" s="236"/>
      <c r="H1779" s="299">
        <f>SUM(Tabla1321124[[#This Row],[PRIMER TRIMESTRE]:[CUARTO TRIMESTRE]])</f>
        <v>18</v>
      </c>
      <c r="I1779" s="17">
        <v>3200</v>
      </c>
      <c r="J1779" s="17">
        <f t="shared" si="28"/>
        <v>57600</v>
      </c>
      <c r="K1779" s="340"/>
      <c r="L1779" s="16" t="s">
        <v>18</v>
      </c>
      <c r="M1779" s="16" t="s">
        <v>22</v>
      </c>
      <c r="N1779" s="16" t="s">
        <v>418</v>
      </c>
    </row>
    <row r="1780" spans="1:14" ht="41.25" customHeight="1">
      <c r="A1780" s="178" t="s">
        <v>120</v>
      </c>
      <c r="B1780" s="75" t="str">
        <f ca="1">+UPPER(Tabla1321124[[#This Row],[DESCRIPCIÓN DE LA COMPRA O CONTRATACIÓN]])</f>
        <v>CARTUCHO HP TRICOLOR  97 (C9363W)</v>
      </c>
      <c r="C1780" s="39" t="s">
        <v>417</v>
      </c>
      <c r="D1780" s="236"/>
      <c r="E1780" s="236"/>
      <c r="F1780" s="236"/>
      <c r="G1780" s="236"/>
      <c r="H1780" s="299">
        <f>SUM(Tabla1321124[[#This Row],[PRIMER TRIMESTRE]:[CUARTO TRIMESTRE]])</f>
        <v>0</v>
      </c>
      <c r="I1780" s="17">
        <v>1650</v>
      </c>
      <c r="J1780" s="17">
        <f t="shared" si="28"/>
        <v>0</v>
      </c>
      <c r="K1780" s="17"/>
      <c r="L1780" s="16" t="s">
        <v>18</v>
      </c>
      <c r="M1780" s="16" t="s">
        <v>22</v>
      </c>
      <c r="N1780" s="16" t="s">
        <v>418</v>
      </c>
    </row>
    <row r="1781" spans="1:14" ht="41.25" customHeight="1">
      <c r="A1781" s="178" t="s">
        <v>120</v>
      </c>
      <c r="B1781" s="75" t="str">
        <f ca="1">+UPPER(Tabla1321124[[#This Row],[DESCRIPCIÓN DE LA COMPRA O CONTRATACIÓN]])</f>
        <v>CARTUCHO 17 LEXMARK</v>
      </c>
      <c r="C1781" s="39" t="s">
        <v>417</v>
      </c>
      <c r="D1781" s="236"/>
      <c r="E1781" s="236"/>
      <c r="F1781" s="236"/>
      <c r="G1781" s="236"/>
      <c r="H1781" s="299">
        <f>SUM(Tabla1321124[[#This Row],[PRIMER TRIMESTRE]:[CUARTO TRIMESTRE]])</f>
        <v>0</v>
      </c>
      <c r="I1781" s="17">
        <v>1250</v>
      </c>
      <c r="J1781" s="17">
        <f t="shared" si="28"/>
        <v>0</v>
      </c>
      <c r="K1781" s="17"/>
      <c r="L1781" s="16" t="s">
        <v>18</v>
      </c>
      <c r="M1781" s="16" t="s">
        <v>22</v>
      </c>
      <c r="N1781" s="16" t="s">
        <v>418</v>
      </c>
    </row>
    <row r="1782" spans="1:14" ht="41.25" customHeight="1">
      <c r="A1782" s="178" t="s">
        <v>120</v>
      </c>
      <c r="B1782" s="75" t="str">
        <f ca="1">+UPPER(Tabla1321124[[#This Row],[DESCRIPCIÓN DE LA COMPRA O CONTRATACIÓN]])</f>
        <v>CARTUCHO 26 LEXMARK</v>
      </c>
      <c r="C1782" s="39" t="s">
        <v>417</v>
      </c>
      <c r="D1782" s="236"/>
      <c r="E1782" s="236"/>
      <c r="F1782" s="236"/>
      <c r="G1782" s="236"/>
      <c r="H1782" s="299">
        <f>SUM(Tabla1321124[[#This Row],[PRIMER TRIMESTRE]:[CUARTO TRIMESTRE]])</f>
        <v>0</v>
      </c>
      <c r="I1782" s="17">
        <v>1672</v>
      </c>
      <c r="J1782" s="17">
        <f t="shared" si="28"/>
        <v>0</v>
      </c>
      <c r="K1782" s="17"/>
      <c r="L1782" s="16" t="s">
        <v>18</v>
      </c>
      <c r="M1782" s="16" t="s">
        <v>22</v>
      </c>
      <c r="N1782" s="16" t="s">
        <v>418</v>
      </c>
    </row>
    <row r="1783" spans="1:14" ht="41.25" customHeight="1">
      <c r="A1783" s="178" t="s">
        <v>120</v>
      </c>
      <c r="B1783" s="75" t="str">
        <f ca="1">+UPPER(Tabla1321124[[#This Row],[DESCRIPCIÓN DE LA COMPRA O CONTRATACIÓN]])</f>
        <v>CARTUCHO HP OFFICE JET 4500 DESKTOP CC 653A (BLACK)</v>
      </c>
      <c r="C1783" s="39" t="s">
        <v>417</v>
      </c>
      <c r="D1783" s="236"/>
      <c r="E1783" s="236"/>
      <c r="F1783" s="236"/>
      <c r="G1783" s="236"/>
      <c r="H1783" s="299">
        <f>SUM(Tabla1321124[[#This Row],[PRIMER TRIMESTRE]:[CUARTO TRIMESTRE]])</f>
        <v>0</v>
      </c>
      <c r="I1783" s="17">
        <v>720</v>
      </c>
      <c r="J1783" s="17">
        <f t="shared" si="28"/>
        <v>0</v>
      </c>
      <c r="K1783" s="17"/>
      <c r="L1783" s="16" t="s">
        <v>18</v>
      </c>
      <c r="M1783" s="16" t="s">
        <v>22</v>
      </c>
      <c r="N1783" s="16" t="s">
        <v>418</v>
      </c>
    </row>
    <row r="1784" spans="1:14" ht="41.25" customHeight="1">
      <c r="A1784" s="178" t="s">
        <v>120</v>
      </c>
      <c r="B1784" s="75" t="str">
        <f ca="1">+UPPER(Tabla1321124[[#This Row],[DESCRIPCIÓN DE LA COMPRA O CONTRATACIÓN]])</f>
        <v>CARTUCHO HP OFFICE JET 4500 DESKTOP CC 656A (TRICOLOR)</v>
      </c>
      <c r="C1784" s="39" t="s">
        <v>417</v>
      </c>
      <c r="D1784" s="236"/>
      <c r="E1784" s="236"/>
      <c r="F1784" s="236"/>
      <c r="G1784" s="236"/>
      <c r="H1784" s="299">
        <f>SUM(Tabla1321124[[#This Row],[PRIMER TRIMESTRE]:[CUARTO TRIMESTRE]])</f>
        <v>0</v>
      </c>
      <c r="I1784" s="17">
        <v>1280</v>
      </c>
      <c r="J1784" s="17">
        <f t="shared" si="28"/>
        <v>0</v>
      </c>
      <c r="K1784" s="17"/>
      <c r="L1784" s="16" t="s">
        <v>18</v>
      </c>
      <c r="M1784" s="16" t="s">
        <v>22</v>
      </c>
      <c r="N1784" s="16" t="s">
        <v>418</v>
      </c>
    </row>
    <row r="1785" spans="1:14" ht="41.25" customHeight="1">
      <c r="A1785" s="178" t="s">
        <v>120</v>
      </c>
      <c r="B1785" s="75" t="str">
        <f ca="1">+UPPER(Tabla1321124[[#This Row],[DESCRIPCIÓN DE LA COMPRA O CONTRATACIÓN]])</f>
        <v>CARTUCHO HP 72 BLACK</v>
      </c>
      <c r="C1785" s="39" t="s">
        <v>417</v>
      </c>
      <c r="D1785" s="236"/>
      <c r="E1785" s="236"/>
      <c r="F1785" s="236"/>
      <c r="G1785" s="236"/>
      <c r="H1785" s="299">
        <f>SUM(Tabla1321124[[#This Row],[PRIMER TRIMESTRE]:[CUARTO TRIMESTRE]])</f>
        <v>0</v>
      </c>
      <c r="I1785" s="17">
        <v>4159.5</v>
      </c>
      <c r="J1785" s="17">
        <f t="shared" si="28"/>
        <v>0</v>
      </c>
      <c r="K1785" s="17"/>
      <c r="L1785" s="16" t="s">
        <v>18</v>
      </c>
      <c r="M1785" s="16" t="s">
        <v>22</v>
      </c>
      <c r="N1785" s="16" t="s">
        <v>418</v>
      </c>
    </row>
    <row r="1786" spans="1:14" ht="41.25" customHeight="1">
      <c r="A1786" s="178" t="s">
        <v>120</v>
      </c>
      <c r="B1786" s="75" t="str">
        <f ca="1">+UPPER(Tabla1321124[[#This Row],[DESCRIPCIÓN DE LA COMPRA O CONTRATACIÓN]])</f>
        <v>CARTUCHO HP 72 GREY</v>
      </c>
      <c r="C1786" s="39" t="s">
        <v>417</v>
      </c>
      <c r="D1786" s="236"/>
      <c r="E1786" s="236"/>
      <c r="F1786" s="236"/>
      <c r="G1786" s="236"/>
      <c r="H1786" s="299">
        <f>SUM(Tabla1321124[[#This Row],[PRIMER TRIMESTRE]:[CUARTO TRIMESTRE]])</f>
        <v>0</v>
      </c>
      <c r="I1786" s="17">
        <v>4159.5</v>
      </c>
      <c r="J1786" s="17">
        <f t="shared" si="28"/>
        <v>0</v>
      </c>
      <c r="K1786" s="17"/>
      <c r="L1786" s="16" t="s">
        <v>18</v>
      </c>
      <c r="M1786" s="16" t="s">
        <v>22</v>
      </c>
      <c r="N1786" s="16" t="s">
        <v>418</v>
      </c>
    </row>
    <row r="1787" spans="1:14" ht="41.25" customHeight="1">
      <c r="A1787" s="178" t="s">
        <v>120</v>
      </c>
      <c r="B1787" s="75" t="str">
        <f ca="1">+UPPER(Tabla1321124[[#This Row],[DESCRIPCIÓN DE LA COMPRA O CONTRATACIÓN]])</f>
        <v>CARTUCHO HP MAGENTA</v>
      </c>
      <c r="C1787" s="39" t="s">
        <v>417</v>
      </c>
      <c r="D1787" s="236"/>
      <c r="E1787" s="236"/>
      <c r="F1787" s="236"/>
      <c r="G1787" s="236"/>
      <c r="H1787" s="299">
        <f>SUM(Tabla1321124[[#This Row],[PRIMER TRIMESTRE]:[CUARTO TRIMESTRE]])</f>
        <v>0</v>
      </c>
      <c r="I1787" s="17">
        <v>4159.5</v>
      </c>
      <c r="J1787" s="17">
        <f t="shared" si="28"/>
        <v>0</v>
      </c>
      <c r="K1787" s="17"/>
      <c r="L1787" s="16" t="s">
        <v>18</v>
      </c>
      <c r="M1787" s="16" t="s">
        <v>22</v>
      </c>
      <c r="N1787" s="16" t="s">
        <v>418</v>
      </c>
    </row>
    <row r="1788" spans="1:14" ht="41.25" customHeight="1">
      <c r="A1788" s="178" t="s">
        <v>120</v>
      </c>
      <c r="B1788" s="75" t="str">
        <f ca="1">+UPPER(Tabla1321124[[#This Row],[DESCRIPCIÓN DE LA COMPRA O CONTRATACIÓN]])</f>
        <v>TONER HP 35A</v>
      </c>
      <c r="C1788" s="39" t="s">
        <v>416</v>
      </c>
      <c r="D1788" s="362">
        <v>1</v>
      </c>
      <c r="E1788" s="362"/>
      <c r="F1788" s="362">
        <v>1</v>
      </c>
      <c r="G1788" s="362"/>
      <c r="H1788" s="299">
        <f>SUM(Tabla1321124[[#This Row],[PRIMER TRIMESTRE]:[CUARTO TRIMESTRE]])</f>
        <v>2</v>
      </c>
      <c r="I1788" s="17">
        <v>1700</v>
      </c>
      <c r="J1788" s="17">
        <f t="shared" si="28"/>
        <v>3400</v>
      </c>
      <c r="K1788" s="175"/>
      <c r="L1788" s="16" t="s">
        <v>18</v>
      </c>
      <c r="M1788" s="16" t="s">
        <v>22</v>
      </c>
      <c r="N1788" s="16" t="s">
        <v>418</v>
      </c>
    </row>
    <row r="1789" spans="1:14" ht="41.25" customHeight="1">
      <c r="A1789" s="178" t="s">
        <v>120</v>
      </c>
      <c r="B1789" s="75" t="str">
        <f ca="1">+UPPER(Tabla1321124[[#This Row],[DESCRIPCIÓN DE LA COMPRA O CONTRATACIÓN]])</f>
        <v>TONER HP 278A</v>
      </c>
      <c r="C1789" s="39" t="s">
        <v>416</v>
      </c>
      <c r="D1789" s="362">
        <v>4</v>
      </c>
      <c r="E1789" s="362">
        <v>4</v>
      </c>
      <c r="F1789" s="362">
        <v>4</v>
      </c>
      <c r="G1789" s="362">
        <v>4</v>
      </c>
      <c r="H1789" s="299">
        <f>SUM(Tabla1321124[[#This Row],[PRIMER TRIMESTRE]:[CUARTO TRIMESTRE]])</f>
        <v>16</v>
      </c>
      <c r="I1789" s="17">
        <v>1800</v>
      </c>
      <c r="J1789" s="17">
        <f t="shared" si="28"/>
        <v>28800</v>
      </c>
      <c r="K1789" s="175"/>
      <c r="L1789" s="16" t="s">
        <v>18</v>
      </c>
      <c r="M1789" s="16" t="s">
        <v>22</v>
      </c>
      <c r="N1789" s="16" t="s">
        <v>418</v>
      </c>
    </row>
    <row r="1790" spans="1:14" ht="41.25" customHeight="1">
      <c r="A1790" s="178" t="s">
        <v>120</v>
      </c>
      <c r="B1790" s="75" t="str">
        <f ca="1">+UPPER(Tabla1321124[[#This Row],[DESCRIPCIÓN DE LA COMPRA O CONTRATACIÓN]])</f>
        <v xml:space="preserve">CINTA PARA PRINTER EPSON TM-U220D </v>
      </c>
      <c r="C1790" s="39" t="s">
        <v>17</v>
      </c>
      <c r="D1790" s="362">
        <v>6</v>
      </c>
      <c r="E1790" s="362">
        <v>6</v>
      </c>
      <c r="F1790" s="362">
        <v>6</v>
      </c>
      <c r="G1790" s="362">
        <v>6</v>
      </c>
      <c r="H1790" s="299">
        <f>SUM(Tabla1321124[[#This Row],[PRIMER TRIMESTRE]:[CUARTO TRIMESTRE]])</f>
        <v>24</v>
      </c>
      <c r="I1790" s="17">
        <v>1900</v>
      </c>
      <c r="J1790" s="17">
        <f t="shared" si="28"/>
        <v>45600</v>
      </c>
      <c r="K1790" s="175"/>
      <c r="L1790" s="16" t="s">
        <v>18</v>
      </c>
      <c r="M1790" s="16" t="s">
        <v>22</v>
      </c>
      <c r="N1790" s="16" t="s">
        <v>418</v>
      </c>
    </row>
    <row r="1791" spans="1:14" ht="41.25" customHeight="1">
      <c r="A1791" s="178" t="s">
        <v>120</v>
      </c>
      <c r="B1791" s="75" t="str">
        <f ca="1">+UPPER(Tabla1321124[[#This Row],[DESCRIPCIÓN DE LA COMPRA O CONTRATACIÓN]])</f>
        <v>TONER HP LASER JET 05A (CE505A)</v>
      </c>
      <c r="C1791" s="39" t="s">
        <v>417</v>
      </c>
      <c r="D1791" s="236">
        <v>27</v>
      </c>
      <c r="E1791" s="236">
        <v>15</v>
      </c>
      <c r="F1791" s="236">
        <v>27</v>
      </c>
      <c r="G1791" s="236">
        <v>15</v>
      </c>
      <c r="H1791" s="299">
        <f>SUM(Tabla1321124[[#This Row],[PRIMER TRIMESTRE]:[CUARTO TRIMESTRE]])</f>
        <v>84</v>
      </c>
      <c r="I1791" s="17">
        <v>2900</v>
      </c>
      <c r="J1791" s="17">
        <f t="shared" si="28"/>
        <v>243600</v>
      </c>
      <c r="K1791" s="17"/>
      <c r="L1791" s="16" t="s">
        <v>18</v>
      </c>
      <c r="M1791" s="16" t="s">
        <v>22</v>
      </c>
      <c r="N1791" s="16" t="s">
        <v>418</v>
      </c>
    </row>
    <row r="1792" spans="1:14" ht="41.25" customHeight="1">
      <c r="A1792" s="178" t="s">
        <v>120</v>
      </c>
      <c r="B1792" s="75" t="str">
        <f ca="1">+UPPER(Tabla1321124[[#This Row],[DESCRIPCIÓN DE LA COMPRA O CONTRATACIÓN]])</f>
        <v>TONER HP LASER JET 85A (CE285A)</v>
      </c>
      <c r="C1792" s="39" t="s">
        <v>417</v>
      </c>
      <c r="D1792" s="236">
        <v>13</v>
      </c>
      <c r="E1792" s="236">
        <v>11</v>
      </c>
      <c r="F1792" s="236">
        <v>11</v>
      </c>
      <c r="G1792" s="236">
        <v>11</v>
      </c>
      <c r="H1792" s="299">
        <f>SUM(Tabla1321124[[#This Row],[PRIMER TRIMESTRE]:[CUARTO TRIMESTRE]])</f>
        <v>46</v>
      </c>
      <c r="I1792" s="17">
        <v>2350</v>
      </c>
      <c r="J1792" s="17">
        <f t="shared" si="28"/>
        <v>108100</v>
      </c>
      <c r="K1792" s="17"/>
      <c r="L1792" s="16" t="s">
        <v>18</v>
      </c>
      <c r="M1792" s="16" t="s">
        <v>22</v>
      </c>
      <c r="N1792" s="16" t="s">
        <v>418</v>
      </c>
    </row>
    <row r="1793" spans="1:14" ht="41.25" customHeight="1">
      <c r="A1793" s="178" t="s">
        <v>120</v>
      </c>
      <c r="B1793" s="75" t="str">
        <f ca="1">+UPPER(Tabla1321124[[#This Row],[DESCRIPCIÓN DE LA COMPRA O CONTRATACIÓN]])</f>
        <v>TONER SHARP AL-1000</v>
      </c>
      <c r="C1793" s="39" t="s">
        <v>417</v>
      </c>
      <c r="D1793" s="236">
        <v>7</v>
      </c>
      <c r="E1793" s="236">
        <v>4</v>
      </c>
      <c r="F1793" s="236">
        <v>7</v>
      </c>
      <c r="G1793" s="236">
        <v>2</v>
      </c>
      <c r="H1793" s="299">
        <f>SUM(Tabla1321124[[#This Row],[PRIMER TRIMESTRE]:[CUARTO TRIMESTRE]])</f>
        <v>20</v>
      </c>
      <c r="I1793" s="17">
        <v>3990</v>
      </c>
      <c r="J1793" s="17">
        <f t="shared" si="28"/>
        <v>79800</v>
      </c>
      <c r="K1793" s="17"/>
      <c r="L1793" s="16" t="s">
        <v>18</v>
      </c>
      <c r="M1793" s="16" t="s">
        <v>22</v>
      </c>
      <c r="N1793" s="16" t="s">
        <v>418</v>
      </c>
    </row>
    <row r="1794" spans="1:14" ht="41.25" customHeight="1">
      <c r="A1794" s="178" t="s">
        <v>120</v>
      </c>
      <c r="B1794" s="75" t="str">
        <f ca="1">+UPPER(Tabla1321124[[#This Row],[DESCRIPCIÓN DE LA COMPRA O CONTRATACIÓN]])</f>
        <v>TONER SHARP AL-100 TD</v>
      </c>
      <c r="C1794" s="39" t="s">
        <v>417</v>
      </c>
      <c r="D1794" s="370">
        <v>5</v>
      </c>
      <c r="E1794" s="370">
        <v>5</v>
      </c>
      <c r="F1794" s="370">
        <v>5</v>
      </c>
      <c r="G1794" s="370">
        <v>5</v>
      </c>
      <c r="H1794" s="299">
        <f>SUM(Tabla1321124[[#This Row],[PRIMER TRIMESTRE]:[CUARTO TRIMESTRE]])</f>
        <v>20</v>
      </c>
      <c r="I1794" s="17">
        <v>3990</v>
      </c>
      <c r="J1794" s="17">
        <f t="shared" si="28"/>
        <v>79800</v>
      </c>
      <c r="K1794" s="175"/>
      <c r="L1794" s="16" t="s">
        <v>18</v>
      </c>
      <c r="M1794" s="16" t="s">
        <v>22</v>
      </c>
      <c r="N1794" s="16" t="s">
        <v>418</v>
      </c>
    </row>
    <row r="1795" spans="1:14" ht="41.25" customHeight="1">
      <c r="A1795" s="178" t="s">
        <v>120</v>
      </c>
      <c r="B1795" s="75" t="str">
        <f ca="1">+UPPER(Tabla1321124[[#This Row],[DESCRIPCIÓN DE LA COMPRA O CONTRATACIÓN]])</f>
        <v xml:space="preserve">TONER HP LASER JET 304A (CC530A) BLACK </v>
      </c>
      <c r="C1795" s="39" t="s">
        <v>417</v>
      </c>
      <c r="D1795" s="236"/>
      <c r="E1795" s="236"/>
      <c r="F1795" s="236"/>
      <c r="G1795" s="236"/>
      <c r="H1795" s="299">
        <f>SUM(Tabla1321124[[#This Row],[PRIMER TRIMESTRE]:[CUARTO TRIMESTRE]])</f>
        <v>0</v>
      </c>
      <c r="I1795" s="17">
        <v>4200</v>
      </c>
      <c r="J1795" s="17">
        <f t="shared" si="28"/>
        <v>0</v>
      </c>
      <c r="K1795" s="17"/>
      <c r="L1795" s="16" t="s">
        <v>18</v>
      </c>
      <c r="M1795" s="16" t="s">
        <v>22</v>
      </c>
      <c r="N1795" s="16" t="s">
        <v>418</v>
      </c>
    </row>
    <row r="1796" spans="1:14" ht="41.25" customHeight="1">
      <c r="A1796" s="178" t="s">
        <v>120</v>
      </c>
      <c r="B1796" s="75" t="str">
        <f ca="1">+UPPER(Tabla1321124[[#This Row],[DESCRIPCIÓN DE LA COMPRA O CONTRATACIÓN]])</f>
        <v>TONER HP LASER JET 304A (CC531A) CYAN</v>
      </c>
      <c r="C1796" s="39" t="s">
        <v>417</v>
      </c>
      <c r="D1796" s="236"/>
      <c r="E1796" s="236"/>
      <c r="F1796" s="236"/>
      <c r="G1796" s="236"/>
      <c r="H1796" s="299">
        <f>SUM(Tabla1321124[[#This Row],[PRIMER TRIMESTRE]:[CUARTO TRIMESTRE]])</f>
        <v>0</v>
      </c>
      <c r="I1796" s="17">
        <v>4200</v>
      </c>
      <c r="J1796" s="17">
        <f t="shared" si="28"/>
        <v>0</v>
      </c>
      <c r="K1796" s="17"/>
      <c r="L1796" s="16" t="s">
        <v>18</v>
      </c>
      <c r="M1796" s="16" t="s">
        <v>22</v>
      </c>
      <c r="N1796" s="16" t="s">
        <v>418</v>
      </c>
    </row>
    <row r="1797" spans="1:14" ht="41.25" customHeight="1">
      <c r="A1797" s="178" t="s">
        <v>120</v>
      </c>
      <c r="B1797" s="75" t="str">
        <f ca="1">+UPPER(Tabla1321124[[#This Row],[DESCRIPCIÓN DE LA COMPRA O CONTRATACIÓN]])</f>
        <v>TONER HP LASER JET 304A (CC532A) YELLOW</v>
      </c>
      <c r="C1797" s="39" t="s">
        <v>417</v>
      </c>
      <c r="D1797" s="236"/>
      <c r="E1797" s="236"/>
      <c r="F1797" s="236"/>
      <c r="G1797" s="236"/>
      <c r="H1797" s="299">
        <f>SUM(Tabla1321124[[#This Row],[PRIMER TRIMESTRE]:[CUARTO TRIMESTRE]])</f>
        <v>0</v>
      </c>
      <c r="I1797" s="17">
        <v>4200</v>
      </c>
      <c r="J1797" s="17">
        <f t="shared" si="28"/>
        <v>0</v>
      </c>
      <c r="K1797" s="17"/>
      <c r="L1797" s="16" t="s">
        <v>18</v>
      </c>
      <c r="M1797" s="16" t="s">
        <v>22</v>
      </c>
      <c r="N1797" s="16" t="s">
        <v>418</v>
      </c>
    </row>
    <row r="1798" spans="1:14" ht="41.25" customHeight="1">
      <c r="A1798" s="178" t="s">
        <v>120</v>
      </c>
      <c r="B1798" s="75" t="str">
        <f ca="1">+UPPER(Tabla1321124[[#This Row],[DESCRIPCIÓN DE LA COMPRA O CONTRATACIÓN]])</f>
        <v>TONER HP LASER JET 304A (CC533A) MAGENTA</v>
      </c>
      <c r="C1798" s="39" t="s">
        <v>417</v>
      </c>
      <c r="D1798" s="236"/>
      <c r="E1798" s="236"/>
      <c r="F1798" s="236"/>
      <c r="G1798" s="236"/>
      <c r="H1798" s="299">
        <f>SUM(Tabla1321124[[#This Row],[PRIMER TRIMESTRE]:[CUARTO TRIMESTRE]])</f>
        <v>0</v>
      </c>
      <c r="I1798" s="17">
        <v>4200</v>
      </c>
      <c r="J1798" s="17">
        <f t="shared" ref="J1798:J1861" si="29">+H1798*I1798</f>
        <v>0</v>
      </c>
      <c r="K1798" s="17"/>
      <c r="L1798" s="16" t="s">
        <v>18</v>
      </c>
      <c r="M1798" s="16" t="s">
        <v>22</v>
      </c>
      <c r="N1798" s="16" t="s">
        <v>418</v>
      </c>
    </row>
    <row r="1799" spans="1:14" ht="41.25" customHeight="1">
      <c r="A1799" s="178" t="s">
        <v>120</v>
      </c>
      <c r="B1799" s="75" t="str">
        <f ca="1">+UPPER(Tabla1321124[[#This Row],[DESCRIPCIÓN DE LA COMPRA O CONTRATACIÓN]])</f>
        <v>TONER LASER JET 14A (CF214A)</v>
      </c>
      <c r="C1799" s="39" t="s">
        <v>417</v>
      </c>
      <c r="D1799" s="236">
        <v>25</v>
      </c>
      <c r="E1799" s="236">
        <v>16</v>
      </c>
      <c r="F1799" s="236">
        <v>16</v>
      </c>
      <c r="G1799" s="236">
        <v>16</v>
      </c>
      <c r="H1799" s="299">
        <f>SUM(Tabla1321124[[#This Row],[PRIMER TRIMESTRE]:[CUARTO TRIMESTRE]])</f>
        <v>73</v>
      </c>
      <c r="I1799" s="17">
        <v>8210.5</v>
      </c>
      <c r="J1799" s="17">
        <f t="shared" si="29"/>
        <v>599366.5</v>
      </c>
      <c r="K1799" s="17"/>
      <c r="L1799" s="16" t="s">
        <v>18</v>
      </c>
      <c r="M1799" s="16" t="s">
        <v>22</v>
      </c>
      <c r="N1799" s="16" t="s">
        <v>418</v>
      </c>
    </row>
    <row r="1800" spans="1:14" ht="41.25" customHeight="1">
      <c r="A1800" s="178" t="s">
        <v>120</v>
      </c>
      <c r="B1800" s="75" t="str">
        <f ca="1">+UPPER(Tabla1321124[[#This Row],[DESCRIPCIÓN DE LA COMPRA O CONTRATACIÓN]])</f>
        <v>TONER LASER  NEGRO (210A)</v>
      </c>
      <c r="C1800" s="39" t="s">
        <v>417</v>
      </c>
      <c r="D1800" s="236">
        <v>2</v>
      </c>
      <c r="E1800" s="236">
        <v>2</v>
      </c>
      <c r="F1800" s="236">
        <v>2</v>
      </c>
      <c r="G1800" s="236">
        <v>2</v>
      </c>
      <c r="H1800" s="299">
        <f>SUM(Tabla1321124[[#This Row],[PRIMER TRIMESTRE]:[CUARTO TRIMESTRE]])</f>
        <v>8</v>
      </c>
      <c r="I1800" s="17">
        <v>2100</v>
      </c>
      <c r="J1800" s="17">
        <f t="shared" si="29"/>
        <v>16800</v>
      </c>
      <c r="K1800" s="17"/>
      <c r="L1800" s="16" t="s">
        <v>18</v>
      </c>
      <c r="M1800" s="16" t="s">
        <v>22</v>
      </c>
      <c r="N1800" s="16" t="s">
        <v>418</v>
      </c>
    </row>
    <row r="1801" spans="1:14" ht="41.25" customHeight="1">
      <c r="A1801" s="178" t="s">
        <v>120</v>
      </c>
      <c r="B1801" s="75" t="str">
        <f ca="1">+UPPER(Tabla1321124[[#This Row],[DESCRIPCIÓN DE LA COMPRA O CONTRATACIÓN]])</f>
        <v>TONER LASER  AMARILLO (212A)</v>
      </c>
      <c r="C1801" s="39" t="s">
        <v>417</v>
      </c>
      <c r="D1801" s="236">
        <v>2</v>
      </c>
      <c r="E1801" s="236">
        <v>2</v>
      </c>
      <c r="F1801" s="236">
        <v>2</v>
      </c>
      <c r="G1801" s="236">
        <v>2</v>
      </c>
      <c r="H1801" s="299">
        <f>SUM(Tabla1321124[[#This Row],[PRIMER TRIMESTRE]:[CUARTO TRIMESTRE]])</f>
        <v>8</v>
      </c>
      <c r="I1801" s="17">
        <v>2250</v>
      </c>
      <c r="J1801" s="17">
        <f t="shared" si="29"/>
        <v>18000</v>
      </c>
      <c r="K1801" s="17"/>
      <c r="L1801" s="16" t="s">
        <v>18</v>
      </c>
      <c r="M1801" s="16" t="s">
        <v>22</v>
      </c>
      <c r="N1801" s="16" t="s">
        <v>418</v>
      </c>
    </row>
    <row r="1802" spans="1:14" ht="41.25" customHeight="1">
      <c r="A1802" s="178" t="s">
        <v>120</v>
      </c>
      <c r="B1802" s="75" t="str">
        <f ca="1">+UPPER(Tabla1321124[[#This Row],[DESCRIPCIÓN DE LA COMPRA O CONTRATACIÓN]])</f>
        <v>TONER LASER  AZUL (221A)</v>
      </c>
      <c r="C1802" s="39" t="s">
        <v>417</v>
      </c>
      <c r="D1802" s="236">
        <v>2</v>
      </c>
      <c r="E1802" s="236">
        <v>2</v>
      </c>
      <c r="F1802" s="236">
        <v>2</v>
      </c>
      <c r="G1802" s="236">
        <v>2</v>
      </c>
      <c r="H1802" s="299">
        <f>SUM(Tabla1321124[[#This Row],[PRIMER TRIMESTRE]:[CUARTO TRIMESTRE]])</f>
        <v>8</v>
      </c>
      <c r="I1802" s="17">
        <v>2600</v>
      </c>
      <c r="J1802" s="17">
        <f t="shared" si="29"/>
        <v>20800</v>
      </c>
      <c r="K1802" s="17"/>
      <c r="L1802" s="16" t="s">
        <v>18</v>
      </c>
      <c r="M1802" s="16" t="s">
        <v>22</v>
      </c>
      <c r="N1802" s="16" t="s">
        <v>418</v>
      </c>
    </row>
    <row r="1803" spans="1:14" ht="41.25" customHeight="1">
      <c r="A1803" s="178" t="s">
        <v>120</v>
      </c>
      <c r="B1803" s="75" t="str">
        <f ca="1">+UPPER(Tabla1321124[[#This Row],[DESCRIPCIÓN DE LA COMPRA O CONTRATACIÓN]])</f>
        <v>TONER LASER  MAGENTA (213A)</v>
      </c>
      <c r="C1803" s="39" t="s">
        <v>417</v>
      </c>
      <c r="D1803" s="236">
        <v>2</v>
      </c>
      <c r="E1803" s="236">
        <v>2</v>
      </c>
      <c r="F1803" s="236">
        <v>2</v>
      </c>
      <c r="G1803" s="236">
        <v>2</v>
      </c>
      <c r="H1803" s="299">
        <f>SUM(Tabla1321124[[#This Row],[PRIMER TRIMESTRE]:[CUARTO TRIMESTRE]])</f>
        <v>8</v>
      </c>
      <c r="I1803" s="17">
        <v>2700</v>
      </c>
      <c r="J1803" s="17">
        <f t="shared" si="29"/>
        <v>21600</v>
      </c>
      <c r="K1803" s="17"/>
      <c r="L1803" s="16" t="s">
        <v>18</v>
      </c>
      <c r="M1803" s="16" t="s">
        <v>22</v>
      </c>
      <c r="N1803" s="16" t="s">
        <v>418</v>
      </c>
    </row>
    <row r="1804" spans="1:14" ht="41.25" customHeight="1">
      <c r="A1804" s="178" t="s">
        <v>120</v>
      </c>
      <c r="B1804" s="75" t="str">
        <f ca="1">+UPPER(Tabla1321124[[#This Row],[DESCRIPCIÓN DE LA COMPRA O CONTRATACIÓN]])</f>
        <v>TONER HP LASER JET 125A (CB540A) NEGRO</v>
      </c>
      <c r="C1804" s="39" t="s">
        <v>417</v>
      </c>
      <c r="D1804" s="236"/>
      <c r="E1804" s="236"/>
      <c r="F1804" s="236"/>
      <c r="G1804" s="236"/>
      <c r="H1804" s="299">
        <f>SUM(Tabla1321124[[#This Row],[PRIMER TRIMESTRE]:[CUARTO TRIMESTRE]])</f>
        <v>0</v>
      </c>
      <c r="I1804" s="17">
        <v>3250</v>
      </c>
      <c r="J1804" s="17">
        <f t="shared" si="29"/>
        <v>0</v>
      </c>
      <c r="K1804" s="17"/>
      <c r="L1804" s="16" t="s">
        <v>18</v>
      </c>
      <c r="M1804" s="16" t="s">
        <v>22</v>
      </c>
      <c r="N1804" s="16" t="s">
        <v>418</v>
      </c>
    </row>
    <row r="1805" spans="1:14" ht="41.25" customHeight="1">
      <c r="A1805" s="178" t="s">
        <v>120</v>
      </c>
      <c r="B1805" s="75" t="str">
        <f ca="1">+UPPER(Tabla1321124[[#This Row],[DESCRIPCIÓN DE LA COMPRA O CONTRATACIÓN]])</f>
        <v>TONER HP LASER JET 4615 NEGRO</v>
      </c>
      <c r="C1805" s="39" t="s">
        <v>417</v>
      </c>
      <c r="D1805" s="236">
        <v>2</v>
      </c>
      <c r="E1805" s="236">
        <v>2</v>
      </c>
      <c r="F1805" s="236">
        <v>2</v>
      </c>
      <c r="G1805" s="236">
        <v>2</v>
      </c>
      <c r="H1805" s="299">
        <f>SUM(Tabla1321124[[#This Row],[PRIMER TRIMESTRE]:[CUARTO TRIMESTRE]])</f>
        <v>8</v>
      </c>
      <c r="I1805" s="17">
        <v>450</v>
      </c>
      <c r="J1805" s="17">
        <f t="shared" si="29"/>
        <v>3600</v>
      </c>
      <c r="K1805" s="17"/>
      <c r="L1805" s="16" t="s">
        <v>18</v>
      </c>
      <c r="M1805" s="16" t="s">
        <v>22</v>
      </c>
      <c r="N1805" s="16" t="s">
        <v>418</v>
      </c>
    </row>
    <row r="1806" spans="1:14" ht="41.25" customHeight="1">
      <c r="A1806" s="178" t="s">
        <v>120</v>
      </c>
      <c r="B1806" s="75" t="str">
        <f ca="1">+UPPER(Tabla1321124[[#This Row],[DESCRIPCIÓN DE LA COMPRA O CONTRATACIÓN]])</f>
        <v>TONER HP LASER JET 4615 AMARILLO</v>
      </c>
      <c r="C1806" s="39" t="s">
        <v>417</v>
      </c>
      <c r="D1806" s="236">
        <v>2</v>
      </c>
      <c r="E1806" s="236">
        <v>2</v>
      </c>
      <c r="F1806" s="236">
        <v>2</v>
      </c>
      <c r="G1806" s="236">
        <v>2</v>
      </c>
      <c r="H1806" s="299">
        <f>SUM(Tabla1321124[[#This Row],[PRIMER TRIMESTRE]:[CUARTO TRIMESTRE]])</f>
        <v>8</v>
      </c>
      <c r="I1806" s="17">
        <v>450</v>
      </c>
      <c r="J1806" s="17">
        <f t="shared" si="29"/>
        <v>3600</v>
      </c>
      <c r="K1806" s="17"/>
      <c r="L1806" s="16" t="s">
        <v>18</v>
      </c>
      <c r="M1806" s="16" t="s">
        <v>22</v>
      </c>
      <c r="N1806" s="16" t="s">
        <v>418</v>
      </c>
    </row>
    <row r="1807" spans="1:14" ht="41.25" customHeight="1">
      <c r="A1807" s="178" t="s">
        <v>120</v>
      </c>
      <c r="B1807" s="75" t="str">
        <f ca="1">+UPPER(Tabla1321124[[#This Row],[DESCRIPCIÓN DE LA COMPRA O CONTRATACIÓN]])</f>
        <v>TONER HP LASER JET 4615 AZUL</v>
      </c>
      <c r="C1807" s="39" t="s">
        <v>417</v>
      </c>
      <c r="D1807" s="236">
        <v>2</v>
      </c>
      <c r="E1807" s="236">
        <v>2</v>
      </c>
      <c r="F1807" s="236">
        <v>2</v>
      </c>
      <c r="G1807" s="236">
        <v>2</v>
      </c>
      <c r="H1807" s="299">
        <f>SUM(Tabla1321124[[#This Row],[PRIMER TRIMESTRE]:[CUARTO TRIMESTRE]])</f>
        <v>8</v>
      </c>
      <c r="I1807" s="17">
        <v>450</v>
      </c>
      <c r="J1807" s="17">
        <f t="shared" si="29"/>
        <v>3600</v>
      </c>
      <c r="K1807" s="17"/>
      <c r="L1807" s="16" t="s">
        <v>18</v>
      </c>
      <c r="M1807" s="16" t="s">
        <v>22</v>
      </c>
      <c r="N1807" s="16" t="s">
        <v>418</v>
      </c>
    </row>
    <row r="1808" spans="1:14" ht="41.25" customHeight="1">
      <c r="A1808" s="178" t="s">
        <v>120</v>
      </c>
      <c r="B1808" s="75" t="str">
        <f ca="1">+UPPER(Tabla1321124[[#This Row],[DESCRIPCIÓN DE LA COMPRA O CONTRATACIÓN]])</f>
        <v>TONER HP LASER JET 4615 ROSADO</v>
      </c>
      <c r="C1808" s="39" t="s">
        <v>417</v>
      </c>
      <c r="D1808" s="236">
        <v>2</v>
      </c>
      <c r="E1808" s="236">
        <v>2</v>
      </c>
      <c r="F1808" s="236">
        <v>2</v>
      </c>
      <c r="G1808" s="236">
        <v>2</v>
      </c>
      <c r="H1808" s="299">
        <f>SUM(Tabla1321124[[#This Row],[PRIMER TRIMESTRE]:[CUARTO TRIMESTRE]])</f>
        <v>8</v>
      </c>
      <c r="I1808" s="17">
        <v>450</v>
      </c>
      <c r="J1808" s="17">
        <f t="shared" si="29"/>
        <v>3600</v>
      </c>
      <c r="K1808" s="17"/>
      <c r="L1808" s="16" t="s">
        <v>18</v>
      </c>
      <c r="M1808" s="16" t="s">
        <v>22</v>
      </c>
      <c r="N1808" s="16" t="s">
        <v>418</v>
      </c>
    </row>
    <row r="1809" spans="1:14" ht="41.25" customHeight="1">
      <c r="A1809" s="178" t="s">
        <v>120</v>
      </c>
      <c r="B1809" s="75" t="str">
        <f ca="1">+UPPER(Tabla1321124[[#This Row],[DESCRIPCIÓN DE LA COMPRA O CONTRATACIÓN]])</f>
        <v>TONER HP LASER JET 64A (CC364A)</v>
      </c>
      <c r="C1809" s="39" t="s">
        <v>417</v>
      </c>
      <c r="D1809" s="236"/>
      <c r="E1809" s="236"/>
      <c r="F1809" s="236"/>
      <c r="G1809" s="236"/>
      <c r="H1809" s="299">
        <f>SUM(Tabla1321124[[#This Row],[PRIMER TRIMESTRE]:[CUARTO TRIMESTRE]])</f>
        <v>0</v>
      </c>
      <c r="I1809" s="17">
        <v>5800</v>
      </c>
      <c r="J1809" s="17">
        <f t="shared" si="29"/>
        <v>0</v>
      </c>
      <c r="K1809" s="17"/>
      <c r="L1809" s="16" t="s">
        <v>18</v>
      </c>
      <c r="M1809" s="16" t="s">
        <v>22</v>
      </c>
      <c r="N1809" s="16" t="s">
        <v>418</v>
      </c>
    </row>
    <row r="1810" spans="1:14" ht="41.25" customHeight="1">
      <c r="A1810" s="178" t="s">
        <v>120</v>
      </c>
      <c r="B1810" s="75" t="str">
        <f ca="1">+UPPER(Tabla1321124[[#This Row],[DESCRIPCIÓN DE LA COMPRA O CONTRATACIÓN]])</f>
        <v>TONER LASER JET 12A (Q2612A)</v>
      </c>
      <c r="C1810" s="39" t="s">
        <v>417</v>
      </c>
      <c r="D1810" s="236"/>
      <c r="E1810" s="236">
        <v>4</v>
      </c>
      <c r="F1810" s="236"/>
      <c r="G1810" s="236">
        <v>4</v>
      </c>
      <c r="H1810" s="299">
        <f>SUM(Tabla1321124[[#This Row],[PRIMER TRIMESTRE]:[CUARTO TRIMESTRE]])</f>
        <v>8</v>
      </c>
      <c r="I1810" s="17">
        <v>2800</v>
      </c>
      <c r="J1810" s="17">
        <f t="shared" si="29"/>
        <v>22400</v>
      </c>
      <c r="K1810" s="17"/>
      <c r="L1810" s="16" t="s">
        <v>18</v>
      </c>
      <c r="M1810" s="16" t="s">
        <v>22</v>
      </c>
      <c r="N1810" s="16" t="s">
        <v>418</v>
      </c>
    </row>
    <row r="1811" spans="1:14" ht="41.25" customHeight="1">
      <c r="A1811" s="178" t="s">
        <v>120</v>
      </c>
      <c r="B1811" s="75" t="str">
        <f ca="1">+UPPER(Tabla1321124[[#This Row],[DESCRIPCIÓN DE LA COMPRA O CONTRATACIÓN]])</f>
        <v>TONER HP LASER JET 435A</v>
      </c>
      <c r="C1811" s="39" t="s">
        <v>417</v>
      </c>
      <c r="D1811" s="236">
        <v>7</v>
      </c>
      <c r="E1811" s="236"/>
      <c r="F1811" s="236">
        <v>7</v>
      </c>
      <c r="G1811" s="236"/>
      <c r="H1811" s="299">
        <f>SUM(Tabla1321124[[#This Row],[PRIMER TRIMESTRE]:[CUARTO TRIMESTRE]])</f>
        <v>14</v>
      </c>
      <c r="I1811" s="17">
        <v>2700</v>
      </c>
      <c r="J1811" s="17">
        <f t="shared" si="29"/>
        <v>37800</v>
      </c>
      <c r="K1811" s="340"/>
      <c r="L1811" s="16" t="s">
        <v>18</v>
      </c>
      <c r="M1811" s="16" t="s">
        <v>22</v>
      </c>
      <c r="N1811" s="16" t="s">
        <v>418</v>
      </c>
    </row>
    <row r="1812" spans="1:14" ht="41.25" customHeight="1">
      <c r="A1812" s="178" t="s">
        <v>120</v>
      </c>
      <c r="B1812" s="75" t="str">
        <f ca="1">+UPPER(Tabla1321124[[#This Row],[DESCRIPCIÓN DE LA COMPRA O CONTRATACIÓN]])</f>
        <v>TONER HP LASER JET 14A (CF214A)</v>
      </c>
      <c r="C1812" s="39" t="s">
        <v>417</v>
      </c>
      <c r="D1812" s="236">
        <v>30</v>
      </c>
      <c r="E1812" s="236"/>
      <c r="F1812" s="236">
        <v>30</v>
      </c>
      <c r="G1812" s="236"/>
      <c r="H1812" s="299">
        <f>SUM(Tabla1321124[[#This Row],[PRIMER TRIMESTRE]:[CUARTO TRIMESTRE]])</f>
        <v>60</v>
      </c>
      <c r="I1812" s="17">
        <v>8210</v>
      </c>
      <c r="J1812" s="17">
        <f t="shared" si="29"/>
        <v>492600</v>
      </c>
      <c r="K1812" s="340"/>
      <c r="L1812" s="16" t="s">
        <v>18</v>
      </c>
      <c r="M1812" s="16" t="s">
        <v>22</v>
      </c>
      <c r="N1812" s="16" t="s">
        <v>418</v>
      </c>
    </row>
    <row r="1813" spans="1:14" ht="41.25" customHeight="1">
      <c r="A1813" s="178" t="s">
        <v>120</v>
      </c>
      <c r="B1813" s="75" t="str">
        <f ca="1">+UPPER(Tabla1321124[[#This Row],[DESCRIPCIÓN DE LA COMPRA O CONTRATACIÓN]])</f>
        <v>TONER LASER JET Q6470</v>
      </c>
      <c r="C1813" s="39" t="s">
        <v>417</v>
      </c>
      <c r="D1813" s="236"/>
      <c r="E1813" s="236"/>
      <c r="F1813" s="236"/>
      <c r="G1813" s="236"/>
      <c r="H1813" s="299">
        <f>SUM(Tabla1321124[[#This Row],[PRIMER TRIMESTRE]:[CUARTO TRIMESTRE]])</f>
        <v>0</v>
      </c>
      <c r="I1813" s="17">
        <v>5100</v>
      </c>
      <c r="J1813" s="17">
        <f t="shared" si="29"/>
        <v>0</v>
      </c>
      <c r="K1813" s="17"/>
      <c r="L1813" s="16" t="s">
        <v>18</v>
      </c>
      <c r="M1813" s="16" t="s">
        <v>22</v>
      </c>
      <c r="N1813" s="16" t="s">
        <v>418</v>
      </c>
    </row>
    <row r="1814" spans="1:14" ht="41.25" customHeight="1">
      <c r="A1814" s="178" t="s">
        <v>120</v>
      </c>
      <c r="B1814" s="75" t="str">
        <f ca="1">+UPPER(Tabla1321124[[#This Row],[DESCRIPCIÓN DE LA COMPRA O CONTRATACIÓN]])</f>
        <v>TONER LASER JET Q6471</v>
      </c>
      <c r="C1814" s="39" t="s">
        <v>417</v>
      </c>
      <c r="D1814" s="236"/>
      <c r="E1814" s="236"/>
      <c r="F1814" s="236"/>
      <c r="G1814" s="236"/>
      <c r="H1814" s="299">
        <f>SUM(Tabla1321124[[#This Row],[PRIMER TRIMESTRE]:[CUARTO TRIMESTRE]])</f>
        <v>0</v>
      </c>
      <c r="I1814" s="17">
        <v>5100</v>
      </c>
      <c r="J1814" s="17">
        <f t="shared" si="29"/>
        <v>0</v>
      </c>
      <c r="K1814" s="17"/>
      <c r="L1814" s="16" t="s">
        <v>18</v>
      </c>
      <c r="M1814" s="16" t="s">
        <v>22</v>
      </c>
      <c r="N1814" s="16" t="s">
        <v>418</v>
      </c>
    </row>
    <row r="1815" spans="1:14" ht="41.25" customHeight="1">
      <c r="A1815" s="178" t="s">
        <v>120</v>
      </c>
      <c r="B1815" s="75" t="str">
        <f ca="1">+UPPER(Tabla1321124[[#This Row],[DESCRIPCIÓN DE LA COMPRA O CONTRATACIÓN]])</f>
        <v>TONER LASER JET Q6472</v>
      </c>
      <c r="C1815" s="39" t="s">
        <v>417</v>
      </c>
      <c r="D1815" s="236"/>
      <c r="E1815" s="236"/>
      <c r="F1815" s="236"/>
      <c r="G1815" s="236"/>
      <c r="H1815" s="299">
        <f>SUM(Tabla1321124[[#This Row],[PRIMER TRIMESTRE]:[CUARTO TRIMESTRE]])</f>
        <v>0</v>
      </c>
      <c r="I1815" s="17">
        <v>5100</v>
      </c>
      <c r="J1815" s="17">
        <f t="shared" si="29"/>
        <v>0</v>
      </c>
      <c r="K1815" s="17"/>
      <c r="L1815" s="16" t="s">
        <v>18</v>
      </c>
      <c r="M1815" s="16" t="s">
        <v>22</v>
      </c>
      <c r="N1815" s="16" t="s">
        <v>418</v>
      </c>
    </row>
    <row r="1816" spans="1:14" ht="41.25" customHeight="1">
      <c r="A1816" s="178" t="s">
        <v>120</v>
      </c>
      <c r="B1816" s="75" t="str">
        <f ca="1">+UPPER(Tabla1321124[[#This Row],[DESCRIPCIÓN DE LA COMPRA O CONTRATACIÓN]])</f>
        <v>TONER LASER JET Q6473</v>
      </c>
      <c r="C1816" s="39" t="s">
        <v>417</v>
      </c>
      <c r="D1816" s="236"/>
      <c r="E1816" s="236"/>
      <c r="F1816" s="236"/>
      <c r="G1816" s="236"/>
      <c r="H1816" s="299">
        <f>SUM(Tabla1321124[[#This Row],[PRIMER TRIMESTRE]:[CUARTO TRIMESTRE]])</f>
        <v>0</v>
      </c>
      <c r="I1816" s="17">
        <v>5100</v>
      </c>
      <c r="J1816" s="17">
        <f t="shared" si="29"/>
        <v>0</v>
      </c>
      <c r="K1816" s="17"/>
      <c r="L1816" s="16" t="s">
        <v>18</v>
      </c>
      <c r="M1816" s="16" t="s">
        <v>22</v>
      </c>
      <c r="N1816" s="16" t="s">
        <v>418</v>
      </c>
    </row>
    <row r="1817" spans="1:14" ht="41.25" customHeight="1">
      <c r="A1817" s="178" t="s">
        <v>120</v>
      </c>
      <c r="B1817" s="75" t="str">
        <f ca="1">+UPPER(Tabla1321124[[#This Row],[DESCRIPCIÓN DE LA COMPRA O CONTRATACIÓN]])</f>
        <v>TONER LASER JET 126A (CE310A) NEGRO</v>
      </c>
      <c r="C1817" s="39" t="s">
        <v>417</v>
      </c>
      <c r="D1817" s="236">
        <f>4+6</f>
        <v>10</v>
      </c>
      <c r="E1817" s="236">
        <v>1</v>
      </c>
      <c r="F1817" s="236">
        <v>4</v>
      </c>
      <c r="G1817" s="236">
        <v>1</v>
      </c>
      <c r="H1817" s="299">
        <f>SUM(Tabla1321124[[#This Row],[PRIMER TRIMESTRE]:[CUARTO TRIMESTRE]])</f>
        <v>16</v>
      </c>
      <c r="I1817" s="17">
        <v>2000</v>
      </c>
      <c r="J1817" s="17">
        <f t="shared" si="29"/>
        <v>32000</v>
      </c>
      <c r="K1817" s="17"/>
      <c r="L1817" s="16" t="s">
        <v>18</v>
      </c>
      <c r="M1817" s="16" t="s">
        <v>22</v>
      </c>
      <c r="N1817" s="16" t="s">
        <v>418</v>
      </c>
    </row>
    <row r="1818" spans="1:14" ht="41.25" customHeight="1">
      <c r="A1818" s="178" t="s">
        <v>120</v>
      </c>
      <c r="B1818" s="75" t="str">
        <f ca="1">+UPPER(Tabla1321124[[#This Row],[DESCRIPCIÓN DE LA COMPRA O CONTRATACIÓN]])</f>
        <v>TONER LASER JET 126A (CE311A) AZUL</v>
      </c>
      <c r="C1818" s="39" t="s">
        <v>417</v>
      </c>
      <c r="D1818" s="236">
        <f>3+6</f>
        <v>9</v>
      </c>
      <c r="E1818" s="236">
        <v>1</v>
      </c>
      <c r="F1818" s="236">
        <v>3</v>
      </c>
      <c r="G1818" s="236">
        <v>1</v>
      </c>
      <c r="H1818" s="299">
        <f>SUM(Tabla1321124[[#This Row],[PRIMER TRIMESTRE]:[CUARTO TRIMESTRE]])</f>
        <v>14</v>
      </c>
      <c r="I1818" s="17">
        <v>2500</v>
      </c>
      <c r="J1818" s="17">
        <f t="shared" si="29"/>
        <v>35000</v>
      </c>
      <c r="K1818" s="17"/>
      <c r="L1818" s="16" t="s">
        <v>18</v>
      </c>
      <c r="M1818" s="16" t="s">
        <v>22</v>
      </c>
      <c r="N1818" s="16" t="s">
        <v>418</v>
      </c>
    </row>
    <row r="1819" spans="1:14" ht="41.25" customHeight="1">
      <c r="A1819" s="178" t="s">
        <v>120</v>
      </c>
      <c r="B1819" s="75" t="str">
        <f ca="1">+UPPER(Tabla1321124[[#This Row],[DESCRIPCIÓN DE LA COMPRA O CONTRATACIÓN]])</f>
        <v>TONER LASER JET 126A (CE312A) AMARILLO</v>
      </c>
      <c r="C1819" s="39" t="s">
        <v>417</v>
      </c>
      <c r="D1819" s="236">
        <f>3+6</f>
        <v>9</v>
      </c>
      <c r="E1819" s="236">
        <v>1</v>
      </c>
      <c r="F1819" s="236">
        <v>3</v>
      </c>
      <c r="G1819" s="236">
        <v>1</v>
      </c>
      <c r="H1819" s="299">
        <f>SUM(Tabla1321124[[#This Row],[PRIMER TRIMESTRE]:[CUARTO TRIMESTRE]])</f>
        <v>14</v>
      </c>
      <c r="I1819" s="17">
        <v>2500</v>
      </c>
      <c r="J1819" s="17">
        <f t="shared" si="29"/>
        <v>35000</v>
      </c>
      <c r="K1819" s="17"/>
      <c r="L1819" s="16" t="s">
        <v>18</v>
      </c>
      <c r="M1819" s="16" t="s">
        <v>22</v>
      </c>
      <c r="N1819" s="16" t="s">
        <v>418</v>
      </c>
    </row>
    <row r="1820" spans="1:14" ht="41.25" customHeight="1">
      <c r="A1820" s="178" t="s">
        <v>120</v>
      </c>
      <c r="B1820" s="75" t="str">
        <f ca="1">+UPPER(Tabla1321124[[#This Row],[DESCRIPCIÓN DE LA COMPRA O CONTRATACIÓN]])</f>
        <v>TONER LASER JET 126A (CE313A) ROSADO</v>
      </c>
      <c r="C1820" s="39" t="s">
        <v>417</v>
      </c>
      <c r="D1820" s="236">
        <f>3+6</f>
        <v>9</v>
      </c>
      <c r="E1820" s="236">
        <v>1</v>
      </c>
      <c r="F1820" s="236">
        <v>3</v>
      </c>
      <c r="G1820" s="236">
        <v>1</v>
      </c>
      <c r="H1820" s="299">
        <f>SUM(Tabla1321124[[#This Row],[PRIMER TRIMESTRE]:[CUARTO TRIMESTRE]])</f>
        <v>14</v>
      </c>
      <c r="I1820" s="17">
        <v>2500</v>
      </c>
      <c r="J1820" s="17">
        <f t="shared" si="29"/>
        <v>35000</v>
      </c>
      <c r="K1820" s="17"/>
      <c r="L1820" s="16" t="s">
        <v>18</v>
      </c>
      <c r="M1820" s="16" t="s">
        <v>22</v>
      </c>
      <c r="N1820" s="16" t="s">
        <v>418</v>
      </c>
    </row>
    <row r="1821" spans="1:14" ht="41.25" customHeight="1">
      <c r="A1821" s="178" t="s">
        <v>120</v>
      </c>
      <c r="B1821" s="75" t="str">
        <f ca="1">+UPPER(Tabla1321124[[#This Row],[DESCRIPCIÓN DE LA COMPRA O CONTRATACIÓN]])</f>
        <v>TONER LASER JET 126A (CE314A) TAMBOR</v>
      </c>
      <c r="C1821" s="39" t="s">
        <v>417</v>
      </c>
      <c r="D1821" s="236">
        <v>6</v>
      </c>
      <c r="E1821" s="236"/>
      <c r="F1821" s="236"/>
      <c r="G1821" s="236"/>
      <c r="H1821" s="299">
        <f>SUM(Tabla1321124[[#This Row],[PRIMER TRIMESTRE]:[CUARTO TRIMESTRE]])</f>
        <v>6</v>
      </c>
      <c r="I1821" s="17">
        <v>2500</v>
      </c>
      <c r="J1821" s="17">
        <f t="shared" si="29"/>
        <v>15000</v>
      </c>
      <c r="K1821" s="17"/>
      <c r="L1821" s="16" t="s">
        <v>18</v>
      </c>
      <c r="M1821" s="16" t="s">
        <v>22</v>
      </c>
      <c r="N1821" s="16" t="s">
        <v>418</v>
      </c>
    </row>
    <row r="1822" spans="1:14" ht="41.25" customHeight="1">
      <c r="A1822" s="178" t="s">
        <v>120</v>
      </c>
      <c r="B1822" s="75" t="str">
        <f ca="1">+UPPER(Tabla1321124[[#This Row],[DESCRIPCIÓN DE LA COMPRA O CONTRATACIÓN]])</f>
        <v>TONER AL-204-TD</v>
      </c>
      <c r="C1822" s="39" t="s">
        <v>417</v>
      </c>
      <c r="D1822" s="236">
        <v>6</v>
      </c>
      <c r="E1822" s="236"/>
      <c r="F1822" s="236"/>
      <c r="G1822" s="236"/>
      <c r="H1822" s="299">
        <f>SUM(Tabla1321124[[#This Row],[PRIMER TRIMESTRE]:[CUARTO TRIMESTRE]])</f>
        <v>6</v>
      </c>
      <c r="I1822" s="17">
        <v>4100</v>
      </c>
      <c r="J1822" s="17">
        <f t="shared" si="29"/>
        <v>24600</v>
      </c>
      <c r="K1822" s="17"/>
      <c r="L1822" s="16" t="s">
        <v>18</v>
      </c>
      <c r="M1822" s="16" t="s">
        <v>22</v>
      </c>
      <c r="N1822" s="16" t="s">
        <v>418</v>
      </c>
    </row>
    <row r="1823" spans="1:14" ht="41.25" customHeight="1">
      <c r="A1823" s="178" t="s">
        <v>120</v>
      </c>
      <c r="B1823" s="75" t="str">
        <f ca="1">+UPPER(Tabla1321124[[#This Row],[DESCRIPCIÓN DE LA COMPRA O CONTRATACIÓN]])</f>
        <v>TONER LASER JET 305A NEGRO</v>
      </c>
      <c r="C1823" s="39" t="s">
        <v>417</v>
      </c>
      <c r="D1823" s="236">
        <v>6</v>
      </c>
      <c r="E1823" s="236"/>
      <c r="F1823" s="236"/>
      <c r="G1823" s="236"/>
      <c r="H1823" s="299">
        <f>SUM(Tabla1321124[[#This Row],[PRIMER TRIMESTRE]:[CUARTO TRIMESTRE]])</f>
        <v>6</v>
      </c>
      <c r="I1823" s="17">
        <v>3800</v>
      </c>
      <c r="J1823" s="17">
        <f t="shared" si="29"/>
        <v>22800</v>
      </c>
      <c r="K1823" s="17"/>
      <c r="L1823" s="16" t="s">
        <v>18</v>
      </c>
      <c r="M1823" s="16" t="s">
        <v>22</v>
      </c>
      <c r="N1823" s="16" t="s">
        <v>418</v>
      </c>
    </row>
    <row r="1824" spans="1:14" ht="41.25" customHeight="1">
      <c r="A1824" s="178" t="s">
        <v>120</v>
      </c>
      <c r="B1824" s="75" t="str">
        <f ca="1">+UPPER(Tabla1321124[[#This Row],[DESCRIPCIÓN DE LA COMPRA O CONTRATACIÓN]])</f>
        <v>TONER LASER JET 305A ROSADO</v>
      </c>
      <c r="C1824" s="39" t="s">
        <v>417</v>
      </c>
      <c r="D1824" s="236">
        <v>6</v>
      </c>
      <c r="E1824" s="236"/>
      <c r="F1824" s="236"/>
      <c r="G1824" s="236"/>
      <c r="H1824" s="299">
        <f>SUM(Tabla1321124[[#This Row],[PRIMER TRIMESTRE]:[CUARTO TRIMESTRE]])</f>
        <v>6</v>
      </c>
      <c r="I1824" s="17">
        <v>5400</v>
      </c>
      <c r="J1824" s="17">
        <f t="shared" si="29"/>
        <v>32400</v>
      </c>
      <c r="K1824" s="17"/>
      <c r="L1824" s="16" t="s">
        <v>18</v>
      </c>
      <c r="M1824" s="16" t="s">
        <v>22</v>
      </c>
      <c r="N1824" s="16" t="s">
        <v>418</v>
      </c>
    </row>
    <row r="1825" spans="1:14" ht="41.25" customHeight="1">
      <c r="A1825" s="178" t="s">
        <v>120</v>
      </c>
      <c r="B1825" s="75" t="str">
        <f ca="1">+UPPER(Tabla1321124[[#This Row],[DESCRIPCIÓN DE LA COMPRA O CONTRATACIÓN]])</f>
        <v>TONER LASER JET 305A AZUL</v>
      </c>
      <c r="C1825" s="39" t="s">
        <v>417</v>
      </c>
      <c r="D1825" s="236">
        <v>6</v>
      </c>
      <c r="E1825" s="236"/>
      <c r="F1825" s="236"/>
      <c r="G1825" s="236"/>
      <c r="H1825" s="299">
        <f>SUM(Tabla1321124[[#This Row],[PRIMER TRIMESTRE]:[CUARTO TRIMESTRE]])</f>
        <v>6</v>
      </c>
      <c r="I1825" s="17">
        <v>5400</v>
      </c>
      <c r="J1825" s="17">
        <f t="shared" si="29"/>
        <v>32400</v>
      </c>
      <c r="K1825" s="17"/>
      <c r="L1825" s="16" t="s">
        <v>18</v>
      </c>
      <c r="M1825" s="16" t="s">
        <v>22</v>
      </c>
      <c r="N1825" s="16" t="s">
        <v>418</v>
      </c>
    </row>
    <row r="1826" spans="1:14" ht="41.25" customHeight="1">
      <c r="A1826" s="178" t="s">
        <v>120</v>
      </c>
      <c r="B1826" s="75" t="str">
        <f ca="1">+UPPER(Tabla1321124[[#This Row],[DESCRIPCIÓN DE LA COMPRA O CONTRATACIÓN]])</f>
        <v>TONER LASER JET 305A AMARILLO</v>
      </c>
      <c r="C1826" s="39" t="s">
        <v>417</v>
      </c>
      <c r="D1826" s="236">
        <v>6</v>
      </c>
      <c r="E1826" s="236"/>
      <c r="F1826" s="236"/>
      <c r="G1826" s="236"/>
      <c r="H1826" s="299">
        <f>SUM(Tabla1321124[[#This Row],[PRIMER TRIMESTRE]:[CUARTO TRIMESTRE]])</f>
        <v>6</v>
      </c>
      <c r="I1826" s="17">
        <v>5400</v>
      </c>
      <c r="J1826" s="17">
        <f t="shared" si="29"/>
        <v>32400</v>
      </c>
      <c r="K1826" s="17"/>
      <c r="L1826" s="16" t="s">
        <v>18</v>
      </c>
      <c r="M1826" s="16" t="s">
        <v>22</v>
      </c>
      <c r="N1826" s="16" t="s">
        <v>418</v>
      </c>
    </row>
    <row r="1827" spans="1:14" ht="41.25" customHeight="1">
      <c r="A1827" s="178" t="s">
        <v>120</v>
      </c>
      <c r="B1827" s="75" t="str">
        <f ca="1">+UPPER(Tabla1321124[[#This Row],[DESCRIPCIÓN DE LA COMPRA O CONTRATACIÓN]])</f>
        <v>TONER HP LASER JET 78 (CE278A)</v>
      </c>
      <c r="C1827" s="39" t="s">
        <v>417</v>
      </c>
      <c r="D1827" s="236">
        <v>50</v>
      </c>
      <c r="E1827" s="236">
        <v>50</v>
      </c>
      <c r="F1827" s="236">
        <v>50</v>
      </c>
      <c r="G1827" s="236">
        <v>50</v>
      </c>
      <c r="H1827" s="299">
        <f>SUM(Tabla1321124[[#This Row],[PRIMER TRIMESTRE]:[CUARTO TRIMESTRE]])</f>
        <v>200</v>
      </c>
      <c r="I1827" s="17">
        <v>3100</v>
      </c>
      <c r="J1827" s="17">
        <f t="shared" si="29"/>
        <v>620000</v>
      </c>
      <c r="K1827" s="17"/>
      <c r="L1827" s="16" t="s">
        <v>18</v>
      </c>
      <c r="M1827" s="16" t="s">
        <v>22</v>
      </c>
      <c r="N1827" s="16" t="s">
        <v>418</v>
      </c>
    </row>
    <row r="1828" spans="1:14" ht="41.25" customHeight="1">
      <c r="A1828" s="178" t="s">
        <v>120</v>
      </c>
      <c r="B1828" s="75" t="str">
        <f ca="1">+UPPER(Tabla1321124[[#This Row],[DESCRIPCIÓN DE LA COMPRA O CONTRATACIÓN]])</f>
        <v>TONER AL-C1B2208</v>
      </c>
      <c r="C1828" s="39" t="s">
        <v>417</v>
      </c>
      <c r="D1828" s="236"/>
      <c r="E1828" s="236"/>
      <c r="F1828" s="236"/>
      <c r="G1828" s="236"/>
      <c r="H1828" s="299">
        <f>SUM(Tabla1321124[[#This Row],[PRIMER TRIMESTRE]:[CUARTO TRIMESTRE]])</f>
        <v>0</v>
      </c>
      <c r="I1828" s="17">
        <v>5100</v>
      </c>
      <c r="J1828" s="17">
        <f t="shared" si="29"/>
        <v>0</v>
      </c>
      <c r="K1828" s="17"/>
      <c r="L1828" s="16" t="s">
        <v>18</v>
      </c>
      <c r="M1828" s="16" t="s">
        <v>22</v>
      </c>
      <c r="N1828" s="16" t="s">
        <v>418</v>
      </c>
    </row>
    <row r="1829" spans="1:14" ht="41.25" customHeight="1">
      <c r="A1829" s="178" t="s">
        <v>120</v>
      </c>
      <c r="B1829" s="75" t="str">
        <f ca="1">+UPPER(Tabla1321124[[#This Row],[DESCRIPCIÓN DE LA COMPRA O CONTRATACIÓN]])</f>
        <v>TONER LASER JET 131A NEGRO (CF210A)</v>
      </c>
      <c r="C1829" s="39" t="s">
        <v>417</v>
      </c>
      <c r="D1829" s="236"/>
      <c r="E1829" s="236"/>
      <c r="F1829" s="236"/>
      <c r="G1829" s="236"/>
      <c r="H1829" s="299">
        <f>SUM(Tabla1321124[[#This Row],[PRIMER TRIMESTRE]:[CUARTO TRIMESTRE]])</f>
        <v>0</v>
      </c>
      <c r="I1829" s="17">
        <v>3000</v>
      </c>
      <c r="J1829" s="17">
        <f t="shared" si="29"/>
        <v>0</v>
      </c>
      <c r="K1829" s="17"/>
      <c r="L1829" s="16" t="s">
        <v>18</v>
      </c>
      <c r="M1829" s="16" t="s">
        <v>22</v>
      </c>
      <c r="N1829" s="16" t="s">
        <v>418</v>
      </c>
    </row>
    <row r="1830" spans="1:14" ht="41.25" customHeight="1">
      <c r="A1830" s="178" t="s">
        <v>120</v>
      </c>
      <c r="B1830" s="75" t="str">
        <f ca="1">+UPPER(Tabla1321124[[#This Row],[DESCRIPCIÓN DE LA COMPRA O CONTRATACIÓN]])</f>
        <v>TONER LASER JET 131A AZUL</v>
      </c>
      <c r="C1830" s="39" t="s">
        <v>417</v>
      </c>
      <c r="D1830" s="236"/>
      <c r="E1830" s="236"/>
      <c r="F1830" s="236"/>
      <c r="G1830" s="236"/>
      <c r="H1830" s="299">
        <f>SUM(Tabla1321124[[#This Row],[PRIMER TRIMESTRE]:[CUARTO TRIMESTRE]])</f>
        <v>0</v>
      </c>
      <c r="I1830" s="17">
        <v>3800</v>
      </c>
      <c r="J1830" s="17">
        <f t="shared" si="29"/>
        <v>0</v>
      </c>
      <c r="K1830" s="17"/>
      <c r="L1830" s="16" t="s">
        <v>18</v>
      </c>
      <c r="M1830" s="16" t="s">
        <v>22</v>
      </c>
      <c r="N1830" s="16" t="s">
        <v>418</v>
      </c>
    </row>
    <row r="1831" spans="1:14" ht="41.25" customHeight="1">
      <c r="A1831" s="178" t="s">
        <v>120</v>
      </c>
      <c r="B1831" s="75" t="str">
        <f ca="1">+UPPER(Tabla1321124[[#This Row],[DESCRIPCIÓN DE LA COMPRA O CONTRATACIÓN]])</f>
        <v>TONER LASER JET 131 A  MAGENTA</v>
      </c>
      <c r="C1831" s="39" t="s">
        <v>417</v>
      </c>
      <c r="D1831" s="236"/>
      <c r="E1831" s="236"/>
      <c r="F1831" s="236"/>
      <c r="G1831" s="236"/>
      <c r="H1831" s="299">
        <f>SUM(Tabla1321124[[#This Row],[PRIMER TRIMESTRE]:[CUARTO TRIMESTRE]])</f>
        <v>0</v>
      </c>
      <c r="I1831" s="17">
        <v>3800</v>
      </c>
      <c r="J1831" s="17">
        <f t="shared" si="29"/>
        <v>0</v>
      </c>
      <c r="K1831" s="17"/>
      <c r="L1831" s="16" t="s">
        <v>18</v>
      </c>
      <c r="M1831" s="16" t="s">
        <v>22</v>
      </c>
      <c r="N1831" s="16" t="s">
        <v>418</v>
      </c>
    </row>
    <row r="1832" spans="1:14" ht="41.25" customHeight="1">
      <c r="A1832" s="178" t="s">
        <v>120</v>
      </c>
      <c r="B1832" s="75" t="str">
        <f ca="1">+UPPER(Tabla1321124[[#This Row],[DESCRIPCIÓN DE LA COMPRA O CONTRATACIÓN]])</f>
        <v>TONER LASER JET 131 A AMARILLO</v>
      </c>
      <c r="C1832" s="39" t="s">
        <v>417</v>
      </c>
      <c r="D1832" s="236"/>
      <c r="E1832" s="236"/>
      <c r="F1832" s="236"/>
      <c r="G1832" s="236"/>
      <c r="H1832" s="299">
        <f>SUM(Tabla1321124[[#This Row],[PRIMER TRIMESTRE]:[CUARTO TRIMESTRE]])</f>
        <v>0</v>
      </c>
      <c r="I1832" s="17">
        <v>3800</v>
      </c>
      <c r="J1832" s="17">
        <f t="shared" si="29"/>
        <v>0</v>
      </c>
      <c r="K1832" s="17"/>
      <c r="L1832" s="16" t="s">
        <v>18</v>
      </c>
      <c r="M1832" s="16" t="s">
        <v>22</v>
      </c>
      <c r="N1832" s="16" t="s">
        <v>418</v>
      </c>
    </row>
    <row r="1833" spans="1:14" ht="41.25" customHeight="1">
      <c r="A1833" s="178" t="s">
        <v>120</v>
      </c>
      <c r="B1833" s="75" t="str">
        <f ca="1">+UPPER(Tabla1321124[[#This Row],[DESCRIPCIÓN DE LA COMPRA O CONTRATACIÓN]])</f>
        <v>TONER HP LASER JET 55A (CE255A)</v>
      </c>
      <c r="C1833" s="39" t="s">
        <v>417</v>
      </c>
      <c r="D1833" s="236"/>
      <c r="E1833" s="236"/>
      <c r="F1833" s="236"/>
      <c r="G1833" s="236"/>
      <c r="H1833" s="299">
        <f>SUM(Tabla1321124[[#This Row],[PRIMER TRIMESTRE]:[CUARTO TRIMESTRE]])</f>
        <v>0</v>
      </c>
      <c r="I1833" s="17">
        <v>6400</v>
      </c>
      <c r="J1833" s="17">
        <f t="shared" si="29"/>
        <v>0</v>
      </c>
      <c r="K1833" s="17"/>
      <c r="L1833" s="16" t="s">
        <v>18</v>
      </c>
      <c r="M1833" s="16" t="s">
        <v>22</v>
      </c>
      <c r="N1833" s="16" t="s">
        <v>418</v>
      </c>
    </row>
    <row r="1834" spans="1:14" ht="41.25" customHeight="1">
      <c r="A1834" s="178" t="s">
        <v>120</v>
      </c>
      <c r="B1834" s="75" t="str">
        <f ca="1">+UPPER(Tabla1321124[[#This Row],[DESCRIPCIÓN DE LA COMPRA O CONTRATACIÓN]])</f>
        <v>TONER HP LASER JET PRO 500 COLOR 507A (CE401A)</v>
      </c>
      <c r="C1834" s="39" t="s">
        <v>417</v>
      </c>
      <c r="D1834" s="236">
        <v>20</v>
      </c>
      <c r="E1834" s="210">
        <v>1</v>
      </c>
      <c r="F1834" s="210">
        <v>10</v>
      </c>
      <c r="G1834" s="210">
        <v>1</v>
      </c>
      <c r="H1834" s="299">
        <f>SUM(Tabla1321124[[#This Row],[PRIMER TRIMESTRE]:[CUARTO TRIMESTRE]])</f>
        <v>32</v>
      </c>
      <c r="I1834" s="17">
        <f>9750*1.18</f>
        <v>11505</v>
      </c>
      <c r="J1834" s="17">
        <f t="shared" si="29"/>
        <v>368160</v>
      </c>
      <c r="K1834" s="17"/>
      <c r="L1834" s="16" t="s">
        <v>18</v>
      </c>
      <c r="M1834" s="16" t="s">
        <v>22</v>
      </c>
      <c r="N1834" s="16" t="s">
        <v>418</v>
      </c>
    </row>
    <row r="1835" spans="1:14" ht="41.25" customHeight="1">
      <c r="A1835" s="178" t="s">
        <v>120</v>
      </c>
      <c r="B1835" s="75" t="str">
        <f ca="1">+UPPER(Tabla1321124[[#This Row],[DESCRIPCIÓN DE LA COMPRA O CONTRATACIÓN]])</f>
        <v>TONER HP LASER JET PRO 500 COLOR 507A (CE402A)</v>
      </c>
      <c r="C1835" s="39" t="s">
        <v>417</v>
      </c>
      <c r="D1835" s="236">
        <v>17</v>
      </c>
      <c r="E1835" s="210">
        <v>1</v>
      </c>
      <c r="F1835" s="210">
        <v>7</v>
      </c>
      <c r="G1835" s="210">
        <v>1</v>
      </c>
      <c r="H1835" s="299">
        <f>SUM(Tabla1321124[[#This Row],[PRIMER TRIMESTRE]:[CUARTO TRIMESTRE]])</f>
        <v>26</v>
      </c>
      <c r="I1835" s="17">
        <v>11505</v>
      </c>
      <c r="J1835" s="17">
        <f t="shared" si="29"/>
        <v>299130</v>
      </c>
      <c r="K1835" s="17"/>
      <c r="L1835" s="16" t="s">
        <v>18</v>
      </c>
      <c r="M1835" s="16" t="s">
        <v>22</v>
      </c>
      <c r="N1835" s="16" t="s">
        <v>418</v>
      </c>
    </row>
    <row r="1836" spans="1:14" ht="41.25" customHeight="1">
      <c r="A1836" s="178" t="s">
        <v>120</v>
      </c>
      <c r="B1836" s="75" t="str">
        <f ca="1">+UPPER(Tabla1321124[[#This Row],[DESCRIPCIÓN DE LA COMPRA O CONTRATACIÓN]])</f>
        <v>TONER HP LASER JET PRO 500 COLOR 507A (CE403A)</v>
      </c>
      <c r="C1836" s="39" t="s">
        <v>417</v>
      </c>
      <c r="D1836" s="236">
        <v>17</v>
      </c>
      <c r="E1836" s="210">
        <v>1</v>
      </c>
      <c r="F1836" s="210">
        <v>7</v>
      </c>
      <c r="G1836" s="210">
        <v>1</v>
      </c>
      <c r="H1836" s="299">
        <f>SUM(Tabla1321124[[#This Row],[PRIMER TRIMESTRE]:[CUARTO TRIMESTRE]])</f>
        <v>26</v>
      </c>
      <c r="I1836" s="17">
        <v>11505</v>
      </c>
      <c r="J1836" s="17">
        <f t="shared" si="29"/>
        <v>299130</v>
      </c>
      <c r="K1836" s="17"/>
      <c r="L1836" s="16" t="s">
        <v>18</v>
      </c>
      <c r="M1836" s="16" t="s">
        <v>22</v>
      </c>
      <c r="N1836" s="16" t="s">
        <v>418</v>
      </c>
    </row>
    <row r="1837" spans="1:14" ht="41.25" customHeight="1">
      <c r="A1837" s="178" t="s">
        <v>120</v>
      </c>
      <c r="B1837" s="75" t="str">
        <f ca="1">+UPPER(Tabla1321124[[#This Row],[DESCRIPCIÓN DE LA COMPRA O CONTRATACIÓN]])</f>
        <v>TONER HP LASER JET PRO 500 COLOR 507A (CE400A)</v>
      </c>
      <c r="C1837" s="39" t="s">
        <v>417</v>
      </c>
      <c r="D1837" s="236">
        <v>20</v>
      </c>
      <c r="E1837" s="210">
        <v>1</v>
      </c>
      <c r="F1837" s="210">
        <v>10</v>
      </c>
      <c r="G1837" s="210">
        <v>1</v>
      </c>
      <c r="H1837" s="299">
        <f>SUM(Tabla1321124[[#This Row],[PRIMER TRIMESTRE]:[CUARTO TRIMESTRE]])</f>
        <v>32</v>
      </c>
      <c r="I1837" s="17">
        <v>11505</v>
      </c>
      <c r="J1837" s="17">
        <f t="shared" si="29"/>
        <v>368160</v>
      </c>
      <c r="K1837" s="17"/>
      <c r="L1837" s="16" t="s">
        <v>18</v>
      </c>
      <c r="M1837" s="16" t="s">
        <v>22</v>
      </c>
      <c r="N1837" s="16" t="s">
        <v>418</v>
      </c>
    </row>
    <row r="1838" spans="1:14" ht="41.25" customHeight="1">
      <c r="A1838" s="178" t="s">
        <v>120</v>
      </c>
      <c r="B1838" s="75" t="str">
        <f ca="1">+UPPER(Tabla1321124[[#This Row],[DESCRIPCIÓN DE LA COMPRA O CONTRATACIÓN]])</f>
        <v>TONER LASER JET PRO 1320 HP</v>
      </c>
      <c r="C1838" s="39" t="s">
        <v>417</v>
      </c>
      <c r="D1838" s="236">
        <v>5</v>
      </c>
      <c r="E1838" s="210"/>
      <c r="F1838" s="210">
        <v>5</v>
      </c>
      <c r="G1838" s="210"/>
      <c r="H1838" s="299">
        <f>SUM(Tabla1321124[[#This Row],[PRIMER TRIMESTRE]:[CUARTO TRIMESTRE]])</f>
        <v>10</v>
      </c>
      <c r="I1838" s="17">
        <v>6780</v>
      </c>
      <c r="J1838" s="17">
        <f t="shared" si="29"/>
        <v>67800</v>
      </c>
      <c r="K1838" s="17"/>
      <c r="L1838" s="16" t="s">
        <v>18</v>
      </c>
      <c r="M1838" s="16" t="s">
        <v>22</v>
      </c>
      <c r="N1838" s="16" t="s">
        <v>418</v>
      </c>
    </row>
    <row r="1839" spans="1:14" ht="41.25" customHeight="1">
      <c r="A1839" s="178" t="s">
        <v>120</v>
      </c>
      <c r="B1839" s="75" t="str">
        <f ca="1">+UPPER(Tabla1321124[[#This Row],[DESCRIPCIÓN DE LA COMPRA O CONTRATACIÓN]])</f>
        <v>TONER HP LASER JET PRO MFP M22DW</v>
      </c>
      <c r="C1839" s="39" t="s">
        <v>417</v>
      </c>
      <c r="D1839" s="236">
        <v>5</v>
      </c>
      <c r="E1839" s="210"/>
      <c r="F1839" s="210">
        <v>5</v>
      </c>
      <c r="G1839" s="210"/>
      <c r="H1839" s="299">
        <f>SUM(Tabla1321124[[#This Row],[PRIMER TRIMESTRE]:[CUARTO TRIMESTRE]])</f>
        <v>10</v>
      </c>
      <c r="I1839" s="17">
        <v>6780</v>
      </c>
      <c r="J1839" s="17">
        <f t="shared" si="29"/>
        <v>67800</v>
      </c>
      <c r="K1839" s="17"/>
      <c r="L1839" s="16" t="s">
        <v>18</v>
      </c>
      <c r="M1839" s="16" t="s">
        <v>22</v>
      </c>
      <c r="N1839" s="16" t="s">
        <v>418</v>
      </c>
    </row>
    <row r="1840" spans="1:14" ht="41.25" customHeight="1">
      <c r="A1840" s="178" t="s">
        <v>120</v>
      </c>
      <c r="B1840" s="75" t="str">
        <f ca="1">+UPPER(Tabla1321124[[#This Row],[DESCRIPCIÓN DE LA COMPRA O CONTRATACIÓN]])</f>
        <v>TONER HP LASER JET MFPM725 HP</v>
      </c>
      <c r="C1840" s="39" t="s">
        <v>417</v>
      </c>
      <c r="D1840" s="236">
        <v>5</v>
      </c>
      <c r="E1840" s="210"/>
      <c r="F1840" s="210">
        <v>5</v>
      </c>
      <c r="G1840" s="210"/>
      <c r="H1840" s="299">
        <f>SUM(Tabla1321124[[#This Row],[PRIMER TRIMESTRE]:[CUARTO TRIMESTRE]])</f>
        <v>10</v>
      </c>
      <c r="I1840" s="17">
        <v>6780</v>
      </c>
      <c r="J1840" s="17">
        <f t="shared" si="29"/>
        <v>67800</v>
      </c>
      <c r="K1840" s="17"/>
      <c r="L1840" s="16" t="s">
        <v>18</v>
      </c>
      <c r="M1840" s="16" t="s">
        <v>22</v>
      </c>
      <c r="N1840" s="16" t="s">
        <v>418</v>
      </c>
    </row>
    <row r="1841" spans="1:14" ht="41.25" customHeight="1">
      <c r="A1841" s="178" t="s">
        <v>120</v>
      </c>
      <c r="B1841" s="75" t="str">
        <f ca="1">+UPPER(Tabla1321124[[#This Row],[DESCRIPCIÓN DE LA COMPRA O CONTRATACIÓN]])</f>
        <v>TONER 35A</v>
      </c>
      <c r="C1841" s="39" t="s">
        <v>417</v>
      </c>
      <c r="D1841" s="236">
        <f>4</f>
        <v>4</v>
      </c>
      <c r="E1841" s="210">
        <v>4</v>
      </c>
      <c r="F1841" s="210"/>
      <c r="G1841" s="210"/>
      <c r="H1841" s="299">
        <f>SUM(Tabla1321124[[#This Row],[PRIMER TRIMESTRE]:[CUARTO TRIMESTRE]])</f>
        <v>8</v>
      </c>
      <c r="I1841" s="17">
        <v>6500</v>
      </c>
      <c r="J1841" s="17">
        <f t="shared" si="29"/>
        <v>52000</v>
      </c>
      <c r="K1841" s="17"/>
      <c r="L1841" s="16" t="s">
        <v>18</v>
      </c>
      <c r="M1841" s="16" t="s">
        <v>22</v>
      </c>
      <c r="N1841" s="16" t="s">
        <v>418</v>
      </c>
    </row>
    <row r="1842" spans="1:14" ht="41.25" customHeight="1">
      <c r="A1842" s="178" t="s">
        <v>120</v>
      </c>
      <c r="B1842" s="75" t="str">
        <f ca="1">+UPPER(Tabla1321124[[#This Row],[DESCRIPCIÓN DE LA COMPRA O CONTRATACIÓN]])</f>
        <v>TONER FAL-211A</v>
      </c>
      <c r="C1842" s="39" t="s">
        <v>417</v>
      </c>
      <c r="D1842" s="236">
        <f>4</f>
        <v>4</v>
      </c>
      <c r="E1842" s="210"/>
      <c r="F1842" s="210"/>
      <c r="G1842" s="210"/>
      <c r="H1842" s="299">
        <f>SUM(Tabla1321124[[#This Row],[PRIMER TRIMESTRE]:[CUARTO TRIMESTRE]])</f>
        <v>4</v>
      </c>
      <c r="I1842" s="17">
        <v>6500</v>
      </c>
      <c r="J1842" s="17">
        <f t="shared" si="29"/>
        <v>26000</v>
      </c>
      <c r="K1842" s="17"/>
      <c r="L1842" s="16" t="s">
        <v>18</v>
      </c>
      <c r="M1842" s="16" t="s">
        <v>22</v>
      </c>
      <c r="N1842" s="16" t="s">
        <v>418</v>
      </c>
    </row>
    <row r="1843" spans="1:14" ht="41.25" customHeight="1">
      <c r="A1843" s="178" t="s">
        <v>120</v>
      </c>
      <c r="B1843" s="75" t="str">
        <f ca="1">+UPPER(Tabla1321124[[#This Row],[DESCRIPCIÓN DE LA COMPRA O CONTRATACIÓN]])</f>
        <v>TONER FAL-212 A</v>
      </c>
      <c r="C1843" s="39" t="s">
        <v>417</v>
      </c>
      <c r="D1843" s="236">
        <f>4</f>
        <v>4</v>
      </c>
      <c r="E1843" s="210"/>
      <c r="F1843" s="210"/>
      <c r="G1843" s="210"/>
      <c r="H1843" s="299">
        <f>SUM(Tabla1321124[[#This Row],[PRIMER TRIMESTRE]:[CUARTO TRIMESTRE]])</f>
        <v>4</v>
      </c>
      <c r="I1843" s="17">
        <v>6500</v>
      </c>
      <c r="J1843" s="17">
        <f t="shared" si="29"/>
        <v>26000</v>
      </c>
      <c r="K1843" s="17"/>
      <c r="L1843" s="16" t="s">
        <v>18</v>
      </c>
      <c r="M1843" s="16" t="s">
        <v>22</v>
      </c>
      <c r="N1843" s="16" t="s">
        <v>418</v>
      </c>
    </row>
    <row r="1844" spans="1:14" ht="41.25" customHeight="1">
      <c r="A1844" s="178" t="s">
        <v>120</v>
      </c>
      <c r="B1844" s="75" t="str">
        <f ca="1">+UPPER(Tabla1321124[[#This Row],[DESCRIPCIÓN DE LA COMPRA O CONTRATACIÓN]])</f>
        <v>TONER FAL-213A</v>
      </c>
      <c r="C1844" s="39" t="s">
        <v>417</v>
      </c>
      <c r="D1844" s="236">
        <f>4</f>
        <v>4</v>
      </c>
      <c r="E1844" s="210"/>
      <c r="F1844" s="210"/>
      <c r="G1844" s="210"/>
      <c r="H1844" s="299">
        <f>SUM(Tabla1321124[[#This Row],[PRIMER TRIMESTRE]:[CUARTO TRIMESTRE]])</f>
        <v>4</v>
      </c>
      <c r="I1844" s="17">
        <v>6500</v>
      </c>
      <c r="J1844" s="17">
        <f t="shared" si="29"/>
        <v>26000</v>
      </c>
      <c r="K1844" s="17"/>
      <c r="L1844" s="16" t="s">
        <v>18</v>
      </c>
      <c r="M1844" s="16" t="s">
        <v>22</v>
      </c>
      <c r="N1844" s="16" t="s">
        <v>418</v>
      </c>
    </row>
    <row r="1845" spans="1:14" ht="41.25" customHeight="1">
      <c r="A1845" s="178" t="s">
        <v>120</v>
      </c>
      <c r="B1845" s="75" t="str">
        <f ca="1">+UPPER(Tabla1321124[[#This Row],[DESCRIPCIÓN DE LA COMPRA O CONTRATACIÓN]])</f>
        <v>TONER FAL-210A</v>
      </c>
      <c r="C1845" s="39" t="s">
        <v>417</v>
      </c>
      <c r="D1845" s="236">
        <f>6</f>
        <v>6</v>
      </c>
      <c r="E1845" s="210"/>
      <c r="F1845" s="210"/>
      <c r="G1845" s="210"/>
      <c r="H1845" s="299">
        <f>SUM(Tabla1321124[[#This Row],[PRIMER TRIMESTRE]:[CUARTO TRIMESTRE]])</f>
        <v>6</v>
      </c>
      <c r="I1845" s="17">
        <v>6500</v>
      </c>
      <c r="J1845" s="17">
        <f t="shared" si="29"/>
        <v>39000</v>
      </c>
      <c r="K1845" s="17"/>
      <c r="L1845" s="16" t="s">
        <v>18</v>
      </c>
      <c r="M1845" s="16" t="s">
        <v>22</v>
      </c>
      <c r="N1845" s="16" t="s">
        <v>418</v>
      </c>
    </row>
    <row r="1846" spans="1:14" ht="41.25" customHeight="1">
      <c r="A1846" s="178" t="s">
        <v>120</v>
      </c>
      <c r="B1846" s="75" t="str">
        <f ca="1">+UPPER(Tabla1321124[[#This Row],[DESCRIPCIÓN DE LA COMPRA O CONTRATACIÓN]])</f>
        <v>TONER HP LASER JET 49A</v>
      </c>
      <c r="C1846" s="39" t="s">
        <v>417</v>
      </c>
      <c r="D1846" s="236">
        <v>13</v>
      </c>
      <c r="E1846" s="210">
        <v>4</v>
      </c>
      <c r="F1846" s="210">
        <v>13</v>
      </c>
      <c r="G1846" s="210">
        <v>3</v>
      </c>
      <c r="H1846" s="299">
        <f>SUM(Tabla1321124[[#This Row],[PRIMER TRIMESTRE]:[CUARTO TRIMESTRE]])</f>
        <v>33</v>
      </c>
      <c r="I1846" s="17">
        <v>3760.11</v>
      </c>
      <c r="J1846" s="17">
        <f t="shared" si="29"/>
        <v>124083.63</v>
      </c>
      <c r="K1846" s="17"/>
      <c r="L1846" s="16" t="s">
        <v>18</v>
      </c>
      <c r="M1846" s="16" t="s">
        <v>22</v>
      </c>
      <c r="N1846" s="16" t="s">
        <v>418</v>
      </c>
    </row>
    <row r="1847" spans="1:14" ht="41.25" customHeight="1">
      <c r="A1847" s="178" t="s">
        <v>120</v>
      </c>
      <c r="B1847" s="75" t="str">
        <f ca="1">+UPPER(Tabla1321124[[#This Row],[DESCRIPCIÓN DE LA COMPRA O CONTRATACIÓN]])</f>
        <v>TONER HP LASER JET Q6000A</v>
      </c>
      <c r="C1847" s="39" t="s">
        <v>417</v>
      </c>
      <c r="D1847" s="236"/>
      <c r="E1847" s="210"/>
      <c r="F1847" s="210"/>
      <c r="G1847" s="210"/>
      <c r="H1847" s="299">
        <f>SUM(Tabla1321124[[#This Row],[PRIMER TRIMESTRE]:[CUARTO TRIMESTRE]])</f>
        <v>0</v>
      </c>
      <c r="I1847" s="17">
        <v>3914.09</v>
      </c>
      <c r="J1847" s="17">
        <f t="shared" si="29"/>
        <v>0</v>
      </c>
      <c r="K1847" s="17"/>
      <c r="L1847" s="16" t="s">
        <v>18</v>
      </c>
      <c r="M1847" s="16" t="s">
        <v>22</v>
      </c>
      <c r="N1847" s="16" t="s">
        <v>418</v>
      </c>
    </row>
    <row r="1848" spans="1:14" ht="41.25" customHeight="1">
      <c r="A1848" s="178" t="s">
        <v>120</v>
      </c>
      <c r="B1848" s="75" t="str">
        <f ca="1">+UPPER(Tabla1321124[[#This Row],[DESCRIPCIÓN DE LA COMPRA O CONTRATACIÓN]])</f>
        <v>TONER HP LASER JET Q6001A</v>
      </c>
      <c r="C1848" s="39" t="s">
        <v>417</v>
      </c>
      <c r="D1848" s="236"/>
      <c r="E1848" s="210"/>
      <c r="F1848" s="210"/>
      <c r="G1848" s="210"/>
      <c r="H1848" s="299">
        <f>SUM(Tabla1321124[[#This Row],[PRIMER TRIMESTRE]:[CUARTO TRIMESTRE]])</f>
        <v>0</v>
      </c>
      <c r="I1848" s="17">
        <v>4257.1899999999996</v>
      </c>
      <c r="J1848" s="17">
        <f t="shared" si="29"/>
        <v>0</v>
      </c>
      <c r="K1848" s="17"/>
      <c r="L1848" s="16" t="s">
        <v>18</v>
      </c>
      <c r="M1848" s="16" t="s">
        <v>22</v>
      </c>
      <c r="N1848" s="16" t="s">
        <v>418</v>
      </c>
    </row>
    <row r="1849" spans="1:14" ht="41.25" customHeight="1">
      <c r="A1849" s="178" t="s">
        <v>120</v>
      </c>
      <c r="B1849" s="75" t="str">
        <f ca="1">+UPPER(Tabla1321124[[#This Row],[DESCRIPCIÓN DE LA COMPRA O CONTRATACIÓN]])</f>
        <v>TONER HP LASER JET Q6002A</v>
      </c>
      <c r="C1849" s="39" t="s">
        <v>417</v>
      </c>
      <c r="D1849" s="236"/>
      <c r="E1849" s="210"/>
      <c r="F1849" s="210"/>
      <c r="G1849" s="210"/>
      <c r="H1849" s="299">
        <f>SUM(Tabla1321124[[#This Row],[PRIMER TRIMESTRE]:[CUARTO TRIMESTRE]])</f>
        <v>0</v>
      </c>
      <c r="I1849" s="17">
        <v>4257.1899999999996</v>
      </c>
      <c r="J1849" s="17">
        <f t="shared" si="29"/>
        <v>0</v>
      </c>
      <c r="K1849" s="17"/>
      <c r="L1849" s="16" t="s">
        <v>18</v>
      </c>
      <c r="M1849" s="16" t="s">
        <v>22</v>
      </c>
      <c r="N1849" s="16" t="s">
        <v>418</v>
      </c>
    </row>
    <row r="1850" spans="1:14" ht="41.25" customHeight="1">
      <c r="A1850" s="178" t="s">
        <v>120</v>
      </c>
      <c r="B1850" s="75" t="str">
        <f ca="1">+UPPER(Tabla1321124[[#This Row],[DESCRIPCIÓN DE LA COMPRA O CONTRATACIÓN]])</f>
        <v>TONER HP LASER JET Q6003A</v>
      </c>
      <c r="C1850" s="39" t="s">
        <v>417</v>
      </c>
      <c r="D1850" s="236"/>
      <c r="E1850" s="210"/>
      <c r="F1850" s="210"/>
      <c r="G1850" s="210"/>
      <c r="H1850" s="299">
        <f>SUM(Tabla1321124[[#This Row],[PRIMER TRIMESTRE]:[CUARTO TRIMESTRE]])</f>
        <v>0</v>
      </c>
      <c r="I1850" s="17">
        <v>4257.8999999999996</v>
      </c>
      <c r="J1850" s="17">
        <f t="shared" si="29"/>
        <v>0</v>
      </c>
      <c r="K1850" s="17"/>
      <c r="L1850" s="16" t="s">
        <v>18</v>
      </c>
      <c r="M1850" s="16" t="s">
        <v>22</v>
      </c>
      <c r="N1850" s="16" t="s">
        <v>418</v>
      </c>
    </row>
    <row r="1851" spans="1:14" ht="41.25" customHeight="1">
      <c r="A1851" s="178" t="s">
        <v>120</v>
      </c>
      <c r="B1851" s="75" t="str">
        <f ca="1">+UPPER(Tabla1321124[[#This Row],[DESCRIPCIÓN DE LA COMPRA O CONTRATACIÓN]])</f>
        <v>TONER HP LASER JET Q7553A</v>
      </c>
      <c r="C1851" s="39" t="s">
        <v>417</v>
      </c>
      <c r="D1851" s="236">
        <f>12+5</f>
        <v>17</v>
      </c>
      <c r="E1851" s="210">
        <f>12+5</f>
        <v>17</v>
      </c>
      <c r="F1851" s="210">
        <f>12+5</f>
        <v>17</v>
      </c>
      <c r="G1851" s="210">
        <f>4+5</f>
        <v>9</v>
      </c>
      <c r="H1851" s="299">
        <f>SUM(Tabla1321124[[#This Row],[PRIMER TRIMESTRE]:[CUARTO TRIMESTRE]])</f>
        <v>60</v>
      </c>
      <c r="I1851" s="17">
        <v>4238.76</v>
      </c>
      <c r="J1851" s="17">
        <f t="shared" si="29"/>
        <v>254325.6</v>
      </c>
      <c r="K1851" s="17"/>
      <c r="L1851" s="16" t="s">
        <v>18</v>
      </c>
      <c r="M1851" s="16" t="s">
        <v>22</v>
      </c>
      <c r="N1851" s="16" t="s">
        <v>418</v>
      </c>
    </row>
    <row r="1852" spans="1:14" ht="41.25" customHeight="1">
      <c r="A1852" s="178" t="s">
        <v>120</v>
      </c>
      <c r="B1852" s="75" t="str">
        <f ca="1">+UPPER(Tabla1321124[[#This Row],[DESCRIPCIÓN DE LA COMPRA O CONTRATACIÓN]])</f>
        <v>TONER HP LASERJET MFP M725</v>
      </c>
      <c r="C1852" s="39" t="s">
        <v>417</v>
      </c>
      <c r="D1852" s="236">
        <v>6</v>
      </c>
      <c r="E1852" s="210">
        <v>3</v>
      </c>
      <c r="F1852" s="210">
        <v>3</v>
      </c>
      <c r="G1852" s="210">
        <v>3</v>
      </c>
      <c r="H1852" s="299">
        <f>SUM(Tabla1321124[[#This Row],[PRIMER TRIMESTRE]:[CUARTO TRIMESTRE]])</f>
        <v>15</v>
      </c>
      <c r="I1852" s="17">
        <v>13500</v>
      </c>
      <c r="J1852" s="17">
        <f t="shared" si="29"/>
        <v>202500</v>
      </c>
      <c r="K1852" s="345"/>
      <c r="L1852" s="16" t="s">
        <v>18</v>
      </c>
      <c r="M1852" s="16" t="s">
        <v>22</v>
      </c>
      <c r="N1852" s="16" t="s">
        <v>418</v>
      </c>
    </row>
    <row r="1853" spans="1:14" ht="41.25" customHeight="1">
      <c r="A1853" s="178" t="s">
        <v>120</v>
      </c>
      <c r="B1853" s="75" t="str">
        <f ca="1">+UPPER(Tabla1321124[[#This Row],[DESCRIPCIÓN DE LA COMPRA O CONTRATACIÓN]])</f>
        <v>TONER HP LASER JET CB435A</v>
      </c>
      <c r="C1853" s="39" t="s">
        <v>417</v>
      </c>
      <c r="D1853" s="236">
        <v>5</v>
      </c>
      <c r="E1853" s="210">
        <v>5</v>
      </c>
      <c r="F1853" s="210">
        <v>5</v>
      </c>
      <c r="G1853" s="210">
        <v>5</v>
      </c>
      <c r="H1853" s="299">
        <f>SUM(Tabla1321124[[#This Row],[PRIMER TRIMESTRE]:[CUARTO TRIMESTRE]])</f>
        <v>20</v>
      </c>
      <c r="I1853" s="17">
        <v>3199.82</v>
      </c>
      <c r="J1853" s="17">
        <f t="shared" si="29"/>
        <v>63996.4</v>
      </c>
      <c r="K1853" s="17"/>
      <c r="L1853" s="16" t="s">
        <v>18</v>
      </c>
      <c r="M1853" s="16" t="s">
        <v>22</v>
      </c>
      <c r="N1853" s="16" t="s">
        <v>418</v>
      </c>
    </row>
    <row r="1854" spans="1:14" ht="41.25" customHeight="1">
      <c r="A1854" s="178" t="s">
        <v>120</v>
      </c>
      <c r="B1854" s="75" t="str">
        <f ca="1">+UPPER(Tabla1321124[[#This Row],[DESCRIPCIÓN DE LA COMPRA O CONTRATACIÓN]])</f>
        <v>TONER HP LASER JET CB436A</v>
      </c>
      <c r="C1854" s="39" t="s">
        <v>417</v>
      </c>
      <c r="D1854" s="236"/>
      <c r="E1854" s="210"/>
      <c r="F1854" s="210"/>
      <c r="G1854" s="210"/>
      <c r="H1854" s="299">
        <f>SUM(Tabla1321124[[#This Row],[PRIMER TRIMESTRE]:[CUARTO TRIMESTRE]])</f>
        <v>0</v>
      </c>
      <c r="I1854" s="17">
        <v>3679.8</v>
      </c>
      <c r="J1854" s="17">
        <f t="shared" si="29"/>
        <v>0</v>
      </c>
      <c r="K1854" s="17"/>
      <c r="L1854" s="16" t="s">
        <v>18</v>
      </c>
      <c r="M1854" s="16" t="s">
        <v>22</v>
      </c>
      <c r="N1854" s="16" t="s">
        <v>418</v>
      </c>
    </row>
    <row r="1855" spans="1:14" ht="41.25" customHeight="1">
      <c r="A1855" s="178" t="s">
        <v>120</v>
      </c>
      <c r="B1855" s="75" t="str">
        <f ca="1">+UPPER(Tabla1321124[[#This Row],[DESCRIPCIÓN DE LA COMPRA O CONTRATACIÓN]])</f>
        <v>TONER HP LASER JET 12A</v>
      </c>
      <c r="C1855" s="39" t="s">
        <v>417</v>
      </c>
      <c r="D1855" s="236"/>
      <c r="E1855" s="210"/>
      <c r="F1855" s="210"/>
      <c r="G1855" s="210"/>
      <c r="H1855" s="299">
        <f>SUM(Tabla1321124[[#This Row],[PRIMER TRIMESTRE]:[CUARTO TRIMESTRE]])</f>
        <v>0</v>
      </c>
      <c r="I1855" s="17">
        <v>3304</v>
      </c>
      <c r="J1855" s="17">
        <f t="shared" si="29"/>
        <v>0</v>
      </c>
      <c r="K1855" s="17"/>
      <c r="L1855" s="16" t="s">
        <v>18</v>
      </c>
      <c r="M1855" s="16" t="s">
        <v>22</v>
      </c>
      <c r="N1855" s="16" t="s">
        <v>418</v>
      </c>
    </row>
    <row r="1856" spans="1:14" ht="41.25" customHeight="1">
      <c r="A1856" s="178" t="s">
        <v>120</v>
      </c>
      <c r="B1856" s="75" t="str">
        <f ca="1">+UPPER(Tabla1321124[[#This Row],[DESCRIPCIÓN DE LA COMPRA O CONTRATACIÓN]])</f>
        <v>TONER WORDCENTRE XEROX</v>
      </c>
      <c r="C1856" s="39" t="s">
        <v>417</v>
      </c>
      <c r="D1856" s="236"/>
      <c r="E1856" s="210"/>
      <c r="F1856" s="210"/>
      <c r="G1856" s="210"/>
      <c r="H1856" s="299">
        <f>SUM(Tabla1321124[[#This Row],[PRIMER TRIMESTRE]:[CUARTO TRIMESTRE]])</f>
        <v>0</v>
      </c>
      <c r="I1856" s="17">
        <v>5700</v>
      </c>
      <c r="J1856" s="17">
        <f t="shared" si="29"/>
        <v>0</v>
      </c>
      <c r="K1856" s="17"/>
      <c r="L1856" s="16" t="s">
        <v>18</v>
      </c>
      <c r="M1856" s="16" t="s">
        <v>22</v>
      </c>
      <c r="N1856" s="16" t="s">
        <v>418</v>
      </c>
    </row>
    <row r="1857" spans="1:14" ht="41.25" customHeight="1">
      <c r="A1857" s="178" t="s">
        <v>120</v>
      </c>
      <c r="B1857" s="75" t="str">
        <f ca="1">+UPPER(Tabla1321124[[#This Row],[DESCRIPCIÓN DE LA COMPRA O CONTRATACIÓN]])</f>
        <v>TONER XEROX</v>
      </c>
      <c r="C1857" s="39" t="s">
        <v>417</v>
      </c>
      <c r="D1857" s="236"/>
      <c r="E1857" s="210"/>
      <c r="F1857" s="210"/>
      <c r="G1857" s="210"/>
      <c r="H1857" s="299">
        <f>SUM(Tabla1321124[[#This Row],[PRIMER TRIMESTRE]:[CUARTO TRIMESTRE]])</f>
        <v>0</v>
      </c>
      <c r="I1857" s="17">
        <v>8500</v>
      </c>
      <c r="J1857" s="17">
        <f t="shared" si="29"/>
        <v>0</v>
      </c>
      <c r="K1857" s="17"/>
      <c r="L1857" s="16" t="s">
        <v>18</v>
      </c>
      <c r="M1857" s="16" t="s">
        <v>22</v>
      </c>
      <c r="N1857" s="16" t="s">
        <v>418</v>
      </c>
    </row>
    <row r="1858" spans="1:14" ht="41.25" customHeight="1">
      <c r="A1858" s="178" t="s">
        <v>120</v>
      </c>
      <c r="B1858" s="75" t="str">
        <f ca="1">+UPPER(Tabla1321124[[#This Row],[DESCRIPCIÓN DE LA COMPRA O CONTRATACIÓN]])</f>
        <v>TONER CANON CE505X/CRG-119II/319II/719H-EP719H</v>
      </c>
      <c r="C1858" s="39" t="s">
        <v>417</v>
      </c>
      <c r="D1858" s="370">
        <v>8</v>
      </c>
      <c r="E1858" s="370">
        <v>8</v>
      </c>
      <c r="F1858" s="370">
        <v>8</v>
      </c>
      <c r="G1858" s="370">
        <v>8</v>
      </c>
      <c r="H1858" s="299">
        <f>SUM(Tabla1321124[[#This Row],[PRIMER TRIMESTRE]:[CUARTO TRIMESTRE]])</f>
        <v>32</v>
      </c>
      <c r="I1858" s="17">
        <v>3500</v>
      </c>
      <c r="J1858" s="17">
        <f t="shared" si="29"/>
        <v>112000</v>
      </c>
      <c r="K1858" s="175"/>
      <c r="L1858" s="16" t="s">
        <v>18</v>
      </c>
      <c r="M1858" s="16" t="s">
        <v>22</v>
      </c>
      <c r="N1858" s="16" t="s">
        <v>418</v>
      </c>
    </row>
    <row r="1859" spans="1:14" ht="41.25" customHeight="1">
      <c r="A1859" s="178" t="s">
        <v>120</v>
      </c>
      <c r="B1859" s="75" t="str">
        <f ca="1">+UPPER(Tabla1321124[[#This Row],[DESCRIPCIÓN DE LA COMPRA O CONTRATACIÓN]])</f>
        <v>TINTA EPSON CIAN 6642</v>
      </c>
      <c r="C1859" s="39" t="s">
        <v>417</v>
      </c>
      <c r="D1859" s="210">
        <v>6</v>
      </c>
      <c r="E1859" s="210">
        <v>6</v>
      </c>
      <c r="F1859" s="210">
        <v>6</v>
      </c>
      <c r="G1859" s="210">
        <v>6</v>
      </c>
      <c r="H1859" s="299">
        <f>SUM(Tabla1321124[[#This Row],[PRIMER TRIMESTRE]:[CUARTO TRIMESTRE]])</f>
        <v>24</v>
      </c>
      <c r="I1859" s="17">
        <v>2200</v>
      </c>
      <c r="J1859" s="17">
        <f t="shared" si="29"/>
        <v>52800</v>
      </c>
      <c r="K1859" s="340"/>
      <c r="L1859" s="16" t="s">
        <v>18</v>
      </c>
      <c r="M1859" s="16" t="s">
        <v>22</v>
      </c>
      <c r="N1859" s="16" t="s">
        <v>418</v>
      </c>
    </row>
    <row r="1860" spans="1:14" ht="41.25" customHeight="1">
      <c r="A1860" s="178" t="s">
        <v>120</v>
      </c>
      <c r="B1860" s="75" t="str">
        <f ca="1">+UPPER(Tabla1321124[[#This Row],[DESCRIPCIÓN DE LA COMPRA O CONTRATACIÓN]])</f>
        <v>TINTA EPSON MAGENTA 6643</v>
      </c>
      <c r="C1860" s="39" t="s">
        <v>417</v>
      </c>
      <c r="D1860" s="210">
        <v>6</v>
      </c>
      <c r="E1860" s="210">
        <v>6</v>
      </c>
      <c r="F1860" s="210">
        <v>6</v>
      </c>
      <c r="G1860" s="210">
        <v>6</v>
      </c>
      <c r="H1860" s="299">
        <f>SUM(Tabla1321124[[#This Row],[PRIMER TRIMESTRE]:[CUARTO TRIMESTRE]])</f>
        <v>24</v>
      </c>
      <c r="I1860" s="17">
        <v>2200</v>
      </c>
      <c r="J1860" s="17">
        <f t="shared" si="29"/>
        <v>52800</v>
      </c>
      <c r="K1860" s="340"/>
      <c r="L1860" s="16" t="s">
        <v>18</v>
      </c>
      <c r="M1860" s="16" t="s">
        <v>22</v>
      </c>
      <c r="N1860" s="16" t="s">
        <v>418</v>
      </c>
    </row>
    <row r="1861" spans="1:14" ht="41.25" customHeight="1">
      <c r="A1861" s="178" t="s">
        <v>120</v>
      </c>
      <c r="B1861" s="75" t="str">
        <f ca="1">+UPPER(Tabla1321124[[#This Row],[DESCRIPCIÓN DE LA COMPRA O CONTRATACIÓN]])</f>
        <v>TINTA EPSON YELLOW 6644</v>
      </c>
      <c r="C1861" s="39" t="s">
        <v>417</v>
      </c>
      <c r="D1861" s="210">
        <v>6</v>
      </c>
      <c r="E1861" s="210">
        <v>6</v>
      </c>
      <c r="F1861" s="210">
        <v>6</v>
      </c>
      <c r="G1861" s="210">
        <v>6</v>
      </c>
      <c r="H1861" s="299">
        <f>SUM(Tabla1321124[[#This Row],[PRIMER TRIMESTRE]:[CUARTO TRIMESTRE]])</f>
        <v>24</v>
      </c>
      <c r="I1861" s="17">
        <v>2200</v>
      </c>
      <c r="J1861" s="17">
        <f t="shared" si="29"/>
        <v>52800</v>
      </c>
      <c r="K1861" s="340"/>
      <c r="L1861" s="16" t="s">
        <v>18</v>
      </c>
      <c r="M1861" s="16" t="s">
        <v>22</v>
      </c>
      <c r="N1861" s="16" t="s">
        <v>418</v>
      </c>
    </row>
    <row r="1862" spans="1:14" ht="41.25" customHeight="1">
      <c r="A1862" s="178" t="s">
        <v>120</v>
      </c>
      <c r="B1862" s="75" t="str">
        <f ca="1">+UPPER(Tabla1321124[[#This Row],[DESCRIPCIÓN DE LA COMPRA O CONTRATACIÓN]])</f>
        <v>TINTA EPSON BLACK 6641</v>
      </c>
      <c r="C1862" s="39" t="s">
        <v>417</v>
      </c>
      <c r="D1862" s="210">
        <v>6</v>
      </c>
      <c r="E1862" s="210">
        <v>6</v>
      </c>
      <c r="F1862" s="210">
        <v>6</v>
      </c>
      <c r="G1862" s="210">
        <v>6</v>
      </c>
      <c r="H1862" s="299">
        <f>SUM(Tabla1321124[[#This Row],[PRIMER TRIMESTRE]:[CUARTO TRIMESTRE]])</f>
        <v>24</v>
      </c>
      <c r="I1862" s="17">
        <v>2200</v>
      </c>
      <c r="J1862" s="17">
        <f t="shared" ref="J1862:J1868" si="30">+H1862*I1862</f>
        <v>52800</v>
      </c>
      <c r="K1862" s="340"/>
      <c r="L1862" s="16" t="s">
        <v>18</v>
      </c>
      <c r="M1862" s="16" t="s">
        <v>22</v>
      </c>
      <c r="N1862" s="16" t="s">
        <v>418</v>
      </c>
    </row>
    <row r="1863" spans="1:14" ht="41.25" customHeight="1">
      <c r="A1863" s="178" t="s">
        <v>120</v>
      </c>
      <c r="B1863" s="75" t="str">
        <f ca="1">+UPPER(Tabla1321124[[#This Row],[DESCRIPCIÓN DE LA COMPRA O CONTRATACIÓN]])</f>
        <v>LASER &amp; LINK JET LABELS 1 1/2  X  4  (CAJAS DE 1400)</v>
      </c>
      <c r="C1863" s="39" t="s">
        <v>208</v>
      </c>
      <c r="D1863" s="236">
        <v>3</v>
      </c>
      <c r="E1863" s="210"/>
      <c r="F1863" s="210">
        <v>2</v>
      </c>
      <c r="G1863" s="210"/>
      <c r="H1863" s="299">
        <f>SUM(Tabla1321124[[#This Row],[PRIMER TRIMESTRE]:[CUARTO TRIMESTRE]])</f>
        <v>5</v>
      </c>
      <c r="I1863" s="17">
        <v>5000</v>
      </c>
      <c r="J1863" s="17">
        <f t="shared" si="30"/>
        <v>25000</v>
      </c>
      <c r="K1863" s="345"/>
      <c r="L1863" s="16" t="s">
        <v>18</v>
      </c>
      <c r="M1863" s="16" t="s">
        <v>22</v>
      </c>
      <c r="N1863" s="16" t="s">
        <v>418</v>
      </c>
    </row>
    <row r="1864" spans="1:14" ht="41.25" customHeight="1">
      <c r="A1864" s="178" t="s">
        <v>120</v>
      </c>
      <c r="B1864" s="75" t="str">
        <f ca="1">+UPPER(Tabla1321124[[#This Row],[DESCRIPCIÓN DE LA COMPRA O CONTRATACIÓN]])</f>
        <v>LABEL PARA ROTULACION DE CD Y DVD  LB 2034 (PAQUETES DE 200)</v>
      </c>
      <c r="C1864" s="39" t="s">
        <v>1772</v>
      </c>
      <c r="D1864" s="236">
        <v>15</v>
      </c>
      <c r="E1864" s="210"/>
      <c r="F1864" s="210">
        <v>15</v>
      </c>
      <c r="G1864" s="210"/>
      <c r="H1864" s="299">
        <f>SUM(Tabla1321124[[#This Row],[PRIMER TRIMESTRE]:[CUARTO TRIMESTRE]])</f>
        <v>30</v>
      </c>
      <c r="I1864" s="17">
        <v>5500</v>
      </c>
      <c r="J1864" s="17">
        <f t="shared" si="30"/>
        <v>165000</v>
      </c>
      <c r="K1864" s="345"/>
      <c r="L1864" s="16" t="s">
        <v>18</v>
      </c>
      <c r="M1864" s="16" t="s">
        <v>22</v>
      </c>
      <c r="N1864" s="16" t="s">
        <v>418</v>
      </c>
    </row>
    <row r="1865" spans="1:14" ht="41.25" customHeight="1">
      <c r="A1865" s="178" t="s">
        <v>120</v>
      </c>
      <c r="B1865" s="75" t="str">
        <f ca="1">+UPPER(Tabla1321124[[#This Row],[DESCRIPCIÓN DE LA COMPRA O CONTRATACIÓN]])</f>
        <v>TONER XEROX 4150</v>
      </c>
      <c r="C1865" s="39" t="s">
        <v>417</v>
      </c>
      <c r="D1865" s="210">
        <v>3</v>
      </c>
      <c r="E1865" s="210"/>
      <c r="F1865" s="210">
        <v>3</v>
      </c>
      <c r="G1865" s="210"/>
      <c r="H1865" s="299">
        <f>SUM(Tabla1321124[[#This Row],[PRIMER TRIMESTRE]:[CUARTO TRIMESTRE]])</f>
        <v>6</v>
      </c>
      <c r="I1865" s="17">
        <v>8500</v>
      </c>
      <c r="J1865" s="17">
        <f t="shared" si="30"/>
        <v>51000</v>
      </c>
      <c r="K1865" s="17"/>
      <c r="L1865" s="16" t="s">
        <v>18</v>
      </c>
      <c r="M1865" s="16" t="s">
        <v>22</v>
      </c>
      <c r="N1865" s="16" t="s">
        <v>418</v>
      </c>
    </row>
    <row r="1866" spans="1:14" ht="41.25" customHeight="1">
      <c r="A1866" s="178" t="s">
        <v>120</v>
      </c>
      <c r="B1866" s="75" t="str">
        <f ca="1">+UPPER(Tabla1321124[[#This Row],[DESCRIPCIÓN DE LA COMPRA O CONTRATACIÓN]])</f>
        <v>TONER XEROX D110</v>
      </c>
      <c r="C1866" s="39" t="s">
        <v>417</v>
      </c>
      <c r="D1866" s="210">
        <v>9</v>
      </c>
      <c r="E1866" s="210">
        <v>9</v>
      </c>
      <c r="F1866" s="210">
        <v>9</v>
      </c>
      <c r="G1866" s="210">
        <v>9</v>
      </c>
      <c r="H1866" s="299">
        <f>SUM(Tabla1321124[[#This Row],[PRIMER TRIMESTRE]:[CUARTO TRIMESTRE]])</f>
        <v>36</v>
      </c>
      <c r="I1866" s="17">
        <v>19000</v>
      </c>
      <c r="J1866" s="17">
        <f t="shared" si="30"/>
        <v>684000</v>
      </c>
      <c r="K1866" s="340"/>
      <c r="L1866" s="16" t="s">
        <v>18</v>
      </c>
      <c r="M1866" s="16" t="s">
        <v>22</v>
      </c>
      <c r="N1866" s="16" t="s">
        <v>418</v>
      </c>
    </row>
    <row r="1867" spans="1:14" ht="41.25" customHeight="1">
      <c r="A1867" s="178" t="s">
        <v>120</v>
      </c>
      <c r="B1867" s="75" t="str">
        <f ca="1">+UPPER(Tabla1321124[[#This Row],[DESCRIPCIÓN DE LA COMPRA O CONTRATACIÓN]])</f>
        <v>TONER XEROX WORKCENTRE 3225</v>
      </c>
      <c r="C1867" s="39" t="s">
        <v>417</v>
      </c>
      <c r="D1867" s="210">
        <v>80</v>
      </c>
      <c r="E1867" s="210">
        <v>80</v>
      </c>
      <c r="F1867" s="210">
        <v>80</v>
      </c>
      <c r="G1867" s="210">
        <v>80</v>
      </c>
      <c r="H1867" s="299">
        <f>SUM(Tabla1321124[[#This Row],[PRIMER TRIMESTRE]:[CUARTO TRIMESTRE]])</f>
        <v>320</v>
      </c>
      <c r="I1867" s="17">
        <v>3304</v>
      </c>
      <c r="J1867" s="17">
        <f t="shared" si="30"/>
        <v>1057280</v>
      </c>
      <c r="K1867" s="340"/>
      <c r="L1867" s="16" t="s">
        <v>18</v>
      </c>
      <c r="M1867" s="16" t="s">
        <v>22</v>
      </c>
      <c r="N1867" s="16" t="s">
        <v>418</v>
      </c>
    </row>
    <row r="1868" spans="1:14" ht="41.25" customHeight="1">
      <c r="A1868" s="178" t="s">
        <v>120</v>
      </c>
      <c r="B1868" s="75" t="str">
        <f ca="1">+UPPER(Tabla1321124[[#This Row],[DESCRIPCIÓN DE LA COMPRA O CONTRATACIÓN]])</f>
        <v>CILINDRO DE TONER XEROX</v>
      </c>
      <c r="C1868" s="39" t="s">
        <v>417</v>
      </c>
      <c r="D1868" s="236"/>
      <c r="E1868" s="210"/>
      <c r="F1868" s="210"/>
      <c r="G1868" s="210"/>
      <c r="H1868" s="299">
        <f>SUM(Tabla1321124[[#This Row],[PRIMER TRIMESTRE]:[CUARTO TRIMESTRE]])</f>
        <v>0</v>
      </c>
      <c r="I1868" s="17">
        <v>3500</v>
      </c>
      <c r="J1868" s="17">
        <f t="shared" si="30"/>
        <v>0</v>
      </c>
      <c r="K1868" s="387">
        <f>SUM(J1669:J1868)</f>
        <v>24527742.123381291</v>
      </c>
      <c r="L1868" s="16" t="s">
        <v>18</v>
      </c>
      <c r="M1868" s="16" t="s">
        <v>22</v>
      </c>
      <c r="N1868" s="16" t="s">
        <v>418</v>
      </c>
    </row>
    <row r="1869" spans="1:14" ht="41.25" customHeight="1">
      <c r="A1869" s="538" t="s">
        <v>120</v>
      </c>
      <c r="B1869" s="76" t="str">
        <f ca="1">+UPPER(Tabla1321124[[#This Row],[DESCRIPCIÓN DE LA COMPRA O CONTRATACIÓN]])</f>
        <v/>
      </c>
      <c r="C1869" s="237"/>
      <c r="D1869" s="237"/>
      <c r="E1869" s="237"/>
      <c r="F1869" s="237"/>
      <c r="G1869" s="237"/>
      <c r="H1869" s="237"/>
      <c r="I1869" s="237"/>
      <c r="J1869" s="383"/>
      <c r="K1869" s="25">
        <f>SUM(J1669:J1868)</f>
        <v>24527742.123381291</v>
      </c>
      <c r="L1869" s="383"/>
      <c r="M1869" s="383"/>
      <c r="N1869" s="383"/>
    </row>
    <row r="1870" spans="1:14" ht="41.25" customHeight="1">
      <c r="A1870" s="178" t="s">
        <v>121</v>
      </c>
      <c r="B1870" s="75" t="str">
        <f ca="1">+UPPER(Tabla1321124[[#This Row],[DESCRIPCIÓN DE LA COMPRA O CONTRATACIÓN]])</f>
        <v>CAMARA FOTOGRAFIA CON BATERIAS RECARGABLES 14.4 MPX</v>
      </c>
      <c r="C1870" s="39" t="s">
        <v>17</v>
      </c>
      <c r="D1870" s="236">
        <v>3</v>
      </c>
      <c r="E1870" s="210"/>
      <c r="F1870" s="210"/>
      <c r="G1870" s="210"/>
      <c r="H1870" s="240">
        <f>SUM(Tabla1321124[[#This Row],[PRIMER TRIMESTRE]:[CUARTO TRIMESTRE]])</f>
        <v>3</v>
      </c>
      <c r="I1870" s="17">
        <v>5684</v>
      </c>
      <c r="J1870" s="17">
        <f>+Tabla1321124[[#This Row],[CANTIDAD TOTAL]]*Tabla1321124[[#This Row],[PRECIO UNITARIO ESTIMADO]]</f>
        <v>17052</v>
      </c>
      <c r="K1870" s="17"/>
      <c r="L1870" s="16" t="s">
        <v>18</v>
      </c>
      <c r="M1870" s="16" t="s">
        <v>22</v>
      </c>
      <c r="N1870" s="16" t="s">
        <v>418</v>
      </c>
    </row>
    <row r="1871" spans="1:14" ht="41.25" customHeight="1">
      <c r="A1871" s="178" t="s">
        <v>121</v>
      </c>
      <c r="B1871" s="75" t="str">
        <f ca="1">+UPPER(Tabla1321124[[#This Row],[DESCRIPCIÓN DE LA COMPRA O CONTRATACIÓN]])</f>
        <v>MEMORIA  SD KINGTON 16 GBCLASS 4</v>
      </c>
      <c r="C1871" s="39" t="s">
        <v>17</v>
      </c>
      <c r="D1871" s="236">
        <f>7+4</f>
        <v>11</v>
      </c>
      <c r="E1871" s="210"/>
      <c r="F1871" s="210">
        <f>7+4</f>
        <v>11</v>
      </c>
      <c r="G1871" s="210"/>
      <c r="H1871" s="240">
        <f>Tabla1321124[[#This Row],[CUARTO TRIMESTRE]]+Tabla1321124[[#This Row],[TERCER TRIMESTRE]]+Tabla1321124[[#This Row],[SEGUNDO TRIMESTRE]]+Tabla1321124[[#This Row],[PRIMER TRIMESTRE]]</f>
        <v>22</v>
      </c>
      <c r="I1871" s="17">
        <v>2500</v>
      </c>
      <c r="J1871" s="17">
        <f>+Tabla1321124[[#This Row],[CANTIDAD TOTAL]]*Tabla1321124[[#This Row],[PRECIO UNITARIO ESTIMADO]]</f>
        <v>55000</v>
      </c>
      <c r="K1871" s="17"/>
      <c r="L1871" s="16" t="s">
        <v>18</v>
      </c>
      <c r="M1871" s="16" t="s">
        <v>22</v>
      </c>
      <c r="N1871" s="16" t="s">
        <v>418</v>
      </c>
    </row>
    <row r="1872" spans="1:14" ht="41.25" customHeight="1">
      <c r="A1872" s="178" t="s">
        <v>121</v>
      </c>
      <c r="B1872" s="75" t="str">
        <f ca="1">+UPPER(Tabla1321124[[#This Row],[DESCRIPCIÓN DE LA COMPRA O CONTRATACIÓN]])</f>
        <v>CAMARAS DE VIDEO</v>
      </c>
      <c r="C1872" s="39" t="s">
        <v>1773</v>
      </c>
      <c r="D1872" s="236"/>
      <c r="E1872" s="210"/>
      <c r="F1872" s="210">
        <v>1</v>
      </c>
      <c r="G1872" s="210"/>
      <c r="H1872" s="249">
        <v>1</v>
      </c>
      <c r="I1872" s="17">
        <v>70000</v>
      </c>
      <c r="J1872" s="17">
        <f>+Tabla1321124[[#This Row],[CANTIDAD TOTAL]]*Tabla1321124[[#This Row],[PRECIO UNITARIO ESTIMADO]]</f>
        <v>70000</v>
      </c>
      <c r="K1872" s="345"/>
      <c r="L1872" s="16" t="s">
        <v>18</v>
      </c>
      <c r="M1872" s="16" t="s">
        <v>22</v>
      </c>
      <c r="N1872" s="16" t="s">
        <v>418</v>
      </c>
    </row>
    <row r="1873" spans="1:14" ht="41.25" customHeight="1">
      <c r="A1873" s="178" t="s">
        <v>121</v>
      </c>
      <c r="B1873" s="75" t="str">
        <f ca="1">+UPPER(Tabla1321124[[#This Row],[DESCRIPCIÓN DE LA COMPRA O CONTRATACIÓN]])</f>
        <v>CAMARAS FOTOGRAFICAS</v>
      </c>
      <c r="C1873" s="39" t="s">
        <v>1773</v>
      </c>
      <c r="D1873" s="236"/>
      <c r="E1873" s="210"/>
      <c r="F1873" s="210">
        <v>1</v>
      </c>
      <c r="G1873" s="210"/>
      <c r="H1873" s="249">
        <v>1</v>
      </c>
      <c r="I1873" s="17">
        <v>30000</v>
      </c>
      <c r="J1873" s="17">
        <f>+Tabla1321124[[#This Row],[CANTIDAD TOTAL]]*Tabla1321124[[#This Row],[PRECIO UNITARIO ESTIMADO]]</f>
        <v>30000</v>
      </c>
      <c r="K1873" s="345"/>
      <c r="L1873" s="16" t="s">
        <v>18</v>
      </c>
      <c r="M1873" s="16" t="s">
        <v>22</v>
      </c>
      <c r="N1873" s="16" t="s">
        <v>418</v>
      </c>
    </row>
    <row r="1874" spans="1:14" ht="41.25" customHeight="1">
      <c r="A1874" s="178" t="s">
        <v>121</v>
      </c>
      <c r="B1874" s="75" t="str">
        <f ca="1">+UPPER(Tabla1321124[[#This Row],[DESCRIPCIÓN DE LA COMPRA O CONTRATACIÓN]])</f>
        <v>TRIPODE PARA CAMARA DE VIDEO</v>
      </c>
      <c r="C1874" s="39" t="s">
        <v>1773</v>
      </c>
      <c r="D1874" s="236"/>
      <c r="E1874" s="210"/>
      <c r="F1874" s="210">
        <v>1</v>
      </c>
      <c r="G1874" s="210"/>
      <c r="H1874" s="249">
        <v>1</v>
      </c>
      <c r="I1874" s="17">
        <v>7000</v>
      </c>
      <c r="J1874" s="17">
        <f>+Tabla1321124[[#This Row],[CANTIDAD TOTAL]]*Tabla1321124[[#This Row],[PRECIO UNITARIO ESTIMADO]]</f>
        <v>7000</v>
      </c>
      <c r="K1874" s="345"/>
      <c r="L1874" s="16" t="s">
        <v>18</v>
      </c>
      <c r="M1874" s="16" t="s">
        <v>22</v>
      </c>
      <c r="N1874" s="16" t="s">
        <v>418</v>
      </c>
    </row>
    <row r="1875" spans="1:14" ht="41.25" customHeight="1">
      <c r="A1875" s="178" t="s">
        <v>121</v>
      </c>
      <c r="B1875" s="75" t="str">
        <f ca="1">+UPPER(Tabla1321124[[#This Row],[DESCRIPCIÓN DE LA COMPRA O CONTRATACIÓN]])</f>
        <v>LLUCES PARA CAMARA DE VIDEO</v>
      </c>
      <c r="C1875" s="39" t="s">
        <v>1773</v>
      </c>
      <c r="D1875" s="236"/>
      <c r="E1875" s="210"/>
      <c r="F1875" s="210">
        <v>2</v>
      </c>
      <c r="G1875" s="210"/>
      <c r="H1875" s="249">
        <v>2</v>
      </c>
      <c r="I1875" s="17">
        <v>7500</v>
      </c>
      <c r="J1875" s="17">
        <f>+Tabla1321124[[#This Row],[CANTIDAD TOTAL]]*Tabla1321124[[#This Row],[PRECIO UNITARIO ESTIMADO]]</f>
        <v>15000</v>
      </c>
      <c r="K1875" s="345"/>
      <c r="L1875" s="16" t="s">
        <v>18</v>
      </c>
      <c r="M1875" s="16" t="s">
        <v>22</v>
      </c>
      <c r="N1875" s="16" t="s">
        <v>418</v>
      </c>
    </row>
    <row r="1876" spans="1:14" ht="41.25" customHeight="1">
      <c r="A1876" s="178" t="s">
        <v>121</v>
      </c>
      <c r="B1876" s="75" t="str">
        <f ca="1">+UPPER(Tabla1321124[[#This Row],[DESCRIPCIÓN DE LA COMPRA O CONTRATACIÓN]])</f>
        <v>CABLES USB</v>
      </c>
      <c r="C1876" s="39" t="s">
        <v>1773</v>
      </c>
      <c r="D1876" s="210">
        <v>10</v>
      </c>
      <c r="E1876" s="210"/>
      <c r="F1876" s="210">
        <v>10</v>
      </c>
      <c r="G1876" s="210"/>
      <c r="H1876" s="249">
        <v>20</v>
      </c>
      <c r="I1876" s="17">
        <v>1200</v>
      </c>
      <c r="J1876" s="17">
        <f>+Tabla1321124[[#This Row],[CANTIDAD TOTAL]]*Tabla1321124[[#This Row],[PRECIO UNITARIO ESTIMADO]]</f>
        <v>24000</v>
      </c>
      <c r="K1876" s="345"/>
      <c r="L1876" s="16" t="s">
        <v>18</v>
      </c>
      <c r="M1876" s="16" t="s">
        <v>22</v>
      </c>
      <c r="N1876" s="16" t="s">
        <v>418</v>
      </c>
    </row>
    <row r="1877" spans="1:14" ht="41.25" customHeight="1">
      <c r="A1877" s="178" t="s">
        <v>121</v>
      </c>
      <c r="B1877" s="75" t="str">
        <f ca="1">+UPPER(Tabla1321124[[#This Row],[DESCRIPCIÓN DE LA COMPRA O CONTRATACIÓN]])</f>
        <v>CABLES USB PARA CAMARAS DIGITALES</v>
      </c>
      <c r="C1877" s="39" t="s">
        <v>1773</v>
      </c>
      <c r="D1877" s="236">
        <v>6</v>
      </c>
      <c r="E1877" s="210"/>
      <c r="F1877" s="210">
        <v>6</v>
      </c>
      <c r="G1877" s="210"/>
      <c r="H1877" s="249">
        <v>12</v>
      </c>
      <c r="I1877" s="17">
        <v>1200</v>
      </c>
      <c r="J1877" s="17">
        <f>+Tabla1321124[[#This Row],[CANTIDAD TOTAL]]*Tabla1321124[[#This Row],[PRECIO UNITARIO ESTIMADO]]</f>
        <v>14400</v>
      </c>
      <c r="K1877" s="345"/>
      <c r="L1877" s="16" t="s">
        <v>18</v>
      </c>
      <c r="M1877" s="16" t="s">
        <v>22</v>
      </c>
      <c r="N1877" s="16" t="s">
        <v>418</v>
      </c>
    </row>
    <row r="1878" spans="1:14" ht="57.75" customHeight="1">
      <c r="A1878" s="178" t="s">
        <v>121</v>
      </c>
      <c r="B1878" s="75" t="str">
        <f ca="1">+UPPER(Tabla1321124[[#This Row],[DESCRIPCIÓN DE LA COMPRA O CONTRATACIÓN]])</f>
        <v>CARGADORES DE BATERIAS AA  Y AAA</v>
      </c>
      <c r="C1878" s="39" t="s">
        <v>1773</v>
      </c>
      <c r="D1878" s="236"/>
      <c r="E1878" s="210">
        <v>2</v>
      </c>
      <c r="F1878" s="210"/>
      <c r="G1878" s="210"/>
      <c r="H1878" s="249">
        <v>2</v>
      </c>
      <c r="I1878" s="17">
        <v>1800</v>
      </c>
      <c r="J1878" s="17">
        <f>+Tabla1321124[[#This Row],[CANTIDAD TOTAL]]*Tabla1321124[[#This Row],[PRECIO UNITARIO ESTIMADO]]</f>
        <v>3600</v>
      </c>
      <c r="K1878" s="345"/>
      <c r="L1878" s="16" t="s">
        <v>18</v>
      </c>
      <c r="M1878" s="16" t="s">
        <v>22</v>
      </c>
      <c r="N1878" s="16" t="s">
        <v>418</v>
      </c>
    </row>
    <row r="1879" spans="1:14" ht="56.25" customHeight="1">
      <c r="A1879" s="178" t="s">
        <v>121</v>
      </c>
      <c r="B1879" s="75" t="str">
        <f ca="1">+UPPER(Tabla1321124[[#This Row],[DESCRIPCIÓN DE LA COMPRA O CONTRATACIÓN]])</f>
        <v>BATERIAS DE LARGA DURACION PARA CAMARAS FOTOGRAFICAS</v>
      </c>
      <c r="C1879" s="39" t="s">
        <v>1773</v>
      </c>
      <c r="D1879" s="236"/>
      <c r="E1879" s="210">
        <v>2</v>
      </c>
      <c r="F1879" s="210"/>
      <c r="G1879" s="210"/>
      <c r="H1879" s="249">
        <v>2</v>
      </c>
      <c r="I1879" s="17">
        <v>1550</v>
      </c>
      <c r="J1879" s="17">
        <f>+Tabla1321124[[#This Row],[CANTIDAD TOTAL]]*Tabla1321124[[#This Row],[PRECIO UNITARIO ESTIMADO]]</f>
        <v>3100</v>
      </c>
      <c r="K1879" s="345"/>
      <c r="L1879" s="16" t="s">
        <v>18</v>
      </c>
      <c r="M1879" s="16" t="s">
        <v>22</v>
      </c>
      <c r="N1879" s="16" t="s">
        <v>418</v>
      </c>
    </row>
    <row r="1880" spans="1:14" ht="53.25" customHeight="1">
      <c r="A1880" s="178" t="s">
        <v>121</v>
      </c>
      <c r="B1880" s="75" t="str">
        <f ca="1">+UPPER(Tabla1321124[[#This Row],[DESCRIPCIÓN DE LA COMPRA O CONTRATACIÓN]])</f>
        <v>SERVICIO DE USO DE EQUIPOS DE COMPAÑÍA PUBLICITARIA, CAMARA DE VIDEO, TRIPODE, GRABACION, EDICION, COLOCACION DE VOZ EN OFF, ENTRE OTROS</v>
      </c>
      <c r="C1880" s="39" t="s">
        <v>17</v>
      </c>
      <c r="D1880" s="236">
        <v>4</v>
      </c>
      <c r="E1880" s="210">
        <v>4</v>
      </c>
      <c r="F1880" s="210">
        <v>4</v>
      </c>
      <c r="G1880" s="210">
        <v>4</v>
      </c>
      <c r="H1880" s="249">
        <f>SUM(Tabla1321124[[#This Row],[PRIMER TRIMESTRE]:[CUARTO TRIMESTRE]])</f>
        <v>16</v>
      </c>
      <c r="I1880" s="17">
        <v>25000</v>
      </c>
      <c r="J1880" s="17">
        <f>+Tabla1321124[[#This Row],[CANTIDAD TOTAL]]*Tabla1321124[[#This Row],[PRECIO UNITARIO ESTIMADO]]</f>
        <v>400000</v>
      </c>
      <c r="K1880" s="17"/>
      <c r="L1880" s="16" t="s">
        <v>18</v>
      </c>
      <c r="M1880" s="16" t="s">
        <v>22</v>
      </c>
      <c r="N1880" s="16" t="s">
        <v>418</v>
      </c>
    </row>
    <row r="1881" spans="1:14" ht="41.25" customHeight="1">
      <c r="A1881" s="178" t="s">
        <v>121</v>
      </c>
      <c r="B1881" s="75" t="str">
        <f ca="1">+UPPER(Tabla1321124[[#This Row],[DESCRIPCIÓN DE LA COMPRA O CONTRATACIÓN]])</f>
        <v>CAMPAÑA PUBLICITARIA EN NOTICIERO Y PROGRAMAS</v>
      </c>
      <c r="C1881" s="39" t="s">
        <v>17</v>
      </c>
      <c r="D1881" s="236">
        <v>1</v>
      </c>
      <c r="E1881" s="210"/>
      <c r="F1881" s="210"/>
      <c r="G1881" s="210"/>
      <c r="H1881" s="249">
        <f>SUM(Tabla1321124[[#This Row],[PRIMER TRIMESTRE]:[CUARTO TRIMESTRE]])</f>
        <v>1</v>
      </c>
      <c r="I1881" s="17">
        <f>16685940/4</f>
        <v>4171485</v>
      </c>
      <c r="J1881" s="17">
        <f>+Tabla1321124[[#This Row],[CANTIDAD TOTAL]]*Tabla1321124[[#This Row],[PRECIO UNITARIO ESTIMADO]]</f>
        <v>4171485</v>
      </c>
      <c r="K1881" s="17"/>
      <c r="L1881" s="16" t="s">
        <v>18</v>
      </c>
      <c r="M1881" s="16" t="s">
        <v>22</v>
      </c>
      <c r="N1881" s="16" t="s">
        <v>418</v>
      </c>
    </row>
    <row r="1882" spans="1:14" ht="41.25" customHeight="1">
      <c r="A1882" s="178" t="s">
        <v>121</v>
      </c>
      <c r="B1882" s="75" t="str">
        <f ca="1">+UPPER(Tabla1321124[[#This Row],[DESCRIPCIÓN DE LA COMPRA O CONTRATACIÓN]])</f>
        <v>GRABADORA</v>
      </c>
      <c r="C1882" s="39" t="s">
        <v>17</v>
      </c>
      <c r="D1882" s="236">
        <v>7</v>
      </c>
      <c r="E1882" s="210"/>
      <c r="F1882" s="210"/>
      <c r="G1882" s="210"/>
      <c r="H1882" s="249">
        <f>Tabla1321124[[#This Row],[CUARTO TRIMESTRE]]+Tabla1321124[[#This Row],[TERCER TRIMESTRE]]+Tabla1321124[[#This Row],[SEGUNDO TRIMESTRE]]+Tabla1321124[[#This Row],[PRIMER TRIMESTRE]]</f>
        <v>7</v>
      </c>
      <c r="I1882" s="17">
        <v>2250</v>
      </c>
      <c r="J1882" s="17">
        <f>+Tabla1321124[[#This Row],[CANTIDAD TOTAL]]*Tabla1321124[[#This Row],[PRECIO UNITARIO ESTIMADO]]</f>
        <v>15750</v>
      </c>
      <c r="K1882" s="17"/>
      <c r="L1882" s="16" t="s">
        <v>18</v>
      </c>
      <c r="M1882" s="16" t="s">
        <v>22</v>
      </c>
      <c r="N1882" s="16" t="s">
        <v>418</v>
      </c>
    </row>
    <row r="1883" spans="1:14" ht="41.25" customHeight="1">
      <c r="A1883" s="178" t="s">
        <v>121</v>
      </c>
      <c r="B1883" s="75" t="str">
        <f ca="1">+UPPER(Tabla1321124[[#This Row],[DESCRIPCIÓN DE LA COMPRA O CONTRATACIÓN]])</f>
        <v>ALQUILER DE MOTORES PROPIEDAD DE MENSAJEROS EXTERNOS.</v>
      </c>
      <c r="C1883" s="39" t="s">
        <v>17</v>
      </c>
      <c r="D1883" s="236"/>
      <c r="E1883" s="210"/>
      <c r="F1883" s="210"/>
      <c r="G1883" s="210"/>
      <c r="H1883" s="249">
        <f>SUM(Tabla1321124[[#This Row],[PRIMER TRIMESTRE]:[CUARTO TRIMESTRE]])</f>
        <v>0</v>
      </c>
      <c r="I1883" s="17">
        <v>3500</v>
      </c>
      <c r="J1883" s="17">
        <f>+Tabla1321124[[#This Row],[CANTIDAD TOTAL]]*Tabla1321124[[#This Row],[PRECIO UNITARIO ESTIMADO]]</f>
        <v>0</v>
      </c>
      <c r="K1883" s="386">
        <f>SUM(J1870:J1883)</f>
        <v>4826387</v>
      </c>
      <c r="L1883" s="16" t="s">
        <v>18</v>
      </c>
      <c r="M1883" s="16" t="s">
        <v>22</v>
      </c>
      <c r="N1883" s="16" t="s">
        <v>418</v>
      </c>
    </row>
    <row r="1884" spans="1:14" ht="41.25" customHeight="1">
      <c r="A1884" s="538" t="s">
        <v>121</v>
      </c>
      <c r="B1884" s="76" t="str">
        <f ca="1">+UPPER(Tabla1321124[[#This Row],[DESCRIPCIÓN DE LA COMPRA O CONTRATACIÓN]])</f>
        <v/>
      </c>
      <c r="C1884" s="237"/>
      <c r="D1884" s="237"/>
      <c r="E1884" s="237"/>
      <c r="F1884" s="237"/>
      <c r="G1884" s="237"/>
      <c r="H1884" s="238"/>
      <c r="I1884" s="238"/>
      <c r="J1884" s="383"/>
      <c r="K1884" s="25">
        <f>SUM(J1870:J1883)</f>
        <v>4826387</v>
      </c>
      <c r="L1884" s="383"/>
      <c r="M1884" s="383"/>
      <c r="N1884" s="383"/>
    </row>
    <row r="1885" spans="1:14" ht="41.25" customHeight="1">
      <c r="A1885" s="178" t="s">
        <v>122</v>
      </c>
      <c r="B1885" s="75" t="str">
        <f ca="1">+UPPER(Tabla1321124[[#This Row],[DESCRIPCIÓN DE LA COMPRA O CONTRATACIÓN]])</f>
        <v>CASCOS PROTECTOR</v>
      </c>
      <c r="C1885" s="39" t="s">
        <v>17</v>
      </c>
      <c r="D1885" s="210">
        <v>150</v>
      </c>
      <c r="E1885" s="210">
        <v>150</v>
      </c>
      <c r="F1885" s="210">
        <v>150</v>
      </c>
      <c r="G1885" s="210">
        <v>150</v>
      </c>
      <c r="H1885" s="249">
        <f>SUM(Tabla1321124[[#This Row],[PRIMER TRIMESTRE]:[CUARTO TRIMESTRE]])</f>
        <v>600</v>
      </c>
      <c r="I1885" s="17">
        <v>133.47</v>
      </c>
      <c r="J1885" s="17">
        <f>+Tabla1321124[[#This Row],[CANTIDAD TOTAL]]*Tabla1321124[[#This Row],[PRECIO UNITARIO ESTIMADO]]</f>
        <v>80082</v>
      </c>
      <c r="K1885" s="17"/>
      <c r="L1885" s="16" t="s">
        <v>27</v>
      </c>
      <c r="M1885" s="16" t="s">
        <v>22</v>
      </c>
      <c r="N1885" s="16" t="s">
        <v>418</v>
      </c>
    </row>
    <row r="1886" spans="1:14" ht="41.25" customHeight="1">
      <c r="A1886" s="178" t="s">
        <v>122</v>
      </c>
      <c r="B1886" s="75" t="str">
        <f ca="1">+UPPER(Tabla1321124[[#This Row],[DESCRIPCIÓN DE LA COMPRA O CONTRATACIÓN]])</f>
        <v>CHALECOS LUMINICOS PARA PROTECCION</v>
      </c>
      <c r="C1886" s="39" t="s">
        <v>17</v>
      </c>
      <c r="D1886" s="210">
        <v>175</v>
      </c>
      <c r="E1886" s="210">
        <v>175</v>
      </c>
      <c r="F1886" s="210">
        <v>175</v>
      </c>
      <c r="G1886" s="210">
        <v>175</v>
      </c>
      <c r="H1886" s="249">
        <f>SUM(Tabla1321124[[#This Row],[PRIMER TRIMESTRE]:[CUARTO TRIMESTRE]])</f>
        <v>700</v>
      </c>
      <c r="I1886" s="17">
        <v>115.24</v>
      </c>
      <c r="J1886" s="17">
        <f>+Tabla1321124[[#This Row],[CANTIDAD TOTAL]]*Tabla1321124[[#This Row],[PRECIO UNITARIO ESTIMADO]]</f>
        <v>80668</v>
      </c>
      <c r="K1886" s="17"/>
      <c r="L1886" s="16" t="s">
        <v>27</v>
      </c>
      <c r="M1886" s="16" t="s">
        <v>22</v>
      </c>
      <c r="N1886" s="16" t="s">
        <v>418</v>
      </c>
    </row>
    <row r="1887" spans="1:14" ht="41.25" customHeight="1">
      <c r="A1887" s="178" t="s">
        <v>122</v>
      </c>
      <c r="B1887" s="75" t="s">
        <v>2661</v>
      </c>
      <c r="C1887" s="39" t="s">
        <v>17</v>
      </c>
      <c r="D1887" s="210">
        <v>50</v>
      </c>
      <c r="E1887" s="210">
        <v>50</v>
      </c>
      <c r="F1887" s="210">
        <v>50</v>
      </c>
      <c r="G1887" s="210">
        <v>50</v>
      </c>
      <c r="H1887" s="249">
        <f>SUM(Tabla1321124[[#This Row],[PRIMER TRIMESTRE]:[CUARTO TRIMESTRE]])</f>
        <v>200</v>
      </c>
      <c r="I1887" s="17">
        <v>1624</v>
      </c>
      <c r="J1887" s="17">
        <f>+Tabla1321124[[#This Row],[CANTIDAD TOTAL]]*Tabla1321124[[#This Row],[PRECIO UNITARIO ESTIMADO]]</f>
        <v>324800</v>
      </c>
      <c r="K1887" s="17"/>
      <c r="L1887" s="16" t="s">
        <v>27</v>
      </c>
      <c r="M1887" s="16" t="s">
        <v>22</v>
      </c>
      <c r="N1887" s="16" t="s">
        <v>418</v>
      </c>
    </row>
    <row r="1888" spans="1:14" ht="41.25" customHeight="1">
      <c r="A1888" s="178" t="s">
        <v>1588</v>
      </c>
      <c r="B1888" s="75" t="str">
        <f ca="1">+UPPER(Tabla1321124[[#This Row],[DESCRIPCIÓN DE LA COMPRA O CONTRATACIÓN]])</f>
        <v>CONOS DE ALIVIO COMPLETO (ESPICA Y PROTECCION EXTERIOR)</v>
      </c>
      <c r="C1888" s="39" t="s">
        <v>17</v>
      </c>
      <c r="D1888" s="210">
        <v>20</v>
      </c>
      <c r="E1888" s="210">
        <v>20</v>
      </c>
      <c r="F1888" s="210">
        <v>20</v>
      </c>
      <c r="G1888" s="210">
        <v>20</v>
      </c>
      <c r="H1888" s="249">
        <f>SUM(Tabla1321124[[#This Row],[PRIMER TRIMESTRE]:[CUARTO TRIMESTRE]])</f>
        <v>80</v>
      </c>
      <c r="I1888" s="17">
        <v>3500</v>
      </c>
      <c r="J1888" s="17">
        <f>+Tabla1321124[[#This Row],[CANTIDAD TOTAL]]*Tabla1321124[[#This Row],[PRECIO UNITARIO ESTIMADO]]</f>
        <v>280000</v>
      </c>
      <c r="K1888" s="17"/>
      <c r="L1888" s="16" t="s">
        <v>15</v>
      </c>
      <c r="M1888" s="16" t="s">
        <v>22</v>
      </c>
      <c r="N1888" s="16" t="s">
        <v>418</v>
      </c>
    </row>
    <row r="1889" spans="1:14" ht="41.25" customHeight="1">
      <c r="A1889" s="178" t="s">
        <v>122</v>
      </c>
      <c r="B1889" s="75" t="str">
        <f ca="1">+UPPER(Tabla1321124[[#This Row],[DESCRIPCIÓN DE LA COMPRA O CONTRATACIÓN]])</f>
        <v>LENTES DE PROTECCION</v>
      </c>
      <c r="C1889" s="39" t="s">
        <v>17</v>
      </c>
      <c r="D1889" s="210">
        <v>150</v>
      </c>
      <c r="E1889" s="210">
        <v>150</v>
      </c>
      <c r="F1889" s="210">
        <v>150</v>
      </c>
      <c r="G1889" s="210">
        <v>150</v>
      </c>
      <c r="H1889" s="249">
        <f>SUM(Tabla1321124[[#This Row],[PRIMER TRIMESTRE]:[CUARTO TRIMESTRE]])</f>
        <v>600</v>
      </c>
      <c r="I1889" s="17">
        <v>101.68</v>
      </c>
      <c r="J1889" s="17">
        <f>+Tabla1321124[[#This Row],[CANTIDAD TOTAL]]*Tabla1321124[[#This Row],[PRECIO UNITARIO ESTIMADO]]</f>
        <v>61008.000000000007</v>
      </c>
      <c r="K1889" s="17"/>
      <c r="L1889" s="16" t="s">
        <v>27</v>
      </c>
      <c r="M1889" s="16" t="s">
        <v>22</v>
      </c>
      <c r="N1889" s="16" t="s">
        <v>418</v>
      </c>
    </row>
    <row r="1890" spans="1:14" ht="41.25" customHeight="1">
      <c r="A1890" s="178" t="s">
        <v>122</v>
      </c>
      <c r="B1890" s="75" t="str">
        <f ca="1">+UPPER(Tabla1321124[[#This Row],[DESCRIPCIÓN DE LA COMPRA O CONTRATACIÓN]])</f>
        <v>MASCARILLAS DE PAPEL</v>
      </c>
      <c r="C1890" s="39" t="s">
        <v>17</v>
      </c>
      <c r="D1890" s="210">
        <v>175</v>
      </c>
      <c r="E1890" s="210">
        <v>175</v>
      </c>
      <c r="F1890" s="210">
        <v>175</v>
      </c>
      <c r="G1890" s="210">
        <v>175</v>
      </c>
      <c r="H1890" s="249">
        <f>SUM(Tabla1321124[[#This Row],[PRIMER TRIMESTRE]:[CUARTO TRIMESTRE]])</f>
        <v>700</v>
      </c>
      <c r="I1890" s="17">
        <v>27.14</v>
      </c>
      <c r="J1890" s="17">
        <f>+Tabla1321124[[#This Row],[CANTIDAD TOTAL]]*Tabla1321124[[#This Row],[PRECIO UNITARIO ESTIMADO]]</f>
        <v>18998</v>
      </c>
      <c r="K1890" s="17"/>
      <c r="L1890" s="16" t="s">
        <v>27</v>
      </c>
      <c r="M1890" s="16" t="s">
        <v>22</v>
      </c>
      <c r="N1890" s="16" t="s">
        <v>418</v>
      </c>
    </row>
    <row r="1891" spans="1:14" ht="41.25" customHeight="1">
      <c r="A1891" s="178" t="s">
        <v>122</v>
      </c>
      <c r="B1891" s="75" t="str">
        <f ca="1">+UPPER(Tabla1321124[[#This Row],[DESCRIPCIÓN DE LA COMPRA O CONTRATACIÓN]])</f>
        <v xml:space="preserve">CINTA DE SEGURIDAD </v>
      </c>
      <c r="C1891" s="39" t="s">
        <v>102</v>
      </c>
      <c r="D1891" s="210">
        <v>150</v>
      </c>
      <c r="E1891" s="210">
        <v>150</v>
      </c>
      <c r="F1891" s="210">
        <v>150</v>
      </c>
      <c r="G1891" s="210">
        <v>150</v>
      </c>
      <c r="H1891" s="249">
        <f>SUM(Tabla1321124[[#This Row],[PRIMER TRIMESTRE]:[CUARTO TRIMESTRE]])</f>
        <v>600</v>
      </c>
      <c r="I1891" s="17">
        <f>43660/209</f>
        <v>208.89952153110048</v>
      </c>
      <c r="J1891" s="17">
        <f>+Tabla1321124[[#This Row],[CANTIDAD TOTAL]]*Tabla1321124[[#This Row],[PRECIO UNITARIO ESTIMADO]]</f>
        <v>125339.71291866028</v>
      </c>
      <c r="K1891" s="17"/>
      <c r="L1891" s="16" t="s">
        <v>27</v>
      </c>
      <c r="M1891" s="16" t="s">
        <v>22</v>
      </c>
      <c r="N1891" s="16" t="s">
        <v>418</v>
      </c>
    </row>
    <row r="1892" spans="1:14" ht="41.25" customHeight="1">
      <c r="A1892" s="178" t="s">
        <v>1588</v>
      </c>
      <c r="B1892" s="75" t="str">
        <f ca="1">+UPPER(Tabla1321124[[#This Row],[DESCRIPCIÓN DE LA COMPRA O CONTRATACIÓN]])</f>
        <v xml:space="preserve">LETREROS DE ADVERTENCIA DEL INAPA </v>
      </c>
      <c r="C1892" s="39" t="s">
        <v>17</v>
      </c>
      <c r="D1892" s="366">
        <v>10</v>
      </c>
      <c r="E1892" s="365">
        <v>1</v>
      </c>
      <c r="F1892" s="365">
        <v>4</v>
      </c>
      <c r="G1892" s="365">
        <v>1</v>
      </c>
      <c r="H1892" s="249">
        <f>SUM(Tabla1321124[[#This Row],[PRIMER TRIMESTRE]:[CUARTO TRIMESTRE]])</f>
        <v>16</v>
      </c>
      <c r="I1892" s="17">
        <v>280</v>
      </c>
      <c r="J1892" s="17">
        <f>+Tabla1321124[[#This Row],[CANTIDAD TOTAL]]*Tabla1321124[[#This Row],[PRECIO UNITARIO ESTIMADO]]</f>
        <v>4480</v>
      </c>
      <c r="K1892" s="175"/>
      <c r="L1892" s="16" t="s">
        <v>27</v>
      </c>
      <c r="M1892" s="16" t="s">
        <v>22</v>
      </c>
      <c r="N1892" s="16" t="s">
        <v>418</v>
      </c>
    </row>
    <row r="1893" spans="1:14" ht="41.25" customHeight="1">
      <c r="A1893" s="178" t="s">
        <v>122</v>
      </c>
      <c r="B1893" s="75" t="str">
        <f ca="1">+UPPER(Tabla1321124[[#This Row],[DESCRIPCIÓN DE LA COMPRA O CONTRATACIÓN]])</f>
        <v>MAQUINA DE RAYOS X</v>
      </c>
      <c r="C1893" s="39" t="s">
        <v>17</v>
      </c>
      <c r="D1893" s="210"/>
      <c r="E1893" s="210">
        <v>5</v>
      </c>
      <c r="F1893" s="210"/>
      <c r="G1893" s="210"/>
      <c r="H1893" s="249">
        <f>SUM(Tabla1321124[[#This Row],[PRIMER TRIMESTRE]:[CUARTO TRIMESTRE]])</f>
        <v>5</v>
      </c>
      <c r="I1893" s="17">
        <v>2711450</v>
      </c>
      <c r="J1893" s="17">
        <f>+Tabla1321124[[#This Row],[CANTIDAD TOTAL]]*Tabla1321124[[#This Row],[PRECIO UNITARIO ESTIMADO]]</f>
        <v>13557250</v>
      </c>
      <c r="K1893" s="17"/>
      <c r="L1893" s="16" t="s">
        <v>18</v>
      </c>
      <c r="M1893" s="16" t="s">
        <v>22</v>
      </c>
      <c r="N1893" s="16" t="s">
        <v>418</v>
      </c>
    </row>
    <row r="1894" spans="1:14" ht="41.25" customHeight="1">
      <c r="A1894" s="178" t="s">
        <v>122</v>
      </c>
      <c r="B1894" s="75" t="str">
        <f ca="1">+UPPER(Tabla1321124[[#This Row],[DESCRIPCIÓN DE LA COMPRA O CONTRATACIÓN]])</f>
        <v>DETECTOR DE METALES</v>
      </c>
      <c r="C1894" s="39" t="s">
        <v>17</v>
      </c>
      <c r="D1894" s="210"/>
      <c r="E1894" s="210">
        <v>5</v>
      </c>
      <c r="F1894" s="210"/>
      <c r="G1894" s="210"/>
      <c r="H1894" s="249">
        <f>SUM(Tabla1321124[[#This Row],[PRIMER TRIMESTRE]:[CUARTO TRIMESTRE]])</f>
        <v>5</v>
      </c>
      <c r="I1894" s="17">
        <v>89700</v>
      </c>
      <c r="J1894" s="17">
        <f>+Tabla1321124[[#This Row],[CANTIDAD TOTAL]]*Tabla1321124[[#This Row],[PRECIO UNITARIO ESTIMADO]]</f>
        <v>448500</v>
      </c>
      <c r="K1894" s="17"/>
      <c r="L1894" s="16" t="s">
        <v>18</v>
      </c>
      <c r="M1894" s="16" t="s">
        <v>22</v>
      </c>
      <c r="N1894" s="16" t="s">
        <v>418</v>
      </c>
    </row>
    <row r="1895" spans="1:14" ht="41.25" customHeight="1">
      <c r="A1895" s="178" t="s">
        <v>122</v>
      </c>
      <c r="B1895" s="75" t="str">
        <f ca="1">+UPPER(Tabla1321124[[#This Row],[DESCRIPCIÓN DE LA COMPRA O CONTRATACIÓN]])</f>
        <v>INSTALACION Y PROGRAMACION</v>
      </c>
      <c r="C1895" s="39" t="s">
        <v>17</v>
      </c>
      <c r="D1895" s="210"/>
      <c r="E1895" s="210">
        <v>5</v>
      </c>
      <c r="F1895" s="210"/>
      <c r="G1895" s="210"/>
      <c r="H1895" s="249">
        <f>SUM(Tabla1321124[[#This Row],[PRIMER TRIMESTRE]:[CUARTO TRIMESTRE]])</f>
        <v>5</v>
      </c>
      <c r="I1895" s="17">
        <v>200</v>
      </c>
      <c r="J1895" s="17">
        <f>+Tabla1321124[[#This Row],[CANTIDAD TOTAL]]*Tabla1321124[[#This Row],[PRECIO UNITARIO ESTIMADO]]</f>
        <v>1000</v>
      </c>
      <c r="K1895" s="17"/>
      <c r="L1895" s="16" t="s">
        <v>18</v>
      </c>
      <c r="M1895" s="16" t="s">
        <v>22</v>
      </c>
      <c r="N1895" s="16" t="s">
        <v>418</v>
      </c>
    </row>
    <row r="1896" spans="1:14" ht="41.25" customHeight="1">
      <c r="A1896" s="178" t="s">
        <v>122</v>
      </c>
      <c r="B1896" s="75" t="str">
        <f ca="1">+UPPER(Tabla1321124[[#This Row],[DESCRIPCIÓN DE LA COMPRA O CONTRATACIÓN]])</f>
        <v>MASCARAS PARA SOLDAR</v>
      </c>
      <c r="C1896" s="39" t="s">
        <v>17</v>
      </c>
      <c r="D1896" s="210">
        <v>15</v>
      </c>
      <c r="E1896" s="210">
        <v>15</v>
      </c>
      <c r="F1896" s="210">
        <v>15</v>
      </c>
      <c r="G1896" s="210">
        <v>15</v>
      </c>
      <c r="H1896" s="249">
        <f>SUM(Tabla1321124[[#This Row],[PRIMER TRIMESTRE]:[CUARTO TRIMESTRE]])</f>
        <v>60</v>
      </c>
      <c r="I1896" s="17">
        <v>350</v>
      </c>
      <c r="J1896" s="17">
        <f>+Tabla1321124[[#This Row],[CANTIDAD TOTAL]]*Tabla1321124[[#This Row],[PRECIO UNITARIO ESTIMADO]]</f>
        <v>21000</v>
      </c>
      <c r="K1896" s="17"/>
      <c r="L1896" s="16" t="s">
        <v>27</v>
      </c>
      <c r="M1896" s="16" t="s">
        <v>22</v>
      </c>
      <c r="N1896" s="16" t="s">
        <v>418</v>
      </c>
    </row>
    <row r="1897" spans="1:14" ht="41.25" customHeight="1">
      <c r="A1897" s="178" t="s">
        <v>122</v>
      </c>
      <c r="B1897" s="75" t="str">
        <f ca="1">+UPPER(Tabla1321124[[#This Row],[DESCRIPCIÓN DE LA COMPRA O CONTRATACIÓN]])</f>
        <v xml:space="preserve">ARNES DE SEGURIDAD </v>
      </c>
      <c r="C1897" s="39" t="s">
        <v>17</v>
      </c>
      <c r="D1897" s="210">
        <v>34</v>
      </c>
      <c r="E1897" s="210">
        <v>1</v>
      </c>
      <c r="F1897" s="210">
        <v>2</v>
      </c>
      <c r="G1897" s="210">
        <v>2</v>
      </c>
      <c r="H1897" s="249">
        <f>SUM(Tabla1321124[[#This Row],[PRIMER TRIMESTRE]:[CUARTO TRIMESTRE]])</f>
        <v>39</v>
      </c>
      <c r="I1897" s="17">
        <v>12626</v>
      </c>
      <c r="J1897" s="17">
        <f>+Tabla1321124[[#This Row],[CANTIDAD TOTAL]]*Tabla1321124[[#This Row],[PRECIO UNITARIO ESTIMADO]]</f>
        <v>492414</v>
      </c>
      <c r="K1897" s="17"/>
      <c r="L1897" s="16" t="s">
        <v>27</v>
      </c>
      <c r="M1897" s="16" t="s">
        <v>22</v>
      </c>
      <c r="N1897" s="16" t="s">
        <v>418</v>
      </c>
    </row>
    <row r="1898" spans="1:14" ht="41.25" customHeight="1">
      <c r="A1898" s="178" t="s">
        <v>122</v>
      </c>
      <c r="B1898" s="75" t="str">
        <f ca="1">+UPPER(Tabla1321124[[#This Row],[DESCRIPCIÓN DE LA COMPRA O CONTRATACIÓN]])</f>
        <v>EXTINTOR ABC</v>
      </c>
      <c r="C1898" s="39" t="s">
        <v>17</v>
      </c>
      <c r="D1898" s="210">
        <v>50</v>
      </c>
      <c r="E1898" s="210">
        <v>50</v>
      </c>
      <c r="F1898" s="210">
        <v>50</v>
      </c>
      <c r="G1898" s="210">
        <v>50</v>
      </c>
      <c r="H1898" s="249">
        <f>SUM(Tabla1321124[[#This Row],[PRIMER TRIMESTRE]:[CUARTO TRIMESTRE]])</f>
        <v>200</v>
      </c>
      <c r="I1898" s="17">
        <f>1382216.68/118</f>
        <v>11713.700677966101</v>
      </c>
      <c r="J1898" s="17">
        <f>+Tabla1321124[[#This Row],[CANTIDAD TOTAL]]*Tabla1321124[[#This Row],[PRECIO UNITARIO ESTIMADO]]</f>
        <v>2342740.1355932201</v>
      </c>
      <c r="K1898" s="17"/>
      <c r="L1898" s="16" t="s">
        <v>27</v>
      </c>
      <c r="M1898" s="16" t="s">
        <v>22</v>
      </c>
      <c r="N1898" s="16" t="s">
        <v>418</v>
      </c>
    </row>
    <row r="1899" spans="1:14" ht="41.25" customHeight="1">
      <c r="A1899" s="178" t="s">
        <v>122</v>
      </c>
      <c r="B1899" s="75" t="str">
        <f ca="1">+UPPER(Tabla1321124[[#This Row],[DESCRIPCIÓN DE LA COMPRA O CONTRATACIÓN]])</f>
        <v>FLECHA PARA EXTINTOR</v>
      </c>
      <c r="C1899" s="39" t="s">
        <v>17</v>
      </c>
      <c r="D1899" s="210">
        <v>50</v>
      </c>
      <c r="E1899" s="210">
        <v>50</v>
      </c>
      <c r="F1899" s="210">
        <v>50</v>
      </c>
      <c r="G1899" s="210">
        <v>50</v>
      </c>
      <c r="H1899" s="249">
        <f>SUM(Tabla1321124[[#This Row],[PRIMER TRIMESTRE]:[CUARTO TRIMESTRE]])</f>
        <v>200</v>
      </c>
      <c r="I1899" s="17">
        <v>413</v>
      </c>
      <c r="J1899" s="17">
        <f>+Tabla1321124[[#This Row],[CANTIDAD TOTAL]]*Tabla1321124[[#This Row],[PRECIO UNITARIO ESTIMADO]]</f>
        <v>82600</v>
      </c>
      <c r="K1899" s="386">
        <f>SUM(J1885:J1899)</f>
        <v>17920879.848511878</v>
      </c>
      <c r="L1899" s="16" t="s">
        <v>27</v>
      </c>
      <c r="M1899" s="16" t="s">
        <v>22</v>
      </c>
      <c r="N1899" s="16" t="s">
        <v>418</v>
      </c>
    </row>
    <row r="1900" spans="1:14" ht="41.25" customHeight="1">
      <c r="A1900" s="538" t="s">
        <v>122</v>
      </c>
      <c r="B1900" s="76" t="str">
        <f ca="1">+UPPER(Tabla1321124[[#This Row],[DESCRIPCIÓN DE LA COMPRA O CONTRATACIÓN]])</f>
        <v/>
      </c>
      <c r="C1900" s="237"/>
      <c r="D1900" s="237"/>
      <c r="E1900" s="237"/>
      <c r="F1900" s="237"/>
      <c r="G1900" s="237"/>
      <c r="H1900" s="238"/>
      <c r="I1900" s="238"/>
      <c r="J1900" s="383"/>
      <c r="K1900" s="25">
        <f>SUM(J1885:J1899)</f>
        <v>17920879.848511878</v>
      </c>
      <c r="L1900" s="383"/>
      <c r="M1900" s="383"/>
      <c r="N1900" s="383"/>
    </row>
    <row r="1901" spans="1:14" ht="41.25" customHeight="1">
      <c r="A1901" s="178" t="s">
        <v>278</v>
      </c>
      <c r="B1901" s="77" t="str">
        <f ca="1">+UPPER(Tabla1321124[[#This Row],[DESCRIPCIÓN DE LA COMPRA O CONTRATACIÓN]])</f>
        <v>PODADORA DE HILO CON MOTOR DE COMBUSTION INTERNA (2 TIEMPOS)</v>
      </c>
      <c r="C1901" s="39" t="s">
        <v>17</v>
      </c>
      <c r="D1901" s="365">
        <v>4</v>
      </c>
      <c r="E1901" s="365"/>
      <c r="F1901" s="365"/>
      <c r="G1901" s="365"/>
      <c r="H1901" s="240">
        <f>SUM(Tabla1321124[[#This Row],[PRIMER TRIMESTRE]:[CUARTO TRIMESTRE]])</f>
        <v>4</v>
      </c>
      <c r="I1901" s="17">
        <v>5700</v>
      </c>
      <c r="J1901" s="17">
        <f>+Tabla1321124[[#This Row],[CANTIDAD TOTAL]]*Tabla1321124[[#This Row],[PRECIO UNITARIO ESTIMADO]]</f>
        <v>22800</v>
      </c>
      <c r="K1901" s="175"/>
      <c r="L1901" s="16" t="s">
        <v>27</v>
      </c>
      <c r="M1901" s="16" t="s">
        <v>22</v>
      </c>
      <c r="N1901" s="16" t="s">
        <v>342</v>
      </c>
    </row>
    <row r="1902" spans="1:14" ht="41.25" customHeight="1">
      <c r="A1902" s="178" t="s">
        <v>278</v>
      </c>
      <c r="B1902" s="77" t="str">
        <f ca="1">+UPPER(Tabla1321124[[#This Row],[DESCRIPCIÓN DE LA COMPRA O CONTRATACIÓN]])</f>
        <v>MAQUINA PODADORA DE RUEDA</v>
      </c>
      <c r="C1902" s="39" t="s">
        <v>17</v>
      </c>
      <c r="D1902" s="365"/>
      <c r="E1902" s="365">
        <v>10</v>
      </c>
      <c r="F1902" s="365"/>
      <c r="G1902" s="365"/>
      <c r="H1902" s="240">
        <f>SUM(Tabla1321124[[#This Row],[PRIMER TRIMESTRE]:[CUARTO TRIMESTRE]])</f>
        <v>10</v>
      </c>
      <c r="I1902" s="17">
        <v>13500</v>
      </c>
      <c r="J1902" s="17">
        <f>+Tabla1321124[[#This Row],[CANTIDAD TOTAL]]*Tabla1321124[[#This Row],[PRECIO UNITARIO ESTIMADO]]</f>
        <v>135000</v>
      </c>
      <c r="K1902" s="175"/>
      <c r="L1902" s="16" t="s">
        <v>27</v>
      </c>
      <c r="M1902" s="16" t="s">
        <v>22</v>
      </c>
      <c r="N1902" s="16" t="s">
        <v>342</v>
      </c>
    </row>
    <row r="1903" spans="1:14" ht="41.25" customHeight="1">
      <c r="A1903" s="178" t="s">
        <v>278</v>
      </c>
      <c r="B1903" s="75" t="str">
        <f ca="1">+UPPER(Tabla1321124[[#This Row],[DESCRIPCIÓN DE LA COMPRA O CONTRATACIÓN]])</f>
        <v>ZAFACONES</v>
      </c>
      <c r="C1903" s="39" t="s">
        <v>17</v>
      </c>
      <c r="D1903" s="236">
        <v>250</v>
      </c>
      <c r="E1903" s="236">
        <v>250</v>
      </c>
      <c r="F1903" s="236">
        <v>250</v>
      </c>
      <c r="G1903" s="236">
        <v>250</v>
      </c>
      <c r="H1903" s="240">
        <f>SUM(Tabla1321124[[#This Row],[PRIMER TRIMESTRE]:[CUARTO TRIMESTRE]])</f>
        <v>1000</v>
      </c>
      <c r="I1903" s="17">
        <v>259.68</v>
      </c>
      <c r="J1903" s="17">
        <f>+Tabla1321124[[#This Row],[CANTIDAD TOTAL]]*Tabla1321124[[#This Row],[PRECIO UNITARIO ESTIMADO]]</f>
        <v>259680</v>
      </c>
      <c r="K1903" s="17"/>
      <c r="L1903" s="16" t="s">
        <v>27</v>
      </c>
      <c r="M1903" s="16" t="s">
        <v>22</v>
      </c>
      <c r="N1903" s="16" t="s">
        <v>342</v>
      </c>
    </row>
    <row r="1904" spans="1:14" ht="41.25" customHeight="1">
      <c r="A1904" s="178" t="s">
        <v>278</v>
      </c>
      <c r="B1904" s="75" t="str">
        <f ca="1">+UPPER(Tabla1321124[[#This Row],[DESCRIPCIÓN DE LA COMPRA O CONTRATACIÓN]])</f>
        <v>CUBETAS</v>
      </c>
      <c r="C1904" s="39" t="s">
        <v>17</v>
      </c>
      <c r="D1904" s="236">
        <v>150</v>
      </c>
      <c r="E1904" s="236">
        <v>150</v>
      </c>
      <c r="F1904" s="236">
        <v>150</v>
      </c>
      <c r="G1904" s="236">
        <v>150</v>
      </c>
      <c r="H1904" s="240">
        <f>SUM(Tabla1321124[[#This Row],[PRIMER TRIMESTRE]:[CUARTO TRIMESTRE]])</f>
        <v>600</v>
      </c>
      <c r="I1904" s="17">
        <v>220.12</v>
      </c>
      <c r="J1904" s="17">
        <f>+Tabla1321124[[#This Row],[CANTIDAD TOTAL]]*Tabla1321124[[#This Row],[PRECIO UNITARIO ESTIMADO]]</f>
        <v>132072</v>
      </c>
      <c r="K1904" s="17"/>
      <c r="L1904" s="16" t="s">
        <v>27</v>
      </c>
      <c r="M1904" s="16" t="s">
        <v>22</v>
      </c>
      <c r="N1904" s="16" t="s">
        <v>418</v>
      </c>
    </row>
    <row r="1905" spans="1:14" ht="41.25" customHeight="1">
      <c r="A1905" s="178" t="s">
        <v>278</v>
      </c>
      <c r="B1905" s="75" t="str">
        <f ca="1">+UPPER(Tabla1321124[[#This Row],[DESCRIPCIÓN DE LA COMPRA O CONTRATACIÓN]])</f>
        <v>SWAPERS DE ALGODON NO. 20 C/PALO</v>
      </c>
      <c r="C1905" s="39" t="s">
        <v>17</v>
      </c>
      <c r="D1905" s="236">
        <v>250</v>
      </c>
      <c r="E1905" s="236">
        <v>250</v>
      </c>
      <c r="F1905" s="236">
        <v>250</v>
      </c>
      <c r="G1905" s="236">
        <v>250</v>
      </c>
      <c r="H1905" s="240">
        <f>SUM(Tabla1321124[[#This Row],[PRIMER TRIMESTRE]:[CUARTO TRIMESTRE]])</f>
        <v>1000</v>
      </c>
      <c r="I1905" s="17">
        <v>150</v>
      </c>
      <c r="J1905" s="17">
        <f>+Tabla1321124[[#This Row],[CANTIDAD TOTAL]]*Tabla1321124[[#This Row],[PRECIO UNITARIO ESTIMADO]]</f>
        <v>150000</v>
      </c>
      <c r="K1905" s="17"/>
      <c r="L1905" s="16" t="s">
        <v>27</v>
      </c>
      <c r="M1905" s="16" t="s">
        <v>22</v>
      </c>
      <c r="N1905" s="16" t="s">
        <v>342</v>
      </c>
    </row>
    <row r="1906" spans="1:14" ht="41.25" customHeight="1">
      <c r="A1906" s="178" t="s">
        <v>278</v>
      </c>
      <c r="B1906" s="75" t="str">
        <f ca="1">+UPPER(Tabla1321124[[#This Row],[DESCRIPCIÓN DE LA COMPRA O CONTRATACIÓN]])</f>
        <v>ESCURRIDOR DE GOMA (SACA AGUA)</v>
      </c>
      <c r="C1906" s="39" t="s">
        <v>17</v>
      </c>
      <c r="D1906" s="236">
        <v>25</v>
      </c>
      <c r="E1906" s="236">
        <v>25</v>
      </c>
      <c r="F1906" s="236">
        <v>25</v>
      </c>
      <c r="G1906" s="236">
        <v>25</v>
      </c>
      <c r="H1906" s="240">
        <f>SUM(Tabla1321124[[#This Row],[PRIMER TRIMESTRE]:[CUARTO TRIMESTRE]])</f>
        <v>100</v>
      </c>
      <c r="I1906" s="17">
        <v>140</v>
      </c>
      <c r="J1906" s="17">
        <f>+Tabla1321124[[#This Row],[CANTIDAD TOTAL]]*Tabla1321124[[#This Row],[PRECIO UNITARIO ESTIMADO]]</f>
        <v>14000</v>
      </c>
      <c r="K1906" s="17"/>
      <c r="L1906" s="16" t="s">
        <v>27</v>
      </c>
      <c r="M1906" s="16" t="s">
        <v>22</v>
      </c>
      <c r="N1906" s="16" t="s">
        <v>342</v>
      </c>
    </row>
    <row r="1907" spans="1:14" ht="41.25" customHeight="1">
      <c r="A1907" s="178" t="s">
        <v>278</v>
      </c>
      <c r="B1907" s="75" t="str">
        <f ca="1">+UPPER(Tabla1321124[[#This Row],[DESCRIPCIÓN DE LA COMPRA O CONTRATACIÓN]])</f>
        <v>CORTADORA DE GRAMA PORTÁTIL</v>
      </c>
      <c r="C1907" s="39" t="s">
        <v>17</v>
      </c>
      <c r="D1907" s="236"/>
      <c r="E1907" s="236"/>
      <c r="F1907" s="236"/>
      <c r="G1907" s="236"/>
      <c r="H1907" s="240">
        <f>SUM(Tabla1321124[[#This Row],[PRIMER TRIMESTRE]:[CUARTO TRIMESTRE]])</f>
        <v>0</v>
      </c>
      <c r="I1907" s="17">
        <v>21895</v>
      </c>
      <c r="J1907" s="17">
        <f>+Tabla1321124[[#This Row],[CANTIDAD TOTAL]]*Tabla1321124[[#This Row],[PRECIO UNITARIO ESTIMADO]]</f>
        <v>0</v>
      </c>
      <c r="K1907" s="386">
        <f>SUM(J1901:J1907)</f>
        <v>713552</v>
      </c>
      <c r="L1907" s="16" t="s">
        <v>27</v>
      </c>
      <c r="M1907" s="16" t="s">
        <v>22</v>
      </c>
      <c r="N1907" s="16" t="s">
        <v>342</v>
      </c>
    </row>
    <row r="1908" spans="1:14" ht="41.25" customHeight="1">
      <c r="A1908" s="538" t="s">
        <v>278</v>
      </c>
      <c r="B1908" s="76" t="str">
        <f ca="1">+UPPER(Tabla1321124[[#This Row],[DESCRIPCIÓN DE LA COMPRA O CONTRATACIÓN]])</f>
        <v/>
      </c>
      <c r="C1908" s="76" t="str">
        <f ca="1">+UPPER(Tabla1321124[[#This Row],[DESCRIPCIÓN DE LA COMPRA O CONTRATACIÓN]])</f>
        <v/>
      </c>
      <c r="D1908" s="237"/>
      <c r="E1908" s="237"/>
      <c r="F1908" s="237"/>
      <c r="G1908" s="237"/>
      <c r="H1908" s="238"/>
      <c r="I1908" s="76" t="str">
        <f ca="1">+UPPER(Tabla1321124[[#This Row],[DESCRIPCIÓN DE LA COMPRA O CONTRATACIÓN]])</f>
        <v/>
      </c>
      <c r="J1908" s="383"/>
      <c r="K1908" s="25">
        <f>SUM(J1901:J1907)</f>
        <v>713552</v>
      </c>
      <c r="L1908" s="383" t="s">
        <v>27</v>
      </c>
      <c r="M1908" s="383"/>
      <c r="N1908" s="383"/>
    </row>
    <row r="1909" spans="1:14" ht="41.25" customHeight="1">
      <c r="A1909" s="178" t="s">
        <v>124</v>
      </c>
      <c r="B1909" s="75" t="str">
        <f ca="1">+UPPER(Tabla1321124[[#This Row],[DESCRIPCIÓN DE LA COMPRA O CONTRATACIÓN]])</f>
        <v>PAPEL INDUSTRIAL</v>
      </c>
      <c r="C1909" s="39" t="s">
        <v>102</v>
      </c>
      <c r="D1909" s="236">
        <v>500</v>
      </c>
      <c r="E1909" s="236">
        <v>500</v>
      </c>
      <c r="F1909" s="236">
        <v>500</v>
      </c>
      <c r="G1909" s="236">
        <v>50</v>
      </c>
      <c r="H1909" s="240">
        <f>SUM(Tabla1321124[[#This Row],[PRIMER TRIMESTRE]:[CUARTO TRIMESTRE]])</f>
        <v>1550</v>
      </c>
      <c r="I1909" s="17">
        <v>191.84</v>
      </c>
      <c r="J1909" s="17">
        <f>+Tabla1321124[[#This Row],[CANTIDAD TOTAL]]*Tabla1321124[[#This Row],[PRECIO UNITARIO ESTIMADO]]</f>
        <v>297352</v>
      </c>
      <c r="K1909" s="17"/>
      <c r="L1909" s="16" t="s">
        <v>27</v>
      </c>
      <c r="M1909" s="16" t="s">
        <v>22</v>
      </c>
      <c r="N1909" s="16" t="s">
        <v>342</v>
      </c>
    </row>
    <row r="1910" spans="1:14" ht="41.25" customHeight="1">
      <c r="A1910" s="178" t="s">
        <v>124</v>
      </c>
      <c r="B1910" s="75" t="str">
        <f ca="1">+UPPER(Tabla1321124[[#This Row],[DESCRIPCIÓN DE LA COMPRA O CONTRATACIÓN]])</f>
        <v>AMBIENTADORES</v>
      </c>
      <c r="C1910" s="39" t="s">
        <v>69</v>
      </c>
      <c r="D1910" s="236">
        <v>150</v>
      </c>
      <c r="E1910" s="236">
        <v>50</v>
      </c>
      <c r="F1910" s="236">
        <v>150</v>
      </c>
      <c r="G1910" s="236">
        <v>50</v>
      </c>
      <c r="H1910" s="240">
        <f>SUM(Tabla1321124[[#This Row],[PRIMER TRIMESTRE]:[CUARTO TRIMESTRE]])</f>
        <v>400</v>
      </c>
      <c r="I1910" s="17">
        <v>83.78</v>
      </c>
      <c r="J1910" s="17">
        <f>+Tabla1321124[[#This Row],[CANTIDAD TOTAL]]*Tabla1321124[[#This Row],[PRECIO UNITARIO ESTIMADO]]</f>
        <v>33512</v>
      </c>
      <c r="K1910" s="17"/>
      <c r="L1910" s="16" t="s">
        <v>27</v>
      </c>
      <c r="M1910" s="16" t="s">
        <v>22</v>
      </c>
      <c r="N1910" s="16" t="s">
        <v>342</v>
      </c>
    </row>
    <row r="1911" spans="1:14" ht="41.25" customHeight="1">
      <c r="A1911" s="178" t="s">
        <v>124</v>
      </c>
      <c r="B1911" s="75" t="str">
        <f ca="1">+UPPER(Tabla1321124[[#This Row],[DESCRIPCIÓN DE LA COMPRA O CONTRATACIÓN]])</f>
        <v>ATOMIZADORES</v>
      </c>
      <c r="C1911" s="39" t="s">
        <v>17</v>
      </c>
      <c r="D1911" s="236">
        <v>25</v>
      </c>
      <c r="E1911" s="236">
        <v>25</v>
      </c>
      <c r="F1911" s="236">
        <v>25</v>
      </c>
      <c r="G1911" s="236">
        <v>25</v>
      </c>
      <c r="H1911" s="240">
        <f>SUM(Tabla1321124[[#This Row],[PRIMER TRIMESTRE]:[CUARTO TRIMESTRE]])</f>
        <v>100</v>
      </c>
      <c r="I1911" s="17">
        <v>82.94</v>
      </c>
      <c r="J1911" s="17">
        <f>+Tabla1321124[[#This Row],[CANTIDAD TOTAL]]*Tabla1321124[[#This Row],[PRECIO UNITARIO ESTIMADO]]</f>
        <v>8294</v>
      </c>
      <c r="K1911" s="17"/>
      <c r="L1911" s="16" t="s">
        <v>27</v>
      </c>
      <c r="M1911" s="16" t="s">
        <v>22</v>
      </c>
      <c r="N1911" s="16" t="s">
        <v>342</v>
      </c>
    </row>
    <row r="1912" spans="1:14" ht="41.25" customHeight="1">
      <c r="A1912" s="178" t="s">
        <v>124</v>
      </c>
      <c r="B1912" s="75" t="str">
        <f ca="1">+UPPER(Tabla1321124[[#This Row],[DESCRIPCIÓN DE LA COMPRA O CONTRATACIÓN]])</f>
        <v xml:space="preserve">BRILLO VERDE </v>
      </c>
      <c r="C1912" s="39" t="s">
        <v>17</v>
      </c>
      <c r="D1912" s="236">
        <v>25</v>
      </c>
      <c r="E1912" s="236">
        <v>25</v>
      </c>
      <c r="F1912" s="236">
        <v>25</v>
      </c>
      <c r="G1912" s="236">
        <v>25</v>
      </c>
      <c r="H1912" s="240">
        <f>SUM(Tabla1321124[[#This Row],[PRIMER TRIMESTRE]:[CUARTO TRIMESTRE]])</f>
        <v>100</v>
      </c>
      <c r="I1912" s="17">
        <v>26.67</v>
      </c>
      <c r="J1912" s="17">
        <f>+Tabla1321124[[#This Row],[CANTIDAD TOTAL]]*Tabla1321124[[#This Row],[PRECIO UNITARIO ESTIMADO]]</f>
        <v>2667</v>
      </c>
      <c r="K1912" s="17"/>
      <c r="L1912" s="16" t="s">
        <v>27</v>
      </c>
      <c r="M1912" s="16" t="s">
        <v>22</v>
      </c>
      <c r="N1912" s="16" t="s">
        <v>342</v>
      </c>
    </row>
    <row r="1913" spans="1:14" ht="41.25" customHeight="1">
      <c r="A1913" s="178" t="s">
        <v>124</v>
      </c>
      <c r="B1913" s="75" t="str">
        <f ca="1">+UPPER(Tabla1321124[[#This Row],[DESCRIPCIÓN DE LA COMPRA O CONTRATACIÓN]])</f>
        <v>BRILLO GRIS MAQUINITA</v>
      </c>
      <c r="C1913" s="39" t="s">
        <v>17</v>
      </c>
      <c r="D1913" s="236">
        <v>50</v>
      </c>
      <c r="E1913" s="236">
        <v>50</v>
      </c>
      <c r="F1913" s="236">
        <v>50</v>
      </c>
      <c r="G1913" s="236">
        <v>50</v>
      </c>
      <c r="H1913" s="240">
        <f>SUM(Tabla1321124[[#This Row],[PRIMER TRIMESTRE]:[CUARTO TRIMESTRE]])</f>
        <v>200</v>
      </c>
      <c r="I1913" s="17">
        <v>50</v>
      </c>
      <c r="J1913" s="17">
        <f>+Tabla1321124[[#This Row],[CANTIDAD TOTAL]]*Tabla1321124[[#This Row],[PRECIO UNITARIO ESTIMADO]]</f>
        <v>10000</v>
      </c>
      <c r="K1913" s="17"/>
      <c r="L1913" s="16" t="s">
        <v>27</v>
      </c>
      <c r="M1913" s="16" t="s">
        <v>22</v>
      </c>
      <c r="N1913" s="16" t="s">
        <v>342</v>
      </c>
    </row>
    <row r="1914" spans="1:14" ht="41.25" customHeight="1">
      <c r="A1914" s="178" t="s">
        <v>124</v>
      </c>
      <c r="B1914" s="75" t="str">
        <f ca="1">+UPPER(Tabla1321124[[#This Row],[DESCRIPCIÓN DE LA COMPRA O CONTRATACIÓN]])</f>
        <v xml:space="preserve">CLORO  </v>
      </c>
      <c r="C1914" s="39" t="s">
        <v>33</v>
      </c>
      <c r="D1914" s="236">
        <v>50</v>
      </c>
      <c r="E1914" s="236">
        <v>50</v>
      </c>
      <c r="F1914" s="236">
        <v>50</v>
      </c>
      <c r="G1914" s="236">
        <v>50</v>
      </c>
      <c r="H1914" s="240">
        <f>SUM(Tabla1321124[[#This Row],[PRIMER TRIMESTRE]:[CUARTO TRIMESTRE]])</f>
        <v>200</v>
      </c>
      <c r="I1914" s="17">
        <v>115.94</v>
      </c>
      <c r="J1914" s="17">
        <f>+Tabla1321124[[#This Row],[CANTIDAD TOTAL]]*Tabla1321124[[#This Row],[PRECIO UNITARIO ESTIMADO]]</f>
        <v>23188</v>
      </c>
      <c r="K1914" s="17"/>
      <c r="L1914" s="16" t="s">
        <v>27</v>
      </c>
      <c r="M1914" s="16" t="s">
        <v>22</v>
      </c>
      <c r="N1914" s="16" t="s">
        <v>342</v>
      </c>
    </row>
    <row r="1915" spans="1:14" ht="41.25" customHeight="1">
      <c r="A1915" s="178" t="s">
        <v>124</v>
      </c>
      <c r="B1915" s="75" t="str">
        <f ca="1">+UPPER(Tabla1321124[[#This Row],[DESCRIPCIÓN DE LA COMPRA O CONTRATACIÓN]])</f>
        <v>DESCALIN</v>
      </c>
      <c r="C1915" s="39" t="s">
        <v>288</v>
      </c>
      <c r="D1915" s="236">
        <v>25</v>
      </c>
      <c r="E1915" s="236">
        <v>25</v>
      </c>
      <c r="F1915" s="236">
        <v>25</v>
      </c>
      <c r="G1915" s="236">
        <v>25</v>
      </c>
      <c r="H1915" s="240">
        <f>SUM(Tabla1321124[[#This Row],[PRIMER TRIMESTRE]:[CUARTO TRIMESTRE]])</f>
        <v>100</v>
      </c>
      <c r="I1915" s="17">
        <v>255.31</v>
      </c>
      <c r="J1915" s="17">
        <f>+Tabla1321124[[#This Row],[CANTIDAD TOTAL]]*Tabla1321124[[#This Row],[PRECIO UNITARIO ESTIMADO]]</f>
        <v>25531</v>
      </c>
      <c r="K1915" s="17"/>
      <c r="L1915" s="16" t="s">
        <v>27</v>
      </c>
      <c r="M1915" s="16" t="s">
        <v>22</v>
      </c>
      <c r="N1915" s="16" t="s">
        <v>342</v>
      </c>
    </row>
    <row r="1916" spans="1:14" ht="41.25" customHeight="1">
      <c r="A1916" s="178" t="s">
        <v>124</v>
      </c>
      <c r="B1916" s="75" t="str">
        <f ca="1">+UPPER(Tabla1321124[[#This Row],[DESCRIPCIÓN DE LA COMPRA O CONTRATACIÓN]])</f>
        <v>ACEITE PARA MANTENIMIENTO DE ACERO</v>
      </c>
      <c r="C1916" s="39" t="s">
        <v>288</v>
      </c>
      <c r="D1916" s="236">
        <v>2</v>
      </c>
      <c r="E1916" s="236">
        <v>2</v>
      </c>
      <c r="F1916" s="236">
        <v>2</v>
      </c>
      <c r="G1916" s="236">
        <v>2</v>
      </c>
      <c r="H1916" s="240">
        <f>SUM(Tabla1321124[[#This Row],[PRIMER TRIMESTRE]:[CUARTO TRIMESTRE]])</f>
        <v>8</v>
      </c>
      <c r="I1916" s="17">
        <v>500</v>
      </c>
      <c r="J1916" s="17">
        <f>+Tabla1321124[[#This Row],[CANTIDAD TOTAL]]*Tabla1321124[[#This Row],[PRECIO UNITARIO ESTIMADO]]</f>
        <v>4000</v>
      </c>
      <c r="K1916" s="17"/>
      <c r="L1916" s="16" t="s">
        <v>27</v>
      </c>
      <c r="M1916" s="16" t="s">
        <v>22</v>
      </c>
      <c r="N1916" s="16" t="s">
        <v>342</v>
      </c>
    </row>
    <row r="1917" spans="1:14" ht="41.25" customHeight="1">
      <c r="A1917" s="178" t="s">
        <v>124</v>
      </c>
      <c r="B1917" s="75" t="str">
        <f ca="1">+UPPER(Tabla1321124[[#This Row],[DESCRIPCIÓN DE LA COMPRA O CONTRATACIÓN]])</f>
        <v>ESMERIL PARA BRILLAR ACERO</v>
      </c>
      <c r="C1917" s="39" t="s">
        <v>288</v>
      </c>
      <c r="D1917" s="236">
        <v>2</v>
      </c>
      <c r="E1917" s="236">
        <v>2</v>
      </c>
      <c r="F1917" s="236">
        <v>2</v>
      </c>
      <c r="G1917" s="236">
        <v>2</v>
      </c>
      <c r="H1917" s="240">
        <f>SUM(Tabla1321124[[#This Row],[PRIMER TRIMESTRE]:[CUARTO TRIMESTRE]])</f>
        <v>8</v>
      </c>
      <c r="I1917" s="17">
        <v>500</v>
      </c>
      <c r="J1917" s="17">
        <f>+Tabla1321124[[#This Row],[CANTIDAD TOTAL]]*Tabla1321124[[#This Row],[PRECIO UNITARIO ESTIMADO]]</f>
        <v>4000</v>
      </c>
      <c r="K1917" s="17"/>
      <c r="L1917" s="16" t="s">
        <v>27</v>
      </c>
      <c r="M1917" s="16" t="s">
        <v>22</v>
      </c>
      <c r="N1917" s="16" t="s">
        <v>342</v>
      </c>
    </row>
    <row r="1918" spans="1:14" ht="41.25" customHeight="1">
      <c r="A1918" s="178" t="s">
        <v>124</v>
      </c>
      <c r="B1918" s="75" t="str">
        <f ca="1">+UPPER(Tabla1321124[[#This Row],[DESCRIPCIÓN DE LA COMPRA O CONTRATACIÓN]])</f>
        <v>JABON LIQUIDO</v>
      </c>
      <c r="C1918" s="39" t="s">
        <v>290</v>
      </c>
      <c r="D1918" s="236">
        <v>20</v>
      </c>
      <c r="E1918" s="236">
        <v>20</v>
      </c>
      <c r="F1918" s="236">
        <v>20</v>
      </c>
      <c r="G1918" s="236">
        <v>20</v>
      </c>
      <c r="H1918" s="240">
        <f>SUM(Tabla1321124[[#This Row],[PRIMER TRIMESTRE]:[CUARTO TRIMESTRE]])</f>
        <v>80</v>
      </c>
      <c r="I1918" s="17">
        <v>160</v>
      </c>
      <c r="J1918" s="17">
        <f>+Tabla1321124[[#This Row],[CANTIDAD TOTAL]]*Tabla1321124[[#This Row],[PRECIO UNITARIO ESTIMADO]]</f>
        <v>12800</v>
      </c>
      <c r="K1918" s="17"/>
      <c r="L1918" s="16" t="s">
        <v>27</v>
      </c>
      <c r="M1918" s="16" t="s">
        <v>22</v>
      </c>
      <c r="N1918" s="16" t="s">
        <v>342</v>
      </c>
    </row>
    <row r="1919" spans="1:14" ht="41.25" customHeight="1">
      <c r="A1919" s="178" t="s">
        <v>124</v>
      </c>
      <c r="B1919" s="75" t="str">
        <f ca="1">+UPPER(Tabla1321124[[#This Row],[DESCRIPCIÓN DE LA COMPRA O CONTRATACIÓN]])</f>
        <v>MANITAS LIMPIAS</v>
      </c>
      <c r="C1919" s="39" t="s">
        <v>290</v>
      </c>
      <c r="D1919" s="236">
        <v>15</v>
      </c>
      <c r="E1919" s="236">
        <v>30</v>
      </c>
      <c r="F1919" s="236">
        <v>15</v>
      </c>
      <c r="G1919" s="236">
        <v>30</v>
      </c>
      <c r="H1919" s="240">
        <f>SUM(Tabla1321124[[#This Row],[PRIMER TRIMESTRE]:[CUARTO TRIMESTRE]])</f>
        <v>90</v>
      </c>
      <c r="I1919" s="17">
        <v>450</v>
      </c>
      <c r="J1919" s="17">
        <f>+Tabla1321124[[#This Row],[CANTIDAD TOTAL]]*Tabla1321124[[#This Row],[PRECIO UNITARIO ESTIMADO]]</f>
        <v>40500</v>
      </c>
      <c r="K1919" s="17"/>
      <c r="L1919" s="16" t="s">
        <v>27</v>
      </c>
      <c r="M1919" s="16" t="s">
        <v>22</v>
      </c>
      <c r="N1919" s="16" t="s">
        <v>342</v>
      </c>
    </row>
    <row r="1920" spans="1:14" ht="41.25" customHeight="1">
      <c r="A1920" s="178" t="s">
        <v>124</v>
      </c>
      <c r="B1920" s="75" t="str">
        <f ca="1">+UPPER(Tabla1321124[[#This Row],[DESCRIPCIÓN DE LA COMPRA O CONTRATACIÓN]])</f>
        <v>DISPENSADOR DE CLORO</v>
      </c>
      <c r="C1920" s="39" t="s">
        <v>17</v>
      </c>
      <c r="D1920" s="236"/>
      <c r="E1920" s="236"/>
      <c r="F1920" s="236"/>
      <c r="G1920" s="236"/>
      <c r="H1920" s="240">
        <f>SUM(Tabla1321124[[#This Row],[PRIMER TRIMESTRE]:[CUARTO TRIMESTRE]])</f>
        <v>0</v>
      </c>
      <c r="I1920" s="17">
        <v>469</v>
      </c>
      <c r="J1920" s="17">
        <f>+Tabla1321124[[#This Row],[CANTIDAD TOTAL]]*Tabla1321124[[#This Row],[PRECIO UNITARIO ESTIMADO]]</f>
        <v>0</v>
      </c>
      <c r="K1920" s="17"/>
      <c r="L1920" s="16" t="s">
        <v>27</v>
      </c>
      <c r="M1920" s="16" t="s">
        <v>22</v>
      </c>
      <c r="N1920" s="16" t="s">
        <v>342</v>
      </c>
    </row>
    <row r="1921" spans="1:14" ht="41.25" customHeight="1">
      <c r="A1921" s="178" t="s">
        <v>124</v>
      </c>
      <c r="B1921" s="75" t="str">
        <f ca="1">+UPPER(Tabla1321124[[#This Row],[DESCRIPCIÓN DE LA COMPRA O CONTRATACIÓN]])</f>
        <v>DISPENSADOR DE CLORO EN PASTILLAS FLOTANTES</v>
      </c>
      <c r="C1921" s="39" t="s">
        <v>17</v>
      </c>
      <c r="D1921" s="236"/>
      <c r="E1921" s="236"/>
      <c r="F1921" s="236"/>
      <c r="G1921" s="236"/>
      <c r="H1921" s="240">
        <v>0</v>
      </c>
      <c r="I1921" s="17">
        <v>250</v>
      </c>
      <c r="J1921" s="17">
        <f>+Tabla1321124[[#This Row],[CANTIDAD TOTAL]]*Tabla1321124[[#This Row],[PRECIO UNITARIO ESTIMADO]]</f>
        <v>0</v>
      </c>
      <c r="K1921" s="17"/>
      <c r="L1921" s="16" t="s">
        <v>27</v>
      </c>
      <c r="M1921" s="16" t="s">
        <v>22</v>
      </c>
      <c r="N1921" s="16" t="s">
        <v>342</v>
      </c>
    </row>
    <row r="1922" spans="1:14" ht="41.25" customHeight="1">
      <c r="A1922" s="178" t="s">
        <v>124</v>
      </c>
      <c r="B1922" s="75" t="str">
        <f ca="1">+UPPER(Tabla1321124[[#This Row],[DESCRIPCIÓN DE LA COMPRA O CONTRATACIÓN]])</f>
        <v>CLORO EN PASTILLA EMBASADO EN TAMBOR DE 50 HGS</v>
      </c>
      <c r="C1922" s="39" t="s">
        <v>17</v>
      </c>
      <c r="D1922" s="236"/>
      <c r="E1922" s="236"/>
      <c r="F1922" s="236"/>
      <c r="G1922" s="236"/>
      <c r="H1922" s="240">
        <v>0</v>
      </c>
      <c r="I1922" s="17">
        <v>0</v>
      </c>
      <c r="J1922" s="17">
        <f>+Tabla1321124[[#This Row],[CANTIDAD TOTAL]]*Tabla1321124[[#This Row],[PRECIO UNITARIO ESTIMADO]]</f>
        <v>0</v>
      </c>
      <c r="K1922" s="330"/>
      <c r="L1922" s="16" t="s">
        <v>27</v>
      </c>
      <c r="M1922" s="16" t="s">
        <v>22</v>
      </c>
      <c r="N1922" s="16" t="s">
        <v>342</v>
      </c>
    </row>
    <row r="1923" spans="1:14" ht="41.25" customHeight="1">
      <c r="A1923" s="178" t="s">
        <v>124</v>
      </c>
      <c r="B1923" s="75" t="str">
        <f ca="1">+UPPER(Tabla1321124[[#This Row],[DESCRIPCIÓN DE LA COMPRA O CONTRATACIÓN]])</f>
        <v>DISPENSADOR DE MANITAS LIMPIAS</v>
      </c>
      <c r="C1923" s="39" t="s">
        <v>17</v>
      </c>
      <c r="D1923" s="236">
        <f>2+5</f>
        <v>7</v>
      </c>
      <c r="E1923" s="236">
        <v>5</v>
      </c>
      <c r="F1923" s="236">
        <v>5</v>
      </c>
      <c r="G1923" s="236">
        <v>7</v>
      </c>
      <c r="H1923" s="240">
        <f>SUM(Tabla1321124[[#This Row],[PRIMER TRIMESTRE]:[CUARTO TRIMESTRE]])</f>
        <v>24</v>
      </c>
      <c r="I1923" s="17">
        <v>250</v>
      </c>
      <c r="J1923" s="17">
        <f>+Tabla1321124[[#This Row],[CANTIDAD TOTAL]]*Tabla1321124[[#This Row],[PRECIO UNITARIO ESTIMADO]]</f>
        <v>6000</v>
      </c>
      <c r="K1923" s="17"/>
      <c r="L1923" s="16" t="s">
        <v>27</v>
      </c>
      <c r="M1923" s="16" t="s">
        <v>22</v>
      </c>
      <c r="N1923" s="16" t="s">
        <v>342</v>
      </c>
    </row>
    <row r="1924" spans="1:14" ht="41.25" customHeight="1">
      <c r="A1924" s="178" t="s">
        <v>124</v>
      </c>
      <c r="B1924" s="75" t="str">
        <f ca="1">+UPPER(Tabla1321124[[#This Row],[DESCRIPCIÓN DE LA COMPRA O CONTRATACIÓN]])</f>
        <v>JABON LIQUIDO PARA LAS MANOS</v>
      </c>
      <c r="C1924" s="39" t="s">
        <v>290</v>
      </c>
      <c r="D1924" s="236">
        <f>4+2</f>
        <v>6</v>
      </c>
      <c r="E1924" s="236">
        <f>4+2</f>
        <v>6</v>
      </c>
      <c r="F1924" s="236">
        <f>4+2</f>
        <v>6</v>
      </c>
      <c r="G1924" s="236">
        <f>4+2</f>
        <v>6</v>
      </c>
      <c r="H1924" s="240">
        <f>SUM(Tabla1321124[[#This Row],[PRIMER TRIMESTRE]:[CUARTO TRIMESTRE]])</f>
        <v>24</v>
      </c>
      <c r="I1924" s="17">
        <v>250</v>
      </c>
      <c r="J1924" s="17">
        <f>+Tabla1321124[[#This Row],[CANTIDAD TOTAL]]*Tabla1321124[[#This Row],[PRECIO UNITARIO ESTIMADO]]</f>
        <v>6000</v>
      </c>
      <c r="K1924" s="17"/>
      <c r="L1924" s="16" t="s">
        <v>27</v>
      </c>
      <c r="M1924" s="16" t="s">
        <v>22</v>
      </c>
      <c r="N1924" s="16" t="s">
        <v>342</v>
      </c>
    </row>
    <row r="1925" spans="1:14" ht="41.25" customHeight="1">
      <c r="A1925" s="178" t="s">
        <v>124</v>
      </c>
      <c r="B1925" s="75" t="str">
        <f ca="1">+UPPER(Tabla1321124[[#This Row],[DESCRIPCIÓN DE LA COMPRA O CONTRATACIÓN]])</f>
        <v>BRILLO VERDE CON ESPONJA</v>
      </c>
      <c r="C1925" s="39" t="s">
        <v>1067</v>
      </c>
      <c r="D1925" s="236">
        <f>12+10</f>
        <v>22</v>
      </c>
      <c r="E1925" s="236">
        <v>10</v>
      </c>
      <c r="F1925" s="236">
        <v>10</v>
      </c>
      <c r="G1925" s="236">
        <v>10</v>
      </c>
      <c r="H1925" s="240">
        <f>SUM(Tabla1321124[[#This Row],[PRIMER TRIMESTRE]:[CUARTO TRIMESTRE]])</f>
        <v>52</v>
      </c>
      <c r="I1925" s="17">
        <v>53</v>
      </c>
      <c r="J1925" s="17">
        <f>+Tabla1321124[[#This Row],[CANTIDAD TOTAL]]*Tabla1321124[[#This Row],[PRECIO UNITARIO ESTIMADO]]</f>
        <v>2756</v>
      </c>
      <c r="K1925" s="17"/>
      <c r="L1925" s="16" t="s">
        <v>27</v>
      </c>
      <c r="M1925" s="16" t="s">
        <v>22</v>
      </c>
      <c r="N1925" s="16" t="s">
        <v>342</v>
      </c>
    </row>
    <row r="1926" spans="1:14" ht="41.25" customHeight="1">
      <c r="A1926" s="178" t="s">
        <v>124</v>
      </c>
      <c r="B1926" s="75" t="str">
        <f ca="1">+UPPER(Tabla1321124[[#This Row],[DESCRIPCIÓN DE LA COMPRA O CONTRATACIÓN]])</f>
        <v>DETERGENTE EN POLVO</v>
      </c>
      <c r="C1926" s="39" t="s">
        <v>1414</v>
      </c>
      <c r="D1926" s="236">
        <v>35</v>
      </c>
      <c r="E1926" s="236">
        <v>25</v>
      </c>
      <c r="F1926" s="236">
        <v>25</v>
      </c>
      <c r="G1926" s="236">
        <v>35</v>
      </c>
      <c r="H1926" s="240">
        <f>SUM(Tabla1321124[[#This Row],[PRIMER TRIMESTRE]:[CUARTO TRIMESTRE]])</f>
        <v>120</v>
      </c>
      <c r="I1926" s="17">
        <v>450</v>
      </c>
      <c r="J1926" s="17">
        <f>+Tabla1321124[[#This Row],[CANTIDAD TOTAL]]*Tabla1321124[[#This Row],[PRECIO UNITARIO ESTIMADO]]</f>
        <v>54000</v>
      </c>
      <c r="K1926" s="17"/>
      <c r="L1926" s="16" t="s">
        <v>27</v>
      </c>
      <c r="M1926" s="16" t="s">
        <v>22</v>
      </c>
      <c r="N1926" s="16" t="s">
        <v>342</v>
      </c>
    </row>
    <row r="1927" spans="1:14" ht="41.25" customHeight="1">
      <c r="A1927" s="178" t="s">
        <v>124</v>
      </c>
      <c r="B1927" s="75" t="str">
        <f ca="1">+UPPER(Tabla1321124[[#This Row],[DESCRIPCIÓN DE LA COMPRA O CONTRATACIÓN]])</f>
        <v>DESINFECTANTE</v>
      </c>
      <c r="C1927" s="39" t="s">
        <v>290</v>
      </c>
      <c r="D1927" s="236">
        <v>150</v>
      </c>
      <c r="E1927" s="236">
        <v>150</v>
      </c>
      <c r="F1927" s="236">
        <v>150</v>
      </c>
      <c r="G1927" s="236">
        <v>150</v>
      </c>
      <c r="H1927" s="240">
        <f>SUM(Tabla1321124[[#This Row],[PRIMER TRIMESTRE]:[CUARTO TRIMESTRE]])</f>
        <v>600</v>
      </c>
      <c r="I1927" s="17">
        <v>121.8</v>
      </c>
      <c r="J1927" s="17">
        <f>+Tabla1321124[[#This Row],[CANTIDAD TOTAL]]*Tabla1321124[[#This Row],[PRECIO UNITARIO ESTIMADO]]</f>
        <v>73080</v>
      </c>
      <c r="K1927" s="17"/>
      <c r="L1927" s="16" t="s">
        <v>27</v>
      </c>
      <c r="M1927" s="16" t="s">
        <v>22</v>
      </c>
      <c r="N1927" s="16" t="s">
        <v>342</v>
      </c>
    </row>
    <row r="1928" spans="1:14" ht="41.25" customHeight="1">
      <c r="A1928" s="178" t="s">
        <v>124</v>
      </c>
      <c r="B1928" s="75" t="str">
        <f ca="1">+UPPER(Tabla1321124[[#This Row],[DESCRIPCIÓN DE LA COMPRA O CONTRATACIÓN]])</f>
        <v>CEPILLOS PLASTICOS</v>
      </c>
      <c r="C1928" s="39" t="s">
        <v>17</v>
      </c>
      <c r="D1928" s="236">
        <v>225</v>
      </c>
      <c r="E1928" s="236">
        <v>225</v>
      </c>
      <c r="F1928" s="236">
        <v>225</v>
      </c>
      <c r="G1928" s="236">
        <v>225</v>
      </c>
      <c r="H1928" s="240">
        <f>SUM(Tabla1321124[[#This Row],[PRIMER TRIMESTRE]:[CUARTO TRIMESTRE]])</f>
        <v>900</v>
      </c>
      <c r="I1928" s="17">
        <v>217.18</v>
      </c>
      <c r="J1928" s="17">
        <f>+Tabla1321124[[#This Row],[CANTIDAD TOTAL]]*Tabla1321124[[#This Row],[PRECIO UNITARIO ESTIMADO]]</f>
        <v>195462</v>
      </c>
      <c r="K1928" s="17"/>
      <c r="L1928" s="16" t="s">
        <v>27</v>
      </c>
      <c r="M1928" s="16" t="s">
        <v>22</v>
      </c>
      <c r="N1928" s="16" t="s">
        <v>342</v>
      </c>
    </row>
    <row r="1929" spans="1:14" ht="41.25" customHeight="1">
      <c r="A1929" s="178" t="s">
        <v>124</v>
      </c>
      <c r="B1929" s="75" t="str">
        <f ca="1">+UPPER(Tabla1321124[[#This Row],[DESCRIPCIÓN DE LA COMPRA O CONTRATACIÓN]])</f>
        <v>ESCOBA PLASTICA CON SU PALO</v>
      </c>
      <c r="C1929" s="39" t="s">
        <v>17</v>
      </c>
      <c r="D1929" s="236">
        <v>125</v>
      </c>
      <c r="E1929" s="236">
        <v>50</v>
      </c>
      <c r="F1929" s="236">
        <v>125</v>
      </c>
      <c r="G1929" s="236">
        <v>50</v>
      </c>
      <c r="H1929" s="240">
        <f>SUM(Tabla1321124[[#This Row],[PRIMER TRIMESTRE]:[CUARTO TRIMESTRE]])</f>
        <v>350</v>
      </c>
      <c r="I1929" s="17">
        <v>217.18</v>
      </c>
      <c r="J1929" s="17">
        <f>+Tabla1321124[[#This Row],[CANTIDAD TOTAL]]*Tabla1321124[[#This Row],[PRECIO UNITARIO ESTIMADO]]</f>
        <v>76013</v>
      </c>
      <c r="K1929" s="17"/>
      <c r="L1929" s="16" t="s">
        <v>27</v>
      </c>
      <c r="M1929" s="16" t="s">
        <v>22</v>
      </c>
      <c r="N1929" s="16" t="s">
        <v>342</v>
      </c>
    </row>
    <row r="1930" spans="1:14" ht="41.25" customHeight="1">
      <c r="A1930" s="178" t="s">
        <v>124</v>
      </c>
      <c r="B1930" s="75" t="str">
        <f ca="1">+UPPER(Tabla1321124[[#This Row],[DESCRIPCIÓN DE LA COMPRA O CONTRATACIÓN]])</f>
        <v>ESCOBILLONES DE PLASTICO</v>
      </c>
      <c r="C1930" s="39" t="s">
        <v>17</v>
      </c>
      <c r="D1930" s="236">
        <v>250</v>
      </c>
      <c r="E1930" s="236">
        <v>250</v>
      </c>
      <c r="F1930" s="236">
        <v>250</v>
      </c>
      <c r="G1930" s="236">
        <v>250</v>
      </c>
      <c r="H1930" s="240">
        <f>SUM(Tabla1321124[[#This Row],[PRIMER TRIMESTRE]:[CUARTO TRIMESTRE]])</f>
        <v>1000</v>
      </c>
      <c r="I1930" s="17">
        <v>377.54</v>
      </c>
      <c r="J1930" s="17">
        <f>+Tabla1321124[[#This Row],[CANTIDAD TOTAL]]*Tabla1321124[[#This Row],[PRECIO UNITARIO ESTIMADO]]</f>
        <v>377540</v>
      </c>
      <c r="K1930" s="17"/>
      <c r="L1930" s="16" t="s">
        <v>27</v>
      </c>
      <c r="M1930" s="16" t="s">
        <v>22</v>
      </c>
      <c r="N1930" s="16" t="s">
        <v>342</v>
      </c>
    </row>
    <row r="1931" spans="1:14" ht="41.25" customHeight="1">
      <c r="A1931" s="178" t="s">
        <v>124</v>
      </c>
      <c r="B1931" s="75" t="str">
        <f ca="1">+UPPER(Tabla1321124[[#This Row],[DESCRIPCIÓN DE LA COMPRA O CONTRATACIÓN]])</f>
        <v>ESCOBILLA LIMPIA BAÑOS</v>
      </c>
      <c r="C1931" s="39" t="s">
        <v>17</v>
      </c>
      <c r="D1931" s="236">
        <v>14</v>
      </c>
      <c r="E1931" s="236">
        <v>12</v>
      </c>
      <c r="F1931" s="236">
        <v>12</v>
      </c>
      <c r="G1931" s="236">
        <v>12</v>
      </c>
      <c r="H1931" s="240">
        <f>SUM(Tabla1321124[[#This Row],[PRIMER TRIMESTRE]:[CUARTO TRIMESTRE]])</f>
        <v>50</v>
      </c>
      <c r="I1931" s="17">
        <v>90</v>
      </c>
      <c r="J1931" s="17">
        <f>+Tabla1321124[[#This Row],[CANTIDAD TOTAL]]*Tabla1321124[[#This Row],[PRECIO UNITARIO ESTIMADO]]</f>
        <v>4500</v>
      </c>
      <c r="K1931" s="17"/>
      <c r="L1931" s="16" t="s">
        <v>27</v>
      </c>
      <c r="M1931" s="16" t="s">
        <v>22</v>
      </c>
      <c r="N1931" s="16" t="s">
        <v>342</v>
      </c>
    </row>
    <row r="1932" spans="1:14" ht="41.25" customHeight="1">
      <c r="A1932" s="178" t="s">
        <v>124</v>
      </c>
      <c r="B1932" s="75" t="str">
        <f ca="1">+UPPER(Tabla1321124[[#This Row],[DESCRIPCIÓN DE LA COMPRA O CONTRATACIÓN]])</f>
        <v>BAMBA DESTAPA CAÑOS</v>
      </c>
      <c r="C1932" s="39" t="s">
        <v>17</v>
      </c>
      <c r="D1932" s="236">
        <v>3</v>
      </c>
      <c r="E1932" s="236">
        <v>3</v>
      </c>
      <c r="F1932" s="236">
        <v>2</v>
      </c>
      <c r="G1932" s="236">
        <v>2</v>
      </c>
      <c r="H1932" s="240">
        <f>Tabla1321124[[#This Row],[CUARTO TRIMESTRE]]+Tabla1321124[[#This Row],[TERCER TRIMESTRE]]+Tabla1321124[[#This Row],[SEGUNDO TRIMESTRE]]+Tabla1321124[[#This Row],[PRIMER TRIMESTRE]]</f>
        <v>10</v>
      </c>
      <c r="I1932" s="17">
        <v>350</v>
      </c>
      <c r="J1932" s="17">
        <f>+Tabla1321124[[#This Row],[CANTIDAD TOTAL]]*Tabla1321124[[#This Row],[PRECIO UNITARIO ESTIMADO]]</f>
        <v>3500</v>
      </c>
      <c r="K1932" s="17"/>
      <c r="L1932" s="16" t="s">
        <v>27</v>
      </c>
      <c r="M1932" s="16" t="s">
        <v>22</v>
      </c>
      <c r="N1932" s="16" t="s">
        <v>342</v>
      </c>
    </row>
    <row r="1933" spans="1:14" ht="41.25" customHeight="1">
      <c r="A1933" s="178" t="s">
        <v>124</v>
      </c>
      <c r="B1933" s="75" t="str">
        <f ca="1">+UPPER(Tabla1321124[[#This Row],[DESCRIPCIÓN DE LA COMPRA O CONTRATACIÓN]])</f>
        <v>ALFOMBRA DE GOMA AZUL</v>
      </c>
      <c r="C1933" s="39" t="s">
        <v>470</v>
      </c>
      <c r="D1933" s="236">
        <v>25</v>
      </c>
      <c r="E1933" s="236">
        <v>25</v>
      </c>
      <c r="F1933" s="236">
        <v>25</v>
      </c>
      <c r="G1933" s="236">
        <v>25</v>
      </c>
      <c r="H1933" s="240">
        <f>Tabla1321124[[#This Row],[CUARTO TRIMESTRE]]+Tabla1321124[[#This Row],[TERCER TRIMESTRE]]+Tabla1321124[[#This Row],[SEGUNDO TRIMESTRE]]+Tabla1321124[[#This Row],[PRIMER TRIMESTRE]]</f>
        <v>100</v>
      </c>
      <c r="I1933" s="17">
        <v>350</v>
      </c>
      <c r="J1933" s="17">
        <f>+Tabla1321124[[#This Row],[CANTIDAD TOTAL]]*Tabla1321124[[#This Row],[PRECIO UNITARIO ESTIMADO]]</f>
        <v>35000</v>
      </c>
      <c r="K1933" s="17"/>
      <c r="L1933" s="16" t="s">
        <v>27</v>
      </c>
      <c r="M1933" s="16" t="s">
        <v>22</v>
      </c>
      <c r="N1933" s="16" t="s">
        <v>342</v>
      </c>
    </row>
    <row r="1934" spans="1:14" ht="41.25" customHeight="1">
      <c r="A1934" s="178" t="s">
        <v>124</v>
      </c>
      <c r="B1934" s="75" t="str">
        <f ca="1">+UPPER(Tabla1321124[[#This Row],[DESCRIPCIÓN DE LA COMPRA O CONTRATACIÓN]])</f>
        <v xml:space="preserve">PINESPUMA </v>
      </c>
      <c r="C1934" s="39" t="s">
        <v>17</v>
      </c>
      <c r="D1934" s="236">
        <f>5+3</f>
        <v>8</v>
      </c>
      <c r="E1934" s="210">
        <f>5+3</f>
        <v>8</v>
      </c>
      <c r="F1934" s="210">
        <f>5+3</f>
        <v>8</v>
      </c>
      <c r="G1934" s="210">
        <f>5+3</f>
        <v>8</v>
      </c>
      <c r="H1934" s="240">
        <f>SUM(Tabla1321124[[#This Row],[PRIMER TRIMESTRE]:[CUARTO TRIMESTRE]])</f>
        <v>32</v>
      </c>
      <c r="I1934" s="17">
        <v>424.95</v>
      </c>
      <c r="J1934" s="17">
        <f>+Tabla1321124[[#This Row],[CANTIDAD TOTAL]]*Tabla1321124[[#This Row],[PRECIO UNITARIO ESTIMADO]]</f>
        <v>13598.4</v>
      </c>
      <c r="K1934" s="17"/>
      <c r="L1934" s="16" t="s">
        <v>27</v>
      </c>
      <c r="M1934" s="16" t="s">
        <v>22</v>
      </c>
      <c r="N1934" s="16" t="s">
        <v>342</v>
      </c>
    </row>
    <row r="1935" spans="1:14" ht="41.25" customHeight="1">
      <c r="A1935" s="178" t="s">
        <v>124</v>
      </c>
      <c r="B1935" s="75" t="str">
        <f ca="1">+UPPER(Tabla1321124[[#This Row],[DESCRIPCIÓN DE LA COMPRA O CONTRATACIÓN]])</f>
        <v>LIMPIA CRISTALES</v>
      </c>
      <c r="C1935" s="39" t="s">
        <v>33</v>
      </c>
      <c r="D1935" s="236">
        <v>25</v>
      </c>
      <c r="E1935" s="236">
        <v>25</v>
      </c>
      <c r="F1935" s="236">
        <v>25</v>
      </c>
      <c r="G1935" s="236">
        <v>25</v>
      </c>
      <c r="H1935" s="240">
        <f>SUM(Tabla1321124[[#This Row],[PRIMER TRIMESTRE]:[CUARTO TRIMESTRE]])</f>
        <v>100</v>
      </c>
      <c r="I1935" s="17">
        <v>404.45</v>
      </c>
      <c r="J1935" s="17">
        <f>+Tabla1321124[[#This Row],[CANTIDAD TOTAL]]*Tabla1321124[[#This Row],[PRECIO UNITARIO ESTIMADO]]</f>
        <v>40445</v>
      </c>
      <c r="K1935" s="17"/>
      <c r="L1935" s="16" t="s">
        <v>27</v>
      </c>
      <c r="M1935" s="16" t="s">
        <v>22</v>
      </c>
      <c r="N1935" s="16" t="s">
        <v>342</v>
      </c>
    </row>
    <row r="1936" spans="1:14" ht="41.25" customHeight="1">
      <c r="A1936" s="178" t="s">
        <v>124</v>
      </c>
      <c r="B1936" s="75" t="str">
        <f ca="1">+UPPER(Tabla1321124[[#This Row],[DESCRIPCIÓN DE LA COMPRA O CONTRATACIÓN]])</f>
        <v>RECOGERDOR DE BASURA</v>
      </c>
      <c r="C1936" s="39" t="s">
        <v>17</v>
      </c>
      <c r="D1936" s="236">
        <v>10</v>
      </c>
      <c r="E1936" s="236">
        <v>20</v>
      </c>
      <c r="F1936" s="236">
        <v>30</v>
      </c>
      <c r="G1936" s="236">
        <v>10</v>
      </c>
      <c r="H1936" s="240">
        <f>SUM(Tabla1321124[[#This Row],[PRIMER TRIMESTRE]:[CUARTO TRIMESTRE]])</f>
        <v>70</v>
      </c>
      <c r="I1936" s="17">
        <v>140</v>
      </c>
      <c r="J1936" s="17">
        <f>+Tabla1321124[[#This Row],[CANTIDAD TOTAL]]*Tabla1321124[[#This Row],[PRECIO UNITARIO ESTIMADO]]</f>
        <v>9800</v>
      </c>
      <c r="K1936" s="17"/>
      <c r="L1936" s="16" t="s">
        <v>27</v>
      </c>
      <c r="M1936" s="16" t="s">
        <v>22</v>
      </c>
      <c r="N1936" s="16" t="s">
        <v>342</v>
      </c>
    </row>
    <row r="1937" spans="1:14" ht="41.25" customHeight="1">
      <c r="A1937" s="178" t="s">
        <v>124</v>
      </c>
      <c r="B1937" s="75" t="str">
        <f ca="1">+UPPER(Tabla1321124[[#This Row],[DESCRIPCIÓN DE LA COMPRA O CONTRATACIÓN]])</f>
        <v>FUNDA DE BASURA PARA SAFACON</v>
      </c>
      <c r="C1937" s="39" t="s">
        <v>1461</v>
      </c>
      <c r="D1937" s="236">
        <v>50</v>
      </c>
      <c r="E1937" s="236">
        <v>100</v>
      </c>
      <c r="F1937" s="236">
        <v>50</v>
      </c>
      <c r="G1937" s="236">
        <v>100</v>
      </c>
      <c r="H1937" s="240">
        <f>SUM(Tabla1321124[[#This Row],[PRIMER TRIMESTRE]:[CUARTO TRIMESTRE]])</f>
        <v>300</v>
      </c>
      <c r="I1937" s="17">
        <v>55</v>
      </c>
      <c r="J1937" s="17">
        <f>+Tabla1321124[[#This Row],[CANTIDAD TOTAL]]*Tabla1321124[[#This Row],[PRECIO UNITARIO ESTIMADO]]</f>
        <v>16500</v>
      </c>
      <c r="K1937" s="17"/>
      <c r="L1937" s="16" t="s">
        <v>27</v>
      </c>
      <c r="M1937" s="16" t="s">
        <v>22</v>
      </c>
      <c r="N1937" s="16" t="s">
        <v>342</v>
      </c>
    </row>
    <row r="1938" spans="1:14" ht="41.25" customHeight="1">
      <c r="A1938" s="178" t="s">
        <v>124</v>
      </c>
      <c r="B1938" s="75" t="str">
        <f ca="1">+UPPER(Tabla1321124[[#This Row],[DESCRIPCIÓN DE LA COMPRA O CONTRATACIÓN]])</f>
        <v>BLANQUEADOR DE PISOS</v>
      </c>
      <c r="C1938" s="39" t="s">
        <v>1461</v>
      </c>
      <c r="D1938" s="236">
        <f>1+1</f>
        <v>2</v>
      </c>
      <c r="E1938" s="236">
        <v>1</v>
      </c>
      <c r="F1938" s="236">
        <v>1</v>
      </c>
      <c r="G1938" s="236">
        <v>1</v>
      </c>
      <c r="H1938" s="240">
        <f>SUM(Tabla1321124[[#This Row],[PRIMER TRIMESTRE]:[CUARTO TRIMESTRE]])</f>
        <v>5</v>
      </c>
      <c r="I1938" s="17">
        <v>250</v>
      </c>
      <c r="J1938" s="17">
        <f>+Tabla1321124[[#This Row],[CANTIDAD TOTAL]]*Tabla1321124[[#This Row],[PRECIO UNITARIO ESTIMADO]]</f>
        <v>1250</v>
      </c>
      <c r="K1938" s="302"/>
      <c r="L1938" s="16" t="s">
        <v>27</v>
      </c>
      <c r="M1938" s="16" t="s">
        <v>22</v>
      </c>
      <c r="N1938" s="16" t="s">
        <v>342</v>
      </c>
    </row>
    <row r="1939" spans="1:14" ht="41.25" customHeight="1">
      <c r="A1939" s="178" t="s">
        <v>124</v>
      </c>
      <c r="B1939" s="75" t="str">
        <f ca="1">+UPPER(Tabla1321124[[#This Row],[DESCRIPCIÓN DE LA COMPRA O CONTRATACIÓN]])</f>
        <v>FUNDA DE BASURA DE 55 GRANDES</v>
      </c>
      <c r="C1939" s="39" t="s">
        <v>1461</v>
      </c>
      <c r="D1939" s="236">
        <v>50</v>
      </c>
      <c r="E1939" s="236">
        <v>50</v>
      </c>
      <c r="F1939" s="236">
        <v>25</v>
      </c>
      <c r="G1939" s="236">
        <v>25</v>
      </c>
      <c r="H1939" s="240">
        <f>SUM(Tabla1321124[[#This Row],[PRIMER TRIMESTRE]:[CUARTO TRIMESTRE]])</f>
        <v>150</v>
      </c>
      <c r="I1939" s="17">
        <v>100</v>
      </c>
      <c r="J1939" s="17">
        <f>+Tabla1321124[[#This Row],[CANTIDAD TOTAL]]*Tabla1321124[[#This Row],[PRECIO UNITARIO ESTIMADO]]</f>
        <v>15000</v>
      </c>
      <c r="K1939" s="386">
        <f>SUM(J1909:J1939)</f>
        <v>1392288.4</v>
      </c>
      <c r="L1939" s="16" t="s">
        <v>27</v>
      </c>
      <c r="M1939" s="16" t="s">
        <v>22</v>
      </c>
      <c r="N1939" s="16" t="s">
        <v>342</v>
      </c>
    </row>
    <row r="1940" spans="1:14" ht="41.25" customHeight="1">
      <c r="A1940" s="538" t="s">
        <v>124</v>
      </c>
      <c r="B1940" s="76" t="str">
        <f ca="1">+UPPER(Tabla1321124[[#This Row],[DESCRIPCIÓN DE LA COMPRA O CONTRATACIÓN]])</f>
        <v/>
      </c>
      <c r="C1940" s="237"/>
      <c r="D1940" s="237"/>
      <c r="E1940" s="237"/>
      <c r="F1940" s="237"/>
      <c r="G1940" s="237"/>
      <c r="H1940" s="238"/>
      <c r="I1940" s="76" t="str">
        <f ca="1">+UPPER(Tabla1321124[[#This Row],[DESCRIPCIÓN DE LA COMPRA O CONTRATACIÓN]])</f>
        <v/>
      </c>
      <c r="J1940" s="383"/>
      <c r="K1940" s="25">
        <f>SUM(J1909:J1939)</f>
        <v>1392288.4</v>
      </c>
      <c r="L1940" s="383"/>
      <c r="M1940" s="383"/>
      <c r="N1940" s="383"/>
    </row>
    <row r="1941" spans="1:14" ht="41.25" customHeight="1">
      <c r="A1941" s="178" t="s">
        <v>295</v>
      </c>
      <c r="B1941" s="75" t="str">
        <f ca="1">+UPPER(Tabla1321124[[#This Row],[DESCRIPCIÓN DE LA COMPRA O CONTRATACIÓN]])</f>
        <v>COMPRESOR PARA AIRE DE 18000 BTU 220V</v>
      </c>
      <c r="C1941" s="39" t="s">
        <v>17</v>
      </c>
      <c r="D1941" s="236">
        <v>5</v>
      </c>
      <c r="E1941" s="236">
        <v>5</v>
      </c>
      <c r="F1941" s="236">
        <v>5</v>
      </c>
      <c r="G1941" s="236">
        <v>5</v>
      </c>
      <c r="H1941" s="240">
        <f>SUM(Tabla1321124[[#This Row],[PRIMER TRIMESTRE]:[CUARTO TRIMESTRE]])</f>
        <v>20</v>
      </c>
      <c r="I1941" s="17">
        <v>5300.02</v>
      </c>
      <c r="J1941" s="17">
        <f>+Tabla1321124[[#This Row],[CANTIDAD TOTAL]]*Tabla1321124[[#This Row],[PRECIO UNITARIO ESTIMADO]]</f>
        <v>106000.40000000001</v>
      </c>
      <c r="K1941" s="17"/>
      <c r="L1941" s="16" t="s">
        <v>15</v>
      </c>
      <c r="M1941" s="16" t="s">
        <v>22</v>
      </c>
      <c r="N1941" s="16" t="s">
        <v>342</v>
      </c>
    </row>
    <row r="1942" spans="1:14" ht="41.25" customHeight="1">
      <c r="A1942" s="178" t="s">
        <v>295</v>
      </c>
      <c r="B1942" s="75" t="str">
        <f ca="1">+UPPER(Tabla1321124[[#This Row],[DESCRIPCIÓN DE LA COMPRA O CONTRATACIÓN]])</f>
        <v>COMPRESOR PARA AIRE DE 24000 BTU 220V</v>
      </c>
      <c r="C1942" s="39" t="s">
        <v>17</v>
      </c>
      <c r="D1942" s="236">
        <v>4</v>
      </c>
      <c r="E1942" s="236">
        <v>4</v>
      </c>
      <c r="F1942" s="236">
        <v>4</v>
      </c>
      <c r="G1942" s="236">
        <v>4</v>
      </c>
      <c r="H1942" s="240">
        <f>SUM(Tabla1321124[[#This Row],[PRIMER TRIMESTRE]:[CUARTO TRIMESTRE]])</f>
        <v>16</v>
      </c>
      <c r="I1942" s="17">
        <v>11775.77</v>
      </c>
      <c r="J1942" s="17">
        <f>+Tabla1321124[[#This Row],[CANTIDAD TOTAL]]*Tabla1321124[[#This Row],[PRECIO UNITARIO ESTIMADO]]</f>
        <v>188412.32</v>
      </c>
      <c r="K1942" s="17"/>
      <c r="L1942" s="16" t="s">
        <v>15</v>
      </c>
      <c r="M1942" s="16" t="s">
        <v>22</v>
      </c>
      <c r="N1942" s="16" t="s">
        <v>342</v>
      </c>
    </row>
    <row r="1943" spans="1:14" ht="41.25" customHeight="1">
      <c r="A1943" s="178" t="s">
        <v>295</v>
      </c>
      <c r="B1943" s="75" t="str">
        <f ca="1">+UPPER(Tabla1321124[[#This Row],[DESCRIPCIÓN DE LA COMPRA O CONTRATACIÓN]])</f>
        <v>COMPRESOR PARA AIRE DE 60000 BTU 220V</v>
      </c>
      <c r="C1943" s="39" t="s">
        <v>17</v>
      </c>
      <c r="D1943" s="236">
        <v>5</v>
      </c>
      <c r="E1943" s="236">
        <v>10</v>
      </c>
      <c r="F1943" s="236">
        <v>5</v>
      </c>
      <c r="G1943" s="236">
        <v>10</v>
      </c>
      <c r="H1943" s="240">
        <f>SUM(Tabla1321124[[#This Row],[PRIMER TRIMESTRE]:[CUARTO TRIMESTRE]])</f>
        <v>30</v>
      </c>
      <c r="I1943" s="17">
        <v>18999.439999999999</v>
      </c>
      <c r="J1943" s="17">
        <f>+Tabla1321124[[#This Row],[CANTIDAD TOTAL]]*Tabla1321124[[#This Row],[PRECIO UNITARIO ESTIMADO]]</f>
        <v>569983.19999999995</v>
      </c>
      <c r="K1943" s="17"/>
      <c r="L1943" s="16" t="s">
        <v>15</v>
      </c>
      <c r="M1943" s="16" t="s">
        <v>22</v>
      </c>
      <c r="N1943" s="16" t="s">
        <v>342</v>
      </c>
    </row>
    <row r="1944" spans="1:14" ht="41.25" customHeight="1">
      <c r="A1944" s="178" t="s">
        <v>295</v>
      </c>
      <c r="B1944" s="75" t="str">
        <f ca="1">+UPPER(Tabla1321124[[#This Row],[DESCRIPCIÓN DE LA COMPRA O CONTRATACIÓN]])</f>
        <v>GRECA ELECTRICA PARA CAFÉ</v>
      </c>
      <c r="C1944" s="39" t="s">
        <v>17</v>
      </c>
      <c r="D1944" s="236">
        <v>10</v>
      </c>
      <c r="E1944" s="236">
        <f>34+1</f>
        <v>35</v>
      </c>
      <c r="F1944" s="236">
        <v>10</v>
      </c>
      <c r="G1944" s="236">
        <f>34+1</f>
        <v>35</v>
      </c>
      <c r="H1944" s="240">
        <f>SUM(Tabla1321124[[#This Row],[PRIMER TRIMESTRE]:[CUARTO TRIMESTRE]])</f>
        <v>90</v>
      </c>
      <c r="I1944" s="17">
        <v>784</v>
      </c>
      <c r="J1944" s="17">
        <f>+Tabla1321124[[#This Row],[CANTIDAD TOTAL]]*Tabla1321124[[#This Row],[PRECIO UNITARIO ESTIMADO]]</f>
        <v>70560</v>
      </c>
      <c r="K1944" s="17"/>
      <c r="L1944" s="16" t="s">
        <v>15</v>
      </c>
      <c r="M1944" s="16" t="s">
        <v>22</v>
      </c>
      <c r="N1944" s="16" t="s">
        <v>342</v>
      </c>
    </row>
    <row r="1945" spans="1:14" ht="41.25" customHeight="1">
      <c r="A1945" s="178" t="s">
        <v>295</v>
      </c>
      <c r="B1945" s="75" t="str">
        <f ca="1">+UPPER(Tabla1321124[[#This Row],[DESCRIPCIÓN DE LA COMPRA O CONTRATACIÓN]])</f>
        <v>CAFETERA ELECTRICA  25 LITROS (PARA PROTOCOLO)</v>
      </c>
      <c r="C1945" s="39" t="s">
        <v>17</v>
      </c>
      <c r="D1945" s="236">
        <f>1</f>
        <v>1</v>
      </c>
      <c r="E1945" s="236"/>
      <c r="F1945" s="236"/>
      <c r="G1945" s="236"/>
      <c r="H1945" s="240">
        <v>1</v>
      </c>
      <c r="I1945" s="17">
        <v>784</v>
      </c>
      <c r="J1945" s="17">
        <f>+Tabla1321124[[#This Row],[CANTIDAD TOTAL]]*Tabla1321124[[#This Row],[PRECIO UNITARIO ESTIMADO]]</f>
        <v>784</v>
      </c>
      <c r="K1945" s="345"/>
      <c r="L1945" s="16" t="s">
        <v>15</v>
      </c>
      <c r="M1945" s="16" t="s">
        <v>22</v>
      </c>
      <c r="N1945" s="16" t="s">
        <v>342</v>
      </c>
    </row>
    <row r="1946" spans="1:14" ht="41.25" customHeight="1">
      <c r="A1946" s="178" t="s">
        <v>295</v>
      </c>
      <c r="B1946" s="75" t="str">
        <f ca="1">+UPPER(Tabla1321124[[#This Row],[DESCRIPCIÓN DE LA COMPRA O CONTRATACIÓN]])</f>
        <v>COPAS DE AGUA</v>
      </c>
      <c r="C1946" s="39" t="s">
        <v>1773</v>
      </c>
      <c r="D1946" s="236">
        <v>24</v>
      </c>
      <c r="E1946" s="236"/>
      <c r="F1946" s="236"/>
      <c r="G1946" s="236"/>
      <c r="H1946" s="240">
        <v>24</v>
      </c>
      <c r="I1946" s="17">
        <v>100</v>
      </c>
      <c r="J1946" s="17">
        <f>+Tabla1321124[[#This Row],[CANTIDAD TOTAL]]*Tabla1321124[[#This Row],[PRECIO UNITARIO ESTIMADO]]</f>
        <v>2400</v>
      </c>
      <c r="K1946" s="345"/>
      <c r="L1946" s="16" t="s">
        <v>15</v>
      </c>
      <c r="M1946" s="16" t="s">
        <v>22</v>
      </c>
      <c r="N1946" s="16" t="s">
        <v>342</v>
      </c>
    </row>
    <row r="1947" spans="1:14" ht="41.25" customHeight="1">
      <c r="A1947" s="178" t="s">
        <v>295</v>
      </c>
      <c r="B1947" s="75" t="str">
        <f ca="1">+UPPER(Tabla1321124[[#This Row],[DESCRIPCIÓN DE LA COMPRA O CONTRATACIÓN]])</f>
        <v>TAZAS DE CAFÉ</v>
      </c>
      <c r="C1947" s="39" t="s">
        <v>1773</v>
      </c>
      <c r="D1947" s="236">
        <v>24</v>
      </c>
      <c r="E1947" s="236"/>
      <c r="F1947" s="236"/>
      <c r="G1947" s="236"/>
      <c r="H1947" s="240">
        <v>24</v>
      </c>
      <c r="I1947" s="17">
        <v>150</v>
      </c>
      <c r="J1947" s="17">
        <f>+Tabla1321124[[#This Row],[CANTIDAD TOTAL]]*Tabla1321124[[#This Row],[PRECIO UNITARIO ESTIMADO]]</f>
        <v>3600</v>
      </c>
      <c r="K1947" s="345"/>
      <c r="L1947" s="16" t="s">
        <v>15</v>
      </c>
      <c r="M1947" s="16" t="s">
        <v>22</v>
      </c>
      <c r="N1947" s="16" t="s">
        <v>342</v>
      </c>
    </row>
    <row r="1948" spans="1:14" ht="41.25" customHeight="1">
      <c r="A1948" s="178" t="s">
        <v>295</v>
      </c>
      <c r="B1948" s="75" t="str">
        <f ca="1">+UPPER(Tabla1321124[[#This Row],[DESCRIPCIÓN DE LA COMPRA O CONTRATACIÓN]])</f>
        <v>TAZAS DE CAFÉ CON LECHE</v>
      </c>
      <c r="C1948" s="39" t="s">
        <v>1773</v>
      </c>
      <c r="D1948" s="236">
        <v>24</v>
      </c>
      <c r="E1948" s="236"/>
      <c r="F1948" s="236"/>
      <c r="G1948" s="236"/>
      <c r="H1948" s="240">
        <v>24</v>
      </c>
      <c r="I1948" s="17">
        <v>150</v>
      </c>
      <c r="J1948" s="17">
        <f>+Tabla1321124[[#This Row],[CANTIDAD TOTAL]]*Tabla1321124[[#This Row],[PRECIO UNITARIO ESTIMADO]]</f>
        <v>3600</v>
      </c>
      <c r="K1948" s="345"/>
      <c r="L1948" s="16" t="s">
        <v>15</v>
      </c>
      <c r="M1948" s="16" t="s">
        <v>22</v>
      </c>
      <c r="N1948" s="16" t="s">
        <v>342</v>
      </c>
    </row>
    <row r="1949" spans="1:14" ht="41.25" customHeight="1">
      <c r="A1949" s="178" t="s">
        <v>295</v>
      </c>
      <c r="B1949" s="75" t="str">
        <f ca="1">+UPPER(Tabla1321124[[#This Row],[DESCRIPCIÓN DE LA COMPRA O CONTRATACIÓN]])</f>
        <v>CUCHARAS PARA AZUCAR</v>
      </c>
      <c r="C1949" s="39" t="s">
        <v>1773</v>
      </c>
      <c r="D1949" s="236">
        <v>5</v>
      </c>
      <c r="E1949" s="236">
        <v>5</v>
      </c>
      <c r="F1949" s="236">
        <v>5</v>
      </c>
      <c r="G1949" s="236">
        <v>5</v>
      </c>
      <c r="H1949" s="240">
        <f>Tabla1321124[[#This Row],[CUARTO TRIMESTRE]]+Tabla1321124[[#This Row],[TERCER TRIMESTRE]]+Tabla1321124[[#This Row],[SEGUNDO TRIMESTRE]]+Tabla1321124[[#This Row],[PRIMER TRIMESTRE]]</f>
        <v>20</v>
      </c>
      <c r="I1949" s="17">
        <v>100</v>
      </c>
      <c r="J1949" s="17">
        <f>+Tabla1321124[[#This Row],[CANTIDAD TOTAL]]*Tabla1321124[[#This Row],[PRECIO UNITARIO ESTIMADO]]</f>
        <v>2000</v>
      </c>
      <c r="K1949" s="345"/>
      <c r="L1949" s="16" t="s">
        <v>15</v>
      </c>
      <c r="M1949" s="16" t="s">
        <v>22</v>
      </c>
      <c r="N1949" s="16" t="s">
        <v>342</v>
      </c>
    </row>
    <row r="1950" spans="1:14" ht="41.25" customHeight="1">
      <c r="A1950" s="178" t="s">
        <v>295</v>
      </c>
      <c r="B1950" s="75" t="str">
        <f ca="1">+UPPER(Tabla1321124[[#This Row],[DESCRIPCIÓN DE LA COMPRA O CONTRATACIÓN]])</f>
        <v>AZUCARERAS GRANDES</v>
      </c>
      <c r="C1950" s="39" t="s">
        <v>1773</v>
      </c>
      <c r="D1950" s="236">
        <v>2</v>
      </c>
      <c r="E1950" s="236"/>
      <c r="F1950" s="236"/>
      <c r="G1950" s="236"/>
      <c r="H1950" s="240">
        <v>2</v>
      </c>
      <c r="I1950" s="17">
        <v>350</v>
      </c>
      <c r="J1950" s="17">
        <f>+Tabla1321124[[#This Row],[CANTIDAD TOTAL]]*Tabla1321124[[#This Row],[PRECIO UNITARIO ESTIMADO]]</f>
        <v>700</v>
      </c>
      <c r="K1950" s="345"/>
      <c r="L1950" s="16" t="s">
        <v>15</v>
      </c>
      <c r="M1950" s="16" t="s">
        <v>22</v>
      </c>
      <c r="N1950" s="16" t="s">
        <v>342</v>
      </c>
    </row>
    <row r="1951" spans="1:14" ht="41.25" customHeight="1">
      <c r="A1951" s="178" t="s">
        <v>295</v>
      </c>
      <c r="B1951" s="75" t="str">
        <f ca="1">+UPPER(Tabla1321124[[#This Row],[DESCRIPCIÓN DE LA COMPRA O CONTRATACIÓN]])</f>
        <v xml:space="preserve">BANDEJAS DE METAL GRANDE </v>
      </c>
      <c r="C1951" s="39" t="s">
        <v>1773</v>
      </c>
      <c r="D1951" s="236">
        <v>2</v>
      </c>
      <c r="E1951" s="236"/>
      <c r="F1951" s="236"/>
      <c r="G1951" s="236"/>
      <c r="H1951" s="240">
        <v>2</v>
      </c>
      <c r="I1951" s="17">
        <v>225</v>
      </c>
      <c r="J1951" s="17">
        <f>+Tabla1321124[[#This Row],[CANTIDAD TOTAL]]*Tabla1321124[[#This Row],[PRECIO UNITARIO ESTIMADO]]</f>
        <v>450</v>
      </c>
      <c r="K1951" s="345"/>
      <c r="L1951" s="16" t="s">
        <v>15</v>
      </c>
      <c r="M1951" s="16" t="s">
        <v>22</v>
      </c>
      <c r="N1951" s="16" t="s">
        <v>342</v>
      </c>
    </row>
    <row r="1952" spans="1:14" ht="41.25" customHeight="1">
      <c r="A1952" s="178" t="s">
        <v>295</v>
      </c>
      <c r="B1952" s="75" t="str">
        <f ca="1">+UPPER(Tabla1321124[[#This Row],[DESCRIPCIÓN DE LA COMPRA O CONTRATACIÓN]])</f>
        <v>THERMO PARA CAFÉ GRANDE</v>
      </c>
      <c r="C1952" s="39" t="s">
        <v>1773</v>
      </c>
      <c r="D1952" s="236">
        <v>1</v>
      </c>
      <c r="E1952" s="236"/>
      <c r="F1952" s="236"/>
      <c r="G1952" s="236"/>
      <c r="H1952" s="240">
        <v>1</v>
      </c>
      <c r="I1952" s="17">
        <v>245</v>
      </c>
      <c r="J1952" s="17">
        <f>+Tabla1321124[[#This Row],[CANTIDAD TOTAL]]*Tabla1321124[[#This Row],[PRECIO UNITARIO ESTIMADO]]</f>
        <v>245</v>
      </c>
      <c r="K1952" s="345"/>
      <c r="L1952" s="16" t="s">
        <v>15</v>
      </c>
      <c r="M1952" s="16" t="s">
        <v>22</v>
      </c>
      <c r="N1952" s="16" t="s">
        <v>342</v>
      </c>
    </row>
    <row r="1953" spans="1:14" ht="41.25" customHeight="1">
      <c r="A1953" s="178" t="s">
        <v>295</v>
      </c>
      <c r="B1953" s="75" t="str">
        <f ca="1">+UPPER(Tabla1321124[[#This Row],[DESCRIPCIÓN DE LA COMPRA O CONTRATACIÓN]])</f>
        <v>THERMO PARA LECHE GRANDE</v>
      </c>
      <c r="C1953" s="39" t="s">
        <v>1773</v>
      </c>
      <c r="D1953" s="236">
        <v>1</v>
      </c>
      <c r="E1953" s="236"/>
      <c r="F1953" s="236"/>
      <c r="G1953" s="236"/>
      <c r="H1953" s="240">
        <v>1</v>
      </c>
      <c r="I1953" s="17">
        <v>400</v>
      </c>
      <c r="J1953" s="17">
        <f>+Tabla1321124[[#This Row],[CANTIDAD TOTAL]]*Tabla1321124[[#This Row],[PRECIO UNITARIO ESTIMADO]]</f>
        <v>400</v>
      </c>
      <c r="K1953" s="345"/>
      <c r="L1953" s="16" t="s">
        <v>15</v>
      </c>
      <c r="M1953" s="16" t="s">
        <v>22</v>
      </c>
      <c r="N1953" s="16" t="s">
        <v>342</v>
      </c>
    </row>
    <row r="1954" spans="1:14" ht="41.25" customHeight="1">
      <c r="A1954" s="178" t="s">
        <v>295</v>
      </c>
      <c r="B1954" s="75" t="str">
        <f ca="1">+UPPER(Tabla1321124[[#This Row],[DESCRIPCIÓN DE LA COMPRA O CONTRATACIÓN]])</f>
        <v>NEVERA DE 14 PIES CUBICOS</v>
      </c>
      <c r="C1954" s="39" t="s">
        <v>17</v>
      </c>
      <c r="D1954" s="236">
        <f>2+1+3</f>
        <v>6</v>
      </c>
      <c r="E1954" s="236">
        <v>2</v>
      </c>
      <c r="F1954" s="236">
        <v>2</v>
      </c>
      <c r="G1954" s="236">
        <v>2</v>
      </c>
      <c r="H1954" s="240">
        <f>SUM(Tabla1321124[[#This Row],[PRIMER TRIMESTRE]:[CUARTO TRIMESTRE]])</f>
        <v>12</v>
      </c>
      <c r="I1954" s="17">
        <v>21495</v>
      </c>
      <c r="J1954" s="17">
        <f>+Tabla1321124[[#This Row],[CANTIDAD TOTAL]]*Tabla1321124[[#This Row],[PRECIO UNITARIO ESTIMADO]]</f>
        <v>257940</v>
      </c>
      <c r="K1954" s="17"/>
      <c r="L1954" s="16" t="s">
        <v>15</v>
      </c>
      <c r="M1954" s="16" t="s">
        <v>22</v>
      </c>
      <c r="N1954" s="16" t="s">
        <v>342</v>
      </c>
    </row>
    <row r="1955" spans="1:14" ht="41.25" customHeight="1">
      <c r="A1955" s="178" t="s">
        <v>295</v>
      </c>
      <c r="B1955" s="75" t="str">
        <f ca="1">+UPPER(Tabla1321124[[#This Row],[DESCRIPCIÓN DE LA COMPRA O CONTRATACIÓN]])</f>
        <v>DVD PLAYER</v>
      </c>
      <c r="C1955" s="39" t="s">
        <v>17</v>
      </c>
      <c r="D1955" s="236">
        <v>1</v>
      </c>
      <c r="E1955" s="236"/>
      <c r="F1955" s="236"/>
      <c r="G1955" s="236"/>
      <c r="H1955" s="240">
        <v>1</v>
      </c>
      <c r="I1955" s="17">
        <v>4500</v>
      </c>
      <c r="J1955" s="17">
        <f>+Tabla1321124[[#This Row],[CANTIDAD TOTAL]]*Tabla1321124[[#This Row],[PRECIO UNITARIO ESTIMADO]]</f>
        <v>4500</v>
      </c>
      <c r="K1955" s="345"/>
      <c r="L1955" s="16" t="s">
        <v>15</v>
      </c>
      <c r="M1955" s="16" t="s">
        <v>22</v>
      </c>
      <c r="N1955" s="16" t="s">
        <v>342</v>
      </c>
    </row>
    <row r="1956" spans="1:14" ht="41.25" customHeight="1">
      <c r="A1956" s="178" t="s">
        <v>295</v>
      </c>
      <c r="B1956" s="75" t="str">
        <f ca="1">+UPPER(Tabla1321124[[#This Row],[DESCRIPCIÓN DE LA COMPRA O CONTRATACIÓN]])</f>
        <v>RADIO</v>
      </c>
      <c r="C1956" s="39" t="s">
        <v>17</v>
      </c>
      <c r="D1956" s="236">
        <v>1</v>
      </c>
      <c r="E1956" s="236"/>
      <c r="F1956" s="236"/>
      <c r="G1956" s="236"/>
      <c r="H1956" s="240">
        <v>1</v>
      </c>
      <c r="I1956" s="17">
        <v>8000</v>
      </c>
      <c r="J1956" s="17">
        <f>+Tabla1321124[[#This Row],[CANTIDAD TOTAL]]*Tabla1321124[[#This Row],[PRECIO UNITARIO ESTIMADO]]</f>
        <v>8000</v>
      </c>
      <c r="K1956" s="345"/>
      <c r="L1956" s="16" t="s">
        <v>15</v>
      </c>
      <c r="M1956" s="16" t="s">
        <v>22</v>
      </c>
      <c r="N1956" s="16" t="s">
        <v>342</v>
      </c>
    </row>
    <row r="1957" spans="1:14" ht="41.25" customHeight="1">
      <c r="A1957" s="178" t="s">
        <v>295</v>
      </c>
      <c r="B1957" s="75" t="str">
        <f ca="1">+UPPER(Tabla1321124[[#This Row],[DESCRIPCIÓN DE LA COMPRA O CONTRATACIÓN]])</f>
        <v>TELEVISOR DE 32 PULGADAS,  DE PARED,CON DVD INTEGRADO</v>
      </c>
      <c r="C1957" s="39" t="s">
        <v>1067</v>
      </c>
      <c r="D1957" s="236">
        <v>1</v>
      </c>
      <c r="E1957" s="236"/>
      <c r="F1957" s="236"/>
      <c r="G1957" s="236"/>
      <c r="H1957" s="240">
        <f>Tabla1321124[[#This Row],[CUARTO TRIMESTRE]]+Tabla1321124[[#This Row],[TERCER TRIMESTRE]]+Tabla1321124[[#This Row],[SEGUNDO TRIMESTRE]]+Tabla1321124[[#This Row],[PRIMER TRIMESTRE]]</f>
        <v>1</v>
      </c>
      <c r="I1957" s="17">
        <v>30000</v>
      </c>
      <c r="J1957" s="17">
        <f>+Tabla1321124[[#This Row],[CANTIDAD TOTAL]]*Tabla1321124[[#This Row],[PRECIO UNITARIO ESTIMADO]]</f>
        <v>30000</v>
      </c>
      <c r="K1957" s="17"/>
      <c r="L1957" s="16" t="s">
        <v>15</v>
      </c>
      <c r="M1957" s="16" t="s">
        <v>22</v>
      </c>
      <c r="N1957" s="16" t="s">
        <v>342</v>
      </c>
    </row>
    <row r="1958" spans="1:14" ht="41.25" customHeight="1">
      <c r="A1958" s="178" t="s">
        <v>295</v>
      </c>
      <c r="B1958" s="75" t="str">
        <f ca="1">+UPPER(Tabla1321124[[#This Row],[DESCRIPCIÓN DE LA COMPRA O CONTRATACIÓN]])</f>
        <v>BASE AEREA TV</v>
      </c>
      <c r="C1958" s="39" t="s">
        <v>17</v>
      </c>
      <c r="D1958" s="236">
        <v>1</v>
      </c>
      <c r="E1958" s="236"/>
      <c r="F1958" s="236">
        <v>1</v>
      </c>
      <c r="G1958" s="236"/>
      <c r="H1958" s="240">
        <f>SUM(Tabla1321124[[#This Row],[PRIMER TRIMESTRE]:[CUARTO TRIMESTRE]])</f>
        <v>2</v>
      </c>
      <c r="I1958" s="17">
        <v>3225.3333333333335</v>
      </c>
      <c r="J1958" s="17">
        <f>+Tabla1321124[[#This Row],[CANTIDAD TOTAL]]*Tabla1321124[[#This Row],[PRECIO UNITARIO ESTIMADO]]</f>
        <v>6450.666666666667</v>
      </c>
      <c r="K1958" s="17"/>
      <c r="L1958" s="16" t="s">
        <v>15</v>
      </c>
      <c r="M1958" s="16" t="s">
        <v>22</v>
      </c>
      <c r="N1958" s="16" t="s">
        <v>418</v>
      </c>
    </row>
    <row r="1959" spans="1:14" ht="41.25" customHeight="1">
      <c r="A1959" s="178" t="s">
        <v>295</v>
      </c>
      <c r="B1959" s="75" t="str">
        <f ca="1">+UPPER(Tabla1321124[[#This Row],[DESCRIPCIÓN DE LA COMPRA O CONTRATACIÓN]])</f>
        <v>NEVERA EJECUTIVAS</v>
      </c>
      <c r="C1959" s="39" t="s">
        <v>17</v>
      </c>
      <c r="D1959" s="236">
        <v>15</v>
      </c>
      <c r="E1959" s="236">
        <v>10</v>
      </c>
      <c r="F1959" s="236">
        <v>15</v>
      </c>
      <c r="G1959" s="236">
        <v>10</v>
      </c>
      <c r="H1959" s="240">
        <f>SUM(Tabla1321124[[#This Row],[PRIMER TRIMESTRE]:[CUARTO TRIMESTRE]])</f>
        <v>50</v>
      </c>
      <c r="I1959" s="17">
        <v>9000</v>
      </c>
      <c r="J1959" s="17">
        <f>+Tabla1321124[[#This Row],[CANTIDAD TOTAL]]*Tabla1321124[[#This Row],[PRECIO UNITARIO ESTIMADO]]</f>
        <v>450000</v>
      </c>
      <c r="K1959" s="17"/>
      <c r="L1959" s="16" t="s">
        <v>15</v>
      </c>
      <c r="M1959" s="16" t="s">
        <v>22</v>
      </c>
      <c r="N1959" s="16" t="s">
        <v>342</v>
      </c>
    </row>
    <row r="1960" spans="1:14" ht="41.25" customHeight="1">
      <c r="A1960" s="178" t="s">
        <v>295</v>
      </c>
      <c r="B1960" s="75" t="str">
        <f ca="1">+UPPER(Tabla1321124[[#This Row],[DESCRIPCIÓN DE LA COMPRA O CONTRATACIÓN]])</f>
        <v>BEBEDERO</v>
      </c>
      <c r="C1960" s="39" t="s">
        <v>17</v>
      </c>
      <c r="D1960" s="236">
        <v>15</v>
      </c>
      <c r="E1960" s="236">
        <v>10</v>
      </c>
      <c r="F1960" s="236">
        <v>15</v>
      </c>
      <c r="G1960" s="236">
        <v>10</v>
      </c>
      <c r="H1960" s="240">
        <f>SUM(Tabla1321124[[#This Row],[PRIMER TRIMESTRE]:[CUARTO TRIMESTRE]])</f>
        <v>50</v>
      </c>
      <c r="I1960" s="17">
        <v>8004</v>
      </c>
      <c r="J1960" s="17">
        <f>+Tabla1321124[[#This Row],[CANTIDAD TOTAL]]*Tabla1321124[[#This Row],[PRECIO UNITARIO ESTIMADO]]</f>
        <v>400200</v>
      </c>
      <c r="K1960" s="17"/>
      <c r="L1960" s="16" t="s">
        <v>15</v>
      </c>
      <c r="M1960" s="16" t="s">
        <v>22</v>
      </c>
      <c r="N1960" s="16" t="s">
        <v>342</v>
      </c>
    </row>
    <row r="1961" spans="1:14" ht="41.25" customHeight="1">
      <c r="A1961" s="178" t="s">
        <v>295</v>
      </c>
      <c r="B1961" s="75" t="str">
        <f ca="1">+UPPER(Tabla1321124[[#This Row],[DESCRIPCIÓN DE LA COMPRA O CONTRATACIÓN]])</f>
        <v>EXTRACTOR KDK</v>
      </c>
      <c r="C1961" s="39" t="s">
        <v>17</v>
      </c>
      <c r="D1961" s="236">
        <v>5</v>
      </c>
      <c r="E1961" s="236">
        <v>5</v>
      </c>
      <c r="F1961" s="236">
        <v>5</v>
      </c>
      <c r="G1961" s="236">
        <v>5</v>
      </c>
      <c r="H1961" s="240">
        <f>SUM(Tabla1321124[[#This Row],[PRIMER TRIMESTRE]:[CUARTO TRIMESTRE]])</f>
        <v>20</v>
      </c>
      <c r="I1961" s="17">
        <v>8802.7999999999993</v>
      </c>
      <c r="J1961" s="17">
        <f>+Tabla1321124[[#This Row],[CANTIDAD TOTAL]]*Tabla1321124[[#This Row],[PRECIO UNITARIO ESTIMADO]]</f>
        <v>176056</v>
      </c>
      <c r="K1961" s="17"/>
      <c r="L1961" s="16" t="s">
        <v>15</v>
      </c>
      <c r="M1961" s="16" t="s">
        <v>22</v>
      </c>
      <c r="N1961" s="16" t="s">
        <v>342</v>
      </c>
    </row>
    <row r="1962" spans="1:14" ht="41.25" customHeight="1">
      <c r="A1962" s="178" t="s">
        <v>295</v>
      </c>
      <c r="B1962" s="75" t="str">
        <f ca="1">+UPPER(Tabla1321124[[#This Row],[DESCRIPCIÓN DE LA COMPRA O CONTRATACIÓN]])</f>
        <v>PURIFICADOR DE AIRE</v>
      </c>
      <c r="C1962" s="39" t="s">
        <v>17</v>
      </c>
      <c r="D1962" s="236">
        <v>2</v>
      </c>
      <c r="E1962" s="236">
        <v>4</v>
      </c>
      <c r="F1962" s="236">
        <v>2</v>
      </c>
      <c r="G1962" s="236">
        <v>4</v>
      </c>
      <c r="H1962" s="240">
        <f>SUM(Tabla1321124[[#This Row],[PRIMER TRIMESTRE]:[CUARTO TRIMESTRE]])</f>
        <v>12</v>
      </c>
      <c r="I1962" s="17">
        <v>64546</v>
      </c>
      <c r="J1962" s="17">
        <f>+Tabla1321124[[#This Row],[CANTIDAD TOTAL]]*Tabla1321124[[#This Row],[PRECIO UNITARIO ESTIMADO]]</f>
        <v>774552</v>
      </c>
      <c r="K1962" s="17"/>
      <c r="L1962" s="16" t="s">
        <v>15</v>
      </c>
      <c r="M1962" s="16" t="s">
        <v>22</v>
      </c>
      <c r="N1962" s="16" t="s">
        <v>342</v>
      </c>
    </row>
    <row r="1963" spans="1:14" ht="41.25" customHeight="1">
      <c r="A1963" s="178" t="s">
        <v>295</v>
      </c>
      <c r="B1963" s="75" t="str">
        <f ca="1">+UPPER(Tabla1321124[[#This Row],[DESCRIPCIÓN DE LA COMPRA O CONTRATACIÓN]])</f>
        <v>ESTUFA  DE 20</v>
      </c>
      <c r="C1963" s="39" t="s">
        <v>17</v>
      </c>
      <c r="D1963" s="362">
        <v>2</v>
      </c>
      <c r="E1963" s="370"/>
      <c r="F1963" s="370"/>
      <c r="G1963" s="370"/>
      <c r="H1963" s="240">
        <f>SUM(Tabla1321124[[#This Row],[PRIMER TRIMESTRE]:[CUARTO TRIMESTRE]])</f>
        <v>2</v>
      </c>
      <c r="I1963" s="17">
        <v>9800</v>
      </c>
      <c r="J1963" s="17">
        <f>+Tabla1321124[[#This Row],[CANTIDAD TOTAL]]*Tabla1321124[[#This Row],[PRECIO UNITARIO ESTIMADO]]</f>
        <v>19600</v>
      </c>
      <c r="K1963" s="175"/>
      <c r="L1963" s="16" t="s">
        <v>15</v>
      </c>
      <c r="M1963" s="16" t="s">
        <v>22</v>
      </c>
      <c r="N1963" s="16" t="s">
        <v>342</v>
      </c>
    </row>
    <row r="1964" spans="1:14" ht="41.25" customHeight="1">
      <c r="A1964" s="178" t="s">
        <v>295</v>
      </c>
      <c r="B1964" s="75" t="str">
        <f ca="1">+UPPER(Tabla1321124[[#This Row],[DESCRIPCIÓN DE LA COMPRA O CONTRATACIÓN]])</f>
        <v>TELEVISION PANASONIC LCD 32</v>
      </c>
      <c r="C1964" s="39" t="s">
        <v>17</v>
      </c>
      <c r="D1964" s="362">
        <v>1</v>
      </c>
      <c r="E1964" s="370"/>
      <c r="F1964" s="370"/>
      <c r="G1964" s="370"/>
      <c r="H1964" s="240">
        <f>SUM(Tabla1321124[[#This Row],[PRIMER TRIMESTRE]:[CUARTO TRIMESTRE]])</f>
        <v>1</v>
      </c>
      <c r="I1964" s="17">
        <v>20000</v>
      </c>
      <c r="J1964" s="17">
        <f>+Tabla1321124[[#This Row],[CANTIDAD TOTAL]]*Tabla1321124[[#This Row],[PRECIO UNITARIO ESTIMADO]]</f>
        <v>20000</v>
      </c>
      <c r="K1964" s="175"/>
      <c r="L1964" s="16" t="s">
        <v>15</v>
      </c>
      <c r="M1964" s="16" t="s">
        <v>22</v>
      </c>
      <c r="N1964" s="16" t="s">
        <v>342</v>
      </c>
    </row>
    <row r="1965" spans="1:14" ht="41.25" customHeight="1">
      <c r="A1965" s="178" t="s">
        <v>295</v>
      </c>
      <c r="B1965" s="75" t="str">
        <f ca="1">+UPPER(Tabla1321124[[#This Row],[DESCRIPCIÓN DE LA COMPRA O CONTRATACIÓN]])</f>
        <v>MICRONDAS 950W</v>
      </c>
      <c r="C1965" s="39" t="s">
        <v>17</v>
      </c>
      <c r="D1965" s="236">
        <f>2+1+2</f>
        <v>5</v>
      </c>
      <c r="E1965" s="236">
        <v>1</v>
      </c>
      <c r="F1965" s="236"/>
      <c r="G1965" s="236"/>
      <c r="H1965" s="240">
        <f>SUM(Tabla1321124[[#This Row],[PRIMER TRIMESTRE]:[CUARTO TRIMESTRE]])</f>
        <v>6</v>
      </c>
      <c r="I1965" s="17">
        <v>24978.240000000002</v>
      </c>
      <c r="J1965" s="17">
        <f>+Tabla1321124[[#This Row],[CANTIDAD TOTAL]]*Tabla1321124[[#This Row],[PRECIO UNITARIO ESTIMADO]]</f>
        <v>149869.44</v>
      </c>
      <c r="K1965" s="386">
        <f>SUM(J1941:J1965)</f>
        <v>3246303.0266666668</v>
      </c>
      <c r="L1965" s="16" t="s">
        <v>15</v>
      </c>
      <c r="M1965" s="16" t="s">
        <v>22</v>
      </c>
      <c r="N1965" s="16" t="s">
        <v>342</v>
      </c>
    </row>
    <row r="1966" spans="1:14" ht="41.25" customHeight="1">
      <c r="A1966" s="538" t="s">
        <v>295</v>
      </c>
      <c r="B1966" s="76" t="str">
        <f ca="1">+UPPER(Tabla1321124[[#This Row],[DESCRIPCIÓN DE LA COMPRA O CONTRATACIÓN]])</f>
        <v/>
      </c>
      <c r="C1966" s="237"/>
      <c r="D1966" s="237"/>
      <c r="E1966" s="237"/>
      <c r="F1966" s="237"/>
      <c r="G1966" s="237"/>
      <c r="H1966" s="238"/>
      <c r="I1966" s="238"/>
      <c r="J1966" s="383"/>
      <c r="K1966" s="25">
        <f>SUM(J1941:J1965)</f>
        <v>3246303.0266666668</v>
      </c>
      <c r="L1966" s="383"/>
      <c r="M1966" s="383"/>
      <c r="N1966" s="383"/>
    </row>
    <row r="1967" spans="1:14" ht="41.25" customHeight="1">
      <c r="A1967" s="178" t="s">
        <v>147</v>
      </c>
      <c r="B1967" s="75" t="str">
        <f ca="1">+UPPER(Tabla1321124[[#This Row],[DESCRIPCIÓN DE LA COMPRA O CONTRATACIÓN]])</f>
        <v>POLOSHIRT</v>
      </c>
      <c r="C1967" s="39" t="s">
        <v>17</v>
      </c>
      <c r="D1967" s="236">
        <v>250</v>
      </c>
      <c r="E1967" s="236">
        <v>250</v>
      </c>
      <c r="F1967" s="236">
        <v>250</v>
      </c>
      <c r="G1967" s="236">
        <v>250</v>
      </c>
      <c r="H1967" s="240">
        <f>SUM(Tabla1321124[[#This Row],[PRIMER TRIMESTRE]:[CUARTO TRIMESTRE]])</f>
        <v>1000</v>
      </c>
      <c r="I1967" s="17">
        <v>452.4</v>
      </c>
      <c r="J1967" s="17">
        <f>+Tabla1321124[[#This Row],[CANTIDAD TOTAL]]*Tabla1321124[[#This Row],[PRECIO UNITARIO ESTIMADO]]</f>
        <v>452400</v>
      </c>
      <c r="K1967" s="17"/>
      <c r="L1967" s="16" t="s">
        <v>27</v>
      </c>
      <c r="M1967" s="16" t="s">
        <v>22</v>
      </c>
      <c r="N1967" s="16" t="s">
        <v>342</v>
      </c>
    </row>
    <row r="1968" spans="1:14" ht="41.25" customHeight="1">
      <c r="A1968" s="178" t="s">
        <v>147</v>
      </c>
      <c r="B1968" s="75" t="str">
        <f ca="1">+UPPER(Tabla1321124[[#This Row],[DESCRIPCIÓN DE LA COMPRA O CONTRATACIÓN]])</f>
        <v>CHALECO EN DRILL CON EL LOGO DEL INAPA</v>
      </c>
      <c r="C1968" s="39" t="s">
        <v>17</v>
      </c>
      <c r="D1968" s="236">
        <v>10</v>
      </c>
      <c r="E1968" s="236">
        <v>5</v>
      </c>
      <c r="F1968" s="236">
        <v>10</v>
      </c>
      <c r="G1968" s="236">
        <v>5</v>
      </c>
      <c r="H1968" s="240">
        <f>SUM(Tabla1321124[[#This Row],[PRIMER TRIMESTRE]:[CUARTO TRIMESTRE]])</f>
        <v>30</v>
      </c>
      <c r="I1968" s="17">
        <v>2596</v>
      </c>
      <c r="J1968" s="17">
        <f>+Tabla1321124[[#This Row],[CANTIDAD TOTAL]]*Tabla1321124[[#This Row],[PRECIO UNITARIO ESTIMADO]]</f>
        <v>77880</v>
      </c>
      <c r="K1968" s="17"/>
      <c r="L1968" s="16" t="s">
        <v>27</v>
      </c>
      <c r="M1968" s="16" t="s">
        <v>22</v>
      </c>
      <c r="N1968" s="16" t="s">
        <v>342</v>
      </c>
    </row>
    <row r="1969" spans="1:14" ht="41.25" customHeight="1">
      <c r="A1969" s="178" t="s">
        <v>147</v>
      </c>
      <c r="B1969" s="75" t="str">
        <f ca="1">+UPPER(Tabla1321124[[#This Row],[DESCRIPCIÓN DE LA COMPRA O CONTRATACIÓN]])</f>
        <v>JEANS COLOR AZUL OSCURO</v>
      </c>
      <c r="C1969" s="39" t="s">
        <v>17</v>
      </c>
      <c r="D1969" s="210">
        <v>250</v>
      </c>
      <c r="E1969" s="210">
        <v>250</v>
      </c>
      <c r="F1969" s="210">
        <v>250</v>
      </c>
      <c r="G1969" s="210">
        <v>250</v>
      </c>
      <c r="H1969" s="249">
        <f>SUM(Tabla1321124[[#This Row],[PRIMER TRIMESTRE]:[CUARTO TRIMESTRE]])</f>
        <v>1000</v>
      </c>
      <c r="I1969" s="17">
        <v>460.2</v>
      </c>
      <c r="J1969" s="17">
        <f>+Tabla1321124[[#This Row],[CANTIDAD TOTAL]]*Tabla1321124[[#This Row],[PRECIO UNITARIO ESTIMADO]]</f>
        <v>460200</v>
      </c>
      <c r="K1969" s="17"/>
      <c r="L1969" s="16" t="s">
        <v>27</v>
      </c>
      <c r="M1969" s="16" t="s">
        <v>22</v>
      </c>
      <c r="N1969" s="16" t="s">
        <v>342</v>
      </c>
    </row>
    <row r="1970" spans="1:14" ht="41.25" customHeight="1">
      <c r="A1970" s="178" t="s">
        <v>147</v>
      </c>
      <c r="B1970" s="75" t="str">
        <f ca="1">+UPPER(Tabla1321124[[#This Row],[DESCRIPCIÓN DE LA COMPRA O CONTRATACIÓN]])</f>
        <v>GORRA</v>
      </c>
      <c r="C1970" s="39" t="s">
        <v>17</v>
      </c>
      <c r="D1970" s="236">
        <v>400</v>
      </c>
      <c r="E1970" s="236">
        <v>100</v>
      </c>
      <c r="F1970" s="236">
        <v>400</v>
      </c>
      <c r="G1970" s="236">
        <v>100</v>
      </c>
      <c r="H1970" s="240">
        <f>SUM(Tabla1321124[[#This Row],[PRIMER TRIMESTRE]:[CUARTO TRIMESTRE]])</f>
        <v>1000</v>
      </c>
      <c r="I1970" s="17">
        <f>76995/450</f>
        <v>171.1</v>
      </c>
      <c r="J1970" s="17">
        <f>+Tabla1321124[[#This Row],[CANTIDAD TOTAL]]*Tabla1321124[[#This Row],[PRECIO UNITARIO ESTIMADO]]</f>
        <v>171100</v>
      </c>
      <c r="K1970" s="17"/>
      <c r="L1970" s="16" t="s">
        <v>27</v>
      </c>
      <c r="M1970" s="16" t="s">
        <v>22</v>
      </c>
      <c r="N1970" s="16" t="s">
        <v>342</v>
      </c>
    </row>
    <row r="1971" spans="1:14" ht="41.25" customHeight="1">
      <c r="A1971" s="178" t="s">
        <v>147</v>
      </c>
      <c r="B1971" s="75" t="str">
        <f ca="1">+UPPER(Tabla1321124[[#This Row],[DESCRIPCIÓN DE LA COMPRA O CONTRATACIÓN]])</f>
        <v>BOTAS PARA SOLDAR PUNTAS DE ACERO 9</v>
      </c>
      <c r="C1971" s="39" t="s">
        <v>149</v>
      </c>
      <c r="D1971" s="236">
        <v>3</v>
      </c>
      <c r="E1971" s="236">
        <f>25+3</f>
        <v>28</v>
      </c>
      <c r="F1971" s="236">
        <v>3</v>
      </c>
      <c r="G1971" s="236">
        <f>25+3</f>
        <v>28</v>
      </c>
      <c r="H1971" s="236">
        <f>SUM(Tabla1321124[[#This Row],[PRIMER TRIMESTRE]:[CUARTO TRIMESTRE]])</f>
        <v>62</v>
      </c>
      <c r="I1971" s="17">
        <v>3250</v>
      </c>
      <c r="J1971" s="17">
        <f>+Tabla1321124[[#This Row],[CANTIDAD TOTAL]]*Tabla1321124[[#This Row],[PRECIO UNITARIO ESTIMADO]]</f>
        <v>201500</v>
      </c>
      <c r="K1971" s="17"/>
      <c r="L1971" s="16" t="s">
        <v>27</v>
      </c>
      <c r="M1971" s="16" t="s">
        <v>22</v>
      </c>
      <c r="N1971" s="16" t="s">
        <v>342</v>
      </c>
    </row>
    <row r="1972" spans="1:14" ht="41.25" customHeight="1">
      <c r="A1972" s="178" t="s">
        <v>147</v>
      </c>
      <c r="B1972" s="75" t="str">
        <f ca="1">+UPPER(Tabla1321124[[#This Row],[DESCRIPCIÓN DE LA COMPRA O CONTRATACIÓN]])</f>
        <v>BOTAS PARA SOLDAR PUNTAS DE ACERO 8</v>
      </c>
      <c r="C1972" s="39" t="s">
        <v>149</v>
      </c>
      <c r="D1972" s="236">
        <v>3</v>
      </c>
      <c r="E1972" s="236">
        <v>3</v>
      </c>
      <c r="F1972" s="236">
        <v>3</v>
      </c>
      <c r="G1972" s="236">
        <v>3</v>
      </c>
      <c r="H1972" s="236">
        <f>SUM(Tabla1321124[[#This Row],[PRIMER TRIMESTRE]:[CUARTO TRIMESTRE]])</f>
        <v>12</v>
      </c>
      <c r="I1972" s="17">
        <v>3250</v>
      </c>
      <c r="J1972" s="17">
        <f>+Tabla1321124[[#This Row],[CANTIDAD TOTAL]]*Tabla1321124[[#This Row],[PRECIO UNITARIO ESTIMADO]]</f>
        <v>39000</v>
      </c>
      <c r="K1972" s="17"/>
      <c r="L1972" s="16" t="s">
        <v>27</v>
      </c>
      <c r="M1972" s="16" t="s">
        <v>22</v>
      </c>
      <c r="N1972" s="16" t="s">
        <v>342</v>
      </c>
    </row>
    <row r="1973" spans="1:14" ht="41.25" customHeight="1">
      <c r="A1973" s="178" t="s">
        <v>147</v>
      </c>
      <c r="B1973" s="75" t="str">
        <f ca="1">+UPPER(Tabla1321124[[#This Row],[DESCRIPCIÓN DE LA COMPRA O CONTRATACIÓN]])</f>
        <v>BOTAS PARA SOLDAR PUNTAS DE ACERO 10</v>
      </c>
      <c r="C1973" s="39" t="s">
        <v>149</v>
      </c>
      <c r="D1973" s="236">
        <v>3</v>
      </c>
      <c r="E1973" s="236">
        <v>3</v>
      </c>
      <c r="F1973" s="236">
        <v>3</v>
      </c>
      <c r="G1973" s="236">
        <v>3</v>
      </c>
      <c r="H1973" s="236">
        <f>SUM(Tabla1321124[[#This Row],[PRIMER TRIMESTRE]:[CUARTO TRIMESTRE]])</f>
        <v>12</v>
      </c>
      <c r="I1973" s="17">
        <v>3250</v>
      </c>
      <c r="J1973" s="17">
        <f>+Tabla1321124[[#This Row],[CANTIDAD TOTAL]]*Tabla1321124[[#This Row],[PRECIO UNITARIO ESTIMADO]]</f>
        <v>39000</v>
      </c>
      <c r="K1973" s="17"/>
      <c r="L1973" s="16" t="s">
        <v>27</v>
      </c>
      <c r="M1973" s="16" t="s">
        <v>22</v>
      </c>
      <c r="N1973" s="16" t="s">
        <v>342</v>
      </c>
    </row>
    <row r="1974" spans="1:14" ht="41.25" customHeight="1">
      <c r="A1974" s="178" t="s">
        <v>147</v>
      </c>
      <c r="B1974" s="75" t="str">
        <f ca="1">+UPPER(Tabla1321124[[#This Row],[DESCRIPCIÓN DE LA COMPRA O CONTRATACIÓN]])</f>
        <v xml:space="preserve">BOTAS DE CUERO </v>
      </c>
      <c r="C1974" s="39" t="s">
        <v>149</v>
      </c>
      <c r="D1974" s="236">
        <v>20</v>
      </c>
      <c r="E1974" s="236">
        <v>20</v>
      </c>
      <c r="F1974" s="236">
        <v>20</v>
      </c>
      <c r="G1974" s="236">
        <v>20</v>
      </c>
      <c r="H1974" s="236">
        <f>SUM(Tabla1321124[[#This Row],[PRIMER TRIMESTRE]:[CUARTO TRIMESTRE]])</f>
        <v>80</v>
      </c>
      <c r="I1974" s="17">
        <v>1856</v>
      </c>
      <c r="J1974" s="17">
        <f>+Tabla1321124[[#This Row],[CANTIDAD TOTAL]]*Tabla1321124[[#This Row],[PRECIO UNITARIO ESTIMADO]]</f>
        <v>148480</v>
      </c>
      <c r="K1974" s="17"/>
      <c r="L1974" s="16" t="s">
        <v>27</v>
      </c>
      <c r="M1974" s="16" t="s">
        <v>22</v>
      </c>
      <c r="N1974" s="16" t="s">
        <v>342</v>
      </c>
    </row>
    <row r="1975" spans="1:14" ht="41.25" customHeight="1">
      <c r="A1975" s="178" t="s">
        <v>147</v>
      </c>
      <c r="B1975" s="75" t="str">
        <f ca="1">+UPPER(Tabla1321124[[#This Row],[DESCRIPCIÓN DE LA COMPRA O CONTRATACIÓN]])</f>
        <v>BOTAS DE CUERO NEGRO 8</v>
      </c>
      <c r="C1975" s="39" t="s">
        <v>149</v>
      </c>
      <c r="D1975" s="236">
        <v>3</v>
      </c>
      <c r="E1975" s="236">
        <v>3</v>
      </c>
      <c r="F1975" s="236">
        <v>3</v>
      </c>
      <c r="G1975" s="236">
        <v>3</v>
      </c>
      <c r="H1975" s="236">
        <f>SUM(Tabla1321124[[#This Row],[PRIMER TRIMESTRE]:[CUARTO TRIMESTRE]])</f>
        <v>12</v>
      </c>
      <c r="I1975" s="17">
        <v>1680</v>
      </c>
      <c r="J1975" s="17">
        <f>+Tabla1321124[[#This Row],[CANTIDAD TOTAL]]*Tabla1321124[[#This Row],[PRECIO UNITARIO ESTIMADO]]</f>
        <v>20160</v>
      </c>
      <c r="K1975" s="17"/>
      <c r="L1975" s="16" t="s">
        <v>27</v>
      </c>
      <c r="M1975" s="16" t="s">
        <v>22</v>
      </c>
      <c r="N1975" s="16" t="s">
        <v>342</v>
      </c>
    </row>
    <row r="1976" spans="1:14" ht="41.25" customHeight="1">
      <c r="A1976" s="178" t="s">
        <v>147</v>
      </c>
      <c r="B1976" s="75" t="str">
        <f ca="1">+UPPER(Tabla1321124[[#This Row],[DESCRIPCIÓN DE LA COMPRA O CONTRATACIÓN]])</f>
        <v>BOTAS DE CUERNO NEGRO 8 1/2</v>
      </c>
      <c r="C1976" s="39" t="s">
        <v>149</v>
      </c>
      <c r="D1976" s="236">
        <v>3</v>
      </c>
      <c r="E1976" s="236">
        <v>3</v>
      </c>
      <c r="F1976" s="236">
        <v>3</v>
      </c>
      <c r="G1976" s="236">
        <v>3</v>
      </c>
      <c r="H1976" s="236">
        <f>SUM(Tabla1321124[[#This Row],[PRIMER TRIMESTRE]:[CUARTO TRIMESTRE]])</f>
        <v>12</v>
      </c>
      <c r="I1976" s="17">
        <v>1615</v>
      </c>
      <c r="J1976" s="17">
        <f>+Tabla1321124[[#This Row],[CANTIDAD TOTAL]]*Tabla1321124[[#This Row],[PRECIO UNITARIO ESTIMADO]]</f>
        <v>19380</v>
      </c>
      <c r="K1976" s="17"/>
      <c r="L1976" s="16" t="s">
        <v>27</v>
      </c>
      <c r="M1976" s="16" t="s">
        <v>22</v>
      </c>
      <c r="N1976" s="16" t="s">
        <v>342</v>
      </c>
    </row>
    <row r="1977" spans="1:14" ht="41.25" customHeight="1">
      <c r="A1977" s="178" t="s">
        <v>147</v>
      </c>
      <c r="B1977" s="75" t="str">
        <f ca="1">+UPPER(Tabla1321124[[#This Row],[DESCRIPCIÓN DE LA COMPRA O CONTRATACIÓN]])</f>
        <v>BOTAS DE CUEROO NEGRO 9</v>
      </c>
      <c r="C1977" s="39" t="s">
        <v>149</v>
      </c>
      <c r="D1977" s="236"/>
      <c r="E1977" s="236"/>
      <c r="F1977" s="236"/>
      <c r="G1977" s="236"/>
      <c r="H1977" s="236">
        <f>SUM(Tabla1321124[[#This Row],[PRIMER TRIMESTRE]:[CUARTO TRIMESTRE]])</f>
        <v>0</v>
      </c>
      <c r="I1977" s="17">
        <v>1615</v>
      </c>
      <c r="J1977" s="17">
        <f>+Tabla1321124[[#This Row],[CANTIDAD TOTAL]]*Tabla1321124[[#This Row],[PRECIO UNITARIO ESTIMADO]]</f>
        <v>0</v>
      </c>
      <c r="K1977" s="17"/>
      <c r="L1977" s="16" t="s">
        <v>27</v>
      </c>
      <c r="M1977" s="16" t="s">
        <v>22</v>
      </c>
      <c r="N1977" s="16" t="s">
        <v>342</v>
      </c>
    </row>
    <row r="1978" spans="1:14" ht="41.25" customHeight="1">
      <c r="A1978" s="178" t="s">
        <v>147</v>
      </c>
      <c r="B1978" s="75" t="str">
        <f ca="1">+UPPER(Tabla1321124[[#This Row],[DESCRIPCIÓN DE LA COMPRA O CONTRATACIÓN]])</f>
        <v>BOTAS DE CUERO NEGRO 9 1/2</v>
      </c>
      <c r="C1978" s="39" t="s">
        <v>149</v>
      </c>
      <c r="D1978" s="236"/>
      <c r="E1978" s="236"/>
      <c r="F1978" s="236"/>
      <c r="G1978" s="236"/>
      <c r="H1978" s="236">
        <f>SUM(Tabla1321124[[#This Row],[PRIMER TRIMESTRE]:[CUARTO TRIMESTRE]])</f>
        <v>0</v>
      </c>
      <c r="I1978" s="17">
        <v>1615</v>
      </c>
      <c r="J1978" s="17">
        <f>+Tabla1321124[[#This Row],[CANTIDAD TOTAL]]*Tabla1321124[[#This Row],[PRECIO UNITARIO ESTIMADO]]</f>
        <v>0</v>
      </c>
      <c r="K1978" s="17"/>
      <c r="L1978" s="16" t="s">
        <v>27</v>
      </c>
      <c r="M1978" s="16" t="s">
        <v>22</v>
      </c>
      <c r="N1978" s="16" t="s">
        <v>342</v>
      </c>
    </row>
    <row r="1979" spans="1:14" ht="41.25" customHeight="1">
      <c r="A1979" s="178" t="s">
        <v>147</v>
      </c>
      <c r="B1979" s="75" t="str">
        <f ca="1">+UPPER(Tabla1321124[[#This Row],[DESCRIPCIÓN DE LA COMPRA O CONTRATACIÓN]])</f>
        <v>BOTAS DE GOMA NO. 40</v>
      </c>
      <c r="C1979" s="39" t="s">
        <v>149</v>
      </c>
      <c r="D1979" s="365">
        <v>3</v>
      </c>
      <c r="E1979" s="365">
        <v>0</v>
      </c>
      <c r="F1979" s="365">
        <v>2</v>
      </c>
      <c r="G1979" s="365">
        <v>0</v>
      </c>
      <c r="H1979" s="236">
        <f>SUM(Tabla1321124[[#This Row],[PRIMER TRIMESTRE]:[CUARTO TRIMESTRE]])</f>
        <v>5</v>
      </c>
      <c r="I1979" s="17">
        <v>2100</v>
      </c>
      <c r="J1979" s="17">
        <f>+Tabla1321124[[#This Row],[CANTIDAD TOTAL]]*Tabla1321124[[#This Row],[PRECIO UNITARIO ESTIMADO]]</f>
        <v>10500</v>
      </c>
      <c r="K1979" s="175"/>
      <c r="L1979" s="16" t="s">
        <v>27</v>
      </c>
      <c r="M1979" s="16" t="s">
        <v>22</v>
      </c>
      <c r="N1979" s="16" t="s">
        <v>342</v>
      </c>
    </row>
    <row r="1980" spans="1:14" ht="41.25" customHeight="1">
      <c r="A1980" s="178" t="s">
        <v>147</v>
      </c>
      <c r="B1980" s="75" t="str">
        <f ca="1">+UPPER(Tabla1321124[[#This Row],[DESCRIPCIÓN DE LA COMPRA O CONTRATACIÓN]])</f>
        <v>BOTAS DE GOMA NO. 41</v>
      </c>
      <c r="C1980" s="39" t="s">
        <v>149</v>
      </c>
      <c r="D1980" s="365">
        <v>8</v>
      </c>
      <c r="E1980" s="365">
        <v>0</v>
      </c>
      <c r="F1980" s="365">
        <v>2</v>
      </c>
      <c r="G1980" s="365">
        <v>0</v>
      </c>
      <c r="H1980" s="236">
        <f>SUM(Tabla1321124[[#This Row],[PRIMER TRIMESTRE]:[CUARTO TRIMESTRE]])</f>
        <v>10</v>
      </c>
      <c r="I1980" s="17">
        <v>2100</v>
      </c>
      <c r="J1980" s="17">
        <f>+Tabla1321124[[#This Row],[CANTIDAD TOTAL]]*Tabla1321124[[#This Row],[PRECIO UNITARIO ESTIMADO]]</f>
        <v>21000</v>
      </c>
      <c r="K1980" s="175"/>
      <c r="L1980" s="16" t="s">
        <v>27</v>
      </c>
      <c r="M1980" s="16" t="s">
        <v>22</v>
      </c>
      <c r="N1980" s="16" t="s">
        <v>342</v>
      </c>
    </row>
    <row r="1981" spans="1:14" ht="41.25" customHeight="1">
      <c r="A1981" s="178" t="s">
        <v>147</v>
      </c>
      <c r="B1981" s="75" t="str">
        <f ca="1">+UPPER(Tabla1321124[[#This Row],[DESCRIPCIÓN DE LA COMPRA O CONTRATACIÓN]])</f>
        <v>BOTAS DE GOMA NO. 42</v>
      </c>
      <c r="C1981" s="39" t="s">
        <v>149</v>
      </c>
      <c r="D1981" s="365">
        <v>3</v>
      </c>
      <c r="E1981" s="365">
        <v>0</v>
      </c>
      <c r="F1981" s="365">
        <v>2</v>
      </c>
      <c r="G1981" s="365">
        <v>0</v>
      </c>
      <c r="H1981" s="236">
        <f>SUM(Tabla1321124[[#This Row],[PRIMER TRIMESTRE]:[CUARTO TRIMESTRE]])</f>
        <v>5</v>
      </c>
      <c r="I1981" s="17">
        <v>2100</v>
      </c>
      <c r="J1981" s="17">
        <f>+Tabla1321124[[#This Row],[CANTIDAD TOTAL]]*Tabla1321124[[#This Row],[PRECIO UNITARIO ESTIMADO]]</f>
        <v>10500</v>
      </c>
      <c r="K1981" s="175"/>
      <c r="L1981" s="16" t="s">
        <v>27</v>
      </c>
      <c r="M1981" s="16" t="s">
        <v>22</v>
      </c>
      <c r="N1981" s="16" t="s">
        <v>342</v>
      </c>
    </row>
    <row r="1982" spans="1:14" ht="41.25" customHeight="1">
      <c r="A1982" s="178" t="s">
        <v>147</v>
      </c>
      <c r="B1982" s="75" t="str">
        <f ca="1">+UPPER(Tabla1321124[[#This Row],[DESCRIPCIÓN DE LA COMPRA O CONTRATACIÓN]])</f>
        <v>BOTAS DE GOMA NO. 43</v>
      </c>
      <c r="C1982" s="39" t="s">
        <v>149</v>
      </c>
      <c r="D1982" s="365">
        <v>5</v>
      </c>
      <c r="E1982" s="365">
        <v>2</v>
      </c>
      <c r="F1982" s="365">
        <v>3</v>
      </c>
      <c r="G1982" s="365">
        <v>0</v>
      </c>
      <c r="H1982" s="236">
        <f>SUM(Tabla1321124[[#This Row],[PRIMER TRIMESTRE]:[CUARTO TRIMESTRE]])</f>
        <v>10</v>
      </c>
      <c r="I1982" s="17">
        <v>2500</v>
      </c>
      <c r="J1982" s="17">
        <f>+Tabla1321124[[#This Row],[CANTIDAD TOTAL]]*Tabla1321124[[#This Row],[PRECIO UNITARIO ESTIMADO]]</f>
        <v>25000</v>
      </c>
      <c r="K1982" s="175"/>
      <c r="L1982" s="16" t="s">
        <v>27</v>
      </c>
      <c r="M1982" s="16" t="s">
        <v>22</v>
      </c>
      <c r="N1982" s="16" t="s">
        <v>342</v>
      </c>
    </row>
    <row r="1983" spans="1:14" ht="41.25" customHeight="1">
      <c r="A1983" s="178" t="s">
        <v>147</v>
      </c>
      <c r="B1983" s="75" t="str">
        <f ca="1">+UPPER(Tabla1321124[[#This Row],[DESCRIPCIÓN DE LA COMPRA O CONTRATACIÓN]])</f>
        <v>BOTAS DE GOMA NO. 45</v>
      </c>
      <c r="C1983" s="39" t="s">
        <v>149</v>
      </c>
      <c r="D1983" s="365">
        <v>2</v>
      </c>
      <c r="E1983" s="365">
        <v>1</v>
      </c>
      <c r="F1983" s="365"/>
      <c r="G1983" s="365">
        <v>0</v>
      </c>
      <c r="H1983" s="236">
        <f>SUM(Tabla1321124[[#This Row],[PRIMER TRIMESTRE]:[CUARTO TRIMESTRE]])</f>
        <v>3</v>
      </c>
      <c r="I1983" s="17">
        <v>2500</v>
      </c>
      <c r="J1983" s="17">
        <f>+Tabla1321124[[#This Row],[CANTIDAD TOTAL]]*Tabla1321124[[#This Row],[PRECIO UNITARIO ESTIMADO]]</f>
        <v>7500</v>
      </c>
      <c r="K1983" s="175"/>
      <c r="L1983" s="16" t="s">
        <v>27</v>
      </c>
      <c r="M1983" s="16" t="s">
        <v>22</v>
      </c>
      <c r="N1983" s="16" t="s">
        <v>342</v>
      </c>
    </row>
    <row r="1984" spans="1:14" ht="41.25" customHeight="1">
      <c r="A1984" s="178" t="s">
        <v>147</v>
      </c>
      <c r="B1984" s="75" t="str">
        <f ca="1">+UPPER(Tabla1321124[[#This Row],[DESCRIPCIÓN DE LA COMPRA O CONTRATACIÓN]])</f>
        <v>BOTAS DE GOMA NO. 47</v>
      </c>
      <c r="C1984" s="39" t="s">
        <v>149</v>
      </c>
      <c r="D1984" s="365">
        <v>2</v>
      </c>
      <c r="E1984" s="365">
        <v>0</v>
      </c>
      <c r="F1984" s="365">
        <v>1</v>
      </c>
      <c r="G1984" s="365">
        <v>0</v>
      </c>
      <c r="H1984" s="236">
        <f>SUM(Tabla1321124[[#This Row],[PRIMER TRIMESTRE]:[CUARTO TRIMESTRE]])</f>
        <v>3</v>
      </c>
      <c r="I1984" s="17">
        <v>2500</v>
      </c>
      <c r="J1984" s="17">
        <f>+Tabla1321124[[#This Row],[CANTIDAD TOTAL]]*Tabla1321124[[#This Row],[PRECIO UNITARIO ESTIMADO]]</f>
        <v>7500</v>
      </c>
      <c r="K1984" s="175"/>
      <c r="L1984" s="16" t="s">
        <v>27</v>
      </c>
      <c r="M1984" s="16" t="s">
        <v>22</v>
      </c>
      <c r="N1984" s="16" t="s">
        <v>342</v>
      </c>
    </row>
    <row r="1985" spans="1:14" ht="41.25" customHeight="1">
      <c r="A1985" s="178" t="s">
        <v>147</v>
      </c>
      <c r="B1985" s="75" t="str">
        <f ca="1">+UPPER(Tabla1321124[[#This Row],[DESCRIPCIÓN DE LA COMPRA O CONTRATACIÓN]])</f>
        <v>BOTAS DE CUERO NEGRO 10</v>
      </c>
      <c r="C1985" s="39" t="s">
        <v>149</v>
      </c>
      <c r="D1985" s="236">
        <v>1</v>
      </c>
      <c r="E1985" s="236"/>
      <c r="F1985" s="236">
        <v>1</v>
      </c>
      <c r="G1985" s="236"/>
      <c r="H1985" s="236">
        <f>SUM(Tabla1321124[[#This Row],[PRIMER TRIMESTRE]:[CUARTO TRIMESTRE]])</f>
        <v>2</v>
      </c>
      <c r="I1985" s="17">
        <v>1615</v>
      </c>
      <c r="J1985" s="17">
        <f>+Tabla1321124[[#This Row],[CANTIDAD TOTAL]]*Tabla1321124[[#This Row],[PRECIO UNITARIO ESTIMADO]]</f>
        <v>3230</v>
      </c>
      <c r="K1985" s="17"/>
      <c r="L1985" s="16" t="s">
        <v>27</v>
      </c>
      <c r="M1985" s="16" t="s">
        <v>22</v>
      </c>
      <c r="N1985" s="16" t="s">
        <v>342</v>
      </c>
    </row>
    <row r="1986" spans="1:14" ht="41.25" customHeight="1">
      <c r="A1986" s="178" t="s">
        <v>147</v>
      </c>
      <c r="B1986" s="75" t="str">
        <f ca="1">+UPPER(Tabla1321124[[#This Row],[DESCRIPCIÓN DE LA COMPRA O CONTRATACIÓN]])</f>
        <v>BOTAS DE GOMA NO. 41-43</v>
      </c>
      <c r="C1986" s="39" t="s">
        <v>149</v>
      </c>
      <c r="D1986" s="236">
        <f>75+25</f>
        <v>100</v>
      </c>
      <c r="E1986" s="236">
        <f>75+25</f>
        <v>100</v>
      </c>
      <c r="F1986" s="236">
        <f>75+25</f>
        <v>100</v>
      </c>
      <c r="G1986" s="236">
        <f>75+25</f>
        <v>100</v>
      </c>
      <c r="H1986" s="236">
        <f>SUM(Tabla1321124[[#This Row],[PRIMER TRIMESTRE]:[CUARTO TRIMESTRE]])</f>
        <v>400</v>
      </c>
      <c r="I1986" s="17">
        <v>488.31</v>
      </c>
      <c r="J1986" s="17">
        <f>+Tabla1321124[[#This Row],[CANTIDAD TOTAL]]*Tabla1321124[[#This Row],[PRECIO UNITARIO ESTIMADO]]</f>
        <v>195324</v>
      </c>
      <c r="K1986" s="17"/>
      <c r="L1986" s="16" t="s">
        <v>27</v>
      </c>
      <c r="M1986" s="16" t="s">
        <v>22</v>
      </c>
      <c r="N1986" s="16" t="s">
        <v>342</v>
      </c>
    </row>
    <row r="1987" spans="1:14" ht="41.25" customHeight="1">
      <c r="A1987" s="178" t="s">
        <v>147</v>
      </c>
      <c r="B1987" s="75" t="str">
        <f ca="1">+UPPER(Tabla1321124[[#This Row],[DESCRIPCIÓN DE LA COMPRA O CONTRATACIÓN]])</f>
        <v>BOTAS DE TRABAJO SUELA DE POLIURETANO NEGRO</v>
      </c>
      <c r="C1987" s="39" t="s">
        <v>149</v>
      </c>
      <c r="D1987" s="236">
        <v>6</v>
      </c>
      <c r="E1987" s="236">
        <v>3</v>
      </c>
      <c r="F1987" s="236">
        <v>3</v>
      </c>
      <c r="G1987" s="236">
        <v>2</v>
      </c>
      <c r="H1987" s="240">
        <f>Tabla1321124[[#This Row],[CUARTO TRIMESTRE]]+Tabla1321124[[#This Row],[TERCER TRIMESTRE]]+Tabla1321124[[#This Row],[SEGUNDO TRIMESTRE]]+Tabla1321124[[#This Row],[PRIMER TRIMESTRE]]</f>
        <v>14</v>
      </c>
      <c r="I1987" s="17">
        <v>4500</v>
      </c>
      <c r="J1987" s="17">
        <f>+Tabla1321124[[#This Row],[CANTIDAD TOTAL]]*Tabla1321124[[#This Row],[PRECIO UNITARIO ESTIMADO]]</f>
        <v>63000</v>
      </c>
      <c r="K1987" s="17"/>
      <c r="L1987" s="16" t="s">
        <v>27</v>
      </c>
      <c r="M1987" s="16" t="s">
        <v>22</v>
      </c>
      <c r="N1987" s="16" t="s">
        <v>342</v>
      </c>
    </row>
    <row r="1988" spans="1:14" ht="41.25" customHeight="1">
      <c r="A1988" s="178" t="s">
        <v>147</v>
      </c>
      <c r="B1988" s="75" t="str">
        <f ca="1">+UPPER(Tabla1321124[[#This Row],[DESCRIPCIÓN DE LA COMPRA O CONTRATACIÓN]])</f>
        <v>BOTAS DE GOMA NO. 44-48</v>
      </c>
      <c r="C1988" s="39" t="s">
        <v>149</v>
      </c>
      <c r="D1988" s="236">
        <v>50</v>
      </c>
      <c r="E1988" s="241">
        <v>50</v>
      </c>
      <c r="F1988" s="236">
        <v>50</v>
      </c>
      <c r="G1988" s="236">
        <v>50</v>
      </c>
      <c r="H1988" s="240">
        <f>SUM(Tabla1321124[[#This Row],[PRIMER TRIMESTRE]:[CUARTO TRIMESTRE]])</f>
        <v>200</v>
      </c>
      <c r="I1988" s="17">
        <v>550.4</v>
      </c>
      <c r="J1988" s="17">
        <f>+Tabla1321124[[#This Row],[CANTIDAD TOTAL]]*Tabla1321124[[#This Row],[PRECIO UNITARIO ESTIMADO]]</f>
        <v>110080</v>
      </c>
      <c r="K1988" s="17"/>
      <c r="L1988" s="16" t="s">
        <v>27</v>
      </c>
      <c r="M1988" s="16" t="s">
        <v>22</v>
      </c>
      <c r="N1988" s="16" t="s">
        <v>342</v>
      </c>
    </row>
    <row r="1989" spans="1:14" ht="41.25" customHeight="1">
      <c r="A1989" s="178" t="s">
        <v>147</v>
      </c>
      <c r="B1989" s="75" t="str">
        <f ca="1">+UPPER(Tabla1321124[[#This Row],[DESCRIPCIÓN DE LA COMPRA O CONTRATACIÓN]])</f>
        <v>CAPAS DE AGUA</v>
      </c>
      <c r="C1989" s="39" t="s">
        <v>17</v>
      </c>
      <c r="D1989" s="236">
        <v>100</v>
      </c>
      <c r="E1989" s="236">
        <v>100</v>
      </c>
      <c r="F1989" s="236">
        <v>100</v>
      </c>
      <c r="G1989" s="236">
        <v>100</v>
      </c>
      <c r="H1989" s="240">
        <f>SUM(Tabla1321124[[#This Row],[PRIMER TRIMESTRE]:[CUARTO TRIMESTRE]])</f>
        <v>400</v>
      </c>
      <c r="I1989" s="17">
        <v>450</v>
      </c>
      <c r="J1989" s="17">
        <f>+Tabla1321124[[#This Row],[CANTIDAD TOTAL]]*Tabla1321124[[#This Row],[PRECIO UNITARIO ESTIMADO]]</f>
        <v>180000</v>
      </c>
      <c r="K1989" s="17"/>
      <c r="L1989" s="16" t="s">
        <v>27</v>
      </c>
      <c r="M1989" s="16" t="s">
        <v>22</v>
      </c>
      <c r="N1989" s="16" t="s">
        <v>342</v>
      </c>
    </row>
    <row r="1990" spans="1:14" ht="41.25" customHeight="1">
      <c r="A1990" s="178" t="s">
        <v>147</v>
      </c>
      <c r="B1990" s="75" t="str">
        <f ca="1">+UPPER(Tabla1321124[[#This Row],[DESCRIPCIÓN DE LA COMPRA O CONTRATACIÓN]])</f>
        <v>UNIFORMES SECRETARIALES</v>
      </c>
      <c r="C1990" s="39" t="s">
        <v>17</v>
      </c>
      <c r="D1990" s="236">
        <v>100</v>
      </c>
      <c r="E1990" s="236">
        <v>100</v>
      </c>
      <c r="F1990" s="236">
        <v>100</v>
      </c>
      <c r="G1990" s="236">
        <v>100</v>
      </c>
      <c r="H1990" s="240">
        <f>Tabla1321124[[#This Row],[CUARTO TRIMESTRE]]+Tabla1321124[[#This Row],[TERCER TRIMESTRE]]+Tabla1321124[[#This Row],[SEGUNDO TRIMESTRE]]+Tabla1321124[[#This Row],[PRIMER TRIMESTRE]]</f>
        <v>400</v>
      </c>
      <c r="I1990" s="17">
        <v>5000</v>
      </c>
      <c r="J1990" s="17">
        <f>+Tabla1321124[[#This Row],[CANTIDAD TOTAL]]*Tabla1321124[[#This Row],[PRECIO UNITARIO ESTIMADO]]</f>
        <v>2000000</v>
      </c>
      <c r="K1990" s="17"/>
      <c r="L1990" s="16" t="s">
        <v>27</v>
      </c>
      <c r="M1990" s="16" t="s">
        <v>22</v>
      </c>
      <c r="N1990" s="16" t="s">
        <v>342</v>
      </c>
    </row>
    <row r="1991" spans="1:14" ht="41.25" customHeight="1">
      <c r="A1991" s="178" t="s">
        <v>147</v>
      </c>
      <c r="B1991" s="75" t="str">
        <f ca="1">+UPPER(Tabla1321124[[#This Row],[DESCRIPCIÓN DE LA COMPRA O CONTRATACIÓN]])</f>
        <v>UNIFORMES OVERALL</v>
      </c>
      <c r="C1991" s="39" t="s">
        <v>17</v>
      </c>
      <c r="D1991" s="236"/>
      <c r="E1991" s="236"/>
      <c r="F1991" s="236"/>
      <c r="G1991" s="236"/>
      <c r="H1991" s="240">
        <f>SUM(Tabla1321124[[#This Row],[PRIMER TRIMESTRE]:[CUARTO TRIMESTRE]])</f>
        <v>0</v>
      </c>
      <c r="I1991" s="17">
        <v>850</v>
      </c>
      <c r="J1991" s="17">
        <f>+Tabla1321124[[#This Row],[CANTIDAD TOTAL]]*Tabla1321124[[#This Row],[PRECIO UNITARIO ESTIMADO]]</f>
        <v>0</v>
      </c>
      <c r="K1991" s="17"/>
      <c r="L1991" s="16" t="s">
        <v>27</v>
      </c>
      <c r="M1991" s="16" t="s">
        <v>22</v>
      </c>
      <c r="N1991" s="16" t="s">
        <v>342</v>
      </c>
    </row>
    <row r="1992" spans="1:14" ht="41.25" customHeight="1">
      <c r="A1992" s="178" t="s">
        <v>147</v>
      </c>
      <c r="B1992" s="75" t="str">
        <f ca="1">+UPPER(Tabla1321124[[#This Row],[DESCRIPCIÓN DE LA COMPRA O CONTRATACIÓN]])</f>
        <v>CAMISAS</v>
      </c>
      <c r="C1992" s="39" t="s">
        <v>17</v>
      </c>
      <c r="D1992" s="236">
        <v>25</v>
      </c>
      <c r="E1992" s="236">
        <v>25</v>
      </c>
      <c r="F1992" s="236">
        <v>25</v>
      </c>
      <c r="G1992" s="236">
        <v>25</v>
      </c>
      <c r="H1992" s="240">
        <f>SUM(Tabla1321124[[#This Row],[PRIMER TRIMESTRE]:[CUARTO TRIMESTRE]])</f>
        <v>100</v>
      </c>
      <c r="I1992" s="17">
        <v>250</v>
      </c>
      <c r="J1992" s="17">
        <f>+Tabla1321124[[#This Row],[CANTIDAD TOTAL]]*Tabla1321124[[#This Row],[PRECIO UNITARIO ESTIMADO]]</f>
        <v>25000</v>
      </c>
      <c r="K1992" s="387">
        <f>SUM(J1967:J1992)</f>
        <v>4287734</v>
      </c>
      <c r="L1992" s="16" t="s">
        <v>27</v>
      </c>
      <c r="M1992" s="16" t="s">
        <v>22</v>
      </c>
      <c r="N1992" s="16" t="s">
        <v>342</v>
      </c>
    </row>
    <row r="1993" spans="1:14" ht="41.25" customHeight="1">
      <c r="A1993" s="538" t="s">
        <v>147</v>
      </c>
      <c r="B1993" s="76" t="str">
        <f ca="1">+UPPER(Tabla1321124[[#This Row],[DESCRIPCIÓN DE LA COMPRA O CONTRATACIÓN]])</f>
        <v/>
      </c>
      <c r="C1993" s="237"/>
      <c r="D1993" s="237"/>
      <c r="E1993" s="237"/>
      <c r="F1993" s="237"/>
      <c r="G1993" s="237"/>
      <c r="H1993" s="238"/>
      <c r="I1993" s="238"/>
      <c r="J1993" s="383"/>
      <c r="K1993" s="25">
        <f>SUM(J1967:J1992)</f>
        <v>4287734</v>
      </c>
      <c r="L1993" s="383"/>
      <c r="M1993" s="383"/>
      <c r="N1993" s="383"/>
    </row>
    <row r="1994" spans="1:14" ht="41.25" customHeight="1">
      <c r="A1994" s="178" t="s">
        <v>153</v>
      </c>
      <c r="B1994" s="75" t="str">
        <f ca="1">+UPPER(Tabla1321124[[#This Row],[DESCRIPCIÓN DE LA COMPRA O CONTRATACIÓN]])</f>
        <v>PINS METALICOS  PM 3/4 DIAMETRO CON RESINA</v>
      </c>
      <c r="C1994" s="39" t="s">
        <v>17</v>
      </c>
      <c r="D1994" s="236"/>
      <c r="E1994" s="236"/>
      <c r="F1994" s="236"/>
      <c r="G1994" s="236"/>
      <c r="H1994" s="351">
        <f>SUM(Tabla1321124[[#This Row],[PRIMER TRIMESTRE]:[CUARTO TRIMESTRE]])</f>
        <v>0</v>
      </c>
      <c r="I1994" s="17">
        <v>500</v>
      </c>
      <c r="J1994" s="17">
        <f>+H1994*I1994</f>
        <v>0</v>
      </c>
      <c r="K1994" s="286"/>
      <c r="L1994" s="16" t="s">
        <v>15</v>
      </c>
      <c r="M1994" s="16" t="s">
        <v>22</v>
      </c>
      <c r="N1994" s="16" t="s">
        <v>342</v>
      </c>
    </row>
    <row r="1995" spans="1:14" ht="41.25" customHeight="1">
      <c r="A1995" s="178" t="s">
        <v>153</v>
      </c>
      <c r="B1995" s="75" t="str">
        <f ca="1">+UPPER(Tabla1321124[[#This Row],[DESCRIPCIÓN DE LA COMPRA O CONTRATACIÓN]])</f>
        <v>SOMBRILLA</v>
      </c>
      <c r="C1995" s="39" t="s">
        <v>17</v>
      </c>
      <c r="D1995" s="236">
        <v>3</v>
      </c>
      <c r="E1995" s="236">
        <v>3</v>
      </c>
      <c r="F1995" s="236">
        <v>3</v>
      </c>
      <c r="G1995" s="236">
        <v>3</v>
      </c>
      <c r="H1995" s="351">
        <f>SUM(Tabla1321124[[#This Row],[PRIMER TRIMESTRE]:[CUARTO TRIMESTRE]])</f>
        <v>12</v>
      </c>
      <c r="I1995" s="17">
        <v>275</v>
      </c>
      <c r="J1995" s="17">
        <f t="shared" ref="J1995:J2015" si="31">+H1995*I1995</f>
        <v>3300</v>
      </c>
      <c r="K1995" s="286"/>
      <c r="L1995" s="16" t="s">
        <v>15</v>
      </c>
      <c r="M1995" s="16" t="s">
        <v>22</v>
      </c>
      <c r="N1995" s="16" t="s">
        <v>342</v>
      </c>
    </row>
    <row r="1996" spans="1:14" ht="41.25" customHeight="1">
      <c r="A1996" s="178" t="s">
        <v>153</v>
      </c>
      <c r="B1996" s="75" t="str">
        <f ca="1">+UPPER(Tabla1321124[[#This Row],[DESCRIPCIÓN DE LA COMPRA O CONTRATACIÓN]])</f>
        <v>SINTESIS PERIODISTICA</v>
      </c>
      <c r="C1996" s="39" t="s">
        <v>17</v>
      </c>
      <c r="D1996" s="236"/>
      <c r="E1996" s="236">
        <v>9</v>
      </c>
      <c r="F1996" s="236"/>
      <c r="G1996" s="236">
        <v>9</v>
      </c>
      <c r="H1996" s="351">
        <f>SUM(Tabla1321124[[#This Row],[PRIMER TRIMESTRE]:[CUARTO TRIMESTRE]])</f>
        <v>18</v>
      </c>
      <c r="I1996" s="17">
        <v>5000</v>
      </c>
      <c r="J1996" s="17">
        <f t="shared" si="31"/>
        <v>90000</v>
      </c>
      <c r="K1996" s="345"/>
      <c r="L1996" s="16" t="s">
        <v>15</v>
      </c>
      <c r="M1996" s="16" t="s">
        <v>22</v>
      </c>
      <c r="N1996" s="16" t="s">
        <v>342</v>
      </c>
    </row>
    <row r="1997" spans="1:14" ht="41.25" customHeight="1">
      <c r="A1997" s="178" t="s">
        <v>153</v>
      </c>
      <c r="B1997" s="75" t="str">
        <f ca="1">+UPPER(Tabla1321124[[#This Row],[DESCRIPCIÓN DE LA COMPRA O CONTRATACIÓN]])</f>
        <v>INFORMES</v>
      </c>
      <c r="C1997" s="39" t="s">
        <v>17</v>
      </c>
      <c r="D1997" s="236"/>
      <c r="E1997" s="236">
        <v>9</v>
      </c>
      <c r="F1997" s="236"/>
      <c r="G1997" s="236">
        <v>9</v>
      </c>
      <c r="H1997" s="351">
        <f>SUM(Tabla1321124[[#This Row],[PRIMER TRIMESTRE]:[CUARTO TRIMESTRE]])</f>
        <v>18</v>
      </c>
      <c r="I1997" s="17">
        <v>5000</v>
      </c>
      <c r="J1997" s="17">
        <f t="shared" si="31"/>
        <v>90000</v>
      </c>
      <c r="K1997" s="345"/>
      <c r="L1997" s="16" t="s">
        <v>15</v>
      </c>
      <c r="M1997" s="16" t="s">
        <v>22</v>
      </c>
      <c r="N1997" s="16" t="s">
        <v>342</v>
      </c>
    </row>
    <row r="1998" spans="1:14" ht="41.25" customHeight="1">
      <c r="A1998" s="178" t="s">
        <v>153</v>
      </c>
      <c r="B1998" s="75" t="str">
        <f ca="1">+UPPER(Tabla1321124[[#This Row],[DESCRIPCIÓN DE LA COMPRA O CONTRATACIÓN]])</f>
        <v>PLASTICO PVC PARA CARNET 500</v>
      </c>
      <c r="C1998" s="39" t="s">
        <v>17</v>
      </c>
      <c r="D1998" s="236"/>
      <c r="E1998" s="236"/>
      <c r="F1998" s="236"/>
      <c r="G1998" s="236"/>
      <c r="H1998" s="351">
        <f>SUM(Tabla1321124[[#This Row],[PRIMER TRIMESTRE]:[CUARTO TRIMESTRE]])</f>
        <v>0</v>
      </c>
      <c r="I1998" s="17">
        <v>1</v>
      </c>
      <c r="J1998" s="17">
        <f t="shared" si="31"/>
        <v>0</v>
      </c>
      <c r="K1998" s="17"/>
      <c r="L1998" s="16" t="s">
        <v>15</v>
      </c>
      <c r="M1998" s="16" t="s">
        <v>22</v>
      </c>
      <c r="N1998" s="16" t="s">
        <v>342</v>
      </c>
    </row>
    <row r="1999" spans="1:14" ht="41.25" customHeight="1">
      <c r="A1999" s="178" t="s">
        <v>153</v>
      </c>
      <c r="B1999" s="75" t="str">
        <f ca="1">+UPPER(Tabla1321124[[#This Row],[DESCRIPCIÓN DE LA COMPRA O CONTRATACIÓN]])</f>
        <v>PUBLICACIONES EN LOS PERIODICOS (100 PUBLICACIONES) COSTO APROXIMADO RD$40,000.00</v>
      </c>
      <c r="C1999" s="39" t="s">
        <v>1773</v>
      </c>
      <c r="D1999" s="236">
        <v>10</v>
      </c>
      <c r="E1999" s="236">
        <v>10</v>
      </c>
      <c r="F1999" s="236">
        <v>10</v>
      </c>
      <c r="G1999" s="236">
        <v>10</v>
      </c>
      <c r="H1999" s="351">
        <f>SUM(Tabla1321124[[#This Row],[PRIMER TRIMESTRE]:[CUARTO TRIMESTRE]])</f>
        <v>40</v>
      </c>
      <c r="I1999" s="17">
        <v>40000</v>
      </c>
      <c r="J1999" s="17">
        <f t="shared" si="31"/>
        <v>1600000</v>
      </c>
      <c r="K1999" s="345"/>
      <c r="L1999" s="16" t="s">
        <v>15</v>
      </c>
      <c r="M1999" s="16" t="s">
        <v>22</v>
      </c>
      <c r="N1999" s="16" t="s">
        <v>342</v>
      </c>
    </row>
    <row r="2000" spans="1:14" ht="41.25" customHeight="1">
      <c r="A2000" s="178" t="s">
        <v>153</v>
      </c>
      <c r="B2000" s="75" t="str">
        <f ca="1">+UPPER(Tabla1321124[[#This Row],[DESCRIPCIÓN DE LA COMPRA O CONTRATACIÓN]])</f>
        <v>FOLDERS CON LOGO INAPA</v>
      </c>
      <c r="C2000" s="39" t="s">
        <v>17</v>
      </c>
      <c r="D2000" s="236">
        <v>150</v>
      </c>
      <c r="E2000" s="236"/>
      <c r="F2000" s="236">
        <v>150</v>
      </c>
      <c r="G2000" s="236"/>
      <c r="H2000" s="299">
        <f>SUM(Tabla1321124[[#This Row],[PRIMER TRIMESTRE]:[CUARTO TRIMESTRE]])</f>
        <v>300</v>
      </c>
      <c r="I2000" s="17">
        <v>55</v>
      </c>
      <c r="J2000" s="17">
        <f t="shared" si="31"/>
        <v>16500</v>
      </c>
      <c r="K2000" s="345"/>
      <c r="L2000" s="16" t="s">
        <v>15</v>
      </c>
      <c r="M2000" s="16" t="s">
        <v>22</v>
      </c>
      <c r="N2000" s="16" t="s">
        <v>342</v>
      </c>
    </row>
    <row r="2001" spans="1:14" ht="41.25" customHeight="1">
      <c r="A2001" s="178" t="s">
        <v>153</v>
      </c>
      <c r="B2001" s="75" t="str">
        <f ca="1">+UPPER(Tabla1321124[[#This Row],[DESCRIPCIÓN DE LA COMPRA O CONTRATACIÓN]])</f>
        <v>CINTA DATACARD</v>
      </c>
      <c r="C2001" s="39" t="s">
        <v>17</v>
      </c>
      <c r="D2001" s="236"/>
      <c r="E2001" s="236"/>
      <c r="F2001" s="236"/>
      <c r="G2001" s="236"/>
      <c r="H2001" s="351">
        <f>SUM(Tabla1321124[[#This Row],[PRIMER TRIMESTRE]:[CUARTO TRIMESTRE]])</f>
        <v>0</v>
      </c>
      <c r="I2001" s="17">
        <v>1</v>
      </c>
      <c r="J2001" s="17">
        <f t="shared" si="31"/>
        <v>0</v>
      </c>
      <c r="K2001" s="17"/>
      <c r="L2001" s="16" t="s">
        <v>15</v>
      </c>
      <c r="M2001" s="16" t="s">
        <v>22</v>
      </c>
      <c r="N2001" s="16" t="s">
        <v>342</v>
      </c>
    </row>
    <row r="2002" spans="1:14" ht="41.25" customHeight="1">
      <c r="A2002" s="178" t="s">
        <v>153</v>
      </c>
      <c r="B2002" s="75" t="str">
        <f ca="1">+UPPER(Tabla1321124[[#This Row],[DESCRIPCIÓN DE LA COMPRA O CONTRATACIÓN]])</f>
        <v>LISTIN DIARIO (CINCO EJEMPLARES DIARIOS), PRECIO POR  AÑO RD$3,450.00</v>
      </c>
      <c r="C2002" s="39" t="s">
        <v>1773</v>
      </c>
      <c r="D2002" s="236">
        <v>92</v>
      </c>
      <c r="E2002" s="236">
        <v>91</v>
      </c>
      <c r="F2002" s="236">
        <v>91</v>
      </c>
      <c r="G2002" s="236">
        <v>91</v>
      </c>
      <c r="H2002" s="351">
        <f>SUM(Tabla1321124[[#This Row],[PRIMER TRIMESTRE]:[CUARTO TRIMESTRE]])</f>
        <v>365</v>
      </c>
      <c r="I2002" s="17">
        <v>9.4499999999999993</v>
      </c>
      <c r="J2002" s="17">
        <f t="shared" si="31"/>
        <v>3449.2499999999995</v>
      </c>
      <c r="K2002" s="345"/>
      <c r="L2002" s="16" t="s">
        <v>15</v>
      </c>
      <c r="M2002" s="16" t="s">
        <v>22</v>
      </c>
      <c r="N2002" s="16" t="s">
        <v>342</v>
      </c>
    </row>
    <row r="2003" spans="1:14" ht="41.25" customHeight="1">
      <c r="A2003" s="178" t="s">
        <v>153</v>
      </c>
      <c r="B2003" s="75" t="str">
        <f ca="1">+UPPER(Tabla1321124[[#This Row],[DESCRIPCIÓN DE LA COMPRA O CONTRATACIÓN]])</f>
        <v>PERIODICO HOY (CUATRO EJEMPLARES DIARIOS), PRECIO POR  AÑO RD$2,700.00</v>
      </c>
      <c r="C2003" s="39" t="s">
        <v>1773</v>
      </c>
      <c r="D2003" s="236">
        <v>92</v>
      </c>
      <c r="E2003" s="236">
        <v>91</v>
      </c>
      <c r="F2003" s="236">
        <v>91</v>
      </c>
      <c r="G2003" s="236">
        <v>91</v>
      </c>
      <c r="H2003" s="351">
        <f>SUM(Tabla1321124[[#This Row],[PRIMER TRIMESTRE]:[CUARTO TRIMESTRE]])</f>
        <v>365</v>
      </c>
      <c r="I2003" s="17">
        <v>7.4</v>
      </c>
      <c r="J2003" s="17">
        <f t="shared" si="31"/>
        <v>2701</v>
      </c>
      <c r="K2003" s="345"/>
      <c r="L2003" s="16" t="s">
        <v>15</v>
      </c>
      <c r="M2003" s="16" t="s">
        <v>22</v>
      </c>
      <c r="N2003" s="16" t="s">
        <v>342</v>
      </c>
    </row>
    <row r="2004" spans="1:14" ht="41.25" customHeight="1">
      <c r="A2004" s="178" t="s">
        <v>153</v>
      </c>
      <c r="B2004" s="75" t="str">
        <f ca="1">+UPPER(Tabla1321124[[#This Row],[DESCRIPCIÓN DE LA COMPRA O CONTRATACIÓN]])</f>
        <v>PERIODICO EL NACIONAL (CINCO EJEMPLARES DIARIOS), PRECIO POR  AÑO RD$4,325.00</v>
      </c>
      <c r="C2004" s="39" t="s">
        <v>1773</v>
      </c>
      <c r="D2004" s="236">
        <v>92</v>
      </c>
      <c r="E2004" s="236">
        <v>91</v>
      </c>
      <c r="F2004" s="236">
        <v>91</v>
      </c>
      <c r="G2004" s="236">
        <v>91</v>
      </c>
      <c r="H2004" s="351">
        <f>SUM(Tabla1321124[[#This Row],[PRIMER TRIMESTRE]:[CUARTO TRIMESTRE]])</f>
        <v>365</v>
      </c>
      <c r="I2004" s="17">
        <v>11.85</v>
      </c>
      <c r="J2004" s="17">
        <f t="shared" si="31"/>
        <v>4325.25</v>
      </c>
      <c r="K2004" s="345"/>
      <c r="L2004" s="16" t="s">
        <v>15</v>
      </c>
      <c r="M2004" s="16" t="s">
        <v>22</v>
      </c>
      <c r="N2004" s="16" t="s">
        <v>342</v>
      </c>
    </row>
    <row r="2005" spans="1:14" ht="41.25" customHeight="1">
      <c r="A2005" s="178" t="s">
        <v>153</v>
      </c>
      <c r="B2005" s="75" t="str">
        <f ca="1">+UPPER(Tabla1321124[[#This Row],[DESCRIPCIÓN DE LA COMPRA O CONTRATACIÓN]])</f>
        <v>PERIODICO EL CARIBE Y EL PAIS (CUATRO EJEMPLARES DIARIOS), PRECIO POR AÑO RD$3,100.00</v>
      </c>
      <c r="C2005" s="39" t="s">
        <v>1773</v>
      </c>
      <c r="D2005" s="236">
        <v>92</v>
      </c>
      <c r="E2005" s="236">
        <v>91</v>
      </c>
      <c r="F2005" s="236">
        <v>91</v>
      </c>
      <c r="G2005" s="236">
        <v>91</v>
      </c>
      <c r="H2005" s="351">
        <f>SUM(Tabla1321124[[#This Row],[PRIMER TRIMESTRE]:[CUARTO TRIMESTRE]])</f>
        <v>365</v>
      </c>
      <c r="I2005" s="17">
        <v>8.5</v>
      </c>
      <c r="J2005" s="17">
        <f t="shared" si="31"/>
        <v>3102.5</v>
      </c>
      <c r="K2005" s="345"/>
      <c r="L2005" s="16" t="s">
        <v>15</v>
      </c>
      <c r="M2005" s="16" t="s">
        <v>22</v>
      </c>
      <c r="N2005" s="16" t="s">
        <v>342</v>
      </c>
    </row>
    <row r="2006" spans="1:14" ht="43.5" customHeight="1">
      <c r="A2006" s="178" t="s">
        <v>153</v>
      </c>
      <c r="B2006" s="75" t="str">
        <f ca="1">+UPPER(Tabla1321124[[#This Row],[DESCRIPCIÓN DE LA COMPRA O CONTRATACIÓN]])</f>
        <v>PERIODICO EL NUEVO DIARIO (TRES EJEMPLARES DIARIOS). PRECIO POR AÑO RD$2,191.00</v>
      </c>
      <c r="C2006" s="39" t="s">
        <v>1773</v>
      </c>
      <c r="D2006" s="236">
        <v>92</v>
      </c>
      <c r="E2006" s="236">
        <v>91</v>
      </c>
      <c r="F2006" s="236">
        <v>91</v>
      </c>
      <c r="G2006" s="236">
        <v>91</v>
      </c>
      <c r="H2006" s="351">
        <f>SUM(Tabla1321124[[#This Row],[PRIMER TRIMESTRE]:[CUARTO TRIMESTRE]])</f>
        <v>365</v>
      </c>
      <c r="I2006" s="17">
        <v>6</v>
      </c>
      <c r="J2006" s="17">
        <f t="shared" si="31"/>
        <v>2190</v>
      </c>
      <c r="K2006" s="345"/>
      <c r="L2006" s="16" t="s">
        <v>15</v>
      </c>
      <c r="M2006" s="16" t="s">
        <v>22</v>
      </c>
      <c r="N2006" s="16" t="s">
        <v>342</v>
      </c>
    </row>
    <row r="2007" spans="1:14" ht="41.25" customHeight="1">
      <c r="A2007" s="178" t="s">
        <v>153</v>
      </c>
      <c r="B2007" s="75" t="str">
        <f ca="1">+UPPER(Tabla1321124[[#This Row],[DESCRIPCIÓN DE LA COMPRA O CONTRATACIÓN]])</f>
        <v>PERIODICO LA INFORMACION (DOS EJEMPLARES DIARIOS) PRECIO POR AÑO RD$1,600.00</v>
      </c>
      <c r="C2007" s="39" t="s">
        <v>1773</v>
      </c>
      <c r="D2007" s="236">
        <v>92</v>
      </c>
      <c r="E2007" s="236">
        <v>91</v>
      </c>
      <c r="F2007" s="236">
        <v>91</v>
      </c>
      <c r="G2007" s="236">
        <v>91</v>
      </c>
      <c r="H2007" s="351">
        <f>SUM(Tabla1321124[[#This Row],[PRIMER TRIMESTRE]:[CUARTO TRIMESTRE]])</f>
        <v>365</v>
      </c>
      <c r="I2007" s="17">
        <v>4.3899999999999997</v>
      </c>
      <c r="J2007" s="17">
        <f t="shared" si="31"/>
        <v>1602.35</v>
      </c>
      <c r="K2007" s="345"/>
      <c r="L2007" s="16" t="s">
        <v>15</v>
      </c>
      <c r="M2007" s="16" t="s">
        <v>22</v>
      </c>
      <c r="N2007" s="16" t="s">
        <v>342</v>
      </c>
    </row>
    <row r="2008" spans="1:14" ht="41.25" customHeight="1">
      <c r="A2008" s="178" t="s">
        <v>153</v>
      </c>
      <c r="B2008" s="75" t="str">
        <f ca="1">+UPPER(Tabla1321124[[#This Row],[DESCRIPCIÓN DE LA COMPRA O CONTRATACIÓN]])</f>
        <v>MEDIOS IMPRESOS (PRESUPUESTO PARA EL PAGO DE PUBLICIDAD DEL PROGRAMA NACIONAL DE LIMPIEZA Y DESINFECCIÓN)</v>
      </c>
      <c r="C2008" s="39" t="s">
        <v>17</v>
      </c>
      <c r="D2008" s="352">
        <v>1</v>
      </c>
      <c r="E2008" s="352"/>
      <c r="F2008" s="352"/>
      <c r="G2008" s="352"/>
      <c r="H2008" s="353">
        <f>SUM(Tabla1321124[[#This Row],[PRIMER TRIMESTRE]:[CUARTO TRIMESTRE]])</f>
        <v>1</v>
      </c>
      <c r="I2008" s="17">
        <v>1179000</v>
      </c>
      <c r="J2008" s="17">
        <f t="shared" si="31"/>
        <v>1179000</v>
      </c>
      <c r="K2008" s="345"/>
      <c r="L2008" s="16" t="s">
        <v>15</v>
      </c>
      <c r="M2008" s="16" t="s">
        <v>22</v>
      </c>
      <c r="N2008" s="16" t="s">
        <v>342</v>
      </c>
    </row>
    <row r="2009" spans="1:14" ht="41.25" customHeight="1">
      <c r="A2009" s="178" t="s">
        <v>153</v>
      </c>
      <c r="B2009" s="75" t="str">
        <f ca="1">+UPPER(Tabla1321124[[#This Row],[DESCRIPCIÓN DE LA COMPRA O CONTRATACIÓN]])</f>
        <v>TARJETAS DE PRESENTACION</v>
      </c>
      <c r="C2009" s="39" t="s">
        <v>17</v>
      </c>
      <c r="D2009" s="236">
        <v>6000</v>
      </c>
      <c r="E2009" s="236">
        <v>6500</v>
      </c>
      <c r="F2009" s="236">
        <v>6000</v>
      </c>
      <c r="G2009" s="236">
        <v>6000</v>
      </c>
      <c r="H2009" s="299">
        <f>SUM(Tabla1321124[[#This Row],[PRIMER TRIMESTRE]:[CUARTO TRIMESTRE]])</f>
        <v>24500</v>
      </c>
      <c r="I2009" s="17">
        <v>5.4</v>
      </c>
      <c r="J2009" s="17">
        <f t="shared" si="31"/>
        <v>132300</v>
      </c>
      <c r="K2009" s="340"/>
      <c r="L2009" s="16" t="s">
        <v>15</v>
      </c>
      <c r="M2009" s="16" t="s">
        <v>22</v>
      </c>
      <c r="N2009" s="16" t="s">
        <v>342</v>
      </c>
    </row>
    <row r="2010" spans="1:14" ht="41.25" customHeight="1">
      <c r="A2010" s="178" t="s">
        <v>153</v>
      </c>
      <c r="B2010" s="75" t="str">
        <f ca="1">+UPPER(Tabla1321124[[#This Row],[DESCRIPCIÓN DE LA COMPRA O CONTRATACIÓN]])</f>
        <v>SELLO PRETINTADOS</v>
      </c>
      <c r="C2010" s="39" t="s">
        <v>17</v>
      </c>
      <c r="D2010" s="236">
        <v>2</v>
      </c>
      <c r="E2010" s="236"/>
      <c r="F2010" s="236"/>
      <c r="G2010" s="236"/>
      <c r="H2010" s="299">
        <f>SUM(Tabla1321124[[#This Row],[PRIMER TRIMESTRE]:[CUARTO TRIMESTRE]])</f>
        <v>2</v>
      </c>
      <c r="I2010" s="17">
        <v>350</v>
      </c>
      <c r="J2010" s="17">
        <f t="shared" si="31"/>
        <v>700</v>
      </c>
      <c r="K2010" s="17"/>
      <c r="L2010" s="16" t="s">
        <v>15</v>
      </c>
      <c r="M2010" s="16" t="s">
        <v>22</v>
      </c>
      <c r="N2010" s="16" t="s">
        <v>342</v>
      </c>
    </row>
    <row r="2011" spans="1:14" ht="41.25" customHeight="1">
      <c r="A2011" s="178" t="s">
        <v>153</v>
      </c>
      <c r="B2011" s="75" t="str">
        <f ca="1">+UPPER(Tabla1321124[[#This Row],[DESCRIPCIÓN DE LA COMPRA O CONTRATACIÓN]])</f>
        <v>CLIP PARA CARDNET</v>
      </c>
      <c r="C2011" s="39" t="s">
        <v>17</v>
      </c>
      <c r="D2011" s="236"/>
      <c r="E2011" s="236"/>
      <c r="F2011" s="236"/>
      <c r="G2011" s="236"/>
      <c r="H2011" s="351">
        <f>SUM(Tabla1321124[[#This Row],[PRIMER TRIMESTRE]:[CUARTO TRIMESTRE]])</f>
        <v>0</v>
      </c>
      <c r="I2011" s="17">
        <v>2.75</v>
      </c>
      <c r="J2011" s="17">
        <f t="shared" si="31"/>
        <v>0</v>
      </c>
      <c r="K2011" s="286"/>
      <c r="L2011" s="16" t="s">
        <v>15</v>
      </c>
      <c r="M2011" s="16" t="s">
        <v>22</v>
      </c>
      <c r="N2011" s="16" t="s">
        <v>342</v>
      </c>
    </row>
    <row r="2012" spans="1:14" ht="41.25" customHeight="1">
      <c r="A2012" s="178" t="s">
        <v>153</v>
      </c>
      <c r="B2012" s="75" t="str">
        <f ca="1">+UPPER(Tabla1321124[[#This Row],[DESCRIPCIÓN DE LA COMPRA O CONTRATACIÓN]])</f>
        <v>TALONARIO DC-5</v>
      </c>
      <c r="C2012" s="39" t="s">
        <v>17</v>
      </c>
      <c r="D2012" s="236">
        <v>4000</v>
      </c>
      <c r="E2012" s="236">
        <v>4000</v>
      </c>
      <c r="F2012" s="236">
        <v>4000</v>
      </c>
      <c r="G2012" s="236">
        <v>4000</v>
      </c>
      <c r="H2012" s="351">
        <f>SUM(Tabla1321124[[#This Row],[PRIMER TRIMESTRE]:[CUARTO TRIMESTRE]])</f>
        <v>16000</v>
      </c>
      <c r="I2012" s="17">
        <v>48.75</v>
      </c>
      <c r="J2012" s="17">
        <f t="shared" si="31"/>
        <v>780000</v>
      </c>
      <c r="K2012" s="17"/>
      <c r="L2012" s="16" t="s">
        <v>15</v>
      </c>
      <c r="M2012" s="16" t="s">
        <v>22</v>
      </c>
      <c r="N2012" s="16" t="s">
        <v>342</v>
      </c>
    </row>
    <row r="2013" spans="1:14" ht="41.25" customHeight="1">
      <c r="A2013" s="178" t="s">
        <v>153</v>
      </c>
      <c r="B2013" s="75" t="str">
        <f ca="1">+UPPER(Tabla1321124[[#This Row],[DESCRIPCIÓN DE LA COMPRA O CONTRATACIÓN]])</f>
        <v>IMPRESIÓN DE FACTURAS COMERCIALES</v>
      </c>
      <c r="C2013" s="39" t="s">
        <v>17</v>
      </c>
      <c r="D2013" s="370">
        <v>50000</v>
      </c>
      <c r="E2013" s="370">
        <v>50000</v>
      </c>
      <c r="F2013" s="370">
        <v>50000</v>
      </c>
      <c r="G2013" s="370">
        <v>50000</v>
      </c>
      <c r="H2013" s="236">
        <f>SUM(Tabla1321124[[#This Row],[PRIMER TRIMESTRE]:[CUARTO TRIMESTRE]])</f>
        <v>200000</v>
      </c>
      <c r="I2013" s="17">
        <v>9</v>
      </c>
      <c r="J2013" s="17">
        <f t="shared" si="31"/>
        <v>1800000</v>
      </c>
      <c r="K2013" s="17"/>
      <c r="L2013" s="16" t="s">
        <v>18</v>
      </c>
      <c r="M2013" s="16" t="s">
        <v>22</v>
      </c>
      <c r="N2013" s="16" t="s">
        <v>342</v>
      </c>
    </row>
    <row r="2014" spans="1:14" ht="41.25" customHeight="1">
      <c r="A2014" s="178" t="s">
        <v>153</v>
      </c>
      <c r="B2014" s="75" t="str">
        <f ca="1">+UPPER(Tabla1321124[[#This Row],[DESCRIPCIÓN DE LA COMPRA O CONTRATACIÓN]])</f>
        <v>IMPRESIÓN DE BROUCHURE 2 TIPOS</v>
      </c>
      <c r="C2014" s="39" t="s">
        <v>17</v>
      </c>
      <c r="D2014" s="370">
        <v>2000</v>
      </c>
      <c r="E2014" s="370">
        <v>2000</v>
      </c>
      <c r="F2014" s="370">
        <v>2000</v>
      </c>
      <c r="G2014" s="370">
        <v>2000</v>
      </c>
      <c r="H2014" s="236">
        <f>SUM(Tabla1321124[[#This Row],[PRIMER TRIMESTRE]:[CUARTO TRIMESTRE]])</f>
        <v>8000</v>
      </c>
      <c r="I2014" s="17">
        <v>30</v>
      </c>
      <c r="J2014" s="17">
        <f t="shared" si="31"/>
        <v>240000</v>
      </c>
      <c r="K2014" s="286"/>
      <c r="L2014" s="16" t="s">
        <v>18</v>
      </c>
      <c r="M2014" s="16" t="s">
        <v>22</v>
      </c>
      <c r="N2014" s="16" t="s">
        <v>342</v>
      </c>
    </row>
    <row r="2015" spans="1:14" ht="41.25" customHeight="1">
      <c r="A2015" s="178" t="s">
        <v>153</v>
      </c>
      <c r="B2015" s="75" t="str">
        <f ca="1">+UPPER(Tabla1321124[[#This Row],[DESCRIPCIÓN DE LA COMPRA O CONTRATACIÓN]])</f>
        <v>IMPRESIÓN DE SEÑALIZACIONES (MISIO, VISION, VALORES)</v>
      </c>
      <c r="C2015" s="39" t="s">
        <v>17</v>
      </c>
      <c r="D2015" s="236">
        <f>1+3</f>
        <v>4</v>
      </c>
      <c r="E2015" s="236">
        <v>3</v>
      </c>
      <c r="F2015" s="236">
        <v>3</v>
      </c>
      <c r="G2015" s="236">
        <v>3</v>
      </c>
      <c r="H2015" s="351">
        <f>SUM(Tabla1321124[[#This Row],[PRIMER TRIMESTRE]:[CUARTO TRIMESTRE]])</f>
        <v>13</v>
      </c>
      <c r="I2015" s="17">
        <v>2200</v>
      </c>
      <c r="J2015" s="17">
        <f t="shared" si="31"/>
        <v>28600</v>
      </c>
      <c r="K2015" s="386">
        <f>SUM(J1994:J2015)</f>
        <v>5977770.3499999996</v>
      </c>
      <c r="L2015" s="16" t="s">
        <v>18</v>
      </c>
      <c r="M2015" s="16" t="s">
        <v>22</v>
      </c>
      <c r="N2015" s="16" t="s">
        <v>342</v>
      </c>
    </row>
    <row r="2016" spans="1:14" ht="57.75" customHeight="1">
      <c r="A2016" s="538" t="s">
        <v>153</v>
      </c>
      <c r="B2016" s="76" t="str">
        <f ca="1">+UPPER(Tabla1321124[[#This Row],[DESCRIPCIÓN DE LA COMPRA O CONTRATACIÓN]])</f>
        <v/>
      </c>
      <c r="C2016" s="237"/>
      <c r="D2016" s="237"/>
      <c r="E2016" s="237"/>
      <c r="F2016" s="237"/>
      <c r="G2016" s="237"/>
      <c r="H2016" s="238"/>
      <c r="I2016" s="238"/>
      <c r="J2016" s="383"/>
      <c r="K2016" s="25">
        <f>SUM(J1994:J2015)</f>
        <v>5977770.3499999996</v>
      </c>
      <c r="L2016" s="383"/>
      <c r="M2016" s="383"/>
      <c r="N2016" s="383"/>
    </row>
    <row r="2017" spans="1:14" ht="57.75" customHeight="1">
      <c r="A2017" s="178" t="s">
        <v>1024</v>
      </c>
      <c r="B2017" s="75" t="str">
        <f ca="1">+UPPER(Tabla1321124[[#This Row],[DESCRIPCIÓN DE LA COMPRA O CONTRATACIÓN]])</f>
        <v>REHABILITACION DE 5 POZOS AFECTADOS POR LA SEQUIA EN LA PROVINCIA PERAVIA</v>
      </c>
      <c r="C2017" s="39" t="s">
        <v>17</v>
      </c>
      <c r="D2017" s="210"/>
      <c r="E2017" s="210"/>
      <c r="F2017" s="210"/>
      <c r="G2017" s="210"/>
      <c r="H2017" s="249">
        <f>SUM(Tabla1321124[[#This Row],[PRIMER TRIMESTRE]:[CUARTO TRIMESTRE]])</f>
        <v>0</v>
      </c>
      <c r="I2017" s="17">
        <v>2465459.7599999998</v>
      </c>
      <c r="J2017" s="72">
        <f t="shared" ref="J2017:J2023" si="32">+H2017*I2017</f>
        <v>0</v>
      </c>
      <c r="K2017" s="72"/>
      <c r="L2017" s="16" t="s">
        <v>18</v>
      </c>
      <c r="M2017" s="16" t="s">
        <v>19</v>
      </c>
      <c r="N2017" s="16"/>
    </row>
    <row r="2018" spans="1:14" ht="57.75" customHeight="1">
      <c r="A2018" s="178" t="s">
        <v>1024</v>
      </c>
      <c r="B2018" s="75" t="str">
        <f ca="1">+UPPER(Tabla1321124[[#This Row],[DESCRIPCIÓN DE LA COMPRA O CONTRATACIÓN]])</f>
        <v>REHABILITACION DE 3 POZOS EXISTENTES EN LAS COMUNIDADES LA BARBACOA Y EL LIMON, PROVINCIA SAMANA</v>
      </c>
      <c r="C2018" s="39" t="s">
        <v>17</v>
      </c>
      <c r="D2018" s="210">
        <v>1</v>
      </c>
      <c r="E2018" s="210"/>
      <c r="F2018" s="210"/>
      <c r="G2018" s="210"/>
      <c r="H2018" s="249">
        <f>SUM(Tabla1321124[[#This Row],[PRIMER TRIMESTRE]:[CUARTO TRIMESTRE]])</f>
        <v>1</v>
      </c>
      <c r="I2018" s="17">
        <v>485677.62</v>
      </c>
      <c r="J2018" s="72">
        <f t="shared" si="32"/>
        <v>485677.62</v>
      </c>
      <c r="K2018" s="72"/>
      <c r="L2018" s="16" t="s">
        <v>18</v>
      </c>
      <c r="M2018" s="16" t="s">
        <v>19</v>
      </c>
      <c r="N2018" s="16" t="s">
        <v>342</v>
      </c>
    </row>
    <row r="2019" spans="1:14" ht="57.75" customHeight="1">
      <c r="A2019" s="178" t="s">
        <v>1024</v>
      </c>
      <c r="B2019" s="75" t="str">
        <f ca="1">+UPPER(Tabla1321124[[#This Row],[DESCRIPCIÓN DE LA COMPRA O CONTRATACIÓN]])</f>
        <v>LIMPIEZA, DESARROLLO POR PISTONEA Y AFORO A POZOS EN VARIOS ACUEDUCTOS EN SAN CRISTOBAL, PROVINCIA SAN CRISTOBAL</v>
      </c>
      <c r="C2019" s="39" t="s">
        <v>17</v>
      </c>
      <c r="D2019" s="210">
        <v>1</v>
      </c>
      <c r="E2019" s="210"/>
      <c r="F2019" s="210"/>
      <c r="G2019" s="210"/>
      <c r="H2019" s="249">
        <f>SUM(Tabla1321124[[#This Row],[PRIMER TRIMESTRE]:[CUARTO TRIMESTRE]])</f>
        <v>1</v>
      </c>
      <c r="I2019" s="17">
        <v>7126452.3600000003</v>
      </c>
      <c r="J2019" s="72">
        <f t="shared" si="32"/>
        <v>7126452.3600000003</v>
      </c>
      <c r="K2019" s="72"/>
      <c r="L2019" s="16" t="s">
        <v>18</v>
      </c>
      <c r="M2019" s="16" t="s">
        <v>19</v>
      </c>
      <c r="N2019" s="16"/>
    </row>
    <row r="2020" spans="1:14" ht="57.75" customHeight="1">
      <c r="A2020" s="178" t="s">
        <v>1024</v>
      </c>
      <c r="B2020" s="75" t="str">
        <f ca="1">+UPPER(Tabla1321124[[#This Row],[DESCRIPCIÓN DE LA COMPRA O CONTRATACIÓN]])</f>
        <v>LIMPIEZA DE POZOS EXISTENTES</v>
      </c>
      <c r="C2020" s="39" t="s">
        <v>17</v>
      </c>
      <c r="D2020" s="210">
        <v>10</v>
      </c>
      <c r="E2020" s="210">
        <v>5</v>
      </c>
      <c r="F2020" s="210">
        <v>10</v>
      </c>
      <c r="G2020" s="210">
        <v>5</v>
      </c>
      <c r="H2020" s="249">
        <f>SUM(Tabla1321124[[#This Row],[PRIMER TRIMESTRE]:[CUARTO TRIMESTRE]])</f>
        <v>30</v>
      </c>
      <c r="I2020" s="17">
        <v>52892.2</v>
      </c>
      <c r="J2020" s="72">
        <f t="shared" si="32"/>
        <v>1586766</v>
      </c>
      <c r="K2020" s="72"/>
      <c r="L2020" s="16" t="s">
        <v>18</v>
      </c>
      <c r="M2020" s="16" t="s">
        <v>19</v>
      </c>
      <c r="N2020" s="16" t="s">
        <v>342</v>
      </c>
    </row>
    <row r="2021" spans="1:14" ht="57.75" customHeight="1">
      <c r="A2021" s="178" t="s">
        <v>1024</v>
      </c>
      <c r="B2021" s="75" t="str">
        <f ca="1">+UPPER(Tabla1321124[[#This Row],[DESCRIPCIÓN DE LA COMPRA O CONTRATACIÓN]])</f>
        <v>AFORO DE POZOS</v>
      </c>
      <c r="C2021" s="39" t="s">
        <v>17</v>
      </c>
      <c r="D2021" s="210">
        <v>10</v>
      </c>
      <c r="E2021" s="210">
        <v>5</v>
      </c>
      <c r="F2021" s="210">
        <v>10</v>
      </c>
      <c r="G2021" s="210">
        <v>5</v>
      </c>
      <c r="H2021" s="249">
        <f>SUM(Tabla1321124[[#This Row],[PRIMER TRIMESTRE]:[CUARTO TRIMESTRE]])</f>
        <v>30</v>
      </c>
      <c r="I2021" s="17">
        <v>134185.97999999998</v>
      </c>
      <c r="J2021" s="72">
        <f t="shared" si="32"/>
        <v>4025579.3999999994</v>
      </c>
      <c r="K2021" s="72"/>
      <c r="L2021" s="16" t="s">
        <v>18</v>
      </c>
      <c r="M2021" s="16" t="s">
        <v>19</v>
      </c>
      <c r="N2021" s="16"/>
    </row>
    <row r="2022" spans="1:14" ht="57.75" customHeight="1">
      <c r="A2022" s="178" t="s">
        <v>1024</v>
      </c>
      <c r="B2022" s="75" t="str">
        <f ca="1">+UPPER(Tabla1321124[[#This Row],[DESCRIPCIÓN DE LA COMPRA O CONTRATACIÓN]])</f>
        <v>CONSTRUCCION DE NUEVOS POZOS</v>
      </c>
      <c r="C2022" s="39" t="s">
        <v>17</v>
      </c>
      <c r="D2022" s="210">
        <v>5</v>
      </c>
      <c r="E2022" s="210">
        <v>5</v>
      </c>
      <c r="F2022" s="210">
        <v>5</v>
      </c>
      <c r="G2022" s="210">
        <v>5</v>
      </c>
      <c r="H2022" s="249">
        <f>SUM(Tabla1321124[[#This Row],[PRIMER TRIMESTRE]:[CUARTO TRIMESTRE]])</f>
        <v>20</v>
      </c>
      <c r="I2022" s="17">
        <v>624559.46</v>
      </c>
      <c r="J2022" s="72">
        <f t="shared" si="32"/>
        <v>12491189.199999999</v>
      </c>
      <c r="K2022" s="72"/>
      <c r="L2022" s="16" t="s">
        <v>18</v>
      </c>
      <c r="M2022" s="16" t="s">
        <v>19</v>
      </c>
      <c r="N2022" s="16"/>
    </row>
    <row r="2023" spans="1:14" ht="61.5" customHeight="1">
      <c r="A2023" s="178" t="s">
        <v>1024</v>
      </c>
      <c r="B2023" s="75" t="str">
        <f ca="1">+UPPER(Tabla1321124[[#This Row],[DESCRIPCIÓN DE LA COMPRA O CONTRATACIÓN]])</f>
        <v>REHABILITACION DE 6 POZOS EXISTENTES EN LAS COMUNIDADES EL ROSARIO, EL HATICO, EL GUANAL, MATAYAYA, BARRANCA, LOS CAMBRONES Y CAÑAFISTOL</v>
      </c>
      <c r="C2023" s="39" t="s">
        <v>17</v>
      </c>
      <c r="D2023" s="210">
        <v>6</v>
      </c>
      <c r="E2023" s="363"/>
      <c r="F2023" s="363"/>
      <c r="G2023" s="363"/>
      <c r="H2023" s="249">
        <f>SUM(Tabla1321124[[#This Row],[PRIMER TRIMESTRE]:[CUARTO TRIMESTRE]])</f>
        <v>6</v>
      </c>
      <c r="I2023" s="17">
        <v>485677.62</v>
      </c>
      <c r="J2023" s="72">
        <f t="shared" si="32"/>
        <v>2914065.7199999997</v>
      </c>
      <c r="K2023" s="388">
        <f>SUM(J2017:J2023)</f>
        <v>28629730.299999997</v>
      </c>
      <c r="L2023" s="16" t="s">
        <v>18</v>
      </c>
      <c r="M2023" s="16" t="s">
        <v>19</v>
      </c>
      <c r="N2023" s="16" t="s">
        <v>342</v>
      </c>
    </row>
    <row r="2024" spans="1:14" ht="41.25" customHeight="1">
      <c r="A2024" s="538" t="s">
        <v>1024</v>
      </c>
      <c r="B2024" s="76" t="str">
        <f ca="1">+UPPER(Tabla1321124[[#This Row],[DESCRIPCIÓN DE LA COMPRA O CONTRATACIÓN]])</f>
        <v/>
      </c>
      <c r="C2024" s="237"/>
      <c r="D2024" s="237"/>
      <c r="E2024" s="237"/>
      <c r="F2024" s="237"/>
      <c r="G2024" s="237"/>
      <c r="H2024" s="238"/>
      <c r="I2024" s="238"/>
      <c r="J2024" s="383"/>
      <c r="K2024" s="25">
        <f>SUM(J2017:J2023)</f>
        <v>28629730.299999997</v>
      </c>
      <c r="L2024" s="383"/>
      <c r="M2024" s="383"/>
      <c r="N2024" s="383"/>
    </row>
    <row r="2025" spans="1:14" ht="41.25" customHeight="1">
      <c r="A2025" s="178" t="s">
        <v>167</v>
      </c>
      <c r="B2025" s="75" t="str">
        <f ca="1">+UPPER(Tabla1321124[[#This Row],[DESCRIPCIÓN DE LA COMPRA O CONTRATACIÓN]])</f>
        <v>ESTUDIO GEOTECNICO EN DIFERENTES PROVINCIAS</v>
      </c>
      <c r="C2025" s="39" t="s">
        <v>17</v>
      </c>
      <c r="D2025" s="210">
        <v>1</v>
      </c>
      <c r="E2025" s="210">
        <v>1</v>
      </c>
      <c r="F2025" s="210">
        <v>1</v>
      </c>
      <c r="G2025" s="210">
        <v>1</v>
      </c>
      <c r="H2025" s="249">
        <f>SUM(Tabla1321124[[#This Row],[PRIMER TRIMESTRE]:[CUARTO TRIMESTRE]])</f>
        <v>4</v>
      </c>
      <c r="I2025" s="17">
        <v>235000</v>
      </c>
      <c r="J2025" s="72">
        <f t="shared" ref="J2025:J2030" si="33">+H2025*I2025</f>
        <v>940000</v>
      </c>
      <c r="K2025" s="72"/>
      <c r="L2025" s="16" t="s">
        <v>18</v>
      </c>
      <c r="M2025" s="16" t="s">
        <v>19</v>
      </c>
      <c r="N2025" s="16"/>
    </row>
    <row r="2026" spans="1:14" ht="38.25" customHeight="1">
      <c r="A2026" s="178" t="s">
        <v>167</v>
      </c>
      <c r="B2026" s="75" t="str">
        <f ca="1">+UPPER(Tabla1321124[[#This Row],[DESCRIPCIÓN DE LA COMPRA O CONTRATACIÓN]])</f>
        <v>REMOSAMIENTO DE LA OFICINA DE LA DIRECCION ADMINISTRATIVA Y FINANCIERA</v>
      </c>
      <c r="C2026" s="39" t="s">
        <v>17</v>
      </c>
      <c r="D2026" s="210">
        <v>1</v>
      </c>
      <c r="E2026" s="210"/>
      <c r="F2026" s="210"/>
      <c r="G2026" s="210"/>
      <c r="H2026" s="249">
        <f>Tabla1321124[[#This Row],[CUARTO TRIMESTRE]]+Tabla1321124[[#This Row],[TERCER TRIMESTRE]]+Tabla1321124[[#This Row],[SEGUNDO TRIMESTRE]]+Tabla1321124[[#This Row],[PRIMER TRIMESTRE]]</f>
        <v>1</v>
      </c>
      <c r="I2026" s="17">
        <v>265000</v>
      </c>
      <c r="J2026" s="72">
        <f t="shared" si="33"/>
        <v>265000</v>
      </c>
      <c r="K2026" s="72"/>
      <c r="L2026" s="16" t="s">
        <v>18</v>
      </c>
      <c r="M2026" s="16" t="s">
        <v>19</v>
      </c>
      <c r="N2026" s="16"/>
    </row>
    <row r="2027" spans="1:14" ht="31.5">
      <c r="A2027" s="178" t="s">
        <v>167</v>
      </c>
      <c r="B2027" s="75" t="str">
        <f ca="1">+UPPER(Tabla1321124[[#This Row],[DESCRIPCIÓN DE LA COMPRA O CONTRATACIÓN]])</f>
        <v>LEVANTAMIENTOS TOPOGRAFICOS A NIVEL NACIONAL</v>
      </c>
      <c r="C2027" s="39" t="s">
        <v>17</v>
      </c>
      <c r="D2027" s="210">
        <v>10</v>
      </c>
      <c r="E2027" s="210">
        <v>5</v>
      </c>
      <c r="F2027" s="210">
        <v>10</v>
      </c>
      <c r="G2027" s="210">
        <v>5</v>
      </c>
      <c r="H2027" s="249">
        <f>Tabla1321124[[#This Row],[CUARTO TRIMESTRE]]+Tabla1321124[[#This Row],[TERCER TRIMESTRE]]+Tabla1321124[[#This Row],[SEGUNDO TRIMESTRE]]+Tabla1321124[[#This Row],[PRIMER TRIMESTRE]]</f>
        <v>30</v>
      </c>
      <c r="I2027" s="17">
        <v>44076.45</v>
      </c>
      <c r="J2027" s="72">
        <f t="shared" si="33"/>
        <v>1322293.5</v>
      </c>
      <c r="K2027" s="341"/>
      <c r="L2027" s="16" t="s">
        <v>18</v>
      </c>
      <c r="M2027" s="16" t="s">
        <v>19</v>
      </c>
      <c r="N2027" s="16"/>
    </row>
    <row r="2028" spans="1:14" ht="96" customHeight="1">
      <c r="A2028" s="178" t="s">
        <v>167</v>
      </c>
      <c r="B2028" s="75" t="str">
        <f ca="1">+UPPER(Tabla1321124[[#This Row],[DESCRIPCIÓN DE LA COMPRA O CONTRATACIÓN]])</f>
        <v xml:space="preserve">REHABILITACION Y REMOSAMIENTO DE LOS DEPARTAMENTOS PERTENECIENTES A LA DIRECCION DE INGENIERIA (DEP. EVALUACION DE COSTOS, DEP DISEÑO DE OBRAS, DEP PLANTA FISICA, DEP DEP DE GESTION AMBIENTAL Y DEP DE CAPACITACION Y DESARROLLO) </v>
      </c>
      <c r="C2028" s="39" t="s">
        <v>17</v>
      </c>
      <c r="D2028" s="210">
        <v>1</v>
      </c>
      <c r="E2028" s="210"/>
      <c r="F2028" s="210"/>
      <c r="G2028" s="210"/>
      <c r="H2028" s="249">
        <f>SUM(Tabla1321124[[#This Row],[PRIMER TRIMESTRE]:[CUARTO TRIMESTRE]])</f>
        <v>1</v>
      </c>
      <c r="I2028" s="17">
        <v>803877.81</v>
      </c>
      <c r="J2028" s="72">
        <f t="shared" si="33"/>
        <v>803877.81</v>
      </c>
      <c r="K2028" s="72"/>
      <c r="L2028" s="16" t="s">
        <v>18</v>
      </c>
      <c r="M2028" s="16" t="s">
        <v>19</v>
      </c>
      <c r="N2028" s="16" t="s">
        <v>342</v>
      </c>
    </row>
    <row r="2029" spans="1:14" ht="41.25" customHeight="1">
      <c r="A2029" s="178" t="s">
        <v>167</v>
      </c>
      <c r="B2029" s="75" t="str">
        <f ca="1">+UPPER(Tabla1321124[[#This Row],[DESCRIPCIÓN DE LA COMPRA O CONTRATACIÓN]])</f>
        <v>REMOSAMIENTO DE SEGUNDO NIVEL DEL EDIFICIO ING. MARCO RODRIGUEZ</v>
      </c>
      <c r="C2029" s="39" t="s">
        <v>17</v>
      </c>
      <c r="D2029" s="210">
        <v>1</v>
      </c>
      <c r="E2029" s="210"/>
      <c r="F2029" s="210"/>
      <c r="G2029" s="210"/>
      <c r="H2029" s="249">
        <f>SUM(Tabla1321124[[#This Row],[PRIMER TRIMESTRE]:[CUARTO TRIMESTRE]])</f>
        <v>1</v>
      </c>
      <c r="I2029" s="17">
        <v>265000</v>
      </c>
      <c r="J2029" s="72">
        <f t="shared" si="33"/>
        <v>265000</v>
      </c>
      <c r="K2029" s="72"/>
      <c r="L2029" s="16" t="s">
        <v>18</v>
      </c>
      <c r="M2029" s="16" t="s">
        <v>19</v>
      </c>
      <c r="N2029" s="16" t="s">
        <v>342</v>
      </c>
    </row>
    <row r="2030" spans="1:14" ht="41.25" customHeight="1">
      <c r="A2030" s="178" t="s">
        <v>167</v>
      </c>
      <c r="B2030" s="75" t="str">
        <f ca="1">+UPPER(Tabla1321124[[#This Row],[DESCRIPCIÓN DE LA COMPRA O CONTRATACIÓN]])</f>
        <v>DISEÑO Y CONSTRUCCION DEL EDIFICIO REGIONAL INAPA, SAN JUAN - ELIAS PIÑA</v>
      </c>
      <c r="C2030" s="39" t="s">
        <v>17</v>
      </c>
      <c r="D2030" s="363">
        <v>1</v>
      </c>
      <c r="E2030" s="363"/>
      <c r="F2030" s="363"/>
      <c r="G2030" s="363"/>
      <c r="H2030" s="249">
        <f>SUM(Tabla1321124[[#This Row],[PRIMER TRIMESTRE]:[CUARTO TRIMESTRE]])</f>
        <v>1</v>
      </c>
      <c r="I2030" s="17">
        <v>11500000</v>
      </c>
      <c r="J2030" s="72">
        <f t="shared" si="33"/>
        <v>11500000</v>
      </c>
      <c r="K2030" s="398">
        <f>SUM(J2025:J2030)</f>
        <v>15096171.310000001</v>
      </c>
      <c r="L2030" s="16" t="s">
        <v>18</v>
      </c>
      <c r="M2030" s="16" t="s">
        <v>19</v>
      </c>
      <c r="N2030" s="16" t="s">
        <v>342</v>
      </c>
    </row>
    <row r="2031" spans="1:14" ht="41.25" customHeight="1">
      <c r="A2031" s="538" t="s">
        <v>167</v>
      </c>
      <c r="B2031" s="76" t="str">
        <f ca="1">+UPPER(Tabla1321124[[#This Row],[DESCRIPCIÓN DE LA COMPRA O CONTRATACIÓN]])</f>
        <v/>
      </c>
      <c r="C2031" s="237"/>
      <c r="D2031" s="237"/>
      <c r="E2031" s="237"/>
      <c r="F2031" s="237"/>
      <c r="G2031" s="237"/>
      <c r="H2031" s="238"/>
      <c r="I2031" s="238"/>
      <c r="J2031" s="383"/>
      <c r="K2031" s="25">
        <f>SUM(J2025:J2030)</f>
        <v>15096171.310000001</v>
      </c>
      <c r="L2031" s="383"/>
      <c r="M2031" s="383"/>
      <c r="N2031" s="383"/>
    </row>
    <row r="2032" spans="1:14" ht="41.25" customHeight="1">
      <c r="A2032" s="178" t="s">
        <v>573</v>
      </c>
      <c r="B2032" s="75" t="str">
        <f ca="1">+UPPER(Tabla1321124[[#This Row],[DESCRIPCIÓN DE LA COMPRA O CONTRATACIÓN]])</f>
        <v>BONOS CON DENOMINACION DE RD$ 500,00</v>
      </c>
      <c r="C2032" s="39" t="s">
        <v>17</v>
      </c>
      <c r="D2032" s="241"/>
      <c r="E2032" s="241">
        <v>2000</v>
      </c>
      <c r="F2032" s="241"/>
      <c r="G2032" s="241"/>
      <c r="H2032" s="351">
        <f>SUM(Tabla1321124[[#This Row],[PRIMER TRIMESTRE]:[CUARTO TRIMESTRE]])</f>
        <v>2000</v>
      </c>
      <c r="I2032" s="17">
        <v>500</v>
      </c>
      <c r="J2032" s="52">
        <f>+Tabla1321124[[#This Row],[CANTIDAD TOTAL]]*Tabla1321124[[#This Row],[PRECIO UNITARIO ESTIMADO]]</f>
        <v>1000000</v>
      </c>
      <c r="K2032" s="50"/>
      <c r="L2032" s="16" t="s">
        <v>18</v>
      </c>
      <c r="M2032" s="16" t="s">
        <v>22</v>
      </c>
      <c r="N2032" s="16"/>
    </row>
    <row r="2033" spans="1:71" ht="41.25" customHeight="1">
      <c r="A2033" s="178" t="s">
        <v>573</v>
      </c>
      <c r="B2033" s="75" t="str">
        <f ca="1">+UPPER(Tabla1321124[[#This Row],[DESCRIPCIÓN DE LA COMPRA O CONTRATACIÓN]])</f>
        <v>BONOS DE BONIFICACION DE RD$ 1000,00</v>
      </c>
      <c r="C2033" s="39" t="s">
        <v>17</v>
      </c>
      <c r="D2033" s="241"/>
      <c r="E2033" s="241">
        <v>2000</v>
      </c>
      <c r="F2033" s="241"/>
      <c r="G2033" s="241"/>
      <c r="H2033" s="351">
        <f>SUM(Tabla1321124[[#This Row],[PRIMER TRIMESTRE]:[CUARTO TRIMESTRE]])</f>
        <v>2000</v>
      </c>
      <c r="I2033" s="17">
        <v>1000</v>
      </c>
      <c r="J2033" s="52">
        <f>+Tabla1321124[[#This Row],[CANTIDAD TOTAL]]*Tabla1321124[[#This Row],[PRECIO UNITARIO ESTIMADO]]</f>
        <v>2000000</v>
      </c>
      <c r="K2033" s="50"/>
      <c r="L2033" s="16" t="s">
        <v>18</v>
      </c>
      <c r="M2033" s="16" t="s">
        <v>22</v>
      </c>
      <c r="N2033" s="16"/>
    </row>
    <row r="2034" spans="1:71" ht="41.25" customHeight="1">
      <c r="A2034" s="178" t="s">
        <v>573</v>
      </c>
      <c r="B2034" s="75" t="str">
        <f ca="1">+UPPER(Tabla1321124[[#This Row],[DESCRIPCIÓN DE LA COMPRA O CONTRATACIÓN]])</f>
        <v>BONOS DE NOMINACION DE RD $ 2000.00</v>
      </c>
      <c r="C2034" s="39" t="s">
        <v>17</v>
      </c>
      <c r="D2034" s="241"/>
      <c r="E2034" s="241"/>
      <c r="F2034" s="241">
        <v>2000</v>
      </c>
      <c r="G2034" s="241">
        <v>2000</v>
      </c>
      <c r="H2034" s="351">
        <f>SUM(Tabla1321124[[#This Row],[PRIMER TRIMESTRE]:[CUARTO TRIMESTRE]])</f>
        <v>4000</v>
      </c>
      <c r="I2034" s="17">
        <v>2000</v>
      </c>
      <c r="J2034" s="52">
        <f>+Tabla1321124[[#This Row],[CANTIDAD TOTAL]]*Tabla1321124[[#This Row],[PRECIO UNITARIO ESTIMADO]]</f>
        <v>8000000</v>
      </c>
      <c r="K2034" s="50"/>
      <c r="L2034" s="16" t="s">
        <v>18</v>
      </c>
      <c r="M2034" s="16" t="s">
        <v>22</v>
      </c>
      <c r="N2034" s="16"/>
    </row>
    <row r="2035" spans="1:71" ht="41.25" customHeight="1">
      <c r="A2035" s="178" t="s">
        <v>573</v>
      </c>
      <c r="B2035" s="75" t="str">
        <f ca="1">+UPPER(Tabla1321124[[#This Row],[DESCRIPCIÓN DE LA COMPRA O CONTRATACIÓN]])</f>
        <v>ALIMENTOS/REFRIGERIO</v>
      </c>
      <c r="C2035" s="39" t="s">
        <v>17</v>
      </c>
      <c r="D2035" s="236">
        <v>5</v>
      </c>
      <c r="E2035" s="236">
        <v>8</v>
      </c>
      <c r="F2035" s="236">
        <v>5</v>
      </c>
      <c r="G2035" s="236">
        <v>8</v>
      </c>
      <c r="H2035" s="240">
        <f>SUM(Tabla1321124[[#This Row],[PRIMER TRIMESTRE]:[CUARTO TRIMESTRE]])</f>
        <v>26</v>
      </c>
      <c r="I2035" s="17">
        <v>40000</v>
      </c>
      <c r="J2035" s="52">
        <f>+Tabla1321124[[#This Row],[CANTIDAD TOTAL]]*Tabla1321124[[#This Row],[PRECIO UNITARIO ESTIMADO]]</f>
        <v>1040000</v>
      </c>
      <c r="K2035" s="17"/>
      <c r="L2035" s="16" t="s">
        <v>18</v>
      </c>
      <c r="M2035" s="16" t="s">
        <v>22</v>
      </c>
      <c r="N2035" s="16"/>
    </row>
    <row r="2036" spans="1:71" ht="41.25" customHeight="1">
      <c r="A2036" s="178" t="s">
        <v>573</v>
      </c>
      <c r="B2036" s="75" t="str">
        <f ca="1">+UPPER(Tabla1321124[[#This Row],[DESCRIPCIÓN DE LA COMPRA O CONTRATACIÓN]])</f>
        <v>BOTELLONES DE AGUA DE 5 GALONES</v>
      </c>
      <c r="C2036" s="39" t="s">
        <v>17</v>
      </c>
      <c r="D2036" s="236">
        <v>1500</v>
      </c>
      <c r="E2036" s="236">
        <v>1500</v>
      </c>
      <c r="F2036" s="236">
        <v>1500</v>
      </c>
      <c r="G2036" s="236">
        <v>1500</v>
      </c>
      <c r="H2036" s="240">
        <f>Tabla1321124[[#This Row],[CUARTO TRIMESTRE]]+Tabla1321124[[#This Row],[TERCER TRIMESTRE]]+Tabla1321124[[#This Row],[SEGUNDO TRIMESTRE]]+Tabla1321124[[#This Row],[PRIMER TRIMESTRE]]</f>
        <v>6000</v>
      </c>
      <c r="I2036" s="17">
        <v>65</v>
      </c>
      <c r="J2036" s="52">
        <f>+Tabla1321124[[#This Row],[CANTIDAD TOTAL]]*Tabla1321124[[#This Row],[PRECIO UNITARIO ESTIMADO]]</f>
        <v>390000</v>
      </c>
      <c r="K2036" s="17"/>
      <c r="L2036" s="16" t="s">
        <v>18</v>
      </c>
      <c r="M2036" s="16" t="s">
        <v>22</v>
      </c>
      <c r="N2036" s="16"/>
    </row>
    <row r="2037" spans="1:71" ht="41.25" customHeight="1">
      <c r="A2037" s="178" t="s">
        <v>573</v>
      </c>
      <c r="B2037" s="75" t="str">
        <f ca="1">+UPPER(Tabla1321124[[#This Row],[DESCRIPCIÓN DE LA COMPRA O CONTRATACIÓN]])</f>
        <v>ALQUILERES/DECORACION</v>
      </c>
      <c r="C2037" s="39" t="s">
        <v>17</v>
      </c>
      <c r="D2037" s="236">
        <v>10</v>
      </c>
      <c r="E2037" s="236">
        <v>5</v>
      </c>
      <c r="F2037" s="236">
        <v>5</v>
      </c>
      <c r="G2037" s="236">
        <v>10</v>
      </c>
      <c r="H2037" s="351">
        <f>SUM(Tabla1321124[[#This Row],[PRIMER TRIMESTRE]:[CUARTO TRIMESTRE]])</f>
        <v>30</v>
      </c>
      <c r="I2037" s="17">
        <v>30000</v>
      </c>
      <c r="J2037" s="52">
        <f>+Tabla1321124[[#This Row],[CANTIDAD TOTAL]]*Tabla1321124[[#This Row],[PRECIO UNITARIO ESTIMADO]]</f>
        <v>900000</v>
      </c>
      <c r="K2037" s="17"/>
      <c r="L2037" s="16" t="s">
        <v>18</v>
      </c>
      <c r="M2037" s="16" t="s">
        <v>22</v>
      </c>
      <c r="N2037" s="16"/>
    </row>
    <row r="2038" spans="1:71" ht="41.25" customHeight="1">
      <c r="A2038" s="178" t="s">
        <v>573</v>
      </c>
      <c r="B2038" s="75" t="str">
        <f ca="1">+UPPER(Tabla1321124[[#This Row],[DESCRIPCIÓN DE LA COMPRA O CONTRATACIÓN]])</f>
        <v>MONTAJES/INAUGURACION</v>
      </c>
      <c r="C2038" s="39" t="s">
        <v>17</v>
      </c>
      <c r="D2038" s="236">
        <v>1</v>
      </c>
      <c r="E2038" s="236">
        <v>1</v>
      </c>
      <c r="F2038" s="236">
        <v>1</v>
      </c>
      <c r="G2038" s="236">
        <v>1</v>
      </c>
      <c r="H2038" s="351">
        <f>SUM(Tabla1321124[[#This Row],[PRIMER TRIMESTRE]:[CUARTO TRIMESTRE]])</f>
        <v>4</v>
      </c>
      <c r="I2038" s="17">
        <v>1500000</v>
      </c>
      <c r="J2038" s="52">
        <f>+Tabla1321124[[#This Row],[CANTIDAD TOTAL]]*Tabla1321124[[#This Row],[PRECIO UNITARIO ESTIMADO]]</f>
        <v>6000000</v>
      </c>
      <c r="K2038" s="17"/>
      <c r="L2038" s="16" t="s">
        <v>18</v>
      </c>
      <c r="M2038" s="16" t="s">
        <v>22</v>
      </c>
      <c r="N2038" s="16"/>
    </row>
    <row r="2039" spans="1:71" ht="41.25" customHeight="1">
      <c r="A2039" s="178" t="s">
        <v>573</v>
      </c>
      <c r="B2039" s="75" t="str">
        <f ca="1">+UPPER(Tabla1321124[[#This Row],[DESCRIPCIÓN DE LA COMPRA O CONTRATACIÓN]])</f>
        <v>DECORACION NAVIDEÑA</v>
      </c>
      <c r="C2039" s="39" t="s">
        <v>17</v>
      </c>
      <c r="D2039" s="236"/>
      <c r="E2039" s="236"/>
      <c r="F2039" s="236"/>
      <c r="G2039" s="236">
        <v>1</v>
      </c>
      <c r="H2039" s="351">
        <f>SUM(Tabla1321124[[#This Row],[PRIMER TRIMESTRE]:[CUARTO TRIMESTRE]])</f>
        <v>1</v>
      </c>
      <c r="I2039" s="17">
        <v>87000</v>
      </c>
      <c r="J2039" s="52">
        <f>+Tabla1321124[[#This Row],[CANTIDAD TOTAL]]*Tabla1321124[[#This Row],[PRECIO UNITARIO ESTIMADO]]</f>
        <v>87000</v>
      </c>
      <c r="K2039" s="17"/>
      <c r="L2039" s="16" t="s">
        <v>18</v>
      </c>
      <c r="M2039" s="16" t="s">
        <v>22</v>
      </c>
      <c r="N2039" s="16"/>
    </row>
    <row r="2040" spans="1:71" s="544" customFormat="1" ht="41.25" customHeight="1">
      <c r="A2040" s="178" t="s">
        <v>573</v>
      </c>
      <c r="B2040" s="75" t="s">
        <v>2663</v>
      </c>
      <c r="C2040" s="39" t="s">
        <v>17</v>
      </c>
      <c r="D2040" s="236"/>
      <c r="E2040" s="236"/>
      <c r="F2040" s="236"/>
      <c r="G2040" s="236">
        <v>1</v>
      </c>
      <c r="H2040" s="299">
        <f>Tabla1321124[[#This Row],[CUARTO TRIMESTRE]]+Tabla1321124[[#This Row],[TERCER TRIMESTRE]]+Tabla1321124[[#This Row],[SEGUNDO TRIMESTRE]]+Tabla1321124[[#This Row],[PRIMER TRIMESTRE]]</f>
        <v>1</v>
      </c>
      <c r="I2040" s="17">
        <v>3000000</v>
      </c>
      <c r="J2040" s="17">
        <f>Tabla1321124[[#This Row],[PRECIO UNITARIO ESTIMADO]]*Tabla1321124[[#This Row],[CANTIDAD TOTAL]]</f>
        <v>3000000</v>
      </c>
      <c r="K2040" s="17"/>
      <c r="L2040" s="16" t="s">
        <v>18</v>
      </c>
      <c r="M2040" s="16" t="s">
        <v>22</v>
      </c>
      <c r="N2040" s="39"/>
      <c r="O2040" s="392"/>
      <c r="P2040" s="392"/>
      <c r="Q2040" s="392"/>
      <c r="R2040" s="392"/>
      <c r="S2040" s="392"/>
      <c r="T2040" s="392"/>
      <c r="U2040" s="392"/>
      <c r="V2040" s="392"/>
      <c r="W2040" s="392"/>
      <c r="X2040" s="392"/>
      <c r="Y2040" s="392"/>
      <c r="Z2040" s="392"/>
      <c r="AA2040" s="392"/>
      <c r="AB2040" s="392"/>
      <c r="AC2040" s="392"/>
      <c r="AD2040" s="392"/>
      <c r="AE2040" s="392"/>
      <c r="AF2040" s="392"/>
      <c r="AG2040" s="392"/>
      <c r="AH2040" s="392"/>
      <c r="AI2040" s="392"/>
      <c r="AJ2040" s="392"/>
      <c r="AK2040" s="392"/>
      <c r="AL2040" s="392"/>
      <c r="AM2040" s="392"/>
      <c r="AN2040" s="392"/>
      <c r="AO2040" s="392"/>
      <c r="AP2040" s="392"/>
      <c r="AQ2040" s="392"/>
      <c r="AR2040" s="392"/>
      <c r="AS2040" s="392"/>
      <c r="AT2040" s="392"/>
      <c r="AU2040" s="392"/>
      <c r="AV2040" s="392"/>
      <c r="AW2040" s="392"/>
      <c r="AX2040" s="392"/>
      <c r="AY2040" s="392"/>
      <c r="AZ2040" s="392"/>
      <c r="BA2040" s="392"/>
      <c r="BB2040" s="392"/>
      <c r="BC2040" s="392"/>
      <c r="BD2040" s="392"/>
      <c r="BE2040" s="392"/>
      <c r="BF2040" s="392"/>
      <c r="BG2040" s="392"/>
      <c r="BH2040" s="392"/>
      <c r="BI2040" s="392"/>
      <c r="BJ2040" s="392"/>
      <c r="BK2040" s="392"/>
      <c r="BL2040" s="392"/>
      <c r="BM2040" s="392"/>
      <c r="BN2040" s="392"/>
      <c r="BO2040" s="392"/>
      <c r="BP2040" s="392"/>
      <c r="BQ2040" s="392"/>
      <c r="BR2040" s="392"/>
      <c r="BS2040" s="392"/>
    </row>
    <row r="2041" spans="1:71" s="544" customFormat="1" ht="41.25" customHeight="1">
      <c r="A2041" s="178" t="s">
        <v>573</v>
      </c>
      <c r="B2041" s="75" t="s">
        <v>2664</v>
      </c>
      <c r="C2041" s="39" t="s">
        <v>17</v>
      </c>
      <c r="D2041" s="236">
        <v>1</v>
      </c>
      <c r="E2041" s="236">
        <v>1</v>
      </c>
      <c r="F2041" s="236">
        <v>1</v>
      </c>
      <c r="G2041" s="236">
        <v>1</v>
      </c>
      <c r="H2041" s="299">
        <f>Tabla1321124[[#This Row],[CUARTO TRIMESTRE]]+Tabla1321124[[#This Row],[TERCER TRIMESTRE]]+Tabla1321124[[#This Row],[SEGUNDO TRIMESTRE]]+Tabla1321124[[#This Row],[PRIMER TRIMESTRE]]</f>
        <v>4</v>
      </c>
      <c r="I2041" s="17">
        <v>1000000</v>
      </c>
      <c r="J2041" s="17">
        <f>Tabla1321124[[#This Row],[PRECIO UNITARIO ESTIMADO]]*Tabla1321124[[#This Row],[CANTIDAD TOTAL]]</f>
        <v>4000000</v>
      </c>
      <c r="K2041" s="17"/>
      <c r="L2041" s="16" t="s">
        <v>18</v>
      </c>
      <c r="M2041" s="16" t="s">
        <v>22</v>
      </c>
      <c r="N2041" s="39"/>
      <c r="O2041" s="392"/>
      <c r="P2041" s="392"/>
      <c r="Q2041" s="392"/>
      <c r="R2041" s="392"/>
      <c r="S2041" s="392"/>
      <c r="T2041" s="392"/>
      <c r="U2041" s="392"/>
      <c r="V2041" s="392"/>
      <c r="W2041" s="392"/>
      <c r="X2041" s="392"/>
      <c r="Y2041" s="392"/>
      <c r="Z2041" s="392"/>
      <c r="AA2041" s="392"/>
      <c r="AB2041" s="392"/>
      <c r="AC2041" s="392"/>
      <c r="AD2041" s="392"/>
      <c r="AE2041" s="392"/>
      <c r="AF2041" s="392"/>
      <c r="AG2041" s="392"/>
      <c r="AH2041" s="392"/>
      <c r="AI2041" s="392"/>
      <c r="AJ2041" s="392"/>
      <c r="AK2041" s="392"/>
      <c r="AL2041" s="392"/>
      <c r="AM2041" s="392"/>
      <c r="AN2041" s="392"/>
      <c r="AO2041" s="392"/>
      <c r="AP2041" s="392"/>
      <c r="AQ2041" s="392"/>
      <c r="AR2041" s="392"/>
      <c r="AS2041" s="392"/>
      <c r="AT2041" s="392"/>
      <c r="AU2041" s="392"/>
      <c r="AV2041" s="392"/>
      <c r="AW2041" s="392"/>
      <c r="AX2041" s="392"/>
      <c r="AY2041" s="392"/>
      <c r="AZ2041" s="392"/>
      <c r="BA2041" s="392"/>
      <c r="BB2041" s="392"/>
      <c r="BC2041" s="392"/>
      <c r="BD2041" s="392"/>
      <c r="BE2041" s="392"/>
      <c r="BF2041" s="392"/>
      <c r="BG2041" s="392"/>
      <c r="BH2041" s="392"/>
      <c r="BI2041" s="392"/>
      <c r="BJ2041" s="392"/>
      <c r="BK2041" s="392"/>
      <c r="BL2041" s="392"/>
      <c r="BM2041" s="392"/>
      <c r="BN2041" s="392"/>
      <c r="BO2041" s="392"/>
      <c r="BP2041" s="392"/>
      <c r="BQ2041" s="392"/>
      <c r="BR2041" s="392"/>
      <c r="BS2041" s="392"/>
    </row>
    <row r="2042" spans="1:71" ht="41.25" customHeight="1">
      <c r="A2042" s="178" t="s">
        <v>573</v>
      </c>
      <c r="B2042" s="75" t="str">
        <f ca="1">+UPPER(Tabla1321124[[#This Row],[DESCRIPCIÓN DE LA COMPRA O CONTRATACIÓN]])</f>
        <v>CODIGO  ETICO INSTITUCIONAL</v>
      </c>
      <c r="C2042" s="39" t="s">
        <v>17</v>
      </c>
      <c r="D2042" s="236">
        <f>36+50</f>
        <v>86</v>
      </c>
      <c r="E2042" s="236">
        <v>50</v>
      </c>
      <c r="F2042" s="236">
        <v>50</v>
      </c>
      <c r="G2042" s="236">
        <v>50</v>
      </c>
      <c r="H2042" s="351">
        <f>SUM(Tabla1321124[[#This Row],[PRIMER TRIMESTRE]:[CUARTO TRIMESTRE]])</f>
        <v>236</v>
      </c>
      <c r="I2042" s="17">
        <v>15</v>
      </c>
      <c r="J2042" s="52">
        <f>+Tabla1321124[[#This Row],[CANTIDAD TOTAL]]*Tabla1321124[[#This Row],[PRECIO UNITARIO ESTIMADO]]</f>
        <v>3540</v>
      </c>
      <c r="K2042" s="17"/>
      <c r="L2042" s="16" t="s">
        <v>18</v>
      </c>
      <c r="M2042" s="16" t="s">
        <v>22</v>
      </c>
      <c r="N2042" s="16"/>
    </row>
    <row r="2043" spans="1:71" ht="41.25" customHeight="1">
      <c r="A2043" s="178" t="s">
        <v>573</v>
      </c>
      <c r="B2043" s="75" t="str">
        <f ca="1">+UPPER(Tabla1321124[[#This Row],[DESCRIPCIÓN DE LA COMPRA O CONTRATACIÓN]])</f>
        <v>FIESTA NAVIDEÑA</v>
      </c>
      <c r="C2043" s="39" t="s">
        <v>17</v>
      </c>
      <c r="D2043" s="236"/>
      <c r="E2043" s="236"/>
      <c r="F2043" s="236"/>
      <c r="G2043" s="236">
        <v>1</v>
      </c>
      <c r="H2043" s="351">
        <f>SUM(Tabla1321124[[#This Row],[PRIMER TRIMESTRE]:[CUARTO TRIMESTRE]])</f>
        <v>1</v>
      </c>
      <c r="I2043" s="17">
        <v>6250000</v>
      </c>
      <c r="J2043" s="52">
        <f>+Tabla1321124[[#This Row],[CANTIDAD TOTAL]]*Tabla1321124[[#This Row],[PRECIO UNITARIO ESTIMADO]]</f>
        <v>6250000</v>
      </c>
      <c r="K2043" s="386">
        <f>SUM(J2032:J2043)</f>
        <v>32670540</v>
      </c>
      <c r="L2043" s="16" t="s">
        <v>18</v>
      </c>
      <c r="M2043" s="16" t="s">
        <v>22</v>
      </c>
      <c r="N2043" s="16"/>
    </row>
    <row r="2044" spans="1:71" ht="55.5" customHeight="1">
      <c r="A2044" s="546" t="s">
        <v>573</v>
      </c>
      <c r="B2044" s="76" t="str">
        <f ca="1">+UPPER(Tabla1321124[[#This Row],[DESCRIPCIÓN DE LA COMPRA O CONTRATACIÓN]])</f>
        <v/>
      </c>
      <c r="C2044" s="358"/>
      <c r="D2044" s="358"/>
      <c r="E2044" s="358"/>
      <c r="F2044" s="358"/>
      <c r="G2044" s="358"/>
      <c r="H2044" s="355"/>
      <c r="I2044" s="238"/>
      <c r="J2044" s="385"/>
      <c r="K2044" s="25">
        <f>SUM(J2032:J2043)</f>
        <v>32670540</v>
      </c>
      <c r="L2044" s="383"/>
      <c r="M2044" s="383"/>
      <c r="N2044" s="383"/>
    </row>
    <row r="2045" spans="1:71" ht="55.5" customHeight="1">
      <c r="A2045" s="178" t="s">
        <v>2666</v>
      </c>
      <c r="B2045" s="75" t="str">
        <f ca="1">+UPPER(Tabla1321124[[#This Row],[DESCRIPCIÓN DE LA COMPRA O CONTRATACIÓN]])</f>
        <v>PROTECCCION FUENTE HIDRICAS GUAYABAL Y LA SIEMBRA EN EJECUCION</v>
      </c>
      <c r="C2045" s="39" t="s">
        <v>17</v>
      </c>
      <c r="D2045" s="210">
        <v>1</v>
      </c>
      <c r="E2045" s="210"/>
      <c r="F2045" s="210"/>
      <c r="G2045" s="210"/>
      <c r="H2045" s="249">
        <f>Tabla1321124[[#This Row],[CUARTO TRIMESTRE]]+Tabla1321124[[#This Row],[TERCER TRIMESTRE]]+Tabla1321124[[#This Row],[SEGUNDO TRIMESTRE]]+Tabla1321124[[#This Row],[PRIMER TRIMESTRE]]</f>
        <v>1</v>
      </c>
      <c r="I2045" s="17">
        <v>6363496.3600000003</v>
      </c>
      <c r="J2045" s="17">
        <f>+H2045*I2045</f>
        <v>6363496.3600000003</v>
      </c>
      <c r="K2045" s="72"/>
      <c r="L2045" s="16" t="s">
        <v>18</v>
      </c>
      <c r="M2045" s="16" t="s">
        <v>22</v>
      </c>
      <c r="N2045" s="16"/>
    </row>
    <row r="2046" spans="1:71" ht="55.5" customHeight="1">
      <c r="A2046" s="178" t="s">
        <v>2666</v>
      </c>
      <c r="B2046" s="75" t="str">
        <f ca="1">+UPPER(Tabla1321124[[#This Row],[DESCRIPCIÓN DE LA COMPRA O CONTRATACIÓN]])</f>
        <v>PROYECCION DE FUENTES HIDRICA CERCADO-JORGILLO EN EJECUCION</v>
      </c>
      <c r="C2046" s="39" t="s">
        <v>17</v>
      </c>
      <c r="D2046" s="210">
        <v>1</v>
      </c>
      <c r="E2046" s="210"/>
      <c r="F2046" s="210"/>
      <c r="G2046" s="210"/>
      <c r="H2046" s="249">
        <f>Tabla1321124[[#This Row],[CUARTO TRIMESTRE]]+Tabla1321124[[#This Row],[TERCER TRIMESTRE]]+Tabla1321124[[#This Row],[SEGUNDO TRIMESTRE]]+Tabla1321124[[#This Row],[PRIMER TRIMESTRE]]</f>
        <v>1</v>
      </c>
      <c r="I2046" s="17">
        <v>7371418.1760000009</v>
      </c>
      <c r="J2046" s="17">
        <f>+H2046*I2046</f>
        <v>7371418.1760000009</v>
      </c>
      <c r="K2046" s="72"/>
      <c r="L2046" s="16" t="s">
        <v>18</v>
      </c>
      <c r="M2046" s="16" t="s">
        <v>22</v>
      </c>
      <c r="N2046" s="16"/>
    </row>
    <row r="2047" spans="1:71" ht="41.25" customHeight="1">
      <c r="A2047" s="178" t="s">
        <v>2666</v>
      </c>
      <c r="B2047" s="75" t="str">
        <f ca="1">+UPPER(Tabla1321124[[#This Row],[DESCRIPCIÓN DE LA COMPRA O CONTRATACIÓN]])</f>
        <v>PREMIO ECOLOGICO SIEMBRA DE AGUA EN PROCESO</v>
      </c>
      <c r="C2047" s="39" t="s">
        <v>17</v>
      </c>
      <c r="D2047" s="210"/>
      <c r="E2047" s="210"/>
      <c r="F2047" s="210"/>
      <c r="G2047" s="210">
        <v>1</v>
      </c>
      <c r="H2047" s="249">
        <f>Tabla1321124[[#This Row],[CUARTO TRIMESTRE]]+Tabla1321124[[#This Row],[TERCER TRIMESTRE]]+Tabla1321124[[#This Row],[SEGUNDO TRIMESTRE]]+Tabla1321124[[#This Row],[PRIMER TRIMESTRE]]</f>
        <v>1</v>
      </c>
      <c r="I2047" s="17">
        <v>1500000</v>
      </c>
      <c r="J2047" s="17">
        <f>+H2047*I2047</f>
        <v>1500000</v>
      </c>
      <c r="K2047" s="390">
        <f>SUM(J2045:J2047)</f>
        <v>15234914.536000002</v>
      </c>
      <c r="L2047" s="16" t="s">
        <v>18</v>
      </c>
      <c r="M2047" s="16" t="s">
        <v>22</v>
      </c>
      <c r="N2047" s="16"/>
    </row>
    <row r="2048" spans="1:71" ht="56.25" customHeight="1">
      <c r="A2048" s="547" t="s">
        <v>2665</v>
      </c>
      <c r="B2048" s="76" t="str">
        <f ca="1">+UPPER(Tabla1321124[[#This Row],[DESCRIPCIÓN DE LA COMPRA O CONTRATACIÓN]])</f>
        <v/>
      </c>
      <c r="C2048" s="237"/>
      <c r="D2048" s="237"/>
      <c r="E2048" s="237"/>
      <c r="F2048" s="237"/>
      <c r="G2048" s="237"/>
      <c r="H2048" s="237"/>
      <c r="I2048" s="238"/>
      <c r="J2048" s="24"/>
      <c r="K2048" s="25">
        <f>SUM(J2045:J2047)</f>
        <v>15234914.536000002</v>
      </c>
      <c r="L2048" s="383"/>
      <c r="M2048" s="383"/>
      <c r="N2048" s="383"/>
    </row>
    <row r="2049" spans="1:71" ht="56.25" customHeight="1">
      <c r="A2049" s="178" t="s">
        <v>2667</v>
      </c>
      <c r="B2049" s="75" t="str">
        <f ca="1">+UPPER(Tabla1321124[[#This Row],[DESCRIPCIÓN DE LA COMPRA O CONTRATACIÓN]])</f>
        <v>PROTECCION DE FUENTES HIDRICAS SAN JOSE DE OCOA</v>
      </c>
      <c r="C2049" s="39" t="s">
        <v>17</v>
      </c>
      <c r="D2049" s="210"/>
      <c r="E2049" s="210">
        <v>1</v>
      </c>
      <c r="F2049" s="210"/>
      <c r="G2049" s="210"/>
      <c r="H2049" s="249">
        <f>Tabla1321124[[#This Row],[CUARTO TRIMESTRE]]+Tabla1321124[[#This Row],[TERCER TRIMESTRE]]+Tabla1321124[[#This Row],[SEGUNDO TRIMESTRE]]+Tabla1321124[[#This Row],[PRIMER TRIMESTRE]]</f>
        <v>1</v>
      </c>
      <c r="I2049" s="17">
        <v>4595898</v>
      </c>
      <c r="J2049" s="17">
        <f>+H2049*I2049</f>
        <v>4595898</v>
      </c>
      <c r="K2049" s="72"/>
      <c r="L2049" s="16" t="s">
        <v>18</v>
      </c>
      <c r="M2049" s="16" t="s">
        <v>22</v>
      </c>
      <c r="N2049" s="16"/>
    </row>
    <row r="2050" spans="1:71" ht="56.25" customHeight="1">
      <c r="A2050" s="178" t="s">
        <v>2667</v>
      </c>
      <c r="B2050" s="75" t="str">
        <f ca="1">+UPPER(Tabla1321124[[#This Row],[DESCRIPCIÓN DE LA COMPRA O CONTRATACIÓN]])</f>
        <v>PROTECCION DE FUENTES HIDRICAS SAMANA, MICRO-CUENCA RIO SAN JUAN</v>
      </c>
      <c r="C2050" s="39" t="s">
        <v>17</v>
      </c>
      <c r="D2050" s="236">
        <v>1</v>
      </c>
      <c r="E2050" s="236"/>
      <c r="F2050" s="236"/>
      <c r="G2050" s="236"/>
      <c r="H2050" s="249">
        <f>Tabla1321124[[#This Row],[CUARTO TRIMESTRE]]+Tabla1321124[[#This Row],[TERCER TRIMESTRE]]+Tabla1321124[[#This Row],[SEGUNDO TRIMESTRE]]+Tabla1321124[[#This Row],[PRIMER TRIMESTRE]]</f>
        <v>1</v>
      </c>
      <c r="I2050" s="17">
        <v>4500000</v>
      </c>
      <c r="J2050" s="17">
        <f>+H2050*I2050</f>
        <v>4500000</v>
      </c>
      <c r="K2050" s="17"/>
      <c r="L2050" s="16" t="s">
        <v>18</v>
      </c>
      <c r="M2050" s="16" t="s">
        <v>22</v>
      </c>
      <c r="N2050" s="16"/>
    </row>
    <row r="2051" spans="1:71" ht="56.25" customHeight="1">
      <c r="A2051" s="178" t="s">
        <v>2667</v>
      </c>
      <c r="B2051" s="75" t="str">
        <f ca="1">+UPPER(Tabla1321124[[#This Row],[DESCRIPCIÓN DE LA COMPRA O CONTRATACIÓN]])</f>
        <v>INICIATIVAS PAGO POR SERVICIOS AMBIENTALES</v>
      </c>
      <c r="C2051" s="39" t="s">
        <v>17</v>
      </c>
      <c r="D2051" s="236"/>
      <c r="E2051" s="236"/>
      <c r="F2051" s="236"/>
      <c r="G2051" s="236">
        <v>1</v>
      </c>
      <c r="H2051" s="249">
        <f>Tabla1321124[[#This Row],[CUARTO TRIMESTRE]]+Tabla1321124[[#This Row],[TERCER TRIMESTRE]]+Tabla1321124[[#This Row],[SEGUNDO TRIMESTRE]]+Tabla1321124[[#This Row],[PRIMER TRIMESTRE]]</f>
        <v>1</v>
      </c>
      <c r="I2051" s="17">
        <v>6000000</v>
      </c>
      <c r="J2051" s="17">
        <f>+H2051*I2051</f>
        <v>6000000</v>
      </c>
      <c r="K2051" s="17"/>
      <c r="L2051" s="16" t="s">
        <v>18</v>
      </c>
      <c r="M2051" s="16" t="s">
        <v>22</v>
      </c>
      <c r="N2051" s="16"/>
    </row>
    <row r="2052" spans="1:71" ht="48" customHeight="1">
      <c r="A2052" s="178" t="s">
        <v>2667</v>
      </c>
      <c r="B2052" s="75" t="str">
        <f ca="1">+UPPER(Tabla1321124[[#This Row],[DESCRIPCIÓN DE LA COMPRA O CONTRATACIÓN]])</f>
        <v>FONDO DE CONTINGENCIA PARA GESTION DE RIESGOS (PLAN DE EMERGENCIA, PLAN DE REDUCCION DE RIESGOS A DESASTRES EN APS, SITEMAS DE ALERTA TEMPRANA APS</v>
      </c>
      <c r="C2052" s="39" t="s">
        <v>17</v>
      </c>
      <c r="D2052" s="236"/>
      <c r="E2052" s="236"/>
      <c r="F2052" s="236"/>
      <c r="G2052" s="236">
        <v>1</v>
      </c>
      <c r="H2052" s="249">
        <f>Tabla1321124[[#This Row],[CUARTO TRIMESTRE]]+Tabla1321124[[#This Row],[TERCER TRIMESTRE]]+Tabla1321124[[#This Row],[SEGUNDO TRIMESTRE]]+Tabla1321124[[#This Row],[PRIMER TRIMESTRE]]</f>
        <v>1</v>
      </c>
      <c r="I2052" s="17">
        <v>5000000</v>
      </c>
      <c r="J2052" s="17">
        <f>+H2052*I2052</f>
        <v>5000000</v>
      </c>
      <c r="K2052" s="387">
        <f>SUM(J2049:J2052)</f>
        <v>20095898</v>
      </c>
      <c r="L2052" s="16" t="s">
        <v>18</v>
      </c>
      <c r="M2052" s="16" t="s">
        <v>22</v>
      </c>
      <c r="N2052" s="16"/>
    </row>
    <row r="2053" spans="1:71" ht="48" customHeight="1">
      <c r="A2053" s="547" t="s">
        <v>2668</v>
      </c>
      <c r="B2053" s="76" t="str">
        <f ca="1">+UPPER(Tabla1321124[[#This Row],[DESCRIPCIÓN DE LA COMPRA O CONTRATACIÓN]])</f>
        <v/>
      </c>
      <c r="C2053" s="237"/>
      <c r="D2053" s="237"/>
      <c r="E2053" s="237"/>
      <c r="F2053" s="237"/>
      <c r="G2053" s="237"/>
      <c r="H2053" s="237"/>
      <c r="I2053" s="238"/>
      <c r="J2053" s="24"/>
      <c r="K2053" s="25">
        <f>SUM(J2049:J2052)</f>
        <v>20095898</v>
      </c>
      <c r="L2053" s="383"/>
      <c r="M2053" s="383"/>
      <c r="N2053" s="383"/>
    </row>
    <row r="2054" spans="1:71" ht="41.25" customHeight="1">
      <c r="A2054" s="178" t="s">
        <v>1821</v>
      </c>
      <c r="B2054" s="75" t="str">
        <f ca="1">+UPPER(Tabla1321124[[#This Row],[DESCRIPCIÓN DE LA COMPRA O CONTRATACIÓN]])</f>
        <v>PROYECTOS DE EDUCACION, SOBRE USO RACIONAL DE AGUA ADP-INAPA</v>
      </c>
      <c r="C2054" s="39" t="s">
        <v>17</v>
      </c>
      <c r="D2054" s="236"/>
      <c r="E2054" s="236">
        <v>1</v>
      </c>
      <c r="F2054" s="236"/>
      <c r="G2054" s="236"/>
      <c r="H2054" s="249">
        <f>Tabla1321124[[#This Row],[CUARTO TRIMESTRE]]+Tabla1321124[[#This Row],[TERCER TRIMESTRE]]+Tabla1321124[[#This Row],[SEGUNDO TRIMESTRE]]+Tabla1321124[[#This Row],[PRIMER TRIMESTRE]]</f>
        <v>1</v>
      </c>
      <c r="I2054" s="17">
        <f>8170000/2</f>
        <v>4085000</v>
      </c>
      <c r="J2054" s="17">
        <f>+H2054*I2054</f>
        <v>4085000</v>
      </c>
      <c r="K2054" s="17"/>
      <c r="L2054" s="16" t="s">
        <v>18</v>
      </c>
      <c r="M2054" s="16" t="s">
        <v>22</v>
      </c>
      <c r="N2054" s="16"/>
    </row>
    <row r="2055" spans="1:71" ht="46.5" customHeight="1">
      <c r="A2055" s="178" t="s">
        <v>1821</v>
      </c>
      <c r="B2055" s="75" t="str">
        <f ca="1">+UPPER(Tabla1321124[[#This Row],[DESCRIPCIÓN DE LA COMPRA O CONTRATACIÓN]])</f>
        <v>CHARLAS INFORMALES SOBRE USO AGUA EN PROVINCIALES (ESCUELAS, JUNTAS DE VECINOS, IGLESIAS, COMUNITARIAS).</v>
      </c>
      <c r="C2055" s="39" t="s">
        <v>17</v>
      </c>
      <c r="D2055" s="236"/>
      <c r="E2055" s="236"/>
      <c r="F2055" s="236">
        <v>1</v>
      </c>
      <c r="G2055" s="236"/>
      <c r="H2055" s="249">
        <f>Tabla1321124[[#This Row],[CUARTO TRIMESTRE]]+Tabla1321124[[#This Row],[TERCER TRIMESTRE]]+Tabla1321124[[#This Row],[SEGUNDO TRIMESTRE]]+Tabla1321124[[#This Row],[PRIMER TRIMESTRE]]</f>
        <v>1</v>
      </c>
      <c r="I2055" s="17">
        <v>2260000</v>
      </c>
      <c r="J2055" s="17">
        <f>+H2055*I2055</f>
        <v>2260000</v>
      </c>
      <c r="K2055" s="386">
        <f>SUM(J2054:J2055)</f>
        <v>6345000</v>
      </c>
      <c r="L2055" s="16" t="s">
        <v>18</v>
      </c>
      <c r="M2055" s="16" t="s">
        <v>22</v>
      </c>
      <c r="N2055" s="16"/>
    </row>
    <row r="2056" spans="1:71" ht="46.5" customHeight="1">
      <c r="A2056" s="545" t="s">
        <v>1775</v>
      </c>
      <c r="B2056" s="76" t="str">
        <f ca="1">+UPPER(Tabla1321124[[#This Row],[DESCRIPCIÓN DE LA COMPRA O CONTRATACIÓN]])</f>
        <v/>
      </c>
      <c r="C2056" s="237"/>
      <c r="D2056" s="237"/>
      <c r="E2056" s="237"/>
      <c r="F2056" s="237"/>
      <c r="G2056" s="237"/>
      <c r="H2056" s="238"/>
      <c r="I2056" s="238"/>
      <c r="J2056" s="24"/>
      <c r="K2056" s="25">
        <f>SUM(J2054:J2055)</f>
        <v>6345000</v>
      </c>
      <c r="L2056" s="383"/>
      <c r="M2056" s="383"/>
      <c r="N2056" s="383"/>
    </row>
    <row r="2057" spans="1:71" ht="46.5" customHeight="1">
      <c r="A2057" s="178" t="s">
        <v>2660</v>
      </c>
      <c r="B2057" s="75" t="s">
        <v>2654</v>
      </c>
      <c r="C2057" s="39" t="s">
        <v>17</v>
      </c>
      <c r="D2057" s="236">
        <v>1</v>
      </c>
      <c r="E2057" s="236"/>
      <c r="F2057" s="236"/>
      <c r="G2057" s="236"/>
      <c r="H2057" s="351">
        <f>Tabla1321124[[#This Row],[CUARTO TRIMESTRE]]+Tabla1321124[[#This Row],[TERCER TRIMESTRE]]+Tabla1321124[[#This Row],[SEGUNDO TRIMESTRE]]+Tabla1321124[[#This Row],[PRIMER TRIMESTRE]]</f>
        <v>1</v>
      </c>
      <c r="I2057" s="17">
        <v>5000000</v>
      </c>
      <c r="J2057" s="17">
        <f>+H2057*I2057</f>
        <v>5000000</v>
      </c>
      <c r="K2057" s="16"/>
      <c r="L2057" s="16" t="s">
        <v>18</v>
      </c>
      <c r="M2057" s="16" t="s">
        <v>22</v>
      </c>
      <c r="N2057" s="16"/>
    </row>
    <row r="2058" spans="1:71" ht="41.25" customHeight="1">
      <c r="A2058" s="178" t="s">
        <v>2660</v>
      </c>
      <c r="B2058" s="344" t="s">
        <v>2655</v>
      </c>
      <c r="C2058" s="39" t="s">
        <v>17</v>
      </c>
      <c r="D2058" s="236">
        <v>1</v>
      </c>
      <c r="E2058" s="236"/>
      <c r="F2058" s="236"/>
      <c r="G2058" s="236"/>
      <c r="H2058" s="351">
        <f>Tabla1321124[[#This Row],[CUARTO TRIMESTRE]]+Tabla1321124[[#This Row],[TERCER TRIMESTRE]]+Tabla1321124[[#This Row],[SEGUNDO TRIMESTRE]]+Tabla1321124[[#This Row],[PRIMER TRIMESTRE]]</f>
        <v>1</v>
      </c>
      <c r="I2058" s="17">
        <v>2000000</v>
      </c>
      <c r="J2058" s="17">
        <f>+H2058*I2058</f>
        <v>2000000</v>
      </c>
      <c r="K2058" s="16"/>
      <c r="L2058" s="16" t="s">
        <v>18</v>
      </c>
      <c r="M2058" s="16" t="s">
        <v>22</v>
      </c>
      <c r="N2058" s="16"/>
    </row>
    <row r="2059" spans="1:71" s="528" customFormat="1" ht="41.25" customHeight="1">
      <c r="A2059" s="178" t="s">
        <v>2660</v>
      </c>
      <c r="B2059" s="75" t="s">
        <v>2656</v>
      </c>
      <c r="C2059" s="39" t="s">
        <v>17</v>
      </c>
      <c r="D2059" s="532">
        <v>1</v>
      </c>
      <c r="E2059" s="532"/>
      <c r="F2059" s="532"/>
      <c r="G2059" s="532"/>
      <c r="H2059" s="351">
        <f>Tabla1321124[[#This Row],[CUARTO TRIMESTRE]]+Tabla1321124[[#This Row],[TERCER TRIMESTRE]]+Tabla1321124[[#This Row],[SEGUNDO TRIMESTRE]]+Tabla1321124[[#This Row],[PRIMER TRIMESTRE]]</f>
        <v>1</v>
      </c>
      <c r="I2059" s="17">
        <v>2000000</v>
      </c>
      <c r="J2059" s="17">
        <f>+H2059*I2059</f>
        <v>2000000</v>
      </c>
      <c r="K2059" s="533"/>
      <c r="L2059" s="16" t="s">
        <v>18</v>
      </c>
      <c r="M2059" s="16" t="s">
        <v>22</v>
      </c>
      <c r="N2059" s="531"/>
      <c r="O2059" s="392"/>
      <c r="P2059" s="392"/>
      <c r="Q2059" s="392"/>
      <c r="R2059" s="392"/>
      <c r="S2059" s="392"/>
      <c r="T2059" s="392"/>
      <c r="U2059" s="392"/>
      <c r="V2059" s="392"/>
      <c r="W2059" s="392"/>
      <c r="X2059" s="392"/>
      <c r="Y2059" s="392"/>
      <c r="Z2059" s="392"/>
      <c r="AA2059" s="392"/>
      <c r="AB2059" s="392"/>
      <c r="AC2059" s="392"/>
      <c r="AD2059" s="392"/>
      <c r="AE2059" s="392"/>
      <c r="AF2059" s="392"/>
      <c r="AG2059" s="392"/>
      <c r="AH2059" s="392"/>
      <c r="AI2059" s="392"/>
      <c r="AJ2059" s="392"/>
      <c r="AK2059" s="392"/>
      <c r="AL2059" s="392"/>
      <c r="AM2059" s="392"/>
      <c r="AN2059" s="392"/>
      <c r="AO2059" s="392"/>
      <c r="AP2059" s="392"/>
      <c r="AQ2059" s="392"/>
      <c r="AR2059" s="392"/>
      <c r="AS2059" s="392"/>
      <c r="AT2059" s="392"/>
      <c r="AU2059" s="392"/>
      <c r="AV2059" s="392"/>
      <c r="AW2059" s="392"/>
      <c r="AX2059" s="392"/>
      <c r="AY2059" s="392"/>
      <c r="AZ2059" s="392"/>
      <c r="BA2059" s="392"/>
      <c r="BB2059" s="392"/>
      <c r="BC2059" s="392"/>
      <c r="BD2059" s="392"/>
      <c r="BE2059" s="392"/>
      <c r="BF2059" s="392"/>
      <c r="BG2059" s="392"/>
      <c r="BH2059" s="392"/>
      <c r="BI2059" s="392"/>
      <c r="BJ2059" s="392"/>
      <c r="BK2059" s="392"/>
      <c r="BL2059" s="392"/>
      <c r="BM2059" s="392"/>
      <c r="BN2059" s="392"/>
      <c r="BO2059" s="392"/>
      <c r="BP2059" s="392"/>
      <c r="BQ2059" s="392"/>
      <c r="BR2059" s="392"/>
      <c r="BS2059" s="392"/>
    </row>
    <row r="2060" spans="1:71" ht="53.25" customHeight="1">
      <c r="A2060" s="178" t="s">
        <v>2660</v>
      </c>
      <c r="B2060" s="344" t="s">
        <v>2657</v>
      </c>
      <c r="C2060" s="39" t="s">
        <v>17</v>
      </c>
      <c r="D2060" s="236">
        <v>1</v>
      </c>
      <c r="E2060" s="236"/>
      <c r="F2060" s="236"/>
      <c r="G2060" s="236"/>
      <c r="H2060" s="351">
        <f>Tabla1321124[[#This Row],[CUARTO TRIMESTRE]]+Tabla1321124[[#This Row],[TERCER TRIMESTRE]]+Tabla1321124[[#This Row],[SEGUNDO TRIMESTRE]]+Tabla1321124[[#This Row],[PRIMER TRIMESTRE]]</f>
        <v>1</v>
      </c>
      <c r="I2060" s="17">
        <v>2500000</v>
      </c>
      <c r="J2060" s="17">
        <f>+H2060*I2060</f>
        <v>2500000</v>
      </c>
      <c r="K2060" s="386"/>
      <c r="L2060" s="16" t="s">
        <v>18</v>
      </c>
      <c r="M2060" s="16" t="s">
        <v>22</v>
      </c>
      <c r="N2060" s="16"/>
    </row>
    <row r="2061" spans="1:71" ht="56.25" customHeight="1">
      <c r="A2061" s="539" t="s">
        <v>2659</v>
      </c>
      <c r="B2061" s="24" t="str">
        <f ca="1">+UPPER(Tabla1321124[[#This Row],[DESCRIPCIÓN DE LA COMPRA O CONTRATACIÓN]])</f>
        <v/>
      </c>
      <c r="C2061" s="356"/>
      <c r="D2061" s="356"/>
      <c r="E2061" s="356"/>
      <c r="F2061" s="356"/>
      <c r="G2061" s="356"/>
      <c r="H2061" s="356"/>
      <c r="I2061" s="238"/>
      <c r="J2061" s="24"/>
      <c r="K2061" s="25">
        <f>SUM(J2057:J2060)</f>
        <v>11500000</v>
      </c>
      <c r="L2061" s="383"/>
      <c r="M2061" s="383"/>
      <c r="N2061" s="383"/>
    </row>
    <row r="2062" spans="1:71" ht="56.25" customHeight="1">
      <c r="A2062" s="178" t="s">
        <v>1822</v>
      </c>
      <c r="B2062" s="75" t="str">
        <f ca="1">+UPPER(Tabla1321124[[#This Row],[DESCRIPCIÓN DE LA COMPRA O CONTRATACIÓN]])</f>
        <v>SERVICIO DE USO DE EQUIPOS DE COMPAÑÍA PUBLICITARIA, CAMARA DE VIDEO, TRIPODE, GRABACION, EDICION, COLOCACION DE VOZ EN OFF, ENTRE OTROS</v>
      </c>
      <c r="C2062" s="39" t="s">
        <v>17</v>
      </c>
      <c r="D2062" s="236">
        <v>2</v>
      </c>
      <c r="E2062" s="210">
        <v>2</v>
      </c>
      <c r="F2062" s="210">
        <v>2</v>
      </c>
      <c r="G2062" s="210">
        <v>2</v>
      </c>
      <c r="H2062" s="249">
        <f>Tabla1321124[[#This Row],[CUARTO TRIMESTRE]]+Tabla1321124[[#This Row],[TERCER TRIMESTRE]]+Tabla1321124[[#This Row],[SEGUNDO TRIMESTRE]]+Tabla1321124[[#This Row],[PRIMER TRIMESTRE]]</f>
        <v>8</v>
      </c>
      <c r="I2062" s="17">
        <v>25000</v>
      </c>
      <c r="J2062" s="17">
        <f>Tabla1321124[[#This Row],[PRECIO UNITARIO ESTIMADO]]*Tabla1321124[[#This Row],[CANTIDAD TOTAL]]</f>
        <v>200000</v>
      </c>
      <c r="K2062" s="345"/>
      <c r="L2062" s="16" t="s">
        <v>15</v>
      </c>
      <c r="M2062" s="16" t="s">
        <v>22</v>
      </c>
      <c r="N2062" s="16" t="s">
        <v>342</v>
      </c>
    </row>
    <row r="2063" spans="1:71" ht="41.25" customHeight="1">
      <c r="A2063" s="178" t="s">
        <v>1822</v>
      </c>
      <c r="B2063" s="75" t="str">
        <f ca="1">+UPPER(Tabla1321124[[#This Row],[DESCRIPCIÓN DE LA COMPRA O CONTRATACIÓN]])</f>
        <v>CAMPAÑA PUBLICITARIA EN NOTICIERO Y PROGRAMAS</v>
      </c>
      <c r="C2063" s="39" t="s">
        <v>17</v>
      </c>
      <c r="D2063" s="236"/>
      <c r="E2063" s="210"/>
      <c r="F2063" s="210"/>
      <c r="G2063" s="210"/>
      <c r="H2063" s="249">
        <f>Tabla1321124[[#This Row],[CUARTO TRIMESTRE]]+Tabla1321124[[#This Row],[TERCER TRIMESTRE]]+Tabla1321124[[#This Row],[SEGUNDO TRIMESTRE]]+Tabla1321124[[#This Row],[PRIMER TRIMESTRE]]</f>
        <v>0</v>
      </c>
      <c r="I2063" s="17">
        <f>16685940/4</f>
        <v>4171485</v>
      </c>
      <c r="J2063" s="17">
        <f>Tabla1321124[[#This Row],[PRECIO UNITARIO ESTIMADO]]*Tabla1321124[[#This Row],[CANTIDAD TOTAL]]</f>
        <v>0</v>
      </c>
      <c r="K2063" s="345"/>
      <c r="L2063" s="16" t="s">
        <v>15</v>
      </c>
      <c r="M2063" s="16" t="s">
        <v>22</v>
      </c>
      <c r="N2063" s="16" t="s">
        <v>342</v>
      </c>
    </row>
    <row r="2064" spans="1:71" ht="41.25" customHeight="1">
      <c r="A2064" s="178" t="s">
        <v>1822</v>
      </c>
      <c r="B2064" s="75" t="str">
        <f ca="1">+UPPER(Tabla1321124[[#This Row],[DESCRIPCIÓN DE LA COMPRA O CONTRATACIÓN]])</f>
        <v>ALQUILER DE MOTORES PROPIEDAD DE MENSAJEROS EXTERNOS. (PARA TRANSPORTAR MATERIAL DE PUBLICIDAD)</v>
      </c>
      <c r="C2064" s="39" t="s">
        <v>17</v>
      </c>
      <c r="D2064" s="236"/>
      <c r="E2064" s="210"/>
      <c r="F2064" s="210"/>
      <c r="G2064" s="210"/>
      <c r="H2064" s="249">
        <f>Tabla1321124[[#This Row],[CUARTO TRIMESTRE]]+Tabla1321124[[#This Row],[TERCER TRIMESTRE]]+Tabla1321124[[#This Row],[SEGUNDO TRIMESTRE]]+Tabla1321124[[#This Row],[PRIMER TRIMESTRE]]</f>
        <v>0</v>
      </c>
      <c r="I2064" s="17">
        <v>3500</v>
      </c>
      <c r="J2064" s="17">
        <f>Tabla1321124[[#This Row],[PRECIO UNITARIO ESTIMADO]]*Tabla1321124[[#This Row],[CANTIDAD TOTAL]]</f>
        <v>0</v>
      </c>
      <c r="K2064" s="345"/>
      <c r="L2064" s="16" t="s">
        <v>15</v>
      </c>
      <c r="M2064" s="16" t="s">
        <v>22</v>
      </c>
      <c r="N2064" s="16" t="s">
        <v>342</v>
      </c>
    </row>
    <row r="2065" spans="1:14" ht="44.25" customHeight="1">
      <c r="A2065" s="178" t="s">
        <v>1822</v>
      </c>
      <c r="B2065" s="75" t="str">
        <f ca="1">+UPPER(Tabla1321124[[#This Row],[DESCRIPCIÓN DE LA COMPRA O CONTRATACIÓN]])</f>
        <v>ELABORACION DE DOCUMENTAL PARA TV</v>
      </c>
      <c r="C2065" s="39" t="s">
        <v>1773</v>
      </c>
      <c r="D2065" s="236"/>
      <c r="E2065" s="210">
        <v>1</v>
      </c>
      <c r="F2065" s="210"/>
      <c r="G2065" s="210"/>
      <c r="H2065" s="249">
        <f>Tabla1321124[[#This Row],[CUARTO TRIMESTRE]]+Tabla1321124[[#This Row],[TERCER TRIMESTRE]]+Tabla1321124[[#This Row],[SEGUNDO TRIMESTRE]]+Tabla1321124[[#This Row],[PRIMER TRIMESTRE]]</f>
        <v>1</v>
      </c>
      <c r="I2065" s="17">
        <v>289100</v>
      </c>
      <c r="J2065" s="17">
        <f>Tabla1321124[[#This Row],[PRECIO UNITARIO ESTIMADO]]*Tabla1321124[[#This Row],[CANTIDAD TOTAL]]</f>
        <v>289100</v>
      </c>
      <c r="K2065" s="345"/>
      <c r="L2065" s="16" t="s">
        <v>15</v>
      </c>
      <c r="M2065" s="16" t="s">
        <v>22</v>
      </c>
      <c r="N2065" s="16" t="s">
        <v>342</v>
      </c>
    </row>
    <row r="2066" spans="1:14" ht="41.25" customHeight="1">
      <c r="A2066" s="178" t="s">
        <v>1822</v>
      </c>
      <c r="B2066" s="75" t="str">
        <f ca="1">+UPPER(Tabla1321124[[#This Row],[DESCRIPCIÓN DE LA COMPRA O CONTRATACIÓN]])</f>
        <v>CONTRATO PARA COLOCACION DE CUÑAS POR TV (05 CONTRATOS A RD$50,000.00 PESOS MENSUALES CADA UNO)</v>
      </c>
      <c r="C2066" s="39" t="s">
        <v>1773</v>
      </c>
      <c r="D2066" s="236">
        <v>1</v>
      </c>
      <c r="E2066" s="236"/>
      <c r="F2066" s="236">
        <v>1</v>
      </c>
      <c r="G2066" s="236">
        <v>1</v>
      </c>
      <c r="H2066" s="351">
        <f>Tabla1321124[[#This Row],[CUARTO TRIMESTRE]]+Tabla1321124[[#This Row],[TERCER TRIMESTRE]]+Tabla1321124[[#This Row],[SEGUNDO TRIMESTRE]]+Tabla1321124[[#This Row],[PRIMER TRIMESTRE]]</f>
        <v>3</v>
      </c>
      <c r="I2066" s="17">
        <v>600000</v>
      </c>
      <c r="J2066" s="17">
        <f>Tabla1321124[[#This Row],[PRECIO UNITARIO ESTIMADO]]*Tabla1321124[[#This Row],[CANTIDAD TOTAL]]</f>
        <v>1800000</v>
      </c>
      <c r="K2066" s="345"/>
      <c r="L2066" s="16" t="s">
        <v>15</v>
      </c>
      <c r="M2066" s="16" t="s">
        <v>22</v>
      </c>
      <c r="N2066" s="16" t="s">
        <v>342</v>
      </c>
    </row>
    <row r="2067" spans="1:14" ht="41.25" customHeight="1">
      <c r="A2067" s="178" t="s">
        <v>1822</v>
      </c>
      <c r="B2067" s="75" t="str">
        <f ca="1">+UPPER(Tabla1321124[[#This Row],[DESCRIPCIÓN DE LA COMPRA O CONTRATACIÓN]])</f>
        <v>CONTRATO PARA COLOCACION DE CUÑAS POR RADIO (05 CONTRATOS A RD$50,000.00 PESOS MENSUALES CADA UNO)</v>
      </c>
      <c r="C2067" s="39" t="s">
        <v>1773</v>
      </c>
      <c r="D2067" s="236">
        <v>1</v>
      </c>
      <c r="E2067" s="236"/>
      <c r="F2067" s="236">
        <v>1</v>
      </c>
      <c r="G2067" s="236">
        <v>1</v>
      </c>
      <c r="H2067" s="351">
        <f>Tabla1321124[[#This Row],[CUARTO TRIMESTRE]]+Tabla1321124[[#This Row],[TERCER TRIMESTRE]]+Tabla1321124[[#This Row],[SEGUNDO TRIMESTRE]]+Tabla1321124[[#This Row],[PRIMER TRIMESTRE]]</f>
        <v>3</v>
      </c>
      <c r="I2067" s="17">
        <v>500000</v>
      </c>
      <c r="J2067" s="17">
        <f>Tabla1321124[[#This Row],[PRECIO UNITARIO ESTIMADO]]*Tabla1321124[[#This Row],[CANTIDAD TOTAL]]</f>
        <v>1500000</v>
      </c>
      <c r="K2067" s="345"/>
      <c r="L2067" s="16" t="s">
        <v>15</v>
      </c>
      <c r="M2067" s="16" t="s">
        <v>22</v>
      </c>
      <c r="N2067" s="16" t="s">
        <v>342</v>
      </c>
    </row>
    <row r="2068" spans="1:14" ht="41.25" customHeight="1">
      <c r="A2068" s="178" t="s">
        <v>1822</v>
      </c>
      <c r="B2068" s="75" t="str">
        <f ca="1">+UPPER(Tabla1321124[[#This Row],[DESCRIPCIÓN DE LA COMPRA O CONTRATACIÓN]])</f>
        <v>CONTRATO PARA PERIODICOS DIGITALES (10 CONTRATOS A RD$20,000.00 PESOS MENSUALES CADA UNO)</v>
      </c>
      <c r="C2068" s="39" t="s">
        <v>1773</v>
      </c>
      <c r="D2068" s="236">
        <v>1</v>
      </c>
      <c r="E2068" s="236">
        <v>1</v>
      </c>
      <c r="F2068" s="236">
        <v>1</v>
      </c>
      <c r="G2068" s="236">
        <v>1</v>
      </c>
      <c r="H2068" s="351">
        <f>Tabla1321124[[#This Row],[CUARTO TRIMESTRE]]+Tabla1321124[[#This Row],[TERCER TRIMESTRE]]+Tabla1321124[[#This Row],[SEGUNDO TRIMESTRE]]+Tabla1321124[[#This Row],[PRIMER TRIMESTRE]]</f>
        <v>4</v>
      </c>
      <c r="I2068" s="17">
        <v>240000</v>
      </c>
      <c r="J2068" s="17">
        <f>Tabla1321124[[#This Row],[PRECIO UNITARIO ESTIMADO]]*Tabla1321124[[#This Row],[CANTIDAD TOTAL]]</f>
        <v>960000</v>
      </c>
      <c r="K2068" s="345"/>
      <c r="L2068" s="16" t="s">
        <v>15</v>
      </c>
      <c r="M2068" s="16" t="s">
        <v>22</v>
      </c>
      <c r="N2068" s="16" t="s">
        <v>342</v>
      </c>
    </row>
    <row r="2069" spans="1:14" ht="41.25" customHeight="1">
      <c r="A2069" s="178" t="s">
        <v>1822</v>
      </c>
      <c r="B2069" s="75" t="str">
        <f ca="1">+UPPER(Tabla1321124[[#This Row],[DESCRIPCIÓN DE LA COMPRA O CONTRATACIÓN]])</f>
        <v>PUBLICIDAD ESCRITA Y AUDIOVISUAL</v>
      </c>
      <c r="C2069" s="39" t="s">
        <v>17</v>
      </c>
      <c r="D2069" s="236">
        <v>50000</v>
      </c>
      <c r="E2069" s="236">
        <v>30000</v>
      </c>
      <c r="F2069" s="236">
        <v>50000</v>
      </c>
      <c r="G2069" s="236">
        <v>30000</v>
      </c>
      <c r="H2069" s="299">
        <f>Tabla1321124[[#This Row],[CUARTO TRIMESTRE]]+Tabla1321124[[#This Row],[TERCER TRIMESTRE]]+Tabla1321124[[#This Row],[SEGUNDO TRIMESTRE]]+Tabla1321124[[#This Row],[PRIMER TRIMESTRE]]</f>
        <v>160000</v>
      </c>
      <c r="I2069" s="17">
        <v>5.4</v>
      </c>
      <c r="J2069" s="17">
        <f>Tabla1321124[[#This Row],[PRECIO UNITARIO ESTIMADO]]*Tabla1321124[[#This Row],[CANTIDAD TOTAL]]</f>
        <v>864000</v>
      </c>
      <c r="K2069" s="340"/>
      <c r="L2069" s="16" t="s">
        <v>15</v>
      </c>
      <c r="M2069" s="16" t="s">
        <v>22</v>
      </c>
      <c r="N2069" s="16" t="s">
        <v>342</v>
      </c>
    </row>
    <row r="2070" spans="1:14" ht="30.75" customHeight="1">
      <c r="A2070" s="539" t="s">
        <v>1776</v>
      </c>
      <c r="B2070" s="24" t="str">
        <f ca="1">+UPPER(Tabla1321124[[#This Row],[DESCRIPCIÓN DE LA COMPRA O CONTRATACIÓN]])</f>
        <v/>
      </c>
      <c r="C2070" s="24"/>
      <c r="D2070" s="24"/>
      <c r="E2070" s="24"/>
      <c r="F2070" s="24"/>
      <c r="G2070" s="24"/>
      <c r="H2070" s="24"/>
      <c r="I2070" s="238"/>
      <c r="J2070" s="24"/>
      <c r="K2070" s="25">
        <f>+J2062+J2063+J2064+J2065+J2066+J2067+J2068+J2069</f>
        <v>5613100</v>
      </c>
      <c r="L2070" s="24"/>
      <c r="M2070" s="24"/>
      <c r="N2070" s="24"/>
    </row>
    <row r="2071" spans="1:14" ht="30.75" customHeight="1" thickBot="1">
      <c r="A2071" s="182"/>
      <c r="B2071" s="83" t="str">
        <f ca="1">+UPPER(Tabla1321124[[#This Row],[DESCRIPCIÓN DE LA COMPRA O CONTRATACIÓN]])</f>
        <v>TOTAL DE COMPRAS DEL 2016</v>
      </c>
      <c r="C2071" s="47"/>
      <c r="D2071" s="242"/>
      <c r="E2071" s="242"/>
      <c r="F2071" s="242"/>
      <c r="G2071" s="242"/>
      <c r="H2071" s="357"/>
      <c r="I2071" s="357"/>
      <c r="J2071" s="183">
        <f>SUBTOTAL(109,J11:J2070)</f>
        <v>1995728305.0424008</v>
      </c>
      <c r="K2071" s="183">
        <f>+K273+K2070+K2061+K2056+K2053+K2048+K2044+K2031+K2024+K2016+K1993+K1966+K1940+K1908+K1900+K1884+K1869+K1668+K1658+K1637+K1612+K1571+K1564+K1366+K1335+K1259+K966+K947+K938+K268+K154+K121+K56+K46+K38+K35+K18</f>
        <v>1995728305.0423999</v>
      </c>
      <c r="L2071" s="34"/>
      <c r="M2071" s="34"/>
      <c r="N2071" s="47"/>
    </row>
    <row r="2073" spans="1:14" ht="30.75" customHeight="1">
      <c r="J2073" s="250"/>
    </row>
    <row r="2074" spans="1:14" ht="30.75" customHeight="1">
      <c r="J2074" s="250"/>
      <c r="K2074" s="250"/>
    </row>
    <row r="2078" spans="1:14" ht="30.75" customHeight="1">
      <c r="C2078" s="332"/>
      <c r="H2078" s="332"/>
      <c r="N2078" s="332"/>
    </row>
    <row r="2079" spans="1:14" ht="30.75" customHeight="1">
      <c r="C2079" s="332"/>
      <c r="H2079" s="332"/>
      <c r="N2079" s="332"/>
    </row>
    <row r="2080" spans="1:14" ht="30.75" customHeight="1">
      <c r="C2080" s="332"/>
      <c r="H2080" s="332"/>
      <c r="N2080" s="332"/>
    </row>
    <row r="2081" spans="3:14" ht="30.75" customHeight="1">
      <c r="C2081" s="332"/>
      <c r="H2081" s="332"/>
      <c r="N2081" s="332"/>
    </row>
    <row r="2082" spans="3:14" ht="30.75" customHeight="1">
      <c r="C2082" s="332"/>
      <c r="H2082" s="332"/>
      <c r="N2082" s="332"/>
    </row>
    <row r="2083" spans="3:14" ht="30.75" customHeight="1">
      <c r="C2083" s="332"/>
      <c r="H2083" s="332"/>
      <c r="N2083" s="332"/>
    </row>
    <row r="2084" spans="3:14" ht="30.75" customHeight="1">
      <c r="C2084" s="332"/>
      <c r="H2084" s="332"/>
      <c r="N2084" s="332"/>
    </row>
    <row r="2085" spans="3:14" ht="30.75" customHeight="1">
      <c r="C2085" s="332"/>
      <c r="H2085" s="332"/>
      <c r="N2085" s="332"/>
    </row>
    <row r="2086" spans="3:14" ht="30.75" customHeight="1">
      <c r="C2086" s="332"/>
      <c r="H2086" s="332"/>
      <c r="N2086" s="332"/>
    </row>
  </sheetData>
  <mergeCells count="4">
    <mergeCell ref="A3:A5"/>
    <mergeCell ref="A6:N6"/>
    <mergeCell ref="A7:B7"/>
    <mergeCell ref="D9:G9"/>
  </mergeCells>
  <dataValidations xWindow="438" yWindow="215" count="12">
    <dataValidation type="list" allowBlank="1" showInputMessage="1" showErrorMessage="1" promptTitle="PACC" prompt="Seleccione el procedimiento de selección." sqref="K2096:K2098 L966 L2099:L2105 L948:L964 M947 L2071:L2095 L2062:L2069 L1414:L1419 L1422:L1489 L1491:L1517 L1519:L1522 L1122:L1382 L1543:L1551 L473:L474 L480:L492 L494:L529 L533:L568 L570 L572:L641 L643:L654 L696:L712 L760:L763 L765:L795 L804:L833 L837:L868 L656:L669 M967:M1008 L1007:L1018 L1020:L1031 L1037:L1046 L1062:L1065 L1080:L1090 L1100:L1113 L1116:L1120 M1114:M1115 L39:L471 L1795:L1857 L1525:L1541 L2024:L2029 L1859:L2022 L11:L37 L1384:L1412 L2031:L2060 L531 L870:L937 L939:L946 M1019 M1032:M1036 M1047:M1061 M1066:M1079 L1553:L1793">
      <formula1>#REF!</formula1>
    </dataValidation>
    <dataValidation type="list" allowBlank="1" showInputMessage="1" showErrorMessage="1" promptTitle="PACC" prompt="Seleccione el Código de Bienes y Servicios._x000a_" sqref="C2000:C2001 A2096:A2105 C1998 A2071:A2088 C1994:C1995 K2062:K2069 C2069 C2008:C2011 K1994:K2011 A11:A2044">
      <formula1>#REF!</formula1>
    </dataValidation>
    <dataValidation allowBlank="1" showInputMessage="1" showErrorMessage="1" promptTitle="PACC" prompt="Digite la descripción de la compra o contratación." sqref="B2088:B2105 B57:B120 B2044:B2054 I1940 B122:B268 B2057:B2060 B1613:B1632 B2062:B2069 B274:B986 B1636:B1851 B1853:B2016 B1002:B1031 B1036:B1046 B1054 B1061:B1065 B1080:B1087 B2032:B2034 B1090:B1448 C1908 I1908 B1490:B1611 B11:B46"/>
    <dataValidation allowBlank="1" showInputMessage="1" showErrorMessage="1" promptTitle="PACC" prompt="Digite la unidad de medida._x000a__x000a_" sqref="C948:C966 E923:E924 B121 D81:D120 D133:D153 C2071:C2105 C1996:C1997 C2002:C2007 C2062:C2068 C1999 C121:C297 C1909:C1993 C492:C655 C659:C754 E755:E758 C760:C848 C864:C922 B987:B991 C2012:C2060 C1006:C1031 B1032:B1035 B1055:B1060 C1037:C1046 C1062:C1065 C11:C80 C299:C488 B993:B1001 B1047:B1053 B1066:B1078 C1080:C1247 C1256 C1259:C1907 B1612"/>
    <dataValidation allowBlank="1" showInputMessage="1" showErrorMessage="1" promptTitle="PACC" prompt="Digite las observaciones que considere." sqref="N2099:N2105 N948 N950:N966 N2071:N2095 N2062:N2069 N11:N56 N1006:N1522 N939:N946 N58:N937 N1525:N2060"/>
    <dataValidation allowBlank="1" showInputMessage="1" showErrorMessage="1" promptTitle="PACC" prompt="Este valor se calculará sumando los costos totales que posean el mismo Código de Catálogo de Bienes y Servicios." sqref="K22:K27 K332:K366 K247:K248 K1006:L1006 K60:K75 K1012:K1017 L1121 K1718 K2090:K2095 I2090:I2094 K1701:K1715 K1722:K1723 K191:K193 K2099:K2100 L947 K952:K966 K1669:K1672 I47:I55 K1154:K1281 I274:I279 L1091:L1099 I2025:I2030 K779:K942 K47:K56 L965 K1600:K1612 I2050:I2052 K2071:K2088 K2050:K2056 L1114:L1115 K269:K279 K408:K436 K501:K617 K646:K660 K662:K700 I2072:I2087 K1086:K1150 K2012:K2044 K1283:K1291 K1725:K1869 K1941:K1993 I269:I272 I2017:I2023 L967:L1005 L1019 L1032:L1036 L1047:L1061 L1066:L1079 I2035:I2043"/>
    <dataValidation allowBlank="1" showInputMessage="1" showErrorMessage="1" promptTitle="PACC" prompt="Digite la fuente de financiamiento del procedimiento de referencia." sqref="N2096:N2098 M2099:M2105 M948:M966 N949 N947 M2071:M2095 M2062:M2069 N967:N1005 M1116:M1382 M939:M946 M11:M937 M1009:M1018 M1020:M1031 M1037:M1046 M1062:M1065 M1080:M1113 M1384:M2060"/>
    <dataValidation allowBlank="1" showInputMessage="1" showErrorMessage="1" promptTitle="PACC" prompt="Digite el precio unitario estimado._x000a_" sqref="I2088 I2095 I2099:I2105 I939:I942 I2032:I2034 J2044 I952:I965 I1994:I2015 J2061:N2061 I155:I267 I1613:I1632 I1909:I1920 B2061:H2061 I2062:I2069 J2070:N2070 A2061:A2069 I39:I45 I36:I37 I58:I120 I122:I153 I280:I937 I1006:I1258 I1260:I1334 I1336:I1365 I1367:I1563 I1565:I1570 I1572:I1611 I1636 I1638:I1657 I1659:I1667 I1669:I1868 I1870:I1883 I1885:I1899 I1901:I1907 I1923:I1939 I1941:I1965 I1967:I1992 I2054:I2055 I2057:I2060 B2070:H2070 I11:I17 I19:I34"/>
    <dataValidation allowBlank="1" showInputMessage="1" showErrorMessage="1" promptTitle="PACC" prompt="Este valor se calculará automáticamente, resultado de la multiplicación de la cantidad total por el precio unitario estimado." sqref="K661 K249:K268 K367:K407 K20:K21 J1282:K1282 K1151:K1153 J1870:K1940 J2101:K2105 K280:K331 K194:K246 I2089:K2089 J2090:J2095 I2096:J2098 J1725:J1869 K1716:K1717 K1719:K1721 J1724:K1724 J1669:J1723 J2099:J2100 J1613:K1668 K943:K951 K1673:K1700 K28:K46 K58:K59 J1941:J2043 K2045:K2049 I1921:I1922 J1283:J1334 J2071:J2088 L938:N938 J20:J56 K76:K190 K437:K500 K618:K645 K1018:K1085 J2062:J2069 K701:K778 K967:K1005 K1007:K1011 J11:K19 K1384:K1599 K1292:K1334 J121:J1281 J1384:J1612 J1335:K1383 I2045:I2047 I2049 J2045:J2060"/>
    <dataValidation allowBlank="1" showInputMessage="1" showErrorMessage="1" promptTitle="PACC" prompt="La cantidad total resultará de la suma de las cantidades requeridas en cada trimestre. " sqref="G616:G621 H948:H1868 I966:I981 H2049:H2052 F785:F789 F791:F792 F778:F782 H2071:H2105 H11:H56 H2062:H2069 G188:G189 G350:G352 G501:G503 F514:F520 G521:G522 F523 G524:G529 F531 F533 G535:G540 G544:G547 F548:F556 G564 G566:G568 G570 G572:G575 G577:G600 G608:G611 G604:G606 G623:G626 E650:E655 F687:F691 I984:I1005 G602 I18 H2054:H2060 I273 I35 I38 I56 I121 I154 I268 H1870:H2047 H939:H946 I943:I946 I948:I951 I1259 I1335 I1366 I1564 I1571 I1612 I1637 I1658 I1668 I1884 I1900 I1966 I1993 I2016 I2024 I2031 I2044 I2048 I2053 I2056 I2061 I2070:I2071 I46 H58:H937"/>
    <dataValidation allowBlank="1" showInputMessage="1" showErrorMessage="1" promptTitle="PACC" prompt="Digite la cantidad requerida en este período._x000a_" sqref="D1936:G1939 F1093:F1096 E645:F645 E938:E952 F1282:G1282 E169:G185 D191:G193 F199:G208 E217:G217 D1904:E1904 F1664:G1665 E1008:G1010 D1011:G1011 G1199:G1209 E166:G166 F1337:G1337 G1116:G1120 D308:G308 E908:G922 F212:G216 E2032:G2034 F775:G777 D13:F13 E1940:G1956 E12:F12 D218:E227 D1883:E1886 E1906:G1907 E198:G198 E1281:E1283 D2095:E2095 G2088:G2089 E2088:E2094 F2090:G2095 F2088 F1674:G1678 D1674:E1677 D1720:E1721 G1087:G1089 E2072:G2087 D1669:E1670 H947:I947 G955:G966 D2096:G2105 F299:F305 D2071:G2071 F1652 F1668:G1672 D1926:E1926 H1869:I1869 D1750:D1752 D1657:D1659 D1339:D1342 G454:G470 E612:E621 E498:G500 F496:G497 F1905:G1905 D20:G20 G494:G495 E494:E495 F1090:G1092 G1697:G1700 E1671:E1673 E1583:E1596 E1667:E1668 E468:E470 E367:G400 E1578 E1581 D1280:G1280 G1926 D2072:D2089 E1931:G1935 D258:E268 D1006:G1007 E321:G331 F923:G929 E230:F245 D1724:G1724 E1722:G1723 D1597:G1601 D1716:G1717 D1927:G1929 E1718:G1719 E160:G163 E209:G211 G1283 D1908:G1925 G1666:G1667 G11:G13 F364:G366 E1121:G1122 G1281 G1093:G1109 G218:G227 G1673 E1609:E1639 G1720:G1721 E1608:G1608 G262:G268 G576 D290:G297 G612:G615 D1565:F1566 D1555:G1563 E199:E207 E196:G196 D280:E282 F282:F284 G274:G284 F287:G287 E454:F467 D1564:E1564 G1564:G1577 D1567:E1577 F1638:F1639 F1468:F1469 E1398 H2053 E2044:G2044 D2053:E2056 G2045:G2049 D2045:D2049 E2045:E2052 E1706:G1706 H2048 E775:E789 E815:G815 F783:F784 G807:G808 F807:F810 D813 D809:D810 F813 E807:E808 G778:G789 E895:G899 E902:G902 F938:F951 E925:E929 G938:G952 F1210:G1212 E1199:E1212 E1198:G1198 D1651:D1653 G1957 D1876 D1660:E1666 D1957:E1957 F1602:G1607 E1604:E1607 D1637:D1649 E2057:G2060 E1641:E1659 D1865:D1867 D1399:E1554 F1660:F1663 F2050:G2056 D1859:D1862 E1863:E1882 F1863:F1883 D1701:G1705 D1707:G1710 D2035:G2043 E2062:G2063 D2064:G2064 E2065:G2069 G1637:G1663 E188:F189 E228:F228 F229:G229 F258:G261 E246:G250 G251 D247:D256 E252:G257 D269:G273 D274:F279 E298:G298 G299:G307 E306:F307 E309:G311 F312:G313 F318:G320 D314:G317 F332:G345 D357:G363 E346:G349 E350:F352 F353:G356 E403:G413 D423:G425 E426:G450 D414:G415 E416:G421 E489:G491 G512:G520 E501:F506 E507:E510 G504:G509 D514:D520 E512:E522 F521:F522 D523:E523 G523 E524:F529 D531:E531 G531 D533:E533 G533 E535:F540 D541:F543 E544:F547 D557:G563 D548:E556 G548:G556 E564:F564 F566:F568 F570 F572:F577 E578:F589 F590:F600 F608:F621 F604:F606 F602 G622 E627:G629 E623:F626 D630:D633 F630:G633 E634:G641 D659:D661 D646:D655 E648:E649 F646:F649 G643:G649 E656:G661 F650:G655 E665:G669 E685:E695 D685:D686 E671:G684 F685:F686 G685:G695 F692:F695 E696:G713 F728:F735 G721:G726 E721:E726 D717:D720 E714:E716 F714:F725 G714:G716 E736:G754 F755:G758 E759:G763 E765:G765 G791:G795 F793:F795 E791:E795 E804:G805 D796:G803 F824:F834 D864:G868 E849:G863 F837:F848 F869:F894 E955:E982 F967:G982 E984:G994 E1002:G1005 G995 E995 E996:G997 E998:E1001 G998:G1001 E1012:G1018 E1020:G1033 E1037:G1045 G1034:G1036 E1034:E1036 G1047:G1049 E1047:E1049 G1055:G1061 F1080:G1086 F1062:G1065 E1055:E1068 G1066:G1068 E1069:G1069 G1070:G1079 E1070:E1113 E1116:E1120 G1123:G1138 E1123:E1138 E1139:G1139 G1140:G1146 E1140:E1146 E1147:G1147 G1148:G1155 E1148:E1155 E1156:G1156 G1157:G1158 E1157:E1158 E1159:G1159 G1160:G1161 E1160:E1161 E1162:G1162 G1163:G1197 E1163:E1197 E1257:G1257 G1275:G1279 E1050:G1054 E1275:E1279 D1274:G1274 D1284:G1284 D1290:G1291 E1285:G1289 D1392:E1397 F1578:G1596 F1609:G1636 G1679:G1695 E1678:E1695 E1697:E1700 D1696:G1696 E1739:G1740 D1730:G1738 D1741:G1748 E1749:G1787 D1788:G1790 E1794:G1862 E1887:E1891 F1885:F1891 D1889:D1891 D1892:E1892 G1903:G1904 E1903:F1903 G1863:G1900 D1893:F1900 E1901:G1902 E1958:G1962 D1963:D1964 E1965:G1978 D1979:G1984 E1985:G2012 E2015:G2016 D2017:G2031 D15:G17 G1273 F1265:G1272 E1292:G1335 F1339:F1366 G1338:G1366 E1337:E1366 D1344:D1366 D1368:D1372 D1367:G1367 D1336:G1336 G1222:G1256 G1258:G1264 E1222:E1256 E1258:E1273 G1383:G1554 E1384:E1391 E1368:G1382 F1384:F1402 D1383:E1383 H938:I938 D47:G56"/>
    <dataValidation type="list" allowBlank="1" showInputMessage="1" showErrorMessage="1" promptTitle="PACC" prompt="Seleccione el procedimiento de selección." sqref="L1413 L1420:L1421 L1490 L1518 L530 L834:L836 L796:L803 L1552 L764 L532 L2030 L670:L695 L38 L475:L479 L642 L493 N1523:N1524 L1523:L1524 L2023 L655 L1858 L1794 L869 L713:L759 L569 L571 L1542 L472 L1383:M1383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5" scale="75" orientation="landscape" r:id="rId1"/>
  <drawing r:id="rId2"/>
  <legacy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78"/>
  <sheetViews>
    <sheetView view="pageBreakPreview" topLeftCell="A64" zoomScale="80" zoomScaleNormal="80" zoomScaleSheetLayoutView="80" workbookViewId="0">
      <selection activeCell="C12" sqref="C12"/>
    </sheetView>
  </sheetViews>
  <sheetFormatPr baseColWidth="10" defaultColWidth="11.42578125" defaultRowHeight="18"/>
  <cols>
    <col min="1" max="1" width="38.42578125" style="399" customWidth="1"/>
    <col min="2" max="2" width="48.42578125" style="399" customWidth="1"/>
    <col min="3" max="3" width="13.28515625" style="37" customWidth="1"/>
    <col min="4" max="4" width="7.5703125" style="37" customWidth="1"/>
    <col min="5" max="5" width="7.85546875" style="37" customWidth="1"/>
    <col min="6" max="6" width="8.140625" style="37" customWidth="1"/>
    <col min="7" max="7" width="8.28515625" style="37" customWidth="1"/>
    <col min="8" max="8" width="15.7109375" style="37" bestFit="1" customWidth="1"/>
    <col min="9" max="9" width="19.7109375" style="399" customWidth="1"/>
    <col min="10" max="10" width="20.7109375" style="399" customWidth="1"/>
    <col min="11" max="11" width="21.140625" style="399" customWidth="1"/>
    <col min="12" max="12" width="30.85546875" style="399" customWidth="1"/>
    <col min="13" max="13" width="25.85546875" style="399" customWidth="1"/>
    <col min="14" max="14" width="12.5703125" style="37" customWidth="1"/>
    <col min="15" max="15" width="17.140625" style="399" customWidth="1"/>
    <col min="16" max="16" width="21.42578125" style="399" customWidth="1"/>
    <col min="17" max="17" width="64.5703125" style="399" hidden="1" customWidth="1"/>
    <col min="18" max="18" width="20.85546875" style="399" customWidth="1"/>
    <col min="19" max="19" width="0" style="399" hidden="1" customWidth="1"/>
    <col min="20" max="20" width="52.28515625" style="399" hidden="1" customWidth="1"/>
    <col min="21" max="21" width="17.7109375" style="399" customWidth="1"/>
    <col min="22" max="16384" width="11.42578125" style="399"/>
  </cols>
  <sheetData>
    <row r="1" spans="1:20">
      <c r="A1" s="7" t="s">
        <v>0</v>
      </c>
      <c r="N1" s="8">
        <v>42311</v>
      </c>
    </row>
    <row r="2" spans="1:20" ht="15" customHeight="1">
      <c r="A2" s="554"/>
      <c r="N2" s="9"/>
    </row>
    <row r="3" spans="1:20" ht="16.5" customHeight="1">
      <c r="A3" s="554"/>
      <c r="B3" s="10"/>
      <c r="C3" s="10"/>
      <c r="D3" s="10"/>
      <c r="E3" s="10"/>
      <c r="F3" s="10"/>
      <c r="G3" s="10"/>
      <c r="H3" s="10"/>
      <c r="I3" s="10"/>
      <c r="J3" s="10"/>
      <c r="K3" s="10"/>
      <c r="N3" s="11"/>
    </row>
    <row r="4" spans="1:20" ht="11.25" customHeight="1" thickBot="1">
      <c r="A4" s="554"/>
      <c r="B4" s="12"/>
      <c r="C4" s="38"/>
      <c r="D4" s="38"/>
      <c r="E4" s="38"/>
      <c r="F4" s="38"/>
      <c r="G4" s="38"/>
      <c r="H4" s="38"/>
      <c r="I4" s="12"/>
      <c r="J4" s="12"/>
      <c r="K4" s="12"/>
      <c r="N4" s="13"/>
    </row>
    <row r="5" spans="1:20" s="174" customFormat="1" ht="25.5" customHeight="1">
      <c r="A5" s="555" t="s">
        <v>1</v>
      </c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</row>
    <row r="6" spans="1:20" s="172" customFormat="1" ht="15.75">
      <c r="A6" s="556" t="s">
        <v>1281</v>
      </c>
      <c r="B6" s="556"/>
      <c r="C6" s="39"/>
      <c r="D6" s="39"/>
      <c r="E6" s="39"/>
      <c r="F6" s="39"/>
      <c r="G6" s="39"/>
      <c r="H6" s="39"/>
      <c r="I6" s="16"/>
      <c r="J6" s="16"/>
      <c r="K6" s="16"/>
      <c r="N6" s="173"/>
    </row>
    <row r="7" spans="1:20" s="172" customFormat="1" ht="20.25">
      <c r="A7" s="578" t="s">
        <v>1913</v>
      </c>
      <c r="B7" s="578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20" ht="10.5" customHeight="1" thickBot="1"/>
    <row r="9" spans="1:20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20" s="14" customFormat="1" ht="111" customHeight="1">
      <c r="A10" s="2" t="s">
        <v>3</v>
      </c>
      <c r="B10" s="3" t="s">
        <v>4</v>
      </c>
      <c r="C10" s="3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3" t="s">
        <v>10</v>
      </c>
      <c r="I10" s="3" t="s">
        <v>11</v>
      </c>
      <c r="J10" s="3" t="s">
        <v>12</v>
      </c>
      <c r="K10" s="3" t="s">
        <v>442</v>
      </c>
      <c r="L10" s="3" t="s">
        <v>13</v>
      </c>
      <c r="M10" s="3" t="s">
        <v>14</v>
      </c>
      <c r="N10" s="3" t="s">
        <v>305</v>
      </c>
      <c r="O10" s="5"/>
      <c r="P10" s="5"/>
      <c r="Q10" s="5"/>
      <c r="R10" s="5"/>
    </row>
    <row r="11" spans="1:20" s="12" customFormat="1" ht="41.25" customHeight="1">
      <c r="A11" s="15" t="s">
        <v>117</v>
      </c>
      <c r="B11" s="75" t="s">
        <v>1914</v>
      </c>
      <c r="C11" s="39" t="s">
        <v>17</v>
      </c>
      <c r="D11" s="39">
        <v>1</v>
      </c>
      <c r="E11" s="39"/>
      <c r="F11" s="39"/>
      <c r="G11" s="39"/>
      <c r="H11" s="40">
        <f>SUM(Tabla1324[[#This Row],[PRIMER TRIMESTRE]:[CUARTO TRIMESTRE]])</f>
        <v>1</v>
      </c>
      <c r="I11" s="17">
        <v>327618.2</v>
      </c>
      <c r="J11" s="17">
        <f>+H11*I11</f>
        <v>327618.2</v>
      </c>
      <c r="K11" s="17"/>
      <c r="L11" s="16" t="s">
        <v>27</v>
      </c>
      <c r="M11" s="16" t="s">
        <v>22</v>
      </c>
      <c r="N11" s="39"/>
      <c r="Q11" s="19"/>
      <c r="T11" s="16"/>
    </row>
    <row r="12" spans="1:20" s="12" customFormat="1" ht="41.25" customHeight="1">
      <c r="A12" s="15" t="s">
        <v>1915</v>
      </c>
      <c r="B12" s="75" t="s">
        <v>1405</v>
      </c>
      <c r="C12" s="39" t="s">
        <v>17</v>
      </c>
      <c r="D12" s="39">
        <v>1</v>
      </c>
      <c r="E12" s="39"/>
      <c r="F12" s="39"/>
      <c r="G12" s="39"/>
      <c r="H12" s="40">
        <f>SUM(Tabla1324[[#This Row],[PRIMER TRIMESTRE]:[CUARTO TRIMESTRE]])</f>
        <v>1</v>
      </c>
      <c r="I12" s="17">
        <v>815223.95</v>
      </c>
      <c r="J12" s="17">
        <f>+H12*I12</f>
        <v>815223.95</v>
      </c>
      <c r="K12" s="17"/>
      <c r="L12" s="16" t="s">
        <v>27</v>
      </c>
      <c r="M12" s="16" t="s">
        <v>22</v>
      </c>
      <c r="N12" s="39"/>
      <c r="Q12" s="19"/>
      <c r="T12" s="16"/>
    </row>
    <row r="13" spans="1:20" s="12" customFormat="1" ht="41.25" customHeight="1">
      <c r="A13" s="15" t="s">
        <v>1916</v>
      </c>
      <c r="B13" s="75" t="s">
        <v>1406</v>
      </c>
      <c r="C13" s="39" t="s">
        <v>17</v>
      </c>
      <c r="D13" s="39">
        <v>1</v>
      </c>
      <c r="E13" s="39"/>
      <c r="F13" s="39"/>
      <c r="G13" s="39"/>
      <c r="H13" s="40">
        <f>SUM(Tabla1324[[#This Row],[PRIMER TRIMESTRE]:[CUARTO TRIMESTRE]])</f>
        <v>1</v>
      </c>
      <c r="I13" s="17">
        <v>341286.40000000002</v>
      </c>
      <c r="J13" s="17">
        <f>+H13*I13</f>
        <v>341286.40000000002</v>
      </c>
      <c r="K13" s="17"/>
      <c r="L13" s="16" t="s">
        <v>27</v>
      </c>
      <c r="M13" s="16" t="s">
        <v>22</v>
      </c>
      <c r="N13" s="39"/>
      <c r="Q13" s="19"/>
      <c r="T13" s="16"/>
    </row>
    <row r="14" spans="1:20" s="12" customFormat="1" ht="41.25" customHeight="1">
      <c r="A14" s="15" t="s">
        <v>1917</v>
      </c>
      <c r="B14" s="75" t="s">
        <v>1407</v>
      </c>
      <c r="C14" s="39" t="s">
        <v>17</v>
      </c>
      <c r="D14" s="39">
        <v>1</v>
      </c>
      <c r="E14" s="39"/>
      <c r="F14" s="39"/>
      <c r="G14" s="39"/>
      <c r="H14" s="40">
        <f>SUM(Tabla1324[[#This Row],[PRIMER TRIMESTRE]:[CUARTO TRIMESTRE]])</f>
        <v>1</v>
      </c>
      <c r="I14" s="17">
        <v>498739.15</v>
      </c>
      <c r="J14" s="17">
        <f>+H14*I14</f>
        <v>498739.15</v>
      </c>
      <c r="K14" s="17"/>
      <c r="L14" s="16" t="s">
        <v>27</v>
      </c>
      <c r="M14" s="16" t="s">
        <v>22</v>
      </c>
      <c r="N14" s="39"/>
      <c r="Q14" s="19"/>
      <c r="T14" s="16"/>
    </row>
    <row r="15" spans="1:20" s="26" customFormat="1" ht="27.75" customHeight="1">
      <c r="A15" s="22" t="s">
        <v>117</v>
      </c>
      <c r="B15" s="76" t="s">
        <v>891</v>
      </c>
      <c r="C15" s="42"/>
      <c r="D15" s="42"/>
      <c r="E15" s="42"/>
      <c r="F15" s="42"/>
      <c r="G15" s="42"/>
      <c r="H15" s="43"/>
      <c r="I15" s="24"/>
      <c r="J15" s="24"/>
      <c r="K15" s="25">
        <f>SUM(J11:J14)</f>
        <v>1982867.6999999997</v>
      </c>
      <c r="L15" s="23"/>
      <c r="M15" s="23"/>
      <c r="N15" s="42"/>
      <c r="Q15" s="27"/>
      <c r="T15" s="23"/>
    </row>
    <row r="16" spans="1:20" s="169" customFormat="1" ht="78" customHeight="1">
      <c r="A16" s="407" t="s">
        <v>115</v>
      </c>
      <c r="B16" s="77" t="s">
        <v>1918</v>
      </c>
      <c r="C16" s="70" t="s">
        <v>17</v>
      </c>
      <c r="D16" s="70">
        <v>17</v>
      </c>
      <c r="E16" s="70"/>
      <c r="F16" s="70"/>
      <c r="G16" s="70"/>
      <c r="H16" s="406">
        <f>SUM(Tabla1324[[#This Row],[PRIMER TRIMESTRE]:[CUARTO TRIMESTRE]])</f>
        <v>17</v>
      </c>
      <c r="I16" s="72">
        <v>51809.49</v>
      </c>
      <c r="J16" s="72">
        <f>+Tabla1324[[#This Row],[CANTIDAD TOTAL]]*Tabla1324[[#This Row],[PRECIO UNITARIO ESTIMADO]]</f>
        <v>880761.33</v>
      </c>
      <c r="K16" s="72"/>
      <c r="L16" s="16" t="s">
        <v>27</v>
      </c>
      <c r="M16" s="16" t="s">
        <v>22</v>
      </c>
      <c r="N16" s="39" t="s">
        <v>418</v>
      </c>
    </row>
    <row r="17" spans="1:20" s="12" customFormat="1" ht="38.25">
      <c r="A17" s="15" t="s">
        <v>115</v>
      </c>
      <c r="B17" s="75" t="s">
        <v>1919</v>
      </c>
      <c r="C17" s="39" t="s">
        <v>17</v>
      </c>
      <c r="D17" s="39">
        <v>5</v>
      </c>
      <c r="E17" s="39"/>
      <c r="F17" s="39"/>
      <c r="G17" s="39"/>
      <c r="H17" s="41">
        <f>SUM(Tabla1324[[#This Row],[PRIMER TRIMESTRE]:[CUARTO TRIMESTRE]])</f>
        <v>5</v>
      </c>
      <c r="I17" s="17">
        <v>5083</v>
      </c>
      <c r="J17" s="17">
        <f>+Tabla1324[[#This Row],[CANTIDAD TOTAL]]*Tabla1324[[#This Row],[PRECIO UNITARIO ESTIMADO]]</f>
        <v>25415</v>
      </c>
      <c r="K17" s="17"/>
      <c r="L17" s="16" t="s">
        <v>27</v>
      </c>
      <c r="M17" s="16" t="s">
        <v>22</v>
      </c>
      <c r="N17" s="39" t="s">
        <v>418</v>
      </c>
    </row>
    <row r="18" spans="1:20" s="26" customFormat="1" ht="35.25" customHeight="1">
      <c r="A18" s="22" t="s">
        <v>115</v>
      </c>
      <c r="B18" s="76"/>
      <c r="C18" s="42"/>
      <c r="D18" s="42"/>
      <c r="E18" s="42"/>
      <c r="F18" s="42"/>
      <c r="G18" s="42"/>
      <c r="H18" s="43"/>
      <c r="I18" s="24"/>
      <c r="J18" s="24"/>
      <c r="K18" s="25">
        <f>SUM(J16:J17)</f>
        <v>906176.33</v>
      </c>
      <c r="L18" s="23"/>
      <c r="M18" s="23"/>
      <c r="N18" s="42"/>
      <c r="Q18" s="27"/>
      <c r="T18" s="23"/>
    </row>
    <row r="19" spans="1:20" s="12" customFormat="1">
      <c r="A19" s="15" t="s">
        <v>120</v>
      </c>
      <c r="B19" s="75" t="s">
        <v>392</v>
      </c>
      <c r="C19" s="39" t="s">
        <v>208</v>
      </c>
      <c r="D19" s="39"/>
      <c r="E19" s="39">
        <v>15</v>
      </c>
      <c r="F19" s="39"/>
      <c r="G19" s="39">
        <v>15</v>
      </c>
      <c r="H19" s="41">
        <f>SUM(Tabla1324[[#This Row],[PRIMER TRIMESTRE]:[CUARTO TRIMESTRE]])</f>
        <v>30</v>
      </c>
      <c r="I19" s="17">
        <v>48.12</v>
      </c>
      <c r="J19" s="17">
        <f t="shared" ref="J19:J41" si="0">+H19*I19</f>
        <v>1443.6</v>
      </c>
      <c r="K19" s="17"/>
      <c r="L19" s="16" t="s">
        <v>27</v>
      </c>
      <c r="M19" s="16" t="s">
        <v>22</v>
      </c>
      <c r="N19" s="39" t="s">
        <v>418</v>
      </c>
    </row>
    <row r="20" spans="1:20" s="12" customFormat="1">
      <c r="A20" s="15" t="s">
        <v>120</v>
      </c>
      <c r="B20" s="75" t="s">
        <v>393</v>
      </c>
      <c r="C20" s="39" t="s">
        <v>208</v>
      </c>
      <c r="D20" s="39"/>
      <c r="E20" s="39">
        <v>15</v>
      </c>
      <c r="F20" s="39"/>
      <c r="G20" s="39">
        <v>15</v>
      </c>
      <c r="H20" s="41">
        <f>SUM(Tabla1324[[#This Row],[PRIMER TRIMESTRE]:[CUARTO TRIMESTRE]])</f>
        <v>30</v>
      </c>
      <c r="I20" s="17">
        <v>41.28</v>
      </c>
      <c r="J20" s="17">
        <f t="shared" si="0"/>
        <v>1238.4000000000001</v>
      </c>
      <c r="K20" s="17"/>
      <c r="L20" s="16" t="s">
        <v>27</v>
      </c>
      <c r="M20" s="16" t="s">
        <v>22</v>
      </c>
      <c r="N20" s="39" t="s">
        <v>418</v>
      </c>
    </row>
    <row r="21" spans="1:20" s="12" customFormat="1">
      <c r="A21" s="15" t="s">
        <v>120</v>
      </c>
      <c r="B21" s="75" t="s">
        <v>398</v>
      </c>
      <c r="C21" s="39" t="s">
        <v>208</v>
      </c>
      <c r="D21" s="39"/>
      <c r="E21" s="39">
        <v>10</v>
      </c>
      <c r="F21" s="39"/>
      <c r="G21" s="39">
        <v>10</v>
      </c>
      <c r="H21" s="41">
        <f>SUM(Tabla1324[[#This Row],[PRIMER TRIMESTRE]:[CUARTO TRIMESTRE]])</f>
        <v>20</v>
      </c>
      <c r="I21" s="17">
        <v>22.42</v>
      </c>
      <c r="J21" s="17">
        <f t="shared" si="0"/>
        <v>448.40000000000003</v>
      </c>
      <c r="K21" s="17"/>
      <c r="L21" s="16" t="s">
        <v>27</v>
      </c>
      <c r="M21" s="16" t="s">
        <v>22</v>
      </c>
      <c r="N21" s="39" t="s">
        <v>418</v>
      </c>
    </row>
    <row r="22" spans="1:20" s="12" customFormat="1">
      <c r="A22" s="15" t="s">
        <v>120</v>
      </c>
      <c r="B22" s="75" t="s">
        <v>748</v>
      </c>
      <c r="C22" s="39" t="s">
        <v>17</v>
      </c>
      <c r="D22" s="39">
        <v>10</v>
      </c>
      <c r="E22" s="39">
        <v>10</v>
      </c>
      <c r="F22" s="39">
        <v>10</v>
      </c>
      <c r="G22" s="39">
        <v>10</v>
      </c>
      <c r="H22" s="41">
        <f>SUM(Tabla1324[[#This Row],[PRIMER TRIMESTRE]:[CUARTO TRIMESTRE]])</f>
        <v>40</v>
      </c>
      <c r="I22" s="17">
        <v>220</v>
      </c>
      <c r="J22" s="17">
        <f t="shared" si="0"/>
        <v>8800</v>
      </c>
      <c r="K22" s="17"/>
      <c r="L22" s="16" t="s">
        <v>27</v>
      </c>
      <c r="M22" s="16" t="s">
        <v>22</v>
      </c>
      <c r="N22" s="39" t="s">
        <v>418</v>
      </c>
    </row>
    <row r="23" spans="1:20" s="12" customFormat="1">
      <c r="A23" s="15" t="s">
        <v>120</v>
      </c>
      <c r="B23" s="75" t="s">
        <v>749</v>
      </c>
      <c r="C23" s="39" t="s">
        <v>17</v>
      </c>
      <c r="D23" s="39">
        <v>10</v>
      </c>
      <c r="E23" s="39">
        <v>10</v>
      </c>
      <c r="F23" s="39">
        <v>10</v>
      </c>
      <c r="G23" s="39">
        <v>10</v>
      </c>
      <c r="H23" s="41">
        <f>SUM(Tabla1324[[#This Row],[PRIMER TRIMESTRE]:[CUARTO TRIMESTRE]])</f>
        <v>40</v>
      </c>
      <c r="I23" s="17">
        <v>186.44</v>
      </c>
      <c r="J23" s="17">
        <f t="shared" si="0"/>
        <v>7457.6</v>
      </c>
      <c r="K23" s="17"/>
      <c r="L23" s="16" t="s">
        <v>27</v>
      </c>
      <c r="M23" s="16" t="s">
        <v>22</v>
      </c>
      <c r="N23" s="39" t="s">
        <v>418</v>
      </c>
    </row>
    <row r="24" spans="1:20" s="12" customFormat="1">
      <c r="A24" s="15" t="s">
        <v>120</v>
      </c>
      <c r="B24" s="75" t="s">
        <v>750</v>
      </c>
      <c r="C24" s="39" t="s">
        <v>17</v>
      </c>
      <c r="D24" s="39">
        <v>15</v>
      </c>
      <c r="E24" s="39">
        <v>15</v>
      </c>
      <c r="F24" s="39">
        <v>15</v>
      </c>
      <c r="G24" s="39">
        <v>15</v>
      </c>
      <c r="H24" s="41">
        <f>SUM(Tabla1324[[#This Row],[PRIMER TRIMESTRE]:[CUARTO TRIMESTRE]])</f>
        <v>60</v>
      </c>
      <c r="I24" s="17">
        <v>129.80000000000001</v>
      </c>
      <c r="J24" s="17">
        <f t="shared" si="0"/>
        <v>7788.0000000000009</v>
      </c>
      <c r="K24" s="17"/>
      <c r="L24" s="16" t="s">
        <v>27</v>
      </c>
      <c r="M24" s="16" t="s">
        <v>22</v>
      </c>
      <c r="N24" s="39" t="s">
        <v>418</v>
      </c>
    </row>
    <row r="25" spans="1:20" s="12" customFormat="1">
      <c r="A25" s="15" t="s">
        <v>120</v>
      </c>
      <c r="B25" s="75" t="s">
        <v>403</v>
      </c>
      <c r="C25" s="39" t="s">
        <v>416</v>
      </c>
      <c r="D25" s="39"/>
      <c r="E25" s="39">
        <v>20</v>
      </c>
      <c r="F25" s="39"/>
      <c r="G25" s="39">
        <v>20</v>
      </c>
      <c r="H25" s="41">
        <f>SUM(Tabla1324[[#This Row],[PRIMER TRIMESTRE]:[CUARTO TRIMESTRE]])</f>
        <v>40</v>
      </c>
      <c r="I25" s="17">
        <v>75</v>
      </c>
      <c r="J25" s="17">
        <f t="shared" si="0"/>
        <v>3000</v>
      </c>
      <c r="K25" s="17"/>
      <c r="L25" s="16" t="s">
        <v>27</v>
      </c>
      <c r="M25" s="16" t="s">
        <v>22</v>
      </c>
      <c r="N25" s="39" t="s">
        <v>418</v>
      </c>
    </row>
    <row r="26" spans="1:20" s="12" customFormat="1">
      <c r="A26" s="15" t="s">
        <v>120</v>
      </c>
      <c r="B26" s="75" t="s">
        <v>744</v>
      </c>
      <c r="C26" s="39" t="s">
        <v>17</v>
      </c>
      <c r="D26" s="39">
        <v>10</v>
      </c>
      <c r="E26" s="39"/>
      <c r="F26" s="39">
        <v>10</v>
      </c>
      <c r="G26" s="39"/>
      <c r="H26" s="41">
        <f>SUM(Tabla1324[[#This Row],[PRIMER TRIMESTRE]:[CUARTO TRIMESTRE]])</f>
        <v>20</v>
      </c>
      <c r="I26" s="17">
        <v>43.66</v>
      </c>
      <c r="J26" s="17">
        <f t="shared" si="0"/>
        <v>873.19999999999993</v>
      </c>
      <c r="K26" s="17"/>
      <c r="L26" s="16" t="s">
        <v>27</v>
      </c>
      <c r="M26" s="16" t="s">
        <v>22</v>
      </c>
      <c r="N26" s="39" t="s">
        <v>418</v>
      </c>
    </row>
    <row r="27" spans="1:20" s="12" customFormat="1">
      <c r="A27" s="15" t="s">
        <v>120</v>
      </c>
      <c r="B27" s="75" t="s">
        <v>414</v>
      </c>
      <c r="C27" s="39" t="s">
        <v>417</v>
      </c>
      <c r="D27" s="39">
        <v>50</v>
      </c>
      <c r="E27" s="39"/>
      <c r="F27" s="39">
        <v>50</v>
      </c>
      <c r="G27" s="39"/>
      <c r="H27" s="41">
        <f>SUM(Tabla1324[[#This Row],[PRIMER TRIMESTRE]:[CUARTO TRIMESTRE]])</f>
        <v>100</v>
      </c>
      <c r="I27" s="17">
        <v>13.57</v>
      </c>
      <c r="J27" s="17">
        <f t="shared" si="0"/>
        <v>1357</v>
      </c>
      <c r="K27" s="17"/>
      <c r="L27" s="16" t="s">
        <v>27</v>
      </c>
      <c r="M27" s="16" t="s">
        <v>22</v>
      </c>
      <c r="N27" s="39" t="s">
        <v>418</v>
      </c>
    </row>
    <row r="28" spans="1:20" s="12" customFormat="1">
      <c r="A28" s="15" t="s">
        <v>120</v>
      </c>
      <c r="B28" s="75" t="s">
        <v>760</v>
      </c>
      <c r="C28" s="39" t="s">
        <v>208</v>
      </c>
      <c r="D28" s="39"/>
      <c r="E28" s="39">
        <v>10</v>
      </c>
      <c r="F28" s="39"/>
      <c r="G28" s="39">
        <v>10</v>
      </c>
      <c r="H28" s="41">
        <f>SUM(Tabla1324[[#This Row],[PRIMER TRIMESTRE]:[CUARTO TRIMESTRE]])</f>
        <v>20</v>
      </c>
      <c r="I28" s="17">
        <v>43.66</v>
      </c>
      <c r="J28" s="17">
        <f t="shared" si="0"/>
        <v>873.19999999999993</v>
      </c>
      <c r="K28" s="17"/>
      <c r="L28" s="16" t="s">
        <v>27</v>
      </c>
      <c r="M28" s="16" t="s">
        <v>22</v>
      </c>
      <c r="N28" s="39" t="s">
        <v>418</v>
      </c>
    </row>
    <row r="29" spans="1:20" s="12" customFormat="1">
      <c r="A29" s="15" t="s">
        <v>120</v>
      </c>
      <c r="B29" s="75" t="s">
        <v>761</v>
      </c>
      <c r="C29" s="39" t="s">
        <v>208</v>
      </c>
      <c r="D29" s="39"/>
      <c r="E29" s="39">
        <v>10</v>
      </c>
      <c r="F29" s="39"/>
      <c r="G29" s="39">
        <v>10</v>
      </c>
      <c r="H29" s="41">
        <f>SUM(Tabla1324[[#This Row],[PRIMER TRIMESTRE]:[CUARTO TRIMESTRE]])</f>
        <v>20</v>
      </c>
      <c r="I29" s="17">
        <v>12.98</v>
      </c>
      <c r="J29" s="17">
        <f t="shared" si="0"/>
        <v>259.60000000000002</v>
      </c>
      <c r="K29" s="17"/>
      <c r="L29" s="16" t="s">
        <v>27</v>
      </c>
      <c r="M29" s="16" t="s">
        <v>22</v>
      </c>
      <c r="N29" s="39" t="s">
        <v>418</v>
      </c>
    </row>
    <row r="30" spans="1:20" s="12" customFormat="1" ht="33" customHeight="1">
      <c r="A30" s="15" t="s">
        <v>120</v>
      </c>
      <c r="B30" s="75" t="s">
        <v>399</v>
      </c>
      <c r="C30" s="39" t="s">
        <v>208</v>
      </c>
      <c r="D30" s="39">
        <v>10</v>
      </c>
      <c r="E30" s="39"/>
      <c r="F30" s="39">
        <v>10</v>
      </c>
      <c r="G30" s="39"/>
      <c r="H30" s="41">
        <f>SUM(Tabla1324[[#This Row],[PRIMER TRIMESTRE]:[CUARTO TRIMESTRE]])</f>
        <v>20</v>
      </c>
      <c r="I30" s="17">
        <v>86.81</v>
      </c>
      <c r="J30" s="17">
        <f t="shared" si="0"/>
        <v>1736.2</v>
      </c>
      <c r="K30" s="17"/>
      <c r="L30" s="16" t="s">
        <v>27</v>
      </c>
      <c r="M30" s="16" t="s">
        <v>22</v>
      </c>
      <c r="N30" s="39" t="s">
        <v>418</v>
      </c>
    </row>
    <row r="31" spans="1:20" s="12" customFormat="1" ht="36" customHeight="1">
      <c r="A31" s="15" t="s">
        <v>120</v>
      </c>
      <c r="B31" s="75" t="s">
        <v>400</v>
      </c>
      <c r="C31" s="39" t="s">
        <v>208</v>
      </c>
      <c r="D31" s="39">
        <v>10</v>
      </c>
      <c r="E31" s="39"/>
      <c r="F31" s="39">
        <v>10</v>
      </c>
      <c r="G31" s="39"/>
      <c r="H31" s="41">
        <f>SUM(Tabla1324[[#This Row],[PRIMER TRIMESTRE]:[CUARTO TRIMESTRE]])</f>
        <v>20</v>
      </c>
      <c r="I31" s="17">
        <v>25.4</v>
      </c>
      <c r="J31" s="17">
        <f t="shared" si="0"/>
        <v>508</v>
      </c>
      <c r="K31" s="17"/>
      <c r="L31" s="16" t="s">
        <v>27</v>
      </c>
      <c r="M31" s="16" t="s">
        <v>22</v>
      </c>
      <c r="N31" s="39" t="s">
        <v>418</v>
      </c>
    </row>
    <row r="32" spans="1:20" s="12" customFormat="1" ht="25.5">
      <c r="A32" s="15" t="s">
        <v>120</v>
      </c>
      <c r="B32" s="75" t="s">
        <v>395</v>
      </c>
      <c r="C32" s="39" t="s">
        <v>208</v>
      </c>
      <c r="D32" s="39">
        <v>5</v>
      </c>
      <c r="E32" s="39"/>
      <c r="F32" s="39">
        <v>5</v>
      </c>
      <c r="G32" s="39"/>
      <c r="H32" s="41">
        <f>SUM(Tabla1324[[#This Row],[PRIMER TRIMESTRE]:[CUARTO TRIMESTRE]])</f>
        <v>10</v>
      </c>
      <c r="I32" s="17">
        <v>235.20000000000002</v>
      </c>
      <c r="J32" s="17">
        <f t="shared" si="0"/>
        <v>2352</v>
      </c>
      <c r="K32" s="17"/>
      <c r="L32" s="16" t="s">
        <v>27</v>
      </c>
      <c r="M32" s="16" t="s">
        <v>22</v>
      </c>
      <c r="N32" s="39" t="s">
        <v>418</v>
      </c>
    </row>
    <row r="33" spans="1:14" s="12" customFormat="1">
      <c r="A33" s="15" t="s">
        <v>120</v>
      </c>
      <c r="B33" s="75" t="s">
        <v>746</v>
      </c>
      <c r="C33" s="39" t="s">
        <v>17</v>
      </c>
      <c r="D33" s="39">
        <v>10</v>
      </c>
      <c r="E33" s="39"/>
      <c r="F33" s="39">
        <v>10</v>
      </c>
      <c r="G33" s="39"/>
      <c r="H33" s="41">
        <f>SUM(Tabla1324[[#This Row],[PRIMER TRIMESTRE]:[CUARTO TRIMESTRE]])</f>
        <v>20</v>
      </c>
      <c r="I33" s="17">
        <v>23.32</v>
      </c>
      <c r="J33" s="17">
        <f t="shared" si="0"/>
        <v>466.4</v>
      </c>
      <c r="K33" s="17"/>
      <c r="L33" s="16" t="s">
        <v>27</v>
      </c>
      <c r="M33" s="16" t="s">
        <v>22</v>
      </c>
      <c r="N33" s="39" t="s">
        <v>418</v>
      </c>
    </row>
    <row r="34" spans="1:14" s="12" customFormat="1">
      <c r="A34" s="15" t="s">
        <v>120</v>
      </c>
      <c r="B34" s="75" t="s">
        <v>747</v>
      </c>
      <c r="C34" s="39" t="s">
        <v>17</v>
      </c>
      <c r="D34" s="39">
        <v>10</v>
      </c>
      <c r="E34" s="39"/>
      <c r="F34" s="39">
        <v>10</v>
      </c>
      <c r="G34" s="39"/>
      <c r="H34" s="41">
        <f>SUM(Tabla1324[[#This Row],[PRIMER TRIMESTRE]:[CUARTO TRIMESTRE]])</f>
        <v>20</v>
      </c>
      <c r="I34" s="17">
        <v>23.32</v>
      </c>
      <c r="J34" s="17">
        <f t="shared" si="0"/>
        <v>466.4</v>
      </c>
      <c r="K34" s="17"/>
      <c r="L34" s="16" t="s">
        <v>27</v>
      </c>
      <c r="M34" s="16" t="s">
        <v>22</v>
      </c>
      <c r="N34" s="39" t="s">
        <v>418</v>
      </c>
    </row>
    <row r="35" spans="1:14" s="12" customFormat="1" ht="36.75" customHeight="1">
      <c r="A35" s="15" t="s">
        <v>120</v>
      </c>
      <c r="B35" s="75" t="s">
        <v>396</v>
      </c>
      <c r="C35" s="39" t="s">
        <v>208</v>
      </c>
      <c r="D35" s="39"/>
      <c r="E35" s="39">
        <v>7</v>
      </c>
      <c r="F35" s="39"/>
      <c r="G35" s="39">
        <v>7</v>
      </c>
      <c r="H35" s="41">
        <f>SUM(Tabla1324[[#This Row],[PRIMER TRIMESTRE]:[CUARTO TRIMESTRE]])</f>
        <v>14</v>
      </c>
      <c r="I35" s="17">
        <v>194.7</v>
      </c>
      <c r="J35" s="17">
        <f t="shared" si="0"/>
        <v>2725.7999999999997</v>
      </c>
      <c r="K35" s="17"/>
      <c r="L35" s="16" t="s">
        <v>27</v>
      </c>
      <c r="M35" s="16" t="s">
        <v>22</v>
      </c>
      <c r="N35" s="39" t="s">
        <v>418</v>
      </c>
    </row>
    <row r="36" spans="1:14" s="12" customFormat="1" ht="39" customHeight="1">
      <c r="A36" s="15" t="s">
        <v>120</v>
      </c>
      <c r="B36" s="75" t="s">
        <v>397</v>
      </c>
      <c r="C36" s="39" t="s">
        <v>208</v>
      </c>
      <c r="D36" s="39">
        <v>5</v>
      </c>
      <c r="E36" s="39"/>
      <c r="F36" s="39">
        <v>5</v>
      </c>
      <c r="G36" s="39"/>
      <c r="H36" s="41">
        <f>SUM(Tabla1324[[#This Row],[PRIMER TRIMESTRE]:[CUARTO TRIMESTRE]])</f>
        <v>10</v>
      </c>
      <c r="I36" s="17">
        <v>309.14</v>
      </c>
      <c r="J36" s="17">
        <f t="shared" si="0"/>
        <v>3091.3999999999996</v>
      </c>
      <c r="K36" s="17"/>
      <c r="L36" s="16" t="s">
        <v>27</v>
      </c>
      <c r="M36" s="16" t="s">
        <v>22</v>
      </c>
      <c r="N36" s="39" t="s">
        <v>418</v>
      </c>
    </row>
    <row r="37" spans="1:14" s="12" customFormat="1">
      <c r="A37" s="15" t="s">
        <v>120</v>
      </c>
      <c r="B37" s="75" t="s">
        <v>404</v>
      </c>
      <c r="C37" s="39" t="s">
        <v>255</v>
      </c>
      <c r="D37" s="39">
        <v>15</v>
      </c>
      <c r="E37" s="39"/>
      <c r="F37" s="39">
        <v>15</v>
      </c>
      <c r="G37" s="39"/>
      <c r="H37" s="41">
        <f>SUM(Tabla1324[[#This Row],[PRIMER TRIMESTRE]:[CUARTO TRIMESTRE]])</f>
        <v>30</v>
      </c>
      <c r="I37" s="17">
        <v>29.5</v>
      </c>
      <c r="J37" s="17">
        <f t="shared" si="0"/>
        <v>885</v>
      </c>
      <c r="K37" s="17"/>
      <c r="L37" s="16" t="s">
        <v>27</v>
      </c>
      <c r="M37" s="16" t="s">
        <v>22</v>
      </c>
      <c r="N37" s="39" t="s">
        <v>418</v>
      </c>
    </row>
    <row r="38" spans="1:14" s="12" customFormat="1">
      <c r="A38" s="15" t="s">
        <v>120</v>
      </c>
      <c r="B38" s="75" t="s">
        <v>254</v>
      </c>
      <c r="C38" s="39" t="s">
        <v>417</v>
      </c>
      <c r="D38" s="39">
        <v>25</v>
      </c>
      <c r="E38" s="39"/>
      <c r="F38" s="39">
        <v>25</v>
      </c>
      <c r="G38" s="39"/>
      <c r="H38" s="41">
        <f>SUM(Tabla1324[[#This Row],[PRIMER TRIMESTRE]:[CUARTO TRIMESTRE]])</f>
        <v>50</v>
      </c>
      <c r="I38" s="17">
        <v>12</v>
      </c>
      <c r="J38" s="17">
        <f t="shared" si="0"/>
        <v>600</v>
      </c>
      <c r="K38" s="17"/>
      <c r="L38" s="16" t="s">
        <v>27</v>
      </c>
      <c r="M38" s="16" t="s">
        <v>22</v>
      </c>
      <c r="N38" s="39" t="s">
        <v>418</v>
      </c>
    </row>
    <row r="39" spans="1:14" s="12" customFormat="1" ht="40.5" customHeight="1">
      <c r="A39" s="15" t="s">
        <v>120</v>
      </c>
      <c r="B39" s="75" t="s">
        <v>394</v>
      </c>
      <c r="C39" s="39" t="s">
        <v>208</v>
      </c>
      <c r="D39" s="39"/>
      <c r="E39" s="39">
        <v>25</v>
      </c>
      <c r="F39" s="39"/>
      <c r="G39" s="39">
        <v>25</v>
      </c>
      <c r="H39" s="41">
        <f>SUM(Tabla1324[[#This Row],[PRIMER TRIMESTRE]:[CUARTO TRIMESTRE]])</f>
        <v>50</v>
      </c>
      <c r="I39" s="17">
        <v>69.599999999999994</v>
      </c>
      <c r="J39" s="17">
        <f t="shared" si="0"/>
        <v>3479.9999999999995</v>
      </c>
      <c r="K39" s="17"/>
      <c r="L39" s="16" t="s">
        <v>27</v>
      </c>
      <c r="M39" s="16" t="s">
        <v>22</v>
      </c>
      <c r="N39" s="39" t="s">
        <v>418</v>
      </c>
    </row>
    <row r="40" spans="1:14" s="12" customFormat="1">
      <c r="A40" s="15" t="s">
        <v>120</v>
      </c>
      <c r="B40" s="75" t="s">
        <v>408</v>
      </c>
      <c r="C40" s="39" t="s">
        <v>417</v>
      </c>
      <c r="D40" s="39">
        <v>15</v>
      </c>
      <c r="E40" s="39"/>
      <c r="F40" s="39">
        <v>15</v>
      </c>
      <c r="G40" s="39"/>
      <c r="H40" s="41">
        <f>SUM(Tabla1324[[#This Row],[PRIMER TRIMESTRE]:[CUARTO TRIMESTRE]])</f>
        <v>30</v>
      </c>
      <c r="I40" s="17">
        <v>43.7</v>
      </c>
      <c r="J40" s="17">
        <f t="shared" si="0"/>
        <v>1311</v>
      </c>
      <c r="K40" s="17"/>
      <c r="L40" s="16" t="s">
        <v>27</v>
      </c>
      <c r="M40" s="16" t="s">
        <v>22</v>
      </c>
      <c r="N40" s="39" t="s">
        <v>418</v>
      </c>
    </row>
    <row r="41" spans="1:14" s="12" customFormat="1">
      <c r="A41" s="15" t="s">
        <v>120</v>
      </c>
      <c r="B41" s="75" t="s">
        <v>409</v>
      </c>
      <c r="C41" s="39" t="s">
        <v>417</v>
      </c>
      <c r="D41" s="39"/>
      <c r="E41" s="39">
        <v>20</v>
      </c>
      <c r="F41" s="39"/>
      <c r="G41" s="39">
        <v>20</v>
      </c>
      <c r="H41" s="41">
        <f>SUM(Tabla1324[[#This Row],[PRIMER TRIMESTRE]:[CUARTO TRIMESTRE]])</f>
        <v>40</v>
      </c>
      <c r="I41" s="17">
        <v>15.21</v>
      </c>
      <c r="J41" s="17">
        <f t="shared" si="0"/>
        <v>608.40000000000009</v>
      </c>
      <c r="K41" s="17"/>
      <c r="L41" s="16" t="s">
        <v>27</v>
      </c>
      <c r="M41" s="16" t="s">
        <v>22</v>
      </c>
      <c r="N41" s="39" t="s">
        <v>418</v>
      </c>
    </row>
    <row r="42" spans="1:14" s="12" customFormat="1">
      <c r="A42" s="15" t="s">
        <v>120</v>
      </c>
      <c r="B42" s="75" t="s">
        <v>265</v>
      </c>
      <c r="C42" s="39" t="s">
        <v>17</v>
      </c>
      <c r="D42" s="39"/>
      <c r="E42" s="39">
        <v>10</v>
      </c>
      <c r="F42" s="39"/>
      <c r="G42" s="39">
        <v>10</v>
      </c>
      <c r="H42" s="41">
        <f>SUM(Tabla1324[[#This Row],[PRIMER TRIMESTRE]:[CUARTO TRIMESTRE]])</f>
        <v>20</v>
      </c>
      <c r="I42" s="17">
        <v>185.6</v>
      </c>
      <c r="J42" s="17">
        <f>+Tabla1324[[#This Row],[CANTIDAD TOTAL]]*Tabla1324[[#This Row],[PRECIO UNITARIO ESTIMADO]]</f>
        <v>3712</v>
      </c>
      <c r="K42" s="17"/>
      <c r="L42" s="16" t="s">
        <v>27</v>
      </c>
      <c r="M42" s="16" t="s">
        <v>22</v>
      </c>
      <c r="N42" s="39" t="s">
        <v>418</v>
      </c>
    </row>
    <row r="43" spans="1:14" s="12" customFormat="1">
      <c r="A43" s="15" t="s">
        <v>752</v>
      </c>
      <c r="B43" s="75" t="s">
        <v>754</v>
      </c>
      <c r="C43" s="39" t="s">
        <v>17</v>
      </c>
      <c r="D43" s="39"/>
      <c r="E43" s="39">
        <v>10</v>
      </c>
      <c r="F43" s="39"/>
      <c r="G43" s="39">
        <v>10</v>
      </c>
      <c r="H43" s="41">
        <f>SUM(Tabla1324[[#This Row],[PRIMER TRIMESTRE]:[CUARTO TRIMESTRE]])</f>
        <v>20</v>
      </c>
      <c r="I43" s="17">
        <v>15.54</v>
      </c>
      <c r="J43" s="17">
        <f>+H43*I43</f>
        <v>310.79999999999995</v>
      </c>
      <c r="K43" s="17"/>
      <c r="L43" s="16" t="s">
        <v>27</v>
      </c>
      <c r="M43" s="16" t="s">
        <v>22</v>
      </c>
      <c r="N43" s="39" t="s">
        <v>418</v>
      </c>
    </row>
    <row r="44" spans="1:14" s="12" customFormat="1">
      <c r="A44" s="15" t="s">
        <v>753</v>
      </c>
      <c r="B44" s="75" t="s">
        <v>755</v>
      </c>
      <c r="C44" s="39" t="s">
        <v>17</v>
      </c>
      <c r="D44" s="39"/>
      <c r="E44" s="39">
        <v>5</v>
      </c>
      <c r="F44" s="39"/>
      <c r="G44" s="39">
        <v>5</v>
      </c>
      <c r="H44" s="41">
        <f>SUM(Tabla1324[[#This Row],[PRIMER TRIMESTRE]:[CUARTO TRIMESTRE]])</f>
        <v>10</v>
      </c>
      <c r="I44" s="17">
        <v>15.54</v>
      </c>
      <c r="J44" s="17">
        <f>+H44*I44</f>
        <v>155.39999999999998</v>
      </c>
      <c r="K44" s="17"/>
      <c r="L44" s="16" t="s">
        <v>27</v>
      </c>
      <c r="M44" s="16" t="s">
        <v>22</v>
      </c>
      <c r="N44" s="39" t="s">
        <v>418</v>
      </c>
    </row>
    <row r="45" spans="1:14" s="12" customFormat="1">
      <c r="A45" s="15" t="s">
        <v>120</v>
      </c>
      <c r="B45" s="75" t="s">
        <v>390</v>
      </c>
      <c r="C45" s="39" t="s">
        <v>266</v>
      </c>
      <c r="D45" s="39">
        <v>340</v>
      </c>
      <c r="E45" s="39"/>
      <c r="F45" s="39">
        <v>340</v>
      </c>
      <c r="G45" s="39"/>
      <c r="H45" s="41">
        <f>SUM(Tabla1324[[#This Row],[PRIMER TRIMESTRE]:[CUARTO TRIMESTRE]])</f>
        <v>680</v>
      </c>
      <c r="I45" s="17">
        <v>145.13999999999999</v>
      </c>
      <c r="J45" s="17">
        <f>+H45*I45</f>
        <v>98695.2</v>
      </c>
      <c r="K45" s="17"/>
      <c r="L45" s="16" t="s">
        <v>27</v>
      </c>
      <c r="M45" s="16" t="s">
        <v>22</v>
      </c>
      <c r="N45" s="39" t="s">
        <v>418</v>
      </c>
    </row>
    <row r="46" spans="1:14" s="12" customFormat="1">
      <c r="A46" s="15" t="s">
        <v>120</v>
      </c>
      <c r="B46" s="75" t="s">
        <v>391</v>
      </c>
      <c r="C46" s="39" t="s">
        <v>415</v>
      </c>
      <c r="D46" s="39">
        <v>75</v>
      </c>
      <c r="E46" s="39"/>
      <c r="F46" s="39">
        <v>75</v>
      </c>
      <c r="G46" s="39"/>
      <c r="H46" s="41">
        <f>SUM(Tabla1324[[#This Row],[PRIMER TRIMESTRE]:[CUARTO TRIMESTRE]])</f>
        <v>150</v>
      </c>
      <c r="I46" s="17">
        <v>214.76</v>
      </c>
      <c r="J46" s="17">
        <f>+H46*I46</f>
        <v>32214</v>
      </c>
      <c r="K46" s="17"/>
      <c r="L46" s="16" t="s">
        <v>27</v>
      </c>
      <c r="M46" s="16" t="s">
        <v>22</v>
      </c>
      <c r="N46" s="39" t="s">
        <v>418</v>
      </c>
    </row>
    <row r="47" spans="1:14" s="12" customFormat="1">
      <c r="A47" s="15" t="s">
        <v>120</v>
      </c>
      <c r="B47" s="75" t="s">
        <v>267</v>
      </c>
      <c r="C47" s="39" t="s">
        <v>102</v>
      </c>
      <c r="D47" s="39">
        <v>10</v>
      </c>
      <c r="E47" s="39"/>
      <c r="F47" s="39">
        <v>10</v>
      </c>
      <c r="G47" s="39"/>
      <c r="H47" s="41">
        <f>SUM(Tabla1324[[#This Row],[PRIMER TRIMESTRE]:[CUARTO TRIMESTRE]])</f>
        <v>20</v>
      </c>
      <c r="I47" s="17">
        <v>1063.19</v>
      </c>
      <c r="J47" s="17">
        <f>+Tabla1324[[#This Row],[CANTIDAD TOTAL]]*Tabla1324[[#This Row],[PRECIO UNITARIO ESTIMADO]]</f>
        <v>21263.800000000003</v>
      </c>
      <c r="K47" s="17"/>
      <c r="L47" s="16" t="s">
        <v>27</v>
      </c>
      <c r="M47" s="16" t="s">
        <v>22</v>
      </c>
      <c r="N47" s="39" t="s">
        <v>418</v>
      </c>
    </row>
    <row r="48" spans="1:14" s="12" customFormat="1">
      <c r="A48" s="15" t="s">
        <v>120</v>
      </c>
      <c r="B48" s="75" t="s">
        <v>1920</v>
      </c>
      <c r="C48" s="39" t="s">
        <v>102</v>
      </c>
      <c r="D48" s="39">
        <v>10</v>
      </c>
      <c r="E48" s="39">
        <v>10</v>
      </c>
      <c r="F48" s="39">
        <v>10</v>
      </c>
      <c r="G48" s="39"/>
      <c r="H48" s="41">
        <f>SUM(Tabla1324[[#This Row],[PRIMER TRIMESTRE]:[CUARTO TRIMESTRE]])</f>
        <v>30</v>
      </c>
      <c r="I48" s="17">
        <v>1700</v>
      </c>
      <c r="J48" s="17">
        <f>+Tabla1324[[#This Row],[CANTIDAD TOTAL]]*Tabla1324[[#This Row],[PRECIO UNITARIO ESTIMADO]]</f>
        <v>51000</v>
      </c>
      <c r="K48" s="17"/>
      <c r="L48" s="16" t="s">
        <v>27</v>
      </c>
      <c r="M48" s="16" t="s">
        <v>22</v>
      </c>
      <c r="N48" s="39" t="s">
        <v>418</v>
      </c>
    </row>
    <row r="49" spans="1:14" s="12" customFormat="1">
      <c r="A49" s="15" t="s">
        <v>120</v>
      </c>
      <c r="B49" s="75" t="s">
        <v>269</v>
      </c>
      <c r="C49" s="39" t="s">
        <v>266</v>
      </c>
      <c r="D49" s="39">
        <v>10</v>
      </c>
      <c r="E49" s="39"/>
      <c r="F49" s="39">
        <v>10</v>
      </c>
      <c r="G49" s="39"/>
      <c r="H49" s="41">
        <f>SUM(Tabla1324[[#This Row],[PRIMER TRIMESTRE]:[CUARTO TRIMESTRE]])</f>
        <v>20</v>
      </c>
      <c r="I49" s="17">
        <v>2552</v>
      </c>
      <c r="J49" s="17">
        <f>+Tabla1324[[#This Row],[CANTIDAD TOTAL]]*Tabla1324[[#This Row],[PRECIO UNITARIO ESTIMADO]]</f>
        <v>51040</v>
      </c>
      <c r="K49" s="17"/>
      <c r="L49" s="16" t="s">
        <v>27</v>
      </c>
      <c r="M49" s="16" t="s">
        <v>22</v>
      </c>
      <c r="N49" s="39" t="s">
        <v>418</v>
      </c>
    </row>
    <row r="50" spans="1:14" s="12" customFormat="1">
      <c r="A50" s="15" t="s">
        <v>120</v>
      </c>
      <c r="B50" s="75" t="s">
        <v>410</v>
      </c>
      <c r="C50" s="39" t="s">
        <v>417</v>
      </c>
      <c r="D50" s="39">
        <v>40</v>
      </c>
      <c r="E50" s="39"/>
      <c r="F50" s="39">
        <v>40</v>
      </c>
      <c r="G50" s="39"/>
      <c r="H50" s="41">
        <f>SUM(Tabla1324[[#This Row],[PRIMER TRIMESTRE]:[CUARTO TRIMESTRE]])</f>
        <v>80</v>
      </c>
      <c r="I50" s="17">
        <v>10</v>
      </c>
      <c r="J50" s="17">
        <f>+H50*I50</f>
        <v>800</v>
      </c>
      <c r="K50" s="17"/>
      <c r="L50" s="16" t="s">
        <v>27</v>
      </c>
      <c r="M50" s="16" t="s">
        <v>22</v>
      </c>
      <c r="N50" s="39" t="s">
        <v>418</v>
      </c>
    </row>
    <row r="51" spans="1:14" s="12" customFormat="1">
      <c r="A51" s="15" t="s">
        <v>120</v>
      </c>
      <c r="B51" s="75" t="s">
        <v>411</v>
      </c>
      <c r="C51" s="39" t="s">
        <v>417</v>
      </c>
      <c r="D51" s="39">
        <v>40</v>
      </c>
      <c r="E51" s="39"/>
      <c r="F51" s="39">
        <v>40</v>
      </c>
      <c r="G51" s="39"/>
      <c r="H51" s="41">
        <f>SUM(Tabla1324[[#This Row],[PRIMER TRIMESTRE]:[CUARTO TRIMESTRE]])</f>
        <v>80</v>
      </c>
      <c r="I51" s="17">
        <v>14.37</v>
      </c>
      <c r="J51" s="17">
        <f>+H51*I51</f>
        <v>1149.5999999999999</v>
      </c>
      <c r="K51" s="17"/>
      <c r="L51" s="16" t="s">
        <v>27</v>
      </c>
      <c r="M51" s="16" t="s">
        <v>22</v>
      </c>
      <c r="N51" s="39" t="s">
        <v>418</v>
      </c>
    </row>
    <row r="52" spans="1:14" s="12" customFormat="1">
      <c r="A52" s="15" t="s">
        <v>120</v>
      </c>
      <c r="B52" s="75" t="s">
        <v>412</v>
      </c>
      <c r="C52" s="39" t="s">
        <v>417</v>
      </c>
      <c r="D52" s="39"/>
      <c r="E52" s="39">
        <v>25</v>
      </c>
      <c r="F52" s="39"/>
      <c r="G52" s="39">
        <v>30</v>
      </c>
      <c r="H52" s="41">
        <f>SUM(Tabla1324[[#This Row],[PRIMER TRIMESTRE]:[CUARTO TRIMESTRE]])</f>
        <v>55</v>
      </c>
      <c r="I52" s="17">
        <v>24.79</v>
      </c>
      <c r="J52" s="17">
        <f>+H52*I52</f>
        <v>1363.45</v>
      </c>
      <c r="K52" s="17"/>
      <c r="L52" s="16" t="s">
        <v>27</v>
      </c>
      <c r="M52" s="16" t="s">
        <v>22</v>
      </c>
      <c r="N52" s="39" t="s">
        <v>418</v>
      </c>
    </row>
    <row r="53" spans="1:14" s="12" customFormat="1">
      <c r="A53" s="15" t="s">
        <v>120</v>
      </c>
      <c r="B53" s="75" t="s">
        <v>270</v>
      </c>
      <c r="C53" s="39" t="s">
        <v>17</v>
      </c>
      <c r="D53" s="39"/>
      <c r="E53" s="39">
        <v>30</v>
      </c>
      <c r="F53" s="39"/>
      <c r="G53" s="39">
        <v>30</v>
      </c>
      <c r="H53" s="41">
        <f>SUM(Tabla1324[[#This Row],[PRIMER TRIMESTRE]:[CUARTO TRIMESTRE]])</f>
        <v>60</v>
      </c>
      <c r="I53" s="17">
        <v>9.2799999999999994</v>
      </c>
      <c r="J53" s="17">
        <f>+Tabla1324[[#This Row],[CANTIDAD TOTAL]]*Tabla1324[[#This Row],[PRECIO UNITARIO ESTIMADO]]</f>
        <v>556.79999999999995</v>
      </c>
      <c r="K53" s="17"/>
      <c r="L53" s="16" t="s">
        <v>27</v>
      </c>
      <c r="M53" s="16" t="s">
        <v>22</v>
      </c>
      <c r="N53" s="39" t="s">
        <v>418</v>
      </c>
    </row>
    <row r="54" spans="1:14" s="12" customFormat="1">
      <c r="A54" s="15" t="s">
        <v>120</v>
      </c>
      <c r="B54" s="75" t="s">
        <v>405</v>
      </c>
      <c r="C54" s="39" t="s">
        <v>17</v>
      </c>
      <c r="D54" s="39">
        <v>30</v>
      </c>
      <c r="E54" s="39"/>
      <c r="F54" s="39">
        <v>30</v>
      </c>
      <c r="G54" s="39"/>
      <c r="H54" s="41">
        <f>SUM(Tabla1324[[#This Row],[PRIMER TRIMESTRE]:[CUARTO TRIMESTRE]])</f>
        <v>60</v>
      </c>
      <c r="I54" s="17">
        <v>11.21</v>
      </c>
      <c r="J54" s="17">
        <f>+H54*I54</f>
        <v>672.6</v>
      </c>
      <c r="K54" s="17"/>
      <c r="L54" s="16" t="s">
        <v>27</v>
      </c>
      <c r="M54" s="16" t="s">
        <v>22</v>
      </c>
      <c r="N54" s="39" t="s">
        <v>418</v>
      </c>
    </row>
    <row r="55" spans="1:14" s="12" customFormat="1">
      <c r="A55" s="15" t="s">
        <v>120</v>
      </c>
      <c r="B55" s="75" t="s">
        <v>406</v>
      </c>
      <c r="C55" s="39" t="s">
        <v>17</v>
      </c>
      <c r="D55" s="39"/>
      <c r="E55" s="39">
        <v>30</v>
      </c>
      <c r="F55" s="39"/>
      <c r="G55" s="39">
        <v>30</v>
      </c>
      <c r="H55" s="41">
        <f>SUM(Tabla1324[[#This Row],[PRIMER TRIMESTRE]:[CUARTO TRIMESTRE]])</f>
        <v>60</v>
      </c>
      <c r="I55" s="17">
        <v>10.56</v>
      </c>
      <c r="J55" s="17">
        <f>+H55*I55</f>
        <v>633.6</v>
      </c>
      <c r="K55" s="17"/>
      <c r="L55" s="16" t="s">
        <v>27</v>
      </c>
      <c r="M55" s="16" t="s">
        <v>22</v>
      </c>
      <c r="N55" s="39" t="s">
        <v>418</v>
      </c>
    </row>
    <row r="56" spans="1:14" s="12" customFormat="1">
      <c r="A56" s="15" t="s">
        <v>120</v>
      </c>
      <c r="B56" s="75" t="s">
        <v>407</v>
      </c>
      <c r="C56" s="39" t="s">
        <v>17</v>
      </c>
      <c r="D56" s="39">
        <v>30</v>
      </c>
      <c r="E56" s="39"/>
      <c r="F56" s="39">
        <v>30</v>
      </c>
      <c r="G56" s="39"/>
      <c r="H56" s="41">
        <f>SUM(Tabla1324[[#This Row],[PRIMER TRIMESTRE]:[CUARTO TRIMESTRE]])</f>
        <v>60</v>
      </c>
      <c r="I56" s="17">
        <v>11.21</v>
      </c>
      <c r="J56" s="17">
        <f>+H56*I56</f>
        <v>672.6</v>
      </c>
      <c r="K56" s="17"/>
      <c r="L56" s="16" t="s">
        <v>27</v>
      </c>
      <c r="M56" s="16" t="s">
        <v>22</v>
      </c>
      <c r="N56" s="39" t="s">
        <v>418</v>
      </c>
    </row>
    <row r="57" spans="1:14" s="12" customFormat="1">
      <c r="A57" s="15" t="s">
        <v>120</v>
      </c>
      <c r="B57" s="75" t="s">
        <v>742</v>
      </c>
      <c r="C57" s="39" t="s">
        <v>17</v>
      </c>
      <c r="D57" s="39"/>
      <c r="E57" s="39">
        <v>100</v>
      </c>
      <c r="F57" s="39"/>
      <c r="G57" s="39">
        <v>100</v>
      </c>
      <c r="H57" s="41">
        <f>SUM(Tabla1324[[#This Row],[PRIMER TRIMESTRE]:[CUARTO TRIMESTRE]])</f>
        <v>200</v>
      </c>
      <c r="I57" s="17">
        <v>53.1</v>
      </c>
      <c r="J57" s="17">
        <f>+Tabla1324[[#This Row],[CANTIDAD TOTAL]]*Tabla1324[[#This Row],[PRECIO UNITARIO ESTIMADO]]</f>
        <v>10620</v>
      </c>
      <c r="K57" s="17"/>
      <c r="L57" s="16" t="s">
        <v>27</v>
      </c>
      <c r="M57" s="16" t="s">
        <v>22</v>
      </c>
      <c r="N57" s="39" t="s">
        <v>418</v>
      </c>
    </row>
    <row r="58" spans="1:14" s="12" customFormat="1">
      <c r="A58" s="15" t="s">
        <v>120</v>
      </c>
      <c r="B58" s="75" t="s">
        <v>271</v>
      </c>
      <c r="C58" s="39" t="s">
        <v>17</v>
      </c>
      <c r="D58" s="39"/>
      <c r="E58" s="39">
        <v>30</v>
      </c>
      <c r="F58" s="39"/>
      <c r="G58" s="39">
        <v>30</v>
      </c>
      <c r="H58" s="41">
        <f>SUM(Tabla1324[[#This Row],[PRIMER TRIMESTRE]:[CUARTO TRIMESTRE]])</f>
        <v>60</v>
      </c>
      <c r="I58" s="17">
        <v>18.399999999999999</v>
      </c>
      <c r="J58" s="17">
        <f>+H58*I58</f>
        <v>1104</v>
      </c>
      <c r="K58" s="17"/>
      <c r="L58" s="16" t="s">
        <v>27</v>
      </c>
      <c r="M58" s="16" t="s">
        <v>22</v>
      </c>
      <c r="N58" s="39" t="s">
        <v>418</v>
      </c>
    </row>
    <row r="59" spans="1:14" s="12" customFormat="1">
      <c r="A59" s="15" t="s">
        <v>120</v>
      </c>
      <c r="B59" s="75" t="s">
        <v>757</v>
      </c>
      <c r="C59" s="39" t="s">
        <v>17</v>
      </c>
      <c r="D59" s="39"/>
      <c r="E59" s="39">
        <v>30</v>
      </c>
      <c r="F59" s="39"/>
      <c r="G59" s="39">
        <v>30</v>
      </c>
      <c r="H59" s="41">
        <f>SUM(Tabla1324[[#This Row],[PRIMER TRIMESTRE]:[CUARTO TRIMESTRE]])</f>
        <v>60</v>
      </c>
      <c r="I59" s="17">
        <v>12.92</v>
      </c>
      <c r="J59" s="17">
        <f>+H59*I59</f>
        <v>775.2</v>
      </c>
      <c r="K59" s="17"/>
      <c r="L59" s="16" t="s">
        <v>27</v>
      </c>
      <c r="M59" s="16" t="s">
        <v>22</v>
      </c>
      <c r="N59" s="39" t="s">
        <v>418</v>
      </c>
    </row>
    <row r="60" spans="1:14" s="12" customFormat="1">
      <c r="A60" s="15" t="s">
        <v>120</v>
      </c>
      <c r="B60" s="75" t="s">
        <v>784</v>
      </c>
      <c r="C60" s="39" t="s">
        <v>17</v>
      </c>
      <c r="D60" s="39"/>
      <c r="E60" s="39">
        <v>50</v>
      </c>
      <c r="F60" s="39"/>
      <c r="G60" s="39">
        <v>50</v>
      </c>
      <c r="H60" s="41">
        <f>SUM(Tabla1324[[#This Row],[PRIMER TRIMESTRE]:[CUARTO TRIMESTRE]])</f>
        <v>100</v>
      </c>
      <c r="I60" s="72">
        <f>20*1.18</f>
        <v>23.599999999999998</v>
      </c>
      <c r="J60" s="17">
        <f>+H60*I60</f>
        <v>2360</v>
      </c>
      <c r="K60" s="17"/>
      <c r="L60" s="16" t="s">
        <v>27</v>
      </c>
      <c r="M60" s="16" t="s">
        <v>22</v>
      </c>
      <c r="N60" s="39" t="s">
        <v>418</v>
      </c>
    </row>
    <row r="61" spans="1:14" s="12" customFormat="1">
      <c r="A61" s="15" t="s">
        <v>120</v>
      </c>
      <c r="B61" s="75" t="s">
        <v>785</v>
      </c>
      <c r="C61" s="39" t="s">
        <v>17</v>
      </c>
      <c r="D61" s="39"/>
      <c r="E61" s="39">
        <v>100</v>
      </c>
      <c r="F61" s="39"/>
      <c r="G61" s="39">
        <v>100</v>
      </c>
      <c r="H61" s="41">
        <f>SUM(Tabla1324[[#This Row],[PRIMER TRIMESTRE]:[CUARTO TRIMESTRE]])</f>
        <v>200</v>
      </c>
      <c r="I61" s="72">
        <f>4*1.18</f>
        <v>4.72</v>
      </c>
      <c r="J61" s="17">
        <f>+H61*I61</f>
        <v>944</v>
      </c>
      <c r="K61" s="17"/>
      <c r="L61" s="16" t="s">
        <v>27</v>
      </c>
      <c r="M61" s="16" t="s">
        <v>22</v>
      </c>
      <c r="N61" s="39" t="s">
        <v>418</v>
      </c>
    </row>
    <row r="62" spans="1:14" s="12" customFormat="1" ht="25.5">
      <c r="A62" s="15" t="s">
        <v>120</v>
      </c>
      <c r="B62" s="79" t="s">
        <v>1921</v>
      </c>
      <c r="C62" s="39" t="s">
        <v>417</v>
      </c>
      <c r="D62" s="39">
        <v>9</v>
      </c>
      <c r="E62" s="39"/>
      <c r="F62" s="39">
        <v>9</v>
      </c>
      <c r="G62" s="39"/>
      <c r="H62" s="41">
        <f>SUM(Tabla1324[[#This Row],[PRIMER TRIMESTRE]:[CUARTO TRIMESTRE]])</f>
        <v>18</v>
      </c>
      <c r="I62" s="17">
        <v>2200</v>
      </c>
      <c r="J62" s="17">
        <f t="shared" ref="J62:J75" si="1">+H62*I62</f>
        <v>39600</v>
      </c>
      <c r="K62" s="17"/>
      <c r="L62" s="16" t="s">
        <v>27</v>
      </c>
      <c r="M62" s="16" t="s">
        <v>22</v>
      </c>
      <c r="N62" s="39" t="s">
        <v>418</v>
      </c>
    </row>
    <row r="63" spans="1:14" s="12" customFormat="1" ht="25.5">
      <c r="A63" s="15" t="s">
        <v>120</v>
      </c>
      <c r="B63" s="79" t="s">
        <v>1922</v>
      </c>
      <c r="C63" s="39" t="s">
        <v>417</v>
      </c>
      <c r="D63" s="39">
        <v>9</v>
      </c>
      <c r="E63" s="39"/>
      <c r="F63" s="39">
        <v>9</v>
      </c>
      <c r="G63" s="39"/>
      <c r="H63" s="41">
        <f>SUM(Tabla1324[[#This Row],[PRIMER TRIMESTRE]:[CUARTO TRIMESTRE]])</f>
        <v>18</v>
      </c>
      <c r="I63" s="17">
        <v>2200</v>
      </c>
      <c r="J63" s="17">
        <f t="shared" si="1"/>
        <v>39600</v>
      </c>
      <c r="K63" s="17"/>
      <c r="L63" s="16" t="s">
        <v>27</v>
      </c>
      <c r="M63" s="16" t="s">
        <v>22</v>
      </c>
      <c r="N63" s="39" t="s">
        <v>418</v>
      </c>
    </row>
    <row r="64" spans="1:14" s="12" customFormat="1" ht="25.5">
      <c r="A64" s="15" t="s">
        <v>120</v>
      </c>
      <c r="B64" s="79" t="s">
        <v>1923</v>
      </c>
      <c r="C64" s="39" t="s">
        <v>417</v>
      </c>
      <c r="D64" s="39">
        <v>9</v>
      </c>
      <c r="E64" s="39"/>
      <c r="F64" s="39">
        <v>9</v>
      </c>
      <c r="G64" s="39"/>
      <c r="H64" s="41">
        <f>SUM(Tabla1324[[#This Row],[PRIMER TRIMESTRE]:[CUARTO TRIMESTRE]])</f>
        <v>18</v>
      </c>
      <c r="I64" s="17">
        <v>2230</v>
      </c>
      <c r="J64" s="17">
        <f t="shared" si="1"/>
        <v>40140</v>
      </c>
      <c r="K64" s="17"/>
      <c r="L64" s="16" t="s">
        <v>27</v>
      </c>
      <c r="M64" s="16" t="s">
        <v>22</v>
      </c>
      <c r="N64" s="39" t="s">
        <v>418</v>
      </c>
    </row>
    <row r="65" spans="1:20" s="12" customFormat="1" ht="25.5">
      <c r="A65" s="15" t="s">
        <v>120</v>
      </c>
      <c r="B65" s="79" t="s">
        <v>1924</v>
      </c>
      <c r="C65" s="39" t="s">
        <v>417</v>
      </c>
      <c r="D65" s="39">
        <v>9</v>
      </c>
      <c r="E65" s="39"/>
      <c r="F65" s="39">
        <v>9</v>
      </c>
      <c r="G65" s="39"/>
      <c r="H65" s="41">
        <f>SUM(Tabla1324[[#This Row],[PRIMER TRIMESTRE]:[CUARTO TRIMESTRE]])</f>
        <v>18</v>
      </c>
      <c r="I65" s="17">
        <v>2200</v>
      </c>
      <c r="J65" s="17">
        <f t="shared" si="1"/>
        <v>39600</v>
      </c>
      <c r="K65" s="17"/>
      <c r="L65" s="16" t="s">
        <v>27</v>
      </c>
      <c r="M65" s="16" t="s">
        <v>22</v>
      </c>
      <c r="N65" s="39" t="s">
        <v>418</v>
      </c>
    </row>
    <row r="66" spans="1:20" s="12" customFormat="1" ht="25.5">
      <c r="A66" s="15" t="s">
        <v>120</v>
      </c>
      <c r="B66" s="79" t="s">
        <v>1925</v>
      </c>
      <c r="C66" s="39" t="s">
        <v>417</v>
      </c>
      <c r="D66" s="39">
        <v>9</v>
      </c>
      <c r="E66" s="39"/>
      <c r="F66" s="39">
        <v>9</v>
      </c>
      <c r="G66" s="39"/>
      <c r="H66" s="41">
        <f>SUM(Tabla1324[[#This Row],[PRIMER TRIMESTRE]:[CUARTO TRIMESTRE]])</f>
        <v>18</v>
      </c>
      <c r="I66" s="17">
        <v>2200</v>
      </c>
      <c r="J66" s="17">
        <f t="shared" si="1"/>
        <v>39600</v>
      </c>
      <c r="K66" s="17"/>
      <c r="L66" s="16" t="s">
        <v>27</v>
      </c>
      <c r="M66" s="16" t="s">
        <v>22</v>
      </c>
      <c r="N66" s="39" t="s">
        <v>418</v>
      </c>
    </row>
    <row r="67" spans="1:20" s="12" customFormat="1" ht="25.5">
      <c r="A67" s="15" t="s">
        <v>120</v>
      </c>
      <c r="B67" s="79" t="s">
        <v>1926</v>
      </c>
      <c r="C67" s="39" t="s">
        <v>417</v>
      </c>
      <c r="D67" s="39">
        <v>9</v>
      </c>
      <c r="E67" s="39"/>
      <c r="F67" s="39">
        <v>9</v>
      </c>
      <c r="G67" s="39"/>
      <c r="H67" s="41">
        <f>SUM(Tabla1324[[#This Row],[PRIMER TRIMESTRE]:[CUARTO TRIMESTRE]])</f>
        <v>18</v>
      </c>
      <c r="I67" s="17">
        <v>3200</v>
      </c>
      <c r="J67" s="17">
        <f t="shared" si="1"/>
        <v>57600</v>
      </c>
      <c r="K67" s="17"/>
      <c r="L67" s="16" t="s">
        <v>27</v>
      </c>
      <c r="M67" s="16" t="s">
        <v>22</v>
      </c>
      <c r="N67" s="39" t="s">
        <v>418</v>
      </c>
    </row>
    <row r="68" spans="1:20" s="12" customFormat="1">
      <c r="A68" s="15" t="s">
        <v>120</v>
      </c>
      <c r="B68" s="78" t="s">
        <v>507</v>
      </c>
      <c r="C68" s="39" t="s">
        <v>417</v>
      </c>
      <c r="D68" s="39"/>
      <c r="E68" s="39">
        <v>4</v>
      </c>
      <c r="F68" s="39"/>
      <c r="G68" s="39">
        <v>4</v>
      </c>
      <c r="H68" s="41">
        <f>SUM(Tabla1324[[#This Row],[PRIMER TRIMESTRE]:[CUARTO TRIMESTRE]])</f>
        <v>8</v>
      </c>
      <c r="I68" s="17">
        <v>2800</v>
      </c>
      <c r="J68" s="17">
        <f t="shared" si="1"/>
        <v>22400</v>
      </c>
      <c r="K68" s="17"/>
      <c r="L68" s="16" t="s">
        <v>27</v>
      </c>
      <c r="M68" s="16" t="s">
        <v>22</v>
      </c>
      <c r="N68" s="39" t="s">
        <v>418</v>
      </c>
    </row>
    <row r="69" spans="1:20" s="12" customFormat="1">
      <c r="A69" s="15" t="s">
        <v>120</v>
      </c>
      <c r="B69" s="80" t="s">
        <v>790</v>
      </c>
      <c r="C69" s="39" t="s">
        <v>417</v>
      </c>
      <c r="D69" s="39">
        <v>4</v>
      </c>
      <c r="E69" s="70"/>
      <c r="F69" s="70">
        <v>4</v>
      </c>
      <c r="G69" s="70"/>
      <c r="H69" s="41">
        <f>SUM(Tabla1324[[#This Row],[PRIMER TRIMESTRE]:[CUARTO TRIMESTRE]])</f>
        <v>8</v>
      </c>
      <c r="I69" s="72">
        <v>3760.11</v>
      </c>
      <c r="J69" s="17">
        <f t="shared" si="1"/>
        <v>30080.880000000001</v>
      </c>
      <c r="K69" s="17"/>
      <c r="L69" s="16" t="s">
        <v>27</v>
      </c>
      <c r="M69" s="16" t="s">
        <v>22</v>
      </c>
      <c r="N69" s="39" t="s">
        <v>418</v>
      </c>
    </row>
    <row r="70" spans="1:20" s="12" customFormat="1">
      <c r="A70" s="15" t="s">
        <v>120</v>
      </c>
      <c r="B70" s="78" t="s">
        <v>1927</v>
      </c>
      <c r="C70" s="39" t="s">
        <v>417</v>
      </c>
      <c r="D70" s="39">
        <v>7</v>
      </c>
      <c r="E70" s="39"/>
      <c r="F70" s="39">
        <v>7</v>
      </c>
      <c r="G70" s="39"/>
      <c r="H70" s="41">
        <f>SUM(Tabla1324[[#This Row],[PRIMER TRIMESTRE]:[CUARTO TRIMESTRE]])</f>
        <v>14</v>
      </c>
      <c r="I70" s="17">
        <v>2700</v>
      </c>
      <c r="J70" s="17">
        <f t="shared" si="1"/>
        <v>37800</v>
      </c>
      <c r="K70" s="17"/>
      <c r="L70" s="16" t="s">
        <v>27</v>
      </c>
      <c r="M70" s="16" t="s">
        <v>22</v>
      </c>
      <c r="N70" s="39" t="s">
        <v>418</v>
      </c>
    </row>
    <row r="71" spans="1:20" s="12" customFormat="1">
      <c r="A71" s="15" t="s">
        <v>120</v>
      </c>
      <c r="B71" s="79" t="s">
        <v>1928</v>
      </c>
      <c r="C71" s="39" t="s">
        <v>417</v>
      </c>
      <c r="D71" s="39">
        <v>27</v>
      </c>
      <c r="E71" s="39"/>
      <c r="F71" s="39">
        <v>28</v>
      </c>
      <c r="G71" s="39"/>
      <c r="H71" s="41">
        <f>SUM(Tabla1324[[#This Row],[PRIMER TRIMESTRE]:[CUARTO TRIMESTRE]])</f>
        <v>55</v>
      </c>
      <c r="I71" s="17">
        <v>8210.5</v>
      </c>
      <c r="J71" s="17">
        <f t="shared" si="1"/>
        <v>451577.5</v>
      </c>
      <c r="K71" s="17"/>
      <c r="L71" s="16" t="s">
        <v>27</v>
      </c>
      <c r="M71" s="16" t="s">
        <v>22</v>
      </c>
      <c r="N71" s="39" t="s">
        <v>418</v>
      </c>
    </row>
    <row r="72" spans="1:20" s="12" customFormat="1" ht="27.75" customHeight="1">
      <c r="A72" s="15" t="s">
        <v>120</v>
      </c>
      <c r="B72" s="79" t="s">
        <v>529</v>
      </c>
      <c r="C72" s="39" t="s">
        <v>417</v>
      </c>
      <c r="D72" s="39">
        <v>14</v>
      </c>
      <c r="E72" s="70"/>
      <c r="F72" s="70">
        <v>10</v>
      </c>
      <c r="G72" s="70"/>
      <c r="H72" s="71">
        <f>SUM(Tabla1324[[#This Row],[PRIMER TRIMESTRE]:[CUARTO TRIMESTRE]])</f>
        <v>24</v>
      </c>
      <c r="I72" s="17">
        <f>9750*1.18</f>
        <v>11505</v>
      </c>
      <c r="J72" s="17">
        <f t="shared" si="1"/>
        <v>276120</v>
      </c>
      <c r="K72" s="17"/>
      <c r="L72" s="16" t="s">
        <v>27</v>
      </c>
      <c r="M72" s="16" t="s">
        <v>22</v>
      </c>
      <c r="N72" s="39" t="s">
        <v>418</v>
      </c>
    </row>
    <row r="73" spans="1:20" s="12" customFormat="1" ht="27.75" customHeight="1">
      <c r="A73" s="15" t="s">
        <v>120</v>
      </c>
      <c r="B73" s="79" t="s">
        <v>530</v>
      </c>
      <c r="C73" s="39" t="s">
        <v>417</v>
      </c>
      <c r="D73" s="39">
        <v>14</v>
      </c>
      <c r="E73" s="70"/>
      <c r="F73" s="70">
        <v>10</v>
      </c>
      <c r="G73" s="70"/>
      <c r="H73" s="41">
        <f>SUM(Tabla1324[[#This Row],[PRIMER TRIMESTRE]:[CUARTO TRIMESTRE]])</f>
        <v>24</v>
      </c>
      <c r="I73" s="17">
        <v>11505</v>
      </c>
      <c r="J73" s="17">
        <f t="shared" si="1"/>
        <v>276120</v>
      </c>
      <c r="K73" s="17"/>
      <c r="L73" s="16" t="s">
        <v>27</v>
      </c>
      <c r="M73" s="16" t="s">
        <v>22</v>
      </c>
      <c r="N73" s="39" t="s">
        <v>418</v>
      </c>
    </row>
    <row r="74" spans="1:20" s="12" customFormat="1" ht="27.75" customHeight="1">
      <c r="A74" s="15" t="s">
        <v>120</v>
      </c>
      <c r="B74" s="79" t="s">
        <v>531</v>
      </c>
      <c r="C74" s="39" t="s">
        <v>417</v>
      </c>
      <c r="D74" s="39">
        <v>14</v>
      </c>
      <c r="E74" s="70"/>
      <c r="F74" s="70">
        <v>10</v>
      </c>
      <c r="G74" s="70"/>
      <c r="H74" s="41">
        <f>SUM(Tabla1324[[#This Row],[PRIMER TRIMESTRE]:[CUARTO TRIMESTRE]])</f>
        <v>24</v>
      </c>
      <c r="I74" s="17">
        <v>11505</v>
      </c>
      <c r="J74" s="17">
        <f t="shared" si="1"/>
        <v>276120</v>
      </c>
      <c r="K74" s="17"/>
      <c r="L74" s="16" t="s">
        <v>27</v>
      </c>
      <c r="M74" s="16" t="s">
        <v>22</v>
      </c>
      <c r="N74" s="39" t="s">
        <v>418</v>
      </c>
    </row>
    <row r="75" spans="1:20" s="12" customFormat="1" ht="27.75" customHeight="1">
      <c r="A75" s="15" t="s">
        <v>120</v>
      </c>
      <c r="B75" s="79" t="s">
        <v>532</v>
      </c>
      <c r="C75" s="39" t="s">
        <v>417</v>
      </c>
      <c r="D75" s="39">
        <v>14</v>
      </c>
      <c r="E75" s="70"/>
      <c r="F75" s="70">
        <v>10</v>
      </c>
      <c r="G75" s="70"/>
      <c r="H75" s="41">
        <f>SUM(Tabla1324[[#This Row],[PRIMER TRIMESTRE]:[CUARTO TRIMESTRE]])</f>
        <v>24</v>
      </c>
      <c r="I75" s="17">
        <v>11505</v>
      </c>
      <c r="J75" s="17">
        <f t="shared" si="1"/>
        <v>276120</v>
      </c>
      <c r="K75" s="17"/>
      <c r="L75" s="16" t="s">
        <v>27</v>
      </c>
      <c r="M75" s="16" t="s">
        <v>22</v>
      </c>
      <c r="N75" s="39" t="s">
        <v>418</v>
      </c>
    </row>
    <row r="76" spans="1:20" s="26" customFormat="1" ht="27.75" customHeight="1">
      <c r="A76" s="22" t="s">
        <v>120</v>
      </c>
      <c r="B76" s="76"/>
      <c r="C76" s="42"/>
      <c r="D76" s="42"/>
      <c r="E76" s="42"/>
      <c r="F76" s="42"/>
      <c r="G76" s="42"/>
      <c r="H76" s="144"/>
      <c r="I76" s="24"/>
      <c r="J76" s="24"/>
      <c r="K76" s="25">
        <f>SUM(J19:J75)</f>
        <v>2234291.0299999998</v>
      </c>
      <c r="L76" s="23"/>
      <c r="M76" s="23"/>
      <c r="N76" s="42"/>
      <c r="Q76" s="27"/>
      <c r="T76" s="23"/>
    </row>
    <row r="77" spans="1:20" s="34" customFormat="1" ht="24" thickBot="1">
      <c r="A77" s="33"/>
      <c r="B77" s="83" t="s">
        <v>908</v>
      </c>
      <c r="C77" s="47"/>
      <c r="D77" s="47"/>
      <c r="E77" s="47"/>
      <c r="F77" s="47"/>
      <c r="G77" s="47"/>
      <c r="H77" s="48"/>
      <c r="I77" s="35"/>
      <c r="J77" s="35"/>
      <c r="K77" s="74">
        <f>SUM(K11:K76)</f>
        <v>5123335.0599999996</v>
      </c>
      <c r="N77" s="47"/>
    </row>
    <row r="78" spans="1:20">
      <c r="A78" s="172"/>
      <c r="B78" s="421"/>
      <c r="C78" s="173"/>
      <c r="D78" s="173"/>
      <c r="E78" s="173"/>
      <c r="F78" s="173"/>
      <c r="G78" s="173"/>
      <c r="H78" s="422"/>
      <c r="I78" s="423"/>
      <c r="J78" s="423"/>
      <c r="K78" s="423"/>
      <c r="L78" s="172"/>
      <c r="M78" s="172"/>
      <c r="N78" s="173"/>
    </row>
  </sheetData>
  <mergeCells count="5">
    <mergeCell ref="A2:A4"/>
    <mergeCell ref="A5:N5"/>
    <mergeCell ref="A6:B6"/>
    <mergeCell ref="A7:B7"/>
    <mergeCell ref="D9:G9"/>
  </mergeCells>
  <dataValidations count="14">
    <dataValidation type="list" allowBlank="1" showInputMessage="1" showErrorMessage="1" promptTitle="PACC" prompt="Seleccione el Código de Bienes y Servicios._x000a_" sqref="A69">
      <formula1>$Q$17:$Q$313</formula1>
    </dataValidation>
    <dataValidation type="list" allowBlank="1" showInputMessage="1" showErrorMessage="1" promptTitle="PACC" prompt="Seleccione el Código de Bienes y Servicios._x000a_" sqref="A68">
      <formula1>$Q$17:$Q$314</formula1>
    </dataValidation>
    <dataValidation allowBlank="1" showInputMessage="1" showErrorMessage="1" promptTitle="PACC" prompt="La cantidad total resultará de la suma de las cantidades requeridas en cada trimestre. " sqref="H11:H77"/>
    <dataValidation allowBlank="1" showInputMessage="1" showErrorMessage="1" promptTitle="PACC" prompt="Digite la unidad de medida._x000a__x000a_" sqref="C11:C77"/>
    <dataValidation allowBlank="1" showInputMessage="1" showErrorMessage="1" promptTitle="PACC" prompt="Digite la descripción de la compra o contratación." sqref="B11:B77"/>
    <dataValidation allowBlank="1" showInputMessage="1" showErrorMessage="1" promptTitle="PACC" prompt="Digite el precio unitario estimado._x000a_" sqref="I11:I77"/>
    <dataValidation allowBlank="1" showInputMessage="1" showErrorMessage="1" promptTitle="PACC" prompt="Digite las observaciones que considere." sqref="N11:N77"/>
    <dataValidation allowBlank="1" showInputMessage="1" showErrorMessage="1" promptTitle="PACC" prompt="Digite la fuente de financiamiento del procedimiento de referencia." sqref="M11:M77"/>
    <dataValidation type="list" allowBlank="1" showInputMessage="1" showErrorMessage="1" promptTitle="PACC" prompt="Seleccione el procedimiento de selección." sqref="L68:L69">
      <formula1>$T$17:$T$18</formula1>
    </dataValidation>
    <dataValidation type="list" allowBlank="1" showInputMessage="1" showErrorMessage="1" promptTitle="PACC" prompt="Seleccione el Código de Bienes y Servicios._x000a_" sqref="A70:A77 A11:A67">
      <formula1>#REF!</formula1>
    </dataValidation>
    <dataValidation type="list" allowBlank="1" showInputMessage="1" showErrorMessage="1" promptTitle="PACC" prompt="Seleccione el procedimiento de selección." sqref="L70:L77 L11:L67">
      <formula1>#REF!</formula1>
    </dataValidation>
    <dataValidation allowBlank="1" showInputMessage="1" showErrorMessage="1" promptTitle="PACC" prompt="Digite la cantidad requerida en este período._x000a_" sqref="D18:E18 D16 G16 D11:G15 E16:E17 F17:G18 D76:G77 E30:G75 E19:G28"/>
    <dataValidation allowBlank="1" showInputMessage="1" showErrorMessage="1" promptTitle="PACC" prompt="Este valor se calculará automáticamente, resultado de la multiplicación de la cantidad total por el precio unitario estimado." sqref="J76:K76 J16:K16 J77 J11:J15 J17:J75"/>
    <dataValidation allowBlank="1" showInputMessage="1" showErrorMessage="1" promptTitle="PACC" prompt="Este valor se calculará sumando los costos totales que posean el mismo Código de Catálogo de Bienes y Servicios." sqref="K11:K15 K77 K17:K75"/>
  </dataValidations>
  <printOptions horizontalCentered="1"/>
  <pageMargins left="0.31496062992125984" right="0.19685039370078741" top="0.19685039370078741" bottom="0.39370078740157483" header="0.31496062992125984" footer="0.31496062992125984"/>
  <pageSetup paperSize="5" scale="60" orientation="landscape" r:id="rId1"/>
  <headerFooter>
    <oddFooter>&amp;C&amp;P/&amp;N</oddFooter>
  </headerFooter>
  <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FD156"/>
  <sheetViews>
    <sheetView view="pageBreakPreview" topLeftCell="B28" zoomScale="70" zoomScaleNormal="80" zoomScaleSheetLayoutView="70" workbookViewId="0">
      <selection activeCell="F154" sqref="F154"/>
    </sheetView>
  </sheetViews>
  <sheetFormatPr baseColWidth="10" defaultColWidth="11.42578125" defaultRowHeight="18"/>
  <cols>
    <col min="1" max="1" width="38.42578125" style="399" customWidth="1"/>
    <col min="2" max="2" width="48.42578125" style="399" customWidth="1"/>
    <col min="3" max="3" width="13.28515625" style="37" customWidth="1"/>
    <col min="4" max="4" width="7.5703125" style="37" customWidth="1"/>
    <col min="5" max="5" width="7.85546875" style="37" customWidth="1"/>
    <col min="6" max="6" width="8.140625" style="37" customWidth="1"/>
    <col min="7" max="7" width="8.28515625" style="37" customWidth="1"/>
    <col min="8" max="8" width="15.7109375" style="37" bestFit="1" customWidth="1"/>
    <col min="9" max="9" width="19.7109375" style="399" customWidth="1"/>
    <col min="10" max="10" width="20.7109375" style="399" customWidth="1"/>
    <col min="11" max="11" width="21.140625" style="399" customWidth="1"/>
    <col min="12" max="12" width="30.85546875" style="399" customWidth="1"/>
    <col min="13" max="13" width="25.85546875" style="399" customWidth="1"/>
    <col min="14" max="14" width="12.5703125" style="37" customWidth="1"/>
    <col min="15" max="15" width="17.140625" style="399" customWidth="1"/>
    <col min="16" max="16" width="21.42578125" style="399" customWidth="1"/>
    <col min="17" max="17" width="64.5703125" style="399" hidden="1" customWidth="1"/>
    <col min="18" max="18" width="20.85546875" style="399" customWidth="1"/>
    <col min="19" max="19" width="0" style="399" hidden="1" customWidth="1"/>
    <col min="20" max="20" width="52.28515625" style="399" hidden="1" customWidth="1"/>
    <col min="21" max="21" width="17.7109375" style="399" customWidth="1"/>
    <col min="22" max="16384" width="11.42578125" style="399"/>
  </cols>
  <sheetData>
    <row r="1" spans="1:20">
      <c r="A1" s="7" t="s">
        <v>0</v>
      </c>
      <c r="N1" s="8"/>
    </row>
    <row r="2" spans="1:20" ht="15" customHeight="1">
      <c r="A2" s="554"/>
      <c r="N2" s="9"/>
    </row>
    <row r="3" spans="1:20" ht="16.5" customHeight="1">
      <c r="A3" s="554"/>
      <c r="B3" s="10"/>
      <c r="C3" s="10"/>
      <c r="D3" s="10"/>
      <c r="E3" s="10"/>
      <c r="F3" s="10"/>
      <c r="G3" s="10"/>
      <c r="H3" s="10"/>
      <c r="I3" s="10"/>
      <c r="J3" s="10"/>
      <c r="K3" s="10"/>
      <c r="N3" s="11"/>
    </row>
    <row r="4" spans="1:20" ht="11.25" customHeight="1" thickBot="1">
      <c r="A4" s="554"/>
      <c r="B4" s="12"/>
      <c r="C4" s="38"/>
      <c r="D4" s="38"/>
      <c r="E4" s="38"/>
      <c r="F4" s="38"/>
      <c r="G4" s="38"/>
      <c r="H4" s="38"/>
      <c r="I4" s="12"/>
      <c r="J4" s="12"/>
      <c r="K4" s="12"/>
      <c r="N4" s="13"/>
    </row>
    <row r="5" spans="1:20" s="174" customFormat="1" ht="25.5" customHeight="1">
      <c r="A5" s="555" t="s">
        <v>1</v>
      </c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</row>
    <row r="6" spans="1:20" s="172" customFormat="1" ht="15.75">
      <c r="A6" s="556" t="s">
        <v>1841</v>
      </c>
      <c r="B6" s="556"/>
      <c r="C6" s="39"/>
      <c r="D6" s="39"/>
      <c r="E6" s="39"/>
      <c r="F6" s="39"/>
      <c r="G6" s="39"/>
      <c r="H6" s="39"/>
      <c r="I6" s="16"/>
      <c r="J6" s="16"/>
      <c r="K6" s="16"/>
      <c r="N6" s="173"/>
    </row>
    <row r="7" spans="1:20" s="172" customFormat="1" ht="20.25">
      <c r="A7" s="578" t="s">
        <v>1913</v>
      </c>
      <c r="B7" s="578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20" ht="10.5" customHeight="1" thickBot="1"/>
    <row r="9" spans="1:20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20" s="14" customFormat="1" ht="111" customHeight="1">
      <c r="A10" s="2" t="s">
        <v>3</v>
      </c>
      <c r="B10" s="3" t="s">
        <v>4</v>
      </c>
      <c r="C10" s="3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3" t="s">
        <v>10</v>
      </c>
      <c r="I10" s="3" t="s">
        <v>11</v>
      </c>
      <c r="J10" s="3" t="s">
        <v>12</v>
      </c>
      <c r="K10" s="3" t="s">
        <v>442</v>
      </c>
      <c r="L10" s="3" t="s">
        <v>13</v>
      </c>
      <c r="M10" s="3" t="s">
        <v>14</v>
      </c>
      <c r="N10" s="3" t="s">
        <v>305</v>
      </c>
      <c r="O10" s="6" t="s">
        <v>425</v>
      </c>
      <c r="P10" s="6" t="s">
        <v>1929</v>
      </c>
      <c r="Q10" s="5"/>
      <c r="R10" s="5"/>
    </row>
    <row r="11" spans="1:20" s="12" customFormat="1" ht="30" customHeight="1">
      <c r="A11" s="15" t="s">
        <v>117</v>
      </c>
      <c r="B11" s="75" t="s">
        <v>1914</v>
      </c>
      <c r="C11" s="39" t="s">
        <v>17</v>
      </c>
      <c r="D11" s="39">
        <v>2</v>
      </c>
      <c r="E11" s="39"/>
      <c r="F11" s="39"/>
      <c r="G11" s="39"/>
      <c r="H11" s="40">
        <f>SUM(Tabla13242[[#This Row],[PRIMER TRIMESTRE]:[CUARTO TRIMESTRE]])</f>
        <v>2</v>
      </c>
      <c r="I11" s="17">
        <v>327618.2</v>
      </c>
      <c r="J11" s="17">
        <f>+H11*I11</f>
        <v>655236.4</v>
      </c>
      <c r="K11" s="17"/>
      <c r="L11" s="16" t="s">
        <v>27</v>
      </c>
      <c r="M11" s="16" t="s">
        <v>22</v>
      </c>
      <c r="N11" s="39"/>
      <c r="P11" s="425"/>
      <c r="Q11" s="19"/>
      <c r="T11" s="16"/>
    </row>
    <row r="12" spans="1:20" s="12" customFormat="1" ht="30" customHeight="1">
      <c r="A12" s="15" t="s">
        <v>1915</v>
      </c>
      <c r="B12" s="75" t="s">
        <v>1405</v>
      </c>
      <c r="C12" s="39" t="s">
        <v>17</v>
      </c>
      <c r="D12" s="39">
        <v>1</v>
      </c>
      <c r="E12" s="39"/>
      <c r="F12" s="39"/>
      <c r="G12" s="39"/>
      <c r="H12" s="40">
        <f>SUM(Tabla13242[[#This Row],[PRIMER TRIMESTRE]:[CUARTO TRIMESTRE]])</f>
        <v>1</v>
      </c>
      <c r="I12" s="17">
        <v>1196258</v>
      </c>
      <c r="J12" s="17">
        <f t="shared" ref="J12:J19" si="0">+H12*I12</f>
        <v>1196258</v>
      </c>
      <c r="K12" s="17"/>
      <c r="L12" s="16" t="s">
        <v>27</v>
      </c>
      <c r="M12" s="16" t="s">
        <v>22</v>
      </c>
      <c r="N12" s="39"/>
      <c r="P12" s="425"/>
      <c r="Q12" s="19"/>
      <c r="T12" s="16"/>
    </row>
    <row r="13" spans="1:20" s="12" customFormat="1" ht="30" customHeight="1">
      <c r="A13" s="15" t="s">
        <v>1916</v>
      </c>
      <c r="B13" s="75" t="s">
        <v>1406</v>
      </c>
      <c r="C13" s="39" t="s">
        <v>17</v>
      </c>
      <c r="D13" s="39">
        <v>1</v>
      </c>
      <c r="E13" s="39"/>
      <c r="F13" s="39"/>
      <c r="G13" s="39"/>
      <c r="H13" s="40">
        <f>SUM(Tabla13242[[#This Row],[PRIMER TRIMESTRE]:[CUARTO TRIMESTRE]])</f>
        <v>1</v>
      </c>
      <c r="I13" s="17">
        <v>341286.40000000002</v>
      </c>
      <c r="J13" s="17">
        <f t="shared" si="0"/>
        <v>341286.40000000002</v>
      </c>
      <c r="K13" s="17"/>
      <c r="L13" s="16" t="s">
        <v>27</v>
      </c>
      <c r="M13" s="16" t="s">
        <v>22</v>
      </c>
      <c r="N13" s="39"/>
      <c r="P13" s="425"/>
      <c r="Q13" s="19"/>
      <c r="T13" s="16"/>
    </row>
    <row r="14" spans="1:20" s="12" customFormat="1" ht="30" customHeight="1">
      <c r="A14" s="15" t="s">
        <v>1917</v>
      </c>
      <c r="B14" s="75" t="s">
        <v>1930</v>
      </c>
      <c r="C14" s="39" t="s">
        <v>17</v>
      </c>
      <c r="D14" s="39">
        <v>1</v>
      </c>
      <c r="E14" s="39"/>
      <c r="F14" s="39"/>
      <c r="G14" s="39"/>
      <c r="H14" s="40">
        <f>SUM(Tabla13242[[#This Row],[PRIMER TRIMESTRE]:[CUARTO TRIMESTRE]])</f>
        <v>1</v>
      </c>
      <c r="I14" s="17">
        <v>498739.15</v>
      </c>
      <c r="J14" s="17">
        <f t="shared" si="0"/>
        <v>498739.15</v>
      </c>
      <c r="K14" s="17"/>
      <c r="L14" s="16" t="s">
        <v>27</v>
      </c>
      <c r="M14" s="16" t="s">
        <v>22</v>
      </c>
      <c r="N14" s="39"/>
      <c r="P14" s="425"/>
      <c r="Q14" s="19"/>
      <c r="T14" s="16"/>
    </row>
    <row r="15" spans="1:20" s="12" customFormat="1" ht="30" customHeight="1">
      <c r="A15" s="15" t="s">
        <v>1931</v>
      </c>
      <c r="B15" s="75" t="s">
        <v>1932</v>
      </c>
      <c r="C15" s="39" t="s">
        <v>17</v>
      </c>
      <c r="D15" s="39">
        <v>1</v>
      </c>
      <c r="E15" s="39"/>
      <c r="F15" s="39"/>
      <c r="G15" s="39"/>
      <c r="H15" s="40">
        <f>SUM(Tabla13242[[#This Row],[PRIMER TRIMESTRE]:[CUARTO TRIMESTRE]])</f>
        <v>1</v>
      </c>
      <c r="I15" s="17">
        <v>495000</v>
      </c>
      <c r="J15" s="17">
        <f t="shared" si="0"/>
        <v>495000</v>
      </c>
      <c r="K15" s="17"/>
      <c r="L15" s="16" t="s">
        <v>27</v>
      </c>
      <c r="M15" s="16" t="s">
        <v>22</v>
      </c>
      <c r="N15" s="39"/>
      <c r="O15" s="426"/>
      <c r="P15" s="425"/>
      <c r="Q15" s="19"/>
      <c r="T15" s="16"/>
    </row>
    <row r="16" spans="1:20" s="12" customFormat="1" ht="30" customHeight="1">
      <c r="A16" s="15" t="s">
        <v>1933</v>
      </c>
      <c r="B16" s="75" t="s">
        <v>1934</v>
      </c>
      <c r="C16" s="39" t="s">
        <v>1935</v>
      </c>
      <c r="D16" s="39">
        <v>1</v>
      </c>
      <c r="E16" s="39"/>
      <c r="F16" s="39"/>
      <c r="G16" s="39"/>
      <c r="H16" s="40">
        <f>SUM(Tabla13242[[#This Row],[PRIMER TRIMESTRE]:[CUARTO TRIMESTRE]])</f>
        <v>1</v>
      </c>
      <c r="I16" s="17">
        <v>750000</v>
      </c>
      <c r="J16" s="17">
        <f t="shared" si="0"/>
        <v>750000</v>
      </c>
      <c r="K16" s="17"/>
      <c r="L16" s="16" t="s">
        <v>27</v>
      </c>
      <c r="M16" s="16" t="s">
        <v>22</v>
      </c>
      <c r="N16" s="39"/>
      <c r="O16" s="426"/>
      <c r="P16" s="425"/>
      <c r="Q16" s="19"/>
      <c r="T16" s="16"/>
    </row>
    <row r="17" spans="1:20" s="12" customFormat="1" ht="30" customHeight="1">
      <c r="A17" s="15" t="s">
        <v>1936</v>
      </c>
      <c r="B17" s="75" t="s">
        <v>1937</v>
      </c>
      <c r="C17" s="39" t="s">
        <v>17</v>
      </c>
      <c r="D17" s="39">
        <v>1</v>
      </c>
      <c r="E17" s="39"/>
      <c r="F17" s="39"/>
      <c r="G17" s="39"/>
      <c r="H17" s="40">
        <f>SUM(Tabla13242[[#This Row],[PRIMER TRIMESTRE]:[CUARTO TRIMESTRE]])</f>
        <v>1</v>
      </c>
      <c r="I17" s="17">
        <v>670000</v>
      </c>
      <c r="J17" s="17">
        <f t="shared" si="0"/>
        <v>670000</v>
      </c>
      <c r="K17" s="17"/>
      <c r="L17" s="16" t="s">
        <v>27</v>
      </c>
      <c r="M17" s="16" t="s">
        <v>22</v>
      </c>
      <c r="N17" s="39"/>
      <c r="O17" s="426"/>
      <c r="P17" s="425"/>
      <c r="Q17" s="19"/>
      <c r="T17" s="16"/>
    </row>
    <row r="18" spans="1:20" s="12" customFormat="1" ht="30" customHeight="1">
      <c r="A18" s="15" t="s">
        <v>1938</v>
      </c>
      <c r="B18" s="75" t="s">
        <v>1939</v>
      </c>
      <c r="C18" s="39" t="s">
        <v>17</v>
      </c>
      <c r="D18" s="39">
        <v>1</v>
      </c>
      <c r="E18" s="39"/>
      <c r="F18" s="39"/>
      <c r="G18" s="39"/>
      <c r="H18" s="40">
        <f>SUM(Tabla13242[[#This Row],[PRIMER TRIMESTRE]:[CUARTO TRIMESTRE]])</f>
        <v>1</v>
      </c>
      <c r="I18" s="17">
        <v>670001</v>
      </c>
      <c r="J18" s="17">
        <f t="shared" si="0"/>
        <v>670001</v>
      </c>
      <c r="K18" s="17"/>
      <c r="L18" s="16" t="s">
        <v>27</v>
      </c>
      <c r="M18" s="16" t="s">
        <v>22</v>
      </c>
      <c r="N18" s="39"/>
      <c r="O18" s="426"/>
      <c r="P18" s="425"/>
      <c r="Q18" s="19"/>
      <c r="T18" s="16"/>
    </row>
    <row r="19" spans="1:20" s="12" customFormat="1" ht="30" customHeight="1">
      <c r="A19" s="15" t="s">
        <v>1940</v>
      </c>
      <c r="B19" s="75" t="s">
        <v>1941</v>
      </c>
      <c r="C19" s="39" t="s">
        <v>17</v>
      </c>
      <c r="D19" s="39">
        <v>2</v>
      </c>
      <c r="E19" s="39"/>
      <c r="F19" s="39"/>
      <c r="G19" s="39"/>
      <c r="H19" s="40">
        <f>SUM(Tabla13242[[#This Row],[PRIMER TRIMESTRE]:[CUARTO TRIMESTRE]])</f>
        <v>2</v>
      </c>
      <c r="I19" s="17">
        <v>315000</v>
      </c>
      <c r="J19" s="17">
        <f t="shared" si="0"/>
        <v>630000</v>
      </c>
      <c r="K19" s="17"/>
      <c r="L19" s="16" t="s">
        <v>27</v>
      </c>
      <c r="M19" s="16" t="s">
        <v>22</v>
      </c>
      <c r="N19" s="39"/>
      <c r="O19" s="426"/>
      <c r="P19" s="425"/>
      <c r="Q19" s="19"/>
      <c r="T19" s="16"/>
    </row>
    <row r="20" spans="1:20" s="12" customFormat="1" ht="30" customHeight="1">
      <c r="A20" s="15" t="s">
        <v>1942</v>
      </c>
      <c r="B20" s="75" t="s">
        <v>1943</v>
      </c>
      <c r="C20" s="39" t="s">
        <v>17</v>
      </c>
      <c r="D20" s="39">
        <v>1</v>
      </c>
      <c r="E20" s="39"/>
      <c r="F20" s="39"/>
      <c r="G20" s="39"/>
      <c r="H20" s="40">
        <f>SUM(Tabla13242[[#This Row],[PRIMER TRIMESTRE]:[CUARTO TRIMESTRE]])</f>
        <v>1</v>
      </c>
      <c r="I20" s="17">
        <v>418000</v>
      </c>
      <c r="J20" s="17">
        <f>+H20*I20</f>
        <v>418000</v>
      </c>
      <c r="K20" s="17"/>
      <c r="L20" s="16" t="s">
        <v>27</v>
      </c>
      <c r="M20" s="16" t="s">
        <v>22</v>
      </c>
      <c r="N20" s="39"/>
      <c r="P20" s="425"/>
      <c r="Q20" s="19"/>
      <c r="T20" s="16"/>
    </row>
    <row r="21" spans="1:20" s="12" customFormat="1" ht="30" customHeight="1">
      <c r="A21" s="15" t="s">
        <v>1942</v>
      </c>
      <c r="B21" s="75" t="s">
        <v>1944</v>
      </c>
      <c r="C21" s="39" t="s">
        <v>17</v>
      </c>
      <c r="D21" s="39">
        <v>1</v>
      </c>
      <c r="E21" s="39"/>
      <c r="F21" s="39"/>
      <c r="G21" s="39"/>
      <c r="H21" s="40">
        <f>SUM(Tabla13242[[#This Row],[PRIMER TRIMESTRE]:[CUARTO TRIMESTRE]])</f>
        <v>1</v>
      </c>
      <c r="I21" s="17">
        <v>73840</v>
      </c>
      <c r="J21" s="17">
        <f>+H21*I21</f>
        <v>73840</v>
      </c>
      <c r="K21" s="17"/>
      <c r="L21" s="16" t="s">
        <v>27</v>
      </c>
      <c r="M21" s="16" t="s">
        <v>22</v>
      </c>
      <c r="N21" s="39"/>
      <c r="O21" s="426">
        <f>6300*46.15</f>
        <v>290745</v>
      </c>
      <c r="P21" s="425"/>
      <c r="Q21" s="19"/>
      <c r="T21" s="16"/>
    </row>
    <row r="22" spans="1:20" s="12" customFormat="1" ht="30" customHeight="1">
      <c r="A22" s="15" t="s">
        <v>1942</v>
      </c>
      <c r="B22" s="75" t="s">
        <v>1945</v>
      </c>
      <c r="C22" s="39" t="s">
        <v>17</v>
      </c>
      <c r="D22" s="39">
        <v>1</v>
      </c>
      <c r="E22" s="39"/>
      <c r="F22" s="39"/>
      <c r="G22" s="39"/>
      <c r="H22" s="40">
        <f>SUM(Tabla13242[[#This Row],[PRIMER TRIMESTRE]:[CUARTO TRIMESTRE]])</f>
        <v>1</v>
      </c>
      <c r="I22" s="17">
        <v>290745</v>
      </c>
      <c r="J22" s="17">
        <f>+H22*I22</f>
        <v>290745</v>
      </c>
      <c r="K22" s="17"/>
      <c r="L22" s="16" t="s">
        <v>27</v>
      </c>
      <c r="M22" s="16" t="s">
        <v>22</v>
      </c>
      <c r="N22" s="39"/>
      <c r="O22" s="426"/>
      <c r="P22" s="425"/>
      <c r="Q22" s="19"/>
      <c r="T22" s="16"/>
    </row>
    <row r="23" spans="1:20" s="26" customFormat="1" ht="27.75" customHeight="1">
      <c r="A23" s="22" t="s">
        <v>117</v>
      </c>
      <c r="B23" s="76" t="s">
        <v>891</v>
      </c>
      <c r="C23" s="42"/>
      <c r="D23" s="42"/>
      <c r="E23" s="42"/>
      <c r="F23" s="42"/>
      <c r="G23" s="42"/>
      <c r="H23" s="43"/>
      <c r="I23" s="24"/>
      <c r="J23" s="24"/>
      <c r="K23" s="25">
        <f>SUM(J11:J22)</f>
        <v>6689105.9499999993</v>
      </c>
      <c r="L23" s="23"/>
      <c r="M23" s="23"/>
      <c r="N23" s="42"/>
      <c r="P23" s="427"/>
      <c r="Q23" s="27"/>
      <c r="T23" s="23"/>
    </row>
    <row r="24" spans="1:20" s="169" customFormat="1" ht="78" customHeight="1">
      <c r="A24" s="407" t="s">
        <v>115</v>
      </c>
      <c r="B24" s="77" t="s">
        <v>1918</v>
      </c>
      <c r="C24" s="70" t="s">
        <v>17</v>
      </c>
      <c r="D24" s="70">
        <v>17</v>
      </c>
      <c r="E24" s="70"/>
      <c r="F24" s="70"/>
      <c r="G24" s="70"/>
      <c r="H24" s="40">
        <f>SUM(Tabla13242[[#This Row],[PRIMER TRIMESTRE]:[CUARTO TRIMESTRE]])</f>
        <v>17</v>
      </c>
      <c r="I24" s="72">
        <v>41809.49</v>
      </c>
      <c r="J24" s="17">
        <f>+H24*I24</f>
        <v>710761.33</v>
      </c>
      <c r="K24" s="72"/>
      <c r="L24" s="16" t="s">
        <v>27</v>
      </c>
      <c r="M24" s="16" t="s">
        <v>22</v>
      </c>
      <c r="N24" s="39" t="s">
        <v>418</v>
      </c>
      <c r="P24" s="425"/>
    </row>
    <row r="25" spans="1:20" s="12" customFormat="1" ht="38.25">
      <c r="A25" s="15" t="s">
        <v>115</v>
      </c>
      <c r="B25" s="75" t="s">
        <v>1919</v>
      </c>
      <c r="C25" s="39" t="s">
        <v>17</v>
      </c>
      <c r="D25" s="39">
        <v>5</v>
      </c>
      <c r="E25" s="39"/>
      <c r="F25" s="39"/>
      <c r="G25" s="39"/>
      <c r="H25" s="40">
        <f>SUM(Tabla13242[[#This Row],[PRIMER TRIMESTRE]:[CUARTO TRIMESTRE]])</f>
        <v>5</v>
      </c>
      <c r="I25" s="17">
        <v>5083</v>
      </c>
      <c r="J25" s="17">
        <f>+H25*I25</f>
        <v>25415</v>
      </c>
      <c r="K25" s="17"/>
      <c r="L25" s="16" t="s">
        <v>27</v>
      </c>
      <c r="M25" s="16" t="s">
        <v>22</v>
      </c>
      <c r="N25" s="39" t="s">
        <v>418</v>
      </c>
      <c r="P25" s="425"/>
    </row>
    <row r="26" spans="1:20" s="12" customFormat="1">
      <c r="A26" s="15" t="s">
        <v>115</v>
      </c>
      <c r="B26" s="75" t="s">
        <v>945</v>
      </c>
      <c r="C26" s="39" t="s">
        <v>17</v>
      </c>
      <c r="D26" s="39">
        <v>4</v>
      </c>
      <c r="E26" s="39"/>
      <c r="F26" s="39">
        <v>4</v>
      </c>
      <c r="G26" s="39"/>
      <c r="H26" s="40">
        <f>SUM(Tabla13242[[#This Row],[PRIMER TRIMESTRE]:[CUARTO TRIMESTRE]])</f>
        <v>8</v>
      </c>
      <c r="I26" s="17">
        <v>7498</v>
      </c>
      <c r="J26" s="17">
        <f>+H26*I26</f>
        <v>59984</v>
      </c>
      <c r="K26" s="17"/>
      <c r="L26" s="16" t="s">
        <v>27</v>
      </c>
      <c r="M26" s="16" t="s">
        <v>22</v>
      </c>
      <c r="N26" s="39" t="s">
        <v>418</v>
      </c>
      <c r="O26" s="425"/>
      <c r="P26" s="425"/>
    </row>
    <row r="27" spans="1:20" s="12" customFormat="1">
      <c r="A27" s="15" t="s">
        <v>115</v>
      </c>
      <c r="B27" s="75" t="s">
        <v>946</v>
      </c>
      <c r="C27" s="39" t="s">
        <v>17</v>
      </c>
      <c r="D27" s="39">
        <v>3</v>
      </c>
      <c r="E27" s="39">
        <v>2</v>
      </c>
      <c r="F27" s="39"/>
      <c r="G27" s="39"/>
      <c r="H27" s="40">
        <f>SUM(Tabla13242[[#This Row],[PRIMER TRIMESTRE]:[CUARTO TRIMESTRE]])</f>
        <v>5</v>
      </c>
      <c r="I27" s="17">
        <v>4600</v>
      </c>
      <c r="J27" s="17">
        <f>+H27*I27</f>
        <v>23000</v>
      </c>
      <c r="K27" s="17"/>
      <c r="L27" s="16" t="s">
        <v>27</v>
      </c>
      <c r="M27" s="16" t="s">
        <v>22</v>
      </c>
      <c r="N27" s="39" t="s">
        <v>418</v>
      </c>
      <c r="O27" s="426"/>
      <c r="P27" s="425"/>
    </row>
    <row r="28" spans="1:20" s="12" customFormat="1">
      <c r="A28" s="15" t="s">
        <v>115</v>
      </c>
      <c r="B28" s="75" t="s">
        <v>947</v>
      </c>
      <c r="C28" s="39" t="s">
        <v>17</v>
      </c>
      <c r="D28" s="39"/>
      <c r="E28" s="39">
        <v>1</v>
      </c>
      <c r="F28" s="39"/>
      <c r="G28" s="39"/>
      <c r="H28" s="40">
        <f>SUM(Tabla13242[[#This Row],[PRIMER TRIMESTRE]:[CUARTO TRIMESTRE]])</f>
        <v>1</v>
      </c>
      <c r="I28" s="17">
        <v>3496</v>
      </c>
      <c r="J28" s="17">
        <f>+H28*I28</f>
        <v>3496</v>
      </c>
      <c r="K28" s="17"/>
      <c r="L28" s="16" t="s">
        <v>27</v>
      </c>
      <c r="M28" s="16" t="s">
        <v>22</v>
      </c>
      <c r="N28" s="39" t="s">
        <v>418</v>
      </c>
      <c r="O28" s="426"/>
      <c r="P28" s="425"/>
    </row>
    <row r="29" spans="1:20" s="26" customFormat="1" ht="35.25" customHeight="1">
      <c r="A29" s="22" t="s">
        <v>115</v>
      </c>
      <c r="B29" s="76"/>
      <c r="C29" s="42"/>
      <c r="D29" s="42"/>
      <c r="E29" s="42"/>
      <c r="F29" s="42"/>
      <c r="G29" s="42"/>
      <c r="H29" s="42"/>
      <c r="I29" s="24"/>
      <c r="J29" s="24"/>
      <c r="K29" s="25">
        <f>SUM(J24:J28)</f>
        <v>822656.33</v>
      </c>
      <c r="L29" s="23"/>
      <c r="M29" s="23"/>
      <c r="N29" s="42"/>
      <c r="O29" s="427"/>
      <c r="P29" s="427"/>
      <c r="Q29" s="27"/>
      <c r="T29" s="23"/>
    </row>
    <row r="30" spans="1:20" s="26" customFormat="1" ht="35.25" customHeight="1">
      <c r="A30" s="15" t="s">
        <v>948</v>
      </c>
      <c r="B30" s="75" t="s">
        <v>1946</v>
      </c>
      <c r="C30" s="39" t="s">
        <v>17</v>
      </c>
      <c r="D30" s="39">
        <v>1</v>
      </c>
      <c r="E30" s="39"/>
      <c r="F30" s="39"/>
      <c r="G30" s="39"/>
      <c r="H30" s="40">
        <f>SUM(Tabla13242[[#This Row],[PRIMER TRIMESTRE]:[CUARTO TRIMESTRE]])</f>
        <v>1</v>
      </c>
      <c r="I30" s="17">
        <v>307941.48</v>
      </c>
      <c r="J30" s="17">
        <f t="shared" ref="J30:J59" si="1">+H30*I30</f>
        <v>307941.48</v>
      </c>
      <c r="K30" s="17"/>
      <c r="L30" s="16" t="s">
        <v>27</v>
      </c>
      <c r="M30" s="16"/>
      <c r="N30" s="16"/>
      <c r="O30" s="428"/>
      <c r="P30" s="427"/>
      <c r="Q30" s="27"/>
      <c r="T30" s="23"/>
    </row>
    <row r="31" spans="1:20" s="26" customFormat="1" ht="35.25" customHeight="1">
      <c r="A31" s="15" t="s">
        <v>948</v>
      </c>
      <c r="B31" s="75" t="s">
        <v>1947</v>
      </c>
      <c r="C31" s="39" t="s">
        <v>17</v>
      </c>
      <c r="D31" s="39">
        <v>1</v>
      </c>
      <c r="E31" s="39"/>
      <c r="F31" s="39"/>
      <c r="G31" s="39"/>
      <c r="H31" s="40">
        <f>SUM(Tabla13242[[#This Row],[PRIMER TRIMESTRE]:[CUARTO TRIMESTRE]])</f>
        <v>1</v>
      </c>
      <c r="I31" s="17">
        <v>92615.85</v>
      </c>
      <c r="J31" s="17">
        <f t="shared" si="1"/>
        <v>92615.85</v>
      </c>
      <c r="K31" s="17"/>
      <c r="L31" s="16" t="s">
        <v>27</v>
      </c>
      <c r="M31" s="16"/>
      <c r="N31" s="39"/>
      <c r="O31" s="428"/>
      <c r="P31" s="427"/>
      <c r="Q31" s="27"/>
      <c r="T31" s="23"/>
    </row>
    <row r="32" spans="1:20" s="26" customFormat="1" ht="35.25" customHeight="1">
      <c r="A32" s="15" t="s">
        <v>948</v>
      </c>
      <c r="B32" s="75" t="s">
        <v>1948</v>
      </c>
      <c r="C32" s="39" t="s">
        <v>17</v>
      </c>
      <c r="D32" s="39">
        <v>2</v>
      </c>
      <c r="E32" s="39"/>
      <c r="F32" s="39"/>
      <c r="G32" s="39"/>
      <c r="H32" s="40">
        <f>SUM(Tabla13242[[#This Row],[PRIMER TRIMESTRE]:[CUARTO TRIMESTRE]])</f>
        <v>2</v>
      </c>
      <c r="I32" s="17">
        <v>12725</v>
      </c>
      <c r="J32" s="17">
        <f t="shared" si="1"/>
        <v>25450</v>
      </c>
      <c r="K32" s="17"/>
      <c r="L32" s="16" t="s">
        <v>27</v>
      </c>
      <c r="M32" s="16"/>
      <c r="N32" s="39"/>
      <c r="O32" s="428"/>
      <c r="P32" s="427"/>
      <c r="Q32" s="27"/>
      <c r="T32" s="23"/>
    </row>
    <row r="33" spans="1:20" s="26" customFormat="1" ht="35.25" customHeight="1">
      <c r="A33" s="15" t="s">
        <v>948</v>
      </c>
      <c r="B33" s="75" t="s">
        <v>1949</v>
      </c>
      <c r="C33" s="39" t="s">
        <v>17</v>
      </c>
      <c r="D33" s="39">
        <v>1</v>
      </c>
      <c r="E33" s="39"/>
      <c r="F33" s="39"/>
      <c r="G33" s="39"/>
      <c r="H33" s="40">
        <f>SUM(Tabla13242[[#This Row],[PRIMER TRIMESTRE]:[CUARTO TRIMESTRE]])</f>
        <v>1</v>
      </c>
      <c r="I33" s="17">
        <v>20003.830000000002</v>
      </c>
      <c r="J33" s="17">
        <f>+H33*I33</f>
        <v>20003.830000000002</v>
      </c>
      <c r="K33" s="17"/>
      <c r="L33" s="16" t="s">
        <v>27</v>
      </c>
      <c r="M33" s="16"/>
      <c r="N33" s="39"/>
      <c r="O33" s="428"/>
      <c r="P33" s="427"/>
      <c r="Q33" s="27"/>
      <c r="T33" s="23"/>
    </row>
    <row r="34" spans="1:20" s="26" customFormat="1" ht="35.25" customHeight="1">
      <c r="A34" s="15" t="s">
        <v>948</v>
      </c>
      <c r="B34" s="75" t="s">
        <v>1950</v>
      </c>
      <c r="C34" s="39" t="s">
        <v>17</v>
      </c>
      <c r="D34" s="39">
        <v>1</v>
      </c>
      <c r="E34" s="39"/>
      <c r="F34" s="39"/>
      <c r="G34" s="39"/>
      <c r="H34" s="40">
        <f>SUM(Tabla13242[[#This Row],[PRIMER TRIMESTRE]:[CUARTO TRIMESTRE]])</f>
        <v>1</v>
      </c>
      <c r="I34" s="17">
        <v>5550.21</v>
      </c>
      <c r="J34" s="17">
        <f>+H34*I34</f>
        <v>5550.21</v>
      </c>
      <c r="K34" s="17"/>
      <c r="L34" s="16" t="s">
        <v>27</v>
      </c>
      <c r="M34" s="16"/>
      <c r="N34" s="39"/>
      <c r="O34" s="428"/>
      <c r="P34" s="427"/>
      <c r="Q34" s="27"/>
      <c r="T34" s="23"/>
    </row>
    <row r="35" spans="1:20" s="26" customFormat="1" ht="35.25" customHeight="1">
      <c r="A35" s="15" t="s">
        <v>948</v>
      </c>
      <c r="B35" s="75" t="s">
        <v>1951</v>
      </c>
      <c r="C35" s="39" t="s">
        <v>17</v>
      </c>
      <c r="D35" s="39">
        <v>1</v>
      </c>
      <c r="E35" s="39"/>
      <c r="F35" s="39"/>
      <c r="G35" s="39"/>
      <c r="H35" s="40">
        <f>SUM(Tabla13242[[#This Row],[PRIMER TRIMESTRE]:[CUARTO TRIMESTRE]])</f>
        <v>1</v>
      </c>
      <c r="I35" s="17">
        <v>10830</v>
      </c>
      <c r="J35" s="17">
        <f t="shared" si="1"/>
        <v>10830</v>
      </c>
      <c r="K35" s="17"/>
      <c r="L35" s="16" t="s">
        <v>27</v>
      </c>
      <c r="M35" s="16"/>
      <c r="N35" s="39"/>
      <c r="O35" s="428"/>
      <c r="P35" s="427"/>
      <c r="Q35" s="27"/>
      <c r="T35" s="23"/>
    </row>
    <row r="36" spans="1:20" s="26" customFormat="1" ht="35.25" customHeight="1">
      <c r="A36" s="15" t="s">
        <v>948</v>
      </c>
      <c r="B36" s="75" t="s">
        <v>1952</v>
      </c>
      <c r="C36" s="39" t="s">
        <v>17</v>
      </c>
      <c r="D36" s="39">
        <v>2</v>
      </c>
      <c r="E36" s="39"/>
      <c r="F36" s="39"/>
      <c r="G36" s="39"/>
      <c r="H36" s="40">
        <f>SUM(Tabla13242[[#This Row],[PRIMER TRIMESTRE]:[CUARTO TRIMESTRE]])</f>
        <v>2</v>
      </c>
      <c r="I36" s="17">
        <v>8146</v>
      </c>
      <c r="J36" s="17">
        <f>+H36*I36</f>
        <v>16292</v>
      </c>
      <c r="K36" s="17"/>
      <c r="L36" s="16" t="s">
        <v>27</v>
      </c>
      <c r="M36" s="16"/>
      <c r="N36" s="39"/>
      <c r="O36" s="428"/>
      <c r="P36" s="427"/>
      <c r="Q36" s="27"/>
      <c r="T36" s="23"/>
    </row>
    <row r="37" spans="1:20" s="26" customFormat="1" ht="35.25" customHeight="1">
      <c r="A37" s="15" t="s">
        <v>948</v>
      </c>
      <c r="B37" s="75" t="s">
        <v>1953</v>
      </c>
      <c r="C37" s="39" t="s">
        <v>17</v>
      </c>
      <c r="D37" s="39">
        <v>2</v>
      </c>
      <c r="E37" s="39"/>
      <c r="F37" s="39"/>
      <c r="G37" s="39"/>
      <c r="H37" s="40">
        <f>SUM(Tabla13242[[#This Row],[PRIMER TRIMESTRE]:[CUARTO TRIMESTRE]])</f>
        <v>2</v>
      </c>
      <c r="I37" s="17">
        <v>13968.15</v>
      </c>
      <c r="J37" s="17">
        <f>+H37*I37</f>
        <v>27936.3</v>
      </c>
      <c r="K37" s="17"/>
      <c r="L37" s="16" t="s">
        <v>27</v>
      </c>
      <c r="M37" s="16"/>
      <c r="N37" s="39"/>
      <c r="O37" s="428"/>
      <c r="P37" s="427"/>
      <c r="Q37" s="27"/>
      <c r="T37" s="23"/>
    </row>
    <row r="38" spans="1:20" s="26" customFormat="1" ht="35.25" customHeight="1">
      <c r="A38" s="15" t="s">
        <v>948</v>
      </c>
      <c r="B38" s="106" t="s">
        <v>949</v>
      </c>
      <c r="C38" s="39" t="s">
        <v>17</v>
      </c>
      <c r="D38" s="39">
        <v>1</v>
      </c>
      <c r="E38" s="39"/>
      <c r="F38" s="39"/>
      <c r="G38" s="39"/>
      <c r="H38" s="40">
        <f>SUM(Tabla13242[[#This Row],[PRIMER TRIMESTRE]:[CUARTO TRIMESTRE]])</f>
        <v>1</v>
      </c>
      <c r="I38" s="17">
        <v>227000</v>
      </c>
      <c r="J38" s="17">
        <f>+H38*I38</f>
        <v>227000</v>
      </c>
      <c r="K38" s="17"/>
      <c r="L38" s="16" t="s">
        <v>27</v>
      </c>
      <c r="M38" s="16"/>
      <c r="N38" s="39"/>
      <c r="O38" s="428"/>
      <c r="P38" s="427"/>
      <c r="Q38" s="27"/>
      <c r="T38" s="23"/>
    </row>
    <row r="39" spans="1:20" s="26" customFormat="1" ht="35.25" customHeight="1">
      <c r="A39" s="15" t="s">
        <v>948</v>
      </c>
      <c r="B39" s="106" t="s">
        <v>950</v>
      </c>
      <c r="C39" s="39" t="s">
        <v>17</v>
      </c>
      <c r="D39" s="39">
        <v>1</v>
      </c>
      <c r="E39" s="39"/>
      <c r="F39" s="39"/>
      <c r="G39" s="39"/>
      <c r="H39" s="40">
        <f>SUM(Tabla13242[[#This Row],[PRIMER TRIMESTRE]:[CUARTO TRIMESTRE]])</f>
        <v>1</v>
      </c>
      <c r="I39" s="17">
        <v>1118000</v>
      </c>
      <c r="J39" s="17">
        <f t="shared" si="1"/>
        <v>1118000</v>
      </c>
      <c r="K39" s="17"/>
      <c r="L39" s="16" t="s">
        <v>27</v>
      </c>
      <c r="M39" s="16"/>
      <c r="N39" s="16"/>
      <c r="O39" s="428"/>
      <c r="P39" s="427"/>
      <c r="Q39" s="27"/>
      <c r="T39" s="23"/>
    </row>
    <row r="40" spans="1:20" s="26" customFormat="1" ht="35.25" customHeight="1">
      <c r="A40" s="15" t="s">
        <v>948</v>
      </c>
      <c r="B40" s="75" t="s">
        <v>1954</v>
      </c>
      <c r="C40" s="39" t="s">
        <v>17</v>
      </c>
      <c r="D40" s="39"/>
      <c r="E40" s="39">
        <v>5</v>
      </c>
      <c r="F40" s="39"/>
      <c r="G40" s="39"/>
      <c r="H40" s="40">
        <f>SUM(Tabla13242[[#This Row],[PRIMER TRIMESTRE]:[CUARTO TRIMESTRE]])</f>
        <v>5</v>
      </c>
      <c r="I40" s="17">
        <v>195</v>
      </c>
      <c r="J40" s="17">
        <f t="shared" si="1"/>
        <v>975</v>
      </c>
      <c r="K40" s="17"/>
      <c r="L40" s="16" t="s">
        <v>27</v>
      </c>
      <c r="M40" s="16"/>
      <c r="N40" s="16"/>
      <c r="O40" s="428"/>
      <c r="P40" s="427"/>
      <c r="Q40" s="27"/>
      <c r="T40" s="23"/>
    </row>
    <row r="41" spans="1:20" s="26" customFormat="1" ht="35.25" customHeight="1">
      <c r="A41" s="15" t="s">
        <v>948</v>
      </c>
      <c r="B41" s="75" t="s">
        <v>1955</v>
      </c>
      <c r="C41" s="39" t="s">
        <v>17</v>
      </c>
      <c r="D41" s="39"/>
      <c r="E41" s="39">
        <v>3</v>
      </c>
      <c r="F41" s="39"/>
      <c r="G41" s="39"/>
      <c r="H41" s="40">
        <f>SUM(Tabla13242[[#This Row],[PRIMER TRIMESTRE]:[CUARTO TRIMESTRE]])</f>
        <v>3</v>
      </c>
      <c r="I41" s="17">
        <v>1300</v>
      </c>
      <c r="J41" s="17">
        <f t="shared" si="1"/>
        <v>3900</v>
      </c>
      <c r="K41" s="17"/>
      <c r="L41" s="16" t="s">
        <v>27</v>
      </c>
      <c r="M41" s="16"/>
      <c r="N41" s="39"/>
      <c r="O41" s="428"/>
      <c r="P41" s="427"/>
      <c r="Q41" s="27"/>
      <c r="T41" s="23"/>
    </row>
    <row r="42" spans="1:20" s="26" customFormat="1" ht="35.25" customHeight="1">
      <c r="A42" s="15" t="s">
        <v>948</v>
      </c>
      <c r="B42" s="106" t="s">
        <v>951</v>
      </c>
      <c r="C42" s="39" t="s">
        <v>17</v>
      </c>
      <c r="D42" s="39"/>
      <c r="E42" s="39">
        <v>3</v>
      </c>
      <c r="F42" s="39"/>
      <c r="G42" s="39"/>
      <c r="H42" s="40">
        <f>SUM(Tabla13242[[#This Row],[PRIMER TRIMESTRE]:[CUARTO TRIMESTRE]])</f>
        <v>3</v>
      </c>
      <c r="I42" s="17">
        <v>120</v>
      </c>
      <c r="J42" s="17">
        <f t="shared" si="1"/>
        <v>360</v>
      </c>
      <c r="K42" s="17"/>
      <c r="L42" s="16" t="s">
        <v>27</v>
      </c>
      <c r="M42" s="16"/>
      <c r="N42" s="39"/>
      <c r="O42" s="428"/>
      <c r="P42" s="427"/>
      <c r="Q42" s="27"/>
      <c r="T42" s="23"/>
    </row>
    <row r="43" spans="1:20" s="26" customFormat="1" ht="35.25" customHeight="1">
      <c r="A43" s="15" t="s">
        <v>948</v>
      </c>
      <c r="B43" s="106" t="s">
        <v>952</v>
      </c>
      <c r="C43" s="39" t="s">
        <v>17</v>
      </c>
      <c r="D43" s="39">
        <v>8</v>
      </c>
      <c r="E43" s="39"/>
      <c r="F43" s="39">
        <v>8</v>
      </c>
      <c r="G43" s="39"/>
      <c r="H43" s="40">
        <f>SUM(Tabla13242[[#This Row],[PRIMER TRIMESTRE]:[CUARTO TRIMESTRE]])</f>
        <v>16</v>
      </c>
      <c r="I43" s="17">
        <v>3200</v>
      </c>
      <c r="J43" s="17">
        <f t="shared" si="1"/>
        <v>51200</v>
      </c>
      <c r="K43" s="17"/>
      <c r="L43" s="16" t="s">
        <v>27</v>
      </c>
      <c r="M43" s="16"/>
      <c r="N43" s="39"/>
      <c r="O43" s="428"/>
      <c r="P43" s="427"/>
      <c r="Q43" s="27"/>
      <c r="T43" s="23"/>
    </row>
    <row r="44" spans="1:20" s="26" customFormat="1" ht="35.25" customHeight="1">
      <c r="A44" s="15" t="s">
        <v>948</v>
      </c>
      <c r="B44" s="75" t="s">
        <v>1956</v>
      </c>
      <c r="C44" s="39" t="s">
        <v>17</v>
      </c>
      <c r="D44" s="39">
        <v>5</v>
      </c>
      <c r="E44" s="39"/>
      <c r="F44" s="39"/>
      <c r="G44" s="39"/>
      <c r="H44" s="40">
        <f>SUM(Tabla13242[[#This Row],[PRIMER TRIMESTRE]:[CUARTO TRIMESTRE]])</f>
        <v>5</v>
      </c>
      <c r="I44" s="17">
        <v>188</v>
      </c>
      <c r="J44" s="17">
        <f t="shared" si="1"/>
        <v>940</v>
      </c>
      <c r="K44" s="17"/>
      <c r="L44" s="16" t="s">
        <v>27</v>
      </c>
      <c r="M44" s="16"/>
      <c r="N44" s="39"/>
      <c r="O44" s="428"/>
      <c r="P44" s="427"/>
      <c r="Q44" s="27"/>
      <c r="T44" s="23"/>
    </row>
    <row r="45" spans="1:20" s="26" customFormat="1" ht="35.25" customHeight="1">
      <c r="A45" s="15" t="s">
        <v>948</v>
      </c>
      <c r="B45" s="106" t="s">
        <v>953</v>
      </c>
      <c r="C45" s="39" t="s">
        <v>17</v>
      </c>
      <c r="D45" s="39">
        <v>5</v>
      </c>
      <c r="E45" s="39"/>
      <c r="F45" s="39"/>
      <c r="G45" s="39"/>
      <c r="H45" s="40">
        <f>SUM(Tabla13242[[#This Row],[PRIMER TRIMESTRE]:[CUARTO TRIMESTRE]])</f>
        <v>5</v>
      </c>
      <c r="I45" s="17">
        <v>96.7</v>
      </c>
      <c r="J45" s="17">
        <f t="shared" si="1"/>
        <v>483.5</v>
      </c>
      <c r="K45" s="17"/>
      <c r="L45" s="16" t="s">
        <v>27</v>
      </c>
      <c r="M45" s="16"/>
      <c r="N45" s="39"/>
      <c r="O45" s="428"/>
      <c r="P45" s="427"/>
      <c r="Q45" s="27"/>
      <c r="T45" s="23"/>
    </row>
    <row r="46" spans="1:20" s="26" customFormat="1" ht="35.25" customHeight="1">
      <c r="A46" s="15" t="s">
        <v>948</v>
      </c>
      <c r="B46" s="106" t="s">
        <v>1957</v>
      </c>
      <c r="C46" s="39" t="s">
        <v>17</v>
      </c>
      <c r="D46" s="39">
        <v>1</v>
      </c>
      <c r="E46" s="39"/>
      <c r="F46" s="39"/>
      <c r="G46" s="39"/>
      <c r="H46" s="40">
        <f>SUM(Tabla13242[[#This Row],[PRIMER TRIMESTRE]:[CUARTO TRIMESTRE]])</f>
        <v>1</v>
      </c>
      <c r="I46" s="17">
        <v>113850</v>
      </c>
      <c r="J46" s="17">
        <f t="shared" si="1"/>
        <v>113850</v>
      </c>
      <c r="K46" s="17"/>
      <c r="L46" s="16" t="s">
        <v>27</v>
      </c>
      <c r="M46" s="16"/>
      <c r="N46" s="39"/>
      <c r="O46" s="428"/>
      <c r="P46" s="427"/>
      <c r="Q46" s="27"/>
      <c r="T46" s="23"/>
    </row>
    <row r="47" spans="1:20" s="26" customFormat="1" ht="35.25" customHeight="1">
      <c r="A47" s="15" t="s">
        <v>948</v>
      </c>
      <c r="B47" s="106" t="s">
        <v>955</v>
      </c>
      <c r="C47" s="39" t="s">
        <v>17</v>
      </c>
      <c r="D47" s="39">
        <v>1</v>
      </c>
      <c r="E47" s="39"/>
      <c r="F47" s="39"/>
      <c r="G47" s="39"/>
      <c r="H47" s="40">
        <f>SUM(Tabla13242[[#This Row],[PRIMER TRIMESTRE]:[CUARTO TRIMESTRE]])</f>
        <v>1</v>
      </c>
      <c r="I47" s="17">
        <v>57914</v>
      </c>
      <c r="J47" s="17">
        <f t="shared" si="1"/>
        <v>57914</v>
      </c>
      <c r="K47" s="17"/>
      <c r="L47" s="16" t="s">
        <v>27</v>
      </c>
      <c r="M47" s="16"/>
      <c r="N47" s="39"/>
      <c r="O47" s="428"/>
      <c r="P47" s="427"/>
      <c r="Q47" s="27"/>
      <c r="T47" s="23"/>
    </row>
    <row r="48" spans="1:20" s="26" customFormat="1" ht="35.25" customHeight="1">
      <c r="A48" s="15" t="s">
        <v>948</v>
      </c>
      <c r="B48" s="106" t="s">
        <v>956</v>
      </c>
      <c r="C48" s="39" t="s">
        <v>17</v>
      </c>
      <c r="D48" s="39">
        <v>2</v>
      </c>
      <c r="E48" s="39"/>
      <c r="F48" s="39"/>
      <c r="G48" s="39"/>
      <c r="H48" s="40">
        <f>SUM(Tabla13242[[#This Row],[PRIMER TRIMESTRE]:[CUARTO TRIMESTRE]])</f>
        <v>2</v>
      </c>
      <c r="I48" s="17">
        <v>908000</v>
      </c>
      <c r="J48" s="17">
        <f t="shared" si="1"/>
        <v>1816000</v>
      </c>
      <c r="K48" s="17"/>
      <c r="L48" s="16" t="s">
        <v>27</v>
      </c>
      <c r="M48" s="16"/>
      <c r="N48" s="39"/>
      <c r="O48" s="428"/>
      <c r="P48" s="427"/>
      <c r="Q48" s="27"/>
      <c r="T48" s="23"/>
    </row>
    <row r="49" spans="1:20" s="26" customFormat="1" ht="35.25" customHeight="1">
      <c r="A49" s="15" t="s">
        <v>948</v>
      </c>
      <c r="B49" s="106" t="s">
        <v>957</v>
      </c>
      <c r="C49" s="39" t="s">
        <v>17</v>
      </c>
      <c r="D49" s="39">
        <v>1</v>
      </c>
      <c r="E49" s="39"/>
      <c r="F49" s="39"/>
      <c r="G49" s="39"/>
      <c r="H49" s="40">
        <f>SUM(Tabla13242[[#This Row],[PRIMER TRIMESTRE]:[CUARTO TRIMESTRE]])</f>
        <v>1</v>
      </c>
      <c r="I49" s="17">
        <v>10000</v>
      </c>
      <c r="J49" s="17">
        <f t="shared" si="1"/>
        <v>10000</v>
      </c>
      <c r="K49" s="17"/>
      <c r="L49" s="16" t="s">
        <v>27</v>
      </c>
      <c r="M49" s="16"/>
      <c r="N49" s="39"/>
      <c r="O49" s="428"/>
      <c r="P49" s="427"/>
      <c r="Q49" s="27"/>
      <c r="T49" s="23"/>
    </row>
    <row r="50" spans="1:20" s="26" customFormat="1" ht="35.25" customHeight="1">
      <c r="A50" s="15" t="s">
        <v>948</v>
      </c>
      <c r="B50" s="106" t="s">
        <v>958</v>
      </c>
      <c r="C50" s="39" t="s">
        <v>17</v>
      </c>
      <c r="D50" s="39">
        <v>3</v>
      </c>
      <c r="E50" s="39"/>
      <c r="F50" s="39"/>
      <c r="G50" s="39"/>
      <c r="H50" s="40">
        <f>SUM(Tabla13242[[#This Row],[PRIMER TRIMESTRE]:[CUARTO TRIMESTRE]])</f>
        <v>3</v>
      </c>
      <c r="I50" s="17">
        <v>37500</v>
      </c>
      <c r="J50" s="17">
        <f t="shared" si="1"/>
        <v>112500</v>
      </c>
      <c r="K50" s="17"/>
      <c r="L50" s="16" t="s">
        <v>27</v>
      </c>
      <c r="M50" s="16"/>
      <c r="N50" s="39"/>
      <c r="O50" s="428"/>
      <c r="P50" s="427"/>
      <c r="Q50" s="27"/>
      <c r="T50" s="23"/>
    </row>
    <row r="51" spans="1:20" s="26" customFormat="1" ht="35.25" customHeight="1">
      <c r="A51" s="15" t="s">
        <v>948</v>
      </c>
      <c r="B51" s="106" t="s">
        <v>959</v>
      </c>
      <c r="C51" s="39" t="s">
        <v>17</v>
      </c>
      <c r="D51" s="39">
        <v>3</v>
      </c>
      <c r="E51" s="39"/>
      <c r="F51" s="39"/>
      <c r="G51" s="39"/>
      <c r="H51" s="40">
        <f>SUM(Tabla13242[[#This Row],[PRIMER TRIMESTRE]:[CUARTO TRIMESTRE]])</f>
        <v>3</v>
      </c>
      <c r="I51" s="17">
        <v>2627</v>
      </c>
      <c r="J51" s="17">
        <f t="shared" si="1"/>
        <v>7881</v>
      </c>
      <c r="K51" s="17"/>
      <c r="L51" s="16" t="s">
        <v>27</v>
      </c>
      <c r="M51" s="16"/>
      <c r="N51" s="39"/>
      <c r="O51" s="428"/>
      <c r="P51" s="427"/>
      <c r="Q51" s="27"/>
      <c r="T51" s="23"/>
    </row>
    <row r="52" spans="1:20" s="26" customFormat="1" ht="35.25" customHeight="1">
      <c r="A52" s="15" t="s">
        <v>948</v>
      </c>
      <c r="B52" s="75" t="s">
        <v>432</v>
      </c>
      <c r="C52" s="39" t="s">
        <v>17</v>
      </c>
      <c r="D52" s="39">
        <v>2</v>
      </c>
      <c r="E52" s="39"/>
      <c r="F52" s="39"/>
      <c r="G52" s="39"/>
      <c r="H52" s="40">
        <f>SUM(Tabla13242[[#This Row],[PRIMER TRIMESTRE]:[CUARTO TRIMESTRE]])</f>
        <v>2</v>
      </c>
      <c r="I52" s="17">
        <v>230</v>
      </c>
      <c r="J52" s="17">
        <f t="shared" si="1"/>
        <v>460</v>
      </c>
      <c r="K52" s="17"/>
      <c r="L52" s="16" t="s">
        <v>27</v>
      </c>
      <c r="M52" s="16"/>
      <c r="N52" s="39"/>
      <c r="O52" s="428"/>
      <c r="P52" s="427"/>
      <c r="Q52" s="27"/>
      <c r="T52" s="23"/>
    </row>
    <row r="53" spans="1:20" s="26" customFormat="1" ht="35.25" customHeight="1">
      <c r="A53" s="15" t="s">
        <v>948</v>
      </c>
      <c r="B53" s="75" t="s">
        <v>960</v>
      </c>
      <c r="C53" s="39" t="s">
        <v>17</v>
      </c>
      <c r="D53" s="39">
        <v>2</v>
      </c>
      <c r="E53" s="39"/>
      <c r="F53" s="39"/>
      <c r="G53" s="39"/>
      <c r="H53" s="40">
        <f>SUM(Tabla13242[[#This Row],[PRIMER TRIMESTRE]:[CUARTO TRIMESTRE]])</f>
        <v>2</v>
      </c>
      <c r="I53" s="17">
        <v>340</v>
      </c>
      <c r="J53" s="17">
        <f t="shared" si="1"/>
        <v>680</v>
      </c>
      <c r="K53" s="17"/>
      <c r="L53" s="16" t="s">
        <v>27</v>
      </c>
      <c r="M53" s="16"/>
      <c r="N53" s="39"/>
      <c r="O53" s="428"/>
      <c r="P53" s="427"/>
      <c r="Q53" s="27"/>
      <c r="T53" s="23"/>
    </row>
    <row r="54" spans="1:20" s="26" customFormat="1" ht="35.25" customHeight="1">
      <c r="A54" s="15" t="s">
        <v>948</v>
      </c>
      <c r="B54" s="75" t="s">
        <v>961</v>
      </c>
      <c r="C54" s="39" t="s">
        <v>17</v>
      </c>
      <c r="D54" s="39">
        <v>2</v>
      </c>
      <c r="E54" s="39"/>
      <c r="F54" s="39"/>
      <c r="G54" s="39"/>
      <c r="H54" s="40">
        <f>SUM(Tabla13242[[#This Row],[PRIMER TRIMESTRE]:[CUARTO TRIMESTRE]])</f>
        <v>2</v>
      </c>
      <c r="I54" s="17">
        <v>216</v>
      </c>
      <c r="J54" s="17">
        <f t="shared" si="1"/>
        <v>432</v>
      </c>
      <c r="K54" s="17"/>
      <c r="L54" s="16" t="s">
        <v>27</v>
      </c>
      <c r="M54" s="16"/>
      <c r="N54" s="39"/>
      <c r="O54" s="428"/>
      <c r="P54" s="427"/>
      <c r="Q54" s="27"/>
      <c r="T54" s="23"/>
    </row>
    <row r="55" spans="1:20" s="26" customFormat="1" ht="35.25" customHeight="1">
      <c r="A55" s="15" t="s">
        <v>948</v>
      </c>
      <c r="B55" s="75" t="s">
        <v>962</v>
      </c>
      <c r="C55" s="39" t="s">
        <v>17</v>
      </c>
      <c r="D55" s="39">
        <v>2</v>
      </c>
      <c r="E55" s="39"/>
      <c r="F55" s="39"/>
      <c r="G55" s="39"/>
      <c r="H55" s="40">
        <f>SUM(Tabla13242[[#This Row],[PRIMER TRIMESTRE]:[CUARTO TRIMESTRE]])</f>
        <v>2</v>
      </c>
      <c r="I55" s="17">
        <v>249.67</v>
      </c>
      <c r="J55" s="17">
        <f t="shared" si="1"/>
        <v>499.34</v>
      </c>
      <c r="K55" s="17"/>
      <c r="L55" s="16" t="s">
        <v>27</v>
      </c>
      <c r="M55" s="16"/>
      <c r="N55" s="39"/>
      <c r="O55" s="428"/>
      <c r="P55" s="427"/>
      <c r="Q55" s="27"/>
      <c r="T55" s="23"/>
    </row>
    <row r="56" spans="1:20" s="26" customFormat="1" ht="35.25" customHeight="1">
      <c r="A56" s="15" t="s">
        <v>948</v>
      </c>
      <c r="B56" s="75" t="s">
        <v>1958</v>
      </c>
      <c r="C56" s="39" t="s">
        <v>17</v>
      </c>
      <c r="D56" s="39">
        <v>2</v>
      </c>
      <c r="E56" s="39"/>
      <c r="F56" s="39"/>
      <c r="G56" s="39"/>
      <c r="H56" s="40">
        <f>SUM(Tabla13242[[#This Row],[PRIMER TRIMESTRE]:[CUARTO TRIMESTRE]])</f>
        <v>2</v>
      </c>
      <c r="I56" s="17">
        <v>428</v>
      </c>
      <c r="J56" s="17">
        <f t="shared" si="1"/>
        <v>856</v>
      </c>
      <c r="K56" s="17"/>
      <c r="L56" s="16" t="s">
        <v>27</v>
      </c>
      <c r="M56" s="16"/>
      <c r="N56" s="39"/>
      <c r="O56" s="428"/>
      <c r="P56" s="427"/>
      <c r="Q56" s="27"/>
      <c r="T56" s="23"/>
    </row>
    <row r="57" spans="1:20" s="26" customFormat="1" ht="35.25" customHeight="1">
      <c r="A57" s="15" t="s">
        <v>948</v>
      </c>
      <c r="B57" s="75" t="s">
        <v>1959</v>
      </c>
      <c r="C57" s="39" t="s">
        <v>17</v>
      </c>
      <c r="D57" s="39">
        <v>2</v>
      </c>
      <c r="E57" s="39"/>
      <c r="F57" s="39"/>
      <c r="G57" s="39"/>
      <c r="H57" s="40">
        <f>SUM(Tabla13242[[#This Row],[PRIMER TRIMESTRE]:[CUARTO TRIMESTRE]])</f>
        <v>2</v>
      </c>
      <c r="I57" s="17">
        <v>798</v>
      </c>
      <c r="J57" s="17">
        <f t="shared" si="1"/>
        <v>1596</v>
      </c>
      <c r="K57" s="17"/>
      <c r="L57" s="16" t="s">
        <v>27</v>
      </c>
      <c r="M57" s="16"/>
      <c r="N57" s="39"/>
      <c r="O57" s="428"/>
      <c r="P57" s="427"/>
      <c r="Q57" s="27"/>
      <c r="T57" s="23"/>
    </row>
    <row r="58" spans="1:20" s="26" customFormat="1" ht="35.25" customHeight="1">
      <c r="A58" s="15" t="s">
        <v>948</v>
      </c>
      <c r="B58" s="75" t="s">
        <v>1960</v>
      </c>
      <c r="C58" s="39" t="s">
        <v>17</v>
      </c>
      <c r="D58" s="39">
        <v>1</v>
      </c>
      <c r="E58" s="39"/>
      <c r="F58" s="39"/>
      <c r="G58" s="39"/>
      <c r="H58" s="40">
        <f>SUM(Tabla13242[[#This Row],[PRIMER TRIMESTRE]:[CUARTO TRIMESTRE]])</f>
        <v>1</v>
      </c>
      <c r="I58" s="17">
        <v>1185</v>
      </c>
      <c r="J58" s="17">
        <f t="shared" si="1"/>
        <v>1185</v>
      </c>
      <c r="K58" s="17"/>
      <c r="L58" s="16" t="s">
        <v>27</v>
      </c>
      <c r="M58" s="16"/>
      <c r="N58" s="39"/>
      <c r="O58" s="428"/>
      <c r="P58" s="427"/>
      <c r="Q58" s="27"/>
      <c r="T58" s="23"/>
    </row>
    <row r="59" spans="1:20" s="26" customFormat="1" ht="35.25" customHeight="1">
      <c r="A59" s="15" t="s">
        <v>948</v>
      </c>
      <c r="B59" s="106" t="s">
        <v>963</v>
      </c>
      <c r="C59" s="39" t="s">
        <v>17</v>
      </c>
      <c r="D59" s="39">
        <v>3</v>
      </c>
      <c r="E59" s="39"/>
      <c r="F59" s="39"/>
      <c r="G59" s="39"/>
      <c r="H59" s="40">
        <f>SUM(Tabla13242[[#This Row],[PRIMER TRIMESTRE]:[CUARTO TRIMESTRE]])</f>
        <v>3</v>
      </c>
      <c r="I59" s="17">
        <v>2552.54</v>
      </c>
      <c r="J59" s="17">
        <f t="shared" si="1"/>
        <v>7657.62</v>
      </c>
      <c r="K59" s="17"/>
      <c r="L59" s="16" t="s">
        <v>27</v>
      </c>
      <c r="M59" s="16"/>
      <c r="N59" s="39"/>
      <c r="O59" s="428"/>
      <c r="P59" s="427"/>
      <c r="Q59" s="27"/>
      <c r="T59" s="23"/>
    </row>
    <row r="60" spans="1:20" s="26" customFormat="1" ht="35.25" customHeight="1">
      <c r="A60" s="22" t="s">
        <v>948</v>
      </c>
      <c r="B60" s="76"/>
      <c r="C60" s="42"/>
      <c r="D60" s="42"/>
      <c r="E60" s="42"/>
      <c r="F60" s="42"/>
      <c r="G60" s="42"/>
      <c r="H60" s="42"/>
      <c r="I60" s="42"/>
      <c r="J60" s="42"/>
      <c r="K60" s="25">
        <f>SUM(J30:J59)</f>
        <v>4040989.13</v>
      </c>
      <c r="L60" s="23"/>
      <c r="M60" s="23"/>
      <c r="N60" s="42"/>
      <c r="O60" s="428"/>
      <c r="P60" s="427"/>
      <c r="Q60" s="27"/>
      <c r="T60" s="23"/>
    </row>
    <row r="61" spans="1:20" s="12" customFormat="1" ht="41.25" customHeight="1">
      <c r="A61" s="15" t="s">
        <v>167</v>
      </c>
      <c r="B61" s="75" t="s">
        <v>1961</v>
      </c>
      <c r="C61" s="39" t="s">
        <v>17</v>
      </c>
      <c r="D61" s="39">
        <v>15</v>
      </c>
      <c r="E61" s="39">
        <v>15</v>
      </c>
      <c r="F61" s="39">
        <v>15</v>
      </c>
      <c r="G61" s="39">
        <v>15</v>
      </c>
      <c r="H61" s="40">
        <f>SUM(Tabla13242[[#This Row],[PRIMER TRIMESTRE]:[CUARTO TRIMESTRE]])</f>
        <v>60</v>
      </c>
      <c r="I61" s="17">
        <v>440076.45247666654</v>
      </c>
      <c r="J61" s="17">
        <f>+H61*I61</f>
        <v>26404587.148599993</v>
      </c>
      <c r="K61" s="17"/>
      <c r="L61" s="16"/>
      <c r="M61" s="16"/>
      <c r="N61" s="39"/>
      <c r="O61" s="426" t="e">
        <f>+#REF!/4</f>
        <v>#REF!</v>
      </c>
      <c r="P61" s="429" t="e">
        <f>+#REF!/60</f>
        <v>#REF!</v>
      </c>
      <c r="Q61" s="19"/>
      <c r="T61" s="16"/>
    </row>
    <row r="62" spans="1:20" s="12" customFormat="1" ht="41.25" customHeight="1">
      <c r="A62" s="15" t="s">
        <v>167</v>
      </c>
      <c r="B62" s="75" t="s">
        <v>1022</v>
      </c>
      <c r="C62" s="39" t="s">
        <v>17</v>
      </c>
      <c r="D62" s="39">
        <v>6</v>
      </c>
      <c r="E62" s="39">
        <v>6</v>
      </c>
      <c r="F62" s="39">
        <v>6</v>
      </c>
      <c r="G62" s="39">
        <v>6</v>
      </c>
      <c r="H62" s="40">
        <f>SUM(Tabla13242[[#This Row],[PRIMER TRIMESTRE]:[CUARTO TRIMESTRE]])</f>
        <v>24</v>
      </c>
      <c r="I62" s="17">
        <v>235000</v>
      </c>
      <c r="J62" s="17">
        <f>+H62*I62</f>
        <v>5640000</v>
      </c>
      <c r="K62" s="17"/>
      <c r="L62" s="16" t="s">
        <v>27</v>
      </c>
      <c r="M62" s="16"/>
      <c r="N62" s="39"/>
      <c r="O62" s="426"/>
      <c r="P62" s="425"/>
      <c r="Q62" s="19"/>
      <c r="T62" s="16"/>
    </row>
    <row r="63" spans="1:20" s="26" customFormat="1" ht="27.75" customHeight="1">
      <c r="A63" s="22" t="s">
        <v>167</v>
      </c>
      <c r="B63" s="76" t="s">
        <v>891</v>
      </c>
      <c r="C63" s="42"/>
      <c r="D63" s="42"/>
      <c r="E63" s="42"/>
      <c r="F63" s="42"/>
      <c r="G63" s="42"/>
      <c r="H63" s="43"/>
      <c r="I63" s="24"/>
      <c r="J63" s="24"/>
      <c r="K63" s="25">
        <f>SUM(J61:J62)</f>
        <v>32044587.148599993</v>
      </c>
      <c r="L63" s="23"/>
      <c r="M63" s="23"/>
      <c r="N63" s="42"/>
      <c r="O63" s="427"/>
      <c r="P63" s="427"/>
      <c r="Q63" s="27"/>
      <c r="T63" s="23"/>
    </row>
    <row r="64" spans="1:20" s="12" customFormat="1" ht="57" customHeight="1">
      <c r="A64" s="15" t="s">
        <v>1024</v>
      </c>
      <c r="B64" s="75" t="s">
        <v>1026</v>
      </c>
      <c r="C64" s="39" t="s">
        <v>17</v>
      </c>
      <c r="D64" s="39">
        <v>1</v>
      </c>
      <c r="E64" s="39"/>
      <c r="F64" s="39"/>
      <c r="G64" s="39"/>
      <c r="H64" s="406">
        <f>SUM(Tabla13242[[#This Row],[PRIMER TRIMESTRE]:[CUARTO TRIMESTRE]])</f>
        <v>1</v>
      </c>
      <c r="I64" s="17">
        <v>485677.62</v>
      </c>
      <c r="J64" s="17">
        <f>+Tabla13242[[#This Row],[CANTIDAD TOTAL]]*Tabla13242[[#This Row],[PRECIO UNITARIO ESTIMADO]]</f>
        <v>485677.62</v>
      </c>
      <c r="K64" s="17"/>
      <c r="L64" s="16" t="s">
        <v>27</v>
      </c>
      <c r="M64" s="16"/>
      <c r="N64" s="39"/>
      <c r="O64" s="425"/>
      <c r="P64" s="425"/>
    </row>
    <row r="65" spans="1:20" s="12" customFormat="1" ht="48" customHeight="1">
      <c r="A65" s="15" t="s">
        <v>1024</v>
      </c>
      <c r="B65" s="75" t="s">
        <v>1027</v>
      </c>
      <c r="C65" s="39" t="s">
        <v>17</v>
      </c>
      <c r="D65" s="39">
        <v>1</v>
      </c>
      <c r="E65" s="39"/>
      <c r="F65" s="39"/>
      <c r="G65" s="39"/>
      <c r="H65" s="406">
        <f>SUM(Tabla13242[[#This Row],[PRIMER TRIMESTRE]:[CUARTO TRIMESTRE]])</f>
        <v>1</v>
      </c>
      <c r="I65" s="17">
        <v>7126452.3600000003</v>
      </c>
      <c r="J65" s="17">
        <f>+H65*I65</f>
        <v>7126452.3600000003</v>
      </c>
      <c r="K65" s="17"/>
      <c r="L65" s="16" t="s">
        <v>27</v>
      </c>
      <c r="M65" s="16"/>
      <c r="N65" s="39"/>
      <c r="O65" s="425"/>
      <c r="P65" s="425"/>
    </row>
    <row r="66" spans="1:20" s="12" customFormat="1" ht="45" customHeight="1">
      <c r="A66" s="15" t="s">
        <v>1024</v>
      </c>
      <c r="B66" s="75" t="s">
        <v>1028</v>
      </c>
      <c r="C66" s="39" t="s">
        <v>17</v>
      </c>
      <c r="D66" s="39">
        <v>10</v>
      </c>
      <c r="E66" s="39">
        <v>10</v>
      </c>
      <c r="F66" s="39">
        <v>10</v>
      </c>
      <c r="G66" s="39">
        <v>10</v>
      </c>
      <c r="H66" s="406">
        <f>SUM(Tabla13242[[#This Row],[PRIMER TRIMESTRE]:[CUARTO TRIMESTRE]])</f>
        <v>40</v>
      </c>
      <c r="I66" s="17">
        <v>52892.2</v>
      </c>
      <c r="J66" s="17">
        <f>+H66*I66</f>
        <v>2115688</v>
      </c>
      <c r="K66" s="17"/>
      <c r="L66" s="16" t="s">
        <v>27</v>
      </c>
      <c r="M66" s="16"/>
      <c r="N66" s="39"/>
      <c r="O66" s="426"/>
      <c r="P66" s="425"/>
    </row>
    <row r="67" spans="1:20" s="12" customFormat="1" ht="43.5" customHeight="1">
      <c r="A67" s="15" t="s">
        <v>1024</v>
      </c>
      <c r="B67" s="75" t="s">
        <v>1029</v>
      </c>
      <c r="C67" s="39" t="s">
        <v>17</v>
      </c>
      <c r="D67" s="39">
        <v>20</v>
      </c>
      <c r="E67" s="39">
        <v>20</v>
      </c>
      <c r="F67" s="39">
        <v>20</v>
      </c>
      <c r="G67" s="39">
        <v>20</v>
      </c>
      <c r="H67" s="406">
        <f>SUM(Tabla13242[[#This Row],[PRIMER TRIMESTRE]:[CUARTO TRIMESTRE]])</f>
        <v>80</v>
      </c>
      <c r="I67" s="17">
        <v>134185.97999999998</v>
      </c>
      <c r="J67" s="17">
        <f>+H67*I67</f>
        <v>10734878.399999999</v>
      </c>
      <c r="K67" s="17"/>
      <c r="L67" s="16" t="s">
        <v>27</v>
      </c>
      <c r="M67" s="16"/>
      <c r="N67" s="39"/>
      <c r="O67" s="426"/>
      <c r="P67" s="425"/>
    </row>
    <row r="68" spans="1:20" s="12" customFormat="1" ht="49.5" customHeight="1">
      <c r="A68" s="15" t="s">
        <v>1024</v>
      </c>
      <c r="B68" s="75" t="s">
        <v>1030</v>
      </c>
      <c r="C68" s="39" t="s">
        <v>17</v>
      </c>
      <c r="D68" s="39">
        <v>7</v>
      </c>
      <c r="E68" s="39">
        <v>8</v>
      </c>
      <c r="F68" s="39">
        <v>7</v>
      </c>
      <c r="G68" s="39">
        <v>8</v>
      </c>
      <c r="H68" s="406">
        <f>SUM(Tabla13242[[#This Row],[PRIMER TRIMESTRE]:[CUARTO TRIMESTRE]])</f>
        <v>30</v>
      </c>
      <c r="I68" s="17">
        <v>624559.46</v>
      </c>
      <c r="J68" s="17">
        <f>+H68*I68</f>
        <v>18736783.799999997</v>
      </c>
      <c r="K68" s="17"/>
      <c r="L68" s="16" t="s">
        <v>27</v>
      </c>
      <c r="M68" s="16"/>
      <c r="N68" s="39"/>
      <c r="O68" s="426"/>
      <c r="P68" s="425"/>
    </row>
    <row r="69" spans="1:20" s="26" customFormat="1" ht="53.25" customHeight="1">
      <c r="A69" s="22" t="s">
        <v>1024</v>
      </c>
      <c r="B69" s="76"/>
      <c r="C69" s="42"/>
      <c r="D69" s="42"/>
      <c r="E69" s="42"/>
      <c r="F69" s="42"/>
      <c r="G69" s="42"/>
      <c r="H69" s="43"/>
      <c r="I69" s="24"/>
      <c r="J69" s="24"/>
      <c r="K69" s="25">
        <f>SUM(J64:J68)</f>
        <v>39199480.179999992</v>
      </c>
      <c r="L69" s="23"/>
      <c r="M69" s="23"/>
      <c r="N69" s="42"/>
      <c r="O69" s="427"/>
      <c r="P69" s="427"/>
      <c r="Q69" s="27"/>
      <c r="T69" s="23"/>
    </row>
    <row r="70" spans="1:20" s="169" customFormat="1" ht="48.75" customHeight="1">
      <c r="A70" s="15"/>
      <c r="B70" s="75" t="s">
        <v>1962</v>
      </c>
      <c r="C70" s="70" t="s">
        <v>17</v>
      </c>
      <c r="D70" s="70">
        <v>1</v>
      </c>
      <c r="E70" s="70"/>
      <c r="F70" s="70"/>
      <c r="G70" s="70"/>
      <c r="H70" s="406">
        <f>SUM(Tabla13242[[#This Row],[PRIMER TRIMESTRE]:[CUARTO TRIMESTRE]])</f>
        <v>1</v>
      </c>
      <c r="I70" s="72">
        <v>6363496.3600000003</v>
      </c>
      <c r="J70" s="17">
        <f>+H70*I70</f>
        <v>6363496.3600000003</v>
      </c>
      <c r="K70" s="72"/>
      <c r="L70" s="16"/>
      <c r="M70" s="16"/>
      <c r="N70" s="39"/>
      <c r="O70" s="426"/>
      <c r="P70" s="425"/>
    </row>
    <row r="71" spans="1:20" s="169" customFormat="1" ht="43.5" customHeight="1">
      <c r="A71" s="15"/>
      <c r="B71" s="75" t="s">
        <v>1963</v>
      </c>
      <c r="C71" s="70" t="s">
        <v>17</v>
      </c>
      <c r="D71" s="70">
        <v>1</v>
      </c>
      <c r="E71" s="70"/>
      <c r="F71" s="70"/>
      <c r="G71" s="70"/>
      <c r="H71" s="406">
        <f>SUM(Tabla13242[[#This Row],[PRIMER TRIMESTRE]:[CUARTO TRIMESTRE]])</f>
        <v>1</v>
      </c>
      <c r="I71" s="72">
        <v>7371418.1760000009</v>
      </c>
      <c r="J71" s="17">
        <f>+H71*I71</f>
        <v>7371418.1760000009</v>
      </c>
      <c r="K71" s="72"/>
      <c r="L71" s="16"/>
      <c r="M71" s="16"/>
      <c r="N71" s="39"/>
      <c r="O71" s="426"/>
      <c r="P71" s="425"/>
    </row>
    <row r="72" spans="1:20" s="169" customFormat="1" ht="41.25" customHeight="1">
      <c r="A72" s="15"/>
      <c r="B72" s="75" t="s">
        <v>1964</v>
      </c>
      <c r="C72" s="70" t="s">
        <v>17</v>
      </c>
      <c r="D72" s="70"/>
      <c r="E72" s="70"/>
      <c r="F72" s="70"/>
      <c r="G72" s="70">
        <v>1</v>
      </c>
      <c r="H72" s="406">
        <f>SUM(Tabla13242[[#This Row],[PRIMER TRIMESTRE]:[CUARTO TRIMESTRE]])</f>
        <v>1</v>
      </c>
      <c r="I72" s="72">
        <v>1500000</v>
      </c>
      <c r="J72" s="17">
        <f>+H72*I72</f>
        <v>1500000</v>
      </c>
      <c r="K72" s="72"/>
      <c r="L72" s="16"/>
      <c r="M72" s="16"/>
      <c r="N72" s="39"/>
      <c r="O72" s="426"/>
      <c r="P72" s="425"/>
    </row>
    <row r="73" spans="1:20" s="26" customFormat="1" ht="49.5" customHeight="1">
      <c r="A73" s="76" t="s">
        <v>1965</v>
      </c>
      <c r="B73" s="76"/>
      <c r="C73" s="42"/>
      <c r="D73" s="42"/>
      <c r="E73" s="42"/>
      <c r="F73" s="42"/>
      <c r="G73" s="42"/>
      <c r="H73" s="43"/>
      <c r="I73" s="24"/>
      <c r="J73" s="24"/>
      <c r="K73" s="25">
        <f>SUM(J70:J72)</f>
        <v>15234914.536000002</v>
      </c>
      <c r="L73" s="23"/>
      <c r="M73" s="23"/>
      <c r="N73" s="42"/>
      <c r="O73" s="427"/>
      <c r="Q73" s="27"/>
      <c r="T73" s="23"/>
    </row>
    <row r="74" spans="1:20" s="169" customFormat="1" ht="49.5" customHeight="1">
      <c r="A74" s="430"/>
      <c r="B74" s="75" t="s">
        <v>1966</v>
      </c>
      <c r="C74" s="70" t="s">
        <v>17</v>
      </c>
      <c r="D74" s="70"/>
      <c r="E74" s="70">
        <v>1</v>
      </c>
      <c r="F74" s="70"/>
      <c r="G74" s="70"/>
      <c r="H74" s="406">
        <f>SUM(Tabla13242[[#This Row],[PRIMER TRIMESTRE]:[CUARTO TRIMESTRE]])</f>
        <v>1</v>
      </c>
      <c r="I74" s="72">
        <v>4595898</v>
      </c>
      <c r="J74" s="17">
        <f>+H74*I74</f>
        <v>4595898</v>
      </c>
      <c r="K74" s="72"/>
      <c r="L74" s="16"/>
      <c r="M74" s="16"/>
      <c r="N74" s="39"/>
      <c r="O74" s="425"/>
    </row>
    <row r="75" spans="1:20" s="12" customFormat="1" ht="25.5">
      <c r="A75" s="15"/>
      <c r="B75" s="75" t="s">
        <v>1967</v>
      </c>
      <c r="C75" s="39" t="s">
        <v>17</v>
      </c>
      <c r="D75" s="39">
        <v>1</v>
      </c>
      <c r="E75" s="39"/>
      <c r="F75" s="39"/>
      <c r="G75" s="39"/>
      <c r="H75" s="406">
        <f>SUM(Tabla13242[[#This Row],[PRIMER TRIMESTRE]:[CUARTO TRIMESTRE]])</f>
        <v>1</v>
      </c>
      <c r="I75" s="17">
        <v>4500000</v>
      </c>
      <c r="J75" s="17">
        <f>+H75*I75</f>
        <v>4500000</v>
      </c>
      <c r="K75" s="17"/>
      <c r="L75" s="16"/>
      <c r="M75" s="16" t="s">
        <v>1968</v>
      </c>
      <c r="N75" s="39"/>
      <c r="O75" s="425"/>
    </row>
    <row r="76" spans="1:20" s="12" customFormat="1">
      <c r="A76" s="15"/>
      <c r="B76" s="75" t="s">
        <v>1969</v>
      </c>
      <c r="C76" s="39" t="s">
        <v>17</v>
      </c>
      <c r="D76" s="39"/>
      <c r="E76" s="39"/>
      <c r="F76" s="39"/>
      <c r="G76" s="39">
        <v>1</v>
      </c>
      <c r="H76" s="406">
        <f>SUM(Tabla13242[[#This Row],[PRIMER TRIMESTRE]:[CUARTO TRIMESTRE]])</f>
        <v>1</v>
      </c>
      <c r="I76" s="17">
        <v>6000000</v>
      </c>
      <c r="J76" s="17">
        <f>+H76*I76</f>
        <v>6000000</v>
      </c>
      <c r="K76" s="17"/>
      <c r="L76" s="16"/>
      <c r="M76" s="16" t="s">
        <v>1968</v>
      </c>
      <c r="N76" s="39"/>
      <c r="O76" s="426"/>
    </row>
    <row r="77" spans="1:20" s="12" customFormat="1" ht="38.25">
      <c r="A77" s="15"/>
      <c r="B77" s="75" t="s">
        <v>1970</v>
      </c>
      <c r="C77" s="39" t="s">
        <v>17</v>
      </c>
      <c r="D77" s="39"/>
      <c r="E77" s="39"/>
      <c r="F77" s="39"/>
      <c r="G77" s="39">
        <v>1</v>
      </c>
      <c r="H77" s="406">
        <f>SUM(Tabla13242[[#This Row],[PRIMER TRIMESTRE]:[CUARTO TRIMESTRE]])</f>
        <v>1</v>
      </c>
      <c r="I77" s="17">
        <v>5000000</v>
      </c>
      <c r="J77" s="17">
        <f>+H77*I77</f>
        <v>5000000</v>
      </c>
      <c r="K77" s="17"/>
      <c r="L77" s="16"/>
      <c r="M77" s="16" t="s">
        <v>1968</v>
      </c>
      <c r="N77" s="39"/>
      <c r="O77" s="426"/>
    </row>
    <row r="78" spans="1:20" s="26" customFormat="1" ht="35.25" customHeight="1">
      <c r="A78" s="76" t="s">
        <v>1971</v>
      </c>
      <c r="B78" s="76"/>
      <c r="C78" s="42"/>
      <c r="D78" s="42"/>
      <c r="E78" s="42"/>
      <c r="F78" s="42"/>
      <c r="G78" s="42"/>
      <c r="H78" s="43"/>
      <c r="I78" s="24"/>
      <c r="J78" s="24"/>
      <c r="K78" s="25">
        <f>SUM(J74:J77)</f>
        <v>20095898</v>
      </c>
      <c r="L78" s="23"/>
      <c r="M78" s="23"/>
      <c r="N78" s="42"/>
      <c r="O78" s="427"/>
      <c r="Q78" s="27"/>
      <c r="T78" s="23"/>
    </row>
    <row r="79" spans="1:20" s="12" customFormat="1" ht="25.5">
      <c r="A79" s="15"/>
      <c r="B79" s="75" t="s">
        <v>1972</v>
      </c>
      <c r="C79" s="39" t="s">
        <v>17</v>
      </c>
      <c r="D79" s="39"/>
      <c r="E79" s="39">
        <v>1</v>
      </c>
      <c r="F79" s="39"/>
      <c r="G79" s="39"/>
      <c r="H79" s="406">
        <f>SUM(Tabla13242[[#This Row],[PRIMER TRIMESTRE]:[CUARTO TRIMESTRE]])</f>
        <v>1</v>
      </c>
      <c r="I79" s="17">
        <f>8170000/2</f>
        <v>4085000</v>
      </c>
      <c r="J79" s="17">
        <f>+H79*I79</f>
        <v>4085000</v>
      </c>
      <c r="K79" s="17"/>
      <c r="L79" s="16"/>
      <c r="M79" s="16" t="s">
        <v>1968</v>
      </c>
      <c r="N79" s="39"/>
      <c r="O79" s="425"/>
    </row>
    <row r="80" spans="1:20" s="12" customFormat="1" ht="38.25">
      <c r="A80" s="15"/>
      <c r="B80" s="75" t="s">
        <v>1973</v>
      </c>
      <c r="C80" s="39" t="s">
        <v>17</v>
      </c>
      <c r="D80" s="39"/>
      <c r="E80" s="39"/>
      <c r="F80" s="39">
        <v>1</v>
      </c>
      <c r="G80" s="39"/>
      <c r="H80" s="406">
        <f>SUM(Tabla13242[[#This Row],[PRIMER TRIMESTRE]:[CUARTO TRIMESTRE]])</f>
        <v>1</v>
      </c>
      <c r="I80" s="17">
        <v>2260000</v>
      </c>
      <c r="J80" s="17">
        <f>+H80*I80</f>
        <v>2260000</v>
      </c>
      <c r="K80" s="17"/>
      <c r="L80" s="16"/>
      <c r="M80" s="16" t="s">
        <v>1968</v>
      </c>
      <c r="N80" s="39"/>
      <c r="O80" s="425"/>
    </row>
    <row r="81" spans="1:16384" s="12" customFormat="1" ht="31.5">
      <c r="A81" s="22" t="s">
        <v>1974</v>
      </c>
      <c r="B81" s="76"/>
      <c r="C81" s="42"/>
      <c r="D81" s="42"/>
      <c r="E81" s="42"/>
      <c r="F81" s="42"/>
      <c r="G81" s="42"/>
      <c r="H81" s="43"/>
      <c r="I81" s="24"/>
      <c r="J81" s="24"/>
      <c r="K81" s="25">
        <f>SUBTOTAL(109,J79:J80)</f>
        <v>6345000</v>
      </c>
      <c r="L81" s="23"/>
      <c r="M81" s="23"/>
      <c r="N81" s="42"/>
      <c r="O81" s="431">
        <f>+Tabla13242[[#This Row],[COSTO TOTAL POR CÓDIGO DE CATÁLOGO DE BIENES Y SERVICIOS (CBS)]]+K78+K73</f>
        <v>41675812.535999998</v>
      </c>
      <c r="P81" s="22"/>
      <c r="Q81" s="76"/>
      <c r="R81" s="42"/>
      <c r="S81" s="42"/>
      <c r="T81" s="42"/>
      <c r="U81" s="42"/>
      <c r="V81" s="42"/>
      <c r="W81" s="43"/>
      <c r="X81" s="24"/>
      <c r="Y81" s="24"/>
      <c r="Z81" s="25"/>
      <c r="AA81" s="23"/>
      <c r="AB81" s="23"/>
      <c r="AC81" s="42"/>
      <c r="AD81" s="427"/>
      <c r="AE81" s="22"/>
      <c r="AF81" s="76"/>
      <c r="AG81" s="42"/>
      <c r="AH81" s="42"/>
      <c r="AI81" s="42"/>
      <c r="AJ81" s="42"/>
      <c r="AK81" s="42"/>
      <c r="AL81" s="43"/>
      <c r="AM81" s="24"/>
      <c r="AN81" s="24"/>
      <c r="AO81" s="25"/>
      <c r="AP81" s="23"/>
      <c r="AQ81" s="23"/>
      <c r="AR81" s="42"/>
      <c r="AS81" s="427"/>
      <c r="AT81" s="22"/>
      <c r="AU81" s="76"/>
      <c r="AV81" s="42"/>
      <c r="AW81" s="42"/>
      <c r="AX81" s="42"/>
      <c r="AY81" s="42"/>
      <c r="AZ81" s="42"/>
      <c r="BA81" s="43"/>
      <c r="BB81" s="24"/>
      <c r="BC81" s="24"/>
      <c r="BD81" s="25"/>
      <c r="BE81" s="23"/>
      <c r="BF81" s="23"/>
      <c r="BG81" s="42"/>
      <c r="BH81" s="427"/>
      <c r="BI81" s="22"/>
      <c r="BJ81" s="76"/>
      <c r="BK81" s="42"/>
      <c r="BL81" s="42"/>
      <c r="BM81" s="42"/>
      <c r="BN81" s="42"/>
      <c r="BO81" s="42"/>
      <c r="BP81" s="43"/>
      <c r="BQ81" s="24"/>
      <c r="BR81" s="24"/>
      <c r="BS81" s="25"/>
      <c r="BT81" s="23"/>
      <c r="BU81" s="23"/>
      <c r="BV81" s="42"/>
      <c r="BW81" s="427"/>
      <c r="BX81" s="22"/>
      <c r="BY81" s="76"/>
      <c r="BZ81" s="42"/>
      <c r="CA81" s="42"/>
      <c r="CB81" s="42"/>
      <c r="CC81" s="42"/>
      <c r="CD81" s="42"/>
      <c r="CE81" s="43"/>
      <c r="CF81" s="24"/>
      <c r="CG81" s="24"/>
      <c r="CH81" s="25"/>
      <c r="CI81" s="23"/>
      <c r="CJ81" s="23"/>
      <c r="CK81" s="42"/>
      <c r="CL81" s="427"/>
      <c r="CM81" s="22"/>
      <c r="CN81" s="76"/>
      <c r="CO81" s="42"/>
      <c r="CP81" s="42"/>
      <c r="CQ81" s="42"/>
      <c r="CR81" s="42"/>
      <c r="CS81" s="42"/>
      <c r="CT81" s="43"/>
      <c r="CU81" s="24"/>
      <c r="CV81" s="24"/>
      <c r="CW81" s="25"/>
      <c r="CX81" s="23"/>
      <c r="CY81" s="23"/>
      <c r="CZ81" s="42"/>
      <c r="DA81" s="427"/>
      <c r="DB81" s="22"/>
      <c r="DC81" s="76"/>
      <c r="DD81" s="42"/>
      <c r="DE81" s="42"/>
      <c r="DF81" s="42"/>
      <c r="DG81" s="42"/>
      <c r="DH81" s="42"/>
      <c r="DI81" s="43"/>
      <c r="DJ81" s="24"/>
      <c r="DK81" s="24"/>
      <c r="DL81" s="25"/>
      <c r="DM81" s="23"/>
      <c r="DN81" s="23"/>
      <c r="DO81" s="42"/>
      <c r="DP81" s="427"/>
      <c r="DQ81" s="22"/>
      <c r="DR81" s="76"/>
      <c r="DS81" s="42"/>
      <c r="DT81" s="42"/>
      <c r="DU81" s="42"/>
      <c r="DV81" s="42"/>
      <c r="DW81" s="42"/>
      <c r="DX81" s="43"/>
      <c r="DY81" s="24"/>
      <c r="DZ81" s="24"/>
      <c r="EA81" s="25"/>
      <c r="EB81" s="23"/>
      <c r="EC81" s="23"/>
      <c r="ED81" s="42"/>
      <c r="EE81" s="427"/>
      <c r="EF81" s="22"/>
      <c r="EG81" s="76"/>
      <c r="EH81" s="42"/>
      <c r="EI81" s="42"/>
      <c r="EJ81" s="42"/>
      <c r="EK81" s="42"/>
      <c r="EL81" s="42"/>
      <c r="EM81" s="43"/>
      <c r="EN81" s="24"/>
      <c r="EO81" s="24"/>
      <c r="EP81" s="25"/>
      <c r="EQ81" s="23"/>
      <c r="ER81" s="23"/>
      <c r="ES81" s="42"/>
      <c r="ET81" s="427"/>
      <c r="EU81" s="22"/>
      <c r="EV81" s="76"/>
      <c r="EW81" s="42"/>
      <c r="EX81" s="42"/>
      <c r="EY81" s="42"/>
      <c r="EZ81" s="42"/>
      <c r="FA81" s="42"/>
      <c r="FB81" s="43"/>
      <c r="FC81" s="24"/>
      <c r="FD81" s="24"/>
      <c r="FE81" s="25"/>
      <c r="FF81" s="23"/>
      <c r="FG81" s="23"/>
      <c r="FH81" s="42"/>
      <c r="FI81" s="427"/>
      <c r="FJ81" s="22"/>
      <c r="FK81" s="76"/>
      <c r="FL81" s="42"/>
      <c r="FM81" s="42"/>
      <c r="FN81" s="42"/>
      <c r="FO81" s="42"/>
      <c r="FP81" s="42"/>
      <c r="FQ81" s="43"/>
      <c r="FR81" s="24"/>
      <c r="FS81" s="24"/>
      <c r="FT81" s="25"/>
      <c r="FU81" s="23"/>
      <c r="FV81" s="23"/>
      <c r="FW81" s="42"/>
      <c r="FX81" s="427"/>
      <c r="FY81" s="22"/>
      <c r="FZ81" s="76"/>
      <c r="GA81" s="42"/>
      <c r="GB81" s="42"/>
      <c r="GC81" s="42"/>
      <c r="GD81" s="42"/>
      <c r="GE81" s="42"/>
      <c r="GF81" s="43"/>
      <c r="GG81" s="24"/>
      <c r="GH81" s="24"/>
      <c r="GI81" s="25"/>
      <c r="GJ81" s="23"/>
      <c r="GK81" s="23"/>
      <c r="GL81" s="42"/>
      <c r="GM81" s="427"/>
      <c r="GN81" s="22"/>
      <c r="GO81" s="76"/>
      <c r="GP81" s="42"/>
      <c r="GQ81" s="42"/>
      <c r="GR81" s="42"/>
      <c r="GS81" s="42"/>
      <c r="GT81" s="42"/>
      <c r="GU81" s="43"/>
      <c r="GV81" s="24"/>
      <c r="GW81" s="24"/>
      <c r="GX81" s="25"/>
      <c r="GY81" s="23"/>
      <c r="GZ81" s="23"/>
      <c r="HA81" s="42"/>
      <c r="HB81" s="427"/>
      <c r="HC81" s="22"/>
      <c r="HD81" s="76"/>
      <c r="HE81" s="42"/>
      <c r="HF81" s="42"/>
      <c r="HG81" s="42"/>
      <c r="HH81" s="42"/>
      <c r="HI81" s="42"/>
      <c r="HJ81" s="43"/>
      <c r="HK81" s="24"/>
      <c r="HL81" s="24"/>
      <c r="HM81" s="25"/>
      <c r="HN81" s="23"/>
      <c r="HO81" s="23"/>
      <c r="HP81" s="42"/>
      <c r="HQ81" s="427"/>
      <c r="HR81" s="22"/>
      <c r="HS81" s="76"/>
      <c r="HT81" s="42"/>
      <c r="HU81" s="42"/>
      <c r="HV81" s="42"/>
      <c r="HW81" s="42"/>
      <c r="HX81" s="42"/>
      <c r="HY81" s="43"/>
      <c r="HZ81" s="24"/>
      <c r="IA81" s="24"/>
      <c r="IB81" s="25"/>
      <c r="IC81" s="23"/>
      <c r="ID81" s="23"/>
      <c r="IE81" s="42"/>
      <c r="IF81" s="427"/>
      <c r="IG81" s="22"/>
      <c r="IH81" s="76"/>
      <c r="II81" s="42"/>
      <c r="IJ81" s="42"/>
      <c r="IK81" s="42"/>
      <c r="IL81" s="42"/>
      <c r="IM81" s="42"/>
      <c r="IN81" s="43"/>
      <c r="IO81" s="24"/>
      <c r="IP81" s="24"/>
      <c r="IQ81" s="25"/>
      <c r="IR81" s="23"/>
      <c r="IS81" s="23"/>
      <c r="IT81" s="42"/>
      <c r="IU81" s="427"/>
      <c r="IV81" s="22"/>
      <c r="IW81" s="76"/>
      <c r="IX81" s="42"/>
      <c r="IY81" s="42"/>
      <c r="IZ81" s="42"/>
      <c r="JA81" s="42"/>
      <c r="JB81" s="42"/>
      <c r="JC81" s="43"/>
      <c r="JD81" s="24"/>
      <c r="JE81" s="24"/>
      <c r="JF81" s="25"/>
      <c r="JG81" s="23"/>
      <c r="JH81" s="23"/>
      <c r="JI81" s="42"/>
      <c r="JJ81" s="427"/>
      <c r="JK81" s="22"/>
      <c r="JL81" s="76"/>
      <c r="JM81" s="42"/>
      <c r="JN81" s="42"/>
      <c r="JO81" s="42"/>
      <c r="JP81" s="42"/>
      <c r="JQ81" s="42"/>
      <c r="JR81" s="43"/>
      <c r="JS81" s="24"/>
      <c r="JT81" s="24"/>
      <c r="JU81" s="25"/>
      <c r="JV81" s="23"/>
      <c r="JW81" s="23"/>
      <c r="JX81" s="42"/>
      <c r="JY81" s="427"/>
      <c r="JZ81" s="22"/>
      <c r="KA81" s="76"/>
      <c r="KB81" s="42"/>
      <c r="KC81" s="42"/>
      <c r="KD81" s="42"/>
      <c r="KE81" s="42"/>
      <c r="KF81" s="42"/>
      <c r="KG81" s="43"/>
      <c r="KH81" s="24"/>
      <c r="KI81" s="24"/>
      <c r="KJ81" s="25"/>
      <c r="KK81" s="23"/>
      <c r="KL81" s="23"/>
      <c r="KM81" s="42"/>
      <c r="KN81" s="427"/>
      <c r="KO81" s="22"/>
      <c r="KP81" s="76"/>
      <c r="KQ81" s="42"/>
      <c r="KR81" s="42"/>
      <c r="KS81" s="42"/>
      <c r="KT81" s="42"/>
      <c r="KU81" s="42"/>
      <c r="KV81" s="43"/>
      <c r="KW81" s="24"/>
      <c r="KX81" s="24"/>
      <c r="KY81" s="25"/>
      <c r="KZ81" s="23"/>
      <c r="LA81" s="23"/>
      <c r="LB81" s="42"/>
      <c r="LC81" s="427"/>
      <c r="LD81" s="22"/>
      <c r="LE81" s="76"/>
      <c r="LF81" s="42"/>
      <c r="LG81" s="42"/>
      <c r="LH81" s="42"/>
      <c r="LI81" s="42"/>
      <c r="LJ81" s="42"/>
      <c r="LK81" s="43"/>
      <c r="LL81" s="24"/>
      <c r="LM81" s="24"/>
      <c r="LN81" s="25"/>
      <c r="LO81" s="23"/>
      <c r="LP81" s="23"/>
      <c r="LQ81" s="42"/>
      <c r="LR81" s="427"/>
      <c r="LS81" s="22"/>
      <c r="LT81" s="76"/>
      <c r="LU81" s="42"/>
      <c r="LV81" s="42"/>
      <c r="LW81" s="42"/>
      <c r="LX81" s="42"/>
      <c r="LY81" s="42"/>
      <c r="LZ81" s="43"/>
      <c r="MA81" s="24"/>
      <c r="MB81" s="24"/>
      <c r="MC81" s="25"/>
      <c r="MD81" s="23"/>
      <c r="ME81" s="23"/>
      <c r="MF81" s="42"/>
      <c r="MG81" s="427"/>
      <c r="MH81" s="22"/>
      <c r="MI81" s="76"/>
      <c r="MJ81" s="42"/>
      <c r="MK81" s="42"/>
      <c r="ML81" s="42"/>
      <c r="MM81" s="42"/>
      <c r="MN81" s="42"/>
      <c r="MO81" s="43"/>
      <c r="MP81" s="24"/>
      <c r="MQ81" s="24"/>
      <c r="MR81" s="25"/>
      <c r="MS81" s="23"/>
      <c r="MT81" s="23"/>
      <c r="MU81" s="42"/>
      <c r="MV81" s="427"/>
      <c r="MW81" s="22"/>
      <c r="MX81" s="76"/>
      <c r="MY81" s="42"/>
      <c r="MZ81" s="42"/>
      <c r="NA81" s="42"/>
      <c r="NB81" s="42"/>
      <c r="NC81" s="42"/>
      <c r="ND81" s="43"/>
      <c r="NE81" s="24"/>
      <c r="NF81" s="24"/>
      <c r="NG81" s="25"/>
      <c r="NH81" s="23"/>
      <c r="NI81" s="23"/>
      <c r="NJ81" s="42"/>
      <c r="NK81" s="427"/>
      <c r="NL81" s="22"/>
      <c r="NM81" s="76"/>
      <c r="NN81" s="42"/>
      <c r="NO81" s="42"/>
      <c r="NP81" s="42"/>
      <c r="NQ81" s="42"/>
      <c r="NR81" s="42"/>
      <c r="NS81" s="43"/>
      <c r="NT81" s="24"/>
      <c r="NU81" s="24"/>
      <c r="NV81" s="25"/>
      <c r="NW81" s="23"/>
      <c r="NX81" s="23"/>
      <c r="NY81" s="42"/>
      <c r="NZ81" s="427"/>
      <c r="OA81" s="22"/>
      <c r="OB81" s="76"/>
      <c r="OC81" s="42"/>
      <c r="OD81" s="42"/>
      <c r="OE81" s="42"/>
      <c r="OF81" s="42"/>
      <c r="OG81" s="42"/>
      <c r="OH81" s="43"/>
      <c r="OI81" s="24"/>
      <c r="OJ81" s="24"/>
      <c r="OK81" s="25"/>
      <c r="OL81" s="23"/>
      <c r="OM81" s="23"/>
      <c r="ON81" s="42"/>
      <c r="OO81" s="427"/>
      <c r="OP81" s="22"/>
      <c r="OQ81" s="76"/>
      <c r="OR81" s="42"/>
      <c r="OS81" s="42"/>
      <c r="OT81" s="42"/>
      <c r="OU81" s="42"/>
      <c r="OV81" s="42"/>
      <c r="OW81" s="43"/>
      <c r="OX81" s="24"/>
      <c r="OY81" s="24"/>
      <c r="OZ81" s="25"/>
      <c r="PA81" s="23"/>
      <c r="PB81" s="23"/>
      <c r="PC81" s="42"/>
      <c r="PD81" s="427"/>
      <c r="PE81" s="22"/>
      <c r="PF81" s="76"/>
      <c r="PG81" s="42"/>
      <c r="PH81" s="42"/>
      <c r="PI81" s="42"/>
      <c r="PJ81" s="42"/>
      <c r="PK81" s="42"/>
      <c r="PL81" s="43"/>
      <c r="PM81" s="24"/>
      <c r="PN81" s="24"/>
      <c r="PO81" s="25"/>
      <c r="PP81" s="23"/>
      <c r="PQ81" s="23"/>
      <c r="PR81" s="42"/>
      <c r="PS81" s="427"/>
      <c r="PT81" s="22"/>
      <c r="PU81" s="76"/>
      <c r="PV81" s="42"/>
      <c r="PW81" s="42"/>
      <c r="PX81" s="42"/>
      <c r="PY81" s="42"/>
      <c r="PZ81" s="42"/>
      <c r="QA81" s="43"/>
      <c r="QB81" s="24"/>
      <c r="QC81" s="24"/>
      <c r="QD81" s="25"/>
      <c r="QE81" s="23"/>
      <c r="QF81" s="23"/>
      <c r="QG81" s="42"/>
      <c r="QH81" s="427"/>
      <c r="QI81" s="22"/>
      <c r="QJ81" s="76"/>
      <c r="QK81" s="42"/>
      <c r="QL81" s="42"/>
      <c r="QM81" s="42"/>
      <c r="QN81" s="42"/>
      <c r="QO81" s="42"/>
      <c r="QP81" s="43"/>
      <c r="QQ81" s="24"/>
      <c r="QR81" s="24"/>
      <c r="QS81" s="25"/>
      <c r="QT81" s="23"/>
      <c r="QU81" s="23"/>
      <c r="QV81" s="42"/>
      <c r="QW81" s="427"/>
      <c r="QX81" s="22"/>
      <c r="QY81" s="76"/>
      <c r="QZ81" s="42"/>
      <c r="RA81" s="42"/>
      <c r="RB81" s="42"/>
      <c r="RC81" s="42"/>
      <c r="RD81" s="42"/>
      <c r="RE81" s="43"/>
      <c r="RF81" s="24"/>
      <c r="RG81" s="24"/>
      <c r="RH81" s="25"/>
      <c r="RI81" s="23"/>
      <c r="RJ81" s="23"/>
      <c r="RK81" s="42"/>
      <c r="RL81" s="427"/>
      <c r="RM81" s="22"/>
      <c r="RN81" s="76"/>
      <c r="RO81" s="42"/>
      <c r="RP81" s="42"/>
      <c r="RQ81" s="42"/>
      <c r="RR81" s="42"/>
      <c r="RS81" s="42"/>
      <c r="RT81" s="43"/>
      <c r="RU81" s="24"/>
      <c r="RV81" s="24"/>
      <c r="RW81" s="25"/>
      <c r="RX81" s="23"/>
      <c r="RY81" s="23"/>
      <c r="RZ81" s="42"/>
      <c r="SA81" s="427"/>
      <c r="SB81" s="22"/>
      <c r="SC81" s="76"/>
      <c r="SD81" s="42"/>
      <c r="SE81" s="42"/>
      <c r="SF81" s="42"/>
      <c r="SG81" s="42"/>
      <c r="SH81" s="42"/>
      <c r="SI81" s="43"/>
      <c r="SJ81" s="24"/>
      <c r="SK81" s="24"/>
      <c r="SL81" s="25"/>
      <c r="SM81" s="23"/>
      <c r="SN81" s="23"/>
      <c r="SO81" s="42"/>
      <c r="SP81" s="427"/>
      <c r="SQ81" s="22"/>
      <c r="SR81" s="76"/>
      <c r="SS81" s="42"/>
      <c r="ST81" s="42"/>
      <c r="SU81" s="42"/>
      <c r="SV81" s="42"/>
      <c r="SW81" s="42"/>
      <c r="SX81" s="43"/>
      <c r="SY81" s="24"/>
      <c r="SZ81" s="24"/>
      <c r="TA81" s="25"/>
      <c r="TB81" s="23"/>
      <c r="TC81" s="23"/>
      <c r="TD81" s="42"/>
      <c r="TE81" s="427"/>
      <c r="TF81" s="22"/>
      <c r="TG81" s="76"/>
      <c r="TH81" s="42"/>
      <c r="TI81" s="42"/>
      <c r="TJ81" s="42"/>
      <c r="TK81" s="42"/>
      <c r="TL81" s="42"/>
      <c r="TM81" s="43"/>
      <c r="TN81" s="24"/>
      <c r="TO81" s="24"/>
      <c r="TP81" s="25"/>
      <c r="TQ81" s="23"/>
      <c r="TR81" s="23"/>
      <c r="TS81" s="42"/>
      <c r="TT81" s="427"/>
      <c r="TU81" s="22"/>
      <c r="TV81" s="76"/>
      <c r="TW81" s="42"/>
      <c r="TX81" s="42"/>
      <c r="TY81" s="42"/>
      <c r="TZ81" s="42"/>
      <c r="UA81" s="42"/>
      <c r="UB81" s="43"/>
      <c r="UC81" s="24"/>
      <c r="UD81" s="24"/>
      <c r="UE81" s="25"/>
      <c r="UF81" s="23"/>
      <c r="UG81" s="23"/>
      <c r="UH81" s="42"/>
      <c r="UI81" s="427"/>
      <c r="UJ81" s="22"/>
      <c r="UK81" s="76"/>
      <c r="UL81" s="42"/>
      <c r="UM81" s="42"/>
      <c r="UN81" s="42"/>
      <c r="UO81" s="42"/>
      <c r="UP81" s="42"/>
      <c r="UQ81" s="43"/>
      <c r="UR81" s="24"/>
      <c r="US81" s="24"/>
      <c r="UT81" s="25"/>
      <c r="UU81" s="23"/>
      <c r="UV81" s="23"/>
      <c r="UW81" s="42"/>
      <c r="UX81" s="427"/>
      <c r="UY81" s="22"/>
      <c r="UZ81" s="76"/>
      <c r="VA81" s="42"/>
      <c r="VB81" s="42"/>
      <c r="VC81" s="42"/>
      <c r="VD81" s="42"/>
      <c r="VE81" s="42"/>
      <c r="VF81" s="43"/>
      <c r="VG81" s="24"/>
      <c r="VH81" s="24"/>
      <c r="VI81" s="25"/>
      <c r="VJ81" s="23"/>
      <c r="VK81" s="23"/>
      <c r="VL81" s="42"/>
      <c r="VM81" s="427"/>
      <c r="VN81" s="22"/>
      <c r="VO81" s="76"/>
      <c r="VP81" s="42"/>
      <c r="VQ81" s="42"/>
      <c r="VR81" s="42"/>
      <c r="VS81" s="42"/>
      <c r="VT81" s="42"/>
      <c r="VU81" s="43"/>
      <c r="VV81" s="24"/>
      <c r="VW81" s="24"/>
      <c r="VX81" s="25"/>
      <c r="VY81" s="23"/>
      <c r="VZ81" s="23"/>
      <c r="WA81" s="42"/>
      <c r="WB81" s="427"/>
      <c r="WC81" s="22"/>
      <c r="WD81" s="76"/>
      <c r="WE81" s="42"/>
      <c r="WF81" s="42"/>
      <c r="WG81" s="42"/>
      <c r="WH81" s="42"/>
      <c r="WI81" s="42"/>
      <c r="WJ81" s="43"/>
      <c r="WK81" s="24"/>
      <c r="WL81" s="24"/>
      <c r="WM81" s="25"/>
      <c r="WN81" s="23"/>
      <c r="WO81" s="23"/>
      <c r="WP81" s="42"/>
      <c r="WQ81" s="427"/>
      <c r="WR81" s="22"/>
      <c r="WS81" s="76"/>
      <c r="WT81" s="42"/>
      <c r="WU81" s="42"/>
      <c r="WV81" s="42"/>
      <c r="WW81" s="42"/>
      <c r="WX81" s="42"/>
      <c r="WY81" s="43"/>
      <c r="WZ81" s="24"/>
      <c r="XA81" s="24"/>
      <c r="XB81" s="25"/>
      <c r="XC81" s="23"/>
      <c r="XD81" s="23"/>
      <c r="XE81" s="42"/>
      <c r="XF81" s="427"/>
      <c r="XG81" s="22"/>
      <c r="XH81" s="76"/>
      <c r="XI81" s="42"/>
      <c r="XJ81" s="42"/>
      <c r="XK81" s="42"/>
      <c r="XL81" s="42"/>
      <c r="XM81" s="42"/>
      <c r="XN81" s="43"/>
      <c r="XO81" s="24"/>
      <c r="XP81" s="24"/>
      <c r="XQ81" s="25"/>
      <c r="XR81" s="23"/>
      <c r="XS81" s="23"/>
      <c r="XT81" s="42"/>
      <c r="XU81" s="427"/>
      <c r="XV81" s="22"/>
      <c r="XW81" s="76"/>
      <c r="XX81" s="42"/>
      <c r="XY81" s="42"/>
      <c r="XZ81" s="42"/>
      <c r="YA81" s="42"/>
      <c r="YB81" s="42"/>
      <c r="YC81" s="43"/>
      <c r="YD81" s="24"/>
      <c r="YE81" s="24"/>
      <c r="YF81" s="25"/>
      <c r="YG81" s="23"/>
      <c r="YH81" s="23"/>
      <c r="YI81" s="42"/>
      <c r="YJ81" s="427"/>
      <c r="YK81" s="22"/>
      <c r="YL81" s="76"/>
      <c r="YM81" s="42"/>
      <c r="YN81" s="42"/>
      <c r="YO81" s="42"/>
      <c r="YP81" s="42"/>
      <c r="YQ81" s="42"/>
      <c r="YR81" s="43"/>
      <c r="YS81" s="24"/>
      <c r="YT81" s="24"/>
      <c r="YU81" s="25"/>
      <c r="YV81" s="23"/>
      <c r="YW81" s="23"/>
      <c r="YX81" s="42"/>
      <c r="YY81" s="427"/>
      <c r="YZ81" s="22"/>
      <c r="ZA81" s="76"/>
      <c r="ZB81" s="42"/>
      <c r="ZC81" s="42"/>
      <c r="ZD81" s="42"/>
      <c r="ZE81" s="42"/>
      <c r="ZF81" s="42"/>
      <c r="ZG81" s="43"/>
      <c r="ZH81" s="24"/>
      <c r="ZI81" s="24"/>
      <c r="ZJ81" s="25"/>
      <c r="ZK81" s="23"/>
      <c r="ZL81" s="23"/>
      <c r="ZM81" s="42"/>
      <c r="ZN81" s="427"/>
      <c r="ZO81" s="22"/>
      <c r="ZP81" s="76"/>
      <c r="ZQ81" s="42"/>
      <c r="ZR81" s="42"/>
      <c r="ZS81" s="42"/>
      <c r="ZT81" s="42"/>
      <c r="ZU81" s="42"/>
      <c r="ZV81" s="43"/>
      <c r="ZW81" s="24"/>
      <c r="ZX81" s="24"/>
      <c r="ZY81" s="25"/>
      <c r="ZZ81" s="23"/>
      <c r="AAA81" s="23"/>
      <c r="AAB81" s="42"/>
      <c r="AAC81" s="427"/>
      <c r="AAD81" s="22"/>
      <c r="AAE81" s="76"/>
      <c r="AAF81" s="42"/>
      <c r="AAG81" s="42"/>
      <c r="AAH81" s="42"/>
      <c r="AAI81" s="42"/>
      <c r="AAJ81" s="42"/>
      <c r="AAK81" s="43"/>
      <c r="AAL81" s="24"/>
      <c r="AAM81" s="24"/>
      <c r="AAN81" s="25"/>
      <c r="AAO81" s="23"/>
      <c r="AAP81" s="23"/>
      <c r="AAQ81" s="42"/>
      <c r="AAR81" s="427"/>
      <c r="AAS81" s="22"/>
      <c r="AAT81" s="76"/>
      <c r="AAU81" s="42"/>
      <c r="AAV81" s="42"/>
      <c r="AAW81" s="42"/>
      <c r="AAX81" s="42"/>
      <c r="AAY81" s="42"/>
      <c r="AAZ81" s="43"/>
      <c r="ABA81" s="24"/>
      <c r="ABB81" s="24"/>
      <c r="ABC81" s="25"/>
      <c r="ABD81" s="23"/>
      <c r="ABE81" s="23"/>
      <c r="ABF81" s="42"/>
      <c r="ABG81" s="427"/>
      <c r="ABH81" s="22"/>
      <c r="ABI81" s="76"/>
      <c r="ABJ81" s="42"/>
      <c r="ABK81" s="42"/>
      <c r="ABL81" s="42"/>
      <c r="ABM81" s="42"/>
      <c r="ABN81" s="42"/>
      <c r="ABO81" s="43"/>
      <c r="ABP81" s="24"/>
      <c r="ABQ81" s="24"/>
      <c r="ABR81" s="25"/>
      <c r="ABS81" s="23"/>
      <c r="ABT81" s="23"/>
      <c r="ABU81" s="42"/>
      <c r="ABV81" s="427"/>
      <c r="ABW81" s="22"/>
      <c r="ABX81" s="76"/>
      <c r="ABY81" s="42"/>
      <c r="ABZ81" s="42"/>
      <c r="ACA81" s="42"/>
      <c r="ACB81" s="42"/>
      <c r="ACC81" s="42"/>
      <c r="ACD81" s="43"/>
      <c r="ACE81" s="24"/>
      <c r="ACF81" s="24"/>
      <c r="ACG81" s="25"/>
      <c r="ACH81" s="23"/>
      <c r="ACI81" s="23"/>
      <c r="ACJ81" s="42"/>
      <c r="ACK81" s="427"/>
      <c r="ACL81" s="22"/>
      <c r="ACM81" s="76"/>
      <c r="ACN81" s="42"/>
      <c r="ACO81" s="42"/>
      <c r="ACP81" s="42"/>
      <c r="ACQ81" s="42"/>
      <c r="ACR81" s="42"/>
      <c r="ACS81" s="43"/>
      <c r="ACT81" s="24"/>
      <c r="ACU81" s="24"/>
      <c r="ACV81" s="25"/>
      <c r="ACW81" s="23"/>
      <c r="ACX81" s="23"/>
      <c r="ACY81" s="42"/>
      <c r="ACZ81" s="427"/>
      <c r="ADA81" s="22"/>
      <c r="ADB81" s="76"/>
      <c r="ADC81" s="42"/>
      <c r="ADD81" s="42"/>
      <c r="ADE81" s="42"/>
      <c r="ADF81" s="42"/>
      <c r="ADG81" s="42"/>
      <c r="ADH81" s="43"/>
      <c r="ADI81" s="24"/>
      <c r="ADJ81" s="24"/>
      <c r="ADK81" s="25"/>
      <c r="ADL81" s="23"/>
      <c r="ADM81" s="23"/>
      <c r="ADN81" s="42"/>
      <c r="ADO81" s="427"/>
      <c r="ADP81" s="22"/>
      <c r="ADQ81" s="76"/>
      <c r="ADR81" s="42"/>
      <c r="ADS81" s="42"/>
      <c r="ADT81" s="42"/>
      <c r="ADU81" s="42"/>
      <c r="ADV81" s="42"/>
      <c r="ADW81" s="43"/>
      <c r="ADX81" s="24"/>
      <c r="ADY81" s="24"/>
      <c r="ADZ81" s="25"/>
      <c r="AEA81" s="23"/>
      <c r="AEB81" s="23"/>
      <c r="AEC81" s="42"/>
      <c r="AED81" s="427"/>
      <c r="AEE81" s="22"/>
      <c r="AEF81" s="76"/>
      <c r="AEG81" s="42"/>
      <c r="AEH81" s="42"/>
      <c r="AEI81" s="42"/>
      <c r="AEJ81" s="42"/>
      <c r="AEK81" s="42"/>
      <c r="AEL81" s="43"/>
      <c r="AEM81" s="24"/>
      <c r="AEN81" s="24"/>
      <c r="AEO81" s="25"/>
      <c r="AEP81" s="23"/>
      <c r="AEQ81" s="23"/>
      <c r="AER81" s="42"/>
      <c r="AES81" s="427"/>
      <c r="AET81" s="22"/>
      <c r="AEU81" s="76"/>
      <c r="AEV81" s="42"/>
      <c r="AEW81" s="42"/>
      <c r="AEX81" s="42"/>
      <c r="AEY81" s="42"/>
      <c r="AEZ81" s="42"/>
      <c r="AFA81" s="43"/>
      <c r="AFB81" s="24"/>
      <c r="AFC81" s="24"/>
      <c r="AFD81" s="25"/>
      <c r="AFE81" s="23"/>
      <c r="AFF81" s="23"/>
      <c r="AFG81" s="42"/>
      <c r="AFH81" s="427"/>
      <c r="AFI81" s="22"/>
      <c r="AFJ81" s="76"/>
      <c r="AFK81" s="42"/>
      <c r="AFL81" s="42"/>
      <c r="AFM81" s="42"/>
      <c r="AFN81" s="42"/>
      <c r="AFO81" s="42"/>
      <c r="AFP81" s="43"/>
      <c r="AFQ81" s="24"/>
      <c r="AFR81" s="24"/>
      <c r="AFS81" s="25"/>
      <c r="AFT81" s="23"/>
      <c r="AFU81" s="23"/>
      <c r="AFV81" s="42"/>
      <c r="AFW81" s="427"/>
      <c r="AFX81" s="22"/>
      <c r="AFY81" s="76"/>
      <c r="AFZ81" s="42"/>
      <c r="AGA81" s="42"/>
      <c r="AGB81" s="42"/>
      <c r="AGC81" s="42"/>
      <c r="AGD81" s="42"/>
      <c r="AGE81" s="43"/>
      <c r="AGF81" s="24"/>
      <c r="AGG81" s="24"/>
      <c r="AGH81" s="25"/>
      <c r="AGI81" s="23"/>
      <c r="AGJ81" s="23"/>
      <c r="AGK81" s="42"/>
      <c r="AGL81" s="427"/>
      <c r="AGM81" s="22"/>
      <c r="AGN81" s="76"/>
      <c r="AGO81" s="42"/>
      <c r="AGP81" s="42"/>
      <c r="AGQ81" s="42"/>
      <c r="AGR81" s="42"/>
      <c r="AGS81" s="42"/>
      <c r="AGT81" s="43"/>
      <c r="AGU81" s="24"/>
      <c r="AGV81" s="24"/>
      <c r="AGW81" s="25"/>
      <c r="AGX81" s="23"/>
      <c r="AGY81" s="23"/>
      <c r="AGZ81" s="42"/>
      <c r="AHA81" s="427"/>
      <c r="AHB81" s="22"/>
      <c r="AHC81" s="76"/>
      <c r="AHD81" s="42"/>
      <c r="AHE81" s="42"/>
      <c r="AHF81" s="42"/>
      <c r="AHG81" s="42"/>
      <c r="AHH81" s="42"/>
      <c r="AHI81" s="43"/>
      <c r="AHJ81" s="24"/>
      <c r="AHK81" s="24"/>
      <c r="AHL81" s="25"/>
      <c r="AHM81" s="23"/>
      <c r="AHN81" s="23"/>
      <c r="AHO81" s="42"/>
      <c r="AHP81" s="427"/>
      <c r="AHQ81" s="22"/>
      <c r="AHR81" s="76"/>
      <c r="AHS81" s="42"/>
      <c r="AHT81" s="42"/>
      <c r="AHU81" s="42"/>
      <c r="AHV81" s="42"/>
      <c r="AHW81" s="42"/>
      <c r="AHX81" s="43"/>
      <c r="AHY81" s="24"/>
      <c r="AHZ81" s="24"/>
      <c r="AIA81" s="25"/>
      <c r="AIB81" s="23"/>
      <c r="AIC81" s="23"/>
      <c r="AID81" s="42"/>
      <c r="AIE81" s="427"/>
      <c r="AIF81" s="22"/>
      <c r="AIG81" s="76"/>
      <c r="AIH81" s="42"/>
      <c r="AII81" s="42"/>
      <c r="AIJ81" s="42"/>
      <c r="AIK81" s="42"/>
      <c r="AIL81" s="42"/>
      <c r="AIM81" s="43"/>
      <c r="AIN81" s="24"/>
      <c r="AIO81" s="24"/>
      <c r="AIP81" s="25"/>
      <c r="AIQ81" s="23"/>
      <c r="AIR81" s="23"/>
      <c r="AIS81" s="42"/>
      <c r="AIT81" s="427"/>
      <c r="AIU81" s="22"/>
      <c r="AIV81" s="76"/>
      <c r="AIW81" s="42"/>
      <c r="AIX81" s="42"/>
      <c r="AIY81" s="42"/>
      <c r="AIZ81" s="42"/>
      <c r="AJA81" s="42"/>
      <c r="AJB81" s="43"/>
      <c r="AJC81" s="24"/>
      <c r="AJD81" s="24"/>
      <c r="AJE81" s="25"/>
      <c r="AJF81" s="23"/>
      <c r="AJG81" s="23"/>
      <c r="AJH81" s="42"/>
      <c r="AJI81" s="427"/>
      <c r="AJJ81" s="22"/>
      <c r="AJK81" s="76"/>
      <c r="AJL81" s="42"/>
      <c r="AJM81" s="42"/>
      <c r="AJN81" s="42"/>
      <c r="AJO81" s="42"/>
      <c r="AJP81" s="42"/>
      <c r="AJQ81" s="43"/>
      <c r="AJR81" s="24"/>
      <c r="AJS81" s="24"/>
      <c r="AJT81" s="25"/>
      <c r="AJU81" s="23"/>
      <c r="AJV81" s="23"/>
      <c r="AJW81" s="42"/>
      <c r="AJX81" s="427"/>
      <c r="AJY81" s="22"/>
      <c r="AJZ81" s="76"/>
      <c r="AKA81" s="42"/>
      <c r="AKB81" s="42"/>
      <c r="AKC81" s="42"/>
      <c r="AKD81" s="42"/>
      <c r="AKE81" s="42"/>
      <c r="AKF81" s="43"/>
      <c r="AKG81" s="24"/>
      <c r="AKH81" s="24"/>
      <c r="AKI81" s="25"/>
      <c r="AKJ81" s="23"/>
      <c r="AKK81" s="23"/>
      <c r="AKL81" s="42"/>
      <c r="AKM81" s="427"/>
      <c r="AKN81" s="22"/>
      <c r="AKO81" s="76"/>
      <c r="AKP81" s="42"/>
      <c r="AKQ81" s="42"/>
      <c r="AKR81" s="42"/>
      <c r="AKS81" s="42"/>
      <c r="AKT81" s="42"/>
      <c r="AKU81" s="43"/>
      <c r="AKV81" s="24"/>
      <c r="AKW81" s="24"/>
      <c r="AKX81" s="25"/>
      <c r="AKY81" s="23"/>
      <c r="AKZ81" s="23"/>
      <c r="ALA81" s="42"/>
      <c r="ALB81" s="427"/>
      <c r="ALC81" s="22"/>
      <c r="ALD81" s="76"/>
      <c r="ALE81" s="42"/>
      <c r="ALF81" s="42"/>
      <c r="ALG81" s="42"/>
      <c r="ALH81" s="42"/>
      <c r="ALI81" s="42"/>
      <c r="ALJ81" s="43"/>
      <c r="ALK81" s="24"/>
      <c r="ALL81" s="24"/>
      <c r="ALM81" s="25"/>
      <c r="ALN81" s="23"/>
      <c r="ALO81" s="23"/>
      <c r="ALP81" s="42"/>
      <c r="ALQ81" s="427"/>
      <c r="ALR81" s="22"/>
      <c r="ALS81" s="76"/>
      <c r="ALT81" s="42"/>
      <c r="ALU81" s="42"/>
      <c r="ALV81" s="42"/>
      <c r="ALW81" s="42"/>
      <c r="ALX81" s="42"/>
      <c r="ALY81" s="43"/>
      <c r="ALZ81" s="24"/>
      <c r="AMA81" s="24"/>
      <c r="AMB81" s="25"/>
      <c r="AMC81" s="23"/>
      <c r="AMD81" s="23"/>
      <c r="AME81" s="42"/>
      <c r="AMF81" s="427"/>
      <c r="AMG81" s="22"/>
      <c r="AMH81" s="76"/>
      <c r="AMI81" s="42"/>
      <c r="AMJ81" s="42"/>
      <c r="AMK81" s="42"/>
      <c r="AML81" s="42"/>
      <c r="AMM81" s="42"/>
      <c r="AMN81" s="43"/>
      <c r="AMO81" s="24"/>
      <c r="AMP81" s="24"/>
      <c r="AMQ81" s="25"/>
      <c r="AMR81" s="23"/>
      <c r="AMS81" s="23"/>
      <c r="AMT81" s="42"/>
      <c r="AMU81" s="427"/>
      <c r="AMV81" s="22"/>
      <c r="AMW81" s="76"/>
      <c r="AMX81" s="42"/>
      <c r="AMY81" s="42"/>
      <c r="AMZ81" s="42"/>
      <c r="ANA81" s="42"/>
      <c r="ANB81" s="42"/>
      <c r="ANC81" s="43"/>
      <c r="AND81" s="24"/>
      <c r="ANE81" s="24"/>
      <c r="ANF81" s="25"/>
      <c r="ANG81" s="23"/>
      <c r="ANH81" s="23"/>
      <c r="ANI81" s="42"/>
      <c r="ANJ81" s="427"/>
      <c r="ANK81" s="22"/>
      <c r="ANL81" s="76"/>
      <c r="ANM81" s="42"/>
      <c r="ANN81" s="42"/>
      <c r="ANO81" s="42"/>
      <c r="ANP81" s="42"/>
      <c r="ANQ81" s="42"/>
      <c r="ANR81" s="43"/>
      <c r="ANS81" s="24"/>
      <c r="ANT81" s="24"/>
      <c r="ANU81" s="25"/>
      <c r="ANV81" s="23"/>
      <c r="ANW81" s="23"/>
      <c r="ANX81" s="42"/>
      <c r="ANY81" s="427"/>
      <c r="ANZ81" s="22"/>
      <c r="AOA81" s="76"/>
      <c r="AOB81" s="42"/>
      <c r="AOC81" s="42"/>
      <c r="AOD81" s="42"/>
      <c r="AOE81" s="42"/>
      <c r="AOF81" s="42"/>
      <c r="AOG81" s="43"/>
      <c r="AOH81" s="24"/>
      <c r="AOI81" s="24"/>
      <c r="AOJ81" s="25"/>
      <c r="AOK81" s="23"/>
      <c r="AOL81" s="23"/>
      <c r="AOM81" s="42"/>
      <c r="AON81" s="427"/>
      <c r="AOO81" s="22"/>
      <c r="AOP81" s="76"/>
      <c r="AOQ81" s="42"/>
      <c r="AOR81" s="42"/>
      <c r="AOS81" s="42"/>
      <c r="AOT81" s="42"/>
      <c r="AOU81" s="42"/>
      <c r="AOV81" s="43"/>
      <c r="AOW81" s="24"/>
      <c r="AOX81" s="24"/>
      <c r="AOY81" s="25"/>
      <c r="AOZ81" s="23"/>
      <c r="APA81" s="23"/>
      <c r="APB81" s="42"/>
      <c r="APC81" s="427"/>
      <c r="APD81" s="22"/>
      <c r="APE81" s="76"/>
      <c r="APF81" s="42"/>
      <c r="APG81" s="42"/>
      <c r="APH81" s="42"/>
      <c r="API81" s="42"/>
      <c r="APJ81" s="42"/>
      <c r="APK81" s="43"/>
      <c r="APL81" s="24"/>
      <c r="APM81" s="24"/>
      <c r="APN81" s="25"/>
      <c r="APO81" s="23"/>
      <c r="APP81" s="23"/>
      <c r="APQ81" s="42"/>
      <c r="APR81" s="427"/>
      <c r="APS81" s="22"/>
      <c r="APT81" s="76"/>
      <c r="APU81" s="42"/>
      <c r="APV81" s="42"/>
      <c r="APW81" s="42"/>
      <c r="APX81" s="42"/>
      <c r="APY81" s="42"/>
      <c r="APZ81" s="43"/>
      <c r="AQA81" s="24"/>
      <c r="AQB81" s="24"/>
      <c r="AQC81" s="25"/>
      <c r="AQD81" s="23"/>
      <c r="AQE81" s="23"/>
      <c r="AQF81" s="42"/>
      <c r="AQG81" s="427"/>
      <c r="AQH81" s="22"/>
      <c r="AQI81" s="76"/>
      <c r="AQJ81" s="42"/>
      <c r="AQK81" s="42"/>
      <c r="AQL81" s="42"/>
      <c r="AQM81" s="42"/>
      <c r="AQN81" s="42"/>
      <c r="AQO81" s="43"/>
      <c r="AQP81" s="24"/>
      <c r="AQQ81" s="24"/>
      <c r="AQR81" s="25"/>
      <c r="AQS81" s="23"/>
      <c r="AQT81" s="23"/>
      <c r="AQU81" s="42"/>
      <c r="AQV81" s="427"/>
      <c r="AQW81" s="22"/>
      <c r="AQX81" s="76"/>
      <c r="AQY81" s="42"/>
      <c r="AQZ81" s="42"/>
      <c r="ARA81" s="42"/>
      <c r="ARB81" s="42"/>
      <c r="ARC81" s="42"/>
      <c r="ARD81" s="43"/>
      <c r="ARE81" s="24"/>
      <c r="ARF81" s="24"/>
      <c r="ARG81" s="25"/>
      <c r="ARH81" s="23"/>
      <c r="ARI81" s="23"/>
      <c r="ARJ81" s="42"/>
      <c r="ARK81" s="427"/>
      <c r="ARL81" s="22"/>
      <c r="ARM81" s="76"/>
      <c r="ARN81" s="42"/>
      <c r="ARO81" s="42"/>
      <c r="ARP81" s="42"/>
      <c r="ARQ81" s="42"/>
      <c r="ARR81" s="42"/>
      <c r="ARS81" s="43"/>
      <c r="ART81" s="24"/>
      <c r="ARU81" s="24"/>
      <c r="ARV81" s="25"/>
      <c r="ARW81" s="23"/>
      <c r="ARX81" s="23"/>
      <c r="ARY81" s="42"/>
      <c r="ARZ81" s="427"/>
      <c r="ASA81" s="22"/>
      <c r="ASB81" s="76"/>
      <c r="ASC81" s="42"/>
      <c r="ASD81" s="42"/>
      <c r="ASE81" s="42"/>
      <c r="ASF81" s="42"/>
      <c r="ASG81" s="42"/>
      <c r="ASH81" s="43"/>
      <c r="ASI81" s="24"/>
      <c r="ASJ81" s="24"/>
      <c r="ASK81" s="25"/>
      <c r="ASL81" s="23"/>
      <c r="ASM81" s="23"/>
      <c r="ASN81" s="42"/>
      <c r="ASO81" s="427"/>
      <c r="ASP81" s="22"/>
      <c r="ASQ81" s="76"/>
      <c r="ASR81" s="42"/>
      <c r="ASS81" s="42"/>
      <c r="AST81" s="42"/>
      <c r="ASU81" s="42"/>
      <c r="ASV81" s="42"/>
      <c r="ASW81" s="43"/>
      <c r="ASX81" s="24"/>
      <c r="ASY81" s="24"/>
      <c r="ASZ81" s="25"/>
      <c r="ATA81" s="23"/>
      <c r="ATB81" s="23"/>
      <c r="ATC81" s="42"/>
      <c r="ATD81" s="427"/>
      <c r="ATE81" s="22"/>
      <c r="ATF81" s="76"/>
      <c r="ATG81" s="42"/>
      <c r="ATH81" s="42"/>
      <c r="ATI81" s="42"/>
      <c r="ATJ81" s="42"/>
      <c r="ATK81" s="42"/>
      <c r="ATL81" s="43"/>
      <c r="ATM81" s="24"/>
      <c r="ATN81" s="24"/>
      <c r="ATO81" s="25"/>
      <c r="ATP81" s="23"/>
      <c r="ATQ81" s="23"/>
      <c r="ATR81" s="42"/>
      <c r="ATS81" s="427"/>
      <c r="ATT81" s="22"/>
      <c r="ATU81" s="76"/>
      <c r="ATV81" s="42"/>
      <c r="ATW81" s="42"/>
      <c r="ATX81" s="42"/>
      <c r="ATY81" s="42"/>
      <c r="ATZ81" s="42"/>
      <c r="AUA81" s="43"/>
      <c r="AUB81" s="24"/>
      <c r="AUC81" s="24"/>
      <c r="AUD81" s="25"/>
      <c r="AUE81" s="23"/>
      <c r="AUF81" s="23"/>
      <c r="AUG81" s="42"/>
      <c r="AUH81" s="427"/>
      <c r="AUI81" s="22"/>
      <c r="AUJ81" s="76"/>
      <c r="AUK81" s="42"/>
      <c r="AUL81" s="42"/>
      <c r="AUM81" s="42"/>
      <c r="AUN81" s="42"/>
      <c r="AUO81" s="42"/>
      <c r="AUP81" s="43"/>
      <c r="AUQ81" s="24"/>
      <c r="AUR81" s="24"/>
      <c r="AUS81" s="25"/>
      <c r="AUT81" s="23"/>
      <c r="AUU81" s="23"/>
      <c r="AUV81" s="42"/>
      <c r="AUW81" s="427"/>
      <c r="AUX81" s="22"/>
      <c r="AUY81" s="76"/>
      <c r="AUZ81" s="42"/>
      <c r="AVA81" s="42"/>
      <c r="AVB81" s="42"/>
      <c r="AVC81" s="42"/>
      <c r="AVD81" s="42"/>
      <c r="AVE81" s="43"/>
      <c r="AVF81" s="24"/>
      <c r="AVG81" s="24"/>
      <c r="AVH81" s="25"/>
      <c r="AVI81" s="23"/>
      <c r="AVJ81" s="23"/>
      <c r="AVK81" s="42"/>
      <c r="AVL81" s="427"/>
      <c r="AVM81" s="22"/>
      <c r="AVN81" s="76"/>
      <c r="AVO81" s="42"/>
      <c r="AVP81" s="42"/>
      <c r="AVQ81" s="42"/>
      <c r="AVR81" s="42"/>
      <c r="AVS81" s="42"/>
      <c r="AVT81" s="43"/>
      <c r="AVU81" s="24"/>
      <c r="AVV81" s="24"/>
      <c r="AVW81" s="25"/>
      <c r="AVX81" s="23"/>
      <c r="AVY81" s="23"/>
      <c r="AVZ81" s="42"/>
      <c r="AWA81" s="427"/>
      <c r="AWB81" s="22"/>
      <c r="AWC81" s="76"/>
      <c r="AWD81" s="42"/>
      <c r="AWE81" s="42"/>
      <c r="AWF81" s="42"/>
      <c r="AWG81" s="42"/>
      <c r="AWH81" s="42"/>
      <c r="AWI81" s="43"/>
      <c r="AWJ81" s="24"/>
      <c r="AWK81" s="24"/>
      <c r="AWL81" s="25"/>
      <c r="AWM81" s="23"/>
      <c r="AWN81" s="23"/>
      <c r="AWO81" s="42"/>
      <c r="AWP81" s="427"/>
      <c r="AWQ81" s="22"/>
      <c r="AWR81" s="76"/>
      <c r="AWS81" s="42"/>
      <c r="AWT81" s="42"/>
      <c r="AWU81" s="42"/>
      <c r="AWV81" s="42"/>
      <c r="AWW81" s="42"/>
      <c r="AWX81" s="43"/>
      <c r="AWY81" s="24"/>
      <c r="AWZ81" s="24"/>
      <c r="AXA81" s="25"/>
      <c r="AXB81" s="23"/>
      <c r="AXC81" s="23"/>
      <c r="AXD81" s="42"/>
      <c r="AXE81" s="427"/>
      <c r="AXF81" s="22"/>
      <c r="AXG81" s="76"/>
      <c r="AXH81" s="42"/>
      <c r="AXI81" s="42"/>
      <c r="AXJ81" s="42"/>
      <c r="AXK81" s="42"/>
      <c r="AXL81" s="42"/>
      <c r="AXM81" s="43"/>
      <c r="AXN81" s="24"/>
      <c r="AXO81" s="24"/>
      <c r="AXP81" s="25"/>
      <c r="AXQ81" s="23"/>
      <c r="AXR81" s="23"/>
      <c r="AXS81" s="42"/>
      <c r="AXT81" s="427"/>
      <c r="AXU81" s="22"/>
      <c r="AXV81" s="76"/>
      <c r="AXW81" s="42"/>
      <c r="AXX81" s="42"/>
      <c r="AXY81" s="42"/>
      <c r="AXZ81" s="42"/>
      <c r="AYA81" s="42"/>
      <c r="AYB81" s="43"/>
      <c r="AYC81" s="24"/>
      <c r="AYD81" s="24"/>
      <c r="AYE81" s="25"/>
      <c r="AYF81" s="23"/>
      <c r="AYG81" s="23"/>
      <c r="AYH81" s="42"/>
      <c r="AYI81" s="427"/>
      <c r="AYJ81" s="22"/>
      <c r="AYK81" s="76"/>
      <c r="AYL81" s="42"/>
      <c r="AYM81" s="42"/>
      <c r="AYN81" s="42"/>
      <c r="AYO81" s="42"/>
      <c r="AYP81" s="42"/>
      <c r="AYQ81" s="43"/>
      <c r="AYR81" s="24"/>
      <c r="AYS81" s="24"/>
      <c r="AYT81" s="25"/>
      <c r="AYU81" s="23"/>
      <c r="AYV81" s="23"/>
      <c r="AYW81" s="42"/>
      <c r="AYX81" s="427"/>
      <c r="AYY81" s="22"/>
      <c r="AYZ81" s="76"/>
      <c r="AZA81" s="42"/>
      <c r="AZB81" s="42"/>
      <c r="AZC81" s="42"/>
      <c r="AZD81" s="42"/>
      <c r="AZE81" s="42"/>
      <c r="AZF81" s="43"/>
      <c r="AZG81" s="24"/>
      <c r="AZH81" s="24"/>
      <c r="AZI81" s="25"/>
      <c r="AZJ81" s="23"/>
      <c r="AZK81" s="23"/>
      <c r="AZL81" s="42"/>
      <c r="AZM81" s="427"/>
      <c r="AZN81" s="22"/>
      <c r="AZO81" s="76"/>
      <c r="AZP81" s="42"/>
      <c r="AZQ81" s="42"/>
      <c r="AZR81" s="42"/>
      <c r="AZS81" s="42"/>
      <c r="AZT81" s="42"/>
      <c r="AZU81" s="43"/>
      <c r="AZV81" s="24"/>
      <c r="AZW81" s="24"/>
      <c r="AZX81" s="25"/>
      <c r="AZY81" s="23"/>
      <c r="AZZ81" s="23"/>
      <c r="BAA81" s="42"/>
      <c r="BAB81" s="427"/>
      <c r="BAC81" s="22"/>
      <c r="BAD81" s="76"/>
      <c r="BAE81" s="42"/>
      <c r="BAF81" s="42"/>
      <c r="BAG81" s="42"/>
      <c r="BAH81" s="42"/>
      <c r="BAI81" s="42"/>
      <c r="BAJ81" s="43"/>
      <c r="BAK81" s="24"/>
      <c r="BAL81" s="24"/>
      <c r="BAM81" s="25"/>
      <c r="BAN81" s="23"/>
      <c r="BAO81" s="23"/>
      <c r="BAP81" s="42"/>
      <c r="BAQ81" s="427"/>
      <c r="BAR81" s="22"/>
      <c r="BAS81" s="76"/>
      <c r="BAT81" s="42"/>
      <c r="BAU81" s="42"/>
      <c r="BAV81" s="42"/>
      <c r="BAW81" s="42"/>
      <c r="BAX81" s="42"/>
      <c r="BAY81" s="43"/>
      <c r="BAZ81" s="24"/>
      <c r="BBA81" s="24"/>
      <c r="BBB81" s="25"/>
      <c r="BBC81" s="23"/>
      <c r="BBD81" s="23"/>
      <c r="BBE81" s="42"/>
      <c r="BBF81" s="427"/>
      <c r="BBG81" s="22"/>
      <c r="BBH81" s="76"/>
      <c r="BBI81" s="42"/>
      <c r="BBJ81" s="42"/>
      <c r="BBK81" s="42"/>
      <c r="BBL81" s="42"/>
      <c r="BBM81" s="42"/>
      <c r="BBN81" s="43"/>
      <c r="BBO81" s="24"/>
      <c r="BBP81" s="24"/>
      <c r="BBQ81" s="25"/>
      <c r="BBR81" s="23"/>
      <c r="BBS81" s="23"/>
      <c r="BBT81" s="42"/>
      <c r="BBU81" s="427"/>
      <c r="BBV81" s="22"/>
      <c r="BBW81" s="76"/>
      <c r="BBX81" s="42"/>
      <c r="BBY81" s="42"/>
      <c r="BBZ81" s="42"/>
      <c r="BCA81" s="42"/>
      <c r="BCB81" s="42"/>
      <c r="BCC81" s="43"/>
      <c r="BCD81" s="24"/>
      <c r="BCE81" s="24"/>
      <c r="BCF81" s="25"/>
      <c r="BCG81" s="23"/>
      <c r="BCH81" s="23"/>
      <c r="BCI81" s="42"/>
      <c r="BCJ81" s="427"/>
      <c r="BCK81" s="22"/>
      <c r="BCL81" s="76"/>
      <c r="BCM81" s="42"/>
      <c r="BCN81" s="42"/>
      <c r="BCO81" s="42"/>
      <c r="BCP81" s="42"/>
      <c r="BCQ81" s="42"/>
      <c r="BCR81" s="43"/>
      <c r="BCS81" s="24"/>
      <c r="BCT81" s="24"/>
      <c r="BCU81" s="25"/>
      <c r="BCV81" s="23"/>
      <c r="BCW81" s="23"/>
      <c r="BCX81" s="42"/>
      <c r="BCY81" s="427"/>
      <c r="BCZ81" s="22"/>
      <c r="BDA81" s="76"/>
      <c r="BDB81" s="42"/>
      <c r="BDC81" s="42"/>
      <c r="BDD81" s="42"/>
      <c r="BDE81" s="42"/>
      <c r="BDF81" s="42"/>
      <c r="BDG81" s="43"/>
      <c r="BDH81" s="24"/>
      <c r="BDI81" s="24"/>
      <c r="BDJ81" s="25"/>
      <c r="BDK81" s="23"/>
      <c r="BDL81" s="23"/>
      <c r="BDM81" s="42"/>
      <c r="BDN81" s="427"/>
      <c r="BDO81" s="22"/>
      <c r="BDP81" s="76"/>
      <c r="BDQ81" s="42"/>
      <c r="BDR81" s="42"/>
      <c r="BDS81" s="42"/>
      <c r="BDT81" s="42"/>
      <c r="BDU81" s="42"/>
      <c r="BDV81" s="43"/>
      <c r="BDW81" s="24"/>
      <c r="BDX81" s="24"/>
      <c r="BDY81" s="25"/>
      <c r="BDZ81" s="23"/>
      <c r="BEA81" s="23"/>
      <c r="BEB81" s="42"/>
      <c r="BEC81" s="427"/>
      <c r="BED81" s="22"/>
      <c r="BEE81" s="76"/>
      <c r="BEF81" s="42"/>
      <c r="BEG81" s="42"/>
      <c r="BEH81" s="42"/>
      <c r="BEI81" s="42"/>
      <c r="BEJ81" s="42"/>
      <c r="BEK81" s="43"/>
      <c r="BEL81" s="24"/>
      <c r="BEM81" s="24"/>
      <c r="BEN81" s="25"/>
      <c r="BEO81" s="23"/>
      <c r="BEP81" s="23"/>
      <c r="BEQ81" s="42"/>
      <c r="BER81" s="427"/>
      <c r="BES81" s="22"/>
      <c r="BET81" s="76"/>
      <c r="BEU81" s="42"/>
      <c r="BEV81" s="42"/>
      <c r="BEW81" s="42"/>
      <c r="BEX81" s="42"/>
      <c r="BEY81" s="42"/>
      <c r="BEZ81" s="43"/>
      <c r="BFA81" s="24"/>
      <c r="BFB81" s="24"/>
      <c r="BFC81" s="25"/>
      <c r="BFD81" s="23"/>
      <c r="BFE81" s="23"/>
      <c r="BFF81" s="42"/>
      <c r="BFG81" s="427"/>
      <c r="BFH81" s="22"/>
      <c r="BFI81" s="76"/>
      <c r="BFJ81" s="42"/>
      <c r="BFK81" s="42"/>
      <c r="BFL81" s="42"/>
      <c r="BFM81" s="42"/>
      <c r="BFN81" s="42"/>
      <c r="BFO81" s="43"/>
      <c r="BFP81" s="24"/>
      <c r="BFQ81" s="24"/>
      <c r="BFR81" s="25"/>
      <c r="BFS81" s="23"/>
      <c r="BFT81" s="23"/>
      <c r="BFU81" s="42"/>
      <c r="BFV81" s="427"/>
      <c r="BFW81" s="22"/>
      <c r="BFX81" s="76"/>
      <c r="BFY81" s="42"/>
      <c r="BFZ81" s="42"/>
      <c r="BGA81" s="42"/>
      <c r="BGB81" s="42"/>
      <c r="BGC81" s="42"/>
      <c r="BGD81" s="43"/>
      <c r="BGE81" s="24"/>
      <c r="BGF81" s="24"/>
      <c r="BGG81" s="25"/>
      <c r="BGH81" s="23"/>
      <c r="BGI81" s="23"/>
      <c r="BGJ81" s="42"/>
      <c r="BGK81" s="427"/>
      <c r="BGL81" s="22"/>
      <c r="BGM81" s="76"/>
      <c r="BGN81" s="42"/>
      <c r="BGO81" s="42"/>
      <c r="BGP81" s="42"/>
      <c r="BGQ81" s="42"/>
      <c r="BGR81" s="42"/>
      <c r="BGS81" s="43"/>
      <c r="BGT81" s="24"/>
      <c r="BGU81" s="24"/>
      <c r="BGV81" s="25"/>
      <c r="BGW81" s="23"/>
      <c r="BGX81" s="23"/>
      <c r="BGY81" s="42"/>
      <c r="BGZ81" s="427"/>
      <c r="BHA81" s="22"/>
      <c r="BHB81" s="76"/>
      <c r="BHC81" s="42"/>
      <c r="BHD81" s="42"/>
      <c r="BHE81" s="42"/>
      <c r="BHF81" s="42"/>
      <c r="BHG81" s="42"/>
      <c r="BHH81" s="43"/>
      <c r="BHI81" s="24"/>
      <c r="BHJ81" s="24"/>
      <c r="BHK81" s="25"/>
      <c r="BHL81" s="23"/>
      <c r="BHM81" s="23"/>
      <c r="BHN81" s="42"/>
      <c r="BHO81" s="427"/>
      <c r="BHP81" s="22"/>
      <c r="BHQ81" s="76"/>
      <c r="BHR81" s="42"/>
      <c r="BHS81" s="42"/>
      <c r="BHT81" s="42"/>
      <c r="BHU81" s="42"/>
      <c r="BHV81" s="42"/>
      <c r="BHW81" s="43"/>
      <c r="BHX81" s="24"/>
      <c r="BHY81" s="24"/>
      <c r="BHZ81" s="25"/>
      <c r="BIA81" s="23"/>
      <c r="BIB81" s="23"/>
      <c r="BIC81" s="42"/>
      <c r="BID81" s="427"/>
      <c r="BIE81" s="22"/>
      <c r="BIF81" s="76"/>
      <c r="BIG81" s="42"/>
      <c r="BIH81" s="42"/>
      <c r="BII81" s="42"/>
      <c r="BIJ81" s="42"/>
      <c r="BIK81" s="42"/>
      <c r="BIL81" s="43"/>
      <c r="BIM81" s="24"/>
      <c r="BIN81" s="24"/>
      <c r="BIO81" s="25"/>
      <c r="BIP81" s="23"/>
      <c r="BIQ81" s="23"/>
      <c r="BIR81" s="42"/>
      <c r="BIS81" s="427"/>
      <c r="BIT81" s="22"/>
      <c r="BIU81" s="76"/>
      <c r="BIV81" s="42"/>
      <c r="BIW81" s="42"/>
      <c r="BIX81" s="42"/>
      <c r="BIY81" s="42"/>
      <c r="BIZ81" s="42"/>
      <c r="BJA81" s="43"/>
      <c r="BJB81" s="24"/>
      <c r="BJC81" s="24"/>
      <c r="BJD81" s="25"/>
      <c r="BJE81" s="23"/>
      <c r="BJF81" s="23"/>
      <c r="BJG81" s="42"/>
      <c r="BJH81" s="427"/>
      <c r="BJI81" s="22"/>
      <c r="BJJ81" s="76"/>
      <c r="BJK81" s="42"/>
      <c r="BJL81" s="42"/>
      <c r="BJM81" s="42"/>
      <c r="BJN81" s="42"/>
      <c r="BJO81" s="42"/>
      <c r="BJP81" s="43"/>
      <c r="BJQ81" s="24"/>
      <c r="BJR81" s="24"/>
      <c r="BJS81" s="25"/>
      <c r="BJT81" s="23"/>
      <c r="BJU81" s="23"/>
      <c r="BJV81" s="42"/>
      <c r="BJW81" s="427"/>
      <c r="BJX81" s="22"/>
      <c r="BJY81" s="76"/>
      <c r="BJZ81" s="42"/>
      <c r="BKA81" s="42"/>
      <c r="BKB81" s="42"/>
      <c r="BKC81" s="42"/>
      <c r="BKD81" s="42"/>
      <c r="BKE81" s="43"/>
      <c r="BKF81" s="24"/>
      <c r="BKG81" s="24"/>
      <c r="BKH81" s="25"/>
      <c r="BKI81" s="23"/>
      <c r="BKJ81" s="23"/>
      <c r="BKK81" s="42"/>
      <c r="BKL81" s="427"/>
      <c r="BKM81" s="22"/>
      <c r="BKN81" s="76"/>
      <c r="BKO81" s="42"/>
      <c r="BKP81" s="42"/>
      <c r="BKQ81" s="42"/>
      <c r="BKR81" s="42"/>
      <c r="BKS81" s="42"/>
      <c r="BKT81" s="43"/>
      <c r="BKU81" s="24"/>
      <c r="BKV81" s="24"/>
      <c r="BKW81" s="25"/>
      <c r="BKX81" s="23"/>
      <c r="BKY81" s="23"/>
      <c r="BKZ81" s="42"/>
      <c r="BLA81" s="427"/>
      <c r="BLB81" s="22"/>
      <c r="BLC81" s="76"/>
      <c r="BLD81" s="42"/>
      <c r="BLE81" s="42"/>
      <c r="BLF81" s="42"/>
      <c r="BLG81" s="42"/>
      <c r="BLH81" s="42"/>
      <c r="BLI81" s="43"/>
      <c r="BLJ81" s="24"/>
      <c r="BLK81" s="24"/>
      <c r="BLL81" s="25"/>
      <c r="BLM81" s="23"/>
      <c r="BLN81" s="23"/>
      <c r="BLO81" s="42"/>
      <c r="BLP81" s="427"/>
      <c r="BLQ81" s="22"/>
      <c r="BLR81" s="76"/>
      <c r="BLS81" s="42"/>
      <c r="BLT81" s="42"/>
      <c r="BLU81" s="42"/>
      <c r="BLV81" s="42"/>
      <c r="BLW81" s="42"/>
      <c r="BLX81" s="43"/>
      <c r="BLY81" s="24"/>
      <c r="BLZ81" s="24"/>
      <c r="BMA81" s="25"/>
      <c r="BMB81" s="23"/>
      <c r="BMC81" s="23"/>
      <c r="BMD81" s="42"/>
      <c r="BME81" s="427"/>
      <c r="BMF81" s="22"/>
      <c r="BMG81" s="76"/>
      <c r="BMH81" s="42"/>
      <c r="BMI81" s="42"/>
      <c r="BMJ81" s="42"/>
      <c r="BMK81" s="42"/>
      <c r="BML81" s="42"/>
      <c r="BMM81" s="43"/>
      <c r="BMN81" s="24"/>
      <c r="BMO81" s="24"/>
      <c r="BMP81" s="25"/>
      <c r="BMQ81" s="23"/>
      <c r="BMR81" s="23"/>
      <c r="BMS81" s="42"/>
      <c r="BMT81" s="427"/>
      <c r="BMU81" s="22"/>
      <c r="BMV81" s="76"/>
      <c r="BMW81" s="42"/>
      <c r="BMX81" s="42"/>
      <c r="BMY81" s="42"/>
      <c r="BMZ81" s="42"/>
      <c r="BNA81" s="42"/>
      <c r="BNB81" s="43"/>
      <c r="BNC81" s="24"/>
      <c r="BND81" s="24"/>
      <c r="BNE81" s="25"/>
      <c r="BNF81" s="23"/>
      <c r="BNG81" s="23"/>
      <c r="BNH81" s="42"/>
      <c r="BNI81" s="427"/>
      <c r="BNJ81" s="22"/>
      <c r="BNK81" s="76"/>
      <c r="BNL81" s="42"/>
      <c r="BNM81" s="42"/>
      <c r="BNN81" s="42"/>
      <c r="BNO81" s="42"/>
      <c r="BNP81" s="42"/>
      <c r="BNQ81" s="43"/>
      <c r="BNR81" s="24"/>
      <c r="BNS81" s="24"/>
      <c r="BNT81" s="25"/>
      <c r="BNU81" s="23"/>
      <c r="BNV81" s="23"/>
      <c r="BNW81" s="42"/>
      <c r="BNX81" s="427"/>
      <c r="BNY81" s="22"/>
      <c r="BNZ81" s="76"/>
      <c r="BOA81" s="42"/>
      <c r="BOB81" s="42"/>
      <c r="BOC81" s="42"/>
      <c r="BOD81" s="42"/>
      <c r="BOE81" s="42"/>
      <c r="BOF81" s="43"/>
      <c r="BOG81" s="24"/>
      <c r="BOH81" s="24"/>
      <c r="BOI81" s="25"/>
      <c r="BOJ81" s="23"/>
      <c r="BOK81" s="23"/>
      <c r="BOL81" s="42"/>
      <c r="BOM81" s="427"/>
      <c r="BON81" s="22"/>
      <c r="BOO81" s="76"/>
      <c r="BOP81" s="42"/>
      <c r="BOQ81" s="42"/>
      <c r="BOR81" s="42"/>
      <c r="BOS81" s="42"/>
      <c r="BOT81" s="42"/>
      <c r="BOU81" s="43"/>
      <c r="BOV81" s="24"/>
      <c r="BOW81" s="24"/>
      <c r="BOX81" s="25"/>
      <c r="BOY81" s="23"/>
      <c r="BOZ81" s="23"/>
      <c r="BPA81" s="42"/>
      <c r="BPB81" s="427"/>
      <c r="BPC81" s="22"/>
      <c r="BPD81" s="76"/>
      <c r="BPE81" s="42"/>
      <c r="BPF81" s="42"/>
      <c r="BPG81" s="42"/>
      <c r="BPH81" s="42"/>
      <c r="BPI81" s="42"/>
      <c r="BPJ81" s="43"/>
      <c r="BPK81" s="24"/>
      <c r="BPL81" s="24"/>
      <c r="BPM81" s="25"/>
      <c r="BPN81" s="23"/>
      <c r="BPO81" s="23"/>
      <c r="BPP81" s="42"/>
      <c r="BPQ81" s="427"/>
      <c r="BPR81" s="22"/>
      <c r="BPS81" s="76"/>
      <c r="BPT81" s="42"/>
      <c r="BPU81" s="42"/>
      <c r="BPV81" s="42"/>
      <c r="BPW81" s="42"/>
      <c r="BPX81" s="42"/>
      <c r="BPY81" s="43"/>
      <c r="BPZ81" s="24"/>
      <c r="BQA81" s="24"/>
      <c r="BQB81" s="25"/>
      <c r="BQC81" s="23"/>
      <c r="BQD81" s="23"/>
      <c r="BQE81" s="42"/>
      <c r="BQF81" s="427"/>
      <c r="BQG81" s="22"/>
      <c r="BQH81" s="76"/>
      <c r="BQI81" s="42"/>
      <c r="BQJ81" s="42"/>
      <c r="BQK81" s="42"/>
      <c r="BQL81" s="42"/>
      <c r="BQM81" s="42"/>
      <c r="BQN81" s="43"/>
      <c r="BQO81" s="24"/>
      <c r="BQP81" s="24"/>
      <c r="BQQ81" s="25"/>
      <c r="BQR81" s="23"/>
      <c r="BQS81" s="23"/>
      <c r="BQT81" s="42"/>
      <c r="BQU81" s="427"/>
      <c r="BQV81" s="22"/>
      <c r="BQW81" s="76"/>
      <c r="BQX81" s="42"/>
      <c r="BQY81" s="42"/>
      <c r="BQZ81" s="42"/>
      <c r="BRA81" s="42"/>
      <c r="BRB81" s="42"/>
      <c r="BRC81" s="43"/>
      <c r="BRD81" s="24"/>
      <c r="BRE81" s="24"/>
      <c r="BRF81" s="25"/>
      <c r="BRG81" s="23"/>
      <c r="BRH81" s="23"/>
      <c r="BRI81" s="42"/>
      <c r="BRJ81" s="427"/>
      <c r="BRK81" s="22"/>
      <c r="BRL81" s="76"/>
      <c r="BRM81" s="42"/>
      <c r="BRN81" s="42"/>
      <c r="BRO81" s="42"/>
      <c r="BRP81" s="42"/>
      <c r="BRQ81" s="42"/>
      <c r="BRR81" s="43"/>
      <c r="BRS81" s="24"/>
      <c r="BRT81" s="24"/>
      <c r="BRU81" s="25"/>
      <c r="BRV81" s="23"/>
      <c r="BRW81" s="23"/>
      <c r="BRX81" s="42"/>
      <c r="BRY81" s="427"/>
      <c r="BRZ81" s="22"/>
      <c r="BSA81" s="76"/>
      <c r="BSB81" s="42"/>
      <c r="BSC81" s="42"/>
      <c r="BSD81" s="42"/>
      <c r="BSE81" s="42"/>
      <c r="BSF81" s="42"/>
      <c r="BSG81" s="43"/>
      <c r="BSH81" s="24"/>
      <c r="BSI81" s="24"/>
      <c r="BSJ81" s="25"/>
      <c r="BSK81" s="23"/>
      <c r="BSL81" s="23"/>
      <c r="BSM81" s="42"/>
      <c r="BSN81" s="427"/>
      <c r="BSO81" s="22"/>
      <c r="BSP81" s="76"/>
      <c r="BSQ81" s="42"/>
      <c r="BSR81" s="42"/>
      <c r="BSS81" s="42"/>
      <c r="BST81" s="42"/>
      <c r="BSU81" s="42"/>
      <c r="BSV81" s="43"/>
      <c r="BSW81" s="24"/>
      <c r="BSX81" s="24"/>
      <c r="BSY81" s="25"/>
      <c r="BSZ81" s="23"/>
      <c r="BTA81" s="23"/>
      <c r="BTB81" s="42"/>
      <c r="BTC81" s="427"/>
      <c r="BTD81" s="22"/>
      <c r="BTE81" s="76"/>
      <c r="BTF81" s="42"/>
      <c r="BTG81" s="42"/>
      <c r="BTH81" s="42"/>
      <c r="BTI81" s="42"/>
      <c r="BTJ81" s="42"/>
      <c r="BTK81" s="43"/>
      <c r="BTL81" s="24"/>
      <c r="BTM81" s="24"/>
      <c r="BTN81" s="25"/>
      <c r="BTO81" s="23"/>
      <c r="BTP81" s="23"/>
      <c r="BTQ81" s="42"/>
      <c r="BTR81" s="427"/>
      <c r="BTS81" s="22"/>
      <c r="BTT81" s="76"/>
      <c r="BTU81" s="42"/>
      <c r="BTV81" s="42"/>
      <c r="BTW81" s="42"/>
      <c r="BTX81" s="42"/>
      <c r="BTY81" s="42"/>
      <c r="BTZ81" s="43"/>
      <c r="BUA81" s="24"/>
      <c r="BUB81" s="24"/>
      <c r="BUC81" s="25"/>
      <c r="BUD81" s="23"/>
      <c r="BUE81" s="23"/>
      <c r="BUF81" s="42"/>
      <c r="BUG81" s="427"/>
      <c r="BUH81" s="22"/>
      <c r="BUI81" s="76"/>
      <c r="BUJ81" s="42"/>
      <c r="BUK81" s="42"/>
      <c r="BUL81" s="42"/>
      <c r="BUM81" s="42"/>
      <c r="BUN81" s="42"/>
      <c r="BUO81" s="43"/>
      <c r="BUP81" s="24"/>
      <c r="BUQ81" s="24"/>
      <c r="BUR81" s="25"/>
      <c r="BUS81" s="23"/>
      <c r="BUT81" s="23"/>
      <c r="BUU81" s="42"/>
      <c r="BUV81" s="427"/>
      <c r="BUW81" s="22"/>
      <c r="BUX81" s="76"/>
      <c r="BUY81" s="42"/>
      <c r="BUZ81" s="42"/>
      <c r="BVA81" s="42"/>
      <c r="BVB81" s="42"/>
      <c r="BVC81" s="42"/>
      <c r="BVD81" s="43"/>
      <c r="BVE81" s="24"/>
      <c r="BVF81" s="24"/>
      <c r="BVG81" s="25"/>
      <c r="BVH81" s="23"/>
      <c r="BVI81" s="23"/>
      <c r="BVJ81" s="42"/>
      <c r="BVK81" s="427"/>
      <c r="BVL81" s="22"/>
      <c r="BVM81" s="76"/>
      <c r="BVN81" s="42"/>
      <c r="BVO81" s="42"/>
      <c r="BVP81" s="42"/>
      <c r="BVQ81" s="42"/>
      <c r="BVR81" s="42"/>
      <c r="BVS81" s="43"/>
      <c r="BVT81" s="24"/>
      <c r="BVU81" s="24"/>
      <c r="BVV81" s="25"/>
      <c r="BVW81" s="23"/>
      <c r="BVX81" s="23"/>
      <c r="BVY81" s="42"/>
      <c r="BVZ81" s="427"/>
      <c r="BWA81" s="22"/>
      <c r="BWB81" s="76"/>
      <c r="BWC81" s="42"/>
      <c r="BWD81" s="42"/>
      <c r="BWE81" s="42"/>
      <c r="BWF81" s="42"/>
      <c r="BWG81" s="42"/>
      <c r="BWH81" s="43"/>
      <c r="BWI81" s="24"/>
      <c r="BWJ81" s="24"/>
      <c r="BWK81" s="25"/>
      <c r="BWL81" s="23"/>
      <c r="BWM81" s="23"/>
      <c r="BWN81" s="42"/>
      <c r="BWO81" s="427"/>
      <c r="BWP81" s="22"/>
      <c r="BWQ81" s="76"/>
      <c r="BWR81" s="42"/>
      <c r="BWS81" s="42"/>
      <c r="BWT81" s="42"/>
      <c r="BWU81" s="42"/>
      <c r="BWV81" s="42"/>
      <c r="BWW81" s="43"/>
      <c r="BWX81" s="24"/>
      <c r="BWY81" s="24"/>
      <c r="BWZ81" s="25"/>
      <c r="BXA81" s="23"/>
      <c r="BXB81" s="23"/>
      <c r="BXC81" s="42"/>
      <c r="BXD81" s="427"/>
      <c r="BXE81" s="22"/>
      <c r="BXF81" s="76"/>
      <c r="BXG81" s="42"/>
      <c r="BXH81" s="42"/>
      <c r="BXI81" s="42"/>
      <c r="BXJ81" s="42"/>
      <c r="BXK81" s="42"/>
      <c r="BXL81" s="43"/>
      <c r="BXM81" s="24"/>
      <c r="BXN81" s="24"/>
      <c r="BXO81" s="25"/>
      <c r="BXP81" s="23"/>
      <c r="BXQ81" s="23"/>
      <c r="BXR81" s="42"/>
      <c r="BXS81" s="427"/>
      <c r="BXT81" s="22"/>
      <c r="BXU81" s="76"/>
      <c r="BXV81" s="42"/>
      <c r="BXW81" s="42"/>
      <c r="BXX81" s="42"/>
      <c r="BXY81" s="42"/>
      <c r="BXZ81" s="42"/>
      <c r="BYA81" s="43"/>
      <c r="BYB81" s="24"/>
      <c r="BYC81" s="24"/>
      <c r="BYD81" s="25"/>
      <c r="BYE81" s="23"/>
      <c r="BYF81" s="23"/>
      <c r="BYG81" s="42"/>
      <c r="BYH81" s="427"/>
      <c r="BYI81" s="22"/>
      <c r="BYJ81" s="76"/>
      <c r="BYK81" s="42"/>
      <c r="BYL81" s="42"/>
      <c r="BYM81" s="42"/>
      <c r="BYN81" s="42"/>
      <c r="BYO81" s="42"/>
      <c r="BYP81" s="43"/>
      <c r="BYQ81" s="24"/>
      <c r="BYR81" s="24"/>
      <c r="BYS81" s="25"/>
      <c r="BYT81" s="23"/>
      <c r="BYU81" s="23"/>
      <c r="BYV81" s="42"/>
      <c r="BYW81" s="427"/>
      <c r="BYX81" s="22"/>
      <c r="BYY81" s="76"/>
      <c r="BYZ81" s="42"/>
      <c r="BZA81" s="42"/>
      <c r="BZB81" s="42"/>
      <c r="BZC81" s="42"/>
      <c r="BZD81" s="42"/>
      <c r="BZE81" s="43"/>
      <c r="BZF81" s="24"/>
      <c r="BZG81" s="24"/>
      <c r="BZH81" s="25"/>
      <c r="BZI81" s="23"/>
      <c r="BZJ81" s="23"/>
      <c r="BZK81" s="42"/>
      <c r="BZL81" s="427"/>
      <c r="BZM81" s="22"/>
      <c r="BZN81" s="76"/>
      <c r="BZO81" s="42"/>
      <c r="BZP81" s="42"/>
      <c r="BZQ81" s="42"/>
      <c r="BZR81" s="42"/>
      <c r="BZS81" s="42"/>
      <c r="BZT81" s="43"/>
      <c r="BZU81" s="24"/>
      <c r="BZV81" s="24"/>
      <c r="BZW81" s="25"/>
      <c r="BZX81" s="23"/>
      <c r="BZY81" s="23"/>
      <c r="BZZ81" s="42"/>
      <c r="CAA81" s="427"/>
      <c r="CAB81" s="22"/>
      <c r="CAC81" s="76"/>
      <c r="CAD81" s="42"/>
      <c r="CAE81" s="42"/>
      <c r="CAF81" s="42"/>
      <c r="CAG81" s="42"/>
      <c r="CAH81" s="42"/>
      <c r="CAI81" s="43"/>
      <c r="CAJ81" s="24"/>
      <c r="CAK81" s="24"/>
      <c r="CAL81" s="25"/>
      <c r="CAM81" s="23"/>
      <c r="CAN81" s="23"/>
      <c r="CAO81" s="42"/>
      <c r="CAP81" s="427"/>
      <c r="CAQ81" s="22"/>
      <c r="CAR81" s="76"/>
      <c r="CAS81" s="42"/>
      <c r="CAT81" s="42"/>
      <c r="CAU81" s="42"/>
      <c r="CAV81" s="42"/>
      <c r="CAW81" s="42"/>
      <c r="CAX81" s="43"/>
      <c r="CAY81" s="24"/>
      <c r="CAZ81" s="24"/>
      <c r="CBA81" s="25"/>
      <c r="CBB81" s="23"/>
      <c r="CBC81" s="23"/>
      <c r="CBD81" s="42"/>
      <c r="CBE81" s="427"/>
      <c r="CBF81" s="22"/>
      <c r="CBG81" s="76"/>
      <c r="CBH81" s="42"/>
      <c r="CBI81" s="42"/>
      <c r="CBJ81" s="42"/>
      <c r="CBK81" s="42"/>
      <c r="CBL81" s="42"/>
      <c r="CBM81" s="43"/>
      <c r="CBN81" s="24"/>
      <c r="CBO81" s="24"/>
      <c r="CBP81" s="25"/>
      <c r="CBQ81" s="23"/>
      <c r="CBR81" s="23"/>
      <c r="CBS81" s="42"/>
      <c r="CBT81" s="427"/>
      <c r="CBU81" s="22"/>
      <c r="CBV81" s="76"/>
      <c r="CBW81" s="42"/>
      <c r="CBX81" s="42"/>
      <c r="CBY81" s="42"/>
      <c r="CBZ81" s="42"/>
      <c r="CCA81" s="42"/>
      <c r="CCB81" s="43"/>
      <c r="CCC81" s="24"/>
      <c r="CCD81" s="24"/>
      <c r="CCE81" s="25"/>
      <c r="CCF81" s="23"/>
      <c r="CCG81" s="23"/>
      <c r="CCH81" s="42"/>
      <c r="CCI81" s="427"/>
      <c r="CCJ81" s="22"/>
      <c r="CCK81" s="76"/>
      <c r="CCL81" s="42"/>
      <c r="CCM81" s="42"/>
      <c r="CCN81" s="42"/>
      <c r="CCO81" s="42"/>
      <c r="CCP81" s="42"/>
      <c r="CCQ81" s="43"/>
      <c r="CCR81" s="24"/>
      <c r="CCS81" s="24"/>
      <c r="CCT81" s="25"/>
      <c r="CCU81" s="23"/>
      <c r="CCV81" s="23"/>
      <c r="CCW81" s="42"/>
      <c r="CCX81" s="427"/>
      <c r="CCY81" s="22"/>
      <c r="CCZ81" s="76"/>
      <c r="CDA81" s="42"/>
      <c r="CDB81" s="42"/>
      <c r="CDC81" s="42"/>
      <c r="CDD81" s="42"/>
      <c r="CDE81" s="42"/>
      <c r="CDF81" s="43"/>
      <c r="CDG81" s="24"/>
      <c r="CDH81" s="24"/>
      <c r="CDI81" s="25"/>
      <c r="CDJ81" s="23"/>
      <c r="CDK81" s="23"/>
      <c r="CDL81" s="42"/>
      <c r="CDM81" s="427"/>
      <c r="CDN81" s="22"/>
      <c r="CDO81" s="76"/>
      <c r="CDP81" s="42"/>
      <c r="CDQ81" s="42"/>
      <c r="CDR81" s="42"/>
      <c r="CDS81" s="42"/>
      <c r="CDT81" s="42"/>
      <c r="CDU81" s="43"/>
      <c r="CDV81" s="24"/>
      <c r="CDW81" s="24"/>
      <c r="CDX81" s="25"/>
      <c r="CDY81" s="23"/>
      <c r="CDZ81" s="23"/>
      <c r="CEA81" s="42"/>
      <c r="CEB81" s="427"/>
      <c r="CEC81" s="22"/>
      <c r="CED81" s="76"/>
      <c r="CEE81" s="42"/>
      <c r="CEF81" s="42"/>
      <c r="CEG81" s="42"/>
      <c r="CEH81" s="42"/>
      <c r="CEI81" s="42"/>
      <c r="CEJ81" s="43"/>
      <c r="CEK81" s="24"/>
      <c r="CEL81" s="24"/>
      <c r="CEM81" s="25"/>
      <c r="CEN81" s="23"/>
      <c r="CEO81" s="23"/>
      <c r="CEP81" s="42"/>
      <c r="CEQ81" s="427"/>
      <c r="CER81" s="22"/>
      <c r="CES81" s="76"/>
      <c r="CET81" s="42"/>
      <c r="CEU81" s="42"/>
      <c r="CEV81" s="42"/>
      <c r="CEW81" s="42"/>
      <c r="CEX81" s="42"/>
      <c r="CEY81" s="43"/>
      <c r="CEZ81" s="24"/>
      <c r="CFA81" s="24"/>
      <c r="CFB81" s="25"/>
      <c r="CFC81" s="23"/>
      <c r="CFD81" s="23"/>
      <c r="CFE81" s="42"/>
      <c r="CFF81" s="427"/>
      <c r="CFG81" s="22"/>
      <c r="CFH81" s="76"/>
      <c r="CFI81" s="42"/>
      <c r="CFJ81" s="42"/>
      <c r="CFK81" s="42"/>
      <c r="CFL81" s="42"/>
      <c r="CFM81" s="42"/>
      <c r="CFN81" s="43"/>
      <c r="CFO81" s="24"/>
      <c r="CFP81" s="24"/>
      <c r="CFQ81" s="25"/>
      <c r="CFR81" s="23"/>
      <c r="CFS81" s="23"/>
      <c r="CFT81" s="42"/>
      <c r="CFU81" s="427"/>
      <c r="CFV81" s="22"/>
      <c r="CFW81" s="76"/>
      <c r="CFX81" s="42"/>
      <c r="CFY81" s="42"/>
      <c r="CFZ81" s="42"/>
      <c r="CGA81" s="42"/>
      <c r="CGB81" s="42"/>
      <c r="CGC81" s="43"/>
      <c r="CGD81" s="24"/>
      <c r="CGE81" s="24"/>
      <c r="CGF81" s="25"/>
      <c r="CGG81" s="23"/>
      <c r="CGH81" s="23"/>
      <c r="CGI81" s="42"/>
      <c r="CGJ81" s="427"/>
      <c r="CGK81" s="22"/>
      <c r="CGL81" s="76"/>
      <c r="CGM81" s="42"/>
      <c r="CGN81" s="42"/>
      <c r="CGO81" s="42"/>
      <c r="CGP81" s="42"/>
      <c r="CGQ81" s="42"/>
      <c r="CGR81" s="43"/>
      <c r="CGS81" s="24"/>
      <c r="CGT81" s="24"/>
      <c r="CGU81" s="25"/>
      <c r="CGV81" s="23"/>
      <c r="CGW81" s="23"/>
      <c r="CGX81" s="42"/>
      <c r="CGY81" s="427"/>
      <c r="CGZ81" s="22"/>
      <c r="CHA81" s="76"/>
      <c r="CHB81" s="42"/>
      <c r="CHC81" s="42"/>
      <c r="CHD81" s="42"/>
      <c r="CHE81" s="42"/>
      <c r="CHF81" s="42"/>
      <c r="CHG81" s="43"/>
      <c r="CHH81" s="24"/>
      <c r="CHI81" s="24"/>
      <c r="CHJ81" s="25"/>
      <c r="CHK81" s="23"/>
      <c r="CHL81" s="23"/>
      <c r="CHM81" s="42"/>
      <c r="CHN81" s="427"/>
      <c r="CHO81" s="22"/>
      <c r="CHP81" s="76"/>
      <c r="CHQ81" s="42"/>
      <c r="CHR81" s="42"/>
      <c r="CHS81" s="42"/>
      <c r="CHT81" s="42"/>
      <c r="CHU81" s="42"/>
      <c r="CHV81" s="43"/>
      <c r="CHW81" s="24"/>
      <c r="CHX81" s="24"/>
      <c r="CHY81" s="25"/>
      <c r="CHZ81" s="23"/>
      <c r="CIA81" s="23"/>
      <c r="CIB81" s="42"/>
      <c r="CIC81" s="427"/>
      <c r="CID81" s="22"/>
      <c r="CIE81" s="76"/>
      <c r="CIF81" s="42"/>
      <c r="CIG81" s="42"/>
      <c r="CIH81" s="42"/>
      <c r="CII81" s="42"/>
      <c r="CIJ81" s="42"/>
      <c r="CIK81" s="43"/>
      <c r="CIL81" s="24"/>
      <c r="CIM81" s="24"/>
      <c r="CIN81" s="25"/>
      <c r="CIO81" s="23"/>
      <c r="CIP81" s="23"/>
      <c r="CIQ81" s="42"/>
      <c r="CIR81" s="427"/>
      <c r="CIS81" s="22"/>
      <c r="CIT81" s="76"/>
      <c r="CIU81" s="42"/>
      <c r="CIV81" s="42"/>
      <c r="CIW81" s="42"/>
      <c r="CIX81" s="42"/>
      <c r="CIY81" s="42"/>
      <c r="CIZ81" s="43"/>
      <c r="CJA81" s="24"/>
      <c r="CJB81" s="24"/>
      <c r="CJC81" s="25"/>
      <c r="CJD81" s="23"/>
      <c r="CJE81" s="23"/>
      <c r="CJF81" s="42"/>
      <c r="CJG81" s="427"/>
      <c r="CJH81" s="22"/>
      <c r="CJI81" s="76"/>
      <c r="CJJ81" s="42"/>
      <c r="CJK81" s="42"/>
      <c r="CJL81" s="42"/>
      <c r="CJM81" s="42"/>
      <c r="CJN81" s="42"/>
      <c r="CJO81" s="43"/>
      <c r="CJP81" s="24"/>
      <c r="CJQ81" s="24"/>
      <c r="CJR81" s="25"/>
      <c r="CJS81" s="23"/>
      <c r="CJT81" s="23"/>
      <c r="CJU81" s="42"/>
      <c r="CJV81" s="427"/>
      <c r="CJW81" s="22"/>
      <c r="CJX81" s="76"/>
      <c r="CJY81" s="42"/>
      <c r="CJZ81" s="42"/>
      <c r="CKA81" s="42"/>
      <c r="CKB81" s="42"/>
      <c r="CKC81" s="42"/>
      <c r="CKD81" s="43"/>
      <c r="CKE81" s="24"/>
      <c r="CKF81" s="24"/>
      <c r="CKG81" s="25"/>
      <c r="CKH81" s="23"/>
      <c r="CKI81" s="23"/>
      <c r="CKJ81" s="42"/>
      <c r="CKK81" s="427"/>
      <c r="CKL81" s="22"/>
      <c r="CKM81" s="76"/>
      <c r="CKN81" s="42"/>
      <c r="CKO81" s="42"/>
      <c r="CKP81" s="42"/>
      <c r="CKQ81" s="42"/>
      <c r="CKR81" s="42"/>
      <c r="CKS81" s="43"/>
      <c r="CKT81" s="24"/>
      <c r="CKU81" s="24"/>
      <c r="CKV81" s="25"/>
      <c r="CKW81" s="23"/>
      <c r="CKX81" s="23"/>
      <c r="CKY81" s="42"/>
      <c r="CKZ81" s="427"/>
      <c r="CLA81" s="22"/>
      <c r="CLB81" s="76"/>
      <c r="CLC81" s="42"/>
      <c r="CLD81" s="42"/>
      <c r="CLE81" s="42"/>
      <c r="CLF81" s="42"/>
      <c r="CLG81" s="42"/>
      <c r="CLH81" s="43"/>
      <c r="CLI81" s="24"/>
      <c r="CLJ81" s="24"/>
      <c r="CLK81" s="25"/>
      <c r="CLL81" s="23"/>
      <c r="CLM81" s="23"/>
      <c r="CLN81" s="42"/>
      <c r="CLO81" s="427"/>
      <c r="CLP81" s="22"/>
      <c r="CLQ81" s="76"/>
      <c r="CLR81" s="42"/>
      <c r="CLS81" s="42"/>
      <c r="CLT81" s="42"/>
      <c r="CLU81" s="42"/>
      <c r="CLV81" s="42"/>
      <c r="CLW81" s="43"/>
      <c r="CLX81" s="24"/>
      <c r="CLY81" s="24"/>
      <c r="CLZ81" s="25"/>
      <c r="CMA81" s="23"/>
      <c r="CMB81" s="23"/>
      <c r="CMC81" s="42"/>
      <c r="CMD81" s="427"/>
      <c r="CME81" s="22"/>
      <c r="CMF81" s="76"/>
      <c r="CMG81" s="42"/>
      <c r="CMH81" s="42"/>
      <c r="CMI81" s="42"/>
      <c r="CMJ81" s="42"/>
      <c r="CMK81" s="42"/>
      <c r="CML81" s="43"/>
      <c r="CMM81" s="24"/>
      <c r="CMN81" s="24"/>
      <c r="CMO81" s="25"/>
      <c r="CMP81" s="23"/>
      <c r="CMQ81" s="23"/>
      <c r="CMR81" s="42"/>
      <c r="CMS81" s="427"/>
      <c r="CMT81" s="22"/>
      <c r="CMU81" s="76"/>
      <c r="CMV81" s="42"/>
      <c r="CMW81" s="42"/>
      <c r="CMX81" s="42"/>
      <c r="CMY81" s="42"/>
      <c r="CMZ81" s="42"/>
      <c r="CNA81" s="43"/>
      <c r="CNB81" s="24"/>
      <c r="CNC81" s="24"/>
      <c r="CND81" s="25"/>
      <c r="CNE81" s="23"/>
      <c r="CNF81" s="23"/>
      <c r="CNG81" s="42"/>
      <c r="CNH81" s="427"/>
      <c r="CNI81" s="22"/>
      <c r="CNJ81" s="76"/>
      <c r="CNK81" s="42"/>
      <c r="CNL81" s="42"/>
      <c r="CNM81" s="42"/>
      <c r="CNN81" s="42"/>
      <c r="CNO81" s="42"/>
      <c r="CNP81" s="43"/>
      <c r="CNQ81" s="24"/>
      <c r="CNR81" s="24"/>
      <c r="CNS81" s="25"/>
      <c r="CNT81" s="23"/>
      <c r="CNU81" s="23"/>
      <c r="CNV81" s="42"/>
      <c r="CNW81" s="427"/>
      <c r="CNX81" s="22"/>
      <c r="CNY81" s="76"/>
      <c r="CNZ81" s="42"/>
      <c r="COA81" s="42"/>
      <c r="COB81" s="42"/>
      <c r="COC81" s="42"/>
      <c r="COD81" s="42"/>
      <c r="COE81" s="43"/>
      <c r="COF81" s="24"/>
      <c r="COG81" s="24"/>
      <c r="COH81" s="25"/>
      <c r="COI81" s="23"/>
      <c r="COJ81" s="23"/>
      <c r="COK81" s="42"/>
      <c r="COL81" s="427"/>
      <c r="COM81" s="22"/>
      <c r="CON81" s="76"/>
      <c r="COO81" s="42"/>
      <c r="COP81" s="42"/>
      <c r="COQ81" s="42"/>
      <c r="COR81" s="42"/>
      <c r="COS81" s="42"/>
      <c r="COT81" s="43"/>
      <c r="COU81" s="24"/>
      <c r="COV81" s="24"/>
      <c r="COW81" s="25"/>
      <c r="COX81" s="23"/>
      <c r="COY81" s="23"/>
      <c r="COZ81" s="42"/>
      <c r="CPA81" s="427"/>
      <c r="CPB81" s="22"/>
      <c r="CPC81" s="76"/>
      <c r="CPD81" s="42"/>
      <c r="CPE81" s="42"/>
      <c r="CPF81" s="42"/>
      <c r="CPG81" s="42"/>
      <c r="CPH81" s="42"/>
      <c r="CPI81" s="43"/>
      <c r="CPJ81" s="24"/>
      <c r="CPK81" s="24"/>
      <c r="CPL81" s="25"/>
      <c r="CPM81" s="23"/>
      <c r="CPN81" s="23"/>
      <c r="CPO81" s="42"/>
      <c r="CPP81" s="427"/>
      <c r="CPQ81" s="22"/>
      <c r="CPR81" s="76"/>
      <c r="CPS81" s="42"/>
      <c r="CPT81" s="42"/>
      <c r="CPU81" s="42"/>
      <c r="CPV81" s="42"/>
      <c r="CPW81" s="42"/>
      <c r="CPX81" s="43"/>
      <c r="CPY81" s="24"/>
      <c r="CPZ81" s="24"/>
      <c r="CQA81" s="25"/>
      <c r="CQB81" s="23"/>
      <c r="CQC81" s="23"/>
      <c r="CQD81" s="42"/>
      <c r="CQE81" s="427"/>
      <c r="CQF81" s="22"/>
      <c r="CQG81" s="76"/>
      <c r="CQH81" s="42"/>
      <c r="CQI81" s="42"/>
      <c r="CQJ81" s="42"/>
      <c r="CQK81" s="42"/>
      <c r="CQL81" s="42"/>
      <c r="CQM81" s="43"/>
      <c r="CQN81" s="24"/>
      <c r="CQO81" s="24"/>
      <c r="CQP81" s="25"/>
      <c r="CQQ81" s="23"/>
      <c r="CQR81" s="23"/>
      <c r="CQS81" s="42"/>
      <c r="CQT81" s="427"/>
      <c r="CQU81" s="22"/>
      <c r="CQV81" s="76"/>
      <c r="CQW81" s="42"/>
      <c r="CQX81" s="42"/>
      <c r="CQY81" s="42"/>
      <c r="CQZ81" s="42"/>
      <c r="CRA81" s="42"/>
      <c r="CRB81" s="43"/>
      <c r="CRC81" s="24"/>
      <c r="CRD81" s="24"/>
      <c r="CRE81" s="25"/>
      <c r="CRF81" s="23"/>
      <c r="CRG81" s="23"/>
      <c r="CRH81" s="42"/>
      <c r="CRI81" s="427"/>
      <c r="CRJ81" s="22"/>
      <c r="CRK81" s="76"/>
      <c r="CRL81" s="42"/>
      <c r="CRM81" s="42"/>
      <c r="CRN81" s="42"/>
      <c r="CRO81" s="42"/>
      <c r="CRP81" s="42"/>
      <c r="CRQ81" s="43"/>
      <c r="CRR81" s="24"/>
      <c r="CRS81" s="24"/>
      <c r="CRT81" s="25"/>
      <c r="CRU81" s="23"/>
      <c r="CRV81" s="23"/>
      <c r="CRW81" s="42"/>
      <c r="CRX81" s="427"/>
      <c r="CRY81" s="22"/>
      <c r="CRZ81" s="76"/>
      <c r="CSA81" s="42"/>
      <c r="CSB81" s="42"/>
      <c r="CSC81" s="42"/>
      <c r="CSD81" s="42"/>
      <c r="CSE81" s="42"/>
      <c r="CSF81" s="43"/>
      <c r="CSG81" s="24"/>
      <c r="CSH81" s="24"/>
      <c r="CSI81" s="25"/>
      <c r="CSJ81" s="23"/>
      <c r="CSK81" s="23"/>
      <c r="CSL81" s="42"/>
      <c r="CSM81" s="427"/>
      <c r="CSN81" s="22"/>
      <c r="CSO81" s="76"/>
      <c r="CSP81" s="42"/>
      <c r="CSQ81" s="42"/>
      <c r="CSR81" s="42"/>
      <c r="CSS81" s="42"/>
      <c r="CST81" s="42"/>
      <c r="CSU81" s="43"/>
      <c r="CSV81" s="24"/>
      <c r="CSW81" s="24"/>
      <c r="CSX81" s="25"/>
      <c r="CSY81" s="23"/>
      <c r="CSZ81" s="23"/>
      <c r="CTA81" s="42"/>
      <c r="CTB81" s="427"/>
      <c r="CTC81" s="22"/>
      <c r="CTD81" s="76"/>
      <c r="CTE81" s="42"/>
      <c r="CTF81" s="42"/>
      <c r="CTG81" s="42"/>
      <c r="CTH81" s="42"/>
      <c r="CTI81" s="42"/>
      <c r="CTJ81" s="43"/>
      <c r="CTK81" s="24"/>
      <c r="CTL81" s="24"/>
      <c r="CTM81" s="25"/>
      <c r="CTN81" s="23"/>
      <c r="CTO81" s="23"/>
      <c r="CTP81" s="42"/>
      <c r="CTQ81" s="427"/>
      <c r="CTR81" s="22"/>
      <c r="CTS81" s="76"/>
      <c r="CTT81" s="42"/>
      <c r="CTU81" s="42"/>
      <c r="CTV81" s="42"/>
      <c r="CTW81" s="42"/>
      <c r="CTX81" s="42"/>
      <c r="CTY81" s="43"/>
      <c r="CTZ81" s="24"/>
      <c r="CUA81" s="24"/>
      <c r="CUB81" s="25"/>
      <c r="CUC81" s="23"/>
      <c r="CUD81" s="23"/>
      <c r="CUE81" s="42"/>
      <c r="CUF81" s="427"/>
      <c r="CUG81" s="22"/>
      <c r="CUH81" s="76"/>
      <c r="CUI81" s="42"/>
      <c r="CUJ81" s="42"/>
      <c r="CUK81" s="42"/>
      <c r="CUL81" s="42"/>
      <c r="CUM81" s="42"/>
      <c r="CUN81" s="43"/>
      <c r="CUO81" s="24"/>
      <c r="CUP81" s="24"/>
      <c r="CUQ81" s="25"/>
      <c r="CUR81" s="23"/>
      <c r="CUS81" s="23"/>
      <c r="CUT81" s="42"/>
      <c r="CUU81" s="427"/>
      <c r="CUV81" s="22"/>
      <c r="CUW81" s="76"/>
      <c r="CUX81" s="42"/>
      <c r="CUY81" s="42"/>
      <c r="CUZ81" s="42"/>
      <c r="CVA81" s="42"/>
      <c r="CVB81" s="42"/>
      <c r="CVC81" s="43"/>
      <c r="CVD81" s="24"/>
      <c r="CVE81" s="24"/>
      <c r="CVF81" s="25"/>
      <c r="CVG81" s="23"/>
      <c r="CVH81" s="23"/>
      <c r="CVI81" s="42"/>
      <c r="CVJ81" s="427"/>
      <c r="CVK81" s="22"/>
      <c r="CVL81" s="76"/>
      <c r="CVM81" s="42"/>
      <c r="CVN81" s="42"/>
      <c r="CVO81" s="42"/>
      <c r="CVP81" s="42"/>
      <c r="CVQ81" s="42"/>
      <c r="CVR81" s="43"/>
      <c r="CVS81" s="24"/>
      <c r="CVT81" s="24"/>
      <c r="CVU81" s="25"/>
      <c r="CVV81" s="23"/>
      <c r="CVW81" s="23"/>
      <c r="CVX81" s="42"/>
      <c r="CVY81" s="427"/>
      <c r="CVZ81" s="22"/>
      <c r="CWA81" s="76"/>
      <c r="CWB81" s="42"/>
      <c r="CWC81" s="42"/>
      <c r="CWD81" s="42"/>
      <c r="CWE81" s="42"/>
      <c r="CWF81" s="42"/>
      <c r="CWG81" s="43"/>
      <c r="CWH81" s="24"/>
      <c r="CWI81" s="24"/>
      <c r="CWJ81" s="25"/>
      <c r="CWK81" s="23"/>
      <c r="CWL81" s="23"/>
      <c r="CWM81" s="42"/>
      <c r="CWN81" s="427"/>
      <c r="CWO81" s="22"/>
      <c r="CWP81" s="76"/>
      <c r="CWQ81" s="42"/>
      <c r="CWR81" s="42"/>
      <c r="CWS81" s="42"/>
      <c r="CWT81" s="42"/>
      <c r="CWU81" s="42"/>
      <c r="CWV81" s="43"/>
      <c r="CWW81" s="24"/>
      <c r="CWX81" s="24"/>
      <c r="CWY81" s="25"/>
      <c r="CWZ81" s="23"/>
      <c r="CXA81" s="23"/>
      <c r="CXB81" s="42"/>
      <c r="CXC81" s="427"/>
      <c r="CXD81" s="22"/>
      <c r="CXE81" s="76"/>
      <c r="CXF81" s="42"/>
      <c r="CXG81" s="42"/>
      <c r="CXH81" s="42"/>
      <c r="CXI81" s="42"/>
      <c r="CXJ81" s="42"/>
      <c r="CXK81" s="43"/>
      <c r="CXL81" s="24"/>
      <c r="CXM81" s="24"/>
      <c r="CXN81" s="25"/>
      <c r="CXO81" s="23"/>
      <c r="CXP81" s="23"/>
      <c r="CXQ81" s="42"/>
      <c r="CXR81" s="427"/>
      <c r="CXS81" s="22"/>
      <c r="CXT81" s="76"/>
      <c r="CXU81" s="42"/>
      <c r="CXV81" s="42"/>
      <c r="CXW81" s="42"/>
      <c r="CXX81" s="42"/>
      <c r="CXY81" s="42"/>
      <c r="CXZ81" s="43"/>
      <c r="CYA81" s="24"/>
      <c r="CYB81" s="24"/>
      <c r="CYC81" s="25"/>
      <c r="CYD81" s="23"/>
      <c r="CYE81" s="23"/>
      <c r="CYF81" s="42"/>
      <c r="CYG81" s="427"/>
      <c r="CYH81" s="22"/>
      <c r="CYI81" s="76"/>
      <c r="CYJ81" s="42"/>
      <c r="CYK81" s="42"/>
      <c r="CYL81" s="42"/>
      <c r="CYM81" s="42"/>
      <c r="CYN81" s="42"/>
      <c r="CYO81" s="43"/>
      <c r="CYP81" s="24"/>
      <c r="CYQ81" s="24"/>
      <c r="CYR81" s="25"/>
      <c r="CYS81" s="23"/>
      <c r="CYT81" s="23"/>
      <c r="CYU81" s="42"/>
      <c r="CYV81" s="427"/>
      <c r="CYW81" s="22"/>
      <c r="CYX81" s="76"/>
      <c r="CYY81" s="42"/>
      <c r="CYZ81" s="42"/>
      <c r="CZA81" s="42"/>
      <c r="CZB81" s="42"/>
      <c r="CZC81" s="42"/>
      <c r="CZD81" s="43"/>
      <c r="CZE81" s="24"/>
      <c r="CZF81" s="24"/>
      <c r="CZG81" s="25"/>
      <c r="CZH81" s="23"/>
      <c r="CZI81" s="23"/>
      <c r="CZJ81" s="42"/>
      <c r="CZK81" s="427"/>
      <c r="CZL81" s="22"/>
      <c r="CZM81" s="76"/>
      <c r="CZN81" s="42"/>
      <c r="CZO81" s="42"/>
      <c r="CZP81" s="42"/>
      <c r="CZQ81" s="42"/>
      <c r="CZR81" s="42"/>
      <c r="CZS81" s="43"/>
      <c r="CZT81" s="24"/>
      <c r="CZU81" s="24"/>
      <c r="CZV81" s="25"/>
      <c r="CZW81" s="23"/>
      <c r="CZX81" s="23"/>
      <c r="CZY81" s="42"/>
      <c r="CZZ81" s="427"/>
      <c r="DAA81" s="22"/>
      <c r="DAB81" s="76"/>
      <c r="DAC81" s="42"/>
      <c r="DAD81" s="42"/>
      <c r="DAE81" s="42"/>
      <c r="DAF81" s="42"/>
      <c r="DAG81" s="42"/>
      <c r="DAH81" s="43"/>
      <c r="DAI81" s="24"/>
      <c r="DAJ81" s="24"/>
      <c r="DAK81" s="25"/>
      <c r="DAL81" s="23"/>
      <c r="DAM81" s="23"/>
      <c r="DAN81" s="42"/>
      <c r="DAO81" s="427"/>
      <c r="DAP81" s="22"/>
      <c r="DAQ81" s="76"/>
      <c r="DAR81" s="42"/>
      <c r="DAS81" s="42"/>
      <c r="DAT81" s="42"/>
      <c r="DAU81" s="42"/>
      <c r="DAV81" s="42"/>
      <c r="DAW81" s="43"/>
      <c r="DAX81" s="24"/>
      <c r="DAY81" s="24"/>
      <c r="DAZ81" s="25"/>
      <c r="DBA81" s="23"/>
      <c r="DBB81" s="23"/>
      <c r="DBC81" s="42"/>
      <c r="DBD81" s="427"/>
      <c r="DBE81" s="22"/>
      <c r="DBF81" s="76"/>
      <c r="DBG81" s="42"/>
      <c r="DBH81" s="42"/>
      <c r="DBI81" s="42"/>
      <c r="DBJ81" s="42"/>
      <c r="DBK81" s="42"/>
      <c r="DBL81" s="43"/>
      <c r="DBM81" s="24"/>
      <c r="DBN81" s="24"/>
      <c r="DBO81" s="25"/>
      <c r="DBP81" s="23"/>
      <c r="DBQ81" s="23"/>
      <c r="DBR81" s="42"/>
      <c r="DBS81" s="427"/>
      <c r="DBT81" s="22"/>
      <c r="DBU81" s="76"/>
      <c r="DBV81" s="42"/>
      <c r="DBW81" s="42"/>
      <c r="DBX81" s="42"/>
      <c r="DBY81" s="42"/>
      <c r="DBZ81" s="42"/>
      <c r="DCA81" s="43"/>
      <c r="DCB81" s="24"/>
      <c r="DCC81" s="24"/>
      <c r="DCD81" s="25"/>
      <c r="DCE81" s="23"/>
      <c r="DCF81" s="23"/>
      <c r="DCG81" s="42"/>
      <c r="DCH81" s="427"/>
      <c r="DCI81" s="22"/>
      <c r="DCJ81" s="76"/>
      <c r="DCK81" s="42"/>
      <c r="DCL81" s="42"/>
      <c r="DCM81" s="42"/>
      <c r="DCN81" s="42"/>
      <c r="DCO81" s="42"/>
      <c r="DCP81" s="43"/>
      <c r="DCQ81" s="24"/>
      <c r="DCR81" s="24"/>
      <c r="DCS81" s="25"/>
      <c r="DCT81" s="23"/>
      <c r="DCU81" s="23"/>
      <c r="DCV81" s="42"/>
      <c r="DCW81" s="427"/>
      <c r="DCX81" s="22"/>
      <c r="DCY81" s="76"/>
      <c r="DCZ81" s="42"/>
      <c r="DDA81" s="42"/>
      <c r="DDB81" s="42"/>
      <c r="DDC81" s="42"/>
      <c r="DDD81" s="42"/>
      <c r="DDE81" s="43"/>
      <c r="DDF81" s="24"/>
      <c r="DDG81" s="24"/>
      <c r="DDH81" s="25"/>
      <c r="DDI81" s="23"/>
      <c r="DDJ81" s="23"/>
      <c r="DDK81" s="42"/>
      <c r="DDL81" s="427"/>
      <c r="DDM81" s="22"/>
      <c r="DDN81" s="76"/>
      <c r="DDO81" s="42"/>
      <c r="DDP81" s="42"/>
      <c r="DDQ81" s="42"/>
      <c r="DDR81" s="42"/>
      <c r="DDS81" s="42"/>
      <c r="DDT81" s="43"/>
      <c r="DDU81" s="24"/>
      <c r="DDV81" s="24"/>
      <c r="DDW81" s="25"/>
      <c r="DDX81" s="23"/>
      <c r="DDY81" s="23"/>
      <c r="DDZ81" s="42"/>
      <c r="DEA81" s="427"/>
      <c r="DEB81" s="22"/>
      <c r="DEC81" s="76"/>
      <c r="DED81" s="42"/>
      <c r="DEE81" s="42"/>
      <c r="DEF81" s="42"/>
      <c r="DEG81" s="42"/>
      <c r="DEH81" s="42"/>
      <c r="DEI81" s="43"/>
      <c r="DEJ81" s="24"/>
      <c r="DEK81" s="24"/>
      <c r="DEL81" s="25"/>
      <c r="DEM81" s="23"/>
      <c r="DEN81" s="23"/>
      <c r="DEO81" s="42"/>
      <c r="DEP81" s="427"/>
      <c r="DEQ81" s="22"/>
      <c r="DER81" s="76"/>
      <c r="DES81" s="42"/>
      <c r="DET81" s="42"/>
      <c r="DEU81" s="42"/>
      <c r="DEV81" s="42"/>
      <c r="DEW81" s="42"/>
      <c r="DEX81" s="43"/>
      <c r="DEY81" s="24"/>
      <c r="DEZ81" s="24"/>
      <c r="DFA81" s="25"/>
      <c r="DFB81" s="23"/>
      <c r="DFC81" s="23"/>
      <c r="DFD81" s="42"/>
      <c r="DFE81" s="427"/>
      <c r="DFF81" s="22"/>
      <c r="DFG81" s="76"/>
      <c r="DFH81" s="42"/>
      <c r="DFI81" s="42"/>
      <c r="DFJ81" s="42"/>
      <c r="DFK81" s="42"/>
      <c r="DFL81" s="42"/>
      <c r="DFM81" s="43"/>
      <c r="DFN81" s="24"/>
      <c r="DFO81" s="24"/>
      <c r="DFP81" s="25"/>
      <c r="DFQ81" s="23"/>
      <c r="DFR81" s="23"/>
      <c r="DFS81" s="42"/>
      <c r="DFT81" s="427"/>
      <c r="DFU81" s="22"/>
      <c r="DFV81" s="76"/>
      <c r="DFW81" s="42"/>
      <c r="DFX81" s="42"/>
      <c r="DFY81" s="42"/>
      <c r="DFZ81" s="42"/>
      <c r="DGA81" s="42"/>
      <c r="DGB81" s="43"/>
      <c r="DGC81" s="24"/>
      <c r="DGD81" s="24"/>
      <c r="DGE81" s="25"/>
      <c r="DGF81" s="23"/>
      <c r="DGG81" s="23"/>
      <c r="DGH81" s="42"/>
      <c r="DGI81" s="427"/>
      <c r="DGJ81" s="22"/>
      <c r="DGK81" s="76"/>
      <c r="DGL81" s="42"/>
      <c r="DGM81" s="42"/>
      <c r="DGN81" s="42"/>
      <c r="DGO81" s="42"/>
      <c r="DGP81" s="42"/>
      <c r="DGQ81" s="43"/>
      <c r="DGR81" s="24"/>
      <c r="DGS81" s="24"/>
      <c r="DGT81" s="25"/>
      <c r="DGU81" s="23"/>
      <c r="DGV81" s="23"/>
      <c r="DGW81" s="42"/>
      <c r="DGX81" s="427"/>
      <c r="DGY81" s="22"/>
      <c r="DGZ81" s="76"/>
      <c r="DHA81" s="42"/>
      <c r="DHB81" s="42"/>
      <c r="DHC81" s="42"/>
      <c r="DHD81" s="42"/>
      <c r="DHE81" s="42"/>
      <c r="DHF81" s="43"/>
      <c r="DHG81" s="24"/>
      <c r="DHH81" s="24"/>
      <c r="DHI81" s="25"/>
      <c r="DHJ81" s="23"/>
      <c r="DHK81" s="23"/>
      <c r="DHL81" s="42"/>
      <c r="DHM81" s="427"/>
      <c r="DHN81" s="22"/>
      <c r="DHO81" s="76"/>
      <c r="DHP81" s="42"/>
      <c r="DHQ81" s="42"/>
      <c r="DHR81" s="42"/>
      <c r="DHS81" s="42"/>
      <c r="DHT81" s="42"/>
      <c r="DHU81" s="43"/>
      <c r="DHV81" s="24"/>
      <c r="DHW81" s="24"/>
      <c r="DHX81" s="25"/>
      <c r="DHY81" s="23"/>
      <c r="DHZ81" s="23"/>
      <c r="DIA81" s="42"/>
      <c r="DIB81" s="427"/>
      <c r="DIC81" s="22"/>
      <c r="DID81" s="76"/>
      <c r="DIE81" s="42"/>
      <c r="DIF81" s="42"/>
      <c r="DIG81" s="42"/>
      <c r="DIH81" s="42"/>
      <c r="DII81" s="42"/>
      <c r="DIJ81" s="43"/>
      <c r="DIK81" s="24"/>
      <c r="DIL81" s="24"/>
      <c r="DIM81" s="25"/>
      <c r="DIN81" s="23"/>
      <c r="DIO81" s="23"/>
      <c r="DIP81" s="42"/>
      <c r="DIQ81" s="427"/>
      <c r="DIR81" s="22"/>
      <c r="DIS81" s="76"/>
      <c r="DIT81" s="42"/>
      <c r="DIU81" s="42"/>
      <c r="DIV81" s="42"/>
      <c r="DIW81" s="42"/>
      <c r="DIX81" s="42"/>
      <c r="DIY81" s="43"/>
      <c r="DIZ81" s="24"/>
      <c r="DJA81" s="24"/>
      <c r="DJB81" s="25"/>
      <c r="DJC81" s="23"/>
      <c r="DJD81" s="23"/>
      <c r="DJE81" s="42"/>
      <c r="DJF81" s="427"/>
      <c r="DJG81" s="22"/>
      <c r="DJH81" s="76"/>
      <c r="DJI81" s="42"/>
      <c r="DJJ81" s="42"/>
      <c r="DJK81" s="42"/>
      <c r="DJL81" s="42"/>
      <c r="DJM81" s="42"/>
      <c r="DJN81" s="43"/>
      <c r="DJO81" s="24"/>
      <c r="DJP81" s="24"/>
      <c r="DJQ81" s="25"/>
      <c r="DJR81" s="23"/>
      <c r="DJS81" s="23"/>
      <c r="DJT81" s="42"/>
      <c r="DJU81" s="427"/>
      <c r="DJV81" s="22"/>
      <c r="DJW81" s="76"/>
      <c r="DJX81" s="42"/>
      <c r="DJY81" s="42"/>
      <c r="DJZ81" s="42"/>
      <c r="DKA81" s="42"/>
      <c r="DKB81" s="42"/>
      <c r="DKC81" s="43"/>
      <c r="DKD81" s="24"/>
      <c r="DKE81" s="24"/>
      <c r="DKF81" s="25"/>
      <c r="DKG81" s="23"/>
      <c r="DKH81" s="23"/>
      <c r="DKI81" s="42"/>
      <c r="DKJ81" s="427"/>
      <c r="DKK81" s="22"/>
      <c r="DKL81" s="76"/>
      <c r="DKM81" s="42"/>
      <c r="DKN81" s="42"/>
      <c r="DKO81" s="42"/>
      <c r="DKP81" s="42"/>
      <c r="DKQ81" s="42"/>
      <c r="DKR81" s="43"/>
      <c r="DKS81" s="24"/>
      <c r="DKT81" s="24"/>
      <c r="DKU81" s="25"/>
      <c r="DKV81" s="23"/>
      <c r="DKW81" s="23"/>
      <c r="DKX81" s="42"/>
      <c r="DKY81" s="427"/>
      <c r="DKZ81" s="22"/>
      <c r="DLA81" s="76"/>
      <c r="DLB81" s="42"/>
      <c r="DLC81" s="42"/>
      <c r="DLD81" s="42"/>
      <c r="DLE81" s="42"/>
      <c r="DLF81" s="42"/>
      <c r="DLG81" s="43"/>
      <c r="DLH81" s="24"/>
      <c r="DLI81" s="24"/>
      <c r="DLJ81" s="25"/>
      <c r="DLK81" s="23"/>
      <c r="DLL81" s="23"/>
      <c r="DLM81" s="42"/>
      <c r="DLN81" s="427"/>
      <c r="DLO81" s="22"/>
      <c r="DLP81" s="76"/>
      <c r="DLQ81" s="42"/>
      <c r="DLR81" s="42"/>
      <c r="DLS81" s="42"/>
      <c r="DLT81" s="42"/>
      <c r="DLU81" s="42"/>
      <c r="DLV81" s="43"/>
      <c r="DLW81" s="24"/>
      <c r="DLX81" s="24"/>
      <c r="DLY81" s="25"/>
      <c r="DLZ81" s="23"/>
      <c r="DMA81" s="23"/>
      <c r="DMB81" s="42"/>
      <c r="DMC81" s="427"/>
      <c r="DMD81" s="22"/>
      <c r="DME81" s="76"/>
      <c r="DMF81" s="42"/>
      <c r="DMG81" s="42"/>
      <c r="DMH81" s="42"/>
      <c r="DMI81" s="42"/>
      <c r="DMJ81" s="42"/>
      <c r="DMK81" s="43"/>
      <c r="DML81" s="24"/>
      <c r="DMM81" s="24"/>
      <c r="DMN81" s="25"/>
      <c r="DMO81" s="23"/>
      <c r="DMP81" s="23"/>
      <c r="DMQ81" s="42"/>
      <c r="DMR81" s="427"/>
      <c r="DMS81" s="22"/>
      <c r="DMT81" s="76"/>
      <c r="DMU81" s="42"/>
      <c r="DMV81" s="42"/>
      <c r="DMW81" s="42"/>
      <c r="DMX81" s="42"/>
      <c r="DMY81" s="42"/>
      <c r="DMZ81" s="43"/>
      <c r="DNA81" s="24"/>
      <c r="DNB81" s="24"/>
      <c r="DNC81" s="25"/>
      <c r="DND81" s="23"/>
      <c r="DNE81" s="23"/>
      <c r="DNF81" s="42"/>
      <c r="DNG81" s="427"/>
      <c r="DNH81" s="22"/>
      <c r="DNI81" s="76"/>
      <c r="DNJ81" s="42"/>
      <c r="DNK81" s="42"/>
      <c r="DNL81" s="42"/>
      <c r="DNM81" s="42"/>
      <c r="DNN81" s="42"/>
      <c r="DNO81" s="43"/>
      <c r="DNP81" s="24"/>
      <c r="DNQ81" s="24"/>
      <c r="DNR81" s="25"/>
      <c r="DNS81" s="23"/>
      <c r="DNT81" s="23"/>
      <c r="DNU81" s="42"/>
      <c r="DNV81" s="427"/>
      <c r="DNW81" s="22"/>
      <c r="DNX81" s="76"/>
      <c r="DNY81" s="42"/>
      <c r="DNZ81" s="42"/>
      <c r="DOA81" s="42"/>
      <c r="DOB81" s="42"/>
      <c r="DOC81" s="42"/>
      <c r="DOD81" s="43"/>
      <c r="DOE81" s="24"/>
      <c r="DOF81" s="24"/>
      <c r="DOG81" s="25"/>
      <c r="DOH81" s="23"/>
      <c r="DOI81" s="23"/>
      <c r="DOJ81" s="42"/>
      <c r="DOK81" s="427"/>
      <c r="DOL81" s="22"/>
      <c r="DOM81" s="76"/>
      <c r="DON81" s="42"/>
      <c r="DOO81" s="42"/>
      <c r="DOP81" s="42"/>
      <c r="DOQ81" s="42"/>
      <c r="DOR81" s="42"/>
      <c r="DOS81" s="43"/>
      <c r="DOT81" s="24"/>
      <c r="DOU81" s="24"/>
      <c r="DOV81" s="25"/>
      <c r="DOW81" s="23"/>
      <c r="DOX81" s="23"/>
      <c r="DOY81" s="42"/>
      <c r="DOZ81" s="427"/>
      <c r="DPA81" s="22"/>
      <c r="DPB81" s="76"/>
      <c r="DPC81" s="42"/>
      <c r="DPD81" s="42"/>
      <c r="DPE81" s="42"/>
      <c r="DPF81" s="42"/>
      <c r="DPG81" s="42"/>
      <c r="DPH81" s="43"/>
      <c r="DPI81" s="24"/>
      <c r="DPJ81" s="24"/>
      <c r="DPK81" s="25"/>
      <c r="DPL81" s="23"/>
      <c r="DPM81" s="23"/>
      <c r="DPN81" s="42"/>
      <c r="DPO81" s="427"/>
      <c r="DPP81" s="22"/>
      <c r="DPQ81" s="76"/>
      <c r="DPR81" s="42"/>
      <c r="DPS81" s="42"/>
      <c r="DPT81" s="42"/>
      <c r="DPU81" s="42"/>
      <c r="DPV81" s="42"/>
      <c r="DPW81" s="43"/>
      <c r="DPX81" s="24"/>
      <c r="DPY81" s="24"/>
      <c r="DPZ81" s="25"/>
      <c r="DQA81" s="23"/>
      <c r="DQB81" s="23"/>
      <c r="DQC81" s="42"/>
      <c r="DQD81" s="427"/>
      <c r="DQE81" s="22"/>
      <c r="DQF81" s="76"/>
      <c r="DQG81" s="42"/>
      <c r="DQH81" s="42"/>
      <c r="DQI81" s="42"/>
      <c r="DQJ81" s="42"/>
      <c r="DQK81" s="42"/>
      <c r="DQL81" s="43"/>
      <c r="DQM81" s="24"/>
      <c r="DQN81" s="24"/>
      <c r="DQO81" s="25"/>
      <c r="DQP81" s="23"/>
      <c r="DQQ81" s="23"/>
      <c r="DQR81" s="42"/>
      <c r="DQS81" s="427"/>
      <c r="DQT81" s="22"/>
      <c r="DQU81" s="76"/>
      <c r="DQV81" s="42"/>
      <c r="DQW81" s="42"/>
      <c r="DQX81" s="42"/>
      <c r="DQY81" s="42"/>
      <c r="DQZ81" s="42"/>
      <c r="DRA81" s="43"/>
      <c r="DRB81" s="24"/>
      <c r="DRC81" s="24"/>
      <c r="DRD81" s="25"/>
      <c r="DRE81" s="23"/>
      <c r="DRF81" s="23"/>
      <c r="DRG81" s="42"/>
      <c r="DRH81" s="427"/>
      <c r="DRI81" s="22"/>
      <c r="DRJ81" s="76"/>
      <c r="DRK81" s="42"/>
      <c r="DRL81" s="42"/>
      <c r="DRM81" s="42"/>
      <c r="DRN81" s="42"/>
      <c r="DRO81" s="42"/>
      <c r="DRP81" s="43"/>
      <c r="DRQ81" s="24"/>
      <c r="DRR81" s="24"/>
      <c r="DRS81" s="25"/>
      <c r="DRT81" s="23"/>
      <c r="DRU81" s="23"/>
      <c r="DRV81" s="42"/>
      <c r="DRW81" s="427"/>
      <c r="DRX81" s="22"/>
      <c r="DRY81" s="76"/>
      <c r="DRZ81" s="42"/>
      <c r="DSA81" s="42"/>
      <c r="DSB81" s="42"/>
      <c r="DSC81" s="42"/>
      <c r="DSD81" s="42"/>
      <c r="DSE81" s="43"/>
      <c r="DSF81" s="24"/>
      <c r="DSG81" s="24"/>
      <c r="DSH81" s="25"/>
      <c r="DSI81" s="23"/>
      <c r="DSJ81" s="23"/>
      <c r="DSK81" s="42"/>
      <c r="DSL81" s="427"/>
      <c r="DSM81" s="22"/>
      <c r="DSN81" s="76"/>
      <c r="DSO81" s="42"/>
      <c r="DSP81" s="42"/>
      <c r="DSQ81" s="42"/>
      <c r="DSR81" s="42"/>
      <c r="DSS81" s="42"/>
      <c r="DST81" s="43"/>
      <c r="DSU81" s="24"/>
      <c r="DSV81" s="24"/>
      <c r="DSW81" s="25"/>
      <c r="DSX81" s="23"/>
      <c r="DSY81" s="23"/>
      <c r="DSZ81" s="42"/>
      <c r="DTA81" s="427"/>
      <c r="DTB81" s="22"/>
      <c r="DTC81" s="76"/>
      <c r="DTD81" s="42"/>
      <c r="DTE81" s="42"/>
      <c r="DTF81" s="42"/>
      <c r="DTG81" s="42"/>
      <c r="DTH81" s="42"/>
      <c r="DTI81" s="43"/>
      <c r="DTJ81" s="24"/>
      <c r="DTK81" s="24"/>
      <c r="DTL81" s="25"/>
      <c r="DTM81" s="23"/>
      <c r="DTN81" s="23"/>
      <c r="DTO81" s="42"/>
      <c r="DTP81" s="427"/>
      <c r="DTQ81" s="22"/>
      <c r="DTR81" s="76"/>
      <c r="DTS81" s="42"/>
      <c r="DTT81" s="42"/>
      <c r="DTU81" s="42"/>
      <c r="DTV81" s="42"/>
      <c r="DTW81" s="42"/>
      <c r="DTX81" s="43"/>
      <c r="DTY81" s="24"/>
      <c r="DTZ81" s="24"/>
      <c r="DUA81" s="25"/>
      <c r="DUB81" s="23"/>
      <c r="DUC81" s="23"/>
      <c r="DUD81" s="42"/>
      <c r="DUE81" s="427"/>
      <c r="DUF81" s="22"/>
      <c r="DUG81" s="76"/>
      <c r="DUH81" s="42"/>
      <c r="DUI81" s="42"/>
      <c r="DUJ81" s="42"/>
      <c r="DUK81" s="42"/>
      <c r="DUL81" s="42"/>
      <c r="DUM81" s="43"/>
      <c r="DUN81" s="24"/>
      <c r="DUO81" s="24"/>
      <c r="DUP81" s="25"/>
      <c r="DUQ81" s="23"/>
      <c r="DUR81" s="23"/>
      <c r="DUS81" s="42"/>
      <c r="DUT81" s="427"/>
      <c r="DUU81" s="22"/>
      <c r="DUV81" s="76"/>
      <c r="DUW81" s="42"/>
      <c r="DUX81" s="42"/>
      <c r="DUY81" s="42"/>
      <c r="DUZ81" s="42"/>
      <c r="DVA81" s="42"/>
      <c r="DVB81" s="43"/>
      <c r="DVC81" s="24"/>
      <c r="DVD81" s="24"/>
      <c r="DVE81" s="25"/>
      <c r="DVF81" s="23"/>
      <c r="DVG81" s="23"/>
      <c r="DVH81" s="42"/>
      <c r="DVI81" s="427"/>
      <c r="DVJ81" s="22"/>
      <c r="DVK81" s="76"/>
      <c r="DVL81" s="42"/>
      <c r="DVM81" s="42"/>
      <c r="DVN81" s="42"/>
      <c r="DVO81" s="42"/>
      <c r="DVP81" s="42"/>
      <c r="DVQ81" s="43"/>
      <c r="DVR81" s="24"/>
      <c r="DVS81" s="24"/>
      <c r="DVT81" s="25"/>
      <c r="DVU81" s="23"/>
      <c r="DVV81" s="23"/>
      <c r="DVW81" s="42"/>
      <c r="DVX81" s="427"/>
      <c r="DVY81" s="22"/>
      <c r="DVZ81" s="76"/>
      <c r="DWA81" s="42"/>
      <c r="DWB81" s="42"/>
      <c r="DWC81" s="42"/>
      <c r="DWD81" s="42"/>
      <c r="DWE81" s="42"/>
      <c r="DWF81" s="43"/>
      <c r="DWG81" s="24"/>
      <c r="DWH81" s="24"/>
      <c r="DWI81" s="25"/>
      <c r="DWJ81" s="23"/>
      <c r="DWK81" s="23"/>
      <c r="DWL81" s="42"/>
      <c r="DWM81" s="427"/>
      <c r="DWN81" s="22"/>
      <c r="DWO81" s="76"/>
      <c r="DWP81" s="42"/>
      <c r="DWQ81" s="42"/>
      <c r="DWR81" s="42"/>
      <c r="DWS81" s="42"/>
      <c r="DWT81" s="42"/>
      <c r="DWU81" s="43"/>
      <c r="DWV81" s="24"/>
      <c r="DWW81" s="24"/>
      <c r="DWX81" s="25"/>
      <c r="DWY81" s="23"/>
      <c r="DWZ81" s="23"/>
      <c r="DXA81" s="42"/>
      <c r="DXB81" s="427"/>
      <c r="DXC81" s="22"/>
      <c r="DXD81" s="76"/>
      <c r="DXE81" s="42"/>
      <c r="DXF81" s="42"/>
      <c r="DXG81" s="42"/>
      <c r="DXH81" s="42"/>
      <c r="DXI81" s="42"/>
      <c r="DXJ81" s="43"/>
      <c r="DXK81" s="24"/>
      <c r="DXL81" s="24"/>
      <c r="DXM81" s="25"/>
      <c r="DXN81" s="23"/>
      <c r="DXO81" s="23"/>
      <c r="DXP81" s="42"/>
      <c r="DXQ81" s="427"/>
      <c r="DXR81" s="22"/>
      <c r="DXS81" s="76"/>
      <c r="DXT81" s="42"/>
      <c r="DXU81" s="42"/>
      <c r="DXV81" s="42"/>
      <c r="DXW81" s="42"/>
      <c r="DXX81" s="42"/>
      <c r="DXY81" s="43"/>
      <c r="DXZ81" s="24"/>
      <c r="DYA81" s="24"/>
      <c r="DYB81" s="25"/>
      <c r="DYC81" s="23"/>
      <c r="DYD81" s="23"/>
      <c r="DYE81" s="42"/>
      <c r="DYF81" s="427"/>
      <c r="DYG81" s="22"/>
      <c r="DYH81" s="76"/>
      <c r="DYI81" s="42"/>
      <c r="DYJ81" s="42"/>
      <c r="DYK81" s="42"/>
      <c r="DYL81" s="42"/>
      <c r="DYM81" s="42"/>
      <c r="DYN81" s="43"/>
      <c r="DYO81" s="24"/>
      <c r="DYP81" s="24"/>
      <c r="DYQ81" s="25"/>
      <c r="DYR81" s="23"/>
      <c r="DYS81" s="23"/>
      <c r="DYT81" s="42"/>
      <c r="DYU81" s="427"/>
      <c r="DYV81" s="22"/>
      <c r="DYW81" s="76"/>
      <c r="DYX81" s="42"/>
      <c r="DYY81" s="42"/>
      <c r="DYZ81" s="42"/>
      <c r="DZA81" s="42"/>
      <c r="DZB81" s="42"/>
      <c r="DZC81" s="43"/>
      <c r="DZD81" s="24"/>
      <c r="DZE81" s="24"/>
      <c r="DZF81" s="25"/>
      <c r="DZG81" s="23"/>
      <c r="DZH81" s="23"/>
      <c r="DZI81" s="42"/>
      <c r="DZJ81" s="427"/>
      <c r="DZK81" s="22"/>
      <c r="DZL81" s="76"/>
      <c r="DZM81" s="42"/>
      <c r="DZN81" s="42"/>
      <c r="DZO81" s="42"/>
      <c r="DZP81" s="42"/>
      <c r="DZQ81" s="42"/>
      <c r="DZR81" s="43"/>
      <c r="DZS81" s="24"/>
      <c r="DZT81" s="24"/>
      <c r="DZU81" s="25"/>
      <c r="DZV81" s="23"/>
      <c r="DZW81" s="23"/>
      <c r="DZX81" s="42"/>
      <c r="DZY81" s="427"/>
      <c r="DZZ81" s="22"/>
      <c r="EAA81" s="76"/>
      <c r="EAB81" s="42"/>
      <c r="EAC81" s="42"/>
      <c r="EAD81" s="42"/>
      <c r="EAE81" s="42"/>
      <c r="EAF81" s="42"/>
      <c r="EAG81" s="43"/>
      <c r="EAH81" s="24"/>
      <c r="EAI81" s="24"/>
      <c r="EAJ81" s="25"/>
      <c r="EAK81" s="23"/>
      <c r="EAL81" s="23"/>
      <c r="EAM81" s="42"/>
      <c r="EAN81" s="427"/>
      <c r="EAO81" s="22"/>
      <c r="EAP81" s="76"/>
      <c r="EAQ81" s="42"/>
      <c r="EAR81" s="42"/>
      <c r="EAS81" s="42"/>
      <c r="EAT81" s="42"/>
      <c r="EAU81" s="42"/>
      <c r="EAV81" s="43"/>
      <c r="EAW81" s="24"/>
      <c r="EAX81" s="24"/>
      <c r="EAY81" s="25"/>
      <c r="EAZ81" s="23"/>
      <c r="EBA81" s="23"/>
      <c r="EBB81" s="42"/>
      <c r="EBC81" s="427"/>
      <c r="EBD81" s="22"/>
      <c r="EBE81" s="76"/>
      <c r="EBF81" s="42"/>
      <c r="EBG81" s="42"/>
      <c r="EBH81" s="42"/>
      <c r="EBI81" s="42"/>
      <c r="EBJ81" s="42"/>
      <c r="EBK81" s="43"/>
      <c r="EBL81" s="24"/>
      <c r="EBM81" s="24"/>
      <c r="EBN81" s="25"/>
      <c r="EBO81" s="23"/>
      <c r="EBP81" s="23"/>
      <c r="EBQ81" s="42"/>
      <c r="EBR81" s="427"/>
      <c r="EBS81" s="22"/>
      <c r="EBT81" s="76"/>
      <c r="EBU81" s="42"/>
      <c r="EBV81" s="42"/>
      <c r="EBW81" s="42"/>
      <c r="EBX81" s="42"/>
      <c r="EBY81" s="42"/>
      <c r="EBZ81" s="43"/>
      <c r="ECA81" s="24"/>
      <c r="ECB81" s="24"/>
      <c r="ECC81" s="25"/>
      <c r="ECD81" s="23"/>
      <c r="ECE81" s="23"/>
      <c r="ECF81" s="42"/>
      <c r="ECG81" s="427"/>
      <c r="ECH81" s="22"/>
      <c r="ECI81" s="76"/>
      <c r="ECJ81" s="42"/>
      <c r="ECK81" s="42"/>
      <c r="ECL81" s="42"/>
      <c r="ECM81" s="42"/>
      <c r="ECN81" s="42"/>
      <c r="ECO81" s="43"/>
      <c r="ECP81" s="24"/>
      <c r="ECQ81" s="24"/>
      <c r="ECR81" s="25"/>
      <c r="ECS81" s="23"/>
      <c r="ECT81" s="23"/>
      <c r="ECU81" s="42"/>
      <c r="ECV81" s="427"/>
      <c r="ECW81" s="22"/>
      <c r="ECX81" s="76"/>
      <c r="ECY81" s="42"/>
      <c r="ECZ81" s="42"/>
      <c r="EDA81" s="42"/>
      <c r="EDB81" s="42"/>
      <c r="EDC81" s="42"/>
      <c r="EDD81" s="43"/>
      <c r="EDE81" s="24"/>
      <c r="EDF81" s="24"/>
      <c r="EDG81" s="25"/>
      <c r="EDH81" s="23"/>
      <c r="EDI81" s="23"/>
      <c r="EDJ81" s="42"/>
      <c r="EDK81" s="427"/>
      <c r="EDL81" s="22"/>
      <c r="EDM81" s="76"/>
      <c r="EDN81" s="42"/>
      <c r="EDO81" s="42"/>
      <c r="EDP81" s="42"/>
      <c r="EDQ81" s="42"/>
      <c r="EDR81" s="42"/>
      <c r="EDS81" s="43"/>
      <c r="EDT81" s="24"/>
      <c r="EDU81" s="24"/>
      <c r="EDV81" s="25"/>
      <c r="EDW81" s="23"/>
      <c r="EDX81" s="23"/>
      <c r="EDY81" s="42"/>
      <c r="EDZ81" s="427"/>
      <c r="EEA81" s="22"/>
      <c r="EEB81" s="76"/>
      <c r="EEC81" s="42"/>
      <c r="EED81" s="42"/>
      <c r="EEE81" s="42"/>
      <c r="EEF81" s="42"/>
      <c r="EEG81" s="42"/>
      <c r="EEH81" s="43"/>
      <c r="EEI81" s="24"/>
      <c r="EEJ81" s="24"/>
      <c r="EEK81" s="25"/>
      <c r="EEL81" s="23"/>
      <c r="EEM81" s="23"/>
      <c r="EEN81" s="42"/>
      <c r="EEO81" s="427"/>
      <c r="EEP81" s="22"/>
      <c r="EEQ81" s="76"/>
      <c r="EER81" s="42"/>
      <c r="EES81" s="42"/>
      <c r="EET81" s="42"/>
      <c r="EEU81" s="42"/>
      <c r="EEV81" s="42"/>
      <c r="EEW81" s="43"/>
      <c r="EEX81" s="24"/>
      <c r="EEY81" s="24"/>
      <c r="EEZ81" s="25"/>
      <c r="EFA81" s="23"/>
      <c r="EFB81" s="23"/>
      <c r="EFC81" s="42"/>
      <c r="EFD81" s="427"/>
      <c r="EFE81" s="22"/>
      <c r="EFF81" s="76"/>
      <c r="EFG81" s="42"/>
      <c r="EFH81" s="42"/>
      <c r="EFI81" s="42"/>
      <c r="EFJ81" s="42"/>
      <c r="EFK81" s="42"/>
      <c r="EFL81" s="43"/>
      <c r="EFM81" s="24"/>
      <c r="EFN81" s="24"/>
      <c r="EFO81" s="25"/>
      <c r="EFP81" s="23"/>
      <c r="EFQ81" s="23"/>
      <c r="EFR81" s="42"/>
      <c r="EFS81" s="427"/>
      <c r="EFT81" s="22"/>
      <c r="EFU81" s="76"/>
      <c r="EFV81" s="42"/>
      <c r="EFW81" s="42"/>
      <c r="EFX81" s="42"/>
      <c r="EFY81" s="42"/>
      <c r="EFZ81" s="42"/>
      <c r="EGA81" s="43"/>
      <c r="EGB81" s="24"/>
      <c r="EGC81" s="24"/>
      <c r="EGD81" s="25"/>
      <c r="EGE81" s="23"/>
      <c r="EGF81" s="23"/>
      <c r="EGG81" s="42"/>
      <c r="EGH81" s="427"/>
      <c r="EGI81" s="22"/>
      <c r="EGJ81" s="76"/>
      <c r="EGK81" s="42"/>
      <c r="EGL81" s="42"/>
      <c r="EGM81" s="42"/>
      <c r="EGN81" s="42"/>
      <c r="EGO81" s="42"/>
      <c r="EGP81" s="43"/>
      <c r="EGQ81" s="24"/>
      <c r="EGR81" s="24"/>
      <c r="EGS81" s="25"/>
      <c r="EGT81" s="23"/>
      <c r="EGU81" s="23"/>
      <c r="EGV81" s="42"/>
      <c r="EGW81" s="427"/>
      <c r="EGX81" s="22"/>
      <c r="EGY81" s="76"/>
      <c r="EGZ81" s="42"/>
      <c r="EHA81" s="42"/>
      <c r="EHB81" s="42"/>
      <c r="EHC81" s="42"/>
      <c r="EHD81" s="42"/>
      <c r="EHE81" s="43"/>
      <c r="EHF81" s="24"/>
      <c r="EHG81" s="24"/>
      <c r="EHH81" s="25"/>
      <c r="EHI81" s="23"/>
      <c r="EHJ81" s="23"/>
      <c r="EHK81" s="42"/>
      <c r="EHL81" s="427"/>
      <c r="EHM81" s="22"/>
      <c r="EHN81" s="76"/>
      <c r="EHO81" s="42"/>
      <c r="EHP81" s="42"/>
      <c r="EHQ81" s="42"/>
      <c r="EHR81" s="42"/>
      <c r="EHS81" s="42"/>
      <c r="EHT81" s="43"/>
      <c r="EHU81" s="24"/>
      <c r="EHV81" s="24"/>
      <c r="EHW81" s="25"/>
      <c r="EHX81" s="23"/>
      <c r="EHY81" s="23"/>
      <c r="EHZ81" s="42"/>
      <c r="EIA81" s="427"/>
      <c r="EIB81" s="22"/>
      <c r="EIC81" s="76"/>
      <c r="EID81" s="42"/>
      <c r="EIE81" s="42"/>
      <c r="EIF81" s="42"/>
      <c r="EIG81" s="42"/>
      <c r="EIH81" s="42"/>
      <c r="EII81" s="43"/>
      <c r="EIJ81" s="24"/>
      <c r="EIK81" s="24"/>
      <c r="EIL81" s="25"/>
      <c r="EIM81" s="23"/>
      <c r="EIN81" s="23"/>
      <c r="EIO81" s="42"/>
      <c r="EIP81" s="427"/>
      <c r="EIQ81" s="22"/>
      <c r="EIR81" s="76"/>
      <c r="EIS81" s="42"/>
      <c r="EIT81" s="42"/>
      <c r="EIU81" s="42"/>
      <c r="EIV81" s="42"/>
      <c r="EIW81" s="42"/>
      <c r="EIX81" s="43"/>
      <c r="EIY81" s="24"/>
      <c r="EIZ81" s="24"/>
      <c r="EJA81" s="25"/>
      <c r="EJB81" s="23"/>
      <c r="EJC81" s="23"/>
      <c r="EJD81" s="42"/>
      <c r="EJE81" s="427"/>
      <c r="EJF81" s="22"/>
      <c r="EJG81" s="76"/>
      <c r="EJH81" s="42"/>
      <c r="EJI81" s="42"/>
      <c r="EJJ81" s="42"/>
      <c r="EJK81" s="42"/>
      <c r="EJL81" s="42"/>
      <c r="EJM81" s="43"/>
      <c r="EJN81" s="24"/>
      <c r="EJO81" s="24"/>
      <c r="EJP81" s="25"/>
      <c r="EJQ81" s="23"/>
      <c r="EJR81" s="23"/>
      <c r="EJS81" s="42"/>
      <c r="EJT81" s="427"/>
      <c r="EJU81" s="22"/>
      <c r="EJV81" s="76"/>
      <c r="EJW81" s="42"/>
      <c r="EJX81" s="42"/>
      <c r="EJY81" s="42"/>
      <c r="EJZ81" s="42"/>
      <c r="EKA81" s="42"/>
      <c r="EKB81" s="43"/>
      <c r="EKC81" s="24"/>
      <c r="EKD81" s="24"/>
      <c r="EKE81" s="25"/>
      <c r="EKF81" s="23"/>
      <c r="EKG81" s="23"/>
      <c r="EKH81" s="42"/>
      <c r="EKI81" s="427"/>
      <c r="EKJ81" s="22"/>
      <c r="EKK81" s="76"/>
      <c r="EKL81" s="42"/>
      <c r="EKM81" s="42"/>
      <c r="EKN81" s="42"/>
      <c r="EKO81" s="42"/>
      <c r="EKP81" s="42"/>
      <c r="EKQ81" s="43"/>
      <c r="EKR81" s="24"/>
      <c r="EKS81" s="24"/>
      <c r="EKT81" s="25"/>
      <c r="EKU81" s="23"/>
      <c r="EKV81" s="23"/>
      <c r="EKW81" s="42"/>
      <c r="EKX81" s="427"/>
      <c r="EKY81" s="22"/>
      <c r="EKZ81" s="76"/>
      <c r="ELA81" s="42"/>
      <c r="ELB81" s="42"/>
      <c r="ELC81" s="42"/>
      <c r="ELD81" s="42"/>
      <c r="ELE81" s="42"/>
      <c r="ELF81" s="43"/>
      <c r="ELG81" s="24"/>
      <c r="ELH81" s="24"/>
      <c r="ELI81" s="25"/>
      <c r="ELJ81" s="23"/>
      <c r="ELK81" s="23"/>
      <c r="ELL81" s="42"/>
      <c r="ELM81" s="427"/>
      <c r="ELN81" s="22"/>
      <c r="ELO81" s="76"/>
      <c r="ELP81" s="42"/>
      <c r="ELQ81" s="42"/>
      <c r="ELR81" s="42"/>
      <c r="ELS81" s="42"/>
      <c r="ELT81" s="42"/>
      <c r="ELU81" s="43"/>
      <c r="ELV81" s="24"/>
      <c r="ELW81" s="24"/>
      <c r="ELX81" s="25"/>
      <c r="ELY81" s="23"/>
      <c r="ELZ81" s="23"/>
      <c r="EMA81" s="42"/>
      <c r="EMB81" s="427"/>
      <c r="EMC81" s="22"/>
      <c r="EMD81" s="76"/>
      <c r="EME81" s="42"/>
      <c r="EMF81" s="42"/>
      <c r="EMG81" s="42"/>
      <c r="EMH81" s="42"/>
      <c r="EMI81" s="42"/>
      <c r="EMJ81" s="43"/>
      <c r="EMK81" s="24"/>
      <c r="EML81" s="24"/>
      <c r="EMM81" s="25"/>
      <c r="EMN81" s="23"/>
      <c r="EMO81" s="23"/>
      <c r="EMP81" s="42"/>
      <c r="EMQ81" s="427"/>
      <c r="EMR81" s="22"/>
      <c r="EMS81" s="76"/>
      <c r="EMT81" s="42"/>
      <c r="EMU81" s="42"/>
      <c r="EMV81" s="42"/>
      <c r="EMW81" s="42"/>
      <c r="EMX81" s="42"/>
      <c r="EMY81" s="43"/>
      <c r="EMZ81" s="24"/>
      <c r="ENA81" s="24"/>
      <c r="ENB81" s="25"/>
      <c r="ENC81" s="23"/>
      <c r="END81" s="23"/>
      <c r="ENE81" s="42"/>
      <c r="ENF81" s="427"/>
      <c r="ENG81" s="22"/>
      <c r="ENH81" s="76"/>
      <c r="ENI81" s="42"/>
      <c r="ENJ81" s="42"/>
      <c r="ENK81" s="42"/>
      <c r="ENL81" s="42"/>
      <c r="ENM81" s="42"/>
      <c r="ENN81" s="43"/>
      <c r="ENO81" s="24"/>
      <c r="ENP81" s="24"/>
      <c r="ENQ81" s="25"/>
      <c r="ENR81" s="23"/>
      <c r="ENS81" s="23"/>
      <c r="ENT81" s="42"/>
      <c r="ENU81" s="427"/>
      <c r="ENV81" s="22"/>
      <c r="ENW81" s="76"/>
      <c r="ENX81" s="42"/>
      <c r="ENY81" s="42"/>
      <c r="ENZ81" s="42"/>
      <c r="EOA81" s="42"/>
      <c r="EOB81" s="42"/>
      <c r="EOC81" s="43"/>
      <c r="EOD81" s="24"/>
      <c r="EOE81" s="24"/>
      <c r="EOF81" s="25"/>
      <c r="EOG81" s="23"/>
      <c r="EOH81" s="23"/>
      <c r="EOI81" s="42"/>
      <c r="EOJ81" s="427"/>
      <c r="EOK81" s="22"/>
      <c r="EOL81" s="76"/>
      <c r="EOM81" s="42"/>
      <c r="EON81" s="42"/>
      <c r="EOO81" s="42"/>
      <c r="EOP81" s="42"/>
      <c r="EOQ81" s="42"/>
      <c r="EOR81" s="43"/>
      <c r="EOS81" s="24"/>
      <c r="EOT81" s="24"/>
      <c r="EOU81" s="25"/>
      <c r="EOV81" s="23"/>
      <c r="EOW81" s="23"/>
      <c r="EOX81" s="42"/>
      <c r="EOY81" s="427"/>
      <c r="EOZ81" s="22"/>
      <c r="EPA81" s="76"/>
      <c r="EPB81" s="42"/>
      <c r="EPC81" s="42"/>
      <c r="EPD81" s="42"/>
      <c r="EPE81" s="42"/>
      <c r="EPF81" s="42"/>
      <c r="EPG81" s="43"/>
      <c r="EPH81" s="24"/>
      <c r="EPI81" s="24"/>
      <c r="EPJ81" s="25"/>
      <c r="EPK81" s="23"/>
      <c r="EPL81" s="23"/>
      <c r="EPM81" s="42"/>
      <c r="EPN81" s="427"/>
      <c r="EPO81" s="22"/>
      <c r="EPP81" s="76"/>
      <c r="EPQ81" s="42"/>
      <c r="EPR81" s="42"/>
      <c r="EPS81" s="42"/>
      <c r="EPT81" s="42"/>
      <c r="EPU81" s="42"/>
      <c r="EPV81" s="43"/>
      <c r="EPW81" s="24"/>
      <c r="EPX81" s="24"/>
      <c r="EPY81" s="25"/>
      <c r="EPZ81" s="23"/>
      <c r="EQA81" s="23"/>
      <c r="EQB81" s="42"/>
      <c r="EQC81" s="427"/>
      <c r="EQD81" s="22"/>
      <c r="EQE81" s="76"/>
      <c r="EQF81" s="42"/>
      <c r="EQG81" s="42"/>
      <c r="EQH81" s="42"/>
      <c r="EQI81" s="42"/>
      <c r="EQJ81" s="42"/>
      <c r="EQK81" s="43"/>
      <c r="EQL81" s="24"/>
      <c r="EQM81" s="24"/>
      <c r="EQN81" s="25"/>
      <c r="EQO81" s="23"/>
      <c r="EQP81" s="23"/>
      <c r="EQQ81" s="42"/>
      <c r="EQR81" s="427"/>
      <c r="EQS81" s="22"/>
      <c r="EQT81" s="76"/>
      <c r="EQU81" s="42"/>
      <c r="EQV81" s="42"/>
      <c r="EQW81" s="42"/>
      <c r="EQX81" s="42"/>
      <c r="EQY81" s="42"/>
      <c r="EQZ81" s="43"/>
      <c r="ERA81" s="24"/>
      <c r="ERB81" s="24"/>
      <c r="ERC81" s="25"/>
      <c r="ERD81" s="23"/>
      <c r="ERE81" s="23"/>
      <c r="ERF81" s="42"/>
      <c r="ERG81" s="427"/>
      <c r="ERH81" s="22"/>
      <c r="ERI81" s="76"/>
      <c r="ERJ81" s="42"/>
      <c r="ERK81" s="42"/>
      <c r="ERL81" s="42"/>
      <c r="ERM81" s="42"/>
      <c r="ERN81" s="42"/>
      <c r="ERO81" s="43"/>
      <c r="ERP81" s="24"/>
      <c r="ERQ81" s="24"/>
      <c r="ERR81" s="25"/>
      <c r="ERS81" s="23"/>
      <c r="ERT81" s="23"/>
      <c r="ERU81" s="42"/>
      <c r="ERV81" s="427"/>
      <c r="ERW81" s="22"/>
      <c r="ERX81" s="76"/>
      <c r="ERY81" s="42"/>
      <c r="ERZ81" s="42"/>
      <c r="ESA81" s="42"/>
      <c r="ESB81" s="42"/>
      <c r="ESC81" s="42"/>
      <c r="ESD81" s="43"/>
      <c r="ESE81" s="24"/>
      <c r="ESF81" s="24"/>
      <c r="ESG81" s="25"/>
      <c r="ESH81" s="23"/>
      <c r="ESI81" s="23"/>
      <c r="ESJ81" s="42"/>
      <c r="ESK81" s="427"/>
      <c r="ESL81" s="22"/>
      <c r="ESM81" s="76"/>
      <c r="ESN81" s="42"/>
      <c r="ESO81" s="42"/>
      <c r="ESP81" s="42"/>
      <c r="ESQ81" s="42"/>
      <c r="ESR81" s="42"/>
      <c r="ESS81" s="43"/>
      <c r="EST81" s="24"/>
      <c r="ESU81" s="24"/>
      <c r="ESV81" s="25"/>
      <c r="ESW81" s="23"/>
      <c r="ESX81" s="23"/>
      <c r="ESY81" s="42"/>
      <c r="ESZ81" s="427"/>
      <c r="ETA81" s="22"/>
      <c r="ETB81" s="76"/>
      <c r="ETC81" s="42"/>
      <c r="ETD81" s="42"/>
      <c r="ETE81" s="42"/>
      <c r="ETF81" s="42"/>
      <c r="ETG81" s="42"/>
      <c r="ETH81" s="43"/>
      <c r="ETI81" s="24"/>
      <c r="ETJ81" s="24"/>
      <c r="ETK81" s="25"/>
      <c r="ETL81" s="23"/>
      <c r="ETM81" s="23"/>
      <c r="ETN81" s="42"/>
      <c r="ETO81" s="427"/>
      <c r="ETP81" s="22"/>
      <c r="ETQ81" s="76"/>
      <c r="ETR81" s="42"/>
      <c r="ETS81" s="42"/>
      <c r="ETT81" s="42"/>
      <c r="ETU81" s="42"/>
      <c r="ETV81" s="42"/>
      <c r="ETW81" s="43"/>
      <c r="ETX81" s="24"/>
      <c r="ETY81" s="24"/>
      <c r="ETZ81" s="25"/>
      <c r="EUA81" s="23"/>
      <c r="EUB81" s="23"/>
      <c r="EUC81" s="42"/>
      <c r="EUD81" s="427"/>
      <c r="EUE81" s="22"/>
      <c r="EUF81" s="76"/>
      <c r="EUG81" s="42"/>
      <c r="EUH81" s="42"/>
      <c r="EUI81" s="42"/>
      <c r="EUJ81" s="42"/>
      <c r="EUK81" s="42"/>
      <c r="EUL81" s="43"/>
      <c r="EUM81" s="24"/>
      <c r="EUN81" s="24"/>
      <c r="EUO81" s="25"/>
      <c r="EUP81" s="23"/>
      <c r="EUQ81" s="23"/>
      <c r="EUR81" s="42"/>
      <c r="EUS81" s="427"/>
      <c r="EUT81" s="22"/>
      <c r="EUU81" s="76"/>
      <c r="EUV81" s="42"/>
      <c r="EUW81" s="42"/>
      <c r="EUX81" s="42"/>
      <c r="EUY81" s="42"/>
      <c r="EUZ81" s="42"/>
      <c r="EVA81" s="43"/>
      <c r="EVB81" s="24"/>
      <c r="EVC81" s="24"/>
      <c r="EVD81" s="25"/>
      <c r="EVE81" s="23"/>
      <c r="EVF81" s="23"/>
      <c r="EVG81" s="42"/>
      <c r="EVH81" s="427"/>
      <c r="EVI81" s="22"/>
      <c r="EVJ81" s="76"/>
      <c r="EVK81" s="42"/>
      <c r="EVL81" s="42"/>
      <c r="EVM81" s="42"/>
      <c r="EVN81" s="42"/>
      <c r="EVO81" s="42"/>
      <c r="EVP81" s="43"/>
      <c r="EVQ81" s="24"/>
      <c r="EVR81" s="24"/>
      <c r="EVS81" s="25"/>
      <c r="EVT81" s="23"/>
      <c r="EVU81" s="23"/>
      <c r="EVV81" s="42"/>
      <c r="EVW81" s="427"/>
      <c r="EVX81" s="22"/>
      <c r="EVY81" s="76"/>
      <c r="EVZ81" s="42"/>
      <c r="EWA81" s="42"/>
      <c r="EWB81" s="42"/>
      <c r="EWC81" s="42"/>
      <c r="EWD81" s="42"/>
      <c r="EWE81" s="43"/>
      <c r="EWF81" s="24"/>
      <c r="EWG81" s="24"/>
      <c r="EWH81" s="25"/>
      <c r="EWI81" s="23"/>
      <c r="EWJ81" s="23"/>
      <c r="EWK81" s="42"/>
      <c r="EWL81" s="427"/>
      <c r="EWM81" s="22"/>
      <c r="EWN81" s="76"/>
      <c r="EWO81" s="42"/>
      <c r="EWP81" s="42"/>
      <c r="EWQ81" s="42"/>
      <c r="EWR81" s="42"/>
      <c r="EWS81" s="42"/>
      <c r="EWT81" s="43"/>
      <c r="EWU81" s="24"/>
      <c r="EWV81" s="24"/>
      <c r="EWW81" s="25"/>
      <c r="EWX81" s="23"/>
      <c r="EWY81" s="23"/>
      <c r="EWZ81" s="42"/>
      <c r="EXA81" s="427"/>
      <c r="EXB81" s="22"/>
      <c r="EXC81" s="76"/>
      <c r="EXD81" s="42"/>
      <c r="EXE81" s="42"/>
      <c r="EXF81" s="42"/>
      <c r="EXG81" s="42"/>
      <c r="EXH81" s="42"/>
      <c r="EXI81" s="43"/>
      <c r="EXJ81" s="24"/>
      <c r="EXK81" s="24"/>
      <c r="EXL81" s="25"/>
      <c r="EXM81" s="23"/>
      <c r="EXN81" s="23"/>
      <c r="EXO81" s="42"/>
      <c r="EXP81" s="427"/>
      <c r="EXQ81" s="22"/>
      <c r="EXR81" s="76"/>
      <c r="EXS81" s="42"/>
      <c r="EXT81" s="42"/>
      <c r="EXU81" s="42"/>
      <c r="EXV81" s="42"/>
      <c r="EXW81" s="42"/>
      <c r="EXX81" s="43"/>
      <c r="EXY81" s="24"/>
      <c r="EXZ81" s="24"/>
      <c r="EYA81" s="25"/>
      <c r="EYB81" s="23"/>
      <c r="EYC81" s="23"/>
      <c r="EYD81" s="42"/>
      <c r="EYE81" s="427"/>
      <c r="EYF81" s="22"/>
      <c r="EYG81" s="76"/>
      <c r="EYH81" s="42"/>
      <c r="EYI81" s="42"/>
      <c r="EYJ81" s="42"/>
      <c r="EYK81" s="42"/>
      <c r="EYL81" s="42"/>
      <c r="EYM81" s="43"/>
      <c r="EYN81" s="24"/>
      <c r="EYO81" s="24"/>
      <c r="EYP81" s="25"/>
      <c r="EYQ81" s="23"/>
      <c r="EYR81" s="23"/>
      <c r="EYS81" s="42"/>
      <c r="EYT81" s="427"/>
      <c r="EYU81" s="22"/>
      <c r="EYV81" s="76"/>
      <c r="EYW81" s="42"/>
      <c r="EYX81" s="42"/>
      <c r="EYY81" s="42"/>
      <c r="EYZ81" s="42"/>
      <c r="EZA81" s="42"/>
      <c r="EZB81" s="43"/>
      <c r="EZC81" s="24"/>
      <c r="EZD81" s="24"/>
      <c r="EZE81" s="25"/>
      <c r="EZF81" s="23"/>
      <c r="EZG81" s="23"/>
      <c r="EZH81" s="42"/>
      <c r="EZI81" s="427"/>
      <c r="EZJ81" s="22"/>
      <c r="EZK81" s="76"/>
      <c r="EZL81" s="42"/>
      <c r="EZM81" s="42"/>
      <c r="EZN81" s="42"/>
      <c r="EZO81" s="42"/>
      <c r="EZP81" s="42"/>
      <c r="EZQ81" s="43"/>
      <c r="EZR81" s="24"/>
      <c r="EZS81" s="24"/>
      <c r="EZT81" s="25"/>
      <c r="EZU81" s="23"/>
      <c r="EZV81" s="23"/>
      <c r="EZW81" s="42"/>
      <c r="EZX81" s="427"/>
      <c r="EZY81" s="22"/>
      <c r="EZZ81" s="76"/>
      <c r="FAA81" s="42"/>
      <c r="FAB81" s="42"/>
      <c r="FAC81" s="42"/>
      <c r="FAD81" s="42"/>
      <c r="FAE81" s="42"/>
      <c r="FAF81" s="43"/>
      <c r="FAG81" s="24"/>
      <c r="FAH81" s="24"/>
      <c r="FAI81" s="25"/>
      <c r="FAJ81" s="23"/>
      <c r="FAK81" s="23"/>
      <c r="FAL81" s="42"/>
      <c r="FAM81" s="427"/>
      <c r="FAN81" s="22"/>
      <c r="FAO81" s="76"/>
      <c r="FAP81" s="42"/>
      <c r="FAQ81" s="42"/>
      <c r="FAR81" s="42"/>
      <c r="FAS81" s="42"/>
      <c r="FAT81" s="42"/>
      <c r="FAU81" s="43"/>
      <c r="FAV81" s="24"/>
      <c r="FAW81" s="24"/>
      <c r="FAX81" s="25"/>
      <c r="FAY81" s="23"/>
      <c r="FAZ81" s="23"/>
      <c r="FBA81" s="42"/>
      <c r="FBB81" s="427"/>
      <c r="FBC81" s="22"/>
      <c r="FBD81" s="76"/>
      <c r="FBE81" s="42"/>
      <c r="FBF81" s="42"/>
      <c r="FBG81" s="42"/>
      <c r="FBH81" s="42"/>
      <c r="FBI81" s="42"/>
      <c r="FBJ81" s="43"/>
      <c r="FBK81" s="24"/>
      <c r="FBL81" s="24"/>
      <c r="FBM81" s="25"/>
      <c r="FBN81" s="23"/>
      <c r="FBO81" s="23"/>
      <c r="FBP81" s="42"/>
      <c r="FBQ81" s="427"/>
      <c r="FBR81" s="22"/>
      <c r="FBS81" s="76"/>
      <c r="FBT81" s="42"/>
      <c r="FBU81" s="42"/>
      <c r="FBV81" s="42"/>
      <c r="FBW81" s="42"/>
      <c r="FBX81" s="42"/>
      <c r="FBY81" s="43"/>
      <c r="FBZ81" s="24"/>
      <c r="FCA81" s="24"/>
      <c r="FCB81" s="25"/>
      <c r="FCC81" s="23"/>
      <c r="FCD81" s="23"/>
      <c r="FCE81" s="42"/>
      <c r="FCF81" s="427"/>
      <c r="FCG81" s="22"/>
      <c r="FCH81" s="76"/>
      <c r="FCI81" s="42"/>
      <c r="FCJ81" s="42"/>
      <c r="FCK81" s="42"/>
      <c r="FCL81" s="42"/>
      <c r="FCM81" s="42"/>
      <c r="FCN81" s="43"/>
      <c r="FCO81" s="24"/>
      <c r="FCP81" s="24"/>
      <c r="FCQ81" s="25"/>
      <c r="FCR81" s="23"/>
      <c r="FCS81" s="23"/>
      <c r="FCT81" s="42"/>
      <c r="FCU81" s="427"/>
      <c r="FCV81" s="22"/>
      <c r="FCW81" s="76"/>
      <c r="FCX81" s="42"/>
      <c r="FCY81" s="42"/>
      <c r="FCZ81" s="42"/>
      <c r="FDA81" s="42"/>
      <c r="FDB81" s="42"/>
      <c r="FDC81" s="43"/>
      <c r="FDD81" s="24"/>
      <c r="FDE81" s="24"/>
      <c r="FDF81" s="25"/>
      <c r="FDG81" s="23"/>
      <c r="FDH81" s="23"/>
      <c r="FDI81" s="42"/>
      <c r="FDJ81" s="427"/>
      <c r="FDK81" s="22"/>
      <c r="FDL81" s="76"/>
      <c r="FDM81" s="42"/>
      <c r="FDN81" s="42"/>
      <c r="FDO81" s="42"/>
      <c r="FDP81" s="42"/>
      <c r="FDQ81" s="42"/>
      <c r="FDR81" s="43"/>
      <c r="FDS81" s="24"/>
      <c r="FDT81" s="24"/>
      <c r="FDU81" s="25"/>
      <c r="FDV81" s="23"/>
      <c r="FDW81" s="23"/>
      <c r="FDX81" s="42"/>
      <c r="FDY81" s="427"/>
      <c r="FDZ81" s="22"/>
      <c r="FEA81" s="76"/>
      <c r="FEB81" s="42"/>
      <c r="FEC81" s="42"/>
      <c r="FED81" s="42"/>
      <c r="FEE81" s="42"/>
      <c r="FEF81" s="42"/>
      <c r="FEG81" s="43"/>
      <c r="FEH81" s="24"/>
      <c r="FEI81" s="24"/>
      <c r="FEJ81" s="25"/>
      <c r="FEK81" s="23"/>
      <c r="FEL81" s="23"/>
      <c r="FEM81" s="42"/>
      <c r="FEN81" s="427"/>
      <c r="FEO81" s="22"/>
      <c r="FEP81" s="76"/>
      <c r="FEQ81" s="42"/>
      <c r="FER81" s="42"/>
      <c r="FES81" s="42"/>
      <c r="FET81" s="42"/>
      <c r="FEU81" s="42"/>
      <c r="FEV81" s="43"/>
      <c r="FEW81" s="24"/>
      <c r="FEX81" s="24"/>
      <c r="FEY81" s="25"/>
      <c r="FEZ81" s="23"/>
      <c r="FFA81" s="23"/>
      <c r="FFB81" s="42"/>
      <c r="FFC81" s="427"/>
      <c r="FFD81" s="22"/>
      <c r="FFE81" s="76"/>
      <c r="FFF81" s="42"/>
      <c r="FFG81" s="42"/>
      <c r="FFH81" s="42"/>
      <c r="FFI81" s="42"/>
      <c r="FFJ81" s="42"/>
      <c r="FFK81" s="43"/>
      <c r="FFL81" s="24"/>
      <c r="FFM81" s="24"/>
      <c r="FFN81" s="25"/>
      <c r="FFO81" s="23"/>
      <c r="FFP81" s="23"/>
      <c r="FFQ81" s="42"/>
      <c r="FFR81" s="427"/>
      <c r="FFS81" s="22"/>
      <c r="FFT81" s="76"/>
      <c r="FFU81" s="42"/>
      <c r="FFV81" s="42"/>
      <c r="FFW81" s="42"/>
      <c r="FFX81" s="42"/>
      <c r="FFY81" s="42"/>
      <c r="FFZ81" s="43"/>
      <c r="FGA81" s="24"/>
      <c r="FGB81" s="24"/>
      <c r="FGC81" s="25"/>
      <c r="FGD81" s="23"/>
      <c r="FGE81" s="23"/>
      <c r="FGF81" s="42"/>
      <c r="FGG81" s="427"/>
      <c r="FGH81" s="22"/>
      <c r="FGI81" s="76"/>
      <c r="FGJ81" s="42"/>
      <c r="FGK81" s="42"/>
      <c r="FGL81" s="42"/>
      <c r="FGM81" s="42"/>
      <c r="FGN81" s="42"/>
      <c r="FGO81" s="43"/>
      <c r="FGP81" s="24"/>
      <c r="FGQ81" s="24"/>
      <c r="FGR81" s="25"/>
      <c r="FGS81" s="23"/>
      <c r="FGT81" s="23"/>
      <c r="FGU81" s="42"/>
      <c r="FGV81" s="427"/>
      <c r="FGW81" s="22"/>
      <c r="FGX81" s="76"/>
      <c r="FGY81" s="42"/>
      <c r="FGZ81" s="42"/>
      <c r="FHA81" s="42"/>
      <c r="FHB81" s="42"/>
      <c r="FHC81" s="42"/>
      <c r="FHD81" s="43"/>
      <c r="FHE81" s="24"/>
      <c r="FHF81" s="24"/>
      <c r="FHG81" s="25"/>
      <c r="FHH81" s="23"/>
      <c r="FHI81" s="23"/>
      <c r="FHJ81" s="42"/>
      <c r="FHK81" s="427"/>
      <c r="FHL81" s="22"/>
      <c r="FHM81" s="76"/>
      <c r="FHN81" s="42"/>
      <c r="FHO81" s="42"/>
      <c r="FHP81" s="42"/>
      <c r="FHQ81" s="42"/>
      <c r="FHR81" s="42"/>
      <c r="FHS81" s="43"/>
      <c r="FHT81" s="24"/>
      <c r="FHU81" s="24"/>
      <c r="FHV81" s="25"/>
      <c r="FHW81" s="23"/>
      <c r="FHX81" s="23"/>
      <c r="FHY81" s="42"/>
      <c r="FHZ81" s="427"/>
      <c r="FIA81" s="22"/>
      <c r="FIB81" s="76"/>
      <c r="FIC81" s="42"/>
      <c r="FID81" s="42"/>
      <c r="FIE81" s="42"/>
      <c r="FIF81" s="42"/>
      <c r="FIG81" s="42"/>
      <c r="FIH81" s="43"/>
      <c r="FII81" s="24"/>
      <c r="FIJ81" s="24"/>
      <c r="FIK81" s="25"/>
      <c r="FIL81" s="23"/>
      <c r="FIM81" s="23"/>
      <c r="FIN81" s="42"/>
      <c r="FIO81" s="427"/>
      <c r="FIP81" s="22"/>
      <c r="FIQ81" s="76"/>
      <c r="FIR81" s="42"/>
      <c r="FIS81" s="42"/>
      <c r="FIT81" s="42"/>
      <c r="FIU81" s="42"/>
      <c r="FIV81" s="42"/>
      <c r="FIW81" s="43"/>
      <c r="FIX81" s="24"/>
      <c r="FIY81" s="24"/>
      <c r="FIZ81" s="25"/>
      <c r="FJA81" s="23"/>
      <c r="FJB81" s="23"/>
      <c r="FJC81" s="42"/>
      <c r="FJD81" s="427"/>
      <c r="FJE81" s="22"/>
      <c r="FJF81" s="76"/>
      <c r="FJG81" s="42"/>
      <c r="FJH81" s="42"/>
      <c r="FJI81" s="42"/>
      <c r="FJJ81" s="42"/>
      <c r="FJK81" s="42"/>
      <c r="FJL81" s="43"/>
      <c r="FJM81" s="24"/>
      <c r="FJN81" s="24"/>
      <c r="FJO81" s="25"/>
      <c r="FJP81" s="23"/>
      <c r="FJQ81" s="23"/>
      <c r="FJR81" s="42"/>
      <c r="FJS81" s="427"/>
      <c r="FJT81" s="22"/>
      <c r="FJU81" s="76"/>
      <c r="FJV81" s="42"/>
      <c r="FJW81" s="42"/>
      <c r="FJX81" s="42"/>
      <c r="FJY81" s="42"/>
      <c r="FJZ81" s="42"/>
      <c r="FKA81" s="43"/>
      <c r="FKB81" s="24"/>
      <c r="FKC81" s="24"/>
      <c r="FKD81" s="25"/>
      <c r="FKE81" s="23"/>
      <c r="FKF81" s="23"/>
      <c r="FKG81" s="42"/>
      <c r="FKH81" s="427"/>
      <c r="FKI81" s="22"/>
      <c r="FKJ81" s="76"/>
      <c r="FKK81" s="42"/>
      <c r="FKL81" s="42"/>
      <c r="FKM81" s="42"/>
      <c r="FKN81" s="42"/>
      <c r="FKO81" s="42"/>
      <c r="FKP81" s="43"/>
      <c r="FKQ81" s="24"/>
      <c r="FKR81" s="24"/>
      <c r="FKS81" s="25"/>
      <c r="FKT81" s="23"/>
      <c r="FKU81" s="23"/>
      <c r="FKV81" s="42"/>
      <c r="FKW81" s="427"/>
      <c r="FKX81" s="22"/>
      <c r="FKY81" s="76"/>
      <c r="FKZ81" s="42"/>
      <c r="FLA81" s="42"/>
      <c r="FLB81" s="42"/>
      <c r="FLC81" s="42"/>
      <c r="FLD81" s="42"/>
      <c r="FLE81" s="43"/>
      <c r="FLF81" s="24"/>
      <c r="FLG81" s="24"/>
      <c r="FLH81" s="25"/>
      <c r="FLI81" s="23"/>
      <c r="FLJ81" s="23"/>
      <c r="FLK81" s="42"/>
      <c r="FLL81" s="427"/>
      <c r="FLM81" s="22"/>
      <c r="FLN81" s="76"/>
      <c r="FLO81" s="42"/>
      <c r="FLP81" s="42"/>
      <c r="FLQ81" s="42"/>
      <c r="FLR81" s="42"/>
      <c r="FLS81" s="42"/>
      <c r="FLT81" s="43"/>
      <c r="FLU81" s="24"/>
      <c r="FLV81" s="24"/>
      <c r="FLW81" s="25"/>
      <c r="FLX81" s="23"/>
      <c r="FLY81" s="23"/>
      <c r="FLZ81" s="42"/>
      <c r="FMA81" s="427"/>
      <c r="FMB81" s="22"/>
      <c r="FMC81" s="76"/>
      <c r="FMD81" s="42"/>
      <c r="FME81" s="42"/>
      <c r="FMF81" s="42"/>
      <c r="FMG81" s="42"/>
      <c r="FMH81" s="42"/>
      <c r="FMI81" s="43"/>
      <c r="FMJ81" s="24"/>
      <c r="FMK81" s="24"/>
      <c r="FML81" s="25"/>
      <c r="FMM81" s="23"/>
      <c r="FMN81" s="23"/>
      <c r="FMO81" s="42"/>
      <c r="FMP81" s="427"/>
      <c r="FMQ81" s="22"/>
      <c r="FMR81" s="76"/>
      <c r="FMS81" s="42"/>
      <c r="FMT81" s="42"/>
      <c r="FMU81" s="42"/>
      <c r="FMV81" s="42"/>
      <c r="FMW81" s="42"/>
      <c r="FMX81" s="43"/>
      <c r="FMY81" s="24"/>
      <c r="FMZ81" s="24"/>
      <c r="FNA81" s="25"/>
      <c r="FNB81" s="23"/>
      <c r="FNC81" s="23"/>
      <c r="FND81" s="42"/>
      <c r="FNE81" s="427"/>
      <c r="FNF81" s="22"/>
      <c r="FNG81" s="76"/>
      <c r="FNH81" s="42"/>
      <c r="FNI81" s="42"/>
      <c r="FNJ81" s="42"/>
      <c r="FNK81" s="42"/>
      <c r="FNL81" s="42"/>
      <c r="FNM81" s="43"/>
      <c r="FNN81" s="24"/>
      <c r="FNO81" s="24"/>
      <c r="FNP81" s="25"/>
      <c r="FNQ81" s="23"/>
      <c r="FNR81" s="23"/>
      <c r="FNS81" s="42"/>
      <c r="FNT81" s="427"/>
      <c r="FNU81" s="22"/>
      <c r="FNV81" s="76"/>
      <c r="FNW81" s="42"/>
      <c r="FNX81" s="42"/>
      <c r="FNY81" s="42"/>
      <c r="FNZ81" s="42"/>
      <c r="FOA81" s="42"/>
      <c r="FOB81" s="43"/>
      <c r="FOC81" s="24"/>
      <c r="FOD81" s="24"/>
      <c r="FOE81" s="25"/>
      <c r="FOF81" s="23"/>
      <c r="FOG81" s="23"/>
      <c r="FOH81" s="42"/>
      <c r="FOI81" s="427"/>
      <c r="FOJ81" s="22"/>
      <c r="FOK81" s="76"/>
      <c r="FOL81" s="42"/>
      <c r="FOM81" s="42"/>
      <c r="FON81" s="42"/>
      <c r="FOO81" s="42"/>
      <c r="FOP81" s="42"/>
      <c r="FOQ81" s="43"/>
      <c r="FOR81" s="24"/>
      <c r="FOS81" s="24"/>
      <c r="FOT81" s="25"/>
      <c r="FOU81" s="23"/>
      <c r="FOV81" s="23"/>
      <c r="FOW81" s="42"/>
      <c r="FOX81" s="427"/>
      <c r="FOY81" s="22"/>
      <c r="FOZ81" s="76"/>
      <c r="FPA81" s="42"/>
      <c r="FPB81" s="42"/>
      <c r="FPC81" s="42"/>
      <c r="FPD81" s="42"/>
      <c r="FPE81" s="42"/>
      <c r="FPF81" s="43"/>
      <c r="FPG81" s="24"/>
      <c r="FPH81" s="24"/>
      <c r="FPI81" s="25"/>
      <c r="FPJ81" s="23"/>
      <c r="FPK81" s="23"/>
      <c r="FPL81" s="42"/>
      <c r="FPM81" s="427"/>
      <c r="FPN81" s="22"/>
      <c r="FPO81" s="76"/>
      <c r="FPP81" s="42"/>
      <c r="FPQ81" s="42"/>
      <c r="FPR81" s="42"/>
      <c r="FPS81" s="42"/>
      <c r="FPT81" s="42"/>
      <c r="FPU81" s="43"/>
      <c r="FPV81" s="24"/>
      <c r="FPW81" s="24"/>
      <c r="FPX81" s="25"/>
      <c r="FPY81" s="23"/>
      <c r="FPZ81" s="23"/>
      <c r="FQA81" s="42"/>
      <c r="FQB81" s="427"/>
      <c r="FQC81" s="22"/>
      <c r="FQD81" s="76"/>
      <c r="FQE81" s="42"/>
      <c r="FQF81" s="42"/>
      <c r="FQG81" s="42"/>
      <c r="FQH81" s="42"/>
      <c r="FQI81" s="42"/>
      <c r="FQJ81" s="43"/>
      <c r="FQK81" s="24"/>
      <c r="FQL81" s="24"/>
      <c r="FQM81" s="25"/>
      <c r="FQN81" s="23"/>
      <c r="FQO81" s="23"/>
      <c r="FQP81" s="42"/>
      <c r="FQQ81" s="427"/>
      <c r="FQR81" s="22"/>
      <c r="FQS81" s="76"/>
      <c r="FQT81" s="42"/>
      <c r="FQU81" s="42"/>
      <c r="FQV81" s="42"/>
      <c r="FQW81" s="42"/>
      <c r="FQX81" s="42"/>
      <c r="FQY81" s="43"/>
      <c r="FQZ81" s="24"/>
      <c r="FRA81" s="24"/>
      <c r="FRB81" s="25"/>
      <c r="FRC81" s="23"/>
      <c r="FRD81" s="23"/>
      <c r="FRE81" s="42"/>
      <c r="FRF81" s="427"/>
      <c r="FRG81" s="22"/>
      <c r="FRH81" s="76"/>
      <c r="FRI81" s="42"/>
      <c r="FRJ81" s="42"/>
      <c r="FRK81" s="42"/>
      <c r="FRL81" s="42"/>
      <c r="FRM81" s="42"/>
      <c r="FRN81" s="43"/>
      <c r="FRO81" s="24"/>
      <c r="FRP81" s="24"/>
      <c r="FRQ81" s="25"/>
      <c r="FRR81" s="23"/>
      <c r="FRS81" s="23"/>
      <c r="FRT81" s="42"/>
      <c r="FRU81" s="427"/>
      <c r="FRV81" s="22"/>
      <c r="FRW81" s="76"/>
      <c r="FRX81" s="42"/>
      <c r="FRY81" s="42"/>
      <c r="FRZ81" s="42"/>
      <c r="FSA81" s="42"/>
      <c r="FSB81" s="42"/>
      <c r="FSC81" s="43"/>
      <c r="FSD81" s="24"/>
      <c r="FSE81" s="24"/>
      <c r="FSF81" s="25"/>
      <c r="FSG81" s="23"/>
      <c r="FSH81" s="23"/>
      <c r="FSI81" s="42"/>
      <c r="FSJ81" s="427"/>
      <c r="FSK81" s="22"/>
      <c r="FSL81" s="76"/>
      <c r="FSM81" s="42"/>
      <c r="FSN81" s="42"/>
      <c r="FSO81" s="42"/>
      <c r="FSP81" s="42"/>
      <c r="FSQ81" s="42"/>
      <c r="FSR81" s="43"/>
      <c r="FSS81" s="24"/>
      <c r="FST81" s="24"/>
      <c r="FSU81" s="25"/>
      <c r="FSV81" s="23"/>
      <c r="FSW81" s="23"/>
      <c r="FSX81" s="42"/>
      <c r="FSY81" s="427"/>
      <c r="FSZ81" s="22"/>
      <c r="FTA81" s="76"/>
      <c r="FTB81" s="42"/>
      <c r="FTC81" s="42"/>
      <c r="FTD81" s="42"/>
      <c r="FTE81" s="42"/>
      <c r="FTF81" s="42"/>
      <c r="FTG81" s="43"/>
      <c r="FTH81" s="24"/>
      <c r="FTI81" s="24"/>
      <c r="FTJ81" s="25"/>
      <c r="FTK81" s="23"/>
      <c r="FTL81" s="23"/>
      <c r="FTM81" s="42"/>
      <c r="FTN81" s="427"/>
      <c r="FTO81" s="22"/>
      <c r="FTP81" s="76"/>
      <c r="FTQ81" s="42"/>
      <c r="FTR81" s="42"/>
      <c r="FTS81" s="42"/>
      <c r="FTT81" s="42"/>
      <c r="FTU81" s="42"/>
      <c r="FTV81" s="43"/>
      <c r="FTW81" s="24"/>
      <c r="FTX81" s="24"/>
      <c r="FTY81" s="25"/>
      <c r="FTZ81" s="23"/>
      <c r="FUA81" s="23"/>
      <c r="FUB81" s="42"/>
      <c r="FUC81" s="427"/>
      <c r="FUD81" s="22"/>
      <c r="FUE81" s="76"/>
      <c r="FUF81" s="42"/>
      <c r="FUG81" s="42"/>
      <c r="FUH81" s="42"/>
      <c r="FUI81" s="42"/>
      <c r="FUJ81" s="42"/>
      <c r="FUK81" s="43"/>
      <c r="FUL81" s="24"/>
      <c r="FUM81" s="24"/>
      <c r="FUN81" s="25"/>
      <c r="FUO81" s="23"/>
      <c r="FUP81" s="23"/>
      <c r="FUQ81" s="42"/>
      <c r="FUR81" s="427"/>
      <c r="FUS81" s="22"/>
      <c r="FUT81" s="76"/>
      <c r="FUU81" s="42"/>
      <c r="FUV81" s="42"/>
      <c r="FUW81" s="42"/>
      <c r="FUX81" s="42"/>
      <c r="FUY81" s="42"/>
      <c r="FUZ81" s="43"/>
      <c r="FVA81" s="24"/>
      <c r="FVB81" s="24"/>
      <c r="FVC81" s="25"/>
      <c r="FVD81" s="23"/>
      <c r="FVE81" s="23"/>
      <c r="FVF81" s="42"/>
      <c r="FVG81" s="427"/>
      <c r="FVH81" s="22"/>
      <c r="FVI81" s="76"/>
      <c r="FVJ81" s="42"/>
      <c r="FVK81" s="42"/>
      <c r="FVL81" s="42"/>
      <c r="FVM81" s="42"/>
      <c r="FVN81" s="42"/>
      <c r="FVO81" s="43"/>
      <c r="FVP81" s="24"/>
      <c r="FVQ81" s="24"/>
      <c r="FVR81" s="25"/>
      <c r="FVS81" s="23"/>
      <c r="FVT81" s="23"/>
      <c r="FVU81" s="42"/>
      <c r="FVV81" s="427"/>
      <c r="FVW81" s="22"/>
      <c r="FVX81" s="76"/>
      <c r="FVY81" s="42"/>
      <c r="FVZ81" s="42"/>
      <c r="FWA81" s="42"/>
      <c r="FWB81" s="42"/>
      <c r="FWC81" s="42"/>
      <c r="FWD81" s="43"/>
      <c r="FWE81" s="24"/>
      <c r="FWF81" s="24"/>
      <c r="FWG81" s="25"/>
      <c r="FWH81" s="23"/>
      <c r="FWI81" s="23"/>
      <c r="FWJ81" s="42"/>
      <c r="FWK81" s="427"/>
      <c r="FWL81" s="22"/>
      <c r="FWM81" s="76"/>
      <c r="FWN81" s="42"/>
      <c r="FWO81" s="42"/>
      <c r="FWP81" s="42"/>
      <c r="FWQ81" s="42"/>
      <c r="FWR81" s="42"/>
      <c r="FWS81" s="43"/>
      <c r="FWT81" s="24"/>
      <c r="FWU81" s="24"/>
      <c r="FWV81" s="25"/>
      <c r="FWW81" s="23"/>
      <c r="FWX81" s="23"/>
      <c r="FWY81" s="42"/>
      <c r="FWZ81" s="427"/>
      <c r="FXA81" s="22"/>
      <c r="FXB81" s="76"/>
      <c r="FXC81" s="42"/>
      <c r="FXD81" s="42"/>
      <c r="FXE81" s="42"/>
      <c r="FXF81" s="42"/>
      <c r="FXG81" s="42"/>
      <c r="FXH81" s="43"/>
      <c r="FXI81" s="24"/>
      <c r="FXJ81" s="24"/>
      <c r="FXK81" s="25"/>
      <c r="FXL81" s="23"/>
      <c r="FXM81" s="23"/>
      <c r="FXN81" s="42"/>
      <c r="FXO81" s="427"/>
      <c r="FXP81" s="22"/>
      <c r="FXQ81" s="76"/>
      <c r="FXR81" s="42"/>
      <c r="FXS81" s="42"/>
      <c r="FXT81" s="42"/>
      <c r="FXU81" s="42"/>
      <c r="FXV81" s="42"/>
      <c r="FXW81" s="43"/>
      <c r="FXX81" s="24"/>
      <c r="FXY81" s="24"/>
      <c r="FXZ81" s="25"/>
      <c r="FYA81" s="23"/>
      <c r="FYB81" s="23"/>
      <c r="FYC81" s="42"/>
      <c r="FYD81" s="427"/>
      <c r="FYE81" s="22"/>
      <c r="FYF81" s="76"/>
      <c r="FYG81" s="42"/>
      <c r="FYH81" s="42"/>
      <c r="FYI81" s="42"/>
      <c r="FYJ81" s="42"/>
      <c r="FYK81" s="42"/>
      <c r="FYL81" s="43"/>
      <c r="FYM81" s="24"/>
      <c r="FYN81" s="24"/>
      <c r="FYO81" s="25"/>
      <c r="FYP81" s="23"/>
      <c r="FYQ81" s="23"/>
      <c r="FYR81" s="42"/>
      <c r="FYS81" s="427"/>
      <c r="FYT81" s="22"/>
      <c r="FYU81" s="76"/>
      <c r="FYV81" s="42"/>
      <c r="FYW81" s="42"/>
      <c r="FYX81" s="42"/>
      <c r="FYY81" s="42"/>
      <c r="FYZ81" s="42"/>
      <c r="FZA81" s="43"/>
      <c r="FZB81" s="24"/>
      <c r="FZC81" s="24"/>
      <c r="FZD81" s="25"/>
      <c r="FZE81" s="23"/>
      <c r="FZF81" s="23"/>
      <c r="FZG81" s="42"/>
      <c r="FZH81" s="427"/>
      <c r="FZI81" s="22"/>
      <c r="FZJ81" s="76"/>
      <c r="FZK81" s="42"/>
      <c r="FZL81" s="42"/>
      <c r="FZM81" s="42"/>
      <c r="FZN81" s="42"/>
      <c r="FZO81" s="42"/>
      <c r="FZP81" s="43"/>
      <c r="FZQ81" s="24"/>
      <c r="FZR81" s="24"/>
      <c r="FZS81" s="25"/>
      <c r="FZT81" s="23"/>
      <c r="FZU81" s="23"/>
      <c r="FZV81" s="42"/>
      <c r="FZW81" s="427"/>
      <c r="FZX81" s="22"/>
      <c r="FZY81" s="76"/>
      <c r="FZZ81" s="42"/>
      <c r="GAA81" s="42"/>
      <c r="GAB81" s="42"/>
      <c r="GAC81" s="42"/>
      <c r="GAD81" s="42"/>
      <c r="GAE81" s="43"/>
      <c r="GAF81" s="24"/>
      <c r="GAG81" s="24"/>
      <c r="GAH81" s="25"/>
      <c r="GAI81" s="23"/>
      <c r="GAJ81" s="23"/>
      <c r="GAK81" s="42"/>
      <c r="GAL81" s="427"/>
      <c r="GAM81" s="22"/>
      <c r="GAN81" s="76"/>
      <c r="GAO81" s="42"/>
      <c r="GAP81" s="42"/>
      <c r="GAQ81" s="42"/>
      <c r="GAR81" s="42"/>
      <c r="GAS81" s="42"/>
      <c r="GAT81" s="43"/>
      <c r="GAU81" s="24"/>
      <c r="GAV81" s="24"/>
      <c r="GAW81" s="25"/>
      <c r="GAX81" s="23"/>
      <c r="GAY81" s="23"/>
      <c r="GAZ81" s="42"/>
      <c r="GBA81" s="427"/>
      <c r="GBB81" s="22"/>
      <c r="GBC81" s="76"/>
      <c r="GBD81" s="42"/>
      <c r="GBE81" s="42"/>
      <c r="GBF81" s="42"/>
      <c r="GBG81" s="42"/>
      <c r="GBH81" s="42"/>
      <c r="GBI81" s="43"/>
      <c r="GBJ81" s="24"/>
      <c r="GBK81" s="24"/>
      <c r="GBL81" s="25"/>
      <c r="GBM81" s="23"/>
      <c r="GBN81" s="23"/>
      <c r="GBO81" s="42"/>
      <c r="GBP81" s="427"/>
      <c r="GBQ81" s="22"/>
      <c r="GBR81" s="76"/>
      <c r="GBS81" s="42"/>
      <c r="GBT81" s="42"/>
      <c r="GBU81" s="42"/>
      <c r="GBV81" s="42"/>
      <c r="GBW81" s="42"/>
      <c r="GBX81" s="43"/>
      <c r="GBY81" s="24"/>
      <c r="GBZ81" s="24"/>
      <c r="GCA81" s="25"/>
      <c r="GCB81" s="23"/>
      <c r="GCC81" s="23"/>
      <c r="GCD81" s="42"/>
      <c r="GCE81" s="427"/>
      <c r="GCF81" s="22"/>
      <c r="GCG81" s="76"/>
      <c r="GCH81" s="42"/>
      <c r="GCI81" s="42"/>
      <c r="GCJ81" s="42"/>
      <c r="GCK81" s="42"/>
      <c r="GCL81" s="42"/>
      <c r="GCM81" s="43"/>
      <c r="GCN81" s="24"/>
      <c r="GCO81" s="24"/>
      <c r="GCP81" s="25"/>
      <c r="GCQ81" s="23"/>
      <c r="GCR81" s="23"/>
      <c r="GCS81" s="42"/>
      <c r="GCT81" s="427"/>
      <c r="GCU81" s="22"/>
      <c r="GCV81" s="76"/>
      <c r="GCW81" s="42"/>
      <c r="GCX81" s="42"/>
      <c r="GCY81" s="42"/>
      <c r="GCZ81" s="42"/>
      <c r="GDA81" s="42"/>
      <c r="GDB81" s="43"/>
      <c r="GDC81" s="24"/>
      <c r="GDD81" s="24"/>
      <c r="GDE81" s="25"/>
      <c r="GDF81" s="23"/>
      <c r="GDG81" s="23"/>
      <c r="GDH81" s="42"/>
      <c r="GDI81" s="427"/>
      <c r="GDJ81" s="22"/>
      <c r="GDK81" s="76"/>
      <c r="GDL81" s="42"/>
      <c r="GDM81" s="42"/>
      <c r="GDN81" s="42"/>
      <c r="GDO81" s="42"/>
      <c r="GDP81" s="42"/>
      <c r="GDQ81" s="43"/>
      <c r="GDR81" s="24"/>
      <c r="GDS81" s="24"/>
      <c r="GDT81" s="25"/>
      <c r="GDU81" s="23"/>
      <c r="GDV81" s="23"/>
      <c r="GDW81" s="42"/>
      <c r="GDX81" s="427"/>
      <c r="GDY81" s="22"/>
      <c r="GDZ81" s="76"/>
      <c r="GEA81" s="42"/>
      <c r="GEB81" s="42"/>
      <c r="GEC81" s="42"/>
      <c r="GED81" s="42"/>
      <c r="GEE81" s="42"/>
      <c r="GEF81" s="43"/>
      <c r="GEG81" s="24"/>
      <c r="GEH81" s="24"/>
      <c r="GEI81" s="25"/>
      <c r="GEJ81" s="23"/>
      <c r="GEK81" s="23"/>
      <c r="GEL81" s="42"/>
      <c r="GEM81" s="427"/>
      <c r="GEN81" s="22"/>
      <c r="GEO81" s="76"/>
      <c r="GEP81" s="42"/>
      <c r="GEQ81" s="42"/>
      <c r="GER81" s="42"/>
      <c r="GES81" s="42"/>
      <c r="GET81" s="42"/>
      <c r="GEU81" s="43"/>
      <c r="GEV81" s="24"/>
      <c r="GEW81" s="24"/>
      <c r="GEX81" s="25"/>
      <c r="GEY81" s="23"/>
      <c r="GEZ81" s="23"/>
      <c r="GFA81" s="42"/>
      <c r="GFB81" s="427"/>
      <c r="GFC81" s="22"/>
      <c r="GFD81" s="76"/>
      <c r="GFE81" s="42"/>
      <c r="GFF81" s="42"/>
      <c r="GFG81" s="42"/>
      <c r="GFH81" s="42"/>
      <c r="GFI81" s="42"/>
      <c r="GFJ81" s="43"/>
      <c r="GFK81" s="24"/>
      <c r="GFL81" s="24"/>
      <c r="GFM81" s="25"/>
      <c r="GFN81" s="23"/>
      <c r="GFO81" s="23"/>
      <c r="GFP81" s="42"/>
      <c r="GFQ81" s="427"/>
      <c r="GFR81" s="22"/>
      <c r="GFS81" s="76"/>
      <c r="GFT81" s="42"/>
      <c r="GFU81" s="42"/>
      <c r="GFV81" s="42"/>
      <c r="GFW81" s="42"/>
      <c r="GFX81" s="42"/>
      <c r="GFY81" s="43"/>
      <c r="GFZ81" s="24"/>
      <c r="GGA81" s="24"/>
      <c r="GGB81" s="25"/>
      <c r="GGC81" s="23"/>
      <c r="GGD81" s="23"/>
      <c r="GGE81" s="42"/>
      <c r="GGF81" s="427"/>
      <c r="GGG81" s="22"/>
      <c r="GGH81" s="76"/>
      <c r="GGI81" s="42"/>
      <c r="GGJ81" s="42"/>
      <c r="GGK81" s="42"/>
      <c r="GGL81" s="42"/>
      <c r="GGM81" s="42"/>
      <c r="GGN81" s="43"/>
      <c r="GGO81" s="24"/>
      <c r="GGP81" s="24"/>
      <c r="GGQ81" s="25"/>
      <c r="GGR81" s="23"/>
      <c r="GGS81" s="23"/>
      <c r="GGT81" s="42"/>
      <c r="GGU81" s="427"/>
      <c r="GGV81" s="22"/>
      <c r="GGW81" s="76"/>
      <c r="GGX81" s="42"/>
      <c r="GGY81" s="42"/>
      <c r="GGZ81" s="42"/>
      <c r="GHA81" s="42"/>
      <c r="GHB81" s="42"/>
      <c r="GHC81" s="43"/>
      <c r="GHD81" s="24"/>
      <c r="GHE81" s="24"/>
      <c r="GHF81" s="25"/>
      <c r="GHG81" s="23"/>
      <c r="GHH81" s="23"/>
      <c r="GHI81" s="42"/>
      <c r="GHJ81" s="427"/>
      <c r="GHK81" s="22"/>
      <c r="GHL81" s="76"/>
      <c r="GHM81" s="42"/>
      <c r="GHN81" s="42"/>
      <c r="GHO81" s="42"/>
      <c r="GHP81" s="42"/>
      <c r="GHQ81" s="42"/>
      <c r="GHR81" s="43"/>
      <c r="GHS81" s="24"/>
      <c r="GHT81" s="24"/>
      <c r="GHU81" s="25"/>
      <c r="GHV81" s="23"/>
      <c r="GHW81" s="23"/>
      <c r="GHX81" s="42"/>
      <c r="GHY81" s="427"/>
      <c r="GHZ81" s="22"/>
      <c r="GIA81" s="76"/>
      <c r="GIB81" s="42"/>
      <c r="GIC81" s="42"/>
      <c r="GID81" s="42"/>
      <c r="GIE81" s="42"/>
      <c r="GIF81" s="42"/>
      <c r="GIG81" s="43"/>
      <c r="GIH81" s="24"/>
      <c r="GII81" s="24"/>
      <c r="GIJ81" s="25"/>
      <c r="GIK81" s="23"/>
      <c r="GIL81" s="23"/>
      <c r="GIM81" s="42"/>
      <c r="GIN81" s="427"/>
      <c r="GIO81" s="22"/>
      <c r="GIP81" s="76"/>
      <c r="GIQ81" s="42"/>
      <c r="GIR81" s="42"/>
      <c r="GIS81" s="42"/>
      <c r="GIT81" s="42"/>
      <c r="GIU81" s="42"/>
      <c r="GIV81" s="43"/>
      <c r="GIW81" s="24"/>
      <c r="GIX81" s="24"/>
      <c r="GIY81" s="25"/>
      <c r="GIZ81" s="23"/>
      <c r="GJA81" s="23"/>
      <c r="GJB81" s="42"/>
      <c r="GJC81" s="427"/>
      <c r="GJD81" s="22"/>
      <c r="GJE81" s="76"/>
      <c r="GJF81" s="42"/>
      <c r="GJG81" s="42"/>
      <c r="GJH81" s="42"/>
      <c r="GJI81" s="42"/>
      <c r="GJJ81" s="42"/>
      <c r="GJK81" s="43"/>
      <c r="GJL81" s="24"/>
      <c r="GJM81" s="24"/>
      <c r="GJN81" s="25"/>
      <c r="GJO81" s="23"/>
      <c r="GJP81" s="23"/>
      <c r="GJQ81" s="42"/>
      <c r="GJR81" s="427"/>
      <c r="GJS81" s="22"/>
      <c r="GJT81" s="76"/>
      <c r="GJU81" s="42"/>
      <c r="GJV81" s="42"/>
      <c r="GJW81" s="42"/>
      <c r="GJX81" s="42"/>
      <c r="GJY81" s="42"/>
      <c r="GJZ81" s="43"/>
      <c r="GKA81" s="24"/>
      <c r="GKB81" s="24"/>
      <c r="GKC81" s="25"/>
      <c r="GKD81" s="23"/>
      <c r="GKE81" s="23"/>
      <c r="GKF81" s="42"/>
      <c r="GKG81" s="427"/>
      <c r="GKH81" s="22"/>
      <c r="GKI81" s="76"/>
      <c r="GKJ81" s="42"/>
      <c r="GKK81" s="42"/>
      <c r="GKL81" s="42"/>
      <c r="GKM81" s="42"/>
      <c r="GKN81" s="42"/>
      <c r="GKO81" s="43"/>
      <c r="GKP81" s="24"/>
      <c r="GKQ81" s="24"/>
      <c r="GKR81" s="25"/>
      <c r="GKS81" s="23"/>
      <c r="GKT81" s="23"/>
      <c r="GKU81" s="42"/>
      <c r="GKV81" s="427"/>
      <c r="GKW81" s="22"/>
      <c r="GKX81" s="76"/>
      <c r="GKY81" s="42"/>
      <c r="GKZ81" s="42"/>
      <c r="GLA81" s="42"/>
      <c r="GLB81" s="42"/>
      <c r="GLC81" s="42"/>
      <c r="GLD81" s="43"/>
      <c r="GLE81" s="24"/>
      <c r="GLF81" s="24"/>
      <c r="GLG81" s="25"/>
      <c r="GLH81" s="23"/>
      <c r="GLI81" s="23"/>
      <c r="GLJ81" s="42"/>
      <c r="GLK81" s="427"/>
      <c r="GLL81" s="22"/>
      <c r="GLM81" s="76"/>
      <c r="GLN81" s="42"/>
      <c r="GLO81" s="42"/>
      <c r="GLP81" s="42"/>
      <c r="GLQ81" s="42"/>
      <c r="GLR81" s="42"/>
      <c r="GLS81" s="43"/>
      <c r="GLT81" s="24"/>
      <c r="GLU81" s="24"/>
      <c r="GLV81" s="25"/>
      <c r="GLW81" s="23"/>
      <c r="GLX81" s="23"/>
      <c r="GLY81" s="42"/>
      <c r="GLZ81" s="427"/>
      <c r="GMA81" s="22"/>
      <c r="GMB81" s="76"/>
      <c r="GMC81" s="42"/>
      <c r="GMD81" s="42"/>
      <c r="GME81" s="42"/>
      <c r="GMF81" s="42"/>
      <c r="GMG81" s="42"/>
      <c r="GMH81" s="43"/>
      <c r="GMI81" s="24"/>
      <c r="GMJ81" s="24"/>
      <c r="GMK81" s="25"/>
      <c r="GML81" s="23"/>
      <c r="GMM81" s="23"/>
      <c r="GMN81" s="42"/>
      <c r="GMO81" s="427"/>
      <c r="GMP81" s="22"/>
      <c r="GMQ81" s="76"/>
      <c r="GMR81" s="42"/>
      <c r="GMS81" s="42"/>
      <c r="GMT81" s="42"/>
      <c r="GMU81" s="42"/>
      <c r="GMV81" s="42"/>
      <c r="GMW81" s="43"/>
      <c r="GMX81" s="24"/>
      <c r="GMY81" s="24"/>
      <c r="GMZ81" s="25"/>
      <c r="GNA81" s="23"/>
      <c r="GNB81" s="23"/>
      <c r="GNC81" s="42"/>
      <c r="GND81" s="427"/>
      <c r="GNE81" s="22"/>
      <c r="GNF81" s="76"/>
      <c r="GNG81" s="42"/>
      <c r="GNH81" s="42"/>
      <c r="GNI81" s="42"/>
      <c r="GNJ81" s="42"/>
      <c r="GNK81" s="42"/>
      <c r="GNL81" s="43"/>
      <c r="GNM81" s="24"/>
      <c r="GNN81" s="24"/>
      <c r="GNO81" s="25"/>
      <c r="GNP81" s="23"/>
      <c r="GNQ81" s="23"/>
      <c r="GNR81" s="42"/>
      <c r="GNS81" s="427"/>
      <c r="GNT81" s="22"/>
      <c r="GNU81" s="76"/>
      <c r="GNV81" s="42"/>
      <c r="GNW81" s="42"/>
      <c r="GNX81" s="42"/>
      <c r="GNY81" s="42"/>
      <c r="GNZ81" s="42"/>
      <c r="GOA81" s="43"/>
      <c r="GOB81" s="24"/>
      <c r="GOC81" s="24"/>
      <c r="GOD81" s="25"/>
      <c r="GOE81" s="23"/>
      <c r="GOF81" s="23"/>
      <c r="GOG81" s="42"/>
      <c r="GOH81" s="427"/>
      <c r="GOI81" s="22"/>
      <c r="GOJ81" s="76"/>
      <c r="GOK81" s="42"/>
      <c r="GOL81" s="42"/>
      <c r="GOM81" s="42"/>
      <c r="GON81" s="42"/>
      <c r="GOO81" s="42"/>
      <c r="GOP81" s="43"/>
      <c r="GOQ81" s="24"/>
      <c r="GOR81" s="24"/>
      <c r="GOS81" s="25"/>
      <c r="GOT81" s="23"/>
      <c r="GOU81" s="23"/>
      <c r="GOV81" s="42"/>
      <c r="GOW81" s="427"/>
      <c r="GOX81" s="22"/>
      <c r="GOY81" s="76"/>
      <c r="GOZ81" s="42"/>
      <c r="GPA81" s="42"/>
      <c r="GPB81" s="42"/>
      <c r="GPC81" s="42"/>
      <c r="GPD81" s="42"/>
      <c r="GPE81" s="43"/>
      <c r="GPF81" s="24"/>
      <c r="GPG81" s="24"/>
      <c r="GPH81" s="25"/>
      <c r="GPI81" s="23"/>
      <c r="GPJ81" s="23"/>
      <c r="GPK81" s="42"/>
      <c r="GPL81" s="427"/>
      <c r="GPM81" s="22"/>
      <c r="GPN81" s="76"/>
      <c r="GPO81" s="42"/>
      <c r="GPP81" s="42"/>
      <c r="GPQ81" s="42"/>
      <c r="GPR81" s="42"/>
      <c r="GPS81" s="42"/>
      <c r="GPT81" s="43"/>
      <c r="GPU81" s="24"/>
      <c r="GPV81" s="24"/>
      <c r="GPW81" s="25"/>
      <c r="GPX81" s="23"/>
      <c r="GPY81" s="23"/>
      <c r="GPZ81" s="42"/>
      <c r="GQA81" s="427"/>
      <c r="GQB81" s="22"/>
      <c r="GQC81" s="76"/>
      <c r="GQD81" s="42"/>
      <c r="GQE81" s="42"/>
      <c r="GQF81" s="42"/>
      <c r="GQG81" s="42"/>
      <c r="GQH81" s="42"/>
      <c r="GQI81" s="43"/>
      <c r="GQJ81" s="24"/>
      <c r="GQK81" s="24"/>
      <c r="GQL81" s="25"/>
      <c r="GQM81" s="23"/>
      <c r="GQN81" s="23"/>
      <c r="GQO81" s="42"/>
      <c r="GQP81" s="427"/>
      <c r="GQQ81" s="22"/>
      <c r="GQR81" s="76"/>
      <c r="GQS81" s="42"/>
      <c r="GQT81" s="42"/>
      <c r="GQU81" s="42"/>
      <c r="GQV81" s="42"/>
      <c r="GQW81" s="42"/>
      <c r="GQX81" s="43"/>
      <c r="GQY81" s="24"/>
      <c r="GQZ81" s="24"/>
      <c r="GRA81" s="25"/>
      <c r="GRB81" s="23"/>
      <c r="GRC81" s="23"/>
      <c r="GRD81" s="42"/>
      <c r="GRE81" s="427"/>
      <c r="GRF81" s="22"/>
      <c r="GRG81" s="76"/>
      <c r="GRH81" s="42"/>
      <c r="GRI81" s="42"/>
      <c r="GRJ81" s="42"/>
      <c r="GRK81" s="42"/>
      <c r="GRL81" s="42"/>
      <c r="GRM81" s="43"/>
      <c r="GRN81" s="24"/>
      <c r="GRO81" s="24"/>
      <c r="GRP81" s="25"/>
      <c r="GRQ81" s="23"/>
      <c r="GRR81" s="23"/>
      <c r="GRS81" s="42"/>
      <c r="GRT81" s="427"/>
      <c r="GRU81" s="22"/>
      <c r="GRV81" s="76"/>
      <c r="GRW81" s="42"/>
      <c r="GRX81" s="42"/>
      <c r="GRY81" s="42"/>
      <c r="GRZ81" s="42"/>
      <c r="GSA81" s="42"/>
      <c r="GSB81" s="43"/>
      <c r="GSC81" s="24"/>
      <c r="GSD81" s="24"/>
      <c r="GSE81" s="25"/>
      <c r="GSF81" s="23"/>
      <c r="GSG81" s="23"/>
      <c r="GSH81" s="42"/>
      <c r="GSI81" s="427"/>
      <c r="GSJ81" s="22"/>
      <c r="GSK81" s="76"/>
      <c r="GSL81" s="42"/>
      <c r="GSM81" s="42"/>
      <c r="GSN81" s="42"/>
      <c r="GSO81" s="42"/>
      <c r="GSP81" s="42"/>
      <c r="GSQ81" s="43"/>
      <c r="GSR81" s="24"/>
      <c r="GSS81" s="24"/>
      <c r="GST81" s="25"/>
      <c r="GSU81" s="23"/>
      <c r="GSV81" s="23"/>
      <c r="GSW81" s="42"/>
      <c r="GSX81" s="427"/>
      <c r="GSY81" s="22"/>
      <c r="GSZ81" s="76"/>
      <c r="GTA81" s="42"/>
      <c r="GTB81" s="42"/>
      <c r="GTC81" s="42"/>
      <c r="GTD81" s="42"/>
      <c r="GTE81" s="42"/>
      <c r="GTF81" s="43"/>
      <c r="GTG81" s="24"/>
      <c r="GTH81" s="24"/>
      <c r="GTI81" s="25"/>
      <c r="GTJ81" s="23"/>
      <c r="GTK81" s="23"/>
      <c r="GTL81" s="42"/>
      <c r="GTM81" s="427"/>
      <c r="GTN81" s="22"/>
      <c r="GTO81" s="76"/>
      <c r="GTP81" s="42"/>
      <c r="GTQ81" s="42"/>
      <c r="GTR81" s="42"/>
      <c r="GTS81" s="42"/>
      <c r="GTT81" s="42"/>
      <c r="GTU81" s="43"/>
      <c r="GTV81" s="24"/>
      <c r="GTW81" s="24"/>
      <c r="GTX81" s="25"/>
      <c r="GTY81" s="23"/>
      <c r="GTZ81" s="23"/>
      <c r="GUA81" s="42"/>
      <c r="GUB81" s="427"/>
      <c r="GUC81" s="22"/>
      <c r="GUD81" s="76"/>
      <c r="GUE81" s="42"/>
      <c r="GUF81" s="42"/>
      <c r="GUG81" s="42"/>
      <c r="GUH81" s="42"/>
      <c r="GUI81" s="42"/>
      <c r="GUJ81" s="43"/>
      <c r="GUK81" s="24"/>
      <c r="GUL81" s="24"/>
      <c r="GUM81" s="25"/>
      <c r="GUN81" s="23"/>
      <c r="GUO81" s="23"/>
      <c r="GUP81" s="42"/>
      <c r="GUQ81" s="427"/>
      <c r="GUR81" s="22"/>
      <c r="GUS81" s="76"/>
      <c r="GUT81" s="42"/>
      <c r="GUU81" s="42"/>
      <c r="GUV81" s="42"/>
      <c r="GUW81" s="42"/>
      <c r="GUX81" s="42"/>
      <c r="GUY81" s="43"/>
      <c r="GUZ81" s="24"/>
      <c r="GVA81" s="24"/>
      <c r="GVB81" s="25"/>
      <c r="GVC81" s="23"/>
      <c r="GVD81" s="23"/>
      <c r="GVE81" s="42"/>
      <c r="GVF81" s="427"/>
      <c r="GVG81" s="22"/>
      <c r="GVH81" s="76"/>
      <c r="GVI81" s="42"/>
      <c r="GVJ81" s="42"/>
      <c r="GVK81" s="42"/>
      <c r="GVL81" s="42"/>
      <c r="GVM81" s="42"/>
      <c r="GVN81" s="43"/>
      <c r="GVO81" s="24"/>
      <c r="GVP81" s="24"/>
      <c r="GVQ81" s="25"/>
      <c r="GVR81" s="23"/>
      <c r="GVS81" s="23"/>
      <c r="GVT81" s="42"/>
      <c r="GVU81" s="427"/>
      <c r="GVV81" s="22"/>
      <c r="GVW81" s="76"/>
      <c r="GVX81" s="42"/>
      <c r="GVY81" s="42"/>
      <c r="GVZ81" s="42"/>
      <c r="GWA81" s="42"/>
      <c r="GWB81" s="42"/>
      <c r="GWC81" s="43"/>
      <c r="GWD81" s="24"/>
      <c r="GWE81" s="24"/>
      <c r="GWF81" s="25"/>
      <c r="GWG81" s="23"/>
      <c r="GWH81" s="23"/>
      <c r="GWI81" s="42"/>
      <c r="GWJ81" s="427"/>
      <c r="GWK81" s="22"/>
      <c r="GWL81" s="76"/>
      <c r="GWM81" s="42"/>
      <c r="GWN81" s="42"/>
      <c r="GWO81" s="42"/>
      <c r="GWP81" s="42"/>
      <c r="GWQ81" s="42"/>
      <c r="GWR81" s="43"/>
      <c r="GWS81" s="24"/>
      <c r="GWT81" s="24"/>
      <c r="GWU81" s="25"/>
      <c r="GWV81" s="23"/>
      <c r="GWW81" s="23"/>
      <c r="GWX81" s="42"/>
      <c r="GWY81" s="427"/>
      <c r="GWZ81" s="22"/>
      <c r="GXA81" s="76"/>
      <c r="GXB81" s="42"/>
      <c r="GXC81" s="42"/>
      <c r="GXD81" s="42"/>
      <c r="GXE81" s="42"/>
      <c r="GXF81" s="42"/>
      <c r="GXG81" s="43"/>
      <c r="GXH81" s="24"/>
      <c r="GXI81" s="24"/>
      <c r="GXJ81" s="25"/>
      <c r="GXK81" s="23"/>
      <c r="GXL81" s="23"/>
      <c r="GXM81" s="42"/>
      <c r="GXN81" s="427"/>
      <c r="GXO81" s="22"/>
      <c r="GXP81" s="76"/>
      <c r="GXQ81" s="42"/>
      <c r="GXR81" s="42"/>
      <c r="GXS81" s="42"/>
      <c r="GXT81" s="42"/>
      <c r="GXU81" s="42"/>
      <c r="GXV81" s="43"/>
      <c r="GXW81" s="24"/>
      <c r="GXX81" s="24"/>
      <c r="GXY81" s="25"/>
      <c r="GXZ81" s="23"/>
      <c r="GYA81" s="23"/>
      <c r="GYB81" s="42"/>
      <c r="GYC81" s="427"/>
      <c r="GYD81" s="22"/>
      <c r="GYE81" s="76"/>
      <c r="GYF81" s="42"/>
      <c r="GYG81" s="42"/>
      <c r="GYH81" s="42"/>
      <c r="GYI81" s="42"/>
      <c r="GYJ81" s="42"/>
      <c r="GYK81" s="43"/>
      <c r="GYL81" s="24"/>
      <c r="GYM81" s="24"/>
      <c r="GYN81" s="25"/>
      <c r="GYO81" s="23"/>
      <c r="GYP81" s="23"/>
      <c r="GYQ81" s="42"/>
      <c r="GYR81" s="427"/>
      <c r="GYS81" s="22"/>
      <c r="GYT81" s="76"/>
      <c r="GYU81" s="42"/>
      <c r="GYV81" s="42"/>
      <c r="GYW81" s="42"/>
      <c r="GYX81" s="42"/>
      <c r="GYY81" s="42"/>
      <c r="GYZ81" s="43"/>
      <c r="GZA81" s="24"/>
      <c r="GZB81" s="24"/>
      <c r="GZC81" s="25"/>
      <c r="GZD81" s="23"/>
      <c r="GZE81" s="23"/>
      <c r="GZF81" s="42"/>
      <c r="GZG81" s="427"/>
      <c r="GZH81" s="22"/>
      <c r="GZI81" s="76"/>
      <c r="GZJ81" s="42"/>
      <c r="GZK81" s="42"/>
      <c r="GZL81" s="42"/>
      <c r="GZM81" s="42"/>
      <c r="GZN81" s="42"/>
      <c r="GZO81" s="43"/>
      <c r="GZP81" s="24"/>
      <c r="GZQ81" s="24"/>
      <c r="GZR81" s="25"/>
      <c r="GZS81" s="23"/>
      <c r="GZT81" s="23"/>
      <c r="GZU81" s="42"/>
      <c r="GZV81" s="427"/>
      <c r="GZW81" s="22"/>
      <c r="GZX81" s="76"/>
      <c r="GZY81" s="42"/>
      <c r="GZZ81" s="42"/>
      <c r="HAA81" s="42"/>
      <c r="HAB81" s="42"/>
      <c r="HAC81" s="42"/>
      <c r="HAD81" s="43"/>
      <c r="HAE81" s="24"/>
      <c r="HAF81" s="24"/>
      <c r="HAG81" s="25"/>
      <c r="HAH81" s="23"/>
      <c r="HAI81" s="23"/>
      <c r="HAJ81" s="42"/>
      <c r="HAK81" s="427"/>
      <c r="HAL81" s="22"/>
      <c r="HAM81" s="76"/>
      <c r="HAN81" s="42"/>
      <c r="HAO81" s="42"/>
      <c r="HAP81" s="42"/>
      <c r="HAQ81" s="42"/>
      <c r="HAR81" s="42"/>
      <c r="HAS81" s="43"/>
      <c r="HAT81" s="24"/>
      <c r="HAU81" s="24"/>
      <c r="HAV81" s="25"/>
      <c r="HAW81" s="23"/>
      <c r="HAX81" s="23"/>
      <c r="HAY81" s="42"/>
      <c r="HAZ81" s="427"/>
      <c r="HBA81" s="22"/>
      <c r="HBB81" s="76"/>
      <c r="HBC81" s="42"/>
      <c r="HBD81" s="42"/>
      <c r="HBE81" s="42"/>
      <c r="HBF81" s="42"/>
      <c r="HBG81" s="42"/>
      <c r="HBH81" s="43"/>
      <c r="HBI81" s="24"/>
      <c r="HBJ81" s="24"/>
      <c r="HBK81" s="25"/>
      <c r="HBL81" s="23"/>
      <c r="HBM81" s="23"/>
      <c r="HBN81" s="42"/>
      <c r="HBO81" s="427"/>
      <c r="HBP81" s="22"/>
      <c r="HBQ81" s="76"/>
      <c r="HBR81" s="42"/>
      <c r="HBS81" s="42"/>
      <c r="HBT81" s="42"/>
      <c r="HBU81" s="42"/>
      <c r="HBV81" s="42"/>
      <c r="HBW81" s="43"/>
      <c r="HBX81" s="24"/>
      <c r="HBY81" s="24"/>
      <c r="HBZ81" s="25"/>
      <c r="HCA81" s="23"/>
      <c r="HCB81" s="23"/>
      <c r="HCC81" s="42"/>
      <c r="HCD81" s="427"/>
      <c r="HCE81" s="22"/>
      <c r="HCF81" s="76"/>
      <c r="HCG81" s="42"/>
      <c r="HCH81" s="42"/>
      <c r="HCI81" s="42"/>
      <c r="HCJ81" s="42"/>
      <c r="HCK81" s="42"/>
      <c r="HCL81" s="43"/>
      <c r="HCM81" s="24"/>
      <c r="HCN81" s="24"/>
      <c r="HCO81" s="25"/>
      <c r="HCP81" s="23"/>
      <c r="HCQ81" s="23"/>
      <c r="HCR81" s="42"/>
      <c r="HCS81" s="427"/>
      <c r="HCT81" s="22"/>
      <c r="HCU81" s="76"/>
      <c r="HCV81" s="42"/>
      <c r="HCW81" s="42"/>
      <c r="HCX81" s="42"/>
      <c r="HCY81" s="42"/>
      <c r="HCZ81" s="42"/>
      <c r="HDA81" s="43"/>
      <c r="HDB81" s="24"/>
      <c r="HDC81" s="24"/>
      <c r="HDD81" s="25"/>
      <c r="HDE81" s="23"/>
      <c r="HDF81" s="23"/>
      <c r="HDG81" s="42"/>
      <c r="HDH81" s="427"/>
      <c r="HDI81" s="22"/>
      <c r="HDJ81" s="76"/>
      <c r="HDK81" s="42"/>
      <c r="HDL81" s="42"/>
      <c r="HDM81" s="42"/>
      <c r="HDN81" s="42"/>
      <c r="HDO81" s="42"/>
      <c r="HDP81" s="43"/>
      <c r="HDQ81" s="24"/>
      <c r="HDR81" s="24"/>
      <c r="HDS81" s="25"/>
      <c r="HDT81" s="23"/>
      <c r="HDU81" s="23"/>
      <c r="HDV81" s="42"/>
      <c r="HDW81" s="427"/>
      <c r="HDX81" s="22"/>
      <c r="HDY81" s="76"/>
      <c r="HDZ81" s="42"/>
      <c r="HEA81" s="42"/>
      <c r="HEB81" s="42"/>
      <c r="HEC81" s="42"/>
      <c r="HED81" s="42"/>
      <c r="HEE81" s="43"/>
      <c r="HEF81" s="24"/>
      <c r="HEG81" s="24"/>
      <c r="HEH81" s="25"/>
      <c r="HEI81" s="23"/>
      <c r="HEJ81" s="23"/>
      <c r="HEK81" s="42"/>
      <c r="HEL81" s="427"/>
      <c r="HEM81" s="22"/>
      <c r="HEN81" s="76"/>
      <c r="HEO81" s="42"/>
      <c r="HEP81" s="42"/>
      <c r="HEQ81" s="42"/>
      <c r="HER81" s="42"/>
      <c r="HES81" s="42"/>
      <c r="HET81" s="43"/>
      <c r="HEU81" s="24"/>
      <c r="HEV81" s="24"/>
      <c r="HEW81" s="25"/>
      <c r="HEX81" s="23"/>
      <c r="HEY81" s="23"/>
      <c r="HEZ81" s="42"/>
      <c r="HFA81" s="427"/>
      <c r="HFB81" s="22"/>
      <c r="HFC81" s="76"/>
      <c r="HFD81" s="42"/>
      <c r="HFE81" s="42"/>
      <c r="HFF81" s="42"/>
      <c r="HFG81" s="42"/>
      <c r="HFH81" s="42"/>
      <c r="HFI81" s="43"/>
      <c r="HFJ81" s="24"/>
      <c r="HFK81" s="24"/>
      <c r="HFL81" s="25"/>
      <c r="HFM81" s="23"/>
      <c r="HFN81" s="23"/>
      <c r="HFO81" s="42"/>
      <c r="HFP81" s="427"/>
      <c r="HFQ81" s="22"/>
      <c r="HFR81" s="76"/>
      <c r="HFS81" s="42"/>
      <c r="HFT81" s="42"/>
      <c r="HFU81" s="42"/>
      <c r="HFV81" s="42"/>
      <c r="HFW81" s="42"/>
      <c r="HFX81" s="43"/>
      <c r="HFY81" s="24"/>
      <c r="HFZ81" s="24"/>
      <c r="HGA81" s="25"/>
      <c r="HGB81" s="23"/>
      <c r="HGC81" s="23"/>
      <c r="HGD81" s="42"/>
      <c r="HGE81" s="427"/>
      <c r="HGF81" s="22"/>
      <c r="HGG81" s="76"/>
      <c r="HGH81" s="42"/>
      <c r="HGI81" s="42"/>
      <c r="HGJ81" s="42"/>
      <c r="HGK81" s="42"/>
      <c r="HGL81" s="42"/>
      <c r="HGM81" s="43"/>
      <c r="HGN81" s="24"/>
      <c r="HGO81" s="24"/>
      <c r="HGP81" s="25"/>
      <c r="HGQ81" s="23"/>
      <c r="HGR81" s="23"/>
      <c r="HGS81" s="42"/>
      <c r="HGT81" s="427"/>
      <c r="HGU81" s="22"/>
      <c r="HGV81" s="76"/>
      <c r="HGW81" s="42"/>
      <c r="HGX81" s="42"/>
      <c r="HGY81" s="42"/>
      <c r="HGZ81" s="42"/>
      <c r="HHA81" s="42"/>
      <c r="HHB81" s="43"/>
      <c r="HHC81" s="24"/>
      <c r="HHD81" s="24"/>
      <c r="HHE81" s="25"/>
      <c r="HHF81" s="23"/>
      <c r="HHG81" s="23"/>
      <c r="HHH81" s="42"/>
      <c r="HHI81" s="427"/>
      <c r="HHJ81" s="22"/>
      <c r="HHK81" s="76"/>
      <c r="HHL81" s="42"/>
      <c r="HHM81" s="42"/>
      <c r="HHN81" s="42"/>
      <c r="HHO81" s="42"/>
      <c r="HHP81" s="42"/>
      <c r="HHQ81" s="43"/>
      <c r="HHR81" s="24"/>
      <c r="HHS81" s="24"/>
      <c r="HHT81" s="25"/>
      <c r="HHU81" s="23"/>
      <c r="HHV81" s="23"/>
      <c r="HHW81" s="42"/>
      <c r="HHX81" s="427"/>
      <c r="HHY81" s="22"/>
      <c r="HHZ81" s="76"/>
      <c r="HIA81" s="42"/>
      <c r="HIB81" s="42"/>
      <c r="HIC81" s="42"/>
      <c r="HID81" s="42"/>
      <c r="HIE81" s="42"/>
      <c r="HIF81" s="43"/>
      <c r="HIG81" s="24"/>
      <c r="HIH81" s="24"/>
      <c r="HII81" s="25"/>
      <c r="HIJ81" s="23"/>
      <c r="HIK81" s="23"/>
      <c r="HIL81" s="42"/>
      <c r="HIM81" s="427"/>
      <c r="HIN81" s="22"/>
      <c r="HIO81" s="76"/>
      <c r="HIP81" s="42"/>
      <c r="HIQ81" s="42"/>
      <c r="HIR81" s="42"/>
      <c r="HIS81" s="42"/>
      <c r="HIT81" s="42"/>
      <c r="HIU81" s="43"/>
      <c r="HIV81" s="24"/>
      <c r="HIW81" s="24"/>
      <c r="HIX81" s="25"/>
      <c r="HIY81" s="23"/>
      <c r="HIZ81" s="23"/>
      <c r="HJA81" s="42"/>
      <c r="HJB81" s="427"/>
      <c r="HJC81" s="22"/>
      <c r="HJD81" s="76"/>
      <c r="HJE81" s="42"/>
      <c r="HJF81" s="42"/>
      <c r="HJG81" s="42"/>
      <c r="HJH81" s="42"/>
      <c r="HJI81" s="42"/>
      <c r="HJJ81" s="43"/>
      <c r="HJK81" s="24"/>
      <c r="HJL81" s="24"/>
      <c r="HJM81" s="25"/>
      <c r="HJN81" s="23"/>
      <c r="HJO81" s="23"/>
      <c r="HJP81" s="42"/>
      <c r="HJQ81" s="427"/>
      <c r="HJR81" s="22"/>
      <c r="HJS81" s="76"/>
      <c r="HJT81" s="42"/>
      <c r="HJU81" s="42"/>
      <c r="HJV81" s="42"/>
      <c r="HJW81" s="42"/>
      <c r="HJX81" s="42"/>
      <c r="HJY81" s="43"/>
      <c r="HJZ81" s="24"/>
      <c r="HKA81" s="24"/>
      <c r="HKB81" s="25"/>
      <c r="HKC81" s="23"/>
      <c r="HKD81" s="23"/>
      <c r="HKE81" s="42"/>
      <c r="HKF81" s="427"/>
      <c r="HKG81" s="22"/>
      <c r="HKH81" s="76"/>
      <c r="HKI81" s="42"/>
      <c r="HKJ81" s="42"/>
      <c r="HKK81" s="42"/>
      <c r="HKL81" s="42"/>
      <c r="HKM81" s="42"/>
      <c r="HKN81" s="43"/>
      <c r="HKO81" s="24"/>
      <c r="HKP81" s="24"/>
      <c r="HKQ81" s="25"/>
      <c r="HKR81" s="23"/>
      <c r="HKS81" s="23"/>
      <c r="HKT81" s="42"/>
      <c r="HKU81" s="427"/>
      <c r="HKV81" s="22"/>
      <c r="HKW81" s="76"/>
      <c r="HKX81" s="42"/>
      <c r="HKY81" s="42"/>
      <c r="HKZ81" s="42"/>
      <c r="HLA81" s="42"/>
      <c r="HLB81" s="42"/>
      <c r="HLC81" s="43"/>
      <c r="HLD81" s="24"/>
      <c r="HLE81" s="24"/>
      <c r="HLF81" s="25"/>
      <c r="HLG81" s="23"/>
      <c r="HLH81" s="23"/>
      <c r="HLI81" s="42"/>
      <c r="HLJ81" s="427"/>
      <c r="HLK81" s="22"/>
      <c r="HLL81" s="76"/>
      <c r="HLM81" s="42"/>
      <c r="HLN81" s="42"/>
      <c r="HLO81" s="42"/>
      <c r="HLP81" s="42"/>
      <c r="HLQ81" s="42"/>
      <c r="HLR81" s="43"/>
      <c r="HLS81" s="24"/>
      <c r="HLT81" s="24"/>
      <c r="HLU81" s="25"/>
      <c r="HLV81" s="23"/>
      <c r="HLW81" s="23"/>
      <c r="HLX81" s="42"/>
      <c r="HLY81" s="427"/>
      <c r="HLZ81" s="22"/>
      <c r="HMA81" s="76"/>
      <c r="HMB81" s="42"/>
      <c r="HMC81" s="42"/>
      <c r="HMD81" s="42"/>
      <c r="HME81" s="42"/>
      <c r="HMF81" s="42"/>
      <c r="HMG81" s="43"/>
      <c r="HMH81" s="24"/>
      <c r="HMI81" s="24"/>
      <c r="HMJ81" s="25"/>
      <c r="HMK81" s="23"/>
      <c r="HML81" s="23"/>
      <c r="HMM81" s="42"/>
      <c r="HMN81" s="427"/>
      <c r="HMO81" s="22"/>
      <c r="HMP81" s="76"/>
      <c r="HMQ81" s="42"/>
      <c r="HMR81" s="42"/>
      <c r="HMS81" s="42"/>
      <c r="HMT81" s="42"/>
      <c r="HMU81" s="42"/>
      <c r="HMV81" s="43"/>
      <c r="HMW81" s="24"/>
      <c r="HMX81" s="24"/>
      <c r="HMY81" s="25"/>
      <c r="HMZ81" s="23"/>
      <c r="HNA81" s="23"/>
      <c r="HNB81" s="42"/>
      <c r="HNC81" s="427"/>
      <c r="HND81" s="22"/>
      <c r="HNE81" s="76"/>
      <c r="HNF81" s="42"/>
      <c r="HNG81" s="42"/>
      <c r="HNH81" s="42"/>
      <c r="HNI81" s="42"/>
      <c r="HNJ81" s="42"/>
      <c r="HNK81" s="43"/>
      <c r="HNL81" s="24"/>
      <c r="HNM81" s="24"/>
      <c r="HNN81" s="25"/>
      <c r="HNO81" s="23"/>
      <c r="HNP81" s="23"/>
      <c r="HNQ81" s="42"/>
      <c r="HNR81" s="427"/>
      <c r="HNS81" s="22"/>
      <c r="HNT81" s="76"/>
      <c r="HNU81" s="42"/>
      <c r="HNV81" s="42"/>
      <c r="HNW81" s="42"/>
      <c r="HNX81" s="42"/>
      <c r="HNY81" s="42"/>
      <c r="HNZ81" s="43"/>
      <c r="HOA81" s="24"/>
      <c r="HOB81" s="24"/>
      <c r="HOC81" s="25"/>
      <c r="HOD81" s="23"/>
      <c r="HOE81" s="23"/>
      <c r="HOF81" s="42"/>
      <c r="HOG81" s="427"/>
      <c r="HOH81" s="22"/>
      <c r="HOI81" s="76"/>
      <c r="HOJ81" s="42"/>
      <c r="HOK81" s="42"/>
      <c r="HOL81" s="42"/>
      <c r="HOM81" s="42"/>
      <c r="HON81" s="42"/>
      <c r="HOO81" s="43"/>
      <c r="HOP81" s="24"/>
      <c r="HOQ81" s="24"/>
      <c r="HOR81" s="25"/>
      <c r="HOS81" s="23"/>
      <c r="HOT81" s="23"/>
      <c r="HOU81" s="42"/>
      <c r="HOV81" s="427"/>
      <c r="HOW81" s="22"/>
      <c r="HOX81" s="76"/>
      <c r="HOY81" s="42"/>
      <c r="HOZ81" s="42"/>
      <c r="HPA81" s="42"/>
      <c r="HPB81" s="42"/>
      <c r="HPC81" s="42"/>
      <c r="HPD81" s="43"/>
      <c r="HPE81" s="24"/>
      <c r="HPF81" s="24"/>
      <c r="HPG81" s="25"/>
      <c r="HPH81" s="23"/>
      <c r="HPI81" s="23"/>
      <c r="HPJ81" s="42"/>
      <c r="HPK81" s="427"/>
      <c r="HPL81" s="22"/>
      <c r="HPM81" s="76"/>
      <c r="HPN81" s="42"/>
      <c r="HPO81" s="42"/>
      <c r="HPP81" s="42"/>
      <c r="HPQ81" s="42"/>
      <c r="HPR81" s="42"/>
      <c r="HPS81" s="43"/>
      <c r="HPT81" s="24"/>
      <c r="HPU81" s="24"/>
      <c r="HPV81" s="25"/>
      <c r="HPW81" s="23"/>
      <c r="HPX81" s="23"/>
      <c r="HPY81" s="42"/>
      <c r="HPZ81" s="427"/>
      <c r="HQA81" s="22"/>
      <c r="HQB81" s="76"/>
      <c r="HQC81" s="42"/>
      <c r="HQD81" s="42"/>
      <c r="HQE81" s="42"/>
      <c r="HQF81" s="42"/>
      <c r="HQG81" s="42"/>
      <c r="HQH81" s="43"/>
      <c r="HQI81" s="24"/>
      <c r="HQJ81" s="24"/>
      <c r="HQK81" s="25"/>
      <c r="HQL81" s="23"/>
      <c r="HQM81" s="23"/>
      <c r="HQN81" s="42"/>
      <c r="HQO81" s="427"/>
      <c r="HQP81" s="22"/>
      <c r="HQQ81" s="76"/>
      <c r="HQR81" s="42"/>
      <c r="HQS81" s="42"/>
      <c r="HQT81" s="42"/>
      <c r="HQU81" s="42"/>
      <c r="HQV81" s="42"/>
      <c r="HQW81" s="43"/>
      <c r="HQX81" s="24"/>
      <c r="HQY81" s="24"/>
      <c r="HQZ81" s="25"/>
      <c r="HRA81" s="23"/>
      <c r="HRB81" s="23"/>
      <c r="HRC81" s="42"/>
      <c r="HRD81" s="427"/>
      <c r="HRE81" s="22"/>
      <c r="HRF81" s="76"/>
      <c r="HRG81" s="42"/>
      <c r="HRH81" s="42"/>
      <c r="HRI81" s="42"/>
      <c r="HRJ81" s="42"/>
      <c r="HRK81" s="42"/>
      <c r="HRL81" s="43"/>
      <c r="HRM81" s="24"/>
      <c r="HRN81" s="24"/>
      <c r="HRO81" s="25"/>
      <c r="HRP81" s="23"/>
      <c r="HRQ81" s="23"/>
      <c r="HRR81" s="42"/>
      <c r="HRS81" s="427"/>
      <c r="HRT81" s="22"/>
      <c r="HRU81" s="76"/>
      <c r="HRV81" s="42"/>
      <c r="HRW81" s="42"/>
      <c r="HRX81" s="42"/>
      <c r="HRY81" s="42"/>
      <c r="HRZ81" s="42"/>
      <c r="HSA81" s="43"/>
      <c r="HSB81" s="24"/>
      <c r="HSC81" s="24"/>
      <c r="HSD81" s="25"/>
      <c r="HSE81" s="23"/>
      <c r="HSF81" s="23"/>
      <c r="HSG81" s="42"/>
      <c r="HSH81" s="427"/>
      <c r="HSI81" s="22"/>
      <c r="HSJ81" s="76"/>
      <c r="HSK81" s="42"/>
      <c r="HSL81" s="42"/>
      <c r="HSM81" s="42"/>
      <c r="HSN81" s="42"/>
      <c r="HSO81" s="42"/>
      <c r="HSP81" s="43"/>
      <c r="HSQ81" s="24"/>
      <c r="HSR81" s="24"/>
      <c r="HSS81" s="25"/>
      <c r="HST81" s="23"/>
      <c r="HSU81" s="23"/>
      <c r="HSV81" s="42"/>
      <c r="HSW81" s="427"/>
      <c r="HSX81" s="22"/>
      <c r="HSY81" s="76"/>
      <c r="HSZ81" s="42"/>
      <c r="HTA81" s="42"/>
      <c r="HTB81" s="42"/>
      <c r="HTC81" s="42"/>
      <c r="HTD81" s="42"/>
      <c r="HTE81" s="43"/>
      <c r="HTF81" s="24"/>
      <c r="HTG81" s="24"/>
      <c r="HTH81" s="25"/>
      <c r="HTI81" s="23"/>
      <c r="HTJ81" s="23"/>
      <c r="HTK81" s="42"/>
      <c r="HTL81" s="427"/>
      <c r="HTM81" s="22"/>
      <c r="HTN81" s="76"/>
      <c r="HTO81" s="42"/>
      <c r="HTP81" s="42"/>
      <c r="HTQ81" s="42"/>
      <c r="HTR81" s="42"/>
      <c r="HTS81" s="42"/>
      <c r="HTT81" s="43"/>
      <c r="HTU81" s="24"/>
      <c r="HTV81" s="24"/>
      <c r="HTW81" s="25"/>
      <c r="HTX81" s="23"/>
      <c r="HTY81" s="23"/>
      <c r="HTZ81" s="42"/>
      <c r="HUA81" s="427"/>
      <c r="HUB81" s="22"/>
      <c r="HUC81" s="76"/>
      <c r="HUD81" s="42"/>
      <c r="HUE81" s="42"/>
      <c r="HUF81" s="42"/>
      <c r="HUG81" s="42"/>
      <c r="HUH81" s="42"/>
      <c r="HUI81" s="43"/>
      <c r="HUJ81" s="24"/>
      <c r="HUK81" s="24"/>
      <c r="HUL81" s="25"/>
      <c r="HUM81" s="23"/>
      <c r="HUN81" s="23"/>
      <c r="HUO81" s="42"/>
      <c r="HUP81" s="427"/>
      <c r="HUQ81" s="22"/>
      <c r="HUR81" s="76"/>
      <c r="HUS81" s="42"/>
      <c r="HUT81" s="42"/>
      <c r="HUU81" s="42"/>
      <c r="HUV81" s="42"/>
      <c r="HUW81" s="42"/>
      <c r="HUX81" s="43"/>
      <c r="HUY81" s="24"/>
      <c r="HUZ81" s="24"/>
      <c r="HVA81" s="25"/>
      <c r="HVB81" s="23"/>
      <c r="HVC81" s="23"/>
      <c r="HVD81" s="42"/>
      <c r="HVE81" s="427"/>
      <c r="HVF81" s="22"/>
      <c r="HVG81" s="76"/>
      <c r="HVH81" s="42"/>
      <c r="HVI81" s="42"/>
      <c r="HVJ81" s="42"/>
      <c r="HVK81" s="42"/>
      <c r="HVL81" s="42"/>
      <c r="HVM81" s="43"/>
      <c r="HVN81" s="24"/>
      <c r="HVO81" s="24"/>
      <c r="HVP81" s="25"/>
      <c r="HVQ81" s="23"/>
      <c r="HVR81" s="23"/>
      <c r="HVS81" s="42"/>
      <c r="HVT81" s="427"/>
      <c r="HVU81" s="22"/>
      <c r="HVV81" s="76"/>
      <c r="HVW81" s="42"/>
      <c r="HVX81" s="42"/>
      <c r="HVY81" s="42"/>
      <c r="HVZ81" s="42"/>
      <c r="HWA81" s="42"/>
      <c r="HWB81" s="43"/>
      <c r="HWC81" s="24"/>
      <c r="HWD81" s="24"/>
      <c r="HWE81" s="25"/>
      <c r="HWF81" s="23"/>
      <c r="HWG81" s="23"/>
      <c r="HWH81" s="42"/>
      <c r="HWI81" s="427"/>
      <c r="HWJ81" s="22"/>
      <c r="HWK81" s="76"/>
      <c r="HWL81" s="42"/>
      <c r="HWM81" s="42"/>
      <c r="HWN81" s="42"/>
      <c r="HWO81" s="42"/>
      <c r="HWP81" s="42"/>
      <c r="HWQ81" s="43"/>
      <c r="HWR81" s="24"/>
      <c r="HWS81" s="24"/>
      <c r="HWT81" s="25"/>
      <c r="HWU81" s="23"/>
      <c r="HWV81" s="23"/>
      <c r="HWW81" s="42"/>
      <c r="HWX81" s="427"/>
      <c r="HWY81" s="22"/>
      <c r="HWZ81" s="76"/>
      <c r="HXA81" s="42"/>
      <c r="HXB81" s="42"/>
      <c r="HXC81" s="42"/>
      <c r="HXD81" s="42"/>
      <c r="HXE81" s="42"/>
      <c r="HXF81" s="43"/>
      <c r="HXG81" s="24"/>
      <c r="HXH81" s="24"/>
      <c r="HXI81" s="25"/>
      <c r="HXJ81" s="23"/>
      <c r="HXK81" s="23"/>
      <c r="HXL81" s="42"/>
      <c r="HXM81" s="427"/>
      <c r="HXN81" s="22"/>
      <c r="HXO81" s="76"/>
      <c r="HXP81" s="42"/>
      <c r="HXQ81" s="42"/>
      <c r="HXR81" s="42"/>
      <c r="HXS81" s="42"/>
      <c r="HXT81" s="42"/>
      <c r="HXU81" s="43"/>
      <c r="HXV81" s="24"/>
      <c r="HXW81" s="24"/>
      <c r="HXX81" s="25"/>
      <c r="HXY81" s="23"/>
      <c r="HXZ81" s="23"/>
      <c r="HYA81" s="42"/>
      <c r="HYB81" s="427"/>
      <c r="HYC81" s="22"/>
      <c r="HYD81" s="76"/>
      <c r="HYE81" s="42"/>
      <c r="HYF81" s="42"/>
      <c r="HYG81" s="42"/>
      <c r="HYH81" s="42"/>
      <c r="HYI81" s="42"/>
      <c r="HYJ81" s="43"/>
      <c r="HYK81" s="24"/>
      <c r="HYL81" s="24"/>
      <c r="HYM81" s="25"/>
      <c r="HYN81" s="23"/>
      <c r="HYO81" s="23"/>
      <c r="HYP81" s="42"/>
      <c r="HYQ81" s="427"/>
      <c r="HYR81" s="22"/>
      <c r="HYS81" s="76"/>
      <c r="HYT81" s="42"/>
      <c r="HYU81" s="42"/>
      <c r="HYV81" s="42"/>
      <c r="HYW81" s="42"/>
      <c r="HYX81" s="42"/>
      <c r="HYY81" s="43"/>
      <c r="HYZ81" s="24"/>
      <c r="HZA81" s="24"/>
      <c r="HZB81" s="25"/>
      <c r="HZC81" s="23"/>
      <c r="HZD81" s="23"/>
      <c r="HZE81" s="42"/>
      <c r="HZF81" s="427"/>
      <c r="HZG81" s="22"/>
      <c r="HZH81" s="76"/>
      <c r="HZI81" s="42"/>
      <c r="HZJ81" s="42"/>
      <c r="HZK81" s="42"/>
      <c r="HZL81" s="42"/>
      <c r="HZM81" s="42"/>
      <c r="HZN81" s="43"/>
      <c r="HZO81" s="24"/>
      <c r="HZP81" s="24"/>
      <c r="HZQ81" s="25"/>
      <c r="HZR81" s="23"/>
      <c r="HZS81" s="23"/>
      <c r="HZT81" s="42"/>
      <c r="HZU81" s="427"/>
      <c r="HZV81" s="22"/>
      <c r="HZW81" s="76"/>
      <c r="HZX81" s="42"/>
      <c r="HZY81" s="42"/>
      <c r="HZZ81" s="42"/>
      <c r="IAA81" s="42"/>
      <c r="IAB81" s="42"/>
      <c r="IAC81" s="43"/>
      <c r="IAD81" s="24"/>
      <c r="IAE81" s="24"/>
      <c r="IAF81" s="25"/>
      <c r="IAG81" s="23"/>
      <c r="IAH81" s="23"/>
      <c r="IAI81" s="42"/>
      <c r="IAJ81" s="427"/>
      <c r="IAK81" s="22"/>
      <c r="IAL81" s="76"/>
      <c r="IAM81" s="42"/>
      <c r="IAN81" s="42"/>
      <c r="IAO81" s="42"/>
      <c r="IAP81" s="42"/>
      <c r="IAQ81" s="42"/>
      <c r="IAR81" s="43"/>
      <c r="IAS81" s="24"/>
      <c r="IAT81" s="24"/>
      <c r="IAU81" s="25"/>
      <c r="IAV81" s="23"/>
      <c r="IAW81" s="23"/>
      <c r="IAX81" s="42"/>
      <c r="IAY81" s="427"/>
      <c r="IAZ81" s="22"/>
      <c r="IBA81" s="76"/>
      <c r="IBB81" s="42"/>
      <c r="IBC81" s="42"/>
      <c r="IBD81" s="42"/>
      <c r="IBE81" s="42"/>
      <c r="IBF81" s="42"/>
      <c r="IBG81" s="43"/>
      <c r="IBH81" s="24"/>
      <c r="IBI81" s="24"/>
      <c r="IBJ81" s="25"/>
      <c r="IBK81" s="23"/>
      <c r="IBL81" s="23"/>
      <c r="IBM81" s="42"/>
      <c r="IBN81" s="427"/>
      <c r="IBO81" s="22"/>
      <c r="IBP81" s="76"/>
      <c r="IBQ81" s="42"/>
      <c r="IBR81" s="42"/>
      <c r="IBS81" s="42"/>
      <c r="IBT81" s="42"/>
      <c r="IBU81" s="42"/>
      <c r="IBV81" s="43"/>
      <c r="IBW81" s="24"/>
      <c r="IBX81" s="24"/>
      <c r="IBY81" s="25"/>
      <c r="IBZ81" s="23"/>
      <c r="ICA81" s="23"/>
      <c r="ICB81" s="42"/>
      <c r="ICC81" s="427"/>
      <c r="ICD81" s="22"/>
      <c r="ICE81" s="76"/>
      <c r="ICF81" s="42"/>
      <c r="ICG81" s="42"/>
      <c r="ICH81" s="42"/>
      <c r="ICI81" s="42"/>
      <c r="ICJ81" s="42"/>
      <c r="ICK81" s="43"/>
      <c r="ICL81" s="24"/>
      <c r="ICM81" s="24"/>
      <c r="ICN81" s="25"/>
      <c r="ICO81" s="23"/>
      <c r="ICP81" s="23"/>
      <c r="ICQ81" s="42"/>
      <c r="ICR81" s="427"/>
      <c r="ICS81" s="22"/>
      <c r="ICT81" s="76"/>
      <c r="ICU81" s="42"/>
      <c r="ICV81" s="42"/>
      <c r="ICW81" s="42"/>
      <c r="ICX81" s="42"/>
      <c r="ICY81" s="42"/>
      <c r="ICZ81" s="43"/>
      <c r="IDA81" s="24"/>
      <c r="IDB81" s="24"/>
      <c r="IDC81" s="25"/>
      <c r="IDD81" s="23"/>
      <c r="IDE81" s="23"/>
      <c r="IDF81" s="42"/>
      <c r="IDG81" s="427"/>
      <c r="IDH81" s="22"/>
      <c r="IDI81" s="76"/>
      <c r="IDJ81" s="42"/>
      <c r="IDK81" s="42"/>
      <c r="IDL81" s="42"/>
      <c r="IDM81" s="42"/>
      <c r="IDN81" s="42"/>
      <c r="IDO81" s="43"/>
      <c r="IDP81" s="24"/>
      <c r="IDQ81" s="24"/>
      <c r="IDR81" s="25"/>
      <c r="IDS81" s="23"/>
      <c r="IDT81" s="23"/>
      <c r="IDU81" s="42"/>
      <c r="IDV81" s="427"/>
      <c r="IDW81" s="22"/>
      <c r="IDX81" s="76"/>
      <c r="IDY81" s="42"/>
      <c r="IDZ81" s="42"/>
      <c r="IEA81" s="42"/>
      <c r="IEB81" s="42"/>
      <c r="IEC81" s="42"/>
      <c r="IED81" s="43"/>
      <c r="IEE81" s="24"/>
      <c r="IEF81" s="24"/>
      <c r="IEG81" s="25"/>
      <c r="IEH81" s="23"/>
      <c r="IEI81" s="23"/>
      <c r="IEJ81" s="42"/>
      <c r="IEK81" s="427"/>
      <c r="IEL81" s="22"/>
      <c r="IEM81" s="76"/>
      <c r="IEN81" s="42"/>
      <c r="IEO81" s="42"/>
      <c r="IEP81" s="42"/>
      <c r="IEQ81" s="42"/>
      <c r="IER81" s="42"/>
      <c r="IES81" s="43"/>
      <c r="IET81" s="24"/>
      <c r="IEU81" s="24"/>
      <c r="IEV81" s="25"/>
      <c r="IEW81" s="23"/>
      <c r="IEX81" s="23"/>
      <c r="IEY81" s="42"/>
      <c r="IEZ81" s="427"/>
      <c r="IFA81" s="22"/>
      <c r="IFB81" s="76"/>
      <c r="IFC81" s="42"/>
      <c r="IFD81" s="42"/>
      <c r="IFE81" s="42"/>
      <c r="IFF81" s="42"/>
      <c r="IFG81" s="42"/>
      <c r="IFH81" s="43"/>
      <c r="IFI81" s="24"/>
      <c r="IFJ81" s="24"/>
      <c r="IFK81" s="25"/>
      <c r="IFL81" s="23"/>
      <c r="IFM81" s="23"/>
      <c r="IFN81" s="42"/>
      <c r="IFO81" s="427"/>
      <c r="IFP81" s="22"/>
      <c r="IFQ81" s="76"/>
      <c r="IFR81" s="42"/>
      <c r="IFS81" s="42"/>
      <c r="IFT81" s="42"/>
      <c r="IFU81" s="42"/>
      <c r="IFV81" s="42"/>
      <c r="IFW81" s="43"/>
      <c r="IFX81" s="24"/>
      <c r="IFY81" s="24"/>
      <c r="IFZ81" s="25"/>
      <c r="IGA81" s="23"/>
      <c r="IGB81" s="23"/>
      <c r="IGC81" s="42"/>
      <c r="IGD81" s="427"/>
      <c r="IGE81" s="22"/>
      <c r="IGF81" s="76"/>
      <c r="IGG81" s="42"/>
      <c r="IGH81" s="42"/>
      <c r="IGI81" s="42"/>
      <c r="IGJ81" s="42"/>
      <c r="IGK81" s="42"/>
      <c r="IGL81" s="43"/>
      <c r="IGM81" s="24"/>
      <c r="IGN81" s="24"/>
      <c r="IGO81" s="25"/>
      <c r="IGP81" s="23"/>
      <c r="IGQ81" s="23"/>
      <c r="IGR81" s="42"/>
      <c r="IGS81" s="427"/>
      <c r="IGT81" s="22"/>
      <c r="IGU81" s="76"/>
      <c r="IGV81" s="42"/>
      <c r="IGW81" s="42"/>
      <c r="IGX81" s="42"/>
      <c r="IGY81" s="42"/>
      <c r="IGZ81" s="42"/>
      <c r="IHA81" s="43"/>
      <c r="IHB81" s="24"/>
      <c r="IHC81" s="24"/>
      <c r="IHD81" s="25"/>
      <c r="IHE81" s="23"/>
      <c r="IHF81" s="23"/>
      <c r="IHG81" s="42"/>
      <c r="IHH81" s="427"/>
      <c r="IHI81" s="22"/>
      <c r="IHJ81" s="76"/>
      <c r="IHK81" s="42"/>
      <c r="IHL81" s="42"/>
      <c r="IHM81" s="42"/>
      <c r="IHN81" s="42"/>
      <c r="IHO81" s="42"/>
      <c r="IHP81" s="43"/>
      <c r="IHQ81" s="24"/>
      <c r="IHR81" s="24"/>
      <c r="IHS81" s="25"/>
      <c r="IHT81" s="23"/>
      <c r="IHU81" s="23"/>
      <c r="IHV81" s="42"/>
      <c r="IHW81" s="427"/>
      <c r="IHX81" s="22"/>
      <c r="IHY81" s="76"/>
      <c r="IHZ81" s="42"/>
      <c r="IIA81" s="42"/>
      <c r="IIB81" s="42"/>
      <c r="IIC81" s="42"/>
      <c r="IID81" s="42"/>
      <c r="IIE81" s="43"/>
      <c r="IIF81" s="24"/>
      <c r="IIG81" s="24"/>
      <c r="IIH81" s="25"/>
      <c r="III81" s="23"/>
      <c r="IIJ81" s="23"/>
      <c r="IIK81" s="42"/>
      <c r="IIL81" s="427"/>
      <c r="IIM81" s="22"/>
      <c r="IIN81" s="76"/>
      <c r="IIO81" s="42"/>
      <c r="IIP81" s="42"/>
      <c r="IIQ81" s="42"/>
      <c r="IIR81" s="42"/>
      <c r="IIS81" s="42"/>
      <c r="IIT81" s="43"/>
      <c r="IIU81" s="24"/>
      <c r="IIV81" s="24"/>
      <c r="IIW81" s="25"/>
      <c r="IIX81" s="23"/>
      <c r="IIY81" s="23"/>
      <c r="IIZ81" s="42"/>
      <c r="IJA81" s="427"/>
      <c r="IJB81" s="22"/>
      <c r="IJC81" s="76"/>
      <c r="IJD81" s="42"/>
      <c r="IJE81" s="42"/>
      <c r="IJF81" s="42"/>
      <c r="IJG81" s="42"/>
      <c r="IJH81" s="42"/>
      <c r="IJI81" s="43"/>
      <c r="IJJ81" s="24"/>
      <c r="IJK81" s="24"/>
      <c r="IJL81" s="25"/>
      <c r="IJM81" s="23"/>
      <c r="IJN81" s="23"/>
      <c r="IJO81" s="42"/>
      <c r="IJP81" s="427"/>
      <c r="IJQ81" s="22"/>
      <c r="IJR81" s="76"/>
      <c r="IJS81" s="42"/>
      <c r="IJT81" s="42"/>
      <c r="IJU81" s="42"/>
      <c r="IJV81" s="42"/>
      <c r="IJW81" s="42"/>
      <c r="IJX81" s="43"/>
      <c r="IJY81" s="24"/>
      <c r="IJZ81" s="24"/>
      <c r="IKA81" s="25"/>
      <c r="IKB81" s="23"/>
      <c r="IKC81" s="23"/>
      <c r="IKD81" s="42"/>
      <c r="IKE81" s="427"/>
      <c r="IKF81" s="22"/>
      <c r="IKG81" s="76"/>
      <c r="IKH81" s="42"/>
      <c r="IKI81" s="42"/>
      <c r="IKJ81" s="42"/>
      <c r="IKK81" s="42"/>
      <c r="IKL81" s="42"/>
      <c r="IKM81" s="43"/>
      <c r="IKN81" s="24"/>
      <c r="IKO81" s="24"/>
      <c r="IKP81" s="25"/>
      <c r="IKQ81" s="23"/>
      <c r="IKR81" s="23"/>
      <c r="IKS81" s="42"/>
      <c r="IKT81" s="427"/>
      <c r="IKU81" s="22"/>
      <c r="IKV81" s="76"/>
      <c r="IKW81" s="42"/>
      <c r="IKX81" s="42"/>
      <c r="IKY81" s="42"/>
      <c r="IKZ81" s="42"/>
      <c r="ILA81" s="42"/>
      <c r="ILB81" s="43"/>
      <c r="ILC81" s="24"/>
      <c r="ILD81" s="24"/>
      <c r="ILE81" s="25"/>
      <c r="ILF81" s="23"/>
      <c r="ILG81" s="23"/>
      <c r="ILH81" s="42"/>
      <c r="ILI81" s="427"/>
      <c r="ILJ81" s="22"/>
      <c r="ILK81" s="76"/>
      <c r="ILL81" s="42"/>
      <c r="ILM81" s="42"/>
      <c r="ILN81" s="42"/>
      <c r="ILO81" s="42"/>
      <c r="ILP81" s="42"/>
      <c r="ILQ81" s="43"/>
      <c r="ILR81" s="24"/>
      <c r="ILS81" s="24"/>
      <c r="ILT81" s="25"/>
      <c r="ILU81" s="23"/>
      <c r="ILV81" s="23"/>
      <c r="ILW81" s="42"/>
      <c r="ILX81" s="427"/>
      <c r="ILY81" s="22"/>
      <c r="ILZ81" s="76"/>
      <c r="IMA81" s="42"/>
      <c r="IMB81" s="42"/>
      <c r="IMC81" s="42"/>
      <c r="IMD81" s="42"/>
      <c r="IME81" s="42"/>
      <c r="IMF81" s="43"/>
      <c r="IMG81" s="24"/>
      <c r="IMH81" s="24"/>
      <c r="IMI81" s="25"/>
      <c r="IMJ81" s="23"/>
      <c r="IMK81" s="23"/>
      <c r="IML81" s="42"/>
      <c r="IMM81" s="427"/>
      <c r="IMN81" s="22"/>
      <c r="IMO81" s="76"/>
      <c r="IMP81" s="42"/>
      <c r="IMQ81" s="42"/>
      <c r="IMR81" s="42"/>
      <c r="IMS81" s="42"/>
      <c r="IMT81" s="42"/>
      <c r="IMU81" s="43"/>
      <c r="IMV81" s="24"/>
      <c r="IMW81" s="24"/>
      <c r="IMX81" s="25"/>
      <c r="IMY81" s="23"/>
      <c r="IMZ81" s="23"/>
      <c r="INA81" s="42"/>
      <c r="INB81" s="427"/>
      <c r="INC81" s="22"/>
      <c r="IND81" s="76"/>
      <c r="INE81" s="42"/>
      <c r="INF81" s="42"/>
      <c r="ING81" s="42"/>
      <c r="INH81" s="42"/>
      <c r="INI81" s="42"/>
      <c r="INJ81" s="43"/>
      <c r="INK81" s="24"/>
      <c r="INL81" s="24"/>
      <c r="INM81" s="25"/>
      <c r="INN81" s="23"/>
      <c r="INO81" s="23"/>
      <c r="INP81" s="42"/>
      <c r="INQ81" s="427"/>
      <c r="INR81" s="22"/>
      <c r="INS81" s="76"/>
      <c r="INT81" s="42"/>
      <c r="INU81" s="42"/>
      <c r="INV81" s="42"/>
      <c r="INW81" s="42"/>
      <c r="INX81" s="42"/>
      <c r="INY81" s="43"/>
      <c r="INZ81" s="24"/>
      <c r="IOA81" s="24"/>
      <c r="IOB81" s="25"/>
      <c r="IOC81" s="23"/>
      <c r="IOD81" s="23"/>
      <c r="IOE81" s="42"/>
      <c r="IOF81" s="427"/>
      <c r="IOG81" s="22"/>
      <c r="IOH81" s="76"/>
      <c r="IOI81" s="42"/>
      <c r="IOJ81" s="42"/>
      <c r="IOK81" s="42"/>
      <c r="IOL81" s="42"/>
      <c r="IOM81" s="42"/>
      <c r="ION81" s="43"/>
      <c r="IOO81" s="24"/>
      <c r="IOP81" s="24"/>
      <c r="IOQ81" s="25"/>
      <c r="IOR81" s="23"/>
      <c r="IOS81" s="23"/>
      <c r="IOT81" s="42"/>
      <c r="IOU81" s="427"/>
      <c r="IOV81" s="22"/>
      <c r="IOW81" s="76"/>
      <c r="IOX81" s="42"/>
      <c r="IOY81" s="42"/>
      <c r="IOZ81" s="42"/>
      <c r="IPA81" s="42"/>
      <c r="IPB81" s="42"/>
      <c r="IPC81" s="43"/>
      <c r="IPD81" s="24"/>
      <c r="IPE81" s="24"/>
      <c r="IPF81" s="25"/>
      <c r="IPG81" s="23"/>
      <c r="IPH81" s="23"/>
      <c r="IPI81" s="42"/>
      <c r="IPJ81" s="427"/>
      <c r="IPK81" s="22"/>
      <c r="IPL81" s="76"/>
      <c r="IPM81" s="42"/>
      <c r="IPN81" s="42"/>
      <c r="IPO81" s="42"/>
      <c r="IPP81" s="42"/>
      <c r="IPQ81" s="42"/>
      <c r="IPR81" s="43"/>
      <c r="IPS81" s="24"/>
      <c r="IPT81" s="24"/>
      <c r="IPU81" s="25"/>
      <c r="IPV81" s="23"/>
      <c r="IPW81" s="23"/>
      <c r="IPX81" s="42"/>
      <c r="IPY81" s="427"/>
      <c r="IPZ81" s="22"/>
      <c r="IQA81" s="76"/>
      <c r="IQB81" s="42"/>
      <c r="IQC81" s="42"/>
      <c r="IQD81" s="42"/>
      <c r="IQE81" s="42"/>
      <c r="IQF81" s="42"/>
      <c r="IQG81" s="43"/>
      <c r="IQH81" s="24"/>
      <c r="IQI81" s="24"/>
      <c r="IQJ81" s="25"/>
      <c r="IQK81" s="23"/>
      <c r="IQL81" s="23"/>
      <c r="IQM81" s="42"/>
      <c r="IQN81" s="427"/>
      <c r="IQO81" s="22"/>
      <c r="IQP81" s="76"/>
      <c r="IQQ81" s="42"/>
      <c r="IQR81" s="42"/>
      <c r="IQS81" s="42"/>
      <c r="IQT81" s="42"/>
      <c r="IQU81" s="42"/>
      <c r="IQV81" s="43"/>
      <c r="IQW81" s="24"/>
      <c r="IQX81" s="24"/>
      <c r="IQY81" s="25"/>
      <c r="IQZ81" s="23"/>
      <c r="IRA81" s="23"/>
      <c r="IRB81" s="42"/>
      <c r="IRC81" s="427"/>
      <c r="IRD81" s="22"/>
      <c r="IRE81" s="76"/>
      <c r="IRF81" s="42"/>
      <c r="IRG81" s="42"/>
      <c r="IRH81" s="42"/>
      <c r="IRI81" s="42"/>
      <c r="IRJ81" s="42"/>
      <c r="IRK81" s="43"/>
      <c r="IRL81" s="24"/>
      <c r="IRM81" s="24"/>
      <c r="IRN81" s="25"/>
      <c r="IRO81" s="23"/>
      <c r="IRP81" s="23"/>
      <c r="IRQ81" s="42"/>
      <c r="IRR81" s="427"/>
      <c r="IRS81" s="22"/>
      <c r="IRT81" s="76"/>
      <c r="IRU81" s="42"/>
      <c r="IRV81" s="42"/>
      <c r="IRW81" s="42"/>
      <c r="IRX81" s="42"/>
      <c r="IRY81" s="42"/>
      <c r="IRZ81" s="43"/>
      <c r="ISA81" s="24"/>
      <c r="ISB81" s="24"/>
      <c r="ISC81" s="25"/>
      <c r="ISD81" s="23"/>
      <c r="ISE81" s="23"/>
      <c r="ISF81" s="42"/>
      <c r="ISG81" s="427"/>
      <c r="ISH81" s="22"/>
      <c r="ISI81" s="76"/>
      <c r="ISJ81" s="42"/>
      <c r="ISK81" s="42"/>
      <c r="ISL81" s="42"/>
      <c r="ISM81" s="42"/>
      <c r="ISN81" s="42"/>
      <c r="ISO81" s="43"/>
      <c r="ISP81" s="24"/>
      <c r="ISQ81" s="24"/>
      <c r="ISR81" s="25"/>
      <c r="ISS81" s="23"/>
      <c r="IST81" s="23"/>
      <c r="ISU81" s="42"/>
      <c r="ISV81" s="427"/>
      <c r="ISW81" s="22"/>
      <c r="ISX81" s="76"/>
      <c r="ISY81" s="42"/>
      <c r="ISZ81" s="42"/>
      <c r="ITA81" s="42"/>
      <c r="ITB81" s="42"/>
      <c r="ITC81" s="42"/>
      <c r="ITD81" s="43"/>
      <c r="ITE81" s="24"/>
      <c r="ITF81" s="24"/>
      <c r="ITG81" s="25"/>
      <c r="ITH81" s="23"/>
      <c r="ITI81" s="23"/>
      <c r="ITJ81" s="42"/>
      <c r="ITK81" s="427"/>
      <c r="ITL81" s="22"/>
      <c r="ITM81" s="76"/>
      <c r="ITN81" s="42"/>
      <c r="ITO81" s="42"/>
      <c r="ITP81" s="42"/>
      <c r="ITQ81" s="42"/>
      <c r="ITR81" s="42"/>
      <c r="ITS81" s="43"/>
      <c r="ITT81" s="24"/>
      <c r="ITU81" s="24"/>
      <c r="ITV81" s="25"/>
      <c r="ITW81" s="23"/>
      <c r="ITX81" s="23"/>
      <c r="ITY81" s="42"/>
      <c r="ITZ81" s="427"/>
      <c r="IUA81" s="22"/>
      <c r="IUB81" s="76"/>
      <c r="IUC81" s="42"/>
      <c r="IUD81" s="42"/>
      <c r="IUE81" s="42"/>
      <c r="IUF81" s="42"/>
      <c r="IUG81" s="42"/>
      <c r="IUH81" s="43"/>
      <c r="IUI81" s="24"/>
      <c r="IUJ81" s="24"/>
      <c r="IUK81" s="25"/>
      <c r="IUL81" s="23"/>
      <c r="IUM81" s="23"/>
      <c r="IUN81" s="42"/>
      <c r="IUO81" s="427"/>
      <c r="IUP81" s="22"/>
      <c r="IUQ81" s="76"/>
      <c r="IUR81" s="42"/>
      <c r="IUS81" s="42"/>
      <c r="IUT81" s="42"/>
      <c r="IUU81" s="42"/>
      <c r="IUV81" s="42"/>
      <c r="IUW81" s="43"/>
      <c r="IUX81" s="24"/>
      <c r="IUY81" s="24"/>
      <c r="IUZ81" s="25"/>
      <c r="IVA81" s="23"/>
      <c r="IVB81" s="23"/>
      <c r="IVC81" s="42"/>
      <c r="IVD81" s="427"/>
      <c r="IVE81" s="22"/>
      <c r="IVF81" s="76"/>
      <c r="IVG81" s="42"/>
      <c r="IVH81" s="42"/>
      <c r="IVI81" s="42"/>
      <c r="IVJ81" s="42"/>
      <c r="IVK81" s="42"/>
      <c r="IVL81" s="43"/>
      <c r="IVM81" s="24"/>
      <c r="IVN81" s="24"/>
      <c r="IVO81" s="25"/>
      <c r="IVP81" s="23"/>
      <c r="IVQ81" s="23"/>
      <c r="IVR81" s="42"/>
      <c r="IVS81" s="427"/>
      <c r="IVT81" s="22"/>
      <c r="IVU81" s="76"/>
      <c r="IVV81" s="42"/>
      <c r="IVW81" s="42"/>
      <c r="IVX81" s="42"/>
      <c r="IVY81" s="42"/>
      <c r="IVZ81" s="42"/>
      <c r="IWA81" s="43"/>
      <c r="IWB81" s="24"/>
      <c r="IWC81" s="24"/>
      <c r="IWD81" s="25"/>
      <c r="IWE81" s="23"/>
      <c r="IWF81" s="23"/>
      <c r="IWG81" s="42"/>
      <c r="IWH81" s="427"/>
      <c r="IWI81" s="22"/>
      <c r="IWJ81" s="76"/>
      <c r="IWK81" s="42"/>
      <c r="IWL81" s="42"/>
      <c r="IWM81" s="42"/>
      <c r="IWN81" s="42"/>
      <c r="IWO81" s="42"/>
      <c r="IWP81" s="43"/>
      <c r="IWQ81" s="24"/>
      <c r="IWR81" s="24"/>
      <c r="IWS81" s="25"/>
      <c r="IWT81" s="23"/>
      <c r="IWU81" s="23"/>
      <c r="IWV81" s="42"/>
      <c r="IWW81" s="427"/>
      <c r="IWX81" s="22"/>
      <c r="IWY81" s="76"/>
      <c r="IWZ81" s="42"/>
      <c r="IXA81" s="42"/>
      <c r="IXB81" s="42"/>
      <c r="IXC81" s="42"/>
      <c r="IXD81" s="42"/>
      <c r="IXE81" s="43"/>
      <c r="IXF81" s="24"/>
      <c r="IXG81" s="24"/>
      <c r="IXH81" s="25"/>
      <c r="IXI81" s="23"/>
      <c r="IXJ81" s="23"/>
      <c r="IXK81" s="42"/>
      <c r="IXL81" s="427"/>
      <c r="IXM81" s="22"/>
      <c r="IXN81" s="76"/>
      <c r="IXO81" s="42"/>
      <c r="IXP81" s="42"/>
      <c r="IXQ81" s="42"/>
      <c r="IXR81" s="42"/>
      <c r="IXS81" s="42"/>
      <c r="IXT81" s="43"/>
      <c r="IXU81" s="24"/>
      <c r="IXV81" s="24"/>
      <c r="IXW81" s="25"/>
      <c r="IXX81" s="23"/>
      <c r="IXY81" s="23"/>
      <c r="IXZ81" s="42"/>
      <c r="IYA81" s="427"/>
      <c r="IYB81" s="22"/>
      <c r="IYC81" s="76"/>
      <c r="IYD81" s="42"/>
      <c r="IYE81" s="42"/>
      <c r="IYF81" s="42"/>
      <c r="IYG81" s="42"/>
      <c r="IYH81" s="42"/>
      <c r="IYI81" s="43"/>
      <c r="IYJ81" s="24"/>
      <c r="IYK81" s="24"/>
      <c r="IYL81" s="25"/>
      <c r="IYM81" s="23"/>
      <c r="IYN81" s="23"/>
      <c r="IYO81" s="42"/>
      <c r="IYP81" s="427"/>
      <c r="IYQ81" s="22"/>
      <c r="IYR81" s="76"/>
      <c r="IYS81" s="42"/>
      <c r="IYT81" s="42"/>
      <c r="IYU81" s="42"/>
      <c r="IYV81" s="42"/>
      <c r="IYW81" s="42"/>
      <c r="IYX81" s="43"/>
      <c r="IYY81" s="24"/>
      <c r="IYZ81" s="24"/>
      <c r="IZA81" s="25"/>
      <c r="IZB81" s="23"/>
      <c r="IZC81" s="23"/>
      <c r="IZD81" s="42"/>
      <c r="IZE81" s="427"/>
      <c r="IZF81" s="22"/>
      <c r="IZG81" s="76"/>
      <c r="IZH81" s="42"/>
      <c r="IZI81" s="42"/>
      <c r="IZJ81" s="42"/>
      <c r="IZK81" s="42"/>
      <c r="IZL81" s="42"/>
      <c r="IZM81" s="43"/>
      <c r="IZN81" s="24"/>
      <c r="IZO81" s="24"/>
      <c r="IZP81" s="25"/>
      <c r="IZQ81" s="23"/>
      <c r="IZR81" s="23"/>
      <c r="IZS81" s="42"/>
      <c r="IZT81" s="427"/>
      <c r="IZU81" s="22"/>
      <c r="IZV81" s="76"/>
      <c r="IZW81" s="42"/>
      <c r="IZX81" s="42"/>
      <c r="IZY81" s="42"/>
      <c r="IZZ81" s="42"/>
      <c r="JAA81" s="42"/>
      <c r="JAB81" s="43"/>
      <c r="JAC81" s="24"/>
      <c r="JAD81" s="24"/>
      <c r="JAE81" s="25"/>
      <c r="JAF81" s="23"/>
      <c r="JAG81" s="23"/>
      <c r="JAH81" s="42"/>
      <c r="JAI81" s="427"/>
      <c r="JAJ81" s="22"/>
      <c r="JAK81" s="76"/>
      <c r="JAL81" s="42"/>
      <c r="JAM81" s="42"/>
      <c r="JAN81" s="42"/>
      <c r="JAO81" s="42"/>
      <c r="JAP81" s="42"/>
      <c r="JAQ81" s="43"/>
      <c r="JAR81" s="24"/>
      <c r="JAS81" s="24"/>
      <c r="JAT81" s="25"/>
      <c r="JAU81" s="23"/>
      <c r="JAV81" s="23"/>
      <c r="JAW81" s="42"/>
      <c r="JAX81" s="427"/>
      <c r="JAY81" s="22"/>
      <c r="JAZ81" s="76"/>
      <c r="JBA81" s="42"/>
      <c r="JBB81" s="42"/>
      <c r="JBC81" s="42"/>
      <c r="JBD81" s="42"/>
      <c r="JBE81" s="42"/>
      <c r="JBF81" s="43"/>
      <c r="JBG81" s="24"/>
      <c r="JBH81" s="24"/>
      <c r="JBI81" s="25"/>
      <c r="JBJ81" s="23"/>
      <c r="JBK81" s="23"/>
      <c r="JBL81" s="42"/>
      <c r="JBM81" s="427"/>
      <c r="JBN81" s="22"/>
      <c r="JBO81" s="76"/>
      <c r="JBP81" s="42"/>
      <c r="JBQ81" s="42"/>
      <c r="JBR81" s="42"/>
      <c r="JBS81" s="42"/>
      <c r="JBT81" s="42"/>
      <c r="JBU81" s="43"/>
      <c r="JBV81" s="24"/>
      <c r="JBW81" s="24"/>
      <c r="JBX81" s="25"/>
      <c r="JBY81" s="23"/>
      <c r="JBZ81" s="23"/>
      <c r="JCA81" s="42"/>
      <c r="JCB81" s="427"/>
      <c r="JCC81" s="22"/>
      <c r="JCD81" s="76"/>
      <c r="JCE81" s="42"/>
      <c r="JCF81" s="42"/>
      <c r="JCG81" s="42"/>
      <c r="JCH81" s="42"/>
      <c r="JCI81" s="42"/>
      <c r="JCJ81" s="43"/>
      <c r="JCK81" s="24"/>
      <c r="JCL81" s="24"/>
      <c r="JCM81" s="25"/>
      <c r="JCN81" s="23"/>
      <c r="JCO81" s="23"/>
      <c r="JCP81" s="42"/>
      <c r="JCQ81" s="427"/>
      <c r="JCR81" s="22"/>
      <c r="JCS81" s="76"/>
      <c r="JCT81" s="42"/>
      <c r="JCU81" s="42"/>
      <c r="JCV81" s="42"/>
      <c r="JCW81" s="42"/>
      <c r="JCX81" s="42"/>
      <c r="JCY81" s="43"/>
      <c r="JCZ81" s="24"/>
      <c r="JDA81" s="24"/>
      <c r="JDB81" s="25"/>
      <c r="JDC81" s="23"/>
      <c r="JDD81" s="23"/>
      <c r="JDE81" s="42"/>
      <c r="JDF81" s="427"/>
      <c r="JDG81" s="22"/>
      <c r="JDH81" s="76"/>
      <c r="JDI81" s="42"/>
      <c r="JDJ81" s="42"/>
      <c r="JDK81" s="42"/>
      <c r="JDL81" s="42"/>
      <c r="JDM81" s="42"/>
      <c r="JDN81" s="43"/>
      <c r="JDO81" s="24"/>
      <c r="JDP81" s="24"/>
      <c r="JDQ81" s="25"/>
      <c r="JDR81" s="23"/>
      <c r="JDS81" s="23"/>
      <c r="JDT81" s="42"/>
      <c r="JDU81" s="427"/>
      <c r="JDV81" s="22"/>
      <c r="JDW81" s="76"/>
      <c r="JDX81" s="42"/>
      <c r="JDY81" s="42"/>
      <c r="JDZ81" s="42"/>
      <c r="JEA81" s="42"/>
      <c r="JEB81" s="42"/>
      <c r="JEC81" s="43"/>
      <c r="JED81" s="24"/>
      <c r="JEE81" s="24"/>
      <c r="JEF81" s="25"/>
      <c r="JEG81" s="23"/>
      <c r="JEH81" s="23"/>
      <c r="JEI81" s="42"/>
      <c r="JEJ81" s="427"/>
      <c r="JEK81" s="22"/>
      <c r="JEL81" s="76"/>
      <c r="JEM81" s="42"/>
      <c r="JEN81" s="42"/>
      <c r="JEO81" s="42"/>
      <c r="JEP81" s="42"/>
      <c r="JEQ81" s="42"/>
      <c r="JER81" s="43"/>
      <c r="JES81" s="24"/>
      <c r="JET81" s="24"/>
      <c r="JEU81" s="25"/>
      <c r="JEV81" s="23"/>
      <c r="JEW81" s="23"/>
      <c r="JEX81" s="42"/>
      <c r="JEY81" s="427"/>
      <c r="JEZ81" s="22"/>
      <c r="JFA81" s="76"/>
      <c r="JFB81" s="42"/>
      <c r="JFC81" s="42"/>
      <c r="JFD81" s="42"/>
      <c r="JFE81" s="42"/>
      <c r="JFF81" s="42"/>
      <c r="JFG81" s="43"/>
      <c r="JFH81" s="24"/>
      <c r="JFI81" s="24"/>
      <c r="JFJ81" s="25"/>
      <c r="JFK81" s="23"/>
      <c r="JFL81" s="23"/>
      <c r="JFM81" s="42"/>
      <c r="JFN81" s="427"/>
      <c r="JFO81" s="22"/>
      <c r="JFP81" s="76"/>
      <c r="JFQ81" s="42"/>
      <c r="JFR81" s="42"/>
      <c r="JFS81" s="42"/>
      <c r="JFT81" s="42"/>
      <c r="JFU81" s="42"/>
      <c r="JFV81" s="43"/>
      <c r="JFW81" s="24"/>
      <c r="JFX81" s="24"/>
      <c r="JFY81" s="25"/>
      <c r="JFZ81" s="23"/>
      <c r="JGA81" s="23"/>
      <c r="JGB81" s="42"/>
      <c r="JGC81" s="427"/>
      <c r="JGD81" s="22"/>
      <c r="JGE81" s="76"/>
      <c r="JGF81" s="42"/>
      <c r="JGG81" s="42"/>
      <c r="JGH81" s="42"/>
      <c r="JGI81" s="42"/>
      <c r="JGJ81" s="42"/>
      <c r="JGK81" s="43"/>
      <c r="JGL81" s="24"/>
      <c r="JGM81" s="24"/>
      <c r="JGN81" s="25"/>
      <c r="JGO81" s="23"/>
      <c r="JGP81" s="23"/>
      <c r="JGQ81" s="42"/>
      <c r="JGR81" s="427"/>
      <c r="JGS81" s="22"/>
      <c r="JGT81" s="76"/>
      <c r="JGU81" s="42"/>
      <c r="JGV81" s="42"/>
      <c r="JGW81" s="42"/>
      <c r="JGX81" s="42"/>
      <c r="JGY81" s="42"/>
      <c r="JGZ81" s="43"/>
      <c r="JHA81" s="24"/>
      <c r="JHB81" s="24"/>
      <c r="JHC81" s="25"/>
      <c r="JHD81" s="23"/>
      <c r="JHE81" s="23"/>
      <c r="JHF81" s="42"/>
      <c r="JHG81" s="427"/>
      <c r="JHH81" s="22"/>
      <c r="JHI81" s="76"/>
      <c r="JHJ81" s="42"/>
      <c r="JHK81" s="42"/>
      <c r="JHL81" s="42"/>
      <c r="JHM81" s="42"/>
      <c r="JHN81" s="42"/>
      <c r="JHO81" s="43"/>
      <c r="JHP81" s="24"/>
      <c r="JHQ81" s="24"/>
      <c r="JHR81" s="25"/>
      <c r="JHS81" s="23"/>
      <c r="JHT81" s="23"/>
      <c r="JHU81" s="42"/>
      <c r="JHV81" s="427"/>
      <c r="JHW81" s="22"/>
      <c r="JHX81" s="76"/>
      <c r="JHY81" s="42"/>
      <c r="JHZ81" s="42"/>
      <c r="JIA81" s="42"/>
      <c r="JIB81" s="42"/>
      <c r="JIC81" s="42"/>
      <c r="JID81" s="43"/>
      <c r="JIE81" s="24"/>
      <c r="JIF81" s="24"/>
      <c r="JIG81" s="25"/>
      <c r="JIH81" s="23"/>
      <c r="JII81" s="23"/>
      <c r="JIJ81" s="42"/>
      <c r="JIK81" s="427"/>
      <c r="JIL81" s="22"/>
      <c r="JIM81" s="76"/>
      <c r="JIN81" s="42"/>
      <c r="JIO81" s="42"/>
      <c r="JIP81" s="42"/>
      <c r="JIQ81" s="42"/>
      <c r="JIR81" s="42"/>
      <c r="JIS81" s="43"/>
      <c r="JIT81" s="24"/>
      <c r="JIU81" s="24"/>
      <c r="JIV81" s="25"/>
      <c r="JIW81" s="23"/>
      <c r="JIX81" s="23"/>
      <c r="JIY81" s="42"/>
      <c r="JIZ81" s="427"/>
      <c r="JJA81" s="22"/>
      <c r="JJB81" s="76"/>
      <c r="JJC81" s="42"/>
      <c r="JJD81" s="42"/>
      <c r="JJE81" s="42"/>
      <c r="JJF81" s="42"/>
      <c r="JJG81" s="42"/>
      <c r="JJH81" s="43"/>
      <c r="JJI81" s="24"/>
      <c r="JJJ81" s="24"/>
      <c r="JJK81" s="25"/>
      <c r="JJL81" s="23"/>
      <c r="JJM81" s="23"/>
      <c r="JJN81" s="42"/>
      <c r="JJO81" s="427"/>
      <c r="JJP81" s="22"/>
      <c r="JJQ81" s="76"/>
      <c r="JJR81" s="42"/>
      <c r="JJS81" s="42"/>
      <c r="JJT81" s="42"/>
      <c r="JJU81" s="42"/>
      <c r="JJV81" s="42"/>
      <c r="JJW81" s="43"/>
      <c r="JJX81" s="24"/>
      <c r="JJY81" s="24"/>
      <c r="JJZ81" s="25"/>
      <c r="JKA81" s="23"/>
      <c r="JKB81" s="23"/>
      <c r="JKC81" s="42"/>
      <c r="JKD81" s="427"/>
      <c r="JKE81" s="22"/>
      <c r="JKF81" s="76"/>
      <c r="JKG81" s="42"/>
      <c r="JKH81" s="42"/>
      <c r="JKI81" s="42"/>
      <c r="JKJ81" s="42"/>
      <c r="JKK81" s="42"/>
      <c r="JKL81" s="43"/>
      <c r="JKM81" s="24"/>
      <c r="JKN81" s="24"/>
      <c r="JKO81" s="25"/>
      <c r="JKP81" s="23"/>
      <c r="JKQ81" s="23"/>
      <c r="JKR81" s="42"/>
      <c r="JKS81" s="427"/>
      <c r="JKT81" s="22"/>
      <c r="JKU81" s="76"/>
      <c r="JKV81" s="42"/>
      <c r="JKW81" s="42"/>
      <c r="JKX81" s="42"/>
      <c r="JKY81" s="42"/>
      <c r="JKZ81" s="42"/>
      <c r="JLA81" s="43"/>
      <c r="JLB81" s="24"/>
      <c r="JLC81" s="24"/>
      <c r="JLD81" s="25"/>
      <c r="JLE81" s="23"/>
      <c r="JLF81" s="23"/>
      <c r="JLG81" s="42"/>
      <c r="JLH81" s="427"/>
      <c r="JLI81" s="22"/>
      <c r="JLJ81" s="76"/>
      <c r="JLK81" s="42"/>
      <c r="JLL81" s="42"/>
      <c r="JLM81" s="42"/>
      <c r="JLN81" s="42"/>
      <c r="JLO81" s="42"/>
      <c r="JLP81" s="43"/>
      <c r="JLQ81" s="24"/>
      <c r="JLR81" s="24"/>
      <c r="JLS81" s="25"/>
      <c r="JLT81" s="23"/>
      <c r="JLU81" s="23"/>
      <c r="JLV81" s="42"/>
      <c r="JLW81" s="427"/>
      <c r="JLX81" s="22"/>
      <c r="JLY81" s="76"/>
      <c r="JLZ81" s="42"/>
      <c r="JMA81" s="42"/>
      <c r="JMB81" s="42"/>
      <c r="JMC81" s="42"/>
      <c r="JMD81" s="42"/>
      <c r="JME81" s="43"/>
      <c r="JMF81" s="24"/>
      <c r="JMG81" s="24"/>
      <c r="JMH81" s="25"/>
      <c r="JMI81" s="23"/>
      <c r="JMJ81" s="23"/>
      <c r="JMK81" s="42"/>
      <c r="JML81" s="427"/>
      <c r="JMM81" s="22"/>
      <c r="JMN81" s="76"/>
      <c r="JMO81" s="42"/>
      <c r="JMP81" s="42"/>
      <c r="JMQ81" s="42"/>
      <c r="JMR81" s="42"/>
      <c r="JMS81" s="42"/>
      <c r="JMT81" s="43"/>
      <c r="JMU81" s="24"/>
      <c r="JMV81" s="24"/>
      <c r="JMW81" s="25"/>
      <c r="JMX81" s="23"/>
      <c r="JMY81" s="23"/>
      <c r="JMZ81" s="42"/>
      <c r="JNA81" s="427"/>
      <c r="JNB81" s="22"/>
      <c r="JNC81" s="76"/>
      <c r="JND81" s="42"/>
      <c r="JNE81" s="42"/>
      <c r="JNF81" s="42"/>
      <c r="JNG81" s="42"/>
      <c r="JNH81" s="42"/>
      <c r="JNI81" s="43"/>
      <c r="JNJ81" s="24"/>
      <c r="JNK81" s="24"/>
      <c r="JNL81" s="25"/>
      <c r="JNM81" s="23"/>
      <c r="JNN81" s="23"/>
      <c r="JNO81" s="42"/>
      <c r="JNP81" s="427"/>
      <c r="JNQ81" s="22"/>
      <c r="JNR81" s="76"/>
      <c r="JNS81" s="42"/>
      <c r="JNT81" s="42"/>
      <c r="JNU81" s="42"/>
      <c r="JNV81" s="42"/>
      <c r="JNW81" s="42"/>
      <c r="JNX81" s="43"/>
      <c r="JNY81" s="24"/>
      <c r="JNZ81" s="24"/>
      <c r="JOA81" s="25"/>
      <c r="JOB81" s="23"/>
      <c r="JOC81" s="23"/>
      <c r="JOD81" s="42"/>
      <c r="JOE81" s="427"/>
      <c r="JOF81" s="22"/>
      <c r="JOG81" s="76"/>
      <c r="JOH81" s="42"/>
      <c r="JOI81" s="42"/>
      <c r="JOJ81" s="42"/>
      <c r="JOK81" s="42"/>
      <c r="JOL81" s="42"/>
      <c r="JOM81" s="43"/>
      <c r="JON81" s="24"/>
      <c r="JOO81" s="24"/>
      <c r="JOP81" s="25"/>
      <c r="JOQ81" s="23"/>
      <c r="JOR81" s="23"/>
      <c r="JOS81" s="42"/>
      <c r="JOT81" s="427"/>
      <c r="JOU81" s="22"/>
      <c r="JOV81" s="76"/>
      <c r="JOW81" s="42"/>
      <c r="JOX81" s="42"/>
      <c r="JOY81" s="42"/>
      <c r="JOZ81" s="42"/>
      <c r="JPA81" s="42"/>
      <c r="JPB81" s="43"/>
      <c r="JPC81" s="24"/>
      <c r="JPD81" s="24"/>
      <c r="JPE81" s="25"/>
      <c r="JPF81" s="23"/>
      <c r="JPG81" s="23"/>
      <c r="JPH81" s="42"/>
      <c r="JPI81" s="427"/>
      <c r="JPJ81" s="22"/>
      <c r="JPK81" s="76"/>
      <c r="JPL81" s="42"/>
      <c r="JPM81" s="42"/>
      <c r="JPN81" s="42"/>
      <c r="JPO81" s="42"/>
      <c r="JPP81" s="42"/>
      <c r="JPQ81" s="43"/>
      <c r="JPR81" s="24"/>
      <c r="JPS81" s="24"/>
      <c r="JPT81" s="25"/>
      <c r="JPU81" s="23"/>
      <c r="JPV81" s="23"/>
      <c r="JPW81" s="42"/>
      <c r="JPX81" s="427"/>
      <c r="JPY81" s="22"/>
      <c r="JPZ81" s="76"/>
      <c r="JQA81" s="42"/>
      <c r="JQB81" s="42"/>
      <c r="JQC81" s="42"/>
      <c r="JQD81" s="42"/>
      <c r="JQE81" s="42"/>
      <c r="JQF81" s="43"/>
      <c r="JQG81" s="24"/>
      <c r="JQH81" s="24"/>
      <c r="JQI81" s="25"/>
      <c r="JQJ81" s="23"/>
      <c r="JQK81" s="23"/>
      <c r="JQL81" s="42"/>
      <c r="JQM81" s="427"/>
      <c r="JQN81" s="22"/>
      <c r="JQO81" s="76"/>
      <c r="JQP81" s="42"/>
      <c r="JQQ81" s="42"/>
      <c r="JQR81" s="42"/>
      <c r="JQS81" s="42"/>
      <c r="JQT81" s="42"/>
      <c r="JQU81" s="43"/>
      <c r="JQV81" s="24"/>
      <c r="JQW81" s="24"/>
      <c r="JQX81" s="25"/>
      <c r="JQY81" s="23"/>
      <c r="JQZ81" s="23"/>
      <c r="JRA81" s="42"/>
      <c r="JRB81" s="427"/>
      <c r="JRC81" s="22"/>
      <c r="JRD81" s="76"/>
      <c r="JRE81" s="42"/>
      <c r="JRF81" s="42"/>
      <c r="JRG81" s="42"/>
      <c r="JRH81" s="42"/>
      <c r="JRI81" s="42"/>
      <c r="JRJ81" s="43"/>
      <c r="JRK81" s="24"/>
      <c r="JRL81" s="24"/>
      <c r="JRM81" s="25"/>
      <c r="JRN81" s="23"/>
      <c r="JRO81" s="23"/>
      <c r="JRP81" s="42"/>
      <c r="JRQ81" s="427"/>
      <c r="JRR81" s="22"/>
      <c r="JRS81" s="76"/>
      <c r="JRT81" s="42"/>
      <c r="JRU81" s="42"/>
      <c r="JRV81" s="42"/>
      <c r="JRW81" s="42"/>
      <c r="JRX81" s="42"/>
      <c r="JRY81" s="43"/>
      <c r="JRZ81" s="24"/>
      <c r="JSA81" s="24"/>
      <c r="JSB81" s="25"/>
      <c r="JSC81" s="23"/>
      <c r="JSD81" s="23"/>
      <c r="JSE81" s="42"/>
      <c r="JSF81" s="427"/>
      <c r="JSG81" s="22"/>
      <c r="JSH81" s="76"/>
      <c r="JSI81" s="42"/>
      <c r="JSJ81" s="42"/>
      <c r="JSK81" s="42"/>
      <c r="JSL81" s="42"/>
      <c r="JSM81" s="42"/>
      <c r="JSN81" s="43"/>
      <c r="JSO81" s="24"/>
      <c r="JSP81" s="24"/>
      <c r="JSQ81" s="25"/>
      <c r="JSR81" s="23"/>
      <c r="JSS81" s="23"/>
      <c r="JST81" s="42"/>
      <c r="JSU81" s="427"/>
      <c r="JSV81" s="22"/>
      <c r="JSW81" s="76"/>
      <c r="JSX81" s="42"/>
      <c r="JSY81" s="42"/>
      <c r="JSZ81" s="42"/>
      <c r="JTA81" s="42"/>
      <c r="JTB81" s="42"/>
      <c r="JTC81" s="43"/>
      <c r="JTD81" s="24"/>
      <c r="JTE81" s="24"/>
      <c r="JTF81" s="25"/>
      <c r="JTG81" s="23"/>
      <c r="JTH81" s="23"/>
      <c r="JTI81" s="42"/>
      <c r="JTJ81" s="427"/>
      <c r="JTK81" s="22"/>
      <c r="JTL81" s="76"/>
      <c r="JTM81" s="42"/>
      <c r="JTN81" s="42"/>
      <c r="JTO81" s="42"/>
      <c r="JTP81" s="42"/>
      <c r="JTQ81" s="42"/>
      <c r="JTR81" s="43"/>
      <c r="JTS81" s="24"/>
      <c r="JTT81" s="24"/>
      <c r="JTU81" s="25"/>
      <c r="JTV81" s="23"/>
      <c r="JTW81" s="23"/>
      <c r="JTX81" s="42"/>
      <c r="JTY81" s="427"/>
      <c r="JTZ81" s="22"/>
      <c r="JUA81" s="76"/>
      <c r="JUB81" s="42"/>
      <c r="JUC81" s="42"/>
      <c r="JUD81" s="42"/>
      <c r="JUE81" s="42"/>
      <c r="JUF81" s="42"/>
      <c r="JUG81" s="43"/>
      <c r="JUH81" s="24"/>
      <c r="JUI81" s="24"/>
      <c r="JUJ81" s="25"/>
      <c r="JUK81" s="23"/>
      <c r="JUL81" s="23"/>
      <c r="JUM81" s="42"/>
      <c r="JUN81" s="427"/>
      <c r="JUO81" s="22"/>
      <c r="JUP81" s="76"/>
      <c r="JUQ81" s="42"/>
      <c r="JUR81" s="42"/>
      <c r="JUS81" s="42"/>
      <c r="JUT81" s="42"/>
      <c r="JUU81" s="42"/>
      <c r="JUV81" s="43"/>
      <c r="JUW81" s="24"/>
      <c r="JUX81" s="24"/>
      <c r="JUY81" s="25"/>
      <c r="JUZ81" s="23"/>
      <c r="JVA81" s="23"/>
      <c r="JVB81" s="42"/>
      <c r="JVC81" s="427"/>
      <c r="JVD81" s="22"/>
      <c r="JVE81" s="76"/>
      <c r="JVF81" s="42"/>
      <c r="JVG81" s="42"/>
      <c r="JVH81" s="42"/>
      <c r="JVI81" s="42"/>
      <c r="JVJ81" s="42"/>
      <c r="JVK81" s="43"/>
      <c r="JVL81" s="24"/>
      <c r="JVM81" s="24"/>
      <c r="JVN81" s="25"/>
      <c r="JVO81" s="23"/>
      <c r="JVP81" s="23"/>
      <c r="JVQ81" s="42"/>
      <c r="JVR81" s="427"/>
      <c r="JVS81" s="22"/>
      <c r="JVT81" s="76"/>
      <c r="JVU81" s="42"/>
      <c r="JVV81" s="42"/>
      <c r="JVW81" s="42"/>
      <c r="JVX81" s="42"/>
      <c r="JVY81" s="42"/>
      <c r="JVZ81" s="43"/>
      <c r="JWA81" s="24"/>
      <c r="JWB81" s="24"/>
      <c r="JWC81" s="25"/>
      <c r="JWD81" s="23"/>
      <c r="JWE81" s="23"/>
      <c r="JWF81" s="42"/>
      <c r="JWG81" s="427"/>
      <c r="JWH81" s="22"/>
      <c r="JWI81" s="76"/>
      <c r="JWJ81" s="42"/>
      <c r="JWK81" s="42"/>
      <c r="JWL81" s="42"/>
      <c r="JWM81" s="42"/>
      <c r="JWN81" s="42"/>
      <c r="JWO81" s="43"/>
      <c r="JWP81" s="24"/>
      <c r="JWQ81" s="24"/>
      <c r="JWR81" s="25"/>
      <c r="JWS81" s="23"/>
      <c r="JWT81" s="23"/>
      <c r="JWU81" s="42"/>
      <c r="JWV81" s="427"/>
      <c r="JWW81" s="22"/>
      <c r="JWX81" s="76"/>
      <c r="JWY81" s="42"/>
      <c r="JWZ81" s="42"/>
      <c r="JXA81" s="42"/>
      <c r="JXB81" s="42"/>
      <c r="JXC81" s="42"/>
      <c r="JXD81" s="43"/>
      <c r="JXE81" s="24"/>
      <c r="JXF81" s="24"/>
      <c r="JXG81" s="25"/>
      <c r="JXH81" s="23"/>
      <c r="JXI81" s="23"/>
      <c r="JXJ81" s="42"/>
      <c r="JXK81" s="427"/>
      <c r="JXL81" s="22"/>
      <c r="JXM81" s="76"/>
      <c r="JXN81" s="42"/>
      <c r="JXO81" s="42"/>
      <c r="JXP81" s="42"/>
      <c r="JXQ81" s="42"/>
      <c r="JXR81" s="42"/>
      <c r="JXS81" s="43"/>
      <c r="JXT81" s="24"/>
      <c r="JXU81" s="24"/>
      <c r="JXV81" s="25"/>
      <c r="JXW81" s="23"/>
      <c r="JXX81" s="23"/>
      <c r="JXY81" s="42"/>
      <c r="JXZ81" s="427"/>
      <c r="JYA81" s="22"/>
      <c r="JYB81" s="76"/>
      <c r="JYC81" s="42"/>
      <c r="JYD81" s="42"/>
      <c r="JYE81" s="42"/>
      <c r="JYF81" s="42"/>
      <c r="JYG81" s="42"/>
      <c r="JYH81" s="43"/>
      <c r="JYI81" s="24"/>
      <c r="JYJ81" s="24"/>
      <c r="JYK81" s="25"/>
      <c r="JYL81" s="23"/>
      <c r="JYM81" s="23"/>
      <c r="JYN81" s="42"/>
      <c r="JYO81" s="427"/>
      <c r="JYP81" s="22"/>
      <c r="JYQ81" s="76"/>
      <c r="JYR81" s="42"/>
      <c r="JYS81" s="42"/>
      <c r="JYT81" s="42"/>
      <c r="JYU81" s="42"/>
      <c r="JYV81" s="42"/>
      <c r="JYW81" s="43"/>
      <c r="JYX81" s="24"/>
      <c r="JYY81" s="24"/>
      <c r="JYZ81" s="25"/>
      <c r="JZA81" s="23"/>
      <c r="JZB81" s="23"/>
      <c r="JZC81" s="42"/>
      <c r="JZD81" s="427"/>
      <c r="JZE81" s="22"/>
      <c r="JZF81" s="76"/>
      <c r="JZG81" s="42"/>
      <c r="JZH81" s="42"/>
      <c r="JZI81" s="42"/>
      <c r="JZJ81" s="42"/>
      <c r="JZK81" s="42"/>
      <c r="JZL81" s="43"/>
      <c r="JZM81" s="24"/>
      <c r="JZN81" s="24"/>
      <c r="JZO81" s="25"/>
      <c r="JZP81" s="23"/>
      <c r="JZQ81" s="23"/>
      <c r="JZR81" s="42"/>
      <c r="JZS81" s="427"/>
      <c r="JZT81" s="22"/>
      <c r="JZU81" s="76"/>
      <c r="JZV81" s="42"/>
      <c r="JZW81" s="42"/>
      <c r="JZX81" s="42"/>
      <c r="JZY81" s="42"/>
      <c r="JZZ81" s="42"/>
      <c r="KAA81" s="43"/>
      <c r="KAB81" s="24"/>
      <c r="KAC81" s="24"/>
      <c r="KAD81" s="25"/>
      <c r="KAE81" s="23"/>
      <c r="KAF81" s="23"/>
      <c r="KAG81" s="42"/>
      <c r="KAH81" s="427"/>
      <c r="KAI81" s="22"/>
      <c r="KAJ81" s="76"/>
      <c r="KAK81" s="42"/>
      <c r="KAL81" s="42"/>
      <c r="KAM81" s="42"/>
      <c r="KAN81" s="42"/>
      <c r="KAO81" s="42"/>
      <c r="KAP81" s="43"/>
      <c r="KAQ81" s="24"/>
      <c r="KAR81" s="24"/>
      <c r="KAS81" s="25"/>
      <c r="KAT81" s="23"/>
      <c r="KAU81" s="23"/>
      <c r="KAV81" s="42"/>
      <c r="KAW81" s="427"/>
      <c r="KAX81" s="22"/>
      <c r="KAY81" s="76"/>
      <c r="KAZ81" s="42"/>
      <c r="KBA81" s="42"/>
      <c r="KBB81" s="42"/>
      <c r="KBC81" s="42"/>
      <c r="KBD81" s="42"/>
      <c r="KBE81" s="43"/>
      <c r="KBF81" s="24"/>
      <c r="KBG81" s="24"/>
      <c r="KBH81" s="25"/>
      <c r="KBI81" s="23"/>
      <c r="KBJ81" s="23"/>
      <c r="KBK81" s="42"/>
      <c r="KBL81" s="427"/>
      <c r="KBM81" s="22"/>
      <c r="KBN81" s="76"/>
      <c r="KBO81" s="42"/>
      <c r="KBP81" s="42"/>
      <c r="KBQ81" s="42"/>
      <c r="KBR81" s="42"/>
      <c r="KBS81" s="42"/>
      <c r="KBT81" s="43"/>
      <c r="KBU81" s="24"/>
      <c r="KBV81" s="24"/>
      <c r="KBW81" s="25"/>
      <c r="KBX81" s="23"/>
      <c r="KBY81" s="23"/>
      <c r="KBZ81" s="42"/>
      <c r="KCA81" s="427"/>
      <c r="KCB81" s="22"/>
      <c r="KCC81" s="76"/>
      <c r="KCD81" s="42"/>
      <c r="KCE81" s="42"/>
      <c r="KCF81" s="42"/>
      <c r="KCG81" s="42"/>
      <c r="KCH81" s="42"/>
      <c r="KCI81" s="43"/>
      <c r="KCJ81" s="24"/>
      <c r="KCK81" s="24"/>
      <c r="KCL81" s="25"/>
      <c r="KCM81" s="23"/>
      <c r="KCN81" s="23"/>
      <c r="KCO81" s="42"/>
      <c r="KCP81" s="427"/>
      <c r="KCQ81" s="22"/>
      <c r="KCR81" s="76"/>
      <c r="KCS81" s="42"/>
      <c r="KCT81" s="42"/>
      <c r="KCU81" s="42"/>
      <c r="KCV81" s="42"/>
      <c r="KCW81" s="42"/>
      <c r="KCX81" s="43"/>
      <c r="KCY81" s="24"/>
      <c r="KCZ81" s="24"/>
      <c r="KDA81" s="25"/>
      <c r="KDB81" s="23"/>
      <c r="KDC81" s="23"/>
      <c r="KDD81" s="42"/>
      <c r="KDE81" s="427"/>
      <c r="KDF81" s="22"/>
      <c r="KDG81" s="76"/>
      <c r="KDH81" s="42"/>
      <c r="KDI81" s="42"/>
      <c r="KDJ81" s="42"/>
      <c r="KDK81" s="42"/>
      <c r="KDL81" s="42"/>
      <c r="KDM81" s="43"/>
      <c r="KDN81" s="24"/>
      <c r="KDO81" s="24"/>
      <c r="KDP81" s="25"/>
      <c r="KDQ81" s="23"/>
      <c r="KDR81" s="23"/>
      <c r="KDS81" s="42"/>
      <c r="KDT81" s="427"/>
      <c r="KDU81" s="22"/>
      <c r="KDV81" s="76"/>
      <c r="KDW81" s="42"/>
      <c r="KDX81" s="42"/>
      <c r="KDY81" s="42"/>
      <c r="KDZ81" s="42"/>
      <c r="KEA81" s="42"/>
      <c r="KEB81" s="43"/>
      <c r="KEC81" s="24"/>
      <c r="KED81" s="24"/>
      <c r="KEE81" s="25"/>
      <c r="KEF81" s="23"/>
      <c r="KEG81" s="23"/>
      <c r="KEH81" s="42"/>
      <c r="KEI81" s="427"/>
      <c r="KEJ81" s="22"/>
      <c r="KEK81" s="76"/>
      <c r="KEL81" s="42"/>
      <c r="KEM81" s="42"/>
      <c r="KEN81" s="42"/>
      <c r="KEO81" s="42"/>
      <c r="KEP81" s="42"/>
      <c r="KEQ81" s="43"/>
      <c r="KER81" s="24"/>
      <c r="KES81" s="24"/>
      <c r="KET81" s="25"/>
      <c r="KEU81" s="23"/>
      <c r="KEV81" s="23"/>
      <c r="KEW81" s="42"/>
      <c r="KEX81" s="427"/>
      <c r="KEY81" s="22"/>
      <c r="KEZ81" s="76"/>
      <c r="KFA81" s="42"/>
      <c r="KFB81" s="42"/>
      <c r="KFC81" s="42"/>
      <c r="KFD81" s="42"/>
      <c r="KFE81" s="42"/>
      <c r="KFF81" s="43"/>
      <c r="KFG81" s="24"/>
      <c r="KFH81" s="24"/>
      <c r="KFI81" s="25"/>
      <c r="KFJ81" s="23"/>
      <c r="KFK81" s="23"/>
      <c r="KFL81" s="42"/>
      <c r="KFM81" s="427"/>
      <c r="KFN81" s="22"/>
      <c r="KFO81" s="76"/>
      <c r="KFP81" s="42"/>
      <c r="KFQ81" s="42"/>
      <c r="KFR81" s="42"/>
      <c r="KFS81" s="42"/>
      <c r="KFT81" s="42"/>
      <c r="KFU81" s="43"/>
      <c r="KFV81" s="24"/>
      <c r="KFW81" s="24"/>
      <c r="KFX81" s="25"/>
      <c r="KFY81" s="23"/>
      <c r="KFZ81" s="23"/>
      <c r="KGA81" s="42"/>
      <c r="KGB81" s="427"/>
      <c r="KGC81" s="22"/>
      <c r="KGD81" s="76"/>
      <c r="KGE81" s="42"/>
      <c r="KGF81" s="42"/>
      <c r="KGG81" s="42"/>
      <c r="KGH81" s="42"/>
      <c r="KGI81" s="42"/>
      <c r="KGJ81" s="43"/>
      <c r="KGK81" s="24"/>
      <c r="KGL81" s="24"/>
      <c r="KGM81" s="25"/>
      <c r="KGN81" s="23"/>
      <c r="KGO81" s="23"/>
      <c r="KGP81" s="42"/>
      <c r="KGQ81" s="427"/>
      <c r="KGR81" s="22"/>
      <c r="KGS81" s="76"/>
      <c r="KGT81" s="42"/>
      <c r="KGU81" s="42"/>
      <c r="KGV81" s="42"/>
      <c r="KGW81" s="42"/>
      <c r="KGX81" s="42"/>
      <c r="KGY81" s="43"/>
      <c r="KGZ81" s="24"/>
      <c r="KHA81" s="24"/>
      <c r="KHB81" s="25"/>
      <c r="KHC81" s="23"/>
      <c r="KHD81" s="23"/>
      <c r="KHE81" s="42"/>
      <c r="KHF81" s="427"/>
      <c r="KHG81" s="22"/>
      <c r="KHH81" s="76"/>
      <c r="KHI81" s="42"/>
      <c r="KHJ81" s="42"/>
      <c r="KHK81" s="42"/>
      <c r="KHL81" s="42"/>
      <c r="KHM81" s="42"/>
      <c r="KHN81" s="43"/>
      <c r="KHO81" s="24"/>
      <c r="KHP81" s="24"/>
      <c r="KHQ81" s="25"/>
      <c r="KHR81" s="23"/>
      <c r="KHS81" s="23"/>
      <c r="KHT81" s="42"/>
      <c r="KHU81" s="427"/>
      <c r="KHV81" s="22"/>
      <c r="KHW81" s="76"/>
      <c r="KHX81" s="42"/>
      <c r="KHY81" s="42"/>
      <c r="KHZ81" s="42"/>
      <c r="KIA81" s="42"/>
      <c r="KIB81" s="42"/>
      <c r="KIC81" s="43"/>
      <c r="KID81" s="24"/>
      <c r="KIE81" s="24"/>
      <c r="KIF81" s="25"/>
      <c r="KIG81" s="23"/>
      <c r="KIH81" s="23"/>
      <c r="KII81" s="42"/>
      <c r="KIJ81" s="427"/>
      <c r="KIK81" s="22"/>
      <c r="KIL81" s="76"/>
      <c r="KIM81" s="42"/>
      <c r="KIN81" s="42"/>
      <c r="KIO81" s="42"/>
      <c r="KIP81" s="42"/>
      <c r="KIQ81" s="42"/>
      <c r="KIR81" s="43"/>
      <c r="KIS81" s="24"/>
      <c r="KIT81" s="24"/>
      <c r="KIU81" s="25"/>
      <c r="KIV81" s="23"/>
      <c r="KIW81" s="23"/>
      <c r="KIX81" s="42"/>
      <c r="KIY81" s="427"/>
      <c r="KIZ81" s="22"/>
      <c r="KJA81" s="76"/>
      <c r="KJB81" s="42"/>
      <c r="KJC81" s="42"/>
      <c r="KJD81" s="42"/>
      <c r="KJE81" s="42"/>
      <c r="KJF81" s="42"/>
      <c r="KJG81" s="43"/>
      <c r="KJH81" s="24"/>
      <c r="KJI81" s="24"/>
      <c r="KJJ81" s="25"/>
      <c r="KJK81" s="23"/>
      <c r="KJL81" s="23"/>
      <c r="KJM81" s="42"/>
      <c r="KJN81" s="427"/>
      <c r="KJO81" s="22"/>
      <c r="KJP81" s="76"/>
      <c r="KJQ81" s="42"/>
      <c r="KJR81" s="42"/>
      <c r="KJS81" s="42"/>
      <c r="KJT81" s="42"/>
      <c r="KJU81" s="42"/>
      <c r="KJV81" s="43"/>
      <c r="KJW81" s="24"/>
      <c r="KJX81" s="24"/>
      <c r="KJY81" s="25"/>
      <c r="KJZ81" s="23"/>
      <c r="KKA81" s="23"/>
      <c r="KKB81" s="42"/>
      <c r="KKC81" s="427"/>
      <c r="KKD81" s="22"/>
      <c r="KKE81" s="76"/>
      <c r="KKF81" s="42"/>
      <c r="KKG81" s="42"/>
      <c r="KKH81" s="42"/>
      <c r="KKI81" s="42"/>
      <c r="KKJ81" s="42"/>
      <c r="KKK81" s="43"/>
      <c r="KKL81" s="24"/>
      <c r="KKM81" s="24"/>
      <c r="KKN81" s="25"/>
      <c r="KKO81" s="23"/>
      <c r="KKP81" s="23"/>
      <c r="KKQ81" s="42"/>
      <c r="KKR81" s="427"/>
      <c r="KKS81" s="22"/>
      <c r="KKT81" s="76"/>
      <c r="KKU81" s="42"/>
      <c r="KKV81" s="42"/>
      <c r="KKW81" s="42"/>
      <c r="KKX81" s="42"/>
      <c r="KKY81" s="42"/>
      <c r="KKZ81" s="43"/>
      <c r="KLA81" s="24"/>
      <c r="KLB81" s="24"/>
      <c r="KLC81" s="25"/>
      <c r="KLD81" s="23"/>
      <c r="KLE81" s="23"/>
      <c r="KLF81" s="42"/>
      <c r="KLG81" s="427"/>
      <c r="KLH81" s="22"/>
      <c r="KLI81" s="76"/>
      <c r="KLJ81" s="42"/>
      <c r="KLK81" s="42"/>
      <c r="KLL81" s="42"/>
      <c r="KLM81" s="42"/>
      <c r="KLN81" s="42"/>
      <c r="KLO81" s="43"/>
      <c r="KLP81" s="24"/>
      <c r="KLQ81" s="24"/>
      <c r="KLR81" s="25"/>
      <c r="KLS81" s="23"/>
      <c r="KLT81" s="23"/>
      <c r="KLU81" s="42"/>
      <c r="KLV81" s="427"/>
      <c r="KLW81" s="22"/>
      <c r="KLX81" s="76"/>
      <c r="KLY81" s="42"/>
      <c r="KLZ81" s="42"/>
      <c r="KMA81" s="42"/>
      <c r="KMB81" s="42"/>
      <c r="KMC81" s="42"/>
      <c r="KMD81" s="43"/>
      <c r="KME81" s="24"/>
      <c r="KMF81" s="24"/>
      <c r="KMG81" s="25"/>
      <c r="KMH81" s="23"/>
      <c r="KMI81" s="23"/>
      <c r="KMJ81" s="42"/>
      <c r="KMK81" s="427"/>
      <c r="KML81" s="22"/>
      <c r="KMM81" s="76"/>
      <c r="KMN81" s="42"/>
      <c r="KMO81" s="42"/>
      <c r="KMP81" s="42"/>
      <c r="KMQ81" s="42"/>
      <c r="KMR81" s="42"/>
      <c r="KMS81" s="43"/>
      <c r="KMT81" s="24"/>
      <c r="KMU81" s="24"/>
      <c r="KMV81" s="25"/>
      <c r="KMW81" s="23"/>
      <c r="KMX81" s="23"/>
      <c r="KMY81" s="42"/>
      <c r="KMZ81" s="427"/>
      <c r="KNA81" s="22"/>
      <c r="KNB81" s="76"/>
      <c r="KNC81" s="42"/>
      <c r="KND81" s="42"/>
      <c r="KNE81" s="42"/>
      <c r="KNF81" s="42"/>
      <c r="KNG81" s="42"/>
      <c r="KNH81" s="43"/>
      <c r="KNI81" s="24"/>
      <c r="KNJ81" s="24"/>
      <c r="KNK81" s="25"/>
      <c r="KNL81" s="23"/>
      <c r="KNM81" s="23"/>
      <c r="KNN81" s="42"/>
      <c r="KNO81" s="427"/>
      <c r="KNP81" s="22"/>
      <c r="KNQ81" s="76"/>
      <c r="KNR81" s="42"/>
      <c r="KNS81" s="42"/>
      <c r="KNT81" s="42"/>
      <c r="KNU81" s="42"/>
      <c r="KNV81" s="42"/>
      <c r="KNW81" s="43"/>
      <c r="KNX81" s="24"/>
      <c r="KNY81" s="24"/>
      <c r="KNZ81" s="25"/>
      <c r="KOA81" s="23"/>
      <c r="KOB81" s="23"/>
      <c r="KOC81" s="42"/>
      <c r="KOD81" s="427"/>
      <c r="KOE81" s="22"/>
      <c r="KOF81" s="76"/>
      <c r="KOG81" s="42"/>
      <c r="KOH81" s="42"/>
      <c r="KOI81" s="42"/>
      <c r="KOJ81" s="42"/>
      <c r="KOK81" s="42"/>
      <c r="KOL81" s="43"/>
      <c r="KOM81" s="24"/>
      <c r="KON81" s="24"/>
      <c r="KOO81" s="25"/>
      <c r="KOP81" s="23"/>
      <c r="KOQ81" s="23"/>
      <c r="KOR81" s="42"/>
      <c r="KOS81" s="427"/>
      <c r="KOT81" s="22"/>
      <c r="KOU81" s="76"/>
      <c r="KOV81" s="42"/>
      <c r="KOW81" s="42"/>
      <c r="KOX81" s="42"/>
      <c r="KOY81" s="42"/>
      <c r="KOZ81" s="42"/>
      <c r="KPA81" s="43"/>
      <c r="KPB81" s="24"/>
      <c r="KPC81" s="24"/>
      <c r="KPD81" s="25"/>
      <c r="KPE81" s="23"/>
      <c r="KPF81" s="23"/>
      <c r="KPG81" s="42"/>
      <c r="KPH81" s="427"/>
      <c r="KPI81" s="22"/>
      <c r="KPJ81" s="76"/>
      <c r="KPK81" s="42"/>
      <c r="KPL81" s="42"/>
      <c r="KPM81" s="42"/>
      <c r="KPN81" s="42"/>
      <c r="KPO81" s="42"/>
      <c r="KPP81" s="43"/>
      <c r="KPQ81" s="24"/>
      <c r="KPR81" s="24"/>
      <c r="KPS81" s="25"/>
      <c r="KPT81" s="23"/>
      <c r="KPU81" s="23"/>
      <c r="KPV81" s="42"/>
      <c r="KPW81" s="427"/>
      <c r="KPX81" s="22"/>
      <c r="KPY81" s="76"/>
      <c r="KPZ81" s="42"/>
      <c r="KQA81" s="42"/>
      <c r="KQB81" s="42"/>
      <c r="KQC81" s="42"/>
      <c r="KQD81" s="42"/>
      <c r="KQE81" s="43"/>
      <c r="KQF81" s="24"/>
      <c r="KQG81" s="24"/>
      <c r="KQH81" s="25"/>
      <c r="KQI81" s="23"/>
      <c r="KQJ81" s="23"/>
      <c r="KQK81" s="42"/>
      <c r="KQL81" s="427"/>
      <c r="KQM81" s="22"/>
      <c r="KQN81" s="76"/>
      <c r="KQO81" s="42"/>
      <c r="KQP81" s="42"/>
      <c r="KQQ81" s="42"/>
      <c r="KQR81" s="42"/>
      <c r="KQS81" s="42"/>
      <c r="KQT81" s="43"/>
      <c r="KQU81" s="24"/>
      <c r="KQV81" s="24"/>
      <c r="KQW81" s="25"/>
      <c r="KQX81" s="23"/>
      <c r="KQY81" s="23"/>
      <c r="KQZ81" s="42"/>
      <c r="KRA81" s="427"/>
      <c r="KRB81" s="22"/>
      <c r="KRC81" s="76"/>
      <c r="KRD81" s="42"/>
      <c r="KRE81" s="42"/>
      <c r="KRF81" s="42"/>
      <c r="KRG81" s="42"/>
      <c r="KRH81" s="42"/>
      <c r="KRI81" s="43"/>
      <c r="KRJ81" s="24"/>
      <c r="KRK81" s="24"/>
      <c r="KRL81" s="25"/>
      <c r="KRM81" s="23"/>
      <c r="KRN81" s="23"/>
      <c r="KRO81" s="42"/>
      <c r="KRP81" s="427"/>
      <c r="KRQ81" s="22"/>
      <c r="KRR81" s="76"/>
      <c r="KRS81" s="42"/>
      <c r="KRT81" s="42"/>
      <c r="KRU81" s="42"/>
      <c r="KRV81" s="42"/>
      <c r="KRW81" s="42"/>
      <c r="KRX81" s="43"/>
      <c r="KRY81" s="24"/>
      <c r="KRZ81" s="24"/>
      <c r="KSA81" s="25"/>
      <c r="KSB81" s="23"/>
      <c r="KSC81" s="23"/>
      <c r="KSD81" s="42"/>
      <c r="KSE81" s="427"/>
      <c r="KSF81" s="22"/>
      <c r="KSG81" s="76"/>
      <c r="KSH81" s="42"/>
      <c r="KSI81" s="42"/>
      <c r="KSJ81" s="42"/>
      <c r="KSK81" s="42"/>
      <c r="KSL81" s="42"/>
      <c r="KSM81" s="43"/>
      <c r="KSN81" s="24"/>
      <c r="KSO81" s="24"/>
      <c r="KSP81" s="25"/>
      <c r="KSQ81" s="23"/>
      <c r="KSR81" s="23"/>
      <c r="KSS81" s="42"/>
      <c r="KST81" s="427"/>
      <c r="KSU81" s="22"/>
      <c r="KSV81" s="76"/>
      <c r="KSW81" s="42"/>
      <c r="KSX81" s="42"/>
      <c r="KSY81" s="42"/>
      <c r="KSZ81" s="42"/>
      <c r="KTA81" s="42"/>
      <c r="KTB81" s="43"/>
      <c r="KTC81" s="24"/>
      <c r="KTD81" s="24"/>
      <c r="KTE81" s="25"/>
      <c r="KTF81" s="23"/>
      <c r="KTG81" s="23"/>
      <c r="KTH81" s="42"/>
      <c r="KTI81" s="427"/>
      <c r="KTJ81" s="22"/>
      <c r="KTK81" s="76"/>
      <c r="KTL81" s="42"/>
      <c r="KTM81" s="42"/>
      <c r="KTN81" s="42"/>
      <c r="KTO81" s="42"/>
      <c r="KTP81" s="42"/>
      <c r="KTQ81" s="43"/>
      <c r="KTR81" s="24"/>
      <c r="KTS81" s="24"/>
      <c r="KTT81" s="25"/>
      <c r="KTU81" s="23"/>
      <c r="KTV81" s="23"/>
      <c r="KTW81" s="42"/>
      <c r="KTX81" s="427"/>
      <c r="KTY81" s="22"/>
      <c r="KTZ81" s="76"/>
      <c r="KUA81" s="42"/>
      <c r="KUB81" s="42"/>
      <c r="KUC81" s="42"/>
      <c r="KUD81" s="42"/>
      <c r="KUE81" s="42"/>
      <c r="KUF81" s="43"/>
      <c r="KUG81" s="24"/>
      <c r="KUH81" s="24"/>
      <c r="KUI81" s="25"/>
      <c r="KUJ81" s="23"/>
      <c r="KUK81" s="23"/>
      <c r="KUL81" s="42"/>
      <c r="KUM81" s="427"/>
      <c r="KUN81" s="22"/>
      <c r="KUO81" s="76"/>
      <c r="KUP81" s="42"/>
      <c r="KUQ81" s="42"/>
      <c r="KUR81" s="42"/>
      <c r="KUS81" s="42"/>
      <c r="KUT81" s="42"/>
      <c r="KUU81" s="43"/>
      <c r="KUV81" s="24"/>
      <c r="KUW81" s="24"/>
      <c r="KUX81" s="25"/>
      <c r="KUY81" s="23"/>
      <c r="KUZ81" s="23"/>
      <c r="KVA81" s="42"/>
      <c r="KVB81" s="427"/>
      <c r="KVC81" s="22"/>
      <c r="KVD81" s="76"/>
      <c r="KVE81" s="42"/>
      <c r="KVF81" s="42"/>
      <c r="KVG81" s="42"/>
      <c r="KVH81" s="42"/>
      <c r="KVI81" s="42"/>
      <c r="KVJ81" s="43"/>
      <c r="KVK81" s="24"/>
      <c r="KVL81" s="24"/>
      <c r="KVM81" s="25"/>
      <c r="KVN81" s="23"/>
      <c r="KVO81" s="23"/>
      <c r="KVP81" s="42"/>
      <c r="KVQ81" s="427"/>
      <c r="KVR81" s="22"/>
      <c r="KVS81" s="76"/>
      <c r="KVT81" s="42"/>
      <c r="KVU81" s="42"/>
      <c r="KVV81" s="42"/>
      <c r="KVW81" s="42"/>
      <c r="KVX81" s="42"/>
      <c r="KVY81" s="43"/>
      <c r="KVZ81" s="24"/>
      <c r="KWA81" s="24"/>
      <c r="KWB81" s="25"/>
      <c r="KWC81" s="23"/>
      <c r="KWD81" s="23"/>
      <c r="KWE81" s="42"/>
      <c r="KWF81" s="427"/>
      <c r="KWG81" s="22"/>
      <c r="KWH81" s="76"/>
      <c r="KWI81" s="42"/>
      <c r="KWJ81" s="42"/>
      <c r="KWK81" s="42"/>
      <c r="KWL81" s="42"/>
      <c r="KWM81" s="42"/>
      <c r="KWN81" s="43"/>
      <c r="KWO81" s="24"/>
      <c r="KWP81" s="24"/>
      <c r="KWQ81" s="25"/>
      <c r="KWR81" s="23"/>
      <c r="KWS81" s="23"/>
      <c r="KWT81" s="42"/>
      <c r="KWU81" s="427"/>
      <c r="KWV81" s="22"/>
      <c r="KWW81" s="76"/>
      <c r="KWX81" s="42"/>
      <c r="KWY81" s="42"/>
      <c r="KWZ81" s="42"/>
      <c r="KXA81" s="42"/>
      <c r="KXB81" s="42"/>
      <c r="KXC81" s="43"/>
      <c r="KXD81" s="24"/>
      <c r="KXE81" s="24"/>
      <c r="KXF81" s="25"/>
      <c r="KXG81" s="23"/>
      <c r="KXH81" s="23"/>
      <c r="KXI81" s="42"/>
      <c r="KXJ81" s="427"/>
      <c r="KXK81" s="22"/>
      <c r="KXL81" s="76"/>
      <c r="KXM81" s="42"/>
      <c r="KXN81" s="42"/>
      <c r="KXO81" s="42"/>
      <c r="KXP81" s="42"/>
      <c r="KXQ81" s="42"/>
      <c r="KXR81" s="43"/>
      <c r="KXS81" s="24"/>
      <c r="KXT81" s="24"/>
      <c r="KXU81" s="25"/>
      <c r="KXV81" s="23"/>
      <c r="KXW81" s="23"/>
      <c r="KXX81" s="42"/>
      <c r="KXY81" s="427"/>
      <c r="KXZ81" s="22"/>
      <c r="KYA81" s="76"/>
      <c r="KYB81" s="42"/>
      <c r="KYC81" s="42"/>
      <c r="KYD81" s="42"/>
      <c r="KYE81" s="42"/>
      <c r="KYF81" s="42"/>
      <c r="KYG81" s="43"/>
      <c r="KYH81" s="24"/>
      <c r="KYI81" s="24"/>
      <c r="KYJ81" s="25"/>
      <c r="KYK81" s="23"/>
      <c r="KYL81" s="23"/>
      <c r="KYM81" s="42"/>
      <c r="KYN81" s="427"/>
      <c r="KYO81" s="22"/>
      <c r="KYP81" s="76"/>
      <c r="KYQ81" s="42"/>
      <c r="KYR81" s="42"/>
      <c r="KYS81" s="42"/>
      <c r="KYT81" s="42"/>
      <c r="KYU81" s="42"/>
      <c r="KYV81" s="43"/>
      <c r="KYW81" s="24"/>
      <c r="KYX81" s="24"/>
      <c r="KYY81" s="25"/>
      <c r="KYZ81" s="23"/>
      <c r="KZA81" s="23"/>
      <c r="KZB81" s="42"/>
      <c r="KZC81" s="427"/>
      <c r="KZD81" s="22"/>
      <c r="KZE81" s="76"/>
      <c r="KZF81" s="42"/>
      <c r="KZG81" s="42"/>
      <c r="KZH81" s="42"/>
      <c r="KZI81" s="42"/>
      <c r="KZJ81" s="42"/>
      <c r="KZK81" s="43"/>
      <c r="KZL81" s="24"/>
      <c r="KZM81" s="24"/>
      <c r="KZN81" s="25"/>
      <c r="KZO81" s="23"/>
      <c r="KZP81" s="23"/>
      <c r="KZQ81" s="42"/>
      <c r="KZR81" s="427"/>
      <c r="KZS81" s="22"/>
      <c r="KZT81" s="76"/>
      <c r="KZU81" s="42"/>
      <c r="KZV81" s="42"/>
      <c r="KZW81" s="42"/>
      <c r="KZX81" s="42"/>
      <c r="KZY81" s="42"/>
      <c r="KZZ81" s="43"/>
      <c r="LAA81" s="24"/>
      <c r="LAB81" s="24"/>
      <c r="LAC81" s="25"/>
      <c r="LAD81" s="23"/>
      <c r="LAE81" s="23"/>
      <c r="LAF81" s="42"/>
      <c r="LAG81" s="427"/>
      <c r="LAH81" s="22"/>
      <c r="LAI81" s="76"/>
      <c r="LAJ81" s="42"/>
      <c r="LAK81" s="42"/>
      <c r="LAL81" s="42"/>
      <c r="LAM81" s="42"/>
      <c r="LAN81" s="42"/>
      <c r="LAO81" s="43"/>
      <c r="LAP81" s="24"/>
      <c r="LAQ81" s="24"/>
      <c r="LAR81" s="25"/>
      <c r="LAS81" s="23"/>
      <c r="LAT81" s="23"/>
      <c r="LAU81" s="42"/>
      <c r="LAV81" s="427"/>
      <c r="LAW81" s="22"/>
      <c r="LAX81" s="76"/>
      <c r="LAY81" s="42"/>
      <c r="LAZ81" s="42"/>
      <c r="LBA81" s="42"/>
      <c r="LBB81" s="42"/>
      <c r="LBC81" s="42"/>
      <c r="LBD81" s="43"/>
      <c r="LBE81" s="24"/>
      <c r="LBF81" s="24"/>
      <c r="LBG81" s="25"/>
      <c r="LBH81" s="23"/>
      <c r="LBI81" s="23"/>
      <c r="LBJ81" s="42"/>
      <c r="LBK81" s="427"/>
      <c r="LBL81" s="22"/>
      <c r="LBM81" s="76"/>
      <c r="LBN81" s="42"/>
      <c r="LBO81" s="42"/>
      <c r="LBP81" s="42"/>
      <c r="LBQ81" s="42"/>
      <c r="LBR81" s="42"/>
      <c r="LBS81" s="43"/>
      <c r="LBT81" s="24"/>
      <c r="LBU81" s="24"/>
      <c r="LBV81" s="25"/>
      <c r="LBW81" s="23"/>
      <c r="LBX81" s="23"/>
      <c r="LBY81" s="42"/>
      <c r="LBZ81" s="427"/>
      <c r="LCA81" s="22"/>
      <c r="LCB81" s="76"/>
      <c r="LCC81" s="42"/>
      <c r="LCD81" s="42"/>
      <c r="LCE81" s="42"/>
      <c r="LCF81" s="42"/>
      <c r="LCG81" s="42"/>
      <c r="LCH81" s="43"/>
      <c r="LCI81" s="24"/>
      <c r="LCJ81" s="24"/>
      <c r="LCK81" s="25"/>
      <c r="LCL81" s="23"/>
      <c r="LCM81" s="23"/>
      <c r="LCN81" s="42"/>
      <c r="LCO81" s="427"/>
      <c r="LCP81" s="22"/>
      <c r="LCQ81" s="76"/>
      <c r="LCR81" s="42"/>
      <c r="LCS81" s="42"/>
      <c r="LCT81" s="42"/>
      <c r="LCU81" s="42"/>
      <c r="LCV81" s="42"/>
      <c r="LCW81" s="43"/>
      <c r="LCX81" s="24"/>
      <c r="LCY81" s="24"/>
      <c r="LCZ81" s="25"/>
      <c r="LDA81" s="23"/>
      <c r="LDB81" s="23"/>
      <c r="LDC81" s="42"/>
      <c r="LDD81" s="427"/>
      <c r="LDE81" s="22"/>
      <c r="LDF81" s="76"/>
      <c r="LDG81" s="42"/>
      <c r="LDH81" s="42"/>
      <c r="LDI81" s="42"/>
      <c r="LDJ81" s="42"/>
      <c r="LDK81" s="42"/>
      <c r="LDL81" s="43"/>
      <c r="LDM81" s="24"/>
      <c r="LDN81" s="24"/>
      <c r="LDO81" s="25"/>
      <c r="LDP81" s="23"/>
      <c r="LDQ81" s="23"/>
      <c r="LDR81" s="42"/>
      <c r="LDS81" s="427"/>
      <c r="LDT81" s="22"/>
      <c r="LDU81" s="76"/>
      <c r="LDV81" s="42"/>
      <c r="LDW81" s="42"/>
      <c r="LDX81" s="42"/>
      <c r="LDY81" s="42"/>
      <c r="LDZ81" s="42"/>
      <c r="LEA81" s="43"/>
      <c r="LEB81" s="24"/>
      <c r="LEC81" s="24"/>
      <c r="LED81" s="25"/>
      <c r="LEE81" s="23"/>
      <c r="LEF81" s="23"/>
      <c r="LEG81" s="42"/>
      <c r="LEH81" s="427"/>
      <c r="LEI81" s="22"/>
      <c r="LEJ81" s="76"/>
      <c r="LEK81" s="42"/>
      <c r="LEL81" s="42"/>
      <c r="LEM81" s="42"/>
      <c r="LEN81" s="42"/>
      <c r="LEO81" s="42"/>
      <c r="LEP81" s="43"/>
      <c r="LEQ81" s="24"/>
      <c r="LER81" s="24"/>
      <c r="LES81" s="25"/>
      <c r="LET81" s="23"/>
      <c r="LEU81" s="23"/>
      <c r="LEV81" s="42"/>
      <c r="LEW81" s="427"/>
      <c r="LEX81" s="22"/>
      <c r="LEY81" s="76"/>
      <c r="LEZ81" s="42"/>
      <c r="LFA81" s="42"/>
      <c r="LFB81" s="42"/>
      <c r="LFC81" s="42"/>
      <c r="LFD81" s="42"/>
      <c r="LFE81" s="43"/>
      <c r="LFF81" s="24"/>
      <c r="LFG81" s="24"/>
      <c r="LFH81" s="25"/>
      <c r="LFI81" s="23"/>
      <c r="LFJ81" s="23"/>
      <c r="LFK81" s="42"/>
      <c r="LFL81" s="427"/>
      <c r="LFM81" s="22"/>
      <c r="LFN81" s="76"/>
      <c r="LFO81" s="42"/>
      <c r="LFP81" s="42"/>
      <c r="LFQ81" s="42"/>
      <c r="LFR81" s="42"/>
      <c r="LFS81" s="42"/>
      <c r="LFT81" s="43"/>
      <c r="LFU81" s="24"/>
      <c r="LFV81" s="24"/>
      <c r="LFW81" s="25"/>
      <c r="LFX81" s="23"/>
      <c r="LFY81" s="23"/>
      <c r="LFZ81" s="42"/>
      <c r="LGA81" s="427"/>
      <c r="LGB81" s="22"/>
      <c r="LGC81" s="76"/>
      <c r="LGD81" s="42"/>
      <c r="LGE81" s="42"/>
      <c r="LGF81" s="42"/>
      <c r="LGG81" s="42"/>
      <c r="LGH81" s="42"/>
      <c r="LGI81" s="43"/>
      <c r="LGJ81" s="24"/>
      <c r="LGK81" s="24"/>
      <c r="LGL81" s="25"/>
      <c r="LGM81" s="23"/>
      <c r="LGN81" s="23"/>
      <c r="LGO81" s="42"/>
      <c r="LGP81" s="427"/>
      <c r="LGQ81" s="22"/>
      <c r="LGR81" s="76"/>
      <c r="LGS81" s="42"/>
      <c r="LGT81" s="42"/>
      <c r="LGU81" s="42"/>
      <c r="LGV81" s="42"/>
      <c r="LGW81" s="42"/>
      <c r="LGX81" s="43"/>
      <c r="LGY81" s="24"/>
      <c r="LGZ81" s="24"/>
      <c r="LHA81" s="25"/>
      <c r="LHB81" s="23"/>
      <c r="LHC81" s="23"/>
      <c r="LHD81" s="42"/>
      <c r="LHE81" s="427"/>
      <c r="LHF81" s="22"/>
      <c r="LHG81" s="76"/>
      <c r="LHH81" s="42"/>
      <c r="LHI81" s="42"/>
      <c r="LHJ81" s="42"/>
      <c r="LHK81" s="42"/>
      <c r="LHL81" s="42"/>
      <c r="LHM81" s="43"/>
      <c r="LHN81" s="24"/>
      <c r="LHO81" s="24"/>
      <c r="LHP81" s="25"/>
      <c r="LHQ81" s="23"/>
      <c r="LHR81" s="23"/>
      <c r="LHS81" s="42"/>
      <c r="LHT81" s="427"/>
      <c r="LHU81" s="22"/>
      <c r="LHV81" s="76"/>
      <c r="LHW81" s="42"/>
      <c r="LHX81" s="42"/>
      <c r="LHY81" s="42"/>
      <c r="LHZ81" s="42"/>
      <c r="LIA81" s="42"/>
      <c r="LIB81" s="43"/>
      <c r="LIC81" s="24"/>
      <c r="LID81" s="24"/>
      <c r="LIE81" s="25"/>
      <c r="LIF81" s="23"/>
      <c r="LIG81" s="23"/>
      <c r="LIH81" s="42"/>
      <c r="LII81" s="427"/>
      <c r="LIJ81" s="22"/>
      <c r="LIK81" s="76"/>
      <c r="LIL81" s="42"/>
      <c r="LIM81" s="42"/>
      <c r="LIN81" s="42"/>
      <c r="LIO81" s="42"/>
      <c r="LIP81" s="42"/>
      <c r="LIQ81" s="43"/>
      <c r="LIR81" s="24"/>
      <c r="LIS81" s="24"/>
      <c r="LIT81" s="25"/>
      <c r="LIU81" s="23"/>
      <c r="LIV81" s="23"/>
      <c r="LIW81" s="42"/>
      <c r="LIX81" s="427"/>
      <c r="LIY81" s="22"/>
      <c r="LIZ81" s="76"/>
      <c r="LJA81" s="42"/>
      <c r="LJB81" s="42"/>
      <c r="LJC81" s="42"/>
      <c r="LJD81" s="42"/>
      <c r="LJE81" s="42"/>
      <c r="LJF81" s="43"/>
      <c r="LJG81" s="24"/>
      <c r="LJH81" s="24"/>
      <c r="LJI81" s="25"/>
      <c r="LJJ81" s="23"/>
      <c r="LJK81" s="23"/>
      <c r="LJL81" s="42"/>
      <c r="LJM81" s="427"/>
      <c r="LJN81" s="22"/>
      <c r="LJO81" s="76"/>
      <c r="LJP81" s="42"/>
      <c r="LJQ81" s="42"/>
      <c r="LJR81" s="42"/>
      <c r="LJS81" s="42"/>
      <c r="LJT81" s="42"/>
      <c r="LJU81" s="43"/>
      <c r="LJV81" s="24"/>
      <c r="LJW81" s="24"/>
      <c r="LJX81" s="25"/>
      <c r="LJY81" s="23"/>
      <c r="LJZ81" s="23"/>
      <c r="LKA81" s="42"/>
      <c r="LKB81" s="427"/>
      <c r="LKC81" s="22"/>
      <c r="LKD81" s="76"/>
      <c r="LKE81" s="42"/>
      <c r="LKF81" s="42"/>
      <c r="LKG81" s="42"/>
      <c r="LKH81" s="42"/>
      <c r="LKI81" s="42"/>
      <c r="LKJ81" s="43"/>
      <c r="LKK81" s="24"/>
      <c r="LKL81" s="24"/>
      <c r="LKM81" s="25"/>
      <c r="LKN81" s="23"/>
      <c r="LKO81" s="23"/>
      <c r="LKP81" s="42"/>
      <c r="LKQ81" s="427"/>
      <c r="LKR81" s="22"/>
      <c r="LKS81" s="76"/>
      <c r="LKT81" s="42"/>
      <c r="LKU81" s="42"/>
      <c r="LKV81" s="42"/>
      <c r="LKW81" s="42"/>
      <c r="LKX81" s="42"/>
      <c r="LKY81" s="43"/>
      <c r="LKZ81" s="24"/>
      <c r="LLA81" s="24"/>
      <c r="LLB81" s="25"/>
      <c r="LLC81" s="23"/>
      <c r="LLD81" s="23"/>
      <c r="LLE81" s="42"/>
      <c r="LLF81" s="427"/>
      <c r="LLG81" s="22"/>
      <c r="LLH81" s="76"/>
      <c r="LLI81" s="42"/>
      <c r="LLJ81" s="42"/>
      <c r="LLK81" s="42"/>
      <c r="LLL81" s="42"/>
      <c r="LLM81" s="42"/>
      <c r="LLN81" s="43"/>
      <c r="LLO81" s="24"/>
      <c r="LLP81" s="24"/>
      <c r="LLQ81" s="25"/>
      <c r="LLR81" s="23"/>
      <c r="LLS81" s="23"/>
      <c r="LLT81" s="42"/>
      <c r="LLU81" s="427"/>
      <c r="LLV81" s="22"/>
      <c r="LLW81" s="76"/>
      <c r="LLX81" s="42"/>
      <c r="LLY81" s="42"/>
      <c r="LLZ81" s="42"/>
      <c r="LMA81" s="42"/>
      <c r="LMB81" s="42"/>
      <c r="LMC81" s="43"/>
      <c r="LMD81" s="24"/>
      <c r="LME81" s="24"/>
      <c r="LMF81" s="25"/>
      <c r="LMG81" s="23"/>
      <c r="LMH81" s="23"/>
      <c r="LMI81" s="42"/>
      <c r="LMJ81" s="427"/>
      <c r="LMK81" s="22"/>
      <c r="LML81" s="76"/>
      <c r="LMM81" s="42"/>
      <c r="LMN81" s="42"/>
      <c r="LMO81" s="42"/>
      <c r="LMP81" s="42"/>
      <c r="LMQ81" s="42"/>
      <c r="LMR81" s="43"/>
      <c r="LMS81" s="24"/>
      <c r="LMT81" s="24"/>
      <c r="LMU81" s="25"/>
      <c r="LMV81" s="23"/>
      <c r="LMW81" s="23"/>
      <c r="LMX81" s="42"/>
      <c r="LMY81" s="427"/>
      <c r="LMZ81" s="22"/>
      <c r="LNA81" s="76"/>
      <c r="LNB81" s="42"/>
      <c r="LNC81" s="42"/>
      <c r="LND81" s="42"/>
      <c r="LNE81" s="42"/>
      <c r="LNF81" s="42"/>
      <c r="LNG81" s="43"/>
      <c r="LNH81" s="24"/>
      <c r="LNI81" s="24"/>
      <c r="LNJ81" s="25"/>
      <c r="LNK81" s="23"/>
      <c r="LNL81" s="23"/>
      <c r="LNM81" s="42"/>
      <c r="LNN81" s="427"/>
      <c r="LNO81" s="22"/>
      <c r="LNP81" s="76"/>
      <c r="LNQ81" s="42"/>
      <c r="LNR81" s="42"/>
      <c r="LNS81" s="42"/>
      <c r="LNT81" s="42"/>
      <c r="LNU81" s="42"/>
      <c r="LNV81" s="43"/>
      <c r="LNW81" s="24"/>
      <c r="LNX81" s="24"/>
      <c r="LNY81" s="25"/>
      <c r="LNZ81" s="23"/>
      <c r="LOA81" s="23"/>
      <c r="LOB81" s="42"/>
      <c r="LOC81" s="427"/>
      <c r="LOD81" s="22"/>
      <c r="LOE81" s="76"/>
      <c r="LOF81" s="42"/>
      <c r="LOG81" s="42"/>
      <c r="LOH81" s="42"/>
      <c r="LOI81" s="42"/>
      <c r="LOJ81" s="42"/>
      <c r="LOK81" s="43"/>
      <c r="LOL81" s="24"/>
      <c r="LOM81" s="24"/>
      <c r="LON81" s="25"/>
      <c r="LOO81" s="23"/>
      <c r="LOP81" s="23"/>
      <c r="LOQ81" s="42"/>
      <c r="LOR81" s="427"/>
      <c r="LOS81" s="22"/>
      <c r="LOT81" s="76"/>
      <c r="LOU81" s="42"/>
      <c r="LOV81" s="42"/>
      <c r="LOW81" s="42"/>
      <c r="LOX81" s="42"/>
      <c r="LOY81" s="42"/>
      <c r="LOZ81" s="43"/>
      <c r="LPA81" s="24"/>
      <c r="LPB81" s="24"/>
      <c r="LPC81" s="25"/>
      <c r="LPD81" s="23"/>
      <c r="LPE81" s="23"/>
      <c r="LPF81" s="42"/>
      <c r="LPG81" s="427"/>
      <c r="LPH81" s="22"/>
      <c r="LPI81" s="76"/>
      <c r="LPJ81" s="42"/>
      <c r="LPK81" s="42"/>
      <c r="LPL81" s="42"/>
      <c r="LPM81" s="42"/>
      <c r="LPN81" s="42"/>
      <c r="LPO81" s="43"/>
      <c r="LPP81" s="24"/>
      <c r="LPQ81" s="24"/>
      <c r="LPR81" s="25"/>
      <c r="LPS81" s="23"/>
      <c r="LPT81" s="23"/>
      <c r="LPU81" s="42"/>
      <c r="LPV81" s="427"/>
      <c r="LPW81" s="22"/>
      <c r="LPX81" s="76"/>
      <c r="LPY81" s="42"/>
      <c r="LPZ81" s="42"/>
      <c r="LQA81" s="42"/>
      <c r="LQB81" s="42"/>
      <c r="LQC81" s="42"/>
      <c r="LQD81" s="43"/>
      <c r="LQE81" s="24"/>
      <c r="LQF81" s="24"/>
      <c r="LQG81" s="25"/>
      <c r="LQH81" s="23"/>
      <c r="LQI81" s="23"/>
      <c r="LQJ81" s="42"/>
      <c r="LQK81" s="427"/>
      <c r="LQL81" s="22"/>
      <c r="LQM81" s="76"/>
      <c r="LQN81" s="42"/>
      <c r="LQO81" s="42"/>
      <c r="LQP81" s="42"/>
      <c r="LQQ81" s="42"/>
      <c r="LQR81" s="42"/>
      <c r="LQS81" s="43"/>
      <c r="LQT81" s="24"/>
      <c r="LQU81" s="24"/>
      <c r="LQV81" s="25"/>
      <c r="LQW81" s="23"/>
      <c r="LQX81" s="23"/>
      <c r="LQY81" s="42"/>
      <c r="LQZ81" s="427"/>
      <c r="LRA81" s="22"/>
      <c r="LRB81" s="76"/>
      <c r="LRC81" s="42"/>
      <c r="LRD81" s="42"/>
      <c r="LRE81" s="42"/>
      <c r="LRF81" s="42"/>
      <c r="LRG81" s="42"/>
      <c r="LRH81" s="43"/>
      <c r="LRI81" s="24"/>
      <c r="LRJ81" s="24"/>
      <c r="LRK81" s="25"/>
      <c r="LRL81" s="23"/>
      <c r="LRM81" s="23"/>
      <c r="LRN81" s="42"/>
      <c r="LRO81" s="427"/>
      <c r="LRP81" s="22"/>
      <c r="LRQ81" s="76"/>
      <c r="LRR81" s="42"/>
      <c r="LRS81" s="42"/>
      <c r="LRT81" s="42"/>
      <c r="LRU81" s="42"/>
      <c r="LRV81" s="42"/>
      <c r="LRW81" s="43"/>
      <c r="LRX81" s="24"/>
      <c r="LRY81" s="24"/>
      <c r="LRZ81" s="25"/>
      <c r="LSA81" s="23"/>
      <c r="LSB81" s="23"/>
      <c r="LSC81" s="42"/>
      <c r="LSD81" s="427"/>
      <c r="LSE81" s="22"/>
      <c r="LSF81" s="76"/>
      <c r="LSG81" s="42"/>
      <c r="LSH81" s="42"/>
      <c r="LSI81" s="42"/>
      <c r="LSJ81" s="42"/>
      <c r="LSK81" s="42"/>
      <c r="LSL81" s="43"/>
      <c r="LSM81" s="24"/>
      <c r="LSN81" s="24"/>
      <c r="LSO81" s="25"/>
      <c r="LSP81" s="23"/>
      <c r="LSQ81" s="23"/>
      <c r="LSR81" s="42"/>
      <c r="LSS81" s="427"/>
      <c r="LST81" s="22"/>
      <c r="LSU81" s="76"/>
      <c r="LSV81" s="42"/>
      <c r="LSW81" s="42"/>
      <c r="LSX81" s="42"/>
      <c r="LSY81" s="42"/>
      <c r="LSZ81" s="42"/>
      <c r="LTA81" s="43"/>
      <c r="LTB81" s="24"/>
      <c r="LTC81" s="24"/>
      <c r="LTD81" s="25"/>
      <c r="LTE81" s="23"/>
      <c r="LTF81" s="23"/>
      <c r="LTG81" s="42"/>
      <c r="LTH81" s="427"/>
      <c r="LTI81" s="22"/>
      <c r="LTJ81" s="76"/>
      <c r="LTK81" s="42"/>
      <c r="LTL81" s="42"/>
      <c r="LTM81" s="42"/>
      <c r="LTN81" s="42"/>
      <c r="LTO81" s="42"/>
      <c r="LTP81" s="43"/>
      <c r="LTQ81" s="24"/>
      <c r="LTR81" s="24"/>
      <c r="LTS81" s="25"/>
      <c r="LTT81" s="23"/>
      <c r="LTU81" s="23"/>
      <c r="LTV81" s="42"/>
      <c r="LTW81" s="427"/>
      <c r="LTX81" s="22"/>
      <c r="LTY81" s="76"/>
      <c r="LTZ81" s="42"/>
      <c r="LUA81" s="42"/>
      <c r="LUB81" s="42"/>
      <c r="LUC81" s="42"/>
      <c r="LUD81" s="42"/>
      <c r="LUE81" s="43"/>
      <c r="LUF81" s="24"/>
      <c r="LUG81" s="24"/>
      <c r="LUH81" s="25"/>
      <c r="LUI81" s="23"/>
      <c r="LUJ81" s="23"/>
      <c r="LUK81" s="42"/>
      <c r="LUL81" s="427"/>
      <c r="LUM81" s="22"/>
      <c r="LUN81" s="76"/>
      <c r="LUO81" s="42"/>
      <c r="LUP81" s="42"/>
      <c r="LUQ81" s="42"/>
      <c r="LUR81" s="42"/>
      <c r="LUS81" s="42"/>
      <c r="LUT81" s="43"/>
      <c r="LUU81" s="24"/>
      <c r="LUV81" s="24"/>
      <c r="LUW81" s="25"/>
      <c r="LUX81" s="23"/>
      <c r="LUY81" s="23"/>
      <c r="LUZ81" s="42"/>
      <c r="LVA81" s="427"/>
      <c r="LVB81" s="22"/>
      <c r="LVC81" s="76"/>
      <c r="LVD81" s="42"/>
      <c r="LVE81" s="42"/>
      <c r="LVF81" s="42"/>
      <c r="LVG81" s="42"/>
      <c r="LVH81" s="42"/>
      <c r="LVI81" s="43"/>
      <c r="LVJ81" s="24"/>
      <c r="LVK81" s="24"/>
      <c r="LVL81" s="25"/>
      <c r="LVM81" s="23"/>
      <c r="LVN81" s="23"/>
      <c r="LVO81" s="42"/>
      <c r="LVP81" s="427"/>
      <c r="LVQ81" s="22"/>
      <c r="LVR81" s="76"/>
      <c r="LVS81" s="42"/>
      <c r="LVT81" s="42"/>
      <c r="LVU81" s="42"/>
      <c r="LVV81" s="42"/>
      <c r="LVW81" s="42"/>
      <c r="LVX81" s="43"/>
      <c r="LVY81" s="24"/>
      <c r="LVZ81" s="24"/>
      <c r="LWA81" s="25"/>
      <c r="LWB81" s="23"/>
      <c r="LWC81" s="23"/>
      <c r="LWD81" s="42"/>
      <c r="LWE81" s="427"/>
      <c r="LWF81" s="22"/>
      <c r="LWG81" s="76"/>
      <c r="LWH81" s="42"/>
      <c r="LWI81" s="42"/>
      <c r="LWJ81" s="42"/>
      <c r="LWK81" s="42"/>
      <c r="LWL81" s="42"/>
      <c r="LWM81" s="43"/>
      <c r="LWN81" s="24"/>
      <c r="LWO81" s="24"/>
      <c r="LWP81" s="25"/>
      <c r="LWQ81" s="23"/>
      <c r="LWR81" s="23"/>
      <c r="LWS81" s="42"/>
      <c r="LWT81" s="427"/>
      <c r="LWU81" s="22"/>
      <c r="LWV81" s="76"/>
      <c r="LWW81" s="42"/>
      <c r="LWX81" s="42"/>
      <c r="LWY81" s="42"/>
      <c r="LWZ81" s="42"/>
      <c r="LXA81" s="42"/>
      <c r="LXB81" s="43"/>
      <c r="LXC81" s="24"/>
      <c r="LXD81" s="24"/>
      <c r="LXE81" s="25"/>
      <c r="LXF81" s="23"/>
      <c r="LXG81" s="23"/>
      <c r="LXH81" s="42"/>
      <c r="LXI81" s="427"/>
      <c r="LXJ81" s="22"/>
      <c r="LXK81" s="76"/>
      <c r="LXL81" s="42"/>
      <c r="LXM81" s="42"/>
      <c r="LXN81" s="42"/>
      <c r="LXO81" s="42"/>
      <c r="LXP81" s="42"/>
      <c r="LXQ81" s="43"/>
      <c r="LXR81" s="24"/>
      <c r="LXS81" s="24"/>
      <c r="LXT81" s="25"/>
      <c r="LXU81" s="23"/>
      <c r="LXV81" s="23"/>
      <c r="LXW81" s="42"/>
      <c r="LXX81" s="427"/>
      <c r="LXY81" s="22"/>
      <c r="LXZ81" s="76"/>
      <c r="LYA81" s="42"/>
      <c r="LYB81" s="42"/>
      <c r="LYC81" s="42"/>
      <c r="LYD81" s="42"/>
      <c r="LYE81" s="42"/>
      <c r="LYF81" s="43"/>
      <c r="LYG81" s="24"/>
      <c r="LYH81" s="24"/>
      <c r="LYI81" s="25"/>
      <c r="LYJ81" s="23"/>
      <c r="LYK81" s="23"/>
      <c r="LYL81" s="42"/>
      <c r="LYM81" s="427"/>
      <c r="LYN81" s="22"/>
      <c r="LYO81" s="76"/>
      <c r="LYP81" s="42"/>
      <c r="LYQ81" s="42"/>
      <c r="LYR81" s="42"/>
      <c r="LYS81" s="42"/>
      <c r="LYT81" s="42"/>
      <c r="LYU81" s="43"/>
      <c r="LYV81" s="24"/>
      <c r="LYW81" s="24"/>
      <c r="LYX81" s="25"/>
      <c r="LYY81" s="23"/>
      <c r="LYZ81" s="23"/>
      <c r="LZA81" s="42"/>
      <c r="LZB81" s="427"/>
      <c r="LZC81" s="22"/>
      <c r="LZD81" s="76"/>
      <c r="LZE81" s="42"/>
      <c r="LZF81" s="42"/>
      <c r="LZG81" s="42"/>
      <c r="LZH81" s="42"/>
      <c r="LZI81" s="42"/>
      <c r="LZJ81" s="43"/>
      <c r="LZK81" s="24"/>
      <c r="LZL81" s="24"/>
      <c r="LZM81" s="25"/>
      <c r="LZN81" s="23"/>
      <c r="LZO81" s="23"/>
      <c r="LZP81" s="42"/>
      <c r="LZQ81" s="427"/>
      <c r="LZR81" s="22"/>
      <c r="LZS81" s="76"/>
      <c r="LZT81" s="42"/>
      <c r="LZU81" s="42"/>
      <c r="LZV81" s="42"/>
      <c r="LZW81" s="42"/>
      <c r="LZX81" s="42"/>
      <c r="LZY81" s="43"/>
      <c r="LZZ81" s="24"/>
      <c r="MAA81" s="24"/>
      <c r="MAB81" s="25"/>
      <c r="MAC81" s="23"/>
      <c r="MAD81" s="23"/>
      <c r="MAE81" s="42"/>
      <c r="MAF81" s="427"/>
      <c r="MAG81" s="22"/>
      <c r="MAH81" s="76"/>
      <c r="MAI81" s="42"/>
      <c r="MAJ81" s="42"/>
      <c r="MAK81" s="42"/>
      <c r="MAL81" s="42"/>
      <c r="MAM81" s="42"/>
      <c r="MAN81" s="43"/>
      <c r="MAO81" s="24"/>
      <c r="MAP81" s="24"/>
      <c r="MAQ81" s="25"/>
      <c r="MAR81" s="23"/>
      <c r="MAS81" s="23"/>
      <c r="MAT81" s="42"/>
      <c r="MAU81" s="427"/>
      <c r="MAV81" s="22"/>
      <c r="MAW81" s="76"/>
      <c r="MAX81" s="42"/>
      <c r="MAY81" s="42"/>
      <c r="MAZ81" s="42"/>
      <c r="MBA81" s="42"/>
      <c r="MBB81" s="42"/>
      <c r="MBC81" s="43"/>
      <c r="MBD81" s="24"/>
      <c r="MBE81" s="24"/>
      <c r="MBF81" s="25"/>
      <c r="MBG81" s="23"/>
      <c r="MBH81" s="23"/>
      <c r="MBI81" s="42"/>
      <c r="MBJ81" s="427"/>
      <c r="MBK81" s="22"/>
      <c r="MBL81" s="76"/>
      <c r="MBM81" s="42"/>
      <c r="MBN81" s="42"/>
      <c r="MBO81" s="42"/>
      <c r="MBP81" s="42"/>
      <c r="MBQ81" s="42"/>
      <c r="MBR81" s="43"/>
      <c r="MBS81" s="24"/>
      <c r="MBT81" s="24"/>
      <c r="MBU81" s="25"/>
      <c r="MBV81" s="23"/>
      <c r="MBW81" s="23"/>
      <c r="MBX81" s="42"/>
      <c r="MBY81" s="427"/>
      <c r="MBZ81" s="22"/>
      <c r="MCA81" s="76"/>
      <c r="MCB81" s="42"/>
      <c r="MCC81" s="42"/>
      <c r="MCD81" s="42"/>
      <c r="MCE81" s="42"/>
      <c r="MCF81" s="42"/>
      <c r="MCG81" s="43"/>
      <c r="MCH81" s="24"/>
      <c r="MCI81" s="24"/>
      <c r="MCJ81" s="25"/>
      <c r="MCK81" s="23"/>
      <c r="MCL81" s="23"/>
      <c r="MCM81" s="42"/>
      <c r="MCN81" s="427"/>
      <c r="MCO81" s="22"/>
      <c r="MCP81" s="76"/>
      <c r="MCQ81" s="42"/>
      <c r="MCR81" s="42"/>
      <c r="MCS81" s="42"/>
      <c r="MCT81" s="42"/>
      <c r="MCU81" s="42"/>
      <c r="MCV81" s="43"/>
      <c r="MCW81" s="24"/>
      <c r="MCX81" s="24"/>
      <c r="MCY81" s="25"/>
      <c r="MCZ81" s="23"/>
      <c r="MDA81" s="23"/>
      <c r="MDB81" s="42"/>
      <c r="MDC81" s="427"/>
      <c r="MDD81" s="22"/>
      <c r="MDE81" s="76"/>
      <c r="MDF81" s="42"/>
      <c r="MDG81" s="42"/>
      <c r="MDH81" s="42"/>
      <c r="MDI81" s="42"/>
      <c r="MDJ81" s="42"/>
      <c r="MDK81" s="43"/>
      <c r="MDL81" s="24"/>
      <c r="MDM81" s="24"/>
      <c r="MDN81" s="25"/>
      <c r="MDO81" s="23"/>
      <c r="MDP81" s="23"/>
      <c r="MDQ81" s="42"/>
      <c r="MDR81" s="427"/>
      <c r="MDS81" s="22"/>
      <c r="MDT81" s="76"/>
      <c r="MDU81" s="42"/>
      <c r="MDV81" s="42"/>
      <c r="MDW81" s="42"/>
      <c r="MDX81" s="42"/>
      <c r="MDY81" s="42"/>
      <c r="MDZ81" s="43"/>
      <c r="MEA81" s="24"/>
      <c r="MEB81" s="24"/>
      <c r="MEC81" s="25"/>
      <c r="MED81" s="23"/>
      <c r="MEE81" s="23"/>
      <c r="MEF81" s="42"/>
      <c r="MEG81" s="427"/>
      <c r="MEH81" s="22"/>
      <c r="MEI81" s="76"/>
      <c r="MEJ81" s="42"/>
      <c r="MEK81" s="42"/>
      <c r="MEL81" s="42"/>
      <c r="MEM81" s="42"/>
      <c r="MEN81" s="42"/>
      <c r="MEO81" s="43"/>
      <c r="MEP81" s="24"/>
      <c r="MEQ81" s="24"/>
      <c r="MER81" s="25"/>
      <c r="MES81" s="23"/>
      <c r="MET81" s="23"/>
      <c r="MEU81" s="42"/>
      <c r="MEV81" s="427"/>
      <c r="MEW81" s="22"/>
      <c r="MEX81" s="76"/>
      <c r="MEY81" s="42"/>
      <c r="MEZ81" s="42"/>
      <c r="MFA81" s="42"/>
      <c r="MFB81" s="42"/>
      <c r="MFC81" s="42"/>
      <c r="MFD81" s="43"/>
      <c r="MFE81" s="24"/>
      <c r="MFF81" s="24"/>
      <c r="MFG81" s="25"/>
      <c r="MFH81" s="23"/>
      <c r="MFI81" s="23"/>
      <c r="MFJ81" s="42"/>
      <c r="MFK81" s="427"/>
      <c r="MFL81" s="22"/>
      <c r="MFM81" s="76"/>
      <c r="MFN81" s="42"/>
      <c r="MFO81" s="42"/>
      <c r="MFP81" s="42"/>
      <c r="MFQ81" s="42"/>
      <c r="MFR81" s="42"/>
      <c r="MFS81" s="43"/>
      <c r="MFT81" s="24"/>
      <c r="MFU81" s="24"/>
      <c r="MFV81" s="25"/>
      <c r="MFW81" s="23"/>
      <c r="MFX81" s="23"/>
      <c r="MFY81" s="42"/>
      <c r="MFZ81" s="427"/>
      <c r="MGA81" s="22"/>
      <c r="MGB81" s="76"/>
      <c r="MGC81" s="42"/>
      <c r="MGD81" s="42"/>
      <c r="MGE81" s="42"/>
      <c r="MGF81" s="42"/>
      <c r="MGG81" s="42"/>
      <c r="MGH81" s="43"/>
      <c r="MGI81" s="24"/>
      <c r="MGJ81" s="24"/>
      <c r="MGK81" s="25"/>
      <c r="MGL81" s="23"/>
      <c r="MGM81" s="23"/>
      <c r="MGN81" s="42"/>
      <c r="MGO81" s="427"/>
      <c r="MGP81" s="22"/>
      <c r="MGQ81" s="76"/>
      <c r="MGR81" s="42"/>
      <c r="MGS81" s="42"/>
      <c r="MGT81" s="42"/>
      <c r="MGU81" s="42"/>
      <c r="MGV81" s="42"/>
      <c r="MGW81" s="43"/>
      <c r="MGX81" s="24"/>
      <c r="MGY81" s="24"/>
      <c r="MGZ81" s="25"/>
      <c r="MHA81" s="23"/>
      <c r="MHB81" s="23"/>
      <c r="MHC81" s="42"/>
      <c r="MHD81" s="427"/>
      <c r="MHE81" s="22"/>
      <c r="MHF81" s="76"/>
      <c r="MHG81" s="42"/>
      <c r="MHH81" s="42"/>
      <c r="MHI81" s="42"/>
      <c r="MHJ81" s="42"/>
      <c r="MHK81" s="42"/>
      <c r="MHL81" s="43"/>
      <c r="MHM81" s="24"/>
      <c r="MHN81" s="24"/>
      <c r="MHO81" s="25"/>
      <c r="MHP81" s="23"/>
      <c r="MHQ81" s="23"/>
      <c r="MHR81" s="42"/>
      <c r="MHS81" s="427"/>
      <c r="MHT81" s="22"/>
      <c r="MHU81" s="76"/>
      <c r="MHV81" s="42"/>
      <c r="MHW81" s="42"/>
      <c r="MHX81" s="42"/>
      <c r="MHY81" s="42"/>
      <c r="MHZ81" s="42"/>
      <c r="MIA81" s="43"/>
      <c r="MIB81" s="24"/>
      <c r="MIC81" s="24"/>
      <c r="MID81" s="25"/>
      <c r="MIE81" s="23"/>
      <c r="MIF81" s="23"/>
      <c r="MIG81" s="42"/>
      <c r="MIH81" s="427"/>
      <c r="MII81" s="22"/>
      <c r="MIJ81" s="76"/>
      <c r="MIK81" s="42"/>
      <c r="MIL81" s="42"/>
      <c r="MIM81" s="42"/>
      <c r="MIN81" s="42"/>
      <c r="MIO81" s="42"/>
      <c r="MIP81" s="43"/>
      <c r="MIQ81" s="24"/>
      <c r="MIR81" s="24"/>
      <c r="MIS81" s="25"/>
      <c r="MIT81" s="23"/>
      <c r="MIU81" s="23"/>
      <c r="MIV81" s="42"/>
      <c r="MIW81" s="427"/>
      <c r="MIX81" s="22"/>
      <c r="MIY81" s="76"/>
      <c r="MIZ81" s="42"/>
      <c r="MJA81" s="42"/>
      <c r="MJB81" s="42"/>
      <c r="MJC81" s="42"/>
      <c r="MJD81" s="42"/>
      <c r="MJE81" s="43"/>
      <c r="MJF81" s="24"/>
      <c r="MJG81" s="24"/>
      <c r="MJH81" s="25"/>
      <c r="MJI81" s="23"/>
      <c r="MJJ81" s="23"/>
      <c r="MJK81" s="42"/>
      <c r="MJL81" s="427"/>
      <c r="MJM81" s="22"/>
      <c r="MJN81" s="76"/>
      <c r="MJO81" s="42"/>
      <c r="MJP81" s="42"/>
      <c r="MJQ81" s="42"/>
      <c r="MJR81" s="42"/>
      <c r="MJS81" s="42"/>
      <c r="MJT81" s="43"/>
      <c r="MJU81" s="24"/>
      <c r="MJV81" s="24"/>
      <c r="MJW81" s="25"/>
      <c r="MJX81" s="23"/>
      <c r="MJY81" s="23"/>
      <c r="MJZ81" s="42"/>
      <c r="MKA81" s="427"/>
      <c r="MKB81" s="22"/>
      <c r="MKC81" s="76"/>
      <c r="MKD81" s="42"/>
      <c r="MKE81" s="42"/>
      <c r="MKF81" s="42"/>
      <c r="MKG81" s="42"/>
      <c r="MKH81" s="42"/>
      <c r="MKI81" s="43"/>
      <c r="MKJ81" s="24"/>
      <c r="MKK81" s="24"/>
      <c r="MKL81" s="25"/>
      <c r="MKM81" s="23"/>
      <c r="MKN81" s="23"/>
      <c r="MKO81" s="42"/>
      <c r="MKP81" s="427"/>
      <c r="MKQ81" s="22"/>
      <c r="MKR81" s="76"/>
      <c r="MKS81" s="42"/>
      <c r="MKT81" s="42"/>
      <c r="MKU81" s="42"/>
      <c r="MKV81" s="42"/>
      <c r="MKW81" s="42"/>
      <c r="MKX81" s="43"/>
      <c r="MKY81" s="24"/>
      <c r="MKZ81" s="24"/>
      <c r="MLA81" s="25"/>
      <c r="MLB81" s="23"/>
      <c r="MLC81" s="23"/>
      <c r="MLD81" s="42"/>
      <c r="MLE81" s="427"/>
      <c r="MLF81" s="22"/>
      <c r="MLG81" s="76"/>
      <c r="MLH81" s="42"/>
      <c r="MLI81" s="42"/>
      <c r="MLJ81" s="42"/>
      <c r="MLK81" s="42"/>
      <c r="MLL81" s="42"/>
      <c r="MLM81" s="43"/>
      <c r="MLN81" s="24"/>
      <c r="MLO81" s="24"/>
      <c r="MLP81" s="25"/>
      <c r="MLQ81" s="23"/>
      <c r="MLR81" s="23"/>
      <c r="MLS81" s="42"/>
      <c r="MLT81" s="427"/>
      <c r="MLU81" s="22"/>
      <c r="MLV81" s="76"/>
      <c r="MLW81" s="42"/>
      <c r="MLX81" s="42"/>
      <c r="MLY81" s="42"/>
      <c r="MLZ81" s="42"/>
      <c r="MMA81" s="42"/>
      <c r="MMB81" s="43"/>
      <c r="MMC81" s="24"/>
      <c r="MMD81" s="24"/>
      <c r="MME81" s="25"/>
      <c r="MMF81" s="23"/>
      <c r="MMG81" s="23"/>
      <c r="MMH81" s="42"/>
      <c r="MMI81" s="427"/>
      <c r="MMJ81" s="22"/>
      <c r="MMK81" s="76"/>
      <c r="MML81" s="42"/>
      <c r="MMM81" s="42"/>
      <c r="MMN81" s="42"/>
      <c r="MMO81" s="42"/>
      <c r="MMP81" s="42"/>
      <c r="MMQ81" s="43"/>
      <c r="MMR81" s="24"/>
      <c r="MMS81" s="24"/>
      <c r="MMT81" s="25"/>
      <c r="MMU81" s="23"/>
      <c r="MMV81" s="23"/>
      <c r="MMW81" s="42"/>
      <c r="MMX81" s="427"/>
      <c r="MMY81" s="22"/>
      <c r="MMZ81" s="76"/>
      <c r="MNA81" s="42"/>
      <c r="MNB81" s="42"/>
      <c r="MNC81" s="42"/>
      <c r="MND81" s="42"/>
      <c r="MNE81" s="42"/>
      <c r="MNF81" s="43"/>
      <c r="MNG81" s="24"/>
      <c r="MNH81" s="24"/>
      <c r="MNI81" s="25"/>
      <c r="MNJ81" s="23"/>
      <c r="MNK81" s="23"/>
      <c r="MNL81" s="42"/>
      <c r="MNM81" s="427"/>
      <c r="MNN81" s="22"/>
      <c r="MNO81" s="76"/>
      <c r="MNP81" s="42"/>
      <c r="MNQ81" s="42"/>
      <c r="MNR81" s="42"/>
      <c r="MNS81" s="42"/>
      <c r="MNT81" s="42"/>
      <c r="MNU81" s="43"/>
      <c r="MNV81" s="24"/>
      <c r="MNW81" s="24"/>
      <c r="MNX81" s="25"/>
      <c r="MNY81" s="23"/>
      <c r="MNZ81" s="23"/>
      <c r="MOA81" s="42"/>
      <c r="MOB81" s="427"/>
      <c r="MOC81" s="22"/>
      <c r="MOD81" s="76"/>
      <c r="MOE81" s="42"/>
      <c r="MOF81" s="42"/>
      <c r="MOG81" s="42"/>
      <c r="MOH81" s="42"/>
      <c r="MOI81" s="42"/>
      <c r="MOJ81" s="43"/>
      <c r="MOK81" s="24"/>
      <c r="MOL81" s="24"/>
      <c r="MOM81" s="25"/>
      <c r="MON81" s="23"/>
      <c r="MOO81" s="23"/>
      <c r="MOP81" s="42"/>
      <c r="MOQ81" s="427"/>
      <c r="MOR81" s="22"/>
      <c r="MOS81" s="76"/>
      <c r="MOT81" s="42"/>
      <c r="MOU81" s="42"/>
      <c r="MOV81" s="42"/>
      <c r="MOW81" s="42"/>
      <c r="MOX81" s="42"/>
      <c r="MOY81" s="43"/>
      <c r="MOZ81" s="24"/>
      <c r="MPA81" s="24"/>
      <c r="MPB81" s="25"/>
      <c r="MPC81" s="23"/>
      <c r="MPD81" s="23"/>
      <c r="MPE81" s="42"/>
      <c r="MPF81" s="427"/>
      <c r="MPG81" s="22"/>
      <c r="MPH81" s="76"/>
      <c r="MPI81" s="42"/>
      <c r="MPJ81" s="42"/>
      <c r="MPK81" s="42"/>
      <c r="MPL81" s="42"/>
      <c r="MPM81" s="42"/>
      <c r="MPN81" s="43"/>
      <c r="MPO81" s="24"/>
      <c r="MPP81" s="24"/>
      <c r="MPQ81" s="25"/>
      <c r="MPR81" s="23"/>
      <c r="MPS81" s="23"/>
      <c r="MPT81" s="42"/>
      <c r="MPU81" s="427"/>
      <c r="MPV81" s="22"/>
      <c r="MPW81" s="76"/>
      <c r="MPX81" s="42"/>
      <c r="MPY81" s="42"/>
      <c r="MPZ81" s="42"/>
      <c r="MQA81" s="42"/>
      <c r="MQB81" s="42"/>
      <c r="MQC81" s="43"/>
      <c r="MQD81" s="24"/>
      <c r="MQE81" s="24"/>
      <c r="MQF81" s="25"/>
      <c r="MQG81" s="23"/>
      <c r="MQH81" s="23"/>
      <c r="MQI81" s="42"/>
      <c r="MQJ81" s="427"/>
      <c r="MQK81" s="22"/>
      <c r="MQL81" s="76"/>
      <c r="MQM81" s="42"/>
      <c r="MQN81" s="42"/>
      <c r="MQO81" s="42"/>
      <c r="MQP81" s="42"/>
      <c r="MQQ81" s="42"/>
      <c r="MQR81" s="43"/>
      <c r="MQS81" s="24"/>
      <c r="MQT81" s="24"/>
      <c r="MQU81" s="25"/>
      <c r="MQV81" s="23"/>
      <c r="MQW81" s="23"/>
      <c r="MQX81" s="42"/>
      <c r="MQY81" s="427"/>
      <c r="MQZ81" s="22"/>
      <c r="MRA81" s="76"/>
      <c r="MRB81" s="42"/>
      <c r="MRC81" s="42"/>
      <c r="MRD81" s="42"/>
      <c r="MRE81" s="42"/>
      <c r="MRF81" s="42"/>
      <c r="MRG81" s="43"/>
      <c r="MRH81" s="24"/>
      <c r="MRI81" s="24"/>
      <c r="MRJ81" s="25"/>
      <c r="MRK81" s="23"/>
      <c r="MRL81" s="23"/>
      <c r="MRM81" s="42"/>
      <c r="MRN81" s="427"/>
      <c r="MRO81" s="22"/>
      <c r="MRP81" s="76"/>
      <c r="MRQ81" s="42"/>
      <c r="MRR81" s="42"/>
      <c r="MRS81" s="42"/>
      <c r="MRT81" s="42"/>
      <c r="MRU81" s="42"/>
      <c r="MRV81" s="43"/>
      <c r="MRW81" s="24"/>
      <c r="MRX81" s="24"/>
      <c r="MRY81" s="25"/>
      <c r="MRZ81" s="23"/>
      <c r="MSA81" s="23"/>
      <c r="MSB81" s="42"/>
      <c r="MSC81" s="427"/>
      <c r="MSD81" s="22"/>
      <c r="MSE81" s="76"/>
      <c r="MSF81" s="42"/>
      <c r="MSG81" s="42"/>
      <c r="MSH81" s="42"/>
      <c r="MSI81" s="42"/>
      <c r="MSJ81" s="42"/>
      <c r="MSK81" s="43"/>
      <c r="MSL81" s="24"/>
      <c r="MSM81" s="24"/>
      <c r="MSN81" s="25"/>
      <c r="MSO81" s="23"/>
      <c r="MSP81" s="23"/>
      <c r="MSQ81" s="42"/>
      <c r="MSR81" s="427"/>
      <c r="MSS81" s="22"/>
      <c r="MST81" s="76"/>
      <c r="MSU81" s="42"/>
      <c r="MSV81" s="42"/>
      <c r="MSW81" s="42"/>
      <c r="MSX81" s="42"/>
      <c r="MSY81" s="42"/>
      <c r="MSZ81" s="43"/>
      <c r="MTA81" s="24"/>
      <c r="MTB81" s="24"/>
      <c r="MTC81" s="25"/>
      <c r="MTD81" s="23"/>
      <c r="MTE81" s="23"/>
      <c r="MTF81" s="42"/>
      <c r="MTG81" s="427"/>
      <c r="MTH81" s="22"/>
      <c r="MTI81" s="76"/>
      <c r="MTJ81" s="42"/>
      <c r="MTK81" s="42"/>
      <c r="MTL81" s="42"/>
      <c r="MTM81" s="42"/>
      <c r="MTN81" s="42"/>
      <c r="MTO81" s="43"/>
      <c r="MTP81" s="24"/>
      <c r="MTQ81" s="24"/>
      <c r="MTR81" s="25"/>
      <c r="MTS81" s="23"/>
      <c r="MTT81" s="23"/>
      <c r="MTU81" s="42"/>
      <c r="MTV81" s="427"/>
      <c r="MTW81" s="22"/>
      <c r="MTX81" s="76"/>
      <c r="MTY81" s="42"/>
      <c r="MTZ81" s="42"/>
      <c r="MUA81" s="42"/>
      <c r="MUB81" s="42"/>
      <c r="MUC81" s="42"/>
      <c r="MUD81" s="43"/>
      <c r="MUE81" s="24"/>
      <c r="MUF81" s="24"/>
      <c r="MUG81" s="25"/>
      <c r="MUH81" s="23"/>
      <c r="MUI81" s="23"/>
      <c r="MUJ81" s="42"/>
      <c r="MUK81" s="427"/>
      <c r="MUL81" s="22"/>
      <c r="MUM81" s="76"/>
      <c r="MUN81" s="42"/>
      <c r="MUO81" s="42"/>
      <c r="MUP81" s="42"/>
      <c r="MUQ81" s="42"/>
      <c r="MUR81" s="42"/>
      <c r="MUS81" s="43"/>
      <c r="MUT81" s="24"/>
      <c r="MUU81" s="24"/>
      <c r="MUV81" s="25"/>
      <c r="MUW81" s="23"/>
      <c r="MUX81" s="23"/>
      <c r="MUY81" s="42"/>
      <c r="MUZ81" s="427"/>
      <c r="MVA81" s="22"/>
      <c r="MVB81" s="76"/>
      <c r="MVC81" s="42"/>
      <c r="MVD81" s="42"/>
      <c r="MVE81" s="42"/>
      <c r="MVF81" s="42"/>
      <c r="MVG81" s="42"/>
      <c r="MVH81" s="43"/>
      <c r="MVI81" s="24"/>
      <c r="MVJ81" s="24"/>
      <c r="MVK81" s="25"/>
      <c r="MVL81" s="23"/>
      <c r="MVM81" s="23"/>
      <c r="MVN81" s="42"/>
      <c r="MVO81" s="427"/>
      <c r="MVP81" s="22"/>
      <c r="MVQ81" s="76"/>
      <c r="MVR81" s="42"/>
      <c r="MVS81" s="42"/>
      <c r="MVT81" s="42"/>
      <c r="MVU81" s="42"/>
      <c r="MVV81" s="42"/>
      <c r="MVW81" s="43"/>
      <c r="MVX81" s="24"/>
      <c r="MVY81" s="24"/>
      <c r="MVZ81" s="25"/>
      <c r="MWA81" s="23"/>
      <c r="MWB81" s="23"/>
      <c r="MWC81" s="42"/>
      <c r="MWD81" s="427"/>
      <c r="MWE81" s="22"/>
      <c r="MWF81" s="76"/>
      <c r="MWG81" s="42"/>
      <c r="MWH81" s="42"/>
      <c r="MWI81" s="42"/>
      <c r="MWJ81" s="42"/>
      <c r="MWK81" s="42"/>
      <c r="MWL81" s="43"/>
      <c r="MWM81" s="24"/>
      <c r="MWN81" s="24"/>
      <c r="MWO81" s="25"/>
      <c r="MWP81" s="23"/>
      <c r="MWQ81" s="23"/>
      <c r="MWR81" s="42"/>
      <c r="MWS81" s="427"/>
      <c r="MWT81" s="22"/>
      <c r="MWU81" s="76"/>
      <c r="MWV81" s="42"/>
      <c r="MWW81" s="42"/>
      <c r="MWX81" s="42"/>
      <c r="MWY81" s="42"/>
      <c r="MWZ81" s="42"/>
      <c r="MXA81" s="43"/>
      <c r="MXB81" s="24"/>
      <c r="MXC81" s="24"/>
      <c r="MXD81" s="25"/>
      <c r="MXE81" s="23"/>
      <c r="MXF81" s="23"/>
      <c r="MXG81" s="42"/>
      <c r="MXH81" s="427"/>
      <c r="MXI81" s="22"/>
      <c r="MXJ81" s="76"/>
      <c r="MXK81" s="42"/>
      <c r="MXL81" s="42"/>
      <c r="MXM81" s="42"/>
      <c r="MXN81" s="42"/>
      <c r="MXO81" s="42"/>
      <c r="MXP81" s="43"/>
      <c r="MXQ81" s="24"/>
      <c r="MXR81" s="24"/>
      <c r="MXS81" s="25"/>
      <c r="MXT81" s="23"/>
      <c r="MXU81" s="23"/>
      <c r="MXV81" s="42"/>
      <c r="MXW81" s="427"/>
      <c r="MXX81" s="22"/>
      <c r="MXY81" s="76"/>
      <c r="MXZ81" s="42"/>
      <c r="MYA81" s="42"/>
      <c r="MYB81" s="42"/>
      <c r="MYC81" s="42"/>
      <c r="MYD81" s="42"/>
      <c r="MYE81" s="43"/>
      <c r="MYF81" s="24"/>
      <c r="MYG81" s="24"/>
      <c r="MYH81" s="25"/>
      <c r="MYI81" s="23"/>
      <c r="MYJ81" s="23"/>
      <c r="MYK81" s="42"/>
      <c r="MYL81" s="427"/>
      <c r="MYM81" s="22"/>
      <c r="MYN81" s="76"/>
      <c r="MYO81" s="42"/>
      <c r="MYP81" s="42"/>
      <c r="MYQ81" s="42"/>
      <c r="MYR81" s="42"/>
      <c r="MYS81" s="42"/>
      <c r="MYT81" s="43"/>
      <c r="MYU81" s="24"/>
      <c r="MYV81" s="24"/>
      <c r="MYW81" s="25"/>
      <c r="MYX81" s="23"/>
      <c r="MYY81" s="23"/>
      <c r="MYZ81" s="42"/>
      <c r="MZA81" s="427"/>
      <c r="MZB81" s="22"/>
      <c r="MZC81" s="76"/>
      <c r="MZD81" s="42"/>
      <c r="MZE81" s="42"/>
      <c r="MZF81" s="42"/>
      <c r="MZG81" s="42"/>
      <c r="MZH81" s="42"/>
      <c r="MZI81" s="43"/>
      <c r="MZJ81" s="24"/>
      <c r="MZK81" s="24"/>
      <c r="MZL81" s="25"/>
      <c r="MZM81" s="23"/>
      <c r="MZN81" s="23"/>
      <c r="MZO81" s="42"/>
      <c r="MZP81" s="427"/>
      <c r="MZQ81" s="22"/>
      <c r="MZR81" s="76"/>
      <c r="MZS81" s="42"/>
      <c r="MZT81" s="42"/>
      <c r="MZU81" s="42"/>
      <c r="MZV81" s="42"/>
      <c r="MZW81" s="42"/>
      <c r="MZX81" s="43"/>
      <c r="MZY81" s="24"/>
      <c r="MZZ81" s="24"/>
      <c r="NAA81" s="25"/>
      <c r="NAB81" s="23"/>
      <c r="NAC81" s="23"/>
      <c r="NAD81" s="42"/>
      <c r="NAE81" s="427"/>
      <c r="NAF81" s="22"/>
      <c r="NAG81" s="76"/>
      <c r="NAH81" s="42"/>
      <c r="NAI81" s="42"/>
      <c r="NAJ81" s="42"/>
      <c r="NAK81" s="42"/>
      <c r="NAL81" s="42"/>
      <c r="NAM81" s="43"/>
      <c r="NAN81" s="24"/>
      <c r="NAO81" s="24"/>
      <c r="NAP81" s="25"/>
      <c r="NAQ81" s="23"/>
      <c r="NAR81" s="23"/>
      <c r="NAS81" s="42"/>
      <c r="NAT81" s="427"/>
      <c r="NAU81" s="22"/>
      <c r="NAV81" s="76"/>
      <c r="NAW81" s="42"/>
      <c r="NAX81" s="42"/>
      <c r="NAY81" s="42"/>
      <c r="NAZ81" s="42"/>
      <c r="NBA81" s="42"/>
      <c r="NBB81" s="43"/>
      <c r="NBC81" s="24"/>
      <c r="NBD81" s="24"/>
      <c r="NBE81" s="25"/>
      <c r="NBF81" s="23"/>
      <c r="NBG81" s="23"/>
      <c r="NBH81" s="42"/>
      <c r="NBI81" s="427"/>
      <c r="NBJ81" s="22"/>
      <c r="NBK81" s="76"/>
      <c r="NBL81" s="42"/>
      <c r="NBM81" s="42"/>
      <c r="NBN81" s="42"/>
      <c r="NBO81" s="42"/>
      <c r="NBP81" s="42"/>
      <c r="NBQ81" s="43"/>
      <c r="NBR81" s="24"/>
      <c r="NBS81" s="24"/>
      <c r="NBT81" s="25"/>
      <c r="NBU81" s="23"/>
      <c r="NBV81" s="23"/>
      <c r="NBW81" s="42"/>
      <c r="NBX81" s="427"/>
      <c r="NBY81" s="22"/>
      <c r="NBZ81" s="76"/>
      <c r="NCA81" s="42"/>
      <c r="NCB81" s="42"/>
      <c r="NCC81" s="42"/>
      <c r="NCD81" s="42"/>
      <c r="NCE81" s="42"/>
      <c r="NCF81" s="43"/>
      <c r="NCG81" s="24"/>
      <c r="NCH81" s="24"/>
      <c r="NCI81" s="25"/>
      <c r="NCJ81" s="23"/>
      <c r="NCK81" s="23"/>
      <c r="NCL81" s="42"/>
      <c r="NCM81" s="427"/>
      <c r="NCN81" s="22"/>
      <c r="NCO81" s="76"/>
      <c r="NCP81" s="42"/>
      <c r="NCQ81" s="42"/>
      <c r="NCR81" s="42"/>
      <c r="NCS81" s="42"/>
      <c r="NCT81" s="42"/>
      <c r="NCU81" s="43"/>
      <c r="NCV81" s="24"/>
      <c r="NCW81" s="24"/>
      <c r="NCX81" s="25"/>
      <c r="NCY81" s="23"/>
      <c r="NCZ81" s="23"/>
      <c r="NDA81" s="42"/>
      <c r="NDB81" s="427"/>
      <c r="NDC81" s="22"/>
      <c r="NDD81" s="76"/>
      <c r="NDE81" s="42"/>
      <c r="NDF81" s="42"/>
      <c r="NDG81" s="42"/>
      <c r="NDH81" s="42"/>
      <c r="NDI81" s="42"/>
      <c r="NDJ81" s="43"/>
      <c r="NDK81" s="24"/>
      <c r="NDL81" s="24"/>
      <c r="NDM81" s="25"/>
      <c r="NDN81" s="23"/>
      <c r="NDO81" s="23"/>
      <c r="NDP81" s="42"/>
      <c r="NDQ81" s="427"/>
      <c r="NDR81" s="22"/>
      <c r="NDS81" s="76"/>
      <c r="NDT81" s="42"/>
      <c r="NDU81" s="42"/>
      <c r="NDV81" s="42"/>
      <c r="NDW81" s="42"/>
      <c r="NDX81" s="42"/>
      <c r="NDY81" s="43"/>
      <c r="NDZ81" s="24"/>
      <c r="NEA81" s="24"/>
      <c r="NEB81" s="25"/>
      <c r="NEC81" s="23"/>
      <c r="NED81" s="23"/>
      <c r="NEE81" s="42"/>
      <c r="NEF81" s="427"/>
      <c r="NEG81" s="22"/>
      <c r="NEH81" s="76"/>
      <c r="NEI81" s="42"/>
      <c r="NEJ81" s="42"/>
      <c r="NEK81" s="42"/>
      <c r="NEL81" s="42"/>
      <c r="NEM81" s="42"/>
      <c r="NEN81" s="43"/>
      <c r="NEO81" s="24"/>
      <c r="NEP81" s="24"/>
      <c r="NEQ81" s="25"/>
      <c r="NER81" s="23"/>
      <c r="NES81" s="23"/>
      <c r="NET81" s="42"/>
      <c r="NEU81" s="427"/>
      <c r="NEV81" s="22"/>
      <c r="NEW81" s="76"/>
      <c r="NEX81" s="42"/>
      <c r="NEY81" s="42"/>
      <c r="NEZ81" s="42"/>
      <c r="NFA81" s="42"/>
      <c r="NFB81" s="42"/>
      <c r="NFC81" s="43"/>
      <c r="NFD81" s="24"/>
      <c r="NFE81" s="24"/>
      <c r="NFF81" s="25"/>
      <c r="NFG81" s="23"/>
      <c r="NFH81" s="23"/>
      <c r="NFI81" s="42"/>
      <c r="NFJ81" s="427"/>
      <c r="NFK81" s="22"/>
      <c r="NFL81" s="76"/>
      <c r="NFM81" s="42"/>
      <c r="NFN81" s="42"/>
      <c r="NFO81" s="42"/>
      <c r="NFP81" s="42"/>
      <c r="NFQ81" s="42"/>
      <c r="NFR81" s="43"/>
      <c r="NFS81" s="24"/>
      <c r="NFT81" s="24"/>
      <c r="NFU81" s="25"/>
      <c r="NFV81" s="23"/>
      <c r="NFW81" s="23"/>
      <c r="NFX81" s="42"/>
      <c r="NFY81" s="427"/>
      <c r="NFZ81" s="22"/>
      <c r="NGA81" s="76"/>
      <c r="NGB81" s="42"/>
      <c r="NGC81" s="42"/>
      <c r="NGD81" s="42"/>
      <c r="NGE81" s="42"/>
      <c r="NGF81" s="42"/>
      <c r="NGG81" s="43"/>
      <c r="NGH81" s="24"/>
      <c r="NGI81" s="24"/>
      <c r="NGJ81" s="25"/>
      <c r="NGK81" s="23"/>
      <c r="NGL81" s="23"/>
      <c r="NGM81" s="42"/>
      <c r="NGN81" s="427"/>
      <c r="NGO81" s="22"/>
      <c r="NGP81" s="76"/>
      <c r="NGQ81" s="42"/>
      <c r="NGR81" s="42"/>
      <c r="NGS81" s="42"/>
      <c r="NGT81" s="42"/>
      <c r="NGU81" s="42"/>
      <c r="NGV81" s="43"/>
      <c r="NGW81" s="24"/>
      <c r="NGX81" s="24"/>
      <c r="NGY81" s="25"/>
      <c r="NGZ81" s="23"/>
      <c r="NHA81" s="23"/>
      <c r="NHB81" s="42"/>
      <c r="NHC81" s="427"/>
      <c r="NHD81" s="22"/>
      <c r="NHE81" s="76"/>
      <c r="NHF81" s="42"/>
      <c r="NHG81" s="42"/>
      <c r="NHH81" s="42"/>
      <c r="NHI81" s="42"/>
      <c r="NHJ81" s="42"/>
      <c r="NHK81" s="43"/>
      <c r="NHL81" s="24"/>
      <c r="NHM81" s="24"/>
      <c r="NHN81" s="25"/>
      <c r="NHO81" s="23"/>
      <c r="NHP81" s="23"/>
      <c r="NHQ81" s="42"/>
      <c r="NHR81" s="427"/>
      <c r="NHS81" s="22"/>
      <c r="NHT81" s="76"/>
      <c r="NHU81" s="42"/>
      <c r="NHV81" s="42"/>
      <c r="NHW81" s="42"/>
      <c r="NHX81" s="42"/>
      <c r="NHY81" s="42"/>
      <c r="NHZ81" s="43"/>
      <c r="NIA81" s="24"/>
      <c r="NIB81" s="24"/>
      <c r="NIC81" s="25"/>
      <c r="NID81" s="23"/>
      <c r="NIE81" s="23"/>
      <c r="NIF81" s="42"/>
      <c r="NIG81" s="427"/>
      <c r="NIH81" s="22"/>
      <c r="NII81" s="76"/>
      <c r="NIJ81" s="42"/>
      <c r="NIK81" s="42"/>
      <c r="NIL81" s="42"/>
      <c r="NIM81" s="42"/>
      <c r="NIN81" s="42"/>
      <c r="NIO81" s="43"/>
      <c r="NIP81" s="24"/>
      <c r="NIQ81" s="24"/>
      <c r="NIR81" s="25"/>
      <c r="NIS81" s="23"/>
      <c r="NIT81" s="23"/>
      <c r="NIU81" s="42"/>
      <c r="NIV81" s="427"/>
      <c r="NIW81" s="22"/>
      <c r="NIX81" s="76"/>
      <c r="NIY81" s="42"/>
      <c r="NIZ81" s="42"/>
      <c r="NJA81" s="42"/>
      <c r="NJB81" s="42"/>
      <c r="NJC81" s="42"/>
      <c r="NJD81" s="43"/>
      <c r="NJE81" s="24"/>
      <c r="NJF81" s="24"/>
      <c r="NJG81" s="25"/>
      <c r="NJH81" s="23"/>
      <c r="NJI81" s="23"/>
      <c r="NJJ81" s="42"/>
      <c r="NJK81" s="427"/>
      <c r="NJL81" s="22"/>
      <c r="NJM81" s="76"/>
      <c r="NJN81" s="42"/>
      <c r="NJO81" s="42"/>
      <c r="NJP81" s="42"/>
      <c r="NJQ81" s="42"/>
      <c r="NJR81" s="42"/>
      <c r="NJS81" s="43"/>
      <c r="NJT81" s="24"/>
      <c r="NJU81" s="24"/>
      <c r="NJV81" s="25"/>
      <c r="NJW81" s="23"/>
      <c r="NJX81" s="23"/>
      <c r="NJY81" s="42"/>
      <c r="NJZ81" s="427"/>
      <c r="NKA81" s="22"/>
      <c r="NKB81" s="76"/>
      <c r="NKC81" s="42"/>
      <c r="NKD81" s="42"/>
      <c r="NKE81" s="42"/>
      <c r="NKF81" s="42"/>
      <c r="NKG81" s="42"/>
      <c r="NKH81" s="43"/>
      <c r="NKI81" s="24"/>
      <c r="NKJ81" s="24"/>
      <c r="NKK81" s="25"/>
      <c r="NKL81" s="23"/>
      <c r="NKM81" s="23"/>
      <c r="NKN81" s="42"/>
      <c r="NKO81" s="427"/>
      <c r="NKP81" s="22"/>
      <c r="NKQ81" s="76"/>
      <c r="NKR81" s="42"/>
      <c r="NKS81" s="42"/>
      <c r="NKT81" s="42"/>
      <c r="NKU81" s="42"/>
      <c r="NKV81" s="42"/>
      <c r="NKW81" s="43"/>
      <c r="NKX81" s="24"/>
      <c r="NKY81" s="24"/>
      <c r="NKZ81" s="25"/>
      <c r="NLA81" s="23"/>
      <c r="NLB81" s="23"/>
      <c r="NLC81" s="42"/>
      <c r="NLD81" s="427"/>
      <c r="NLE81" s="22"/>
      <c r="NLF81" s="76"/>
      <c r="NLG81" s="42"/>
      <c r="NLH81" s="42"/>
      <c r="NLI81" s="42"/>
      <c r="NLJ81" s="42"/>
      <c r="NLK81" s="42"/>
      <c r="NLL81" s="43"/>
      <c r="NLM81" s="24"/>
      <c r="NLN81" s="24"/>
      <c r="NLO81" s="25"/>
      <c r="NLP81" s="23"/>
      <c r="NLQ81" s="23"/>
      <c r="NLR81" s="42"/>
      <c r="NLS81" s="427"/>
      <c r="NLT81" s="22"/>
      <c r="NLU81" s="76"/>
      <c r="NLV81" s="42"/>
      <c r="NLW81" s="42"/>
      <c r="NLX81" s="42"/>
      <c r="NLY81" s="42"/>
      <c r="NLZ81" s="42"/>
      <c r="NMA81" s="43"/>
      <c r="NMB81" s="24"/>
      <c r="NMC81" s="24"/>
      <c r="NMD81" s="25"/>
      <c r="NME81" s="23"/>
      <c r="NMF81" s="23"/>
      <c r="NMG81" s="42"/>
      <c r="NMH81" s="427"/>
      <c r="NMI81" s="22"/>
      <c r="NMJ81" s="76"/>
      <c r="NMK81" s="42"/>
      <c r="NML81" s="42"/>
      <c r="NMM81" s="42"/>
      <c r="NMN81" s="42"/>
      <c r="NMO81" s="42"/>
      <c r="NMP81" s="43"/>
      <c r="NMQ81" s="24"/>
      <c r="NMR81" s="24"/>
      <c r="NMS81" s="25"/>
      <c r="NMT81" s="23"/>
      <c r="NMU81" s="23"/>
      <c r="NMV81" s="42"/>
      <c r="NMW81" s="427"/>
      <c r="NMX81" s="22"/>
      <c r="NMY81" s="76"/>
      <c r="NMZ81" s="42"/>
      <c r="NNA81" s="42"/>
      <c r="NNB81" s="42"/>
      <c r="NNC81" s="42"/>
      <c r="NND81" s="42"/>
      <c r="NNE81" s="43"/>
      <c r="NNF81" s="24"/>
      <c r="NNG81" s="24"/>
      <c r="NNH81" s="25"/>
      <c r="NNI81" s="23"/>
      <c r="NNJ81" s="23"/>
      <c r="NNK81" s="42"/>
      <c r="NNL81" s="427"/>
      <c r="NNM81" s="22"/>
      <c r="NNN81" s="76"/>
      <c r="NNO81" s="42"/>
      <c r="NNP81" s="42"/>
      <c r="NNQ81" s="42"/>
      <c r="NNR81" s="42"/>
      <c r="NNS81" s="42"/>
      <c r="NNT81" s="43"/>
      <c r="NNU81" s="24"/>
      <c r="NNV81" s="24"/>
      <c r="NNW81" s="25"/>
      <c r="NNX81" s="23"/>
      <c r="NNY81" s="23"/>
      <c r="NNZ81" s="42"/>
      <c r="NOA81" s="427"/>
      <c r="NOB81" s="22"/>
      <c r="NOC81" s="76"/>
      <c r="NOD81" s="42"/>
      <c r="NOE81" s="42"/>
      <c r="NOF81" s="42"/>
      <c r="NOG81" s="42"/>
      <c r="NOH81" s="42"/>
      <c r="NOI81" s="43"/>
      <c r="NOJ81" s="24"/>
      <c r="NOK81" s="24"/>
      <c r="NOL81" s="25"/>
      <c r="NOM81" s="23"/>
      <c r="NON81" s="23"/>
      <c r="NOO81" s="42"/>
      <c r="NOP81" s="427"/>
      <c r="NOQ81" s="22"/>
      <c r="NOR81" s="76"/>
      <c r="NOS81" s="42"/>
      <c r="NOT81" s="42"/>
      <c r="NOU81" s="42"/>
      <c r="NOV81" s="42"/>
      <c r="NOW81" s="42"/>
      <c r="NOX81" s="43"/>
      <c r="NOY81" s="24"/>
      <c r="NOZ81" s="24"/>
      <c r="NPA81" s="25"/>
      <c r="NPB81" s="23"/>
      <c r="NPC81" s="23"/>
      <c r="NPD81" s="42"/>
      <c r="NPE81" s="427"/>
      <c r="NPF81" s="22"/>
      <c r="NPG81" s="76"/>
      <c r="NPH81" s="42"/>
      <c r="NPI81" s="42"/>
      <c r="NPJ81" s="42"/>
      <c r="NPK81" s="42"/>
      <c r="NPL81" s="42"/>
      <c r="NPM81" s="43"/>
      <c r="NPN81" s="24"/>
      <c r="NPO81" s="24"/>
      <c r="NPP81" s="25"/>
      <c r="NPQ81" s="23"/>
      <c r="NPR81" s="23"/>
      <c r="NPS81" s="42"/>
      <c r="NPT81" s="427"/>
      <c r="NPU81" s="22"/>
      <c r="NPV81" s="76"/>
      <c r="NPW81" s="42"/>
      <c r="NPX81" s="42"/>
      <c r="NPY81" s="42"/>
      <c r="NPZ81" s="42"/>
      <c r="NQA81" s="42"/>
      <c r="NQB81" s="43"/>
      <c r="NQC81" s="24"/>
      <c r="NQD81" s="24"/>
      <c r="NQE81" s="25"/>
      <c r="NQF81" s="23"/>
      <c r="NQG81" s="23"/>
      <c r="NQH81" s="42"/>
      <c r="NQI81" s="427"/>
      <c r="NQJ81" s="22"/>
      <c r="NQK81" s="76"/>
      <c r="NQL81" s="42"/>
      <c r="NQM81" s="42"/>
      <c r="NQN81" s="42"/>
      <c r="NQO81" s="42"/>
      <c r="NQP81" s="42"/>
      <c r="NQQ81" s="43"/>
      <c r="NQR81" s="24"/>
      <c r="NQS81" s="24"/>
      <c r="NQT81" s="25"/>
      <c r="NQU81" s="23"/>
      <c r="NQV81" s="23"/>
      <c r="NQW81" s="42"/>
      <c r="NQX81" s="427"/>
      <c r="NQY81" s="22"/>
      <c r="NQZ81" s="76"/>
      <c r="NRA81" s="42"/>
      <c r="NRB81" s="42"/>
      <c r="NRC81" s="42"/>
      <c r="NRD81" s="42"/>
      <c r="NRE81" s="42"/>
      <c r="NRF81" s="43"/>
      <c r="NRG81" s="24"/>
      <c r="NRH81" s="24"/>
      <c r="NRI81" s="25"/>
      <c r="NRJ81" s="23"/>
      <c r="NRK81" s="23"/>
      <c r="NRL81" s="42"/>
      <c r="NRM81" s="427"/>
      <c r="NRN81" s="22"/>
      <c r="NRO81" s="76"/>
      <c r="NRP81" s="42"/>
      <c r="NRQ81" s="42"/>
      <c r="NRR81" s="42"/>
      <c r="NRS81" s="42"/>
      <c r="NRT81" s="42"/>
      <c r="NRU81" s="43"/>
      <c r="NRV81" s="24"/>
      <c r="NRW81" s="24"/>
      <c r="NRX81" s="25"/>
      <c r="NRY81" s="23"/>
      <c r="NRZ81" s="23"/>
      <c r="NSA81" s="42"/>
      <c r="NSB81" s="427"/>
      <c r="NSC81" s="22"/>
      <c r="NSD81" s="76"/>
      <c r="NSE81" s="42"/>
      <c r="NSF81" s="42"/>
      <c r="NSG81" s="42"/>
      <c r="NSH81" s="42"/>
      <c r="NSI81" s="42"/>
      <c r="NSJ81" s="43"/>
      <c r="NSK81" s="24"/>
      <c r="NSL81" s="24"/>
      <c r="NSM81" s="25"/>
      <c r="NSN81" s="23"/>
      <c r="NSO81" s="23"/>
      <c r="NSP81" s="42"/>
      <c r="NSQ81" s="427"/>
      <c r="NSR81" s="22"/>
      <c r="NSS81" s="76"/>
      <c r="NST81" s="42"/>
      <c r="NSU81" s="42"/>
      <c r="NSV81" s="42"/>
      <c r="NSW81" s="42"/>
      <c r="NSX81" s="42"/>
      <c r="NSY81" s="43"/>
      <c r="NSZ81" s="24"/>
      <c r="NTA81" s="24"/>
      <c r="NTB81" s="25"/>
      <c r="NTC81" s="23"/>
      <c r="NTD81" s="23"/>
      <c r="NTE81" s="42"/>
      <c r="NTF81" s="427"/>
      <c r="NTG81" s="22"/>
      <c r="NTH81" s="76"/>
      <c r="NTI81" s="42"/>
      <c r="NTJ81" s="42"/>
      <c r="NTK81" s="42"/>
      <c r="NTL81" s="42"/>
      <c r="NTM81" s="42"/>
      <c r="NTN81" s="43"/>
      <c r="NTO81" s="24"/>
      <c r="NTP81" s="24"/>
      <c r="NTQ81" s="25"/>
      <c r="NTR81" s="23"/>
      <c r="NTS81" s="23"/>
      <c r="NTT81" s="42"/>
      <c r="NTU81" s="427"/>
      <c r="NTV81" s="22"/>
      <c r="NTW81" s="76"/>
      <c r="NTX81" s="42"/>
      <c r="NTY81" s="42"/>
      <c r="NTZ81" s="42"/>
      <c r="NUA81" s="42"/>
      <c r="NUB81" s="42"/>
      <c r="NUC81" s="43"/>
      <c r="NUD81" s="24"/>
      <c r="NUE81" s="24"/>
      <c r="NUF81" s="25"/>
      <c r="NUG81" s="23"/>
      <c r="NUH81" s="23"/>
      <c r="NUI81" s="42"/>
      <c r="NUJ81" s="427"/>
      <c r="NUK81" s="22"/>
      <c r="NUL81" s="76"/>
      <c r="NUM81" s="42"/>
      <c r="NUN81" s="42"/>
      <c r="NUO81" s="42"/>
      <c r="NUP81" s="42"/>
      <c r="NUQ81" s="42"/>
      <c r="NUR81" s="43"/>
      <c r="NUS81" s="24"/>
      <c r="NUT81" s="24"/>
      <c r="NUU81" s="25"/>
      <c r="NUV81" s="23"/>
      <c r="NUW81" s="23"/>
      <c r="NUX81" s="42"/>
      <c r="NUY81" s="427"/>
      <c r="NUZ81" s="22"/>
      <c r="NVA81" s="76"/>
      <c r="NVB81" s="42"/>
      <c r="NVC81" s="42"/>
      <c r="NVD81" s="42"/>
      <c r="NVE81" s="42"/>
      <c r="NVF81" s="42"/>
      <c r="NVG81" s="43"/>
      <c r="NVH81" s="24"/>
      <c r="NVI81" s="24"/>
      <c r="NVJ81" s="25"/>
      <c r="NVK81" s="23"/>
      <c r="NVL81" s="23"/>
      <c r="NVM81" s="42"/>
      <c r="NVN81" s="427"/>
      <c r="NVO81" s="22"/>
      <c r="NVP81" s="76"/>
      <c r="NVQ81" s="42"/>
      <c r="NVR81" s="42"/>
      <c r="NVS81" s="42"/>
      <c r="NVT81" s="42"/>
      <c r="NVU81" s="42"/>
      <c r="NVV81" s="43"/>
      <c r="NVW81" s="24"/>
      <c r="NVX81" s="24"/>
      <c r="NVY81" s="25"/>
      <c r="NVZ81" s="23"/>
      <c r="NWA81" s="23"/>
      <c r="NWB81" s="42"/>
      <c r="NWC81" s="427"/>
      <c r="NWD81" s="22"/>
      <c r="NWE81" s="76"/>
      <c r="NWF81" s="42"/>
      <c r="NWG81" s="42"/>
      <c r="NWH81" s="42"/>
      <c r="NWI81" s="42"/>
      <c r="NWJ81" s="42"/>
      <c r="NWK81" s="43"/>
      <c r="NWL81" s="24"/>
      <c r="NWM81" s="24"/>
      <c r="NWN81" s="25"/>
      <c r="NWO81" s="23"/>
      <c r="NWP81" s="23"/>
      <c r="NWQ81" s="42"/>
      <c r="NWR81" s="427"/>
      <c r="NWS81" s="22"/>
      <c r="NWT81" s="76"/>
      <c r="NWU81" s="42"/>
      <c r="NWV81" s="42"/>
      <c r="NWW81" s="42"/>
      <c r="NWX81" s="42"/>
      <c r="NWY81" s="42"/>
      <c r="NWZ81" s="43"/>
      <c r="NXA81" s="24"/>
      <c r="NXB81" s="24"/>
      <c r="NXC81" s="25"/>
      <c r="NXD81" s="23"/>
      <c r="NXE81" s="23"/>
      <c r="NXF81" s="42"/>
      <c r="NXG81" s="427"/>
      <c r="NXH81" s="22"/>
      <c r="NXI81" s="76"/>
      <c r="NXJ81" s="42"/>
      <c r="NXK81" s="42"/>
      <c r="NXL81" s="42"/>
      <c r="NXM81" s="42"/>
      <c r="NXN81" s="42"/>
      <c r="NXO81" s="43"/>
      <c r="NXP81" s="24"/>
      <c r="NXQ81" s="24"/>
      <c r="NXR81" s="25"/>
      <c r="NXS81" s="23"/>
      <c r="NXT81" s="23"/>
      <c r="NXU81" s="42"/>
      <c r="NXV81" s="427"/>
      <c r="NXW81" s="22"/>
      <c r="NXX81" s="76"/>
      <c r="NXY81" s="42"/>
      <c r="NXZ81" s="42"/>
      <c r="NYA81" s="42"/>
      <c r="NYB81" s="42"/>
      <c r="NYC81" s="42"/>
      <c r="NYD81" s="43"/>
      <c r="NYE81" s="24"/>
      <c r="NYF81" s="24"/>
      <c r="NYG81" s="25"/>
      <c r="NYH81" s="23"/>
      <c r="NYI81" s="23"/>
      <c r="NYJ81" s="42"/>
      <c r="NYK81" s="427"/>
      <c r="NYL81" s="22"/>
      <c r="NYM81" s="76"/>
      <c r="NYN81" s="42"/>
      <c r="NYO81" s="42"/>
      <c r="NYP81" s="42"/>
      <c r="NYQ81" s="42"/>
      <c r="NYR81" s="42"/>
      <c r="NYS81" s="43"/>
      <c r="NYT81" s="24"/>
      <c r="NYU81" s="24"/>
      <c r="NYV81" s="25"/>
      <c r="NYW81" s="23"/>
      <c r="NYX81" s="23"/>
      <c r="NYY81" s="42"/>
      <c r="NYZ81" s="427"/>
      <c r="NZA81" s="22"/>
      <c r="NZB81" s="76"/>
      <c r="NZC81" s="42"/>
      <c r="NZD81" s="42"/>
      <c r="NZE81" s="42"/>
      <c r="NZF81" s="42"/>
      <c r="NZG81" s="42"/>
      <c r="NZH81" s="43"/>
      <c r="NZI81" s="24"/>
      <c r="NZJ81" s="24"/>
      <c r="NZK81" s="25"/>
      <c r="NZL81" s="23"/>
      <c r="NZM81" s="23"/>
      <c r="NZN81" s="42"/>
      <c r="NZO81" s="427"/>
      <c r="NZP81" s="22"/>
      <c r="NZQ81" s="76"/>
      <c r="NZR81" s="42"/>
      <c r="NZS81" s="42"/>
      <c r="NZT81" s="42"/>
      <c r="NZU81" s="42"/>
      <c r="NZV81" s="42"/>
      <c r="NZW81" s="43"/>
      <c r="NZX81" s="24"/>
      <c r="NZY81" s="24"/>
      <c r="NZZ81" s="25"/>
      <c r="OAA81" s="23"/>
      <c r="OAB81" s="23"/>
      <c r="OAC81" s="42"/>
      <c r="OAD81" s="427"/>
      <c r="OAE81" s="22"/>
      <c r="OAF81" s="76"/>
      <c r="OAG81" s="42"/>
      <c r="OAH81" s="42"/>
      <c r="OAI81" s="42"/>
      <c r="OAJ81" s="42"/>
      <c r="OAK81" s="42"/>
      <c r="OAL81" s="43"/>
      <c r="OAM81" s="24"/>
      <c r="OAN81" s="24"/>
      <c r="OAO81" s="25"/>
      <c r="OAP81" s="23"/>
      <c r="OAQ81" s="23"/>
      <c r="OAR81" s="42"/>
      <c r="OAS81" s="427"/>
      <c r="OAT81" s="22"/>
      <c r="OAU81" s="76"/>
      <c r="OAV81" s="42"/>
      <c r="OAW81" s="42"/>
      <c r="OAX81" s="42"/>
      <c r="OAY81" s="42"/>
      <c r="OAZ81" s="42"/>
      <c r="OBA81" s="43"/>
      <c r="OBB81" s="24"/>
      <c r="OBC81" s="24"/>
      <c r="OBD81" s="25"/>
      <c r="OBE81" s="23"/>
      <c r="OBF81" s="23"/>
      <c r="OBG81" s="42"/>
      <c r="OBH81" s="427"/>
      <c r="OBI81" s="22"/>
      <c r="OBJ81" s="76"/>
      <c r="OBK81" s="42"/>
      <c r="OBL81" s="42"/>
      <c r="OBM81" s="42"/>
      <c r="OBN81" s="42"/>
      <c r="OBO81" s="42"/>
      <c r="OBP81" s="43"/>
      <c r="OBQ81" s="24"/>
      <c r="OBR81" s="24"/>
      <c r="OBS81" s="25"/>
      <c r="OBT81" s="23"/>
      <c r="OBU81" s="23"/>
      <c r="OBV81" s="42"/>
      <c r="OBW81" s="427"/>
      <c r="OBX81" s="22"/>
      <c r="OBY81" s="76"/>
      <c r="OBZ81" s="42"/>
      <c r="OCA81" s="42"/>
      <c r="OCB81" s="42"/>
      <c r="OCC81" s="42"/>
      <c r="OCD81" s="42"/>
      <c r="OCE81" s="43"/>
      <c r="OCF81" s="24"/>
      <c r="OCG81" s="24"/>
      <c r="OCH81" s="25"/>
      <c r="OCI81" s="23"/>
      <c r="OCJ81" s="23"/>
      <c r="OCK81" s="42"/>
      <c r="OCL81" s="427"/>
      <c r="OCM81" s="22"/>
      <c r="OCN81" s="76"/>
      <c r="OCO81" s="42"/>
      <c r="OCP81" s="42"/>
      <c r="OCQ81" s="42"/>
      <c r="OCR81" s="42"/>
      <c r="OCS81" s="42"/>
      <c r="OCT81" s="43"/>
      <c r="OCU81" s="24"/>
      <c r="OCV81" s="24"/>
      <c r="OCW81" s="25"/>
      <c r="OCX81" s="23"/>
      <c r="OCY81" s="23"/>
      <c r="OCZ81" s="42"/>
      <c r="ODA81" s="427"/>
      <c r="ODB81" s="22"/>
      <c r="ODC81" s="76"/>
      <c r="ODD81" s="42"/>
      <c r="ODE81" s="42"/>
      <c r="ODF81" s="42"/>
      <c r="ODG81" s="42"/>
      <c r="ODH81" s="42"/>
      <c r="ODI81" s="43"/>
      <c r="ODJ81" s="24"/>
      <c r="ODK81" s="24"/>
      <c r="ODL81" s="25"/>
      <c r="ODM81" s="23"/>
      <c r="ODN81" s="23"/>
      <c r="ODO81" s="42"/>
      <c r="ODP81" s="427"/>
      <c r="ODQ81" s="22"/>
      <c r="ODR81" s="76"/>
      <c r="ODS81" s="42"/>
      <c r="ODT81" s="42"/>
      <c r="ODU81" s="42"/>
      <c r="ODV81" s="42"/>
      <c r="ODW81" s="42"/>
      <c r="ODX81" s="43"/>
      <c r="ODY81" s="24"/>
      <c r="ODZ81" s="24"/>
      <c r="OEA81" s="25"/>
      <c r="OEB81" s="23"/>
      <c r="OEC81" s="23"/>
      <c r="OED81" s="42"/>
      <c r="OEE81" s="427"/>
      <c r="OEF81" s="22"/>
      <c r="OEG81" s="76"/>
      <c r="OEH81" s="42"/>
      <c r="OEI81" s="42"/>
      <c r="OEJ81" s="42"/>
      <c r="OEK81" s="42"/>
      <c r="OEL81" s="42"/>
      <c r="OEM81" s="43"/>
      <c r="OEN81" s="24"/>
      <c r="OEO81" s="24"/>
      <c r="OEP81" s="25"/>
      <c r="OEQ81" s="23"/>
      <c r="OER81" s="23"/>
      <c r="OES81" s="42"/>
      <c r="OET81" s="427"/>
      <c r="OEU81" s="22"/>
      <c r="OEV81" s="76"/>
      <c r="OEW81" s="42"/>
      <c r="OEX81" s="42"/>
      <c r="OEY81" s="42"/>
      <c r="OEZ81" s="42"/>
      <c r="OFA81" s="42"/>
      <c r="OFB81" s="43"/>
      <c r="OFC81" s="24"/>
      <c r="OFD81" s="24"/>
      <c r="OFE81" s="25"/>
      <c r="OFF81" s="23"/>
      <c r="OFG81" s="23"/>
      <c r="OFH81" s="42"/>
      <c r="OFI81" s="427"/>
      <c r="OFJ81" s="22"/>
      <c r="OFK81" s="76"/>
      <c r="OFL81" s="42"/>
      <c r="OFM81" s="42"/>
      <c r="OFN81" s="42"/>
      <c r="OFO81" s="42"/>
      <c r="OFP81" s="42"/>
      <c r="OFQ81" s="43"/>
      <c r="OFR81" s="24"/>
      <c r="OFS81" s="24"/>
      <c r="OFT81" s="25"/>
      <c r="OFU81" s="23"/>
      <c r="OFV81" s="23"/>
      <c r="OFW81" s="42"/>
      <c r="OFX81" s="427"/>
      <c r="OFY81" s="22"/>
      <c r="OFZ81" s="76"/>
      <c r="OGA81" s="42"/>
      <c r="OGB81" s="42"/>
      <c r="OGC81" s="42"/>
      <c r="OGD81" s="42"/>
      <c r="OGE81" s="42"/>
      <c r="OGF81" s="43"/>
      <c r="OGG81" s="24"/>
      <c r="OGH81" s="24"/>
      <c r="OGI81" s="25"/>
      <c r="OGJ81" s="23"/>
      <c r="OGK81" s="23"/>
      <c r="OGL81" s="42"/>
      <c r="OGM81" s="427"/>
      <c r="OGN81" s="22"/>
      <c r="OGO81" s="76"/>
      <c r="OGP81" s="42"/>
      <c r="OGQ81" s="42"/>
      <c r="OGR81" s="42"/>
      <c r="OGS81" s="42"/>
      <c r="OGT81" s="42"/>
      <c r="OGU81" s="43"/>
      <c r="OGV81" s="24"/>
      <c r="OGW81" s="24"/>
      <c r="OGX81" s="25"/>
      <c r="OGY81" s="23"/>
      <c r="OGZ81" s="23"/>
      <c r="OHA81" s="42"/>
      <c r="OHB81" s="427"/>
      <c r="OHC81" s="22"/>
      <c r="OHD81" s="76"/>
      <c r="OHE81" s="42"/>
      <c r="OHF81" s="42"/>
      <c r="OHG81" s="42"/>
      <c r="OHH81" s="42"/>
      <c r="OHI81" s="42"/>
      <c r="OHJ81" s="43"/>
      <c r="OHK81" s="24"/>
      <c r="OHL81" s="24"/>
      <c r="OHM81" s="25"/>
      <c r="OHN81" s="23"/>
      <c r="OHO81" s="23"/>
      <c r="OHP81" s="42"/>
      <c r="OHQ81" s="427"/>
      <c r="OHR81" s="22"/>
      <c r="OHS81" s="76"/>
      <c r="OHT81" s="42"/>
      <c r="OHU81" s="42"/>
      <c r="OHV81" s="42"/>
      <c r="OHW81" s="42"/>
      <c r="OHX81" s="42"/>
      <c r="OHY81" s="43"/>
      <c r="OHZ81" s="24"/>
      <c r="OIA81" s="24"/>
      <c r="OIB81" s="25"/>
      <c r="OIC81" s="23"/>
      <c r="OID81" s="23"/>
      <c r="OIE81" s="42"/>
      <c r="OIF81" s="427"/>
      <c r="OIG81" s="22"/>
      <c r="OIH81" s="76"/>
      <c r="OII81" s="42"/>
      <c r="OIJ81" s="42"/>
      <c r="OIK81" s="42"/>
      <c r="OIL81" s="42"/>
      <c r="OIM81" s="42"/>
      <c r="OIN81" s="43"/>
      <c r="OIO81" s="24"/>
      <c r="OIP81" s="24"/>
      <c r="OIQ81" s="25"/>
      <c r="OIR81" s="23"/>
      <c r="OIS81" s="23"/>
      <c r="OIT81" s="42"/>
      <c r="OIU81" s="427"/>
      <c r="OIV81" s="22"/>
      <c r="OIW81" s="76"/>
      <c r="OIX81" s="42"/>
      <c r="OIY81" s="42"/>
      <c r="OIZ81" s="42"/>
      <c r="OJA81" s="42"/>
      <c r="OJB81" s="42"/>
      <c r="OJC81" s="43"/>
      <c r="OJD81" s="24"/>
      <c r="OJE81" s="24"/>
      <c r="OJF81" s="25"/>
      <c r="OJG81" s="23"/>
      <c r="OJH81" s="23"/>
      <c r="OJI81" s="42"/>
      <c r="OJJ81" s="427"/>
      <c r="OJK81" s="22"/>
      <c r="OJL81" s="76"/>
      <c r="OJM81" s="42"/>
      <c r="OJN81" s="42"/>
      <c r="OJO81" s="42"/>
      <c r="OJP81" s="42"/>
      <c r="OJQ81" s="42"/>
      <c r="OJR81" s="43"/>
      <c r="OJS81" s="24"/>
      <c r="OJT81" s="24"/>
      <c r="OJU81" s="25"/>
      <c r="OJV81" s="23"/>
      <c r="OJW81" s="23"/>
      <c r="OJX81" s="42"/>
      <c r="OJY81" s="427"/>
      <c r="OJZ81" s="22"/>
      <c r="OKA81" s="76"/>
      <c r="OKB81" s="42"/>
      <c r="OKC81" s="42"/>
      <c r="OKD81" s="42"/>
      <c r="OKE81" s="42"/>
      <c r="OKF81" s="42"/>
      <c r="OKG81" s="43"/>
      <c r="OKH81" s="24"/>
      <c r="OKI81" s="24"/>
      <c r="OKJ81" s="25"/>
      <c r="OKK81" s="23"/>
      <c r="OKL81" s="23"/>
      <c r="OKM81" s="42"/>
      <c r="OKN81" s="427"/>
      <c r="OKO81" s="22"/>
      <c r="OKP81" s="76"/>
      <c r="OKQ81" s="42"/>
      <c r="OKR81" s="42"/>
      <c r="OKS81" s="42"/>
      <c r="OKT81" s="42"/>
      <c r="OKU81" s="42"/>
      <c r="OKV81" s="43"/>
      <c r="OKW81" s="24"/>
      <c r="OKX81" s="24"/>
      <c r="OKY81" s="25"/>
      <c r="OKZ81" s="23"/>
      <c r="OLA81" s="23"/>
      <c r="OLB81" s="42"/>
      <c r="OLC81" s="427"/>
      <c r="OLD81" s="22"/>
      <c r="OLE81" s="76"/>
      <c r="OLF81" s="42"/>
      <c r="OLG81" s="42"/>
      <c r="OLH81" s="42"/>
      <c r="OLI81" s="42"/>
      <c r="OLJ81" s="42"/>
      <c r="OLK81" s="43"/>
      <c r="OLL81" s="24"/>
      <c r="OLM81" s="24"/>
      <c r="OLN81" s="25"/>
      <c r="OLO81" s="23"/>
      <c r="OLP81" s="23"/>
      <c r="OLQ81" s="42"/>
      <c r="OLR81" s="427"/>
      <c r="OLS81" s="22"/>
      <c r="OLT81" s="76"/>
      <c r="OLU81" s="42"/>
      <c r="OLV81" s="42"/>
      <c r="OLW81" s="42"/>
      <c r="OLX81" s="42"/>
      <c r="OLY81" s="42"/>
      <c r="OLZ81" s="43"/>
      <c r="OMA81" s="24"/>
      <c r="OMB81" s="24"/>
      <c r="OMC81" s="25"/>
      <c r="OMD81" s="23"/>
      <c r="OME81" s="23"/>
      <c r="OMF81" s="42"/>
      <c r="OMG81" s="427"/>
      <c r="OMH81" s="22"/>
      <c r="OMI81" s="76"/>
      <c r="OMJ81" s="42"/>
      <c r="OMK81" s="42"/>
      <c r="OML81" s="42"/>
      <c r="OMM81" s="42"/>
      <c r="OMN81" s="42"/>
      <c r="OMO81" s="43"/>
      <c r="OMP81" s="24"/>
      <c r="OMQ81" s="24"/>
      <c r="OMR81" s="25"/>
      <c r="OMS81" s="23"/>
      <c r="OMT81" s="23"/>
      <c r="OMU81" s="42"/>
      <c r="OMV81" s="427"/>
      <c r="OMW81" s="22"/>
      <c r="OMX81" s="76"/>
      <c r="OMY81" s="42"/>
      <c r="OMZ81" s="42"/>
      <c r="ONA81" s="42"/>
      <c r="ONB81" s="42"/>
      <c r="ONC81" s="42"/>
      <c r="OND81" s="43"/>
      <c r="ONE81" s="24"/>
      <c r="ONF81" s="24"/>
      <c r="ONG81" s="25"/>
      <c r="ONH81" s="23"/>
      <c r="ONI81" s="23"/>
      <c r="ONJ81" s="42"/>
      <c r="ONK81" s="427"/>
      <c r="ONL81" s="22"/>
      <c r="ONM81" s="76"/>
      <c r="ONN81" s="42"/>
      <c r="ONO81" s="42"/>
      <c r="ONP81" s="42"/>
      <c r="ONQ81" s="42"/>
      <c r="ONR81" s="42"/>
      <c r="ONS81" s="43"/>
      <c r="ONT81" s="24"/>
      <c r="ONU81" s="24"/>
      <c r="ONV81" s="25"/>
      <c r="ONW81" s="23"/>
      <c r="ONX81" s="23"/>
      <c r="ONY81" s="42"/>
      <c r="ONZ81" s="427"/>
      <c r="OOA81" s="22"/>
      <c r="OOB81" s="76"/>
      <c r="OOC81" s="42"/>
      <c r="OOD81" s="42"/>
      <c r="OOE81" s="42"/>
      <c r="OOF81" s="42"/>
      <c r="OOG81" s="42"/>
      <c r="OOH81" s="43"/>
      <c r="OOI81" s="24"/>
      <c r="OOJ81" s="24"/>
      <c r="OOK81" s="25"/>
      <c r="OOL81" s="23"/>
      <c r="OOM81" s="23"/>
      <c r="OON81" s="42"/>
      <c r="OOO81" s="427"/>
      <c r="OOP81" s="22"/>
      <c r="OOQ81" s="76"/>
      <c r="OOR81" s="42"/>
      <c r="OOS81" s="42"/>
      <c r="OOT81" s="42"/>
      <c r="OOU81" s="42"/>
      <c r="OOV81" s="42"/>
      <c r="OOW81" s="43"/>
      <c r="OOX81" s="24"/>
      <c r="OOY81" s="24"/>
      <c r="OOZ81" s="25"/>
      <c r="OPA81" s="23"/>
      <c r="OPB81" s="23"/>
      <c r="OPC81" s="42"/>
      <c r="OPD81" s="427"/>
      <c r="OPE81" s="22"/>
      <c r="OPF81" s="76"/>
      <c r="OPG81" s="42"/>
      <c r="OPH81" s="42"/>
      <c r="OPI81" s="42"/>
      <c r="OPJ81" s="42"/>
      <c r="OPK81" s="42"/>
      <c r="OPL81" s="43"/>
      <c r="OPM81" s="24"/>
      <c r="OPN81" s="24"/>
      <c r="OPO81" s="25"/>
      <c r="OPP81" s="23"/>
      <c r="OPQ81" s="23"/>
      <c r="OPR81" s="42"/>
      <c r="OPS81" s="427"/>
      <c r="OPT81" s="22"/>
      <c r="OPU81" s="76"/>
      <c r="OPV81" s="42"/>
      <c r="OPW81" s="42"/>
      <c r="OPX81" s="42"/>
      <c r="OPY81" s="42"/>
      <c r="OPZ81" s="42"/>
      <c r="OQA81" s="43"/>
      <c r="OQB81" s="24"/>
      <c r="OQC81" s="24"/>
      <c r="OQD81" s="25"/>
      <c r="OQE81" s="23"/>
      <c r="OQF81" s="23"/>
      <c r="OQG81" s="42"/>
      <c r="OQH81" s="427"/>
      <c r="OQI81" s="22"/>
      <c r="OQJ81" s="76"/>
      <c r="OQK81" s="42"/>
      <c r="OQL81" s="42"/>
      <c r="OQM81" s="42"/>
      <c r="OQN81" s="42"/>
      <c r="OQO81" s="42"/>
      <c r="OQP81" s="43"/>
      <c r="OQQ81" s="24"/>
      <c r="OQR81" s="24"/>
      <c r="OQS81" s="25"/>
      <c r="OQT81" s="23"/>
      <c r="OQU81" s="23"/>
      <c r="OQV81" s="42"/>
      <c r="OQW81" s="427"/>
      <c r="OQX81" s="22"/>
      <c r="OQY81" s="76"/>
      <c r="OQZ81" s="42"/>
      <c r="ORA81" s="42"/>
      <c r="ORB81" s="42"/>
      <c r="ORC81" s="42"/>
      <c r="ORD81" s="42"/>
      <c r="ORE81" s="43"/>
      <c r="ORF81" s="24"/>
      <c r="ORG81" s="24"/>
      <c r="ORH81" s="25"/>
      <c r="ORI81" s="23"/>
      <c r="ORJ81" s="23"/>
      <c r="ORK81" s="42"/>
      <c r="ORL81" s="427"/>
      <c r="ORM81" s="22"/>
      <c r="ORN81" s="76"/>
      <c r="ORO81" s="42"/>
      <c r="ORP81" s="42"/>
      <c r="ORQ81" s="42"/>
      <c r="ORR81" s="42"/>
      <c r="ORS81" s="42"/>
      <c r="ORT81" s="43"/>
      <c r="ORU81" s="24"/>
      <c r="ORV81" s="24"/>
      <c r="ORW81" s="25"/>
      <c r="ORX81" s="23"/>
      <c r="ORY81" s="23"/>
      <c r="ORZ81" s="42"/>
      <c r="OSA81" s="427"/>
      <c r="OSB81" s="22"/>
      <c r="OSC81" s="76"/>
      <c r="OSD81" s="42"/>
      <c r="OSE81" s="42"/>
      <c r="OSF81" s="42"/>
      <c r="OSG81" s="42"/>
      <c r="OSH81" s="42"/>
      <c r="OSI81" s="43"/>
      <c r="OSJ81" s="24"/>
      <c r="OSK81" s="24"/>
      <c r="OSL81" s="25"/>
      <c r="OSM81" s="23"/>
      <c r="OSN81" s="23"/>
      <c r="OSO81" s="42"/>
      <c r="OSP81" s="427"/>
      <c r="OSQ81" s="22"/>
      <c r="OSR81" s="76"/>
      <c r="OSS81" s="42"/>
      <c r="OST81" s="42"/>
      <c r="OSU81" s="42"/>
      <c r="OSV81" s="42"/>
      <c r="OSW81" s="42"/>
      <c r="OSX81" s="43"/>
      <c r="OSY81" s="24"/>
      <c r="OSZ81" s="24"/>
      <c r="OTA81" s="25"/>
      <c r="OTB81" s="23"/>
      <c r="OTC81" s="23"/>
      <c r="OTD81" s="42"/>
      <c r="OTE81" s="427"/>
      <c r="OTF81" s="22"/>
      <c r="OTG81" s="76"/>
      <c r="OTH81" s="42"/>
      <c r="OTI81" s="42"/>
      <c r="OTJ81" s="42"/>
      <c r="OTK81" s="42"/>
      <c r="OTL81" s="42"/>
      <c r="OTM81" s="43"/>
      <c r="OTN81" s="24"/>
      <c r="OTO81" s="24"/>
      <c r="OTP81" s="25"/>
      <c r="OTQ81" s="23"/>
      <c r="OTR81" s="23"/>
      <c r="OTS81" s="42"/>
      <c r="OTT81" s="427"/>
      <c r="OTU81" s="22"/>
      <c r="OTV81" s="76"/>
      <c r="OTW81" s="42"/>
      <c r="OTX81" s="42"/>
      <c r="OTY81" s="42"/>
      <c r="OTZ81" s="42"/>
      <c r="OUA81" s="42"/>
      <c r="OUB81" s="43"/>
      <c r="OUC81" s="24"/>
      <c r="OUD81" s="24"/>
      <c r="OUE81" s="25"/>
      <c r="OUF81" s="23"/>
      <c r="OUG81" s="23"/>
      <c r="OUH81" s="42"/>
      <c r="OUI81" s="427"/>
      <c r="OUJ81" s="22"/>
      <c r="OUK81" s="76"/>
      <c r="OUL81" s="42"/>
      <c r="OUM81" s="42"/>
      <c r="OUN81" s="42"/>
      <c r="OUO81" s="42"/>
      <c r="OUP81" s="42"/>
      <c r="OUQ81" s="43"/>
      <c r="OUR81" s="24"/>
      <c r="OUS81" s="24"/>
      <c r="OUT81" s="25"/>
      <c r="OUU81" s="23"/>
      <c r="OUV81" s="23"/>
      <c r="OUW81" s="42"/>
      <c r="OUX81" s="427"/>
      <c r="OUY81" s="22"/>
      <c r="OUZ81" s="76"/>
      <c r="OVA81" s="42"/>
      <c r="OVB81" s="42"/>
      <c r="OVC81" s="42"/>
      <c r="OVD81" s="42"/>
      <c r="OVE81" s="42"/>
      <c r="OVF81" s="43"/>
      <c r="OVG81" s="24"/>
      <c r="OVH81" s="24"/>
      <c r="OVI81" s="25"/>
      <c r="OVJ81" s="23"/>
      <c r="OVK81" s="23"/>
      <c r="OVL81" s="42"/>
      <c r="OVM81" s="427"/>
      <c r="OVN81" s="22"/>
      <c r="OVO81" s="76"/>
      <c r="OVP81" s="42"/>
      <c r="OVQ81" s="42"/>
      <c r="OVR81" s="42"/>
      <c r="OVS81" s="42"/>
      <c r="OVT81" s="42"/>
      <c r="OVU81" s="43"/>
      <c r="OVV81" s="24"/>
      <c r="OVW81" s="24"/>
      <c r="OVX81" s="25"/>
      <c r="OVY81" s="23"/>
      <c r="OVZ81" s="23"/>
      <c r="OWA81" s="42"/>
      <c r="OWB81" s="427"/>
      <c r="OWC81" s="22"/>
      <c r="OWD81" s="76"/>
      <c r="OWE81" s="42"/>
      <c r="OWF81" s="42"/>
      <c r="OWG81" s="42"/>
      <c r="OWH81" s="42"/>
      <c r="OWI81" s="42"/>
      <c r="OWJ81" s="43"/>
      <c r="OWK81" s="24"/>
      <c r="OWL81" s="24"/>
      <c r="OWM81" s="25"/>
      <c r="OWN81" s="23"/>
      <c r="OWO81" s="23"/>
      <c r="OWP81" s="42"/>
      <c r="OWQ81" s="427"/>
      <c r="OWR81" s="22"/>
      <c r="OWS81" s="76"/>
      <c r="OWT81" s="42"/>
      <c r="OWU81" s="42"/>
      <c r="OWV81" s="42"/>
      <c r="OWW81" s="42"/>
      <c r="OWX81" s="42"/>
      <c r="OWY81" s="43"/>
      <c r="OWZ81" s="24"/>
      <c r="OXA81" s="24"/>
      <c r="OXB81" s="25"/>
      <c r="OXC81" s="23"/>
      <c r="OXD81" s="23"/>
      <c r="OXE81" s="42"/>
      <c r="OXF81" s="427"/>
      <c r="OXG81" s="22"/>
      <c r="OXH81" s="76"/>
      <c r="OXI81" s="42"/>
      <c r="OXJ81" s="42"/>
      <c r="OXK81" s="42"/>
      <c r="OXL81" s="42"/>
      <c r="OXM81" s="42"/>
      <c r="OXN81" s="43"/>
      <c r="OXO81" s="24"/>
      <c r="OXP81" s="24"/>
      <c r="OXQ81" s="25"/>
      <c r="OXR81" s="23"/>
      <c r="OXS81" s="23"/>
      <c r="OXT81" s="42"/>
      <c r="OXU81" s="427"/>
      <c r="OXV81" s="22"/>
      <c r="OXW81" s="76"/>
      <c r="OXX81" s="42"/>
      <c r="OXY81" s="42"/>
      <c r="OXZ81" s="42"/>
      <c r="OYA81" s="42"/>
      <c r="OYB81" s="42"/>
      <c r="OYC81" s="43"/>
      <c r="OYD81" s="24"/>
      <c r="OYE81" s="24"/>
      <c r="OYF81" s="25"/>
      <c r="OYG81" s="23"/>
      <c r="OYH81" s="23"/>
      <c r="OYI81" s="42"/>
      <c r="OYJ81" s="427"/>
      <c r="OYK81" s="22"/>
      <c r="OYL81" s="76"/>
      <c r="OYM81" s="42"/>
      <c r="OYN81" s="42"/>
      <c r="OYO81" s="42"/>
      <c r="OYP81" s="42"/>
      <c r="OYQ81" s="42"/>
      <c r="OYR81" s="43"/>
      <c r="OYS81" s="24"/>
      <c r="OYT81" s="24"/>
      <c r="OYU81" s="25"/>
      <c r="OYV81" s="23"/>
      <c r="OYW81" s="23"/>
      <c r="OYX81" s="42"/>
      <c r="OYY81" s="427"/>
      <c r="OYZ81" s="22"/>
      <c r="OZA81" s="76"/>
      <c r="OZB81" s="42"/>
      <c r="OZC81" s="42"/>
      <c r="OZD81" s="42"/>
      <c r="OZE81" s="42"/>
      <c r="OZF81" s="42"/>
      <c r="OZG81" s="43"/>
      <c r="OZH81" s="24"/>
      <c r="OZI81" s="24"/>
      <c r="OZJ81" s="25"/>
      <c r="OZK81" s="23"/>
      <c r="OZL81" s="23"/>
      <c r="OZM81" s="42"/>
      <c r="OZN81" s="427"/>
      <c r="OZO81" s="22"/>
      <c r="OZP81" s="76"/>
      <c r="OZQ81" s="42"/>
      <c r="OZR81" s="42"/>
      <c r="OZS81" s="42"/>
      <c r="OZT81" s="42"/>
      <c r="OZU81" s="42"/>
      <c r="OZV81" s="43"/>
      <c r="OZW81" s="24"/>
      <c r="OZX81" s="24"/>
      <c r="OZY81" s="25"/>
      <c r="OZZ81" s="23"/>
      <c r="PAA81" s="23"/>
      <c r="PAB81" s="42"/>
      <c r="PAC81" s="427"/>
      <c r="PAD81" s="22"/>
      <c r="PAE81" s="76"/>
      <c r="PAF81" s="42"/>
      <c r="PAG81" s="42"/>
      <c r="PAH81" s="42"/>
      <c r="PAI81" s="42"/>
      <c r="PAJ81" s="42"/>
      <c r="PAK81" s="43"/>
      <c r="PAL81" s="24"/>
      <c r="PAM81" s="24"/>
      <c r="PAN81" s="25"/>
      <c r="PAO81" s="23"/>
      <c r="PAP81" s="23"/>
      <c r="PAQ81" s="42"/>
      <c r="PAR81" s="427"/>
      <c r="PAS81" s="22"/>
      <c r="PAT81" s="76"/>
      <c r="PAU81" s="42"/>
      <c r="PAV81" s="42"/>
      <c r="PAW81" s="42"/>
      <c r="PAX81" s="42"/>
      <c r="PAY81" s="42"/>
      <c r="PAZ81" s="43"/>
      <c r="PBA81" s="24"/>
      <c r="PBB81" s="24"/>
      <c r="PBC81" s="25"/>
      <c r="PBD81" s="23"/>
      <c r="PBE81" s="23"/>
      <c r="PBF81" s="42"/>
      <c r="PBG81" s="427"/>
      <c r="PBH81" s="22"/>
      <c r="PBI81" s="76"/>
      <c r="PBJ81" s="42"/>
      <c r="PBK81" s="42"/>
      <c r="PBL81" s="42"/>
      <c r="PBM81" s="42"/>
      <c r="PBN81" s="42"/>
      <c r="PBO81" s="43"/>
      <c r="PBP81" s="24"/>
      <c r="PBQ81" s="24"/>
      <c r="PBR81" s="25"/>
      <c r="PBS81" s="23"/>
      <c r="PBT81" s="23"/>
      <c r="PBU81" s="42"/>
      <c r="PBV81" s="427"/>
      <c r="PBW81" s="22"/>
      <c r="PBX81" s="76"/>
      <c r="PBY81" s="42"/>
      <c r="PBZ81" s="42"/>
      <c r="PCA81" s="42"/>
      <c r="PCB81" s="42"/>
      <c r="PCC81" s="42"/>
      <c r="PCD81" s="43"/>
      <c r="PCE81" s="24"/>
      <c r="PCF81" s="24"/>
      <c r="PCG81" s="25"/>
      <c r="PCH81" s="23"/>
      <c r="PCI81" s="23"/>
      <c r="PCJ81" s="42"/>
      <c r="PCK81" s="427"/>
      <c r="PCL81" s="22"/>
      <c r="PCM81" s="76"/>
      <c r="PCN81" s="42"/>
      <c r="PCO81" s="42"/>
      <c r="PCP81" s="42"/>
      <c r="PCQ81" s="42"/>
      <c r="PCR81" s="42"/>
      <c r="PCS81" s="43"/>
      <c r="PCT81" s="24"/>
      <c r="PCU81" s="24"/>
      <c r="PCV81" s="25"/>
      <c r="PCW81" s="23"/>
      <c r="PCX81" s="23"/>
      <c r="PCY81" s="42"/>
      <c r="PCZ81" s="427"/>
      <c r="PDA81" s="22"/>
      <c r="PDB81" s="76"/>
      <c r="PDC81" s="42"/>
      <c r="PDD81" s="42"/>
      <c r="PDE81" s="42"/>
      <c r="PDF81" s="42"/>
      <c r="PDG81" s="42"/>
      <c r="PDH81" s="43"/>
      <c r="PDI81" s="24"/>
      <c r="PDJ81" s="24"/>
      <c r="PDK81" s="25"/>
      <c r="PDL81" s="23"/>
      <c r="PDM81" s="23"/>
      <c r="PDN81" s="42"/>
      <c r="PDO81" s="427"/>
      <c r="PDP81" s="22"/>
      <c r="PDQ81" s="76"/>
      <c r="PDR81" s="42"/>
      <c r="PDS81" s="42"/>
      <c r="PDT81" s="42"/>
      <c r="PDU81" s="42"/>
      <c r="PDV81" s="42"/>
      <c r="PDW81" s="43"/>
      <c r="PDX81" s="24"/>
      <c r="PDY81" s="24"/>
      <c r="PDZ81" s="25"/>
      <c r="PEA81" s="23"/>
      <c r="PEB81" s="23"/>
      <c r="PEC81" s="42"/>
      <c r="PED81" s="427"/>
      <c r="PEE81" s="22"/>
      <c r="PEF81" s="76"/>
      <c r="PEG81" s="42"/>
      <c r="PEH81" s="42"/>
      <c r="PEI81" s="42"/>
      <c r="PEJ81" s="42"/>
      <c r="PEK81" s="42"/>
      <c r="PEL81" s="43"/>
      <c r="PEM81" s="24"/>
      <c r="PEN81" s="24"/>
      <c r="PEO81" s="25"/>
      <c r="PEP81" s="23"/>
      <c r="PEQ81" s="23"/>
      <c r="PER81" s="42"/>
      <c r="PES81" s="427"/>
      <c r="PET81" s="22"/>
      <c r="PEU81" s="76"/>
      <c r="PEV81" s="42"/>
      <c r="PEW81" s="42"/>
      <c r="PEX81" s="42"/>
      <c r="PEY81" s="42"/>
      <c r="PEZ81" s="42"/>
      <c r="PFA81" s="43"/>
      <c r="PFB81" s="24"/>
      <c r="PFC81" s="24"/>
      <c r="PFD81" s="25"/>
      <c r="PFE81" s="23"/>
      <c r="PFF81" s="23"/>
      <c r="PFG81" s="42"/>
      <c r="PFH81" s="427"/>
      <c r="PFI81" s="22"/>
      <c r="PFJ81" s="76"/>
      <c r="PFK81" s="42"/>
      <c r="PFL81" s="42"/>
      <c r="PFM81" s="42"/>
      <c r="PFN81" s="42"/>
      <c r="PFO81" s="42"/>
      <c r="PFP81" s="43"/>
      <c r="PFQ81" s="24"/>
      <c r="PFR81" s="24"/>
      <c r="PFS81" s="25"/>
      <c r="PFT81" s="23"/>
      <c r="PFU81" s="23"/>
      <c r="PFV81" s="42"/>
      <c r="PFW81" s="427"/>
      <c r="PFX81" s="22"/>
      <c r="PFY81" s="76"/>
      <c r="PFZ81" s="42"/>
      <c r="PGA81" s="42"/>
      <c r="PGB81" s="42"/>
      <c r="PGC81" s="42"/>
      <c r="PGD81" s="42"/>
      <c r="PGE81" s="43"/>
      <c r="PGF81" s="24"/>
      <c r="PGG81" s="24"/>
      <c r="PGH81" s="25"/>
      <c r="PGI81" s="23"/>
      <c r="PGJ81" s="23"/>
      <c r="PGK81" s="42"/>
      <c r="PGL81" s="427"/>
      <c r="PGM81" s="22"/>
      <c r="PGN81" s="76"/>
      <c r="PGO81" s="42"/>
      <c r="PGP81" s="42"/>
      <c r="PGQ81" s="42"/>
      <c r="PGR81" s="42"/>
      <c r="PGS81" s="42"/>
      <c r="PGT81" s="43"/>
      <c r="PGU81" s="24"/>
      <c r="PGV81" s="24"/>
      <c r="PGW81" s="25"/>
      <c r="PGX81" s="23"/>
      <c r="PGY81" s="23"/>
      <c r="PGZ81" s="42"/>
      <c r="PHA81" s="427"/>
      <c r="PHB81" s="22"/>
      <c r="PHC81" s="76"/>
      <c r="PHD81" s="42"/>
      <c r="PHE81" s="42"/>
      <c r="PHF81" s="42"/>
      <c r="PHG81" s="42"/>
      <c r="PHH81" s="42"/>
      <c r="PHI81" s="43"/>
      <c r="PHJ81" s="24"/>
      <c r="PHK81" s="24"/>
      <c r="PHL81" s="25"/>
      <c r="PHM81" s="23"/>
      <c r="PHN81" s="23"/>
      <c r="PHO81" s="42"/>
      <c r="PHP81" s="427"/>
      <c r="PHQ81" s="22"/>
      <c r="PHR81" s="76"/>
      <c r="PHS81" s="42"/>
      <c r="PHT81" s="42"/>
      <c r="PHU81" s="42"/>
      <c r="PHV81" s="42"/>
      <c r="PHW81" s="42"/>
      <c r="PHX81" s="43"/>
      <c r="PHY81" s="24"/>
      <c r="PHZ81" s="24"/>
      <c r="PIA81" s="25"/>
      <c r="PIB81" s="23"/>
      <c r="PIC81" s="23"/>
      <c r="PID81" s="42"/>
      <c r="PIE81" s="427"/>
      <c r="PIF81" s="22"/>
      <c r="PIG81" s="76"/>
      <c r="PIH81" s="42"/>
      <c r="PII81" s="42"/>
      <c r="PIJ81" s="42"/>
      <c r="PIK81" s="42"/>
      <c r="PIL81" s="42"/>
      <c r="PIM81" s="43"/>
      <c r="PIN81" s="24"/>
      <c r="PIO81" s="24"/>
      <c r="PIP81" s="25"/>
      <c r="PIQ81" s="23"/>
      <c r="PIR81" s="23"/>
      <c r="PIS81" s="42"/>
      <c r="PIT81" s="427"/>
      <c r="PIU81" s="22"/>
      <c r="PIV81" s="76"/>
      <c r="PIW81" s="42"/>
      <c r="PIX81" s="42"/>
      <c r="PIY81" s="42"/>
      <c r="PIZ81" s="42"/>
      <c r="PJA81" s="42"/>
      <c r="PJB81" s="43"/>
      <c r="PJC81" s="24"/>
      <c r="PJD81" s="24"/>
      <c r="PJE81" s="25"/>
      <c r="PJF81" s="23"/>
      <c r="PJG81" s="23"/>
      <c r="PJH81" s="42"/>
      <c r="PJI81" s="427"/>
      <c r="PJJ81" s="22"/>
      <c r="PJK81" s="76"/>
      <c r="PJL81" s="42"/>
      <c r="PJM81" s="42"/>
      <c r="PJN81" s="42"/>
      <c r="PJO81" s="42"/>
      <c r="PJP81" s="42"/>
      <c r="PJQ81" s="43"/>
      <c r="PJR81" s="24"/>
      <c r="PJS81" s="24"/>
      <c r="PJT81" s="25"/>
      <c r="PJU81" s="23"/>
      <c r="PJV81" s="23"/>
      <c r="PJW81" s="42"/>
      <c r="PJX81" s="427"/>
      <c r="PJY81" s="22"/>
      <c r="PJZ81" s="76"/>
      <c r="PKA81" s="42"/>
      <c r="PKB81" s="42"/>
      <c r="PKC81" s="42"/>
      <c r="PKD81" s="42"/>
      <c r="PKE81" s="42"/>
      <c r="PKF81" s="43"/>
      <c r="PKG81" s="24"/>
      <c r="PKH81" s="24"/>
      <c r="PKI81" s="25"/>
      <c r="PKJ81" s="23"/>
      <c r="PKK81" s="23"/>
      <c r="PKL81" s="42"/>
      <c r="PKM81" s="427"/>
      <c r="PKN81" s="22"/>
      <c r="PKO81" s="76"/>
      <c r="PKP81" s="42"/>
      <c r="PKQ81" s="42"/>
      <c r="PKR81" s="42"/>
      <c r="PKS81" s="42"/>
      <c r="PKT81" s="42"/>
      <c r="PKU81" s="43"/>
      <c r="PKV81" s="24"/>
      <c r="PKW81" s="24"/>
      <c r="PKX81" s="25"/>
      <c r="PKY81" s="23"/>
      <c r="PKZ81" s="23"/>
      <c r="PLA81" s="42"/>
      <c r="PLB81" s="427"/>
      <c r="PLC81" s="22"/>
      <c r="PLD81" s="76"/>
      <c r="PLE81" s="42"/>
      <c r="PLF81" s="42"/>
      <c r="PLG81" s="42"/>
      <c r="PLH81" s="42"/>
      <c r="PLI81" s="42"/>
      <c r="PLJ81" s="43"/>
      <c r="PLK81" s="24"/>
      <c r="PLL81" s="24"/>
      <c r="PLM81" s="25"/>
      <c r="PLN81" s="23"/>
      <c r="PLO81" s="23"/>
      <c r="PLP81" s="42"/>
      <c r="PLQ81" s="427"/>
      <c r="PLR81" s="22"/>
      <c r="PLS81" s="76"/>
      <c r="PLT81" s="42"/>
      <c r="PLU81" s="42"/>
      <c r="PLV81" s="42"/>
      <c r="PLW81" s="42"/>
      <c r="PLX81" s="42"/>
      <c r="PLY81" s="43"/>
      <c r="PLZ81" s="24"/>
      <c r="PMA81" s="24"/>
      <c r="PMB81" s="25"/>
      <c r="PMC81" s="23"/>
      <c r="PMD81" s="23"/>
      <c r="PME81" s="42"/>
      <c r="PMF81" s="427"/>
      <c r="PMG81" s="22"/>
      <c r="PMH81" s="76"/>
      <c r="PMI81" s="42"/>
      <c r="PMJ81" s="42"/>
      <c r="PMK81" s="42"/>
      <c r="PML81" s="42"/>
      <c r="PMM81" s="42"/>
      <c r="PMN81" s="43"/>
      <c r="PMO81" s="24"/>
      <c r="PMP81" s="24"/>
      <c r="PMQ81" s="25"/>
      <c r="PMR81" s="23"/>
      <c r="PMS81" s="23"/>
      <c r="PMT81" s="42"/>
      <c r="PMU81" s="427"/>
      <c r="PMV81" s="22"/>
      <c r="PMW81" s="76"/>
      <c r="PMX81" s="42"/>
      <c r="PMY81" s="42"/>
      <c r="PMZ81" s="42"/>
      <c r="PNA81" s="42"/>
      <c r="PNB81" s="42"/>
      <c r="PNC81" s="43"/>
      <c r="PND81" s="24"/>
      <c r="PNE81" s="24"/>
      <c r="PNF81" s="25"/>
      <c r="PNG81" s="23"/>
      <c r="PNH81" s="23"/>
      <c r="PNI81" s="42"/>
      <c r="PNJ81" s="427"/>
      <c r="PNK81" s="22"/>
      <c r="PNL81" s="76"/>
      <c r="PNM81" s="42"/>
      <c r="PNN81" s="42"/>
      <c r="PNO81" s="42"/>
      <c r="PNP81" s="42"/>
      <c r="PNQ81" s="42"/>
      <c r="PNR81" s="43"/>
      <c r="PNS81" s="24"/>
      <c r="PNT81" s="24"/>
      <c r="PNU81" s="25"/>
      <c r="PNV81" s="23"/>
      <c r="PNW81" s="23"/>
      <c r="PNX81" s="42"/>
      <c r="PNY81" s="427"/>
      <c r="PNZ81" s="22"/>
      <c r="POA81" s="76"/>
      <c r="POB81" s="42"/>
      <c r="POC81" s="42"/>
      <c r="POD81" s="42"/>
      <c r="POE81" s="42"/>
      <c r="POF81" s="42"/>
      <c r="POG81" s="43"/>
      <c r="POH81" s="24"/>
      <c r="POI81" s="24"/>
      <c r="POJ81" s="25"/>
      <c r="POK81" s="23"/>
      <c r="POL81" s="23"/>
      <c r="POM81" s="42"/>
      <c r="PON81" s="427"/>
      <c r="POO81" s="22"/>
      <c r="POP81" s="76"/>
      <c r="POQ81" s="42"/>
      <c r="POR81" s="42"/>
      <c r="POS81" s="42"/>
      <c r="POT81" s="42"/>
      <c r="POU81" s="42"/>
      <c r="POV81" s="43"/>
      <c r="POW81" s="24"/>
      <c r="POX81" s="24"/>
      <c r="POY81" s="25"/>
      <c r="POZ81" s="23"/>
      <c r="PPA81" s="23"/>
      <c r="PPB81" s="42"/>
      <c r="PPC81" s="427"/>
      <c r="PPD81" s="22"/>
      <c r="PPE81" s="76"/>
      <c r="PPF81" s="42"/>
      <c r="PPG81" s="42"/>
      <c r="PPH81" s="42"/>
      <c r="PPI81" s="42"/>
      <c r="PPJ81" s="42"/>
      <c r="PPK81" s="43"/>
      <c r="PPL81" s="24"/>
      <c r="PPM81" s="24"/>
      <c r="PPN81" s="25"/>
      <c r="PPO81" s="23"/>
      <c r="PPP81" s="23"/>
      <c r="PPQ81" s="42"/>
      <c r="PPR81" s="427"/>
      <c r="PPS81" s="22"/>
      <c r="PPT81" s="76"/>
      <c r="PPU81" s="42"/>
      <c r="PPV81" s="42"/>
      <c r="PPW81" s="42"/>
      <c r="PPX81" s="42"/>
      <c r="PPY81" s="42"/>
      <c r="PPZ81" s="43"/>
      <c r="PQA81" s="24"/>
      <c r="PQB81" s="24"/>
      <c r="PQC81" s="25"/>
      <c r="PQD81" s="23"/>
      <c r="PQE81" s="23"/>
      <c r="PQF81" s="42"/>
      <c r="PQG81" s="427"/>
      <c r="PQH81" s="22"/>
      <c r="PQI81" s="76"/>
      <c r="PQJ81" s="42"/>
      <c r="PQK81" s="42"/>
      <c r="PQL81" s="42"/>
      <c r="PQM81" s="42"/>
      <c r="PQN81" s="42"/>
      <c r="PQO81" s="43"/>
      <c r="PQP81" s="24"/>
      <c r="PQQ81" s="24"/>
      <c r="PQR81" s="25"/>
      <c r="PQS81" s="23"/>
      <c r="PQT81" s="23"/>
      <c r="PQU81" s="42"/>
      <c r="PQV81" s="427"/>
      <c r="PQW81" s="22"/>
      <c r="PQX81" s="76"/>
      <c r="PQY81" s="42"/>
      <c r="PQZ81" s="42"/>
      <c r="PRA81" s="42"/>
      <c r="PRB81" s="42"/>
      <c r="PRC81" s="42"/>
      <c r="PRD81" s="43"/>
      <c r="PRE81" s="24"/>
      <c r="PRF81" s="24"/>
      <c r="PRG81" s="25"/>
      <c r="PRH81" s="23"/>
      <c r="PRI81" s="23"/>
      <c r="PRJ81" s="42"/>
      <c r="PRK81" s="427"/>
      <c r="PRL81" s="22"/>
      <c r="PRM81" s="76"/>
      <c r="PRN81" s="42"/>
      <c r="PRO81" s="42"/>
      <c r="PRP81" s="42"/>
      <c r="PRQ81" s="42"/>
      <c r="PRR81" s="42"/>
      <c r="PRS81" s="43"/>
      <c r="PRT81" s="24"/>
      <c r="PRU81" s="24"/>
      <c r="PRV81" s="25"/>
      <c r="PRW81" s="23"/>
      <c r="PRX81" s="23"/>
      <c r="PRY81" s="42"/>
      <c r="PRZ81" s="427"/>
      <c r="PSA81" s="22"/>
      <c r="PSB81" s="76"/>
      <c r="PSC81" s="42"/>
      <c r="PSD81" s="42"/>
      <c r="PSE81" s="42"/>
      <c r="PSF81" s="42"/>
      <c r="PSG81" s="42"/>
      <c r="PSH81" s="43"/>
      <c r="PSI81" s="24"/>
      <c r="PSJ81" s="24"/>
      <c r="PSK81" s="25"/>
      <c r="PSL81" s="23"/>
      <c r="PSM81" s="23"/>
      <c r="PSN81" s="42"/>
      <c r="PSO81" s="427"/>
      <c r="PSP81" s="22"/>
      <c r="PSQ81" s="76"/>
      <c r="PSR81" s="42"/>
      <c r="PSS81" s="42"/>
      <c r="PST81" s="42"/>
      <c r="PSU81" s="42"/>
      <c r="PSV81" s="42"/>
      <c r="PSW81" s="43"/>
      <c r="PSX81" s="24"/>
      <c r="PSY81" s="24"/>
      <c r="PSZ81" s="25"/>
      <c r="PTA81" s="23"/>
      <c r="PTB81" s="23"/>
      <c r="PTC81" s="42"/>
      <c r="PTD81" s="427"/>
      <c r="PTE81" s="22"/>
      <c r="PTF81" s="76"/>
      <c r="PTG81" s="42"/>
      <c r="PTH81" s="42"/>
      <c r="PTI81" s="42"/>
      <c r="PTJ81" s="42"/>
      <c r="PTK81" s="42"/>
      <c r="PTL81" s="43"/>
      <c r="PTM81" s="24"/>
      <c r="PTN81" s="24"/>
      <c r="PTO81" s="25"/>
      <c r="PTP81" s="23"/>
      <c r="PTQ81" s="23"/>
      <c r="PTR81" s="42"/>
      <c r="PTS81" s="427"/>
      <c r="PTT81" s="22"/>
      <c r="PTU81" s="76"/>
      <c r="PTV81" s="42"/>
      <c r="PTW81" s="42"/>
      <c r="PTX81" s="42"/>
      <c r="PTY81" s="42"/>
      <c r="PTZ81" s="42"/>
      <c r="PUA81" s="43"/>
      <c r="PUB81" s="24"/>
      <c r="PUC81" s="24"/>
      <c r="PUD81" s="25"/>
      <c r="PUE81" s="23"/>
      <c r="PUF81" s="23"/>
      <c r="PUG81" s="42"/>
      <c r="PUH81" s="427"/>
      <c r="PUI81" s="22"/>
      <c r="PUJ81" s="76"/>
      <c r="PUK81" s="42"/>
      <c r="PUL81" s="42"/>
      <c r="PUM81" s="42"/>
      <c r="PUN81" s="42"/>
      <c r="PUO81" s="42"/>
      <c r="PUP81" s="43"/>
      <c r="PUQ81" s="24"/>
      <c r="PUR81" s="24"/>
      <c r="PUS81" s="25"/>
      <c r="PUT81" s="23"/>
      <c r="PUU81" s="23"/>
      <c r="PUV81" s="42"/>
      <c r="PUW81" s="427"/>
      <c r="PUX81" s="22"/>
      <c r="PUY81" s="76"/>
      <c r="PUZ81" s="42"/>
      <c r="PVA81" s="42"/>
      <c r="PVB81" s="42"/>
      <c r="PVC81" s="42"/>
      <c r="PVD81" s="42"/>
      <c r="PVE81" s="43"/>
      <c r="PVF81" s="24"/>
      <c r="PVG81" s="24"/>
      <c r="PVH81" s="25"/>
      <c r="PVI81" s="23"/>
      <c r="PVJ81" s="23"/>
      <c r="PVK81" s="42"/>
      <c r="PVL81" s="427"/>
      <c r="PVM81" s="22"/>
      <c r="PVN81" s="76"/>
      <c r="PVO81" s="42"/>
      <c r="PVP81" s="42"/>
      <c r="PVQ81" s="42"/>
      <c r="PVR81" s="42"/>
      <c r="PVS81" s="42"/>
      <c r="PVT81" s="43"/>
      <c r="PVU81" s="24"/>
      <c r="PVV81" s="24"/>
      <c r="PVW81" s="25"/>
      <c r="PVX81" s="23"/>
      <c r="PVY81" s="23"/>
      <c r="PVZ81" s="42"/>
      <c r="PWA81" s="427"/>
      <c r="PWB81" s="22"/>
      <c r="PWC81" s="76"/>
      <c r="PWD81" s="42"/>
      <c r="PWE81" s="42"/>
      <c r="PWF81" s="42"/>
      <c r="PWG81" s="42"/>
      <c r="PWH81" s="42"/>
      <c r="PWI81" s="43"/>
      <c r="PWJ81" s="24"/>
      <c r="PWK81" s="24"/>
      <c r="PWL81" s="25"/>
      <c r="PWM81" s="23"/>
      <c r="PWN81" s="23"/>
      <c r="PWO81" s="42"/>
      <c r="PWP81" s="427"/>
      <c r="PWQ81" s="22"/>
      <c r="PWR81" s="76"/>
      <c r="PWS81" s="42"/>
      <c r="PWT81" s="42"/>
      <c r="PWU81" s="42"/>
      <c r="PWV81" s="42"/>
      <c r="PWW81" s="42"/>
      <c r="PWX81" s="43"/>
      <c r="PWY81" s="24"/>
      <c r="PWZ81" s="24"/>
      <c r="PXA81" s="25"/>
      <c r="PXB81" s="23"/>
      <c r="PXC81" s="23"/>
      <c r="PXD81" s="42"/>
      <c r="PXE81" s="427"/>
      <c r="PXF81" s="22"/>
      <c r="PXG81" s="76"/>
      <c r="PXH81" s="42"/>
      <c r="PXI81" s="42"/>
      <c r="PXJ81" s="42"/>
      <c r="PXK81" s="42"/>
      <c r="PXL81" s="42"/>
      <c r="PXM81" s="43"/>
      <c r="PXN81" s="24"/>
      <c r="PXO81" s="24"/>
      <c r="PXP81" s="25"/>
      <c r="PXQ81" s="23"/>
      <c r="PXR81" s="23"/>
      <c r="PXS81" s="42"/>
      <c r="PXT81" s="427"/>
      <c r="PXU81" s="22"/>
      <c r="PXV81" s="76"/>
      <c r="PXW81" s="42"/>
      <c r="PXX81" s="42"/>
      <c r="PXY81" s="42"/>
      <c r="PXZ81" s="42"/>
      <c r="PYA81" s="42"/>
      <c r="PYB81" s="43"/>
      <c r="PYC81" s="24"/>
      <c r="PYD81" s="24"/>
      <c r="PYE81" s="25"/>
      <c r="PYF81" s="23"/>
      <c r="PYG81" s="23"/>
      <c r="PYH81" s="42"/>
      <c r="PYI81" s="427"/>
      <c r="PYJ81" s="22"/>
      <c r="PYK81" s="76"/>
      <c r="PYL81" s="42"/>
      <c r="PYM81" s="42"/>
      <c r="PYN81" s="42"/>
      <c r="PYO81" s="42"/>
      <c r="PYP81" s="42"/>
      <c r="PYQ81" s="43"/>
      <c r="PYR81" s="24"/>
      <c r="PYS81" s="24"/>
      <c r="PYT81" s="25"/>
      <c r="PYU81" s="23"/>
      <c r="PYV81" s="23"/>
      <c r="PYW81" s="42"/>
      <c r="PYX81" s="427"/>
      <c r="PYY81" s="22"/>
      <c r="PYZ81" s="76"/>
      <c r="PZA81" s="42"/>
      <c r="PZB81" s="42"/>
      <c r="PZC81" s="42"/>
      <c r="PZD81" s="42"/>
      <c r="PZE81" s="42"/>
      <c r="PZF81" s="43"/>
      <c r="PZG81" s="24"/>
      <c r="PZH81" s="24"/>
      <c r="PZI81" s="25"/>
      <c r="PZJ81" s="23"/>
      <c r="PZK81" s="23"/>
      <c r="PZL81" s="42"/>
      <c r="PZM81" s="427"/>
      <c r="PZN81" s="22"/>
      <c r="PZO81" s="76"/>
      <c r="PZP81" s="42"/>
      <c r="PZQ81" s="42"/>
      <c r="PZR81" s="42"/>
      <c r="PZS81" s="42"/>
      <c r="PZT81" s="42"/>
      <c r="PZU81" s="43"/>
      <c r="PZV81" s="24"/>
      <c r="PZW81" s="24"/>
      <c r="PZX81" s="25"/>
      <c r="PZY81" s="23"/>
      <c r="PZZ81" s="23"/>
      <c r="QAA81" s="42"/>
      <c r="QAB81" s="427"/>
      <c r="QAC81" s="22"/>
      <c r="QAD81" s="76"/>
      <c r="QAE81" s="42"/>
      <c r="QAF81" s="42"/>
      <c r="QAG81" s="42"/>
      <c r="QAH81" s="42"/>
      <c r="QAI81" s="42"/>
      <c r="QAJ81" s="43"/>
      <c r="QAK81" s="24"/>
      <c r="QAL81" s="24"/>
      <c r="QAM81" s="25"/>
      <c r="QAN81" s="23"/>
      <c r="QAO81" s="23"/>
      <c r="QAP81" s="42"/>
      <c r="QAQ81" s="427"/>
      <c r="QAR81" s="22"/>
      <c r="QAS81" s="76"/>
      <c r="QAT81" s="42"/>
      <c r="QAU81" s="42"/>
      <c r="QAV81" s="42"/>
      <c r="QAW81" s="42"/>
      <c r="QAX81" s="42"/>
      <c r="QAY81" s="43"/>
      <c r="QAZ81" s="24"/>
      <c r="QBA81" s="24"/>
      <c r="QBB81" s="25"/>
      <c r="QBC81" s="23"/>
      <c r="QBD81" s="23"/>
      <c r="QBE81" s="42"/>
      <c r="QBF81" s="427"/>
      <c r="QBG81" s="22"/>
      <c r="QBH81" s="76"/>
      <c r="QBI81" s="42"/>
      <c r="QBJ81" s="42"/>
      <c r="QBK81" s="42"/>
      <c r="QBL81" s="42"/>
      <c r="QBM81" s="42"/>
      <c r="QBN81" s="43"/>
      <c r="QBO81" s="24"/>
      <c r="QBP81" s="24"/>
      <c r="QBQ81" s="25"/>
      <c r="QBR81" s="23"/>
      <c r="QBS81" s="23"/>
      <c r="QBT81" s="42"/>
      <c r="QBU81" s="427"/>
      <c r="QBV81" s="22"/>
      <c r="QBW81" s="76"/>
      <c r="QBX81" s="42"/>
      <c r="QBY81" s="42"/>
      <c r="QBZ81" s="42"/>
      <c r="QCA81" s="42"/>
      <c r="QCB81" s="42"/>
      <c r="QCC81" s="43"/>
      <c r="QCD81" s="24"/>
      <c r="QCE81" s="24"/>
      <c r="QCF81" s="25"/>
      <c r="QCG81" s="23"/>
      <c r="QCH81" s="23"/>
      <c r="QCI81" s="42"/>
      <c r="QCJ81" s="427"/>
      <c r="QCK81" s="22"/>
      <c r="QCL81" s="76"/>
      <c r="QCM81" s="42"/>
      <c r="QCN81" s="42"/>
      <c r="QCO81" s="42"/>
      <c r="QCP81" s="42"/>
      <c r="QCQ81" s="42"/>
      <c r="QCR81" s="43"/>
      <c r="QCS81" s="24"/>
      <c r="QCT81" s="24"/>
      <c r="QCU81" s="25"/>
      <c r="QCV81" s="23"/>
      <c r="QCW81" s="23"/>
      <c r="QCX81" s="42"/>
      <c r="QCY81" s="427"/>
      <c r="QCZ81" s="22"/>
      <c r="QDA81" s="76"/>
      <c r="QDB81" s="42"/>
      <c r="QDC81" s="42"/>
      <c r="QDD81" s="42"/>
      <c r="QDE81" s="42"/>
      <c r="QDF81" s="42"/>
      <c r="QDG81" s="43"/>
      <c r="QDH81" s="24"/>
      <c r="QDI81" s="24"/>
      <c r="QDJ81" s="25"/>
      <c r="QDK81" s="23"/>
      <c r="QDL81" s="23"/>
      <c r="QDM81" s="42"/>
      <c r="QDN81" s="427"/>
      <c r="QDO81" s="22"/>
      <c r="QDP81" s="76"/>
      <c r="QDQ81" s="42"/>
      <c r="QDR81" s="42"/>
      <c r="QDS81" s="42"/>
      <c r="QDT81" s="42"/>
      <c r="QDU81" s="42"/>
      <c r="QDV81" s="43"/>
      <c r="QDW81" s="24"/>
      <c r="QDX81" s="24"/>
      <c r="QDY81" s="25"/>
      <c r="QDZ81" s="23"/>
      <c r="QEA81" s="23"/>
      <c r="QEB81" s="42"/>
      <c r="QEC81" s="427"/>
      <c r="QED81" s="22"/>
      <c r="QEE81" s="76"/>
      <c r="QEF81" s="42"/>
      <c r="QEG81" s="42"/>
      <c r="QEH81" s="42"/>
      <c r="QEI81" s="42"/>
      <c r="QEJ81" s="42"/>
      <c r="QEK81" s="43"/>
      <c r="QEL81" s="24"/>
      <c r="QEM81" s="24"/>
      <c r="QEN81" s="25"/>
      <c r="QEO81" s="23"/>
      <c r="QEP81" s="23"/>
      <c r="QEQ81" s="42"/>
      <c r="QER81" s="427"/>
      <c r="QES81" s="22"/>
      <c r="QET81" s="76"/>
      <c r="QEU81" s="42"/>
      <c r="QEV81" s="42"/>
      <c r="QEW81" s="42"/>
      <c r="QEX81" s="42"/>
      <c r="QEY81" s="42"/>
      <c r="QEZ81" s="43"/>
      <c r="QFA81" s="24"/>
      <c r="QFB81" s="24"/>
      <c r="QFC81" s="25"/>
      <c r="QFD81" s="23"/>
      <c r="QFE81" s="23"/>
      <c r="QFF81" s="42"/>
      <c r="QFG81" s="427"/>
      <c r="QFH81" s="22"/>
      <c r="QFI81" s="76"/>
      <c r="QFJ81" s="42"/>
      <c r="QFK81" s="42"/>
      <c r="QFL81" s="42"/>
      <c r="QFM81" s="42"/>
      <c r="QFN81" s="42"/>
      <c r="QFO81" s="43"/>
      <c r="QFP81" s="24"/>
      <c r="QFQ81" s="24"/>
      <c r="QFR81" s="25"/>
      <c r="QFS81" s="23"/>
      <c r="QFT81" s="23"/>
      <c r="QFU81" s="42"/>
      <c r="QFV81" s="427"/>
      <c r="QFW81" s="22"/>
      <c r="QFX81" s="76"/>
      <c r="QFY81" s="42"/>
      <c r="QFZ81" s="42"/>
      <c r="QGA81" s="42"/>
      <c r="QGB81" s="42"/>
      <c r="QGC81" s="42"/>
      <c r="QGD81" s="43"/>
      <c r="QGE81" s="24"/>
      <c r="QGF81" s="24"/>
      <c r="QGG81" s="25"/>
      <c r="QGH81" s="23"/>
      <c r="QGI81" s="23"/>
      <c r="QGJ81" s="42"/>
      <c r="QGK81" s="427"/>
      <c r="QGL81" s="22"/>
      <c r="QGM81" s="76"/>
      <c r="QGN81" s="42"/>
      <c r="QGO81" s="42"/>
      <c r="QGP81" s="42"/>
      <c r="QGQ81" s="42"/>
      <c r="QGR81" s="42"/>
      <c r="QGS81" s="43"/>
      <c r="QGT81" s="24"/>
      <c r="QGU81" s="24"/>
      <c r="QGV81" s="25"/>
      <c r="QGW81" s="23"/>
      <c r="QGX81" s="23"/>
      <c r="QGY81" s="42"/>
      <c r="QGZ81" s="427"/>
      <c r="QHA81" s="22"/>
      <c r="QHB81" s="76"/>
      <c r="QHC81" s="42"/>
      <c r="QHD81" s="42"/>
      <c r="QHE81" s="42"/>
      <c r="QHF81" s="42"/>
      <c r="QHG81" s="42"/>
      <c r="QHH81" s="43"/>
      <c r="QHI81" s="24"/>
      <c r="QHJ81" s="24"/>
      <c r="QHK81" s="25"/>
      <c r="QHL81" s="23"/>
      <c r="QHM81" s="23"/>
      <c r="QHN81" s="42"/>
      <c r="QHO81" s="427"/>
      <c r="QHP81" s="22"/>
      <c r="QHQ81" s="76"/>
      <c r="QHR81" s="42"/>
      <c r="QHS81" s="42"/>
      <c r="QHT81" s="42"/>
      <c r="QHU81" s="42"/>
      <c r="QHV81" s="42"/>
      <c r="QHW81" s="43"/>
      <c r="QHX81" s="24"/>
      <c r="QHY81" s="24"/>
      <c r="QHZ81" s="25"/>
      <c r="QIA81" s="23"/>
      <c r="QIB81" s="23"/>
      <c r="QIC81" s="42"/>
      <c r="QID81" s="427"/>
      <c r="QIE81" s="22"/>
      <c r="QIF81" s="76"/>
      <c r="QIG81" s="42"/>
      <c r="QIH81" s="42"/>
      <c r="QII81" s="42"/>
      <c r="QIJ81" s="42"/>
      <c r="QIK81" s="42"/>
      <c r="QIL81" s="43"/>
      <c r="QIM81" s="24"/>
      <c r="QIN81" s="24"/>
      <c r="QIO81" s="25"/>
      <c r="QIP81" s="23"/>
      <c r="QIQ81" s="23"/>
      <c r="QIR81" s="42"/>
      <c r="QIS81" s="427"/>
      <c r="QIT81" s="22"/>
      <c r="QIU81" s="76"/>
      <c r="QIV81" s="42"/>
      <c r="QIW81" s="42"/>
      <c r="QIX81" s="42"/>
      <c r="QIY81" s="42"/>
      <c r="QIZ81" s="42"/>
      <c r="QJA81" s="43"/>
      <c r="QJB81" s="24"/>
      <c r="QJC81" s="24"/>
      <c r="QJD81" s="25"/>
      <c r="QJE81" s="23"/>
      <c r="QJF81" s="23"/>
      <c r="QJG81" s="42"/>
      <c r="QJH81" s="427"/>
      <c r="QJI81" s="22"/>
      <c r="QJJ81" s="76"/>
      <c r="QJK81" s="42"/>
      <c r="QJL81" s="42"/>
      <c r="QJM81" s="42"/>
      <c r="QJN81" s="42"/>
      <c r="QJO81" s="42"/>
      <c r="QJP81" s="43"/>
      <c r="QJQ81" s="24"/>
      <c r="QJR81" s="24"/>
      <c r="QJS81" s="25"/>
      <c r="QJT81" s="23"/>
      <c r="QJU81" s="23"/>
      <c r="QJV81" s="42"/>
      <c r="QJW81" s="427"/>
      <c r="QJX81" s="22"/>
      <c r="QJY81" s="76"/>
      <c r="QJZ81" s="42"/>
      <c r="QKA81" s="42"/>
      <c r="QKB81" s="42"/>
      <c r="QKC81" s="42"/>
      <c r="QKD81" s="42"/>
      <c r="QKE81" s="43"/>
      <c r="QKF81" s="24"/>
      <c r="QKG81" s="24"/>
      <c r="QKH81" s="25"/>
      <c r="QKI81" s="23"/>
      <c r="QKJ81" s="23"/>
      <c r="QKK81" s="42"/>
      <c r="QKL81" s="427"/>
      <c r="QKM81" s="22"/>
      <c r="QKN81" s="76"/>
      <c r="QKO81" s="42"/>
      <c r="QKP81" s="42"/>
      <c r="QKQ81" s="42"/>
      <c r="QKR81" s="42"/>
      <c r="QKS81" s="42"/>
      <c r="QKT81" s="43"/>
      <c r="QKU81" s="24"/>
      <c r="QKV81" s="24"/>
      <c r="QKW81" s="25"/>
      <c r="QKX81" s="23"/>
      <c r="QKY81" s="23"/>
      <c r="QKZ81" s="42"/>
      <c r="QLA81" s="427"/>
      <c r="QLB81" s="22"/>
      <c r="QLC81" s="76"/>
      <c r="QLD81" s="42"/>
      <c r="QLE81" s="42"/>
      <c r="QLF81" s="42"/>
      <c r="QLG81" s="42"/>
      <c r="QLH81" s="42"/>
      <c r="QLI81" s="43"/>
      <c r="QLJ81" s="24"/>
      <c r="QLK81" s="24"/>
      <c r="QLL81" s="25"/>
      <c r="QLM81" s="23"/>
      <c r="QLN81" s="23"/>
      <c r="QLO81" s="42"/>
      <c r="QLP81" s="427"/>
      <c r="QLQ81" s="22"/>
      <c r="QLR81" s="76"/>
      <c r="QLS81" s="42"/>
      <c r="QLT81" s="42"/>
      <c r="QLU81" s="42"/>
      <c r="QLV81" s="42"/>
      <c r="QLW81" s="42"/>
      <c r="QLX81" s="43"/>
      <c r="QLY81" s="24"/>
      <c r="QLZ81" s="24"/>
      <c r="QMA81" s="25"/>
      <c r="QMB81" s="23"/>
      <c r="QMC81" s="23"/>
      <c r="QMD81" s="42"/>
      <c r="QME81" s="427"/>
      <c r="QMF81" s="22"/>
      <c r="QMG81" s="76"/>
      <c r="QMH81" s="42"/>
      <c r="QMI81" s="42"/>
      <c r="QMJ81" s="42"/>
      <c r="QMK81" s="42"/>
      <c r="QML81" s="42"/>
      <c r="QMM81" s="43"/>
      <c r="QMN81" s="24"/>
      <c r="QMO81" s="24"/>
      <c r="QMP81" s="25"/>
      <c r="QMQ81" s="23"/>
      <c r="QMR81" s="23"/>
      <c r="QMS81" s="42"/>
      <c r="QMT81" s="427"/>
      <c r="QMU81" s="22"/>
      <c r="QMV81" s="76"/>
      <c r="QMW81" s="42"/>
      <c r="QMX81" s="42"/>
      <c r="QMY81" s="42"/>
      <c r="QMZ81" s="42"/>
      <c r="QNA81" s="42"/>
      <c r="QNB81" s="43"/>
      <c r="QNC81" s="24"/>
      <c r="QND81" s="24"/>
      <c r="QNE81" s="25"/>
      <c r="QNF81" s="23"/>
      <c r="QNG81" s="23"/>
      <c r="QNH81" s="42"/>
      <c r="QNI81" s="427"/>
      <c r="QNJ81" s="22"/>
      <c r="QNK81" s="76"/>
      <c r="QNL81" s="42"/>
      <c r="QNM81" s="42"/>
      <c r="QNN81" s="42"/>
      <c r="QNO81" s="42"/>
      <c r="QNP81" s="42"/>
      <c r="QNQ81" s="43"/>
      <c r="QNR81" s="24"/>
      <c r="QNS81" s="24"/>
      <c r="QNT81" s="25"/>
      <c r="QNU81" s="23"/>
      <c r="QNV81" s="23"/>
      <c r="QNW81" s="42"/>
      <c r="QNX81" s="427"/>
      <c r="QNY81" s="22"/>
      <c r="QNZ81" s="76"/>
      <c r="QOA81" s="42"/>
      <c r="QOB81" s="42"/>
      <c r="QOC81" s="42"/>
      <c r="QOD81" s="42"/>
      <c r="QOE81" s="42"/>
      <c r="QOF81" s="43"/>
      <c r="QOG81" s="24"/>
      <c r="QOH81" s="24"/>
      <c r="QOI81" s="25"/>
      <c r="QOJ81" s="23"/>
      <c r="QOK81" s="23"/>
      <c r="QOL81" s="42"/>
      <c r="QOM81" s="427"/>
      <c r="QON81" s="22"/>
      <c r="QOO81" s="76"/>
      <c r="QOP81" s="42"/>
      <c r="QOQ81" s="42"/>
      <c r="QOR81" s="42"/>
      <c r="QOS81" s="42"/>
      <c r="QOT81" s="42"/>
      <c r="QOU81" s="43"/>
      <c r="QOV81" s="24"/>
      <c r="QOW81" s="24"/>
      <c r="QOX81" s="25"/>
      <c r="QOY81" s="23"/>
      <c r="QOZ81" s="23"/>
      <c r="QPA81" s="42"/>
      <c r="QPB81" s="427"/>
      <c r="QPC81" s="22"/>
      <c r="QPD81" s="76"/>
      <c r="QPE81" s="42"/>
      <c r="QPF81" s="42"/>
      <c r="QPG81" s="42"/>
      <c r="QPH81" s="42"/>
      <c r="QPI81" s="42"/>
      <c r="QPJ81" s="43"/>
      <c r="QPK81" s="24"/>
      <c r="QPL81" s="24"/>
      <c r="QPM81" s="25"/>
      <c r="QPN81" s="23"/>
      <c r="QPO81" s="23"/>
      <c r="QPP81" s="42"/>
      <c r="QPQ81" s="427"/>
      <c r="QPR81" s="22"/>
      <c r="QPS81" s="76"/>
      <c r="QPT81" s="42"/>
      <c r="QPU81" s="42"/>
      <c r="QPV81" s="42"/>
      <c r="QPW81" s="42"/>
      <c r="QPX81" s="42"/>
      <c r="QPY81" s="43"/>
      <c r="QPZ81" s="24"/>
      <c r="QQA81" s="24"/>
      <c r="QQB81" s="25"/>
      <c r="QQC81" s="23"/>
      <c r="QQD81" s="23"/>
      <c r="QQE81" s="42"/>
      <c r="QQF81" s="427"/>
      <c r="QQG81" s="22"/>
      <c r="QQH81" s="76"/>
      <c r="QQI81" s="42"/>
      <c r="QQJ81" s="42"/>
      <c r="QQK81" s="42"/>
      <c r="QQL81" s="42"/>
      <c r="QQM81" s="42"/>
      <c r="QQN81" s="43"/>
      <c r="QQO81" s="24"/>
      <c r="QQP81" s="24"/>
      <c r="QQQ81" s="25"/>
      <c r="QQR81" s="23"/>
      <c r="QQS81" s="23"/>
      <c r="QQT81" s="42"/>
      <c r="QQU81" s="427"/>
      <c r="QQV81" s="22"/>
      <c r="QQW81" s="76"/>
      <c r="QQX81" s="42"/>
      <c r="QQY81" s="42"/>
      <c r="QQZ81" s="42"/>
      <c r="QRA81" s="42"/>
      <c r="QRB81" s="42"/>
      <c r="QRC81" s="43"/>
      <c r="QRD81" s="24"/>
      <c r="QRE81" s="24"/>
      <c r="QRF81" s="25"/>
      <c r="QRG81" s="23"/>
      <c r="QRH81" s="23"/>
      <c r="QRI81" s="42"/>
      <c r="QRJ81" s="427"/>
      <c r="QRK81" s="22"/>
      <c r="QRL81" s="76"/>
      <c r="QRM81" s="42"/>
      <c r="QRN81" s="42"/>
      <c r="QRO81" s="42"/>
      <c r="QRP81" s="42"/>
      <c r="QRQ81" s="42"/>
      <c r="QRR81" s="43"/>
      <c r="QRS81" s="24"/>
      <c r="QRT81" s="24"/>
      <c r="QRU81" s="25"/>
      <c r="QRV81" s="23"/>
      <c r="QRW81" s="23"/>
      <c r="QRX81" s="42"/>
      <c r="QRY81" s="427"/>
      <c r="QRZ81" s="22"/>
      <c r="QSA81" s="76"/>
      <c r="QSB81" s="42"/>
      <c r="QSC81" s="42"/>
      <c r="QSD81" s="42"/>
      <c r="QSE81" s="42"/>
      <c r="QSF81" s="42"/>
      <c r="QSG81" s="43"/>
      <c r="QSH81" s="24"/>
      <c r="QSI81" s="24"/>
      <c r="QSJ81" s="25"/>
      <c r="QSK81" s="23"/>
      <c r="QSL81" s="23"/>
      <c r="QSM81" s="42"/>
      <c r="QSN81" s="427"/>
      <c r="QSO81" s="22"/>
      <c r="QSP81" s="76"/>
      <c r="QSQ81" s="42"/>
      <c r="QSR81" s="42"/>
      <c r="QSS81" s="42"/>
      <c r="QST81" s="42"/>
      <c r="QSU81" s="42"/>
      <c r="QSV81" s="43"/>
      <c r="QSW81" s="24"/>
      <c r="QSX81" s="24"/>
      <c r="QSY81" s="25"/>
      <c r="QSZ81" s="23"/>
      <c r="QTA81" s="23"/>
      <c r="QTB81" s="42"/>
      <c r="QTC81" s="427"/>
      <c r="QTD81" s="22"/>
      <c r="QTE81" s="76"/>
      <c r="QTF81" s="42"/>
      <c r="QTG81" s="42"/>
      <c r="QTH81" s="42"/>
      <c r="QTI81" s="42"/>
      <c r="QTJ81" s="42"/>
      <c r="QTK81" s="43"/>
      <c r="QTL81" s="24"/>
      <c r="QTM81" s="24"/>
      <c r="QTN81" s="25"/>
      <c r="QTO81" s="23"/>
      <c r="QTP81" s="23"/>
      <c r="QTQ81" s="42"/>
      <c r="QTR81" s="427"/>
      <c r="QTS81" s="22"/>
      <c r="QTT81" s="76"/>
      <c r="QTU81" s="42"/>
      <c r="QTV81" s="42"/>
      <c r="QTW81" s="42"/>
      <c r="QTX81" s="42"/>
      <c r="QTY81" s="42"/>
      <c r="QTZ81" s="43"/>
      <c r="QUA81" s="24"/>
      <c r="QUB81" s="24"/>
      <c r="QUC81" s="25"/>
      <c r="QUD81" s="23"/>
      <c r="QUE81" s="23"/>
      <c r="QUF81" s="42"/>
      <c r="QUG81" s="427"/>
      <c r="QUH81" s="22"/>
      <c r="QUI81" s="76"/>
      <c r="QUJ81" s="42"/>
      <c r="QUK81" s="42"/>
      <c r="QUL81" s="42"/>
      <c r="QUM81" s="42"/>
      <c r="QUN81" s="42"/>
      <c r="QUO81" s="43"/>
      <c r="QUP81" s="24"/>
      <c r="QUQ81" s="24"/>
      <c r="QUR81" s="25"/>
      <c r="QUS81" s="23"/>
      <c r="QUT81" s="23"/>
      <c r="QUU81" s="42"/>
      <c r="QUV81" s="427"/>
      <c r="QUW81" s="22"/>
      <c r="QUX81" s="76"/>
      <c r="QUY81" s="42"/>
      <c r="QUZ81" s="42"/>
      <c r="QVA81" s="42"/>
      <c r="QVB81" s="42"/>
      <c r="QVC81" s="42"/>
      <c r="QVD81" s="43"/>
      <c r="QVE81" s="24"/>
      <c r="QVF81" s="24"/>
      <c r="QVG81" s="25"/>
      <c r="QVH81" s="23"/>
      <c r="QVI81" s="23"/>
      <c r="QVJ81" s="42"/>
      <c r="QVK81" s="427"/>
      <c r="QVL81" s="22"/>
      <c r="QVM81" s="76"/>
      <c r="QVN81" s="42"/>
      <c r="QVO81" s="42"/>
      <c r="QVP81" s="42"/>
      <c r="QVQ81" s="42"/>
      <c r="QVR81" s="42"/>
      <c r="QVS81" s="43"/>
      <c r="QVT81" s="24"/>
      <c r="QVU81" s="24"/>
      <c r="QVV81" s="25"/>
      <c r="QVW81" s="23"/>
      <c r="QVX81" s="23"/>
      <c r="QVY81" s="42"/>
      <c r="QVZ81" s="427"/>
      <c r="QWA81" s="22"/>
      <c r="QWB81" s="76"/>
      <c r="QWC81" s="42"/>
      <c r="QWD81" s="42"/>
      <c r="QWE81" s="42"/>
      <c r="QWF81" s="42"/>
      <c r="QWG81" s="42"/>
      <c r="QWH81" s="43"/>
      <c r="QWI81" s="24"/>
      <c r="QWJ81" s="24"/>
      <c r="QWK81" s="25"/>
      <c r="QWL81" s="23"/>
      <c r="QWM81" s="23"/>
      <c r="QWN81" s="42"/>
      <c r="QWO81" s="427"/>
      <c r="QWP81" s="22"/>
      <c r="QWQ81" s="76"/>
      <c r="QWR81" s="42"/>
      <c r="QWS81" s="42"/>
      <c r="QWT81" s="42"/>
      <c r="QWU81" s="42"/>
      <c r="QWV81" s="42"/>
      <c r="QWW81" s="43"/>
      <c r="QWX81" s="24"/>
      <c r="QWY81" s="24"/>
      <c r="QWZ81" s="25"/>
      <c r="QXA81" s="23"/>
      <c r="QXB81" s="23"/>
      <c r="QXC81" s="42"/>
      <c r="QXD81" s="427"/>
      <c r="QXE81" s="22"/>
      <c r="QXF81" s="76"/>
      <c r="QXG81" s="42"/>
      <c r="QXH81" s="42"/>
      <c r="QXI81" s="42"/>
      <c r="QXJ81" s="42"/>
      <c r="QXK81" s="42"/>
      <c r="QXL81" s="43"/>
      <c r="QXM81" s="24"/>
      <c r="QXN81" s="24"/>
      <c r="QXO81" s="25"/>
      <c r="QXP81" s="23"/>
      <c r="QXQ81" s="23"/>
      <c r="QXR81" s="42"/>
      <c r="QXS81" s="427"/>
      <c r="QXT81" s="22"/>
      <c r="QXU81" s="76"/>
      <c r="QXV81" s="42"/>
      <c r="QXW81" s="42"/>
      <c r="QXX81" s="42"/>
      <c r="QXY81" s="42"/>
      <c r="QXZ81" s="42"/>
      <c r="QYA81" s="43"/>
      <c r="QYB81" s="24"/>
      <c r="QYC81" s="24"/>
      <c r="QYD81" s="25"/>
      <c r="QYE81" s="23"/>
      <c r="QYF81" s="23"/>
      <c r="QYG81" s="42"/>
      <c r="QYH81" s="427"/>
      <c r="QYI81" s="22"/>
      <c r="QYJ81" s="76"/>
      <c r="QYK81" s="42"/>
      <c r="QYL81" s="42"/>
      <c r="QYM81" s="42"/>
      <c r="QYN81" s="42"/>
      <c r="QYO81" s="42"/>
      <c r="QYP81" s="43"/>
      <c r="QYQ81" s="24"/>
      <c r="QYR81" s="24"/>
      <c r="QYS81" s="25"/>
      <c r="QYT81" s="23"/>
      <c r="QYU81" s="23"/>
      <c r="QYV81" s="42"/>
      <c r="QYW81" s="427"/>
      <c r="QYX81" s="22"/>
      <c r="QYY81" s="76"/>
      <c r="QYZ81" s="42"/>
      <c r="QZA81" s="42"/>
      <c r="QZB81" s="42"/>
      <c r="QZC81" s="42"/>
      <c r="QZD81" s="42"/>
      <c r="QZE81" s="43"/>
      <c r="QZF81" s="24"/>
      <c r="QZG81" s="24"/>
      <c r="QZH81" s="25"/>
      <c r="QZI81" s="23"/>
      <c r="QZJ81" s="23"/>
      <c r="QZK81" s="42"/>
      <c r="QZL81" s="427"/>
      <c r="QZM81" s="22"/>
      <c r="QZN81" s="76"/>
      <c r="QZO81" s="42"/>
      <c r="QZP81" s="42"/>
      <c r="QZQ81" s="42"/>
      <c r="QZR81" s="42"/>
      <c r="QZS81" s="42"/>
      <c r="QZT81" s="43"/>
      <c r="QZU81" s="24"/>
      <c r="QZV81" s="24"/>
      <c r="QZW81" s="25"/>
      <c r="QZX81" s="23"/>
      <c r="QZY81" s="23"/>
      <c r="QZZ81" s="42"/>
      <c r="RAA81" s="427"/>
      <c r="RAB81" s="22"/>
      <c r="RAC81" s="76"/>
      <c r="RAD81" s="42"/>
      <c r="RAE81" s="42"/>
      <c r="RAF81" s="42"/>
      <c r="RAG81" s="42"/>
      <c r="RAH81" s="42"/>
      <c r="RAI81" s="43"/>
      <c r="RAJ81" s="24"/>
      <c r="RAK81" s="24"/>
      <c r="RAL81" s="25"/>
      <c r="RAM81" s="23"/>
      <c r="RAN81" s="23"/>
      <c r="RAO81" s="42"/>
      <c r="RAP81" s="427"/>
      <c r="RAQ81" s="22"/>
      <c r="RAR81" s="76"/>
      <c r="RAS81" s="42"/>
      <c r="RAT81" s="42"/>
      <c r="RAU81" s="42"/>
      <c r="RAV81" s="42"/>
      <c r="RAW81" s="42"/>
      <c r="RAX81" s="43"/>
      <c r="RAY81" s="24"/>
      <c r="RAZ81" s="24"/>
      <c r="RBA81" s="25"/>
      <c r="RBB81" s="23"/>
      <c r="RBC81" s="23"/>
      <c r="RBD81" s="42"/>
      <c r="RBE81" s="427"/>
      <c r="RBF81" s="22"/>
      <c r="RBG81" s="76"/>
      <c r="RBH81" s="42"/>
      <c r="RBI81" s="42"/>
      <c r="RBJ81" s="42"/>
      <c r="RBK81" s="42"/>
      <c r="RBL81" s="42"/>
      <c r="RBM81" s="43"/>
      <c r="RBN81" s="24"/>
      <c r="RBO81" s="24"/>
      <c r="RBP81" s="25"/>
      <c r="RBQ81" s="23"/>
      <c r="RBR81" s="23"/>
      <c r="RBS81" s="42"/>
      <c r="RBT81" s="427"/>
      <c r="RBU81" s="22"/>
      <c r="RBV81" s="76"/>
      <c r="RBW81" s="42"/>
      <c r="RBX81" s="42"/>
      <c r="RBY81" s="42"/>
      <c r="RBZ81" s="42"/>
      <c r="RCA81" s="42"/>
      <c r="RCB81" s="43"/>
      <c r="RCC81" s="24"/>
      <c r="RCD81" s="24"/>
      <c r="RCE81" s="25"/>
      <c r="RCF81" s="23"/>
      <c r="RCG81" s="23"/>
      <c r="RCH81" s="42"/>
      <c r="RCI81" s="427"/>
      <c r="RCJ81" s="22"/>
      <c r="RCK81" s="76"/>
      <c r="RCL81" s="42"/>
      <c r="RCM81" s="42"/>
      <c r="RCN81" s="42"/>
      <c r="RCO81" s="42"/>
      <c r="RCP81" s="42"/>
      <c r="RCQ81" s="43"/>
      <c r="RCR81" s="24"/>
      <c r="RCS81" s="24"/>
      <c r="RCT81" s="25"/>
      <c r="RCU81" s="23"/>
      <c r="RCV81" s="23"/>
      <c r="RCW81" s="42"/>
      <c r="RCX81" s="427"/>
      <c r="RCY81" s="22"/>
      <c r="RCZ81" s="76"/>
      <c r="RDA81" s="42"/>
      <c r="RDB81" s="42"/>
      <c r="RDC81" s="42"/>
      <c r="RDD81" s="42"/>
      <c r="RDE81" s="42"/>
      <c r="RDF81" s="43"/>
      <c r="RDG81" s="24"/>
      <c r="RDH81" s="24"/>
      <c r="RDI81" s="25"/>
      <c r="RDJ81" s="23"/>
      <c r="RDK81" s="23"/>
      <c r="RDL81" s="42"/>
      <c r="RDM81" s="427"/>
      <c r="RDN81" s="22"/>
      <c r="RDO81" s="76"/>
      <c r="RDP81" s="42"/>
      <c r="RDQ81" s="42"/>
      <c r="RDR81" s="42"/>
      <c r="RDS81" s="42"/>
      <c r="RDT81" s="42"/>
      <c r="RDU81" s="43"/>
      <c r="RDV81" s="24"/>
      <c r="RDW81" s="24"/>
      <c r="RDX81" s="25"/>
      <c r="RDY81" s="23"/>
      <c r="RDZ81" s="23"/>
      <c r="REA81" s="42"/>
      <c r="REB81" s="427"/>
      <c r="REC81" s="22"/>
      <c r="RED81" s="76"/>
      <c r="REE81" s="42"/>
      <c r="REF81" s="42"/>
      <c r="REG81" s="42"/>
      <c r="REH81" s="42"/>
      <c r="REI81" s="42"/>
      <c r="REJ81" s="43"/>
      <c r="REK81" s="24"/>
      <c r="REL81" s="24"/>
      <c r="REM81" s="25"/>
      <c r="REN81" s="23"/>
      <c r="REO81" s="23"/>
      <c r="REP81" s="42"/>
      <c r="REQ81" s="427"/>
      <c r="RER81" s="22"/>
      <c r="RES81" s="76"/>
      <c r="RET81" s="42"/>
      <c r="REU81" s="42"/>
      <c r="REV81" s="42"/>
      <c r="REW81" s="42"/>
      <c r="REX81" s="42"/>
      <c r="REY81" s="43"/>
      <c r="REZ81" s="24"/>
      <c r="RFA81" s="24"/>
      <c r="RFB81" s="25"/>
      <c r="RFC81" s="23"/>
      <c r="RFD81" s="23"/>
      <c r="RFE81" s="42"/>
      <c r="RFF81" s="427"/>
      <c r="RFG81" s="22"/>
      <c r="RFH81" s="76"/>
      <c r="RFI81" s="42"/>
      <c r="RFJ81" s="42"/>
      <c r="RFK81" s="42"/>
      <c r="RFL81" s="42"/>
      <c r="RFM81" s="42"/>
      <c r="RFN81" s="43"/>
      <c r="RFO81" s="24"/>
      <c r="RFP81" s="24"/>
      <c r="RFQ81" s="25"/>
      <c r="RFR81" s="23"/>
      <c r="RFS81" s="23"/>
      <c r="RFT81" s="42"/>
      <c r="RFU81" s="427"/>
      <c r="RFV81" s="22"/>
      <c r="RFW81" s="76"/>
      <c r="RFX81" s="42"/>
      <c r="RFY81" s="42"/>
      <c r="RFZ81" s="42"/>
      <c r="RGA81" s="42"/>
      <c r="RGB81" s="42"/>
      <c r="RGC81" s="43"/>
      <c r="RGD81" s="24"/>
      <c r="RGE81" s="24"/>
      <c r="RGF81" s="25"/>
      <c r="RGG81" s="23"/>
      <c r="RGH81" s="23"/>
      <c r="RGI81" s="42"/>
      <c r="RGJ81" s="427"/>
      <c r="RGK81" s="22"/>
      <c r="RGL81" s="76"/>
      <c r="RGM81" s="42"/>
      <c r="RGN81" s="42"/>
      <c r="RGO81" s="42"/>
      <c r="RGP81" s="42"/>
      <c r="RGQ81" s="42"/>
      <c r="RGR81" s="43"/>
      <c r="RGS81" s="24"/>
      <c r="RGT81" s="24"/>
      <c r="RGU81" s="25"/>
      <c r="RGV81" s="23"/>
      <c r="RGW81" s="23"/>
      <c r="RGX81" s="42"/>
      <c r="RGY81" s="427"/>
      <c r="RGZ81" s="22"/>
      <c r="RHA81" s="76"/>
      <c r="RHB81" s="42"/>
      <c r="RHC81" s="42"/>
      <c r="RHD81" s="42"/>
      <c r="RHE81" s="42"/>
      <c r="RHF81" s="42"/>
      <c r="RHG81" s="43"/>
      <c r="RHH81" s="24"/>
      <c r="RHI81" s="24"/>
      <c r="RHJ81" s="25"/>
      <c r="RHK81" s="23"/>
      <c r="RHL81" s="23"/>
      <c r="RHM81" s="42"/>
      <c r="RHN81" s="427"/>
      <c r="RHO81" s="22"/>
      <c r="RHP81" s="76"/>
      <c r="RHQ81" s="42"/>
      <c r="RHR81" s="42"/>
      <c r="RHS81" s="42"/>
      <c r="RHT81" s="42"/>
      <c r="RHU81" s="42"/>
      <c r="RHV81" s="43"/>
      <c r="RHW81" s="24"/>
      <c r="RHX81" s="24"/>
      <c r="RHY81" s="25"/>
      <c r="RHZ81" s="23"/>
      <c r="RIA81" s="23"/>
      <c r="RIB81" s="42"/>
      <c r="RIC81" s="427"/>
      <c r="RID81" s="22"/>
      <c r="RIE81" s="76"/>
      <c r="RIF81" s="42"/>
      <c r="RIG81" s="42"/>
      <c r="RIH81" s="42"/>
      <c r="RII81" s="42"/>
      <c r="RIJ81" s="42"/>
      <c r="RIK81" s="43"/>
      <c r="RIL81" s="24"/>
      <c r="RIM81" s="24"/>
      <c r="RIN81" s="25"/>
      <c r="RIO81" s="23"/>
      <c r="RIP81" s="23"/>
      <c r="RIQ81" s="42"/>
      <c r="RIR81" s="427"/>
      <c r="RIS81" s="22"/>
      <c r="RIT81" s="76"/>
      <c r="RIU81" s="42"/>
      <c r="RIV81" s="42"/>
      <c r="RIW81" s="42"/>
      <c r="RIX81" s="42"/>
      <c r="RIY81" s="42"/>
      <c r="RIZ81" s="43"/>
      <c r="RJA81" s="24"/>
      <c r="RJB81" s="24"/>
      <c r="RJC81" s="25"/>
      <c r="RJD81" s="23"/>
      <c r="RJE81" s="23"/>
      <c r="RJF81" s="42"/>
      <c r="RJG81" s="427"/>
      <c r="RJH81" s="22"/>
      <c r="RJI81" s="76"/>
      <c r="RJJ81" s="42"/>
      <c r="RJK81" s="42"/>
      <c r="RJL81" s="42"/>
      <c r="RJM81" s="42"/>
      <c r="RJN81" s="42"/>
      <c r="RJO81" s="43"/>
      <c r="RJP81" s="24"/>
      <c r="RJQ81" s="24"/>
      <c r="RJR81" s="25"/>
      <c r="RJS81" s="23"/>
      <c r="RJT81" s="23"/>
      <c r="RJU81" s="42"/>
      <c r="RJV81" s="427"/>
      <c r="RJW81" s="22"/>
      <c r="RJX81" s="76"/>
      <c r="RJY81" s="42"/>
      <c r="RJZ81" s="42"/>
      <c r="RKA81" s="42"/>
      <c r="RKB81" s="42"/>
      <c r="RKC81" s="42"/>
      <c r="RKD81" s="43"/>
      <c r="RKE81" s="24"/>
      <c r="RKF81" s="24"/>
      <c r="RKG81" s="25"/>
      <c r="RKH81" s="23"/>
      <c r="RKI81" s="23"/>
      <c r="RKJ81" s="42"/>
      <c r="RKK81" s="427"/>
      <c r="RKL81" s="22"/>
      <c r="RKM81" s="76"/>
      <c r="RKN81" s="42"/>
      <c r="RKO81" s="42"/>
      <c r="RKP81" s="42"/>
      <c r="RKQ81" s="42"/>
      <c r="RKR81" s="42"/>
      <c r="RKS81" s="43"/>
      <c r="RKT81" s="24"/>
      <c r="RKU81" s="24"/>
      <c r="RKV81" s="25"/>
      <c r="RKW81" s="23"/>
      <c r="RKX81" s="23"/>
      <c r="RKY81" s="42"/>
      <c r="RKZ81" s="427"/>
      <c r="RLA81" s="22"/>
      <c r="RLB81" s="76"/>
      <c r="RLC81" s="42"/>
      <c r="RLD81" s="42"/>
      <c r="RLE81" s="42"/>
      <c r="RLF81" s="42"/>
      <c r="RLG81" s="42"/>
      <c r="RLH81" s="43"/>
      <c r="RLI81" s="24"/>
      <c r="RLJ81" s="24"/>
      <c r="RLK81" s="25"/>
      <c r="RLL81" s="23"/>
      <c r="RLM81" s="23"/>
      <c r="RLN81" s="42"/>
      <c r="RLO81" s="427"/>
      <c r="RLP81" s="22"/>
      <c r="RLQ81" s="76"/>
      <c r="RLR81" s="42"/>
      <c r="RLS81" s="42"/>
      <c r="RLT81" s="42"/>
      <c r="RLU81" s="42"/>
      <c r="RLV81" s="42"/>
      <c r="RLW81" s="43"/>
      <c r="RLX81" s="24"/>
      <c r="RLY81" s="24"/>
      <c r="RLZ81" s="25"/>
      <c r="RMA81" s="23"/>
      <c r="RMB81" s="23"/>
      <c r="RMC81" s="42"/>
      <c r="RMD81" s="427"/>
      <c r="RME81" s="22"/>
      <c r="RMF81" s="76"/>
      <c r="RMG81" s="42"/>
      <c r="RMH81" s="42"/>
      <c r="RMI81" s="42"/>
      <c r="RMJ81" s="42"/>
      <c r="RMK81" s="42"/>
      <c r="RML81" s="43"/>
      <c r="RMM81" s="24"/>
      <c r="RMN81" s="24"/>
      <c r="RMO81" s="25"/>
      <c r="RMP81" s="23"/>
      <c r="RMQ81" s="23"/>
      <c r="RMR81" s="42"/>
      <c r="RMS81" s="427"/>
      <c r="RMT81" s="22"/>
      <c r="RMU81" s="76"/>
      <c r="RMV81" s="42"/>
      <c r="RMW81" s="42"/>
      <c r="RMX81" s="42"/>
      <c r="RMY81" s="42"/>
      <c r="RMZ81" s="42"/>
      <c r="RNA81" s="43"/>
      <c r="RNB81" s="24"/>
      <c r="RNC81" s="24"/>
      <c r="RND81" s="25"/>
      <c r="RNE81" s="23"/>
      <c r="RNF81" s="23"/>
      <c r="RNG81" s="42"/>
      <c r="RNH81" s="427"/>
      <c r="RNI81" s="22"/>
      <c r="RNJ81" s="76"/>
      <c r="RNK81" s="42"/>
      <c r="RNL81" s="42"/>
      <c r="RNM81" s="42"/>
      <c r="RNN81" s="42"/>
      <c r="RNO81" s="42"/>
      <c r="RNP81" s="43"/>
      <c r="RNQ81" s="24"/>
      <c r="RNR81" s="24"/>
      <c r="RNS81" s="25"/>
      <c r="RNT81" s="23"/>
      <c r="RNU81" s="23"/>
      <c r="RNV81" s="42"/>
      <c r="RNW81" s="427"/>
      <c r="RNX81" s="22"/>
      <c r="RNY81" s="76"/>
      <c r="RNZ81" s="42"/>
      <c r="ROA81" s="42"/>
      <c r="ROB81" s="42"/>
      <c r="ROC81" s="42"/>
      <c r="ROD81" s="42"/>
      <c r="ROE81" s="43"/>
      <c r="ROF81" s="24"/>
      <c r="ROG81" s="24"/>
      <c r="ROH81" s="25"/>
      <c r="ROI81" s="23"/>
      <c r="ROJ81" s="23"/>
      <c r="ROK81" s="42"/>
      <c r="ROL81" s="427"/>
      <c r="ROM81" s="22"/>
      <c r="RON81" s="76"/>
      <c r="ROO81" s="42"/>
      <c r="ROP81" s="42"/>
      <c r="ROQ81" s="42"/>
      <c r="ROR81" s="42"/>
      <c r="ROS81" s="42"/>
      <c r="ROT81" s="43"/>
      <c r="ROU81" s="24"/>
      <c r="ROV81" s="24"/>
      <c r="ROW81" s="25"/>
      <c r="ROX81" s="23"/>
      <c r="ROY81" s="23"/>
      <c r="ROZ81" s="42"/>
      <c r="RPA81" s="427"/>
      <c r="RPB81" s="22"/>
      <c r="RPC81" s="76"/>
      <c r="RPD81" s="42"/>
      <c r="RPE81" s="42"/>
      <c r="RPF81" s="42"/>
      <c r="RPG81" s="42"/>
      <c r="RPH81" s="42"/>
      <c r="RPI81" s="43"/>
      <c r="RPJ81" s="24"/>
      <c r="RPK81" s="24"/>
      <c r="RPL81" s="25"/>
      <c r="RPM81" s="23"/>
      <c r="RPN81" s="23"/>
      <c r="RPO81" s="42"/>
      <c r="RPP81" s="427"/>
      <c r="RPQ81" s="22"/>
      <c r="RPR81" s="76"/>
      <c r="RPS81" s="42"/>
      <c r="RPT81" s="42"/>
      <c r="RPU81" s="42"/>
      <c r="RPV81" s="42"/>
      <c r="RPW81" s="42"/>
      <c r="RPX81" s="43"/>
      <c r="RPY81" s="24"/>
      <c r="RPZ81" s="24"/>
      <c r="RQA81" s="25"/>
      <c r="RQB81" s="23"/>
      <c r="RQC81" s="23"/>
      <c r="RQD81" s="42"/>
      <c r="RQE81" s="427"/>
      <c r="RQF81" s="22"/>
      <c r="RQG81" s="76"/>
      <c r="RQH81" s="42"/>
      <c r="RQI81" s="42"/>
      <c r="RQJ81" s="42"/>
      <c r="RQK81" s="42"/>
      <c r="RQL81" s="42"/>
      <c r="RQM81" s="43"/>
      <c r="RQN81" s="24"/>
      <c r="RQO81" s="24"/>
      <c r="RQP81" s="25"/>
      <c r="RQQ81" s="23"/>
      <c r="RQR81" s="23"/>
      <c r="RQS81" s="42"/>
      <c r="RQT81" s="427"/>
      <c r="RQU81" s="22"/>
      <c r="RQV81" s="76"/>
      <c r="RQW81" s="42"/>
      <c r="RQX81" s="42"/>
      <c r="RQY81" s="42"/>
      <c r="RQZ81" s="42"/>
      <c r="RRA81" s="42"/>
      <c r="RRB81" s="43"/>
      <c r="RRC81" s="24"/>
      <c r="RRD81" s="24"/>
      <c r="RRE81" s="25"/>
      <c r="RRF81" s="23"/>
      <c r="RRG81" s="23"/>
      <c r="RRH81" s="42"/>
      <c r="RRI81" s="427"/>
      <c r="RRJ81" s="22"/>
      <c r="RRK81" s="76"/>
      <c r="RRL81" s="42"/>
      <c r="RRM81" s="42"/>
      <c r="RRN81" s="42"/>
      <c r="RRO81" s="42"/>
      <c r="RRP81" s="42"/>
      <c r="RRQ81" s="43"/>
      <c r="RRR81" s="24"/>
      <c r="RRS81" s="24"/>
      <c r="RRT81" s="25"/>
      <c r="RRU81" s="23"/>
      <c r="RRV81" s="23"/>
      <c r="RRW81" s="42"/>
      <c r="RRX81" s="427"/>
      <c r="RRY81" s="22"/>
      <c r="RRZ81" s="76"/>
      <c r="RSA81" s="42"/>
      <c r="RSB81" s="42"/>
      <c r="RSC81" s="42"/>
      <c r="RSD81" s="42"/>
      <c r="RSE81" s="42"/>
      <c r="RSF81" s="43"/>
      <c r="RSG81" s="24"/>
      <c r="RSH81" s="24"/>
      <c r="RSI81" s="25"/>
      <c r="RSJ81" s="23"/>
      <c r="RSK81" s="23"/>
      <c r="RSL81" s="42"/>
      <c r="RSM81" s="427"/>
      <c r="RSN81" s="22"/>
      <c r="RSO81" s="76"/>
      <c r="RSP81" s="42"/>
      <c r="RSQ81" s="42"/>
      <c r="RSR81" s="42"/>
      <c r="RSS81" s="42"/>
      <c r="RST81" s="42"/>
      <c r="RSU81" s="43"/>
      <c r="RSV81" s="24"/>
      <c r="RSW81" s="24"/>
      <c r="RSX81" s="25"/>
      <c r="RSY81" s="23"/>
      <c r="RSZ81" s="23"/>
      <c r="RTA81" s="42"/>
      <c r="RTB81" s="427"/>
      <c r="RTC81" s="22"/>
      <c r="RTD81" s="76"/>
      <c r="RTE81" s="42"/>
      <c r="RTF81" s="42"/>
      <c r="RTG81" s="42"/>
      <c r="RTH81" s="42"/>
      <c r="RTI81" s="42"/>
      <c r="RTJ81" s="43"/>
      <c r="RTK81" s="24"/>
      <c r="RTL81" s="24"/>
      <c r="RTM81" s="25"/>
      <c r="RTN81" s="23"/>
      <c r="RTO81" s="23"/>
      <c r="RTP81" s="42"/>
      <c r="RTQ81" s="427"/>
      <c r="RTR81" s="22"/>
      <c r="RTS81" s="76"/>
      <c r="RTT81" s="42"/>
      <c r="RTU81" s="42"/>
      <c r="RTV81" s="42"/>
      <c r="RTW81" s="42"/>
      <c r="RTX81" s="42"/>
      <c r="RTY81" s="43"/>
      <c r="RTZ81" s="24"/>
      <c r="RUA81" s="24"/>
      <c r="RUB81" s="25"/>
      <c r="RUC81" s="23"/>
      <c r="RUD81" s="23"/>
      <c r="RUE81" s="42"/>
      <c r="RUF81" s="427"/>
      <c r="RUG81" s="22"/>
      <c r="RUH81" s="76"/>
      <c r="RUI81" s="42"/>
      <c r="RUJ81" s="42"/>
      <c r="RUK81" s="42"/>
      <c r="RUL81" s="42"/>
      <c r="RUM81" s="42"/>
      <c r="RUN81" s="43"/>
      <c r="RUO81" s="24"/>
      <c r="RUP81" s="24"/>
      <c r="RUQ81" s="25"/>
      <c r="RUR81" s="23"/>
      <c r="RUS81" s="23"/>
      <c r="RUT81" s="42"/>
      <c r="RUU81" s="427"/>
      <c r="RUV81" s="22"/>
      <c r="RUW81" s="76"/>
      <c r="RUX81" s="42"/>
      <c r="RUY81" s="42"/>
      <c r="RUZ81" s="42"/>
      <c r="RVA81" s="42"/>
      <c r="RVB81" s="42"/>
      <c r="RVC81" s="43"/>
      <c r="RVD81" s="24"/>
      <c r="RVE81" s="24"/>
      <c r="RVF81" s="25"/>
      <c r="RVG81" s="23"/>
      <c r="RVH81" s="23"/>
      <c r="RVI81" s="42"/>
      <c r="RVJ81" s="427"/>
      <c r="RVK81" s="22"/>
      <c r="RVL81" s="76"/>
      <c r="RVM81" s="42"/>
      <c r="RVN81" s="42"/>
      <c r="RVO81" s="42"/>
      <c r="RVP81" s="42"/>
      <c r="RVQ81" s="42"/>
      <c r="RVR81" s="43"/>
      <c r="RVS81" s="24"/>
      <c r="RVT81" s="24"/>
      <c r="RVU81" s="25"/>
      <c r="RVV81" s="23"/>
      <c r="RVW81" s="23"/>
      <c r="RVX81" s="42"/>
      <c r="RVY81" s="427"/>
      <c r="RVZ81" s="22"/>
      <c r="RWA81" s="76"/>
      <c r="RWB81" s="42"/>
      <c r="RWC81" s="42"/>
      <c r="RWD81" s="42"/>
      <c r="RWE81" s="42"/>
      <c r="RWF81" s="42"/>
      <c r="RWG81" s="43"/>
      <c r="RWH81" s="24"/>
      <c r="RWI81" s="24"/>
      <c r="RWJ81" s="25"/>
      <c r="RWK81" s="23"/>
      <c r="RWL81" s="23"/>
      <c r="RWM81" s="42"/>
      <c r="RWN81" s="427"/>
      <c r="RWO81" s="22"/>
      <c r="RWP81" s="76"/>
      <c r="RWQ81" s="42"/>
      <c r="RWR81" s="42"/>
      <c r="RWS81" s="42"/>
      <c r="RWT81" s="42"/>
      <c r="RWU81" s="42"/>
      <c r="RWV81" s="43"/>
      <c r="RWW81" s="24"/>
      <c r="RWX81" s="24"/>
      <c r="RWY81" s="25"/>
      <c r="RWZ81" s="23"/>
      <c r="RXA81" s="23"/>
      <c r="RXB81" s="42"/>
      <c r="RXC81" s="427"/>
      <c r="RXD81" s="22"/>
      <c r="RXE81" s="76"/>
      <c r="RXF81" s="42"/>
      <c r="RXG81" s="42"/>
      <c r="RXH81" s="42"/>
      <c r="RXI81" s="42"/>
      <c r="RXJ81" s="42"/>
      <c r="RXK81" s="43"/>
      <c r="RXL81" s="24"/>
      <c r="RXM81" s="24"/>
      <c r="RXN81" s="25"/>
      <c r="RXO81" s="23"/>
      <c r="RXP81" s="23"/>
      <c r="RXQ81" s="42"/>
      <c r="RXR81" s="427"/>
      <c r="RXS81" s="22"/>
      <c r="RXT81" s="76"/>
      <c r="RXU81" s="42"/>
      <c r="RXV81" s="42"/>
      <c r="RXW81" s="42"/>
      <c r="RXX81" s="42"/>
      <c r="RXY81" s="42"/>
      <c r="RXZ81" s="43"/>
      <c r="RYA81" s="24"/>
      <c r="RYB81" s="24"/>
      <c r="RYC81" s="25"/>
      <c r="RYD81" s="23"/>
      <c r="RYE81" s="23"/>
      <c r="RYF81" s="42"/>
      <c r="RYG81" s="427"/>
      <c r="RYH81" s="22"/>
      <c r="RYI81" s="76"/>
      <c r="RYJ81" s="42"/>
      <c r="RYK81" s="42"/>
      <c r="RYL81" s="42"/>
      <c r="RYM81" s="42"/>
      <c r="RYN81" s="42"/>
      <c r="RYO81" s="43"/>
      <c r="RYP81" s="24"/>
      <c r="RYQ81" s="24"/>
      <c r="RYR81" s="25"/>
      <c r="RYS81" s="23"/>
      <c r="RYT81" s="23"/>
      <c r="RYU81" s="42"/>
      <c r="RYV81" s="427"/>
      <c r="RYW81" s="22"/>
      <c r="RYX81" s="76"/>
      <c r="RYY81" s="42"/>
      <c r="RYZ81" s="42"/>
      <c r="RZA81" s="42"/>
      <c r="RZB81" s="42"/>
      <c r="RZC81" s="42"/>
      <c r="RZD81" s="43"/>
      <c r="RZE81" s="24"/>
      <c r="RZF81" s="24"/>
      <c r="RZG81" s="25"/>
      <c r="RZH81" s="23"/>
      <c r="RZI81" s="23"/>
      <c r="RZJ81" s="42"/>
      <c r="RZK81" s="427"/>
      <c r="RZL81" s="22"/>
      <c r="RZM81" s="76"/>
      <c r="RZN81" s="42"/>
      <c r="RZO81" s="42"/>
      <c r="RZP81" s="42"/>
      <c r="RZQ81" s="42"/>
      <c r="RZR81" s="42"/>
      <c r="RZS81" s="43"/>
      <c r="RZT81" s="24"/>
      <c r="RZU81" s="24"/>
      <c r="RZV81" s="25"/>
      <c r="RZW81" s="23"/>
      <c r="RZX81" s="23"/>
      <c r="RZY81" s="42"/>
      <c r="RZZ81" s="427"/>
      <c r="SAA81" s="22"/>
      <c r="SAB81" s="76"/>
      <c r="SAC81" s="42"/>
      <c r="SAD81" s="42"/>
      <c r="SAE81" s="42"/>
      <c r="SAF81" s="42"/>
      <c r="SAG81" s="42"/>
      <c r="SAH81" s="43"/>
      <c r="SAI81" s="24"/>
      <c r="SAJ81" s="24"/>
      <c r="SAK81" s="25"/>
      <c r="SAL81" s="23"/>
      <c r="SAM81" s="23"/>
      <c r="SAN81" s="42"/>
      <c r="SAO81" s="427"/>
      <c r="SAP81" s="22"/>
      <c r="SAQ81" s="76"/>
      <c r="SAR81" s="42"/>
      <c r="SAS81" s="42"/>
      <c r="SAT81" s="42"/>
      <c r="SAU81" s="42"/>
      <c r="SAV81" s="42"/>
      <c r="SAW81" s="43"/>
      <c r="SAX81" s="24"/>
      <c r="SAY81" s="24"/>
      <c r="SAZ81" s="25"/>
      <c r="SBA81" s="23"/>
      <c r="SBB81" s="23"/>
      <c r="SBC81" s="42"/>
      <c r="SBD81" s="427"/>
      <c r="SBE81" s="22"/>
      <c r="SBF81" s="76"/>
      <c r="SBG81" s="42"/>
      <c r="SBH81" s="42"/>
      <c r="SBI81" s="42"/>
      <c r="SBJ81" s="42"/>
      <c r="SBK81" s="42"/>
      <c r="SBL81" s="43"/>
      <c r="SBM81" s="24"/>
      <c r="SBN81" s="24"/>
      <c r="SBO81" s="25"/>
      <c r="SBP81" s="23"/>
      <c r="SBQ81" s="23"/>
      <c r="SBR81" s="42"/>
      <c r="SBS81" s="427"/>
      <c r="SBT81" s="22"/>
      <c r="SBU81" s="76"/>
      <c r="SBV81" s="42"/>
      <c r="SBW81" s="42"/>
      <c r="SBX81" s="42"/>
      <c r="SBY81" s="42"/>
      <c r="SBZ81" s="42"/>
      <c r="SCA81" s="43"/>
      <c r="SCB81" s="24"/>
      <c r="SCC81" s="24"/>
      <c r="SCD81" s="25"/>
      <c r="SCE81" s="23"/>
      <c r="SCF81" s="23"/>
      <c r="SCG81" s="42"/>
      <c r="SCH81" s="427"/>
      <c r="SCI81" s="22"/>
      <c r="SCJ81" s="76"/>
      <c r="SCK81" s="42"/>
      <c r="SCL81" s="42"/>
      <c r="SCM81" s="42"/>
      <c r="SCN81" s="42"/>
      <c r="SCO81" s="42"/>
      <c r="SCP81" s="43"/>
      <c r="SCQ81" s="24"/>
      <c r="SCR81" s="24"/>
      <c r="SCS81" s="25"/>
      <c r="SCT81" s="23"/>
      <c r="SCU81" s="23"/>
      <c r="SCV81" s="42"/>
      <c r="SCW81" s="427"/>
      <c r="SCX81" s="22"/>
      <c r="SCY81" s="76"/>
      <c r="SCZ81" s="42"/>
      <c r="SDA81" s="42"/>
      <c r="SDB81" s="42"/>
      <c r="SDC81" s="42"/>
      <c r="SDD81" s="42"/>
      <c r="SDE81" s="43"/>
      <c r="SDF81" s="24"/>
      <c r="SDG81" s="24"/>
      <c r="SDH81" s="25"/>
      <c r="SDI81" s="23"/>
      <c r="SDJ81" s="23"/>
      <c r="SDK81" s="42"/>
      <c r="SDL81" s="427"/>
      <c r="SDM81" s="22"/>
      <c r="SDN81" s="76"/>
      <c r="SDO81" s="42"/>
      <c r="SDP81" s="42"/>
      <c r="SDQ81" s="42"/>
      <c r="SDR81" s="42"/>
      <c r="SDS81" s="42"/>
      <c r="SDT81" s="43"/>
      <c r="SDU81" s="24"/>
      <c r="SDV81" s="24"/>
      <c r="SDW81" s="25"/>
      <c r="SDX81" s="23"/>
      <c r="SDY81" s="23"/>
      <c r="SDZ81" s="42"/>
      <c r="SEA81" s="427"/>
      <c r="SEB81" s="22"/>
      <c r="SEC81" s="76"/>
      <c r="SED81" s="42"/>
      <c r="SEE81" s="42"/>
      <c r="SEF81" s="42"/>
      <c r="SEG81" s="42"/>
      <c r="SEH81" s="42"/>
      <c r="SEI81" s="43"/>
      <c r="SEJ81" s="24"/>
      <c r="SEK81" s="24"/>
      <c r="SEL81" s="25"/>
      <c r="SEM81" s="23"/>
      <c r="SEN81" s="23"/>
      <c r="SEO81" s="42"/>
      <c r="SEP81" s="427"/>
      <c r="SEQ81" s="22"/>
      <c r="SER81" s="76"/>
      <c r="SES81" s="42"/>
      <c r="SET81" s="42"/>
      <c r="SEU81" s="42"/>
      <c r="SEV81" s="42"/>
      <c r="SEW81" s="42"/>
      <c r="SEX81" s="43"/>
      <c r="SEY81" s="24"/>
      <c r="SEZ81" s="24"/>
      <c r="SFA81" s="25"/>
      <c r="SFB81" s="23"/>
      <c r="SFC81" s="23"/>
      <c r="SFD81" s="42"/>
      <c r="SFE81" s="427"/>
      <c r="SFF81" s="22"/>
      <c r="SFG81" s="76"/>
      <c r="SFH81" s="42"/>
      <c r="SFI81" s="42"/>
      <c r="SFJ81" s="42"/>
      <c r="SFK81" s="42"/>
      <c r="SFL81" s="42"/>
      <c r="SFM81" s="43"/>
      <c r="SFN81" s="24"/>
      <c r="SFO81" s="24"/>
      <c r="SFP81" s="25"/>
      <c r="SFQ81" s="23"/>
      <c r="SFR81" s="23"/>
      <c r="SFS81" s="42"/>
      <c r="SFT81" s="427"/>
      <c r="SFU81" s="22"/>
      <c r="SFV81" s="76"/>
      <c r="SFW81" s="42"/>
      <c r="SFX81" s="42"/>
      <c r="SFY81" s="42"/>
      <c r="SFZ81" s="42"/>
      <c r="SGA81" s="42"/>
      <c r="SGB81" s="43"/>
      <c r="SGC81" s="24"/>
      <c r="SGD81" s="24"/>
      <c r="SGE81" s="25"/>
      <c r="SGF81" s="23"/>
      <c r="SGG81" s="23"/>
      <c r="SGH81" s="42"/>
      <c r="SGI81" s="427"/>
      <c r="SGJ81" s="22"/>
      <c r="SGK81" s="76"/>
      <c r="SGL81" s="42"/>
      <c r="SGM81" s="42"/>
      <c r="SGN81" s="42"/>
      <c r="SGO81" s="42"/>
      <c r="SGP81" s="42"/>
      <c r="SGQ81" s="43"/>
      <c r="SGR81" s="24"/>
      <c r="SGS81" s="24"/>
      <c r="SGT81" s="25"/>
      <c r="SGU81" s="23"/>
      <c r="SGV81" s="23"/>
      <c r="SGW81" s="42"/>
      <c r="SGX81" s="427"/>
      <c r="SGY81" s="22"/>
      <c r="SGZ81" s="76"/>
      <c r="SHA81" s="42"/>
      <c r="SHB81" s="42"/>
      <c r="SHC81" s="42"/>
      <c r="SHD81" s="42"/>
      <c r="SHE81" s="42"/>
      <c r="SHF81" s="43"/>
      <c r="SHG81" s="24"/>
      <c r="SHH81" s="24"/>
      <c r="SHI81" s="25"/>
      <c r="SHJ81" s="23"/>
      <c r="SHK81" s="23"/>
      <c r="SHL81" s="42"/>
      <c r="SHM81" s="427"/>
      <c r="SHN81" s="22"/>
      <c r="SHO81" s="76"/>
      <c r="SHP81" s="42"/>
      <c r="SHQ81" s="42"/>
      <c r="SHR81" s="42"/>
      <c r="SHS81" s="42"/>
      <c r="SHT81" s="42"/>
      <c r="SHU81" s="43"/>
      <c r="SHV81" s="24"/>
      <c r="SHW81" s="24"/>
      <c r="SHX81" s="25"/>
      <c r="SHY81" s="23"/>
      <c r="SHZ81" s="23"/>
      <c r="SIA81" s="42"/>
      <c r="SIB81" s="427"/>
      <c r="SIC81" s="22"/>
      <c r="SID81" s="76"/>
      <c r="SIE81" s="42"/>
      <c r="SIF81" s="42"/>
      <c r="SIG81" s="42"/>
      <c r="SIH81" s="42"/>
      <c r="SII81" s="42"/>
      <c r="SIJ81" s="43"/>
      <c r="SIK81" s="24"/>
      <c r="SIL81" s="24"/>
      <c r="SIM81" s="25"/>
      <c r="SIN81" s="23"/>
      <c r="SIO81" s="23"/>
      <c r="SIP81" s="42"/>
      <c r="SIQ81" s="427"/>
      <c r="SIR81" s="22"/>
      <c r="SIS81" s="76"/>
      <c r="SIT81" s="42"/>
      <c r="SIU81" s="42"/>
      <c r="SIV81" s="42"/>
      <c r="SIW81" s="42"/>
      <c r="SIX81" s="42"/>
      <c r="SIY81" s="43"/>
      <c r="SIZ81" s="24"/>
      <c r="SJA81" s="24"/>
      <c r="SJB81" s="25"/>
      <c r="SJC81" s="23"/>
      <c r="SJD81" s="23"/>
      <c r="SJE81" s="42"/>
      <c r="SJF81" s="427"/>
      <c r="SJG81" s="22"/>
      <c r="SJH81" s="76"/>
      <c r="SJI81" s="42"/>
      <c r="SJJ81" s="42"/>
      <c r="SJK81" s="42"/>
      <c r="SJL81" s="42"/>
      <c r="SJM81" s="42"/>
      <c r="SJN81" s="43"/>
      <c r="SJO81" s="24"/>
      <c r="SJP81" s="24"/>
      <c r="SJQ81" s="25"/>
      <c r="SJR81" s="23"/>
      <c r="SJS81" s="23"/>
      <c r="SJT81" s="42"/>
      <c r="SJU81" s="427"/>
      <c r="SJV81" s="22"/>
      <c r="SJW81" s="76"/>
      <c r="SJX81" s="42"/>
      <c r="SJY81" s="42"/>
      <c r="SJZ81" s="42"/>
      <c r="SKA81" s="42"/>
      <c r="SKB81" s="42"/>
      <c r="SKC81" s="43"/>
      <c r="SKD81" s="24"/>
      <c r="SKE81" s="24"/>
      <c r="SKF81" s="25"/>
      <c r="SKG81" s="23"/>
      <c r="SKH81" s="23"/>
      <c r="SKI81" s="42"/>
      <c r="SKJ81" s="427"/>
      <c r="SKK81" s="22"/>
      <c r="SKL81" s="76"/>
      <c r="SKM81" s="42"/>
      <c r="SKN81" s="42"/>
      <c r="SKO81" s="42"/>
      <c r="SKP81" s="42"/>
      <c r="SKQ81" s="42"/>
      <c r="SKR81" s="43"/>
      <c r="SKS81" s="24"/>
      <c r="SKT81" s="24"/>
      <c r="SKU81" s="25"/>
      <c r="SKV81" s="23"/>
      <c r="SKW81" s="23"/>
      <c r="SKX81" s="42"/>
      <c r="SKY81" s="427"/>
      <c r="SKZ81" s="22"/>
      <c r="SLA81" s="76"/>
      <c r="SLB81" s="42"/>
      <c r="SLC81" s="42"/>
      <c r="SLD81" s="42"/>
      <c r="SLE81" s="42"/>
      <c r="SLF81" s="42"/>
      <c r="SLG81" s="43"/>
      <c r="SLH81" s="24"/>
      <c r="SLI81" s="24"/>
      <c r="SLJ81" s="25"/>
      <c r="SLK81" s="23"/>
      <c r="SLL81" s="23"/>
      <c r="SLM81" s="42"/>
      <c r="SLN81" s="427"/>
      <c r="SLO81" s="22"/>
      <c r="SLP81" s="76"/>
      <c r="SLQ81" s="42"/>
      <c r="SLR81" s="42"/>
      <c r="SLS81" s="42"/>
      <c r="SLT81" s="42"/>
      <c r="SLU81" s="42"/>
      <c r="SLV81" s="43"/>
      <c r="SLW81" s="24"/>
      <c r="SLX81" s="24"/>
      <c r="SLY81" s="25"/>
      <c r="SLZ81" s="23"/>
      <c r="SMA81" s="23"/>
      <c r="SMB81" s="42"/>
      <c r="SMC81" s="427"/>
      <c r="SMD81" s="22"/>
      <c r="SME81" s="76"/>
      <c r="SMF81" s="42"/>
      <c r="SMG81" s="42"/>
      <c r="SMH81" s="42"/>
      <c r="SMI81" s="42"/>
      <c r="SMJ81" s="42"/>
      <c r="SMK81" s="43"/>
      <c r="SML81" s="24"/>
      <c r="SMM81" s="24"/>
      <c r="SMN81" s="25"/>
      <c r="SMO81" s="23"/>
      <c r="SMP81" s="23"/>
      <c r="SMQ81" s="42"/>
      <c r="SMR81" s="427"/>
      <c r="SMS81" s="22"/>
      <c r="SMT81" s="76"/>
      <c r="SMU81" s="42"/>
      <c r="SMV81" s="42"/>
      <c r="SMW81" s="42"/>
      <c r="SMX81" s="42"/>
      <c r="SMY81" s="42"/>
      <c r="SMZ81" s="43"/>
      <c r="SNA81" s="24"/>
      <c r="SNB81" s="24"/>
      <c r="SNC81" s="25"/>
      <c r="SND81" s="23"/>
      <c r="SNE81" s="23"/>
      <c r="SNF81" s="42"/>
      <c r="SNG81" s="427"/>
      <c r="SNH81" s="22"/>
      <c r="SNI81" s="76"/>
      <c r="SNJ81" s="42"/>
      <c r="SNK81" s="42"/>
      <c r="SNL81" s="42"/>
      <c r="SNM81" s="42"/>
      <c r="SNN81" s="42"/>
      <c r="SNO81" s="43"/>
      <c r="SNP81" s="24"/>
      <c r="SNQ81" s="24"/>
      <c r="SNR81" s="25"/>
      <c r="SNS81" s="23"/>
      <c r="SNT81" s="23"/>
      <c r="SNU81" s="42"/>
      <c r="SNV81" s="427"/>
      <c r="SNW81" s="22"/>
      <c r="SNX81" s="76"/>
      <c r="SNY81" s="42"/>
      <c r="SNZ81" s="42"/>
      <c r="SOA81" s="42"/>
      <c r="SOB81" s="42"/>
      <c r="SOC81" s="42"/>
      <c r="SOD81" s="43"/>
      <c r="SOE81" s="24"/>
      <c r="SOF81" s="24"/>
      <c r="SOG81" s="25"/>
      <c r="SOH81" s="23"/>
      <c r="SOI81" s="23"/>
      <c r="SOJ81" s="42"/>
      <c r="SOK81" s="427"/>
      <c r="SOL81" s="22"/>
      <c r="SOM81" s="76"/>
      <c r="SON81" s="42"/>
      <c r="SOO81" s="42"/>
      <c r="SOP81" s="42"/>
      <c r="SOQ81" s="42"/>
      <c r="SOR81" s="42"/>
      <c r="SOS81" s="43"/>
      <c r="SOT81" s="24"/>
      <c r="SOU81" s="24"/>
      <c r="SOV81" s="25"/>
      <c r="SOW81" s="23"/>
      <c r="SOX81" s="23"/>
      <c r="SOY81" s="42"/>
      <c r="SOZ81" s="427"/>
      <c r="SPA81" s="22"/>
      <c r="SPB81" s="76"/>
      <c r="SPC81" s="42"/>
      <c r="SPD81" s="42"/>
      <c r="SPE81" s="42"/>
      <c r="SPF81" s="42"/>
      <c r="SPG81" s="42"/>
      <c r="SPH81" s="43"/>
      <c r="SPI81" s="24"/>
      <c r="SPJ81" s="24"/>
      <c r="SPK81" s="25"/>
      <c r="SPL81" s="23"/>
      <c r="SPM81" s="23"/>
      <c r="SPN81" s="42"/>
      <c r="SPO81" s="427"/>
      <c r="SPP81" s="22"/>
      <c r="SPQ81" s="76"/>
      <c r="SPR81" s="42"/>
      <c r="SPS81" s="42"/>
      <c r="SPT81" s="42"/>
      <c r="SPU81" s="42"/>
      <c r="SPV81" s="42"/>
      <c r="SPW81" s="43"/>
      <c r="SPX81" s="24"/>
      <c r="SPY81" s="24"/>
      <c r="SPZ81" s="25"/>
      <c r="SQA81" s="23"/>
      <c r="SQB81" s="23"/>
      <c r="SQC81" s="42"/>
      <c r="SQD81" s="427"/>
      <c r="SQE81" s="22"/>
      <c r="SQF81" s="76"/>
      <c r="SQG81" s="42"/>
      <c r="SQH81" s="42"/>
      <c r="SQI81" s="42"/>
      <c r="SQJ81" s="42"/>
      <c r="SQK81" s="42"/>
      <c r="SQL81" s="43"/>
      <c r="SQM81" s="24"/>
      <c r="SQN81" s="24"/>
      <c r="SQO81" s="25"/>
      <c r="SQP81" s="23"/>
      <c r="SQQ81" s="23"/>
      <c r="SQR81" s="42"/>
      <c r="SQS81" s="427"/>
      <c r="SQT81" s="22"/>
      <c r="SQU81" s="76"/>
      <c r="SQV81" s="42"/>
      <c r="SQW81" s="42"/>
      <c r="SQX81" s="42"/>
      <c r="SQY81" s="42"/>
      <c r="SQZ81" s="42"/>
      <c r="SRA81" s="43"/>
      <c r="SRB81" s="24"/>
      <c r="SRC81" s="24"/>
      <c r="SRD81" s="25"/>
      <c r="SRE81" s="23"/>
      <c r="SRF81" s="23"/>
      <c r="SRG81" s="42"/>
      <c r="SRH81" s="427"/>
      <c r="SRI81" s="22"/>
      <c r="SRJ81" s="76"/>
      <c r="SRK81" s="42"/>
      <c r="SRL81" s="42"/>
      <c r="SRM81" s="42"/>
      <c r="SRN81" s="42"/>
      <c r="SRO81" s="42"/>
      <c r="SRP81" s="43"/>
      <c r="SRQ81" s="24"/>
      <c r="SRR81" s="24"/>
      <c r="SRS81" s="25"/>
      <c r="SRT81" s="23"/>
      <c r="SRU81" s="23"/>
      <c r="SRV81" s="42"/>
      <c r="SRW81" s="427"/>
      <c r="SRX81" s="22"/>
      <c r="SRY81" s="76"/>
      <c r="SRZ81" s="42"/>
      <c r="SSA81" s="42"/>
      <c r="SSB81" s="42"/>
      <c r="SSC81" s="42"/>
      <c r="SSD81" s="42"/>
      <c r="SSE81" s="43"/>
      <c r="SSF81" s="24"/>
      <c r="SSG81" s="24"/>
      <c r="SSH81" s="25"/>
      <c r="SSI81" s="23"/>
      <c r="SSJ81" s="23"/>
      <c r="SSK81" s="42"/>
      <c r="SSL81" s="427"/>
      <c r="SSM81" s="22"/>
      <c r="SSN81" s="76"/>
      <c r="SSO81" s="42"/>
      <c r="SSP81" s="42"/>
      <c r="SSQ81" s="42"/>
      <c r="SSR81" s="42"/>
      <c r="SSS81" s="42"/>
      <c r="SST81" s="43"/>
      <c r="SSU81" s="24"/>
      <c r="SSV81" s="24"/>
      <c r="SSW81" s="25"/>
      <c r="SSX81" s="23"/>
      <c r="SSY81" s="23"/>
      <c r="SSZ81" s="42"/>
      <c r="STA81" s="427"/>
      <c r="STB81" s="22"/>
      <c r="STC81" s="76"/>
      <c r="STD81" s="42"/>
      <c r="STE81" s="42"/>
      <c r="STF81" s="42"/>
      <c r="STG81" s="42"/>
      <c r="STH81" s="42"/>
      <c r="STI81" s="43"/>
      <c r="STJ81" s="24"/>
      <c r="STK81" s="24"/>
      <c r="STL81" s="25"/>
      <c r="STM81" s="23"/>
      <c r="STN81" s="23"/>
      <c r="STO81" s="42"/>
      <c r="STP81" s="427"/>
      <c r="STQ81" s="22"/>
      <c r="STR81" s="76"/>
      <c r="STS81" s="42"/>
      <c r="STT81" s="42"/>
      <c r="STU81" s="42"/>
      <c r="STV81" s="42"/>
      <c r="STW81" s="42"/>
      <c r="STX81" s="43"/>
      <c r="STY81" s="24"/>
      <c r="STZ81" s="24"/>
      <c r="SUA81" s="25"/>
      <c r="SUB81" s="23"/>
      <c r="SUC81" s="23"/>
      <c r="SUD81" s="42"/>
      <c r="SUE81" s="427"/>
      <c r="SUF81" s="22"/>
      <c r="SUG81" s="76"/>
      <c r="SUH81" s="42"/>
      <c r="SUI81" s="42"/>
      <c r="SUJ81" s="42"/>
      <c r="SUK81" s="42"/>
      <c r="SUL81" s="42"/>
      <c r="SUM81" s="43"/>
      <c r="SUN81" s="24"/>
      <c r="SUO81" s="24"/>
      <c r="SUP81" s="25"/>
      <c r="SUQ81" s="23"/>
      <c r="SUR81" s="23"/>
      <c r="SUS81" s="42"/>
      <c r="SUT81" s="427"/>
      <c r="SUU81" s="22"/>
      <c r="SUV81" s="76"/>
      <c r="SUW81" s="42"/>
      <c r="SUX81" s="42"/>
      <c r="SUY81" s="42"/>
      <c r="SUZ81" s="42"/>
      <c r="SVA81" s="42"/>
      <c r="SVB81" s="43"/>
      <c r="SVC81" s="24"/>
      <c r="SVD81" s="24"/>
      <c r="SVE81" s="25"/>
      <c r="SVF81" s="23"/>
      <c r="SVG81" s="23"/>
      <c r="SVH81" s="42"/>
      <c r="SVI81" s="427"/>
      <c r="SVJ81" s="22"/>
      <c r="SVK81" s="76"/>
      <c r="SVL81" s="42"/>
      <c r="SVM81" s="42"/>
      <c r="SVN81" s="42"/>
      <c r="SVO81" s="42"/>
      <c r="SVP81" s="42"/>
      <c r="SVQ81" s="43"/>
      <c r="SVR81" s="24"/>
      <c r="SVS81" s="24"/>
      <c r="SVT81" s="25"/>
      <c r="SVU81" s="23"/>
      <c r="SVV81" s="23"/>
      <c r="SVW81" s="42"/>
      <c r="SVX81" s="427"/>
      <c r="SVY81" s="22"/>
      <c r="SVZ81" s="76"/>
      <c r="SWA81" s="42"/>
      <c r="SWB81" s="42"/>
      <c r="SWC81" s="42"/>
      <c r="SWD81" s="42"/>
      <c r="SWE81" s="42"/>
      <c r="SWF81" s="43"/>
      <c r="SWG81" s="24"/>
      <c r="SWH81" s="24"/>
      <c r="SWI81" s="25"/>
      <c r="SWJ81" s="23"/>
      <c r="SWK81" s="23"/>
      <c r="SWL81" s="42"/>
      <c r="SWM81" s="427"/>
      <c r="SWN81" s="22"/>
      <c r="SWO81" s="76"/>
      <c r="SWP81" s="42"/>
      <c r="SWQ81" s="42"/>
      <c r="SWR81" s="42"/>
      <c r="SWS81" s="42"/>
      <c r="SWT81" s="42"/>
      <c r="SWU81" s="43"/>
      <c r="SWV81" s="24"/>
      <c r="SWW81" s="24"/>
      <c r="SWX81" s="25"/>
      <c r="SWY81" s="23"/>
      <c r="SWZ81" s="23"/>
      <c r="SXA81" s="42"/>
      <c r="SXB81" s="427"/>
      <c r="SXC81" s="22"/>
      <c r="SXD81" s="76"/>
      <c r="SXE81" s="42"/>
      <c r="SXF81" s="42"/>
      <c r="SXG81" s="42"/>
      <c r="SXH81" s="42"/>
      <c r="SXI81" s="42"/>
      <c r="SXJ81" s="43"/>
      <c r="SXK81" s="24"/>
      <c r="SXL81" s="24"/>
      <c r="SXM81" s="25"/>
      <c r="SXN81" s="23"/>
      <c r="SXO81" s="23"/>
      <c r="SXP81" s="42"/>
      <c r="SXQ81" s="427"/>
      <c r="SXR81" s="22"/>
      <c r="SXS81" s="76"/>
      <c r="SXT81" s="42"/>
      <c r="SXU81" s="42"/>
      <c r="SXV81" s="42"/>
      <c r="SXW81" s="42"/>
      <c r="SXX81" s="42"/>
      <c r="SXY81" s="43"/>
      <c r="SXZ81" s="24"/>
      <c r="SYA81" s="24"/>
      <c r="SYB81" s="25"/>
      <c r="SYC81" s="23"/>
      <c r="SYD81" s="23"/>
      <c r="SYE81" s="42"/>
      <c r="SYF81" s="427"/>
      <c r="SYG81" s="22"/>
      <c r="SYH81" s="76"/>
      <c r="SYI81" s="42"/>
      <c r="SYJ81" s="42"/>
      <c r="SYK81" s="42"/>
      <c r="SYL81" s="42"/>
      <c r="SYM81" s="42"/>
      <c r="SYN81" s="43"/>
      <c r="SYO81" s="24"/>
      <c r="SYP81" s="24"/>
      <c r="SYQ81" s="25"/>
      <c r="SYR81" s="23"/>
      <c r="SYS81" s="23"/>
      <c r="SYT81" s="42"/>
      <c r="SYU81" s="427"/>
      <c r="SYV81" s="22"/>
      <c r="SYW81" s="76"/>
      <c r="SYX81" s="42"/>
      <c r="SYY81" s="42"/>
      <c r="SYZ81" s="42"/>
      <c r="SZA81" s="42"/>
      <c r="SZB81" s="42"/>
      <c r="SZC81" s="43"/>
      <c r="SZD81" s="24"/>
      <c r="SZE81" s="24"/>
      <c r="SZF81" s="25"/>
      <c r="SZG81" s="23"/>
      <c r="SZH81" s="23"/>
      <c r="SZI81" s="42"/>
      <c r="SZJ81" s="427"/>
      <c r="SZK81" s="22"/>
      <c r="SZL81" s="76"/>
      <c r="SZM81" s="42"/>
      <c r="SZN81" s="42"/>
      <c r="SZO81" s="42"/>
      <c r="SZP81" s="42"/>
      <c r="SZQ81" s="42"/>
      <c r="SZR81" s="43"/>
      <c r="SZS81" s="24"/>
      <c r="SZT81" s="24"/>
      <c r="SZU81" s="25"/>
      <c r="SZV81" s="23"/>
      <c r="SZW81" s="23"/>
      <c r="SZX81" s="42"/>
      <c r="SZY81" s="427"/>
      <c r="SZZ81" s="22"/>
      <c r="TAA81" s="76"/>
      <c r="TAB81" s="42"/>
      <c r="TAC81" s="42"/>
      <c r="TAD81" s="42"/>
      <c r="TAE81" s="42"/>
      <c r="TAF81" s="42"/>
      <c r="TAG81" s="43"/>
      <c r="TAH81" s="24"/>
      <c r="TAI81" s="24"/>
      <c r="TAJ81" s="25"/>
      <c r="TAK81" s="23"/>
      <c r="TAL81" s="23"/>
      <c r="TAM81" s="42"/>
      <c r="TAN81" s="427"/>
      <c r="TAO81" s="22"/>
      <c r="TAP81" s="76"/>
      <c r="TAQ81" s="42"/>
      <c r="TAR81" s="42"/>
      <c r="TAS81" s="42"/>
      <c r="TAT81" s="42"/>
      <c r="TAU81" s="42"/>
      <c r="TAV81" s="43"/>
      <c r="TAW81" s="24"/>
      <c r="TAX81" s="24"/>
      <c r="TAY81" s="25"/>
      <c r="TAZ81" s="23"/>
      <c r="TBA81" s="23"/>
      <c r="TBB81" s="42"/>
      <c r="TBC81" s="427"/>
      <c r="TBD81" s="22"/>
      <c r="TBE81" s="76"/>
      <c r="TBF81" s="42"/>
      <c r="TBG81" s="42"/>
      <c r="TBH81" s="42"/>
      <c r="TBI81" s="42"/>
      <c r="TBJ81" s="42"/>
      <c r="TBK81" s="43"/>
      <c r="TBL81" s="24"/>
      <c r="TBM81" s="24"/>
      <c r="TBN81" s="25"/>
      <c r="TBO81" s="23"/>
      <c r="TBP81" s="23"/>
      <c r="TBQ81" s="42"/>
      <c r="TBR81" s="427"/>
      <c r="TBS81" s="22"/>
      <c r="TBT81" s="76"/>
      <c r="TBU81" s="42"/>
      <c r="TBV81" s="42"/>
      <c r="TBW81" s="42"/>
      <c r="TBX81" s="42"/>
      <c r="TBY81" s="42"/>
      <c r="TBZ81" s="43"/>
      <c r="TCA81" s="24"/>
      <c r="TCB81" s="24"/>
      <c r="TCC81" s="25"/>
      <c r="TCD81" s="23"/>
      <c r="TCE81" s="23"/>
      <c r="TCF81" s="42"/>
      <c r="TCG81" s="427"/>
      <c r="TCH81" s="22"/>
      <c r="TCI81" s="76"/>
      <c r="TCJ81" s="42"/>
      <c r="TCK81" s="42"/>
      <c r="TCL81" s="42"/>
      <c r="TCM81" s="42"/>
      <c r="TCN81" s="42"/>
      <c r="TCO81" s="43"/>
      <c r="TCP81" s="24"/>
      <c r="TCQ81" s="24"/>
      <c r="TCR81" s="25"/>
      <c r="TCS81" s="23"/>
      <c r="TCT81" s="23"/>
      <c r="TCU81" s="42"/>
      <c r="TCV81" s="427"/>
      <c r="TCW81" s="22"/>
      <c r="TCX81" s="76"/>
      <c r="TCY81" s="42"/>
      <c r="TCZ81" s="42"/>
      <c r="TDA81" s="42"/>
      <c r="TDB81" s="42"/>
      <c r="TDC81" s="42"/>
      <c r="TDD81" s="43"/>
      <c r="TDE81" s="24"/>
      <c r="TDF81" s="24"/>
      <c r="TDG81" s="25"/>
      <c r="TDH81" s="23"/>
      <c r="TDI81" s="23"/>
      <c r="TDJ81" s="42"/>
      <c r="TDK81" s="427"/>
      <c r="TDL81" s="22"/>
      <c r="TDM81" s="76"/>
      <c r="TDN81" s="42"/>
      <c r="TDO81" s="42"/>
      <c r="TDP81" s="42"/>
      <c r="TDQ81" s="42"/>
      <c r="TDR81" s="42"/>
      <c r="TDS81" s="43"/>
      <c r="TDT81" s="24"/>
      <c r="TDU81" s="24"/>
      <c r="TDV81" s="25"/>
      <c r="TDW81" s="23"/>
      <c r="TDX81" s="23"/>
      <c r="TDY81" s="42"/>
      <c r="TDZ81" s="427"/>
      <c r="TEA81" s="22"/>
      <c r="TEB81" s="76"/>
      <c r="TEC81" s="42"/>
      <c r="TED81" s="42"/>
      <c r="TEE81" s="42"/>
      <c r="TEF81" s="42"/>
      <c r="TEG81" s="42"/>
      <c r="TEH81" s="43"/>
      <c r="TEI81" s="24"/>
      <c r="TEJ81" s="24"/>
      <c r="TEK81" s="25"/>
      <c r="TEL81" s="23"/>
      <c r="TEM81" s="23"/>
      <c r="TEN81" s="42"/>
      <c r="TEO81" s="427"/>
      <c r="TEP81" s="22"/>
      <c r="TEQ81" s="76"/>
      <c r="TER81" s="42"/>
      <c r="TES81" s="42"/>
      <c r="TET81" s="42"/>
      <c r="TEU81" s="42"/>
      <c r="TEV81" s="42"/>
      <c r="TEW81" s="43"/>
      <c r="TEX81" s="24"/>
      <c r="TEY81" s="24"/>
      <c r="TEZ81" s="25"/>
      <c r="TFA81" s="23"/>
      <c r="TFB81" s="23"/>
      <c r="TFC81" s="42"/>
      <c r="TFD81" s="427"/>
      <c r="TFE81" s="22"/>
      <c r="TFF81" s="76"/>
      <c r="TFG81" s="42"/>
      <c r="TFH81" s="42"/>
      <c r="TFI81" s="42"/>
      <c r="TFJ81" s="42"/>
      <c r="TFK81" s="42"/>
      <c r="TFL81" s="43"/>
      <c r="TFM81" s="24"/>
      <c r="TFN81" s="24"/>
      <c r="TFO81" s="25"/>
      <c r="TFP81" s="23"/>
      <c r="TFQ81" s="23"/>
      <c r="TFR81" s="42"/>
      <c r="TFS81" s="427"/>
      <c r="TFT81" s="22"/>
      <c r="TFU81" s="76"/>
      <c r="TFV81" s="42"/>
      <c r="TFW81" s="42"/>
      <c r="TFX81" s="42"/>
      <c r="TFY81" s="42"/>
      <c r="TFZ81" s="42"/>
      <c r="TGA81" s="43"/>
      <c r="TGB81" s="24"/>
      <c r="TGC81" s="24"/>
      <c r="TGD81" s="25"/>
      <c r="TGE81" s="23"/>
      <c r="TGF81" s="23"/>
      <c r="TGG81" s="42"/>
      <c r="TGH81" s="427"/>
      <c r="TGI81" s="22"/>
      <c r="TGJ81" s="76"/>
      <c r="TGK81" s="42"/>
      <c r="TGL81" s="42"/>
      <c r="TGM81" s="42"/>
      <c r="TGN81" s="42"/>
      <c r="TGO81" s="42"/>
      <c r="TGP81" s="43"/>
      <c r="TGQ81" s="24"/>
      <c r="TGR81" s="24"/>
      <c r="TGS81" s="25"/>
      <c r="TGT81" s="23"/>
      <c r="TGU81" s="23"/>
      <c r="TGV81" s="42"/>
      <c r="TGW81" s="427"/>
      <c r="TGX81" s="22"/>
      <c r="TGY81" s="76"/>
      <c r="TGZ81" s="42"/>
      <c r="THA81" s="42"/>
      <c r="THB81" s="42"/>
      <c r="THC81" s="42"/>
      <c r="THD81" s="42"/>
      <c r="THE81" s="43"/>
      <c r="THF81" s="24"/>
      <c r="THG81" s="24"/>
      <c r="THH81" s="25"/>
      <c r="THI81" s="23"/>
      <c r="THJ81" s="23"/>
      <c r="THK81" s="42"/>
      <c r="THL81" s="427"/>
      <c r="THM81" s="22"/>
      <c r="THN81" s="76"/>
      <c r="THO81" s="42"/>
      <c r="THP81" s="42"/>
      <c r="THQ81" s="42"/>
      <c r="THR81" s="42"/>
      <c r="THS81" s="42"/>
      <c r="THT81" s="43"/>
      <c r="THU81" s="24"/>
      <c r="THV81" s="24"/>
      <c r="THW81" s="25"/>
      <c r="THX81" s="23"/>
      <c r="THY81" s="23"/>
      <c r="THZ81" s="42"/>
      <c r="TIA81" s="427"/>
      <c r="TIB81" s="22"/>
      <c r="TIC81" s="76"/>
      <c r="TID81" s="42"/>
      <c r="TIE81" s="42"/>
      <c r="TIF81" s="42"/>
      <c r="TIG81" s="42"/>
      <c r="TIH81" s="42"/>
      <c r="TII81" s="43"/>
      <c r="TIJ81" s="24"/>
      <c r="TIK81" s="24"/>
      <c r="TIL81" s="25"/>
      <c r="TIM81" s="23"/>
      <c r="TIN81" s="23"/>
      <c r="TIO81" s="42"/>
      <c r="TIP81" s="427"/>
      <c r="TIQ81" s="22"/>
      <c r="TIR81" s="76"/>
      <c r="TIS81" s="42"/>
      <c r="TIT81" s="42"/>
      <c r="TIU81" s="42"/>
      <c r="TIV81" s="42"/>
      <c r="TIW81" s="42"/>
      <c r="TIX81" s="43"/>
      <c r="TIY81" s="24"/>
      <c r="TIZ81" s="24"/>
      <c r="TJA81" s="25"/>
      <c r="TJB81" s="23"/>
      <c r="TJC81" s="23"/>
      <c r="TJD81" s="42"/>
      <c r="TJE81" s="427"/>
      <c r="TJF81" s="22"/>
      <c r="TJG81" s="76"/>
      <c r="TJH81" s="42"/>
      <c r="TJI81" s="42"/>
      <c r="TJJ81" s="42"/>
      <c r="TJK81" s="42"/>
      <c r="TJL81" s="42"/>
      <c r="TJM81" s="43"/>
      <c r="TJN81" s="24"/>
      <c r="TJO81" s="24"/>
      <c r="TJP81" s="25"/>
      <c r="TJQ81" s="23"/>
      <c r="TJR81" s="23"/>
      <c r="TJS81" s="42"/>
      <c r="TJT81" s="427"/>
      <c r="TJU81" s="22"/>
      <c r="TJV81" s="76"/>
      <c r="TJW81" s="42"/>
      <c r="TJX81" s="42"/>
      <c r="TJY81" s="42"/>
      <c r="TJZ81" s="42"/>
      <c r="TKA81" s="42"/>
      <c r="TKB81" s="43"/>
      <c r="TKC81" s="24"/>
      <c r="TKD81" s="24"/>
      <c r="TKE81" s="25"/>
      <c r="TKF81" s="23"/>
      <c r="TKG81" s="23"/>
      <c r="TKH81" s="42"/>
      <c r="TKI81" s="427"/>
      <c r="TKJ81" s="22"/>
      <c r="TKK81" s="76"/>
      <c r="TKL81" s="42"/>
      <c r="TKM81" s="42"/>
      <c r="TKN81" s="42"/>
      <c r="TKO81" s="42"/>
      <c r="TKP81" s="42"/>
      <c r="TKQ81" s="43"/>
      <c r="TKR81" s="24"/>
      <c r="TKS81" s="24"/>
      <c r="TKT81" s="25"/>
      <c r="TKU81" s="23"/>
      <c r="TKV81" s="23"/>
      <c r="TKW81" s="42"/>
      <c r="TKX81" s="427"/>
      <c r="TKY81" s="22"/>
      <c r="TKZ81" s="76"/>
      <c r="TLA81" s="42"/>
      <c r="TLB81" s="42"/>
      <c r="TLC81" s="42"/>
      <c r="TLD81" s="42"/>
      <c r="TLE81" s="42"/>
      <c r="TLF81" s="43"/>
      <c r="TLG81" s="24"/>
      <c r="TLH81" s="24"/>
      <c r="TLI81" s="25"/>
      <c r="TLJ81" s="23"/>
      <c r="TLK81" s="23"/>
      <c r="TLL81" s="42"/>
      <c r="TLM81" s="427"/>
      <c r="TLN81" s="22"/>
      <c r="TLO81" s="76"/>
      <c r="TLP81" s="42"/>
      <c r="TLQ81" s="42"/>
      <c r="TLR81" s="42"/>
      <c r="TLS81" s="42"/>
      <c r="TLT81" s="42"/>
      <c r="TLU81" s="43"/>
      <c r="TLV81" s="24"/>
      <c r="TLW81" s="24"/>
      <c r="TLX81" s="25"/>
      <c r="TLY81" s="23"/>
      <c r="TLZ81" s="23"/>
      <c r="TMA81" s="42"/>
      <c r="TMB81" s="427"/>
      <c r="TMC81" s="22"/>
      <c r="TMD81" s="76"/>
      <c r="TME81" s="42"/>
      <c r="TMF81" s="42"/>
      <c r="TMG81" s="42"/>
      <c r="TMH81" s="42"/>
      <c r="TMI81" s="42"/>
      <c r="TMJ81" s="43"/>
      <c r="TMK81" s="24"/>
      <c r="TML81" s="24"/>
      <c r="TMM81" s="25"/>
      <c r="TMN81" s="23"/>
      <c r="TMO81" s="23"/>
      <c r="TMP81" s="42"/>
      <c r="TMQ81" s="427"/>
      <c r="TMR81" s="22"/>
      <c r="TMS81" s="76"/>
      <c r="TMT81" s="42"/>
      <c r="TMU81" s="42"/>
      <c r="TMV81" s="42"/>
      <c r="TMW81" s="42"/>
      <c r="TMX81" s="42"/>
      <c r="TMY81" s="43"/>
      <c r="TMZ81" s="24"/>
      <c r="TNA81" s="24"/>
      <c r="TNB81" s="25"/>
      <c r="TNC81" s="23"/>
      <c r="TND81" s="23"/>
      <c r="TNE81" s="42"/>
      <c r="TNF81" s="427"/>
      <c r="TNG81" s="22"/>
      <c r="TNH81" s="76"/>
      <c r="TNI81" s="42"/>
      <c r="TNJ81" s="42"/>
      <c r="TNK81" s="42"/>
      <c r="TNL81" s="42"/>
      <c r="TNM81" s="42"/>
      <c r="TNN81" s="43"/>
      <c r="TNO81" s="24"/>
      <c r="TNP81" s="24"/>
      <c r="TNQ81" s="25"/>
      <c r="TNR81" s="23"/>
      <c r="TNS81" s="23"/>
      <c r="TNT81" s="42"/>
      <c r="TNU81" s="427"/>
      <c r="TNV81" s="22"/>
      <c r="TNW81" s="76"/>
      <c r="TNX81" s="42"/>
      <c r="TNY81" s="42"/>
      <c r="TNZ81" s="42"/>
      <c r="TOA81" s="42"/>
      <c r="TOB81" s="42"/>
      <c r="TOC81" s="43"/>
      <c r="TOD81" s="24"/>
      <c r="TOE81" s="24"/>
      <c r="TOF81" s="25"/>
      <c r="TOG81" s="23"/>
      <c r="TOH81" s="23"/>
      <c r="TOI81" s="42"/>
      <c r="TOJ81" s="427"/>
      <c r="TOK81" s="22"/>
      <c r="TOL81" s="76"/>
      <c r="TOM81" s="42"/>
      <c r="TON81" s="42"/>
      <c r="TOO81" s="42"/>
      <c r="TOP81" s="42"/>
      <c r="TOQ81" s="42"/>
      <c r="TOR81" s="43"/>
      <c r="TOS81" s="24"/>
      <c r="TOT81" s="24"/>
      <c r="TOU81" s="25"/>
      <c r="TOV81" s="23"/>
      <c r="TOW81" s="23"/>
      <c r="TOX81" s="42"/>
      <c r="TOY81" s="427"/>
      <c r="TOZ81" s="22"/>
      <c r="TPA81" s="76"/>
      <c r="TPB81" s="42"/>
      <c r="TPC81" s="42"/>
      <c r="TPD81" s="42"/>
      <c r="TPE81" s="42"/>
      <c r="TPF81" s="42"/>
      <c r="TPG81" s="43"/>
      <c r="TPH81" s="24"/>
      <c r="TPI81" s="24"/>
      <c r="TPJ81" s="25"/>
      <c r="TPK81" s="23"/>
      <c r="TPL81" s="23"/>
      <c r="TPM81" s="42"/>
      <c r="TPN81" s="427"/>
      <c r="TPO81" s="22"/>
      <c r="TPP81" s="76"/>
      <c r="TPQ81" s="42"/>
      <c r="TPR81" s="42"/>
      <c r="TPS81" s="42"/>
      <c r="TPT81" s="42"/>
      <c r="TPU81" s="42"/>
      <c r="TPV81" s="43"/>
      <c r="TPW81" s="24"/>
      <c r="TPX81" s="24"/>
      <c r="TPY81" s="25"/>
      <c r="TPZ81" s="23"/>
      <c r="TQA81" s="23"/>
      <c r="TQB81" s="42"/>
      <c r="TQC81" s="427"/>
      <c r="TQD81" s="22"/>
      <c r="TQE81" s="76"/>
      <c r="TQF81" s="42"/>
      <c r="TQG81" s="42"/>
      <c r="TQH81" s="42"/>
      <c r="TQI81" s="42"/>
      <c r="TQJ81" s="42"/>
      <c r="TQK81" s="43"/>
      <c r="TQL81" s="24"/>
      <c r="TQM81" s="24"/>
      <c r="TQN81" s="25"/>
      <c r="TQO81" s="23"/>
      <c r="TQP81" s="23"/>
      <c r="TQQ81" s="42"/>
      <c r="TQR81" s="427"/>
      <c r="TQS81" s="22"/>
      <c r="TQT81" s="76"/>
      <c r="TQU81" s="42"/>
      <c r="TQV81" s="42"/>
      <c r="TQW81" s="42"/>
      <c r="TQX81" s="42"/>
      <c r="TQY81" s="42"/>
      <c r="TQZ81" s="43"/>
      <c r="TRA81" s="24"/>
      <c r="TRB81" s="24"/>
      <c r="TRC81" s="25"/>
      <c r="TRD81" s="23"/>
      <c r="TRE81" s="23"/>
      <c r="TRF81" s="42"/>
      <c r="TRG81" s="427"/>
      <c r="TRH81" s="22"/>
      <c r="TRI81" s="76"/>
      <c r="TRJ81" s="42"/>
      <c r="TRK81" s="42"/>
      <c r="TRL81" s="42"/>
      <c r="TRM81" s="42"/>
      <c r="TRN81" s="42"/>
      <c r="TRO81" s="43"/>
      <c r="TRP81" s="24"/>
      <c r="TRQ81" s="24"/>
      <c r="TRR81" s="25"/>
      <c r="TRS81" s="23"/>
      <c r="TRT81" s="23"/>
      <c r="TRU81" s="42"/>
      <c r="TRV81" s="427"/>
      <c r="TRW81" s="22"/>
      <c r="TRX81" s="76"/>
      <c r="TRY81" s="42"/>
      <c r="TRZ81" s="42"/>
      <c r="TSA81" s="42"/>
      <c r="TSB81" s="42"/>
      <c r="TSC81" s="42"/>
      <c r="TSD81" s="43"/>
      <c r="TSE81" s="24"/>
      <c r="TSF81" s="24"/>
      <c r="TSG81" s="25"/>
      <c r="TSH81" s="23"/>
      <c r="TSI81" s="23"/>
      <c r="TSJ81" s="42"/>
      <c r="TSK81" s="427"/>
      <c r="TSL81" s="22"/>
      <c r="TSM81" s="76"/>
      <c r="TSN81" s="42"/>
      <c r="TSO81" s="42"/>
      <c r="TSP81" s="42"/>
      <c r="TSQ81" s="42"/>
      <c r="TSR81" s="42"/>
      <c r="TSS81" s="43"/>
      <c r="TST81" s="24"/>
      <c r="TSU81" s="24"/>
      <c r="TSV81" s="25"/>
      <c r="TSW81" s="23"/>
      <c r="TSX81" s="23"/>
      <c r="TSY81" s="42"/>
      <c r="TSZ81" s="427"/>
      <c r="TTA81" s="22"/>
      <c r="TTB81" s="76"/>
      <c r="TTC81" s="42"/>
      <c r="TTD81" s="42"/>
      <c r="TTE81" s="42"/>
      <c r="TTF81" s="42"/>
      <c r="TTG81" s="42"/>
      <c r="TTH81" s="43"/>
      <c r="TTI81" s="24"/>
      <c r="TTJ81" s="24"/>
      <c r="TTK81" s="25"/>
      <c r="TTL81" s="23"/>
      <c r="TTM81" s="23"/>
      <c r="TTN81" s="42"/>
      <c r="TTO81" s="427"/>
      <c r="TTP81" s="22"/>
      <c r="TTQ81" s="76"/>
      <c r="TTR81" s="42"/>
      <c r="TTS81" s="42"/>
      <c r="TTT81" s="42"/>
      <c r="TTU81" s="42"/>
      <c r="TTV81" s="42"/>
      <c r="TTW81" s="43"/>
      <c r="TTX81" s="24"/>
      <c r="TTY81" s="24"/>
      <c r="TTZ81" s="25"/>
      <c r="TUA81" s="23"/>
      <c r="TUB81" s="23"/>
      <c r="TUC81" s="42"/>
      <c r="TUD81" s="427"/>
      <c r="TUE81" s="22"/>
      <c r="TUF81" s="76"/>
      <c r="TUG81" s="42"/>
      <c r="TUH81" s="42"/>
      <c r="TUI81" s="42"/>
      <c r="TUJ81" s="42"/>
      <c r="TUK81" s="42"/>
      <c r="TUL81" s="43"/>
      <c r="TUM81" s="24"/>
      <c r="TUN81" s="24"/>
      <c r="TUO81" s="25"/>
      <c r="TUP81" s="23"/>
      <c r="TUQ81" s="23"/>
      <c r="TUR81" s="42"/>
      <c r="TUS81" s="427"/>
      <c r="TUT81" s="22"/>
      <c r="TUU81" s="76"/>
      <c r="TUV81" s="42"/>
      <c r="TUW81" s="42"/>
      <c r="TUX81" s="42"/>
      <c r="TUY81" s="42"/>
      <c r="TUZ81" s="42"/>
      <c r="TVA81" s="43"/>
      <c r="TVB81" s="24"/>
      <c r="TVC81" s="24"/>
      <c r="TVD81" s="25"/>
      <c r="TVE81" s="23"/>
      <c r="TVF81" s="23"/>
      <c r="TVG81" s="42"/>
      <c r="TVH81" s="427"/>
      <c r="TVI81" s="22"/>
      <c r="TVJ81" s="76"/>
      <c r="TVK81" s="42"/>
      <c r="TVL81" s="42"/>
      <c r="TVM81" s="42"/>
      <c r="TVN81" s="42"/>
      <c r="TVO81" s="42"/>
      <c r="TVP81" s="43"/>
      <c r="TVQ81" s="24"/>
      <c r="TVR81" s="24"/>
      <c r="TVS81" s="25"/>
      <c r="TVT81" s="23"/>
      <c r="TVU81" s="23"/>
      <c r="TVV81" s="42"/>
      <c r="TVW81" s="427"/>
      <c r="TVX81" s="22"/>
      <c r="TVY81" s="76"/>
      <c r="TVZ81" s="42"/>
      <c r="TWA81" s="42"/>
      <c r="TWB81" s="42"/>
      <c r="TWC81" s="42"/>
      <c r="TWD81" s="42"/>
      <c r="TWE81" s="43"/>
      <c r="TWF81" s="24"/>
      <c r="TWG81" s="24"/>
      <c r="TWH81" s="25"/>
      <c r="TWI81" s="23"/>
      <c r="TWJ81" s="23"/>
      <c r="TWK81" s="42"/>
      <c r="TWL81" s="427"/>
      <c r="TWM81" s="22"/>
      <c r="TWN81" s="76"/>
      <c r="TWO81" s="42"/>
      <c r="TWP81" s="42"/>
      <c r="TWQ81" s="42"/>
      <c r="TWR81" s="42"/>
      <c r="TWS81" s="42"/>
      <c r="TWT81" s="43"/>
      <c r="TWU81" s="24"/>
      <c r="TWV81" s="24"/>
      <c r="TWW81" s="25"/>
      <c r="TWX81" s="23"/>
      <c r="TWY81" s="23"/>
      <c r="TWZ81" s="42"/>
      <c r="TXA81" s="427"/>
      <c r="TXB81" s="22"/>
      <c r="TXC81" s="76"/>
      <c r="TXD81" s="42"/>
      <c r="TXE81" s="42"/>
      <c r="TXF81" s="42"/>
      <c r="TXG81" s="42"/>
      <c r="TXH81" s="42"/>
      <c r="TXI81" s="43"/>
      <c r="TXJ81" s="24"/>
      <c r="TXK81" s="24"/>
      <c r="TXL81" s="25"/>
      <c r="TXM81" s="23"/>
      <c r="TXN81" s="23"/>
      <c r="TXO81" s="42"/>
      <c r="TXP81" s="427"/>
      <c r="TXQ81" s="22"/>
      <c r="TXR81" s="76"/>
      <c r="TXS81" s="42"/>
      <c r="TXT81" s="42"/>
      <c r="TXU81" s="42"/>
      <c r="TXV81" s="42"/>
      <c r="TXW81" s="42"/>
      <c r="TXX81" s="43"/>
      <c r="TXY81" s="24"/>
      <c r="TXZ81" s="24"/>
      <c r="TYA81" s="25"/>
      <c r="TYB81" s="23"/>
      <c r="TYC81" s="23"/>
      <c r="TYD81" s="42"/>
      <c r="TYE81" s="427"/>
      <c r="TYF81" s="22"/>
      <c r="TYG81" s="76"/>
      <c r="TYH81" s="42"/>
      <c r="TYI81" s="42"/>
      <c r="TYJ81" s="42"/>
      <c r="TYK81" s="42"/>
      <c r="TYL81" s="42"/>
      <c r="TYM81" s="43"/>
      <c r="TYN81" s="24"/>
      <c r="TYO81" s="24"/>
      <c r="TYP81" s="25"/>
      <c r="TYQ81" s="23"/>
      <c r="TYR81" s="23"/>
      <c r="TYS81" s="42"/>
      <c r="TYT81" s="427"/>
      <c r="TYU81" s="22"/>
      <c r="TYV81" s="76"/>
      <c r="TYW81" s="42"/>
      <c r="TYX81" s="42"/>
      <c r="TYY81" s="42"/>
      <c r="TYZ81" s="42"/>
      <c r="TZA81" s="42"/>
      <c r="TZB81" s="43"/>
      <c r="TZC81" s="24"/>
      <c r="TZD81" s="24"/>
      <c r="TZE81" s="25"/>
      <c r="TZF81" s="23"/>
      <c r="TZG81" s="23"/>
      <c r="TZH81" s="42"/>
      <c r="TZI81" s="427"/>
      <c r="TZJ81" s="22"/>
      <c r="TZK81" s="76"/>
      <c r="TZL81" s="42"/>
      <c r="TZM81" s="42"/>
      <c r="TZN81" s="42"/>
      <c r="TZO81" s="42"/>
      <c r="TZP81" s="42"/>
      <c r="TZQ81" s="43"/>
      <c r="TZR81" s="24"/>
      <c r="TZS81" s="24"/>
      <c r="TZT81" s="25"/>
      <c r="TZU81" s="23"/>
      <c r="TZV81" s="23"/>
      <c r="TZW81" s="42"/>
      <c r="TZX81" s="427"/>
      <c r="TZY81" s="22"/>
      <c r="TZZ81" s="76"/>
      <c r="UAA81" s="42"/>
      <c r="UAB81" s="42"/>
      <c r="UAC81" s="42"/>
      <c r="UAD81" s="42"/>
      <c r="UAE81" s="42"/>
      <c r="UAF81" s="43"/>
      <c r="UAG81" s="24"/>
      <c r="UAH81" s="24"/>
      <c r="UAI81" s="25"/>
      <c r="UAJ81" s="23"/>
      <c r="UAK81" s="23"/>
      <c r="UAL81" s="42"/>
      <c r="UAM81" s="427"/>
      <c r="UAN81" s="22"/>
      <c r="UAO81" s="76"/>
      <c r="UAP81" s="42"/>
      <c r="UAQ81" s="42"/>
      <c r="UAR81" s="42"/>
      <c r="UAS81" s="42"/>
      <c r="UAT81" s="42"/>
      <c r="UAU81" s="43"/>
      <c r="UAV81" s="24"/>
      <c r="UAW81" s="24"/>
      <c r="UAX81" s="25"/>
      <c r="UAY81" s="23"/>
      <c r="UAZ81" s="23"/>
      <c r="UBA81" s="42"/>
      <c r="UBB81" s="427"/>
      <c r="UBC81" s="22"/>
      <c r="UBD81" s="76"/>
      <c r="UBE81" s="42"/>
      <c r="UBF81" s="42"/>
      <c r="UBG81" s="42"/>
      <c r="UBH81" s="42"/>
      <c r="UBI81" s="42"/>
      <c r="UBJ81" s="43"/>
      <c r="UBK81" s="24"/>
      <c r="UBL81" s="24"/>
      <c r="UBM81" s="25"/>
      <c r="UBN81" s="23"/>
      <c r="UBO81" s="23"/>
      <c r="UBP81" s="42"/>
      <c r="UBQ81" s="427"/>
      <c r="UBR81" s="22"/>
      <c r="UBS81" s="76"/>
      <c r="UBT81" s="42"/>
      <c r="UBU81" s="42"/>
      <c r="UBV81" s="42"/>
      <c r="UBW81" s="42"/>
      <c r="UBX81" s="42"/>
      <c r="UBY81" s="43"/>
      <c r="UBZ81" s="24"/>
      <c r="UCA81" s="24"/>
      <c r="UCB81" s="25"/>
      <c r="UCC81" s="23"/>
      <c r="UCD81" s="23"/>
      <c r="UCE81" s="42"/>
      <c r="UCF81" s="427"/>
      <c r="UCG81" s="22"/>
      <c r="UCH81" s="76"/>
      <c r="UCI81" s="42"/>
      <c r="UCJ81" s="42"/>
      <c r="UCK81" s="42"/>
      <c r="UCL81" s="42"/>
      <c r="UCM81" s="42"/>
      <c r="UCN81" s="43"/>
      <c r="UCO81" s="24"/>
      <c r="UCP81" s="24"/>
      <c r="UCQ81" s="25"/>
      <c r="UCR81" s="23"/>
      <c r="UCS81" s="23"/>
      <c r="UCT81" s="42"/>
      <c r="UCU81" s="427"/>
      <c r="UCV81" s="22"/>
      <c r="UCW81" s="76"/>
      <c r="UCX81" s="42"/>
      <c r="UCY81" s="42"/>
      <c r="UCZ81" s="42"/>
      <c r="UDA81" s="42"/>
      <c r="UDB81" s="42"/>
      <c r="UDC81" s="43"/>
      <c r="UDD81" s="24"/>
      <c r="UDE81" s="24"/>
      <c r="UDF81" s="25"/>
      <c r="UDG81" s="23"/>
      <c r="UDH81" s="23"/>
      <c r="UDI81" s="42"/>
      <c r="UDJ81" s="427"/>
      <c r="UDK81" s="22"/>
      <c r="UDL81" s="76"/>
      <c r="UDM81" s="42"/>
      <c r="UDN81" s="42"/>
      <c r="UDO81" s="42"/>
      <c r="UDP81" s="42"/>
      <c r="UDQ81" s="42"/>
      <c r="UDR81" s="43"/>
      <c r="UDS81" s="24"/>
      <c r="UDT81" s="24"/>
      <c r="UDU81" s="25"/>
      <c r="UDV81" s="23"/>
      <c r="UDW81" s="23"/>
      <c r="UDX81" s="42"/>
      <c r="UDY81" s="427"/>
      <c r="UDZ81" s="22"/>
      <c r="UEA81" s="76"/>
      <c r="UEB81" s="42"/>
      <c r="UEC81" s="42"/>
      <c r="UED81" s="42"/>
      <c r="UEE81" s="42"/>
      <c r="UEF81" s="42"/>
      <c r="UEG81" s="43"/>
      <c r="UEH81" s="24"/>
      <c r="UEI81" s="24"/>
      <c r="UEJ81" s="25"/>
      <c r="UEK81" s="23"/>
      <c r="UEL81" s="23"/>
      <c r="UEM81" s="42"/>
      <c r="UEN81" s="427"/>
      <c r="UEO81" s="22"/>
      <c r="UEP81" s="76"/>
      <c r="UEQ81" s="42"/>
      <c r="UER81" s="42"/>
      <c r="UES81" s="42"/>
      <c r="UET81" s="42"/>
      <c r="UEU81" s="42"/>
      <c r="UEV81" s="43"/>
      <c r="UEW81" s="24"/>
      <c r="UEX81" s="24"/>
      <c r="UEY81" s="25"/>
      <c r="UEZ81" s="23"/>
      <c r="UFA81" s="23"/>
      <c r="UFB81" s="42"/>
      <c r="UFC81" s="427"/>
      <c r="UFD81" s="22"/>
      <c r="UFE81" s="76"/>
      <c r="UFF81" s="42"/>
      <c r="UFG81" s="42"/>
      <c r="UFH81" s="42"/>
      <c r="UFI81" s="42"/>
      <c r="UFJ81" s="42"/>
      <c r="UFK81" s="43"/>
      <c r="UFL81" s="24"/>
      <c r="UFM81" s="24"/>
      <c r="UFN81" s="25"/>
      <c r="UFO81" s="23"/>
      <c r="UFP81" s="23"/>
      <c r="UFQ81" s="42"/>
      <c r="UFR81" s="427"/>
      <c r="UFS81" s="22"/>
      <c r="UFT81" s="76"/>
      <c r="UFU81" s="42"/>
      <c r="UFV81" s="42"/>
      <c r="UFW81" s="42"/>
      <c r="UFX81" s="42"/>
      <c r="UFY81" s="42"/>
      <c r="UFZ81" s="43"/>
      <c r="UGA81" s="24"/>
      <c r="UGB81" s="24"/>
      <c r="UGC81" s="25"/>
      <c r="UGD81" s="23"/>
      <c r="UGE81" s="23"/>
      <c r="UGF81" s="42"/>
      <c r="UGG81" s="427"/>
      <c r="UGH81" s="22"/>
      <c r="UGI81" s="76"/>
      <c r="UGJ81" s="42"/>
      <c r="UGK81" s="42"/>
      <c r="UGL81" s="42"/>
      <c r="UGM81" s="42"/>
      <c r="UGN81" s="42"/>
      <c r="UGO81" s="43"/>
      <c r="UGP81" s="24"/>
      <c r="UGQ81" s="24"/>
      <c r="UGR81" s="25"/>
      <c r="UGS81" s="23"/>
      <c r="UGT81" s="23"/>
      <c r="UGU81" s="42"/>
      <c r="UGV81" s="427"/>
      <c r="UGW81" s="22"/>
      <c r="UGX81" s="76"/>
      <c r="UGY81" s="42"/>
      <c r="UGZ81" s="42"/>
      <c r="UHA81" s="42"/>
      <c r="UHB81" s="42"/>
      <c r="UHC81" s="42"/>
      <c r="UHD81" s="43"/>
      <c r="UHE81" s="24"/>
      <c r="UHF81" s="24"/>
      <c r="UHG81" s="25"/>
      <c r="UHH81" s="23"/>
      <c r="UHI81" s="23"/>
      <c r="UHJ81" s="42"/>
      <c r="UHK81" s="427"/>
      <c r="UHL81" s="22"/>
      <c r="UHM81" s="76"/>
      <c r="UHN81" s="42"/>
      <c r="UHO81" s="42"/>
      <c r="UHP81" s="42"/>
      <c r="UHQ81" s="42"/>
      <c r="UHR81" s="42"/>
      <c r="UHS81" s="43"/>
      <c r="UHT81" s="24"/>
      <c r="UHU81" s="24"/>
      <c r="UHV81" s="25"/>
      <c r="UHW81" s="23"/>
      <c r="UHX81" s="23"/>
      <c r="UHY81" s="42"/>
      <c r="UHZ81" s="427"/>
      <c r="UIA81" s="22"/>
      <c r="UIB81" s="76"/>
      <c r="UIC81" s="42"/>
      <c r="UID81" s="42"/>
      <c r="UIE81" s="42"/>
      <c r="UIF81" s="42"/>
      <c r="UIG81" s="42"/>
      <c r="UIH81" s="43"/>
      <c r="UII81" s="24"/>
      <c r="UIJ81" s="24"/>
      <c r="UIK81" s="25"/>
      <c r="UIL81" s="23"/>
      <c r="UIM81" s="23"/>
      <c r="UIN81" s="42"/>
      <c r="UIO81" s="427"/>
      <c r="UIP81" s="22"/>
      <c r="UIQ81" s="76"/>
      <c r="UIR81" s="42"/>
      <c r="UIS81" s="42"/>
      <c r="UIT81" s="42"/>
      <c r="UIU81" s="42"/>
      <c r="UIV81" s="42"/>
      <c r="UIW81" s="43"/>
      <c r="UIX81" s="24"/>
      <c r="UIY81" s="24"/>
      <c r="UIZ81" s="25"/>
      <c r="UJA81" s="23"/>
      <c r="UJB81" s="23"/>
      <c r="UJC81" s="42"/>
      <c r="UJD81" s="427"/>
      <c r="UJE81" s="22"/>
      <c r="UJF81" s="76"/>
      <c r="UJG81" s="42"/>
      <c r="UJH81" s="42"/>
      <c r="UJI81" s="42"/>
      <c r="UJJ81" s="42"/>
      <c r="UJK81" s="42"/>
      <c r="UJL81" s="43"/>
      <c r="UJM81" s="24"/>
      <c r="UJN81" s="24"/>
      <c r="UJO81" s="25"/>
      <c r="UJP81" s="23"/>
      <c r="UJQ81" s="23"/>
      <c r="UJR81" s="42"/>
      <c r="UJS81" s="427"/>
      <c r="UJT81" s="22"/>
      <c r="UJU81" s="76"/>
      <c r="UJV81" s="42"/>
      <c r="UJW81" s="42"/>
      <c r="UJX81" s="42"/>
      <c r="UJY81" s="42"/>
      <c r="UJZ81" s="42"/>
      <c r="UKA81" s="43"/>
      <c r="UKB81" s="24"/>
      <c r="UKC81" s="24"/>
      <c r="UKD81" s="25"/>
      <c r="UKE81" s="23"/>
      <c r="UKF81" s="23"/>
      <c r="UKG81" s="42"/>
      <c r="UKH81" s="427"/>
      <c r="UKI81" s="22"/>
      <c r="UKJ81" s="76"/>
      <c r="UKK81" s="42"/>
      <c r="UKL81" s="42"/>
      <c r="UKM81" s="42"/>
      <c r="UKN81" s="42"/>
      <c r="UKO81" s="42"/>
      <c r="UKP81" s="43"/>
      <c r="UKQ81" s="24"/>
      <c r="UKR81" s="24"/>
      <c r="UKS81" s="25"/>
      <c r="UKT81" s="23"/>
      <c r="UKU81" s="23"/>
      <c r="UKV81" s="42"/>
      <c r="UKW81" s="427"/>
      <c r="UKX81" s="22"/>
      <c r="UKY81" s="76"/>
      <c r="UKZ81" s="42"/>
      <c r="ULA81" s="42"/>
      <c r="ULB81" s="42"/>
      <c r="ULC81" s="42"/>
      <c r="ULD81" s="42"/>
      <c r="ULE81" s="43"/>
      <c r="ULF81" s="24"/>
      <c r="ULG81" s="24"/>
      <c r="ULH81" s="25"/>
      <c r="ULI81" s="23"/>
      <c r="ULJ81" s="23"/>
      <c r="ULK81" s="42"/>
      <c r="ULL81" s="427"/>
      <c r="ULM81" s="22"/>
      <c r="ULN81" s="76"/>
      <c r="ULO81" s="42"/>
      <c r="ULP81" s="42"/>
      <c r="ULQ81" s="42"/>
      <c r="ULR81" s="42"/>
      <c r="ULS81" s="42"/>
      <c r="ULT81" s="43"/>
      <c r="ULU81" s="24"/>
      <c r="ULV81" s="24"/>
      <c r="ULW81" s="25"/>
      <c r="ULX81" s="23"/>
      <c r="ULY81" s="23"/>
      <c r="ULZ81" s="42"/>
      <c r="UMA81" s="427"/>
      <c r="UMB81" s="22"/>
      <c r="UMC81" s="76"/>
      <c r="UMD81" s="42"/>
      <c r="UME81" s="42"/>
      <c r="UMF81" s="42"/>
      <c r="UMG81" s="42"/>
      <c r="UMH81" s="42"/>
      <c r="UMI81" s="43"/>
      <c r="UMJ81" s="24"/>
      <c r="UMK81" s="24"/>
      <c r="UML81" s="25"/>
      <c r="UMM81" s="23"/>
      <c r="UMN81" s="23"/>
      <c r="UMO81" s="42"/>
      <c r="UMP81" s="427"/>
      <c r="UMQ81" s="22"/>
      <c r="UMR81" s="76"/>
      <c r="UMS81" s="42"/>
      <c r="UMT81" s="42"/>
      <c r="UMU81" s="42"/>
      <c r="UMV81" s="42"/>
      <c r="UMW81" s="42"/>
      <c r="UMX81" s="43"/>
      <c r="UMY81" s="24"/>
      <c r="UMZ81" s="24"/>
      <c r="UNA81" s="25"/>
      <c r="UNB81" s="23"/>
      <c r="UNC81" s="23"/>
      <c r="UND81" s="42"/>
      <c r="UNE81" s="427"/>
      <c r="UNF81" s="22"/>
      <c r="UNG81" s="76"/>
      <c r="UNH81" s="42"/>
      <c r="UNI81" s="42"/>
      <c r="UNJ81" s="42"/>
      <c r="UNK81" s="42"/>
      <c r="UNL81" s="42"/>
      <c r="UNM81" s="43"/>
      <c r="UNN81" s="24"/>
      <c r="UNO81" s="24"/>
      <c r="UNP81" s="25"/>
      <c r="UNQ81" s="23"/>
      <c r="UNR81" s="23"/>
      <c r="UNS81" s="42"/>
      <c r="UNT81" s="427"/>
      <c r="UNU81" s="22"/>
      <c r="UNV81" s="76"/>
      <c r="UNW81" s="42"/>
      <c r="UNX81" s="42"/>
      <c r="UNY81" s="42"/>
      <c r="UNZ81" s="42"/>
      <c r="UOA81" s="42"/>
      <c r="UOB81" s="43"/>
      <c r="UOC81" s="24"/>
      <c r="UOD81" s="24"/>
      <c r="UOE81" s="25"/>
      <c r="UOF81" s="23"/>
      <c r="UOG81" s="23"/>
      <c r="UOH81" s="42"/>
      <c r="UOI81" s="427"/>
      <c r="UOJ81" s="22"/>
      <c r="UOK81" s="76"/>
      <c r="UOL81" s="42"/>
      <c r="UOM81" s="42"/>
      <c r="UON81" s="42"/>
      <c r="UOO81" s="42"/>
      <c r="UOP81" s="42"/>
      <c r="UOQ81" s="43"/>
      <c r="UOR81" s="24"/>
      <c r="UOS81" s="24"/>
      <c r="UOT81" s="25"/>
      <c r="UOU81" s="23"/>
      <c r="UOV81" s="23"/>
      <c r="UOW81" s="42"/>
      <c r="UOX81" s="427"/>
      <c r="UOY81" s="22"/>
      <c r="UOZ81" s="76"/>
      <c r="UPA81" s="42"/>
      <c r="UPB81" s="42"/>
      <c r="UPC81" s="42"/>
      <c r="UPD81" s="42"/>
      <c r="UPE81" s="42"/>
      <c r="UPF81" s="43"/>
      <c r="UPG81" s="24"/>
      <c r="UPH81" s="24"/>
      <c r="UPI81" s="25"/>
      <c r="UPJ81" s="23"/>
      <c r="UPK81" s="23"/>
      <c r="UPL81" s="42"/>
      <c r="UPM81" s="427"/>
      <c r="UPN81" s="22"/>
      <c r="UPO81" s="76"/>
      <c r="UPP81" s="42"/>
      <c r="UPQ81" s="42"/>
      <c r="UPR81" s="42"/>
      <c r="UPS81" s="42"/>
      <c r="UPT81" s="42"/>
      <c r="UPU81" s="43"/>
      <c r="UPV81" s="24"/>
      <c r="UPW81" s="24"/>
      <c r="UPX81" s="25"/>
      <c r="UPY81" s="23"/>
      <c r="UPZ81" s="23"/>
      <c r="UQA81" s="42"/>
      <c r="UQB81" s="427"/>
      <c r="UQC81" s="22"/>
      <c r="UQD81" s="76"/>
      <c r="UQE81" s="42"/>
      <c r="UQF81" s="42"/>
      <c r="UQG81" s="42"/>
      <c r="UQH81" s="42"/>
      <c r="UQI81" s="42"/>
      <c r="UQJ81" s="43"/>
      <c r="UQK81" s="24"/>
      <c r="UQL81" s="24"/>
      <c r="UQM81" s="25"/>
      <c r="UQN81" s="23"/>
      <c r="UQO81" s="23"/>
      <c r="UQP81" s="42"/>
      <c r="UQQ81" s="427"/>
      <c r="UQR81" s="22"/>
      <c r="UQS81" s="76"/>
      <c r="UQT81" s="42"/>
      <c r="UQU81" s="42"/>
      <c r="UQV81" s="42"/>
      <c r="UQW81" s="42"/>
      <c r="UQX81" s="42"/>
      <c r="UQY81" s="43"/>
      <c r="UQZ81" s="24"/>
      <c r="URA81" s="24"/>
      <c r="URB81" s="25"/>
      <c r="URC81" s="23"/>
      <c r="URD81" s="23"/>
      <c r="URE81" s="42"/>
      <c r="URF81" s="427"/>
      <c r="URG81" s="22"/>
      <c r="URH81" s="76"/>
      <c r="URI81" s="42"/>
      <c r="URJ81" s="42"/>
      <c r="URK81" s="42"/>
      <c r="URL81" s="42"/>
      <c r="URM81" s="42"/>
      <c r="URN81" s="43"/>
      <c r="URO81" s="24"/>
      <c r="URP81" s="24"/>
      <c r="URQ81" s="25"/>
      <c r="URR81" s="23"/>
      <c r="URS81" s="23"/>
      <c r="URT81" s="42"/>
      <c r="URU81" s="427"/>
      <c r="URV81" s="22"/>
      <c r="URW81" s="76"/>
      <c r="URX81" s="42"/>
      <c r="URY81" s="42"/>
      <c r="URZ81" s="42"/>
      <c r="USA81" s="42"/>
      <c r="USB81" s="42"/>
      <c r="USC81" s="43"/>
      <c r="USD81" s="24"/>
      <c r="USE81" s="24"/>
      <c r="USF81" s="25"/>
      <c r="USG81" s="23"/>
      <c r="USH81" s="23"/>
      <c r="USI81" s="42"/>
      <c r="USJ81" s="427"/>
      <c r="USK81" s="22"/>
      <c r="USL81" s="76"/>
      <c r="USM81" s="42"/>
      <c r="USN81" s="42"/>
      <c r="USO81" s="42"/>
      <c r="USP81" s="42"/>
      <c r="USQ81" s="42"/>
      <c r="USR81" s="43"/>
      <c r="USS81" s="24"/>
      <c r="UST81" s="24"/>
      <c r="USU81" s="25"/>
      <c r="USV81" s="23"/>
      <c r="USW81" s="23"/>
      <c r="USX81" s="42"/>
      <c r="USY81" s="427"/>
      <c r="USZ81" s="22"/>
      <c r="UTA81" s="76"/>
      <c r="UTB81" s="42"/>
      <c r="UTC81" s="42"/>
      <c r="UTD81" s="42"/>
      <c r="UTE81" s="42"/>
      <c r="UTF81" s="42"/>
      <c r="UTG81" s="43"/>
      <c r="UTH81" s="24"/>
      <c r="UTI81" s="24"/>
      <c r="UTJ81" s="25"/>
      <c r="UTK81" s="23"/>
      <c r="UTL81" s="23"/>
      <c r="UTM81" s="42"/>
      <c r="UTN81" s="427"/>
      <c r="UTO81" s="22"/>
      <c r="UTP81" s="76"/>
      <c r="UTQ81" s="42"/>
      <c r="UTR81" s="42"/>
      <c r="UTS81" s="42"/>
      <c r="UTT81" s="42"/>
      <c r="UTU81" s="42"/>
      <c r="UTV81" s="43"/>
      <c r="UTW81" s="24"/>
      <c r="UTX81" s="24"/>
      <c r="UTY81" s="25"/>
      <c r="UTZ81" s="23"/>
      <c r="UUA81" s="23"/>
      <c r="UUB81" s="42"/>
      <c r="UUC81" s="427"/>
      <c r="UUD81" s="22"/>
      <c r="UUE81" s="76"/>
      <c r="UUF81" s="42"/>
      <c r="UUG81" s="42"/>
      <c r="UUH81" s="42"/>
      <c r="UUI81" s="42"/>
      <c r="UUJ81" s="42"/>
      <c r="UUK81" s="43"/>
      <c r="UUL81" s="24"/>
      <c r="UUM81" s="24"/>
      <c r="UUN81" s="25"/>
      <c r="UUO81" s="23"/>
      <c r="UUP81" s="23"/>
      <c r="UUQ81" s="42"/>
      <c r="UUR81" s="427"/>
      <c r="UUS81" s="22"/>
      <c r="UUT81" s="76"/>
      <c r="UUU81" s="42"/>
      <c r="UUV81" s="42"/>
      <c r="UUW81" s="42"/>
      <c r="UUX81" s="42"/>
      <c r="UUY81" s="42"/>
      <c r="UUZ81" s="43"/>
      <c r="UVA81" s="24"/>
      <c r="UVB81" s="24"/>
      <c r="UVC81" s="25"/>
      <c r="UVD81" s="23"/>
      <c r="UVE81" s="23"/>
      <c r="UVF81" s="42"/>
      <c r="UVG81" s="427"/>
      <c r="UVH81" s="22"/>
      <c r="UVI81" s="76"/>
      <c r="UVJ81" s="42"/>
      <c r="UVK81" s="42"/>
      <c r="UVL81" s="42"/>
      <c r="UVM81" s="42"/>
      <c r="UVN81" s="42"/>
      <c r="UVO81" s="43"/>
      <c r="UVP81" s="24"/>
      <c r="UVQ81" s="24"/>
      <c r="UVR81" s="25"/>
      <c r="UVS81" s="23"/>
      <c r="UVT81" s="23"/>
      <c r="UVU81" s="42"/>
      <c r="UVV81" s="427"/>
      <c r="UVW81" s="22"/>
      <c r="UVX81" s="76"/>
      <c r="UVY81" s="42"/>
      <c r="UVZ81" s="42"/>
      <c r="UWA81" s="42"/>
      <c r="UWB81" s="42"/>
      <c r="UWC81" s="42"/>
      <c r="UWD81" s="43"/>
      <c r="UWE81" s="24"/>
      <c r="UWF81" s="24"/>
      <c r="UWG81" s="25"/>
      <c r="UWH81" s="23"/>
      <c r="UWI81" s="23"/>
      <c r="UWJ81" s="42"/>
      <c r="UWK81" s="427"/>
      <c r="UWL81" s="22"/>
      <c r="UWM81" s="76"/>
      <c r="UWN81" s="42"/>
      <c r="UWO81" s="42"/>
      <c r="UWP81" s="42"/>
      <c r="UWQ81" s="42"/>
      <c r="UWR81" s="42"/>
      <c r="UWS81" s="43"/>
      <c r="UWT81" s="24"/>
      <c r="UWU81" s="24"/>
      <c r="UWV81" s="25"/>
      <c r="UWW81" s="23"/>
      <c r="UWX81" s="23"/>
      <c r="UWY81" s="42"/>
      <c r="UWZ81" s="427"/>
      <c r="UXA81" s="22"/>
      <c r="UXB81" s="76"/>
      <c r="UXC81" s="42"/>
      <c r="UXD81" s="42"/>
      <c r="UXE81" s="42"/>
      <c r="UXF81" s="42"/>
      <c r="UXG81" s="42"/>
      <c r="UXH81" s="43"/>
      <c r="UXI81" s="24"/>
      <c r="UXJ81" s="24"/>
      <c r="UXK81" s="25"/>
      <c r="UXL81" s="23"/>
      <c r="UXM81" s="23"/>
      <c r="UXN81" s="42"/>
      <c r="UXO81" s="427"/>
      <c r="UXP81" s="22"/>
      <c r="UXQ81" s="76"/>
      <c r="UXR81" s="42"/>
      <c r="UXS81" s="42"/>
      <c r="UXT81" s="42"/>
      <c r="UXU81" s="42"/>
      <c r="UXV81" s="42"/>
      <c r="UXW81" s="43"/>
      <c r="UXX81" s="24"/>
      <c r="UXY81" s="24"/>
      <c r="UXZ81" s="25"/>
      <c r="UYA81" s="23"/>
      <c r="UYB81" s="23"/>
      <c r="UYC81" s="42"/>
      <c r="UYD81" s="427"/>
      <c r="UYE81" s="22"/>
      <c r="UYF81" s="76"/>
      <c r="UYG81" s="42"/>
      <c r="UYH81" s="42"/>
      <c r="UYI81" s="42"/>
      <c r="UYJ81" s="42"/>
      <c r="UYK81" s="42"/>
      <c r="UYL81" s="43"/>
      <c r="UYM81" s="24"/>
      <c r="UYN81" s="24"/>
      <c r="UYO81" s="25"/>
      <c r="UYP81" s="23"/>
      <c r="UYQ81" s="23"/>
      <c r="UYR81" s="42"/>
      <c r="UYS81" s="427"/>
      <c r="UYT81" s="22"/>
      <c r="UYU81" s="76"/>
      <c r="UYV81" s="42"/>
      <c r="UYW81" s="42"/>
      <c r="UYX81" s="42"/>
      <c r="UYY81" s="42"/>
      <c r="UYZ81" s="42"/>
      <c r="UZA81" s="43"/>
      <c r="UZB81" s="24"/>
      <c r="UZC81" s="24"/>
      <c r="UZD81" s="25"/>
      <c r="UZE81" s="23"/>
      <c r="UZF81" s="23"/>
      <c r="UZG81" s="42"/>
      <c r="UZH81" s="427"/>
      <c r="UZI81" s="22"/>
      <c r="UZJ81" s="76"/>
      <c r="UZK81" s="42"/>
      <c r="UZL81" s="42"/>
      <c r="UZM81" s="42"/>
      <c r="UZN81" s="42"/>
      <c r="UZO81" s="42"/>
      <c r="UZP81" s="43"/>
      <c r="UZQ81" s="24"/>
      <c r="UZR81" s="24"/>
      <c r="UZS81" s="25"/>
      <c r="UZT81" s="23"/>
      <c r="UZU81" s="23"/>
      <c r="UZV81" s="42"/>
      <c r="UZW81" s="427"/>
      <c r="UZX81" s="22"/>
      <c r="UZY81" s="76"/>
      <c r="UZZ81" s="42"/>
      <c r="VAA81" s="42"/>
      <c r="VAB81" s="42"/>
      <c r="VAC81" s="42"/>
      <c r="VAD81" s="42"/>
      <c r="VAE81" s="43"/>
      <c r="VAF81" s="24"/>
      <c r="VAG81" s="24"/>
      <c r="VAH81" s="25"/>
      <c r="VAI81" s="23"/>
      <c r="VAJ81" s="23"/>
      <c r="VAK81" s="42"/>
      <c r="VAL81" s="427"/>
      <c r="VAM81" s="22"/>
      <c r="VAN81" s="76"/>
      <c r="VAO81" s="42"/>
      <c r="VAP81" s="42"/>
      <c r="VAQ81" s="42"/>
      <c r="VAR81" s="42"/>
      <c r="VAS81" s="42"/>
      <c r="VAT81" s="43"/>
      <c r="VAU81" s="24"/>
      <c r="VAV81" s="24"/>
      <c r="VAW81" s="25"/>
      <c r="VAX81" s="23"/>
      <c r="VAY81" s="23"/>
      <c r="VAZ81" s="42"/>
      <c r="VBA81" s="427"/>
      <c r="VBB81" s="22"/>
      <c r="VBC81" s="76"/>
      <c r="VBD81" s="42"/>
      <c r="VBE81" s="42"/>
      <c r="VBF81" s="42"/>
      <c r="VBG81" s="42"/>
      <c r="VBH81" s="42"/>
      <c r="VBI81" s="43"/>
      <c r="VBJ81" s="24"/>
      <c r="VBK81" s="24"/>
      <c r="VBL81" s="25"/>
      <c r="VBM81" s="23"/>
      <c r="VBN81" s="23"/>
      <c r="VBO81" s="42"/>
      <c r="VBP81" s="427"/>
      <c r="VBQ81" s="22"/>
      <c r="VBR81" s="76"/>
      <c r="VBS81" s="42"/>
      <c r="VBT81" s="42"/>
      <c r="VBU81" s="42"/>
      <c r="VBV81" s="42"/>
      <c r="VBW81" s="42"/>
      <c r="VBX81" s="43"/>
      <c r="VBY81" s="24"/>
      <c r="VBZ81" s="24"/>
      <c r="VCA81" s="25"/>
      <c r="VCB81" s="23"/>
      <c r="VCC81" s="23"/>
      <c r="VCD81" s="42"/>
      <c r="VCE81" s="427"/>
      <c r="VCF81" s="22"/>
      <c r="VCG81" s="76"/>
      <c r="VCH81" s="42"/>
      <c r="VCI81" s="42"/>
      <c r="VCJ81" s="42"/>
      <c r="VCK81" s="42"/>
      <c r="VCL81" s="42"/>
      <c r="VCM81" s="43"/>
      <c r="VCN81" s="24"/>
      <c r="VCO81" s="24"/>
      <c r="VCP81" s="25"/>
      <c r="VCQ81" s="23"/>
      <c r="VCR81" s="23"/>
      <c r="VCS81" s="42"/>
      <c r="VCT81" s="427"/>
      <c r="VCU81" s="22"/>
      <c r="VCV81" s="76"/>
      <c r="VCW81" s="42"/>
      <c r="VCX81" s="42"/>
      <c r="VCY81" s="42"/>
      <c r="VCZ81" s="42"/>
      <c r="VDA81" s="42"/>
      <c r="VDB81" s="43"/>
      <c r="VDC81" s="24"/>
      <c r="VDD81" s="24"/>
      <c r="VDE81" s="25"/>
      <c r="VDF81" s="23"/>
      <c r="VDG81" s="23"/>
      <c r="VDH81" s="42"/>
      <c r="VDI81" s="427"/>
      <c r="VDJ81" s="22"/>
      <c r="VDK81" s="76"/>
      <c r="VDL81" s="42"/>
      <c r="VDM81" s="42"/>
      <c r="VDN81" s="42"/>
      <c r="VDO81" s="42"/>
      <c r="VDP81" s="42"/>
      <c r="VDQ81" s="43"/>
      <c r="VDR81" s="24"/>
      <c r="VDS81" s="24"/>
      <c r="VDT81" s="25"/>
      <c r="VDU81" s="23"/>
      <c r="VDV81" s="23"/>
      <c r="VDW81" s="42"/>
      <c r="VDX81" s="427"/>
      <c r="VDY81" s="22"/>
      <c r="VDZ81" s="76"/>
      <c r="VEA81" s="42"/>
      <c r="VEB81" s="42"/>
      <c r="VEC81" s="42"/>
      <c r="VED81" s="42"/>
      <c r="VEE81" s="42"/>
      <c r="VEF81" s="43"/>
      <c r="VEG81" s="24"/>
      <c r="VEH81" s="24"/>
      <c r="VEI81" s="25"/>
      <c r="VEJ81" s="23"/>
      <c r="VEK81" s="23"/>
      <c r="VEL81" s="42"/>
      <c r="VEM81" s="427"/>
      <c r="VEN81" s="22"/>
      <c r="VEO81" s="76"/>
      <c r="VEP81" s="42"/>
      <c r="VEQ81" s="42"/>
      <c r="VER81" s="42"/>
      <c r="VES81" s="42"/>
      <c r="VET81" s="42"/>
      <c r="VEU81" s="43"/>
      <c r="VEV81" s="24"/>
      <c r="VEW81" s="24"/>
      <c r="VEX81" s="25"/>
      <c r="VEY81" s="23"/>
      <c r="VEZ81" s="23"/>
      <c r="VFA81" s="42"/>
      <c r="VFB81" s="427"/>
      <c r="VFC81" s="22"/>
      <c r="VFD81" s="76"/>
      <c r="VFE81" s="42"/>
      <c r="VFF81" s="42"/>
      <c r="VFG81" s="42"/>
      <c r="VFH81" s="42"/>
      <c r="VFI81" s="42"/>
      <c r="VFJ81" s="43"/>
      <c r="VFK81" s="24"/>
      <c r="VFL81" s="24"/>
      <c r="VFM81" s="25"/>
      <c r="VFN81" s="23"/>
      <c r="VFO81" s="23"/>
      <c r="VFP81" s="42"/>
      <c r="VFQ81" s="427"/>
      <c r="VFR81" s="22"/>
      <c r="VFS81" s="76"/>
      <c r="VFT81" s="42"/>
      <c r="VFU81" s="42"/>
      <c r="VFV81" s="42"/>
      <c r="VFW81" s="42"/>
      <c r="VFX81" s="42"/>
      <c r="VFY81" s="43"/>
      <c r="VFZ81" s="24"/>
      <c r="VGA81" s="24"/>
      <c r="VGB81" s="25"/>
      <c r="VGC81" s="23"/>
      <c r="VGD81" s="23"/>
      <c r="VGE81" s="42"/>
      <c r="VGF81" s="427"/>
      <c r="VGG81" s="22"/>
      <c r="VGH81" s="76"/>
      <c r="VGI81" s="42"/>
      <c r="VGJ81" s="42"/>
      <c r="VGK81" s="42"/>
      <c r="VGL81" s="42"/>
      <c r="VGM81" s="42"/>
      <c r="VGN81" s="43"/>
      <c r="VGO81" s="24"/>
      <c r="VGP81" s="24"/>
      <c r="VGQ81" s="25"/>
      <c r="VGR81" s="23"/>
      <c r="VGS81" s="23"/>
      <c r="VGT81" s="42"/>
      <c r="VGU81" s="427"/>
      <c r="VGV81" s="22"/>
      <c r="VGW81" s="76"/>
      <c r="VGX81" s="42"/>
      <c r="VGY81" s="42"/>
      <c r="VGZ81" s="42"/>
      <c r="VHA81" s="42"/>
      <c r="VHB81" s="42"/>
      <c r="VHC81" s="43"/>
      <c r="VHD81" s="24"/>
      <c r="VHE81" s="24"/>
      <c r="VHF81" s="25"/>
      <c r="VHG81" s="23"/>
      <c r="VHH81" s="23"/>
      <c r="VHI81" s="42"/>
      <c r="VHJ81" s="427"/>
      <c r="VHK81" s="22"/>
      <c r="VHL81" s="76"/>
      <c r="VHM81" s="42"/>
      <c r="VHN81" s="42"/>
      <c r="VHO81" s="42"/>
      <c r="VHP81" s="42"/>
      <c r="VHQ81" s="42"/>
      <c r="VHR81" s="43"/>
      <c r="VHS81" s="24"/>
      <c r="VHT81" s="24"/>
      <c r="VHU81" s="25"/>
      <c r="VHV81" s="23"/>
      <c r="VHW81" s="23"/>
      <c r="VHX81" s="42"/>
      <c r="VHY81" s="427"/>
      <c r="VHZ81" s="22"/>
      <c r="VIA81" s="76"/>
      <c r="VIB81" s="42"/>
      <c r="VIC81" s="42"/>
      <c r="VID81" s="42"/>
      <c r="VIE81" s="42"/>
      <c r="VIF81" s="42"/>
      <c r="VIG81" s="43"/>
      <c r="VIH81" s="24"/>
      <c r="VII81" s="24"/>
      <c r="VIJ81" s="25"/>
      <c r="VIK81" s="23"/>
      <c r="VIL81" s="23"/>
      <c r="VIM81" s="42"/>
      <c r="VIN81" s="427"/>
      <c r="VIO81" s="22"/>
      <c r="VIP81" s="76"/>
      <c r="VIQ81" s="42"/>
      <c r="VIR81" s="42"/>
      <c r="VIS81" s="42"/>
      <c r="VIT81" s="42"/>
      <c r="VIU81" s="42"/>
      <c r="VIV81" s="43"/>
      <c r="VIW81" s="24"/>
      <c r="VIX81" s="24"/>
      <c r="VIY81" s="25"/>
      <c r="VIZ81" s="23"/>
      <c r="VJA81" s="23"/>
      <c r="VJB81" s="42"/>
      <c r="VJC81" s="427"/>
      <c r="VJD81" s="22"/>
      <c r="VJE81" s="76"/>
      <c r="VJF81" s="42"/>
      <c r="VJG81" s="42"/>
      <c r="VJH81" s="42"/>
      <c r="VJI81" s="42"/>
      <c r="VJJ81" s="42"/>
      <c r="VJK81" s="43"/>
      <c r="VJL81" s="24"/>
      <c r="VJM81" s="24"/>
      <c r="VJN81" s="25"/>
      <c r="VJO81" s="23"/>
      <c r="VJP81" s="23"/>
      <c r="VJQ81" s="42"/>
      <c r="VJR81" s="427"/>
      <c r="VJS81" s="22"/>
      <c r="VJT81" s="76"/>
      <c r="VJU81" s="42"/>
      <c r="VJV81" s="42"/>
      <c r="VJW81" s="42"/>
      <c r="VJX81" s="42"/>
      <c r="VJY81" s="42"/>
      <c r="VJZ81" s="43"/>
      <c r="VKA81" s="24"/>
      <c r="VKB81" s="24"/>
      <c r="VKC81" s="25"/>
      <c r="VKD81" s="23"/>
      <c r="VKE81" s="23"/>
      <c r="VKF81" s="42"/>
      <c r="VKG81" s="427"/>
      <c r="VKH81" s="22"/>
      <c r="VKI81" s="76"/>
      <c r="VKJ81" s="42"/>
      <c r="VKK81" s="42"/>
      <c r="VKL81" s="42"/>
      <c r="VKM81" s="42"/>
      <c r="VKN81" s="42"/>
      <c r="VKO81" s="43"/>
      <c r="VKP81" s="24"/>
      <c r="VKQ81" s="24"/>
      <c r="VKR81" s="25"/>
      <c r="VKS81" s="23"/>
      <c r="VKT81" s="23"/>
      <c r="VKU81" s="42"/>
      <c r="VKV81" s="427"/>
      <c r="VKW81" s="22"/>
      <c r="VKX81" s="76"/>
      <c r="VKY81" s="42"/>
      <c r="VKZ81" s="42"/>
      <c r="VLA81" s="42"/>
      <c r="VLB81" s="42"/>
      <c r="VLC81" s="42"/>
      <c r="VLD81" s="43"/>
      <c r="VLE81" s="24"/>
      <c r="VLF81" s="24"/>
      <c r="VLG81" s="25"/>
      <c r="VLH81" s="23"/>
      <c r="VLI81" s="23"/>
      <c r="VLJ81" s="42"/>
      <c r="VLK81" s="427"/>
      <c r="VLL81" s="22"/>
      <c r="VLM81" s="76"/>
      <c r="VLN81" s="42"/>
      <c r="VLO81" s="42"/>
      <c r="VLP81" s="42"/>
      <c r="VLQ81" s="42"/>
      <c r="VLR81" s="42"/>
      <c r="VLS81" s="43"/>
      <c r="VLT81" s="24"/>
      <c r="VLU81" s="24"/>
      <c r="VLV81" s="25"/>
      <c r="VLW81" s="23"/>
      <c r="VLX81" s="23"/>
      <c r="VLY81" s="42"/>
      <c r="VLZ81" s="427"/>
      <c r="VMA81" s="22"/>
      <c r="VMB81" s="76"/>
      <c r="VMC81" s="42"/>
      <c r="VMD81" s="42"/>
      <c r="VME81" s="42"/>
      <c r="VMF81" s="42"/>
      <c r="VMG81" s="42"/>
      <c r="VMH81" s="43"/>
      <c r="VMI81" s="24"/>
      <c r="VMJ81" s="24"/>
      <c r="VMK81" s="25"/>
      <c r="VML81" s="23"/>
      <c r="VMM81" s="23"/>
      <c r="VMN81" s="42"/>
      <c r="VMO81" s="427"/>
      <c r="VMP81" s="22"/>
      <c r="VMQ81" s="76"/>
      <c r="VMR81" s="42"/>
      <c r="VMS81" s="42"/>
      <c r="VMT81" s="42"/>
      <c r="VMU81" s="42"/>
      <c r="VMV81" s="42"/>
      <c r="VMW81" s="43"/>
      <c r="VMX81" s="24"/>
      <c r="VMY81" s="24"/>
      <c r="VMZ81" s="25"/>
      <c r="VNA81" s="23"/>
      <c r="VNB81" s="23"/>
      <c r="VNC81" s="42"/>
      <c r="VND81" s="427"/>
      <c r="VNE81" s="22"/>
      <c r="VNF81" s="76"/>
      <c r="VNG81" s="42"/>
      <c r="VNH81" s="42"/>
      <c r="VNI81" s="42"/>
      <c r="VNJ81" s="42"/>
      <c r="VNK81" s="42"/>
      <c r="VNL81" s="43"/>
      <c r="VNM81" s="24"/>
      <c r="VNN81" s="24"/>
      <c r="VNO81" s="25"/>
      <c r="VNP81" s="23"/>
      <c r="VNQ81" s="23"/>
      <c r="VNR81" s="42"/>
      <c r="VNS81" s="427"/>
      <c r="VNT81" s="22"/>
      <c r="VNU81" s="76"/>
      <c r="VNV81" s="42"/>
      <c r="VNW81" s="42"/>
      <c r="VNX81" s="42"/>
      <c r="VNY81" s="42"/>
      <c r="VNZ81" s="42"/>
      <c r="VOA81" s="43"/>
      <c r="VOB81" s="24"/>
      <c r="VOC81" s="24"/>
      <c r="VOD81" s="25"/>
      <c r="VOE81" s="23"/>
      <c r="VOF81" s="23"/>
      <c r="VOG81" s="42"/>
      <c r="VOH81" s="427"/>
      <c r="VOI81" s="22"/>
      <c r="VOJ81" s="76"/>
      <c r="VOK81" s="42"/>
      <c r="VOL81" s="42"/>
      <c r="VOM81" s="42"/>
      <c r="VON81" s="42"/>
      <c r="VOO81" s="42"/>
      <c r="VOP81" s="43"/>
      <c r="VOQ81" s="24"/>
      <c r="VOR81" s="24"/>
      <c r="VOS81" s="25"/>
      <c r="VOT81" s="23"/>
      <c r="VOU81" s="23"/>
      <c r="VOV81" s="42"/>
      <c r="VOW81" s="427"/>
      <c r="VOX81" s="22"/>
      <c r="VOY81" s="76"/>
      <c r="VOZ81" s="42"/>
      <c r="VPA81" s="42"/>
      <c r="VPB81" s="42"/>
      <c r="VPC81" s="42"/>
      <c r="VPD81" s="42"/>
      <c r="VPE81" s="43"/>
      <c r="VPF81" s="24"/>
      <c r="VPG81" s="24"/>
      <c r="VPH81" s="25"/>
      <c r="VPI81" s="23"/>
      <c r="VPJ81" s="23"/>
      <c r="VPK81" s="42"/>
      <c r="VPL81" s="427"/>
      <c r="VPM81" s="22"/>
      <c r="VPN81" s="76"/>
      <c r="VPO81" s="42"/>
      <c r="VPP81" s="42"/>
      <c r="VPQ81" s="42"/>
      <c r="VPR81" s="42"/>
      <c r="VPS81" s="42"/>
      <c r="VPT81" s="43"/>
      <c r="VPU81" s="24"/>
      <c r="VPV81" s="24"/>
      <c r="VPW81" s="25"/>
      <c r="VPX81" s="23"/>
      <c r="VPY81" s="23"/>
      <c r="VPZ81" s="42"/>
      <c r="VQA81" s="427"/>
      <c r="VQB81" s="22"/>
      <c r="VQC81" s="76"/>
      <c r="VQD81" s="42"/>
      <c r="VQE81" s="42"/>
      <c r="VQF81" s="42"/>
      <c r="VQG81" s="42"/>
      <c r="VQH81" s="42"/>
      <c r="VQI81" s="43"/>
      <c r="VQJ81" s="24"/>
      <c r="VQK81" s="24"/>
      <c r="VQL81" s="25"/>
      <c r="VQM81" s="23"/>
      <c r="VQN81" s="23"/>
      <c r="VQO81" s="42"/>
      <c r="VQP81" s="427"/>
      <c r="VQQ81" s="22"/>
      <c r="VQR81" s="76"/>
      <c r="VQS81" s="42"/>
      <c r="VQT81" s="42"/>
      <c r="VQU81" s="42"/>
      <c r="VQV81" s="42"/>
      <c r="VQW81" s="42"/>
      <c r="VQX81" s="43"/>
      <c r="VQY81" s="24"/>
      <c r="VQZ81" s="24"/>
      <c r="VRA81" s="25"/>
      <c r="VRB81" s="23"/>
      <c r="VRC81" s="23"/>
      <c r="VRD81" s="42"/>
      <c r="VRE81" s="427"/>
      <c r="VRF81" s="22"/>
      <c r="VRG81" s="76"/>
      <c r="VRH81" s="42"/>
      <c r="VRI81" s="42"/>
      <c r="VRJ81" s="42"/>
      <c r="VRK81" s="42"/>
      <c r="VRL81" s="42"/>
      <c r="VRM81" s="43"/>
      <c r="VRN81" s="24"/>
      <c r="VRO81" s="24"/>
      <c r="VRP81" s="25"/>
      <c r="VRQ81" s="23"/>
      <c r="VRR81" s="23"/>
      <c r="VRS81" s="42"/>
      <c r="VRT81" s="427"/>
      <c r="VRU81" s="22"/>
      <c r="VRV81" s="76"/>
      <c r="VRW81" s="42"/>
      <c r="VRX81" s="42"/>
      <c r="VRY81" s="42"/>
      <c r="VRZ81" s="42"/>
      <c r="VSA81" s="42"/>
      <c r="VSB81" s="43"/>
      <c r="VSC81" s="24"/>
      <c r="VSD81" s="24"/>
      <c r="VSE81" s="25"/>
      <c r="VSF81" s="23"/>
      <c r="VSG81" s="23"/>
      <c r="VSH81" s="42"/>
      <c r="VSI81" s="427"/>
      <c r="VSJ81" s="22"/>
      <c r="VSK81" s="76"/>
      <c r="VSL81" s="42"/>
      <c r="VSM81" s="42"/>
      <c r="VSN81" s="42"/>
      <c r="VSO81" s="42"/>
      <c r="VSP81" s="42"/>
      <c r="VSQ81" s="43"/>
      <c r="VSR81" s="24"/>
      <c r="VSS81" s="24"/>
      <c r="VST81" s="25"/>
      <c r="VSU81" s="23"/>
      <c r="VSV81" s="23"/>
      <c r="VSW81" s="42"/>
      <c r="VSX81" s="427"/>
      <c r="VSY81" s="22"/>
      <c r="VSZ81" s="76"/>
      <c r="VTA81" s="42"/>
      <c r="VTB81" s="42"/>
      <c r="VTC81" s="42"/>
      <c r="VTD81" s="42"/>
      <c r="VTE81" s="42"/>
      <c r="VTF81" s="43"/>
      <c r="VTG81" s="24"/>
      <c r="VTH81" s="24"/>
      <c r="VTI81" s="25"/>
      <c r="VTJ81" s="23"/>
      <c r="VTK81" s="23"/>
      <c r="VTL81" s="42"/>
      <c r="VTM81" s="427"/>
      <c r="VTN81" s="22"/>
      <c r="VTO81" s="76"/>
      <c r="VTP81" s="42"/>
      <c r="VTQ81" s="42"/>
      <c r="VTR81" s="42"/>
      <c r="VTS81" s="42"/>
      <c r="VTT81" s="42"/>
      <c r="VTU81" s="43"/>
      <c r="VTV81" s="24"/>
      <c r="VTW81" s="24"/>
      <c r="VTX81" s="25"/>
      <c r="VTY81" s="23"/>
      <c r="VTZ81" s="23"/>
      <c r="VUA81" s="42"/>
      <c r="VUB81" s="427"/>
      <c r="VUC81" s="22"/>
      <c r="VUD81" s="76"/>
      <c r="VUE81" s="42"/>
      <c r="VUF81" s="42"/>
      <c r="VUG81" s="42"/>
      <c r="VUH81" s="42"/>
      <c r="VUI81" s="42"/>
      <c r="VUJ81" s="43"/>
      <c r="VUK81" s="24"/>
      <c r="VUL81" s="24"/>
      <c r="VUM81" s="25"/>
      <c r="VUN81" s="23"/>
      <c r="VUO81" s="23"/>
      <c r="VUP81" s="42"/>
      <c r="VUQ81" s="427"/>
      <c r="VUR81" s="22"/>
      <c r="VUS81" s="76"/>
      <c r="VUT81" s="42"/>
      <c r="VUU81" s="42"/>
      <c r="VUV81" s="42"/>
      <c r="VUW81" s="42"/>
      <c r="VUX81" s="42"/>
      <c r="VUY81" s="43"/>
      <c r="VUZ81" s="24"/>
      <c r="VVA81" s="24"/>
      <c r="VVB81" s="25"/>
      <c r="VVC81" s="23"/>
      <c r="VVD81" s="23"/>
      <c r="VVE81" s="42"/>
      <c r="VVF81" s="427"/>
      <c r="VVG81" s="22"/>
      <c r="VVH81" s="76"/>
      <c r="VVI81" s="42"/>
      <c r="VVJ81" s="42"/>
      <c r="VVK81" s="42"/>
      <c r="VVL81" s="42"/>
      <c r="VVM81" s="42"/>
      <c r="VVN81" s="43"/>
      <c r="VVO81" s="24"/>
      <c r="VVP81" s="24"/>
      <c r="VVQ81" s="25"/>
      <c r="VVR81" s="23"/>
      <c r="VVS81" s="23"/>
      <c r="VVT81" s="42"/>
      <c r="VVU81" s="427"/>
      <c r="VVV81" s="22"/>
      <c r="VVW81" s="76"/>
      <c r="VVX81" s="42"/>
      <c r="VVY81" s="42"/>
      <c r="VVZ81" s="42"/>
      <c r="VWA81" s="42"/>
      <c r="VWB81" s="42"/>
      <c r="VWC81" s="43"/>
      <c r="VWD81" s="24"/>
      <c r="VWE81" s="24"/>
      <c r="VWF81" s="25"/>
      <c r="VWG81" s="23"/>
      <c r="VWH81" s="23"/>
      <c r="VWI81" s="42"/>
      <c r="VWJ81" s="427"/>
      <c r="VWK81" s="22"/>
      <c r="VWL81" s="76"/>
      <c r="VWM81" s="42"/>
      <c r="VWN81" s="42"/>
      <c r="VWO81" s="42"/>
      <c r="VWP81" s="42"/>
      <c r="VWQ81" s="42"/>
      <c r="VWR81" s="43"/>
      <c r="VWS81" s="24"/>
      <c r="VWT81" s="24"/>
      <c r="VWU81" s="25"/>
      <c r="VWV81" s="23"/>
      <c r="VWW81" s="23"/>
      <c r="VWX81" s="42"/>
      <c r="VWY81" s="427"/>
      <c r="VWZ81" s="22"/>
      <c r="VXA81" s="76"/>
      <c r="VXB81" s="42"/>
      <c r="VXC81" s="42"/>
      <c r="VXD81" s="42"/>
      <c r="VXE81" s="42"/>
      <c r="VXF81" s="42"/>
      <c r="VXG81" s="43"/>
      <c r="VXH81" s="24"/>
      <c r="VXI81" s="24"/>
      <c r="VXJ81" s="25"/>
      <c r="VXK81" s="23"/>
      <c r="VXL81" s="23"/>
      <c r="VXM81" s="42"/>
      <c r="VXN81" s="427"/>
      <c r="VXO81" s="22"/>
      <c r="VXP81" s="76"/>
      <c r="VXQ81" s="42"/>
      <c r="VXR81" s="42"/>
      <c r="VXS81" s="42"/>
      <c r="VXT81" s="42"/>
      <c r="VXU81" s="42"/>
      <c r="VXV81" s="43"/>
      <c r="VXW81" s="24"/>
      <c r="VXX81" s="24"/>
      <c r="VXY81" s="25"/>
      <c r="VXZ81" s="23"/>
      <c r="VYA81" s="23"/>
      <c r="VYB81" s="42"/>
      <c r="VYC81" s="427"/>
      <c r="VYD81" s="22"/>
      <c r="VYE81" s="76"/>
      <c r="VYF81" s="42"/>
      <c r="VYG81" s="42"/>
      <c r="VYH81" s="42"/>
      <c r="VYI81" s="42"/>
      <c r="VYJ81" s="42"/>
      <c r="VYK81" s="43"/>
      <c r="VYL81" s="24"/>
      <c r="VYM81" s="24"/>
      <c r="VYN81" s="25"/>
      <c r="VYO81" s="23"/>
      <c r="VYP81" s="23"/>
      <c r="VYQ81" s="42"/>
      <c r="VYR81" s="427"/>
      <c r="VYS81" s="22"/>
      <c r="VYT81" s="76"/>
      <c r="VYU81" s="42"/>
      <c r="VYV81" s="42"/>
      <c r="VYW81" s="42"/>
      <c r="VYX81" s="42"/>
      <c r="VYY81" s="42"/>
      <c r="VYZ81" s="43"/>
      <c r="VZA81" s="24"/>
      <c r="VZB81" s="24"/>
      <c r="VZC81" s="25"/>
      <c r="VZD81" s="23"/>
      <c r="VZE81" s="23"/>
      <c r="VZF81" s="42"/>
      <c r="VZG81" s="427"/>
      <c r="VZH81" s="22"/>
      <c r="VZI81" s="76"/>
      <c r="VZJ81" s="42"/>
      <c r="VZK81" s="42"/>
      <c r="VZL81" s="42"/>
      <c r="VZM81" s="42"/>
      <c r="VZN81" s="42"/>
      <c r="VZO81" s="43"/>
      <c r="VZP81" s="24"/>
      <c r="VZQ81" s="24"/>
      <c r="VZR81" s="25"/>
      <c r="VZS81" s="23"/>
      <c r="VZT81" s="23"/>
      <c r="VZU81" s="42"/>
      <c r="VZV81" s="427"/>
      <c r="VZW81" s="22"/>
      <c r="VZX81" s="76"/>
      <c r="VZY81" s="42"/>
      <c r="VZZ81" s="42"/>
      <c r="WAA81" s="42"/>
      <c r="WAB81" s="42"/>
      <c r="WAC81" s="42"/>
      <c r="WAD81" s="43"/>
      <c r="WAE81" s="24"/>
      <c r="WAF81" s="24"/>
      <c r="WAG81" s="25"/>
      <c r="WAH81" s="23"/>
      <c r="WAI81" s="23"/>
      <c r="WAJ81" s="42"/>
      <c r="WAK81" s="427"/>
      <c r="WAL81" s="22"/>
      <c r="WAM81" s="76"/>
      <c r="WAN81" s="42"/>
      <c r="WAO81" s="42"/>
      <c r="WAP81" s="42"/>
      <c r="WAQ81" s="42"/>
      <c r="WAR81" s="42"/>
      <c r="WAS81" s="43"/>
      <c r="WAT81" s="24"/>
      <c r="WAU81" s="24"/>
      <c r="WAV81" s="25"/>
      <c r="WAW81" s="23"/>
      <c r="WAX81" s="23"/>
      <c r="WAY81" s="42"/>
      <c r="WAZ81" s="427"/>
      <c r="WBA81" s="22"/>
      <c r="WBB81" s="76"/>
      <c r="WBC81" s="42"/>
      <c r="WBD81" s="42"/>
      <c r="WBE81" s="42"/>
      <c r="WBF81" s="42"/>
      <c r="WBG81" s="42"/>
      <c r="WBH81" s="43"/>
      <c r="WBI81" s="24"/>
      <c r="WBJ81" s="24"/>
      <c r="WBK81" s="25"/>
      <c r="WBL81" s="23"/>
      <c r="WBM81" s="23"/>
      <c r="WBN81" s="42"/>
      <c r="WBO81" s="427"/>
      <c r="WBP81" s="22"/>
      <c r="WBQ81" s="76"/>
      <c r="WBR81" s="42"/>
      <c r="WBS81" s="42"/>
      <c r="WBT81" s="42"/>
      <c r="WBU81" s="42"/>
      <c r="WBV81" s="42"/>
      <c r="WBW81" s="43"/>
      <c r="WBX81" s="24"/>
      <c r="WBY81" s="24"/>
      <c r="WBZ81" s="25"/>
      <c r="WCA81" s="23"/>
      <c r="WCB81" s="23"/>
      <c r="WCC81" s="42"/>
      <c r="WCD81" s="427"/>
      <c r="WCE81" s="22"/>
      <c r="WCF81" s="76"/>
      <c r="WCG81" s="42"/>
      <c r="WCH81" s="42"/>
      <c r="WCI81" s="42"/>
      <c r="WCJ81" s="42"/>
      <c r="WCK81" s="42"/>
      <c r="WCL81" s="43"/>
      <c r="WCM81" s="24"/>
      <c r="WCN81" s="24"/>
      <c r="WCO81" s="25"/>
      <c r="WCP81" s="23"/>
      <c r="WCQ81" s="23"/>
      <c r="WCR81" s="42"/>
      <c r="WCS81" s="427"/>
      <c r="WCT81" s="22"/>
      <c r="WCU81" s="76"/>
      <c r="WCV81" s="42"/>
      <c r="WCW81" s="42"/>
      <c r="WCX81" s="42"/>
      <c r="WCY81" s="42"/>
      <c r="WCZ81" s="42"/>
      <c r="WDA81" s="43"/>
      <c r="WDB81" s="24"/>
      <c r="WDC81" s="24"/>
      <c r="WDD81" s="25"/>
      <c r="WDE81" s="23"/>
      <c r="WDF81" s="23"/>
      <c r="WDG81" s="42"/>
      <c r="WDH81" s="427"/>
      <c r="WDI81" s="22"/>
      <c r="WDJ81" s="76"/>
      <c r="WDK81" s="42"/>
      <c r="WDL81" s="42"/>
      <c r="WDM81" s="42"/>
      <c r="WDN81" s="42"/>
      <c r="WDO81" s="42"/>
      <c r="WDP81" s="43"/>
      <c r="WDQ81" s="24"/>
      <c r="WDR81" s="24"/>
      <c r="WDS81" s="25"/>
      <c r="WDT81" s="23"/>
      <c r="WDU81" s="23"/>
      <c r="WDV81" s="42"/>
      <c r="WDW81" s="427"/>
      <c r="WDX81" s="22"/>
      <c r="WDY81" s="76"/>
      <c r="WDZ81" s="42"/>
      <c r="WEA81" s="42"/>
      <c r="WEB81" s="42"/>
      <c r="WEC81" s="42"/>
      <c r="WED81" s="42"/>
      <c r="WEE81" s="43"/>
      <c r="WEF81" s="24"/>
      <c r="WEG81" s="24"/>
      <c r="WEH81" s="25"/>
      <c r="WEI81" s="23"/>
      <c r="WEJ81" s="23"/>
      <c r="WEK81" s="42"/>
      <c r="WEL81" s="427"/>
      <c r="WEM81" s="22"/>
      <c r="WEN81" s="76"/>
      <c r="WEO81" s="42"/>
      <c r="WEP81" s="42"/>
      <c r="WEQ81" s="42"/>
      <c r="WER81" s="42"/>
      <c r="WES81" s="42"/>
      <c r="WET81" s="43"/>
      <c r="WEU81" s="24"/>
      <c r="WEV81" s="24"/>
      <c r="WEW81" s="25"/>
      <c r="WEX81" s="23"/>
      <c r="WEY81" s="23"/>
      <c r="WEZ81" s="42"/>
      <c r="WFA81" s="427"/>
      <c r="WFB81" s="22"/>
      <c r="WFC81" s="76"/>
      <c r="WFD81" s="42"/>
      <c r="WFE81" s="42"/>
      <c r="WFF81" s="42"/>
      <c r="WFG81" s="42"/>
      <c r="WFH81" s="42"/>
      <c r="WFI81" s="43"/>
      <c r="WFJ81" s="24"/>
      <c r="WFK81" s="24"/>
      <c r="WFL81" s="25"/>
      <c r="WFM81" s="23"/>
      <c r="WFN81" s="23"/>
      <c r="WFO81" s="42"/>
      <c r="WFP81" s="427"/>
      <c r="WFQ81" s="22"/>
      <c r="WFR81" s="76"/>
      <c r="WFS81" s="42"/>
      <c r="WFT81" s="42"/>
      <c r="WFU81" s="42"/>
      <c r="WFV81" s="42"/>
      <c r="WFW81" s="42"/>
      <c r="WFX81" s="43"/>
      <c r="WFY81" s="24"/>
      <c r="WFZ81" s="24"/>
      <c r="WGA81" s="25"/>
      <c r="WGB81" s="23"/>
      <c r="WGC81" s="23"/>
      <c r="WGD81" s="42"/>
      <c r="WGE81" s="427"/>
      <c r="WGF81" s="22"/>
      <c r="WGG81" s="76"/>
      <c r="WGH81" s="42"/>
      <c r="WGI81" s="42"/>
      <c r="WGJ81" s="42"/>
      <c r="WGK81" s="42"/>
      <c r="WGL81" s="42"/>
      <c r="WGM81" s="43"/>
      <c r="WGN81" s="24"/>
      <c r="WGO81" s="24"/>
      <c r="WGP81" s="25"/>
      <c r="WGQ81" s="23"/>
      <c r="WGR81" s="23"/>
      <c r="WGS81" s="42"/>
      <c r="WGT81" s="427"/>
      <c r="WGU81" s="22"/>
      <c r="WGV81" s="76"/>
      <c r="WGW81" s="42"/>
      <c r="WGX81" s="42"/>
      <c r="WGY81" s="42"/>
      <c r="WGZ81" s="42"/>
      <c r="WHA81" s="42"/>
      <c r="WHB81" s="43"/>
      <c r="WHC81" s="24"/>
      <c r="WHD81" s="24"/>
      <c r="WHE81" s="25"/>
      <c r="WHF81" s="23"/>
      <c r="WHG81" s="23"/>
      <c r="WHH81" s="42"/>
      <c r="WHI81" s="427"/>
      <c r="WHJ81" s="22"/>
      <c r="WHK81" s="76"/>
      <c r="WHL81" s="42"/>
      <c r="WHM81" s="42"/>
      <c r="WHN81" s="42"/>
      <c r="WHO81" s="42"/>
      <c r="WHP81" s="42"/>
      <c r="WHQ81" s="43"/>
      <c r="WHR81" s="24"/>
      <c r="WHS81" s="24"/>
      <c r="WHT81" s="25"/>
      <c r="WHU81" s="23"/>
      <c r="WHV81" s="23"/>
      <c r="WHW81" s="42"/>
      <c r="WHX81" s="427"/>
      <c r="WHY81" s="22"/>
      <c r="WHZ81" s="76"/>
      <c r="WIA81" s="42"/>
      <c r="WIB81" s="42"/>
      <c r="WIC81" s="42"/>
      <c r="WID81" s="42"/>
      <c r="WIE81" s="42"/>
      <c r="WIF81" s="43"/>
      <c r="WIG81" s="24"/>
      <c r="WIH81" s="24"/>
      <c r="WII81" s="25"/>
      <c r="WIJ81" s="23"/>
      <c r="WIK81" s="23"/>
      <c r="WIL81" s="42"/>
      <c r="WIM81" s="427"/>
      <c r="WIN81" s="22"/>
      <c r="WIO81" s="76"/>
      <c r="WIP81" s="42"/>
      <c r="WIQ81" s="42"/>
      <c r="WIR81" s="42"/>
      <c r="WIS81" s="42"/>
      <c r="WIT81" s="42"/>
      <c r="WIU81" s="43"/>
      <c r="WIV81" s="24"/>
      <c r="WIW81" s="24"/>
      <c r="WIX81" s="25"/>
      <c r="WIY81" s="23"/>
      <c r="WIZ81" s="23"/>
      <c r="WJA81" s="42"/>
      <c r="WJB81" s="427"/>
      <c r="WJC81" s="22"/>
      <c r="WJD81" s="76"/>
      <c r="WJE81" s="42"/>
      <c r="WJF81" s="42"/>
      <c r="WJG81" s="42"/>
      <c r="WJH81" s="42"/>
      <c r="WJI81" s="42"/>
      <c r="WJJ81" s="43"/>
      <c r="WJK81" s="24"/>
      <c r="WJL81" s="24"/>
      <c r="WJM81" s="25"/>
      <c r="WJN81" s="23"/>
      <c r="WJO81" s="23"/>
      <c r="WJP81" s="42"/>
      <c r="WJQ81" s="427"/>
      <c r="WJR81" s="22"/>
      <c r="WJS81" s="76"/>
      <c r="WJT81" s="42"/>
      <c r="WJU81" s="42"/>
      <c r="WJV81" s="42"/>
      <c r="WJW81" s="42"/>
      <c r="WJX81" s="42"/>
      <c r="WJY81" s="43"/>
      <c r="WJZ81" s="24"/>
      <c r="WKA81" s="24"/>
      <c r="WKB81" s="25"/>
      <c r="WKC81" s="23"/>
      <c r="WKD81" s="23"/>
      <c r="WKE81" s="42"/>
      <c r="WKF81" s="427"/>
      <c r="WKG81" s="22"/>
      <c r="WKH81" s="76"/>
      <c r="WKI81" s="42"/>
      <c r="WKJ81" s="42"/>
      <c r="WKK81" s="42"/>
      <c r="WKL81" s="42"/>
      <c r="WKM81" s="42"/>
      <c r="WKN81" s="43"/>
      <c r="WKO81" s="24"/>
      <c r="WKP81" s="24"/>
      <c r="WKQ81" s="25"/>
      <c r="WKR81" s="23"/>
      <c r="WKS81" s="23"/>
      <c r="WKT81" s="42"/>
      <c r="WKU81" s="427"/>
      <c r="WKV81" s="22"/>
      <c r="WKW81" s="76"/>
      <c r="WKX81" s="42"/>
      <c r="WKY81" s="42"/>
      <c r="WKZ81" s="42"/>
      <c r="WLA81" s="42"/>
      <c r="WLB81" s="42"/>
      <c r="WLC81" s="43"/>
      <c r="WLD81" s="24"/>
      <c r="WLE81" s="24"/>
      <c r="WLF81" s="25"/>
      <c r="WLG81" s="23"/>
      <c r="WLH81" s="23"/>
      <c r="WLI81" s="42"/>
      <c r="WLJ81" s="427"/>
      <c r="WLK81" s="22"/>
      <c r="WLL81" s="76"/>
      <c r="WLM81" s="42"/>
      <c r="WLN81" s="42"/>
      <c r="WLO81" s="42"/>
      <c r="WLP81" s="42"/>
      <c r="WLQ81" s="42"/>
      <c r="WLR81" s="43"/>
      <c r="WLS81" s="24"/>
      <c r="WLT81" s="24"/>
      <c r="WLU81" s="25"/>
      <c r="WLV81" s="23"/>
      <c r="WLW81" s="23"/>
      <c r="WLX81" s="42"/>
      <c r="WLY81" s="427"/>
      <c r="WLZ81" s="22"/>
      <c r="WMA81" s="76"/>
      <c r="WMB81" s="42"/>
      <c r="WMC81" s="42"/>
      <c r="WMD81" s="42"/>
      <c r="WME81" s="42"/>
      <c r="WMF81" s="42"/>
      <c r="WMG81" s="43"/>
      <c r="WMH81" s="24"/>
      <c r="WMI81" s="24"/>
      <c r="WMJ81" s="25"/>
      <c r="WMK81" s="23"/>
      <c r="WML81" s="23"/>
      <c r="WMM81" s="42"/>
      <c r="WMN81" s="427"/>
      <c r="WMO81" s="22"/>
      <c r="WMP81" s="76"/>
      <c r="WMQ81" s="42"/>
      <c r="WMR81" s="42"/>
      <c r="WMS81" s="42"/>
      <c r="WMT81" s="42"/>
      <c r="WMU81" s="42"/>
      <c r="WMV81" s="43"/>
      <c r="WMW81" s="24"/>
      <c r="WMX81" s="24"/>
      <c r="WMY81" s="25"/>
      <c r="WMZ81" s="23"/>
      <c r="WNA81" s="23"/>
      <c r="WNB81" s="42"/>
      <c r="WNC81" s="427"/>
      <c r="WND81" s="22"/>
      <c r="WNE81" s="76"/>
      <c r="WNF81" s="42"/>
      <c r="WNG81" s="42"/>
      <c r="WNH81" s="42"/>
      <c r="WNI81" s="42"/>
      <c r="WNJ81" s="42"/>
      <c r="WNK81" s="43"/>
      <c r="WNL81" s="24"/>
      <c r="WNM81" s="24"/>
      <c r="WNN81" s="25"/>
      <c r="WNO81" s="23"/>
      <c r="WNP81" s="23"/>
      <c r="WNQ81" s="42"/>
      <c r="WNR81" s="427"/>
      <c r="WNS81" s="22"/>
      <c r="WNT81" s="76"/>
      <c r="WNU81" s="42"/>
      <c r="WNV81" s="42"/>
      <c r="WNW81" s="42"/>
      <c r="WNX81" s="42"/>
      <c r="WNY81" s="42"/>
      <c r="WNZ81" s="43"/>
      <c r="WOA81" s="24"/>
      <c r="WOB81" s="24"/>
      <c r="WOC81" s="25"/>
      <c r="WOD81" s="23"/>
      <c r="WOE81" s="23"/>
      <c r="WOF81" s="42"/>
      <c r="WOG81" s="427"/>
      <c r="WOH81" s="22"/>
      <c r="WOI81" s="76"/>
      <c r="WOJ81" s="42"/>
      <c r="WOK81" s="42"/>
      <c r="WOL81" s="42"/>
      <c r="WOM81" s="42"/>
      <c r="WON81" s="42"/>
      <c r="WOO81" s="43"/>
      <c r="WOP81" s="24"/>
      <c r="WOQ81" s="24"/>
      <c r="WOR81" s="25"/>
      <c r="WOS81" s="23"/>
      <c r="WOT81" s="23"/>
      <c r="WOU81" s="42"/>
      <c r="WOV81" s="427"/>
      <c r="WOW81" s="22"/>
      <c r="WOX81" s="76"/>
      <c r="WOY81" s="42"/>
      <c r="WOZ81" s="42"/>
      <c r="WPA81" s="42"/>
      <c r="WPB81" s="42"/>
      <c r="WPC81" s="42"/>
      <c r="WPD81" s="43"/>
      <c r="WPE81" s="24"/>
      <c r="WPF81" s="24"/>
      <c r="WPG81" s="25"/>
      <c r="WPH81" s="23"/>
      <c r="WPI81" s="23"/>
      <c r="WPJ81" s="42"/>
      <c r="WPK81" s="427"/>
      <c r="WPL81" s="22"/>
      <c r="WPM81" s="76"/>
      <c r="WPN81" s="42"/>
      <c r="WPO81" s="42"/>
      <c r="WPP81" s="42"/>
      <c r="WPQ81" s="42"/>
      <c r="WPR81" s="42"/>
      <c r="WPS81" s="43"/>
      <c r="WPT81" s="24"/>
      <c r="WPU81" s="24"/>
      <c r="WPV81" s="25"/>
      <c r="WPW81" s="23"/>
      <c r="WPX81" s="23"/>
      <c r="WPY81" s="42"/>
      <c r="WPZ81" s="427"/>
      <c r="WQA81" s="22"/>
      <c r="WQB81" s="76"/>
      <c r="WQC81" s="42"/>
      <c r="WQD81" s="42"/>
      <c r="WQE81" s="42"/>
      <c r="WQF81" s="42"/>
      <c r="WQG81" s="42"/>
      <c r="WQH81" s="43"/>
      <c r="WQI81" s="24"/>
      <c r="WQJ81" s="24"/>
      <c r="WQK81" s="25"/>
      <c r="WQL81" s="23"/>
      <c r="WQM81" s="23"/>
      <c r="WQN81" s="42"/>
      <c r="WQO81" s="427"/>
      <c r="WQP81" s="22"/>
      <c r="WQQ81" s="76"/>
      <c r="WQR81" s="42"/>
      <c r="WQS81" s="42"/>
      <c r="WQT81" s="42"/>
      <c r="WQU81" s="42"/>
      <c r="WQV81" s="42"/>
      <c r="WQW81" s="43"/>
      <c r="WQX81" s="24"/>
      <c r="WQY81" s="24"/>
      <c r="WQZ81" s="25"/>
      <c r="WRA81" s="23"/>
      <c r="WRB81" s="23"/>
      <c r="WRC81" s="42"/>
      <c r="WRD81" s="427"/>
      <c r="WRE81" s="22"/>
      <c r="WRF81" s="76"/>
      <c r="WRG81" s="42"/>
      <c r="WRH81" s="42"/>
      <c r="WRI81" s="42"/>
      <c r="WRJ81" s="42"/>
      <c r="WRK81" s="42"/>
      <c r="WRL81" s="43"/>
      <c r="WRM81" s="24"/>
      <c r="WRN81" s="24"/>
      <c r="WRO81" s="25"/>
      <c r="WRP81" s="23"/>
      <c r="WRQ81" s="23"/>
      <c r="WRR81" s="42"/>
      <c r="WRS81" s="427"/>
      <c r="WRT81" s="22"/>
      <c r="WRU81" s="76"/>
      <c r="WRV81" s="42"/>
      <c r="WRW81" s="42"/>
      <c r="WRX81" s="42"/>
      <c r="WRY81" s="42"/>
      <c r="WRZ81" s="42"/>
      <c r="WSA81" s="43"/>
      <c r="WSB81" s="24"/>
      <c r="WSC81" s="24"/>
      <c r="WSD81" s="25"/>
      <c r="WSE81" s="23"/>
      <c r="WSF81" s="23"/>
      <c r="WSG81" s="42"/>
      <c r="WSH81" s="427"/>
      <c r="WSI81" s="22"/>
      <c r="WSJ81" s="76"/>
      <c r="WSK81" s="42"/>
      <c r="WSL81" s="42"/>
      <c r="WSM81" s="42"/>
      <c r="WSN81" s="42"/>
      <c r="WSO81" s="42"/>
      <c r="WSP81" s="43"/>
      <c r="WSQ81" s="24"/>
      <c r="WSR81" s="24"/>
      <c r="WSS81" s="25"/>
      <c r="WST81" s="23"/>
      <c r="WSU81" s="23"/>
      <c r="WSV81" s="42"/>
      <c r="WSW81" s="427"/>
      <c r="WSX81" s="22"/>
      <c r="WSY81" s="76"/>
      <c r="WSZ81" s="42"/>
      <c r="WTA81" s="42"/>
      <c r="WTB81" s="42"/>
      <c r="WTC81" s="42"/>
      <c r="WTD81" s="42"/>
      <c r="WTE81" s="43"/>
      <c r="WTF81" s="24"/>
      <c r="WTG81" s="24"/>
      <c r="WTH81" s="25"/>
      <c r="WTI81" s="23"/>
      <c r="WTJ81" s="23"/>
      <c r="WTK81" s="42"/>
      <c r="WTL81" s="427"/>
      <c r="WTM81" s="22"/>
      <c r="WTN81" s="76"/>
      <c r="WTO81" s="42"/>
      <c r="WTP81" s="42"/>
      <c r="WTQ81" s="42"/>
      <c r="WTR81" s="42"/>
      <c r="WTS81" s="42"/>
      <c r="WTT81" s="43"/>
      <c r="WTU81" s="24"/>
      <c r="WTV81" s="24"/>
      <c r="WTW81" s="25"/>
      <c r="WTX81" s="23"/>
      <c r="WTY81" s="23"/>
      <c r="WTZ81" s="42"/>
      <c r="WUA81" s="427"/>
      <c r="WUB81" s="22"/>
      <c r="WUC81" s="76"/>
      <c r="WUD81" s="42"/>
      <c r="WUE81" s="42"/>
      <c r="WUF81" s="42"/>
      <c r="WUG81" s="42"/>
      <c r="WUH81" s="42"/>
      <c r="WUI81" s="43"/>
      <c r="WUJ81" s="24"/>
      <c r="WUK81" s="24"/>
      <c r="WUL81" s="25"/>
      <c r="WUM81" s="23"/>
      <c r="WUN81" s="23"/>
      <c r="WUO81" s="42"/>
      <c r="WUP81" s="427"/>
      <c r="WUQ81" s="22"/>
      <c r="WUR81" s="76"/>
      <c r="WUS81" s="42"/>
      <c r="WUT81" s="42"/>
      <c r="WUU81" s="42"/>
      <c r="WUV81" s="42"/>
      <c r="WUW81" s="42"/>
      <c r="WUX81" s="43"/>
      <c r="WUY81" s="24"/>
      <c r="WUZ81" s="24"/>
      <c r="WVA81" s="25"/>
      <c r="WVB81" s="23"/>
      <c r="WVC81" s="23"/>
      <c r="WVD81" s="42"/>
      <c r="WVE81" s="427"/>
      <c r="WVF81" s="22"/>
      <c r="WVG81" s="76"/>
      <c r="WVH81" s="42"/>
      <c r="WVI81" s="42"/>
      <c r="WVJ81" s="42"/>
      <c r="WVK81" s="42"/>
      <c r="WVL81" s="42"/>
      <c r="WVM81" s="43"/>
      <c r="WVN81" s="24"/>
      <c r="WVO81" s="24"/>
      <c r="WVP81" s="25"/>
      <c r="WVQ81" s="23"/>
      <c r="WVR81" s="23"/>
      <c r="WVS81" s="42"/>
      <c r="WVT81" s="427"/>
      <c r="WVU81" s="22"/>
      <c r="WVV81" s="76"/>
      <c r="WVW81" s="42"/>
      <c r="WVX81" s="42"/>
      <c r="WVY81" s="42"/>
      <c r="WVZ81" s="42"/>
      <c r="WWA81" s="42"/>
      <c r="WWB81" s="43"/>
      <c r="WWC81" s="24"/>
      <c r="WWD81" s="24"/>
      <c r="WWE81" s="25"/>
      <c r="WWF81" s="23"/>
      <c r="WWG81" s="23"/>
      <c r="WWH81" s="42"/>
      <c r="WWI81" s="427"/>
      <c r="WWJ81" s="22"/>
      <c r="WWK81" s="76"/>
      <c r="WWL81" s="42"/>
      <c r="WWM81" s="42"/>
      <c r="WWN81" s="42"/>
      <c r="WWO81" s="42"/>
      <c r="WWP81" s="42"/>
      <c r="WWQ81" s="43"/>
      <c r="WWR81" s="24"/>
      <c r="WWS81" s="24"/>
      <c r="WWT81" s="25"/>
      <c r="WWU81" s="23"/>
      <c r="WWV81" s="23"/>
      <c r="WWW81" s="42"/>
      <c r="WWX81" s="427"/>
      <c r="WWY81" s="22"/>
      <c r="WWZ81" s="76"/>
      <c r="WXA81" s="42"/>
      <c r="WXB81" s="42"/>
      <c r="WXC81" s="42"/>
      <c r="WXD81" s="42"/>
      <c r="WXE81" s="42"/>
      <c r="WXF81" s="43"/>
      <c r="WXG81" s="24"/>
      <c r="WXH81" s="24"/>
      <c r="WXI81" s="25"/>
      <c r="WXJ81" s="23"/>
      <c r="WXK81" s="23"/>
      <c r="WXL81" s="42"/>
      <c r="WXM81" s="427"/>
      <c r="WXN81" s="22"/>
      <c r="WXO81" s="76"/>
      <c r="WXP81" s="42"/>
      <c r="WXQ81" s="42"/>
      <c r="WXR81" s="42"/>
      <c r="WXS81" s="42"/>
      <c r="WXT81" s="42"/>
      <c r="WXU81" s="43"/>
      <c r="WXV81" s="24"/>
      <c r="WXW81" s="24"/>
      <c r="WXX81" s="25"/>
      <c r="WXY81" s="23"/>
      <c r="WXZ81" s="23"/>
      <c r="WYA81" s="42"/>
      <c r="WYB81" s="427"/>
      <c r="WYC81" s="22"/>
      <c r="WYD81" s="76"/>
      <c r="WYE81" s="42"/>
      <c r="WYF81" s="42"/>
      <c r="WYG81" s="42"/>
      <c r="WYH81" s="42"/>
      <c r="WYI81" s="42"/>
      <c r="WYJ81" s="43"/>
      <c r="WYK81" s="24"/>
      <c r="WYL81" s="24"/>
      <c r="WYM81" s="25"/>
      <c r="WYN81" s="23"/>
      <c r="WYO81" s="23"/>
      <c r="WYP81" s="42"/>
      <c r="WYQ81" s="427"/>
      <c r="WYR81" s="22"/>
      <c r="WYS81" s="76"/>
      <c r="WYT81" s="42"/>
      <c r="WYU81" s="42"/>
      <c r="WYV81" s="42"/>
      <c r="WYW81" s="42"/>
      <c r="WYX81" s="42"/>
      <c r="WYY81" s="43"/>
      <c r="WYZ81" s="24"/>
      <c r="WZA81" s="24"/>
      <c r="WZB81" s="25"/>
      <c r="WZC81" s="23"/>
      <c r="WZD81" s="23"/>
      <c r="WZE81" s="42"/>
      <c r="WZF81" s="427"/>
      <c r="WZG81" s="22"/>
      <c r="WZH81" s="76"/>
      <c r="WZI81" s="42"/>
      <c r="WZJ81" s="42"/>
      <c r="WZK81" s="42"/>
      <c r="WZL81" s="42"/>
      <c r="WZM81" s="42"/>
      <c r="WZN81" s="43"/>
      <c r="WZO81" s="24"/>
      <c r="WZP81" s="24"/>
      <c r="WZQ81" s="25"/>
      <c r="WZR81" s="23"/>
      <c r="WZS81" s="23"/>
      <c r="WZT81" s="42"/>
      <c r="WZU81" s="427"/>
      <c r="WZV81" s="22"/>
      <c r="WZW81" s="76"/>
      <c r="WZX81" s="42"/>
      <c r="WZY81" s="42"/>
      <c r="WZZ81" s="42"/>
      <c r="XAA81" s="42"/>
      <c r="XAB81" s="42"/>
      <c r="XAC81" s="43"/>
      <c r="XAD81" s="24"/>
      <c r="XAE81" s="24"/>
      <c r="XAF81" s="25"/>
      <c r="XAG81" s="23"/>
      <c r="XAH81" s="23"/>
      <c r="XAI81" s="42"/>
      <c r="XAJ81" s="427"/>
      <c r="XAK81" s="22"/>
      <c r="XAL81" s="76"/>
      <c r="XAM81" s="42"/>
      <c r="XAN81" s="42"/>
      <c r="XAO81" s="42"/>
      <c r="XAP81" s="42"/>
      <c r="XAQ81" s="42"/>
      <c r="XAR81" s="43"/>
      <c r="XAS81" s="24"/>
      <c r="XAT81" s="24"/>
      <c r="XAU81" s="25"/>
      <c r="XAV81" s="23"/>
      <c r="XAW81" s="23"/>
      <c r="XAX81" s="42"/>
      <c r="XAY81" s="427"/>
      <c r="XAZ81" s="22"/>
      <c r="XBA81" s="76"/>
      <c r="XBB81" s="42"/>
      <c r="XBC81" s="42"/>
      <c r="XBD81" s="42"/>
      <c r="XBE81" s="42"/>
      <c r="XBF81" s="42"/>
      <c r="XBG81" s="43"/>
      <c r="XBH81" s="24"/>
      <c r="XBI81" s="24"/>
      <c r="XBJ81" s="25"/>
      <c r="XBK81" s="23"/>
      <c r="XBL81" s="23"/>
      <c r="XBM81" s="42"/>
      <c r="XBN81" s="427"/>
      <c r="XBO81" s="22"/>
      <c r="XBP81" s="76"/>
      <c r="XBQ81" s="42"/>
      <c r="XBR81" s="42"/>
      <c r="XBS81" s="42"/>
      <c r="XBT81" s="42"/>
      <c r="XBU81" s="42"/>
      <c r="XBV81" s="43"/>
      <c r="XBW81" s="24"/>
      <c r="XBX81" s="24"/>
      <c r="XBY81" s="25"/>
      <c r="XBZ81" s="23"/>
      <c r="XCA81" s="23"/>
      <c r="XCB81" s="42"/>
      <c r="XCC81" s="427"/>
      <c r="XCD81" s="22"/>
      <c r="XCE81" s="76"/>
      <c r="XCF81" s="42"/>
      <c r="XCG81" s="42"/>
      <c r="XCH81" s="42"/>
      <c r="XCI81" s="42"/>
      <c r="XCJ81" s="42"/>
      <c r="XCK81" s="43"/>
      <c r="XCL81" s="24"/>
      <c r="XCM81" s="24"/>
      <c r="XCN81" s="25"/>
      <c r="XCO81" s="23"/>
      <c r="XCP81" s="23"/>
      <c r="XCQ81" s="42"/>
      <c r="XCR81" s="427"/>
      <c r="XCS81" s="22"/>
      <c r="XCT81" s="76"/>
      <c r="XCU81" s="42"/>
      <c r="XCV81" s="42"/>
      <c r="XCW81" s="42"/>
      <c r="XCX81" s="42"/>
      <c r="XCY81" s="42"/>
      <c r="XCZ81" s="43"/>
      <c r="XDA81" s="24"/>
      <c r="XDB81" s="24"/>
      <c r="XDC81" s="25"/>
      <c r="XDD81" s="23"/>
      <c r="XDE81" s="23"/>
      <c r="XDF81" s="42"/>
      <c r="XDG81" s="427"/>
      <c r="XDH81" s="22"/>
      <c r="XDI81" s="76"/>
      <c r="XDJ81" s="42"/>
      <c r="XDK81" s="42"/>
      <c r="XDL81" s="42"/>
      <c r="XDM81" s="42"/>
      <c r="XDN81" s="42"/>
      <c r="XDO81" s="43"/>
      <c r="XDP81" s="24"/>
      <c r="XDQ81" s="24"/>
      <c r="XDR81" s="25"/>
      <c r="XDS81" s="23"/>
      <c r="XDT81" s="23"/>
      <c r="XDU81" s="42"/>
      <c r="XDV81" s="427"/>
      <c r="XDW81" s="22"/>
      <c r="XDX81" s="76"/>
      <c r="XDY81" s="42"/>
      <c r="XDZ81" s="42"/>
      <c r="XEA81" s="42"/>
      <c r="XEB81" s="42"/>
      <c r="XEC81" s="42"/>
      <c r="XED81" s="43"/>
      <c r="XEE81" s="24"/>
      <c r="XEF81" s="24"/>
      <c r="XEG81" s="25"/>
      <c r="XEH81" s="23"/>
      <c r="XEI81" s="23"/>
      <c r="XEJ81" s="42"/>
      <c r="XEK81" s="427"/>
      <c r="XEL81" s="22"/>
      <c r="XEM81" s="76"/>
      <c r="XEN81" s="42"/>
      <c r="XEO81" s="42"/>
      <c r="XEP81" s="42"/>
      <c r="XEQ81" s="42"/>
      <c r="XER81" s="42"/>
      <c r="XES81" s="43"/>
      <c r="XET81" s="24"/>
      <c r="XEU81" s="24"/>
      <c r="XEV81" s="25"/>
      <c r="XEW81" s="23"/>
      <c r="XEX81" s="23"/>
      <c r="XEY81" s="42"/>
      <c r="XEZ81" s="427"/>
      <c r="XFA81" s="22"/>
      <c r="XFB81" s="76"/>
      <c r="XFC81" s="42"/>
      <c r="XFD81" s="42"/>
    </row>
    <row r="82" spans="1:16384" s="12" customFormat="1" ht="31.5">
      <c r="A82" s="15" t="s">
        <v>118</v>
      </c>
      <c r="B82" s="75" t="s">
        <v>241</v>
      </c>
      <c r="C82" s="39" t="s">
        <v>17</v>
      </c>
      <c r="D82" s="39"/>
      <c r="E82" s="39"/>
      <c r="F82" s="39">
        <v>10</v>
      </c>
      <c r="G82" s="39"/>
      <c r="H82" s="406">
        <f>SUM(Tabla13242[[#This Row],[PRIMER TRIMESTRE]:[CUARTO TRIMESTRE]])</f>
        <v>10</v>
      </c>
      <c r="I82" s="17">
        <v>7544.8</v>
      </c>
      <c r="J82" s="17">
        <f>+H82*I82</f>
        <v>75448</v>
      </c>
      <c r="K82" s="17"/>
      <c r="L82" s="16" t="s">
        <v>27</v>
      </c>
      <c r="M82" s="16" t="s">
        <v>22</v>
      </c>
      <c r="N82" s="39" t="s">
        <v>418</v>
      </c>
    </row>
    <row r="83" spans="1:16384" s="12" customFormat="1" ht="31.5">
      <c r="A83" s="15" t="s">
        <v>118</v>
      </c>
      <c r="B83" s="75" t="s">
        <v>243</v>
      </c>
      <c r="C83" s="39" t="s">
        <v>17</v>
      </c>
      <c r="D83" s="39"/>
      <c r="E83" s="39"/>
      <c r="F83" s="39">
        <v>4</v>
      </c>
      <c r="G83" s="39"/>
      <c r="H83" s="406">
        <f>SUM(Tabla13242[[#This Row],[PRIMER TRIMESTRE]:[CUARTO TRIMESTRE]])</f>
        <v>4</v>
      </c>
      <c r="I83" s="17">
        <v>4610.34</v>
      </c>
      <c r="J83" s="17">
        <f t="shared" ref="J83:J88" si="2">+H83*I83</f>
        <v>18441.36</v>
      </c>
      <c r="K83" s="17"/>
      <c r="L83" s="16" t="s">
        <v>27</v>
      </c>
      <c r="M83" s="16" t="s">
        <v>22</v>
      </c>
      <c r="N83" s="39" t="s">
        <v>418</v>
      </c>
    </row>
    <row r="84" spans="1:16384" s="12" customFormat="1" ht="31.5">
      <c r="A84" s="15" t="s">
        <v>118</v>
      </c>
      <c r="B84" s="75" t="s">
        <v>334</v>
      </c>
      <c r="C84" s="39" t="s">
        <v>17</v>
      </c>
      <c r="D84" s="39"/>
      <c r="E84" s="39"/>
      <c r="F84" s="39">
        <v>1</v>
      </c>
      <c r="G84" s="39"/>
      <c r="H84" s="406">
        <f>SUM(Tabla13242[[#This Row],[PRIMER TRIMESTRE]:[CUARTO TRIMESTRE]])</f>
        <v>1</v>
      </c>
      <c r="I84" s="17">
        <v>7080</v>
      </c>
      <c r="J84" s="17">
        <f t="shared" si="2"/>
        <v>7080</v>
      </c>
      <c r="K84" s="17"/>
      <c r="L84" s="16" t="s">
        <v>27</v>
      </c>
      <c r="M84" s="16" t="s">
        <v>22</v>
      </c>
      <c r="N84" s="39" t="s">
        <v>418</v>
      </c>
    </row>
    <row r="85" spans="1:16384" s="12" customFormat="1" ht="31.5">
      <c r="A85" s="15" t="s">
        <v>118</v>
      </c>
      <c r="B85" s="75" t="s">
        <v>251</v>
      </c>
      <c r="C85" s="39" t="s">
        <v>17</v>
      </c>
      <c r="D85" s="39"/>
      <c r="E85" s="39"/>
      <c r="F85" s="39">
        <v>10</v>
      </c>
      <c r="G85" s="39"/>
      <c r="H85" s="406">
        <f>SUM(Tabla13242[[#This Row],[PRIMER TRIMESTRE]:[CUARTO TRIMESTRE]])</f>
        <v>10</v>
      </c>
      <c r="I85" s="17">
        <v>10800</v>
      </c>
      <c r="J85" s="17">
        <f t="shared" si="2"/>
        <v>108000</v>
      </c>
      <c r="K85" s="17"/>
      <c r="L85" s="16" t="s">
        <v>27</v>
      </c>
      <c r="M85" s="16" t="s">
        <v>22</v>
      </c>
      <c r="N85" s="39" t="s">
        <v>418</v>
      </c>
    </row>
    <row r="86" spans="1:16384" s="12" customFormat="1" ht="31.5">
      <c r="A86" s="15" t="s">
        <v>118</v>
      </c>
      <c r="B86" s="75" t="s">
        <v>248</v>
      </c>
      <c r="C86" s="39" t="s">
        <v>17</v>
      </c>
      <c r="D86" s="39"/>
      <c r="E86" s="39"/>
      <c r="F86" s="39">
        <v>10</v>
      </c>
      <c r="G86" s="39"/>
      <c r="H86" s="406">
        <f>SUM(Tabla13242[[#This Row],[PRIMER TRIMESTRE]:[CUARTO TRIMESTRE]])</f>
        <v>10</v>
      </c>
      <c r="I86" s="17">
        <v>2262</v>
      </c>
      <c r="J86" s="17">
        <f t="shared" si="2"/>
        <v>22620</v>
      </c>
      <c r="K86" s="17"/>
      <c r="L86" s="16" t="s">
        <v>27</v>
      </c>
      <c r="M86" s="16" t="s">
        <v>22</v>
      </c>
      <c r="N86" s="39" t="s">
        <v>418</v>
      </c>
    </row>
    <row r="87" spans="1:16384" s="12" customFormat="1" ht="31.5">
      <c r="A87" s="15" t="s">
        <v>118</v>
      </c>
      <c r="B87" s="75" t="s">
        <v>249</v>
      </c>
      <c r="C87" s="39" t="s">
        <v>17</v>
      </c>
      <c r="D87" s="39"/>
      <c r="E87" s="39"/>
      <c r="F87" s="39">
        <v>15</v>
      </c>
      <c r="G87" s="39"/>
      <c r="H87" s="406">
        <f>SUM(Tabla13242[[#This Row],[PRIMER TRIMESTRE]:[CUARTO TRIMESTRE]])</f>
        <v>15</v>
      </c>
      <c r="I87" s="17">
        <v>3250</v>
      </c>
      <c r="J87" s="17">
        <f t="shared" si="2"/>
        <v>48750</v>
      </c>
      <c r="K87" s="17"/>
      <c r="L87" s="16" t="s">
        <v>27</v>
      </c>
      <c r="M87" s="16" t="s">
        <v>22</v>
      </c>
      <c r="N87" s="39" t="s">
        <v>418</v>
      </c>
    </row>
    <row r="88" spans="1:16384" s="12" customFormat="1" ht="31.5">
      <c r="A88" s="15" t="s">
        <v>118</v>
      </c>
      <c r="B88" s="75" t="s">
        <v>250</v>
      </c>
      <c r="C88" s="39" t="s">
        <v>17</v>
      </c>
      <c r="D88" s="39"/>
      <c r="E88" s="39"/>
      <c r="F88" s="39">
        <v>6</v>
      </c>
      <c r="G88" s="39"/>
      <c r="H88" s="406">
        <f>SUM(Tabla13242[[#This Row],[PRIMER TRIMESTRE]:[CUARTO TRIMESTRE]])</f>
        <v>6</v>
      </c>
      <c r="I88" s="17">
        <v>3959.88</v>
      </c>
      <c r="J88" s="17">
        <f t="shared" si="2"/>
        <v>23759.279999999999</v>
      </c>
      <c r="K88" s="17"/>
      <c r="L88" s="16" t="s">
        <v>27</v>
      </c>
      <c r="M88" s="16" t="s">
        <v>22</v>
      </c>
      <c r="N88" s="39" t="s">
        <v>418</v>
      </c>
    </row>
    <row r="89" spans="1:16384" s="26" customFormat="1" ht="27.75" customHeight="1">
      <c r="A89" s="22" t="s">
        <v>118</v>
      </c>
      <c r="B89" s="76"/>
      <c r="C89" s="42"/>
      <c r="D89" s="42"/>
      <c r="E89" s="42"/>
      <c r="F89" s="42"/>
      <c r="G89" s="42"/>
      <c r="H89" s="43"/>
      <c r="I89" s="24"/>
      <c r="J89" s="24"/>
      <c r="K89" s="25">
        <f>SUM(J82:J88)</f>
        <v>304098.64</v>
      </c>
      <c r="L89" s="23"/>
      <c r="M89" s="23"/>
      <c r="N89" s="42"/>
      <c r="Q89" s="27"/>
      <c r="T89" s="23"/>
    </row>
    <row r="90" spans="1:16384" s="12" customFormat="1">
      <c r="A90" s="15" t="s">
        <v>120</v>
      </c>
      <c r="B90" s="75" t="s">
        <v>392</v>
      </c>
      <c r="C90" s="39" t="s">
        <v>208</v>
      </c>
      <c r="D90" s="39">
        <v>25</v>
      </c>
      <c r="E90" s="39"/>
      <c r="F90" s="39">
        <v>25</v>
      </c>
      <c r="G90" s="39"/>
      <c r="H90" s="406">
        <f>SUM(Tabla13242[[#This Row],[PRIMER TRIMESTRE]:[CUARTO TRIMESTRE]])</f>
        <v>50</v>
      </c>
      <c r="I90" s="17">
        <v>48.12</v>
      </c>
      <c r="J90" s="17">
        <f>+H90*I90</f>
        <v>2406</v>
      </c>
      <c r="K90" s="17"/>
      <c r="L90" s="16" t="s">
        <v>27</v>
      </c>
      <c r="M90" s="16" t="s">
        <v>22</v>
      </c>
      <c r="N90" s="39" t="s">
        <v>418</v>
      </c>
    </row>
    <row r="91" spans="1:16384" s="12" customFormat="1">
      <c r="A91" s="15" t="s">
        <v>120</v>
      </c>
      <c r="B91" s="75" t="s">
        <v>393</v>
      </c>
      <c r="C91" s="39" t="s">
        <v>208</v>
      </c>
      <c r="D91" s="39"/>
      <c r="E91" s="39">
        <v>25</v>
      </c>
      <c r="F91" s="39"/>
      <c r="G91" s="39">
        <v>25</v>
      </c>
      <c r="H91" s="406">
        <f>SUM(Tabla13242[[#This Row],[PRIMER TRIMESTRE]:[CUARTO TRIMESTRE]])</f>
        <v>50</v>
      </c>
      <c r="I91" s="17">
        <v>41.28</v>
      </c>
      <c r="J91" s="17">
        <f>+H91*I91</f>
        <v>2064</v>
      </c>
      <c r="K91" s="17"/>
      <c r="L91" s="16" t="s">
        <v>27</v>
      </c>
      <c r="M91" s="16" t="s">
        <v>22</v>
      </c>
      <c r="N91" s="39" t="s">
        <v>418</v>
      </c>
    </row>
    <row r="92" spans="1:16384" s="12" customFormat="1">
      <c r="A92" s="15" t="s">
        <v>120</v>
      </c>
      <c r="B92" s="75" t="s">
        <v>398</v>
      </c>
      <c r="C92" s="39" t="s">
        <v>208</v>
      </c>
      <c r="D92" s="39"/>
      <c r="E92" s="39">
        <v>10</v>
      </c>
      <c r="F92" s="39"/>
      <c r="G92" s="39">
        <v>10</v>
      </c>
      <c r="H92" s="406">
        <f>SUM(Tabla13242[[#This Row],[PRIMER TRIMESTRE]:[CUARTO TRIMESTRE]])</f>
        <v>20</v>
      </c>
      <c r="I92" s="17">
        <v>22.42</v>
      </c>
      <c r="J92" s="17">
        <f t="shared" ref="J92:J145" si="3">+H92*I92</f>
        <v>448.40000000000003</v>
      </c>
      <c r="K92" s="17"/>
      <c r="L92" s="16" t="s">
        <v>27</v>
      </c>
      <c r="M92" s="16" t="s">
        <v>22</v>
      </c>
      <c r="N92" s="39" t="s">
        <v>418</v>
      </c>
    </row>
    <row r="93" spans="1:16384" s="12" customFormat="1">
      <c r="A93" s="15" t="s">
        <v>120</v>
      </c>
      <c r="B93" s="75" t="s">
        <v>748</v>
      </c>
      <c r="C93" s="39" t="s">
        <v>17</v>
      </c>
      <c r="D93" s="39">
        <v>25</v>
      </c>
      <c r="E93" s="39">
        <v>25</v>
      </c>
      <c r="F93" s="39">
        <v>25</v>
      </c>
      <c r="G93" s="39">
        <v>25</v>
      </c>
      <c r="H93" s="406">
        <f>SUM(Tabla13242[[#This Row],[PRIMER TRIMESTRE]:[CUARTO TRIMESTRE]])</f>
        <v>100</v>
      </c>
      <c r="I93" s="17">
        <v>220</v>
      </c>
      <c r="J93" s="17">
        <f t="shared" si="3"/>
        <v>22000</v>
      </c>
      <c r="K93" s="17"/>
      <c r="L93" s="16" t="s">
        <v>27</v>
      </c>
      <c r="M93" s="16" t="s">
        <v>22</v>
      </c>
      <c r="N93" s="39" t="s">
        <v>418</v>
      </c>
    </row>
    <row r="94" spans="1:16384" s="12" customFormat="1">
      <c r="A94" s="15" t="s">
        <v>120</v>
      </c>
      <c r="B94" s="75" t="s">
        <v>749</v>
      </c>
      <c r="C94" s="39" t="s">
        <v>17</v>
      </c>
      <c r="D94" s="39">
        <v>10</v>
      </c>
      <c r="E94" s="39">
        <v>10</v>
      </c>
      <c r="F94" s="39">
        <v>10</v>
      </c>
      <c r="G94" s="39">
        <v>10</v>
      </c>
      <c r="H94" s="406">
        <f>SUM(Tabla13242[[#This Row],[PRIMER TRIMESTRE]:[CUARTO TRIMESTRE]])</f>
        <v>40</v>
      </c>
      <c r="I94" s="17">
        <v>186.44</v>
      </c>
      <c r="J94" s="17">
        <f t="shared" si="3"/>
        <v>7457.6</v>
      </c>
      <c r="K94" s="17"/>
      <c r="L94" s="16" t="s">
        <v>27</v>
      </c>
      <c r="M94" s="16" t="s">
        <v>22</v>
      </c>
      <c r="N94" s="39" t="s">
        <v>418</v>
      </c>
    </row>
    <row r="95" spans="1:16384" s="12" customFormat="1">
      <c r="A95" s="15" t="s">
        <v>120</v>
      </c>
      <c r="B95" s="75" t="s">
        <v>750</v>
      </c>
      <c r="C95" s="39" t="s">
        <v>17</v>
      </c>
      <c r="D95" s="39">
        <v>15</v>
      </c>
      <c r="E95" s="39">
        <v>15</v>
      </c>
      <c r="F95" s="39">
        <v>15</v>
      </c>
      <c r="G95" s="39">
        <v>15</v>
      </c>
      <c r="H95" s="406">
        <f>SUM(Tabla13242[[#This Row],[PRIMER TRIMESTRE]:[CUARTO TRIMESTRE]])</f>
        <v>60</v>
      </c>
      <c r="I95" s="17">
        <v>129.80000000000001</v>
      </c>
      <c r="J95" s="17">
        <f t="shared" si="3"/>
        <v>7788.0000000000009</v>
      </c>
      <c r="K95" s="17"/>
      <c r="L95" s="16" t="s">
        <v>27</v>
      </c>
      <c r="M95" s="16" t="s">
        <v>22</v>
      </c>
      <c r="N95" s="39" t="s">
        <v>418</v>
      </c>
    </row>
    <row r="96" spans="1:16384" s="12" customFormat="1">
      <c r="A96" s="15" t="s">
        <v>120</v>
      </c>
      <c r="B96" s="75" t="s">
        <v>403</v>
      </c>
      <c r="C96" s="39" t="s">
        <v>416</v>
      </c>
      <c r="D96" s="39"/>
      <c r="E96" s="39">
        <v>20</v>
      </c>
      <c r="F96" s="39"/>
      <c r="G96" s="39">
        <v>20</v>
      </c>
      <c r="H96" s="406">
        <f>SUM(Tabla13242[[#This Row],[PRIMER TRIMESTRE]:[CUARTO TRIMESTRE]])</f>
        <v>40</v>
      </c>
      <c r="I96" s="17">
        <v>75</v>
      </c>
      <c r="J96" s="17">
        <f t="shared" si="3"/>
        <v>3000</v>
      </c>
      <c r="K96" s="17"/>
      <c r="L96" s="16" t="s">
        <v>27</v>
      </c>
      <c r="M96" s="16" t="s">
        <v>22</v>
      </c>
      <c r="N96" s="39" t="s">
        <v>418</v>
      </c>
    </row>
    <row r="97" spans="1:15" s="12" customFormat="1">
      <c r="A97" s="15" t="s">
        <v>120</v>
      </c>
      <c r="B97" s="75" t="s">
        <v>744</v>
      </c>
      <c r="C97" s="39" t="s">
        <v>17</v>
      </c>
      <c r="D97" s="39">
        <v>10</v>
      </c>
      <c r="E97" s="39"/>
      <c r="F97" s="39">
        <v>10</v>
      </c>
      <c r="G97" s="39"/>
      <c r="H97" s="406">
        <f>SUM(Tabla13242[[#This Row],[PRIMER TRIMESTRE]:[CUARTO TRIMESTRE]])</f>
        <v>20</v>
      </c>
      <c r="I97" s="17">
        <v>43.66</v>
      </c>
      <c r="J97" s="17">
        <f t="shared" si="3"/>
        <v>873.19999999999993</v>
      </c>
      <c r="K97" s="17"/>
      <c r="L97" s="16" t="s">
        <v>27</v>
      </c>
      <c r="M97" s="16" t="s">
        <v>22</v>
      </c>
      <c r="N97" s="39" t="s">
        <v>418</v>
      </c>
    </row>
    <row r="98" spans="1:15" s="12" customFormat="1">
      <c r="A98" s="15" t="s">
        <v>120</v>
      </c>
      <c r="B98" s="75" t="s">
        <v>414</v>
      </c>
      <c r="C98" s="39" t="s">
        <v>417</v>
      </c>
      <c r="D98" s="39">
        <v>50</v>
      </c>
      <c r="E98" s="39"/>
      <c r="F98" s="39">
        <v>50</v>
      </c>
      <c r="G98" s="39"/>
      <c r="H98" s="406">
        <f>SUM(Tabla13242[[#This Row],[PRIMER TRIMESTRE]:[CUARTO TRIMESTRE]])</f>
        <v>100</v>
      </c>
      <c r="I98" s="17">
        <v>13.57</v>
      </c>
      <c r="J98" s="17">
        <f t="shared" si="3"/>
        <v>1357</v>
      </c>
      <c r="K98" s="17"/>
      <c r="L98" s="16" t="s">
        <v>27</v>
      </c>
      <c r="M98" s="16" t="s">
        <v>22</v>
      </c>
      <c r="N98" s="39" t="s">
        <v>418</v>
      </c>
    </row>
    <row r="99" spans="1:15" s="12" customFormat="1">
      <c r="A99" s="15" t="s">
        <v>120</v>
      </c>
      <c r="B99" s="75" t="s">
        <v>760</v>
      </c>
      <c r="C99" s="39" t="s">
        <v>208</v>
      </c>
      <c r="D99" s="39"/>
      <c r="E99" s="39">
        <v>50</v>
      </c>
      <c r="F99" s="39"/>
      <c r="G99" s="39">
        <v>50</v>
      </c>
      <c r="H99" s="406">
        <f>SUM(Tabla13242[[#This Row],[PRIMER TRIMESTRE]:[CUARTO TRIMESTRE]])</f>
        <v>100</v>
      </c>
      <c r="I99" s="17">
        <v>43.66</v>
      </c>
      <c r="J99" s="17">
        <f t="shared" si="3"/>
        <v>4366</v>
      </c>
      <c r="K99" s="17"/>
      <c r="L99" s="16" t="s">
        <v>27</v>
      </c>
      <c r="M99" s="16" t="s">
        <v>22</v>
      </c>
      <c r="N99" s="39" t="s">
        <v>418</v>
      </c>
    </row>
    <row r="100" spans="1:15" s="12" customFormat="1">
      <c r="A100" s="15" t="s">
        <v>120</v>
      </c>
      <c r="B100" s="75" t="s">
        <v>761</v>
      </c>
      <c r="C100" s="39" t="s">
        <v>208</v>
      </c>
      <c r="D100" s="39"/>
      <c r="E100" s="39">
        <v>50</v>
      </c>
      <c r="F100" s="39"/>
      <c r="G100" s="39">
        <v>50</v>
      </c>
      <c r="H100" s="406">
        <f>SUM(Tabla13242[[#This Row],[PRIMER TRIMESTRE]:[CUARTO TRIMESTRE]])</f>
        <v>100</v>
      </c>
      <c r="I100" s="17">
        <v>12.98</v>
      </c>
      <c r="J100" s="17">
        <f t="shared" si="3"/>
        <v>1298</v>
      </c>
      <c r="K100" s="17"/>
      <c r="L100" s="16" t="s">
        <v>27</v>
      </c>
      <c r="M100" s="16" t="s">
        <v>22</v>
      </c>
      <c r="N100" s="39" t="s">
        <v>418</v>
      </c>
    </row>
    <row r="101" spans="1:15" s="12" customFormat="1" ht="33" customHeight="1">
      <c r="A101" s="15" t="s">
        <v>120</v>
      </c>
      <c r="B101" s="75" t="s">
        <v>399</v>
      </c>
      <c r="C101" s="39" t="s">
        <v>208</v>
      </c>
      <c r="D101" s="39">
        <v>10</v>
      </c>
      <c r="E101" s="39"/>
      <c r="F101" s="39">
        <v>10</v>
      </c>
      <c r="G101" s="39"/>
      <c r="H101" s="406">
        <f>SUM(Tabla13242[[#This Row],[PRIMER TRIMESTRE]:[CUARTO TRIMESTRE]])</f>
        <v>20</v>
      </c>
      <c r="I101" s="17">
        <v>86.81</v>
      </c>
      <c r="J101" s="17">
        <f t="shared" si="3"/>
        <v>1736.2</v>
      </c>
      <c r="K101" s="17"/>
      <c r="L101" s="16" t="s">
        <v>27</v>
      </c>
      <c r="M101" s="16" t="s">
        <v>22</v>
      </c>
      <c r="N101" s="39" t="s">
        <v>418</v>
      </c>
    </row>
    <row r="102" spans="1:15" s="12" customFormat="1" ht="36" customHeight="1">
      <c r="A102" s="15" t="s">
        <v>120</v>
      </c>
      <c r="B102" s="75" t="s">
        <v>400</v>
      </c>
      <c r="C102" s="39" t="s">
        <v>208</v>
      </c>
      <c r="D102" s="39">
        <v>10</v>
      </c>
      <c r="E102" s="39"/>
      <c r="F102" s="39">
        <v>10</v>
      </c>
      <c r="G102" s="39"/>
      <c r="H102" s="406">
        <f>SUM(Tabla13242[[#This Row],[PRIMER TRIMESTRE]:[CUARTO TRIMESTRE]])</f>
        <v>20</v>
      </c>
      <c r="I102" s="17">
        <v>25.4</v>
      </c>
      <c r="J102" s="17">
        <f t="shared" si="3"/>
        <v>508</v>
      </c>
      <c r="K102" s="17"/>
      <c r="L102" s="16" t="s">
        <v>27</v>
      </c>
      <c r="M102" s="16" t="s">
        <v>22</v>
      </c>
      <c r="N102" s="39" t="s">
        <v>418</v>
      </c>
    </row>
    <row r="103" spans="1:15" s="12" customFormat="1" ht="25.5">
      <c r="A103" s="15" t="s">
        <v>120</v>
      </c>
      <c r="B103" s="75" t="s">
        <v>395</v>
      </c>
      <c r="C103" s="39" t="s">
        <v>208</v>
      </c>
      <c r="D103" s="39">
        <v>10</v>
      </c>
      <c r="E103" s="39"/>
      <c r="F103" s="39">
        <v>10</v>
      </c>
      <c r="G103" s="39"/>
      <c r="H103" s="406">
        <f>SUM(Tabla13242[[#This Row],[PRIMER TRIMESTRE]:[CUARTO TRIMESTRE]])</f>
        <v>20</v>
      </c>
      <c r="I103" s="17">
        <v>235.20000000000002</v>
      </c>
      <c r="J103" s="17">
        <f t="shared" si="3"/>
        <v>4704</v>
      </c>
      <c r="K103" s="17"/>
      <c r="L103" s="16" t="s">
        <v>27</v>
      </c>
      <c r="M103" s="16" t="s">
        <v>22</v>
      </c>
      <c r="N103" s="39" t="s">
        <v>418</v>
      </c>
    </row>
    <row r="104" spans="1:15" s="12" customFormat="1">
      <c r="A104" s="15" t="s">
        <v>120</v>
      </c>
      <c r="B104" s="75" t="s">
        <v>746</v>
      </c>
      <c r="C104" s="39" t="s">
        <v>208</v>
      </c>
      <c r="D104" s="39">
        <v>10</v>
      </c>
      <c r="E104" s="39"/>
      <c r="F104" s="39">
        <v>10</v>
      </c>
      <c r="G104" s="39"/>
      <c r="H104" s="406">
        <f>SUM(Tabla13242[[#This Row],[PRIMER TRIMESTRE]:[CUARTO TRIMESTRE]])</f>
        <v>20</v>
      </c>
      <c r="I104" s="17">
        <v>279.84000000000003</v>
      </c>
      <c r="J104" s="17">
        <f t="shared" si="3"/>
        <v>5596.8000000000011</v>
      </c>
      <c r="K104" s="17"/>
      <c r="L104" s="16" t="s">
        <v>27</v>
      </c>
      <c r="M104" s="16" t="s">
        <v>22</v>
      </c>
      <c r="N104" s="39" t="s">
        <v>418</v>
      </c>
    </row>
    <row r="105" spans="1:15" s="12" customFormat="1">
      <c r="A105" s="15" t="s">
        <v>120</v>
      </c>
      <c r="B105" s="75" t="s">
        <v>747</v>
      </c>
      <c r="C105" s="39" t="s">
        <v>208</v>
      </c>
      <c r="D105" s="39">
        <v>10</v>
      </c>
      <c r="E105" s="39"/>
      <c r="F105" s="39">
        <v>10</v>
      </c>
      <c r="G105" s="39"/>
      <c r="H105" s="406">
        <f>SUM(Tabla13242[[#This Row],[PRIMER TRIMESTRE]:[CUARTO TRIMESTRE]])</f>
        <v>20</v>
      </c>
      <c r="I105" s="17">
        <v>279.84000000000003</v>
      </c>
      <c r="J105" s="17">
        <f t="shared" si="3"/>
        <v>5596.8000000000011</v>
      </c>
      <c r="K105" s="17"/>
      <c r="L105" s="16" t="s">
        <v>27</v>
      </c>
      <c r="M105" s="16" t="s">
        <v>22</v>
      </c>
      <c r="N105" s="39" t="s">
        <v>418</v>
      </c>
      <c r="O105" s="12">
        <f>+I104*12</f>
        <v>3358.0800000000004</v>
      </c>
    </row>
    <row r="106" spans="1:15" s="12" customFormat="1" ht="36.75" customHeight="1">
      <c r="A106" s="15" t="s">
        <v>120</v>
      </c>
      <c r="B106" s="75" t="s">
        <v>396</v>
      </c>
      <c r="C106" s="39" t="s">
        <v>208</v>
      </c>
      <c r="D106" s="39"/>
      <c r="E106" s="39">
        <v>100</v>
      </c>
      <c r="F106" s="39"/>
      <c r="G106" s="39">
        <v>100</v>
      </c>
      <c r="H106" s="406">
        <f>SUM(Tabla13242[[#This Row],[PRIMER TRIMESTRE]:[CUARTO TRIMESTRE]])</f>
        <v>200</v>
      </c>
      <c r="I106" s="17">
        <v>194.7</v>
      </c>
      <c r="J106" s="17">
        <f t="shared" si="3"/>
        <v>38940</v>
      </c>
      <c r="K106" s="17"/>
      <c r="L106" s="16" t="s">
        <v>27</v>
      </c>
      <c r="M106" s="16" t="s">
        <v>22</v>
      </c>
      <c r="N106" s="39" t="s">
        <v>418</v>
      </c>
    </row>
    <row r="107" spans="1:15" s="12" customFormat="1" ht="39" customHeight="1">
      <c r="A107" s="15" t="s">
        <v>120</v>
      </c>
      <c r="B107" s="75" t="s">
        <v>397</v>
      </c>
      <c r="C107" s="39" t="s">
        <v>208</v>
      </c>
      <c r="D107" s="39">
        <v>10</v>
      </c>
      <c r="E107" s="39"/>
      <c r="F107" s="39">
        <v>10</v>
      </c>
      <c r="G107" s="39"/>
      <c r="H107" s="406">
        <f>SUM(Tabla13242[[#This Row],[PRIMER TRIMESTRE]:[CUARTO TRIMESTRE]])</f>
        <v>20</v>
      </c>
      <c r="I107" s="17">
        <v>309.14</v>
      </c>
      <c r="J107" s="17">
        <f t="shared" si="3"/>
        <v>6182.7999999999993</v>
      </c>
      <c r="K107" s="17"/>
      <c r="L107" s="16" t="s">
        <v>27</v>
      </c>
      <c r="M107" s="16" t="s">
        <v>22</v>
      </c>
      <c r="N107" s="39" t="s">
        <v>418</v>
      </c>
    </row>
    <row r="108" spans="1:15" s="12" customFormat="1">
      <c r="A108" s="15" t="s">
        <v>120</v>
      </c>
      <c r="B108" s="75" t="s">
        <v>404</v>
      </c>
      <c r="C108" s="39" t="s">
        <v>255</v>
      </c>
      <c r="D108" s="39">
        <v>75</v>
      </c>
      <c r="E108" s="39"/>
      <c r="F108" s="39">
        <v>75</v>
      </c>
      <c r="G108" s="39"/>
      <c r="H108" s="406">
        <f>SUM(Tabla13242[[#This Row],[PRIMER TRIMESTRE]:[CUARTO TRIMESTRE]])</f>
        <v>150</v>
      </c>
      <c r="I108" s="17">
        <v>29.5</v>
      </c>
      <c r="J108" s="17">
        <f t="shared" si="3"/>
        <v>4425</v>
      </c>
      <c r="K108" s="17"/>
      <c r="L108" s="16" t="s">
        <v>27</v>
      </c>
      <c r="M108" s="16" t="s">
        <v>22</v>
      </c>
      <c r="N108" s="39" t="s">
        <v>418</v>
      </c>
    </row>
    <row r="109" spans="1:15" s="12" customFormat="1">
      <c r="A109" s="15" t="s">
        <v>120</v>
      </c>
      <c r="B109" s="75" t="s">
        <v>254</v>
      </c>
      <c r="C109" s="39" t="s">
        <v>417</v>
      </c>
      <c r="D109" s="39">
        <v>25</v>
      </c>
      <c r="E109" s="39"/>
      <c r="F109" s="39">
        <v>25</v>
      </c>
      <c r="G109" s="39"/>
      <c r="H109" s="406">
        <f>SUM(Tabla13242[[#This Row],[PRIMER TRIMESTRE]:[CUARTO TRIMESTRE]])</f>
        <v>50</v>
      </c>
      <c r="I109" s="17">
        <v>12</v>
      </c>
      <c r="J109" s="17">
        <f t="shared" si="3"/>
        <v>600</v>
      </c>
      <c r="K109" s="17"/>
      <c r="L109" s="16" t="s">
        <v>27</v>
      </c>
      <c r="M109" s="16" t="s">
        <v>22</v>
      </c>
      <c r="N109" s="39" t="s">
        <v>418</v>
      </c>
    </row>
    <row r="110" spans="1:15" s="12" customFormat="1" ht="40.5" customHeight="1">
      <c r="A110" s="15" t="s">
        <v>120</v>
      </c>
      <c r="B110" s="75" t="s">
        <v>394</v>
      </c>
      <c r="C110" s="39" t="s">
        <v>208</v>
      </c>
      <c r="D110" s="39"/>
      <c r="E110" s="39">
        <v>25</v>
      </c>
      <c r="F110" s="39"/>
      <c r="G110" s="39">
        <v>25</v>
      </c>
      <c r="H110" s="406">
        <f>SUM(Tabla13242[[#This Row],[PRIMER TRIMESTRE]:[CUARTO TRIMESTRE]])</f>
        <v>50</v>
      </c>
      <c r="I110" s="17">
        <v>69.599999999999994</v>
      </c>
      <c r="J110" s="17">
        <f t="shared" si="3"/>
        <v>3479.9999999999995</v>
      </c>
      <c r="K110" s="17"/>
      <c r="L110" s="16" t="s">
        <v>27</v>
      </c>
      <c r="M110" s="16" t="s">
        <v>22</v>
      </c>
      <c r="N110" s="39" t="s">
        <v>418</v>
      </c>
    </row>
    <row r="111" spans="1:15" s="12" customFormat="1">
      <c r="A111" s="15" t="s">
        <v>120</v>
      </c>
      <c r="B111" s="75" t="s">
        <v>408</v>
      </c>
      <c r="C111" s="39" t="s">
        <v>417</v>
      </c>
      <c r="D111" s="39">
        <v>75</v>
      </c>
      <c r="E111" s="39"/>
      <c r="F111" s="39">
        <v>75</v>
      </c>
      <c r="G111" s="39"/>
      <c r="H111" s="406">
        <f>SUM(Tabla13242[[#This Row],[PRIMER TRIMESTRE]:[CUARTO TRIMESTRE]])</f>
        <v>150</v>
      </c>
      <c r="I111" s="17">
        <v>43.7</v>
      </c>
      <c r="J111" s="17">
        <f t="shared" si="3"/>
        <v>6555</v>
      </c>
      <c r="K111" s="17"/>
      <c r="L111" s="16" t="s">
        <v>27</v>
      </c>
      <c r="M111" s="16" t="s">
        <v>22</v>
      </c>
      <c r="N111" s="39" t="s">
        <v>418</v>
      </c>
    </row>
    <row r="112" spans="1:15" s="12" customFormat="1">
      <c r="A112" s="15" t="s">
        <v>120</v>
      </c>
      <c r="B112" s="75" t="s">
        <v>409</v>
      </c>
      <c r="C112" s="39" t="s">
        <v>417</v>
      </c>
      <c r="D112" s="39"/>
      <c r="E112" s="39">
        <v>40</v>
      </c>
      <c r="F112" s="39"/>
      <c r="G112" s="39">
        <v>40</v>
      </c>
      <c r="H112" s="406">
        <f>SUM(Tabla13242[[#This Row],[PRIMER TRIMESTRE]:[CUARTO TRIMESTRE]])</f>
        <v>80</v>
      </c>
      <c r="I112" s="17">
        <v>15.21</v>
      </c>
      <c r="J112" s="17">
        <f t="shared" si="3"/>
        <v>1216.8000000000002</v>
      </c>
      <c r="K112" s="17"/>
      <c r="L112" s="16" t="s">
        <v>27</v>
      </c>
      <c r="M112" s="16" t="s">
        <v>22</v>
      </c>
      <c r="N112" s="39" t="s">
        <v>418</v>
      </c>
    </row>
    <row r="113" spans="1:15" s="12" customFormat="1">
      <c r="A113" s="15" t="s">
        <v>120</v>
      </c>
      <c r="B113" s="75" t="s">
        <v>265</v>
      </c>
      <c r="C113" s="39" t="s">
        <v>17</v>
      </c>
      <c r="D113" s="39"/>
      <c r="E113" s="39">
        <v>25</v>
      </c>
      <c r="F113" s="39"/>
      <c r="G113" s="39">
        <v>25</v>
      </c>
      <c r="H113" s="406">
        <f>SUM(Tabla13242[[#This Row],[PRIMER TRIMESTRE]:[CUARTO TRIMESTRE]])</f>
        <v>50</v>
      </c>
      <c r="I113" s="17">
        <v>185.6</v>
      </c>
      <c r="J113" s="17">
        <f t="shared" si="3"/>
        <v>9280</v>
      </c>
      <c r="K113" s="17"/>
      <c r="L113" s="16" t="s">
        <v>27</v>
      </c>
      <c r="M113" s="16" t="s">
        <v>22</v>
      </c>
      <c r="N113" s="39" t="s">
        <v>418</v>
      </c>
    </row>
    <row r="114" spans="1:15" s="12" customFormat="1">
      <c r="A114" s="15" t="s">
        <v>752</v>
      </c>
      <c r="B114" s="75" t="s">
        <v>754</v>
      </c>
      <c r="C114" s="39" t="s">
        <v>17</v>
      </c>
      <c r="D114" s="39"/>
      <c r="E114" s="39">
        <v>10</v>
      </c>
      <c r="F114" s="39"/>
      <c r="G114" s="39">
        <v>10</v>
      </c>
      <c r="H114" s="406">
        <f>SUM(Tabla13242[[#This Row],[PRIMER TRIMESTRE]:[CUARTO TRIMESTRE]])</f>
        <v>20</v>
      </c>
      <c r="I114" s="17">
        <v>15.54</v>
      </c>
      <c r="J114" s="17">
        <f t="shared" si="3"/>
        <v>310.79999999999995</v>
      </c>
      <c r="K114" s="17"/>
      <c r="L114" s="16" t="s">
        <v>27</v>
      </c>
      <c r="M114" s="16" t="s">
        <v>22</v>
      </c>
      <c r="N114" s="39" t="s">
        <v>418</v>
      </c>
    </row>
    <row r="115" spans="1:15" s="12" customFormat="1">
      <c r="A115" s="15" t="s">
        <v>120</v>
      </c>
      <c r="B115" s="75" t="s">
        <v>390</v>
      </c>
      <c r="C115" s="39" t="s">
        <v>266</v>
      </c>
      <c r="D115" s="39">
        <v>400</v>
      </c>
      <c r="E115" s="39"/>
      <c r="F115" s="39">
        <v>400</v>
      </c>
      <c r="G115" s="39"/>
      <c r="H115" s="406">
        <f>SUM(Tabla13242[[#This Row],[PRIMER TRIMESTRE]:[CUARTO TRIMESTRE]])</f>
        <v>800</v>
      </c>
      <c r="I115" s="17">
        <v>170</v>
      </c>
      <c r="J115" s="17">
        <f t="shared" si="3"/>
        <v>136000</v>
      </c>
      <c r="K115" s="17"/>
      <c r="L115" s="16" t="s">
        <v>27</v>
      </c>
      <c r="M115" s="16" t="s">
        <v>22</v>
      </c>
      <c r="N115" s="39" t="s">
        <v>418</v>
      </c>
      <c r="O115" s="12">
        <f>800/5</f>
        <v>160</v>
      </c>
    </row>
    <row r="116" spans="1:15" s="12" customFormat="1">
      <c r="A116" s="15" t="s">
        <v>120</v>
      </c>
      <c r="B116" s="75" t="s">
        <v>391</v>
      </c>
      <c r="C116" s="39" t="s">
        <v>415</v>
      </c>
      <c r="D116" s="39">
        <v>50</v>
      </c>
      <c r="E116" s="39"/>
      <c r="F116" s="39">
        <v>50</v>
      </c>
      <c r="G116" s="39"/>
      <c r="H116" s="406">
        <f>SUM(Tabla13242[[#This Row],[PRIMER TRIMESTRE]:[CUARTO TRIMESTRE]])</f>
        <v>100</v>
      </c>
      <c r="I116" s="17">
        <v>214.76</v>
      </c>
      <c r="J116" s="17">
        <f t="shared" si="3"/>
        <v>21476</v>
      </c>
      <c r="K116" s="17"/>
      <c r="L116" s="16" t="s">
        <v>27</v>
      </c>
      <c r="M116" s="16" t="s">
        <v>22</v>
      </c>
      <c r="N116" s="39" t="s">
        <v>418</v>
      </c>
    </row>
    <row r="117" spans="1:15" s="12" customFormat="1">
      <c r="A117" s="15" t="s">
        <v>120</v>
      </c>
      <c r="B117" s="75" t="s">
        <v>267</v>
      </c>
      <c r="C117" s="39" t="s">
        <v>102</v>
      </c>
      <c r="D117" s="39">
        <v>10</v>
      </c>
      <c r="E117" s="39"/>
      <c r="F117" s="39">
        <v>10</v>
      </c>
      <c r="G117" s="39"/>
      <c r="H117" s="406">
        <f>SUM(Tabla13242[[#This Row],[PRIMER TRIMESTRE]:[CUARTO TRIMESTRE]])</f>
        <v>20</v>
      </c>
      <c r="I117" s="17">
        <v>1063.19</v>
      </c>
      <c r="J117" s="17">
        <f t="shared" si="3"/>
        <v>21263.800000000003</v>
      </c>
      <c r="K117" s="17"/>
      <c r="L117" s="16" t="s">
        <v>27</v>
      </c>
      <c r="M117" s="16" t="s">
        <v>22</v>
      </c>
      <c r="N117" s="39" t="s">
        <v>418</v>
      </c>
    </row>
    <row r="118" spans="1:15" s="12" customFormat="1">
      <c r="A118" s="15" t="s">
        <v>120</v>
      </c>
      <c r="B118" s="75" t="s">
        <v>1920</v>
      </c>
      <c r="C118" s="39" t="s">
        <v>102</v>
      </c>
      <c r="D118" s="39">
        <v>10</v>
      </c>
      <c r="E118" s="39">
        <v>10</v>
      </c>
      <c r="F118" s="39">
        <v>10</v>
      </c>
      <c r="G118" s="39"/>
      <c r="H118" s="406">
        <f>SUM(Tabla13242[[#This Row],[PRIMER TRIMESTRE]:[CUARTO TRIMESTRE]])</f>
        <v>30</v>
      </c>
      <c r="I118" s="17">
        <v>1700</v>
      </c>
      <c r="J118" s="17">
        <f t="shared" si="3"/>
        <v>51000</v>
      </c>
      <c r="K118" s="17"/>
      <c r="L118" s="16" t="s">
        <v>27</v>
      </c>
      <c r="M118" s="16" t="s">
        <v>22</v>
      </c>
      <c r="N118" s="39" t="s">
        <v>418</v>
      </c>
    </row>
    <row r="119" spans="1:15" s="12" customFormat="1">
      <c r="A119" s="15" t="s">
        <v>120</v>
      </c>
      <c r="B119" s="75" t="s">
        <v>269</v>
      </c>
      <c r="C119" s="39" t="s">
        <v>266</v>
      </c>
      <c r="D119" s="39">
        <v>10</v>
      </c>
      <c r="E119" s="39"/>
      <c r="F119" s="39">
        <v>10</v>
      </c>
      <c r="G119" s="39"/>
      <c r="H119" s="406">
        <f>SUM(Tabla13242[[#This Row],[PRIMER TRIMESTRE]:[CUARTO TRIMESTRE]])</f>
        <v>20</v>
      </c>
      <c r="I119" s="17">
        <v>2552</v>
      </c>
      <c r="J119" s="17">
        <f t="shared" si="3"/>
        <v>51040</v>
      </c>
      <c r="K119" s="17"/>
      <c r="L119" s="16" t="s">
        <v>27</v>
      </c>
      <c r="M119" s="16" t="s">
        <v>22</v>
      </c>
      <c r="N119" s="39" t="s">
        <v>418</v>
      </c>
    </row>
    <row r="120" spans="1:15" s="12" customFormat="1">
      <c r="A120" s="15" t="s">
        <v>120</v>
      </c>
      <c r="B120" s="75" t="s">
        <v>410</v>
      </c>
      <c r="C120" s="39" t="s">
        <v>417</v>
      </c>
      <c r="D120" s="39">
        <v>40</v>
      </c>
      <c r="E120" s="39"/>
      <c r="F120" s="39">
        <v>40</v>
      </c>
      <c r="G120" s="39"/>
      <c r="H120" s="406">
        <f>SUM(Tabla13242[[#This Row],[PRIMER TRIMESTRE]:[CUARTO TRIMESTRE]])</f>
        <v>80</v>
      </c>
      <c r="I120" s="17">
        <v>10</v>
      </c>
      <c r="J120" s="17">
        <f t="shared" si="3"/>
        <v>800</v>
      </c>
      <c r="K120" s="17"/>
      <c r="L120" s="16" t="s">
        <v>27</v>
      </c>
      <c r="M120" s="16" t="s">
        <v>22</v>
      </c>
      <c r="N120" s="39" t="s">
        <v>418</v>
      </c>
    </row>
    <row r="121" spans="1:15" s="12" customFormat="1">
      <c r="A121" s="15" t="s">
        <v>120</v>
      </c>
      <c r="B121" s="75" t="s">
        <v>411</v>
      </c>
      <c r="C121" s="39" t="s">
        <v>417</v>
      </c>
      <c r="D121" s="39">
        <v>40</v>
      </c>
      <c r="E121" s="39"/>
      <c r="F121" s="39">
        <v>40</v>
      </c>
      <c r="G121" s="39"/>
      <c r="H121" s="406">
        <f>SUM(Tabla13242[[#This Row],[PRIMER TRIMESTRE]:[CUARTO TRIMESTRE]])</f>
        <v>80</v>
      </c>
      <c r="I121" s="17">
        <v>14.37</v>
      </c>
      <c r="J121" s="17">
        <f t="shared" si="3"/>
        <v>1149.5999999999999</v>
      </c>
      <c r="K121" s="17"/>
      <c r="L121" s="16" t="s">
        <v>27</v>
      </c>
      <c r="M121" s="16" t="s">
        <v>22</v>
      </c>
      <c r="N121" s="39" t="s">
        <v>418</v>
      </c>
    </row>
    <row r="122" spans="1:15" s="12" customFormat="1">
      <c r="A122" s="15" t="s">
        <v>120</v>
      </c>
      <c r="B122" s="75" t="s">
        <v>412</v>
      </c>
      <c r="C122" s="39" t="s">
        <v>417</v>
      </c>
      <c r="D122" s="39"/>
      <c r="E122" s="39">
        <v>40</v>
      </c>
      <c r="F122" s="39"/>
      <c r="G122" s="39">
        <v>40</v>
      </c>
      <c r="H122" s="406">
        <f>SUM(Tabla13242[[#This Row],[PRIMER TRIMESTRE]:[CUARTO TRIMESTRE]])</f>
        <v>80</v>
      </c>
      <c r="I122" s="17">
        <v>24.79</v>
      </c>
      <c r="J122" s="17">
        <f t="shared" si="3"/>
        <v>1983.1999999999998</v>
      </c>
      <c r="K122" s="17"/>
      <c r="L122" s="16" t="s">
        <v>27</v>
      </c>
      <c r="M122" s="16" t="s">
        <v>22</v>
      </c>
      <c r="N122" s="39" t="s">
        <v>418</v>
      </c>
    </row>
    <row r="123" spans="1:15" s="12" customFormat="1">
      <c r="A123" s="15" t="s">
        <v>120</v>
      </c>
      <c r="B123" s="75" t="s">
        <v>270</v>
      </c>
      <c r="C123" s="39" t="s">
        <v>17</v>
      </c>
      <c r="D123" s="39"/>
      <c r="E123" s="39">
        <v>30</v>
      </c>
      <c r="F123" s="39"/>
      <c r="G123" s="39">
        <v>30</v>
      </c>
      <c r="H123" s="406">
        <f>SUM(Tabla13242[[#This Row],[PRIMER TRIMESTRE]:[CUARTO TRIMESTRE]])</f>
        <v>60</v>
      </c>
      <c r="I123" s="17">
        <v>9.2799999999999994</v>
      </c>
      <c r="J123" s="17">
        <f t="shared" si="3"/>
        <v>556.79999999999995</v>
      </c>
      <c r="K123" s="17"/>
      <c r="L123" s="16" t="s">
        <v>27</v>
      </c>
      <c r="M123" s="16" t="s">
        <v>22</v>
      </c>
      <c r="N123" s="39" t="s">
        <v>418</v>
      </c>
    </row>
    <row r="124" spans="1:15" s="12" customFormat="1">
      <c r="A124" s="15" t="s">
        <v>120</v>
      </c>
      <c r="B124" s="75" t="s">
        <v>405</v>
      </c>
      <c r="C124" s="39" t="s">
        <v>17</v>
      </c>
      <c r="D124" s="39">
        <v>30</v>
      </c>
      <c r="E124" s="39"/>
      <c r="F124" s="39">
        <v>30</v>
      </c>
      <c r="G124" s="39"/>
      <c r="H124" s="406">
        <f>SUM(Tabla13242[[#This Row],[PRIMER TRIMESTRE]:[CUARTO TRIMESTRE]])</f>
        <v>60</v>
      </c>
      <c r="I124" s="17">
        <v>11.21</v>
      </c>
      <c r="J124" s="17">
        <f t="shared" si="3"/>
        <v>672.6</v>
      </c>
      <c r="K124" s="17"/>
      <c r="L124" s="16" t="s">
        <v>27</v>
      </c>
      <c r="M124" s="16" t="s">
        <v>22</v>
      </c>
      <c r="N124" s="39" t="s">
        <v>418</v>
      </c>
    </row>
    <row r="125" spans="1:15" s="12" customFormat="1">
      <c r="A125" s="15" t="s">
        <v>120</v>
      </c>
      <c r="B125" s="75" t="s">
        <v>406</v>
      </c>
      <c r="C125" s="39" t="s">
        <v>17</v>
      </c>
      <c r="D125" s="39"/>
      <c r="E125" s="39">
        <v>30</v>
      </c>
      <c r="F125" s="39"/>
      <c r="G125" s="39">
        <v>30</v>
      </c>
      <c r="H125" s="406">
        <f>SUM(Tabla13242[[#This Row],[PRIMER TRIMESTRE]:[CUARTO TRIMESTRE]])</f>
        <v>60</v>
      </c>
      <c r="I125" s="17">
        <v>10.56</v>
      </c>
      <c r="J125" s="17">
        <f t="shared" si="3"/>
        <v>633.6</v>
      </c>
      <c r="K125" s="17"/>
      <c r="L125" s="16" t="s">
        <v>27</v>
      </c>
      <c r="M125" s="16" t="s">
        <v>22</v>
      </c>
      <c r="N125" s="39" t="s">
        <v>418</v>
      </c>
    </row>
    <row r="126" spans="1:15" s="12" customFormat="1">
      <c r="A126" s="15" t="s">
        <v>120</v>
      </c>
      <c r="B126" s="75" t="s">
        <v>407</v>
      </c>
      <c r="C126" s="39" t="s">
        <v>17</v>
      </c>
      <c r="D126" s="39">
        <v>30</v>
      </c>
      <c r="E126" s="39"/>
      <c r="F126" s="39">
        <v>30</v>
      </c>
      <c r="G126" s="39"/>
      <c r="H126" s="406">
        <f>SUM(Tabla13242[[#This Row],[PRIMER TRIMESTRE]:[CUARTO TRIMESTRE]])</f>
        <v>60</v>
      </c>
      <c r="I126" s="17">
        <v>11.21</v>
      </c>
      <c r="J126" s="17">
        <f t="shared" si="3"/>
        <v>672.6</v>
      </c>
      <c r="K126" s="17"/>
      <c r="L126" s="16" t="s">
        <v>27</v>
      </c>
      <c r="M126" s="16" t="s">
        <v>22</v>
      </c>
      <c r="N126" s="39" t="s">
        <v>418</v>
      </c>
    </row>
    <row r="127" spans="1:15" s="12" customFormat="1">
      <c r="A127" s="15" t="s">
        <v>120</v>
      </c>
      <c r="B127" s="75" t="s">
        <v>742</v>
      </c>
      <c r="C127" s="39" t="s">
        <v>208</v>
      </c>
      <c r="D127" s="39">
        <v>10</v>
      </c>
      <c r="E127" s="39"/>
      <c r="F127" s="39">
        <v>10</v>
      </c>
      <c r="G127" s="39"/>
      <c r="H127" s="406">
        <f>SUM(Tabla13242[[#This Row],[PRIMER TRIMESTRE]:[CUARTO TRIMESTRE]])</f>
        <v>20</v>
      </c>
      <c r="I127" s="17">
        <v>350</v>
      </c>
      <c r="J127" s="17">
        <f t="shared" si="3"/>
        <v>7000</v>
      </c>
      <c r="K127" s="17"/>
      <c r="L127" s="16" t="s">
        <v>27</v>
      </c>
      <c r="M127" s="16" t="s">
        <v>22</v>
      </c>
      <c r="N127" s="39" t="s">
        <v>418</v>
      </c>
    </row>
    <row r="128" spans="1:15" s="12" customFormat="1">
      <c r="A128" s="15" t="s">
        <v>120</v>
      </c>
      <c r="B128" s="75" t="s">
        <v>271</v>
      </c>
      <c r="C128" s="39" t="s">
        <v>17</v>
      </c>
      <c r="D128" s="39"/>
      <c r="E128" s="39">
        <v>30</v>
      </c>
      <c r="F128" s="39"/>
      <c r="G128" s="39">
        <v>30</v>
      </c>
      <c r="H128" s="406">
        <f>SUM(Tabla13242[[#This Row],[PRIMER TRIMESTRE]:[CUARTO TRIMESTRE]])</f>
        <v>60</v>
      </c>
      <c r="I128" s="17">
        <v>18.399999999999999</v>
      </c>
      <c r="J128" s="17">
        <f t="shared" si="3"/>
        <v>1104</v>
      </c>
      <c r="K128" s="17"/>
      <c r="L128" s="16" t="s">
        <v>27</v>
      </c>
      <c r="M128" s="16" t="s">
        <v>22</v>
      </c>
      <c r="N128" s="39" t="s">
        <v>418</v>
      </c>
    </row>
    <row r="129" spans="1:15" s="12" customFormat="1">
      <c r="A129" s="15" t="s">
        <v>120</v>
      </c>
      <c r="B129" s="75" t="s">
        <v>757</v>
      </c>
      <c r="C129" s="39" t="s">
        <v>17</v>
      </c>
      <c r="D129" s="39"/>
      <c r="E129" s="39">
        <v>30</v>
      </c>
      <c r="F129" s="39"/>
      <c r="G129" s="39">
        <v>30</v>
      </c>
      <c r="H129" s="406">
        <f>SUM(Tabla13242[[#This Row],[PRIMER TRIMESTRE]:[CUARTO TRIMESTRE]])</f>
        <v>60</v>
      </c>
      <c r="I129" s="17">
        <v>12.92</v>
      </c>
      <c r="J129" s="17">
        <f t="shared" si="3"/>
        <v>775.2</v>
      </c>
      <c r="K129" s="17"/>
      <c r="L129" s="16" t="s">
        <v>27</v>
      </c>
      <c r="M129" s="16" t="s">
        <v>22</v>
      </c>
      <c r="N129" s="39" t="s">
        <v>418</v>
      </c>
    </row>
    <row r="130" spans="1:15" s="12" customFormat="1">
      <c r="A130" s="15" t="s">
        <v>120</v>
      </c>
      <c r="B130" s="75" t="s">
        <v>784</v>
      </c>
      <c r="C130" s="39" t="s">
        <v>17</v>
      </c>
      <c r="D130" s="39"/>
      <c r="E130" s="39">
        <v>50</v>
      </c>
      <c r="F130" s="39"/>
      <c r="G130" s="39">
        <v>50</v>
      </c>
      <c r="H130" s="406">
        <f>SUM(Tabla13242[[#This Row],[PRIMER TRIMESTRE]:[CUARTO TRIMESTRE]])</f>
        <v>100</v>
      </c>
      <c r="I130" s="72">
        <f>20*1.18</f>
        <v>23.599999999999998</v>
      </c>
      <c r="J130" s="17">
        <f t="shared" si="3"/>
        <v>2360</v>
      </c>
      <c r="K130" s="17"/>
      <c r="L130" s="16" t="s">
        <v>27</v>
      </c>
      <c r="M130" s="16" t="s">
        <v>22</v>
      </c>
      <c r="N130" s="39" t="s">
        <v>418</v>
      </c>
    </row>
    <row r="131" spans="1:15" s="12" customFormat="1">
      <c r="A131" s="15" t="s">
        <v>120</v>
      </c>
      <c r="B131" s="75" t="s">
        <v>785</v>
      </c>
      <c r="C131" s="39" t="s">
        <v>17</v>
      </c>
      <c r="D131" s="39"/>
      <c r="E131" s="39">
        <v>100</v>
      </c>
      <c r="F131" s="39"/>
      <c r="G131" s="39">
        <v>100</v>
      </c>
      <c r="H131" s="406">
        <f>SUM(Tabla13242[[#This Row],[PRIMER TRIMESTRE]:[CUARTO TRIMESTRE]])</f>
        <v>200</v>
      </c>
      <c r="I131" s="72">
        <f>4*1.18</f>
        <v>4.72</v>
      </c>
      <c r="J131" s="17">
        <f t="shared" si="3"/>
        <v>944</v>
      </c>
      <c r="K131" s="17"/>
      <c r="L131" s="16" t="s">
        <v>27</v>
      </c>
      <c r="M131" s="16" t="s">
        <v>22</v>
      </c>
      <c r="N131" s="39" t="s">
        <v>418</v>
      </c>
    </row>
    <row r="132" spans="1:15" s="12" customFormat="1" ht="25.5">
      <c r="A132" s="15" t="s">
        <v>120</v>
      </c>
      <c r="B132" s="75" t="s">
        <v>1921</v>
      </c>
      <c r="C132" s="39" t="s">
        <v>417</v>
      </c>
      <c r="D132" s="39">
        <v>9</v>
      </c>
      <c r="E132" s="39"/>
      <c r="F132" s="39">
        <v>9</v>
      </c>
      <c r="G132" s="39"/>
      <c r="H132" s="406">
        <f>SUM(Tabla13242[[#This Row],[PRIMER TRIMESTRE]:[CUARTO TRIMESTRE]])</f>
        <v>18</v>
      </c>
      <c r="I132" s="17">
        <v>2200</v>
      </c>
      <c r="J132" s="17">
        <f t="shared" si="3"/>
        <v>39600</v>
      </c>
      <c r="K132" s="17"/>
      <c r="L132" s="16" t="s">
        <v>27</v>
      </c>
      <c r="M132" s="16" t="s">
        <v>22</v>
      </c>
      <c r="N132" s="39" t="s">
        <v>418</v>
      </c>
    </row>
    <row r="133" spans="1:15" s="12" customFormat="1" ht="25.5">
      <c r="A133" s="15" t="s">
        <v>120</v>
      </c>
      <c r="B133" s="75" t="s">
        <v>1922</v>
      </c>
      <c r="C133" s="39" t="s">
        <v>417</v>
      </c>
      <c r="D133" s="39">
        <v>9</v>
      </c>
      <c r="E133" s="39"/>
      <c r="F133" s="39">
        <v>9</v>
      </c>
      <c r="G133" s="39"/>
      <c r="H133" s="406">
        <f>SUM(Tabla13242[[#This Row],[PRIMER TRIMESTRE]:[CUARTO TRIMESTRE]])</f>
        <v>18</v>
      </c>
      <c r="I133" s="17">
        <v>2200</v>
      </c>
      <c r="J133" s="17">
        <f t="shared" si="3"/>
        <v>39600</v>
      </c>
      <c r="K133" s="17"/>
      <c r="L133" s="16" t="s">
        <v>27</v>
      </c>
      <c r="M133" s="16" t="s">
        <v>22</v>
      </c>
      <c r="N133" s="39" t="s">
        <v>418</v>
      </c>
    </row>
    <row r="134" spans="1:15" s="12" customFormat="1" ht="25.5">
      <c r="A134" s="15" t="s">
        <v>120</v>
      </c>
      <c r="B134" s="75" t="s">
        <v>1923</v>
      </c>
      <c r="C134" s="39" t="s">
        <v>417</v>
      </c>
      <c r="D134" s="39">
        <v>9</v>
      </c>
      <c r="E134" s="39"/>
      <c r="F134" s="39">
        <v>9</v>
      </c>
      <c r="G134" s="39"/>
      <c r="H134" s="406">
        <f>SUM(Tabla13242[[#This Row],[PRIMER TRIMESTRE]:[CUARTO TRIMESTRE]])</f>
        <v>18</v>
      </c>
      <c r="I134" s="17">
        <v>2230</v>
      </c>
      <c r="J134" s="17">
        <f t="shared" si="3"/>
        <v>40140</v>
      </c>
      <c r="K134" s="17"/>
      <c r="L134" s="16" t="s">
        <v>27</v>
      </c>
      <c r="M134" s="16" t="s">
        <v>22</v>
      </c>
      <c r="N134" s="39" t="s">
        <v>418</v>
      </c>
    </row>
    <row r="135" spans="1:15" s="12" customFormat="1" ht="25.5">
      <c r="A135" s="15" t="s">
        <v>120</v>
      </c>
      <c r="B135" s="75" t="s">
        <v>1924</v>
      </c>
      <c r="C135" s="39" t="s">
        <v>417</v>
      </c>
      <c r="D135" s="39">
        <v>9</v>
      </c>
      <c r="E135" s="39"/>
      <c r="F135" s="39">
        <v>9</v>
      </c>
      <c r="G135" s="39"/>
      <c r="H135" s="406">
        <f>SUM(Tabla13242[[#This Row],[PRIMER TRIMESTRE]:[CUARTO TRIMESTRE]])</f>
        <v>18</v>
      </c>
      <c r="I135" s="17">
        <v>2200</v>
      </c>
      <c r="J135" s="17">
        <f t="shared" si="3"/>
        <v>39600</v>
      </c>
      <c r="K135" s="17"/>
      <c r="L135" s="16" t="s">
        <v>27</v>
      </c>
      <c r="M135" s="16" t="s">
        <v>22</v>
      </c>
      <c r="N135" s="39" t="s">
        <v>418</v>
      </c>
    </row>
    <row r="136" spans="1:15" s="12" customFormat="1" ht="25.5">
      <c r="A136" s="15" t="s">
        <v>120</v>
      </c>
      <c r="B136" s="75" t="s">
        <v>1925</v>
      </c>
      <c r="C136" s="39" t="s">
        <v>417</v>
      </c>
      <c r="D136" s="39">
        <v>9</v>
      </c>
      <c r="E136" s="39"/>
      <c r="F136" s="39">
        <v>9</v>
      </c>
      <c r="G136" s="39"/>
      <c r="H136" s="406">
        <f>SUM(Tabla13242[[#This Row],[PRIMER TRIMESTRE]:[CUARTO TRIMESTRE]])</f>
        <v>18</v>
      </c>
      <c r="I136" s="17">
        <v>2200</v>
      </c>
      <c r="J136" s="17">
        <f t="shared" si="3"/>
        <v>39600</v>
      </c>
      <c r="K136" s="17"/>
      <c r="L136" s="16" t="s">
        <v>27</v>
      </c>
      <c r="M136" s="16" t="s">
        <v>22</v>
      </c>
      <c r="N136" s="39" t="s">
        <v>418</v>
      </c>
    </row>
    <row r="137" spans="1:15" s="12" customFormat="1" ht="25.5">
      <c r="A137" s="15" t="s">
        <v>120</v>
      </c>
      <c r="B137" s="75" t="s">
        <v>1926</v>
      </c>
      <c r="C137" s="39" t="s">
        <v>417</v>
      </c>
      <c r="D137" s="39">
        <v>9</v>
      </c>
      <c r="E137" s="39"/>
      <c r="F137" s="39">
        <v>9</v>
      </c>
      <c r="G137" s="39"/>
      <c r="H137" s="406">
        <f>SUM(Tabla13242[[#This Row],[PRIMER TRIMESTRE]:[CUARTO TRIMESTRE]])</f>
        <v>18</v>
      </c>
      <c r="I137" s="17">
        <v>3200</v>
      </c>
      <c r="J137" s="17">
        <f t="shared" si="3"/>
        <v>57600</v>
      </c>
      <c r="K137" s="17"/>
      <c r="L137" s="16" t="s">
        <v>27</v>
      </c>
      <c r="M137" s="16" t="s">
        <v>22</v>
      </c>
      <c r="N137" s="39" t="s">
        <v>418</v>
      </c>
    </row>
    <row r="138" spans="1:15" s="12" customFormat="1">
      <c r="A138" s="15" t="s">
        <v>120</v>
      </c>
      <c r="B138" s="75" t="s">
        <v>507</v>
      </c>
      <c r="C138" s="39" t="s">
        <v>417</v>
      </c>
      <c r="D138" s="39"/>
      <c r="E138" s="39">
        <v>4</v>
      </c>
      <c r="F138" s="39"/>
      <c r="G138" s="39">
        <v>4</v>
      </c>
      <c r="H138" s="406">
        <f>SUM(Tabla13242[[#This Row],[PRIMER TRIMESTRE]:[CUARTO TRIMESTRE]])</f>
        <v>8</v>
      </c>
      <c r="I138" s="17">
        <v>2800</v>
      </c>
      <c r="J138" s="17">
        <f t="shared" si="3"/>
        <v>22400</v>
      </c>
      <c r="K138" s="17"/>
      <c r="L138" s="16" t="s">
        <v>27</v>
      </c>
      <c r="M138" s="16" t="s">
        <v>22</v>
      </c>
      <c r="N138" s="39" t="s">
        <v>418</v>
      </c>
    </row>
    <row r="139" spans="1:15" s="12" customFormat="1">
      <c r="A139" s="15" t="s">
        <v>120</v>
      </c>
      <c r="B139" s="75" t="s">
        <v>790</v>
      </c>
      <c r="C139" s="39" t="s">
        <v>417</v>
      </c>
      <c r="D139" s="39">
        <v>4</v>
      </c>
      <c r="E139" s="70"/>
      <c r="F139" s="70">
        <v>4</v>
      </c>
      <c r="G139" s="70"/>
      <c r="H139" s="406">
        <f>SUM(Tabla13242[[#This Row],[PRIMER TRIMESTRE]:[CUARTO TRIMESTRE]])</f>
        <v>8</v>
      </c>
      <c r="I139" s="72">
        <v>3760.11</v>
      </c>
      <c r="J139" s="17">
        <f t="shared" si="3"/>
        <v>30080.880000000001</v>
      </c>
      <c r="K139" s="17"/>
      <c r="L139" s="16" t="s">
        <v>27</v>
      </c>
      <c r="M139" s="16" t="s">
        <v>22</v>
      </c>
      <c r="N139" s="39" t="s">
        <v>418</v>
      </c>
    </row>
    <row r="140" spans="1:15" s="12" customFormat="1">
      <c r="A140" s="15" t="s">
        <v>120</v>
      </c>
      <c r="B140" s="75" t="s">
        <v>1927</v>
      </c>
      <c r="C140" s="39" t="s">
        <v>417</v>
      </c>
      <c r="D140" s="39">
        <v>7</v>
      </c>
      <c r="E140" s="39"/>
      <c r="F140" s="39">
        <v>7</v>
      </c>
      <c r="G140" s="39"/>
      <c r="H140" s="406">
        <f>SUM(Tabla13242[[#This Row],[PRIMER TRIMESTRE]:[CUARTO TRIMESTRE]])</f>
        <v>14</v>
      </c>
      <c r="I140" s="17">
        <v>2700</v>
      </c>
      <c r="J140" s="17">
        <f t="shared" si="3"/>
        <v>37800</v>
      </c>
      <c r="K140" s="17"/>
      <c r="L140" s="16" t="s">
        <v>27</v>
      </c>
      <c r="M140" s="16" t="s">
        <v>22</v>
      </c>
      <c r="N140" s="39" t="s">
        <v>418</v>
      </c>
    </row>
    <row r="141" spans="1:15" s="12" customFormat="1">
      <c r="A141" s="15" t="s">
        <v>120</v>
      </c>
      <c r="B141" s="75" t="s">
        <v>1928</v>
      </c>
      <c r="C141" s="39" t="s">
        <v>417</v>
      </c>
      <c r="D141" s="39">
        <v>30</v>
      </c>
      <c r="E141" s="39"/>
      <c r="F141" s="39">
        <v>30</v>
      </c>
      <c r="G141" s="39"/>
      <c r="H141" s="406">
        <f>SUM(Tabla13242[[#This Row],[PRIMER TRIMESTRE]:[CUARTO TRIMESTRE]])</f>
        <v>60</v>
      </c>
      <c r="I141" s="17">
        <v>8210.5</v>
      </c>
      <c r="J141" s="17">
        <f t="shared" si="3"/>
        <v>492630</v>
      </c>
      <c r="K141" s="17"/>
      <c r="L141" s="16" t="s">
        <v>27</v>
      </c>
      <c r="M141" s="16" t="s">
        <v>22</v>
      </c>
      <c r="N141" s="39" t="s">
        <v>418</v>
      </c>
      <c r="O141" s="12">
        <f>+Tabla13242[[#This Row],[CANTIDAD TOTAL]]/5</f>
        <v>12</v>
      </c>
    </row>
    <row r="142" spans="1:15" s="12" customFormat="1" ht="27.75" customHeight="1">
      <c r="A142" s="15" t="s">
        <v>120</v>
      </c>
      <c r="B142" s="75" t="s">
        <v>529</v>
      </c>
      <c r="C142" s="39" t="s">
        <v>417</v>
      </c>
      <c r="D142" s="39">
        <v>10</v>
      </c>
      <c r="E142" s="70"/>
      <c r="F142" s="70">
        <v>10</v>
      </c>
      <c r="G142" s="70"/>
      <c r="H142" s="406">
        <f>SUM(Tabla13242[[#This Row],[PRIMER TRIMESTRE]:[CUARTO TRIMESTRE]])</f>
        <v>20</v>
      </c>
      <c r="I142" s="17">
        <f>9750*1.18</f>
        <v>11505</v>
      </c>
      <c r="J142" s="17">
        <f t="shared" si="3"/>
        <v>230100</v>
      </c>
      <c r="K142" s="17"/>
      <c r="L142" s="16" t="s">
        <v>27</v>
      </c>
      <c r="M142" s="16" t="s">
        <v>22</v>
      </c>
      <c r="N142" s="39" t="s">
        <v>418</v>
      </c>
    </row>
    <row r="143" spans="1:15" s="12" customFormat="1" ht="27.75" customHeight="1">
      <c r="A143" s="15" t="s">
        <v>120</v>
      </c>
      <c r="B143" s="75" t="s">
        <v>530</v>
      </c>
      <c r="C143" s="39" t="s">
        <v>417</v>
      </c>
      <c r="D143" s="39">
        <v>10</v>
      </c>
      <c r="E143" s="70"/>
      <c r="F143" s="70">
        <v>10</v>
      </c>
      <c r="G143" s="70"/>
      <c r="H143" s="406">
        <f>SUM(Tabla13242[[#This Row],[PRIMER TRIMESTRE]:[CUARTO TRIMESTRE]])</f>
        <v>20</v>
      </c>
      <c r="I143" s="17">
        <v>11505</v>
      </c>
      <c r="J143" s="17">
        <f t="shared" si="3"/>
        <v>230100</v>
      </c>
      <c r="K143" s="17"/>
      <c r="L143" s="16" t="s">
        <v>27</v>
      </c>
      <c r="M143" s="16" t="s">
        <v>22</v>
      </c>
      <c r="N143" s="39" t="s">
        <v>418</v>
      </c>
    </row>
    <row r="144" spans="1:15" s="12" customFormat="1" ht="27.75" customHeight="1">
      <c r="A144" s="15" t="s">
        <v>120</v>
      </c>
      <c r="B144" s="75" t="s">
        <v>531</v>
      </c>
      <c r="C144" s="39" t="s">
        <v>417</v>
      </c>
      <c r="D144" s="39">
        <v>10</v>
      </c>
      <c r="E144" s="70"/>
      <c r="F144" s="70">
        <v>10</v>
      </c>
      <c r="G144" s="70"/>
      <c r="H144" s="406">
        <f>SUM(Tabla13242[[#This Row],[PRIMER TRIMESTRE]:[CUARTO TRIMESTRE]])</f>
        <v>20</v>
      </c>
      <c r="I144" s="17">
        <v>11505</v>
      </c>
      <c r="J144" s="17">
        <f t="shared" si="3"/>
        <v>230100</v>
      </c>
      <c r="K144" s="17"/>
      <c r="L144" s="16" t="s">
        <v>27</v>
      </c>
      <c r="M144" s="16" t="s">
        <v>22</v>
      </c>
      <c r="N144" s="39" t="s">
        <v>418</v>
      </c>
    </row>
    <row r="145" spans="1:20" s="12" customFormat="1" ht="27.75" customHeight="1">
      <c r="A145" s="15" t="s">
        <v>120</v>
      </c>
      <c r="B145" s="75" t="s">
        <v>532</v>
      </c>
      <c r="C145" s="39" t="s">
        <v>417</v>
      </c>
      <c r="D145" s="39">
        <v>10</v>
      </c>
      <c r="E145" s="70"/>
      <c r="F145" s="70">
        <v>10</v>
      </c>
      <c r="G145" s="70"/>
      <c r="H145" s="406">
        <f>SUM(Tabla13242[[#This Row],[PRIMER TRIMESTRE]:[CUARTO TRIMESTRE]])</f>
        <v>20</v>
      </c>
      <c r="I145" s="17">
        <v>11505</v>
      </c>
      <c r="J145" s="17">
        <f t="shared" si="3"/>
        <v>230100</v>
      </c>
      <c r="K145" s="17"/>
      <c r="L145" s="16" t="s">
        <v>27</v>
      </c>
      <c r="M145" s="16" t="s">
        <v>22</v>
      </c>
      <c r="N145" s="39" t="s">
        <v>418</v>
      </c>
    </row>
    <row r="146" spans="1:20" s="26" customFormat="1" ht="27.75" customHeight="1">
      <c r="A146" s="22" t="s">
        <v>120</v>
      </c>
      <c r="B146" s="76"/>
      <c r="C146" s="42"/>
      <c r="D146" s="42"/>
      <c r="E146" s="42"/>
      <c r="F146" s="42"/>
      <c r="G146" s="42"/>
      <c r="H146" s="144"/>
      <c r="I146" s="24"/>
      <c r="J146" s="24"/>
      <c r="K146" s="25">
        <f>SUM(J90:J145)</f>
        <v>2201072.6799999997</v>
      </c>
      <c r="L146" s="23"/>
      <c r="M146" s="23"/>
      <c r="N146" s="42"/>
      <c r="Q146" s="27"/>
      <c r="T146" s="23"/>
    </row>
    <row r="147" spans="1:20" s="34" customFormat="1" ht="24" thickBot="1">
      <c r="A147" s="33"/>
      <c r="B147" s="83"/>
      <c r="C147" s="47"/>
      <c r="D147" s="47"/>
      <c r="E147" s="47"/>
      <c r="F147" s="47"/>
      <c r="G147" s="47"/>
      <c r="H147" s="48"/>
      <c r="I147" s="35"/>
      <c r="J147" s="183">
        <f>SUM(J11:J145)</f>
        <v>126977802.59459995</v>
      </c>
      <c r="K147" s="74">
        <f>SUM(K23:K146)</f>
        <v>126977802.59459999</v>
      </c>
      <c r="N147" s="47"/>
      <c r="O147" s="432"/>
      <c r="P147" s="432"/>
    </row>
    <row r="148" spans="1:20">
      <c r="A148" s="172"/>
      <c r="B148" s="421"/>
      <c r="C148" s="173"/>
      <c r="D148" s="173"/>
      <c r="E148" s="173"/>
      <c r="F148" s="173"/>
      <c r="G148" s="173"/>
      <c r="H148" s="422"/>
      <c r="I148" s="423"/>
      <c r="J148" s="423"/>
      <c r="K148" s="423"/>
      <c r="L148" s="172"/>
      <c r="M148" s="172"/>
      <c r="N148" s="173"/>
      <c r="O148"/>
      <c r="P148"/>
    </row>
    <row r="149" spans="1:20">
      <c r="I149" s="399">
        <f>113910*1.178</f>
        <v>134185.97999999998</v>
      </c>
    </row>
    <row r="150" spans="1:20">
      <c r="A150" s="424"/>
    </row>
    <row r="156" spans="1:20" ht="38.25">
      <c r="A156" s="424"/>
      <c r="B156" s="401" t="s">
        <v>1975</v>
      </c>
      <c r="C156" s="255" t="s">
        <v>17</v>
      </c>
      <c r="D156" s="255"/>
      <c r="E156" s="255">
        <v>1</v>
      </c>
      <c r="F156" s="255"/>
      <c r="G156" s="255"/>
      <c r="H156" s="420">
        <f>SUM(D156:G156)</f>
        <v>1</v>
      </c>
      <c r="I156" s="402">
        <v>162636.85</v>
      </c>
      <c r="J156" s="402">
        <f>+H156*I156</f>
        <v>162636.85</v>
      </c>
      <c r="K156" s="402">
        <f>SUM(J156:J156)</f>
        <v>162636.85</v>
      </c>
      <c r="L156" s="403"/>
      <c r="M156" s="403"/>
      <c r="N156" s="255"/>
    </row>
  </sheetData>
  <mergeCells count="5">
    <mergeCell ref="A2:A4"/>
    <mergeCell ref="A5:N5"/>
    <mergeCell ref="A6:B6"/>
    <mergeCell ref="A7:B7"/>
    <mergeCell ref="D9:G9"/>
  </mergeCells>
  <dataValidations count="19">
    <dataValidation type="list" allowBlank="1" showInputMessage="1" showErrorMessage="1" promptTitle="PACC" prompt="Seleccione el procedimiento de selección." sqref="L82:L89">
      <formula1>$T$14:$T$15</formula1>
    </dataValidation>
    <dataValidation type="list" allowBlank="1" showInputMessage="1" showErrorMessage="1" promptTitle="PACC" prompt="Seleccione el Código de Bienes y Servicios._x000a_" sqref="A82:A89">
      <formula1>$Q$14:$Q$299</formula1>
    </dataValidation>
    <dataValidation type="list" allowBlank="1" showInputMessage="1" showErrorMessage="1" promptTitle="PACC" prompt="Seleccione el Código de Bienes y Servicios._x000a_" sqref="A30:A60">
      <formula1>$U$30:$U$1013</formula1>
    </dataValidation>
    <dataValidation type="list" allowBlank="1" showInputMessage="1" showErrorMessage="1" promptTitle="PACC" prompt="Seleccione el procedimiento de selección." sqref="L138:L139">
      <formula1>$T$25:$T$26</formula1>
    </dataValidation>
    <dataValidation type="list" allowBlank="1" showInputMessage="1" showErrorMessage="1" promptTitle="PACC" prompt="Seleccione el Código de Bienes y Servicios._x000a_" sqref="A138">
      <formula1>$Q$25:$Q$337</formula1>
    </dataValidation>
    <dataValidation type="list" allowBlank="1" showInputMessage="1" showErrorMessage="1" promptTitle="PACC" prompt="Seleccione el Código de Bienes y Servicios._x000a_" sqref="A139">
      <formula1>$Q$25:$Q$336</formula1>
    </dataValidation>
    <dataValidation type="list" allowBlank="1" showInputMessage="1" showErrorMessage="1" promptTitle="PACC" prompt="Seleccione el Código de Bienes y Servicios._x000a_" sqref="A26:A29">
      <formula1>#REF!</formula1>
    </dataValidation>
    <dataValidation allowBlank="1" showInputMessage="1" showErrorMessage="1" promptTitle="PACC" prompt="Digite la fuente de financiamiento del procedimiento de referencia." sqref="M156 M11:M147"/>
    <dataValidation allowBlank="1" showInputMessage="1" showErrorMessage="1" promptTitle="PACC" prompt="Digite las observaciones que considere." sqref="N156 N11:N147"/>
    <dataValidation allowBlank="1" showInputMessage="1" showErrorMessage="1" promptTitle="PACC" prompt="Digite la unidad de medida._x000a__x000a_" sqref="C156 C11:C19 C23:C147"/>
    <dataValidation allowBlank="1" showInputMessage="1" showErrorMessage="1" promptTitle="PACC" prompt="La cantidad total resultará de la suma de las cantidades requeridas en cada trimestre. " sqref="H156 H11:H59 H61:H147"/>
    <dataValidation type="list" allowBlank="1" showInputMessage="1" showErrorMessage="1" promptTitle="PACC" prompt="Seleccione el procedimiento de selección." sqref="L156 L140:L147 L11:L81 L90:L137">
      <formula1>#REF!</formula1>
    </dataValidation>
    <dataValidation allowBlank="1" showInputMessage="1" showErrorMessage="1" promptTitle="PACC" prompt="Digite el precio unitario estimado._x000a_" sqref="I63 I11:I19 I23:I60 I69 I78:I147"/>
    <dataValidation allowBlank="1" showInputMessage="1" showErrorMessage="1" promptTitle="PACC" prompt="Digite la descripción de la compra o contratación." sqref="B23:B60 B11:B19 B63:B79 B82:B147"/>
    <dataValidation type="list" allowBlank="1" showInputMessage="1" showErrorMessage="1" promptTitle="PACC" prompt="Seleccione el Código de Bienes y Servicios._x000a_" sqref="A150 A61:A63 A156">
      <formula1>$U$61:$U$1080</formula1>
    </dataValidation>
    <dataValidation allowBlank="1" showInputMessage="1" showErrorMessage="1" promptTitle="PACC" prompt="Este valor se calculará sumando los costos totales que posean el mismo Código de Catálogo de Bienes y Servicios." sqref="I61:I62 I64:I68 I156 K156 K147 K23 K11:K19 K25:K69 I75:I77 K75:K81 K90:K145"/>
    <dataValidation allowBlank="1" showInputMessage="1" showErrorMessage="1" promptTitle="PACC" prompt="Este valor se calculará automáticamente, resultado de la multiplicación de la cantidad total por el precio unitario estimado." sqref="J156 J146:K146 J147 I70:I74 K70:K74 K24 K82:K89 J11:J145"/>
    <dataValidation allowBlank="1" showInputMessage="1" showErrorMessage="1" promptTitle="PACC" prompt="Digite la cantidad requerida en este período._x000a_" sqref="D69:E69 D146:G147 E61:G62 H60 D156:G156 E63:E68 F63:G69 D24 G24 F25:G60 E24:E28 E90:G99 D61:D63 D23:G23 D29:E60 D11:G19 F75:G82 G70:G74 D70:D74 E70:E77 E101:G145 D78:E82 G83 D85:E85 D86:G89 F84:G85 E83:E84"/>
    <dataValidation type="list" allowBlank="1" showInputMessage="1" showErrorMessage="1" promptTitle="PACC" prompt="Seleccione el Código de Bienes y Servicios._x000a_" sqref="A140:A147 A11:A25 A90:A137">
      <formula1>#REF!</formula1>
    </dataValidation>
  </dataValidations>
  <printOptions horizontalCentered="1"/>
  <pageMargins left="0.31496062992125984" right="0.19685039370078741" top="0.19685039370078741" bottom="0.39370078740157483" header="0.31496062992125984" footer="0.31496062992125984"/>
  <pageSetup paperSize="5" scale="60" orientation="landscape" r:id="rId1"/>
  <headerFooter>
    <oddFooter>&amp;C
&amp;8&amp;P/&amp;N</oddFooter>
  </headerFooter>
  <drawing r:id="rId2"/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</sheetPr>
  <dimension ref="A1:N1497"/>
  <sheetViews>
    <sheetView topLeftCell="B22" zoomScale="85" zoomScaleNormal="85" workbookViewId="0">
      <selection activeCell="E35" sqref="E35"/>
    </sheetView>
  </sheetViews>
  <sheetFormatPr baseColWidth="10" defaultColWidth="11.42578125" defaultRowHeight="30.75" customHeight="1"/>
  <cols>
    <col min="1" max="1" width="47.140625" style="399" customWidth="1"/>
    <col min="2" max="2" width="41.7109375" style="399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399" customWidth="1"/>
    <col min="10" max="10" width="22" style="399" customWidth="1"/>
    <col min="11" max="11" width="32.42578125" style="399" customWidth="1"/>
    <col min="12" max="12" width="32.140625" style="399" customWidth="1"/>
    <col min="13" max="13" width="25.85546875" style="399" customWidth="1"/>
    <col min="14" max="14" width="12.5703125" style="37" customWidth="1"/>
    <col min="15" max="16384" width="11.42578125" style="399"/>
  </cols>
  <sheetData>
    <row r="1" spans="1:14" ht="18.75" thickBot="1">
      <c r="A1" s="576" t="s">
        <v>1976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  <c r="M1" s="576"/>
      <c r="N1" s="576"/>
    </row>
    <row r="2" spans="1:14" ht="18">
      <c r="A2" s="7" t="s">
        <v>0</v>
      </c>
      <c r="N2" s="8">
        <v>42332</v>
      </c>
    </row>
    <row r="3" spans="1:14" ht="18">
      <c r="A3" s="554"/>
      <c r="N3" s="9"/>
    </row>
    <row r="4" spans="1:14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14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14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172" customFormat="1" ht="15.75">
      <c r="A7" s="556" t="s">
        <v>1281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14" ht="18.75" thickBot="1"/>
    <row r="9" spans="1:14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14" s="14" customFormat="1" ht="18"/>
    <row r="11" spans="1:14" s="12" customFormat="1" ht="18.75" customHeight="1" thickBot="1"/>
    <row r="12" spans="1:14" s="12" customFormat="1" ht="78">
      <c r="A12" s="2" t="s">
        <v>3</v>
      </c>
      <c r="B12" s="3" t="s">
        <v>4</v>
      </c>
      <c r="C12" s="3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3" t="s">
        <v>10</v>
      </c>
      <c r="I12" s="3" t="s">
        <v>11</v>
      </c>
      <c r="J12" s="3" t="s">
        <v>12</v>
      </c>
      <c r="K12" s="3" t="s">
        <v>442</v>
      </c>
      <c r="L12" s="3" t="s">
        <v>13</v>
      </c>
      <c r="M12" s="3" t="s">
        <v>14</v>
      </c>
      <c r="N12" s="3" t="s">
        <v>305</v>
      </c>
    </row>
    <row r="13" spans="1:14" s="12" customFormat="1" ht="31.5">
      <c r="A13" s="178" t="s">
        <v>16</v>
      </c>
      <c r="B13" s="75" t="s">
        <v>427</v>
      </c>
      <c r="C13" s="39" t="s">
        <v>17</v>
      </c>
      <c r="D13" s="236"/>
      <c r="E13" s="236"/>
      <c r="F13" s="236"/>
      <c r="G13" s="236"/>
      <c r="H13" s="236">
        <f>SUM(Tabla132112410[[#This Row],[PRIMER TRIMESTRE]:[CUARTO TRIMESTRE]])</f>
        <v>0</v>
      </c>
      <c r="I13" s="17">
        <v>4568.04</v>
      </c>
      <c r="J13" s="17">
        <f>+Tabla132112410[[#This Row],[CANTIDAD TOTAL]]*Tabla132112410[[#This Row],[PRECIO UNITARIO ESTIMADO]]</f>
        <v>0</v>
      </c>
      <c r="K13" s="21"/>
      <c r="L13" s="16" t="s">
        <v>18</v>
      </c>
      <c r="M13" s="16" t="s">
        <v>19</v>
      </c>
      <c r="N13" s="39"/>
    </row>
    <row r="14" spans="1:14" s="12" customFormat="1" ht="31.5">
      <c r="A14" s="178" t="s">
        <v>16</v>
      </c>
      <c r="B14" s="75" t="s">
        <v>426</v>
      </c>
      <c r="C14" s="39" t="s">
        <v>17</v>
      </c>
      <c r="D14" s="236"/>
      <c r="E14" s="236"/>
      <c r="F14" s="236"/>
      <c r="G14" s="236"/>
      <c r="H14" s="236">
        <f>SUM(Tabla132112410[[#This Row],[PRIMER TRIMESTRE]:[CUARTO TRIMESTRE]])</f>
        <v>0</v>
      </c>
      <c r="I14" s="17">
        <v>33696</v>
      </c>
      <c r="J14" s="17">
        <f>+Tabla132112410[[#This Row],[CANTIDAD TOTAL]]*Tabla132112410[[#This Row],[PRECIO UNITARIO ESTIMADO]]</f>
        <v>0</v>
      </c>
      <c r="K14" s="17"/>
      <c r="L14" s="16" t="s">
        <v>18</v>
      </c>
      <c r="M14" s="16" t="s">
        <v>19</v>
      </c>
      <c r="N14" s="39"/>
    </row>
    <row r="15" spans="1:14" s="12" customFormat="1" ht="31.5">
      <c r="A15" s="178" t="s">
        <v>16</v>
      </c>
      <c r="B15" s="75" t="s">
        <v>24</v>
      </c>
      <c r="C15" s="39" t="s">
        <v>25</v>
      </c>
      <c r="D15" s="210"/>
      <c r="E15" s="210"/>
      <c r="F15" s="210"/>
      <c r="G15" s="210"/>
      <c r="H15" s="236">
        <f>SUM(Tabla132112410[[#This Row],[PRIMER TRIMESTRE]:[CUARTO TRIMESTRE]])</f>
        <v>0</v>
      </c>
      <c r="I15" s="17">
        <v>3628</v>
      </c>
      <c r="J15" s="17">
        <f>+Tabla132112410[[#This Row],[CANTIDAD TOTAL]]*Tabla132112410[[#This Row],[PRECIO UNITARIO ESTIMADO]]</f>
        <v>0</v>
      </c>
      <c r="K15" s="17"/>
      <c r="L15" s="16" t="s">
        <v>18</v>
      </c>
      <c r="M15" s="16" t="s">
        <v>19</v>
      </c>
      <c r="N15" s="39"/>
    </row>
    <row r="16" spans="1:14" s="12" customFormat="1" ht="31.5">
      <c r="A16" s="178" t="s">
        <v>16</v>
      </c>
      <c r="B16" s="75" t="s">
        <v>1385</v>
      </c>
      <c r="C16" s="39" t="s">
        <v>23</v>
      </c>
      <c r="D16" s="210"/>
      <c r="E16" s="210"/>
      <c r="F16" s="210"/>
      <c r="G16" s="210"/>
      <c r="H16" s="236">
        <f>SUM(Tabla132112410[[#This Row],[PRIMER TRIMESTRE]:[CUARTO TRIMESTRE]])</f>
        <v>0</v>
      </c>
      <c r="I16" s="17">
        <v>28440</v>
      </c>
      <c r="J16" s="17">
        <f>+Tabla132112410[[#This Row],[CANTIDAD TOTAL]]*Tabla132112410[[#This Row],[PRECIO UNITARIO ESTIMADO]]</f>
        <v>0</v>
      </c>
      <c r="K16" s="17"/>
      <c r="L16" s="16" t="s">
        <v>15</v>
      </c>
      <c r="M16" s="16" t="s">
        <v>19</v>
      </c>
      <c r="N16" s="39" t="s">
        <v>342</v>
      </c>
    </row>
    <row r="17" spans="1:14" s="12" customFormat="1" ht="31.5">
      <c r="A17" s="178" t="s">
        <v>16</v>
      </c>
      <c r="B17" s="75" t="s">
        <v>29</v>
      </c>
      <c r="C17" s="39" t="s">
        <v>30</v>
      </c>
      <c r="D17" s="236"/>
      <c r="E17" s="236"/>
      <c r="F17" s="236"/>
      <c r="G17" s="236"/>
      <c r="H17" s="236">
        <f>SUM(Tabla132112410[[#This Row],[PRIMER TRIMESTRE]:[CUARTO TRIMESTRE]])</f>
        <v>0</v>
      </c>
      <c r="I17" s="17">
        <v>862.27</v>
      </c>
      <c r="J17" s="17">
        <f>+Tabla132112410[[#This Row],[CANTIDAD TOTAL]]*Tabla132112410[[#This Row],[PRECIO UNITARIO ESTIMADO]]</f>
        <v>0</v>
      </c>
      <c r="K17" s="17"/>
      <c r="L17" s="16" t="s">
        <v>18</v>
      </c>
      <c r="M17" s="16" t="s">
        <v>19</v>
      </c>
      <c r="N17" s="39"/>
    </row>
    <row r="18" spans="1:14" s="12" customFormat="1" ht="31.5">
      <c r="A18" s="178" t="s">
        <v>16</v>
      </c>
      <c r="B18" s="75" t="s">
        <v>1842</v>
      </c>
      <c r="C18" s="39" t="s">
        <v>30</v>
      </c>
      <c r="D18" s="236"/>
      <c r="E18" s="236"/>
      <c r="F18" s="236"/>
      <c r="G18" s="236"/>
      <c r="H18" s="236">
        <f>SUM(Tabla132112410[[#This Row],[PRIMER TRIMESTRE]:[CUARTO TRIMESTRE]])</f>
        <v>0</v>
      </c>
      <c r="I18" s="17">
        <v>24.68</v>
      </c>
      <c r="J18" s="17">
        <f>+H18*I18</f>
        <v>0</v>
      </c>
      <c r="K18" s="17"/>
      <c r="L18" s="16" t="s">
        <v>18</v>
      </c>
      <c r="M18" s="16" t="s">
        <v>19</v>
      </c>
      <c r="N18" s="39"/>
    </row>
    <row r="19" spans="1:14" s="169" customFormat="1" ht="31.5">
      <c r="A19" s="178" t="s">
        <v>16</v>
      </c>
      <c r="B19" s="75" t="s">
        <v>1843</v>
      </c>
      <c r="C19" s="39" t="s">
        <v>17</v>
      </c>
      <c r="D19" s="236"/>
      <c r="E19" s="236"/>
      <c r="F19" s="236"/>
      <c r="G19" s="236"/>
      <c r="H19" s="236">
        <f>SUM(Tabla132112410[[#This Row],[PRIMER TRIMESTRE]:[CUARTO TRIMESTRE]])</f>
        <v>0</v>
      </c>
      <c r="I19" s="17">
        <v>15000</v>
      </c>
      <c r="J19" s="17">
        <f>+H19*I19</f>
        <v>0</v>
      </c>
      <c r="K19" s="17"/>
      <c r="L19" s="16" t="s">
        <v>27</v>
      </c>
      <c r="M19" s="16" t="s">
        <v>19</v>
      </c>
      <c r="N19" s="39"/>
    </row>
    <row r="20" spans="1:14" s="169" customFormat="1" ht="18">
      <c r="A20" s="179" t="s">
        <v>16</v>
      </c>
      <c r="B20" s="405" t="s">
        <v>443</v>
      </c>
      <c r="C20" s="42"/>
      <c r="D20" s="237"/>
      <c r="E20" s="237"/>
      <c r="F20" s="237"/>
      <c r="G20" s="237"/>
      <c r="H20" s="43"/>
      <c r="I20" s="24"/>
      <c r="J20" s="24"/>
      <c r="K20" s="25">
        <f>SUM(J13:J19)</f>
        <v>0</v>
      </c>
      <c r="L20" s="23"/>
      <c r="M20" s="23"/>
      <c r="N20" s="42"/>
    </row>
    <row r="21" spans="1:14" s="169" customFormat="1" ht="30">
      <c r="A21" s="180" t="s">
        <v>34</v>
      </c>
      <c r="B21" s="77" t="s">
        <v>717</v>
      </c>
      <c r="C21" s="70" t="s">
        <v>35</v>
      </c>
      <c r="D21" s="210"/>
      <c r="E21" s="210"/>
      <c r="F21" s="210"/>
      <c r="G21" s="210"/>
      <c r="H21" s="406">
        <f>SUM(Tabla132112410[[#This Row],[PRIMER TRIMESTRE]:[CUARTO TRIMESTRE]])</f>
        <v>0</v>
      </c>
      <c r="I21" s="72">
        <v>31896.55</v>
      </c>
      <c r="J21" s="72">
        <f>+Tabla132112410[[#This Row],[CANTIDAD TOTAL]]*Tabla132112410[[#This Row],[PRECIO UNITARIO ESTIMADO]]</f>
        <v>0</v>
      </c>
      <c r="K21" s="72"/>
      <c r="L21" s="77" t="s">
        <v>27</v>
      </c>
      <c r="M21" s="73" t="s">
        <v>22</v>
      </c>
      <c r="N21" s="70" t="s">
        <v>418</v>
      </c>
    </row>
    <row r="22" spans="1:14" s="169" customFormat="1" ht="30">
      <c r="A22" s="180" t="s">
        <v>34</v>
      </c>
      <c r="B22" s="77" t="s">
        <v>714</v>
      </c>
      <c r="C22" s="70" t="s">
        <v>35</v>
      </c>
      <c r="D22" s="210"/>
      <c r="E22" s="210"/>
      <c r="F22" s="210"/>
      <c r="G22" s="210"/>
      <c r="H22" s="406">
        <f>SUM(Tabla132112410[[#This Row],[PRIMER TRIMESTRE]:[CUARTO TRIMESTRE]])</f>
        <v>0</v>
      </c>
      <c r="I22" s="72">
        <v>28017.24</v>
      </c>
      <c r="J22" s="72">
        <f>+H22*I22</f>
        <v>0</v>
      </c>
      <c r="K22" s="171"/>
      <c r="L22" s="77" t="s">
        <v>27</v>
      </c>
      <c r="M22" s="73" t="s">
        <v>22</v>
      </c>
      <c r="N22" s="70" t="s">
        <v>418</v>
      </c>
    </row>
    <row r="23" spans="1:14" s="169" customFormat="1" ht="30">
      <c r="A23" s="180" t="s">
        <v>34</v>
      </c>
      <c r="B23" s="77" t="s">
        <v>715</v>
      </c>
      <c r="C23" s="70" t="s">
        <v>35</v>
      </c>
      <c r="D23" s="210"/>
      <c r="E23" s="210"/>
      <c r="F23" s="210"/>
      <c r="G23" s="210"/>
      <c r="H23" s="406">
        <f>SUM(Tabla132112410[[#This Row],[PRIMER TRIMESTRE]:[CUARTO TRIMESTRE]])</f>
        <v>0</v>
      </c>
      <c r="I23" s="72">
        <v>23612</v>
      </c>
      <c r="J23" s="72">
        <f>+H23*I23</f>
        <v>0</v>
      </c>
      <c r="K23" s="72"/>
      <c r="L23" s="77" t="s">
        <v>27</v>
      </c>
      <c r="M23" s="73" t="s">
        <v>22</v>
      </c>
      <c r="N23" s="70" t="s">
        <v>418</v>
      </c>
    </row>
    <row r="24" spans="1:14" s="169" customFormat="1" ht="30">
      <c r="A24" s="180" t="s">
        <v>34</v>
      </c>
      <c r="B24" s="77" t="s">
        <v>716</v>
      </c>
      <c r="C24" s="70" t="s">
        <v>35</v>
      </c>
      <c r="D24" s="210"/>
      <c r="E24" s="210"/>
      <c r="F24" s="210"/>
      <c r="G24" s="210"/>
      <c r="H24" s="406">
        <f>SUM(Tabla132112410[[#This Row],[PRIMER TRIMESTRE]:[CUARTO TRIMESTRE]])</f>
        <v>0</v>
      </c>
      <c r="I24" s="72">
        <v>23112.13</v>
      </c>
      <c r="J24" s="72">
        <f>+H24*I24</f>
        <v>0</v>
      </c>
      <c r="K24" s="72"/>
      <c r="L24" s="77" t="s">
        <v>27</v>
      </c>
      <c r="M24" s="73" t="s">
        <v>22</v>
      </c>
      <c r="N24" s="70" t="s">
        <v>418</v>
      </c>
    </row>
    <row r="25" spans="1:14" s="169" customFormat="1" ht="30">
      <c r="A25" s="180" t="s">
        <v>34</v>
      </c>
      <c r="B25" s="77" t="s">
        <v>787</v>
      </c>
      <c r="C25" s="70" t="s">
        <v>35</v>
      </c>
      <c r="D25" s="210"/>
      <c r="E25" s="210"/>
      <c r="F25" s="210"/>
      <c r="G25" s="210"/>
      <c r="H25" s="406">
        <f>SUM(Tabla132112410[[#This Row],[PRIMER TRIMESTRE]:[CUARTO TRIMESTRE]])</f>
        <v>0</v>
      </c>
      <c r="I25" s="72">
        <v>24630.67</v>
      </c>
      <c r="J25" s="72">
        <f>+Tabla132112410[[#This Row],[CANTIDAD TOTAL]]*Tabla132112410[[#This Row],[PRECIO UNITARIO ESTIMADO]]</f>
        <v>0</v>
      </c>
      <c r="K25" s="72"/>
      <c r="L25" s="77" t="s">
        <v>27</v>
      </c>
      <c r="M25" s="73" t="s">
        <v>22</v>
      </c>
      <c r="N25" s="70" t="s">
        <v>418</v>
      </c>
    </row>
    <row r="26" spans="1:14" s="169" customFormat="1" ht="30">
      <c r="A26" s="180" t="s">
        <v>34</v>
      </c>
      <c r="B26" s="77" t="s">
        <v>786</v>
      </c>
      <c r="C26" s="70" t="s">
        <v>35</v>
      </c>
      <c r="D26" s="210"/>
      <c r="E26" s="210"/>
      <c r="F26" s="210"/>
      <c r="G26" s="210"/>
      <c r="H26" s="406">
        <f>SUM(Tabla132112410[[#This Row],[PRIMER TRIMESTRE]:[CUARTO TRIMESTRE]])</f>
        <v>0</v>
      </c>
      <c r="I26" s="72">
        <f>+I25*1.05</f>
        <v>25862.2035</v>
      </c>
      <c r="J26" s="72">
        <f>+H26*I26</f>
        <v>0</v>
      </c>
      <c r="K26" s="72"/>
      <c r="L26" s="77" t="s">
        <v>27</v>
      </c>
      <c r="M26" s="73" t="s">
        <v>22</v>
      </c>
      <c r="N26" s="70" t="s">
        <v>418</v>
      </c>
    </row>
    <row r="27" spans="1:14" s="26" customFormat="1" ht="30">
      <c r="A27" s="180" t="s">
        <v>34</v>
      </c>
      <c r="B27" s="77" t="s">
        <v>720</v>
      </c>
      <c r="C27" s="70" t="s">
        <v>721</v>
      </c>
      <c r="D27" s="210"/>
      <c r="E27" s="210"/>
      <c r="F27" s="210"/>
      <c r="G27" s="210"/>
      <c r="H27" s="406">
        <f>SUM(Tabla132112410[[#This Row],[PRIMER TRIMESTRE]:[CUARTO TRIMESTRE]])</f>
        <v>0</v>
      </c>
      <c r="I27" s="72">
        <v>3700</v>
      </c>
      <c r="J27" s="72">
        <f>+Tabla132112410[[#This Row],[CANTIDAD TOTAL]]*Tabla132112410[[#This Row],[PRECIO UNITARIO ESTIMADO]]</f>
        <v>0</v>
      </c>
      <c r="K27" s="72"/>
      <c r="L27" s="77" t="s">
        <v>27</v>
      </c>
      <c r="M27" s="73" t="s">
        <v>22</v>
      </c>
      <c r="N27" s="70" t="s">
        <v>418</v>
      </c>
    </row>
    <row r="28" spans="1:14" s="169" customFormat="1" ht="30">
      <c r="A28" s="180" t="s">
        <v>34</v>
      </c>
      <c r="B28" s="77" t="s">
        <v>719</v>
      </c>
      <c r="C28" s="70" t="s">
        <v>718</v>
      </c>
      <c r="D28" s="210"/>
      <c r="E28" s="210"/>
      <c r="F28" s="210"/>
      <c r="G28" s="210"/>
      <c r="H28" s="406">
        <f>SUM(Tabla132112410[[#This Row],[PRIMER TRIMESTRE]:[CUARTO TRIMESTRE]])</f>
        <v>0</v>
      </c>
      <c r="I28" s="72">
        <v>800</v>
      </c>
      <c r="J28" s="72">
        <f>+Tabla132112410[[#This Row],[CANTIDAD TOTAL]]*Tabla132112410[[#This Row],[PRECIO UNITARIO ESTIMADO]]</f>
        <v>0</v>
      </c>
      <c r="K28" s="72"/>
      <c r="L28" s="77" t="s">
        <v>27</v>
      </c>
      <c r="M28" s="73" t="s">
        <v>22</v>
      </c>
      <c r="N28" s="70" t="s">
        <v>418</v>
      </c>
    </row>
    <row r="29" spans="1:14" s="169" customFormat="1" ht="31.5">
      <c r="A29" s="179" t="s">
        <v>34</v>
      </c>
      <c r="B29" s="76" t="s">
        <v>444</v>
      </c>
      <c r="C29" s="42"/>
      <c r="D29" s="237"/>
      <c r="E29" s="237"/>
      <c r="F29" s="237"/>
      <c r="G29" s="237"/>
      <c r="H29" s="43"/>
      <c r="I29" s="24"/>
      <c r="J29" s="24"/>
      <c r="K29" s="25">
        <f>SUBTOTAL(109,J21:J28)</f>
        <v>0</v>
      </c>
      <c r="L29" s="23"/>
      <c r="M29" s="23"/>
      <c r="N29" s="42"/>
    </row>
    <row r="30" spans="1:14" s="26" customFormat="1" ht="31.5">
      <c r="A30" s="180" t="s">
        <v>1288</v>
      </c>
      <c r="B30" s="77" t="s">
        <v>1290</v>
      </c>
      <c r="C30" s="70" t="s">
        <v>33</v>
      </c>
      <c r="D30" s="210"/>
      <c r="E30" s="210"/>
      <c r="F30" s="210"/>
      <c r="G30" s="210"/>
      <c r="H30" s="406">
        <f>SUM(Tabla132112410[[#This Row],[PRIMER TRIMESTRE]:[CUARTO TRIMESTRE]])</f>
        <v>0</v>
      </c>
      <c r="I30" s="72">
        <v>144.9</v>
      </c>
      <c r="J30" s="72">
        <f>+H30*I30</f>
        <v>0</v>
      </c>
      <c r="K30" s="72"/>
      <c r="L30" s="16" t="s">
        <v>18</v>
      </c>
      <c r="M30" s="73" t="s">
        <v>19</v>
      </c>
      <c r="N30" s="70"/>
    </row>
    <row r="31" spans="1:14" s="12" customFormat="1" ht="31.5">
      <c r="A31" s="180" t="s">
        <v>1288</v>
      </c>
      <c r="B31" s="77" t="s">
        <v>1289</v>
      </c>
      <c r="C31" s="70" t="s">
        <v>33</v>
      </c>
      <c r="D31" s="210"/>
      <c r="E31" s="210"/>
      <c r="F31" s="210"/>
      <c r="G31" s="210"/>
      <c r="H31" s="406">
        <f>SUM(Tabla132112410[[#This Row],[PRIMER TRIMESTRE]:[CUARTO TRIMESTRE]])</f>
        <v>0</v>
      </c>
      <c r="I31" s="72">
        <v>144.9</v>
      </c>
      <c r="J31" s="72">
        <f>+H31*I31</f>
        <v>0</v>
      </c>
      <c r="K31" s="72"/>
      <c r="L31" s="16" t="s">
        <v>18</v>
      </c>
      <c r="M31" s="73" t="s">
        <v>19</v>
      </c>
      <c r="N31" s="70"/>
    </row>
    <row r="32" spans="1:14" s="12" customFormat="1" ht="18">
      <c r="A32" s="179" t="s">
        <v>1288</v>
      </c>
      <c r="B32" s="76"/>
      <c r="C32" s="42"/>
      <c r="D32" s="237"/>
      <c r="E32" s="237"/>
      <c r="F32" s="237"/>
      <c r="G32" s="237"/>
      <c r="H32" s="43"/>
      <c r="I32" s="24"/>
      <c r="J32" s="24"/>
      <c r="K32" s="25">
        <f>SUBTOTAL(109,J30:J31)</f>
        <v>0</v>
      </c>
      <c r="L32" s="23"/>
      <c r="M32" s="23"/>
      <c r="N32" s="42"/>
    </row>
    <row r="33" spans="1:14" s="26" customFormat="1" ht="30">
      <c r="A33" s="180" t="s">
        <v>41</v>
      </c>
      <c r="B33" s="77" t="s">
        <v>42</v>
      </c>
      <c r="C33" s="70" t="s">
        <v>17</v>
      </c>
      <c r="D33" s="210"/>
      <c r="E33" s="210"/>
      <c r="F33" s="210"/>
      <c r="G33" s="210"/>
      <c r="H33" s="40">
        <f>SUM(Tabla132112410[[#This Row],[PRIMER TRIMESTRE]:[CUARTO TRIMESTRE]])</f>
        <v>0</v>
      </c>
      <c r="I33" s="17">
        <v>26999</v>
      </c>
      <c r="J33" s="17">
        <f>+Tabla132112410[[#This Row],[CANTIDAD TOTAL]]*Tabla132112410[[#This Row],[PRECIO UNITARIO ESTIMADO]]</f>
        <v>0</v>
      </c>
      <c r="K33" s="17"/>
      <c r="L33" s="16" t="s">
        <v>15</v>
      </c>
      <c r="M33" s="16" t="s">
        <v>22</v>
      </c>
      <c r="N33" s="39" t="s">
        <v>418</v>
      </c>
    </row>
    <row r="34" spans="1:14" s="55" customFormat="1" ht="30">
      <c r="A34" s="180" t="s">
        <v>41</v>
      </c>
      <c r="B34" s="77" t="s">
        <v>44</v>
      </c>
      <c r="C34" s="70" t="s">
        <v>17</v>
      </c>
      <c r="D34" s="210"/>
      <c r="E34" s="210"/>
      <c r="F34" s="210"/>
      <c r="G34" s="210"/>
      <c r="H34" s="40">
        <f>SUM(Tabla132112410[[#This Row],[PRIMER TRIMESTRE]:[CUARTO TRIMESTRE]])</f>
        <v>0</v>
      </c>
      <c r="I34" s="17">
        <v>90854.41</v>
      </c>
      <c r="J34" s="17">
        <f>+Tabla132112410[[#This Row],[CANTIDAD TOTAL]]*Tabla132112410[[#This Row],[PRECIO UNITARIO ESTIMADO]]</f>
        <v>0</v>
      </c>
      <c r="K34" s="17"/>
      <c r="L34" s="16" t="s">
        <v>15</v>
      </c>
      <c r="M34" s="16" t="s">
        <v>22</v>
      </c>
      <c r="N34" s="39" t="s">
        <v>418</v>
      </c>
    </row>
    <row r="35" spans="1:14" s="55" customFormat="1" ht="31.5">
      <c r="A35" s="179" t="s">
        <v>41</v>
      </c>
      <c r="B35" s="76"/>
      <c r="C35" s="42"/>
      <c r="D35" s="237"/>
      <c r="E35" s="237"/>
      <c r="F35" s="237"/>
      <c r="G35" s="237"/>
      <c r="H35" s="43"/>
      <c r="I35" s="24"/>
      <c r="J35" s="24"/>
      <c r="K35" s="25">
        <f>SUBTOTAL(109,J33:J34)</f>
        <v>0</v>
      </c>
      <c r="L35" s="23"/>
      <c r="M35" s="23"/>
      <c r="N35" s="42"/>
    </row>
    <row r="36" spans="1:14" s="55" customFormat="1" ht="30">
      <c r="A36" s="178" t="s">
        <v>1386</v>
      </c>
      <c r="B36" s="75" t="s">
        <v>1387</v>
      </c>
      <c r="C36" s="53" t="s">
        <v>1388</v>
      </c>
      <c r="D36" s="241"/>
      <c r="E36" s="241"/>
      <c r="F36" s="241"/>
      <c r="G36" s="241"/>
      <c r="H36" s="244">
        <f>SUM(Tabla132112410[[#This Row],[PRIMER TRIMESTRE]:[CUARTO TRIMESTRE]])</f>
        <v>0</v>
      </c>
      <c r="I36" s="245">
        <v>2500</v>
      </c>
      <c r="J36" s="245">
        <f>+H36*I36</f>
        <v>0</v>
      </c>
      <c r="K36" s="50"/>
      <c r="L36" s="77" t="s">
        <v>27</v>
      </c>
      <c r="M36" s="77" t="s">
        <v>22</v>
      </c>
      <c r="N36" s="53"/>
    </row>
    <row r="37" spans="1:14" s="55" customFormat="1" ht="31.5">
      <c r="A37" s="16" t="s">
        <v>1386</v>
      </c>
      <c r="B37" s="75" t="s">
        <v>1551</v>
      </c>
      <c r="C37" s="176" t="s">
        <v>35</v>
      </c>
      <c r="D37" s="244"/>
      <c r="E37" s="244"/>
      <c r="F37" s="244"/>
      <c r="G37" s="244"/>
      <c r="H37" s="244">
        <f>SUM(Tabla132112410[[#This Row],[PRIMER TRIMESTRE]:[CUARTO TRIMESTRE]])</f>
        <v>0</v>
      </c>
      <c r="I37" s="245">
        <v>29000</v>
      </c>
      <c r="J37" s="245">
        <f>+H37*I37</f>
        <v>0</v>
      </c>
      <c r="K37" s="17"/>
      <c r="L37" s="16" t="s">
        <v>15</v>
      </c>
      <c r="M37" s="16" t="s">
        <v>22</v>
      </c>
      <c r="N37" s="39" t="s">
        <v>418</v>
      </c>
    </row>
    <row r="38" spans="1:14" s="55" customFormat="1" ht="31.5">
      <c r="A38" s="16" t="s">
        <v>1386</v>
      </c>
      <c r="B38" s="75" t="s">
        <v>1844</v>
      </c>
      <c r="C38" s="53" t="s">
        <v>17</v>
      </c>
      <c r="D38" s="299"/>
      <c r="E38" s="299"/>
      <c r="F38" s="299"/>
      <c r="G38" s="299"/>
      <c r="H38" s="244">
        <f>SUM(Tabla132112410[[#This Row],[PRIMER TRIMESTRE]:[CUARTO TRIMESTRE]])</f>
        <v>0</v>
      </c>
      <c r="I38" s="248">
        <v>4000000</v>
      </c>
      <c r="J38" s="245">
        <f>+H38*I38</f>
        <v>0</v>
      </c>
      <c r="K38" s="17"/>
      <c r="L38" s="16" t="s">
        <v>18</v>
      </c>
      <c r="M38" s="16" t="s">
        <v>22</v>
      </c>
      <c r="N38" s="39"/>
    </row>
    <row r="39" spans="1:14" s="55" customFormat="1" ht="30">
      <c r="A39" s="178" t="s">
        <v>1386</v>
      </c>
      <c r="B39" s="75" t="s">
        <v>1699</v>
      </c>
      <c r="C39" s="53" t="s">
        <v>17</v>
      </c>
      <c r="D39" s="299"/>
      <c r="E39" s="299"/>
      <c r="F39" s="299"/>
      <c r="G39" s="299"/>
      <c r="H39" s="46">
        <v>0</v>
      </c>
      <c r="I39" s="248">
        <v>0</v>
      </c>
      <c r="J39" s="248">
        <v>0</v>
      </c>
      <c r="K39" s="17"/>
      <c r="L39" s="16" t="s">
        <v>18</v>
      </c>
      <c r="M39" s="16" t="s">
        <v>22</v>
      </c>
      <c r="N39" s="39"/>
    </row>
    <row r="40" spans="1:14" s="26" customFormat="1" ht="30">
      <c r="A40" s="178" t="s">
        <v>1386</v>
      </c>
      <c r="B40" s="75" t="s">
        <v>1701</v>
      </c>
      <c r="C40" s="53" t="s">
        <v>17</v>
      </c>
      <c r="D40" s="299"/>
      <c r="E40" s="299"/>
      <c r="F40" s="299"/>
      <c r="G40" s="299"/>
      <c r="H40" s="46">
        <v>0</v>
      </c>
      <c r="I40" s="248">
        <v>0</v>
      </c>
      <c r="J40" s="248">
        <v>0</v>
      </c>
      <c r="K40" s="17"/>
      <c r="L40" s="16" t="s">
        <v>18</v>
      </c>
      <c r="M40" s="77" t="s">
        <v>22</v>
      </c>
      <c r="N40" s="39"/>
    </row>
    <row r="41" spans="1:14" s="26" customFormat="1" ht="30">
      <c r="A41" s="178" t="s">
        <v>1386</v>
      </c>
      <c r="B41" s="75" t="s">
        <v>1764</v>
      </c>
      <c r="C41" s="53" t="s">
        <v>17</v>
      </c>
      <c r="D41" s="299"/>
      <c r="E41" s="299"/>
      <c r="F41" s="299"/>
      <c r="G41" s="299"/>
      <c r="H41" s="46">
        <v>0</v>
      </c>
      <c r="I41" s="248">
        <v>0</v>
      </c>
      <c r="J41" s="248">
        <v>0</v>
      </c>
      <c r="K41" s="17"/>
      <c r="L41" s="77" t="s">
        <v>27</v>
      </c>
      <c r="M41" s="77" t="s">
        <v>22</v>
      </c>
      <c r="N41" s="39"/>
    </row>
    <row r="42" spans="1:14" s="111" customFormat="1" ht="30">
      <c r="A42" s="178" t="s">
        <v>1386</v>
      </c>
      <c r="B42" s="75" t="s">
        <v>1389</v>
      </c>
      <c r="C42" s="53" t="s">
        <v>1390</v>
      </c>
      <c r="D42" s="241"/>
      <c r="E42" s="241"/>
      <c r="F42" s="241"/>
      <c r="G42" s="241"/>
      <c r="H42" s="244">
        <f>SUM(Tabla132112410[[#This Row],[PRIMER TRIMESTRE]:[CUARTO TRIMESTRE]])</f>
        <v>0</v>
      </c>
      <c r="I42" s="245">
        <v>277</v>
      </c>
      <c r="J42" s="245">
        <f>+H42*I42</f>
        <v>0</v>
      </c>
      <c r="K42" s="50"/>
      <c r="L42" s="77" t="s">
        <v>27</v>
      </c>
      <c r="M42" s="77" t="s">
        <v>22</v>
      </c>
      <c r="N42" s="53"/>
    </row>
    <row r="43" spans="1:14" s="111" customFormat="1" ht="31.5">
      <c r="A43" s="179" t="s">
        <v>1386</v>
      </c>
      <c r="B43" s="76"/>
      <c r="C43" s="42"/>
      <c r="D43" s="237"/>
      <c r="E43" s="237"/>
      <c r="F43" s="237"/>
      <c r="G43" s="237"/>
      <c r="H43" s="43"/>
      <c r="I43" s="24"/>
      <c r="J43" s="24"/>
      <c r="K43" s="25">
        <f>SUM(J36:J42)</f>
        <v>0</v>
      </c>
      <c r="L43" s="23"/>
      <c r="M43" s="23"/>
      <c r="N43" s="42"/>
    </row>
    <row r="44" spans="1:14" s="111" customFormat="1" ht="18">
      <c r="A44" s="180" t="s">
        <v>1672</v>
      </c>
      <c r="B44" s="77" t="s">
        <v>1845</v>
      </c>
      <c r="C44" s="244" t="s">
        <v>17</v>
      </c>
      <c r="D44" s="244"/>
      <c r="E44" s="244"/>
      <c r="F44" s="244"/>
      <c r="G44" s="244"/>
      <c r="H44" s="244">
        <v>0</v>
      </c>
      <c r="I44" s="244">
        <v>0</v>
      </c>
      <c r="J44" s="244">
        <v>0</v>
      </c>
      <c r="K44" s="244"/>
      <c r="L44" s="244" t="s">
        <v>1663</v>
      </c>
      <c r="M44" s="16" t="s">
        <v>22</v>
      </c>
      <c r="N44" s="244"/>
    </row>
    <row r="45" spans="1:14" s="111" customFormat="1" ht="25.5">
      <c r="A45" s="180" t="s">
        <v>46</v>
      </c>
      <c r="B45" s="77" t="s">
        <v>1391</v>
      </c>
      <c r="C45" s="244" t="s">
        <v>17</v>
      </c>
      <c r="D45" s="244"/>
      <c r="E45" s="244"/>
      <c r="F45" s="244"/>
      <c r="G45" s="244"/>
      <c r="H45" s="244">
        <f>SUM(Tabla132112410[[#This Row],[PRIMER TRIMESTRE]:[CUARTO TRIMESTRE]])</f>
        <v>0</v>
      </c>
      <c r="I45" s="246">
        <v>1136476.48</v>
      </c>
      <c r="J45" s="246">
        <f t="shared" ref="J45:J76" si="0">+H45*I45</f>
        <v>0</v>
      </c>
      <c r="K45" s="77"/>
      <c r="L45" s="16" t="s">
        <v>18</v>
      </c>
      <c r="M45" s="16" t="s">
        <v>22</v>
      </c>
      <c r="N45" s="77"/>
    </row>
    <row r="46" spans="1:14" s="111" customFormat="1" ht="18">
      <c r="A46" s="180" t="s">
        <v>46</v>
      </c>
      <c r="B46" s="77" t="s">
        <v>1392</v>
      </c>
      <c r="C46" s="177" t="s">
        <v>17</v>
      </c>
      <c r="D46" s="177"/>
      <c r="E46" s="177"/>
      <c r="F46" s="177"/>
      <c r="G46" s="177"/>
      <c r="H46" s="177">
        <f>SUM(Tabla132112410[[#This Row],[PRIMER TRIMESTRE]:[CUARTO TRIMESTRE]])</f>
        <v>0</v>
      </c>
      <c r="I46" s="246">
        <v>2600000</v>
      </c>
      <c r="J46" s="246">
        <f t="shared" si="0"/>
        <v>0</v>
      </c>
      <c r="K46" s="77"/>
      <c r="L46" s="16" t="s">
        <v>18</v>
      </c>
      <c r="M46" s="16" t="s">
        <v>22</v>
      </c>
      <c r="N46" s="77"/>
    </row>
    <row r="47" spans="1:14" s="111" customFormat="1" ht="18">
      <c r="A47" s="180" t="s">
        <v>1666</v>
      </c>
      <c r="B47" s="77" t="s">
        <v>1669</v>
      </c>
      <c r="C47" s="177" t="s">
        <v>17</v>
      </c>
      <c r="D47" s="210"/>
      <c r="E47" s="210"/>
      <c r="F47" s="210"/>
      <c r="G47" s="210"/>
      <c r="H47" s="406">
        <v>0</v>
      </c>
      <c r="I47" s="247">
        <v>0</v>
      </c>
      <c r="J47" s="247">
        <v>0</v>
      </c>
      <c r="K47" s="72"/>
      <c r="L47" s="16" t="s">
        <v>18</v>
      </c>
      <c r="M47" s="16" t="s">
        <v>22</v>
      </c>
      <c r="N47" s="70"/>
    </row>
    <row r="48" spans="1:14" s="111" customFormat="1" ht="18">
      <c r="A48" s="180" t="s">
        <v>1667</v>
      </c>
      <c r="B48" s="77" t="s">
        <v>1670</v>
      </c>
      <c r="C48" s="177" t="s">
        <v>17</v>
      </c>
      <c r="D48" s="210"/>
      <c r="E48" s="210"/>
      <c r="F48" s="210"/>
      <c r="G48" s="210"/>
      <c r="H48" s="406">
        <v>0</v>
      </c>
      <c r="I48" s="247">
        <v>0</v>
      </c>
      <c r="J48" s="247">
        <v>0</v>
      </c>
      <c r="K48" s="72"/>
      <c r="L48" s="16" t="s">
        <v>18</v>
      </c>
      <c r="M48" s="16" t="s">
        <v>22</v>
      </c>
      <c r="N48" s="70"/>
    </row>
    <row r="49" spans="1:14" s="111" customFormat="1" ht="18">
      <c r="A49" s="180" t="s">
        <v>1668</v>
      </c>
      <c r="B49" s="77" t="s">
        <v>1846</v>
      </c>
      <c r="C49" s="177" t="s">
        <v>17</v>
      </c>
      <c r="D49" s="210"/>
      <c r="E49" s="210"/>
      <c r="F49" s="210"/>
      <c r="G49" s="210"/>
      <c r="H49" s="406">
        <v>0</v>
      </c>
      <c r="I49" s="247">
        <v>0</v>
      </c>
      <c r="J49" s="247">
        <v>0</v>
      </c>
      <c r="K49" s="72"/>
      <c r="L49" s="16" t="s">
        <v>18</v>
      </c>
      <c r="M49" s="16" t="s">
        <v>22</v>
      </c>
      <c r="N49" s="70"/>
    </row>
    <row r="50" spans="1:14" s="111" customFormat="1" ht="18">
      <c r="A50" s="180" t="s">
        <v>1668</v>
      </c>
      <c r="B50" s="77" t="s">
        <v>1847</v>
      </c>
      <c r="C50" s="177" t="s">
        <v>17</v>
      </c>
      <c r="D50" s="210"/>
      <c r="E50" s="210"/>
      <c r="F50" s="210"/>
      <c r="G50" s="210"/>
      <c r="H50" s="406">
        <v>0</v>
      </c>
      <c r="I50" s="247">
        <v>0</v>
      </c>
      <c r="J50" s="247">
        <v>0</v>
      </c>
      <c r="K50" s="72"/>
      <c r="L50" s="16" t="s">
        <v>18</v>
      </c>
      <c r="M50" s="16" t="s">
        <v>22</v>
      </c>
      <c r="N50" s="70"/>
    </row>
    <row r="51" spans="1:14" s="111" customFormat="1" ht="25.5">
      <c r="A51" s="180" t="s">
        <v>46</v>
      </c>
      <c r="B51" s="77" t="s">
        <v>1693</v>
      </c>
      <c r="C51" s="70" t="s">
        <v>17</v>
      </c>
      <c r="D51" s="210"/>
      <c r="E51" s="210"/>
      <c r="F51" s="210"/>
      <c r="G51" s="210"/>
      <c r="H51" s="406">
        <v>0</v>
      </c>
      <c r="I51" s="247">
        <v>0</v>
      </c>
      <c r="J51" s="247">
        <v>0</v>
      </c>
      <c r="K51" s="72"/>
      <c r="L51" s="16" t="s">
        <v>18</v>
      </c>
      <c r="M51" s="16" t="s">
        <v>22</v>
      </c>
      <c r="N51" s="70"/>
    </row>
    <row r="52" spans="1:14" s="111" customFormat="1" ht="25.5">
      <c r="A52" s="180" t="s">
        <v>46</v>
      </c>
      <c r="B52" s="77" t="s">
        <v>1694</v>
      </c>
      <c r="C52" s="177" t="s">
        <v>17</v>
      </c>
      <c r="D52" s="210"/>
      <c r="E52" s="210"/>
      <c r="F52" s="210"/>
      <c r="G52" s="210"/>
      <c r="H52" s="406">
        <v>0</v>
      </c>
      <c r="I52" s="247">
        <v>0</v>
      </c>
      <c r="J52" s="247">
        <v>0</v>
      </c>
      <c r="K52" s="72"/>
      <c r="L52" s="16" t="s">
        <v>18</v>
      </c>
      <c r="M52" s="16" t="s">
        <v>22</v>
      </c>
      <c r="N52" s="70"/>
    </row>
    <row r="53" spans="1:14" s="111" customFormat="1" ht="18">
      <c r="A53" s="180" t="s">
        <v>46</v>
      </c>
      <c r="B53" s="77" t="s">
        <v>1393</v>
      </c>
      <c r="C53" s="177" t="s">
        <v>17</v>
      </c>
      <c r="D53" s="77"/>
      <c r="E53" s="177"/>
      <c r="F53" s="177"/>
      <c r="G53" s="177"/>
      <c r="H53" s="177">
        <f>SUM(Tabla132112410[[#This Row],[PRIMER TRIMESTRE]:[CUARTO TRIMESTRE]])</f>
        <v>0</v>
      </c>
      <c r="I53" s="246">
        <v>1800000</v>
      </c>
      <c r="J53" s="246">
        <f t="shared" si="0"/>
        <v>0</v>
      </c>
      <c r="K53" s="77"/>
      <c r="L53" s="16" t="s">
        <v>18</v>
      </c>
      <c r="M53" s="16" t="s">
        <v>22</v>
      </c>
      <c r="N53" s="77"/>
    </row>
    <row r="54" spans="1:14" s="111" customFormat="1" ht="18">
      <c r="A54" s="180" t="s">
        <v>46</v>
      </c>
      <c r="B54" s="77" t="s">
        <v>1394</v>
      </c>
      <c r="C54" s="177" t="s">
        <v>17</v>
      </c>
      <c r="D54" s="77"/>
      <c r="E54" s="177"/>
      <c r="F54" s="177"/>
      <c r="G54" s="177"/>
      <c r="H54" s="177">
        <f>SUM(Tabla132112410[[#This Row],[PRIMER TRIMESTRE]:[CUARTO TRIMESTRE]])</f>
        <v>0</v>
      </c>
      <c r="I54" s="246">
        <v>1800000</v>
      </c>
      <c r="J54" s="246">
        <f t="shared" si="0"/>
        <v>0</v>
      </c>
      <c r="K54" s="77"/>
      <c r="L54" s="16" t="s">
        <v>18</v>
      </c>
      <c r="M54" s="16" t="s">
        <v>22</v>
      </c>
      <c r="N54" s="77"/>
    </row>
    <row r="55" spans="1:14" s="111" customFormat="1" ht="18">
      <c r="A55" s="180" t="s">
        <v>46</v>
      </c>
      <c r="B55" s="77" t="s">
        <v>1395</v>
      </c>
      <c r="C55" s="177" t="s">
        <v>17</v>
      </c>
      <c r="D55" s="77"/>
      <c r="E55" s="177"/>
      <c r="F55" s="177"/>
      <c r="G55" s="177"/>
      <c r="H55" s="177">
        <f>SUM(Tabla132112410[[#This Row],[PRIMER TRIMESTRE]:[CUARTO TRIMESTRE]])</f>
        <v>0</v>
      </c>
      <c r="I55" s="246">
        <v>11500000</v>
      </c>
      <c r="J55" s="246">
        <f t="shared" si="0"/>
        <v>0</v>
      </c>
      <c r="K55" s="77"/>
      <c r="L55" s="16" t="s">
        <v>18</v>
      </c>
      <c r="M55" s="16" t="s">
        <v>22</v>
      </c>
      <c r="N55" s="77"/>
    </row>
    <row r="56" spans="1:14" s="111" customFormat="1" ht="18">
      <c r="A56" s="180" t="s">
        <v>46</v>
      </c>
      <c r="B56" s="77" t="s">
        <v>1396</v>
      </c>
      <c r="C56" s="177" t="s">
        <v>17</v>
      </c>
      <c r="D56" s="77"/>
      <c r="E56" s="177"/>
      <c r="F56" s="177"/>
      <c r="G56" s="177"/>
      <c r="H56" s="177">
        <f>SUM(Tabla132112410[[#This Row],[PRIMER TRIMESTRE]:[CUARTO TRIMESTRE]])</f>
        <v>0</v>
      </c>
      <c r="I56" s="246">
        <v>8120000</v>
      </c>
      <c r="J56" s="246">
        <f t="shared" si="0"/>
        <v>0</v>
      </c>
      <c r="K56" s="77"/>
      <c r="L56" s="16" t="s">
        <v>18</v>
      </c>
      <c r="M56" s="16" t="s">
        <v>22</v>
      </c>
      <c r="N56" s="77"/>
    </row>
    <row r="57" spans="1:14" s="169" customFormat="1" ht="18">
      <c r="A57" s="180" t="s">
        <v>46</v>
      </c>
      <c r="B57" s="77" t="s">
        <v>1622</v>
      </c>
      <c r="C57" s="177" t="s">
        <v>17</v>
      </c>
      <c r="D57" s="210"/>
      <c r="E57" s="177"/>
      <c r="F57" s="177"/>
      <c r="G57" s="210"/>
      <c r="H57" s="177">
        <f>SUM(Tabla132112410[[#This Row],[PRIMER TRIMESTRE]:[CUARTO TRIMESTRE]])</f>
        <v>0</v>
      </c>
      <c r="I57" s="247">
        <v>58223</v>
      </c>
      <c r="J57" s="247">
        <f t="shared" si="0"/>
        <v>0</v>
      </c>
      <c r="K57" s="72"/>
      <c r="L57" s="16" t="s">
        <v>18</v>
      </c>
      <c r="M57" s="16" t="s">
        <v>22</v>
      </c>
      <c r="N57" s="39" t="s">
        <v>418</v>
      </c>
    </row>
    <row r="58" spans="1:14" s="169" customFormat="1" ht="18">
      <c r="A58" s="180" t="s">
        <v>46</v>
      </c>
      <c r="B58" s="77" t="s">
        <v>1397</v>
      </c>
      <c r="C58" s="177" t="s">
        <v>17</v>
      </c>
      <c r="D58" s="77"/>
      <c r="E58" s="177"/>
      <c r="F58" s="177"/>
      <c r="G58" s="177"/>
      <c r="H58" s="177">
        <f>SUM(Tabla132112410[[#This Row],[PRIMER TRIMESTRE]:[CUARTO TRIMESTRE]])</f>
        <v>0</v>
      </c>
      <c r="I58" s="246">
        <v>55000</v>
      </c>
      <c r="J58" s="246">
        <f t="shared" si="0"/>
        <v>0</v>
      </c>
      <c r="K58" s="77"/>
      <c r="L58" s="16" t="s">
        <v>18</v>
      </c>
      <c r="M58" s="16" t="s">
        <v>22</v>
      </c>
      <c r="N58" s="39" t="s">
        <v>418</v>
      </c>
    </row>
    <row r="59" spans="1:14" s="169" customFormat="1" ht="18">
      <c r="A59" s="180" t="s">
        <v>46</v>
      </c>
      <c r="B59" s="77" t="s">
        <v>550</v>
      </c>
      <c r="C59" s="70" t="s">
        <v>17</v>
      </c>
      <c r="D59" s="210"/>
      <c r="E59" s="210"/>
      <c r="F59" s="210"/>
      <c r="G59" s="210"/>
      <c r="H59" s="406">
        <f>SUM(Tabla132112410[[#This Row],[PRIMER TRIMESTRE]:[CUARTO TRIMESTRE]])</f>
        <v>0</v>
      </c>
      <c r="I59" s="72">
        <v>9480</v>
      </c>
      <c r="J59" s="72">
        <f t="shared" si="0"/>
        <v>0</v>
      </c>
      <c r="K59" s="72"/>
      <c r="L59" s="16" t="s">
        <v>18</v>
      </c>
      <c r="M59" s="73" t="s">
        <v>22</v>
      </c>
      <c r="N59" s="70" t="s">
        <v>418</v>
      </c>
    </row>
    <row r="60" spans="1:14" s="169" customFormat="1" ht="18">
      <c r="A60" s="180" t="s">
        <v>46</v>
      </c>
      <c r="B60" s="77" t="s">
        <v>551</v>
      </c>
      <c r="C60" s="70" t="s">
        <v>17</v>
      </c>
      <c r="D60" s="210"/>
      <c r="E60" s="210"/>
      <c r="F60" s="210"/>
      <c r="G60" s="210"/>
      <c r="H60" s="406">
        <f>SUM(Tabla132112410[[#This Row],[PRIMER TRIMESTRE]:[CUARTO TRIMESTRE]])</f>
        <v>0</v>
      </c>
      <c r="I60" s="72">
        <v>31680</v>
      </c>
      <c r="J60" s="72">
        <f t="shared" si="0"/>
        <v>0</v>
      </c>
      <c r="K60" s="72"/>
      <c r="L60" s="16" t="s">
        <v>18</v>
      </c>
      <c r="M60" s="73" t="s">
        <v>22</v>
      </c>
      <c r="N60" s="70" t="s">
        <v>418</v>
      </c>
    </row>
    <row r="61" spans="1:14" s="169" customFormat="1" ht="18">
      <c r="A61" s="180" t="s">
        <v>46</v>
      </c>
      <c r="B61" s="77" t="s">
        <v>552</v>
      </c>
      <c r="C61" s="70" t="s">
        <v>17</v>
      </c>
      <c r="D61" s="210"/>
      <c r="E61" s="210"/>
      <c r="F61" s="210"/>
      <c r="G61" s="210"/>
      <c r="H61" s="406">
        <f>SUM(Tabla132112410[[#This Row],[PRIMER TRIMESTRE]:[CUARTO TRIMESTRE]])</f>
        <v>0</v>
      </c>
      <c r="I61" s="72">
        <v>9279.9</v>
      </c>
      <c r="J61" s="72">
        <f t="shared" si="0"/>
        <v>0</v>
      </c>
      <c r="K61" s="72"/>
      <c r="L61" s="16" t="s">
        <v>18</v>
      </c>
      <c r="M61" s="73" t="s">
        <v>22</v>
      </c>
      <c r="N61" s="70" t="s">
        <v>418</v>
      </c>
    </row>
    <row r="62" spans="1:14" s="169" customFormat="1" ht="18">
      <c r="A62" s="180" t="s">
        <v>46</v>
      </c>
      <c r="B62" s="77" t="s">
        <v>54</v>
      </c>
      <c r="C62" s="70" t="s">
        <v>17</v>
      </c>
      <c r="D62" s="210"/>
      <c r="E62" s="210"/>
      <c r="F62" s="210"/>
      <c r="G62" s="210"/>
      <c r="H62" s="406">
        <f>SUM(Tabla132112410[[#This Row],[PRIMER TRIMESTRE]:[CUARTO TRIMESTRE]])</f>
        <v>0</v>
      </c>
      <c r="I62" s="72">
        <v>9079.9</v>
      </c>
      <c r="J62" s="72">
        <f t="shared" si="0"/>
        <v>0</v>
      </c>
      <c r="K62" s="72"/>
      <c r="L62" s="16" t="s">
        <v>18</v>
      </c>
      <c r="M62" s="73" t="s">
        <v>22</v>
      </c>
      <c r="N62" s="70" t="s">
        <v>418</v>
      </c>
    </row>
    <row r="63" spans="1:14" s="169" customFormat="1" ht="18">
      <c r="A63" s="180" t="s">
        <v>46</v>
      </c>
      <c r="B63" s="77" t="s">
        <v>53</v>
      </c>
      <c r="C63" s="70" t="s">
        <v>17</v>
      </c>
      <c r="D63" s="210"/>
      <c r="E63" s="210"/>
      <c r="F63" s="210"/>
      <c r="G63" s="210"/>
      <c r="H63" s="406">
        <f>SUM(Tabla132112410[[#This Row],[PRIMER TRIMESTRE]:[CUARTO TRIMESTRE]])</f>
        <v>0</v>
      </c>
      <c r="I63" s="72">
        <v>9048</v>
      </c>
      <c r="J63" s="72">
        <f t="shared" si="0"/>
        <v>0</v>
      </c>
      <c r="K63" s="72"/>
      <c r="L63" s="16" t="s">
        <v>18</v>
      </c>
      <c r="M63" s="73" t="s">
        <v>22</v>
      </c>
      <c r="N63" s="70" t="s">
        <v>418</v>
      </c>
    </row>
    <row r="64" spans="1:14" s="169" customFormat="1" ht="18">
      <c r="A64" s="180" t="s">
        <v>46</v>
      </c>
      <c r="B64" s="77" t="s">
        <v>553</v>
      </c>
      <c r="C64" s="70" t="s">
        <v>17</v>
      </c>
      <c r="D64" s="210"/>
      <c r="E64" s="210"/>
      <c r="F64" s="210"/>
      <c r="G64" s="210"/>
      <c r="H64" s="406">
        <f>SUM(Tabla132112410[[#This Row],[PRIMER TRIMESTRE]:[CUARTO TRIMESTRE]])</f>
        <v>0</v>
      </c>
      <c r="I64" s="72">
        <v>7043.16</v>
      </c>
      <c r="J64" s="72">
        <f t="shared" si="0"/>
        <v>0</v>
      </c>
      <c r="K64" s="72"/>
      <c r="L64" s="16" t="s">
        <v>18</v>
      </c>
      <c r="M64" s="73" t="s">
        <v>22</v>
      </c>
      <c r="N64" s="70" t="s">
        <v>418</v>
      </c>
    </row>
    <row r="65" spans="1:14" s="169" customFormat="1" ht="18">
      <c r="A65" s="180" t="s">
        <v>46</v>
      </c>
      <c r="B65" s="77" t="s">
        <v>554</v>
      </c>
      <c r="C65" s="70" t="s">
        <v>17</v>
      </c>
      <c r="D65" s="210"/>
      <c r="E65" s="210"/>
      <c r="F65" s="210"/>
      <c r="G65" s="210"/>
      <c r="H65" s="406">
        <f>SUM(Tabla132112410[[#This Row],[PRIMER TRIMESTRE]:[CUARTO TRIMESTRE]])</f>
        <v>0</v>
      </c>
      <c r="I65" s="72">
        <v>12210</v>
      </c>
      <c r="J65" s="72">
        <f t="shared" si="0"/>
        <v>0</v>
      </c>
      <c r="K65" s="72"/>
      <c r="L65" s="16" t="s">
        <v>18</v>
      </c>
      <c r="M65" s="73" t="s">
        <v>22</v>
      </c>
      <c r="N65" s="70" t="s">
        <v>418</v>
      </c>
    </row>
    <row r="66" spans="1:14" s="169" customFormat="1" ht="18">
      <c r="A66" s="180" t="s">
        <v>46</v>
      </c>
      <c r="B66" s="77" t="s">
        <v>555</v>
      </c>
      <c r="C66" s="70" t="s">
        <v>17</v>
      </c>
      <c r="D66" s="210"/>
      <c r="E66" s="210"/>
      <c r="F66" s="210"/>
      <c r="G66" s="210"/>
      <c r="H66" s="406">
        <f>SUM(Tabla132112410[[#This Row],[PRIMER TRIMESTRE]:[CUARTO TRIMESTRE]])</f>
        <v>0</v>
      </c>
      <c r="I66" s="72">
        <v>4029.25</v>
      </c>
      <c r="J66" s="72">
        <f t="shared" si="0"/>
        <v>0</v>
      </c>
      <c r="K66" s="72"/>
      <c r="L66" s="16" t="s">
        <v>18</v>
      </c>
      <c r="M66" s="73" t="s">
        <v>22</v>
      </c>
      <c r="N66" s="70" t="s">
        <v>418</v>
      </c>
    </row>
    <row r="67" spans="1:14" s="169" customFormat="1" ht="18">
      <c r="A67" s="407"/>
      <c r="B67" s="77"/>
      <c r="C67" s="70"/>
      <c r="D67" s="210"/>
      <c r="E67" s="210"/>
      <c r="F67" s="210"/>
      <c r="G67" s="210"/>
      <c r="H67" s="406"/>
      <c r="I67" s="72"/>
      <c r="J67" s="72"/>
      <c r="K67" s="72"/>
      <c r="L67" s="16"/>
      <c r="M67" s="73"/>
      <c r="N67" s="70"/>
    </row>
    <row r="68" spans="1:14" s="169" customFormat="1" ht="18">
      <c r="A68" s="180" t="s">
        <v>46</v>
      </c>
      <c r="B68" s="77" t="s">
        <v>556</v>
      </c>
      <c r="C68" s="70" t="s">
        <v>17</v>
      </c>
      <c r="D68" s="210"/>
      <c r="E68" s="210"/>
      <c r="F68" s="210"/>
      <c r="G68" s="210"/>
      <c r="H68" s="406">
        <f>SUM(Tabla132112410[[#This Row],[PRIMER TRIMESTRE]:[CUARTO TRIMESTRE]])</f>
        <v>0</v>
      </c>
      <c r="I68" s="72">
        <v>33660</v>
      </c>
      <c r="J68" s="72">
        <f t="shared" si="0"/>
        <v>0</v>
      </c>
      <c r="K68" s="72"/>
      <c r="L68" s="16" t="s">
        <v>18</v>
      </c>
      <c r="M68" s="73" t="s">
        <v>22</v>
      </c>
      <c r="N68" s="70" t="s">
        <v>418</v>
      </c>
    </row>
    <row r="69" spans="1:14" s="243" customFormat="1" ht="18">
      <c r="A69" s="180" t="s">
        <v>46</v>
      </c>
      <c r="B69" s="77" t="s">
        <v>557</v>
      </c>
      <c r="C69" s="70" t="s">
        <v>17</v>
      </c>
      <c r="D69" s="210"/>
      <c r="E69" s="210"/>
      <c r="F69" s="210"/>
      <c r="G69" s="210"/>
      <c r="H69" s="406">
        <f>SUM(Tabla132112410[[#This Row],[PRIMER TRIMESTRE]:[CUARTO TRIMESTRE]])</f>
        <v>0</v>
      </c>
      <c r="I69" s="72">
        <v>27205.48</v>
      </c>
      <c r="J69" s="72">
        <f t="shared" si="0"/>
        <v>0</v>
      </c>
      <c r="K69" s="72"/>
      <c r="L69" s="16" t="s">
        <v>18</v>
      </c>
      <c r="M69" s="73" t="s">
        <v>22</v>
      </c>
      <c r="N69" s="70" t="s">
        <v>418</v>
      </c>
    </row>
    <row r="70" spans="1:14" s="169" customFormat="1" ht="18">
      <c r="A70" s="180" t="s">
        <v>46</v>
      </c>
      <c r="B70" s="77" t="s">
        <v>558</v>
      </c>
      <c r="C70" s="70" t="s">
        <v>17</v>
      </c>
      <c r="D70" s="210"/>
      <c r="E70" s="210"/>
      <c r="F70" s="210"/>
      <c r="G70" s="210"/>
      <c r="H70" s="406">
        <f>SUM(Tabla132112410[[#This Row],[PRIMER TRIMESTRE]:[CUARTO TRIMESTRE]])</f>
        <v>0</v>
      </c>
      <c r="I70" s="72">
        <v>14272.5</v>
      </c>
      <c r="J70" s="72">
        <f t="shared" si="0"/>
        <v>0</v>
      </c>
      <c r="K70" s="72"/>
      <c r="L70" s="16" t="s">
        <v>18</v>
      </c>
      <c r="M70" s="73" t="s">
        <v>22</v>
      </c>
      <c r="N70" s="70" t="s">
        <v>418</v>
      </c>
    </row>
    <row r="71" spans="1:14" s="169" customFormat="1" ht="18">
      <c r="A71" s="180" t="s">
        <v>46</v>
      </c>
      <c r="B71" s="77" t="s">
        <v>1398</v>
      </c>
      <c r="C71" s="70" t="s">
        <v>17</v>
      </c>
      <c r="D71" s="70"/>
      <c r="E71" s="70"/>
      <c r="F71" s="70"/>
      <c r="G71" s="70"/>
      <c r="H71" s="70">
        <f>SUM(Tabla132112410[[#This Row],[PRIMER TRIMESTRE]:[CUARTO TRIMESTRE]])</f>
        <v>0</v>
      </c>
      <c r="I71" s="72">
        <v>9279.9</v>
      </c>
      <c r="J71" s="72">
        <f t="shared" si="0"/>
        <v>0</v>
      </c>
      <c r="K71" s="72"/>
      <c r="L71" s="16" t="s">
        <v>18</v>
      </c>
      <c r="M71" s="73" t="s">
        <v>22</v>
      </c>
      <c r="N71" s="70" t="s">
        <v>418</v>
      </c>
    </row>
    <row r="72" spans="1:14" s="169" customFormat="1" ht="18">
      <c r="A72" s="180" t="s">
        <v>46</v>
      </c>
      <c r="B72" s="77" t="s">
        <v>560</v>
      </c>
      <c r="C72" s="70" t="s">
        <v>17</v>
      </c>
      <c r="D72" s="210"/>
      <c r="E72" s="210"/>
      <c r="F72" s="210"/>
      <c r="G72" s="210"/>
      <c r="H72" s="406">
        <f>SUM(Tabla132112410[[#This Row],[PRIMER TRIMESTRE]:[CUARTO TRIMESTRE]])</f>
        <v>0</v>
      </c>
      <c r="I72" s="72">
        <v>14190</v>
      </c>
      <c r="J72" s="72">
        <f t="shared" si="0"/>
        <v>0</v>
      </c>
      <c r="K72" s="72"/>
      <c r="L72" s="16" t="s">
        <v>18</v>
      </c>
      <c r="M72" s="73" t="s">
        <v>22</v>
      </c>
      <c r="N72" s="70" t="s">
        <v>418</v>
      </c>
    </row>
    <row r="73" spans="1:14" s="169" customFormat="1" ht="18">
      <c r="A73" s="180" t="s">
        <v>46</v>
      </c>
      <c r="B73" s="77" t="s">
        <v>561</v>
      </c>
      <c r="C73" s="70" t="s">
        <v>17</v>
      </c>
      <c r="D73" s="210"/>
      <c r="E73" s="210"/>
      <c r="F73" s="210"/>
      <c r="G73" s="210"/>
      <c r="H73" s="406">
        <f>SUM(Tabla132112410[[#This Row],[PRIMER TRIMESTRE]:[CUARTO TRIMESTRE]])</f>
        <v>0</v>
      </c>
      <c r="I73" s="72">
        <v>4200</v>
      </c>
      <c r="J73" s="72">
        <f t="shared" si="0"/>
        <v>0</v>
      </c>
      <c r="K73" s="72"/>
      <c r="L73" s="16" t="s">
        <v>18</v>
      </c>
      <c r="M73" s="73" t="s">
        <v>22</v>
      </c>
      <c r="N73" s="70" t="s">
        <v>418</v>
      </c>
    </row>
    <row r="74" spans="1:14" s="169" customFormat="1" ht="18">
      <c r="A74" s="180" t="s">
        <v>46</v>
      </c>
      <c r="B74" s="77" t="s">
        <v>764</v>
      </c>
      <c r="C74" s="70" t="s">
        <v>17</v>
      </c>
      <c r="D74" s="210"/>
      <c r="E74" s="210"/>
      <c r="F74" s="210"/>
      <c r="G74" s="210"/>
      <c r="H74" s="406">
        <f>SUM(Tabla132112410[[#This Row],[PRIMER TRIMESTRE]:[CUARTO TRIMESTRE]])</f>
        <v>0</v>
      </c>
      <c r="I74" s="72">
        <v>12650</v>
      </c>
      <c r="J74" s="72">
        <f t="shared" si="0"/>
        <v>0</v>
      </c>
      <c r="K74" s="72"/>
      <c r="L74" s="16" t="s">
        <v>18</v>
      </c>
      <c r="M74" s="73" t="s">
        <v>22</v>
      </c>
      <c r="N74" s="70" t="s">
        <v>418</v>
      </c>
    </row>
    <row r="75" spans="1:14" s="26" customFormat="1" ht="18">
      <c r="A75" s="180" t="s">
        <v>46</v>
      </c>
      <c r="B75" s="77" t="s">
        <v>1399</v>
      </c>
      <c r="C75" s="70" t="s">
        <v>17</v>
      </c>
      <c r="D75" s="210"/>
      <c r="E75" s="210"/>
      <c r="F75" s="210"/>
      <c r="G75" s="210"/>
      <c r="H75" s="406">
        <f>SUM(Tabla132112410[[#This Row],[PRIMER TRIMESTRE]:[CUARTO TRIMESTRE]])</f>
        <v>0</v>
      </c>
      <c r="I75" s="72">
        <v>8500</v>
      </c>
      <c r="J75" s="72">
        <f t="shared" si="0"/>
        <v>0</v>
      </c>
      <c r="K75" s="72"/>
      <c r="L75" s="16" t="s">
        <v>18</v>
      </c>
      <c r="M75" s="73" t="s">
        <v>22</v>
      </c>
      <c r="N75" s="70" t="s">
        <v>418</v>
      </c>
    </row>
    <row r="76" spans="1:14" s="169" customFormat="1" ht="18">
      <c r="A76" s="180" t="s">
        <v>46</v>
      </c>
      <c r="B76" s="77" t="s">
        <v>1400</v>
      </c>
      <c r="C76" s="70" t="s">
        <v>17</v>
      </c>
      <c r="D76" s="210"/>
      <c r="E76" s="210"/>
      <c r="F76" s="210"/>
      <c r="G76" s="210"/>
      <c r="H76" s="406">
        <f>SUM(Tabla132112410[[#This Row],[PRIMER TRIMESTRE]:[CUARTO TRIMESTRE]])</f>
        <v>0</v>
      </c>
      <c r="I76" s="72">
        <v>9500</v>
      </c>
      <c r="J76" s="72">
        <f t="shared" si="0"/>
        <v>0</v>
      </c>
      <c r="K76" s="72"/>
      <c r="L76" s="16" t="s">
        <v>18</v>
      </c>
      <c r="M76" s="73" t="s">
        <v>22</v>
      </c>
      <c r="N76" s="70" t="s">
        <v>418</v>
      </c>
    </row>
    <row r="77" spans="1:14" s="169" customFormat="1" ht="18">
      <c r="A77" s="409" t="s">
        <v>46</v>
      </c>
      <c r="B77" s="43"/>
      <c r="C77" s="43"/>
      <c r="D77" s="238"/>
      <c r="E77" s="238"/>
      <c r="F77" s="238"/>
      <c r="G77" s="238"/>
      <c r="H77" s="43"/>
      <c r="I77" s="24"/>
      <c r="J77" s="24"/>
      <c r="K77" s="25">
        <f>SUBTOTAL(109,J45:J76)</f>
        <v>0</v>
      </c>
      <c r="L77" s="23"/>
      <c r="M77" s="23"/>
      <c r="N77" s="42"/>
    </row>
    <row r="78" spans="1:14" s="169" customFormat="1" ht="30">
      <c r="A78" s="180" t="s">
        <v>56</v>
      </c>
      <c r="B78" s="77" t="s">
        <v>563</v>
      </c>
      <c r="C78" s="70" t="s">
        <v>17</v>
      </c>
      <c r="D78" s="210"/>
      <c r="E78" s="210"/>
      <c r="F78" s="210"/>
      <c r="G78" s="210"/>
      <c r="H78" s="406">
        <f>SUM(Tabla132112410[[#This Row],[PRIMER TRIMESTRE]:[CUARTO TRIMESTRE]])</f>
        <v>0</v>
      </c>
      <c r="I78" s="72">
        <v>4500</v>
      </c>
      <c r="J78" s="72">
        <f>+H78*I78</f>
        <v>0</v>
      </c>
      <c r="K78" s="72"/>
      <c r="L78" s="73" t="s">
        <v>27</v>
      </c>
      <c r="M78" s="73" t="s">
        <v>22</v>
      </c>
      <c r="N78" s="70" t="s">
        <v>418</v>
      </c>
    </row>
    <row r="79" spans="1:14" s="169" customFormat="1" ht="30">
      <c r="A79" s="180" t="s">
        <v>56</v>
      </c>
      <c r="B79" s="77" t="s">
        <v>562</v>
      </c>
      <c r="C79" s="70" t="s">
        <v>17</v>
      </c>
      <c r="D79" s="210"/>
      <c r="E79" s="210"/>
      <c r="F79" s="210"/>
      <c r="G79" s="210"/>
      <c r="H79" s="406">
        <f>SUM(Tabla132112410[[#This Row],[PRIMER TRIMESTRE]:[CUARTO TRIMESTRE]])</f>
        <v>0</v>
      </c>
      <c r="I79" s="72">
        <v>6800</v>
      </c>
      <c r="J79" s="72">
        <f>+H79*I79</f>
        <v>0</v>
      </c>
      <c r="K79" s="72"/>
      <c r="L79" s="73" t="s">
        <v>27</v>
      </c>
      <c r="M79" s="73" t="s">
        <v>22</v>
      </c>
      <c r="N79" s="70" t="s">
        <v>418</v>
      </c>
    </row>
    <row r="80" spans="1:14" s="169" customFormat="1" ht="30">
      <c r="A80" s="180" t="s">
        <v>56</v>
      </c>
      <c r="B80" s="77" t="s">
        <v>61</v>
      </c>
      <c r="C80" s="70" t="s">
        <v>17</v>
      </c>
      <c r="D80" s="210"/>
      <c r="E80" s="210"/>
      <c r="F80" s="210"/>
      <c r="G80" s="210"/>
      <c r="H80" s="406">
        <f>SUM(Tabla132112410[[#This Row],[PRIMER TRIMESTRE]:[CUARTO TRIMESTRE]])</f>
        <v>0</v>
      </c>
      <c r="I80" s="72">
        <f>3600*1.2</f>
        <v>4320</v>
      </c>
      <c r="J80" s="72">
        <f>+Tabla132112410[[#This Row],[CANTIDAD TOTAL]]*Tabla132112410[[#This Row],[PRECIO UNITARIO ESTIMADO]]</f>
        <v>0</v>
      </c>
      <c r="K80" s="72"/>
      <c r="L80" s="73" t="s">
        <v>27</v>
      </c>
      <c r="M80" s="73" t="s">
        <v>22</v>
      </c>
      <c r="N80" s="70" t="s">
        <v>418</v>
      </c>
    </row>
    <row r="81" spans="1:14" s="169" customFormat="1" ht="30">
      <c r="A81" s="180" t="s">
        <v>56</v>
      </c>
      <c r="B81" s="77" t="s">
        <v>63</v>
      </c>
      <c r="C81" s="70" t="s">
        <v>17</v>
      </c>
      <c r="D81" s="210"/>
      <c r="E81" s="210"/>
      <c r="F81" s="210"/>
      <c r="G81" s="210"/>
      <c r="H81" s="406">
        <f>SUM(Tabla132112410[[#This Row],[PRIMER TRIMESTRE]:[CUARTO TRIMESTRE]])</f>
        <v>0</v>
      </c>
      <c r="I81" s="72">
        <v>6409</v>
      </c>
      <c r="J81" s="72">
        <f>+Tabla132112410[[#This Row],[CANTIDAD TOTAL]]*Tabla132112410[[#This Row],[PRECIO UNITARIO ESTIMADO]]</f>
        <v>0</v>
      </c>
      <c r="K81" s="72"/>
      <c r="L81" s="73" t="s">
        <v>27</v>
      </c>
      <c r="M81" s="73" t="s">
        <v>22</v>
      </c>
      <c r="N81" s="70" t="s">
        <v>418</v>
      </c>
    </row>
    <row r="82" spans="1:14" s="169" customFormat="1" ht="30">
      <c r="A82" s="180" t="s">
        <v>56</v>
      </c>
      <c r="B82" s="77" t="s">
        <v>64</v>
      </c>
      <c r="C82" s="70" t="s">
        <v>17</v>
      </c>
      <c r="D82" s="210"/>
      <c r="E82" s="210"/>
      <c r="F82" s="210"/>
      <c r="G82" s="210"/>
      <c r="H82" s="406">
        <f>SUM(Tabla132112410[[#This Row],[PRIMER TRIMESTRE]:[CUARTO TRIMESTRE]])</f>
        <v>0</v>
      </c>
      <c r="I82" s="72">
        <v>6500</v>
      </c>
      <c r="J82" s="72">
        <f>+Tabla132112410[[#This Row],[CANTIDAD TOTAL]]*Tabla132112410[[#This Row],[PRECIO UNITARIO ESTIMADO]]</f>
        <v>0</v>
      </c>
      <c r="K82" s="72"/>
      <c r="L82" s="73" t="s">
        <v>27</v>
      </c>
      <c r="M82" s="73" t="s">
        <v>22</v>
      </c>
      <c r="N82" s="70" t="s">
        <v>418</v>
      </c>
    </row>
    <row r="83" spans="1:14" s="169" customFormat="1" ht="30">
      <c r="A83" s="180" t="s">
        <v>56</v>
      </c>
      <c r="B83" s="77" t="s">
        <v>65</v>
      </c>
      <c r="C83" s="70" t="s">
        <v>17</v>
      </c>
      <c r="D83" s="210"/>
      <c r="E83" s="210"/>
      <c r="F83" s="210"/>
      <c r="G83" s="210"/>
      <c r="H83" s="406">
        <f>SUM(Tabla132112410[[#This Row],[PRIMER TRIMESTRE]:[CUARTO TRIMESTRE]])</f>
        <v>0</v>
      </c>
      <c r="I83" s="72">
        <v>6500</v>
      </c>
      <c r="J83" s="72">
        <f>+H83*I83</f>
        <v>0</v>
      </c>
      <c r="K83" s="72"/>
      <c r="L83" s="73" t="s">
        <v>27</v>
      </c>
      <c r="M83" s="73" t="s">
        <v>22</v>
      </c>
      <c r="N83" s="70" t="s">
        <v>418</v>
      </c>
    </row>
    <row r="84" spans="1:14" s="169" customFormat="1" ht="30">
      <c r="A84" s="180" t="s">
        <v>56</v>
      </c>
      <c r="B84" s="77" t="s">
        <v>1422</v>
      </c>
      <c r="C84" s="70" t="s">
        <v>17</v>
      </c>
      <c r="D84" s="210"/>
      <c r="E84" s="210"/>
      <c r="F84" s="210"/>
      <c r="G84" s="210"/>
      <c r="H84" s="406">
        <f>SUM(Tabla132112410[[#This Row],[PRIMER TRIMESTRE]:[CUARTO TRIMESTRE]])</f>
        <v>0</v>
      </c>
      <c r="I84" s="72">
        <v>7965.33</v>
      </c>
      <c r="J84" s="72">
        <f>+Tabla132112410[[#This Row],[CANTIDAD TOTAL]]*Tabla132112410[[#This Row],[PRECIO UNITARIO ESTIMADO]]</f>
        <v>0</v>
      </c>
      <c r="K84" s="72"/>
      <c r="L84" s="73" t="s">
        <v>27</v>
      </c>
      <c r="M84" s="73" t="s">
        <v>22</v>
      </c>
      <c r="N84" s="70" t="s">
        <v>418</v>
      </c>
    </row>
    <row r="85" spans="1:14" s="111" customFormat="1" ht="30">
      <c r="A85" s="180" t="s">
        <v>56</v>
      </c>
      <c r="B85" s="77" t="s">
        <v>66</v>
      </c>
      <c r="C85" s="70" t="s">
        <v>17</v>
      </c>
      <c r="D85" s="210"/>
      <c r="E85" s="210"/>
      <c r="F85" s="210"/>
      <c r="G85" s="210"/>
      <c r="H85" s="406">
        <f>SUM(Tabla132112410[[#This Row],[PRIMER TRIMESTRE]:[CUARTO TRIMESTRE]])</f>
        <v>0</v>
      </c>
      <c r="I85" s="72">
        <v>9976</v>
      </c>
      <c r="J85" s="72">
        <f>+Tabla132112410[[#This Row],[CANTIDAD TOTAL]]*Tabla132112410[[#This Row],[PRECIO UNITARIO ESTIMADO]]</f>
        <v>0</v>
      </c>
      <c r="K85" s="72"/>
      <c r="L85" s="73" t="s">
        <v>27</v>
      </c>
      <c r="M85" s="73" t="s">
        <v>22</v>
      </c>
      <c r="N85" s="70" t="s">
        <v>418</v>
      </c>
    </row>
    <row r="86" spans="1:14" s="111" customFormat="1" ht="30">
      <c r="A86" s="180" t="s">
        <v>56</v>
      </c>
      <c r="B86" s="77" t="s">
        <v>1848</v>
      </c>
      <c r="C86" s="70" t="s">
        <v>17</v>
      </c>
      <c r="D86" s="210"/>
      <c r="E86" s="210"/>
      <c r="F86" s="210"/>
      <c r="G86" s="210"/>
      <c r="H86" s="406">
        <v>0</v>
      </c>
      <c r="I86" s="72">
        <v>0</v>
      </c>
      <c r="J86" s="72">
        <v>0</v>
      </c>
      <c r="K86" s="72"/>
      <c r="L86" s="73" t="s">
        <v>27</v>
      </c>
      <c r="M86" s="73" t="s">
        <v>22</v>
      </c>
      <c r="N86" s="70" t="s">
        <v>418</v>
      </c>
    </row>
    <row r="87" spans="1:14" s="26" customFormat="1" ht="30">
      <c r="A87" s="180" t="s">
        <v>56</v>
      </c>
      <c r="B87" s="77" t="s">
        <v>765</v>
      </c>
      <c r="C87" s="70" t="s">
        <v>17</v>
      </c>
      <c r="D87" s="210"/>
      <c r="E87" s="210"/>
      <c r="F87" s="210"/>
      <c r="G87" s="210"/>
      <c r="H87" s="406">
        <f>SUM(Tabla132112410[[#This Row],[PRIMER TRIMESTRE]:[CUARTO TRIMESTRE]])</f>
        <v>0</v>
      </c>
      <c r="I87" s="72">
        <v>11500</v>
      </c>
      <c r="J87" s="72">
        <f>+H87*I87</f>
        <v>0</v>
      </c>
      <c r="K87" s="72"/>
      <c r="L87" s="73" t="s">
        <v>27</v>
      </c>
      <c r="M87" s="73" t="s">
        <v>22</v>
      </c>
      <c r="N87" s="70" t="s">
        <v>418</v>
      </c>
    </row>
    <row r="88" spans="1:14" s="12" customFormat="1" ht="18">
      <c r="A88" s="70" t="s">
        <v>56</v>
      </c>
      <c r="B88" s="77" t="s">
        <v>1401</v>
      </c>
      <c r="C88" s="70" t="s">
        <v>17</v>
      </c>
      <c r="D88" s="70"/>
      <c r="E88" s="70"/>
      <c r="F88" s="70"/>
      <c r="G88" s="70"/>
      <c r="H88" s="70">
        <f>SUM(Tabla132112410[[#This Row],[PRIMER TRIMESTRE]:[CUARTO TRIMESTRE]])</f>
        <v>0</v>
      </c>
      <c r="I88" s="72">
        <v>250</v>
      </c>
      <c r="J88" s="72">
        <f>+H88*I88</f>
        <v>0</v>
      </c>
      <c r="K88" s="72"/>
      <c r="L88" s="73" t="s">
        <v>27</v>
      </c>
      <c r="M88" s="73" t="s">
        <v>22</v>
      </c>
      <c r="N88" s="70" t="s">
        <v>418</v>
      </c>
    </row>
    <row r="89" spans="1:14" s="12" customFormat="1" ht="31.5">
      <c r="A89" s="179" t="s">
        <v>56</v>
      </c>
      <c r="B89" s="76"/>
      <c r="C89" s="42"/>
      <c r="D89" s="237"/>
      <c r="E89" s="237"/>
      <c r="F89" s="237"/>
      <c r="G89" s="237"/>
      <c r="H89" s="43"/>
      <c r="I89" s="24"/>
      <c r="J89" s="24"/>
      <c r="K89" s="25">
        <f>SUM(J78:J88)</f>
        <v>0</v>
      </c>
      <c r="L89" s="23"/>
      <c r="M89" s="23"/>
      <c r="N89" s="42"/>
    </row>
    <row r="90" spans="1:14" s="12" customFormat="1" ht="18">
      <c r="A90" s="180" t="s">
        <v>62</v>
      </c>
      <c r="B90" s="77" t="s">
        <v>68</v>
      </c>
      <c r="C90" s="70" t="s">
        <v>69</v>
      </c>
      <c r="D90" s="210"/>
      <c r="E90" s="210"/>
      <c r="F90" s="210"/>
      <c r="G90" s="210"/>
      <c r="H90" s="406">
        <f>SUM(Tabla132112410[[#This Row],[PRIMER TRIMESTRE]:[CUARTO TRIMESTRE]])</f>
        <v>0</v>
      </c>
      <c r="I90" s="17">
        <v>320.89999999999998</v>
      </c>
      <c r="J90" s="17">
        <f>+Tabla132112410[[#This Row],[CANTIDAD TOTAL]]*Tabla132112410[[#This Row],[PRECIO UNITARIO ESTIMADO]]</f>
        <v>0</v>
      </c>
      <c r="K90" s="17"/>
      <c r="L90" s="16" t="s">
        <v>27</v>
      </c>
      <c r="M90" s="16" t="s">
        <v>22</v>
      </c>
      <c r="N90" s="39" t="s">
        <v>418</v>
      </c>
    </row>
    <row r="91" spans="1:14" s="12" customFormat="1" ht="18">
      <c r="A91" s="180" t="s">
        <v>62</v>
      </c>
      <c r="B91" s="77" t="s">
        <v>461</v>
      </c>
      <c r="C91" s="70" t="s">
        <v>69</v>
      </c>
      <c r="D91" s="210"/>
      <c r="E91" s="210"/>
      <c r="F91" s="210"/>
      <c r="G91" s="210"/>
      <c r="H91" s="406">
        <f>SUM(Tabla132112410[[#This Row],[PRIMER TRIMESTRE]:[CUARTO TRIMESTRE]])</f>
        <v>0</v>
      </c>
      <c r="I91" s="17">
        <v>561.17999999999995</v>
      </c>
      <c r="J91" s="17">
        <f>+H91*I91</f>
        <v>0</v>
      </c>
      <c r="K91" s="17"/>
      <c r="L91" s="16" t="s">
        <v>27</v>
      </c>
      <c r="M91" s="16" t="s">
        <v>22</v>
      </c>
      <c r="N91" s="39" t="s">
        <v>418</v>
      </c>
    </row>
    <row r="92" spans="1:14" s="12" customFormat="1" ht="18">
      <c r="A92" s="180" t="s">
        <v>62</v>
      </c>
      <c r="B92" s="77" t="s">
        <v>1149</v>
      </c>
      <c r="C92" s="70" t="s">
        <v>69</v>
      </c>
      <c r="D92" s="210"/>
      <c r="E92" s="210"/>
      <c r="F92" s="210"/>
      <c r="G92" s="210"/>
      <c r="H92" s="406">
        <f>SUM(Tabla132112410[[#This Row],[PRIMER TRIMESTRE]:[CUARTO TRIMESTRE]])</f>
        <v>0</v>
      </c>
      <c r="I92" s="17">
        <v>1900</v>
      </c>
      <c r="J92" s="17">
        <f>+H92*I92</f>
        <v>0</v>
      </c>
      <c r="K92" s="17"/>
      <c r="L92" s="16" t="s">
        <v>27</v>
      </c>
      <c r="M92" s="16" t="s">
        <v>22</v>
      </c>
      <c r="N92" s="39" t="s">
        <v>418</v>
      </c>
    </row>
    <row r="93" spans="1:14" s="12" customFormat="1" ht="18">
      <c r="A93" s="180" t="s">
        <v>62</v>
      </c>
      <c r="B93" s="77" t="s">
        <v>567</v>
      </c>
      <c r="C93" s="70" t="s">
        <v>17</v>
      </c>
      <c r="D93" s="210"/>
      <c r="E93" s="210"/>
      <c r="F93" s="210"/>
      <c r="G93" s="210"/>
      <c r="H93" s="406">
        <f>SUM(Tabla132112410[[#This Row],[PRIMER TRIMESTRE]:[CUARTO TRIMESTRE]])</f>
        <v>0</v>
      </c>
      <c r="I93" s="17">
        <v>350</v>
      </c>
      <c r="J93" s="17">
        <f>+Tabla132112410[[#This Row],[CANTIDAD TOTAL]]*Tabla132112410[[#This Row],[PRECIO UNITARIO ESTIMADO]]</f>
        <v>0</v>
      </c>
      <c r="K93" s="17"/>
      <c r="L93" s="16" t="s">
        <v>27</v>
      </c>
      <c r="M93" s="16" t="s">
        <v>22</v>
      </c>
      <c r="N93" s="39" t="s">
        <v>418</v>
      </c>
    </row>
    <row r="94" spans="1:14" s="12" customFormat="1" ht="18">
      <c r="A94" s="180" t="s">
        <v>62</v>
      </c>
      <c r="B94" s="77" t="s">
        <v>472</v>
      </c>
      <c r="C94" s="70" t="s">
        <v>17</v>
      </c>
      <c r="D94" s="210"/>
      <c r="E94" s="210"/>
      <c r="F94" s="210"/>
      <c r="G94" s="210"/>
      <c r="H94" s="406">
        <f>SUM(Tabla132112410[[#This Row],[PRIMER TRIMESTRE]:[CUARTO TRIMESTRE]])</f>
        <v>0</v>
      </c>
      <c r="I94" s="17">
        <v>450.4</v>
      </c>
      <c r="J94" s="17">
        <f>+H94*I94</f>
        <v>0</v>
      </c>
      <c r="K94" s="17"/>
      <c r="L94" s="16" t="s">
        <v>27</v>
      </c>
      <c r="M94" s="16" t="s">
        <v>22</v>
      </c>
      <c r="N94" s="39" t="s">
        <v>418</v>
      </c>
    </row>
    <row r="95" spans="1:14" s="12" customFormat="1" ht="18">
      <c r="A95" s="180" t="s">
        <v>62</v>
      </c>
      <c r="B95" s="77" t="s">
        <v>1150</v>
      </c>
      <c r="C95" s="70" t="s">
        <v>17</v>
      </c>
      <c r="D95" s="210"/>
      <c r="E95" s="210"/>
      <c r="F95" s="210"/>
      <c r="G95" s="210"/>
      <c r="H95" s="406">
        <f>SUM(Tabla132112410[[#This Row],[PRIMER TRIMESTRE]:[CUARTO TRIMESTRE]])</f>
        <v>0</v>
      </c>
      <c r="I95" s="17">
        <v>450.4</v>
      </c>
      <c r="J95" s="17">
        <f>+H95*I95</f>
        <v>0</v>
      </c>
      <c r="K95" s="17"/>
      <c r="L95" s="16" t="s">
        <v>27</v>
      </c>
      <c r="M95" s="16" t="s">
        <v>22</v>
      </c>
      <c r="N95" s="39" t="s">
        <v>418</v>
      </c>
    </row>
    <row r="96" spans="1:14" s="12" customFormat="1" ht="18">
      <c r="A96" s="180" t="s">
        <v>62</v>
      </c>
      <c r="B96" s="77" t="s">
        <v>440</v>
      </c>
      <c r="C96" s="70" t="s">
        <v>17</v>
      </c>
      <c r="D96" s="210"/>
      <c r="E96" s="210"/>
      <c r="F96" s="210"/>
      <c r="G96" s="210"/>
      <c r="H96" s="406">
        <f>SUM(Tabla132112410[[#This Row],[PRIMER TRIMESTRE]:[CUARTO TRIMESTRE]])</f>
        <v>0</v>
      </c>
      <c r="I96" s="17">
        <v>7000</v>
      </c>
      <c r="J96" s="17">
        <f>+H96*I96</f>
        <v>0</v>
      </c>
      <c r="K96" s="17"/>
      <c r="L96" s="16" t="s">
        <v>27</v>
      </c>
      <c r="M96" s="16" t="s">
        <v>22</v>
      </c>
      <c r="N96" s="39" t="s">
        <v>418</v>
      </c>
    </row>
    <row r="97" spans="1:14" s="12" customFormat="1" ht="18">
      <c r="A97" s="180" t="s">
        <v>62</v>
      </c>
      <c r="B97" s="77" t="s">
        <v>435</v>
      </c>
      <c r="C97" s="70" t="s">
        <v>17</v>
      </c>
      <c r="D97" s="210"/>
      <c r="E97" s="210"/>
      <c r="F97" s="210"/>
      <c r="G97" s="210"/>
      <c r="H97" s="406">
        <f>SUM(Tabla132112410[[#This Row],[PRIMER TRIMESTRE]:[CUARTO TRIMESTRE]])</f>
        <v>0</v>
      </c>
      <c r="I97" s="17">
        <v>110</v>
      </c>
      <c r="J97" s="17">
        <f>+Tabla132112410[[#This Row],[CANTIDAD TOTAL]]*Tabla132112410[[#This Row],[PRECIO UNITARIO ESTIMADO]]</f>
        <v>0</v>
      </c>
      <c r="K97" s="17"/>
      <c r="L97" s="16" t="s">
        <v>27</v>
      </c>
      <c r="M97" s="16" t="s">
        <v>22</v>
      </c>
      <c r="N97" s="39" t="s">
        <v>418</v>
      </c>
    </row>
    <row r="98" spans="1:14" s="12" customFormat="1" ht="18">
      <c r="A98" s="180" t="s">
        <v>62</v>
      </c>
      <c r="B98" s="77" t="s">
        <v>729</v>
      </c>
      <c r="C98" s="70" t="s">
        <v>17</v>
      </c>
      <c r="D98" s="210"/>
      <c r="E98" s="210"/>
      <c r="F98" s="210"/>
      <c r="G98" s="210"/>
      <c r="H98" s="406">
        <f>SUM(Tabla132112410[[#This Row],[PRIMER TRIMESTRE]:[CUARTO TRIMESTRE]])</f>
        <v>0</v>
      </c>
      <c r="I98" s="17">
        <v>260</v>
      </c>
      <c r="J98" s="17">
        <f>+Tabla132112410[[#This Row],[CANTIDAD TOTAL]]*Tabla132112410[[#This Row],[PRECIO UNITARIO ESTIMADO]]</f>
        <v>0</v>
      </c>
      <c r="K98" s="17"/>
      <c r="L98" s="16" t="s">
        <v>27</v>
      </c>
      <c r="M98" s="16" t="s">
        <v>22</v>
      </c>
      <c r="N98" s="39" t="s">
        <v>418</v>
      </c>
    </row>
    <row r="99" spans="1:14" s="12" customFormat="1" ht="18">
      <c r="A99" s="180" t="s">
        <v>62</v>
      </c>
      <c r="B99" s="77" t="s">
        <v>731</v>
      </c>
      <c r="C99" s="70" t="s">
        <v>17</v>
      </c>
      <c r="D99" s="210"/>
      <c r="E99" s="210"/>
      <c r="F99" s="210"/>
      <c r="G99" s="210"/>
      <c r="H99" s="406">
        <f>SUM(Tabla132112410[[#This Row],[PRIMER TRIMESTRE]:[CUARTO TRIMESTRE]])</f>
        <v>0</v>
      </c>
      <c r="I99" s="17">
        <v>375</v>
      </c>
      <c r="J99" s="17">
        <f>+Tabla132112410[[#This Row],[CANTIDAD TOTAL]]*Tabla132112410[[#This Row],[PRECIO UNITARIO ESTIMADO]]</f>
        <v>0</v>
      </c>
      <c r="K99" s="17"/>
      <c r="L99" s="16" t="s">
        <v>27</v>
      </c>
      <c r="M99" s="16" t="s">
        <v>22</v>
      </c>
      <c r="N99" s="39" t="s">
        <v>418</v>
      </c>
    </row>
    <row r="100" spans="1:14" s="12" customFormat="1" ht="18">
      <c r="A100" s="180" t="s">
        <v>62</v>
      </c>
      <c r="B100" s="17" t="s">
        <v>1589</v>
      </c>
      <c r="C100" s="248" t="s">
        <v>17</v>
      </c>
      <c r="D100" s="210"/>
      <c r="E100" s="17"/>
      <c r="F100" s="17"/>
      <c r="G100" s="17"/>
      <c r="H100" s="406">
        <f>SUM(Tabla132112410[[#This Row],[PRIMER TRIMESTRE]:[CUARTO TRIMESTRE]])</f>
        <v>0</v>
      </c>
      <c r="I100" s="17">
        <v>425</v>
      </c>
      <c r="J100" s="17">
        <f>+H100*I100</f>
        <v>0</v>
      </c>
      <c r="K100" s="17"/>
      <c r="L100" s="16" t="s">
        <v>27</v>
      </c>
      <c r="M100" s="16" t="s">
        <v>22</v>
      </c>
      <c r="N100" s="39" t="s">
        <v>418</v>
      </c>
    </row>
    <row r="101" spans="1:14" s="12" customFormat="1" ht="18">
      <c r="A101" s="180" t="s">
        <v>62</v>
      </c>
      <c r="B101" s="77" t="s">
        <v>72</v>
      </c>
      <c r="C101" s="70" t="s">
        <v>17</v>
      </c>
      <c r="D101" s="210"/>
      <c r="E101" s="210"/>
      <c r="F101" s="210"/>
      <c r="G101" s="210"/>
      <c r="H101" s="406">
        <f>SUM(Tabla132112410[[#This Row],[PRIMER TRIMESTRE]:[CUARTO TRIMESTRE]])</f>
        <v>0</v>
      </c>
      <c r="I101" s="72">
        <v>295</v>
      </c>
      <c r="J101" s="17">
        <f>+Tabla132112410[[#This Row],[CANTIDAD TOTAL]]*Tabla132112410[[#This Row],[PRECIO UNITARIO ESTIMADO]]</f>
        <v>0</v>
      </c>
      <c r="K101" s="17"/>
      <c r="L101" s="16" t="s">
        <v>27</v>
      </c>
      <c r="M101" s="16" t="s">
        <v>22</v>
      </c>
      <c r="N101" s="39" t="s">
        <v>418</v>
      </c>
    </row>
    <row r="102" spans="1:14" s="12" customFormat="1" ht="18">
      <c r="A102" s="180" t="s">
        <v>62</v>
      </c>
      <c r="B102" s="77" t="s">
        <v>467</v>
      </c>
      <c r="C102" s="70" t="s">
        <v>17</v>
      </c>
      <c r="D102" s="210"/>
      <c r="E102" s="210"/>
      <c r="F102" s="210"/>
      <c r="G102" s="210"/>
      <c r="H102" s="406">
        <f>SUM(Tabla132112410[[#This Row],[PRIMER TRIMESTRE]:[CUARTO TRIMESTRE]])</f>
        <v>0</v>
      </c>
      <c r="I102" s="72">
        <v>852.71</v>
      </c>
      <c r="J102" s="17">
        <f t="shared" ref="J102:J118" si="1">+H102*I102</f>
        <v>0</v>
      </c>
      <c r="K102" s="17"/>
      <c r="L102" s="16" t="s">
        <v>27</v>
      </c>
      <c r="M102" s="16" t="s">
        <v>22</v>
      </c>
      <c r="N102" s="39" t="s">
        <v>418</v>
      </c>
    </row>
    <row r="103" spans="1:14" s="12" customFormat="1" ht="18">
      <c r="A103" s="180" t="s">
        <v>62</v>
      </c>
      <c r="B103" s="75" t="s">
        <v>1155</v>
      </c>
      <c r="C103" s="39" t="s">
        <v>17</v>
      </c>
      <c r="D103" s="236"/>
      <c r="E103" s="236"/>
      <c r="F103" s="236"/>
      <c r="G103" s="236"/>
      <c r="H103" s="40">
        <f>SUM(Tabla132112410[[#This Row],[PRIMER TRIMESTRE]:[CUARTO TRIMESTRE]])</f>
        <v>0</v>
      </c>
      <c r="I103" s="72">
        <v>600</v>
      </c>
      <c r="J103" s="17">
        <f t="shared" si="1"/>
        <v>0</v>
      </c>
      <c r="K103" s="17"/>
      <c r="L103" s="16" t="s">
        <v>27</v>
      </c>
      <c r="M103" s="16" t="s">
        <v>22</v>
      </c>
      <c r="N103" s="39" t="s">
        <v>418</v>
      </c>
    </row>
    <row r="104" spans="1:14" s="12" customFormat="1" ht="18">
      <c r="A104" s="180" t="s">
        <v>62</v>
      </c>
      <c r="B104" s="75" t="s">
        <v>1156</v>
      </c>
      <c r="C104" s="39" t="s">
        <v>17</v>
      </c>
      <c r="D104" s="39"/>
      <c r="E104" s="39"/>
      <c r="F104" s="39"/>
      <c r="G104" s="39"/>
      <c r="H104" s="39">
        <f>SUM(Tabla132112410[[#This Row],[PRIMER TRIMESTRE]:[CUARTO TRIMESTRE]])</f>
        <v>0</v>
      </c>
      <c r="I104" s="72">
        <v>700</v>
      </c>
      <c r="J104" s="17">
        <f t="shared" si="1"/>
        <v>0</v>
      </c>
      <c r="K104" s="17"/>
      <c r="L104" s="16" t="s">
        <v>27</v>
      </c>
      <c r="M104" s="16" t="s">
        <v>22</v>
      </c>
      <c r="N104" s="39" t="s">
        <v>418</v>
      </c>
    </row>
    <row r="105" spans="1:14" s="12" customFormat="1" ht="18">
      <c r="A105" s="180" t="s">
        <v>62</v>
      </c>
      <c r="B105" s="75" t="s">
        <v>1612</v>
      </c>
      <c r="C105" s="39" t="s">
        <v>17</v>
      </c>
      <c r="D105" s="39"/>
      <c r="E105" s="39"/>
      <c r="F105" s="39"/>
      <c r="G105" s="39"/>
      <c r="H105" s="39">
        <f>SUM(Tabla132112410[[#This Row],[PRIMER TRIMESTRE]:[CUARTO TRIMESTRE]])</f>
        <v>0</v>
      </c>
      <c r="I105" s="72">
        <v>835</v>
      </c>
      <c r="J105" s="17">
        <f t="shared" si="1"/>
        <v>0</v>
      </c>
      <c r="K105" s="17"/>
      <c r="L105" s="16" t="s">
        <v>27</v>
      </c>
      <c r="M105" s="16" t="s">
        <v>22</v>
      </c>
      <c r="N105" s="39" t="s">
        <v>418</v>
      </c>
    </row>
    <row r="106" spans="1:14" s="12" customFormat="1" ht="18">
      <c r="A106" s="180" t="s">
        <v>62</v>
      </c>
      <c r="B106" s="75" t="s">
        <v>1613</v>
      </c>
      <c r="C106" s="39" t="s">
        <v>17</v>
      </c>
      <c r="D106" s="39"/>
      <c r="E106" s="39"/>
      <c r="F106" s="39"/>
      <c r="G106" s="39"/>
      <c r="H106" s="39">
        <f>SUM(Tabla132112410[[#This Row],[PRIMER TRIMESTRE]:[CUARTO TRIMESTRE]])</f>
        <v>0</v>
      </c>
      <c r="I106" s="72">
        <v>618</v>
      </c>
      <c r="J106" s="17">
        <f t="shared" si="1"/>
        <v>0</v>
      </c>
      <c r="K106" s="17"/>
      <c r="L106" s="16" t="s">
        <v>27</v>
      </c>
      <c r="M106" s="16" t="s">
        <v>22</v>
      </c>
      <c r="N106" s="39" t="s">
        <v>418</v>
      </c>
    </row>
    <row r="107" spans="1:14" s="12" customFormat="1" ht="18">
      <c r="A107" s="180" t="s">
        <v>62</v>
      </c>
      <c r="B107" s="75" t="s">
        <v>1706</v>
      </c>
      <c r="C107" s="39" t="s">
        <v>17</v>
      </c>
      <c r="D107" s="236"/>
      <c r="E107" s="236"/>
      <c r="F107" s="236"/>
      <c r="G107" s="236"/>
      <c r="H107" s="40">
        <v>0</v>
      </c>
      <c r="I107" s="72">
        <v>0</v>
      </c>
      <c r="J107" s="17">
        <v>0</v>
      </c>
      <c r="K107" s="17"/>
      <c r="L107" s="16" t="s">
        <v>27</v>
      </c>
      <c r="M107" s="16" t="s">
        <v>22</v>
      </c>
      <c r="N107" s="39" t="s">
        <v>418</v>
      </c>
    </row>
    <row r="108" spans="1:14" s="12" customFormat="1" ht="18">
      <c r="A108" s="180" t="s">
        <v>62</v>
      </c>
      <c r="B108" s="75" t="s">
        <v>1614</v>
      </c>
      <c r="C108" s="39" t="s">
        <v>17</v>
      </c>
      <c r="D108" s="39"/>
      <c r="E108" s="39"/>
      <c r="F108" s="39"/>
      <c r="G108" s="39"/>
      <c r="H108" s="39">
        <f>SUM(Tabla132112410[[#This Row],[PRIMER TRIMESTRE]:[CUARTO TRIMESTRE]])</f>
        <v>0</v>
      </c>
      <c r="I108" s="72">
        <v>280</v>
      </c>
      <c r="J108" s="17">
        <f t="shared" si="1"/>
        <v>0</v>
      </c>
      <c r="K108" s="17"/>
      <c r="L108" s="16" t="s">
        <v>27</v>
      </c>
      <c r="M108" s="16" t="s">
        <v>22</v>
      </c>
      <c r="N108" s="39" t="s">
        <v>418</v>
      </c>
    </row>
    <row r="109" spans="1:14" s="12" customFormat="1" ht="18">
      <c r="A109" s="180" t="s">
        <v>62</v>
      </c>
      <c r="B109" s="75" t="s">
        <v>1615</v>
      </c>
      <c r="C109" s="39" t="s">
        <v>17</v>
      </c>
      <c r="D109" s="39"/>
      <c r="E109" s="39"/>
      <c r="F109" s="39"/>
      <c r="G109" s="39"/>
      <c r="H109" s="39">
        <f>SUM(Tabla132112410[[#This Row],[PRIMER TRIMESTRE]:[CUARTO TRIMESTRE]])</f>
        <v>0</v>
      </c>
      <c r="I109" s="72">
        <v>447.46</v>
      </c>
      <c r="J109" s="17">
        <f t="shared" si="1"/>
        <v>0</v>
      </c>
      <c r="K109" s="17"/>
      <c r="L109" s="16" t="s">
        <v>27</v>
      </c>
      <c r="M109" s="16" t="s">
        <v>22</v>
      </c>
      <c r="N109" s="39" t="s">
        <v>418</v>
      </c>
    </row>
    <row r="110" spans="1:14" s="12" customFormat="1" ht="18">
      <c r="A110" s="180" t="s">
        <v>62</v>
      </c>
      <c r="B110" s="75" t="s">
        <v>1616</v>
      </c>
      <c r="C110" s="39" t="s">
        <v>718</v>
      </c>
      <c r="D110" s="39"/>
      <c r="E110" s="39"/>
      <c r="F110" s="39"/>
      <c r="G110" s="39"/>
      <c r="H110" s="39">
        <f>SUM(Tabla132112410[[#This Row],[PRIMER TRIMESTRE]:[CUARTO TRIMESTRE]])</f>
        <v>0</v>
      </c>
      <c r="I110" s="72">
        <v>452.8</v>
      </c>
      <c r="J110" s="17">
        <f t="shared" si="1"/>
        <v>0</v>
      </c>
      <c r="K110" s="17"/>
      <c r="L110" s="16" t="s">
        <v>27</v>
      </c>
      <c r="M110" s="16" t="s">
        <v>22</v>
      </c>
      <c r="N110" s="39" t="s">
        <v>418</v>
      </c>
    </row>
    <row r="111" spans="1:14" s="12" customFormat="1" ht="18">
      <c r="A111" s="180" t="s">
        <v>62</v>
      </c>
      <c r="B111" s="75" t="s">
        <v>1617</v>
      </c>
      <c r="C111" s="39" t="s">
        <v>718</v>
      </c>
      <c r="D111" s="39"/>
      <c r="E111" s="39"/>
      <c r="F111" s="39"/>
      <c r="G111" s="39"/>
      <c r="H111" s="39">
        <f>SUM(Tabla132112410[[#This Row],[PRIMER TRIMESTRE]:[CUARTO TRIMESTRE]])</f>
        <v>0</v>
      </c>
      <c r="I111" s="72">
        <v>431</v>
      </c>
      <c r="J111" s="17">
        <f t="shared" si="1"/>
        <v>0</v>
      </c>
      <c r="K111" s="17"/>
      <c r="L111" s="16" t="s">
        <v>27</v>
      </c>
      <c r="M111" s="16" t="s">
        <v>22</v>
      </c>
      <c r="N111" s="39" t="s">
        <v>418</v>
      </c>
    </row>
    <row r="112" spans="1:14" s="12" customFormat="1" ht="18">
      <c r="A112" s="180" t="s">
        <v>62</v>
      </c>
      <c r="B112" s="75" t="s">
        <v>1618</v>
      </c>
      <c r="C112" s="39" t="s">
        <v>718</v>
      </c>
      <c r="D112" s="39"/>
      <c r="E112" s="39"/>
      <c r="F112" s="39"/>
      <c r="G112" s="39"/>
      <c r="H112" s="39">
        <f>SUM(Tabla132112410[[#This Row],[PRIMER TRIMESTRE]:[CUARTO TRIMESTRE]])</f>
        <v>0</v>
      </c>
      <c r="I112" s="72">
        <v>145.30000000000001</v>
      </c>
      <c r="J112" s="17">
        <f t="shared" si="1"/>
        <v>0</v>
      </c>
      <c r="K112" s="17"/>
      <c r="L112" s="16" t="s">
        <v>27</v>
      </c>
      <c r="M112" s="16" t="s">
        <v>22</v>
      </c>
      <c r="N112" s="39" t="s">
        <v>418</v>
      </c>
    </row>
    <row r="113" spans="1:14" s="12" customFormat="1" ht="18">
      <c r="A113" s="180" t="s">
        <v>62</v>
      </c>
      <c r="B113" s="75" t="s">
        <v>1157</v>
      </c>
      <c r="C113" s="39" t="s">
        <v>17</v>
      </c>
      <c r="D113" s="236"/>
      <c r="E113" s="236"/>
      <c r="F113" s="236"/>
      <c r="G113" s="236"/>
      <c r="H113" s="40">
        <f>SUM(Tabla132112410[[#This Row],[PRIMER TRIMESTRE]:[CUARTO TRIMESTRE]])</f>
        <v>0</v>
      </c>
      <c r="I113" s="72">
        <v>800</v>
      </c>
      <c r="J113" s="17">
        <f t="shared" si="1"/>
        <v>0</v>
      </c>
      <c r="K113" s="17"/>
      <c r="L113" s="16" t="s">
        <v>27</v>
      </c>
      <c r="M113" s="16" t="s">
        <v>22</v>
      </c>
      <c r="N113" s="39" t="s">
        <v>418</v>
      </c>
    </row>
    <row r="114" spans="1:14" s="12" customFormat="1" ht="18">
      <c r="A114" s="180" t="s">
        <v>62</v>
      </c>
      <c r="B114" s="75" t="s">
        <v>1158</v>
      </c>
      <c r="C114" s="39" t="s">
        <v>17</v>
      </c>
      <c r="D114" s="236"/>
      <c r="E114" s="236"/>
      <c r="F114" s="236"/>
      <c r="G114" s="236"/>
      <c r="H114" s="40">
        <f>SUM(Tabla132112410[[#This Row],[PRIMER TRIMESTRE]:[CUARTO TRIMESTRE]])</f>
        <v>0</v>
      </c>
      <c r="I114" s="72">
        <v>900</v>
      </c>
      <c r="J114" s="17">
        <f t="shared" si="1"/>
        <v>0</v>
      </c>
      <c r="K114" s="17"/>
      <c r="L114" s="16" t="s">
        <v>27</v>
      </c>
      <c r="M114" s="16" t="s">
        <v>22</v>
      </c>
      <c r="N114" s="39" t="s">
        <v>418</v>
      </c>
    </row>
    <row r="115" spans="1:14" s="12" customFormat="1" ht="18">
      <c r="A115" s="180" t="s">
        <v>62</v>
      </c>
      <c r="B115" s="75" t="s">
        <v>1151</v>
      </c>
      <c r="C115" s="39" t="s">
        <v>17</v>
      </c>
      <c r="D115" s="236"/>
      <c r="E115" s="236"/>
      <c r="F115" s="236"/>
      <c r="G115" s="236"/>
      <c r="H115" s="40">
        <f>SUM(Tabla132112410[[#This Row],[PRIMER TRIMESTRE]:[CUARTO TRIMESTRE]])</f>
        <v>0</v>
      </c>
      <c r="I115" s="72">
        <v>375</v>
      </c>
      <c r="J115" s="17">
        <f t="shared" si="1"/>
        <v>0</v>
      </c>
      <c r="K115" s="17"/>
      <c r="L115" s="16" t="s">
        <v>27</v>
      </c>
      <c r="M115" s="16" t="s">
        <v>22</v>
      </c>
      <c r="N115" s="39" t="s">
        <v>418</v>
      </c>
    </row>
    <row r="116" spans="1:14" s="12" customFormat="1" ht="18">
      <c r="A116" s="180" t="s">
        <v>62</v>
      </c>
      <c r="B116" s="75" t="s">
        <v>1152</v>
      </c>
      <c r="C116" s="39" t="s">
        <v>17</v>
      </c>
      <c r="D116" s="236"/>
      <c r="E116" s="236"/>
      <c r="F116" s="236"/>
      <c r="G116" s="236"/>
      <c r="H116" s="40">
        <f>SUM(Tabla132112410[[#This Row],[PRIMER TRIMESTRE]:[CUARTO TRIMESTRE]])</f>
        <v>0</v>
      </c>
      <c r="I116" s="72">
        <v>1300</v>
      </c>
      <c r="J116" s="17">
        <f t="shared" si="1"/>
        <v>0</v>
      </c>
      <c r="K116" s="17"/>
      <c r="L116" s="16" t="s">
        <v>27</v>
      </c>
      <c r="M116" s="16" t="s">
        <v>22</v>
      </c>
      <c r="N116" s="39" t="s">
        <v>418</v>
      </c>
    </row>
    <row r="117" spans="1:14" s="12" customFormat="1" ht="18">
      <c r="A117" s="180" t="s">
        <v>62</v>
      </c>
      <c r="B117" s="75" t="s">
        <v>1153</v>
      </c>
      <c r="C117" s="39" t="s">
        <v>17</v>
      </c>
      <c r="D117" s="236"/>
      <c r="E117" s="236"/>
      <c r="F117" s="236"/>
      <c r="G117" s="236"/>
      <c r="H117" s="40">
        <f>SUM(Tabla132112410[[#This Row],[PRIMER TRIMESTRE]:[CUARTO TRIMESTRE]])</f>
        <v>0</v>
      </c>
      <c r="I117" s="72">
        <v>900</v>
      </c>
      <c r="J117" s="17">
        <f t="shared" si="1"/>
        <v>0</v>
      </c>
      <c r="K117" s="17"/>
      <c r="L117" s="16" t="s">
        <v>27</v>
      </c>
      <c r="M117" s="16" t="s">
        <v>22</v>
      </c>
      <c r="N117" s="39" t="s">
        <v>418</v>
      </c>
    </row>
    <row r="118" spans="1:14" s="12" customFormat="1" ht="18">
      <c r="A118" s="180" t="s">
        <v>62</v>
      </c>
      <c r="B118" s="75" t="s">
        <v>1154</v>
      </c>
      <c r="C118" s="39" t="s">
        <v>17</v>
      </c>
      <c r="D118" s="236"/>
      <c r="E118" s="236"/>
      <c r="F118" s="236"/>
      <c r="G118" s="236"/>
      <c r="H118" s="40">
        <f>SUM(Tabla132112410[[#This Row],[PRIMER TRIMESTRE]:[CUARTO TRIMESTRE]])</f>
        <v>0</v>
      </c>
      <c r="I118" s="72">
        <v>1800</v>
      </c>
      <c r="J118" s="17">
        <f t="shared" si="1"/>
        <v>0</v>
      </c>
      <c r="K118" s="17"/>
      <c r="L118" s="16" t="s">
        <v>27</v>
      </c>
      <c r="M118" s="16" t="s">
        <v>22</v>
      </c>
      <c r="N118" s="39" t="s">
        <v>418</v>
      </c>
    </row>
    <row r="119" spans="1:14" s="12" customFormat="1" ht="18">
      <c r="A119" s="180" t="s">
        <v>62</v>
      </c>
      <c r="B119" s="75" t="s">
        <v>1709</v>
      </c>
      <c r="C119" s="70" t="s">
        <v>17</v>
      </c>
      <c r="D119" s="236"/>
      <c r="E119" s="236"/>
      <c r="F119" s="236"/>
      <c r="G119" s="236"/>
      <c r="H119" s="40">
        <v>0</v>
      </c>
      <c r="I119" s="72">
        <v>0</v>
      </c>
      <c r="J119" s="17">
        <v>0</v>
      </c>
      <c r="K119" s="17"/>
      <c r="L119" s="16" t="s">
        <v>27</v>
      </c>
      <c r="M119" s="16" t="s">
        <v>22</v>
      </c>
      <c r="N119" s="39" t="s">
        <v>418</v>
      </c>
    </row>
    <row r="120" spans="1:14" s="26" customFormat="1" ht="18">
      <c r="A120" s="180" t="s">
        <v>62</v>
      </c>
      <c r="B120" s="77" t="s">
        <v>432</v>
      </c>
      <c r="C120" s="70" t="s">
        <v>17</v>
      </c>
      <c r="D120" s="210"/>
      <c r="E120" s="210"/>
      <c r="F120" s="210"/>
      <c r="G120" s="210"/>
      <c r="H120" s="406">
        <f>SUM(Tabla132112410[[#This Row],[PRIMER TRIMESTRE]:[CUARTO TRIMESTRE]])</f>
        <v>0</v>
      </c>
      <c r="I120" s="72">
        <v>350</v>
      </c>
      <c r="J120" s="17">
        <f>+Tabla132112410[[#This Row],[CANTIDAD TOTAL]]*Tabla132112410[[#This Row],[PRECIO UNITARIO ESTIMADO]]</f>
        <v>0</v>
      </c>
      <c r="K120" s="17"/>
      <c r="L120" s="16" t="s">
        <v>27</v>
      </c>
      <c r="M120" s="16" t="s">
        <v>22</v>
      </c>
      <c r="N120" s="39" t="s">
        <v>418</v>
      </c>
    </row>
    <row r="121" spans="1:14" s="26" customFormat="1" ht="18">
      <c r="A121" s="180" t="s">
        <v>62</v>
      </c>
      <c r="B121" s="77" t="s">
        <v>431</v>
      </c>
      <c r="C121" s="70" t="s">
        <v>17</v>
      </c>
      <c r="D121" s="210"/>
      <c r="E121" s="210"/>
      <c r="F121" s="210"/>
      <c r="G121" s="210"/>
      <c r="H121" s="406">
        <f>SUM(Tabla132112410[[#This Row],[PRIMER TRIMESTRE]:[CUARTO TRIMESTRE]])</f>
        <v>0</v>
      </c>
      <c r="I121" s="72">
        <v>397.45</v>
      </c>
      <c r="J121" s="17">
        <f>+Tabla132112410[[#This Row],[CANTIDAD TOTAL]]*Tabla132112410[[#This Row],[PRECIO UNITARIO ESTIMADO]]</f>
        <v>0</v>
      </c>
      <c r="K121" s="17"/>
      <c r="L121" s="16" t="s">
        <v>27</v>
      </c>
      <c r="M121" s="16" t="s">
        <v>22</v>
      </c>
      <c r="N121" s="39" t="s">
        <v>418</v>
      </c>
    </row>
    <row r="122" spans="1:14" s="26" customFormat="1" ht="18">
      <c r="A122" s="180" t="s">
        <v>62</v>
      </c>
      <c r="B122" s="75" t="s">
        <v>960</v>
      </c>
      <c r="C122" s="39" t="s">
        <v>17</v>
      </c>
      <c r="D122" s="236"/>
      <c r="E122" s="236"/>
      <c r="F122" s="236"/>
      <c r="G122" s="236"/>
      <c r="H122" s="40">
        <f>SUM(Tabla132112410[[#This Row],[PRIMER TRIMESTRE]:[CUARTO TRIMESTRE]])</f>
        <v>0</v>
      </c>
      <c r="I122" s="17">
        <v>400.75</v>
      </c>
      <c r="J122" s="17">
        <f>+H122*I122</f>
        <v>0</v>
      </c>
      <c r="K122" s="17"/>
      <c r="L122" s="16" t="s">
        <v>27</v>
      </c>
      <c r="M122" s="16" t="s">
        <v>22</v>
      </c>
      <c r="N122" s="39" t="s">
        <v>418</v>
      </c>
    </row>
    <row r="123" spans="1:14" s="12" customFormat="1" ht="18">
      <c r="A123" s="180" t="s">
        <v>62</v>
      </c>
      <c r="B123" s="75" t="s">
        <v>961</v>
      </c>
      <c r="C123" s="39" t="s">
        <v>17</v>
      </c>
      <c r="D123" s="236"/>
      <c r="E123" s="236"/>
      <c r="F123" s="236"/>
      <c r="G123" s="236"/>
      <c r="H123" s="40">
        <f>SUM(Tabla132112410[[#This Row],[PRIMER TRIMESTRE]:[CUARTO TRIMESTRE]])</f>
        <v>0</v>
      </c>
      <c r="I123" s="17">
        <v>216</v>
      </c>
      <c r="J123" s="17">
        <f>+H123*I123</f>
        <v>0</v>
      </c>
      <c r="K123" s="17"/>
      <c r="L123" s="16" t="s">
        <v>27</v>
      </c>
      <c r="M123" s="16" t="s">
        <v>22</v>
      </c>
      <c r="N123" s="39" t="s">
        <v>418</v>
      </c>
    </row>
    <row r="124" spans="1:14" s="12" customFormat="1" ht="18">
      <c r="A124" s="180" t="s">
        <v>62</v>
      </c>
      <c r="B124" s="75" t="s">
        <v>962</v>
      </c>
      <c r="C124" s="39" t="s">
        <v>17</v>
      </c>
      <c r="D124" s="236"/>
      <c r="E124" s="236"/>
      <c r="F124" s="236"/>
      <c r="G124" s="236"/>
      <c r="H124" s="40">
        <f>SUM(Tabla132112410[[#This Row],[PRIMER TRIMESTRE]:[CUARTO TRIMESTRE]])</f>
        <v>0</v>
      </c>
      <c r="I124" s="17">
        <v>249.67</v>
      </c>
      <c r="J124" s="17">
        <f>+H124*I124</f>
        <v>0</v>
      </c>
      <c r="K124" s="17"/>
      <c r="L124" s="16" t="s">
        <v>27</v>
      </c>
      <c r="M124" s="16" t="s">
        <v>22</v>
      </c>
      <c r="N124" s="39" t="s">
        <v>418</v>
      </c>
    </row>
    <row r="125" spans="1:14" s="12" customFormat="1" ht="18">
      <c r="A125" s="180" t="s">
        <v>62</v>
      </c>
      <c r="B125" s="77" t="s">
        <v>434</v>
      </c>
      <c r="C125" s="70" t="s">
        <v>17</v>
      </c>
      <c r="D125" s="210"/>
      <c r="E125" s="210"/>
      <c r="F125" s="210"/>
      <c r="G125" s="210"/>
      <c r="H125" s="406">
        <f>SUM(Tabla132112410[[#This Row],[PRIMER TRIMESTRE]:[CUARTO TRIMESTRE]])</f>
        <v>0</v>
      </c>
      <c r="I125" s="72">
        <v>1120.9100000000001</v>
      </c>
      <c r="J125" s="17">
        <f>+Tabla132112410[[#This Row],[CANTIDAD TOTAL]]*Tabla132112410[[#This Row],[PRECIO UNITARIO ESTIMADO]]</f>
        <v>0</v>
      </c>
      <c r="K125" s="17"/>
      <c r="L125" s="16" t="s">
        <v>27</v>
      </c>
      <c r="M125" s="16" t="s">
        <v>22</v>
      </c>
      <c r="N125" s="39" t="s">
        <v>418</v>
      </c>
    </row>
    <row r="126" spans="1:14" s="12" customFormat="1" ht="18">
      <c r="A126" s="180" t="s">
        <v>62</v>
      </c>
      <c r="B126" s="77" t="s">
        <v>76</v>
      </c>
      <c r="C126" s="70" t="s">
        <v>17</v>
      </c>
      <c r="D126" s="210"/>
      <c r="E126" s="210"/>
      <c r="F126" s="210"/>
      <c r="G126" s="210"/>
      <c r="H126" s="406">
        <f>SUM(Tabla132112410[[#This Row],[PRIMER TRIMESTRE]:[CUARTO TRIMESTRE]])</f>
        <v>0</v>
      </c>
      <c r="I126" s="17">
        <v>100.57</v>
      </c>
      <c r="J126" s="17">
        <f>+Tabla132112410[[#This Row],[CANTIDAD TOTAL]]*Tabla132112410[[#This Row],[PRECIO UNITARIO ESTIMADO]]</f>
        <v>0</v>
      </c>
      <c r="K126" s="17"/>
      <c r="L126" s="16" t="s">
        <v>27</v>
      </c>
      <c r="M126" s="16" t="s">
        <v>22</v>
      </c>
      <c r="N126" s="39" t="s">
        <v>418</v>
      </c>
    </row>
    <row r="127" spans="1:14" s="12" customFormat="1" ht="18">
      <c r="A127" s="180" t="s">
        <v>62</v>
      </c>
      <c r="B127" s="77" t="s">
        <v>433</v>
      </c>
      <c r="C127" s="70" t="s">
        <v>17</v>
      </c>
      <c r="D127" s="210"/>
      <c r="E127" s="210"/>
      <c r="F127" s="210"/>
      <c r="G127" s="210"/>
      <c r="H127" s="406">
        <f>SUM(Tabla132112410[[#This Row],[PRIMER TRIMESTRE]:[CUARTO TRIMESTRE]])</f>
        <v>0</v>
      </c>
      <c r="I127" s="17">
        <v>1144.23</v>
      </c>
      <c r="J127" s="17">
        <f>+Tabla132112410[[#This Row],[CANTIDAD TOTAL]]*Tabla132112410[[#This Row],[PRECIO UNITARIO ESTIMADO]]</f>
        <v>0</v>
      </c>
      <c r="K127" s="17"/>
      <c r="L127" s="16" t="s">
        <v>27</v>
      </c>
      <c r="M127" s="16" t="s">
        <v>22</v>
      </c>
      <c r="N127" s="39" t="s">
        <v>418</v>
      </c>
    </row>
    <row r="128" spans="1:14" s="12" customFormat="1" ht="18">
      <c r="A128" s="180" t="s">
        <v>62</v>
      </c>
      <c r="B128" s="77" t="s">
        <v>433</v>
      </c>
      <c r="C128" s="70" t="s">
        <v>17</v>
      </c>
      <c r="D128" s="210"/>
      <c r="E128" s="210"/>
      <c r="F128" s="210"/>
      <c r="G128" s="210"/>
      <c r="H128" s="210">
        <f>SUM(Tabla132112410[[#This Row],[PRIMER TRIMESTRE]:[CUARTO TRIMESTRE]])</f>
        <v>0</v>
      </c>
      <c r="I128" s="17">
        <v>280</v>
      </c>
      <c r="J128" s="17">
        <f>+H128*I128</f>
        <v>0</v>
      </c>
      <c r="K128" s="17"/>
      <c r="L128" s="16" t="s">
        <v>27</v>
      </c>
      <c r="M128" s="16" t="s">
        <v>22</v>
      </c>
      <c r="N128" s="39" t="s">
        <v>418</v>
      </c>
    </row>
    <row r="129" spans="1:14" s="12" customFormat="1" ht="18">
      <c r="A129" s="180" t="s">
        <v>62</v>
      </c>
      <c r="B129" s="77" t="s">
        <v>1159</v>
      </c>
      <c r="C129" s="70" t="s">
        <v>17</v>
      </c>
      <c r="D129" s="210"/>
      <c r="E129" s="210"/>
      <c r="F129" s="210"/>
      <c r="G129" s="210"/>
      <c r="H129" s="406">
        <f>SUM(Tabla132112410[[#This Row],[PRIMER TRIMESTRE]:[CUARTO TRIMESTRE]])</f>
        <v>0</v>
      </c>
      <c r="I129" s="17">
        <v>377</v>
      </c>
      <c r="J129" s="17">
        <f>+H129*I129</f>
        <v>0</v>
      </c>
      <c r="K129" s="17"/>
      <c r="L129" s="16" t="s">
        <v>27</v>
      </c>
      <c r="M129" s="16" t="s">
        <v>22</v>
      </c>
      <c r="N129" s="39" t="s">
        <v>418</v>
      </c>
    </row>
    <row r="130" spans="1:14" s="12" customFormat="1" ht="18">
      <c r="A130" s="180" t="s">
        <v>62</v>
      </c>
      <c r="B130" s="75" t="s">
        <v>78</v>
      </c>
      <c r="C130" s="39" t="s">
        <v>17</v>
      </c>
      <c r="D130" s="236"/>
      <c r="E130" s="236"/>
      <c r="F130" s="236"/>
      <c r="G130" s="236"/>
      <c r="H130" s="40">
        <f>SUM(Tabla132112410[[#This Row],[PRIMER TRIMESTRE]:[CUARTO TRIMESTRE]])</f>
        <v>0</v>
      </c>
      <c r="I130" s="17">
        <v>377</v>
      </c>
      <c r="J130" s="17">
        <f>+Tabla132112410[[#This Row],[CANTIDAD TOTAL]]*Tabla132112410[[#This Row],[PRECIO UNITARIO ESTIMADO]]</f>
        <v>0</v>
      </c>
      <c r="K130" s="17"/>
      <c r="L130" s="16" t="s">
        <v>27</v>
      </c>
      <c r="M130" s="16" t="s">
        <v>22</v>
      </c>
      <c r="N130" s="39" t="s">
        <v>418</v>
      </c>
    </row>
    <row r="131" spans="1:14" s="12" customFormat="1" ht="18">
      <c r="A131" s="180" t="s">
        <v>62</v>
      </c>
      <c r="B131" s="75" t="s">
        <v>1179</v>
      </c>
      <c r="C131" s="39" t="s">
        <v>17</v>
      </c>
      <c r="D131" s="236"/>
      <c r="E131" s="236"/>
      <c r="F131" s="236"/>
      <c r="G131" s="236"/>
      <c r="H131" s="40">
        <f>SUM(Tabla132112410[[#This Row],[PRIMER TRIMESTRE]:[CUARTO TRIMESTRE]])</f>
        <v>0</v>
      </c>
      <c r="I131" s="17">
        <v>350</v>
      </c>
      <c r="J131" s="17">
        <f t="shared" ref="J131:J138" si="2">+H131*I131</f>
        <v>0</v>
      </c>
      <c r="K131" s="17"/>
      <c r="L131" s="16" t="s">
        <v>27</v>
      </c>
      <c r="M131" s="16" t="s">
        <v>22</v>
      </c>
      <c r="N131" s="39" t="s">
        <v>418</v>
      </c>
    </row>
    <row r="132" spans="1:14" s="12" customFormat="1" ht="18">
      <c r="A132" s="180" t="s">
        <v>62</v>
      </c>
      <c r="B132" s="75" t="s">
        <v>1180</v>
      </c>
      <c r="C132" s="39" t="s">
        <v>17</v>
      </c>
      <c r="D132" s="236"/>
      <c r="E132" s="236"/>
      <c r="F132" s="236"/>
      <c r="G132" s="236"/>
      <c r="H132" s="40">
        <f>SUM(Tabla132112410[[#This Row],[PRIMER TRIMESTRE]:[CUARTO TRIMESTRE]])</f>
        <v>0</v>
      </c>
      <c r="I132" s="17">
        <v>350</v>
      </c>
      <c r="J132" s="17">
        <f t="shared" si="2"/>
        <v>0</v>
      </c>
      <c r="K132" s="17"/>
      <c r="L132" s="16" t="s">
        <v>27</v>
      </c>
      <c r="M132" s="16" t="s">
        <v>22</v>
      </c>
      <c r="N132" s="39" t="s">
        <v>418</v>
      </c>
    </row>
    <row r="133" spans="1:14" s="12" customFormat="1" ht="18">
      <c r="A133" s="180" t="s">
        <v>62</v>
      </c>
      <c r="B133" s="75" t="s">
        <v>1557</v>
      </c>
      <c r="C133" s="39" t="s">
        <v>17</v>
      </c>
      <c r="D133" s="236"/>
      <c r="E133" s="236"/>
      <c r="F133" s="236"/>
      <c r="G133" s="236"/>
      <c r="H133" s="40">
        <f>SUM(Tabla132112410[[#This Row],[PRIMER TRIMESTRE]:[CUARTO TRIMESTRE]])</f>
        <v>0</v>
      </c>
      <c r="I133" s="17">
        <v>220.66</v>
      </c>
      <c r="J133" s="17">
        <f t="shared" si="2"/>
        <v>0</v>
      </c>
      <c r="K133" s="17"/>
      <c r="L133" s="16" t="s">
        <v>27</v>
      </c>
      <c r="M133" s="16" t="s">
        <v>22</v>
      </c>
      <c r="N133" s="39" t="s">
        <v>418</v>
      </c>
    </row>
    <row r="134" spans="1:14" s="12" customFormat="1" ht="18">
      <c r="A134" s="180" t="s">
        <v>62</v>
      </c>
      <c r="B134" s="75" t="s">
        <v>1558</v>
      </c>
      <c r="C134" s="39" t="s">
        <v>17</v>
      </c>
      <c r="D134" s="236"/>
      <c r="E134" s="236"/>
      <c r="F134" s="236"/>
      <c r="G134" s="236"/>
      <c r="H134" s="40">
        <f>SUM(Tabla132112410[[#This Row],[PRIMER TRIMESTRE]:[CUARTO TRIMESTRE]])</f>
        <v>0</v>
      </c>
      <c r="I134" s="17">
        <v>353.52</v>
      </c>
      <c r="J134" s="17">
        <f t="shared" si="2"/>
        <v>0</v>
      </c>
      <c r="K134" s="17"/>
      <c r="L134" s="16" t="s">
        <v>27</v>
      </c>
      <c r="M134" s="16" t="s">
        <v>22</v>
      </c>
      <c r="N134" s="39" t="s">
        <v>418</v>
      </c>
    </row>
    <row r="135" spans="1:14" s="12" customFormat="1" ht="18">
      <c r="A135" s="180" t="s">
        <v>62</v>
      </c>
      <c r="B135" s="75" t="s">
        <v>1560</v>
      </c>
      <c r="C135" s="39" t="s">
        <v>17</v>
      </c>
      <c r="D135" s="236"/>
      <c r="E135" s="236"/>
      <c r="F135" s="236"/>
      <c r="G135" s="236"/>
      <c r="H135" s="40">
        <f>SUM(Tabla132112410[[#This Row],[PRIMER TRIMESTRE]:[CUARTO TRIMESTRE]])</f>
        <v>0</v>
      </c>
      <c r="I135" s="17">
        <v>147.30000000000001</v>
      </c>
      <c r="J135" s="17">
        <f t="shared" si="2"/>
        <v>0</v>
      </c>
      <c r="K135" s="17"/>
      <c r="L135" s="16" t="s">
        <v>27</v>
      </c>
      <c r="M135" s="16" t="s">
        <v>22</v>
      </c>
      <c r="N135" s="39" t="s">
        <v>418</v>
      </c>
    </row>
    <row r="136" spans="1:14" s="12" customFormat="1" ht="18">
      <c r="A136" s="180" t="s">
        <v>62</v>
      </c>
      <c r="B136" s="75" t="s">
        <v>1559</v>
      </c>
      <c r="C136" s="39" t="s">
        <v>17</v>
      </c>
      <c r="D136" s="236"/>
      <c r="E136" s="236"/>
      <c r="F136" s="236"/>
      <c r="G136" s="236"/>
      <c r="H136" s="40">
        <f>SUM(Tabla132112410[[#This Row],[PRIMER TRIMESTRE]:[CUARTO TRIMESTRE]])</f>
        <v>0</v>
      </c>
      <c r="I136" s="17">
        <v>6490.63</v>
      </c>
      <c r="J136" s="17">
        <f t="shared" si="2"/>
        <v>0</v>
      </c>
      <c r="K136" s="17"/>
      <c r="L136" s="16" t="s">
        <v>27</v>
      </c>
      <c r="M136" s="16" t="s">
        <v>22</v>
      </c>
      <c r="N136" s="39" t="s">
        <v>418</v>
      </c>
    </row>
    <row r="137" spans="1:14" s="12" customFormat="1" ht="18">
      <c r="A137" s="180" t="s">
        <v>62</v>
      </c>
      <c r="B137" s="75" t="s">
        <v>1554</v>
      </c>
      <c r="C137" s="39" t="s">
        <v>17</v>
      </c>
      <c r="D137" s="236"/>
      <c r="E137" s="236"/>
      <c r="F137" s="236"/>
      <c r="G137" s="236"/>
      <c r="H137" s="40">
        <f>SUM(Tabla132112410[[#This Row],[PRIMER TRIMESTRE]:[CUARTO TRIMESTRE]])</f>
        <v>0</v>
      </c>
      <c r="I137" s="17">
        <v>597.1</v>
      </c>
      <c r="J137" s="17">
        <f t="shared" si="2"/>
        <v>0</v>
      </c>
      <c r="K137" s="17"/>
      <c r="L137" s="16" t="s">
        <v>27</v>
      </c>
      <c r="M137" s="16" t="s">
        <v>22</v>
      </c>
      <c r="N137" s="39" t="s">
        <v>418</v>
      </c>
    </row>
    <row r="138" spans="1:14" s="12" customFormat="1" ht="18">
      <c r="A138" s="180" t="s">
        <v>62</v>
      </c>
      <c r="B138" s="75" t="s">
        <v>923</v>
      </c>
      <c r="C138" s="39" t="s">
        <v>17</v>
      </c>
      <c r="D138" s="236"/>
      <c r="E138" s="236"/>
      <c r="F138" s="236"/>
      <c r="G138" s="236"/>
      <c r="H138" s="40">
        <f>SUM(Tabla132112410[[#This Row],[PRIMER TRIMESTRE]:[CUARTO TRIMESTRE]])</f>
        <v>0</v>
      </c>
      <c r="I138" s="17">
        <v>5000</v>
      </c>
      <c r="J138" s="17">
        <f t="shared" si="2"/>
        <v>0</v>
      </c>
      <c r="K138" s="17"/>
      <c r="L138" s="16" t="s">
        <v>27</v>
      </c>
      <c r="M138" s="16" t="s">
        <v>22</v>
      </c>
      <c r="N138" s="39" t="s">
        <v>418</v>
      </c>
    </row>
    <row r="139" spans="1:14" s="12" customFormat="1" ht="18">
      <c r="A139" s="180" t="s">
        <v>62</v>
      </c>
      <c r="B139" s="77" t="s">
        <v>437</v>
      </c>
      <c r="C139" s="70" t="s">
        <v>17</v>
      </c>
      <c r="D139" s="210"/>
      <c r="E139" s="210"/>
      <c r="F139" s="210"/>
      <c r="G139" s="210"/>
      <c r="H139" s="406">
        <f>SUM(Tabla132112410[[#This Row],[PRIMER TRIMESTRE]:[CUARTO TRIMESTRE]])</f>
        <v>0</v>
      </c>
      <c r="I139" s="17">
        <v>125</v>
      </c>
      <c r="J139" s="17">
        <f>+Tabla132112410[[#This Row],[CANTIDAD TOTAL]]*Tabla132112410[[#This Row],[PRECIO UNITARIO ESTIMADO]]</f>
        <v>0</v>
      </c>
      <c r="K139" s="17"/>
      <c r="L139" s="16" t="s">
        <v>27</v>
      </c>
      <c r="M139" s="16" t="s">
        <v>22</v>
      </c>
      <c r="N139" s="39" t="s">
        <v>418</v>
      </c>
    </row>
    <row r="140" spans="1:14" s="12" customFormat="1" ht="18">
      <c r="A140" s="180" t="s">
        <v>62</v>
      </c>
      <c r="B140" s="77" t="s">
        <v>438</v>
      </c>
      <c r="C140" s="70" t="s">
        <v>17</v>
      </c>
      <c r="D140" s="210"/>
      <c r="E140" s="210"/>
      <c r="F140" s="210"/>
      <c r="G140" s="210"/>
      <c r="H140" s="406">
        <f>SUM(Tabla132112410[[#This Row],[PRIMER TRIMESTRE]:[CUARTO TRIMESTRE]])</f>
        <v>0</v>
      </c>
      <c r="I140" s="17">
        <v>80</v>
      </c>
      <c r="J140" s="17">
        <f>+Tabla132112410[[#This Row],[CANTIDAD TOTAL]]*Tabla132112410[[#This Row],[PRECIO UNITARIO ESTIMADO]]</f>
        <v>0</v>
      </c>
      <c r="K140" s="17"/>
      <c r="L140" s="16" t="s">
        <v>27</v>
      </c>
      <c r="M140" s="16" t="s">
        <v>22</v>
      </c>
      <c r="N140" s="39" t="s">
        <v>418</v>
      </c>
    </row>
    <row r="141" spans="1:14" s="12" customFormat="1" ht="18">
      <c r="A141" s="180" t="s">
        <v>62</v>
      </c>
      <c r="B141" s="77" t="s">
        <v>430</v>
      </c>
      <c r="C141" s="70" t="s">
        <v>17</v>
      </c>
      <c r="D141" s="210"/>
      <c r="E141" s="210"/>
      <c r="F141" s="210"/>
      <c r="G141" s="210"/>
      <c r="H141" s="406">
        <f>SUM(Tabla132112410[[#This Row],[PRIMER TRIMESTRE]:[CUARTO TRIMESTRE]])</f>
        <v>0</v>
      </c>
      <c r="I141" s="17">
        <v>46.8</v>
      </c>
      <c r="J141" s="17">
        <f>+Tabla132112410[[#This Row],[CANTIDAD TOTAL]]*Tabla132112410[[#This Row],[PRECIO UNITARIO ESTIMADO]]</f>
        <v>0</v>
      </c>
      <c r="K141" s="17"/>
      <c r="L141" s="16" t="s">
        <v>27</v>
      </c>
      <c r="M141" s="16" t="s">
        <v>22</v>
      </c>
      <c r="N141" s="39" t="s">
        <v>418</v>
      </c>
    </row>
    <row r="142" spans="1:14" s="12" customFormat="1" ht="18">
      <c r="A142" s="180" t="s">
        <v>62</v>
      </c>
      <c r="B142" s="77" t="s">
        <v>139</v>
      </c>
      <c r="C142" s="70" t="s">
        <v>17</v>
      </c>
      <c r="D142" s="210"/>
      <c r="E142" s="210"/>
      <c r="F142" s="210"/>
      <c r="G142" s="210"/>
      <c r="H142" s="406">
        <f>SUM(Tabla132112410[[#This Row],[PRIMER TRIMESTRE]:[CUARTO TRIMESTRE]])</f>
        <v>0</v>
      </c>
      <c r="I142" s="17">
        <v>180</v>
      </c>
      <c r="J142" s="17">
        <f>+Tabla132112410[[#This Row],[CANTIDAD TOTAL]]*Tabla132112410[[#This Row],[PRECIO UNITARIO ESTIMADO]]</f>
        <v>0</v>
      </c>
      <c r="K142" s="17"/>
      <c r="L142" s="16" t="s">
        <v>27</v>
      </c>
      <c r="M142" s="16" t="s">
        <v>22</v>
      </c>
      <c r="N142" s="39" t="s">
        <v>418</v>
      </c>
    </row>
    <row r="143" spans="1:14" s="12" customFormat="1" ht="18">
      <c r="A143" s="180" t="s">
        <v>62</v>
      </c>
      <c r="B143" s="75" t="s">
        <v>1170</v>
      </c>
      <c r="C143" s="39" t="s">
        <v>1162</v>
      </c>
      <c r="D143" s="236"/>
      <c r="E143" s="236"/>
      <c r="F143" s="236"/>
      <c r="G143" s="236"/>
      <c r="H143" s="40">
        <f>SUM(Tabla132112410[[#This Row],[PRIMER TRIMESTRE]:[CUARTO TRIMESTRE]])</f>
        <v>0</v>
      </c>
      <c r="I143" s="17">
        <v>11000</v>
      </c>
      <c r="J143" s="17">
        <f>+H143*I143</f>
        <v>0</v>
      </c>
      <c r="K143" s="17"/>
      <c r="L143" s="16" t="s">
        <v>27</v>
      </c>
      <c r="M143" s="16" t="s">
        <v>22</v>
      </c>
      <c r="N143" s="39" t="s">
        <v>418</v>
      </c>
    </row>
    <row r="144" spans="1:14" s="169" customFormat="1" ht="18">
      <c r="A144" s="180" t="s">
        <v>62</v>
      </c>
      <c r="B144" s="75" t="s">
        <v>1171</v>
      </c>
      <c r="C144" s="39" t="s">
        <v>1162</v>
      </c>
      <c r="D144" s="236"/>
      <c r="E144" s="236"/>
      <c r="F144" s="236"/>
      <c r="G144" s="236"/>
      <c r="H144" s="40">
        <f>SUM(Tabla132112410[[#This Row],[PRIMER TRIMESTRE]:[CUARTO TRIMESTRE]])</f>
        <v>0</v>
      </c>
      <c r="I144" s="17">
        <v>11000</v>
      </c>
      <c r="J144" s="17">
        <f>+H144*I144</f>
        <v>0</v>
      </c>
      <c r="K144" s="17"/>
      <c r="L144" s="16" t="s">
        <v>27</v>
      </c>
      <c r="M144" s="16" t="s">
        <v>22</v>
      </c>
      <c r="N144" s="39" t="s">
        <v>418</v>
      </c>
    </row>
    <row r="145" spans="1:14" s="169" customFormat="1" ht="18">
      <c r="A145" s="180" t="s">
        <v>62</v>
      </c>
      <c r="B145" s="75" t="s">
        <v>1344</v>
      </c>
      <c r="C145" s="70" t="s">
        <v>17</v>
      </c>
      <c r="D145" s="236"/>
      <c r="E145" s="236"/>
      <c r="F145" s="236"/>
      <c r="G145" s="236"/>
      <c r="H145" s="40">
        <f>SUM(Tabla132112410[[#This Row],[PRIMER TRIMESTRE]:[CUARTO TRIMESTRE]])</f>
        <v>0</v>
      </c>
      <c r="I145" s="17">
        <v>29.5</v>
      </c>
      <c r="J145" s="17">
        <f>+H145*I145</f>
        <v>0</v>
      </c>
      <c r="K145" s="17"/>
      <c r="L145" s="16" t="s">
        <v>27</v>
      </c>
      <c r="M145" s="16" t="s">
        <v>22</v>
      </c>
      <c r="N145" s="39" t="s">
        <v>418</v>
      </c>
    </row>
    <row r="146" spans="1:14" s="12" customFormat="1" ht="18">
      <c r="A146" s="180" t="s">
        <v>62</v>
      </c>
      <c r="B146" s="75" t="s">
        <v>1710</v>
      </c>
      <c r="C146" s="70" t="s">
        <v>17</v>
      </c>
      <c r="D146" s="236"/>
      <c r="E146" s="236"/>
      <c r="F146" s="236"/>
      <c r="G146" s="236"/>
      <c r="H146" s="40">
        <v>0</v>
      </c>
      <c r="I146" s="17">
        <v>0</v>
      </c>
      <c r="J146" s="17">
        <v>0</v>
      </c>
      <c r="K146" s="17"/>
      <c r="L146" s="16" t="s">
        <v>27</v>
      </c>
      <c r="M146" s="16" t="s">
        <v>22</v>
      </c>
      <c r="N146" s="70" t="s">
        <v>418</v>
      </c>
    </row>
    <row r="147" spans="1:14" s="12" customFormat="1" ht="18">
      <c r="A147" s="180" t="s">
        <v>62</v>
      </c>
      <c r="B147" s="77" t="s">
        <v>107</v>
      </c>
      <c r="C147" s="70" t="s">
        <v>17</v>
      </c>
      <c r="D147" s="210"/>
      <c r="E147" s="210"/>
      <c r="F147" s="210"/>
      <c r="G147" s="210"/>
      <c r="H147" s="406">
        <f>SUM(Tabla132112410[[#This Row],[PRIMER TRIMESTRE]:[CUARTO TRIMESTRE]])</f>
        <v>0</v>
      </c>
      <c r="I147" s="72">
        <v>86.24</v>
      </c>
      <c r="J147" s="72">
        <f>+Tabla132112410[[#This Row],[CANTIDAD TOTAL]]*Tabla132112410[[#This Row],[PRECIO UNITARIO ESTIMADO]]</f>
        <v>0</v>
      </c>
      <c r="K147" s="72"/>
      <c r="L147" s="16" t="s">
        <v>27</v>
      </c>
      <c r="M147" s="16" t="s">
        <v>22</v>
      </c>
      <c r="N147" s="70" t="s">
        <v>418</v>
      </c>
    </row>
    <row r="148" spans="1:14" s="12" customFormat="1" ht="18">
      <c r="A148" s="180" t="s">
        <v>62</v>
      </c>
      <c r="B148" s="77" t="s">
        <v>598</v>
      </c>
      <c r="C148" s="70" t="s">
        <v>17</v>
      </c>
      <c r="D148" s="210"/>
      <c r="E148" s="210"/>
      <c r="F148" s="210"/>
      <c r="G148" s="210"/>
      <c r="H148" s="406">
        <f>SUM(Tabla132112410[[#This Row],[PRIMER TRIMESTRE]:[CUARTO TRIMESTRE]])</f>
        <v>0</v>
      </c>
      <c r="I148" s="17">
        <v>153.05000000000001</v>
      </c>
      <c r="J148" s="17">
        <f>+Tabla132112410[[#This Row],[CANTIDAD TOTAL]]*Tabla132112410[[#This Row],[PRECIO UNITARIO ESTIMADO]]</f>
        <v>0</v>
      </c>
      <c r="K148" s="17"/>
      <c r="L148" s="16" t="s">
        <v>27</v>
      </c>
      <c r="M148" s="16" t="s">
        <v>22</v>
      </c>
      <c r="N148" s="39" t="s">
        <v>418</v>
      </c>
    </row>
    <row r="149" spans="1:14" s="12" customFormat="1" ht="18">
      <c r="A149" s="180" t="s">
        <v>62</v>
      </c>
      <c r="B149" s="77" t="s">
        <v>599</v>
      </c>
      <c r="C149" s="70" t="s">
        <v>17</v>
      </c>
      <c r="D149" s="210"/>
      <c r="E149" s="210"/>
      <c r="F149" s="210"/>
      <c r="G149" s="210"/>
      <c r="H149" s="406">
        <f>SUM(Tabla132112410[[#This Row],[PRIMER TRIMESTRE]:[CUARTO TRIMESTRE]])</f>
        <v>0</v>
      </c>
      <c r="I149" s="17">
        <v>72.88</v>
      </c>
      <c r="J149" s="17">
        <f>+H149*I149</f>
        <v>0</v>
      </c>
      <c r="K149" s="17"/>
      <c r="L149" s="16" t="s">
        <v>27</v>
      </c>
      <c r="M149" s="16" t="s">
        <v>22</v>
      </c>
      <c r="N149" s="39" t="s">
        <v>418</v>
      </c>
    </row>
    <row r="150" spans="1:14" s="12" customFormat="1" ht="18">
      <c r="A150" s="180" t="s">
        <v>62</v>
      </c>
      <c r="B150" s="77" t="s">
        <v>600</v>
      </c>
      <c r="C150" s="70" t="s">
        <v>17</v>
      </c>
      <c r="D150" s="210"/>
      <c r="E150" s="210"/>
      <c r="F150" s="210"/>
      <c r="G150" s="210"/>
      <c r="H150" s="406">
        <f>SUM(Tabla132112410[[#This Row],[PRIMER TRIMESTRE]:[CUARTO TRIMESTRE]])</f>
        <v>0</v>
      </c>
      <c r="I150" s="17">
        <v>86</v>
      </c>
      <c r="J150" s="17">
        <f>+Tabla132112410[[#This Row],[CANTIDAD TOTAL]]*Tabla132112410[[#This Row],[PRECIO UNITARIO ESTIMADO]]</f>
        <v>0</v>
      </c>
      <c r="K150" s="17"/>
      <c r="L150" s="16" t="s">
        <v>27</v>
      </c>
      <c r="M150" s="16" t="s">
        <v>22</v>
      </c>
      <c r="N150" s="39" t="s">
        <v>418</v>
      </c>
    </row>
    <row r="151" spans="1:14" s="12" customFormat="1" ht="18">
      <c r="A151" s="180" t="s">
        <v>62</v>
      </c>
      <c r="B151" s="77" t="s">
        <v>601</v>
      </c>
      <c r="C151" s="70" t="s">
        <v>17</v>
      </c>
      <c r="D151" s="210"/>
      <c r="E151" s="210"/>
      <c r="F151" s="210"/>
      <c r="G151" s="210"/>
      <c r="H151" s="406">
        <f>SUM(Tabla132112410[[#This Row],[PRIMER TRIMESTRE]:[CUARTO TRIMESTRE]])</f>
        <v>0</v>
      </c>
      <c r="I151" s="17">
        <v>158.88</v>
      </c>
      <c r="J151" s="17">
        <f>+H151*I151</f>
        <v>0</v>
      </c>
      <c r="K151" s="17"/>
      <c r="L151" s="16" t="s">
        <v>27</v>
      </c>
      <c r="M151" s="16" t="s">
        <v>22</v>
      </c>
      <c r="N151" s="39" t="s">
        <v>418</v>
      </c>
    </row>
    <row r="152" spans="1:14" s="12" customFormat="1" ht="18">
      <c r="A152" s="180" t="s">
        <v>62</v>
      </c>
      <c r="B152" s="75" t="s">
        <v>1160</v>
      </c>
      <c r="C152" s="39" t="s">
        <v>1162</v>
      </c>
      <c r="D152" s="236"/>
      <c r="E152" s="236"/>
      <c r="F152" s="236"/>
      <c r="G152" s="236"/>
      <c r="H152" s="40">
        <f>SUM(Tabla132112410[[#This Row],[PRIMER TRIMESTRE]:[CUARTO TRIMESTRE]])</f>
        <v>0</v>
      </c>
      <c r="I152" s="17">
        <v>2000</v>
      </c>
      <c r="J152" s="17">
        <f>+H152*I152</f>
        <v>0</v>
      </c>
      <c r="K152" s="17"/>
      <c r="L152" s="16" t="s">
        <v>27</v>
      </c>
      <c r="M152" s="16" t="s">
        <v>22</v>
      </c>
      <c r="N152" s="39" t="s">
        <v>418</v>
      </c>
    </row>
    <row r="153" spans="1:14" s="12" customFormat="1" ht="18">
      <c r="A153" s="180" t="s">
        <v>62</v>
      </c>
      <c r="B153" s="75" t="s">
        <v>1161</v>
      </c>
      <c r="C153" s="39" t="s">
        <v>1162</v>
      </c>
      <c r="D153" s="236"/>
      <c r="E153" s="236"/>
      <c r="F153" s="236"/>
      <c r="G153" s="236"/>
      <c r="H153" s="40">
        <f>SUM(Tabla132112410[[#This Row],[PRIMER TRIMESTRE]:[CUARTO TRIMESTRE]])</f>
        <v>0</v>
      </c>
      <c r="I153" s="17">
        <v>2000</v>
      </c>
      <c r="J153" s="17">
        <f>+H153*I153</f>
        <v>0</v>
      </c>
      <c r="K153" s="17"/>
      <c r="L153" s="16" t="s">
        <v>27</v>
      </c>
      <c r="M153" s="16" t="s">
        <v>22</v>
      </c>
      <c r="N153" s="39" t="s">
        <v>418</v>
      </c>
    </row>
    <row r="154" spans="1:14" s="12" customFormat="1" ht="18">
      <c r="A154" s="180" t="s">
        <v>62</v>
      </c>
      <c r="B154" s="75" t="s">
        <v>1849</v>
      </c>
      <c r="C154" s="39" t="s">
        <v>17</v>
      </c>
      <c r="D154" s="236"/>
      <c r="E154" s="236"/>
      <c r="F154" s="236"/>
      <c r="G154" s="236"/>
      <c r="H154" s="40">
        <v>0</v>
      </c>
      <c r="I154" s="17">
        <v>0</v>
      </c>
      <c r="J154" s="17">
        <v>0</v>
      </c>
      <c r="K154" s="17"/>
      <c r="L154" s="16" t="s">
        <v>27</v>
      </c>
      <c r="M154" s="16" t="s">
        <v>22</v>
      </c>
      <c r="N154" s="39" t="s">
        <v>418</v>
      </c>
    </row>
    <row r="155" spans="1:14" s="12" customFormat="1" ht="18">
      <c r="A155" s="180" t="s">
        <v>62</v>
      </c>
      <c r="B155" s="77" t="s">
        <v>1705</v>
      </c>
      <c r="C155" s="70" t="s">
        <v>17</v>
      </c>
      <c r="D155" s="236"/>
      <c r="E155" s="236"/>
      <c r="F155" s="236"/>
      <c r="G155" s="236"/>
      <c r="H155" s="40">
        <v>0</v>
      </c>
      <c r="I155" s="17">
        <v>0</v>
      </c>
      <c r="J155" s="17">
        <v>0</v>
      </c>
      <c r="K155" s="17"/>
      <c r="L155" s="16" t="s">
        <v>27</v>
      </c>
      <c r="M155" s="16" t="s">
        <v>22</v>
      </c>
      <c r="N155" s="39" t="s">
        <v>418</v>
      </c>
    </row>
    <row r="156" spans="1:14" s="12" customFormat="1" ht="18">
      <c r="A156" s="180" t="s">
        <v>62</v>
      </c>
      <c r="B156" s="77" t="s">
        <v>144</v>
      </c>
      <c r="C156" s="70" t="s">
        <v>17</v>
      </c>
      <c r="D156" s="210"/>
      <c r="E156" s="210"/>
      <c r="F156" s="210"/>
      <c r="G156" s="210"/>
      <c r="H156" s="406">
        <f>SUM(Tabla132112410[[#This Row],[PRIMER TRIMESTRE]:[CUARTO TRIMESTRE]])</f>
        <v>0</v>
      </c>
      <c r="I156" s="17">
        <v>62.87</v>
      </c>
      <c r="J156" s="17">
        <f>+Tabla132112410[[#This Row],[CANTIDAD TOTAL]]*Tabla132112410[[#This Row],[PRECIO UNITARIO ESTIMADO]]</f>
        <v>0</v>
      </c>
      <c r="K156" s="17"/>
      <c r="L156" s="16" t="s">
        <v>27</v>
      </c>
      <c r="M156" s="16" t="s">
        <v>22</v>
      </c>
      <c r="N156" s="39" t="s">
        <v>418</v>
      </c>
    </row>
    <row r="157" spans="1:14" s="12" customFormat="1" ht="18">
      <c r="A157" s="180" t="s">
        <v>62</v>
      </c>
      <c r="B157" s="77" t="s">
        <v>1707</v>
      </c>
      <c r="C157" s="70" t="s">
        <v>17</v>
      </c>
      <c r="D157" s="210"/>
      <c r="E157" s="210"/>
      <c r="F157" s="210"/>
      <c r="G157" s="210"/>
      <c r="H157" s="406">
        <v>0</v>
      </c>
      <c r="I157" s="17">
        <v>0</v>
      </c>
      <c r="J157" s="17">
        <v>0</v>
      </c>
      <c r="K157" s="17"/>
      <c r="L157" s="16" t="s">
        <v>27</v>
      </c>
      <c r="M157" s="16" t="s">
        <v>22</v>
      </c>
      <c r="N157" s="39" t="s">
        <v>418</v>
      </c>
    </row>
    <row r="158" spans="1:14" s="12" customFormat="1" ht="18">
      <c r="A158" s="180" t="s">
        <v>62</v>
      </c>
      <c r="B158" s="77" t="s">
        <v>1708</v>
      </c>
      <c r="C158" s="70" t="s">
        <v>17</v>
      </c>
      <c r="D158" s="210"/>
      <c r="E158" s="210"/>
      <c r="F158" s="210"/>
      <c r="G158" s="210"/>
      <c r="H158" s="406">
        <v>0</v>
      </c>
      <c r="I158" s="17">
        <v>0</v>
      </c>
      <c r="J158" s="17">
        <v>0</v>
      </c>
      <c r="K158" s="17"/>
      <c r="L158" s="16" t="s">
        <v>27</v>
      </c>
      <c r="M158" s="16" t="s">
        <v>22</v>
      </c>
      <c r="N158" s="39" t="s">
        <v>418</v>
      </c>
    </row>
    <row r="159" spans="1:14" s="12" customFormat="1" ht="18">
      <c r="A159" s="180" t="s">
        <v>62</v>
      </c>
      <c r="B159" s="75" t="s">
        <v>1172</v>
      </c>
      <c r="C159" s="39" t="s">
        <v>1162</v>
      </c>
      <c r="D159" s="236"/>
      <c r="E159" s="236"/>
      <c r="F159" s="236"/>
      <c r="G159" s="236"/>
      <c r="H159" s="40">
        <f>SUM(Tabla132112410[[#This Row],[PRIMER TRIMESTRE]:[CUARTO TRIMESTRE]])</f>
        <v>0</v>
      </c>
      <c r="I159" s="17">
        <v>7800</v>
      </c>
      <c r="J159" s="17">
        <f t="shared" ref="J159:J168" si="3">+H159*I159</f>
        <v>0</v>
      </c>
      <c r="K159" s="17"/>
      <c r="L159" s="16" t="s">
        <v>27</v>
      </c>
      <c r="M159" s="16" t="s">
        <v>22</v>
      </c>
      <c r="N159" s="39" t="s">
        <v>418</v>
      </c>
    </row>
    <row r="160" spans="1:14" s="12" customFormat="1" ht="18">
      <c r="A160" s="180" t="s">
        <v>62</v>
      </c>
      <c r="B160" s="75" t="s">
        <v>1173</v>
      </c>
      <c r="C160" s="39" t="s">
        <v>1162</v>
      </c>
      <c r="D160" s="236"/>
      <c r="E160" s="236"/>
      <c r="F160" s="236"/>
      <c r="G160" s="236"/>
      <c r="H160" s="40">
        <f>SUM(Tabla132112410[[#This Row],[PRIMER TRIMESTRE]:[CUARTO TRIMESTRE]])</f>
        <v>0</v>
      </c>
      <c r="I160" s="17">
        <v>7800</v>
      </c>
      <c r="J160" s="17">
        <f t="shared" si="3"/>
        <v>0</v>
      </c>
      <c r="K160" s="17"/>
      <c r="L160" s="16" t="s">
        <v>27</v>
      </c>
      <c r="M160" s="16" t="s">
        <v>22</v>
      </c>
      <c r="N160" s="39" t="s">
        <v>418</v>
      </c>
    </row>
    <row r="161" spans="1:14" s="12" customFormat="1" ht="18">
      <c r="A161" s="180" t="s">
        <v>62</v>
      </c>
      <c r="B161" s="75" t="s">
        <v>1174</v>
      </c>
      <c r="C161" s="39" t="s">
        <v>17</v>
      </c>
      <c r="D161" s="236"/>
      <c r="E161" s="236"/>
      <c r="F161" s="236"/>
      <c r="G161" s="236"/>
      <c r="H161" s="40">
        <f>SUM(Tabla132112410[[#This Row],[PRIMER TRIMESTRE]:[CUARTO TRIMESTRE]])</f>
        <v>0</v>
      </c>
      <c r="I161" s="17">
        <v>5500</v>
      </c>
      <c r="J161" s="17">
        <f t="shared" si="3"/>
        <v>0</v>
      </c>
      <c r="K161" s="17"/>
      <c r="L161" s="16" t="s">
        <v>27</v>
      </c>
      <c r="M161" s="16" t="s">
        <v>22</v>
      </c>
      <c r="N161" s="39" t="s">
        <v>418</v>
      </c>
    </row>
    <row r="162" spans="1:14" s="12" customFormat="1" ht="18">
      <c r="A162" s="180" t="s">
        <v>62</v>
      </c>
      <c r="B162" s="75" t="s">
        <v>1175</v>
      </c>
      <c r="C162" s="39" t="s">
        <v>17</v>
      </c>
      <c r="D162" s="236"/>
      <c r="E162" s="236"/>
      <c r="F162" s="236"/>
      <c r="G162" s="236"/>
      <c r="H162" s="40">
        <f>SUM(Tabla132112410[[#This Row],[PRIMER TRIMESTRE]:[CUARTO TRIMESTRE]])</f>
        <v>0</v>
      </c>
      <c r="I162" s="17">
        <v>7000</v>
      </c>
      <c r="J162" s="17">
        <f t="shared" si="3"/>
        <v>0</v>
      </c>
      <c r="K162" s="17"/>
      <c r="L162" s="16" t="s">
        <v>27</v>
      </c>
      <c r="M162" s="16" t="s">
        <v>22</v>
      </c>
      <c r="N162" s="39" t="s">
        <v>418</v>
      </c>
    </row>
    <row r="163" spans="1:14" s="12" customFormat="1" ht="18">
      <c r="A163" s="180" t="s">
        <v>62</v>
      </c>
      <c r="B163" s="75" t="s">
        <v>1176</v>
      </c>
      <c r="C163" s="39" t="s">
        <v>17</v>
      </c>
      <c r="D163" s="236"/>
      <c r="E163" s="236"/>
      <c r="F163" s="236"/>
      <c r="G163" s="236"/>
      <c r="H163" s="40">
        <f>SUM(Tabla132112410[[#This Row],[PRIMER TRIMESTRE]:[CUARTO TRIMESTRE]])</f>
        <v>0</v>
      </c>
      <c r="I163" s="17">
        <v>9000</v>
      </c>
      <c r="J163" s="17">
        <f t="shared" si="3"/>
        <v>0</v>
      </c>
      <c r="K163" s="17"/>
      <c r="L163" s="16" t="s">
        <v>27</v>
      </c>
      <c r="M163" s="16" t="s">
        <v>22</v>
      </c>
      <c r="N163" s="39" t="s">
        <v>418</v>
      </c>
    </row>
    <row r="164" spans="1:14" s="12" customFormat="1" ht="18">
      <c r="A164" s="180" t="s">
        <v>62</v>
      </c>
      <c r="B164" s="75" t="s">
        <v>1177</v>
      </c>
      <c r="C164" s="39" t="s">
        <v>17</v>
      </c>
      <c r="D164" s="236"/>
      <c r="E164" s="236"/>
      <c r="F164" s="236"/>
      <c r="G164" s="236"/>
      <c r="H164" s="40">
        <f>SUM(Tabla132112410[[#This Row],[PRIMER TRIMESTRE]:[CUARTO TRIMESTRE]])</f>
        <v>0</v>
      </c>
      <c r="I164" s="17">
        <v>11600</v>
      </c>
      <c r="J164" s="17">
        <f t="shared" si="3"/>
        <v>0</v>
      </c>
      <c r="K164" s="17"/>
      <c r="L164" s="16" t="s">
        <v>27</v>
      </c>
      <c r="M164" s="16" t="s">
        <v>22</v>
      </c>
      <c r="N164" s="39" t="s">
        <v>418</v>
      </c>
    </row>
    <row r="165" spans="1:14" s="12" customFormat="1" ht="18">
      <c r="A165" s="180" t="s">
        <v>62</v>
      </c>
      <c r="B165" s="75" t="s">
        <v>1178</v>
      </c>
      <c r="C165" s="39" t="s">
        <v>17</v>
      </c>
      <c r="D165" s="236"/>
      <c r="E165" s="236"/>
      <c r="F165" s="236"/>
      <c r="G165" s="236"/>
      <c r="H165" s="40">
        <f>SUM(Tabla132112410[[#This Row],[PRIMER TRIMESTRE]:[CUARTO TRIMESTRE]])</f>
        <v>0</v>
      </c>
      <c r="I165" s="17">
        <v>11600</v>
      </c>
      <c r="J165" s="17">
        <f t="shared" si="3"/>
        <v>0</v>
      </c>
      <c r="K165" s="17"/>
      <c r="L165" s="16" t="s">
        <v>27</v>
      </c>
      <c r="M165" s="16" t="s">
        <v>22</v>
      </c>
      <c r="N165" s="39" t="s">
        <v>418</v>
      </c>
    </row>
    <row r="166" spans="1:14" s="12" customFormat="1" ht="18">
      <c r="A166" s="180" t="s">
        <v>62</v>
      </c>
      <c r="B166" s="75" t="s">
        <v>1163</v>
      </c>
      <c r="C166" s="39" t="s">
        <v>17</v>
      </c>
      <c r="D166" s="236"/>
      <c r="E166" s="236"/>
      <c r="F166" s="236"/>
      <c r="G166" s="236"/>
      <c r="H166" s="40">
        <f>SUM(Tabla132112410[[#This Row],[PRIMER TRIMESTRE]:[CUARTO TRIMESTRE]])</f>
        <v>0</v>
      </c>
      <c r="I166" s="17">
        <v>400</v>
      </c>
      <c r="J166" s="17">
        <f t="shared" si="3"/>
        <v>0</v>
      </c>
      <c r="K166" s="17"/>
      <c r="L166" s="16" t="s">
        <v>27</v>
      </c>
      <c r="M166" s="16" t="s">
        <v>22</v>
      </c>
      <c r="N166" s="39" t="s">
        <v>418</v>
      </c>
    </row>
    <row r="167" spans="1:14" s="12" customFormat="1" ht="18">
      <c r="A167" s="180" t="s">
        <v>62</v>
      </c>
      <c r="B167" s="75" t="s">
        <v>1164</v>
      </c>
      <c r="C167" s="39" t="s">
        <v>17</v>
      </c>
      <c r="D167" s="236"/>
      <c r="E167" s="236"/>
      <c r="F167" s="236"/>
      <c r="G167" s="236"/>
      <c r="H167" s="40">
        <f>SUM(Tabla132112410[[#This Row],[PRIMER TRIMESTRE]:[CUARTO TRIMESTRE]])</f>
        <v>0</v>
      </c>
      <c r="I167" s="17">
        <v>650</v>
      </c>
      <c r="J167" s="17">
        <f t="shared" si="3"/>
        <v>0</v>
      </c>
      <c r="K167" s="17"/>
      <c r="L167" s="16" t="s">
        <v>27</v>
      </c>
      <c r="M167" s="16" t="s">
        <v>22</v>
      </c>
      <c r="N167" s="39" t="s">
        <v>418</v>
      </c>
    </row>
    <row r="168" spans="1:14" s="12" customFormat="1" ht="18">
      <c r="A168" s="180" t="s">
        <v>62</v>
      </c>
      <c r="B168" s="75" t="s">
        <v>1165</v>
      </c>
      <c r="C168" s="39" t="s">
        <v>17</v>
      </c>
      <c r="D168" s="236"/>
      <c r="E168" s="236"/>
      <c r="F168" s="236"/>
      <c r="G168" s="236"/>
      <c r="H168" s="40">
        <f>SUM(Tabla132112410[[#This Row],[PRIMER TRIMESTRE]:[CUARTO TRIMESTRE]])</f>
        <v>0</v>
      </c>
      <c r="I168" s="17">
        <v>1300</v>
      </c>
      <c r="J168" s="17">
        <f t="shared" si="3"/>
        <v>0</v>
      </c>
      <c r="K168" s="17"/>
      <c r="L168" s="16" t="s">
        <v>27</v>
      </c>
      <c r="M168" s="16" t="s">
        <v>22</v>
      </c>
      <c r="N168" s="39" t="s">
        <v>418</v>
      </c>
    </row>
    <row r="169" spans="1:14" s="12" customFormat="1" ht="18">
      <c r="A169" s="180" t="s">
        <v>62</v>
      </c>
      <c r="B169" s="77" t="s">
        <v>158</v>
      </c>
      <c r="C169" s="70" t="s">
        <v>17</v>
      </c>
      <c r="D169" s="210"/>
      <c r="E169" s="210"/>
      <c r="F169" s="210"/>
      <c r="G169" s="210"/>
      <c r="H169" s="406">
        <f>SUM(Tabla132112410[[#This Row],[PRIMER TRIMESTRE]:[CUARTO TRIMESTRE]])</f>
        <v>0</v>
      </c>
      <c r="I169" s="17">
        <v>1120</v>
      </c>
      <c r="J169" s="17">
        <f>+Tabla132112410[[#This Row],[CANTIDAD TOTAL]]*Tabla132112410[[#This Row],[PRECIO UNITARIO ESTIMADO]]</f>
        <v>0</v>
      </c>
      <c r="K169" s="17"/>
      <c r="L169" s="16" t="s">
        <v>27</v>
      </c>
      <c r="M169" s="16" t="s">
        <v>22</v>
      </c>
      <c r="N169" s="39" t="s">
        <v>418</v>
      </c>
    </row>
    <row r="170" spans="1:14" s="12" customFormat="1" ht="18">
      <c r="A170" s="180" t="s">
        <v>62</v>
      </c>
      <c r="B170" s="77" t="s">
        <v>1287</v>
      </c>
      <c r="C170" s="70" t="s">
        <v>17</v>
      </c>
      <c r="D170" s="210"/>
      <c r="E170" s="210"/>
      <c r="F170" s="210"/>
      <c r="G170" s="210"/>
      <c r="H170" s="406">
        <f>SUM(Tabla132112410[[#This Row],[PRIMER TRIMESTRE]:[CUARTO TRIMESTRE]])</f>
        <v>0</v>
      </c>
      <c r="I170" s="17">
        <v>2700</v>
      </c>
      <c r="J170" s="17">
        <f>+H170*I170</f>
        <v>0</v>
      </c>
      <c r="K170" s="17"/>
      <c r="L170" s="16" t="s">
        <v>27</v>
      </c>
      <c r="M170" s="16" t="s">
        <v>22</v>
      </c>
      <c r="N170" s="39" t="s">
        <v>418</v>
      </c>
    </row>
    <row r="171" spans="1:14" s="12" customFormat="1" ht="18">
      <c r="A171" s="180" t="s">
        <v>62</v>
      </c>
      <c r="B171" s="77" t="s">
        <v>160</v>
      </c>
      <c r="C171" s="70" t="s">
        <v>17</v>
      </c>
      <c r="D171" s="210"/>
      <c r="E171" s="210"/>
      <c r="F171" s="210"/>
      <c r="G171" s="210"/>
      <c r="H171" s="406">
        <f>SUM(Tabla132112410[[#This Row],[PRIMER TRIMESTRE]:[CUARTO TRIMESTRE]])</f>
        <v>0</v>
      </c>
      <c r="I171" s="17">
        <v>1908</v>
      </c>
      <c r="J171" s="17">
        <f>+Tabla132112410[[#This Row],[CANTIDAD TOTAL]]*Tabla132112410[[#This Row],[PRECIO UNITARIO ESTIMADO]]</f>
        <v>0</v>
      </c>
      <c r="K171" s="17"/>
      <c r="L171" s="16" t="s">
        <v>27</v>
      </c>
      <c r="M171" s="16" t="s">
        <v>22</v>
      </c>
      <c r="N171" s="39" t="s">
        <v>418</v>
      </c>
    </row>
    <row r="172" spans="1:14" s="12" customFormat="1" ht="18">
      <c r="A172" s="180" t="s">
        <v>62</v>
      </c>
      <c r="B172" s="77" t="s">
        <v>1545</v>
      </c>
      <c r="C172" s="70" t="s">
        <v>17</v>
      </c>
      <c r="D172" s="210"/>
      <c r="E172" s="210"/>
      <c r="F172" s="210"/>
      <c r="G172" s="210"/>
      <c r="H172" s="406">
        <f>SUM(Tabla132112410[[#This Row],[PRIMER TRIMESTRE]:[CUARTO TRIMESTRE]])</f>
        <v>0</v>
      </c>
      <c r="I172" s="17">
        <v>506.75</v>
      </c>
      <c r="J172" s="17">
        <f>+H172*I172</f>
        <v>0</v>
      </c>
      <c r="K172" s="17"/>
      <c r="L172" s="16" t="s">
        <v>27</v>
      </c>
      <c r="M172" s="16" t="s">
        <v>22</v>
      </c>
      <c r="N172" s="39" t="s">
        <v>418</v>
      </c>
    </row>
    <row r="173" spans="1:14" s="12" customFormat="1" ht="18">
      <c r="A173" s="180" t="s">
        <v>62</v>
      </c>
      <c r="B173" s="77" t="s">
        <v>162</v>
      </c>
      <c r="C173" s="70" t="s">
        <v>17</v>
      </c>
      <c r="D173" s="210"/>
      <c r="E173" s="210"/>
      <c r="F173" s="210"/>
      <c r="G173" s="210"/>
      <c r="H173" s="406">
        <f>SUM(Tabla132112410[[#This Row],[PRIMER TRIMESTRE]:[CUARTO TRIMESTRE]])</f>
        <v>0</v>
      </c>
      <c r="I173" s="17">
        <v>29</v>
      </c>
      <c r="J173" s="17">
        <f>+Tabla132112410[[#This Row],[CANTIDAD TOTAL]]*Tabla132112410[[#This Row],[PRECIO UNITARIO ESTIMADO]]</f>
        <v>0</v>
      </c>
      <c r="K173" s="17"/>
      <c r="L173" s="16" t="s">
        <v>27</v>
      </c>
      <c r="M173" s="16" t="s">
        <v>22</v>
      </c>
      <c r="N173" s="39" t="s">
        <v>418</v>
      </c>
    </row>
    <row r="174" spans="1:14" s="12" customFormat="1" ht="18">
      <c r="A174" s="180" t="s">
        <v>62</v>
      </c>
      <c r="B174" s="77" t="s">
        <v>368</v>
      </c>
      <c r="C174" s="70" t="s">
        <v>17</v>
      </c>
      <c r="D174" s="210"/>
      <c r="E174" s="210"/>
      <c r="F174" s="210"/>
      <c r="G174" s="210"/>
      <c r="H174" s="406">
        <f>SUM(Tabla132112410[[#This Row],[PRIMER TRIMESTRE]:[CUARTO TRIMESTRE]])</f>
        <v>0</v>
      </c>
      <c r="I174" s="17">
        <v>75.400000000000006</v>
      </c>
      <c r="J174" s="17">
        <f>+H174*I174</f>
        <v>0</v>
      </c>
      <c r="K174" s="17"/>
      <c r="L174" s="16" t="s">
        <v>27</v>
      </c>
      <c r="M174" s="16" t="s">
        <v>22</v>
      </c>
      <c r="N174" s="39" t="s">
        <v>418</v>
      </c>
    </row>
    <row r="175" spans="1:14" s="12" customFormat="1" ht="18">
      <c r="A175" s="180" t="s">
        <v>62</v>
      </c>
      <c r="B175" s="77" t="s">
        <v>602</v>
      </c>
      <c r="C175" s="70" t="s">
        <v>17</v>
      </c>
      <c r="D175" s="210"/>
      <c r="E175" s="210"/>
      <c r="F175" s="210"/>
      <c r="G175" s="210"/>
      <c r="H175" s="406">
        <f>SUM(Tabla132112410[[#This Row],[PRIMER TRIMESTRE]:[CUARTO TRIMESTRE]])</f>
        <v>0</v>
      </c>
      <c r="I175" s="17">
        <v>90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</row>
    <row r="176" spans="1:14" s="12" customFormat="1" ht="18">
      <c r="A176" s="180" t="s">
        <v>62</v>
      </c>
      <c r="B176" s="77" t="s">
        <v>164</v>
      </c>
      <c r="C176" s="70" t="s">
        <v>17</v>
      </c>
      <c r="D176" s="210"/>
      <c r="E176" s="210"/>
      <c r="F176" s="210"/>
      <c r="G176" s="210"/>
      <c r="H176" s="406">
        <f>SUM(Tabla132112410[[#This Row],[PRIMER TRIMESTRE]:[CUARTO TRIMESTRE]])</f>
        <v>0</v>
      </c>
      <c r="I176" s="17">
        <v>3419.05</v>
      </c>
      <c r="J176" s="17">
        <f>+Tabla132112410[[#This Row],[CANTIDAD TOTAL]]*Tabla132112410[[#This Row],[PRECIO UNITARIO ESTIMADO]]</f>
        <v>0</v>
      </c>
      <c r="K176" s="17"/>
      <c r="L176" s="16" t="s">
        <v>27</v>
      </c>
      <c r="M176" s="16" t="s">
        <v>22</v>
      </c>
      <c r="N176" s="39" t="s">
        <v>418</v>
      </c>
    </row>
    <row r="177" spans="1:14" s="12" customFormat="1" ht="18">
      <c r="A177" s="180" t="s">
        <v>62</v>
      </c>
      <c r="B177" s="75" t="s">
        <v>1166</v>
      </c>
      <c r="C177" s="39" t="s">
        <v>17</v>
      </c>
      <c r="D177" s="236"/>
      <c r="E177" s="236"/>
      <c r="F177" s="236"/>
      <c r="G177" s="236"/>
      <c r="H177" s="40">
        <f>SUM(Tabla132112410[[#This Row],[PRIMER TRIMESTRE]:[CUARTO TRIMESTRE]])</f>
        <v>0</v>
      </c>
      <c r="I177" s="17">
        <v>400</v>
      </c>
      <c r="J177" s="17">
        <f>+H177*I177</f>
        <v>0</v>
      </c>
      <c r="K177" s="17"/>
      <c r="L177" s="16" t="s">
        <v>27</v>
      </c>
      <c r="M177" s="16" t="s">
        <v>22</v>
      </c>
      <c r="N177" s="39" t="s">
        <v>418</v>
      </c>
    </row>
    <row r="178" spans="1:14" s="12" customFormat="1" ht="18">
      <c r="A178" s="180" t="s">
        <v>62</v>
      </c>
      <c r="B178" s="75" t="s">
        <v>1167</v>
      </c>
      <c r="C178" s="39" t="s">
        <v>17</v>
      </c>
      <c r="D178" s="236"/>
      <c r="E178" s="236"/>
      <c r="F178" s="236"/>
      <c r="G178" s="236"/>
      <c r="H178" s="40">
        <f>SUM(Tabla132112410[[#This Row],[PRIMER TRIMESTRE]:[CUARTO TRIMESTRE]])</f>
        <v>0</v>
      </c>
      <c r="I178" s="17">
        <v>1300</v>
      </c>
      <c r="J178" s="17">
        <f>+H178*I178</f>
        <v>0</v>
      </c>
      <c r="K178" s="17"/>
      <c r="L178" s="16" t="s">
        <v>27</v>
      </c>
      <c r="M178" s="16" t="s">
        <v>22</v>
      </c>
      <c r="N178" s="39" t="s">
        <v>418</v>
      </c>
    </row>
    <row r="179" spans="1:14" s="12" customFormat="1" ht="18">
      <c r="A179" s="180" t="s">
        <v>62</v>
      </c>
      <c r="B179" s="77" t="s">
        <v>462</v>
      </c>
      <c r="C179" s="70" t="s">
        <v>17</v>
      </c>
      <c r="D179" s="210"/>
      <c r="E179" s="210"/>
      <c r="F179" s="210"/>
      <c r="G179" s="210"/>
      <c r="H179" s="406">
        <f>SUM(Tabla132112410[[#This Row],[PRIMER TRIMESTRE]:[CUARTO TRIMESTRE]])</f>
        <v>0</v>
      </c>
      <c r="I179" s="17">
        <v>1896.06</v>
      </c>
      <c r="J179" s="17">
        <f>+H179*I179</f>
        <v>0</v>
      </c>
      <c r="K179" s="17"/>
      <c r="L179" s="16" t="s">
        <v>27</v>
      </c>
      <c r="M179" s="16" t="s">
        <v>22</v>
      </c>
      <c r="N179" s="39" t="s">
        <v>418</v>
      </c>
    </row>
    <row r="180" spans="1:14" s="12" customFormat="1" ht="18">
      <c r="A180" s="180" t="s">
        <v>62</v>
      </c>
      <c r="B180" s="77" t="s">
        <v>463</v>
      </c>
      <c r="C180" s="70" t="s">
        <v>17</v>
      </c>
      <c r="D180" s="210"/>
      <c r="E180" s="210"/>
      <c r="F180" s="210"/>
      <c r="G180" s="210"/>
      <c r="H180" s="406">
        <f>SUM(Tabla132112410[[#This Row],[PRIMER TRIMESTRE]:[CUARTO TRIMESTRE]])</f>
        <v>0</v>
      </c>
      <c r="I180" s="17">
        <v>2320</v>
      </c>
      <c r="J180" s="17">
        <f>+Tabla132112410[[#This Row],[CANTIDAD TOTAL]]*Tabla132112410[[#This Row],[PRECIO UNITARIO ESTIMADO]]</f>
        <v>0</v>
      </c>
      <c r="K180" s="17"/>
      <c r="L180" s="16" t="s">
        <v>27</v>
      </c>
      <c r="M180" s="16" t="s">
        <v>22</v>
      </c>
      <c r="N180" s="39" t="s">
        <v>418</v>
      </c>
    </row>
    <row r="181" spans="1:14" s="12" customFormat="1" ht="18">
      <c r="A181" s="180" t="s">
        <v>62</v>
      </c>
      <c r="B181" s="77" t="s">
        <v>465</v>
      </c>
      <c r="C181" s="70" t="s">
        <v>17</v>
      </c>
      <c r="D181" s="210"/>
      <c r="E181" s="210"/>
      <c r="F181" s="210"/>
      <c r="G181" s="210"/>
      <c r="H181" s="406">
        <f>SUM(Tabla132112410[[#This Row],[PRIMER TRIMESTRE]:[CUARTO TRIMESTRE]])</f>
        <v>0</v>
      </c>
      <c r="I181" s="17">
        <v>2682</v>
      </c>
      <c r="J181" s="17">
        <f>+Tabla132112410[[#This Row],[CANTIDAD TOTAL]]*Tabla132112410[[#This Row],[PRECIO UNITARIO ESTIMADO]]</f>
        <v>0</v>
      </c>
      <c r="K181" s="17"/>
      <c r="L181" s="16" t="s">
        <v>27</v>
      </c>
      <c r="M181" s="16" t="s">
        <v>22</v>
      </c>
      <c r="N181" s="39" t="s">
        <v>418</v>
      </c>
    </row>
    <row r="182" spans="1:14" s="12" customFormat="1" ht="18">
      <c r="A182" s="180" t="s">
        <v>62</v>
      </c>
      <c r="B182" s="77" t="s">
        <v>464</v>
      </c>
      <c r="C182" s="70" t="s">
        <v>17</v>
      </c>
      <c r="D182" s="210"/>
      <c r="E182" s="210"/>
      <c r="F182" s="210"/>
      <c r="G182" s="210"/>
      <c r="H182" s="406">
        <f>SUM(Tabla132112410[[#This Row],[PRIMER TRIMESTRE]:[CUARTO TRIMESTRE]])</f>
        <v>0</v>
      </c>
      <c r="I182" s="17">
        <v>50</v>
      </c>
      <c r="J182" s="17">
        <f>+Tabla132112410[[#This Row],[CANTIDAD TOTAL]]*Tabla132112410[[#This Row],[PRECIO UNITARIO ESTIMADO]]</f>
        <v>0</v>
      </c>
      <c r="K182" s="17"/>
      <c r="L182" s="16" t="s">
        <v>27</v>
      </c>
      <c r="M182" s="16" t="s">
        <v>22</v>
      </c>
      <c r="N182" s="39" t="s">
        <v>418</v>
      </c>
    </row>
    <row r="183" spans="1:14" s="12" customFormat="1" ht="18">
      <c r="A183" s="180" t="s">
        <v>62</v>
      </c>
      <c r="B183" s="77" t="s">
        <v>466</v>
      </c>
      <c r="C183" s="70" t="s">
        <v>17</v>
      </c>
      <c r="D183" s="210"/>
      <c r="E183" s="210"/>
      <c r="F183" s="210"/>
      <c r="G183" s="210"/>
      <c r="H183" s="406">
        <f>SUM(Tabla132112410[[#This Row],[PRIMER TRIMESTRE]:[CUARTO TRIMESTRE]])</f>
        <v>0</v>
      </c>
      <c r="I183" s="17">
        <v>1746.26</v>
      </c>
      <c r="J183" s="17">
        <f>+Tabla132112410[[#This Row],[CANTIDAD TOTAL]]*Tabla132112410[[#This Row],[PRECIO UNITARIO ESTIMADO]]</f>
        <v>0</v>
      </c>
      <c r="K183" s="17"/>
      <c r="L183" s="16" t="s">
        <v>27</v>
      </c>
      <c r="M183" s="16" t="s">
        <v>22</v>
      </c>
      <c r="N183" s="39" t="s">
        <v>418</v>
      </c>
    </row>
    <row r="184" spans="1:14" s="12" customFormat="1" ht="18">
      <c r="A184" s="180" t="s">
        <v>62</v>
      </c>
      <c r="B184" s="77" t="s">
        <v>1168</v>
      </c>
      <c r="C184" s="70" t="s">
        <v>17</v>
      </c>
      <c r="D184" s="210"/>
      <c r="E184" s="210"/>
      <c r="F184" s="210"/>
      <c r="G184" s="210"/>
      <c r="H184" s="406">
        <f>SUM(Tabla132112410[[#This Row],[PRIMER TRIMESTRE]:[CUARTO TRIMESTRE]])</f>
        <v>0</v>
      </c>
      <c r="I184" s="17">
        <v>6800</v>
      </c>
      <c r="J184" s="17">
        <f>+H184*I184</f>
        <v>0</v>
      </c>
      <c r="K184" s="17"/>
      <c r="L184" s="16" t="s">
        <v>27</v>
      </c>
      <c r="M184" s="16" t="s">
        <v>22</v>
      </c>
      <c r="N184" s="39" t="s">
        <v>418</v>
      </c>
    </row>
    <row r="185" spans="1:14" s="12" customFormat="1" ht="18">
      <c r="A185" s="180" t="s">
        <v>62</v>
      </c>
      <c r="B185" s="77" t="s">
        <v>170</v>
      </c>
      <c r="C185" s="70" t="s">
        <v>17</v>
      </c>
      <c r="D185" s="210"/>
      <c r="E185" s="210"/>
      <c r="F185" s="210"/>
      <c r="G185" s="210"/>
      <c r="H185" s="406">
        <f>SUM(Tabla132112410[[#This Row],[PRIMER TRIMESTRE]:[CUARTO TRIMESTRE]])</f>
        <v>0</v>
      </c>
      <c r="I185" s="17">
        <v>458.2</v>
      </c>
      <c r="J185" s="17">
        <f>+Tabla132112410[[#This Row],[CANTIDAD TOTAL]]*Tabla132112410[[#This Row],[PRECIO UNITARIO ESTIMADO]]</f>
        <v>0</v>
      </c>
      <c r="K185" s="17"/>
      <c r="L185" s="16" t="s">
        <v>27</v>
      </c>
      <c r="M185" s="16" t="s">
        <v>22</v>
      </c>
      <c r="N185" s="39" t="s">
        <v>418</v>
      </c>
    </row>
    <row r="186" spans="1:14" s="12" customFormat="1" ht="18">
      <c r="A186" s="180" t="s">
        <v>62</v>
      </c>
      <c r="B186" s="77" t="s">
        <v>172</v>
      </c>
      <c r="C186" s="70" t="s">
        <v>17</v>
      </c>
      <c r="D186" s="210"/>
      <c r="E186" s="210"/>
      <c r="F186" s="210"/>
      <c r="G186" s="210"/>
      <c r="H186" s="406">
        <f>SUM(Tabla132112410[[#This Row],[PRIMER TRIMESTRE]:[CUARTO TRIMESTRE]])</f>
        <v>0</v>
      </c>
      <c r="I186" s="17">
        <v>90</v>
      </c>
      <c r="J186" s="17">
        <f>+Tabla132112410[[#This Row],[CANTIDAD TOTAL]]*Tabla132112410[[#This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</row>
    <row r="187" spans="1:14" s="12" customFormat="1" ht="18">
      <c r="A187" s="180" t="s">
        <v>62</v>
      </c>
      <c r="B187" s="77" t="s">
        <v>732</v>
      </c>
      <c r="C187" s="70" t="s">
        <v>17</v>
      </c>
      <c r="D187" s="210"/>
      <c r="E187" s="210"/>
      <c r="F187" s="210"/>
      <c r="G187" s="210"/>
      <c r="H187" s="406">
        <f>SUM(Tabla132112410[[#This Row],[PRIMER TRIMESTRE]:[CUARTO TRIMESTRE]])</f>
        <v>0</v>
      </c>
      <c r="I187" s="72">
        <v>142.85</v>
      </c>
      <c r="J187" s="17">
        <f t="shared" ref="J187:J194" si="4">+H187*I187</f>
        <v>0</v>
      </c>
      <c r="K187" s="17"/>
      <c r="L187" s="16" t="s">
        <v>27</v>
      </c>
      <c r="M187" s="16" t="s">
        <v>22</v>
      </c>
      <c r="N187" s="39" t="s">
        <v>418</v>
      </c>
    </row>
    <row r="188" spans="1:14" s="12" customFormat="1" ht="18">
      <c r="A188" s="180" t="s">
        <v>62</v>
      </c>
      <c r="B188" s="77" t="s">
        <v>733</v>
      </c>
      <c r="C188" s="70" t="s">
        <v>17</v>
      </c>
      <c r="D188" s="210"/>
      <c r="E188" s="210"/>
      <c r="F188" s="210"/>
      <c r="G188" s="210"/>
      <c r="H188" s="406">
        <f>SUM(Tabla132112410[[#This Row],[PRIMER TRIMESTRE]:[CUARTO TRIMESTRE]])</f>
        <v>0</v>
      </c>
      <c r="I188" s="17">
        <v>39.56</v>
      </c>
      <c r="J188" s="17">
        <f t="shared" si="4"/>
        <v>0</v>
      </c>
      <c r="K188" s="17"/>
      <c r="L188" s="16" t="s">
        <v>27</v>
      </c>
      <c r="M188" s="16" t="s">
        <v>22</v>
      </c>
      <c r="N188" s="39" t="s">
        <v>418</v>
      </c>
    </row>
    <row r="189" spans="1:14" s="12" customFormat="1" ht="18">
      <c r="A189" s="180" t="s">
        <v>62</v>
      </c>
      <c r="B189" s="77" t="s">
        <v>734</v>
      </c>
      <c r="C189" s="70" t="s">
        <v>17</v>
      </c>
      <c r="D189" s="210"/>
      <c r="E189" s="210"/>
      <c r="F189" s="210"/>
      <c r="G189" s="210"/>
      <c r="H189" s="406">
        <f>SUM(Tabla132112410[[#This Row],[PRIMER TRIMESTRE]:[CUARTO TRIMESTRE]])</f>
        <v>0</v>
      </c>
      <c r="I189" s="17">
        <v>41.8</v>
      </c>
      <c r="J189" s="17">
        <f t="shared" si="4"/>
        <v>0</v>
      </c>
      <c r="K189" s="17"/>
      <c r="L189" s="16" t="s">
        <v>27</v>
      </c>
      <c r="M189" s="16" t="s">
        <v>22</v>
      </c>
      <c r="N189" s="39" t="s">
        <v>418</v>
      </c>
    </row>
    <row r="190" spans="1:14" s="12" customFormat="1" ht="18">
      <c r="A190" s="180" t="s">
        <v>62</v>
      </c>
      <c r="B190" s="77" t="s">
        <v>735</v>
      </c>
      <c r="C190" s="70" t="s">
        <v>17</v>
      </c>
      <c r="D190" s="210"/>
      <c r="E190" s="210"/>
      <c r="F190" s="210"/>
      <c r="G190" s="210"/>
      <c r="H190" s="406">
        <f>SUM(Tabla132112410[[#This Row],[PRIMER TRIMESTRE]:[CUARTO TRIMESTRE]])</f>
        <v>0</v>
      </c>
      <c r="I190" s="17">
        <v>50.27</v>
      </c>
      <c r="J190" s="17">
        <f t="shared" si="4"/>
        <v>0</v>
      </c>
      <c r="K190" s="17"/>
      <c r="L190" s="16" t="s">
        <v>27</v>
      </c>
      <c r="M190" s="16" t="s">
        <v>22</v>
      </c>
      <c r="N190" s="39" t="s">
        <v>418</v>
      </c>
    </row>
    <row r="191" spans="1:14" s="12" customFormat="1" ht="18">
      <c r="A191" s="180" t="s">
        <v>62</v>
      </c>
      <c r="B191" s="77" t="s">
        <v>736</v>
      </c>
      <c r="C191" s="70" t="s">
        <v>17</v>
      </c>
      <c r="D191" s="210"/>
      <c r="E191" s="210"/>
      <c r="F191" s="210"/>
      <c r="G191" s="210"/>
      <c r="H191" s="406">
        <f>SUM(Tabla132112410[[#This Row],[PRIMER TRIMESTRE]:[CUARTO TRIMESTRE]])</f>
        <v>0</v>
      </c>
      <c r="I191" s="17">
        <v>60.89</v>
      </c>
      <c r="J191" s="17">
        <f t="shared" si="4"/>
        <v>0</v>
      </c>
      <c r="K191" s="17"/>
      <c r="L191" s="16" t="s">
        <v>27</v>
      </c>
      <c r="M191" s="16" t="s">
        <v>22</v>
      </c>
      <c r="N191" s="39" t="s">
        <v>418</v>
      </c>
    </row>
    <row r="192" spans="1:14" s="12" customFormat="1" ht="18">
      <c r="A192" s="180" t="s">
        <v>62</v>
      </c>
      <c r="B192" s="77" t="s">
        <v>737</v>
      </c>
      <c r="C192" s="70" t="s">
        <v>17</v>
      </c>
      <c r="D192" s="210"/>
      <c r="E192" s="210"/>
      <c r="F192" s="210"/>
      <c r="G192" s="210"/>
      <c r="H192" s="406">
        <f>SUM(Tabla132112410[[#This Row],[PRIMER TRIMESTRE]:[CUARTO TRIMESTRE]])</f>
        <v>0</v>
      </c>
      <c r="I192" s="17">
        <v>65.36</v>
      </c>
      <c r="J192" s="17">
        <f t="shared" si="4"/>
        <v>0</v>
      </c>
      <c r="K192" s="17"/>
      <c r="L192" s="16" t="s">
        <v>27</v>
      </c>
      <c r="M192" s="16" t="s">
        <v>22</v>
      </c>
      <c r="N192" s="39" t="s">
        <v>418</v>
      </c>
    </row>
    <row r="193" spans="1:14" s="26" customFormat="1" ht="18">
      <c r="A193" s="180" t="s">
        <v>62</v>
      </c>
      <c r="B193" s="77" t="s">
        <v>738</v>
      </c>
      <c r="C193" s="70" t="s">
        <v>17</v>
      </c>
      <c r="D193" s="210"/>
      <c r="E193" s="210"/>
      <c r="F193" s="210"/>
      <c r="G193" s="210"/>
      <c r="H193" s="406">
        <f>SUM(Tabla132112410[[#This Row],[PRIMER TRIMESTRE]:[CUARTO TRIMESTRE]])</f>
        <v>0</v>
      </c>
      <c r="I193" s="17">
        <v>352.74</v>
      </c>
      <c r="J193" s="17">
        <f t="shared" si="4"/>
        <v>0</v>
      </c>
      <c r="K193" s="17"/>
      <c r="L193" s="16" t="s">
        <v>27</v>
      </c>
      <c r="M193" s="16" t="s">
        <v>22</v>
      </c>
      <c r="N193" s="39" t="s">
        <v>418</v>
      </c>
    </row>
    <row r="194" spans="1:14" s="55" customFormat="1" ht="18">
      <c r="A194" s="180" t="s">
        <v>62</v>
      </c>
      <c r="B194" s="75" t="s">
        <v>1169</v>
      </c>
      <c r="C194" s="39" t="s">
        <v>1162</v>
      </c>
      <c r="D194" s="236"/>
      <c r="E194" s="236"/>
      <c r="F194" s="236"/>
      <c r="G194" s="236"/>
      <c r="H194" s="40">
        <f>SUM(Tabla132112410[[#This Row],[PRIMER TRIMESTRE]:[CUARTO TRIMESTRE]])</f>
        <v>0</v>
      </c>
      <c r="I194" s="17">
        <v>2300</v>
      </c>
      <c r="J194" s="17">
        <f t="shared" si="4"/>
        <v>0</v>
      </c>
      <c r="K194" s="17"/>
      <c r="L194" s="16" t="s">
        <v>27</v>
      </c>
      <c r="M194" s="16" t="s">
        <v>22</v>
      </c>
      <c r="N194" s="39" t="s">
        <v>418</v>
      </c>
    </row>
    <row r="195" spans="1:14" s="55" customFormat="1" ht="18">
      <c r="A195" s="179" t="s">
        <v>62</v>
      </c>
      <c r="B195" s="76"/>
      <c r="C195" s="42"/>
      <c r="D195" s="237"/>
      <c r="E195" s="237"/>
      <c r="F195" s="237"/>
      <c r="G195" s="237"/>
      <c r="H195" s="43"/>
      <c r="I195" s="24"/>
      <c r="J195" s="24"/>
      <c r="K195" s="25">
        <f>SUM(J90:J194)</f>
        <v>0</v>
      </c>
      <c r="L195" s="23"/>
      <c r="M195" s="23"/>
      <c r="N195" s="42"/>
    </row>
    <row r="196" spans="1:14" s="55" customFormat="1" ht="30">
      <c r="A196" s="178" t="s">
        <v>73</v>
      </c>
      <c r="B196" s="75" t="s">
        <v>1275</v>
      </c>
      <c r="C196" s="53" t="s">
        <v>17</v>
      </c>
      <c r="D196" s="410"/>
      <c r="E196" s="410"/>
      <c r="F196" s="410"/>
      <c r="G196" s="410"/>
      <c r="H196" s="51">
        <f>SUM(Tabla132112410[[#This Row],[PRIMER TRIMESTRE]:[CUARTO TRIMESTRE]])</f>
        <v>0</v>
      </c>
      <c r="I196" s="52">
        <v>239750</v>
      </c>
      <c r="J196" s="52">
        <f>+H196*I196</f>
        <v>0</v>
      </c>
      <c r="K196" s="50"/>
      <c r="L196" s="16" t="s">
        <v>18</v>
      </c>
      <c r="M196" s="411" t="s">
        <v>22</v>
      </c>
      <c r="N196" s="39" t="s">
        <v>418</v>
      </c>
    </row>
    <row r="197" spans="1:14" s="55" customFormat="1" ht="30">
      <c r="A197" s="178" t="s">
        <v>73</v>
      </c>
      <c r="B197" s="75" t="s">
        <v>1276</v>
      </c>
      <c r="C197" s="53" t="s">
        <v>17</v>
      </c>
      <c r="D197" s="410"/>
      <c r="E197" s="410"/>
      <c r="F197" s="410"/>
      <c r="G197" s="410"/>
      <c r="H197" s="51">
        <f>SUM(Tabla132112410[[#This Row],[PRIMER TRIMESTRE]:[CUARTO TRIMESTRE]])</f>
        <v>0</v>
      </c>
      <c r="I197" s="52">
        <v>37500</v>
      </c>
      <c r="J197" s="52">
        <f>+H197*I197</f>
        <v>0</v>
      </c>
      <c r="K197" s="50"/>
      <c r="L197" s="16" t="s">
        <v>18</v>
      </c>
      <c r="M197" s="411" t="s">
        <v>22</v>
      </c>
      <c r="N197" s="39" t="s">
        <v>418</v>
      </c>
    </row>
    <row r="198" spans="1:14" s="26" customFormat="1" ht="30">
      <c r="A198" s="178" t="s">
        <v>73</v>
      </c>
      <c r="B198" s="75" t="s">
        <v>1277</v>
      </c>
      <c r="C198" s="53" t="s">
        <v>17</v>
      </c>
      <c r="D198" s="410"/>
      <c r="E198" s="410"/>
      <c r="F198" s="410"/>
      <c r="G198" s="410"/>
      <c r="H198" s="51">
        <f>SUM(Tabla132112410[[#This Row],[PRIMER TRIMESTRE]:[CUARTO TRIMESTRE]])</f>
        <v>0</v>
      </c>
      <c r="I198" s="52">
        <v>301000</v>
      </c>
      <c r="J198" s="52">
        <f>+H198*I198</f>
        <v>0</v>
      </c>
      <c r="K198" s="50"/>
      <c r="L198" s="16" t="s">
        <v>18</v>
      </c>
      <c r="M198" s="411" t="s">
        <v>22</v>
      </c>
      <c r="N198" s="39" t="s">
        <v>418</v>
      </c>
    </row>
    <row r="199" spans="1:14" s="12" customFormat="1" ht="30">
      <c r="A199" s="178" t="s">
        <v>73</v>
      </c>
      <c r="B199" s="75" t="s">
        <v>1278</v>
      </c>
      <c r="C199" s="53" t="s">
        <v>17</v>
      </c>
      <c r="D199" s="410"/>
      <c r="E199" s="410"/>
      <c r="F199" s="410"/>
      <c r="G199" s="410"/>
      <c r="H199" s="51">
        <f>SUM(Tabla132112410[[#This Row],[PRIMER TRIMESTRE]:[CUARTO TRIMESTRE]])</f>
        <v>0</v>
      </c>
      <c r="I199" s="52">
        <v>350000</v>
      </c>
      <c r="J199" s="52">
        <f>+H199*I199</f>
        <v>0</v>
      </c>
      <c r="K199" s="50"/>
      <c r="L199" s="16" t="s">
        <v>18</v>
      </c>
      <c r="M199" s="411" t="s">
        <v>22</v>
      </c>
      <c r="N199" s="39" t="s">
        <v>418</v>
      </c>
    </row>
    <row r="200" spans="1:14" s="12" customFormat="1" ht="31.5">
      <c r="A200" s="179" t="s">
        <v>73</v>
      </c>
      <c r="B200" s="76"/>
      <c r="C200" s="42"/>
      <c r="D200" s="237"/>
      <c r="E200" s="237"/>
      <c r="F200" s="237"/>
      <c r="G200" s="237"/>
      <c r="H200" s="43"/>
      <c r="I200" s="24"/>
      <c r="J200" s="24"/>
      <c r="K200" s="25">
        <f>SUM(J196:J199)</f>
        <v>0</v>
      </c>
      <c r="L200" s="23"/>
      <c r="M200" s="23"/>
      <c r="N200" s="42"/>
    </row>
    <row r="201" spans="1:14" s="12" customFormat="1" ht="18">
      <c r="A201" s="178" t="s">
        <v>80</v>
      </c>
      <c r="B201" s="75" t="s">
        <v>788</v>
      </c>
      <c r="C201" s="39" t="s">
        <v>69</v>
      </c>
      <c r="D201" s="236"/>
      <c r="E201" s="236"/>
      <c r="F201" s="236"/>
      <c r="G201" s="236"/>
      <c r="H201" s="40">
        <f>SUM(Tabla132112410[[#This Row],[PRIMER TRIMESTRE]:[CUARTO TRIMESTRE]])</f>
        <v>0</v>
      </c>
      <c r="I201" s="17">
        <v>5.46</v>
      </c>
      <c r="J201" s="17">
        <f>+Tabla132112410[[#This Row],[CANTIDAD TOTAL]]*Tabla132112410[[#This Row],[PRECIO UNITARIO ESTIMADO]]</f>
        <v>0</v>
      </c>
      <c r="K201" s="17"/>
      <c r="L201" s="16" t="s">
        <v>18</v>
      </c>
      <c r="M201" s="16" t="s">
        <v>22</v>
      </c>
      <c r="N201" s="39" t="s">
        <v>418</v>
      </c>
    </row>
    <row r="202" spans="1:14" s="12" customFormat="1" ht="18">
      <c r="A202" s="178" t="s">
        <v>80</v>
      </c>
      <c r="B202" s="75" t="s">
        <v>1346</v>
      </c>
      <c r="C202" s="39" t="s">
        <v>208</v>
      </c>
      <c r="D202" s="236"/>
      <c r="E202" s="236"/>
      <c r="F202" s="236"/>
      <c r="G202" s="236"/>
      <c r="H202" s="40">
        <f>SUM(Tabla132112410[[#This Row],[PRIMER TRIMESTRE]:[CUARTO TRIMESTRE]])</f>
        <v>0</v>
      </c>
      <c r="I202" s="17">
        <v>8</v>
      </c>
      <c r="J202" s="17">
        <f>+Tabla132112410[[#This Row],[CANTIDAD TOTAL]]*Tabla132112410[[#This Row],[PRECIO UNITARIO ESTIMADO]]</f>
        <v>0</v>
      </c>
      <c r="K202" s="17"/>
      <c r="L202" s="16" t="s">
        <v>18</v>
      </c>
      <c r="M202" s="16" t="s">
        <v>22</v>
      </c>
      <c r="N202" s="39" t="s">
        <v>418</v>
      </c>
    </row>
    <row r="203" spans="1:14" s="12" customFormat="1" ht="18">
      <c r="A203" s="178" t="s">
        <v>80</v>
      </c>
      <c r="B203" s="75" t="s">
        <v>789</v>
      </c>
      <c r="C203" s="39" t="s">
        <v>208</v>
      </c>
      <c r="D203" s="236"/>
      <c r="E203" s="236"/>
      <c r="F203" s="236"/>
      <c r="G203" s="236"/>
      <c r="H203" s="40">
        <f>SUM(Tabla132112410[[#This Row],[PRIMER TRIMESTRE]:[CUARTO TRIMESTRE]])</f>
        <v>0</v>
      </c>
      <c r="I203" s="17">
        <v>6.4</v>
      </c>
      <c r="J203" s="17">
        <f>+Tabla132112410[[#This Row],[CANTIDAD TOTAL]]*Tabla132112410[[#This Row],[PRECIO UNITARIO ESTIMADO]]</f>
        <v>0</v>
      </c>
      <c r="K203" s="17"/>
      <c r="L203" s="16" t="s">
        <v>18</v>
      </c>
      <c r="M203" s="16" t="s">
        <v>22</v>
      </c>
      <c r="N203" s="39" t="s">
        <v>418</v>
      </c>
    </row>
    <row r="204" spans="1:14" s="12" customFormat="1" ht="18">
      <c r="A204" s="178" t="s">
        <v>80</v>
      </c>
      <c r="B204" s="75" t="s">
        <v>83</v>
      </c>
      <c r="C204" s="39" t="s">
        <v>69</v>
      </c>
      <c r="D204" s="236"/>
      <c r="E204" s="236"/>
      <c r="F204" s="236"/>
      <c r="G204" s="236"/>
      <c r="H204" s="40">
        <f>SUM(Tabla132112410[[#This Row],[PRIMER TRIMESTRE]:[CUARTO TRIMESTRE]])</f>
        <v>0</v>
      </c>
      <c r="I204" s="17">
        <v>290</v>
      </c>
      <c r="J204" s="17">
        <f>+Tabla132112410[[#This Row],[CANTIDAD TOTAL]]*Tabla132112410[[#This Row],[PRECIO UNITARIO ESTIMADO]]</f>
        <v>0</v>
      </c>
      <c r="K204" s="17"/>
      <c r="L204" s="16" t="s">
        <v>18</v>
      </c>
      <c r="M204" s="16" t="s">
        <v>22</v>
      </c>
      <c r="N204" s="39" t="s">
        <v>418</v>
      </c>
    </row>
    <row r="205" spans="1:14" s="12" customFormat="1" ht="18">
      <c r="A205" s="178" t="s">
        <v>80</v>
      </c>
      <c r="B205" s="75" t="s">
        <v>1561</v>
      </c>
      <c r="C205" s="39" t="s">
        <v>69</v>
      </c>
      <c r="D205" s="39"/>
      <c r="E205" s="236"/>
      <c r="F205" s="236"/>
      <c r="G205" s="236"/>
      <c r="H205" s="40">
        <f>SUM(Tabla132112410[[#This Row],[PRIMER TRIMESTRE]:[CUARTO TRIMESTRE]])</f>
        <v>0</v>
      </c>
      <c r="I205" s="17">
        <v>3200</v>
      </c>
      <c r="J205" s="17">
        <f>+H205*I205</f>
        <v>0</v>
      </c>
      <c r="K205" s="17"/>
      <c r="L205" s="16" t="s">
        <v>18</v>
      </c>
      <c r="M205" s="16" t="s">
        <v>22</v>
      </c>
      <c r="N205" s="39" t="s">
        <v>418</v>
      </c>
    </row>
    <row r="206" spans="1:14" s="12" customFormat="1" ht="18">
      <c r="A206" s="178" t="s">
        <v>80</v>
      </c>
      <c r="B206" s="75" t="s">
        <v>85</v>
      </c>
      <c r="C206" s="39" t="s">
        <v>69</v>
      </c>
      <c r="D206" s="236"/>
      <c r="E206" s="236"/>
      <c r="F206" s="236"/>
      <c r="G206" s="236"/>
      <c r="H206" s="40">
        <f>SUM(Tabla132112410[[#This Row],[PRIMER TRIMESTRE]:[CUARTO TRIMESTRE]])</f>
        <v>0</v>
      </c>
      <c r="I206" s="17">
        <v>4.0599999999999996</v>
      </c>
      <c r="J206" s="17">
        <f>+Tabla132112410[[#This Row],[CANTIDAD TOTAL]]*Tabla132112410[[#This Row],[PRECIO UNITARIO ESTIMADO]]</f>
        <v>0</v>
      </c>
      <c r="K206" s="17"/>
      <c r="L206" s="16" t="s">
        <v>18</v>
      </c>
      <c r="M206" s="16" t="s">
        <v>22</v>
      </c>
      <c r="N206" s="39" t="s">
        <v>418</v>
      </c>
    </row>
    <row r="207" spans="1:14" s="12" customFormat="1" ht="18">
      <c r="A207" s="178" t="s">
        <v>80</v>
      </c>
      <c r="B207" s="75" t="s">
        <v>87</v>
      </c>
      <c r="C207" s="39" t="s">
        <v>69</v>
      </c>
      <c r="D207" s="236"/>
      <c r="E207" s="236"/>
      <c r="F207" s="236"/>
      <c r="G207" s="236"/>
      <c r="H207" s="40">
        <f>SUM(Tabla132112410[[#This Row],[PRIMER TRIMESTRE]:[CUARTO TRIMESTRE]])</f>
        <v>0</v>
      </c>
      <c r="I207" s="17">
        <v>3.71</v>
      </c>
      <c r="J207" s="17">
        <f>+Tabla132112410[[#This Row],[CANTIDAD TOTAL]]*Tabla132112410[[#This Row],[PRECIO UNITARIO ESTIMADO]]</f>
        <v>0</v>
      </c>
      <c r="K207" s="17"/>
      <c r="L207" s="16" t="s">
        <v>18</v>
      </c>
      <c r="M207" s="16" t="s">
        <v>22</v>
      </c>
      <c r="N207" s="39" t="s">
        <v>418</v>
      </c>
    </row>
    <row r="208" spans="1:14" s="12" customFormat="1" ht="18">
      <c r="A208" s="178" t="s">
        <v>80</v>
      </c>
      <c r="B208" s="75" t="s">
        <v>1436</v>
      </c>
      <c r="C208" s="39" t="s">
        <v>69</v>
      </c>
      <c r="D208" s="236"/>
      <c r="E208" s="236"/>
      <c r="F208" s="236"/>
      <c r="G208" s="236"/>
      <c r="H208" s="40">
        <f>SUM(Tabla132112410[[#This Row],[PRIMER TRIMESTRE]:[CUARTO TRIMESTRE]])</f>
        <v>0</v>
      </c>
      <c r="I208" s="17">
        <v>125</v>
      </c>
      <c r="J208" s="17">
        <f>+H208*I208</f>
        <v>0</v>
      </c>
      <c r="K208" s="17"/>
      <c r="L208" s="16" t="s">
        <v>18</v>
      </c>
      <c r="M208" s="16" t="s">
        <v>22</v>
      </c>
      <c r="N208" s="39" t="s">
        <v>418</v>
      </c>
    </row>
    <row r="209" spans="1:14" s="12" customFormat="1" ht="18">
      <c r="A209" s="178" t="s">
        <v>80</v>
      </c>
      <c r="B209" s="75" t="s">
        <v>89</v>
      </c>
      <c r="C209" s="39" t="s">
        <v>208</v>
      </c>
      <c r="D209" s="236"/>
      <c r="E209" s="236"/>
      <c r="F209" s="236"/>
      <c r="G209" s="236"/>
      <c r="H209" s="40">
        <f>SUM(Tabla132112410[[#This Row],[PRIMER TRIMESTRE]:[CUARTO TRIMESTRE]])</f>
        <v>0</v>
      </c>
      <c r="I209" s="17">
        <v>7.3</v>
      </c>
      <c r="J209" s="17">
        <f>+Tabla132112410[[#This Row],[CANTIDAD TOTAL]]*Tabla132112410[[#This Row],[PRECIO UNITARIO ESTIMADO]]</f>
        <v>0</v>
      </c>
      <c r="K209" s="17"/>
      <c r="L209" s="16" t="s">
        <v>18</v>
      </c>
      <c r="M209" s="16" t="s">
        <v>22</v>
      </c>
      <c r="N209" s="39" t="s">
        <v>418</v>
      </c>
    </row>
    <row r="210" spans="1:14" s="12" customFormat="1" ht="25.5">
      <c r="A210" s="178" t="s">
        <v>80</v>
      </c>
      <c r="B210" s="75" t="s">
        <v>98</v>
      </c>
      <c r="C210" s="39" t="s">
        <v>93</v>
      </c>
      <c r="D210" s="236"/>
      <c r="E210" s="236"/>
      <c r="F210" s="236"/>
      <c r="G210" s="236"/>
      <c r="H210" s="40">
        <f>SUM(Tabla132112410[[#This Row],[PRIMER TRIMESTRE]:[CUARTO TRIMESTRE]])</f>
        <v>0</v>
      </c>
      <c r="I210" s="17">
        <v>272.60000000000002</v>
      </c>
      <c r="J210" s="17">
        <f>+Tabla132112410[[#This Row],[CANTIDAD TOTAL]]*Tabla132112410[[#This Row],[PRECIO UNITARIO ESTIMADO]]</f>
        <v>0</v>
      </c>
      <c r="K210" s="17"/>
      <c r="L210" s="16" t="s">
        <v>18</v>
      </c>
      <c r="M210" s="16" t="s">
        <v>22</v>
      </c>
      <c r="N210" s="39" t="s">
        <v>418</v>
      </c>
    </row>
    <row r="211" spans="1:14" s="12" customFormat="1" ht="18">
      <c r="A211" s="178" t="s">
        <v>80</v>
      </c>
      <c r="B211" s="75" t="s">
        <v>1601</v>
      </c>
      <c r="C211" s="39" t="s">
        <v>93</v>
      </c>
      <c r="D211" s="39"/>
      <c r="E211" s="39"/>
      <c r="F211" s="39"/>
      <c r="G211" s="39"/>
      <c r="H211" s="39">
        <f>SUM(Tabla132112410[[#This Row],[PRIMER TRIMESTRE]:[CUARTO TRIMESTRE]])</f>
        <v>0</v>
      </c>
      <c r="I211" s="17">
        <v>57</v>
      </c>
      <c r="J211" s="17">
        <f>+H211*I211</f>
        <v>0</v>
      </c>
      <c r="K211" s="17"/>
      <c r="L211" s="16" t="s">
        <v>18</v>
      </c>
      <c r="M211" s="16" t="s">
        <v>22</v>
      </c>
      <c r="N211" s="39" t="s">
        <v>418</v>
      </c>
    </row>
    <row r="212" spans="1:14" s="12" customFormat="1" ht="18">
      <c r="A212" s="178" t="s">
        <v>80</v>
      </c>
      <c r="B212" s="75" t="s">
        <v>100</v>
      </c>
      <c r="C212" s="39" t="s">
        <v>93</v>
      </c>
      <c r="D212" s="236"/>
      <c r="E212" s="236"/>
      <c r="F212" s="236"/>
      <c r="G212" s="236"/>
      <c r="H212" s="40">
        <f>SUM(Tabla132112410[[#This Row],[PRIMER TRIMESTRE]:[CUARTO TRIMESTRE]])</f>
        <v>0</v>
      </c>
      <c r="I212" s="17">
        <v>30.16</v>
      </c>
      <c r="J212" s="17">
        <f>+Tabla132112410[[#This Row],[CANTIDAD TOTAL]]*Tabla132112410[[#This Row],[PRECIO UNITARIO ESTIMADO]]</f>
        <v>0</v>
      </c>
      <c r="K212" s="17"/>
      <c r="L212" s="16" t="s">
        <v>18</v>
      </c>
      <c r="M212" s="16" t="s">
        <v>22</v>
      </c>
      <c r="N212" s="39" t="s">
        <v>418</v>
      </c>
    </row>
    <row r="213" spans="1:14" s="12" customFormat="1" ht="25.5">
      <c r="A213" s="178" t="s">
        <v>80</v>
      </c>
      <c r="B213" s="75" t="s">
        <v>1729</v>
      </c>
      <c r="C213" s="39" t="s">
        <v>17</v>
      </c>
      <c r="D213" s="236"/>
      <c r="E213" s="236"/>
      <c r="F213" s="236"/>
      <c r="G213" s="236"/>
      <c r="H213" s="40">
        <v>0</v>
      </c>
      <c r="I213" s="17">
        <v>0</v>
      </c>
      <c r="J213" s="17">
        <v>0</v>
      </c>
      <c r="K213" s="17"/>
      <c r="L213" s="16" t="s">
        <v>18</v>
      </c>
      <c r="M213" s="16" t="s">
        <v>22</v>
      </c>
      <c r="N213" s="39" t="s">
        <v>418</v>
      </c>
    </row>
    <row r="214" spans="1:14" s="12" customFormat="1" ht="25.5">
      <c r="A214" s="178" t="s">
        <v>80</v>
      </c>
      <c r="B214" s="75" t="s">
        <v>1730</v>
      </c>
      <c r="C214" s="39" t="s">
        <v>17</v>
      </c>
      <c r="D214" s="236"/>
      <c r="E214" s="236"/>
      <c r="F214" s="236"/>
      <c r="G214" s="236"/>
      <c r="H214" s="40">
        <v>0</v>
      </c>
      <c r="I214" s="17">
        <v>0</v>
      </c>
      <c r="J214" s="17">
        <v>0</v>
      </c>
      <c r="K214" s="17"/>
      <c r="L214" s="16" t="s">
        <v>18</v>
      </c>
      <c r="M214" s="16" t="s">
        <v>22</v>
      </c>
      <c r="N214" s="39" t="s">
        <v>418</v>
      </c>
    </row>
    <row r="215" spans="1:14" s="12" customFormat="1" ht="18">
      <c r="A215" s="178" t="s">
        <v>80</v>
      </c>
      <c r="B215" s="75" t="s">
        <v>105</v>
      </c>
      <c r="C215" s="39" t="s">
        <v>17</v>
      </c>
      <c r="D215" s="236"/>
      <c r="E215" s="236"/>
      <c r="F215" s="236"/>
      <c r="G215" s="236"/>
      <c r="H215" s="40">
        <f>SUM(Tabla132112410[[#This Row],[PRIMER TRIMESTRE]:[CUARTO TRIMESTRE]])</f>
        <v>0</v>
      </c>
      <c r="I215" s="17">
        <v>33.64</v>
      </c>
      <c r="J215" s="17">
        <f>+Tabla132112410[[#This Row],[CANTIDAD TOTAL]]*Tabla132112410[[#This Row],[PRECIO UNITARIO ESTIMADO]]</f>
        <v>0</v>
      </c>
      <c r="K215" s="17"/>
      <c r="L215" s="16" t="s">
        <v>18</v>
      </c>
      <c r="M215" s="16" t="s">
        <v>22</v>
      </c>
      <c r="N215" s="39" t="s">
        <v>418</v>
      </c>
    </row>
    <row r="216" spans="1:14" s="12" customFormat="1" ht="18">
      <c r="A216" s="178" t="s">
        <v>80</v>
      </c>
      <c r="B216" s="75" t="s">
        <v>1725</v>
      </c>
      <c r="C216" s="70" t="s">
        <v>17</v>
      </c>
      <c r="D216" s="236"/>
      <c r="E216" s="236"/>
      <c r="F216" s="236"/>
      <c r="G216" s="236"/>
      <c r="H216" s="40">
        <v>0</v>
      </c>
      <c r="I216" s="17">
        <v>0</v>
      </c>
      <c r="J216" s="17">
        <v>0</v>
      </c>
      <c r="K216" s="17"/>
      <c r="L216" s="16" t="s">
        <v>18</v>
      </c>
      <c r="M216" s="16" t="s">
        <v>22</v>
      </c>
      <c r="N216" s="39" t="s">
        <v>418</v>
      </c>
    </row>
    <row r="217" spans="1:14" s="12" customFormat="1" ht="18">
      <c r="A217" s="178" t="s">
        <v>80</v>
      </c>
      <c r="B217" s="75" t="s">
        <v>110</v>
      </c>
      <c r="C217" s="70" t="s">
        <v>17</v>
      </c>
      <c r="D217" s="236"/>
      <c r="E217" s="236"/>
      <c r="F217" s="210"/>
      <c r="G217" s="210"/>
      <c r="H217" s="40">
        <f>SUM(Tabla132112410[[#This Row],[PRIMER TRIMESTRE]:[CUARTO TRIMESTRE]])</f>
        <v>0</v>
      </c>
      <c r="I217" s="17">
        <v>5823.23</v>
      </c>
      <c r="J217" s="17">
        <f>+Tabla132112410[[#This Row],[CANTIDAD TOTAL]]*Tabla132112410[[#This Row],[PRECIO UNITARIO ESTIMADO]]</f>
        <v>0</v>
      </c>
      <c r="K217" s="17"/>
      <c r="L217" s="16" t="s">
        <v>18</v>
      </c>
      <c r="M217" s="16" t="s">
        <v>22</v>
      </c>
      <c r="N217" s="39" t="s">
        <v>418</v>
      </c>
    </row>
    <row r="218" spans="1:14" s="12" customFormat="1" ht="18">
      <c r="A218" s="178" t="s">
        <v>80</v>
      </c>
      <c r="B218" s="77" t="s">
        <v>112</v>
      </c>
      <c r="C218" s="70" t="s">
        <v>288</v>
      </c>
      <c r="D218" s="236"/>
      <c r="E218" s="210"/>
      <c r="F218" s="210"/>
      <c r="G218" s="210"/>
      <c r="H218" s="40">
        <f>SUM(Tabla132112410[[#This Row],[PRIMER TRIMESTRE]:[CUARTO TRIMESTRE]])</f>
        <v>0</v>
      </c>
      <c r="I218" s="17">
        <v>1624</v>
      </c>
      <c r="J218" s="17">
        <f>+Tabla132112410[[#This Row],[CANTIDAD TOTAL]]*Tabla132112410[[#This Row],[PRECIO UNITARIO ESTIMADO]]</f>
        <v>0</v>
      </c>
      <c r="K218" s="17"/>
      <c r="L218" s="16" t="s">
        <v>18</v>
      </c>
      <c r="M218" s="16" t="s">
        <v>22</v>
      </c>
      <c r="N218" s="39" t="s">
        <v>418</v>
      </c>
    </row>
    <row r="219" spans="1:14" s="12" customFormat="1" ht="18">
      <c r="A219" s="178" t="s">
        <v>80</v>
      </c>
      <c r="B219" s="77" t="s">
        <v>766</v>
      </c>
      <c r="C219" s="70" t="s">
        <v>767</v>
      </c>
      <c r="D219" s="236"/>
      <c r="E219" s="210"/>
      <c r="F219" s="210"/>
      <c r="G219" s="210"/>
      <c r="H219" s="40">
        <f>SUM(Tabla132112410[[#This Row],[PRIMER TRIMESTRE]:[CUARTO TRIMESTRE]])</f>
        <v>0</v>
      </c>
      <c r="I219" s="17">
        <v>470</v>
      </c>
      <c r="J219" s="17">
        <f>+Tabla132112410[[#This Row],[CANTIDAD TOTAL]]*Tabla132112410[[#This Row],[PRECIO UNITARIO ESTIMADO]]</f>
        <v>0</v>
      </c>
      <c r="K219" s="17"/>
      <c r="L219" s="16" t="s">
        <v>18</v>
      </c>
      <c r="M219" s="16" t="s">
        <v>22</v>
      </c>
      <c r="N219" s="39" t="s">
        <v>418</v>
      </c>
    </row>
    <row r="220" spans="1:14" s="12" customFormat="1" ht="18">
      <c r="A220" s="178" t="s">
        <v>80</v>
      </c>
      <c r="B220" s="77" t="s">
        <v>1623</v>
      </c>
      <c r="C220" s="70" t="s">
        <v>17</v>
      </c>
      <c r="D220" s="236"/>
      <c r="E220" s="210"/>
      <c r="F220" s="210"/>
      <c r="G220" s="210"/>
      <c r="H220" s="40">
        <f>SUM(Tabla132112410[[#This Row],[PRIMER TRIMESTRE]:[CUARTO TRIMESTRE]])</f>
        <v>0</v>
      </c>
      <c r="I220" s="17">
        <v>1784.1</v>
      </c>
      <c r="J220" s="17">
        <f t="shared" ref="J220:J283" si="5">+H220*I220</f>
        <v>0</v>
      </c>
      <c r="K220" s="17"/>
      <c r="L220" s="16" t="s">
        <v>18</v>
      </c>
      <c r="M220" s="16" t="s">
        <v>22</v>
      </c>
      <c r="N220" s="39" t="s">
        <v>418</v>
      </c>
    </row>
    <row r="221" spans="1:14" s="12" customFormat="1" ht="18">
      <c r="A221" s="178" t="s">
        <v>80</v>
      </c>
      <c r="B221" s="77" t="s">
        <v>1431</v>
      </c>
      <c r="C221" s="70" t="s">
        <v>288</v>
      </c>
      <c r="D221" s="236"/>
      <c r="E221" s="210"/>
      <c r="F221" s="210"/>
      <c r="G221" s="210"/>
      <c r="H221" s="40">
        <f>SUM(Tabla132112410[[#This Row],[PRIMER TRIMESTRE]:[CUARTO TRIMESTRE]])</f>
        <v>0</v>
      </c>
      <c r="I221" s="17">
        <v>1395</v>
      </c>
      <c r="J221" s="17">
        <f t="shared" si="5"/>
        <v>0</v>
      </c>
      <c r="K221" s="17"/>
      <c r="L221" s="16" t="s">
        <v>18</v>
      </c>
      <c r="M221" s="16" t="s">
        <v>22</v>
      </c>
      <c r="N221" s="39" t="s">
        <v>418</v>
      </c>
    </row>
    <row r="222" spans="1:14" s="12" customFormat="1" ht="18">
      <c r="A222" s="178" t="s">
        <v>80</v>
      </c>
      <c r="B222" s="77" t="s">
        <v>921</v>
      </c>
      <c r="C222" s="70" t="s">
        <v>17</v>
      </c>
      <c r="D222" s="236"/>
      <c r="E222" s="210"/>
      <c r="F222" s="210"/>
      <c r="G222" s="210"/>
      <c r="H222" s="40">
        <f>SUM(Tabla132112410[[#This Row],[PRIMER TRIMESTRE]:[CUARTO TRIMESTRE]])</f>
        <v>0</v>
      </c>
      <c r="I222" s="17">
        <v>94</v>
      </c>
      <c r="J222" s="17">
        <f t="shared" si="5"/>
        <v>0</v>
      </c>
      <c r="K222" s="17"/>
      <c r="L222" s="16" t="s">
        <v>18</v>
      </c>
      <c r="M222" s="16" t="s">
        <v>22</v>
      </c>
      <c r="N222" s="39" t="s">
        <v>418</v>
      </c>
    </row>
    <row r="223" spans="1:14" s="12" customFormat="1" ht="25.5">
      <c r="A223" s="178" t="s">
        <v>80</v>
      </c>
      <c r="B223" s="77" t="s">
        <v>1610</v>
      </c>
      <c r="C223" s="70" t="s">
        <v>17</v>
      </c>
      <c r="D223" s="70"/>
      <c r="E223" s="70"/>
      <c r="F223" s="70"/>
      <c r="G223" s="70"/>
      <c r="H223" s="70">
        <f>SUM(Tabla132112410[[#This Row],[PRIMER TRIMESTRE]:[CUARTO TRIMESTRE]])</f>
        <v>0</v>
      </c>
      <c r="I223" s="17">
        <v>573.88</v>
      </c>
      <c r="J223" s="17">
        <f t="shared" si="5"/>
        <v>0</v>
      </c>
      <c r="K223" s="17"/>
      <c r="L223" s="16" t="s">
        <v>18</v>
      </c>
      <c r="M223" s="16" t="s">
        <v>22</v>
      </c>
      <c r="N223" s="39" t="s">
        <v>418</v>
      </c>
    </row>
    <row r="224" spans="1:14" s="12" customFormat="1" ht="38.25">
      <c r="A224" s="178" t="s">
        <v>80</v>
      </c>
      <c r="B224" s="77" t="s">
        <v>1609</v>
      </c>
      <c r="C224" s="70" t="s">
        <v>17</v>
      </c>
      <c r="D224" s="70"/>
      <c r="E224" s="70"/>
      <c r="F224" s="70"/>
      <c r="G224" s="70"/>
      <c r="H224" s="70">
        <f>SUM(Tabla132112410[[#This Row],[PRIMER TRIMESTRE]:[CUARTO TRIMESTRE]])</f>
        <v>0</v>
      </c>
      <c r="I224" s="17">
        <v>223.86</v>
      </c>
      <c r="J224" s="17">
        <f t="shared" si="5"/>
        <v>0</v>
      </c>
      <c r="K224" s="17"/>
      <c r="L224" s="16" t="s">
        <v>18</v>
      </c>
      <c r="M224" s="16" t="s">
        <v>22</v>
      </c>
      <c r="N224" s="39" t="s">
        <v>418</v>
      </c>
    </row>
    <row r="225" spans="1:14" s="12" customFormat="1" ht="18">
      <c r="A225" s="178" t="s">
        <v>80</v>
      </c>
      <c r="B225" s="77" t="s">
        <v>1181</v>
      </c>
      <c r="C225" s="70" t="s">
        <v>17</v>
      </c>
      <c r="D225" s="236"/>
      <c r="E225" s="210"/>
      <c r="F225" s="210"/>
      <c r="G225" s="210"/>
      <c r="H225" s="40">
        <f>SUM(Tabla132112410[[#This Row],[PRIMER TRIMESTRE]:[CUARTO TRIMESTRE]])</f>
        <v>0</v>
      </c>
      <c r="I225" s="17">
        <v>175</v>
      </c>
      <c r="J225" s="17">
        <f t="shared" si="5"/>
        <v>0</v>
      </c>
      <c r="K225" s="17"/>
      <c r="L225" s="16" t="s">
        <v>18</v>
      </c>
      <c r="M225" s="16" t="s">
        <v>22</v>
      </c>
      <c r="N225" s="39" t="s">
        <v>418</v>
      </c>
    </row>
    <row r="226" spans="1:14" s="12" customFormat="1" ht="18">
      <c r="A226" s="178" t="s">
        <v>80</v>
      </c>
      <c r="B226" s="75" t="s">
        <v>730</v>
      </c>
      <c r="C226" s="70" t="s">
        <v>17</v>
      </c>
      <c r="D226" s="236"/>
      <c r="E226" s="210"/>
      <c r="F226" s="210"/>
      <c r="G226" s="210"/>
      <c r="H226" s="40">
        <f>SUM(Tabla132112410[[#This Row],[PRIMER TRIMESTRE]:[CUARTO TRIMESTRE]])</f>
        <v>0</v>
      </c>
      <c r="I226" s="17">
        <v>246.34</v>
      </c>
      <c r="J226" s="17">
        <f t="shared" si="5"/>
        <v>0</v>
      </c>
      <c r="K226" s="17"/>
      <c r="L226" s="16" t="s">
        <v>18</v>
      </c>
      <c r="M226" s="16" t="s">
        <v>22</v>
      </c>
      <c r="N226" s="39" t="s">
        <v>418</v>
      </c>
    </row>
    <row r="227" spans="1:14" s="12" customFormat="1" ht="18">
      <c r="A227" s="178" t="s">
        <v>80</v>
      </c>
      <c r="B227" s="75" t="s">
        <v>570</v>
      </c>
      <c r="C227" s="70" t="s">
        <v>17</v>
      </c>
      <c r="D227" s="236"/>
      <c r="E227" s="210"/>
      <c r="F227" s="210"/>
      <c r="G227" s="210"/>
      <c r="H227" s="40">
        <f>SUM(Tabla132112410[[#This Row],[PRIMER TRIMESTRE]:[CUARTO TRIMESTRE]])</f>
        <v>0</v>
      </c>
      <c r="I227" s="17">
        <v>4100</v>
      </c>
      <c r="J227" s="17">
        <f t="shared" si="5"/>
        <v>0</v>
      </c>
      <c r="K227" s="17"/>
      <c r="L227" s="16" t="s">
        <v>18</v>
      </c>
      <c r="M227" s="16" t="s">
        <v>22</v>
      </c>
      <c r="N227" s="39" t="s">
        <v>418</v>
      </c>
    </row>
    <row r="228" spans="1:14" s="12" customFormat="1" ht="25.5">
      <c r="A228" s="178" t="s">
        <v>80</v>
      </c>
      <c r="B228" s="75" t="s">
        <v>919</v>
      </c>
      <c r="C228" s="70" t="s">
        <v>17</v>
      </c>
      <c r="D228" s="236"/>
      <c r="E228" s="210"/>
      <c r="F228" s="210"/>
      <c r="G228" s="210"/>
      <c r="H228" s="40">
        <f>SUM(Tabla132112410[[#This Row],[PRIMER TRIMESTRE]:[CUARTO TRIMESTRE]])</f>
        <v>0</v>
      </c>
      <c r="I228" s="17">
        <v>31500</v>
      </c>
      <c r="J228" s="17">
        <f t="shared" si="5"/>
        <v>0</v>
      </c>
      <c r="K228" s="17"/>
      <c r="L228" s="16" t="s">
        <v>18</v>
      </c>
      <c r="M228" s="16" t="s">
        <v>22</v>
      </c>
      <c r="N228" s="39"/>
    </row>
    <row r="229" spans="1:14" s="12" customFormat="1" ht="18">
      <c r="A229" s="178" t="s">
        <v>80</v>
      </c>
      <c r="B229" s="75" t="s">
        <v>1555</v>
      </c>
      <c r="C229" s="70" t="s">
        <v>17</v>
      </c>
      <c r="D229" s="236"/>
      <c r="E229" s="236"/>
      <c r="F229" s="236"/>
      <c r="G229" s="236"/>
      <c r="H229" s="236">
        <f>SUM(Tabla132112410[[#This Row],[PRIMER TRIMESTRE]:[CUARTO TRIMESTRE]])</f>
        <v>0</v>
      </c>
      <c r="I229" s="17">
        <v>324</v>
      </c>
      <c r="J229" s="17">
        <f t="shared" si="5"/>
        <v>0</v>
      </c>
      <c r="K229" s="17"/>
      <c r="L229" s="16" t="s">
        <v>18</v>
      </c>
      <c r="M229" s="16" t="s">
        <v>22</v>
      </c>
      <c r="N229" s="39"/>
    </row>
    <row r="230" spans="1:14" s="12" customFormat="1" ht="18">
      <c r="A230" s="178" t="s">
        <v>80</v>
      </c>
      <c r="B230" s="75" t="s">
        <v>1590</v>
      </c>
      <c r="C230" s="176" t="s">
        <v>17</v>
      </c>
      <c r="D230" s="236"/>
      <c r="E230" s="236"/>
      <c r="F230" s="236"/>
      <c r="G230" s="236"/>
      <c r="H230" s="236">
        <f>SUM(Tabla132112410[[#This Row],[PRIMER TRIMESTRE]:[CUARTO TRIMESTRE]])</f>
        <v>0</v>
      </c>
      <c r="I230" s="17">
        <v>196.4</v>
      </c>
      <c r="J230" s="17">
        <f t="shared" si="5"/>
        <v>0</v>
      </c>
      <c r="K230" s="17"/>
      <c r="L230" s="16" t="s">
        <v>18</v>
      </c>
      <c r="M230" s="16" t="s">
        <v>22</v>
      </c>
      <c r="N230" s="39"/>
    </row>
    <row r="231" spans="1:14" s="12" customFormat="1" ht="18">
      <c r="A231" s="178" t="s">
        <v>80</v>
      </c>
      <c r="B231" s="75" t="s">
        <v>1556</v>
      </c>
      <c r="C231" s="176" t="s">
        <v>17</v>
      </c>
      <c r="D231" s="236"/>
      <c r="E231" s="236"/>
      <c r="F231" s="236"/>
      <c r="G231" s="236"/>
      <c r="H231" s="236">
        <f>SUM(Tabla132112410[[#This Row],[PRIMER TRIMESTRE]:[CUARTO TRIMESTRE]])</f>
        <v>0</v>
      </c>
      <c r="I231" s="17">
        <v>390</v>
      </c>
      <c r="J231" s="17">
        <f t="shared" si="5"/>
        <v>0</v>
      </c>
      <c r="K231" s="17"/>
      <c r="L231" s="16" t="s">
        <v>18</v>
      </c>
      <c r="M231" s="16" t="s">
        <v>22</v>
      </c>
      <c r="N231" s="39"/>
    </row>
    <row r="232" spans="1:14" s="12" customFormat="1" ht="25.5">
      <c r="A232" s="178" t="s">
        <v>80</v>
      </c>
      <c r="B232" s="77" t="s">
        <v>925</v>
      </c>
      <c r="C232" s="39" t="s">
        <v>93</v>
      </c>
      <c r="D232" s="236"/>
      <c r="E232" s="236"/>
      <c r="F232" s="236"/>
      <c r="G232" s="236"/>
      <c r="H232" s="40">
        <f>SUM(Tabla132112410[[#This Row],[PRIMER TRIMESTRE]:[CUARTO TRIMESTRE]])</f>
        <v>0</v>
      </c>
      <c r="I232" s="17">
        <v>125</v>
      </c>
      <c r="J232" s="17">
        <f t="shared" si="5"/>
        <v>0</v>
      </c>
      <c r="K232" s="17"/>
      <c r="L232" s="16" t="s">
        <v>18</v>
      </c>
      <c r="M232" s="16" t="s">
        <v>22</v>
      </c>
      <c r="N232" s="39"/>
    </row>
    <row r="233" spans="1:14" s="12" customFormat="1" ht="25.5">
      <c r="A233" s="178" t="s">
        <v>80</v>
      </c>
      <c r="B233" s="77" t="s">
        <v>926</v>
      </c>
      <c r="C233" s="39" t="s">
        <v>93</v>
      </c>
      <c r="D233" s="236"/>
      <c r="E233" s="236"/>
      <c r="F233" s="236"/>
      <c r="G233" s="236"/>
      <c r="H233" s="40">
        <f>SUM(Tabla132112410[[#This Row],[PRIMER TRIMESTRE]:[CUARTO TRIMESTRE]])</f>
        <v>0</v>
      </c>
      <c r="I233" s="17">
        <v>150</v>
      </c>
      <c r="J233" s="17">
        <f t="shared" si="5"/>
        <v>0</v>
      </c>
      <c r="K233" s="17"/>
      <c r="L233" s="16" t="s">
        <v>18</v>
      </c>
      <c r="M233" s="16" t="s">
        <v>22</v>
      </c>
      <c r="N233" s="39"/>
    </row>
    <row r="234" spans="1:14" s="12" customFormat="1" ht="18">
      <c r="A234" s="178" t="s">
        <v>80</v>
      </c>
      <c r="B234" s="77" t="s">
        <v>927</v>
      </c>
      <c r="C234" s="39" t="s">
        <v>17</v>
      </c>
      <c r="D234" s="236"/>
      <c r="E234" s="236"/>
      <c r="F234" s="236"/>
      <c r="G234" s="236"/>
      <c r="H234" s="40">
        <f>SUM(Tabla132112410[[#This Row],[PRIMER TRIMESTRE]:[CUARTO TRIMESTRE]])</f>
        <v>0</v>
      </c>
      <c r="I234" s="17">
        <v>25000</v>
      </c>
      <c r="J234" s="17">
        <f t="shared" si="5"/>
        <v>0</v>
      </c>
      <c r="K234" s="17"/>
      <c r="L234" s="16" t="s">
        <v>18</v>
      </c>
      <c r="M234" s="16" t="s">
        <v>22</v>
      </c>
      <c r="N234" s="39"/>
    </row>
    <row r="235" spans="1:14" s="12" customFormat="1" ht="18">
      <c r="A235" s="178" t="s">
        <v>80</v>
      </c>
      <c r="B235" s="77" t="s">
        <v>928</v>
      </c>
      <c r="C235" s="39" t="s">
        <v>17</v>
      </c>
      <c r="D235" s="236"/>
      <c r="E235" s="236"/>
      <c r="F235" s="236"/>
      <c r="G235" s="236"/>
      <c r="H235" s="40">
        <f>SUM(Tabla132112410[[#This Row],[PRIMER TRIMESTRE]:[CUARTO TRIMESTRE]])</f>
        <v>0</v>
      </c>
      <c r="I235" s="17">
        <v>10000</v>
      </c>
      <c r="J235" s="17">
        <f t="shared" si="5"/>
        <v>0</v>
      </c>
      <c r="K235" s="17"/>
      <c r="L235" s="16" t="s">
        <v>18</v>
      </c>
      <c r="M235" s="16" t="s">
        <v>22</v>
      </c>
      <c r="N235" s="39"/>
    </row>
    <row r="236" spans="1:14" s="12" customFormat="1" ht="25.5">
      <c r="A236" s="178" t="s">
        <v>80</v>
      </c>
      <c r="B236" s="77" t="s">
        <v>929</v>
      </c>
      <c r="C236" s="39" t="s">
        <v>17</v>
      </c>
      <c r="D236" s="236"/>
      <c r="E236" s="236"/>
      <c r="F236" s="236"/>
      <c r="G236" s="236"/>
      <c r="H236" s="40">
        <f>SUM(Tabla132112410[[#This Row],[PRIMER TRIMESTRE]:[CUARTO TRIMESTRE]])</f>
        <v>0</v>
      </c>
      <c r="I236" s="17">
        <v>1000</v>
      </c>
      <c r="J236" s="17">
        <f t="shared" si="5"/>
        <v>0</v>
      </c>
      <c r="K236" s="17"/>
      <c r="L236" s="16" t="s">
        <v>18</v>
      </c>
      <c r="M236" s="16" t="s">
        <v>22</v>
      </c>
      <c r="N236" s="39"/>
    </row>
    <row r="237" spans="1:14" s="12" customFormat="1" ht="18">
      <c r="A237" s="178" t="s">
        <v>80</v>
      </c>
      <c r="B237" s="77" t="s">
        <v>930</v>
      </c>
      <c r="C237" s="39" t="s">
        <v>17</v>
      </c>
      <c r="D237" s="236"/>
      <c r="E237" s="236"/>
      <c r="F237" s="236"/>
      <c r="G237" s="236"/>
      <c r="H237" s="40">
        <f>SUM(Tabla132112410[[#This Row],[PRIMER TRIMESTRE]:[CUARTO TRIMESTRE]])</f>
        <v>0</v>
      </c>
      <c r="I237" s="17">
        <v>2500</v>
      </c>
      <c r="J237" s="17">
        <f t="shared" si="5"/>
        <v>0</v>
      </c>
      <c r="K237" s="17"/>
      <c r="L237" s="16" t="s">
        <v>18</v>
      </c>
      <c r="M237" s="16" t="s">
        <v>22</v>
      </c>
      <c r="N237" s="39"/>
    </row>
    <row r="238" spans="1:14" s="12" customFormat="1" ht="18">
      <c r="A238" s="178" t="s">
        <v>80</v>
      </c>
      <c r="B238" s="77" t="s">
        <v>931</v>
      </c>
      <c r="C238" s="39" t="s">
        <v>17</v>
      </c>
      <c r="D238" s="236"/>
      <c r="E238" s="236"/>
      <c r="F238" s="236"/>
      <c r="G238" s="236"/>
      <c r="H238" s="40">
        <f>SUM(Tabla132112410[[#This Row],[PRIMER TRIMESTRE]:[CUARTO TRIMESTRE]])</f>
        <v>0</v>
      </c>
      <c r="I238" s="17">
        <v>5000</v>
      </c>
      <c r="J238" s="17">
        <f t="shared" si="5"/>
        <v>0</v>
      </c>
      <c r="K238" s="17"/>
      <c r="L238" s="16" t="s">
        <v>18</v>
      </c>
      <c r="M238" s="16" t="s">
        <v>22</v>
      </c>
      <c r="N238" s="39"/>
    </row>
    <row r="239" spans="1:14" s="12" customFormat="1" ht="18">
      <c r="A239" s="178" t="s">
        <v>80</v>
      </c>
      <c r="B239" s="75" t="s">
        <v>694</v>
      </c>
      <c r="C239" s="70" t="s">
        <v>17</v>
      </c>
      <c r="D239" s="236"/>
      <c r="E239" s="210"/>
      <c r="F239" s="210"/>
      <c r="G239" s="210"/>
      <c r="H239" s="40">
        <f>SUM(Tabla132112410[[#This Row],[PRIMER TRIMESTRE]:[CUARTO TRIMESTRE]])</f>
        <v>0</v>
      </c>
      <c r="I239" s="72">
        <v>850</v>
      </c>
      <c r="J239" s="17">
        <f t="shared" si="5"/>
        <v>0</v>
      </c>
      <c r="K239" s="17"/>
      <c r="L239" s="16" t="s">
        <v>18</v>
      </c>
      <c r="M239" s="16" t="s">
        <v>22</v>
      </c>
      <c r="N239" s="39" t="s">
        <v>418</v>
      </c>
    </row>
    <row r="240" spans="1:14" s="12" customFormat="1" ht="18">
      <c r="A240" s="178" t="s">
        <v>80</v>
      </c>
      <c r="B240" s="75" t="s">
        <v>695</v>
      </c>
      <c r="C240" s="70" t="s">
        <v>17</v>
      </c>
      <c r="D240" s="236"/>
      <c r="E240" s="210"/>
      <c r="F240" s="210"/>
      <c r="G240" s="210"/>
      <c r="H240" s="40">
        <f>SUM(Tabla132112410[[#This Row],[PRIMER TRIMESTRE]:[CUARTO TRIMESTRE]])</f>
        <v>0</v>
      </c>
      <c r="I240" s="72">
        <v>850</v>
      </c>
      <c r="J240" s="17">
        <f t="shared" si="5"/>
        <v>0</v>
      </c>
      <c r="K240" s="17"/>
      <c r="L240" s="16" t="s">
        <v>18</v>
      </c>
      <c r="M240" s="16" t="s">
        <v>22</v>
      </c>
      <c r="N240" s="39" t="s">
        <v>418</v>
      </c>
    </row>
    <row r="241" spans="1:14" s="12" customFormat="1" ht="18">
      <c r="A241" s="178" t="s">
        <v>80</v>
      </c>
      <c r="B241" s="75" t="s">
        <v>1182</v>
      </c>
      <c r="C241" s="70" t="s">
        <v>17</v>
      </c>
      <c r="D241" s="236"/>
      <c r="E241" s="210"/>
      <c r="F241" s="210"/>
      <c r="G241" s="210"/>
      <c r="H241" s="40">
        <f>SUM(Tabla132112410[[#This Row],[PRIMER TRIMESTRE]:[CUARTO TRIMESTRE]])</f>
        <v>0</v>
      </c>
      <c r="I241" s="72">
        <v>850</v>
      </c>
      <c r="J241" s="17">
        <f t="shared" si="5"/>
        <v>0</v>
      </c>
      <c r="K241" s="17"/>
      <c r="L241" s="16" t="s">
        <v>18</v>
      </c>
      <c r="M241" s="16" t="s">
        <v>22</v>
      </c>
      <c r="N241" s="39" t="s">
        <v>418</v>
      </c>
    </row>
    <row r="242" spans="1:14" s="12" customFormat="1" ht="18">
      <c r="A242" s="178" t="s">
        <v>80</v>
      </c>
      <c r="B242" s="75" t="s">
        <v>1183</v>
      </c>
      <c r="C242" s="70" t="s">
        <v>17</v>
      </c>
      <c r="D242" s="236"/>
      <c r="E242" s="210"/>
      <c r="F242" s="210"/>
      <c r="G242" s="210"/>
      <c r="H242" s="40">
        <f>SUM(Tabla132112410[[#This Row],[PRIMER TRIMESTRE]:[CUARTO TRIMESTRE]])</f>
        <v>0</v>
      </c>
      <c r="I242" s="72">
        <v>850</v>
      </c>
      <c r="J242" s="17">
        <f t="shared" si="5"/>
        <v>0</v>
      </c>
      <c r="K242" s="17"/>
      <c r="L242" s="16" t="s">
        <v>18</v>
      </c>
      <c r="M242" s="16" t="s">
        <v>22</v>
      </c>
      <c r="N242" s="39" t="s">
        <v>418</v>
      </c>
    </row>
    <row r="243" spans="1:14" s="12" customFormat="1" ht="18">
      <c r="A243" s="178" t="s">
        <v>80</v>
      </c>
      <c r="B243" s="75" t="s">
        <v>1184</v>
      </c>
      <c r="C243" s="70" t="s">
        <v>17</v>
      </c>
      <c r="D243" s="236"/>
      <c r="E243" s="210"/>
      <c r="F243" s="210"/>
      <c r="G243" s="210"/>
      <c r="H243" s="40">
        <f>SUM(Tabla132112410[[#This Row],[PRIMER TRIMESTRE]:[CUARTO TRIMESTRE]])</f>
        <v>0</v>
      </c>
      <c r="I243" s="72">
        <v>850</v>
      </c>
      <c r="J243" s="17">
        <f t="shared" si="5"/>
        <v>0</v>
      </c>
      <c r="K243" s="17"/>
      <c r="L243" s="16" t="s">
        <v>18</v>
      </c>
      <c r="M243" s="16" t="s">
        <v>22</v>
      </c>
      <c r="N243" s="39" t="s">
        <v>418</v>
      </c>
    </row>
    <row r="244" spans="1:14" s="12" customFormat="1" ht="18">
      <c r="A244" s="178" t="s">
        <v>80</v>
      </c>
      <c r="B244" s="75" t="s">
        <v>1185</v>
      </c>
      <c r="C244" s="70" t="s">
        <v>17</v>
      </c>
      <c r="D244" s="236"/>
      <c r="E244" s="210"/>
      <c r="F244" s="210"/>
      <c r="G244" s="210"/>
      <c r="H244" s="40">
        <f>SUM(Tabla132112410[[#This Row],[PRIMER TRIMESTRE]:[CUARTO TRIMESTRE]])</f>
        <v>0</v>
      </c>
      <c r="I244" s="72">
        <v>850</v>
      </c>
      <c r="J244" s="17">
        <f t="shared" si="5"/>
        <v>0</v>
      </c>
      <c r="K244" s="17"/>
      <c r="L244" s="16" t="s">
        <v>18</v>
      </c>
      <c r="M244" s="16" t="s">
        <v>22</v>
      </c>
      <c r="N244" s="39" t="s">
        <v>418</v>
      </c>
    </row>
    <row r="245" spans="1:14" s="12" customFormat="1" ht="18">
      <c r="A245" s="178" t="s">
        <v>80</v>
      </c>
      <c r="B245" s="75" t="s">
        <v>696</v>
      </c>
      <c r="C245" s="70" t="s">
        <v>17</v>
      </c>
      <c r="D245" s="236"/>
      <c r="E245" s="210"/>
      <c r="F245" s="210"/>
      <c r="G245" s="210"/>
      <c r="H245" s="40">
        <f>SUM(Tabla132112410[[#This Row],[PRIMER TRIMESTRE]:[CUARTO TRIMESTRE]])</f>
        <v>0</v>
      </c>
      <c r="I245" s="72">
        <v>970</v>
      </c>
      <c r="J245" s="17">
        <f t="shared" si="5"/>
        <v>0</v>
      </c>
      <c r="K245" s="17"/>
      <c r="L245" s="16" t="s">
        <v>18</v>
      </c>
      <c r="M245" s="16" t="s">
        <v>22</v>
      </c>
      <c r="N245" s="39" t="s">
        <v>418</v>
      </c>
    </row>
    <row r="246" spans="1:14" s="12" customFormat="1" ht="18">
      <c r="A246" s="178" t="s">
        <v>80</v>
      </c>
      <c r="B246" s="75" t="s">
        <v>1186</v>
      </c>
      <c r="C246" s="70" t="s">
        <v>17</v>
      </c>
      <c r="D246" s="236"/>
      <c r="E246" s="210"/>
      <c r="F246" s="210"/>
      <c r="G246" s="210"/>
      <c r="H246" s="40">
        <f>SUM(Tabla132112410[[#This Row],[PRIMER TRIMESTRE]:[CUARTO TRIMESTRE]])</f>
        <v>0</v>
      </c>
      <c r="I246" s="72">
        <v>850</v>
      </c>
      <c r="J246" s="17">
        <f t="shared" si="5"/>
        <v>0</v>
      </c>
      <c r="K246" s="17"/>
      <c r="L246" s="16" t="s">
        <v>18</v>
      </c>
      <c r="M246" s="16" t="s">
        <v>22</v>
      </c>
      <c r="N246" s="39" t="s">
        <v>418</v>
      </c>
    </row>
    <row r="247" spans="1:14" s="12" customFormat="1" ht="18">
      <c r="A247" s="178" t="s">
        <v>80</v>
      </c>
      <c r="B247" s="75" t="s">
        <v>1187</v>
      </c>
      <c r="C247" s="70" t="s">
        <v>17</v>
      </c>
      <c r="D247" s="236"/>
      <c r="E247" s="210"/>
      <c r="F247" s="210"/>
      <c r="G247" s="210"/>
      <c r="H247" s="40">
        <f>SUM(Tabla132112410[[#This Row],[PRIMER TRIMESTRE]:[CUARTO TRIMESTRE]])</f>
        <v>0</v>
      </c>
      <c r="I247" s="72">
        <v>850</v>
      </c>
      <c r="J247" s="17">
        <f t="shared" si="5"/>
        <v>0</v>
      </c>
      <c r="K247" s="17"/>
      <c r="L247" s="16" t="s">
        <v>18</v>
      </c>
      <c r="M247" s="16" t="s">
        <v>22</v>
      </c>
      <c r="N247" s="39" t="s">
        <v>418</v>
      </c>
    </row>
    <row r="248" spans="1:14" s="12" customFormat="1" ht="18">
      <c r="A248" s="178" t="s">
        <v>80</v>
      </c>
      <c r="B248" s="75" t="s">
        <v>1188</v>
      </c>
      <c r="C248" s="70" t="s">
        <v>17</v>
      </c>
      <c r="D248" s="236"/>
      <c r="E248" s="210"/>
      <c r="F248" s="210"/>
      <c r="G248" s="210"/>
      <c r="H248" s="40">
        <f>SUM(Tabla132112410[[#This Row],[PRIMER TRIMESTRE]:[CUARTO TRIMESTRE]])</f>
        <v>0</v>
      </c>
      <c r="I248" s="72">
        <v>850</v>
      </c>
      <c r="J248" s="17">
        <f t="shared" si="5"/>
        <v>0</v>
      </c>
      <c r="K248" s="17"/>
      <c r="L248" s="16" t="s">
        <v>18</v>
      </c>
      <c r="M248" s="16" t="s">
        <v>22</v>
      </c>
      <c r="N248" s="39" t="s">
        <v>418</v>
      </c>
    </row>
    <row r="249" spans="1:14" s="12" customFormat="1" ht="18">
      <c r="A249" s="178" t="s">
        <v>80</v>
      </c>
      <c r="B249" s="75" t="s">
        <v>1189</v>
      </c>
      <c r="C249" s="70" t="s">
        <v>17</v>
      </c>
      <c r="D249" s="236"/>
      <c r="E249" s="210"/>
      <c r="F249" s="210"/>
      <c r="G249" s="210"/>
      <c r="H249" s="40">
        <f>SUM(Tabla132112410[[#This Row],[PRIMER TRIMESTRE]:[CUARTO TRIMESTRE]])</f>
        <v>0</v>
      </c>
      <c r="I249" s="72">
        <v>850</v>
      </c>
      <c r="J249" s="17">
        <f t="shared" si="5"/>
        <v>0</v>
      </c>
      <c r="K249" s="17"/>
      <c r="L249" s="16" t="s">
        <v>18</v>
      </c>
      <c r="M249" s="16" t="s">
        <v>22</v>
      </c>
      <c r="N249" s="39" t="s">
        <v>418</v>
      </c>
    </row>
    <row r="250" spans="1:14" s="12" customFormat="1" ht="18">
      <c r="A250" s="178" t="s">
        <v>80</v>
      </c>
      <c r="B250" s="75" t="s">
        <v>1190</v>
      </c>
      <c r="C250" s="70" t="s">
        <v>17</v>
      </c>
      <c r="D250" s="236"/>
      <c r="E250" s="210"/>
      <c r="F250" s="210"/>
      <c r="G250" s="210"/>
      <c r="H250" s="40">
        <f>SUM(Tabla132112410[[#This Row],[PRIMER TRIMESTRE]:[CUARTO TRIMESTRE]])</f>
        <v>0</v>
      </c>
      <c r="I250" s="72">
        <v>970</v>
      </c>
      <c r="J250" s="17">
        <f t="shared" si="5"/>
        <v>0</v>
      </c>
      <c r="K250" s="17"/>
      <c r="L250" s="16" t="s">
        <v>18</v>
      </c>
      <c r="M250" s="16" t="s">
        <v>22</v>
      </c>
      <c r="N250" s="39" t="s">
        <v>418</v>
      </c>
    </row>
    <row r="251" spans="1:14" s="12" customFormat="1" ht="18">
      <c r="A251" s="178" t="s">
        <v>80</v>
      </c>
      <c r="B251" s="75" t="s">
        <v>1191</v>
      </c>
      <c r="C251" s="70" t="s">
        <v>17</v>
      </c>
      <c r="D251" s="236"/>
      <c r="E251" s="210"/>
      <c r="F251" s="210"/>
      <c r="G251" s="210"/>
      <c r="H251" s="40">
        <f>SUM(Tabla132112410[[#This Row],[PRIMER TRIMESTRE]:[CUARTO TRIMESTRE]])</f>
        <v>0</v>
      </c>
      <c r="I251" s="72">
        <v>970</v>
      </c>
      <c r="J251" s="17">
        <f t="shared" si="5"/>
        <v>0</v>
      </c>
      <c r="K251" s="17"/>
      <c r="L251" s="16" t="s">
        <v>18</v>
      </c>
      <c r="M251" s="16" t="s">
        <v>22</v>
      </c>
      <c r="N251" s="39" t="s">
        <v>418</v>
      </c>
    </row>
    <row r="252" spans="1:14" s="12" customFormat="1" ht="18">
      <c r="A252" s="178" t="s">
        <v>80</v>
      </c>
      <c r="B252" s="75" t="s">
        <v>1192</v>
      </c>
      <c r="C252" s="70" t="s">
        <v>17</v>
      </c>
      <c r="D252" s="236"/>
      <c r="E252" s="210"/>
      <c r="F252" s="210"/>
      <c r="G252" s="210"/>
      <c r="H252" s="40">
        <f>SUM(Tabla132112410[[#This Row],[PRIMER TRIMESTRE]:[CUARTO TRIMESTRE]])</f>
        <v>0</v>
      </c>
      <c r="I252" s="72">
        <v>970</v>
      </c>
      <c r="J252" s="17">
        <f t="shared" si="5"/>
        <v>0</v>
      </c>
      <c r="K252" s="17"/>
      <c r="L252" s="16" t="s">
        <v>18</v>
      </c>
      <c r="M252" s="16" t="s">
        <v>22</v>
      </c>
      <c r="N252" s="39" t="s">
        <v>418</v>
      </c>
    </row>
    <row r="253" spans="1:14" s="12" customFormat="1" ht="18">
      <c r="A253" s="178" t="s">
        <v>80</v>
      </c>
      <c r="B253" s="75" t="s">
        <v>1193</v>
      </c>
      <c r="C253" s="70" t="s">
        <v>17</v>
      </c>
      <c r="D253" s="236"/>
      <c r="E253" s="210"/>
      <c r="F253" s="210"/>
      <c r="G253" s="210"/>
      <c r="H253" s="40">
        <f>SUM(Tabla132112410[[#This Row],[PRIMER TRIMESTRE]:[CUARTO TRIMESTRE]])</f>
        <v>0</v>
      </c>
      <c r="I253" s="72">
        <v>970</v>
      </c>
      <c r="J253" s="17">
        <f t="shared" si="5"/>
        <v>0</v>
      </c>
      <c r="K253" s="17"/>
      <c r="L253" s="16" t="s">
        <v>18</v>
      </c>
      <c r="M253" s="16" t="s">
        <v>22</v>
      </c>
      <c r="N253" s="39" t="s">
        <v>418</v>
      </c>
    </row>
    <row r="254" spans="1:14" s="12" customFormat="1" ht="18">
      <c r="A254" s="178" t="s">
        <v>80</v>
      </c>
      <c r="B254" s="75" t="s">
        <v>1194</v>
      </c>
      <c r="C254" s="70" t="s">
        <v>17</v>
      </c>
      <c r="D254" s="236"/>
      <c r="E254" s="210"/>
      <c r="F254" s="210"/>
      <c r="G254" s="210"/>
      <c r="H254" s="40">
        <f>SUM(Tabla132112410[[#This Row],[PRIMER TRIMESTRE]:[CUARTO TRIMESTRE]])</f>
        <v>0</v>
      </c>
      <c r="I254" s="72">
        <v>970</v>
      </c>
      <c r="J254" s="17">
        <f t="shared" si="5"/>
        <v>0</v>
      </c>
      <c r="K254" s="17"/>
      <c r="L254" s="16" t="s">
        <v>18</v>
      </c>
      <c r="M254" s="16" t="s">
        <v>22</v>
      </c>
      <c r="N254" s="39" t="s">
        <v>418</v>
      </c>
    </row>
    <row r="255" spans="1:14" s="12" customFormat="1" ht="18">
      <c r="A255" s="178" t="s">
        <v>80</v>
      </c>
      <c r="B255" s="75" t="s">
        <v>1195</v>
      </c>
      <c r="C255" s="70" t="s">
        <v>17</v>
      </c>
      <c r="D255" s="236"/>
      <c r="E255" s="210"/>
      <c r="F255" s="210"/>
      <c r="G255" s="210"/>
      <c r="H255" s="40">
        <f>SUM(Tabla132112410[[#This Row],[PRIMER TRIMESTRE]:[CUARTO TRIMESTRE]])</f>
        <v>0</v>
      </c>
      <c r="I255" s="72">
        <v>1870</v>
      </c>
      <c r="J255" s="17">
        <f t="shared" si="5"/>
        <v>0</v>
      </c>
      <c r="K255" s="17"/>
      <c r="L255" s="16" t="s">
        <v>18</v>
      </c>
      <c r="M255" s="16" t="s">
        <v>22</v>
      </c>
      <c r="N255" s="39" t="s">
        <v>418</v>
      </c>
    </row>
    <row r="256" spans="1:14" s="12" customFormat="1" ht="18">
      <c r="A256" s="178" t="s">
        <v>80</v>
      </c>
      <c r="B256" s="75" t="s">
        <v>1196</v>
      </c>
      <c r="C256" s="70" t="s">
        <v>17</v>
      </c>
      <c r="D256" s="236"/>
      <c r="E256" s="210"/>
      <c r="F256" s="210"/>
      <c r="G256" s="210"/>
      <c r="H256" s="40">
        <f>SUM(Tabla132112410[[#This Row],[PRIMER TRIMESTRE]:[CUARTO TRIMESTRE]])</f>
        <v>0</v>
      </c>
      <c r="I256" s="72">
        <v>2150</v>
      </c>
      <c r="J256" s="17">
        <f t="shared" si="5"/>
        <v>0</v>
      </c>
      <c r="K256" s="17"/>
      <c r="L256" s="16" t="s">
        <v>18</v>
      </c>
      <c r="M256" s="16" t="s">
        <v>22</v>
      </c>
      <c r="N256" s="39" t="s">
        <v>418</v>
      </c>
    </row>
    <row r="257" spans="1:14" s="12" customFormat="1" ht="18">
      <c r="A257" s="178" t="s">
        <v>80</v>
      </c>
      <c r="B257" s="75" t="s">
        <v>1197</v>
      </c>
      <c r="C257" s="70" t="s">
        <v>17</v>
      </c>
      <c r="D257" s="236"/>
      <c r="E257" s="210"/>
      <c r="F257" s="210"/>
      <c r="G257" s="210"/>
      <c r="H257" s="40">
        <f>SUM(Tabla132112410[[#This Row],[PRIMER TRIMESTRE]:[CUARTO TRIMESTRE]])</f>
        <v>0</v>
      </c>
      <c r="I257" s="72">
        <v>2860</v>
      </c>
      <c r="J257" s="17">
        <f t="shared" si="5"/>
        <v>0</v>
      </c>
      <c r="K257" s="17"/>
      <c r="L257" s="16" t="s">
        <v>18</v>
      </c>
      <c r="M257" s="16" t="s">
        <v>22</v>
      </c>
      <c r="N257" s="39" t="s">
        <v>418</v>
      </c>
    </row>
    <row r="258" spans="1:14" s="12" customFormat="1" ht="18">
      <c r="A258" s="178" t="s">
        <v>80</v>
      </c>
      <c r="B258" s="75" t="s">
        <v>1198</v>
      </c>
      <c r="C258" s="70" t="s">
        <v>17</v>
      </c>
      <c r="D258" s="236"/>
      <c r="E258" s="210"/>
      <c r="F258" s="210"/>
      <c r="G258" s="210"/>
      <c r="H258" s="40">
        <f>SUM(Tabla132112410[[#This Row],[PRIMER TRIMESTRE]:[CUARTO TRIMESTRE]])</f>
        <v>0</v>
      </c>
      <c r="I258" s="72">
        <v>2860</v>
      </c>
      <c r="J258" s="17">
        <f t="shared" si="5"/>
        <v>0</v>
      </c>
      <c r="K258" s="17"/>
      <c r="L258" s="16" t="s">
        <v>18</v>
      </c>
      <c r="M258" s="16" t="s">
        <v>22</v>
      </c>
      <c r="N258" s="39" t="s">
        <v>418</v>
      </c>
    </row>
    <row r="259" spans="1:14" s="12" customFormat="1" ht="18">
      <c r="A259" s="178" t="s">
        <v>80</v>
      </c>
      <c r="B259" s="75" t="s">
        <v>1199</v>
      </c>
      <c r="C259" s="70" t="s">
        <v>17</v>
      </c>
      <c r="D259" s="236"/>
      <c r="E259" s="210"/>
      <c r="F259" s="210"/>
      <c r="G259" s="210"/>
      <c r="H259" s="40">
        <f>SUM(Tabla132112410[[#This Row],[PRIMER TRIMESTRE]:[CUARTO TRIMESTRE]])</f>
        <v>0</v>
      </c>
      <c r="I259" s="72">
        <v>2860</v>
      </c>
      <c r="J259" s="17">
        <f t="shared" si="5"/>
        <v>0</v>
      </c>
      <c r="K259" s="17"/>
      <c r="L259" s="16" t="s">
        <v>18</v>
      </c>
      <c r="M259" s="16" t="s">
        <v>22</v>
      </c>
      <c r="N259" s="39" t="s">
        <v>418</v>
      </c>
    </row>
    <row r="260" spans="1:14" s="12" customFormat="1" ht="18">
      <c r="A260" s="178" t="s">
        <v>80</v>
      </c>
      <c r="B260" s="75" t="s">
        <v>1200</v>
      </c>
      <c r="C260" s="70" t="s">
        <v>17</v>
      </c>
      <c r="D260" s="236"/>
      <c r="E260" s="210"/>
      <c r="F260" s="210"/>
      <c r="G260" s="210"/>
      <c r="H260" s="40">
        <f>SUM(Tabla132112410[[#This Row],[PRIMER TRIMESTRE]:[CUARTO TRIMESTRE]])</f>
        <v>0</v>
      </c>
      <c r="I260" s="72">
        <v>2860</v>
      </c>
      <c r="J260" s="17">
        <f t="shared" si="5"/>
        <v>0</v>
      </c>
      <c r="K260" s="17"/>
      <c r="L260" s="16" t="s">
        <v>18</v>
      </c>
      <c r="M260" s="16" t="s">
        <v>22</v>
      </c>
      <c r="N260" s="39" t="s">
        <v>418</v>
      </c>
    </row>
    <row r="261" spans="1:14" s="12" customFormat="1" ht="18">
      <c r="A261" s="178" t="s">
        <v>80</v>
      </c>
      <c r="B261" s="75" t="s">
        <v>697</v>
      </c>
      <c r="C261" s="70" t="s">
        <v>17</v>
      </c>
      <c r="D261" s="236"/>
      <c r="E261" s="210"/>
      <c r="F261" s="210"/>
      <c r="G261" s="210"/>
      <c r="H261" s="40">
        <f>SUM(Tabla132112410[[#This Row],[PRIMER TRIMESTRE]:[CUARTO TRIMESTRE]])</f>
        <v>0</v>
      </c>
      <c r="I261" s="72">
        <v>1870</v>
      </c>
      <c r="J261" s="17">
        <f t="shared" si="5"/>
        <v>0</v>
      </c>
      <c r="K261" s="17"/>
      <c r="L261" s="16" t="s">
        <v>18</v>
      </c>
      <c r="M261" s="16" t="s">
        <v>22</v>
      </c>
      <c r="N261" s="39" t="s">
        <v>418</v>
      </c>
    </row>
    <row r="262" spans="1:14" s="12" customFormat="1" ht="18">
      <c r="A262" s="178" t="s">
        <v>80</v>
      </c>
      <c r="B262" s="75" t="s">
        <v>698</v>
      </c>
      <c r="C262" s="39" t="s">
        <v>17</v>
      </c>
      <c r="D262" s="236"/>
      <c r="E262" s="236"/>
      <c r="F262" s="236"/>
      <c r="G262" s="236"/>
      <c r="H262" s="40">
        <f>SUM(Tabla132112410[[#This Row],[PRIMER TRIMESTRE]:[CUARTO TRIMESTRE]])</f>
        <v>0</v>
      </c>
      <c r="I262" s="72">
        <v>2150</v>
      </c>
      <c r="J262" s="17">
        <f t="shared" si="5"/>
        <v>0</v>
      </c>
      <c r="K262" s="17"/>
      <c r="L262" s="16" t="s">
        <v>18</v>
      </c>
      <c r="M262" s="16" t="s">
        <v>22</v>
      </c>
      <c r="N262" s="39" t="s">
        <v>418</v>
      </c>
    </row>
    <row r="263" spans="1:14" s="12" customFormat="1" ht="18">
      <c r="A263" s="178" t="s">
        <v>80</v>
      </c>
      <c r="B263" s="75" t="s">
        <v>699</v>
      </c>
      <c r="C263" s="39" t="s">
        <v>17</v>
      </c>
      <c r="D263" s="236"/>
      <c r="E263" s="236"/>
      <c r="F263" s="236"/>
      <c r="G263" s="236"/>
      <c r="H263" s="40">
        <f>SUM(Tabla132112410[[#This Row],[PRIMER TRIMESTRE]:[CUARTO TRIMESTRE]])</f>
        <v>0</v>
      </c>
      <c r="I263" s="72">
        <v>2860</v>
      </c>
      <c r="J263" s="17">
        <f t="shared" si="5"/>
        <v>0</v>
      </c>
      <c r="K263" s="17"/>
      <c r="L263" s="16" t="s">
        <v>18</v>
      </c>
      <c r="M263" s="16" t="s">
        <v>22</v>
      </c>
      <c r="N263" s="39" t="s">
        <v>418</v>
      </c>
    </row>
    <row r="264" spans="1:14" s="12" customFormat="1" ht="18">
      <c r="A264" s="178" t="s">
        <v>80</v>
      </c>
      <c r="B264" s="75" t="s">
        <v>1201</v>
      </c>
      <c r="C264" s="39" t="s">
        <v>17</v>
      </c>
      <c r="D264" s="236"/>
      <c r="E264" s="236"/>
      <c r="F264" s="236"/>
      <c r="G264" s="236"/>
      <c r="H264" s="40">
        <f>SUM(Tabla132112410[[#This Row],[PRIMER TRIMESTRE]:[CUARTO TRIMESTRE]])</f>
        <v>0</v>
      </c>
      <c r="I264" s="72">
        <v>250</v>
      </c>
      <c r="J264" s="17">
        <f t="shared" si="5"/>
        <v>0</v>
      </c>
      <c r="K264" s="17"/>
      <c r="L264" s="16" t="s">
        <v>18</v>
      </c>
      <c r="M264" s="16" t="s">
        <v>22</v>
      </c>
      <c r="N264" s="39" t="s">
        <v>418</v>
      </c>
    </row>
    <row r="265" spans="1:14" s="12" customFormat="1" ht="18">
      <c r="A265" s="178" t="s">
        <v>80</v>
      </c>
      <c r="B265" s="75" t="s">
        <v>1202</v>
      </c>
      <c r="C265" s="39" t="s">
        <v>17</v>
      </c>
      <c r="D265" s="236"/>
      <c r="E265" s="236"/>
      <c r="F265" s="236"/>
      <c r="G265" s="236"/>
      <c r="H265" s="40">
        <f>SUM(Tabla132112410[[#This Row],[PRIMER TRIMESTRE]:[CUARTO TRIMESTRE]])</f>
        <v>0</v>
      </c>
      <c r="I265" s="72">
        <v>275</v>
      </c>
      <c r="J265" s="17">
        <f t="shared" si="5"/>
        <v>0</v>
      </c>
      <c r="K265" s="17"/>
      <c r="L265" s="16" t="s">
        <v>18</v>
      </c>
      <c r="M265" s="16" t="s">
        <v>22</v>
      </c>
      <c r="N265" s="39" t="s">
        <v>418</v>
      </c>
    </row>
    <row r="266" spans="1:14" s="12" customFormat="1" ht="18">
      <c r="A266" s="178" t="s">
        <v>80</v>
      </c>
      <c r="B266" s="75" t="s">
        <v>1203</v>
      </c>
      <c r="C266" s="39" t="s">
        <v>17</v>
      </c>
      <c r="D266" s="236"/>
      <c r="E266" s="236"/>
      <c r="F266" s="236"/>
      <c r="G266" s="236"/>
      <c r="H266" s="40">
        <f>SUM(Tabla132112410[[#This Row],[PRIMER TRIMESTRE]:[CUARTO TRIMESTRE]])</f>
        <v>0</v>
      </c>
      <c r="I266" s="72">
        <v>300</v>
      </c>
      <c r="J266" s="17">
        <f t="shared" si="5"/>
        <v>0</v>
      </c>
      <c r="K266" s="17"/>
      <c r="L266" s="16" t="s">
        <v>18</v>
      </c>
      <c r="M266" s="16" t="s">
        <v>22</v>
      </c>
      <c r="N266" s="39" t="s">
        <v>418</v>
      </c>
    </row>
    <row r="267" spans="1:14" s="12" customFormat="1" ht="18">
      <c r="A267" s="178" t="s">
        <v>80</v>
      </c>
      <c r="B267" s="75" t="s">
        <v>1204</v>
      </c>
      <c r="C267" s="39" t="s">
        <v>17</v>
      </c>
      <c r="D267" s="236"/>
      <c r="E267" s="236"/>
      <c r="F267" s="236"/>
      <c r="G267" s="236"/>
      <c r="H267" s="40">
        <f>SUM(Tabla132112410[[#This Row],[PRIMER TRIMESTRE]:[CUARTO TRIMESTRE]])</f>
        <v>0</v>
      </c>
      <c r="I267" s="72">
        <v>400</v>
      </c>
      <c r="J267" s="17">
        <f t="shared" si="5"/>
        <v>0</v>
      </c>
      <c r="K267" s="17"/>
      <c r="L267" s="16" t="s">
        <v>18</v>
      </c>
      <c r="M267" s="16" t="s">
        <v>22</v>
      </c>
      <c r="N267" s="39" t="s">
        <v>418</v>
      </c>
    </row>
    <row r="268" spans="1:14" s="12" customFormat="1" ht="18">
      <c r="A268" s="178" t="s">
        <v>80</v>
      </c>
      <c r="B268" s="75" t="s">
        <v>1205</v>
      </c>
      <c r="C268" s="39" t="s">
        <v>17</v>
      </c>
      <c r="D268" s="236"/>
      <c r="E268" s="236"/>
      <c r="F268" s="236"/>
      <c r="G268" s="236"/>
      <c r="H268" s="40">
        <f>SUM(Tabla132112410[[#This Row],[PRIMER TRIMESTRE]:[CUARTO TRIMESTRE]])</f>
        <v>0</v>
      </c>
      <c r="I268" s="72">
        <v>600</v>
      </c>
      <c r="J268" s="17">
        <f t="shared" si="5"/>
        <v>0</v>
      </c>
      <c r="K268" s="17"/>
      <c r="L268" s="16" t="s">
        <v>18</v>
      </c>
      <c r="M268" s="16" t="s">
        <v>22</v>
      </c>
      <c r="N268" s="39" t="s">
        <v>418</v>
      </c>
    </row>
    <row r="269" spans="1:14" s="12" customFormat="1" ht="18">
      <c r="A269" s="178" t="s">
        <v>80</v>
      </c>
      <c r="B269" s="75" t="s">
        <v>1206</v>
      </c>
      <c r="C269" s="39" t="s">
        <v>17</v>
      </c>
      <c r="D269" s="236"/>
      <c r="E269" s="236"/>
      <c r="F269" s="236"/>
      <c r="G269" s="236"/>
      <c r="H269" s="40">
        <f>SUM(Tabla132112410[[#This Row],[PRIMER TRIMESTRE]:[CUARTO TRIMESTRE]])</f>
        <v>0</v>
      </c>
      <c r="I269" s="72">
        <v>800</v>
      </c>
      <c r="J269" s="17">
        <f t="shared" si="5"/>
        <v>0</v>
      </c>
      <c r="K269" s="17"/>
      <c r="L269" s="16" t="s">
        <v>18</v>
      </c>
      <c r="M269" s="16" t="s">
        <v>22</v>
      </c>
      <c r="N269" s="39" t="s">
        <v>418</v>
      </c>
    </row>
    <row r="270" spans="1:14" s="12" customFormat="1" ht="18">
      <c r="A270" s="178" t="s">
        <v>80</v>
      </c>
      <c r="B270" s="75" t="s">
        <v>1207</v>
      </c>
      <c r="C270" s="39" t="s">
        <v>17</v>
      </c>
      <c r="D270" s="236"/>
      <c r="E270" s="236"/>
      <c r="F270" s="236"/>
      <c r="G270" s="236"/>
      <c r="H270" s="40">
        <f>SUM(Tabla132112410[[#This Row],[PRIMER TRIMESTRE]:[CUARTO TRIMESTRE]])</f>
        <v>0</v>
      </c>
      <c r="I270" s="72">
        <v>1200</v>
      </c>
      <c r="J270" s="17">
        <f t="shared" si="5"/>
        <v>0</v>
      </c>
      <c r="K270" s="17"/>
      <c r="L270" s="16" t="s">
        <v>18</v>
      </c>
      <c r="M270" s="16" t="s">
        <v>22</v>
      </c>
      <c r="N270" s="39" t="s">
        <v>418</v>
      </c>
    </row>
    <row r="271" spans="1:14" s="12" customFormat="1" ht="18">
      <c r="A271" s="178" t="s">
        <v>80</v>
      </c>
      <c r="B271" s="75" t="s">
        <v>1208</v>
      </c>
      <c r="C271" s="39" t="s">
        <v>17</v>
      </c>
      <c r="D271" s="236"/>
      <c r="E271" s="236"/>
      <c r="F271" s="236"/>
      <c r="G271" s="236"/>
      <c r="H271" s="40">
        <f>SUM(Tabla132112410[[#This Row],[PRIMER TRIMESTRE]:[CUARTO TRIMESTRE]])</f>
        <v>0</v>
      </c>
      <c r="I271" s="72">
        <v>1600</v>
      </c>
      <c r="J271" s="17">
        <f t="shared" si="5"/>
        <v>0</v>
      </c>
      <c r="K271" s="17"/>
      <c r="L271" s="16" t="s">
        <v>18</v>
      </c>
      <c r="M271" s="16" t="s">
        <v>22</v>
      </c>
      <c r="N271" s="39" t="s">
        <v>418</v>
      </c>
    </row>
    <row r="272" spans="1:14" s="12" customFormat="1" ht="18">
      <c r="A272" s="178" t="s">
        <v>80</v>
      </c>
      <c r="B272" s="75" t="s">
        <v>1209</v>
      </c>
      <c r="C272" s="39" t="s">
        <v>17</v>
      </c>
      <c r="D272" s="236"/>
      <c r="E272" s="236"/>
      <c r="F272" s="236"/>
      <c r="G272" s="236"/>
      <c r="H272" s="40">
        <f>SUM(Tabla132112410[[#This Row],[PRIMER TRIMESTRE]:[CUARTO TRIMESTRE]])</f>
        <v>0</v>
      </c>
      <c r="I272" s="72">
        <v>1800</v>
      </c>
      <c r="J272" s="17">
        <f t="shared" si="5"/>
        <v>0</v>
      </c>
      <c r="K272" s="17"/>
      <c r="L272" s="16" t="s">
        <v>18</v>
      </c>
      <c r="M272" s="16" t="s">
        <v>22</v>
      </c>
      <c r="N272" s="39" t="s">
        <v>418</v>
      </c>
    </row>
    <row r="273" spans="1:14" s="12" customFormat="1" ht="18">
      <c r="A273" s="178" t="s">
        <v>80</v>
      </c>
      <c r="B273" s="75" t="s">
        <v>1210</v>
      </c>
      <c r="C273" s="39" t="s">
        <v>17</v>
      </c>
      <c r="D273" s="236"/>
      <c r="E273" s="236"/>
      <c r="F273" s="236"/>
      <c r="G273" s="236"/>
      <c r="H273" s="40">
        <f>SUM(Tabla132112410[[#This Row],[PRIMER TRIMESTRE]:[CUARTO TRIMESTRE]])</f>
        <v>0</v>
      </c>
      <c r="I273" s="72">
        <v>2000</v>
      </c>
      <c r="J273" s="17">
        <f t="shared" si="5"/>
        <v>0</v>
      </c>
      <c r="K273" s="17"/>
      <c r="L273" s="16" t="s">
        <v>18</v>
      </c>
      <c r="M273" s="16" t="s">
        <v>22</v>
      </c>
      <c r="N273" s="39" t="s">
        <v>418</v>
      </c>
    </row>
    <row r="274" spans="1:14" s="12" customFormat="1" ht="18">
      <c r="A274" s="178" t="s">
        <v>80</v>
      </c>
      <c r="B274" s="75" t="s">
        <v>1211</v>
      </c>
      <c r="C274" s="39" t="s">
        <v>17</v>
      </c>
      <c r="D274" s="236"/>
      <c r="E274" s="236"/>
      <c r="F274" s="236"/>
      <c r="G274" s="236"/>
      <c r="H274" s="40">
        <f>SUM(Tabla132112410[[#This Row],[PRIMER TRIMESTRE]:[CUARTO TRIMESTRE]])</f>
        <v>0</v>
      </c>
      <c r="I274" s="72">
        <v>3200</v>
      </c>
      <c r="J274" s="17">
        <f t="shared" si="5"/>
        <v>0</v>
      </c>
      <c r="K274" s="17"/>
      <c r="L274" s="16" t="s">
        <v>18</v>
      </c>
      <c r="M274" s="16" t="s">
        <v>22</v>
      </c>
      <c r="N274" s="39" t="s">
        <v>418</v>
      </c>
    </row>
    <row r="275" spans="1:14" s="12" customFormat="1" ht="18">
      <c r="A275" s="178" t="s">
        <v>80</v>
      </c>
      <c r="B275" s="75" t="s">
        <v>1212</v>
      </c>
      <c r="C275" s="39" t="s">
        <v>17</v>
      </c>
      <c r="D275" s="236"/>
      <c r="E275" s="236"/>
      <c r="F275" s="236"/>
      <c r="G275" s="236"/>
      <c r="H275" s="40">
        <f>SUM(Tabla132112410[[#This Row],[PRIMER TRIMESTRE]:[CUARTO TRIMESTRE]])</f>
        <v>0</v>
      </c>
      <c r="I275" s="72">
        <v>3800</v>
      </c>
      <c r="J275" s="17">
        <f t="shared" si="5"/>
        <v>0</v>
      </c>
      <c r="K275" s="17"/>
      <c r="L275" s="16" t="s">
        <v>18</v>
      </c>
      <c r="M275" s="16" t="s">
        <v>22</v>
      </c>
      <c r="N275" s="39" t="s">
        <v>418</v>
      </c>
    </row>
    <row r="276" spans="1:14" s="12" customFormat="1" ht="18">
      <c r="A276" s="178" t="s">
        <v>80</v>
      </c>
      <c r="B276" s="75" t="s">
        <v>580</v>
      </c>
      <c r="C276" s="39" t="s">
        <v>17</v>
      </c>
      <c r="D276" s="236"/>
      <c r="E276" s="236"/>
      <c r="F276" s="236"/>
      <c r="G276" s="236"/>
      <c r="H276" s="40">
        <f>SUM(Tabla132112410[[#This Row],[PRIMER TRIMESTRE]:[CUARTO TRIMESTRE]])</f>
        <v>0</v>
      </c>
      <c r="I276" s="17">
        <v>29</v>
      </c>
      <c r="J276" s="17">
        <f t="shared" si="5"/>
        <v>0</v>
      </c>
      <c r="K276" s="17"/>
      <c r="L276" s="16" t="s">
        <v>18</v>
      </c>
      <c r="M276" s="16" t="s">
        <v>22</v>
      </c>
      <c r="N276" s="39" t="s">
        <v>418</v>
      </c>
    </row>
    <row r="277" spans="1:14" s="12" customFormat="1" ht="18">
      <c r="A277" s="178" t="s">
        <v>80</v>
      </c>
      <c r="B277" s="75" t="s">
        <v>579</v>
      </c>
      <c r="C277" s="39" t="s">
        <v>17</v>
      </c>
      <c r="D277" s="236"/>
      <c r="E277" s="236"/>
      <c r="F277" s="236"/>
      <c r="G277" s="236"/>
      <c r="H277" s="40">
        <f>SUM(Tabla132112410[[#This Row],[PRIMER TRIMESTRE]:[CUARTO TRIMESTRE]])</f>
        <v>0</v>
      </c>
      <c r="I277" s="17">
        <v>31.16</v>
      </c>
      <c r="J277" s="17">
        <f t="shared" si="5"/>
        <v>0</v>
      </c>
      <c r="K277" s="17"/>
      <c r="L277" s="16" t="s">
        <v>18</v>
      </c>
      <c r="M277" s="16" t="s">
        <v>22</v>
      </c>
      <c r="N277" s="39" t="s">
        <v>418</v>
      </c>
    </row>
    <row r="278" spans="1:14" s="12" customFormat="1" ht="18">
      <c r="A278" s="178" t="s">
        <v>80</v>
      </c>
      <c r="B278" s="75" t="s">
        <v>581</v>
      </c>
      <c r="C278" s="39" t="s">
        <v>17</v>
      </c>
      <c r="D278" s="236"/>
      <c r="E278" s="236"/>
      <c r="F278" s="236"/>
      <c r="G278" s="236"/>
      <c r="H278" s="40">
        <f>SUM(Tabla132112410[[#This Row],[PRIMER TRIMESTRE]:[CUARTO TRIMESTRE]])</f>
        <v>0</v>
      </c>
      <c r="I278" s="17">
        <v>54.52</v>
      </c>
      <c r="J278" s="17">
        <f t="shared" si="5"/>
        <v>0</v>
      </c>
      <c r="K278" s="17"/>
      <c r="L278" s="16" t="s">
        <v>18</v>
      </c>
      <c r="M278" s="16" t="s">
        <v>22</v>
      </c>
      <c r="N278" s="39" t="s">
        <v>418</v>
      </c>
    </row>
    <row r="279" spans="1:14" s="12" customFormat="1" ht="18">
      <c r="A279" s="178" t="s">
        <v>80</v>
      </c>
      <c r="B279" s="75" t="s">
        <v>582</v>
      </c>
      <c r="C279" s="39" t="s">
        <v>17</v>
      </c>
      <c r="D279" s="236"/>
      <c r="E279" s="236"/>
      <c r="F279" s="236"/>
      <c r="G279" s="236"/>
      <c r="H279" s="40">
        <f>SUM(Tabla132112410[[#This Row],[PRIMER TRIMESTRE]:[CUARTO TRIMESTRE]])</f>
        <v>0</v>
      </c>
      <c r="I279" s="17">
        <v>55.84</v>
      </c>
      <c r="J279" s="17">
        <f t="shared" si="5"/>
        <v>0</v>
      </c>
      <c r="K279" s="17"/>
      <c r="L279" s="16" t="s">
        <v>18</v>
      </c>
      <c r="M279" s="16" t="s">
        <v>22</v>
      </c>
      <c r="N279" s="39" t="s">
        <v>418</v>
      </c>
    </row>
    <row r="280" spans="1:14" s="12" customFormat="1" ht="18">
      <c r="A280" s="178" t="s">
        <v>80</v>
      </c>
      <c r="B280" s="75" t="s">
        <v>583</v>
      </c>
      <c r="C280" s="39" t="s">
        <v>17</v>
      </c>
      <c r="D280" s="236"/>
      <c r="E280" s="236"/>
      <c r="F280" s="236"/>
      <c r="G280" s="236"/>
      <c r="H280" s="40">
        <f>SUM(Tabla132112410[[#This Row],[PRIMER TRIMESTRE]:[CUARTO TRIMESTRE]])</f>
        <v>0</v>
      </c>
      <c r="I280" s="17">
        <v>67.28</v>
      </c>
      <c r="J280" s="17">
        <f t="shared" si="5"/>
        <v>0</v>
      </c>
      <c r="K280" s="17"/>
      <c r="L280" s="16" t="s">
        <v>18</v>
      </c>
      <c r="M280" s="16" t="s">
        <v>22</v>
      </c>
      <c r="N280" s="39" t="s">
        <v>418</v>
      </c>
    </row>
    <row r="281" spans="1:14" s="12" customFormat="1" ht="18">
      <c r="A281" s="178" t="s">
        <v>80</v>
      </c>
      <c r="B281" s="75" t="s">
        <v>584</v>
      </c>
      <c r="C281" s="39" t="s">
        <v>17</v>
      </c>
      <c r="D281" s="236"/>
      <c r="E281" s="236"/>
      <c r="F281" s="236"/>
      <c r="G281" s="236"/>
      <c r="H281" s="40">
        <f>SUM(Tabla132112410[[#This Row],[PRIMER TRIMESTRE]:[CUARTO TRIMESTRE]])</f>
        <v>0</v>
      </c>
      <c r="I281" s="17">
        <v>68.28</v>
      </c>
      <c r="J281" s="17">
        <f t="shared" si="5"/>
        <v>0</v>
      </c>
      <c r="K281" s="17"/>
      <c r="L281" s="16" t="s">
        <v>18</v>
      </c>
      <c r="M281" s="16" t="s">
        <v>22</v>
      </c>
      <c r="N281" s="39" t="s">
        <v>418</v>
      </c>
    </row>
    <row r="282" spans="1:14" s="12" customFormat="1" ht="18">
      <c r="A282" s="178" t="s">
        <v>80</v>
      </c>
      <c r="B282" s="75" t="s">
        <v>585</v>
      </c>
      <c r="C282" s="39" t="s">
        <v>17</v>
      </c>
      <c r="D282" s="236"/>
      <c r="E282" s="236"/>
      <c r="F282" s="236"/>
      <c r="G282" s="236"/>
      <c r="H282" s="40">
        <f>SUM(Tabla132112410[[#This Row],[PRIMER TRIMESTRE]:[CUARTO TRIMESTRE]])</f>
        <v>0</v>
      </c>
      <c r="I282" s="17">
        <v>80</v>
      </c>
      <c r="J282" s="17">
        <f t="shared" si="5"/>
        <v>0</v>
      </c>
      <c r="K282" s="17"/>
      <c r="L282" s="16" t="s">
        <v>18</v>
      </c>
      <c r="M282" s="16" t="s">
        <v>22</v>
      </c>
      <c r="N282" s="39" t="s">
        <v>418</v>
      </c>
    </row>
    <row r="283" spans="1:14" s="12" customFormat="1" ht="18">
      <c r="A283" s="178" t="s">
        <v>80</v>
      </c>
      <c r="B283" s="75" t="s">
        <v>586</v>
      </c>
      <c r="C283" s="39" t="s">
        <v>17</v>
      </c>
      <c r="D283" s="236"/>
      <c r="E283" s="236"/>
      <c r="F283" s="236"/>
      <c r="G283" s="236"/>
      <c r="H283" s="40">
        <f>SUM(Tabla132112410[[#This Row],[PRIMER TRIMESTRE]:[CUARTO TRIMESTRE]])</f>
        <v>0</v>
      </c>
      <c r="I283" s="72">
        <v>85</v>
      </c>
      <c r="J283" s="17">
        <f t="shared" si="5"/>
        <v>0</v>
      </c>
      <c r="K283" s="17"/>
      <c r="L283" s="16" t="s">
        <v>18</v>
      </c>
      <c r="M283" s="16" t="s">
        <v>22</v>
      </c>
      <c r="N283" s="39" t="s">
        <v>418</v>
      </c>
    </row>
    <row r="284" spans="1:14" s="12" customFormat="1" ht="18">
      <c r="A284" s="178" t="s">
        <v>80</v>
      </c>
      <c r="B284" s="75" t="s">
        <v>587</v>
      </c>
      <c r="C284" s="39" t="s">
        <v>17</v>
      </c>
      <c r="D284" s="236"/>
      <c r="E284" s="236"/>
      <c r="F284" s="236"/>
      <c r="G284" s="236"/>
      <c r="H284" s="40">
        <f>SUM(Tabla132112410[[#This Row],[PRIMER TRIMESTRE]:[CUARTO TRIMESTRE]])</f>
        <v>0</v>
      </c>
      <c r="I284" s="72">
        <v>1044.3</v>
      </c>
      <c r="J284" s="17">
        <f t="shared" ref="J284:J291" si="6">+H284*I284</f>
        <v>0</v>
      </c>
      <c r="K284" s="17"/>
      <c r="L284" s="16" t="s">
        <v>18</v>
      </c>
      <c r="M284" s="16" t="s">
        <v>22</v>
      </c>
      <c r="N284" s="39" t="s">
        <v>418</v>
      </c>
    </row>
    <row r="285" spans="1:14" s="12" customFormat="1" ht="18">
      <c r="A285" s="178" t="s">
        <v>80</v>
      </c>
      <c r="B285" s="75" t="s">
        <v>588</v>
      </c>
      <c r="C285" s="39" t="s">
        <v>17</v>
      </c>
      <c r="D285" s="236"/>
      <c r="E285" s="236"/>
      <c r="F285" s="236"/>
      <c r="G285" s="236"/>
      <c r="H285" s="40">
        <f>SUM(Tabla132112410[[#This Row],[PRIMER TRIMESTRE]:[CUARTO TRIMESTRE]])</f>
        <v>0</v>
      </c>
      <c r="I285" s="17">
        <v>1000</v>
      </c>
      <c r="J285" s="17">
        <f t="shared" si="6"/>
        <v>0</v>
      </c>
      <c r="K285" s="17"/>
      <c r="L285" s="16" t="s">
        <v>18</v>
      </c>
      <c r="M285" s="16" t="s">
        <v>22</v>
      </c>
      <c r="N285" s="39" t="s">
        <v>418</v>
      </c>
    </row>
    <row r="286" spans="1:14" s="12" customFormat="1" ht="18">
      <c r="A286" s="178" t="s">
        <v>80</v>
      </c>
      <c r="B286" s="75" t="s">
        <v>589</v>
      </c>
      <c r="C286" s="39" t="s">
        <v>17</v>
      </c>
      <c r="D286" s="236"/>
      <c r="E286" s="236"/>
      <c r="F286" s="236"/>
      <c r="G286" s="236"/>
      <c r="H286" s="40">
        <f>SUM(Tabla132112410[[#This Row],[PRIMER TRIMESTRE]:[CUARTO TRIMESTRE]])</f>
        <v>0</v>
      </c>
      <c r="I286" s="72">
        <v>1144.5999999999999</v>
      </c>
      <c r="J286" s="17">
        <f t="shared" si="6"/>
        <v>0</v>
      </c>
      <c r="K286" s="17"/>
      <c r="L286" s="16" t="s">
        <v>18</v>
      </c>
      <c r="M286" s="16" t="s">
        <v>22</v>
      </c>
      <c r="N286" s="39" t="s">
        <v>418</v>
      </c>
    </row>
    <row r="287" spans="1:14" s="12" customFormat="1" ht="18">
      <c r="A287" s="178" t="s">
        <v>80</v>
      </c>
      <c r="B287" s="75" t="s">
        <v>590</v>
      </c>
      <c r="C287" s="39" t="s">
        <v>17</v>
      </c>
      <c r="D287" s="236"/>
      <c r="E287" s="236"/>
      <c r="F287" s="236"/>
      <c r="G287" s="236"/>
      <c r="H287" s="40">
        <f>SUM(Tabla132112410[[#This Row],[PRIMER TRIMESTRE]:[CUARTO TRIMESTRE]])</f>
        <v>0</v>
      </c>
      <c r="I287" s="72">
        <v>1534</v>
      </c>
      <c r="J287" s="17">
        <f t="shared" si="6"/>
        <v>0</v>
      </c>
      <c r="K287" s="17"/>
      <c r="L287" s="16" t="s">
        <v>18</v>
      </c>
      <c r="M287" s="16" t="s">
        <v>22</v>
      </c>
      <c r="N287" s="39" t="s">
        <v>418</v>
      </c>
    </row>
    <row r="288" spans="1:14" s="12" customFormat="1" ht="18">
      <c r="A288" s="178" t="s">
        <v>80</v>
      </c>
      <c r="B288" s="75" t="s">
        <v>1546</v>
      </c>
      <c r="C288" s="39" t="s">
        <v>17</v>
      </c>
      <c r="D288" s="236"/>
      <c r="E288" s="236"/>
      <c r="F288" s="236"/>
      <c r="G288" s="236"/>
      <c r="H288" s="236">
        <f>SUM(Tabla132112410[[#This Row],[PRIMER TRIMESTRE]:[CUARTO TRIMESTRE]])</f>
        <v>0</v>
      </c>
      <c r="I288" s="72">
        <v>910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</row>
    <row r="289" spans="1:14" s="12" customFormat="1" ht="18">
      <c r="A289" s="178" t="s">
        <v>80</v>
      </c>
      <c r="B289" s="75" t="s">
        <v>594</v>
      </c>
      <c r="C289" s="39" t="s">
        <v>17</v>
      </c>
      <c r="D289" s="236"/>
      <c r="E289" s="236"/>
      <c r="F289" s="236"/>
      <c r="G289" s="236"/>
      <c r="H289" s="40">
        <f>SUM(Tabla132112410[[#This Row],[PRIMER TRIMESTRE]:[CUARTO TRIMESTRE]])</f>
        <v>0</v>
      </c>
      <c r="I289" s="17">
        <v>6.37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</row>
    <row r="290" spans="1:14" s="12" customFormat="1" ht="18">
      <c r="A290" s="178" t="s">
        <v>80</v>
      </c>
      <c r="B290" s="75" t="s">
        <v>595</v>
      </c>
      <c r="C290" s="39" t="s">
        <v>17</v>
      </c>
      <c r="D290" s="236"/>
      <c r="E290" s="236"/>
      <c r="F290" s="236"/>
      <c r="G290" s="236"/>
      <c r="H290" s="40">
        <f>SUM(Tabla132112410[[#This Row],[PRIMER TRIMESTRE]:[CUARTO TRIMESTRE]])</f>
        <v>0</v>
      </c>
      <c r="I290" s="17">
        <v>11.82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</row>
    <row r="291" spans="1:14" s="12" customFormat="1" ht="18">
      <c r="A291" s="178" t="s">
        <v>80</v>
      </c>
      <c r="B291" s="75" t="s">
        <v>596</v>
      </c>
      <c r="C291" s="39" t="s">
        <v>17</v>
      </c>
      <c r="D291" s="236"/>
      <c r="E291" s="236"/>
      <c r="F291" s="236"/>
      <c r="G291" s="236"/>
      <c r="H291" s="40">
        <f>SUM(Tabla132112410[[#This Row],[PRIMER TRIMESTRE]:[CUARTO TRIMESTRE]])</f>
        <v>0</v>
      </c>
      <c r="I291" s="17">
        <v>15.46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</row>
    <row r="292" spans="1:14" s="12" customFormat="1" ht="18">
      <c r="A292" s="178" t="s">
        <v>80</v>
      </c>
      <c r="B292" s="75" t="s">
        <v>592</v>
      </c>
      <c r="C292" s="39" t="s">
        <v>17</v>
      </c>
      <c r="D292" s="236"/>
      <c r="E292" s="236"/>
      <c r="F292" s="236"/>
      <c r="G292" s="236"/>
      <c r="H292" s="40">
        <f>SUM(Tabla132112410[[#This Row],[PRIMER TRIMESTRE]:[CUARTO TRIMESTRE]])</f>
        <v>0</v>
      </c>
      <c r="I292" s="17">
        <v>103.84</v>
      </c>
      <c r="J292" s="17">
        <f>+Tabla132112410[[#This Row],[CANTIDAD TOTAL]]*Tabla132112410[[#This Row],[PRECIO UNITARIO ESTIMADO]]</f>
        <v>0</v>
      </c>
      <c r="K292" s="17"/>
      <c r="L292" s="16" t="s">
        <v>18</v>
      </c>
      <c r="M292" s="16" t="s">
        <v>22</v>
      </c>
      <c r="N292" s="39" t="s">
        <v>418</v>
      </c>
    </row>
    <row r="293" spans="1:14" s="12" customFormat="1" ht="18">
      <c r="A293" s="178" t="s">
        <v>80</v>
      </c>
      <c r="B293" s="75" t="s">
        <v>593</v>
      </c>
      <c r="C293" s="39" t="s">
        <v>17</v>
      </c>
      <c r="D293" s="236"/>
      <c r="E293" s="236"/>
      <c r="F293" s="236"/>
      <c r="G293" s="236"/>
      <c r="H293" s="40">
        <f>SUM(Tabla132112410[[#This Row],[PRIMER TRIMESTRE]:[CUARTO TRIMESTRE]])</f>
        <v>0</v>
      </c>
      <c r="I293" s="17">
        <v>22.42</v>
      </c>
      <c r="J293" s="17">
        <f>+Tabla132112410[[#This Row],[CANTIDAD TOTAL]]*Tabla132112410[[#This Row],[PRECIO UNITARIO ESTIMADO]]</f>
        <v>0</v>
      </c>
      <c r="K293" s="17"/>
      <c r="L293" s="16" t="s">
        <v>18</v>
      </c>
      <c r="M293" s="16" t="s">
        <v>22</v>
      </c>
      <c r="N293" s="39" t="s">
        <v>418</v>
      </c>
    </row>
    <row r="294" spans="1:14" s="12" customFormat="1" ht="18">
      <c r="A294" s="178" t="s">
        <v>80</v>
      </c>
      <c r="B294" s="75" t="s">
        <v>591</v>
      </c>
      <c r="C294" s="39" t="s">
        <v>17</v>
      </c>
      <c r="D294" s="236"/>
      <c r="E294" s="236"/>
      <c r="F294" s="236"/>
      <c r="G294" s="236"/>
      <c r="H294" s="236">
        <f>SUM(Tabla132112410[[#This Row],[PRIMER TRIMESTRE]:[CUARTO TRIMESTRE]])</f>
        <v>0</v>
      </c>
      <c r="I294" s="17">
        <v>489.7</v>
      </c>
      <c r="J294" s="17">
        <f>+Tabla132112410[[#This Row],[CANTIDAD TOTAL]]*Tabla132112410[[#This Row],[PRECIO UNITARIO ESTIMADO]]</f>
        <v>0</v>
      </c>
      <c r="K294" s="17"/>
      <c r="L294" s="16" t="s">
        <v>18</v>
      </c>
      <c r="M294" s="16" t="s">
        <v>22</v>
      </c>
      <c r="N294" s="39" t="s">
        <v>418</v>
      </c>
    </row>
    <row r="295" spans="1:14" s="12" customFormat="1" ht="18">
      <c r="A295" s="178" t="s">
        <v>80</v>
      </c>
      <c r="B295" s="75" t="s">
        <v>1531</v>
      </c>
      <c r="C295" s="176" t="s">
        <v>17</v>
      </c>
      <c r="D295" s="236"/>
      <c r="E295" s="236"/>
      <c r="F295" s="236"/>
      <c r="G295" s="236"/>
      <c r="H295" s="236">
        <f>SUM(Tabla132112410[[#This Row],[PRIMER TRIMESTRE]:[CUARTO TRIMESTRE]])</f>
        <v>0</v>
      </c>
      <c r="I295" s="17">
        <v>486.29</v>
      </c>
      <c r="J295" s="17">
        <f>+H295*I295</f>
        <v>0</v>
      </c>
      <c r="K295" s="17"/>
      <c r="L295" s="16" t="s">
        <v>18</v>
      </c>
      <c r="M295" s="16" t="s">
        <v>22</v>
      </c>
      <c r="N295" s="39" t="s">
        <v>418</v>
      </c>
    </row>
    <row r="296" spans="1:14" s="12" customFormat="1" ht="18">
      <c r="A296" s="178" t="s">
        <v>80</v>
      </c>
      <c r="B296" s="75" t="s">
        <v>616</v>
      </c>
      <c r="C296" s="39" t="s">
        <v>17</v>
      </c>
      <c r="D296" s="236"/>
      <c r="E296" s="236"/>
      <c r="F296" s="236"/>
      <c r="G296" s="236"/>
      <c r="H296" s="40">
        <f>SUM(Tabla132112410[[#This Row],[PRIMER TRIMESTRE]:[CUARTO TRIMESTRE]])</f>
        <v>0</v>
      </c>
      <c r="I296" s="17">
        <v>767</v>
      </c>
      <c r="J296" s="17">
        <f>+Tabla132112410[[#This Row],[CANTIDAD TOTAL]]*Tabla132112410[[#This Row],[PRECIO UNITARIO ESTIMADO]]</f>
        <v>0</v>
      </c>
      <c r="K296" s="17"/>
      <c r="L296" s="16" t="s">
        <v>18</v>
      </c>
      <c r="M296" s="16" t="s">
        <v>22</v>
      </c>
      <c r="N296" s="39" t="s">
        <v>418</v>
      </c>
    </row>
    <row r="297" spans="1:14" s="12" customFormat="1" ht="18">
      <c r="A297" s="178" t="s">
        <v>80</v>
      </c>
      <c r="B297" s="75" t="s">
        <v>617</v>
      </c>
      <c r="C297" s="39" t="s">
        <v>17</v>
      </c>
      <c r="D297" s="236"/>
      <c r="E297" s="236"/>
      <c r="F297" s="236"/>
      <c r="G297" s="236"/>
      <c r="H297" s="40">
        <f>SUM(Tabla132112410[[#This Row],[PRIMER TRIMESTRE]:[CUARTO TRIMESTRE]])</f>
        <v>0</v>
      </c>
      <c r="I297" s="17">
        <v>1003</v>
      </c>
      <c r="J297" s="17">
        <f t="shared" ref="J297:J313" si="7">+H297*I297</f>
        <v>0</v>
      </c>
      <c r="K297" s="17"/>
      <c r="L297" s="16" t="s">
        <v>18</v>
      </c>
      <c r="M297" s="16" t="s">
        <v>22</v>
      </c>
      <c r="N297" s="39" t="s">
        <v>418</v>
      </c>
    </row>
    <row r="298" spans="1:14" s="12" customFormat="1" ht="18">
      <c r="A298" s="178" t="s">
        <v>80</v>
      </c>
      <c r="B298" s="75" t="s">
        <v>618</v>
      </c>
      <c r="C298" s="39" t="s">
        <v>17</v>
      </c>
      <c r="D298" s="236"/>
      <c r="E298" s="236"/>
      <c r="F298" s="236"/>
      <c r="G298" s="236"/>
      <c r="H298" s="40">
        <f>SUM(Tabla132112410[[#This Row],[PRIMER TRIMESTRE]:[CUARTO TRIMESTRE]])</f>
        <v>0</v>
      </c>
      <c r="I298" s="17">
        <v>1357</v>
      </c>
      <c r="J298" s="17">
        <f t="shared" si="7"/>
        <v>0</v>
      </c>
      <c r="K298" s="17"/>
      <c r="L298" s="16" t="s">
        <v>18</v>
      </c>
      <c r="M298" s="16" t="s">
        <v>22</v>
      </c>
      <c r="N298" s="39" t="s">
        <v>418</v>
      </c>
    </row>
    <row r="299" spans="1:14" s="12" customFormat="1" ht="18">
      <c r="A299" s="178" t="s">
        <v>80</v>
      </c>
      <c r="B299" s="75" t="s">
        <v>619</v>
      </c>
      <c r="C299" s="39" t="s">
        <v>17</v>
      </c>
      <c r="D299" s="236"/>
      <c r="E299" s="236"/>
      <c r="F299" s="236"/>
      <c r="G299" s="236"/>
      <c r="H299" s="40">
        <f>SUM(Tabla132112410[[#This Row],[PRIMER TRIMESTRE]:[CUARTO TRIMESTRE]])</f>
        <v>0</v>
      </c>
      <c r="I299" s="17">
        <v>2950</v>
      </c>
      <c r="J299" s="17">
        <f t="shared" si="7"/>
        <v>0</v>
      </c>
      <c r="K299" s="17"/>
      <c r="L299" s="16" t="s">
        <v>18</v>
      </c>
      <c r="M299" s="16" t="s">
        <v>22</v>
      </c>
      <c r="N299" s="39" t="s">
        <v>418</v>
      </c>
    </row>
    <row r="300" spans="1:14" s="12" customFormat="1" ht="18">
      <c r="A300" s="178" t="s">
        <v>80</v>
      </c>
      <c r="B300" s="75" t="s">
        <v>620</v>
      </c>
      <c r="C300" s="39" t="s">
        <v>17</v>
      </c>
      <c r="D300" s="236"/>
      <c r="E300" s="236"/>
      <c r="F300" s="236"/>
      <c r="G300" s="236"/>
      <c r="H300" s="40">
        <f>SUM(Tabla132112410[[#This Row],[PRIMER TRIMESTRE]:[CUARTO TRIMESTRE]])</f>
        <v>0</v>
      </c>
      <c r="I300" s="17">
        <v>4484</v>
      </c>
      <c r="J300" s="17">
        <f t="shared" si="7"/>
        <v>0</v>
      </c>
      <c r="K300" s="17"/>
      <c r="L300" s="16" t="s">
        <v>18</v>
      </c>
      <c r="M300" s="16" t="s">
        <v>22</v>
      </c>
      <c r="N300" s="39" t="s">
        <v>418</v>
      </c>
    </row>
    <row r="301" spans="1:14" s="12" customFormat="1" ht="18">
      <c r="A301" s="178" t="s">
        <v>80</v>
      </c>
      <c r="B301" s="75" t="s">
        <v>621</v>
      </c>
      <c r="C301" s="39" t="s">
        <v>17</v>
      </c>
      <c r="D301" s="236"/>
      <c r="E301" s="236"/>
      <c r="F301" s="236"/>
      <c r="G301" s="236"/>
      <c r="H301" s="40">
        <f>SUM(Tabla132112410[[#This Row],[PRIMER TRIMESTRE]:[CUARTO TRIMESTRE]])</f>
        <v>0</v>
      </c>
      <c r="I301" s="17">
        <v>6372</v>
      </c>
      <c r="J301" s="17">
        <f t="shared" si="7"/>
        <v>0</v>
      </c>
      <c r="K301" s="17"/>
      <c r="L301" s="16" t="s">
        <v>18</v>
      </c>
      <c r="M301" s="16" t="s">
        <v>22</v>
      </c>
      <c r="N301" s="39" t="s">
        <v>418</v>
      </c>
    </row>
    <row r="302" spans="1:14" s="12" customFormat="1" ht="18">
      <c r="A302" s="178" t="s">
        <v>80</v>
      </c>
      <c r="B302" s="75" t="s">
        <v>622</v>
      </c>
      <c r="C302" s="39" t="s">
        <v>17</v>
      </c>
      <c r="D302" s="236"/>
      <c r="E302" s="236"/>
      <c r="F302" s="236"/>
      <c r="G302" s="236"/>
      <c r="H302" s="40">
        <f>SUM(Tabla132112410[[#This Row],[PRIMER TRIMESTRE]:[CUARTO TRIMESTRE]])</f>
        <v>0</v>
      </c>
      <c r="I302" s="17">
        <v>11092</v>
      </c>
      <c r="J302" s="17">
        <f t="shared" si="7"/>
        <v>0</v>
      </c>
      <c r="K302" s="17"/>
      <c r="L302" s="16" t="s">
        <v>18</v>
      </c>
      <c r="M302" s="16" t="s">
        <v>22</v>
      </c>
      <c r="N302" s="39" t="s">
        <v>418</v>
      </c>
    </row>
    <row r="303" spans="1:14" s="12" customFormat="1" ht="18">
      <c r="A303" s="178" t="s">
        <v>80</v>
      </c>
      <c r="B303" s="75" t="s">
        <v>623</v>
      </c>
      <c r="C303" s="39" t="s">
        <v>17</v>
      </c>
      <c r="D303" s="236"/>
      <c r="E303" s="236"/>
      <c r="F303" s="236"/>
      <c r="G303" s="236"/>
      <c r="H303" s="40">
        <f>SUM(Tabla132112410[[#This Row],[PRIMER TRIMESTRE]:[CUARTO TRIMESTRE]])</f>
        <v>0</v>
      </c>
      <c r="I303" s="17">
        <v>13924</v>
      </c>
      <c r="J303" s="17">
        <f t="shared" si="7"/>
        <v>0</v>
      </c>
      <c r="K303" s="17"/>
      <c r="L303" s="16" t="s">
        <v>18</v>
      </c>
      <c r="M303" s="16" t="s">
        <v>22</v>
      </c>
      <c r="N303" s="39" t="s">
        <v>418</v>
      </c>
    </row>
    <row r="304" spans="1:14" s="12" customFormat="1" ht="18">
      <c r="A304" s="178" t="s">
        <v>80</v>
      </c>
      <c r="B304" s="75" t="s">
        <v>624</v>
      </c>
      <c r="C304" s="39" t="s">
        <v>17</v>
      </c>
      <c r="D304" s="236"/>
      <c r="E304" s="236"/>
      <c r="F304" s="236"/>
      <c r="G304" s="236"/>
      <c r="H304" s="40">
        <f>SUM(Tabla132112410[[#This Row],[PRIMER TRIMESTRE]:[CUARTO TRIMESTRE]])</f>
        <v>0</v>
      </c>
      <c r="I304" s="17">
        <v>20886</v>
      </c>
      <c r="J304" s="17">
        <f t="shared" si="7"/>
        <v>0</v>
      </c>
      <c r="K304" s="17"/>
      <c r="L304" s="16" t="s">
        <v>18</v>
      </c>
      <c r="M304" s="16" t="s">
        <v>22</v>
      </c>
      <c r="N304" s="39" t="s">
        <v>418</v>
      </c>
    </row>
    <row r="305" spans="1:14" s="12" customFormat="1" ht="18">
      <c r="A305" s="178" t="s">
        <v>80</v>
      </c>
      <c r="B305" s="75" t="s">
        <v>625</v>
      </c>
      <c r="C305" s="39" t="s">
        <v>17</v>
      </c>
      <c r="D305" s="236"/>
      <c r="E305" s="236"/>
      <c r="F305" s="236"/>
      <c r="G305" s="236"/>
      <c r="H305" s="40">
        <f>SUM(Tabla132112410[[#This Row],[PRIMER TRIMESTRE]:[CUARTO TRIMESTRE]])</f>
        <v>0</v>
      </c>
      <c r="I305" s="17">
        <v>1121</v>
      </c>
      <c r="J305" s="17">
        <f t="shared" si="7"/>
        <v>0</v>
      </c>
      <c r="K305" s="17"/>
      <c r="L305" s="16" t="s">
        <v>18</v>
      </c>
      <c r="M305" s="16" t="s">
        <v>22</v>
      </c>
      <c r="N305" s="39" t="s">
        <v>418</v>
      </c>
    </row>
    <row r="306" spans="1:14" s="12" customFormat="1" ht="18">
      <c r="A306" s="178" t="s">
        <v>80</v>
      </c>
      <c r="B306" s="75" t="s">
        <v>626</v>
      </c>
      <c r="C306" s="39" t="s">
        <v>17</v>
      </c>
      <c r="D306" s="236"/>
      <c r="E306" s="236"/>
      <c r="F306" s="236"/>
      <c r="G306" s="236"/>
      <c r="H306" s="40">
        <f>SUM(Tabla132112410[[#This Row],[PRIMER TRIMESTRE]:[CUARTO TRIMESTRE]])</f>
        <v>0</v>
      </c>
      <c r="I306" s="17">
        <v>1239</v>
      </c>
      <c r="J306" s="17">
        <f t="shared" si="7"/>
        <v>0</v>
      </c>
      <c r="K306" s="17"/>
      <c r="L306" s="16" t="s">
        <v>18</v>
      </c>
      <c r="M306" s="16" t="s">
        <v>22</v>
      </c>
      <c r="N306" s="39" t="s">
        <v>418</v>
      </c>
    </row>
    <row r="307" spans="1:14" s="12" customFormat="1" ht="18">
      <c r="A307" s="178" t="s">
        <v>80</v>
      </c>
      <c r="B307" s="75" t="s">
        <v>627</v>
      </c>
      <c r="C307" s="39" t="s">
        <v>17</v>
      </c>
      <c r="D307" s="236"/>
      <c r="E307" s="236"/>
      <c r="F307" s="236"/>
      <c r="G307" s="236"/>
      <c r="H307" s="40">
        <f>SUM(Tabla132112410[[#This Row],[PRIMER TRIMESTRE]:[CUARTO TRIMESTRE]])</f>
        <v>0</v>
      </c>
      <c r="I307" s="17">
        <v>1593</v>
      </c>
      <c r="J307" s="17">
        <f t="shared" si="7"/>
        <v>0</v>
      </c>
      <c r="K307" s="17"/>
      <c r="L307" s="16" t="s">
        <v>18</v>
      </c>
      <c r="M307" s="16" t="s">
        <v>22</v>
      </c>
      <c r="N307" s="39" t="s">
        <v>418</v>
      </c>
    </row>
    <row r="308" spans="1:14" s="12" customFormat="1" ht="18">
      <c r="A308" s="178" t="s">
        <v>80</v>
      </c>
      <c r="B308" s="75" t="s">
        <v>628</v>
      </c>
      <c r="C308" s="39" t="s">
        <v>17</v>
      </c>
      <c r="D308" s="236"/>
      <c r="E308" s="236"/>
      <c r="F308" s="236"/>
      <c r="G308" s="236"/>
      <c r="H308" s="40">
        <f>SUM(Tabla132112410[[#This Row],[PRIMER TRIMESTRE]:[CUARTO TRIMESTRE]])</f>
        <v>0</v>
      </c>
      <c r="I308" s="17">
        <v>3717</v>
      </c>
      <c r="J308" s="17">
        <f t="shared" si="7"/>
        <v>0</v>
      </c>
      <c r="K308" s="17"/>
      <c r="L308" s="16" t="s">
        <v>18</v>
      </c>
      <c r="M308" s="16" t="s">
        <v>22</v>
      </c>
      <c r="N308" s="39" t="s">
        <v>418</v>
      </c>
    </row>
    <row r="309" spans="1:14" s="12" customFormat="1" ht="18">
      <c r="A309" s="178" t="s">
        <v>80</v>
      </c>
      <c r="B309" s="75" t="s">
        <v>629</v>
      </c>
      <c r="C309" s="39" t="s">
        <v>17</v>
      </c>
      <c r="D309" s="236"/>
      <c r="E309" s="236"/>
      <c r="F309" s="236"/>
      <c r="G309" s="236"/>
      <c r="H309" s="40">
        <f>SUM(Tabla132112410[[#This Row],[PRIMER TRIMESTRE]:[CUARTO TRIMESTRE]])</f>
        <v>0</v>
      </c>
      <c r="I309" s="17">
        <v>5133</v>
      </c>
      <c r="J309" s="17">
        <f t="shared" si="7"/>
        <v>0</v>
      </c>
      <c r="K309" s="17"/>
      <c r="L309" s="16" t="s">
        <v>18</v>
      </c>
      <c r="M309" s="16" t="s">
        <v>22</v>
      </c>
      <c r="N309" s="39" t="s">
        <v>418</v>
      </c>
    </row>
    <row r="310" spans="1:14" s="12" customFormat="1" ht="18">
      <c r="A310" s="178" t="s">
        <v>80</v>
      </c>
      <c r="B310" s="75" t="s">
        <v>630</v>
      </c>
      <c r="C310" s="39" t="s">
        <v>17</v>
      </c>
      <c r="D310" s="236"/>
      <c r="E310" s="236"/>
      <c r="F310" s="236"/>
      <c r="G310" s="236"/>
      <c r="H310" s="40">
        <f>SUM(Tabla132112410[[#This Row],[PRIMER TRIMESTRE]:[CUARTO TRIMESTRE]])</f>
        <v>0</v>
      </c>
      <c r="I310" s="17">
        <v>7127</v>
      </c>
      <c r="J310" s="17">
        <f t="shared" si="7"/>
        <v>0</v>
      </c>
      <c r="K310" s="17"/>
      <c r="L310" s="16" t="s">
        <v>18</v>
      </c>
      <c r="M310" s="16" t="s">
        <v>22</v>
      </c>
      <c r="N310" s="39" t="s">
        <v>418</v>
      </c>
    </row>
    <row r="311" spans="1:14" s="12" customFormat="1" ht="18">
      <c r="A311" s="178" t="s">
        <v>80</v>
      </c>
      <c r="B311" s="75" t="s">
        <v>631</v>
      </c>
      <c r="C311" s="39" t="s">
        <v>17</v>
      </c>
      <c r="D311" s="236"/>
      <c r="E311" s="236"/>
      <c r="F311" s="236"/>
      <c r="G311" s="236"/>
      <c r="H311" s="40">
        <f>SUM(Tabla132112410[[#This Row],[PRIMER TRIMESTRE]:[CUARTO TRIMESTRE]])</f>
        <v>0</v>
      </c>
      <c r="I311" s="17">
        <v>12580</v>
      </c>
      <c r="J311" s="17">
        <f t="shared" si="7"/>
        <v>0</v>
      </c>
      <c r="K311" s="17"/>
      <c r="L311" s="16" t="s">
        <v>18</v>
      </c>
      <c r="M311" s="16" t="s">
        <v>22</v>
      </c>
      <c r="N311" s="39" t="s">
        <v>418</v>
      </c>
    </row>
    <row r="312" spans="1:14" s="12" customFormat="1" ht="18">
      <c r="A312" s="178" t="s">
        <v>80</v>
      </c>
      <c r="B312" s="75" t="s">
        <v>632</v>
      </c>
      <c r="C312" s="39" t="s">
        <v>17</v>
      </c>
      <c r="D312" s="236"/>
      <c r="E312" s="236"/>
      <c r="F312" s="236"/>
      <c r="G312" s="236"/>
      <c r="H312" s="40">
        <f>SUM(Tabla132112410[[#This Row],[PRIMER TRIMESTRE]:[CUARTO TRIMESTRE]])</f>
        <v>0</v>
      </c>
      <c r="I312" s="17">
        <v>15045</v>
      </c>
      <c r="J312" s="17">
        <f t="shared" si="7"/>
        <v>0</v>
      </c>
      <c r="K312" s="17"/>
      <c r="L312" s="16" t="s">
        <v>18</v>
      </c>
      <c r="M312" s="16" t="s">
        <v>22</v>
      </c>
      <c r="N312" s="39" t="s">
        <v>418</v>
      </c>
    </row>
    <row r="313" spans="1:14" s="12" customFormat="1" ht="18">
      <c r="A313" s="178" t="s">
        <v>80</v>
      </c>
      <c r="B313" s="75" t="s">
        <v>633</v>
      </c>
      <c r="C313" s="39" t="s">
        <v>17</v>
      </c>
      <c r="D313" s="236"/>
      <c r="E313" s="236"/>
      <c r="F313" s="236"/>
      <c r="G313" s="236"/>
      <c r="H313" s="40">
        <f>SUM(Tabla132112410[[#This Row],[PRIMER TRIMESTRE]:[CUARTO TRIMESTRE]])</f>
        <v>0</v>
      </c>
      <c r="I313" s="17">
        <v>22396.400000000001</v>
      </c>
      <c r="J313" s="17">
        <f t="shared" si="7"/>
        <v>0</v>
      </c>
      <c r="K313" s="17"/>
      <c r="L313" s="16" t="s">
        <v>18</v>
      </c>
      <c r="M313" s="16" t="s">
        <v>22</v>
      </c>
      <c r="N313" s="39" t="s">
        <v>418</v>
      </c>
    </row>
    <row r="314" spans="1:14" s="12" customFormat="1" ht="18">
      <c r="A314" s="178" t="s">
        <v>80</v>
      </c>
      <c r="B314" s="75" t="s">
        <v>129</v>
      </c>
      <c r="C314" s="39" t="s">
        <v>17</v>
      </c>
      <c r="D314" s="236"/>
      <c r="E314" s="236"/>
      <c r="F314" s="236"/>
      <c r="G314" s="236"/>
      <c r="H314" s="40">
        <f>SUM(Tabla132112410[[#This Row],[PRIMER TRIMESTRE]:[CUARTO TRIMESTRE]])</f>
        <v>0</v>
      </c>
      <c r="I314" s="17">
        <v>3.52</v>
      </c>
      <c r="J314" s="17">
        <f>+Tabla132112410[[#This Row],[CANTIDAD TOTAL]]*Tabla132112410[[#This Row],[PRECIO UNITARIO ESTIMADO]]</f>
        <v>0</v>
      </c>
      <c r="K314" s="17"/>
      <c r="L314" s="16" t="s">
        <v>18</v>
      </c>
      <c r="M314" s="16" t="s">
        <v>22</v>
      </c>
      <c r="N314" s="39" t="s">
        <v>418</v>
      </c>
    </row>
    <row r="315" spans="1:14" s="12" customFormat="1" ht="18">
      <c r="A315" s="178" t="s">
        <v>80</v>
      </c>
      <c r="B315" s="75" t="s">
        <v>131</v>
      </c>
      <c r="C315" s="39" t="s">
        <v>17</v>
      </c>
      <c r="D315" s="236"/>
      <c r="E315" s="236"/>
      <c r="F315" s="236"/>
      <c r="G315" s="236"/>
      <c r="H315" s="40">
        <f>SUM(Tabla132112410[[#This Row],[PRIMER TRIMESTRE]:[CUARTO TRIMESTRE]])</f>
        <v>0</v>
      </c>
      <c r="I315" s="17">
        <v>5.86</v>
      </c>
      <c r="J315" s="17">
        <f>+Tabla132112410[[#This Row],[CANTIDAD TOTAL]]*Tabla132112410[[#This Row],[PRECIO UNITARIO ESTIMADO]]</f>
        <v>0</v>
      </c>
      <c r="K315" s="17"/>
      <c r="L315" s="16" t="s">
        <v>18</v>
      </c>
      <c r="M315" s="16" t="s">
        <v>22</v>
      </c>
      <c r="N315" s="39" t="s">
        <v>418</v>
      </c>
    </row>
    <row r="316" spans="1:14" s="12" customFormat="1" ht="18">
      <c r="A316" s="178" t="s">
        <v>80</v>
      </c>
      <c r="B316" s="75" t="s">
        <v>473</v>
      </c>
      <c r="C316" s="39" t="s">
        <v>17</v>
      </c>
      <c r="D316" s="236"/>
      <c r="E316" s="236"/>
      <c r="F316" s="236"/>
      <c r="G316" s="236"/>
      <c r="H316" s="40">
        <f>SUM(Tabla132112410[[#This Row],[PRIMER TRIMESTRE]:[CUARTO TRIMESTRE]])</f>
        <v>0</v>
      </c>
      <c r="I316" s="17">
        <v>15.46</v>
      </c>
      <c r="J316" s="17">
        <f>+H316*I316</f>
        <v>0</v>
      </c>
      <c r="K316" s="17"/>
      <c r="L316" s="16" t="s">
        <v>18</v>
      </c>
      <c r="M316" s="16" t="s">
        <v>22</v>
      </c>
      <c r="N316" s="39" t="s">
        <v>418</v>
      </c>
    </row>
    <row r="317" spans="1:14" s="12" customFormat="1" ht="18">
      <c r="A317" s="178" t="s">
        <v>80</v>
      </c>
      <c r="B317" s="75" t="s">
        <v>661</v>
      </c>
      <c r="C317" s="39" t="s">
        <v>17</v>
      </c>
      <c r="D317" s="236"/>
      <c r="E317" s="236"/>
      <c r="F317" s="236"/>
      <c r="G317" s="236"/>
      <c r="H317" s="40">
        <f>SUM(Tabla132112410[[#This Row],[PRIMER TRIMESTRE]:[CUARTO TRIMESTRE]])</f>
        <v>0</v>
      </c>
      <c r="I317" s="72">
        <v>15.46</v>
      </c>
      <c r="J317" s="17">
        <f>+H317*I317</f>
        <v>0</v>
      </c>
      <c r="K317" s="17"/>
      <c r="L317" s="16" t="s">
        <v>18</v>
      </c>
      <c r="M317" s="16" t="s">
        <v>22</v>
      </c>
      <c r="N317" s="39" t="s">
        <v>418</v>
      </c>
    </row>
    <row r="318" spans="1:14" s="12" customFormat="1" ht="18">
      <c r="A318" s="178" t="s">
        <v>80</v>
      </c>
      <c r="B318" s="75" t="s">
        <v>133</v>
      </c>
      <c r="C318" s="39" t="s">
        <v>17</v>
      </c>
      <c r="D318" s="236"/>
      <c r="E318" s="236"/>
      <c r="F318" s="236"/>
      <c r="G318" s="236"/>
      <c r="H318" s="40">
        <f>SUM(Tabla132112410[[#This Row],[PRIMER TRIMESTRE]:[CUARTO TRIMESTRE]])</f>
        <v>0</v>
      </c>
      <c r="I318" s="17">
        <v>40.17</v>
      </c>
      <c r="J318" s="17">
        <f>+Tabla132112410[[#This Row],[CANTIDAD TOTAL]]*Tabla132112410[[#This Row],[PRECIO UNITARIO ESTIMADO]]</f>
        <v>0</v>
      </c>
      <c r="K318" s="17"/>
      <c r="L318" s="16" t="s">
        <v>18</v>
      </c>
      <c r="M318" s="16" t="s">
        <v>22</v>
      </c>
      <c r="N318" s="39" t="s">
        <v>418</v>
      </c>
    </row>
    <row r="319" spans="1:14" s="12" customFormat="1" ht="18">
      <c r="A319" s="178" t="s">
        <v>80</v>
      </c>
      <c r="B319" s="75" t="s">
        <v>135</v>
      </c>
      <c r="C319" s="39" t="s">
        <v>17</v>
      </c>
      <c r="D319" s="236"/>
      <c r="E319" s="236"/>
      <c r="F319" s="236"/>
      <c r="G319" s="236"/>
      <c r="H319" s="40">
        <f>SUM(Tabla132112410[[#This Row],[PRIMER TRIMESTRE]:[CUARTO TRIMESTRE]])</f>
        <v>0</v>
      </c>
      <c r="I319" s="17">
        <v>116.85</v>
      </c>
      <c r="J319" s="17">
        <f>+Tabla132112410[[#This Row],[CANTIDAD TOTAL]]*Tabla132112410[[#This Row],[PRECIO UNITARIO ESTIMADO]]</f>
        <v>0</v>
      </c>
      <c r="K319" s="17"/>
      <c r="L319" s="16" t="s">
        <v>18</v>
      </c>
      <c r="M319" s="16" t="s">
        <v>22</v>
      </c>
      <c r="N319" s="39" t="s">
        <v>418</v>
      </c>
    </row>
    <row r="320" spans="1:14" s="12" customFormat="1" ht="18">
      <c r="A320" s="178" t="s">
        <v>80</v>
      </c>
      <c r="B320" s="75" t="s">
        <v>597</v>
      </c>
      <c r="C320" s="39" t="s">
        <v>17</v>
      </c>
      <c r="D320" s="236"/>
      <c r="E320" s="236"/>
      <c r="F320" s="236"/>
      <c r="G320" s="236"/>
      <c r="H320" s="40">
        <f>SUM(Tabla132112410[[#This Row],[PRIMER TRIMESTRE]:[CUARTO TRIMESTRE]])</f>
        <v>0</v>
      </c>
      <c r="I320" s="72">
        <v>107.31</v>
      </c>
      <c r="J320" s="17">
        <f t="shared" ref="J320:J330" si="8">+H320*I320</f>
        <v>0</v>
      </c>
      <c r="K320" s="17"/>
      <c r="L320" s="16" t="s">
        <v>18</v>
      </c>
      <c r="M320" s="16" t="s">
        <v>22</v>
      </c>
      <c r="N320" s="39" t="s">
        <v>418</v>
      </c>
    </row>
    <row r="321" spans="1:14" s="12" customFormat="1" ht="18">
      <c r="A321" s="178" t="s">
        <v>80</v>
      </c>
      <c r="B321" s="75" t="s">
        <v>1532</v>
      </c>
      <c r="C321" s="176" t="s">
        <v>17</v>
      </c>
      <c r="D321" s="236"/>
      <c r="E321" s="236"/>
      <c r="F321" s="236"/>
      <c r="G321" s="236"/>
      <c r="H321" s="236">
        <f>SUM(Tabla132112410[[#This Row],[PRIMER TRIMESTRE]:[CUARTO TRIMESTRE]])</f>
        <v>0</v>
      </c>
      <c r="I321" s="72">
        <v>300</v>
      </c>
      <c r="J321" s="72">
        <f t="shared" si="8"/>
        <v>0</v>
      </c>
      <c r="K321" s="17"/>
      <c r="L321" s="16" t="s">
        <v>18</v>
      </c>
      <c r="M321" s="16" t="s">
        <v>22</v>
      </c>
      <c r="N321" s="39" t="s">
        <v>418</v>
      </c>
    </row>
    <row r="322" spans="1:14" s="12" customFormat="1" ht="18">
      <c r="A322" s="178" t="s">
        <v>80</v>
      </c>
      <c r="B322" s="75" t="s">
        <v>1533</v>
      </c>
      <c r="C322" s="176" t="s">
        <v>17</v>
      </c>
      <c r="D322" s="236"/>
      <c r="E322" s="236"/>
      <c r="F322" s="236"/>
      <c r="G322" s="236"/>
      <c r="H322" s="236">
        <f>SUM(Tabla132112410[[#This Row],[PRIMER TRIMESTRE]:[CUARTO TRIMESTRE]])</f>
        <v>0</v>
      </c>
      <c r="I322" s="72">
        <v>845.5</v>
      </c>
      <c r="J322" s="72">
        <f t="shared" si="8"/>
        <v>0</v>
      </c>
      <c r="K322" s="17"/>
      <c r="L322" s="16" t="s">
        <v>18</v>
      </c>
      <c r="M322" s="16" t="s">
        <v>22</v>
      </c>
      <c r="N322" s="39" t="s">
        <v>418</v>
      </c>
    </row>
    <row r="323" spans="1:14" s="12" customFormat="1" ht="18">
      <c r="A323" s="178" t="s">
        <v>80</v>
      </c>
      <c r="B323" s="75" t="s">
        <v>1535</v>
      </c>
      <c r="C323" s="176" t="s">
        <v>17</v>
      </c>
      <c r="D323" s="236"/>
      <c r="E323" s="236"/>
      <c r="F323" s="236"/>
      <c r="G323" s="236"/>
      <c r="H323" s="236">
        <f>SUM(Tabla132112410[[#This Row],[PRIMER TRIMESTRE]:[CUARTO TRIMESTRE]])</f>
        <v>0</v>
      </c>
      <c r="I323" s="72">
        <v>3192.99</v>
      </c>
      <c r="J323" s="72">
        <f t="shared" si="8"/>
        <v>0</v>
      </c>
      <c r="K323" s="17"/>
      <c r="L323" s="16" t="s">
        <v>18</v>
      </c>
      <c r="M323" s="16" t="s">
        <v>22</v>
      </c>
      <c r="N323" s="39" t="s">
        <v>418</v>
      </c>
    </row>
    <row r="324" spans="1:14" s="12" customFormat="1" ht="18">
      <c r="A324" s="178" t="s">
        <v>80</v>
      </c>
      <c r="B324" s="75" t="s">
        <v>1724</v>
      </c>
      <c r="C324" s="176" t="s">
        <v>17</v>
      </c>
      <c r="D324" s="236"/>
      <c r="E324" s="236"/>
      <c r="F324" s="236"/>
      <c r="G324" s="236"/>
      <c r="H324" s="40">
        <v>0</v>
      </c>
      <c r="I324" s="72">
        <v>0</v>
      </c>
      <c r="J324" s="72">
        <v>0</v>
      </c>
      <c r="K324" s="17"/>
      <c r="L324" s="16" t="s">
        <v>18</v>
      </c>
      <c r="M324" s="16" t="s">
        <v>22</v>
      </c>
      <c r="N324" s="39" t="s">
        <v>418</v>
      </c>
    </row>
    <row r="325" spans="1:14" s="12" customFormat="1" ht="51">
      <c r="A325" s="178" t="s">
        <v>80</v>
      </c>
      <c r="B325" s="75" t="s">
        <v>1536</v>
      </c>
      <c r="C325" s="176" t="s">
        <v>17</v>
      </c>
      <c r="D325" s="236"/>
      <c r="E325" s="236"/>
      <c r="F325" s="236"/>
      <c r="G325" s="236"/>
      <c r="H325" s="236">
        <f>SUM(Tabla132112410[[#This Row],[PRIMER TRIMESTRE]:[CUARTO TRIMESTRE]])</f>
        <v>0</v>
      </c>
      <c r="I325" s="72">
        <v>45017.279999999999</v>
      </c>
      <c r="J325" s="72">
        <f t="shared" si="8"/>
        <v>0</v>
      </c>
      <c r="K325" s="17"/>
      <c r="L325" s="16" t="s">
        <v>18</v>
      </c>
      <c r="M325" s="16" t="s">
        <v>22</v>
      </c>
      <c r="N325" s="39" t="s">
        <v>418</v>
      </c>
    </row>
    <row r="326" spans="1:14" s="12" customFormat="1" ht="18">
      <c r="A326" s="178" t="s">
        <v>80</v>
      </c>
      <c r="B326" s="75" t="s">
        <v>1340</v>
      </c>
      <c r="C326" s="39" t="s">
        <v>17</v>
      </c>
      <c r="D326" s="236"/>
      <c r="E326" s="236"/>
      <c r="F326" s="236"/>
      <c r="G326" s="236"/>
      <c r="H326" s="40">
        <f>SUM(Tabla132112410[[#This Row],[PRIMER TRIMESTRE]:[CUARTO TRIMESTRE]])</f>
        <v>0</v>
      </c>
      <c r="I326" s="72">
        <v>348.1</v>
      </c>
      <c r="J326" s="17">
        <f t="shared" si="8"/>
        <v>0</v>
      </c>
      <c r="K326" s="17"/>
      <c r="L326" s="16" t="s">
        <v>18</v>
      </c>
      <c r="M326" s="16" t="s">
        <v>22</v>
      </c>
      <c r="N326" s="39" t="s">
        <v>418</v>
      </c>
    </row>
    <row r="327" spans="1:14" s="12" customFormat="1" ht="18">
      <c r="A327" s="178" t="s">
        <v>80</v>
      </c>
      <c r="B327" s="75" t="s">
        <v>1537</v>
      </c>
      <c r="C327" s="39" t="s">
        <v>17</v>
      </c>
      <c r="D327" s="236"/>
      <c r="E327" s="236"/>
      <c r="F327" s="236"/>
      <c r="G327" s="236"/>
      <c r="H327" s="236">
        <f>SUM(Tabla132112410[[#This Row],[PRIMER TRIMESTRE]:[CUARTO TRIMESTRE]])</f>
        <v>0</v>
      </c>
      <c r="I327" s="72">
        <v>7623.81</v>
      </c>
      <c r="J327" s="72">
        <f t="shared" si="8"/>
        <v>0</v>
      </c>
      <c r="K327" s="17"/>
      <c r="L327" s="16" t="s">
        <v>18</v>
      </c>
      <c r="M327" s="16" t="s">
        <v>22</v>
      </c>
      <c r="N327" s="39" t="s">
        <v>418</v>
      </c>
    </row>
    <row r="328" spans="1:14" s="12" customFormat="1" ht="18">
      <c r="A328" s="178" t="s">
        <v>80</v>
      </c>
      <c r="B328" s="75" t="s">
        <v>1341</v>
      </c>
      <c r="C328" s="39" t="s">
        <v>17</v>
      </c>
      <c r="D328" s="236"/>
      <c r="E328" s="236"/>
      <c r="F328" s="236"/>
      <c r="G328" s="236"/>
      <c r="H328" s="40">
        <f>SUM(Tabla132112410[[#This Row],[PRIMER TRIMESTRE]:[CUARTO TRIMESTRE]])</f>
        <v>0</v>
      </c>
      <c r="I328" s="72">
        <v>88.5</v>
      </c>
      <c r="J328" s="17">
        <f t="shared" si="8"/>
        <v>0</v>
      </c>
      <c r="K328" s="17"/>
      <c r="L328" s="16" t="s">
        <v>18</v>
      </c>
      <c r="M328" s="16" t="s">
        <v>22</v>
      </c>
      <c r="N328" s="39" t="s">
        <v>418</v>
      </c>
    </row>
    <row r="329" spans="1:14" s="12" customFormat="1" ht="18">
      <c r="A329" s="178" t="s">
        <v>80</v>
      </c>
      <c r="B329" s="75" t="s">
        <v>1342</v>
      </c>
      <c r="C329" s="39" t="s">
        <v>17</v>
      </c>
      <c r="D329" s="236"/>
      <c r="E329" s="236"/>
      <c r="F329" s="236"/>
      <c r="G329" s="236"/>
      <c r="H329" s="40">
        <f>SUM(Tabla132112410[[#This Row],[PRIMER TRIMESTRE]:[CUARTO TRIMESTRE]])</f>
        <v>0</v>
      </c>
      <c r="I329" s="72">
        <v>165.2</v>
      </c>
      <c r="J329" s="17">
        <f t="shared" si="8"/>
        <v>0</v>
      </c>
      <c r="K329" s="17"/>
      <c r="L329" s="16" t="s">
        <v>18</v>
      </c>
      <c r="M329" s="16" t="s">
        <v>22</v>
      </c>
      <c r="N329" s="39" t="s">
        <v>418</v>
      </c>
    </row>
    <row r="330" spans="1:14" s="12" customFormat="1" ht="18">
      <c r="A330" s="178" t="s">
        <v>80</v>
      </c>
      <c r="B330" s="75" t="s">
        <v>1343</v>
      </c>
      <c r="C330" s="39" t="s">
        <v>17</v>
      </c>
      <c r="D330" s="236"/>
      <c r="E330" s="236"/>
      <c r="F330" s="236"/>
      <c r="G330" s="236"/>
      <c r="H330" s="40">
        <f>SUM(Tabla132112410[[#This Row],[PRIMER TRIMESTRE]:[CUARTO TRIMESTRE]])</f>
        <v>0</v>
      </c>
      <c r="I330" s="72">
        <v>855.5</v>
      </c>
      <c r="J330" s="17">
        <f t="shared" si="8"/>
        <v>0</v>
      </c>
      <c r="K330" s="17"/>
      <c r="L330" s="16" t="s">
        <v>18</v>
      </c>
      <c r="M330" s="16" t="s">
        <v>22</v>
      </c>
      <c r="N330" s="39" t="s">
        <v>418</v>
      </c>
    </row>
    <row r="331" spans="1:14" s="12" customFormat="1" ht="18">
      <c r="A331" s="178" t="s">
        <v>80</v>
      </c>
      <c r="B331" s="75" t="s">
        <v>571</v>
      </c>
      <c r="C331" s="39" t="s">
        <v>17</v>
      </c>
      <c r="D331" s="236"/>
      <c r="E331" s="236"/>
      <c r="F331" s="236"/>
      <c r="G331" s="236"/>
      <c r="H331" s="40">
        <f>SUM(Tabla132112410[[#This Row],[PRIMER TRIMESTRE]:[CUARTO TRIMESTRE]])</f>
        <v>0</v>
      </c>
      <c r="I331" s="17">
        <v>12159.7</v>
      </c>
      <c r="J331" s="17">
        <f>+Tabla132112410[[#This Row],[CANTIDAD TOTAL]]*Tabla132112410[[#This Row],[PRECIO UNITARIO ESTIMADO]]</f>
        <v>0</v>
      </c>
      <c r="K331" s="17"/>
      <c r="L331" s="16" t="s">
        <v>18</v>
      </c>
      <c r="M331" s="16" t="s">
        <v>22</v>
      </c>
      <c r="N331" s="39" t="s">
        <v>418</v>
      </c>
    </row>
    <row r="332" spans="1:14" s="12" customFormat="1" ht="18">
      <c r="A332" s="178" t="s">
        <v>80</v>
      </c>
      <c r="B332" s="75" t="s">
        <v>186</v>
      </c>
      <c r="C332" s="39" t="s">
        <v>17</v>
      </c>
      <c r="D332" s="236"/>
      <c r="E332" s="236"/>
      <c r="F332" s="236"/>
      <c r="G332" s="236"/>
      <c r="H332" s="40">
        <f>SUM(Tabla132112410[[#This Row],[PRIMER TRIMESTRE]:[CUARTO TRIMESTRE]])</f>
        <v>0</v>
      </c>
      <c r="I332" s="17">
        <v>2600</v>
      </c>
      <c r="J332" s="17">
        <f>+Tabla132112410[[#This Row],[CANTIDAD TOTAL]]*Tabla132112410[[#This Row],[PRECIO UNITARIO ESTIMADO]]</f>
        <v>0</v>
      </c>
      <c r="K332" s="17"/>
      <c r="L332" s="16" t="s">
        <v>18</v>
      </c>
      <c r="M332" s="16" t="s">
        <v>22</v>
      </c>
      <c r="N332" s="39" t="s">
        <v>418</v>
      </c>
    </row>
    <row r="333" spans="1:14" s="12" customFormat="1" ht="18">
      <c r="A333" s="178" t="s">
        <v>80</v>
      </c>
      <c r="B333" s="75" t="s">
        <v>1550</v>
      </c>
      <c r="C333" s="39" t="s">
        <v>17</v>
      </c>
      <c r="D333" s="236"/>
      <c r="E333" s="236"/>
      <c r="F333" s="236"/>
      <c r="G333" s="236"/>
      <c r="H333" s="236">
        <f>SUM(Tabla132112410[[#This Row],[PRIMER TRIMESTRE]:[CUARTO TRIMESTRE]])</f>
        <v>0</v>
      </c>
      <c r="I333" s="17">
        <v>317.27</v>
      </c>
      <c r="J333" s="17">
        <f>+H333*I333</f>
        <v>0</v>
      </c>
      <c r="K333" s="17"/>
      <c r="L333" s="16" t="s">
        <v>18</v>
      </c>
      <c r="M333" s="16" t="s">
        <v>22</v>
      </c>
      <c r="N333" s="39" t="s">
        <v>418</v>
      </c>
    </row>
    <row r="334" spans="1:14" s="12" customFormat="1" ht="18">
      <c r="A334" s="178" t="s">
        <v>80</v>
      </c>
      <c r="B334" s="75" t="s">
        <v>148</v>
      </c>
      <c r="C334" s="39" t="s">
        <v>149</v>
      </c>
      <c r="D334" s="236"/>
      <c r="E334" s="236"/>
      <c r="F334" s="236"/>
      <c r="G334" s="236"/>
      <c r="H334" s="40">
        <f>SUM(Tabla132112410[[#This Row],[PRIMER TRIMESTRE]:[CUARTO TRIMESTRE]])</f>
        <v>0</v>
      </c>
      <c r="I334" s="17">
        <v>127.6</v>
      </c>
      <c r="J334" s="17">
        <f>+Tabla132112410[[#This Row],[CANTIDAD TOTAL]]*Tabla132112410[[#This Row],[PRECIO UNITARIO ESTIMADO]]</f>
        <v>0</v>
      </c>
      <c r="K334" s="17"/>
      <c r="L334" s="16" t="s">
        <v>18</v>
      </c>
      <c r="M334" s="16" t="s">
        <v>22</v>
      </c>
      <c r="N334" s="39" t="s">
        <v>418</v>
      </c>
    </row>
    <row r="335" spans="1:14" s="12" customFormat="1" ht="18">
      <c r="A335" s="178" t="s">
        <v>80</v>
      </c>
      <c r="B335" s="75" t="s">
        <v>1430</v>
      </c>
      <c r="C335" s="39" t="s">
        <v>290</v>
      </c>
      <c r="D335" s="236"/>
      <c r="E335" s="236"/>
      <c r="F335" s="236"/>
      <c r="G335" s="236"/>
      <c r="H335" s="40">
        <f>SUM(Tabla132112410[[#This Row],[PRIMER TRIMESTRE]:[CUARTO TRIMESTRE]])</f>
        <v>0</v>
      </c>
      <c r="I335" s="17">
        <v>793.52</v>
      </c>
      <c r="J335" s="17">
        <f>+Tabla132112410[[#This Row],[CANTIDAD TOTAL]]*Tabla132112410[[#This Row],[PRECIO UNITARIO ESTIMADO]]</f>
        <v>0</v>
      </c>
      <c r="K335" s="17"/>
      <c r="L335" s="16" t="s">
        <v>18</v>
      </c>
      <c r="M335" s="16" t="s">
        <v>22</v>
      </c>
      <c r="N335" s="39" t="s">
        <v>418</v>
      </c>
    </row>
    <row r="336" spans="1:14" s="12" customFormat="1" ht="18">
      <c r="A336" s="178" t="s">
        <v>80</v>
      </c>
      <c r="B336" s="75" t="s">
        <v>439</v>
      </c>
      <c r="C336" s="39" t="s">
        <v>149</v>
      </c>
      <c r="D336" s="236"/>
      <c r="E336" s="236"/>
      <c r="F336" s="236"/>
      <c r="G336" s="236"/>
      <c r="H336" s="40">
        <f>SUM(Tabla132112410[[#This Row],[PRIMER TRIMESTRE]:[CUARTO TRIMESTRE]])</f>
        <v>0</v>
      </c>
      <c r="I336" s="17">
        <v>123.91</v>
      </c>
      <c r="J336" s="17">
        <f>+Tabla132112410[[#This Row],[CANTIDAD TOTAL]]*Tabla132112410[[#This Row],[PRECIO UNITARIO ESTIMADO]]</f>
        <v>0</v>
      </c>
      <c r="K336" s="17"/>
      <c r="L336" s="16" t="s">
        <v>18</v>
      </c>
      <c r="M336" s="16" t="s">
        <v>22</v>
      </c>
      <c r="N336" s="39" t="s">
        <v>418</v>
      </c>
    </row>
    <row r="337" spans="1:14" s="12" customFormat="1" ht="18">
      <c r="A337" s="178" t="s">
        <v>80</v>
      </c>
      <c r="B337" s="75" t="s">
        <v>1553</v>
      </c>
      <c r="C337" s="39" t="s">
        <v>17</v>
      </c>
      <c r="D337" s="236"/>
      <c r="E337" s="236"/>
      <c r="F337" s="236"/>
      <c r="G337" s="236"/>
      <c r="H337" s="236">
        <f>SUM(Tabla132112410[[#This Row],[PRIMER TRIMESTRE]:[CUARTO TRIMESTRE]])</f>
        <v>0</v>
      </c>
      <c r="I337" s="17">
        <v>536.16999999999996</v>
      </c>
      <c r="J337" s="17">
        <f>+H337*I337</f>
        <v>0</v>
      </c>
      <c r="K337" s="17"/>
      <c r="L337" s="16" t="s">
        <v>18</v>
      </c>
      <c r="M337" s="16" t="s">
        <v>22</v>
      </c>
      <c r="N337" s="39" t="s">
        <v>418</v>
      </c>
    </row>
    <row r="338" spans="1:14" s="12" customFormat="1" ht="25.5">
      <c r="A338" s="178" t="s">
        <v>80</v>
      </c>
      <c r="B338" s="75" t="s">
        <v>1538</v>
      </c>
      <c r="C338" s="39" t="s">
        <v>149</v>
      </c>
      <c r="D338" s="236"/>
      <c r="E338" s="236"/>
      <c r="F338" s="236"/>
      <c r="G338" s="236"/>
      <c r="H338" s="236">
        <f>SUM(Tabla132112410[[#This Row],[PRIMER TRIMESTRE]:[CUARTO TRIMESTRE]])</f>
        <v>0</v>
      </c>
      <c r="I338" s="17">
        <v>560</v>
      </c>
      <c r="J338" s="17">
        <f>+H338*I338</f>
        <v>0</v>
      </c>
      <c r="K338" s="17"/>
      <c r="L338" s="16" t="s">
        <v>18</v>
      </c>
      <c r="M338" s="16" t="s">
        <v>22</v>
      </c>
      <c r="N338" s="39" t="s">
        <v>418</v>
      </c>
    </row>
    <row r="339" spans="1:14" s="12" customFormat="1" ht="18">
      <c r="A339" s="178" t="s">
        <v>80</v>
      </c>
      <c r="B339" s="75" t="s">
        <v>471</v>
      </c>
      <c r="C339" s="39" t="s">
        <v>17</v>
      </c>
      <c r="D339" s="236"/>
      <c r="E339" s="210"/>
      <c r="F339" s="236"/>
      <c r="G339" s="236"/>
      <c r="H339" s="40">
        <f>SUM(Tabla132112410[[#This Row],[PRIMER TRIMESTRE]:[CUARTO TRIMESTRE]])</f>
        <v>0</v>
      </c>
      <c r="I339" s="17">
        <v>55.38</v>
      </c>
      <c r="J339" s="17">
        <f>+Tabla132112410[[#This Row],[CANTIDAD TOTAL]]*Tabla132112410[[#This Row],[PRECIO UNITARIO ESTIMADO]]</f>
        <v>0</v>
      </c>
      <c r="K339" s="17"/>
      <c r="L339" s="16" t="s">
        <v>18</v>
      </c>
      <c r="M339" s="16" t="s">
        <v>22</v>
      </c>
      <c r="N339" s="39" t="s">
        <v>418</v>
      </c>
    </row>
    <row r="340" spans="1:14" s="12" customFormat="1" ht="18">
      <c r="A340" s="178" t="s">
        <v>80</v>
      </c>
      <c r="B340" s="75" t="s">
        <v>1348</v>
      </c>
      <c r="C340" s="39" t="s">
        <v>17</v>
      </c>
      <c r="D340" s="236"/>
      <c r="E340" s="210"/>
      <c r="F340" s="236"/>
      <c r="G340" s="236"/>
      <c r="H340" s="40">
        <f>SUM(Tabla132112410[[#This Row],[PRIMER TRIMESTRE]:[CUARTO TRIMESTRE]])</f>
        <v>0</v>
      </c>
      <c r="I340" s="17">
        <v>85</v>
      </c>
      <c r="J340" s="17">
        <f t="shared" ref="J340:J375" si="9">+H340*I340</f>
        <v>0</v>
      </c>
      <c r="K340" s="17"/>
      <c r="L340" s="16" t="s">
        <v>18</v>
      </c>
      <c r="M340" s="16" t="s">
        <v>22</v>
      </c>
      <c r="N340" s="39" t="s">
        <v>418</v>
      </c>
    </row>
    <row r="341" spans="1:14" s="12" customFormat="1" ht="18">
      <c r="A341" s="178" t="s">
        <v>80</v>
      </c>
      <c r="B341" s="75" t="s">
        <v>1591</v>
      </c>
      <c r="C341" s="39" t="s">
        <v>17</v>
      </c>
      <c r="D341" s="236"/>
      <c r="E341" s="210"/>
      <c r="F341" s="236"/>
      <c r="G341" s="236"/>
      <c r="H341" s="40">
        <f>SUM(Tabla132112410[[#This Row],[PRIMER TRIMESTRE]:[CUARTO TRIMESTRE]])</f>
        <v>0</v>
      </c>
      <c r="I341" s="17">
        <v>196.4</v>
      </c>
      <c r="J341" s="17">
        <f t="shared" si="9"/>
        <v>0</v>
      </c>
      <c r="K341" s="17"/>
      <c r="L341" s="16" t="s">
        <v>18</v>
      </c>
      <c r="M341" s="16" t="s">
        <v>22</v>
      </c>
      <c r="N341" s="39" t="s">
        <v>418</v>
      </c>
    </row>
    <row r="342" spans="1:14" s="12" customFormat="1" ht="18">
      <c r="A342" s="178" t="s">
        <v>80</v>
      </c>
      <c r="B342" s="75" t="s">
        <v>1349</v>
      </c>
      <c r="C342" s="39" t="s">
        <v>17</v>
      </c>
      <c r="D342" s="236"/>
      <c r="E342" s="210"/>
      <c r="F342" s="236"/>
      <c r="G342" s="236"/>
      <c r="H342" s="40">
        <f>SUM(Tabla132112410[[#This Row],[PRIMER TRIMESTRE]:[CUARTO TRIMESTRE]])</f>
        <v>0</v>
      </c>
      <c r="I342" s="17">
        <v>55</v>
      </c>
      <c r="J342" s="17">
        <f t="shared" si="9"/>
        <v>0</v>
      </c>
      <c r="K342" s="17"/>
      <c r="L342" s="16" t="s">
        <v>18</v>
      </c>
      <c r="M342" s="16" t="s">
        <v>22</v>
      </c>
      <c r="N342" s="39" t="s">
        <v>418</v>
      </c>
    </row>
    <row r="343" spans="1:14" s="12" customFormat="1" ht="18">
      <c r="A343" s="178" t="s">
        <v>80</v>
      </c>
      <c r="B343" s="75" t="s">
        <v>1711</v>
      </c>
      <c r="C343" s="39" t="s">
        <v>17</v>
      </c>
      <c r="D343" s="236"/>
      <c r="E343" s="210"/>
      <c r="F343" s="236"/>
      <c r="G343" s="236"/>
      <c r="H343" s="40">
        <v>0</v>
      </c>
      <c r="I343" s="17">
        <v>0</v>
      </c>
      <c r="J343" s="17">
        <v>0</v>
      </c>
      <c r="K343" s="17"/>
      <c r="L343" s="16" t="s">
        <v>18</v>
      </c>
      <c r="M343" s="16" t="s">
        <v>22</v>
      </c>
      <c r="N343" s="39" t="s">
        <v>418</v>
      </c>
    </row>
    <row r="344" spans="1:14" s="12" customFormat="1" ht="18">
      <c r="A344" s="178" t="s">
        <v>80</v>
      </c>
      <c r="B344" s="75" t="s">
        <v>1563</v>
      </c>
      <c r="C344" s="39" t="s">
        <v>17</v>
      </c>
      <c r="D344" s="236"/>
      <c r="E344" s="236"/>
      <c r="F344" s="236"/>
      <c r="G344" s="236"/>
      <c r="H344" s="236">
        <f>SUM(Tabla132112410[[#This Row],[PRIMER TRIMESTRE]:[CUARTO TRIMESTRE]])</f>
        <v>0</v>
      </c>
      <c r="I344" s="17">
        <v>108.41</v>
      </c>
      <c r="J344" s="17">
        <f t="shared" si="9"/>
        <v>0</v>
      </c>
      <c r="K344" s="17"/>
      <c r="L344" s="16" t="s">
        <v>18</v>
      </c>
      <c r="M344" s="16" t="s">
        <v>22</v>
      </c>
      <c r="N344" s="39" t="s">
        <v>418</v>
      </c>
    </row>
    <row r="345" spans="1:14" s="12" customFormat="1" ht="18">
      <c r="A345" s="178" t="s">
        <v>80</v>
      </c>
      <c r="B345" s="75" t="s">
        <v>1562</v>
      </c>
      <c r="C345" s="39" t="s">
        <v>17</v>
      </c>
      <c r="D345" s="236"/>
      <c r="E345" s="236"/>
      <c r="F345" s="236"/>
      <c r="G345" s="236"/>
      <c r="H345" s="236">
        <f>SUM(Tabla132112410[[#This Row],[PRIMER TRIMESTRE]:[CUARTO TRIMESTRE]])</f>
        <v>0</v>
      </c>
      <c r="I345" s="17">
        <v>23.1</v>
      </c>
      <c r="J345" s="17">
        <f t="shared" si="9"/>
        <v>0</v>
      </c>
      <c r="K345" s="17"/>
      <c r="L345" s="16" t="s">
        <v>18</v>
      </c>
      <c r="M345" s="16" t="s">
        <v>22</v>
      </c>
      <c r="N345" s="39" t="s">
        <v>418</v>
      </c>
    </row>
    <row r="346" spans="1:14" s="12" customFormat="1" ht="18">
      <c r="A346" s="178" t="s">
        <v>80</v>
      </c>
      <c r="B346" s="75" t="s">
        <v>1350</v>
      </c>
      <c r="C346" s="39" t="s">
        <v>17</v>
      </c>
      <c r="D346" s="236"/>
      <c r="E346" s="210"/>
      <c r="F346" s="236"/>
      <c r="G346" s="236"/>
      <c r="H346" s="40">
        <f>SUM(Tabla132112410[[#This Row],[PRIMER TRIMESTRE]:[CUARTO TRIMESTRE]])</f>
        <v>0</v>
      </c>
      <c r="I346" s="17">
        <v>210</v>
      </c>
      <c r="J346" s="17">
        <f t="shared" si="9"/>
        <v>0</v>
      </c>
      <c r="K346" s="17"/>
      <c r="L346" s="16" t="s">
        <v>18</v>
      </c>
      <c r="M346" s="16" t="s">
        <v>22</v>
      </c>
      <c r="N346" s="39" t="s">
        <v>418</v>
      </c>
    </row>
    <row r="347" spans="1:14" s="12" customFormat="1" ht="18">
      <c r="A347" s="178" t="s">
        <v>80</v>
      </c>
      <c r="B347" s="75" t="s">
        <v>644</v>
      </c>
      <c r="C347" s="39" t="s">
        <v>17</v>
      </c>
      <c r="D347" s="236"/>
      <c r="E347" s="236"/>
      <c r="F347" s="236"/>
      <c r="G347" s="240"/>
      <c r="H347" s="40">
        <f>SUM(Tabla132112410[[#This Row],[PRIMER TRIMESTRE]:[CUARTO TRIMESTRE]])</f>
        <v>0</v>
      </c>
      <c r="I347" s="17">
        <v>731.35</v>
      </c>
      <c r="J347" s="17">
        <f t="shared" si="9"/>
        <v>0</v>
      </c>
      <c r="K347" s="17"/>
      <c r="L347" s="16" t="s">
        <v>18</v>
      </c>
      <c r="M347" s="16" t="s">
        <v>22</v>
      </c>
      <c r="N347" s="39" t="s">
        <v>418</v>
      </c>
    </row>
    <row r="348" spans="1:14" s="12" customFormat="1" ht="18">
      <c r="A348" s="178" t="s">
        <v>80</v>
      </c>
      <c r="B348" s="75" t="s">
        <v>645</v>
      </c>
      <c r="C348" s="39" t="s">
        <v>17</v>
      </c>
      <c r="D348" s="236"/>
      <c r="E348" s="236"/>
      <c r="F348" s="236"/>
      <c r="G348" s="240"/>
      <c r="H348" s="40">
        <f>SUM(Tabla132112410[[#This Row],[PRIMER TRIMESTRE]:[CUARTO TRIMESTRE]])</f>
        <v>0</v>
      </c>
      <c r="I348" s="17">
        <v>1013.28</v>
      </c>
      <c r="J348" s="17">
        <f t="shared" si="9"/>
        <v>0</v>
      </c>
      <c r="K348" s="17"/>
      <c r="L348" s="16" t="s">
        <v>18</v>
      </c>
      <c r="M348" s="16" t="s">
        <v>22</v>
      </c>
      <c r="N348" s="39" t="s">
        <v>418</v>
      </c>
    </row>
    <row r="349" spans="1:14" s="12" customFormat="1" ht="18">
      <c r="A349" s="178" t="s">
        <v>80</v>
      </c>
      <c r="B349" s="75" t="s">
        <v>646</v>
      </c>
      <c r="C349" s="39" t="s">
        <v>17</v>
      </c>
      <c r="D349" s="236"/>
      <c r="E349" s="236"/>
      <c r="F349" s="236"/>
      <c r="G349" s="240"/>
      <c r="H349" s="40">
        <f>SUM(Tabla132112410[[#This Row],[PRIMER TRIMESTRE]:[CUARTO TRIMESTRE]])</f>
        <v>0</v>
      </c>
      <c r="I349" s="17">
        <v>1196.97</v>
      </c>
      <c r="J349" s="17">
        <f t="shared" si="9"/>
        <v>0</v>
      </c>
      <c r="K349" s="17"/>
      <c r="L349" s="16" t="s">
        <v>18</v>
      </c>
      <c r="M349" s="16" t="s">
        <v>22</v>
      </c>
      <c r="N349" s="39" t="s">
        <v>418</v>
      </c>
    </row>
    <row r="350" spans="1:14" s="12" customFormat="1" ht="18">
      <c r="A350" s="178" t="s">
        <v>80</v>
      </c>
      <c r="B350" s="75" t="s">
        <v>647</v>
      </c>
      <c r="C350" s="39" t="s">
        <v>17</v>
      </c>
      <c r="D350" s="236"/>
      <c r="E350" s="236"/>
      <c r="F350" s="236"/>
      <c r="G350" s="240"/>
      <c r="H350" s="40">
        <f>SUM(Tabla132112410[[#This Row],[PRIMER TRIMESTRE]:[CUARTO TRIMESTRE]])</f>
        <v>0</v>
      </c>
      <c r="I350" s="17">
        <v>1882.41</v>
      </c>
      <c r="J350" s="17">
        <f t="shared" si="9"/>
        <v>0</v>
      </c>
      <c r="K350" s="17"/>
      <c r="L350" s="16" t="s">
        <v>18</v>
      </c>
      <c r="M350" s="16" t="s">
        <v>22</v>
      </c>
      <c r="N350" s="39" t="s">
        <v>418</v>
      </c>
    </row>
    <row r="351" spans="1:14" s="12" customFormat="1" ht="18">
      <c r="A351" s="178" t="s">
        <v>80</v>
      </c>
      <c r="B351" s="75" t="s">
        <v>648</v>
      </c>
      <c r="C351" s="39" t="s">
        <v>17</v>
      </c>
      <c r="D351" s="236"/>
      <c r="E351" s="236"/>
      <c r="F351" s="236"/>
      <c r="G351" s="240"/>
      <c r="H351" s="40">
        <f>SUM(Tabla132112410[[#This Row],[PRIMER TRIMESTRE]:[CUARTO TRIMESTRE]])</f>
        <v>0</v>
      </c>
      <c r="I351" s="17">
        <v>2110.4699999999998</v>
      </c>
      <c r="J351" s="17">
        <f t="shared" si="9"/>
        <v>0</v>
      </c>
      <c r="K351" s="17"/>
      <c r="L351" s="16" t="s">
        <v>18</v>
      </c>
      <c r="M351" s="16" t="s">
        <v>22</v>
      </c>
      <c r="N351" s="39" t="s">
        <v>418</v>
      </c>
    </row>
    <row r="352" spans="1:14" s="12" customFormat="1" ht="18">
      <c r="A352" s="178" t="s">
        <v>80</v>
      </c>
      <c r="B352" s="75" t="s">
        <v>649</v>
      </c>
      <c r="C352" s="39" t="s">
        <v>17</v>
      </c>
      <c r="D352" s="236"/>
      <c r="E352" s="236"/>
      <c r="F352" s="236"/>
      <c r="G352" s="240"/>
      <c r="H352" s="40">
        <f>SUM(Tabla132112410[[#This Row],[PRIMER TRIMESTRE]:[CUARTO TRIMESTRE]])</f>
        <v>0</v>
      </c>
      <c r="I352" s="17">
        <v>2920.5</v>
      </c>
      <c r="J352" s="17">
        <f t="shared" si="9"/>
        <v>0</v>
      </c>
      <c r="K352" s="17"/>
      <c r="L352" s="16" t="s">
        <v>18</v>
      </c>
      <c r="M352" s="16" t="s">
        <v>22</v>
      </c>
      <c r="N352" s="39" t="s">
        <v>418</v>
      </c>
    </row>
    <row r="353" spans="1:14" s="12" customFormat="1" ht="18">
      <c r="A353" s="178" t="s">
        <v>80</v>
      </c>
      <c r="B353" s="75" t="s">
        <v>650</v>
      </c>
      <c r="C353" s="39" t="s">
        <v>17</v>
      </c>
      <c r="D353" s="236"/>
      <c r="E353" s="236"/>
      <c r="F353" s="236"/>
      <c r="G353" s="240"/>
      <c r="H353" s="40">
        <f>SUM(Tabla132112410[[#This Row],[PRIMER TRIMESTRE]:[CUARTO TRIMESTRE]])</f>
        <v>0</v>
      </c>
      <c r="I353" s="17">
        <v>2919.76</v>
      </c>
      <c r="J353" s="17">
        <f t="shared" si="9"/>
        <v>0</v>
      </c>
      <c r="K353" s="17"/>
      <c r="L353" s="16" t="s">
        <v>18</v>
      </c>
      <c r="M353" s="16" t="s">
        <v>22</v>
      </c>
      <c r="N353" s="39" t="s">
        <v>418</v>
      </c>
    </row>
    <row r="354" spans="1:14" s="12" customFormat="1" ht="18">
      <c r="A354" s="178" t="s">
        <v>80</v>
      </c>
      <c r="B354" s="75" t="s">
        <v>651</v>
      </c>
      <c r="C354" s="39" t="s">
        <v>17</v>
      </c>
      <c r="D354" s="236"/>
      <c r="E354" s="236"/>
      <c r="F354" s="236"/>
      <c r="G354" s="240"/>
      <c r="H354" s="40">
        <f>SUM(Tabla132112410[[#This Row],[PRIMER TRIMESTRE]:[CUARTO TRIMESTRE]])</f>
        <v>0</v>
      </c>
      <c r="I354" s="17">
        <v>5347.76</v>
      </c>
      <c r="J354" s="17">
        <f t="shared" si="9"/>
        <v>0</v>
      </c>
      <c r="K354" s="17"/>
      <c r="L354" s="16" t="s">
        <v>18</v>
      </c>
      <c r="M354" s="16" t="s">
        <v>22</v>
      </c>
      <c r="N354" s="39" t="s">
        <v>418</v>
      </c>
    </row>
    <row r="355" spans="1:14" s="12" customFormat="1" ht="18">
      <c r="A355" s="178" t="s">
        <v>80</v>
      </c>
      <c r="B355" s="75" t="s">
        <v>652</v>
      </c>
      <c r="C355" s="39" t="s">
        <v>17</v>
      </c>
      <c r="D355" s="236"/>
      <c r="E355" s="236"/>
      <c r="F355" s="236"/>
      <c r="G355" s="240"/>
      <c r="H355" s="40">
        <f>SUM(Tabla132112410[[#This Row],[PRIMER TRIMESTRE]:[CUARTO TRIMESTRE]])</f>
        <v>0</v>
      </c>
      <c r="I355" s="17">
        <v>9696.06</v>
      </c>
      <c r="J355" s="17">
        <f t="shared" si="9"/>
        <v>0</v>
      </c>
      <c r="K355" s="17"/>
      <c r="L355" s="16" t="s">
        <v>18</v>
      </c>
      <c r="M355" s="16" t="s">
        <v>22</v>
      </c>
      <c r="N355" s="39" t="s">
        <v>418</v>
      </c>
    </row>
    <row r="356" spans="1:14" s="12" customFormat="1" ht="18">
      <c r="A356" s="178" t="s">
        <v>80</v>
      </c>
      <c r="B356" s="75" t="s">
        <v>653</v>
      </c>
      <c r="C356" s="39" t="s">
        <v>17</v>
      </c>
      <c r="D356" s="236"/>
      <c r="E356" s="236"/>
      <c r="F356" s="236"/>
      <c r="G356" s="240"/>
      <c r="H356" s="40">
        <f>SUM(Tabla132112410[[#This Row],[PRIMER TRIMESTRE]:[CUARTO TRIMESTRE]])</f>
        <v>0</v>
      </c>
      <c r="I356" s="17">
        <v>13263.2</v>
      </c>
      <c r="J356" s="17">
        <f t="shared" si="9"/>
        <v>0</v>
      </c>
      <c r="K356" s="17"/>
      <c r="L356" s="16" t="s">
        <v>18</v>
      </c>
      <c r="M356" s="16" t="s">
        <v>22</v>
      </c>
      <c r="N356" s="39" t="s">
        <v>418</v>
      </c>
    </row>
    <row r="357" spans="1:14" s="12" customFormat="1" ht="25.5">
      <c r="A357" s="178" t="s">
        <v>80</v>
      </c>
      <c r="B357" s="75" t="s">
        <v>351</v>
      </c>
      <c r="C357" s="39" t="s">
        <v>17</v>
      </c>
      <c r="D357" s="236"/>
      <c r="E357" s="236"/>
      <c r="F357" s="236"/>
      <c r="G357" s="240"/>
      <c r="H357" s="40">
        <f>SUM(Tabla132112410[[#This Row],[PRIMER TRIMESTRE]:[CUARTO TRIMESTRE]])</f>
        <v>0</v>
      </c>
      <c r="I357" s="17">
        <v>1800</v>
      </c>
      <c r="J357" s="17">
        <f t="shared" si="9"/>
        <v>0</v>
      </c>
      <c r="K357" s="17"/>
      <c r="L357" s="16" t="s">
        <v>18</v>
      </c>
      <c r="M357" s="16" t="s">
        <v>22</v>
      </c>
      <c r="N357" s="39" t="s">
        <v>418</v>
      </c>
    </row>
    <row r="358" spans="1:14" s="12" customFormat="1" ht="25.5">
      <c r="A358" s="178" t="s">
        <v>80</v>
      </c>
      <c r="B358" s="75" t="s">
        <v>352</v>
      </c>
      <c r="C358" s="39" t="s">
        <v>17</v>
      </c>
      <c r="D358" s="236"/>
      <c r="E358" s="236"/>
      <c r="F358" s="236"/>
      <c r="G358" s="240"/>
      <c r="H358" s="40">
        <f>SUM(Tabla132112410[[#This Row],[PRIMER TRIMESTRE]:[CUARTO TRIMESTRE]])</f>
        <v>0</v>
      </c>
      <c r="I358" s="17">
        <v>2000</v>
      </c>
      <c r="J358" s="17">
        <f t="shared" si="9"/>
        <v>0</v>
      </c>
      <c r="K358" s="17"/>
      <c r="L358" s="16" t="s">
        <v>18</v>
      </c>
      <c r="M358" s="16" t="s">
        <v>22</v>
      </c>
      <c r="N358" s="39" t="s">
        <v>418</v>
      </c>
    </row>
    <row r="359" spans="1:14" s="12" customFormat="1" ht="25.5">
      <c r="A359" s="178" t="s">
        <v>80</v>
      </c>
      <c r="B359" s="75" t="s">
        <v>345</v>
      </c>
      <c r="C359" s="39" t="s">
        <v>17</v>
      </c>
      <c r="D359" s="236"/>
      <c r="E359" s="236"/>
      <c r="F359" s="236"/>
      <c r="G359" s="240"/>
      <c r="H359" s="40">
        <f>SUM(Tabla132112410[[#This Row],[PRIMER TRIMESTRE]:[CUARTO TRIMESTRE]])</f>
        <v>0</v>
      </c>
      <c r="I359" s="17">
        <v>2500</v>
      </c>
      <c r="J359" s="17">
        <f t="shared" si="9"/>
        <v>0</v>
      </c>
      <c r="K359" s="17"/>
      <c r="L359" s="16" t="s">
        <v>18</v>
      </c>
      <c r="M359" s="16" t="s">
        <v>22</v>
      </c>
      <c r="N359" s="39" t="s">
        <v>418</v>
      </c>
    </row>
    <row r="360" spans="1:14" s="12" customFormat="1" ht="25.5">
      <c r="A360" s="178" t="s">
        <v>80</v>
      </c>
      <c r="B360" s="75" t="s">
        <v>346</v>
      </c>
      <c r="C360" s="39" t="s">
        <v>17</v>
      </c>
      <c r="D360" s="236"/>
      <c r="E360" s="236"/>
      <c r="F360" s="236"/>
      <c r="G360" s="240"/>
      <c r="H360" s="40">
        <f>SUM(Tabla132112410[[#This Row],[PRIMER TRIMESTRE]:[CUARTO TRIMESTRE]])</f>
        <v>0</v>
      </c>
      <c r="I360" s="17">
        <v>3100</v>
      </c>
      <c r="J360" s="17">
        <f t="shared" si="9"/>
        <v>0</v>
      </c>
      <c r="K360" s="17"/>
      <c r="L360" s="16" t="s">
        <v>18</v>
      </c>
      <c r="M360" s="16" t="s">
        <v>22</v>
      </c>
      <c r="N360" s="39" t="s">
        <v>418</v>
      </c>
    </row>
    <row r="361" spans="1:14" s="12" customFormat="1" ht="25.5">
      <c r="A361" s="178" t="s">
        <v>80</v>
      </c>
      <c r="B361" s="75" t="s">
        <v>347</v>
      </c>
      <c r="C361" s="39" t="s">
        <v>17</v>
      </c>
      <c r="D361" s="236"/>
      <c r="E361" s="236"/>
      <c r="F361" s="236"/>
      <c r="G361" s="240"/>
      <c r="H361" s="40">
        <f>SUM(Tabla132112410[[#This Row],[PRIMER TRIMESTRE]:[CUARTO TRIMESTRE]])</f>
        <v>0</v>
      </c>
      <c r="I361" s="17">
        <v>4100</v>
      </c>
      <c r="J361" s="17">
        <f t="shared" si="9"/>
        <v>0</v>
      </c>
      <c r="K361" s="17"/>
      <c r="L361" s="16" t="s">
        <v>18</v>
      </c>
      <c r="M361" s="16" t="s">
        <v>22</v>
      </c>
      <c r="N361" s="39" t="s">
        <v>418</v>
      </c>
    </row>
    <row r="362" spans="1:14" s="12" customFormat="1" ht="25.5">
      <c r="A362" s="178" t="s">
        <v>80</v>
      </c>
      <c r="B362" s="75" t="s">
        <v>1213</v>
      </c>
      <c r="C362" s="39" t="s">
        <v>17</v>
      </c>
      <c r="D362" s="236"/>
      <c r="E362" s="236"/>
      <c r="F362" s="236"/>
      <c r="G362" s="240"/>
      <c r="H362" s="40">
        <f>SUM(Tabla132112410[[#This Row],[PRIMER TRIMESTRE]:[CUARTO TRIMESTRE]])</f>
        <v>0</v>
      </c>
      <c r="I362" s="17">
        <v>8660</v>
      </c>
      <c r="J362" s="17">
        <f t="shared" si="9"/>
        <v>0</v>
      </c>
      <c r="K362" s="17"/>
      <c r="L362" s="16" t="s">
        <v>18</v>
      </c>
      <c r="M362" s="16" t="s">
        <v>22</v>
      </c>
      <c r="N362" s="39" t="s">
        <v>418</v>
      </c>
    </row>
    <row r="363" spans="1:14" s="12" customFormat="1" ht="25.5">
      <c r="A363" s="178" t="s">
        <v>80</v>
      </c>
      <c r="B363" s="75" t="s">
        <v>359</v>
      </c>
      <c r="C363" s="39" t="s">
        <v>17</v>
      </c>
      <c r="D363" s="236"/>
      <c r="E363" s="236"/>
      <c r="F363" s="236"/>
      <c r="G363" s="240"/>
      <c r="H363" s="40">
        <f>SUM(Tabla132112410[[#This Row],[PRIMER TRIMESTRE]:[CUARTO TRIMESTRE]])</f>
        <v>0</v>
      </c>
      <c r="I363" s="17">
        <v>1800</v>
      </c>
      <c r="J363" s="17">
        <f t="shared" si="9"/>
        <v>0</v>
      </c>
      <c r="K363" s="17"/>
      <c r="L363" s="16" t="s">
        <v>18</v>
      </c>
      <c r="M363" s="16" t="s">
        <v>22</v>
      </c>
      <c r="N363" s="39" t="s">
        <v>418</v>
      </c>
    </row>
    <row r="364" spans="1:14" s="12" customFormat="1" ht="25.5">
      <c r="A364" s="178" t="s">
        <v>80</v>
      </c>
      <c r="B364" s="75" t="s">
        <v>360</v>
      </c>
      <c r="C364" s="39" t="s">
        <v>17</v>
      </c>
      <c r="D364" s="236"/>
      <c r="E364" s="236"/>
      <c r="F364" s="236"/>
      <c r="G364" s="240"/>
      <c r="H364" s="40">
        <f>SUM(Tabla132112410[[#This Row],[PRIMER TRIMESTRE]:[CUARTO TRIMESTRE]])</f>
        <v>0</v>
      </c>
      <c r="I364" s="17">
        <v>2000</v>
      </c>
      <c r="J364" s="17">
        <f t="shared" si="9"/>
        <v>0</v>
      </c>
      <c r="K364" s="17"/>
      <c r="L364" s="16" t="s">
        <v>18</v>
      </c>
      <c r="M364" s="16" t="s">
        <v>22</v>
      </c>
      <c r="N364" s="39" t="s">
        <v>418</v>
      </c>
    </row>
    <row r="365" spans="1:14" s="12" customFormat="1" ht="25.5">
      <c r="A365" s="178" t="s">
        <v>80</v>
      </c>
      <c r="B365" s="75" t="s">
        <v>353</v>
      </c>
      <c r="C365" s="39" t="s">
        <v>17</v>
      </c>
      <c r="D365" s="236"/>
      <c r="E365" s="236"/>
      <c r="F365" s="236"/>
      <c r="G365" s="240"/>
      <c r="H365" s="40">
        <f>SUM(Tabla132112410[[#This Row],[PRIMER TRIMESTRE]:[CUARTO TRIMESTRE]])</f>
        <v>0</v>
      </c>
      <c r="I365" s="17">
        <v>2500</v>
      </c>
      <c r="J365" s="17">
        <f t="shared" si="9"/>
        <v>0</v>
      </c>
      <c r="K365" s="17"/>
      <c r="L365" s="16" t="s">
        <v>18</v>
      </c>
      <c r="M365" s="16" t="s">
        <v>22</v>
      </c>
      <c r="N365" s="39" t="s">
        <v>418</v>
      </c>
    </row>
    <row r="366" spans="1:14" s="12" customFormat="1" ht="25.5">
      <c r="A366" s="178" t="s">
        <v>80</v>
      </c>
      <c r="B366" s="75" t="s">
        <v>354</v>
      </c>
      <c r="C366" s="39" t="s">
        <v>17</v>
      </c>
      <c r="D366" s="236"/>
      <c r="E366" s="236"/>
      <c r="F366" s="236"/>
      <c r="G366" s="240"/>
      <c r="H366" s="40">
        <f>SUM(Tabla132112410[[#This Row],[PRIMER TRIMESTRE]:[CUARTO TRIMESTRE]])</f>
        <v>0</v>
      </c>
      <c r="I366" s="17">
        <v>8502.7999999999993</v>
      </c>
      <c r="J366" s="17">
        <f t="shared" si="9"/>
        <v>0</v>
      </c>
      <c r="K366" s="17"/>
      <c r="L366" s="16" t="s">
        <v>18</v>
      </c>
      <c r="M366" s="16" t="s">
        <v>22</v>
      </c>
      <c r="N366" s="39" t="s">
        <v>418</v>
      </c>
    </row>
    <row r="367" spans="1:14" s="12" customFormat="1" ht="25.5">
      <c r="A367" s="178" t="s">
        <v>80</v>
      </c>
      <c r="B367" s="75" t="s">
        <v>355</v>
      </c>
      <c r="C367" s="39" t="s">
        <v>17</v>
      </c>
      <c r="D367" s="236"/>
      <c r="E367" s="236"/>
      <c r="F367" s="236"/>
      <c r="G367" s="240"/>
      <c r="H367" s="40">
        <f>SUM(Tabla132112410[[#This Row],[PRIMER TRIMESTRE]:[CUARTO TRIMESTRE]])</f>
        <v>0</v>
      </c>
      <c r="I367" s="17">
        <v>12180</v>
      </c>
      <c r="J367" s="17">
        <f t="shared" si="9"/>
        <v>0</v>
      </c>
      <c r="K367" s="17"/>
      <c r="L367" s="16" t="s">
        <v>18</v>
      </c>
      <c r="M367" s="16" t="s">
        <v>22</v>
      </c>
      <c r="N367" s="39" t="s">
        <v>418</v>
      </c>
    </row>
    <row r="368" spans="1:14" s="12" customFormat="1" ht="25.5">
      <c r="A368" s="178" t="s">
        <v>80</v>
      </c>
      <c r="B368" s="75" t="s">
        <v>1214</v>
      </c>
      <c r="C368" s="39" t="s">
        <v>17</v>
      </c>
      <c r="D368" s="236"/>
      <c r="E368" s="236"/>
      <c r="F368" s="236"/>
      <c r="G368" s="240"/>
      <c r="H368" s="40">
        <f>SUM(Tabla132112410[[#This Row],[PRIMER TRIMESTRE]:[CUARTO TRIMESTRE]])</f>
        <v>0</v>
      </c>
      <c r="I368" s="17">
        <v>12180</v>
      </c>
      <c r="J368" s="17">
        <f t="shared" si="9"/>
        <v>0</v>
      </c>
      <c r="K368" s="17"/>
      <c r="L368" s="16" t="s">
        <v>18</v>
      </c>
      <c r="M368" s="16" t="s">
        <v>22</v>
      </c>
      <c r="N368" s="39" t="s">
        <v>418</v>
      </c>
    </row>
    <row r="369" spans="1:14" s="12" customFormat="1" ht="25.5">
      <c r="A369" s="178" t="s">
        <v>80</v>
      </c>
      <c r="B369" s="75" t="s">
        <v>366</v>
      </c>
      <c r="C369" s="39" t="s">
        <v>17</v>
      </c>
      <c r="D369" s="236"/>
      <c r="E369" s="236"/>
      <c r="F369" s="236"/>
      <c r="G369" s="240"/>
      <c r="H369" s="40">
        <f>SUM(Tabla132112410[[#This Row],[PRIMER TRIMESTRE]:[CUARTO TRIMESTRE]])</f>
        <v>0</v>
      </c>
      <c r="I369" s="17">
        <v>1800</v>
      </c>
      <c r="J369" s="17">
        <f t="shared" si="9"/>
        <v>0</v>
      </c>
      <c r="K369" s="17"/>
      <c r="L369" s="16" t="s">
        <v>18</v>
      </c>
      <c r="M369" s="16" t="s">
        <v>22</v>
      </c>
      <c r="N369" s="39" t="s">
        <v>418</v>
      </c>
    </row>
    <row r="370" spans="1:14" s="12" customFormat="1" ht="25.5">
      <c r="A370" s="178" t="s">
        <v>80</v>
      </c>
      <c r="B370" s="75" t="s">
        <v>367</v>
      </c>
      <c r="C370" s="39" t="s">
        <v>17</v>
      </c>
      <c r="D370" s="236"/>
      <c r="E370" s="236"/>
      <c r="F370" s="236"/>
      <c r="G370" s="240"/>
      <c r="H370" s="40">
        <f>SUM(Tabla132112410[[#This Row],[PRIMER TRIMESTRE]:[CUARTO TRIMESTRE]])</f>
        <v>0</v>
      </c>
      <c r="I370" s="17">
        <v>2000</v>
      </c>
      <c r="J370" s="17">
        <f t="shared" si="9"/>
        <v>0</v>
      </c>
      <c r="K370" s="17"/>
      <c r="L370" s="16" t="s">
        <v>18</v>
      </c>
      <c r="M370" s="16" t="s">
        <v>22</v>
      </c>
      <c r="N370" s="39" t="s">
        <v>418</v>
      </c>
    </row>
    <row r="371" spans="1:14" s="12" customFormat="1" ht="25.5">
      <c r="A371" s="178" t="s">
        <v>80</v>
      </c>
      <c r="B371" s="75" t="s">
        <v>361</v>
      </c>
      <c r="C371" s="39" t="s">
        <v>17</v>
      </c>
      <c r="D371" s="236"/>
      <c r="E371" s="236"/>
      <c r="F371" s="236"/>
      <c r="G371" s="240"/>
      <c r="H371" s="40">
        <f>SUM(Tabla132112410[[#This Row],[PRIMER TRIMESTRE]:[CUARTO TRIMESTRE]])</f>
        <v>0</v>
      </c>
      <c r="I371" s="17">
        <v>2500</v>
      </c>
      <c r="J371" s="17">
        <f t="shared" si="9"/>
        <v>0</v>
      </c>
      <c r="K371" s="17"/>
      <c r="L371" s="16" t="s">
        <v>18</v>
      </c>
      <c r="M371" s="16" t="s">
        <v>22</v>
      </c>
      <c r="N371" s="39" t="s">
        <v>418</v>
      </c>
    </row>
    <row r="372" spans="1:14" s="12" customFormat="1" ht="25.5">
      <c r="A372" s="178" t="s">
        <v>80</v>
      </c>
      <c r="B372" s="75" t="s">
        <v>362</v>
      </c>
      <c r="C372" s="39" t="s">
        <v>17</v>
      </c>
      <c r="D372" s="236"/>
      <c r="E372" s="236"/>
      <c r="F372" s="236"/>
      <c r="G372" s="240"/>
      <c r="H372" s="40">
        <f>SUM(Tabla132112410[[#This Row],[PRIMER TRIMESTRE]:[CUARTO TRIMESTRE]])</f>
        <v>0</v>
      </c>
      <c r="I372" s="17">
        <v>3100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</row>
    <row r="373" spans="1:14" s="12" customFormat="1" ht="18">
      <c r="A373" s="178" t="s">
        <v>80</v>
      </c>
      <c r="B373" s="75" t="s">
        <v>1439</v>
      </c>
      <c r="C373" s="39" t="s">
        <v>17</v>
      </c>
      <c r="D373" s="236"/>
      <c r="E373" s="236"/>
      <c r="F373" s="236"/>
      <c r="G373" s="240"/>
      <c r="H373" s="40">
        <f>SUM(Tabla132112410[[#This Row],[PRIMER TRIMESTRE]:[CUARTO TRIMESTRE]])</f>
        <v>0</v>
      </c>
      <c r="I373" s="17">
        <v>4100</v>
      </c>
      <c r="J373" s="17">
        <f t="shared" si="9"/>
        <v>0</v>
      </c>
      <c r="K373" s="17"/>
      <c r="L373" s="16" t="s">
        <v>18</v>
      </c>
      <c r="M373" s="16" t="s">
        <v>22</v>
      </c>
      <c r="N373" s="39" t="s">
        <v>418</v>
      </c>
    </row>
    <row r="374" spans="1:14" s="12" customFormat="1" ht="18">
      <c r="A374" s="178" t="s">
        <v>80</v>
      </c>
      <c r="B374" s="75" t="s">
        <v>920</v>
      </c>
      <c r="C374" s="39" t="s">
        <v>17</v>
      </c>
      <c r="D374" s="236"/>
      <c r="E374" s="236"/>
      <c r="F374" s="236"/>
      <c r="G374" s="240"/>
      <c r="H374" s="40">
        <f>SUM(Tabla132112410[[#This Row],[PRIMER TRIMESTRE]:[CUARTO TRIMESTRE]])</f>
        <v>0</v>
      </c>
      <c r="I374" s="17">
        <v>140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</row>
    <row r="375" spans="1:14" s="12" customFormat="1" ht="18">
      <c r="A375" s="178" t="s">
        <v>80</v>
      </c>
      <c r="B375" s="75" t="s">
        <v>1578</v>
      </c>
      <c r="C375" s="39" t="s">
        <v>17</v>
      </c>
      <c r="D375" s="236"/>
      <c r="E375" s="236"/>
      <c r="F375" s="236"/>
      <c r="G375" s="236"/>
      <c r="H375" s="236">
        <f>SUM(Tabla132112410[[#This Row],[PRIMER TRIMESTRE]:[CUARTO TRIMESTRE]])</f>
        <v>0</v>
      </c>
      <c r="I375" s="17">
        <v>397.8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</row>
    <row r="376" spans="1:14" s="12" customFormat="1" ht="18">
      <c r="A376" s="178" t="s">
        <v>80</v>
      </c>
      <c r="B376" s="75" t="s">
        <v>154</v>
      </c>
      <c r="C376" s="39" t="s">
        <v>470</v>
      </c>
      <c r="D376" s="236"/>
      <c r="E376" s="236"/>
      <c r="F376" s="236"/>
      <c r="G376" s="236"/>
      <c r="H376" s="40">
        <f>SUM(Tabla132112410[[#This Row],[PRIMER TRIMESTRE]:[CUARTO TRIMESTRE]])</f>
        <v>0</v>
      </c>
      <c r="I376" s="17">
        <v>100</v>
      </c>
      <c r="J376" s="17">
        <f>+Tabla132112410[[#This Row],[CANTIDAD TOTAL]]*Tabla132112410[[#This Row],[PRECIO UNITARIO ESTIMADO]]</f>
        <v>0</v>
      </c>
      <c r="K376" s="17"/>
      <c r="L376" s="16" t="s">
        <v>18</v>
      </c>
      <c r="M376" s="16" t="s">
        <v>22</v>
      </c>
      <c r="N376" s="39" t="s">
        <v>418</v>
      </c>
    </row>
    <row r="377" spans="1:14" s="12" customFormat="1" ht="18">
      <c r="A377" s="178" t="s">
        <v>80</v>
      </c>
      <c r="B377" s="75" t="s">
        <v>177</v>
      </c>
      <c r="C377" s="39" t="s">
        <v>93</v>
      </c>
      <c r="D377" s="236"/>
      <c r="E377" s="236"/>
      <c r="F377" s="236"/>
      <c r="G377" s="236"/>
      <c r="H377" s="40">
        <f>SUM(Tabla132112410[[#This Row],[PRIMER TRIMESTRE]:[CUARTO TRIMESTRE]])</f>
        <v>0</v>
      </c>
      <c r="I377" s="17">
        <v>226.78</v>
      </c>
      <c r="J377" s="17">
        <f>+Tabla132112410[[#This Row],[CANTIDAD TOTAL]]*Tabla132112410[[#This Row],[PRECIO UNITARIO ESTIMADO]]</f>
        <v>0</v>
      </c>
      <c r="K377" s="17"/>
      <c r="L377" s="16" t="s">
        <v>18</v>
      </c>
      <c r="M377" s="16" t="s">
        <v>22</v>
      </c>
      <c r="N377" s="39" t="s">
        <v>418</v>
      </c>
    </row>
    <row r="378" spans="1:14" s="12" customFormat="1" ht="18">
      <c r="A378" s="178" t="s">
        <v>80</v>
      </c>
      <c r="B378" s="75" t="s">
        <v>460</v>
      </c>
      <c r="C378" s="39" t="s">
        <v>93</v>
      </c>
      <c r="D378" s="236"/>
      <c r="E378" s="236"/>
      <c r="F378" s="236"/>
      <c r="G378" s="236"/>
      <c r="H378" s="40">
        <f>SUM(Tabla132112410[[#This Row],[PRIMER TRIMESTRE]:[CUARTO TRIMESTRE]])</f>
        <v>0</v>
      </c>
      <c r="I378" s="17">
        <v>2055.4</v>
      </c>
      <c r="J378" s="17">
        <f>+H378*I378</f>
        <v>0</v>
      </c>
      <c r="K378" s="17"/>
      <c r="L378" s="16" t="s">
        <v>18</v>
      </c>
      <c r="M378" s="16" t="s">
        <v>22</v>
      </c>
      <c r="N378" s="39" t="s">
        <v>418</v>
      </c>
    </row>
    <row r="379" spans="1:14" s="12" customFormat="1" ht="18">
      <c r="A379" s="178" t="s">
        <v>80</v>
      </c>
      <c r="B379" s="75" t="s">
        <v>179</v>
      </c>
      <c r="C379" s="39" t="s">
        <v>93</v>
      </c>
      <c r="D379" s="236"/>
      <c r="E379" s="236"/>
      <c r="F379" s="236"/>
      <c r="G379" s="236"/>
      <c r="H379" s="40">
        <f>SUM(Tabla132112410[[#This Row],[PRIMER TRIMESTRE]:[CUARTO TRIMESTRE]])</f>
        <v>0</v>
      </c>
      <c r="I379" s="17">
        <v>222.14</v>
      </c>
      <c r="J379" s="17">
        <f>+Tabla132112410[[#This Row],[CANTIDAD TOTAL]]*Tabla132112410[[#This Row],[PRECIO UNITARIO ESTIMADO]]</f>
        <v>0</v>
      </c>
      <c r="K379" s="17"/>
      <c r="L379" s="16" t="s">
        <v>18</v>
      </c>
      <c r="M379" s="16" t="s">
        <v>22</v>
      </c>
      <c r="N379" s="39" t="s">
        <v>418</v>
      </c>
    </row>
    <row r="380" spans="1:14" s="12" customFormat="1" ht="18">
      <c r="A380" s="178" t="s">
        <v>80</v>
      </c>
      <c r="B380" s="75" t="s">
        <v>1549</v>
      </c>
      <c r="C380" s="39" t="s">
        <v>17</v>
      </c>
      <c r="D380" s="236"/>
      <c r="E380" s="236"/>
      <c r="F380" s="236"/>
      <c r="G380" s="236"/>
      <c r="H380" s="236">
        <f>SUM(Tabla132112410[[#This Row],[PRIMER TRIMESTRE]:[CUARTO TRIMESTRE]])</f>
        <v>0</v>
      </c>
      <c r="I380" s="17">
        <v>62328</v>
      </c>
      <c r="J380" s="17">
        <f>+H380*I380</f>
        <v>0</v>
      </c>
      <c r="K380" s="17"/>
      <c r="L380" s="16" t="s">
        <v>18</v>
      </c>
      <c r="M380" s="16" t="s">
        <v>22</v>
      </c>
      <c r="N380" s="39" t="s">
        <v>418</v>
      </c>
    </row>
    <row r="381" spans="1:14" s="12" customFormat="1" ht="18">
      <c r="A381" s="178" t="s">
        <v>80</v>
      </c>
      <c r="B381" s="75" t="s">
        <v>181</v>
      </c>
      <c r="C381" s="39" t="s">
        <v>69</v>
      </c>
      <c r="D381" s="210"/>
      <c r="E381" s="210"/>
      <c r="F381" s="210"/>
      <c r="G381" s="210"/>
      <c r="H381" s="40">
        <f>SUM(Tabla132112410[[#This Row],[PRIMER TRIMESTRE]:[CUARTO TRIMESTRE]])</f>
        <v>0</v>
      </c>
      <c r="I381" s="17">
        <v>6206</v>
      </c>
      <c r="J381" s="17">
        <f>+Tabla132112410[[#This Row],[CANTIDAD TOTAL]]*Tabla132112410[[#This Row],[PRECIO UNITARIO ESTIMADO]]</f>
        <v>0</v>
      </c>
      <c r="K381" s="17"/>
      <c r="L381" s="16" t="s">
        <v>18</v>
      </c>
      <c r="M381" s="16" t="s">
        <v>22</v>
      </c>
      <c r="N381" s="39" t="s">
        <v>418</v>
      </c>
    </row>
    <row r="382" spans="1:14" s="12" customFormat="1" ht="25.5">
      <c r="A382" s="178" t="s">
        <v>80</v>
      </c>
      <c r="B382" s="75" t="s">
        <v>468</v>
      </c>
      <c r="C382" s="39" t="s">
        <v>17</v>
      </c>
      <c r="D382" s="236"/>
      <c r="E382" s="236"/>
      <c r="F382" s="236"/>
      <c r="G382" s="236"/>
      <c r="H382" s="40">
        <f>SUM(Tabla132112410[[#This Row],[PRIMER TRIMESTRE]:[CUARTO TRIMESTRE]])</f>
        <v>0</v>
      </c>
      <c r="I382" s="17">
        <v>4827</v>
      </c>
      <c r="J382" s="17">
        <f>+Tabla132112410[[#This Row],[CANTIDAD TOTAL]]*Tabla132112410[[#This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</row>
    <row r="383" spans="1:14" s="12" customFormat="1" ht="18">
      <c r="A383" s="178" t="s">
        <v>80</v>
      </c>
      <c r="B383" s="75" t="s">
        <v>1564</v>
      </c>
      <c r="C383" s="39" t="s">
        <v>17</v>
      </c>
      <c r="D383" s="236"/>
      <c r="E383" s="236"/>
      <c r="F383" s="236"/>
      <c r="G383" s="236"/>
      <c r="H383" s="236">
        <f>SUM(Tabla132112410[[#This Row],[PRIMER TRIMESTRE]:[CUARTO TRIMESTRE]])</f>
        <v>0</v>
      </c>
      <c r="I383" s="17">
        <v>72.37</v>
      </c>
      <c r="J383" s="17">
        <f>+H383*I383</f>
        <v>0</v>
      </c>
      <c r="K383" s="17"/>
      <c r="L383" s="16" t="s">
        <v>18</v>
      </c>
      <c r="M383" s="16" t="s">
        <v>22</v>
      </c>
      <c r="N383" s="39" t="s">
        <v>418</v>
      </c>
    </row>
    <row r="384" spans="1:14" s="12" customFormat="1" ht="18">
      <c r="A384" s="178" t="s">
        <v>80</v>
      </c>
      <c r="B384" s="75" t="s">
        <v>1565</v>
      </c>
      <c r="C384" s="39" t="s">
        <v>17</v>
      </c>
      <c r="D384" s="236"/>
      <c r="E384" s="236"/>
      <c r="F384" s="236"/>
      <c r="G384" s="236"/>
      <c r="H384" s="236">
        <f>SUM(Tabla132112410[[#This Row],[PRIMER TRIMESTRE]:[CUARTO TRIMESTRE]])</f>
        <v>0</v>
      </c>
      <c r="I384" s="17">
        <v>48.05</v>
      </c>
      <c r="J384" s="17">
        <f>+H384*I384</f>
        <v>0</v>
      </c>
      <c r="K384" s="17"/>
      <c r="L384" s="16" t="s">
        <v>18</v>
      </c>
      <c r="M384" s="16" t="s">
        <v>22</v>
      </c>
      <c r="N384" s="39" t="s">
        <v>418</v>
      </c>
    </row>
    <row r="385" spans="1:14" s="12" customFormat="1" ht="18">
      <c r="A385" s="178" t="s">
        <v>80</v>
      </c>
      <c r="B385" s="75" t="s">
        <v>1548</v>
      </c>
      <c r="C385" s="39" t="s">
        <v>17</v>
      </c>
      <c r="D385" s="236"/>
      <c r="E385" s="236"/>
      <c r="F385" s="236"/>
      <c r="G385" s="236"/>
      <c r="H385" s="236">
        <f>SUM(Tabla132112410[[#This Row],[PRIMER TRIMESTRE]:[CUARTO TRIMESTRE]])</f>
        <v>0</v>
      </c>
      <c r="I385" s="17">
        <v>191.1</v>
      </c>
      <c r="J385" s="17">
        <f>+H385*I385</f>
        <v>0</v>
      </c>
      <c r="K385" s="17"/>
      <c r="L385" s="16" t="s">
        <v>18</v>
      </c>
      <c r="M385" s="16" t="s">
        <v>22</v>
      </c>
      <c r="N385" s="39" t="s">
        <v>418</v>
      </c>
    </row>
    <row r="386" spans="1:14" s="12" customFormat="1" ht="18">
      <c r="A386" s="178" t="s">
        <v>80</v>
      </c>
      <c r="B386" s="75" t="s">
        <v>1619</v>
      </c>
      <c r="C386" s="39" t="s">
        <v>17</v>
      </c>
      <c r="D386" s="236"/>
      <c r="E386" s="236"/>
      <c r="F386" s="236"/>
      <c r="G386" s="236"/>
      <c r="H386" s="236">
        <f>SUM(Tabla132112410[[#This Row],[PRIMER TRIMESTRE]:[CUARTO TRIMESTRE]])</f>
        <v>0</v>
      </c>
      <c r="I386" s="17">
        <v>2184.9499999999998</v>
      </c>
      <c r="J386" s="17">
        <f>+H386*I386</f>
        <v>0</v>
      </c>
      <c r="K386" s="17"/>
      <c r="L386" s="16" t="s">
        <v>18</v>
      </c>
      <c r="M386" s="16" t="s">
        <v>22</v>
      </c>
      <c r="N386" s="39" t="s">
        <v>418</v>
      </c>
    </row>
    <row r="387" spans="1:14" s="12" customFormat="1" ht="18">
      <c r="A387" s="178" t="s">
        <v>80</v>
      </c>
      <c r="B387" s="75" t="s">
        <v>1566</v>
      </c>
      <c r="C387" s="39" t="s">
        <v>17</v>
      </c>
      <c r="D387" s="236"/>
      <c r="E387" s="236"/>
      <c r="F387" s="236"/>
      <c r="G387" s="236"/>
      <c r="H387" s="236">
        <f>SUM(Tabla132112410[[#This Row],[PRIMER TRIMESTRE]:[CUARTO TRIMESTRE]])</f>
        <v>0</v>
      </c>
      <c r="I387" s="17">
        <v>2891.99</v>
      </c>
      <c r="J387" s="17">
        <f>+H387*I387</f>
        <v>0</v>
      </c>
      <c r="K387" s="17"/>
      <c r="L387" s="16" t="s">
        <v>18</v>
      </c>
      <c r="M387" s="16" t="s">
        <v>22</v>
      </c>
      <c r="N387" s="39" t="s">
        <v>418</v>
      </c>
    </row>
    <row r="388" spans="1:14" s="12" customFormat="1" ht="18">
      <c r="A388" s="178" t="s">
        <v>80</v>
      </c>
      <c r="B388" s="75" t="s">
        <v>184</v>
      </c>
      <c r="C388" s="39" t="s">
        <v>17</v>
      </c>
      <c r="D388" s="236"/>
      <c r="E388" s="236"/>
      <c r="F388" s="236"/>
      <c r="G388" s="236"/>
      <c r="H388" s="40">
        <f>SUM(Tabla132112410[[#This Row],[PRIMER TRIMESTRE]:[CUARTO TRIMESTRE]])</f>
        <v>0</v>
      </c>
      <c r="I388" s="17">
        <v>1347.46</v>
      </c>
      <c r="J388" s="17">
        <f>+Tabla132112410[[#This Row],[CANTIDAD TOTAL]]*Tabla132112410[[#This Row],[PRECIO UNITARIO ESTIMADO]]</f>
        <v>0</v>
      </c>
      <c r="K388" s="17"/>
      <c r="L388" s="16" t="s">
        <v>18</v>
      </c>
      <c r="M388" s="16" t="s">
        <v>22</v>
      </c>
      <c r="N388" s="39" t="s">
        <v>418</v>
      </c>
    </row>
    <row r="389" spans="1:14" s="12" customFormat="1" ht="18">
      <c r="A389" s="178" t="s">
        <v>80</v>
      </c>
      <c r="B389" s="75" t="s">
        <v>1426</v>
      </c>
      <c r="C389" s="39" t="s">
        <v>17</v>
      </c>
      <c r="D389" s="236"/>
      <c r="E389" s="236"/>
      <c r="F389" s="236"/>
      <c r="G389" s="236"/>
      <c r="H389" s="40">
        <f>SUM(Tabla132112410[[#This Row],[PRIMER TRIMESTRE]:[CUARTO TRIMESTRE]])</f>
        <v>0</v>
      </c>
      <c r="I389" s="17">
        <v>423.61</v>
      </c>
      <c r="J389" s="17">
        <f t="shared" ref="J389:J403" si="10">+H389*I389</f>
        <v>0</v>
      </c>
      <c r="K389" s="17"/>
      <c r="L389" s="16" t="s">
        <v>18</v>
      </c>
      <c r="M389" s="16" t="s">
        <v>22</v>
      </c>
      <c r="N389" s="39" t="s">
        <v>418</v>
      </c>
    </row>
    <row r="390" spans="1:14" s="12" customFormat="1" ht="18">
      <c r="A390" s="178" t="s">
        <v>80</v>
      </c>
      <c r="B390" s="75" t="s">
        <v>1432</v>
      </c>
      <c r="C390" s="39" t="s">
        <v>17</v>
      </c>
      <c r="D390" s="236"/>
      <c r="E390" s="236"/>
      <c r="F390" s="236"/>
      <c r="G390" s="236"/>
      <c r="H390" s="40">
        <f>SUM(Tabla132112410[[#This Row],[PRIMER TRIMESTRE]:[CUARTO TRIMESTRE]])</f>
        <v>0</v>
      </c>
      <c r="I390" s="17">
        <v>705.29</v>
      </c>
      <c r="J390" s="17">
        <f t="shared" si="10"/>
        <v>0</v>
      </c>
      <c r="K390" s="17"/>
      <c r="L390" s="16" t="s">
        <v>18</v>
      </c>
      <c r="M390" s="16" t="s">
        <v>22</v>
      </c>
      <c r="N390" s="39" t="s">
        <v>418</v>
      </c>
    </row>
    <row r="391" spans="1:14" s="12" customFormat="1" ht="18">
      <c r="A391" s="178" t="s">
        <v>80</v>
      </c>
      <c r="B391" s="75" t="s">
        <v>1726</v>
      </c>
      <c r="C391" s="39" t="s">
        <v>17</v>
      </c>
      <c r="D391" s="236"/>
      <c r="E391" s="236"/>
      <c r="F391" s="236"/>
      <c r="G391" s="236"/>
      <c r="H391" s="40">
        <v>0</v>
      </c>
      <c r="I391" s="17">
        <v>0</v>
      </c>
      <c r="J391" s="17">
        <v>0</v>
      </c>
      <c r="K391" s="17"/>
      <c r="L391" s="16" t="s">
        <v>18</v>
      </c>
      <c r="M391" s="16" t="s">
        <v>22</v>
      </c>
      <c r="N391" s="39" t="s">
        <v>418</v>
      </c>
    </row>
    <row r="392" spans="1:14" s="12" customFormat="1" ht="18">
      <c r="A392" s="178" t="s">
        <v>80</v>
      </c>
      <c r="B392" s="75" t="s">
        <v>1608</v>
      </c>
      <c r="C392" s="39" t="s">
        <v>17</v>
      </c>
      <c r="D392" s="236"/>
      <c r="E392" s="236"/>
      <c r="F392" s="236"/>
      <c r="G392" s="236"/>
      <c r="H392" s="236">
        <f>SUM(Tabla132112410[[#This Row],[PRIMER TRIMESTRE]:[CUARTO TRIMESTRE]])</f>
        <v>0</v>
      </c>
      <c r="I392" s="17">
        <v>4776.8500000000004</v>
      </c>
      <c r="J392" s="17">
        <f t="shared" si="10"/>
        <v>0</v>
      </c>
      <c r="K392" s="17"/>
      <c r="L392" s="16" t="s">
        <v>18</v>
      </c>
      <c r="M392" s="16" t="s">
        <v>22</v>
      </c>
      <c r="N392" s="39" t="s">
        <v>418</v>
      </c>
    </row>
    <row r="393" spans="1:14" s="12" customFormat="1" ht="18">
      <c r="A393" s="178" t="s">
        <v>80</v>
      </c>
      <c r="B393" s="75" t="s">
        <v>1607</v>
      </c>
      <c r="C393" s="39" t="s">
        <v>17</v>
      </c>
      <c r="D393" s="236"/>
      <c r="E393" s="236"/>
      <c r="F393" s="236"/>
      <c r="G393" s="236"/>
      <c r="H393" s="236">
        <f>SUM(Tabla132112410[[#This Row],[PRIMER TRIMESTRE]:[CUARTO TRIMESTRE]])</f>
        <v>0</v>
      </c>
      <c r="I393" s="17">
        <v>20971.52</v>
      </c>
      <c r="J393" s="17">
        <f t="shared" si="10"/>
        <v>0</v>
      </c>
      <c r="K393" s="17"/>
      <c r="L393" s="16" t="s">
        <v>18</v>
      </c>
      <c r="M393" s="16" t="s">
        <v>22</v>
      </c>
      <c r="N393" s="39" t="s">
        <v>418</v>
      </c>
    </row>
    <row r="394" spans="1:14" s="12" customFormat="1" ht="18">
      <c r="A394" s="178" t="s">
        <v>80</v>
      </c>
      <c r="B394" s="75" t="s">
        <v>369</v>
      </c>
      <c r="C394" s="39" t="s">
        <v>17</v>
      </c>
      <c r="D394" s="236"/>
      <c r="E394" s="236"/>
      <c r="F394" s="236"/>
      <c r="G394" s="236"/>
      <c r="H394" s="40">
        <f>SUM(Tabla132112410[[#This Row],[PRIMER TRIMESTRE]:[CUARTO TRIMESTRE]])</f>
        <v>0</v>
      </c>
      <c r="I394" s="17">
        <v>4.55</v>
      </c>
      <c r="J394" s="17">
        <f t="shared" si="10"/>
        <v>0</v>
      </c>
      <c r="K394" s="17"/>
      <c r="L394" s="16" t="s">
        <v>18</v>
      </c>
      <c r="M394" s="16" t="s">
        <v>22</v>
      </c>
      <c r="N394" s="39" t="s">
        <v>418</v>
      </c>
    </row>
    <row r="395" spans="1:14" s="12" customFormat="1" ht="18">
      <c r="A395" s="178" t="s">
        <v>80</v>
      </c>
      <c r="B395" s="75" t="s">
        <v>449</v>
      </c>
      <c r="C395" s="39" t="s">
        <v>17</v>
      </c>
      <c r="D395" s="236"/>
      <c r="E395" s="236"/>
      <c r="F395" s="236"/>
      <c r="G395" s="236"/>
      <c r="H395" s="40">
        <f>SUM(Tabla132112410[[#This Row],[PRIMER TRIMESTRE]:[CUARTO TRIMESTRE]])</f>
        <v>0</v>
      </c>
      <c r="I395" s="17">
        <v>4.55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</row>
    <row r="396" spans="1:14" s="12" customFormat="1" ht="18">
      <c r="A396" s="178" t="s">
        <v>80</v>
      </c>
      <c r="B396" s="75" t="s">
        <v>450</v>
      </c>
      <c r="C396" s="39" t="s">
        <v>17</v>
      </c>
      <c r="D396" s="236"/>
      <c r="E396" s="236"/>
      <c r="F396" s="236"/>
      <c r="G396" s="236"/>
      <c r="H396" s="40">
        <f>SUM(Tabla132112410[[#This Row],[PRIMER TRIMESTRE]:[CUARTO TRIMESTRE]])</f>
        <v>0</v>
      </c>
      <c r="I396" s="17">
        <v>4.55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</row>
    <row r="397" spans="1:14" s="12" customFormat="1" ht="18">
      <c r="A397" s="178" t="s">
        <v>80</v>
      </c>
      <c r="B397" s="75" t="s">
        <v>451</v>
      </c>
      <c r="C397" s="39" t="s">
        <v>17</v>
      </c>
      <c r="D397" s="236"/>
      <c r="E397" s="236"/>
      <c r="F397" s="236"/>
      <c r="G397" s="236"/>
      <c r="H397" s="40">
        <f>SUM(Tabla132112410[[#This Row],[PRIMER TRIMESTRE]:[CUARTO TRIMESTRE]])</f>
        <v>0</v>
      </c>
      <c r="I397" s="17">
        <v>4.55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</row>
    <row r="398" spans="1:14" s="12" customFormat="1" ht="18">
      <c r="A398" s="178" t="s">
        <v>80</v>
      </c>
      <c r="B398" s="75" t="s">
        <v>453</v>
      </c>
      <c r="C398" s="39" t="s">
        <v>17</v>
      </c>
      <c r="D398" s="236"/>
      <c r="E398" s="236"/>
      <c r="F398" s="236"/>
      <c r="G398" s="236"/>
      <c r="H398" s="40">
        <f>SUM(Tabla132112410[[#This Row],[PRIMER TRIMESTRE]:[CUARTO TRIMESTRE]])</f>
        <v>0</v>
      </c>
      <c r="I398" s="17">
        <v>4.55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</row>
    <row r="399" spans="1:14" s="12" customFormat="1" ht="18">
      <c r="A399" s="178" t="s">
        <v>80</v>
      </c>
      <c r="B399" s="75" t="s">
        <v>452</v>
      </c>
      <c r="C399" s="39" t="s">
        <v>17</v>
      </c>
      <c r="D399" s="236"/>
      <c r="E399" s="236"/>
      <c r="F399" s="236"/>
      <c r="G399" s="236"/>
      <c r="H399" s="40">
        <f>SUM(Tabla132112410[[#This Row],[PRIMER TRIMESTRE]:[CUARTO TRIMESTRE]])</f>
        <v>0</v>
      </c>
      <c r="I399" s="17">
        <v>4.55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</row>
    <row r="400" spans="1:14" s="12" customFormat="1" ht="18">
      <c r="A400" s="178" t="s">
        <v>80</v>
      </c>
      <c r="B400" s="75" t="s">
        <v>603</v>
      </c>
      <c r="C400" s="39" t="s">
        <v>17</v>
      </c>
      <c r="D400" s="236"/>
      <c r="E400" s="236"/>
      <c r="F400" s="236"/>
      <c r="G400" s="236"/>
      <c r="H400" s="40">
        <f>SUM(Tabla132112410[[#This Row],[PRIMER TRIMESTRE]:[CUARTO TRIMESTRE]])</f>
        <v>0</v>
      </c>
      <c r="I400" s="17">
        <v>737.74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</row>
    <row r="401" spans="1:14" s="12" customFormat="1" ht="18">
      <c r="A401" s="178" t="s">
        <v>80</v>
      </c>
      <c r="B401" s="75" t="s">
        <v>604</v>
      </c>
      <c r="C401" s="39" t="s">
        <v>17</v>
      </c>
      <c r="D401" s="236"/>
      <c r="E401" s="236"/>
      <c r="F401" s="236"/>
      <c r="G401" s="236"/>
      <c r="H401" s="40">
        <f>SUM(Tabla132112410[[#This Row],[PRIMER TRIMESTRE]:[CUARTO TRIMESTRE]])</f>
        <v>0</v>
      </c>
      <c r="I401" s="17">
        <v>2121.4499999999998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</row>
    <row r="402" spans="1:14" s="12" customFormat="1" ht="18">
      <c r="A402" s="178" t="s">
        <v>80</v>
      </c>
      <c r="B402" s="75" t="s">
        <v>605</v>
      </c>
      <c r="C402" s="39" t="s">
        <v>17</v>
      </c>
      <c r="D402" s="236"/>
      <c r="E402" s="236"/>
      <c r="F402" s="236"/>
      <c r="G402" s="236"/>
      <c r="H402" s="40">
        <f>SUM(Tabla132112410[[#This Row],[PRIMER TRIMESTRE]:[CUARTO TRIMESTRE]])</f>
        <v>0</v>
      </c>
      <c r="I402" s="17">
        <v>2121.4499999999998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</row>
    <row r="403" spans="1:14" s="12" customFormat="1" ht="18">
      <c r="A403" s="178" t="s">
        <v>80</v>
      </c>
      <c r="B403" s="75" t="s">
        <v>606</v>
      </c>
      <c r="C403" s="39" t="s">
        <v>17</v>
      </c>
      <c r="D403" s="236"/>
      <c r="E403" s="236"/>
      <c r="F403" s="236"/>
      <c r="G403" s="236"/>
      <c r="H403" s="40">
        <f>SUM(Tabla132112410[[#This Row],[PRIMER TRIMESTRE]:[CUARTO TRIMESTRE]])</f>
        <v>0</v>
      </c>
      <c r="I403" s="17">
        <v>3601.69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</row>
    <row r="404" spans="1:14" s="12" customFormat="1" ht="18">
      <c r="A404" s="178" t="s">
        <v>80</v>
      </c>
      <c r="B404" s="75" t="s">
        <v>188</v>
      </c>
      <c r="C404" s="39" t="s">
        <v>189</v>
      </c>
      <c r="D404" s="236"/>
      <c r="E404" s="236"/>
      <c r="F404" s="236"/>
      <c r="G404" s="236"/>
      <c r="H404" s="40">
        <f>SUM(Tabla132112410[[#This Row],[PRIMER TRIMESTRE]:[CUARTO TRIMESTRE]])</f>
        <v>0</v>
      </c>
      <c r="I404" s="17">
        <v>104.4</v>
      </c>
      <c r="J404" s="17">
        <f>+Tabla132112410[[#This Row],[CANTIDAD TOTAL]]*Tabla132112410[[#This Row],[PRECIO UNITARIO ESTIMADO]]</f>
        <v>0</v>
      </c>
      <c r="K404" s="17"/>
      <c r="L404" s="16" t="s">
        <v>18</v>
      </c>
      <c r="M404" s="16" t="s">
        <v>22</v>
      </c>
      <c r="N404" s="39" t="s">
        <v>418</v>
      </c>
    </row>
    <row r="405" spans="1:14" s="12" customFormat="1" ht="18">
      <c r="A405" s="178" t="s">
        <v>80</v>
      </c>
      <c r="B405" s="75" t="s">
        <v>1760</v>
      </c>
      <c r="C405" s="39" t="s">
        <v>17</v>
      </c>
      <c r="D405" s="236"/>
      <c r="E405" s="236"/>
      <c r="F405" s="236"/>
      <c r="G405" s="236"/>
      <c r="H405" s="40">
        <v>0</v>
      </c>
      <c r="I405" s="17">
        <v>0</v>
      </c>
      <c r="J405" s="17">
        <v>0</v>
      </c>
      <c r="K405" s="17"/>
      <c r="L405" s="16" t="s">
        <v>18</v>
      </c>
      <c r="M405" s="16" t="s">
        <v>22</v>
      </c>
      <c r="N405" s="39" t="s">
        <v>418</v>
      </c>
    </row>
    <row r="406" spans="1:14" s="12" customFormat="1" ht="18">
      <c r="A406" s="178" t="s">
        <v>80</v>
      </c>
      <c r="B406" s="75" t="s">
        <v>1761</v>
      </c>
      <c r="C406" s="39" t="s">
        <v>17</v>
      </c>
      <c r="D406" s="236"/>
      <c r="E406" s="236"/>
      <c r="F406" s="236"/>
      <c r="G406" s="236"/>
      <c r="H406" s="40">
        <v>0</v>
      </c>
      <c r="I406" s="17">
        <v>0</v>
      </c>
      <c r="J406" s="17">
        <v>0</v>
      </c>
      <c r="K406" s="17"/>
      <c r="L406" s="16" t="s">
        <v>18</v>
      </c>
      <c r="M406" s="16" t="s">
        <v>22</v>
      </c>
      <c r="N406" s="39" t="s">
        <v>418</v>
      </c>
    </row>
    <row r="407" spans="1:14" s="12" customFormat="1" ht="18">
      <c r="A407" s="178" t="s">
        <v>80</v>
      </c>
      <c r="B407" s="75" t="s">
        <v>191</v>
      </c>
      <c r="C407" s="39" t="s">
        <v>17</v>
      </c>
      <c r="D407" s="236"/>
      <c r="E407" s="236"/>
      <c r="F407" s="236"/>
      <c r="G407" s="236"/>
      <c r="H407" s="40">
        <f>SUM(Tabla132112410[[#This Row],[PRIMER TRIMESTRE]:[CUARTO TRIMESTRE]])</f>
        <v>0</v>
      </c>
      <c r="I407" s="17">
        <v>754</v>
      </c>
      <c r="J407" s="17">
        <f>+Tabla132112410[[#This Row],[CANTIDAD TOTAL]]*Tabla132112410[[#This Row],[PRECIO UNITARIO ESTIMADO]]</f>
        <v>0</v>
      </c>
      <c r="K407" s="17"/>
      <c r="L407" s="16" t="s">
        <v>18</v>
      </c>
      <c r="M407" s="16" t="s">
        <v>22</v>
      </c>
      <c r="N407" s="39" t="s">
        <v>418</v>
      </c>
    </row>
    <row r="408" spans="1:14" s="12" customFormat="1" ht="18">
      <c r="A408" s="178" t="s">
        <v>80</v>
      </c>
      <c r="B408" s="75" t="s">
        <v>193</v>
      </c>
      <c r="C408" s="39" t="s">
        <v>17</v>
      </c>
      <c r="D408" s="236"/>
      <c r="E408" s="236"/>
      <c r="F408" s="236"/>
      <c r="G408" s="236"/>
      <c r="H408" s="40">
        <f>SUM(Tabla132112410[[#This Row],[PRIMER TRIMESTRE]:[CUARTO TRIMESTRE]])</f>
        <v>0</v>
      </c>
      <c r="I408" s="17">
        <v>222.06</v>
      </c>
      <c r="J408" s="17">
        <f>+Tabla132112410[[#This Row],[CANTIDAD TOTAL]]*Tabla132112410[[#This Row],[PRECIO UNITARIO ESTIMADO]]</f>
        <v>0</v>
      </c>
      <c r="K408" s="17"/>
      <c r="L408" s="16" t="s">
        <v>18</v>
      </c>
      <c r="M408" s="16" t="s">
        <v>22</v>
      </c>
      <c r="N408" s="39" t="s">
        <v>418</v>
      </c>
    </row>
    <row r="409" spans="1:14" s="12" customFormat="1" ht="18">
      <c r="A409" s="178" t="s">
        <v>80</v>
      </c>
      <c r="B409" s="75" t="s">
        <v>1429</v>
      </c>
      <c r="C409" s="39" t="s">
        <v>17</v>
      </c>
      <c r="D409" s="236"/>
      <c r="E409" s="236"/>
      <c r="F409" s="236"/>
      <c r="G409" s="236"/>
      <c r="H409" s="40">
        <f>SUM(Tabla132112410[[#This Row],[PRIMER TRIMESTRE]:[CUARTO TRIMESTRE]])</f>
        <v>0</v>
      </c>
      <c r="I409" s="17">
        <v>1.23</v>
      </c>
      <c r="J409" s="17">
        <f>+H409*I409</f>
        <v>0</v>
      </c>
      <c r="K409" s="17"/>
      <c r="L409" s="16" t="s">
        <v>18</v>
      </c>
      <c r="M409" s="16" t="s">
        <v>22</v>
      </c>
      <c r="N409" s="39" t="s">
        <v>418</v>
      </c>
    </row>
    <row r="410" spans="1:14" s="12" customFormat="1" ht="18">
      <c r="A410" s="178" t="s">
        <v>80</v>
      </c>
      <c r="B410" s="75" t="s">
        <v>654</v>
      </c>
      <c r="C410" s="39" t="s">
        <v>17</v>
      </c>
      <c r="D410" s="236"/>
      <c r="E410" s="236"/>
      <c r="F410" s="236"/>
      <c r="G410" s="236"/>
      <c r="H410" s="40">
        <f>SUM(Tabla132112410[[#This Row],[PRIMER TRIMESTRE]:[CUARTO TRIMESTRE]])</f>
        <v>0</v>
      </c>
      <c r="I410" s="17">
        <v>2.86</v>
      </c>
      <c r="J410" s="17">
        <f>+Tabla132112410[[#This Row],[CANTIDAD TOTAL]]*Tabla132112410[[#This Row],[PRECIO UNITARIO ESTIMADO]]</f>
        <v>0</v>
      </c>
      <c r="K410" s="17"/>
      <c r="L410" s="16" t="s">
        <v>18</v>
      </c>
      <c r="M410" s="16" t="s">
        <v>22</v>
      </c>
      <c r="N410" s="39" t="s">
        <v>418</v>
      </c>
    </row>
    <row r="411" spans="1:14" s="12" customFormat="1" ht="18">
      <c r="A411" s="178" t="s">
        <v>80</v>
      </c>
      <c r="B411" s="75" t="s">
        <v>655</v>
      </c>
      <c r="C411" s="39" t="s">
        <v>17</v>
      </c>
      <c r="D411" s="236"/>
      <c r="E411" s="236"/>
      <c r="F411" s="236"/>
      <c r="G411" s="236"/>
      <c r="H411" s="40">
        <f>SUM(Tabla132112410[[#This Row],[PRIMER TRIMESTRE]:[CUARTO TRIMESTRE]])</f>
        <v>0</v>
      </c>
      <c r="I411" s="17">
        <v>4.09</v>
      </c>
      <c r="J411" s="17">
        <f>+Tabla132112410[[#This Row],[CANTIDAD TOTAL]]*Tabla132112410[[#This Row],[PRECIO UNITARIO ESTIMADO]]</f>
        <v>0</v>
      </c>
      <c r="K411" s="17"/>
      <c r="L411" s="16" t="s">
        <v>18</v>
      </c>
      <c r="M411" s="16" t="s">
        <v>22</v>
      </c>
      <c r="N411" s="39" t="s">
        <v>418</v>
      </c>
    </row>
    <row r="412" spans="1:14" s="12" customFormat="1" ht="18">
      <c r="A412" s="178" t="s">
        <v>80</v>
      </c>
      <c r="B412" s="75" t="s">
        <v>659</v>
      </c>
      <c r="C412" s="39" t="s">
        <v>17</v>
      </c>
      <c r="D412" s="236"/>
      <c r="E412" s="236"/>
      <c r="F412" s="236"/>
      <c r="G412" s="236"/>
      <c r="H412" s="40">
        <f>SUM(Tabla132112410[[#This Row],[PRIMER TRIMESTRE]:[CUARTO TRIMESTRE]])</f>
        <v>0</v>
      </c>
      <c r="I412" s="72">
        <v>11.82</v>
      </c>
      <c r="J412" s="17">
        <f>+H412*I412</f>
        <v>0</v>
      </c>
      <c r="K412" s="17"/>
      <c r="L412" s="16" t="s">
        <v>18</v>
      </c>
      <c r="M412" s="16" t="s">
        <v>22</v>
      </c>
      <c r="N412" s="39" t="s">
        <v>418</v>
      </c>
    </row>
    <row r="413" spans="1:14" s="12" customFormat="1" ht="18">
      <c r="A413" s="178" t="s">
        <v>80</v>
      </c>
      <c r="B413" s="75" t="s">
        <v>660</v>
      </c>
      <c r="C413" s="39" t="s">
        <v>17</v>
      </c>
      <c r="D413" s="236"/>
      <c r="E413" s="236"/>
      <c r="F413" s="236"/>
      <c r="G413" s="236"/>
      <c r="H413" s="40">
        <f>SUM(Tabla132112410[[#This Row],[PRIMER TRIMESTRE]:[CUARTO TRIMESTRE]])</f>
        <v>0</v>
      </c>
      <c r="I413" s="72">
        <v>13.65</v>
      </c>
      <c r="J413" s="17">
        <f>+H413*I413</f>
        <v>0</v>
      </c>
      <c r="K413" s="17"/>
      <c r="L413" s="16" t="s">
        <v>18</v>
      </c>
      <c r="M413" s="16" t="s">
        <v>22</v>
      </c>
      <c r="N413" s="39" t="s">
        <v>418</v>
      </c>
    </row>
    <row r="414" spans="1:14" s="12" customFormat="1" ht="18">
      <c r="A414" s="178" t="s">
        <v>80</v>
      </c>
      <c r="B414" s="75" t="s">
        <v>656</v>
      </c>
      <c r="C414" s="39" t="s">
        <v>17</v>
      </c>
      <c r="D414" s="236"/>
      <c r="E414" s="236"/>
      <c r="F414" s="236"/>
      <c r="G414" s="236"/>
      <c r="H414" s="40">
        <f>SUM(Tabla132112410[[#This Row],[PRIMER TRIMESTRE]:[CUARTO TRIMESTRE]])</f>
        <v>0</v>
      </c>
      <c r="I414" s="17">
        <v>22.39</v>
      </c>
      <c r="J414" s="17">
        <f>+Tabla132112410[[#This Row],[CANTIDAD TOTAL]]*Tabla132112410[[#This Row],[PRECIO UNITARIO ESTIMADO]]</f>
        <v>0</v>
      </c>
      <c r="K414" s="17"/>
      <c r="L414" s="16" t="s">
        <v>18</v>
      </c>
      <c r="M414" s="16" t="s">
        <v>22</v>
      </c>
      <c r="N414" s="39" t="s">
        <v>418</v>
      </c>
    </row>
    <row r="415" spans="1:14" s="12" customFormat="1" ht="18">
      <c r="A415" s="178" t="s">
        <v>80</v>
      </c>
      <c r="B415" s="75" t="s">
        <v>657</v>
      </c>
      <c r="C415" s="39" t="s">
        <v>17</v>
      </c>
      <c r="D415" s="236"/>
      <c r="E415" s="236"/>
      <c r="F415" s="236"/>
      <c r="G415" s="236"/>
      <c r="H415" s="40">
        <f>SUM(Tabla132112410[[#This Row],[PRIMER TRIMESTRE]:[CUARTO TRIMESTRE]])</f>
        <v>0</v>
      </c>
      <c r="I415" s="17">
        <v>59.97</v>
      </c>
      <c r="J415" s="17">
        <f>+Tabla132112410[[#This Row],[CANTIDAD TOTAL]]*Tabla132112410[[#This Row],[PRECIO UNITARIO ESTIMADO]]</f>
        <v>0</v>
      </c>
      <c r="K415" s="17"/>
      <c r="L415" s="16" t="s">
        <v>18</v>
      </c>
      <c r="M415" s="16" t="s">
        <v>22</v>
      </c>
      <c r="N415" s="39" t="s">
        <v>418</v>
      </c>
    </row>
    <row r="416" spans="1:14" s="12" customFormat="1" ht="18">
      <c r="A416" s="178" t="s">
        <v>80</v>
      </c>
      <c r="B416" s="75" t="s">
        <v>658</v>
      </c>
      <c r="C416" s="39" t="s">
        <v>17</v>
      </c>
      <c r="D416" s="236"/>
      <c r="E416" s="236"/>
      <c r="F416" s="236"/>
      <c r="G416" s="236"/>
      <c r="H416" s="40">
        <f>SUM(Tabla132112410[[#This Row],[PRIMER TRIMESTRE]:[CUARTO TRIMESTRE]])</f>
        <v>0</v>
      </c>
      <c r="I416" s="17">
        <v>101.5</v>
      </c>
      <c r="J416" s="17">
        <f>+Tabla132112410[[#This Row],[CANTIDAD TOTAL]]*Tabla132112410[[#This Row],[PRECIO UNITARIO ESTIMADO]]</f>
        <v>0</v>
      </c>
      <c r="K416" s="17"/>
      <c r="L416" s="16" t="s">
        <v>18</v>
      </c>
      <c r="M416" s="16" t="s">
        <v>22</v>
      </c>
      <c r="N416" s="39" t="s">
        <v>418</v>
      </c>
    </row>
    <row r="417" spans="1:14" s="12" customFormat="1" ht="18">
      <c r="A417" s="178" t="s">
        <v>80</v>
      </c>
      <c r="B417" s="75" t="s">
        <v>202</v>
      </c>
      <c r="C417" s="39" t="s">
        <v>17</v>
      </c>
      <c r="D417" s="236"/>
      <c r="E417" s="236"/>
      <c r="F417" s="236"/>
      <c r="G417" s="236"/>
      <c r="H417" s="40">
        <f>SUM(Tabla132112410[[#This Row],[PRIMER TRIMESTRE]:[CUARTO TRIMESTRE]])</f>
        <v>0</v>
      </c>
      <c r="I417" s="17">
        <v>3364</v>
      </c>
      <c r="J417" s="17">
        <f>+Tabla132112410[[#This Row],[CANTIDAD TOTAL]]*Tabla132112410[[#This Row],[PRECIO UNITARIO ESTIMADO]]</f>
        <v>0</v>
      </c>
      <c r="K417" s="17"/>
      <c r="L417" s="16" t="s">
        <v>18</v>
      </c>
      <c r="M417" s="16" t="s">
        <v>22</v>
      </c>
      <c r="N417" s="39" t="s">
        <v>418</v>
      </c>
    </row>
    <row r="418" spans="1:14" s="12" customFormat="1" ht="18">
      <c r="A418" s="178" t="s">
        <v>80</v>
      </c>
      <c r="B418" s="75" t="s">
        <v>776</v>
      </c>
      <c r="C418" s="39" t="s">
        <v>17</v>
      </c>
      <c r="D418" s="236"/>
      <c r="E418" s="236"/>
      <c r="F418" s="236"/>
      <c r="G418" s="236"/>
      <c r="H418" s="40">
        <f>SUM(Tabla132112410[[#This Row],[PRIMER TRIMESTRE]:[CUARTO TRIMESTRE]])</f>
        <v>0</v>
      </c>
      <c r="I418" s="17">
        <v>32.479999999999997</v>
      </c>
      <c r="J418" s="17">
        <f>+Tabla132112410[[#This Row],[CANTIDAD TOTAL]]*Tabla132112410[[#This Row],[PRECIO UNITARIO ESTIMADO]]</f>
        <v>0</v>
      </c>
      <c r="K418" s="17"/>
      <c r="L418" s="16" t="s">
        <v>18</v>
      </c>
      <c r="M418" s="16" t="s">
        <v>22</v>
      </c>
      <c r="N418" s="39" t="s">
        <v>418</v>
      </c>
    </row>
    <row r="419" spans="1:14" s="12" customFormat="1" ht="18">
      <c r="A419" s="178" t="s">
        <v>80</v>
      </c>
      <c r="B419" s="75" t="s">
        <v>205</v>
      </c>
      <c r="C419" s="39" t="s">
        <v>17</v>
      </c>
      <c r="D419" s="236"/>
      <c r="E419" s="236"/>
      <c r="F419" s="236"/>
      <c r="G419" s="236"/>
      <c r="H419" s="40">
        <f>SUM(Tabla132112410[[#This Row],[PRIMER TRIMESTRE]:[CUARTO TRIMESTRE]])</f>
        <v>0</v>
      </c>
      <c r="I419" s="17">
        <v>2.3199999999999998</v>
      </c>
      <c r="J419" s="17">
        <f>+Tabla132112410[[#This Row],[CANTIDAD TOTAL]]*Tabla132112410[[#This Row],[PRECIO UNITARIO ESTIMADO]]</f>
        <v>0</v>
      </c>
      <c r="K419" s="17"/>
      <c r="L419" s="16" t="s">
        <v>18</v>
      </c>
      <c r="M419" s="16" t="s">
        <v>22</v>
      </c>
      <c r="N419" s="39" t="s">
        <v>418</v>
      </c>
    </row>
    <row r="420" spans="1:14" s="12" customFormat="1" ht="18">
      <c r="A420" s="178" t="s">
        <v>80</v>
      </c>
      <c r="B420" s="75" t="s">
        <v>206</v>
      </c>
      <c r="C420" s="39" t="s">
        <v>17</v>
      </c>
      <c r="D420" s="236"/>
      <c r="E420" s="236"/>
      <c r="F420" s="236"/>
      <c r="G420" s="236"/>
      <c r="H420" s="40">
        <f>SUM(Tabla132112410[[#This Row],[PRIMER TRIMESTRE]:[CUARTO TRIMESTRE]])</f>
        <v>0</v>
      </c>
      <c r="I420" s="17">
        <v>3.48</v>
      </c>
      <c r="J420" s="17">
        <f>+Tabla132112410[[#This Row],[CANTIDAD TOTAL]]*Tabla132112410[[#This Row],[PRECIO UNITARIO ESTIMADO]]</f>
        <v>0</v>
      </c>
      <c r="K420" s="17"/>
      <c r="L420" s="16" t="s">
        <v>18</v>
      </c>
      <c r="M420" s="16" t="s">
        <v>22</v>
      </c>
      <c r="N420" s="39" t="s">
        <v>418</v>
      </c>
    </row>
    <row r="421" spans="1:14" s="12" customFormat="1" ht="18">
      <c r="A421" s="178" t="s">
        <v>80</v>
      </c>
      <c r="B421" s="75" t="s">
        <v>1335</v>
      </c>
      <c r="C421" s="39" t="s">
        <v>17</v>
      </c>
      <c r="D421" s="236"/>
      <c r="E421" s="236"/>
      <c r="F421" s="236"/>
      <c r="G421" s="236"/>
      <c r="H421" s="40">
        <f>SUM(Tabla132112410[[#This Row],[PRIMER TRIMESTRE]:[CUARTO TRIMESTRE]])</f>
        <v>0</v>
      </c>
      <c r="I421" s="17">
        <v>9.44</v>
      </c>
      <c r="J421" s="17">
        <f t="shared" ref="J421:J484" si="11">+H421*I421</f>
        <v>0</v>
      </c>
      <c r="K421" s="17"/>
      <c r="L421" s="16" t="s">
        <v>18</v>
      </c>
      <c r="M421" s="16" t="s">
        <v>22</v>
      </c>
      <c r="N421" s="39" t="s">
        <v>418</v>
      </c>
    </row>
    <row r="422" spans="1:14" s="12" customFormat="1" ht="18">
      <c r="A422" s="178" t="s">
        <v>80</v>
      </c>
      <c r="B422" s="75" t="s">
        <v>1336</v>
      </c>
      <c r="C422" s="39" t="s">
        <v>17</v>
      </c>
      <c r="D422" s="236"/>
      <c r="E422" s="236"/>
      <c r="F422" s="236"/>
      <c r="G422" s="236"/>
      <c r="H422" s="40">
        <f>SUM(Tabla132112410[[#This Row],[PRIMER TRIMESTRE]:[CUARTO TRIMESTRE]])</f>
        <v>0</v>
      </c>
      <c r="I422" s="17">
        <v>5.9</v>
      </c>
      <c r="J422" s="17">
        <f t="shared" si="11"/>
        <v>0</v>
      </c>
      <c r="K422" s="17"/>
      <c r="L422" s="16" t="s">
        <v>18</v>
      </c>
      <c r="M422" s="16" t="s">
        <v>22</v>
      </c>
      <c r="N422" s="39" t="s">
        <v>418</v>
      </c>
    </row>
    <row r="423" spans="1:14" s="12" customFormat="1" ht="18">
      <c r="A423" s="178" t="s">
        <v>80</v>
      </c>
      <c r="B423" s="75" t="s">
        <v>1337</v>
      </c>
      <c r="C423" s="39" t="s">
        <v>17</v>
      </c>
      <c r="D423" s="236"/>
      <c r="E423" s="236"/>
      <c r="F423" s="236"/>
      <c r="G423" s="236"/>
      <c r="H423" s="40">
        <f>SUM(Tabla132112410[[#This Row],[PRIMER TRIMESTRE]:[CUARTO TRIMESTRE]])</f>
        <v>0</v>
      </c>
      <c r="I423" s="17">
        <v>3.54</v>
      </c>
      <c r="J423" s="17">
        <f t="shared" si="11"/>
        <v>0</v>
      </c>
      <c r="K423" s="17"/>
      <c r="L423" s="16" t="s">
        <v>18</v>
      </c>
      <c r="M423" s="16" t="s">
        <v>22</v>
      </c>
      <c r="N423" s="39" t="s">
        <v>418</v>
      </c>
    </row>
    <row r="424" spans="1:14" s="12" customFormat="1" ht="18">
      <c r="A424" s="178" t="s">
        <v>80</v>
      </c>
      <c r="B424" s="75" t="s">
        <v>638</v>
      </c>
      <c r="C424" s="39" t="s">
        <v>17</v>
      </c>
      <c r="D424" s="236"/>
      <c r="E424" s="236"/>
      <c r="F424" s="240"/>
      <c r="G424" s="236"/>
      <c r="H424" s="40">
        <f>SUM(Tabla132112410[[#This Row],[PRIMER TRIMESTRE]:[CUARTO TRIMESTRE]])</f>
        <v>0</v>
      </c>
      <c r="I424" s="72">
        <v>7.28</v>
      </c>
      <c r="J424" s="17">
        <f t="shared" si="11"/>
        <v>0</v>
      </c>
      <c r="K424" s="17"/>
      <c r="L424" s="16" t="s">
        <v>18</v>
      </c>
      <c r="M424" s="16" t="s">
        <v>22</v>
      </c>
      <c r="N424" s="39" t="s">
        <v>418</v>
      </c>
    </row>
    <row r="425" spans="1:14" s="12" customFormat="1" ht="18">
      <c r="A425" s="178" t="s">
        <v>80</v>
      </c>
      <c r="B425" s="75" t="s">
        <v>639</v>
      </c>
      <c r="C425" s="39" t="s">
        <v>17</v>
      </c>
      <c r="D425" s="236"/>
      <c r="E425" s="236"/>
      <c r="F425" s="240"/>
      <c r="G425" s="236"/>
      <c r="H425" s="40">
        <f>SUM(Tabla132112410[[#This Row],[PRIMER TRIMESTRE]:[CUARTO TRIMESTRE]])</f>
        <v>0</v>
      </c>
      <c r="I425" s="72">
        <v>11.82</v>
      </c>
      <c r="J425" s="17">
        <f t="shared" si="11"/>
        <v>0</v>
      </c>
      <c r="K425" s="17"/>
      <c r="L425" s="16" t="s">
        <v>18</v>
      </c>
      <c r="M425" s="16" t="s">
        <v>22</v>
      </c>
      <c r="N425" s="39"/>
    </row>
    <row r="426" spans="1:14" s="12" customFormat="1" ht="18">
      <c r="A426" s="178" t="s">
        <v>80</v>
      </c>
      <c r="B426" s="75" t="s">
        <v>642</v>
      </c>
      <c r="C426" s="39" t="s">
        <v>17</v>
      </c>
      <c r="D426" s="236"/>
      <c r="E426" s="236"/>
      <c r="F426" s="240"/>
      <c r="G426" s="236"/>
      <c r="H426" s="40">
        <f>SUM(Tabla132112410[[#This Row],[PRIMER TRIMESTRE]:[CUARTO TRIMESTRE]])</f>
        <v>0</v>
      </c>
      <c r="I426" s="72">
        <v>22.74</v>
      </c>
      <c r="J426" s="17">
        <f t="shared" si="11"/>
        <v>0</v>
      </c>
      <c r="K426" s="17"/>
      <c r="L426" s="16" t="s">
        <v>18</v>
      </c>
      <c r="M426" s="16" t="s">
        <v>22</v>
      </c>
      <c r="N426" s="39"/>
    </row>
    <row r="427" spans="1:14" s="12" customFormat="1" ht="18">
      <c r="A427" s="178" t="s">
        <v>80</v>
      </c>
      <c r="B427" s="75" t="s">
        <v>643</v>
      </c>
      <c r="C427" s="39" t="s">
        <v>17</v>
      </c>
      <c r="D427" s="236"/>
      <c r="E427" s="236"/>
      <c r="F427" s="240"/>
      <c r="G427" s="236"/>
      <c r="H427" s="40">
        <f>SUM(Tabla132112410[[#This Row],[PRIMER TRIMESTRE]:[CUARTO TRIMESTRE]])</f>
        <v>0</v>
      </c>
      <c r="I427" s="72">
        <v>53.66</v>
      </c>
      <c r="J427" s="17">
        <f t="shared" si="11"/>
        <v>0</v>
      </c>
      <c r="K427" s="17"/>
      <c r="L427" s="16" t="s">
        <v>18</v>
      </c>
      <c r="M427" s="16" t="s">
        <v>22</v>
      </c>
      <c r="N427" s="39"/>
    </row>
    <row r="428" spans="1:14" s="12" customFormat="1" ht="18">
      <c r="A428" s="178" t="s">
        <v>80</v>
      </c>
      <c r="B428" s="75" t="s">
        <v>640</v>
      </c>
      <c r="C428" s="39" t="s">
        <v>17</v>
      </c>
      <c r="D428" s="236"/>
      <c r="E428" s="236"/>
      <c r="F428" s="240"/>
      <c r="G428" s="236"/>
      <c r="H428" s="40">
        <f>SUM(Tabla132112410[[#This Row],[PRIMER TRIMESTRE]:[CUARTO TRIMESTRE]])</f>
        <v>0</v>
      </c>
      <c r="I428" s="72">
        <v>90</v>
      </c>
      <c r="J428" s="17">
        <f t="shared" si="11"/>
        <v>0</v>
      </c>
      <c r="K428" s="17"/>
      <c r="L428" s="16" t="s">
        <v>18</v>
      </c>
      <c r="M428" s="16" t="s">
        <v>22</v>
      </c>
      <c r="N428" s="39"/>
    </row>
    <row r="429" spans="1:14" s="12" customFormat="1" ht="18">
      <c r="A429" s="178" t="s">
        <v>80</v>
      </c>
      <c r="B429" s="75" t="s">
        <v>641</v>
      </c>
      <c r="C429" s="39" t="s">
        <v>17</v>
      </c>
      <c r="D429" s="236"/>
      <c r="E429" s="236"/>
      <c r="F429" s="236"/>
      <c r="G429" s="236"/>
      <c r="H429" s="40">
        <f>SUM(Tabla132112410[[#This Row],[PRIMER TRIMESTRE]:[CUARTO TRIMESTRE]])</f>
        <v>0</v>
      </c>
      <c r="I429" s="72">
        <v>1799.03</v>
      </c>
      <c r="J429" s="17">
        <f t="shared" si="11"/>
        <v>0</v>
      </c>
      <c r="K429" s="17"/>
      <c r="L429" s="16" t="s">
        <v>18</v>
      </c>
      <c r="M429" s="16" t="s">
        <v>22</v>
      </c>
      <c r="N429" s="39"/>
    </row>
    <row r="430" spans="1:14" s="12" customFormat="1" ht="18">
      <c r="A430" s="178" t="s">
        <v>80</v>
      </c>
      <c r="B430" s="75" t="s">
        <v>607</v>
      </c>
      <c r="C430" s="39" t="s">
        <v>17</v>
      </c>
      <c r="D430" s="236"/>
      <c r="E430" s="236"/>
      <c r="F430" s="236"/>
      <c r="G430" s="236"/>
      <c r="H430" s="40">
        <f>SUM(Tabla132112410[[#This Row],[PRIMER TRIMESTRE]:[CUARTO TRIMESTRE]])</f>
        <v>0</v>
      </c>
      <c r="I430" s="17">
        <v>3068</v>
      </c>
      <c r="J430" s="17">
        <f t="shared" si="11"/>
        <v>0</v>
      </c>
      <c r="K430" s="17"/>
      <c r="L430" s="16" t="s">
        <v>18</v>
      </c>
      <c r="M430" s="16" t="s">
        <v>22</v>
      </c>
      <c r="N430" s="39"/>
    </row>
    <row r="431" spans="1:14" s="12" customFormat="1" ht="18">
      <c r="A431" s="178" t="s">
        <v>80</v>
      </c>
      <c r="B431" s="75" t="s">
        <v>608</v>
      </c>
      <c r="C431" s="39" t="s">
        <v>17</v>
      </c>
      <c r="D431" s="236"/>
      <c r="E431" s="236"/>
      <c r="F431" s="236"/>
      <c r="G431" s="236"/>
      <c r="H431" s="40">
        <f>SUM(Tabla132112410[[#This Row],[PRIMER TRIMESTRE]:[CUARTO TRIMESTRE]])</f>
        <v>0</v>
      </c>
      <c r="I431" s="17">
        <v>4425</v>
      </c>
      <c r="J431" s="17">
        <f t="shared" si="11"/>
        <v>0</v>
      </c>
      <c r="K431" s="17"/>
      <c r="L431" s="16" t="s">
        <v>18</v>
      </c>
      <c r="M431" s="16" t="s">
        <v>22</v>
      </c>
      <c r="N431" s="39"/>
    </row>
    <row r="432" spans="1:14" s="12" customFormat="1" ht="18">
      <c r="A432" s="178" t="s">
        <v>80</v>
      </c>
      <c r="B432" s="75" t="s">
        <v>609</v>
      </c>
      <c r="C432" s="39" t="s">
        <v>17</v>
      </c>
      <c r="D432" s="236"/>
      <c r="E432" s="236"/>
      <c r="F432" s="236"/>
      <c r="G432" s="236"/>
      <c r="H432" s="40">
        <f>SUM(Tabla132112410[[#This Row],[PRIMER TRIMESTRE]:[CUARTO TRIMESTRE]])</f>
        <v>0</v>
      </c>
      <c r="I432" s="17">
        <v>5074</v>
      </c>
      <c r="J432" s="17">
        <f t="shared" si="11"/>
        <v>0</v>
      </c>
      <c r="K432" s="17"/>
      <c r="L432" s="16" t="s">
        <v>18</v>
      </c>
      <c r="M432" s="16" t="s">
        <v>22</v>
      </c>
      <c r="N432" s="39"/>
    </row>
    <row r="433" spans="1:14" s="12" customFormat="1" ht="18">
      <c r="A433" s="178" t="s">
        <v>80</v>
      </c>
      <c r="B433" s="75" t="s">
        <v>610</v>
      </c>
      <c r="C433" s="39" t="s">
        <v>17</v>
      </c>
      <c r="D433" s="236"/>
      <c r="E433" s="236"/>
      <c r="F433" s="236"/>
      <c r="G433" s="236"/>
      <c r="H433" s="40">
        <f>SUM(Tabla132112410[[#This Row],[PRIMER TRIMESTRE]:[CUARTO TRIMESTRE]])</f>
        <v>0</v>
      </c>
      <c r="I433" s="17">
        <v>6431</v>
      </c>
      <c r="J433" s="17">
        <f t="shared" si="11"/>
        <v>0</v>
      </c>
      <c r="K433" s="17"/>
      <c r="L433" s="16" t="s">
        <v>18</v>
      </c>
      <c r="M433" s="16" t="s">
        <v>22</v>
      </c>
      <c r="N433" s="39"/>
    </row>
    <row r="434" spans="1:14" s="12" customFormat="1" ht="18">
      <c r="A434" s="178" t="s">
        <v>80</v>
      </c>
      <c r="B434" s="75" t="s">
        <v>611</v>
      </c>
      <c r="C434" s="39" t="s">
        <v>17</v>
      </c>
      <c r="D434" s="236"/>
      <c r="E434" s="236"/>
      <c r="F434" s="236"/>
      <c r="G434" s="236"/>
      <c r="H434" s="40">
        <f>SUM(Tabla132112410[[#This Row],[PRIMER TRIMESTRE]:[CUARTO TRIMESTRE]])</f>
        <v>0</v>
      </c>
      <c r="I434" s="17">
        <v>7943</v>
      </c>
      <c r="J434" s="17">
        <f t="shared" si="11"/>
        <v>0</v>
      </c>
      <c r="K434" s="17"/>
      <c r="L434" s="16" t="s">
        <v>18</v>
      </c>
      <c r="M434" s="16" t="s">
        <v>22</v>
      </c>
      <c r="N434" s="39"/>
    </row>
    <row r="435" spans="1:14" s="12" customFormat="1" ht="18">
      <c r="A435" s="178" t="s">
        <v>80</v>
      </c>
      <c r="B435" s="75" t="s">
        <v>612</v>
      </c>
      <c r="C435" s="39" t="s">
        <v>17</v>
      </c>
      <c r="D435" s="236"/>
      <c r="E435" s="236"/>
      <c r="F435" s="236"/>
      <c r="G435" s="236"/>
      <c r="H435" s="40">
        <f>SUM(Tabla132112410[[#This Row],[PRIMER TRIMESTRE]:[CUARTO TRIMESTRE]])</f>
        <v>0</v>
      </c>
      <c r="I435" s="17">
        <v>9145</v>
      </c>
      <c r="J435" s="17">
        <f t="shared" si="11"/>
        <v>0</v>
      </c>
      <c r="K435" s="17"/>
      <c r="L435" s="16" t="s">
        <v>18</v>
      </c>
      <c r="M435" s="16" t="s">
        <v>22</v>
      </c>
      <c r="N435" s="39"/>
    </row>
    <row r="436" spans="1:14" s="12" customFormat="1" ht="18">
      <c r="A436" s="178" t="s">
        <v>80</v>
      </c>
      <c r="B436" s="75" t="s">
        <v>613</v>
      </c>
      <c r="C436" s="39" t="s">
        <v>17</v>
      </c>
      <c r="D436" s="236"/>
      <c r="E436" s="236"/>
      <c r="F436" s="236"/>
      <c r="G436" s="236"/>
      <c r="H436" s="40">
        <f>SUM(Tabla132112410[[#This Row],[PRIMER TRIMESTRE]:[CUARTO TRIMESTRE]])</f>
        <v>0</v>
      </c>
      <c r="I436" s="17">
        <v>10502</v>
      </c>
      <c r="J436" s="17">
        <f t="shared" si="11"/>
        <v>0</v>
      </c>
      <c r="K436" s="17"/>
      <c r="L436" s="16" t="s">
        <v>18</v>
      </c>
      <c r="M436" s="16" t="s">
        <v>22</v>
      </c>
      <c r="N436" s="39"/>
    </row>
    <row r="437" spans="1:14" s="12" customFormat="1" ht="18">
      <c r="A437" s="178" t="s">
        <v>80</v>
      </c>
      <c r="B437" s="75" t="s">
        <v>614</v>
      </c>
      <c r="C437" s="39" t="s">
        <v>17</v>
      </c>
      <c r="D437" s="236"/>
      <c r="E437" s="236"/>
      <c r="F437" s="236"/>
      <c r="G437" s="236"/>
      <c r="H437" s="40">
        <f>SUM(Tabla132112410[[#This Row],[PRIMER TRIMESTRE]:[CUARTO TRIMESTRE]])</f>
        <v>0</v>
      </c>
      <c r="I437" s="17">
        <v>11564</v>
      </c>
      <c r="J437" s="17">
        <f t="shared" si="11"/>
        <v>0</v>
      </c>
      <c r="K437" s="17"/>
      <c r="L437" s="16" t="s">
        <v>18</v>
      </c>
      <c r="M437" s="16" t="s">
        <v>22</v>
      </c>
      <c r="N437" s="39"/>
    </row>
    <row r="438" spans="1:14" s="12" customFormat="1" ht="18">
      <c r="A438" s="178" t="s">
        <v>80</v>
      </c>
      <c r="B438" s="75" t="s">
        <v>615</v>
      </c>
      <c r="C438" s="39" t="s">
        <v>17</v>
      </c>
      <c r="D438" s="236"/>
      <c r="E438" s="236"/>
      <c r="F438" s="236"/>
      <c r="G438" s="236"/>
      <c r="H438" s="40">
        <f>SUM(Tabla132112410[[#This Row],[PRIMER TRIMESTRE]:[CUARTO TRIMESTRE]])</f>
        <v>0</v>
      </c>
      <c r="I438" s="17">
        <v>13747</v>
      </c>
      <c r="J438" s="17">
        <f t="shared" si="11"/>
        <v>0</v>
      </c>
      <c r="K438" s="17"/>
      <c r="L438" s="16" t="s">
        <v>18</v>
      </c>
      <c r="M438" s="16" t="s">
        <v>22</v>
      </c>
      <c r="N438" s="39"/>
    </row>
    <row r="439" spans="1:14" s="12" customFormat="1" ht="18">
      <c r="A439" s="178" t="s">
        <v>80</v>
      </c>
      <c r="B439" s="75" t="s">
        <v>1547</v>
      </c>
      <c r="C439" s="39" t="s">
        <v>17</v>
      </c>
      <c r="D439" s="236"/>
      <c r="E439" s="236"/>
      <c r="F439" s="236"/>
      <c r="G439" s="236"/>
      <c r="H439" s="236">
        <f>SUM(Tabla132112410[[#This Row],[PRIMER TRIMESTRE]:[CUARTO TRIMESTRE]])</f>
        <v>0</v>
      </c>
      <c r="I439" s="17">
        <v>700</v>
      </c>
      <c r="J439" s="17">
        <f t="shared" si="11"/>
        <v>0</v>
      </c>
      <c r="K439" s="17"/>
      <c r="L439" s="16" t="s">
        <v>18</v>
      </c>
      <c r="M439" s="16" t="s">
        <v>22</v>
      </c>
      <c r="N439" s="39"/>
    </row>
    <row r="440" spans="1:14" s="12" customFormat="1" ht="18">
      <c r="A440" s="178" t="s">
        <v>80</v>
      </c>
      <c r="B440" s="75" t="s">
        <v>1577</v>
      </c>
      <c r="C440" s="39" t="s">
        <v>17</v>
      </c>
      <c r="D440" s="236"/>
      <c r="E440" s="236"/>
      <c r="F440" s="236"/>
      <c r="G440" s="236"/>
      <c r="H440" s="236">
        <f>SUM(Tabla132112410[[#This Row],[PRIMER TRIMESTRE]:[CUARTO TRIMESTRE]])</f>
        <v>0</v>
      </c>
      <c r="I440" s="17">
        <v>133.88999999999999</v>
      </c>
      <c r="J440" s="17">
        <f t="shared" si="11"/>
        <v>0</v>
      </c>
      <c r="K440" s="17"/>
      <c r="L440" s="16" t="s">
        <v>18</v>
      </c>
      <c r="M440" s="16" t="s">
        <v>22</v>
      </c>
      <c r="N440" s="39"/>
    </row>
    <row r="441" spans="1:14" s="12" customFormat="1" ht="18">
      <c r="A441" s="178" t="s">
        <v>80</v>
      </c>
      <c r="B441" s="75" t="s">
        <v>1576</v>
      </c>
      <c r="C441" s="39" t="s">
        <v>17</v>
      </c>
      <c r="D441" s="236"/>
      <c r="E441" s="236"/>
      <c r="F441" s="236"/>
      <c r="G441" s="236"/>
      <c r="H441" s="236">
        <f>SUM(Tabla132112410[[#This Row],[PRIMER TRIMESTRE]:[CUARTO TRIMESTRE]])</f>
        <v>0</v>
      </c>
      <c r="I441" s="17">
        <v>21</v>
      </c>
      <c r="J441" s="17">
        <f t="shared" si="11"/>
        <v>0</v>
      </c>
      <c r="K441" s="17"/>
      <c r="L441" s="16" t="s">
        <v>18</v>
      </c>
      <c r="M441" s="16" t="s">
        <v>22</v>
      </c>
      <c r="N441" s="39"/>
    </row>
    <row r="442" spans="1:14" s="12" customFormat="1" ht="18">
      <c r="A442" s="178" t="s">
        <v>80</v>
      </c>
      <c r="B442" s="75" t="s">
        <v>1727</v>
      </c>
      <c r="C442" s="39" t="s">
        <v>17</v>
      </c>
      <c r="D442" s="236"/>
      <c r="E442" s="236"/>
      <c r="F442" s="236"/>
      <c r="G442" s="236"/>
      <c r="H442" s="40">
        <v>0</v>
      </c>
      <c r="I442" s="17">
        <v>0</v>
      </c>
      <c r="J442" s="17">
        <v>0</v>
      </c>
      <c r="K442" s="17"/>
      <c r="L442" s="16" t="s">
        <v>18</v>
      </c>
      <c r="M442" s="16" t="s">
        <v>22</v>
      </c>
      <c r="N442" s="39"/>
    </row>
    <row r="443" spans="1:14" s="12" customFormat="1" ht="18">
      <c r="A443" s="178" t="s">
        <v>80</v>
      </c>
      <c r="B443" s="75" t="s">
        <v>1575</v>
      </c>
      <c r="C443" s="39" t="s">
        <v>17</v>
      </c>
      <c r="D443" s="236"/>
      <c r="E443" s="236"/>
      <c r="F443" s="236"/>
      <c r="G443" s="236"/>
      <c r="H443" s="236">
        <f>SUM(Tabla132112410[[#This Row],[PRIMER TRIMESTRE]:[CUARTO TRIMESTRE]])</f>
        <v>0</v>
      </c>
      <c r="I443" s="17">
        <v>15.21</v>
      </c>
      <c r="J443" s="17">
        <f t="shared" si="11"/>
        <v>0</v>
      </c>
      <c r="K443" s="17"/>
      <c r="L443" s="16" t="s">
        <v>18</v>
      </c>
      <c r="M443" s="16" t="s">
        <v>22</v>
      </c>
      <c r="N443" s="39"/>
    </row>
    <row r="444" spans="1:14" s="12" customFormat="1" ht="18">
      <c r="A444" s="178" t="s">
        <v>80</v>
      </c>
      <c r="B444" s="75" t="s">
        <v>1574</v>
      </c>
      <c r="C444" s="39" t="s">
        <v>17</v>
      </c>
      <c r="D444" s="236"/>
      <c r="E444" s="236"/>
      <c r="F444" s="236"/>
      <c r="G444" s="236"/>
      <c r="H444" s="236">
        <f>SUM(Tabla132112410[[#This Row],[PRIMER TRIMESTRE]:[CUARTO TRIMESTRE]])</f>
        <v>0</v>
      </c>
      <c r="I444" s="17">
        <v>1</v>
      </c>
      <c r="J444" s="17">
        <f t="shared" si="11"/>
        <v>0</v>
      </c>
      <c r="K444" s="17"/>
      <c r="L444" s="16" t="s">
        <v>18</v>
      </c>
      <c r="M444" s="16" t="s">
        <v>22</v>
      </c>
      <c r="N444" s="39"/>
    </row>
    <row r="445" spans="1:14" s="12" customFormat="1" ht="18">
      <c r="A445" s="178" t="s">
        <v>80</v>
      </c>
      <c r="B445" s="75" t="s">
        <v>1338</v>
      </c>
      <c r="C445" s="39" t="s">
        <v>17</v>
      </c>
      <c r="D445" s="236"/>
      <c r="E445" s="236"/>
      <c r="F445" s="236"/>
      <c r="G445" s="236"/>
      <c r="H445" s="40">
        <f>SUM(Tabla132112410[[#This Row],[PRIMER TRIMESTRE]:[CUARTO TRIMESTRE]])</f>
        <v>0</v>
      </c>
      <c r="I445" s="17">
        <v>17.7</v>
      </c>
      <c r="J445" s="17">
        <f t="shared" si="11"/>
        <v>0</v>
      </c>
      <c r="K445" s="17"/>
      <c r="L445" s="16" t="s">
        <v>18</v>
      </c>
      <c r="M445" s="16" t="s">
        <v>22</v>
      </c>
      <c r="N445" s="39"/>
    </row>
    <row r="446" spans="1:14" s="12" customFormat="1" ht="18">
      <c r="A446" s="178" t="s">
        <v>80</v>
      </c>
      <c r="B446" s="75" t="s">
        <v>1573</v>
      </c>
      <c r="C446" s="39" t="s">
        <v>17</v>
      </c>
      <c r="D446" s="236"/>
      <c r="E446" s="236"/>
      <c r="F446" s="236"/>
      <c r="G446" s="236"/>
      <c r="H446" s="40">
        <f>SUM(Tabla132112410[[#This Row],[PRIMER TRIMESTRE]:[CUARTO TRIMESTRE]])</f>
        <v>0</v>
      </c>
      <c r="I446" s="17">
        <v>20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</row>
    <row r="447" spans="1:14" s="12" customFormat="1" ht="18">
      <c r="A447" s="178" t="s">
        <v>80</v>
      </c>
      <c r="B447" s="75" t="s">
        <v>1339</v>
      </c>
      <c r="C447" s="39" t="s">
        <v>17</v>
      </c>
      <c r="D447" s="236"/>
      <c r="E447" s="236"/>
      <c r="F447" s="236"/>
      <c r="G447" s="236"/>
      <c r="H447" s="40">
        <f>SUM(Tabla132112410[[#This Row],[PRIMER TRIMESTRE]:[CUARTO TRIMESTRE]])</f>
        <v>0</v>
      </c>
      <c r="I447" s="17">
        <v>23.6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</row>
    <row r="448" spans="1:14" s="12" customFormat="1" ht="18">
      <c r="A448" s="178" t="s">
        <v>80</v>
      </c>
      <c r="B448" s="75" t="s">
        <v>1703</v>
      </c>
      <c r="C448" s="39" t="s">
        <v>17</v>
      </c>
      <c r="D448" s="236"/>
      <c r="E448" s="236"/>
      <c r="F448" s="236"/>
      <c r="G448" s="236"/>
      <c r="H448" s="40">
        <v>0</v>
      </c>
      <c r="I448" s="17">
        <v>0</v>
      </c>
      <c r="J448" s="17">
        <v>0</v>
      </c>
      <c r="K448" s="17"/>
      <c r="L448" s="16" t="s">
        <v>18</v>
      </c>
      <c r="M448" s="16" t="s">
        <v>22</v>
      </c>
      <c r="N448" s="39"/>
    </row>
    <row r="449" spans="1:14" s="12" customFormat="1" ht="18">
      <c r="A449" s="178" t="s">
        <v>80</v>
      </c>
      <c r="B449" s="75" t="s">
        <v>1572</v>
      </c>
      <c r="C449" s="39" t="s">
        <v>17</v>
      </c>
      <c r="D449" s="236"/>
      <c r="E449" s="236"/>
      <c r="F449" s="236"/>
      <c r="G449" s="236"/>
      <c r="H449" s="40">
        <f>SUM(Tabla132112410[[#This Row],[PRIMER TRIMESTRE]:[CUARTO TRIMESTRE]])</f>
        <v>0</v>
      </c>
      <c r="I449" s="17">
        <v>2</v>
      </c>
      <c r="J449" s="17">
        <f t="shared" si="11"/>
        <v>0</v>
      </c>
      <c r="K449" s="17"/>
      <c r="L449" s="16" t="s">
        <v>18</v>
      </c>
      <c r="M449" s="16" t="s">
        <v>22</v>
      </c>
      <c r="N449" s="39"/>
    </row>
    <row r="450" spans="1:14" s="12" customFormat="1" ht="18">
      <c r="A450" s="178" t="s">
        <v>80</v>
      </c>
      <c r="B450" s="75" t="s">
        <v>1428</v>
      </c>
      <c r="C450" s="39" t="s">
        <v>17</v>
      </c>
      <c r="D450" s="236"/>
      <c r="E450" s="236"/>
      <c r="F450" s="236"/>
      <c r="G450" s="236"/>
      <c r="H450" s="40">
        <f>SUM(Tabla132112410[[#This Row],[PRIMER TRIMESTRE]:[CUARTO TRIMESTRE]])</f>
        <v>0</v>
      </c>
      <c r="I450" s="17">
        <v>0.88</v>
      </c>
      <c r="J450" s="17">
        <f t="shared" si="11"/>
        <v>0</v>
      </c>
      <c r="K450" s="17"/>
      <c r="L450" s="16" t="s">
        <v>18</v>
      </c>
      <c r="M450" s="16" t="s">
        <v>22</v>
      </c>
      <c r="N450" s="39"/>
    </row>
    <row r="451" spans="1:14" s="12" customFormat="1" ht="18">
      <c r="A451" s="178" t="s">
        <v>80</v>
      </c>
      <c r="B451" s="75" t="s">
        <v>1427</v>
      </c>
      <c r="C451" s="39" t="s">
        <v>17</v>
      </c>
      <c r="D451" s="236"/>
      <c r="E451" s="236"/>
      <c r="F451" s="236"/>
      <c r="G451" s="236"/>
      <c r="H451" s="40">
        <f>SUM(Tabla132112410[[#This Row],[PRIMER TRIMESTRE]:[CUARTO TRIMESTRE]])</f>
        <v>0</v>
      </c>
      <c r="I451" s="17">
        <v>1</v>
      </c>
      <c r="J451" s="17">
        <f t="shared" si="11"/>
        <v>0</v>
      </c>
      <c r="K451" s="17"/>
      <c r="L451" s="16" t="s">
        <v>18</v>
      </c>
      <c r="M451" s="16" t="s">
        <v>22</v>
      </c>
      <c r="N451" s="39"/>
    </row>
    <row r="452" spans="1:14" s="12" customFormat="1" ht="18">
      <c r="A452" s="178" t="s">
        <v>80</v>
      </c>
      <c r="B452" s="75" t="s">
        <v>1433</v>
      </c>
      <c r="C452" s="39" t="s">
        <v>208</v>
      </c>
      <c r="D452" s="236"/>
      <c r="E452" s="236"/>
      <c r="F452" s="236"/>
      <c r="G452" s="236"/>
      <c r="H452" s="40">
        <f>SUM(Tabla132112410[[#This Row],[PRIMER TRIMESTRE]:[CUARTO TRIMESTRE]])</f>
        <v>0</v>
      </c>
      <c r="I452" s="17">
        <v>361.44</v>
      </c>
      <c r="J452" s="17">
        <f t="shared" si="11"/>
        <v>0</v>
      </c>
      <c r="K452" s="17"/>
      <c r="L452" s="16" t="s">
        <v>18</v>
      </c>
      <c r="M452" s="16" t="s">
        <v>22</v>
      </c>
      <c r="N452" s="39"/>
    </row>
    <row r="453" spans="1:14" s="12" customFormat="1" ht="18">
      <c r="A453" s="178" t="s">
        <v>80</v>
      </c>
      <c r="B453" s="75" t="s">
        <v>1435</v>
      </c>
      <c r="C453" s="39" t="s">
        <v>17</v>
      </c>
      <c r="D453" s="236"/>
      <c r="E453" s="236"/>
      <c r="F453" s="236"/>
      <c r="G453" s="236"/>
      <c r="H453" s="40">
        <f>SUM(Tabla132112410[[#This Row],[PRIMER TRIMESTRE]:[CUARTO TRIMESTRE]])</f>
        <v>0</v>
      </c>
      <c r="I453" s="17">
        <v>1.1499999999999999</v>
      </c>
      <c r="J453" s="17">
        <f t="shared" si="11"/>
        <v>0</v>
      </c>
      <c r="K453" s="17"/>
      <c r="L453" s="16" t="s">
        <v>18</v>
      </c>
      <c r="M453" s="16" t="s">
        <v>22</v>
      </c>
      <c r="N453" s="39"/>
    </row>
    <row r="454" spans="1:14" s="12" customFormat="1" ht="18">
      <c r="A454" s="178" t="s">
        <v>80</v>
      </c>
      <c r="B454" s="75" t="s">
        <v>1527</v>
      </c>
      <c r="C454" s="39" t="s">
        <v>17</v>
      </c>
      <c r="D454" s="236"/>
      <c r="E454" s="236"/>
      <c r="F454" s="236"/>
      <c r="G454" s="236"/>
      <c r="H454" s="236">
        <f>SUM(Tabla132112410[[#This Row],[PRIMER TRIMESTRE]:[CUARTO TRIMESTRE]])</f>
        <v>0</v>
      </c>
      <c r="I454" s="17">
        <v>12739.27</v>
      </c>
      <c r="J454" s="17">
        <f t="shared" si="11"/>
        <v>0</v>
      </c>
      <c r="K454" s="17"/>
      <c r="L454" s="16" t="s">
        <v>18</v>
      </c>
      <c r="M454" s="16" t="s">
        <v>22</v>
      </c>
      <c r="N454" s="39"/>
    </row>
    <row r="455" spans="1:14" s="12" customFormat="1" ht="18">
      <c r="A455" s="178" t="s">
        <v>80</v>
      </c>
      <c r="B455" s="75" t="s">
        <v>702</v>
      </c>
      <c r="C455" s="39" t="s">
        <v>17</v>
      </c>
      <c r="D455" s="236"/>
      <c r="E455" s="236"/>
      <c r="F455" s="236"/>
      <c r="G455" s="236"/>
      <c r="H455" s="40">
        <f>SUM(Tabla132112410[[#This Row],[PRIMER TRIMESTRE]:[CUARTO TRIMESTRE]])</f>
        <v>0</v>
      </c>
      <c r="I455" s="17">
        <v>1052.51</v>
      </c>
      <c r="J455" s="17">
        <f t="shared" si="11"/>
        <v>0</v>
      </c>
      <c r="K455" s="17"/>
      <c r="L455" s="16" t="s">
        <v>18</v>
      </c>
      <c r="M455" s="16" t="s">
        <v>22</v>
      </c>
      <c r="N455" s="39"/>
    </row>
    <row r="456" spans="1:14" s="12" customFormat="1" ht="18">
      <c r="A456" s="178" t="s">
        <v>80</v>
      </c>
      <c r="B456" s="75" t="s">
        <v>370</v>
      </c>
      <c r="C456" s="39" t="s">
        <v>17</v>
      </c>
      <c r="D456" s="236"/>
      <c r="E456" s="236"/>
      <c r="F456" s="236"/>
      <c r="G456" s="236"/>
      <c r="H456" s="40">
        <f>SUM(Tabla132112410[[#This Row],[PRIMER TRIMESTRE]:[CUARTO TRIMESTRE]])</f>
        <v>0</v>
      </c>
      <c r="I456" s="17">
        <v>3302.0937420000005</v>
      </c>
      <c r="J456" s="17">
        <f t="shared" si="11"/>
        <v>0</v>
      </c>
      <c r="K456" s="17"/>
      <c r="L456" s="16" t="s">
        <v>18</v>
      </c>
      <c r="M456" s="16" t="s">
        <v>22</v>
      </c>
      <c r="N456" s="39"/>
    </row>
    <row r="457" spans="1:14" s="12" customFormat="1" ht="18">
      <c r="A457" s="178" t="s">
        <v>80</v>
      </c>
      <c r="B457" s="75" t="s">
        <v>371</v>
      </c>
      <c r="C457" s="39" t="s">
        <v>17</v>
      </c>
      <c r="D457" s="236"/>
      <c r="E457" s="236"/>
      <c r="F457" s="236"/>
      <c r="G457" s="236"/>
      <c r="H457" s="40">
        <f>SUM(Tabla132112410[[#This Row],[PRIMER TRIMESTRE]:[CUARTO TRIMESTRE]])</f>
        <v>0</v>
      </c>
      <c r="I457" s="17">
        <v>5605.3296870000004</v>
      </c>
      <c r="J457" s="17">
        <f t="shared" si="11"/>
        <v>0</v>
      </c>
      <c r="K457" s="17"/>
      <c r="L457" s="16" t="s">
        <v>18</v>
      </c>
      <c r="M457" s="16" t="s">
        <v>22</v>
      </c>
      <c r="N457" s="39"/>
    </row>
    <row r="458" spans="1:14" s="12" customFormat="1" ht="18">
      <c r="A458" s="178" t="s">
        <v>80</v>
      </c>
      <c r="B458" s="75" t="s">
        <v>799</v>
      </c>
      <c r="C458" s="39" t="s">
        <v>17</v>
      </c>
      <c r="D458" s="236"/>
      <c r="E458" s="236"/>
      <c r="F458" s="236"/>
      <c r="G458" s="236"/>
      <c r="H458" s="40">
        <f>SUM(Tabla132112410[[#This Row],[PRIMER TRIMESTRE]:[CUARTO TRIMESTRE]])</f>
        <v>0</v>
      </c>
      <c r="I458" s="17">
        <v>12700</v>
      </c>
      <c r="J458" s="17">
        <f t="shared" si="11"/>
        <v>0</v>
      </c>
      <c r="K458" s="17"/>
      <c r="L458" s="16" t="s">
        <v>18</v>
      </c>
      <c r="M458" s="16" t="s">
        <v>22</v>
      </c>
      <c r="N458" s="39"/>
    </row>
    <row r="459" spans="1:14" s="12" customFormat="1" ht="18">
      <c r="A459" s="178" t="s">
        <v>80</v>
      </c>
      <c r="B459" s="75" t="s">
        <v>372</v>
      </c>
      <c r="C459" s="39" t="s">
        <v>17</v>
      </c>
      <c r="D459" s="236"/>
      <c r="E459" s="236"/>
      <c r="F459" s="236"/>
      <c r="G459" s="236"/>
      <c r="H459" s="40">
        <f>SUM(Tabla132112410[[#This Row],[PRIMER TRIMESTRE]:[CUARTO TRIMESTRE]])</f>
        <v>0</v>
      </c>
      <c r="I459" s="17">
        <v>256.14999999999998</v>
      </c>
      <c r="J459" s="17">
        <f t="shared" si="11"/>
        <v>0</v>
      </c>
      <c r="K459" s="17"/>
      <c r="L459" s="16" t="s">
        <v>18</v>
      </c>
      <c r="M459" s="16" t="s">
        <v>22</v>
      </c>
      <c r="N459" s="39"/>
    </row>
    <row r="460" spans="1:14" s="12" customFormat="1" ht="18">
      <c r="A460" s="178" t="s">
        <v>80</v>
      </c>
      <c r="B460" s="75" t="s">
        <v>373</v>
      </c>
      <c r="C460" s="39" t="s">
        <v>17</v>
      </c>
      <c r="D460" s="236"/>
      <c r="E460" s="236"/>
      <c r="F460" s="236"/>
      <c r="G460" s="236"/>
      <c r="H460" s="40">
        <f>SUM(Tabla132112410[[#This Row],[PRIMER TRIMESTRE]:[CUARTO TRIMESTRE]])</f>
        <v>0</v>
      </c>
      <c r="I460" s="17">
        <v>260.58531900000003</v>
      </c>
      <c r="J460" s="17">
        <f t="shared" si="11"/>
        <v>0</v>
      </c>
      <c r="K460" s="17"/>
      <c r="L460" s="16" t="s">
        <v>18</v>
      </c>
      <c r="M460" s="16" t="s">
        <v>22</v>
      </c>
      <c r="N460" s="39"/>
    </row>
    <row r="461" spans="1:14" s="12" customFormat="1" ht="18">
      <c r="A461" s="178" t="s">
        <v>80</v>
      </c>
      <c r="B461" s="75" t="s">
        <v>374</v>
      </c>
      <c r="C461" s="39" t="s">
        <v>17</v>
      </c>
      <c r="D461" s="236"/>
      <c r="E461" s="236"/>
      <c r="F461" s="236"/>
      <c r="G461" s="236"/>
      <c r="H461" s="40">
        <f>SUM(Tabla132112410[[#This Row],[PRIMER TRIMESTRE]:[CUARTO TRIMESTRE]])</f>
        <v>0</v>
      </c>
      <c r="I461" s="17">
        <v>383.08377000000007</v>
      </c>
      <c r="J461" s="17">
        <f t="shared" si="11"/>
        <v>0</v>
      </c>
      <c r="K461" s="17"/>
      <c r="L461" s="16" t="s">
        <v>18</v>
      </c>
      <c r="M461" s="16" t="s">
        <v>22</v>
      </c>
      <c r="N461" s="39"/>
    </row>
    <row r="462" spans="1:14" s="12" customFormat="1" ht="18">
      <c r="A462" s="178" t="s">
        <v>80</v>
      </c>
      <c r="B462" s="75" t="s">
        <v>375</v>
      </c>
      <c r="C462" s="39" t="s">
        <v>17</v>
      </c>
      <c r="D462" s="236"/>
      <c r="E462" s="236"/>
      <c r="F462" s="236"/>
      <c r="G462" s="236"/>
      <c r="H462" s="40">
        <f>SUM(Tabla132112410[[#This Row],[PRIMER TRIMESTRE]:[CUARTO TRIMESTRE]])</f>
        <v>0</v>
      </c>
      <c r="I462" s="17">
        <v>450</v>
      </c>
      <c r="J462" s="17">
        <f t="shared" si="11"/>
        <v>0</v>
      </c>
      <c r="K462" s="17"/>
      <c r="L462" s="16" t="s">
        <v>18</v>
      </c>
      <c r="M462" s="16" t="s">
        <v>22</v>
      </c>
      <c r="N462" s="39"/>
    </row>
    <row r="463" spans="1:14" s="12" customFormat="1" ht="18">
      <c r="A463" s="178" t="s">
        <v>80</v>
      </c>
      <c r="B463" s="75" t="s">
        <v>376</v>
      </c>
      <c r="C463" s="39" t="s">
        <v>17</v>
      </c>
      <c r="D463" s="236"/>
      <c r="E463" s="236"/>
      <c r="F463" s="236"/>
      <c r="G463" s="236"/>
      <c r="H463" s="40">
        <f>SUM(Tabla132112410[[#This Row],[PRIMER TRIMESTRE]:[CUARTO TRIMESTRE]])</f>
        <v>0</v>
      </c>
      <c r="I463" s="17">
        <v>667.77</v>
      </c>
      <c r="J463" s="17">
        <f t="shared" si="11"/>
        <v>0</v>
      </c>
      <c r="K463" s="17"/>
      <c r="L463" s="16" t="s">
        <v>18</v>
      </c>
      <c r="M463" s="16" t="s">
        <v>22</v>
      </c>
      <c r="N463" s="39"/>
    </row>
    <row r="464" spans="1:14" s="12" customFormat="1" ht="18">
      <c r="A464" s="178" t="s">
        <v>80</v>
      </c>
      <c r="B464" s="75" t="s">
        <v>377</v>
      </c>
      <c r="C464" s="39" t="s">
        <v>17</v>
      </c>
      <c r="D464" s="236"/>
      <c r="E464" s="236"/>
      <c r="F464" s="236"/>
      <c r="G464" s="236"/>
      <c r="H464" s="40">
        <f>SUM(Tabla132112410[[#This Row],[PRIMER TRIMESTRE]:[CUARTO TRIMESTRE]])</f>
        <v>0</v>
      </c>
      <c r="I464" s="17">
        <v>160.61749500000002</v>
      </c>
      <c r="J464" s="17">
        <f t="shared" si="11"/>
        <v>0</v>
      </c>
      <c r="K464" s="17"/>
      <c r="L464" s="16" t="s">
        <v>18</v>
      </c>
      <c r="M464" s="16" t="s">
        <v>22</v>
      </c>
      <c r="N464" s="39"/>
    </row>
    <row r="465" spans="1:14" s="12" customFormat="1" ht="18">
      <c r="A465" s="178" t="s">
        <v>80</v>
      </c>
      <c r="B465" s="75" t="s">
        <v>378</v>
      </c>
      <c r="C465" s="39" t="s">
        <v>17</v>
      </c>
      <c r="D465" s="236"/>
      <c r="E465" s="236"/>
      <c r="F465" s="236"/>
      <c r="G465" s="236"/>
      <c r="H465" s="40">
        <f>SUM(Tabla132112410[[#This Row],[PRIMER TRIMESTRE]:[CUARTO TRIMESTRE]])</f>
        <v>0</v>
      </c>
      <c r="I465" s="17">
        <v>631.80422099999998</v>
      </c>
      <c r="J465" s="17">
        <f t="shared" si="11"/>
        <v>0</v>
      </c>
      <c r="K465" s="17"/>
      <c r="L465" s="16" t="s">
        <v>18</v>
      </c>
      <c r="M465" s="16" t="s">
        <v>22</v>
      </c>
      <c r="N465" s="39"/>
    </row>
    <row r="466" spans="1:14" s="12" customFormat="1" ht="25.5">
      <c r="A466" s="178" t="s">
        <v>80</v>
      </c>
      <c r="B466" s="75" t="s">
        <v>1526</v>
      </c>
      <c r="C466" s="176" t="s">
        <v>17</v>
      </c>
      <c r="D466" s="236"/>
      <c r="E466" s="236"/>
      <c r="F466" s="236"/>
      <c r="G466" s="236"/>
      <c r="H466" s="236">
        <f>SUM(Tabla132112410[[#This Row],[PRIMER TRIMESTRE]:[CUARTO TRIMESTRE]])</f>
        <v>0</v>
      </c>
      <c r="I466" s="17">
        <v>631.80422099999998</v>
      </c>
      <c r="J466" s="17">
        <f t="shared" si="11"/>
        <v>0</v>
      </c>
      <c r="K466" s="17"/>
      <c r="L466" s="16" t="s">
        <v>18</v>
      </c>
      <c r="M466" s="16" t="s">
        <v>22</v>
      </c>
      <c r="N466" s="39"/>
    </row>
    <row r="467" spans="1:14" s="12" customFormat="1" ht="18">
      <c r="A467" s="178" t="s">
        <v>80</v>
      </c>
      <c r="B467" s="75" t="s">
        <v>379</v>
      </c>
      <c r="C467" s="39" t="s">
        <v>17</v>
      </c>
      <c r="D467" s="236"/>
      <c r="E467" s="236"/>
      <c r="F467" s="236"/>
      <c r="G467" s="236"/>
      <c r="H467" s="40">
        <f>SUM(Tabla132112410[[#This Row],[PRIMER TRIMESTRE]:[CUARTO TRIMESTRE]])</f>
        <v>0</v>
      </c>
      <c r="I467" s="17">
        <v>1565.22</v>
      </c>
      <c r="J467" s="17">
        <f t="shared" si="11"/>
        <v>0</v>
      </c>
      <c r="K467" s="17"/>
      <c r="L467" s="16" t="s">
        <v>18</v>
      </c>
      <c r="M467" s="16" t="s">
        <v>22</v>
      </c>
      <c r="N467" s="39"/>
    </row>
    <row r="468" spans="1:14" s="12" customFormat="1" ht="18">
      <c r="A468" s="178" t="s">
        <v>80</v>
      </c>
      <c r="B468" s="75" t="s">
        <v>380</v>
      </c>
      <c r="C468" s="39" t="s">
        <v>17</v>
      </c>
      <c r="D468" s="236"/>
      <c r="E468" s="236"/>
      <c r="F468" s="236"/>
      <c r="G468" s="236"/>
      <c r="H468" s="40">
        <f>SUM(Tabla132112410[[#This Row],[PRIMER TRIMESTRE]:[CUARTO TRIMESTRE]])</f>
        <v>0</v>
      </c>
      <c r="I468" s="17">
        <v>2310.9299999999998</v>
      </c>
      <c r="J468" s="17">
        <f t="shared" si="11"/>
        <v>0</v>
      </c>
      <c r="K468" s="17"/>
      <c r="L468" s="16" t="s">
        <v>18</v>
      </c>
      <c r="M468" s="16" t="s">
        <v>22</v>
      </c>
      <c r="N468" s="39"/>
    </row>
    <row r="469" spans="1:14" s="12" customFormat="1" ht="18">
      <c r="A469" s="178" t="s">
        <v>80</v>
      </c>
      <c r="B469" s="75" t="s">
        <v>381</v>
      </c>
      <c r="C469" s="39" t="s">
        <v>17</v>
      </c>
      <c r="D469" s="236"/>
      <c r="E469" s="236"/>
      <c r="F469" s="236"/>
      <c r="G469" s="236"/>
      <c r="H469" s="40">
        <f>SUM(Tabla132112410[[#This Row],[PRIMER TRIMESTRE]:[CUARTO TRIMESTRE]])</f>
        <v>0</v>
      </c>
      <c r="I469" s="17">
        <v>4630.1499999999996</v>
      </c>
      <c r="J469" s="17">
        <f t="shared" si="11"/>
        <v>0</v>
      </c>
      <c r="K469" s="17"/>
      <c r="L469" s="16" t="s">
        <v>18</v>
      </c>
      <c r="M469" s="16" t="s">
        <v>22</v>
      </c>
      <c r="N469" s="39"/>
    </row>
    <row r="470" spans="1:14" s="12" customFormat="1" ht="18">
      <c r="A470" s="178" t="s">
        <v>80</v>
      </c>
      <c r="B470" s="75" t="s">
        <v>382</v>
      </c>
      <c r="C470" s="39" t="s">
        <v>17</v>
      </c>
      <c r="D470" s="236"/>
      <c r="E470" s="236"/>
      <c r="F470" s="236"/>
      <c r="G470" s="236"/>
      <c r="H470" s="40">
        <f>SUM(Tabla132112410[[#This Row],[PRIMER TRIMESTRE]:[CUARTO TRIMESTRE]])</f>
        <v>0</v>
      </c>
      <c r="I470" s="17">
        <v>6410</v>
      </c>
      <c r="J470" s="17">
        <f t="shared" si="11"/>
        <v>0</v>
      </c>
      <c r="K470" s="17"/>
      <c r="L470" s="16" t="s">
        <v>18</v>
      </c>
      <c r="M470" s="16" t="s">
        <v>22</v>
      </c>
      <c r="N470" s="39"/>
    </row>
    <row r="471" spans="1:14" s="12" customFormat="1" ht="18">
      <c r="A471" s="178" t="s">
        <v>80</v>
      </c>
      <c r="B471" s="75" t="s">
        <v>383</v>
      </c>
      <c r="C471" s="39" t="s">
        <v>17</v>
      </c>
      <c r="D471" s="236"/>
      <c r="E471" s="236"/>
      <c r="F471" s="236"/>
      <c r="G471" s="236"/>
      <c r="H471" s="40">
        <f>SUM(Tabla132112410[[#This Row],[PRIMER TRIMESTRE]:[CUARTO TRIMESTRE]])</f>
        <v>0</v>
      </c>
      <c r="I471" s="17">
        <v>10255.09</v>
      </c>
      <c r="J471" s="17">
        <f t="shared" si="11"/>
        <v>0</v>
      </c>
      <c r="K471" s="17"/>
      <c r="L471" s="16" t="s">
        <v>18</v>
      </c>
      <c r="M471" s="16" t="s">
        <v>22</v>
      </c>
      <c r="N471" s="39"/>
    </row>
    <row r="472" spans="1:14" s="12" customFormat="1" ht="18">
      <c r="A472" s="178" t="s">
        <v>80</v>
      </c>
      <c r="B472" s="75" t="s">
        <v>384</v>
      </c>
      <c r="C472" s="39" t="s">
        <v>17</v>
      </c>
      <c r="D472" s="236"/>
      <c r="E472" s="236"/>
      <c r="F472" s="236"/>
      <c r="G472" s="236"/>
      <c r="H472" s="40">
        <f>SUM(Tabla132112410[[#This Row],[PRIMER TRIMESTRE]:[CUARTO TRIMESTRE]])</f>
        <v>0</v>
      </c>
      <c r="I472" s="17">
        <v>14777.68</v>
      </c>
      <c r="J472" s="17">
        <f t="shared" si="11"/>
        <v>0</v>
      </c>
      <c r="K472" s="17"/>
      <c r="L472" s="16" t="s">
        <v>18</v>
      </c>
      <c r="M472" s="16" t="s">
        <v>22</v>
      </c>
      <c r="N472" s="39"/>
    </row>
    <row r="473" spans="1:14" s="12" customFormat="1" ht="18">
      <c r="A473" s="178" t="s">
        <v>80</v>
      </c>
      <c r="B473" s="75" t="s">
        <v>385</v>
      </c>
      <c r="C473" s="39" t="s">
        <v>17</v>
      </c>
      <c r="D473" s="236"/>
      <c r="E473" s="236"/>
      <c r="F473" s="236"/>
      <c r="G473" s="236"/>
      <c r="H473" s="40">
        <f>SUM(Tabla132112410[[#This Row],[PRIMER TRIMESTRE]:[CUARTO TRIMESTRE]])</f>
        <v>0</v>
      </c>
      <c r="I473" s="17">
        <v>24012.400000000001</v>
      </c>
      <c r="J473" s="17">
        <f t="shared" si="11"/>
        <v>0</v>
      </c>
      <c r="K473" s="17"/>
      <c r="L473" s="16" t="s">
        <v>18</v>
      </c>
      <c r="M473" s="16" t="s">
        <v>22</v>
      </c>
      <c r="N473" s="39"/>
    </row>
    <row r="474" spans="1:14" s="12" customFormat="1" ht="18">
      <c r="A474" s="178" t="s">
        <v>80</v>
      </c>
      <c r="B474" s="75" t="s">
        <v>386</v>
      </c>
      <c r="C474" s="39" t="s">
        <v>17</v>
      </c>
      <c r="D474" s="236"/>
      <c r="E474" s="236"/>
      <c r="F474" s="236"/>
      <c r="G474" s="236"/>
      <c r="H474" s="40">
        <f>SUM(Tabla132112410[[#This Row],[PRIMER TRIMESTRE]:[CUARTO TRIMESTRE]])</f>
        <v>0</v>
      </c>
      <c r="I474" s="17">
        <v>37525.1</v>
      </c>
      <c r="J474" s="17">
        <f t="shared" si="11"/>
        <v>0</v>
      </c>
      <c r="K474" s="17"/>
      <c r="L474" s="16" t="s">
        <v>18</v>
      </c>
      <c r="M474" s="16" t="s">
        <v>22</v>
      </c>
      <c r="N474" s="39"/>
    </row>
    <row r="475" spans="1:14" s="12" customFormat="1" ht="18">
      <c r="A475" s="178" t="s">
        <v>80</v>
      </c>
      <c r="B475" s="75" t="s">
        <v>800</v>
      </c>
      <c r="C475" s="39" t="s">
        <v>17</v>
      </c>
      <c r="D475" s="239"/>
      <c r="E475" s="239"/>
      <c r="F475" s="239"/>
      <c r="G475" s="236"/>
      <c r="H475" s="40">
        <f>SUM(Tabla132112410[[#This Row],[PRIMER TRIMESTRE]:[CUARTO TRIMESTRE]])</f>
        <v>0</v>
      </c>
      <c r="I475" s="17">
        <v>4500</v>
      </c>
      <c r="J475" s="17">
        <f t="shared" si="11"/>
        <v>0</v>
      </c>
      <c r="K475" s="17"/>
      <c r="L475" s="16" t="s">
        <v>18</v>
      </c>
      <c r="M475" s="16" t="s">
        <v>22</v>
      </c>
      <c r="N475" s="39"/>
    </row>
    <row r="476" spans="1:14" s="12" customFormat="1" ht="18">
      <c r="A476" s="178" t="s">
        <v>80</v>
      </c>
      <c r="B476" s="75" t="s">
        <v>713</v>
      </c>
      <c r="C476" s="39" t="s">
        <v>17</v>
      </c>
      <c r="D476" s="236"/>
      <c r="E476" s="236"/>
      <c r="F476" s="236"/>
      <c r="G476" s="236"/>
      <c r="H476" s="40">
        <f>SUM(Tabla132112410[[#This Row],[PRIMER TRIMESTRE]:[CUARTO TRIMESTRE]])</f>
        <v>0</v>
      </c>
      <c r="I476" s="72">
        <v>6000</v>
      </c>
      <c r="J476" s="17">
        <f t="shared" si="11"/>
        <v>0</v>
      </c>
      <c r="K476" s="17"/>
      <c r="L476" s="16" t="s">
        <v>18</v>
      </c>
      <c r="M476" s="16" t="s">
        <v>22</v>
      </c>
      <c r="N476" s="39"/>
    </row>
    <row r="477" spans="1:14" s="12" customFormat="1" ht="18">
      <c r="A477" s="178" t="s">
        <v>80</v>
      </c>
      <c r="B477" s="75" t="s">
        <v>712</v>
      </c>
      <c r="C477" s="39" t="s">
        <v>17</v>
      </c>
      <c r="D477" s="236"/>
      <c r="E477" s="236"/>
      <c r="F477" s="236"/>
      <c r="G477" s="236"/>
      <c r="H477" s="40">
        <f>SUM(Tabla132112410[[#This Row],[PRIMER TRIMESTRE]:[CUARTO TRIMESTRE]])</f>
        <v>0</v>
      </c>
      <c r="I477" s="17">
        <v>15544</v>
      </c>
      <c r="J477" s="17">
        <f t="shared" si="11"/>
        <v>0</v>
      </c>
      <c r="K477" s="17"/>
      <c r="L477" s="16" t="s">
        <v>18</v>
      </c>
      <c r="M477" s="16" t="s">
        <v>22</v>
      </c>
      <c r="N477" s="39"/>
    </row>
    <row r="478" spans="1:14" s="12" customFormat="1" ht="18">
      <c r="A478" s="178" t="s">
        <v>80</v>
      </c>
      <c r="B478" s="75" t="s">
        <v>711</v>
      </c>
      <c r="C478" s="39" t="s">
        <v>17</v>
      </c>
      <c r="D478" s="236"/>
      <c r="E478" s="236"/>
      <c r="F478" s="236"/>
      <c r="G478" s="236"/>
      <c r="H478" s="40">
        <f>SUM(Tabla132112410[[#This Row],[PRIMER TRIMESTRE]:[CUARTO TRIMESTRE]])</f>
        <v>0</v>
      </c>
      <c r="I478" s="72">
        <v>20650.03</v>
      </c>
      <c r="J478" s="17">
        <f t="shared" si="11"/>
        <v>0</v>
      </c>
      <c r="K478" s="17"/>
      <c r="L478" s="16" t="s">
        <v>18</v>
      </c>
      <c r="M478" s="16" t="s">
        <v>22</v>
      </c>
      <c r="N478" s="39"/>
    </row>
    <row r="479" spans="1:14" s="12" customFormat="1" ht="18">
      <c r="A479" s="178" t="s">
        <v>80</v>
      </c>
      <c r="B479" s="75" t="s">
        <v>710</v>
      </c>
      <c r="C479" s="39" t="s">
        <v>17</v>
      </c>
      <c r="D479" s="236"/>
      <c r="E479" s="236"/>
      <c r="F479" s="236"/>
      <c r="G479" s="236"/>
      <c r="H479" s="40">
        <f>SUM(Tabla132112410[[#This Row],[PRIMER TRIMESTRE]:[CUARTO TRIMESTRE]])</f>
        <v>0</v>
      </c>
      <c r="I479" s="17">
        <v>39221.919999999998</v>
      </c>
      <c r="J479" s="17">
        <f t="shared" si="11"/>
        <v>0</v>
      </c>
      <c r="K479" s="17"/>
      <c r="L479" s="16" t="s">
        <v>18</v>
      </c>
      <c r="M479" s="16" t="s">
        <v>22</v>
      </c>
      <c r="N479" s="39"/>
    </row>
    <row r="480" spans="1:14" s="12" customFormat="1" ht="18">
      <c r="A480" s="178" t="s">
        <v>80</v>
      </c>
      <c r="B480" s="75" t="s">
        <v>709</v>
      </c>
      <c r="C480" s="39" t="s">
        <v>17</v>
      </c>
      <c r="D480" s="236"/>
      <c r="E480" s="236"/>
      <c r="F480" s="236"/>
      <c r="G480" s="236"/>
      <c r="H480" s="40">
        <f>SUM(Tabla132112410[[#This Row],[PRIMER TRIMESTRE]:[CUARTO TRIMESTRE]])</f>
        <v>0</v>
      </c>
      <c r="I480" s="72">
        <f>17500*1.18</f>
        <v>20650</v>
      </c>
      <c r="J480" s="17">
        <f t="shared" si="11"/>
        <v>0</v>
      </c>
      <c r="K480" s="17"/>
      <c r="L480" s="16" t="s">
        <v>18</v>
      </c>
      <c r="M480" s="16" t="s">
        <v>22</v>
      </c>
      <c r="N480" s="39"/>
    </row>
    <row r="481" spans="1:14" s="12" customFormat="1" ht="18">
      <c r="A481" s="178" t="s">
        <v>80</v>
      </c>
      <c r="B481" s="75" t="s">
        <v>708</v>
      </c>
      <c r="C481" s="39" t="s">
        <v>17</v>
      </c>
      <c r="D481" s="236"/>
      <c r="E481" s="236"/>
      <c r="F481" s="236"/>
      <c r="G481" s="236"/>
      <c r="H481" s="40">
        <f>SUM(Tabla132112410[[#This Row],[PRIMER TRIMESTRE]:[CUARTO TRIMESTRE]])</f>
        <v>0</v>
      </c>
      <c r="I481" s="72">
        <f>25175*1.18</f>
        <v>29706.5</v>
      </c>
      <c r="J481" s="17">
        <f t="shared" si="11"/>
        <v>0</v>
      </c>
      <c r="K481" s="17"/>
      <c r="L481" s="16" t="s">
        <v>18</v>
      </c>
      <c r="M481" s="16" t="s">
        <v>22</v>
      </c>
      <c r="N481" s="39"/>
    </row>
    <row r="482" spans="1:14" s="12" customFormat="1" ht="18">
      <c r="A482" s="178" t="s">
        <v>80</v>
      </c>
      <c r="B482" s="75" t="s">
        <v>707</v>
      </c>
      <c r="C482" s="39" t="s">
        <v>17</v>
      </c>
      <c r="D482" s="236"/>
      <c r="E482" s="236"/>
      <c r="F482" s="236"/>
      <c r="G482" s="236"/>
      <c r="H482" s="40">
        <f>SUM(Tabla132112410[[#This Row],[PRIMER TRIMESTRE]:[CUARTO TRIMESTRE]])</f>
        <v>0</v>
      </c>
      <c r="I482" s="17">
        <f>34500*1.18</f>
        <v>40710</v>
      </c>
      <c r="J482" s="17">
        <f t="shared" si="11"/>
        <v>0</v>
      </c>
      <c r="K482" s="17"/>
      <c r="L482" s="16" t="s">
        <v>18</v>
      </c>
      <c r="M482" s="16" t="s">
        <v>22</v>
      </c>
      <c r="N482" s="39"/>
    </row>
    <row r="483" spans="1:14" s="12" customFormat="1" ht="18">
      <c r="A483" s="178" t="s">
        <v>80</v>
      </c>
      <c r="B483" s="75" t="s">
        <v>706</v>
      </c>
      <c r="C483" s="39" t="s">
        <v>17</v>
      </c>
      <c r="D483" s="236"/>
      <c r="E483" s="236"/>
      <c r="F483" s="236"/>
      <c r="G483" s="236"/>
      <c r="H483" s="40">
        <f>SUM(Tabla132112410[[#This Row],[PRIMER TRIMESTRE]:[CUARTO TRIMESTRE]])</f>
        <v>0</v>
      </c>
      <c r="I483" s="72">
        <v>51330</v>
      </c>
      <c r="J483" s="17">
        <f t="shared" si="11"/>
        <v>0</v>
      </c>
      <c r="K483" s="17"/>
      <c r="L483" s="16" t="s">
        <v>18</v>
      </c>
      <c r="M483" s="16" t="s">
        <v>22</v>
      </c>
      <c r="N483" s="39"/>
    </row>
    <row r="484" spans="1:14" s="12" customFormat="1" ht="18">
      <c r="A484" s="178" t="s">
        <v>80</v>
      </c>
      <c r="B484" s="75" t="s">
        <v>705</v>
      </c>
      <c r="C484" s="39" t="s">
        <v>17</v>
      </c>
      <c r="D484" s="236"/>
      <c r="E484" s="236"/>
      <c r="F484" s="236"/>
      <c r="G484" s="236"/>
      <c r="H484" s="40">
        <f>SUM(Tabla132112410[[#This Row],[PRIMER TRIMESTRE]:[CUARTO TRIMESTRE]])</f>
        <v>0</v>
      </c>
      <c r="I484" s="72">
        <v>61360</v>
      </c>
      <c r="J484" s="17">
        <f t="shared" si="11"/>
        <v>0</v>
      </c>
      <c r="K484" s="17"/>
      <c r="L484" s="16" t="s">
        <v>18</v>
      </c>
      <c r="M484" s="16" t="s">
        <v>22</v>
      </c>
      <c r="N484" s="39"/>
    </row>
    <row r="485" spans="1:14" s="12" customFormat="1" ht="25.5">
      <c r="A485" s="178" t="s">
        <v>80</v>
      </c>
      <c r="B485" s="75" t="s">
        <v>1687</v>
      </c>
      <c r="C485" s="39" t="s">
        <v>17</v>
      </c>
      <c r="D485" s="236"/>
      <c r="E485" s="236"/>
      <c r="F485" s="236"/>
      <c r="G485" s="236"/>
      <c r="H485" s="40">
        <v>0</v>
      </c>
      <c r="I485" s="72">
        <v>0</v>
      </c>
      <c r="J485" s="17">
        <v>0</v>
      </c>
      <c r="K485" s="17"/>
      <c r="L485" s="16" t="s">
        <v>18</v>
      </c>
      <c r="M485" s="16" t="s">
        <v>22</v>
      </c>
      <c r="N485" s="39"/>
    </row>
    <row r="486" spans="1:14" s="12" customFormat="1" ht="18">
      <c r="A486" s="178" t="s">
        <v>80</v>
      </c>
      <c r="B486" s="75" t="s">
        <v>1528</v>
      </c>
      <c r="C486" s="39" t="s">
        <v>17</v>
      </c>
      <c r="D486" s="236"/>
      <c r="E486" s="236"/>
      <c r="F486" s="236"/>
      <c r="G486" s="236"/>
      <c r="H486" s="236">
        <f>SUM(Tabla132112410[[#This Row],[PRIMER TRIMESTRE]:[CUARTO TRIMESTRE]])</f>
        <v>0</v>
      </c>
      <c r="I486" s="72">
        <v>4973.5</v>
      </c>
      <c r="J486" s="72">
        <f t="shared" ref="J486:J549" si="12">+H486*I486</f>
        <v>0</v>
      </c>
      <c r="K486" s="17"/>
      <c r="L486" s="16" t="s">
        <v>18</v>
      </c>
      <c r="M486" s="16" t="s">
        <v>22</v>
      </c>
      <c r="N486" s="39"/>
    </row>
    <row r="487" spans="1:14" s="12" customFormat="1" ht="18">
      <c r="A487" s="178" t="s">
        <v>80</v>
      </c>
      <c r="B487" s="75" t="s">
        <v>1722</v>
      </c>
      <c r="C487" s="39" t="s">
        <v>17</v>
      </c>
      <c r="D487" s="236"/>
      <c r="E487" s="236"/>
      <c r="F487" s="236"/>
      <c r="G487" s="236"/>
      <c r="H487" s="40">
        <v>0</v>
      </c>
      <c r="I487" s="72">
        <v>0</v>
      </c>
      <c r="J487" s="72">
        <v>0</v>
      </c>
      <c r="K487" s="17"/>
      <c r="L487" s="16" t="s">
        <v>18</v>
      </c>
      <c r="M487" s="16" t="s">
        <v>22</v>
      </c>
      <c r="N487" s="39"/>
    </row>
    <row r="488" spans="1:14" s="12" customFormat="1" ht="18">
      <c r="A488" s="178" t="s">
        <v>80</v>
      </c>
      <c r="B488" s="75" t="s">
        <v>703</v>
      </c>
      <c r="C488" s="39" t="s">
        <v>17</v>
      </c>
      <c r="D488" s="236"/>
      <c r="E488" s="236"/>
      <c r="F488" s="236"/>
      <c r="G488" s="236"/>
      <c r="H488" s="40">
        <f>SUM(Tabla132112410[[#This Row],[PRIMER TRIMESTRE]:[CUARTO TRIMESTRE]])</f>
        <v>0</v>
      </c>
      <c r="I488" s="72">
        <v>1926.1</v>
      </c>
      <c r="J488" s="17">
        <f t="shared" si="12"/>
        <v>0</v>
      </c>
      <c r="K488" s="17"/>
      <c r="L488" s="16" t="s">
        <v>18</v>
      </c>
      <c r="M488" s="16" t="s">
        <v>22</v>
      </c>
      <c r="N488" s="39"/>
    </row>
    <row r="489" spans="1:14" s="12" customFormat="1" ht="18">
      <c r="A489" s="178" t="s">
        <v>80</v>
      </c>
      <c r="B489" s="75" t="s">
        <v>704</v>
      </c>
      <c r="C489" s="39" t="s">
        <v>17</v>
      </c>
      <c r="D489" s="236"/>
      <c r="E489" s="236"/>
      <c r="F489" s="236"/>
      <c r="G489" s="236"/>
      <c r="H489" s="40">
        <f>SUM(Tabla132112410[[#This Row],[PRIMER TRIMESTRE]:[CUARTO TRIMESTRE]])</f>
        <v>0</v>
      </c>
      <c r="I489" s="72">
        <v>3940</v>
      </c>
      <c r="J489" s="17">
        <f t="shared" si="12"/>
        <v>0</v>
      </c>
      <c r="K489" s="17"/>
      <c r="L489" s="16" t="s">
        <v>18</v>
      </c>
      <c r="M489" s="16" t="s">
        <v>22</v>
      </c>
      <c r="N489" s="39"/>
    </row>
    <row r="490" spans="1:14" s="12" customFormat="1" ht="18">
      <c r="A490" s="178" t="s">
        <v>80</v>
      </c>
      <c r="B490" s="75" t="s">
        <v>1216</v>
      </c>
      <c r="C490" s="39" t="s">
        <v>17</v>
      </c>
      <c r="D490" s="236"/>
      <c r="E490" s="236"/>
      <c r="F490" s="236"/>
      <c r="G490" s="236"/>
      <c r="H490" s="40">
        <f>SUM(Tabla132112410[[#This Row],[PRIMER TRIMESTRE]:[CUARTO TRIMESTRE]])</f>
        <v>0</v>
      </c>
      <c r="I490" s="175">
        <v>3940</v>
      </c>
      <c r="J490" s="17">
        <f t="shared" si="12"/>
        <v>0</v>
      </c>
      <c r="K490" s="17"/>
      <c r="L490" s="16" t="s">
        <v>18</v>
      </c>
      <c r="M490" s="16" t="s">
        <v>22</v>
      </c>
      <c r="N490" s="39"/>
    </row>
    <row r="491" spans="1:14" s="12" customFormat="1" ht="18">
      <c r="A491" s="178" t="s">
        <v>80</v>
      </c>
      <c r="B491" s="75" t="s">
        <v>1215</v>
      </c>
      <c r="C491" s="39" t="s">
        <v>17</v>
      </c>
      <c r="D491" s="236"/>
      <c r="E491" s="236"/>
      <c r="F491" s="236"/>
      <c r="G491" s="236"/>
      <c r="H491" s="40">
        <f>SUM(Tabla132112410[[#This Row],[PRIMER TRIMESTRE]:[CUARTO TRIMESTRE]])</f>
        <v>0</v>
      </c>
      <c r="I491" s="72">
        <v>3940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</row>
    <row r="492" spans="1:14" s="12" customFormat="1" ht="18">
      <c r="A492" s="178" t="s">
        <v>80</v>
      </c>
      <c r="B492" s="75" t="s">
        <v>1620</v>
      </c>
      <c r="C492" s="39" t="s">
        <v>17</v>
      </c>
      <c r="D492" s="236"/>
      <c r="E492" s="236"/>
      <c r="F492" s="236"/>
      <c r="G492" s="236"/>
      <c r="H492" s="40">
        <f>SUM(Tabla132112410[[#This Row],[PRIMER TRIMESTRE]:[CUARTO TRIMESTRE]])</f>
        <v>0</v>
      </c>
      <c r="I492" s="72">
        <v>4973.5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</row>
    <row r="493" spans="1:14" s="12" customFormat="1" ht="18">
      <c r="A493" s="178" t="s">
        <v>80</v>
      </c>
      <c r="B493" s="75" t="s">
        <v>1850</v>
      </c>
      <c r="C493" s="39" t="s">
        <v>17</v>
      </c>
      <c r="D493" s="236"/>
      <c r="E493" s="236"/>
      <c r="F493" s="236"/>
      <c r="G493" s="236"/>
      <c r="H493" s="40">
        <v>0</v>
      </c>
      <c r="I493" s="72">
        <v>0</v>
      </c>
      <c r="J493" s="17">
        <v>0</v>
      </c>
      <c r="K493" s="17"/>
      <c r="L493" s="16" t="s">
        <v>18</v>
      </c>
      <c r="M493" s="16" t="s">
        <v>22</v>
      </c>
      <c r="N493" s="39"/>
    </row>
    <row r="494" spans="1:14" s="12" customFormat="1" ht="18">
      <c r="A494" s="178" t="s">
        <v>80</v>
      </c>
      <c r="B494" s="75" t="s">
        <v>1529</v>
      </c>
      <c r="C494" s="39" t="s">
        <v>17</v>
      </c>
      <c r="D494" s="236"/>
      <c r="E494" s="236"/>
      <c r="F494" s="236"/>
      <c r="G494" s="236"/>
      <c r="H494" s="236">
        <f>SUM(Tabla132112410[[#This Row],[PRIMER TRIMESTRE]:[CUARTO TRIMESTRE]])</f>
        <v>0</v>
      </c>
      <c r="I494" s="72">
        <v>4.57</v>
      </c>
      <c r="J494" s="17">
        <f t="shared" si="12"/>
        <v>0</v>
      </c>
      <c r="K494" s="17"/>
      <c r="L494" s="16" t="s">
        <v>18</v>
      </c>
      <c r="M494" s="16" t="s">
        <v>22</v>
      </c>
      <c r="N494" s="39"/>
    </row>
    <row r="495" spans="1:14" s="12" customFormat="1" ht="18">
      <c r="A495" s="178" t="s">
        <v>80</v>
      </c>
      <c r="B495" s="75" t="s">
        <v>1569</v>
      </c>
      <c r="C495" s="39" t="s">
        <v>17</v>
      </c>
      <c r="D495" s="236"/>
      <c r="E495" s="236"/>
      <c r="F495" s="236"/>
      <c r="G495" s="236"/>
      <c r="H495" s="236">
        <f>SUM(Tabla132112410[[#This Row],[PRIMER TRIMESTRE]:[CUARTO TRIMESTRE]])</f>
        <v>0</v>
      </c>
      <c r="I495" s="72">
        <v>85.92</v>
      </c>
      <c r="J495" s="17">
        <f t="shared" si="12"/>
        <v>0</v>
      </c>
      <c r="K495" s="17"/>
      <c r="L495" s="16" t="s">
        <v>18</v>
      </c>
      <c r="M495" s="16" t="s">
        <v>22</v>
      </c>
      <c r="N495" s="39"/>
    </row>
    <row r="496" spans="1:14" s="12" customFormat="1" ht="18">
      <c r="A496" s="178" t="s">
        <v>80</v>
      </c>
      <c r="B496" s="75" t="s">
        <v>1568</v>
      </c>
      <c r="C496" s="39" t="s">
        <v>17</v>
      </c>
      <c r="D496" s="236"/>
      <c r="E496" s="236"/>
      <c r="F496" s="236"/>
      <c r="G496" s="236"/>
      <c r="H496" s="236">
        <f>SUM(Tabla132112410[[#This Row],[PRIMER TRIMESTRE]:[CUARTO TRIMESTRE]])</f>
        <v>0</v>
      </c>
      <c r="I496" s="72">
        <v>26.5</v>
      </c>
      <c r="J496" s="17">
        <f t="shared" si="12"/>
        <v>0</v>
      </c>
      <c r="K496" s="17"/>
      <c r="L496" s="16" t="s">
        <v>18</v>
      </c>
      <c r="M496" s="16" t="s">
        <v>22</v>
      </c>
      <c r="N496" s="39"/>
    </row>
    <row r="497" spans="1:14" s="12" customFormat="1" ht="18">
      <c r="A497" s="178" t="s">
        <v>80</v>
      </c>
      <c r="B497" s="75" t="s">
        <v>1530</v>
      </c>
      <c r="C497" s="39" t="s">
        <v>17</v>
      </c>
      <c r="D497" s="236"/>
      <c r="E497" s="236"/>
      <c r="F497" s="236"/>
      <c r="G497" s="236"/>
      <c r="H497" s="236">
        <f>SUM(Tabla132112410[[#This Row],[PRIMER TRIMESTRE]:[CUARTO TRIMESTRE]])</f>
        <v>0</v>
      </c>
      <c r="I497" s="72">
        <v>6.07</v>
      </c>
      <c r="J497" s="17">
        <f t="shared" si="12"/>
        <v>0</v>
      </c>
      <c r="K497" s="17"/>
      <c r="L497" s="16" t="s">
        <v>18</v>
      </c>
      <c r="M497" s="16" t="s">
        <v>22</v>
      </c>
      <c r="N497" s="39"/>
    </row>
    <row r="498" spans="1:14" s="12" customFormat="1" ht="18">
      <c r="A498" s="178" t="s">
        <v>80</v>
      </c>
      <c r="B498" s="75" t="s">
        <v>387</v>
      </c>
      <c r="C498" s="39" t="s">
        <v>17</v>
      </c>
      <c r="D498" s="236"/>
      <c r="E498" s="236"/>
      <c r="F498" s="236"/>
      <c r="G498" s="236"/>
      <c r="H498" s="40">
        <f>SUM(Tabla132112410[[#This Row],[PRIMER TRIMESTRE]:[CUARTO TRIMESTRE]])</f>
        <v>0</v>
      </c>
      <c r="I498" s="17">
        <v>4.1100000000000003</v>
      </c>
      <c r="J498" s="17">
        <f t="shared" si="12"/>
        <v>0</v>
      </c>
      <c r="K498" s="17"/>
      <c r="L498" s="16" t="s">
        <v>18</v>
      </c>
      <c r="M498" s="16" t="s">
        <v>22</v>
      </c>
      <c r="N498" s="39"/>
    </row>
    <row r="499" spans="1:14" s="12" customFormat="1" ht="18">
      <c r="A499" s="178" t="s">
        <v>80</v>
      </c>
      <c r="B499" s="75" t="s">
        <v>388</v>
      </c>
      <c r="C499" s="39" t="s">
        <v>17</v>
      </c>
      <c r="D499" s="236"/>
      <c r="E499" s="236"/>
      <c r="F499" s="236"/>
      <c r="G499" s="236"/>
      <c r="H499" s="40">
        <f>SUM(Tabla132112410[[#This Row],[PRIMER TRIMESTRE]:[CUARTO TRIMESTRE]])</f>
        <v>0</v>
      </c>
      <c r="I499" s="17">
        <v>5.25</v>
      </c>
      <c r="J499" s="17">
        <f t="shared" si="12"/>
        <v>0</v>
      </c>
      <c r="K499" s="17"/>
      <c r="L499" s="16" t="s">
        <v>18</v>
      </c>
      <c r="M499" s="16" t="s">
        <v>22</v>
      </c>
      <c r="N499" s="39"/>
    </row>
    <row r="500" spans="1:14" s="12" customFormat="1" ht="18">
      <c r="A500" s="178" t="s">
        <v>80</v>
      </c>
      <c r="B500" s="75" t="s">
        <v>1567</v>
      </c>
      <c r="C500" s="39" t="s">
        <v>17</v>
      </c>
      <c r="D500" s="236"/>
      <c r="E500" s="236"/>
      <c r="F500" s="236"/>
      <c r="G500" s="236"/>
      <c r="H500" s="236">
        <f>SUM(Tabla132112410[[#This Row],[PRIMER TRIMESTRE]:[CUARTO TRIMESTRE]])</f>
        <v>0</v>
      </c>
      <c r="I500" s="17">
        <v>15</v>
      </c>
      <c r="J500" s="17">
        <f t="shared" si="12"/>
        <v>0</v>
      </c>
      <c r="K500" s="17"/>
      <c r="L500" s="16" t="s">
        <v>18</v>
      </c>
      <c r="M500" s="16" t="s">
        <v>22</v>
      </c>
      <c r="N500" s="39"/>
    </row>
    <row r="501" spans="1:14" s="12" customFormat="1" ht="18">
      <c r="A501" s="178" t="s">
        <v>80</v>
      </c>
      <c r="B501" s="75" t="s">
        <v>389</v>
      </c>
      <c r="C501" s="39" t="s">
        <v>17</v>
      </c>
      <c r="D501" s="236"/>
      <c r="E501" s="236"/>
      <c r="F501" s="236"/>
      <c r="G501" s="236"/>
      <c r="H501" s="40">
        <f>SUM(Tabla132112410[[#This Row],[PRIMER TRIMESTRE]:[CUARTO TRIMESTRE]])</f>
        <v>0</v>
      </c>
      <c r="I501" s="17">
        <v>11</v>
      </c>
      <c r="J501" s="17">
        <f t="shared" si="12"/>
        <v>0</v>
      </c>
      <c r="K501" s="17"/>
      <c r="L501" s="16" t="s">
        <v>18</v>
      </c>
      <c r="M501" s="16" t="s">
        <v>22</v>
      </c>
      <c r="N501" s="39"/>
    </row>
    <row r="502" spans="1:14" s="12" customFormat="1" ht="18">
      <c r="A502" s="178" t="s">
        <v>80</v>
      </c>
      <c r="B502" s="75" t="s">
        <v>1851</v>
      </c>
      <c r="C502" s="39" t="s">
        <v>17</v>
      </c>
      <c r="D502" s="236"/>
      <c r="E502" s="236"/>
      <c r="F502" s="236"/>
      <c r="G502" s="236"/>
      <c r="H502" s="40">
        <v>0</v>
      </c>
      <c r="I502" s="17">
        <v>0</v>
      </c>
      <c r="J502" s="17">
        <v>0</v>
      </c>
      <c r="K502" s="17"/>
      <c r="L502" s="16" t="s">
        <v>18</v>
      </c>
      <c r="M502" s="16" t="s">
        <v>22</v>
      </c>
      <c r="N502" s="39"/>
    </row>
    <row r="503" spans="1:14" s="12" customFormat="1" ht="25.5">
      <c r="A503" s="178" t="s">
        <v>80</v>
      </c>
      <c r="B503" s="75" t="s">
        <v>1716</v>
      </c>
      <c r="C503" s="39" t="s">
        <v>17</v>
      </c>
      <c r="D503" s="236"/>
      <c r="E503" s="236"/>
      <c r="F503" s="236"/>
      <c r="G503" s="236"/>
      <c r="H503" s="40">
        <v>0</v>
      </c>
      <c r="I503" s="17">
        <v>0</v>
      </c>
      <c r="J503" s="17">
        <v>0</v>
      </c>
      <c r="K503" s="17"/>
      <c r="L503" s="16" t="s">
        <v>18</v>
      </c>
      <c r="M503" s="16" t="s">
        <v>22</v>
      </c>
      <c r="N503" s="39"/>
    </row>
    <row r="504" spans="1:14" s="12" customFormat="1" ht="18">
      <c r="A504" s="178" t="s">
        <v>80</v>
      </c>
      <c r="B504" s="75" t="s">
        <v>1621</v>
      </c>
      <c r="C504" s="39" t="s">
        <v>17</v>
      </c>
      <c r="D504" s="236"/>
      <c r="E504" s="236"/>
      <c r="F504" s="236"/>
      <c r="G504" s="236"/>
      <c r="H504" s="236">
        <f>SUM(Tabla132112410[[#This Row],[PRIMER TRIMESTRE]:[CUARTO TRIMESTRE]])</f>
        <v>0</v>
      </c>
      <c r="I504" s="17">
        <v>6790</v>
      </c>
      <c r="J504" s="17">
        <f t="shared" si="12"/>
        <v>0</v>
      </c>
      <c r="K504" s="17"/>
      <c r="L504" s="16" t="s">
        <v>18</v>
      </c>
      <c r="M504" s="16" t="s">
        <v>22</v>
      </c>
      <c r="N504" s="39"/>
    </row>
    <row r="505" spans="1:14" s="12" customFormat="1" ht="18">
      <c r="A505" s="178" t="s">
        <v>80</v>
      </c>
      <c r="B505" s="75" t="s">
        <v>1482</v>
      </c>
      <c r="C505" s="39" t="s">
        <v>17</v>
      </c>
      <c r="D505" s="236"/>
      <c r="E505" s="236"/>
      <c r="F505" s="236"/>
      <c r="G505" s="236"/>
      <c r="H505" s="236">
        <f>SUM(Tabla132112410[[#This Row],[PRIMER TRIMESTRE]:[CUARTO TRIMESTRE]])</f>
        <v>0</v>
      </c>
      <c r="I505" s="17">
        <v>12500</v>
      </c>
      <c r="J505" s="17">
        <f t="shared" si="12"/>
        <v>0</v>
      </c>
      <c r="K505" s="17"/>
      <c r="L505" s="16" t="s">
        <v>18</v>
      </c>
      <c r="M505" s="16" t="s">
        <v>22</v>
      </c>
      <c r="N505" s="39"/>
    </row>
    <row r="506" spans="1:14" s="12" customFormat="1" ht="18">
      <c r="A506" s="178" t="s">
        <v>80</v>
      </c>
      <c r="B506" s="75" t="s">
        <v>1483</v>
      </c>
      <c r="C506" s="39" t="s">
        <v>17</v>
      </c>
      <c r="D506" s="236"/>
      <c r="E506" s="236"/>
      <c r="F506" s="236"/>
      <c r="G506" s="236"/>
      <c r="H506" s="236">
        <f>SUM(Tabla132112410[[#This Row],[PRIMER TRIMESTRE]:[CUARTO TRIMESTRE]])</f>
        <v>0</v>
      </c>
      <c r="I506" s="17">
        <v>11430</v>
      </c>
      <c r="J506" s="17">
        <f t="shared" si="12"/>
        <v>0</v>
      </c>
      <c r="K506" s="17"/>
      <c r="L506" s="16" t="s">
        <v>18</v>
      </c>
      <c r="M506" s="16" t="s">
        <v>22</v>
      </c>
      <c r="N506" s="39"/>
    </row>
    <row r="507" spans="1:14" s="12" customFormat="1" ht="25.5">
      <c r="A507" s="178" t="s">
        <v>80</v>
      </c>
      <c r="B507" s="75" t="s">
        <v>1484</v>
      </c>
      <c r="C507" s="39" t="s">
        <v>17</v>
      </c>
      <c r="D507" s="236"/>
      <c r="E507" s="236"/>
      <c r="F507" s="236"/>
      <c r="G507" s="236"/>
      <c r="H507" s="236">
        <f>SUM(Tabla132112410[[#This Row],[PRIMER TRIMESTRE]:[CUARTO TRIMESTRE]])</f>
        <v>0</v>
      </c>
      <c r="I507" s="17">
        <v>18242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</row>
    <row r="508" spans="1:14" s="12" customFormat="1" ht="25.5">
      <c r="A508" s="178" t="s">
        <v>80</v>
      </c>
      <c r="B508" s="75" t="s">
        <v>1485</v>
      </c>
      <c r="C508" s="39" t="s">
        <v>17</v>
      </c>
      <c r="D508" s="236"/>
      <c r="E508" s="236"/>
      <c r="F508" s="236"/>
      <c r="G508" s="236"/>
      <c r="H508" s="236">
        <f>SUM(Tabla132112410[[#This Row],[PRIMER TRIMESTRE]:[CUARTO TRIMESTRE]])</f>
        <v>0</v>
      </c>
      <c r="I508" s="17">
        <v>17900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</row>
    <row r="509" spans="1:14" s="12" customFormat="1" ht="18">
      <c r="A509" s="178" t="s">
        <v>80</v>
      </c>
      <c r="B509" s="75" t="s">
        <v>1486</v>
      </c>
      <c r="C509" s="39" t="s">
        <v>17</v>
      </c>
      <c r="D509" s="236"/>
      <c r="E509" s="236"/>
      <c r="F509" s="236"/>
      <c r="G509" s="236"/>
      <c r="H509" s="236">
        <f>SUM(Tabla132112410[[#This Row],[PRIMER TRIMESTRE]:[CUARTO TRIMESTRE]])</f>
        <v>0</v>
      </c>
      <c r="I509" s="17">
        <v>16800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</row>
    <row r="510" spans="1:14" s="12" customFormat="1" ht="25.5">
      <c r="A510" s="178" t="s">
        <v>80</v>
      </c>
      <c r="B510" s="75" t="s">
        <v>1487</v>
      </c>
      <c r="C510" s="39" t="s">
        <v>17</v>
      </c>
      <c r="D510" s="236"/>
      <c r="E510" s="236"/>
      <c r="F510" s="236"/>
      <c r="G510" s="236"/>
      <c r="H510" s="236">
        <f>SUM(Tabla132112410[[#This Row],[PRIMER TRIMESTRE]:[CUARTO TRIMESTRE]])</f>
        <v>0</v>
      </c>
      <c r="I510" s="17">
        <v>12500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</row>
    <row r="511" spans="1:14" s="12" customFormat="1" ht="25.5">
      <c r="A511" s="178" t="s">
        <v>80</v>
      </c>
      <c r="B511" s="75" t="s">
        <v>1488</v>
      </c>
      <c r="C511" s="39" t="s">
        <v>17</v>
      </c>
      <c r="D511" s="236"/>
      <c r="E511" s="236"/>
      <c r="F511" s="236"/>
      <c r="G511" s="236"/>
      <c r="H511" s="236">
        <f>SUM(Tabla132112410[[#This Row],[PRIMER TRIMESTRE]:[CUARTO TRIMESTRE]])</f>
        <v>0</v>
      </c>
      <c r="I511" s="17">
        <v>31500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</row>
    <row r="512" spans="1:14" s="12" customFormat="1" ht="25.5">
      <c r="A512" s="178" t="s">
        <v>1852</v>
      </c>
      <c r="B512" s="75" t="s">
        <v>1489</v>
      </c>
      <c r="C512" s="39" t="s">
        <v>17</v>
      </c>
      <c r="D512" s="236"/>
      <c r="E512" s="236"/>
      <c r="F512" s="236"/>
      <c r="G512" s="236"/>
      <c r="H512" s="40">
        <v>0</v>
      </c>
      <c r="I512" s="17">
        <v>0</v>
      </c>
      <c r="J512" s="17">
        <v>0</v>
      </c>
      <c r="K512" s="17"/>
      <c r="L512" s="16" t="s">
        <v>18</v>
      </c>
      <c r="M512" s="16" t="s">
        <v>22</v>
      </c>
      <c r="N512" s="39"/>
    </row>
    <row r="513" spans="1:14" s="12" customFormat="1" ht="25.5">
      <c r="A513" s="178" t="s">
        <v>80</v>
      </c>
      <c r="B513" s="75" t="s">
        <v>1489</v>
      </c>
      <c r="C513" s="39" t="s">
        <v>17</v>
      </c>
      <c r="D513" s="236"/>
      <c r="E513" s="236"/>
      <c r="F513" s="236"/>
      <c r="G513" s="236"/>
      <c r="H513" s="236">
        <f>SUM(Tabla132112410[[#This Row],[PRIMER TRIMESTRE]:[CUARTO TRIMESTRE]])</f>
        <v>0</v>
      </c>
      <c r="I513" s="17">
        <v>48500</v>
      </c>
      <c r="J513" s="17">
        <f t="shared" si="12"/>
        <v>0</v>
      </c>
      <c r="K513" s="17"/>
      <c r="L513" s="16" t="s">
        <v>18</v>
      </c>
      <c r="M513" s="16" t="s">
        <v>22</v>
      </c>
      <c r="N513" s="39"/>
    </row>
    <row r="514" spans="1:14" s="12" customFormat="1" ht="25.5">
      <c r="A514" s="178" t="s">
        <v>80</v>
      </c>
      <c r="B514" s="75" t="s">
        <v>1490</v>
      </c>
      <c r="C514" s="39" t="s">
        <v>17</v>
      </c>
      <c r="D514" s="236"/>
      <c r="E514" s="236"/>
      <c r="F514" s="236"/>
      <c r="G514" s="236"/>
      <c r="H514" s="236">
        <f>SUM(Tabla132112410[[#This Row],[PRIMER TRIMESTRE]:[CUARTO TRIMESTRE]])</f>
        <v>0</v>
      </c>
      <c r="I514" s="17">
        <v>22260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</row>
    <row r="515" spans="1:14" s="12" customFormat="1" ht="38.25">
      <c r="A515" s="178" t="s">
        <v>80</v>
      </c>
      <c r="B515" s="75" t="s">
        <v>1491</v>
      </c>
      <c r="C515" s="39" t="s">
        <v>17</v>
      </c>
      <c r="D515" s="236"/>
      <c r="E515" s="236"/>
      <c r="F515" s="236"/>
      <c r="G515" s="236"/>
      <c r="H515" s="236">
        <f>SUM(Tabla132112410[[#This Row],[PRIMER TRIMESTRE]:[CUARTO TRIMESTRE]])</f>
        <v>0</v>
      </c>
      <c r="I515" s="17">
        <v>25500</v>
      </c>
      <c r="J515" s="17">
        <f t="shared" si="12"/>
        <v>0</v>
      </c>
      <c r="K515" s="17"/>
      <c r="L515" s="16" t="s">
        <v>18</v>
      </c>
      <c r="M515" s="16" t="s">
        <v>22</v>
      </c>
      <c r="N515" s="39"/>
    </row>
    <row r="516" spans="1:14" s="12" customFormat="1" ht="38.25">
      <c r="A516" s="178" t="s">
        <v>80</v>
      </c>
      <c r="B516" s="75" t="s">
        <v>1492</v>
      </c>
      <c r="C516" s="39" t="s">
        <v>17</v>
      </c>
      <c r="D516" s="236"/>
      <c r="E516" s="236"/>
      <c r="F516" s="236"/>
      <c r="G516" s="236"/>
      <c r="H516" s="236">
        <f>SUM(Tabla132112410[[#This Row],[PRIMER TRIMESTRE]:[CUARTO TRIMESTRE]])</f>
        <v>0</v>
      </c>
      <c r="I516" s="17">
        <v>22600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</row>
    <row r="517" spans="1:14" s="12" customFormat="1" ht="25.5">
      <c r="A517" s="178" t="s">
        <v>80</v>
      </c>
      <c r="B517" s="75" t="s">
        <v>1493</v>
      </c>
      <c r="C517" s="39" t="s">
        <v>17</v>
      </c>
      <c r="D517" s="236"/>
      <c r="E517" s="236"/>
      <c r="F517" s="236"/>
      <c r="G517" s="236"/>
      <c r="H517" s="236">
        <f>SUM(Tabla132112410[[#This Row],[PRIMER TRIMESTRE]:[CUARTO TRIMESTRE]])</f>
        <v>0</v>
      </c>
      <c r="I517" s="17">
        <v>22350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</row>
    <row r="518" spans="1:14" s="12" customFormat="1" ht="38.25">
      <c r="A518" s="178" t="s">
        <v>80</v>
      </c>
      <c r="B518" s="75" t="s">
        <v>1494</v>
      </c>
      <c r="C518" s="39" t="s">
        <v>17</v>
      </c>
      <c r="D518" s="236"/>
      <c r="E518" s="236"/>
      <c r="F518" s="236"/>
      <c r="G518" s="236"/>
      <c r="H518" s="236">
        <f>SUM(Tabla132112410[[#This Row],[PRIMER TRIMESTRE]:[CUARTO TRIMESTRE]])</f>
        <v>0</v>
      </c>
      <c r="I518" s="17">
        <v>49500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</row>
    <row r="519" spans="1:14" s="12" customFormat="1" ht="38.25">
      <c r="A519" s="178" t="s">
        <v>80</v>
      </c>
      <c r="B519" s="75" t="s">
        <v>1495</v>
      </c>
      <c r="C519" s="39" t="s">
        <v>17</v>
      </c>
      <c r="D519" s="236"/>
      <c r="E519" s="236"/>
      <c r="F519" s="236"/>
      <c r="G519" s="236"/>
      <c r="H519" s="236">
        <f>SUM(Tabla132112410[[#This Row],[PRIMER TRIMESTRE]:[CUARTO TRIMESTRE]])</f>
        <v>0</v>
      </c>
      <c r="I519" s="17">
        <v>11200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</row>
    <row r="520" spans="1:14" s="12" customFormat="1" ht="51">
      <c r="A520" s="178" t="s">
        <v>80</v>
      </c>
      <c r="B520" s="75" t="s">
        <v>1496</v>
      </c>
      <c r="C520" s="39" t="s">
        <v>17</v>
      </c>
      <c r="D520" s="236"/>
      <c r="E520" s="236"/>
      <c r="F520" s="236"/>
      <c r="G520" s="236"/>
      <c r="H520" s="236">
        <f>SUM(Tabla132112410[[#This Row],[PRIMER TRIMESTRE]:[CUARTO TRIMESTRE]])</f>
        <v>0</v>
      </c>
      <c r="I520" s="17">
        <v>88000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</row>
    <row r="521" spans="1:14" s="12" customFormat="1" ht="38.25">
      <c r="A521" s="178" t="s">
        <v>80</v>
      </c>
      <c r="B521" s="75" t="s">
        <v>1497</v>
      </c>
      <c r="C521" s="39" t="s">
        <v>17</v>
      </c>
      <c r="D521" s="236"/>
      <c r="E521" s="236"/>
      <c r="F521" s="236"/>
      <c r="G521" s="236"/>
      <c r="H521" s="236">
        <f>SUM(Tabla132112410[[#This Row],[PRIMER TRIMESTRE]:[CUARTO TRIMESTRE]])</f>
        <v>0</v>
      </c>
      <c r="I521" s="17">
        <v>26500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</row>
    <row r="522" spans="1:14" s="12" customFormat="1" ht="38.25">
      <c r="A522" s="178" t="s">
        <v>80</v>
      </c>
      <c r="B522" s="75" t="s">
        <v>1498</v>
      </c>
      <c r="C522" s="39" t="s">
        <v>17</v>
      </c>
      <c r="D522" s="236"/>
      <c r="E522" s="236"/>
      <c r="F522" s="236"/>
      <c r="G522" s="236"/>
      <c r="H522" s="236">
        <f>SUM(Tabla132112410[[#This Row],[PRIMER TRIMESTRE]:[CUARTO TRIMESTRE]])</f>
        <v>0</v>
      </c>
      <c r="I522" s="17">
        <v>48500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</row>
    <row r="523" spans="1:14" s="12" customFormat="1" ht="18">
      <c r="A523" s="178" t="s">
        <v>80</v>
      </c>
      <c r="B523" s="75" t="s">
        <v>1499</v>
      </c>
      <c r="C523" s="39" t="s">
        <v>17</v>
      </c>
      <c r="D523" s="236"/>
      <c r="E523" s="236"/>
      <c r="F523" s="236"/>
      <c r="G523" s="236"/>
      <c r="H523" s="236">
        <f>SUM(Tabla132112410[[#This Row],[PRIMER TRIMESTRE]:[CUARTO TRIMESTRE]])</f>
        <v>0</v>
      </c>
      <c r="I523" s="17">
        <v>26500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</row>
    <row r="524" spans="1:14" s="12" customFormat="1" ht="25.5">
      <c r="A524" s="178" t="s">
        <v>80</v>
      </c>
      <c r="B524" s="75" t="s">
        <v>1500</v>
      </c>
      <c r="C524" s="39" t="s">
        <v>17</v>
      </c>
      <c r="D524" s="236"/>
      <c r="E524" s="236"/>
      <c r="F524" s="236"/>
      <c r="G524" s="236"/>
      <c r="H524" s="236">
        <f>SUM(Tabla132112410[[#This Row],[PRIMER TRIMESTRE]:[CUARTO TRIMESTRE]])</f>
        <v>0</v>
      </c>
      <c r="I524" s="17">
        <v>22700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</row>
    <row r="525" spans="1:14" s="12" customFormat="1" ht="25.5">
      <c r="A525" s="178" t="s">
        <v>80</v>
      </c>
      <c r="B525" s="75" t="s">
        <v>1501</v>
      </c>
      <c r="C525" s="39" t="s">
        <v>17</v>
      </c>
      <c r="D525" s="236"/>
      <c r="E525" s="236"/>
      <c r="F525" s="236"/>
      <c r="G525" s="236"/>
      <c r="H525" s="236">
        <f>SUM(Tabla132112410[[#This Row],[PRIMER TRIMESTRE]:[CUARTO TRIMESTRE]])</f>
        <v>0</v>
      </c>
      <c r="I525" s="17">
        <v>3220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</row>
    <row r="526" spans="1:14" s="12" customFormat="1" ht="18">
      <c r="A526" s="178" t="s">
        <v>80</v>
      </c>
      <c r="B526" s="75" t="s">
        <v>1534</v>
      </c>
      <c r="C526" s="39" t="s">
        <v>17</v>
      </c>
      <c r="D526" s="236"/>
      <c r="E526" s="236"/>
      <c r="F526" s="236"/>
      <c r="G526" s="236"/>
      <c r="H526" s="236">
        <f>SUM(Tabla132112410[[#This Row],[PRIMER TRIMESTRE]:[CUARTO TRIMESTRE]])</f>
        <v>0</v>
      </c>
      <c r="I526" s="17">
        <v>2380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</row>
    <row r="527" spans="1:14" s="12" customFormat="1" ht="25.5">
      <c r="A527" s="178" t="s">
        <v>80</v>
      </c>
      <c r="B527" s="75" t="s">
        <v>1682</v>
      </c>
      <c r="C527" s="39" t="s">
        <v>17</v>
      </c>
      <c r="D527" s="236"/>
      <c r="E527" s="236"/>
      <c r="F527" s="236"/>
      <c r="G527" s="236"/>
      <c r="H527" s="40">
        <v>0</v>
      </c>
      <c r="I527" s="17">
        <v>0</v>
      </c>
      <c r="J527" s="17">
        <v>0</v>
      </c>
      <c r="K527" s="17"/>
      <c r="L527" s="16" t="s">
        <v>18</v>
      </c>
      <c r="M527" s="16" t="s">
        <v>22</v>
      </c>
      <c r="N527" s="39"/>
    </row>
    <row r="528" spans="1:14" s="12" customFormat="1" ht="38.25">
      <c r="A528" s="178" t="s">
        <v>80</v>
      </c>
      <c r="B528" s="75" t="s">
        <v>1502</v>
      </c>
      <c r="C528" s="39" t="s">
        <v>17</v>
      </c>
      <c r="D528" s="236"/>
      <c r="E528" s="236"/>
      <c r="F528" s="236"/>
      <c r="G528" s="236"/>
      <c r="H528" s="236">
        <f>SUM(Tabla132112410[[#This Row],[PRIMER TRIMESTRE]:[CUARTO TRIMESTRE]])</f>
        <v>0</v>
      </c>
      <c r="I528" s="17">
        <v>34440</v>
      </c>
      <c r="J528" s="17">
        <f t="shared" si="12"/>
        <v>0</v>
      </c>
      <c r="K528" s="17"/>
      <c r="L528" s="16" t="s">
        <v>18</v>
      </c>
      <c r="M528" s="16" t="s">
        <v>22</v>
      </c>
      <c r="N528" s="39"/>
    </row>
    <row r="529" spans="1:14" s="12" customFormat="1" ht="25.5">
      <c r="A529" s="178" t="s">
        <v>80</v>
      </c>
      <c r="B529" s="75" t="s">
        <v>1503</v>
      </c>
      <c r="C529" s="39" t="s">
        <v>17</v>
      </c>
      <c r="D529" s="236"/>
      <c r="E529" s="236"/>
      <c r="F529" s="236"/>
      <c r="G529" s="236"/>
      <c r="H529" s="236">
        <f>SUM(Tabla132112410[[#This Row],[PRIMER TRIMESTRE]:[CUARTO TRIMESTRE]])</f>
        <v>0</v>
      </c>
      <c r="I529" s="17">
        <v>2600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</row>
    <row r="530" spans="1:14" s="12" customFormat="1" ht="25.5">
      <c r="A530" s="178" t="s">
        <v>80</v>
      </c>
      <c r="B530" s="75" t="s">
        <v>1504</v>
      </c>
      <c r="C530" s="39" t="s">
        <v>17</v>
      </c>
      <c r="D530" s="236"/>
      <c r="E530" s="236"/>
      <c r="F530" s="236"/>
      <c r="G530" s="236"/>
      <c r="H530" s="236">
        <f>SUM(Tabla132112410[[#This Row],[PRIMER TRIMESTRE]:[CUARTO TRIMESTRE]])</f>
        <v>0</v>
      </c>
      <c r="I530" s="17">
        <v>14280</v>
      </c>
      <c r="J530" s="17">
        <f t="shared" si="12"/>
        <v>0</v>
      </c>
      <c r="K530" s="17"/>
      <c r="L530" s="16" t="s">
        <v>18</v>
      </c>
      <c r="M530" s="16" t="s">
        <v>22</v>
      </c>
      <c r="N530" s="39"/>
    </row>
    <row r="531" spans="1:14" s="12" customFormat="1" ht="38.25">
      <c r="A531" s="178" t="s">
        <v>80</v>
      </c>
      <c r="B531" s="75" t="s">
        <v>1505</v>
      </c>
      <c r="C531" s="39" t="s">
        <v>17</v>
      </c>
      <c r="D531" s="236"/>
      <c r="E531" s="236"/>
      <c r="F531" s="236"/>
      <c r="G531" s="236"/>
      <c r="H531" s="236">
        <f>SUM(Tabla132112410[[#This Row],[PRIMER TRIMESTRE]:[CUARTO TRIMESTRE]])</f>
        <v>0</v>
      </c>
      <c r="I531" s="17">
        <v>15708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</row>
    <row r="532" spans="1:14" s="12" customFormat="1" ht="38.25">
      <c r="A532" s="178" t="s">
        <v>80</v>
      </c>
      <c r="B532" s="75" t="s">
        <v>1506</v>
      </c>
      <c r="C532" s="39" t="s">
        <v>17</v>
      </c>
      <c r="D532" s="236"/>
      <c r="E532" s="236"/>
      <c r="F532" s="236"/>
      <c r="G532" s="236"/>
      <c r="H532" s="236">
        <f>SUM(Tabla132112410[[#This Row],[PRIMER TRIMESTRE]:[CUARTO TRIMESTRE]])</f>
        <v>0</v>
      </c>
      <c r="I532" s="17">
        <v>29481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</row>
    <row r="533" spans="1:14" s="12" customFormat="1" ht="38.25">
      <c r="A533" s="178" t="s">
        <v>80</v>
      </c>
      <c r="B533" s="75" t="s">
        <v>1507</v>
      </c>
      <c r="C533" s="39" t="s">
        <v>17</v>
      </c>
      <c r="D533" s="236"/>
      <c r="E533" s="236"/>
      <c r="F533" s="236"/>
      <c r="G533" s="236"/>
      <c r="H533" s="236">
        <f>SUM(Tabla132112410[[#This Row],[PRIMER TRIMESTRE]:[CUARTO TRIMESTRE]])</f>
        <v>0</v>
      </c>
      <c r="I533" s="17">
        <v>29000</v>
      </c>
      <c r="J533" s="17">
        <f t="shared" si="12"/>
        <v>0</v>
      </c>
      <c r="K533" s="17"/>
      <c r="L533" s="16" t="s">
        <v>18</v>
      </c>
      <c r="M533" s="16" t="s">
        <v>22</v>
      </c>
      <c r="N533" s="39"/>
    </row>
    <row r="534" spans="1:14" s="12" customFormat="1" ht="51">
      <c r="A534" s="178" t="s">
        <v>80</v>
      </c>
      <c r="B534" s="75" t="s">
        <v>1592</v>
      </c>
      <c r="C534" s="39" t="s">
        <v>17</v>
      </c>
      <c r="D534" s="236"/>
      <c r="E534" s="236"/>
      <c r="F534" s="236"/>
      <c r="G534" s="236"/>
      <c r="H534" s="236">
        <f>SUM(Tabla132112410[[#This Row],[PRIMER TRIMESTRE]:[CUARTO TRIMESTRE]])</f>
        <v>0</v>
      </c>
      <c r="I534" s="17">
        <v>52242</v>
      </c>
      <c r="J534" s="17">
        <f t="shared" si="12"/>
        <v>0</v>
      </c>
      <c r="K534" s="17"/>
      <c r="L534" s="16" t="s">
        <v>18</v>
      </c>
      <c r="M534" s="16" t="s">
        <v>22</v>
      </c>
      <c r="N534" s="39"/>
    </row>
    <row r="535" spans="1:14" s="12" customFormat="1" ht="18">
      <c r="A535" s="178" t="s">
        <v>80</v>
      </c>
      <c r="B535" s="75" t="s">
        <v>1552</v>
      </c>
      <c r="C535" s="39" t="s">
        <v>17</v>
      </c>
      <c r="D535" s="236"/>
      <c r="E535" s="236"/>
      <c r="F535" s="236"/>
      <c r="G535" s="236"/>
      <c r="H535" s="236">
        <f>SUM(Tabla132112410[[#This Row],[PRIMER TRIMESTRE]:[CUARTO TRIMESTRE]])</f>
        <v>0</v>
      </c>
      <c r="I535" s="17">
        <v>28.8</v>
      </c>
      <c r="J535" s="17">
        <f t="shared" si="12"/>
        <v>0</v>
      </c>
      <c r="K535" s="17"/>
      <c r="L535" s="16" t="s">
        <v>18</v>
      </c>
      <c r="M535" s="16" t="s">
        <v>22</v>
      </c>
      <c r="N535" s="39"/>
    </row>
    <row r="536" spans="1:14" s="12" customFormat="1" ht="38.25">
      <c r="A536" s="178" t="s">
        <v>80</v>
      </c>
      <c r="B536" s="75" t="s">
        <v>663</v>
      </c>
      <c r="C536" s="39" t="s">
        <v>17</v>
      </c>
      <c r="D536" s="236"/>
      <c r="E536" s="236"/>
      <c r="F536" s="236"/>
      <c r="G536" s="236"/>
      <c r="H536" s="40">
        <f>SUM(Tabla132112410[[#This Row],[PRIMER TRIMESTRE]:[CUARTO TRIMESTRE]])</f>
        <v>0</v>
      </c>
      <c r="I536" s="72">
        <v>15930</v>
      </c>
      <c r="J536" s="17">
        <f t="shared" si="12"/>
        <v>0</v>
      </c>
      <c r="K536" s="17"/>
      <c r="L536" s="16" t="s">
        <v>18</v>
      </c>
      <c r="M536" s="16" t="s">
        <v>22</v>
      </c>
      <c r="N536" s="39"/>
    </row>
    <row r="537" spans="1:14" s="12" customFormat="1" ht="38.25">
      <c r="A537" s="178" t="s">
        <v>80</v>
      </c>
      <c r="B537" s="75" t="s">
        <v>662</v>
      </c>
      <c r="C537" s="39" t="s">
        <v>17</v>
      </c>
      <c r="D537" s="236"/>
      <c r="E537" s="236"/>
      <c r="F537" s="236"/>
      <c r="G537" s="236"/>
      <c r="H537" s="40">
        <f>SUM(Tabla132112410[[#This Row],[PRIMER TRIMESTRE]:[CUARTO TRIMESTRE]])</f>
        <v>0</v>
      </c>
      <c r="I537" s="72">
        <f>15500*1.18</f>
        <v>18290</v>
      </c>
      <c r="J537" s="17">
        <f t="shared" si="12"/>
        <v>0</v>
      </c>
      <c r="K537" s="17"/>
      <c r="L537" s="16" t="s">
        <v>18</v>
      </c>
      <c r="M537" s="16" t="s">
        <v>22</v>
      </c>
      <c r="N537" s="39"/>
    </row>
    <row r="538" spans="1:14" s="12" customFormat="1" ht="38.25">
      <c r="A538" s="178" t="s">
        <v>80</v>
      </c>
      <c r="B538" s="75" t="s">
        <v>664</v>
      </c>
      <c r="C538" s="39" t="s">
        <v>17</v>
      </c>
      <c r="D538" s="236"/>
      <c r="E538" s="236"/>
      <c r="F538" s="236"/>
      <c r="G538" s="236"/>
      <c r="H538" s="40">
        <f>SUM(Tabla132112410[[#This Row],[PRIMER TRIMESTRE]:[CUARTO TRIMESTRE]])</f>
        <v>0</v>
      </c>
      <c r="I538" s="72">
        <f>18500*1.18</f>
        <v>21830</v>
      </c>
      <c r="J538" s="17">
        <f t="shared" si="12"/>
        <v>0</v>
      </c>
      <c r="K538" s="17"/>
      <c r="L538" s="16" t="s">
        <v>18</v>
      </c>
      <c r="M538" s="16" t="s">
        <v>22</v>
      </c>
      <c r="N538" s="39"/>
    </row>
    <row r="539" spans="1:14" s="12" customFormat="1" ht="51">
      <c r="A539" s="178" t="s">
        <v>80</v>
      </c>
      <c r="B539" s="75" t="s">
        <v>672</v>
      </c>
      <c r="C539" s="39" t="s">
        <v>17</v>
      </c>
      <c r="D539" s="236"/>
      <c r="E539" s="236"/>
      <c r="F539" s="236"/>
      <c r="G539" s="236"/>
      <c r="H539" s="40">
        <f>SUM(Tabla132112410[[#This Row],[PRIMER TRIMESTRE]:[CUARTO TRIMESTRE]])</f>
        <v>0</v>
      </c>
      <c r="I539" s="72">
        <f>13800*1.18</f>
        <v>16284</v>
      </c>
      <c r="J539" s="17">
        <f t="shared" si="12"/>
        <v>0</v>
      </c>
      <c r="K539" s="17"/>
      <c r="L539" s="16" t="s">
        <v>18</v>
      </c>
      <c r="M539" s="16" t="s">
        <v>22</v>
      </c>
      <c r="N539" s="39"/>
    </row>
    <row r="540" spans="1:14" s="12" customFormat="1" ht="51">
      <c r="A540" s="178" t="s">
        <v>80</v>
      </c>
      <c r="B540" s="75" t="s">
        <v>665</v>
      </c>
      <c r="C540" s="39" t="s">
        <v>17</v>
      </c>
      <c r="D540" s="236"/>
      <c r="E540" s="236"/>
      <c r="F540" s="236"/>
      <c r="G540" s="236"/>
      <c r="H540" s="40">
        <f>SUM(Tabla132112410[[#This Row],[PRIMER TRIMESTRE]:[CUARTO TRIMESTRE]])</f>
        <v>0</v>
      </c>
      <c r="I540" s="17">
        <f>15950*1.18</f>
        <v>18821</v>
      </c>
      <c r="J540" s="17">
        <f t="shared" si="12"/>
        <v>0</v>
      </c>
      <c r="K540" s="17"/>
      <c r="L540" s="16" t="s">
        <v>18</v>
      </c>
      <c r="M540" s="16" t="s">
        <v>22</v>
      </c>
      <c r="N540" s="39"/>
    </row>
    <row r="541" spans="1:14" s="12" customFormat="1" ht="51">
      <c r="A541" s="178" t="s">
        <v>80</v>
      </c>
      <c r="B541" s="75" t="s">
        <v>666</v>
      </c>
      <c r="C541" s="39" t="s">
        <v>17</v>
      </c>
      <c r="D541" s="236"/>
      <c r="E541" s="236"/>
      <c r="F541" s="236"/>
      <c r="G541" s="236"/>
      <c r="H541" s="40">
        <f>SUM(Tabla132112410[[#This Row],[PRIMER TRIMESTRE]:[CUARTO TRIMESTRE]])</f>
        <v>0</v>
      </c>
      <c r="I541" s="17">
        <f>18950*1.18</f>
        <v>22361</v>
      </c>
      <c r="J541" s="17">
        <f t="shared" si="12"/>
        <v>0</v>
      </c>
      <c r="K541" s="17"/>
      <c r="L541" s="16" t="s">
        <v>18</v>
      </c>
      <c r="M541" s="16" t="s">
        <v>22</v>
      </c>
      <c r="N541" s="39"/>
    </row>
    <row r="542" spans="1:14" s="12" customFormat="1" ht="51">
      <c r="A542" s="178" t="s">
        <v>80</v>
      </c>
      <c r="B542" s="75" t="s">
        <v>667</v>
      </c>
      <c r="C542" s="39" t="s">
        <v>17</v>
      </c>
      <c r="D542" s="236"/>
      <c r="E542" s="236"/>
      <c r="F542" s="236"/>
      <c r="G542" s="236"/>
      <c r="H542" s="40">
        <f>SUM(Tabla132112410[[#This Row],[PRIMER TRIMESTRE]:[CUARTO TRIMESTRE]])</f>
        <v>0</v>
      </c>
      <c r="I542" s="17">
        <f>23500*1.18</f>
        <v>27730</v>
      </c>
      <c r="J542" s="17">
        <f t="shared" si="12"/>
        <v>0</v>
      </c>
      <c r="K542" s="17"/>
      <c r="L542" s="16" t="s">
        <v>18</v>
      </c>
      <c r="M542" s="16" t="s">
        <v>22</v>
      </c>
      <c r="N542" s="39"/>
    </row>
    <row r="543" spans="1:14" s="12" customFormat="1" ht="51">
      <c r="A543" s="178" t="s">
        <v>80</v>
      </c>
      <c r="B543" s="75" t="s">
        <v>668</v>
      </c>
      <c r="C543" s="39" t="s">
        <v>17</v>
      </c>
      <c r="D543" s="236"/>
      <c r="E543" s="236"/>
      <c r="F543" s="236"/>
      <c r="G543" s="236"/>
      <c r="H543" s="40">
        <f>SUM(Tabla132112410[[#This Row],[PRIMER TRIMESTRE]:[CUARTO TRIMESTRE]])</f>
        <v>0</v>
      </c>
      <c r="I543" s="17">
        <f>32800*1.18</f>
        <v>38704</v>
      </c>
      <c r="J543" s="17">
        <f t="shared" si="12"/>
        <v>0</v>
      </c>
      <c r="K543" s="17"/>
      <c r="L543" s="16" t="s">
        <v>18</v>
      </c>
      <c r="M543" s="16" t="s">
        <v>22</v>
      </c>
      <c r="N543" s="39"/>
    </row>
    <row r="544" spans="1:14" s="12" customFormat="1" ht="51">
      <c r="A544" s="178" t="s">
        <v>80</v>
      </c>
      <c r="B544" s="75" t="s">
        <v>669</v>
      </c>
      <c r="C544" s="39" t="s">
        <v>17</v>
      </c>
      <c r="D544" s="236"/>
      <c r="E544" s="236"/>
      <c r="F544" s="236"/>
      <c r="G544" s="236"/>
      <c r="H544" s="40">
        <f>SUM(Tabla132112410[[#This Row],[PRIMER TRIMESTRE]:[CUARTO TRIMESTRE]])</f>
        <v>0</v>
      </c>
      <c r="I544" s="17">
        <f>56500*1.18</f>
        <v>66670</v>
      </c>
      <c r="J544" s="17">
        <f t="shared" si="12"/>
        <v>0</v>
      </c>
      <c r="K544" s="17"/>
      <c r="L544" s="16" t="s">
        <v>18</v>
      </c>
      <c r="M544" s="16" t="s">
        <v>22</v>
      </c>
      <c r="N544" s="39"/>
    </row>
    <row r="545" spans="1:14" s="12" customFormat="1" ht="51">
      <c r="A545" s="178" t="s">
        <v>80</v>
      </c>
      <c r="B545" s="75" t="s">
        <v>670</v>
      </c>
      <c r="C545" s="39" t="s">
        <v>17</v>
      </c>
      <c r="D545" s="236"/>
      <c r="E545" s="236"/>
      <c r="F545" s="236"/>
      <c r="G545" s="236"/>
      <c r="H545" s="40">
        <f>SUM(Tabla132112410[[#This Row],[PRIMER TRIMESTRE]:[CUARTO TRIMESTRE]])</f>
        <v>0</v>
      </c>
      <c r="I545" s="17">
        <f>74000*1.18</f>
        <v>87320</v>
      </c>
      <c r="J545" s="17">
        <f t="shared" si="12"/>
        <v>0</v>
      </c>
      <c r="K545" s="17"/>
      <c r="L545" s="16" t="s">
        <v>18</v>
      </c>
      <c r="M545" s="16" t="s">
        <v>22</v>
      </c>
      <c r="N545" s="39"/>
    </row>
    <row r="546" spans="1:14" s="12" customFormat="1" ht="51">
      <c r="A546" s="178" t="s">
        <v>80</v>
      </c>
      <c r="B546" s="75" t="s">
        <v>671</v>
      </c>
      <c r="C546" s="39" t="s">
        <v>17</v>
      </c>
      <c r="D546" s="236"/>
      <c r="E546" s="236"/>
      <c r="F546" s="236"/>
      <c r="G546" s="236"/>
      <c r="H546" s="40">
        <f>SUM(Tabla132112410[[#This Row],[PRIMER TRIMESTRE]:[CUARTO TRIMESTRE]])</f>
        <v>0</v>
      </c>
      <c r="I546" s="17">
        <f>245000*1.18</f>
        <v>289100</v>
      </c>
      <c r="J546" s="17">
        <f t="shared" si="12"/>
        <v>0</v>
      </c>
      <c r="K546" s="17"/>
      <c r="L546" s="16" t="s">
        <v>18</v>
      </c>
      <c r="M546" s="16" t="s">
        <v>22</v>
      </c>
      <c r="N546" s="39"/>
    </row>
    <row r="547" spans="1:14" s="12" customFormat="1" ht="51">
      <c r="A547" s="178" t="s">
        <v>80</v>
      </c>
      <c r="B547" s="75" t="s">
        <v>676</v>
      </c>
      <c r="C547" s="39" t="s">
        <v>17</v>
      </c>
      <c r="D547" s="236"/>
      <c r="E547" s="236"/>
      <c r="F547" s="236"/>
      <c r="G547" s="236"/>
      <c r="H547" s="40">
        <f>SUM(Tabla132112410[[#This Row],[PRIMER TRIMESTRE]:[CUARTO TRIMESTRE]])</f>
        <v>0</v>
      </c>
      <c r="I547" s="17">
        <v>40200</v>
      </c>
      <c r="J547" s="17">
        <f t="shared" si="12"/>
        <v>0</v>
      </c>
      <c r="K547" s="17"/>
      <c r="L547" s="16" t="s">
        <v>18</v>
      </c>
      <c r="M547" s="16" t="s">
        <v>22</v>
      </c>
      <c r="N547" s="39"/>
    </row>
    <row r="548" spans="1:14" s="12" customFormat="1" ht="51">
      <c r="A548" s="178" t="s">
        <v>80</v>
      </c>
      <c r="B548" s="75" t="s">
        <v>677</v>
      </c>
      <c r="C548" s="39" t="s">
        <v>17</v>
      </c>
      <c r="D548" s="236"/>
      <c r="E548" s="236"/>
      <c r="F548" s="236"/>
      <c r="G548" s="236"/>
      <c r="H548" s="40">
        <f>SUM(Tabla132112410[[#This Row],[PRIMER TRIMESTRE]:[CUARTO TRIMESTRE]])</f>
        <v>0</v>
      </c>
      <c r="I548" s="17">
        <v>49500</v>
      </c>
      <c r="J548" s="17">
        <f t="shared" si="12"/>
        <v>0</v>
      </c>
      <c r="K548" s="17"/>
      <c r="L548" s="16" t="s">
        <v>18</v>
      </c>
      <c r="M548" s="16" t="s">
        <v>22</v>
      </c>
      <c r="N548" s="39"/>
    </row>
    <row r="549" spans="1:14" s="12" customFormat="1" ht="51">
      <c r="A549" s="178" t="s">
        <v>80</v>
      </c>
      <c r="B549" s="75" t="s">
        <v>678</v>
      </c>
      <c r="C549" s="39" t="s">
        <v>17</v>
      </c>
      <c r="D549" s="236"/>
      <c r="E549" s="236"/>
      <c r="F549" s="236"/>
      <c r="G549" s="236"/>
      <c r="H549" s="40">
        <f>SUM(Tabla132112410[[#This Row],[PRIMER TRIMESTRE]:[CUARTO TRIMESTRE]])</f>
        <v>0</v>
      </c>
      <c r="I549" s="17">
        <v>73250</v>
      </c>
      <c r="J549" s="17">
        <f t="shared" si="12"/>
        <v>0</v>
      </c>
      <c r="K549" s="17"/>
      <c r="L549" s="16" t="s">
        <v>18</v>
      </c>
      <c r="M549" s="16" t="s">
        <v>22</v>
      </c>
      <c r="N549" s="39"/>
    </row>
    <row r="550" spans="1:14" s="12" customFormat="1" ht="51">
      <c r="A550" s="178" t="s">
        <v>80</v>
      </c>
      <c r="B550" s="75" t="s">
        <v>679</v>
      </c>
      <c r="C550" s="39" t="s">
        <v>17</v>
      </c>
      <c r="D550" s="236"/>
      <c r="E550" s="236"/>
      <c r="F550" s="236"/>
      <c r="G550" s="236"/>
      <c r="H550" s="40">
        <f>SUM(Tabla132112410[[#This Row],[PRIMER TRIMESTRE]:[CUARTO TRIMESTRE]])</f>
        <v>0</v>
      </c>
      <c r="I550" s="72">
        <v>289000</v>
      </c>
      <c r="J550" s="17">
        <f t="shared" ref="J550:J575" si="13">+H550*I550</f>
        <v>0</v>
      </c>
      <c r="K550" s="17"/>
      <c r="L550" s="16" t="s">
        <v>18</v>
      </c>
      <c r="M550" s="16" t="s">
        <v>22</v>
      </c>
      <c r="N550" s="39"/>
    </row>
    <row r="551" spans="1:14" s="12" customFormat="1" ht="51">
      <c r="A551" s="178" t="s">
        <v>80</v>
      </c>
      <c r="B551" s="75" t="s">
        <v>680</v>
      </c>
      <c r="C551" s="39" t="s">
        <v>17</v>
      </c>
      <c r="D551" s="236"/>
      <c r="E551" s="236"/>
      <c r="F551" s="236"/>
      <c r="G551" s="236"/>
      <c r="H551" s="40">
        <f>SUM(Tabla132112410[[#This Row],[PRIMER TRIMESTRE]:[CUARTO TRIMESTRE]])</f>
        <v>0</v>
      </c>
      <c r="I551" s="72">
        <f>26800*1.18</f>
        <v>31624</v>
      </c>
      <c r="J551" s="17">
        <f t="shared" si="13"/>
        <v>0</v>
      </c>
      <c r="K551" s="17"/>
      <c r="L551" s="16" t="s">
        <v>18</v>
      </c>
      <c r="M551" s="16" t="s">
        <v>22</v>
      </c>
      <c r="N551" s="39"/>
    </row>
    <row r="552" spans="1:14" s="12" customFormat="1" ht="51">
      <c r="A552" s="178" t="s">
        <v>80</v>
      </c>
      <c r="B552" s="75" t="s">
        <v>681</v>
      </c>
      <c r="C552" s="39" t="s">
        <v>17</v>
      </c>
      <c r="D552" s="236"/>
      <c r="E552" s="236"/>
      <c r="F552" s="236"/>
      <c r="G552" s="236"/>
      <c r="H552" s="40">
        <f>SUM(Tabla132112410[[#This Row],[PRIMER TRIMESTRE]:[CUARTO TRIMESTRE]])</f>
        <v>0</v>
      </c>
      <c r="I552" s="17">
        <f>39500*1.18</f>
        <v>46610</v>
      </c>
      <c r="J552" s="17">
        <f t="shared" si="13"/>
        <v>0</v>
      </c>
      <c r="K552" s="17"/>
      <c r="L552" s="16" t="s">
        <v>18</v>
      </c>
      <c r="M552" s="16" t="s">
        <v>22</v>
      </c>
      <c r="N552" s="39"/>
    </row>
    <row r="553" spans="1:14" s="12" customFormat="1" ht="51">
      <c r="A553" s="178" t="s">
        <v>80</v>
      </c>
      <c r="B553" s="75" t="s">
        <v>683</v>
      </c>
      <c r="C553" s="39" t="s">
        <v>17</v>
      </c>
      <c r="D553" s="236"/>
      <c r="E553" s="236"/>
      <c r="F553" s="236"/>
      <c r="G553" s="236"/>
      <c r="H553" s="40">
        <f>SUM(Tabla132112410[[#This Row],[PRIMER TRIMESTRE]:[CUARTO TRIMESTRE]])</f>
        <v>0</v>
      </c>
      <c r="I553" s="72">
        <v>68487.199999999997</v>
      </c>
      <c r="J553" s="17">
        <f t="shared" si="13"/>
        <v>0</v>
      </c>
      <c r="K553" s="17"/>
      <c r="L553" s="16" t="s">
        <v>18</v>
      </c>
      <c r="M553" s="16" t="s">
        <v>22</v>
      </c>
      <c r="N553" s="39"/>
    </row>
    <row r="554" spans="1:14" s="12" customFormat="1" ht="51">
      <c r="A554" s="178" t="s">
        <v>80</v>
      </c>
      <c r="B554" s="75" t="s">
        <v>682</v>
      </c>
      <c r="C554" s="39" t="s">
        <v>17</v>
      </c>
      <c r="D554" s="236"/>
      <c r="E554" s="236"/>
      <c r="F554" s="236"/>
      <c r="G554" s="236"/>
      <c r="H554" s="40">
        <f>SUM(Tabla132112410[[#This Row],[PRIMER TRIMESTRE]:[CUARTO TRIMESTRE]])</f>
        <v>0</v>
      </c>
      <c r="I554" s="72">
        <v>304100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</row>
    <row r="555" spans="1:14" s="12" customFormat="1" ht="25.5">
      <c r="A555" s="178" t="s">
        <v>80</v>
      </c>
      <c r="B555" s="75" t="s">
        <v>1720</v>
      </c>
      <c r="C555" s="39" t="s">
        <v>17</v>
      </c>
      <c r="D555" s="236"/>
      <c r="E555" s="236"/>
      <c r="F555" s="236"/>
      <c r="G555" s="236"/>
      <c r="H555" s="40">
        <v>0</v>
      </c>
      <c r="I555" s="72">
        <v>0</v>
      </c>
      <c r="J555" s="17">
        <v>0</v>
      </c>
      <c r="K555" s="17"/>
      <c r="L555" s="16" t="s">
        <v>18</v>
      </c>
      <c r="M555" s="16" t="s">
        <v>22</v>
      </c>
      <c r="N555" s="39"/>
    </row>
    <row r="556" spans="1:14" s="12" customFormat="1" ht="18">
      <c r="A556" s="178" t="s">
        <v>80</v>
      </c>
      <c r="B556" s="75" t="s">
        <v>635</v>
      </c>
      <c r="C556" s="39" t="s">
        <v>17</v>
      </c>
      <c r="D556" s="236"/>
      <c r="E556" s="236"/>
      <c r="F556" s="236"/>
      <c r="G556" s="236"/>
      <c r="H556" s="40">
        <f>SUM(Tabla132112410[[#This Row],[PRIMER TRIMESTRE]:[CUARTO TRIMESTRE]])</f>
        <v>0</v>
      </c>
      <c r="I556" s="17">
        <v>94400</v>
      </c>
      <c r="J556" s="17">
        <f t="shared" si="13"/>
        <v>0</v>
      </c>
      <c r="K556" s="17"/>
      <c r="L556" s="16" t="s">
        <v>18</v>
      </c>
      <c r="M556" s="16" t="s">
        <v>22</v>
      </c>
      <c r="N556" s="39"/>
    </row>
    <row r="557" spans="1:14" s="12" customFormat="1" ht="18">
      <c r="A557" s="178" t="s">
        <v>80</v>
      </c>
      <c r="B557" s="75" t="s">
        <v>636</v>
      </c>
      <c r="C557" s="39" t="s">
        <v>17</v>
      </c>
      <c r="D557" s="236"/>
      <c r="E557" s="236"/>
      <c r="F557" s="236"/>
      <c r="G557" s="236"/>
      <c r="H557" s="40">
        <f>SUM(Tabla132112410[[#This Row],[PRIMER TRIMESTRE]:[CUARTO TRIMESTRE]])</f>
        <v>0</v>
      </c>
      <c r="I557" s="17">
        <v>106200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</row>
    <row r="558" spans="1:14" s="12" customFormat="1" ht="18">
      <c r="A558" s="178" t="s">
        <v>80</v>
      </c>
      <c r="B558" s="75" t="s">
        <v>637</v>
      </c>
      <c r="C558" s="39" t="s">
        <v>17</v>
      </c>
      <c r="D558" s="236"/>
      <c r="E558" s="236"/>
      <c r="F558" s="236"/>
      <c r="G558" s="236"/>
      <c r="H558" s="40">
        <f>SUM(Tabla132112410[[#This Row],[PRIMER TRIMESTRE]:[CUARTO TRIMESTRE]])</f>
        <v>0</v>
      </c>
      <c r="I558" s="17">
        <v>112100</v>
      </c>
      <c r="J558" s="17">
        <f t="shared" si="13"/>
        <v>0</v>
      </c>
      <c r="K558" s="17"/>
      <c r="L558" s="16" t="s">
        <v>18</v>
      </c>
      <c r="M558" s="16" t="s">
        <v>22</v>
      </c>
      <c r="N558" s="39"/>
    </row>
    <row r="559" spans="1:14" s="12" customFormat="1" ht="38.25">
      <c r="A559" s="178" t="s">
        <v>80</v>
      </c>
      <c r="B559" s="75" t="s">
        <v>685</v>
      </c>
      <c r="C559" s="39" t="s">
        <v>17</v>
      </c>
      <c r="D559" s="236"/>
      <c r="E559" s="236"/>
      <c r="F559" s="236"/>
      <c r="G559" s="236"/>
      <c r="H559" s="40">
        <f>SUM(Tabla132112410[[#This Row],[PRIMER TRIMESTRE]:[CUARTO TRIMESTRE]])</f>
        <v>0</v>
      </c>
      <c r="I559" s="17">
        <v>42480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</row>
    <row r="560" spans="1:14" s="12" customFormat="1" ht="38.25">
      <c r="A560" s="178" t="s">
        <v>80</v>
      </c>
      <c r="B560" s="75" t="s">
        <v>686</v>
      </c>
      <c r="C560" s="39" t="s">
        <v>17</v>
      </c>
      <c r="D560" s="236"/>
      <c r="E560" s="236"/>
      <c r="F560" s="236"/>
      <c r="G560" s="236"/>
      <c r="H560" s="40">
        <f>SUM(Tabla132112410[[#This Row],[PRIMER TRIMESTRE]:[CUARTO TRIMESTRE]])</f>
        <v>0</v>
      </c>
      <c r="I560" s="17">
        <v>64900</v>
      </c>
      <c r="J560" s="17">
        <f t="shared" si="13"/>
        <v>0</v>
      </c>
      <c r="K560" s="17"/>
      <c r="L560" s="16" t="s">
        <v>18</v>
      </c>
      <c r="M560" s="16" t="s">
        <v>22</v>
      </c>
      <c r="N560" s="39"/>
    </row>
    <row r="561" spans="1:14" s="12" customFormat="1" ht="38.25">
      <c r="A561" s="178" t="s">
        <v>80</v>
      </c>
      <c r="B561" s="75" t="s">
        <v>687</v>
      </c>
      <c r="C561" s="39" t="s">
        <v>17</v>
      </c>
      <c r="D561" s="236"/>
      <c r="E561" s="236"/>
      <c r="F561" s="236"/>
      <c r="G561" s="236"/>
      <c r="H561" s="40">
        <f>SUM(Tabla132112410[[#This Row],[PRIMER TRIMESTRE]:[CUARTO TRIMESTRE]])</f>
        <v>0</v>
      </c>
      <c r="I561" s="17">
        <v>92040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</row>
    <row r="562" spans="1:14" s="12" customFormat="1" ht="25.5">
      <c r="A562" s="178" t="s">
        <v>80</v>
      </c>
      <c r="B562" s="75" t="s">
        <v>688</v>
      </c>
      <c r="C562" s="39" t="s">
        <v>17</v>
      </c>
      <c r="D562" s="236"/>
      <c r="E562" s="236"/>
      <c r="F562" s="236"/>
      <c r="G562" s="236"/>
      <c r="H562" s="40">
        <f>SUM(Tabla132112410[[#This Row],[PRIMER TRIMESTRE]:[CUARTO TRIMESTRE]])</f>
        <v>0</v>
      </c>
      <c r="I562" s="17">
        <v>6377.7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</row>
    <row r="563" spans="1:14" s="12" customFormat="1" ht="25.5">
      <c r="A563" s="178" t="s">
        <v>80</v>
      </c>
      <c r="B563" s="75" t="s">
        <v>689</v>
      </c>
      <c r="C563" s="39" t="s">
        <v>17</v>
      </c>
      <c r="D563" s="236"/>
      <c r="E563" s="236"/>
      <c r="F563" s="236"/>
      <c r="G563" s="236"/>
      <c r="H563" s="40">
        <f>SUM(Tabla132112410[[#This Row],[PRIMER TRIMESTRE]:[CUARTO TRIMESTRE]])</f>
        <v>0</v>
      </c>
      <c r="I563" s="72">
        <v>6769.1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</row>
    <row r="564" spans="1:14" s="12" customFormat="1" ht="25.5">
      <c r="A564" s="178" t="s">
        <v>80</v>
      </c>
      <c r="B564" s="75" t="s">
        <v>690</v>
      </c>
      <c r="C564" s="39" t="s">
        <v>17</v>
      </c>
      <c r="D564" s="236"/>
      <c r="E564" s="236"/>
      <c r="F564" s="236"/>
      <c r="G564" s="236"/>
      <c r="H564" s="40">
        <f>SUM(Tabla132112410[[#This Row],[PRIMER TRIMESTRE]:[CUARTO TRIMESTRE]])</f>
        <v>0</v>
      </c>
      <c r="I564" s="72">
        <v>6890.2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</row>
    <row r="565" spans="1:14" s="12" customFormat="1" ht="25.5">
      <c r="A565" s="178" t="s">
        <v>80</v>
      </c>
      <c r="B565" s="75" t="s">
        <v>905</v>
      </c>
      <c r="C565" s="39" t="s">
        <v>17</v>
      </c>
      <c r="D565" s="236"/>
      <c r="E565" s="236"/>
      <c r="F565" s="236"/>
      <c r="G565" s="236"/>
      <c r="H565" s="40">
        <f>SUM(Tabla132112410[[#This Row],[PRIMER TRIMESTRE]:[CUARTO TRIMESTRE]])</f>
        <v>0</v>
      </c>
      <c r="I565" s="72">
        <f>+I564*1.15</f>
        <v>7923.73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</row>
    <row r="566" spans="1:14" s="12" customFormat="1" ht="25.5">
      <c r="A566" s="178" t="s">
        <v>80</v>
      </c>
      <c r="B566" s="75" t="s">
        <v>691</v>
      </c>
      <c r="C566" s="39" t="s">
        <v>17</v>
      </c>
      <c r="D566" s="236"/>
      <c r="E566" s="236"/>
      <c r="F566" s="236"/>
      <c r="G566" s="236"/>
      <c r="H566" s="40">
        <f>SUM(Tabla132112410[[#This Row],[PRIMER TRIMESTRE]:[CUARTO TRIMESTRE]])</f>
        <v>0</v>
      </c>
      <c r="I566" s="72">
        <f>2500*1.18</f>
        <v>2950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</row>
    <row r="567" spans="1:14" s="12" customFormat="1" ht="25.5">
      <c r="A567" s="178" t="s">
        <v>80</v>
      </c>
      <c r="B567" s="75" t="s">
        <v>692</v>
      </c>
      <c r="C567" s="39" t="s">
        <v>17</v>
      </c>
      <c r="D567" s="236"/>
      <c r="E567" s="236"/>
      <c r="F567" s="236"/>
      <c r="G567" s="236"/>
      <c r="H567" s="40">
        <f>SUM(Tabla132112410[[#This Row],[PRIMER TRIMESTRE]:[CUARTO TRIMESTRE]])</f>
        <v>0</v>
      </c>
      <c r="I567" s="72">
        <v>20380.96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</row>
    <row r="568" spans="1:14" s="12" customFormat="1" ht="25.5">
      <c r="A568" s="178" t="s">
        <v>80</v>
      </c>
      <c r="B568" s="75" t="s">
        <v>693</v>
      </c>
      <c r="C568" s="39" t="s">
        <v>17</v>
      </c>
      <c r="D568" s="236"/>
      <c r="E568" s="236"/>
      <c r="F568" s="236"/>
      <c r="G568" s="236"/>
      <c r="H568" s="40">
        <f>SUM(Tabla132112410[[#This Row],[PRIMER TRIMESTRE]:[CUARTO TRIMESTRE]])</f>
        <v>0</v>
      </c>
      <c r="I568" s="72">
        <v>29236.86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</row>
    <row r="569" spans="1:14" s="12" customFormat="1" ht="18">
      <c r="A569" s="178" t="s">
        <v>80</v>
      </c>
      <c r="B569" s="75" t="s">
        <v>454</v>
      </c>
      <c r="C569" s="39" t="s">
        <v>17</v>
      </c>
      <c r="D569" s="236"/>
      <c r="E569" s="236"/>
      <c r="F569" s="236"/>
      <c r="G569" s="236"/>
      <c r="H569" s="40">
        <f>SUM(Tabla132112410[[#This Row],[PRIMER TRIMESTRE]:[CUARTO TRIMESTRE]])</f>
        <v>0</v>
      </c>
      <c r="I569" s="72">
        <v>236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</row>
    <row r="570" spans="1:14" s="12" customFormat="1" ht="18">
      <c r="A570" s="178" t="s">
        <v>80</v>
      </c>
      <c r="B570" s="75" t="s">
        <v>455</v>
      </c>
      <c r="C570" s="39" t="s">
        <v>17</v>
      </c>
      <c r="D570" s="236"/>
      <c r="E570" s="236"/>
      <c r="F570" s="236"/>
      <c r="G570" s="236"/>
      <c r="H570" s="40">
        <f>SUM(Tabla132112410[[#This Row],[PRIMER TRIMESTRE]:[CUARTO TRIMESTRE]])</f>
        <v>0</v>
      </c>
      <c r="I570" s="72">
        <v>344.56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</row>
    <row r="571" spans="1:14" s="12" customFormat="1" ht="18">
      <c r="A571" s="178" t="s">
        <v>80</v>
      </c>
      <c r="B571" s="75" t="s">
        <v>456</v>
      </c>
      <c r="C571" s="39" t="s">
        <v>17</v>
      </c>
      <c r="D571" s="236"/>
      <c r="E571" s="236"/>
      <c r="F571" s="236"/>
      <c r="G571" s="236"/>
      <c r="H571" s="40">
        <f>SUM(Tabla132112410[[#This Row],[PRIMER TRIMESTRE]:[CUARTO TRIMESTRE]])</f>
        <v>0</v>
      </c>
      <c r="I571" s="72">
        <v>499.14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</row>
    <row r="572" spans="1:14" s="12" customFormat="1" ht="18">
      <c r="A572" s="178" t="s">
        <v>80</v>
      </c>
      <c r="B572" s="75" t="s">
        <v>457</v>
      </c>
      <c r="C572" s="39" t="s">
        <v>17</v>
      </c>
      <c r="D572" s="236"/>
      <c r="E572" s="236"/>
      <c r="F572" s="236"/>
      <c r="G572" s="236"/>
      <c r="H572" s="40">
        <f>SUM(Tabla132112410[[#This Row],[PRIMER TRIMESTRE]:[CUARTO TRIMESTRE]])</f>
        <v>0</v>
      </c>
      <c r="I572" s="72">
        <v>1598.9</v>
      </c>
      <c r="J572" s="17">
        <f t="shared" si="13"/>
        <v>0</v>
      </c>
      <c r="K572" s="17"/>
      <c r="L572" s="17" t="s">
        <v>18</v>
      </c>
      <c r="M572" s="16" t="s">
        <v>22</v>
      </c>
      <c r="N572" s="39"/>
    </row>
    <row r="573" spans="1:14" s="12" customFormat="1" ht="18">
      <c r="A573" s="178" t="s">
        <v>80</v>
      </c>
      <c r="B573" s="75" t="s">
        <v>458</v>
      </c>
      <c r="C573" s="39" t="s">
        <v>17</v>
      </c>
      <c r="D573" s="236"/>
      <c r="E573" s="236"/>
      <c r="F573" s="236"/>
      <c r="G573" s="236"/>
      <c r="H573" s="40">
        <f>SUM(Tabla132112410[[#This Row],[PRIMER TRIMESTRE]:[CUARTO TRIMESTRE]])</f>
        <v>0</v>
      </c>
      <c r="I573" s="72">
        <v>1849.06</v>
      </c>
      <c r="J573" s="17">
        <f t="shared" si="13"/>
        <v>0</v>
      </c>
      <c r="K573" s="17"/>
      <c r="L573" s="17" t="s">
        <v>18</v>
      </c>
      <c r="M573" s="16" t="s">
        <v>22</v>
      </c>
      <c r="N573" s="39"/>
    </row>
    <row r="574" spans="1:14" s="26" customFormat="1" ht="18">
      <c r="A574" s="178" t="s">
        <v>80</v>
      </c>
      <c r="B574" s="75" t="s">
        <v>801</v>
      </c>
      <c r="C574" s="39" t="s">
        <v>17</v>
      </c>
      <c r="D574" s="236"/>
      <c r="E574" s="236"/>
      <c r="F574" s="236"/>
      <c r="G574" s="236"/>
      <c r="H574" s="40">
        <f>SUM(Tabla132112410[[#This Row],[PRIMER TRIMESTRE]:[CUARTO TRIMESTRE]])</f>
        <v>0</v>
      </c>
      <c r="I574" s="72">
        <v>5444</v>
      </c>
      <c r="J574" s="17">
        <f t="shared" si="13"/>
        <v>0</v>
      </c>
      <c r="K574" s="17"/>
      <c r="L574" s="17" t="s">
        <v>18</v>
      </c>
      <c r="M574" s="16" t="s">
        <v>22</v>
      </c>
      <c r="N574" s="39"/>
    </row>
    <row r="575" spans="1:14" s="12" customFormat="1" ht="18">
      <c r="A575" s="178" t="s">
        <v>80</v>
      </c>
      <c r="B575" s="75" t="s">
        <v>802</v>
      </c>
      <c r="C575" s="39" t="s">
        <v>17</v>
      </c>
      <c r="D575" s="236"/>
      <c r="E575" s="236"/>
      <c r="F575" s="236"/>
      <c r="G575" s="236"/>
      <c r="H575" s="40">
        <f>SUM(Tabla132112410[[#This Row],[PRIMER TRIMESTRE]:[CUARTO TRIMESTRE]])</f>
        <v>0</v>
      </c>
      <c r="I575" s="72">
        <v>6844</v>
      </c>
      <c r="J575" s="17">
        <f t="shared" si="13"/>
        <v>0</v>
      </c>
      <c r="K575" s="17"/>
      <c r="L575" s="17" t="s">
        <v>18</v>
      </c>
      <c r="M575" s="16" t="s">
        <v>22</v>
      </c>
      <c r="N575" s="39"/>
    </row>
    <row r="576" spans="1:14" s="12" customFormat="1" ht="18">
      <c r="A576" s="179" t="s">
        <v>80</v>
      </c>
      <c r="B576" s="76"/>
      <c r="C576" s="42"/>
      <c r="D576" s="237"/>
      <c r="E576" s="237"/>
      <c r="F576" s="237"/>
      <c r="G576" s="237"/>
      <c r="H576" s="43"/>
      <c r="I576" s="24"/>
      <c r="J576" s="24"/>
      <c r="K576" s="25">
        <f>SUM(J201:J575)</f>
        <v>0</v>
      </c>
      <c r="L576" s="23"/>
      <c r="M576" s="23"/>
      <c r="N576" s="42"/>
    </row>
    <row r="577" spans="1:14" s="12" customFormat="1" ht="18">
      <c r="A577" s="178" t="s">
        <v>81</v>
      </c>
      <c r="B577" s="75" t="s">
        <v>207</v>
      </c>
      <c r="C577" s="39" t="s">
        <v>33</v>
      </c>
      <c r="D577" s="236"/>
      <c r="E577" s="236"/>
      <c r="F577" s="236"/>
      <c r="G577" s="236"/>
      <c r="H577" s="40">
        <f>SUM(Tabla132112410[[#This Row],[PRIMER TRIMESTRE]:[CUARTO TRIMESTRE]])</f>
        <v>0</v>
      </c>
      <c r="I577" s="17">
        <v>871.93</v>
      </c>
      <c r="J577" s="17">
        <f>+Tabla132112410[[#This Row],[CANTIDAD TOTAL]]*Tabla132112410[[#This Row],[PRECIO UNITARIO ESTIMADO]]</f>
        <v>0</v>
      </c>
      <c r="K577" s="17"/>
      <c r="L577" s="17" t="s">
        <v>18</v>
      </c>
      <c r="M577" s="16" t="s">
        <v>22</v>
      </c>
      <c r="N577" s="39" t="s">
        <v>418</v>
      </c>
    </row>
    <row r="578" spans="1:14" s="12" customFormat="1" ht="18">
      <c r="A578" s="178" t="s">
        <v>81</v>
      </c>
      <c r="B578" s="75" t="s">
        <v>1279</v>
      </c>
      <c r="C578" s="39" t="s">
        <v>33</v>
      </c>
      <c r="D578" s="236"/>
      <c r="E578" s="236"/>
      <c r="F578" s="236"/>
      <c r="G578" s="236"/>
      <c r="H578" s="40">
        <f>SUM(Tabla132112410[[#This Row],[PRIMER TRIMESTRE]:[CUARTO TRIMESTRE]])</f>
        <v>0</v>
      </c>
      <c r="I578" s="17">
        <v>871.93</v>
      </c>
      <c r="J578" s="17">
        <f t="shared" ref="J578:J584" si="14">+H578*I578</f>
        <v>0</v>
      </c>
      <c r="K578" s="17"/>
      <c r="L578" s="17" t="s">
        <v>18</v>
      </c>
      <c r="M578" s="16" t="s">
        <v>22</v>
      </c>
      <c r="N578" s="39" t="s">
        <v>418</v>
      </c>
    </row>
    <row r="579" spans="1:14" s="12" customFormat="1" ht="18">
      <c r="A579" s="178" t="s">
        <v>81</v>
      </c>
      <c r="B579" s="75" t="s">
        <v>1424</v>
      </c>
      <c r="C579" s="39" t="s">
        <v>33</v>
      </c>
      <c r="D579" s="236"/>
      <c r="E579" s="236"/>
      <c r="F579" s="236"/>
      <c r="G579" s="236"/>
      <c r="H579" s="40">
        <f>SUM(Tabla132112410[[#This Row],[PRIMER TRIMESTRE]:[CUARTO TRIMESTRE]])</f>
        <v>0</v>
      </c>
      <c r="I579" s="17">
        <v>871.93</v>
      </c>
      <c r="J579" s="17">
        <f t="shared" si="14"/>
        <v>0</v>
      </c>
      <c r="K579" s="17"/>
      <c r="L579" s="17" t="s">
        <v>18</v>
      </c>
      <c r="M579" s="16" t="s">
        <v>22</v>
      </c>
      <c r="N579" s="39" t="s">
        <v>418</v>
      </c>
    </row>
    <row r="580" spans="1:14" s="12" customFormat="1" ht="18">
      <c r="A580" s="178" t="s">
        <v>81</v>
      </c>
      <c r="B580" s="75" t="s">
        <v>1347</v>
      </c>
      <c r="C580" s="39" t="s">
        <v>33</v>
      </c>
      <c r="D580" s="236"/>
      <c r="E580" s="236"/>
      <c r="F580" s="236"/>
      <c r="G580" s="236"/>
      <c r="H580" s="40">
        <f>SUM(Tabla132112410[[#This Row],[PRIMER TRIMESTRE]:[CUARTO TRIMESTRE]])</f>
        <v>0</v>
      </c>
      <c r="I580" s="17">
        <v>767</v>
      </c>
      <c r="J580" s="17">
        <f t="shared" si="14"/>
        <v>0</v>
      </c>
      <c r="K580" s="17"/>
      <c r="L580" s="17" t="s">
        <v>18</v>
      </c>
      <c r="M580" s="16" t="s">
        <v>22</v>
      </c>
      <c r="N580" s="39" t="s">
        <v>418</v>
      </c>
    </row>
    <row r="581" spans="1:14" s="12" customFormat="1" ht="18">
      <c r="A581" s="178" t="s">
        <v>81</v>
      </c>
      <c r="B581" s="75" t="s">
        <v>1280</v>
      </c>
      <c r="C581" s="39" t="s">
        <v>33</v>
      </c>
      <c r="D581" s="236"/>
      <c r="E581" s="236"/>
      <c r="F581" s="236"/>
      <c r="G581" s="236"/>
      <c r="H581" s="40">
        <f>SUM(Tabla132112410[[#This Row],[PRIMER TRIMESTRE]:[CUARTO TRIMESTRE]])</f>
        <v>0</v>
      </c>
      <c r="I581" s="17">
        <v>871.93</v>
      </c>
      <c r="J581" s="17">
        <f t="shared" si="14"/>
        <v>0</v>
      </c>
      <c r="K581" s="17"/>
      <c r="L581" s="17" t="s">
        <v>18</v>
      </c>
      <c r="M581" s="16" t="s">
        <v>22</v>
      </c>
      <c r="N581" s="39" t="s">
        <v>418</v>
      </c>
    </row>
    <row r="582" spans="1:14" s="12" customFormat="1" ht="18">
      <c r="A582" s="178" t="s">
        <v>81</v>
      </c>
      <c r="B582" s="75" t="s">
        <v>1345</v>
      </c>
      <c r="C582" s="39" t="s">
        <v>33</v>
      </c>
      <c r="D582" s="236"/>
      <c r="E582" s="236"/>
      <c r="F582" s="236"/>
      <c r="G582" s="236"/>
      <c r="H582" s="40">
        <f>SUM(Tabla132112410[[#This Row],[PRIMER TRIMESTRE]:[CUARTO TRIMESTRE]])</f>
        <v>0</v>
      </c>
      <c r="I582" s="17">
        <v>350</v>
      </c>
      <c r="J582" s="17">
        <f t="shared" si="14"/>
        <v>0</v>
      </c>
      <c r="K582" s="17"/>
      <c r="L582" s="17" t="s">
        <v>18</v>
      </c>
      <c r="M582" s="16" t="s">
        <v>22</v>
      </c>
      <c r="N582" s="39" t="s">
        <v>418</v>
      </c>
    </row>
    <row r="583" spans="1:14" s="26" customFormat="1" ht="18">
      <c r="A583" s="178" t="s">
        <v>81</v>
      </c>
      <c r="B583" s="75" t="s">
        <v>1425</v>
      </c>
      <c r="C583" s="39" t="s">
        <v>33</v>
      </c>
      <c r="D583" s="236"/>
      <c r="E583" s="236"/>
      <c r="F583" s="236"/>
      <c r="G583" s="236"/>
      <c r="H583" s="40">
        <f>SUM(Tabla132112410[[#This Row],[PRIMER TRIMESTRE]:[CUARTO TRIMESTRE]])</f>
        <v>0</v>
      </c>
      <c r="I583" s="17">
        <v>863.54</v>
      </c>
      <c r="J583" s="17">
        <f t="shared" si="14"/>
        <v>0</v>
      </c>
      <c r="K583" s="17"/>
      <c r="L583" s="17" t="s">
        <v>18</v>
      </c>
      <c r="M583" s="16" t="s">
        <v>22</v>
      </c>
      <c r="N583" s="39" t="s">
        <v>418</v>
      </c>
    </row>
    <row r="584" spans="1:14" s="26" customFormat="1" ht="18">
      <c r="A584" s="178" t="s">
        <v>81</v>
      </c>
      <c r="B584" s="75" t="s">
        <v>1434</v>
      </c>
      <c r="C584" s="39" t="s">
        <v>33</v>
      </c>
      <c r="D584" s="236"/>
      <c r="E584" s="236"/>
      <c r="F584" s="236"/>
      <c r="G584" s="236"/>
      <c r="H584" s="40">
        <f>SUM(Tabla132112410[[#This Row],[PRIMER TRIMESTRE]:[CUARTO TRIMESTRE]])</f>
        <v>0</v>
      </c>
      <c r="I584" s="17">
        <v>1165</v>
      </c>
      <c r="J584" s="17">
        <f t="shared" si="14"/>
        <v>0</v>
      </c>
      <c r="K584" s="17"/>
      <c r="L584" s="17" t="s">
        <v>18</v>
      </c>
      <c r="M584" s="16" t="s">
        <v>22</v>
      </c>
      <c r="N584" s="39" t="s">
        <v>418</v>
      </c>
    </row>
    <row r="585" spans="1:14" s="26" customFormat="1" ht="18">
      <c r="A585" s="179" t="s">
        <v>81</v>
      </c>
      <c r="B585" s="76"/>
      <c r="C585" s="42"/>
      <c r="D585" s="237"/>
      <c r="E585" s="237"/>
      <c r="F585" s="237"/>
      <c r="G585" s="237"/>
      <c r="H585" s="43"/>
      <c r="I585" s="24"/>
      <c r="J585" s="24"/>
      <c r="K585" s="25">
        <f>SUM(J577:J584)</f>
        <v>0</v>
      </c>
      <c r="L585" s="23"/>
      <c r="M585" s="23"/>
      <c r="N585" s="42"/>
    </row>
    <row r="586" spans="1:14" s="26" customFormat="1" ht="18">
      <c r="A586" s="178" t="s">
        <v>95</v>
      </c>
      <c r="B586" s="75" t="s">
        <v>1468</v>
      </c>
      <c r="C586" s="39" t="s">
        <v>17</v>
      </c>
      <c r="D586" s="236"/>
      <c r="E586" s="236"/>
      <c r="F586" s="236"/>
      <c r="G586" s="236"/>
      <c r="H586" s="40">
        <f>SUM(Tabla132112410[[#This Row],[PRIMER TRIMESTRE]:[CUARTO TRIMESTRE]])</f>
        <v>0</v>
      </c>
      <c r="I586" s="17">
        <v>3169.99</v>
      </c>
      <c r="J586" s="17">
        <f t="shared" ref="J586:J592" si="15">+H586*I586</f>
        <v>0</v>
      </c>
      <c r="K586" s="17"/>
      <c r="L586" s="16" t="s">
        <v>18</v>
      </c>
      <c r="M586" s="16" t="s">
        <v>22</v>
      </c>
      <c r="N586" s="39" t="s">
        <v>418</v>
      </c>
    </row>
    <row r="587" spans="1:14" s="26" customFormat="1" ht="18">
      <c r="A587" s="178" t="s">
        <v>95</v>
      </c>
      <c r="B587" s="75" t="s">
        <v>1469</v>
      </c>
      <c r="C587" s="39" t="s">
        <v>17</v>
      </c>
      <c r="D587" s="236"/>
      <c r="E587" s="236"/>
      <c r="F587" s="236"/>
      <c r="G587" s="236"/>
      <c r="H587" s="40">
        <f>SUM(Tabla132112410[[#This Row],[PRIMER TRIMESTRE]:[CUARTO TRIMESTRE]])</f>
        <v>0</v>
      </c>
      <c r="I587" s="17">
        <v>4920</v>
      </c>
      <c r="J587" s="17">
        <f t="shared" si="15"/>
        <v>0</v>
      </c>
      <c r="K587" s="17"/>
      <c r="L587" s="16" t="s">
        <v>18</v>
      </c>
      <c r="M587" s="16" t="s">
        <v>22</v>
      </c>
      <c r="N587" s="178"/>
    </row>
    <row r="588" spans="1:14" s="12" customFormat="1" ht="18">
      <c r="A588" s="178" t="s">
        <v>95</v>
      </c>
      <c r="B588" s="75" t="s">
        <v>1470</v>
      </c>
      <c r="C588" s="39" t="s">
        <v>17</v>
      </c>
      <c r="D588" s="236"/>
      <c r="E588" s="236"/>
      <c r="F588" s="236"/>
      <c r="G588" s="236"/>
      <c r="H588" s="40">
        <f>SUM(Tabla132112410[[#This Row],[PRIMER TRIMESTRE]:[CUARTO TRIMESTRE]])</f>
        <v>0</v>
      </c>
      <c r="I588" s="17">
        <v>1521</v>
      </c>
      <c r="J588" s="17">
        <f t="shared" si="15"/>
        <v>0</v>
      </c>
      <c r="K588" s="17"/>
      <c r="L588" s="16" t="s">
        <v>18</v>
      </c>
      <c r="M588" s="16" t="s">
        <v>22</v>
      </c>
      <c r="N588" s="39" t="s">
        <v>418</v>
      </c>
    </row>
    <row r="589" spans="1:14" s="12" customFormat="1" ht="18">
      <c r="A589" s="178" t="s">
        <v>95</v>
      </c>
      <c r="B589" s="75" t="s">
        <v>1471</v>
      </c>
      <c r="C589" s="39" t="s">
        <v>17</v>
      </c>
      <c r="D589" s="236"/>
      <c r="E589" s="236"/>
      <c r="F589" s="236"/>
      <c r="G589" s="236"/>
      <c r="H589" s="40">
        <f>SUM(Tabla132112410[[#This Row],[PRIMER TRIMESTRE]:[CUARTO TRIMESTRE]])</f>
        <v>0</v>
      </c>
      <c r="I589" s="17">
        <v>2028</v>
      </c>
      <c r="J589" s="17">
        <f t="shared" si="15"/>
        <v>0</v>
      </c>
      <c r="K589" s="17"/>
      <c r="L589" s="16" t="s">
        <v>18</v>
      </c>
      <c r="M589" s="16" t="s">
        <v>22</v>
      </c>
      <c r="N589" s="39" t="s">
        <v>418</v>
      </c>
    </row>
    <row r="590" spans="1:14" s="12" customFormat="1" ht="25.5">
      <c r="A590" s="178" t="s">
        <v>95</v>
      </c>
      <c r="B590" s="75" t="str">
        <f ca="1">+UPPER(Tabla132112410[[#This Row],[DESCRIPCIÓN DE LA COMPRA O CONTRATACIÓN]])</f>
        <v>LÁMPARA FLUORESCENTE, DE 2 X 4 PIES, 32 WATTS, COMPLETA</v>
      </c>
      <c r="C590" s="39" t="s">
        <v>17</v>
      </c>
      <c r="D590" s="236"/>
      <c r="E590" s="236"/>
      <c r="F590" s="236"/>
      <c r="G590" s="236"/>
      <c r="H590" s="40">
        <f>SUM(Tabla132112410[[#This Row],[PRIMER TRIMESTRE]:[CUARTO TRIMESTRE]])</f>
        <v>0</v>
      </c>
      <c r="I590" s="17">
        <v>63.44</v>
      </c>
      <c r="J590" s="17">
        <f t="shared" si="15"/>
        <v>0</v>
      </c>
      <c r="K590" s="17"/>
      <c r="L590" s="16" t="s">
        <v>15</v>
      </c>
      <c r="M590" s="16" t="s">
        <v>22</v>
      </c>
      <c r="N590" s="39"/>
    </row>
    <row r="591" spans="1:14" s="12" customFormat="1" ht="18">
      <c r="A591" s="178" t="s">
        <v>95</v>
      </c>
      <c r="B591" s="75" t="s">
        <v>1539</v>
      </c>
      <c r="C591" s="39" t="s">
        <v>17</v>
      </c>
      <c r="D591" s="236"/>
      <c r="E591" s="236"/>
      <c r="F591" s="236"/>
      <c r="G591" s="236"/>
      <c r="H591" s="40">
        <f>SUM(Tabla132112410[[#This Row],[PRIMER TRIMESTRE]:[CUARTO TRIMESTRE]])</f>
        <v>0</v>
      </c>
      <c r="I591" s="17">
        <v>45</v>
      </c>
      <c r="J591" s="17">
        <f t="shared" si="15"/>
        <v>0</v>
      </c>
      <c r="K591" s="17"/>
      <c r="L591" s="16" t="s">
        <v>18</v>
      </c>
      <c r="M591" s="16" t="s">
        <v>22</v>
      </c>
      <c r="N591" s="39" t="s">
        <v>418</v>
      </c>
    </row>
    <row r="592" spans="1:14" s="12" customFormat="1" ht="18">
      <c r="A592" s="178" t="s">
        <v>95</v>
      </c>
      <c r="B592" s="75" t="s">
        <v>1540</v>
      </c>
      <c r="C592" s="39" t="s">
        <v>17</v>
      </c>
      <c r="D592" s="236"/>
      <c r="E592" s="236"/>
      <c r="F592" s="236"/>
      <c r="G592" s="236"/>
      <c r="H592" s="40">
        <f>SUM(Tabla132112410[[#This Row],[PRIMER TRIMESTRE]:[CUARTO TRIMESTRE]])</f>
        <v>0</v>
      </c>
      <c r="I592" s="17">
        <v>45</v>
      </c>
      <c r="J592" s="17">
        <f t="shared" si="15"/>
        <v>0</v>
      </c>
      <c r="K592" s="17"/>
      <c r="L592" s="16" t="s">
        <v>18</v>
      </c>
      <c r="M592" s="16" t="s">
        <v>22</v>
      </c>
      <c r="N592" s="39" t="s">
        <v>418</v>
      </c>
    </row>
    <row r="593" spans="1:14" s="12" customFormat="1" ht="18">
      <c r="A593" s="178" t="s">
        <v>95</v>
      </c>
      <c r="B593" s="75" t="s">
        <v>209</v>
      </c>
      <c r="C593" s="39" t="s">
        <v>17</v>
      </c>
      <c r="D593" s="236"/>
      <c r="E593" s="236"/>
      <c r="F593" s="236"/>
      <c r="G593" s="236"/>
      <c r="H593" s="40">
        <f>SUM(Tabla132112410[[#This Row],[PRIMER TRIMESTRE]:[CUARTO TRIMESTRE]])</f>
        <v>0</v>
      </c>
      <c r="I593" s="17">
        <v>1417.52</v>
      </c>
      <c r="J593" s="17">
        <f>+Tabla132112410[[#This Row],[CANTIDAD TOTAL]]*Tabla132112410[[#This Row],[PRECIO UNITARIO ESTIMADO]]</f>
        <v>0</v>
      </c>
      <c r="K593" s="17"/>
      <c r="L593" s="16" t="s">
        <v>27</v>
      </c>
      <c r="M593" s="16" t="s">
        <v>22</v>
      </c>
      <c r="N593" s="39"/>
    </row>
    <row r="594" spans="1:14" s="12" customFormat="1" ht="18">
      <c r="A594" s="178" t="s">
        <v>95</v>
      </c>
      <c r="B594" s="75" t="s">
        <v>1467</v>
      </c>
      <c r="C594" s="39" t="s">
        <v>17</v>
      </c>
      <c r="D594" s="236"/>
      <c r="E594" s="236"/>
      <c r="F594" s="236"/>
      <c r="G594" s="236"/>
      <c r="H594" s="236">
        <f>SUM(Tabla132112410[[#This Row],[PRIMER TRIMESTRE]:[CUARTO TRIMESTRE]])</f>
        <v>0</v>
      </c>
      <c r="I594" s="17">
        <v>5268.24</v>
      </c>
      <c r="J594" s="17">
        <f t="shared" ref="J594:J603" si="16">+H594*I594</f>
        <v>0</v>
      </c>
      <c r="K594" s="17"/>
      <c r="L594" s="16" t="s">
        <v>18</v>
      </c>
      <c r="M594" s="16" t="s">
        <v>22</v>
      </c>
      <c r="N594" s="39" t="s">
        <v>418</v>
      </c>
    </row>
    <row r="595" spans="1:14" s="12" customFormat="1" ht="25.5">
      <c r="A595" s="178" t="s">
        <v>95</v>
      </c>
      <c r="B595" s="77" t="s">
        <v>881</v>
      </c>
      <c r="C595" s="39" t="s">
        <v>17</v>
      </c>
      <c r="D595" s="236"/>
      <c r="E595" s="236"/>
      <c r="F595" s="236"/>
      <c r="G595" s="236"/>
      <c r="H595" s="40">
        <f>SUM(Tabla132112410[[#This Row],[PRIMER TRIMESTRE]:[CUARTO TRIMESTRE]])</f>
        <v>0</v>
      </c>
      <c r="I595" s="17">
        <v>877.77</v>
      </c>
      <c r="J595" s="17">
        <f t="shared" si="16"/>
        <v>0</v>
      </c>
      <c r="K595" s="17"/>
      <c r="L595" s="16" t="s">
        <v>15</v>
      </c>
      <c r="M595" s="16" t="s">
        <v>22</v>
      </c>
      <c r="N595" s="39"/>
    </row>
    <row r="596" spans="1:14" s="12" customFormat="1" ht="25.5">
      <c r="A596" s="178" t="s">
        <v>95</v>
      </c>
      <c r="B596" s="77" t="s">
        <v>1624</v>
      </c>
      <c r="C596" s="39" t="s">
        <v>17</v>
      </c>
      <c r="D596" s="236"/>
      <c r="E596" s="236"/>
      <c r="F596" s="236"/>
      <c r="G596" s="236"/>
      <c r="H596" s="236">
        <f>SUM(Tabla132112410[[#This Row],[PRIMER TRIMESTRE]:[CUARTO TRIMESTRE]])</f>
        <v>0</v>
      </c>
      <c r="I596" s="17">
        <v>4800</v>
      </c>
      <c r="J596" s="17">
        <f t="shared" si="16"/>
        <v>0</v>
      </c>
      <c r="K596" s="17"/>
      <c r="L596" s="16" t="s">
        <v>18</v>
      </c>
      <c r="M596" s="16" t="s">
        <v>22</v>
      </c>
      <c r="N596" s="39"/>
    </row>
    <row r="597" spans="1:14" s="12" customFormat="1" ht="25.5">
      <c r="A597" s="178" t="s">
        <v>95</v>
      </c>
      <c r="B597" s="77" t="s">
        <v>1593</v>
      </c>
      <c r="C597" s="39" t="s">
        <v>17</v>
      </c>
      <c r="D597" s="236"/>
      <c r="E597" s="236"/>
      <c r="F597" s="236"/>
      <c r="G597" s="236"/>
      <c r="H597" s="236">
        <f>SUM(Tabla132112410[[#This Row],[PRIMER TRIMESTRE]:[CUARTO TRIMESTRE]])</f>
        <v>0</v>
      </c>
      <c r="I597" s="17">
        <v>1980</v>
      </c>
      <c r="J597" s="17">
        <f t="shared" si="16"/>
        <v>0</v>
      </c>
      <c r="K597" s="17"/>
      <c r="L597" s="16" t="s">
        <v>18</v>
      </c>
      <c r="M597" s="16" t="s">
        <v>22</v>
      </c>
      <c r="N597" s="39"/>
    </row>
    <row r="598" spans="1:14" s="12" customFormat="1" ht="18">
      <c r="A598" s="178" t="s">
        <v>95</v>
      </c>
      <c r="B598" s="77" t="s">
        <v>1544</v>
      </c>
      <c r="C598" s="39" t="s">
        <v>17</v>
      </c>
      <c r="D598" s="236"/>
      <c r="E598" s="236"/>
      <c r="F598" s="236"/>
      <c r="G598" s="236"/>
      <c r="H598" s="236">
        <f>SUM(Tabla132112410[[#This Row],[PRIMER TRIMESTRE]:[CUARTO TRIMESTRE]])</f>
        <v>0</v>
      </c>
      <c r="I598" s="17">
        <v>68</v>
      </c>
      <c r="J598" s="17">
        <f t="shared" si="16"/>
        <v>0</v>
      </c>
      <c r="K598" s="17"/>
      <c r="L598" s="16" t="s">
        <v>18</v>
      </c>
      <c r="M598" s="16" t="s">
        <v>22</v>
      </c>
      <c r="N598" s="39"/>
    </row>
    <row r="599" spans="1:14" s="12" customFormat="1" ht="18">
      <c r="A599" s="178" t="s">
        <v>95</v>
      </c>
      <c r="B599" s="77" t="s">
        <v>1543</v>
      </c>
      <c r="C599" s="39" t="s">
        <v>17</v>
      </c>
      <c r="D599" s="236"/>
      <c r="E599" s="236"/>
      <c r="F599" s="236"/>
      <c r="G599" s="236"/>
      <c r="H599" s="236">
        <f>SUM(Tabla132112410[[#This Row],[PRIMER TRIMESTRE]:[CUARTO TRIMESTRE]])</f>
        <v>0</v>
      </c>
      <c r="I599" s="17">
        <v>161.28</v>
      </c>
      <c r="J599" s="17">
        <f t="shared" si="16"/>
        <v>0</v>
      </c>
      <c r="K599" s="17"/>
      <c r="L599" s="16" t="s">
        <v>18</v>
      </c>
      <c r="M599" s="16" t="s">
        <v>22</v>
      </c>
      <c r="N599" s="39"/>
    </row>
    <row r="600" spans="1:14" s="12" customFormat="1" ht="18">
      <c r="A600" s="178" t="s">
        <v>95</v>
      </c>
      <c r="B600" s="77" t="s">
        <v>1625</v>
      </c>
      <c r="C600" s="39" t="s">
        <v>17</v>
      </c>
      <c r="D600" s="236"/>
      <c r="E600" s="236"/>
      <c r="F600" s="236"/>
      <c r="G600" s="236"/>
      <c r="H600" s="236">
        <f>SUM(Tabla132112410[[#This Row],[PRIMER TRIMESTRE]:[CUARTO TRIMESTRE]])</f>
        <v>0</v>
      </c>
      <c r="I600" s="17">
        <v>400</v>
      </c>
      <c r="J600" s="17">
        <f t="shared" si="16"/>
        <v>0</v>
      </c>
      <c r="K600" s="17"/>
      <c r="L600" s="16" t="s">
        <v>18</v>
      </c>
      <c r="M600" s="16" t="s">
        <v>22</v>
      </c>
      <c r="N600" s="39"/>
    </row>
    <row r="601" spans="1:14" s="12" customFormat="1" ht="18">
      <c r="A601" s="178" t="s">
        <v>95</v>
      </c>
      <c r="B601" s="77" t="s">
        <v>1542</v>
      </c>
      <c r="C601" s="39" t="s">
        <v>17</v>
      </c>
      <c r="D601" s="236"/>
      <c r="E601" s="236"/>
      <c r="F601" s="236"/>
      <c r="G601" s="236"/>
      <c r="H601" s="236">
        <f>SUM(Tabla132112410[[#This Row],[PRIMER TRIMESTRE]:[CUARTO TRIMESTRE]])</f>
        <v>0</v>
      </c>
      <c r="I601" s="17">
        <v>40</v>
      </c>
      <c r="J601" s="17">
        <f t="shared" si="16"/>
        <v>0</v>
      </c>
      <c r="K601" s="17"/>
      <c r="L601" s="16" t="s">
        <v>18</v>
      </c>
      <c r="M601" s="16" t="s">
        <v>22</v>
      </c>
      <c r="N601" s="39"/>
    </row>
    <row r="602" spans="1:14" s="26" customFormat="1" ht="18">
      <c r="A602" s="178" t="s">
        <v>95</v>
      </c>
      <c r="B602" s="77" t="s">
        <v>1541</v>
      </c>
      <c r="C602" s="39" t="s">
        <v>17</v>
      </c>
      <c r="D602" s="236"/>
      <c r="E602" s="236"/>
      <c r="F602" s="236"/>
      <c r="G602" s="236"/>
      <c r="H602" s="236">
        <f>SUM(Tabla132112410[[#This Row],[PRIMER TRIMESTRE]:[CUARTO TRIMESTRE]])</f>
        <v>0</v>
      </c>
      <c r="I602" s="17">
        <v>170</v>
      </c>
      <c r="J602" s="17">
        <f t="shared" si="16"/>
        <v>0</v>
      </c>
      <c r="K602" s="17"/>
      <c r="L602" s="16" t="s">
        <v>18</v>
      </c>
      <c r="M602" s="16" t="s">
        <v>22</v>
      </c>
      <c r="N602" s="39"/>
    </row>
    <row r="603" spans="1:14" s="12" customFormat="1" ht="25.5">
      <c r="A603" s="178" t="s">
        <v>95</v>
      </c>
      <c r="B603" s="77" t="s">
        <v>1472</v>
      </c>
      <c r="C603" s="39" t="s">
        <v>17</v>
      </c>
      <c r="D603" s="236"/>
      <c r="E603" s="236"/>
      <c r="F603" s="236"/>
      <c r="G603" s="236"/>
      <c r="H603" s="236">
        <f>SUM(Tabla132112410[[#This Row],[PRIMER TRIMESTRE]:[CUARTO TRIMESTRE]])</f>
        <v>0</v>
      </c>
      <c r="I603" s="17">
        <v>28982</v>
      </c>
      <c r="J603" s="17">
        <f t="shared" si="16"/>
        <v>0</v>
      </c>
      <c r="K603" s="17"/>
      <c r="L603" s="16" t="s">
        <v>18</v>
      </c>
      <c r="M603" s="16" t="s">
        <v>22</v>
      </c>
      <c r="N603" s="39"/>
    </row>
    <row r="604" spans="1:14" s="12" customFormat="1" ht="31.5">
      <c r="A604" s="179" t="s">
        <v>95</v>
      </c>
      <c r="B604" s="76"/>
      <c r="C604" s="42"/>
      <c r="D604" s="237"/>
      <c r="E604" s="237"/>
      <c r="F604" s="237"/>
      <c r="G604" s="237"/>
      <c r="H604" s="43"/>
      <c r="I604" s="24"/>
      <c r="J604" s="24"/>
      <c r="K604" s="25">
        <f>SUM(J586:J603)</f>
        <v>0</v>
      </c>
      <c r="L604" s="23"/>
      <c r="M604" s="23"/>
      <c r="N604" s="42"/>
    </row>
    <row r="605" spans="1:14" s="12" customFormat="1" ht="30">
      <c r="A605" s="178" t="s">
        <v>96</v>
      </c>
      <c r="B605" s="75" t="str">
        <f ca="1">+UPPER(Tabla132112410[[#This Row],[DESCRIPCIÓN DE LA COMPRA O CONTRATACIÓN]])</f>
        <v>CUT-OUTS 15 KV 200 AMPERES</v>
      </c>
      <c r="C605" s="39" t="s">
        <v>17</v>
      </c>
      <c r="D605" s="236"/>
      <c r="E605" s="236"/>
      <c r="F605" s="236"/>
      <c r="G605" s="236"/>
      <c r="H605" s="40">
        <f>SUM(Tabla132112410[[#This Row],[PRIMER TRIMESTRE]:[CUARTO TRIMESTRE]])</f>
        <v>0</v>
      </c>
      <c r="I605" s="17">
        <v>6486.1</v>
      </c>
      <c r="J605" s="17">
        <f t="shared" ref="J605:J612" si="17">+H605*I605</f>
        <v>0</v>
      </c>
      <c r="K605" s="17"/>
      <c r="L605" s="16" t="s">
        <v>18</v>
      </c>
      <c r="M605" s="16" t="s">
        <v>22</v>
      </c>
      <c r="N605" s="39"/>
    </row>
    <row r="606" spans="1:14" s="12" customFormat="1" ht="30">
      <c r="A606" s="178" t="s">
        <v>96</v>
      </c>
      <c r="B606" s="75" t="str">
        <f ca="1">+UPPER(Tabla132112410[[#This Row],[DESCRIPCIÓN DE LA COMPRA O CONTRATACIÓN]])</f>
        <v>CUT-OUTS 15 KV 100 AMPERES</v>
      </c>
      <c r="C606" s="39" t="s">
        <v>17</v>
      </c>
      <c r="D606" s="236"/>
      <c r="E606" s="236"/>
      <c r="F606" s="236"/>
      <c r="G606" s="236"/>
      <c r="H606" s="40">
        <f>SUM(Tabla132112410[[#This Row],[PRIMER TRIMESTRE]:[CUARTO TRIMESTRE]])</f>
        <v>0</v>
      </c>
      <c r="I606" s="17">
        <v>4877.16</v>
      </c>
      <c r="J606" s="17">
        <f t="shared" si="17"/>
        <v>0</v>
      </c>
      <c r="K606" s="17"/>
      <c r="L606" s="16" t="s">
        <v>18</v>
      </c>
      <c r="M606" s="16" t="s">
        <v>22</v>
      </c>
      <c r="N606" s="39"/>
    </row>
    <row r="607" spans="1:14" s="12" customFormat="1" ht="30">
      <c r="A607" s="178" t="s">
        <v>96</v>
      </c>
      <c r="B607" s="75" t="str">
        <f ca="1">+UPPER(Tabla132112410[[#This Row],[DESCRIPCIÓN DE LA COMPRA O CONTRATACIÓN]])</f>
        <v>APARTARRAYOS DE 9KV</v>
      </c>
      <c r="C607" s="39" t="s">
        <v>17</v>
      </c>
      <c r="D607" s="236"/>
      <c r="E607" s="236"/>
      <c r="F607" s="236"/>
      <c r="G607" s="236"/>
      <c r="H607" s="40">
        <f>SUM(Tabla132112410[[#This Row],[PRIMER TRIMESTRE]:[CUARTO TRIMESTRE]])</f>
        <v>0</v>
      </c>
      <c r="I607" s="17">
        <v>2726</v>
      </c>
      <c r="J607" s="17">
        <f t="shared" si="17"/>
        <v>0</v>
      </c>
      <c r="K607" s="17"/>
      <c r="L607" s="16" t="s">
        <v>18</v>
      </c>
      <c r="M607" s="16" t="s">
        <v>22</v>
      </c>
      <c r="N607" s="39"/>
    </row>
    <row r="608" spans="1:14" s="12" customFormat="1" ht="30">
      <c r="A608" s="178" t="s">
        <v>96</v>
      </c>
      <c r="B608" s="75" t="s">
        <v>1217</v>
      </c>
      <c r="C608" s="39" t="s">
        <v>17</v>
      </c>
      <c r="D608" s="236"/>
      <c r="E608" s="236"/>
      <c r="F608" s="236"/>
      <c r="G608" s="236"/>
      <c r="H608" s="40">
        <f>SUM(Tabla132112410[[#This Row],[PRIMER TRIMESTRE]:[CUARTO TRIMESTRE]])</f>
        <v>0</v>
      </c>
      <c r="I608" s="17">
        <v>2438.11</v>
      </c>
      <c r="J608" s="17">
        <f t="shared" si="17"/>
        <v>0</v>
      </c>
      <c r="K608" s="17"/>
      <c r="L608" s="16" t="s">
        <v>18</v>
      </c>
      <c r="M608" s="16" t="s">
        <v>22</v>
      </c>
      <c r="N608" s="39"/>
    </row>
    <row r="609" spans="1:14" s="12" customFormat="1" ht="30">
      <c r="A609" s="178" t="s">
        <v>96</v>
      </c>
      <c r="B609" s="75" t="str">
        <f ca="1">+UPPER(Tabla132112410[[#This Row],[DESCRIPCIÓN DE LA COMPRA O CONTRATACIÓN]])</f>
        <v>APARTARRAYOS DE 220V, SECUNDARIO</v>
      </c>
      <c r="C609" s="39" t="s">
        <v>17</v>
      </c>
      <c r="D609" s="236"/>
      <c r="E609" s="236"/>
      <c r="F609" s="236"/>
      <c r="G609" s="236"/>
      <c r="H609" s="40">
        <f>SUM(Tabla132112410[[#This Row],[PRIMER TRIMESTRE]:[CUARTO TRIMESTRE]])</f>
        <v>0</v>
      </c>
      <c r="I609" s="17">
        <v>6840</v>
      </c>
      <c r="J609" s="17">
        <f t="shared" si="17"/>
        <v>0</v>
      </c>
      <c r="K609" s="17"/>
      <c r="L609" s="16" t="s">
        <v>18</v>
      </c>
      <c r="M609" s="16" t="s">
        <v>22</v>
      </c>
      <c r="N609" s="39"/>
    </row>
    <row r="610" spans="1:14" s="12" customFormat="1" ht="30">
      <c r="A610" s="178" t="s">
        <v>96</v>
      </c>
      <c r="B610" s="75" t="str">
        <f ca="1">+UPPER(Tabla132112410[[#This Row],[DESCRIPCIÓN DE LA COMPRA O CONTRATACIÓN]])</f>
        <v>APARTARRAYOS DE 480V, SECUNDARIO</v>
      </c>
      <c r="C610" s="39" t="s">
        <v>17</v>
      </c>
      <c r="D610" s="236"/>
      <c r="E610" s="236"/>
      <c r="F610" s="236"/>
      <c r="G610" s="236"/>
      <c r="H610" s="40">
        <f>SUM(Tabla132112410[[#This Row],[PRIMER TRIMESTRE]:[CUARTO TRIMESTRE]])</f>
        <v>0</v>
      </c>
      <c r="I610" s="72">
        <v>6900</v>
      </c>
      <c r="J610" s="17">
        <f t="shared" si="17"/>
        <v>0</v>
      </c>
      <c r="K610" s="17"/>
      <c r="L610" s="16" t="s">
        <v>18</v>
      </c>
      <c r="M610" s="16" t="s">
        <v>22</v>
      </c>
      <c r="N610" s="39"/>
    </row>
    <row r="611" spans="1:14" s="12" customFormat="1" ht="30">
      <c r="A611" s="178" t="s">
        <v>96</v>
      </c>
      <c r="B611" s="75" t="s">
        <v>1679</v>
      </c>
      <c r="C611" s="39" t="s">
        <v>17</v>
      </c>
      <c r="D611" s="236"/>
      <c r="E611" s="236"/>
      <c r="F611" s="236"/>
      <c r="G611" s="236"/>
      <c r="H611" s="40">
        <v>0</v>
      </c>
      <c r="I611" s="72">
        <v>0</v>
      </c>
      <c r="J611" s="17">
        <v>0</v>
      </c>
      <c r="K611" s="17"/>
      <c r="L611" s="16" t="s">
        <v>18</v>
      </c>
      <c r="M611" s="16" t="s">
        <v>22</v>
      </c>
      <c r="N611" s="39"/>
    </row>
    <row r="612" spans="1:14" s="12" customFormat="1" ht="30">
      <c r="A612" s="178" t="s">
        <v>96</v>
      </c>
      <c r="B612" s="75" t="s">
        <v>1597</v>
      </c>
      <c r="C612" s="39" t="s">
        <v>17</v>
      </c>
      <c r="D612" s="236"/>
      <c r="E612" s="236"/>
      <c r="F612" s="236"/>
      <c r="G612" s="236"/>
      <c r="H612" s="236">
        <f>SUM(Tabla132112410[[#This Row],[PRIMER TRIMESTRE]:[CUARTO TRIMESTRE]])</f>
        <v>0</v>
      </c>
      <c r="I612" s="72">
        <v>101.53</v>
      </c>
      <c r="J612" s="17">
        <f t="shared" si="17"/>
        <v>0</v>
      </c>
      <c r="K612" s="17"/>
      <c r="L612" s="16" t="s">
        <v>18</v>
      </c>
      <c r="M612" s="16" t="s">
        <v>22</v>
      </c>
      <c r="N612" s="39"/>
    </row>
    <row r="613" spans="1:14" s="12" customFormat="1" ht="30">
      <c r="A613" s="178" t="s">
        <v>96</v>
      </c>
      <c r="B613" s="75" t="s">
        <v>777</v>
      </c>
      <c r="C613" s="39" t="s">
        <v>17</v>
      </c>
      <c r="D613" s="236"/>
      <c r="E613" s="236"/>
      <c r="F613" s="236"/>
      <c r="G613" s="236"/>
      <c r="H613" s="236">
        <f>SUM(Tabla132112410[[#This Row],[PRIMER TRIMESTRE]:[CUARTO TRIMESTRE]])</f>
        <v>0</v>
      </c>
      <c r="I613" s="72">
        <v>13750</v>
      </c>
      <c r="J613" s="17">
        <f>+Tabla132112410[[#This Row],[CANTIDAD TOTAL]]*Tabla132112410[[#This Row],[PRECIO UNITARIO ESTIMADO]]</f>
        <v>0</v>
      </c>
      <c r="K613" s="17"/>
      <c r="L613" s="16" t="s">
        <v>18</v>
      </c>
      <c r="M613" s="16" t="s">
        <v>22</v>
      </c>
      <c r="N613" s="39" t="s">
        <v>418</v>
      </c>
    </row>
    <row r="614" spans="1:14" s="12" customFormat="1" ht="30">
      <c r="A614" s="178" t="s">
        <v>96</v>
      </c>
      <c r="B614" s="75" t="s">
        <v>1599</v>
      </c>
      <c r="C614" s="39" t="s">
        <v>17</v>
      </c>
      <c r="D614" s="236"/>
      <c r="E614" s="236"/>
      <c r="F614" s="236"/>
      <c r="G614" s="236"/>
      <c r="H614" s="236">
        <f>SUM(Tabla132112410[[#This Row],[PRIMER TRIMESTRE]:[CUARTO TRIMESTRE]])</f>
        <v>0</v>
      </c>
      <c r="I614" s="72">
        <v>110</v>
      </c>
      <c r="J614" s="17">
        <f>+H614*I614</f>
        <v>0</v>
      </c>
      <c r="K614" s="17"/>
      <c r="L614" s="16" t="s">
        <v>18</v>
      </c>
      <c r="M614" s="16" t="s">
        <v>22</v>
      </c>
      <c r="N614" s="39"/>
    </row>
    <row r="615" spans="1:14" s="12" customFormat="1" ht="30">
      <c r="A615" s="178" t="s">
        <v>96</v>
      </c>
      <c r="B615" s="75" t="s">
        <v>1600</v>
      </c>
      <c r="C615" s="39" t="s">
        <v>17</v>
      </c>
      <c r="D615" s="236"/>
      <c r="E615" s="236"/>
      <c r="F615" s="236"/>
      <c r="G615" s="236"/>
      <c r="H615" s="236">
        <f>SUM(Tabla132112410[[#This Row],[PRIMER TRIMESTRE]:[CUARTO TRIMESTRE]])</f>
        <v>0</v>
      </c>
      <c r="I615" s="72">
        <v>40</v>
      </c>
      <c r="J615" s="17">
        <f>+H615*I615</f>
        <v>0</v>
      </c>
      <c r="K615" s="17"/>
      <c r="L615" s="16" t="s">
        <v>18</v>
      </c>
      <c r="M615" s="16" t="s">
        <v>22</v>
      </c>
      <c r="N615" s="39"/>
    </row>
    <row r="616" spans="1:14" s="12" customFormat="1" ht="30">
      <c r="A616" s="178" t="s">
        <v>96</v>
      </c>
      <c r="B616" s="75" t="s">
        <v>1598</v>
      </c>
      <c r="C616" s="39" t="s">
        <v>17</v>
      </c>
      <c r="D616" s="236"/>
      <c r="E616" s="236"/>
      <c r="F616" s="236"/>
      <c r="G616" s="236"/>
      <c r="H616" s="236">
        <f>SUM(Tabla132112410[[#This Row],[PRIMER TRIMESTRE]:[CUARTO TRIMESTRE]])</f>
        <v>0</v>
      </c>
      <c r="I616" s="72">
        <v>90</v>
      </c>
      <c r="J616" s="17">
        <f>+H616*I616</f>
        <v>0</v>
      </c>
      <c r="K616" s="17"/>
      <c r="L616" s="16" t="s">
        <v>18</v>
      </c>
      <c r="M616" s="16" t="s">
        <v>22</v>
      </c>
      <c r="N616" s="39"/>
    </row>
    <row r="617" spans="1:14" s="12" customFormat="1" ht="30">
      <c r="A617" s="178" t="s">
        <v>96</v>
      </c>
      <c r="B617" s="75" t="s">
        <v>210</v>
      </c>
      <c r="C617" s="39" t="s">
        <v>17</v>
      </c>
      <c r="D617" s="236"/>
      <c r="E617" s="236"/>
      <c r="F617" s="236"/>
      <c r="G617" s="236"/>
      <c r="H617" s="236">
        <f>SUM(Tabla132112410[[#This Row],[PRIMER TRIMESTRE]:[CUARTO TRIMESTRE]])</f>
        <v>0</v>
      </c>
      <c r="I617" s="72">
        <v>13750</v>
      </c>
      <c r="J617" s="17">
        <f>+Tabla132112410[[#This Row],[CANTIDAD TOTAL]]*Tabla132112410[[#This Row],[PRECIO UNITARIO ESTIMADO]]</f>
        <v>0</v>
      </c>
      <c r="K617" s="17"/>
      <c r="L617" s="16" t="s">
        <v>18</v>
      </c>
      <c r="M617" s="16" t="s">
        <v>22</v>
      </c>
      <c r="N617" s="39" t="s">
        <v>418</v>
      </c>
    </row>
    <row r="618" spans="1:14" s="12" customFormat="1" ht="30">
      <c r="A618" s="178" t="s">
        <v>96</v>
      </c>
      <c r="B618" s="75" t="s">
        <v>1594</v>
      </c>
      <c r="C618" s="39" t="s">
        <v>17</v>
      </c>
      <c r="D618" s="236"/>
      <c r="E618" s="236"/>
      <c r="F618" s="236"/>
      <c r="G618" s="236"/>
      <c r="H618" s="236">
        <f>SUM(Tabla132112410[[#This Row],[PRIMER TRIMESTRE]:[CUARTO TRIMESTRE]])</f>
        <v>0</v>
      </c>
      <c r="I618" s="72">
        <v>95</v>
      </c>
      <c r="J618" s="17">
        <f>+H618*I618</f>
        <v>0</v>
      </c>
      <c r="K618" s="17"/>
      <c r="L618" s="16" t="s">
        <v>18</v>
      </c>
      <c r="M618" s="16" t="s">
        <v>22</v>
      </c>
      <c r="N618" s="39"/>
    </row>
    <row r="619" spans="1:14" s="12" customFormat="1" ht="30">
      <c r="A619" s="178" t="s">
        <v>96</v>
      </c>
      <c r="B619" s="75" t="s">
        <v>1596</v>
      </c>
      <c r="C619" s="39" t="s">
        <v>17</v>
      </c>
      <c r="D619" s="236"/>
      <c r="E619" s="236"/>
      <c r="F619" s="236"/>
      <c r="G619" s="236"/>
      <c r="H619" s="236">
        <f>SUM(Tabla132112410[[#This Row],[PRIMER TRIMESTRE]:[CUARTO TRIMESTRE]])</f>
        <v>0</v>
      </c>
      <c r="I619" s="72">
        <v>95</v>
      </c>
      <c r="J619" s="17">
        <f>+H619*I619</f>
        <v>0</v>
      </c>
      <c r="K619" s="17"/>
      <c r="L619" s="16" t="s">
        <v>18</v>
      </c>
      <c r="M619" s="16" t="s">
        <v>22</v>
      </c>
      <c r="N619" s="39"/>
    </row>
    <row r="620" spans="1:14" s="12" customFormat="1" ht="30">
      <c r="A620" s="178" t="s">
        <v>96</v>
      </c>
      <c r="B620" s="75" t="s">
        <v>211</v>
      </c>
      <c r="C620" s="39" t="s">
        <v>17</v>
      </c>
      <c r="D620" s="236"/>
      <c r="E620" s="236"/>
      <c r="F620" s="236"/>
      <c r="G620" s="236"/>
      <c r="H620" s="40">
        <f>SUM(Tabla132112410[[#This Row],[PRIMER TRIMESTRE]:[CUARTO TRIMESTRE]])</f>
        <v>0</v>
      </c>
      <c r="I620" s="17">
        <v>191</v>
      </c>
      <c r="J620" s="17">
        <f>+Tabla132112410[[#This Row],[CANTIDAD TOTAL]]*Tabla132112410[[#This Row],[PRECIO UNITARIO ESTIMADO]]</f>
        <v>0</v>
      </c>
      <c r="K620" s="17"/>
      <c r="L620" s="16" t="s">
        <v>18</v>
      </c>
      <c r="M620" s="16" t="s">
        <v>22</v>
      </c>
      <c r="N620" s="39" t="s">
        <v>418</v>
      </c>
    </row>
    <row r="621" spans="1:14" s="12" customFormat="1" ht="30">
      <c r="A621" s="178" t="s">
        <v>96</v>
      </c>
      <c r="B621" s="75" t="s">
        <v>772</v>
      </c>
      <c r="C621" s="39" t="s">
        <v>17</v>
      </c>
      <c r="D621" s="236"/>
      <c r="E621" s="236"/>
      <c r="F621" s="236"/>
      <c r="G621" s="236"/>
      <c r="H621" s="40">
        <f>SUM(Tabla132112410[[#This Row],[PRIMER TRIMESTRE]:[CUARTO TRIMESTRE]])</f>
        <v>0</v>
      </c>
      <c r="I621" s="72">
        <v>7700</v>
      </c>
      <c r="J621" s="17">
        <f>+H621*I621</f>
        <v>0</v>
      </c>
      <c r="K621" s="17"/>
      <c r="L621" s="16" t="s">
        <v>18</v>
      </c>
      <c r="M621" s="16" t="s">
        <v>22</v>
      </c>
      <c r="N621" s="39"/>
    </row>
    <row r="622" spans="1:14" s="12" customFormat="1" ht="30">
      <c r="A622" s="178" t="s">
        <v>96</v>
      </c>
      <c r="B622" s="75" t="s">
        <v>1690</v>
      </c>
      <c r="C622" s="39" t="s">
        <v>343</v>
      </c>
      <c r="D622" s="236"/>
      <c r="E622" s="236"/>
      <c r="F622" s="236"/>
      <c r="G622" s="236"/>
      <c r="H622" s="40">
        <v>0</v>
      </c>
      <c r="I622" s="72">
        <v>0</v>
      </c>
      <c r="J622" s="17">
        <v>0</v>
      </c>
      <c r="K622" s="17"/>
      <c r="L622" s="16" t="s">
        <v>18</v>
      </c>
      <c r="M622" s="16" t="s">
        <v>22</v>
      </c>
      <c r="N622" s="39"/>
    </row>
    <row r="623" spans="1:14" s="12" customFormat="1" ht="30">
      <c r="A623" s="178" t="s">
        <v>96</v>
      </c>
      <c r="B623" s="75" t="s">
        <v>229</v>
      </c>
      <c r="C623" s="39" t="s">
        <v>17</v>
      </c>
      <c r="D623" s="236"/>
      <c r="E623" s="236"/>
      <c r="F623" s="236"/>
      <c r="G623" s="236"/>
      <c r="H623" s="40">
        <f>SUM(Tabla132112410[[#This Row],[PRIMER TRIMESTRE]:[CUARTO TRIMESTRE]])</f>
        <v>0</v>
      </c>
      <c r="I623" s="17">
        <v>6460</v>
      </c>
      <c r="J623" s="17">
        <f>+Tabla132112410[[#This Row],[CANTIDAD TOTAL]]*Tabla132112410[[#This Row],[PRECIO UNITARIO ESTIMADO]]</f>
        <v>0</v>
      </c>
      <c r="K623" s="17"/>
      <c r="L623" s="16" t="s">
        <v>18</v>
      </c>
      <c r="M623" s="16" t="s">
        <v>22</v>
      </c>
      <c r="N623" s="39"/>
    </row>
    <row r="624" spans="1:14" s="12" customFormat="1" ht="30">
      <c r="A624" s="178" t="s">
        <v>96</v>
      </c>
      <c r="B624" s="75" t="s">
        <v>1712</v>
      </c>
      <c r="C624" s="39" t="s">
        <v>17</v>
      </c>
      <c r="D624" s="236"/>
      <c r="E624" s="236"/>
      <c r="F624" s="236"/>
      <c r="G624" s="236"/>
      <c r="H624" s="40">
        <v>0</v>
      </c>
      <c r="I624" s="17">
        <v>0</v>
      </c>
      <c r="J624" s="17">
        <v>0</v>
      </c>
      <c r="K624" s="17"/>
      <c r="L624" s="16" t="s">
        <v>18</v>
      </c>
      <c r="M624" s="16" t="s">
        <v>22</v>
      </c>
      <c r="N624" s="39"/>
    </row>
    <row r="625" spans="1:14" s="12" customFormat="1" ht="30">
      <c r="A625" s="178" t="s">
        <v>96</v>
      </c>
      <c r="B625" s="75" t="s">
        <v>1218</v>
      </c>
      <c r="C625" s="39" t="s">
        <v>17</v>
      </c>
      <c r="D625" s="236"/>
      <c r="E625" s="236"/>
      <c r="F625" s="236"/>
      <c r="G625" s="236"/>
      <c r="H625" s="40">
        <f>SUM(Tabla132112410[[#This Row],[PRIMER TRIMESTRE]:[CUARTO TRIMESTRE]])</f>
        <v>0</v>
      </c>
      <c r="I625" s="17">
        <v>6460</v>
      </c>
      <c r="J625" s="17">
        <f>+H625*I625</f>
        <v>0</v>
      </c>
      <c r="K625" s="17"/>
      <c r="L625" s="16" t="s">
        <v>18</v>
      </c>
      <c r="M625" s="16" t="s">
        <v>22</v>
      </c>
      <c r="N625" s="39"/>
    </row>
    <row r="626" spans="1:14" s="12" customFormat="1" ht="30">
      <c r="A626" s="178" t="s">
        <v>96</v>
      </c>
      <c r="B626" s="75" t="s">
        <v>1683</v>
      </c>
      <c r="C626" s="39" t="s">
        <v>17</v>
      </c>
      <c r="D626" s="236"/>
      <c r="E626" s="236"/>
      <c r="F626" s="236"/>
      <c r="G626" s="236"/>
      <c r="H626" s="40">
        <v>0</v>
      </c>
      <c r="I626" s="17">
        <v>0</v>
      </c>
      <c r="J626" s="17">
        <v>0</v>
      </c>
      <c r="K626" s="17"/>
      <c r="L626" s="16" t="s">
        <v>18</v>
      </c>
      <c r="M626" s="16" t="s">
        <v>22</v>
      </c>
      <c r="N626" s="39"/>
    </row>
    <row r="627" spans="1:14" s="12" customFormat="1" ht="30">
      <c r="A627" s="178" t="s">
        <v>96</v>
      </c>
      <c r="B627" s="75" t="s">
        <v>1731</v>
      </c>
      <c r="C627" s="39" t="s">
        <v>17</v>
      </c>
      <c r="D627" s="236"/>
      <c r="E627" s="236"/>
      <c r="F627" s="236"/>
      <c r="G627" s="236"/>
      <c r="H627" s="40">
        <v>0</v>
      </c>
      <c r="I627" s="17">
        <v>0</v>
      </c>
      <c r="J627" s="17">
        <v>0</v>
      </c>
      <c r="K627" s="17"/>
      <c r="L627" s="16" t="s">
        <v>18</v>
      </c>
      <c r="M627" s="16" t="s">
        <v>22</v>
      </c>
      <c r="N627" s="39"/>
    </row>
    <row r="628" spans="1:14" s="12" customFormat="1" ht="30">
      <c r="A628" s="178" t="s">
        <v>96</v>
      </c>
      <c r="B628" s="75" t="s">
        <v>770</v>
      </c>
      <c r="C628" s="39" t="s">
        <v>17</v>
      </c>
      <c r="D628" s="236"/>
      <c r="E628" s="236"/>
      <c r="F628" s="236"/>
      <c r="G628" s="236"/>
      <c r="H628" s="40">
        <f>SUM(Tabla132112410[[#This Row],[PRIMER TRIMESTRE]:[CUARTO TRIMESTRE]])</f>
        <v>0</v>
      </c>
      <c r="I628" s="17">
        <v>12589</v>
      </c>
      <c r="J628" s="17">
        <f>+Tabla132112410[[#This Row],[CANTIDAD TOTAL]]*Tabla132112410[[#This Row],[PRECIO UNITARIO ESTIMADO]]</f>
        <v>0</v>
      </c>
      <c r="K628" s="17"/>
      <c r="L628" s="16" t="s">
        <v>18</v>
      </c>
      <c r="M628" s="16" t="s">
        <v>22</v>
      </c>
      <c r="N628" s="39"/>
    </row>
    <row r="629" spans="1:14" s="12" customFormat="1" ht="30">
      <c r="A629" s="178" t="s">
        <v>96</v>
      </c>
      <c r="B629" s="75" t="s">
        <v>771</v>
      </c>
      <c r="C629" s="39" t="s">
        <v>17</v>
      </c>
      <c r="D629" s="236"/>
      <c r="E629" s="236"/>
      <c r="F629" s="236"/>
      <c r="G629" s="236"/>
      <c r="H629" s="40">
        <f>SUM(Tabla132112410[[#This Row],[PRIMER TRIMESTRE]:[CUARTO TRIMESTRE]])</f>
        <v>0</v>
      </c>
      <c r="I629" s="72">
        <v>14625</v>
      </c>
      <c r="J629" s="17">
        <f t="shared" ref="J629:J692" si="18">+H629*I629</f>
        <v>0</v>
      </c>
      <c r="K629" s="17"/>
      <c r="L629" s="16" t="s">
        <v>18</v>
      </c>
      <c r="M629" s="16" t="s">
        <v>22</v>
      </c>
      <c r="N629" s="39"/>
    </row>
    <row r="630" spans="1:14" s="12" customFormat="1" ht="30">
      <c r="A630" s="178" t="s">
        <v>96</v>
      </c>
      <c r="B630" s="75" t="s">
        <v>1219</v>
      </c>
      <c r="C630" s="39" t="s">
        <v>17</v>
      </c>
      <c r="D630" s="236"/>
      <c r="E630" s="236"/>
      <c r="F630" s="236"/>
      <c r="G630" s="236"/>
      <c r="H630" s="40">
        <f>SUM(Tabla132112410[[#This Row],[PRIMER TRIMESTRE]:[CUARTO TRIMESTRE]])</f>
        <v>0</v>
      </c>
      <c r="I630" s="72">
        <v>28650</v>
      </c>
      <c r="J630" s="17">
        <f t="shared" si="18"/>
        <v>0</v>
      </c>
      <c r="K630" s="17"/>
      <c r="L630" s="17" t="s">
        <v>18</v>
      </c>
      <c r="M630" s="16" t="s">
        <v>22</v>
      </c>
      <c r="N630" s="39"/>
    </row>
    <row r="631" spans="1:14" s="12" customFormat="1" ht="30">
      <c r="A631" s="178" t="s">
        <v>96</v>
      </c>
      <c r="B631" s="75" t="s">
        <v>803</v>
      </c>
      <c r="C631" s="39" t="s">
        <v>343</v>
      </c>
      <c r="D631" s="236"/>
      <c r="E631" s="236"/>
      <c r="F631" s="236"/>
      <c r="G631" s="236"/>
      <c r="H631" s="40">
        <f>SUM(Tabla132112410[[#This Row],[PRIMER TRIMESTRE]:[CUARTO TRIMESTRE]])</f>
        <v>0</v>
      </c>
      <c r="I631" s="72">
        <v>5.64</v>
      </c>
      <c r="J631" s="17">
        <f t="shared" si="18"/>
        <v>0</v>
      </c>
      <c r="K631" s="17"/>
      <c r="L631" s="17" t="s">
        <v>18</v>
      </c>
      <c r="M631" s="16" t="s">
        <v>22</v>
      </c>
      <c r="N631" s="39" t="s">
        <v>418</v>
      </c>
    </row>
    <row r="632" spans="1:14" s="12" customFormat="1" ht="30">
      <c r="A632" s="178" t="s">
        <v>96</v>
      </c>
      <c r="B632" s="75" t="s">
        <v>804</v>
      </c>
      <c r="C632" s="39" t="s">
        <v>343</v>
      </c>
      <c r="D632" s="236"/>
      <c r="E632" s="236"/>
      <c r="F632" s="236"/>
      <c r="G632" s="236"/>
      <c r="H632" s="40">
        <f>SUM(Tabla132112410[[#This Row],[PRIMER TRIMESTRE]:[CUARTO TRIMESTRE]])</f>
        <v>0</v>
      </c>
      <c r="I632" s="17">
        <v>12</v>
      </c>
      <c r="J632" s="17">
        <f t="shared" si="18"/>
        <v>0</v>
      </c>
      <c r="K632" s="17"/>
      <c r="L632" s="17" t="s">
        <v>18</v>
      </c>
      <c r="M632" s="16" t="s">
        <v>22</v>
      </c>
      <c r="N632" s="39" t="s">
        <v>418</v>
      </c>
    </row>
    <row r="633" spans="1:14" s="12" customFormat="1" ht="30">
      <c r="A633" s="178" t="s">
        <v>96</v>
      </c>
      <c r="B633" s="75" t="s">
        <v>805</v>
      </c>
      <c r="C633" s="39" t="s">
        <v>343</v>
      </c>
      <c r="D633" s="236"/>
      <c r="E633" s="236"/>
      <c r="F633" s="236"/>
      <c r="G633" s="236"/>
      <c r="H633" s="40">
        <f>SUM(Tabla132112410[[#This Row],[PRIMER TRIMESTRE]:[CUARTO TRIMESTRE]])</f>
        <v>0</v>
      </c>
      <c r="I633" s="72">
        <v>19</v>
      </c>
      <c r="J633" s="17">
        <f t="shared" si="18"/>
        <v>0</v>
      </c>
      <c r="K633" s="17"/>
      <c r="L633" s="17" t="s">
        <v>18</v>
      </c>
      <c r="M633" s="16" t="s">
        <v>22</v>
      </c>
      <c r="N633" s="39" t="s">
        <v>418</v>
      </c>
    </row>
    <row r="634" spans="1:14" s="12" customFormat="1" ht="30">
      <c r="A634" s="178" t="s">
        <v>96</v>
      </c>
      <c r="B634" s="75" t="s">
        <v>806</v>
      </c>
      <c r="C634" s="39" t="s">
        <v>343</v>
      </c>
      <c r="D634" s="236"/>
      <c r="E634" s="236"/>
      <c r="F634" s="236"/>
      <c r="G634" s="236"/>
      <c r="H634" s="40">
        <f>SUM(Tabla132112410[[#This Row],[PRIMER TRIMESTRE]:[CUARTO TRIMESTRE]])</f>
        <v>0</v>
      </c>
      <c r="I634" s="72">
        <v>22</v>
      </c>
      <c r="J634" s="17">
        <f t="shared" si="18"/>
        <v>0</v>
      </c>
      <c r="K634" s="17"/>
      <c r="L634" s="17" t="s">
        <v>18</v>
      </c>
      <c r="M634" s="16" t="s">
        <v>22</v>
      </c>
      <c r="N634" s="39" t="s">
        <v>418</v>
      </c>
    </row>
    <row r="635" spans="1:14" s="12" customFormat="1" ht="30">
      <c r="A635" s="178" t="s">
        <v>96</v>
      </c>
      <c r="B635" s="75" t="s">
        <v>807</v>
      </c>
      <c r="C635" s="39" t="s">
        <v>343</v>
      </c>
      <c r="D635" s="236"/>
      <c r="E635" s="236"/>
      <c r="F635" s="236"/>
      <c r="G635" s="236"/>
      <c r="H635" s="40">
        <f>SUM(Tabla132112410[[#This Row],[PRIMER TRIMESTRE]:[CUARTO TRIMESTRE]])</f>
        <v>0</v>
      </c>
      <c r="I635" s="72">
        <v>30.5</v>
      </c>
      <c r="J635" s="17">
        <f t="shared" si="18"/>
        <v>0</v>
      </c>
      <c r="K635" s="17"/>
      <c r="L635" s="17" t="s">
        <v>18</v>
      </c>
      <c r="M635" s="16" t="s">
        <v>22</v>
      </c>
      <c r="N635" s="39" t="s">
        <v>418</v>
      </c>
    </row>
    <row r="636" spans="1:14" s="12" customFormat="1" ht="30">
      <c r="A636" s="178" t="s">
        <v>96</v>
      </c>
      <c r="B636" s="75" t="s">
        <v>808</v>
      </c>
      <c r="C636" s="39" t="s">
        <v>343</v>
      </c>
      <c r="D636" s="236"/>
      <c r="E636" s="236"/>
      <c r="F636" s="236"/>
      <c r="G636" s="236"/>
      <c r="H636" s="40">
        <f>SUM(Tabla132112410[[#This Row],[PRIMER TRIMESTRE]:[CUARTO TRIMESTRE]])</f>
        <v>0</v>
      </c>
      <c r="I636" s="72">
        <v>49.27</v>
      </c>
      <c r="J636" s="17">
        <f t="shared" si="18"/>
        <v>0</v>
      </c>
      <c r="K636" s="17"/>
      <c r="L636" s="17" t="s">
        <v>18</v>
      </c>
      <c r="M636" s="16" t="s">
        <v>22</v>
      </c>
      <c r="N636" s="39" t="s">
        <v>418</v>
      </c>
    </row>
    <row r="637" spans="1:14" s="12" customFormat="1" ht="30">
      <c r="A637" s="178" t="s">
        <v>96</v>
      </c>
      <c r="B637" s="75" t="s">
        <v>809</v>
      </c>
      <c r="C637" s="39" t="s">
        <v>343</v>
      </c>
      <c r="D637" s="236"/>
      <c r="E637" s="236"/>
      <c r="F637" s="236"/>
      <c r="G637" s="236"/>
      <c r="H637" s="40">
        <f>SUM(Tabla132112410[[#This Row],[PRIMER TRIMESTRE]:[CUARTO TRIMESTRE]])</f>
        <v>0</v>
      </c>
      <c r="I637" s="72">
        <v>73</v>
      </c>
      <c r="J637" s="17">
        <f t="shared" si="18"/>
        <v>0</v>
      </c>
      <c r="K637" s="17"/>
      <c r="L637" s="17" t="s">
        <v>18</v>
      </c>
      <c r="M637" s="16" t="s">
        <v>22</v>
      </c>
      <c r="N637" s="39" t="s">
        <v>418</v>
      </c>
    </row>
    <row r="638" spans="1:14" s="12" customFormat="1" ht="30">
      <c r="A638" s="178" t="s">
        <v>96</v>
      </c>
      <c r="B638" s="75" t="s">
        <v>810</v>
      </c>
      <c r="C638" s="39" t="s">
        <v>343</v>
      </c>
      <c r="D638" s="236"/>
      <c r="E638" s="236"/>
      <c r="F638" s="236"/>
      <c r="G638" s="236"/>
      <c r="H638" s="40">
        <f>SUM(Tabla132112410[[#This Row],[PRIMER TRIMESTRE]:[CUARTO TRIMESTRE]])</f>
        <v>0</v>
      </c>
      <c r="I638" s="17">
        <v>95</v>
      </c>
      <c r="J638" s="17">
        <f t="shared" si="18"/>
        <v>0</v>
      </c>
      <c r="K638" s="17"/>
      <c r="L638" s="17" t="s">
        <v>18</v>
      </c>
      <c r="M638" s="16" t="s">
        <v>22</v>
      </c>
      <c r="N638" s="39" t="s">
        <v>418</v>
      </c>
    </row>
    <row r="639" spans="1:14" s="12" customFormat="1" ht="30">
      <c r="A639" s="178" t="s">
        <v>96</v>
      </c>
      <c r="B639" s="75" t="s">
        <v>811</v>
      </c>
      <c r="C639" s="39" t="s">
        <v>343</v>
      </c>
      <c r="D639" s="236"/>
      <c r="E639" s="236"/>
      <c r="F639" s="236"/>
      <c r="G639" s="236"/>
      <c r="H639" s="40">
        <f>SUM(Tabla132112410[[#This Row],[PRIMER TRIMESTRE]:[CUARTO TRIMESTRE]])</f>
        <v>0</v>
      </c>
      <c r="I639" s="17">
        <v>121.25</v>
      </c>
      <c r="J639" s="17">
        <f t="shared" si="18"/>
        <v>0</v>
      </c>
      <c r="K639" s="17"/>
      <c r="L639" s="17" t="s">
        <v>18</v>
      </c>
      <c r="M639" s="16" t="s">
        <v>22</v>
      </c>
      <c r="N639" s="39" t="s">
        <v>418</v>
      </c>
    </row>
    <row r="640" spans="1:14" s="12" customFormat="1" ht="30">
      <c r="A640" s="178" t="s">
        <v>96</v>
      </c>
      <c r="B640" s="75" t="s">
        <v>812</v>
      </c>
      <c r="C640" s="39" t="s">
        <v>343</v>
      </c>
      <c r="D640" s="236"/>
      <c r="E640" s="236"/>
      <c r="F640" s="236"/>
      <c r="G640" s="236"/>
      <c r="H640" s="40">
        <f>SUM(Tabla132112410[[#This Row],[PRIMER TRIMESTRE]:[CUARTO TRIMESTRE]])</f>
        <v>0</v>
      </c>
      <c r="I640" s="17">
        <v>163.98</v>
      </c>
      <c r="J640" s="17">
        <f t="shared" si="18"/>
        <v>0</v>
      </c>
      <c r="K640" s="17"/>
      <c r="L640" s="17" t="s">
        <v>18</v>
      </c>
      <c r="M640" s="16" t="s">
        <v>22</v>
      </c>
      <c r="N640" s="39" t="s">
        <v>418</v>
      </c>
    </row>
    <row r="641" spans="1:14" s="12" customFormat="1" ht="30">
      <c r="A641" s="178" t="s">
        <v>96</v>
      </c>
      <c r="B641" s="75" t="s">
        <v>1479</v>
      </c>
      <c r="C641" s="39" t="s">
        <v>343</v>
      </c>
      <c r="D641" s="236"/>
      <c r="E641" s="236"/>
      <c r="F641" s="236"/>
      <c r="G641" s="236"/>
      <c r="H641" s="236">
        <f>SUM(Tabla132112410[[#This Row],[PRIMER TRIMESTRE]:[CUARTO TRIMESTRE]])</f>
        <v>0</v>
      </c>
      <c r="I641" s="17">
        <v>249.9</v>
      </c>
      <c r="J641" s="17">
        <f t="shared" si="18"/>
        <v>0</v>
      </c>
      <c r="K641" s="17"/>
      <c r="L641" s="17" t="s">
        <v>18</v>
      </c>
      <c r="M641" s="16" t="s">
        <v>22</v>
      </c>
      <c r="N641" s="39" t="s">
        <v>418</v>
      </c>
    </row>
    <row r="642" spans="1:14" s="12" customFormat="1" ht="30">
      <c r="A642" s="178" t="s">
        <v>96</v>
      </c>
      <c r="B642" s="75" t="s">
        <v>1463</v>
      </c>
      <c r="C642" s="39" t="s">
        <v>343</v>
      </c>
      <c r="D642" s="236"/>
      <c r="E642" s="236"/>
      <c r="F642" s="236"/>
      <c r="G642" s="236"/>
      <c r="H642" s="40">
        <f>SUM(Tabla132112410[[#This Row],[PRIMER TRIMESTRE]:[CUARTO TRIMESTRE]])</f>
        <v>0</v>
      </c>
      <c r="I642" s="17">
        <v>175</v>
      </c>
      <c r="J642" s="17">
        <f t="shared" si="18"/>
        <v>0</v>
      </c>
      <c r="K642" s="17"/>
      <c r="L642" s="17" t="s">
        <v>18</v>
      </c>
      <c r="M642" s="16" t="s">
        <v>22</v>
      </c>
      <c r="N642" s="39" t="s">
        <v>418</v>
      </c>
    </row>
    <row r="643" spans="1:14" s="12" customFormat="1" ht="30">
      <c r="A643" s="178" t="s">
        <v>96</v>
      </c>
      <c r="B643" s="75" t="s">
        <v>1448</v>
      </c>
      <c r="C643" s="39" t="s">
        <v>343</v>
      </c>
      <c r="D643" s="236"/>
      <c r="E643" s="236"/>
      <c r="F643" s="236"/>
      <c r="G643" s="236"/>
      <c r="H643" s="40">
        <f>SUM(Tabla132112410[[#This Row],[PRIMER TRIMESTRE]:[CUARTO TRIMESTRE]])</f>
        <v>0</v>
      </c>
      <c r="I643" s="17">
        <v>120</v>
      </c>
      <c r="J643" s="17">
        <f t="shared" si="18"/>
        <v>0</v>
      </c>
      <c r="K643" s="17"/>
      <c r="L643" s="17" t="s">
        <v>18</v>
      </c>
      <c r="M643" s="16" t="s">
        <v>22</v>
      </c>
      <c r="N643" s="39" t="s">
        <v>418</v>
      </c>
    </row>
    <row r="644" spans="1:14" s="12" customFormat="1" ht="30">
      <c r="A644" s="178" t="s">
        <v>96</v>
      </c>
      <c r="B644" s="75" t="s">
        <v>1476</v>
      </c>
      <c r="C644" s="39" t="s">
        <v>343</v>
      </c>
      <c r="D644" s="236"/>
      <c r="E644" s="236"/>
      <c r="F644" s="236"/>
      <c r="G644" s="236"/>
      <c r="H644" s="236">
        <f>SUM(Tabla132112410[[#This Row],[PRIMER TRIMESTRE]:[CUARTO TRIMESTRE]])</f>
        <v>0</v>
      </c>
      <c r="I644" s="17">
        <v>48.72</v>
      </c>
      <c r="J644" s="17">
        <f t="shared" si="18"/>
        <v>0</v>
      </c>
      <c r="K644" s="17"/>
      <c r="L644" s="17" t="s">
        <v>18</v>
      </c>
      <c r="M644" s="16" t="s">
        <v>22</v>
      </c>
      <c r="N644" s="39" t="s">
        <v>418</v>
      </c>
    </row>
    <row r="645" spans="1:14" s="12" customFormat="1" ht="30">
      <c r="A645" s="178" t="s">
        <v>96</v>
      </c>
      <c r="B645" s="75" t="s">
        <v>1477</v>
      </c>
      <c r="C645" s="39" t="s">
        <v>343</v>
      </c>
      <c r="D645" s="236"/>
      <c r="E645" s="236"/>
      <c r="F645" s="236"/>
      <c r="G645" s="236"/>
      <c r="H645" s="236">
        <f>SUM(Tabla132112410[[#This Row],[PRIMER TRIMESTRE]:[CUARTO TRIMESTRE]])</f>
        <v>0</v>
      </c>
      <c r="I645" s="17">
        <v>78</v>
      </c>
      <c r="J645" s="17">
        <f t="shared" si="18"/>
        <v>0</v>
      </c>
      <c r="K645" s="17"/>
      <c r="L645" s="17" t="s">
        <v>18</v>
      </c>
      <c r="M645" s="16" t="s">
        <v>22</v>
      </c>
      <c r="N645" s="39" t="s">
        <v>418</v>
      </c>
    </row>
    <row r="646" spans="1:14" s="12" customFormat="1" ht="30">
      <c r="A646" s="178" t="s">
        <v>96</v>
      </c>
      <c r="B646" s="75" t="s">
        <v>1680</v>
      </c>
      <c r="C646" s="39" t="s">
        <v>343</v>
      </c>
      <c r="D646" s="236"/>
      <c r="E646" s="236"/>
      <c r="F646" s="236"/>
      <c r="G646" s="236"/>
      <c r="H646" s="40">
        <v>0</v>
      </c>
      <c r="I646" s="17">
        <v>0</v>
      </c>
      <c r="J646" s="17">
        <v>0</v>
      </c>
      <c r="K646" s="17"/>
      <c r="L646" s="17" t="s">
        <v>18</v>
      </c>
      <c r="M646" s="16" t="s">
        <v>22</v>
      </c>
      <c r="N646" s="39" t="s">
        <v>418</v>
      </c>
    </row>
    <row r="647" spans="1:14" s="12" customFormat="1" ht="30">
      <c r="A647" s="178" t="s">
        <v>96</v>
      </c>
      <c r="B647" s="75" t="s">
        <v>1478</v>
      </c>
      <c r="C647" s="39" t="s">
        <v>343</v>
      </c>
      <c r="D647" s="236"/>
      <c r="E647" s="236"/>
      <c r="F647" s="236"/>
      <c r="G647" s="236"/>
      <c r="H647" s="236">
        <f>SUM(Tabla132112410[[#This Row],[PRIMER TRIMESTRE]:[CUARTO TRIMESTRE]])</f>
        <v>0</v>
      </c>
      <c r="I647" s="17">
        <v>109.2</v>
      </c>
      <c r="J647" s="17">
        <f t="shared" si="18"/>
        <v>0</v>
      </c>
      <c r="K647" s="17"/>
      <c r="L647" s="17" t="s">
        <v>18</v>
      </c>
      <c r="M647" s="16" t="s">
        <v>22</v>
      </c>
      <c r="N647" s="39" t="s">
        <v>418</v>
      </c>
    </row>
    <row r="648" spans="1:14" s="12" customFormat="1" ht="30">
      <c r="A648" s="178" t="s">
        <v>96</v>
      </c>
      <c r="B648" s="75" t="s">
        <v>1473</v>
      </c>
      <c r="C648" s="39" t="s">
        <v>343</v>
      </c>
      <c r="D648" s="236"/>
      <c r="E648" s="236"/>
      <c r="F648" s="236"/>
      <c r="G648" s="236"/>
      <c r="H648" s="236">
        <f>SUM(Tabla132112410[[#This Row],[PRIMER TRIMESTRE]:[CUARTO TRIMESTRE]])</f>
        <v>0</v>
      </c>
      <c r="I648" s="17">
        <v>126</v>
      </c>
      <c r="J648" s="17">
        <f t="shared" si="18"/>
        <v>0</v>
      </c>
      <c r="K648" s="17"/>
      <c r="L648" s="17" t="s">
        <v>18</v>
      </c>
      <c r="M648" s="16" t="s">
        <v>22</v>
      </c>
      <c r="N648" s="39" t="s">
        <v>418</v>
      </c>
    </row>
    <row r="649" spans="1:14" s="12" customFormat="1" ht="30">
      <c r="A649" s="178" t="s">
        <v>96</v>
      </c>
      <c r="B649" s="75" t="s">
        <v>1474</v>
      </c>
      <c r="C649" s="39" t="s">
        <v>343</v>
      </c>
      <c r="D649" s="236"/>
      <c r="E649" s="236"/>
      <c r="F649" s="236"/>
      <c r="G649" s="236"/>
      <c r="H649" s="236">
        <f>SUM(Tabla132112410[[#This Row],[PRIMER TRIMESTRE]:[CUARTO TRIMESTRE]])</f>
        <v>0</v>
      </c>
      <c r="I649" s="17">
        <v>10.8</v>
      </c>
      <c r="J649" s="17">
        <f t="shared" si="18"/>
        <v>0</v>
      </c>
      <c r="K649" s="17"/>
      <c r="L649" s="17" t="s">
        <v>18</v>
      </c>
      <c r="M649" s="16" t="s">
        <v>22</v>
      </c>
      <c r="N649" s="39" t="s">
        <v>418</v>
      </c>
    </row>
    <row r="650" spans="1:14" s="12" customFormat="1" ht="30">
      <c r="A650" s="178" t="s">
        <v>96</v>
      </c>
      <c r="B650" s="75" t="s">
        <v>1475</v>
      </c>
      <c r="C650" s="39" t="s">
        <v>343</v>
      </c>
      <c r="D650" s="236"/>
      <c r="E650" s="236"/>
      <c r="F650" s="236"/>
      <c r="G650" s="236"/>
      <c r="H650" s="236">
        <f>SUM(Tabla132112410[[#This Row],[PRIMER TRIMESTRE]:[CUARTO TRIMESTRE]])</f>
        <v>0</v>
      </c>
      <c r="I650" s="17">
        <v>98.88</v>
      </c>
      <c r="J650" s="17">
        <f t="shared" si="18"/>
        <v>0</v>
      </c>
      <c r="K650" s="17"/>
      <c r="L650" s="17" t="s">
        <v>18</v>
      </c>
      <c r="M650" s="16" t="s">
        <v>22</v>
      </c>
      <c r="N650" s="39" t="s">
        <v>418</v>
      </c>
    </row>
    <row r="651" spans="1:14" s="12" customFormat="1" ht="30">
      <c r="A651" s="178" t="s">
        <v>96</v>
      </c>
      <c r="B651" s="75" t="s">
        <v>1480</v>
      </c>
      <c r="C651" s="39" t="s">
        <v>343</v>
      </c>
      <c r="D651" s="236"/>
      <c r="E651" s="236"/>
      <c r="F651" s="236"/>
      <c r="G651" s="236"/>
      <c r="H651" s="236">
        <f>SUM(Tabla132112410[[#This Row],[PRIMER TRIMESTRE]:[CUARTO TRIMESTRE]])</f>
        <v>0</v>
      </c>
      <c r="I651" s="17">
        <v>169.73</v>
      </c>
      <c r="J651" s="17">
        <f t="shared" si="18"/>
        <v>0</v>
      </c>
      <c r="K651" s="17"/>
      <c r="L651" s="17" t="s">
        <v>18</v>
      </c>
      <c r="M651" s="16" t="s">
        <v>22</v>
      </c>
      <c r="N651" s="39" t="s">
        <v>418</v>
      </c>
    </row>
    <row r="652" spans="1:14" s="12" customFormat="1" ht="30">
      <c r="A652" s="178" t="s">
        <v>96</v>
      </c>
      <c r="B652" s="75" t="s">
        <v>1481</v>
      </c>
      <c r="C652" s="39" t="s">
        <v>343</v>
      </c>
      <c r="D652" s="236"/>
      <c r="E652" s="236"/>
      <c r="F652" s="236"/>
      <c r="G652" s="236"/>
      <c r="H652" s="236">
        <f>SUM(Tabla132112410[[#This Row],[PRIMER TRIMESTRE]:[CUARTO TRIMESTRE]])</f>
        <v>0</v>
      </c>
      <c r="I652" s="17">
        <v>49</v>
      </c>
      <c r="J652" s="17">
        <f t="shared" si="18"/>
        <v>0</v>
      </c>
      <c r="K652" s="17"/>
      <c r="L652" s="17" t="s">
        <v>18</v>
      </c>
      <c r="M652" s="16" t="s">
        <v>22</v>
      </c>
      <c r="N652" s="39" t="s">
        <v>418</v>
      </c>
    </row>
    <row r="653" spans="1:14" s="12" customFormat="1" ht="30">
      <c r="A653" s="178" t="s">
        <v>96</v>
      </c>
      <c r="B653" s="75" t="s">
        <v>1691</v>
      </c>
      <c r="C653" s="39" t="s">
        <v>343</v>
      </c>
      <c r="D653" s="236"/>
      <c r="E653" s="236"/>
      <c r="F653" s="236"/>
      <c r="G653" s="236"/>
      <c r="H653" s="40">
        <v>0</v>
      </c>
      <c r="I653" s="17">
        <v>0</v>
      </c>
      <c r="J653" s="17">
        <v>0</v>
      </c>
      <c r="K653" s="17"/>
      <c r="L653" s="17" t="s">
        <v>18</v>
      </c>
      <c r="M653" s="16" t="s">
        <v>22</v>
      </c>
      <c r="N653" s="39" t="s">
        <v>418</v>
      </c>
    </row>
    <row r="654" spans="1:14" s="12" customFormat="1" ht="30">
      <c r="A654" s="178" t="s">
        <v>96</v>
      </c>
      <c r="B654" s="75" t="s">
        <v>813</v>
      </c>
      <c r="C654" s="39" t="s">
        <v>343</v>
      </c>
      <c r="D654" s="236"/>
      <c r="E654" s="236"/>
      <c r="F654" s="236"/>
      <c r="G654" s="236"/>
      <c r="H654" s="236">
        <f>SUM(Tabla132112410[[#This Row],[PRIMER TRIMESTRE]:[CUARTO TRIMESTRE]])</f>
        <v>0</v>
      </c>
      <c r="I654" s="17">
        <v>309.39999999999998</v>
      </c>
      <c r="J654" s="17">
        <f t="shared" si="18"/>
        <v>0</v>
      </c>
      <c r="K654" s="17"/>
      <c r="L654" s="17" t="s">
        <v>18</v>
      </c>
      <c r="M654" s="16" t="s">
        <v>22</v>
      </c>
      <c r="N654" s="39" t="s">
        <v>418</v>
      </c>
    </row>
    <row r="655" spans="1:14" s="12" customFormat="1" ht="30">
      <c r="A655" s="178" t="s">
        <v>1676</v>
      </c>
      <c r="B655" s="75" t="s">
        <v>1853</v>
      </c>
      <c r="C655" s="39" t="s">
        <v>343</v>
      </c>
      <c r="D655" s="236"/>
      <c r="E655" s="236"/>
      <c r="F655" s="236"/>
      <c r="G655" s="236"/>
      <c r="H655" s="40">
        <v>0</v>
      </c>
      <c r="I655" s="17">
        <v>0</v>
      </c>
      <c r="J655" s="17">
        <v>0</v>
      </c>
      <c r="K655" s="17"/>
      <c r="L655" s="17" t="s">
        <v>18</v>
      </c>
      <c r="M655" s="16" t="s">
        <v>22</v>
      </c>
      <c r="N655" s="39" t="s">
        <v>418</v>
      </c>
    </row>
    <row r="656" spans="1:14" s="12" customFormat="1" ht="30">
      <c r="A656" s="178" t="s">
        <v>96</v>
      </c>
      <c r="B656" s="75" t="s">
        <v>1571</v>
      </c>
      <c r="C656" s="39" t="s">
        <v>17</v>
      </c>
      <c r="D656" s="236"/>
      <c r="E656" s="236"/>
      <c r="F656" s="236"/>
      <c r="G656" s="236"/>
      <c r="H656" s="236">
        <f>SUM(Tabla132112410[[#This Row],[PRIMER TRIMESTRE]:[CUARTO TRIMESTRE]])</f>
        <v>0</v>
      </c>
      <c r="I656" s="17">
        <v>131500</v>
      </c>
      <c r="J656" s="17">
        <f t="shared" si="18"/>
        <v>0</v>
      </c>
      <c r="K656" s="17"/>
      <c r="L656" s="17" t="s">
        <v>18</v>
      </c>
      <c r="M656" s="16" t="s">
        <v>22</v>
      </c>
      <c r="N656" s="39" t="s">
        <v>418</v>
      </c>
    </row>
    <row r="657" spans="1:14" s="12" customFormat="1" ht="30">
      <c r="A657" s="178" t="s">
        <v>96</v>
      </c>
      <c r="B657" s="75" t="s">
        <v>1570</v>
      </c>
      <c r="C657" s="39" t="s">
        <v>343</v>
      </c>
      <c r="D657" s="236"/>
      <c r="E657" s="236"/>
      <c r="F657" s="236"/>
      <c r="G657" s="236"/>
      <c r="H657" s="236">
        <f>SUM(Tabla132112410[[#This Row],[PRIMER TRIMESTRE]:[CUARTO TRIMESTRE]])</f>
        <v>0</v>
      </c>
      <c r="I657" s="17">
        <v>31.11</v>
      </c>
      <c r="J657" s="17">
        <f t="shared" si="18"/>
        <v>0</v>
      </c>
      <c r="K657" s="17"/>
      <c r="L657" s="17" t="s">
        <v>18</v>
      </c>
      <c r="M657" s="16" t="s">
        <v>22</v>
      </c>
      <c r="N657" s="39" t="s">
        <v>418</v>
      </c>
    </row>
    <row r="658" spans="1:14" s="12" customFormat="1" ht="30">
      <c r="A658" s="178" t="s">
        <v>96</v>
      </c>
      <c r="B658" s="75" t="s">
        <v>1603</v>
      </c>
      <c r="C658" s="39" t="s">
        <v>343</v>
      </c>
      <c r="D658" s="236"/>
      <c r="E658" s="236"/>
      <c r="F658" s="236"/>
      <c r="G658" s="236"/>
      <c r="H658" s="236">
        <f>SUM(Tabla132112410[[#This Row],[PRIMER TRIMESTRE]:[CUARTO TRIMESTRE]])</f>
        <v>0</v>
      </c>
      <c r="I658" s="17">
        <v>75.61</v>
      </c>
      <c r="J658" s="17">
        <f t="shared" si="18"/>
        <v>0</v>
      </c>
      <c r="K658" s="17"/>
      <c r="L658" s="17" t="s">
        <v>18</v>
      </c>
      <c r="M658" s="16" t="s">
        <v>22</v>
      </c>
      <c r="N658" s="39" t="s">
        <v>418</v>
      </c>
    </row>
    <row r="659" spans="1:14" s="12" customFormat="1" ht="30">
      <c r="A659" s="178" t="s">
        <v>96</v>
      </c>
      <c r="B659" s="75" t="s">
        <v>1602</v>
      </c>
      <c r="C659" s="39" t="s">
        <v>343</v>
      </c>
      <c r="D659" s="236"/>
      <c r="E659" s="236"/>
      <c r="F659" s="236"/>
      <c r="G659" s="236"/>
      <c r="H659" s="236">
        <f>SUM(Tabla132112410[[#This Row],[PRIMER TRIMESTRE]:[CUARTO TRIMESTRE]])</f>
        <v>0</v>
      </c>
      <c r="I659" s="17">
        <v>77.77</v>
      </c>
      <c r="J659" s="17">
        <f t="shared" si="18"/>
        <v>0</v>
      </c>
      <c r="K659" s="17"/>
      <c r="L659" s="17" t="s">
        <v>18</v>
      </c>
      <c r="M659" s="16" t="s">
        <v>22</v>
      </c>
      <c r="N659" s="39" t="s">
        <v>418</v>
      </c>
    </row>
    <row r="660" spans="1:14" s="12" customFormat="1" ht="30">
      <c r="A660" s="178" t="s">
        <v>96</v>
      </c>
      <c r="B660" s="75" t="s">
        <v>814</v>
      </c>
      <c r="C660" s="39" t="s">
        <v>343</v>
      </c>
      <c r="D660" s="236"/>
      <c r="E660" s="236"/>
      <c r="F660" s="236"/>
      <c r="G660" s="236"/>
      <c r="H660" s="40">
        <f>SUM(Tabla132112410[[#This Row],[PRIMER TRIMESTRE]:[CUARTO TRIMESTRE]])</f>
        <v>0</v>
      </c>
      <c r="I660" s="17">
        <v>380.3</v>
      </c>
      <c r="J660" s="17">
        <f t="shared" si="18"/>
        <v>0</v>
      </c>
      <c r="K660" s="17"/>
      <c r="L660" s="17" t="s">
        <v>18</v>
      </c>
      <c r="M660" s="16" t="s">
        <v>22</v>
      </c>
      <c r="N660" s="39" t="s">
        <v>418</v>
      </c>
    </row>
    <row r="661" spans="1:14" s="12" customFormat="1" ht="30">
      <c r="A661" s="178" t="s">
        <v>96</v>
      </c>
      <c r="B661" s="77" t="s">
        <v>874</v>
      </c>
      <c r="C661" s="39" t="s">
        <v>17</v>
      </c>
      <c r="D661" s="236"/>
      <c r="E661" s="236"/>
      <c r="F661" s="236"/>
      <c r="G661" s="236"/>
      <c r="H661" s="40">
        <f>SUM(Tabla132112410[[#This Row],[PRIMER TRIMESTRE]:[CUARTO TRIMESTRE]])</f>
        <v>0</v>
      </c>
      <c r="I661" s="17">
        <v>110</v>
      </c>
      <c r="J661" s="17">
        <f t="shared" si="18"/>
        <v>0</v>
      </c>
      <c r="K661" s="17"/>
      <c r="L661" s="16" t="s">
        <v>18</v>
      </c>
      <c r="M661" s="16" t="s">
        <v>22</v>
      </c>
      <c r="N661" s="39"/>
    </row>
    <row r="662" spans="1:14" s="12" customFormat="1" ht="30">
      <c r="A662" s="178" t="s">
        <v>96</v>
      </c>
      <c r="B662" s="77" t="s">
        <v>875</v>
      </c>
      <c r="C662" s="39" t="s">
        <v>17</v>
      </c>
      <c r="D662" s="236"/>
      <c r="E662" s="236"/>
      <c r="F662" s="236"/>
      <c r="G662" s="236"/>
      <c r="H662" s="40">
        <f>SUM(Tabla132112410[[#This Row],[PRIMER TRIMESTRE]:[CUARTO TRIMESTRE]])</f>
        <v>0</v>
      </c>
      <c r="I662" s="17">
        <v>125</v>
      </c>
      <c r="J662" s="17">
        <f t="shared" si="18"/>
        <v>0</v>
      </c>
      <c r="K662" s="17"/>
      <c r="L662" s="16" t="s">
        <v>18</v>
      </c>
      <c r="M662" s="16" t="s">
        <v>22</v>
      </c>
      <c r="N662" s="39"/>
    </row>
    <row r="663" spans="1:14" s="12" customFormat="1" ht="30">
      <c r="A663" s="178" t="s">
        <v>96</v>
      </c>
      <c r="B663" s="77" t="s">
        <v>876</v>
      </c>
      <c r="C663" s="39" t="s">
        <v>17</v>
      </c>
      <c r="D663" s="236"/>
      <c r="E663" s="236"/>
      <c r="F663" s="236"/>
      <c r="G663" s="236"/>
      <c r="H663" s="40">
        <f>SUM(Tabla132112410[[#This Row],[PRIMER TRIMESTRE]:[CUARTO TRIMESTRE]])</f>
        <v>0</v>
      </c>
      <c r="I663" s="17">
        <v>135</v>
      </c>
      <c r="J663" s="17">
        <f t="shared" si="18"/>
        <v>0</v>
      </c>
      <c r="K663" s="17"/>
      <c r="L663" s="16" t="s">
        <v>18</v>
      </c>
      <c r="M663" s="16" t="s">
        <v>22</v>
      </c>
      <c r="N663" s="39"/>
    </row>
    <row r="664" spans="1:14" s="12" customFormat="1" ht="30">
      <c r="A664" s="178" t="s">
        <v>96</v>
      </c>
      <c r="B664" s="77" t="s">
        <v>877</v>
      </c>
      <c r="C664" s="39" t="s">
        <v>17</v>
      </c>
      <c r="D664" s="236"/>
      <c r="E664" s="236"/>
      <c r="F664" s="236"/>
      <c r="G664" s="236"/>
      <c r="H664" s="40">
        <f>SUM(Tabla132112410[[#This Row],[PRIMER TRIMESTRE]:[CUARTO TRIMESTRE]])</f>
        <v>0</v>
      </c>
      <c r="I664" s="17">
        <v>175</v>
      </c>
      <c r="J664" s="17">
        <f t="shared" si="18"/>
        <v>0</v>
      </c>
      <c r="K664" s="17"/>
      <c r="L664" s="16" t="s">
        <v>18</v>
      </c>
      <c r="M664" s="16" t="s">
        <v>22</v>
      </c>
      <c r="N664" s="39"/>
    </row>
    <row r="665" spans="1:14" s="12" customFormat="1" ht="30">
      <c r="A665" s="178" t="s">
        <v>96</v>
      </c>
      <c r="B665" s="77" t="s">
        <v>878</v>
      </c>
      <c r="C665" s="39" t="s">
        <v>17</v>
      </c>
      <c r="D665" s="236"/>
      <c r="E665" s="236"/>
      <c r="F665" s="236"/>
      <c r="G665" s="236"/>
      <c r="H665" s="40">
        <f>SUM(Tabla132112410[[#This Row],[PRIMER TRIMESTRE]:[CUARTO TRIMESTRE]])</f>
        <v>0</v>
      </c>
      <c r="I665" s="17">
        <v>191</v>
      </c>
      <c r="J665" s="17">
        <f t="shared" si="18"/>
        <v>0</v>
      </c>
      <c r="K665" s="17"/>
      <c r="L665" s="16" t="s">
        <v>18</v>
      </c>
      <c r="M665" s="16" t="s">
        <v>22</v>
      </c>
      <c r="N665" s="39"/>
    </row>
    <row r="666" spans="1:14" s="12" customFormat="1" ht="30">
      <c r="A666" s="178" t="s">
        <v>96</v>
      </c>
      <c r="B666" s="77" t="s">
        <v>1595</v>
      </c>
      <c r="C666" s="39" t="s">
        <v>17</v>
      </c>
      <c r="D666" s="236"/>
      <c r="E666" s="236"/>
      <c r="F666" s="236"/>
      <c r="G666" s="236"/>
      <c r="H666" s="236">
        <f>SUM(Tabla132112410[[#This Row],[PRIMER TRIMESTRE]:[CUARTO TRIMESTRE]])</f>
        <v>0</v>
      </c>
      <c r="I666" s="17">
        <v>371.2</v>
      </c>
      <c r="J666" s="17">
        <f t="shared" si="18"/>
        <v>0</v>
      </c>
      <c r="K666" s="17"/>
      <c r="L666" s="16" t="s">
        <v>18</v>
      </c>
      <c r="M666" s="16" t="s">
        <v>22</v>
      </c>
      <c r="N666" s="39"/>
    </row>
    <row r="667" spans="1:14" s="12" customFormat="1" ht="30">
      <c r="A667" s="178" t="s">
        <v>96</v>
      </c>
      <c r="B667" s="77" t="s">
        <v>879</v>
      </c>
      <c r="C667" s="39" t="s">
        <v>17</v>
      </c>
      <c r="D667" s="236"/>
      <c r="E667" s="236"/>
      <c r="F667" s="236"/>
      <c r="G667" s="236"/>
      <c r="H667" s="40">
        <f>SUM(Tabla132112410[[#This Row],[PRIMER TRIMESTRE]:[CUARTO TRIMESTRE]])</f>
        <v>0</v>
      </c>
      <c r="I667" s="17">
        <v>23600</v>
      </c>
      <c r="J667" s="17">
        <f t="shared" si="18"/>
        <v>0</v>
      </c>
      <c r="K667" s="17"/>
      <c r="L667" s="16" t="s">
        <v>18</v>
      </c>
      <c r="M667" s="16" t="s">
        <v>22</v>
      </c>
      <c r="N667" s="39"/>
    </row>
    <row r="668" spans="1:14" s="12" customFormat="1" ht="30">
      <c r="A668" s="178" t="s">
        <v>96</v>
      </c>
      <c r="B668" s="77" t="s">
        <v>1518</v>
      </c>
      <c r="C668" s="39" t="s">
        <v>208</v>
      </c>
      <c r="D668" s="236"/>
      <c r="E668" s="236"/>
      <c r="F668" s="236"/>
      <c r="G668" s="236"/>
      <c r="H668" s="236">
        <f>SUM(Tabla132112410[[#This Row],[PRIMER TRIMESTRE]:[CUARTO TRIMESTRE]])</f>
        <v>0</v>
      </c>
      <c r="I668" s="17">
        <v>1500.62</v>
      </c>
      <c r="J668" s="17">
        <f t="shared" si="18"/>
        <v>0</v>
      </c>
      <c r="K668" s="17"/>
      <c r="L668" s="16" t="s">
        <v>18</v>
      </c>
      <c r="M668" s="16" t="s">
        <v>22</v>
      </c>
      <c r="N668" s="39"/>
    </row>
    <row r="669" spans="1:14" s="12" customFormat="1" ht="30">
      <c r="A669" s="178" t="s">
        <v>96</v>
      </c>
      <c r="B669" s="77" t="s">
        <v>1519</v>
      </c>
      <c r="C669" s="39" t="s">
        <v>208</v>
      </c>
      <c r="D669" s="236"/>
      <c r="E669" s="236"/>
      <c r="F669" s="236"/>
      <c r="G669" s="236"/>
      <c r="H669" s="236">
        <f>SUM(Tabla132112410[[#This Row],[PRIMER TRIMESTRE]:[CUARTO TRIMESTRE]])</f>
        <v>0</v>
      </c>
      <c r="I669" s="17">
        <v>942.48</v>
      </c>
      <c r="J669" s="17">
        <f t="shared" si="18"/>
        <v>0</v>
      </c>
      <c r="K669" s="17"/>
      <c r="L669" s="16" t="s">
        <v>18</v>
      </c>
      <c r="M669" s="16" t="s">
        <v>22</v>
      </c>
      <c r="N669" s="39"/>
    </row>
    <row r="670" spans="1:14" s="12" customFormat="1" ht="30">
      <c r="A670" s="178" t="s">
        <v>96</v>
      </c>
      <c r="B670" s="77" t="s">
        <v>1520</v>
      </c>
      <c r="C670" s="39" t="s">
        <v>208</v>
      </c>
      <c r="D670" s="236"/>
      <c r="E670" s="236"/>
      <c r="F670" s="236"/>
      <c r="G670" s="236"/>
      <c r="H670" s="236">
        <f>SUM(Tabla132112410[[#This Row],[PRIMER TRIMESTRE]:[CUARTO TRIMESTRE]])</f>
        <v>0</v>
      </c>
      <c r="I670" s="17">
        <v>942.48</v>
      </c>
      <c r="J670" s="17">
        <f t="shared" si="18"/>
        <v>0</v>
      </c>
      <c r="K670" s="17"/>
      <c r="L670" s="16" t="s">
        <v>18</v>
      </c>
      <c r="M670" s="16" t="s">
        <v>22</v>
      </c>
      <c r="N670" s="39"/>
    </row>
    <row r="671" spans="1:14" s="12" customFormat="1" ht="30">
      <c r="A671" s="178" t="s">
        <v>96</v>
      </c>
      <c r="B671" s="77" t="s">
        <v>880</v>
      </c>
      <c r="C671" s="39" t="s">
        <v>17</v>
      </c>
      <c r="D671" s="236"/>
      <c r="E671" s="236"/>
      <c r="F671" s="236"/>
      <c r="G671" s="236"/>
      <c r="H671" s="40">
        <f>SUM(Tabla132112410[[#This Row],[PRIMER TRIMESTRE]:[CUARTO TRIMESTRE]])</f>
        <v>0</v>
      </c>
      <c r="I671" s="17">
        <v>25850</v>
      </c>
      <c r="J671" s="17">
        <f t="shared" si="18"/>
        <v>0</v>
      </c>
      <c r="K671" s="17"/>
      <c r="L671" s="16" t="s">
        <v>18</v>
      </c>
      <c r="M671" s="16" t="s">
        <v>22</v>
      </c>
      <c r="N671" s="39"/>
    </row>
    <row r="672" spans="1:14" s="12" customFormat="1" ht="51">
      <c r="A672" s="178" t="s">
        <v>96</v>
      </c>
      <c r="B672" s="77" t="s">
        <v>924</v>
      </c>
      <c r="C672" s="39" t="s">
        <v>17</v>
      </c>
      <c r="D672" s="236"/>
      <c r="E672" s="236"/>
      <c r="F672" s="236"/>
      <c r="G672" s="236"/>
      <c r="H672" s="40">
        <f>SUM(Tabla132112410[[#This Row],[PRIMER TRIMESTRE]:[CUARTO TRIMESTRE]])</f>
        <v>0</v>
      </c>
      <c r="I672" s="17">
        <v>100000</v>
      </c>
      <c r="J672" s="17">
        <f t="shared" si="18"/>
        <v>0</v>
      </c>
      <c r="K672" s="17"/>
      <c r="L672" s="16" t="s">
        <v>18</v>
      </c>
      <c r="M672" s="16" t="s">
        <v>22</v>
      </c>
      <c r="N672" s="39"/>
    </row>
    <row r="673" spans="1:14" s="12" customFormat="1" ht="30">
      <c r="A673" s="178" t="s">
        <v>96</v>
      </c>
      <c r="B673" s="75" t="s">
        <v>882</v>
      </c>
      <c r="C673" s="39" t="s">
        <v>17</v>
      </c>
      <c r="D673" s="236"/>
      <c r="E673" s="236"/>
      <c r="F673" s="236"/>
      <c r="G673" s="236"/>
      <c r="H673" s="40">
        <f>SUM(Tabla132112410[[#This Row],[PRIMER TRIMESTRE]:[CUARTO TRIMESTRE]])</f>
        <v>0</v>
      </c>
      <c r="I673" s="17">
        <v>600</v>
      </c>
      <c r="J673" s="17">
        <f t="shared" si="18"/>
        <v>0</v>
      </c>
      <c r="K673" s="17"/>
      <c r="L673" s="16" t="s">
        <v>18</v>
      </c>
      <c r="M673" s="16" t="s">
        <v>22</v>
      </c>
      <c r="N673" s="39"/>
    </row>
    <row r="674" spans="1:14" s="12" customFormat="1" ht="30">
      <c r="A674" s="178" t="s">
        <v>96</v>
      </c>
      <c r="B674" s="75" t="s">
        <v>883</v>
      </c>
      <c r="C674" s="39" t="s">
        <v>17</v>
      </c>
      <c r="D674" s="236"/>
      <c r="E674" s="236"/>
      <c r="F674" s="236"/>
      <c r="G674" s="236"/>
      <c r="H674" s="40">
        <f>SUM(Tabla132112410[[#This Row],[PRIMER TRIMESTRE]:[CUARTO TRIMESTRE]])</f>
        <v>0</v>
      </c>
      <c r="I674" s="17">
        <v>350</v>
      </c>
      <c r="J674" s="17">
        <f t="shared" si="18"/>
        <v>0</v>
      </c>
      <c r="K674" s="17"/>
      <c r="L674" s="16" t="s">
        <v>18</v>
      </c>
      <c r="M674" s="16" t="s">
        <v>22</v>
      </c>
      <c r="N674" s="39"/>
    </row>
    <row r="675" spans="1:14" s="12" customFormat="1" ht="30">
      <c r="A675" s="178" t="s">
        <v>96</v>
      </c>
      <c r="B675" s="75" t="s">
        <v>884</v>
      </c>
      <c r="C675" s="39" t="s">
        <v>17</v>
      </c>
      <c r="D675" s="236"/>
      <c r="E675" s="236"/>
      <c r="F675" s="236"/>
      <c r="G675" s="236"/>
      <c r="H675" s="40">
        <f>SUM(Tabla132112410[[#This Row],[PRIMER TRIMESTRE]:[CUARTO TRIMESTRE]])</f>
        <v>0</v>
      </c>
      <c r="I675" s="17">
        <v>450</v>
      </c>
      <c r="J675" s="17">
        <f t="shared" si="18"/>
        <v>0</v>
      </c>
      <c r="K675" s="17"/>
      <c r="L675" s="16" t="s">
        <v>18</v>
      </c>
      <c r="M675" s="16" t="s">
        <v>22</v>
      </c>
      <c r="N675" s="39"/>
    </row>
    <row r="676" spans="1:14" s="12" customFormat="1" ht="30">
      <c r="A676" s="178" t="s">
        <v>96</v>
      </c>
      <c r="B676" s="75" t="s">
        <v>885</v>
      </c>
      <c r="C676" s="39" t="s">
        <v>344</v>
      </c>
      <c r="D676" s="236"/>
      <c r="E676" s="236"/>
      <c r="F676" s="236"/>
      <c r="G676" s="236"/>
      <c r="H676" s="40">
        <f>SUM(Tabla132112410[[#This Row],[PRIMER TRIMESTRE]:[CUARTO TRIMESTRE]])</f>
        <v>0</v>
      </c>
      <c r="I676" s="17">
        <v>3650</v>
      </c>
      <c r="J676" s="17">
        <f t="shared" si="18"/>
        <v>0</v>
      </c>
      <c r="K676" s="17"/>
      <c r="L676" s="16" t="s">
        <v>18</v>
      </c>
      <c r="M676" s="16" t="s">
        <v>22</v>
      </c>
      <c r="N676" s="39"/>
    </row>
    <row r="677" spans="1:14" s="12" customFormat="1" ht="30">
      <c r="A677" s="178" t="s">
        <v>96</v>
      </c>
      <c r="B677" s="75" t="s">
        <v>886</v>
      </c>
      <c r="C677" s="39" t="s">
        <v>344</v>
      </c>
      <c r="D677" s="236"/>
      <c r="E677" s="236"/>
      <c r="F677" s="236"/>
      <c r="G677" s="236"/>
      <c r="H677" s="40">
        <f>SUM(Tabla132112410[[#This Row],[PRIMER TRIMESTRE]:[CUARTO TRIMESTRE]])</f>
        <v>0</v>
      </c>
      <c r="I677" s="17">
        <v>3650</v>
      </c>
      <c r="J677" s="17">
        <f t="shared" si="18"/>
        <v>0</v>
      </c>
      <c r="K677" s="17"/>
      <c r="L677" s="16" t="s">
        <v>18</v>
      </c>
      <c r="M677" s="16" t="s">
        <v>22</v>
      </c>
      <c r="N677" s="39"/>
    </row>
    <row r="678" spans="1:14" s="12" customFormat="1" ht="30">
      <c r="A678" s="178" t="s">
        <v>96</v>
      </c>
      <c r="B678" s="75" t="s">
        <v>887</v>
      </c>
      <c r="C678" s="39" t="s">
        <v>344</v>
      </c>
      <c r="D678" s="236"/>
      <c r="E678" s="236"/>
      <c r="F678" s="236"/>
      <c r="G678" s="236"/>
      <c r="H678" s="40">
        <f>SUM(Tabla132112410[[#This Row],[PRIMER TRIMESTRE]:[CUARTO TRIMESTRE]])</f>
        <v>0</v>
      </c>
      <c r="I678" s="17">
        <v>3650</v>
      </c>
      <c r="J678" s="17">
        <f t="shared" si="18"/>
        <v>0</v>
      </c>
      <c r="K678" s="17"/>
      <c r="L678" s="16" t="s">
        <v>18</v>
      </c>
      <c r="M678" s="16" t="s">
        <v>22</v>
      </c>
      <c r="N678" s="39"/>
    </row>
    <row r="679" spans="1:14" s="12" customFormat="1" ht="30">
      <c r="A679" s="178" t="s">
        <v>96</v>
      </c>
      <c r="B679" s="75" t="s">
        <v>888</v>
      </c>
      <c r="C679" s="39" t="s">
        <v>344</v>
      </c>
      <c r="D679" s="236"/>
      <c r="E679" s="236"/>
      <c r="F679" s="236"/>
      <c r="G679" s="236"/>
      <c r="H679" s="40">
        <f>SUM(Tabla132112410[[#This Row],[PRIMER TRIMESTRE]:[CUARTO TRIMESTRE]])</f>
        <v>0</v>
      </c>
      <c r="I679" s="17">
        <v>3650</v>
      </c>
      <c r="J679" s="17">
        <f t="shared" si="18"/>
        <v>0</v>
      </c>
      <c r="K679" s="17"/>
      <c r="L679" s="16" t="s">
        <v>18</v>
      </c>
      <c r="M679" s="16" t="s">
        <v>22</v>
      </c>
      <c r="N679" s="39"/>
    </row>
    <row r="680" spans="1:14" s="12" customFormat="1" ht="30">
      <c r="A680" s="178" t="s">
        <v>96</v>
      </c>
      <c r="B680" s="75" t="s">
        <v>815</v>
      </c>
      <c r="C680" s="39" t="s">
        <v>17</v>
      </c>
      <c r="D680" s="236"/>
      <c r="E680" s="236"/>
      <c r="F680" s="236"/>
      <c r="G680" s="236"/>
      <c r="H680" s="40">
        <f>SUM(Tabla132112410[[#This Row],[PRIMER TRIMESTRE]:[CUARTO TRIMESTRE]])</f>
        <v>0</v>
      </c>
      <c r="I680" s="17">
        <v>4625.12</v>
      </c>
      <c r="J680" s="17">
        <f t="shared" si="18"/>
        <v>0</v>
      </c>
      <c r="K680" s="17"/>
      <c r="L680" s="17" t="s">
        <v>18</v>
      </c>
      <c r="M680" s="16" t="s">
        <v>22</v>
      </c>
      <c r="N680" s="39"/>
    </row>
    <row r="681" spans="1:14" s="12" customFormat="1" ht="30">
      <c r="A681" s="178" t="s">
        <v>96</v>
      </c>
      <c r="B681" s="75" t="s">
        <v>913</v>
      </c>
      <c r="C681" s="39" t="s">
        <v>343</v>
      </c>
      <c r="D681" s="236"/>
      <c r="E681" s="236"/>
      <c r="F681" s="236"/>
      <c r="G681" s="236"/>
      <c r="H681" s="40">
        <f>SUM(Tabla132112410[[#This Row],[PRIMER TRIMESTRE]:[CUARTO TRIMESTRE]])</f>
        <v>0</v>
      </c>
      <c r="I681" s="72">
        <v>80</v>
      </c>
      <c r="J681" s="17">
        <f t="shared" si="18"/>
        <v>0</v>
      </c>
      <c r="K681" s="17"/>
      <c r="L681" s="16" t="s">
        <v>18</v>
      </c>
      <c r="M681" s="16" t="s">
        <v>22</v>
      </c>
      <c r="N681" s="39"/>
    </row>
    <row r="682" spans="1:14" s="12" customFormat="1" ht="30">
      <c r="A682" s="178" t="s">
        <v>96</v>
      </c>
      <c r="B682" s="75" t="s">
        <v>914</v>
      </c>
      <c r="C682" s="39" t="s">
        <v>343</v>
      </c>
      <c r="D682" s="236"/>
      <c r="E682" s="236"/>
      <c r="F682" s="236"/>
      <c r="G682" s="236"/>
      <c r="H682" s="40">
        <f>SUM(Tabla132112410[[#This Row],[PRIMER TRIMESTRE]:[CUARTO TRIMESTRE]])</f>
        <v>0</v>
      </c>
      <c r="I682" s="17">
        <v>112</v>
      </c>
      <c r="J682" s="17">
        <f t="shared" si="18"/>
        <v>0</v>
      </c>
      <c r="K682" s="17"/>
      <c r="L682" s="16" t="s">
        <v>18</v>
      </c>
      <c r="M682" s="16" t="s">
        <v>22</v>
      </c>
      <c r="N682" s="39"/>
    </row>
    <row r="683" spans="1:14" s="12" customFormat="1" ht="30">
      <c r="A683" s="178" t="s">
        <v>96</v>
      </c>
      <c r="B683" s="75" t="s">
        <v>915</v>
      </c>
      <c r="C683" s="39" t="s">
        <v>343</v>
      </c>
      <c r="D683" s="236"/>
      <c r="E683" s="236"/>
      <c r="F683" s="236"/>
      <c r="G683" s="236"/>
      <c r="H683" s="40">
        <f>SUM(Tabla132112410[[#This Row],[PRIMER TRIMESTRE]:[CUARTO TRIMESTRE]])</f>
        <v>0</v>
      </c>
      <c r="I683" s="17">
        <v>150</v>
      </c>
      <c r="J683" s="17">
        <f t="shared" si="18"/>
        <v>0</v>
      </c>
      <c r="K683" s="17"/>
      <c r="L683" s="16" t="s">
        <v>18</v>
      </c>
      <c r="M683" s="16" t="s">
        <v>22</v>
      </c>
      <c r="N683" s="39"/>
    </row>
    <row r="684" spans="1:14" s="12" customFormat="1" ht="30">
      <c r="A684" s="178" t="s">
        <v>96</v>
      </c>
      <c r="B684" s="75" t="s">
        <v>916</v>
      </c>
      <c r="C684" s="39" t="s">
        <v>343</v>
      </c>
      <c r="D684" s="236"/>
      <c r="E684" s="236"/>
      <c r="F684" s="236"/>
      <c r="G684" s="236"/>
      <c r="H684" s="40">
        <f>SUM(Tabla132112410[[#This Row],[PRIMER TRIMESTRE]:[CUARTO TRIMESTRE]])</f>
        <v>0</v>
      </c>
      <c r="I684" s="17">
        <v>188</v>
      </c>
      <c r="J684" s="17">
        <f t="shared" si="18"/>
        <v>0</v>
      </c>
      <c r="K684" s="17"/>
      <c r="L684" s="16" t="s">
        <v>18</v>
      </c>
      <c r="M684" s="16" t="s">
        <v>22</v>
      </c>
      <c r="N684" s="39"/>
    </row>
    <row r="685" spans="1:14" s="12" customFormat="1" ht="30">
      <c r="A685" s="178" t="s">
        <v>96</v>
      </c>
      <c r="B685" s="75" t="s">
        <v>917</v>
      </c>
      <c r="C685" s="39" t="s">
        <v>343</v>
      </c>
      <c r="D685" s="236"/>
      <c r="E685" s="236"/>
      <c r="F685" s="236"/>
      <c r="G685" s="236"/>
      <c r="H685" s="40">
        <f>SUM(Tabla132112410[[#This Row],[PRIMER TRIMESTRE]:[CUARTO TRIMESTRE]])</f>
        <v>0</v>
      </c>
      <c r="I685" s="17">
        <v>225</v>
      </c>
      <c r="J685" s="17">
        <f t="shared" si="18"/>
        <v>0</v>
      </c>
      <c r="K685" s="17"/>
      <c r="L685" s="16" t="s">
        <v>18</v>
      </c>
      <c r="M685" s="16" t="s">
        <v>22</v>
      </c>
      <c r="N685" s="39"/>
    </row>
    <row r="686" spans="1:14" s="12" customFormat="1" ht="30">
      <c r="A686" s="178" t="s">
        <v>96</v>
      </c>
      <c r="B686" s="75" t="s">
        <v>918</v>
      </c>
      <c r="C686" s="39" t="s">
        <v>343</v>
      </c>
      <c r="D686" s="236"/>
      <c r="E686" s="236"/>
      <c r="F686" s="236"/>
      <c r="G686" s="236"/>
      <c r="H686" s="40">
        <f>SUM(Tabla132112410[[#This Row],[PRIMER TRIMESTRE]:[CUARTO TRIMESTRE]])</f>
        <v>0</v>
      </c>
      <c r="I686" s="17">
        <v>135</v>
      </c>
      <c r="J686" s="17">
        <f t="shared" si="18"/>
        <v>0</v>
      </c>
      <c r="K686" s="17"/>
      <c r="L686" s="16" t="s">
        <v>18</v>
      </c>
      <c r="M686" s="16" t="s">
        <v>22</v>
      </c>
      <c r="N686" s="39"/>
    </row>
    <row r="687" spans="1:14" s="12" customFormat="1" ht="30">
      <c r="A687" s="178" t="s">
        <v>96</v>
      </c>
      <c r="B687" s="75" t="s">
        <v>1220</v>
      </c>
      <c r="C687" s="39" t="s">
        <v>17</v>
      </c>
      <c r="D687" s="236"/>
      <c r="E687" s="236"/>
      <c r="F687" s="236"/>
      <c r="G687" s="236"/>
      <c r="H687" s="40">
        <f>SUM(Tabla132112410[[#This Row],[PRIMER TRIMESTRE]:[CUARTO TRIMESTRE]])</f>
        <v>0</v>
      </c>
      <c r="I687" s="17">
        <v>12000</v>
      </c>
      <c r="J687" s="17">
        <f t="shared" si="18"/>
        <v>0</v>
      </c>
      <c r="K687" s="17"/>
      <c r="L687" s="16" t="s">
        <v>18</v>
      </c>
      <c r="M687" s="16" t="s">
        <v>22</v>
      </c>
      <c r="N687" s="39"/>
    </row>
    <row r="688" spans="1:14" s="12" customFormat="1" ht="30">
      <c r="A688" s="178" t="s">
        <v>96</v>
      </c>
      <c r="B688" s="75" t="s">
        <v>1221</v>
      </c>
      <c r="C688" s="39" t="s">
        <v>17</v>
      </c>
      <c r="D688" s="236"/>
      <c r="E688" s="236"/>
      <c r="F688" s="236"/>
      <c r="G688" s="236"/>
      <c r="H688" s="40">
        <f>SUM(Tabla132112410[[#This Row],[PRIMER TRIMESTRE]:[CUARTO TRIMESTRE]])</f>
        <v>0</v>
      </c>
      <c r="I688" s="17">
        <v>16000</v>
      </c>
      <c r="J688" s="17">
        <f t="shared" si="18"/>
        <v>0</v>
      </c>
      <c r="K688" s="17"/>
      <c r="L688" s="16" t="s">
        <v>18</v>
      </c>
      <c r="M688" s="16" t="s">
        <v>22</v>
      </c>
      <c r="N688" s="39"/>
    </row>
    <row r="689" spans="1:14" s="12" customFormat="1" ht="30">
      <c r="A689" s="178" t="s">
        <v>96</v>
      </c>
      <c r="B689" s="75" t="s">
        <v>1222</v>
      </c>
      <c r="C689" s="39" t="s">
        <v>17</v>
      </c>
      <c r="D689" s="236"/>
      <c r="E689" s="236"/>
      <c r="F689" s="236"/>
      <c r="G689" s="236"/>
      <c r="H689" s="40">
        <f>SUM(Tabla132112410[[#This Row],[PRIMER TRIMESTRE]:[CUARTO TRIMESTRE]])</f>
        <v>0</v>
      </c>
      <c r="I689" s="17">
        <v>17000</v>
      </c>
      <c r="J689" s="17">
        <f t="shared" si="18"/>
        <v>0</v>
      </c>
      <c r="K689" s="17"/>
      <c r="L689" s="16" t="s">
        <v>18</v>
      </c>
      <c r="M689" s="16" t="s">
        <v>22</v>
      </c>
      <c r="N689" s="39"/>
    </row>
    <row r="690" spans="1:14" s="12" customFormat="1" ht="30">
      <c r="A690" s="178" t="s">
        <v>96</v>
      </c>
      <c r="B690" s="75" t="s">
        <v>1223</v>
      </c>
      <c r="C690" s="39" t="s">
        <v>17</v>
      </c>
      <c r="D690" s="236"/>
      <c r="E690" s="236"/>
      <c r="F690" s="236"/>
      <c r="G690" s="236"/>
      <c r="H690" s="40">
        <f>SUM(Tabla132112410[[#This Row],[PRIMER TRIMESTRE]:[CUARTO TRIMESTRE]])</f>
        <v>0</v>
      </c>
      <c r="I690" s="17">
        <v>19000</v>
      </c>
      <c r="J690" s="17">
        <f t="shared" si="18"/>
        <v>0</v>
      </c>
      <c r="K690" s="17"/>
      <c r="L690" s="16" t="s">
        <v>18</v>
      </c>
      <c r="M690" s="16" t="s">
        <v>22</v>
      </c>
      <c r="N690" s="39"/>
    </row>
    <row r="691" spans="1:14" s="12" customFormat="1" ht="30">
      <c r="A691" s="178" t="s">
        <v>96</v>
      </c>
      <c r="B691" s="75" t="s">
        <v>1224</v>
      </c>
      <c r="C691" s="39" t="s">
        <v>17</v>
      </c>
      <c r="D691" s="236"/>
      <c r="E691" s="236"/>
      <c r="F691" s="236"/>
      <c r="G691" s="236"/>
      <c r="H691" s="40">
        <f>SUM(Tabla132112410[[#This Row],[PRIMER TRIMESTRE]:[CUARTO TRIMESTRE]])</f>
        <v>0</v>
      </c>
      <c r="I691" s="17">
        <v>23000</v>
      </c>
      <c r="J691" s="17">
        <f t="shared" si="18"/>
        <v>0</v>
      </c>
      <c r="K691" s="17"/>
      <c r="L691" s="16" t="s">
        <v>18</v>
      </c>
      <c r="M691" s="16" t="s">
        <v>22</v>
      </c>
      <c r="N691" s="39"/>
    </row>
    <row r="692" spans="1:14" s="12" customFormat="1" ht="30">
      <c r="A692" s="178" t="s">
        <v>96</v>
      </c>
      <c r="B692" s="75" t="s">
        <v>1225</v>
      </c>
      <c r="C692" s="39" t="s">
        <v>17</v>
      </c>
      <c r="D692" s="236"/>
      <c r="E692" s="236"/>
      <c r="F692" s="236"/>
      <c r="G692" s="236"/>
      <c r="H692" s="40">
        <f>SUM(Tabla132112410[[#This Row],[PRIMER TRIMESTRE]:[CUARTO TRIMESTRE]])</f>
        <v>0</v>
      </c>
      <c r="I692" s="17">
        <v>30000</v>
      </c>
      <c r="J692" s="17">
        <f t="shared" si="18"/>
        <v>0</v>
      </c>
      <c r="K692" s="17"/>
      <c r="L692" s="16" t="s">
        <v>18</v>
      </c>
      <c r="M692" s="16" t="s">
        <v>22</v>
      </c>
      <c r="N692" s="39"/>
    </row>
    <row r="693" spans="1:14" s="12" customFormat="1" ht="30">
      <c r="A693" s="178" t="s">
        <v>96</v>
      </c>
      <c r="B693" s="75" t="s">
        <v>1226</v>
      </c>
      <c r="C693" s="39" t="s">
        <v>17</v>
      </c>
      <c r="D693" s="236"/>
      <c r="E693" s="236"/>
      <c r="F693" s="236"/>
      <c r="G693" s="236"/>
      <c r="H693" s="40">
        <f>SUM(Tabla132112410[[#This Row],[PRIMER TRIMESTRE]:[CUARTO TRIMESTRE]])</f>
        <v>0</v>
      </c>
      <c r="I693" s="17">
        <v>42345.120000000003</v>
      </c>
      <c r="J693" s="17">
        <f t="shared" ref="J693:J709" si="19">+H693*I693</f>
        <v>0</v>
      </c>
      <c r="K693" s="17"/>
      <c r="L693" s="16" t="s">
        <v>18</v>
      </c>
      <c r="M693" s="16" t="s">
        <v>22</v>
      </c>
      <c r="N693" s="39"/>
    </row>
    <row r="694" spans="1:14" s="12" customFormat="1" ht="30">
      <c r="A694" s="178" t="s">
        <v>96</v>
      </c>
      <c r="B694" s="75" t="s">
        <v>773</v>
      </c>
      <c r="C694" s="39" t="s">
        <v>17</v>
      </c>
      <c r="D694" s="236"/>
      <c r="E694" s="236"/>
      <c r="F694" s="236"/>
      <c r="G694" s="236"/>
      <c r="H694" s="40">
        <f>SUM(Tabla132112410[[#This Row],[PRIMER TRIMESTRE]:[CUARTO TRIMESTRE]])</f>
        <v>0</v>
      </c>
      <c r="I694" s="72">
        <v>500</v>
      </c>
      <c r="J694" s="17">
        <f t="shared" si="19"/>
        <v>0</v>
      </c>
      <c r="K694" s="17"/>
      <c r="L694" s="16" t="s">
        <v>18</v>
      </c>
      <c r="M694" s="16" t="s">
        <v>22</v>
      </c>
      <c r="N694" s="39" t="s">
        <v>418</v>
      </c>
    </row>
    <row r="695" spans="1:14" s="12" customFormat="1" ht="30">
      <c r="A695" s="178" t="s">
        <v>96</v>
      </c>
      <c r="B695" s="75" t="s">
        <v>774</v>
      </c>
      <c r="C695" s="39" t="s">
        <v>17</v>
      </c>
      <c r="D695" s="236"/>
      <c r="E695" s="236"/>
      <c r="F695" s="236"/>
      <c r="G695" s="236"/>
      <c r="H695" s="40">
        <f>SUM(Tabla132112410[[#This Row],[PRIMER TRIMESTRE]:[CUARTO TRIMESTRE]])</f>
        <v>0</v>
      </c>
      <c r="I695" s="72">
        <v>1380</v>
      </c>
      <c r="J695" s="17">
        <f t="shared" si="19"/>
        <v>0</v>
      </c>
      <c r="K695" s="17"/>
      <c r="L695" s="16" t="s">
        <v>18</v>
      </c>
      <c r="M695" s="16" t="s">
        <v>22</v>
      </c>
      <c r="N695" s="39" t="s">
        <v>418</v>
      </c>
    </row>
    <row r="696" spans="1:14" s="12" customFormat="1" ht="30">
      <c r="A696" s="178" t="s">
        <v>96</v>
      </c>
      <c r="B696" s="75" t="s">
        <v>775</v>
      </c>
      <c r="C696" s="39" t="s">
        <v>17</v>
      </c>
      <c r="D696" s="236"/>
      <c r="E696" s="236"/>
      <c r="F696" s="236"/>
      <c r="G696" s="236"/>
      <c r="H696" s="40">
        <f>SUM(Tabla132112410[[#This Row],[PRIMER TRIMESTRE]:[CUARTO TRIMESTRE]])</f>
        <v>0</v>
      </c>
      <c r="I696" s="72">
        <v>3200</v>
      </c>
      <c r="J696" s="17">
        <f t="shared" si="19"/>
        <v>0</v>
      </c>
      <c r="K696" s="17"/>
      <c r="L696" s="16" t="s">
        <v>18</v>
      </c>
      <c r="M696" s="16" t="s">
        <v>22</v>
      </c>
      <c r="N696" s="39" t="s">
        <v>418</v>
      </c>
    </row>
    <row r="697" spans="1:14" s="12" customFormat="1" ht="51">
      <c r="A697" s="178" t="s">
        <v>96</v>
      </c>
      <c r="B697" s="75" t="s">
        <v>1717</v>
      </c>
      <c r="C697" s="39" t="s">
        <v>17</v>
      </c>
      <c r="D697" s="236"/>
      <c r="E697" s="236"/>
      <c r="F697" s="236"/>
      <c r="G697" s="236"/>
      <c r="H697" s="40">
        <v>0</v>
      </c>
      <c r="I697" s="72">
        <v>0</v>
      </c>
      <c r="J697" s="17">
        <v>0</v>
      </c>
      <c r="K697" s="17"/>
      <c r="L697" s="16" t="s">
        <v>18</v>
      </c>
      <c r="M697" s="16" t="s">
        <v>19</v>
      </c>
      <c r="N697" s="39"/>
    </row>
    <row r="698" spans="1:14" s="12" customFormat="1" ht="51">
      <c r="A698" s="178" t="s">
        <v>96</v>
      </c>
      <c r="B698" s="75" t="s">
        <v>1678</v>
      </c>
      <c r="C698" s="39" t="s">
        <v>17</v>
      </c>
      <c r="D698" s="236"/>
      <c r="E698" s="236"/>
      <c r="F698" s="236"/>
      <c r="G698" s="236"/>
      <c r="H698" s="40">
        <v>0</v>
      </c>
      <c r="I698" s="72">
        <v>0</v>
      </c>
      <c r="J698" s="17">
        <v>0</v>
      </c>
      <c r="K698" s="17"/>
      <c r="L698" s="16" t="s">
        <v>18</v>
      </c>
      <c r="M698" s="16" t="s">
        <v>19</v>
      </c>
      <c r="N698" s="39"/>
    </row>
    <row r="699" spans="1:14" s="12" customFormat="1" ht="51">
      <c r="A699" s="178" t="s">
        <v>96</v>
      </c>
      <c r="B699" s="75" t="s">
        <v>1715</v>
      </c>
      <c r="C699" s="39" t="s">
        <v>17</v>
      </c>
      <c r="D699" s="236"/>
      <c r="E699" s="236"/>
      <c r="F699" s="236"/>
      <c r="G699" s="236"/>
      <c r="H699" s="40">
        <v>0</v>
      </c>
      <c r="I699" s="72">
        <v>0</v>
      </c>
      <c r="J699" s="17">
        <v>0</v>
      </c>
      <c r="K699" s="17"/>
      <c r="L699" s="16" t="s">
        <v>18</v>
      </c>
      <c r="M699" s="16" t="s">
        <v>19</v>
      </c>
      <c r="N699" s="39"/>
    </row>
    <row r="700" spans="1:14" s="12" customFormat="1" ht="38.25">
      <c r="A700" s="178" t="s">
        <v>96</v>
      </c>
      <c r="B700" s="75" t="s">
        <v>1719</v>
      </c>
      <c r="C700" s="39" t="s">
        <v>17</v>
      </c>
      <c r="D700" s="236"/>
      <c r="E700" s="236"/>
      <c r="F700" s="236"/>
      <c r="G700" s="236"/>
      <c r="H700" s="40">
        <v>0</v>
      </c>
      <c r="I700" s="72">
        <v>0</v>
      </c>
      <c r="J700" s="17">
        <v>0</v>
      </c>
      <c r="K700" s="17"/>
      <c r="L700" s="16" t="s">
        <v>18</v>
      </c>
      <c r="M700" s="16" t="s">
        <v>19</v>
      </c>
      <c r="N700" s="39"/>
    </row>
    <row r="701" spans="1:14" s="12" customFormat="1" ht="38.25">
      <c r="A701" s="178" t="s">
        <v>96</v>
      </c>
      <c r="B701" s="75" t="s">
        <v>816</v>
      </c>
      <c r="C701" s="39" t="s">
        <v>17</v>
      </c>
      <c r="D701" s="236"/>
      <c r="E701" s="210"/>
      <c r="F701" s="236"/>
      <c r="G701" s="236"/>
      <c r="H701" s="40">
        <f>SUM(Tabla132112410[[#This Row],[PRIMER TRIMESTRE]:[CUARTO TRIMESTRE]])</f>
        <v>0</v>
      </c>
      <c r="I701" s="72">
        <v>565000</v>
      </c>
      <c r="J701" s="17">
        <f t="shared" si="19"/>
        <v>0</v>
      </c>
      <c r="K701" s="17"/>
      <c r="L701" s="16" t="s">
        <v>18</v>
      </c>
      <c r="M701" s="16" t="s">
        <v>19</v>
      </c>
      <c r="N701" s="39"/>
    </row>
    <row r="702" spans="1:14" s="12" customFormat="1" ht="38.25">
      <c r="A702" s="178" t="s">
        <v>96</v>
      </c>
      <c r="B702" s="75" t="s">
        <v>817</v>
      </c>
      <c r="C702" s="39" t="s">
        <v>17</v>
      </c>
      <c r="D702" s="236"/>
      <c r="E702" s="210"/>
      <c r="F702" s="236"/>
      <c r="G702" s="236"/>
      <c r="H702" s="40">
        <f>SUM(Tabla132112410[[#This Row],[PRIMER TRIMESTRE]:[CUARTO TRIMESTRE]])</f>
        <v>0</v>
      </c>
      <c r="I702" s="17">
        <v>699235.41</v>
      </c>
      <c r="J702" s="17">
        <f t="shared" si="19"/>
        <v>0</v>
      </c>
      <c r="K702" s="17"/>
      <c r="L702" s="16" t="s">
        <v>18</v>
      </c>
      <c r="M702" s="16" t="s">
        <v>19</v>
      </c>
      <c r="N702" s="39"/>
    </row>
    <row r="703" spans="1:14" s="12" customFormat="1" ht="38.25">
      <c r="A703" s="178" t="s">
        <v>96</v>
      </c>
      <c r="B703" s="75" t="s">
        <v>818</v>
      </c>
      <c r="C703" s="39" t="s">
        <v>17</v>
      </c>
      <c r="D703" s="236"/>
      <c r="E703" s="210"/>
      <c r="F703" s="236"/>
      <c r="G703" s="236"/>
      <c r="H703" s="40">
        <f>SUM(Tabla132112410[[#This Row],[PRIMER TRIMESTRE]:[CUARTO TRIMESTRE]])</f>
        <v>0</v>
      </c>
      <c r="I703" s="17">
        <v>350000</v>
      </c>
      <c r="J703" s="17">
        <f t="shared" si="19"/>
        <v>0</v>
      </c>
      <c r="K703" s="17"/>
      <c r="L703" s="16" t="s">
        <v>18</v>
      </c>
      <c r="M703" s="16" t="s">
        <v>19</v>
      </c>
      <c r="N703" s="39"/>
    </row>
    <row r="704" spans="1:14" s="12" customFormat="1" ht="38.25">
      <c r="A704" s="178" t="s">
        <v>96</v>
      </c>
      <c r="B704" s="75" t="s">
        <v>819</v>
      </c>
      <c r="C704" s="39" t="s">
        <v>17</v>
      </c>
      <c r="D704" s="236"/>
      <c r="E704" s="210"/>
      <c r="F704" s="236"/>
      <c r="G704" s="236"/>
      <c r="H704" s="40">
        <f>SUM(Tabla132112410[[#This Row],[PRIMER TRIMESTRE]:[CUARTO TRIMESTRE]])</f>
        <v>0</v>
      </c>
      <c r="I704" s="17">
        <v>198000</v>
      </c>
      <c r="J704" s="17">
        <f t="shared" si="19"/>
        <v>0</v>
      </c>
      <c r="K704" s="17"/>
      <c r="L704" s="16" t="s">
        <v>18</v>
      </c>
      <c r="M704" s="16" t="s">
        <v>19</v>
      </c>
      <c r="N704" s="39"/>
    </row>
    <row r="705" spans="1:14" s="12" customFormat="1" ht="38.25">
      <c r="A705" s="178" t="s">
        <v>96</v>
      </c>
      <c r="B705" s="75" t="s">
        <v>820</v>
      </c>
      <c r="C705" s="39" t="s">
        <v>17</v>
      </c>
      <c r="D705" s="236"/>
      <c r="E705" s="210"/>
      <c r="F705" s="236"/>
      <c r="G705" s="236"/>
      <c r="H705" s="40">
        <f>SUM(Tabla132112410[[#This Row],[PRIMER TRIMESTRE]:[CUARTO TRIMESTRE]])</f>
        <v>0</v>
      </c>
      <c r="I705" s="17">
        <v>117000</v>
      </c>
      <c r="J705" s="17">
        <f t="shared" si="19"/>
        <v>0</v>
      </c>
      <c r="K705" s="17"/>
      <c r="L705" s="16" t="s">
        <v>18</v>
      </c>
      <c r="M705" s="16" t="s">
        <v>19</v>
      </c>
      <c r="N705" s="39"/>
    </row>
    <row r="706" spans="1:14" s="12" customFormat="1" ht="38.25">
      <c r="A706" s="178" t="s">
        <v>96</v>
      </c>
      <c r="B706" s="75" t="s">
        <v>821</v>
      </c>
      <c r="C706" s="39" t="s">
        <v>17</v>
      </c>
      <c r="D706" s="236"/>
      <c r="E706" s="210"/>
      <c r="F706" s="236"/>
      <c r="G706" s="236"/>
      <c r="H706" s="40">
        <f>SUM(Tabla132112410[[#This Row],[PRIMER TRIMESTRE]:[CUARTO TRIMESTRE]])</f>
        <v>0</v>
      </c>
      <c r="I706" s="17">
        <v>61630.63</v>
      </c>
      <c r="J706" s="17">
        <f t="shared" si="19"/>
        <v>0</v>
      </c>
      <c r="K706" s="17"/>
      <c r="L706" s="16" t="s">
        <v>18</v>
      </c>
      <c r="M706" s="16" t="s">
        <v>19</v>
      </c>
      <c r="N706" s="39"/>
    </row>
    <row r="707" spans="1:14" s="12" customFormat="1" ht="38.25">
      <c r="A707" s="178" t="s">
        <v>96</v>
      </c>
      <c r="B707" s="75" t="s">
        <v>822</v>
      </c>
      <c r="C707" s="39" t="s">
        <v>17</v>
      </c>
      <c r="D707" s="236"/>
      <c r="E707" s="210"/>
      <c r="F707" s="236"/>
      <c r="G707" s="236"/>
      <c r="H707" s="40">
        <f>SUM(Tabla132112410[[#This Row],[PRIMER TRIMESTRE]:[CUARTO TRIMESTRE]])</f>
        <v>0</v>
      </c>
      <c r="I707" s="17">
        <v>54792</v>
      </c>
      <c r="J707" s="17">
        <f t="shared" si="19"/>
        <v>0</v>
      </c>
      <c r="K707" s="17"/>
      <c r="L707" s="16" t="s">
        <v>18</v>
      </c>
      <c r="M707" s="16" t="s">
        <v>19</v>
      </c>
      <c r="N707" s="39"/>
    </row>
    <row r="708" spans="1:14" s="12" customFormat="1" ht="38.25">
      <c r="A708" s="178" t="s">
        <v>96</v>
      </c>
      <c r="B708" s="75" t="s">
        <v>823</v>
      </c>
      <c r="C708" s="39" t="s">
        <v>17</v>
      </c>
      <c r="D708" s="236"/>
      <c r="E708" s="210"/>
      <c r="F708" s="236"/>
      <c r="G708" s="236"/>
      <c r="H708" s="40">
        <f>SUM(Tabla132112410[[#This Row],[PRIMER TRIMESTRE]:[CUARTO TRIMESTRE]])</f>
        <v>0</v>
      </c>
      <c r="I708" s="17">
        <v>49560</v>
      </c>
      <c r="J708" s="17">
        <f t="shared" si="19"/>
        <v>0</v>
      </c>
      <c r="K708" s="17"/>
      <c r="L708" s="16" t="s">
        <v>18</v>
      </c>
      <c r="M708" s="16" t="s">
        <v>19</v>
      </c>
      <c r="N708" s="39"/>
    </row>
    <row r="709" spans="1:14" s="12" customFormat="1" ht="31.5">
      <c r="A709" s="178" t="s">
        <v>96</v>
      </c>
      <c r="B709" s="75" t="s">
        <v>824</v>
      </c>
      <c r="C709" s="39" t="s">
        <v>17</v>
      </c>
      <c r="D709" s="236"/>
      <c r="E709" s="210"/>
      <c r="F709" s="236"/>
      <c r="G709" s="236"/>
      <c r="H709" s="40">
        <f>SUM(Tabla132112410[[#This Row],[PRIMER TRIMESTRE]:[CUARTO TRIMESTRE]])</f>
        <v>0</v>
      </c>
      <c r="I709" s="17">
        <v>46658.86</v>
      </c>
      <c r="J709" s="17">
        <f t="shared" si="19"/>
        <v>0</v>
      </c>
      <c r="K709" s="17"/>
      <c r="L709" s="16" t="s">
        <v>18</v>
      </c>
      <c r="M709" s="16" t="s">
        <v>19</v>
      </c>
      <c r="N709" s="39"/>
    </row>
    <row r="710" spans="1:14" s="12" customFormat="1" ht="38.25">
      <c r="A710" s="178" t="s">
        <v>96</v>
      </c>
      <c r="B710" s="75" t="s">
        <v>1734</v>
      </c>
      <c r="C710" s="39" t="s">
        <v>17</v>
      </c>
      <c r="D710" s="236"/>
      <c r="E710" s="210"/>
      <c r="F710" s="236"/>
      <c r="G710" s="236"/>
      <c r="H710" s="40">
        <v>0</v>
      </c>
      <c r="I710" s="17">
        <v>0</v>
      </c>
      <c r="J710" s="17">
        <v>0</v>
      </c>
      <c r="K710" s="17"/>
      <c r="L710" s="16" t="s">
        <v>18</v>
      </c>
      <c r="M710" s="16" t="s">
        <v>19</v>
      </c>
      <c r="N710" s="39"/>
    </row>
    <row r="711" spans="1:14" s="12" customFormat="1" ht="38.25">
      <c r="A711" s="178" t="s">
        <v>96</v>
      </c>
      <c r="B711" s="75" t="s">
        <v>1733</v>
      </c>
      <c r="C711" s="39" t="s">
        <v>17</v>
      </c>
      <c r="D711" s="236"/>
      <c r="E711" s="210"/>
      <c r="F711" s="236"/>
      <c r="G711" s="236"/>
      <c r="H711" s="40">
        <v>0</v>
      </c>
      <c r="I711" s="17">
        <v>0</v>
      </c>
      <c r="J711" s="17">
        <v>0</v>
      </c>
      <c r="K711" s="17"/>
      <c r="L711" s="16" t="s">
        <v>18</v>
      </c>
      <c r="M711" s="16" t="s">
        <v>19</v>
      </c>
      <c r="N711" s="39"/>
    </row>
    <row r="712" spans="1:14" s="12" customFormat="1" ht="51">
      <c r="A712" s="178" t="s">
        <v>96</v>
      </c>
      <c r="B712" s="75" t="s">
        <v>1732</v>
      </c>
      <c r="C712" s="39" t="s">
        <v>17</v>
      </c>
      <c r="D712" s="236"/>
      <c r="E712" s="210"/>
      <c r="F712" s="236"/>
      <c r="G712" s="236"/>
      <c r="H712" s="40">
        <v>0</v>
      </c>
      <c r="I712" s="17">
        <v>0</v>
      </c>
      <c r="J712" s="17">
        <v>0</v>
      </c>
      <c r="K712" s="17"/>
      <c r="L712" s="16" t="s">
        <v>18</v>
      </c>
      <c r="M712" s="16" t="s">
        <v>19</v>
      </c>
      <c r="N712" s="39"/>
    </row>
    <row r="713" spans="1:14" s="12" customFormat="1" ht="31.5">
      <c r="A713" s="178" t="s">
        <v>96</v>
      </c>
      <c r="B713" s="75" t="s">
        <v>825</v>
      </c>
      <c r="C713" s="39" t="s">
        <v>17</v>
      </c>
      <c r="D713" s="236"/>
      <c r="E713" s="210"/>
      <c r="F713" s="236"/>
      <c r="G713" s="236"/>
      <c r="H713" s="40">
        <f>SUM(Tabla132112410[[#This Row],[PRIMER TRIMESTRE]:[CUARTO TRIMESTRE]])</f>
        <v>0</v>
      </c>
      <c r="I713" s="17">
        <v>47216.69</v>
      </c>
      <c r="J713" s="17">
        <v>0</v>
      </c>
      <c r="K713" s="17"/>
      <c r="L713" s="16" t="s">
        <v>18</v>
      </c>
      <c r="M713" s="16" t="s">
        <v>19</v>
      </c>
      <c r="N713" s="39"/>
    </row>
    <row r="714" spans="1:14" s="12" customFormat="1" ht="31.5">
      <c r="A714" s="178" t="s">
        <v>96</v>
      </c>
      <c r="B714" s="75" t="s">
        <v>826</v>
      </c>
      <c r="C714" s="39" t="s">
        <v>17</v>
      </c>
      <c r="D714" s="236"/>
      <c r="E714" s="210"/>
      <c r="F714" s="236"/>
      <c r="G714" s="236"/>
      <c r="H714" s="40">
        <f>SUM(Tabla132112410[[#This Row],[PRIMER TRIMESTRE]:[CUARTO TRIMESTRE]])</f>
        <v>0</v>
      </c>
      <c r="I714" s="17">
        <v>59766.34</v>
      </c>
      <c r="J714" s="17">
        <f t="shared" ref="J714:J777" si="20">+H714*I714</f>
        <v>0</v>
      </c>
      <c r="K714" s="17"/>
      <c r="L714" s="16" t="s">
        <v>18</v>
      </c>
      <c r="M714" s="16" t="s">
        <v>19</v>
      </c>
      <c r="N714" s="39"/>
    </row>
    <row r="715" spans="1:14" s="12" customFormat="1" ht="30">
      <c r="A715" s="178" t="s">
        <v>96</v>
      </c>
      <c r="B715" s="75" t="s">
        <v>1227</v>
      </c>
      <c r="C715" s="39" t="s">
        <v>17</v>
      </c>
      <c r="D715" s="236"/>
      <c r="E715" s="210"/>
      <c r="F715" s="236"/>
      <c r="G715" s="236"/>
      <c r="H715" s="40">
        <f>SUM(Tabla132112410[[#This Row],[PRIMER TRIMESTRE]:[CUARTO TRIMESTRE]])</f>
        <v>0</v>
      </c>
      <c r="I715" s="17">
        <v>56400</v>
      </c>
      <c r="J715" s="17">
        <f t="shared" si="20"/>
        <v>0</v>
      </c>
      <c r="K715" s="17"/>
      <c r="L715" s="16" t="s">
        <v>18</v>
      </c>
      <c r="M715" s="16" t="s">
        <v>22</v>
      </c>
      <c r="N715" s="39"/>
    </row>
    <row r="716" spans="1:14" s="12" customFormat="1" ht="30">
      <c r="A716" s="178" t="s">
        <v>96</v>
      </c>
      <c r="B716" s="75" t="s">
        <v>1228</v>
      </c>
      <c r="C716" s="39" t="s">
        <v>17</v>
      </c>
      <c r="D716" s="236"/>
      <c r="E716" s="210"/>
      <c r="F716" s="236"/>
      <c r="G716" s="236"/>
      <c r="H716" s="40">
        <f>SUM(Tabla132112410[[#This Row],[PRIMER TRIMESTRE]:[CUARTO TRIMESTRE]])</f>
        <v>0</v>
      </c>
      <c r="I716" s="17">
        <v>56400</v>
      </c>
      <c r="J716" s="17">
        <f t="shared" si="20"/>
        <v>0</v>
      </c>
      <c r="K716" s="17"/>
      <c r="L716" s="16" t="s">
        <v>18</v>
      </c>
      <c r="M716" s="16" t="s">
        <v>22</v>
      </c>
      <c r="N716" s="39"/>
    </row>
    <row r="717" spans="1:14" s="12" customFormat="1" ht="30">
      <c r="A717" s="178" t="s">
        <v>96</v>
      </c>
      <c r="B717" s="75" t="s">
        <v>1229</v>
      </c>
      <c r="C717" s="39" t="s">
        <v>17</v>
      </c>
      <c r="D717" s="236"/>
      <c r="E717" s="210"/>
      <c r="F717" s="236"/>
      <c r="G717" s="236"/>
      <c r="H717" s="40">
        <f>SUM(Tabla132112410[[#This Row],[PRIMER TRIMESTRE]:[CUARTO TRIMESTRE]])</f>
        <v>0</v>
      </c>
      <c r="I717" s="17">
        <v>56400</v>
      </c>
      <c r="J717" s="17">
        <f t="shared" si="20"/>
        <v>0</v>
      </c>
      <c r="K717" s="17"/>
      <c r="L717" s="16" t="s">
        <v>18</v>
      </c>
      <c r="M717" s="16" t="s">
        <v>22</v>
      </c>
      <c r="N717" s="39"/>
    </row>
    <row r="718" spans="1:14" s="12" customFormat="1" ht="30">
      <c r="A718" s="178" t="s">
        <v>96</v>
      </c>
      <c r="B718" s="75" t="s">
        <v>827</v>
      </c>
      <c r="C718" s="39" t="s">
        <v>17</v>
      </c>
      <c r="D718" s="236"/>
      <c r="E718" s="210"/>
      <c r="F718" s="236"/>
      <c r="G718" s="236"/>
      <c r="H718" s="40">
        <f>SUM(Tabla132112410[[#This Row],[PRIMER TRIMESTRE]:[CUARTO TRIMESTRE]])</f>
        <v>0</v>
      </c>
      <c r="I718" s="17">
        <v>2415</v>
      </c>
      <c r="J718" s="17">
        <f t="shared" si="20"/>
        <v>0</v>
      </c>
      <c r="K718" s="17"/>
      <c r="L718" s="16" t="s">
        <v>18</v>
      </c>
      <c r="M718" s="16" t="s">
        <v>22</v>
      </c>
      <c r="N718" s="39"/>
    </row>
    <row r="719" spans="1:14" s="12" customFormat="1" ht="30">
      <c r="A719" s="178" t="s">
        <v>96</v>
      </c>
      <c r="B719" s="75" t="s">
        <v>828</v>
      </c>
      <c r="C719" s="39" t="s">
        <v>17</v>
      </c>
      <c r="D719" s="236"/>
      <c r="E719" s="210"/>
      <c r="F719" s="236"/>
      <c r="G719" s="236"/>
      <c r="H719" s="40">
        <f>SUM(Tabla132112410[[#This Row],[PRIMER TRIMESTRE]:[CUARTO TRIMESTRE]])</f>
        <v>0</v>
      </c>
      <c r="I719" s="17">
        <v>3266</v>
      </c>
      <c r="J719" s="17">
        <f t="shared" si="20"/>
        <v>0</v>
      </c>
      <c r="K719" s="17"/>
      <c r="L719" s="16" t="s">
        <v>18</v>
      </c>
      <c r="M719" s="16" t="s">
        <v>22</v>
      </c>
      <c r="N719" s="39"/>
    </row>
    <row r="720" spans="1:14" s="12" customFormat="1" ht="30">
      <c r="A720" s="178" t="s">
        <v>96</v>
      </c>
      <c r="B720" s="75" t="s">
        <v>829</v>
      </c>
      <c r="C720" s="39" t="s">
        <v>17</v>
      </c>
      <c r="D720" s="236"/>
      <c r="E720" s="210"/>
      <c r="F720" s="236"/>
      <c r="G720" s="236"/>
      <c r="H720" s="40">
        <f>SUM(Tabla132112410[[#This Row],[PRIMER TRIMESTRE]:[CUARTO TRIMESTRE]])</f>
        <v>0</v>
      </c>
      <c r="I720" s="17">
        <v>4000</v>
      </c>
      <c r="J720" s="17">
        <f t="shared" si="20"/>
        <v>0</v>
      </c>
      <c r="K720" s="17"/>
      <c r="L720" s="16" t="s">
        <v>18</v>
      </c>
      <c r="M720" s="16" t="s">
        <v>22</v>
      </c>
      <c r="N720" s="39"/>
    </row>
    <row r="721" spans="1:14" s="12" customFormat="1" ht="30">
      <c r="A721" s="178" t="s">
        <v>96</v>
      </c>
      <c r="B721" s="75" t="s">
        <v>830</v>
      </c>
      <c r="C721" s="39" t="s">
        <v>17</v>
      </c>
      <c r="D721" s="236"/>
      <c r="E721" s="210"/>
      <c r="F721" s="236"/>
      <c r="G721" s="236"/>
      <c r="H721" s="40">
        <f>SUM(Tabla132112410[[#This Row],[PRIMER TRIMESTRE]:[CUARTO TRIMESTRE]])</f>
        <v>0</v>
      </c>
      <c r="I721" s="17">
        <v>4957</v>
      </c>
      <c r="J721" s="17">
        <f t="shared" si="20"/>
        <v>0</v>
      </c>
      <c r="K721" s="17"/>
      <c r="L721" s="16" t="s">
        <v>18</v>
      </c>
      <c r="M721" s="16" t="s">
        <v>22</v>
      </c>
      <c r="N721" s="39"/>
    </row>
    <row r="722" spans="1:14" s="12" customFormat="1" ht="30">
      <c r="A722" s="178" t="s">
        <v>96</v>
      </c>
      <c r="B722" s="75" t="s">
        <v>831</v>
      </c>
      <c r="C722" s="39" t="s">
        <v>17</v>
      </c>
      <c r="D722" s="236"/>
      <c r="E722" s="210"/>
      <c r="F722" s="236"/>
      <c r="G722" s="236"/>
      <c r="H722" s="40">
        <f>SUM(Tabla132112410[[#This Row],[PRIMER TRIMESTRE]:[CUARTO TRIMESTRE]])</f>
        <v>0</v>
      </c>
      <c r="I722" s="17">
        <v>5394</v>
      </c>
      <c r="J722" s="17">
        <f t="shared" si="20"/>
        <v>0</v>
      </c>
      <c r="K722" s="17"/>
      <c r="L722" s="16" t="s">
        <v>18</v>
      </c>
      <c r="M722" s="16" t="s">
        <v>22</v>
      </c>
      <c r="N722" s="39"/>
    </row>
    <row r="723" spans="1:14" s="12" customFormat="1" ht="30">
      <c r="A723" s="178" t="s">
        <v>96</v>
      </c>
      <c r="B723" s="75" t="s">
        <v>1511</v>
      </c>
      <c r="C723" s="39" t="s">
        <v>17</v>
      </c>
      <c r="D723" s="236"/>
      <c r="E723" s="236"/>
      <c r="F723" s="236"/>
      <c r="G723" s="236"/>
      <c r="H723" s="236">
        <f>SUM(Tabla132112410[[#This Row],[PRIMER TRIMESTRE]:[CUARTO TRIMESTRE]])</f>
        <v>0</v>
      </c>
      <c r="I723" s="17">
        <v>58148.4</v>
      </c>
      <c r="J723" s="17">
        <f t="shared" si="20"/>
        <v>0</v>
      </c>
      <c r="K723" s="17"/>
      <c r="L723" s="16" t="s">
        <v>18</v>
      </c>
      <c r="M723" s="16" t="s">
        <v>22</v>
      </c>
      <c r="N723" s="39"/>
    </row>
    <row r="724" spans="1:14" s="12" customFormat="1" ht="30">
      <c r="A724" s="178" t="s">
        <v>96</v>
      </c>
      <c r="B724" s="75" t="s">
        <v>1512</v>
      </c>
      <c r="C724" s="236" t="s">
        <v>17</v>
      </c>
      <c r="D724" s="236"/>
      <c r="E724" s="236"/>
      <c r="F724" s="236"/>
      <c r="G724" s="236"/>
      <c r="H724" s="236">
        <f>SUM(Tabla132112410[[#This Row],[PRIMER TRIMESTRE]:[CUARTO TRIMESTRE]])</f>
        <v>0</v>
      </c>
      <c r="I724" s="17">
        <v>3703</v>
      </c>
      <c r="J724" s="17">
        <f t="shared" si="20"/>
        <v>0</v>
      </c>
      <c r="K724" s="17"/>
      <c r="L724" s="16" t="s">
        <v>18</v>
      </c>
      <c r="M724" s="16" t="s">
        <v>22</v>
      </c>
      <c r="N724" s="39"/>
    </row>
    <row r="725" spans="1:14" s="12" customFormat="1" ht="30">
      <c r="A725" s="178" t="s">
        <v>96</v>
      </c>
      <c r="B725" s="75" t="s">
        <v>1513</v>
      </c>
      <c r="C725" s="236" t="s">
        <v>17</v>
      </c>
      <c r="D725" s="236"/>
      <c r="E725" s="236"/>
      <c r="F725" s="236"/>
      <c r="G725" s="236"/>
      <c r="H725" s="236">
        <f>SUM(Tabla132112410[[#This Row],[PRIMER TRIMESTRE]:[CUARTO TRIMESTRE]])</f>
        <v>0</v>
      </c>
      <c r="I725" s="17">
        <v>3703.83</v>
      </c>
      <c r="J725" s="17">
        <f t="shared" si="20"/>
        <v>0</v>
      </c>
      <c r="K725" s="17"/>
      <c r="L725" s="16" t="s">
        <v>18</v>
      </c>
      <c r="M725" s="16" t="s">
        <v>22</v>
      </c>
      <c r="N725" s="39"/>
    </row>
    <row r="726" spans="1:14" s="12" customFormat="1" ht="30">
      <c r="A726" s="178" t="s">
        <v>96</v>
      </c>
      <c r="B726" s="75" t="s">
        <v>1514</v>
      </c>
      <c r="C726" s="236" t="s">
        <v>17</v>
      </c>
      <c r="D726" s="236"/>
      <c r="E726" s="236"/>
      <c r="F726" s="236"/>
      <c r="G726" s="236"/>
      <c r="H726" s="236">
        <f>SUM(Tabla132112410[[#This Row],[PRIMER TRIMESTRE]:[CUARTO TRIMESTRE]])</f>
        <v>0</v>
      </c>
      <c r="I726" s="17">
        <v>4018</v>
      </c>
      <c r="J726" s="17">
        <f t="shared" si="20"/>
        <v>0</v>
      </c>
      <c r="K726" s="17"/>
      <c r="L726" s="16" t="s">
        <v>18</v>
      </c>
      <c r="M726" s="16" t="s">
        <v>22</v>
      </c>
      <c r="N726" s="39"/>
    </row>
    <row r="727" spans="1:14" s="12" customFormat="1" ht="30">
      <c r="A727" s="178" t="s">
        <v>96</v>
      </c>
      <c r="B727" s="75" t="s">
        <v>1721</v>
      </c>
      <c r="C727" s="236" t="s">
        <v>17</v>
      </c>
      <c r="D727" s="236"/>
      <c r="E727" s="236"/>
      <c r="F727" s="236"/>
      <c r="G727" s="236"/>
      <c r="H727" s="40">
        <v>0</v>
      </c>
      <c r="I727" s="17">
        <v>0</v>
      </c>
      <c r="J727" s="17">
        <v>0</v>
      </c>
      <c r="K727" s="17"/>
      <c r="L727" s="16" t="s">
        <v>18</v>
      </c>
      <c r="M727" s="16" t="s">
        <v>22</v>
      </c>
      <c r="N727" s="39"/>
    </row>
    <row r="728" spans="1:14" s="12" customFormat="1" ht="30">
      <c r="A728" s="178" t="s">
        <v>96</v>
      </c>
      <c r="B728" s="75" t="s">
        <v>1515</v>
      </c>
      <c r="C728" s="236" t="s">
        <v>17</v>
      </c>
      <c r="D728" s="236"/>
      <c r="E728" s="236"/>
      <c r="F728" s="236"/>
      <c r="G728" s="236"/>
      <c r="H728" s="236">
        <f>SUM(Tabla132112410[[#This Row],[PRIMER TRIMESTRE]:[CUARTO TRIMESTRE]])</f>
        <v>0</v>
      </c>
      <c r="I728" s="17">
        <v>4500</v>
      </c>
      <c r="J728" s="17">
        <f t="shared" si="20"/>
        <v>0</v>
      </c>
      <c r="K728" s="17"/>
      <c r="L728" s="16" t="s">
        <v>18</v>
      </c>
      <c r="M728" s="16" t="s">
        <v>22</v>
      </c>
      <c r="N728" s="39"/>
    </row>
    <row r="729" spans="1:14" s="12" customFormat="1" ht="30">
      <c r="A729" s="178" t="s">
        <v>96</v>
      </c>
      <c r="B729" s="75" t="s">
        <v>1516</v>
      </c>
      <c r="C729" s="236" t="s">
        <v>17</v>
      </c>
      <c r="D729" s="236"/>
      <c r="E729" s="236"/>
      <c r="F729" s="236"/>
      <c r="G729" s="236"/>
      <c r="H729" s="236">
        <f>SUM(Tabla132112410[[#This Row],[PRIMER TRIMESTRE]:[CUARTO TRIMESTRE]])</f>
        <v>0</v>
      </c>
      <c r="I729" s="17">
        <v>2185</v>
      </c>
      <c r="J729" s="17">
        <f t="shared" si="20"/>
        <v>0</v>
      </c>
      <c r="K729" s="17"/>
      <c r="L729" s="16" t="s">
        <v>18</v>
      </c>
      <c r="M729" s="16" t="s">
        <v>22</v>
      </c>
      <c r="N729" s="39"/>
    </row>
    <row r="730" spans="1:14" s="12" customFormat="1" ht="30">
      <c r="A730" s="178" t="s">
        <v>96</v>
      </c>
      <c r="B730" s="75" t="s">
        <v>1517</v>
      </c>
      <c r="C730" s="236" t="s">
        <v>17</v>
      </c>
      <c r="D730" s="236"/>
      <c r="E730" s="236"/>
      <c r="F730" s="236"/>
      <c r="G730" s="236"/>
      <c r="H730" s="236">
        <f>SUM(Tabla132112410[[#This Row],[PRIMER TRIMESTRE]:[CUARTO TRIMESTRE]])</f>
        <v>0</v>
      </c>
      <c r="I730" s="17">
        <v>2185</v>
      </c>
      <c r="J730" s="17">
        <f t="shared" si="20"/>
        <v>0</v>
      </c>
      <c r="K730" s="17"/>
      <c r="L730" s="16" t="s">
        <v>18</v>
      </c>
      <c r="M730" s="16" t="s">
        <v>22</v>
      </c>
      <c r="N730" s="39"/>
    </row>
    <row r="731" spans="1:14" s="12" customFormat="1" ht="30">
      <c r="A731" s="178" t="s">
        <v>96</v>
      </c>
      <c r="B731" s="75" t="s">
        <v>832</v>
      </c>
      <c r="C731" s="39" t="s">
        <v>17</v>
      </c>
      <c r="D731" s="236"/>
      <c r="E731" s="236"/>
      <c r="F731" s="236"/>
      <c r="G731" s="236"/>
      <c r="H731" s="40">
        <f>SUM(Tabla132112410[[#This Row],[PRIMER TRIMESTRE]:[CUARTO TRIMESTRE]])</f>
        <v>0</v>
      </c>
      <c r="I731" s="17">
        <v>5772</v>
      </c>
      <c r="J731" s="17">
        <f t="shared" si="20"/>
        <v>0</v>
      </c>
      <c r="K731" s="17"/>
      <c r="L731" s="16" t="s">
        <v>18</v>
      </c>
      <c r="M731" s="16" t="s">
        <v>22</v>
      </c>
      <c r="N731" s="39"/>
    </row>
    <row r="732" spans="1:14" s="12" customFormat="1" ht="30">
      <c r="A732" s="178" t="s">
        <v>96</v>
      </c>
      <c r="B732" s="75" t="s">
        <v>833</v>
      </c>
      <c r="C732" s="39" t="s">
        <v>17</v>
      </c>
      <c r="D732" s="236"/>
      <c r="E732" s="236"/>
      <c r="F732" s="236"/>
      <c r="G732" s="236"/>
      <c r="H732" s="40">
        <f>SUM(Tabla132112410[[#This Row],[PRIMER TRIMESTRE]:[CUARTO TRIMESTRE]])</f>
        <v>0</v>
      </c>
      <c r="I732" s="17">
        <v>6168.42</v>
      </c>
      <c r="J732" s="17">
        <f t="shared" si="20"/>
        <v>0</v>
      </c>
      <c r="K732" s="17"/>
      <c r="L732" s="16" t="s">
        <v>18</v>
      </c>
      <c r="M732" s="16" t="s">
        <v>22</v>
      </c>
      <c r="N732" s="39"/>
    </row>
    <row r="733" spans="1:14" s="12" customFormat="1" ht="30">
      <c r="A733" s="178" t="s">
        <v>96</v>
      </c>
      <c r="B733" s="75" t="s">
        <v>834</v>
      </c>
      <c r="C733" s="39" t="s">
        <v>17</v>
      </c>
      <c r="D733" s="236"/>
      <c r="E733" s="236"/>
      <c r="F733" s="236"/>
      <c r="G733" s="236"/>
      <c r="H733" s="40">
        <f>SUM(Tabla132112410[[#This Row],[PRIMER TRIMESTRE]:[CUARTO TRIMESTRE]])</f>
        <v>0</v>
      </c>
      <c r="I733" s="17">
        <v>14000</v>
      </c>
      <c r="J733" s="17">
        <f t="shared" si="20"/>
        <v>0</v>
      </c>
      <c r="K733" s="17"/>
      <c r="L733" s="16" t="s">
        <v>18</v>
      </c>
      <c r="M733" s="16" t="s">
        <v>22</v>
      </c>
      <c r="N733" s="39"/>
    </row>
    <row r="734" spans="1:14" s="12" customFormat="1" ht="30">
      <c r="A734" s="178" t="s">
        <v>96</v>
      </c>
      <c r="B734" s="75" t="s">
        <v>835</v>
      </c>
      <c r="C734" s="39" t="s">
        <v>17</v>
      </c>
      <c r="D734" s="236"/>
      <c r="E734" s="236"/>
      <c r="F734" s="236"/>
      <c r="G734" s="236"/>
      <c r="H734" s="40">
        <f>SUM(Tabla132112410[[#This Row],[PRIMER TRIMESTRE]:[CUARTO TRIMESTRE]])</f>
        <v>0</v>
      </c>
      <c r="I734" s="17">
        <v>15000</v>
      </c>
      <c r="J734" s="17">
        <f t="shared" si="20"/>
        <v>0</v>
      </c>
      <c r="K734" s="17"/>
      <c r="L734" s="16" t="s">
        <v>18</v>
      </c>
      <c r="M734" s="16" t="s">
        <v>22</v>
      </c>
      <c r="N734" s="39"/>
    </row>
    <row r="735" spans="1:14" s="12" customFormat="1" ht="30">
      <c r="A735" s="178" t="s">
        <v>96</v>
      </c>
      <c r="B735" s="75" t="s">
        <v>836</v>
      </c>
      <c r="C735" s="39" t="s">
        <v>17</v>
      </c>
      <c r="D735" s="236"/>
      <c r="E735" s="236"/>
      <c r="F735" s="236"/>
      <c r="G735" s="236"/>
      <c r="H735" s="40">
        <f>SUM(Tabla132112410[[#This Row],[PRIMER TRIMESTRE]:[CUARTO TRIMESTRE]])</f>
        <v>0</v>
      </c>
      <c r="I735" s="17">
        <v>16500</v>
      </c>
      <c r="J735" s="17">
        <f t="shared" si="20"/>
        <v>0</v>
      </c>
      <c r="K735" s="17"/>
      <c r="L735" s="16" t="s">
        <v>18</v>
      </c>
      <c r="M735" s="16" t="s">
        <v>22</v>
      </c>
      <c r="N735" s="39"/>
    </row>
    <row r="736" spans="1:14" s="12" customFormat="1" ht="30">
      <c r="A736" s="178" t="s">
        <v>96</v>
      </c>
      <c r="B736" s="75" t="s">
        <v>1449</v>
      </c>
      <c r="C736" s="39" t="s">
        <v>17</v>
      </c>
      <c r="D736" s="236"/>
      <c r="E736" s="236"/>
      <c r="F736" s="236"/>
      <c r="G736" s="236"/>
      <c r="H736" s="40">
        <f>SUM(Tabla132112410[[#This Row],[PRIMER TRIMESTRE]:[CUARTO TRIMESTRE]])</f>
        <v>0</v>
      </c>
      <c r="I736" s="17">
        <v>20600</v>
      </c>
      <c r="J736" s="17">
        <f t="shared" si="20"/>
        <v>0</v>
      </c>
      <c r="K736" s="17"/>
      <c r="L736" s="16" t="s">
        <v>18</v>
      </c>
      <c r="M736" s="16" t="s">
        <v>22</v>
      </c>
      <c r="N736" s="39"/>
    </row>
    <row r="737" spans="1:14" s="12" customFormat="1" ht="38.25">
      <c r="A737" s="178" t="s">
        <v>96</v>
      </c>
      <c r="B737" s="75" t="s">
        <v>843</v>
      </c>
      <c r="C737" s="39" t="s">
        <v>17</v>
      </c>
      <c r="D737" s="236"/>
      <c r="E737" s="236"/>
      <c r="F737" s="236"/>
      <c r="G737" s="236"/>
      <c r="H737" s="40">
        <f>SUM(Tabla132112410[[#This Row],[PRIMER TRIMESTRE]:[CUARTO TRIMESTRE]])</f>
        <v>0</v>
      </c>
      <c r="I737" s="17">
        <v>4270</v>
      </c>
      <c r="J737" s="17">
        <f t="shared" si="20"/>
        <v>0</v>
      </c>
      <c r="K737" s="17"/>
      <c r="L737" s="16" t="s">
        <v>18</v>
      </c>
      <c r="M737" s="16" t="s">
        <v>22</v>
      </c>
      <c r="N737" s="39"/>
    </row>
    <row r="738" spans="1:14" s="12" customFormat="1" ht="38.25">
      <c r="A738" s="178" t="s">
        <v>96</v>
      </c>
      <c r="B738" s="75" t="s">
        <v>844</v>
      </c>
      <c r="C738" s="39" t="s">
        <v>17</v>
      </c>
      <c r="D738" s="236"/>
      <c r="E738" s="236"/>
      <c r="F738" s="236"/>
      <c r="G738" s="236"/>
      <c r="H738" s="40">
        <f>SUM(Tabla132112410[[#This Row],[PRIMER TRIMESTRE]:[CUARTO TRIMESTRE]])</f>
        <v>0</v>
      </c>
      <c r="I738" s="17">
        <v>4320</v>
      </c>
      <c r="J738" s="17">
        <f t="shared" si="20"/>
        <v>0</v>
      </c>
      <c r="K738" s="17"/>
      <c r="L738" s="16" t="s">
        <v>18</v>
      </c>
      <c r="M738" s="16" t="s">
        <v>22</v>
      </c>
      <c r="N738" s="39"/>
    </row>
    <row r="739" spans="1:14" s="12" customFormat="1" ht="38.25">
      <c r="A739" s="178" t="s">
        <v>96</v>
      </c>
      <c r="B739" s="75" t="s">
        <v>845</v>
      </c>
      <c r="C739" s="39" t="s">
        <v>17</v>
      </c>
      <c r="D739" s="236"/>
      <c r="E739" s="236"/>
      <c r="F739" s="236"/>
      <c r="G739" s="236"/>
      <c r="H739" s="40">
        <f>SUM(Tabla132112410[[#This Row],[PRIMER TRIMESTRE]:[CUARTO TRIMESTRE]])</f>
        <v>0</v>
      </c>
      <c r="I739" s="17">
        <v>4560</v>
      </c>
      <c r="J739" s="17">
        <f t="shared" si="20"/>
        <v>0</v>
      </c>
      <c r="K739" s="17"/>
      <c r="L739" s="16" t="s">
        <v>18</v>
      </c>
      <c r="M739" s="16" t="s">
        <v>22</v>
      </c>
      <c r="N739" s="39"/>
    </row>
    <row r="740" spans="1:14" s="12" customFormat="1" ht="38.25">
      <c r="A740" s="178" t="s">
        <v>96</v>
      </c>
      <c r="B740" s="75" t="s">
        <v>846</v>
      </c>
      <c r="C740" s="39" t="s">
        <v>17</v>
      </c>
      <c r="D740" s="236"/>
      <c r="E740" s="236"/>
      <c r="F740" s="236"/>
      <c r="G740" s="236"/>
      <c r="H740" s="40">
        <f>SUM(Tabla132112410[[#This Row],[PRIMER TRIMESTRE]:[CUARTO TRIMESTRE]])</f>
        <v>0</v>
      </c>
      <c r="I740" s="17">
        <v>5684</v>
      </c>
      <c r="J740" s="17">
        <f t="shared" si="20"/>
        <v>0</v>
      </c>
      <c r="K740" s="17"/>
      <c r="L740" s="16" t="s">
        <v>18</v>
      </c>
      <c r="M740" s="16" t="s">
        <v>22</v>
      </c>
      <c r="N740" s="39"/>
    </row>
    <row r="741" spans="1:14" s="12" customFormat="1" ht="38.25">
      <c r="A741" s="178" t="s">
        <v>96</v>
      </c>
      <c r="B741" s="75" t="s">
        <v>847</v>
      </c>
      <c r="C741" s="39" t="s">
        <v>17</v>
      </c>
      <c r="D741" s="236"/>
      <c r="E741" s="236"/>
      <c r="F741" s="236"/>
      <c r="G741" s="236"/>
      <c r="H741" s="40">
        <f>SUM(Tabla132112410[[#This Row],[PRIMER TRIMESTRE]:[CUARTO TRIMESTRE]])</f>
        <v>0</v>
      </c>
      <c r="I741" s="17">
        <v>5300</v>
      </c>
      <c r="J741" s="17">
        <f t="shared" si="20"/>
        <v>0</v>
      </c>
      <c r="K741" s="17"/>
      <c r="L741" s="16" t="s">
        <v>18</v>
      </c>
      <c r="M741" s="16" t="s">
        <v>22</v>
      </c>
      <c r="N741" s="39"/>
    </row>
    <row r="742" spans="1:14" s="12" customFormat="1" ht="38.25">
      <c r="A742" s="178" t="s">
        <v>96</v>
      </c>
      <c r="B742" s="75" t="s">
        <v>848</v>
      </c>
      <c r="C742" s="39" t="s">
        <v>17</v>
      </c>
      <c r="D742" s="236"/>
      <c r="E742" s="236"/>
      <c r="F742" s="236"/>
      <c r="G742" s="236"/>
      <c r="H742" s="40">
        <f>SUM(Tabla132112410[[#This Row],[PRIMER TRIMESTRE]:[CUARTO TRIMESTRE]])</f>
        <v>0</v>
      </c>
      <c r="I742" s="17">
        <v>4958</v>
      </c>
      <c r="J742" s="17">
        <f t="shared" si="20"/>
        <v>0</v>
      </c>
      <c r="K742" s="17"/>
      <c r="L742" s="16" t="s">
        <v>18</v>
      </c>
      <c r="M742" s="16" t="s">
        <v>22</v>
      </c>
      <c r="N742" s="39"/>
    </row>
    <row r="743" spans="1:14" s="12" customFormat="1" ht="38.25">
      <c r="A743" s="178" t="s">
        <v>96</v>
      </c>
      <c r="B743" s="75" t="s">
        <v>849</v>
      </c>
      <c r="C743" s="39" t="s">
        <v>17</v>
      </c>
      <c r="D743" s="236"/>
      <c r="E743" s="236"/>
      <c r="F743" s="236"/>
      <c r="G743" s="236"/>
      <c r="H743" s="40">
        <f>SUM(Tabla132112410[[#This Row],[PRIMER TRIMESTRE]:[CUARTO TRIMESTRE]])</f>
        <v>0</v>
      </c>
      <c r="I743" s="17">
        <v>6958</v>
      </c>
      <c r="J743" s="17">
        <f t="shared" si="20"/>
        <v>0</v>
      </c>
      <c r="K743" s="17"/>
      <c r="L743" s="16" t="s">
        <v>18</v>
      </c>
      <c r="M743" s="16" t="s">
        <v>22</v>
      </c>
      <c r="N743" s="39"/>
    </row>
    <row r="744" spans="1:14" s="12" customFormat="1" ht="38.25">
      <c r="A744" s="178" t="s">
        <v>96</v>
      </c>
      <c r="B744" s="75" t="s">
        <v>850</v>
      </c>
      <c r="C744" s="39" t="s">
        <v>17</v>
      </c>
      <c r="D744" s="236"/>
      <c r="E744" s="236"/>
      <c r="F744" s="236"/>
      <c r="G744" s="236"/>
      <c r="H744" s="40">
        <f>SUM(Tabla132112410[[#This Row],[PRIMER TRIMESTRE]:[CUARTO TRIMESTRE]])</f>
        <v>0</v>
      </c>
      <c r="I744" s="17">
        <v>7050</v>
      </c>
      <c r="J744" s="17">
        <f t="shared" si="20"/>
        <v>0</v>
      </c>
      <c r="K744" s="17"/>
      <c r="L744" s="16" t="s">
        <v>18</v>
      </c>
      <c r="M744" s="16" t="s">
        <v>22</v>
      </c>
      <c r="N744" s="39"/>
    </row>
    <row r="745" spans="1:14" s="12" customFormat="1" ht="38.25">
      <c r="A745" s="178" t="s">
        <v>96</v>
      </c>
      <c r="B745" s="75" t="s">
        <v>851</v>
      </c>
      <c r="C745" s="39" t="s">
        <v>17</v>
      </c>
      <c r="D745" s="236"/>
      <c r="E745" s="236"/>
      <c r="F745" s="236"/>
      <c r="G745" s="236"/>
      <c r="H745" s="40">
        <f>SUM(Tabla132112410[[#This Row],[PRIMER TRIMESTRE]:[CUARTO TRIMESTRE]])</f>
        <v>0</v>
      </c>
      <c r="I745" s="17">
        <v>7950</v>
      </c>
      <c r="J745" s="17">
        <f t="shared" si="20"/>
        <v>0</v>
      </c>
      <c r="K745" s="17"/>
      <c r="L745" s="16" t="s">
        <v>18</v>
      </c>
      <c r="M745" s="16" t="s">
        <v>22</v>
      </c>
      <c r="N745" s="39"/>
    </row>
    <row r="746" spans="1:14" s="12" customFormat="1" ht="38.25">
      <c r="A746" s="178" t="s">
        <v>96</v>
      </c>
      <c r="B746" s="75" t="s">
        <v>852</v>
      </c>
      <c r="C746" s="39" t="s">
        <v>17</v>
      </c>
      <c r="D746" s="236"/>
      <c r="E746" s="236"/>
      <c r="F746" s="236"/>
      <c r="G746" s="236"/>
      <c r="H746" s="40">
        <f>SUM(Tabla132112410[[#This Row],[PRIMER TRIMESTRE]:[CUARTO TRIMESTRE]])</f>
        <v>0</v>
      </c>
      <c r="I746" s="17">
        <v>8338.15</v>
      </c>
      <c r="J746" s="17">
        <f t="shared" si="20"/>
        <v>0</v>
      </c>
      <c r="K746" s="17"/>
      <c r="L746" s="16" t="s">
        <v>18</v>
      </c>
      <c r="M746" s="16" t="s">
        <v>22</v>
      </c>
      <c r="N746" s="39"/>
    </row>
    <row r="747" spans="1:14" s="12" customFormat="1" ht="38.25">
      <c r="A747" s="178" t="s">
        <v>96</v>
      </c>
      <c r="B747" s="75" t="s">
        <v>853</v>
      </c>
      <c r="C747" s="39" t="s">
        <v>17</v>
      </c>
      <c r="D747" s="236"/>
      <c r="E747" s="236"/>
      <c r="F747" s="236"/>
      <c r="G747" s="236"/>
      <c r="H747" s="40">
        <f>SUM(Tabla132112410[[#This Row],[PRIMER TRIMESTRE]:[CUARTO TRIMESTRE]])</f>
        <v>0</v>
      </c>
      <c r="I747" s="17">
        <v>9900.17</v>
      </c>
      <c r="J747" s="17">
        <f t="shared" si="20"/>
        <v>0</v>
      </c>
      <c r="K747" s="17"/>
      <c r="L747" s="16" t="s">
        <v>18</v>
      </c>
      <c r="M747" s="16" t="s">
        <v>22</v>
      </c>
      <c r="N747" s="39"/>
    </row>
    <row r="748" spans="1:14" s="12" customFormat="1" ht="47.25">
      <c r="A748" s="178" t="s">
        <v>96</v>
      </c>
      <c r="B748" s="16" t="str">
        <f ca="1">+UPPER(Tabla132112410[[#This Row],[DESCRIPCIÓN DE LA COMPRA O CONTRATACIÓN]])</f>
        <v>MONITORES DE FASE A 460 VOLTIOS, CONTRA PÉRDIDA DE FASE E INVERSIÓN DE GIRO CON SU BASE</v>
      </c>
      <c r="C748" s="39" t="s">
        <v>17</v>
      </c>
      <c r="D748" s="236"/>
      <c r="E748" s="236"/>
      <c r="F748" s="236"/>
      <c r="G748" s="236"/>
      <c r="H748" s="40">
        <f>SUM(Tabla132112410[[#This Row],[PRIMER TRIMESTRE]:[CUARTO TRIMESTRE]])</f>
        <v>0</v>
      </c>
      <c r="I748" s="17">
        <v>7500</v>
      </c>
      <c r="J748" s="17">
        <f t="shared" si="20"/>
        <v>0</v>
      </c>
      <c r="K748" s="17"/>
      <c r="L748" s="16" t="s">
        <v>18</v>
      </c>
      <c r="M748" s="16" t="s">
        <v>22</v>
      </c>
      <c r="N748" s="39"/>
    </row>
    <row r="749" spans="1:14" s="12" customFormat="1" ht="47.25">
      <c r="A749" s="178" t="s">
        <v>96</v>
      </c>
      <c r="B749" s="16" t="s">
        <v>1509</v>
      </c>
      <c r="C749" s="39" t="s">
        <v>17</v>
      </c>
      <c r="D749" s="236"/>
      <c r="E749" s="236"/>
      <c r="F749" s="236"/>
      <c r="G749" s="236"/>
      <c r="H749" s="40">
        <f>SUM(Tabla132112410[[#This Row],[PRIMER TRIMESTRE]:[CUARTO TRIMESTRE]])</f>
        <v>0</v>
      </c>
      <c r="I749" s="17">
        <v>5400</v>
      </c>
      <c r="J749" s="17">
        <f t="shared" si="20"/>
        <v>0</v>
      </c>
      <c r="K749" s="17"/>
      <c r="L749" s="16" t="s">
        <v>18</v>
      </c>
      <c r="M749" s="16" t="s">
        <v>22</v>
      </c>
      <c r="N749" s="39"/>
    </row>
    <row r="750" spans="1:14" s="12" customFormat="1" ht="47.25">
      <c r="A750" s="178" t="s">
        <v>96</v>
      </c>
      <c r="B750" s="16" t="str">
        <f ca="1">+UPPER(Tabla132112410[[#This Row],[DESCRIPCIÓN DE LA COMPRA O CONTRATACIÓN]])</f>
        <v>MONITORES DE FASE A 230 VOLTIOS, CONTRA PÉRDIDA DE FASE E INVERSIÓN DE GIRO CON SU BASE</v>
      </c>
      <c r="C750" s="39" t="s">
        <v>17</v>
      </c>
      <c r="D750" s="236"/>
      <c r="E750" s="236"/>
      <c r="F750" s="236"/>
      <c r="G750" s="236"/>
      <c r="H750" s="40">
        <f>SUM(Tabla132112410[[#This Row],[PRIMER TRIMESTRE]:[CUARTO TRIMESTRE]])</f>
        <v>0</v>
      </c>
      <c r="I750" s="17">
        <v>7500</v>
      </c>
      <c r="J750" s="17">
        <f t="shared" si="20"/>
        <v>0</v>
      </c>
      <c r="K750" s="17"/>
      <c r="L750" s="16" t="s">
        <v>18</v>
      </c>
      <c r="M750" s="16" t="s">
        <v>22</v>
      </c>
      <c r="N750" s="39"/>
    </row>
    <row r="751" spans="1:14" s="12" customFormat="1" ht="47.25">
      <c r="A751" s="178" t="s">
        <v>1676</v>
      </c>
      <c r="B751" s="16" t="s">
        <v>1854</v>
      </c>
      <c r="C751" s="39" t="s">
        <v>17</v>
      </c>
      <c r="D751" s="236"/>
      <c r="E751" s="236"/>
      <c r="F751" s="236"/>
      <c r="G751" s="236"/>
      <c r="H751" s="40">
        <v>0</v>
      </c>
      <c r="I751" s="17">
        <v>0</v>
      </c>
      <c r="J751" s="17">
        <v>0</v>
      </c>
      <c r="K751" s="17"/>
      <c r="L751" s="16" t="s">
        <v>18</v>
      </c>
      <c r="M751" s="16" t="s">
        <v>19</v>
      </c>
      <c r="N751" s="39"/>
    </row>
    <row r="752" spans="1:14" s="12" customFormat="1" ht="38.25">
      <c r="A752" s="178" t="s">
        <v>96</v>
      </c>
      <c r="B752" s="75" t="s">
        <v>1695</v>
      </c>
      <c r="C752" s="39" t="s">
        <v>17</v>
      </c>
      <c r="D752" s="236"/>
      <c r="E752" s="236"/>
      <c r="F752" s="236"/>
      <c r="G752" s="236"/>
      <c r="H752" s="40">
        <v>0</v>
      </c>
      <c r="I752" s="17">
        <v>0</v>
      </c>
      <c r="J752" s="17">
        <v>0</v>
      </c>
      <c r="K752" s="17"/>
      <c r="L752" s="16" t="s">
        <v>18</v>
      </c>
      <c r="M752" s="16" t="s">
        <v>19</v>
      </c>
      <c r="N752" s="39"/>
    </row>
    <row r="753" spans="1:14" s="12" customFormat="1" ht="31.5">
      <c r="A753" s="178" t="s">
        <v>96</v>
      </c>
      <c r="B753" s="75" t="s">
        <v>854</v>
      </c>
      <c r="C753" s="39" t="s">
        <v>17</v>
      </c>
      <c r="D753" s="236"/>
      <c r="E753" s="210"/>
      <c r="F753" s="236"/>
      <c r="G753" s="236"/>
      <c r="H753" s="40">
        <f>SUM(Tabla132112410[[#This Row],[PRIMER TRIMESTRE]:[CUARTO TRIMESTRE]])</f>
        <v>0</v>
      </c>
      <c r="I753" s="72">
        <v>16500</v>
      </c>
      <c r="J753" s="17">
        <f t="shared" si="20"/>
        <v>0</v>
      </c>
      <c r="K753" s="17"/>
      <c r="L753" s="16" t="s">
        <v>18</v>
      </c>
      <c r="M753" s="16" t="s">
        <v>19</v>
      </c>
      <c r="N753" s="39"/>
    </row>
    <row r="754" spans="1:14" s="12" customFormat="1" ht="31.5">
      <c r="A754" s="178" t="s">
        <v>96</v>
      </c>
      <c r="B754" s="75" t="s">
        <v>1718</v>
      </c>
      <c r="C754" s="39" t="s">
        <v>17</v>
      </c>
      <c r="D754" s="236"/>
      <c r="E754" s="210"/>
      <c r="F754" s="236"/>
      <c r="G754" s="236"/>
      <c r="H754" s="40">
        <v>0</v>
      </c>
      <c r="I754" s="72">
        <v>0</v>
      </c>
      <c r="J754" s="17">
        <v>0</v>
      </c>
      <c r="K754" s="17"/>
      <c r="L754" s="16" t="s">
        <v>18</v>
      </c>
      <c r="M754" s="16" t="s">
        <v>19</v>
      </c>
      <c r="N754" s="39"/>
    </row>
    <row r="755" spans="1:14" s="12" customFormat="1" ht="31.5">
      <c r="A755" s="178" t="s">
        <v>96</v>
      </c>
      <c r="B755" s="75" t="s">
        <v>855</v>
      </c>
      <c r="C755" s="39" t="s">
        <v>17</v>
      </c>
      <c r="D755" s="236"/>
      <c r="E755" s="236"/>
      <c r="F755" s="236"/>
      <c r="G755" s="236"/>
      <c r="H755" s="40">
        <f>SUM(Tabla132112410[[#This Row],[PRIMER TRIMESTRE]:[CUARTO TRIMESTRE]])</f>
        <v>0</v>
      </c>
      <c r="I755" s="72">
        <v>60000</v>
      </c>
      <c r="J755" s="17">
        <f t="shared" si="20"/>
        <v>0</v>
      </c>
      <c r="K755" s="17"/>
      <c r="L755" s="16" t="s">
        <v>18</v>
      </c>
      <c r="M755" s="16" t="s">
        <v>19</v>
      </c>
      <c r="N755" s="39"/>
    </row>
    <row r="756" spans="1:14" s="12" customFormat="1" ht="47.25">
      <c r="A756" s="178" t="s">
        <v>96</v>
      </c>
      <c r="B756" s="16" t="str">
        <f ca="1">+UPPER(Tabla132112410[[#This Row],[DESCRIPCIÓN DE LA COMPRA O CONTRATACIÓN]])</f>
        <v>MOTORES ELÉCTRICOS SUMERGIBLES, 3Ø, 230 /460 VOLTIOS, 60HZ, 1.15 FS, 3,450 RPM 7.5 HP NEMA 6</v>
      </c>
      <c r="C756" s="39" t="s">
        <v>17</v>
      </c>
      <c r="D756" s="236"/>
      <c r="E756" s="236"/>
      <c r="F756" s="236"/>
      <c r="G756" s="236"/>
      <c r="H756" s="40">
        <f>SUM(Tabla132112410[[#This Row],[PRIMER TRIMESTRE]:[CUARTO TRIMESTRE]])</f>
        <v>0</v>
      </c>
      <c r="I756" s="72">
        <v>81217.84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</row>
    <row r="757" spans="1:14" s="12" customFormat="1" ht="47.25">
      <c r="A757" s="178" t="s">
        <v>96</v>
      </c>
      <c r="B757" s="16" t="str">
        <f ca="1">+UPPER(Tabla132112410[[#This Row],[DESCRIPCIÓN DE LA COMPRA O CONTRATACIÓN]])</f>
        <v>MOTORES ELÉCTRICOS SUMERGIBLES, 3Ø, 230 /460 VOLTIOS, 60HZ, 1.15 FS, 3,450 RPM 20 HP NEMA 6</v>
      </c>
      <c r="C757" s="39" t="s">
        <v>17</v>
      </c>
      <c r="D757" s="236"/>
      <c r="E757" s="210"/>
      <c r="F757" s="236"/>
      <c r="G757" s="210"/>
      <c r="H757" s="40">
        <f>SUM(Tabla132112410[[#This Row],[PRIMER TRIMESTRE]:[CUARTO TRIMESTRE]])</f>
        <v>0</v>
      </c>
      <c r="I757" s="17">
        <v>90520</v>
      </c>
      <c r="J757" s="17">
        <f t="shared" si="20"/>
        <v>0</v>
      </c>
      <c r="K757" s="17"/>
      <c r="L757" s="16" t="s">
        <v>18</v>
      </c>
      <c r="M757" s="16" t="s">
        <v>19</v>
      </c>
      <c r="N757" s="39"/>
    </row>
    <row r="758" spans="1:14" s="12" customFormat="1" ht="31.5">
      <c r="A758" s="178" t="s">
        <v>96</v>
      </c>
      <c r="B758" s="75" t="s">
        <v>856</v>
      </c>
      <c r="C758" s="39" t="s">
        <v>17</v>
      </c>
      <c r="D758" s="236"/>
      <c r="E758" s="236"/>
      <c r="F758" s="236"/>
      <c r="G758" s="236"/>
      <c r="H758" s="40">
        <f>SUM(Tabla132112410[[#This Row],[PRIMER TRIMESTRE]:[CUARTO TRIMESTRE]])</f>
        <v>0</v>
      </c>
      <c r="I758" s="17">
        <v>107544.96000000001</v>
      </c>
      <c r="J758" s="17">
        <f t="shared" si="20"/>
        <v>0</v>
      </c>
      <c r="K758" s="17"/>
      <c r="L758" s="16" t="s">
        <v>18</v>
      </c>
      <c r="M758" s="16" t="s">
        <v>19</v>
      </c>
      <c r="N758" s="39"/>
    </row>
    <row r="759" spans="1:14" s="12" customFormat="1" ht="31.5">
      <c r="A759" s="178" t="s">
        <v>96</v>
      </c>
      <c r="B759" s="75" t="s">
        <v>1684</v>
      </c>
      <c r="C759" s="39" t="s">
        <v>17</v>
      </c>
      <c r="D759" s="236"/>
      <c r="E759" s="236"/>
      <c r="F759" s="236"/>
      <c r="G759" s="236"/>
      <c r="H759" s="40">
        <v>0</v>
      </c>
      <c r="I759" s="17">
        <v>0</v>
      </c>
      <c r="J759" s="17">
        <v>0</v>
      </c>
      <c r="K759" s="17"/>
      <c r="L759" s="16" t="s">
        <v>18</v>
      </c>
      <c r="M759" s="16" t="s">
        <v>19</v>
      </c>
      <c r="N759" s="39"/>
    </row>
    <row r="760" spans="1:14" s="12" customFormat="1" ht="31.5">
      <c r="A760" s="178" t="s">
        <v>96</v>
      </c>
      <c r="B760" s="75" t="s">
        <v>1446</v>
      </c>
      <c r="C760" s="39" t="s">
        <v>17</v>
      </c>
      <c r="D760" s="236"/>
      <c r="E760" s="236"/>
      <c r="F760" s="236"/>
      <c r="G760" s="236"/>
      <c r="H760" s="40">
        <f>SUM(Tabla132112410[[#This Row],[PRIMER TRIMESTRE]:[CUARTO TRIMESTRE]])</f>
        <v>0</v>
      </c>
      <c r="I760" s="17">
        <v>132750</v>
      </c>
      <c r="J760" s="17">
        <f t="shared" si="20"/>
        <v>0</v>
      </c>
      <c r="K760" s="17"/>
      <c r="L760" s="16" t="s">
        <v>18</v>
      </c>
      <c r="M760" s="16" t="s">
        <v>19</v>
      </c>
      <c r="N760" s="39"/>
    </row>
    <row r="761" spans="1:14" s="12" customFormat="1" ht="31.5">
      <c r="A761" s="178" t="s">
        <v>96</v>
      </c>
      <c r="B761" s="75" t="s">
        <v>1447</v>
      </c>
      <c r="C761" s="39" t="s">
        <v>17</v>
      </c>
      <c r="D761" s="236"/>
      <c r="E761" s="236"/>
      <c r="F761" s="236"/>
      <c r="G761" s="236"/>
      <c r="H761" s="40">
        <f>SUM(Tabla132112410[[#This Row],[PRIMER TRIMESTRE]:[CUARTO TRIMESTRE]])</f>
        <v>0</v>
      </c>
      <c r="I761" s="17">
        <v>151330</v>
      </c>
      <c r="J761" s="17">
        <f t="shared" si="20"/>
        <v>0</v>
      </c>
      <c r="K761" s="17"/>
      <c r="L761" s="16" t="s">
        <v>18</v>
      </c>
      <c r="M761" s="16" t="s">
        <v>19</v>
      </c>
      <c r="N761" s="39"/>
    </row>
    <row r="762" spans="1:14" s="12" customFormat="1" ht="31.5">
      <c r="A762" s="178" t="s">
        <v>96</v>
      </c>
      <c r="B762" s="75" t="s">
        <v>857</v>
      </c>
      <c r="C762" s="39" t="s">
        <v>17</v>
      </c>
      <c r="D762" s="236"/>
      <c r="E762" s="236"/>
      <c r="F762" s="236"/>
      <c r="G762" s="236"/>
      <c r="H762" s="40">
        <f>SUM(Tabla132112410[[#This Row],[PRIMER TRIMESTRE]:[CUARTO TRIMESTRE]])</f>
        <v>0</v>
      </c>
      <c r="I762" s="17">
        <v>123744.06</v>
      </c>
      <c r="J762" s="17">
        <f t="shared" si="20"/>
        <v>0</v>
      </c>
      <c r="K762" s="17"/>
      <c r="L762" s="16" t="s">
        <v>18</v>
      </c>
      <c r="M762" s="16" t="s">
        <v>19</v>
      </c>
      <c r="N762" s="39"/>
    </row>
    <row r="763" spans="1:14" s="12" customFormat="1" ht="31.5">
      <c r="A763" s="178" t="s">
        <v>96</v>
      </c>
      <c r="B763" s="75" t="s">
        <v>858</v>
      </c>
      <c r="C763" s="39" t="s">
        <v>17</v>
      </c>
      <c r="D763" s="236"/>
      <c r="E763" s="210"/>
      <c r="F763" s="236"/>
      <c r="G763" s="236"/>
      <c r="H763" s="40">
        <f>SUM(Tabla132112410[[#This Row],[PRIMER TRIMESTRE]:[CUARTO TRIMESTRE]])</f>
        <v>0</v>
      </c>
      <c r="I763" s="17">
        <v>135450.07</v>
      </c>
      <c r="J763" s="17">
        <f t="shared" si="20"/>
        <v>0</v>
      </c>
      <c r="K763" s="17"/>
      <c r="L763" s="16" t="s">
        <v>18</v>
      </c>
      <c r="M763" s="16" t="s">
        <v>19</v>
      </c>
      <c r="N763" s="39"/>
    </row>
    <row r="764" spans="1:14" s="12" customFormat="1" ht="31.5">
      <c r="A764" s="178" t="s">
        <v>96</v>
      </c>
      <c r="B764" s="75" t="s">
        <v>859</v>
      </c>
      <c r="C764" s="39" t="s">
        <v>17</v>
      </c>
      <c r="D764" s="236"/>
      <c r="E764" s="210"/>
      <c r="F764" s="236"/>
      <c r="G764" s="236"/>
      <c r="H764" s="40">
        <f>SUM(Tabla132112410[[#This Row],[PRIMER TRIMESTRE]:[CUARTO TRIMESTRE]])</f>
        <v>0</v>
      </c>
      <c r="I764" s="17">
        <v>181838</v>
      </c>
      <c r="J764" s="17">
        <f t="shared" si="20"/>
        <v>0</v>
      </c>
      <c r="K764" s="17"/>
      <c r="L764" s="16" t="s">
        <v>18</v>
      </c>
      <c r="M764" s="16" t="s">
        <v>19</v>
      </c>
      <c r="N764" s="39"/>
    </row>
    <row r="765" spans="1:14" s="12" customFormat="1" ht="31.5">
      <c r="A765" s="178" t="s">
        <v>96</v>
      </c>
      <c r="B765" s="75" t="s">
        <v>860</v>
      </c>
      <c r="C765" s="39" t="s">
        <v>17</v>
      </c>
      <c r="D765" s="236"/>
      <c r="E765" s="210"/>
      <c r="F765" s="236"/>
      <c r="G765" s="236"/>
      <c r="H765" s="40">
        <f>SUM(Tabla132112410[[#This Row],[PRIMER TRIMESTRE]:[CUARTO TRIMESTRE]])</f>
        <v>0</v>
      </c>
      <c r="I765" s="72">
        <v>190640</v>
      </c>
      <c r="J765" s="17">
        <f t="shared" si="20"/>
        <v>0</v>
      </c>
      <c r="K765" s="17"/>
      <c r="L765" s="16" t="s">
        <v>18</v>
      </c>
      <c r="M765" s="16" t="s">
        <v>19</v>
      </c>
      <c r="N765" s="39"/>
    </row>
    <row r="766" spans="1:14" s="12" customFormat="1" ht="31.5">
      <c r="A766" s="178" t="s">
        <v>96</v>
      </c>
      <c r="B766" s="75" t="s">
        <v>861</v>
      </c>
      <c r="C766" s="39" t="s">
        <v>17</v>
      </c>
      <c r="D766" s="236"/>
      <c r="E766" s="210"/>
      <c r="F766" s="236"/>
      <c r="G766" s="236"/>
      <c r="H766" s="40">
        <f>SUM(Tabla132112410[[#This Row],[PRIMER TRIMESTRE]:[CUARTO TRIMESTRE]])</f>
        <v>0</v>
      </c>
      <c r="I766" s="17">
        <v>190640.56</v>
      </c>
      <c r="J766" s="17">
        <f t="shared" si="20"/>
        <v>0</v>
      </c>
      <c r="K766" s="17"/>
      <c r="L766" s="16" t="s">
        <v>18</v>
      </c>
      <c r="M766" s="16" t="s">
        <v>19</v>
      </c>
      <c r="N766" s="39"/>
    </row>
    <row r="767" spans="1:14" s="12" customFormat="1" ht="31.5">
      <c r="A767" s="178" t="s">
        <v>96</v>
      </c>
      <c r="B767" s="75" t="s">
        <v>862</v>
      </c>
      <c r="C767" s="39" t="s">
        <v>17</v>
      </c>
      <c r="D767" s="236"/>
      <c r="E767" s="210"/>
      <c r="F767" s="236"/>
      <c r="G767" s="236"/>
      <c r="H767" s="40">
        <f>SUM(Tabla132112410[[#This Row],[PRIMER TRIMESTRE]:[CUARTO TRIMESTRE]])</f>
        <v>0</v>
      </c>
      <c r="I767" s="17">
        <v>327450</v>
      </c>
      <c r="J767" s="17">
        <f t="shared" si="20"/>
        <v>0</v>
      </c>
      <c r="K767" s="17"/>
      <c r="L767" s="16" t="s">
        <v>18</v>
      </c>
      <c r="M767" s="16" t="s">
        <v>19</v>
      </c>
      <c r="N767" s="39"/>
    </row>
    <row r="768" spans="1:14" s="12" customFormat="1" ht="47.25">
      <c r="A768" s="178" t="s">
        <v>96</v>
      </c>
      <c r="B768" s="16" t="str">
        <f ca="1">+UPPER(Tabla132112410[[#This Row],[DESCRIPCIÓN DE LA COMPRA O CONTRATACIÓN]])</f>
        <v xml:space="preserve">MOTORES ELÉCTRICOS MONOFASICO SUMERGIBLES, 230 VOLTIOS, 3,450 RPM  3 HP CON CAJA DE CONTROLS </v>
      </c>
      <c r="C768" s="39" t="s">
        <v>17</v>
      </c>
      <c r="D768" s="236"/>
      <c r="E768" s="210"/>
      <c r="F768" s="236"/>
      <c r="G768" s="236"/>
      <c r="H768" s="40">
        <f>SUM(Tabla132112410[[#This Row],[PRIMER TRIMESTRE]:[CUARTO TRIMESTRE]])</f>
        <v>0</v>
      </c>
      <c r="I768" s="17">
        <v>36114.370000000003</v>
      </c>
      <c r="J768" s="17">
        <f t="shared" si="20"/>
        <v>0</v>
      </c>
      <c r="K768" s="17"/>
      <c r="L768" s="16" t="s">
        <v>18</v>
      </c>
      <c r="M768" s="16" t="s">
        <v>19</v>
      </c>
      <c r="N768" s="39"/>
    </row>
    <row r="769" spans="1:14" s="12" customFormat="1" ht="47.25">
      <c r="A769" s="178" t="s">
        <v>96</v>
      </c>
      <c r="B769" s="16" t="str">
        <f ca="1">+UPPER(Tabla132112410[[#This Row],[DESCRIPCIÓN DE LA COMPRA O CONTRATACIÓN]])</f>
        <v xml:space="preserve">MOTORES ELÉCTRICOS MONOFASICO SUMERGIBLES, 230 VOLTIOS, 3,450 RPM  5 HP CON CAJA DE CONTROLS </v>
      </c>
      <c r="C769" s="39" t="s">
        <v>17</v>
      </c>
      <c r="D769" s="236"/>
      <c r="E769" s="210"/>
      <c r="F769" s="236"/>
      <c r="G769" s="236"/>
      <c r="H769" s="40">
        <f>SUM(Tabla132112410[[#This Row],[PRIMER TRIMESTRE]:[CUARTO TRIMESTRE]])</f>
        <v>0</v>
      </c>
      <c r="I769" s="17">
        <v>38000</v>
      </c>
      <c r="J769" s="17">
        <f t="shared" si="20"/>
        <v>0</v>
      </c>
      <c r="K769" s="17"/>
      <c r="L769" s="16" t="s">
        <v>18</v>
      </c>
      <c r="M769" s="16" t="s">
        <v>19</v>
      </c>
      <c r="N769" s="39"/>
    </row>
    <row r="770" spans="1:14" s="12" customFormat="1" ht="47.25">
      <c r="A770" s="178" t="s">
        <v>96</v>
      </c>
      <c r="B770" s="16" t="str">
        <f ca="1">+UPPER(Tabla132112410[[#This Row],[DESCRIPCIÓN DE LA COMPRA O CONTRATACIÓN]])</f>
        <v xml:space="preserve">MOTORES ELÉCTRICOS MONOFASICO SUMERGIBLES, 230 VOLTIOS, 3,450 RPM  7.5 HP CON CAJA DE CONTROLS </v>
      </c>
      <c r="C770" s="39" t="s">
        <v>17</v>
      </c>
      <c r="D770" s="236"/>
      <c r="E770" s="210"/>
      <c r="F770" s="236"/>
      <c r="G770" s="236"/>
      <c r="H770" s="40">
        <f>SUM(Tabla132112410[[#This Row],[PRIMER TRIMESTRE]:[CUARTO TRIMESTRE]])</f>
        <v>0</v>
      </c>
      <c r="I770" s="17">
        <v>50164</v>
      </c>
      <c r="J770" s="17">
        <f t="shared" si="20"/>
        <v>0</v>
      </c>
      <c r="K770" s="17"/>
      <c r="L770" s="16" t="s">
        <v>18</v>
      </c>
      <c r="M770" s="16" t="s">
        <v>19</v>
      </c>
      <c r="N770" s="39"/>
    </row>
    <row r="771" spans="1:14" s="12" customFormat="1" ht="47.25">
      <c r="A771" s="178" t="s">
        <v>96</v>
      </c>
      <c r="B771" s="16" t="str">
        <f ca="1">+UPPER(Tabla132112410[[#This Row],[DESCRIPCIÓN DE LA COMPRA O CONTRATACIÓN]])</f>
        <v>ELECTROBOMBAS HORIZONTAL, 0.75HP, 1Ø, 115/230V, TIPO MONOBLOCK,3500 RPM, 20 GPM VS 100 PIES TDH</v>
      </c>
      <c r="C771" s="39" t="s">
        <v>17</v>
      </c>
      <c r="D771" s="236"/>
      <c r="E771" s="236"/>
      <c r="F771" s="236"/>
      <c r="G771" s="236"/>
      <c r="H771" s="40">
        <f>SUM(Tabla132112410[[#This Row],[PRIMER TRIMESTRE]:[CUARTO TRIMESTRE]])</f>
        <v>0</v>
      </c>
      <c r="I771" s="17">
        <v>23570</v>
      </c>
      <c r="J771" s="17">
        <f t="shared" si="20"/>
        <v>0</v>
      </c>
      <c r="K771" s="17"/>
      <c r="L771" s="16" t="s">
        <v>18</v>
      </c>
      <c r="M771" s="16" t="s">
        <v>19</v>
      </c>
      <c r="N771" s="39"/>
    </row>
    <row r="772" spans="1:14" s="12" customFormat="1" ht="47.25">
      <c r="A772" s="178" t="s">
        <v>96</v>
      </c>
      <c r="B772" s="16" t="str">
        <f ca="1">+UPPER(Tabla132112410[[#This Row],[DESCRIPCIÓN DE LA COMPRA O CONTRATACIÓN]])</f>
        <v>ELECTROBOMBAS SUMERGIBLE, 1.00HP, 230V, 1Ø, 60HZ, CON SU CAJA DE CONTROL, 3500 RPM</v>
      </c>
      <c r="C772" s="39" t="s">
        <v>17</v>
      </c>
      <c r="D772" s="236"/>
      <c r="E772" s="236"/>
      <c r="F772" s="236"/>
      <c r="G772" s="236"/>
      <c r="H772" s="40">
        <f>SUM(Tabla132112410[[#This Row],[PRIMER TRIMESTRE]:[CUARTO TRIMESTRE]])</f>
        <v>0</v>
      </c>
      <c r="I772" s="17">
        <v>32670</v>
      </c>
      <c r="J772" s="17">
        <f t="shared" si="20"/>
        <v>0</v>
      </c>
      <c r="K772" s="17"/>
      <c r="L772" s="16" t="s">
        <v>18</v>
      </c>
      <c r="M772" s="16" t="s">
        <v>19</v>
      </c>
      <c r="N772" s="39"/>
    </row>
    <row r="773" spans="1:14" s="12" customFormat="1" ht="38.25">
      <c r="A773" s="178" t="s">
        <v>96</v>
      </c>
      <c r="B773" s="75" t="s">
        <v>1688</v>
      </c>
      <c r="C773" s="39" t="s">
        <v>17</v>
      </c>
      <c r="D773" s="236"/>
      <c r="E773" s="236"/>
      <c r="F773" s="236"/>
      <c r="G773" s="236"/>
      <c r="H773" s="40">
        <v>0</v>
      </c>
      <c r="I773" s="17">
        <v>0</v>
      </c>
      <c r="J773" s="17">
        <v>0</v>
      </c>
      <c r="K773" s="17"/>
      <c r="L773" s="16" t="s">
        <v>18</v>
      </c>
      <c r="M773" s="16" t="s">
        <v>22</v>
      </c>
      <c r="N773" s="39"/>
    </row>
    <row r="774" spans="1:14" s="12" customFormat="1" ht="30">
      <c r="A774" s="178" t="s">
        <v>96</v>
      </c>
      <c r="B774" s="75" t="s">
        <v>1230</v>
      </c>
      <c r="C774" s="39" t="s">
        <v>17</v>
      </c>
      <c r="D774" s="236"/>
      <c r="E774" s="236"/>
      <c r="F774" s="236"/>
      <c r="G774" s="236"/>
      <c r="H774" s="40">
        <f>SUM(Tabla132112410[[#This Row],[PRIMER TRIMESTRE]:[CUARTO TRIMESTRE]])</f>
        <v>0</v>
      </c>
      <c r="I774" s="17">
        <v>45000</v>
      </c>
      <c r="J774" s="17">
        <f t="shared" si="20"/>
        <v>0</v>
      </c>
      <c r="K774" s="17"/>
      <c r="L774" s="16" t="s">
        <v>18</v>
      </c>
      <c r="M774" s="16" t="s">
        <v>22</v>
      </c>
      <c r="N774" s="39"/>
    </row>
    <row r="775" spans="1:14" s="12" customFormat="1" ht="30">
      <c r="A775" s="178" t="s">
        <v>96</v>
      </c>
      <c r="B775" s="75" t="s">
        <v>1231</v>
      </c>
      <c r="C775" s="39" t="s">
        <v>17</v>
      </c>
      <c r="D775" s="236"/>
      <c r="E775" s="236"/>
      <c r="F775" s="236"/>
      <c r="G775" s="236"/>
      <c r="H775" s="40">
        <f>SUM(Tabla132112410[[#This Row],[PRIMER TRIMESTRE]:[CUARTO TRIMESTRE]])</f>
        <v>0</v>
      </c>
      <c r="I775" s="17">
        <v>48231.23</v>
      </c>
      <c r="J775" s="17">
        <f t="shared" si="20"/>
        <v>0</v>
      </c>
      <c r="K775" s="17"/>
      <c r="L775" s="16" t="s">
        <v>18</v>
      </c>
      <c r="M775" s="16" t="s">
        <v>22</v>
      </c>
      <c r="N775" s="39"/>
    </row>
    <row r="776" spans="1:14" s="12" customFormat="1" ht="30">
      <c r="A776" s="178" t="s">
        <v>96</v>
      </c>
      <c r="B776" s="75" t="s">
        <v>1232</v>
      </c>
      <c r="C776" s="39" t="s">
        <v>17</v>
      </c>
      <c r="D776" s="236"/>
      <c r="E776" s="236"/>
      <c r="F776" s="236"/>
      <c r="G776" s="236"/>
      <c r="H776" s="40">
        <f>SUM(Tabla132112410[[#This Row],[PRIMER TRIMESTRE]:[CUARTO TRIMESTRE]])</f>
        <v>0</v>
      </c>
      <c r="I776" s="17">
        <v>52738.12</v>
      </c>
      <c r="J776" s="17">
        <f t="shared" si="20"/>
        <v>0</v>
      </c>
      <c r="K776" s="17"/>
      <c r="L776" s="16" t="s">
        <v>18</v>
      </c>
      <c r="M776" s="16" t="s">
        <v>22</v>
      </c>
      <c r="N776" s="39"/>
    </row>
    <row r="777" spans="1:14" s="12" customFormat="1" ht="30">
      <c r="A777" s="178" t="s">
        <v>96</v>
      </c>
      <c r="B777" s="75" t="s">
        <v>1233</v>
      </c>
      <c r="C777" s="39" t="s">
        <v>17</v>
      </c>
      <c r="D777" s="236"/>
      <c r="E777" s="236"/>
      <c r="F777" s="236"/>
      <c r="G777" s="236"/>
      <c r="H777" s="40">
        <f>SUM(Tabla132112410[[#This Row],[PRIMER TRIMESTRE]:[CUARTO TRIMESTRE]])</f>
        <v>0</v>
      </c>
      <c r="I777" s="17">
        <v>14726</v>
      </c>
      <c r="J777" s="17">
        <f t="shared" si="20"/>
        <v>0</v>
      </c>
      <c r="K777" s="17"/>
      <c r="L777" s="16" t="s">
        <v>18</v>
      </c>
      <c r="M777" s="16" t="s">
        <v>22</v>
      </c>
      <c r="N777" s="39"/>
    </row>
    <row r="778" spans="1:14" s="12" customFormat="1" ht="30">
      <c r="A778" s="178" t="s">
        <v>96</v>
      </c>
      <c r="B778" s="75" t="s">
        <v>1234</v>
      </c>
      <c r="C778" s="39" t="s">
        <v>17</v>
      </c>
      <c r="D778" s="236"/>
      <c r="E778" s="236"/>
      <c r="F778" s="236"/>
      <c r="G778" s="236"/>
      <c r="H778" s="40">
        <f>SUM(Tabla132112410[[#This Row],[PRIMER TRIMESTRE]:[CUARTO TRIMESTRE]])</f>
        <v>0</v>
      </c>
      <c r="I778" s="17">
        <v>60000</v>
      </c>
      <c r="J778" s="17">
        <f t="shared" ref="J778:J807" si="21">+H778*I778</f>
        <v>0</v>
      </c>
      <c r="K778" s="17"/>
      <c r="L778" s="16" t="s">
        <v>18</v>
      </c>
      <c r="M778" s="16" t="s">
        <v>22</v>
      </c>
      <c r="N778" s="39"/>
    </row>
    <row r="779" spans="1:14" s="12" customFormat="1" ht="38.25">
      <c r="A779" s="178" t="s">
        <v>96</v>
      </c>
      <c r="B779" s="75" t="s">
        <v>1686</v>
      </c>
      <c r="C779" s="39" t="s">
        <v>17</v>
      </c>
      <c r="D779" s="236"/>
      <c r="E779" s="236"/>
      <c r="F779" s="236"/>
      <c r="G779" s="236"/>
      <c r="H779" s="40">
        <v>0</v>
      </c>
      <c r="I779" s="17">
        <v>0</v>
      </c>
      <c r="J779" s="17">
        <v>0</v>
      </c>
      <c r="K779" s="17"/>
      <c r="L779" s="16" t="s">
        <v>18</v>
      </c>
      <c r="M779" s="16" t="s">
        <v>22</v>
      </c>
      <c r="N779" s="39"/>
    </row>
    <row r="780" spans="1:14" s="12" customFormat="1" ht="38.25">
      <c r="A780" s="178" t="s">
        <v>96</v>
      </c>
      <c r="B780" s="75" t="s">
        <v>1685</v>
      </c>
      <c r="C780" s="39" t="s">
        <v>17</v>
      </c>
      <c r="D780" s="236"/>
      <c r="E780" s="236"/>
      <c r="F780" s="236"/>
      <c r="G780" s="236"/>
      <c r="H780" s="40">
        <v>0</v>
      </c>
      <c r="I780" s="17">
        <v>0</v>
      </c>
      <c r="J780" s="17">
        <v>0</v>
      </c>
      <c r="K780" s="17"/>
      <c r="L780" s="16" t="s">
        <v>18</v>
      </c>
      <c r="M780" s="16" t="s">
        <v>22</v>
      </c>
      <c r="N780" s="39"/>
    </row>
    <row r="781" spans="1:14" s="12" customFormat="1" ht="47.25">
      <c r="A781" s="178" t="s">
        <v>96</v>
      </c>
      <c r="B781" s="16" t="s">
        <v>1689</v>
      </c>
      <c r="C781" s="39" t="s">
        <v>17</v>
      </c>
      <c r="D781" s="236"/>
      <c r="E781" s="236"/>
      <c r="F781" s="236"/>
      <c r="G781" s="236"/>
      <c r="H781" s="40">
        <v>0</v>
      </c>
      <c r="I781" s="17">
        <v>0</v>
      </c>
      <c r="J781" s="17">
        <v>0</v>
      </c>
      <c r="K781" s="17"/>
      <c r="L781" s="16" t="s">
        <v>18</v>
      </c>
      <c r="M781" s="16" t="s">
        <v>22</v>
      </c>
      <c r="N781" s="39"/>
    </row>
    <row r="782" spans="1:14" s="12" customFormat="1" ht="63">
      <c r="A782" s="178" t="s">
        <v>96</v>
      </c>
      <c r="B782" s="16" t="s">
        <v>863</v>
      </c>
      <c r="C782" s="39" t="s">
        <v>17</v>
      </c>
      <c r="D782" s="236"/>
      <c r="E782" s="236"/>
      <c r="F782" s="236"/>
      <c r="G782" s="236"/>
      <c r="H782" s="40">
        <f>SUM(Tabla132112410[[#This Row],[PRIMER TRIMESTRE]:[CUARTO TRIMESTRE]])</f>
        <v>0</v>
      </c>
      <c r="I782" s="17">
        <v>24051.94</v>
      </c>
      <c r="J782" s="17">
        <f t="shared" si="21"/>
        <v>0</v>
      </c>
      <c r="K782" s="17"/>
      <c r="L782" s="16" t="s">
        <v>18</v>
      </c>
      <c r="M782" s="16" t="s">
        <v>22</v>
      </c>
      <c r="N782" s="39"/>
    </row>
    <row r="783" spans="1:14" s="12" customFormat="1" ht="63">
      <c r="A783" s="178" t="s">
        <v>96</v>
      </c>
      <c r="B783" s="16" t="str">
        <f ca="1">+UPPER(Tabla132112410[[#This Row],[DESCRIPCIÓN DE LA COMPRA O CONTRATACIÓN]])</f>
        <v>TRANSFORMADORES 1Ø, 60HZ, SUMERGIDOS EN ACEITE, 7.2/12.47 KV, 120/240V, TIPO POSTE, HOMOLGADOS CON IDÉNTICA IMPEDANCIA 25 KVA</v>
      </c>
      <c r="C783" s="39" t="s">
        <v>17</v>
      </c>
      <c r="D783" s="236"/>
      <c r="E783" s="236"/>
      <c r="F783" s="236"/>
      <c r="G783" s="236"/>
      <c r="H783" s="40">
        <f>SUM(Tabla132112410[[#This Row],[PRIMER TRIMESTRE]:[CUARTO TRIMESTRE]])</f>
        <v>0</v>
      </c>
      <c r="I783" s="17">
        <v>34220</v>
      </c>
      <c r="J783" s="17">
        <f t="shared" si="21"/>
        <v>0</v>
      </c>
      <c r="K783" s="17"/>
      <c r="L783" s="16" t="s">
        <v>18</v>
      </c>
      <c r="M783" s="16" t="s">
        <v>22</v>
      </c>
      <c r="N783" s="39"/>
    </row>
    <row r="784" spans="1:14" s="12" customFormat="1" ht="63">
      <c r="A784" s="178" t="s">
        <v>96</v>
      </c>
      <c r="B784" s="16" t="str">
        <f ca="1">+UPPER(Tabla132112410[[#This Row],[DESCRIPCIÓN DE LA COMPRA O CONTRATACIÓN]])</f>
        <v>TRANSFORMADORES 1Ø, 60HZ, SUMERGIDOS EN ACEITE, 7.2/12.47 KV, 120/240V, TIPO POSTE, HOMOLGADOS CON IDÉNTICA IMPEDANCIA 37.5 KVA</v>
      </c>
      <c r="C784" s="39" t="s">
        <v>17</v>
      </c>
      <c r="D784" s="236"/>
      <c r="E784" s="236"/>
      <c r="F784" s="236"/>
      <c r="G784" s="236"/>
      <c r="H784" s="40">
        <f>SUM(Tabla132112410[[#This Row],[PRIMER TRIMESTRE]:[CUARTO TRIMESTRE]])</f>
        <v>0</v>
      </c>
      <c r="I784" s="17">
        <v>58875.22</v>
      </c>
      <c r="J784" s="17">
        <f t="shared" si="21"/>
        <v>0</v>
      </c>
      <c r="K784" s="17"/>
      <c r="L784" s="16" t="s">
        <v>18</v>
      </c>
      <c r="M784" s="16" t="s">
        <v>22</v>
      </c>
      <c r="N784" s="39"/>
    </row>
    <row r="785" spans="1:14" s="12" customFormat="1" ht="63">
      <c r="A785" s="178" t="s">
        <v>96</v>
      </c>
      <c r="B785" s="73" t="str">
        <f ca="1">+UPPER(Tabla132112410[[#This Row],[DESCRIPCIÓN DE LA COMPRA O CONTRATACIÓN]])</f>
        <v>TRANSFORMADORES 1Ø, 60HZ, SUMERGIDOS EN ACEITE, 7.2/12.47 KV, 240/480V, TIPO POSTE HOMOLGADOS CON IDÉNTICA IMPEDANCIA 15 KVA</v>
      </c>
      <c r="C785" s="39" t="s">
        <v>17</v>
      </c>
      <c r="D785" s="236"/>
      <c r="E785" s="236"/>
      <c r="F785" s="236"/>
      <c r="G785" s="236"/>
      <c r="H785" s="40">
        <f>SUM(Tabla132112410[[#This Row],[PRIMER TRIMESTRE]:[CUARTO TRIMESTRE]])</f>
        <v>0</v>
      </c>
      <c r="I785" s="17">
        <v>25498.09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</row>
    <row r="786" spans="1:14" s="12" customFormat="1" ht="63">
      <c r="A786" s="178" t="s">
        <v>96</v>
      </c>
      <c r="B786" s="73" t="str">
        <f ca="1">+UPPER(Tabla132112410[[#This Row],[DESCRIPCIÓN DE LA COMPRA O CONTRATACIÓN]])</f>
        <v>TRANSFORMADORES 1Ø, 60HZ, SUMERGIDOS EN ACEITE, 7.2/12.47 KV, 240/480V, TIPO POSTE HOMOLGADOS CON IDÉNTICA IMPEDANCIA 25 KVA</v>
      </c>
      <c r="C786" s="39" t="s">
        <v>17</v>
      </c>
      <c r="D786" s="236"/>
      <c r="E786" s="236"/>
      <c r="F786" s="236"/>
      <c r="G786" s="236"/>
      <c r="H786" s="40">
        <f>SUM(Tabla132112410[[#This Row],[PRIMER TRIMESTRE]:[CUARTO TRIMESTRE]])</f>
        <v>0</v>
      </c>
      <c r="I786" s="17">
        <v>37186.82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</row>
    <row r="787" spans="1:14" s="12" customFormat="1" ht="38.25">
      <c r="A787" s="178" t="s">
        <v>96</v>
      </c>
      <c r="B787" s="77" t="s">
        <v>864</v>
      </c>
      <c r="C787" s="39" t="s">
        <v>17</v>
      </c>
      <c r="D787" s="236"/>
      <c r="E787" s="236"/>
      <c r="F787" s="236"/>
      <c r="G787" s="236"/>
      <c r="H787" s="40">
        <f>SUM(Tabla132112410[[#This Row],[PRIMER TRIMESTRE]:[CUARTO TRIMESTRE]])</f>
        <v>0</v>
      </c>
      <c r="I787" s="17">
        <v>44076.54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</row>
    <row r="788" spans="1:14" s="12" customFormat="1" ht="38.25">
      <c r="A788" s="178" t="s">
        <v>96</v>
      </c>
      <c r="B788" s="75" t="s">
        <v>865</v>
      </c>
      <c r="C788" s="39" t="s">
        <v>17</v>
      </c>
      <c r="D788" s="236"/>
      <c r="E788" s="236"/>
      <c r="F788" s="236"/>
      <c r="G788" s="236"/>
      <c r="H788" s="40">
        <f>SUM(Tabla132112410[[#This Row],[PRIMER TRIMESTRE]:[CUARTO TRIMESTRE]])</f>
        <v>0</v>
      </c>
      <c r="I788" s="17">
        <v>54061.7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</row>
    <row r="789" spans="1:14" s="12" customFormat="1" ht="38.25">
      <c r="A789" s="178" t="s">
        <v>96</v>
      </c>
      <c r="B789" s="75" t="s">
        <v>866</v>
      </c>
      <c r="C789" s="39" t="s">
        <v>17</v>
      </c>
      <c r="D789" s="236"/>
      <c r="E789" s="236"/>
      <c r="F789" s="236"/>
      <c r="G789" s="236"/>
      <c r="H789" s="40">
        <f>SUM(Tabla132112410[[#This Row],[PRIMER TRIMESTRE]:[CUARTO TRIMESTRE]])</f>
        <v>0</v>
      </c>
      <c r="I789" s="17">
        <v>81423.539999999994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</row>
    <row r="790" spans="1:14" s="12" customFormat="1" ht="63">
      <c r="A790" s="178" t="s">
        <v>96</v>
      </c>
      <c r="B790" s="16" t="str">
        <f ca="1">+UPPER(Tabla132112410[[#This Row],[DESCRIPCIÓN DE LA COMPRA O CONTRATACIÓN]])</f>
        <v>TRANSFORMADORES 1Ø, 60HZ, SUMERGIDOS EN ACEITE, 7.2/12.47 KV, 240/480V, TIPO POSTE HOMOLGADOS CON IDÉNTICA IMPEDANCIA 100 KVA</v>
      </c>
      <c r="C790" s="39" t="s">
        <v>17</v>
      </c>
      <c r="D790" s="236"/>
      <c r="E790" s="236"/>
      <c r="F790" s="236"/>
      <c r="G790" s="236"/>
      <c r="H790" s="40">
        <f>SUM(Tabla132112410[[#This Row],[PRIMER TRIMESTRE]:[CUARTO TRIMESTRE]])</f>
        <v>0</v>
      </c>
      <c r="I790" s="17">
        <v>108938.74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</row>
    <row r="791" spans="1:14" s="12" customFormat="1" ht="38.25">
      <c r="A791" s="178" t="s">
        <v>96</v>
      </c>
      <c r="B791" s="75" t="s">
        <v>867</v>
      </c>
      <c r="C791" s="39" t="s">
        <v>17</v>
      </c>
      <c r="D791" s="236"/>
      <c r="E791" s="236"/>
      <c r="F791" s="236"/>
      <c r="G791" s="236"/>
      <c r="H791" s="40">
        <f>SUM(Tabla132112410[[#This Row],[PRIMER TRIMESTRE]:[CUARTO TRIMESTRE]])</f>
        <v>0</v>
      </c>
      <c r="I791" s="17">
        <v>160529.56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</row>
    <row r="792" spans="1:14" s="12" customFormat="1" ht="38.25">
      <c r="A792" s="178" t="s">
        <v>96</v>
      </c>
      <c r="B792" s="75" t="s">
        <v>871</v>
      </c>
      <c r="C792" s="39" t="s">
        <v>17</v>
      </c>
      <c r="D792" s="236"/>
      <c r="E792" s="236"/>
      <c r="F792" s="236"/>
      <c r="G792" s="236"/>
      <c r="H792" s="40">
        <f>SUM(Tabla132112410[[#This Row],[PRIMER TRIMESTRE]:[CUARTO TRIMESTRE]])</f>
        <v>0</v>
      </c>
      <c r="I792" s="17">
        <v>2995.96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</row>
    <row r="793" spans="1:14" s="12" customFormat="1" ht="38.25">
      <c r="A793" s="178" t="s">
        <v>96</v>
      </c>
      <c r="B793" s="75" t="s">
        <v>872</v>
      </c>
      <c r="C793" s="39" t="s">
        <v>17</v>
      </c>
      <c r="D793" s="236"/>
      <c r="E793" s="236"/>
      <c r="F793" s="236"/>
      <c r="G793" s="236"/>
      <c r="H793" s="40">
        <f>SUM(Tabla132112410[[#This Row],[PRIMER TRIMESTRE]:[CUARTO TRIMESTRE]])</f>
        <v>0</v>
      </c>
      <c r="I793" s="17">
        <v>3986.24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</row>
    <row r="794" spans="1:14" s="12" customFormat="1" ht="38.25">
      <c r="A794" s="178" t="s">
        <v>96</v>
      </c>
      <c r="B794" s="75" t="s">
        <v>873</v>
      </c>
      <c r="C794" s="39" t="s">
        <v>17</v>
      </c>
      <c r="D794" s="236"/>
      <c r="E794" s="236"/>
      <c r="F794" s="236"/>
      <c r="G794" s="236"/>
      <c r="H794" s="40">
        <f>SUM(Tabla132112410[[#This Row],[PRIMER TRIMESTRE]:[CUARTO TRIMESTRE]])</f>
        <v>0</v>
      </c>
      <c r="I794" s="17">
        <v>6982.2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</row>
    <row r="795" spans="1:14" s="12" customFormat="1" ht="30">
      <c r="A795" s="178" t="s">
        <v>96</v>
      </c>
      <c r="B795" s="75" t="s">
        <v>1437</v>
      </c>
      <c r="C795" s="39" t="s">
        <v>1438</v>
      </c>
      <c r="D795" s="236"/>
      <c r="E795" s="236"/>
      <c r="F795" s="236"/>
      <c r="G795" s="236"/>
      <c r="H795" s="40">
        <f>SUM(Tabla132112410[[#This Row],[PRIMER TRIMESTRE]:[CUARTO TRIMESTRE]])</f>
        <v>0</v>
      </c>
      <c r="I795" s="17">
        <v>554145.56999999995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</row>
    <row r="796" spans="1:14" s="12" customFormat="1" ht="30">
      <c r="A796" s="178" t="s">
        <v>96</v>
      </c>
      <c r="B796" s="75" t="s">
        <v>1450</v>
      </c>
      <c r="C796" s="39" t="s">
        <v>17</v>
      </c>
      <c r="D796" s="236"/>
      <c r="E796" s="236"/>
      <c r="F796" s="236"/>
      <c r="G796" s="236"/>
      <c r="H796" s="40">
        <f>SUM(Tabla132112410[[#This Row],[PRIMER TRIMESTRE]:[CUARTO TRIMESTRE]])</f>
        <v>0</v>
      </c>
      <c r="I796" s="17">
        <v>6950.29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</row>
    <row r="797" spans="1:14" s="12" customFormat="1" ht="30">
      <c r="A797" s="178" t="s">
        <v>96</v>
      </c>
      <c r="B797" s="75" t="s">
        <v>1524</v>
      </c>
      <c r="C797" s="39" t="s">
        <v>17</v>
      </c>
      <c r="D797" s="236"/>
      <c r="E797" s="236"/>
      <c r="F797" s="236"/>
      <c r="G797" s="236"/>
      <c r="H797" s="236">
        <f>SUM(Tabla132112410[[#This Row],[PRIMER TRIMESTRE]:[CUARTO TRIMESTRE]])</f>
        <v>0</v>
      </c>
      <c r="I797" s="17">
        <v>38300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</row>
    <row r="798" spans="1:14" s="12" customFormat="1" ht="30">
      <c r="A798" s="178" t="s">
        <v>96</v>
      </c>
      <c r="B798" s="75" t="s">
        <v>1728</v>
      </c>
      <c r="C798" s="39" t="s">
        <v>17</v>
      </c>
      <c r="D798" s="236"/>
      <c r="E798" s="236"/>
      <c r="F798" s="236"/>
      <c r="G798" s="236"/>
      <c r="H798" s="40">
        <v>0</v>
      </c>
      <c r="I798" s="17">
        <v>0</v>
      </c>
      <c r="J798" s="17">
        <v>0</v>
      </c>
      <c r="K798" s="17"/>
      <c r="L798" s="16" t="s">
        <v>18</v>
      </c>
      <c r="M798" s="16" t="s">
        <v>22</v>
      </c>
      <c r="N798" s="39"/>
    </row>
    <row r="799" spans="1:14" s="12" customFormat="1" ht="63.75">
      <c r="A799" s="178" t="s">
        <v>96</v>
      </c>
      <c r="B799" s="75" t="s">
        <v>1525</v>
      </c>
      <c r="C799" s="39" t="s">
        <v>17</v>
      </c>
      <c r="D799" s="236"/>
      <c r="E799" s="236"/>
      <c r="F799" s="236"/>
      <c r="G799" s="236"/>
      <c r="H799" s="236">
        <f>SUM(Tabla132112410[[#This Row],[PRIMER TRIMESTRE]:[CUARTO TRIMESTRE]])</f>
        <v>0</v>
      </c>
      <c r="I799" s="17">
        <v>251461</v>
      </c>
      <c r="J799" s="17">
        <f t="shared" si="21"/>
        <v>0</v>
      </c>
      <c r="K799" s="17"/>
      <c r="L799" s="16" t="s">
        <v>18</v>
      </c>
      <c r="M799" s="16" t="s">
        <v>22</v>
      </c>
      <c r="N799" s="39"/>
    </row>
    <row r="800" spans="1:14" s="12" customFormat="1" ht="30">
      <c r="A800" s="178" t="s">
        <v>96</v>
      </c>
      <c r="B800" s="75" t="s">
        <v>1523</v>
      </c>
      <c r="C800" s="39" t="s">
        <v>17</v>
      </c>
      <c r="D800" s="236"/>
      <c r="E800" s="236"/>
      <c r="F800" s="236"/>
      <c r="G800" s="236"/>
      <c r="H800" s="236">
        <f>SUM(Tabla132112410[[#This Row],[PRIMER TRIMESTRE]:[CUARTO TRIMESTRE]])</f>
        <v>0</v>
      </c>
      <c r="I800" s="17">
        <v>11200</v>
      </c>
      <c r="J800" s="17">
        <f t="shared" si="21"/>
        <v>0</v>
      </c>
      <c r="K800" s="17"/>
      <c r="L800" s="16" t="s">
        <v>18</v>
      </c>
      <c r="M800" s="16" t="s">
        <v>22</v>
      </c>
      <c r="N800" s="39"/>
    </row>
    <row r="801" spans="1:14" s="12" customFormat="1" ht="30">
      <c r="A801" s="178" t="s">
        <v>96</v>
      </c>
      <c r="B801" s="75" t="s">
        <v>1758</v>
      </c>
      <c r="C801" s="39" t="s">
        <v>17</v>
      </c>
      <c r="D801" s="236"/>
      <c r="E801" s="236"/>
      <c r="F801" s="236"/>
      <c r="G801" s="236"/>
      <c r="H801" s="40">
        <v>0</v>
      </c>
      <c r="I801" s="17">
        <v>0</v>
      </c>
      <c r="J801" s="17">
        <v>0</v>
      </c>
      <c r="K801" s="17"/>
      <c r="L801" s="16" t="s">
        <v>18</v>
      </c>
      <c r="M801" s="16" t="s">
        <v>22</v>
      </c>
      <c r="N801" s="39"/>
    </row>
    <row r="802" spans="1:14" s="12" customFormat="1" ht="30">
      <c r="A802" s="178" t="s">
        <v>96</v>
      </c>
      <c r="B802" s="75" t="s">
        <v>1510</v>
      </c>
      <c r="C802" s="39" t="s">
        <v>17</v>
      </c>
      <c r="D802" s="236"/>
      <c r="E802" s="236"/>
      <c r="F802" s="236"/>
      <c r="G802" s="236"/>
      <c r="H802" s="236">
        <f>SUM(Tabla132112410[[#This Row],[PRIMER TRIMESTRE]:[CUARTO TRIMESTRE]])</f>
        <v>0</v>
      </c>
      <c r="I802" s="17">
        <v>250</v>
      </c>
      <c r="J802" s="17">
        <f t="shared" si="21"/>
        <v>0</v>
      </c>
      <c r="K802" s="17"/>
      <c r="L802" s="16" t="s">
        <v>18</v>
      </c>
      <c r="M802" s="16" t="s">
        <v>22</v>
      </c>
      <c r="N802" s="39"/>
    </row>
    <row r="803" spans="1:14" s="12" customFormat="1" ht="30">
      <c r="A803" s="178" t="s">
        <v>96</v>
      </c>
      <c r="B803" s="75" t="s">
        <v>1611</v>
      </c>
      <c r="C803" s="39" t="s">
        <v>17</v>
      </c>
      <c r="D803" s="236"/>
      <c r="E803" s="236"/>
      <c r="F803" s="236"/>
      <c r="G803" s="236"/>
      <c r="H803" s="236">
        <f>SUM(Tabla132112410[[#This Row],[PRIMER TRIMESTRE]:[CUARTO TRIMESTRE]])</f>
        <v>0</v>
      </c>
      <c r="I803" s="17">
        <v>36000</v>
      </c>
      <c r="J803" s="17">
        <f t="shared" si="21"/>
        <v>0</v>
      </c>
      <c r="K803" s="17"/>
      <c r="L803" s="16" t="s">
        <v>18</v>
      </c>
      <c r="M803" s="16" t="s">
        <v>22</v>
      </c>
      <c r="N803" s="39"/>
    </row>
    <row r="804" spans="1:14" s="12" customFormat="1" ht="30">
      <c r="A804" s="178" t="s">
        <v>96</v>
      </c>
      <c r="B804" s="75" t="s">
        <v>1714</v>
      </c>
      <c r="C804" s="39" t="s">
        <v>17</v>
      </c>
      <c r="D804" s="236"/>
      <c r="E804" s="236"/>
      <c r="F804" s="236"/>
      <c r="G804" s="236"/>
      <c r="H804" s="40">
        <v>0</v>
      </c>
      <c r="I804" s="17">
        <v>0</v>
      </c>
      <c r="J804" s="17">
        <v>0</v>
      </c>
      <c r="K804" s="17"/>
      <c r="L804" s="16" t="s">
        <v>18</v>
      </c>
      <c r="M804" s="16" t="s">
        <v>22</v>
      </c>
      <c r="N804" s="39"/>
    </row>
    <row r="805" spans="1:14" s="12" customFormat="1" ht="30">
      <c r="A805" s="178" t="s">
        <v>96</v>
      </c>
      <c r="B805" s="75" t="s">
        <v>1744</v>
      </c>
      <c r="C805" s="39" t="s">
        <v>17</v>
      </c>
      <c r="D805" s="236"/>
      <c r="E805" s="236"/>
      <c r="F805" s="236"/>
      <c r="G805" s="236"/>
      <c r="H805" s="40">
        <v>0</v>
      </c>
      <c r="I805" s="17">
        <v>6950</v>
      </c>
      <c r="J805" s="17">
        <f>Tabla132112410[[#This Row],[PRECIO UNITARIO ESTIMADO]]*Tabla132112410[[#This Row],[CANTIDAD TOTAL]]</f>
        <v>0</v>
      </c>
      <c r="K805" s="17"/>
      <c r="L805" s="16" t="s">
        <v>18</v>
      </c>
      <c r="M805" s="16" t="s">
        <v>22</v>
      </c>
      <c r="N805" s="39"/>
    </row>
    <row r="806" spans="1:14" s="26" customFormat="1" ht="30">
      <c r="A806" s="178" t="s">
        <v>96</v>
      </c>
      <c r="B806" s="75" t="s">
        <v>1521</v>
      </c>
      <c r="C806" s="39" t="s">
        <v>17</v>
      </c>
      <c r="D806" s="236"/>
      <c r="E806" s="236"/>
      <c r="F806" s="236"/>
      <c r="G806" s="236"/>
      <c r="H806" s="236">
        <f>SUM(Tabla132112410[[#This Row],[PRIMER TRIMESTRE]:[CUARTO TRIMESTRE]])</f>
        <v>0</v>
      </c>
      <c r="I806" s="17">
        <v>109000</v>
      </c>
      <c r="J806" s="17">
        <f t="shared" si="21"/>
        <v>0</v>
      </c>
      <c r="K806" s="17"/>
      <c r="L806" s="16" t="s">
        <v>18</v>
      </c>
      <c r="M806" s="16" t="s">
        <v>22</v>
      </c>
      <c r="N806" s="39"/>
    </row>
    <row r="807" spans="1:14" s="12" customFormat="1" ht="30">
      <c r="A807" s="178" t="s">
        <v>96</v>
      </c>
      <c r="B807" s="75" t="s">
        <v>1522</v>
      </c>
      <c r="C807" s="39" t="s">
        <v>17</v>
      </c>
      <c r="D807" s="236"/>
      <c r="E807" s="236"/>
      <c r="F807" s="236"/>
      <c r="G807" s="236"/>
      <c r="H807" s="236">
        <f>SUM(Tabla132112410[[#This Row],[PRIMER TRIMESTRE]:[CUARTO TRIMESTRE]])</f>
        <v>0</v>
      </c>
      <c r="I807" s="17">
        <v>2760</v>
      </c>
      <c r="J807" s="17">
        <f t="shared" si="21"/>
        <v>0</v>
      </c>
      <c r="K807" s="17"/>
      <c r="L807" s="16" t="s">
        <v>18</v>
      </c>
      <c r="M807" s="16" t="s">
        <v>22</v>
      </c>
      <c r="N807" s="39"/>
    </row>
    <row r="808" spans="1:14" s="12" customFormat="1" ht="31.5">
      <c r="A808" s="287" t="s">
        <v>96</v>
      </c>
      <c r="B808" s="76"/>
      <c r="C808" s="42"/>
      <c r="D808" s="237"/>
      <c r="E808" s="237"/>
      <c r="F808" s="237"/>
      <c r="G808" s="237"/>
      <c r="H808" s="43"/>
      <c r="I808" s="24"/>
      <c r="J808" s="24"/>
      <c r="K808" s="25">
        <f>SUM(J605:J807)</f>
        <v>0</v>
      </c>
      <c r="L808" s="23"/>
      <c r="M808" s="23"/>
      <c r="N808" s="42"/>
    </row>
    <row r="809" spans="1:14" s="12" customFormat="1" ht="25.5">
      <c r="A809" s="178" t="s">
        <v>97</v>
      </c>
      <c r="B809" s="75" t="s">
        <v>1855</v>
      </c>
      <c r="C809" s="39" t="s">
        <v>17</v>
      </c>
      <c r="D809" s="412"/>
      <c r="E809" s="412"/>
      <c r="F809" s="412"/>
      <c r="G809" s="412"/>
      <c r="H809" s="412">
        <v>0</v>
      </c>
      <c r="I809" s="17">
        <v>0</v>
      </c>
      <c r="J809" s="17">
        <v>0</v>
      </c>
      <c r="K809" s="286"/>
      <c r="L809" s="16" t="s">
        <v>18</v>
      </c>
      <c r="M809" s="16" t="s">
        <v>22</v>
      </c>
      <c r="N809" s="39"/>
    </row>
    <row r="810" spans="1:14" s="12" customFormat="1" ht="25.5">
      <c r="A810" s="178" t="s">
        <v>97</v>
      </c>
      <c r="B810" s="75" t="s">
        <v>1681</v>
      </c>
      <c r="C810" s="39" t="s">
        <v>17</v>
      </c>
      <c r="D810" s="236"/>
      <c r="E810" s="236"/>
      <c r="F810" s="236"/>
      <c r="G810" s="236"/>
      <c r="H810" s="40">
        <v>0</v>
      </c>
      <c r="I810" s="17">
        <v>0</v>
      </c>
      <c r="J810" s="17">
        <v>0</v>
      </c>
      <c r="K810" s="17"/>
      <c r="L810" s="16" t="s">
        <v>18</v>
      </c>
      <c r="M810" s="16" t="s">
        <v>22</v>
      </c>
      <c r="N810" s="39"/>
    </row>
    <row r="811" spans="1:14" s="12" customFormat="1" ht="18">
      <c r="A811" s="178" t="s">
        <v>97</v>
      </c>
      <c r="B811" s="75" t="s">
        <v>227</v>
      </c>
      <c r="C811" s="39" t="s">
        <v>17</v>
      </c>
      <c r="D811" s="236"/>
      <c r="E811" s="236"/>
      <c r="F811" s="236"/>
      <c r="G811" s="236"/>
      <c r="H811" s="40">
        <f>SUM(Tabla132112410[[#This Row],[PRIMER TRIMESTRE]:[CUARTO TRIMESTRE]])</f>
        <v>0</v>
      </c>
      <c r="I811" s="17">
        <v>110.2</v>
      </c>
      <c r="J811" s="17">
        <f>+Tabla132112410[[#This Row],[CANTIDAD TOTAL]]*Tabla132112410[[#This Row],[PRECIO UNITARIO ESTIMADO]]</f>
        <v>0</v>
      </c>
      <c r="K811" s="17"/>
      <c r="L811" s="16" t="s">
        <v>18</v>
      </c>
      <c r="M811" s="16" t="s">
        <v>22</v>
      </c>
      <c r="N811" s="39"/>
    </row>
    <row r="812" spans="1:14" s="12" customFormat="1" ht="18">
      <c r="A812" s="178" t="s">
        <v>97</v>
      </c>
      <c r="B812" s="75" t="s">
        <v>1235</v>
      </c>
      <c r="C812" s="39" t="s">
        <v>17</v>
      </c>
      <c r="D812" s="236"/>
      <c r="E812" s="236"/>
      <c r="F812" s="236"/>
      <c r="G812" s="236"/>
      <c r="H812" s="40">
        <f>SUM(Tabla132112410[[#This Row],[PRIMER TRIMESTRE]:[CUARTO TRIMESTRE]])</f>
        <v>0</v>
      </c>
      <c r="I812" s="17">
        <v>156.5</v>
      </c>
      <c r="J812" s="17">
        <f t="shared" ref="J812:J819" si="22">+H812*I812</f>
        <v>0</v>
      </c>
      <c r="K812" s="17"/>
      <c r="L812" s="16" t="s">
        <v>18</v>
      </c>
      <c r="M812" s="16" t="s">
        <v>22</v>
      </c>
      <c r="N812" s="39"/>
    </row>
    <row r="813" spans="1:14" s="12" customFormat="1" ht="18">
      <c r="A813" s="178" t="s">
        <v>97</v>
      </c>
      <c r="B813" s="75" t="s">
        <v>1236</v>
      </c>
      <c r="C813" s="39" t="s">
        <v>17</v>
      </c>
      <c r="D813" s="236"/>
      <c r="E813" s="236"/>
      <c r="F813" s="236"/>
      <c r="G813" s="236"/>
      <c r="H813" s="40">
        <f>SUM(Tabla132112410[[#This Row],[PRIMER TRIMESTRE]:[CUARTO TRIMESTRE]])</f>
        <v>0</v>
      </c>
      <c r="I813" s="17">
        <v>156.5</v>
      </c>
      <c r="J813" s="17">
        <f t="shared" si="22"/>
        <v>0</v>
      </c>
      <c r="K813" s="17"/>
      <c r="L813" s="16" t="s">
        <v>18</v>
      </c>
      <c r="M813" s="16" t="s">
        <v>22</v>
      </c>
      <c r="N813" s="39"/>
    </row>
    <row r="814" spans="1:14" s="12" customFormat="1" ht="18">
      <c r="A814" s="178" t="s">
        <v>97</v>
      </c>
      <c r="B814" s="75" t="s">
        <v>1334</v>
      </c>
      <c r="C814" s="39" t="s">
        <v>17</v>
      </c>
      <c r="D814" s="236"/>
      <c r="E814" s="236"/>
      <c r="F814" s="236"/>
      <c r="G814" s="236"/>
      <c r="H814" s="40">
        <f>SUM(Tabla132112410[[#This Row],[PRIMER TRIMESTRE]:[CUARTO TRIMESTRE]])</f>
        <v>0</v>
      </c>
      <c r="I814" s="17">
        <v>387.04</v>
      </c>
      <c r="J814" s="17">
        <f t="shared" si="22"/>
        <v>0</v>
      </c>
      <c r="K814" s="17"/>
      <c r="L814" s="16" t="s">
        <v>18</v>
      </c>
      <c r="M814" s="16" t="s">
        <v>22</v>
      </c>
      <c r="N814" s="39"/>
    </row>
    <row r="815" spans="1:14" s="12" customFormat="1" ht="18">
      <c r="A815" s="178" t="s">
        <v>97</v>
      </c>
      <c r="B815" s="75" t="s">
        <v>1237</v>
      </c>
      <c r="C815" s="39" t="s">
        <v>17</v>
      </c>
      <c r="D815" s="236"/>
      <c r="E815" s="236"/>
      <c r="F815" s="236"/>
      <c r="G815" s="236"/>
      <c r="H815" s="40">
        <f>SUM(Tabla132112410[[#This Row],[PRIMER TRIMESTRE]:[CUARTO TRIMESTRE]])</f>
        <v>0</v>
      </c>
      <c r="I815" s="17">
        <v>35000</v>
      </c>
      <c r="J815" s="17">
        <f t="shared" si="22"/>
        <v>0</v>
      </c>
      <c r="K815" s="17"/>
      <c r="L815" s="16" t="s">
        <v>18</v>
      </c>
      <c r="M815" s="16" t="s">
        <v>22</v>
      </c>
      <c r="N815" s="39"/>
    </row>
    <row r="816" spans="1:14" s="12" customFormat="1" ht="18">
      <c r="A816" s="178" t="s">
        <v>97</v>
      </c>
      <c r="B816" s="75" t="s">
        <v>1713</v>
      </c>
      <c r="C816" s="39" t="s">
        <v>17</v>
      </c>
      <c r="D816" s="236"/>
      <c r="E816" s="236"/>
      <c r="F816" s="236"/>
      <c r="G816" s="236"/>
      <c r="H816" s="40">
        <v>0</v>
      </c>
      <c r="I816" s="17">
        <v>0</v>
      </c>
      <c r="J816" s="17">
        <v>0</v>
      </c>
      <c r="K816" s="17"/>
      <c r="L816" s="16" t="s">
        <v>18</v>
      </c>
      <c r="M816" s="16" t="s">
        <v>22</v>
      </c>
      <c r="N816" s="39"/>
    </row>
    <row r="817" spans="1:14" s="12" customFormat="1" ht="18">
      <c r="A817" s="178" t="s">
        <v>97</v>
      </c>
      <c r="B817" s="75" t="s">
        <v>572</v>
      </c>
      <c r="C817" s="39" t="s">
        <v>17</v>
      </c>
      <c r="D817" s="236"/>
      <c r="E817" s="236"/>
      <c r="F817" s="236"/>
      <c r="G817" s="236"/>
      <c r="H817" s="40">
        <f>SUM(Tabla132112410[[#This Row],[PRIMER TRIMESTRE]:[CUARTO TRIMESTRE]])</f>
        <v>0</v>
      </c>
      <c r="I817" s="17">
        <v>25000</v>
      </c>
      <c r="J817" s="17">
        <f t="shared" si="22"/>
        <v>0</v>
      </c>
      <c r="K817" s="17"/>
      <c r="L817" s="16" t="s">
        <v>18</v>
      </c>
      <c r="M817" s="16" t="s">
        <v>22</v>
      </c>
      <c r="N817" s="39"/>
    </row>
    <row r="818" spans="1:14" s="12" customFormat="1" ht="18">
      <c r="A818" s="178" t="s">
        <v>97</v>
      </c>
      <c r="B818" s="75" t="s">
        <v>1238</v>
      </c>
      <c r="C818" s="39" t="s">
        <v>17</v>
      </c>
      <c r="D818" s="236"/>
      <c r="E818" s="236"/>
      <c r="F818" s="236"/>
      <c r="G818" s="236"/>
      <c r="H818" s="40">
        <f>SUM(Tabla132112410[[#This Row],[PRIMER TRIMESTRE]:[CUARTO TRIMESTRE]])</f>
        <v>0</v>
      </c>
      <c r="I818" s="17">
        <v>25000</v>
      </c>
      <c r="J818" s="17">
        <f t="shared" si="22"/>
        <v>0</v>
      </c>
      <c r="K818" s="17"/>
      <c r="L818" s="16" t="s">
        <v>18</v>
      </c>
      <c r="M818" s="16" t="s">
        <v>22</v>
      </c>
      <c r="N818" s="39"/>
    </row>
    <row r="819" spans="1:14" s="12" customFormat="1" ht="18">
      <c r="A819" s="178" t="s">
        <v>97</v>
      </c>
      <c r="B819" s="75" t="s">
        <v>1239</v>
      </c>
      <c r="C819" s="39" t="s">
        <v>17</v>
      </c>
      <c r="D819" s="236"/>
      <c r="E819" s="236"/>
      <c r="F819" s="236"/>
      <c r="G819" s="236"/>
      <c r="H819" s="40">
        <f>SUM(Tabla132112410[[#This Row],[PRIMER TRIMESTRE]:[CUARTO TRIMESTRE]])</f>
        <v>0</v>
      </c>
      <c r="I819" s="17">
        <v>25000</v>
      </c>
      <c r="J819" s="17">
        <f t="shared" si="22"/>
        <v>0</v>
      </c>
      <c r="K819" s="17"/>
      <c r="L819" s="16" t="s">
        <v>18</v>
      </c>
      <c r="M819" s="16" t="s">
        <v>22</v>
      </c>
      <c r="N819" s="39"/>
    </row>
    <row r="820" spans="1:14" s="12" customFormat="1" ht="25.5">
      <c r="A820" s="178" t="s">
        <v>97</v>
      </c>
      <c r="B820" s="75" t="s">
        <v>220</v>
      </c>
      <c r="C820" s="39" t="s">
        <v>17</v>
      </c>
      <c r="D820" s="236"/>
      <c r="E820" s="236"/>
      <c r="F820" s="236"/>
      <c r="G820" s="236"/>
      <c r="H820" s="40">
        <f>SUM(Tabla132112410[[#This Row],[PRIMER TRIMESTRE]:[CUARTO TRIMESTRE]])</f>
        <v>0</v>
      </c>
      <c r="I820" s="17">
        <v>40165</v>
      </c>
      <c r="J820" s="17">
        <f>+Tabla132112410[[#This Row],[CANTIDAD TOTAL]]*Tabla132112410[[#This Row],[PRECIO UNITARIO ESTIMADO]]</f>
        <v>0</v>
      </c>
      <c r="K820" s="17"/>
      <c r="L820" s="16" t="s">
        <v>18</v>
      </c>
      <c r="M820" s="16" t="s">
        <v>22</v>
      </c>
      <c r="N820" s="39"/>
    </row>
    <row r="821" spans="1:14" s="12" customFormat="1" ht="18">
      <c r="A821" s="178" t="s">
        <v>97</v>
      </c>
      <c r="B821" s="75" t="s">
        <v>213</v>
      </c>
      <c r="C821" s="39" t="s">
        <v>17</v>
      </c>
      <c r="D821" s="236"/>
      <c r="E821" s="236"/>
      <c r="F821" s="236"/>
      <c r="G821" s="236"/>
      <c r="H821" s="40">
        <f>SUM(Tabla132112410[[#This Row],[PRIMER TRIMESTRE]:[CUARTO TRIMESTRE]])</f>
        <v>0</v>
      </c>
      <c r="I821" s="17">
        <v>30999.38</v>
      </c>
      <c r="J821" s="17">
        <f>+Tabla132112410[[#This Row],[CANTIDAD TOTAL]]*Tabla132112410[[#This Row],[PRECIO UNITARIO ESTIMADO]]</f>
        <v>0</v>
      </c>
      <c r="K821" s="17"/>
      <c r="L821" s="16" t="s">
        <v>18</v>
      </c>
      <c r="M821" s="16" t="s">
        <v>22</v>
      </c>
      <c r="N821" s="39"/>
    </row>
    <row r="822" spans="1:14" s="12" customFormat="1" ht="18">
      <c r="A822" s="178" t="s">
        <v>97</v>
      </c>
      <c r="B822" s="75" t="s">
        <v>226</v>
      </c>
      <c r="C822" s="39" t="s">
        <v>17</v>
      </c>
      <c r="D822" s="236"/>
      <c r="E822" s="236"/>
      <c r="F822" s="236"/>
      <c r="G822" s="236"/>
      <c r="H822" s="40">
        <f>SUM(Tabla132112410[[#This Row],[PRIMER TRIMESTRE]:[CUARTO TRIMESTRE]])</f>
        <v>0</v>
      </c>
      <c r="I822" s="17">
        <v>14929.2</v>
      </c>
      <c r="J822" s="17">
        <f>+Tabla132112410[[#This Row],[CANTIDAD TOTAL]]*Tabla132112410[[#This Row],[PRECIO UNITARIO ESTIMADO]]</f>
        <v>0</v>
      </c>
      <c r="K822" s="17"/>
      <c r="L822" s="16" t="s">
        <v>18</v>
      </c>
      <c r="M822" s="16" t="s">
        <v>22</v>
      </c>
      <c r="N822" s="39"/>
    </row>
    <row r="823" spans="1:14" s="12" customFormat="1" ht="38.25">
      <c r="A823" s="178" t="s">
        <v>97</v>
      </c>
      <c r="B823" s="75" t="s">
        <v>1696</v>
      </c>
      <c r="C823" s="39" t="s">
        <v>17</v>
      </c>
      <c r="D823" s="236"/>
      <c r="E823" s="236"/>
      <c r="F823" s="236"/>
      <c r="G823" s="236"/>
      <c r="H823" s="40">
        <v>0</v>
      </c>
      <c r="I823" s="17">
        <v>0</v>
      </c>
      <c r="J823" s="17">
        <v>0</v>
      </c>
      <c r="K823" s="17"/>
      <c r="L823" s="16" t="s">
        <v>18</v>
      </c>
      <c r="M823" s="16" t="s">
        <v>22</v>
      </c>
      <c r="N823" s="39"/>
    </row>
    <row r="824" spans="1:14" s="12" customFormat="1" ht="38.25">
      <c r="A824" s="178" t="s">
        <v>97</v>
      </c>
      <c r="B824" s="75" t="s">
        <v>1697</v>
      </c>
      <c r="C824" s="39" t="s">
        <v>17</v>
      </c>
      <c r="D824" s="236"/>
      <c r="E824" s="236"/>
      <c r="F824" s="236"/>
      <c r="G824" s="236"/>
      <c r="H824" s="40">
        <v>0</v>
      </c>
      <c r="I824" s="17">
        <v>0</v>
      </c>
      <c r="J824" s="17">
        <v>0</v>
      </c>
      <c r="K824" s="17"/>
      <c r="L824" s="16" t="s">
        <v>18</v>
      </c>
      <c r="M824" s="16" t="s">
        <v>22</v>
      </c>
      <c r="N824" s="39"/>
    </row>
    <row r="825" spans="1:14" s="12" customFormat="1" ht="51">
      <c r="A825" s="178" t="s">
        <v>97</v>
      </c>
      <c r="B825" s="75" t="s">
        <v>1698</v>
      </c>
      <c r="C825" s="39" t="s">
        <v>17</v>
      </c>
      <c r="D825" s="236"/>
      <c r="E825" s="236"/>
      <c r="F825" s="236"/>
      <c r="G825" s="236"/>
      <c r="H825" s="40">
        <v>0</v>
      </c>
      <c r="I825" s="17">
        <v>0</v>
      </c>
      <c r="J825" s="17">
        <v>0</v>
      </c>
      <c r="K825" s="17"/>
      <c r="L825" s="16" t="s">
        <v>18</v>
      </c>
      <c r="M825" s="16" t="s">
        <v>22</v>
      </c>
      <c r="N825" s="39"/>
    </row>
    <row r="826" spans="1:14" s="12" customFormat="1" ht="18">
      <c r="A826" s="178" t="s">
        <v>97</v>
      </c>
      <c r="B826" s="75" t="s">
        <v>212</v>
      </c>
      <c r="C826" s="39" t="s">
        <v>17</v>
      </c>
      <c r="D826" s="236"/>
      <c r="E826" s="236"/>
      <c r="F826" s="236"/>
      <c r="G826" s="236"/>
      <c r="H826" s="40">
        <f>SUM(Tabla132112410[[#This Row],[PRIMER TRIMESTRE]:[CUARTO TRIMESTRE]])</f>
        <v>0</v>
      </c>
      <c r="I826" s="17">
        <v>280500</v>
      </c>
      <c r="J826" s="17">
        <f>+Tabla132112410[[#This Row],[CANTIDAD TOTAL]]*Tabla132112410[[#This Row],[PRECIO UNITARIO ESTIMADO]]</f>
        <v>0</v>
      </c>
      <c r="K826" s="17"/>
      <c r="L826" s="16" t="s">
        <v>18</v>
      </c>
      <c r="M826" s="16" t="s">
        <v>22</v>
      </c>
      <c r="N826" s="39"/>
    </row>
    <row r="827" spans="1:14" s="12" customFormat="1" ht="18">
      <c r="A827" s="178" t="s">
        <v>97</v>
      </c>
      <c r="B827" s="75" t="s">
        <v>214</v>
      </c>
      <c r="C827" s="39" t="s">
        <v>17</v>
      </c>
      <c r="D827" s="236"/>
      <c r="E827" s="236"/>
      <c r="F827" s="236"/>
      <c r="G827" s="236"/>
      <c r="H827" s="40">
        <f>SUM(Tabla132112410[[#This Row],[PRIMER TRIMESTRE]:[CUARTO TRIMESTRE]])</f>
        <v>0</v>
      </c>
      <c r="I827" s="17">
        <v>62762.6</v>
      </c>
      <c r="J827" s="17">
        <f>+Tabla132112410[[#This Row],[CANTIDAD TOTAL]]*Tabla132112410[[#This Row],[PRECIO UNITARIO ESTIMADO]]</f>
        <v>0</v>
      </c>
      <c r="K827" s="17"/>
      <c r="L827" s="16" t="s">
        <v>18</v>
      </c>
      <c r="M827" s="16" t="s">
        <v>22</v>
      </c>
      <c r="N827" s="39"/>
    </row>
    <row r="828" spans="1:14" s="12" customFormat="1" ht="18">
      <c r="A828" s="178" t="s">
        <v>97</v>
      </c>
      <c r="B828" s="75" t="s">
        <v>215</v>
      </c>
      <c r="C828" s="39" t="s">
        <v>17</v>
      </c>
      <c r="D828" s="236"/>
      <c r="E828" s="236"/>
      <c r="F828" s="236"/>
      <c r="G828" s="236"/>
      <c r="H828" s="40">
        <f>SUM(Tabla132112410[[#This Row],[PRIMER TRIMESTRE]:[CUARTO TRIMESTRE]])</f>
        <v>0</v>
      </c>
      <c r="I828" s="17">
        <v>14453.6</v>
      </c>
      <c r="J828" s="17">
        <f>+Tabla132112410[[#This Row],[CANTIDAD TOTAL]]*Tabla132112410[[#This Row],[PRECIO UNITARIO ESTIMADO]]</f>
        <v>0</v>
      </c>
      <c r="K828" s="17"/>
      <c r="L828" s="16" t="s">
        <v>18</v>
      </c>
      <c r="M828" s="16" t="s">
        <v>22</v>
      </c>
      <c r="N828" s="39"/>
    </row>
    <row r="829" spans="1:14" s="12" customFormat="1" ht="18">
      <c r="A829" s="178" t="s">
        <v>97</v>
      </c>
      <c r="B829" s="75" t="s">
        <v>216</v>
      </c>
      <c r="C829" s="39" t="s">
        <v>17</v>
      </c>
      <c r="D829" s="236"/>
      <c r="E829" s="236"/>
      <c r="F829" s="236"/>
      <c r="G829" s="236"/>
      <c r="H829" s="40">
        <f>SUM(Tabla132112410[[#This Row],[PRIMER TRIMESTRE]:[CUARTO TRIMESTRE]])</f>
        <v>0</v>
      </c>
      <c r="I829" s="17">
        <v>58701.8</v>
      </c>
      <c r="J829" s="17">
        <f>+Tabla132112410[[#This Row],[CANTIDAD TOTAL]]*Tabla132112410[[#This Row],[PRECIO UNITARIO ESTIMADO]]</f>
        <v>0</v>
      </c>
      <c r="K829" s="17"/>
      <c r="L829" s="16" t="s">
        <v>18</v>
      </c>
      <c r="M829" s="16" t="s">
        <v>22</v>
      </c>
      <c r="N829" s="39"/>
    </row>
    <row r="830" spans="1:14" s="12" customFormat="1" ht="25.5">
      <c r="A830" s="178" t="s">
        <v>97</v>
      </c>
      <c r="B830" s="75" t="s">
        <v>217</v>
      </c>
      <c r="C830" s="39" t="s">
        <v>17</v>
      </c>
      <c r="D830" s="236"/>
      <c r="E830" s="236"/>
      <c r="F830" s="236"/>
      <c r="G830" s="236"/>
      <c r="H830" s="40">
        <f>SUM(Tabla132112410[[#This Row],[PRIMER TRIMESTRE]:[CUARTO TRIMESTRE]])</f>
        <v>0</v>
      </c>
      <c r="I830" s="17">
        <v>36540</v>
      </c>
      <c r="J830" s="17">
        <f>+Tabla132112410[[#This Row],[CANTIDAD TOTAL]]*Tabla132112410[[#This Row],[PRECIO UNITARIO ESTIMADO]]</f>
        <v>0</v>
      </c>
      <c r="K830" s="17"/>
      <c r="L830" s="16" t="s">
        <v>18</v>
      </c>
      <c r="M830" s="16" t="s">
        <v>22</v>
      </c>
      <c r="N830" s="39"/>
    </row>
    <row r="831" spans="1:14" s="12" customFormat="1" ht="25.5">
      <c r="A831" s="178" t="s">
        <v>97</v>
      </c>
      <c r="B831" s="75" t="s">
        <v>218</v>
      </c>
      <c r="C831" s="39" t="s">
        <v>17</v>
      </c>
      <c r="D831" s="236"/>
      <c r="E831" s="236"/>
      <c r="F831" s="236"/>
      <c r="G831" s="236"/>
      <c r="H831" s="40">
        <f>SUM(Tabla132112410[[#This Row],[PRIMER TRIMESTRE]:[CUARTO TRIMESTRE]])</f>
        <v>0</v>
      </c>
      <c r="I831" s="17">
        <v>60262</v>
      </c>
      <c r="J831" s="17">
        <f>+Tabla132112410[[#This Row],[CANTIDAD TOTAL]]*Tabla132112410[[#This Row],[PRECIO UNITARIO ESTIMADO]]</f>
        <v>0</v>
      </c>
      <c r="K831" s="17"/>
      <c r="L831" s="16" t="s">
        <v>18</v>
      </c>
      <c r="M831" s="16" t="s">
        <v>22</v>
      </c>
      <c r="N831" s="39"/>
    </row>
    <row r="832" spans="1:14" s="12" customFormat="1" ht="25.5">
      <c r="A832" s="178" t="s">
        <v>97</v>
      </c>
      <c r="B832" s="75" t="s">
        <v>219</v>
      </c>
      <c r="C832" s="39" t="s">
        <v>17</v>
      </c>
      <c r="D832" s="236"/>
      <c r="E832" s="236"/>
      <c r="F832" s="236"/>
      <c r="G832" s="236"/>
      <c r="H832" s="40">
        <f>SUM(Tabla132112410[[#This Row],[PRIMER TRIMESTRE]:[CUARTO TRIMESTRE]])</f>
        <v>0</v>
      </c>
      <c r="I832" s="17">
        <v>59757.4</v>
      </c>
      <c r="J832" s="17">
        <f>+Tabla132112410[[#This Row],[CANTIDAD TOTAL]]*Tabla132112410[[#This Row],[PRECIO UNITARIO ESTIMADO]]</f>
        <v>0</v>
      </c>
      <c r="K832" s="17"/>
      <c r="L832" s="16" t="s">
        <v>18</v>
      </c>
      <c r="M832" s="16" t="s">
        <v>22</v>
      </c>
      <c r="N832" s="39"/>
    </row>
    <row r="833" spans="1:14" s="12" customFormat="1" ht="51">
      <c r="A833" s="178" t="s">
        <v>97</v>
      </c>
      <c r="B833" s="75" t="s">
        <v>1765</v>
      </c>
      <c r="C833" s="39" t="s">
        <v>17</v>
      </c>
      <c r="D833" s="236"/>
      <c r="E833" s="236"/>
      <c r="F833" s="236"/>
      <c r="G833" s="236"/>
      <c r="H833" s="40">
        <v>0</v>
      </c>
      <c r="I833" s="17">
        <v>0</v>
      </c>
      <c r="J833" s="17">
        <v>0</v>
      </c>
      <c r="K833" s="17"/>
      <c r="L833" s="16" t="s">
        <v>18</v>
      </c>
      <c r="M833" s="16" t="s">
        <v>22</v>
      </c>
      <c r="N833" s="39"/>
    </row>
    <row r="834" spans="1:14" s="12" customFormat="1" ht="51">
      <c r="A834" s="178" t="s">
        <v>97</v>
      </c>
      <c r="B834" s="75" t="s">
        <v>1766</v>
      </c>
      <c r="C834" s="39" t="s">
        <v>17</v>
      </c>
      <c r="D834" s="236"/>
      <c r="E834" s="236"/>
      <c r="F834" s="236"/>
      <c r="G834" s="236"/>
      <c r="H834" s="40">
        <v>0</v>
      </c>
      <c r="I834" s="17">
        <v>0</v>
      </c>
      <c r="J834" s="17">
        <v>0</v>
      </c>
      <c r="K834" s="17"/>
      <c r="L834" s="16" t="s">
        <v>18</v>
      </c>
      <c r="M834" s="16" t="s">
        <v>22</v>
      </c>
      <c r="N834" s="39"/>
    </row>
    <row r="835" spans="1:14" s="12" customFormat="1" ht="18">
      <c r="A835" s="178" t="s">
        <v>97</v>
      </c>
      <c r="B835" s="75" t="s">
        <v>317</v>
      </c>
      <c r="C835" s="39" t="s">
        <v>17</v>
      </c>
      <c r="D835" s="236"/>
      <c r="E835" s="236"/>
      <c r="F835" s="236"/>
      <c r="G835" s="236"/>
      <c r="H835" s="40">
        <f>SUM(Tabla132112410[[#This Row],[PRIMER TRIMESTRE]:[CUARTO TRIMESTRE]])</f>
        <v>0</v>
      </c>
      <c r="I835" s="17">
        <f>1252664.4/5</f>
        <v>250532.87999999998</v>
      </c>
      <c r="J835" s="17">
        <f>+Tabla132112410[[#This Row],[CANTIDAD TOTAL]]*Tabla132112410[[#This Row],[PRECIO UNITARIO ESTIMADO]]</f>
        <v>0</v>
      </c>
      <c r="K835" s="17"/>
      <c r="L835" s="16" t="s">
        <v>18</v>
      </c>
      <c r="M835" s="16" t="s">
        <v>22</v>
      </c>
      <c r="N835" s="39"/>
    </row>
    <row r="836" spans="1:14" s="12" customFormat="1" ht="25.5">
      <c r="A836" s="178" t="s">
        <v>97</v>
      </c>
      <c r="B836" s="75" t="s">
        <v>1462</v>
      </c>
      <c r="C836" s="39" t="s">
        <v>17</v>
      </c>
      <c r="D836" s="236"/>
      <c r="E836" s="236"/>
      <c r="F836" s="236"/>
      <c r="G836" s="236"/>
      <c r="H836" s="40">
        <f>SUM(Tabla132112410[[#This Row],[PRIMER TRIMESTRE]:[CUARTO TRIMESTRE]])</f>
        <v>0</v>
      </c>
      <c r="I836" s="17">
        <v>250532.68</v>
      </c>
      <c r="J836" s="17">
        <f t="shared" ref="J836:J865" si="23">+H836*I836</f>
        <v>0</v>
      </c>
      <c r="K836" s="17"/>
      <c r="L836" s="16" t="s">
        <v>15</v>
      </c>
      <c r="M836" s="16" t="s">
        <v>22</v>
      </c>
      <c r="N836" s="39"/>
    </row>
    <row r="837" spans="1:14" s="12" customFormat="1" ht="18">
      <c r="A837" s="178" t="s">
        <v>97</v>
      </c>
      <c r="B837" s="75" t="s">
        <v>1240</v>
      </c>
      <c r="C837" s="39" t="s">
        <v>17</v>
      </c>
      <c r="D837" s="236"/>
      <c r="E837" s="236"/>
      <c r="F837" s="236"/>
      <c r="G837" s="236"/>
      <c r="H837" s="40">
        <f>SUM(Tabla132112410[[#This Row],[PRIMER TRIMESTRE]:[CUARTO TRIMESTRE]])</f>
        <v>0</v>
      </c>
      <c r="I837" s="17">
        <v>2300000</v>
      </c>
      <c r="J837" s="17">
        <f t="shared" si="23"/>
        <v>0</v>
      </c>
      <c r="K837" s="17"/>
      <c r="L837" s="16" t="s">
        <v>18</v>
      </c>
      <c r="M837" s="16" t="s">
        <v>22</v>
      </c>
      <c r="N837" s="39"/>
    </row>
    <row r="838" spans="1:14" s="12" customFormat="1" ht="18">
      <c r="A838" s="178" t="s">
        <v>97</v>
      </c>
      <c r="B838" s="75" t="s">
        <v>1241</v>
      </c>
      <c r="C838" s="39" t="s">
        <v>17</v>
      </c>
      <c r="D838" s="236"/>
      <c r="E838" s="236"/>
      <c r="F838" s="236"/>
      <c r="G838" s="236"/>
      <c r="H838" s="40">
        <f>SUM(Tabla132112410[[#This Row],[PRIMER TRIMESTRE]:[CUARTO TRIMESTRE]])</f>
        <v>0</v>
      </c>
      <c r="I838" s="17">
        <v>950000</v>
      </c>
      <c r="J838" s="17">
        <f t="shared" si="23"/>
        <v>0</v>
      </c>
      <c r="K838" s="17"/>
      <c r="L838" s="16" t="s">
        <v>18</v>
      </c>
      <c r="M838" s="16" t="s">
        <v>22</v>
      </c>
      <c r="N838" s="39"/>
    </row>
    <row r="839" spans="1:14" s="12" customFormat="1" ht="18">
      <c r="A839" s="178" t="s">
        <v>97</v>
      </c>
      <c r="B839" s="75" t="s">
        <v>1242</v>
      </c>
      <c r="C839" s="39" t="s">
        <v>17</v>
      </c>
      <c r="D839" s="236"/>
      <c r="E839" s="236"/>
      <c r="F839" s="236"/>
      <c r="G839" s="236"/>
      <c r="H839" s="40">
        <f>SUM(Tabla132112410[[#This Row],[PRIMER TRIMESTRE]:[CUARTO TRIMESTRE]])</f>
        <v>0</v>
      </c>
      <c r="I839" s="17">
        <v>1800000</v>
      </c>
      <c r="J839" s="17">
        <f t="shared" si="23"/>
        <v>0</v>
      </c>
      <c r="K839" s="17"/>
      <c r="L839" s="16" t="s">
        <v>18</v>
      </c>
      <c r="M839" s="16" t="s">
        <v>22</v>
      </c>
      <c r="N839" s="39"/>
    </row>
    <row r="840" spans="1:14" s="12" customFormat="1" ht="18">
      <c r="A840" s="178" t="s">
        <v>97</v>
      </c>
      <c r="B840" s="75" t="s">
        <v>1243</v>
      </c>
      <c r="C840" s="39" t="s">
        <v>17</v>
      </c>
      <c r="D840" s="236"/>
      <c r="E840" s="236"/>
      <c r="F840" s="236"/>
      <c r="G840" s="236"/>
      <c r="H840" s="40">
        <f>SUM(Tabla132112410[[#This Row],[PRIMER TRIMESTRE]:[CUARTO TRIMESTRE]])</f>
        <v>0</v>
      </c>
      <c r="I840" s="17">
        <v>270000</v>
      </c>
      <c r="J840" s="17">
        <f t="shared" si="23"/>
        <v>0</v>
      </c>
      <c r="K840" s="17"/>
      <c r="L840" s="16" t="s">
        <v>18</v>
      </c>
      <c r="M840" s="16" t="s">
        <v>22</v>
      </c>
      <c r="N840" s="39"/>
    </row>
    <row r="841" spans="1:14" s="12" customFormat="1" ht="18">
      <c r="A841" s="178" t="s">
        <v>97</v>
      </c>
      <c r="B841" s="75" t="s">
        <v>1244</v>
      </c>
      <c r="C841" s="39" t="s">
        <v>17</v>
      </c>
      <c r="D841" s="236"/>
      <c r="E841" s="236"/>
      <c r="F841" s="236"/>
      <c r="G841" s="236"/>
      <c r="H841" s="40">
        <f>SUM(Tabla132112410[[#This Row],[PRIMER TRIMESTRE]:[CUARTO TRIMESTRE]])</f>
        <v>0</v>
      </c>
      <c r="I841" s="17">
        <v>398000</v>
      </c>
      <c r="J841" s="17">
        <f t="shared" si="23"/>
        <v>0</v>
      </c>
      <c r="K841" s="17"/>
      <c r="L841" s="16" t="s">
        <v>18</v>
      </c>
      <c r="M841" s="16" t="s">
        <v>22</v>
      </c>
      <c r="N841" s="39"/>
    </row>
    <row r="842" spans="1:14" s="12" customFormat="1" ht="18">
      <c r="A842" s="178" t="s">
        <v>97</v>
      </c>
      <c r="B842" s="75" t="s">
        <v>1245</v>
      </c>
      <c r="C842" s="39" t="s">
        <v>17</v>
      </c>
      <c r="D842" s="236"/>
      <c r="E842" s="236"/>
      <c r="F842" s="236"/>
      <c r="G842" s="236"/>
      <c r="H842" s="40">
        <f>SUM(Tabla132112410[[#This Row],[PRIMER TRIMESTRE]:[CUARTO TRIMESTRE]])</f>
        <v>0</v>
      </c>
      <c r="I842" s="17">
        <v>395000</v>
      </c>
      <c r="J842" s="17">
        <f t="shared" si="23"/>
        <v>0</v>
      </c>
      <c r="K842" s="17"/>
      <c r="L842" s="16" t="s">
        <v>18</v>
      </c>
      <c r="M842" s="16" t="s">
        <v>22</v>
      </c>
      <c r="N842" s="39"/>
    </row>
    <row r="843" spans="1:14" s="12" customFormat="1" ht="18">
      <c r="A843" s="178" t="s">
        <v>97</v>
      </c>
      <c r="B843" s="75" t="s">
        <v>1246</v>
      </c>
      <c r="C843" s="39" t="s">
        <v>17</v>
      </c>
      <c r="D843" s="236"/>
      <c r="E843" s="236"/>
      <c r="F843" s="236"/>
      <c r="G843" s="236"/>
      <c r="H843" s="40">
        <f>SUM(Tabla132112410[[#This Row],[PRIMER TRIMESTRE]:[CUARTO TRIMESTRE]])</f>
        <v>0</v>
      </c>
      <c r="I843" s="17">
        <v>390000</v>
      </c>
      <c r="J843" s="17">
        <f t="shared" si="23"/>
        <v>0</v>
      </c>
      <c r="K843" s="17"/>
      <c r="L843" s="16" t="s">
        <v>18</v>
      </c>
      <c r="M843" s="16" t="s">
        <v>22</v>
      </c>
      <c r="N843" s="39"/>
    </row>
    <row r="844" spans="1:14" s="12" customFormat="1" ht="18">
      <c r="A844" s="178" t="s">
        <v>97</v>
      </c>
      <c r="B844" s="75" t="s">
        <v>1247</v>
      </c>
      <c r="C844" s="39" t="s">
        <v>17</v>
      </c>
      <c r="D844" s="236"/>
      <c r="E844" s="236"/>
      <c r="F844" s="236"/>
      <c r="G844" s="236"/>
      <c r="H844" s="40">
        <f>SUM(Tabla132112410[[#This Row],[PRIMER TRIMESTRE]:[CUARTO TRIMESTRE]])</f>
        <v>0</v>
      </c>
      <c r="I844" s="17">
        <v>385000</v>
      </c>
      <c r="J844" s="17">
        <f t="shared" si="23"/>
        <v>0</v>
      </c>
      <c r="K844" s="17"/>
      <c r="L844" s="16" t="s">
        <v>18</v>
      </c>
      <c r="M844" s="16" t="s">
        <v>22</v>
      </c>
      <c r="N844" s="39"/>
    </row>
    <row r="845" spans="1:14" s="12" customFormat="1" ht="18">
      <c r="A845" s="178" t="s">
        <v>97</v>
      </c>
      <c r="B845" s="75" t="s">
        <v>1248</v>
      </c>
      <c r="C845" s="39" t="s">
        <v>17</v>
      </c>
      <c r="D845" s="236"/>
      <c r="E845" s="236"/>
      <c r="F845" s="236"/>
      <c r="G845" s="236"/>
      <c r="H845" s="40">
        <f>SUM(Tabla132112410[[#This Row],[PRIMER TRIMESTRE]:[CUARTO TRIMESTRE]])</f>
        <v>0</v>
      </c>
      <c r="I845" s="17">
        <v>290400</v>
      </c>
      <c r="J845" s="17">
        <f t="shared" si="23"/>
        <v>0</v>
      </c>
      <c r="K845" s="17"/>
      <c r="L845" s="16" t="s">
        <v>18</v>
      </c>
      <c r="M845" s="16" t="s">
        <v>22</v>
      </c>
      <c r="N845" s="39"/>
    </row>
    <row r="846" spans="1:14" s="12" customFormat="1" ht="18">
      <c r="A846" s="178" t="s">
        <v>97</v>
      </c>
      <c r="B846" s="75" t="s">
        <v>1249</v>
      </c>
      <c r="C846" s="39" t="s">
        <v>17</v>
      </c>
      <c r="D846" s="236"/>
      <c r="E846" s="236"/>
      <c r="F846" s="236"/>
      <c r="G846" s="236"/>
      <c r="H846" s="40">
        <f>SUM(Tabla132112410[[#This Row],[PRIMER TRIMESTRE]:[CUARTO TRIMESTRE]])</f>
        <v>0</v>
      </c>
      <c r="I846" s="17">
        <v>230000</v>
      </c>
      <c r="J846" s="17">
        <f t="shared" si="23"/>
        <v>0</v>
      </c>
      <c r="K846" s="17"/>
      <c r="L846" s="16" t="s">
        <v>18</v>
      </c>
      <c r="M846" s="16" t="s">
        <v>22</v>
      </c>
      <c r="N846" s="39"/>
    </row>
    <row r="847" spans="1:14" s="12" customFormat="1" ht="18">
      <c r="A847" s="178" t="s">
        <v>97</v>
      </c>
      <c r="B847" s="75" t="s">
        <v>1250</v>
      </c>
      <c r="C847" s="39" t="s">
        <v>17</v>
      </c>
      <c r="D847" s="236"/>
      <c r="E847" s="236"/>
      <c r="F847" s="236"/>
      <c r="G847" s="236"/>
      <c r="H847" s="40">
        <f>SUM(Tabla132112410[[#This Row],[PRIMER TRIMESTRE]:[CUARTO TRIMESTRE]])</f>
        <v>0</v>
      </c>
      <c r="I847" s="17">
        <v>13700</v>
      </c>
      <c r="J847" s="17">
        <f t="shared" si="23"/>
        <v>0</v>
      </c>
      <c r="K847" s="17"/>
      <c r="L847" s="16" t="s">
        <v>18</v>
      </c>
      <c r="M847" s="16" t="s">
        <v>22</v>
      </c>
      <c r="N847" s="39"/>
    </row>
    <row r="848" spans="1:14" s="12" customFormat="1" ht="18">
      <c r="A848" s="178" t="s">
        <v>97</v>
      </c>
      <c r="B848" s="75" t="s">
        <v>1251</v>
      </c>
      <c r="C848" s="39" t="s">
        <v>17</v>
      </c>
      <c r="D848" s="236"/>
      <c r="E848" s="236"/>
      <c r="F848" s="236"/>
      <c r="G848" s="236"/>
      <c r="H848" s="40">
        <f>SUM(Tabla132112410[[#This Row],[PRIMER TRIMESTRE]:[CUARTO TRIMESTRE]])</f>
        <v>0</v>
      </c>
      <c r="I848" s="17">
        <v>205000</v>
      </c>
      <c r="J848" s="17">
        <f t="shared" si="23"/>
        <v>0</v>
      </c>
      <c r="K848" s="17"/>
      <c r="L848" s="16" t="s">
        <v>18</v>
      </c>
      <c r="M848" s="16" t="s">
        <v>22</v>
      </c>
      <c r="N848" s="39"/>
    </row>
    <row r="849" spans="1:14" s="12" customFormat="1" ht="18">
      <c r="A849" s="178" t="s">
        <v>97</v>
      </c>
      <c r="B849" s="75" t="s">
        <v>1252</v>
      </c>
      <c r="C849" s="39" t="s">
        <v>17</v>
      </c>
      <c r="D849" s="236"/>
      <c r="E849" s="236"/>
      <c r="F849" s="236"/>
      <c r="G849" s="236"/>
      <c r="H849" s="40">
        <f>SUM(Tabla132112410[[#This Row],[PRIMER TRIMESTRE]:[CUARTO TRIMESTRE]])</f>
        <v>0</v>
      </c>
      <c r="I849" s="17">
        <v>170000</v>
      </c>
      <c r="J849" s="17">
        <f t="shared" si="23"/>
        <v>0</v>
      </c>
      <c r="K849" s="17"/>
      <c r="L849" s="16" t="s">
        <v>18</v>
      </c>
      <c r="M849" s="16" t="s">
        <v>22</v>
      </c>
      <c r="N849" s="39"/>
    </row>
    <row r="850" spans="1:14" s="12" customFormat="1" ht="18">
      <c r="A850" s="178" t="s">
        <v>97</v>
      </c>
      <c r="B850" s="75" t="s">
        <v>1253</v>
      </c>
      <c r="C850" s="39" t="s">
        <v>17</v>
      </c>
      <c r="D850" s="236"/>
      <c r="E850" s="236"/>
      <c r="F850" s="236"/>
      <c r="G850" s="236"/>
      <c r="H850" s="40">
        <f>SUM(Tabla132112410[[#This Row],[PRIMER TRIMESTRE]:[CUARTO TRIMESTRE]])</f>
        <v>0</v>
      </c>
      <c r="I850" s="17">
        <v>155000</v>
      </c>
      <c r="J850" s="17">
        <f t="shared" si="23"/>
        <v>0</v>
      </c>
      <c r="K850" s="17"/>
      <c r="L850" s="16" t="s">
        <v>18</v>
      </c>
      <c r="M850" s="16" t="s">
        <v>22</v>
      </c>
      <c r="N850" s="39"/>
    </row>
    <row r="851" spans="1:14" s="12" customFormat="1" ht="18">
      <c r="A851" s="178" t="s">
        <v>97</v>
      </c>
      <c r="B851" s="75" t="s">
        <v>1254</v>
      </c>
      <c r="C851" s="39" t="s">
        <v>17</v>
      </c>
      <c r="D851" s="236"/>
      <c r="E851" s="236"/>
      <c r="F851" s="236"/>
      <c r="G851" s="236"/>
      <c r="H851" s="40">
        <f>SUM(Tabla132112410[[#This Row],[PRIMER TRIMESTRE]:[CUARTO TRIMESTRE]])</f>
        <v>0</v>
      </c>
      <c r="I851" s="17">
        <v>140000</v>
      </c>
      <c r="J851" s="17">
        <f t="shared" si="23"/>
        <v>0</v>
      </c>
      <c r="K851" s="17"/>
      <c r="L851" s="16" t="s">
        <v>18</v>
      </c>
      <c r="M851" s="16" t="s">
        <v>22</v>
      </c>
      <c r="N851" s="39"/>
    </row>
    <row r="852" spans="1:14" s="12" customFormat="1" ht="18">
      <c r="A852" s="178" t="s">
        <v>97</v>
      </c>
      <c r="B852" s="75" t="s">
        <v>1255</v>
      </c>
      <c r="C852" s="39" t="s">
        <v>17</v>
      </c>
      <c r="D852" s="236"/>
      <c r="E852" s="236"/>
      <c r="F852" s="236"/>
      <c r="G852" s="236"/>
      <c r="H852" s="40">
        <f>SUM(Tabla132112410[[#This Row],[PRIMER TRIMESTRE]:[CUARTO TRIMESTRE]])</f>
        <v>0</v>
      </c>
      <c r="I852" s="17">
        <v>115000</v>
      </c>
      <c r="J852" s="17">
        <f t="shared" si="23"/>
        <v>0</v>
      </c>
      <c r="K852" s="17"/>
      <c r="L852" s="16" t="s">
        <v>18</v>
      </c>
      <c r="M852" s="16" t="s">
        <v>22</v>
      </c>
      <c r="N852" s="39"/>
    </row>
    <row r="853" spans="1:14" s="12" customFormat="1" ht="18">
      <c r="A853" s="178" t="s">
        <v>97</v>
      </c>
      <c r="B853" s="75" t="s">
        <v>1256</v>
      </c>
      <c r="C853" s="39" t="s">
        <v>17</v>
      </c>
      <c r="D853" s="236"/>
      <c r="E853" s="236"/>
      <c r="F853" s="236"/>
      <c r="G853" s="236"/>
      <c r="H853" s="40">
        <f>SUM(Tabla132112410[[#This Row],[PRIMER TRIMESTRE]:[CUARTO TRIMESTRE]])</f>
        <v>0</v>
      </c>
      <c r="I853" s="17">
        <v>100000</v>
      </c>
      <c r="J853" s="17">
        <f t="shared" si="23"/>
        <v>0</v>
      </c>
      <c r="K853" s="17"/>
      <c r="L853" s="16" t="s">
        <v>18</v>
      </c>
      <c r="M853" s="16" t="s">
        <v>22</v>
      </c>
      <c r="N853" s="39"/>
    </row>
    <row r="854" spans="1:14" s="12" customFormat="1" ht="18">
      <c r="A854" s="178" t="s">
        <v>97</v>
      </c>
      <c r="B854" s="75" t="s">
        <v>1257</v>
      </c>
      <c r="C854" s="39" t="s">
        <v>17</v>
      </c>
      <c r="D854" s="236"/>
      <c r="E854" s="236"/>
      <c r="F854" s="236"/>
      <c r="G854" s="236"/>
      <c r="H854" s="40">
        <f>SUM(Tabla132112410[[#This Row],[PRIMER TRIMESTRE]:[CUARTO TRIMESTRE]])</f>
        <v>0</v>
      </c>
      <c r="I854" s="17">
        <v>80000</v>
      </c>
      <c r="J854" s="17">
        <f t="shared" si="23"/>
        <v>0</v>
      </c>
      <c r="K854" s="17"/>
      <c r="L854" s="16" t="s">
        <v>18</v>
      </c>
      <c r="M854" s="16" t="s">
        <v>22</v>
      </c>
      <c r="N854" s="39"/>
    </row>
    <row r="855" spans="1:14" s="12" customFormat="1" ht="18">
      <c r="A855" s="178" t="s">
        <v>97</v>
      </c>
      <c r="B855" s="75" t="s">
        <v>1258</v>
      </c>
      <c r="C855" s="39" t="s">
        <v>17</v>
      </c>
      <c r="D855" s="236"/>
      <c r="E855" s="236"/>
      <c r="F855" s="236"/>
      <c r="G855" s="236"/>
      <c r="H855" s="40">
        <f>SUM(Tabla132112410[[#This Row],[PRIMER TRIMESTRE]:[CUARTO TRIMESTRE]])</f>
        <v>0</v>
      </c>
      <c r="I855" s="17">
        <v>65000</v>
      </c>
      <c r="J855" s="17">
        <f t="shared" si="23"/>
        <v>0</v>
      </c>
      <c r="K855" s="17"/>
      <c r="L855" s="16" t="s">
        <v>18</v>
      </c>
      <c r="M855" s="16" t="s">
        <v>22</v>
      </c>
      <c r="N855" s="39"/>
    </row>
    <row r="856" spans="1:14" s="12" customFormat="1" ht="18">
      <c r="A856" s="178" t="s">
        <v>97</v>
      </c>
      <c r="B856" s="75" t="s">
        <v>1259</v>
      </c>
      <c r="C856" s="39" t="s">
        <v>17</v>
      </c>
      <c r="D856" s="236"/>
      <c r="E856" s="236"/>
      <c r="F856" s="236"/>
      <c r="G856" s="236"/>
      <c r="H856" s="40">
        <f>SUM(Tabla132112410[[#This Row],[PRIMER TRIMESTRE]:[CUARTO TRIMESTRE]])</f>
        <v>0</v>
      </c>
      <c r="I856" s="17">
        <v>50000</v>
      </c>
      <c r="J856" s="17">
        <f t="shared" si="23"/>
        <v>0</v>
      </c>
      <c r="K856" s="17"/>
      <c r="L856" s="16" t="s">
        <v>18</v>
      </c>
      <c r="M856" s="16" t="s">
        <v>22</v>
      </c>
      <c r="N856" s="39"/>
    </row>
    <row r="857" spans="1:14" s="12" customFormat="1" ht="18">
      <c r="A857" s="178" t="s">
        <v>97</v>
      </c>
      <c r="B857" s="75" t="s">
        <v>1260</v>
      </c>
      <c r="C857" s="39" t="s">
        <v>17</v>
      </c>
      <c r="D857" s="236"/>
      <c r="E857" s="236"/>
      <c r="F857" s="236"/>
      <c r="G857" s="236"/>
      <c r="H857" s="40">
        <f>SUM(Tabla132112410[[#This Row],[PRIMER TRIMESTRE]:[CUARTO TRIMESTRE]])</f>
        <v>0</v>
      </c>
      <c r="I857" s="17">
        <v>45000</v>
      </c>
      <c r="J857" s="17">
        <f t="shared" si="23"/>
        <v>0</v>
      </c>
      <c r="K857" s="17"/>
      <c r="L857" s="16" t="s">
        <v>18</v>
      </c>
      <c r="M857" s="16" t="s">
        <v>22</v>
      </c>
      <c r="N857" s="39"/>
    </row>
    <row r="858" spans="1:14" s="12" customFormat="1" ht="18">
      <c r="A858" s="178" t="s">
        <v>97</v>
      </c>
      <c r="B858" s="75" t="s">
        <v>1261</v>
      </c>
      <c r="C858" s="39" t="s">
        <v>17</v>
      </c>
      <c r="D858" s="236"/>
      <c r="E858" s="236"/>
      <c r="F858" s="236"/>
      <c r="G858" s="236"/>
      <c r="H858" s="40">
        <f>SUM(Tabla132112410[[#This Row],[PRIMER TRIMESTRE]:[CUARTO TRIMESTRE]])</f>
        <v>0</v>
      </c>
      <c r="I858" s="17">
        <v>40000</v>
      </c>
      <c r="J858" s="17">
        <f t="shared" si="23"/>
        <v>0</v>
      </c>
      <c r="K858" s="17"/>
      <c r="L858" s="16" t="s">
        <v>18</v>
      </c>
      <c r="M858" s="16" t="s">
        <v>22</v>
      </c>
      <c r="N858" s="39"/>
    </row>
    <row r="859" spans="1:14" s="12" customFormat="1" ht="18">
      <c r="A859" s="178" t="s">
        <v>97</v>
      </c>
      <c r="B859" s="75" t="s">
        <v>1262</v>
      </c>
      <c r="C859" s="39" t="s">
        <v>17</v>
      </c>
      <c r="D859" s="236"/>
      <c r="E859" s="236"/>
      <c r="F859" s="236"/>
      <c r="G859" s="236"/>
      <c r="H859" s="40">
        <f>SUM(Tabla132112410[[#This Row],[PRIMER TRIMESTRE]:[CUARTO TRIMESTRE]])</f>
        <v>0</v>
      </c>
      <c r="I859" s="17">
        <v>30000</v>
      </c>
      <c r="J859" s="17">
        <f t="shared" si="23"/>
        <v>0</v>
      </c>
      <c r="K859" s="17"/>
      <c r="L859" s="16" t="s">
        <v>18</v>
      </c>
      <c r="M859" s="16" t="s">
        <v>22</v>
      </c>
      <c r="N859" s="39"/>
    </row>
    <row r="860" spans="1:14" s="12" customFormat="1" ht="18">
      <c r="A860" s="178" t="s">
        <v>97</v>
      </c>
      <c r="B860" s="75" t="s">
        <v>1263</v>
      </c>
      <c r="C860" s="39" t="s">
        <v>17</v>
      </c>
      <c r="D860" s="236"/>
      <c r="E860" s="236"/>
      <c r="F860" s="236"/>
      <c r="G860" s="236"/>
      <c r="H860" s="40">
        <f>SUM(Tabla132112410[[#This Row],[PRIMER TRIMESTRE]:[CUARTO TRIMESTRE]])</f>
        <v>0</v>
      </c>
      <c r="I860" s="17">
        <v>26000</v>
      </c>
      <c r="J860" s="17">
        <f t="shared" si="23"/>
        <v>0</v>
      </c>
      <c r="K860" s="17"/>
      <c r="L860" s="16" t="s">
        <v>18</v>
      </c>
      <c r="M860" s="16" t="s">
        <v>22</v>
      </c>
      <c r="N860" s="39"/>
    </row>
    <row r="861" spans="1:14" s="12" customFormat="1" ht="18">
      <c r="A861" s="178" t="s">
        <v>97</v>
      </c>
      <c r="B861" s="75" t="s">
        <v>1264</v>
      </c>
      <c r="C861" s="39" t="s">
        <v>17</v>
      </c>
      <c r="D861" s="236"/>
      <c r="E861" s="236"/>
      <c r="F861" s="236"/>
      <c r="G861" s="236"/>
      <c r="H861" s="40">
        <f>SUM(Tabla132112410[[#This Row],[PRIMER TRIMESTRE]:[CUARTO TRIMESTRE]])</f>
        <v>0</v>
      </c>
      <c r="I861" s="17">
        <v>24000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</row>
    <row r="862" spans="1:14" s="12" customFormat="1" ht="18">
      <c r="A862" s="178" t="s">
        <v>97</v>
      </c>
      <c r="B862" s="75" t="s">
        <v>1265</v>
      </c>
      <c r="C862" s="39" t="s">
        <v>17</v>
      </c>
      <c r="D862" s="236"/>
      <c r="E862" s="236"/>
      <c r="F862" s="236"/>
      <c r="G862" s="236"/>
      <c r="H862" s="40">
        <f>SUM(Tabla132112410[[#This Row],[PRIMER TRIMESTRE]:[CUARTO TRIMESTRE]])</f>
        <v>0</v>
      </c>
      <c r="I862" s="17">
        <v>20000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</row>
    <row r="863" spans="1:14" s="12" customFormat="1" ht="18">
      <c r="A863" s="178" t="s">
        <v>97</v>
      </c>
      <c r="B863" s="75" t="s">
        <v>1266</v>
      </c>
      <c r="C863" s="39" t="s">
        <v>17</v>
      </c>
      <c r="D863" s="236"/>
      <c r="E863" s="236"/>
      <c r="F863" s="236"/>
      <c r="G863" s="236"/>
      <c r="H863" s="40">
        <f>SUM(Tabla132112410[[#This Row],[PRIMER TRIMESTRE]:[CUARTO TRIMESTRE]])</f>
        <v>0</v>
      </c>
      <c r="I863" s="17">
        <v>18000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</row>
    <row r="864" spans="1:14" s="12" customFormat="1" ht="18">
      <c r="A864" s="178" t="s">
        <v>97</v>
      </c>
      <c r="B864" s="75" t="s">
        <v>1267</v>
      </c>
      <c r="C864" s="39" t="s">
        <v>17</v>
      </c>
      <c r="D864" s="236"/>
      <c r="E864" s="236"/>
      <c r="F864" s="236"/>
      <c r="G864" s="236"/>
      <c r="H864" s="40">
        <f>SUM(Tabla132112410[[#This Row],[PRIMER TRIMESTRE]:[CUARTO TRIMESTRE]])</f>
        <v>0</v>
      </c>
      <c r="I864" s="17">
        <v>15000</v>
      </c>
      <c r="J864" s="17">
        <f t="shared" si="23"/>
        <v>0</v>
      </c>
      <c r="K864" s="17"/>
      <c r="L864" s="16" t="s">
        <v>18</v>
      </c>
      <c r="M864" s="16" t="s">
        <v>22</v>
      </c>
      <c r="N864" s="39"/>
    </row>
    <row r="865" spans="1:14" s="12" customFormat="1" ht="30.75" customHeight="1">
      <c r="A865" s="178" t="s">
        <v>97</v>
      </c>
      <c r="B865" s="75" t="s">
        <v>1268</v>
      </c>
      <c r="C865" s="39" t="s">
        <v>17</v>
      </c>
      <c r="D865" s="236"/>
      <c r="E865" s="236"/>
      <c r="F865" s="236"/>
      <c r="G865" s="236"/>
      <c r="H865" s="40">
        <f>SUM(Tabla132112410[[#This Row],[PRIMER TRIMESTRE]:[CUARTO TRIMESTRE]])</f>
        <v>0</v>
      </c>
      <c r="I865" s="17">
        <v>61000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</row>
    <row r="866" spans="1:14" s="12" customFormat="1" ht="30.75" customHeight="1">
      <c r="A866" s="178" t="s">
        <v>97</v>
      </c>
      <c r="B866" s="75" t="s">
        <v>221</v>
      </c>
      <c r="C866" s="39" t="s">
        <v>17</v>
      </c>
      <c r="D866" s="236"/>
      <c r="E866" s="236"/>
      <c r="F866" s="236"/>
      <c r="G866" s="236"/>
      <c r="H866" s="40">
        <f>SUM(Tabla132112410[[#This Row],[PRIMER TRIMESTRE]:[CUARTO TRIMESTRE]])</f>
        <v>0</v>
      </c>
      <c r="I866" s="17">
        <v>100060.44</v>
      </c>
      <c r="J866" s="17">
        <f>+Tabla132112410[[#This Row],[CANTIDAD TOTAL]]*Tabla132112410[[#This Row],[PRECIO UNITARIO ESTIMADO]]</f>
        <v>0</v>
      </c>
      <c r="K866" s="17"/>
      <c r="L866" s="16" t="s">
        <v>18</v>
      </c>
      <c r="M866" s="16" t="s">
        <v>22</v>
      </c>
      <c r="N866" s="39"/>
    </row>
    <row r="867" spans="1:14" s="12" customFormat="1" ht="30.75" customHeight="1">
      <c r="A867" s="178" t="s">
        <v>97</v>
      </c>
      <c r="B867" s="75" t="s">
        <v>222</v>
      </c>
      <c r="C867" s="39" t="s">
        <v>17</v>
      </c>
      <c r="D867" s="236"/>
      <c r="E867" s="236"/>
      <c r="F867" s="236"/>
      <c r="G867" s="236"/>
      <c r="H867" s="40">
        <f>SUM(Tabla132112410[[#This Row],[PRIMER TRIMESTRE]:[CUARTO TRIMESTRE]])</f>
        <v>0</v>
      </c>
      <c r="I867" s="17">
        <v>327948.84999999998</v>
      </c>
      <c r="J867" s="17">
        <f>+Tabla132112410[[#This Row],[CANTIDAD TOTAL]]*Tabla132112410[[#This Row],[PRECIO UNITARIO ESTIMADO]]</f>
        <v>0</v>
      </c>
      <c r="K867" s="17"/>
      <c r="L867" s="16" t="s">
        <v>18</v>
      </c>
      <c r="M867" s="16" t="s">
        <v>22</v>
      </c>
      <c r="N867" s="39"/>
    </row>
    <row r="868" spans="1:14" s="12" customFormat="1" ht="30.75" customHeight="1">
      <c r="A868" s="178" t="s">
        <v>97</v>
      </c>
      <c r="B868" s="75" t="s">
        <v>223</v>
      </c>
      <c r="C868" s="39" t="s">
        <v>17</v>
      </c>
      <c r="D868" s="236"/>
      <c r="E868" s="236"/>
      <c r="F868" s="236"/>
      <c r="G868" s="236"/>
      <c r="H868" s="40">
        <f>SUM(Tabla132112410[[#This Row],[PRIMER TRIMESTRE]:[CUARTO TRIMESTRE]])</f>
        <v>0</v>
      </c>
      <c r="I868" s="17">
        <v>16744.599999999999</v>
      </c>
      <c r="J868" s="17">
        <f>+Tabla132112410[[#This Row],[CANTIDAD TOTAL]]*Tabla132112410[[#This Row],[PRECIO UNITARIO ESTIMADO]]</f>
        <v>0</v>
      </c>
      <c r="K868" s="17"/>
      <c r="L868" s="16" t="s">
        <v>18</v>
      </c>
      <c r="M868" s="16" t="s">
        <v>22</v>
      </c>
      <c r="N868" s="39"/>
    </row>
    <row r="869" spans="1:14" s="26" customFormat="1" ht="30.75" customHeight="1">
      <c r="A869" s="178" t="s">
        <v>97</v>
      </c>
      <c r="B869" s="75" t="s">
        <v>224</v>
      </c>
      <c r="C869" s="39" t="s">
        <v>17</v>
      </c>
      <c r="D869" s="236"/>
      <c r="E869" s="236"/>
      <c r="F869" s="236"/>
      <c r="G869" s="236"/>
      <c r="H869" s="40">
        <f>SUM(Tabla132112410[[#This Row],[PRIMER TRIMESTRE]:[CUARTO TRIMESTRE]])</f>
        <v>0</v>
      </c>
      <c r="I869" s="17">
        <v>52380.2</v>
      </c>
      <c r="J869" s="17">
        <f>+Tabla132112410[[#This Row],[CANTIDAD TOTAL]]*Tabla132112410[[#This Row],[PRECIO UNITARIO ESTIMADO]]</f>
        <v>0</v>
      </c>
      <c r="K869" s="17"/>
      <c r="L869" s="16" t="s">
        <v>18</v>
      </c>
      <c r="M869" s="16" t="s">
        <v>22</v>
      </c>
      <c r="N869" s="39"/>
    </row>
    <row r="870" spans="1:14" s="26" customFormat="1" ht="30.75" customHeight="1">
      <c r="A870" s="178" t="s">
        <v>97</v>
      </c>
      <c r="B870" s="75" t="s">
        <v>225</v>
      </c>
      <c r="C870" s="39" t="s">
        <v>17</v>
      </c>
      <c r="D870" s="236"/>
      <c r="E870" s="236"/>
      <c r="F870" s="236"/>
      <c r="G870" s="236"/>
      <c r="H870" s="40">
        <f>SUM(Tabla132112410[[#This Row],[PRIMER TRIMESTRE]:[CUARTO TRIMESTRE]])</f>
        <v>0</v>
      </c>
      <c r="I870" s="17">
        <v>99342.399999999994</v>
      </c>
      <c r="J870" s="17">
        <f>+Tabla132112410[[#This Row],[CANTIDAD TOTAL]]*Tabla132112410[[#This Row],[PRECIO UNITARIO ESTIMADO]]</f>
        <v>0</v>
      </c>
      <c r="K870" s="17"/>
      <c r="L870" s="16" t="s">
        <v>18</v>
      </c>
      <c r="M870" s="16" t="s">
        <v>22</v>
      </c>
      <c r="N870" s="39"/>
    </row>
    <row r="871" spans="1:14" s="26" customFormat="1" ht="30.75" customHeight="1">
      <c r="A871" s="179" t="s">
        <v>97</v>
      </c>
      <c r="B871" s="76"/>
      <c r="C871" s="42"/>
      <c r="D871" s="237"/>
      <c r="E871" s="237"/>
      <c r="F871" s="237"/>
      <c r="G871" s="237"/>
      <c r="H871" s="43"/>
      <c r="I871" s="24"/>
      <c r="J871" s="24"/>
      <c r="K871" s="25">
        <f>SUM(J811:J870)</f>
        <v>0</v>
      </c>
      <c r="L871" s="23"/>
      <c r="M871" s="23"/>
      <c r="N871" s="42"/>
    </row>
    <row r="872" spans="1:14" s="26" customFormat="1" ht="30.75" customHeight="1">
      <c r="A872" s="178" t="s">
        <v>948</v>
      </c>
      <c r="B872" s="75" t="s">
        <v>949</v>
      </c>
      <c r="C872" s="39" t="s">
        <v>17</v>
      </c>
      <c r="D872" s="236"/>
      <c r="E872" s="236"/>
      <c r="F872" s="236"/>
      <c r="G872" s="236"/>
      <c r="H872" s="40">
        <f>SUM(Tabla132112410[[#This Row],[PRIMER TRIMESTRE]:[CUARTO TRIMESTRE]])</f>
        <v>0</v>
      </c>
      <c r="I872" s="17">
        <v>227000</v>
      </c>
      <c r="J872" s="17">
        <f t="shared" ref="J872:J883" si="24">+H872*I872</f>
        <v>0</v>
      </c>
      <c r="K872" s="17"/>
      <c r="L872" s="16" t="s">
        <v>18</v>
      </c>
      <c r="M872" s="16" t="s">
        <v>22</v>
      </c>
      <c r="N872" s="16"/>
    </row>
    <row r="873" spans="1:14" s="26" customFormat="1" ht="30.75" customHeight="1">
      <c r="A873" s="178" t="s">
        <v>948</v>
      </c>
      <c r="B873" s="75" t="s">
        <v>950</v>
      </c>
      <c r="C873" s="39" t="s">
        <v>17</v>
      </c>
      <c r="D873" s="236"/>
      <c r="E873" s="236"/>
      <c r="F873" s="236"/>
      <c r="G873" s="236"/>
      <c r="H873" s="40">
        <f>SUM(Tabla132112410[[#This Row],[PRIMER TRIMESTRE]:[CUARTO TRIMESTRE]])</f>
        <v>0</v>
      </c>
      <c r="I873" s="17">
        <v>1118000</v>
      </c>
      <c r="J873" s="17">
        <f t="shared" si="24"/>
        <v>0</v>
      </c>
      <c r="K873" s="17"/>
      <c r="L873" s="16" t="s">
        <v>18</v>
      </c>
      <c r="M873" s="16" t="s">
        <v>22</v>
      </c>
      <c r="N873" s="16"/>
    </row>
    <row r="874" spans="1:14" s="26" customFormat="1" ht="30.75" customHeight="1">
      <c r="A874" s="178" t="s">
        <v>948</v>
      </c>
      <c r="B874" s="75" t="s">
        <v>952</v>
      </c>
      <c r="C874" s="39" t="s">
        <v>17</v>
      </c>
      <c r="D874" s="236"/>
      <c r="E874" s="236"/>
      <c r="F874" s="236"/>
      <c r="G874" s="236"/>
      <c r="H874" s="40">
        <f>SUM(Tabla132112410[[#This Row],[PRIMER TRIMESTRE]:[CUARTO TRIMESTRE]])</f>
        <v>0</v>
      </c>
      <c r="I874" s="17">
        <v>3200</v>
      </c>
      <c r="J874" s="17">
        <f t="shared" si="24"/>
        <v>0</v>
      </c>
      <c r="K874" s="17"/>
      <c r="L874" s="16" t="s">
        <v>18</v>
      </c>
      <c r="M874" s="16" t="s">
        <v>22</v>
      </c>
      <c r="N874" s="39"/>
    </row>
    <row r="875" spans="1:14" s="26" customFormat="1" ht="30.75" customHeight="1">
      <c r="A875" s="178" t="s">
        <v>948</v>
      </c>
      <c r="B875" s="75" t="s">
        <v>953</v>
      </c>
      <c r="C875" s="39" t="s">
        <v>17</v>
      </c>
      <c r="D875" s="236"/>
      <c r="E875" s="236"/>
      <c r="F875" s="236"/>
      <c r="G875" s="236"/>
      <c r="H875" s="40">
        <f>SUM(Tabla132112410[[#This Row],[PRIMER TRIMESTRE]:[CUARTO TRIMESTRE]])</f>
        <v>0</v>
      </c>
      <c r="I875" s="17">
        <v>96.7</v>
      </c>
      <c r="J875" s="17">
        <f t="shared" si="24"/>
        <v>0</v>
      </c>
      <c r="K875" s="17"/>
      <c r="L875" s="16" t="s">
        <v>18</v>
      </c>
      <c r="M875" s="16" t="s">
        <v>22</v>
      </c>
      <c r="N875" s="39"/>
    </row>
    <row r="876" spans="1:14" s="26" customFormat="1" ht="30.75" customHeight="1">
      <c r="A876" s="178" t="s">
        <v>948</v>
      </c>
      <c r="B876" s="75" t="s">
        <v>954</v>
      </c>
      <c r="C876" s="39" t="s">
        <v>17</v>
      </c>
      <c r="D876" s="236"/>
      <c r="E876" s="236"/>
      <c r="F876" s="236"/>
      <c r="G876" s="236"/>
      <c r="H876" s="40">
        <f>SUM(Tabla132112410[[#This Row],[PRIMER TRIMESTRE]:[CUARTO TRIMESTRE]])</f>
        <v>0</v>
      </c>
      <c r="I876" s="17">
        <v>113850</v>
      </c>
      <c r="J876" s="17">
        <f t="shared" si="24"/>
        <v>0</v>
      </c>
      <c r="K876" s="17"/>
      <c r="L876" s="16" t="s">
        <v>18</v>
      </c>
      <c r="M876" s="16" t="s">
        <v>22</v>
      </c>
      <c r="N876" s="39"/>
    </row>
    <row r="877" spans="1:14" s="26" customFormat="1" ht="30.75" customHeight="1">
      <c r="A877" s="178" t="s">
        <v>948</v>
      </c>
      <c r="B877" s="75" t="s">
        <v>955</v>
      </c>
      <c r="C877" s="39" t="s">
        <v>17</v>
      </c>
      <c r="D877" s="236"/>
      <c r="E877" s="236"/>
      <c r="F877" s="236"/>
      <c r="G877" s="236"/>
      <c r="H877" s="40">
        <f>SUM(Tabla132112410[[#This Row],[PRIMER TRIMESTRE]:[CUARTO TRIMESTRE]])</f>
        <v>0</v>
      </c>
      <c r="I877" s="17">
        <v>57914</v>
      </c>
      <c r="J877" s="17">
        <f t="shared" si="24"/>
        <v>0</v>
      </c>
      <c r="K877" s="17"/>
      <c r="L877" s="16" t="s">
        <v>18</v>
      </c>
      <c r="M877" s="16" t="s">
        <v>22</v>
      </c>
      <c r="N877" s="39"/>
    </row>
    <row r="878" spans="1:14" s="26" customFormat="1" ht="30.75" customHeight="1">
      <c r="A878" s="178" t="s">
        <v>948</v>
      </c>
      <c r="B878" s="75" t="s">
        <v>956</v>
      </c>
      <c r="C878" s="39" t="s">
        <v>17</v>
      </c>
      <c r="D878" s="236"/>
      <c r="E878" s="236"/>
      <c r="F878" s="236"/>
      <c r="G878" s="236"/>
      <c r="H878" s="40">
        <f>SUM(Tabla132112410[[#This Row],[PRIMER TRIMESTRE]:[CUARTO TRIMESTRE]])</f>
        <v>0</v>
      </c>
      <c r="I878" s="17">
        <v>908000</v>
      </c>
      <c r="J878" s="17">
        <f t="shared" si="24"/>
        <v>0</v>
      </c>
      <c r="K878" s="17"/>
      <c r="L878" s="16" t="s">
        <v>18</v>
      </c>
      <c r="M878" s="16" t="s">
        <v>22</v>
      </c>
      <c r="N878" s="39"/>
    </row>
    <row r="879" spans="1:14" s="26" customFormat="1" ht="30.75" customHeight="1">
      <c r="A879" s="178" t="s">
        <v>948</v>
      </c>
      <c r="B879" s="75" t="s">
        <v>957</v>
      </c>
      <c r="C879" s="39" t="s">
        <v>17</v>
      </c>
      <c r="D879" s="236"/>
      <c r="E879" s="236"/>
      <c r="F879" s="236"/>
      <c r="G879" s="236"/>
      <c r="H879" s="40">
        <f>SUM(Tabla132112410[[#This Row],[PRIMER TRIMESTRE]:[CUARTO TRIMESTRE]])</f>
        <v>0</v>
      </c>
      <c r="I879" s="17">
        <v>10000</v>
      </c>
      <c r="J879" s="17">
        <f t="shared" si="24"/>
        <v>0</v>
      </c>
      <c r="K879" s="17"/>
      <c r="L879" s="16" t="s">
        <v>18</v>
      </c>
      <c r="M879" s="16" t="s">
        <v>22</v>
      </c>
      <c r="N879" s="39"/>
    </row>
    <row r="880" spans="1:14" s="26" customFormat="1" ht="30.75" customHeight="1">
      <c r="A880" s="178" t="s">
        <v>948</v>
      </c>
      <c r="B880" s="75" t="s">
        <v>958</v>
      </c>
      <c r="C880" s="39" t="s">
        <v>17</v>
      </c>
      <c r="D880" s="236"/>
      <c r="E880" s="236"/>
      <c r="F880" s="236"/>
      <c r="G880" s="236"/>
      <c r="H880" s="40">
        <f>SUM(Tabla132112410[[#This Row],[PRIMER TRIMESTRE]:[CUARTO TRIMESTRE]])</f>
        <v>0</v>
      </c>
      <c r="I880" s="17">
        <v>37500</v>
      </c>
      <c r="J880" s="17">
        <f t="shared" si="24"/>
        <v>0</v>
      </c>
      <c r="K880" s="17"/>
      <c r="L880" s="16" t="s">
        <v>18</v>
      </c>
      <c r="M880" s="16" t="s">
        <v>22</v>
      </c>
      <c r="N880" s="39"/>
    </row>
    <row r="881" spans="1:14" s="26" customFormat="1" ht="30.75" customHeight="1">
      <c r="A881" s="178" t="s">
        <v>948</v>
      </c>
      <c r="B881" s="75" t="s">
        <v>951</v>
      </c>
      <c r="C881" s="39" t="s">
        <v>17</v>
      </c>
      <c r="D881" s="236"/>
      <c r="E881" s="236"/>
      <c r="F881" s="236"/>
      <c r="G881" s="236"/>
      <c r="H881" s="40">
        <f>SUM(Tabla132112410[[#This Row],[PRIMER TRIMESTRE]:[CUARTO TRIMESTRE]])</f>
        <v>0</v>
      </c>
      <c r="I881" s="17">
        <v>120</v>
      </c>
      <c r="J881" s="17">
        <f t="shared" si="24"/>
        <v>0</v>
      </c>
      <c r="K881" s="17"/>
      <c r="L881" s="16" t="s">
        <v>18</v>
      </c>
      <c r="M881" s="16" t="s">
        <v>22</v>
      </c>
      <c r="N881" s="39"/>
    </row>
    <row r="882" spans="1:14" s="26" customFormat="1" ht="30.75" customHeight="1">
      <c r="A882" s="178" t="s">
        <v>948</v>
      </c>
      <c r="B882" s="75" t="s">
        <v>959</v>
      </c>
      <c r="C882" s="39" t="s">
        <v>17</v>
      </c>
      <c r="D882" s="236"/>
      <c r="E882" s="236"/>
      <c r="F882" s="236"/>
      <c r="G882" s="236"/>
      <c r="H882" s="40">
        <f>SUM(Tabla132112410[[#This Row],[PRIMER TRIMESTRE]:[CUARTO TRIMESTRE]])</f>
        <v>0</v>
      </c>
      <c r="I882" s="17">
        <v>2627</v>
      </c>
      <c r="J882" s="17">
        <f t="shared" si="24"/>
        <v>0</v>
      </c>
      <c r="K882" s="17"/>
      <c r="L882" s="16" t="s">
        <v>18</v>
      </c>
      <c r="M882" s="16" t="s">
        <v>22</v>
      </c>
      <c r="N882" s="39"/>
    </row>
    <row r="883" spans="1:14" s="12" customFormat="1" ht="30.75" customHeight="1">
      <c r="A883" s="178" t="s">
        <v>948</v>
      </c>
      <c r="B883" s="75" t="s">
        <v>963</v>
      </c>
      <c r="C883" s="39" t="s">
        <v>17</v>
      </c>
      <c r="D883" s="236"/>
      <c r="E883" s="236"/>
      <c r="F883" s="236"/>
      <c r="G883" s="236"/>
      <c r="H883" s="40">
        <f>SUM(Tabla132112410[[#This Row],[PRIMER TRIMESTRE]:[CUARTO TRIMESTRE]])</f>
        <v>0</v>
      </c>
      <c r="I883" s="17">
        <v>2552.54</v>
      </c>
      <c r="J883" s="17">
        <f t="shared" si="24"/>
        <v>0</v>
      </c>
      <c r="K883" s="17"/>
      <c r="L883" s="16" t="s">
        <v>18</v>
      </c>
      <c r="M883" s="16" t="s">
        <v>22</v>
      </c>
      <c r="N883" s="39"/>
    </row>
    <row r="884" spans="1:14" s="12" customFormat="1" ht="30.75" customHeight="1">
      <c r="A884" s="179" t="s">
        <v>948</v>
      </c>
      <c r="B884" s="76"/>
      <c r="C884" s="42"/>
      <c r="D884" s="237"/>
      <c r="E884" s="237"/>
      <c r="F884" s="237"/>
      <c r="G884" s="237"/>
      <c r="H884" s="42"/>
      <c r="I884" s="42"/>
      <c r="J884" s="42"/>
      <c r="K884" s="25">
        <f>SUM(J872:J883)</f>
        <v>0</v>
      </c>
      <c r="L884" s="23"/>
      <c r="M884" s="23"/>
      <c r="N884" s="42"/>
    </row>
    <row r="885" spans="1:14" s="12" customFormat="1" ht="30.75" customHeight="1">
      <c r="A885" s="178" t="s">
        <v>99</v>
      </c>
      <c r="B885" s="75" t="s">
        <v>1856</v>
      </c>
      <c r="C885" s="176" t="s">
        <v>17</v>
      </c>
      <c r="D885" s="75"/>
      <c r="E885" s="75"/>
      <c r="F885" s="75"/>
      <c r="G885" s="75"/>
      <c r="H885" s="75">
        <v>0</v>
      </c>
      <c r="I885" s="75">
        <v>0</v>
      </c>
      <c r="J885" s="75">
        <v>0</v>
      </c>
      <c r="K885" s="75"/>
      <c r="L885" s="16" t="s">
        <v>18</v>
      </c>
      <c r="M885" s="16" t="s">
        <v>22</v>
      </c>
      <c r="N885" s="39" t="s">
        <v>418</v>
      </c>
    </row>
    <row r="886" spans="1:14" s="12" customFormat="1" ht="37.5" customHeight="1">
      <c r="A886" s="178" t="s">
        <v>99</v>
      </c>
      <c r="B886" s="75" t="s">
        <v>1857</v>
      </c>
      <c r="C886" s="176" t="s">
        <v>17</v>
      </c>
      <c r="D886" s="286"/>
      <c r="E886" s="286"/>
      <c r="F886" s="286"/>
      <c r="G886" s="286"/>
      <c r="H886" s="286">
        <v>0</v>
      </c>
      <c r="I886" s="286">
        <v>0</v>
      </c>
      <c r="J886" s="286">
        <v>0</v>
      </c>
      <c r="K886" s="286"/>
      <c r="L886" s="16" t="s">
        <v>18</v>
      </c>
      <c r="M886" s="16" t="s">
        <v>22</v>
      </c>
      <c r="N886" s="39" t="s">
        <v>418</v>
      </c>
    </row>
    <row r="887" spans="1:14" s="12" customFormat="1" ht="30.75" customHeight="1">
      <c r="A887" s="178" t="s">
        <v>99</v>
      </c>
      <c r="B887" s="75" t="s">
        <v>1858</v>
      </c>
      <c r="C887" s="176" t="s">
        <v>17</v>
      </c>
      <c r="D887" s="75"/>
      <c r="E887" s="75"/>
      <c r="F887" s="75"/>
      <c r="G887" s="75"/>
      <c r="H887" s="75">
        <v>0</v>
      </c>
      <c r="I887" s="75">
        <v>0</v>
      </c>
      <c r="J887" s="75">
        <v>0</v>
      </c>
      <c r="K887" s="75"/>
      <c r="L887" s="16" t="s">
        <v>18</v>
      </c>
      <c r="M887" s="16" t="s">
        <v>22</v>
      </c>
      <c r="N887" s="39" t="s">
        <v>418</v>
      </c>
    </row>
    <row r="888" spans="1:14" s="12" customFormat="1" ht="30.75" customHeight="1">
      <c r="A888" s="178" t="s">
        <v>99</v>
      </c>
      <c r="B888" s="75" t="s">
        <v>1859</v>
      </c>
      <c r="C888" s="176" t="s">
        <v>290</v>
      </c>
      <c r="D888" s="75"/>
      <c r="E888" s="75"/>
      <c r="F888" s="75"/>
      <c r="G888" s="75"/>
      <c r="H888" s="75">
        <v>0</v>
      </c>
      <c r="I888" s="75">
        <v>0</v>
      </c>
      <c r="J888" s="75">
        <v>0</v>
      </c>
      <c r="K888" s="75"/>
      <c r="L888" s="16" t="s">
        <v>18</v>
      </c>
      <c r="M888" s="16" t="s">
        <v>22</v>
      </c>
      <c r="N888" s="39" t="s">
        <v>418</v>
      </c>
    </row>
    <row r="889" spans="1:14" s="12" customFormat="1" ht="30.75" customHeight="1">
      <c r="A889" s="178" t="s">
        <v>99</v>
      </c>
      <c r="B889" s="75" t="s">
        <v>1650</v>
      </c>
      <c r="C889" s="176" t="s">
        <v>290</v>
      </c>
      <c r="D889" s="75"/>
      <c r="E889" s="75"/>
      <c r="F889" s="75"/>
      <c r="G889" s="75"/>
      <c r="H889" s="75">
        <v>0</v>
      </c>
      <c r="I889" s="75">
        <v>0</v>
      </c>
      <c r="J889" s="75">
        <v>0</v>
      </c>
      <c r="K889" s="75"/>
      <c r="L889" s="16" t="s">
        <v>18</v>
      </c>
      <c r="M889" s="16" t="s">
        <v>22</v>
      </c>
      <c r="N889" s="39" t="s">
        <v>418</v>
      </c>
    </row>
    <row r="890" spans="1:14" s="12" customFormat="1" ht="30.75" customHeight="1">
      <c r="A890" s="178" t="s">
        <v>99</v>
      </c>
      <c r="B890" s="75" t="s">
        <v>306</v>
      </c>
      <c r="C890" s="39" t="s">
        <v>33</v>
      </c>
      <c r="D890" s="236"/>
      <c r="E890" s="236"/>
      <c r="F890" s="236"/>
      <c r="G890" s="236"/>
      <c r="H890" s="40">
        <f>SUM(Tabla132112410[[#This Row],[PRIMER TRIMESTRE]:[CUARTO TRIMESTRE]])</f>
        <v>0</v>
      </c>
      <c r="I890" s="17">
        <v>260</v>
      </c>
      <c r="J890" s="17">
        <f>+Tabla132112410[[#This Row],[CANTIDAD TOTAL]]*Tabla132112410[[#This Row],[PRECIO UNITARIO ESTIMADO]]</f>
        <v>0</v>
      </c>
      <c r="K890" s="17"/>
      <c r="L890" s="16" t="s">
        <v>18</v>
      </c>
      <c r="M890" s="16" t="s">
        <v>22</v>
      </c>
      <c r="N890" s="39" t="s">
        <v>418</v>
      </c>
    </row>
    <row r="891" spans="1:14" s="12" customFormat="1" ht="30.75" customHeight="1">
      <c r="A891" s="178" t="s">
        <v>99</v>
      </c>
      <c r="B891" s="75" t="s">
        <v>307</v>
      </c>
      <c r="C891" s="39" t="s">
        <v>308</v>
      </c>
      <c r="D891" s="236"/>
      <c r="E891" s="236"/>
      <c r="F891" s="236"/>
      <c r="G891" s="236"/>
      <c r="H891" s="40">
        <f>SUM(Tabla132112410[[#This Row],[PRIMER TRIMESTRE]:[CUARTO TRIMESTRE]])</f>
        <v>0</v>
      </c>
      <c r="I891" s="17">
        <v>1237.82</v>
      </c>
      <c r="J891" s="17">
        <f>+Tabla132112410[[#This Row],[CANTIDAD TOTAL]]*Tabla132112410[[#This Row],[PRECIO UNITARIO ESTIMADO]]</f>
        <v>0</v>
      </c>
      <c r="K891" s="17"/>
      <c r="L891" s="16" t="s">
        <v>18</v>
      </c>
      <c r="M891" s="16" t="s">
        <v>22</v>
      </c>
      <c r="N891" s="39" t="s">
        <v>418</v>
      </c>
    </row>
    <row r="892" spans="1:14" s="12" customFormat="1" ht="30.75" customHeight="1">
      <c r="A892" s="178" t="s">
        <v>99</v>
      </c>
      <c r="B892" s="75" t="s">
        <v>309</v>
      </c>
      <c r="C892" s="39" t="s">
        <v>308</v>
      </c>
      <c r="D892" s="236"/>
      <c r="E892" s="236"/>
      <c r="F892" s="236"/>
      <c r="G892" s="236"/>
      <c r="H892" s="40">
        <f>SUM(Tabla132112410[[#This Row],[PRIMER TRIMESTRE]:[CUARTO TRIMESTRE]])</f>
        <v>0</v>
      </c>
      <c r="I892" s="17">
        <v>1770</v>
      </c>
      <c r="J892" s="17">
        <f>+Tabla132112410[[#This Row],[CANTIDAD TOTAL]]*Tabla132112410[[#This Row],[PRECIO UNITARIO ESTIMADO]]</f>
        <v>0</v>
      </c>
      <c r="K892" s="17"/>
      <c r="L892" s="16" t="s">
        <v>18</v>
      </c>
      <c r="M892" s="16" t="s">
        <v>22</v>
      </c>
      <c r="N892" s="39" t="s">
        <v>418</v>
      </c>
    </row>
    <row r="893" spans="1:14" s="12" customFormat="1" ht="30.75" customHeight="1">
      <c r="A893" s="178" t="s">
        <v>99</v>
      </c>
      <c r="B893" s="75" t="s">
        <v>230</v>
      </c>
      <c r="C893" s="39" t="s">
        <v>17</v>
      </c>
      <c r="D893" s="236"/>
      <c r="E893" s="236"/>
      <c r="F893" s="236"/>
      <c r="G893" s="236"/>
      <c r="H893" s="40">
        <f>SUM(Tabla132112410[[#This Row],[PRIMER TRIMESTRE]:[CUARTO TRIMESTRE]])</f>
        <v>0</v>
      </c>
      <c r="I893" s="17">
        <v>1740</v>
      </c>
      <c r="J893" s="17">
        <f>+Tabla132112410[[#This Row],[CANTIDAD TOTAL]]*Tabla132112410[[#This Row],[PRECIO UNITARIO ESTIMADO]]</f>
        <v>0</v>
      </c>
      <c r="K893" s="17"/>
      <c r="L893" s="16" t="s">
        <v>18</v>
      </c>
      <c r="M893" s="16" t="s">
        <v>22</v>
      </c>
      <c r="N893" s="39" t="s">
        <v>418</v>
      </c>
    </row>
    <row r="894" spans="1:14" s="12" customFormat="1" ht="30.75" customHeight="1">
      <c r="A894" s="178" t="s">
        <v>99</v>
      </c>
      <c r="B894" s="75" t="s">
        <v>310</v>
      </c>
      <c r="C894" s="39" t="s">
        <v>308</v>
      </c>
      <c r="D894" s="236"/>
      <c r="E894" s="236"/>
      <c r="F894" s="236"/>
      <c r="G894" s="236"/>
      <c r="H894" s="40">
        <f>SUM(Tabla132112410[[#This Row],[PRIMER TRIMESTRE]:[CUARTO TRIMESTRE]])</f>
        <v>0</v>
      </c>
      <c r="I894" s="17">
        <v>1298</v>
      </c>
      <c r="J894" s="17">
        <f>+Tabla132112410[[#This Row],[CANTIDAD TOTAL]]*Tabla132112410[[#This Row],[PRECIO UNITARIO ESTIMADO]]</f>
        <v>0</v>
      </c>
      <c r="K894" s="17"/>
      <c r="L894" s="16" t="s">
        <v>18</v>
      </c>
      <c r="M894" s="16" t="s">
        <v>22</v>
      </c>
      <c r="N894" s="39" t="s">
        <v>418</v>
      </c>
    </row>
    <row r="895" spans="1:14" s="12" customFormat="1" ht="30.75" customHeight="1">
      <c r="A895" s="178" t="s">
        <v>99</v>
      </c>
      <c r="B895" s="75" t="s">
        <v>311</v>
      </c>
      <c r="C895" s="39" t="s">
        <v>312</v>
      </c>
      <c r="D895" s="236"/>
      <c r="E895" s="236"/>
      <c r="F895" s="236"/>
      <c r="G895" s="236"/>
      <c r="H895" s="40">
        <f>SUM(Tabla132112410[[#This Row],[PRIMER TRIMESTRE]:[CUARTO TRIMESTRE]])</f>
        <v>0</v>
      </c>
      <c r="I895" s="17">
        <v>3418.58</v>
      </c>
      <c r="J895" s="17">
        <f>+Tabla132112410[[#This Row],[CANTIDAD TOTAL]]*Tabla132112410[[#This Row],[PRECIO UNITARIO ESTIMADO]]</f>
        <v>0</v>
      </c>
      <c r="K895" s="17"/>
      <c r="L895" s="16" t="s">
        <v>18</v>
      </c>
      <c r="M895" s="16" t="s">
        <v>22</v>
      </c>
      <c r="N895" s="39" t="s">
        <v>418</v>
      </c>
    </row>
    <row r="896" spans="1:14" s="12" customFormat="1" ht="30.75" customHeight="1">
      <c r="A896" s="178" t="s">
        <v>99</v>
      </c>
      <c r="B896" s="75" t="s">
        <v>314</v>
      </c>
      <c r="C896" s="39" t="s">
        <v>315</v>
      </c>
      <c r="D896" s="236"/>
      <c r="E896" s="236"/>
      <c r="F896" s="236"/>
      <c r="G896" s="236"/>
      <c r="H896" s="40">
        <f>SUM(Tabla132112410[[#This Row],[PRIMER TRIMESTRE]:[CUARTO TRIMESTRE]])</f>
        <v>0</v>
      </c>
      <c r="I896" s="17">
        <v>1569.4</v>
      </c>
      <c r="J896" s="17">
        <f>+Tabla132112410[[#This Row],[CANTIDAD TOTAL]]*Tabla132112410[[#This Row],[PRECIO UNITARIO ESTIMADO]]</f>
        <v>0</v>
      </c>
      <c r="K896" s="17"/>
      <c r="L896" s="16" t="s">
        <v>18</v>
      </c>
      <c r="M896" s="16" t="s">
        <v>22</v>
      </c>
      <c r="N896" s="39" t="s">
        <v>418</v>
      </c>
    </row>
    <row r="897" spans="1:14" s="12" customFormat="1" ht="30">
      <c r="A897" s="178" t="s">
        <v>99</v>
      </c>
      <c r="B897" s="75" t="s">
        <v>313</v>
      </c>
      <c r="C897" s="39" t="s">
        <v>308</v>
      </c>
      <c r="D897" s="236"/>
      <c r="E897" s="236"/>
      <c r="F897" s="236"/>
      <c r="G897" s="236"/>
      <c r="H897" s="40">
        <f>SUM(Tabla132112410[[#This Row],[PRIMER TRIMESTRE]:[CUARTO TRIMESTRE]])</f>
        <v>0</v>
      </c>
      <c r="I897" s="17">
        <v>3651.69</v>
      </c>
      <c r="J897" s="17">
        <f>+Tabla132112410[[#This Row],[CANTIDAD TOTAL]]*Tabla132112410[[#This Row],[PRECIO UNITARIO ESTIMADO]]</f>
        <v>0</v>
      </c>
      <c r="K897" s="17"/>
      <c r="L897" s="16" t="s">
        <v>18</v>
      </c>
      <c r="M897" s="16" t="s">
        <v>22</v>
      </c>
      <c r="N897" s="39" t="s">
        <v>418</v>
      </c>
    </row>
    <row r="898" spans="1:14" s="12" customFormat="1" ht="30">
      <c r="A898" s="178" t="s">
        <v>99</v>
      </c>
      <c r="B898" s="75" t="s">
        <v>231</v>
      </c>
      <c r="C898" s="39" t="s">
        <v>17</v>
      </c>
      <c r="D898" s="236"/>
      <c r="E898" s="236"/>
      <c r="F898" s="236"/>
      <c r="G898" s="236"/>
      <c r="H898" s="40">
        <f>SUM(Tabla132112410[[#This Row],[PRIMER TRIMESTRE]:[CUARTO TRIMESTRE]])</f>
        <v>0</v>
      </c>
      <c r="I898" s="17">
        <v>574.20000000000005</v>
      </c>
      <c r="J898" s="17">
        <f>+Tabla132112410[[#This Row],[CANTIDAD TOTAL]]*Tabla132112410[[#This Row],[PRECIO UNITARIO ESTIMADO]]</f>
        <v>0</v>
      </c>
      <c r="K898" s="17"/>
      <c r="L898" s="16" t="s">
        <v>18</v>
      </c>
      <c r="M898" s="16" t="s">
        <v>22</v>
      </c>
      <c r="N898" s="39" t="s">
        <v>418</v>
      </c>
    </row>
    <row r="899" spans="1:14" s="12" customFormat="1" ht="30">
      <c r="A899" s="178" t="s">
        <v>99</v>
      </c>
      <c r="B899" s="75" t="s">
        <v>232</v>
      </c>
      <c r="C899" s="39" t="s">
        <v>17</v>
      </c>
      <c r="D899" s="236"/>
      <c r="E899" s="236"/>
      <c r="F899" s="236"/>
      <c r="G899" s="236"/>
      <c r="H899" s="40">
        <f>SUM(Tabla132112410[[#This Row],[PRIMER TRIMESTRE]:[CUARTO TRIMESTRE]])</f>
        <v>0</v>
      </c>
      <c r="I899" s="17">
        <v>1035</v>
      </c>
      <c r="J899" s="17">
        <f>+Tabla132112410[[#This Row],[CANTIDAD TOTAL]]*Tabla132112410[[#This Row],[PRECIO UNITARIO ESTIMADO]]</f>
        <v>0</v>
      </c>
      <c r="K899" s="17"/>
      <c r="L899" s="16" t="s">
        <v>18</v>
      </c>
      <c r="M899" s="16" t="s">
        <v>22</v>
      </c>
      <c r="N899" s="39" t="s">
        <v>418</v>
      </c>
    </row>
    <row r="900" spans="1:14" s="12" customFormat="1" ht="30">
      <c r="A900" s="178" t="s">
        <v>99</v>
      </c>
      <c r="B900" s="75" t="s">
        <v>1031</v>
      </c>
      <c r="C900" s="39" t="s">
        <v>1037</v>
      </c>
      <c r="D900" s="236"/>
      <c r="E900" s="236"/>
      <c r="F900" s="236"/>
      <c r="G900" s="236"/>
      <c r="H900" s="40">
        <f>SUM(Tabla132112410[[#This Row],[PRIMER TRIMESTRE]:[CUARTO TRIMESTRE]])</f>
        <v>0</v>
      </c>
      <c r="I900" s="17">
        <v>3800</v>
      </c>
      <c r="J900" s="17">
        <f t="shared" ref="J900:J964" si="25">+H900*I900</f>
        <v>0</v>
      </c>
      <c r="K900" s="17"/>
      <c r="L900" s="16" t="s">
        <v>18</v>
      </c>
      <c r="M900" s="16" t="s">
        <v>22</v>
      </c>
      <c r="N900" s="39" t="s">
        <v>418</v>
      </c>
    </row>
    <row r="901" spans="1:14" s="12" customFormat="1" ht="30">
      <c r="A901" s="178" t="s">
        <v>99</v>
      </c>
      <c r="B901" s="75" t="s">
        <v>1032</v>
      </c>
      <c r="C901" s="39" t="s">
        <v>1037</v>
      </c>
      <c r="D901" s="236"/>
      <c r="E901" s="236"/>
      <c r="F901" s="236"/>
      <c r="G901" s="236"/>
      <c r="H901" s="40">
        <f>SUM(Tabla132112410[[#This Row],[PRIMER TRIMESTRE]:[CUARTO TRIMESTRE]])</f>
        <v>0</v>
      </c>
      <c r="I901" s="17">
        <v>11200</v>
      </c>
      <c r="J901" s="17">
        <f t="shared" si="25"/>
        <v>0</v>
      </c>
      <c r="K901" s="17"/>
      <c r="L901" s="16" t="s">
        <v>18</v>
      </c>
      <c r="M901" s="16" t="s">
        <v>22</v>
      </c>
      <c r="N901" s="39" t="s">
        <v>418</v>
      </c>
    </row>
    <row r="902" spans="1:14" s="12" customFormat="1" ht="30">
      <c r="A902" s="178" t="s">
        <v>99</v>
      </c>
      <c r="B902" s="75" t="s">
        <v>1033</v>
      </c>
      <c r="C902" s="39" t="s">
        <v>1037</v>
      </c>
      <c r="D902" s="236"/>
      <c r="E902" s="236"/>
      <c r="F902" s="236"/>
      <c r="G902" s="236"/>
      <c r="H902" s="40">
        <f>SUM(Tabla132112410[[#This Row],[PRIMER TRIMESTRE]:[CUARTO TRIMESTRE]])</f>
        <v>0</v>
      </c>
      <c r="I902" s="17">
        <v>3700</v>
      </c>
      <c r="J902" s="17">
        <f t="shared" si="25"/>
        <v>0</v>
      </c>
      <c r="K902" s="17"/>
      <c r="L902" s="16" t="s">
        <v>18</v>
      </c>
      <c r="M902" s="16" t="s">
        <v>22</v>
      </c>
      <c r="N902" s="39" t="s">
        <v>418</v>
      </c>
    </row>
    <row r="903" spans="1:14" s="12" customFormat="1" ht="30">
      <c r="A903" s="178" t="s">
        <v>99</v>
      </c>
      <c r="B903" s="75" t="s">
        <v>1034</v>
      </c>
      <c r="C903" s="39" t="s">
        <v>1037</v>
      </c>
      <c r="D903" s="236"/>
      <c r="E903" s="236"/>
      <c r="F903" s="236"/>
      <c r="G903" s="236"/>
      <c r="H903" s="40">
        <f>SUM(Tabla132112410[[#This Row],[PRIMER TRIMESTRE]:[CUARTO TRIMESTRE]])</f>
        <v>0</v>
      </c>
      <c r="I903" s="17">
        <v>4500</v>
      </c>
      <c r="J903" s="17">
        <f t="shared" si="25"/>
        <v>0</v>
      </c>
      <c r="K903" s="17"/>
      <c r="L903" s="16" t="s">
        <v>15</v>
      </c>
      <c r="M903" s="16" t="s">
        <v>22</v>
      </c>
      <c r="N903" s="39" t="s">
        <v>418</v>
      </c>
    </row>
    <row r="904" spans="1:14" s="12" customFormat="1" ht="30">
      <c r="A904" s="178" t="s">
        <v>99</v>
      </c>
      <c r="B904" s="75" t="s">
        <v>1035</v>
      </c>
      <c r="C904" s="39" t="s">
        <v>1037</v>
      </c>
      <c r="D904" s="236"/>
      <c r="E904" s="236"/>
      <c r="F904" s="236"/>
      <c r="G904" s="236"/>
      <c r="H904" s="40">
        <f>SUM(Tabla132112410[[#This Row],[PRIMER TRIMESTRE]:[CUARTO TRIMESTRE]])</f>
        <v>0</v>
      </c>
      <c r="I904" s="17">
        <v>2800</v>
      </c>
      <c r="J904" s="17">
        <f t="shared" si="25"/>
        <v>0</v>
      </c>
      <c r="K904" s="17"/>
      <c r="L904" s="16" t="s">
        <v>15</v>
      </c>
      <c r="M904" s="16" t="s">
        <v>22</v>
      </c>
      <c r="N904" s="39" t="s">
        <v>418</v>
      </c>
    </row>
    <row r="905" spans="1:14" s="12" customFormat="1" ht="30">
      <c r="A905" s="178" t="s">
        <v>99</v>
      </c>
      <c r="B905" s="75" t="s">
        <v>1036</v>
      </c>
      <c r="C905" s="39" t="s">
        <v>1037</v>
      </c>
      <c r="D905" s="236"/>
      <c r="E905" s="236"/>
      <c r="F905" s="236"/>
      <c r="G905" s="236"/>
      <c r="H905" s="40">
        <f>SUM(Tabla132112410[[#This Row],[PRIMER TRIMESTRE]:[CUARTO TRIMESTRE]])</f>
        <v>0</v>
      </c>
      <c r="I905" s="17">
        <v>3500</v>
      </c>
      <c r="J905" s="17">
        <f t="shared" si="25"/>
        <v>0</v>
      </c>
      <c r="K905" s="17"/>
      <c r="L905" s="16" t="s">
        <v>18</v>
      </c>
      <c r="M905" s="16" t="s">
        <v>22</v>
      </c>
      <c r="N905" s="39" t="s">
        <v>418</v>
      </c>
    </row>
    <row r="906" spans="1:14" s="12" customFormat="1" ht="30">
      <c r="A906" s="178" t="s">
        <v>99</v>
      </c>
      <c r="B906" s="75" t="s">
        <v>1038</v>
      </c>
      <c r="C906" s="39" t="s">
        <v>1037</v>
      </c>
      <c r="D906" s="236"/>
      <c r="E906" s="236"/>
      <c r="F906" s="236"/>
      <c r="G906" s="236"/>
      <c r="H906" s="40">
        <f>SUM(Tabla132112410[[#This Row],[PRIMER TRIMESTRE]:[CUARTO TRIMESTRE]])</f>
        <v>0</v>
      </c>
      <c r="I906" s="17">
        <v>2500</v>
      </c>
      <c r="J906" s="17">
        <f t="shared" si="25"/>
        <v>0</v>
      </c>
      <c r="K906" s="17"/>
      <c r="L906" s="16" t="s">
        <v>18</v>
      </c>
      <c r="M906" s="16" t="s">
        <v>22</v>
      </c>
      <c r="N906" s="39" t="s">
        <v>418</v>
      </c>
    </row>
    <row r="907" spans="1:14" s="12" customFormat="1" ht="30">
      <c r="A907" s="178" t="s">
        <v>99</v>
      </c>
      <c r="B907" s="75" t="s">
        <v>1039</v>
      </c>
      <c r="C907" s="39" t="s">
        <v>1037</v>
      </c>
      <c r="D907" s="236"/>
      <c r="E907" s="236"/>
      <c r="F907" s="236"/>
      <c r="G907" s="236"/>
      <c r="H907" s="40">
        <f>SUM(Tabla132112410[[#This Row],[PRIMER TRIMESTRE]:[CUARTO TRIMESTRE]])</f>
        <v>0</v>
      </c>
      <c r="I907" s="17">
        <v>3000</v>
      </c>
      <c r="J907" s="17">
        <f t="shared" si="25"/>
        <v>0</v>
      </c>
      <c r="K907" s="17"/>
      <c r="L907" s="16" t="s">
        <v>18</v>
      </c>
      <c r="M907" s="16" t="s">
        <v>22</v>
      </c>
      <c r="N907" s="39" t="s">
        <v>418</v>
      </c>
    </row>
    <row r="908" spans="1:14" s="12" customFormat="1" ht="30">
      <c r="A908" s="178" t="s">
        <v>99</v>
      </c>
      <c r="B908" s="75" t="s">
        <v>1040</v>
      </c>
      <c r="C908" s="39" t="s">
        <v>1037</v>
      </c>
      <c r="D908" s="236"/>
      <c r="E908" s="236"/>
      <c r="F908" s="236"/>
      <c r="G908" s="236"/>
      <c r="H908" s="40">
        <f>SUM(Tabla132112410[[#This Row],[PRIMER TRIMESTRE]:[CUARTO TRIMESTRE]])</f>
        <v>0</v>
      </c>
      <c r="I908" s="17">
        <v>3500</v>
      </c>
      <c r="J908" s="17">
        <f t="shared" si="25"/>
        <v>0</v>
      </c>
      <c r="K908" s="17"/>
      <c r="L908" s="16" t="s">
        <v>18</v>
      </c>
      <c r="M908" s="16" t="s">
        <v>22</v>
      </c>
      <c r="N908" s="39" t="s">
        <v>418</v>
      </c>
    </row>
    <row r="909" spans="1:14" s="12" customFormat="1" ht="30">
      <c r="A909" s="178" t="s">
        <v>99</v>
      </c>
      <c r="B909" s="75" t="s">
        <v>1041</v>
      </c>
      <c r="C909" s="39" t="s">
        <v>1037</v>
      </c>
      <c r="D909" s="236"/>
      <c r="E909" s="236"/>
      <c r="F909" s="236"/>
      <c r="G909" s="236"/>
      <c r="H909" s="40">
        <f>SUM(Tabla132112410[[#This Row],[PRIMER TRIMESTRE]:[CUARTO TRIMESTRE]])</f>
        <v>0</v>
      </c>
      <c r="I909" s="17">
        <v>4000</v>
      </c>
      <c r="J909" s="17">
        <f t="shared" si="25"/>
        <v>0</v>
      </c>
      <c r="K909" s="17"/>
      <c r="L909" s="16" t="s">
        <v>18</v>
      </c>
      <c r="M909" s="16" t="s">
        <v>22</v>
      </c>
      <c r="N909" s="39" t="s">
        <v>418</v>
      </c>
    </row>
    <row r="910" spans="1:14" s="12" customFormat="1" ht="30">
      <c r="A910" s="178" t="s">
        <v>99</v>
      </c>
      <c r="B910" s="75" t="s">
        <v>1042</v>
      </c>
      <c r="C910" s="39" t="s">
        <v>1037</v>
      </c>
      <c r="D910" s="236"/>
      <c r="E910" s="236"/>
      <c r="F910" s="236"/>
      <c r="G910" s="236"/>
      <c r="H910" s="40">
        <f>SUM(Tabla132112410[[#This Row],[PRIMER TRIMESTRE]:[CUARTO TRIMESTRE]])</f>
        <v>0</v>
      </c>
      <c r="I910" s="17">
        <v>6000</v>
      </c>
      <c r="J910" s="17">
        <f t="shared" si="25"/>
        <v>0</v>
      </c>
      <c r="K910" s="17"/>
      <c r="L910" s="16" t="s">
        <v>18</v>
      </c>
      <c r="M910" s="16" t="s">
        <v>22</v>
      </c>
      <c r="N910" s="39" t="s">
        <v>418</v>
      </c>
    </row>
    <row r="911" spans="1:14" s="12" customFormat="1" ht="30">
      <c r="A911" s="178" t="s">
        <v>99</v>
      </c>
      <c r="B911" s="75" t="s">
        <v>1043</v>
      </c>
      <c r="C911" s="39" t="s">
        <v>1037</v>
      </c>
      <c r="D911" s="236"/>
      <c r="E911" s="236"/>
      <c r="F911" s="236"/>
      <c r="G911" s="236"/>
      <c r="H911" s="40">
        <f>SUM(Tabla132112410[[#This Row],[PRIMER TRIMESTRE]:[CUARTO TRIMESTRE]])</f>
        <v>0</v>
      </c>
      <c r="I911" s="17">
        <v>3500</v>
      </c>
      <c r="J911" s="17">
        <f t="shared" si="25"/>
        <v>0</v>
      </c>
      <c r="K911" s="17"/>
      <c r="L911" s="16" t="s">
        <v>18</v>
      </c>
      <c r="M911" s="16" t="s">
        <v>22</v>
      </c>
      <c r="N911" s="39" t="s">
        <v>418</v>
      </c>
    </row>
    <row r="912" spans="1:14" s="12" customFormat="1" ht="30">
      <c r="A912" s="178" t="s">
        <v>99</v>
      </c>
      <c r="B912" s="75" t="s">
        <v>1044</v>
      </c>
      <c r="C912" s="39" t="s">
        <v>1037</v>
      </c>
      <c r="D912" s="236"/>
      <c r="E912" s="236"/>
      <c r="F912" s="236"/>
      <c r="G912" s="236"/>
      <c r="H912" s="40">
        <f>SUM(Tabla132112410[[#This Row],[PRIMER TRIMESTRE]:[CUARTO TRIMESTRE]])</f>
        <v>0</v>
      </c>
      <c r="I912" s="17">
        <v>2500</v>
      </c>
      <c r="J912" s="17">
        <f t="shared" si="25"/>
        <v>0</v>
      </c>
      <c r="K912" s="17"/>
      <c r="L912" s="16" t="s">
        <v>18</v>
      </c>
      <c r="M912" s="16" t="s">
        <v>22</v>
      </c>
      <c r="N912" s="39" t="s">
        <v>418</v>
      </c>
    </row>
    <row r="913" spans="1:14" s="12" customFormat="1" ht="30">
      <c r="A913" s="178" t="s">
        <v>99</v>
      </c>
      <c r="B913" s="75" t="s">
        <v>1045</v>
      </c>
      <c r="C913" s="39" t="s">
        <v>1037</v>
      </c>
      <c r="D913" s="236"/>
      <c r="E913" s="236"/>
      <c r="F913" s="236"/>
      <c r="G913" s="236"/>
      <c r="H913" s="40">
        <f>SUM(Tabla132112410[[#This Row],[PRIMER TRIMESTRE]:[CUARTO TRIMESTRE]])</f>
        <v>0</v>
      </c>
      <c r="I913" s="17">
        <v>2000</v>
      </c>
      <c r="J913" s="17">
        <f t="shared" si="25"/>
        <v>0</v>
      </c>
      <c r="K913" s="17"/>
      <c r="L913" s="16" t="s">
        <v>18</v>
      </c>
      <c r="M913" s="16" t="s">
        <v>22</v>
      </c>
      <c r="N913" s="39" t="s">
        <v>418</v>
      </c>
    </row>
    <row r="914" spans="1:14" s="12" customFormat="1" ht="30">
      <c r="A914" s="178" t="s">
        <v>99</v>
      </c>
      <c r="B914" s="75" t="s">
        <v>1046</v>
      </c>
      <c r="C914" s="39" t="s">
        <v>1037</v>
      </c>
      <c r="D914" s="236"/>
      <c r="E914" s="236"/>
      <c r="F914" s="236"/>
      <c r="G914" s="236"/>
      <c r="H914" s="40">
        <f>SUM(Tabla132112410[[#This Row],[PRIMER TRIMESTRE]:[CUARTO TRIMESTRE]])</f>
        <v>0</v>
      </c>
      <c r="I914" s="17">
        <v>3000</v>
      </c>
      <c r="J914" s="17">
        <f t="shared" si="25"/>
        <v>0</v>
      </c>
      <c r="K914" s="17"/>
      <c r="L914" s="16" t="s">
        <v>18</v>
      </c>
      <c r="M914" s="16" t="s">
        <v>22</v>
      </c>
      <c r="N914" s="39" t="s">
        <v>418</v>
      </c>
    </row>
    <row r="915" spans="1:14" s="12" customFormat="1" ht="30">
      <c r="A915" s="178" t="s">
        <v>99</v>
      </c>
      <c r="B915" s="75" t="s">
        <v>1047</v>
      </c>
      <c r="C915" s="39" t="s">
        <v>1037</v>
      </c>
      <c r="D915" s="236"/>
      <c r="E915" s="236"/>
      <c r="F915" s="236"/>
      <c r="G915" s="236"/>
      <c r="H915" s="40">
        <f>SUM(Tabla132112410[[#This Row],[PRIMER TRIMESTRE]:[CUARTO TRIMESTRE]])</f>
        <v>0</v>
      </c>
      <c r="I915" s="17">
        <v>3500</v>
      </c>
      <c r="J915" s="17">
        <f t="shared" si="25"/>
        <v>0</v>
      </c>
      <c r="K915" s="17"/>
      <c r="L915" s="16" t="s">
        <v>18</v>
      </c>
      <c r="M915" s="16" t="s">
        <v>22</v>
      </c>
      <c r="N915" s="39" t="s">
        <v>418</v>
      </c>
    </row>
    <row r="916" spans="1:14" s="12" customFormat="1" ht="51">
      <c r="A916" s="178" t="s">
        <v>99</v>
      </c>
      <c r="B916" s="75" t="s">
        <v>1048</v>
      </c>
      <c r="C916" s="39" t="s">
        <v>1063</v>
      </c>
      <c r="D916" s="236"/>
      <c r="E916" s="236"/>
      <c r="F916" s="236"/>
      <c r="G916" s="236"/>
      <c r="H916" s="40">
        <f>SUM(Tabla132112410[[#This Row],[PRIMER TRIMESTRE]:[CUARTO TRIMESTRE]])</f>
        <v>0</v>
      </c>
      <c r="I916" s="17">
        <v>3500</v>
      </c>
      <c r="J916" s="17">
        <f t="shared" si="25"/>
        <v>0</v>
      </c>
      <c r="K916" s="17"/>
      <c r="L916" s="16" t="s">
        <v>18</v>
      </c>
      <c r="M916" s="16" t="s">
        <v>22</v>
      </c>
      <c r="N916" s="39" t="s">
        <v>418</v>
      </c>
    </row>
    <row r="917" spans="1:14" s="12" customFormat="1" ht="30">
      <c r="A917" s="178" t="s">
        <v>99</v>
      </c>
      <c r="B917" s="75" t="s">
        <v>1049</v>
      </c>
      <c r="C917" s="39" t="s">
        <v>1063</v>
      </c>
      <c r="D917" s="236"/>
      <c r="E917" s="236"/>
      <c r="F917" s="236"/>
      <c r="G917" s="236"/>
      <c r="H917" s="40">
        <f>SUM(Tabla132112410[[#This Row],[PRIMER TRIMESTRE]:[CUARTO TRIMESTRE]])</f>
        <v>0</v>
      </c>
      <c r="I917" s="17">
        <v>2500</v>
      </c>
      <c r="J917" s="17">
        <f t="shared" si="25"/>
        <v>0</v>
      </c>
      <c r="K917" s="17"/>
      <c r="L917" s="16" t="s">
        <v>15</v>
      </c>
      <c r="M917" s="16" t="s">
        <v>22</v>
      </c>
      <c r="N917" s="39" t="s">
        <v>418</v>
      </c>
    </row>
    <row r="918" spans="1:14" s="12" customFormat="1" ht="30">
      <c r="A918" s="178" t="s">
        <v>99</v>
      </c>
      <c r="B918" s="75" t="s">
        <v>1050</v>
      </c>
      <c r="C918" s="39" t="s">
        <v>1063</v>
      </c>
      <c r="D918" s="236"/>
      <c r="E918" s="236"/>
      <c r="F918" s="236"/>
      <c r="G918" s="236"/>
      <c r="H918" s="40">
        <f>SUM(Tabla132112410[[#This Row],[PRIMER TRIMESTRE]:[CUARTO TRIMESTRE]])</f>
        <v>0</v>
      </c>
      <c r="I918" s="17">
        <v>2500</v>
      </c>
      <c r="J918" s="17">
        <f t="shared" si="25"/>
        <v>0</v>
      </c>
      <c r="K918" s="17"/>
      <c r="L918" s="16" t="s">
        <v>18</v>
      </c>
      <c r="M918" s="16" t="s">
        <v>22</v>
      </c>
      <c r="N918" s="39" t="s">
        <v>418</v>
      </c>
    </row>
    <row r="919" spans="1:14" s="12" customFormat="1" ht="30">
      <c r="A919" s="178" t="s">
        <v>99</v>
      </c>
      <c r="B919" s="75" t="s">
        <v>1051</v>
      </c>
      <c r="C919" s="39" t="s">
        <v>1037</v>
      </c>
      <c r="D919" s="236"/>
      <c r="E919" s="236"/>
      <c r="F919" s="236"/>
      <c r="G919" s="236"/>
      <c r="H919" s="40">
        <f>SUM(Tabla132112410[[#This Row],[PRIMER TRIMESTRE]:[CUARTO TRIMESTRE]])</f>
        <v>0</v>
      </c>
      <c r="I919" s="17">
        <v>3000</v>
      </c>
      <c r="J919" s="17">
        <f t="shared" si="25"/>
        <v>0</v>
      </c>
      <c r="K919" s="17"/>
      <c r="L919" s="16" t="s">
        <v>18</v>
      </c>
      <c r="M919" s="16" t="s">
        <v>22</v>
      </c>
      <c r="N919" s="39" t="s">
        <v>418</v>
      </c>
    </row>
    <row r="920" spans="1:14" s="12" customFormat="1" ht="30">
      <c r="A920" s="178" t="s">
        <v>99</v>
      </c>
      <c r="B920" s="75" t="s">
        <v>1052</v>
      </c>
      <c r="C920" s="39" t="s">
        <v>1064</v>
      </c>
      <c r="D920" s="236"/>
      <c r="E920" s="236"/>
      <c r="F920" s="236"/>
      <c r="G920" s="236"/>
      <c r="H920" s="40">
        <f>SUM(Tabla132112410[[#This Row],[PRIMER TRIMESTRE]:[CUARTO TRIMESTRE]])</f>
        <v>0</v>
      </c>
      <c r="I920" s="17">
        <v>2500</v>
      </c>
      <c r="J920" s="17">
        <f t="shared" si="25"/>
        <v>0</v>
      </c>
      <c r="K920" s="17"/>
      <c r="L920" s="16" t="s">
        <v>18</v>
      </c>
      <c r="M920" s="16" t="s">
        <v>22</v>
      </c>
      <c r="N920" s="39" t="s">
        <v>418</v>
      </c>
    </row>
    <row r="921" spans="1:14" s="12" customFormat="1" ht="30">
      <c r="A921" s="178" t="s">
        <v>99</v>
      </c>
      <c r="B921" s="75" t="s">
        <v>1053</v>
      </c>
      <c r="C921" s="39" t="s">
        <v>1064</v>
      </c>
      <c r="D921" s="236"/>
      <c r="E921" s="236"/>
      <c r="F921" s="236"/>
      <c r="G921" s="236"/>
      <c r="H921" s="40">
        <f>SUM(Tabla132112410[[#This Row],[PRIMER TRIMESTRE]:[CUARTO TRIMESTRE]])</f>
        <v>0</v>
      </c>
      <c r="I921" s="17">
        <v>2500</v>
      </c>
      <c r="J921" s="17">
        <f t="shared" si="25"/>
        <v>0</v>
      </c>
      <c r="K921" s="17"/>
      <c r="L921" s="16" t="s">
        <v>18</v>
      </c>
      <c r="M921" s="16" t="s">
        <v>22</v>
      </c>
      <c r="N921" s="39" t="s">
        <v>418</v>
      </c>
    </row>
    <row r="922" spans="1:14" s="12" customFormat="1" ht="30">
      <c r="A922" s="178" t="s">
        <v>99</v>
      </c>
      <c r="B922" s="75" t="s">
        <v>1054</v>
      </c>
      <c r="C922" s="39" t="s">
        <v>1064</v>
      </c>
      <c r="D922" s="236"/>
      <c r="E922" s="236"/>
      <c r="F922" s="236"/>
      <c r="G922" s="236"/>
      <c r="H922" s="40">
        <f>SUM(Tabla132112410[[#This Row],[PRIMER TRIMESTRE]:[CUARTO TRIMESTRE]])</f>
        <v>0</v>
      </c>
      <c r="I922" s="17">
        <v>2000</v>
      </c>
      <c r="J922" s="17">
        <f t="shared" si="25"/>
        <v>0</v>
      </c>
      <c r="K922" s="17"/>
      <c r="L922" s="16" t="s">
        <v>18</v>
      </c>
      <c r="M922" s="16" t="s">
        <v>22</v>
      </c>
      <c r="N922" s="39" t="s">
        <v>418</v>
      </c>
    </row>
    <row r="923" spans="1:14" s="12" customFormat="1" ht="30">
      <c r="A923" s="178" t="s">
        <v>99</v>
      </c>
      <c r="B923" s="75" t="s">
        <v>1055</v>
      </c>
      <c r="C923" s="39" t="s">
        <v>1065</v>
      </c>
      <c r="D923" s="236"/>
      <c r="E923" s="236"/>
      <c r="F923" s="236"/>
      <c r="G923" s="236"/>
      <c r="H923" s="40">
        <f>SUM(Tabla132112410[[#This Row],[PRIMER TRIMESTRE]:[CUARTO TRIMESTRE]])</f>
        <v>0</v>
      </c>
      <c r="I923" s="17">
        <v>2000</v>
      </c>
      <c r="J923" s="17">
        <f t="shared" si="25"/>
        <v>0</v>
      </c>
      <c r="K923" s="17"/>
      <c r="L923" s="16" t="s">
        <v>18</v>
      </c>
      <c r="M923" s="16" t="s">
        <v>22</v>
      </c>
      <c r="N923" s="39" t="s">
        <v>418</v>
      </c>
    </row>
    <row r="924" spans="1:14" s="12" customFormat="1" ht="30">
      <c r="A924" s="178" t="s">
        <v>99</v>
      </c>
      <c r="B924" s="75" t="s">
        <v>1056</v>
      </c>
      <c r="C924" s="39" t="s">
        <v>1065</v>
      </c>
      <c r="D924" s="236"/>
      <c r="E924" s="236"/>
      <c r="F924" s="236"/>
      <c r="G924" s="236"/>
      <c r="H924" s="40">
        <f>SUM(Tabla132112410[[#This Row],[PRIMER TRIMESTRE]:[CUARTO TRIMESTRE]])</f>
        <v>0</v>
      </c>
      <c r="I924" s="17">
        <v>2100</v>
      </c>
      <c r="J924" s="17">
        <f t="shared" si="25"/>
        <v>0</v>
      </c>
      <c r="K924" s="17"/>
      <c r="L924" s="16" t="s">
        <v>18</v>
      </c>
      <c r="M924" s="16" t="s">
        <v>22</v>
      </c>
      <c r="N924" s="39" t="s">
        <v>418</v>
      </c>
    </row>
    <row r="925" spans="1:14" s="12" customFormat="1" ht="30">
      <c r="A925" s="178" t="s">
        <v>99</v>
      </c>
      <c r="B925" s="75" t="s">
        <v>1057</v>
      </c>
      <c r="C925" s="39" t="s">
        <v>1065</v>
      </c>
      <c r="D925" s="236"/>
      <c r="E925" s="236"/>
      <c r="F925" s="236"/>
      <c r="G925" s="236"/>
      <c r="H925" s="40">
        <f>SUM(Tabla132112410[[#This Row],[PRIMER TRIMESTRE]:[CUARTO TRIMESTRE]])</f>
        <v>0</v>
      </c>
      <c r="I925" s="17">
        <v>2500</v>
      </c>
      <c r="J925" s="17">
        <f t="shared" si="25"/>
        <v>0</v>
      </c>
      <c r="K925" s="17"/>
      <c r="L925" s="16" t="s">
        <v>18</v>
      </c>
      <c r="M925" s="16" t="s">
        <v>22</v>
      </c>
      <c r="N925" s="39" t="s">
        <v>418</v>
      </c>
    </row>
    <row r="926" spans="1:14" s="12" customFormat="1" ht="30">
      <c r="A926" s="178" t="s">
        <v>99</v>
      </c>
      <c r="B926" s="75" t="s">
        <v>1058</v>
      </c>
      <c r="C926" s="39" t="s">
        <v>1065</v>
      </c>
      <c r="D926" s="236"/>
      <c r="E926" s="236"/>
      <c r="F926" s="236"/>
      <c r="G926" s="236"/>
      <c r="H926" s="40">
        <f>SUM(Tabla132112410[[#This Row],[PRIMER TRIMESTRE]:[CUARTO TRIMESTRE]])</f>
        <v>0</v>
      </c>
      <c r="I926" s="17">
        <v>2500</v>
      </c>
      <c r="J926" s="17">
        <f t="shared" si="25"/>
        <v>0</v>
      </c>
      <c r="K926" s="17"/>
      <c r="L926" s="16" t="s">
        <v>18</v>
      </c>
      <c r="M926" s="16" t="s">
        <v>22</v>
      </c>
      <c r="N926" s="39" t="s">
        <v>418</v>
      </c>
    </row>
    <row r="927" spans="1:14" s="12" customFormat="1" ht="30">
      <c r="A927" s="178" t="s">
        <v>99</v>
      </c>
      <c r="B927" s="75" t="s">
        <v>1059</v>
      </c>
      <c r="C927" s="39" t="s">
        <v>1065</v>
      </c>
      <c r="D927" s="236"/>
      <c r="E927" s="236"/>
      <c r="F927" s="236"/>
      <c r="G927" s="236"/>
      <c r="H927" s="40">
        <f>SUM(Tabla132112410[[#This Row],[PRIMER TRIMESTRE]:[CUARTO TRIMESTRE]])</f>
        <v>0</v>
      </c>
      <c r="I927" s="17">
        <v>2500</v>
      </c>
      <c r="J927" s="17">
        <f t="shared" si="25"/>
        <v>0</v>
      </c>
      <c r="K927" s="17"/>
      <c r="L927" s="16" t="s">
        <v>18</v>
      </c>
      <c r="M927" s="16" t="s">
        <v>22</v>
      </c>
      <c r="N927" s="39" t="s">
        <v>418</v>
      </c>
    </row>
    <row r="928" spans="1:14" s="12" customFormat="1" ht="30">
      <c r="A928" s="178" t="s">
        <v>99</v>
      </c>
      <c r="B928" s="75" t="s">
        <v>1060</v>
      </c>
      <c r="C928" s="39" t="s">
        <v>1065</v>
      </c>
      <c r="D928" s="236"/>
      <c r="E928" s="236"/>
      <c r="F928" s="236"/>
      <c r="G928" s="236"/>
      <c r="H928" s="40">
        <f>SUM(Tabla132112410[[#This Row],[PRIMER TRIMESTRE]:[CUARTO TRIMESTRE]])</f>
        <v>0</v>
      </c>
      <c r="I928" s="17">
        <v>4000</v>
      </c>
      <c r="J928" s="17">
        <f t="shared" si="25"/>
        <v>0</v>
      </c>
      <c r="K928" s="17"/>
      <c r="L928" s="16" t="s">
        <v>18</v>
      </c>
      <c r="M928" s="16" t="s">
        <v>22</v>
      </c>
      <c r="N928" s="39" t="s">
        <v>418</v>
      </c>
    </row>
    <row r="929" spans="1:14" s="12" customFormat="1" ht="30">
      <c r="A929" s="178" t="s">
        <v>99</v>
      </c>
      <c r="B929" s="75" t="s">
        <v>1061</v>
      </c>
      <c r="C929" s="39" t="s">
        <v>1064</v>
      </c>
      <c r="D929" s="236"/>
      <c r="E929" s="236"/>
      <c r="F929" s="236"/>
      <c r="G929" s="236"/>
      <c r="H929" s="40">
        <f>SUM(Tabla132112410[[#This Row],[PRIMER TRIMESTRE]:[CUARTO TRIMESTRE]])</f>
        <v>0</v>
      </c>
      <c r="I929" s="17">
        <v>3000</v>
      </c>
      <c r="J929" s="17">
        <f t="shared" si="25"/>
        <v>0</v>
      </c>
      <c r="K929" s="17"/>
      <c r="L929" s="16" t="s">
        <v>18</v>
      </c>
      <c r="M929" s="16" t="s">
        <v>22</v>
      </c>
      <c r="N929" s="39" t="s">
        <v>418</v>
      </c>
    </row>
    <row r="930" spans="1:14" s="12" customFormat="1" ht="30">
      <c r="A930" s="178" t="s">
        <v>99</v>
      </c>
      <c r="B930" s="75" t="s">
        <v>1062</v>
      </c>
      <c r="C930" s="39" t="s">
        <v>290</v>
      </c>
      <c r="D930" s="236"/>
      <c r="E930" s="236"/>
      <c r="F930" s="236"/>
      <c r="G930" s="236"/>
      <c r="H930" s="40">
        <f>SUM(Tabla132112410[[#This Row],[PRIMER TRIMESTRE]:[CUARTO TRIMESTRE]])</f>
        <v>0</v>
      </c>
      <c r="I930" s="17">
        <v>1200</v>
      </c>
      <c r="J930" s="17">
        <f t="shared" si="25"/>
        <v>0</v>
      </c>
      <c r="K930" s="17"/>
      <c r="L930" s="16" t="s">
        <v>18</v>
      </c>
      <c r="M930" s="16" t="s">
        <v>22</v>
      </c>
      <c r="N930" s="39" t="s">
        <v>418</v>
      </c>
    </row>
    <row r="931" spans="1:14" s="12" customFormat="1" ht="30">
      <c r="A931" s="178" t="s">
        <v>99</v>
      </c>
      <c r="B931" s="75" t="s">
        <v>1066</v>
      </c>
      <c r="C931" s="39" t="s">
        <v>1067</v>
      </c>
      <c r="D931" s="236"/>
      <c r="E931" s="236"/>
      <c r="F931" s="236"/>
      <c r="G931" s="236"/>
      <c r="H931" s="40">
        <f>SUM(Tabla132112410[[#This Row],[PRIMER TRIMESTRE]:[CUARTO TRIMESTRE]])</f>
        <v>0</v>
      </c>
      <c r="I931" s="17">
        <v>10000</v>
      </c>
      <c r="J931" s="17">
        <f t="shared" si="25"/>
        <v>0</v>
      </c>
      <c r="K931" s="17"/>
      <c r="L931" s="16" t="s">
        <v>18</v>
      </c>
      <c r="M931" s="16" t="s">
        <v>22</v>
      </c>
      <c r="N931" s="39" t="s">
        <v>418</v>
      </c>
    </row>
    <row r="932" spans="1:14" s="12" customFormat="1" ht="30">
      <c r="A932" s="178" t="s">
        <v>99</v>
      </c>
      <c r="B932" s="75" t="s">
        <v>1068</v>
      </c>
      <c r="C932" s="39" t="s">
        <v>1067</v>
      </c>
      <c r="D932" s="236"/>
      <c r="E932" s="236"/>
      <c r="F932" s="236"/>
      <c r="G932" s="236"/>
      <c r="H932" s="40">
        <f>SUM(Tabla132112410[[#This Row],[PRIMER TRIMESTRE]:[CUARTO TRIMESTRE]])</f>
        <v>0</v>
      </c>
      <c r="I932" s="17">
        <v>10000</v>
      </c>
      <c r="J932" s="17">
        <f t="shared" si="25"/>
        <v>0</v>
      </c>
      <c r="K932" s="17"/>
      <c r="L932" s="16" t="s">
        <v>18</v>
      </c>
      <c r="M932" s="16" t="s">
        <v>22</v>
      </c>
      <c r="N932" s="39" t="s">
        <v>418</v>
      </c>
    </row>
    <row r="933" spans="1:14" s="12" customFormat="1" ht="38.25">
      <c r="A933" s="178" t="s">
        <v>99</v>
      </c>
      <c r="B933" s="75" t="s">
        <v>1069</v>
      </c>
      <c r="C933" s="39" t="s">
        <v>718</v>
      </c>
      <c r="D933" s="236"/>
      <c r="E933" s="236"/>
      <c r="F933" s="236"/>
      <c r="G933" s="236"/>
      <c r="H933" s="40">
        <f>SUM(Tabla132112410[[#This Row],[PRIMER TRIMESTRE]:[CUARTO TRIMESTRE]])</f>
        <v>0</v>
      </c>
      <c r="I933" s="17">
        <v>10000</v>
      </c>
      <c r="J933" s="17">
        <f t="shared" si="25"/>
        <v>0</v>
      </c>
      <c r="K933" s="17"/>
      <c r="L933" s="16" t="s">
        <v>18</v>
      </c>
      <c r="M933" s="16" t="s">
        <v>22</v>
      </c>
      <c r="N933" s="39" t="s">
        <v>418</v>
      </c>
    </row>
    <row r="934" spans="1:14" s="12" customFormat="1" ht="38.25">
      <c r="A934" s="178" t="s">
        <v>99</v>
      </c>
      <c r="B934" s="75" t="s">
        <v>1070</v>
      </c>
      <c r="C934" s="39" t="s">
        <v>208</v>
      </c>
      <c r="D934" s="236"/>
      <c r="E934" s="236"/>
      <c r="F934" s="236"/>
      <c r="G934" s="236"/>
      <c r="H934" s="40">
        <f>SUM(Tabla132112410[[#This Row],[PRIMER TRIMESTRE]:[CUARTO TRIMESTRE]])</f>
        <v>0</v>
      </c>
      <c r="I934" s="17">
        <v>10000</v>
      </c>
      <c r="J934" s="17">
        <f t="shared" si="25"/>
        <v>0</v>
      </c>
      <c r="K934" s="17"/>
      <c r="L934" s="16" t="s">
        <v>18</v>
      </c>
      <c r="M934" s="16" t="s">
        <v>22</v>
      </c>
      <c r="N934" s="39" t="s">
        <v>418</v>
      </c>
    </row>
    <row r="935" spans="1:14" s="12" customFormat="1" ht="30">
      <c r="A935" s="178" t="s">
        <v>99</v>
      </c>
      <c r="B935" s="75" t="s">
        <v>1071</v>
      </c>
      <c r="C935" s="39" t="s">
        <v>1065</v>
      </c>
      <c r="D935" s="236"/>
      <c r="E935" s="236"/>
      <c r="F935" s="236"/>
      <c r="G935" s="236"/>
      <c r="H935" s="40">
        <f>SUM(Tabla132112410[[#This Row],[PRIMER TRIMESTRE]:[CUARTO TRIMESTRE]])</f>
        <v>0</v>
      </c>
      <c r="I935" s="17">
        <v>800</v>
      </c>
      <c r="J935" s="17">
        <f t="shared" si="25"/>
        <v>0</v>
      </c>
      <c r="K935" s="17"/>
      <c r="L935" s="16" t="s">
        <v>18</v>
      </c>
      <c r="M935" s="16" t="s">
        <v>22</v>
      </c>
      <c r="N935" s="39" t="s">
        <v>418</v>
      </c>
    </row>
    <row r="936" spans="1:14" s="12" customFormat="1" ht="30">
      <c r="A936" s="178" t="s">
        <v>99</v>
      </c>
      <c r="B936" s="75" t="s">
        <v>1072</v>
      </c>
      <c r="C936" s="39" t="s">
        <v>1073</v>
      </c>
      <c r="D936" s="236"/>
      <c r="E936" s="236"/>
      <c r="F936" s="236"/>
      <c r="G936" s="236"/>
      <c r="H936" s="40">
        <f>SUM(Tabla132112410[[#This Row],[PRIMER TRIMESTRE]:[CUARTO TRIMESTRE]])</f>
        <v>0</v>
      </c>
      <c r="I936" s="17">
        <v>7500</v>
      </c>
      <c r="J936" s="17">
        <f t="shared" si="25"/>
        <v>0</v>
      </c>
      <c r="K936" s="17"/>
      <c r="L936" s="16" t="s">
        <v>18</v>
      </c>
      <c r="M936" s="16" t="s">
        <v>22</v>
      </c>
      <c r="N936" s="39" t="s">
        <v>418</v>
      </c>
    </row>
    <row r="937" spans="1:14" s="12" customFormat="1" ht="30">
      <c r="A937" s="178" t="s">
        <v>99</v>
      </c>
      <c r="B937" s="75" t="s">
        <v>1074</v>
      </c>
      <c r="C937" s="39" t="s">
        <v>1067</v>
      </c>
      <c r="D937" s="236"/>
      <c r="E937" s="236"/>
      <c r="F937" s="236"/>
      <c r="G937" s="236"/>
      <c r="H937" s="40">
        <f>SUM(Tabla132112410[[#This Row],[PRIMER TRIMESTRE]:[CUARTO TRIMESTRE]])</f>
        <v>0</v>
      </c>
      <c r="I937" s="17">
        <v>1000</v>
      </c>
      <c r="J937" s="17">
        <f t="shared" si="25"/>
        <v>0</v>
      </c>
      <c r="K937" s="17"/>
      <c r="L937" s="16" t="s">
        <v>18</v>
      </c>
      <c r="M937" s="16" t="s">
        <v>22</v>
      </c>
      <c r="N937" s="39" t="s">
        <v>418</v>
      </c>
    </row>
    <row r="938" spans="1:14" s="12" customFormat="1" ht="30">
      <c r="A938" s="178" t="s">
        <v>99</v>
      </c>
      <c r="B938" s="75" t="s">
        <v>1075</v>
      </c>
      <c r="C938" s="39" t="s">
        <v>1067</v>
      </c>
      <c r="D938" s="236"/>
      <c r="E938" s="236"/>
      <c r="F938" s="236"/>
      <c r="G938" s="236"/>
      <c r="H938" s="40">
        <f>SUM(Tabla132112410[[#This Row],[PRIMER TRIMESTRE]:[CUARTO TRIMESTRE]])</f>
        <v>0</v>
      </c>
      <c r="I938" s="17">
        <v>2500</v>
      </c>
      <c r="J938" s="17">
        <f t="shared" si="25"/>
        <v>0</v>
      </c>
      <c r="K938" s="17"/>
      <c r="L938" s="16" t="s">
        <v>18</v>
      </c>
      <c r="M938" s="16" t="s">
        <v>22</v>
      </c>
      <c r="N938" s="39" t="s">
        <v>418</v>
      </c>
    </row>
    <row r="939" spans="1:14" s="12" customFormat="1" ht="38.25">
      <c r="A939" s="178" t="s">
        <v>99</v>
      </c>
      <c r="B939" s="75" t="s">
        <v>1076</v>
      </c>
      <c r="C939" s="39" t="s">
        <v>1067</v>
      </c>
      <c r="D939" s="236"/>
      <c r="E939" s="236"/>
      <c r="F939" s="236"/>
      <c r="G939" s="236"/>
      <c r="H939" s="40">
        <f>SUM(Tabla132112410[[#This Row],[PRIMER TRIMESTRE]:[CUARTO TRIMESTRE]])</f>
        <v>0</v>
      </c>
      <c r="I939" s="17">
        <v>10000</v>
      </c>
      <c r="J939" s="17">
        <f t="shared" si="25"/>
        <v>0</v>
      </c>
      <c r="K939" s="17"/>
      <c r="L939" s="16" t="s">
        <v>18</v>
      </c>
      <c r="M939" s="16" t="s">
        <v>22</v>
      </c>
      <c r="N939" s="39" t="s">
        <v>418</v>
      </c>
    </row>
    <row r="940" spans="1:14" s="12" customFormat="1" ht="30">
      <c r="A940" s="178" t="s">
        <v>99</v>
      </c>
      <c r="B940" s="75" t="s">
        <v>1077</v>
      </c>
      <c r="C940" s="39" t="s">
        <v>718</v>
      </c>
      <c r="D940" s="236"/>
      <c r="E940" s="236"/>
      <c r="F940" s="236"/>
      <c r="G940" s="236"/>
      <c r="H940" s="40">
        <f>SUM(Tabla132112410[[#This Row],[PRIMER TRIMESTRE]:[CUARTO TRIMESTRE]])</f>
        <v>0</v>
      </c>
      <c r="I940" s="17">
        <v>10000</v>
      </c>
      <c r="J940" s="17">
        <f t="shared" si="25"/>
        <v>0</v>
      </c>
      <c r="K940" s="17"/>
      <c r="L940" s="16" t="s">
        <v>18</v>
      </c>
      <c r="M940" s="16" t="s">
        <v>22</v>
      </c>
      <c r="N940" s="39" t="s">
        <v>418</v>
      </c>
    </row>
    <row r="941" spans="1:14" s="12" customFormat="1" ht="38.25">
      <c r="A941" s="178" t="s">
        <v>99</v>
      </c>
      <c r="B941" s="75" t="s">
        <v>1078</v>
      </c>
      <c r="C941" s="39" t="s">
        <v>1067</v>
      </c>
      <c r="D941" s="236"/>
      <c r="E941" s="236"/>
      <c r="F941" s="236"/>
      <c r="G941" s="236"/>
      <c r="H941" s="40">
        <f>SUM(Tabla132112410[[#This Row],[PRIMER TRIMESTRE]:[CUARTO TRIMESTRE]])</f>
        <v>0</v>
      </c>
      <c r="I941" s="17">
        <v>1000</v>
      </c>
      <c r="J941" s="17">
        <f t="shared" si="25"/>
        <v>0</v>
      </c>
      <c r="K941" s="17"/>
      <c r="L941" s="16" t="s">
        <v>18</v>
      </c>
      <c r="M941" s="16" t="s">
        <v>22</v>
      </c>
      <c r="N941" s="39" t="s">
        <v>418</v>
      </c>
    </row>
    <row r="942" spans="1:14" s="12" customFormat="1" ht="30">
      <c r="A942" s="178" t="s">
        <v>99</v>
      </c>
      <c r="B942" s="75" t="s">
        <v>1079</v>
      </c>
      <c r="C942" s="39" t="s">
        <v>208</v>
      </c>
      <c r="D942" s="236"/>
      <c r="E942" s="236"/>
      <c r="F942" s="236"/>
      <c r="G942" s="236"/>
      <c r="H942" s="40">
        <f>SUM(Tabla132112410[[#This Row],[PRIMER TRIMESTRE]:[CUARTO TRIMESTRE]])</f>
        <v>0</v>
      </c>
      <c r="I942" s="17">
        <v>250</v>
      </c>
      <c r="J942" s="17">
        <f t="shared" si="25"/>
        <v>0</v>
      </c>
      <c r="K942" s="17"/>
      <c r="L942" s="16" t="s">
        <v>18</v>
      </c>
      <c r="M942" s="16" t="s">
        <v>22</v>
      </c>
      <c r="N942" s="39" t="s">
        <v>418</v>
      </c>
    </row>
    <row r="943" spans="1:14" s="12" customFormat="1" ht="38.25">
      <c r="A943" s="178" t="s">
        <v>99</v>
      </c>
      <c r="B943" s="75" t="s">
        <v>1080</v>
      </c>
      <c r="C943" s="39" t="s">
        <v>1067</v>
      </c>
      <c r="D943" s="236"/>
      <c r="E943" s="236"/>
      <c r="F943" s="236"/>
      <c r="G943" s="236"/>
      <c r="H943" s="40">
        <f>SUM(Tabla132112410[[#This Row],[PRIMER TRIMESTRE]:[CUARTO TRIMESTRE]])</f>
        <v>0</v>
      </c>
      <c r="I943" s="17">
        <v>1000</v>
      </c>
      <c r="J943" s="17">
        <f t="shared" si="25"/>
        <v>0</v>
      </c>
      <c r="K943" s="17"/>
      <c r="L943" s="16" t="s">
        <v>18</v>
      </c>
      <c r="M943" s="16" t="s">
        <v>22</v>
      </c>
      <c r="N943" s="39" t="s">
        <v>418</v>
      </c>
    </row>
    <row r="944" spans="1:14" s="12" customFormat="1" ht="38.25">
      <c r="A944" s="178" t="s">
        <v>99</v>
      </c>
      <c r="B944" s="75" t="s">
        <v>1081</v>
      </c>
      <c r="C944" s="39" t="s">
        <v>1067</v>
      </c>
      <c r="D944" s="236"/>
      <c r="E944" s="236"/>
      <c r="F944" s="236"/>
      <c r="G944" s="236"/>
      <c r="H944" s="40">
        <f>SUM(Tabla132112410[[#This Row],[PRIMER TRIMESTRE]:[CUARTO TRIMESTRE]])</f>
        <v>0</v>
      </c>
      <c r="I944" s="17">
        <v>1000</v>
      </c>
      <c r="J944" s="17">
        <f t="shared" si="25"/>
        <v>0</v>
      </c>
      <c r="K944" s="17"/>
      <c r="L944" s="16" t="s">
        <v>18</v>
      </c>
      <c r="M944" s="16" t="s">
        <v>22</v>
      </c>
      <c r="N944" s="39" t="s">
        <v>418</v>
      </c>
    </row>
    <row r="945" spans="1:14" s="12" customFormat="1" ht="38.25">
      <c r="A945" s="178" t="s">
        <v>99</v>
      </c>
      <c r="B945" s="75" t="s">
        <v>1082</v>
      </c>
      <c r="C945" s="39" t="s">
        <v>1067</v>
      </c>
      <c r="D945" s="236"/>
      <c r="E945" s="236"/>
      <c r="F945" s="236"/>
      <c r="G945" s="236"/>
      <c r="H945" s="40">
        <f>SUM(Tabla132112410[[#This Row],[PRIMER TRIMESTRE]:[CUARTO TRIMESTRE]])</f>
        <v>0</v>
      </c>
      <c r="I945" s="17">
        <v>1000</v>
      </c>
      <c r="J945" s="17">
        <f t="shared" si="25"/>
        <v>0</v>
      </c>
      <c r="K945" s="17"/>
      <c r="L945" s="16" t="s">
        <v>18</v>
      </c>
      <c r="M945" s="16" t="s">
        <v>22</v>
      </c>
      <c r="N945" s="39" t="s">
        <v>418</v>
      </c>
    </row>
    <row r="946" spans="1:14" s="12" customFormat="1" ht="30">
      <c r="A946" s="178" t="s">
        <v>99</v>
      </c>
      <c r="B946" s="75" t="s">
        <v>1083</v>
      </c>
      <c r="C946" s="39" t="s">
        <v>1067</v>
      </c>
      <c r="D946" s="236"/>
      <c r="E946" s="236"/>
      <c r="F946" s="236"/>
      <c r="G946" s="236"/>
      <c r="H946" s="40">
        <f>SUM(Tabla132112410[[#This Row],[PRIMER TRIMESTRE]:[CUARTO TRIMESTRE]])</f>
        <v>0</v>
      </c>
      <c r="I946" s="17">
        <v>300</v>
      </c>
      <c r="J946" s="17">
        <f t="shared" si="25"/>
        <v>0</v>
      </c>
      <c r="K946" s="17"/>
      <c r="L946" s="16" t="s">
        <v>18</v>
      </c>
      <c r="M946" s="16" t="s">
        <v>22</v>
      </c>
      <c r="N946" s="39" t="s">
        <v>418</v>
      </c>
    </row>
    <row r="947" spans="1:14" s="12" customFormat="1" ht="30">
      <c r="A947" s="178" t="s">
        <v>99</v>
      </c>
      <c r="B947" s="75" t="s">
        <v>1084</v>
      </c>
      <c r="C947" s="39" t="s">
        <v>1067</v>
      </c>
      <c r="D947" s="236"/>
      <c r="E947" s="236"/>
      <c r="F947" s="236"/>
      <c r="G947" s="236"/>
      <c r="H947" s="40">
        <f>SUM(Tabla132112410[[#This Row],[PRIMER TRIMESTRE]:[CUARTO TRIMESTRE]])</f>
        <v>0</v>
      </c>
      <c r="I947" s="17">
        <v>1500</v>
      </c>
      <c r="J947" s="17">
        <f t="shared" si="25"/>
        <v>0</v>
      </c>
      <c r="K947" s="17"/>
      <c r="L947" s="16" t="s">
        <v>18</v>
      </c>
      <c r="M947" s="16" t="s">
        <v>22</v>
      </c>
      <c r="N947" s="39" t="s">
        <v>418</v>
      </c>
    </row>
    <row r="948" spans="1:14" s="12" customFormat="1" ht="30">
      <c r="A948" s="178" t="s">
        <v>99</v>
      </c>
      <c r="B948" s="75" t="s">
        <v>1085</v>
      </c>
      <c r="C948" s="39" t="s">
        <v>1067</v>
      </c>
      <c r="D948" s="236"/>
      <c r="E948" s="236"/>
      <c r="F948" s="236"/>
      <c r="G948" s="236"/>
      <c r="H948" s="40">
        <f>SUM(Tabla132112410[[#This Row],[PRIMER TRIMESTRE]:[CUARTO TRIMESTRE]])</f>
        <v>0</v>
      </c>
      <c r="I948" s="17">
        <v>700</v>
      </c>
      <c r="J948" s="17">
        <f t="shared" si="25"/>
        <v>0</v>
      </c>
      <c r="K948" s="17"/>
      <c r="L948" s="16" t="s">
        <v>18</v>
      </c>
      <c r="M948" s="16" t="s">
        <v>22</v>
      </c>
      <c r="N948" s="39" t="s">
        <v>418</v>
      </c>
    </row>
    <row r="949" spans="1:14" s="12" customFormat="1" ht="30">
      <c r="A949" s="178" t="s">
        <v>99</v>
      </c>
      <c r="B949" s="75" t="s">
        <v>1086</v>
      </c>
      <c r="C949" s="39" t="s">
        <v>1067</v>
      </c>
      <c r="D949" s="236"/>
      <c r="E949" s="236"/>
      <c r="F949" s="236"/>
      <c r="G949" s="236"/>
      <c r="H949" s="40">
        <f>SUM(Tabla132112410[[#This Row],[PRIMER TRIMESTRE]:[CUARTO TRIMESTRE]])</f>
        <v>0</v>
      </c>
      <c r="I949" s="17">
        <v>1500</v>
      </c>
      <c r="J949" s="17">
        <f t="shared" si="25"/>
        <v>0</v>
      </c>
      <c r="K949" s="17"/>
      <c r="L949" s="16" t="s">
        <v>18</v>
      </c>
      <c r="M949" s="16" t="s">
        <v>22</v>
      </c>
      <c r="N949" s="39" t="s">
        <v>418</v>
      </c>
    </row>
    <row r="950" spans="1:14" s="12" customFormat="1" ht="38.25">
      <c r="A950" s="178" t="s">
        <v>99</v>
      </c>
      <c r="B950" s="75" t="s">
        <v>1087</v>
      </c>
      <c r="C950" s="39" t="s">
        <v>208</v>
      </c>
      <c r="D950" s="236"/>
      <c r="E950" s="236"/>
      <c r="F950" s="236"/>
      <c r="G950" s="236"/>
      <c r="H950" s="40">
        <f>SUM(Tabla132112410[[#This Row],[PRIMER TRIMESTRE]:[CUARTO TRIMESTRE]])</f>
        <v>0</v>
      </c>
      <c r="I950" s="17">
        <v>500</v>
      </c>
      <c r="J950" s="17">
        <f t="shared" si="25"/>
        <v>0</v>
      </c>
      <c r="K950" s="17"/>
      <c r="L950" s="16" t="s">
        <v>18</v>
      </c>
      <c r="M950" s="16" t="s">
        <v>22</v>
      </c>
      <c r="N950" s="39" t="s">
        <v>418</v>
      </c>
    </row>
    <row r="951" spans="1:14" s="12" customFormat="1" ht="51">
      <c r="A951" s="178" t="s">
        <v>99</v>
      </c>
      <c r="B951" s="75" t="s">
        <v>1088</v>
      </c>
      <c r="C951" s="39" t="s">
        <v>1067</v>
      </c>
      <c r="D951" s="236"/>
      <c r="E951" s="236"/>
      <c r="F951" s="236"/>
      <c r="G951" s="236"/>
      <c r="H951" s="40">
        <f>SUM(Tabla132112410[[#This Row],[PRIMER TRIMESTRE]:[CUARTO TRIMESTRE]])</f>
        <v>0</v>
      </c>
      <c r="I951" s="17">
        <v>15000</v>
      </c>
      <c r="J951" s="17">
        <f t="shared" si="25"/>
        <v>0</v>
      </c>
      <c r="K951" s="17"/>
      <c r="L951" s="16" t="s">
        <v>18</v>
      </c>
      <c r="M951" s="16" t="s">
        <v>22</v>
      </c>
      <c r="N951" s="39" t="s">
        <v>418</v>
      </c>
    </row>
    <row r="952" spans="1:14" s="12" customFormat="1" ht="30">
      <c r="A952" s="178" t="s">
        <v>99</v>
      </c>
      <c r="B952" s="75" t="s">
        <v>1089</v>
      </c>
      <c r="C952" s="39" t="s">
        <v>1090</v>
      </c>
      <c r="D952" s="236"/>
      <c r="E952" s="236"/>
      <c r="F952" s="236"/>
      <c r="G952" s="236"/>
      <c r="H952" s="40">
        <f>SUM(Tabla132112410[[#This Row],[PRIMER TRIMESTRE]:[CUARTO TRIMESTRE]])</f>
        <v>0</v>
      </c>
      <c r="I952" s="17">
        <v>50</v>
      </c>
      <c r="J952" s="17">
        <f t="shared" si="25"/>
        <v>0</v>
      </c>
      <c r="K952" s="17"/>
      <c r="L952" s="16" t="s">
        <v>18</v>
      </c>
      <c r="M952" s="16" t="s">
        <v>22</v>
      </c>
      <c r="N952" s="39" t="s">
        <v>418</v>
      </c>
    </row>
    <row r="953" spans="1:14" s="12" customFormat="1" ht="30">
      <c r="A953" s="178" t="s">
        <v>99</v>
      </c>
      <c r="B953" s="75" t="s">
        <v>1091</v>
      </c>
      <c r="C953" s="39" t="s">
        <v>718</v>
      </c>
      <c r="D953" s="236"/>
      <c r="E953" s="236"/>
      <c r="F953" s="236"/>
      <c r="G953" s="236"/>
      <c r="H953" s="40">
        <f>SUM(Tabla132112410[[#This Row],[PRIMER TRIMESTRE]:[CUARTO TRIMESTRE]])</f>
        <v>0</v>
      </c>
      <c r="I953" s="17">
        <v>2000</v>
      </c>
      <c r="J953" s="17">
        <f t="shared" si="25"/>
        <v>0</v>
      </c>
      <c r="K953" s="17"/>
      <c r="L953" s="16" t="s">
        <v>18</v>
      </c>
      <c r="M953" s="16" t="s">
        <v>22</v>
      </c>
      <c r="N953" s="39" t="s">
        <v>418</v>
      </c>
    </row>
    <row r="954" spans="1:14" s="12" customFormat="1" ht="30">
      <c r="A954" s="178" t="s">
        <v>99</v>
      </c>
      <c r="B954" s="75" t="s">
        <v>1092</v>
      </c>
      <c r="C954" s="39" t="s">
        <v>1067</v>
      </c>
      <c r="D954" s="236"/>
      <c r="E954" s="236"/>
      <c r="F954" s="236"/>
      <c r="G954" s="236"/>
      <c r="H954" s="40">
        <f>SUM(Tabla132112410[[#This Row],[PRIMER TRIMESTRE]:[CUARTO TRIMESTRE]])</f>
        <v>0</v>
      </c>
      <c r="I954" s="17">
        <v>200</v>
      </c>
      <c r="J954" s="17">
        <f t="shared" si="25"/>
        <v>0</v>
      </c>
      <c r="K954" s="17"/>
      <c r="L954" s="16" t="s">
        <v>27</v>
      </c>
      <c r="M954" s="16" t="s">
        <v>22</v>
      </c>
      <c r="N954" s="39" t="s">
        <v>418</v>
      </c>
    </row>
    <row r="955" spans="1:14" s="12" customFormat="1" ht="30">
      <c r="A955" s="178" t="s">
        <v>99</v>
      </c>
      <c r="B955" s="75" t="s">
        <v>1093</v>
      </c>
      <c r="C955" s="39" t="s">
        <v>1067</v>
      </c>
      <c r="D955" s="236"/>
      <c r="E955" s="236"/>
      <c r="F955" s="236"/>
      <c r="G955" s="236"/>
      <c r="H955" s="40">
        <f>SUM(Tabla132112410[[#This Row],[PRIMER TRIMESTRE]:[CUARTO TRIMESTRE]])</f>
        <v>0</v>
      </c>
      <c r="I955" s="17">
        <v>100</v>
      </c>
      <c r="J955" s="17">
        <f t="shared" si="25"/>
        <v>0</v>
      </c>
      <c r="K955" s="17"/>
      <c r="L955" s="16" t="s">
        <v>18</v>
      </c>
      <c r="M955" s="16" t="s">
        <v>22</v>
      </c>
      <c r="N955" s="39" t="s">
        <v>418</v>
      </c>
    </row>
    <row r="956" spans="1:14" s="12" customFormat="1" ht="30">
      <c r="A956" s="178" t="s">
        <v>99</v>
      </c>
      <c r="B956" s="75" t="s">
        <v>1094</v>
      </c>
      <c r="C956" s="39" t="s">
        <v>208</v>
      </c>
      <c r="D956" s="236"/>
      <c r="E956" s="236"/>
      <c r="F956" s="236"/>
      <c r="G956" s="236"/>
      <c r="H956" s="40">
        <f>SUM(Tabla132112410[[#This Row],[PRIMER TRIMESTRE]:[CUARTO TRIMESTRE]])</f>
        <v>0</v>
      </c>
      <c r="I956" s="17">
        <v>200</v>
      </c>
      <c r="J956" s="17">
        <f t="shared" si="25"/>
        <v>0</v>
      </c>
      <c r="K956" s="17"/>
      <c r="L956" s="16" t="s">
        <v>18</v>
      </c>
      <c r="M956" s="16" t="s">
        <v>22</v>
      </c>
      <c r="N956" s="39" t="s">
        <v>418</v>
      </c>
    </row>
    <row r="957" spans="1:14" s="12" customFormat="1" ht="30">
      <c r="A957" s="178" t="s">
        <v>99</v>
      </c>
      <c r="B957" s="75" t="s">
        <v>1095</v>
      </c>
      <c r="C957" s="39" t="s">
        <v>208</v>
      </c>
      <c r="D957" s="236"/>
      <c r="E957" s="236"/>
      <c r="F957" s="236"/>
      <c r="G957" s="236"/>
      <c r="H957" s="40">
        <f>SUM(Tabla132112410[[#This Row],[PRIMER TRIMESTRE]:[CUARTO TRIMESTRE]])</f>
        <v>0</v>
      </c>
      <c r="I957" s="17">
        <v>200</v>
      </c>
      <c r="J957" s="17">
        <f t="shared" si="25"/>
        <v>0</v>
      </c>
      <c r="K957" s="17"/>
      <c r="L957" s="16" t="s">
        <v>18</v>
      </c>
      <c r="M957" s="16" t="s">
        <v>22</v>
      </c>
      <c r="N957" s="39" t="s">
        <v>418</v>
      </c>
    </row>
    <row r="958" spans="1:14" s="12" customFormat="1" ht="30">
      <c r="A958" s="178" t="s">
        <v>99</v>
      </c>
      <c r="B958" s="77" t="s">
        <v>1096</v>
      </c>
      <c r="C958" s="39" t="s">
        <v>208</v>
      </c>
      <c r="D958" s="236">
        <v>35</v>
      </c>
      <c r="E958" s="236">
        <v>5</v>
      </c>
      <c r="F958" s="236">
        <v>5</v>
      </c>
      <c r="G958" s="236">
        <v>5</v>
      </c>
      <c r="H958" s="40">
        <f>SUM(Tabla132112410[[#This Row],[PRIMER TRIMESTRE]:[CUARTO TRIMESTRE]])</f>
        <v>50</v>
      </c>
      <c r="I958" s="17">
        <v>500</v>
      </c>
      <c r="J958" s="17">
        <f t="shared" si="25"/>
        <v>25000</v>
      </c>
      <c r="K958" s="17"/>
      <c r="L958" s="16" t="s">
        <v>18</v>
      </c>
      <c r="M958" s="16" t="s">
        <v>22</v>
      </c>
      <c r="N958" s="39" t="s">
        <v>418</v>
      </c>
    </row>
    <row r="959" spans="1:14" s="12" customFormat="1" ht="25.5">
      <c r="A959" s="15"/>
      <c r="B959" s="77" t="s">
        <v>1977</v>
      </c>
      <c r="C959" s="39" t="s">
        <v>208</v>
      </c>
      <c r="D959" s="236">
        <v>35</v>
      </c>
      <c r="E959" s="236">
        <v>5</v>
      </c>
      <c r="F959" s="236">
        <v>5</v>
      </c>
      <c r="G959" s="236">
        <v>5</v>
      </c>
      <c r="H959" s="40">
        <f>SUM(Tabla132112410[[#This Row],[PRIMER TRIMESTRE]:[CUARTO TRIMESTRE]])</f>
        <v>50</v>
      </c>
      <c r="I959" s="17">
        <v>500</v>
      </c>
      <c r="J959" s="17">
        <f t="shared" si="25"/>
        <v>25000</v>
      </c>
      <c r="K959" s="17"/>
      <c r="L959" s="16"/>
      <c r="M959" s="16"/>
      <c r="N959" s="39"/>
    </row>
    <row r="960" spans="1:14" s="12" customFormat="1" ht="30">
      <c r="A960" s="178" t="s">
        <v>99</v>
      </c>
      <c r="B960" s="75" t="s">
        <v>1098</v>
      </c>
      <c r="C960" s="39" t="s">
        <v>1099</v>
      </c>
      <c r="D960" s="236"/>
      <c r="E960" s="236"/>
      <c r="F960" s="236"/>
      <c r="G960" s="236"/>
      <c r="H960" s="40">
        <f>SUM(Tabla132112410[[#This Row],[PRIMER TRIMESTRE]:[CUARTO TRIMESTRE]])</f>
        <v>0</v>
      </c>
      <c r="I960" s="17">
        <v>115</v>
      </c>
      <c r="J960" s="17">
        <f t="shared" si="25"/>
        <v>0</v>
      </c>
      <c r="K960" s="17"/>
      <c r="L960" s="16" t="s">
        <v>18</v>
      </c>
      <c r="M960" s="16" t="s">
        <v>22</v>
      </c>
      <c r="N960" s="39" t="s">
        <v>418</v>
      </c>
    </row>
    <row r="961" spans="1:14" s="12" customFormat="1" ht="30">
      <c r="A961" s="178" t="s">
        <v>99</v>
      </c>
      <c r="B961" s="75" t="s">
        <v>1100</v>
      </c>
      <c r="C961" s="39" t="s">
        <v>1067</v>
      </c>
      <c r="D961" s="236"/>
      <c r="E961" s="236"/>
      <c r="F961" s="236"/>
      <c r="G961" s="236"/>
      <c r="H961" s="40">
        <f>SUM(Tabla132112410[[#This Row],[PRIMER TRIMESTRE]:[CUARTO TRIMESTRE]])</f>
        <v>0</v>
      </c>
      <c r="I961" s="17">
        <v>50</v>
      </c>
      <c r="J961" s="17">
        <f t="shared" si="25"/>
        <v>0</v>
      </c>
      <c r="K961" s="17"/>
      <c r="L961" s="16" t="s">
        <v>18</v>
      </c>
      <c r="M961" s="16" t="s">
        <v>22</v>
      </c>
      <c r="N961" s="39" t="s">
        <v>418</v>
      </c>
    </row>
    <row r="962" spans="1:14" s="12" customFormat="1" ht="30">
      <c r="A962" s="178" t="s">
        <v>99</v>
      </c>
      <c r="B962" s="75" t="s">
        <v>1101</v>
      </c>
      <c r="C962" s="39" t="s">
        <v>35</v>
      </c>
      <c r="D962" s="236"/>
      <c r="E962" s="236"/>
      <c r="F962" s="236"/>
      <c r="G962" s="236"/>
      <c r="H962" s="40">
        <f>SUM(Tabla132112410[[#This Row],[PRIMER TRIMESTRE]:[CUARTO TRIMESTRE]])</f>
        <v>0</v>
      </c>
      <c r="I962" s="17">
        <v>2000</v>
      </c>
      <c r="J962" s="17">
        <f t="shared" si="25"/>
        <v>0</v>
      </c>
      <c r="K962" s="17"/>
      <c r="L962" s="16" t="s">
        <v>18</v>
      </c>
      <c r="M962" s="16" t="s">
        <v>22</v>
      </c>
      <c r="N962" s="39" t="s">
        <v>418</v>
      </c>
    </row>
    <row r="963" spans="1:14" s="12" customFormat="1" ht="30">
      <c r="A963" s="178" t="s">
        <v>99</v>
      </c>
      <c r="B963" s="75" t="s">
        <v>1626</v>
      </c>
      <c r="C963" s="39" t="s">
        <v>35</v>
      </c>
      <c r="D963" s="236"/>
      <c r="E963" s="236"/>
      <c r="F963" s="236"/>
      <c r="G963" s="236"/>
      <c r="H963" s="236">
        <f>SUM(Tabla132112410[[#This Row],[PRIMER TRIMESTRE]:[CUARTO TRIMESTRE]])</f>
        <v>0</v>
      </c>
      <c r="I963" s="17">
        <v>2850</v>
      </c>
      <c r="J963" s="17">
        <f t="shared" si="25"/>
        <v>0</v>
      </c>
      <c r="K963" s="17"/>
      <c r="L963" s="16" t="s">
        <v>18</v>
      </c>
      <c r="M963" s="16" t="s">
        <v>22</v>
      </c>
      <c r="N963" s="39" t="s">
        <v>418</v>
      </c>
    </row>
    <row r="964" spans="1:14" s="12" customFormat="1" ht="30">
      <c r="A964" s="178" t="s">
        <v>99</v>
      </c>
      <c r="B964" s="75" t="s">
        <v>1102</v>
      </c>
      <c r="C964" s="39" t="s">
        <v>1065</v>
      </c>
      <c r="D964" s="236"/>
      <c r="E964" s="236"/>
      <c r="F964" s="236"/>
      <c r="G964" s="236"/>
      <c r="H964" s="40">
        <f>SUM(Tabla132112410[[#This Row],[PRIMER TRIMESTRE]:[CUARTO TRIMESTRE]])</f>
        <v>0</v>
      </c>
      <c r="I964" s="17">
        <v>100</v>
      </c>
      <c r="J964" s="17">
        <f t="shared" si="25"/>
        <v>0</v>
      </c>
      <c r="K964" s="17"/>
      <c r="L964" s="16" t="s">
        <v>18</v>
      </c>
      <c r="M964" s="16" t="s">
        <v>22</v>
      </c>
      <c r="N964" s="39" t="s">
        <v>418</v>
      </c>
    </row>
    <row r="965" spans="1:14" s="12" customFormat="1" ht="30">
      <c r="A965" s="178" t="s">
        <v>99</v>
      </c>
      <c r="B965" s="75" t="s">
        <v>1103</v>
      </c>
      <c r="C965" s="39" t="s">
        <v>1065</v>
      </c>
      <c r="D965" s="236"/>
      <c r="E965" s="236"/>
      <c r="F965" s="236"/>
      <c r="G965" s="236"/>
      <c r="H965" s="40">
        <f>SUM(Tabla132112410[[#This Row],[PRIMER TRIMESTRE]:[CUARTO TRIMESTRE]])</f>
        <v>0</v>
      </c>
      <c r="I965" s="17">
        <v>100</v>
      </c>
      <c r="J965" s="17">
        <f t="shared" ref="J965:J1062" si="26">+H965*I965</f>
        <v>0</v>
      </c>
      <c r="K965" s="17"/>
      <c r="L965" s="16" t="s">
        <v>18</v>
      </c>
      <c r="M965" s="16" t="s">
        <v>22</v>
      </c>
      <c r="N965" s="39" t="s">
        <v>418</v>
      </c>
    </row>
    <row r="966" spans="1:14" s="12" customFormat="1" ht="30">
      <c r="A966" s="178" t="s">
        <v>99</v>
      </c>
      <c r="B966" s="75" t="s">
        <v>1104</v>
      </c>
      <c r="C966" s="39" t="s">
        <v>102</v>
      </c>
      <c r="D966" s="236"/>
      <c r="E966" s="236"/>
      <c r="F966" s="236"/>
      <c r="G966" s="236"/>
      <c r="H966" s="40">
        <f>SUM(Tabla132112410[[#This Row],[PRIMER TRIMESTRE]:[CUARTO TRIMESTRE]])</f>
        <v>0</v>
      </c>
      <c r="I966" s="17">
        <v>600</v>
      </c>
      <c r="J966" s="17">
        <f t="shared" si="26"/>
        <v>0</v>
      </c>
      <c r="K966" s="17"/>
      <c r="L966" s="16" t="s">
        <v>18</v>
      </c>
      <c r="M966" s="16" t="s">
        <v>22</v>
      </c>
      <c r="N966" s="39" t="s">
        <v>418</v>
      </c>
    </row>
    <row r="967" spans="1:14" s="12" customFormat="1" ht="30">
      <c r="A967" s="178" t="s">
        <v>99</v>
      </c>
      <c r="B967" s="75" t="s">
        <v>1106</v>
      </c>
      <c r="C967" s="39" t="s">
        <v>149</v>
      </c>
      <c r="D967" s="236"/>
      <c r="E967" s="236"/>
      <c r="F967" s="236"/>
      <c r="G967" s="236"/>
      <c r="H967" s="40">
        <f>SUM(Tabla132112410[[#This Row],[PRIMER TRIMESTRE]:[CUARTO TRIMESTRE]])</f>
        <v>0</v>
      </c>
      <c r="I967" s="17">
        <v>80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</row>
    <row r="968" spans="1:14" s="12" customFormat="1" ht="30">
      <c r="A968" s="178" t="s">
        <v>99</v>
      </c>
      <c r="B968" s="75" t="s">
        <v>1107</v>
      </c>
      <c r="C968" s="39" t="s">
        <v>149</v>
      </c>
      <c r="D968" s="236"/>
      <c r="E968" s="236"/>
      <c r="F968" s="236"/>
      <c r="G968" s="236"/>
      <c r="H968" s="40">
        <f>SUM(Tabla132112410[[#This Row],[PRIMER TRIMESTRE]:[CUARTO TRIMESTRE]])</f>
        <v>0</v>
      </c>
      <c r="I968" s="17">
        <v>80</v>
      </c>
      <c r="J968" s="17">
        <f t="shared" si="26"/>
        <v>0</v>
      </c>
      <c r="K968" s="17"/>
      <c r="L968" s="16" t="s">
        <v>18</v>
      </c>
      <c r="M968" s="16" t="s">
        <v>22</v>
      </c>
      <c r="N968" s="39" t="s">
        <v>418</v>
      </c>
    </row>
    <row r="969" spans="1:14" s="12" customFormat="1" ht="30">
      <c r="A969" s="178" t="s">
        <v>99</v>
      </c>
      <c r="B969" s="75" t="s">
        <v>306</v>
      </c>
      <c r="C969" s="39" t="s">
        <v>290</v>
      </c>
      <c r="D969" s="236"/>
      <c r="E969" s="236"/>
      <c r="F969" s="236"/>
      <c r="G969" s="236"/>
      <c r="H969" s="40">
        <f>SUM(Tabla132112410[[#This Row],[PRIMER TRIMESTRE]:[CUARTO TRIMESTRE]])</f>
        <v>0</v>
      </c>
      <c r="I969" s="17">
        <v>200</v>
      </c>
      <c r="J969" s="17">
        <f t="shared" si="26"/>
        <v>0</v>
      </c>
      <c r="K969" s="17"/>
      <c r="L969" s="16" t="s">
        <v>18</v>
      </c>
      <c r="M969" s="16" t="s">
        <v>22</v>
      </c>
      <c r="N969" s="39" t="s">
        <v>418</v>
      </c>
    </row>
    <row r="970" spans="1:14" s="12" customFormat="1" ht="89.25">
      <c r="A970" s="178" t="s">
        <v>99</v>
      </c>
      <c r="B970" s="75" t="s">
        <v>1108</v>
      </c>
      <c r="C970" s="39" t="s">
        <v>1067</v>
      </c>
      <c r="D970" s="236"/>
      <c r="E970" s="236"/>
      <c r="F970" s="236"/>
      <c r="G970" s="236"/>
      <c r="H970" s="40">
        <f>SUM(Tabla132112410[[#This Row],[PRIMER TRIMESTRE]:[CUARTO TRIMESTRE]])</f>
        <v>0</v>
      </c>
      <c r="I970" s="17">
        <v>3000</v>
      </c>
      <c r="J970" s="17">
        <f t="shared" si="26"/>
        <v>0</v>
      </c>
      <c r="K970" s="17"/>
      <c r="L970" s="16" t="s">
        <v>18</v>
      </c>
      <c r="M970" s="16" t="s">
        <v>22</v>
      </c>
      <c r="N970" s="39" t="s">
        <v>418</v>
      </c>
    </row>
    <row r="971" spans="1:14" s="12" customFormat="1" ht="51">
      <c r="A971" s="178" t="s">
        <v>99</v>
      </c>
      <c r="B971" s="75" t="s">
        <v>1109</v>
      </c>
      <c r="C971" s="39" t="s">
        <v>1067</v>
      </c>
      <c r="D971" s="236"/>
      <c r="E971" s="236"/>
      <c r="F971" s="236"/>
      <c r="G971" s="236"/>
      <c r="H971" s="40">
        <f>SUM(Tabla132112410[[#This Row],[PRIMER TRIMESTRE]:[CUARTO TRIMESTRE]])</f>
        <v>0</v>
      </c>
      <c r="I971" s="17">
        <v>2000</v>
      </c>
      <c r="J971" s="17">
        <f t="shared" si="26"/>
        <v>0</v>
      </c>
      <c r="K971" s="17"/>
      <c r="L971" s="16" t="s">
        <v>18</v>
      </c>
      <c r="M971" s="16" t="s">
        <v>22</v>
      </c>
      <c r="N971" s="39" t="s">
        <v>418</v>
      </c>
    </row>
    <row r="972" spans="1:14" s="12" customFormat="1" ht="51">
      <c r="A972" s="178" t="s">
        <v>99</v>
      </c>
      <c r="B972" s="75" t="s">
        <v>1110</v>
      </c>
      <c r="C972" s="39" t="s">
        <v>1067</v>
      </c>
      <c r="D972" s="236"/>
      <c r="E972" s="236"/>
      <c r="F972" s="236"/>
      <c r="G972" s="236"/>
      <c r="H972" s="40">
        <f>SUM(Tabla132112410[[#This Row],[PRIMER TRIMESTRE]:[CUARTO TRIMESTRE]])</f>
        <v>0</v>
      </c>
      <c r="I972" s="17">
        <v>2000</v>
      </c>
      <c r="J972" s="17">
        <f t="shared" si="26"/>
        <v>0</v>
      </c>
      <c r="K972" s="17"/>
      <c r="L972" s="16" t="s">
        <v>18</v>
      </c>
      <c r="M972" s="16" t="s">
        <v>22</v>
      </c>
      <c r="N972" s="39" t="s">
        <v>418</v>
      </c>
    </row>
    <row r="973" spans="1:14" s="12" customFormat="1" ht="51">
      <c r="A973" s="178" t="s">
        <v>99</v>
      </c>
      <c r="B973" s="75" t="s">
        <v>1111</v>
      </c>
      <c r="C973" s="39" t="s">
        <v>1067</v>
      </c>
      <c r="D973" s="236"/>
      <c r="E973" s="236"/>
      <c r="F973" s="236"/>
      <c r="G973" s="236"/>
      <c r="H973" s="40">
        <f>SUM(Tabla132112410[[#This Row],[PRIMER TRIMESTRE]:[CUARTO TRIMESTRE]])</f>
        <v>0</v>
      </c>
      <c r="I973" s="17">
        <v>2000</v>
      </c>
      <c r="J973" s="17">
        <f t="shared" si="26"/>
        <v>0</v>
      </c>
      <c r="K973" s="17"/>
      <c r="L973" s="16" t="s">
        <v>18</v>
      </c>
      <c r="M973" s="16" t="s">
        <v>22</v>
      </c>
      <c r="N973" s="39" t="s">
        <v>418</v>
      </c>
    </row>
    <row r="974" spans="1:14" s="12" customFormat="1" ht="51">
      <c r="A974" s="178" t="s">
        <v>99</v>
      </c>
      <c r="B974" s="75" t="s">
        <v>1112</v>
      </c>
      <c r="C974" s="39" t="s">
        <v>1067</v>
      </c>
      <c r="D974" s="236"/>
      <c r="E974" s="236"/>
      <c r="F974" s="236"/>
      <c r="G974" s="236"/>
      <c r="H974" s="40">
        <f>SUM(Tabla132112410[[#This Row],[PRIMER TRIMESTRE]:[CUARTO TRIMESTRE]])</f>
        <v>0</v>
      </c>
      <c r="I974" s="17">
        <v>20000</v>
      </c>
      <c r="J974" s="17">
        <f t="shared" si="26"/>
        <v>0</v>
      </c>
      <c r="K974" s="17"/>
      <c r="L974" s="16" t="s">
        <v>18</v>
      </c>
      <c r="M974" s="16" t="s">
        <v>22</v>
      </c>
      <c r="N974" s="39" t="s">
        <v>418</v>
      </c>
    </row>
    <row r="975" spans="1:14" s="12" customFormat="1" ht="51">
      <c r="A975" s="178" t="s">
        <v>99</v>
      </c>
      <c r="B975" s="75" t="s">
        <v>1113</v>
      </c>
      <c r="C975" s="39" t="s">
        <v>1067</v>
      </c>
      <c r="D975" s="236"/>
      <c r="E975" s="236"/>
      <c r="F975" s="236"/>
      <c r="G975" s="236"/>
      <c r="H975" s="40">
        <f>SUM(Tabla132112410[[#This Row],[PRIMER TRIMESTRE]:[CUARTO TRIMESTRE]])</f>
        <v>0</v>
      </c>
      <c r="I975" s="17">
        <v>5000</v>
      </c>
      <c r="J975" s="17">
        <f t="shared" si="26"/>
        <v>0</v>
      </c>
      <c r="K975" s="17"/>
      <c r="L975" s="16" t="s">
        <v>18</v>
      </c>
      <c r="M975" s="16" t="s">
        <v>22</v>
      </c>
      <c r="N975" s="39" t="s">
        <v>418</v>
      </c>
    </row>
    <row r="976" spans="1:14" s="12" customFormat="1" ht="18">
      <c r="A976" s="15"/>
      <c r="B976" s="433" t="s">
        <v>1978</v>
      </c>
      <c r="C976" s="39" t="s">
        <v>1067</v>
      </c>
      <c r="D976" s="236">
        <v>1</v>
      </c>
      <c r="E976" s="236"/>
      <c r="F976" s="236"/>
      <c r="G976" s="236"/>
      <c r="H976" s="40">
        <f>SUM(Tabla132112410[[#This Row],[PRIMER TRIMESTRE]:[CUARTO TRIMESTRE]])</f>
        <v>1</v>
      </c>
      <c r="I976" s="17">
        <v>2000</v>
      </c>
      <c r="J976" s="17">
        <f t="shared" si="26"/>
        <v>2000</v>
      </c>
      <c r="K976" s="17"/>
      <c r="L976" s="16"/>
      <c r="M976" s="16"/>
      <c r="N976" s="39"/>
    </row>
    <row r="977" spans="1:14" s="12" customFormat="1" ht="18">
      <c r="A977" s="15"/>
      <c r="B977" s="433" t="s">
        <v>1979</v>
      </c>
      <c r="C977" s="39" t="s">
        <v>1067</v>
      </c>
      <c r="D977" s="236">
        <v>400</v>
      </c>
      <c r="E977" s="236">
        <v>200</v>
      </c>
      <c r="F977" s="236">
        <v>200</v>
      </c>
      <c r="G977" s="236">
        <v>200</v>
      </c>
      <c r="H977" s="40">
        <f>SUM(Tabla132112410[[#This Row],[PRIMER TRIMESTRE]:[CUARTO TRIMESTRE]])</f>
        <v>1000</v>
      </c>
      <c r="I977" s="17">
        <v>500</v>
      </c>
      <c r="J977" s="17">
        <f t="shared" si="26"/>
        <v>500000</v>
      </c>
      <c r="K977" s="17"/>
      <c r="L977" s="16"/>
      <c r="M977" s="16"/>
      <c r="N977" s="39"/>
    </row>
    <row r="978" spans="1:14" s="12" customFormat="1" ht="18">
      <c r="A978" s="15"/>
      <c r="B978" s="433" t="s">
        <v>1980</v>
      </c>
      <c r="C978" s="39" t="s">
        <v>1067</v>
      </c>
      <c r="D978" s="236">
        <v>400</v>
      </c>
      <c r="E978" s="236">
        <v>200</v>
      </c>
      <c r="F978" s="236">
        <v>200</v>
      </c>
      <c r="G978" s="236">
        <v>200</v>
      </c>
      <c r="H978" s="40">
        <f>SUM(Tabla132112410[[#This Row],[PRIMER TRIMESTRE]:[CUARTO TRIMESTRE]])</f>
        <v>1000</v>
      </c>
      <c r="I978" s="17">
        <v>10</v>
      </c>
      <c r="J978" s="17">
        <f t="shared" si="26"/>
        <v>10000</v>
      </c>
      <c r="K978" s="17"/>
      <c r="L978" s="16"/>
      <c r="M978" s="16"/>
      <c r="N978" s="39"/>
    </row>
    <row r="979" spans="1:14" s="12" customFormat="1" ht="18">
      <c r="A979" s="15"/>
      <c r="B979" s="433" t="s">
        <v>1981</v>
      </c>
      <c r="C979" s="39" t="s">
        <v>1067</v>
      </c>
      <c r="D979" s="236">
        <v>400</v>
      </c>
      <c r="E979" s="236">
        <v>200</v>
      </c>
      <c r="F979" s="236">
        <v>200</v>
      </c>
      <c r="G979" s="236">
        <v>200</v>
      </c>
      <c r="H979" s="40">
        <f>SUM(Tabla132112410[[#This Row],[PRIMER TRIMESTRE]:[CUARTO TRIMESTRE]])</f>
        <v>1000</v>
      </c>
      <c r="I979" s="17">
        <v>1.4</v>
      </c>
      <c r="J979" s="17">
        <f t="shared" si="26"/>
        <v>1400</v>
      </c>
      <c r="K979" s="17"/>
      <c r="L979" s="16"/>
      <c r="M979" s="16"/>
      <c r="N979" s="39"/>
    </row>
    <row r="980" spans="1:14" s="12" customFormat="1" ht="18">
      <c r="A980" s="15"/>
      <c r="B980" s="433" t="s">
        <v>1982</v>
      </c>
      <c r="C980" s="39" t="s">
        <v>1067</v>
      </c>
      <c r="D980" s="236">
        <v>400</v>
      </c>
      <c r="E980" s="236">
        <v>200</v>
      </c>
      <c r="F980" s="236">
        <v>200</v>
      </c>
      <c r="G980" s="236">
        <v>200</v>
      </c>
      <c r="H980" s="40">
        <f>SUM(Tabla132112410[[#This Row],[PRIMER TRIMESTRE]:[CUARTO TRIMESTRE]])</f>
        <v>1000</v>
      </c>
      <c r="I980" s="17">
        <v>2.4</v>
      </c>
      <c r="J980" s="17">
        <f t="shared" si="26"/>
        <v>2400</v>
      </c>
      <c r="K980" s="17"/>
      <c r="L980" s="16"/>
      <c r="M980" s="16"/>
      <c r="N980" s="39"/>
    </row>
    <row r="981" spans="1:14" s="12" customFormat="1" ht="18">
      <c r="A981" s="15"/>
      <c r="B981" s="433" t="s">
        <v>1983</v>
      </c>
      <c r="C981" s="39" t="s">
        <v>1067</v>
      </c>
      <c r="D981" s="236">
        <v>200</v>
      </c>
      <c r="E981" s="236">
        <v>100</v>
      </c>
      <c r="F981" s="236">
        <v>100</v>
      </c>
      <c r="G981" s="236">
        <v>100</v>
      </c>
      <c r="H981" s="40">
        <f>SUM(Tabla132112410[[#This Row],[PRIMER TRIMESTRE]:[CUARTO TRIMESTRE]])</f>
        <v>500</v>
      </c>
      <c r="I981" s="17">
        <v>0.8</v>
      </c>
      <c r="J981" s="17">
        <f t="shared" si="26"/>
        <v>400</v>
      </c>
      <c r="K981" s="17"/>
      <c r="L981" s="16"/>
      <c r="M981" s="16"/>
      <c r="N981" s="39"/>
    </row>
    <row r="982" spans="1:14" s="12" customFormat="1" ht="18">
      <c r="A982" s="15"/>
      <c r="B982" s="433" t="s">
        <v>1984</v>
      </c>
      <c r="C982" s="39" t="s">
        <v>1067</v>
      </c>
      <c r="D982" s="236">
        <v>400</v>
      </c>
      <c r="E982" s="236">
        <v>200</v>
      </c>
      <c r="F982" s="236">
        <v>200</v>
      </c>
      <c r="G982" s="236">
        <v>200</v>
      </c>
      <c r="H982" s="40">
        <f>SUM(Tabla132112410[[#This Row],[PRIMER TRIMESTRE]:[CUARTO TRIMESTRE]])</f>
        <v>1000</v>
      </c>
      <c r="I982" s="17">
        <v>0.25</v>
      </c>
      <c r="J982" s="17">
        <f t="shared" si="26"/>
        <v>250</v>
      </c>
      <c r="K982" s="17"/>
      <c r="L982" s="16"/>
      <c r="M982" s="16"/>
      <c r="N982" s="39"/>
    </row>
    <row r="983" spans="1:14" s="12" customFormat="1" ht="18">
      <c r="A983" s="15"/>
      <c r="B983" s="433" t="s">
        <v>1985</v>
      </c>
      <c r="C983" s="39" t="s">
        <v>1067</v>
      </c>
      <c r="D983" s="236">
        <v>350</v>
      </c>
      <c r="E983" s="236">
        <v>150</v>
      </c>
      <c r="F983" s="236">
        <v>150</v>
      </c>
      <c r="G983" s="236">
        <v>150</v>
      </c>
      <c r="H983" s="40">
        <f>SUM(Tabla132112410[[#This Row],[PRIMER TRIMESTRE]:[CUARTO TRIMESTRE]])</f>
        <v>800</v>
      </c>
      <c r="I983" s="17">
        <v>10</v>
      </c>
      <c r="J983" s="17">
        <f t="shared" si="26"/>
        <v>8000</v>
      </c>
      <c r="K983" s="17"/>
      <c r="L983" s="16"/>
      <c r="M983" s="16"/>
      <c r="N983" s="39"/>
    </row>
    <row r="984" spans="1:14" s="12" customFormat="1" ht="18">
      <c r="A984" s="15"/>
      <c r="B984" s="433" t="s">
        <v>1986</v>
      </c>
      <c r="C984" s="39" t="s">
        <v>1067</v>
      </c>
      <c r="D984" s="236">
        <v>400</v>
      </c>
      <c r="E984" s="236">
        <v>200</v>
      </c>
      <c r="F984" s="236">
        <v>200</v>
      </c>
      <c r="G984" s="236">
        <v>200</v>
      </c>
      <c r="H984" s="40">
        <f>SUM(Tabla132112410[[#This Row],[PRIMER TRIMESTRE]:[CUARTO TRIMESTRE]])</f>
        <v>1000</v>
      </c>
      <c r="I984" s="17">
        <v>1</v>
      </c>
      <c r="J984" s="17">
        <f t="shared" si="26"/>
        <v>1000</v>
      </c>
      <c r="K984" s="17"/>
      <c r="L984" s="16"/>
      <c r="M984" s="16"/>
      <c r="N984" s="39"/>
    </row>
    <row r="985" spans="1:14" s="12" customFormat="1" ht="18">
      <c r="A985" s="15"/>
      <c r="B985" s="433" t="s">
        <v>1987</v>
      </c>
      <c r="C985" s="39" t="s">
        <v>1067</v>
      </c>
      <c r="D985" s="236">
        <v>400</v>
      </c>
      <c r="E985" s="236">
        <v>200</v>
      </c>
      <c r="F985" s="236">
        <v>200</v>
      </c>
      <c r="G985" s="236">
        <v>200</v>
      </c>
      <c r="H985" s="40">
        <f>SUM(Tabla132112410[[#This Row],[PRIMER TRIMESTRE]:[CUARTO TRIMESTRE]])</f>
        <v>1000</v>
      </c>
      <c r="I985" s="17">
        <v>1.4</v>
      </c>
      <c r="J985" s="17">
        <f t="shared" si="26"/>
        <v>1400</v>
      </c>
      <c r="K985" s="17"/>
      <c r="L985" s="16"/>
      <c r="M985" s="16"/>
      <c r="N985" s="39"/>
    </row>
    <row r="986" spans="1:14" s="12" customFormat="1" ht="18">
      <c r="A986" s="15"/>
      <c r="B986" s="433" t="s">
        <v>1988</v>
      </c>
      <c r="C986" s="39" t="s">
        <v>1067</v>
      </c>
      <c r="D986" s="236">
        <v>400</v>
      </c>
      <c r="E986" s="236">
        <v>200</v>
      </c>
      <c r="F986" s="236">
        <v>200</v>
      </c>
      <c r="G986" s="236">
        <v>200</v>
      </c>
      <c r="H986" s="40">
        <f>SUM(Tabla132112410[[#This Row],[PRIMER TRIMESTRE]:[CUARTO TRIMESTRE]])</f>
        <v>1000</v>
      </c>
      <c r="I986" s="17">
        <v>0.3</v>
      </c>
      <c r="J986" s="17">
        <f t="shared" si="26"/>
        <v>300</v>
      </c>
      <c r="K986" s="17"/>
      <c r="L986" s="16"/>
      <c r="M986" s="16"/>
      <c r="N986" s="39"/>
    </row>
    <row r="987" spans="1:14" s="12" customFormat="1" ht="18">
      <c r="A987" s="15"/>
      <c r="B987" s="433" t="s">
        <v>1989</v>
      </c>
      <c r="C987" s="39" t="s">
        <v>1067</v>
      </c>
      <c r="D987" s="236">
        <v>400</v>
      </c>
      <c r="E987" s="236">
        <v>200</v>
      </c>
      <c r="F987" s="236">
        <v>200</v>
      </c>
      <c r="G987" s="236">
        <v>200</v>
      </c>
      <c r="H987" s="40">
        <f>SUM(Tabla132112410[[#This Row],[PRIMER TRIMESTRE]:[CUARTO TRIMESTRE]])</f>
        <v>1000</v>
      </c>
      <c r="I987" s="17">
        <v>1</v>
      </c>
      <c r="J987" s="17">
        <f t="shared" si="26"/>
        <v>1000</v>
      </c>
      <c r="K987" s="17"/>
      <c r="L987" s="16"/>
      <c r="M987" s="16"/>
      <c r="N987" s="39"/>
    </row>
    <row r="988" spans="1:14" s="12" customFormat="1" ht="18">
      <c r="A988" s="15"/>
      <c r="B988" s="433" t="s">
        <v>1990</v>
      </c>
      <c r="C988" s="39" t="s">
        <v>1067</v>
      </c>
      <c r="D988" s="236">
        <v>400</v>
      </c>
      <c r="E988" s="236">
        <v>100</v>
      </c>
      <c r="F988" s="236">
        <v>100</v>
      </c>
      <c r="G988" s="236">
        <v>100</v>
      </c>
      <c r="H988" s="40">
        <f>SUM(Tabla132112410[[#This Row],[PRIMER TRIMESTRE]:[CUARTO TRIMESTRE]])</f>
        <v>700</v>
      </c>
      <c r="I988" s="17">
        <v>6</v>
      </c>
      <c r="J988" s="17">
        <f t="shared" si="26"/>
        <v>4200</v>
      </c>
      <c r="K988" s="17"/>
      <c r="L988" s="16"/>
      <c r="M988" s="16"/>
      <c r="N988" s="39"/>
    </row>
    <row r="989" spans="1:14" s="12" customFormat="1" ht="18">
      <c r="A989" s="15"/>
      <c r="B989" s="433" t="s">
        <v>1991</v>
      </c>
      <c r="C989" s="39" t="s">
        <v>1067</v>
      </c>
      <c r="D989" s="236">
        <v>400</v>
      </c>
      <c r="E989" s="236">
        <v>100</v>
      </c>
      <c r="F989" s="236">
        <v>100</v>
      </c>
      <c r="G989" s="236">
        <v>100</v>
      </c>
      <c r="H989" s="40">
        <f>SUM(Tabla132112410[[#This Row],[PRIMER TRIMESTRE]:[CUARTO TRIMESTRE]])</f>
        <v>700</v>
      </c>
      <c r="I989" s="17">
        <v>15</v>
      </c>
      <c r="J989" s="17">
        <f t="shared" si="26"/>
        <v>10500</v>
      </c>
      <c r="K989" s="17"/>
      <c r="L989" s="16"/>
      <c r="M989" s="16"/>
      <c r="N989" s="39"/>
    </row>
    <row r="990" spans="1:14" s="12" customFormat="1" ht="18">
      <c r="A990" s="15"/>
      <c r="B990" s="433" t="s">
        <v>1992</v>
      </c>
      <c r="C990" s="39" t="s">
        <v>1067</v>
      </c>
      <c r="D990" s="236">
        <v>400</v>
      </c>
      <c r="E990" s="236">
        <v>200</v>
      </c>
      <c r="F990" s="236">
        <v>200</v>
      </c>
      <c r="G990" s="236">
        <v>200</v>
      </c>
      <c r="H990" s="40">
        <f>SUM(Tabla132112410[[#This Row],[PRIMER TRIMESTRE]:[CUARTO TRIMESTRE]])</f>
        <v>1000</v>
      </c>
      <c r="I990" s="17">
        <v>5</v>
      </c>
      <c r="J990" s="17">
        <f t="shared" si="26"/>
        <v>5000</v>
      </c>
      <c r="K990" s="17"/>
      <c r="L990" s="16"/>
      <c r="M990" s="16"/>
      <c r="N990" s="39"/>
    </row>
    <row r="991" spans="1:14" s="12" customFormat="1" ht="18">
      <c r="A991" s="15"/>
      <c r="B991" s="433" t="s">
        <v>1993</v>
      </c>
      <c r="C991" s="39" t="s">
        <v>1067</v>
      </c>
      <c r="D991" s="236">
        <v>400</v>
      </c>
      <c r="E991" s="236">
        <v>200</v>
      </c>
      <c r="F991" s="236">
        <v>200</v>
      </c>
      <c r="G991" s="236">
        <v>200</v>
      </c>
      <c r="H991" s="40">
        <f>SUM(Tabla132112410[[#This Row],[PRIMER TRIMESTRE]:[CUARTO TRIMESTRE]])</f>
        <v>1000</v>
      </c>
      <c r="I991" s="17">
        <v>0.35</v>
      </c>
      <c r="J991" s="17">
        <f t="shared" si="26"/>
        <v>350</v>
      </c>
      <c r="K991" s="17"/>
      <c r="L991" s="16"/>
      <c r="M991" s="16"/>
      <c r="N991" s="39"/>
    </row>
    <row r="992" spans="1:14" s="12" customFormat="1" ht="18">
      <c r="A992" s="15"/>
      <c r="B992" s="433" t="s">
        <v>1994</v>
      </c>
      <c r="C992" s="39" t="s">
        <v>1067</v>
      </c>
      <c r="D992" s="236">
        <v>15</v>
      </c>
      <c r="E992" s="236">
        <v>5</v>
      </c>
      <c r="F992" s="236">
        <v>5</v>
      </c>
      <c r="G992" s="236">
        <v>5</v>
      </c>
      <c r="H992" s="40">
        <f>SUM(Tabla132112410[[#This Row],[PRIMER TRIMESTRE]:[CUARTO TRIMESTRE]])</f>
        <v>30</v>
      </c>
      <c r="I992" s="17">
        <v>10</v>
      </c>
      <c r="J992" s="17">
        <f t="shared" si="26"/>
        <v>300</v>
      </c>
      <c r="K992" s="17"/>
      <c r="L992" s="16"/>
      <c r="M992" s="16"/>
      <c r="N992" s="39"/>
    </row>
    <row r="993" spans="1:14" s="12" customFormat="1" ht="18">
      <c r="A993" s="15"/>
      <c r="B993" s="433" t="s">
        <v>1995</v>
      </c>
      <c r="C993" s="39" t="s">
        <v>1067</v>
      </c>
      <c r="D993" s="236">
        <v>20</v>
      </c>
      <c r="E993" s="236">
        <v>10</v>
      </c>
      <c r="F993" s="236">
        <v>10</v>
      </c>
      <c r="G993" s="236">
        <v>10</v>
      </c>
      <c r="H993" s="40">
        <f>SUM(Tabla132112410[[#This Row],[PRIMER TRIMESTRE]:[CUARTO TRIMESTRE]])</f>
        <v>50</v>
      </c>
      <c r="I993" s="17">
        <v>30</v>
      </c>
      <c r="J993" s="17">
        <f t="shared" si="26"/>
        <v>1500</v>
      </c>
      <c r="K993" s="17"/>
      <c r="L993" s="16"/>
      <c r="M993" s="16"/>
      <c r="N993" s="39"/>
    </row>
    <row r="994" spans="1:14" s="12" customFormat="1" ht="18">
      <c r="A994" s="15"/>
      <c r="B994" s="433" t="s">
        <v>1996</v>
      </c>
      <c r="C994" s="39" t="s">
        <v>1067</v>
      </c>
      <c r="D994" s="236">
        <v>25</v>
      </c>
      <c r="E994" s="236">
        <v>25</v>
      </c>
      <c r="F994" s="236">
        <v>25</v>
      </c>
      <c r="G994" s="236">
        <v>25</v>
      </c>
      <c r="H994" s="40">
        <f>SUM(Tabla132112410[[#This Row],[PRIMER TRIMESTRE]:[CUARTO TRIMESTRE]])</f>
        <v>100</v>
      </c>
      <c r="I994" s="17">
        <v>25</v>
      </c>
      <c r="J994" s="17">
        <f t="shared" si="26"/>
        <v>2500</v>
      </c>
      <c r="K994" s="17"/>
      <c r="L994" s="16"/>
      <c r="M994" s="16"/>
      <c r="N994" s="39"/>
    </row>
    <row r="995" spans="1:14" s="12" customFormat="1" ht="18">
      <c r="A995" s="15"/>
      <c r="B995" s="433" t="s">
        <v>1997</v>
      </c>
      <c r="C995" s="39" t="s">
        <v>1067</v>
      </c>
      <c r="D995" s="236">
        <v>1250</v>
      </c>
      <c r="E995" s="236">
        <v>1250</v>
      </c>
      <c r="F995" s="236">
        <v>1250</v>
      </c>
      <c r="G995" s="236">
        <v>1250</v>
      </c>
      <c r="H995" s="40">
        <f>SUM(Tabla132112410[[#This Row],[PRIMER TRIMESTRE]:[CUARTO TRIMESTRE]])</f>
        <v>5000</v>
      </c>
      <c r="I995" s="17">
        <v>5</v>
      </c>
      <c r="J995" s="17">
        <f t="shared" si="26"/>
        <v>25000</v>
      </c>
      <c r="K995" s="17"/>
      <c r="L995" s="16"/>
      <c r="M995" s="16"/>
      <c r="N995" s="39"/>
    </row>
    <row r="996" spans="1:14" s="12" customFormat="1" ht="18">
      <c r="A996" s="15"/>
      <c r="B996" s="433" t="s">
        <v>1998</v>
      </c>
      <c r="C996" s="39" t="s">
        <v>1067</v>
      </c>
      <c r="D996" s="236">
        <v>250</v>
      </c>
      <c r="E996" s="236">
        <v>150</v>
      </c>
      <c r="F996" s="236">
        <v>150</v>
      </c>
      <c r="G996" s="236">
        <v>150</v>
      </c>
      <c r="H996" s="40">
        <f>SUM(Tabla132112410[[#This Row],[PRIMER TRIMESTRE]:[CUARTO TRIMESTRE]])</f>
        <v>700</v>
      </c>
      <c r="I996" s="17">
        <v>14</v>
      </c>
      <c r="J996" s="17">
        <f t="shared" si="26"/>
        <v>9800</v>
      </c>
      <c r="K996" s="17"/>
      <c r="L996" s="16"/>
      <c r="M996" s="16"/>
      <c r="N996" s="39"/>
    </row>
    <row r="997" spans="1:14" s="12" customFormat="1" ht="18">
      <c r="A997" s="15"/>
      <c r="B997" s="433" t="s">
        <v>1999</v>
      </c>
      <c r="C997" s="39" t="s">
        <v>1067</v>
      </c>
      <c r="D997" s="236">
        <v>150</v>
      </c>
      <c r="E997" s="236">
        <v>50</v>
      </c>
      <c r="F997" s="236">
        <v>50</v>
      </c>
      <c r="G997" s="236">
        <v>50</v>
      </c>
      <c r="H997" s="40">
        <f>SUM(Tabla132112410[[#This Row],[PRIMER TRIMESTRE]:[CUARTO TRIMESTRE]])</f>
        <v>300</v>
      </c>
      <c r="I997" s="17">
        <v>7</v>
      </c>
      <c r="J997" s="17">
        <f t="shared" si="26"/>
        <v>2100</v>
      </c>
      <c r="K997" s="17"/>
      <c r="L997" s="16"/>
      <c r="M997" s="16"/>
      <c r="N997" s="39"/>
    </row>
    <row r="998" spans="1:14" s="12" customFormat="1" ht="18">
      <c r="A998" s="15"/>
      <c r="B998" s="433" t="s">
        <v>2000</v>
      </c>
      <c r="C998" s="39" t="s">
        <v>1067</v>
      </c>
      <c r="D998" s="236">
        <v>150</v>
      </c>
      <c r="E998" s="236">
        <v>50</v>
      </c>
      <c r="F998" s="236">
        <v>50</v>
      </c>
      <c r="G998" s="236">
        <v>50</v>
      </c>
      <c r="H998" s="40">
        <f>SUM(Tabla132112410[[#This Row],[PRIMER TRIMESTRE]:[CUARTO TRIMESTRE]])</f>
        <v>300</v>
      </c>
      <c r="I998" s="17">
        <v>7</v>
      </c>
      <c r="J998" s="17">
        <f t="shared" si="26"/>
        <v>2100</v>
      </c>
      <c r="K998" s="17"/>
      <c r="L998" s="16"/>
      <c r="M998" s="16"/>
      <c r="N998" s="39"/>
    </row>
    <row r="999" spans="1:14" s="12" customFormat="1" ht="18">
      <c r="A999" s="15"/>
      <c r="B999" s="433" t="s">
        <v>2001</v>
      </c>
      <c r="C999" s="39" t="s">
        <v>1067</v>
      </c>
      <c r="D999" s="236">
        <v>175</v>
      </c>
      <c r="E999" s="236">
        <v>75</v>
      </c>
      <c r="F999" s="236">
        <v>75</v>
      </c>
      <c r="G999" s="236">
        <v>75</v>
      </c>
      <c r="H999" s="40">
        <f>SUM(Tabla132112410[[#This Row],[PRIMER TRIMESTRE]:[CUARTO TRIMESTRE]])</f>
        <v>400</v>
      </c>
      <c r="I999" s="17">
        <v>7</v>
      </c>
      <c r="J999" s="17">
        <f t="shared" si="26"/>
        <v>2800</v>
      </c>
      <c r="K999" s="17"/>
      <c r="L999" s="16"/>
      <c r="M999" s="16"/>
      <c r="N999" s="39"/>
    </row>
    <row r="1000" spans="1:14" s="12" customFormat="1" ht="18">
      <c r="A1000" s="15"/>
      <c r="B1000" s="433" t="s">
        <v>2002</v>
      </c>
      <c r="C1000" s="39" t="s">
        <v>1067</v>
      </c>
      <c r="D1000" s="236">
        <v>20</v>
      </c>
      <c r="E1000" s="236">
        <v>10</v>
      </c>
      <c r="F1000" s="236">
        <v>10</v>
      </c>
      <c r="G1000" s="236">
        <v>10</v>
      </c>
      <c r="H1000" s="40">
        <f>SUM(Tabla132112410[[#This Row],[PRIMER TRIMESTRE]:[CUARTO TRIMESTRE]])</f>
        <v>50</v>
      </c>
      <c r="I1000" s="17">
        <v>5</v>
      </c>
      <c r="J1000" s="17">
        <f t="shared" si="26"/>
        <v>250</v>
      </c>
      <c r="K1000" s="17"/>
      <c r="L1000" s="16"/>
      <c r="M1000" s="16"/>
      <c r="N1000" s="39"/>
    </row>
    <row r="1001" spans="1:14" s="12" customFormat="1" ht="18">
      <c r="A1001" s="15"/>
      <c r="B1001" s="433" t="s">
        <v>2003</v>
      </c>
      <c r="C1001" s="39" t="s">
        <v>1067</v>
      </c>
      <c r="D1001" s="236">
        <v>35</v>
      </c>
      <c r="E1001" s="236">
        <v>15</v>
      </c>
      <c r="F1001" s="236">
        <v>15</v>
      </c>
      <c r="G1001" s="236">
        <v>15</v>
      </c>
      <c r="H1001" s="40">
        <f>SUM(Tabla132112410[[#This Row],[PRIMER TRIMESTRE]:[CUARTO TRIMESTRE]])</f>
        <v>80</v>
      </c>
      <c r="I1001" s="17">
        <v>20</v>
      </c>
      <c r="J1001" s="17">
        <f t="shared" si="26"/>
        <v>1600</v>
      </c>
      <c r="K1001" s="17"/>
      <c r="L1001" s="16"/>
      <c r="M1001" s="16"/>
      <c r="N1001" s="39"/>
    </row>
    <row r="1002" spans="1:14" s="12" customFormat="1" ht="18">
      <c r="A1002" s="15"/>
      <c r="B1002" s="433" t="s">
        <v>2004</v>
      </c>
      <c r="C1002" s="39" t="s">
        <v>1067</v>
      </c>
      <c r="D1002" s="236">
        <v>150</v>
      </c>
      <c r="E1002" s="236">
        <v>50</v>
      </c>
      <c r="F1002" s="236">
        <v>50</v>
      </c>
      <c r="G1002" s="236">
        <v>50</v>
      </c>
      <c r="H1002" s="40">
        <f>SUM(Tabla132112410[[#This Row],[PRIMER TRIMESTRE]:[CUARTO TRIMESTRE]])</f>
        <v>300</v>
      </c>
      <c r="I1002" s="17">
        <v>1</v>
      </c>
      <c r="J1002" s="17">
        <f t="shared" si="26"/>
        <v>300</v>
      </c>
      <c r="K1002" s="17"/>
      <c r="L1002" s="16"/>
      <c r="M1002" s="16"/>
      <c r="N1002" s="39"/>
    </row>
    <row r="1003" spans="1:14" s="12" customFormat="1" ht="18">
      <c r="A1003" s="15"/>
      <c r="B1003" s="433" t="s">
        <v>2005</v>
      </c>
      <c r="C1003" s="39" t="s">
        <v>1067</v>
      </c>
      <c r="D1003" s="236">
        <v>150</v>
      </c>
      <c r="E1003" s="236">
        <v>50</v>
      </c>
      <c r="F1003" s="236">
        <v>50</v>
      </c>
      <c r="G1003" s="236">
        <v>50</v>
      </c>
      <c r="H1003" s="40">
        <f>SUM(Tabla132112410[[#This Row],[PRIMER TRIMESTRE]:[CUARTO TRIMESTRE]])</f>
        <v>300</v>
      </c>
      <c r="I1003" s="17">
        <v>1.3</v>
      </c>
      <c r="J1003" s="17">
        <f t="shared" si="26"/>
        <v>390</v>
      </c>
      <c r="K1003" s="17"/>
      <c r="L1003" s="16"/>
      <c r="M1003" s="16"/>
      <c r="N1003" s="39"/>
    </row>
    <row r="1004" spans="1:14" s="12" customFormat="1" ht="18">
      <c r="A1004" s="15"/>
      <c r="B1004" s="433" t="s">
        <v>2006</v>
      </c>
      <c r="C1004" s="39" t="s">
        <v>1067</v>
      </c>
      <c r="D1004" s="236">
        <v>150</v>
      </c>
      <c r="E1004" s="236">
        <v>50</v>
      </c>
      <c r="F1004" s="236">
        <v>50</v>
      </c>
      <c r="G1004" s="236">
        <v>50</v>
      </c>
      <c r="H1004" s="40">
        <f>SUM(Tabla132112410[[#This Row],[PRIMER TRIMESTRE]:[CUARTO TRIMESTRE]])</f>
        <v>300</v>
      </c>
      <c r="I1004" s="17">
        <v>2</v>
      </c>
      <c r="J1004" s="17">
        <f t="shared" si="26"/>
        <v>600</v>
      </c>
      <c r="K1004" s="17"/>
      <c r="L1004" s="16"/>
      <c r="M1004" s="16"/>
      <c r="N1004" s="39"/>
    </row>
    <row r="1005" spans="1:14" s="12" customFormat="1" ht="18">
      <c r="A1005" s="15"/>
      <c r="B1005" s="433" t="s">
        <v>2007</v>
      </c>
      <c r="C1005" s="39" t="s">
        <v>208</v>
      </c>
      <c r="D1005" s="236">
        <v>20</v>
      </c>
      <c r="E1005" s="236">
        <v>10</v>
      </c>
      <c r="F1005" s="236">
        <v>10</v>
      </c>
      <c r="G1005" s="236">
        <v>10</v>
      </c>
      <c r="H1005" s="40">
        <f>SUM(Tabla132112410[[#This Row],[PRIMER TRIMESTRE]:[CUARTO TRIMESTRE]])</f>
        <v>50</v>
      </c>
      <c r="I1005" s="17">
        <v>300</v>
      </c>
      <c r="J1005" s="17">
        <f t="shared" si="26"/>
        <v>15000</v>
      </c>
      <c r="K1005" s="17"/>
      <c r="L1005" s="16"/>
      <c r="M1005" s="16"/>
      <c r="N1005" s="39"/>
    </row>
    <row r="1006" spans="1:14" s="12" customFormat="1" ht="18">
      <c r="A1006" s="15"/>
      <c r="B1006" s="433" t="s">
        <v>2008</v>
      </c>
      <c r="C1006" s="39" t="s">
        <v>1067</v>
      </c>
      <c r="D1006" s="236">
        <v>30</v>
      </c>
      <c r="E1006" s="236">
        <v>20</v>
      </c>
      <c r="F1006" s="236">
        <v>15</v>
      </c>
      <c r="G1006" s="236">
        <v>15</v>
      </c>
      <c r="H1006" s="40">
        <f>SUM(Tabla132112410[[#This Row],[PRIMER TRIMESTRE]:[CUARTO TRIMESTRE]])</f>
        <v>80</v>
      </c>
      <c r="I1006" s="17">
        <v>2.5</v>
      </c>
      <c r="J1006" s="17">
        <f t="shared" si="26"/>
        <v>200</v>
      </c>
      <c r="K1006" s="17"/>
      <c r="L1006" s="16"/>
      <c r="M1006" s="16"/>
      <c r="N1006" s="39"/>
    </row>
    <row r="1007" spans="1:14" s="12" customFormat="1" ht="18">
      <c r="A1007" s="15"/>
      <c r="B1007" s="433" t="s">
        <v>2009</v>
      </c>
      <c r="C1007" s="39" t="s">
        <v>1067</v>
      </c>
      <c r="D1007" s="236">
        <v>20</v>
      </c>
      <c r="E1007" s="236">
        <v>20</v>
      </c>
      <c r="F1007" s="236">
        <v>20</v>
      </c>
      <c r="G1007" s="236">
        <v>20</v>
      </c>
      <c r="H1007" s="40">
        <f>SUM(Tabla132112410[[#This Row],[PRIMER TRIMESTRE]:[CUARTO TRIMESTRE]])</f>
        <v>80</v>
      </c>
      <c r="I1007" s="17">
        <v>2.5</v>
      </c>
      <c r="J1007" s="17">
        <f t="shared" si="26"/>
        <v>200</v>
      </c>
      <c r="K1007" s="17"/>
      <c r="L1007" s="16"/>
      <c r="M1007" s="16"/>
      <c r="N1007" s="39"/>
    </row>
    <row r="1008" spans="1:14" s="12" customFormat="1" ht="18">
      <c r="A1008" s="15"/>
      <c r="B1008" s="433" t="s">
        <v>2010</v>
      </c>
      <c r="C1008" s="39" t="s">
        <v>1067</v>
      </c>
      <c r="D1008" s="236">
        <v>20</v>
      </c>
      <c r="E1008" s="236">
        <v>10</v>
      </c>
      <c r="F1008" s="236">
        <v>10</v>
      </c>
      <c r="G1008" s="236">
        <v>10</v>
      </c>
      <c r="H1008" s="40">
        <f>SUM(Tabla132112410[[#This Row],[PRIMER TRIMESTRE]:[CUARTO TRIMESTRE]])</f>
        <v>50</v>
      </c>
      <c r="I1008" s="17">
        <v>30</v>
      </c>
      <c r="J1008" s="17">
        <f t="shared" si="26"/>
        <v>1500</v>
      </c>
      <c r="K1008" s="17"/>
      <c r="L1008" s="16"/>
      <c r="M1008" s="16"/>
      <c r="N1008" s="39"/>
    </row>
    <row r="1009" spans="1:14" s="12" customFormat="1" ht="18">
      <c r="A1009" s="15"/>
      <c r="B1009" s="433" t="s">
        <v>2011</v>
      </c>
      <c r="C1009" s="39" t="s">
        <v>1067</v>
      </c>
      <c r="D1009" s="236">
        <v>25</v>
      </c>
      <c r="E1009" s="236">
        <v>25</v>
      </c>
      <c r="F1009" s="236">
        <v>25</v>
      </c>
      <c r="G1009" s="236">
        <v>25</v>
      </c>
      <c r="H1009" s="40">
        <f>SUM(Tabla132112410[[#This Row],[PRIMER TRIMESTRE]:[CUARTO TRIMESTRE]])</f>
        <v>100</v>
      </c>
      <c r="I1009" s="17">
        <v>100</v>
      </c>
      <c r="J1009" s="17">
        <f t="shared" si="26"/>
        <v>10000</v>
      </c>
      <c r="K1009" s="17"/>
      <c r="L1009" s="16"/>
      <c r="M1009" s="16"/>
      <c r="N1009" s="39"/>
    </row>
    <row r="1010" spans="1:14" s="12" customFormat="1" ht="18">
      <c r="A1010" s="15"/>
      <c r="B1010" s="433" t="s">
        <v>2012</v>
      </c>
      <c r="C1010" s="39" t="s">
        <v>1067</v>
      </c>
      <c r="D1010" s="236">
        <v>20</v>
      </c>
      <c r="E1010" s="236">
        <v>10</v>
      </c>
      <c r="F1010" s="236">
        <v>10</v>
      </c>
      <c r="G1010" s="236">
        <v>10</v>
      </c>
      <c r="H1010" s="40">
        <f>SUM(Tabla132112410[[#This Row],[PRIMER TRIMESTRE]:[CUARTO TRIMESTRE]])</f>
        <v>50</v>
      </c>
      <c r="I1010" s="17">
        <v>15</v>
      </c>
      <c r="J1010" s="17">
        <f t="shared" si="26"/>
        <v>750</v>
      </c>
      <c r="K1010" s="17"/>
      <c r="L1010" s="16"/>
      <c r="M1010" s="16"/>
      <c r="N1010" s="39"/>
    </row>
    <row r="1011" spans="1:14" s="12" customFormat="1" ht="18">
      <c r="A1011" s="15"/>
      <c r="B1011" s="433" t="s">
        <v>2013</v>
      </c>
      <c r="C1011" s="39" t="s">
        <v>1067</v>
      </c>
      <c r="D1011" s="236">
        <v>1</v>
      </c>
      <c r="E1011" s="236"/>
      <c r="F1011" s="236">
        <v>1</v>
      </c>
      <c r="G1011" s="236"/>
      <c r="H1011" s="40">
        <f>SUM(Tabla132112410[[#This Row],[PRIMER TRIMESTRE]:[CUARTO TRIMESTRE]])</f>
        <v>2</v>
      </c>
      <c r="I1011" s="17">
        <v>1000</v>
      </c>
      <c r="J1011" s="17">
        <f t="shared" si="26"/>
        <v>2000</v>
      </c>
      <c r="K1011" s="17"/>
      <c r="L1011" s="16"/>
      <c r="M1011" s="16"/>
      <c r="N1011" s="39"/>
    </row>
    <row r="1012" spans="1:14" s="12" customFormat="1" ht="18">
      <c r="A1012" s="15"/>
      <c r="B1012" s="433" t="s">
        <v>2014</v>
      </c>
      <c r="C1012" s="39" t="s">
        <v>1067</v>
      </c>
      <c r="D1012" s="236">
        <v>1</v>
      </c>
      <c r="E1012" s="236"/>
      <c r="F1012" s="236">
        <v>1</v>
      </c>
      <c r="G1012" s="236"/>
      <c r="H1012" s="40">
        <f>SUM(Tabla132112410[[#This Row],[PRIMER TRIMESTRE]:[CUARTO TRIMESTRE]])</f>
        <v>2</v>
      </c>
      <c r="I1012" s="17">
        <v>500</v>
      </c>
      <c r="J1012" s="17">
        <f t="shared" si="26"/>
        <v>1000</v>
      </c>
      <c r="K1012" s="17"/>
      <c r="L1012" s="16"/>
      <c r="M1012" s="16"/>
      <c r="N1012" s="39"/>
    </row>
    <row r="1013" spans="1:14" s="12" customFormat="1" ht="18">
      <c r="A1013" s="15"/>
      <c r="B1013" s="433" t="s">
        <v>2015</v>
      </c>
      <c r="C1013" s="39" t="s">
        <v>1067</v>
      </c>
      <c r="D1013" s="236">
        <v>1</v>
      </c>
      <c r="E1013" s="236"/>
      <c r="F1013" s="236">
        <v>1</v>
      </c>
      <c r="G1013" s="236"/>
      <c r="H1013" s="40">
        <f>SUM(Tabla132112410[[#This Row],[PRIMER TRIMESTRE]:[CUARTO TRIMESTRE]])</f>
        <v>2</v>
      </c>
      <c r="I1013" s="17">
        <v>1500</v>
      </c>
      <c r="J1013" s="17">
        <f t="shared" si="26"/>
        <v>3000</v>
      </c>
      <c r="K1013" s="17"/>
      <c r="L1013" s="16"/>
      <c r="M1013" s="16"/>
      <c r="N1013" s="39"/>
    </row>
    <row r="1014" spans="1:14" s="12" customFormat="1" ht="18">
      <c r="A1014" s="15"/>
      <c r="B1014" s="433" t="s">
        <v>2016</v>
      </c>
      <c r="C1014" s="39" t="s">
        <v>1067</v>
      </c>
      <c r="D1014" s="236">
        <v>1</v>
      </c>
      <c r="E1014" s="236"/>
      <c r="F1014" s="236">
        <v>1</v>
      </c>
      <c r="G1014" s="236"/>
      <c r="H1014" s="40">
        <f>SUM(Tabla132112410[[#This Row],[PRIMER TRIMESTRE]:[CUARTO TRIMESTRE]])</f>
        <v>2</v>
      </c>
      <c r="I1014" s="17">
        <v>3000</v>
      </c>
      <c r="J1014" s="17">
        <f t="shared" si="26"/>
        <v>6000</v>
      </c>
      <c r="K1014" s="17"/>
      <c r="L1014" s="16"/>
      <c r="M1014" s="16"/>
      <c r="N1014" s="39"/>
    </row>
    <row r="1015" spans="1:14" s="12" customFormat="1" ht="18">
      <c r="A1015" s="15"/>
      <c r="B1015" s="433" t="s">
        <v>2017</v>
      </c>
      <c r="C1015" s="39" t="s">
        <v>1067</v>
      </c>
      <c r="D1015" s="236">
        <v>1</v>
      </c>
      <c r="E1015" s="236"/>
      <c r="F1015" s="236"/>
      <c r="G1015" s="236"/>
      <c r="H1015" s="40">
        <f>SUM(Tabla132112410[[#This Row],[PRIMER TRIMESTRE]:[CUARTO TRIMESTRE]])</f>
        <v>1</v>
      </c>
      <c r="I1015" s="17">
        <v>10000</v>
      </c>
      <c r="J1015" s="17">
        <f t="shared" si="26"/>
        <v>10000</v>
      </c>
      <c r="K1015" s="17"/>
      <c r="L1015" s="16"/>
      <c r="M1015" s="16"/>
      <c r="N1015" s="39"/>
    </row>
    <row r="1016" spans="1:14" s="12" customFormat="1" ht="18">
      <c r="A1016" s="15"/>
      <c r="B1016" s="433" t="s">
        <v>2018</v>
      </c>
      <c r="C1016" s="39" t="s">
        <v>1067</v>
      </c>
      <c r="D1016" s="236">
        <v>1</v>
      </c>
      <c r="E1016" s="236"/>
      <c r="F1016" s="236">
        <v>1</v>
      </c>
      <c r="G1016" s="236"/>
      <c r="H1016" s="40">
        <f>SUM(Tabla132112410[[#This Row],[PRIMER TRIMESTRE]:[CUARTO TRIMESTRE]])</f>
        <v>2</v>
      </c>
      <c r="I1016" s="17">
        <v>3000</v>
      </c>
      <c r="J1016" s="17">
        <f t="shared" si="26"/>
        <v>6000</v>
      </c>
      <c r="K1016" s="17"/>
      <c r="L1016" s="16"/>
      <c r="M1016" s="16"/>
      <c r="N1016" s="39"/>
    </row>
    <row r="1017" spans="1:14" s="12" customFormat="1" ht="38.25">
      <c r="A1017" s="178" t="s">
        <v>99</v>
      </c>
      <c r="B1017" s="75" t="s">
        <v>1114</v>
      </c>
      <c r="C1017" s="39" t="s">
        <v>1067</v>
      </c>
      <c r="D1017" s="236"/>
      <c r="E1017" s="236"/>
      <c r="F1017" s="236"/>
      <c r="G1017" s="236"/>
      <c r="H1017" s="40">
        <f>SUM(Tabla132112410[[#This Row],[PRIMER TRIMESTRE]:[CUARTO TRIMESTRE]])</f>
        <v>0</v>
      </c>
      <c r="I1017" s="17">
        <v>80000</v>
      </c>
      <c r="J1017" s="17">
        <f t="shared" si="26"/>
        <v>0</v>
      </c>
      <c r="K1017" s="17"/>
      <c r="L1017" s="16" t="s">
        <v>18</v>
      </c>
      <c r="M1017" s="16" t="s">
        <v>22</v>
      </c>
      <c r="N1017" s="39" t="s">
        <v>418</v>
      </c>
    </row>
    <row r="1018" spans="1:14" s="12" customFormat="1" ht="51">
      <c r="A1018" s="178" t="s">
        <v>99</v>
      </c>
      <c r="B1018" s="75" t="s">
        <v>1115</v>
      </c>
      <c r="C1018" s="39" t="s">
        <v>1067</v>
      </c>
      <c r="D1018" s="236"/>
      <c r="E1018" s="236"/>
      <c r="F1018" s="236"/>
      <c r="G1018" s="236"/>
      <c r="H1018" s="40">
        <f>SUM(Tabla132112410[[#This Row],[PRIMER TRIMESTRE]:[CUARTO TRIMESTRE]])</f>
        <v>0</v>
      </c>
      <c r="I1018" s="17">
        <v>38000</v>
      </c>
      <c r="J1018" s="17">
        <f t="shared" si="26"/>
        <v>0</v>
      </c>
      <c r="K1018" s="17"/>
      <c r="L1018" s="16" t="s">
        <v>18</v>
      </c>
      <c r="M1018" s="16" t="s">
        <v>22</v>
      </c>
      <c r="N1018" s="39" t="s">
        <v>418</v>
      </c>
    </row>
    <row r="1019" spans="1:14" s="12" customFormat="1" ht="38.25">
      <c r="A1019" s="178" t="s">
        <v>99</v>
      </c>
      <c r="B1019" s="75" t="s">
        <v>1116</v>
      </c>
      <c r="C1019" s="39" t="s">
        <v>1067</v>
      </c>
      <c r="D1019" s="236"/>
      <c r="E1019" s="236"/>
      <c r="F1019" s="236"/>
      <c r="G1019" s="236"/>
      <c r="H1019" s="40">
        <f>SUM(Tabla132112410[[#This Row],[PRIMER TRIMESTRE]:[CUARTO TRIMESTRE]])</f>
        <v>0</v>
      </c>
      <c r="I1019" s="17">
        <v>52000</v>
      </c>
      <c r="J1019" s="17">
        <f t="shared" si="26"/>
        <v>0</v>
      </c>
      <c r="K1019" s="17"/>
      <c r="L1019" s="16" t="s">
        <v>18</v>
      </c>
      <c r="M1019" s="16" t="s">
        <v>22</v>
      </c>
      <c r="N1019" s="39" t="s">
        <v>418</v>
      </c>
    </row>
    <row r="1020" spans="1:14" s="12" customFormat="1" ht="30">
      <c r="A1020" s="178" t="s">
        <v>99</v>
      </c>
      <c r="B1020" s="75" t="s">
        <v>1117</v>
      </c>
      <c r="C1020" s="39" t="s">
        <v>1067</v>
      </c>
      <c r="D1020" s="236"/>
      <c r="E1020" s="236"/>
      <c r="F1020" s="236"/>
      <c r="G1020" s="236"/>
      <c r="H1020" s="40">
        <f>SUM(Tabla132112410[[#This Row],[PRIMER TRIMESTRE]:[CUARTO TRIMESTRE]])</f>
        <v>0</v>
      </c>
      <c r="I1020" s="17">
        <v>4000</v>
      </c>
      <c r="J1020" s="17">
        <f t="shared" si="26"/>
        <v>0</v>
      </c>
      <c r="K1020" s="17"/>
      <c r="L1020" s="16" t="s">
        <v>18</v>
      </c>
      <c r="M1020" s="16" t="s">
        <v>22</v>
      </c>
      <c r="N1020" s="39" t="s">
        <v>418</v>
      </c>
    </row>
    <row r="1021" spans="1:14" s="12" customFormat="1" ht="30">
      <c r="A1021" s="178" t="s">
        <v>99</v>
      </c>
      <c r="B1021" s="75" t="s">
        <v>1118</v>
      </c>
      <c r="C1021" s="39" t="s">
        <v>1067</v>
      </c>
      <c r="D1021" s="236"/>
      <c r="E1021" s="236"/>
      <c r="F1021" s="236"/>
      <c r="G1021" s="236"/>
      <c r="H1021" s="40">
        <f>SUM(Tabla132112410[[#This Row],[PRIMER TRIMESTRE]:[CUARTO TRIMESTRE]])</f>
        <v>0</v>
      </c>
      <c r="I1021" s="17">
        <v>8000</v>
      </c>
      <c r="J1021" s="17">
        <f t="shared" si="26"/>
        <v>0</v>
      </c>
      <c r="K1021" s="17"/>
      <c r="L1021" s="16" t="s">
        <v>18</v>
      </c>
      <c r="M1021" s="16" t="s">
        <v>22</v>
      </c>
      <c r="N1021" s="39" t="s">
        <v>418</v>
      </c>
    </row>
    <row r="1022" spans="1:14" s="12" customFormat="1" ht="30">
      <c r="A1022" s="178" t="s">
        <v>99</v>
      </c>
      <c r="B1022" s="75" t="s">
        <v>1119</v>
      </c>
      <c r="C1022" s="39" t="s">
        <v>1067</v>
      </c>
      <c r="D1022" s="236"/>
      <c r="E1022" s="236"/>
      <c r="F1022" s="236"/>
      <c r="G1022" s="236"/>
      <c r="H1022" s="40">
        <f>SUM(Tabla132112410[[#This Row],[PRIMER TRIMESTRE]:[CUARTO TRIMESTRE]])</f>
        <v>0</v>
      </c>
      <c r="I1022" s="17">
        <v>350000</v>
      </c>
      <c r="J1022" s="17">
        <f t="shared" si="26"/>
        <v>0</v>
      </c>
      <c r="K1022" s="17"/>
      <c r="L1022" s="16" t="s">
        <v>18</v>
      </c>
      <c r="M1022" s="16" t="s">
        <v>22</v>
      </c>
      <c r="N1022" s="39" t="s">
        <v>418</v>
      </c>
    </row>
    <row r="1023" spans="1:14" s="12" customFormat="1" ht="38.25">
      <c r="A1023" s="178" t="s">
        <v>99</v>
      </c>
      <c r="B1023" s="75" t="s">
        <v>1120</v>
      </c>
      <c r="C1023" s="39" t="s">
        <v>1067</v>
      </c>
      <c r="D1023" s="236"/>
      <c r="E1023" s="236"/>
      <c r="F1023" s="236"/>
      <c r="G1023" s="236"/>
      <c r="H1023" s="40">
        <f>SUM(Tabla132112410[[#This Row],[PRIMER TRIMESTRE]:[CUARTO TRIMESTRE]])</f>
        <v>0</v>
      </c>
      <c r="I1023" s="17">
        <v>21000</v>
      </c>
      <c r="J1023" s="17">
        <f t="shared" si="26"/>
        <v>0</v>
      </c>
      <c r="K1023" s="17"/>
      <c r="L1023" s="16" t="s">
        <v>18</v>
      </c>
      <c r="M1023" s="16" t="s">
        <v>22</v>
      </c>
      <c r="N1023" s="39" t="s">
        <v>418</v>
      </c>
    </row>
    <row r="1024" spans="1:14" s="12" customFormat="1" ht="102">
      <c r="A1024" s="178" t="s">
        <v>99</v>
      </c>
      <c r="B1024" s="75" t="s">
        <v>1121</v>
      </c>
      <c r="C1024" s="39" t="s">
        <v>1067</v>
      </c>
      <c r="D1024" s="236"/>
      <c r="E1024" s="236"/>
      <c r="F1024" s="236"/>
      <c r="G1024" s="236"/>
      <c r="H1024" s="40">
        <f>SUM(Tabla132112410[[#This Row],[PRIMER TRIMESTRE]:[CUARTO TRIMESTRE]])</f>
        <v>0</v>
      </c>
      <c r="I1024" s="17">
        <v>300000</v>
      </c>
      <c r="J1024" s="17">
        <f t="shared" si="26"/>
        <v>0</v>
      </c>
      <c r="K1024" s="17"/>
      <c r="L1024" s="16" t="s">
        <v>18</v>
      </c>
      <c r="M1024" s="16" t="s">
        <v>22</v>
      </c>
      <c r="N1024" s="39" t="s">
        <v>418</v>
      </c>
    </row>
    <row r="1025" spans="1:14" s="12" customFormat="1" ht="38.25">
      <c r="A1025" s="178" t="s">
        <v>99</v>
      </c>
      <c r="B1025" s="75" t="s">
        <v>1122</v>
      </c>
      <c r="C1025" s="39" t="s">
        <v>1067</v>
      </c>
      <c r="D1025" s="236"/>
      <c r="E1025" s="236"/>
      <c r="F1025" s="236"/>
      <c r="G1025" s="236"/>
      <c r="H1025" s="40">
        <f>SUM(Tabla132112410[[#This Row],[PRIMER TRIMESTRE]:[CUARTO TRIMESTRE]])</f>
        <v>0</v>
      </c>
      <c r="I1025" s="17">
        <v>12000</v>
      </c>
      <c r="J1025" s="17">
        <f t="shared" si="26"/>
        <v>0</v>
      </c>
      <c r="K1025" s="17"/>
      <c r="L1025" s="16" t="s">
        <v>18</v>
      </c>
      <c r="M1025" s="16" t="s">
        <v>22</v>
      </c>
      <c r="N1025" s="39" t="s">
        <v>418</v>
      </c>
    </row>
    <row r="1026" spans="1:14" s="12" customFormat="1" ht="38.25">
      <c r="A1026" s="178" t="s">
        <v>99</v>
      </c>
      <c r="B1026" s="75" t="s">
        <v>1123</v>
      </c>
      <c r="C1026" s="39" t="s">
        <v>1067</v>
      </c>
      <c r="D1026" s="236"/>
      <c r="E1026" s="236"/>
      <c r="F1026" s="236"/>
      <c r="G1026" s="236"/>
      <c r="H1026" s="40">
        <f>SUM(Tabla132112410[[#This Row],[PRIMER TRIMESTRE]:[CUARTO TRIMESTRE]])</f>
        <v>0</v>
      </c>
      <c r="I1026" s="17">
        <v>10000</v>
      </c>
      <c r="J1026" s="17">
        <f t="shared" si="26"/>
        <v>0</v>
      </c>
      <c r="K1026" s="17"/>
      <c r="L1026" s="16" t="s">
        <v>18</v>
      </c>
      <c r="M1026" s="16" t="s">
        <v>22</v>
      </c>
      <c r="N1026" s="39" t="s">
        <v>418</v>
      </c>
    </row>
    <row r="1027" spans="1:14" s="12" customFormat="1" ht="30">
      <c r="A1027" s="178" t="s">
        <v>99</v>
      </c>
      <c r="B1027" s="75" t="s">
        <v>1124</v>
      </c>
      <c r="C1027" s="39" t="s">
        <v>1067</v>
      </c>
      <c r="D1027" s="236"/>
      <c r="E1027" s="236"/>
      <c r="F1027" s="236"/>
      <c r="G1027" s="236"/>
      <c r="H1027" s="40">
        <f>SUM(Tabla132112410[[#This Row],[PRIMER TRIMESTRE]:[CUARTO TRIMESTRE]])</f>
        <v>0</v>
      </c>
      <c r="I1027" s="17">
        <v>5000</v>
      </c>
      <c r="J1027" s="17">
        <f t="shared" si="26"/>
        <v>0</v>
      </c>
      <c r="K1027" s="17"/>
      <c r="L1027" s="16" t="s">
        <v>18</v>
      </c>
      <c r="M1027" s="16" t="s">
        <v>22</v>
      </c>
      <c r="N1027" s="39" t="s">
        <v>418</v>
      </c>
    </row>
    <row r="1028" spans="1:14" s="12" customFormat="1" ht="38.25">
      <c r="A1028" s="178" t="s">
        <v>99</v>
      </c>
      <c r="B1028" s="75" t="s">
        <v>1125</v>
      </c>
      <c r="C1028" s="39" t="s">
        <v>1067</v>
      </c>
      <c r="D1028" s="236"/>
      <c r="E1028" s="236"/>
      <c r="F1028" s="236"/>
      <c r="G1028" s="236"/>
      <c r="H1028" s="40">
        <f>SUM(Tabla132112410[[#This Row],[PRIMER TRIMESTRE]:[CUARTO TRIMESTRE]])</f>
        <v>0</v>
      </c>
      <c r="I1028" s="17">
        <v>5000</v>
      </c>
      <c r="J1028" s="17">
        <f t="shared" si="26"/>
        <v>0</v>
      </c>
      <c r="K1028" s="17"/>
      <c r="L1028" s="16" t="s">
        <v>18</v>
      </c>
      <c r="M1028" s="16" t="s">
        <v>22</v>
      </c>
      <c r="N1028" s="39" t="s">
        <v>418</v>
      </c>
    </row>
    <row r="1029" spans="1:14" s="12" customFormat="1" ht="30">
      <c r="A1029" s="178" t="s">
        <v>99</v>
      </c>
      <c r="B1029" s="75" t="s">
        <v>1126</v>
      </c>
      <c r="C1029" s="39" t="s">
        <v>1067</v>
      </c>
      <c r="D1029" s="236"/>
      <c r="E1029" s="236"/>
      <c r="F1029" s="236"/>
      <c r="G1029" s="236"/>
      <c r="H1029" s="40">
        <f>SUM(Tabla132112410[[#This Row],[PRIMER TRIMESTRE]:[CUARTO TRIMESTRE]])</f>
        <v>0</v>
      </c>
      <c r="I1029" s="17">
        <v>3000</v>
      </c>
      <c r="J1029" s="17">
        <f t="shared" si="26"/>
        <v>0</v>
      </c>
      <c r="K1029" s="17"/>
      <c r="L1029" s="16" t="s">
        <v>18</v>
      </c>
      <c r="M1029" s="16" t="s">
        <v>22</v>
      </c>
      <c r="N1029" s="39" t="s">
        <v>418</v>
      </c>
    </row>
    <row r="1030" spans="1:14" s="12" customFormat="1" ht="30">
      <c r="A1030" s="178" t="s">
        <v>99</v>
      </c>
      <c r="B1030" s="75" t="s">
        <v>1093</v>
      </c>
      <c r="C1030" s="39" t="s">
        <v>1067</v>
      </c>
      <c r="D1030" s="236"/>
      <c r="E1030" s="236"/>
      <c r="F1030" s="236"/>
      <c r="G1030" s="236"/>
      <c r="H1030" s="40">
        <f>SUM(Tabla132112410[[#This Row],[PRIMER TRIMESTRE]:[CUARTO TRIMESTRE]])</f>
        <v>0</v>
      </c>
      <c r="I1030" s="17">
        <v>250</v>
      </c>
      <c r="J1030" s="17">
        <f t="shared" si="26"/>
        <v>0</v>
      </c>
      <c r="K1030" s="17"/>
      <c r="L1030" s="16" t="s">
        <v>18</v>
      </c>
      <c r="M1030" s="16" t="s">
        <v>22</v>
      </c>
      <c r="N1030" s="39" t="s">
        <v>418</v>
      </c>
    </row>
    <row r="1031" spans="1:14" s="12" customFormat="1" ht="30">
      <c r="A1031" s="178" t="s">
        <v>99</v>
      </c>
      <c r="B1031" s="75" t="s">
        <v>1127</v>
      </c>
      <c r="C1031" s="39" t="s">
        <v>1067</v>
      </c>
      <c r="D1031" s="236"/>
      <c r="E1031" s="236"/>
      <c r="F1031" s="236"/>
      <c r="G1031" s="236"/>
      <c r="H1031" s="40">
        <f>SUM(Tabla132112410[[#This Row],[PRIMER TRIMESTRE]:[CUARTO TRIMESTRE]])</f>
        <v>0</v>
      </c>
      <c r="I1031" s="17">
        <v>80000</v>
      </c>
      <c r="J1031" s="17">
        <f t="shared" si="26"/>
        <v>0</v>
      </c>
      <c r="K1031" s="17"/>
      <c r="L1031" s="16" t="s">
        <v>18</v>
      </c>
      <c r="M1031" s="16" t="s">
        <v>22</v>
      </c>
      <c r="N1031" s="39" t="s">
        <v>418</v>
      </c>
    </row>
    <row r="1032" spans="1:14" s="12" customFormat="1" ht="38.25">
      <c r="A1032" s="178" t="s">
        <v>99</v>
      </c>
      <c r="B1032" s="75" t="s">
        <v>1128</v>
      </c>
      <c r="C1032" s="39" t="s">
        <v>1067</v>
      </c>
      <c r="D1032" s="236"/>
      <c r="E1032" s="236"/>
      <c r="F1032" s="236"/>
      <c r="G1032" s="236"/>
      <c r="H1032" s="40">
        <f>SUM(Tabla132112410[[#This Row],[PRIMER TRIMESTRE]:[CUARTO TRIMESTRE]])</f>
        <v>0</v>
      </c>
      <c r="I1032" s="17">
        <v>1500</v>
      </c>
      <c r="J1032" s="17">
        <f t="shared" si="26"/>
        <v>0</v>
      </c>
      <c r="K1032" s="17"/>
      <c r="L1032" s="16" t="s">
        <v>18</v>
      </c>
      <c r="M1032" s="16" t="s">
        <v>22</v>
      </c>
      <c r="N1032" s="39" t="s">
        <v>418</v>
      </c>
    </row>
    <row r="1033" spans="1:14" s="12" customFormat="1" ht="30">
      <c r="A1033" s="178" t="s">
        <v>99</v>
      </c>
      <c r="B1033" s="75" t="s">
        <v>1129</v>
      </c>
      <c r="C1033" s="39" t="s">
        <v>1067</v>
      </c>
      <c r="D1033" s="236"/>
      <c r="E1033" s="236"/>
      <c r="F1033" s="236"/>
      <c r="G1033" s="236"/>
      <c r="H1033" s="40">
        <f>SUM(Tabla132112410[[#This Row],[PRIMER TRIMESTRE]:[CUARTO TRIMESTRE]])</f>
        <v>0</v>
      </c>
      <c r="I1033" s="17">
        <v>1000</v>
      </c>
      <c r="J1033" s="17">
        <f t="shared" si="26"/>
        <v>0</v>
      </c>
      <c r="K1033" s="17"/>
      <c r="L1033" s="16" t="s">
        <v>18</v>
      </c>
      <c r="M1033" s="16" t="s">
        <v>22</v>
      </c>
      <c r="N1033" s="39" t="s">
        <v>418</v>
      </c>
    </row>
    <row r="1034" spans="1:14" s="12" customFormat="1" ht="38.25">
      <c r="A1034" s="178" t="s">
        <v>99</v>
      </c>
      <c r="B1034" s="75" t="s">
        <v>1130</v>
      </c>
      <c r="C1034" s="39" t="s">
        <v>1067</v>
      </c>
      <c r="D1034" s="236"/>
      <c r="E1034" s="236"/>
      <c r="F1034" s="236"/>
      <c r="G1034" s="236"/>
      <c r="H1034" s="40">
        <f>SUM(Tabla132112410[[#This Row],[PRIMER TRIMESTRE]:[CUARTO TRIMESTRE]])</f>
        <v>0</v>
      </c>
      <c r="I1034" s="17">
        <v>2000</v>
      </c>
      <c r="J1034" s="17">
        <f t="shared" si="26"/>
        <v>0</v>
      </c>
      <c r="K1034" s="17"/>
      <c r="L1034" s="16" t="s">
        <v>18</v>
      </c>
      <c r="M1034" s="16" t="s">
        <v>22</v>
      </c>
      <c r="N1034" s="39" t="s">
        <v>418</v>
      </c>
    </row>
    <row r="1035" spans="1:14" s="12" customFormat="1" ht="30">
      <c r="A1035" s="178" t="s">
        <v>99</v>
      </c>
      <c r="B1035" s="75" t="s">
        <v>1131</v>
      </c>
      <c r="C1035" s="39" t="s">
        <v>1067</v>
      </c>
      <c r="D1035" s="236"/>
      <c r="E1035" s="236"/>
      <c r="F1035" s="236"/>
      <c r="G1035" s="236"/>
      <c r="H1035" s="40">
        <f>SUM(Tabla132112410[[#This Row],[PRIMER TRIMESTRE]:[CUARTO TRIMESTRE]])</f>
        <v>0</v>
      </c>
      <c r="I1035" s="17">
        <v>300</v>
      </c>
      <c r="J1035" s="17">
        <f t="shared" si="26"/>
        <v>0</v>
      </c>
      <c r="K1035" s="17"/>
      <c r="L1035" s="16" t="s">
        <v>18</v>
      </c>
      <c r="M1035" s="16" t="s">
        <v>22</v>
      </c>
      <c r="N1035" s="39" t="s">
        <v>418</v>
      </c>
    </row>
    <row r="1036" spans="1:14" s="12" customFormat="1" ht="30">
      <c r="A1036" s="178" t="s">
        <v>99</v>
      </c>
      <c r="B1036" s="75" t="s">
        <v>1508</v>
      </c>
      <c r="C1036" s="39" t="s">
        <v>1067</v>
      </c>
      <c r="D1036" s="236"/>
      <c r="E1036" s="236"/>
      <c r="F1036" s="236"/>
      <c r="G1036" s="236"/>
      <c r="H1036" s="236">
        <f>SUM(Tabla132112410[[#This Row],[PRIMER TRIMESTRE]:[CUARTO TRIMESTRE]])</f>
        <v>0</v>
      </c>
      <c r="I1036" s="17">
        <v>392</v>
      </c>
      <c r="J1036" s="17">
        <f t="shared" si="26"/>
        <v>0</v>
      </c>
      <c r="K1036" s="17"/>
      <c r="L1036" s="16" t="s">
        <v>27</v>
      </c>
      <c r="M1036" s="16" t="s">
        <v>22</v>
      </c>
      <c r="N1036" s="39" t="s">
        <v>418</v>
      </c>
    </row>
    <row r="1037" spans="1:14" s="12" customFormat="1" ht="30">
      <c r="A1037" s="178" t="s">
        <v>99</v>
      </c>
      <c r="B1037" s="75" t="s">
        <v>1132</v>
      </c>
      <c r="C1037" s="39" t="s">
        <v>1067</v>
      </c>
      <c r="D1037" s="236"/>
      <c r="E1037" s="236"/>
      <c r="F1037" s="236"/>
      <c r="G1037" s="236"/>
      <c r="H1037" s="40">
        <f>SUM(Tabla132112410[[#This Row],[PRIMER TRIMESTRE]:[CUARTO TRIMESTRE]])</f>
        <v>0</v>
      </c>
      <c r="I1037" s="17">
        <v>60000</v>
      </c>
      <c r="J1037" s="17">
        <f t="shared" si="26"/>
        <v>0</v>
      </c>
      <c r="K1037" s="17"/>
      <c r="L1037" s="16" t="s">
        <v>18</v>
      </c>
      <c r="M1037" s="16" t="s">
        <v>22</v>
      </c>
      <c r="N1037" s="39" t="s">
        <v>418</v>
      </c>
    </row>
    <row r="1038" spans="1:14" s="12" customFormat="1" ht="63.75">
      <c r="A1038" s="178" t="s">
        <v>99</v>
      </c>
      <c r="B1038" s="75" t="s">
        <v>1133</v>
      </c>
      <c r="C1038" s="39" t="s">
        <v>1067</v>
      </c>
      <c r="D1038" s="236"/>
      <c r="E1038" s="236"/>
      <c r="F1038" s="236"/>
      <c r="G1038" s="236"/>
      <c r="H1038" s="40">
        <f>SUM(Tabla132112410[[#This Row],[PRIMER TRIMESTRE]:[CUARTO TRIMESTRE]])</f>
        <v>0</v>
      </c>
      <c r="I1038" s="17">
        <v>3500</v>
      </c>
      <c r="J1038" s="17">
        <f t="shared" si="26"/>
        <v>0</v>
      </c>
      <c r="K1038" s="17"/>
      <c r="L1038" s="16" t="s">
        <v>18</v>
      </c>
      <c r="M1038" s="16" t="s">
        <v>22</v>
      </c>
      <c r="N1038" s="39" t="s">
        <v>418</v>
      </c>
    </row>
    <row r="1039" spans="1:14" s="12" customFormat="1" ht="30">
      <c r="A1039" s="178" t="s">
        <v>99</v>
      </c>
      <c r="B1039" s="75" t="s">
        <v>1873</v>
      </c>
      <c r="C1039" s="39" t="s">
        <v>1067</v>
      </c>
      <c r="D1039" s="236"/>
      <c r="E1039" s="236"/>
      <c r="F1039" s="236"/>
      <c r="G1039" s="236"/>
      <c r="H1039" s="40">
        <f>SUM(Tabla132112410[[#This Row],[PRIMER TRIMESTRE]:[CUARTO TRIMESTRE]])</f>
        <v>0</v>
      </c>
      <c r="I1039" s="17">
        <v>1150</v>
      </c>
      <c r="J1039" s="17">
        <f>Tabla132112410[[#This Row],[PRECIO UNITARIO ESTIMADO]]*Tabla132112410[[#This Row],[CANTIDAD TOTAL]]</f>
        <v>0</v>
      </c>
      <c r="K1039" s="17"/>
      <c r="L1039" s="16" t="s">
        <v>18</v>
      </c>
      <c r="M1039" s="16" t="s">
        <v>22</v>
      </c>
      <c r="N1039" s="39" t="s">
        <v>418</v>
      </c>
    </row>
    <row r="1040" spans="1:14" s="12" customFormat="1" ht="51">
      <c r="A1040" s="178" t="s">
        <v>99</v>
      </c>
      <c r="B1040" s="75" t="s">
        <v>1134</v>
      </c>
      <c r="C1040" s="39" t="s">
        <v>1067</v>
      </c>
      <c r="D1040" s="236"/>
      <c r="E1040" s="236"/>
      <c r="F1040" s="236"/>
      <c r="G1040" s="236"/>
      <c r="H1040" s="40">
        <f>SUM(Tabla132112410[[#This Row],[PRIMER TRIMESTRE]:[CUARTO TRIMESTRE]])</f>
        <v>0</v>
      </c>
      <c r="I1040" s="17">
        <v>450000</v>
      </c>
      <c r="J1040" s="17">
        <f t="shared" si="26"/>
        <v>0</v>
      </c>
      <c r="K1040" s="17"/>
      <c r="L1040" s="16" t="s">
        <v>18</v>
      </c>
      <c r="M1040" s="16" t="s">
        <v>22</v>
      </c>
      <c r="N1040" s="39" t="s">
        <v>418</v>
      </c>
    </row>
    <row r="1041" spans="1:14" s="12" customFormat="1" ht="63.75">
      <c r="A1041" s="178" t="s">
        <v>99</v>
      </c>
      <c r="B1041" s="75" t="s">
        <v>1135</v>
      </c>
      <c r="C1041" s="39" t="s">
        <v>1067</v>
      </c>
      <c r="D1041" s="236"/>
      <c r="E1041" s="236"/>
      <c r="F1041" s="236"/>
      <c r="G1041" s="236"/>
      <c r="H1041" s="40">
        <f>SUM(Tabla132112410[[#This Row],[PRIMER TRIMESTRE]:[CUARTO TRIMESTRE]])</f>
        <v>0</v>
      </c>
      <c r="I1041" s="17">
        <v>200000</v>
      </c>
      <c r="J1041" s="17">
        <f t="shared" si="26"/>
        <v>0</v>
      </c>
      <c r="K1041" s="17"/>
      <c r="L1041" s="16" t="s">
        <v>18</v>
      </c>
      <c r="M1041" s="16" t="s">
        <v>22</v>
      </c>
      <c r="N1041" s="39" t="s">
        <v>418</v>
      </c>
    </row>
    <row r="1042" spans="1:14" s="12" customFormat="1" ht="51">
      <c r="A1042" s="178" t="s">
        <v>99</v>
      </c>
      <c r="B1042" s="75" t="s">
        <v>1136</v>
      </c>
      <c r="C1042" s="39" t="s">
        <v>1067</v>
      </c>
      <c r="D1042" s="236"/>
      <c r="E1042" s="236"/>
      <c r="F1042" s="236"/>
      <c r="G1042" s="236"/>
      <c r="H1042" s="40">
        <f>SUM(Tabla132112410[[#This Row],[PRIMER TRIMESTRE]:[CUARTO TRIMESTRE]])</f>
        <v>0</v>
      </c>
      <c r="I1042" s="17">
        <v>70000</v>
      </c>
      <c r="J1042" s="17">
        <f t="shared" si="26"/>
        <v>0</v>
      </c>
      <c r="K1042" s="17"/>
      <c r="L1042" s="16" t="s">
        <v>18</v>
      </c>
      <c r="M1042" s="16" t="s">
        <v>22</v>
      </c>
      <c r="N1042" s="39" t="s">
        <v>418</v>
      </c>
    </row>
    <row r="1043" spans="1:14" s="12" customFormat="1" ht="38.25">
      <c r="A1043" s="178" t="s">
        <v>99</v>
      </c>
      <c r="B1043" s="75" t="s">
        <v>1137</v>
      </c>
      <c r="C1043" s="39" t="s">
        <v>1067</v>
      </c>
      <c r="D1043" s="236"/>
      <c r="E1043" s="236"/>
      <c r="F1043" s="236"/>
      <c r="G1043" s="236"/>
      <c r="H1043" s="40">
        <f>SUM(Tabla132112410[[#This Row],[PRIMER TRIMESTRE]:[CUARTO TRIMESTRE]])</f>
        <v>0</v>
      </c>
      <c r="I1043" s="17">
        <v>20000</v>
      </c>
      <c r="J1043" s="17">
        <f t="shared" si="26"/>
        <v>0</v>
      </c>
      <c r="K1043" s="17"/>
      <c r="L1043" s="16" t="s">
        <v>18</v>
      </c>
      <c r="M1043" s="16" t="s">
        <v>22</v>
      </c>
      <c r="N1043" s="39" t="s">
        <v>418</v>
      </c>
    </row>
    <row r="1044" spans="1:14" s="12" customFormat="1" ht="30">
      <c r="A1044" s="178" t="s">
        <v>99</v>
      </c>
      <c r="B1044" s="75" t="s">
        <v>1148</v>
      </c>
      <c r="C1044" s="39" t="s">
        <v>1067</v>
      </c>
      <c r="D1044" s="236"/>
      <c r="E1044" s="236"/>
      <c r="F1044" s="236"/>
      <c r="G1044" s="236"/>
      <c r="H1044" s="40">
        <f>SUM(Tabla132112410[[#This Row],[PRIMER TRIMESTRE]:[CUARTO TRIMESTRE]])</f>
        <v>0</v>
      </c>
      <c r="I1044" s="17">
        <v>70</v>
      </c>
      <c r="J1044" s="17">
        <f t="shared" si="26"/>
        <v>0</v>
      </c>
      <c r="K1044" s="17"/>
      <c r="L1044" s="16" t="s">
        <v>18</v>
      </c>
      <c r="M1044" s="16" t="s">
        <v>22</v>
      </c>
      <c r="N1044" s="39" t="s">
        <v>418</v>
      </c>
    </row>
    <row r="1045" spans="1:14" s="12" customFormat="1" ht="30">
      <c r="A1045" s="178" t="s">
        <v>99</v>
      </c>
      <c r="B1045" s="75" t="s">
        <v>1139</v>
      </c>
      <c r="C1045" s="39" t="s">
        <v>1067</v>
      </c>
      <c r="D1045" s="236"/>
      <c r="E1045" s="236"/>
      <c r="F1045" s="236"/>
      <c r="G1045" s="236"/>
      <c r="H1045" s="40">
        <f>SUM(Tabla132112410[[#This Row],[PRIMER TRIMESTRE]:[CUARTO TRIMESTRE]])</f>
        <v>0</v>
      </c>
      <c r="I1045" s="17">
        <v>10000</v>
      </c>
      <c r="J1045" s="17">
        <f t="shared" si="26"/>
        <v>0</v>
      </c>
      <c r="K1045" s="17"/>
      <c r="L1045" s="16" t="s">
        <v>18</v>
      </c>
      <c r="M1045" s="16" t="s">
        <v>22</v>
      </c>
      <c r="N1045" s="39" t="s">
        <v>418</v>
      </c>
    </row>
    <row r="1046" spans="1:14" s="12" customFormat="1" ht="76.5">
      <c r="A1046" s="178" t="s">
        <v>99</v>
      </c>
      <c r="B1046" s="75" t="s">
        <v>1140</v>
      </c>
      <c r="C1046" s="39" t="s">
        <v>1067</v>
      </c>
      <c r="D1046" s="236"/>
      <c r="E1046" s="236"/>
      <c r="F1046" s="236"/>
      <c r="G1046" s="236"/>
      <c r="H1046" s="40">
        <f>SUM(Tabla132112410[[#This Row],[PRIMER TRIMESTRE]:[CUARTO TRIMESTRE]])</f>
        <v>0</v>
      </c>
      <c r="I1046" s="17">
        <v>60000</v>
      </c>
      <c r="J1046" s="17">
        <f t="shared" si="26"/>
        <v>0</v>
      </c>
      <c r="K1046" s="17"/>
      <c r="L1046" s="16" t="s">
        <v>18</v>
      </c>
      <c r="M1046" s="16" t="s">
        <v>22</v>
      </c>
      <c r="N1046" s="39" t="s">
        <v>418</v>
      </c>
    </row>
    <row r="1047" spans="1:14" s="12" customFormat="1" ht="38.25">
      <c r="A1047" s="178" t="s">
        <v>99</v>
      </c>
      <c r="B1047" s="75" t="s">
        <v>1141</v>
      </c>
      <c r="C1047" s="39" t="s">
        <v>718</v>
      </c>
      <c r="D1047" s="236"/>
      <c r="E1047" s="236"/>
      <c r="F1047" s="236"/>
      <c r="G1047" s="236"/>
      <c r="H1047" s="40">
        <f>SUM(Tabla132112410[[#This Row],[PRIMER TRIMESTRE]:[CUARTO TRIMESTRE]])</f>
        <v>0</v>
      </c>
      <c r="I1047" s="17">
        <v>4000</v>
      </c>
      <c r="J1047" s="17">
        <f t="shared" si="26"/>
        <v>0</v>
      </c>
      <c r="K1047" s="17"/>
      <c r="L1047" s="16" t="s">
        <v>18</v>
      </c>
      <c r="M1047" s="16" t="s">
        <v>22</v>
      </c>
      <c r="N1047" s="39" t="s">
        <v>418</v>
      </c>
    </row>
    <row r="1048" spans="1:14" s="12" customFormat="1" ht="30">
      <c r="A1048" s="178" t="s">
        <v>99</v>
      </c>
      <c r="B1048" s="75" t="s">
        <v>1142</v>
      </c>
      <c r="C1048" s="39" t="s">
        <v>718</v>
      </c>
      <c r="D1048" s="236"/>
      <c r="E1048" s="236"/>
      <c r="F1048" s="236"/>
      <c r="G1048" s="236"/>
      <c r="H1048" s="40">
        <f>SUM(Tabla132112410[[#This Row],[PRIMER TRIMESTRE]:[CUARTO TRIMESTRE]])</f>
        <v>0</v>
      </c>
      <c r="I1048" s="17">
        <v>3000</v>
      </c>
      <c r="J1048" s="17">
        <f t="shared" si="26"/>
        <v>0</v>
      </c>
      <c r="K1048" s="17"/>
      <c r="L1048" s="16" t="s">
        <v>18</v>
      </c>
      <c r="M1048" s="16" t="s">
        <v>22</v>
      </c>
      <c r="N1048" s="39" t="s">
        <v>418</v>
      </c>
    </row>
    <row r="1049" spans="1:14" s="12" customFormat="1" ht="38.25">
      <c r="A1049" s="178" t="s">
        <v>99</v>
      </c>
      <c r="B1049" s="75" t="s">
        <v>1143</v>
      </c>
      <c r="C1049" s="39" t="s">
        <v>1065</v>
      </c>
      <c r="D1049" s="236"/>
      <c r="E1049" s="236"/>
      <c r="F1049" s="236"/>
      <c r="G1049" s="236"/>
      <c r="H1049" s="40">
        <f>SUM(Tabla132112410[[#This Row],[PRIMER TRIMESTRE]:[CUARTO TRIMESTRE]])</f>
        <v>0</v>
      </c>
      <c r="I1049" s="17">
        <v>4500</v>
      </c>
      <c r="J1049" s="17">
        <f t="shared" si="26"/>
        <v>0</v>
      </c>
      <c r="K1049" s="17"/>
      <c r="L1049" s="16" t="s">
        <v>18</v>
      </c>
      <c r="M1049" s="16" t="s">
        <v>22</v>
      </c>
      <c r="N1049" s="39" t="s">
        <v>418</v>
      </c>
    </row>
    <row r="1050" spans="1:14" s="12" customFormat="1" ht="30">
      <c r="A1050" s="178" t="s">
        <v>99</v>
      </c>
      <c r="B1050" s="75" t="s">
        <v>1144</v>
      </c>
      <c r="C1050" s="39" t="s">
        <v>102</v>
      </c>
      <c r="D1050" s="236"/>
      <c r="E1050" s="236"/>
      <c r="F1050" s="236"/>
      <c r="G1050" s="236"/>
      <c r="H1050" s="40">
        <f>SUM(Tabla132112410[[#This Row],[PRIMER TRIMESTRE]:[CUARTO TRIMESTRE]])</f>
        <v>0</v>
      </c>
      <c r="I1050" s="17">
        <v>1000</v>
      </c>
      <c r="J1050" s="17">
        <f t="shared" si="26"/>
        <v>0</v>
      </c>
      <c r="K1050" s="17"/>
      <c r="L1050" s="16" t="s">
        <v>18</v>
      </c>
      <c r="M1050" s="16" t="s">
        <v>22</v>
      </c>
      <c r="N1050" s="39" t="s">
        <v>418</v>
      </c>
    </row>
    <row r="1051" spans="1:14" s="12" customFormat="1" ht="30.75" customHeight="1">
      <c r="A1051" s="178" t="s">
        <v>99</v>
      </c>
      <c r="B1051" s="75" t="s">
        <v>1145</v>
      </c>
      <c r="C1051" s="39" t="s">
        <v>1067</v>
      </c>
      <c r="D1051" s="236"/>
      <c r="E1051" s="236"/>
      <c r="F1051" s="236"/>
      <c r="G1051" s="236"/>
      <c r="H1051" s="40">
        <f>SUM(Tabla132112410[[#This Row],[PRIMER TRIMESTRE]:[CUARTO TRIMESTRE]])</f>
        <v>0</v>
      </c>
      <c r="I1051" s="17">
        <v>184000</v>
      </c>
      <c r="J1051" s="17">
        <f t="shared" si="26"/>
        <v>0</v>
      </c>
      <c r="K1051" s="17"/>
      <c r="L1051" s="16" t="s">
        <v>18</v>
      </c>
      <c r="M1051" s="16" t="s">
        <v>22</v>
      </c>
      <c r="N1051" s="39" t="s">
        <v>418</v>
      </c>
    </row>
    <row r="1052" spans="1:14" s="26" customFormat="1" ht="30.75" customHeight="1">
      <c r="A1052" s="178" t="s">
        <v>99</v>
      </c>
      <c r="B1052" s="75" t="s">
        <v>1146</v>
      </c>
      <c r="C1052" s="39" t="s">
        <v>1067</v>
      </c>
      <c r="D1052" s="236"/>
      <c r="E1052" s="236"/>
      <c r="F1052" s="236"/>
      <c r="G1052" s="236"/>
      <c r="H1052" s="40">
        <f>SUM(Tabla132112410[[#This Row],[PRIMER TRIMESTRE]:[CUARTO TRIMESTRE]])</f>
        <v>0</v>
      </c>
      <c r="I1052" s="17">
        <v>85000</v>
      </c>
      <c r="J1052" s="17">
        <f t="shared" si="26"/>
        <v>0</v>
      </c>
      <c r="K1052" s="17"/>
      <c r="L1052" s="16" t="s">
        <v>18</v>
      </c>
      <c r="M1052" s="16" t="s">
        <v>22</v>
      </c>
      <c r="N1052" s="39" t="s">
        <v>418</v>
      </c>
    </row>
    <row r="1053" spans="1:14" s="12" customFormat="1" ht="30.75" customHeight="1">
      <c r="A1053" s="178" t="s">
        <v>99</v>
      </c>
      <c r="B1053" s="75" t="s">
        <v>1147</v>
      </c>
      <c r="C1053" s="39" t="s">
        <v>1067</v>
      </c>
      <c r="D1053" s="236"/>
      <c r="E1053" s="236"/>
      <c r="F1053" s="236"/>
      <c r="G1053" s="236"/>
      <c r="H1053" s="40">
        <f>SUM(Tabla132112410[[#This Row],[PRIMER TRIMESTRE]:[CUARTO TRIMESTRE]])</f>
        <v>0</v>
      </c>
      <c r="I1053" s="17">
        <v>10000</v>
      </c>
      <c r="J1053" s="17">
        <f t="shared" si="26"/>
        <v>0</v>
      </c>
      <c r="K1053" s="17"/>
      <c r="L1053" s="16" t="s">
        <v>18</v>
      </c>
      <c r="M1053" s="16" t="s">
        <v>22</v>
      </c>
      <c r="N1053" s="39" t="s">
        <v>418</v>
      </c>
    </row>
    <row r="1054" spans="1:14" s="12" customFormat="1" ht="30.75" customHeight="1">
      <c r="A1054" s="178" t="s">
        <v>99</v>
      </c>
      <c r="B1054" s="75" t="s">
        <v>1452</v>
      </c>
      <c r="C1054" s="39" t="s">
        <v>17</v>
      </c>
      <c r="D1054" s="236"/>
      <c r="E1054" s="236"/>
      <c r="F1054" s="236"/>
      <c r="G1054" s="236"/>
      <c r="H1054" s="236">
        <f>SUM(Tabla132112410[[#This Row],[PRIMER TRIMESTRE]:[CUARTO TRIMESTRE]])</f>
        <v>0</v>
      </c>
      <c r="I1054" s="17">
        <v>5589.05</v>
      </c>
      <c r="J1054" s="17">
        <f t="shared" si="26"/>
        <v>0</v>
      </c>
      <c r="K1054" s="17"/>
      <c r="L1054" s="16" t="s">
        <v>27</v>
      </c>
      <c r="M1054" s="16" t="s">
        <v>19</v>
      </c>
      <c r="N1054" s="39" t="s">
        <v>342</v>
      </c>
    </row>
    <row r="1055" spans="1:14" s="12" customFormat="1" ht="30.75" customHeight="1">
      <c r="A1055" s="178" t="s">
        <v>99</v>
      </c>
      <c r="B1055" s="75" t="s">
        <v>1453</v>
      </c>
      <c r="C1055" s="39" t="s">
        <v>17</v>
      </c>
      <c r="D1055" s="236"/>
      <c r="E1055" s="236"/>
      <c r="F1055" s="236"/>
      <c r="G1055" s="236"/>
      <c r="H1055" s="236">
        <f>SUM(Tabla132112410[[#This Row],[PRIMER TRIMESTRE]:[CUARTO TRIMESTRE]])</f>
        <v>0</v>
      </c>
      <c r="I1055" s="17">
        <v>15710.6</v>
      </c>
      <c r="J1055" s="17">
        <f t="shared" si="26"/>
        <v>0</v>
      </c>
      <c r="K1055" s="17"/>
      <c r="L1055" s="16" t="s">
        <v>27</v>
      </c>
      <c r="M1055" s="16" t="s">
        <v>19</v>
      </c>
      <c r="N1055" s="39" t="s">
        <v>342</v>
      </c>
    </row>
    <row r="1056" spans="1:14" s="12" customFormat="1" ht="30.75" customHeight="1">
      <c r="A1056" s="178" t="s">
        <v>99</v>
      </c>
      <c r="B1056" s="75" t="s">
        <v>1454</v>
      </c>
      <c r="C1056" s="39" t="s">
        <v>17</v>
      </c>
      <c r="D1056" s="236"/>
      <c r="E1056" s="236"/>
      <c r="F1056" s="236"/>
      <c r="G1056" s="236"/>
      <c r="H1056" s="236">
        <f>SUM(Tabla132112410[[#This Row],[PRIMER TRIMESTRE]:[CUARTO TRIMESTRE]])</f>
        <v>0</v>
      </c>
      <c r="I1056" s="17">
        <v>5347.87</v>
      </c>
      <c r="J1056" s="17">
        <f t="shared" si="26"/>
        <v>0</v>
      </c>
      <c r="K1056" s="17"/>
      <c r="L1056" s="16" t="s">
        <v>27</v>
      </c>
      <c r="M1056" s="16" t="s">
        <v>19</v>
      </c>
      <c r="N1056" s="39" t="s">
        <v>342</v>
      </c>
    </row>
    <row r="1057" spans="1:14" s="12" customFormat="1" ht="30.75" customHeight="1">
      <c r="A1057" s="178" t="s">
        <v>99</v>
      </c>
      <c r="B1057" s="75" t="s">
        <v>1455</v>
      </c>
      <c r="C1057" s="39" t="s">
        <v>17</v>
      </c>
      <c r="D1057" s="236"/>
      <c r="E1057" s="236"/>
      <c r="F1057" s="236"/>
      <c r="G1057" s="236"/>
      <c r="H1057" s="236">
        <f>SUM(Tabla132112410[[#This Row],[PRIMER TRIMESTRE]:[CUARTO TRIMESTRE]])</f>
        <v>0</v>
      </c>
      <c r="I1057" s="17">
        <v>213.48</v>
      </c>
      <c r="J1057" s="17">
        <f t="shared" si="26"/>
        <v>0</v>
      </c>
      <c r="K1057" s="17"/>
      <c r="L1057" s="16" t="s">
        <v>27</v>
      </c>
      <c r="M1057" s="16" t="s">
        <v>19</v>
      </c>
      <c r="N1057" s="39" t="s">
        <v>342</v>
      </c>
    </row>
    <row r="1058" spans="1:14" s="12" customFormat="1" ht="30.75" customHeight="1">
      <c r="A1058" s="178" t="s">
        <v>99</v>
      </c>
      <c r="B1058" s="75" t="s">
        <v>1456</v>
      </c>
      <c r="C1058" s="39" t="s">
        <v>17</v>
      </c>
      <c r="D1058" s="236"/>
      <c r="E1058" s="236"/>
      <c r="F1058" s="236"/>
      <c r="G1058" s="236"/>
      <c r="H1058" s="236">
        <f>SUM(Tabla132112410[[#This Row],[PRIMER TRIMESTRE]:[CUARTO TRIMESTRE]])</f>
        <v>0</v>
      </c>
      <c r="I1058" s="17">
        <v>719</v>
      </c>
      <c r="J1058" s="17">
        <f t="shared" si="26"/>
        <v>0</v>
      </c>
      <c r="K1058" s="17"/>
      <c r="L1058" s="16" t="s">
        <v>27</v>
      </c>
      <c r="M1058" s="16" t="s">
        <v>19</v>
      </c>
      <c r="N1058" s="39" t="s">
        <v>342</v>
      </c>
    </row>
    <row r="1059" spans="1:14" s="12" customFormat="1" ht="30.75" customHeight="1">
      <c r="A1059" s="178" t="s">
        <v>99</v>
      </c>
      <c r="B1059" s="75" t="s">
        <v>1457</v>
      </c>
      <c r="C1059" s="39" t="s">
        <v>17</v>
      </c>
      <c r="D1059" s="236"/>
      <c r="E1059" s="236"/>
      <c r="F1059" s="236"/>
      <c r="G1059" s="236"/>
      <c r="H1059" s="236">
        <f>SUM(Tabla132112410[[#This Row],[PRIMER TRIMESTRE]:[CUARTO TRIMESTRE]])</f>
        <v>0</v>
      </c>
      <c r="I1059" s="17">
        <v>213.48</v>
      </c>
      <c r="J1059" s="17">
        <f t="shared" si="26"/>
        <v>0</v>
      </c>
      <c r="K1059" s="17"/>
      <c r="L1059" s="16" t="s">
        <v>27</v>
      </c>
      <c r="M1059" s="16" t="s">
        <v>19</v>
      </c>
      <c r="N1059" s="39" t="s">
        <v>342</v>
      </c>
    </row>
    <row r="1060" spans="1:14" s="12" customFormat="1" ht="30.75" customHeight="1">
      <c r="A1060" s="178" t="s">
        <v>99</v>
      </c>
      <c r="B1060" s="75" t="s">
        <v>1458</v>
      </c>
      <c r="C1060" s="39" t="s">
        <v>17</v>
      </c>
      <c r="D1060" s="236"/>
      <c r="E1060" s="236"/>
      <c r="F1060" s="236"/>
      <c r="G1060" s="236"/>
      <c r="H1060" s="236">
        <f>SUM(Tabla132112410[[#This Row],[PRIMER TRIMESTRE]:[CUARTO TRIMESTRE]])</f>
        <v>0</v>
      </c>
      <c r="I1060" s="17">
        <v>1100</v>
      </c>
      <c r="J1060" s="17">
        <f t="shared" si="26"/>
        <v>0</v>
      </c>
      <c r="K1060" s="17"/>
      <c r="L1060" s="16" t="s">
        <v>27</v>
      </c>
      <c r="M1060" s="16" t="s">
        <v>19</v>
      </c>
      <c r="N1060" s="39" t="s">
        <v>342</v>
      </c>
    </row>
    <row r="1061" spans="1:14" s="26" customFormat="1" ht="30.75" customHeight="1">
      <c r="A1061" s="178" t="s">
        <v>99</v>
      </c>
      <c r="B1061" s="75" t="s">
        <v>1459</v>
      </c>
      <c r="C1061" s="39" t="s">
        <v>33</v>
      </c>
      <c r="D1061" s="236"/>
      <c r="E1061" s="236"/>
      <c r="F1061" s="236"/>
      <c r="G1061" s="236"/>
      <c r="H1061" s="236">
        <f>SUM(Tabla132112410[[#This Row],[PRIMER TRIMESTRE]:[CUARTO TRIMESTRE]])</f>
        <v>0</v>
      </c>
      <c r="I1061" s="17">
        <v>250</v>
      </c>
      <c r="J1061" s="17">
        <f t="shared" si="26"/>
        <v>0</v>
      </c>
      <c r="K1061" s="17"/>
      <c r="L1061" s="16" t="s">
        <v>27</v>
      </c>
      <c r="M1061" s="16" t="s">
        <v>19</v>
      </c>
      <c r="N1061" s="39" t="s">
        <v>342</v>
      </c>
    </row>
    <row r="1062" spans="1:14" s="12" customFormat="1" ht="30.75" customHeight="1">
      <c r="A1062" s="178" t="s">
        <v>99</v>
      </c>
      <c r="B1062" s="75" t="s">
        <v>1460</v>
      </c>
      <c r="C1062" s="39" t="s">
        <v>208</v>
      </c>
      <c r="D1062" s="236"/>
      <c r="E1062" s="236"/>
      <c r="F1062" s="236"/>
      <c r="G1062" s="236"/>
      <c r="H1062" s="236">
        <f>SUM(Tabla132112410[[#This Row],[PRIMER TRIMESTRE]:[CUARTO TRIMESTRE]])</f>
        <v>0</v>
      </c>
      <c r="I1062" s="17">
        <v>1130</v>
      </c>
      <c r="J1062" s="17">
        <f t="shared" si="26"/>
        <v>0</v>
      </c>
      <c r="K1062" s="17"/>
      <c r="L1062" s="16" t="s">
        <v>27</v>
      </c>
      <c r="M1062" s="16" t="s">
        <v>19</v>
      </c>
      <c r="N1062" s="39" t="s">
        <v>342</v>
      </c>
    </row>
    <row r="1063" spans="1:14" s="12" customFormat="1" ht="30.75" customHeight="1">
      <c r="A1063" s="179" t="s">
        <v>99</v>
      </c>
      <c r="B1063" s="76"/>
      <c r="C1063" s="42"/>
      <c r="D1063" s="237"/>
      <c r="E1063" s="237"/>
      <c r="F1063" s="237"/>
      <c r="G1063" s="237"/>
      <c r="H1063" s="43"/>
      <c r="I1063" s="24"/>
      <c r="J1063" s="24"/>
      <c r="K1063" s="25">
        <f>SUM(J890:J1062)</f>
        <v>703090</v>
      </c>
      <c r="L1063" s="23"/>
      <c r="M1063" s="23"/>
      <c r="N1063" s="42"/>
    </row>
    <row r="1064" spans="1:14" s="12" customFormat="1" ht="30.75" customHeight="1">
      <c r="A1064" s="178" t="s">
        <v>113</v>
      </c>
      <c r="B1064" s="75" t="s">
        <v>236</v>
      </c>
      <c r="C1064" s="39" t="s">
        <v>17</v>
      </c>
      <c r="D1064" s="236">
        <v>1</v>
      </c>
      <c r="E1064" s="236"/>
      <c r="F1064" s="236"/>
      <c r="G1064" s="236"/>
      <c r="H1064" s="40">
        <f>SUM(Tabla132112410[[#This Row],[PRIMER TRIMESTRE]:[CUARTO TRIMESTRE]])</f>
        <v>1</v>
      </c>
      <c r="I1064" s="17">
        <v>806.2</v>
      </c>
      <c r="J1064" s="17">
        <f>+Tabla132112410[[#This Row],[CANTIDAD TOTAL]]*Tabla132112410[[#This Row],[PRECIO UNITARIO ESTIMADO]]</f>
        <v>806.2</v>
      </c>
      <c r="K1064" s="17"/>
      <c r="L1064" s="16" t="s">
        <v>15</v>
      </c>
      <c r="M1064" s="16" t="s">
        <v>22</v>
      </c>
      <c r="N1064" s="39" t="s">
        <v>418</v>
      </c>
    </row>
    <row r="1065" spans="1:14" s="12" customFormat="1" ht="30.75" customHeight="1">
      <c r="A1065" s="178" t="s">
        <v>113</v>
      </c>
      <c r="B1065" s="75" t="s">
        <v>233</v>
      </c>
      <c r="C1065" s="39" t="s">
        <v>234</v>
      </c>
      <c r="D1065" s="236"/>
      <c r="E1065" s="236"/>
      <c r="F1065" s="236"/>
      <c r="G1065" s="236"/>
      <c r="H1065" s="40">
        <f>SUM(Tabla132112410[[#This Row],[PRIMER TRIMESTRE]:[CUARTO TRIMESTRE]])</f>
        <v>0</v>
      </c>
      <c r="I1065" s="17">
        <v>7099.2</v>
      </c>
      <c r="J1065" s="17">
        <f>+Tabla132112410[[#This Row],[CANTIDAD TOTAL]]*Tabla132112410[[#This Row],[PRECIO UNITARIO ESTIMADO]]</f>
        <v>0</v>
      </c>
      <c r="K1065" s="17"/>
      <c r="L1065" s="16" t="s">
        <v>27</v>
      </c>
      <c r="M1065" s="16" t="s">
        <v>22</v>
      </c>
      <c r="N1065" s="39" t="s">
        <v>418</v>
      </c>
    </row>
    <row r="1066" spans="1:14" s="12" customFormat="1" ht="30.75" customHeight="1">
      <c r="A1066" s="178" t="s">
        <v>113</v>
      </c>
      <c r="B1066" s="75" t="s">
        <v>235</v>
      </c>
      <c r="C1066" s="39" t="s">
        <v>69</v>
      </c>
      <c r="D1066" s="236"/>
      <c r="E1066" s="236"/>
      <c r="F1066" s="236"/>
      <c r="G1066" s="236"/>
      <c r="H1066" s="40">
        <f>SUM(Tabla132112410[[#This Row],[PRIMER TRIMESTRE]:[CUARTO TRIMESTRE]])</f>
        <v>0</v>
      </c>
      <c r="I1066" s="17">
        <v>52.2</v>
      </c>
      <c r="J1066" s="17">
        <f>+Tabla132112410[[#This Row],[CANTIDAD TOTAL]]*Tabla132112410[[#This Row],[PRECIO UNITARIO ESTIMADO]]</f>
        <v>0</v>
      </c>
      <c r="K1066" s="17"/>
      <c r="L1066" s="16" t="s">
        <v>27</v>
      </c>
      <c r="M1066" s="16" t="s">
        <v>22</v>
      </c>
      <c r="N1066" s="39" t="s">
        <v>418</v>
      </c>
    </row>
    <row r="1067" spans="1:14" s="12" customFormat="1" ht="30">
      <c r="A1067" s="178" t="s">
        <v>113</v>
      </c>
      <c r="B1067" s="75" t="s">
        <v>320</v>
      </c>
      <c r="C1067" s="39" t="s">
        <v>17</v>
      </c>
      <c r="D1067" s="236"/>
      <c r="E1067" s="236"/>
      <c r="F1067" s="236"/>
      <c r="G1067" s="236"/>
      <c r="H1067" s="40">
        <f>SUM(Tabla132112410[[#This Row],[PRIMER TRIMESTRE]:[CUARTO TRIMESTRE]])</f>
        <v>0</v>
      </c>
      <c r="I1067" s="17">
        <f>41960.8/121</f>
        <v>346.7834710743802</v>
      </c>
      <c r="J1067" s="17">
        <f>+Tabla132112410[[#This Row],[CANTIDAD TOTAL]]*Tabla132112410[[#This Row],[PRECIO UNITARIO ESTIMADO]]</f>
        <v>0</v>
      </c>
      <c r="K1067" s="17"/>
      <c r="L1067" s="16" t="s">
        <v>15</v>
      </c>
      <c r="M1067" s="16" t="s">
        <v>22</v>
      </c>
      <c r="N1067" s="39" t="s">
        <v>418</v>
      </c>
    </row>
    <row r="1068" spans="1:14" s="26" customFormat="1" ht="30">
      <c r="A1068" s="178" t="s">
        <v>113</v>
      </c>
      <c r="B1068" s="75" t="s">
        <v>237</v>
      </c>
      <c r="C1068" s="39" t="s">
        <v>17</v>
      </c>
      <c r="D1068" s="236"/>
      <c r="E1068" s="236"/>
      <c r="F1068" s="236"/>
      <c r="G1068" s="236"/>
      <c r="H1068" s="40">
        <f>SUM(Tabla132112410[[#This Row],[PRIMER TRIMESTRE]:[CUARTO TRIMESTRE]])</f>
        <v>0</v>
      </c>
      <c r="I1068" s="17">
        <v>668</v>
      </c>
      <c r="J1068" s="17">
        <f>+Tabla132112410[[#This Row],[CANTIDAD TOTAL]]*Tabla132112410[[#This Row],[PRECIO UNITARIO ESTIMADO]]</f>
        <v>0</v>
      </c>
      <c r="K1068" s="17"/>
      <c r="L1068" s="16" t="s">
        <v>15</v>
      </c>
      <c r="M1068" s="16" t="s">
        <v>22</v>
      </c>
      <c r="N1068" s="39" t="s">
        <v>418</v>
      </c>
    </row>
    <row r="1069" spans="1:14" s="169" customFormat="1" ht="30">
      <c r="A1069" s="178" t="s">
        <v>113</v>
      </c>
      <c r="B1069" s="75" t="s">
        <v>238</v>
      </c>
      <c r="C1069" s="39" t="s">
        <v>208</v>
      </c>
      <c r="D1069" s="236"/>
      <c r="E1069" s="236"/>
      <c r="F1069" s="236"/>
      <c r="G1069" s="236"/>
      <c r="H1069" s="40">
        <f>SUM(Tabla132112410[[#This Row],[PRIMER TRIMESTRE]:[CUARTO TRIMESTRE]])</f>
        <v>0</v>
      </c>
      <c r="I1069" s="17">
        <v>754</v>
      </c>
      <c r="J1069" s="17">
        <f>+Tabla132112410[[#This Row],[CANTIDAD TOTAL]]*Tabla132112410[[#This Row],[PRECIO UNITARIO ESTIMADO]]</f>
        <v>0</v>
      </c>
      <c r="K1069" s="17"/>
      <c r="L1069" s="16" t="s">
        <v>27</v>
      </c>
      <c r="M1069" s="16" t="s">
        <v>22</v>
      </c>
      <c r="N1069" s="39" t="s">
        <v>418</v>
      </c>
    </row>
    <row r="1070" spans="1:14" s="12" customFormat="1" ht="31.5">
      <c r="A1070" s="179" t="s">
        <v>113</v>
      </c>
      <c r="B1070" s="76"/>
      <c r="C1070" s="42"/>
      <c r="D1070" s="237"/>
      <c r="E1070" s="237"/>
      <c r="F1070" s="237"/>
      <c r="G1070" s="237"/>
      <c r="H1070" s="43"/>
      <c r="I1070" s="24"/>
      <c r="J1070" s="24"/>
      <c r="K1070" s="25">
        <f>SUM(J1064:J1069)</f>
        <v>806.2</v>
      </c>
      <c r="L1070" s="23"/>
      <c r="M1070" s="23"/>
      <c r="N1070" s="42"/>
    </row>
    <row r="1071" spans="1:14" s="12" customFormat="1" ht="18">
      <c r="A1071" s="180" t="s">
        <v>115</v>
      </c>
      <c r="B1071" s="77" t="s">
        <v>319</v>
      </c>
      <c r="C1071" s="70" t="s">
        <v>17</v>
      </c>
      <c r="D1071" s="210"/>
      <c r="E1071" s="210"/>
      <c r="F1071" s="210"/>
      <c r="G1071" s="210"/>
      <c r="H1071" s="406">
        <f>SUM(Tabla132112410[[#This Row],[PRIMER TRIMESTRE]:[CUARTO TRIMESTRE]])</f>
        <v>0</v>
      </c>
      <c r="I1071" s="72">
        <f>544724/8</f>
        <v>68090.5</v>
      </c>
      <c r="J1071" s="72">
        <f>+Tabla132112410[[#This Row],[CANTIDAD TOTAL]]*Tabla132112410[[#This Row],[PRECIO UNITARIO ESTIMADO]]</f>
        <v>0</v>
      </c>
      <c r="K1071" s="72"/>
      <c r="L1071" s="73" t="s">
        <v>18</v>
      </c>
      <c r="M1071" s="73" t="s">
        <v>22</v>
      </c>
      <c r="N1071" s="70" t="s">
        <v>418</v>
      </c>
    </row>
    <row r="1072" spans="1:14" s="12" customFormat="1" ht="18">
      <c r="A1072" s="178" t="s">
        <v>115</v>
      </c>
      <c r="B1072" s="75" t="s">
        <v>428</v>
      </c>
      <c r="C1072" s="39" t="s">
        <v>17</v>
      </c>
      <c r="D1072" s="236"/>
      <c r="E1072" s="236"/>
      <c r="F1072" s="236"/>
      <c r="G1072" s="236"/>
      <c r="H1072" s="40">
        <f>SUM(Tabla132112410[[#This Row],[PRIMER TRIMESTRE]:[CUARTO TRIMESTRE]])</f>
        <v>0</v>
      </c>
      <c r="I1072" s="17">
        <v>3074</v>
      </c>
      <c r="J1072" s="17">
        <f>+Tabla132112410[[#This Row],[CANTIDAD TOTAL]]*Tabla132112410[[#This Row],[PRECIO UNITARIO ESTIMADO]]</f>
        <v>0</v>
      </c>
      <c r="K1072" s="17"/>
      <c r="L1072" s="73" t="s">
        <v>18</v>
      </c>
      <c r="M1072" s="16" t="s">
        <v>22</v>
      </c>
      <c r="N1072" s="39" t="s">
        <v>418</v>
      </c>
    </row>
    <row r="1073" spans="1:14" s="12" customFormat="1" ht="18">
      <c r="A1073" s="178" t="s">
        <v>115</v>
      </c>
      <c r="B1073" s="75" t="s">
        <v>244</v>
      </c>
      <c r="C1073" s="39" t="s">
        <v>17</v>
      </c>
      <c r="D1073" s="236"/>
      <c r="E1073" s="236"/>
      <c r="F1073" s="236"/>
      <c r="G1073" s="236"/>
      <c r="H1073" s="40">
        <f>SUM(Tabla132112410[[#This Row],[PRIMER TRIMESTRE]:[CUARTO TRIMESTRE]])</f>
        <v>0</v>
      </c>
      <c r="I1073" s="17">
        <v>24940</v>
      </c>
      <c r="J1073" s="17">
        <f>+Tabla132112410[[#This Row],[CANTIDAD TOTAL]]*Tabla132112410[[#This Row],[PRECIO UNITARIO ESTIMADO]]</f>
        <v>0</v>
      </c>
      <c r="K1073" s="17"/>
      <c r="L1073" s="73" t="s">
        <v>18</v>
      </c>
      <c r="M1073" s="16" t="s">
        <v>22</v>
      </c>
      <c r="N1073" s="39" t="s">
        <v>418</v>
      </c>
    </row>
    <row r="1074" spans="1:14" s="169" customFormat="1" ht="18">
      <c r="A1074" s="178" t="s">
        <v>115</v>
      </c>
      <c r="B1074" s="75" t="s">
        <v>429</v>
      </c>
      <c r="C1074" s="39" t="s">
        <v>17</v>
      </c>
      <c r="D1074" s="236"/>
      <c r="E1074" s="236"/>
      <c r="F1074" s="236"/>
      <c r="G1074" s="236"/>
      <c r="H1074" s="40">
        <f>SUM(Tabla132112410[[#This Row],[PRIMER TRIMESTRE]:[CUARTO TRIMESTRE]])</f>
        <v>0</v>
      </c>
      <c r="I1074" s="17">
        <v>77185.240000000005</v>
      </c>
      <c r="J1074" s="17">
        <f>+Tabla132112410[[#This Row],[CANTIDAD TOTAL]]*Tabla132112410[[#This Row],[PRECIO UNITARIO ESTIMADO]]</f>
        <v>0</v>
      </c>
      <c r="K1074" s="17"/>
      <c r="L1074" s="73" t="s">
        <v>18</v>
      </c>
      <c r="M1074" s="16" t="s">
        <v>22</v>
      </c>
      <c r="N1074" s="39" t="s">
        <v>418</v>
      </c>
    </row>
    <row r="1075" spans="1:14" s="169" customFormat="1" ht="18">
      <c r="A1075" s="178" t="s">
        <v>115</v>
      </c>
      <c r="B1075" s="75" t="s">
        <v>321</v>
      </c>
      <c r="C1075" s="39" t="s">
        <v>17</v>
      </c>
      <c r="D1075" s="236"/>
      <c r="E1075" s="236"/>
      <c r="F1075" s="236"/>
      <c r="G1075" s="236"/>
      <c r="H1075" s="40">
        <f>SUM(Tabla132112410[[#This Row],[PRIMER TRIMESTRE]:[CUARTO TRIMESTRE]])</f>
        <v>0</v>
      </c>
      <c r="I1075" s="17">
        <f>31243.78/16</f>
        <v>1952.7362499999999</v>
      </c>
      <c r="J1075" s="17">
        <f>+Tabla132112410[[#This Row],[CANTIDAD TOTAL]]*Tabla132112410[[#This Row],[PRECIO UNITARIO ESTIMADO]]</f>
        <v>0</v>
      </c>
      <c r="K1075" s="17"/>
      <c r="L1075" s="73" t="s">
        <v>18</v>
      </c>
      <c r="M1075" s="16" t="s">
        <v>22</v>
      </c>
      <c r="N1075" s="39" t="s">
        <v>418</v>
      </c>
    </row>
    <row r="1076" spans="1:14" s="169" customFormat="1" ht="18">
      <c r="A1076" s="15"/>
      <c r="B1076" s="75" t="s">
        <v>2019</v>
      </c>
      <c r="C1076" s="39" t="s">
        <v>17</v>
      </c>
      <c r="D1076" s="236">
        <v>1</v>
      </c>
      <c r="E1076" s="236"/>
      <c r="F1076" s="236"/>
      <c r="G1076" s="236"/>
      <c r="H1076" s="40">
        <f>SUM(Tabla132112410[[#This Row],[PRIMER TRIMESTRE]:[CUARTO TRIMESTRE]])</f>
        <v>1</v>
      </c>
      <c r="I1076" s="17">
        <v>18500</v>
      </c>
      <c r="J1076" s="17">
        <f>+Tabla132112410[[#This Row],[CANTIDAD TOTAL]]*Tabla132112410[[#This Row],[PRECIO UNITARIO ESTIMADO]]</f>
        <v>18500</v>
      </c>
      <c r="K1076" s="17"/>
      <c r="L1076" s="73"/>
      <c r="M1076" s="16"/>
      <c r="N1076" s="39"/>
    </row>
    <row r="1077" spans="1:14" s="169" customFormat="1" ht="38.25">
      <c r="A1077" s="180" t="s">
        <v>115</v>
      </c>
      <c r="B1077" s="77" t="s">
        <v>892</v>
      </c>
      <c r="C1077" s="70" t="s">
        <v>17</v>
      </c>
      <c r="D1077" s="210"/>
      <c r="E1077" s="210"/>
      <c r="F1077" s="210"/>
      <c r="G1077" s="210"/>
      <c r="H1077" s="406">
        <f>SUM(Tabla132112410[[#This Row],[PRIMER TRIMESTRE]:[CUARTO TRIMESTRE]])</f>
        <v>0</v>
      </c>
      <c r="I1077" s="72">
        <v>3519</v>
      </c>
      <c r="J1077" s="72">
        <f t="shared" ref="J1077:J1105" si="27">+H1077*I1077</f>
        <v>0</v>
      </c>
      <c r="K1077" s="72"/>
      <c r="L1077" s="73" t="s">
        <v>18</v>
      </c>
      <c r="M1077" s="16" t="s">
        <v>22</v>
      </c>
      <c r="N1077" s="39" t="s">
        <v>418</v>
      </c>
    </row>
    <row r="1078" spans="1:14" s="169" customFormat="1" ht="38.25">
      <c r="A1078" s="180" t="s">
        <v>115</v>
      </c>
      <c r="B1078" s="77" t="s">
        <v>932</v>
      </c>
      <c r="C1078" s="70" t="s">
        <v>17</v>
      </c>
      <c r="D1078" s="210"/>
      <c r="E1078" s="210"/>
      <c r="F1078" s="210"/>
      <c r="G1078" s="210"/>
      <c r="H1078" s="406">
        <f>SUM(Tabla132112410[[#This Row],[PRIMER TRIMESTRE]:[CUARTO TRIMESTRE]])</f>
        <v>0</v>
      </c>
      <c r="I1078" s="72">
        <v>1500</v>
      </c>
      <c r="J1078" s="72">
        <f t="shared" si="27"/>
        <v>0</v>
      </c>
      <c r="K1078" s="72"/>
      <c r="L1078" s="73" t="s">
        <v>18</v>
      </c>
      <c r="M1078" s="16" t="s">
        <v>22</v>
      </c>
      <c r="N1078" s="39" t="s">
        <v>418</v>
      </c>
    </row>
    <row r="1079" spans="1:14" s="169" customFormat="1" ht="38.25">
      <c r="A1079" s="180" t="s">
        <v>115</v>
      </c>
      <c r="B1079" s="77" t="s">
        <v>894</v>
      </c>
      <c r="C1079" s="70" t="s">
        <v>17</v>
      </c>
      <c r="D1079" s="210"/>
      <c r="E1079" s="210"/>
      <c r="F1079" s="210"/>
      <c r="G1079" s="210"/>
      <c r="H1079" s="406">
        <f>SUM(Tabla132112410[[#This Row],[PRIMER TRIMESTRE]:[CUARTO TRIMESTRE]])</f>
        <v>0</v>
      </c>
      <c r="I1079" s="72">
        <v>600</v>
      </c>
      <c r="J1079" s="72">
        <f t="shared" si="27"/>
        <v>0</v>
      </c>
      <c r="K1079" s="72"/>
      <c r="L1079" s="73" t="s">
        <v>18</v>
      </c>
      <c r="M1079" s="16" t="s">
        <v>22</v>
      </c>
      <c r="N1079" s="39" t="s">
        <v>418</v>
      </c>
    </row>
    <row r="1080" spans="1:14" s="169" customFormat="1" ht="25.5">
      <c r="A1080" s="180" t="s">
        <v>115</v>
      </c>
      <c r="B1080" s="77" t="s">
        <v>895</v>
      </c>
      <c r="C1080" s="70" t="s">
        <v>17</v>
      </c>
      <c r="D1080" s="210"/>
      <c r="E1080" s="210"/>
      <c r="F1080" s="210"/>
      <c r="G1080" s="210"/>
      <c r="H1080" s="406">
        <f>SUM(Tabla132112410[[#This Row],[PRIMER TRIMESTRE]:[CUARTO TRIMESTRE]])</f>
        <v>0</v>
      </c>
      <c r="I1080" s="72">
        <v>450</v>
      </c>
      <c r="J1080" s="72">
        <f t="shared" si="27"/>
        <v>0</v>
      </c>
      <c r="K1080" s="72"/>
      <c r="L1080" s="73" t="s">
        <v>18</v>
      </c>
      <c r="M1080" s="16" t="s">
        <v>22</v>
      </c>
      <c r="N1080" s="39" t="s">
        <v>418</v>
      </c>
    </row>
    <row r="1081" spans="1:14" s="169" customFormat="1" ht="18">
      <c r="A1081" s="180" t="s">
        <v>115</v>
      </c>
      <c r="B1081" s="77" t="s">
        <v>897</v>
      </c>
      <c r="C1081" s="70" t="s">
        <v>17</v>
      </c>
      <c r="D1081" s="210"/>
      <c r="E1081" s="210"/>
      <c r="F1081" s="210"/>
      <c r="G1081" s="210"/>
      <c r="H1081" s="406">
        <f>SUM(Tabla132112410[[#This Row],[PRIMER TRIMESTRE]:[CUARTO TRIMESTRE]])</f>
        <v>0</v>
      </c>
      <c r="I1081" s="72">
        <v>85000</v>
      </c>
      <c r="J1081" s="72">
        <f t="shared" si="27"/>
        <v>0</v>
      </c>
      <c r="K1081" s="72"/>
      <c r="L1081" s="73" t="s">
        <v>18</v>
      </c>
      <c r="M1081" s="16" t="s">
        <v>22</v>
      </c>
      <c r="N1081" s="39" t="s">
        <v>418</v>
      </c>
    </row>
    <row r="1082" spans="1:14" s="169" customFormat="1" ht="25.5">
      <c r="A1082" s="180" t="s">
        <v>115</v>
      </c>
      <c r="B1082" s="77" t="s">
        <v>898</v>
      </c>
      <c r="C1082" s="70" t="s">
        <v>17</v>
      </c>
      <c r="D1082" s="210"/>
      <c r="E1082" s="210"/>
      <c r="F1082" s="210"/>
      <c r="G1082" s="210"/>
      <c r="H1082" s="406">
        <f>SUM(Tabla132112410[[#This Row],[PRIMER TRIMESTRE]:[CUARTO TRIMESTRE]])</f>
        <v>0</v>
      </c>
      <c r="I1082" s="72">
        <v>2500</v>
      </c>
      <c r="J1082" s="72">
        <f t="shared" si="27"/>
        <v>0</v>
      </c>
      <c r="K1082" s="72"/>
      <c r="L1082" s="73" t="s">
        <v>18</v>
      </c>
      <c r="M1082" s="16" t="s">
        <v>22</v>
      </c>
      <c r="N1082" s="39" t="s">
        <v>418</v>
      </c>
    </row>
    <row r="1083" spans="1:14" s="169" customFormat="1" ht="38.25">
      <c r="A1083" s="180" t="s">
        <v>115</v>
      </c>
      <c r="B1083" s="77" t="s">
        <v>933</v>
      </c>
      <c r="C1083" s="70" t="s">
        <v>17</v>
      </c>
      <c r="D1083" s="210"/>
      <c r="E1083" s="210"/>
      <c r="F1083" s="210"/>
      <c r="G1083" s="210"/>
      <c r="H1083" s="406">
        <f>SUM(Tabla132112410[[#This Row],[PRIMER TRIMESTRE]:[CUARTO TRIMESTRE]])</f>
        <v>0</v>
      </c>
      <c r="I1083" s="72">
        <v>420</v>
      </c>
      <c r="J1083" s="72">
        <f t="shared" si="27"/>
        <v>0</v>
      </c>
      <c r="K1083" s="72"/>
      <c r="L1083" s="73" t="s">
        <v>18</v>
      </c>
      <c r="M1083" s="16" t="s">
        <v>22</v>
      </c>
      <c r="N1083" s="39" t="s">
        <v>418</v>
      </c>
    </row>
    <row r="1084" spans="1:14" s="169" customFormat="1" ht="38.25">
      <c r="A1084" s="180" t="s">
        <v>115</v>
      </c>
      <c r="B1084" s="77" t="s">
        <v>902</v>
      </c>
      <c r="C1084" s="70" t="s">
        <v>17</v>
      </c>
      <c r="D1084" s="210"/>
      <c r="E1084" s="210"/>
      <c r="F1084" s="210"/>
      <c r="G1084" s="210"/>
      <c r="H1084" s="406">
        <f>SUM(Tabla132112410[[#This Row],[PRIMER TRIMESTRE]:[CUARTO TRIMESTRE]])</f>
        <v>0</v>
      </c>
      <c r="I1084" s="72">
        <v>450</v>
      </c>
      <c r="J1084" s="72">
        <f t="shared" si="27"/>
        <v>0</v>
      </c>
      <c r="K1084" s="72"/>
      <c r="L1084" s="73" t="s">
        <v>18</v>
      </c>
      <c r="M1084" s="16" t="s">
        <v>22</v>
      </c>
      <c r="N1084" s="39" t="s">
        <v>418</v>
      </c>
    </row>
    <row r="1085" spans="1:14" s="169" customFormat="1" ht="18">
      <c r="A1085" s="180" t="s">
        <v>115</v>
      </c>
      <c r="B1085" s="77" t="s">
        <v>934</v>
      </c>
      <c r="C1085" s="70" t="s">
        <v>17</v>
      </c>
      <c r="D1085" s="210"/>
      <c r="E1085" s="210"/>
      <c r="F1085" s="210"/>
      <c r="G1085" s="210"/>
      <c r="H1085" s="406">
        <f>SUM(Tabla132112410[[#This Row],[PRIMER TRIMESTRE]:[CUARTO TRIMESTRE]])</f>
        <v>0</v>
      </c>
      <c r="I1085" s="72">
        <v>125</v>
      </c>
      <c r="J1085" s="72">
        <f t="shared" si="27"/>
        <v>0</v>
      </c>
      <c r="K1085" s="72"/>
      <c r="L1085" s="73" t="s">
        <v>18</v>
      </c>
      <c r="M1085" s="16" t="s">
        <v>22</v>
      </c>
      <c r="N1085" s="39" t="s">
        <v>418</v>
      </c>
    </row>
    <row r="1086" spans="1:14" s="169" customFormat="1" ht="18">
      <c r="A1086" s="180" t="s">
        <v>115</v>
      </c>
      <c r="B1086" s="77" t="s">
        <v>935</v>
      </c>
      <c r="C1086" s="70" t="s">
        <v>208</v>
      </c>
      <c r="D1086" s="210"/>
      <c r="E1086" s="210"/>
      <c r="F1086" s="210"/>
      <c r="G1086" s="210"/>
      <c r="H1086" s="406">
        <f>SUM(Tabla132112410[[#This Row],[PRIMER TRIMESTRE]:[CUARTO TRIMESTRE]])</f>
        <v>0</v>
      </c>
      <c r="I1086" s="72">
        <v>4300</v>
      </c>
      <c r="J1086" s="72">
        <f t="shared" si="27"/>
        <v>0</v>
      </c>
      <c r="K1086" s="72"/>
      <c r="L1086" s="73" t="s">
        <v>18</v>
      </c>
      <c r="M1086" s="16" t="s">
        <v>22</v>
      </c>
      <c r="N1086" s="39" t="s">
        <v>418</v>
      </c>
    </row>
    <row r="1087" spans="1:14" s="169" customFormat="1" ht="25.5">
      <c r="A1087" s="180" t="s">
        <v>115</v>
      </c>
      <c r="B1087" s="77" t="s">
        <v>936</v>
      </c>
      <c r="C1087" s="70" t="s">
        <v>17</v>
      </c>
      <c r="D1087" s="210"/>
      <c r="E1087" s="210"/>
      <c r="F1087" s="210"/>
      <c r="G1087" s="210"/>
      <c r="H1087" s="406">
        <f>SUM(Tabla132112410[[#This Row],[PRIMER TRIMESTRE]:[CUARTO TRIMESTRE]])</f>
        <v>0</v>
      </c>
      <c r="I1087" s="72">
        <v>7300</v>
      </c>
      <c r="J1087" s="72">
        <f t="shared" si="27"/>
        <v>0</v>
      </c>
      <c r="K1087" s="72"/>
      <c r="L1087" s="16" t="s">
        <v>18</v>
      </c>
      <c r="M1087" s="16" t="s">
        <v>22</v>
      </c>
      <c r="N1087" s="39" t="s">
        <v>418</v>
      </c>
    </row>
    <row r="1088" spans="1:14" s="169" customFormat="1" ht="25.5">
      <c r="A1088" s="180" t="s">
        <v>115</v>
      </c>
      <c r="B1088" s="77" t="s">
        <v>937</v>
      </c>
      <c r="C1088" s="70" t="s">
        <v>17</v>
      </c>
      <c r="D1088" s="210"/>
      <c r="E1088" s="210"/>
      <c r="F1088" s="210"/>
      <c r="G1088" s="210"/>
      <c r="H1088" s="406">
        <f>SUM(Tabla132112410[[#This Row],[PRIMER TRIMESTRE]:[CUARTO TRIMESTRE]])</f>
        <v>0</v>
      </c>
      <c r="I1088" s="72">
        <v>14671</v>
      </c>
      <c r="J1088" s="72">
        <f t="shared" si="27"/>
        <v>0</v>
      </c>
      <c r="K1088" s="72"/>
      <c r="L1088" s="73" t="s">
        <v>18</v>
      </c>
      <c r="M1088" s="16" t="s">
        <v>22</v>
      </c>
      <c r="N1088" s="39" t="s">
        <v>418</v>
      </c>
    </row>
    <row r="1089" spans="1:14" s="169" customFormat="1" ht="25.5">
      <c r="A1089" s="180" t="s">
        <v>115</v>
      </c>
      <c r="B1089" s="77" t="s">
        <v>938</v>
      </c>
      <c r="C1089" s="70" t="s">
        <v>17</v>
      </c>
      <c r="D1089" s="210"/>
      <c r="E1089" s="210"/>
      <c r="F1089" s="210"/>
      <c r="G1089" s="210"/>
      <c r="H1089" s="406">
        <f>SUM(Tabla132112410[[#This Row],[PRIMER TRIMESTRE]:[CUARTO TRIMESTRE]])</f>
        <v>0</v>
      </c>
      <c r="I1089" s="72">
        <v>34000</v>
      </c>
      <c r="J1089" s="72">
        <f t="shared" si="27"/>
        <v>0</v>
      </c>
      <c r="K1089" s="72"/>
      <c r="L1089" s="73" t="s">
        <v>18</v>
      </c>
      <c r="M1089" s="16" t="s">
        <v>22</v>
      </c>
      <c r="N1089" s="39" t="s">
        <v>418</v>
      </c>
    </row>
    <row r="1090" spans="1:14" s="169" customFormat="1" ht="18">
      <c r="A1090" s="180" t="s">
        <v>115</v>
      </c>
      <c r="B1090" s="77" t="s">
        <v>1628</v>
      </c>
      <c r="C1090" s="70" t="s">
        <v>17</v>
      </c>
      <c r="D1090" s="210"/>
      <c r="E1090" s="210"/>
      <c r="F1090" s="406"/>
      <c r="G1090" s="406"/>
      <c r="H1090" s="406">
        <f>SUM(Tabla132112410[[#This Row],[PRIMER TRIMESTRE]:[CUARTO TRIMESTRE]])</f>
        <v>0</v>
      </c>
      <c r="I1090" s="72">
        <v>3500</v>
      </c>
      <c r="J1090" s="72">
        <f t="shared" si="27"/>
        <v>0</v>
      </c>
      <c r="K1090" s="72"/>
      <c r="L1090" s="73" t="s">
        <v>18</v>
      </c>
      <c r="M1090" s="16" t="s">
        <v>22</v>
      </c>
      <c r="N1090" s="39" t="s">
        <v>418</v>
      </c>
    </row>
    <row r="1091" spans="1:14" s="169" customFormat="1" ht="18">
      <c r="A1091" s="180" t="s">
        <v>115</v>
      </c>
      <c r="B1091" s="77" t="s">
        <v>1629</v>
      </c>
      <c r="C1091" s="70" t="s">
        <v>17</v>
      </c>
      <c r="D1091" s="210"/>
      <c r="E1091" s="210"/>
      <c r="F1091" s="249"/>
      <c r="G1091" s="249"/>
      <c r="H1091" s="406">
        <f>SUM(Tabla132112410[[#This Row],[PRIMER TRIMESTRE]:[CUARTO TRIMESTRE]])</f>
        <v>0</v>
      </c>
      <c r="I1091" s="72">
        <v>14000</v>
      </c>
      <c r="J1091" s="72">
        <f t="shared" si="27"/>
        <v>0</v>
      </c>
      <c r="K1091" s="72"/>
      <c r="L1091" s="16" t="s">
        <v>18</v>
      </c>
      <c r="M1091" s="16" t="s">
        <v>22</v>
      </c>
      <c r="N1091" s="39" t="s">
        <v>418</v>
      </c>
    </row>
    <row r="1092" spans="1:14" s="169" customFormat="1" ht="25.5">
      <c r="A1092" s="180" t="s">
        <v>115</v>
      </c>
      <c r="B1092" s="77" t="s">
        <v>939</v>
      </c>
      <c r="C1092" s="70" t="s">
        <v>17</v>
      </c>
      <c r="D1092" s="210"/>
      <c r="E1092" s="210"/>
      <c r="F1092" s="210"/>
      <c r="G1092" s="210"/>
      <c r="H1092" s="406">
        <f>SUM(Tabla132112410[[#This Row],[PRIMER TRIMESTRE]:[CUARTO TRIMESTRE]])</f>
        <v>0</v>
      </c>
      <c r="I1092" s="72">
        <v>34000</v>
      </c>
      <c r="J1092" s="72">
        <f t="shared" si="27"/>
        <v>0</v>
      </c>
      <c r="K1092" s="72"/>
      <c r="L1092" s="16" t="s">
        <v>18</v>
      </c>
      <c r="M1092" s="16" t="s">
        <v>22</v>
      </c>
      <c r="N1092" s="39" t="s">
        <v>418</v>
      </c>
    </row>
    <row r="1093" spans="1:14" s="169" customFormat="1" ht="18">
      <c r="A1093" s="180" t="s">
        <v>115</v>
      </c>
      <c r="B1093" s="77" t="s">
        <v>1630</v>
      </c>
      <c r="C1093" s="70" t="s">
        <v>17</v>
      </c>
      <c r="D1093" s="210"/>
      <c r="E1093" s="210"/>
      <c r="F1093" s="210"/>
      <c r="G1093" s="210"/>
      <c r="H1093" s="406">
        <f>SUM(Tabla132112410[[#This Row],[PRIMER TRIMESTRE]:[CUARTO TRIMESTRE]])</f>
        <v>0</v>
      </c>
      <c r="I1093" s="72">
        <v>4000</v>
      </c>
      <c r="J1093" s="72">
        <f t="shared" si="27"/>
        <v>0</v>
      </c>
      <c r="K1093" s="72"/>
      <c r="L1093" s="16" t="s">
        <v>18</v>
      </c>
      <c r="M1093" s="16" t="s">
        <v>22</v>
      </c>
      <c r="N1093" s="39" t="s">
        <v>418</v>
      </c>
    </row>
    <row r="1094" spans="1:14" s="169" customFormat="1" ht="18">
      <c r="A1094" s="180" t="s">
        <v>115</v>
      </c>
      <c r="B1094" s="77" t="s">
        <v>1631</v>
      </c>
      <c r="C1094" s="70" t="s">
        <v>17</v>
      </c>
      <c r="D1094" s="210"/>
      <c r="E1094" s="210"/>
      <c r="F1094" s="210"/>
      <c r="G1094" s="210"/>
      <c r="H1094" s="406">
        <f>SUM(Tabla132112410[[#This Row],[PRIMER TRIMESTRE]:[CUARTO TRIMESTRE]])</f>
        <v>0</v>
      </c>
      <c r="I1094" s="72">
        <v>20000</v>
      </c>
      <c r="J1094" s="72">
        <f t="shared" si="27"/>
        <v>0</v>
      </c>
      <c r="K1094" s="72"/>
      <c r="L1094" s="16" t="s">
        <v>18</v>
      </c>
      <c r="M1094" s="16" t="s">
        <v>22</v>
      </c>
      <c r="N1094" s="39" t="s">
        <v>418</v>
      </c>
    </row>
    <row r="1095" spans="1:14" s="169" customFormat="1" ht="25.5">
      <c r="A1095" s="180" t="s">
        <v>115</v>
      </c>
      <c r="B1095" s="77" t="s">
        <v>1632</v>
      </c>
      <c r="C1095" s="70" t="s">
        <v>17</v>
      </c>
      <c r="D1095" s="210"/>
      <c r="E1095" s="210"/>
      <c r="F1095" s="210"/>
      <c r="G1095" s="210"/>
      <c r="H1095" s="406">
        <f>SUM(Tabla132112410[[#This Row],[PRIMER TRIMESTRE]:[CUARTO TRIMESTRE]])</f>
        <v>0</v>
      </c>
      <c r="I1095" s="72">
        <v>300000</v>
      </c>
      <c r="J1095" s="72">
        <f t="shared" si="27"/>
        <v>0</v>
      </c>
      <c r="K1095" s="72"/>
      <c r="L1095" s="73" t="s">
        <v>18</v>
      </c>
      <c r="M1095" s="16" t="s">
        <v>22</v>
      </c>
      <c r="N1095" s="39" t="s">
        <v>418</v>
      </c>
    </row>
    <row r="1096" spans="1:14" s="12" customFormat="1" ht="38.25">
      <c r="A1096" s="180" t="s">
        <v>115</v>
      </c>
      <c r="B1096" s="77" t="s">
        <v>940</v>
      </c>
      <c r="C1096" s="70" t="s">
        <v>17</v>
      </c>
      <c r="D1096" s="210"/>
      <c r="E1096" s="210"/>
      <c r="F1096" s="210"/>
      <c r="G1096" s="210"/>
      <c r="H1096" s="406">
        <f>SUM(Tabla132112410[[#This Row],[PRIMER TRIMESTRE]:[CUARTO TRIMESTRE]])</f>
        <v>0</v>
      </c>
      <c r="I1096" s="72">
        <v>210000</v>
      </c>
      <c r="J1096" s="72">
        <f t="shared" si="27"/>
        <v>0</v>
      </c>
      <c r="K1096" s="72"/>
      <c r="L1096" s="16" t="s">
        <v>18</v>
      </c>
      <c r="M1096" s="16" t="s">
        <v>22</v>
      </c>
      <c r="N1096" s="39" t="s">
        <v>418</v>
      </c>
    </row>
    <row r="1097" spans="1:14" s="12" customFormat="1" ht="38.25">
      <c r="A1097" s="180" t="s">
        <v>115</v>
      </c>
      <c r="B1097" s="77" t="s">
        <v>2020</v>
      </c>
      <c r="C1097" s="70" t="s">
        <v>17</v>
      </c>
      <c r="D1097" s="210">
        <v>35</v>
      </c>
      <c r="E1097" s="210">
        <v>4</v>
      </c>
      <c r="F1097" s="210">
        <v>4</v>
      </c>
      <c r="G1097" s="210"/>
      <c r="H1097" s="406">
        <f>SUM(Tabla132112410[[#This Row],[PRIMER TRIMESTRE]:[CUARTO TRIMESTRE]])</f>
        <v>43</v>
      </c>
      <c r="I1097" s="72">
        <v>35000</v>
      </c>
      <c r="J1097" s="72">
        <f t="shared" si="27"/>
        <v>1505000</v>
      </c>
      <c r="K1097" s="72"/>
      <c r="L1097" s="16" t="s">
        <v>18</v>
      </c>
      <c r="M1097" s="16" t="s">
        <v>22</v>
      </c>
      <c r="N1097" s="39" t="s">
        <v>418</v>
      </c>
    </row>
    <row r="1098" spans="1:14" s="12" customFormat="1" ht="25.5">
      <c r="A1098" s="178" t="s">
        <v>115</v>
      </c>
      <c r="B1098" s="75" t="s">
        <v>1752</v>
      </c>
      <c r="C1098" s="39" t="s">
        <v>17</v>
      </c>
      <c r="D1098" s="210"/>
      <c r="E1098" s="210"/>
      <c r="F1098" s="210"/>
      <c r="G1098" s="210"/>
      <c r="H1098" s="406">
        <v>0</v>
      </c>
      <c r="I1098" s="72">
        <v>0</v>
      </c>
      <c r="J1098" s="72">
        <v>0</v>
      </c>
      <c r="K1098" s="72"/>
      <c r="L1098" s="73" t="s">
        <v>18</v>
      </c>
      <c r="M1098" s="16" t="s">
        <v>22</v>
      </c>
      <c r="N1098" s="39" t="s">
        <v>418</v>
      </c>
    </row>
    <row r="1099" spans="1:14" s="12" customFormat="1" ht="18">
      <c r="A1099" s="178" t="s">
        <v>115</v>
      </c>
      <c r="B1099" s="75" t="s">
        <v>1888</v>
      </c>
      <c r="C1099" s="39" t="s">
        <v>17</v>
      </c>
      <c r="D1099" s="210"/>
      <c r="E1099" s="210"/>
      <c r="F1099" s="210"/>
      <c r="G1099" s="210"/>
      <c r="H1099" s="406">
        <v>0</v>
      </c>
      <c r="I1099" s="72">
        <v>0</v>
      </c>
      <c r="J1099" s="72">
        <v>0</v>
      </c>
      <c r="K1099" s="72"/>
      <c r="L1099" s="73" t="s">
        <v>18</v>
      </c>
      <c r="M1099" s="16" t="s">
        <v>22</v>
      </c>
      <c r="N1099" s="39" t="s">
        <v>418</v>
      </c>
    </row>
    <row r="1100" spans="1:14" s="12" customFormat="1" ht="30.75" customHeight="1">
      <c r="A1100" s="178" t="s">
        <v>115</v>
      </c>
      <c r="B1100" s="75" t="s">
        <v>945</v>
      </c>
      <c r="C1100" s="39" t="s">
        <v>17</v>
      </c>
      <c r="D1100" s="236"/>
      <c r="E1100" s="236"/>
      <c r="F1100" s="236"/>
      <c r="G1100" s="236"/>
      <c r="H1100" s="40">
        <f>SUM(Tabla132112410[[#This Row],[PRIMER TRIMESTRE]:[CUARTO TRIMESTRE]])</f>
        <v>0</v>
      </c>
      <c r="I1100" s="17">
        <v>7498</v>
      </c>
      <c r="J1100" s="17">
        <f t="shared" si="27"/>
        <v>0</v>
      </c>
      <c r="K1100" s="17"/>
      <c r="L1100" s="73" t="s">
        <v>18</v>
      </c>
      <c r="M1100" s="16" t="s">
        <v>22</v>
      </c>
      <c r="N1100" s="39" t="s">
        <v>418</v>
      </c>
    </row>
    <row r="1101" spans="1:14" s="12" customFormat="1" ht="30.75" customHeight="1">
      <c r="A1101" s="178" t="s">
        <v>115</v>
      </c>
      <c r="B1101" s="75" t="s">
        <v>946</v>
      </c>
      <c r="C1101" s="39" t="s">
        <v>17</v>
      </c>
      <c r="D1101" s="236"/>
      <c r="E1101" s="236"/>
      <c r="F1101" s="236"/>
      <c r="G1101" s="236"/>
      <c r="H1101" s="40">
        <f>SUM(Tabla132112410[[#This Row],[PRIMER TRIMESTRE]:[CUARTO TRIMESTRE]])</f>
        <v>0</v>
      </c>
      <c r="I1101" s="17">
        <v>4600</v>
      </c>
      <c r="J1101" s="17">
        <f t="shared" si="27"/>
        <v>0</v>
      </c>
      <c r="K1101" s="17"/>
      <c r="L1101" s="73" t="s">
        <v>18</v>
      </c>
      <c r="M1101" s="16" t="s">
        <v>22</v>
      </c>
      <c r="N1101" s="39" t="s">
        <v>418</v>
      </c>
    </row>
    <row r="1102" spans="1:14" s="12" customFormat="1" ht="30.75" customHeight="1">
      <c r="A1102" s="178" t="s">
        <v>115</v>
      </c>
      <c r="B1102" s="75" t="s">
        <v>947</v>
      </c>
      <c r="C1102" s="39" t="s">
        <v>17</v>
      </c>
      <c r="D1102" s="236"/>
      <c r="E1102" s="236"/>
      <c r="F1102" s="236"/>
      <c r="G1102" s="236"/>
      <c r="H1102" s="40">
        <f>SUM(Tabla132112410[[#This Row],[PRIMER TRIMESTRE]:[CUARTO TRIMESTRE]])</f>
        <v>0</v>
      </c>
      <c r="I1102" s="17">
        <v>3496</v>
      </c>
      <c r="J1102" s="17">
        <f t="shared" si="27"/>
        <v>0</v>
      </c>
      <c r="K1102" s="17"/>
      <c r="L1102" s="73" t="s">
        <v>18</v>
      </c>
      <c r="M1102" s="16" t="s">
        <v>22</v>
      </c>
      <c r="N1102" s="39" t="s">
        <v>418</v>
      </c>
    </row>
    <row r="1103" spans="1:14" s="12" customFormat="1" ht="30.75" customHeight="1">
      <c r="A1103" s="178" t="s">
        <v>115</v>
      </c>
      <c r="B1103" s="75" t="s">
        <v>1440</v>
      </c>
      <c r="C1103" s="39" t="s">
        <v>17</v>
      </c>
      <c r="D1103" s="236"/>
      <c r="E1103" s="236"/>
      <c r="F1103" s="236"/>
      <c r="G1103" s="236"/>
      <c r="H1103" s="40">
        <f>SUM(Tabla132112410[[#This Row],[PRIMER TRIMESTRE]:[CUARTO TRIMESTRE]])</f>
        <v>0</v>
      </c>
      <c r="I1103" s="17">
        <v>5310</v>
      </c>
      <c r="J1103" s="17">
        <f t="shared" si="27"/>
        <v>0</v>
      </c>
      <c r="K1103" s="17"/>
      <c r="L1103" s="73" t="s">
        <v>15</v>
      </c>
      <c r="M1103" s="16" t="s">
        <v>22</v>
      </c>
      <c r="N1103" s="39" t="s">
        <v>418</v>
      </c>
    </row>
    <row r="1104" spans="1:14" s="26" customFormat="1" ht="30.75" customHeight="1">
      <c r="A1104" s="178" t="s">
        <v>115</v>
      </c>
      <c r="B1104" s="75" t="s">
        <v>1441</v>
      </c>
      <c r="C1104" s="39" t="s">
        <v>17</v>
      </c>
      <c r="D1104" s="236"/>
      <c r="E1104" s="236"/>
      <c r="F1104" s="236"/>
      <c r="G1104" s="236"/>
      <c r="H1104" s="40">
        <f>SUM(Tabla132112410[[#This Row],[PRIMER TRIMESTRE]:[CUARTO TRIMESTRE]])</f>
        <v>0</v>
      </c>
      <c r="I1104" s="17">
        <v>5310</v>
      </c>
      <c r="J1104" s="17">
        <f t="shared" si="27"/>
        <v>0</v>
      </c>
      <c r="K1104" s="17"/>
      <c r="L1104" s="73" t="s">
        <v>15</v>
      </c>
      <c r="M1104" s="16" t="s">
        <v>22</v>
      </c>
      <c r="N1104" s="39" t="s">
        <v>418</v>
      </c>
    </row>
    <row r="1105" spans="1:14" s="12" customFormat="1" ht="30.75" customHeight="1">
      <c r="A1105" s="178" t="s">
        <v>115</v>
      </c>
      <c r="B1105" s="75" t="s">
        <v>1442</v>
      </c>
      <c r="C1105" s="39" t="s">
        <v>17</v>
      </c>
      <c r="D1105" s="236"/>
      <c r="E1105" s="236"/>
      <c r="F1105" s="236"/>
      <c r="G1105" s="236"/>
      <c r="H1105" s="40">
        <f>SUM(Tabla132112410[[#This Row],[PRIMER TRIMESTRE]:[CUARTO TRIMESTRE]])</f>
        <v>0</v>
      </c>
      <c r="I1105" s="17">
        <v>5310</v>
      </c>
      <c r="J1105" s="17">
        <f t="shared" si="27"/>
        <v>0</v>
      </c>
      <c r="K1105" s="17"/>
      <c r="L1105" s="73" t="s">
        <v>15</v>
      </c>
      <c r="M1105" s="16" t="s">
        <v>22</v>
      </c>
      <c r="N1105" s="39" t="s">
        <v>418</v>
      </c>
    </row>
    <row r="1106" spans="1:14" s="12" customFormat="1" ht="30.75" customHeight="1">
      <c r="A1106" s="179" t="s">
        <v>115</v>
      </c>
      <c r="B1106" s="76"/>
      <c r="C1106" s="42"/>
      <c r="D1106" s="237"/>
      <c r="E1106" s="237"/>
      <c r="F1106" s="237"/>
      <c r="G1106" s="237"/>
      <c r="H1106" s="43"/>
      <c r="I1106" s="24"/>
      <c r="J1106" s="24"/>
      <c r="K1106" s="25">
        <f>SUM(J1071:J1105)</f>
        <v>1523500</v>
      </c>
      <c r="L1106" s="23"/>
      <c r="M1106" s="23"/>
      <c r="N1106" s="42"/>
    </row>
    <row r="1107" spans="1:14" s="12" customFormat="1" ht="30.75" customHeight="1">
      <c r="A1107" s="178" t="s">
        <v>117</v>
      </c>
      <c r="B1107" s="75" t="s">
        <v>941</v>
      </c>
      <c r="C1107" s="39" t="s">
        <v>17</v>
      </c>
      <c r="D1107" s="236"/>
      <c r="E1107" s="236"/>
      <c r="F1107" s="236"/>
      <c r="G1107" s="236"/>
      <c r="H1107" s="40">
        <f>SUM(Tabla132112410[[#This Row],[PRIMER TRIMESTRE]:[CUARTO TRIMESTRE]])</f>
        <v>0</v>
      </c>
      <c r="I1107" s="17">
        <v>900</v>
      </c>
      <c r="J1107" s="17">
        <f>+H1107*I1107</f>
        <v>0</v>
      </c>
      <c r="K1107" s="17"/>
      <c r="L1107" s="73" t="s">
        <v>18</v>
      </c>
      <c r="M1107" s="16" t="s">
        <v>22</v>
      </c>
      <c r="N1107" s="39"/>
    </row>
    <row r="1108" spans="1:14" s="12" customFormat="1" ht="30.75" customHeight="1">
      <c r="A1108" s="178" t="s">
        <v>117</v>
      </c>
      <c r="B1108" s="75" t="s">
        <v>942</v>
      </c>
      <c r="C1108" s="39" t="s">
        <v>17</v>
      </c>
      <c r="D1108" s="236"/>
      <c r="E1108" s="236"/>
      <c r="F1108" s="236"/>
      <c r="G1108" s="236"/>
      <c r="H1108" s="40">
        <f>SUM(Tabla132112410[[#This Row],[PRIMER TRIMESTRE]:[CUARTO TRIMESTRE]])</f>
        <v>0</v>
      </c>
      <c r="I1108" s="17">
        <v>900</v>
      </c>
      <c r="J1108" s="17">
        <f>+H1108*I1108</f>
        <v>0</v>
      </c>
      <c r="K1108" s="17"/>
      <c r="L1108" s="73" t="s">
        <v>18</v>
      </c>
      <c r="M1108" s="16" t="s">
        <v>22</v>
      </c>
      <c r="N1108" s="39" t="s">
        <v>418</v>
      </c>
    </row>
    <row r="1109" spans="1:14" s="12" customFormat="1" ht="30.75" customHeight="1">
      <c r="A1109" s="178" t="s">
        <v>117</v>
      </c>
      <c r="B1109" s="75" t="s">
        <v>943</v>
      </c>
      <c r="C1109" s="39" t="s">
        <v>17</v>
      </c>
      <c r="D1109" s="236"/>
      <c r="E1109" s="236"/>
      <c r="F1109" s="236"/>
      <c r="G1109" s="236"/>
      <c r="H1109" s="40">
        <f>SUM(Tabla132112410[[#This Row],[PRIMER TRIMESTRE]:[CUARTO TRIMESTRE]])</f>
        <v>0</v>
      </c>
      <c r="I1109" s="17">
        <v>800000</v>
      </c>
      <c r="J1109" s="17">
        <f>+H1109*I1109</f>
        <v>0</v>
      </c>
      <c r="K1109" s="17"/>
      <c r="L1109" s="16" t="s">
        <v>18</v>
      </c>
      <c r="M1109" s="16" t="s">
        <v>22</v>
      </c>
      <c r="N1109" s="39" t="s">
        <v>418</v>
      </c>
    </row>
    <row r="1110" spans="1:14" s="12" customFormat="1" ht="30.75" customHeight="1">
      <c r="A1110" s="178" t="s">
        <v>117</v>
      </c>
      <c r="B1110" s="75" t="s">
        <v>1402</v>
      </c>
      <c r="C1110" s="39" t="s">
        <v>17</v>
      </c>
      <c r="D1110" s="236"/>
      <c r="E1110" s="236"/>
      <c r="F1110" s="236"/>
      <c r="G1110" s="236"/>
      <c r="H1110" s="40">
        <f>SUM(Tabla132112410[[#This Row],[PRIMER TRIMESTRE]:[CUARTO TRIMESTRE]])</f>
        <v>0</v>
      </c>
      <c r="I1110" s="17">
        <v>758</v>
      </c>
      <c r="J1110" s="17">
        <f>+Tabla132112410[[#This Row],[CANTIDAD TOTAL]]*Tabla132112410[[#This Row],[PRECIO UNITARIO ESTIMADO]]</f>
        <v>0</v>
      </c>
      <c r="K1110" s="17"/>
      <c r="L1110" s="73" t="s">
        <v>18</v>
      </c>
      <c r="M1110" s="16" t="s">
        <v>22</v>
      </c>
      <c r="N1110" s="39" t="s">
        <v>418</v>
      </c>
    </row>
    <row r="1111" spans="1:14" s="12" customFormat="1" ht="30.75" customHeight="1">
      <c r="A1111" s="178" t="s">
        <v>117</v>
      </c>
      <c r="B1111" s="75" t="s">
        <v>944</v>
      </c>
      <c r="C1111" s="39" t="s">
        <v>17</v>
      </c>
      <c r="D1111" s="236"/>
      <c r="E1111" s="236"/>
      <c r="F1111" s="236"/>
      <c r="G1111" s="236"/>
      <c r="H1111" s="40">
        <f>SUM(Tabla132112410[[#This Row],[PRIMER TRIMESTRE]:[CUARTO TRIMESTRE]])</f>
        <v>0</v>
      </c>
      <c r="I1111" s="17">
        <v>12000</v>
      </c>
      <c r="J1111" s="17">
        <f t="shared" ref="J1111:J1120" si="28">+H1111*I1111</f>
        <v>0</v>
      </c>
      <c r="K1111" s="17"/>
      <c r="L1111" s="73" t="s">
        <v>18</v>
      </c>
      <c r="M1111" s="16" t="s">
        <v>22</v>
      </c>
      <c r="N1111" s="39" t="s">
        <v>418</v>
      </c>
    </row>
    <row r="1112" spans="1:14" s="12" customFormat="1" ht="30.75" customHeight="1">
      <c r="A1112" s="178" t="s">
        <v>117</v>
      </c>
      <c r="B1112" s="75" t="s">
        <v>1755</v>
      </c>
      <c r="C1112" s="39" t="s">
        <v>17</v>
      </c>
      <c r="D1112" s="236"/>
      <c r="E1112" s="236"/>
      <c r="F1112" s="236"/>
      <c r="G1112" s="236"/>
      <c r="H1112" s="40">
        <v>0</v>
      </c>
      <c r="I1112" s="17">
        <v>0</v>
      </c>
      <c r="J1112" s="17">
        <v>0</v>
      </c>
      <c r="K1112" s="17"/>
      <c r="L1112" s="73" t="s">
        <v>18</v>
      </c>
      <c r="M1112" s="16" t="s">
        <v>22</v>
      </c>
      <c r="N1112" s="39" t="s">
        <v>418</v>
      </c>
    </row>
    <row r="1113" spans="1:14" s="12" customFormat="1" ht="30.75" customHeight="1">
      <c r="A1113" s="178" t="s">
        <v>117</v>
      </c>
      <c r="B1113" s="75" t="s">
        <v>1756</v>
      </c>
      <c r="C1113" s="39" t="s">
        <v>17</v>
      </c>
      <c r="D1113" s="236"/>
      <c r="E1113" s="236"/>
      <c r="F1113" s="236"/>
      <c r="G1113" s="236"/>
      <c r="H1113" s="40">
        <v>0</v>
      </c>
      <c r="I1113" s="17">
        <v>0</v>
      </c>
      <c r="J1113" s="17">
        <v>0</v>
      </c>
      <c r="K1113" s="17"/>
      <c r="L1113" s="73" t="s">
        <v>18</v>
      </c>
      <c r="M1113" s="16" t="s">
        <v>22</v>
      </c>
      <c r="N1113" s="39" t="s">
        <v>418</v>
      </c>
    </row>
    <row r="1114" spans="1:14" s="12" customFormat="1" ht="30.75" customHeight="1">
      <c r="A1114" s="178" t="s">
        <v>117</v>
      </c>
      <c r="B1114" s="75" t="s">
        <v>1403</v>
      </c>
      <c r="C1114" s="39" t="s">
        <v>17</v>
      </c>
      <c r="D1114" s="236"/>
      <c r="E1114" s="236"/>
      <c r="F1114" s="236"/>
      <c r="G1114" s="236"/>
      <c r="H1114" s="40">
        <f>SUM(Tabla132112410[[#This Row],[PRIMER TRIMESTRE]:[CUARTO TRIMESTRE]])</f>
        <v>0</v>
      </c>
      <c r="I1114" s="17">
        <v>250000</v>
      </c>
      <c r="J1114" s="17">
        <f t="shared" si="28"/>
        <v>0</v>
      </c>
      <c r="K1114" s="17"/>
      <c r="L1114" s="73" t="s">
        <v>18</v>
      </c>
      <c r="M1114" s="16" t="s">
        <v>22</v>
      </c>
      <c r="N1114" s="39" t="s">
        <v>418</v>
      </c>
    </row>
    <row r="1115" spans="1:14" s="12" customFormat="1" ht="30.75" customHeight="1">
      <c r="A1115" s="178" t="s">
        <v>117</v>
      </c>
      <c r="B1115" s="75" t="s">
        <v>1420</v>
      </c>
      <c r="C1115" s="39" t="s">
        <v>17</v>
      </c>
      <c r="D1115" s="236"/>
      <c r="E1115" s="236"/>
      <c r="F1115" s="236"/>
      <c r="G1115" s="236"/>
      <c r="H1115" s="40">
        <f>SUM(Tabla132112410[[#This Row],[PRIMER TRIMESTRE]:[CUARTO TRIMESTRE]])</f>
        <v>0</v>
      </c>
      <c r="I1115" s="17">
        <v>25000000</v>
      </c>
      <c r="J1115" s="17">
        <f t="shared" si="28"/>
        <v>0</v>
      </c>
      <c r="K1115" s="17"/>
      <c r="L1115" s="16" t="s">
        <v>18</v>
      </c>
      <c r="M1115" s="16" t="s">
        <v>22</v>
      </c>
      <c r="N1115" s="39" t="s">
        <v>418</v>
      </c>
    </row>
    <row r="1116" spans="1:14" s="12" customFormat="1" ht="30.75" customHeight="1">
      <c r="A1116" s="178" t="s">
        <v>117</v>
      </c>
      <c r="B1116" s="75" t="s">
        <v>1404</v>
      </c>
      <c r="C1116" s="39" t="s">
        <v>17</v>
      </c>
      <c r="D1116" s="236"/>
      <c r="E1116" s="236"/>
      <c r="F1116" s="236"/>
      <c r="G1116" s="236"/>
      <c r="H1116" s="40">
        <f>SUM(Tabla132112410[[#This Row],[PRIMER TRIMESTRE]:[CUARTO TRIMESTRE]])</f>
        <v>0</v>
      </c>
      <c r="I1116" s="17">
        <v>327618.2</v>
      </c>
      <c r="J1116" s="17">
        <f t="shared" si="28"/>
        <v>0</v>
      </c>
      <c r="K1116" s="17"/>
      <c r="L1116" s="73" t="s">
        <v>18</v>
      </c>
      <c r="M1116" s="16" t="s">
        <v>22</v>
      </c>
      <c r="N1116" s="39" t="s">
        <v>418</v>
      </c>
    </row>
    <row r="1117" spans="1:14" s="12" customFormat="1" ht="30.75" customHeight="1">
      <c r="A1117" s="178" t="s">
        <v>117</v>
      </c>
      <c r="B1117" s="75" t="s">
        <v>1405</v>
      </c>
      <c r="C1117" s="39" t="s">
        <v>17</v>
      </c>
      <c r="D1117" s="236"/>
      <c r="E1117" s="236"/>
      <c r="F1117" s="236"/>
      <c r="G1117" s="236"/>
      <c r="H1117" s="40">
        <f>SUM(Tabla132112410[[#This Row],[PRIMER TRIMESTRE]:[CUARTO TRIMESTRE]])</f>
        <v>0</v>
      </c>
      <c r="I1117" s="17">
        <v>815223.95</v>
      </c>
      <c r="J1117" s="17">
        <f t="shared" si="28"/>
        <v>0</v>
      </c>
      <c r="K1117" s="17"/>
      <c r="L1117" s="16" t="s">
        <v>18</v>
      </c>
      <c r="M1117" s="16" t="s">
        <v>22</v>
      </c>
      <c r="N1117" s="39" t="s">
        <v>418</v>
      </c>
    </row>
    <row r="1118" spans="1:14" s="12" customFormat="1" ht="30.75" customHeight="1">
      <c r="A1118" s="178" t="s">
        <v>117</v>
      </c>
      <c r="B1118" s="75" t="s">
        <v>1406</v>
      </c>
      <c r="C1118" s="39" t="s">
        <v>17</v>
      </c>
      <c r="D1118" s="236"/>
      <c r="E1118" s="236"/>
      <c r="F1118" s="236"/>
      <c r="G1118" s="236"/>
      <c r="H1118" s="40">
        <f>SUM(Tabla132112410[[#This Row],[PRIMER TRIMESTRE]:[CUARTO TRIMESTRE]])</f>
        <v>0</v>
      </c>
      <c r="I1118" s="17">
        <v>341286.40000000002</v>
      </c>
      <c r="J1118" s="17">
        <f t="shared" si="28"/>
        <v>0</v>
      </c>
      <c r="K1118" s="17"/>
      <c r="L1118" s="73" t="s">
        <v>18</v>
      </c>
      <c r="M1118" s="16" t="s">
        <v>22</v>
      </c>
      <c r="N1118" s="39" t="s">
        <v>418</v>
      </c>
    </row>
    <row r="1119" spans="1:14" s="26" customFormat="1" ht="30.75" customHeight="1">
      <c r="A1119" s="178" t="s">
        <v>117</v>
      </c>
      <c r="B1119" s="75" t="s">
        <v>1407</v>
      </c>
      <c r="C1119" s="39" t="s">
        <v>17</v>
      </c>
      <c r="D1119" s="236"/>
      <c r="E1119" s="236"/>
      <c r="F1119" s="236"/>
      <c r="G1119" s="236"/>
      <c r="H1119" s="40">
        <f>SUM(Tabla132112410[[#This Row],[PRIMER TRIMESTRE]:[CUARTO TRIMESTRE]])</f>
        <v>0</v>
      </c>
      <c r="I1119" s="17">
        <v>498739.15</v>
      </c>
      <c r="J1119" s="17">
        <f t="shared" si="28"/>
        <v>0</v>
      </c>
      <c r="K1119" s="17"/>
      <c r="L1119" s="73" t="s">
        <v>18</v>
      </c>
      <c r="M1119" s="16" t="s">
        <v>22</v>
      </c>
      <c r="N1119" s="39" t="s">
        <v>418</v>
      </c>
    </row>
    <row r="1120" spans="1:14" s="12" customFormat="1" ht="30.75" customHeight="1">
      <c r="A1120" s="178" t="s">
        <v>117</v>
      </c>
      <c r="B1120" s="75" t="s">
        <v>1408</v>
      </c>
      <c r="C1120" s="39" t="s">
        <v>17</v>
      </c>
      <c r="D1120" s="236"/>
      <c r="E1120" s="236"/>
      <c r="F1120" s="236"/>
      <c r="G1120" s="236"/>
      <c r="H1120" s="40">
        <f>SUM(Tabla132112410[[#This Row],[PRIMER TRIMESTRE]:[CUARTO TRIMESTRE]])</f>
        <v>0</v>
      </c>
      <c r="I1120" s="17">
        <v>48163257.060000002</v>
      </c>
      <c r="J1120" s="17">
        <f t="shared" si="28"/>
        <v>0</v>
      </c>
      <c r="K1120" s="17"/>
      <c r="L1120" s="16" t="s">
        <v>18</v>
      </c>
      <c r="M1120" s="16" t="s">
        <v>22</v>
      </c>
      <c r="N1120" s="39" t="s">
        <v>418</v>
      </c>
    </row>
    <row r="1121" spans="1:14" s="12" customFormat="1" ht="30.75" customHeight="1">
      <c r="A1121" s="179" t="s">
        <v>117</v>
      </c>
      <c r="B1121" s="76" t="s">
        <v>891</v>
      </c>
      <c r="C1121" s="42"/>
      <c r="D1121" s="237"/>
      <c r="E1121" s="237"/>
      <c r="F1121" s="237"/>
      <c r="G1121" s="237"/>
      <c r="H1121" s="43"/>
      <c r="I1121" s="24"/>
      <c r="J1121" s="24"/>
      <c r="K1121" s="25">
        <f>SUM(J1107:J1120)</f>
        <v>0</v>
      </c>
      <c r="L1121" s="23"/>
      <c r="M1121" s="23"/>
      <c r="N1121" s="42"/>
    </row>
    <row r="1122" spans="1:14" s="12" customFormat="1" ht="30.75" customHeight="1">
      <c r="A1122" s="178" t="s">
        <v>118</v>
      </c>
      <c r="B1122" s="75" t="s">
        <v>241</v>
      </c>
      <c r="C1122" s="39" t="s">
        <v>17</v>
      </c>
      <c r="D1122" s="236">
        <v>4</v>
      </c>
      <c r="E1122" s="236"/>
      <c r="F1122" s="236"/>
      <c r="G1122" s="236"/>
      <c r="H1122" s="40">
        <f>SUM(Tabla132112410[[#This Row],[PRIMER TRIMESTRE]:[CUARTO TRIMESTRE]])</f>
        <v>4</v>
      </c>
      <c r="I1122" s="17">
        <v>7544.8</v>
      </c>
      <c r="J1122" s="17">
        <f>+Tabla132112410[[#This Row],[CANTIDAD TOTAL]]*Tabla132112410[[#This Row],[PRECIO UNITARIO ESTIMADO]]</f>
        <v>30179.200000000001</v>
      </c>
      <c r="K1122" s="17"/>
      <c r="L1122" s="73" t="s">
        <v>27</v>
      </c>
      <c r="M1122" s="16" t="s">
        <v>22</v>
      </c>
      <c r="N1122" s="39" t="s">
        <v>418</v>
      </c>
    </row>
    <row r="1123" spans="1:14" s="12" customFormat="1" ht="30.75" customHeight="1">
      <c r="A1123" s="178" t="s">
        <v>118</v>
      </c>
      <c r="B1123" s="75" t="s">
        <v>242</v>
      </c>
      <c r="C1123" s="39" t="s">
        <v>17</v>
      </c>
      <c r="D1123" s="236">
        <v>3</v>
      </c>
      <c r="E1123" s="236"/>
      <c r="F1123" s="236"/>
      <c r="G1123" s="236"/>
      <c r="H1123" s="40">
        <f>SUM(Tabla132112410[[#This Row],[PRIMER TRIMESTRE]:[CUARTO TRIMESTRE]])</f>
        <v>3</v>
      </c>
      <c r="I1123" s="17">
        <v>4756</v>
      </c>
      <c r="J1123" s="17">
        <f>+Tabla132112410[[#This Row],[CANTIDAD TOTAL]]*Tabla132112410[[#This Row],[PRECIO UNITARIO ESTIMADO]]</f>
        <v>14268</v>
      </c>
      <c r="K1123" s="17"/>
      <c r="L1123" s="73" t="s">
        <v>27</v>
      </c>
      <c r="M1123" s="16" t="s">
        <v>22</v>
      </c>
      <c r="N1123" s="39" t="s">
        <v>418</v>
      </c>
    </row>
    <row r="1124" spans="1:14" s="12" customFormat="1" ht="30.75" customHeight="1">
      <c r="A1124" s="178" t="s">
        <v>118</v>
      </c>
      <c r="B1124" s="75" t="s">
        <v>243</v>
      </c>
      <c r="C1124" s="39" t="s">
        <v>17</v>
      </c>
      <c r="D1124" s="236"/>
      <c r="E1124" s="236"/>
      <c r="F1124" s="236"/>
      <c r="G1124" s="236"/>
      <c r="H1124" s="40">
        <f>SUM(Tabla132112410[[#This Row],[PRIMER TRIMESTRE]:[CUARTO TRIMESTRE]])</f>
        <v>0</v>
      </c>
      <c r="I1124" s="17">
        <v>4610.34</v>
      </c>
      <c r="J1124" s="17">
        <f>+Tabla132112410[[#This Row],[CANTIDAD TOTAL]]*Tabla132112410[[#This Row],[PRECIO UNITARIO ESTIMADO]]</f>
        <v>0</v>
      </c>
      <c r="K1124" s="17"/>
      <c r="L1124" s="73" t="s">
        <v>27</v>
      </c>
      <c r="M1124" s="16" t="s">
        <v>22</v>
      </c>
      <c r="N1124" s="39" t="s">
        <v>418</v>
      </c>
    </row>
    <row r="1125" spans="1:14" s="12" customFormat="1" ht="30.75" customHeight="1">
      <c r="A1125" s="178" t="s">
        <v>118</v>
      </c>
      <c r="B1125" s="75" t="s">
        <v>336</v>
      </c>
      <c r="C1125" s="39" t="s">
        <v>17</v>
      </c>
      <c r="D1125" s="236"/>
      <c r="E1125" s="236"/>
      <c r="F1125" s="236"/>
      <c r="G1125" s="236"/>
      <c r="H1125" s="40">
        <f>SUM(Tabla132112410[[#This Row],[PRIMER TRIMESTRE]:[CUARTO TRIMESTRE]])</f>
        <v>0</v>
      </c>
      <c r="I1125" s="17">
        <v>10115</v>
      </c>
      <c r="J1125" s="17">
        <f>+Tabla132112410[[#This Row],[CANTIDAD TOTAL]]*Tabla132112410[[#This Row],[PRECIO UNITARIO ESTIMADO]]</f>
        <v>0</v>
      </c>
      <c r="K1125" s="17"/>
      <c r="L1125" s="73" t="s">
        <v>27</v>
      </c>
      <c r="M1125" s="16" t="s">
        <v>22</v>
      </c>
      <c r="N1125" s="39" t="s">
        <v>418</v>
      </c>
    </row>
    <row r="1126" spans="1:14" s="12" customFormat="1" ht="30.75" customHeight="1">
      <c r="A1126" s="178" t="s">
        <v>118</v>
      </c>
      <c r="B1126" s="75" t="s">
        <v>1322</v>
      </c>
      <c r="C1126" s="39" t="s">
        <v>17</v>
      </c>
      <c r="D1126" s="236"/>
      <c r="E1126" s="236"/>
      <c r="F1126" s="236"/>
      <c r="G1126" s="236"/>
      <c r="H1126" s="40">
        <f>SUM(Tabla132112410[[#This Row],[PRIMER TRIMESTRE]:[CUARTO TRIMESTRE]])</f>
        <v>0</v>
      </c>
      <c r="I1126" s="17">
        <f>+(5938.35+4838)/2</f>
        <v>5388.1750000000002</v>
      </c>
      <c r="J1126" s="17">
        <f>+Tabla132112410[[#This Row],[CANTIDAD TOTAL]]*Tabla132112410[[#This Row],[PRECIO UNITARIO ESTIMADO]]</f>
        <v>0</v>
      </c>
      <c r="K1126" s="17"/>
      <c r="L1126" s="73" t="s">
        <v>27</v>
      </c>
      <c r="M1126" s="16" t="s">
        <v>22</v>
      </c>
      <c r="N1126" s="39" t="s">
        <v>418</v>
      </c>
    </row>
    <row r="1127" spans="1:14" s="12" customFormat="1" ht="30.75" customHeight="1">
      <c r="A1127" s="178" t="s">
        <v>118</v>
      </c>
      <c r="B1127" s="75" t="s">
        <v>334</v>
      </c>
      <c r="C1127" s="39" t="s">
        <v>17</v>
      </c>
      <c r="D1127" s="236"/>
      <c r="E1127" s="236"/>
      <c r="F1127" s="236"/>
      <c r="G1127" s="236"/>
      <c r="H1127" s="40">
        <f>SUM(Tabla132112410[[#This Row],[PRIMER TRIMESTRE]:[CUARTO TRIMESTRE]])</f>
        <v>0</v>
      </c>
      <c r="I1127" s="17">
        <v>7080</v>
      </c>
      <c r="J1127" s="17">
        <f>+Tabla132112410[[#This Row],[CANTIDAD TOTAL]]*Tabla132112410[[#This Row],[PRECIO UNITARIO ESTIMADO]]</f>
        <v>0</v>
      </c>
      <c r="K1127" s="17"/>
      <c r="L1127" s="73" t="s">
        <v>27</v>
      </c>
      <c r="M1127" s="16" t="s">
        <v>22</v>
      </c>
      <c r="N1127" s="39" t="s">
        <v>418</v>
      </c>
    </row>
    <row r="1128" spans="1:14" s="12" customFormat="1" ht="30.75" customHeight="1">
      <c r="A1128" s="178" t="s">
        <v>118</v>
      </c>
      <c r="B1128" s="75" t="s">
        <v>340</v>
      </c>
      <c r="C1128" s="39" t="s">
        <v>17</v>
      </c>
      <c r="D1128" s="236"/>
      <c r="E1128" s="236"/>
      <c r="F1128" s="236"/>
      <c r="G1128" s="236"/>
      <c r="H1128" s="40">
        <f>SUM(Tabla132112410[[#This Row],[PRIMER TRIMESTRE]:[CUARTO TRIMESTRE]])</f>
        <v>0</v>
      </c>
      <c r="I1128" s="17">
        <v>13684.27</v>
      </c>
      <c r="J1128" s="17">
        <f>+Tabla132112410[[#This Row],[CANTIDAD TOTAL]]*Tabla132112410[[#This Row],[PRECIO UNITARIO ESTIMADO]]</f>
        <v>0</v>
      </c>
      <c r="K1128" s="17"/>
      <c r="L1128" s="73" t="s">
        <v>15</v>
      </c>
      <c r="M1128" s="16" t="s">
        <v>22</v>
      </c>
      <c r="N1128" s="39" t="s">
        <v>418</v>
      </c>
    </row>
    <row r="1129" spans="1:14" s="12" customFormat="1" ht="30.75" customHeight="1">
      <c r="A1129" s="178" t="s">
        <v>118</v>
      </c>
      <c r="B1129" s="75" t="s">
        <v>1138</v>
      </c>
      <c r="C1129" s="39" t="s">
        <v>1067</v>
      </c>
      <c r="D1129" s="236"/>
      <c r="E1129" s="236"/>
      <c r="F1129" s="236"/>
      <c r="G1129" s="236"/>
      <c r="H1129" s="40">
        <f>SUM(Tabla132112410[[#This Row],[PRIMER TRIMESTRE]:[CUARTO TRIMESTRE]])</f>
        <v>0</v>
      </c>
      <c r="I1129" s="17">
        <v>3000</v>
      </c>
      <c r="J1129" s="17">
        <f>+H1129*I1129</f>
        <v>0</v>
      </c>
      <c r="K1129" s="17"/>
      <c r="L1129" s="73" t="s">
        <v>15</v>
      </c>
      <c r="M1129" s="16" t="s">
        <v>22</v>
      </c>
      <c r="N1129" s="39" t="s">
        <v>418</v>
      </c>
    </row>
    <row r="1130" spans="1:14" s="12" customFormat="1" ht="30.75" customHeight="1">
      <c r="A1130" s="178" t="s">
        <v>118</v>
      </c>
      <c r="B1130" s="75" t="s">
        <v>245</v>
      </c>
      <c r="C1130" s="39" t="s">
        <v>17</v>
      </c>
      <c r="D1130" s="236"/>
      <c r="E1130" s="236"/>
      <c r="F1130" s="236"/>
      <c r="G1130" s="236"/>
      <c r="H1130" s="40">
        <f>SUM(Tabla132112410[[#This Row],[PRIMER TRIMESTRE]:[CUARTO TRIMESTRE]])</f>
        <v>0</v>
      </c>
      <c r="I1130" s="17">
        <v>10788</v>
      </c>
      <c r="J1130" s="17">
        <f>+Tabla132112410[[#This Row],[CANTIDAD TOTAL]]*Tabla132112410[[#This Row],[PRECIO UNITARIO ESTIMADO]]</f>
        <v>0</v>
      </c>
      <c r="K1130" s="17"/>
      <c r="L1130" s="73" t="s">
        <v>15</v>
      </c>
      <c r="M1130" s="16" t="s">
        <v>22</v>
      </c>
      <c r="N1130" s="39" t="s">
        <v>418</v>
      </c>
    </row>
    <row r="1131" spans="1:14" s="12" customFormat="1" ht="30.75" customHeight="1">
      <c r="A1131" s="178" t="s">
        <v>118</v>
      </c>
      <c r="B1131" s="75" t="s">
        <v>246</v>
      </c>
      <c r="C1131" s="39" t="s">
        <v>17</v>
      </c>
      <c r="D1131" s="236"/>
      <c r="E1131" s="236"/>
      <c r="F1131" s="236"/>
      <c r="G1131" s="236"/>
      <c r="H1131" s="40">
        <f>SUM(Tabla132112410[[#This Row],[PRIMER TRIMESTRE]:[CUARTO TRIMESTRE]])</f>
        <v>0</v>
      </c>
      <c r="I1131" s="17">
        <v>2467.71</v>
      </c>
      <c r="J1131" s="17">
        <f>+Tabla132112410[[#This Row],[CANTIDAD TOTAL]]*Tabla132112410[[#This Row],[PRECIO UNITARIO ESTIMADO]]</f>
        <v>0</v>
      </c>
      <c r="K1131" s="17"/>
      <c r="L1131" s="73" t="s">
        <v>27</v>
      </c>
      <c r="M1131" s="16" t="s">
        <v>22</v>
      </c>
      <c r="N1131" s="39" t="s">
        <v>418</v>
      </c>
    </row>
    <row r="1132" spans="1:14" s="12" customFormat="1" ht="30.75" customHeight="1">
      <c r="A1132" s="178" t="s">
        <v>118</v>
      </c>
      <c r="B1132" s="75" t="s">
        <v>247</v>
      </c>
      <c r="C1132" s="39" t="s">
        <v>17</v>
      </c>
      <c r="D1132" s="236"/>
      <c r="E1132" s="236"/>
      <c r="F1132" s="236"/>
      <c r="G1132" s="236"/>
      <c r="H1132" s="40">
        <f>SUM(Tabla132112410[[#This Row],[PRIMER TRIMESTRE]:[CUARTO TRIMESTRE]])</f>
        <v>0</v>
      </c>
      <c r="I1132" s="17">
        <v>14434.48</v>
      </c>
      <c r="J1132" s="17">
        <f>+Tabla132112410[[#This Row],[CANTIDAD TOTAL]]*Tabla132112410[[#This Row],[PRECIO UNITARIO ESTIMADO]]</f>
        <v>0</v>
      </c>
      <c r="K1132" s="17"/>
      <c r="L1132" s="73" t="s">
        <v>15</v>
      </c>
      <c r="M1132" s="16" t="s">
        <v>22</v>
      </c>
      <c r="N1132" s="39" t="s">
        <v>418</v>
      </c>
    </row>
    <row r="1133" spans="1:14" s="12" customFormat="1" ht="30.75" customHeight="1">
      <c r="A1133" s="178" t="s">
        <v>118</v>
      </c>
      <c r="B1133" s="75" t="s">
        <v>1604</v>
      </c>
      <c r="C1133" s="39" t="s">
        <v>17</v>
      </c>
      <c r="D1133" s="236"/>
      <c r="E1133" s="236"/>
      <c r="F1133" s="236"/>
      <c r="G1133" s="236"/>
      <c r="H1133" s="40">
        <f>SUM(Tabla132112410[[#This Row],[PRIMER TRIMESTRE]:[CUARTO TRIMESTRE]])</f>
        <v>0</v>
      </c>
      <c r="I1133" s="17">
        <v>4800</v>
      </c>
      <c r="J1133" s="17">
        <f>+H1133*I1133</f>
        <v>0</v>
      </c>
      <c r="K1133" s="17"/>
      <c r="L1133" s="73" t="s">
        <v>27</v>
      </c>
      <c r="M1133" s="16" t="s">
        <v>22</v>
      </c>
      <c r="N1133" s="39" t="s">
        <v>418</v>
      </c>
    </row>
    <row r="1134" spans="1:14" s="12" customFormat="1" ht="30.75" customHeight="1">
      <c r="A1134" s="178" t="s">
        <v>118</v>
      </c>
      <c r="B1134" s="75" t="s">
        <v>339</v>
      </c>
      <c r="C1134" s="39" t="s">
        <v>17</v>
      </c>
      <c r="D1134" s="236"/>
      <c r="E1134" s="236"/>
      <c r="F1134" s="236"/>
      <c r="G1134" s="236"/>
      <c r="H1134" s="40">
        <f>SUM(Tabla132112410[[#This Row],[PRIMER TRIMESTRE]:[CUARTO TRIMESTRE]])</f>
        <v>0</v>
      </c>
      <c r="I1134" s="17">
        <f>115079.5/24</f>
        <v>4794.979166666667</v>
      </c>
      <c r="J1134" s="17">
        <f>+Tabla132112410[[#This Row],[CANTIDAD TOTAL]]*Tabla132112410[[#This Row],[PRECIO UNITARIO ESTIMADO]]</f>
        <v>0</v>
      </c>
      <c r="K1134" s="17"/>
      <c r="L1134" s="73" t="s">
        <v>15</v>
      </c>
      <c r="M1134" s="16" t="s">
        <v>22</v>
      </c>
      <c r="N1134" s="39" t="s">
        <v>418</v>
      </c>
    </row>
    <row r="1135" spans="1:14" s="12" customFormat="1" ht="30.75" customHeight="1">
      <c r="A1135" s="178" t="s">
        <v>118</v>
      </c>
      <c r="B1135" s="75" t="s">
        <v>248</v>
      </c>
      <c r="C1135" s="39" t="s">
        <v>17</v>
      </c>
      <c r="D1135" s="236"/>
      <c r="E1135" s="236"/>
      <c r="F1135" s="236"/>
      <c r="G1135" s="236"/>
      <c r="H1135" s="40">
        <f>SUM(Tabla132112410[[#This Row],[PRIMER TRIMESTRE]:[CUARTO TRIMESTRE]])</f>
        <v>0</v>
      </c>
      <c r="I1135" s="17">
        <v>2262</v>
      </c>
      <c r="J1135" s="17">
        <f>+Tabla132112410[[#This Row],[CANTIDAD TOTAL]]*Tabla132112410[[#This Row],[PRECIO UNITARIO ESTIMADO]]</f>
        <v>0</v>
      </c>
      <c r="K1135" s="17"/>
      <c r="L1135" s="73" t="s">
        <v>15</v>
      </c>
      <c r="M1135" s="16" t="s">
        <v>22</v>
      </c>
      <c r="N1135" s="39" t="s">
        <v>418</v>
      </c>
    </row>
    <row r="1136" spans="1:14" s="12" customFormat="1" ht="30.75" customHeight="1">
      <c r="A1136" s="178" t="s">
        <v>118</v>
      </c>
      <c r="B1136" s="75" t="s">
        <v>249</v>
      </c>
      <c r="C1136" s="39" t="s">
        <v>17</v>
      </c>
      <c r="D1136" s="236">
        <v>18</v>
      </c>
      <c r="E1136" s="236">
        <v>2</v>
      </c>
      <c r="F1136" s="236">
        <v>2</v>
      </c>
      <c r="G1136" s="236">
        <v>2</v>
      </c>
      <c r="H1136" s="40">
        <f>SUM(Tabla132112410[[#This Row],[PRIMER TRIMESTRE]:[CUARTO TRIMESTRE]])</f>
        <v>24</v>
      </c>
      <c r="I1136" s="17">
        <v>3250</v>
      </c>
      <c r="J1136" s="17">
        <f>+Tabla132112410[[#This Row],[CANTIDAD TOTAL]]*Tabla132112410[[#This Row],[PRECIO UNITARIO ESTIMADO]]</f>
        <v>78000</v>
      </c>
      <c r="K1136" s="17"/>
      <c r="L1136" s="73" t="s">
        <v>27</v>
      </c>
      <c r="M1136" s="16" t="s">
        <v>22</v>
      </c>
      <c r="N1136" s="39" t="s">
        <v>418</v>
      </c>
    </row>
    <row r="1137" spans="1:14" s="26" customFormat="1" ht="30.75" customHeight="1">
      <c r="A1137" s="178" t="s">
        <v>118</v>
      </c>
      <c r="B1137" s="75" t="s">
        <v>250</v>
      </c>
      <c r="C1137" s="39" t="s">
        <v>17</v>
      </c>
      <c r="D1137" s="236"/>
      <c r="E1137" s="236"/>
      <c r="F1137" s="236"/>
      <c r="G1137" s="236"/>
      <c r="H1137" s="40">
        <f>SUM(Tabla132112410[[#This Row],[PRIMER TRIMESTRE]:[CUARTO TRIMESTRE]])</f>
        <v>0</v>
      </c>
      <c r="I1137" s="17">
        <v>3959.88</v>
      </c>
      <c r="J1137" s="17">
        <f>+Tabla132112410[[#This Row],[CANTIDAD TOTAL]]*Tabla132112410[[#This Row],[PRECIO UNITARIO ESTIMADO]]</f>
        <v>0</v>
      </c>
      <c r="K1137" s="17"/>
      <c r="L1137" s="73" t="s">
        <v>27</v>
      </c>
      <c r="M1137" s="16" t="s">
        <v>22</v>
      </c>
      <c r="N1137" s="39" t="s">
        <v>418</v>
      </c>
    </row>
    <row r="1138" spans="1:14" s="12" customFormat="1" ht="30.75" customHeight="1">
      <c r="A1138" s="178" t="s">
        <v>118</v>
      </c>
      <c r="B1138" s="75" t="s">
        <v>323</v>
      </c>
      <c r="C1138" s="39" t="s">
        <v>17</v>
      </c>
      <c r="D1138" s="236"/>
      <c r="E1138" s="236"/>
      <c r="F1138" s="236"/>
      <c r="G1138" s="236"/>
      <c r="H1138" s="40">
        <f>SUM(Tabla132112410[[#This Row],[PRIMER TRIMESTRE]:[CUARTO TRIMESTRE]])</f>
        <v>0</v>
      </c>
      <c r="I1138" s="17">
        <f>16086.57/3</f>
        <v>5362.19</v>
      </c>
      <c r="J1138" s="17">
        <f>+Tabla132112410[[#This Row],[CANTIDAD TOTAL]]*Tabla132112410[[#This Row],[PRECIO UNITARIO ESTIMADO]]</f>
        <v>0</v>
      </c>
      <c r="K1138" s="17"/>
      <c r="L1138" s="73" t="s">
        <v>15</v>
      </c>
      <c r="M1138" s="16" t="s">
        <v>22</v>
      </c>
      <c r="N1138" s="39" t="s">
        <v>418</v>
      </c>
    </row>
    <row r="1139" spans="1:14" s="12" customFormat="1" ht="30.75" customHeight="1">
      <c r="A1139" s="179" t="s">
        <v>118</v>
      </c>
      <c r="B1139" s="76"/>
      <c r="C1139" s="42"/>
      <c r="D1139" s="237"/>
      <c r="E1139" s="237"/>
      <c r="F1139" s="237"/>
      <c r="G1139" s="237"/>
      <c r="H1139" s="43"/>
      <c r="I1139" s="24"/>
      <c r="J1139" s="24"/>
      <c r="K1139" s="25">
        <f>SUM(J1122:J1138)</f>
        <v>122447.2</v>
      </c>
      <c r="L1139" s="23"/>
      <c r="M1139" s="23"/>
      <c r="N1139" s="42"/>
    </row>
    <row r="1140" spans="1:14" s="12" customFormat="1" ht="30.75" customHeight="1">
      <c r="A1140" s="178" t="s">
        <v>119</v>
      </c>
      <c r="B1140" s="75" t="s">
        <v>341</v>
      </c>
      <c r="C1140" s="39" t="s">
        <v>17</v>
      </c>
      <c r="D1140" s="236"/>
      <c r="E1140" s="236"/>
      <c r="F1140" s="236"/>
      <c r="G1140" s="236"/>
      <c r="H1140" s="40">
        <f>SUM(Tabla132112410[[#This Row],[PRIMER TRIMESTRE]:[CUARTO TRIMESTRE]])</f>
        <v>0</v>
      </c>
      <c r="I1140" s="17">
        <f>2160.9+22288+501.5+6355.8+18041.9+5084.64+8389.8+3050.76+2466.06+1983.5+6203.28</f>
        <v>76526.14</v>
      </c>
      <c r="J1140" s="17">
        <f>+Tabla132112410[[#This Row],[CANTIDAD TOTAL]]*Tabla132112410[[#This Row],[PRECIO UNITARIO ESTIMADO]]</f>
        <v>0</v>
      </c>
      <c r="K1140" s="17"/>
      <c r="L1140" s="16" t="s">
        <v>15</v>
      </c>
      <c r="M1140" s="16" t="s">
        <v>22</v>
      </c>
      <c r="N1140" s="39" t="s">
        <v>418</v>
      </c>
    </row>
    <row r="1141" spans="1:14" s="12" customFormat="1" ht="30.75" customHeight="1">
      <c r="A1141" s="178" t="s">
        <v>119</v>
      </c>
      <c r="B1141" s="75" t="s">
        <v>252</v>
      </c>
      <c r="C1141" s="39" t="s">
        <v>17</v>
      </c>
      <c r="D1141" s="236"/>
      <c r="E1141" s="236"/>
      <c r="F1141" s="236"/>
      <c r="G1141" s="236"/>
      <c r="H1141" s="40">
        <f>SUM(Tabla132112410[[#This Row],[PRIMER TRIMESTRE]:[CUARTO TRIMESTRE]])</f>
        <v>0</v>
      </c>
      <c r="I1141" s="17">
        <v>26.45</v>
      </c>
      <c r="J1141" s="17">
        <f>+Tabla132112410[[#This Row],[CANTIDAD TOTAL]]*Tabla132112410[[#This Row],[PRECIO UNITARIO ESTIMADO]]</f>
        <v>0</v>
      </c>
      <c r="K1141" s="17"/>
      <c r="L1141" s="16" t="s">
        <v>15</v>
      </c>
      <c r="M1141" s="16" t="s">
        <v>22</v>
      </c>
      <c r="N1141" s="39" t="s">
        <v>418</v>
      </c>
    </row>
    <row r="1142" spans="1:14" s="12" customFormat="1" ht="30.75" customHeight="1">
      <c r="A1142" s="178" t="s">
        <v>119</v>
      </c>
      <c r="B1142" s="75" t="s">
        <v>1606</v>
      </c>
      <c r="C1142" s="39" t="s">
        <v>17</v>
      </c>
      <c r="D1142" s="236">
        <v>15</v>
      </c>
      <c r="E1142" s="236">
        <v>1</v>
      </c>
      <c r="F1142" s="236">
        <v>1</v>
      </c>
      <c r="G1142" s="236">
        <v>1</v>
      </c>
      <c r="H1142" s="40">
        <f>SUM(Tabla132112410[[#This Row],[PRIMER TRIMESTRE]:[CUARTO TRIMESTRE]])</f>
        <v>18</v>
      </c>
      <c r="I1142" s="17">
        <v>8000</v>
      </c>
      <c r="J1142" s="17">
        <f>+H1142*I1142</f>
        <v>144000</v>
      </c>
      <c r="K1142" s="17"/>
      <c r="L1142" s="16" t="s">
        <v>15</v>
      </c>
      <c r="M1142" s="16" t="s">
        <v>22</v>
      </c>
      <c r="N1142" s="39" t="s">
        <v>418</v>
      </c>
    </row>
    <row r="1143" spans="1:14" s="12" customFormat="1" ht="30.75" customHeight="1">
      <c r="A1143" s="178" t="s">
        <v>119</v>
      </c>
      <c r="B1143" s="75" t="s">
        <v>1605</v>
      </c>
      <c r="C1143" s="39" t="s">
        <v>17</v>
      </c>
      <c r="D1143" s="236"/>
      <c r="E1143" s="236"/>
      <c r="F1143" s="236"/>
      <c r="G1143" s="236"/>
      <c r="H1143" s="40">
        <f>SUM(Tabla132112410[[#This Row],[PRIMER TRIMESTRE]:[CUARTO TRIMESTRE]])</f>
        <v>0</v>
      </c>
      <c r="I1143" s="17">
        <v>12500</v>
      </c>
      <c r="J1143" s="17">
        <f>+H1143*I1143</f>
        <v>0</v>
      </c>
      <c r="K1143" s="17"/>
      <c r="L1143" s="16" t="s">
        <v>15</v>
      </c>
      <c r="M1143" s="16" t="s">
        <v>22</v>
      </c>
      <c r="N1143" s="39" t="s">
        <v>418</v>
      </c>
    </row>
    <row r="1144" spans="1:14" s="12" customFormat="1" ht="30.75" customHeight="1">
      <c r="A1144" s="178" t="s">
        <v>119</v>
      </c>
      <c r="B1144" s="75" t="s">
        <v>256</v>
      </c>
      <c r="C1144" s="39" t="s">
        <v>17</v>
      </c>
      <c r="D1144" s="236">
        <v>3</v>
      </c>
      <c r="E1144" s="236">
        <v>1</v>
      </c>
      <c r="F1144" s="236">
        <v>1</v>
      </c>
      <c r="G1144" s="236">
        <v>1</v>
      </c>
      <c r="H1144" s="40">
        <f>SUM(Tabla132112410[[#This Row],[PRIMER TRIMESTRE]:[CUARTO TRIMESTRE]])</f>
        <v>6</v>
      </c>
      <c r="I1144" s="17">
        <v>434.24</v>
      </c>
      <c r="J1144" s="17">
        <f>+Tabla132112410[[#This Row],[CANTIDAD TOTAL]]*Tabla132112410[[#This Row],[PRECIO UNITARIO ESTIMADO]]</f>
        <v>2605.44</v>
      </c>
      <c r="K1144" s="17"/>
      <c r="L1144" s="16" t="s">
        <v>15</v>
      </c>
      <c r="M1144" s="16" t="s">
        <v>22</v>
      </c>
      <c r="N1144" s="39" t="s">
        <v>418</v>
      </c>
    </row>
    <row r="1145" spans="1:14" s="26" customFormat="1" ht="30.75" customHeight="1">
      <c r="A1145" s="178" t="s">
        <v>119</v>
      </c>
      <c r="B1145" s="75" t="s">
        <v>324</v>
      </c>
      <c r="C1145" s="39" t="s">
        <v>17</v>
      </c>
      <c r="D1145" s="236"/>
      <c r="E1145" s="236"/>
      <c r="F1145" s="236"/>
      <c r="G1145" s="236"/>
      <c r="H1145" s="40">
        <f>SUM(Tabla132112410[[#This Row],[PRIMER TRIMESTRE]:[CUARTO TRIMESTRE]])</f>
        <v>0</v>
      </c>
      <c r="I1145" s="17">
        <f>3536.75/2</f>
        <v>1768.375</v>
      </c>
      <c r="J1145" s="17">
        <f>+Tabla132112410[[#This Row],[CANTIDAD TOTAL]]*Tabla132112410[[#This Row],[PRECIO UNITARIO ESTIMADO]]</f>
        <v>0</v>
      </c>
      <c r="K1145" s="17"/>
      <c r="L1145" s="16" t="s">
        <v>15</v>
      </c>
      <c r="M1145" s="16" t="s">
        <v>22</v>
      </c>
      <c r="N1145" s="39" t="s">
        <v>418</v>
      </c>
    </row>
    <row r="1146" spans="1:14" s="12" customFormat="1" ht="30.75" customHeight="1">
      <c r="A1146" s="178" t="s">
        <v>119</v>
      </c>
      <c r="B1146" s="75" t="s">
        <v>257</v>
      </c>
      <c r="C1146" s="39" t="s">
        <v>17</v>
      </c>
      <c r="D1146" s="236"/>
      <c r="E1146" s="236"/>
      <c r="F1146" s="236"/>
      <c r="G1146" s="236"/>
      <c r="H1146" s="40">
        <f>SUM(Tabla132112410[[#This Row],[PRIMER TRIMESTRE]:[CUARTO TRIMESTRE]])</f>
        <v>0</v>
      </c>
      <c r="I1146" s="17">
        <v>522</v>
      </c>
      <c r="J1146" s="17">
        <f>+Tabla132112410[[#This Row],[CANTIDAD TOTAL]]*Tabla132112410[[#This Row],[PRECIO UNITARIO ESTIMADO]]</f>
        <v>0</v>
      </c>
      <c r="K1146" s="17"/>
      <c r="L1146" s="16" t="s">
        <v>15</v>
      </c>
      <c r="M1146" s="16" t="s">
        <v>22</v>
      </c>
      <c r="N1146" s="39" t="s">
        <v>418</v>
      </c>
    </row>
    <row r="1147" spans="1:14" s="12" customFormat="1" ht="30.75" customHeight="1">
      <c r="A1147" s="179" t="s">
        <v>119</v>
      </c>
      <c r="B1147" s="76"/>
      <c r="C1147" s="42"/>
      <c r="D1147" s="237"/>
      <c r="E1147" s="237"/>
      <c r="F1147" s="237"/>
      <c r="G1147" s="237"/>
      <c r="H1147" s="43"/>
      <c r="I1147" s="24"/>
      <c r="J1147" s="24"/>
      <c r="K1147" s="25">
        <f>SUM(J1140:J1146)</f>
        <v>146605.44</v>
      </c>
      <c r="L1147" s="23"/>
      <c r="M1147" s="23"/>
      <c r="N1147" s="42"/>
    </row>
    <row r="1148" spans="1:14" s="12" customFormat="1" ht="18">
      <c r="A1148" s="178" t="s">
        <v>120</v>
      </c>
      <c r="B1148" s="75" t="s">
        <v>392</v>
      </c>
      <c r="C1148" s="39" t="s">
        <v>208</v>
      </c>
      <c r="D1148" s="236">
        <v>25</v>
      </c>
      <c r="E1148" s="236">
        <v>17</v>
      </c>
      <c r="F1148" s="236">
        <v>15</v>
      </c>
      <c r="G1148" s="236">
        <v>15</v>
      </c>
      <c r="H1148" s="41">
        <f>SUM(Tabla132112410[[#This Row],[PRIMER TRIMESTRE]:[CUARTO TRIMESTRE]])</f>
        <v>72</v>
      </c>
      <c r="I1148" s="17">
        <v>48.12</v>
      </c>
      <c r="J1148" s="17">
        <f>+H1148*I1148</f>
        <v>3464.64</v>
      </c>
      <c r="K1148" s="17"/>
      <c r="L1148" s="16" t="s">
        <v>18</v>
      </c>
      <c r="M1148" s="16" t="s">
        <v>22</v>
      </c>
      <c r="N1148" s="39" t="s">
        <v>418</v>
      </c>
    </row>
    <row r="1149" spans="1:14" s="12" customFormat="1" ht="18">
      <c r="A1149" s="178" t="s">
        <v>120</v>
      </c>
      <c r="B1149" s="75" t="s">
        <v>393</v>
      </c>
      <c r="C1149" s="39" t="s">
        <v>208</v>
      </c>
      <c r="D1149" s="236">
        <v>12</v>
      </c>
      <c r="E1149" s="236">
        <v>10</v>
      </c>
      <c r="F1149" s="236">
        <v>10</v>
      </c>
      <c r="G1149" s="236">
        <v>10</v>
      </c>
      <c r="H1149" s="41">
        <f>SUM(Tabla132112410[[#This Row],[PRIMER TRIMESTRE]:[CUARTO TRIMESTRE]])</f>
        <v>42</v>
      </c>
      <c r="I1149" s="17">
        <v>41.28</v>
      </c>
      <c r="J1149" s="17">
        <f>+H1149*I1149</f>
        <v>1733.76</v>
      </c>
      <c r="K1149" s="17"/>
      <c r="L1149" s="16" t="s">
        <v>18</v>
      </c>
      <c r="M1149" s="16" t="s">
        <v>22</v>
      </c>
      <c r="N1149" s="39" t="s">
        <v>418</v>
      </c>
    </row>
    <row r="1150" spans="1:14" s="12" customFormat="1" ht="18">
      <c r="A1150" s="178" t="s">
        <v>120</v>
      </c>
      <c r="B1150" s="75" t="s">
        <v>743</v>
      </c>
      <c r="C1150" s="39" t="s">
        <v>208</v>
      </c>
      <c r="D1150" s="236">
        <v>12</v>
      </c>
      <c r="E1150" s="236">
        <v>10</v>
      </c>
      <c r="F1150" s="236">
        <v>10</v>
      </c>
      <c r="G1150" s="236">
        <v>10</v>
      </c>
      <c r="H1150" s="41">
        <f>SUM(Tabla132112410[[#This Row],[PRIMER TRIMESTRE]:[CUARTO TRIMESTRE]])</f>
        <v>42</v>
      </c>
      <c r="I1150" s="17">
        <f>4.42*12</f>
        <v>53.04</v>
      </c>
      <c r="J1150" s="17">
        <f>+H1150*I1150</f>
        <v>2227.6799999999998</v>
      </c>
      <c r="K1150" s="17"/>
      <c r="L1150" s="16" t="s">
        <v>18</v>
      </c>
      <c r="M1150" s="16" t="s">
        <v>22</v>
      </c>
      <c r="N1150" s="39" t="s">
        <v>418</v>
      </c>
    </row>
    <row r="1151" spans="1:14" s="12" customFormat="1" ht="18">
      <c r="A1151" s="178" t="s">
        <v>120</v>
      </c>
      <c r="B1151" s="75" t="s">
        <v>398</v>
      </c>
      <c r="C1151" s="39" t="s">
        <v>208</v>
      </c>
      <c r="D1151" s="236">
        <v>16</v>
      </c>
      <c r="E1151" s="236">
        <v>10</v>
      </c>
      <c r="F1151" s="236">
        <v>10</v>
      </c>
      <c r="G1151" s="236">
        <v>10</v>
      </c>
      <c r="H1151" s="41">
        <f>SUM(Tabla132112410[[#This Row],[PRIMER TRIMESTRE]:[CUARTO TRIMESTRE]])</f>
        <v>46</v>
      </c>
      <c r="I1151" s="17">
        <v>22.42</v>
      </c>
      <c r="J1151" s="17">
        <f>+H1151*I1151</f>
        <v>1031.3200000000002</v>
      </c>
      <c r="K1151" s="17"/>
      <c r="L1151" s="16" t="s">
        <v>18</v>
      </c>
      <c r="M1151" s="16" t="s">
        <v>22</v>
      </c>
      <c r="N1151" s="39" t="s">
        <v>418</v>
      </c>
    </row>
    <row r="1152" spans="1:14" s="12" customFormat="1" ht="18">
      <c r="A1152" s="178" t="s">
        <v>120</v>
      </c>
      <c r="B1152" s="75" t="s">
        <v>253</v>
      </c>
      <c r="C1152" s="39" t="s">
        <v>208</v>
      </c>
      <c r="D1152" s="236">
        <v>4</v>
      </c>
      <c r="E1152" s="236">
        <v>2</v>
      </c>
      <c r="F1152" s="236">
        <v>2</v>
      </c>
      <c r="G1152" s="236">
        <v>2</v>
      </c>
      <c r="H1152" s="40">
        <f>SUM(Tabla132112410[[#This Row],[PRIMER TRIMESTRE]:[CUARTO TRIMESTRE]])</f>
        <v>10</v>
      </c>
      <c r="I1152" s="17">
        <v>52.28</v>
      </c>
      <c r="J1152" s="17">
        <f>+Tabla132112410[[#This Row],[CANTIDAD TOTAL]]*Tabla132112410[[#This Row],[PRECIO UNITARIO ESTIMADO]]</f>
        <v>522.79999999999995</v>
      </c>
      <c r="K1152" s="17"/>
      <c r="L1152" s="16" t="s">
        <v>18</v>
      </c>
      <c r="M1152" s="16" t="s">
        <v>22</v>
      </c>
      <c r="N1152" s="39" t="s">
        <v>418</v>
      </c>
    </row>
    <row r="1153" spans="1:14" s="169" customFormat="1" ht="18">
      <c r="A1153" s="178" t="s">
        <v>120</v>
      </c>
      <c r="B1153" s="75" t="s">
        <v>402</v>
      </c>
      <c r="C1153" s="39" t="s">
        <v>17</v>
      </c>
      <c r="D1153" s="236">
        <v>15</v>
      </c>
      <c r="E1153" s="236">
        <v>7</v>
      </c>
      <c r="F1153" s="236">
        <v>5</v>
      </c>
      <c r="G1153" s="236">
        <v>5</v>
      </c>
      <c r="H1153" s="40">
        <f>SUM(Tabla132112410[[#This Row],[PRIMER TRIMESTRE]:[CUARTO TRIMESTRE]])</f>
        <v>32</v>
      </c>
      <c r="I1153" s="17">
        <v>182.9</v>
      </c>
      <c r="J1153" s="17">
        <f>+H1153*I1153</f>
        <v>5852.8</v>
      </c>
      <c r="K1153" s="17"/>
      <c r="L1153" s="16" t="s">
        <v>18</v>
      </c>
      <c r="M1153" s="16" t="s">
        <v>22</v>
      </c>
      <c r="N1153" s="39" t="s">
        <v>418</v>
      </c>
    </row>
    <row r="1154" spans="1:14" s="169" customFormat="1" ht="18">
      <c r="A1154" s="15"/>
      <c r="B1154" s="75" t="s">
        <v>2021</v>
      </c>
      <c r="C1154" s="39" t="s">
        <v>17</v>
      </c>
      <c r="D1154" s="236">
        <v>1</v>
      </c>
      <c r="E1154" s="236"/>
      <c r="F1154" s="236">
        <v>1</v>
      </c>
      <c r="G1154" s="236">
        <v>1</v>
      </c>
      <c r="H1154" s="40">
        <f>SUM(Tabla132112410[[#This Row],[PRIMER TRIMESTRE]:[CUARTO TRIMESTRE]])</f>
        <v>3</v>
      </c>
      <c r="I1154" s="21">
        <v>350</v>
      </c>
      <c r="J1154" s="17">
        <f>+H1154*I1154</f>
        <v>1050</v>
      </c>
      <c r="K1154" s="17"/>
      <c r="L1154" s="16"/>
      <c r="M1154" s="16"/>
      <c r="N1154" s="39"/>
    </row>
    <row r="1155" spans="1:14" s="12" customFormat="1" ht="18">
      <c r="A1155" s="178" t="s">
        <v>120</v>
      </c>
      <c r="B1155" s="75" t="s">
        <v>260</v>
      </c>
      <c r="C1155" s="39" t="s">
        <v>17</v>
      </c>
      <c r="D1155" s="236">
        <v>5</v>
      </c>
      <c r="E1155" s="236">
        <v>5</v>
      </c>
      <c r="F1155" s="236">
        <v>5</v>
      </c>
      <c r="G1155" s="236">
        <v>5</v>
      </c>
      <c r="H1155" s="40">
        <f>SUM(Tabla132112410[[#This Row],[PRIMER TRIMESTRE]:[CUARTO TRIMESTRE]])</f>
        <v>20</v>
      </c>
      <c r="I1155" s="17">
        <v>29.28</v>
      </c>
      <c r="J1155" s="17">
        <f>+Tabla132112410[[#This Row],[CANTIDAD TOTAL]]*Tabla132112410[[#This Row],[PRECIO UNITARIO ESTIMADO]]</f>
        <v>585.6</v>
      </c>
      <c r="K1155" s="17"/>
      <c r="L1155" s="16" t="s">
        <v>18</v>
      </c>
      <c r="M1155" s="16" t="s">
        <v>22</v>
      </c>
      <c r="N1155" s="39" t="s">
        <v>418</v>
      </c>
    </row>
    <row r="1156" spans="1:14" s="169" customFormat="1" ht="18">
      <c r="A1156" s="180" t="s">
        <v>120</v>
      </c>
      <c r="B1156" s="75" t="s">
        <v>239</v>
      </c>
      <c r="C1156" s="70" t="s">
        <v>208</v>
      </c>
      <c r="D1156" s="415"/>
      <c r="E1156" s="210"/>
      <c r="F1156" s="210"/>
      <c r="G1156" s="210"/>
      <c r="H1156" s="406">
        <f>SUM(Tabla132112410[[#This Row],[PRIMER TRIMESTRE]:[CUARTO TRIMESTRE]])</f>
        <v>0</v>
      </c>
      <c r="I1156" s="72">
        <v>232</v>
      </c>
      <c r="J1156" s="72">
        <f>+Tabla132112410[[#This Row],[CANTIDAD TOTAL]]*Tabla132112410[[#This Row],[PRECIO UNITARIO ESTIMADO]]</f>
        <v>0</v>
      </c>
      <c r="K1156" s="72"/>
      <c r="L1156" s="16" t="s">
        <v>18</v>
      </c>
      <c r="M1156" s="73" t="s">
        <v>22</v>
      </c>
      <c r="N1156" s="70" t="s">
        <v>418</v>
      </c>
    </row>
    <row r="1157" spans="1:14" s="12" customFormat="1" ht="18">
      <c r="A1157" s="178" t="s">
        <v>120</v>
      </c>
      <c r="B1157" s="75" t="s">
        <v>414</v>
      </c>
      <c r="C1157" s="39" t="s">
        <v>417</v>
      </c>
      <c r="D1157" s="236"/>
      <c r="E1157" s="236"/>
      <c r="F1157" s="236"/>
      <c r="G1157" s="236"/>
      <c r="H1157" s="41">
        <f>SUM(Tabla132112410[[#This Row],[PRIMER TRIMESTRE]:[CUARTO TRIMESTRE]])</f>
        <v>0</v>
      </c>
      <c r="I1157" s="17">
        <v>13.57</v>
      </c>
      <c r="J1157" s="17">
        <f>+H1157*I1157</f>
        <v>0</v>
      </c>
      <c r="K1157" s="17"/>
      <c r="L1157" s="16" t="s">
        <v>18</v>
      </c>
      <c r="M1157" s="16" t="s">
        <v>22</v>
      </c>
      <c r="N1157" s="39" t="s">
        <v>418</v>
      </c>
    </row>
    <row r="1158" spans="1:14" s="12" customFormat="1" ht="18">
      <c r="A1158" s="180" t="s">
        <v>120</v>
      </c>
      <c r="B1158" s="75" t="s">
        <v>240</v>
      </c>
      <c r="C1158" s="70" t="s">
        <v>208</v>
      </c>
      <c r="D1158" s="415"/>
      <c r="E1158" s="210"/>
      <c r="F1158" s="210"/>
      <c r="G1158" s="210"/>
      <c r="H1158" s="406">
        <f>SUM(Tabla132112410[[#This Row],[PRIMER TRIMESTRE]:[CUARTO TRIMESTRE]])</f>
        <v>0</v>
      </c>
      <c r="I1158" s="72">
        <v>5341.57</v>
      </c>
      <c r="J1158" s="72">
        <f>+Tabla132112410[[#This Row],[CANTIDAD TOTAL]]*Tabla132112410[[#This Row],[PRECIO UNITARIO ESTIMADO]]</f>
        <v>0</v>
      </c>
      <c r="K1158" s="72"/>
      <c r="L1158" s="16" t="s">
        <v>18</v>
      </c>
      <c r="M1158" s="73" t="s">
        <v>22</v>
      </c>
      <c r="N1158" s="70" t="s">
        <v>418</v>
      </c>
    </row>
    <row r="1159" spans="1:14" s="12" customFormat="1" ht="18">
      <c r="A1159" s="178" t="s">
        <v>120</v>
      </c>
      <c r="B1159" s="75" t="s">
        <v>748</v>
      </c>
      <c r="C1159" s="39" t="s">
        <v>17</v>
      </c>
      <c r="D1159" s="236">
        <v>6</v>
      </c>
      <c r="E1159" s="236">
        <v>2</v>
      </c>
      <c r="F1159" s="236">
        <v>2</v>
      </c>
      <c r="G1159" s="236">
        <v>2</v>
      </c>
      <c r="H1159" s="41">
        <f>SUM(Tabla132112410[[#This Row],[PRIMER TRIMESTRE]:[CUARTO TRIMESTRE]])</f>
        <v>12</v>
      </c>
      <c r="I1159" s="17">
        <v>463.74</v>
      </c>
      <c r="J1159" s="17">
        <f>+H1159*I1159</f>
        <v>5564.88</v>
      </c>
      <c r="K1159" s="17"/>
      <c r="L1159" s="16" t="s">
        <v>18</v>
      </c>
      <c r="M1159" s="16" t="s">
        <v>22</v>
      </c>
      <c r="N1159" s="39" t="s">
        <v>418</v>
      </c>
    </row>
    <row r="1160" spans="1:14" s="12" customFormat="1" ht="18">
      <c r="A1160" s="178" t="s">
        <v>120</v>
      </c>
      <c r="B1160" s="75" t="s">
        <v>263</v>
      </c>
      <c r="C1160" s="39" t="s">
        <v>17</v>
      </c>
      <c r="D1160" s="236"/>
      <c r="E1160" s="236"/>
      <c r="F1160" s="236"/>
      <c r="G1160" s="236"/>
      <c r="H1160" s="41">
        <f>SUM(Tabla132112410[[#This Row],[PRIMER TRIMESTRE]:[CUARTO TRIMESTRE]])</f>
        <v>0</v>
      </c>
      <c r="I1160" s="17">
        <v>217.02</v>
      </c>
      <c r="J1160" s="17">
        <f>+Tabla132112410[[#This Row],[CANTIDAD TOTAL]]*Tabla132112410[[#This Row],[PRECIO UNITARIO ESTIMADO]]</f>
        <v>0</v>
      </c>
      <c r="K1160" s="17"/>
      <c r="L1160" s="16" t="s">
        <v>18</v>
      </c>
      <c r="M1160" s="16" t="s">
        <v>22</v>
      </c>
      <c r="N1160" s="39" t="s">
        <v>418</v>
      </c>
    </row>
    <row r="1161" spans="1:14" s="12" customFormat="1" ht="18">
      <c r="A1161" s="178" t="s">
        <v>120</v>
      </c>
      <c r="B1161" s="75" t="s">
        <v>749</v>
      </c>
      <c r="C1161" s="39" t="s">
        <v>17</v>
      </c>
      <c r="D1161" s="236"/>
      <c r="E1161" s="236"/>
      <c r="F1161" s="236"/>
      <c r="G1161" s="236"/>
      <c r="H1161" s="41">
        <f>SUM(Tabla132112410[[#This Row],[PRIMER TRIMESTRE]:[CUARTO TRIMESTRE]])</f>
        <v>0</v>
      </c>
      <c r="I1161" s="17">
        <v>186.44</v>
      </c>
      <c r="J1161" s="17">
        <f>+H1161*I1161</f>
        <v>0</v>
      </c>
      <c r="K1161" s="17"/>
      <c r="L1161" s="16" t="s">
        <v>18</v>
      </c>
      <c r="M1161" s="16" t="s">
        <v>22</v>
      </c>
      <c r="N1161" s="39" t="s">
        <v>418</v>
      </c>
    </row>
    <row r="1162" spans="1:14" s="12" customFormat="1" ht="18">
      <c r="A1162" s="178" t="s">
        <v>120</v>
      </c>
      <c r="B1162" s="75" t="s">
        <v>750</v>
      </c>
      <c r="C1162" s="39" t="s">
        <v>17</v>
      </c>
      <c r="D1162" s="236"/>
      <c r="E1162" s="236"/>
      <c r="F1162" s="236"/>
      <c r="G1162" s="236"/>
      <c r="H1162" s="41">
        <f>SUM(Tabla132112410[[#This Row],[PRIMER TRIMESTRE]:[CUARTO TRIMESTRE]])</f>
        <v>0</v>
      </c>
      <c r="I1162" s="17">
        <v>129.80000000000001</v>
      </c>
      <c r="J1162" s="17">
        <f>+H1162*I1162</f>
        <v>0</v>
      </c>
      <c r="K1162" s="17"/>
      <c r="L1162" s="16" t="s">
        <v>18</v>
      </c>
      <c r="M1162" s="16" t="s">
        <v>22</v>
      </c>
      <c r="N1162" s="39" t="s">
        <v>418</v>
      </c>
    </row>
    <row r="1163" spans="1:14" s="12" customFormat="1" ht="18">
      <c r="A1163" s="178" t="s">
        <v>120</v>
      </c>
      <c r="B1163" s="75" t="s">
        <v>403</v>
      </c>
      <c r="C1163" s="39" t="s">
        <v>416</v>
      </c>
      <c r="D1163" s="236">
        <v>5</v>
      </c>
      <c r="E1163" s="236">
        <v>5</v>
      </c>
      <c r="F1163" s="236">
        <v>5</v>
      </c>
      <c r="G1163" s="236">
        <v>5</v>
      </c>
      <c r="H1163" s="41">
        <f>SUM(Tabla132112410[[#This Row],[PRIMER TRIMESTRE]:[CUARTO TRIMESTRE]])</f>
        <v>20</v>
      </c>
      <c r="I1163" s="17">
        <v>75</v>
      </c>
      <c r="J1163" s="17">
        <f>+H1163*I1163</f>
        <v>1500</v>
      </c>
      <c r="K1163" s="17"/>
      <c r="L1163" s="16" t="s">
        <v>18</v>
      </c>
      <c r="M1163" s="16" t="s">
        <v>22</v>
      </c>
      <c r="N1163" s="39" t="s">
        <v>418</v>
      </c>
    </row>
    <row r="1164" spans="1:14" s="12" customFormat="1" ht="18">
      <c r="A1164" s="178" t="s">
        <v>120</v>
      </c>
      <c r="B1164" s="75" t="s">
        <v>744</v>
      </c>
      <c r="C1164" s="39" t="s">
        <v>17</v>
      </c>
      <c r="D1164" s="236"/>
      <c r="E1164" s="236"/>
      <c r="F1164" s="236"/>
      <c r="G1164" s="236"/>
      <c r="H1164" s="41">
        <f>SUM(Tabla132112410[[#This Row],[PRIMER TRIMESTRE]:[CUARTO TRIMESTRE]])</f>
        <v>0</v>
      </c>
      <c r="I1164" s="17">
        <v>43.66</v>
      </c>
      <c r="J1164" s="17">
        <f>+H1164*I1164</f>
        <v>0</v>
      </c>
      <c r="K1164" s="17"/>
      <c r="L1164" s="16" t="s">
        <v>18</v>
      </c>
      <c r="M1164" s="16" t="s">
        <v>22</v>
      </c>
      <c r="N1164" s="39" t="s">
        <v>418</v>
      </c>
    </row>
    <row r="1165" spans="1:14" s="12" customFormat="1" ht="18">
      <c r="A1165" s="178" t="s">
        <v>120</v>
      </c>
      <c r="B1165" s="75" t="s">
        <v>264</v>
      </c>
      <c r="C1165" s="39" t="s">
        <v>17</v>
      </c>
      <c r="D1165" s="236"/>
      <c r="E1165" s="236"/>
      <c r="F1165" s="236"/>
      <c r="G1165" s="236"/>
      <c r="H1165" s="41">
        <f>SUM(Tabla132112410[[#This Row],[PRIMER TRIMESTRE]:[CUARTO TRIMESTRE]])</f>
        <v>0</v>
      </c>
      <c r="I1165" s="17">
        <v>185</v>
      </c>
      <c r="J1165" s="17">
        <f>+Tabla132112410[[#This Row],[CANTIDAD TOTAL]]*Tabla132112410[[#This Row],[PRECIO UNITARIO ESTIMADO]]</f>
        <v>0</v>
      </c>
      <c r="K1165" s="17"/>
      <c r="L1165" s="16" t="s">
        <v>18</v>
      </c>
      <c r="M1165" s="16" t="s">
        <v>22</v>
      </c>
      <c r="N1165" s="39" t="s">
        <v>418</v>
      </c>
    </row>
    <row r="1166" spans="1:14" s="12" customFormat="1" ht="18">
      <c r="A1166" s="178" t="s">
        <v>120</v>
      </c>
      <c r="B1166" s="75" t="s">
        <v>745</v>
      </c>
      <c r="C1166" s="39" t="s">
        <v>208</v>
      </c>
      <c r="D1166" s="236">
        <v>4</v>
      </c>
      <c r="E1166" s="236">
        <v>2</v>
      </c>
      <c r="F1166" s="236">
        <v>2</v>
      </c>
      <c r="G1166" s="236">
        <v>2</v>
      </c>
      <c r="H1166" s="41">
        <f>SUM(Tabla132112410[[#This Row],[PRIMER TRIMESTRE]:[CUARTO TRIMESTRE]])</f>
        <v>10</v>
      </c>
      <c r="I1166" s="17">
        <v>43.66</v>
      </c>
      <c r="J1166" s="17">
        <f t="shared" ref="J1166:J1184" si="29">+H1166*I1166</f>
        <v>436.59999999999997</v>
      </c>
      <c r="K1166" s="17"/>
      <c r="L1166" s="16" t="s">
        <v>18</v>
      </c>
      <c r="M1166" s="16" t="s">
        <v>22</v>
      </c>
      <c r="N1166" s="39" t="s">
        <v>418</v>
      </c>
    </row>
    <row r="1167" spans="1:14" s="12" customFormat="1" ht="18">
      <c r="A1167" s="178" t="s">
        <v>120</v>
      </c>
      <c r="B1167" s="75" t="s">
        <v>760</v>
      </c>
      <c r="C1167" s="39" t="s">
        <v>208</v>
      </c>
      <c r="D1167" s="236">
        <v>8</v>
      </c>
      <c r="E1167" s="236">
        <v>5</v>
      </c>
      <c r="F1167" s="236">
        <v>5</v>
      </c>
      <c r="G1167" s="236">
        <v>5</v>
      </c>
      <c r="H1167" s="41">
        <f>SUM(Tabla132112410[[#This Row],[PRIMER TRIMESTRE]:[CUARTO TRIMESTRE]])</f>
        <v>23</v>
      </c>
      <c r="I1167" s="17">
        <v>43.66</v>
      </c>
      <c r="J1167" s="17">
        <f t="shared" si="29"/>
        <v>1004.18</v>
      </c>
      <c r="K1167" s="17"/>
      <c r="L1167" s="16" t="s">
        <v>18</v>
      </c>
      <c r="M1167" s="16" t="s">
        <v>22</v>
      </c>
      <c r="N1167" s="39" t="s">
        <v>418</v>
      </c>
    </row>
    <row r="1168" spans="1:14" s="12" customFormat="1" ht="18">
      <c r="A1168" s="178" t="s">
        <v>120</v>
      </c>
      <c r="B1168" s="75" t="s">
        <v>761</v>
      </c>
      <c r="C1168" s="39" t="s">
        <v>208</v>
      </c>
      <c r="D1168" s="236">
        <v>8</v>
      </c>
      <c r="E1168" s="236">
        <v>5</v>
      </c>
      <c r="F1168" s="236">
        <v>5</v>
      </c>
      <c r="G1168" s="236">
        <v>5</v>
      </c>
      <c r="H1168" s="41">
        <f>SUM(Tabla132112410[[#This Row],[PRIMER TRIMESTRE]:[CUARTO TRIMESTRE]])</f>
        <v>23</v>
      </c>
      <c r="I1168" s="17">
        <v>12.98</v>
      </c>
      <c r="J1168" s="17">
        <f t="shared" si="29"/>
        <v>298.54000000000002</v>
      </c>
      <c r="K1168" s="17"/>
      <c r="L1168" s="16" t="s">
        <v>18</v>
      </c>
      <c r="M1168" s="16" t="s">
        <v>22</v>
      </c>
      <c r="N1168" s="39" t="s">
        <v>418</v>
      </c>
    </row>
    <row r="1169" spans="1:14" s="12" customFormat="1" ht="25.5">
      <c r="A1169" s="178" t="s">
        <v>120</v>
      </c>
      <c r="B1169" s="75" t="s">
        <v>399</v>
      </c>
      <c r="C1169" s="39" t="s">
        <v>208</v>
      </c>
      <c r="D1169" s="236">
        <v>20</v>
      </c>
      <c r="E1169" s="236">
        <v>10</v>
      </c>
      <c r="F1169" s="236">
        <v>9</v>
      </c>
      <c r="G1169" s="236">
        <v>9</v>
      </c>
      <c r="H1169" s="41">
        <f>SUM(Tabla132112410[[#This Row],[PRIMER TRIMESTRE]:[CUARTO TRIMESTRE]])</f>
        <v>48</v>
      </c>
      <c r="I1169" s="17">
        <v>86.81</v>
      </c>
      <c r="J1169" s="17">
        <f t="shared" si="29"/>
        <v>4166.88</v>
      </c>
      <c r="K1169" s="17"/>
      <c r="L1169" s="16" t="s">
        <v>18</v>
      </c>
      <c r="M1169" s="16" t="s">
        <v>22</v>
      </c>
      <c r="N1169" s="39" t="s">
        <v>418</v>
      </c>
    </row>
    <row r="1170" spans="1:14" s="12" customFormat="1" ht="25.5">
      <c r="A1170" s="178" t="s">
        <v>120</v>
      </c>
      <c r="B1170" s="75" t="s">
        <v>400</v>
      </c>
      <c r="C1170" s="39" t="s">
        <v>208</v>
      </c>
      <c r="D1170" s="236">
        <v>20</v>
      </c>
      <c r="E1170" s="236">
        <v>10</v>
      </c>
      <c r="F1170" s="236">
        <v>9</v>
      </c>
      <c r="G1170" s="236">
        <v>9</v>
      </c>
      <c r="H1170" s="41">
        <f>SUM(Tabla132112410[[#This Row],[PRIMER TRIMESTRE]:[CUARTO TRIMESTRE]])</f>
        <v>48</v>
      </c>
      <c r="I1170" s="17">
        <v>25.4</v>
      </c>
      <c r="J1170" s="17">
        <f t="shared" si="29"/>
        <v>1219.1999999999998</v>
      </c>
      <c r="K1170" s="17"/>
      <c r="L1170" s="16" t="s">
        <v>18</v>
      </c>
      <c r="M1170" s="16" t="s">
        <v>22</v>
      </c>
      <c r="N1170" s="39" t="s">
        <v>418</v>
      </c>
    </row>
    <row r="1171" spans="1:14" s="12" customFormat="1" ht="25.5">
      <c r="A1171" s="15"/>
      <c r="B1171" s="75" t="s">
        <v>400</v>
      </c>
      <c r="C1171" s="39" t="s">
        <v>208</v>
      </c>
      <c r="D1171" s="236">
        <v>20</v>
      </c>
      <c r="E1171" s="236">
        <v>10</v>
      </c>
      <c r="F1171" s="236">
        <v>9</v>
      </c>
      <c r="G1171" s="236">
        <v>9</v>
      </c>
      <c r="H1171" s="41">
        <v>15</v>
      </c>
      <c r="I1171" s="17">
        <v>26.4</v>
      </c>
      <c r="J1171" s="17">
        <f t="shared" si="29"/>
        <v>396</v>
      </c>
      <c r="K1171" s="17"/>
      <c r="L1171" s="16"/>
      <c r="M1171" s="16"/>
      <c r="N1171" s="39"/>
    </row>
    <row r="1172" spans="1:14" s="12" customFormat="1" ht="25.5">
      <c r="A1172" s="178" t="s">
        <v>120</v>
      </c>
      <c r="B1172" s="75" t="s">
        <v>395</v>
      </c>
      <c r="C1172" s="39" t="s">
        <v>208</v>
      </c>
      <c r="D1172" s="236">
        <v>15</v>
      </c>
      <c r="E1172" s="236">
        <v>10</v>
      </c>
      <c r="F1172" s="236">
        <v>10</v>
      </c>
      <c r="G1172" s="236">
        <v>10</v>
      </c>
      <c r="H1172" s="41">
        <f>SUM(Tabla132112410[[#This Row],[PRIMER TRIMESTRE]:[CUARTO TRIMESTRE]])</f>
        <v>45</v>
      </c>
      <c r="I1172" s="17">
        <v>235.20000000000002</v>
      </c>
      <c r="J1172" s="17">
        <f t="shared" si="29"/>
        <v>10584</v>
      </c>
      <c r="K1172" s="17"/>
      <c r="L1172" s="16" t="s">
        <v>18</v>
      </c>
      <c r="M1172" s="16" t="s">
        <v>22</v>
      </c>
      <c r="N1172" s="39" t="s">
        <v>418</v>
      </c>
    </row>
    <row r="1173" spans="1:14" s="12" customFormat="1" ht="18">
      <c r="A1173" s="15"/>
      <c r="B1173" s="75" t="s">
        <v>2022</v>
      </c>
      <c r="C1173" s="39" t="s">
        <v>417</v>
      </c>
      <c r="D1173" s="236">
        <v>5</v>
      </c>
      <c r="E1173" s="236">
        <v>5</v>
      </c>
      <c r="F1173" s="236">
        <v>5</v>
      </c>
      <c r="G1173" s="236">
        <v>5</v>
      </c>
      <c r="H1173" s="41">
        <f>SUM(Tabla132112410[[#This Row],[PRIMER TRIMESTRE]:[CUARTO TRIMESTRE]])</f>
        <v>20</v>
      </c>
      <c r="I1173" s="17">
        <v>15</v>
      </c>
      <c r="J1173" s="17">
        <f t="shared" si="29"/>
        <v>300</v>
      </c>
      <c r="K1173" s="17"/>
      <c r="L1173" s="16"/>
      <c r="M1173" s="16"/>
      <c r="N1173" s="39"/>
    </row>
    <row r="1174" spans="1:14" s="12" customFormat="1" ht="18">
      <c r="A1174" s="178" t="s">
        <v>120</v>
      </c>
      <c r="B1174" s="75" t="s">
        <v>746</v>
      </c>
      <c r="C1174" s="39" t="s">
        <v>17</v>
      </c>
      <c r="D1174" s="236"/>
      <c r="E1174" s="236"/>
      <c r="F1174" s="236"/>
      <c r="G1174" s="236"/>
      <c r="H1174" s="41">
        <f>SUM(Tabla132112410[[#This Row],[PRIMER TRIMESTRE]:[CUARTO TRIMESTRE]])</f>
        <v>0</v>
      </c>
      <c r="I1174" s="17">
        <v>23.32</v>
      </c>
      <c r="J1174" s="17">
        <f t="shared" si="29"/>
        <v>0</v>
      </c>
      <c r="K1174" s="17"/>
      <c r="L1174" s="16" t="s">
        <v>18</v>
      </c>
      <c r="M1174" s="16" t="s">
        <v>22</v>
      </c>
      <c r="N1174" s="39" t="s">
        <v>418</v>
      </c>
    </row>
    <row r="1175" spans="1:14" s="12" customFormat="1" ht="18">
      <c r="A1175" s="178" t="s">
        <v>120</v>
      </c>
      <c r="B1175" s="75" t="s">
        <v>747</v>
      </c>
      <c r="C1175" s="39" t="s">
        <v>17</v>
      </c>
      <c r="D1175" s="236"/>
      <c r="E1175" s="236"/>
      <c r="F1175" s="236"/>
      <c r="G1175" s="236"/>
      <c r="H1175" s="41">
        <f>SUM(Tabla132112410[[#This Row],[PRIMER TRIMESTRE]:[CUARTO TRIMESTRE]])</f>
        <v>0</v>
      </c>
      <c r="I1175" s="17">
        <v>23.32</v>
      </c>
      <c r="J1175" s="17">
        <f t="shared" si="29"/>
        <v>0</v>
      </c>
      <c r="K1175" s="17"/>
      <c r="L1175" s="16" t="s">
        <v>18</v>
      </c>
      <c r="M1175" s="16" t="s">
        <v>22</v>
      </c>
      <c r="N1175" s="39" t="s">
        <v>418</v>
      </c>
    </row>
    <row r="1176" spans="1:14" s="12" customFormat="1" ht="18">
      <c r="A1176" s="178" t="s">
        <v>120</v>
      </c>
      <c r="B1176" s="75" t="s">
        <v>396</v>
      </c>
      <c r="C1176" s="39" t="s">
        <v>208</v>
      </c>
      <c r="D1176" s="236">
        <v>20</v>
      </c>
      <c r="E1176" s="236">
        <v>15</v>
      </c>
      <c r="F1176" s="236">
        <v>10</v>
      </c>
      <c r="G1176" s="236">
        <v>15</v>
      </c>
      <c r="H1176" s="41">
        <f>SUM(Tabla132112410[[#This Row],[PRIMER TRIMESTRE]:[CUARTO TRIMESTRE]])</f>
        <v>60</v>
      </c>
      <c r="I1176" s="17">
        <v>194.7</v>
      </c>
      <c r="J1176" s="17">
        <f t="shared" si="29"/>
        <v>11682</v>
      </c>
      <c r="K1176" s="17"/>
      <c r="L1176" s="16" t="s">
        <v>18</v>
      </c>
      <c r="M1176" s="16" t="s">
        <v>22</v>
      </c>
      <c r="N1176" s="39" t="s">
        <v>418</v>
      </c>
    </row>
    <row r="1177" spans="1:14" s="12" customFormat="1" ht="18">
      <c r="A1177" s="178" t="s">
        <v>120</v>
      </c>
      <c r="B1177" s="75" t="s">
        <v>397</v>
      </c>
      <c r="C1177" s="39" t="s">
        <v>208</v>
      </c>
      <c r="D1177" s="236">
        <v>15</v>
      </c>
      <c r="E1177" s="236">
        <v>10</v>
      </c>
      <c r="F1177" s="236">
        <v>10</v>
      </c>
      <c r="G1177" s="236">
        <v>7</v>
      </c>
      <c r="H1177" s="41">
        <f>SUM(Tabla132112410[[#This Row],[PRIMER TRIMESTRE]:[CUARTO TRIMESTRE]])</f>
        <v>42</v>
      </c>
      <c r="I1177" s="17">
        <v>309.14</v>
      </c>
      <c r="J1177" s="17">
        <f t="shared" si="29"/>
        <v>12983.88</v>
      </c>
      <c r="K1177" s="17"/>
      <c r="L1177" s="16" t="s">
        <v>18</v>
      </c>
      <c r="M1177" s="16" t="s">
        <v>22</v>
      </c>
      <c r="N1177" s="39" t="s">
        <v>418</v>
      </c>
    </row>
    <row r="1178" spans="1:14" s="12" customFormat="1" ht="25.5" customHeight="1">
      <c r="A1178" s="15"/>
      <c r="B1178" s="77" t="s">
        <v>2023</v>
      </c>
      <c r="C1178" s="39" t="s">
        <v>1067</v>
      </c>
      <c r="D1178" s="236">
        <v>4000</v>
      </c>
      <c r="E1178" s="236">
        <v>2000</v>
      </c>
      <c r="F1178" s="236">
        <v>2000</v>
      </c>
      <c r="G1178" s="236">
        <v>2000</v>
      </c>
      <c r="H1178" s="41">
        <f>SUM(Tabla132112410[[#This Row],[PRIMER TRIMESTRE]:[CUARTO TRIMESTRE]])</f>
        <v>10000</v>
      </c>
      <c r="I1178" s="21">
        <v>15</v>
      </c>
      <c r="J1178" s="17">
        <f t="shared" si="29"/>
        <v>150000</v>
      </c>
      <c r="K1178" s="17"/>
      <c r="L1178" s="16"/>
      <c r="M1178" s="16"/>
      <c r="N1178" s="39"/>
    </row>
    <row r="1179" spans="1:14" s="12" customFormat="1" ht="25.5">
      <c r="A1179" s="15"/>
      <c r="B1179" s="77" t="s">
        <v>2024</v>
      </c>
      <c r="C1179" s="39" t="s">
        <v>1067</v>
      </c>
      <c r="D1179" s="236">
        <v>4000</v>
      </c>
      <c r="E1179" s="236">
        <v>2000</v>
      </c>
      <c r="F1179" s="236">
        <v>2000</v>
      </c>
      <c r="G1179" s="236">
        <v>2000</v>
      </c>
      <c r="H1179" s="41">
        <f>SUM(Tabla132112410[[#This Row],[PRIMER TRIMESTRE]:[CUARTO TRIMESTRE]])</f>
        <v>10000</v>
      </c>
      <c r="I1179" s="21">
        <v>15</v>
      </c>
      <c r="J1179" s="17">
        <f t="shared" si="29"/>
        <v>150000</v>
      </c>
      <c r="K1179" s="17"/>
      <c r="L1179" s="16"/>
      <c r="M1179" s="16"/>
      <c r="N1179" s="39"/>
    </row>
    <row r="1180" spans="1:14" s="12" customFormat="1" ht="18">
      <c r="A1180" s="178" t="s">
        <v>120</v>
      </c>
      <c r="B1180" s="75" t="s">
        <v>404</v>
      </c>
      <c r="C1180" s="39" t="s">
        <v>255</v>
      </c>
      <c r="D1180" s="236">
        <v>120</v>
      </c>
      <c r="E1180" s="236">
        <v>120</v>
      </c>
      <c r="F1180" s="236">
        <v>120</v>
      </c>
      <c r="G1180" s="236">
        <v>100</v>
      </c>
      <c r="H1180" s="41">
        <f>SUM(Tabla132112410[[#This Row],[PRIMER TRIMESTRE]:[CUARTO TRIMESTRE]])</f>
        <v>460</v>
      </c>
      <c r="I1180" s="17">
        <v>29.5</v>
      </c>
      <c r="J1180" s="17">
        <f t="shared" si="29"/>
        <v>13570</v>
      </c>
      <c r="K1180" s="17"/>
      <c r="L1180" s="16" t="s">
        <v>18</v>
      </c>
      <c r="M1180" s="16" t="s">
        <v>22</v>
      </c>
      <c r="N1180" s="39" t="s">
        <v>418</v>
      </c>
    </row>
    <row r="1181" spans="1:14" s="12" customFormat="1" ht="18">
      <c r="A1181" s="178" t="s">
        <v>120</v>
      </c>
      <c r="B1181" s="75" t="s">
        <v>254</v>
      </c>
      <c r="C1181" s="39" t="s">
        <v>417</v>
      </c>
      <c r="D1181" s="236">
        <v>5</v>
      </c>
      <c r="E1181" s="236">
        <v>5</v>
      </c>
      <c r="F1181" s="236">
        <v>5</v>
      </c>
      <c r="G1181" s="236">
        <v>5</v>
      </c>
      <c r="H1181" s="41">
        <f>SUM(Tabla132112410[[#This Row],[PRIMER TRIMESTRE]:[CUARTO TRIMESTRE]])</f>
        <v>20</v>
      </c>
      <c r="I1181" s="17">
        <v>12</v>
      </c>
      <c r="J1181" s="17">
        <f t="shared" si="29"/>
        <v>240</v>
      </c>
      <c r="K1181" s="17"/>
      <c r="L1181" s="16" t="s">
        <v>18</v>
      </c>
      <c r="M1181" s="16" t="s">
        <v>22</v>
      </c>
      <c r="N1181" s="39" t="s">
        <v>418</v>
      </c>
    </row>
    <row r="1182" spans="1:14" s="12" customFormat="1" ht="18">
      <c r="A1182" s="178" t="s">
        <v>120</v>
      </c>
      <c r="B1182" s="75" t="s">
        <v>394</v>
      </c>
      <c r="C1182" s="39" t="s">
        <v>208</v>
      </c>
      <c r="D1182" s="236">
        <v>30</v>
      </c>
      <c r="E1182" s="236">
        <v>20</v>
      </c>
      <c r="F1182" s="236">
        <v>21</v>
      </c>
      <c r="G1182" s="236">
        <v>15</v>
      </c>
      <c r="H1182" s="41">
        <f>SUM(Tabla132112410[[#This Row],[PRIMER TRIMESTRE]:[CUARTO TRIMESTRE]])</f>
        <v>86</v>
      </c>
      <c r="I1182" s="17">
        <v>69.599999999999994</v>
      </c>
      <c r="J1182" s="17">
        <f t="shared" si="29"/>
        <v>5985.5999999999995</v>
      </c>
      <c r="K1182" s="17"/>
      <c r="L1182" s="16" t="s">
        <v>18</v>
      </c>
      <c r="M1182" s="16" t="s">
        <v>22</v>
      </c>
      <c r="N1182" s="39" t="s">
        <v>418</v>
      </c>
    </row>
    <row r="1183" spans="1:14" s="12" customFormat="1" ht="18">
      <c r="A1183" s="178" t="s">
        <v>120</v>
      </c>
      <c r="B1183" s="75" t="s">
        <v>408</v>
      </c>
      <c r="C1183" s="39" t="s">
        <v>417</v>
      </c>
      <c r="D1183" s="236"/>
      <c r="E1183" s="236"/>
      <c r="F1183" s="236"/>
      <c r="G1183" s="236"/>
      <c r="H1183" s="41">
        <f>SUM(Tabla132112410[[#This Row],[PRIMER TRIMESTRE]:[CUARTO TRIMESTRE]])</f>
        <v>0</v>
      </c>
      <c r="I1183" s="17">
        <v>43.7</v>
      </c>
      <c r="J1183" s="17">
        <f t="shared" si="29"/>
        <v>0</v>
      </c>
      <c r="K1183" s="17"/>
      <c r="L1183" s="16" t="s">
        <v>18</v>
      </c>
      <c r="M1183" s="16" t="s">
        <v>22</v>
      </c>
      <c r="N1183" s="39" t="s">
        <v>418</v>
      </c>
    </row>
    <row r="1184" spans="1:14" s="12" customFormat="1" ht="18">
      <c r="A1184" s="178" t="s">
        <v>120</v>
      </c>
      <c r="B1184" s="75" t="s">
        <v>409</v>
      </c>
      <c r="C1184" s="39" t="s">
        <v>417</v>
      </c>
      <c r="D1184" s="236"/>
      <c r="E1184" s="236"/>
      <c r="F1184" s="236"/>
      <c r="G1184" s="236"/>
      <c r="H1184" s="41">
        <f>SUM(Tabla132112410[[#This Row],[PRIMER TRIMESTRE]:[CUARTO TRIMESTRE]])</f>
        <v>0</v>
      </c>
      <c r="I1184" s="17">
        <v>15.21</v>
      </c>
      <c r="J1184" s="17">
        <f t="shared" si="29"/>
        <v>0</v>
      </c>
      <c r="K1184" s="17"/>
      <c r="L1184" s="16" t="s">
        <v>18</v>
      </c>
      <c r="M1184" s="16" t="s">
        <v>22</v>
      </c>
      <c r="N1184" s="39" t="s">
        <v>418</v>
      </c>
    </row>
    <row r="1185" spans="1:14" s="12" customFormat="1" ht="18">
      <c r="A1185" s="178" t="s">
        <v>120</v>
      </c>
      <c r="B1185" s="75" t="s">
        <v>2025</v>
      </c>
      <c r="C1185" s="39" t="s">
        <v>17</v>
      </c>
      <c r="D1185" s="236">
        <v>15</v>
      </c>
      <c r="E1185" s="236">
        <v>15</v>
      </c>
      <c r="F1185" s="236">
        <v>15</v>
      </c>
      <c r="G1185" s="236">
        <v>15</v>
      </c>
      <c r="H1185" s="41">
        <f>SUM(Tabla132112410[[#This Row],[PRIMER TRIMESTRE]:[CUARTO TRIMESTRE]])</f>
        <v>60</v>
      </c>
      <c r="I1185" s="21">
        <v>110.6</v>
      </c>
      <c r="J1185" s="17">
        <f>+Tabla132112410[[#This Row],[CANTIDAD TOTAL]]*Tabla132112410[[#This Row],[PRECIO UNITARIO ESTIMADO]]</f>
        <v>6636</v>
      </c>
      <c r="K1185" s="17"/>
      <c r="L1185" s="16" t="s">
        <v>18</v>
      </c>
      <c r="M1185" s="16" t="s">
        <v>22</v>
      </c>
      <c r="N1185" s="39" t="s">
        <v>418</v>
      </c>
    </row>
    <row r="1186" spans="1:14" s="12" customFormat="1" ht="18">
      <c r="A1186" s="15"/>
      <c r="B1186" s="75" t="s">
        <v>2026</v>
      </c>
      <c r="C1186" s="39" t="s">
        <v>17</v>
      </c>
      <c r="D1186" s="236">
        <v>15</v>
      </c>
      <c r="E1186" s="236">
        <v>15</v>
      </c>
      <c r="F1186" s="236">
        <v>15</v>
      </c>
      <c r="G1186" s="236">
        <v>15</v>
      </c>
      <c r="H1186" s="41">
        <f>SUM(Tabla132112410[[#This Row],[PRIMER TRIMESTRE]:[CUARTO TRIMESTRE]])</f>
        <v>60</v>
      </c>
      <c r="I1186" s="21">
        <v>140.6</v>
      </c>
      <c r="J1186" s="17">
        <f>+Tabla132112410[[#This Row],[CANTIDAD TOTAL]]*Tabla132112410[[#This Row],[PRECIO UNITARIO ESTIMADO]]</f>
        <v>8436</v>
      </c>
      <c r="K1186" s="17"/>
      <c r="L1186" s="16"/>
      <c r="M1186" s="16"/>
      <c r="N1186" s="39"/>
    </row>
    <row r="1187" spans="1:14" s="12" customFormat="1" ht="18">
      <c r="A1187" s="15"/>
      <c r="B1187" s="75" t="s">
        <v>265</v>
      </c>
      <c r="C1187" s="39" t="s">
        <v>17</v>
      </c>
      <c r="D1187" s="236">
        <v>21</v>
      </c>
      <c r="E1187" s="236">
        <v>15</v>
      </c>
      <c r="F1187" s="236">
        <v>15</v>
      </c>
      <c r="G1187" s="236">
        <v>15</v>
      </c>
      <c r="H1187" s="41">
        <f>SUM(Tabla132112410[[#This Row],[PRIMER TRIMESTRE]:[CUARTO TRIMESTRE]])</f>
        <v>66</v>
      </c>
      <c r="I1187" s="17">
        <v>187.6</v>
      </c>
      <c r="J1187" s="17">
        <f>+Tabla132112410[[#This Row],[CANTIDAD TOTAL]]*Tabla132112410[[#This Row],[PRECIO UNITARIO ESTIMADO]]</f>
        <v>12381.6</v>
      </c>
      <c r="K1187" s="17"/>
      <c r="L1187" s="16"/>
      <c r="M1187" s="16"/>
      <c r="N1187" s="39"/>
    </row>
    <row r="1188" spans="1:14" s="12" customFormat="1" ht="18">
      <c r="A1188" s="178" t="s">
        <v>120</v>
      </c>
      <c r="B1188" s="75" t="s">
        <v>261</v>
      </c>
      <c r="C1188" s="39" t="s">
        <v>17</v>
      </c>
      <c r="D1188" s="236"/>
      <c r="E1188" s="236"/>
      <c r="F1188" s="236"/>
      <c r="G1188" s="236"/>
      <c r="H1188" s="41">
        <f>SUM(Tabla132112410[[#This Row],[PRIMER TRIMESTRE]:[CUARTO TRIMESTRE]])</f>
        <v>0</v>
      </c>
      <c r="I1188" s="17">
        <v>148</v>
      </c>
      <c r="J1188" s="17">
        <f>+Tabla132112410[[#This Row],[CANTIDAD TOTAL]]*Tabla132112410[[#This Row],[PRECIO UNITARIO ESTIMADO]]</f>
        <v>0</v>
      </c>
      <c r="K1188" s="17"/>
      <c r="L1188" s="16" t="s">
        <v>18</v>
      </c>
      <c r="M1188" s="16" t="s">
        <v>22</v>
      </c>
      <c r="N1188" s="39" t="s">
        <v>418</v>
      </c>
    </row>
    <row r="1189" spans="1:14" s="12" customFormat="1" ht="18">
      <c r="A1189" s="178" t="s">
        <v>120</v>
      </c>
      <c r="B1189" s="75" t="s">
        <v>751</v>
      </c>
      <c r="C1189" s="39" t="s">
        <v>17</v>
      </c>
      <c r="D1189" s="236">
        <v>15</v>
      </c>
      <c r="E1189" s="236">
        <v>15</v>
      </c>
      <c r="F1189" s="236">
        <v>15</v>
      </c>
      <c r="G1189" s="236">
        <v>11</v>
      </c>
      <c r="H1189" s="41">
        <f>SUM(Tabla132112410[[#This Row],[PRIMER TRIMESTRE]:[CUARTO TRIMESTRE]])</f>
        <v>56</v>
      </c>
      <c r="I1189" s="17">
        <v>15.54</v>
      </c>
      <c r="J1189" s="17">
        <f>+H1189*I1189</f>
        <v>870.24</v>
      </c>
      <c r="K1189" s="17"/>
      <c r="L1189" s="16" t="s">
        <v>18</v>
      </c>
      <c r="M1189" s="16" t="s">
        <v>22</v>
      </c>
      <c r="N1189" s="39" t="s">
        <v>418</v>
      </c>
    </row>
    <row r="1190" spans="1:14" s="12" customFormat="1" ht="18">
      <c r="A1190" s="178" t="s">
        <v>120</v>
      </c>
      <c r="B1190" s="75" t="s">
        <v>754</v>
      </c>
      <c r="C1190" s="39" t="s">
        <v>17</v>
      </c>
      <c r="D1190" s="236">
        <v>15</v>
      </c>
      <c r="E1190" s="236">
        <v>15</v>
      </c>
      <c r="F1190" s="236">
        <v>15</v>
      </c>
      <c r="G1190" s="236">
        <v>11</v>
      </c>
      <c r="H1190" s="41">
        <f>SUM(Tabla132112410[[#This Row],[PRIMER TRIMESTRE]:[CUARTO TRIMESTRE]])</f>
        <v>56</v>
      </c>
      <c r="I1190" s="17">
        <v>15.54</v>
      </c>
      <c r="J1190" s="17">
        <f>+H1190*I1190</f>
        <v>870.24</v>
      </c>
      <c r="K1190" s="17"/>
      <c r="L1190" s="16" t="s">
        <v>18</v>
      </c>
      <c r="M1190" s="16" t="s">
        <v>22</v>
      </c>
      <c r="N1190" s="39" t="s">
        <v>418</v>
      </c>
    </row>
    <row r="1191" spans="1:14" s="12" customFormat="1" ht="18">
      <c r="A1191" s="178" t="s">
        <v>120</v>
      </c>
      <c r="B1191" s="75" t="s">
        <v>755</v>
      </c>
      <c r="C1191" s="39" t="s">
        <v>17</v>
      </c>
      <c r="D1191" s="236">
        <v>15</v>
      </c>
      <c r="E1191" s="236">
        <v>15</v>
      </c>
      <c r="F1191" s="236">
        <v>15</v>
      </c>
      <c r="G1191" s="236">
        <v>11</v>
      </c>
      <c r="H1191" s="41">
        <f>SUM(Tabla132112410[[#This Row],[PRIMER TRIMESTRE]:[CUARTO TRIMESTRE]])</f>
        <v>56</v>
      </c>
      <c r="I1191" s="17">
        <v>15.54</v>
      </c>
      <c r="J1191" s="17">
        <f>+H1191*I1191</f>
        <v>870.24</v>
      </c>
      <c r="K1191" s="17"/>
      <c r="L1191" s="16" t="s">
        <v>18</v>
      </c>
      <c r="M1191" s="16" t="s">
        <v>22</v>
      </c>
      <c r="N1191" s="39" t="s">
        <v>418</v>
      </c>
    </row>
    <row r="1192" spans="1:14" s="169" customFormat="1" ht="18">
      <c r="A1192" s="180" t="s">
        <v>752</v>
      </c>
      <c r="B1192" s="77" t="s">
        <v>390</v>
      </c>
      <c r="C1192" s="70" t="s">
        <v>415</v>
      </c>
      <c r="D1192" s="210">
        <v>300</v>
      </c>
      <c r="E1192" s="210">
        <v>200</v>
      </c>
      <c r="F1192" s="210">
        <v>200</v>
      </c>
      <c r="G1192" s="210">
        <v>118</v>
      </c>
      <c r="H1192" s="71">
        <f>SUM(Tabla132112410[[#This Row],[PRIMER TRIMESTRE]:[CUARTO TRIMESTRE]])</f>
        <v>818</v>
      </c>
      <c r="I1192" s="72">
        <v>145.13999999999999</v>
      </c>
      <c r="J1192" s="72">
        <f>+H1192*I1192</f>
        <v>118724.51999999999</v>
      </c>
      <c r="K1192" s="171"/>
      <c r="L1192" s="73" t="s">
        <v>18</v>
      </c>
      <c r="M1192" s="73" t="s">
        <v>22</v>
      </c>
      <c r="N1192" s="70" t="s">
        <v>418</v>
      </c>
    </row>
    <row r="1193" spans="1:14" s="12" customFormat="1" ht="18">
      <c r="A1193" s="178" t="s">
        <v>120</v>
      </c>
      <c r="B1193" s="77" t="s">
        <v>391</v>
      </c>
      <c r="C1193" s="70" t="s">
        <v>415</v>
      </c>
      <c r="D1193" s="236">
        <v>30</v>
      </c>
      <c r="E1193" s="236">
        <v>15</v>
      </c>
      <c r="F1193" s="236">
        <v>15</v>
      </c>
      <c r="G1193" s="236">
        <v>15</v>
      </c>
      <c r="H1193" s="41">
        <f>SUM(Tabla132112410[[#This Row],[PRIMER TRIMESTRE]:[CUARTO TRIMESTRE]])</f>
        <v>75</v>
      </c>
      <c r="I1193" s="17">
        <v>214.76</v>
      </c>
      <c r="J1193" s="17">
        <f>+H1193*I1193</f>
        <v>16107</v>
      </c>
      <c r="K1193" s="17"/>
      <c r="L1193" s="16" t="s">
        <v>18</v>
      </c>
      <c r="M1193" s="16" t="s">
        <v>22</v>
      </c>
      <c r="N1193" s="39" t="s">
        <v>418</v>
      </c>
    </row>
    <row r="1194" spans="1:14" s="12" customFormat="1" ht="18">
      <c r="A1194" s="178" t="s">
        <v>120</v>
      </c>
      <c r="B1194" s="75" t="s">
        <v>267</v>
      </c>
      <c r="C1194" s="39" t="s">
        <v>102</v>
      </c>
      <c r="D1194" s="236"/>
      <c r="E1194" s="236"/>
      <c r="F1194" s="236"/>
      <c r="G1194" s="236"/>
      <c r="H1194" s="41">
        <f>SUM(Tabla132112410[[#This Row],[PRIMER TRIMESTRE]:[CUARTO TRIMESTRE]])</f>
        <v>0</v>
      </c>
      <c r="I1194" s="17">
        <v>1063.19</v>
      </c>
      <c r="J1194" s="17">
        <f>+Tabla132112410[[#This Row],[CANTIDAD TOTAL]]*Tabla132112410[[#This Row],[PRECIO UNITARIO ESTIMADO]]</f>
        <v>0</v>
      </c>
      <c r="K1194" s="17"/>
      <c r="L1194" s="16" t="s">
        <v>18</v>
      </c>
      <c r="M1194" s="16" t="s">
        <v>22</v>
      </c>
      <c r="N1194" s="39" t="s">
        <v>418</v>
      </c>
    </row>
    <row r="1195" spans="1:14" s="12" customFormat="1" ht="18">
      <c r="A1195" s="178" t="s">
        <v>120</v>
      </c>
      <c r="B1195" s="75" t="s">
        <v>759</v>
      </c>
      <c r="C1195" s="39" t="s">
        <v>208</v>
      </c>
      <c r="D1195" s="236"/>
      <c r="E1195" s="236"/>
      <c r="F1195" s="236"/>
      <c r="G1195" s="236"/>
      <c r="H1195" s="41">
        <f>SUM(Tabla132112410[[#This Row],[PRIMER TRIMESTRE]:[CUARTO TRIMESTRE]])</f>
        <v>0</v>
      </c>
      <c r="I1195" s="17">
        <v>161.66</v>
      </c>
      <c r="J1195" s="17">
        <f>+H1195*I1195</f>
        <v>0</v>
      </c>
      <c r="K1195" s="17"/>
      <c r="L1195" s="16" t="s">
        <v>18</v>
      </c>
      <c r="M1195" s="16" t="s">
        <v>22</v>
      </c>
      <c r="N1195" s="39" t="s">
        <v>418</v>
      </c>
    </row>
    <row r="1196" spans="1:14" s="12" customFormat="1" ht="18">
      <c r="A1196" s="178" t="s">
        <v>120</v>
      </c>
      <c r="B1196" s="75" t="s">
        <v>268</v>
      </c>
      <c r="C1196" s="39" t="s">
        <v>208</v>
      </c>
      <c r="D1196" s="236"/>
      <c r="E1196" s="236"/>
      <c r="F1196" s="236"/>
      <c r="G1196" s="236"/>
      <c r="H1196" s="41">
        <f>SUM(Tabla132112410[[#This Row],[PRIMER TRIMESTRE]:[CUARTO TRIMESTRE]])</f>
        <v>0</v>
      </c>
      <c r="I1196" s="17">
        <v>1450</v>
      </c>
      <c r="J1196" s="17">
        <f>+Tabla132112410[[#This Row],[CANTIDAD TOTAL]]*Tabla132112410[[#This Row],[PRECIO UNITARIO ESTIMADO]]</f>
        <v>0</v>
      </c>
      <c r="K1196" s="17"/>
      <c r="L1196" s="16" t="s">
        <v>18</v>
      </c>
      <c r="M1196" s="16" t="s">
        <v>22</v>
      </c>
      <c r="N1196" s="39" t="s">
        <v>418</v>
      </c>
    </row>
    <row r="1197" spans="1:14" s="12" customFormat="1" ht="18">
      <c r="A1197" s="178" t="s">
        <v>120</v>
      </c>
      <c r="B1197" s="77" t="s">
        <v>269</v>
      </c>
      <c r="C1197" s="70" t="s">
        <v>266</v>
      </c>
      <c r="D1197" s="236">
        <v>25</v>
      </c>
      <c r="E1197" s="236">
        <v>25</v>
      </c>
      <c r="F1197" s="236">
        <v>25</v>
      </c>
      <c r="G1197" s="236">
        <v>25</v>
      </c>
      <c r="H1197" s="41">
        <f>SUM(Tabla132112410[[#This Row],[PRIMER TRIMESTRE]:[CUARTO TRIMESTRE]])</f>
        <v>100</v>
      </c>
      <c r="I1197" s="17">
        <v>2552</v>
      </c>
      <c r="J1197" s="17">
        <f>+Tabla132112410[[#This Row],[CANTIDAD TOTAL]]*Tabla132112410[[#This Row],[PRECIO UNITARIO ESTIMADO]]</f>
        <v>255200</v>
      </c>
      <c r="K1197" s="17"/>
      <c r="L1197" s="16" t="s">
        <v>18</v>
      </c>
      <c r="M1197" s="16" t="s">
        <v>22</v>
      </c>
      <c r="N1197" s="39" t="s">
        <v>418</v>
      </c>
    </row>
    <row r="1198" spans="1:14" s="12" customFormat="1" ht="18">
      <c r="A1198" s="15"/>
      <c r="B1198" s="77" t="s">
        <v>2027</v>
      </c>
      <c r="C1198" s="70" t="s">
        <v>266</v>
      </c>
      <c r="D1198" s="236">
        <v>50</v>
      </c>
      <c r="E1198" s="236">
        <v>50</v>
      </c>
      <c r="F1198" s="236">
        <v>50</v>
      </c>
      <c r="G1198" s="236">
        <v>50</v>
      </c>
      <c r="H1198" s="41">
        <f>SUM(Tabla132112410[[#This Row],[PRIMER TRIMESTRE]:[CUARTO TRIMESTRE]])</f>
        <v>200</v>
      </c>
      <c r="I1198" s="72">
        <v>375</v>
      </c>
      <c r="J1198" s="17">
        <f>+Tabla132112410[[#This Row],[CANTIDAD TOTAL]]*Tabla132112410[[#This Row],[PRECIO UNITARIO ESTIMADO]]</f>
        <v>75000</v>
      </c>
      <c r="K1198" s="17"/>
      <c r="L1198" s="16"/>
      <c r="M1198" s="16"/>
      <c r="N1198" s="39"/>
    </row>
    <row r="1199" spans="1:14" s="12" customFormat="1" ht="18">
      <c r="A1199" s="178" t="s">
        <v>120</v>
      </c>
      <c r="B1199" s="77" t="s">
        <v>756</v>
      </c>
      <c r="C1199" s="70" t="s">
        <v>234</v>
      </c>
      <c r="D1199" s="236">
        <v>100</v>
      </c>
      <c r="E1199" s="236">
        <v>25</v>
      </c>
      <c r="F1199" s="236">
        <v>25</v>
      </c>
      <c r="G1199" s="236">
        <v>40</v>
      </c>
      <c r="H1199" s="41">
        <f>SUM(Tabla132112410[[#This Row],[PRIMER TRIMESTRE]:[CUARTO TRIMESTRE]])</f>
        <v>190</v>
      </c>
      <c r="I1199" s="17">
        <v>24.78</v>
      </c>
      <c r="J1199" s="17">
        <f t="shared" ref="J1199:J1206" si="30">+H1199*I1199</f>
        <v>4708.2</v>
      </c>
      <c r="K1199" s="17"/>
      <c r="L1199" s="16" t="s">
        <v>18</v>
      </c>
      <c r="M1199" s="16" t="s">
        <v>22</v>
      </c>
      <c r="N1199" s="39" t="s">
        <v>418</v>
      </c>
    </row>
    <row r="1200" spans="1:14" s="12" customFormat="1" ht="18">
      <c r="A1200" s="178" t="s">
        <v>120</v>
      </c>
      <c r="B1200" s="77" t="s">
        <v>763</v>
      </c>
      <c r="C1200" s="70" t="s">
        <v>17</v>
      </c>
      <c r="D1200" s="236">
        <v>2</v>
      </c>
      <c r="E1200" s="236">
        <v>1</v>
      </c>
      <c r="F1200" s="236">
        <v>1</v>
      </c>
      <c r="G1200" s="236">
        <v>1</v>
      </c>
      <c r="H1200" s="41">
        <f>SUM(Tabla132112410[[#This Row],[PRIMER TRIMESTRE]:[CUARTO TRIMESTRE]])</f>
        <v>5</v>
      </c>
      <c r="I1200" s="17">
        <v>186.44</v>
      </c>
      <c r="J1200" s="17">
        <f t="shared" si="30"/>
        <v>932.2</v>
      </c>
      <c r="K1200" s="17"/>
      <c r="L1200" s="16" t="s">
        <v>18</v>
      </c>
      <c r="M1200" s="16" t="s">
        <v>22</v>
      </c>
      <c r="N1200" s="39" t="s">
        <v>418</v>
      </c>
    </row>
    <row r="1201" spans="1:14" s="12" customFormat="1" ht="18">
      <c r="A1201" s="15"/>
      <c r="B1201" s="77" t="s">
        <v>2028</v>
      </c>
      <c r="C1201" s="70" t="s">
        <v>17</v>
      </c>
      <c r="D1201" s="236">
        <v>2</v>
      </c>
      <c r="E1201" s="236">
        <v>1</v>
      </c>
      <c r="F1201" s="236">
        <v>1</v>
      </c>
      <c r="G1201" s="236">
        <v>1</v>
      </c>
      <c r="H1201" s="41">
        <f>SUM(Tabla132112410[[#This Row],[PRIMER TRIMESTRE]:[CUARTO TRIMESTRE]])</f>
        <v>5</v>
      </c>
      <c r="I1201" s="17">
        <v>286.44</v>
      </c>
      <c r="J1201" s="17">
        <f t="shared" si="30"/>
        <v>1432.2</v>
      </c>
      <c r="K1201" s="17"/>
      <c r="L1201" s="16"/>
      <c r="M1201" s="16"/>
      <c r="N1201" s="39"/>
    </row>
    <row r="1202" spans="1:14" s="12" customFormat="1" ht="18">
      <c r="A1202" s="178" t="s">
        <v>120</v>
      </c>
      <c r="B1202" s="77" t="s">
        <v>410</v>
      </c>
      <c r="C1202" s="70" t="s">
        <v>417</v>
      </c>
      <c r="D1202" s="236">
        <v>210</v>
      </c>
      <c r="E1202" s="236">
        <v>100</v>
      </c>
      <c r="F1202" s="236">
        <v>100</v>
      </c>
      <c r="G1202" s="236">
        <v>100</v>
      </c>
      <c r="H1202" s="41">
        <f>SUM(Tabla132112410[[#This Row],[PRIMER TRIMESTRE]:[CUARTO TRIMESTRE]])</f>
        <v>510</v>
      </c>
      <c r="I1202" s="17">
        <v>10</v>
      </c>
      <c r="J1202" s="17">
        <f t="shared" si="30"/>
        <v>5100</v>
      </c>
      <c r="K1202" s="17"/>
      <c r="L1202" s="16" t="s">
        <v>18</v>
      </c>
      <c r="M1202" s="16" t="s">
        <v>22</v>
      </c>
      <c r="N1202" s="39" t="s">
        <v>418</v>
      </c>
    </row>
    <row r="1203" spans="1:14" s="12" customFormat="1" ht="18">
      <c r="A1203" s="178" t="s">
        <v>120</v>
      </c>
      <c r="B1203" s="77" t="s">
        <v>411</v>
      </c>
      <c r="C1203" s="70" t="s">
        <v>417</v>
      </c>
      <c r="D1203" s="236">
        <v>230</v>
      </c>
      <c r="E1203" s="236">
        <v>100</v>
      </c>
      <c r="F1203" s="236">
        <v>100</v>
      </c>
      <c r="G1203" s="236">
        <v>100</v>
      </c>
      <c r="H1203" s="41">
        <f>SUM(Tabla132112410[[#This Row],[PRIMER TRIMESTRE]:[CUARTO TRIMESTRE]])</f>
        <v>530</v>
      </c>
      <c r="I1203" s="17">
        <v>14.37</v>
      </c>
      <c r="J1203" s="17">
        <f t="shared" si="30"/>
        <v>7616.0999999999995</v>
      </c>
      <c r="K1203" s="17"/>
      <c r="L1203" s="16" t="s">
        <v>18</v>
      </c>
      <c r="M1203" s="16" t="s">
        <v>22</v>
      </c>
      <c r="N1203" s="39" t="s">
        <v>418</v>
      </c>
    </row>
    <row r="1204" spans="1:14" s="12" customFormat="1" ht="18">
      <c r="A1204" s="178" t="s">
        <v>120</v>
      </c>
      <c r="B1204" s="77" t="s">
        <v>412</v>
      </c>
      <c r="C1204" s="70" t="s">
        <v>417</v>
      </c>
      <c r="D1204" s="236">
        <v>210</v>
      </c>
      <c r="E1204" s="236">
        <v>100</v>
      </c>
      <c r="F1204" s="236">
        <v>100</v>
      </c>
      <c r="G1204" s="236">
        <v>100</v>
      </c>
      <c r="H1204" s="41">
        <f>SUM(Tabla132112410[[#This Row],[PRIMER TRIMESTRE]:[CUARTO TRIMESTRE]])</f>
        <v>510</v>
      </c>
      <c r="I1204" s="17">
        <v>24.79</v>
      </c>
      <c r="J1204" s="17">
        <f t="shared" si="30"/>
        <v>12642.9</v>
      </c>
      <c r="K1204" s="17"/>
      <c r="L1204" s="16" t="s">
        <v>18</v>
      </c>
      <c r="M1204" s="16" t="s">
        <v>22</v>
      </c>
      <c r="N1204" s="39" t="s">
        <v>418</v>
      </c>
    </row>
    <row r="1205" spans="1:14" s="12" customFormat="1" ht="18">
      <c r="A1205" s="178" t="s">
        <v>120</v>
      </c>
      <c r="B1205" s="75" t="s">
        <v>413</v>
      </c>
      <c r="C1205" s="39" t="s">
        <v>208</v>
      </c>
      <c r="D1205" s="236"/>
      <c r="E1205" s="236"/>
      <c r="F1205" s="236"/>
      <c r="G1205" s="236"/>
      <c r="H1205" s="41">
        <f>SUM(Tabla132112410[[#This Row],[PRIMER TRIMESTRE]:[CUARTO TRIMESTRE]])</f>
        <v>0</v>
      </c>
      <c r="I1205" s="17">
        <v>371.09</v>
      </c>
      <c r="J1205" s="17">
        <f t="shared" si="30"/>
        <v>0</v>
      </c>
      <c r="K1205" s="17"/>
      <c r="L1205" s="16" t="s">
        <v>18</v>
      </c>
      <c r="M1205" s="16" t="s">
        <v>22</v>
      </c>
      <c r="N1205" s="39" t="s">
        <v>418</v>
      </c>
    </row>
    <row r="1206" spans="1:14" s="12" customFormat="1" ht="18">
      <c r="A1206" s="178" t="s">
        <v>120</v>
      </c>
      <c r="B1206" s="75" t="s">
        <v>762</v>
      </c>
      <c r="C1206" s="39" t="s">
        <v>208</v>
      </c>
      <c r="D1206" s="236"/>
      <c r="E1206" s="236"/>
      <c r="F1206" s="236"/>
      <c r="G1206" s="236"/>
      <c r="H1206" s="41">
        <f>SUM(Tabla132112410[[#This Row],[PRIMER TRIMESTRE]:[CUARTO TRIMESTRE]])</f>
        <v>0</v>
      </c>
      <c r="I1206" s="17">
        <v>433.06</v>
      </c>
      <c r="J1206" s="17">
        <f t="shared" si="30"/>
        <v>0</v>
      </c>
      <c r="K1206" s="17"/>
      <c r="L1206" s="16" t="s">
        <v>18</v>
      </c>
      <c r="M1206" s="16" t="s">
        <v>22</v>
      </c>
      <c r="N1206" s="39" t="s">
        <v>418</v>
      </c>
    </row>
    <row r="1207" spans="1:14" s="12" customFormat="1" ht="18">
      <c r="A1207" s="178" t="s">
        <v>120</v>
      </c>
      <c r="B1207" s="75" t="s">
        <v>270</v>
      </c>
      <c r="C1207" s="39" t="s">
        <v>17</v>
      </c>
      <c r="D1207" s="236">
        <v>3</v>
      </c>
      <c r="E1207" s="236">
        <v>1</v>
      </c>
      <c r="F1207" s="236">
        <v>1</v>
      </c>
      <c r="G1207" s="236">
        <v>1</v>
      </c>
      <c r="H1207" s="41">
        <f>SUM(Tabla132112410[[#This Row],[PRIMER TRIMESTRE]:[CUARTO TRIMESTRE]])</f>
        <v>6</v>
      </c>
      <c r="I1207" s="17">
        <v>9.2799999999999994</v>
      </c>
      <c r="J1207" s="17">
        <f>+Tabla132112410[[#This Row],[CANTIDAD TOTAL]]*Tabla132112410[[#This Row],[PRECIO UNITARIO ESTIMADO]]</f>
        <v>55.679999999999993</v>
      </c>
      <c r="K1207" s="17"/>
      <c r="L1207" s="16" t="s">
        <v>18</v>
      </c>
      <c r="M1207" s="16" t="s">
        <v>22</v>
      </c>
      <c r="N1207" s="39" t="s">
        <v>418</v>
      </c>
    </row>
    <row r="1208" spans="1:14" s="12" customFormat="1" ht="18">
      <c r="A1208" s="178" t="s">
        <v>120</v>
      </c>
      <c r="B1208" s="75" t="s">
        <v>405</v>
      </c>
      <c r="C1208" s="39" t="s">
        <v>17</v>
      </c>
      <c r="D1208" s="236"/>
      <c r="E1208" s="236"/>
      <c r="F1208" s="236"/>
      <c r="G1208" s="236"/>
      <c r="H1208" s="41">
        <f>SUM(Tabla132112410[[#This Row],[PRIMER TRIMESTRE]:[CUARTO TRIMESTRE]])</f>
        <v>0</v>
      </c>
      <c r="I1208" s="17">
        <v>11.21</v>
      </c>
      <c r="J1208" s="17">
        <f>+H1208*I1208</f>
        <v>0</v>
      </c>
      <c r="K1208" s="17"/>
      <c r="L1208" s="16" t="s">
        <v>18</v>
      </c>
      <c r="M1208" s="16" t="s">
        <v>22</v>
      </c>
      <c r="N1208" s="39" t="s">
        <v>418</v>
      </c>
    </row>
    <row r="1209" spans="1:14" s="12" customFormat="1" ht="18">
      <c r="A1209" s="178" t="s">
        <v>120</v>
      </c>
      <c r="B1209" s="75" t="s">
        <v>406</v>
      </c>
      <c r="C1209" s="39" t="s">
        <v>17</v>
      </c>
      <c r="D1209" s="236">
        <v>15</v>
      </c>
      <c r="E1209" s="236">
        <v>7</v>
      </c>
      <c r="F1209" s="236">
        <v>7</v>
      </c>
      <c r="G1209" s="236">
        <v>7</v>
      </c>
      <c r="H1209" s="41">
        <f>SUM(Tabla132112410[[#This Row],[PRIMER TRIMESTRE]:[CUARTO TRIMESTRE]])</f>
        <v>36</v>
      </c>
      <c r="I1209" s="17">
        <v>10.56</v>
      </c>
      <c r="J1209" s="17">
        <f>+H1209*I1209</f>
        <v>380.16</v>
      </c>
      <c r="K1209" s="17"/>
      <c r="L1209" s="16" t="s">
        <v>18</v>
      </c>
      <c r="M1209" s="16" t="s">
        <v>22</v>
      </c>
      <c r="N1209" s="39" t="s">
        <v>418</v>
      </c>
    </row>
    <row r="1210" spans="1:14" s="12" customFormat="1" ht="18">
      <c r="A1210" s="178" t="s">
        <v>120</v>
      </c>
      <c r="B1210" s="75" t="s">
        <v>407</v>
      </c>
      <c r="C1210" s="39" t="s">
        <v>17</v>
      </c>
      <c r="D1210" s="236">
        <v>15</v>
      </c>
      <c r="E1210" s="236">
        <v>7</v>
      </c>
      <c r="F1210" s="236">
        <v>7</v>
      </c>
      <c r="G1210" s="236">
        <v>7</v>
      </c>
      <c r="H1210" s="41">
        <f>SUM(Tabla132112410[[#This Row],[PRIMER TRIMESTRE]:[CUARTO TRIMESTRE]])</f>
        <v>36</v>
      </c>
      <c r="I1210" s="17">
        <v>10.56</v>
      </c>
      <c r="J1210" s="17">
        <f>+H1210*I1210</f>
        <v>380.16</v>
      </c>
      <c r="K1210" s="17"/>
      <c r="L1210" s="16" t="s">
        <v>18</v>
      </c>
      <c r="M1210" s="16" t="s">
        <v>22</v>
      </c>
      <c r="N1210" s="39" t="s">
        <v>418</v>
      </c>
    </row>
    <row r="1211" spans="1:14" s="12" customFormat="1" ht="18">
      <c r="A1211" s="15"/>
      <c r="B1211" s="75" t="s">
        <v>2029</v>
      </c>
      <c r="C1211" s="39" t="s">
        <v>17</v>
      </c>
      <c r="D1211" s="236">
        <v>15</v>
      </c>
      <c r="E1211" s="236">
        <v>7</v>
      </c>
      <c r="F1211" s="236">
        <v>7</v>
      </c>
      <c r="G1211" s="236">
        <v>7</v>
      </c>
      <c r="H1211" s="41">
        <f>SUM(Tabla132112410[[#This Row],[PRIMER TRIMESTRE]:[CUARTO TRIMESTRE]])</f>
        <v>36</v>
      </c>
      <c r="I1211" s="17">
        <v>12.21</v>
      </c>
      <c r="J1211" s="17">
        <f>+H1211*I1211</f>
        <v>439.56000000000006</v>
      </c>
      <c r="K1211" s="17"/>
      <c r="L1211" s="16"/>
      <c r="M1211" s="16"/>
      <c r="N1211" s="39"/>
    </row>
    <row r="1212" spans="1:14" s="12" customFormat="1" ht="18">
      <c r="A1212" s="15"/>
      <c r="B1212" s="75" t="s">
        <v>2030</v>
      </c>
      <c r="C1212" s="39" t="s">
        <v>17</v>
      </c>
      <c r="D1212" s="236">
        <v>15</v>
      </c>
      <c r="E1212" s="236">
        <v>7</v>
      </c>
      <c r="F1212" s="236">
        <v>7</v>
      </c>
      <c r="G1212" s="236">
        <v>7</v>
      </c>
      <c r="H1212" s="41">
        <f>SUM(Tabla132112410[[#This Row],[PRIMER TRIMESTRE]:[CUARTO TRIMESTRE]])</f>
        <v>36</v>
      </c>
      <c r="I1212" s="17">
        <v>12.21</v>
      </c>
      <c r="J1212" s="17">
        <f>+H1212*I1212</f>
        <v>439.56000000000006</v>
      </c>
      <c r="K1212" s="17"/>
      <c r="L1212" s="16"/>
      <c r="M1212" s="16"/>
      <c r="N1212" s="39"/>
    </row>
    <row r="1213" spans="1:14" s="12" customFormat="1" ht="18">
      <c r="A1213" s="178" t="s">
        <v>120</v>
      </c>
      <c r="B1213" s="75" t="s">
        <v>742</v>
      </c>
      <c r="C1213" s="39" t="s">
        <v>17</v>
      </c>
      <c r="D1213" s="236">
        <v>3</v>
      </c>
      <c r="E1213" s="236">
        <v>3</v>
      </c>
      <c r="F1213" s="236">
        <v>2</v>
      </c>
      <c r="G1213" s="236">
        <v>2</v>
      </c>
      <c r="H1213" s="41">
        <f>SUM(Tabla132112410[[#This Row],[PRIMER TRIMESTRE]:[CUARTO TRIMESTRE]])</f>
        <v>10</v>
      </c>
      <c r="I1213" s="17">
        <v>53.1</v>
      </c>
      <c r="J1213" s="17">
        <f>+Tabla132112410[[#This Row],[CANTIDAD TOTAL]]*Tabla132112410[[#This Row],[PRECIO UNITARIO ESTIMADO]]</f>
        <v>531</v>
      </c>
      <c r="K1213" s="17"/>
      <c r="L1213" s="16" t="s">
        <v>18</v>
      </c>
      <c r="M1213" s="16" t="s">
        <v>22</v>
      </c>
      <c r="N1213" s="39" t="s">
        <v>418</v>
      </c>
    </row>
    <row r="1214" spans="1:14" s="12" customFormat="1" ht="18">
      <c r="A1214" s="178" t="s">
        <v>120</v>
      </c>
      <c r="B1214" s="75" t="s">
        <v>271</v>
      </c>
      <c r="C1214" s="39" t="s">
        <v>17</v>
      </c>
      <c r="D1214" s="236">
        <v>20</v>
      </c>
      <c r="E1214" s="236">
        <v>10</v>
      </c>
      <c r="F1214" s="236">
        <v>10</v>
      </c>
      <c r="G1214" s="236">
        <v>10</v>
      </c>
      <c r="H1214" s="41">
        <f>SUM(Tabla132112410[[#This Row],[PRIMER TRIMESTRE]:[CUARTO TRIMESTRE]])</f>
        <v>50</v>
      </c>
      <c r="I1214" s="17">
        <v>18.399999999999999</v>
      </c>
      <c r="J1214" s="17">
        <f>+H1214*I1214</f>
        <v>919.99999999999989</v>
      </c>
      <c r="K1214" s="17"/>
      <c r="L1214" s="16" t="s">
        <v>18</v>
      </c>
      <c r="M1214" s="16" t="s">
        <v>22</v>
      </c>
      <c r="N1214" s="39" t="s">
        <v>418</v>
      </c>
    </row>
    <row r="1215" spans="1:14" s="12" customFormat="1" ht="18">
      <c r="A1215" s="178" t="s">
        <v>120</v>
      </c>
      <c r="B1215" s="75" t="s">
        <v>757</v>
      </c>
      <c r="C1215" s="39" t="s">
        <v>17</v>
      </c>
      <c r="D1215" s="236">
        <v>5</v>
      </c>
      <c r="E1215" s="236">
        <v>5</v>
      </c>
      <c r="F1215" s="236">
        <v>5</v>
      </c>
      <c r="G1215" s="236">
        <v>5</v>
      </c>
      <c r="H1215" s="41">
        <f>SUM(Tabla132112410[[#This Row],[PRIMER TRIMESTRE]:[CUARTO TRIMESTRE]])</f>
        <v>20</v>
      </c>
      <c r="I1215" s="17">
        <v>12.92</v>
      </c>
      <c r="J1215" s="17">
        <f>+H1215*I1215</f>
        <v>258.39999999999998</v>
      </c>
      <c r="K1215" s="17"/>
      <c r="L1215" s="16" t="s">
        <v>18</v>
      </c>
      <c r="M1215" s="16" t="s">
        <v>22</v>
      </c>
      <c r="N1215" s="39" t="s">
        <v>418</v>
      </c>
    </row>
    <row r="1216" spans="1:14" s="12" customFormat="1" ht="18">
      <c r="A1216" s="178" t="s">
        <v>120</v>
      </c>
      <c r="B1216" s="75" t="s">
        <v>2031</v>
      </c>
      <c r="C1216" s="39" t="s">
        <v>208</v>
      </c>
      <c r="D1216" s="236">
        <v>250</v>
      </c>
      <c r="E1216" s="236">
        <v>100</v>
      </c>
      <c r="F1216" s="236">
        <v>75</v>
      </c>
      <c r="G1216" s="236">
        <v>75</v>
      </c>
      <c r="H1216" s="41">
        <f>SUM(Tabla132112410[[#This Row],[PRIMER TRIMESTRE]:[CUARTO TRIMESTRE]])</f>
        <v>500</v>
      </c>
      <c r="I1216" s="17">
        <f>337351.26/1251</f>
        <v>269.66527577937649</v>
      </c>
      <c r="J1216" s="17">
        <f>+Tabla132112410[[#This Row],[CANTIDAD TOTAL]]*Tabla132112410[[#This Row],[PRECIO UNITARIO ESTIMADO]]</f>
        <v>134832.63788968825</v>
      </c>
      <c r="K1216" s="17"/>
      <c r="L1216" s="16" t="s">
        <v>18</v>
      </c>
      <c r="M1216" s="16" t="s">
        <v>22</v>
      </c>
      <c r="N1216" s="39" t="s">
        <v>418</v>
      </c>
    </row>
    <row r="1217" spans="1:14" s="12" customFormat="1" ht="18">
      <c r="A1217" s="178" t="s">
        <v>120</v>
      </c>
      <c r="B1217" s="77" t="s">
        <v>784</v>
      </c>
      <c r="C1217" s="39" t="s">
        <v>17</v>
      </c>
      <c r="D1217" s="236">
        <v>200</v>
      </c>
      <c r="E1217" s="236">
        <v>100</v>
      </c>
      <c r="F1217" s="236">
        <v>100</v>
      </c>
      <c r="G1217" s="236">
        <v>100</v>
      </c>
      <c r="H1217" s="41">
        <f>SUM(Tabla132112410[[#This Row],[PRIMER TRIMESTRE]:[CUARTO TRIMESTRE]])</f>
        <v>500</v>
      </c>
      <c r="I1217" s="72">
        <f>20*1.18</f>
        <v>23.599999999999998</v>
      </c>
      <c r="J1217" s="17">
        <f>+H1217*I1217</f>
        <v>11799.999999999998</v>
      </c>
      <c r="K1217" s="17"/>
      <c r="L1217" s="16" t="s">
        <v>18</v>
      </c>
      <c r="M1217" s="16" t="s">
        <v>22</v>
      </c>
      <c r="N1217" s="39" t="s">
        <v>418</v>
      </c>
    </row>
    <row r="1218" spans="1:14" s="12" customFormat="1" ht="18">
      <c r="A1218" s="178" t="s">
        <v>120</v>
      </c>
      <c r="B1218" s="77" t="s">
        <v>785</v>
      </c>
      <c r="C1218" s="39" t="s">
        <v>17</v>
      </c>
      <c r="D1218" s="236">
        <v>400</v>
      </c>
      <c r="E1218" s="236">
        <v>200</v>
      </c>
      <c r="F1218" s="236">
        <v>200</v>
      </c>
      <c r="G1218" s="236">
        <v>200</v>
      </c>
      <c r="H1218" s="41">
        <f>SUM(Tabla132112410[[#This Row],[PRIMER TRIMESTRE]:[CUARTO TRIMESTRE]])</f>
        <v>1000</v>
      </c>
      <c r="I1218" s="72">
        <f>4*1.18</f>
        <v>4.72</v>
      </c>
      <c r="J1218" s="17">
        <f>+H1218*I1218</f>
        <v>4720</v>
      </c>
      <c r="K1218" s="17"/>
      <c r="L1218" s="16" t="s">
        <v>18</v>
      </c>
      <c r="M1218" s="16" t="s">
        <v>22</v>
      </c>
      <c r="N1218" s="39" t="s">
        <v>418</v>
      </c>
    </row>
    <row r="1219" spans="1:14" s="12" customFormat="1" ht="18">
      <c r="A1219" s="15"/>
      <c r="B1219" s="77" t="s">
        <v>2032</v>
      </c>
      <c r="C1219" s="39" t="s">
        <v>17</v>
      </c>
      <c r="D1219" s="236">
        <v>400</v>
      </c>
      <c r="E1219" s="236">
        <v>200</v>
      </c>
      <c r="F1219" s="236">
        <v>200</v>
      </c>
      <c r="G1219" s="236">
        <v>200</v>
      </c>
      <c r="H1219" s="41">
        <f>SUM(Tabla132112410[[#This Row],[PRIMER TRIMESTRE]:[CUARTO TRIMESTRE]])</f>
        <v>1000</v>
      </c>
      <c r="I1219" s="72">
        <v>6.72</v>
      </c>
      <c r="J1219" s="17">
        <f>+H1219*I1219</f>
        <v>6720</v>
      </c>
      <c r="K1219" s="17"/>
      <c r="L1219" s="16"/>
      <c r="M1219" s="16"/>
      <c r="N1219" s="39"/>
    </row>
    <row r="1220" spans="1:14" s="12" customFormat="1" ht="18">
      <c r="A1220" s="15"/>
      <c r="B1220" s="77" t="s">
        <v>2033</v>
      </c>
      <c r="C1220" s="39" t="s">
        <v>17</v>
      </c>
      <c r="D1220" s="236">
        <v>400</v>
      </c>
      <c r="E1220" s="236">
        <v>200</v>
      </c>
      <c r="F1220" s="236">
        <v>200</v>
      </c>
      <c r="G1220" s="236">
        <v>200</v>
      </c>
      <c r="H1220" s="41">
        <f>SUM(Tabla132112410[[#This Row],[PRIMER TRIMESTRE]:[CUARTO TRIMESTRE]])</f>
        <v>1000</v>
      </c>
      <c r="I1220" s="72">
        <v>2.72</v>
      </c>
      <c r="J1220" s="17">
        <f>+H1220*I1220</f>
        <v>2720</v>
      </c>
      <c r="K1220" s="17"/>
      <c r="L1220" s="16"/>
      <c r="M1220" s="16"/>
      <c r="N1220" s="39"/>
    </row>
    <row r="1221" spans="1:14" s="12" customFormat="1" ht="18">
      <c r="A1221" s="15"/>
      <c r="B1221" s="75" t="s">
        <v>2034</v>
      </c>
      <c r="C1221" s="39" t="s">
        <v>17</v>
      </c>
      <c r="D1221" s="236">
        <v>10</v>
      </c>
      <c r="E1221" s="236">
        <v>10</v>
      </c>
      <c r="F1221" s="236">
        <v>10</v>
      </c>
      <c r="G1221" s="236">
        <v>10</v>
      </c>
      <c r="H1221" s="41">
        <f>SUM(Tabla132112410[[#This Row],[PRIMER TRIMESTRE]:[CUARTO TRIMESTRE]])</f>
        <v>40</v>
      </c>
      <c r="I1221" s="72">
        <v>65</v>
      </c>
      <c r="J1221" s="17">
        <f>+H1221*I1221</f>
        <v>2600</v>
      </c>
      <c r="K1221" s="17"/>
      <c r="L1221" s="16"/>
      <c r="M1221" s="16"/>
      <c r="N1221" s="39"/>
    </row>
    <row r="1222" spans="1:14" s="12" customFormat="1" ht="18">
      <c r="A1222" s="178" t="s">
        <v>120</v>
      </c>
      <c r="B1222" s="75" t="s">
        <v>272</v>
      </c>
      <c r="C1222" s="39" t="s">
        <v>17</v>
      </c>
      <c r="D1222" s="236">
        <v>3</v>
      </c>
      <c r="E1222" s="236">
        <v>3</v>
      </c>
      <c r="F1222" s="236">
        <v>2</v>
      </c>
      <c r="G1222" s="236">
        <v>2</v>
      </c>
      <c r="H1222" s="41">
        <f>SUM(Tabla132112410[[#This Row],[PRIMER TRIMESTRE]:[CUARTO TRIMESTRE]])</f>
        <v>10</v>
      </c>
      <c r="I1222" s="17">
        <v>300</v>
      </c>
      <c r="J1222" s="17">
        <f>+Tabla132112410[[#This Row],[CANTIDAD TOTAL]]*Tabla132112410[[#This Row],[PRECIO UNITARIO ESTIMADO]]</f>
        <v>3000</v>
      </c>
      <c r="K1222" s="17"/>
      <c r="L1222" s="16" t="s">
        <v>18</v>
      </c>
      <c r="M1222" s="16" t="s">
        <v>22</v>
      </c>
      <c r="N1222" s="39" t="s">
        <v>418</v>
      </c>
    </row>
    <row r="1223" spans="1:14" s="12" customFormat="1" ht="18">
      <c r="A1223" s="178" t="s">
        <v>120</v>
      </c>
      <c r="B1223" s="75" t="s">
        <v>758</v>
      </c>
      <c r="C1223" s="39" t="s">
        <v>17</v>
      </c>
      <c r="D1223" s="236"/>
      <c r="E1223" s="236"/>
      <c r="F1223" s="236"/>
      <c r="G1223" s="236"/>
      <c r="H1223" s="41">
        <f>SUM(Tabla132112410[[#This Row],[PRIMER TRIMESTRE]:[CUARTO TRIMESTRE]])</f>
        <v>0</v>
      </c>
      <c r="I1223" s="17">
        <v>61.95</v>
      </c>
      <c r="J1223" s="17">
        <f t="shared" ref="J1223:J1286" si="31">+H1223*I1223</f>
        <v>0</v>
      </c>
      <c r="K1223" s="17"/>
      <c r="L1223" s="16" t="s">
        <v>18</v>
      </c>
      <c r="M1223" s="16" t="s">
        <v>22</v>
      </c>
      <c r="N1223" s="39" t="s">
        <v>418</v>
      </c>
    </row>
    <row r="1224" spans="1:14" s="12" customFormat="1" ht="18">
      <c r="A1224" s="178" t="s">
        <v>120</v>
      </c>
      <c r="B1224" s="75" t="s">
        <v>1767</v>
      </c>
      <c r="C1224" s="39" t="s">
        <v>417</v>
      </c>
      <c r="D1224" s="236"/>
      <c r="E1224" s="236"/>
      <c r="F1224" s="236"/>
      <c r="G1224" s="236"/>
      <c r="H1224" s="41">
        <f>SUM(Tabla132112410[[#This Row],[PRIMER TRIMESTRE]:[CUARTO TRIMESTRE]])</f>
        <v>0</v>
      </c>
      <c r="I1224" s="17">
        <v>0</v>
      </c>
      <c r="J1224" s="17">
        <v>0</v>
      </c>
      <c r="K1224" s="17"/>
      <c r="L1224" s="16" t="s">
        <v>18</v>
      </c>
      <c r="M1224" s="16" t="s">
        <v>22</v>
      </c>
      <c r="N1224" s="39" t="s">
        <v>418</v>
      </c>
    </row>
    <row r="1225" spans="1:14" s="12" customFormat="1" ht="18">
      <c r="A1225" s="178" t="s">
        <v>120</v>
      </c>
      <c r="B1225" s="184" t="s">
        <v>477</v>
      </c>
      <c r="C1225" s="39" t="s">
        <v>417</v>
      </c>
      <c r="D1225" s="236"/>
      <c r="E1225" s="236"/>
      <c r="F1225" s="236"/>
      <c r="G1225" s="236"/>
      <c r="H1225" s="41">
        <f>SUM(Tabla132112410[[#This Row],[PRIMER TRIMESTRE]:[CUARTO TRIMESTRE]])</f>
        <v>0</v>
      </c>
      <c r="I1225" s="17">
        <v>650</v>
      </c>
      <c r="J1225" s="17">
        <f t="shared" si="31"/>
        <v>0</v>
      </c>
      <c r="K1225" s="17"/>
      <c r="L1225" s="16" t="s">
        <v>18</v>
      </c>
      <c r="M1225" s="16" t="s">
        <v>22</v>
      </c>
      <c r="N1225" s="39" t="s">
        <v>418</v>
      </c>
    </row>
    <row r="1226" spans="1:14" s="12" customFormat="1" ht="18">
      <c r="A1226" s="178" t="s">
        <v>120</v>
      </c>
      <c r="B1226" s="184" t="s">
        <v>478</v>
      </c>
      <c r="C1226" s="39" t="s">
        <v>417</v>
      </c>
      <c r="D1226" s="236"/>
      <c r="E1226" s="236"/>
      <c r="F1226" s="236"/>
      <c r="G1226" s="236"/>
      <c r="H1226" s="41">
        <f>SUM(Tabla132112410[[#This Row],[PRIMER TRIMESTRE]:[CUARTO TRIMESTRE]])</f>
        <v>0</v>
      </c>
      <c r="I1226" s="17">
        <v>950</v>
      </c>
      <c r="J1226" s="17">
        <f t="shared" si="31"/>
        <v>0</v>
      </c>
      <c r="K1226" s="17"/>
      <c r="L1226" s="16" t="s">
        <v>18</v>
      </c>
      <c r="M1226" s="16" t="s">
        <v>22</v>
      </c>
      <c r="N1226" s="39" t="s">
        <v>418</v>
      </c>
    </row>
    <row r="1227" spans="1:14" s="12" customFormat="1" ht="18">
      <c r="A1227" s="178" t="s">
        <v>120</v>
      </c>
      <c r="B1227" s="185" t="s">
        <v>479</v>
      </c>
      <c r="C1227" s="39" t="s">
        <v>417</v>
      </c>
      <c r="D1227" s="236"/>
      <c r="E1227" s="236"/>
      <c r="F1227" s="236"/>
      <c r="G1227" s="236"/>
      <c r="H1227" s="41">
        <f>SUM(Tabla132112410[[#This Row],[PRIMER TRIMESTRE]:[CUARTO TRIMESTRE]])</f>
        <v>0</v>
      </c>
      <c r="I1227" s="17">
        <v>650</v>
      </c>
      <c r="J1227" s="17">
        <f t="shared" si="31"/>
        <v>0</v>
      </c>
      <c r="K1227" s="17"/>
      <c r="L1227" s="16" t="s">
        <v>18</v>
      </c>
      <c r="M1227" s="16" t="s">
        <v>22</v>
      </c>
      <c r="N1227" s="39" t="s">
        <v>418</v>
      </c>
    </row>
    <row r="1228" spans="1:14" s="12" customFormat="1" ht="18">
      <c r="A1228" s="178" t="s">
        <v>120</v>
      </c>
      <c r="B1228" s="184" t="s">
        <v>480</v>
      </c>
      <c r="C1228" s="39" t="s">
        <v>417</v>
      </c>
      <c r="D1228" s="236"/>
      <c r="E1228" s="236"/>
      <c r="F1228" s="236"/>
      <c r="G1228" s="236"/>
      <c r="H1228" s="41">
        <f>SUM(Tabla132112410[[#This Row],[PRIMER TRIMESTRE]:[CUARTO TRIMESTRE]])</f>
        <v>0</v>
      </c>
      <c r="I1228" s="17">
        <v>800</v>
      </c>
      <c r="J1228" s="17">
        <f t="shared" si="31"/>
        <v>0</v>
      </c>
      <c r="K1228" s="17"/>
      <c r="L1228" s="16" t="s">
        <v>18</v>
      </c>
      <c r="M1228" s="16" t="s">
        <v>22</v>
      </c>
      <c r="N1228" s="39" t="s">
        <v>418</v>
      </c>
    </row>
    <row r="1229" spans="1:14" s="12" customFormat="1" ht="18">
      <c r="A1229" s="178" t="s">
        <v>120</v>
      </c>
      <c r="B1229" s="184" t="s">
        <v>481</v>
      </c>
      <c r="C1229" s="39" t="s">
        <v>417</v>
      </c>
      <c r="D1229" s="236"/>
      <c r="E1229" s="236"/>
      <c r="F1229" s="236"/>
      <c r="G1229" s="236"/>
      <c r="H1229" s="41">
        <f>SUM(Tabla132112410[[#This Row],[PRIMER TRIMESTRE]:[CUARTO TRIMESTRE]])</f>
        <v>0</v>
      </c>
      <c r="I1229" s="17">
        <v>1190</v>
      </c>
      <c r="J1229" s="17">
        <f t="shared" si="31"/>
        <v>0</v>
      </c>
      <c r="K1229" s="17"/>
      <c r="L1229" s="16" t="s">
        <v>18</v>
      </c>
      <c r="M1229" s="16" t="s">
        <v>22</v>
      </c>
      <c r="N1229" s="39" t="s">
        <v>418</v>
      </c>
    </row>
    <row r="1230" spans="1:14" s="12" customFormat="1" ht="18">
      <c r="A1230" s="178" t="s">
        <v>120</v>
      </c>
      <c r="B1230" s="184" t="s">
        <v>482</v>
      </c>
      <c r="C1230" s="39" t="s">
        <v>417</v>
      </c>
      <c r="D1230" s="236"/>
      <c r="E1230" s="236"/>
      <c r="F1230" s="236"/>
      <c r="G1230" s="236"/>
      <c r="H1230" s="41">
        <f>SUM(Tabla132112410[[#This Row],[PRIMER TRIMESTRE]:[CUARTO TRIMESTRE]])</f>
        <v>0</v>
      </c>
      <c r="I1230" s="17">
        <v>1050</v>
      </c>
      <c r="J1230" s="17">
        <f t="shared" si="31"/>
        <v>0</v>
      </c>
      <c r="K1230" s="17"/>
      <c r="L1230" s="16" t="s">
        <v>18</v>
      </c>
      <c r="M1230" s="16" t="s">
        <v>22</v>
      </c>
      <c r="N1230" s="39" t="s">
        <v>418</v>
      </c>
    </row>
    <row r="1231" spans="1:14" s="12" customFormat="1" ht="18">
      <c r="A1231" s="178" t="s">
        <v>120</v>
      </c>
      <c r="B1231" s="184" t="s">
        <v>483</v>
      </c>
      <c r="C1231" s="39" t="s">
        <v>417</v>
      </c>
      <c r="D1231" s="236"/>
      <c r="E1231" s="236"/>
      <c r="F1231" s="236"/>
      <c r="G1231" s="236"/>
      <c r="H1231" s="41">
        <f>SUM(Tabla132112410[[#This Row],[PRIMER TRIMESTRE]:[CUARTO TRIMESTRE]])</f>
        <v>0</v>
      </c>
      <c r="I1231" s="17">
        <v>990</v>
      </c>
      <c r="J1231" s="17">
        <f t="shared" si="31"/>
        <v>0</v>
      </c>
      <c r="K1231" s="17"/>
      <c r="L1231" s="16" t="s">
        <v>18</v>
      </c>
      <c r="M1231" s="16" t="s">
        <v>22</v>
      </c>
      <c r="N1231" s="39" t="s">
        <v>418</v>
      </c>
    </row>
    <row r="1232" spans="1:14" s="12" customFormat="1" ht="18">
      <c r="A1232" s="178" t="s">
        <v>120</v>
      </c>
      <c r="B1232" s="184" t="s">
        <v>484</v>
      </c>
      <c r="C1232" s="39" t="s">
        <v>417</v>
      </c>
      <c r="D1232" s="236"/>
      <c r="E1232" s="236"/>
      <c r="F1232" s="236"/>
      <c r="G1232" s="236"/>
      <c r="H1232" s="41">
        <f>SUM(Tabla132112410[[#This Row],[PRIMER TRIMESTRE]:[CUARTO TRIMESTRE]])</f>
        <v>0</v>
      </c>
      <c r="I1232" s="17">
        <v>450</v>
      </c>
      <c r="J1232" s="17">
        <f t="shared" si="31"/>
        <v>0</v>
      </c>
      <c r="K1232" s="17"/>
      <c r="L1232" s="16" t="s">
        <v>18</v>
      </c>
      <c r="M1232" s="16" t="s">
        <v>22</v>
      </c>
      <c r="N1232" s="39" t="s">
        <v>418</v>
      </c>
    </row>
    <row r="1233" spans="1:14" s="12" customFormat="1" ht="18">
      <c r="A1233" s="178" t="s">
        <v>120</v>
      </c>
      <c r="B1233" s="184" t="s">
        <v>485</v>
      </c>
      <c r="C1233" s="39" t="s">
        <v>417</v>
      </c>
      <c r="D1233" s="236"/>
      <c r="E1233" s="236"/>
      <c r="F1233" s="236"/>
      <c r="G1233" s="236"/>
      <c r="H1233" s="41">
        <f>SUM(Tabla132112410[[#This Row],[PRIMER TRIMESTRE]:[CUARTO TRIMESTRE]])</f>
        <v>0</v>
      </c>
      <c r="I1233" s="17">
        <v>550</v>
      </c>
      <c r="J1233" s="17">
        <f t="shared" si="31"/>
        <v>0</v>
      </c>
      <c r="K1233" s="17"/>
      <c r="L1233" s="16" t="s">
        <v>18</v>
      </c>
      <c r="M1233" s="16" t="s">
        <v>22</v>
      </c>
      <c r="N1233" s="39" t="s">
        <v>418</v>
      </c>
    </row>
    <row r="1234" spans="1:14" s="12" customFormat="1" ht="18">
      <c r="A1234" s="178" t="s">
        <v>120</v>
      </c>
      <c r="B1234" s="184" t="s">
        <v>486</v>
      </c>
      <c r="C1234" s="39" t="s">
        <v>417</v>
      </c>
      <c r="D1234" s="236"/>
      <c r="E1234" s="236"/>
      <c r="F1234" s="236"/>
      <c r="G1234" s="236"/>
      <c r="H1234" s="41">
        <f>SUM(Tabla132112410[[#This Row],[PRIMER TRIMESTRE]:[CUARTO TRIMESTRE]])</f>
        <v>0</v>
      </c>
      <c r="I1234" s="17">
        <v>1000</v>
      </c>
      <c r="J1234" s="17">
        <f t="shared" si="31"/>
        <v>0</v>
      </c>
      <c r="K1234" s="17"/>
      <c r="L1234" s="16" t="s">
        <v>18</v>
      </c>
      <c r="M1234" s="16" t="s">
        <v>22</v>
      </c>
      <c r="N1234" s="39" t="s">
        <v>418</v>
      </c>
    </row>
    <row r="1235" spans="1:14" s="12" customFormat="1" ht="18">
      <c r="A1235" s="178" t="s">
        <v>120</v>
      </c>
      <c r="B1235" s="184" t="s">
        <v>487</v>
      </c>
      <c r="C1235" s="39" t="s">
        <v>417</v>
      </c>
      <c r="D1235" s="236"/>
      <c r="E1235" s="236"/>
      <c r="F1235" s="236"/>
      <c r="G1235" s="236"/>
      <c r="H1235" s="41">
        <f>SUM(Tabla132112410[[#This Row],[PRIMER TRIMESTRE]:[CUARTO TRIMESTRE]])</f>
        <v>0</v>
      </c>
      <c r="I1235" s="17">
        <v>850</v>
      </c>
      <c r="J1235" s="17">
        <f t="shared" si="31"/>
        <v>0</v>
      </c>
      <c r="K1235" s="17"/>
      <c r="L1235" s="16" t="s">
        <v>18</v>
      </c>
      <c r="M1235" s="16" t="s">
        <v>22</v>
      </c>
      <c r="N1235" s="39" t="s">
        <v>418</v>
      </c>
    </row>
    <row r="1236" spans="1:14" s="12" customFormat="1" ht="18">
      <c r="A1236" s="178" t="s">
        <v>120</v>
      </c>
      <c r="B1236" s="184" t="s">
        <v>488</v>
      </c>
      <c r="C1236" s="39" t="s">
        <v>417</v>
      </c>
      <c r="D1236" s="236"/>
      <c r="E1236" s="236"/>
      <c r="F1236" s="236"/>
      <c r="G1236" s="236"/>
      <c r="H1236" s="41">
        <f>SUM(Tabla132112410[[#This Row],[PRIMER TRIMESTRE]:[CUARTO TRIMESTRE]])</f>
        <v>0</v>
      </c>
      <c r="I1236" s="17">
        <v>850</v>
      </c>
      <c r="J1236" s="17">
        <f t="shared" si="31"/>
        <v>0</v>
      </c>
      <c r="K1236" s="17"/>
      <c r="L1236" s="16" t="s">
        <v>18</v>
      </c>
      <c r="M1236" s="16" t="s">
        <v>22</v>
      </c>
      <c r="N1236" s="39" t="s">
        <v>418</v>
      </c>
    </row>
    <row r="1237" spans="1:14" s="12" customFormat="1" ht="18">
      <c r="A1237" s="178" t="s">
        <v>120</v>
      </c>
      <c r="B1237" s="184" t="s">
        <v>489</v>
      </c>
      <c r="C1237" s="39" t="s">
        <v>417</v>
      </c>
      <c r="D1237" s="236"/>
      <c r="E1237" s="236"/>
      <c r="F1237" s="236"/>
      <c r="G1237" s="236"/>
      <c r="H1237" s="41">
        <f>SUM(Tabla132112410[[#This Row],[PRIMER TRIMESTRE]:[CUARTO TRIMESTRE]])</f>
        <v>0</v>
      </c>
      <c r="I1237" s="17">
        <v>650</v>
      </c>
      <c r="J1237" s="17">
        <f t="shared" si="31"/>
        <v>0</v>
      </c>
      <c r="K1237" s="17"/>
      <c r="L1237" s="16" t="s">
        <v>18</v>
      </c>
      <c r="M1237" s="16" t="s">
        <v>22</v>
      </c>
      <c r="N1237" s="39" t="s">
        <v>418</v>
      </c>
    </row>
    <row r="1238" spans="1:14" s="12" customFormat="1" ht="18">
      <c r="A1238" s="178" t="s">
        <v>120</v>
      </c>
      <c r="B1238" s="184" t="s">
        <v>490</v>
      </c>
      <c r="C1238" s="39" t="s">
        <v>417</v>
      </c>
      <c r="D1238" s="236"/>
      <c r="E1238" s="236"/>
      <c r="F1238" s="236"/>
      <c r="G1238" s="236"/>
      <c r="H1238" s="41">
        <f>SUM(Tabla132112410[[#This Row],[PRIMER TRIMESTRE]:[CUARTO TRIMESTRE]])</f>
        <v>0</v>
      </c>
      <c r="I1238" s="17">
        <v>1100</v>
      </c>
      <c r="J1238" s="17">
        <f t="shared" si="31"/>
        <v>0</v>
      </c>
      <c r="K1238" s="17"/>
      <c r="L1238" s="16" t="s">
        <v>18</v>
      </c>
      <c r="M1238" s="16" t="s">
        <v>22</v>
      </c>
      <c r="N1238" s="39" t="s">
        <v>418</v>
      </c>
    </row>
    <row r="1239" spans="1:14" s="12" customFormat="1" ht="18">
      <c r="A1239" s="178" t="s">
        <v>120</v>
      </c>
      <c r="B1239" s="184" t="s">
        <v>491</v>
      </c>
      <c r="C1239" s="39" t="s">
        <v>417</v>
      </c>
      <c r="D1239" s="236"/>
      <c r="E1239" s="236"/>
      <c r="F1239" s="236"/>
      <c r="G1239" s="236"/>
      <c r="H1239" s="41">
        <f>SUM(Tabla132112410[[#This Row],[PRIMER TRIMESTRE]:[CUARTO TRIMESTRE]])</f>
        <v>0</v>
      </c>
      <c r="I1239" s="17">
        <v>1100</v>
      </c>
      <c r="J1239" s="17">
        <f t="shared" si="31"/>
        <v>0</v>
      </c>
      <c r="K1239" s="17"/>
      <c r="L1239" s="16" t="s">
        <v>18</v>
      </c>
      <c r="M1239" s="16" t="s">
        <v>22</v>
      </c>
      <c r="N1239" s="39" t="s">
        <v>418</v>
      </c>
    </row>
    <row r="1240" spans="1:14" s="12" customFormat="1" ht="18">
      <c r="A1240" s="178" t="s">
        <v>120</v>
      </c>
      <c r="B1240" s="184" t="s">
        <v>492</v>
      </c>
      <c r="C1240" s="39" t="s">
        <v>417</v>
      </c>
      <c r="D1240" s="236"/>
      <c r="E1240" s="236"/>
      <c r="F1240" s="236"/>
      <c r="G1240" s="236"/>
      <c r="H1240" s="41">
        <f>SUM(Tabla132112410[[#This Row],[PRIMER TRIMESTRE]:[CUARTO TRIMESTRE]])</f>
        <v>0</v>
      </c>
      <c r="I1240" s="17">
        <v>1500</v>
      </c>
      <c r="J1240" s="17">
        <f t="shared" si="31"/>
        <v>0</v>
      </c>
      <c r="K1240" s="17"/>
      <c r="L1240" s="16" t="s">
        <v>18</v>
      </c>
      <c r="M1240" s="16" t="s">
        <v>22</v>
      </c>
      <c r="N1240" s="39" t="s">
        <v>418</v>
      </c>
    </row>
    <row r="1241" spans="1:14" s="12" customFormat="1" ht="18">
      <c r="A1241" s="178" t="s">
        <v>120</v>
      </c>
      <c r="B1241" s="184" t="s">
        <v>493</v>
      </c>
      <c r="C1241" s="39" t="s">
        <v>417</v>
      </c>
      <c r="D1241" s="236"/>
      <c r="E1241" s="236"/>
      <c r="F1241" s="236"/>
      <c r="G1241" s="236"/>
      <c r="H1241" s="41">
        <f>SUM(Tabla132112410[[#This Row],[PRIMER TRIMESTRE]:[CUARTO TRIMESTRE]])</f>
        <v>0</v>
      </c>
      <c r="I1241" s="17">
        <v>1650</v>
      </c>
      <c r="J1241" s="17">
        <f t="shared" si="31"/>
        <v>0</v>
      </c>
      <c r="K1241" s="17"/>
      <c r="L1241" s="16" t="s">
        <v>18</v>
      </c>
      <c r="M1241" s="16" t="s">
        <v>22</v>
      </c>
      <c r="N1241" s="39" t="s">
        <v>418</v>
      </c>
    </row>
    <row r="1242" spans="1:14" s="12" customFormat="1" ht="18">
      <c r="A1242" s="178" t="s">
        <v>120</v>
      </c>
      <c r="B1242" s="184" t="s">
        <v>494</v>
      </c>
      <c r="C1242" s="39" t="s">
        <v>417</v>
      </c>
      <c r="D1242" s="236"/>
      <c r="E1242" s="236"/>
      <c r="F1242" s="236"/>
      <c r="G1242" s="236"/>
      <c r="H1242" s="41">
        <f>SUM(Tabla132112410[[#This Row],[PRIMER TRIMESTRE]:[CUARTO TRIMESTRE]])</f>
        <v>0</v>
      </c>
      <c r="I1242" s="17">
        <v>1250</v>
      </c>
      <c r="J1242" s="17">
        <f t="shared" si="31"/>
        <v>0</v>
      </c>
      <c r="K1242" s="17"/>
      <c r="L1242" s="16" t="s">
        <v>18</v>
      </c>
      <c r="M1242" s="16" t="s">
        <v>22</v>
      </c>
      <c r="N1242" s="39" t="s">
        <v>418</v>
      </c>
    </row>
    <row r="1243" spans="1:14" s="12" customFormat="1" ht="18">
      <c r="A1243" s="178" t="s">
        <v>120</v>
      </c>
      <c r="B1243" s="185" t="s">
        <v>495</v>
      </c>
      <c r="C1243" s="39" t="s">
        <v>417</v>
      </c>
      <c r="D1243" s="236"/>
      <c r="E1243" s="236"/>
      <c r="F1243" s="236"/>
      <c r="G1243" s="236"/>
      <c r="H1243" s="41">
        <f>SUM(Tabla132112410[[#This Row],[PRIMER TRIMESTRE]:[CUARTO TRIMESTRE]])</f>
        <v>0</v>
      </c>
      <c r="I1243" s="17">
        <v>1672</v>
      </c>
      <c r="J1243" s="17">
        <f t="shared" si="31"/>
        <v>0</v>
      </c>
      <c r="K1243" s="17"/>
      <c r="L1243" s="16" t="s">
        <v>18</v>
      </c>
      <c r="M1243" s="16" t="s">
        <v>22</v>
      </c>
      <c r="N1243" s="39" t="s">
        <v>418</v>
      </c>
    </row>
    <row r="1244" spans="1:14" s="12" customFormat="1" ht="25.5">
      <c r="A1244" s="178" t="s">
        <v>120</v>
      </c>
      <c r="B1244" s="185" t="s">
        <v>533</v>
      </c>
      <c r="C1244" s="39" t="s">
        <v>417</v>
      </c>
      <c r="D1244" s="236"/>
      <c r="E1244" s="236"/>
      <c r="F1244" s="236"/>
      <c r="G1244" s="236"/>
      <c r="H1244" s="41">
        <f>SUM(Tabla132112410[[#This Row],[PRIMER TRIMESTRE]:[CUARTO TRIMESTRE]])</f>
        <v>0</v>
      </c>
      <c r="I1244" s="17">
        <v>720</v>
      </c>
      <c r="J1244" s="17">
        <f t="shared" si="31"/>
        <v>0</v>
      </c>
      <c r="K1244" s="17"/>
      <c r="L1244" s="16" t="s">
        <v>18</v>
      </c>
      <c r="M1244" s="16" t="s">
        <v>22</v>
      </c>
      <c r="N1244" s="39" t="s">
        <v>418</v>
      </c>
    </row>
    <row r="1245" spans="1:14" s="12" customFormat="1" ht="25.5">
      <c r="A1245" s="178" t="s">
        <v>120</v>
      </c>
      <c r="B1245" s="185" t="s">
        <v>534</v>
      </c>
      <c r="C1245" s="39" t="s">
        <v>417</v>
      </c>
      <c r="D1245" s="236"/>
      <c r="E1245" s="236"/>
      <c r="F1245" s="236"/>
      <c r="G1245" s="236"/>
      <c r="H1245" s="41">
        <f>SUM(Tabla132112410[[#This Row],[PRIMER TRIMESTRE]:[CUARTO TRIMESTRE]])</f>
        <v>0</v>
      </c>
      <c r="I1245" s="17">
        <v>1280</v>
      </c>
      <c r="J1245" s="17">
        <f t="shared" si="31"/>
        <v>0</v>
      </c>
      <c r="K1245" s="17"/>
      <c r="L1245" s="16" t="s">
        <v>18</v>
      </c>
      <c r="M1245" s="16" t="s">
        <v>22</v>
      </c>
      <c r="N1245" s="39" t="s">
        <v>418</v>
      </c>
    </row>
    <row r="1246" spans="1:14" s="12" customFormat="1" ht="18">
      <c r="A1246" s="178" t="s">
        <v>120</v>
      </c>
      <c r="B1246" s="185" t="s">
        <v>1443</v>
      </c>
      <c r="C1246" s="39" t="s">
        <v>417</v>
      </c>
      <c r="D1246" s="236"/>
      <c r="E1246" s="236"/>
      <c r="F1246" s="236"/>
      <c r="G1246" s="236"/>
      <c r="H1246" s="41">
        <f>SUM(Tabla132112410[[#This Row],[PRIMER TRIMESTRE]:[CUARTO TRIMESTRE]])</f>
        <v>0</v>
      </c>
      <c r="I1246" s="17">
        <v>4159.5</v>
      </c>
      <c r="J1246" s="17">
        <f t="shared" si="31"/>
        <v>0</v>
      </c>
      <c r="K1246" s="17"/>
      <c r="L1246" s="16" t="s">
        <v>15</v>
      </c>
      <c r="M1246" s="16" t="s">
        <v>22</v>
      </c>
      <c r="N1246" s="39" t="s">
        <v>418</v>
      </c>
    </row>
    <row r="1247" spans="1:14" s="12" customFormat="1" ht="18">
      <c r="A1247" s="178" t="s">
        <v>120</v>
      </c>
      <c r="B1247" s="185" t="s">
        <v>1444</v>
      </c>
      <c r="C1247" s="39" t="s">
        <v>417</v>
      </c>
      <c r="D1247" s="236"/>
      <c r="E1247" s="236"/>
      <c r="F1247" s="236"/>
      <c r="G1247" s="236"/>
      <c r="H1247" s="41">
        <f>SUM(Tabla132112410[[#This Row],[PRIMER TRIMESTRE]:[CUARTO TRIMESTRE]])</f>
        <v>0</v>
      </c>
      <c r="I1247" s="17">
        <v>4159.5</v>
      </c>
      <c r="J1247" s="17">
        <f t="shared" si="31"/>
        <v>0</v>
      </c>
      <c r="K1247" s="17"/>
      <c r="L1247" s="16" t="s">
        <v>15</v>
      </c>
      <c r="M1247" s="16" t="s">
        <v>22</v>
      </c>
      <c r="N1247" s="39" t="s">
        <v>418</v>
      </c>
    </row>
    <row r="1248" spans="1:14" s="12" customFormat="1" ht="18">
      <c r="A1248" s="178" t="s">
        <v>120</v>
      </c>
      <c r="B1248" s="185" t="s">
        <v>1445</v>
      </c>
      <c r="C1248" s="39" t="s">
        <v>417</v>
      </c>
      <c r="D1248" s="236"/>
      <c r="E1248" s="236"/>
      <c r="F1248" s="236"/>
      <c r="G1248" s="236"/>
      <c r="H1248" s="41">
        <f>SUM(Tabla132112410[[#This Row],[PRIMER TRIMESTRE]:[CUARTO TRIMESTRE]])</f>
        <v>0</v>
      </c>
      <c r="I1248" s="17">
        <v>4159.5</v>
      </c>
      <c r="J1248" s="17">
        <f t="shared" si="31"/>
        <v>0</v>
      </c>
      <c r="K1248" s="17"/>
      <c r="L1248" s="16" t="s">
        <v>15</v>
      </c>
      <c r="M1248" s="16" t="s">
        <v>22</v>
      </c>
      <c r="N1248" s="39" t="s">
        <v>418</v>
      </c>
    </row>
    <row r="1249" spans="1:14" s="12" customFormat="1" ht="18">
      <c r="A1249" s="178" t="s">
        <v>120</v>
      </c>
      <c r="B1249" s="185" t="s">
        <v>474</v>
      </c>
      <c r="C1249" s="39" t="s">
        <v>417</v>
      </c>
      <c r="D1249" s="236"/>
      <c r="E1249" s="236"/>
      <c r="F1249" s="236"/>
      <c r="G1249" s="236"/>
      <c r="H1249" s="41">
        <f>SUM(Tabla132112410[[#This Row],[PRIMER TRIMESTRE]:[CUARTO TRIMESTRE]])</f>
        <v>0</v>
      </c>
      <c r="I1249" s="17">
        <v>2900</v>
      </c>
      <c r="J1249" s="17">
        <f t="shared" si="31"/>
        <v>0</v>
      </c>
      <c r="K1249" s="17"/>
      <c r="L1249" s="16" t="s">
        <v>18</v>
      </c>
      <c r="M1249" s="16" t="s">
        <v>22</v>
      </c>
      <c r="N1249" s="39" t="s">
        <v>418</v>
      </c>
    </row>
    <row r="1250" spans="1:14" s="12" customFormat="1" ht="18">
      <c r="A1250" s="178" t="s">
        <v>120</v>
      </c>
      <c r="B1250" s="184" t="s">
        <v>475</v>
      </c>
      <c r="C1250" s="39" t="s">
        <v>417</v>
      </c>
      <c r="D1250" s="236"/>
      <c r="E1250" s="236"/>
      <c r="F1250" s="236"/>
      <c r="G1250" s="236"/>
      <c r="H1250" s="41">
        <f>SUM(Tabla132112410[[#This Row],[PRIMER TRIMESTRE]:[CUARTO TRIMESTRE]])</f>
        <v>0</v>
      </c>
      <c r="I1250" s="17">
        <v>2350</v>
      </c>
      <c r="J1250" s="17">
        <f t="shared" si="31"/>
        <v>0</v>
      </c>
      <c r="K1250" s="17"/>
      <c r="L1250" s="16" t="s">
        <v>18</v>
      </c>
      <c r="M1250" s="16" t="s">
        <v>22</v>
      </c>
      <c r="N1250" s="39" t="s">
        <v>418</v>
      </c>
    </row>
    <row r="1251" spans="1:14" s="12" customFormat="1" ht="18">
      <c r="A1251" s="178" t="s">
        <v>120</v>
      </c>
      <c r="B1251" s="184" t="s">
        <v>476</v>
      </c>
      <c r="C1251" s="39" t="s">
        <v>417</v>
      </c>
      <c r="D1251" s="236"/>
      <c r="E1251" s="236"/>
      <c r="F1251" s="236"/>
      <c r="G1251" s="236"/>
      <c r="H1251" s="41">
        <f>SUM(Tabla132112410[[#This Row],[PRIMER TRIMESTRE]:[CUARTO TRIMESTRE]])</f>
        <v>0</v>
      </c>
      <c r="I1251" s="17">
        <v>3990</v>
      </c>
      <c r="J1251" s="17">
        <f t="shared" si="31"/>
        <v>0</v>
      </c>
      <c r="K1251" s="17"/>
      <c r="L1251" s="16" t="s">
        <v>18</v>
      </c>
      <c r="M1251" s="16" t="s">
        <v>22</v>
      </c>
      <c r="N1251" s="39" t="s">
        <v>418</v>
      </c>
    </row>
    <row r="1252" spans="1:14" s="12" customFormat="1" ht="18">
      <c r="A1252" s="178" t="s">
        <v>120</v>
      </c>
      <c r="B1252" s="185" t="s">
        <v>496</v>
      </c>
      <c r="C1252" s="39" t="s">
        <v>417</v>
      </c>
      <c r="D1252" s="236"/>
      <c r="E1252" s="236"/>
      <c r="F1252" s="236"/>
      <c r="G1252" s="236"/>
      <c r="H1252" s="41">
        <f>SUM(Tabla132112410[[#This Row],[PRIMER TRIMESTRE]:[CUARTO TRIMESTRE]])</f>
        <v>0</v>
      </c>
      <c r="I1252" s="17">
        <v>4200</v>
      </c>
      <c r="J1252" s="17">
        <f t="shared" si="31"/>
        <v>0</v>
      </c>
      <c r="K1252" s="17"/>
      <c r="L1252" s="16" t="s">
        <v>18</v>
      </c>
      <c r="M1252" s="16" t="s">
        <v>22</v>
      </c>
      <c r="N1252" s="39" t="s">
        <v>418</v>
      </c>
    </row>
    <row r="1253" spans="1:14" s="12" customFormat="1" ht="18">
      <c r="A1253" s="178" t="s">
        <v>120</v>
      </c>
      <c r="B1253" s="184" t="s">
        <v>497</v>
      </c>
      <c r="C1253" s="39" t="s">
        <v>417</v>
      </c>
      <c r="D1253" s="236"/>
      <c r="E1253" s="236"/>
      <c r="F1253" s="236"/>
      <c r="G1253" s="236"/>
      <c r="H1253" s="41">
        <f>SUM(Tabla132112410[[#This Row],[PRIMER TRIMESTRE]:[CUARTO TRIMESTRE]])</f>
        <v>0</v>
      </c>
      <c r="I1253" s="17">
        <v>4200</v>
      </c>
      <c r="J1253" s="17">
        <f t="shared" si="31"/>
        <v>0</v>
      </c>
      <c r="K1253" s="17"/>
      <c r="L1253" s="16" t="s">
        <v>18</v>
      </c>
      <c r="M1253" s="16" t="s">
        <v>22</v>
      </c>
      <c r="N1253" s="39" t="s">
        <v>418</v>
      </c>
    </row>
    <row r="1254" spans="1:14" s="12" customFormat="1" ht="18">
      <c r="A1254" s="178" t="s">
        <v>120</v>
      </c>
      <c r="B1254" s="184" t="s">
        <v>498</v>
      </c>
      <c r="C1254" s="39" t="s">
        <v>417</v>
      </c>
      <c r="D1254" s="236"/>
      <c r="E1254" s="236"/>
      <c r="F1254" s="236"/>
      <c r="G1254" s="236"/>
      <c r="H1254" s="41">
        <f>SUM(Tabla132112410[[#This Row],[PRIMER TRIMESTRE]:[CUARTO TRIMESTRE]])</f>
        <v>0</v>
      </c>
      <c r="I1254" s="17">
        <v>4200</v>
      </c>
      <c r="J1254" s="17">
        <f t="shared" si="31"/>
        <v>0</v>
      </c>
      <c r="K1254" s="17"/>
      <c r="L1254" s="16" t="s">
        <v>18</v>
      </c>
      <c r="M1254" s="16" t="s">
        <v>22</v>
      </c>
      <c r="N1254" s="39" t="s">
        <v>418</v>
      </c>
    </row>
    <row r="1255" spans="1:14" s="12" customFormat="1" ht="18">
      <c r="A1255" s="178" t="s">
        <v>120</v>
      </c>
      <c r="B1255" s="184" t="s">
        <v>499</v>
      </c>
      <c r="C1255" s="39" t="s">
        <v>417</v>
      </c>
      <c r="D1255" s="236"/>
      <c r="E1255" s="236"/>
      <c r="F1255" s="236"/>
      <c r="G1255" s="236"/>
      <c r="H1255" s="41">
        <f>SUM(Tabla132112410[[#This Row],[PRIMER TRIMESTRE]:[CUARTO TRIMESTRE]])</f>
        <v>0</v>
      </c>
      <c r="I1255" s="17">
        <v>4200</v>
      </c>
      <c r="J1255" s="17">
        <f t="shared" si="31"/>
        <v>0</v>
      </c>
      <c r="K1255" s="17"/>
      <c r="L1255" s="16" t="s">
        <v>18</v>
      </c>
      <c r="M1255" s="16" t="s">
        <v>22</v>
      </c>
      <c r="N1255" s="39" t="s">
        <v>418</v>
      </c>
    </row>
    <row r="1256" spans="1:14" s="12" customFormat="1" ht="18">
      <c r="A1256" s="178" t="s">
        <v>120</v>
      </c>
      <c r="B1256" s="185" t="s">
        <v>500</v>
      </c>
      <c r="C1256" s="39" t="s">
        <v>417</v>
      </c>
      <c r="D1256" s="236"/>
      <c r="E1256" s="236"/>
      <c r="F1256" s="236"/>
      <c r="G1256" s="236"/>
      <c r="H1256" s="41">
        <f>SUM(Tabla132112410[[#This Row],[PRIMER TRIMESTRE]:[CUARTO TRIMESTRE]])</f>
        <v>0</v>
      </c>
      <c r="I1256" s="17">
        <v>8210.5</v>
      </c>
      <c r="J1256" s="17">
        <f t="shared" si="31"/>
        <v>0</v>
      </c>
      <c r="K1256" s="17"/>
      <c r="L1256" s="16" t="s">
        <v>18</v>
      </c>
      <c r="M1256" s="16" t="s">
        <v>22</v>
      </c>
      <c r="N1256" s="39" t="s">
        <v>418</v>
      </c>
    </row>
    <row r="1257" spans="1:14" s="12" customFormat="1" ht="18">
      <c r="A1257" s="178" t="s">
        <v>120</v>
      </c>
      <c r="B1257" s="185" t="s">
        <v>501</v>
      </c>
      <c r="C1257" s="39" t="s">
        <v>417</v>
      </c>
      <c r="D1257" s="236"/>
      <c r="E1257" s="236"/>
      <c r="F1257" s="236"/>
      <c r="G1257" s="236"/>
      <c r="H1257" s="41">
        <f>SUM(Tabla132112410[[#This Row],[PRIMER TRIMESTRE]:[CUARTO TRIMESTRE]])</f>
        <v>0</v>
      </c>
      <c r="I1257" s="17">
        <v>3250</v>
      </c>
      <c r="J1257" s="17">
        <f t="shared" si="31"/>
        <v>0</v>
      </c>
      <c r="K1257" s="17"/>
      <c r="L1257" s="16" t="s">
        <v>18</v>
      </c>
      <c r="M1257" s="16" t="s">
        <v>22</v>
      </c>
      <c r="N1257" s="39" t="s">
        <v>418</v>
      </c>
    </row>
    <row r="1258" spans="1:14" s="12" customFormat="1" ht="18">
      <c r="A1258" s="178" t="s">
        <v>120</v>
      </c>
      <c r="B1258" s="184" t="s">
        <v>502</v>
      </c>
      <c r="C1258" s="39" t="s">
        <v>417</v>
      </c>
      <c r="D1258" s="236"/>
      <c r="E1258" s="236"/>
      <c r="F1258" s="236"/>
      <c r="G1258" s="236"/>
      <c r="H1258" s="41">
        <f>SUM(Tabla132112410[[#This Row],[PRIMER TRIMESTRE]:[CUARTO TRIMESTRE]])</f>
        <v>0</v>
      </c>
      <c r="I1258" s="17">
        <v>450</v>
      </c>
      <c r="J1258" s="17">
        <f t="shared" si="31"/>
        <v>0</v>
      </c>
      <c r="K1258" s="17"/>
      <c r="L1258" s="16" t="s">
        <v>18</v>
      </c>
      <c r="M1258" s="16" t="s">
        <v>22</v>
      </c>
      <c r="N1258" s="39" t="s">
        <v>418</v>
      </c>
    </row>
    <row r="1259" spans="1:14" s="12" customFormat="1" ht="18">
      <c r="A1259" s="178" t="s">
        <v>120</v>
      </c>
      <c r="B1259" s="184" t="s">
        <v>503</v>
      </c>
      <c r="C1259" s="39" t="s">
        <v>417</v>
      </c>
      <c r="D1259" s="236"/>
      <c r="E1259" s="236"/>
      <c r="F1259" s="236"/>
      <c r="G1259" s="236"/>
      <c r="H1259" s="41">
        <f>SUM(Tabla132112410[[#This Row],[PRIMER TRIMESTRE]:[CUARTO TRIMESTRE]])</f>
        <v>0</v>
      </c>
      <c r="I1259" s="17">
        <v>450</v>
      </c>
      <c r="J1259" s="17">
        <f t="shared" si="31"/>
        <v>0</v>
      </c>
      <c r="K1259" s="17"/>
      <c r="L1259" s="16" t="s">
        <v>18</v>
      </c>
      <c r="M1259" s="16" t="s">
        <v>22</v>
      </c>
      <c r="N1259" s="39" t="s">
        <v>418</v>
      </c>
    </row>
    <row r="1260" spans="1:14" s="12" customFormat="1" ht="18">
      <c r="A1260" s="178" t="s">
        <v>120</v>
      </c>
      <c r="B1260" s="184" t="s">
        <v>504</v>
      </c>
      <c r="C1260" s="39" t="s">
        <v>417</v>
      </c>
      <c r="D1260" s="236"/>
      <c r="E1260" s="236"/>
      <c r="F1260" s="236"/>
      <c r="G1260" s="236"/>
      <c r="H1260" s="41">
        <f>SUM(Tabla132112410[[#This Row],[PRIMER TRIMESTRE]:[CUARTO TRIMESTRE]])</f>
        <v>0</v>
      </c>
      <c r="I1260" s="17">
        <v>450</v>
      </c>
      <c r="J1260" s="17">
        <f t="shared" si="31"/>
        <v>0</v>
      </c>
      <c r="K1260" s="17"/>
      <c r="L1260" s="16" t="s">
        <v>18</v>
      </c>
      <c r="M1260" s="16" t="s">
        <v>22</v>
      </c>
      <c r="N1260" s="39" t="s">
        <v>418</v>
      </c>
    </row>
    <row r="1261" spans="1:14" s="12" customFormat="1" ht="18">
      <c r="A1261" s="178" t="s">
        <v>120</v>
      </c>
      <c r="B1261" s="184" t="s">
        <v>505</v>
      </c>
      <c r="C1261" s="39" t="s">
        <v>417</v>
      </c>
      <c r="D1261" s="236"/>
      <c r="E1261" s="236"/>
      <c r="F1261" s="236"/>
      <c r="G1261" s="236"/>
      <c r="H1261" s="41">
        <f>SUM(Tabla132112410[[#This Row],[PRIMER TRIMESTRE]:[CUARTO TRIMESTRE]])</f>
        <v>0</v>
      </c>
      <c r="I1261" s="17">
        <v>450</v>
      </c>
      <c r="J1261" s="17">
        <f t="shared" si="31"/>
        <v>0</v>
      </c>
      <c r="K1261" s="17"/>
      <c r="L1261" s="16" t="s">
        <v>18</v>
      </c>
      <c r="M1261" s="16" t="s">
        <v>22</v>
      </c>
      <c r="N1261" s="39" t="s">
        <v>418</v>
      </c>
    </row>
    <row r="1262" spans="1:14" s="12" customFormat="1" ht="18">
      <c r="A1262" s="178" t="s">
        <v>120</v>
      </c>
      <c r="B1262" s="184" t="s">
        <v>506</v>
      </c>
      <c r="C1262" s="39" t="s">
        <v>417</v>
      </c>
      <c r="D1262" s="236"/>
      <c r="E1262" s="236"/>
      <c r="F1262" s="236"/>
      <c r="G1262" s="236"/>
      <c r="H1262" s="41">
        <f>SUM(Tabla132112410[[#This Row],[PRIMER TRIMESTRE]:[CUARTO TRIMESTRE]])</f>
        <v>0</v>
      </c>
      <c r="I1262" s="17">
        <v>5800</v>
      </c>
      <c r="J1262" s="17">
        <f t="shared" si="31"/>
        <v>0</v>
      </c>
      <c r="K1262" s="17"/>
      <c r="L1262" s="16" t="s">
        <v>18</v>
      </c>
      <c r="M1262" s="16" t="s">
        <v>22</v>
      </c>
      <c r="N1262" s="39" t="s">
        <v>418</v>
      </c>
    </row>
    <row r="1263" spans="1:14" s="12" customFormat="1" ht="18">
      <c r="A1263" s="178" t="s">
        <v>120</v>
      </c>
      <c r="B1263" s="184" t="s">
        <v>507</v>
      </c>
      <c r="C1263" s="39" t="s">
        <v>417</v>
      </c>
      <c r="D1263" s="236"/>
      <c r="E1263" s="236"/>
      <c r="F1263" s="236"/>
      <c r="G1263" s="236"/>
      <c r="H1263" s="41">
        <f>SUM(Tabla132112410[[#This Row],[PRIMER TRIMESTRE]:[CUARTO TRIMESTRE]])</f>
        <v>0</v>
      </c>
      <c r="I1263" s="17">
        <v>2800</v>
      </c>
      <c r="J1263" s="17">
        <f t="shared" si="31"/>
        <v>0</v>
      </c>
      <c r="K1263" s="17"/>
      <c r="L1263" s="16" t="s">
        <v>18</v>
      </c>
      <c r="M1263" s="16" t="s">
        <v>22</v>
      </c>
      <c r="N1263" s="39" t="s">
        <v>418</v>
      </c>
    </row>
    <row r="1264" spans="1:14" s="12" customFormat="1" ht="18">
      <c r="A1264" s="178" t="s">
        <v>120</v>
      </c>
      <c r="B1264" s="184" t="s">
        <v>508</v>
      </c>
      <c r="C1264" s="39" t="s">
        <v>417</v>
      </c>
      <c r="D1264" s="236"/>
      <c r="E1264" s="236"/>
      <c r="F1264" s="236"/>
      <c r="G1264" s="236"/>
      <c r="H1264" s="41">
        <f>SUM(Tabla132112410[[#This Row],[PRIMER TRIMESTRE]:[CUARTO TRIMESTRE]])</f>
        <v>0</v>
      </c>
      <c r="I1264" s="17">
        <v>5100</v>
      </c>
      <c r="J1264" s="17">
        <f t="shared" si="31"/>
        <v>0</v>
      </c>
      <c r="K1264" s="17"/>
      <c r="L1264" s="16" t="s">
        <v>18</v>
      </c>
      <c r="M1264" s="16" t="s">
        <v>22</v>
      </c>
      <c r="N1264" s="39" t="s">
        <v>418</v>
      </c>
    </row>
    <row r="1265" spans="1:14" s="12" customFormat="1" ht="18">
      <c r="A1265" s="178" t="s">
        <v>120</v>
      </c>
      <c r="B1265" s="184" t="s">
        <v>509</v>
      </c>
      <c r="C1265" s="39" t="s">
        <v>417</v>
      </c>
      <c r="D1265" s="236"/>
      <c r="E1265" s="236"/>
      <c r="F1265" s="236"/>
      <c r="G1265" s="236"/>
      <c r="H1265" s="41">
        <f>SUM(Tabla132112410[[#This Row],[PRIMER TRIMESTRE]:[CUARTO TRIMESTRE]])</f>
        <v>0</v>
      </c>
      <c r="I1265" s="17">
        <v>5100</v>
      </c>
      <c r="J1265" s="17">
        <f t="shared" si="31"/>
        <v>0</v>
      </c>
      <c r="K1265" s="17"/>
      <c r="L1265" s="16" t="s">
        <v>18</v>
      </c>
      <c r="M1265" s="16" t="s">
        <v>22</v>
      </c>
      <c r="N1265" s="39" t="s">
        <v>418</v>
      </c>
    </row>
    <row r="1266" spans="1:14" s="12" customFormat="1" ht="18">
      <c r="A1266" s="178" t="s">
        <v>120</v>
      </c>
      <c r="B1266" s="184" t="s">
        <v>510</v>
      </c>
      <c r="C1266" s="39" t="s">
        <v>417</v>
      </c>
      <c r="D1266" s="236"/>
      <c r="E1266" s="236"/>
      <c r="F1266" s="236"/>
      <c r="G1266" s="236"/>
      <c r="H1266" s="41">
        <f>SUM(Tabla132112410[[#This Row],[PRIMER TRIMESTRE]:[CUARTO TRIMESTRE]])</f>
        <v>0</v>
      </c>
      <c r="I1266" s="17">
        <v>5100</v>
      </c>
      <c r="J1266" s="17">
        <f t="shared" si="31"/>
        <v>0</v>
      </c>
      <c r="K1266" s="17"/>
      <c r="L1266" s="16" t="s">
        <v>18</v>
      </c>
      <c r="M1266" s="16" t="s">
        <v>22</v>
      </c>
      <c r="N1266" s="39" t="s">
        <v>418</v>
      </c>
    </row>
    <row r="1267" spans="1:14" s="12" customFormat="1" ht="18">
      <c r="A1267" s="178" t="s">
        <v>120</v>
      </c>
      <c r="B1267" s="184" t="s">
        <v>511</v>
      </c>
      <c r="C1267" s="39" t="s">
        <v>417</v>
      </c>
      <c r="D1267" s="236"/>
      <c r="E1267" s="236"/>
      <c r="F1267" s="236"/>
      <c r="G1267" s="236"/>
      <c r="H1267" s="41">
        <f>SUM(Tabla132112410[[#This Row],[PRIMER TRIMESTRE]:[CUARTO TRIMESTRE]])</f>
        <v>0</v>
      </c>
      <c r="I1267" s="17">
        <v>5100</v>
      </c>
      <c r="J1267" s="17">
        <f t="shared" si="31"/>
        <v>0</v>
      </c>
      <c r="K1267" s="17"/>
      <c r="L1267" s="16" t="s">
        <v>18</v>
      </c>
      <c r="M1267" s="16" t="s">
        <v>22</v>
      </c>
      <c r="N1267" s="39" t="s">
        <v>418</v>
      </c>
    </row>
    <row r="1268" spans="1:14" s="12" customFormat="1" ht="18">
      <c r="A1268" s="178" t="s">
        <v>120</v>
      </c>
      <c r="B1268" s="184" t="s">
        <v>512</v>
      </c>
      <c r="C1268" s="39" t="s">
        <v>417</v>
      </c>
      <c r="D1268" s="236"/>
      <c r="E1268" s="236"/>
      <c r="F1268" s="236"/>
      <c r="G1268" s="236"/>
      <c r="H1268" s="41">
        <f>SUM(Tabla132112410[[#This Row],[PRIMER TRIMESTRE]:[CUARTO TRIMESTRE]])</f>
        <v>0</v>
      </c>
      <c r="I1268" s="17">
        <v>2000</v>
      </c>
      <c r="J1268" s="17">
        <f t="shared" si="31"/>
        <v>0</v>
      </c>
      <c r="K1268" s="17"/>
      <c r="L1268" s="16" t="s">
        <v>18</v>
      </c>
      <c r="M1268" s="16" t="s">
        <v>22</v>
      </c>
      <c r="N1268" s="39" t="s">
        <v>418</v>
      </c>
    </row>
    <row r="1269" spans="1:14" s="12" customFormat="1" ht="18">
      <c r="A1269" s="178" t="s">
        <v>120</v>
      </c>
      <c r="B1269" s="184" t="s">
        <v>513</v>
      </c>
      <c r="C1269" s="39" t="s">
        <v>417</v>
      </c>
      <c r="D1269" s="236"/>
      <c r="E1269" s="236"/>
      <c r="F1269" s="236"/>
      <c r="G1269" s="236"/>
      <c r="H1269" s="41">
        <f>SUM(Tabla132112410[[#This Row],[PRIMER TRIMESTRE]:[CUARTO TRIMESTRE]])</f>
        <v>0</v>
      </c>
      <c r="I1269" s="17">
        <v>2500</v>
      </c>
      <c r="J1269" s="17">
        <f t="shared" si="31"/>
        <v>0</v>
      </c>
      <c r="K1269" s="17"/>
      <c r="L1269" s="16" t="s">
        <v>18</v>
      </c>
      <c r="M1269" s="16" t="s">
        <v>22</v>
      </c>
      <c r="N1269" s="39" t="s">
        <v>418</v>
      </c>
    </row>
    <row r="1270" spans="1:14" s="12" customFormat="1" ht="18">
      <c r="A1270" s="178" t="s">
        <v>120</v>
      </c>
      <c r="B1270" s="184" t="s">
        <v>514</v>
      </c>
      <c r="C1270" s="39" t="s">
        <v>417</v>
      </c>
      <c r="D1270" s="236"/>
      <c r="E1270" s="236"/>
      <c r="F1270" s="236"/>
      <c r="G1270" s="236"/>
      <c r="H1270" s="41">
        <f>SUM(Tabla132112410[[#This Row],[PRIMER TRIMESTRE]:[CUARTO TRIMESTRE]])</f>
        <v>0</v>
      </c>
      <c r="I1270" s="17">
        <v>2500</v>
      </c>
      <c r="J1270" s="17">
        <f t="shared" si="31"/>
        <v>0</v>
      </c>
      <c r="K1270" s="17"/>
      <c r="L1270" s="16" t="s">
        <v>18</v>
      </c>
      <c r="M1270" s="16" t="s">
        <v>22</v>
      </c>
      <c r="N1270" s="39" t="s">
        <v>418</v>
      </c>
    </row>
    <row r="1271" spans="1:14" s="12" customFormat="1" ht="18">
      <c r="A1271" s="178" t="s">
        <v>120</v>
      </c>
      <c r="B1271" s="184" t="s">
        <v>515</v>
      </c>
      <c r="C1271" s="39" t="s">
        <v>417</v>
      </c>
      <c r="D1271" s="236"/>
      <c r="E1271" s="236"/>
      <c r="F1271" s="236"/>
      <c r="G1271" s="236"/>
      <c r="H1271" s="41">
        <f>SUM(Tabla132112410[[#This Row],[PRIMER TRIMESTRE]:[CUARTO TRIMESTRE]])</f>
        <v>0</v>
      </c>
      <c r="I1271" s="17">
        <v>2500</v>
      </c>
      <c r="J1271" s="17">
        <f t="shared" si="31"/>
        <v>0</v>
      </c>
      <c r="K1271" s="17"/>
      <c r="L1271" s="16" t="s">
        <v>18</v>
      </c>
      <c r="M1271" s="16" t="s">
        <v>22</v>
      </c>
      <c r="N1271" s="39" t="s">
        <v>418</v>
      </c>
    </row>
    <row r="1272" spans="1:14" s="12" customFormat="1" ht="18">
      <c r="A1272" s="178" t="s">
        <v>120</v>
      </c>
      <c r="B1272" s="184" t="s">
        <v>516</v>
      </c>
      <c r="C1272" s="39" t="s">
        <v>417</v>
      </c>
      <c r="D1272" s="236"/>
      <c r="E1272" s="236"/>
      <c r="F1272" s="236"/>
      <c r="G1272" s="236"/>
      <c r="H1272" s="41">
        <f>SUM(Tabla132112410[[#This Row],[PRIMER TRIMESTRE]:[CUARTO TRIMESTRE]])</f>
        <v>0</v>
      </c>
      <c r="I1272" s="17">
        <v>2500</v>
      </c>
      <c r="J1272" s="17">
        <f t="shared" si="31"/>
        <v>0</v>
      </c>
      <c r="K1272" s="17"/>
      <c r="L1272" s="16" t="s">
        <v>18</v>
      </c>
      <c r="M1272" s="16" t="s">
        <v>22</v>
      </c>
      <c r="N1272" s="39" t="s">
        <v>418</v>
      </c>
    </row>
    <row r="1273" spans="1:14" s="12" customFormat="1" ht="18">
      <c r="A1273" s="178" t="s">
        <v>120</v>
      </c>
      <c r="B1273" s="184" t="s">
        <v>517</v>
      </c>
      <c r="C1273" s="39" t="s">
        <v>417</v>
      </c>
      <c r="D1273" s="236"/>
      <c r="E1273" s="236"/>
      <c r="F1273" s="236"/>
      <c r="G1273" s="236"/>
      <c r="H1273" s="41">
        <f>SUM(Tabla132112410[[#This Row],[PRIMER TRIMESTRE]:[CUARTO TRIMESTRE]])</f>
        <v>0</v>
      </c>
      <c r="I1273" s="17">
        <v>4100</v>
      </c>
      <c r="J1273" s="17">
        <f t="shared" si="31"/>
        <v>0</v>
      </c>
      <c r="K1273" s="17"/>
      <c r="L1273" s="16" t="s">
        <v>18</v>
      </c>
      <c r="M1273" s="16" t="s">
        <v>22</v>
      </c>
      <c r="N1273" s="39" t="s">
        <v>418</v>
      </c>
    </row>
    <row r="1274" spans="1:14" s="12" customFormat="1" ht="18">
      <c r="A1274" s="178" t="s">
        <v>120</v>
      </c>
      <c r="B1274" s="184" t="s">
        <v>518</v>
      </c>
      <c r="C1274" s="39" t="s">
        <v>417</v>
      </c>
      <c r="D1274" s="236"/>
      <c r="E1274" s="236"/>
      <c r="F1274" s="236"/>
      <c r="G1274" s="236"/>
      <c r="H1274" s="41">
        <f>SUM(Tabla132112410[[#This Row],[PRIMER TRIMESTRE]:[CUARTO TRIMESTRE]])</f>
        <v>0</v>
      </c>
      <c r="I1274" s="17">
        <v>3800</v>
      </c>
      <c r="J1274" s="17">
        <f t="shared" si="31"/>
        <v>0</v>
      </c>
      <c r="K1274" s="17"/>
      <c r="L1274" s="16" t="s">
        <v>18</v>
      </c>
      <c r="M1274" s="16" t="s">
        <v>22</v>
      </c>
      <c r="N1274" s="39" t="s">
        <v>418</v>
      </c>
    </row>
    <row r="1275" spans="1:14" s="12" customFormat="1" ht="18">
      <c r="A1275" s="178" t="s">
        <v>120</v>
      </c>
      <c r="B1275" s="184" t="s">
        <v>519</v>
      </c>
      <c r="C1275" s="39" t="s">
        <v>417</v>
      </c>
      <c r="D1275" s="236"/>
      <c r="E1275" s="236"/>
      <c r="F1275" s="236"/>
      <c r="G1275" s="236"/>
      <c r="H1275" s="41">
        <f>SUM(Tabla132112410[[#This Row],[PRIMER TRIMESTRE]:[CUARTO TRIMESTRE]])</f>
        <v>0</v>
      </c>
      <c r="I1275" s="17">
        <v>5400</v>
      </c>
      <c r="J1275" s="17">
        <f t="shared" si="31"/>
        <v>0</v>
      </c>
      <c r="K1275" s="17"/>
      <c r="L1275" s="16" t="s">
        <v>18</v>
      </c>
      <c r="M1275" s="16" t="s">
        <v>22</v>
      </c>
      <c r="N1275" s="39" t="s">
        <v>418</v>
      </c>
    </row>
    <row r="1276" spans="1:14" s="12" customFormat="1" ht="18">
      <c r="A1276" s="178" t="s">
        <v>120</v>
      </c>
      <c r="B1276" s="184" t="s">
        <v>520</v>
      </c>
      <c r="C1276" s="39" t="s">
        <v>417</v>
      </c>
      <c r="D1276" s="236"/>
      <c r="E1276" s="236"/>
      <c r="F1276" s="236"/>
      <c r="G1276" s="236"/>
      <c r="H1276" s="41">
        <f>SUM(Tabla132112410[[#This Row],[PRIMER TRIMESTRE]:[CUARTO TRIMESTRE]])</f>
        <v>0</v>
      </c>
      <c r="I1276" s="17">
        <v>5400</v>
      </c>
      <c r="J1276" s="17">
        <f t="shared" si="31"/>
        <v>0</v>
      </c>
      <c r="K1276" s="17"/>
      <c r="L1276" s="16" t="s">
        <v>18</v>
      </c>
      <c r="M1276" s="16" t="s">
        <v>22</v>
      </c>
      <c r="N1276" s="39" t="s">
        <v>418</v>
      </c>
    </row>
    <row r="1277" spans="1:14" s="12" customFormat="1" ht="18">
      <c r="A1277" s="178" t="s">
        <v>120</v>
      </c>
      <c r="B1277" s="184" t="s">
        <v>521</v>
      </c>
      <c r="C1277" s="39" t="s">
        <v>417</v>
      </c>
      <c r="D1277" s="236"/>
      <c r="E1277" s="236"/>
      <c r="F1277" s="236"/>
      <c r="G1277" s="236"/>
      <c r="H1277" s="41">
        <f>SUM(Tabla132112410[[#This Row],[PRIMER TRIMESTRE]:[CUARTO TRIMESTRE]])</f>
        <v>0</v>
      </c>
      <c r="I1277" s="17">
        <v>5400</v>
      </c>
      <c r="J1277" s="17">
        <f t="shared" si="31"/>
        <v>0</v>
      </c>
      <c r="K1277" s="17"/>
      <c r="L1277" s="16" t="s">
        <v>18</v>
      </c>
      <c r="M1277" s="16" t="s">
        <v>22</v>
      </c>
      <c r="N1277" s="39" t="s">
        <v>418</v>
      </c>
    </row>
    <row r="1278" spans="1:14" s="12" customFormat="1" ht="18">
      <c r="A1278" s="178" t="s">
        <v>120</v>
      </c>
      <c r="B1278" s="184" t="s">
        <v>522</v>
      </c>
      <c r="C1278" s="39" t="s">
        <v>417</v>
      </c>
      <c r="D1278" s="236"/>
      <c r="E1278" s="236"/>
      <c r="F1278" s="236"/>
      <c r="G1278" s="236"/>
      <c r="H1278" s="41">
        <f>SUM(Tabla132112410[[#This Row],[PRIMER TRIMESTRE]:[CUARTO TRIMESTRE]])</f>
        <v>0</v>
      </c>
      <c r="I1278" s="17">
        <v>3100</v>
      </c>
      <c r="J1278" s="17">
        <f t="shared" si="31"/>
        <v>0</v>
      </c>
      <c r="K1278" s="17"/>
      <c r="L1278" s="16" t="s">
        <v>18</v>
      </c>
      <c r="M1278" s="16" t="s">
        <v>22</v>
      </c>
      <c r="N1278" s="39" t="s">
        <v>418</v>
      </c>
    </row>
    <row r="1279" spans="1:14" s="12" customFormat="1" ht="18">
      <c r="A1279" s="178" t="s">
        <v>120</v>
      </c>
      <c r="B1279" s="184" t="s">
        <v>523</v>
      </c>
      <c r="C1279" s="39" t="s">
        <v>417</v>
      </c>
      <c r="D1279" s="236"/>
      <c r="E1279" s="236"/>
      <c r="F1279" s="236"/>
      <c r="G1279" s="236"/>
      <c r="H1279" s="41">
        <f>SUM(Tabla132112410[[#This Row],[PRIMER TRIMESTRE]:[CUARTO TRIMESTRE]])</f>
        <v>0</v>
      </c>
      <c r="I1279" s="17">
        <v>5100</v>
      </c>
      <c r="J1279" s="17">
        <f t="shared" si="31"/>
        <v>0</v>
      </c>
      <c r="K1279" s="17"/>
      <c r="L1279" s="16" t="s">
        <v>18</v>
      </c>
      <c r="M1279" s="16" t="s">
        <v>22</v>
      </c>
      <c r="N1279" s="39" t="s">
        <v>418</v>
      </c>
    </row>
    <row r="1280" spans="1:14" s="12" customFormat="1" ht="18">
      <c r="A1280" s="178" t="s">
        <v>120</v>
      </c>
      <c r="B1280" s="184" t="s">
        <v>524</v>
      </c>
      <c r="C1280" s="39" t="s">
        <v>417</v>
      </c>
      <c r="D1280" s="236"/>
      <c r="E1280" s="236"/>
      <c r="F1280" s="236"/>
      <c r="G1280" s="236"/>
      <c r="H1280" s="41">
        <f>SUM(Tabla132112410[[#This Row],[PRIMER TRIMESTRE]:[CUARTO TRIMESTRE]])</f>
        <v>0</v>
      </c>
      <c r="I1280" s="17">
        <v>3000</v>
      </c>
      <c r="J1280" s="17">
        <f t="shared" si="31"/>
        <v>0</v>
      </c>
      <c r="K1280" s="17"/>
      <c r="L1280" s="16" t="s">
        <v>18</v>
      </c>
      <c r="M1280" s="16" t="s">
        <v>22</v>
      </c>
      <c r="N1280" s="39" t="s">
        <v>418</v>
      </c>
    </row>
    <row r="1281" spans="1:14" s="12" customFormat="1" ht="18">
      <c r="A1281" s="178" t="s">
        <v>120</v>
      </c>
      <c r="B1281" s="184" t="s">
        <v>525</v>
      </c>
      <c r="C1281" s="39" t="s">
        <v>417</v>
      </c>
      <c r="D1281" s="236"/>
      <c r="E1281" s="236"/>
      <c r="F1281" s="236"/>
      <c r="G1281" s="236"/>
      <c r="H1281" s="41">
        <f>SUM(Tabla132112410[[#This Row],[PRIMER TRIMESTRE]:[CUARTO TRIMESTRE]])</f>
        <v>0</v>
      </c>
      <c r="I1281" s="17">
        <v>3800</v>
      </c>
      <c r="J1281" s="17">
        <f t="shared" si="31"/>
        <v>0</v>
      </c>
      <c r="K1281" s="17"/>
      <c r="L1281" s="16" t="s">
        <v>18</v>
      </c>
      <c r="M1281" s="16" t="s">
        <v>22</v>
      </c>
      <c r="N1281" s="39" t="s">
        <v>418</v>
      </c>
    </row>
    <row r="1282" spans="1:14" s="12" customFormat="1" ht="18">
      <c r="A1282" s="178" t="s">
        <v>120</v>
      </c>
      <c r="B1282" s="184" t="s">
        <v>526</v>
      </c>
      <c r="C1282" s="39" t="s">
        <v>417</v>
      </c>
      <c r="D1282" s="236"/>
      <c r="E1282" s="236"/>
      <c r="F1282" s="236"/>
      <c r="G1282" s="236"/>
      <c r="H1282" s="41">
        <f>SUM(Tabla132112410[[#This Row],[PRIMER TRIMESTRE]:[CUARTO TRIMESTRE]])</f>
        <v>0</v>
      </c>
      <c r="I1282" s="17">
        <v>3800</v>
      </c>
      <c r="J1282" s="17">
        <f t="shared" si="31"/>
        <v>0</v>
      </c>
      <c r="K1282" s="17"/>
      <c r="L1282" s="16" t="s">
        <v>18</v>
      </c>
      <c r="M1282" s="16" t="s">
        <v>22</v>
      </c>
      <c r="N1282" s="39" t="s">
        <v>418</v>
      </c>
    </row>
    <row r="1283" spans="1:14" s="12" customFormat="1" ht="18">
      <c r="A1283" s="178" t="s">
        <v>120</v>
      </c>
      <c r="B1283" s="184" t="s">
        <v>527</v>
      </c>
      <c r="C1283" s="39" t="s">
        <v>417</v>
      </c>
      <c r="D1283" s="236"/>
      <c r="E1283" s="236"/>
      <c r="F1283" s="236"/>
      <c r="G1283" s="236"/>
      <c r="H1283" s="41">
        <f>SUM(Tabla132112410[[#This Row],[PRIMER TRIMESTRE]:[CUARTO TRIMESTRE]])</f>
        <v>0</v>
      </c>
      <c r="I1283" s="17">
        <v>3800</v>
      </c>
      <c r="J1283" s="17">
        <f t="shared" si="31"/>
        <v>0</v>
      </c>
      <c r="K1283" s="17"/>
      <c r="L1283" s="16" t="s">
        <v>18</v>
      </c>
      <c r="M1283" s="16" t="s">
        <v>22</v>
      </c>
      <c r="N1283" s="39" t="s">
        <v>418</v>
      </c>
    </row>
    <row r="1284" spans="1:14" s="12" customFormat="1" ht="18">
      <c r="A1284" s="178" t="s">
        <v>120</v>
      </c>
      <c r="B1284" s="184" t="s">
        <v>528</v>
      </c>
      <c r="C1284" s="39" t="s">
        <v>417</v>
      </c>
      <c r="D1284" s="236"/>
      <c r="E1284" s="236"/>
      <c r="F1284" s="236"/>
      <c r="G1284" s="236"/>
      <c r="H1284" s="41">
        <f>SUM(Tabla132112410[[#This Row],[PRIMER TRIMESTRE]:[CUARTO TRIMESTRE]])</f>
        <v>0</v>
      </c>
      <c r="I1284" s="17">
        <v>6400</v>
      </c>
      <c r="J1284" s="17">
        <f t="shared" si="31"/>
        <v>0</v>
      </c>
      <c r="K1284" s="17"/>
      <c r="L1284" s="16" t="s">
        <v>18</v>
      </c>
      <c r="M1284" s="16" t="s">
        <v>22</v>
      </c>
      <c r="N1284" s="39" t="s">
        <v>418</v>
      </c>
    </row>
    <row r="1285" spans="1:14" s="12" customFormat="1" ht="25.5">
      <c r="A1285" s="178" t="s">
        <v>120</v>
      </c>
      <c r="B1285" s="185" t="s">
        <v>529</v>
      </c>
      <c r="C1285" s="39" t="s">
        <v>417</v>
      </c>
      <c r="D1285" s="236"/>
      <c r="E1285" s="210"/>
      <c r="F1285" s="210"/>
      <c r="G1285" s="210"/>
      <c r="H1285" s="71">
        <f>SUM(Tabla132112410[[#This Row],[PRIMER TRIMESTRE]:[CUARTO TRIMESTRE]])</f>
        <v>0</v>
      </c>
      <c r="I1285" s="17">
        <f>9750*1.18</f>
        <v>11505</v>
      </c>
      <c r="J1285" s="17">
        <f t="shared" si="31"/>
        <v>0</v>
      </c>
      <c r="K1285" s="17"/>
      <c r="L1285" s="16" t="s">
        <v>18</v>
      </c>
      <c r="M1285" s="16" t="s">
        <v>22</v>
      </c>
      <c r="N1285" s="39" t="s">
        <v>418</v>
      </c>
    </row>
    <row r="1286" spans="1:14" s="12" customFormat="1" ht="25.5">
      <c r="A1286" s="178" t="s">
        <v>120</v>
      </c>
      <c r="B1286" s="185" t="s">
        <v>530</v>
      </c>
      <c r="C1286" s="39" t="s">
        <v>417</v>
      </c>
      <c r="D1286" s="236"/>
      <c r="E1286" s="210"/>
      <c r="F1286" s="210"/>
      <c r="G1286" s="210"/>
      <c r="H1286" s="41">
        <f>SUM(Tabla132112410[[#This Row],[PRIMER TRIMESTRE]:[CUARTO TRIMESTRE]])</f>
        <v>0</v>
      </c>
      <c r="I1286" s="17">
        <v>11505</v>
      </c>
      <c r="J1286" s="17">
        <f t="shared" si="31"/>
        <v>0</v>
      </c>
      <c r="K1286" s="17"/>
      <c r="L1286" s="16" t="s">
        <v>18</v>
      </c>
      <c r="M1286" s="16" t="s">
        <v>22</v>
      </c>
      <c r="N1286" s="39" t="s">
        <v>418</v>
      </c>
    </row>
    <row r="1287" spans="1:14" s="12" customFormat="1" ht="25.5">
      <c r="A1287" s="178" t="s">
        <v>120</v>
      </c>
      <c r="B1287" s="185" t="s">
        <v>531</v>
      </c>
      <c r="C1287" s="39" t="s">
        <v>417</v>
      </c>
      <c r="D1287" s="236"/>
      <c r="E1287" s="210"/>
      <c r="F1287" s="210"/>
      <c r="G1287" s="210"/>
      <c r="H1287" s="41">
        <f>SUM(Tabla132112410[[#This Row],[PRIMER TRIMESTRE]:[CUARTO TRIMESTRE]])</f>
        <v>0</v>
      </c>
      <c r="I1287" s="17">
        <v>11505</v>
      </c>
      <c r="J1287" s="17">
        <f t="shared" ref="J1287:J1301" si="32">+H1287*I1287</f>
        <v>0</v>
      </c>
      <c r="K1287" s="17"/>
      <c r="L1287" s="16" t="s">
        <v>18</v>
      </c>
      <c r="M1287" s="16" t="s">
        <v>22</v>
      </c>
      <c r="N1287" s="39" t="s">
        <v>418</v>
      </c>
    </row>
    <row r="1288" spans="1:14" s="12" customFormat="1" ht="25.5">
      <c r="A1288" s="178" t="s">
        <v>120</v>
      </c>
      <c r="B1288" s="185" t="s">
        <v>532</v>
      </c>
      <c r="C1288" s="39" t="s">
        <v>417</v>
      </c>
      <c r="D1288" s="236"/>
      <c r="E1288" s="210"/>
      <c r="F1288" s="210"/>
      <c r="G1288" s="210"/>
      <c r="H1288" s="41">
        <f>SUM(Tabla132112410[[#This Row],[PRIMER TRIMESTRE]:[CUARTO TRIMESTRE]])</f>
        <v>0</v>
      </c>
      <c r="I1288" s="17">
        <v>11505</v>
      </c>
      <c r="J1288" s="17">
        <f t="shared" si="32"/>
        <v>0</v>
      </c>
      <c r="K1288" s="17"/>
      <c r="L1288" s="16" t="s">
        <v>18</v>
      </c>
      <c r="M1288" s="16" t="s">
        <v>22</v>
      </c>
      <c r="N1288" s="39" t="s">
        <v>418</v>
      </c>
    </row>
    <row r="1289" spans="1:14" s="12" customFormat="1" ht="18">
      <c r="A1289" s="178" t="s">
        <v>120</v>
      </c>
      <c r="B1289" s="80" t="s">
        <v>790</v>
      </c>
      <c r="C1289" s="39" t="s">
        <v>417</v>
      </c>
      <c r="D1289" s="236"/>
      <c r="E1289" s="210"/>
      <c r="F1289" s="210"/>
      <c r="G1289" s="210"/>
      <c r="H1289" s="41">
        <f>SUM(Tabla132112410[[#This Row],[PRIMER TRIMESTRE]:[CUARTO TRIMESTRE]])</f>
        <v>0</v>
      </c>
      <c r="I1289" s="72">
        <v>3760.11</v>
      </c>
      <c r="J1289" s="17">
        <f t="shared" si="32"/>
        <v>0</v>
      </c>
      <c r="K1289" s="17"/>
      <c r="L1289" s="16" t="s">
        <v>18</v>
      </c>
      <c r="M1289" s="16" t="s">
        <v>22</v>
      </c>
      <c r="N1289" s="39" t="s">
        <v>418</v>
      </c>
    </row>
    <row r="1290" spans="1:14" s="12" customFormat="1" ht="30.75" customHeight="1">
      <c r="A1290" s="178" t="s">
        <v>120</v>
      </c>
      <c r="B1290" s="80" t="s">
        <v>791</v>
      </c>
      <c r="C1290" s="39" t="s">
        <v>417</v>
      </c>
      <c r="D1290" s="236"/>
      <c r="E1290" s="210"/>
      <c r="F1290" s="210"/>
      <c r="G1290" s="210"/>
      <c r="H1290" s="41">
        <f>SUM(Tabla132112410[[#This Row],[PRIMER TRIMESTRE]:[CUARTO TRIMESTRE]])</f>
        <v>0</v>
      </c>
      <c r="I1290" s="72">
        <v>3914.09</v>
      </c>
      <c r="J1290" s="17">
        <f t="shared" si="32"/>
        <v>0</v>
      </c>
      <c r="K1290" s="17"/>
      <c r="L1290" s="16" t="s">
        <v>18</v>
      </c>
      <c r="M1290" s="16" t="s">
        <v>22</v>
      </c>
      <c r="N1290" s="39" t="s">
        <v>418</v>
      </c>
    </row>
    <row r="1291" spans="1:14" s="12" customFormat="1" ht="30.75" customHeight="1">
      <c r="A1291" s="178" t="s">
        <v>120</v>
      </c>
      <c r="B1291" s="80" t="s">
        <v>792</v>
      </c>
      <c r="C1291" s="39" t="s">
        <v>417</v>
      </c>
      <c r="D1291" s="236"/>
      <c r="E1291" s="210"/>
      <c r="F1291" s="210"/>
      <c r="G1291" s="210"/>
      <c r="H1291" s="41">
        <f>SUM(Tabla132112410[[#This Row],[PRIMER TRIMESTRE]:[CUARTO TRIMESTRE]])</f>
        <v>0</v>
      </c>
      <c r="I1291" s="72">
        <v>4257.1899999999996</v>
      </c>
      <c r="J1291" s="17">
        <f t="shared" si="32"/>
        <v>0</v>
      </c>
      <c r="K1291" s="17"/>
      <c r="L1291" s="16" t="s">
        <v>18</v>
      </c>
      <c r="M1291" s="16" t="s">
        <v>22</v>
      </c>
      <c r="N1291" s="39" t="s">
        <v>418</v>
      </c>
    </row>
    <row r="1292" spans="1:14" s="12" customFormat="1" ht="30.75" customHeight="1">
      <c r="A1292" s="178" t="s">
        <v>120</v>
      </c>
      <c r="B1292" s="80" t="s">
        <v>793</v>
      </c>
      <c r="C1292" s="39" t="s">
        <v>417</v>
      </c>
      <c r="D1292" s="236"/>
      <c r="E1292" s="210"/>
      <c r="F1292" s="210"/>
      <c r="G1292" s="210"/>
      <c r="H1292" s="41">
        <f>SUM(Tabla132112410[[#This Row],[PRIMER TRIMESTRE]:[CUARTO TRIMESTRE]])</f>
        <v>0</v>
      </c>
      <c r="I1292" s="72">
        <v>4257.1899999999996</v>
      </c>
      <c r="J1292" s="17">
        <f t="shared" si="32"/>
        <v>0</v>
      </c>
      <c r="K1292" s="17"/>
      <c r="L1292" s="16" t="s">
        <v>18</v>
      </c>
      <c r="M1292" s="16" t="s">
        <v>22</v>
      </c>
      <c r="N1292" s="39" t="s">
        <v>418</v>
      </c>
    </row>
    <row r="1293" spans="1:14" s="12" customFormat="1" ht="30.75" customHeight="1">
      <c r="A1293" s="178" t="s">
        <v>120</v>
      </c>
      <c r="B1293" s="80" t="s">
        <v>794</v>
      </c>
      <c r="C1293" s="39" t="s">
        <v>417</v>
      </c>
      <c r="D1293" s="236"/>
      <c r="E1293" s="210"/>
      <c r="F1293" s="210"/>
      <c r="G1293" s="210"/>
      <c r="H1293" s="41">
        <f>SUM(Tabla132112410[[#This Row],[PRIMER TRIMESTRE]:[CUARTO TRIMESTRE]])</f>
        <v>0</v>
      </c>
      <c r="I1293" s="72">
        <v>4257.8999999999996</v>
      </c>
      <c r="J1293" s="17">
        <f t="shared" si="32"/>
        <v>0</v>
      </c>
      <c r="K1293" s="17"/>
      <c r="L1293" s="16" t="s">
        <v>18</v>
      </c>
      <c r="M1293" s="16" t="s">
        <v>22</v>
      </c>
      <c r="N1293" s="39" t="s">
        <v>418</v>
      </c>
    </row>
    <row r="1294" spans="1:14" s="12" customFormat="1" ht="30.75" customHeight="1">
      <c r="A1294" s="178" t="s">
        <v>120</v>
      </c>
      <c r="B1294" s="80" t="s">
        <v>795</v>
      </c>
      <c r="C1294" s="39" t="s">
        <v>417</v>
      </c>
      <c r="D1294" s="236">
        <v>12</v>
      </c>
      <c r="E1294" s="210">
        <v>12</v>
      </c>
      <c r="F1294" s="210">
        <v>12</v>
      </c>
      <c r="G1294" s="210">
        <v>4</v>
      </c>
      <c r="H1294" s="41">
        <f>SUM(Tabla132112410[[#This Row],[PRIMER TRIMESTRE]:[CUARTO TRIMESTRE]])</f>
        <v>40</v>
      </c>
      <c r="I1294" s="72">
        <v>4238.76</v>
      </c>
      <c r="J1294" s="17">
        <f t="shared" si="32"/>
        <v>169550.40000000002</v>
      </c>
      <c r="K1294" s="17"/>
      <c r="L1294" s="16" t="s">
        <v>18</v>
      </c>
      <c r="M1294" s="16" t="s">
        <v>22</v>
      </c>
      <c r="N1294" s="39" t="s">
        <v>418</v>
      </c>
    </row>
    <row r="1295" spans="1:14" s="12" customFormat="1" ht="30.75" customHeight="1">
      <c r="A1295" s="15"/>
      <c r="B1295" s="434" t="s">
        <v>2035</v>
      </c>
      <c r="C1295" s="39" t="s">
        <v>417</v>
      </c>
      <c r="D1295" s="236">
        <v>6</v>
      </c>
      <c r="E1295" s="210">
        <v>3</v>
      </c>
      <c r="F1295" s="210">
        <v>3</v>
      </c>
      <c r="G1295" s="210">
        <v>3</v>
      </c>
      <c r="H1295" s="41">
        <f>SUM(Tabla132112410[[#This Row],[PRIMER TRIMESTRE]:[CUARTO TRIMESTRE]])</f>
        <v>15</v>
      </c>
      <c r="I1295" s="72">
        <v>13500</v>
      </c>
      <c r="J1295" s="17">
        <f t="shared" si="32"/>
        <v>202500</v>
      </c>
      <c r="K1295" s="17"/>
      <c r="L1295" s="16"/>
      <c r="M1295" s="16"/>
      <c r="N1295" s="39"/>
    </row>
    <row r="1296" spans="1:14" s="12" customFormat="1" ht="30.75" customHeight="1">
      <c r="A1296" s="178" t="s">
        <v>120</v>
      </c>
      <c r="B1296" s="80" t="s">
        <v>796</v>
      </c>
      <c r="C1296" s="39" t="s">
        <v>417</v>
      </c>
      <c r="D1296" s="236"/>
      <c r="E1296" s="210"/>
      <c r="F1296" s="210"/>
      <c r="G1296" s="210"/>
      <c r="H1296" s="41">
        <f>SUM(Tabla132112410[[#This Row],[PRIMER TRIMESTRE]:[CUARTO TRIMESTRE]])</f>
        <v>0</v>
      </c>
      <c r="I1296" s="72">
        <v>3199.82</v>
      </c>
      <c r="J1296" s="17">
        <f t="shared" si="32"/>
        <v>0</v>
      </c>
      <c r="K1296" s="17"/>
      <c r="L1296" s="16" t="s">
        <v>18</v>
      </c>
      <c r="M1296" s="16" t="s">
        <v>22</v>
      </c>
      <c r="N1296" s="39" t="s">
        <v>418</v>
      </c>
    </row>
    <row r="1297" spans="1:14" s="12" customFormat="1" ht="30.75" customHeight="1">
      <c r="A1297" s="178" t="s">
        <v>120</v>
      </c>
      <c r="B1297" s="80" t="s">
        <v>797</v>
      </c>
      <c r="C1297" s="39" t="s">
        <v>417</v>
      </c>
      <c r="D1297" s="236"/>
      <c r="E1297" s="210"/>
      <c r="F1297" s="210"/>
      <c r="G1297" s="210"/>
      <c r="H1297" s="41">
        <f>SUM(Tabla132112410[[#This Row],[PRIMER TRIMESTRE]:[CUARTO TRIMESTRE]])</f>
        <v>0</v>
      </c>
      <c r="I1297" s="72">
        <v>3679.8</v>
      </c>
      <c r="J1297" s="17">
        <f t="shared" si="32"/>
        <v>0</v>
      </c>
      <c r="K1297" s="17"/>
      <c r="L1297" s="16" t="s">
        <v>18</v>
      </c>
      <c r="M1297" s="16" t="s">
        <v>22</v>
      </c>
      <c r="N1297" s="39" t="s">
        <v>418</v>
      </c>
    </row>
    <row r="1298" spans="1:14" s="12" customFormat="1" ht="30.75" customHeight="1">
      <c r="A1298" s="178" t="s">
        <v>120</v>
      </c>
      <c r="B1298" s="80" t="s">
        <v>798</v>
      </c>
      <c r="C1298" s="39" t="s">
        <v>417</v>
      </c>
      <c r="D1298" s="236"/>
      <c r="E1298" s="210"/>
      <c r="F1298" s="210"/>
      <c r="G1298" s="210"/>
      <c r="H1298" s="41">
        <f>SUM(Tabla132112410[[#This Row],[PRIMER TRIMESTRE]:[CUARTO TRIMESTRE]])</f>
        <v>0</v>
      </c>
      <c r="I1298" s="72">
        <v>3304</v>
      </c>
      <c r="J1298" s="17">
        <f t="shared" si="32"/>
        <v>0</v>
      </c>
      <c r="K1298" s="17"/>
      <c r="L1298" s="16" t="s">
        <v>18</v>
      </c>
      <c r="M1298" s="16" t="s">
        <v>22</v>
      </c>
      <c r="N1298" s="39" t="s">
        <v>418</v>
      </c>
    </row>
    <row r="1299" spans="1:14" s="12" customFormat="1" ht="30.75" customHeight="1">
      <c r="A1299" s="178" t="s">
        <v>120</v>
      </c>
      <c r="B1299" s="80" t="s">
        <v>1409</v>
      </c>
      <c r="C1299" s="39" t="s">
        <v>417</v>
      </c>
      <c r="D1299" s="236"/>
      <c r="E1299" s="210"/>
      <c r="F1299" s="210"/>
      <c r="G1299" s="210"/>
      <c r="H1299" s="41">
        <f>SUM(Tabla132112410[[#This Row],[PRIMER TRIMESTRE]:[CUARTO TRIMESTRE]])</f>
        <v>0</v>
      </c>
      <c r="I1299" s="72">
        <v>5700</v>
      </c>
      <c r="J1299" s="17">
        <f t="shared" si="32"/>
        <v>0</v>
      </c>
      <c r="K1299" s="17"/>
      <c r="L1299" s="16" t="s">
        <v>18</v>
      </c>
      <c r="M1299" s="16" t="s">
        <v>22</v>
      </c>
      <c r="N1299" s="39" t="s">
        <v>418</v>
      </c>
    </row>
    <row r="1300" spans="1:14" s="26" customFormat="1" ht="30.75" customHeight="1">
      <c r="A1300" s="178" t="s">
        <v>120</v>
      </c>
      <c r="B1300" s="80" t="s">
        <v>1410</v>
      </c>
      <c r="C1300" s="39" t="s">
        <v>417</v>
      </c>
      <c r="D1300" s="236"/>
      <c r="E1300" s="210"/>
      <c r="F1300" s="210"/>
      <c r="G1300" s="210"/>
      <c r="H1300" s="41">
        <f>SUM(Tabla132112410[[#This Row],[PRIMER TRIMESTRE]:[CUARTO TRIMESTRE]])</f>
        <v>0</v>
      </c>
      <c r="I1300" s="72">
        <v>8500</v>
      </c>
      <c r="J1300" s="17">
        <f t="shared" si="32"/>
        <v>0</v>
      </c>
      <c r="K1300" s="17"/>
      <c r="L1300" s="16" t="s">
        <v>18</v>
      </c>
      <c r="M1300" s="16" t="s">
        <v>22</v>
      </c>
      <c r="N1300" s="39" t="s">
        <v>418</v>
      </c>
    </row>
    <row r="1301" spans="1:14" s="12" customFormat="1" ht="30.75" customHeight="1">
      <c r="A1301" s="178" t="s">
        <v>120</v>
      </c>
      <c r="B1301" s="80" t="s">
        <v>1421</v>
      </c>
      <c r="C1301" s="39" t="s">
        <v>417</v>
      </c>
      <c r="D1301" s="236"/>
      <c r="E1301" s="210"/>
      <c r="F1301" s="210"/>
      <c r="G1301" s="210"/>
      <c r="H1301" s="41">
        <f>SUM(Tabla132112410[[#This Row],[PRIMER TRIMESTRE]:[CUARTO TRIMESTRE]])</f>
        <v>0</v>
      </c>
      <c r="I1301" s="72">
        <v>3500</v>
      </c>
      <c r="J1301" s="17">
        <f t="shared" si="32"/>
        <v>0</v>
      </c>
      <c r="K1301" s="17"/>
      <c r="L1301" s="16" t="s">
        <v>18</v>
      </c>
      <c r="M1301" s="16" t="s">
        <v>22</v>
      </c>
      <c r="N1301" s="39" t="s">
        <v>418</v>
      </c>
    </row>
    <row r="1302" spans="1:14" s="12" customFormat="1" ht="30.75" customHeight="1">
      <c r="A1302" s="179" t="s">
        <v>120</v>
      </c>
      <c r="B1302" s="76"/>
      <c r="C1302" s="42"/>
      <c r="D1302" s="237"/>
      <c r="E1302" s="237"/>
      <c r="F1302" s="237"/>
      <c r="G1302" s="237"/>
      <c r="H1302" s="237"/>
      <c r="I1302" s="24"/>
      <c r="J1302" s="24"/>
      <c r="K1302" s="25">
        <f>SUM(J1148:J1301)</f>
        <v>1455775.3578896881</v>
      </c>
      <c r="L1302" s="23"/>
      <c r="M1302" s="23"/>
      <c r="N1302" s="42"/>
    </row>
    <row r="1303" spans="1:14" s="12" customFormat="1" ht="30.75" customHeight="1">
      <c r="A1303" s="178" t="s">
        <v>121</v>
      </c>
      <c r="B1303" s="75" t="s">
        <v>273</v>
      </c>
      <c r="C1303" s="39" t="s">
        <v>17</v>
      </c>
      <c r="D1303" s="236"/>
      <c r="E1303" s="210"/>
      <c r="F1303" s="210"/>
      <c r="G1303" s="210"/>
      <c r="H1303" s="40">
        <f>SUM(Tabla132112410[[#This Row],[PRIMER TRIMESTRE]:[CUARTO TRIMESTRE]])</f>
        <v>0</v>
      </c>
      <c r="I1303" s="17">
        <v>5684</v>
      </c>
      <c r="J1303" s="17">
        <f>+Tabla132112410[[#This Row],[CANTIDAD TOTAL]]*Tabla132112410[[#This Row],[PRECIO UNITARIO ESTIMADO]]</f>
        <v>0</v>
      </c>
      <c r="K1303" s="17"/>
      <c r="L1303" s="16" t="s">
        <v>18</v>
      </c>
      <c r="M1303" s="16" t="s">
        <v>22</v>
      </c>
      <c r="N1303" s="39" t="s">
        <v>418</v>
      </c>
    </row>
    <row r="1304" spans="1:14" s="12" customFormat="1" ht="30.75" customHeight="1">
      <c r="A1304" s="178" t="s">
        <v>121</v>
      </c>
      <c r="B1304" s="75" t="s">
        <v>1757</v>
      </c>
      <c r="C1304" s="39" t="s">
        <v>17</v>
      </c>
      <c r="D1304" s="236"/>
      <c r="E1304" s="210"/>
      <c r="F1304" s="210"/>
      <c r="G1304" s="210"/>
      <c r="H1304" s="40">
        <f>Tabla132112410[[#This Row],[CUARTO TRIMESTRE]]+Tabla132112410[[#This Row],[TERCER TRIMESTRE]]+Tabla132112410[[#This Row],[SEGUNDO TRIMESTRE]]+Tabla132112410[[#This Row],[PRIMER TRIMESTRE]]</f>
        <v>0</v>
      </c>
      <c r="I1304" s="17">
        <v>0</v>
      </c>
      <c r="J1304" s="17">
        <v>0</v>
      </c>
      <c r="K1304" s="17"/>
      <c r="L1304" s="16"/>
      <c r="M1304" s="16"/>
      <c r="N1304" s="39"/>
    </row>
    <row r="1305" spans="1:14" s="12" customFormat="1" ht="30.75" customHeight="1">
      <c r="A1305" s="178" t="s">
        <v>121</v>
      </c>
      <c r="B1305" s="75" t="s">
        <v>1282</v>
      </c>
      <c r="C1305" s="39" t="s">
        <v>17</v>
      </c>
      <c r="D1305" s="236"/>
      <c r="E1305" s="210"/>
      <c r="F1305" s="210"/>
      <c r="G1305" s="210"/>
      <c r="H1305" s="406">
        <f>SUM(Tabla132112410[[#This Row],[PRIMER TRIMESTRE]:[CUARTO TRIMESTRE]])</f>
        <v>0</v>
      </c>
      <c r="I1305" s="17">
        <v>25000</v>
      </c>
      <c r="J1305" s="17">
        <f>+H1305*I1305</f>
        <v>0</v>
      </c>
      <c r="K1305" s="17"/>
      <c r="L1305" s="16" t="s">
        <v>18</v>
      </c>
      <c r="M1305" s="16" t="s">
        <v>22</v>
      </c>
      <c r="N1305" s="39" t="s">
        <v>418</v>
      </c>
    </row>
    <row r="1306" spans="1:14" s="26" customFormat="1" ht="30.75" customHeight="1">
      <c r="A1306" s="178" t="s">
        <v>121</v>
      </c>
      <c r="B1306" s="75" t="s">
        <v>1283</v>
      </c>
      <c r="C1306" s="39" t="s">
        <v>17</v>
      </c>
      <c r="D1306" s="236"/>
      <c r="E1306" s="210"/>
      <c r="F1306" s="210"/>
      <c r="G1306" s="210"/>
      <c r="H1306" s="406">
        <f>SUM(Tabla132112410[[#This Row],[PRIMER TRIMESTRE]:[CUARTO TRIMESTRE]])</f>
        <v>0</v>
      </c>
      <c r="I1306" s="17">
        <f>16685940/4</f>
        <v>4171485</v>
      </c>
      <c r="J1306" s="17">
        <f>+H1306*I1306</f>
        <v>0</v>
      </c>
      <c r="K1306" s="17"/>
      <c r="L1306" s="16" t="s">
        <v>18</v>
      </c>
      <c r="M1306" s="16" t="s">
        <v>22</v>
      </c>
      <c r="N1306" s="39" t="s">
        <v>418</v>
      </c>
    </row>
    <row r="1307" spans="1:14" s="12" customFormat="1" ht="30.75" customHeight="1">
      <c r="A1307" s="178" t="s">
        <v>121</v>
      </c>
      <c r="B1307" s="75" t="s">
        <v>1284</v>
      </c>
      <c r="C1307" s="39" t="s">
        <v>17</v>
      </c>
      <c r="D1307" s="236"/>
      <c r="E1307" s="210"/>
      <c r="F1307" s="210"/>
      <c r="G1307" s="210"/>
      <c r="H1307" s="406">
        <f>SUM(Tabla132112410[[#This Row],[PRIMER TRIMESTRE]:[CUARTO TRIMESTRE]])</f>
        <v>0</v>
      </c>
      <c r="I1307" s="17">
        <v>3500</v>
      </c>
      <c r="J1307" s="17">
        <f>+H1307*I1307</f>
        <v>0</v>
      </c>
      <c r="K1307" s="17"/>
      <c r="L1307" s="16" t="s">
        <v>18</v>
      </c>
      <c r="M1307" s="16" t="s">
        <v>22</v>
      </c>
      <c r="N1307" s="39" t="s">
        <v>418</v>
      </c>
    </row>
    <row r="1308" spans="1:14" s="12" customFormat="1" ht="30.75" customHeight="1">
      <c r="A1308" s="179" t="s">
        <v>121</v>
      </c>
      <c r="B1308" s="76"/>
      <c r="C1308" s="42"/>
      <c r="D1308" s="237"/>
      <c r="E1308" s="237"/>
      <c r="F1308" s="237"/>
      <c r="G1308" s="237"/>
      <c r="H1308" s="43"/>
      <c r="I1308" s="24"/>
      <c r="J1308" s="24"/>
      <c r="K1308" s="25">
        <f>SUM(J1303:J1307)</f>
        <v>0</v>
      </c>
      <c r="L1308" s="23"/>
      <c r="M1308" s="23"/>
      <c r="N1308" s="42"/>
    </row>
    <row r="1309" spans="1:14" s="12" customFormat="1" ht="30.75" customHeight="1">
      <c r="A1309" s="180" t="s">
        <v>122</v>
      </c>
      <c r="B1309" s="77" t="s">
        <v>274</v>
      </c>
      <c r="C1309" s="70" t="s">
        <v>17</v>
      </c>
      <c r="D1309" s="210"/>
      <c r="E1309" s="210"/>
      <c r="F1309" s="210"/>
      <c r="G1309" s="210"/>
      <c r="H1309" s="406">
        <f>SUM(Tabla132112410[[#This Row],[PRIMER TRIMESTRE]:[CUARTO TRIMESTRE]])</f>
        <v>0</v>
      </c>
      <c r="I1309" s="17">
        <v>133.47</v>
      </c>
      <c r="J1309" s="17">
        <f>+Tabla132112410[[#This Row],[CANTIDAD TOTAL]]*Tabla132112410[[#This Row],[PRECIO UNITARIO ESTIMADO]]</f>
        <v>0</v>
      </c>
      <c r="K1309" s="17"/>
      <c r="L1309" s="16" t="s">
        <v>27</v>
      </c>
      <c r="M1309" s="16" t="s">
        <v>22</v>
      </c>
      <c r="N1309" s="39" t="s">
        <v>418</v>
      </c>
    </row>
    <row r="1310" spans="1:14" s="12" customFormat="1" ht="30.75" customHeight="1">
      <c r="A1310" s="180" t="s">
        <v>122</v>
      </c>
      <c r="B1310" s="77" t="s">
        <v>275</v>
      </c>
      <c r="C1310" s="70" t="s">
        <v>17</v>
      </c>
      <c r="D1310" s="210"/>
      <c r="E1310" s="210"/>
      <c r="F1310" s="210"/>
      <c r="G1310" s="210"/>
      <c r="H1310" s="406">
        <f>SUM(Tabla132112410[[#This Row],[PRIMER TRIMESTRE]:[CUARTO TRIMESTRE]])</f>
        <v>0</v>
      </c>
      <c r="I1310" s="17">
        <v>115.24</v>
      </c>
      <c r="J1310" s="17">
        <f>+Tabla132112410[[#This Row],[CANTIDAD TOTAL]]*Tabla132112410[[#This Row],[PRECIO UNITARIO ESTIMADO]]</f>
        <v>0</v>
      </c>
      <c r="K1310" s="17"/>
      <c r="L1310" s="16" t="s">
        <v>27</v>
      </c>
      <c r="M1310" s="16" t="s">
        <v>22</v>
      </c>
      <c r="N1310" s="39" t="s">
        <v>418</v>
      </c>
    </row>
    <row r="1311" spans="1:14" s="12" customFormat="1" ht="30.75" customHeight="1">
      <c r="A1311" s="180" t="s">
        <v>122</v>
      </c>
      <c r="B1311" s="77" t="s">
        <v>125</v>
      </c>
      <c r="C1311" s="70" t="s">
        <v>17</v>
      </c>
      <c r="D1311" s="210"/>
      <c r="E1311" s="210"/>
      <c r="F1311" s="210"/>
      <c r="G1311" s="210"/>
      <c r="H1311" s="406">
        <f>SUM(Tabla132112410[[#This Row],[PRIMER TRIMESTRE]:[CUARTO TRIMESTRE]])</f>
        <v>0</v>
      </c>
      <c r="I1311" s="17">
        <v>1624</v>
      </c>
      <c r="J1311" s="17">
        <f>+Tabla132112410[[#This Row],[CANTIDAD TOTAL]]*Tabla132112410[[#This Row],[PRECIO UNITARIO ESTIMADO]]</f>
        <v>0</v>
      </c>
      <c r="K1311" s="17"/>
      <c r="L1311" s="16" t="s">
        <v>27</v>
      </c>
      <c r="M1311" s="16" t="s">
        <v>22</v>
      </c>
      <c r="N1311" s="39" t="s">
        <v>418</v>
      </c>
    </row>
    <row r="1312" spans="1:14" s="12" customFormat="1" ht="30.75" customHeight="1">
      <c r="A1312" s="180" t="s">
        <v>1588</v>
      </c>
      <c r="B1312" s="77" t="s">
        <v>1587</v>
      </c>
      <c r="C1312" s="70" t="s">
        <v>17</v>
      </c>
      <c r="D1312" s="210"/>
      <c r="E1312" s="210"/>
      <c r="F1312" s="210"/>
      <c r="G1312" s="210"/>
      <c r="H1312" s="210">
        <f>SUM(Tabla132112410[[#This Row],[PRIMER TRIMESTRE]:[CUARTO TRIMESTRE]])</f>
        <v>0</v>
      </c>
      <c r="I1312" s="17">
        <v>3500</v>
      </c>
      <c r="J1312" s="17">
        <f>+H1312*I1312</f>
        <v>0</v>
      </c>
      <c r="K1312" s="17"/>
      <c r="L1312" s="16" t="s">
        <v>15</v>
      </c>
      <c r="M1312" s="16" t="s">
        <v>22</v>
      </c>
      <c r="N1312" s="39" t="s">
        <v>418</v>
      </c>
    </row>
    <row r="1313" spans="1:14" s="12" customFormat="1" ht="30.75" customHeight="1">
      <c r="A1313" s="180" t="s">
        <v>122</v>
      </c>
      <c r="B1313" s="77" t="s">
        <v>276</v>
      </c>
      <c r="C1313" s="70" t="s">
        <v>17</v>
      </c>
      <c r="D1313" s="210"/>
      <c r="E1313" s="210"/>
      <c r="F1313" s="210"/>
      <c r="G1313" s="210"/>
      <c r="H1313" s="406">
        <f>SUM(Tabla132112410[[#This Row],[PRIMER TRIMESTRE]:[CUARTO TRIMESTRE]])</f>
        <v>0</v>
      </c>
      <c r="I1313" s="17">
        <v>101.68</v>
      </c>
      <c r="J1313" s="17">
        <f>+Tabla132112410[[#This Row],[CANTIDAD TOTAL]]*Tabla132112410[[#This Row],[PRECIO UNITARIO ESTIMADO]]</f>
        <v>0</v>
      </c>
      <c r="K1313" s="17"/>
      <c r="L1313" s="16" t="s">
        <v>27</v>
      </c>
      <c r="M1313" s="16" t="s">
        <v>22</v>
      </c>
      <c r="N1313" s="39" t="s">
        <v>418</v>
      </c>
    </row>
    <row r="1314" spans="1:14" s="12" customFormat="1" ht="30.75" customHeight="1">
      <c r="A1314" s="180" t="s">
        <v>122</v>
      </c>
      <c r="B1314" s="77" t="s">
        <v>277</v>
      </c>
      <c r="C1314" s="70" t="s">
        <v>17</v>
      </c>
      <c r="D1314" s="210"/>
      <c r="E1314" s="210"/>
      <c r="F1314" s="210"/>
      <c r="G1314" s="210"/>
      <c r="H1314" s="406">
        <f>SUM(Tabla132112410[[#This Row],[PRIMER TRIMESTRE]:[CUARTO TRIMESTRE]])</f>
        <v>0</v>
      </c>
      <c r="I1314" s="17">
        <v>27.14</v>
      </c>
      <c r="J1314" s="17">
        <f>+Tabla132112410[[#This Row],[CANTIDAD TOTAL]]*Tabla132112410[[#This Row],[PRECIO UNITARIO ESTIMADO]]</f>
        <v>0</v>
      </c>
      <c r="K1314" s="17"/>
      <c r="L1314" s="16" t="s">
        <v>27</v>
      </c>
      <c r="M1314" s="16" t="s">
        <v>22</v>
      </c>
      <c r="N1314" s="39" t="s">
        <v>418</v>
      </c>
    </row>
    <row r="1315" spans="1:14" s="12" customFormat="1" ht="30.75" customHeight="1">
      <c r="A1315" s="180" t="s">
        <v>122</v>
      </c>
      <c r="B1315" s="77" t="s">
        <v>327</v>
      </c>
      <c r="C1315" s="70" t="s">
        <v>102</v>
      </c>
      <c r="D1315" s="210"/>
      <c r="E1315" s="210"/>
      <c r="F1315" s="210"/>
      <c r="G1315" s="210"/>
      <c r="H1315" s="406">
        <f>SUM(Tabla132112410[[#This Row],[PRIMER TRIMESTRE]:[CUARTO TRIMESTRE]])</f>
        <v>0</v>
      </c>
      <c r="I1315" s="17">
        <f>43660/209</f>
        <v>208.89952153110048</v>
      </c>
      <c r="J1315" s="17">
        <f>+Tabla132112410[[#This Row],[CANTIDAD TOTAL]]*Tabla132112410[[#This Row],[PRECIO UNITARIO ESTIMADO]]</f>
        <v>0</v>
      </c>
      <c r="K1315" s="17"/>
      <c r="L1315" s="16" t="s">
        <v>27</v>
      </c>
      <c r="M1315" s="16" t="s">
        <v>22</v>
      </c>
      <c r="N1315" s="39" t="s">
        <v>418</v>
      </c>
    </row>
    <row r="1316" spans="1:14" s="12" customFormat="1" ht="30.75" customHeight="1">
      <c r="A1316" s="180" t="s">
        <v>122</v>
      </c>
      <c r="B1316" s="77" t="s">
        <v>1269</v>
      </c>
      <c r="C1316" s="70" t="s">
        <v>17</v>
      </c>
      <c r="D1316" s="210"/>
      <c r="E1316" s="210"/>
      <c r="F1316" s="210"/>
      <c r="G1316" s="210"/>
      <c r="H1316" s="406">
        <f>SUM(Tabla132112410[[#This Row],[PRIMER TRIMESTRE]:[CUARTO TRIMESTRE]])</f>
        <v>0</v>
      </c>
      <c r="I1316" s="17">
        <v>350</v>
      </c>
      <c r="J1316" s="17">
        <f>+H1316*I1316</f>
        <v>0</v>
      </c>
      <c r="K1316" s="17"/>
      <c r="L1316" s="16" t="s">
        <v>27</v>
      </c>
      <c r="M1316" s="16" t="s">
        <v>22</v>
      </c>
      <c r="N1316" s="39" t="s">
        <v>418</v>
      </c>
    </row>
    <row r="1317" spans="1:14" s="12" customFormat="1" ht="30.75" customHeight="1">
      <c r="A1317" s="180" t="s">
        <v>122</v>
      </c>
      <c r="B1317" s="77" t="s">
        <v>328</v>
      </c>
      <c r="C1317" s="70" t="s">
        <v>17</v>
      </c>
      <c r="D1317" s="210"/>
      <c r="E1317" s="210"/>
      <c r="F1317" s="210"/>
      <c r="G1317" s="210"/>
      <c r="H1317" s="406">
        <f>SUM(Tabla132112410[[#This Row],[PRIMER TRIMESTRE]:[CUARTO TRIMESTRE]])</f>
        <v>0</v>
      </c>
      <c r="I1317" s="17">
        <v>12626</v>
      </c>
      <c r="J1317" s="17">
        <f>+Tabla132112410[[#This Row],[CANTIDAD TOTAL]]*Tabla132112410[[#This Row],[PRECIO UNITARIO ESTIMADO]]</f>
        <v>0</v>
      </c>
      <c r="K1317" s="17"/>
      <c r="L1317" s="16" t="s">
        <v>27</v>
      </c>
      <c r="M1317" s="16" t="s">
        <v>22</v>
      </c>
      <c r="N1317" s="39" t="s">
        <v>418</v>
      </c>
    </row>
    <row r="1318" spans="1:14" s="26" customFormat="1" ht="30.75" customHeight="1">
      <c r="A1318" s="180" t="s">
        <v>122</v>
      </c>
      <c r="B1318" s="77" t="s">
        <v>329</v>
      </c>
      <c r="C1318" s="70" t="s">
        <v>17</v>
      </c>
      <c r="D1318" s="210"/>
      <c r="E1318" s="210"/>
      <c r="F1318" s="210"/>
      <c r="G1318" s="210"/>
      <c r="H1318" s="406">
        <f>SUM(Tabla132112410[[#This Row],[PRIMER TRIMESTRE]:[CUARTO TRIMESTRE]])</f>
        <v>0</v>
      </c>
      <c r="I1318" s="17">
        <f>1382216.68/118</f>
        <v>11713.700677966101</v>
      </c>
      <c r="J1318" s="17">
        <f>+Tabla132112410[[#This Row],[CANTIDAD TOTAL]]*Tabla132112410[[#This Row],[PRECIO UNITARIO ESTIMADO]]</f>
        <v>0</v>
      </c>
      <c r="K1318" s="17"/>
      <c r="L1318" s="16" t="s">
        <v>27</v>
      </c>
      <c r="M1318" s="16" t="s">
        <v>22</v>
      </c>
      <c r="N1318" s="39" t="s">
        <v>418</v>
      </c>
    </row>
    <row r="1319" spans="1:14" s="12" customFormat="1" ht="30.75" customHeight="1">
      <c r="A1319" s="180" t="s">
        <v>122</v>
      </c>
      <c r="B1319" s="77" t="s">
        <v>330</v>
      </c>
      <c r="C1319" s="70" t="s">
        <v>17</v>
      </c>
      <c r="D1319" s="210"/>
      <c r="E1319" s="210"/>
      <c r="F1319" s="210"/>
      <c r="G1319" s="210"/>
      <c r="H1319" s="406">
        <f>SUM(Tabla132112410[[#This Row],[PRIMER TRIMESTRE]:[CUARTO TRIMESTRE]])</f>
        <v>0</v>
      </c>
      <c r="I1319" s="17">
        <v>413</v>
      </c>
      <c r="J1319" s="17">
        <f>+Tabla132112410[[#This Row],[CANTIDAD TOTAL]]*Tabla132112410[[#This Row],[PRECIO UNITARIO ESTIMADO]]</f>
        <v>0</v>
      </c>
      <c r="K1319" s="17"/>
      <c r="L1319" s="16" t="s">
        <v>27</v>
      </c>
      <c r="M1319" s="16" t="s">
        <v>22</v>
      </c>
      <c r="N1319" s="39" t="s">
        <v>418</v>
      </c>
    </row>
    <row r="1320" spans="1:14" s="12" customFormat="1" ht="30.75" customHeight="1">
      <c r="A1320" s="179" t="s">
        <v>122</v>
      </c>
      <c r="B1320" s="76"/>
      <c r="C1320" s="42"/>
      <c r="D1320" s="237"/>
      <c r="E1320" s="237"/>
      <c r="F1320" s="237"/>
      <c r="G1320" s="237"/>
      <c r="H1320" s="43"/>
      <c r="I1320" s="24"/>
      <c r="J1320" s="24"/>
      <c r="K1320" s="25">
        <f>SUM(J1309:J1319)</f>
        <v>0</v>
      </c>
      <c r="L1320" s="23"/>
      <c r="M1320" s="23"/>
      <c r="N1320" s="42"/>
    </row>
    <row r="1321" spans="1:14" s="12" customFormat="1" ht="30.75" customHeight="1">
      <c r="A1321" s="178" t="s">
        <v>278</v>
      </c>
      <c r="B1321" s="75" t="s">
        <v>279</v>
      </c>
      <c r="C1321" s="39" t="s">
        <v>17</v>
      </c>
      <c r="D1321" s="236"/>
      <c r="E1321" s="236"/>
      <c r="F1321" s="236"/>
      <c r="G1321" s="236"/>
      <c r="H1321" s="40">
        <f>SUM(Tabla132112410[[#This Row],[PRIMER TRIMESTRE]:[CUARTO TRIMESTRE]])</f>
        <v>0</v>
      </c>
      <c r="I1321" s="17">
        <v>259.68</v>
      </c>
      <c r="J1321" s="17">
        <f>+Tabla132112410[[#This Row],[CANTIDAD TOTAL]]*Tabla132112410[[#This Row],[PRECIO UNITARIO ESTIMADO]]</f>
        <v>0</v>
      </c>
      <c r="K1321" s="17"/>
      <c r="L1321" s="16" t="s">
        <v>27</v>
      </c>
      <c r="M1321" s="16" t="s">
        <v>22</v>
      </c>
      <c r="N1321" s="39" t="s">
        <v>342</v>
      </c>
    </row>
    <row r="1322" spans="1:14" s="12" customFormat="1" ht="30.75" customHeight="1">
      <c r="A1322" s="178" t="s">
        <v>278</v>
      </c>
      <c r="B1322" s="75" t="s">
        <v>137</v>
      </c>
      <c r="C1322" s="39" t="s">
        <v>17</v>
      </c>
      <c r="D1322" s="236"/>
      <c r="E1322" s="236"/>
      <c r="F1322" s="236"/>
      <c r="G1322" s="236"/>
      <c r="H1322" s="40">
        <f>SUM(Tabla132112410[[#This Row],[PRIMER TRIMESTRE]:[CUARTO TRIMESTRE]])</f>
        <v>0</v>
      </c>
      <c r="I1322" s="17">
        <v>220.12</v>
      </c>
      <c r="J1322" s="17">
        <f>+Tabla132112410[[#This Row],[CANTIDAD TOTAL]]*Tabla132112410[[#This Row],[PRECIO UNITARIO ESTIMADO]]</f>
        <v>0</v>
      </c>
      <c r="K1322" s="17"/>
      <c r="L1322" s="16" t="s">
        <v>27</v>
      </c>
      <c r="M1322" s="16" t="s">
        <v>22</v>
      </c>
      <c r="N1322" s="39" t="s">
        <v>418</v>
      </c>
    </row>
    <row r="1323" spans="1:14" s="12" customFormat="1" ht="30.75" customHeight="1">
      <c r="A1323" s="178" t="s">
        <v>278</v>
      </c>
      <c r="B1323" s="75" t="s">
        <v>280</v>
      </c>
      <c r="C1323" s="39" t="s">
        <v>17</v>
      </c>
      <c r="D1323" s="236"/>
      <c r="E1323" s="236"/>
      <c r="F1323" s="236"/>
      <c r="G1323" s="236"/>
      <c r="H1323" s="40">
        <f>SUM(Tabla132112410[[#This Row],[PRIMER TRIMESTRE]:[CUARTO TRIMESTRE]])</f>
        <v>0</v>
      </c>
      <c r="I1323" s="17">
        <v>150</v>
      </c>
      <c r="J1323" s="17">
        <f>+Tabla132112410[[#This Row],[CANTIDAD TOTAL]]*Tabla132112410[[#This Row],[PRECIO UNITARIO ESTIMADO]]</f>
        <v>0</v>
      </c>
      <c r="K1323" s="17"/>
      <c r="L1323" s="16" t="s">
        <v>27</v>
      </c>
      <c r="M1323" s="16" t="s">
        <v>22</v>
      </c>
      <c r="N1323" s="39" t="s">
        <v>342</v>
      </c>
    </row>
    <row r="1324" spans="1:14" s="26" customFormat="1" ht="30.75" customHeight="1">
      <c r="A1324" s="178" t="s">
        <v>278</v>
      </c>
      <c r="B1324" s="75" t="s">
        <v>566</v>
      </c>
      <c r="C1324" s="39" t="s">
        <v>17</v>
      </c>
      <c r="D1324" s="236"/>
      <c r="E1324" s="236"/>
      <c r="F1324" s="236"/>
      <c r="G1324" s="236"/>
      <c r="H1324" s="40">
        <f>SUM(Tabla132112410[[#This Row],[PRIMER TRIMESTRE]:[CUARTO TRIMESTRE]])</f>
        <v>0</v>
      </c>
      <c r="I1324" s="17">
        <v>140</v>
      </c>
      <c r="J1324" s="17">
        <f>+Tabla132112410[[#This Row],[CANTIDAD TOTAL]]*Tabla132112410[[#This Row],[PRECIO UNITARIO ESTIMADO]]</f>
        <v>0</v>
      </c>
      <c r="K1324" s="17"/>
      <c r="L1324" s="16" t="s">
        <v>27</v>
      </c>
      <c r="M1324" s="16" t="s">
        <v>22</v>
      </c>
      <c r="N1324" s="39" t="s">
        <v>342</v>
      </c>
    </row>
    <row r="1325" spans="1:14" s="12" customFormat="1" ht="30.75" customHeight="1">
      <c r="A1325" s="178" t="s">
        <v>278</v>
      </c>
      <c r="B1325" s="75" t="s">
        <v>922</v>
      </c>
      <c r="C1325" s="39" t="s">
        <v>17</v>
      </c>
      <c r="D1325" s="236"/>
      <c r="E1325" s="236"/>
      <c r="F1325" s="236"/>
      <c r="G1325" s="236"/>
      <c r="H1325" s="40">
        <f>SUM(Tabla132112410[[#This Row],[PRIMER TRIMESTRE]:[CUARTO TRIMESTRE]])</f>
        <v>0</v>
      </c>
      <c r="I1325" s="17">
        <v>21895</v>
      </c>
      <c r="J1325" s="17">
        <f>+H1325*I1325</f>
        <v>0</v>
      </c>
      <c r="K1325" s="17"/>
      <c r="L1325" s="16" t="s">
        <v>27</v>
      </c>
      <c r="M1325" s="16" t="s">
        <v>22</v>
      </c>
      <c r="N1325" s="39" t="s">
        <v>342</v>
      </c>
    </row>
    <row r="1326" spans="1:14" s="12" customFormat="1" ht="30.75" customHeight="1">
      <c r="A1326" s="179" t="s">
        <v>278</v>
      </c>
      <c r="B1326" s="76"/>
      <c r="C1326" s="42"/>
      <c r="D1326" s="237"/>
      <c r="E1326" s="237"/>
      <c r="F1326" s="237"/>
      <c r="G1326" s="237"/>
      <c r="H1326" s="43"/>
      <c r="I1326" s="24"/>
      <c r="J1326" s="24"/>
      <c r="K1326" s="25">
        <f>SUM(J1321:J1325)</f>
        <v>0</v>
      </c>
      <c r="L1326" s="23" t="s">
        <v>27</v>
      </c>
      <c r="M1326" s="23"/>
      <c r="N1326" s="42"/>
    </row>
    <row r="1327" spans="1:14" s="12" customFormat="1" ht="30.75" customHeight="1">
      <c r="A1327" s="178" t="s">
        <v>124</v>
      </c>
      <c r="B1327" s="75" t="s">
        <v>281</v>
      </c>
      <c r="C1327" s="39" t="s">
        <v>102</v>
      </c>
      <c r="D1327" s="236"/>
      <c r="E1327" s="236"/>
      <c r="F1327" s="236"/>
      <c r="G1327" s="236"/>
      <c r="H1327" s="40">
        <f>SUM(Tabla132112410[[#This Row],[PRIMER TRIMESTRE]:[CUARTO TRIMESTRE]])</f>
        <v>0</v>
      </c>
      <c r="I1327" s="17">
        <v>191.84</v>
      </c>
      <c r="J1327" s="17">
        <f>+Tabla132112410[[#This Row],[CANTIDAD TOTAL]]*Tabla132112410[[#This Row],[PRECIO UNITARIO ESTIMADO]]</f>
        <v>0</v>
      </c>
      <c r="K1327" s="17"/>
      <c r="L1327" s="16" t="s">
        <v>27</v>
      </c>
      <c r="M1327" s="16" t="s">
        <v>22</v>
      </c>
      <c r="N1327" s="39" t="s">
        <v>342</v>
      </c>
    </row>
    <row r="1328" spans="1:14" s="12" customFormat="1" ht="30.75" customHeight="1">
      <c r="A1328" s="178" t="s">
        <v>124</v>
      </c>
      <c r="B1328" s="75" t="s">
        <v>282</v>
      </c>
      <c r="C1328" s="39" t="s">
        <v>69</v>
      </c>
      <c r="D1328" s="236"/>
      <c r="E1328" s="236"/>
      <c r="F1328" s="236"/>
      <c r="G1328" s="236"/>
      <c r="H1328" s="40">
        <f>SUM(Tabla132112410[[#This Row],[PRIMER TRIMESTRE]:[CUARTO TRIMESTRE]])</f>
        <v>0</v>
      </c>
      <c r="I1328" s="17">
        <v>83.78</v>
      </c>
      <c r="J1328" s="17">
        <f>+Tabla132112410[[#This Row],[CANTIDAD TOTAL]]*Tabla132112410[[#This Row],[PRECIO UNITARIO ESTIMADO]]</f>
        <v>0</v>
      </c>
      <c r="K1328" s="17"/>
      <c r="L1328" s="16" t="s">
        <v>27</v>
      </c>
      <c r="M1328" s="16" t="s">
        <v>22</v>
      </c>
      <c r="N1328" s="39" t="s">
        <v>342</v>
      </c>
    </row>
    <row r="1329" spans="1:14" s="12" customFormat="1" ht="30.75" customHeight="1">
      <c r="A1329" s="178" t="s">
        <v>124</v>
      </c>
      <c r="B1329" s="75" t="s">
        <v>283</v>
      </c>
      <c r="C1329" s="39" t="s">
        <v>17</v>
      </c>
      <c r="D1329" s="236"/>
      <c r="E1329" s="236"/>
      <c r="F1329" s="236"/>
      <c r="G1329" s="236"/>
      <c r="H1329" s="40">
        <f>SUM(Tabla132112410[[#This Row],[PRIMER TRIMESTRE]:[CUARTO TRIMESTRE]])</f>
        <v>0</v>
      </c>
      <c r="I1329" s="17">
        <v>82.94</v>
      </c>
      <c r="J1329" s="17">
        <f>+Tabla132112410[[#This Row],[CANTIDAD TOTAL]]*Tabla132112410[[#This Row],[PRECIO UNITARIO ESTIMADO]]</f>
        <v>0</v>
      </c>
      <c r="K1329" s="17"/>
      <c r="L1329" s="16" t="s">
        <v>27</v>
      </c>
      <c r="M1329" s="16" t="s">
        <v>22</v>
      </c>
      <c r="N1329" s="39" t="s">
        <v>342</v>
      </c>
    </row>
    <row r="1330" spans="1:14" s="12" customFormat="1" ht="30.75" customHeight="1">
      <c r="A1330" s="178" t="s">
        <v>124</v>
      </c>
      <c r="B1330" s="75" t="s">
        <v>284</v>
      </c>
      <c r="C1330" s="39" t="s">
        <v>17</v>
      </c>
      <c r="D1330" s="236"/>
      <c r="E1330" s="236"/>
      <c r="F1330" s="236"/>
      <c r="G1330" s="236"/>
      <c r="H1330" s="40">
        <f>SUM(Tabla132112410[[#This Row],[PRIMER TRIMESTRE]:[CUARTO TRIMESTRE]])</f>
        <v>0</v>
      </c>
      <c r="I1330" s="17">
        <v>26.67</v>
      </c>
      <c r="J1330" s="17">
        <f>+Tabla132112410[[#This Row],[CANTIDAD TOTAL]]*Tabla132112410[[#This Row],[PRECIO UNITARIO ESTIMADO]]</f>
        <v>0</v>
      </c>
      <c r="K1330" s="17"/>
      <c r="L1330" s="16" t="s">
        <v>27</v>
      </c>
      <c r="M1330" s="16" t="s">
        <v>22</v>
      </c>
      <c r="N1330" s="39" t="s">
        <v>342</v>
      </c>
    </row>
    <row r="1331" spans="1:14" s="12" customFormat="1" ht="30.75" customHeight="1">
      <c r="A1331" s="178" t="s">
        <v>124</v>
      </c>
      <c r="B1331" s="75" t="s">
        <v>726</v>
      </c>
      <c r="C1331" s="39" t="s">
        <v>17</v>
      </c>
      <c r="D1331" s="236"/>
      <c r="E1331" s="236"/>
      <c r="F1331" s="236"/>
      <c r="G1331" s="236"/>
      <c r="H1331" s="40">
        <f>SUM(Tabla132112410[[#This Row],[PRIMER TRIMESTRE]:[CUARTO TRIMESTRE]])</f>
        <v>0</v>
      </c>
      <c r="I1331" s="72">
        <v>50</v>
      </c>
      <c r="J1331" s="17">
        <f>+H1331*I1331</f>
        <v>0</v>
      </c>
      <c r="K1331" s="17"/>
      <c r="L1331" s="16" t="s">
        <v>27</v>
      </c>
      <c r="M1331" s="16" t="s">
        <v>22</v>
      </c>
      <c r="N1331" s="39" t="s">
        <v>342</v>
      </c>
    </row>
    <row r="1332" spans="1:14" s="12" customFormat="1" ht="30.75" customHeight="1">
      <c r="A1332" s="178" t="s">
        <v>124</v>
      </c>
      <c r="B1332" s="75" t="s">
        <v>285</v>
      </c>
      <c r="C1332" s="39" t="s">
        <v>33</v>
      </c>
      <c r="D1332" s="236"/>
      <c r="E1332" s="236"/>
      <c r="F1332" s="236"/>
      <c r="G1332" s="236"/>
      <c r="H1332" s="40">
        <f>SUM(Tabla132112410[[#This Row],[PRIMER TRIMESTRE]:[CUARTO TRIMESTRE]])</f>
        <v>0</v>
      </c>
      <c r="I1332" s="17">
        <v>115.94</v>
      </c>
      <c r="J1332" s="17">
        <f>+Tabla132112410[[#This Row],[CANTIDAD TOTAL]]*Tabla132112410[[#This Row],[PRECIO UNITARIO ESTIMADO]]</f>
        <v>0</v>
      </c>
      <c r="K1332" s="17"/>
      <c r="L1332" s="16" t="s">
        <v>27</v>
      </c>
      <c r="M1332" s="16" t="s">
        <v>22</v>
      </c>
      <c r="N1332" s="39" t="s">
        <v>342</v>
      </c>
    </row>
    <row r="1333" spans="1:14" s="12" customFormat="1" ht="30.75" customHeight="1">
      <c r="A1333" s="178" t="s">
        <v>124</v>
      </c>
      <c r="B1333" s="75" t="s">
        <v>287</v>
      </c>
      <c r="C1333" s="39" t="s">
        <v>288</v>
      </c>
      <c r="D1333" s="236"/>
      <c r="E1333" s="236"/>
      <c r="F1333" s="236"/>
      <c r="G1333" s="236"/>
      <c r="H1333" s="40">
        <f>SUM(Tabla132112410[[#This Row],[PRIMER TRIMESTRE]:[CUARTO TRIMESTRE]])</f>
        <v>0</v>
      </c>
      <c r="I1333" s="17">
        <v>255.31</v>
      </c>
      <c r="J1333" s="17">
        <f>+Tabla132112410[[#This Row],[CANTIDAD TOTAL]]*Tabla132112410[[#This Row],[PRECIO UNITARIO ESTIMADO]]</f>
        <v>0</v>
      </c>
      <c r="K1333" s="17"/>
      <c r="L1333" s="16" t="s">
        <v>27</v>
      </c>
      <c r="M1333" s="16" t="s">
        <v>22</v>
      </c>
      <c r="N1333" s="39" t="s">
        <v>342</v>
      </c>
    </row>
    <row r="1334" spans="1:14" s="12" customFormat="1" ht="30.75" customHeight="1">
      <c r="A1334" s="178" t="s">
        <v>124</v>
      </c>
      <c r="B1334" s="75" t="s">
        <v>293</v>
      </c>
      <c r="C1334" s="39" t="s">
        <v>290</v>
      </c>
      <c r="D1334" s="236"/>
      <c r="E1334" s="236"/>
      <c r="F1334" s="236"/>
      <c r="G1334" s="236"/>
      <c r="H1334" s="40">
        <f>SUM(Tabla132112410[[#This Row],[PRIMER TRIMESTRE]:[CUARTO TRIMESTRE]])</f>
        <v>0</v>
      </c>
      <c r="I1334" s="17">
        <v>160</v>
      </c>
      <c r="J1334" s="17">
        <f t="shared" ref="J1334:J1342" si="33">+H1334*I1334</f>
        <v>0</v>
      </c>
      <c r="K1334" s="17"/>
      <c r="L1334" s="16" t="s">
        <v>27</v>
      </c>
      <c r="M1334" s="16" t="s">
        <v>22</v>
      </c>
      <c r="N1334" s="39" t="s">
        <v>342</v>
      </c>
    </row>
    <row r="1335" spans="1:14" s="12" customFormat="1" ht="30.75" customHeight="1">
      <c r="A1335" s="178" t="s">
        <v>124</v>
      </c>
      <c r="B1335" s="75" t="s">
        <v>1411</v>
      </c>
      <c r="C1335" s="39" t="s">
        <v>290</v>
      </c>
      <c r="D1335" s="236"/>
      <c r="E1335" s="236"/>
      <c r="F1335" s="236"/>
      <c r="G1335" s="236"/>
      <c r="H1335" s="40">
        <f>SUM(Tabla132112410[[#This Row],[PRIMER TRIMESTRE]:[CUARTO TRIMESTRE]])</f>
        <v>0</v>
      </c>
      <c r="I1335" s="17">
        <v>450</v>
      </c>
      <c r="J1335" s="17">
        <f t="shared" si="33"/>
        <v>0</v>
      </c>
      <c r="K1335" s="17"/>
      <c r="L1335" s="16" t="s">
        <v>27</v>
      </c>
      <c r="M1335" s="16" t="s">
        <v>22</v>
      </c>
      <c r="N1335" s="39" t="s">
        <v>342</v>
      </c>
    </row>
    <row r="1336" spans="1:14" s="12" customFormat="1" ht="30.75" customHeight="1">
      <c r="A1336" s="178" t="s">
        <v>124</v>
      </c>
      <c r="B1336" s="75" t="s">
        <v>1451</v>
      </c>
      <c r="C1336" s="39" t="s">
        <v>17</v>
      </c>
      <c r="D1336" s="236"/>
      <c r="E1336" s="236"/>
      <c r="F1336" s="236"/>
      <c r="G1336" s="236"/>
      <c r="H1336" s="40">
        <f>SUM(Tabla132112410[[#This Row],[PRIMER TRIMESTRE]:[CUARTO TRIMESTRE]])</f>
        <v>0</v>
      </c>
      <c r="I1336" s="17">
        <v>469</v>
      </c>
      <c r="J1336" s="17">
        <f t="shared" si="33"/>
        <v>0</v>
      </c>
      <c r="K1336" s="17"/>
      <c r="L1336" s="16" t="s">
        <v>15</v>
      </c>
      <c r="M1336" s="16" t="s">
        <v>22</v>
      </c>
      <c r="N1336" s="39" t="s">
        <v>342</v>
      </c>
    </row>
    <row r="1337" spans="1:14" s="12" customFormat="1" ht="30.75" customHeight="1">
      <c r="A1337" s="178" t="s">
        <v>124</v>
      </c>
      <c r="B1337" s="75" t="s">
        <v>1906</v>
      </c>
      <c r="C1337" s="39" t="s">
        <v>17</v>
      </c>
      <c r="D1337" s="236"/>
      <c r="E1337" s="236"/>
      <c r="F1337" s="236"/>
      <c r="G1337" s="236"/>
      <c r="H1337" s="40">
        <v>0</v>
      </c>
      <c r="I1337" s="17">
        <v>250</v>
      </c>
      <c r="J1337" s="17">
        <f t="shared" si="33"/>
        <v>0</v>
      </c>
      <c r="K1337" s="17"/>
      <c r="L1337" s="16" t="s">
        <v>27</v>
      </c>
      <c r="M1337" s="16" t="s">
        <v>22</v>
      </c>
      <c r="N1337" s="39" t="s">
        <v>342</v>
      </c>
    </row>
    <row r="1338" spans="1:14" s="12" customFormat="1" ht="30.75" customHeight="1">
      <c r="A1338" s="178" t="s">
        <v>124</v>
      </c>
      <c r="B1338" s="75" t="s">
        <v>1907</v>
      </c>
      <c r="C1338" s="39" t="s">
        <v>17</v>
      </c>
      <c r="D1338" s="236"/>
      <c r="E1338" s="236"/>
      <c r="F1338" s="236"/>
      <c r="G1338" s="236"/>
      <c r="H1338" s="40">
        <v>0</v>
      </c>
      <c r="I1338" s="17">
        <v>0</v>
      </c>
      <c r="J1338" s="17">
        <v>0</v>
      </c>
      <c r="K1338" s="17"/>
      <c r="L1338" s="16" t="s">
        <v>27</v>
      </c>
      <c r="M1338" s="16" t="s">
        <v>22</v>
      </c>
      <c r="N1338" s="39" t="s">
        <v>342</v>
      </c>
    </row>
    <row r="1339" spans="1:14" s="12" customFormat="1" ht="30.75" customHeight="1">
      <c r="A1339" s="178" t="s">
        <v>124</v>
      </c>
      <c r="B1339" s="75" t="s">
        <v>1412</v>
      </c>
      <c r="C1339" s="39" t="s">
        <v>17</v>
      </c>
      <c r="D1339" s="236"/>
      <c r="E1339" s="236"/>
      <c r="F1339" s="236"/>
      <c r="G1339" s="236"/>
      <c r="H1339" s="40">
        <f>SUM(Tabla132112410[[#This Row],[PRIMER TRIMESTRE]:[CUARTO TRIMESTRE]])</f>
        <v>0</v>
      </c>
      <c r="I1339" s="17">
        <v>250</v>
      </c>
      <c r="J1339" s="17">
        <f t="shared" si="33"/>
        <v>0</v>
      </c>
      <c r="K1339" s="17"/>
      <c r="L1339" s="16" t="s">
        <v>27</v>
      </c>
      <c r="M1339" s="16" t="s">
        <v>22</v>
      </c>
      <c r="N1339" s="39" t="s">
        <v>342</v>
      </c>
    </row>
    <row r="1340" spans="1:14" s="12" customFormat="1" ht="30.75" customHeight="1">
      <c r="A1340" s="178" t="s">
        <v>124</v>
      </c>
      <c r="B1340" s="75" t="s">
        <v>1105</v>
      </c>
      <c r="C1340" s="39" t="s">
        <v>290</v>
      </c>
      <c r="D1340" s="236"/>
      <c r="E1340" s="236"/>
      <c r="F1340" s="236"/>
      <c r="G1340" s="236"/>
      <c r="H1340" s="40">
        <f>SUM(Tabla132112410[[#This Row],[PRIMER TRIMESTRE]:[CUARTO TRIMESTRE]])</f>
        <v>0</v>
      </c>
      <c r="I1340" s="17">
        <v>250</v>
      </c>
      <c r="J1340" s="17">
        <f t="shared" si="33"/>
        <v>0</v>
      </c>
      <c r="K1340" s="17"/>
      <c r="L1340" s="16" t="s">
        <v>27</v>
      </c>
      <c r="M1340" s="16" t="s">
        <v>22</v>
      </c>
      <c r="N1340" s="39" t="s">
        <v>342</v>
      </c>
    </row>
    <row r="1341" spans="1:14" s="12" customFormat="1" ht="30.75" customHeight="1">
      <c r="A1341" s="178" t="s">
        <v>124</v>
      </c>
      <c r="B1341" s="75" t="s">
        <v>1097</v>
      </c>
      <c r="C1341" s="39" t="s">
        <v>1067</v>
      </c>
      <c r="D1341" s="236"/>
      <c r="E1341" s="236"/>
      <c r="F1341" s="236"/>
      <c r="G1341" s="236"/>
      <c r="H1341" s="40">
        <f>SUM(Tabla132112410[[#This Row],[PRIMER TRIMESTRE]:[CUARTO TRIMESTRE]])</f>
        <v>0</v>
      </c>
      <c r="I1341" s="17">
        <v>53</v>
      </c>
      <c r="J1341" s="17">
        <f t="shared" si="33"/>
        <v>0</v>
      </c>
      <c r="K1341" s="17"/>
      <c r="L1341" s="16" t="s">
        <v>27</v>
      </c>
      <c r="M1341" s="16" t="s">
        <v>22</v>
      </c>
      <c r="N1341" s="39" t="s">
        <v>342</v>
      </c>
    </row>
    <row r="1342" spans="1:14" s="12" customFormat="1" ht="30.75" customHeight="1">
      <c r="A1342" s="178" t="s">
        <v>124</v>
      </c>
      <c r="B1342" s="75" t="s">
        <v>1413</v>
      </c>
      <c r="C1342" s="39" t="s">
        <v>1414</v>
      </c>
      <c r="D1342" s="236"/>
      <c r="E1342" s="236"/>
      <c r="F1342" s="236"/>
      <c r="G1342" s="236"/>
      <c r="H1342" s="40">
        <f>SUM(Tabla132112410[[#This Row],[PRIMER TRIMESTRE]:[CUARTO TRIMESTRE]])</f>
        <v>0</v>
      </c>
      <c r="I1342" s="17">
        <v>450</v>
      </c>
      <c r="J1342" s="17">
        <f t="shared" si="33"/>
        <v>0</v>
      </c>
      <c r="K1342" s="17"/>
      <c r="L1342" s="16" t="s">
        <v>27</v>
      </c>
      <c r="M1342" s="16" t="s">
        <v>22</v>
      </c>
      <c r="N1342" s="39" t="s">
        <v>342</v>
      </c>
    </row>
    <row r="1343" spans="1:14" s="12" customFormat="1" ht="30.75" customHeight="1">
      <c r="A1343" s="178" t="s">
        <v>124</v>
      </c>
      <c r="B1343" s="75" t="s">
        <v>291</v>
      </c>
      <c r="C1343" s="39" t="s">
        <v>290</v>
      </c>
      <c r="D1343" s="236"/>
      <c r="E1343" s="236"/>
      <c r="F1343" s="236"/>
      <c r="G1343" s="236"/>
      <c r="H1343" s="40">
        <f>SUM(Tabla132112410[[#This Row],[PRIMER TRIMESTRE]:[CUARTO TRIMESTRE]])</f>
        <v>0</v>
      </c>
      <c r="I1343" s="17">
        <v>121.8</v>
      </c>
      <c r="J1343" s="17">
        <f>+Tabla132112410[[#This Row],[CANTIDAD TOTAL]]*Tabla132112410[[#This Row],[PRECIO UNITARIO ESTIMADO]]</f>
        <v>0</v>
      </c>
      <c r="K1343" s="17"/>
      <c r="L1343" s="16" t="s">
        <v>27</v>
      </c>
      <c r="M1343" s="16" t="s">
        <v>22</v>
      </c>
      <c r="N1343" s="39" t="s">
        <v>342</v>
      </c>
    </row>
    <row r="1344" spans="1:14" s="12" customFormat="1" ht="30.75" customHeight="1">
      <c r="A1344" s="178" t="s">
        <v>124</v>
      </c>
      <c r="B1344" s="75" t="s">
        <v>469</v>
      </c>
      <c r="C1344" s="39" t="s">
        <v>17</v>
      </c>
      <c r="D1344" s="236"/>
      <c r="E1344" s="236"/>
      <c r="F1344" s="236"/>
      <c r="G1344" s="236"/>
      <c r="H1344" s="40">
        <f>SUM(Tabla132112410[[#This Row],[PRIMER TRIMESTRE]:[CUARTO TRIMESTRE]])</f>
        <v>0</v>
      </c>
      <c r="I1344" s="17">
        <v>217.18</v>
      </c>
      <c r="J1344" s="17">
        <f>+H1344*I1344</f>
        <v>0</v>
      </c>
      <c r="K1344" s="17"/>
      <c r="L1344" s="16" t="s">
        <v>27</v>
      </c>
      <c r="M1344" s="16" t="s">
        <v>22</v>
      </c>
      <c r="N1344" s="39" t="s">
        <v>342</v>
      </c>
    </row>
    <row r="1345" spans="1:14" s="12" customFormat="1" ht="30.75" customHeight="1">
      <c r="A1345" s="178" t="s">
        <v>124</v>
      </c>
      <c r="B1345" s="75" t="s">
        <v>741</v>
      </c>
      <c r="C1345" s="39" t="s">
        <v>17</v>
      </c>
      <c r="D1345" s="236"/>
      <c r="E1345" s="236"/>
      <c r="F1345" s="236"/>
      <c r="G1345" s="236"/>
      <c r="H1345" s="40">
        <f>SUM(Tabla132112410[[#This Row],[PRIMER TRIMESTRE]:[CUARTO TRIMESTRE]])</f>
        <v>0</v>
      </c>
      <c r="I1345" s="17">
        <v>217.18</v>
      </c>
      <c r="J1345" s="17">
        <f>+Tabla132112410[[#This Row],[CANTIDAD TOTAL]]*Tabla132112410[[#This Row],[PRECIO UNITARIO ESTIMADO]]</f>
        <v>0</v>
      </c>
      <c r="K1345" s="17"/>
      <c r="L1345" s="16" t="s">
        <v>27</v>
      </c>
      <c r="M1345" s="16" t="s">
        <v>22</v>
      </c>
      <c r="N1345" s="39" t="s">
        <v>342</v>
      </c>
    </row>
    <row r="1346" spans="1:14" s="12" customFormat="1" ht="30.75" customHeight="1">
      <c r="A1346" s="178" t="s">
        <v>124</v>
      </c>
      <c r="B1346" s="75" t="s">
        <v>292</v>
      </c>
      <c r="C1346" s="39" t="s">
        <v>17</v>
      </c>
      <c r="D1346" s="236"/>
      <c r="E1346" s="236"/>
      <c r="F1346" s="236"/>
      <c r="G1346" s="236"/>
      <c r="H1346" s="40">
        <f>SUM(Tabla132112410[[#This Row],[PRIMER TRIMESTRE]:[CUARTO TRIMESTRE]])</f>
        <v>0</v>
      </c>
      <c r="I1346" s="17">
        <v>377.54</v>
      </c>
      <c r="J1346" s="17">
        <f>+Tabla132112410[[#This Row],[CANTIDAD TOTAL]]*Tabla132112410[[#This Row],[PRECIO UNITARIO ESTIMADO]]</f>
        <v>0</v>
      </c>
      <c r="K1346" s="17"/>
      <c r="L1346" s="16" t="s">
        <v>27</v>
      </c>
      <c r="M1346" s="16" t="s">
        <v>22</v>
      </c>
      <c r="N1346" s="39" t="s">
        <v>342</v>
      </c>
    </row>
    <row r="1347" spans="1:14" s="12" customFormat="1" ht="30.75" customHeight="1">
      <c r="A1347" s="178" t="s">
        <v>124</v>
      </c>
      <c r="B1347" s="75" t="s">
        <v>725</v>
      </c>
      <c r="C1347" s="39" t="s">
        <v>17</v>
      </c>
      <c r="D1347" s="236"/>
      <c r="E1347" s="236"/>
      <c r="F1347" s="236"/>
      <c r="G1347" s="236"/>
      <c r="H1347" s="40">
        <f>SUM(Tabla132112410[[#This Row],[PRIMER TRIMESTRE]:[CUARTO TRIMESTRE]])</f>
        <v>0</v>
      </c>
      <c r="I1347" s="17">
        <v>90</v>
      </c>
      <c r="J1347" s="17">
        <f>+H1347*I1347</f>
        <v>0</v>
      </c>
      <c r="K1347" s="17"/>
      <c r="L1347" s="16" t="s">
        <v>27</v>
      </c>
      <c r="M1347" s="16" t="s">
        <v>22</v>
      </c>
      <c r="N1347" s="39" t="s">
        <v>342</v>
      </c>
    </row>
    <row r="1348" spans="1:14" s="12" customFormat="1" ht="30.75" customHeight="1">
      <c r="A1348" s="178" t="s">
        <v>124</v>
      </c>
      <c r="B1348" s="75" t="s">
        <v>294</v>
      </c>
      <c r="C1348" s="39" t="s">
        <v>17</v>
      </c>
      <c r="D1348" s="236"/>
      <c r="E1348" s="210"/>
      <c r="F1348" s="210"/>
      <c r="G1348" s="210"/>
      <c r="H1348" s="40">
        <f>SUM(Tabla132112410[[#This Row],[PRIMER TRIMESTRE]:[CUARTO TRIMESTRE]])</f>
        <v>0</v>
      </c>
      <c r="I1348" s="17">
        <v>424.95</v>
      </c>
      <c r="J1348" s="17">
        <f>+Tabla132112410[[#This Row],[CANTIDAD TOTAL]]*Tabla132112410[[#This Row],[PRECIO UNITARIO ESTIMADO]]</f>
        <v>0</v>
      </c>
      <c r="K1348" s="17"/>
      <c r="L1348" s="16" t="s">
        <v>27</v>
      </c>
      <c r="M1348" s="16" t="s">
        <v>22</v>
      </c>
      <c r="N1348" s="39" t="s">
        <v>342</v>
      </c>
    </row>
    <row r="1349" spans="1:14" s="12" customFormat="1" ht="30.75" customHeight="1">
      <c r="A1349" s="178" t="s">
        <v>124</v>
      </c>
      <c r="B1349" s="75" t="s">
        <v>331</v>
      </c>
      <c r="C1349" s="39" t="s">
        <v>33</v>
      </c>
      <c r="D1349" s="236"/>
      <c r="E1349" s="236"/>
      <c r="F1349" s="236"/>
      <c r="G1349" s="236"/>
      <c r="H1349" s="40">
        <f>SUM(Tabla132112410[[#This Row],[PRIMER TRIMESTRE]:[CUARTO TRIMESTRE]])</f>
        <v>0</v>
      </c>
      <c r="I1349" s="17">
        <v>404.45</v>
      </c>
      <c r="J1349" s="17">
        <f>+Tabla132112410[[#This Row],[CANTIDAD TOTAL]]*Tabla132112410[[#This Row],[PRECIO UNITARIO ESTIMADO]]</f>
        <v>0</v>
      </c>
      <c r="K1349" s="17"/>
      <c r="L1349" s="16" t="s">
        <v>27</v>
      </c>
      <c r="M1349" s="16" t="s">
        <v>22</v>
      </c>
      <c r="N1349" s="39" t="s">
        <v>342</v>
      </c>
    </row>
    <row r="1350" spans="1:14" s="12" customFormat="1" ht="30.75" customHeight="1">
      <c r="A1350" s="178" t="s">
        <v>124</v>
      </c>
      <c r="B1350" s="75" t="s">
        <v>724</v>
      </c>
      <c r="C1350" s="39" t="s">
        <v>17</v>
      </c>
      <c r="D1350" s="236"/>
      <c r="E1350" s="236"/>
      <c r="F1350" s="236"/>
      <c r="G1350" s="236"/>
      <c r="H1350" s="40">
        <f>SUM(Tabla132112410[[#This Row],[PRIMER TRIMESTRE]:[CUARTO TRIMESTRE]])</f>
        <v>0</v>
      </c>
      <c r="I1350" s="17">
        <v>140</v>
      </c>
      <c r="J1350" s="17">
        <f>+H1350*I1350</f>
        <v>0</v>
      </c>
      <c r="K1350" s="17"/>
      <c r="L1350" s="16" t="s">
        <v>27</v>
      </c>
      <c r="M1350" s="16" t="s">
        <v>22</v>
      </c>
      <c r="N1350" s="39" t="s">
        <v>342</v>
      </c>
    </row>
    <row r="1351" spans="1:14" s="12" customFormat="1" ht="30.75" customHeight="1">
      <c r="A1351" s="178" t="s">
        <v>124</v>
      </c>
      <c r="B1351" s="75" t="s">
        <v>1415</v>
      </c>
      <c r="C1351" s="39" t="s">
        <v>1461</v>
      </c>
      <c r="D1351" s="236"/>
      <c r="E1351" s="236"/>
      <c r="F1351" s="236"/>
      <c r="G1351" s="236"/>
      <c r="H1351" s="40">
        <f>SUM(Tabla132112410[[#This Row],[PRIMER TRIMESTRE]:[CUARTO TRIMESTRE]])</f>
        <v>0</v>
      </c>
      <c r="I1351" s="17">
        <v>55</v>
      </c>
      <c r="J1351" s="17">
        <f>+H1351*I1351</f>
        <v>0</v>
      </c>
      <c r="K1351" s="17"/>
      <c r="L1351" s="16" t="s">
        <v>27</v>
      </c>
      <c r="M1351" s="16" t="s">
        <v>22</v>
      </c>
      <c r="N1351" s="39" t="s">
        <v>342</v>
      </c>
    </row>
    <row r="1352" spans="1:14" s="26" customFormat="1" ht="30.75" customHeight="1">
      <c r="A1352" s="178" t="s">
        <v>124</v>
      </c>
      <c r="B1352" s="75" t="s">
        <v>1735</v>
      </c>
      <c r="C1352" s="39" t="s">
        <v>1461</v>
      </c>
      <c r="D1352" s="236"/>
      <c r="E1352" s="236"/>
      <c r="F1352" s="236"/>
      <c r="G1352" s="236"/>
      <c r="H1352" s="40">
        <v>0</v>
      </c>
      <c r="I1352" s="17">
        <v>0</v>
      </c>
      <c r="J1352" s="17">
        <v>0</v>
      </c>
      <c r="K1352" s="17"/>
      <c r="L1352" s="16" t="s">
        <v>27</v>
      </c>
      <c r="M1352" s="16" t="s">
        <v>22</v>
      </c>
      <c r="N1352" s="39" t="s">
        <v>342</v>
      </c>
    </row>
    <row r="1353" spans="1:14" s="12" customFormat="1" ht="30.75" customHeight="1">
      <c r="A1353" s="178" t="s">
        <v>124</v>
      </c>
      <c r="B1353" s="75" t="s">
        <v>1416</v>
      </c>
      <c r="C1353" s="39" t="s">
        <v>1461</v>
      </c>
      <c r="D1353" s="236"/>
      <c r="E1353" s="236"/>
      <c r="F1353" s="236"/>
      <c r="G1353" s="236"/>
      <c r="H1353" s="40">
        <f>SUM(Tabla132112410[[#This Row],[PRIMER TRIMESTRE]:[CUARTO TRIMESTRE]])</f>
        <v>0</v>
      </c>
      <c r="I1353" s="17">
        <v>100</v>
      </c>
      <c r="J1353" s="17">
        <f>+H1353*I1353</f>
        <v>0</v>
      </c>
      <c r="K1353" s="17"/>
      <c r="L1353" s="16" t="s">
        <v>27</v>
      </c>
      <c r="M1353" s="16" t="s">
        <v>22</v>
      </c>
      <c r="N1353" s="39" t="s">
        <v>342</v>
      </c>
    </row>
    <row r="1354" spans="1:14" s="12" customFormat="1" ht="30.75" customHeight="1">
      <c r="A1354" s="179" t="s">
        <v>124</v>
      </c>
      <c r="B1354" s="76"/>
      <c r="C1354" s="42"/>
      <c r="D1354" s="237"/>
      <c r="E1354" s="237"/>
      <c r="F1354" s="237"/>
      <c r="G1354" s="237"/>
      <c r="H1354" s="43"/>
      <c r="I1354" s="24"/>
      <c r="J1354" s="24"/>
      <c r="K1354" s="25">
        <f>SUM(J1327:J1353)</f>
        <v>0</v>
      </c>
      <c r="L1354" s="23"/>
      <c r="M1354" s="23"/>
      <c r="N1354" s="42"/>
    </row>
    <row r="1355" spans="1:14" s="12" customFormat="1" ht="30.75" customHeight="1">
      <c r="A1355" s="178" t="s">
        <v>295</v>
      </c>
      <c r="B1355" s="75" t="s">
        <v>296</v>
      </c>
      <c r="C1355" s="39" t="s">
        <v>17</v>
      </c>
      <c r="D1355" s="236"/>
      <c r="E1355" s="236"/>
      <c r="F1355" s="236"/>
      <c r="G1355" s="236"/>
      <c r="H1355" s="40">
        <f>SUM(Tabla132112410[[#This Row],[PRIMER TRIMESTRE]:[CUARTO TRIMESTRE]])</f>
        <v>0</v>
      </c>
      <c r="I1355" s="17">
        <v>5300.02</v>
      </c>
      <c r="J1355" s="17">
        <f>+Tabla132112410[[#This Row],[CANTIDAD TOTAL]]*Tabla132112410[[#This Row],[PRECIO UNITARIO ESTIMADO]]</f>
        <v>0</v>
      </c>
      <c r="K1355" s="17"/>
      <c r="L1355" s="16" t="s">
        <v>27</v>
      </c>
      <c r="M1355" s="16" t="s">
        <v>22</v>
      </c>
      <c r="N1355" s="39" t="s">
        <v>342</v>
      </c>
    </row>
    <row r="1356" spans="1:14" s="12" customFormat="1" ht="30.75" customHeight="1">
      <c r="A1356" s="178" t="s">
        <v>295</v>
      </c>
      <c r="B1356" s="75" t="s">
        <v>297</v>
      </c>
      <c r="C1356" s="39" t="s">
        <v>17</v>
      </c>
      <c r="D1356" s="236"/>
      <c r="E1356" s="236"/>
      <c r="F1356" s="236"/>
      <c r="G1356" s="236"/>
      <c r="H1356" s="40">
        <f>SUM(Tabla132112410[[#This Row],[PRIMER TRIMESTRE]:[CUARTO TRIMESTRE]])</f>
        <v>0</v>
      </c>
      <c r="I1356" s="17">
        <v>11775.77</v>
      </c>
      <c r="J1356" s="17">
        <f>+Tabla132112410[[#This Row],[CANTIDAD TOTAL]]*Tabla132112410[[#This Row],[PRECIO UNITARIO ESTIMADO]]</f>
        <v>0</v>
      </c>
      <c r="K1356" s="17"/>
      <c r="L1356" s="16" t="s">
        <v>27</v>
      </c>
      <c r="M1356" s="16" t="s">
        <v>22</v>
      </c>
      <c r="N1356" s="39" t="s">
        <v>342</v>
      </c>
    </row>
    <row r="1357" spans="1:14" s="12" customFormat="1" ht="30.75" customHeight="1">
      <c r="A1357" s="178" t="s">
        <v>295</v>
      </c>
      <c r="B1357" s="75" t="s">
        <v>298</v>
      </c>
      <c r="C1357" s="39" t="s">
        <v>17</v>
      </c>
      <c r="D1357" s="236"/>
      <c r="E1357" s="236"/>
      <c r="F1357" s="236"/>
      <c r="G1357" s="236"/>
      <c r="H1357" s="40">
        <f>SUM(Tabla132112410[[#This Row],[PRIMER TRIMESTRE]:[CUARTO TRIMESTRE]])</f>
        <v>0</v>
      </c>
      <c r="I1357" s="17">
        <v>18999.439999999999</v>
      </c>
      <c r="J1357" s="17">
        <f>+Tabla132112410[[#This Row],[CANTIDAD TOTAL]]*Tabla132112410[[#This Row],[PRECIO UNITARIO ESTIMADO]]</f>
        <v>0</v>
      </c>
      <c r="K1357" s="17"/>
      <c r="L1357" s="16" t="s">
        <v>27</v>
      </c>
      <c r="M1357" s="16" t="s">
        <v>22</v>
      </c>
      <c r="N1357" s="39" t="s">
        <v>342</v>
      </c>
    </row>
    <row r="1358" spans="1:14" s="12" customFormat="1" ht="30.75" customHeight="1">
      <c r="A1358" s="178" t="s">
        <v>295</v>
      </c>
      <c r="B1358" s="75" t="s">
        <v>299</v>
      </c>
      <c r="C1358" s="39" t="s">
        <v>17</v>
      </c>
      <c r="D1358" s="236"/>
      <c r="E1358" s="236"/>
      <c r="F1358" s="236"/>
      <c r="G1358" s="236"/>
      <c r="H1358" s="40">
        <f>SUM(Tabla132112410[[#This Row],[PRIMER TRIMESTRE]:[CUARTO TRIMESTRE]])</f>
        <v>0</v>
      </c>
      <c r="I1358" s="17">
        <v>784</v>
      </c>
      <c r="J1358" s="17">
        <f>+Tabla132112410[[#This Row],[CANTIDAD TOTAL]]*Tabla132112410[[#This Row],[PRECIO UNITARIO ESTIMADO]]</f>
        <v>0</v>
      </c>
      <c r="K1358" s="17"/>
      <c r="L1358" s="16" t="s">
        <v>27</v>
      </c>
      <c r="M1358" s="16" t="s">
        <v>22</v>
      </c>
      <c r="N1358" s="39" t="s">
        <v>342</v>
      </c>
    </row>
    <row r="1359" spans="1:14" s="12" customFormat="1" ht="30.75" customHeight="1">
      <c r="A1359" s="178" t="s">
        <v>295</v>
      </c>
      <c r="B1359" s="75" t="s">
        <v>300</v>
      </c>
      <c r="C1359" s="39" t="s">
        <v>17</v>
      </c>
      <c r="D1359" s="236"/>
      <c r="E1359" s="236"/>
      <c r="F1359" s="236"/>
      <c r="G1359" s="236"/>
      <c r="H1359" s="40">
        <f>SUM(Tabla132112410[[#This Row],[PRIMER TRIMESTRE]:[CUARTO TRIMESTRE]])</f>
        <v>0</v>
      </c>
      <c r="I1359" s="17">
        <v>21495</v>
      </c>
      <c r="J1359" s="17">
        <f>+Tabla132112410[[#This Row],[CANTIDAD TOTAL]]*Tabla132112410[[#This Row],[PRECIO UNITARIO ESTIMADO]]</f>
        <v>0</v>
      </c>
      <c r="K1359" s="17"/>
      <c r="L1359" s="16" t="s">
        <v>27</v>
      </c>
      <c r="M1359" s="16" t="s">
        <v>22</v>
      </c>
      <c r="N1359" s="39" t="s">
        <v>342</v>
      </c>
    </row>
    <row r="1360" spans="1:14" s="12" customFormat="1" ht="30.75" customHeight="1">
      <c r="A1360" s="178" t="s">
        <v>295</v>
      </c>
      <c r="B1360" s="75" t="s">
        <v>337</v>
      </c>
      <c r="C1360" s="39" t="s">
        <v>17</v>
      </c>
      <c r="D1360" s="236"/>
      <c r="E1360" s="236"/>
      <c r="F1360" s="236"/>
      <c r="G1360" s="236"/>
      <c r="H1360" s="40">
        <f>SUM(Tabla132112410[[#This Row],[PRIMER TRIMESTRE]:[CUARTO TRIMESTRE]])</f>
        <v>0</v>
      </c>
      <c r="I1360" s="17">
        <v>3225.3333333333335</v>
      </c>
      <c r="J1360" s="17">
        <f>+Tabla132112410[[#This Row],[CANTIDAD TOTAL]]*Tabla132112410[[#This Row],[PRECIO UNITARIO ESTIMADO]]</f>
        <v>0</v>
      </c>
      <c r="K1360" s="17"/>
      <c r="L1360" s="16" t="s">
        <v>27</v>
      </c>
      <c r="M1360" s="16" t="s">
        <v>22</v>
      </c>
      <c r="N1360" s="39" t="s">
        <v>418</v>
      </c>
    </row>
    <row r="1361" spans="1:14" s="12" customFormat="1" ht="30.75" customHeight="1">
      <c r="A1361" s="178" t="s">
        <v>295</v>
      </c>
      <c r="B1361" s="75" t="s">
        <v>441</v>
      </c>
      <c r="C1361" s="39" t="s">
        <v>17</v>
      </c>
      <c r="D1361" s="236"/>
      <c r="E1361" s="236"/>
      <c r="F1361" s="236"/>
      <c r="G1361" s="236"/>
      <c r="H1361" s="40">
        <f>SUM(Tabla132112410[[#This Row],[PRIMER TRIMESTRE]:[CUARTO TRIMESTRE]])</f>
        <v>0</v>
      </c>
      <c r="I1361" s="17">
        <v>9000</v>
      </c>
      <c r="J1361" s="17">
        <f>+H1361*I1361</f>
        <v>0</v>
      </c>
      <c r="K1361" s="17"/>
      <c r="L1361" s="16" t="s">
        <v>27</v>
      </c>
      <c r="M1361" s="16" t="s">
        <v>22</v>
      </c>
      <c r="N1361" s="39" t="s">
        <v>342</v>
      </c>
    </row>
    <row r="1362" spans="1:14" s="12" customFormat="1" ht="30.75" customHeight="1">
      <c r="A1362" s="178" t="s">
        <v>295</v>
      </c>
      <c r="B1362" s="75" t="s">
        <v>301</v>
      </c>
      <c r="C1362" s="39" t="s">
        <v>17</v>
      </c>
      <c r="D1362" s="236"/>
      <c r="E1362" s="236"/>
      <c r="F1362" s="236"/>
      <c r="G1362" s="236"/>
      <c r="H1362" s="40">
        <f>SUM(Tabla132112410[[#This Row],[PRIMER TRIMESTRE]:[CUARTO TRIMESTRE]])</f>
        <v>0</v>
      </c>
      <c r="I1362" s="17">
        <v>8004</v>
      </c>
      <c r="J1362" s="17">
        <f>+Tabla132112410[[#This Row],[CANTIDAD TOTAL]]*Tabla132112410[[#This Row],[PRECIO UNITARIO ESTIMADO]]</f>
        <v>0</v>
      </c>
      <c r="K1362" s="17"/>
      <c r="L1362" s="16" t="s">
        <v>27</v>
      </c>
      <c r="M1362" s="16" t="s">
        <v>22</v>
      </c>
      <c r="N1362" s="39" t="s">
        <v>342</v>
      </c>
    </row>
    <row r="1363" spans="1:14" s="12" customFormat="1" ht="30.75" customHeight="1">
      <c r="A1363" s="178" t="s">
        <v>295</v>
      </c>
      <c r="B1363" s="75" t="s">
        <v>316</v>
      </c>
      <c r="C1363" s="39" t="s">
        <v>17</v>
      </c>
      <c r="D1363" s="236"/>
      <c r="E1363" s="236"/>
      <c r="F1363" s="236"/>
      <c r="G1363" s="236"/>
      <c r="H1363" s="40">
        <f>SUM(Tabla132112410[[#This Row],[PRIMER TRIMESTRE]:[CUARTO TRIMESTRE]])</f>
        <v>0</v>
      </c>
      <c r="I1363" s="17">
        <v>8802.7999999999993</v>
      </c>
      <c r="J1363" s="17">
        <f>+Tabla132112410[[#This Row],[CANTIDAD TOTAL]]*Tabla132112410[[#This Row],[PRECIO UNITARIO ESTIMADO]]</f>
        <v>0</v>
      </c>
      <c r="K1363" s="17"/>
      <c r="L1363" s="16" t="s">
        <v>27</v>
      </c>
      <c r="M1363" s="16" t="s">
        <v>22</v>
      </c>
      <c r="N1363" s="39" t="s">
        <v>342</v>
      </c>
    </row>
    <row r="1364" spans="1:14" s="26" customFormat="1" ht="30.75" customHeight="1">
      <c r="A1364" s="178" t="s">
        <v>295</v>
      </c>
      <c r="B1364" s="75" t="s">
        <v>322</v>
      </c>
      <c r="C1364" s="39" t="s">
        <v>17</v>
      </c>
      <c r="D1364" s="236"/>
      <c r="E1364" s="236"/>
      <c r="F1364" s="236"/>
      <c r="G1364" s="236"/>
      <c r="H1364" s="40">
        <f>SUM(Tabla132112410[[#This Row],[PRIMER TRIMESTRE]:[CUARTO TRIMESTRE]])</f>
        <v>0</v>
      </c>
      <c r="I1364" s="17">
        <v>64546</v>
      </c>
      <c r="J1364" s="17">
        <f>+Tabla132112410[[#This Row],[CANTIDAD TOTAL]]*Tabla132112410[[#This Row],[PRECIO UNITARIO ESTIMADO]]</f>
        <v>0</v>
      </c>
      <c r="K1364" s="17"/>
      <c r="L1364" s="16" t="s">
        <v>27</v>
      </c>
      <c r="M1364" s="16" t="s">
        <v>22</v>
      </c>
      <c r="N1364" s="39" t="s">
        <v>342</v>
      </c>
    </row>
    <row r="1365" spans="1:14" s="12" customFormat="1" ht="30.75" customHeight="1">
      <c r="A1365" s="178" t="s">
        <v>295</v>
      </c>
      <c r="B1365" s="75" t="s">
        <v>1423</v>
      </c>
      <c r="C1365" s="39" t="s">
        <v>17</v>
      </c>
      <c r="D1365" s="236"/>
      <c r="E1365" s="236"/>
      <c r="F1365" s="236"/>
      <c r="G1365" s="236"/>
      <c r="H1365" s="40">
        <f>SUM(Tabla132112410[[#This Row],[PRIMER TRIMESTRE]:[CUARTO TRIMESTRE]])</f>
        <v>0</v>
      </c>
      <c r="I1365" s="17">
        <v>24978.240000000002</v>
      </c>
      <c r="J1365" s="17">
        <f>+H1365*I1365</f>
        <v>0</v>
      </c>
      <c r="K1365" s="17"/>
      <c r="L1365" s="16" t="s">
        <v>15</v>
      </c>
      <c r="M1365" s="16" t="s">
        <v>22</v>
      </c>
      <c r="N1365" s="39" t="s">
        <v>342</v>
      </c>
    </row>
    <row r="1366" spans="1:14" s="12" customFormat="1" ht="30.75" customHeight="1">
      <c r="A1366" s="179" t="s">
        <v>295</v>
      </c>
      <c r="B1366" s="76"/>
      <c r="C1366" s="42"/>
      <c r="D1366" s="237"/>
      <c r="E1366" s="237"/>
      <c r="F1366" s="237"/>
      <c r="G1366" s="237"/>
      <c r="H1366" s="43"/>
      <c r="I1366" s="24"/>
      <c r="J1366" s="24"/>
      <c r="K1366" s="25">
        <f>SUM(J1355:J1365)</f>
        <v>0</v>
      </c>
      <c r="L1366" s="23"/>
      <c r="M1366" s="23"/>
      <c r="N1366" s="42"/>
    </row>
    <row r="1367" spans="1:14" s="12" customFormat="1" ht="30.75" customHeight="1">
      <c r="A1367" s="178" t="s">
        <v>147</v>
      </c>
      <c r="B1367" s="75" t="s">
        <v>302</v>
      </c>
      <c r="C1367" s="39" t="s">
        <v>17</v>
      </c>
      <c r="D1367" s="236"/>
      <c r="E1367" s="236"/>
      <c r="F1367" s="236"/>
      <c r="G1367" s="236"/>
      <c r="H1367" s="40">
        <f>SUM(Tabla132112410[[#This Row],[PRIMER TRIMESTRE]:[CUARTO TRIMESTRE]])</f>
        <v>0</v>
      </c>
      <c r="I1367" s="17">
        <v>452.4</v>
      </c>
      <c r="J1367" s="17">
        <f>+Tabla132112410[[#This Row],[CANTIDAD TOTAL]]*Tabla132112410[[#This Row],[PRECIO UNITARIO ESTIMADO]]</f>
        <v>0</v>
      </c>
      <c r="K1367" s="17"/>
      <c r="L1367" s="16" t="s">
        <v>27</v>
      </c>
      <c r="M1367" s="16" t="s">
        <v>22</v>
      </c>
      <c r="N1367" s="39" t="s">
        <v>342</v>
      </c>
    </row>
    <row r="1368" spans="1:14" s="12" customFormat="1" ht="30.75" customHeight="1">
      <c r="A1368" s="178" t="s">
        <v>147</v>
      </c>
      <c r="B1368" s="75" t="s">
        <v>326</v>
      </c>
      <c r="C1368" s="39" t="s">
        <v>17</v>
      </c>
      <c r="D1368" s="236"/>
      <c r="E1368" s="236"/>
      <c r="F1368" s="236"/>
      <c r="G1368" s="236"/>
      <c r="H1368" s="40">
        <f>SUM(Tabla132112410[[#This Row],[PRIMER TRIMESTRE]:[CUARTO TRIMESTRE]])</f>
        <v>0</v>
      </c>
      <c r="I1368" s="17">
        <v>2596</v>
      </c>
      <c r="J1368" s="17">
        <f>+Tabla132112410[[#This Row],[CANTIDAD TOTAL]]*Tabla132112410[[#This Row],[PRECIO UNITARIO ESTIMADO]]</f>
        <v>0</v>
      </c>
      <c r="K1368" s="17"/>
      <c r="L1368" s="16" t="s">
        <v>27</v>
      </c>
      <c r="M1368" s="16" t="s">
        <v>22</v>
      </c>
      <c r="N1368" s="39" t="s">
        <v>342</v>
      </c>
    </row>
    <row r="1369" spans="1:14" s="12" customFormat="1" ht="30.75" customHeight="1">
      <c r="A1369" s="180" t="s">
        <v>147</v>
      </c>
      <c r="B1369" s="77" t="s">
        <v>332</v>
      </c>
      <c r="C1369" s="70" t="s">
        <v>17</v>
      </c>
      <c r="D1369" s="210"/>
      <c r="E1369" s="210"/>
      <c r="F1369" s="210"/>
      <c r="G1369" s="210"/>
      <c r="H1369" s="406">
        <f>SUM(Tabla132112410[[#This Row],[PRIMER TRIMESTRE]:[CUARTO TRIMESTRE]])</f>
        <v>0</v>
      </c>
      <c r="I1369" s="17">
        <v>460.2</v>
      </c>
      <c r="J1369" s="17">
        <f>+Tabla132112410[[#This Row],[CANTIDAD TOTAL]]*Tabla132112410[[#This Row],[PRECIO UNITARIO ESTIMADO]]</f>
        <v>0</v>
      </c>
      <c r="K1369" s="17"/>
      <c r="L1369" s="16" t="s">
        <v>27</v>
      </c>
      <c r="M1369" s="16" t="s">
        <v>22</v>
      </c>
      <c r="N1369" s="39" t="s">
        <v>342</v>
      </c>
    </row>
    <row r="1370" spans="1:14" s="12" customFormat="1" ht="30.75" customHeight="1">
      <c r="A1370" s="178" t="s">
        <v>147</v>
      </c>
      <c r="B1370" s="75" t="s">
        <v>333</v>
      </c>
      <c r="C1370" s="39" t="s">
        <v>17</v>
      </c>
      <c r="D1370" s="236"/>
      <c r="E1370" s="236"/>
      <c r="F1370" s="236"/>
      <c r="G1370" s="236"/>
      <c r="H1370" s="40">
        <f>SUM(Tabla132112410[[#This Row],[PRIMER TRIMESTRE]:[CUARTO TRIMESTRE]])</f>
        <v>0</v>
      </c>
      <c r="I1370" s="17">
        <f>76995/450</f>
        <v>171.1</v>
      </c>
      <c r="J1370" s="17">
        <f>+Tabla132112410[[#This Row],[CANTIDAD TOTAL]]*Tabla132112410[[#This Row],[PRECIO UNITARIO ESTIMADO]]</f>
        <v>0</v>
      </c>
      <c r="K1370" s="17"/>
      <c r="L1370" s="16" t="s">
        <v>27</v>
      </c>
      <c r="M1370" s="16" t="s">
        <v>22</v>
      </c>
      <c r="N1370" s="39" t="s">
        <v>342</v>
      </c>
    </row>
    <row r="1371" spans="1:14" s="12" customFormat="1" ht="30.75" customHeight="1">
      <c r="A1371" s="178" t="s">
        <v>147</v>
      </c>
      <c r="B1371" s="75" t="s">
        <v>1580</v>
      </c>
      <c r="C1371" s="39" t="s">
        <v>149</v>
      </c>
      <c r="D1371" s="236"/>
      <c r="E1371" s="236"/>
      <c r="F1371" s="236"/>
      <c r="G1371" s="236"/>
      <c r="H1371" s="236">
        <f>SUM(Tabla132112410[[#This Row],[PRIMER TRIMESTRE]:[CUARTO TRIMESTRE]])</f>
        <v>0</v>
      </c>
      <c r="I1371" s="17">
        <v>3250</v>
      </c>
      <c r="J1371" s="17">
        <f>+H1371*I1371</f>
        <v>0</v>
      </c>
      <c r="K1371" s="17"/>
      <c r="L1371" s="16" t="s">
        <v>27</v>
      </c>
      <c r="M1371" s="16" t="s">
        <v>22</v>
      </c>
      <c r="N1371" s="39" t="s">
        <v>342</v>
      </c>
    </row>
    <row r="1372" spans="1:14" s="12" customFormat="1" ht="30.75" customHeight="1">
      <c r="A1372" s="178" t="s">
        <v>147</v>
      </c>
      <c r="B1372" s="75" t="s">
        <v>1581</v>
      </c>
      <c r="C1372" s="39" t="s">
        <v>149</v>
      </c>
      <c r="D1372" s="236"/>
      <c r="E1372" s="236"/>
      <c r="F1372" s="236"/>
      <c r="G1372" s="236"/>
      <c r="H1372" s="236">
        <f>SUM(Tabla132112410[[#This Row],[PRIMER TRIMESTRE]:[CUARTO TRIMESTRE]])</f>
        <v>0</v>
      </c>
      <c r="I1372" s="17">
        <v>3250</v>
      </c>
      <c r="J1372" s="17">
        <f>+H1372*I1372</f>
        <v>0</v>
      </c>
      <c r="K1372" s="17"/>
      <c r="L1372" s="16" t="s">
        <v>27</v>
      </c>
      <c r="M1372" s="16" t="s">
        <v>22</v>
      </c>
      <c r="N1372" s="39" t="s">
        <v>342</v>
      </c>
    </row>
    <row r="1373" spans="1:14" s="12" customFormat="1" ht="30.75" customHeight="1">
      <c r="A1373" s="178" t="s">
        <v>147</v>
      </c>
      <c r="B1373" s="75" t="s">
        <v>1579</v>
      </c>
      <c r="C1373" s="39" t="s">
        <v>149</v>
      </c>
      <c r="D1373" s="236"/>
      <c r="E1373" s="236"/>
      <c r="F1373" s="236"/>
      <c r="G1373" s="236"/>
      <c r="H1373" s="236">
        <f>SUM(Tabla132112410[[#This Row],[PRIMER TRIMESTRE]:[CUARTO TRIMESTRE]])</f>
        <v>0</v>
      </c>
      <c r="I1373" s="17">
        <v>3250</v>
      </c>
      <c r="J1373" s="17">
        <f>+H1373*I1373</f>
        <v>0</v>
      </c>
      <c r="K1373" s="17"/>
      <c r="L1373" s="16" t="s">
        <v>27</v>
      </c>
      <c r="M1373" s="16" t="s">
        <v>22</v>
      </c>
      <c r="N1373" s="39" t="s">
        <v>342</v>
      </c>
    </row>
    <row r="1374" spans="1:14" s="12" customFormat="1" ht="30.75" customHeight="1">
      <c r="A1374" s="178" t="s">
        <v>147</v>
      </c>
      <c r="B1374" s="75" t="s">
        <v>303</v>
      </c>
      <c r="C1374" s="39" t="s">
        <v>149</v>
      </c>
      <c r="D1374" s="236"/>
      <c r="E1374" s="236"/>
      <c r="F1374" s="236"/>
      <c r="G1374" s="236"/>
      <c r="H1374" s="236">
        <f>SUM(Tabla132112410[[#This Row],[PRIMER TRIMESTRE]:[CUARTO TRIMESTRE]])</f>
        <v>0</v>
      </c>
      <c r="I1374" s="17">
        <v>1856</v>
      </c>
      <c r="J1374" s="17">
        <f>+Tabla132112410[[#This Row],[CANTIDAD TOTAL]]*Tabla132112410[[#This Row],[PRECIO UNITARIO ESTIMADO]]</f>
        <v>0</v>
      </c>
      <c r="K1374" s="17"/>
      <c r="L1374" s="16" t="s">
        <v>27</v>
      </c>
      <c r="M1374" s="16" t="s">
        <v>22</v>
      </c>
      <c r="N1374" s="39" t="s">
        <v>342</v>
      </c>
    </row>
    <row r="1375" spans="1:14" s="12" customFormat="1" ht="30.75" customHeight="1">
      <c r="A1375" s="178" t="s">
        <v>147</v>
      </c>
      <c r="B1375" s="75" t="s">
        <v>1582</v>
      </c>
      <c r="C1375" s="39" t="s">
        <v>149</v>
      </c>
      <c r="D1375" s="236"/>
      <c r="E1375" s="236"/>
      <c r="F1375" s="236"/>
      <c r="G1375" s="236"/>
      <c r="H1375" s="236">
        <f>SUM(Tabla132112410[[#This Row],[PRIMER TRIMESTRE]:[CUARTO TRIMESTRE]])</f>
        <v>0</v>
      </c>
      <c r="I1375" s="17">
        <v>1680</v>
      </c>
      <c r="J1375" s="17">
        <f>+H1375*I1375</f>
        <v>0</v>
      </c>
      <c r="K1375" s="17"/>
      <c r="L1375" s="16" t="s">
        <v>27</v>
      </c>
      <c r="M1375" s="16" t="s">
        <v>22</v>
      </c>
      <c r="N1375" s="39" t="s">
        <v>342</v>
      </c>
    </row>
    <row r="1376" spans="1:14" s="12" customFormat="1" ht="30.75" customHeight="1">
      <c r="A1376" s="178" t="s">
        <v>147</v>
      </c>
      <c r="B1376" s="75" t="s">
        <v>1583</v>
      </c>
      <c r="C1376" s="39" t="s">
        <v>149</v>
      </c>
      <c r="D1376" s="236"/>
      <c r="E1376" s="236"/>
      <c r="F1376" s="236"/>
      <c r="G1376" s="236"/>
      <c r="H1376" s="236">
        <f>SUM(Tabla132112410[[#This Row],[PRIMER TRIMESTRE]:[CUARTO TRIMESTRE]])</f>
        <v>0</v>
      </c>
      <c r="I1376" s="17">
        <v>1615</v>
      </c>
      <c r="J1376" s="17">
        <f>+H1376*I1376</f>
        <v>0</v>
      </c>
      <c r="K1376" s="17"/>
      <c r="L1376" s="16" t="s">
        <v>27</v>
      </c>
      <c r="M1376" s="16" t="s">
        <v>22</v>
      </c>
      <c r="N1376" s="39" t="s">
        <v>342</v>
      </c>
    </row>
    <row r="1377" spans="1:14" s="12" customFormat="1" ht="30.75" customHeight="1">
      <c r="A1377" s="178" t="s">
        <v>147</v>
      </c>
      <c r="B1377" s="75" t="s">
        <v>1584</v>
      </c>
      <c r="C1377" s="39" t="s">
        <v>149</v>
      </c>
      <c r="D1377" s="236"/>
      <c r="E1377" s="236"/>
      <c r="F1377" s="236"/>
      <c r="G1377" s="236"/>
      <c r="H1377" s="236">
        <f>SUM(Tabla132112410[[#This Row],[PRIMER TRIMESTRE]:[CUARTO TRIMESTRE]])</f>
        <v>0</v>
      </c>
      <c r="I1377" s="17">
        <v>1615</v>
      </c>
      <c r="J1377" s="17">
        <f>+H1377*I1377</f>
        <v>0</v>
      </c>
      <c r="K1377" s="17"/>
      <c r="L1377" s="16" t="s">
        <v>27</v>
      </c>
      <c r="M1377" s="16" t="s">
        <v>22</v>
      </c>
      <c r="N1377" s="39" t="s">
        <v>342</v>
      </c>
    </row>
    <row r="1378" spans="1:14" s="12" customFormat="1" ht="30.75" customHeight="1">
      <c r="A1378" s="178" t="s">
        <v>147</v>
      </c>
      <c r="B1378" s="75" t="s">
        <v>1585</v>
      </c>
      <c r="C1378" s="39" t="s">
        <v>149</v>
      </c>
      <c r="D1378" s="236"/>
      <c r="E1378" s="236"/>
      <c r="F1378" s="236"/>
      <c r="G1378" s="236"/>
      <c r="H1378" s="236">
        <f>SUM(Tabla132112410[[#This Row],[PRIMER TRIMESTRE]:[CUARTO TRIMESTRE]])</f>
        <v>0</v>
      </c>
      <c r="I1378" s="17">
        <v>1615</v>
      </c>
      <c r="J1378" s="17">
        <f>+H1378*I1378</f>
        <v>0</v>
      </c>
      <c r="K1378" s="17"/>
      <c r="L1378" s="16" t="s">
        <v>27</v>
      </c>
      <c r="M1378" s="16" t="s">
        <v>22</v>
      </c>
      <c r="N1378" s="39" t="s">
        <v>342</v>
      </c>
    </row>
    <row r="1379" spans="1:14" s="12" customFormat="1" ht="30.75" customHeight="1">
      <c r="A1379" s="178" t="s">
        <v>147</v>
      </c>
      <c r="B1379" s="75" t="s">
        <v>1586</v>
      </c>
      <c r="C1379" s="39" t="s">
        <v>149</v>
      </c>
      <c r="D1379" s="236"/>
      <c r="E1379" s="236"/>
      <c r="F1379" s="236"/>
      <c r="G1379" s="236"/>
      <c r="H1379" s="236">
        <f>SUM(Tabla132112410[[#This Row],[PRIMER TRIMESTRE]:[CUARTO TRIMESTRE]])</f>
        <v>0</v>
      </c>
      <c r="I1379" s="17">
        <v>1615</v>
      </c>
      <c r="J1379" s="17">
        <f>+H1379*I1379</f>
        <v>0</v>
      </c>
      <c r="K1379" s="17"/>
      <c r="L1379" s="16" t="s">
        <v>27</v>
      </c>
      <c r="M1379" s="16" t="s">
        <v>22</v>
      </c>
      <c r="N1379" s="39" t="s">
        <v>342</v>
      </c>
    </row>
    <row r="1380" spans="1:14" s="12" customFormat="1" ht="30.75" customHeight="1">
      <c r="A1380" s="178" t="s">
        <v>147</v>
      </c>
      <c r="B1380" s="75" t="s">
        <v>1272</v>
      </c>
      <c r="C1380" s="39" t="s">
        <v>149</v>
      </c>
      <c r="D1380" s="236"/>
      <c r="E1380" s="236"/>
      <c r="F1380" s="236"/>
      <c r="G1380" s="236"/>
      <c r="H1380" s="40">
        <f>SUM(Tabla132112410[[#This Row],[PRIMER TRIMESTRE]:[CUARTO TRIMESTRE]])</f>
        <v>0</v>
      </c>
      <c r="I1380" s="17">
        <v>488.31</v>
      </c>
      <c r="J1380" s="17">
        <f>+Tabla132112410[[#This Row],[CANTIDAD TOTAL]]*Tabla132112410[[#This Row],[PRECIO UNITARIO ESTIMADO]]</f>
        <v>0</v>
      </c>
      <c r="K1380" s="17"/>
      <c r="L1380" s="16" t="s">
        <v>27</v>
      </c>
      <c r="M1380" s="16" t="s">
        <v>22</v>
      </c>
      <c r="N1380" s="39" t="s">
        <v>342</v>
      </c>
    </row>
    <row r="1381" spans="1:14" s="12" customFormat="1" ht="30.75" customHeight="1">
      <c r="A1381" s="178" t="s">
        <v>147</v>
      </c>
      <c r="B1381" s="75" t="s">
        <v>1273</v>
      </c>
      <c r="C1381" s="39" t="s">
        <v>149</v>
      </c>
      <c r="D1381" s="236"/>
      <c r="E1381" s="241"/>
      <c r="F1381" s="236"/>
      <c r="G1381" s="236"/>
      <c r="H1381" s="40">
        <f>SUM(Tabla132112410[[#This Row],[PRIMER TRIMESTRE]:[CUARTO TRIMESTRE]])</f>
        <v>0</v>
      </c>
      <c r="I1381" s="17">
        <v>550.4</v>
      </c>
      <c r="J1381" s="17">
        <f>+H1381*I1381</f>
        <v>0</v>
      </c>
      <c r="K1381" s="17"/>
      <c r="L1381" s="16" t="s">
        <v>27</v>
      </c>
      <c r="M1381" s="16" t="s">
        <v>22</v>
      </c>
      <c r="N1381" s="39" t="s">
        <v>342</v>
      </c>
    </row>
    <row r="1382" spans="1:14" s="12" customFormat="1" ht="30.75" customHeight="1">
      <c r="A1382" s="178" t="s">
        <v>147</v>
      </c>
      <c r="B1382" s="75" t="s">
        <v>1274</v>
      </c>
      <c r="C1382" s="39" t="s">
        <v>17</v>
      </c>
      <c r="D1382" s="236"/>
      <c r="E1382" s="236"/>
      <c r="F1382" s="236"/>
      <c r="G1382" s="236"/>
      <c r="H1382" s="40">
        <f>SUM(Tabla132112410[[#This Row],[PRIMER TRIMESTRE]:[CUARTO TRIMESTRE]])</f>
        <v>0</v>
      </c>
      <c r="I1382" s="17">
        <v>450</v>
      </c>
      <c r="J1382" s="17">
        <f>+H1382*I1382</f>
        <v>0</v>
      </c>
      <c r="K1382" s="17"/>
      <c r="L1382" s="16" t="s">
        <v>27</v>
      </c>
      <c r="M1382" s="16" t="s">
        <v>22</v>
      </c>
      <c r="N1382" s="39" t="s">
        <v>342</v>
      </c>
    </row>
    <row r="1383" spans="1:14" s="26" customFormat="1" ht="30.75" customHeight="1">
      <c r="A1383" s="178" t="s">
        <v>147</v>
      </c>
      <c r="B1383" s="75" t="s">
        <v>1270</v>
      </c>
      <c r="C1383" s="39" t="s">
        <v>17</v>
      </c>
      <c r="D1383" s="236"/>
      <c r="E1383" s="236"/>
      <c r="F1383" s="236"/>
      <c r="G1383" s="236"/>
      <c r="H1383" s="40">
        <f>SUM(Tabla132112410[[#This Row],[PRIMER TRIMESTRE]:[CUARTO TRIMESTRE]])</f>
        <v>0</v>
      </c>
      <c r="I1383" s="17">
        <v>850</v>
      </c>
      <c r="J1383" s="17">
        <f>+H1383*I1383</f>
        <v>0</v>
      </c>
      <c r="K1383" s="17"/>
      <c r="L1383" s="16" t="s">
        <v>27</v>
      </c>
      <c r="M1383" s="16" t="s">
        <v>22</v>
      </c>
      <c r="N1383" s="39" t="s">
        <v>342</v>
      </c>
    </row>
    <row r="1384" spans="1:14" s="12" customFormat="1" ht="30.75" customHeight="1">
      <c r="A1384" s="178" t="s">
        <v>147</v>
      </c>
      <c r="B1384" s="75" t="s">
        <v>1271</v>
      </c>
      <c r="C1384" s="39" t="s">
        <v>17</v>
      </c>
      <c r="D1384" s="236"/>
      <c r="E1384" s="236"/>
      <c r="F1384" s="236"/>
      <c r="G1384" s="236"/>
      <c r="H1384" s="40">
        <f>SUM(Tabla132112410[[#This Row],[PRIMER TRIMESTRE]:[CUARTO TRIMESTRE]])</f>
        <v>0</v>
      </c>
      <c r="I1384" s="17">
        <v>250</v>
      </c>
      <c r="J1384" s="17">
        <f>+H1384*I1384</f>
        <v>0</v>
      </c>
      <c r="K1384" s="17"/>
      <c r="L1384" s="16" t="s">
        <v>27</v>
      </c>
      <c r="M1384" s="16" t="s">
        <v>22</v>
      </c>
      <c r="N1384" s="39" t="s">
        <v>342</v>
      </c>
    </row>
    <row r="1385" spans="1:14" s="12" customFormat="1" ht="30.75" customHeight="1">
      <c r="A1385" s="179" t="s">
        <v>147</v>
      </c>
      <c r="B1385" s="76"/>
      <c r="C1385" s="42"/>
      <c r="D1385" s="237"/>
      <c r="E1385" s="237"/>
      <c r="F1385" s="237"/>
      <c r="G1385" s="237"/>
      <c r="H1385" s="43"/>
      <c r="I1385" s="24"/>
      <c r="J1385" s="24"/>
      <c r="K1385" s="25">
        <f>SUM(J1367:J1384)</f>
        <v>0</v>
      </c>
      <c r="L1385" s="23"/>
      <c r="M1385" s="23"/>
      <c r="N1385" s="42"/>
    </row>
    <row r="1386" spans="1:14" s="12" customFormat="1" ht="30.75" customHeight="1">
      <c r="A1386" s="178" t="s">
        <v>153</v>
      </c>
      <c r="B1386" s="75" t="s">
        <v>1908</v>
      </c>
      <c r="C1386" s="412" t="s">
        <v>17</v>
      </c>
      <c r="D1386" s="236"/>
      <c r="E1386" s="236"/>
      <c r="F1386" s="236"/>
      <c r="G1386" s="236"/>
      <c r="H1386" s="244">
        <f>SUM(Tabla132112410[[#This Row],[PRIMER TRIMESTRE]:[CUARTO TRIMESTRE]])</f>
        <v>0</v>
      </c>
      <c r="I1386" s="17">
        <v>0</v>
      </c>
      <c r="J1386" s="286"/>
      <c r="K1386" s="286"/>
      <c r="L1386" s="16" t="s">
        <v>15</v>
      </c>
      <c r="M1386" s="16" t="s">
        <v>22</v>
      </c>
      <c r="N1386" s="39" t="s">
        <v>342</v>
      </c>
    </row>
    <row r="1387" spans="1:14" s="12" customFormat="1" ht="30.75" customHeight="1">
      <c r="A1387" s="178" t="s">
        <v>1909</v>
      </c>
      <c r="B1387" s="75" t="s">
        <v>1910</v>
      </c>
      <c r="C1387" s="412" t="s">
        <v>17</v>
      </c>
      <c r="D1387" s="236"/>
      <c r="E1387" s="236"/>
      <c r="F1387" s="236"/>
      <c r="G1387" s="236"/>
      <c r="H1387" s="244">
        <v>0</v>
      </c>
      <c r="I1387" s="17">
        <v>0</v>
      </c>
      <c r="J1387" s="286"/>
      <c r="K1387" s="286"/>
      <c r="L1387" s="16" t="s">
        <v>15</v>
      </c>
      <c r="M1387" s="16" t="s">
        <v>22</v>
      </c>
      <c r="N1387" s="39" t="s">
        <v>342</v>
      </c>
    </row>
    <row r="1388" spans="1:14" s="12" customFormat="1" ht="30.75" customHeight="1">
      <c r="A1388" s="178" t="s">
        <v>1909</v>
      </c>
      <c r="B1388" s="75" t="s">
        <v>1911</v>
      </c>
      <c r="C1388" s="412" t="s">
        <v>17</v>
      </c>
      <c r="D1388" s="236"/>
      <c r="E1388" s="236"/>
      <c r="F1388" s="236"/>
      <c r="G1388" s="236"/>
      <c r="H1388" s="244">
        <f>SUM(Tabla132112410[[#This Row],[PRIMER TRIMESTRE]:[CUARTO TRIMESTRE]])</f>
        <v>0</v>
      </c>
      <c r="I1388" s="17">
        <v>1</v>
      </c>
      <c r="J1388" s="17"/>
      <c r="K1388" s="17"/>
      <c r="L1388" s="16" t="s">
        <v>15</v>
      </c>
      <c r="M1388" s="16" t="s">
        <v>22</v>
      </c>
      <c r="N1388" s="39" t="s">
        <v>342</v>
      </c>
    </row>
    <row r="1389" spans="1:14" s="12" customFormat="1" ht="30.75" customHeight="1">
      <c r="A1389" s="178" t="s">
        <v>153</v>
      </c>
      <c r="B1389" s="75" t="s">
        <v>1664</v>
      </c>
      <c r="C1389" s="412" t="s">
        <v>17</v>
      </c>
      <c r="D1389" s="236"/>
      <c r="E1389" s="236"/>
      <c r="F1389" s="236"/>
      <c r="G1389" s="236"/>
      <c r="H1389" s="244">
        <f>SUM(Tabla132112410[[#This Row],[PRIMER TRIMESTRE]:[CUARTO TRIMESTRE]])</f>
        <v>0</v>
      </c>
      <c r="I1389" s="17">
        <v>1</v>
      </c>
      <c r="J1389" s="17"/>
      <c r="K1389" s="17"/>
      <c r="L1389" s="16" t="s">
        <v>15</v>
      </c>
      <c r="M1389" s="16" t="s">
        <v>22</v>
      </c>
      <c r="N1389" s="39" t="s">
        <v>342</v>
      </c>
    </row>
    <row r="1390" spans="1:14" s="12" customFormat="1" ht="30.75" customHeight="1">
      <c r="A1390" s="178" t="s">
        <v>153</v>
      </c>
      <c r="B1390" s="75" t="s">
        <v>1665</v>
      </c>
      <c r="C1390" s="412" t="s">
        <v>17</v>
      </c>
      <c r="D1390" s="236"/>
      <c r="E1390" s="236"/>
      <c r="F1390" s="236"/>
      <c r="G1390" s="236"/>
      <c r="H1390" s="244">
        <f>SUM(Tabla132112410[[#This Row],[PRIMER TRIMESTRE]:[CUARTO TRIMESTRE]])</f>
        <v>0</v>
      </c>
      <c r="I1390" s="17">
        <v>0</v>
      </c>
      <c r="J1390" s="286"/>
      <c r="K1390" s="286"/>
      <c r="L1390" s="16" t="s">
        <v>15</v>
      </c>
      <c r="M1390" s="16" t="s">
        <v>22</v>
      </c>
      <c r="N1390" s="39" t="s">
        <v>342</v>
      </c>
    </row>
    <row r="1391" spans="1:14" s="12" customFormat="1" ht="30.75" customHeight="1">
      <c r="A1391" s="178" t="s">
        <v>153</v>
      </c>
      <c r="B1391" s="75" t="s">
        <v>2036</v>
      </c>
      <c r="C1391" s="39" t="s">
        <v>17</v>
      </c>
      <c r="D1391" s="236">
        <v>4</v>
      </c>
      <c r="E1391" s="236">
        <v>2</v>
      </c>
      <c r="F1391" s="236">
        <v>2</v>
      </c>
      <c r="G1391" s="236">
        <v>2</v>
      </c>
      <c r="H1391" s="244">
        <f>SUM(Tabla132112410[[#This Row],[PRIMER TRIMESTRE]:[CUARTO TRIMESTRE]])</f>
        <v>10</v>
      </c>
      <c r="I1391" s="17">
        <v>48.75</v>
      </c>
      <c r="J1391" s="17">
        <f>+H1391*I1391</f>
        <v>487.5</v>
      </c>
      <c r="K1391" s="17"/>
      <c r="L1391" s="16" t="s">
        <v>15</v>
      </c>
      <c r="M1391" s="16" t="s">
        <v>22</v>
      </c>
      <c r="N1391" s="39" t="s">
        <v>342</v>
      </c>
    </row>
    <row r="1392" spans="1:14" s="12" customFormat="1" ht="30.75" customHeight="1">
      <c r="A1392" s="178" t="s">
        <v>153</v>
      </c>
      <c r="B1392" s="75" t="s">
        <v>1417</v>
      </c>
      <c r="C1392" s="39" t="s">
        <v>17</v>
      </c>
      <c r="D1392" s="236"/>
      <c r="E1392" s="236"/>
      <c r="F1392" s="236"/>
      <c r="G1392" s="236"/>
      <c r="H1392" s="236">
        <f>SUM(Tabla132112410[[#This Row],[PRIMER TRIMESTRE]:[CUARTO TRIMESTRE]])</f>
        <v>0</v>
      </c>
      <c r="I1392" s="17">
        <v>9</v>
      </c>
      <c r="J1392" s="17">
        <f>+H1392*I1392</f>
        <v>0</v>
      </c>
      <c r="K1392" s="17"/>
      <c r="L1392" s="16" t="s">
        <v>18</v>
      </c>
      <c r="M1392" s="16" t="s">
        <v>22</v>
      </c>
      <c r="N1392" s="39" t="s">
        <v>342</v>
      </c>
    </row>
    <row r="1393" spans="1:14" s="26" customFormat="1" ht="30.75" customHeight="1">
      <c r="A1393" s="178" t="s">
        <v>153</v>
      </c>
      <c r="B1393" s="75" t="s">
        <v>1627</v>
      </c>
      <c r="C1393" s="39" t="s">
        <v>17</v>
      </c>
      <c r="D1393" s="236"/>
      <c r="E1393" s="236"/>
      <c r="F1393" s="236"/>
      <c r="G1393" s="236"/>
      <c r="H1393" s="236">
        <f>SUM(Tabla132112410[[#This Row],[PRIMER TRIMESTRE]:[CUARTO TRIMESTRE]])</f>
        <v>0</v>
      </c>
      <c r="I1393" s="17">
        <v>30</v>
      </c>
      <c r="J1393" s="17">
        <f>+H1393*I1393</f>
        <v>0</v>
      </c>
      <c r="K1393" s="286"/>
      <c r="L1393" s="16" t="s">
        <v>18</v>
      </c>
      <c r="M1393" s="16" t="s">
        <v>22</v>
      </c>
      <c r="N1393" s="39" t="s">
        <v>342</v>
      </c>
    </row>
    <row r="1394" spans="1:14" s="169" customFormat="1" ht="30.75" customHeight="1">
      <c r="A1394" s="178" t="s">
        <v>153</v>
      </c>
      <c r="B1394" s="75" t="s">
        <v>1466</v>
      </c>
      <c r="C1394" s="39" t="s">
        <v>17</v>
      </c>
      <c r="D1394" s="236"/>
      <c r="E1394" s="236"/>
      <c r="F1394" s="236"/>
      <c r="G1394" s="236"/>
      <c r="H1394" s="244">
        <f>SUM(Tabla132112410[[#This Row],[PRIMER TRIMESTRE]:[CUARTO TRIMESTRE]])</f>
        <v>0</v>
      </c>
      <c r="I1394" s="17">
        <v>2200</v>
      </c>
      <c r="J1394" s="17">
        <f>+H1394*I1394</f>
        <v>0</v>
      </c>
      <c r="K1394" s="17"/>
      <c r="L1394" s="16" t="s">
        <v>18</v>
      </c>
      <c r="M1394" s="16" t="s">
        <v>22</v>
      </c>
      <c r="N1394" s="39" t="s">
        <v>342</v>
      </c>
    </row>
    <row r="1395" spans="1:14" s="169" customFormat="1" ht="49.5" customHeight="1">
      <c r="A1395" s="179" t="s">
        <v>153</v>
      </c>
      <c r="B1395" s="76"/>
      <c r="C1395" s="42"/>
      <c r="D1395" s="237"/>
      <c r="E1395" s="237"/>
      <c r="F1395" s="237"/>
      <c r="G1395" s="237"/>
      <c r="H1395" s="43"/>
      <c r="I1395" s="24"/>
      <c r="J1395" s="24"/>
      <c r="K1395" s="25">
        <f>SUM(J1391:J1394)</f>
        <v>487.5</v>
      </c>
      <c r="L1395" s="23"/>
      <c r="M1395" s="23"/>
      <c r="N1395" s="42"/>
    </row>
    <row r="1396" spans="1:14" s="169" customFormat="1" ht="51.75" customHeight="1">
      <c r="A1396" s="180" t="s">
        <v>1024</v>
      </c>
      <c r="B1396" s="77" t="s">
        <v>1025</v>
      </c>
      <c r="C1396" s="70" t="s">
        <v>17</v>
      </c>
      <c r="D1396" s="210"/>
      <c r="E1396" s="210"/>
      <c r="F1396" s="210"/>
      <c r="G1396" s="210"/>
      <c r="H1396" s="406">
        <f>SUM(Tabla132112410[[#This Row],[PRIMER TRIMESTRE]:[CUARTO TRIMESTRE]])</f>
        <v>0</v>
      </c>
      <c r="I1396" s="72">
        <v>2465459.7599999998</v>
      </c>
      <c r="J1396" s="72">
        <f t="shared" ref="J1396:J1401" si="34">+H1396*I1396</f>
        <v>0</v>
      </c>
      <c r="K1396" s="72"/>
      <c r="L1396" s="73" t="s">
        <v>18</v>
      </c>
      <c r="M1396" s="73" t="s">
        <v>19</v>
      </c>
      <c r="N1396" s="70"/>
    </row>
    <row r="1397" spans="1:14" s="169" customFormat="1" ht="54" customHeight="1">
      <c r="A1397" s="180" t="s">
        <v>1024</v>
      </c>
      <c r="B1397" s="77" t="s">
        <v>1026</v>
      </c>
      <c r="C1397" s="70" t="s">
        <v>17</v>
      </c>
      <c r="D1397" s="210"/>
      <c r="E1397" s="210"/>
      <c r="F1397" s="210"/>
      <c r="G1397" s="210"/>
      <c r="H1397" s="406">
        <f>SUM(Tabla132112410[[#This Row],[PRIMER TRIMESTRE]:[CUARTO TRIMESTRE]])</f>
        <v>0</v>
      </c>
      <c r="I1397" s="72">
        <v>485677.62</v>
      </c>
      <c r="J1397" s="72">
        <f t="shared" si="34"/>
        <v>0</v>
      </c>
      <c r="K1397" s="72"/>
      <c r="L1397" s="73" t="s">
        <v>18</v>
      </c>
      <c r="M1397" s="73" t="s">
        <v>19</v>
      </c>
      <c r="N1397" s="70" t="s">
        <v>342</v>
      </c>
    </row>
    <row r="1398" spans="1:14" s="169" customFormat="1" ht="48.75" customHeight="1">
      <c r="A1398" s="180" t="s">
        <v>1024</v>
      </c>
      <c r="B1398" s="77" t="s">
        <v>1027</v>
      </c>
      <c r="C1398" s="70" t="s">
        <v>17</v>
      </c>
      <c r="D1398" s="210"/>
      <c r="E1398" s="210"/>
      <c r="F1398" s="210"/>
      <c r="G1398" s="210"/>
      <c r="H1398" s="406">
        <f>SUM(Tabla132112410[[#This Row],[PRIMER TRIMESTRE]:[CUARTO TRIMESTRE]])</f>
        <v>0</v>
      </c>
      <c r="I1398" s="72">
        <v>7126452.3600000003</v>
      </c>
      <c r="J1398" s="72">
        <f t="shared" si="34"/>
        <v>0</v>
      </c>
      <c r="K1398" s="72"/>
      <c r="L1398" s="73" t="s">
        <v>18</v>
      </c>
      <c r="M1398" s="73" t="s">
        <v>19</v>
      </c>
      <c r="N1398" s="70"/>
    </row>
    <row r="1399" spans="1:14" s="169" customFormat="1" ht="51" customHeight="1">
      <c r="A1399" s="180" t="s">
        <v>1024</v>
      </c>
      <c r="B1399" s="77" t="s">
        <v>1028</v>
      </c>
      <c r="C1399" s="70" t="s">
        <v>17</v>
      </c>
      <c r="D1399" s="210"/>
      <c r="E1399" s="210"/>
      <c r="F1399" s="210"/>
      <c r="G1399" s="210"/>
      <c r="H1399" s="406">
        <f>SUM(Tabla132112410[[#This Row],[PRIMER TRIMESTRE]:[CUARTO TRIMESTRE]])</f>
        <v>0</v>
      </c>
      <c r="I1399" s="72">
        <v>52892.2</v>
      </c>
      <c r="J1399" s="72">
        <f t="shared" si="34"/>
        <v>0</v>
      </c>
      <c r="K1399" s="72"/>
      <c r="L1399" s="73" t="s">
        <v>18</v>
      </c>
      <c r="M1399" s="73" t="s">
        <v>19</v>
      </c>
      <c r="N1399" s="70" t="s">
        <v>342</v>
      </c>
    </row>
    <row r="1400" spans="1:14" s="169" customFormat="1" ht="48.75" customHeight="1">
      <c r="A1400" s="180" t="s">
        <v>1024</v>
      </c>
      <c r="B1400" s="77" t="s">
        <v>1029</v>
      </c>
      <c r="C1400" s="70" t="s">
        <v>17</v>
      </c>
      <c r="D1400" s="210"/>
      <c r="E1400" s="210"/>
      <c r="F1400" s="210"/>
      <c r="G1400" s="210"/>
      <c r="H1400" s="406">
        <f>SUM(Tabla132112410[[#This Row],[PRIMER TRIMESTRE]:[CUARTO TRIMESTRE]])</f>
        <v>0</v>
      </c>
      <c r="I1400" s="72">
        <v>134185.97999999998</v>
      </c>
      <c r="J1400" s="72">
        <f t="shared" si="34"/>
        <v>0</v>
      </c>
      <c r="K1400" s="72"/>
      <c r="L1400" s="73" t="s">
        <v>18</v>
      </c>
      <c r="M1400" s="73" t="s">
        <v>19</v>
      </c>
      <c r="N1400" s="70"/>
    </row>
    <row r="1401" spans="1:14" s="12" customFormat="1" ht="30.75" customHeight="1">
      <c r="A1401" s="180" t="s">
        <v>1024</v>
      </c>
      <c r="B1401" s="77" t="s">
        <v>1030</v>
      </c>
      <c r="C1401" s="70" t="s">
        <v>17</v>
      </c>
      <c r="D1401" s="210"/>
      <c r="E1401" s="210"/>
      <c r="F1401" s="210"/>
      <c r="G1401" s="210"/>
      <c r="H1401" s="406">
        <f>SUM(Tabla132112410[[#This Row],[PRIMER TRIMESTRE]:[CUARTO TRIMESTRE]])</f>
        <v>0</v>
      </c>
      <c r="I1401" s="72">
        <v>624559.46</v>
      </c>
      <c r="J1401" s="72">
        <f t="shared" si="34"/>
        <v>0</v>
      </c>
      <c r="K1401" s="72"/>
      <c r="L1401" s="73" t="s">
        <v>18</v>
      </c>
      <c r="M1401" s="73" t="s">
        <v>19</v>
      </c>
      <c r="N1401" s="70"/>
    </row>
    <row r="1402" spans="1:14" s="169" customFormat="1" ht="30.75" customHeight="1">
      <c r="A1402" s="179" t="s">
        <v>1024</v>
      </c>
      <c r="B1402" s="76"/>
      <c r="C1402" s="42"/>
      <c r="D1402" s="237"/>
      <c r="E1402" s="237"/>
      <c r="F1402" s="237"/>
      <c r="G1402" s="237"/>
      <c r="H1402" s="43"/>
      <c r="I1402" s="24"/>
      <c r="J1402" s="24"/>
      <c r="K1402" s="25">
        <f>SUM(J1396:J1401)</f>
        <v>0</v>
      </c>
      <c r="L1402" s="23"/>
      <c r="M1402" s="23"/>
      <c r="N1402" s="42"/>
    </row>
    <row r="1403" spans="1:14" s="169" customFormat="1" ht="30.75" customHeight="1">
      <c r="A1403" s="180" t="s">
        <v>167</v>
      </c>
      <c r="B1403" s="77" t="s">
        <v>964</v>
      </c>
      <c r="C1403" s="70" t="s">
        <v>17</v>
      </c>
      <c r="D1403" s="210"/>
      <c r="E1403" s="210"/>
      <c r="F1403" s="210"/>
      <c r="G1403" s="210"/>
      <c r="H1403" s="406">
        <f>SUM(Tabla132112410[[#This Row],[PRIMER TRIMESTRE]:[CUARTO TRIMESTRE]])</f>
        <v>0</v>
      </c>
      <c r="I1403" s="72">
        <v>84508.178</v>
      </c>
      <c r="J1403" s="72">
        <f t="shared" ref="J1403:J1465" si="35">+H1403*I1403</f>
        <v>0</v>
      </c>
      <c r="K1403" s="72"/>
      <c r="L1403" s="73" t="s">
        <v>18</v>
      </c>
      <c r="M1403" s="73" t="s">
        <v>19</v>
      </c>
      <c r="N1403" s="70" t="s">
        <v>342</v>
      </c>
    </row>
    <row r="1404" spans="1:14" s="169" customFormat="1" ht="30.75" customHeight="1">
      <c r="A1404" s="180" t="s">
        <v>167</v>
      </c>
      <c r="B1404" s="77" t="s">
        <v>965</v>
      </c>
      <c r="C1404" s="70" t="s">
        <v>17</v>
      </c>
      <c r="D1404" s="210"/>
      <c r="E1404" s="210"/>
      <c r="F1404" s="210"/>
      <c r="G1404" s="210"/>
      <c r="H1404" s="406">
        <f>SUM(Tabla132112410[[#This Row],[PRIMER TRIMESTRE]:[CUARTO TRIMESTRE]])</f>
        <v>0</v>
      </c>
      <c r="I1404" s="72">
        <v>55372.68</v>
      </c>
      <c r="J1404" s="72">
        <f t="shared" si="35"/>
        <v>0</v>
      </c>
      <c r="K1404" s="72"/>
      <c r="L1404" s="73" t="s">
        <v>18</v>
      </c>
      <c r="M1404" s="73" t="s">
        <v>19</v>
      </c>
      <c r="N1404" s="70"/>
    </row>
    <row r="1405" spans="1:14" s="169" customFormat="1" ht="30.75" customHeight="1">
      <c r="A1405" s="180" t="s">
        <v>167</v>
      </c>
      <c r="B1405" s="77" t="s">
        <v>966</v>
      </c>
      <c r="C1405" s="70" t="s">
        <v>17</v>
      </c>
      <c r="D1405" s="210"/>
      <c r="E1405" s="210"/>
      <c r="F1405" s="210"/>
      <c r="G1405" s="210"/>
      <c r="H1405" s="406">
        <f>SUM(Tabla132112410[[#This Row],[PRIMER TRIMESTRE]:[CUARTO TRIMESTRE]])</f>
        <v>0</v>
      </c>
      <c r="I1405" s="72">
        <v>467752</v>
      </c>
      <c r="J1405" s="72">
        <f t="shared" si="35"/>
        <v>0</v>
      </c>
      <c r="K1405" s="72"/>
      <c r="L1405" s="73" t="s">
        <v>18</v>
      </c>
      <c r="M1405" s="73" t="s">
        <v>19</v>
      </c>
      <c r="N1405" s="70"/>
    </row>
    <row r="1406" spans="1:14" s="169" customFormat="1" ht="30.75" customHeight="1">
      <c r="A1406" s="180" t="s">
        <v>167</v>
      </c>
      <c r="B1406" s="77" t="s">
        <v>967</v>
      </c>
      <c r="C1406" s="70" t="s">
        <v>17</v>
      </c>
      <c r="D1406" s="210"/>
      <c r="E1406" s="210"/>
      <c r="F1406" s="210"/>
      <c r="G1406" s="210"/>
      <c r="H1406" s="406">
        <f>SUM(Tabla132112410[[#This Row],[PRIMER TRIMESTRE]:[CUARTO TRIMESTRE]])</f>
        <v>0</v>
      </c>
      <c r="I1406" s="72">
        <v>804524</v>
      </c>
      <c r="J1406" s="72">
        <f t="shared" si="35"/>
        <v>0</v>
      </c>
      <c r="K1406" s="72"/>
      <c r="L1406" s="73" t="s">
        <v>18</v>
      </c>
      <c r="M1406" s="73" t="s">
        <v>19</v>
      </c>
      <c r="N1406" s="70"/>
    </row>
    <row r="1407" spans="1:14" s="169" customFormat="1" ht="30.75" customHeight="1">
      <c r="A1407" s="180" t="s">
        <v>167</v>
      </c>
      <c r="B1407" s="77" t="s">
        <v>968</v>
      </c>
      <c r="C1407" s="70" t="s">
        <v>17</v>
      </c>
      <c r="D1407" s="210"/>
      <c r="E1407" s="210"/>
      <c r="F1407" s="210"/>
      <c r="G1407" s="210"/>
      <c r="H1407" s="406">
        <f>SUM(Tabla132112410[[#This Row],[PRIMER TRIMESTRE]:[CUARTO TRIMESTRE]])</f>
        <v>0</v>
      </c>
      <c r="I1407" s="72">
        <v>223315</v>
      </c>
      <c r="J1407" s="72">
        <f t="shared" si="35"/>
        <v>0</v>
      </c>
      <c r="K1407" s="72"/>
      <c r="L1407" s="73" t="s">
        <v>18</v>
      </c>
      <c r="M1407" s="73" t="s">
        <v>19</v>
      </c>
      <c r="N1407" s="70" t="s">
        <v>342</v>
      </c>
    </row>
    <row r="1408" spans="1:14" s="169" customFormat="1" ht="30.75" customHeight="1">
      <c r="A1408" s="180" t="s">
        <v>167</v>
      </c>
      <c r="B1408" s="77" t="s">
        <v>969</v>
      </c>
      <c r="C1408" s="70" t="s">
        <v>17</v>
      </c>
      <c r="D1408" s="210"/>
      <c r="E1408" s="210"/>
      <c r="F1408" s="210"/>
      <c r="G1408" s="210"/>
      <c r="H1408" s="406">
        <f>SUM(Tabla132112410[[#This Row],[PRIMER TRIMESTRE]:[CUARTO TRIMESTRE]])</f>
        <v>0</v>
      </c>
      <c r="I1408" s="72">
        <v>73588.34</v>
      </c>
      <c r="J1408" s="72">
        <f t="shared" si="35"/>
        <v>0</v>
      </c>
      <c r="K1408" s="72"/>
      <c r="L1408" s="73" t="s">
        <v>18</v>
      </c>
      <c r="M1408" s="73" t="s">
        <v>19</v>
      </c>
      <c r="N1408" s="70" t="s">
        <v>342</v>
      </c>
    </row>
    <row r="1409" spans="1:14" s="169" customFormat="1" ht="30.75" customHeight="1">
      <c r="A1409" s="180" t="s">
        <v>167</v>
      </c>
      <c r="B1409" s="77" t="s">
        <v>970</v>
      </c>
      <c r="C1409" s="70" t="s">
        <v>17</v>
      </c>
      <c r="D1409" s="210"/>
      <c r="E1409" s="210"/>
      <c r="F1409" s="210"/>
      <c r="G1409" s="210"/>
      <c r="H1409" s="406">
        <f>SUM(Tabla132112410[[#This Row],[PRIMER TRIMESTRE]:[CUARTO TRIMESTRE]])</f>
        <v>0</v>
      </c>
      <c r="I1409" s="72">
        <v>170392</v>
      </c>
      <c r="J1409" s="72">
        <f t="shared" si="35"/>
        <v>0</v>
      </c>
      <c r="K1409" s="72"/>
      <c r="L1409" s="73" t="s">
        <v>18</v>
      </c>
      <c r="M1409" s="73" t="s">
        <v>19</v>
      </c>
      <c r="N1409" s="70" t="s">
        <v>342</v>
      </c>
    </row>
    <row r="1410" spans="1:14" s="169" customFormat="1" ht="30.75" customHeight="1">
      <c r="A1410" s="180" t="s">
        <v>167</v>
      </c>
      <c r="B1410" s="77" t="s">
        <v>971</v>
      </c>
      <c r="C1410" s="70" t="s">
        <v>17</v>
      </c>
      <c r="D1410" s="210"/>
      <c r="E1410" s="210"/>
      <c r="F1410" s="210"/>
      <c r="G1410" s="210"/>
      <c r="H1410" s="406">
        <f>SUM(Tabla132112410[[#This Row],[PRIMER TRIMESTRE]:[CUARTO TRIMESTRE]])</f>
        <v>0</v>
      </c>
      <c r="I1410" s="72">
        <v>274350</v>
      </c>
      <c r="J1410" s="72">
        <f t="shared" si="35"/>
        <v>0</v>
      </c>
      <c r="K1410" s="72"/>
      <c r="L1410" s="73" t="s">
        <v>18</v>
      </c>
      <c r="M1410" s="73" t="s">
        <v>19</v>
      </c>
      <c r="N1410" s="70" t="s">
        <v>342</v>
      </c>
    </row>
    <row r="1411" spans="1:14" s="169" customFormat="1" ht="30.75" customHeight="1">
      <c r="A1411" s="180" t="s">
        <v>167</v>
      </c>
      <c r="B1411" s="77" t="s">
        <v>972</v>
      </c>
      <c r="C1411" s="70" t="s">
        <v>17</v>
      </c>
      <c r="D1411" s="210"/>
      <c r="E1411" s="210"/>
      <c r="F1411" s="210"/>
      <c r="G1411" s="210"/>
      <c r="H1411" s="406">
        <f>SUM(Tabla132112410[[#This Row],[PRIMER TRIMESTRE]:[CUARTO TRIMESTRE]])</f>
        <v>0</v>
      </c>
      <c r="I1411" s="72">
        <v>55460</v>
      </c>
      <c r="J1411" s="72">
        <f t="shared" si="35"/>
        <v>0</v>
      </c>
      <c r="K1411" s="72"/>
      <c r="L1411" s="73" t="s">
        <v>18</v>
      </c>
      <c r="M1411" s="73" t="s">
        <v>19</v>
      </c>
      <c r="N1411" s="70" t="s">
        <v>342</v>
      </c>
    </row>
    <row r="1412" spans="1:14" s="169" customFormat="1" ht="30.75" customHeight="1">
      <c r="A1412" s="180" t="s">
        <v>167</v>
      </c>
      <c r="B1412" s="77" t="s">
        <v>973</v>
      </c>
      <c r="C1412" s="70" t="s">
        <v>17</v>
      </c>
      <c r="D1412" s="210"/>
      <c r="E1412" s="210"/>
      <c r="F1412" s="210"/>
      <c r="G1412" s="210"/>
      <c r="H1412" s="406">
        <f>SUM(Tabla132112410[[#This Row],[PRIMER TRIMESTRE]:[CUARTO TRIMESTRE]])</f>
        <v>0</v>
      </c>
      <c r="I1412" s="72">
        <v>59000</v>
      </c>
      <c r="J1412" s="72">
        <f t="shared" si="35"/>
        <v>0</v>
      </c>
      <c r="K1412" s="72"/>
      <c r="L1412" s="73" t="s">
        <v>18</v>
      </c>
      <c r="M1412" s="73" t="s">
        <v>19</v>
      </c>
      <c r="N1412" s="70" t="s">
        <v>342</v>
      </c>
    </row>
    <row r="1413" spans="1:14" s="169" customFormat="1" ht="30.75" customHeight="1">
      <c r="A1413" s="180" t="s">
        <v>167</v>
      </c>
      <c r="B1413" s="77" t="s">
        <v>974</v>
      </c>
      <c r="C1413" s="70" t="s">
        <v>17</v>
      </c>
      <c r="D1413" s="210"/>
      <c r="E1413" s="210"/>
      <c r="F1413" s="210"/>
      <c r="G1413" s="210"/>
      <c r="H1413" s="406">
        <f>SUM(Tabla132112410[[#This Row],[PRIMER TRIMESTRE]:[CUARTO TRIMESTRE]])</f>
        <v>0</v>
      </c>
      <c r="I1413" s="72">
        <v>17700</v>
      </c>
      <c r="J1413" s="72">
        <f t="shared" si="35"/>
        <v>0</v>
      </c>
      <c r="K1413" s="72"/>
      <c r="L1413" s="73" t="s">
        <v>18</v>
      </c>
      <c r="M1413" s="73" t="s">
        <v>19</v>
      </c>
      <c r="N1413" s="70" t="s">
        <v>342</v>
      </c>
    </row>
    <row r="1414" spans="1:14" s="169" customFormat="1" ht="30.75" customHeight="1">
      <c r="A1414" s="180" t="s">
        <v>167</v>
      </c>
      <c r="B1414" s="77" t="s">
        <v>975</v>
      </c>
      <c r="C1414" s="70" t="s">
        <v>17</v>
      </c>
      <c r="D1414" s="210"/>
      <c r="E1414" s="210"/>
      <c r="F1414" s="210"/>
      <c r="G1414" s="210"/>
      <c r="H1414" s="406">
        <f>SUM(Tabla132112410[[#This Row],[PRIMER TRIMESTRE]:[CUARTO TRIMESTRE]])</f>
        <v>0</v>
      </c>
      <c r="I1414" s="72">
        <v>843572.93759999995</v>
      </c>
      <c r="J1414" s="72">
        <f t="shared" si="35"/>
        <v>0</v>
      </c>
      <c r="K1414" s="72"/>
      <c r="L1414" s="73" t="s">
        <v>18</v>
      </c>
      <c r="M1414" s="73" t="s">
        <v>19</v>
      </c>
      <c r="N1414" s="70" t="s">
        <v>342</v>
      </c>
    </row>
    <row r="1415" spans="1:14" s="169" customFormat="1" ht="30.75" customHeight="1">
      <c r="A1415" s="180" t="s">
        <v>167</v>
      </c>
      <c r="B1415" s="77" t="s">
        <v>976</v>
      </c>
      <c r="C1415" s="70" t="s">
        <v>17</v>
      </c>
      <c r="D1415" s="210"/>
      <c r="E1415" s="210"/>
      <c r="F1415" s="210"/>
      <c r="G1415" s="210"/>
      <c r="H1415" s="406">
        <f>SUM(Tabla132112410[[#This Row],[PRIMER TRIMESTRE]:[CUARTO TRIMESTRE]])</f>
        <v>0</v>
      </c>
      <c r="I1415" s="72">
        <v>46936.765599999999</v>
      </c>
      <c r="J1415" s="72">
        <f t="shared" si="35"/>
        <v>0</v>
      </c>
      <c r="K1415" s="72"/>
      <c r="L1415" s="73" t="s">
        <v>18</v>
      </c>
      <c r="M1415" s="73" t="s">
        <v>19</v>
      </c>
      <c r="N1415" s="70" t="s">
        <v>342</v>
      </c>
    </row>
    <row r="1416" spans="1:14" s="169" customFormat="1" ht="42.75" customHeight="1">
      <c r="A1416" s="180" t="s">
        <v>167</v>
      </c>
      <c r="B1416" s="77" t="s">
        <v>977</v>
      </c>
      <c r="C1416" s="70" t="s">
        <v>17</v>
      </c>
      <c r="D1416" s="210"/>
      <c r="E1416" s="210"/>
      <c r="F1416" s="210"/>
      <c r="G1416" s="210"/>
      <c r="H1416" s="406">
        <f>SUM(Tabla132112410[[#This Row],[PRIMER TRIMESTRE]:[CUARTO TRIMESTRE]])</f>
        <v>0</v>
      </c>
      <c r="I1416" s="72">
        <v>121535.63399999999</v>
      </c>
      <c r="J1416" s="72">
        <f t="shared" si="35"/>
        <v>0</v>
      </c>
      <c r="K1416" s="72"/>
      <c r="L1416" s="73" t="s">
        <v>18</v>
      </c>
      <c r="M1416" s="73" t="s">
        <v>19</v>
      </c>
      <c r="N1416" s="70" t="s">
        <v>342</v>
      </c>
    </row>
    <row r="1417" spans="1:14" s="169" customFormat="1" ht="30.75" customHeight="1">
      <c r="A1417" s="180" t="s">
        <v>167</v>
      </c>
      <c r="B1417" s="77" t="s">
        <v>978</v>
      </c>
      <c r="C1417" s="70" t="s">
        <v>17</v>
      </c>
      <c r="D1417" s="210"/>
      <c r="E1417" s="210"/>
      <c r="F1417" s="210"/>
      <c r="G1417" s="210"/>
      <c r="H1417" s="406">
        <f>SUM(Tabla132112410[[#This Row],[PRIMER TRIMESTRE]:[CUARTO TRIMESTRE]])</f>
        <v>0</v>
      </c>
      <c r="I1417" s="72">
        <v>1558708.1733999997</v>
      </c>
      <c r="J1417" s="72">
        <f t="shared" si="35"/>
        <v>0</v>
      </c>
      <c r="K1417" s="72"/>
      <c r="L1417" s="73" t="s">
        <v>18</v>
      </c>
      <c r="M1417" s="73" t="s">
        <v>19</v>
      </c>
      <c r="N1417" s="70" t="s">
        <v>342</v>
      </c>
    </row>
    <row r="1418" spans="1:14" s="169" customFormat="1" ht="30.75" customHeight="1">
      <c r="A1418" s="180" t="s">
        <v>167</v>
      </c>
      <c r="B1418" s="77" t="s">
        <v>979</v>
      </c>
      <c r="C1418" s="70" t="s">
        <v>17</v>
      </c>
      <c r="D1418" s="210"/>
      <c r="E1418" s="210"/>
      <c r="F1418" s="210"/>
      <c r="G1418" s="210"/>
      <c r="H1418" s="406">
        <f>SUM(Tabla132112410[[#This Row],[PRIMER TRIMESTRE]:[CUARTO TRIMESTRE]])</f>
        <v>0</v>
      </c>
      <c r="I1418" s="72">
        <v>125316</v>
      </c>
      <c r="J1418" s="72">
        <f t="shared" si="35"/>
        <v>0</v>
      </c>
      <c r="K1418" s="72"/>
      <c r="L1418" s="73" t="s">
        <v>18</v>
      </c>
      <c r="M1418" s="73" t="s">
        <v>19</v>
      </c>
      <c r="N1418" s="70" t="s">
        <v>342</v>
      </c>
    </row>
    <row r="1419" spans="1:14" s="169" customFormat="1" ht="30.75" customHeight="1">
      <c r="A1419" s="180" t="s">
        <v>167</v>
      </c>
      <c r="B1419" s="77" t="s">
        <v>980</v>
      </c>
      <c r="C1419" s="70" t="s">
        <v>17</v>
      </c>
      <c r="D1419" s="210"/>
      <c r="E1419" s="210"/>
      <c r="F1419" s="210"/>
      <c r="G1419" s="210"/>
      <c r="H1419" s="406">
        <f>SUM(Tabla132112410[[#This Row],[PRIMER TRIMESTRE]:[CUARTO TRIMESTRE]])</f>
        <v>0</v>
      </c>
      <c r="I1419" s="72">
        <v>953817.59999999998</v>
      </c>
      <c r="J1419" s="72">
        <f t="shared" si="35"/>
        <v>0</v>
      </c>
      <c r="K1419" s="72"/>
      <c r="L1419" s="73" t="s">
        <v>18</v>
      </c>
      <c r="M1419" s="73" t="s">
        <v>19</v>
      </c>
      <c r="N1419" s="70"/>
    </row>
    <row r="1420" spans="1:14" s="169" customFormat="1" ht="30.75" customHeight="1">
      <c r="A1420" s="180" t="s">
        <v>167</v>
      </c>
      <c r="B1420" s="77" t="s">
        <v>981</v>
      </c>
      <c r="C1420" s="70" t="s">
        <v>17</v>
      </c>
      <c r="D1420" s="210"/>
      <c r="E1420" s="210"/>
      <c r="F1420" s="210"/>
      <c r="G1420" s="210"/>
      <c r="H1420" s="406">
        <f>SUM(Tabla132112410[[#This Row],[PRIMER TRIMESTRE]:[CUARTO TRIMESTRE]])</f>
        <v>0</v>
      </c>
      <c r="I1420" s="72">
        <v>443739</v>
      </c>
      <c r="J1420" s="72">
        <f t="shared" si="35"/>
        <v>0</v>
      </c>
      <c r="K1420" s="72"/>
      <c r="L1420" s="73" t="s">
        <v>18</v>
      </c>
      <c r="M1420" s="73" t="s">
        <v>19</v>
      </c>
      <c r="N1420" s="70" t="s">
        <v>342</v>
      </c>
    </row>
    <row r="1421" spans="1:14" s="169" customFormat="1" ht="30.75" customHeight="1">
      <c r="A1421" s="180" t="s">
        <v>167</v>
      </c>
      <c r="B1421" s="77" t="s">
        <v>982</v>
      </c>
      <c r="C1421" s="70" t="s">
        <v>17</v>
      </c>
      <c r="D1421" s="210"/>
      <c r="E1421" s="210"/>
      <c r="F1421" s="210"/>
      <c r="G1421" s="210"/>
      <c r="H1421" s="406">
        <f>SUM(Tabla132112410[[#This Row],[PRIMER TRIMESTRE]:[CUARTO TRIMESTRE]])</f>
        <v>0</v>
      </c>
      <c r="I1421" s="72">
        <v>399194</v>
      </c>
      <c r="J1421" s="72">
        <f t="shared" si="35"/>
        <v>0</v>
      </c>
      <c r="K1421" s="72"/>
      <c r="L1421" s="73" t="s">
        <v>18</v>
      </c>
      <c r="M1421" s="73" t="s">
        <v>19</v>
      </c>
      <c r="N1421" s="70"/>
    </row>
    <row r="1422" spans="1:14" s="169" customFormat="1" ht="30.75" customHeight="1">
      <c r="A1422" s="180" t="s">
        <v>167</v>
      </c>
      <c r="B1422" s="77" t="s">
        <v>983</v>
      </c>
      <c r="C1422" s="70" t="s">
        <v>17</v>
      </c>
      <c r="D1422" s="210"/>
      <c r="E1422" s="210"/>
      <c r="F1422" s="210"/>
      <c r="G1422" s="210"/>
      <c r="H1422" s="406">
        <f>SUM(Tabla132112410[[#This Row],[PRIMER TRIMESTRE]:[CUARTO TRIMESTRE]])</f>
        <v>0</v>
      </c>
      <c r="I1422" s="72">
        <v>5763120</v>
      </c>
      <c r="J1422" s="72">
        <f t="shared" si="35"/>
        <v>0</v>
      </c>
      <c r="K1422" s="72"/>
      <c r="L1422" s="73" t="s">
        <v>18</v>
      </c>
      <c r="M1422" s="73" t="s">
        <v>19</v>
      </c>
      <c r="N1422" s="70"/>
    </row>
    <row r="1423" spans="1:14" s="169" customFormat="1" ht="30.75" customHeight="1">
      <c r="A1423" s="180" t="s">
        <v>167</v>
      </c>
      <c r="B1423" s="77" t="s">
        <v>984</v>
      </c>
      <c r="C1423" s="70" t="s">
        <v>17</v>
      </c>
      <c r="D1423" s="210"/>
      <c r="E1423" s="210"/>
      <c r="F1423" s="210"/>
      <c r="G1423" s="210"/>
      <c r="H1423" s="406">
        <f>SUM(Tabla132112410[[#This Row],[PRIMER TRIMESTRE]:[CUARTO TRIMESTRE]])</f>
        <v>0</v>
      </c>
      <c r="I1423" s="72">
        <v>399194</v>
      </c>
      <c r="J1423" s="72">
        <f t="shared" si="35"/>
        <v>0</v>
      </c>
      <c r="K1423" s="72"/>
      <c r="L1423" s="73" t="s">
        <v>18</v>
      </c>
      <c r="M1423" s="73" t="s">
        <v>19</v>
      </c>
      <c r="N1423" s="70" t="s">
        <v>342</v>
      </c>
    </row>
    <row r="1424" spans="1:14" s="169" customFormat="1" ht="30.75" customHeight="1">
      <c r="A1424" s="180" t="s">
        <v>167</v>
      </c>
      <c r="B1424" s="77" t="s">
        <v>985</v>
      </c>
      <c r="C1424" s="70" t="s">
        <v>17</v>
      </c>
      <c r="D1424" s="210"/>
      <c r="E1424" s="210"/>
      <c r="F1424" s="210"/>
      <c r="G1424" s="210"/>
      <c r="H1424" s="406">
        <f>SUM(Tabla132112410[[#This Row],[PRIMER TRIMESTRE]:[CUARTO TRIMESTRE]])</f>
        <v>0</v>
      </c>
      <c r="I1424" s="72">
        <v>130224.79999999999</v>
      </c>
      <c r="J1424" s="72">
        <f t="shared" si="35"/>
        <v>0</v>
      </c>
      <c r="K1424" s="72"/>
      <c r="L1424" s="73" t="s">
        <v>18</v>
      </c>
      <c r="M1424" s="73" t="s">
        <v>19</v>
      </c>
      <c r="N1424" s="70" t="s">
        <v>342</v>
      </c>
    </row>
    <row r="1425" spans="1:14" s="169" customFormat="1" ht="30.75" customHeight="1">
      <c r="A1425" s="180" t="s">
        <v>167</v>
      </c>
      <c r="B1425" s="77" t="s">
        <v>986</v>
      </c>
      <c r="C1425" s="70" t="s">
        <v>17</v>
      </c>
      <c r="D1425" s="210"/>
      <c r="E1425" s="210"/>
      <c r="F1425" s="210"/>
      <c r="G1425" s="210"/>
      <c r="H1425" s="406">
        <f>SUM(Tabla132112410[[#This Row],[PRIMER TRIMESTRE]:[CUARTO TRIMESTRE]])</f>
        <v>0</v>
      </c>
      <c r="I1425" s="72">
        <v>394438.6</v>
      </c>
      <c r="J1425" s="72">
        <f t="shared" si="35"/>
        <v>0</v>
      </c>
      <c r="K1425" s="72"/>
      <c r="L1425" s="73" t="s">
        <v>18</v>
      </c>
      <c r="M1425" s="73" t="s">
        <v>19</v>
      </c>
      <c r="N1425" s="70"/>
    </row>
    <row r="1426" spans="1:14" s="169" customFormat="1" ht="30.75" customHeight="1">
      <c r="A1426" s="180" t="s">
        <v>167</v>
      </c>
      <c r="B1426" s="77" t="s">
        <v>987</v>
      </c>
      <c r="C1426" s="70" t="s">
        <v>17</v>
      </c>
      <c r="D1426" s="210"/>
      <c r="E1426" s="210"/>
      <c r="F1426" s="210"/>
      <c r="G1426" s="210"/>
      <c r="H1426" s="406">
        <f>SUM(Tabla132112410[[#This Row],[PRIMER TRIMESTRE]:[CUARTO TRIMESTRE]])</f>
        <v>0</v>
      </c>
      <c r="I1426" s="72">
        <v>554027.69999999995</v>
      </c>
      <c r="J1426" s="72">
        <f t="shared" si="35"/>
        <v>0</v>
      </c>
      <c r="K1426" s="72"/>
      <c r="L1426" s="73" t="s">
        <v>18</v>
      </c>
      <c r="M1426" s="73" t="s">
        <v>19</v>
      </c>
      <c r="N1426" s="70"/>
    </row>
    <row r="1427" spans="1:14" s="169" customFormat="1" ht="30.75" customHeight="1">
      <c r="A1427" s="180" t="s">
        <v>167</v>
      </c>
      <c r="B1427" s="77" t="s">
        <v>988</v>
      </c>
      <c r="C1427" s="70" t="s">
        <v>17</v>
      </c>
      <c r="D1427" s="210"/>
      <c r="E1427" s="210"/>
      <c r="F1427" s="210"/>
      <c r="G1427" s="210"/>
      <c r="H1427" s="406">
        <f>SUM(Tabla132112410[[#This Row],[PRIMER TRIMESTRE]:[CUARTO TRIMESTRE]])</f>
        <v>0</v>
      </c>
      <c r="I1427" s="72">
        <v>406250.39999999997</v>
      </c>
      <c r="J1427" s="72">
        <f t="shared" si="35"/>
        <v>0</v>
      </c>
      <c r="K1427" s="72"/>
      <c r="L1427" s="73" t="s">
        <v>18</v>
      </c>
      <c r="M1427" s="73" t="s">
        <v>19</v>
      </c>
      <c r="N1427" s="70" t="s">
        <v>342</v>
      </c>
    </row>
    <row r="1428" spans="1:14" s="169" customFormat="1" ht="53.25" customHeight="1">
      <c r="A1428" s="180" t="s">
        <v>167</v>
      </c>
      <c r="B1428" s="77" t="s">
        <v>989</v>
      </c>
      <c r="C1428" s="70" t="s">
        <v>17</v>
      </c>
      <c r="D1428" s="210"/>
      <c r="E1428" s="210"/>
      <c r="F1428" s="210"/>
      <c r="G1428" s="210"/>
      <c r="H1428" s="406">
        <f>SUM(Tabla132112410[[#This Row],[PRIMER TRIMESTRE]:[CUARTO TRIMESTRE]])</f>
        <v>0</v>
      </c>
      <c r="I1428" s="72">
        <v>71148.099999999991</v>
      </c>
      <c r="J1428" s="72">
        <f t="shared" si="35"/>
        <v>0</v>
      </c>
      <c r="K1428" s="72"/>
      <c r="L1428" s="73" t="s">
        <v>18</v>
      </c>
      <c r="M1428" s="73" t="s">
        <v>19</v>
      </c>
      <c r="N1428" s="70"/>
    </row>
    <row r="1429" spans="1:14" s="169" customFormat="1" ht="30.75" customHeight="1">
      <c r="A1429" s="180" t="s">
        <v>167</v>
      </c>
      <c r="B1429" s="77" t="s">
        <v>990</v>
      </c>
      <c r="C1429" s="70" t="s">
        <v>17</v>
      </c>
      <c r="D1429" s="210"/>
      <c r="E1429" s="210"/>
      <c r="F1429" s="210"/>
      <c r="G1429" s="210"/>
      <c r="H1429" s="406">
        <f>SUM(Tabla132112410[[#This Row],[PRIMER TRIMESTRE]:[CUARTO TRIMESTRE]])</f>
        <v>0</v>
      </c>
      <c r="I1429" s="72">
        <v>283158.7</v>
      </c>
      <c r="J1429" s="72">
        <f t="shared" si="35"/>
        <v>0</v>
      </c>
      <c r="K1429" s="72"/>
      <c r="L1429" s="73" t="s">
        <v>18</v>
      </c>
      <c r="M1429" s="73" t="s">
        <v>19</v>
      </c>
      <c r="N1429" s="70" t="s">
        <v>342</v>
      </c>
    </row>
    <row r="1430" spans="1:14" s="169" customFormat="1" ht="30.75" customHeight="1">
      <c r="A1430" s="180" t="s">
        <v>167</v>
      </c>
      <c r="B1430" s="77" t="s">
        <v>991</v>
      </c>
      <c r="C1430" s="70" t="s">
        <v>17</v>
      </c>
      <c r="D1430" s="210"/>
      <c r="E1430" s="210"/>
      <c r="F1430" s="210"/>
      <c r="G1430" s="210"/>
      <c r="H1430" s="406">
        <f>SUM(Tabla132112410[[#This Row],[PRIMER TRIMESTRE]:[CUARTO TRIMESTRE]])</f>
        <v>0</v>
      </c>
      <c r="I1430" s="72">
        <v>4687668</v>
      </c>
      <c r="J1430" s="72">
        <f t="shared" si="35"/>
        <v>0</v>
      </c>
      <c r="K1430" s="72"/>
      <c r="L1430" s="73" t="s">
        <v>18</v>
      </c>
      <c r="M1430" s="73" t="s">
        <v>19</v>
      </c>
      <c r="N1430" s="70"/>
    </row>
    <row r="1431" spans="1:14" s="169" customFormat="1" ht="39.75" customHeight="1">
      <c r="A1431" s="180" t="s">
        <v>167</v>
      </c>
      <c r="B1431" s="77" t="s">
        <v>992</v>
      </c>
      <c r="C1431" s="70" t="s">
        <v>17</v>
      </c>
      <c r="D1431" s="210"/>
      <c r="E1431" s="210"/>
      <c r="F1431" s="210"/>
      <c r="G1431" s="210"/>
      <c r="H1431" s="406">
        <f>SUM(Tabla132112410[[#This Row],[PRIMER TRIMESTRE]:[CUARTO TRIMESTRE]])</f>
        <v>0</v>
      </c>
      <c r="I1431" s="72">
        <v>140862.5</v>
      </c>
      <c r="J1431" s="72">
        <f t="shared" si="35"/>
        <v>0</v>
      </c>
      <c r="K1431" s="72"/>
      <c r="L1431" s="73" t="s">
        <v>18</v>
      </c>
      <c r="M1431" s="73" t="s">
        <v>19</v>
      </c>
      <c r="N1431" s="70" t="s">
        <v>342</v>
      </c>
    </row>
    <row r="1432" spans="1:14" s="169" customFormat="1" ht="30.75" customHeight="1">
      <c r="A1432" s="180" t="s">
        <v>167</v>
      </c>
      <c r="B1432" s="77" t="s">
        <v>993</v>
      </c>
      <c r="C1432" s="70" t="s">
        <v>17</v>
      </c>
      <c r="D1432" s="210"/>
      <c r="E1432" s="210"/>
      <c r="F1432" s="210"/>
      <c r="G1432" s="210"/>
      <c r="H1432" s="406">
        <f>SUM(Tabla132112410[[#This Row],[PRIMER TRIMESTRE]:[CUARTO TRIMESTRE]])</f>
        <v>0</v>
      </c>
      <c r="I1432" s="72">
        <v>109622</v>
      </c>
      <c r="J1432" s="72">
        <f t="shared" si="35"/>
        <v>0</v>
      </c>
      <c r="K1432" s="72"/>
      <c r="L1432" s="73" t="s">
        <v>18</v>
      </c>
      <c r="M1432" s="73" t="s">
        <v>19</v>
      </c>
      <c r="N1432" s="70" t="s">
        <v>342</v>
      </c>
    </row>
    <row r="1433" spans="1:14" s="169" customFormat="1" ht="30.75" customHeight="1">
      <c r="A1433" s="180" t="s">
        <v>167</v>
      </c>
      <c r="B1433" s="77" t="s">
        <v>994</v>
      </c>
      <c r="C1433" s="70" t="s">
        <v>17</v>
      </c>
      <c r="D1433" s="210"/>
      <c r="E1433" s="210"/>
      <c r="F1433" s="210"/>
      <c r="G1433" s="210"/>
      <c r="H1433" s="406">
        <f>SUM(Tabla132112410[[#This Row],[PRIMER TRIMESTRE]:[CUARTO TRIMESTRE]])</f>
        <v>0</v>
      </c>
      <c r="I1433" s="72">
        <v>567462</v>
      </c>
      <c r="J1433" s="72">
        <f t="shared" si="35"/>
        <v>0</v>
      </c>
      <c r="K1433" s="72"/>
      <c r="L1433" s="73" t="s">
        <v>18</v>
      </c>
      <c r="M1433" s="73" t="s">
        <v>19</v>
      </c>
      <c r="N1433" s="70" t="s">
        <v>342</v>
      </c>
    </row>
    <row r="1434" spans="1:14" s="169" customFormat="1" ht="30.75" customHeight="1">
      <c r="A1434" s="180" t="s">
        <v>167</v>
      </c>
      <c r="B1434" s="77" t="s">
        <v>995</v>
      </c>
      <c r="C1434" s="70" t="s">
        <v>17</v>
      </c>
      <c r="D1434" s="210"/>
      <c r="E1434" s="210"/>
      <c r="F1434" s="210"/>
      <c r="G1434" s="210"/>
      <c r="H1434" s="406">
        <f>SUM(Tabla132112410[[#This Row],[PRIMER TRIMESTRE]:[CUARTO TRIMESTRE]])</f>
        <v>0</v>
      </c>
      <c r="I1434" s="72">
        <v>36580</v>
      </c>
      <c r="J1434" s="72">
        <f t="shared" si="35"/>
        <v>0</v>
      </c>
      <c r="K1434" s="72"/>
      <c r="L1434" s="73" t="s">
        <v>18</v>
      </c>
      <c r="M1434" s="73" t="s">
        <v>19</v>
      </c>
      <c r="N1434" s="70"/>
    </row>
    <row r="1435" spans="1:14" s="169" customFormat="1" ht="30.75" customHeight="1">
      <c r="A1435" s="180" t="s">
        <v>167</v>
      </c>
      <c r="B1435" s="77" t="s">
        <v>996</v>
      </c>
      <c r="C1435" s="70" t="s">
        <v>17</v>
      </c>
      <c r="D1435" s="210"/>
      <c r="E1435" s="210"/>
      <c r="F1435" s="210"/>
      <c r="G1435" s="210"/>
      <c r="H1435" s="406">
        <f>SUM(Tabla132112410[[#This Row],[PRIMER TRIMESTRE]:[CUARTO TRIMESTRE]])</f>
        <v>0</v>
      </c>
      <c r="I1435" s="72">
        <v>160775</v>
      </c>
      <c r="J1435" s="72">
        <f t="shared" si="35"/>
        <v>0</v>
      </c>
      <c r="K1435" s="72"/>
      <c r="L1435" s="73" t="s">
        <v>18</v>
      </c>
      <c r="M1435" s="73" t="s">
        <v>19</v>
      </c>
      <c r="N1435" s="70" t="s">
        <v>342</v>
      </c>
    </row>
    <row r="1436" spans="1:14" s="169" customFormat="1" ht="30.75" customHeight="1">
      <c r="A1436" s="180" t="s">
        <v>167</v>
      </c>
      <c r="B1436" s="77" t="s">
        <v>997</v>
      </c>
      <c r="C1436" s="70" t="s">
        <v>17</v>
      </c>
      <c r="D1436" s="210"/>
      <c r="E1436" s="210"/>
      <c r="F1436" s="210"/>
      <c r="G1436" s="210"/>
      <c r="H1436" s="406">
        <f>SUM(Tabla132112410[[#This Row],[PRIMER TRIMESTRE]:[CUARTO TRIMESTRE]])</f>
        <v>0</v>
      </c>
      <c r="I1436" s="72">
        <v>216608.47</v>
      </c>
      <c r="J1436" s="72">
        <f t="shared" si="35"/>
        <v>0</v>
      </c>
      <c r="K1436" s="72"/>
      <c r="L1436" s="73" t="s">
        <v>18</v>
      </c>
      <c r="M1436" s="73" t="s">
        <v>19</v>
      </c>
      <c r="N1436" s="70" t="s">
        <v>342</v>
      </c>
    </row>
    <row r="1437" spans="1:14" s="169" customFormat="1" ht="30.75" customHeight="1">
      <c r="A1437" s="180" t="s">
        <v>167</v>
      </c>
      <c r="B1437" s="77" t="s">
        <v>998</v>
      </c>
      <c r="C1437" s="70" t="s">
        <v>17</v>
      </c>
      <c r="D1437" s="210"/>
      <c r="E1437" s="210"/>
      <c r="F1437" s="210"/>
      <c r="G1437" s="210"/>
      <c r="H1437" s="406">
        <f>SUM(Tabla132112410[[#This Row],[PRIMER TRIMESTRE]:[CUARTO TRIMESTRE]])</f>
        <v>0</v>
      </c>
      <c r="I1437" s="72">
        <v>294752.2</v>
      </c>
      <c r="J1437" s="72">
        <f t="shared" si="35"/>
        <v>0</v>
      </c>
      <c r="K1437" s="72"/>
      <c r="L1437" s="73" t="s">
        <v>18</v>
      </c>
      <c r="M1437" s="73" t="s">
        <v>19</v>
      </c>
      <c r="N1437" s="70" t="s">
        <v>342</v>
      </c>
    </row>
    <row r="1438" spans="1:14" s="169" customFormat="1" ht="30.75" customHeight="1">
      <c r="A1438" s="180" t="s">
        <v>167</v>
      </c>
      <c r="B1438" s="77" t="s">
        <v>999</v>
      </c>
      <c r="C1438" s="70" t="s">
        <v>17</v>
      </c>
      <c r="D1438" s="210"/>
      <c r="E1438" s="210"/>
      <c r="F1438" s="210"/>
      <c r="G1438" s="210"/>
      <c r="H1438" s="406">
        <f>SUM(Tabla132112410[[#This Row],[PRIMER TRIMESTRE]:[CUARTO TRIMESTRE]])</f>
        <v>0</v>
      </c>
      <c r="I1438" s="72">
        <v>230554.3</v>
      </c>
      <c r="J1438" s="72">
        <f t="shared" si="35"/>
        <v>0</v>
      </c>
      <c r="K1438" s="72"/>
      <c r="L1438" s="73" t="s">
        <v>18</v>
      </c>
      <c r="M1438" s="73" t="s">
        <v>19</v>
      </c>
      <c r="N1438" s="70" t="s">
        <v>342</v>
      </c>
    </row>
    <row r="1439" spans="1:14" s="169" customFormat="1" ht="30.75" customHeight="1">
      <c r="A1439" s="180" t="s">
        <v>167</v>
      </c>
      <c r="B1439" s="77" t="s">
        <v>1000</v>
      </c>
      <c r="C1439" s="70" t="s">
        <v>17</v>
      </c>
      <c r="D1439" s="210"/>
      <c r="E1439" s="210"/>
      <c r="F1439" s="210"/>
      <c r="G1439" s="210"/>
      <c r="H1439" s="406">
        <f>SUM(Tabla132112410[[#This Row],[PRIMER TRIMESTRE]:[CUARTO TRIMESTRE]])</f>
        <v>0</v>
      </c>
      <c r="I1439" s="72">
        <v>494992.3</v>
      </c>
      <c r="J1439" s="72">
        <f t="shared" si="35"/>
        <v>0</v>
      </c>
      <c r="K1439" s="72"/>
      <c r="L1439" s="73" t="s">
        <v>18</v>
      </c>
      <c r="M1439" s="73" t="s">
        <v>19</v>
      </c>
      <c r="N1439" s="70" t="s">
        <v>342</v>
      </c>
    </row>
    <row r="1440" spans="1:14" s="169" customFormat="1" ht="30.75" customHeight="1">
      <c r="A1440" s="180" t="s">
        <v>167</v>
      </c>
      <c r="B1440" s="77" t="s">
        <v>1001</v>
      </c>
      <c r="C1440" s="70" t="s">
        <v>17</v>
      </c>
      <c r="D1440" s="210"/>
      <c r="E1440" s="210"/>
      <c r="F1440" s="210"/>
      <c r="G1440" s="210"/>
      <c r="H1440" s="406">
        <f>SUM(Tabla132112410[[#This Row],[PRIMER TRIMESTRE]:[CUARTO TRIMESTRE]])</f>
        <v>0</v>
      </c>
      <c r="I1440" s="72">
        <v>211166.9</v>
      </c>
      <c r="J1440" s="72">
        <f t="shared" si="35"/>
        <v>0</v>
      </c>
      <c r="K1440" s="72"/>
      <c r="L1440" s="73" t="s">
        <v>18</v>
      </c>
      <c r="M1440" s="73" t="s">
        <v>19</v>
      </c>
      <c r="N1440" s="70" t="s">
        <v>342</v>
      </c>
    </row>
    <row r="1441" spans="1:14" s="169" customFormat="1" ht="30.75" customHeight="1">
      <c r="A1441" s="180" t="s">
        <v>167</v>
      </c>
      <c r="B1441" s="77" t="s">
        <v>1002</v>
      </c>
      <c r="C1441" s="70" t="s">
        <v>17</v>
      </c>
      <c r="D1441" s="210"/>
      <c r="E1441" s="210"/>
      <c r="F1441" s="210"/>
      <c r="G1441" s="210"/>
      <c r="H1441" s="406">
        <f>SUM(Tabla132112410[[#This Row],[PRIMER TRIMESTRE]:[CUARTO TRIMESTRE]])</f>
        <v>0</v>
      </c>
      <c r="I1441" s="72">
        <v>62368.899999999994</v>
      </c>
      <c r="J1441" s="72">
        <f t="shared" si="35"/>
        <v>0</v>
      </c>
      <c r="K1441" s="72"/>
      <c r="L1441" s="73" t="s">
        <v>18</v>
      </c>
      <c r="M1441" s="73" t="s">
        <v>19</v>
      </c>
      <c r="N1441" s="70" t="s">
        <v>342</v>
      </c>
    </row>
    <row r="1442" spans="1:14" s="169" customFormat="1" ht="30.75" customHeight="1">
      <c r="A1442" s="180" t="s">
        <v>167</v>
      </c>
      <c r="B1442" s="77" t="s">
        <v>1003</v>
      </c>
      <c r="C1442" s="70" t="s">
        <v>17</v>
      </c>
      <c r="D1442" s="210"/>
      <c r="E1442" s="210"/>
      <c r="F1442" s="210"/>
      <c r="G1442" s="210"/>
      <c r="H1442" s="406">
        <f>SUM(Tabla132112410[[#This Row],[PRIMER TRIMESTRE]:[CUARTO TRIMESTRE]])</f>
        <v>0</v>
      </c>
      <c r="I1442" s="72">
        <v>105533.29999999999</v>
      </c>
      <c r="J1442" s="72">
        <f t="shared" si="35"/>
        <v>0</v>
      </c>
      <c r="K1442" s="72"/>
      <c r="L1442" s="73" t="s">
        <v>18</v>
      </c>
      <c r="M1442" s="73" t="s">
        <v>19</v>
      </c>
      <c r="N1442" s="70" t="s">
        <v>342</v>
      </c>
    </row>
    <row r="1443" spans="1:14" s="169" customFormat="1" ht="30.75" customHeight="1">
      <c r="A1443" s="180" t="s">
        <v>167</v>
      </c>
      <c r="B1443" s="77" t="s">
        <v>1004</v>
      </c>
      <c r="C1443" s="70" t="s">
        <v>17</v>
      </c>
      <c r="D1443" s="210"/>
      <c r="E1443" s="210"/>
      <c r="F1443" s="210"/>
      <c r="G1443" s="210"/>
      <c r="H1443" s="406">
        <f>SUM(Tabla132112410[[#This Row],[PRIMER TRIMESTRE]:[CUARTO TRIMESTRE]])</f>
        <v>0</v>
      </c>
      <c r="I1443" s="72">
        <v>98618.5</v>
      </c>
      <c r="J1443" s="72">
        <f t="shared" si="35"/>
        <v>0</v>
      </c>
      <c r="K1443" s="72"/>
      <c r="L1443" s="73" t="s">
        <v>18</v>
      </c>
      <c r="M1443" s="73" t="s">
        <v>19</v>
      </c>
      <c r="N1443" s="70"/>
    </row>
    <row r="1444" spans="1:14" s="169" customFormat="1" ht="30.75" customHeight="1">
      <c r="A1444" s="180" t="s">
        <v>167</v>
      </c>
      <c r="B1444" s="77" t="s">
        <v>1005</v>
      </c>
      <c r="C1444" s="70" t="s">
        <v>17</v>
      </c>
      <c r="D1444" s="210"/>
      <c r="E1444" s="210"/>
      <c r="F1444" s="210"/>
      <c r="G1444" s="210"/>
      <c r="H1444" s="406">
        <f>SUM(Tabla132112410[[#This Row],[PRIMER TRIMESTRE]:[CUARTO TRIMESTRE]])</f>
        <v>0</v>
      </c>
      <c r="I1444" s="72">
        <v>135818</v>
      </c>
      <c r="J1444" s="72">
        <f t="shared" si="35"/>
        <v>0</v>
      </c>
      <c r="K1444" s="72"/>
      <c r="L1444" s="73" t="s">
        <v>18</v>
      </c>
      <c r="M1444" s="73" t="s">
        <v>19</v>
      </c>
      <c r="N1444" s="70" t="s">
        <v>342</v>
      </c>
    </row>
    <row r="1445" spans="1:14" s="169" customFormat="1" ht="30.75" customHeight="1">
      <c r="A1445" s="180" t="s">
        <v>167</v>
      </c>
      <c r="B1445" s="77" t="s">
        <v>1006</v>
      </c>
      <c r="C1445" s="70" t="s">
        <v>17</v>
      </c>
      <c r="D1445" s="210"/>
      <c r="E1445" s="210"/>
      <c r="F1445" s="210"/>
      <c r="G1445" s="210"/>
      <c r="H1445" s="406">
        <f>SUM(Tabla132112410[[#This Row],[PRIMER TRIMESTRE]:[CUARTO TRIMESTRE]])</f>
        <v>0</v>
      </c>
      <c r="I1445" s="72">
        <v>114460</v>
      </c>
      <c r="J1445" s="72">
        <f t="shared" si="35"/>
        <v>0</v>
      </c>
      <c r="K1445" s="72"/>
      <c r="L1445" s="73" t="s">
        <v>18</v>
      </c>
      <c r="M1445" s="73" t="s">
        <v>19</v>
      </c>
      <c r="N1445" s="70" t="s">
        <v>342</v>
      </c>
    </row>
    <row r="1446" spans="1:14" s="169" customFormat="1" ht="30.75" customHeight="1">
      <c r="A1446" s="180" t="s">
        <v>167</v>
      </c>
      <c r="B1446" s="77" t="s">
        <v>1007</v>
      </c>
      <c r="C1446" s="70" t="s">
        <v>17</v>
      </c>
      <c r="D1446" s="210"/>
      <c r="E1446" s="210"/>
      <c r="F1446" s="210"/>
      <c r="G1446" s="210"/>
      <c r="H1446" s="406">
        <f>SUM(Tabla132112410[[#This Row],[PRIMER TRIMESTRE]:[CUARTO TRIMESTRE]])</f>
        <v>0</v>
      </c>
      <c r="I1446" s="72">
        <v>164374</v>
      </c>
      <c r="J1446" s="72">
        <f t="shared" si="35"/>
        <v>0</v>
      </c>
      <c r="K1446" s="72"/>
      <c r="L1446" s="73" t="s">
        <v>18</v>
      </c>
      <c r="M1446" s="73" t="s">
        <v>19</v>
      </c>
      <c r="N1446" s="70" t="s">
        <v>342</v>
      </c>
    </row>
    <row r="1447" spans="1:14" s="169" customFormat="1" ht="30.75" customHeight="1">
      <c r="A1447" s="180" t="s">
        <v>167</v>
      </c>
      <c r="B1447" s="77" t="s">
        <v>1008</v>
      </c>
      <c r="C1447" s="70" t="s">
        <v>17</v>
      </c>
      <c r="D1447" s="210"/>
      <c r="E1447" s="210"/>
      <c r="F1447" s="210"/>
      <c r="G1447" s="210"/>
      <c r="H1447" s="406">
        <f>SUM(Tabla132112410[[#This Row],[PRIMER TRIMESTRE]:[CUARTO TRIMESTRE]])</f>
        <v>0</v>
      </c>
      <c r="I1447" s="72">
        <v>24691.5</v>
      </c>
      <c r="J1447" s="72">
        <f t="shared" si="35"/>
        <v>0</v>
      </c>
      <c r="K1447" s="72"/>
      <c r="L1447" s="73" t="s">
        <v>18</v>
      </c>
      <c r="M1447" s="73" t="s">
        <v>19</v>
      </c>
      <c r="N1447" s="70"/>
    </row>
    <row r="1448" spans="1:14" s="169" customFormat="1" ht="30.75" customHeight="1">
      <c r="A1448" s="180" t="s">
        <v>167</v>
      </c>
      <c r="B1448" s="77" t="s">
        <v>1009</v>
      </c>
      <c r="C1448" s="70" t="s">
        <v>17</v>
      </c>
      <c r="D1448" s="210"/>
      <c r="E1448" s="210"/>
      <c r="F1448" s="210"/>
      <c r="G1448" s="210"/>
      <c r="H1448" s="406">
        <f>SUM(Tabla132112410[[#This Row],[PRIMER TRIMESTRE]:[CUARTO TRIMESTRE]])</f>
        <v>0</v>
      </c>
      <c r="I1448" s="72">
        <v>192045</v>
      </c>
      <c r="J1448" s="72">
        <f t="shared" si="35"/>
        <v>0</v>
      </c>
      <c r="K1448" s="72"/>
      <c r="L1448" s="73" t="s">
        <v>18</v>
      </c>
      <c r="M1448" s="73" t="s">
        <v>19</v>
      </c>
      <c r="N1448" s="70" t="s">
        <v>342</v>
      </c>
    </row>
    <row r="1449" spans="1:14" s="169" customFormat="1" ht="30.75" customHeight="1">
      <c r="A1449" s="180" t="s">
        <v>167</v>
      </c>
      <c r="B1449" s="77" t="s">
        <v>1010</v>
      </c>
      <c r="C1449" s="70" t="s">
        <v>17</v>
      </c>
      <c r="D1449" s="210"/>
      <c r="E1449" s="210"/>
      <c r="F1449" s="210"/>
      <c r="G1449" s="210"/>
      <c r="H1449" s="406">
        <f>SUM(Tabla132112410[[#This Row],[PRIMER TRIMESTRE]:[CUARTO TRIMESTRE]])</f>
        <v>0</v>
      </c>
      <c r="I1449" s="72">
        <v>164374</v>
      </c>
      <c r="J1449" s="72">
        <f t="shared" si="35"/>
        <v>0</v>
      </c>
      <c r="K1449" s="72"/>
      <c r="L1449" s="73" t="s">
        <v>18</v>
      </c>
      <c r="M1449" s="73" t="s">
        <v>19</v>
      </c>
      <c r="N1449" s="70" t="s">
        <v>342</v>
      </c>
    </row>
    <row r="1450" spans="1:14" s="169" customFormat="1" ht="30.75" customHeight="1">
      <c r="A1450" s="180" t="s">
        <v>167</v>
      </c>
      <c r="B1450" s="77" t="s">
        <v>1011</v>
      </c>
      <c r="C1450" s="70" t="s">
        <v>17</v>
      </c>
      <c r="D1450" s="210"/>
      <c r="E1450" s="210"/>
      <c r="F1450" s="210"/>
      <c r="G1450" s="210"/>
      <c r="H1450" s="406">
        <f>SUM(Tabla132112410[[#This Row],[PRIMER TRIMESTRE]:[CUARTO TRIMESTRE]])</f>
        <v>0</v>
      </c>
      <c r="I1450" s="72">
        <v>35145.119999999995</v>
      </c>
      <c r="J1450" s="72">
        <f t="shared" si="35"/>
        <v>0</v>
      </c>
      <c r="K1450" s="72"/>
      <c r="L1450" s="73" t="s">
        <v>18</v>
      </c>
      <c r="M1450" s="73" t="s">
        <v>19</v>
      </c>
      <c r="N1450" s="70"/>
    </row>
    <row r="1451" spans="1:14" s="169" customFormat="1" ht="30.75" customHeight="1">
      <c r="A1451" s="180" t="s">
        <v>167</v>
      </c>
      <c r="B1451" s="77" t="s">
        <v>1012</v>
      </c>
      <c r="C1451" s="70" t="s">
        <v>17</v>
      </c>
      <c r="D1451" s="210"/>
      <c r="E1451" s="210"/>
      <c r="F1451" s="210"/>
      <c r="G1451" s="210"/>
      <c r="H1451" s="406">
        <f>SUM(Tabla132112410[[#This Row],[PRIMER TRIMESTRE]:[CUARTO TRIMESTRE]])</f>
        <v>0</v>
      </c>
      <c r="I1451" s="72">
        <v>926960.79999999993</v>
      </c>
      <c r="J1451" s="72">
        <f t="shared" si="35"/>
        <v>0</v>
      </c>
      <c r="K1451" s="72"/>
      <c r="L1451" s="73" t="s">
        <v>18</v>
      </c>
      <c r="M1451" s="73" t="s">
        <v>19</v>
      </c>
      <c r="N1451" s="70" t="s">
        <v>342</v>
      </c>
    </row>
    <row r="1452" spans="1:14" s="169" customFormat="1" ht="30.75" customHeight="1">
      <c r="A1452" s="180" t="s">
        <v>167</v>
      </c>
      <c r="B1452" s="77" t="s">
        <v>1013</v>
      </c>
      <c r="C1452" s="70" t="s">
        <v>17</v>
      </c>
      <c r="D1452" s="210"/>
      <c r="E1452" s="210"/>
      <c r="F1452" s="210"/>
      <c r="G1452" s="210"/>
      <c r="H1452" s="406">
        <f>SUM(Tabla132112410[[#This Row],[PRIMER TRIMESTRE]:[CUARTO TRIMESTRE]])</f>
        <v>0</v>
      </c>
      <c r="I1452" s="72">
        <v>266798</v>
      </c>
      <c r="J1452" s="72">
        <f t="shared" si="35"/>
        <v>0</v>
      </c>
      <c r="K1452" s="72"/>
      <c r="L1452" s="73" t="s">
        <v>18</v>
      </c>
      <c r="M1452" s="73" t="s">
        <v>19</v>
      </c>
      <c r="N1452" s="70" t="s">
        <v>342</v>
      </c>
    </row>
    <row r="1453" spans="1:14" s="169" customFormat="1" ht="30.75" customHeight="1">
      <c r="A1453" s="180" t="s">
        <v>167</v>
      </c>
      <c r="B1453" s="77" t="s">
        <v>1014</v>
      </c>
      <c r="C1453" s="70" t="s">
        <v>17</v>
      </c>
      <c r="D1453" s="210"/>
      <c r="E1453" s="210"/>
      <c r="F1453" s="210"/>
      <c r="G1453" s="210"/>
      <c r="H1453" s="406">
        <f>SUM(Tabla132112410[[#This Row],[PRIMER TRIMESTRE]:[CUARTO TRIMESTRE]])</f>
        <v>0</v>
      </c>
      <c r="I1453" s="72">
        <v>77555.5</v>
      </c>
      <c r="J1453" s="72">
        <f t="shared" si="35"/>
        <v>0</v>
      </c>
      <c r="K1453" s="72"/>
      <c r="L1453" s="73" t="s">
        <v>18</v>
      </c>
      <c r="M1453" s="73" t="s">
        <v>19</v>
      </c>
      <c r="N1453" s="70"/>
    </row>
    <row r="1454" spans="1:14" s="169" customFormat="1" ht="30.75" customHeight="1">
      <c r="A1454" s="180" t="s">
        <v>167</v>
      </c>
      <c r="B1454" s="77" t="s">
        <v>1015</v>
      </c>
      <c r="C1454" s="70" t="s">
        <v>17</v>
      </c>
      <c r="D1454" s="210"/>
      <c r="E1454" s="210"/>
      <c r="F1454" s="210"/>
      <c r="G1454" s="210"/>
      <c r="H1454" s="406">
        <f>SUM(Tabla132112410[[#This Row],[PRIMER TRIMESTRE]:[CUARTO TRIMESTRE]])</f>
        <v>0</v>
      </c>
      <c r="I1454" s="72">
        <v>100595</v>
      </c>
      <c r="J1454" s="72">
        <f t="shared" si="35"/>
        <v>0</v>
      </c>
      <c r="K1454" s="72"/>
      <c r="L1454" s="73" t="s">
        <v>18</v>
      </c>
      <c r="M1454" s="73" t="s">
        <v>19</v>
      </c>
      <c r="N1454" s="70" t="s">
        <v>342</v>
      </c>
    </row>
    <row r="1455" spans="1:14" s="169" customFormat="1" ht="30.75" customHeight="1">
      <c r="A1455" s="180" t="s">
        <v>167</v>
      </c>
      <c r="B1455" s="77" t="s">
        <v>1016</v>
      </c>
      <c r="C1455" s="70" t="s">
        <v>17</v>
      </c>
      <c r="D1455" s="210"/>
      <c r="E1455" s="210"/>
      <c r="F1455" s="210"/>
      <c r="G1455" s="210"/>
      <c r="H1455" s="406">
        <f>SUM(Tabla132112410[[#This Row],[PRIMER TRIMESTRE]:[CUARTO TRIMESTRE]])</f>
        <v>0</v>
      </c>
      <c r="I1455" s="72">
        <v>106173.45</v>
      </c>
      <c r="J1455" s="72">
        <f t="shared" si="35"/>
        <v>0</v>
      </c>
      <c r="K1455" s="72"/>
      <c r="L1455" s="73" t="s">
        <v>18</v>
      </c>
      <c r="M1455" s="73" t="s">
        <v>19</v>
      </c>
      <c r="N1455" s="70" t="s">
        <v>342</v>
      </c>
    </row>
    <row r="1456" spans="1:14" s="169" customFormat="1" ht="30.75" customHeight="1">
      <c r="A1456" s="180" t="s">
        <v>167</v>
      </c>
      <c r="B1456" s="77" t="s">
        <v>1017</v>
      </c>
      <c r="C1456" s="70" t="s">
        <v>17</v>
      </c>
      <c r="D1456" s="210"/>
      <c r="E1456" s="210"/>
      <c r="F1456" s="210"/>
      <c r="G1456" s="210"/>
      <c r="H1456" s="406">
        <f>SUM(Tabla132112410[[#This Row],[PRIMER TRIMESTRE]:[CUARTO TRIMESTRE]])</f>
        <v>0</v>
      </c>
      <c r="I1456" s="72">
        <v>111156</v>
      </c>
      <c r="J1456" s="72">
        <f t="shared" si="35"/>
        <v>0</v>
      </c>
      <c r="K1456" s="72"/>
      <c r="L1456" s="73" t="s">
        <v>18</v>
      </c>
      <c r="M1456" s="73" t="s">
        <v>19</v>
      </c>
      <c r="N1456" s="70" t="s">
        <v>342</v>
      </c>
    </row>
    <row r="1457" spans="1:14" s="169" customFormat="1" ht="44.25" customHeight="1">
      <c r="A1457" s="180" t="s">
        <v>167</v>
      </c>
      <c r="B1457" s="77" t="s">
        <v>1018</v>
      </c>
      <c r="C1457" s="70" t="s">
        <v>17</v>
      </c>
      <c r="D1457" s="210"/>
      <c r="E1457" s="210"/>
      <c r="F1457" s="210"/>
      <c r="G1457" s="210"/>
      <c r="H1457" s="406">
        <f>SUM(Tabla132112410[[#This Row],[PRIMER TRIMESTRE]:[CUARTO TRIMESTRE]])</f>
        <v>0</v>
      </c>
      <c r="I1457" s="72">
        <v>62186</v>
      </c>
      <c r="J1457" s="72">
        <f t="shared" si="35"/>
        <v>0</v>
      </c>
      <c r="K1457" s="72"/>
      <c r="L1457" s="73" t="s">
        <v>18</v>
      </c>
      <c r="M1457" s="73" t="s">
        <v>19</v>
      </c>
      <c r="N1457" s="70" t="s">
        <v>342</v>
      </c>
    </row>
    <row r="1458" spans="1:14" s="169" customFormat="1" ht="30.75" customHeight="1">
      <c r="A1458" s="180" t="s">
        <v>167</v>
      </c>
      <c r="B1458" s="77" t="s">
        <v>1019</v>
      </c>
      <c r="C1458" s="70" t="s">
        <v>17</v>
      </c>
      <c r="D1458" s="210"/>
      <c r="E1458" s="210"/>
      <c r="F1458" s="210"/>
      <c r="G1458" s="210"/>
      <c r="H1458" s="406">
        <f>SUM(Tabla132112410[[#This Row],[PRIMER TRIMESTRE]:[CUARTO TRIMESTRE]])</f>
        <v>0</v>
      </c>
      <c r="I1458" s="72">
        <v>306800</v>
      </c>
      <c r="J1458" s="72">
        <f t="shared" si="35"/>
        <v>0</v>
      </c>
      <c r="K1458" s="72"/>
      <c r="L1458" s="73" t="s">
        <v>18</v>
      </c>
      <c r="M1458" s="73" t="s">
        <v>19</v>
      </c>
      <c r="N1458" s="70" t="s">
        <v>342</v>
      </c>
    </row>
    <row r="1459" spans="1:14" s="169" customFormat="1" ht="52.5" customHeight="1">
      <c r="A1459" s="180" t="s">
        <v>167</v>
      </c>
      <c r="B1459" s="77" t="s">
        <v>1020</v>
      </c>
      <c r="C1459" s="70" t="s">
        <v>17</v>
      </c>
      <c r="D1459" s="210"/>
      <c r="E1459" s="210"/>
      <c r="F1459" s="210"/>
      <c r="G1459" s="210"/>
      <c r="H1459" s="406">
        <f>SUM(Tabla132112410[[#This Row],[PRIMER TRIMESTRE]:[CUARTO TRIMESTRE]])</f>
        <v>0</v>
      </c>
      <c r="I1459" s="72">
        <v>31093</v>
      </c>
      <c r="J1459" s="72">
        <f t="shared" si="35"/>
        <v>0</v>
      </c>
      <c r="K1459" s="72"/>
      <c r="L1459" s="73" t="s">
        <v>18</v>
      </c>
      <c r="M1459" s="73" t="s">
        <v>19</v>
      </c>
      <c r="N1459" s="70" t="s">
        <v>342</v>
      </c>
    </row>
    <row r="1460" spans="1:14" s="169" customFormat="1" ht="90" customHeight="1">
      <c r="A1460" s="180" t="s">
        <v>167</v>
      </c>
      <c r="B1460" s="77" t="s">
        <v>1021</v>
      </c>
      <c r="C1460" s="70" t="s">
        <v>17</v>
      </c>
      <c r="D1460" s="210"/>
      <c r="E1460" s="210"/>
      <c r="F1460" s="210"/>
      <c r="G1460" s="210"/>
      <c r="H1460" s="406">
        <f>SUM(Tabla132112410[[#This Row],[PRIMER TRIMESTRE]:[CUARTO TRIMESTRE]])</f>
        <v>0</v>
      </c>
      <c r="I1460" s="72">
        <v>329220</v>
      </c>
      <c r="J1460" s="72">
        <f t="shared" si="35"/>
        <v>0</v>
      </c>
      <c r="K1460" s="72"/>
      <c r="L1460" s="73" t="s">
        <v>18</v>
      </c>
      <c r="M1460" s="73" t="s">
        <v>19</v>
      </c>
      <c r="N1460" s="70" t="s">
        <v>342</v>
      </c>
    </row>
    <row r="1461" spans="1:14" s="169" customFormat="1" ht="103.5" customHeight="1">
      <c r="A1461" s="180" t="s">
        <v>167</v>
      </c>
      <c r="B1461" s="77" t="s">
        <v>1700</v>
      </c>
      <c r="C1461" s="70" t="s">
        <v>17</v>
      </c>
      <c r="D1461" s="210"/>
      <c r="E1461" s="210"/>
      <c r="F1461" s="210"/>
      <c r="G1461" s="210"/>
      <c r="H1461" s="406">
        <v>0</v>
      </c>
      <c r="I1461" s="72">
        <v>0</v>
      </c>
      <c r="J1461" s="72">
        <v>0</v>
      </c>
      <c r="K1461" s="72"/>
      <c r="L1461" s="73" t="s">
        <v>18</v>
      </c>
      <c r="M1461" s="73" t="s">
        <v>19</v>
      </c>
      <c r="N1461" s="70" t="s">
        <v>342</v>
      </c>
    </row>
    <row r="1462" spans="1:14" s="169" customFormat="1" ht="103.5" customHeight="1">
      <c r="A1462" s="180" t="s">
        <v>167</v>
      </c>
      <c r="B1462" s="77" t="s">
        <v>1762</v>
      </c>
      <c r="C1462" s="70" t="s">
        <v>17</v>
      </c>
      <c r="D1462" s="210"/>
      <c r="E1462" s="210"/>
      <c r="F1462" s="210"/>
      <c r="G1462" s="210"/>
      <c r="H1462" s="406">
        <v>0</v>
      </c>
      <c r="I1462" s="72">
        <v>0</v>
      </c>
      <c r="J1462" s="72">
        <v>0</v>
      </c>
      <c r="K1462" s="72"/>
      <c r="L1462" s="73" t="s">
        <v>18</v>
      </c>
      <c r="M1462" s="73" t="s">
        <v>19</v>
      </c>
      <c r="N1462" s="70"/>
    </row>
    <row r="1463" spans="1:14" s="169" customFormat="1" ht="71.25" customHeight="1">
      <c r="A1463" s="180" t="s">
        <v>167</v>
      </c>
      <c r="B1463" s="77" t="s">
        <v>1022</v>
      </c>
      <c r="C1463" s="70" t="s">
        <v>17</v>
      </c>
      <c r="D1463" s="210"/>
      <c r="E1463" s="210"/>
      <c r="F1463" s="210"/>
      <c r="G1463" s="210"/>
      <c r="H1463" s="406">
        <f>SUM(Tabla132112410[[#This Row],[PRIMER TRIMESTRE]:[CUARTO TRIMESTRE]])</f>
        <v>0</v>
      </c>
      <c r="I1463" s="72">
        <v>235000</v>
      </c>
      <c r="J1463" s="72">
        <f t="shared" si="35"/>
        <v>0</v>
      </c>
      <c r="K1463" s="72"/>
      <c r="L1463" s="73" t="s">
        <v>18</v>
      </c>
      <c r="M1463" s="73" t="s">
        <v>19</v>
      </c>
      <c r="N1463" s="70"/>
    </row>
    <row r="1464" spans="1:14" s="169" customFormat="1" ht="76.5">
      <c r="A1464" s="180" t="s">
        <v>167</v>
      </c>
      <c r="B1464" s="77" t="s">
        <v>1023</v>
      </c>
      <c r="C1464" s="70" t="s">
        <v>17</v>
      </c>
      <c r="D1464" s="210"/>
      <c r="E1464" s="210"/>
      <c r="F1464" s="210"/>
      <c r="G1464" s="210"/>
      <c r="H1464" s="406">
        <f>SUM(Tabla132112410[[#This Row],[PRIMER TRIMESTRE]:[CUARTO TRIMESTRE]])</f>
        <v>0</v>
      </c>
      <c r="I1464" s="72">
        <v>803877.81</v>
      </c>
      <c r="J1464" s="72">
        <f t="shared" si="35"/>
        <v>0</v>
      </c>
      <c r="K1464" s="72"/>
      <c r="L1464" s="73" t="s">
        <v>18</v>
      </c>
      <c r="M1464" s="73" t="s">
        <v>19</v>
      </c>
      <c r="N1464" s="70" t="s">
        <v>342</v>
      </c>
    </row>
    <row r="1465" spans="1:14" s="55" customFormat="1" ht="30.75" customHeight="1">
      <c r="A1465" s="180" t="s">
        <v>167</v>
      </c>
      <c r="B1465" s="77" t="s">
        <v>1418</v>
      </c>
      <c r="C1465" s="70" t="s">
        <v>17</v>
      </c>
      <c r="D1465" s="210"/>
      <c r="E1465" s="210"/>
      <c r="F1465" s="210"/>
      <c r="G1465" s="210"/>
      <c r="H1465" s="406">
        <f>SUM(Tabla132112410[[#This Row],[PRIMER TRIMESTRE]:[CUARTO TRIMESTRE]])</f>
        <v>0</v>
      </c>
      <c r="I1465" s="72">
        <v>265000</v>
      </c>
      <c r="J1465" s="72">
        <f t="shared" si="35"/>
        <v>0</v>
      </c>
      <c r="K1465" s="72"/>
      <c r="L1465" s="73" t="s">
        <v>18</v>
      </c>
      <c r="M1465" s="73" t="s">
        <v>19</v>
      </c>
      <c r="N1465" s="70" t="s">
        <v>342</v>
      </c>
    </row>
    <row r="1466" spans="1:14" s="55" customFormat="1" ht="30.75" customHeight="1">
      <c r="A1466" s="179" t="s">
        <v>167</v>
      </c>
      <c r="B1466" s="76" t="s">
        <v>891</v>
      </c>
      <c r="C1466" s="42"/>
      <c r="D1466" s="237"/>
      <c r="E1466" s="237"/>
      <c r="F1466" s="237"/>
      <c r="G1466" s="237"/>
      <c r="H1466" s="43"/>
      <c r="I1466" s="24"/>
      <c r="J1466" s="24"/>
      <c r="K1466" s="25">
        <f>SUM(J1403:J1465)</f>
        <v>0</v>
      </c>
      <c r="L1466" s="23"/>
      <c r="M1466" s="23"/>
      <c r="N1466" s="42"/>
    </row>
    <row r="1467" spans="1:14" s="55" customFormat="1" ht="18">
      <c r="A1467" s="178" t="s">
        <v>573</v>
      </c>
      <c r="B1467" s="75" t="s">
        <v>574</v>
      </c>
      <c r="C1467" s="39" t="s">
        <v>17</v>
      </c>
      <c r="D1467" s="410"/>
      <c r="E1467" s="410"/>
      <c r="F1467" s="410"/>
      <c r="G1467" s="241"/>
      <c r="H1467" s="51">
        <f>SUM(Tabla132112410[[#This Row],[PRIMER TRIMESTRE]:[CUARTO TRIMESTRE]])</f>
        <v>0</v>
      </c>
      <c r="I1467" s="52">
        <v>500</v>
      </c>
      <c r="J1467" s="52">
        <f>+Tabla132112410[[#This Row],[CANTIDAD TOTAL]]*Tabla132112410[[#This Row],[PRECIO UNITARIO ESTIMADO]]</f>
        <v>0</v>
      </c>
      <c r="K1467" s="50"/>
      <c r="L1467" s="411" t="s">
        <v>18</v>
      </c>
      <c r="M1467" s="411" t="s">
        <v>22</v>
      </c>
      <c r="N1467" s="53"/>
    </row>
    <row r="1468" spans="1:14" s="12" customFormat="1" ht="18">
      <c r="A1468" s="178" t="s">
        <v>573</v>
      </c>
      <c r="B1468" s="75" t="s">
        <v>575</v>
      </c>
      <c r="C1468" s="39" t="s">
        <v>17</v>
      </c>
      <c r="D1468" s="410"/>
      <c r="E1468" s="410"/>
      <c r="F1468" s="410"/>
      <c r="G1468" s="241"/>
      <c r="H1468" s="51">
        <f>SUM(Tabla132112410[[#This Row],[PRIMER TRIMESTRE]:[CUARTO TRIMESTRE]])</f>
        <v>0</v>
      </c>
      <c r="I1468" s="52">
        <v>1000</v>
      </c>
      <c r="J1468" s="52">
        <f>+Tabla132112410[[#This Row],[CANTIDAD TOTAL]]*Tabla132112410[[#This Row],[PRECIO UNITARIO ESTIMADO]]</f>
        <v>0</v>
      </c>
      <c r="K1468" s="50"/>
      <c r="L1468" s="411" t="s">
        <v>18</v>
      </c>
      <c r="M1468" s="411" t="s">
        <v>22</v>
      </c>
      <c r="N1468" s="53"/>
    </row>
    <row r="1469" spans="1:14" s="12" customFormat="1" ht="18">
      <c r="A1469" s="178" t="s">
        <v>573</v>
      </c>
      <c r="B1469" s="75" t="s">
        <v>576</v>
      </c>
      <c r="C1469" s="39" t="s">
        <v>17</v>
      </c>
      <c r="D1469" s="410"/>
      <c r="E1469" s="410"/>
      <c r="F1469" s="410"/>
      <c r="G1469" s="241"/>
      <c r="H1469" s="51">
        <f>SUM(Tabla132112410[[#This Row],[PRIMER TRIMESTRE]:[CUARTO TRIMESTRE]])</f>
        <v>0</v>
      </c>
      <c r="I1469" s="52">
        <v>2000</v>
      </c>
      <c r="J1469" s="52">
        <f>+Tabla132112410[[#This Row],[CANTIDAD TOTAL]]*Tabla132112410[[#This Row],[PRECIO UNITARIO ESTIMADO]]</f>
        <v>0</v>
      </c>
      <c r="K1469" s="50"/>
      <c r="L1469" s="16" t="s">
        <v>18</v>
      </c>
      <c r="M1469" s="411" t="s">
        <v>22</v>
      </c>
      <c r="N1469" s="53"/>
    </row>
    <row r="1470" spans="1:14" s="12" customFormat="1" ht="18">
      <c r="A1470" s="178" t="s">
        <v>573</v>
      </c>
      <c r="B1470" s="75" t="s">
        <v>1331</v>
      </c>
      <c r="C1470" s="39" t="s">
        <v>17</v>
      </c>
      <c r="D1470" s="236"/>
      <c r="E1470" s="236"/>
      <c r="F1470" s="236"/>
      <c r="G1470" s="236"/>
      <c r="H1470" s="417">
        <f>SUM(Tabla132112410[[#This Row],[PRIMER TRIMESTRE]:[CUARTO TRIMESTRE]])</f>
        <v>0</v>
      </c>
      <c r="I1470" s="17">
        <v>40000</v>
      </c>
      <c r="J1470" s="17">
        <f t="shared" ref="J1470:J1479" si="36">+H1470*I1470</f>
        <v>0</v>
      </c>
      <c r="K1470" s="17"/>
      <c r="L1470" s="411" t="s">
        <v>18</v>
      </c>
      <c r="M1470" s="411" t="s">
        <v>22</v>
      </c>
      <c r="N1470" s="39"/>
    </row>
    <row r="1471" spans="1:14" s="12" customFormat="1" ht="18">
      <c r="A1471" s="178" t="s">
        <v>573</v>
      </c>
      <c r="B1471" s="75" t="s">
        <v>1751</v>
      </c>
      <c r="C1471" s="39" t="s">
        <v>17</v>
      </c>
      <c r="D1471" s="236"/>
      <c r="E1471" s="236"/>
      <c r="F1471" s="236"/>
      <c r="G1471" s="236"/>
      <c r="H1471" s="417">
        <v>0</v>
      </c>
      <c r="I1471" s="17"/>
      <c r="J1471" s="17"/>
      <c r="K1471" s="17"/>
      <c r="L1471" s="411" t="s">
        <v>18</v>
      </c>
      <c r="M1471" s="411" t="s">
        <v>22</v>
      </c>
      <c r="N1471" s="39"/>
    </row>
    <row r="1472" spans="1:14" s="12" customFormat="1" ht="18">
      <c r="A1472" s="178" t="s">
        <v>573</v>
      </c>
      <c r="B1472" s="75" t="s">
        <v>1747</v>
      </c>
      <c r="C1472" s="39" t="s">
        <v>17</v>
      </c>
      <c r="D1472" s="236"/>
      <c r="E1472" s="236"/>
      <c r="F1472" s="236"/>
      <c r="G1472" s="236"/>
      <c r="H1472" s="417">
        <v>0</v>
      </c>
      <c r="I1472" s="17"/>
      <c r="J1472" s="17"/>
      <c r="K1472" s="17"/>
      <c r="L1472" s="411" t="s">
        <v>18</v>
      </c>
      <c r="M1472" s="411" t="s">
        <v>22</v>
      </c>
      <c r="N1472" s="39"/>
    </row>
    <row r="1473" spans="1:14" s="12" customFormat="1" ht="18">
      <c r="A1473" s="178" t="s">
        <v>573</v>
      </c>
      <c r="B1473" s="75" t="s">
        <v>1332</v>
      </c>
      <c r="C1473" s="39" t="s">
        <v>17</v>
      </c>
      <c r="D1473" s="236"/>
      <c r="E1473" s="236"/>
      <c r="F1473" s="236"/>
      <c r="G1473" s="236"/>
      <c r="H1473" s="51">
        <f>SUM(Tabla132112410[[#This Row],[PRIMER TRIMESTRE]:[CUARTO TRIMESTRE]])</f>
        <v>0</v>
      </c>
      <c r="I1473" s="17">
        <v>30000</v>
      </c>
      <c r="J1473" s="17">
        <f t="shared" si="36"/>
        <v>0</v>
      </c>
      <c r="K1473" s="17"/>
      <c r="L1473" s="411" t="s">
        <v>18</v>
      </c>
      <c r="M1473" s="411" t="s">
        <v>22</v>
      </c>
      <c r="N1473" s="39"/>
    </row>
    <row r="1474" spans="1:14" s="12" customFormat="1" ht="18">
      <c r="A1474" s="178" t="s">
        <v>573</v>
      </c>
      <c r="B1474" s="75" t="s">
        <v>1749</v>
      </c>
      <c r="C1474" s="39" t="s">
        <v>17</v>
      </c>
      <c r="D1474" s="236"/>
      <c r="E1474" s="236"/>
      <c r="F1474" s="236"/>
      <c r="G1474" s="236"/>
      <c r="H1474" s="416">
        <f>Tabla132112410[[#This Row],[CUARTO TRIMESTRE]]+Tabla132112410[[#This Row],[TERCER TRIMESTRE]]+Tabla132112410[[#This Row],[SEGUNDO TRIMESTRE]]+Tabla132112410[[#This Row],[PRIMER TRIMESTRE]]</f>
        <v>0</v>
      </c>
      <c r="I1474" s="17">
        <v>75000</v>
      </c>
      <c r="J1474" s="17">
        <f>Tabla132112410[[#This Row],[PRECIO UNITARIO ESTIMADO]]*Tabla132112410[[#This Row],[CANTIDAD TOTAL]]</f>
        <v>0</v>
      </c>
      <c r="K1474" s="17"/>
      <c r="L1474" s="16" t="s">
        <v>18</v>
      </c>
      <c r="M1474" s="16" t="s">
        <v>22</v>
      </c>
      <c r="N1474" s="39"/>
    </row>
    <row r="1475" spans="1:14" s="12" customFormat="1" ht="18">
      <c r="A1475" s="178" t="s">
        <v>573</v>
      </c>
      <c r="B1475" s="75" t="s">
        <v>1333</v>
      </c>
      <c r="C1475" s="39" t="s">
        <v>17</v>
      </c>
      <c r="D1475" s="236"/>
      <c r="E1475" s="236"/>
      <c r="F1475" s="236"/>
      <c r="G1475" s="236"/>
      <c r="H1475" s="51">
        <f>SUM(Tabla132112410[[#This Row],[PRIMER TRIMESTRE]:[CUARTO TRIMESTRE]])</f>
        <v>0</v>
      </c>
      <c r="I1475" s="17">
        <v>1500000</v>
      </c>
      <c r="J1475" s="17">
        <f>+H1475*I1475</f>
        <v>0</v>
      </c>
      <c r="K1475" s="17"/>
      <c r="L1475" s="16" t="s">
        <v>18</v>
      </c>
      <c r="M1475" s="411" t="s">
        <v>22</v>
      </c>
      <c r="N1475" s="39"/>
    </row>
    <row r="1476" spans="1:14" s="12" customFormat="1" ht="18">
      <c r="A1476" s="178" t="s">
        <v>573</v>
      </c>
      <c r="B1476" s="75" t="s">
        <v>1750</v>
      </c>
      <c r="C1476" s="39" t="s">
        <v>17</v>
      </c>
      <c r="D1476" s="236"/>
      <c r="E1476" s="236"/>
      <c r="F1476" s="236"/>
      <c r="G1476" s="236"/>
      <c r="H1476" s="416">
        <v>0</v>
      </c>
      <c r="I1476" s="17"/>
      <c r="J1476" s="17">
        <f>Tabla132112410[[#This Row],[PRECIO UNITARIO ESTIMADO]]*Tabla132112410[[#This Row],[CANTIDAD TOTAL]]</f>
        <v>0</v>
      </c>
      <c r="K1476" s="17"/>
      <c r="L1476" s="16" t="s">
        <v>18</v>
      </c>
      <c r="M1476" s="411" t="s">
        <v>22</v>
      </c>
      <c r="N1476" s="39"/>
    </row>
    <row r="1477" spans="1:14" s="12" customFormat="1" ht="18">
      <c r="A1477" s="178" t="s">
        <v>573</v>
      </c>
      <c r="B1477" s="75" t="s">
        <v>1464</v>
      </c>
      <c r="C1477" s="39" t="s">
        <v>17</v>
      </c>
      <c r="D1477" s="236"/>
      <c r="E1477" s="236"/>
      <c r="F1477" s="236"/>
      <c r="G1477" s="236"/>
      <c r="H1477" s="51">
        <f>SUM(Tabla132112410[[#This Row],[PRIMER TRIMESTRE]:[CUARTO TRIMESTRE]])</f>
        <v>0</v>
      </c>
      <c r="I1477" s="17">
        <v>87000</v>
      </c>
      <c r="J1477" s="17">
        <f t="shared" si="36"/>
        <v>0</v>
      </c>
      <c r="K1477" s="17"/>
      <c r="L1477" s="16" t="s">
        <v>18</v>
      </c>
      <c r="M1477" s="411" t="s">
        <v>22</v>
      </c>
      <c r="N1477" s="39"/>
    </row>
    <row r="1478" spans="1:14" s="64" customFormat="1" ht="18">
      <c r="A1478" s="178" t="s">
        <v>573</v>
      </c>
      <c r="B1478" s="75" t="s">
        <v>1465</v>
      </c>
      <c r="C1478" s="39" t="s">
        <v>17</v>
      </c>
      <c r="D1478" s="236"/>
      <c r="E1478" s="236"/>
      <c r="F1478" s="236"/>
      <c r="G1478" s="236"/>
      <c r="H1478" s="51">
        <f>SUM(Tabla132112410[[#This Row],[PRIMER TRIMESTRE]:[CUARTO TRIMESTRE]])</f>
        <v>0</v>
      </c>
      <c r="I1478" s="17">
        <v>15</v>
      </c>
      <c r="J1478" s="17">
        <f t="shared" si="36"/>
        <v>0</v>
      </c>
      <c r="K1478" s="17"/>
      <c r="L1478" s="16" t="s">
        <v>18</v>
      </c>
      <c r="M1478" s="411" t="s">
        <v>22</v>
      </c>
      <c r="N1478" s="39"/>
    </row>
    <row r="1479" spans="1:14" s="34" customFormat="1" ht="24" thickBot="1">
      <c r="A1479" s="178" t="s">
        <v>573</v>
      </c>
      <c r="B1479" s="75" t="s">
        <v>1419</v>
      </c>
      <c r="C1479" s="39" t="s">
        <v>17</v>
      </c>
      <c r="D1479" s="236"/>
      <c r="E1479" s="236"/>
      <c r="F1479" s="236"/>
      <c r="G1479" s="236"/>
      <c r="H1479" s="51">
        <f>SUM(Tabla132112410[[#This Row],[PRIMER TRIMESTRE]:[CUARTO TRIMESTRE]])</f>
        <v>0</v>
      </c>
      <c r="I1479" s="17">
        <v>6000000</v>
      </c>
      <c r="J1479" s="17">
        <f t="shared" si="36"/>
        <v>0</v>
      </c>
      <c r="K1479" s="17"/>
      <c r="L1479" s="16" t="s">
        <v>18</v>
      </c>
      <c r="M1479" s="411" t="s">
        <v>22</v>
      </c>
      <c r="N1479" s="39"/>
    </row>
    <row r="1480" spans="1:14" ht="30.75" customHeight="1">
      <c r="A1480" s="181" t="s">
        <v>573</v>
      </c>
      <c r="B1480" s="76"/>
      <c r="C1480" s="62"/>
      <c r="D1480" s="418"/>
      <c r="E1480" s="418"/>
      <c r="F1480" s="418"/>
      <c r="G1480" s="418"/>
      <c r="H1480" s="59"/>
      <c r="I1480" s="288"/>
      <c r="J1480" s="419"/>
      <c r="K1480" s="25">
        <f>+SUM($J$1467:$J$1479)</f>
        <v>0</v>
      </c>
      <c r="L1480" s="61"/>
      <c r="M1480" s="61"/>
      <c r="N1480" s="62"/>
    </row>
    <row r="1481" spans="1:14" ht="30.75" customHeight="1" thickBot="1">
      <c r="A1481" s="182"/>
      <c r="B1481" s="83" t="s">
        <v>1912</v>
      </c>
      <c r="C1481" s="47"/>
      <c r="D1481" s="242"/>
      <c r="E1481" s="242"/>
      <c r="F1481" s="242"/>
      <c r="G1481" s="242"/>
      <c r="H1481" s="48"/>
      <c r="I1481" s="35"/>
      <c r="J1481" s="183">
        <f>SUM(J13:J1480)</f>
        <v>3952711.6978896903</v>
      </c>
      <c r="K1481" s="183">
        <f>SUM(K13:K1480)</f>
        <v>3952711.6978896884</v>
      </c>
      <c r="L1481" s="34"/>
      <c r="M1481" s="34"/>
      <c r="N1481" s="47"/>
    </row>
    <row r="1484" spans="1:14" ht="18">
      <c r="K1484" s="250"/>
    </row>
    <row r="1488" spans="1:14" ht="18">
      <c r="C1488" s="399"/>
      <c r="D1488" s="399"/>
      <c r="E1488" s="399"/>
      <c r="F1488" s="399"/>
      <c r="G1488" s="399"/>
      <c r="H1488" s="399"/>
      <c r="N1488" s="399"/>
    </row>
    <row r="1489" spans="3:14" ht="18">
      <c r="C1489" s="399"/>
      <c r="D1489" s="399"/>
      <c r="E1489" s="399"/>
      <c r="F1489" s="399"/>
      <c r="G1489" s="399"/>
      <c r="H1489" s="399"/>
      <c r="N1489" s="399"/>
    </row>
    <row r="1490" spans="3:14" ht="18">
      <c r="C1490" s="399"/>
      <c r="D1490" s="399"/>
      <c r="E1490" s="399"/>
      <c r="F1490" s="399"/>
      <c r="G1490" s="399"/>
      <c r="H1490" s="399"/>
      <c r="N1490" s="399"/>
    </row>
    <row r="1491" spans="3:14" ht="18">
      <c r="C1491" s="399"/>
      <c r="D1491" s="399"/>
      <c r="E1491" s="399"/>
      <c r="F1491" s="399"/>
      <c r="G1491" s="399"/>
      <c r="H1491" s="399"/>
      <c r="N1491" s="399"/>
    </row>
    <row r="1492" spans="3:14" ht="18">
      <c r="C1492" s="399"/>
      <c r="D1492" s="399"/>
      <c r="E1492" s="399"/>
      <c r="F1492" s="399"/>
      <c r="G1492" s="399"/>
      <c r="H1492" s="399"/>
      <c r="N1492" s="399"/>
    </row>
    <row r="1493" spans="3:14" ht="18">
      <c r="C1493" s="399"/>
      <c r="D1493" s="399"/>
      <c r="E1493" s="399"/>
      <c r="F1493" s="399"/>
      <c r="G1493" s="399"/>
      <c r="H1493" s="399"/>
      <c r="N1493" s="399"/>
    </row>
    <row r="1494" spans="3:14" ht="18">
      <c r="C1494" s="399"/>
      <c r="D1494" s="399"/>
      <c r="E1494" s="399"/>
      <c r="F1494" s="399"/>
      <c r="G1494" s="399"/>
      <c r="H1494" s="399"/>
      <c r="N1494" s="399"/>
    </row>
    <row r="1495" spans="3:14" ht="18">
      <c r="C1495" s="399"/>
      <c r="D1495" s="399"/>
      <c r="E1495" s="399"/>
      <c r="F1495" s="399"/>
      <c r="G1495" s="399"/>
      <c r="H1495" s="399"/>
      <c r="N1495" s="399"/>
    </row>
    <row r="1496" spans="3:14" ht="18">
      <c r="C1496" s="399"/>
      <c r="D1496" s="399"/>
      <c r="E1496" s="399"/>
      <c r="F1496" s="399"/>
      <c r="G1496" s="399"/>
      <c r="H1496" s="399"/>
      <c r="N1496" s="399"/>
    </row>
    <row r="1497" spans="3:14" ht="18"/>
  </sheetData>
  <mergeCells count="5">
    <mergeCell ref="A1:N1"/>
    <mergeCell ref="A3:A5"/>
    <mergeCell ref="A6:N6"/>
    <mergeCell ref="A7:B7"/>
    <mergeCell ref="D9:G9"/>
  </mergeCells>
  <dataValidations count="12">
    <dataValidation allowBlank="1" showInputMessage="1" showErrorMessage="1" promptTitle="PACC" prompt="Digite la cantidad requerida en este período._x000a_" sqref="F673:G676 D1470:G1479 F814:G821 E703:E761 E407:F407 F774:G776 F661:G671 F830:G830 D124:G126 E129:G139 D203:G203 E149:G149 D1322:E1322 D1350:G1353 D414:E414 F1144:G1144 F1219:F1307 E835:E871 D628:G628 D633:G633 F835:G843 E101:G101 F875:F916 F873:G873 D832:G834 D201:E202 E702:G702 E629:G632 F222:G224 D872:G872 E873:E906 E217:F221 F719:G730 F144:G148 E1467:G1469 E351:G353 D15:F15 D1141:E1145 E537:G558 F349:G350 E1321 E688:G690 E1157:E1179 E14:F14 D150:E159 D1307:E1310 E1324:G1325 F235:G241 E829:E831 D1202:E1202 F140:G140 E763:E776 D1121:D1135 D1505:E1505 G1498:G1499 E1498:E1504 F1500:G1505 D1313:E1320 H1440 H1427 F1498 E785:E827 F1153:G1157 E661:E687 D1153:E1156 D408:D413 D1199:E1199 E762:G762 F1309:F1321 E1482:G1497 F488:F536 F1424:G1429 D1148:E1150 D1096:G1099 D1427:E1429 F175:G188 E160:F174 F559:F589 F605:G627 F408:F413 D1506:G1515 F204:F216 D1481:G1481 F1134 F845:G871 F1141:F1143 D36:G43 G1063:G1077 E1151:E1152 G1219:G1322 F354:F401 H1302 D474:D477 D1138:D1140 D875:D878 D176:D195 E242:F330 D880:D889 F402:G402 F463:F482 F1100:G1120 F418:G457 F1078:G1095 D1342:E1342 F1323:G1323 D22:G22 E1125:E1140 E347:E348 E1311:E1312 E478:E483 E1424:E1426 E782 D907:E1053 E1083:E1095 E1146:E1147 E331:E333 E691:E701 E354:E373 E1078 E1081 E1101:E1121 D828:G828 D1326:G1341 D1343:G1345 E415:G416 E418:E473 E394:E403 D1430:G1466 E1480:G1480 D1396:G1423 E104:G121 E1354:G1395 D196:G200 E634:G659 E225:G234 E563:E627 E175:E195 E1196:G1198 E1203:G1213 D1180:G1188 D1194:G1195 E1346:G1349 D1482:D1499 E95:G98 E141:G143 F683:G685 G672 G677:G682 G831 G686:G687 G1342 G844 G1145:G1146 G13:G15 G347:G348 G478:G483 G559:G604 G763:G773 G458:G473 G731:G761 G204:G221 G703:G718 G829 G691:G701 G822:G827 G150:G159 G403:G414 E1189:G1193 G782 G1152 F1147:G1151 G1199 G1202 G189:G195 G201:G202 G381 G242:G333 G394:G397 G1121:G1143 G785:G813 E1215:E1306 D1063:E1077 D1054:G1062 D17:G20 F1215:G1218 F995:F996 G874:G1053 G1158:G1179 E1200:G1201"/>
    <dataValidation allowBlank="1" showInputMessage="1" showErrorMessage="1" promptTitle="PACC" prompt="La cantidad total resultará de la suma de las cantidades requeridas en cada trimestre. " sqref="G382:G393 I621:I627 F458:F462 H1428:H1439 I581:I589 I605:I619 G398:G401 G354:G380 H1303:H1426 H13:H43 H45:H1301 H1441:H1515"/>
    <dataValidation allowBlank="1" showInputMessage="1" showErrorMessage="1" promptTitle="PACC" prompt="Este valor se calculará automáticamente, resultado de la multiplicación de la cantidad total por el precio unitario estimado." sqref="J408:J413 J283:J299 J176:J177 J414:K414 I1420:I1422 K22:K23 J830:K830 J629:K633 J201:K234 J719:K721 J1511:K1515 J831:J834 J354:J399 J400:K407 J242:K282 J235:J241 I1423:J1423 I1499:K1499 J1500:J1505 I1506:J1508 J1196 I1337:I1338 J1194:K1195 J1148:J1193 J1202:K1202 J835:K1096 J124:J126 J722:J829 J1509:J1510 J1097:J1106 J1197:K1199 K56:K58 K581:K589 K605:K627 J428:K457 J178:K195 J59:K123 J196:J200 J1403:K1419 J127:K175 K27:K35 K45 J1391:J1402 J415:J427 J1107:K1147 J1481:J1498 J300:K353 J1424:J1477 J1479 K640:K670 J1203:J1302 J45:J58 J458:J628 J1200:J1201 J13:K21 J1355:J1385 J22:J43 J1303:K1354 K1152:K1179 J634:J718"/>
    <dataValidation allowBlank="1" showInputMessage="1" showErrorMessage="1" promptTitle="PACC" prompt="Digite el precio unitario estimado._x000a_" sqref="I1498 I1505 I1424:I1440 I1509:I1515 I590:I604 I1480:J1480 I1403:I1419 I1467:I1469 I45:I195 I201:I580 I13:I35 I1339:I1395 I628:I1336"/>
    <dataValidation allowBlank="1" showInputMessage="1" showErrorMessage="1" promptTitle="PACC" prompt="Digite la fuente de financiamiento del procedimiento de referencia." sqref="N1421:N1422 N1506:N1508 M1509:M1515 M1424:M1505 N605:N627 M586:M604 N587 N585 M13:M584 M631:M1419"/>
    <dataValidation allowBlank="1" showInputMessage="1" showErrorMessage="1" promptTitle="PACC" prompt="Este valor se calculará sumando los costos totales que posean el mismo Código de Catálogo de Bienes y Servicios." sqref="K24:K26 J1420:J1422 K408:K413 K283:K299 K176:K177 K628:L628 K46:K55 K831:K834 K634:K639 L702 K354:K399 K458:K580 K235:K241 K1196 K1500:K1505 I1500:I1504 K1200:K1201 K124:K126 K1509:K1510 L585 K590:K604 K1148:K1151 K1097:K1106 K196:K200 I196:I200 K1391:K1402 I36:I43 I1396:I1402 I1441:I1466 K415:K427 K671:K718 K1203:K1302 J1478 L674:L682 I1481:I1497 K722:K829 L605:L627 K36:K43 L603 K1355:K1385 K1424:K1498 I1470:I1479 K1180:K1193"/>
    <dataValidation allowBlank="1" showInputMessage="1" showErrorMessage="1" promptTitle="PACC" prompt="Digite las observaciones que considere." sqref="N1509:N1515 N588:N604 N586 N45:N584 N13:N43 N1423:N1505 N628:N1420"/>
    <dataValidation allowBlank="1" showInputMessage="1" showErrorMessage="1" promptTitle="PACC" prompt="Digite la unidad de medida._x000a__x000a_" sqref="E559:E562 C586:C604 C13:C561 C1391:C1515 C628:C1385"/>
    <dataValidation allowBlank="1" showInputMessage="1" showErrorMessage="1" promptTitle="PACC" prompt="Digite la descripción de la compra o contratación." sqref="B1498:B1515 B1480 B1403:B1440 B1467:B1469 B44:B195 B13:B35 A77 B201:B975 B1296:B1395 B1017:B1075 B1077:B1294"/>
    <dataValidation type="list" allowBlank="1" showInputMessage="1" showErrorMessage="1" promptTitle="PACC" prompt="Seleccione el Código de Bienes y Servicios._x000a_" sqref="A59:A76 C1386:C1390 J1386:K1390 A13:A45 A1506:A1515 A78:A1498">
      <formula1>#REF!</formula1>
    </dataValidation>
    <dataValidation type="list" allowBlank="1" showInputMessage="1" showErrorMessage="1" promptTitle="PACC" prompt="Seleccione el procedimiento de selección." sqref="K1420:K1423 K1506:K1508 L683:L701 L604 L1509:L1515 L629:L673 L586:L602 L13:L43 L45:L584 M585 M605:M630 L703:L1505">
      <formula1>#REF!</formula1>
    </dataValidation>
    <dataValidation type="list" allowBlank="1" showInputMessage="1" showErrorMessage="1" promptTitle="PACC" prompt="Seleccione el Código de Bienes y Servicios._x000a_" sqref="A46:A58">
      <formula1>#REF!</formula1>
    </dataValidation>
  </dataValidation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Q1922"/>
  <sheetViews>
    <sheetView view="pageBreakPreview" topLeftCell="C10" zoomScaleNormal="55" zoomScaleSheetLayoutView="100" workbookViewId="0">
      <pane ySplit="3" topLeftCell="A28" activePane="bottomLeft" state="frozen"/>
      <selection activeCell="C10" sqref="C10"/>
      <selection pane="bottomLeft" activeCell="D32" sqref="D32"/>
    </sheetView>
  </sheetViews>
  <sheetFormatPr baseColWidth="10" defaultColWidth="11.42578125" defaultRowHeight="30.75" customHeight="1"/>
  <cols>
    <col min="1" max="1" width="2.28515625" style="399" customWidth="1"/>
    <col min="2" max="2" width="33.7109375" style="399" customWidth="1"/>
    <col min="3" max="3" width="47.7109375" style="399" customWidth="1"/>
    <col min="4" max="4" width="10.5703125" style="37" customWidth="1"/>
    <col min="5" max="5" width="7.42578125" style="435" customWidth="1"/>
    <col min="6" max="6" width="8" style="435" customWidth="1"/>
    <col min="7" max="7" width="7.5703125" style="435" customWidth="1"/>
    <col min="8" max="8" width="9.7109375" style="435" customWidth="1"/>
    <col min="9" max="9" width="15.7109375" style="436" customWidth="1"/>
    <col min="10" max="10" width="21.85546875" style="399" customWidth="1"/>
    <col min="11" max="11" width="22" style="399" customWidth="1"/>
    <col min="12" max="12" width="32.42578125" style="399" customWidth="1"/>
    <col min="13" max="13" width="32.140625" style="399" customWidth="1"/>
    <col min="14" max="14" width="25.85546875" style="399" customWidth="1"/>
    <col min="15" max="15" width="12.5703125" style="37" customWidth="1"/>
    <col min="16" max="16384" width="11.42578125" style="399"/>
  </cols>
  <sheetData>
    <row r="1" spans="2:17" ht="18"/>
    <row r="2" spans="2:17">
      <c r="B2" s="437" t="s">
        <v>0</v>
      </c>
      <c r="O2" s="438"/>
    </row>
    <row r="3" spans="2:17" ht="30.75" customHeight="1">
      <c r="B3" s="554"/>
      <c r="D3" s="580" t="s">
        <v>1351</v>
      </c>
      <c r="E3" s="580"/>
      <c r="F3" s="580"/>
      <c r="G3" s="580"/>
      <c r="H3" s="580"/>
      <c r="I3" s="580"/>
      <c r="J3" s="580"/>
      <c r="K3" s="580"/>
      <c r="L3" s="580"/>
      <c r="M3" s="580"/>
      <c r="N3" s="439"/>
      <c r="O3" s="439"/>
      <c r="P3" s="440"/>
      <c r="Q3" s="440"/>
    </row>
    <row r="4" spans="2:17" ht="42.75" customHeight="1">
      <c r="B4" s="554"/>
      <c r="C4" s="10"/>
      <c r="D4" s="581" t="s">
        <v>1352</v>
      </c>
      <c r="E4" s="581"/>
      <c r="F4" s="581"/>
      <c r="G4" s="581"/>
      <c r="H4" s="581"/>
      <c r="I4" s="581"/>
      <c r="J4" s="581"/>
      <c r="K4" s="581"/>
      <c r="L4" s="581"/>
      <c r="M4" s="581"/>
      <c r="N4" s="441"/>
      <c r="O4" s="441"/>
    </row>
    <row r="5" spans="2:17" ht="35.25" customHeight="1">
      <c r="B5" s="554"/>
      <c r="C5" s="12"/>
      <c r="D5" s="582" t="s">
        <v>2037</v>
      </c>
      <c r="E5" s="582"/>
      <c r="F5" s="582"/>
      <c r="G5" s="582"/>
      <c r="H5" s="582"/>
      <c r="I5" s="582"/>
      <c r="J5" s="582"/>
      <c r="K5" s="582"/>
      <c r="L5" s="582"/>
      <c r="M5" s="582"/>
      <c r="N5" s="442"/>
      <c r="O5" s="442"/>
    </row>
    <row r="6" spans="2:17" ht="4.5" customHeight="1">
      <c r="C6" s="12"/>
      <c r="D6" s="38"/>
      <c r="E6" s="443"/>
      <c r="F6" s="443"/>
      <c r="G6" s="443"/>
      <c r="H6" s="443"/>
      <c r="I6" s="444"/>
      <c r="J6" s="12"/>
      <c r="K6" s="12"/>
      <c r="L6" s="12"/>
      <c r="O6" s="39"/>
    </row>
    <row r="7" spans="2:17" s="174" customFormat="1" ht="29.25" customHeight="1">
      <c r="D7" s="582" t="s">
        <v>1841</v>
      </c>
      <c r="E7" s="582"/>
      <c r="F7" s="582"/>
      <c r="G7" s="582"/>
      <c r="H7" s="582"/>
      <c r="I7" s="582"/>
      <c r="J7" s="582"/>
      <c r="K7" s="582"/>
      <c r="L7" s="582"/>
      <c r="M7" s="582"/>
      <c r="N7" s="442"/>
      <c r="O7" s="442"/>
    </row>
    <row r="8" spans="2:17" s="172" customFormat="1" ht="16.5" thickBot="1">
      <c r="D8" s="39"/>
      <c r="E8" s="445"/>
      <c r="F8" s="445"/>
      <c r="G8" s="445"/>
      <c r="H8" s="445"/>
      <c r="I8" s="446"/>
      <c r="J8" s="16"/>
      <c r="K8" s="16"/>
      <c r="L8" s="16"/>
      <c r="O8" s="173"/>
    </row>
    <row r="9" spans="2:17" ht="18.75" thickBot="1">
      <c r="D9" s="1"/>
      <c r="E9" s="583" t="s">
        <v>2</v>
      </c>
      <c r="F9" s="584"/>
      <c r="G9" s="584"/>
      <c r="H9" s="585"/>
      <c r="I9" s="447"/>
      <c r="J9" s="1"/>
      <c r="K9" s="1"/>
      <c r="L9" s="1"/>
    </row>
    <row r="10" spans="2:17" s="14" customFormat="1" ht="30" customHeight="1">
      <c r="B10" s="579" t="s">
        <v>2038</v>
      </c>
      <c r="C10" s="579"/>
      <c r="D10" s="579"/>
      <c r="E10" s="579"/>
      <c r="F10" s="579"/>
      <c r="G10" s="579"/>
      <c r="H10" s="579"/>
      <c r="I10" s="579"/>
    </row>
    <row r="11" spans="2:17" s="12" customFormat="1" ht="18.75" customHeight="1" thickBot="1">
      <c r="D11" s="38"/>
      <c r="E11" s="443"/>
      <c r="F11" s="443"/>
      <c r="G11" s="443"/>
      <c r="H11" s="443"/>
      <c r="I11" s="444"/>
    </row>
    <row r="12" spans="2:17" s="12" customFormat="1" ht="102" customHeight="1">
      <c r="B12" s="2" t="s">
        <v>3</v>
      </c>
      <c r="C12" s="3" t="s">
        <v>4</v>
      </c>
      <c r="D12" s="3" t="s">
        <v>5</v>
      </c>
      <c r="E12" s="448" t="s">
        <v>6</v>
      </c>
      <c r="F12" s="448" t="s">
        <v>7</v>
      </c>
      <c r="G12" s="448" t="s">
        <v>8</v>
      </c>
      <c r="H12" s="448" t="s">
        <v>9</v>
      </c>
      <c r="I12" s="449" t="s">
        <v>10</v>
      </c>
      <c r="J12" s="3" t="s">
        <v>11</v>
      </c>
      <c r="K12" s="3" t="s">
        <v>12</v>
      </c>
      <c r="L12" s="3" t="s">
        <v>442</v>
      </c>
      <c r="M12" s="450" t="s">
        <v>13</v>
      </c>
      <c r="N12" s="3" t="s">
        <v>14</v>
      </c>
      <c r="O12" s="3" t="s">
        <v>305</v>
      </c>
    </row>
    <row r="13" spans="2:17" s="12" customFormat="1" ht="25.5">
      <c r="B13" s="372" t="s">
        <v>16</v>
      </c>
      <c r="C13" s="77" t="s">
        <v>427</v>
      </c>
      <c r="D13" s="177" t="s">
        <v>17</v>
      </c>
      <c r="E13" s="370">
        <v>214</v>
      </c>
      <c r="F13" s="370">
        <v>214</v>
      </c>
      <c r="G13" s="370">
        <v>214</v>
      </c>
      <c r="H13" s="370">
        <v>214</v>
      </c>
      <c r="I13" s="363">
        <f>SUM(Tabla132112412[[#This Row],[PRIMER TRIMESTRE]:[CUARTO TRIMESTRE]])</f>
        <v>856</v>
      </c>
      <c r="J13" s="175">
        <v>4568.04</v>
      </c>
      <c r="K13" s="175">
        <f>+Tabla132112412[[#This Row],[CANTIDAD TOTAL]]*Tabla132112412[[#This Row],[PRECIO UNITARIO ESTIMADO]]</f>
        <v>3910242.2399999998</v>
      </c>
      <c r="L13" s="451"/>
      <c r="M13" s="77" t="s">
        <v>18</v>
      </c>
      <c r="N13" s="77" t="s">
        <v>19</v>
      </c>
      <c r="O13" s="177"/>
    </row>
    <row r="14" spans="2:17" s="12" customFormat="1" ht="25.5">
      <c r="B14" s="372" t="s">
        <v>16</v>
      </c>
      <c r="C14" s="77" t="s">
        <v>426</v>
      </c>
      <c r="D14" s="177" t="s">
        <v>17</v>
      </c>
      <c r="E14" s="370">
        <v>57</v>
      </c>
      <c r="F14" s="370">
        <v>78</v>
      </c>
      <c r="G14" s="370">
        <v>78</v>
      </c>
      <c r="H14" s="370">
        <v>63</v>
      </c>
      <c r="I14" s="363">
        <f>SUM(Tabla132112412[[#This Row],[PRIMER TRIMESTRE]:[CUARTO TRIMESTRE]])</f>
        <v>276</v>
      </c>
      <c r="J14" s="175">
        <v>33696</v>
      </c>
      <c r="K14" s="175">
        <f>+Tabla132112412[[#This Row],[CANTIDAD TOTAL]]*Tabla132112412[[#This Row],[PRECIO UNITARIO ESTIMADO]]</f>
        <v>9300096</v>
      </c>
      <c r="L14" s="175"/>
      <c r="M14" s="77" t="s">
        <v>18</v>
      </c>
      <c r="N14" s="77" t="s">
        <v>19</v>
      </c>
      <c r="O14" s="177"/>
    </row>
    <row r="15" spans="2:17" s="12" customFormat="1" ht="24.75" customHeight="1">
      <c r="B15" s="372" t="s">
        <v>16</v>
      </c>
      <c r="C15" s="77" t="s">
        <v>24</v>
      </c>
      <c r="D15" s="177" t="s">
        <v>25</v>
      </c>
      <c r="E15" s="370">
        <v>275</v>
      </c>
      <c r="F15" s="370">
        <v>320</v>
      </c>
      <c r="G15" s="370">
        <v>335</v>
      </c>
      <c r="H15" s="370">
        <v>275</v>
      </c>
      <c r="I15" s="363">
        <f>SUM(Tabla132112412[[#This Row],[PRIMER TRIMESTRE]:[CUARTO TRIMESTRE]])</f>
        <v>1205</v>
      </c>
      <c r="J15" s="175">
        <v>3628</v>
      </c>
      <c r="K15" s="175">
        <f>+Tabla132112412[[#This Row],[CANTIDAD TOTAL]]*Tabla132112412[[#This Row],[PRECIO UNITARIO ESTIMADO]]</f>
        <v>4371740</v>
      </c>
      <c r="L15" s="175"/>
      <c r="M15" s="77" t="s">
        <v>18</v>
      </c>
      <c r="N15" s="77" t="s">
        <v>19</v>
      </c>
      <c r="O15" s="177"/>
    </row>
    <row r="16" spans="2:17" s="12" customFormat="1" ht="27" customHeight="1">
      <c r="B16" s="372" t="s">
        <v>16</v>
      </c>
      <c r="C16" s="77" t="s">
        <v>1385</v>
      </c>
      <c r="D16" s="177" t="s">
        <v>23</v>
      </c>
      <c r="E16" s="370">
        <v>5</v>
      </c>
      <c r="F16" s="370">
        <v>8</v>
      </c>
      <c r="G16" s="370">
        <v>8</v>
      </c>
      <c r="H16" s="370">
        <v>5</v>
      </c>
      <c r="I16" s="363">
        <f>SUM(Tabla132112412[[#This Row],[PRIMER TRIMESTRE]:[CUARTO TRIMESTRE]])</f>
        <v>26</v>
      </c>
      <c r="J16" s="175">
        <v>28440</v>
      </c>
      <c r="K16" s="175">
        <f>+Tabla132112412[[#This Row],[CANTIDAD TOTAL]]*Tabla132112412[[#This Row],[PRECIO UNITARIO ESTIMADO]]</f>
        <v>739440</v>
      </c>
      <c r="L16" s="175"/>
      <c r="M16" s="77" t="s">
        <v>15</v>
      </c>
      <c r="N16" s="77" t="s">
        <v>19</v>
      </c>
      <c r="O16" s="177" t="s">
        <v>342</v>
      </c>
    </row>
    <row r="17" spans="1:15" s="12" customFormat="1" ht="18">
      <c r="B17" s="372" t="s">
        <v>16</v>
      </c>
      <c r="C17" s="77" t="s">
        <v>29</v>
      </c>
      <c r="D17" s="177" t="s">
        <v>30</v>
      </c>
      <c r="E17" s="370">
        <v>2850</v>
      </c>
      <c r="F17" s="370">
        <v>3450</v>
      </c>
      <c r="G17" s="370">
        <v>2450</v>
      </c>
      <c r="H17" s="370">
        <v>2850</v>
      </c>
      <c r="I17" s="363">
        <f>SUM(Tabla132112412[[#This Row],[PRIMER TRIMESTRE]:[CUARTO TRIMESTRE]])</f>
        <v>11600</v>
      </c>
      <c r="J17" s="175">
        <v>862.27</v>
      </c>
      <c r="K17" s="175">
        <f>+Tabla132112412[[#This Row],[CANTIDAD TOTAL]]*Tabla132112412[[#This Row],[PRECIO UNITARIO ESTIMADO]]</f>
        <v>10002332</v>
      </c>
      <c r="L17" s="175"/>
      <c r="M17" s="77" t="s">
        <v>18</v>
      </c>
      <c r="N17" s="77" t="s">
        <v>19</v>
      </c>
      <c r="O17" s="177"/>
    </row>
    <row r="18" spans="1:15" s="12" customFormat="1" ht="18">
      <c r="B18" s="372" t="s">
        <v>16</v>
      </c>
      <c r="C18" s="77" t="s">
        <v>1842</v>
      </c>
      <c r="D18" s="177" t="s">
        <v>30</v>
      </c>
      <c r="E18" s="370">
        <v>2</v>
      </c>
      <c r="F18" s="370">
        <v>2</v>
      </c>
      <c r="G18" s="370">
        <v>2</v>
      </c>
      <c r="H18" s="370">
        <v>2</v>
      </c>
      <c r="I18" s="363">
        <f>SUM(Tabla132112412[[#This Row],[PRIMER TRIMESTRE]:[CUARTO TRIMESTRE]])</f>
        <v>8</v>
      </c>
      <c r="J18" s="175">
        <v>24.68</v>
      </c>
      <c r="K18" s="175">
        <f>+I18*J18</f>
        <v>197.44</v>
      </c>
      <c r="L18" s="175"/>
      <c r="M18" s="77" t="s">
        <v>18</v>
      </c>
      <c r="N18" s="77" t="s">
        <v>19</v>
      </c>
      <c r="O18" s="177"/>
    </row>
    <row r="19" spans="1:15" s="169" customFormat="1" ht="18">
      <c r="A19" s="12"/>
      <c r="B19" s="372" t="s">
        <v>16</v>
      </c>
      <c r="C19" s="77" t="s">
        <v>1843</v>
      </c>
      <c r="D19" s="177" t="s">
        <v>17</v>
      </c>
      <c r="E19" s="370">
        <v>4</v>
      </c>
      <c r="F19" s="370">
        <v>4</v>
      </c>
      <c r="G19" s="370">
        <v>4</v>
      </c>
      <c r="H19" s="370">
        <v>4</v>
      </c>
      <c r="I19" s="363">
        <f>SUM(Tabla132112412[[#This Row],[PRIMER TRIMESTRE]:[CUARTO TRIMESTRE]])</f>
        <v>16</v>
      </c>
      <c r="J19" s="175">
        <v>15000</v>
      </c>
      <c r="K19" s="175">
        <f>+I19*J19</f>
        <v>240000</v>
      </c>
      <c r="L19" s="175"/>
      <c r="M19" s="77" t="s">
        <v>27</v>
      </c>
      <c r="N19" s="77" t="s">
        <v>19</v>
      </c>
      <c r="O19" s="177"/>
    </row>
    <row r="20" spans="1:15" s="169" customFormat="1" ht="18">
      <c r="A20" s="12"/>
      <c r="B20" s="452" t="s">
        <v>16</v>
      </c>
      <c r="C20" s="453" t="s">
        <v>443</v>
      </c>
      <c r="D20" s="177"/>
      <c r="E20" s="370"/>
      <c r="F20" s="370"/>
      <c r="G20" s="370"/>
      <c r="H20" s="370"/>
      <c r="I20" s="363">
        <f>SUM(Tabla132112412[[#This Row],[PRIMER TRIMESTRE]:[CUARTO TRIMESTRE]])</f>
        <v>0</v>
      </c>
      <c r="J20" s="175"/>
      <c r="K20" s="175"/>
      <c r="L20" s="451">
        <f>SUM(K13:K19)</f>
        <v>28564047.680000003</v>
      </c>
      <c r="M20" s="77"/>
      <c r="N20" s="77"/>
      <c r="O20" s="177"/>
    </row>
    <row r="21" spans="1:15" s="169" customFormat="1" ht="29.25" customHeight="1">
      <c r="A21" s="12"/>
      <c r="B21" s="372" t="s">
        <v>34</v>
      </c>
      <c r="C21" s="77" t="s">
        <v>717</v>
      </c>
      <c r="D21" s="177" t="s">
        <v>35</v>
      </c>
      <c r="E21" s="370">
        <v>2</v>
      </c>
      <c r="F21" s="370">
        <v>2</v>
      </c>
      <c r="G21" s="370">
        <v>2</v>
      </c>
      <c r="H21" s="370">
        <v>1</v>
      </c>
      <c r="I21" s="363">
        <f>SUM(Tabla132112412[[#This Row],[PRIMER TRIMESTRE]:[CUARTO TRIMESTRE]])</f>
        <v>7</v>
      </c>
      <c r="J21" s="175">
        <v>31896.55</v>
      </c>
      <c r="K21" s="175">
        <f>+Tabla132112412[[#This Row],[CANTIDAD TOTAL]]*Tabla132112412[[#This Row],[PRECIO UNITARIO ESTIMADO]]</f>
        <v>223275.85</v>
      </c>
      <c r="L21" s="175"/>
      <c r="M21" s="77" t="s">
        <v>27</v>
      </c>
      <c r="N21" s="77" t="s">
        <v>22</v>
      </c>
      <c r="O21" s="177" t="s">
        <v>418</v>
      </c>
    </row>
    <row r="22" spans="1:15" s="169" customFormat="1" ht="29.25" customHeight="1">
      <c r="A22" s="12"/>
      <c r="B22" s="372" t="s">
        <v>34</v>
      </c>
      <c r="C22" s="77" t="s">
        <v>714</v>
      </c>
      <c r="D22" s="177" t="s">
        <v>35</v>
      </c>
      <c r="E22" s="370">
        <v>4</v>
      </c>
      <c r="F22" s="370">
        <v>4</v>
      </c>
      <c r="G22" s="370">
        <v>4</v>
      </c>
      <c r="H22" s="370">
        <v>4</v>
      </c>
      <c r="I22" s="363">
        <f>SUM(Tabla132112412[[#This Row],[PRIMER TRIMESTRE]:[CUARTO TRIMESTRE]])</f>
        <v>16</v>
      </c>
      <c r="J22" s="175">
        <v>28017.24</v>
      </c>
      <c r="K22" s="175">
        <f>+I22*J22</f>
        <v>448275.84</v>
      </c>
      <c r="L22" s="451"/>
      <c r="M22" s="77" t="s">
        <v>27</v>
      </c>
      <c r="N22" s="77" t="s">
        <v>22</v>
      </c>
      <c r="O22" s="177" t="s">
        <v>418</v>
      </c>
    </row>
    <row r="23" spans="1:15" s="169" customFormat="1" ht="29.25" customHeight="1">
      <c r="A23" s="12"/>
      <c r="B23" s="372" t="s">
        <v>34</v>
      </c>
      <c r="C23" s="77" t="s">
        <v>715</v>
      </c>
      <c r="D23" s="177" t="s">
        <v>35</v>
      </c>
      <c r="E23" s="370">
        <v>1</v>
      </c>
      <c r="F23" s="370">
        <v>0</v>
      </c>
      <c r="G23" s="370">
        <v>1</v>
      </c>
      <c r="H23" s="370">
        <v>0</v>
      </c>
      <c r="I23" s="363">
        <f>SUM(Tabla132112412[[#This Row],[PRIMER TRIMESTRE]:[CUARTO TRIMESTRE]])</f>
        <v>2</v>
      </c>
      <c r="J23" s="175">
        <v>23612</v>
      </c>
      <c r="K23" s="175">
        <f>+I23*J23</f>
        <v>47224</v>
      </c>
      <c r="L23" s="175"/>
      <c r="M23" s="77" t="s">
        <v>27</v>
      </c>
      <c r="N23" s="77" t="s">
        <v>22</v>
      </c>
      <c r="O23" s="177" t="s">
        <v>418</v>
      </c>
    </row>
    <row r="24" spans="1:15" s="169" customFormat="1" ht="29.25" customHeight="1">
      <c r="A24" s="12"/>
      <c r="B24" s="372" t="s">
        <v>34</v>
      </c>
      <c r="C24" s="77" t="s">
        <v>716</v>
      </c>
      <c r="D24" s="177" t="s">
        <v>35</v>
      </c>
      <c r="E24" s="370">
        <v>0</v>
      </c>
      <c r="F24" s="370">
        <v>2.5</v>
      </c>
      <c r="G24" s="370">
        <v>0</v>
      </c>
      <c r="H24" s="370">
        <v>1</v>
      </c>
      <c r="I24" s="363">
        <f>SUM(Tabla132112412[[#This Row],[PRIMER TRIMESTRE]:[CUARTO TRIMESTRE]])</f>
        <v>3.5</v>
      </c>
      <c r="J24" s="175">
        <v>23112.13</v>
      </c>
      <c r="K24" s="175">
        <f>+I24*J24</f>
        <v>80892.455000000002</v>
      </c>
      <c r="L24" s="175"/>
      <c r="M24" s="77" t="s">
        <v>27</v>
      </c>
      <c r="N24" s="77" t="s">
        <v>22</v>
      </c>
      <c r="O24" s="177" t="s">
        <v>418</v>
      </c>
    </row>
    <row r="25" spans="1:15" s="169" customFormat="1" ht="29.25" customHeight="1">
      <c r="A25" s="12"/>
      <c r="B25" s="372" t="s">
        <v>34</v>
      </c>
      <c r="C25" s="77" t="s">
        <v>787</v>
      </c>
      <c r="D25" s="177" t="s">
        <v>35</v>
      </c>
      <c r="E25" s="370">
        <v>2</v>
      </c>
      <c r="F25" s="370">
        <v>0</v>
      </c>
      <c r="G25" s="370">
        <v>1</v>
      </c>
      <c r="H25" s="370">
        <v>0</v>
      </c>
      <c r="I25" s="363">
        <f>SUM(Tabla132112412[[#This Row],[PRIMER TRIMESTRE]:[CUARTO TRIMESTRE]])</f>
        <v>3</v>
      </c>
      <c r="J25" s="175">
        <v>24630.67</v>
      </c>
      <c r="K25" s="175">
        <f>+Tabla132112412[[#This Row],[CANTIDAD TOTAL]]*Tabla132112412[[#This Row],[PRECIO UNITARIO ESTIMADO]]</f>
        <v>73892.009999999995</v>
      </c>
      <c r="L25" s="175"/>
      <c r="M25" s="77" t="s">
        <v>27</v>
      </c>
      <c r="N25" s="77" t="s">
        <v>22</v>
      </c>
      <c r="O25" s="177" t="s">
        <v>418</v>
      </c>
    </row>
    <row r="26" spans="1:15" s="169" customFormat="1" ht="29.25" customHeight="1">
      <c r="A26" s="12"/>
      <c r="B26" s="372" t="s">
        <v>34</v>
      </c>
      <c r="C26" s="77" t="s">
        <v>786</v>
      </c>
      <c r="D26" s="177" t="s">
        <v>35</v>
      </c>
      <c r="E26" s="370">
        <v>1</v>
      </c>
      <c r="F26" s="370">
        <v>0</v>
      </c>
      <c r="G26" s="370">
        <v>1</v>
      </c>
      <c r="H26" s="370">
        <v>0</v>
      </c>
      <c r="I26" s="363">
        <f>SUM(Tabla132112412[[#This Row],[PRIMER TRIMESTRE]:[CUARTO TRIMESTRE]])</f>
        <v>2</v>
      </c>
      <c r="J26" s="175">
        <f>+J25*1.05</f>
        <v>25862.2035</v>
      </c>
      <c r="K26" s="175">
        <f>+I26*J26</f>
        <v>51724.406999999999</v>
      </c>
      <c r="L26" s="175"/>
      <c r="M26" s="77" t="s">
        <v>27</v>
      </c>
      <c r="N26" s="77" t="s">
        <v>22</v>
      </c>
      <c r="O26" s="177" t="s">
        <v>418</v>
      </c>
    </row>
    <row r="27" spans="1:15" s="26" customFormat="1" ht="29.25" customHeight="1">
      <c r="A27" s="12"/>
      <c r="B27" s="372" t="s">
        <v>34</v>
      </c>
      <c r="C27" s="77" t="s">
        <v>720</v>
      </c>
      <c r="D27" s="177" t="s">
        <v>721</v>
      </c>
      <c r="E27" s="370">
        <v>2</v>
      </c>
      <c r="F27" s="370">
        <v>2</v>
      </c>
      <c r="G27" s="370">
        <v>2</v>
      </c>
      <c r="H27" s="370">
        <v>2</v>
      </c>
      <c r="I27" s="363">
        <f>SUM(Tabla132112412[[#This Row],[PRIMER TRIMESTRE]:[CUARTO TRIMESTRE]])</f>
        <v>8</v>
      </c>
      <c r="J27" s="175">
        <v>3700</v>
      </c>
      <c r="K27" s="175">
        <f>+Tabla132112412[[#This Row],[CANTIDAD TOTAL]]*Tabla132112412[[#This Row],[PRECIO UNITARIO ESTIMADO]]</f>
        <v>29600</v>
      </c>
      <c r="L27" s="175"/>
      <c r="M27" s="77" t="s">
        <v>27</v>
      </c>
      <c r="N27" s="77" t="s">
        <v>22</v>
      </c>
      <c r="O27" s="177" t="s">
        <v>418</v>
      </c>
    </row>
    <row r="28" spans="1:15" s="26" customFormat="1" ht="29.25" customHeight="1">
      <c r="A28" s="12"/>
      <c r="B28" s="372" t="s">
        <v>34</v>
      </c>
      <c r="C28" s="454" t="s">
        <v>2039</v>
      </c>
      <c r="D28" s="455" t="s">
        <v>35</v>
      </c>
      <c r="E28" s="362">
        <v>1</v>
      </c>
      <c r="F28" s="362"/>
      <c r="G28" s="362">
        <v>1</v>
      </c>
      <c r="H28" s="362"/>
      <c r="I28" s="363">
        <f>SUM(Tabla132112412[[#This Row],[PRIMER TRIMESTRE]:[CUARTO TRIMESTRE]])</f>
        <v>2</v>
      </c>
      <c r="J28" s="175"/>
      <c r="K28" s="175"/>
      <c r="L28" s="175"/>
      <c r="M28" s="77"/>
      <c r="N28" s="77"/>
      <c r="O28" s="177"/>
    </row>
    <row r="29" spans="1:15" s="26" customFormat="1" ht="29.25" customHeight="1">
      <c r="A29" s="12"/>
      <c r="B29" s="372" t="s">
        <v>34</v>
      </c>
      <c r="C29" s="454" t="s">
        <v>2040</v>
      </c>
      <c r="D29" s="456" t="s">
        <v>290</v>
      </c>
      <c r="E29" s="362">
        <v>8</v>
      </c>
      <c r="F29" s="362">
        <v>8</v>
      </c>
      <c r="G29" s="362">
        <v>8</v>
      </c>
      <c r="H29" s="362">
        <v>8</v>
      </c>
      <c r="I29" s="363">
        <f>SUM(Tabla132112412[[#This Row],[PRIMER TRIMESTRE]:[CUARTO TRIMESTRE]])</f>
        <v>32</v>
      </c>
      <c r="J29" s="175"/>
      <c r="K29" s="175"/>
      <c r="L29" s="175"/>
      <c r="M29" s="77"/>
      <c r="N29" s="77"/>
      <c r="O29" s="177"/>
    </row>
    <row r="30" spans="1:15" s="26" customFormat="1" ht="29.25" customHeight="1">
      <c r="A30" s="12"/>
      <c r="B30" s="372" t="s">
        <v>34</v>
      </c>
      <c r="C30" s="364" t="s">
        <v>2041</v>
      </c>
      <c r="D30" s="455" t="s">
        <v>290</v>
      </c>
      <c r="E30" s="362">
        <v>8</v>
      </c>
      <c r="F30" s="362">
        <v>8</v>
      </c>
      <c r="G30" s="362">
        <v>8</v>
      </c>
      <c r="H30" s="362">
        <v>8</v>
      </c>
      <c r="I30" s="363">
        <f>SUM(Tabla132112412[[#This Row],[PRIMER TRIMESTRE]:[CUARTO TRIMESTRE]])</f>
        <v>32</v>
      </c>
      <c r="J30" s="175"/>
      <c r="K30" s="175"/>
      <c r="L30" s="175"/>
      <c r="M30" s="77"/>
      <c r="N30" s="77"/>
      <c r="O30" s="177"/>
    </row>
    <row r="31" spans="1:15" s="26" customFormat="1" ht="29.25" customHeight="1">
      <c r="A31" s="12"/>
      <c r="B31" s="372" t="s">
        <v>34</v>
      </c>
      <c r="C31" s="454" t="s">
        <v>2042</v>
      </c>
      <c r="D31" s="455" t="s">
        <v>35</v>
      </c>
      <c r="E31" s="362">
        <v>1</v>
      </c>
      <c r="F31" s="362">
        <v>1</v>
      </c>
      <c r="G31" s="362">
        <v>1</v>
      </c>
      <c r="H31" s="362">
        <v>1</v>
      </c>
      <c r="I31" s="363">
        <f>SUM(Tabla132112412[[#This Row],[PRIMER TRIMESTRE]:[CUARTO TRIMESTRE]])</f>
        <v>4</v>
      </c>
      <c r="J31" s="175"/>
      <c r="K31" s="175"/>
      <c r="L31" s="175"/>
      <c r="M31" s="77"/>
      <c r="N31" s="77"/>
      <c r="O31" s="177"/>
    </row>
    <row r="32" spans="1:15" s="26" customFormat="1" ht="29.25" customHeight="1">
      <c r="A32" s="12"/>
      <c r="B32" s="372" t="s">
        <v>34</v>
      </c>
      <c r="C32" s="454" t="s">
        <v>2043</v>
      </c>
      <c r="D32" s="455" t="s">
        <v>35</v>
      </c>
      <c r="E32" s="362">
        <v>1</v>
      </c>
      <c r="F32" s="362"/>
      <c r="G32" s="362"/>
      <c r="H32" s="362"/>
      <c r="I32" s="363">
        <f>SUM(Tabla132112412[[#This Row],[PRIMER TRIMESTRE]:[CUARTO TRIMESTRE]])</f>
        <v>1</v>
      </c>
      <c r="J32" s="175"/>
      <c r="K32" s="175"/>
      <c r="L32" s="175"/>
      <c r="M32" s="77"/>
      <c r="N32" s="77"/>
      <c r="O32" s="177"/>
    </row>
    <row r="33" spans="1:15" s="169" customFormat="1" ht="29.25" customHeight="1">
      <c r="A33" s="12"/>
      <c r="B33" s="372" t="s">
        <v>34</v>
      </c>
      <c r="C33" s="77" t="s">
        <v>719</v>
      </c>
      <c r="D33" s="177" t="s">
        <v>718</v>
      </c>
      <c r="E33" s="370">
        <v>12</v>
      </c>
      <c r="F33" s="370">
        <v>11</v>
      </c>
      <c r="G33" s="370">
        <v>12</v>
      </c>
      <c r="H33" s="370">
        <v>11</v>
      </c>
      <c r="I33" s="363">
        <f>SUM(Tabla132112412[[#This Row],[PRIMER TRIMESTRE]:[CUARTO TRIMESTRE]])</f>
        <v>46</v>
      </c>
      <c r="J33" s="175">
        <v>800</v>
      </c>
      <c r="K33" s="175">
        <f>+Tabla132112412[[#This Row],[CANTIDAD TOTAL]]*Tabla132112412[[#This Row],[PRECIO UNITARIO ESTIMADO]]</f>
        <v>36800</v>
      </c>
      <c r="L33" s="175"/>
      <c r="M33" s="77" t="s">
        <v>27</v>
      </c>
      <c r="N33" s="77" t="s">
        <v>22</v>
      </c>
      <c r="O33" s="177" t="s">
        <v>418</v>
      </c>
    </row>
    <row r="34" spans="1:15" s="169" customFormat="1" ht="25.5">
      <c r="A34" s="12"/>
      <c r="B34" s="452" t="s">
        <v>34</v>
      </c>
      <c r="C34" s="453" t="s">
        <v>444</v>
      </c>
      <c r="D34" s="177"/>
      <c r="E34" s="370"/>
      <c r="F34" s="370"/>
      <c r="G34" s="370"/>
      <c r="H34" s="370"/>
      <c r="I34" s="363">
        <f>SUM(Tabla132112412[[#This Row],[PRIMER TRIMESTRE]:[CUARTO TRIMESTRE]])</f>
        <v>0</v>
      </c>
      <c r="J34" s="175"/>
      <c r="K34" s="175"/>
      <c r="L34" s="451">
        <f>SUBTOTAL(109,K21:K33)</f>
        <v>991684.56200000003</v>
      </c>
      <c r="M34" s="77"/>
      <c r="N34" s="77"/>
      <c r="O34" s="177"/>
    </row>
    <row r="35" spans="1:15" s="26" customFormat="1" ht="18">
      <c r="A35" s="12"/>
      <c r="B35" s="372" t="s">
        <v>1288</v>
      </c>
      <c r="C35" s="77" t="s">
        <v>1290</v>
      </c>
      <c r="D35" s="177" t="s">
        <v>33</v>
      </c>
      <c r="E35" s="370">
        <v>1700</v>
      </c>
      <c r="F35" s="370">
        <v>10700</v>
      </c>
      <c r="G35" s="370">
        <v>10700</v>
      </c>
      <c r="H35" s="370">
        <v>10700</v>
      </c>
      <c r="I35" s="363">
        <f>SUM(Tabla132112412[[#This Row],[PRIMER TRIMESTRE]:[CUARTO TRIMESTRE]])</f>
        <v>33800</v>
      </c>
      <c r="J35" s="175">
        <v>144.9</v>
      </c>
      <c r="K35" s="175">
        <f>+I35*J35</f>
        <v>4897620</v>
      </c>
      <c r="L35" s="175"/>
      <c r="M35" s="77" t="s">
        <v>18</v>
      </c>
      <c r="N35" s="77" t="s">
        <v>19</v>
      </c>
      <c r="O35" s="177"/>
    </row>
    <row r="36" spans="1:15" s="12" customFormat="1" ht="18">
      <c r="B36" s="372" t="s">
        <v>1288</v>
      </c>
      <c r="C36" s="77" t="s">
        <v>1289</v>
      </c>
      <c r="D36" s="177" t="s">
        <v>33</v>
      </c>
      <c r="E36" s="370">
        <v>2360</v>
      </c>
      <c r="F36" s="370">
        <v>2360</v>
      </c>
      <c r="G36" s="370">
        <v>2360</v>
      </c>
      <c r="H36" s="370">
        <v>2360</v>
      </c>
      <c r="I36" s="363">
        <f>SUM(Tabla132112412[[#This Row],[PRIMER TRIMESTRE]:[CUARTO TRIMESTRE]])</f>
        <v>9440</v>
      </c>
      <c r="J36" s="175">
        <v>144.9</v>
      </c>
      <c r="K36" s="175">
        <f>+I36*J36</f>
        <v>1367856</v>
      </c>
      <c r="L36" s="175"/>
      <c r="M36" s="77" t="s">
        <v>18</v>
      </c>
      <c r="N36" s="77" t="s">
        <v>19</v>
      </c>
      <c r="O36" s="177"/>
    </row>
    <row r="37" spans="1:15" s="12" customFormat="1" ht="18">
      <c r="B37" s="452" t="s">
        <v>1288</v>
      </c>
      <c r="C37" s="453"/>
      <c r="D37" s="177"/>
      <c r="E37" s="370"/>
      <c r="F37" s="370"/>
      <c r="G37" s="370"/>
      <c r="H37" s="370"/>
      <c r="I37" s="363">
        <f>SUM(Tabla132112412[[#This Row],[PRIMER TRIMESTRE]:[CUARTO TRIMESTRE]])</f>
        <v>0</v>
      </c>
      <c r="J37" s="175"/>
      <c r="K37" s="175"/>
      <c r="L37" s="451">
        <f>SUBTOTAL(109,K35:K36)</f>
        <v>6265476</v>
      </c>
      <c r="M37" s="77"/>
      <c r="N37" s="77"/>
      <c r="O37" s="177"/>
    </row>
    <row r="38" spans="1:15" s="12" customFormat="1" ht="25.5">
      <c r="B38" s="372" t="s">
        <v>41</v>
      </c>
      <c r="C38" s="454" t="s">
        <v>2044</v>
      </c>
      <c r="D38" s="177" t="s">
        <v>416</v>
      </c>
      <c r="E38" s="365">
        <v>4</v>
      </c>
      <c r="F38" s="365"/>
      <c r="G38" s="365"/>
      <c r="H38" s="365"/>
      <c r="I38" s="363">
        <f>SUM(Tabla132112412[[#This Row],[PRIMER TRIMESTRE]:[CUARTO TRIMESTRE]])</f>
        <v>4</v>
      </c>
      <c r="J38" s="175"/>
      <c r="K38" s="175"/>
      <c r="L38" s="175"/>
      <c r="M38" s="77"/>
      <c r="N38" s="77"/>
      <c r="O38" s="177"/>
    </row>
    <row r="39" spans="1:15" s="12" customFormat="1" ht="25.5">
      <c r="B39" s="372" t="s">
        <v>41</v>
      </c>
      <c r="C39" s="454" t="s">
        <v>2045</v>
      </c>
      <c r="D39" s="177" t="s">
        <v>416</v>
      </c>
      <c r="E39" s="366">
        <v>3</v>
      </c>
      <c r="F39" s="365">
        <v>0</v>
      </c>
      <c r="G39" s="365">
        <v>0</v>
      </c>
      <c r="H39" s="365">
        <v>0</v>
      </c>
      <c r="I39" s="363">
        <f>SUM(Tabla132112412[[#This Row],[PRIMER TRIMESTRE]:[CUARTO TRIMESTRE]])</f>
        <v>3</v>
      </c>
      <c r="J39" s="175"/>
      <c r="K39" s="175"/>
      <c r="L39" s="175"/>
      <c r="M39" s="77"/>
      <c r="N39" s="77"/>
      <c r="O39" s="177"/>
    </row>
    <row r="40" spans="1:15" s="12" customFormat="1" ht="25.5">
      <c r="B40" s="372" t="s">
        <v>41</v>
      </c>
      <c r="C40" s="454" t="s">
        <v>2046</v>
      </c>
      <c r="D40" s="177" t="s">
        <v>416</v>
      </c>
      <c r="E40" s="366">
        <v>1</v>
      </c>
      <c r="F40" s="365">
        <v>0</v>
      </c>
      <c r="G40" s="365">
        <v>0</v>
      </c>
      <c r="H40" s="365">
        <v>0</v>
      </c>
      <c r="I40" s="363">
        <f>SUM(Tabla132112412[[#This Row],[PRIMER TRIMESTRE]:[CUARTO TRIMESTRE]])</f>
        <v>1</v>
      </c>
      <c r="J40" s="175"/>
      <c r="K40" s="175"/>
      <c r="L40" s="175"/>
      <c r="M40" s="77"/>
      <c r="N40" s="77"/>
      <c r="O40" s="177"/>
    </row>
    <row r="41" spans="1:15" s="12" customFormat="1" ht="25.5">
      <c r="B41" s="372" t="s">
        <v>41</v>
      </c>
      <c r="C41" s="454" t="s">
        <v>2047</v>
      </c>
      <c r="D41" s="177" t="s">
        <v>416</v>
      </c>
      <c r="E41" s="366">
        <v>3</v>
      </c>
      <c r="F41" s="365">
        <v>0</v>
      </c>
      <c r="G41" s="365">
        <v>0</v>
      </c>
      <c r="H41" s="365">
        <v>0</v>
      </c>
      <c r="I41" s="363">
        <f>SUM(Tabla132112412[[#This Row],[PRIMER TRIMESTRE]:[CUARTO TRIMESTRE]])</f>
        <v>3</v>
      </c>
      <c r="J41" s="175"/>
      <c r="K41" s="175"/>
      <c r="L41" s="175"/>
      <c r="M41" s="77"/>
      <c r="N41" s="77"/>
      <c r="O41" s="177"/>
    </row>
    <row r="42" spans="1:15" s="12" customFormat="1" ht="25.5">
      <c r="B42" s="372" t="s">
        <v>41</v>
      </c>
      <c r="C42" s="77" t="s">
        <v>2048</v>
      </c>
      <c r="D42" s="177" t="s">
        <v>17</v>
      </c>
      <c r="E42" s="365">
        <v>2</v>
      </c>
      <c r="F42" s="365">
        <v>0</v>
      </c>
      <c r="G42" s="365">
        <v>0</v>
      </c>
      <c r="H42" s="365">
        <v>0</v>
      </c>
      <c r="I42" s="363">
        <f>SUM(Tabla132112412[[#This Row],[PRIMER TRIMESTRE]:[CUARTO TRIMESTRE]])</f>
        <v>2</v>
      </c>
      <c r="J42" s="175"/>
      <c r="K42" s="175"/>
      <c r="L42" s="175"/>
      <c r="M42" s="77"/>
      <c r="N42" s="77"/>
      <c r="O42" s="177"/>
    </row>
    <row r="43" spans="1:15" s="26" customFormat="1" ht="33" customHeight="1">
      <c r="A43" s="12"/>
      <c r="B43" s="372" t="s">
        <v>41</v>
      </c>
      <c r="C43" s="77" t="s">
        <v>42</v>
      </c>
      <c r="D43" s="177" t="s">
        <v>17</v>
      </c>
      <c r="E43" s="370">
        <v>5</v>
      </c>
      <c r="F43" s="370">
        <v>2</v>
      </c>
      <c r="G43" s="370">
        <v>4</v>
      </c>
      <c r="H43" s="370">
        <v>2</v>
      </c>
      <c r="I43" s="363">
        <f>SUM(Tabla132112412[[#This Row],[PRIMER TRIMESTRE]:[CUARTO TRIMESTRE]])</f>
        <v>13</v>
      </c>
      <c r="J43" s="175">
        <v>26999</v>
      </c>
      <c r="K43" s="175">
        <f>+Tabla132112412[[#This Row],[CANTIDAD TOTAL]]*Tabla132112412[[#This Row],[PRECIO UNITARIO ESTIMADO]]</f>
        <v>350987</v>
      </c>
      <c r="L43" s="175"/>
      <c r="M43" s="77" t="s">
        <v>15</v>
      </c>
      <c r="N43" s="77" t="s">
        <v>22</v>
      </c>
      <c r="O43" s="177" t="s">
        <v>418</v>
      </c>
    </row>
    <row r="44" spans="1:15" s="55" customFormat="1" ht="31.5" customHeight="1">
      <c r="A44" s="12"/>
      <c r="B44" s="372" t="s">
        <v>41</v>
      </c>
      <c r="C44" s="77" t="s">
        <v>44</v>
      </c>
      <c r="D44" s="177" t="s">
        <v>17</v>
      </c>
      <c r="E44" s="370">
        <v>2</v>
      </c>
      <c r="F44" s="370">
        <v>2</v>
      </c>
      <c r="G44" s="370">
        <v>2</v>
      </c>
      <c r="H44" s="370">
        <v>2</v>
      </c>
      <c r="I44" s="363">
        <f>SUM(Tabla132112412[[#This Row],[PRIMER TRIMESTRE]:[CUARTO TRIMESTRE]])</f>
        <v>8</v>
      </c>
      <c r="J44" s="175">
        <v>90854.41</v>
      </c>
      <c r="K44" s="175">
        <f>+Tabla132112412[[#This Row],[CANTIDAD TOTAL]]*Tabla132112412[[#This Row],[PRECIO UNITARIO ESTIMADO]]</f>
        <v>726835.28</v>
      </c>
      <c r="L44" s="175"/>
      <c r="M44" s="77" t="s">
        <v>15</v>
      </c>
      <c r="N44" s="77" t="s">
        <v>22</v>
      </c>
      <c r="O44" s="177" t="s">
        <v>418</v>
      </c>
    </row>
    <row r="45" spans="1:15" s="55" customFormat="1" ht="25.5">
      <c r="A45" s="12"/>
      <c r="B45" s="452" t="s">
        <v>41</v>
      </c>
      <c r="C45" s="453"/>
      <c r="D45" s="177"/>
      <c r="E45" s="370"/>
      <c r="F45" s="370"/>
      <c r="G45" s="370"/>
      <c r="H45" s="370"/>
      <c r="I45" s="363">
        <f>SUM(Tabla132112412[[#This Row],[PRIMER TRIMESTRE]:[CUARTO TRIMESTRE]])</f>
        <v>0</v>
      </c>
      <c r="J45" s="175"/>
      <c r="K45" s="175"/>
      <c r="L45" s="451">
        <f>SUBTOTAL(109,K43:K44)</f>
        <v>1077822.28</v>
      </c>
      <c r="M45" s="77"/>
      <c r="N45" s="77"/>
      <c r="O45" s="177"/>
    </row>
    <row r="46" spans="1:15" s="55" customFormat="1" ht="25.5">
      <c r="A46" s="12"/>
      <c r="B46" s="372" t="s">
        <v>1386</v>
      </c>
      <c r="C46" s="77" t="s">
        <v>1387</v>
      </c>
      <c r="D46" s="457" t="s">
        <v>1388</v>
      </c>
      <c r="E46" s="458">
        <v>60</v>
      </c>
      <c r="F46" s="458">
        <v>60</v>
      </c>
      <c r="G46" s="458">
        <v>60</v>
      </c>
      <c r="H46" s="458">
        <v>60</v>
      </c>
      <c r="I46" s="363">
        <f>SUM(Tabla132112412[[#This Row],[PRIMER TRIMESTRE]:[CUARTO TRIMESTRE]])</f>
        <v>240</v>
      </c>
      <c r="J46" s="459">
        <v>2500</v>
      </c>
      <c r="K46" s="459">
        <f>+I46*J46</f>
        <v>600000</v>
      </c>
      <c r="L46" s="460"/>
      <c r="M46" s="77" t="s">
        <v>27</v>
      </c>
      <c r="N46" s="77" t="s">
        <v>22</v>
      </c>
      <c r="O46" s="457"/>
    </row>
    <row r="47" spans="1:15" s="55" customFormat="1" ht="25.5">
      <c r="A47" s="12"/>
      <c r="B47" s="77" t="s">
        <v>1386</v>
      </c>
      <c r="C47" s="77" t="s">
        <v>1551</v>
      </c>
      <c r="D47" s="177" t="s">
        <v>35</v>
      </c>
      <c r="E47" s="461">
        <v>0</v>
      </c>
      <c r="F47" s="461">
        <v>0</v>
      </c>
      <c r="G47" s="461">
        <v>0</v>
      </c>
      <c r="H47" s="461">
        <v>0</v>
      </c>
      <c r="I47" s="363">
        <f>SUM(Tabla132112412[[#This Row],[PRIMER TRIMESTRE]:[CUARTO TRIMESTRE]])</f>
        <v>0</v>
      </c>
      <c r="J47" s="459">
        <v>29000</v>
      </c>
      <c r="K47" s="459">
        <f>+I47*J47</f>
        <v>0</v>
      </c>
      <c r="L47" s="175"/>
      <c r="M47" s="77" t="s">
        <v>15</v>
      </c>
      <c r="N47" s="77" t="s">
        <v>22</v>
      </c>
      <c r="O47" s="177" t="s">
        <v>418</v>
      </c>
    </row>
    <row r="48" spans="1:15" s="55" customFormat="1" ht="25.5">
      <c r="A48" s="12"/>
      <c r="B48" s="77" t="s">
        <v>1386</v>
      </c>
      <c r="C48" s="77" t="s">
        <v>1844</v>
      </c>
      <c r="D48" s="457" t="s">
        <v>17</v>
      </c>
      <c r="E48" s="462">
        <v>0</v>
      </c>
      <c r="F48" s="462">
        <v>0</v>
      </c>
      <c r="G48" s="462">
        <v>0</v>
      </c>
      <c r="H48" s="462">
        <v>0</v>
      </c>
      <c r="I48" s="363">
        <f>SUM(Tabla132112412[[#This Row],[PRIMER TRIMESTRE]:[CUARTO TRIMESTRE]])</f>
        <v>0</v>
      </c>
      <c r="J48" s="463">
        <v>4000000</v>
      </c>
      <c r="K48" s="459">
        <f>+I48*J48</f>
        <v>0</v>
      </c>
      <c r="L48" s="175"/>
      <c r="M48" s="77" t="s">
        <v>18</v>
      </c>
      <c r="N48" s="77" t="s">
        <v>22</v>
      </c>
      <c r="O48" s="177"/>
    </row>
    <row r="49" spans="1:15" s="55" customFormat="1" ht="25.5">
      <c r="A49" s="12"/>
      <c r="B49" s="372" t="s">
        <v>1386</v>
      </c>
      <c r="C49" s="77" t="s">
        <v>1699</v>
      </c>
      <c r="D49" s="457" t="s">
        <v>17</v>
      </c>
      <c r="E49" s="462">
        <v>0</v>
      </c>
      <c r="F49" s="462">
        <v>0</v>
      </c>
      <c r="G49" s="462">
        <v>0</v>
      </c>
      <c r="H49" s="462">
        <v>0</v>
      </c>
      <c r="I49" s="363">
        <f>SUM(Tabla132112412[[#This Row],[PRIMER TRIMESTRE]:[CUARTO TRIMESTRE]])</f>
        <v>0</v>
      </c>
      <c r="J49" s="463">
        <v>0</v>
      </c>
      <c r="K49" s="463">
        <v>0</v>
      </c>
      <c r="L49" s="175"/>
      <c r="M49" s="77" t="s">
        <v>18</v>
      </c>
      <c r="N49" s="77" t="s">
        <v>22</v>
      </c>
      <c r="O49" s="177"/>
    </row>
    <row r="50" spans="1:15" s="26" customFormat="1" ht="25.5">
      <c r="A50" s="12"/>
      <c r="B50" s="372" t="s">
        <v>1386</v>
      </c>
      <c r="C50" s="77" t="s">
        <v>1701</v>
      </c>
      <c r="D50" s="457" t="s">
        <v>17</v>
      </c>
      <c r="E50" s="462">
        <v>0</v>
      </c>
      <c r="F50" s="462">
        <v>0</v>
      </c>
      <c r="G50" s="462">
        <v>0</v>
      </c>
      <c r="H50" s="462">
        <v>0</v>
      </c>
      <c r="I50" s="363">
        <f>SUM(Tabla132112412[[#This Row],[PRIMER TRIMESTRE]:[CUARTO TRIMESTRE]])</f>
        <v>0</v>
      </c>
      <c r="J50" s="463">
        <v>0</v>
      </c>
      <c r="K50" s="463">
        <v>0</v>
      </c>
      <c r="L50" s="175"/>
      <c r="M50" s="77" t="s">
        <v>18</v>
      </c>
      <c r="N50" s="77" t="s">
        <v>22</v>
      </c>
      <c r="O50" s="177"/>
    </row>
    <row r="51" spans="1:15" s="26" customFormat="1" ht="25.5">
      <c r="A51" s="12"/>
      <c r="B51" s="372" t="s">
        <v>1386</v>
      </c>
      <c r="C51" s="77" t="s">
        <v>1764</v>
      </c>
      <c r="D51" s="457" t="s">
        <v>17</v>
      </c>
      <c r="E51" s="462">
        <v>2</v>
      </c>
      <c r="F51" s="462">
        <v>1</v>
      </c>
      <c r="G51" s="462">
        <v>2</v>
      </c>
      <c r="H51" s="462">
        <v>1</v>
      </c>
      <c r="I51" s="363">
        <f>SUM(Tabla132112412[[#This Row],[PRIMER TRIMESTRE]:[CUARTO TRIMESTRE]])</f>
        <v>6</v>
      </c>
      <c r="J51" s="463">
        <v>0</v>
      </c>
      <c r="K51" s="463">
        <v>0</v>
      </c>
      <c r="L51" s="175"/>
      <c r="M51" s="77" t="s">
        <v>27</v>
      </c>
      <c r="N51" s="77" t="s">
        <v>22</v>
      </c>
      <c r="O51" s="177"/>
    </row>
    <row r="52" spans="1:15" s="111" customFormat="1" ht="25.5">
      <c r="A52" s="12"/>
      <c r="B52" s="372" t="s">
        <v>1386</v>
      </c>
      <c r="C52" s="77" t="s">
        <v>1389</v>
      </c>
      <c r="D52" s="457" t="s">
        <v>1390</v>
      </c>
      <c r="E52" s="458">
        <v>140</v>
      </c>
      <c r="F52" s="458">
        <v>0</v>
      </c>
      <c r="G52" s="458">
        <v>140</v>
      </c>
      <c r="H52" s="458">
        <v>0</v>
      </c>
      <c r="I52" s="363">
        <f>SUM(Tabla132112412[[#This Row],[PRIMER TRIMESTRE]:[CUARTO TRIMESTRE]])</f>
        <v>280</v>
      </c>
      <c r="J52" s="459">
        <v>277</v>
      </c>
      <c r="K52" s="459">
        <f>+I52*J52</f>
        <v>77560</v>
      </c>
      <c r="L52" s="460"/>
      <c r="M52" s="77" t="s">
        <v>27</v>
      </c>
      <c r="N52" s="77" t="s">
        <v>22</v>
      </c>
      <c r="O52" s="457"/>
    </row>
    <row r="53" spans="1:15" s="111" customFormat="1" ht="25.5">
      <c r="A53" s="12"/>
      <c r="B53" s="452" t="s">
        <v>1386</v>
      </c>
      <c r="C53" s="453"/>
      <c r="D53" s="177"/>
      <c r="E53" s="370"/>
      <c r="F53" s="370"/>
      <c r="G53" s="370"/>
      <c r="H53" s="370"/>
      <c r="I53" s="363">
        <f>SUM(Tabla132112412[[#This Row],[PRIMER TRIMESTRE]:[CUARTO TRIMESTRE]])</f>
        <v>0</v>
      </c>
      <c r="J53" s="175"/>
      <c r="K53" s="175"/>
      <c r="L53" s="451">
        <f>SUM(K46:K52)</f>
        <v>677560</v>
      </c>
      <c r="M53" s="77"/>
      <c r="N53" s="77"/>
      <c r="O53" s="177"/>
    </row>
    <row r="54" spans="1:15" s="111" customFormat="1" ht="18">
      <c r="A54" s="12"/>
      <c r="B54" s="372" t="s">
        <v>1672</v>
      </c>
      <c r="C54" s="77" t="s">
        <v>1845</v>
      </c>
      <c r="D54" s="464" t="s">
        <v>17</v>
      </c>
      <c r="E54" s="461">
        <v>0</v>
      </c>
      <c r="F54" s="461">
        <v>0</v>
      </c>
      <c r="G54" s="461">
        <v>0</v>
      </c>
      <c r="H54" s="461">
        <v>0</v>
      </c>
      <c r="I54" s="363">
        <f>SUM(Tabla132112412[[#This Row],[PRIMER TRIMESTRE]:[CUARTO TRIMESTRE]])</f>
        <v>0</v>
      </c>
      <c r="J54" s="464">
        <v>0</v>
      </c>
      <c r="K54" s="464">
        <v>0</v>
      </c>
      <c r="L54" s="464"/>
      <c r="M54" s="464" t="s">
        <v>1663</v>
      </c>
      <c r="N54" s="77" t="s">
        <v>22</v>
      </c>
      <c r="O54" s="464"/>
    </row>
    <row r="55" spans="1:15" s="111" customFormat="1" ht="25.5">
      <c r="A55" s="12"/>
      <c r="B55" s="372" t="s">
        <v>46</v>
      </c>
      <c r="C55" s="77" t="s">
        <v>1391</v>
      </c>
      <c r="D55" s="464" t="s">
        <v>17</v>
      </c>
      <c r="E55" s="461">
        <v>10</v>
      </c>
      <c r="F55" s="461">
        <v>8</v>
      </c>
      <c r="G55" s="461">
        <v>8</v>
      </c>
      <c r="H55" s="461">
        <v>7</v>
      </c>
      <c r="I55" s="363">
        <f>SUM(Tabla132112412[[#This Row],[PRIMER TRIMESTRE]:[CUARTO TRIMESTRE]])</f>
        <v>33</v>
      </c>
      <c r="J55" s="465">
        <v>1136476.48</v>
      </c>
      <c r="K55" s="465">
        <f t="shared" ref="K55:K89" si="0">+I55*J55</f>
        <v>37503723.839999996</v>
      </c>
      <c r="L55" s="77"/>
      <c r="M55" s="77" t="s">
        <v>18</v>
      </c>
      <c r="N55" s="77" t="s">
        <v>22</v>
      </c>
      <c r="O55" s="77"/>
    </row>
    <row r="56" spans="1:15" s="111" customFormat="1" ht="18">
      <c r="A56" s="12"/>
      <c r="B56" s="372" t="s">
        <v>46</v>
      </c>
      <c r="C56" s="77" t="s">
        <v>1392</v>
      </c>
      <c r="D56" s="177" t="s">
        <v>17</v>
      </c>
      <c r="E56" s="370">
        <v>3</v>
      </c>
      <c r="F56" s="370">
        <v>0</v>
      </c>
      <c r="G56" s="370">
        <v>1</v>
      </c>
      <c r="H56" s="370">
        <v>0</v>
      </c>
      <c r="I56" s="363">
        <f>SUM(Tabla132112412[[#This Row],[PRIMER TRIMESTRE]:[CUARTO TRIMESTRE]])</f>
        <v>4</v>
      </c>
      <c r="J56" s="465">
        <v>2600000</v>
      </c>
      <c r="K56" s="465">
        <f t="shared" si="0"/>
        <v>10400000</v>
      </c>
      <c r="L56" s="77"/>
      <c r="M56" s="77" t="s">
        <v>18</v>
      </c>
      <c r="N56" s="77" t="s">
        <v>22</v>
      </c>
      <c r="O56" s="77"/>
    </row>
    <row r="57" spans="1:15" s="111" customFormat="1" ht="18">
      <c r="A57" s="12"/>
      <c r="B57" s="372" t="s">
        <v>1666</v>
      </c>
      <c r="C57" s="77" t="s">
        <v>1669</v>
      </c>
      <c r="D57" s="177" t="s">
        <v>17</v>
      </c>
      <c r="E57" s="370">
        <v>0</v>
      </c>
      <c r="F57" s="370">
        <v>0</v>
      </c>
      <c r="G57" s="370">
        <v>0</v>
      </c>
      <c r="H57" s="370">
        <v>0</v>
      </c>
      <c r="I57" s="363">
        <f>SUM(Tabla132112412[[#This Row],[PRIMER TRIMESTRE]:[CUARTO TRIMESTRE]])</f>
        <v>0</v>
      </c>
      <c r="J57" s="466">
        <v>0</v>
      </c>
      <c r="K57" s="466">
        <v>0</v>
      </c>
      <c r="L57" s="175"/>
      <c r="M57" s="77" t="s">
        <v>18</v>
      </c>
      <c r="N57" s="77" t="s">
        <v>22</v>
      </c>
      <c r="O57" s="177"/>
    </row>
    <row r="58" spans="1:15" s="111" customFormat="1" ht="18">
      <c r="A58" s="12"/>
      <c r="B58" s="372" t="s">
        <v>1667</v>
      </c>
      <c r="C58" s="77" t="s">
        <v>1670</v>
      </c>
      <c r="D58" s="177" t="s">
        <v>17</v>
      </c>
      <c r="E58" s="370">
        <v>0</v>
      </c>
      <c r="F58" s="370">
        <v>0</v>
      </c>
      <c r="G58" s="370">
        <v>0</v>
      </c>
      <c r="H58" s="370">
        <v>0</v>
      </c>
      <c r="I58" s="363">
        <f>SUM(Tabla132112412[[#This Row],[PRIMER TRIMESTRE]:[CUARTO TRIMESTRE]])</f>
        <v>0</v>
      </c>
      <c r="J58" s="466">
        <v>0</v>
      </c>
      <c r="K58" s="466">
        <v>0</v>
      </c>
      <c r="L58" s="175"/>
      <c r="M58" s="77" t="s">
        <v>18</v>
      </c>
      <c r="N58" s="77" t="s">
        <v>22</v>
      </c>
      <c r="O58" s="177"/>
    </row>
    <row r="59" spans="1:15" s="111" customFormat="1" ht="18">
      <c r="A59" s="12"/>
      <c r="B59" s="372" t="s">
        <v>1668</v>
      </c>
      <c r="C59" s="77" t="s">
        <v>1846</v>
      </c>
      <c r="D59" s="177" t="s">
        <v>17</v>
      </c>
      <c r="E59" s="370">
        <v>0</v>
      </c>
      <c r="F59" s="370">
        <v>0</v>
      </c>
      <c r="G59" s="370">
        <v>0</v>
      </c>
      <c r="H59" s="370">
        <v>0</v>
      </c>
      <c r="I59" s="363">
        <f>SUM(Tabla132112412[[#This Row],[PRIMER TRIMESTRE]:[CUARTO TRIMESTRE]])</f>
        <v>0</v>
      </c>
      <c r="J59" s="466">
        <v>0</v>
      </c>
      <c r="K59" s="466">
        <v>0</v>
      </c>
      <c r="L59" s="175"/>
      <c r="M59" s="77" t="s">
        <v>18</v>
      </c>
      <c r="N59" s="77" t="s">
        <v>22</v>
      </c>
      <c r="O59" s="177"/>
    </row>
    <row r="60" spans="1:15" s="111" customFormat="1" ht="18">
      <c r="A60" s="12"/>
      <c r="B60" s="372" t="s">
        <v>1668</v>
      </c>
      <c r="C60" s="77" t="s">
        <v>1847</v>
      </c>
      <c r="D60" s="177" t="s">
        <v>17</v>
      </c>
      <c r="E60" s="370">
        <v>0</v>
      </c>
      <c r="F60" s="370">
        <v>0</v>
      </c>
      <c r="G60" s="370">
        <v>0</v>
      </c>
      <c r="H60" s="370">
        <v>0</v>
      </c>
      <c r="I60" s="363">
        <f>SUM(Tabla132112412[[#This Row],[PRIMER TRIMESTRE]:[CUARTO TRIMESTRE]])</f>
        <v>0</v>
      </c>
      <c r="J60" s="466">
        <v>0</v>
      </c>
      <c r="K60" s="466">
        <v>0</v>
      </c>
      <c r="L60" s="175"/>
      <c r="M60" s="77" t="s">
        <v>18</v>
      </c>
      <c r="N60" s="77" t="s">
        <v>22</v>
      </c>
      <c r="O60" s="177"/>
    </row>
    <row r="61" spans="1:15" s="111" customFormat="1" ht="25.5">
      <c r="A61" s="12"/>
      <c r="B61" s="372" t="s">
        <v>46</v>
      </c>
      <c r="C61" s="77" t="s">
        <v>1693</v>
      </c>
      <c r="D61" s="177" t="s">
        <v>17</v>
      </c>
      <c r="E61" s="370">
        <v>0</v>
      </c>
      <c r="F61" s="370">
        <v>0</v>
      </c>
      <c r="G61" s="370">
        <v>0</v>
      </c>
      <c r="H61" s="370">
        <v>0</v>
      </c>
      <c r="I61" s="363">
        <f>SUM(Tabla132112412[[#This Row],[PRIMER TRIMESTRE]:[CUARTO TRIMESTRE]])</f>
        <v>0</v>
      </c>
      <c r="J61" s="466">
        <v>0</v>
      </c>
      <c r="K61" s="466">
        <v>0</v>
      </c>
      <c r="L61" s="175"/>
      <c r="M61" s="77" t="s">
        <v>18</v>
      </c>
      <c r="N61" s="77" t="s">
        <v>22</v>
      </c>
      <c r="O61" s="177"/>
    </row>
    <row r="62" spans="1:15" s="111" customFormat="1" ht="25.5">
      <c r="A62" s="12"/>
      <c r="B62" s="372" t="s">
        <v>46</v>
      </c>
      <c r="C62" s="77" t="s">
        <v>1694</v>
      </c>
      <c r="D62" s="177" t="s">
        <v>17</v>
      </c>
      <c r="E62" s="370">
        <v>0</v>
      </c>
      <c r="F62" s="370">
        <v>0</v>
      </c>
      <c r="G62" s="370">
        <v>0</v>
      </c>
      <c r="H62" s="370">
        <v>0</v>
      </c>
      <c r="I62" s="363">
        <f>SUM(Tabla132112412[[#This Row],[PRIMER TRIMESTRE]:[CUARTO TRIMESTRE]])</f>
        <v>0</v>
      </c>
      <c r="J62" s="466">
        <v>0</v>
      </c>
      <c r="K62" s="466">
        <v>0</v>
      </c>
      <c r="L62" s="175"/>
      <c r="M62" s="77" t="s">
        <v>18</v>
      </c>
      <c r="N62" s="77" t="s">
        <v>22</v>
      </c>
      <c r="O62" s="177"/>
    </row>
    <row r="63" spans="1:15" s="111" customFormat="1" ht="18">
      <c r="A63" s="12"/>
      <c r="B63" s="372" t="s">
        <v>46</v>
      </c>
      <c r="C63" s="77" t="s">
        <v>1393</v>
      </c>
      <c r="D63" s="177" t="s">
        <v>17</v>
      </c>
      <c r="E63" s="370">
        <v>1</v>
      </c>
      <c r="F63" s="370">
        <v>0</v>
      </c>
      <c r="G63" s="370">
        <v>0</v>
      </c>
      <c r="H63" s="370">
        <v>0</v>
      </c>
      <c r="I63" s="363">
        <f>SUM(Tabla132112412[[#This Row],[PRIMER TRIMESTRE]:[CUARTO TRIMESTRE]])</f>
        <v>1</v>
      </c>
      <c r="J63" s="465">
        <v>1800000</v>
      </c>
      <c r="K63" s="465">
        <f t="shared" si="0"/>
        <v>1800000</v>
      </c>
      <c r="L63" s="77"/>
      <c r="M63" s="77" t="s">
        <v>18</v>
      </c>
      <c r="N63" s="77" t="s">
        <v>22</v>
      </c>
      <c r="O63" s="77"/>
    </row>
    <row r="64" spans="1:15" s="111" customFormat="1" ht="18">
      <c r="A64" s="12"/>
      <c r="B64" s="372" t="s">
        <v>46</v>
      </c>
      <c r="C64" s="77" t="s">
        <v>1394</v>
      </c>
      <c r="D64" s="177" t="s">
        <v>17</v>
      </c>
      <c r="E64" s="370">
        <v>0</v>
      </c>
      <c r="F64" s="370">
        <v>0</v>
      </c>
      <c r="G64" s="370">
        <v>0</v>
      </c>
      <c r="H64" s="370">
        <v>0</v>
      </c>
      <c r="I64" s="363">
        <f>SUM(Tabla132112412[[#This Row],[PRIMER TRIMESTRE]:[CUARTO TRIMESTRE]])</f>
        <v>0</v>
      </c>
      <c r="J64" s="465">
        <v>1800000</v>
      </c>
      <c r="K64" s="465">
        <f t="shared" si="0"/>
        <v>0</v>
      </c>
      <c r="L64" s="77"/>
      <c r="M64" s="77" t="s">
        <v>18</v>
      </c>
      <c r="N64" s="77" t="s">
        <v>22</v>
      </c>
      <c r="O64" s="77"/>
    </row>
    <row r="65" spans="1:15" s="111" customFormat="1" ht="18">
      <c r="A65" s="12"/>
      <c r="B65" s="372" t="s">
        <v>46</v>
      </c>
      <c r="C65" s="77" t="s">
        <v>1395</v>
      </c>
      <c r="D65" s="177" t="s">
        <v>17</v>
      </c>
      <c r="E65" s="370">
        <v>1</v>
      </c>
      <c r="F65" s="370">
        <v>0</v>
      </c>
      <c r="G65" s="370">
        <v>0</v>
      </c>
      <c r="H65" s="370">
        <v>0</v>
      </c>
      <c r="I65" s="363">
        <f>SUM(Tabla132112412[[#This Row],[PRIMER TRIMESTRE]:[CUARTO TRIMESTRE]])</f>
        <v>1</v>
      </c>
      <c r="J65" s="465">
        <v>11500000</v>
      </c>
      <c r="K65" s="465">
        <f t="shared" si="0"/>
        <v>11500000</v>
      </c>
      <c r="L65" s="77"/>
      <c r="M65" s="77" t="s">
        <v>18</v>
      </c>
      <c r="N65" s="77" t="s">
        <v>22</v>
      </c>
      <c r="O65" s="77"/>
    </row>
    <row r="66" spans="1:15" s="111" customFormat="1" ht="18">
      <c r="A66" s="12"/>
      <c r="B66" s="372" t="s">
        <v>46</v>
      </c>
      <c r="C66" s="77" t="s">
        <v>1396</v>
      </c>
      <c r="D66" s="177" t="s">
        <v>17</v>
      </c>
      <c r="E66" s="370">
        <v>0</v>
      </c>
      <c r="F66" s="370">
        <v>1</v>
      </c>
      <c r="G66" s="370">
        <v>0</v>
      </c>
      <c r="H66" s="370">
        <v>0</v>
      </c>
      <c r="I66" s="363">
        <f>SUM(Tabla132112412[[#This Row],[PRIMER TRIMESTRE]:[CUARTO TRIMESTRE]])</f>
        <v>1</v>
      </c>
      <c r="J66" s="465">
        <v>8120000</v>
      </c>
      <c r="K66" s="465">
        <f t="shared" si="0"/>
        <v>8120000</v>
      </c>
      <c r="L66" s="77"/>
      <c r="M66" s="77" t="s">
        <v>18</v>
      </c>
      <c r="N66" s="77" t="s">
        <v>22</v>
      </c>
      <c r="O66" s="77"/>
    </row>
    <row r="67" spans="1:15" s="169" customFormat="1" ht="18">
      <c r="A67" s="12"/>
      <c r="B67" s="372" t="s">
        <v>46</v>
      </c>
      <c r="C67" s="77" t="s">
        <v>1622</v>
      </c>
      <c r="D67" s="177" t="s">
        <v>17</v>
      </c>
      <c r="E67" s="370">
        <v>3</v>
      </c>
      <c r="F67" s="370">
        <v>3</v>
      </c>
      <c r="G67" s="370">
        <v>3</v>
      </c>
      <c r="H67" s="370">
        <v>3</v>
      </c>
      <c r="I67" s="363">
        <f>SUM(Tabla132112412[[#This Row],[PRIMER TRIMESTRE]:[CUARTO TRIMESTRE]])</f>
        <v>12</v>
      </c>
      <c r="J67" s="466">
        <v>58223</v>
      </c>
      <c r="K67" s="466">
        <f t="shared" si="0"/>
        <v>698676</v>
      </c>
      <c r="L67" s="175"/>
      <c r="M67" s="77" t="s">
        <v>18</v>
      </c>
      <c r="N67" s="77" t="s">
        <v>22</v>
      </c>
      <c r="O67" s="177" t="s">
        <v>418</v>
      </c>
    </row>
    <row r="68" spans="1:15" s="169" customFormat="1" ht="18">
      <c r="A68" s="12"/>
      <c r="B68" s="372" t="s">
        <v>46</v>
      </c>
      <c r="C68" s="77" t="s">
        <v>1397</v>
      </c>
      <c r="D68" s="177" t="s">
        <v>17</v>
      </c>
      <c r="E68" s="370">
        <v>0</v>
      </c>
      <c r="F68" s="370">
        <v>0</v>
      </c>
      <c r="G68" s="370">
        <v>0</v>
      </c>
      <c r="H68" s="370">
        <v>0</v>
      </c>
      <c r="I68" s="363">
        <f>SUM(Tabla132112412[[#This Row],[PRIMER TRIMESTRE]:[CUARTO TRIMESTRE]])</f>
        <v>0</v>
      </c>
      <c r="J68" s="465">
        <v>55000</v>
      </c>
      <c r="K68" s="465">
        <f t="shared" si="0"/>
        <v>0</v>
      </c>
      <c r="L68" s="77"/>
      <c r="M68" s="77" t="s">
        <v>18</v>
      </c>
      <c r="N68" s="77" t="s">
        <v>22</v>
      </c>
      <c r="O68" s="177" t="s">
        <v>418</v>
      </c>
    </row>
    <row r="69" spans="1:15" s="169" customFormat="1" ht="18">
      <c r="A69" s="12"/>
      <c r="B69" s="372" t="s">
        <v>46</v>
      </c>
      <c r="C69" s="77" t="s">
        <v>550</v>
      </c>
      <c r="D69" s="177" t="s">
        <v>17</v>
      </c>
      <c r="E69" s="370">
        <v>31</v>
      </c>
      <c r="F69" s="370">
        <v>0</v>
      </c>
      <c r="G69" s="370">
        <v>1</v>
      </c>
      <c r="H69" s="370">
        <v>18</v>
      </c>
      <c r="I69" s="363">
        <f>SUM(Tabla132112412[[#This Row],[PRIMER TRIMESTRE]:[CUARTO TRIMESTRE]])</f>
        <v>50</v>
      </c>
      <c r="J69" s="175">
        <v>9480</v>
      </c>
      <c r="K69" s="175">
        <f t="shared" si="0"/>
        <v>474000</v>
      </c>
      <c r="L69" s="175"/>
      <c r="M69" s="77" t="s">
        <v>18</v>
      </c>
      <c r="N69" s="77" t="s">
        <v>22</v>
      </c>
      <c r="O69" s="177" t="s">
        <v>418</v>
      </c>
    </row>
    <row r="70" spans="1:15" s="169" customFormat="1" ht="18">
      <c r="A70" s="12"/>
      <c r="B70" s="372" t="s">
        <v>46</v>
      </c>
      <c r="C70" s="77" t="s">
        <v>551</v>
      </c>
      <c r="D70" s="177" t="s">
        <v>17</v>
      </c>
      <c r="E70" s="370">
        <v>0</v>
      </c>
      <c r="F70" s="370">
        <v>0</v>
      </c>
      <c r="G70" s="370">
        <v>0</v>
      </c>
      <c r="H70" s="370">
        <v>0</v>
      </c>
      <c r="I70" s="363">
        <f>SUM(Tabla132112412[[#This Row],[PRIMER TRIMESTRE]:[CUARTO TRIMESTRE]])</f>
        <v>0</v>
      </c>
      <c r="J70" s="175">
        <v>31680</v>
      </c>
      <c r="K70" s="175">
        <f t="shared" si="0"/>
        <v>0</v>
      </c>
      <c r="L70" s="175"/>
      <c r="M70" s="77" t="s">
        <v>18</v>
      </c>
      <c r="N70" s="77" t="s">
        <v>22</v>
      </c>
      <c r="O70" s="177" t="s">
        <v>418</v>
      </c>
    </row>
    <row r="71" spans="1:15" s="169" customFormat="1" ht="18">
      <c r="A71" s="12"/>
      <c r="B71" s="372" t="s">
        <v>46</v>
      </c>
      <c r="C71" s="77" t="s">
        <v>552</v>
      </c>
      <c r="D71" s="177" t="s">
        <v>17</v>
      </c>
      <c r="E71" s="370">
        <v>12</v>
      </c>
      <c r="F71" s="370">
        <v>1</v>
      </c>
      <c r="G71" s="370">
        <v>0</v>
      </c>
      <c r="H71" s="370">
        <v>0</v>
      </c>
      <c r="I71" s="363">
        <f>SUM(Tabla132112412[[#This Row],[PRIMER TRIMESTRE]:[CUARTO TRIMESTRE]])</f>
        <v>13</v>
      </c>
      <c r="J71" s="175">
        <v>9279.9</v>
      </c>
      <c r="K71" s="175">
        <f t="shared" si="0"/>
        <v>120638.7</v>
      </c>
      <c r="L71" s="175"/>
      <c r="M71" s="77" t="s">
        <v>18</v>
      </c>
      <c r="N71" s="77" t="s">
        <v>22</v>
      </c>
      <c r="O71" s="177" t="s">
        <v>418</v>
      </c>
    </row>
    <row r="72" spans="1:15" s="169" customFormat="1" ht="18">
      <c r="A72" s="12"/>
      <c r="B72" s="372" t="s">
        <v>46</v>
      </c>
      <c r="C72" s="77" t="s">
        <v>54</v>
      </c>
      <c r="D72" s="177" t="s">
        <v>17</v>
      </c>
      <c r="E72" s="370">
        <v>4</v>
      </c>
      <c r="F72" s="370">
        <v>1</v>
      </c>
      <c r="G72" s="370">
        <v>0</v>
      </c>
      <c r="H72" s="370">
        <v>0</v>
      </c>
      <c r="I72" s="363">
        <f>SUM(Tabla132112412[[#This Row],[PRIMER TRIMESTRE]:[CUARTO TRIMESTRE]])</f>
        <v>5</v>
      </c>
      <c r="J72" s="175">
        <v>9079.9</v>
      </c>
      <c r="K72" s="175">
        <f t="shared" si="0"/>
        <v>45399.5</v>
      </c>
      <c r="L72" s="175"/>
      <c r="M72" s="77" t="s">
        <v>18</v>
      </c>
      <c r="N72" s="77" t="s">
        <v>22</v>
      </c>
      <c r="O72" s="177" t="s">
        <v>418</v>
      </c>
    </row>
    <row r="73" spans="1:15" s="169" customFormat="1" ht="18">
      <c r="A73" s="12"/>
      <c r="B73" s="372" t="s">
        <v>46</v>
      </c>
      <c r="C73" s="77" t="s">
        <v>53</v>
      </c>
      <c r="D73" s="177" t="s">
        <v>17</v>
      </c>
      <c r="E73" s="370">
        <v>0</v>
      </c>
      <c r="F73" s="370">
        <v>0</v>
      </c>
      <c r="G73" s="370">
        <v>0</v>
      </c>
      <c r="H73" s="370">
        <v>0</v>
      </c>
      <c r="I73" s="363">
        <f>SUM(Tabla132112412[[#This Row],[PRIMER TRIMESTRE]:[CUARTO TRIMESTRE]])</f>
        <v>0</v>
      </c>
      <c r="J73" s="175">
        <v>9048</v>
      </c>
      <c r="K73" s="175">
        <f t="shared" si="0"/>
        <v>0</v>
      </c>
      <c r="L73" s="175"/>
      <c r="M73" s="77" t="s">
        <v>18</v>
      </c>
      <c r="N73" s="77" t="s">
        <v>22</v>
      </c>
      <c r="O73" s="177" t="s">
        <v>418</v>
      </c>
    </row>
    <row r="74" spans="1:15" s="169" customFormat="1" ht="18">
      <c r="A74" s="12"/>
      <c r="B74" s="372" t="s">
        <v>46</v>
      </c>
      <c r="C74" s="77" t="s">
        <v>553</v>
      </c>
      <c r="D74" s="177" t="s">
        <v>17</v>
      </c>
      <c r="E74" s="370">
        <v>1</v>
      </c>
      <c r="F74" s="370">
        <v>0</v>
      </c>
      <c r="G74" s="370">
        <v>1</v>
      </c>
      <c r="H74" s="370">
        <v>1</v>
      </c>
      <c r="I74" s="363">
        <f>SUM(Tabla132112412[[#This Row],[PRIMER TRIMESTRE]:[CUARTO TRIMESTRE]])</f>
        <v>3</v>
      </c>
      <c r="J74" s="175">
        <v>7043.16</v>
      </c>
      <c r="K74" s="175">
        <f t="shared" si="0"/>
        <v>21129.48</v>
      </c>
      <c r="L74" s="175"/>
      <c r="M74" s="77" t="s">
        <v>18</v>
      </c>
      <c r="N74" s="77" t="s">
        <v>22</v>
      </c>
      <c r="O74" s="177" t="s">
        <v>418</v>
      </c>
    </row>
    <row r="75" spans="1:15" s="169" customFormat="1" ht="18">
      <c r="A75" s="12"/>
      <c r="B75" s="372" t="s">
        <v>46</v>
      </c>
      <c r="C75" s="77" t="s">
        <v>554</v>
      </c>
      <c r="D75" s="177" t="s">
        <v>17</v>
      </c>
      <c r="E75" s="370">
        <v>0</v>
      </c>
      <c r="F75" s="370">
        <v>0</v>
      </c>
      <c r="G75" s="370">
        <v>0</v>
      </c>
      <c r="H75" s="370">
        <v>0</v>
      </c>
      <c r="I75" s="363">
        <f>SUM(Tabla132112412[[#This Row],[PRIMER TRIMESTRE]:[CUARTO TRIMESTRE]])</f>
        <v>0</v>
      </c>
      <c r="J75" s="175">
        <v>12210</v>
      </c>
      <c r="K75" s="175">
        <f t="shared" si="0"/>
        <v>0</v>
      </c>
      <c r="L75" s="175"/>
      <c r="M75" s="77" t="s">
        <v>18</v>
      </c>
      <c r="N75" s="77" t="s">
        <v>22</v>
      </c>
      <c r="O75" s="177" t="s">
        <v>418</v>
      </c>
    </row>
    <row r="76" spans="1:15" s="169" customFormat="1" ht="18">
      <c r="A76" s="12"/>
      <c r="B76" s="372" t="s">
        <v>46</v>
      </c>
      <c r="C76" s="77" t="s">
        <v>555</v>
      </c>
      <c r="D76" s="177" t="s">
        <v>17</v>
      </c>
      <c r="E76" s="370">
        <v>0</v>
      </c>
      <c r="F76" s="370">
        <v>1</v>
      </c>
      <c r="G76" s="370">
        <v>0</v>
      </c>
      <c r="H76" s="370">
        <v>0</v>
      </c>
      <c r="I76" s="363">
        <f>SUM(Tabla132112412[[#This Row],[PRIMER TRIMESTRE]:[CUARTO TRIMESTRE]])</f>
        <v>1</v>
      </c>
      <c r="J76" s="175">
        <v>4029.25</v>
      </c>
      <c r="K76" s="175">
        <f t="shared" si="0"/>
        <v>4029.25</v>
      </c>
      <c r="L76" s="175"/>
      <c r="M76" s="77" t="s">
        <v>18</v>
      </c>
      <c r="N76" s="77" t="s">
        <v>22</v>
      </c>
      <c r="O76" s="177" t="s">
        <v>418</v>
      </c>
    </row>
    <row r="77" spans="1:15" s="169" customFormat="1" ht="18">
      <c r="A77" s="12"/>
      <c r="B77" s="372" t="s">
        <v>46</v>
      </c>
      <c r="C77" s="77" t="s">
        <v>556</v>
      </c>
      <c r="D77" s="177" t="s">
        <v>17</v>
      </c>
      <c r="E77" s="370">
        <v>0</v>
      </c>
      <c r="F77" s="370">
        <v>1</v>
      </c>
      <c r="G77" s="370">
        <v>0</v>
      </c>
      <c r="H77" s="370">
        <v>0</v>
      </c>
      <c r="I77" s="363">
        <f>SUM(Tabla132112412[[#This Row],[PRIMER TRIMESTRE]:[CUARTO TRIMESTRE]])</f>
        <v>1</v>
      </c>
      <c r="J77" s="175">
        <v>33660</v>
      </c>
      <c r="K77" s="175">
        <f t="shared" si="0"/>
        <v>33660</v>
      </c>
      <c r="L77" s="175"/>
      <c r="M77" s="77" t="s">
        <v>18</v>
      </c>
      <c r="N77" s="77" t="s">
        <v>22</v>
      </c>
      <c r="O77" s="177" t="s">
        <v>418</v>
      </c>
    </row>
    <row r="78" spans="1:15" s="169" customFormat="1" ht="18">
      <c r="A78" s="12"/>
      <c r="B78" s="372" t="s">
        <v>46</v>
      </c>
      <c r="C78" s="454" t="s">
        <v>2049</v>
      </c>
      <c r="D78" s="455" t="s">
        <v>17</v>
      </c>
      <c r="E78" s="362">
        <v>6</v>
      </c>
      <c r="F78" s="362"/>
      <c r="G78" s="362">
        <v>6</v>
      </c>
      <c r="H78" s="362"/>
      <c r="I78" s="363">
        <f>SUM(Tabla132112412[[#This Row],[PRIMER TRIMESTRE]:[CUARTO TRIMESTRE]])</f>
        <v>12</v>
      </c>
      <c r="J78" s="175"/>
      <c r="K78" s="175"/>
      <c r="L78" s="175"/>
      <c r="M78" s="77"/>
      <c r="N78" s="77"/>
      <c r="O78" s="177"/>
    </row>
    <row r="79" spans="1:15" s="243" customFormat="1" ht="18">
      <c r="A79" s="12"/>
      <c r="B79" s="372" t="s">
        <v>46</v>
      </c>
      <c r="C79" s="77" t="s">
        <v>557</v>
      </c>
      <c r="D79" s="177" t="s">
        <v>17</v>
      </c>
      <c r="E79" s="370">
        <v>0</v>
      </c>
      <c r="F79" s="370">
        <v>0</v>
      </c>
      <c r="G79" s="370">
        <v>0</v>
      </c>
      <c r="H79" s="370">
        <v>0</v>
      </c>
      <c r="I79" s="363">
        <f>SUM(Tabla132112412[[#This Row],[PRIMER TRIMESTRE]:[CUARTO TRIMESTRE]])</f>
        <v>0</v>
      </c>
      <c r="J79" s="175">
        <v>27205.48</v>
      </c>
      <c r="K79" s="175">
        <f t="shared" si="0"/>
        <v>0</v>
      </c>
      <c r="L79" s="175"/>
      <c r="M79" s="77" t="s">
        <v>18</v>
      </c>
      <c r="N79" s="77" t="s">
        <v>22</v>
      </c>
      <c r="O79" s="177" t="s">
        <v>418</v>
      </c>
    </row>
    <row r="80" spans="1:15" s="169" customFormat="1" ht="18">
      <c r="A80" s="12"/>
      <c r="B80" s="372" t="s">
        <v>46</v>
      </c>
      <c r="C80" s="77" t="s">
        <v>558</v>
      </c>
      <c r="D80" s="177" t="s">
        <v>17</v>
      </c>
      <c r="E80" s="370">
        <v>0</v>
      </c>
      <c r="F80" s="370">
        <v>0</v>
      </c>
      <c r="G80" s="370">
        <v>0</v>
      </c>
      <c r="H80" s="370">
        <v>0</v>
      </c>
      <c r="I80" s="363">
        <f>SUM(Tabla132112412[[#This Row],[PRIMER TRIMESTRE]:[CUARTO TRIMESTRE]])</f>
        <v>0</v>
      </c>
      <c r="J80" s="175">
        <v>14272.5</v>
      </c>
      <c r="K80" s="175">
        <f t="shared" si="0"/>
        <v>0</v>
      </c>
      <c r="L80" s="175"/>
      <c r="M80" s="77" t="s">
        <v>18</v>
      </c>
      <c r="N80" s="77" t="s">
        <v>22</v>
      </c>
      <c r="O80" s="177" t="s">
        <v>418</v>
      </c>
    </row>
    <row r="81" spans="1:15" s="169" customFormat="1" ht="18">
      <c r="A81" s="12"/>
      <c r="B81" s="372" t="s">
        <v>46</v>
      </c>
      <c r="C81" s="77" t="s">
        <v>1398</v>
      </c>
      <c r="D81" s="177" t="s">
        <v>17</v>
      </c>
      <c r="E81" s="370">
        <v>4</v>
      </c>
      <c r="F81" s="370"/>
      <c r="G81" s="370">
        <v>4</v>
      </c>
      <c r="H81" s="370">
        <v>0</v>
      </c>
      <c r="I81" s="363">
        <f>SUM(Tabla132112412[[#This Row],[PRIMER TRIMESTRE]:[CUARTO TRIMESTRE]])</f>
        <v>8</v>
      </c>
      <c r="J81" s="175">
        <v>9279.9</v>
      </c>
      <c r="K81" s="175">
        <f t="shared" si="0"/>
        <v>74239.199999999997</v>
      </c>
      <c r="L81" s="175"/>
      <c r="M81" s="77" t="s">
        <v>18</v>
      </c>
      <c r="N81" s="77" t="s">
        <v>22</v>
      </c>
      <c r="O81" s="177" t="s">
        <v>418</v>
      </c>
    </row>
    <row r="82" spans="1:15" s="169" customFormat="1" ht="18">
      <c r="A82" s="12"/>
      <c r="B82" s="372" t="s">
        <v>46</v>
      </c>
      <c r="C82" s="454" t="s">
        <v>2050</v>
      </c>
      <c r="D82" s="455" t="s">
        <v>17</v>
      </c>
      <c r="E82" s="362">
        <v>4</v>
      </c>
      <c r="F82" s="362"/>
      <c r="G82" s="362">
        <v>4</v>
      </c>
      <c r="H82" s="362"/>
      <c r="I82" s="363">
        <f>SUM(Tabla132112412[[#This Row],[PRIMER TRIMESTRE]:[CUARTO TRIMESTRE]])</f>
        <v>8</v>
      </c>
      <c r="J82" s="175"/>
      <c r="K82" s="175"/>
      <c r="L82" s="175"/>
      <c r="M82" s="77"/>
      <c r="N82" s="77"/>
      <c r="O82" s="177"/>
    </row>
    <row r="83" spans="1:15" s="169" customFormat="1" ht="18">
      <c r="A83" s="12"/>
      <c r="B83" s="372" t="s">
        <v>46</v>
      </c>
      <c r="C83" s="77" t="s">
        <v>560</v>
      </c>
      <c r="D83" s="177" t="s">
        <v>17</v>
      </c>
      <c r="E83" s="370">
        <v>8</v>
      </c>
      <c r="F83" s="370">
        <v>0</v>
      </c>
      <c r="G83" s="370">
        <v>0</v>
      </c>
      <c r="H83" s="370">
        <v>0</v>
      </c>
      <c r="I83" s="363">
        <f>SUM(Tabla132112412[[#This Row],[PRIMER TRIMESTRE]:[CUARTO TRIMESTRE]])</f>
        <v>8</v>
      </c>
      <c r="J83" s="175">
        <v>14190</v>
      </c>
      <c r="K83" s="175">
        <f t="shared" si="0"/>
        <v>113520</v>
      </c>
      <c r="L83" s="175"/>
      <c r="M83" s="77" t="s">
        <v>18</v>
      </c>
      <c r="N83" s="77" t="s">
        <v>22</v>
      </c>
      <c r="O83" s="177" t="s">
        <v>418</v>
      </c>
    </row>
    <row r="84" spans="1:15" s="169" customFormat="1" ht="18">
      <c r="A84" s="12"/>
      <c r="B84" s="372" t="s">
        <v>46</v>
      </c>
      <c r="C84" s="77" t="s">
        <v>561</v>
      </c>
      <c r="D84" s="177" t="s">
        <v>17</v>
      </c>
      <c r="E84" s="370">
        <v>0</v>
      </c>
      <c r="F84" s="370">
        <v>0</v>
      </c>
      <c r="G84" s="370">
        <v>0</v>
      </c>
      <c r="H84" s="370">
        <v>0</v>
      </c>
      <c r="I84" s="363">
        <f>SUM(Tabla132112412[[#This Row],[PRIMER TRIMESTRE]:[CUARTO TRIMESTRE]])</f>
        <v>0</v>
      </c>
      <c r="J84" s="175">
        <v>4200</v>
      </c>
      <c r="K84" s="175">
        <f t="shared" si="0"/>
        <v>0</v>
      </c>
      <c r="L84" s="175"/>
      <c r="M84" s="77" t="s">
        <v>18</v>
      </c>
      <c r="N84" s="77" t="s">
        <v>22</v>
      </c>
      <c r="O84" s="177" t="s">
        <v>418</v>
      </c>
    </row>
    <row r="85" spans="1:15" s="169" customFormat="1" ht="18">
      <c r="A85" s="12"/>
      <c r="B85" s="372" t="s">
        <v>46</v>
      </c>
      <c r="C85" s="77" t="s">
        <v>764</v>
      </c>
      <c r="D85" s="177" t="s">
        <v>17</v>
      </c>
      <c r="E85" s="370">
        <v>0</v>
      </c>
      <c r="F85" s="370">
        <v>0</v>
      </c>
      <c r="G85" s="370">
        <v>0</v>
      </c>
      <c r="H85" s="370">
        <v>0</v>
      </c>
      <c r="I85" s="363">
        <f>SUM(Tabla132112412[[#This Row],[PRIMER TRIMESTRE]:[CUARTO TRIMESTRE]])</f>
        <v>0</v>
      </c>
      <c r="J85" s="175">
        <v>12650</v>
      </c>
      <c r="K85" s="175">
        <f t="shared" si="0"/>
        <v>0</v>
      </c>
      <c r="L85" s="175"/>
      <c r="M85" s="77" t="s">
        <v>18</v>
      </c>
      <c r="N85" s="77" t="s">
        <v>22</v>
      </c>
      <c r="O85" s="177" t="s">
        <v>418</v>
      </c>
    </row>
    <row r="86" spans="1:15" s="26" customFormat="1" ht="18">
      <c r="A86" s="12"/>
      <c r="B86" s="372" t="s">
        <v>46</v>
      </c>
      <c r="C86" s="77" t="s">
        <v>1399</v>
      </c>
      <c r="D86" s="177" t="s">
        <v>17</v>
      </c>
      <c r="E86" s="370">
        <v>0</v>
      </c>
      <c r="F86" s="370">
        <v>0</v>
      </c>
      <c r="G86" s="370">
        <v>0</v>
      </c>
      <c r="H86" s="370">
        <v>0</v>
      </c>
      <c r="I86" s="363">
        <f>SUM(Tabla132112412[[#This Row],[PRIMER TRIMESTRE]:[CUARTO TRIMESTRE]])</f>
        <v>0</v>
      </c>
      <c r="J86" s="175">
        <v>8500</v>
      </c>
      <c r="K86" s="175">
        <f t="shared" si="0"/>
        <v>0</v>
      </c>
      <c r="L86" s="175"/>
      <c r="M86" s="77" t="s">
        <v>18</v>
      </c>
      <c r="N86" s="77" t="s">
        <v>22</v>
      </c>
      <c r="O86" s="177" t="s">
        <v>418</v>
      </c>
    </row>
    <row r="87" spans="1:15" s="169" customFormat="1" ht="18">
      <c r="A87" s="12"/>
      <c r="B87" s="372" t="s">
        <v>46</v>
      </c>
      <c r="C87" s="77" t="s">
        <v>1400</v>
      </c>
      <c r="D87" s="177" t="s">
        <v>17</v>
      </c>
      <c r="E87" s="370">
        <v>8</v>
      </c>
      <c r="F87" s="370">
        <v>0</v>
      </c>
      <c r="G87" s="370">
        <v>0</v>
      </c>
      <c r="H87" s="370">
        <v>0</v>
      </c>
      <c r="I87" s="363">
        <f>SUM(Tabla132112412[[#This Row],[PRIMER TRIMESTRE]:[CUARTO TRIMESTRE]])</f>
        <v>8</v>
      </c>
      <c r="J87" s="175">
        <v>9500</v>
      </c>
      <c r="K87" s="175">
        <f t="shared" si="0"/>
        <v>76000</v>
      </c>
      <c r="L87" s="175"/>
      <c r="M87" s="77" t="s">
        <v>18</v>
      </c>
      <c r="N87" s="77" t="s">
        <v>22</v>
      </c>
      <c r="O87" s="177" t="s">
        <v>418</v>
      </c>
    </row>
    <row r="88" spans="1:15" s="169" customFormat="1" ht="18">
      <c r="A88" s="12"/>
      <c r="B88" s="372" t="s">
        <v>46</v>
      </c>
      <c r="C88" s="77" t="s">
        <v>2051</v>
      </c>
      <c r="D88" s="177" t="s">
        <v>17</v>
      </c>
      <c r="E88" s="370">
        <v>2</v>
      </c>
      <c r="F88" s="370">
        <v>0</v>
      </c>
      <c r="G88" s="370">
        <v>0</v>
      </c>
      <c r="H88" s="370">
        <v>0</v>
      </c>
      <c r="I88" s="363">
        <f>SUM(Tabla132112412[[#This Row],[PRIMER TRIMESTRE]:[CUARTO TRIMESTRE]])</f>
        <v>2</v>
      </c>
      <c r="J88" s="175">
        <v>48565</v>
      </c>
      <c r="K88" s="175">
        <f t="shared" si="0"/>
        <v>97130</v>
      </c>
      <c r="L88" s="175"/>
      <c r="M88" s="77"/>
      <c r="N88" s="77"/>
      <c r="O88" s="177"/>
    </row>
    <row r="89" spans="1:15" s="169" customFormat="1" ht="18">
      <c r="A89" s="12"/>
      <c r="B89" s="372" t="s">
        <v>46</v>
      </c>
      <c r="C89" s="77" t="s">
        <v>2052</v>
      </c>
      <c r="D89" s="177" t="s">
        <v>17</v>
      </c>
      <c r="E89" s="370">
        <v>2</v>
      </c>
      <c r="F89" s="370">
        <v>0</v>
      </c>
      <c r="G89" s="370">
        <v>0</v>
      </c>
      <c r="H89" s="370">
        <v>0</v>
      </c>
      <c r="I89" s="363">
        <f>SUM(Tabla132112412[[#This Row],[PRIMER TRIMESTRE]:[CUARTO TRIMESTRE]])</f>
        <v>2</v>
      </c>
      <c r="J89" s="175">
        <v>36890</v>
      </c>
      <c r="K89" s="175">
        <f t="shared" si="0"/>
        <v>73780</v>
      </c>
      <c r="L89" s="175"/>
      <c r="M89" s="77"/>
      <c r="N89" s="77"/>
      <c r="O89" s="177"/>
    </row>
    <row r="90" spans="1:15" s="169" customFormat="1" ht="18">
      <c r="A90" s="12"/>
      <c r="B90" s="467" t="s">
        <v>46</v>
      </c>
      <c r="C90" s="468"/>
      <c r="D90" s="468"/>
      <c r="E90" s="370"/>
      <c r="F90" s="370"/>
      <c r="G90" s="370"/>
      <c r="H90" s="370"/>
      <c r="I90" s="363">
        <f>SUM(Tabla132112412[[#This Row],[PRIMER TRIMESTRE]:[CUARTO TRIMESTRE]])</f>
        <v>0</v>
      </c>
      <c r="J90" s="175"/>
      <c r="K90" s="175"/>
      <c r="L90" s="451">
        <f>SUBTOTAL(109,K55:K89)</f>
        <v>71155925.970000014</v>
      </c>
      <c r="M90" s="77"/>
      <c r="N90" s="77"/>
      <c r="O90" s="177"/>
    </row>
    <row r="91" spans="1:15" s="169" customFormat="1" ht="18">
      <c r="A91" s="12"/>
      <c r="B91" s="372" t="s">
        <v>56</v>
      </c>
      <c r="C91" s="454" t="s">
        <v>2053</v>
      </c>
      <c r="D91" s="455" t="s">
        <v>17</v>
      </c>
      <c r="E91" s="362"/>
      <c r="F91" s="362"/>
      <c r="G91" s="362"/>
      <c r="H91" s="362">
        <v>4</v>
      </c>
      <c r="I91" s="363">
        <f>SUM(Tabla132112412[[#This Row],[PRIMER TRIMESTRE]:[CUARTO TRIMESTRE]])</f>
        <v>4</v>
      </c>
      <c r="J91" s="175"/>
      <c r="K91" s="175"/>
      <c r="L91" s="175"/>
      <c r="M91" s="77"/>
      <c r="N91" s="77"/>
      <c r="O91" s="177"/>
    </row>
    <row r="92" spans="1:15" s="169" customFormat="1" ht="18">
      <c r="A92" s="12"/>
      <c r="B92" s="372" t="s">
        <v>56</v>
      </c>
      <c r="C92" s="77" t="s">
        <v>563</v>
      </c>
      <c r="D92" s="177" t="s">
        <v>17</v>
      </c>
      <c r="E92" s="370">
        <v>7</v>
      </c>
      <c r="F92" s="370">
        <v>0</v>
      </c>
      <c r="G92" s="370">
        <v>5</v>
      </c>
      <c r="H92" s="370">
        <v>0</v>
      </c>
      <c r="I92" s="363">
        <f>SUM(Tabla132112412[[#This Row],[PRIMER TRIMESTRE]:[CUARTO TRIMESTRE]])</f>
        <v>12</v>
      </c>
      <c r="J92" s="175">
        <v>4500</v>
      </c>
      <c r="K92" s="175">
        <f>+I92*J92</f>
        <v>54000</v>
      </c>
      <c r="L92" s="175"/>
      <c r="M92" s="77" t="s">
        <v>27</v>
      </c>
      <c r="N92" s="77" t="s">
        <v>22</v>
      </c>
      <c r="O92" s="177" t="s">
        <v>418</v>
      </c>
    </row>
    <row r="93" spans="1:15" s="169" customFormat="1" ht="18">
      <c r="A93" s="12"/>
      <c r="B93" s="372" t="s">
        <v>56</v>
      </c>
      <c r="C93" s="77" t="s">
        <v>562</v>
      </c>
      <c r="D93" s="177" t="s">
        <v>17</v>
      </c>
      <c r="E93" s="370">
        <v>0</v>
      </c>
      <c r="F93" s="370">
        <v>2</v>
      </c>
      <c r="G93" s="370">
        <v>0</v>
      </c>
      <c r="H93" s="370">
        <v>0</v>
      </c>
      <c r="I93" s="363">
        <f>SUM(Tabla132112412[[#This Row],[PRIMER TRIMESTRE]:[CUARTO TRIMESTRE]])</f>
        <v>2</v>
      </c>
      <c r="J93" s="175">
        <v>6800</v>
      </c>
      <c r="K93" s="175">
        <f>+I93*J93</f>
        <v>13600</v>
      </c>
      <c r="L93" s="175"/>
      <c r="M93" s="77" t="s">
        <v>27</v>
      </c>
      <c r="N93" s="77" t="s">
        <v>22</v>
      </c>
      <c r="O93" s="177" t="s">
        <v>418</v>
      </c>
    </row>
    <row r="94" spans="1:15" s="169" customFormat="1" ht="18">
      <c r="A94" s="12"/>
      <c r="B94" s="372" t="s">
        <v>56</v>
      </c>
      <c r="C94" s="77" t="s">
        <v>61</v>
      </c>
      <c r="D94" s="177" t="s">
        <v>17</v>
      </c>
      <c r="E94" s="370">
        <v>17</v>
      </c>
      <c r="F94" s="370">
        <v>0</v>
      </c>
      <c r="G94" s="370">
        <v>2</v>
      </c>
      <c r="H94" s="370">
        <v>0</v>
      </c>
      <c r="I94" s="363">
        <f>SUM(Tabla132112412[[#This Row],[PRIMER TRIMESTRE]:[CUARTO TRIMESTRE]])</f>
        <v>19</v>
      </c>
      <c r="J94" s="175">
        <f>3600*1.2</f>
        <v>4320</v>
      </c>
      <c r="K94" s="175">
        <f>+Tabla132112412[[#This Row],[CANTIDAD TOTAL]]*Tabla132112412[[#This Row],[PRECIO UNITARIO ESTIMADO]]</f>
        <v>82080</v>
      </c>
      <c r="L94" s="175"/>
      <c r="M94" s="77" t="s">
        <v>27</v>
      </c>
      <c r="N94" s="77" t="s">
        <v>22</v>
      </c>
      <c r="O94" s="177" t="s">
        <v>418</v>
      </c>
    </row>
    <row r="95" spans="1:15" s="169" customFormat="1" ht="18">
      <c r="A95" s="12"/>
      <c r="B95" s="372" t="s">
        <v>56</v>
      </c>
      <c r="C95" s="77" t="s">
        <v>63</v>
      </c>
      <c r="D95" s="177" t="s">
        <v>17</v>
      </c>
      <c r="E95" s="370">
        <v>13</v>
      </c>
      <c r="F95" s="370">
        <v>3</v>
      </c>
      <c r="G95" s="370">
        <v>3</v>
      </c>
      <c r="H95" s="370">
        <v>18</v>
      </c>
      <c r="I95" s="363">
        <f>SUM(Tabla132112412[[#This Row],[PRIMER TRIMESTRE]:[CUARTO TRIMESTRE]])</f>
        <v>37</v>
      </c>
      <c r="J95" s="175">
        <v>6409</v>
      </c>
      <c r="K95" s="175">
        <f>+Tabla132112412[[#This Row],[CANTIDAD TOTAL]]*Tabla132112412[[#This Row],[PRECIO UNITARIO ESTIMADO]]</f>
        <v>237133</v>
      </c>
      <c r="L95" s="175"/>
      <c r="M95" s="77" t="s">
        <v>27</v>
      </c>
      <c r="N95" s="77" t="s">
        <v>22</v>
      </c>
      <c r="O95" s="177" t="s">
        <v>418</v>
      </c>
    </row>
    <row r="96" spans="1:15" s="169" customFormat="1" ht="18">
      <c r="A96" s="12"/>
      <c r="B96" s="372" t="s">
        <v>56</v>
      </c>
      <c r="C96" s="77" t="s">
        <v>64</v>
      </c>
      <c r="D96" s="177" t="s">
        <v>17</v>
      </c>
      <c r="E96" s="370">
        <v>3</v>
      </c>
      <c r="F96" s="370">
        <v>0</v>
      </c>
      <c r="G96" s="370">
        <v>3</v>
      </c>
      <c r="H96" s="370">
        <v>0</v>
      </c>
      <c r="I96" s="363">
        <f>SUM(Tabla132112412[[#This Row],[PRIMER TRIMESTRE]:[CUARTO TRIMESTRE]])</f>
        <v>6</v>
      </c>
      <c r="J96" s="175">
        <v>6500</v>
      </c>
      <c r="K96" s="175">
        <f>+Tabla132112412[[#This Row],[CANTIDAD TOTAL]]*Tabla132112412[[#This Row],[PRECIO UNITARIO ESTIMADO]]</f>
        <v>39000</v>
      </c>
      <c r="L96" s="175"/>
      <c r="M96" s="77" t="s">
        <v>27</v>
      </c>
      <c r="N96" s="77" t="s">
        <v>22</v>
      </c>
      <c r="O96" s="177" t="s">
        <v>418</v>
      </c>
    </row>
    <row r="97" spans="1:15" s="169" customFormat="1" ht="18">
      <c r="A97" s="12"/>
      <c r="B97" s="372" t="s">
        <v>56</v>
      </c>
      <c r="C97" s="77" t="s">
        <v>65</v>
      </c>
      <c r="D97" s="177" t="s">
        <v>17</v>
      </c>
      <c r="E97" s="370">
        <v>0</v>
      </c>
      <c r="F97" s="370">
        <v>0</v>
      </c>
      <c r="G97" s="370">
        <v>0</v>
      </c>
      <c r="H97" s="370">
        <v>0</v>
      </c>
      <c r="I97" s="363">
        <f>SUM(Tabla132112412[[#This Row],[PRIMER TRIMESTRE]:[CUARTO TRIMESTRE]])</f>
        <v>0</v>
      </c>
      <c r="J97" s="175">
        <v>6500</v>
      </c>
      <c r="K97" s="175">
        <f>+I97*J97</f>
        <v>0</v>
      </c>
      <c r="L97" s="175"/>
      <c r="M97" s="77" t="s">
        <v>27</v>
      </c>
      <c r="N97" s="77" t="s">
        <v>22</v>
      </c>
      <c r="O97" s="177" t="s">
        <v>418</v>
      </c>
    </row>
    <row r="98" spans="1:15" s="169" customFormat="1" ht="18">
      <c r="A98" s="12"/>
      <c r="B98" s="372" t="s">
        <v>56</v>
      </c>
      <c r="C98" s="77" t="s">
        <v>1422</v>
      </c>
      <c r="D98" s="177" t="s">
        <v>17</v>
      </c>
      <c r="E98" s="370">
        <v>2</v>
      </c>
      <c r="F98" s="370">
        <v>2</v>
      </c>
      <c r="G98" s="370">
        <v>2</v>
      </c>
      <c r="H98" s="370">
        <v>2</v>
      </c>
      <c r="I98" s="363">
        <f>SUM(Tabla132112412[[#This Row],[PRIMER TRIMESTRE]:[CUARTO TRIMESTRE]])</f>
        <v>8</v>
      </c>
      <c r="J98" s="175">
        <v>7965.33</v>
      </c>
      <c r="K98" s="175">
        <f>+Tabla132112412[[#This Row],[CANTIDAD TOTAL]]*Tabla132112412[[#This Row],[PRECIO UNITARIO ESTIMADO]]</f>
        <v>63722.64</v>
      </c>
      <c r="L98" s="175"/>
      <c r="M98" s="77" t="s">
        <v>27</v>
      </c>
      <c r="N98" s="77" t="s">
        <v>22</v>
      </c>
      <c r="O98" s="177" t="s">
        <v>418</v>
      </c>
    </row>
    <row r="99" spans="1:15" s="111" customFormat="1" ht="18">
      <c r="A99" s="12"/>
      <c r="B99" s="372" t="s">
        <v>56</v>
      </c>
      <c r="C99" s="77" t="s">
        <v>66</v>
      </c>
      <c r="D99" s="177" t="s">
        <v>17</v>
      </c>
      <c r="E99" s="370">
        <v>0</v>
      </c>
      <c r="F99" s="370">
        <v>0</v>
      </c>
      <c r="G99" s="370">
        <v>0</v>
      </c>
      <c r="H99" s="370">
        <v>0</v>
      </c>
      <c r="I99" s="363">
        <f>SUM(Tabla132112412[[#This Row],[PRIMER TRIMESTRE]:[CUARTO TRIMESTRE]])</f>
        <v>0</v>
      </c>
      <c r="J99" s="175">
        <v>9976</v>
      </c>
      <c r="K99" s="175">
        <f>+Tabla132112412[[#This Row],[CANTIDAD TOTAL]]*Tabla132112412[[#This Row],[PRECIO UNITARIO ESTIMADO]]</f>
        <v>0</v>
      </c>
      <c r="L99" s="175"/>
      <c r="M99" s="77" t="s">
        <v>27</v>
      </c>
      <c r="N99" s="77" t="s">
        <v>22</v>
      </c>
      <c r="O99" s="177" t="s">
        <v>418</v>
      </c>
    </row>
    <row r="100" spans="1:15" s="111" customFormat="1" ht="18">
      <c r="A100" s="12"/>
      <c r="B100" s="372" t="s">
        <v>56</v>
      </c>
      <c r="C100" s="77" t="s">
        <v>1848</v>
      </c>
      <c r="D100" s="177" t="s">
        <v>17</v>
      </c>
      <c r="E100" s="370">
        <v>4</v>
      </c>
      <c r="F100" s="370">
        <v>3</v>
      </c>
      <c r="G100" s="370">
        <v>3</v>
      </c>
      <c r="H100" s="370">
        <v>0</v>
      </c>
      <c r="I100" s="363">
        <f>SUM(Tabla132112412[[#This Row],[PRIMER TRIMESTRE]:[CUARTO TRIMESTRE]])</f>
        <v>10</v>
      </c>
      <c r="J100" s="175">
        <v>0</v>
      </c>
      <c r="K100" s="175">
        <v>0</v>
      </c>
      <c r="L100" s="175"/>
      <c r="M100" s="77" t="s">
        <v>27</v>
      </c>
      <c r="N100" s="77" t="s">
        <v>22</v>
      </c>
      <c r="O100" s="177" t="s">
        <v>418</v>
      </c>
    </row>
    <row r="101" spans="1:15" s="26" customFormat="1" ht="18">
      <c r="A101" s="12"/>
      <c r="B101" s="372" t="s">
        <v>56</v>
      </c>
      <c r="C101" s="77" t="s">
        <v>765</v>
      </c>
      <c r="D101" s="177" t="s">
        <v>17</v>
      </c>
      <c r="E101" s="370">
        <v>0</v>
      </c>
      <c r="F101" s="370">
        <v>0</v>
      </c>
      <c r="G101" s="370">
        <v>0</v>
      </c>
      <c r="H101" s="370">
        <v>0</v>
      </c>
      <c r="I101" s="363">
        <f>SUM(Tabla132112412[[#This Row],[PRIMER TRIMESTRE]:[CUARTO TRIMESTRE]])</f>
        <v>0</v>
      </c>
      <c r="J101" s="175">
        <v>11500</v>
      </c>
      <c r="K101" s="175">
        <f>+I101*J101</f>
        <v>0</v>
      </c>
      <c r="L101" s="175"/>
      <c r="M101" s="77" t="s">
        <v>27</v>
      </c>
      <c r="N101" s="77" t="s">
        <v>22</v>
      </c>
      <c r="O101" s="177" t="s">
        <v>418</v>
      </c>
    </row>
    <row r="102" spans="1:15" s="12" customFormat="1" ht="18">
      <c r="B102" s="372" t="s">
        <v>56</v>
      </c>
      <c r="C102" s="77" t="s">
        <v>1401</v>
      </c>
      <c r="D102" s="177" t="s">
        <v>17</v>
      </c>
      <c r="E102" s="370">
        <v>0</v>
      </c>
      <c r="F102" s="370">
        <v>0</v>
      </c>
      <c r="G102" s="370">
        <v>0</v>
      </c>
      <c r="H102" s="370">
        <v>0</v>
      </c>
      <c r="I102" s="363">
        <f>SUM(Tabla132112412[[#This Row],[PRIMER TRIMESTRE]:[CUARTO TRIMESTRE]])</f>
        <v>0</v>
      </c>
      <c r="J102" s="175">
        <v>250</v>
      </c>
      <c r="K102" s="175">
        <f>+I102*J102</f>
        <v>0</v>
      </c>
      <c r="L102" s="175"/>
      <c r="M102" s="77" t="s">
        <v>27</v>
      </c>
      <c r="N102" s="77" t="s">
        <v>22</v>
      </c>
      <c r="O102" s="177" t="s">
        <v>418</v>
      </c>
    </row>
    <row r="103" spans="1:15" s="12" customFormat="1" ht="29.25" customHeight="1">
      <c r="B103" s="452" t="s">
        <v>56</v>
      </c>
      <c r="C103" s="453"/>
      <c r="D103" s="177"/>
      <c r="E103" s="370"/>
      <c r="F103" s="370"/>
      <c r="G103" s="370"/>
      <c r="H103" s="370"/>
      <c r="I103" s="363">
        <f>SUM(Tabla132112412[[#This Row],[PRIMER TRIMESTRE]:[CUARTO TRIMESTRE]])</f>
        <v>0</v>
      </c>
      <c r="J103" s="175"/>
      <c r="K103" s="175"/>
      <c r="L103" s="451">
        <f>SUM(K92:K102)</f>
        <v>489535.64</v>
      </c>
      <c r="M103" s="77"/>
      <c r="N103" s="77"/>
      <c r="O103" s="177"/>
    </row>
    <row r="104" spans="1:15" s="12" customFormat="1" ht="18">
      <c r="B104" s="372" t="s">
        <v>62</v>
      </c>
      <c r="C104" s="77" t="s">
        <v>68</v>
      </c>
      <c r="D104" s="177" t="s">
        <v>69</v>
      </c>
      <c r="E104" s="370">
        <v>35</v>
      </c>
      <c r="F104" s="370">
        <v>3</v>
      </c>
      <c r="G104" s="370">
        <v>13</v>
      </c>
      <c r="H104" s="370">
        <v>3</v>
      </c>
      <c r="I104" s="363">
        <f>SUM(Tabla132112412[[#This Row],[PRIMER TRIMESTRE]:[CUARTO TRIMESTRE]])</f>
        <v>54</v>
      </c>
      <c r="J104" s="175">
        <v>320.89999999999998</v>
      </c>
      <c r="K104" s="175">
        <f>+Tabla132112412[[#This Row],[CANTIDAD TOTAL]]*Tabla132112412[[#This Row],[PRECIO UNITARIO ESTIMADO]]</f>
        <v>17328.599999999999</v>
      </c>
      <c r="L104" s="175"/>
      <c r="M104" s="77" t="s">
        <v>27</v>
      </c>
      <c r="N104" s="77" t="s">
        <v>22</v>
      </c>
      <c r="O104" s="177" t="s">
        <v>418</v>
      </c>
    </row>
    <row r="105" spans="1:15" s="12" customFormat="1" ht="18">
      <c r="B105" s="372" t="s">
        <v>62</v>
      </c>
      <c r="C105" s="77" t="s">
        <v>461</v>
      </c>
      <c r="D105" s="177" t="s">
        <v>69</v>
      </c>
      <c r="E105" s="370">
        <v>13</v>
      </c>
      <c r="F105" s="370">
        <v>23</v>
      </c>
      <c r="G105" s="370">
        <v>3</v>
      </c>
      <c r="H105" s="370">
        <v>23</v>
      </c>
      <c r="I105" s="363">
        <f>SUM(Tabla132112412[[#This Row],[PRIMER TRIMESTRE]:[CUARTO TRIMESTRE]])</f>
        <v>62</v>
      </c>
      <c r="J105" s="175">
        <v>561.17999999999995</v>
      </c>
      <c r="K105" s="175">
        <f>+I105*J105</f>
        <v>34793.159999999996</v>
      </c>
      <c r="L105" s="175"/>
      <c r="M105" s="77" t="s">
        <v>27</v>
      </c>
      <c r="N105" s="77" t="s">
        <v>22</v>
      </c>
      <c r="O105" s="177" t="s">
        <v>418</v>
      </c>
    </row>
    <row r="106" spans="1:15" s="12" customFormat="1" ht="18">
      <c r="B106" s="372" t="s">
        <v>62</v>
      </c>
      <c r="C106" s="77" t="s">
        <v>1149</v>
      </c>
      <c r="D106" s="177" t="s">
        <v>69</v>
      </c>
      <c r="E106" s="370">
        <v>6</v>
      </c>
      <c r="F106" s="370">
        <v>0</v>
      </c>
      <c r="G106" s="370">
        <v>2</v>
      </c>
      <c r="H106" s="370">
        <v>0</v>
      </c>
      <c r="I106" s="363">
        <f>SUM(Tabla132112412[[#This Row],[PRIMER TRIMESTRE]:[CUARTO TRIMESTRE]])</f>
        <v>8</v>
      </c>
      <c r="J106" s="175">
        <v>1900</v>
      </c>
      <c r="K106" s="175">
        <f>+I106*J106</f>
        <v>15200</v>
      </c>
      <c r="L106" s="175"/>
      <c r="M106" s="77" t="s">
        <v>27</v>
      </c>
      <c r="N106" s="77" t="s">
        <v>22</v>
      </c>
      <c r="O106" s="177" t="s">
        <v>418</v>
      </c>
    </row>
    <row r="107" spans="1:15" s="12" customFormat="1" ht="18">
      <c r="B107" s="372" t="s">
        <v>62</v>
      </c>
      <c r="C107" s="77" t="s">
        <v>567</v>
      </c>
      <c r="D107" s="177" t="s">
        <v>17</v>
      </c>
      <c r="E107" s="370">
        <v>20</v>
      </c>
      <c r="F107" s="370">
        <v>20</v>
      </c>
      <c r="G107" s="370">
        <v>20</v>
      </c>
      <c r="H107" s="370">
        <v>30</v>
      </c>
      <c r="I107" s="363">
        <f>SUM(Tabla132112412[[#This Row],[PRIMER TRIMESTRE]:[CUARTO TRIMESTRE]])</f>
        <v>90</v>
      </c>
      <c r="J107" s="175">
        <v>350</v>
      </c>
      <c r="K107" s="175">
        <f>+Tabla132112412[[#This Row],[CANTIDAD TOTAL]]*Tabla132112412[[#This Row],[PRECIO UNITARIO ESTIMADO]]</f>
        <v>31500</v>
      </c>
      <c r="L107" s="175"/>
      <c r="M107" s="77" t="s">
        <v>27</v>
      </c>
      <c r="N107" s="77" t="s">
        <v>22</v>
      </c>
      <c r="O107" s="177" t="s">
        <v>418</v>
      </c>
    </row>
    <row r="108" spans="1:15" s="12" customFormat="1" ht="18">
      <c r="B108" s="372" t="s">
        <v>62</v>
      </c>
      <c r="C108" s="77" t="s">
        <v>472</v>
      </c>
      <c r="D108" s="177" t="s">
        <v>17</v>
      </c>
      <c r="E108" s="370">
        <v>10</v>
      </c>
      <c r="F108" s="370">
        <v>25</v>
      </c>
      <c r="G108" s="370">
        <v>5</v>
      </c>
      <c r="H108" s="370">
        <v>25</v>
      </c>
      <c r="I108" s="363">
        <f>SUM(Tabla132112412[[#This Row],[PRIMER TRIMESTRE]:[CUARTO TRIMESTRE]])</f>
        <v>65</v>
      </c>
      <c r="J108" s="175">
        <v>450.4</v>
      </c>
      <c r="K108" s="175">
        <f>+I108*J108</f>
        <v>29276</v>
      </c>
      <c r="L108" s="175"/>
      <c r="M108" s="77" t="s">
        <v>27</v>
      </c>
      <c r="N108" s="77" t="s">
        <v>22</v>
      </c>
      <c r="O108" s="177" t="s">
        <v>418</v>
      </c>
    </row>
    <row r="109" spans="1:15" s="12" customFormat="1" ht="18">
      <c r="B109" s="372" t="s">
        <v>62</v>
      </c>
      <c r="C109" s="77" t="s">
        <v>1150</v>
      </c>
      <c r="D109" s="177" t="s">
        <v>17</v>
      </c>
      <c r="E109" s="370">
        <v>6</v>
      </c>
      <c r="F109" s="370">
        <v>5</v>
      </c>
      <c r="G109" s="370">
        <v>5</v>
      </c>
      <c r="H109" s="370">
        <v>5</v>
      </c>
      <c r="I109" s="363">
        <f>SUM(Tabla132112412[[#This Row],[PRIMER TRIMESTRE]:[CUARTO TRIMESTRE]])</f>
        <v>21</v>
      </c>
      <c r="J109" s="175">
        <v>450.4</v>
      </c>
      <c r="K109" s="175">
        <f>+I109*J109</f>
        <v>9458.4</v>
      </c>
      <c r="L109" s="175"/>
      <c r="M109" s="77" t="s">
        <v>27</v>
      </c>
      <c r="N109" s="77" t="s">
        <v>22</v>
      </c>
      <c r="O109" s="177" t="s">
        <v>418</v>
      </c>
    </row>
    <row r="110" spans="1:15" s="12" customFormat="1" ht="18">
      <c r="B110" s="372" t="s">
        <v>62</v>
      </c>
      <c r="C110" s="77" t="s">
        <v>440</v>
      </c>
      <c r="D110" s="177" t="s">
        <v>17</v>
      </c>
      <c r="E110" s="370">
        <v>21</v>
      </c>
      <c r="F110" s="370">
        <v>11</v>
      </c>
      <c r="G110" s="370">
        <v>11</v>
      </c>
      <c r="H110" s="370">
        <v>11</v>
      </c>
      <c r="I110" s="363">
        <f>SUM(Tabla132112412[[#This Row],[PRIMER TRIMESTRE]:[CUARTO TRIMESTRE]])</f>
        <v>54</v>
      </c>
      <c r="J110" s="175">
        <v>7000</v>
      </c>
      <c r="K110" s="175">
        <f>+I110*J110</f>
        <v>378000</v>
      </c>
      <c r="L110" s="175"/>
      <c r="M110" s="77" t="s">
        <v>27</v>
      </c>
      <c r="N110" s="77" t="s">
        <v>22</v>
      </c>
      <c r="O110" s="177" t="s">
        <v>418</v>
      </c>
    </row>
    <row r="111" spans="1:15" s="12" customFormat="1" ht="18">
      <c r="B111" s="372" t="s">
        <v>62</v>
      </c>
      <c r="C111" s="77" t="s">
        <v>435</v>
      </c>
      <c r="D111" s="177" t="s">
        <v>17</v>
      </c>
      <c r="E111" s="370">
        <v>104</v>
      </c>
      <c r="F111" s="370">
        <v>29</v>
      </c>
      <c r="G111" s="370">
        <v>29</v>
      </c>
      <c r="H111" s="370">
        <v>29</v>
      </c>
      <c r="I111" s="363">
        <f>SUM(Tabla132112412[[#This Row],[PRIMER TRIMESTRE]:[CUARTO TRIMESTRE]])</f>
        <v>191</v>
      </c>
      <c r="J111" s="175">
        <v>110</v>
      </c>
      <c r="K111" s="175">
        <f>+Tabla132112412[[#This Row],[CANTIDAD TOTAL]]*Tabla132112412[[#This Row],[PRECIO UNITARIO ESTIMADO]]</f>
        <v>21010</v>
      </c>
      <c r="L111" s="175"/>
      <c r="M111" s="77" t="s">
        <v>27</v>
      </c>
      <c r="N111" s="77" t="s">
        <v>22</v>
      </c>
      <c r="O111" s="177" t="s">
        <v>418</v>
      </c>
    </row>
    <row r="112" spans="1:15" s="12" customFormat="1" ht="18">
      <c r="B112" s="372" t="s">
        <v>62</v>
      </c>
      <c r="C112" s="77" t="s">
        <v>729</v>
      </c>
      <c r="D112" s="177" t="s">
        <v>17</v>
      </c>
      <c r="E112" s="370">
        <v>80</v>
      </c>
      <c r="F112" s="370">
        <v>25</v>
      </c>
      <c r="G112" s="370">
        <v>29</v>
      </c>
      <c r="H112" s="370">
        <v>115</v>
      </c>
      <c r="I112" s="363">
        <f>SUM(Tabla132112412[[#This Row],[PRIMER TRIMESTRE]:[CUARTO TRIMESTRE]])</f>
        <v>249</v>
      </c>
      <c r="J112" s="175">
        <v>260</v>
      </c>
      <c r="K112" s="175">
        <f>+Tabla132112412[[#This Row],[CANTIDAD TOTAL]]*Tabla132112412[[#This Row],[PRECIO UNITARIO ESTIMADO]]</f>
        <v>64740</v>
      </c>
      <c r="L112" s="175"/>
      <c r="M112" s="77" t="s">
        <v>27</v>
      </c>
      <c r="N112" s="77" t="s">
        <v>22</v>
      </c>
      <c r="O112" s="177" t="s">
        <v>418</v>
      </c>
    </row>
    <row r="113" spans="2:15" s="12" customFormat="1" ht="18">
      <c r="B113" s="372" t="s">
        <v>62</v>
      </c>
      <c r="C113" s="77" t="s">
        <v>731</v>
      </c>
      <c r="D113" s="177" t="s">
        <v>17</v>
      </c>
      <c r="E113" s="370">
        <v>33</v>
      </c>
      <c r="F113" s="370">
        <v>0</v>
      </c>
      <c r="G113" s="370">
        <v>3</v>
      </c>
      <c r="H113" s="370">
        <v>0</v>
      </c>
      <c r="I113" s="363">
        <f>SUM(Tabla132112412[[#This Row],[PRIMER TRIMESTRE]:[CUARTO TRIMESTRE]])</f>
        <v>36</v>
      </c>
      <c r="J113" s="175">
        <v>375</v>
      </c>
      <c r="K113" s="175">
        <f>+Tabla132112412[[#This Row],[CANTIDAD TOTAL]]*Tabla132112412[[#This Row],[PRECIO UNITARIO ESTIMADO]]</f>
        <v>13500</v>
      </c>
      <c r="L113" s="175"/>
      <c r="M113" s="77" t="s">
        <v>27</v>
      </c>
      <c r="N113" s="77" t="s">
        <v>22</v>
      </c>
      <c r="O113" s="177" t="s">
        <v>418</v>
      </c>
    </row>
    <row r="114" spans="2:15" s="12" customFormat="1" ht="18">
      <c r="B114" s="372" t="s">
        <v>62</v>
      </c>
      <c r="C114" s="175" t="s">
        <v>1589</v>
      </c>
      <c r="D114" s="463" t="s">
        <v>17</v>
      </c>
      <c r="E114" s="370">
        <v>53</v>
      </c>
      <c r="F114" s="370">
        <v>3</v>
      </c>
      <c r="G114" s="370">
        <v>53</v>
      </c>
      <c r="H114" s="370">
        <v>53</v>
      </c>
      <c r="I114" s="363">
        <f>SUM(Tabla132112412[[#This Row],[PRIMER TRIMESTRE]:[CUARTO TRIMESTRE]])</f>
        <v>162</v>
      </c>
      <c r="J114" s="175">
        <v>425</v>
      </c>
      <c r="K114" s="175">
        <f>+I114*J114</f>
        <v>68850</v>
      </c>
      <c r="L114" s="175"/>
      <c r="M114" s="77" t="s">
        <v>27</v>
      </c>
      <c r="N114" s="77" t="s">
        <v>22</v>
      </c>
      <c r="O114" s="177" t="s">
        <v>418</v>
      </c>
    </row>
    <row r="115" spans="2:15" s="12" customFormat="1" ht="18">
      <c r="B115" s="372" t="s">
        <v>62</v>
      </c>
      <c r="C115" s="77" t="s">
        <v>72</v>
      </c>
      <c r="D115" s="177" t="s">
        <v>17</v>
      </c>
      <c r="E115" s="370">
        <v>115</v>
      </c>
      <c r="F115" s="370">
        <v>65</v>
      </c>
      <c r="G115" s="370">
        <v>65</v>
      </c>
      <c r="H115" s="370">
        <v>60</v>
      </c>
      <c r="I115" s="363">
        <f>SUM(Tabla132112412[[#This Row],[PRIMER TRIMESTRE]:[CUARTO TRIMESTRE]])</f>
        <v>305</v>
      </c>
      <c r="J115" s="175">
        <v>295</v>
      </c>
      <c r="K115" s="175">
        <f>+Tabla132112412[[#This Row],[CANTIDAD TOTAL]]*Tabla132112412[[#This Row],[PRECIO UNITARIO ESTIMADO]]</f>
        <v>89975</v>
      </c>
      <c r="L115" s="175"/>
      <c r="M115" s="77" t="s">
        <v>27</v>
      </c>
      <c r="N115" s="77" t="s">
        <v>22</v>
      </c>
      <c r="O115" s="177" t="s">
        <v>418</v>
      </c>
    </row>
    <row r="116" spans="2:15" s="12" customFormat="1" ht="18">
      <c r="B116" s="372" t="s">
        <v>62</v>
      </c>
      <c r="C116" s="77" t="s">
        <v>467</v>
      </c>
      <c r="D116" s="177" t="s">
        <v>17</v>
      </c>
      <c r="E116" s="370">
        <v>8</v>
      </c>
      <c r="F116" s="370">
        <v>5</v>
      </c>
      <c r="G116" s="370">
        <v>5</v>
      </c>
      <c r="H116" s="370">
        <v>55</v>
      </c>
      <c r="I116" s="363">
        <f>SUM(Tabla132112412[[#This Row],[PRIMER TRIMESTRE]:[CUARTO TRIMESTRE]])</f>
        <v>73</v>
      </c>
      <c r="J116" s="175">
        <v>852.71</v>
      </c>
      <c r="K116" s="175">
        <f t="shared" ref="K116:K132" si="1">+I116*J116</f>
        <v>62247.83</v>
      </c>
      <c r="L116" s="175"/>
      <c r="M116" s="77" t="s">
        <v>27</v>
      </c>
      <c r="N116" s="77" t="s">
        <v>22</v>
      </c>
      <c r="O116" s="177" t="s">
        <v>418</v>
      </c>
    </row>
    <row r="117" spans="2:15" s="12" customFormat="1" ht="18">
      <c r="B117" s="372" t="s">
        <v>62</v>
      </c>
      <c r="C117" s="77" t="s">
        <v>1155</v>
      </c>
      <c r="D117" s="177" t="s">
        <v>17</v>
      </c>
      <c r="E117" s="370">
        <v>7</v>
      </c>
      <c r="F117" s="370">
        <v>0</v>
      </c>
      <c r="G117" s="370">
        <v>2</v>
      </c>
      <c r="H117" s="370">
        <v>0</v>
      </c>
      <c r="I117" s="363">
        <f>SUM(Tabla132112412[[#This Row],[PRIMER TRIMESTRE]:[CUARTO TRIMESTRE]])</f>
        <v>9</v>
      </c>
      <c r="J117" s="175">
        <v>600</v>
      </c>
      <c r="K117" s="175">
        <f t="shared" si="1"/>
        <v>5400</v>
      </c>
      <c r="L117" s="175"/>
      <c r="M117" s="77" t="s">
        <v>27</v>
      </c>
      <c r="N117" s="77" t="s">
        <v>22</v>
      </c>
      <c r="O117" s="177" t="s">
        <v>418</v>
      </c>
    </row>
    <row r="118" spans="2:15" s="12" customFormat="1" ht="18">
      <c r="B118" s="372" t="s">
        <v>62</v>
      </c>
      <c r="C118" s="77" t="s">
        <v>1156</v>
      </c>
      <c r="D118" s="177" t="s">
        <v>17</v>
      </c>
      <c r="E118" s="370">
        <v>2</v>
      </c>
      <c r="F118" s="370">
        <v>0</v>
      </c>
      <c r="G118" s="370">
        <v>2</v>
      </c>
      <c r="H118" s="370">
        <v>0</v>
      </c>
      <c r="I118" s="363">
        <f>SUM(Tabla132112412[[#This Row],[PRIMER TRIMESTRE]:[CUARTO TRIMESTRE]])</f>
        <v>4</v>
      </c>
      <c r="J118" s="175">
        <v>700</v>
      </c>
      <c r="K118" s="175">
        <f t="shared" si="1"/>
        <v>2800</v>
      </c>
      <c r="L118" s="175"/>
      <c r="M118" s="77" t="s">
        <v>27</v>
      </c>
      <c r="N118" s="77" t="s">
        <v>22</v>
      </c>
      <c r="O118" s="177" t="s">
        <v>418</v>
      </c>
    </row>
    <row r="119" spans="2:15" s="12" customFormat="1" ht="18">
      <c r="B119" s="372" t="s">
        <v>62</v>
      </c>
      <c r="C119" s="77" t="s">
        <v>1612</v>
      </c>
      <c r="D119" s="177" t="s">
        <v>17</v>
      </c>
      <c r="E119" s="370">
        <v>3</v>
      </c>
      <c r="F119" s="370">
        <v>3</v>
      </c>
      <c r="G119" s="370">
        <v>3</v>
      </c>
      <c r="H119" s="370">
        <v>3</v>
      </c>
      <c r="I119" s="363">
        <f>SUM(Tabla132112412[[#This Row],[PRIMER TRIMESTRE]:[CUARTO TRIMESTRE]])</f>
        <v>12</v>
      </c>
      <c r="J119" s="175">
        <v>835</v>
      </c>
      <c r="K119" s="175">
        <f t="shared" si="1"/>
        <v>10020</v>
      </c>
      <c r="L119" s="175"/>
      <c r="M119" s="77" t="s">
        <v>27</v>
      </c>
      <c r="N119" s="77" t="s">
        <v>22</v>
      </c>
      <c r="O119" s="177" t="s">
        <v>418</v>
      </c>
    </row>
    <row r="120" spans="2:15" s="12" customFormat="1" ht="18">
      <c r="B120" s="372" t="s">
        <v>62</v>
      </c>
      <c r="C120" s="77" t="s">
        <v>1613</v>
      </c>
      <c r="D120" s="177" t="s">
        <v>17</v>
      </c>
      <c r="E120" s="370">
        <v>0</v>
      </c>
      <c r="F120" s="370">
        <v>0</v>
      </c>
      <c r="G120" s="370">
        <v>0</v>
      </c>
      <c r="H120" s="370">
        <v>0</v>
      </c>
      <c r="I120" s="363">
        <f>SUM(Tabla132112412[[#This Row],[PRIMER TRIMESTRE]:[CUARTO TRIMESTRE]])</f>
        <v>0</v>
      </c>
      <c r="J120" s="175">
        <v>618</v>
      </c>
      <c r="K120" s="175">
        <f t="shared" si="1"/>
        <v>0</v>
      </c>
      <c r="L120" s="175"/>
      <c r="M120" s="77" t="s">
        <v>27</v>
      </c>
      <c r="N120" s="77" t="s">
        <v>22</v>
      </c>
      <c r="O120" s="177" t="s">
        <v>418</v>
      </c>
    </row>
    <row r="121" spans="2:15" s="12" customFormat="1" ht="18">
      <c r="B121" s="372" t="s">
        <v>62</v>
      </c>
      <c r="C121" s="77" t="s">
        <v>1706</v>
      </c>
      <c r="D121" s="177" t="s">
        <v>17</v>
      </c>
      <c r="E121" s="370">
        <v>0</v>
      </c>
      <c r="F121" s="370">
        <v>0</v>
      </c>
      <c r="G121" s="370">
        <v>0</v>
      </c>
      <c r="H121" s="370">
        <v>0</v>
      </c>
      <c r="I121" s="363">
        <f>SUM(Tabla132112412[[#This Row],[PRIMER TRIMESTRE]:[CUARTO TRIMESTRE]])</f>
        <v>0</v>
      </c>
      <c r="J121" s="175">
        <v>0</v>
      </c>
      <c r="K121" s="175">
        <v>0</v>
      </c>
      <c r="L121" s="175"/>
      <c r="M121" s="77" t="s">
        <v>27</v>
      </c>
      <c r="N121" s="77" t="s">
        <v>22</v>
      </c>
      <c r="O121" s="177" t="s">
        <v>418</v>
      </c>
    </row>
    <row r="122" spans="2:15" s="12" customFormat="1" ht="18">
      <c r="B122" s="372" t="s">
        <v>62</v>
      </c>
      <c r="C122" s="77" t="s">
        <v>1614</v>
      </c>
      <c r="D122" s="177" t="s">
        <v>17</v>
      </c>
      <c r="E122" s="370">
        <v>1</v>
      </c>
      <c r="F122" s="370">
        <v>0</v>
      </c>
      <c r="G122" s="370">
        <v>0</v>
      </c>
      <c r="H122" s="370">
        <v>0</v>
      </c>
      <c r="I122" s="363">
        <f>SUM(Tabla132112412[[#This Row],[PRIMER TRIMESTRE]:[CUARTO TRIMESTRE]])</f>
        <v>1</v>
      </c>
      <c r="J122" s="175">
        <v>280</v>
      </c>
      <c r="K122" s="175">
        <f t="shared" si="1"/>
        <v>280</v>
      </c>
      <c r="L122" s="175"/>
      <c r="M122" s="77" t="s">
        <v>27</v>
      </c>
      <c r="N122" s="77" t="s">
        <v>22</v>
      </c>
      <c r="O122" s="177" t="s">
        <v>418</v>
      </c>
    </row>
    <row r="123" spans="2:15" s="12" customFormat="1" ht="18">
      <c r="B123" s="372" t="s">
        <v>62</v>
      </c>
      <c r="C123" s="77" t="s">
        <v>1615</v>
      </c>
      <c r="D123" s="177" t="s">
        <v>17</v>
      </c>
      <c r="E123" s="370">
        <v>0</v>
      </c>
      <c r="F123" s="370">
        <v>0</v>
      </c>
      <c r="G123" s="370">
        <v>0</v>
      </c>
      <c r="H123" s="370">
        <v>0</v>
      </c>
      <c r="I123" s="363">
        <f>SUM(Tabla132112412[[#This Row],[PRIMER TRIMESTRE]:[CUARTO TRIMESTRE]])</f>
        <v>0</v>
      </c>
      <c r="J123" s="175">
        <v>447.46</v>
      </c>
      <c r="K123" s="175">
        <f t="shared" si="1"/>
        <v>0</v>
      </c>
      <c r="L123" s="175"/>
      <c r="M123" s="77" t="s">
        <v>27</v>
      </c>
      <c r="N123" s="77" t="s">
        <v>22</v>
      </c>
      <c r="O123" s="177" t="s">
        <v>418</v>
      </c>
    </row>
    <row r="124" spans="2:15" s="12" customFormat="1" ht="18">
      <c r="B124" s="372" t="s">
        <v>62</v>
      </c>
      <c r="C124" s="77" t="s">
        <v>1616</v>
      </c>
      <c r="D124" s="177" t="s">
        <v>718</v>
      </c>
      <c r="E124" s="370">
        <v>0</v>
      </c>
      <c r="F124" s="370">
        <v>0</v>
      </c>
      <c r="G124" s="370">
        <v>0</v>
      </c>
      <c r="H124" s="370">
        <v>0</v>
      </c>
      <c r="I124" s="363">
        <f>SUM(Tabla132112412[[#This Row],[PRIMER TRIMESTRE]:[CUARTO TRIMESTRE]])</f>
        <v>0</v>
      </c>
      <c r="J124" s="175">
        <v>452.8</v>
      </c>
      <c r="K124" s="175">
        <f t="shared" si="1"/>
        <v>0</v>
      </c>
      <c r="L124" s="175"/>
      <c r="M124" s="77" t="s">
        <v>27</v>
      </c>
      <c r="N124" s="77" t="s">
        <v>22</v>
      </c>
      <c r="O124" s="177" t="s">
        <v>418</v>
      </c>
    </row>
    <row r="125" spans="2:15" s="12" customFormat="1" ht="18">
      <c r="B125" s="372" t="s">
        <v>62</v>
      </c>
      <c r="C125" s="77" t="s">
        <v>1617</v>
      </c>
      <c r="D125" s="177" t="s">
        <v>718</v>
      </c>
      <c r="E125" s="370">
        <v>0</v>
      </c>
      <c r="F125" s="370">
        <v>0</v>
      </c>
      <c r="G125" s="370">
        <v>0</v>
      </c>
      <c r="H125" s="370">
        <v>0</v>
      </c>
      <c r="I125" s="363">
        <f>SUM(Tabla132112412[[#This Row],[PRIMER TRIMESTRE]:[CUARTO TRIMESTRE]])</f>
        <v>0</v>
      </c>
      <c r="J125" s="175">
        <v>431</v>
      </c>
      <c r="K125" s="175">
        <f t="shared" si="1"/>
        <v>0</v>
      </c>
      <c r="L125" s="175"/>
      <c r="M125" s="77" t="s">
        <v>27</v>
      </c>
      <c r="N125" s="77" t="s">
        <v>22</v>
      </c>
      <c r="O125" s="177" t="s">
        <v>418</v>
      </c>
    </row>
    <row r="126" spans="2:15" s="12" customFormat="1" ht="18">
      <c r="B126" s="372" t="s">
        <v>62</v>
      </c>
      <c r="C126" s="77" t="s">
        <v>1618</v>
      </c>
      <c r="D126" s="177" t="s">
        <v>718</v>
      </c>
      <c r="E126" s="370">
        <v>0</v>
      </c>
      <c r="F126" s="370">
        <v>0</v>
      </c>
      <c r="G126" s="370">
        <v>0</v>
      </c>
      <c r="H126" s="370">
        <v>0</v>
      </c>
      <c r="I126" s="363">
        <f>SUM(Tabla132112412[[#This Row],[PRIMER TRIMESTRE]:[CUARTO TRIMESTRE]])</f>
        <v>0</v>
      </c>
      <c r="J126" s="175">
        <v>145.30000000000001</v>
      </c>
      <c r="K126" s="175">
        <f t="shared" si="1"/>
        <v>0</v>
      </c>
      <c r="L126" s="175"/>
      <c r="M126" s="77" t="s">
        <v>27</v>
      </c>
      <c r="N126" s="77" t="s">
        <v>22</v>
      </c>
      <c r="O126" s="177" t="s">
        <v>418</v>
      </c>
    </row>
    <row r="127" spans="2:15" s="12" customFormat="1" ht="18">
      <c r="B127" s="372" t="s">
        <v>62</v>
      </c>
      <c r="C127" s="77" t="s">
        <v>1157</v>
      </c>
      <c r="D127" s="177" t="s">
        <v>17</v>
      </c>
      <c r="E127" s="370">
        <v>3</v>
      </c>
      <c r="F127" s="370">
        <v>0</v>
      </c>
      <c r="G127" s="370">
        <v>0</v>
      </c>
      <c r="H127" s="370">
        <v>0</v>
      </c>
      <c r="I127" s="363">
        <f>SUM(Tabla132112412[[#This Row],[PRIMER TRIMESTRE]:[CUARTO TRIMESTRE]])</f>
        <v>3</v>
      </c>
      <c r="J127" s="175">
        <v>800</v>
      </c>
      <c r="K127" s="175">
        <f t="shared" si="1"/>
        <v>2400</v>
      </c>
      <c r="L127" s="175"/>
      <c r="M127" s="77" t="s">
        <v>27</v>
      </c>
      <c r="N127" s="77" t="s">
        <v>22</v>
      </c>
      <c r="O127" s="177" t="s">
        <v>418</v>
      </c>
    </row>
    <row r="128" spans="2:15" s="12" customFormat="1" ht="18">
      <c r="B128" s="372" t="s">
        <v>62</v>
      </c>
      <c r="C128" s="77" t="s">
        <v>1158</v>
      </c>
      <c r="D128" s="177" t="s">
        <v>17</v>
      </c>
      <c r="E128" s="370">
        <v>3</v>
      </c>
      <c r="F128" s="370">
        <v>0</v>
      </c>
      <c r="G128" s="370">
        <v>0</v>
      </c>
      <c r="H128" s="370">
        <v>0</v>
      </c>
      <c r="I128" s="363">
        <f>SUM(Tabla132112412[[#This Row],[PRIMER TRIMESTRE]:[CUARTO TRIMESTRE]])</f>
        <v>3</v>
      </c>
      <c r="J128" s="175">
        <v>900</v>
      </c>
      <c r="K128" s="175">
        <f t="shared" si="1"/>
        <v>2700</v>
      </c>
      <c r="L128" s="175"/>
      <c r="M128" s="77" t="s">
        <v>27</v>
      </c>
      <c r="N128" s="77" t="s">
        <v>22</v>
      </c>
      <c r="O128" s="177" t="s">
        <v>418</v>
      </c>
    </row>
    <row r="129" spans="1:15" s="12" customFormat="1" ht="18">
      <c r="B129" s="372" t="s">
        <v>62</v>
      </c>
      <c r="C129" s="77" t="s">
        <v>1151</v>
      </c>
      <c r="D129" s="177" t="s">
        <v>17</v>
      </c>
      <c r="E129" s="370">
        <v>1</v>
      </c>
      <c r="F129" s="370">
        <v>0</v>
      </c>
      <c r="G129" s="370">
        <v>0</v>
      </c>
      <c r="H129" s="370">
        <v>0</v>
      </c>
      <c r="I129" s="363">
        <f>SUM(Tabla132112412[[#This Row],[PRIMER TRIMESTRE]:[CUARTO TRIMESTRE]])</f>
        <v>1</v>
      </c>
      <c r="J129" s="175">
        <v>375</v>
      </c>
      <c r="K129" s="175">
        <f t="shared" si="1"/>
        <v>375</v>
      </c>
      <c r="L129" s="175"/>
      <c r="M129" s="77" t="s">
        <v>27</v>
      </c>
      <c r="N129" s="77" t="s">
        <v>22</v>
      </c>
      <c r="O129" s="177" t="s">
        <v>418</v>
      </c>
    </row>
    <row r="130" spans="1:15" s="12" customFormat="1" ht="18">
      <c r="B130" s="372" t="s">
        <v>62</v>
      </c>
      <c r="C130" s="77" t="s">
        <v>1152</v>
      </c>
      <c r="D130" s="177" t="s">
        <v>17</v>
      </c>
      <c r="E130" s="370">
        <v>1</v>
      </c>
      <c r="F130" s="370">
        <v>0</v>
      </c>
      <c r="G130" s="370">
        <v>0</v>
      </c>
      <c r="H130" s="370">
        <v>0</v>
      </c>
      <c r="I130" s="363">
        <f>SUM(Tabla132112412[[#This Row],[PRIMER TRIMESTRE]:[CUARTO TRIMESTRE]])</f>
        <v>1</v>
      </c>
      <c r="J130" s="175">
        <v>1300</v>
      </c>
      <c r="K130" s="175">
        <f t="shared" si="1"/>
        <v>1300</v>
      </c>
      <c r="L130" s="175"/>
      <c r="M130" s="77" t="s">
        <v>27</v>
      </c>
      <c r="N130" s="77" t="s">
        <v>22</v>
      </c>
      <c r="O130" s="177" t="s">
        <v>418</v>
      </c>
    </row>
    <row r="131" spans="1:15" s="12" customFormat="1" ht="18">
      <c r="B131" s="372" t="s">
        <v>62</v>
      </c>
      <c r="C131" s="77" t="s">
        <v>1153</v>
      </c>
      <c r="D131" s="177" t="s">
        <v>17</v>
      </c>
      <c r="E131" s="370">
        <v>1</v>
      </c>
      <c r="F131" s="370">
        <v>0</v>
      </c>
      <c r="G131" s="370">
        <v>0</v>
      </c>
      <c r="H131" s="370">
        <v>0</v>
      </c>
      <c r="I131" s="363">
        <f>SUM(Tabla132112412[[#This Row],[PRIMER TRIMESTRE]:[CUARTO TRIMESTRE]])</f>
        <v>1</v>
      </c>
      <c r="J131" s="175">
        <v>900</v>
      </c>
      <c r="K131" s="175">
        <f t="shared" si="1"/>
        <v>900</v>
      </c>
      <c r="L131" s="175"/>
      <c r="M131" s="77" t="s">
        <v>27</v>
      </c>
      <c r="N131" s="77" t="s">
        <v>22</v>
      </c>
      <c r="O131" s="177" t="s">
        <v>418</v>
      </c>
    </row>
    <row r="132" spans="1:15" s="12" customFormat="1" ht="18">
      <c r="B132" s="372" t="s">
        <v>62</v>
      </c>
      <c r="C132" s="77" t="s">
        <v>1154</v>
      </c>
      <c r="D132" s="177" t="s">
        <v>17</v>
      </c>
      <c r="E132" s="370">
        <v>3</v>
      </c>
      <c r="F132" s="370">
        <v>2</v>
      </c>
      <c r="G132" s="370">
        <v>2</v>
      </c>
      <c r="H132" s="370">
        <v>2</v>
      </c>
      <c r="I132" s="363">
        <f>SUM(Tabla132112412[[#This Row],[PRIMER TRIMESTRE]:[CUARTO TRIMESTRE]])</f>
        <v>9</v>
      </c>
      <c r="J132" s="175">
        <v>1800</v>
      </c>
      <c r="K132" s="175">
        <f t="shared" si="1"/>
        <v>16200</v>
      </c>
      <c r="L132" s="175"/>
      <c r="M132" s="77" t="s">
        <v>27</v>
      </c>
      <c r="N132" s="77" t="s">
        <v>22</v>
      </c>
      <c r="O132" s="177" t="s">
        <v>418</v>
      </c>
    </row>
    <row r="133" spans="1:15" s="12" customFormat="1" ht="18">
      <c r="B133" s="372" t="s">
        <v>62</v>
      </c>
      <c r="C133" s="77" t="s">
        <v>1709</v>
      </c>
      <c r="D133" s="177" t="s">
        <v>17</v>
      </c>
      <c r="E133" s="370">
        <v>1</v>
      </c>
      <c r="F133" s="370">
        <v>0</v>
      </c>
      <c r="G133" s="370">
        <v>0</v>
      </c>
      <c r="H133" s="370">
        <v>0</v>
      </c>
      <c r="I133" s="363">
        <f>SUM(Tabla132112412[[#This Row],[PRIMER TRIMESTRE]:[CUARTO TRIMESTRE]])</f>
        <v>1</v>
      </c>
      <c r="J133" s="175">
        <v>0</v>
      </c>
      <c r="K133" s="175">
        <v>0</v>
      </c>
      <c r="L133" s="175"/>
      <c r="M133" s="77" t="s">
        <v>27</v>
      </c>
      <c r="N133" s="77" t="s">
        <v>22</v>
      </c>
      <c r="O133" s="177" t="s">
        <v>418</v>
      </c>
    </row>
    <row r="134" spans="1:15" s="26" customFormat="1" ht="18">
      <c r="A134" s="12"/>
      <c r="B134" s="372" t="s">
        <v>62</v>
      </c>
      <c r="C134" s="77" t="s">
        <v>432</v>
      </c>
      <c r="D134" s="177" t="s">
        <v>17</v>
      </c>
      <c r="E134" s="370">
        <v>15</v>
      </c>
      <c r="F134" s="370">
        <v>5</v>
      </c>
      <c r="G134" s="370">
        <v>5</v>
      </c>
      <c r="H134" s="370">
        <v>28</v>
      </c>
      <c r="I134" s="363">
        <f>SUM(Tabla132112412[[#This Row],[PRIMER TRIMESTRE]:[CUARTO TRIMESTRE]])</f>
        <v>53</v>
      </c>
      <c r="J134" s="175">
        <v>350</v>
      </c>
      <c r="K134" s="175">
        <f>+Tabla132112412[[#This Row],[CANTIDAD TOTAL]]*Tabla132112412[[#This Row],[PRECIO UNITARIO ESTIMADO]]</f>
        <v>18550</v>
      </c>
      <c r="L134" s="175"/>
      <c r="M134" s="77" t="s">
        <v>27</v>
      </c>
      <c r="N134" s="77" t="s">
        <v>22</v>
      </c>
      <c r="O134" s="177" t="s">
        <v>418</v>
      </c>
    </row>
    <row r="135" spans="1:15" s="26" customFormat="1" ht="18">
      <c r="A135" s="12"/>
      <c r="B135" s="372" t="s">
        <v>62</v>
      </c>
      <c r="C135" s="77" t="s">
        <v>431</v>
      </c>
      <c r="D135" s="177" t="s">
        <v>17</v>
      </c>
      <c r="E135" s="370">
        <v>117</v>
      </c>
      <c r="F135" s="370">
        <v>57</v>
      </c>
      <c r="G135" s="370">
        <v>107</v>
      </c>
      <c r="H135" s="370">
        <v>57</v>
      </c>
      <c r="I135" s="363">
        <f>SUM(Tabla132112412[[#This Row],[PRIMER TRIMESTRE]:[CUARTO TRIMESTRE]])</f>
        <v>338</v>
      </c>
      <c r="J135" s="175">
        <v>397.45</v>
      </c>
      <c r="K135" s="175">
        <f>+Tabla132112412[[#This Row],[CANTIDAD TOTAL]]*Tabla132112412[[#This Row],[PRECIO UNITARIO ESTIMADO]]</f>
        <v>134338.1</v>
      </c>
      <c r="L135" s="175"/>
      <c r="M135" s="77" t="s">
        <v>27</v>
      </c>
      <c r="N135" s="77" t="s">
        <v>22</v>
      </c>
      <c r="O135" s="177" t="s">
        <v>418</v>
      </c>
    </row>
    <row r="136" spans="1:15" s="26" customFormat="1" ht="18">
      <c r="A136" s="12"/>
      <c r="B136" s="372" t="s">
        <v>62</v>
      </c>
      <c r="C136" s="367" t="s">
        <v>2054</v>
      </c>
      <c r="D136" s="177" t="s">
        <v>17</v>
      </c>
      <c r="E136" s="368">
        <v>10</v>
      </c>
      <c r="F136" s="369">
        <v>5</v>
      </c>
      <c r="G136" s="369">
        <v>5</v>
      </c>
      <c r="H136" s="369">
        <v>5</v>
      </c>
      <c r="I136" s="363">
        <f>SUM(Tabla132112412[[#This Row],[PRIMER TRIMESTRE]:[CUARTO TRIMESTRE]])</f>
        <v>25</v>
      </c>
      <c r="J136" s="175"/>
      <c r="K136" s="175"/>
      <c r="L136" s="175"/>
      <c r="M136" s="77"/>
      <c r="N136" s="77"/>
      <c r="O136" s="177"/>
    </row>
    <row r="137" spans="1:15" s="26" customFormat="1" ht="18">
      <c r="A137" s="12"/>
      <c r="B137" s="372" t="s">
        <v>62</v>
      </c>
      <c r="C137" s="367" t="s">
        <v>2055</v>
      </c>
      <c r="D137" s="177" t="s">
        <v>17</v>
      </c>
      <c r="E137" s="365">
        <v>5</v>
      </c>
      <c r="F137" s="365">
        <v>5</v>
      </c>
      <c r="G137" s="365">
        <v>5</v>
      </c>
      <c r="H137" s="365">
        <v>5</v>
      </c>
      <c r="I137" s="363">
        <f>SUM(Tabla132112412[[#This Row],[PRIMER TRIMESTRE]:[CUARTO TRIMESTRE]])</f>
        <v>20</v>
      </c>
      <c r="J137" s="175"/>
      <c r="K137" s="175"/>
      <c r="L137" s="175"/>
      <c r="M137" s="77"/>
      <c r="N137" s="77"/>
      <c r="O137" s="177"/>
    </row>
    <row r="138" spans="1:15" s="26" customFormat="1" ht="18">
      <c r="A138" s="12"/>
      <c r="B138" s="372" t="s">
        <v>62</v>
      </c>
      <c r="C138" s="77" t="s">
        <v>960</v>
      </c>
      <c r="D138" s="177" t="s">
        <v>17</v>
      </c>
      <c r="E138" s="370">
        <v>17</v>
      </c>
      <c r="F138" s="370">
        <v>12</v>
      </c>
      <c r="G138" s="370">
        <v>12</v>
      </c>
      <c r="H138" s="370">
        <v>12</v>
      </c>
      <c r="I138" s="363">
        <f>SUM(Tabla132112412[[#This Row],[PRIMER TRIMESTRE]:[CUARTO TRIMESTRE]])</f>
        <v>53</v>
      </c>
      <c r="J138" s="175">
        <v>400.75</v>
      </c>
      <c r="K138" s="175">
        <f>+I138*J138</f>
        <v>21239.75</v>
      </c>
      <c r="L138" s="175"/>
      <c r="M138" s="77" t="s">
        <v>27</v>
      </c>
      <c r="N138" s="77" t="s">
        <v>22</v>
      </c>
      <c r="O138" s="177" t="s">
        <v>418</v>
      </c>
    </row>
    <row r="139" spans="1:15" s="12" customFormat="1" ht="18">
      <c r="B139" s="372" t="s">
        <v>62</v>
      </c>
      <c r="C139" s="77" t="s">
        <v>961</v>
      </c>
      <c r="D139" s="177" t="s">
        <v>17</v>
      </c>
      <c r="E139" s="370">
        <v>22</v>
      </c>
      <c r="F139" s="370">
        <v>12</v>
      </c>
      <c r="G139" s="370">
        <v>12</v>
      </c>
      <c r="H139" s="370">
        <v>12</v>
      </c>
      <c r="I139" s="363">
        <f>SUM(Tabla132112412[[#This Row],[PRIMER TRIMESTRE]:[CUARTO TRIMESTRE]])</f>
        <v>58</v>
      </c>
      <c r="J139" s="175">
        <v>216</v>
      </c>
      <c r="K139" s="175">
        <f>+I139*J139</f>
        <v>12528</v>
      </c>
      <c r="L139" s="175"/>
      <c r="M139" s="77" t="s">
        <v>27</v>
      </c>
      <c r="N139" s="77" t="s">
        <v>22</v>
      </c>
      <c r="O139" s="177" t="s">
        <v>418</v>
      </c>
    </row>
    <row r="140" spans="1:15" s="12" customFormat="1" ht="18">
      <c r="B140" s="372" t="s">
        <v>62</v>
      </c>
      <c r="C140" s="77" t="s">
        <v>962</v>
      </c>
      <c r="D140" s="177" t="s">
        <v>17</v>
      </c>
      <c r="E140" s="370">
        <v>18</v>
      </c>
      <c r="F140" s="370">
        <v>8</v>
      </c>
      <c r="G140" s="370">
        <v>8</v>
      </c>
      <c r="H140" s="370">
        <v>8</v>
      </c>
      <c r="I140" s="363">
        <f>SUM(Tabla132112412[[#This Row],[PRIMER TRIMESTRE]:[CUARTO TRIMESTRE]])</f>
        <v>42</v>
      </c>
      <c r="J140" s="175">
        <v>249.67</v>
      </c>
      <c r="K140" s="175">
        <f>+I140*J140</f>
        <v>10486.14</v>
      </c>
      <c r="L140" s="175"/>
      <c r="M140" s="77" t="s">
        <v>27</v>
      </c>
      <c r="N140" s="77" t="s">
        <v>22</v>
      </c>
      <c r="O140" s="177" t="s">
        <v>418</v>
      </c>
    </row>
    <row r="141" spans="1:15" s="12" customFormat="1" ht="18">
      <c r="B141" s="372" t="s">
        <v>62</v>
      </c>
      <c r="C141" s="77" t="s">
        <v>434</v>
      </c>
      <c r="D141" s="177" t="s">
        <v>17</v>
      </c>
      <c r="E141" s="370">
        <v>103</v>
      </c>
      <c r="F141" s="370">
        <v>53</v>
      </c>
      <c r="G141" s="370">
        <v>103</v>
      </c>
      <c r="H141" s="370">
        <v>53</v>
      </c>
      <c r="I141" s="363">
        <f>SUM(Tabla132112412[[#This Row],[PRIMER TRIMESTRE]:[CUARTO TRIMESTRE]])</f>
        <v>312</v>
      </c>
      <c r="J141" s="175">
        <v>1120.9100000000001</v>
      </c>
      <c r="K141" s="175">
        <f>+Tabla132112412[[#This Row],[CANTIDAD TOTAL]]*Tabla132112412[[#This Row],[PRECIO UNITARIO ESTIMADO]]</f>
        <v>349723.92000000004</v>
      </c>
      <c r="L141" s="175"/>
      <c r="M141" s="77" t="s">
        <v>27</v>
      </c>
      <c r="N141" s="77" t="s">
        <v>22</v>
      </c>
      <c r="O141" s="177" t="s">
        <v>418</v>
      </c>
    </row>
    <row r="142" spans="1:15" s="12" customFormat="1" ht="18">
      <c r="B142" s="372" t="s">
        <v>62</v>
      </c>
      <c r="C142" s="77" t="s">
        <v>76</v>
      </c>
      <c r="D142" s="177" t="s">
        <v>17</v>
      </c>
      <c r="E142" s="370">
        <v>25</v>
      </c>
      <c r="F142" s="370">
        <v>45</v>
      </c>
      <c r="G142" s="370">
        <v>20</v>
      </c>
      <c r="H142" s="370">
        <v>45</v>
      </c>
      <c r="I142" s="363">
        <f>SUM(Tabla132112412[[#This Row],[PRIMER TRIMESTRE]:[CUARTO TRIMESTRE]])</f>
        <v>135</v>
      </c>
      <c r="J142" s="175">
        <v>100.57</v>
      </c>
      <c r="K142" s="175">
        <f>+Tabla132112412[[#This Row],[CANTIDAD TOTAL]]*Tabla132112412[[#This Row],[PRECIO UNITARIO ESTIMADO]]</f>
        <v>13576.949999999999</v>
      </c>
      <c r="L142" s="175"/>
      <c r="M142" s="77" t="s">
        <v>27</v>
      </c>
      <c r="N142" s="77" t="s">
        <v>22</v>
      </c>
      <c r="O142" s="177" t="s">
        <v>418</v>
      </c>
    </row>
    <row r="143" spans="1:15" s="12" customFormat="1" ht="18">
      <c r="B143" s="372" t="s">
        <v>62</v>
      </c>
      <c r="C143" s="77" t="s">
        <v>433</v>
      </c>
      <c r="D143" s="177" t="s">
        <v>17</v>
      </c>
      <c r="E143" s="370">
        <v>7</v>
      </c>
      <c r="F143" s="370">
        <v>2</v>
      </c>
      <c r="G143" s="370">
        <v>2</v>
      </c>
      <c r="H143" s="370">
        <v>10</v>
      </c>
      <c r="I143" s="363">
        <f>SUM(Tabla132112412[[#This Row],[PRIMER TRIMESTRE]:[CUARTO TRIMESTRE]])</f>
        <v>21</v>
      </c>
      <c r="J143" s="175">
        <v>1144.23</v>
      </c>
      <c r="K143" s="175">
        <f>+Tabla132112412[[#This Row],[CANTIDAD TOTAL]]*Tabla132112412[[#This Row],[PRECIO UNITARIO ESTIMADO]]</f>
        <v>24028.83</v>
      </c>
      <c r="L143" s="175"/>
      <c r="M143" s="77" t="s">
        <v>27</v>
      </c>
      <c r="N143" s="77" t="s">
        <v>22</v>
      </c>
      <c r="O143" s="177" t="s">
        <v>418</v>
      </c>
    </row>
    <row r="144" spans="1:15" s="12" customFormat="1" ht="18">
      <c r="B144" s="372" t="s">
        <v>62</v>
      </c>
      <c r="C144" s="77" t="s">
        <v>1159</v>
      </c>
      <c r="D144" s="177" t="s">
        <v>17</v>
      </c>
      <c r="E144" s="370">
        <v>10</v>
      </c>
      <c r="F144" s="370">
        <v>0</v>
      </c>
      <c r="G144" s="370">
        <v>0</v>
      </c>
      <c r="H144" s="370">
        <v>0</v>
      </c>
      <c r="I144" s="363">
        <f>SUM(Tabla132112412[[#This Row],[PRIMER TRIMESTRE]:[CUARTO TRIMESTRE]])</f>
        <v>10</v>
      </c>
      <c r="J144" s="175">
        <v>377</v>
      </c>
      <c r="K144" s="175">
        <f>+I144*J144</f>
        <v>3770</v>
      </c>
      <c r="L144" s="175"/>
      <c r="M144" s="77" t="s">
        <v>27</v>
      </c>
      <c r="N144" s="77" t="s">
        <v>22</v>
      </c>
      <c r="O144" s="177" t="s">
        <v>418</v>
      </c>
    </row>
    <row r="145" spans="1:15" s="12" customFormat="1" ht="18">
      <c r="B145" s="372" t="s">
        <v>62</v>
      </c>
      <c r="C145" s="77" t="s">
        <v>78</v>
      </c>
      <c r="D145" s="177" t="s">
        <v>17</v>
      </c>
      <c r="E145" s="370">
        <v>14</v>
      </c>
      <c r="F145" s="370">
        <v>5</v>
      </c>
      <c r="G145" s="370">
        <v>11</v>
      </c>
      <c r="H145" s="370">
        <v>5</v>
      </c>
      <c r="I145" s="363">
        <f>SUM(Tabla132112412[[#This Row],[PRIMER TRIMESTRE]:[CUARTO TRIMESTRE]])</f>
        <v>35</v>
      </c>
      <c r="J145" s="175">
        <v>377</v>
      </c>
      <c r="K145" s="175">
        <f>+Tabla132112412[[#This Row],[CANTIDAD TOTAL]]*Tabla132112412[[#This Row],[PRECIO UNITARIO ESTIMADO]]</f>
        <v>13195</v>
      </c>
      <c r="L145" s="175"/>
      <c r="M145" s="77" t="s">
        <v>27</v>
      </c>
      <c r="N145" s="77" t="s">
        <v>22</v>
      </c>
      <c r="O145" s="177" t="s">
        <v>418</v>
      </c>
    </row>
    <row r="146" spans="1:15" s="12" customFormat="1" ht="18">
      <c r="B146" s="372" t="s">
        <v>62</v>
      </c>
      <c r="C146" s="454" t="s">
        <v>2056</v>
      </c>
      <c r="D146" s="177" t="s">
        <v>17</v>
      </c>
      <c r="E146" s="365">
        <v>4</v>
      </c>
      <c r="F146" s="365">
        <v>0</v>
      </c>
      <c r="G146" s="365">
        <v>4</v>
      </c>
      <c r="H146" s="365">
        <v>0</v>
      </c>
      <c r="I146" s="363">
        <f>SUM(Tabla132112412[[#This Row],[PRIMER TRIMESTRE]:[CUARTO TRIMESTRE]])</f>
        <v>8</v>
      </c>
      <c r="J146" s="175"/>
      <c r="K146" s="175"/>
      <c r="L146" s="175"/>
      <c r="M146" s="77"/>
      <c r="N146" s="77"/>
      <c r="O146" s="177"/>
    </row>
    <row r="147" spans="1:15" s="12" customFormat="1" ht="18">
      <c r="B147" s="372" t="s">
        <v>62</v>
      </c>
      <c r="C147" s="77" t="s">
        <v>1179</v>
      </c>
      <c r="D147" s="177" t="s">
        <v>17</v>
      </c>
      <c r="E147" s="370">
        <v>5</v>
      </c>
      <c r="F147" s="370">
        <v>5</v>
      </c>
      <c r="G147" s="370">
        <v>5</v>
      </c>
      <c r="H147" s="370">
        <v>5</v>
      </c>
      <c r="I147" s="363">
        <f>SUM(Tabla132112412[[#This Row],[PRIMER TRIMESTRE]:[CUARTO TRIMESTRE]])</f>
        <v>20</v>
      </c>
      <c r="J147" s="175">
        <v>350</v>
      </c>
      <c r="K147" s="175">
        <f t="shared" ref="K147:K154" si="2">+I147*J147</f>
        <v>7000</v>
      </c>
      <c r="L147" s="175"/>
      <c r="M147" s="77" t="s">
        <v>27</v>
      </c>
      <c r="N147" s="77" t="s">
        <v>22</v>
      </c>
      <c r="O147" s="177" t="s">
        <v>418</v>
      </c>
    </row>
    <row r="148" spans="1:15" s="12" customFormat="1" ht="18">
      <c r="B148" s="372" t="s">
        <v>62</v>
      </c>
      <c r="C148" s="77" t="s">
        <v>1180</v>
      </c>
      <c r="D148" s="177" t="s">
        <v>17</v>
      </c>
      <c r="E148" s="370">
        <v>5</v>
      </c>
      <c r="F148" s="370">
        <v>3</v>
      </c>
      <c r="G148" s="370">
        <v>3</v>
      </c>
      <c r="H148" s="370">
        <v>3</v>
      </c>
      <c r="I148" s="363">
        <f>SUM(Tabla132112412[[#This Row],[PRIMER TRIMESTRE]:[CUARTO TRIMESTRE]])</f>
        <v>14</v>
      </c>
      <c r="J148" s="175">
        <v>350</v>
      </c>
      <c r="K148" s="175">
        <f t="shared" si="2"/>
        <v>4900</v>
      </c>
      <c r="L148" s="175"/>
      <c r="M148" s="77" t="s">
        <v>27</v>
      </c>
      <c r="N148" s="77" t="s">
        <v>22</v>
      </c>
      <c r="O148" s="177" t="s">
        <v>418</v>
      </c>
    </row>
    <row r="149" spans="1:15" s="12" customFormat="1" ht="18">
      <c r="B149" s="372" t="s">
        <v>62</v>
      </c>
      <c r="C149" s="77" t="s">
        <v>1557</v>
      </c>
      <c r="D149" s="177" t="s">
        <v>17</v>
      </c>
      <c r="E149" s="370">
        <v>5</v>
      </c>
      <c r="F149" s="370">
        <v>0</v>
      </c>
      <c r="G149" s="370">
        <v>3</v>
      </c>
      <c r="H149" s="370">
        <v>0</v>
      </c>
      <c r="I149" s="363">
        <f>SUM(Tabla132112412[[#This Row],[PRIMER TRIMESTRE]:[CUARTO TRIMESTRE]])</f>
        <v>8</v>
      </c>
      <c r="J149" s="175">
        <v>220.66</v>
      </c>
      <c r="K149" s="175">
        <f t="shared" si="2"/>
        <v>1765.28</v>
      </c>
      <c r="L149" s="175"/>
      <c r="M149" s="77" t="s">
        <v>27</v>
      </c>
      <c r="N149" s="77" t="s">
        <v>22</v>
      </c>
      <c r="O149" s="177" t="s">
        <v>418</v>
      </c>
    </row>
    <row r="150" spans="1:15" s="12" customFormat="1" ht="18">
      <c r="B150" s="372" t="s">
        <v>62</v>
      </c>
      <c r="C150" s="77" t="s">
        <v>1558</v>
      </c>
      <c r="D150" s="177" t="s">
        <v>17</v>
      </c>
      <c r="E150" s="370">
        <v>5</v>
      </c>
      <c r="F150" s="370">
        <v>0</v>
      </c>
      <c r="G150" s="370">
        <v>3</v>
      </c>
      <c r="H150" s="370">
        <v>0</v>
      </c>
      <c r="I150" s="363">
        <f>SUM(Tabla132112412[[#This Row],[PRIMER TRIMESTRE]:[CUARTO TRIMESTRE]])</f>
        <v>8</v>
      </c>
      <c r="J150" s="175">
        <v>353.52</v>
      </c>
      <c r="K150" s="175">
        <f t="shared" si="2"/>
        <v>2828.16</v>
      </c>
      <c r="L150" s="175"/>
      <c r="M150" s="77" t="s">
        <v>27</v>
      </c>
      <c r="N150" s="77" t="s">
        <v>22</v>
      </c>
      <c r="O150" s="177" t="s">
        <v>418</v>
      </c>
    </row>
    <row r="151" spans="1:15" s="12" customFormat="1" ht="18">
      <c r="B151" s="372" t="s">
        <v>62</v>
      </c>
      <c r="C151" s="77" t="s">
        <v>1560</v>
      </c>
      <c r="D151" s="177" t="s">
        <v>17</v>
      </c>
      <c r="E151" s="370">
        <v>28</v>
      </c>
      <c r="F151" s="370">
        <v>3</v>
      </c>
      <c r="G151" s="370">
        <v>3</v>
      </c>
      <c r="H151" s="370">
        <v>3</v>
      </c>
      <c r="I151" s="363">
        <f>SUM(Tabla132112412[[#This Row],[PRIMER TRIMESTRE]:[CUARTO TRIMESTRE]])</f>
        <v>37</v>
      </c>
      <c r="J151" s="175">
        <v>147.30000000000001</v>
      </c>
      <c r="K151" s="175">
        <f t="shared" si="2"/>
        <v>5450.1</v>
      </c>
      <c r="L151" s="175"/>
      <c r="M151" s="77" t="s">
        <v>27</v>
      </c>
      <c r="N151" s="77" t="s">
        <v>22</v>
      </c>
      <c r="O151" s="177" t="s">
        <v>418</v>
      </c>
    </row>
    <row r="152" spans="1:15" s="12" customFormat="1" ht="18">
      <c r="B152" s="372" t="s">
        <v>62</v>
      </c>
      <c r="C152" s="77" t="s">
        <v>1559</v>
      </c>
      <c r="D152" s="177" t="s">
        <v>17</v>
      </c>
      <c r="E152" s="370">
        <v>3</v>
      </c>
      <c r="F152" s="370">
        <v>0</v>
      </c>
      <c r="G152" s="370">
        <v>1</v>
      </c>
      <c r="H152" s="370">
        <v>0</v>
      </c>
      <c r="I152" s="363">
        <f>SUM(Tabla132112412[[#This Row],[PRIMER TRIMESTRE]:[CUARTO TRIMESTRE]])</f>
        <v>4</v>
      </c>
      <c r="J152" s="175">
        <v>6490.63</v>
      </c>
      <c r="K152" s="175">
        <f t="shared" si="2"/>
        <v>25962.52</v>
      </c>
      <c r="L152" s="175"/>
      <c r="M152" s="77" t="s">
        <v>27</v>
      </c>
      <c r="N152" s="77" t="s">
        <v>22</v>
      </c>
      <c r="O152" s="177" t="s">
        <v>418</v>
      </c>
    </row>
    <row r="153" spans="1:15" s="12" customFormat="1" ht="18">
      <c r="B153" s="372" t="s">
        <v>62</v>
      </c>
      <c r="C153" s="77" t="s">
        <v>2057</v>
      </c>
      <c r="D153" s="177" t="s">
        <v>17</v>
      </c>
      <c r="E153" s="370">
        <v>2</v>
      </c>
      <c r="F153" s="370">
        <v>0</v>
      </c>
      <c r="G153" s="370">
        <v>0</v>
      </c>
      <c r="H153" s="370">
        <v>0</v>
      </c>
      <c r="I153" s="363">
        <f>SUM(Tabla132112412[[#This Row],[PRIMER TRIMESTRE]:[CUARTO TRIMESTRE]])</f>
        <v>2</v>
      </c>
      <c r="J153" s="175">
        <v>597.1</v>
      </c>
      <c r="K153" s="175">
        <f t="shared" si="2"/>
        <v>1194.2</v>
      </c>
      <c r="L153" s="175"/>
      <c r="M153" s="77" t="s">
        <v>27</v>
      </c>
      <c r="N153" s="77" t="s">
        <v>22</v>
      </c>
      <c r="O153" s="177" t="s">
        <v>418</v>
      </c>
    </row>
    <row r="154" spans="1:15" s="12" customFormat="1" ht="18">
      <c r="B154" s="372" t="s">
        <v>62</v>
      </c>
      <c r="C154" s="77" t="s">
        <v>923</v>
      </c>
      <c r="D154" s="177" t="s">
        <v>17</v>
      </c>
      <c r="E154" s="370">
        <v>5</v>
      </c>
      <c r="F154" s="370">
        <v>3</v>
      </c>
      <c r="G154" s="370">
        <v>6</v>
      </c>
      <c r="H154" s="370">
        <v>3</v>
      </c>
      <c r="I154" s="363">
        <f>SUM(Tabla132112412[[#This Row],[PRIMER TRIMESTRE]:[CUARTO TRIMESTRE]])</f>
        <v>17</v>
      </c>
      <c r="J154" s="175">
        <v>5000</v>
      </c>
      <c r="K154" s="175">
        <f t="shared" si="2"/>
        <v>85000</v>
      </c>
      <c r="L154" s="175"/>
      <c r="M154" s="77" t="s">
        <v>27</v>
      </c>
      <c r="N154" s="77" t="s">
        <v>22</v>
      </c>
      <c r="O154" s="177" t="s">
        <v>418</v>
      </c>
    </row>
    <row r="155" spans="1:15" s="12" customFormat="1" ht="18">
      <c r="B155" s="372" t="s">
        <v>62</v>
      </c>
      <c r="C155" s="77" t="s">
        <v>437</v>
      </c>
      <c r="D155" s="177" t="s">
        <v>17</v>
      </c>
      <c r="E155" s="370">
        <v>63</v>
      </c>
      <c r="F155" s="370">
        <v>10</v>
      </c>
      <c r="G155" s="370">
        <v>35</v>
      </c>
      <c r="H155" s="370">
        <v>10</v>
      </c>
      <c r="I155" s="363">
        <f>SUM(Tabla132112412[[#This Row],[PRIMER TRIMESTRE]:[CUARTO TRIMESTRE]])</f>
        <v>118</v>
      </c>
      <c r="J155" s="175">
        <v>125</v>
      </c>
      <c r="K155" s="175">
        <f>+Tabla132112412[[#This Row],[CANTIDAD TOTAL]]*Tabla132112412[[#This Row],[PRECIO UNITARIO ESTIMADO]]</f>
        <v>14750</v>
      </c>
      <c r="L155" s="175"/>
      <c r="M155" s="77" t="s">
        <v>27</v>
      </c>
      <c r="N155" s="77" t="s">
        <v>22</v>
      </c>
      <c r="O155" s="177" t="s">
        <v>418</v>
      </c>
    </row>
    <row r="156" spans="1:15" s="12" customFormat="1" ht="18">
      <c r="B156" s="372" t="s">
        <v>62</v>
      </c>
      <c r="C156" s="77" t="s">
        <v>438</v>
      </c>
      <c r="D156" s="177" t="s">
        <v>17</v>
      </c>
      <c r="E156" s="370">
        <v>33</v>
      </c>
      <c r="F156" s="370">
        <v>458</v>
      </c>
      <c r="G156" s="370">
        <v>28</v>
      </c>
      <c r="H156" s="370">
        <v>558</v>
      </c>
      <c r="I156" s="363">
        <f>SUM(Tabla132112412[[#This Row],[PRIMER TRIMESTRE]:[CUARTO TRIMESTRE]])</f>
        <v>1077</v>
      </c>
      <c r="J156" s="175">
        <v>80</v>
      </c>
      <c r="K156" s="175">
        <f>+Tabla132112412[[#This Row],[CANTIDAD TOTAL]]*Tabla132112412[[#This Row],[PRECIO UNITARIO ESTIMADO]]</f>
        <v>86160</v>
      </c>
      <c r="L156" s="175"/>
      <c r="M156" s="77" t="s">
        <v>27</v>
      </c>
      <c r="N156" s="77" t="s">
        <v>22</v>
      </c>
      <c r="O156" s="177" t="s">
        <v>418</v>
      </c>
    </row>
    <row r="157" spans="1:15" s="12" customFormat="1" ht="18">
      <c r="B157" s="372" t="s">
        <v>62</v>
      </c>
      <c r="C157" s="77" t="s">
        <v>430</v>
      </c>
      <c r="D157" s="177" t="s">
        <v>17</v>
      </c>
      <c r="E157" s="370">
        <v>23</v>
      </c>
      <c r="F157" s="370">
        <v>298</v>
      </c>
      <c r="G157" s="370">
        <v>23</v>
      </c>
      <c r="H157" s="370">
        <v>298</v>
      </c>
      <c r="I157" s="363">
        <f>SUM(Tabla132112412[[#This Row],[PRIMER TRIMESTRE]:[CUARTO TRIMESTRE]])</f>
        <v>642</v>
      </c>
      <c r="J157" s="175">
        <v>46.8</v>
      </c>
      <c r="K157" s="175">
        <f>+Tabla132112412[[#This Row],[CANTIDAD TOTAL]]*Tabla132112412[[#This Row],[PRECIO UNITARIO ESTIMADO]]</f>
        <v>30045.599999999999</v>
      </c>
      <c r="L157" s="175"/>
      <c r="M157" s="77" t="s">
        <v>27</v>
      </c>
      <c r="N157" s="77" t="s">
        <v>22</v>
      </c>
      <c r="O157" s="177" t="s">
        <v>418</v>
      </c>
    </row>
    <row r="158" spans="1:15" s="12" customFormat="1" ht="18">
      <c r="B158" s="372" t="s">
        <v>62</v>
      </c>
      <c r="C158" s="77" t="s">
        <v>139</v>
      </c>
      <c r="D158" s="177" t="s">
        <v>17</v>
      </c>
      <c r="E158" s="370">
        <v>13</v>
      </c>
      <c r="F158" s="370">
        <v>158</v>
      </c>
      <c r="G158" s="370">
        <v>10</v>
      </c>
      <c r="H158" s="370">
        <v>8</v>
      </c>
      <c r="I158" s="363">
        <f>SUM(Tabla132112412[[#This Row],[PRIMER TRIMESTRE]:[CUARTO TRIMESTRE]])</f>
        <v>189</v>
      </c>
      <c r="J158" s="175">
        <v>180</v>
      </c>
      <c r="K158" s="175">
        <f>+Tabla132112412[[#This Row],[CANTIDAD TOTAL]]*Tabla132112412[[#This Row],[PRECIO UNITARIO ESTIMADO]]</f>
        <v>34020</v>
      </c>
      <c r="L158" s="175"/>
      <c r="M158" s="77" t="s">
        <v>27</v>
      </c>
      <c r="N158" s="77" t="s">
        <v>22</v>
      </c>
      <c r="O158" s="177" t="s">
        <v>418</v>
      </c>
    </row>
    <row r="159" spans="1:15" s="12" customFormat="1" ht="18">
      <c r="B159" s="372" t="s">
        <v>62</v>
      </c>
      <c r="C159" s="77" t="s">
        <v>1170</v>
      </c>
      <c r="D159" s="177" t="s">
        <v>1162</v>
      </c>
      <c r="E159" s="370">
        <v>2</v>
      </c>
      <c r="F159" s="370">
        <v>0</v>
      </c>
      <c r="G159" s="370">
        <v>0</v>
      </c>
      <c r="H159" s="370">
        <v>0</v>
      </c>
      <c r="I159" s="363">
        <f>SUM(Tabla132112412[[#This Row],[PRIMER TRIMESTRE]:[CUARTO TRIMESTRE]])</f>
        <v>2</v>
      </c>
      <c r="J159" s="175">
        <v>11000</v>
      </c>
      <c r="K159" s="175">
        <f>+I159*J159</f>
        <v>22000</v>
      </c>
      <c r="L159" s="175"/>
      <c r="M159" s="77" t="s">
        <v>27</v>
      </c>
      <c r="N159" s="77" t="s">
        <v>22</v>
      </c>
      <c r="O159" s="177" t="s">
        <v>418</v>
      </c>
    </row>
    <row r="160" spans="1:15" s="169" customFormat="1" ht="18">
      <c r="A160" s="12"/>
      <c r="B160" s="372" t="s">
        <v>62</v>
      </c>
      <c r="C160" s="77" t="s">
        <v>1171</v>
      </c>
      <c r="D160" s="177" t="s">
        <v>1162</v>
      </c>
      <c r="E160" s="370">
        <v>2</v>
      </c>
      <c r="F160" s="370">
        <v>0</v>
      </c>
      <c r="G160" s="370">
        <v>0</v>
      </c>
      <c r="H160" s="370">
        <v>0</v>
      </c>
      <c r="I160" s="363">
        <f>SUM(Tabla132112412[[#This Row],[PRIMER TRIMESTRE]:[CUARTO TRIMESTRE]])</f>
        <v>2</v>
      </c>
      <c r="J160" s="175">
        <v>11000</v>
      </c>
      <c r="K160" s="175">
        <f>+I160*J160</f>
        <v>22000</v>
      </c>
      <c r="L160" s="175"/>
      <c r="M160" s="77" t="s">
        <v>27</v>
      </c>
      <c r="N160" s="77" t="s">
        <v>22</v>
      </c>
      <c r="O160" s="177" t="s">
        <v>418</v>
      </c>
    </row>
    <row r="161" spans="1:15" s="169" customFormat="1" ht="18">
      <c r="A161" s="12"/>
      <c r="B161" s="372" t="s">
        <v>62</v>
      </c>
      <c r="C161" s="77" t="s">
        <v>1344</v>
      </c>
      <c r="D161" s="177" t="s">
        <v>17</v>
      </c>
      <c r="E161" s="370">
        <v>15</v>
      </c>
      <c r="F161" s="370">
        <v>0</v>
      </c>
      <c r="G161" s="370">
        <v>5</v>
      </c>
      <c r="H161" s="370">
        <v>0</v>
      </c>
      <c r="I161" s="363">
        <f>SUM(Tabla132112412[[#This Row],[PRIMER TRIMESTRE]:[CUARTO TRIMESTRE]])</f>
        <v>20</v>
      </c>
      <c r="J161" s="175">
        <v>29.5</v>
      </c>
      <c r="K161" s="175">
        <f>+I161*J161</f>
        <v>590</v>
      </c>
      <c r="L161" s="175"/>
      <c r="M161" s="77" t="s">
        <v>27</v>
      </c>
      <c r="N161" s="77" t="s">
        <v>22</v>
      </c>
      <c r="O161" s="177" t="s">
        <v>418</v>
      </c>
    </row>
    <row r="162" spans="1:15" s="12" customFormat="1" ht="18">
      <c r="B162" s="372" t="s">
        <v>62</v>
      </c>
      <c r="C162" s="77" t="s">
        <v>1710</v>
      </c>
      <c r="D162" s="177" t="s">
        <v>17</v>
      </c>
      <c r="E162" s="370">
        <v>19</v>
      </c>
      <c r="F162" s="370">
        <v>2</v>
      </c>
      <c r="G162" s="370">
        <v>7</v>
      </c>
      <c r="H162" s="370">
        <v>2</v>
      </c>
      <c r="I162" s="363">
        <f>SUM(Tabla132112412[[#This Row],[PRIMER TRIMESTRE]:[CUARTO TRIMESTRE]])</f>
        <v>30</v>
      </c>
      <c r="J162" s="175">
        <v>0</v>
      </c>
      <c r="K162" s="175">
        <v>0</v>
      </c>
      <c r="L162" s="175"/>
      <c r="M162" s="77" t="s">
        <v>27</v>
      </c>
      <c r="N162" s="77" t="s">
        <v>22</v>
      </c>
      <c r="O162" s="177" t="s">
        <v>418</v>
      </c>
    </row>
    <row r="163" spans="1:15" s="12" customFormat="1" ht="18">
      <c r="B163" s="372" t="s">
        <v>62</v>
      </c>
      <c r="C163" s="77" t="s">
        <v>107</v>
      </c>
      <c r="D163" s="177" t="s">
        <v>17</v>
      </c>
      <c r="E163" s="370">
        <v>15</v>
      </c>
      <c r="F163" s="370">
        <v>5</v>
      </c>
      <c r="G163" s="370">
        <v>5</v>
      </c>
      <c r="H163" s="370">
        <v>0</v>
      </c>
      <c r="I163" s="363">
        <f>SUM(Tabla132112412[[#This Row],[PRIMER TRIMESTRE]:[CUARTO TRIMESTRE]])</f>
        <v>25</v>
      </c>
      <c r="J163" s="175">
        <v>86.24</v>
      </c>
      <c r="K163" s="175">
        <f>+Tabla132112412[[#This Row],[CANTIDAD TOTAL]]*Tabla132112412[[#This Row],[PRECIO UNITARIO ESTIMADO]]</f>
        <v>2156</v>
      </c>
      <c r="L163" s="175"/>
      <c r="M163" s="77" t="s">
        <v>27</v>
      </c>
      <c r="N163" s="77" t="s">
        <v>22</v>
      </c>
      <c r="O163" s="177" t="s">
        <v>418</v>
      </c>
    </row>
    <row r="164" spans="1:15" s="12" customFormat="1" ht="18">
      <c r="B164" s="372" t="s">
        <v>62</v>
      </c>
      <c r="C164" s="77" t="s">
        <v>598</v>
      </c>
      <c r="D164" s="177" t="s">
        <v>17</v>
      </c>
      <c r="E164" s="370">
        <v>28</v>
      </c>
      <c r="F164" s="370">
        <v>15</v>
      </c>
      <c r="G164" s="370">
        <v>24</v>
      </c>
      <c r="H164" s="370">
        <v>15</v>
      </c>
      <c r="I164" s="363">
        <f>SUM(Tabla132112412[[#This Row],[PRIMER TRIMESTRE]:[CUARTO TRIMESTRE]])</f>
        <v>82</v>
      </c>
      <c r="J164" s="175">
        <v>153.05000000000001</v>
      </c>
      <c r="K164" s="175">
        <f>+Tabla132112412[[#This Row],[CANTIDAD TOTAL]]*Tabla132112412[[#This Row],[PRECIO UNITARIO ESTIMADO]]</f>
        <v>12550.1</v>
      </c>
      <c r="L164" s="175"/>
      <c r="M164" s="77" t="s">
        <v>27</v>
      </c>
      <c r="N164" s="77" t="s">
        <v>22</v>
      </c>
      <c r="O164" s="177" t="s">
        <v>418</v>
      </c>
    </row>
    <row r="165" spans="1:15" s="12" customFormat="1" ht="18">
      <c r="B165" s="372" t="s">
        <v>62</v>
      </c>
      <c r="C165" s="77" t="s">
        <v>599</v>
      </c>
      <c r="D165" s="177" t="s">
        <v>17</v>
      </c>
      <c r="E165" s="370">
        <v>22</v>
      </c>
      <c r="F165" s="370">
        <v>15</v>
      </c>
      <c r="G165" s="370">
        <v>20</v>
      </c>
      <c r="H165" s="370">
        <v>15</v>
      </c>
      <c r="I165" s="363">
        <f>SUM(Tabla132112412[[#This Row],[PRIMER TRIMESTRE]:[CUARTO TRIMESTRE]])</f>
        <v>72</v>
      </c>
      <c r="J165" s="175">
        <v>72.88</v>
      </c>
      <c r="K165" s="175">
        <f>+I165*J165</f>
        <v>5247.36</v>
      </c>
      <c r="L165" s="175"/>
      <c r="M165" s="77" t="s">
        <v>27</v>
      </c>
      <c r="N165" s="77" t="s">
        <v>22</v>
      </c>
      <c r="O165" s="177" t="s">
        <v>418</v>
      </c>
    </row>
    <row r="166" spans="1:15" s="12" customFormat="1" ht="18">
      <c r="B166" s="372" t="s">
        <v>62</v>
      </c>
      <c r="C166" s="77" t="s">
        <v>600</v>
      </c>
      <c r="D166" s="177" t="s">
        <v>17</v>
      </c>
      <c r="E166" s="370">
        <v>26</v>
      </c>
      <c r="F166" s="370">
        <v>15</v>
      </c>
      <c r="G166" s="370">
        <v>24</v>
      </c>
      <c r="H166" s="370">
        <v>15</v>
      </c>
      <c r="I166" s="363">
        <f>SUM(Tabla132112412[[#This Row],[PRIMER TRIMESTRE]:[CUARTO TRIMESTRE]])</f>
        <v>80</v>
      </c>
      <c r="J166" s="175">
        <v>86</v>
      </c>
      <c r="K166" s="175">
        <f>+Tabla132112412[[#This Row],[CANTIDAD TOTAL]]*Tabla132112412[[#This Row],[PRECIO UNITARIO ESTIMADO]]</f>
        <v>6880</v>
      </c>
      <c r="L166" s="175"/>
      <c r="M166" s="77" t="s">
        <v>27</v>
      </c>
      <c r="N166" s="77" t="s">
        <v>22</v>
      </c>
      <c r="O166" s="177" t="s">
        <v>418</v>
      </c>
    </row>
    <row r="167" spans="1:15" s="12" customFormat="1" ht="18">
      <c r="B167" s="372" t="s">
        <v>62</v>
      </c>
      <c r="C167" s="77" t="s">
        <v>601</v>
      </c>
      <c r="D167" s="177" t="s">
        <v>17</v>
      </c>
      <c r="E167" s="370">
        <v>23</v>
      </c>
      <c r="F167" s="370">
        <v>13</v>
      </c>
      <c r="G167" s="370">
        <v>18</v>
      </c>
      <c r="H167" s="370">
        <v>13</v>
      </c>
      <c r="I167" s="363">
        <f>SUM(Tabla132112412[[#This Row],[PRIMER TRIMESTRE]:[CUARTO TRIMESTRE]])</f>
        <v>67</v>
      </c>
      <c r="J167" s="175">
        <v>158.88</v>
      </c>
      <c r="K167" s="175">
        <f>+I167*J167</f>
        <v>10644.96</v>
      </c>
      <c r="L167" s="175"/>
      <c r="M167" s="77" t="s">
        <v>27</v>
      </c>
      <c r="N167" s="77" t="s">
        <v>22</v>
      </c>
      <c r="O167" s="177" t="s">
        <v>418</v>
      </c>
    </row>
    <row r="168" spans="1:15" s="12" customFormat="1" ht="18">
      <c r="B168" s="372" t="s">
        <v>62</v>
      </c>
      <c r="C168" s="77" t="s">
        <v>1160</v>
      </c>
      <c r="D168" s="177" t="s">
        <v>1162</v>
      </c>
      <c r="E168" s="370">
        <v>13</v>
      </c>
      <c r="F168" s="370">
        <v>0</v>
      </c>
      <c r="G168" s="370">
        <v>8</v>
      </c>
      <c r="H168" s="370">
        <v>0</v>
      </c>
      <c r="I168" s="363">
        <f>SUM(Tabla132112412[[#This Row],[PRIMER TRIMESTRE]:[CUARTO TRIMESTRE]])</f>
        <v>21</v>
      </c>
      <c r="J168" s="175">
        <v>2000</v>
      </c>
      <c r="K168" s="175">
        <f>+I168*J168</f>
        <v>42000</v>
      </c>
      <c r="L168" s="175"/>
      <c r="M168" s="77" t="s">
        <v>27</v>
      </c>
      <c r="N168" s="77" t="s">
        <v>22</v>
      </c>
      <c r="O168" s="177" t="s">
        <v>418</v>
      </c>
    </row>
    <row r="169" spans="1:15" s="12" customFormat="1" ht="18">
      <c r="B169" s="372" t="s">
        <v>62</v>
      </c>
      <c r="C169" s="77" t="s">
        <v>1161</v>
      </c>
      <c r="D169" s="177" t="s">
        <v>1162</v>
      </c>
      <c r="E169" s="370">
        <v>8</v>
      </c>
      <c r="F169" s="370">
        <v>0</v>
      </c>
      <c r="G169" s="370">
        <v>8</v>
      </c>
      <c r="H169" s="370">
        <v>0</v>
      </c>
      <c r="I169" s="363">
        <f>SUM(Tabla132112412[[#This Row],[PRIMER TRIMESTRE]:[CUARTO TRIMESTRE]])</f>
        <v>16</v>
      </c>
      <c r="J169" s="175">
        <v>2000</v>
      </c>
      <c r="K169" s="175">
        <f>+I169*J169</f>
        <v>32000</v>
      </c>
      <c r="L169" s="175"/>
      <c r="M169" s="77" t="s">
        <v>27</v>
      </c>
      <c r="N169" s="77" t="s">
        <v>22</v>
      </c>
      <c r="O169" s="177" t="s">
        <v>418</v>
      </c>
    </row>
    <row r="170" spans="1:15" s="12" customFormat="1" ht="18">
      <c r="B170" s="372" t="s">
        <v>62</v>
      </c>
      <c r="C170" s="77" t="s">
        <v>1849</v>
      </c>
      <c r="D170" s="177" t="s">
        <v>17</v>
      </c>
      <c r="E170" s="370">
        <v>3</v>
      </c>
      <c r="F170" s="370">
        <v>0</v>
      </c>
      <c r="G170" s="370">
        <v>0</v>
      </c>
      <c r="H170" s="370">
        <v>0</v>
      </c>
      <c r="I170" s="363">
        <f>SUM(Tabla132112412[[#This Row],[PRIMER TRIMESTRE]:[CUARTO TRIMESTRE]])</f>
        <v>3</v>
      </c>
      <c r="J170" s="175">
        <v>0</v>
      </c>
      <c r="K170" s="175">
        <v>0</v>
      </c>
      <c r="L170" s="175"/>
      <c r="M170" s="77" t="s">
        <v>27</v>
      </c>
      <c r="N170" s="77" t="s">
        <v>22</v>
      </c>
      <c r="O170" s="177" t="s">
        <v>418</v>
      </c>
    </row>
    <row r="171" spans="1:15" s="12" customFormat="1" ht="18">
      <c r="B171" s="372" t="s">
        <v>62</v>
      </c>
      <c r="C171" s="77" t="s">
        <v>1705</v>
      </c>
      <c r="D171" s="177" t="s">
        <v>17</v>
      </c>
      <c r="E171" s="370">
        <v>3</v>
      </c>
      <c r="F171" s="370">
        <v>0</v>
      </c>
      <c r="G171" s="370">
        <v>0</v>
      </c>
      <c r="H171" s="370">
        <v>0</v>
      </c>
      <c r="I171" s="363">
        <f>SUM(Tabla132112412[[#This Row],[PRIMER TRIMESTRE]:[CUARTO TRIMESTRE]])</f>
        <v>3</v>
      </c>
      <c r="J171" s="175">
        <v>0</v>
      </c>
      <c r="K171" s="175">
        <v>0</v>
      </c>
      <c r="L171" s="175"/>
      <c r="M171" s="77" t="s">
        <v>27</v>
      </c>
      <c r="N171" s="77" t="s">
        <v>22</v>
      </c>
      <c r="O171" s="177" t="s">
        <v>418</v>
      </c>
    </row>
    <row r="172" spans="1:15" s="12" customFormat="1" ht="18">
      <c r="B172" s="372" t="s">
        <v>62</v>
      </c>
      <c r="C172" s="77" t="s">
        <v>144</v>
      </c>
      <c r="D172" s="177" t="s">
        <v>17</v>
      </c>
      <c r="E172" s="370">
        <v>15</v>
      </c>
      <c r="F172" s="370">
        <v>75</v>
      </c>
      <c r="G172" s="370">
        <v>15</v>
      </c>
      <c r="H172" s="370">
        <v>75</v>
      </c>
      <c r="I172" s="363">
        <f>SUM(Tabla132112412[[#This Row],[PRIMER TRIMESTRE]:[CUARTO TRIMESTRE]])</f>
        <v>180</v>
      </c>
      <c r="J172" s="175">
        <v>62.87</v>
      </c>
      <c r="K172" s="175">
        <f>+Tabla132112412[[#This Row],[CANTIDAD TOTAL]]*Tabla132112412[[#This Row],[PRECIO UNITARIO ESTIMADO]]</f>
        <v>11316.6</v>
      </c>
      <c r="L172" s="175"/>
      <c r="M172" s="77" t="s">
        <v>27</v>
      </c>
      <c r="N172" s="77" t="s">
        <v>22</v>
      </c>
      <c r="O172" s="177" t="s">
        <v>418</v>
      </c>
    </row>
    <row r="173" spans="1:15" s="12" customFormat="1" ht="18">
      <c r="B173" s="372" t="s">
        <v>62</v>
      </c>
      <c r="C173" s="77" t="s">
        <v>1707</v>
      </c>
      <c r="D173" s="177" t="s">
        <v>17</v>
      </c>
      <c r="E173" s="370">
        <v>20</v>
      </c>
      <c r="F173" s="370">
        <v>20</v>
      </c>
      <c r="G173" s="370">
        <v>20</v>
      </c>
      <c r="H173" s="370">
        <v>20</v>
      </c>
      <c r="I173" s="363">
        <f>SUM(Tabla132112412[[#This Row],[PRIMER TRIMESTRE]:[CUARTO TRIMESTRE]])</f>
        <v>80</v>
      </c>
      <c r="J173" s="175">
        <v>0</v>
      </c>
      <c r="K173" s="175">
        <v>0</v>
      </c>
      <c r="L173" s="175"/>
      <c r="M173" s="77" t="s">
        <v>27</v>
      </c>
      <c r="N173" s="77" t="s">
        <v>22</v>
      </c>
      <c r="O173" s="177" t="s">
        <v>418</v>
      </c>
    </row>
    <row r="174" spans="1:15" s="12" customFormat="1" ht="18">
      <c r="B174" s="372" t="s">
        <v>62</v>
      </c>
      <c r="C174" s="77" t="s">
        <v>1708</v>
      </c>
      <c r="D174" s="177" t="s">
        <v>17</v>
      </c>
      <c r="E174" s="370">
        <v>15</v>
      </c>
      <c r="F174" s="370">
        <v>5</v>
      </c>
      <c r="G174" s="370">
        <v>5</v>
      </c>
      <c r="H174" s="370">
        <v>5</v>
      </c>
      <c r="I174" s="363">
        <f>SUM(Tabla132112412[[#This Row],[PRIMER TRIMESTRE]:[CUARTO TRIMESTRE]])</f>
        <v>30</v>
      </c>
      <c r="J174" s="175">
        <v>0</v>
      </c>
      <c r="K174" s="175">
        <v>0</v>
      </c>
      <c r="L174" s="175"/>
      <c r="M174" s="77" t="s">
        <v>27</v>
      </c>
      <c r="N174" s="77" t="s">
        <v>22</v>
      </c>
      <c r="O174" s="177" t="s">
        <v>418</v>
      </c>
    </row>
    <row r="175" spans="1:15" s="12" customFormat="1" ht="18">
      <c r="B175" s="372" t="s">
        <v>62</v>
      </c>
      <c r="C175" s="77" t="s">
        <v>1172</v>
      </c>
      <c r="D175" s="177" t="s">
        <v>1162</v>
      </c>
      <c r="E175" s="370">
        <v>7</v>
      </c>
      <c r="F175" s="370">
        <v>6</v>
      </c>
      <c r="G175" s="370">
        <v>6</v>
      </c>
      <c r="H175" s="370">
        <v>6</v>
      </c>
      <c r="I175" s="363">
        <f>SUM(Tabla132112412[[#This Row],[PRIMER TRIMESTRE]:[CUARTO TRIMESTRE]])</f>
        <v>25</v>
      </c>
      <c r="J175" s="175">
        <v>7800</v>
      </c>
      <c r="K175" s="175">
        <f t="shared" ref="K175:K187" si="3">+I175*J175</f>
        <v>195000</v>
      </c>
      <c r="L175" s="175"/>
      <c r="M175" s="77" t="s">
        <v>27</v>
      </c>
      <c r="N175" s="77" t="s">
        <v>22</v>
      </c>
      <c r="O175" s="177" t="s">
        <v>418</v>
      </c>
    </row>
    <row r="176" spans="1:15" s="12" customFormat="1" ht="18">
      <c r="B176" s="372" t="s">
        <v>62</v>
      </c>
      <c r="C176" s="77" t="s">
        <v>1173</v>
      </c>
      <c r="D176" s="177" t="s">
        <v>1162</v>
      </c>
      <c r="E176" s="370">
        <v>6</v>
      </c>
      <c r="F176" s="370">
        <v>5</v>
      </c>
      <c r="G176" s="370">
        <v>5</v>
      </c>
      <c r="H176" s="370">
        <v>5</v>
      </c>
      <c r="I176" s="363">
        <f>SUM(Tabla132112412[[#This Row],[PRIMER TRIMESTRE]:[CUARTO TRIMESTRE]])</f>
        <v>21</v>
      </c>
      <c r="J176" s="175">
        <v>7800</v>
      </c>
      <c r="K176" s="175">
        <f t="shared" si="3"/>
        <v>163800</v>
      </c>
      <c r="L176" s="175"/>
      <c r="M176" s="77" t="s">
        <v>27</v>
      </c>
      <c r="N176" s="77" t="s">
        <v>22</v>
      </c>
      <c r="O176" s="177" t="s">
        <v>418</v>
      </c>
    </row>
    <row r="177" spans="2:15" s="12" customFormat="1" ht="18">
      <c r="B177" s="372" t="s">
        <v>62</v>
      </c>
      <c r="C177" s="367" t="s">
        <v>2058</v>
      </c>
      <c r="D177" s="177" t="s">
        <v>17</v>
      </c>
      <c r="E177" s="368">
        <v>4</v>
      </c>
      <c r="F177" s="369">
        <v>0</v>
      </c>
      <c r="G177" s="369">
        <v>2</v>
      </c>
      <c r="H177" s="369">
        <v>0</v>
      </c>
      <c r="I177" s="363">
        <f>SUM(Tabla132112412[[#This Row],[PRIMER TRIMESTRE]:[CUARTO TRIMESTRE]])</f>
        <v>6</v>
      </c>
      <c r="J177" s="175"/>
      <c r="K177" s="175"/>
      <c r="L177" s="175"/>
      <c r="M177" s="77"/>
      <c r="N177" s="77"/>
      <c r="O177" s="177"/>
    </row>
    <row r="178" spans="2:15" s="12" customFormat="1" ht="18">
      <c r="B178" s="372" t="s">
        <v>62</v>
      </c>
      <c r="C178" s="77" t="s">
        <v>1174</v>
      </c>
      <c r="D178" s="177" t="s">
        <v>17</v>
      </c>
      <c r="E178" s="370">
        <v>3</v>
      </c>
      <c r="F178" s="370">
        <v>0</v>
      </c>
      <c r="G178" s="370">
        <v>1</v>
      </c>
      <c r="H178" s="370">
        <v>0</v>
      </c>
      <c r="I178" s="363">
        <f>SUM(Tabla132112412[[#This Row],[PRIMER TRIMESTRE]:[CUARTO TRIMESTRE]])</f>
        <v>4</v>
      </c>
      <c r="J178" s="175">
        <v>5500</v>
      </c>
      <c r="K178" s="175">
        <f t="shared" si="3"/>
        <v>22000</v>
      </c>
      <c r="L178" s="175"/>
      <c r="M178" s="77" t="s">
        <v>27</v>
      </c>
      <c r="N178" s="77" t="s">
        <v>22</v>
      </c>
      <c r="O178" s="177" t="s">
        <v>418</v>
      </c>
    </row>
    <row r="179" spans="2:15" s="12" customFormat="1" ht="18">
      <c r="B179" s="372" t="s">
        <v>62</v>
      </c>
      <c r="C179" s="77" t="s">
        <v>1175</v>
      </c>
      <c r="D179" s="177" t="s">
        <v>17</v>
      </c>
      <c r="E179" s="370">
        <v>2</v>
      </c>
      <c r="F179" s="370">
        <v>1</v>
      </c>
      <c r="G179" s="370">
        <v>0</v>
      </c>
      <c r="H179" s="370">
        <v>1</v>
      </c>
      <c r="I179" s="363">
        <f>SUM(Tabla132112412[[#This Row],[PRIMER TRIMESTRE]:[CUARTO TRIMESTRE]])</f>
        <v>4</v>
      </c>
      <c r="J179" s="175">
        <v>7000</v>
      </c>
      <c r="K179" s="175">
        <f t="shared" si="3"/>
        <v>28000</v>
      </c>
      <c r="L179" s="175"/>
      <c r="M179" s="77" t="s">
        <v>27</v>
      </c>
      <c r="N179" s="77" t="s">
        <v>22</v>
      </c>
      <c r="O179" s="177" t="s">
        <v>418</v>
      </c>
    </row>
    <row r="180" spans="2:15" s="12" customFormat="1" ht="18">
      <c r="B180" s="372" t="s">
        <v>62</v>
      </c>
      <c r="C180" s="77" t="s">
        <v>1176</v>
      </c>
      <c r="D180" s="177" t="s">
        <v>17</v>
      </c>
      <c r="E180" s="370">
        <v>2</v>
      </c>
      <c r="F180" s="370">
        <v>1</v>
      </c>
      <c r="G180" s="370">
        <v>0</v>
      </c>
      <c r="H180" s="370">
        <v>1</v>
      </c>
      <c r="I180" s="363">
        <f>SUM(Tabla132112412[[#This Row],[PRIMER TRIMESTRE]:[CUARTO TRIMESTRE]])</f>
        <v>4</v>
      </c>
      <c r="J180" s="175">
        <v>9000</v>
      </c>
      <c r="K180" s="175">
        <f t="shared" si="3"/>
        <v>36000</v>
      </c>
      <c r="L180" s="175"/>
      <c r="M180" s="77" t="s">
        <v>27</v>
      </c>
      <c r="N180" s="77" t="s">
        <v>22</v>
      </c>
      <c r="O180" s="177" t="s">
        <v>418</v>
      </c>
    </row>
    <row r="181" spans="2:15" s="12" customFormat="1" ht="18">
      <c r="B181" s="372" t="s">
        <v>62</v>
      </c>
      <c r="C181" s="77" t="s">
        <v>2059</v>
      </c>
      <c r="D181" s="177" t="s">
        <v>17</v>
      </c>
      <c r="E181" s="370"/>
      <c r="F181" s="370">
        <v>1</v>
      </c>
      <c r="G181" s="370"/>
      <c r="H181" s="370">
        <v>1</v>
      </c>
      <c r="I181" s="363">
        <f>SUM(Tabla132112412[[#This Row],[PRIMER TRIMESTRE]:[CUARTO TRIMESTRE]])</f>
        <v>2</v>
      </c>
      <c r="J181" s="175"/>
      <c r="K181" s="175"/>
      <c r="L181" s="175"/>
      <c r="M181" s="77"/>
      <c r="N181" s="77"/>
      <c r="O181" s="177"/>
    </row>
    <row r="182" spans="2:15" s="12" customFormat="1" ht="18">
      <c r="B182" s="372" t="s">
        <v>62</v>
      </c>
      <c r="C182" s="77" t="s">
        <v>2060</v>
      </c>
      <c r="D182" s="177" t="s">
        <v>17</v>
      </c>
      <c r="E182" s="370"/>
      <c r="F182" s="370">
        <v>1</v>
      </c>
      <c r="G182" s="370"/>
      <c r="H182" s="370">
        <v>1</v>
      </c>
      <c r="I182" s="363">
        <f>SUM(Tabla132112412[[#This Row],[PRIMER TRIMESTRE]:[CUARTO TRIMESTRE]])</f>
        <v>2</v>
      </c>
      <c r="J182" s="175"/>
      <c r="K182" s="175"/>
      <c r="L182" s="175"/>
      <c r="M182" s="77"/>
      <c r="N182" s="77"/>
      <c r="O182" s="177"/>
    </row>
    <row r="183" spans="2:15" s="12" customFormat="1" ht="18">
      <c r="B183" s="372" t="s">
        <v>62</v>
      </c>
      <c r="C183" s="77" t="s">
        <v>1177</v>
      </c>
      <c r="D183" s="177" t="s">
        <v>17</v>
      </c>
      <c r="E183" s="370">
        <v>3</v>
      </c>
      <c r="F183" s="370">
        <v>0</v>
      </c>
      <c r="G183" s="370">
        <v>1</v>
      </c>
      <c r="H183" s="370">
        <v>0</v>
      </c>
      <c r="I183" s="363">
        <f>SUM(Tabla132112412[[#This Row],[PRIMER TRIMESTRE]:[CUARTO TRIMESTRE]])</f>
        <v>4</v>
      </c>
      <c r="J183" s="175">
        <v>11600</v>
      </c>
      <c r="K183" s="175">
        <f t="shared" si="3"/>
        <v>46400</v>
      </c>
      <c r="L183" s="175"/>
      <c r="M183" s="77" t="s">
        <v>27</v>
      </c>
      <c r="N183" s="77" t="s">
        <v>22</v>
      </c>
      <c r="O183" s="177" t="s">
        <v>418</v>
      </c>
    </row>
    <row r="184" spans="2:15" s="12" customFormat="1" ht="18">
      <c r="B184" s="372" t="s">
        <v>62</v>
      </c>
      <c r="C184" s="77" t="s">
        <v>1178</v>
      </c>
      <c r="D184" s="177" t="s">
        <v>17</v>
      </c>
      <c r="E184" s="370">
        <v>5</v>
      </c>
      <c r="F184" s="370">
        <v>0</v>
      </c>
      <c r="G184" s="370">
        <v>3</v>
      </c>
      <c r="H184" s="370">
        <v>0</v>
      </c>
      <c r="I184" s="363">
        <f>SUM(Tabla132112412[[#This Row],[PRIMER TRIMESTRE]:[CUARTO TRIMESTRE]])</f>
        <v>8</v>
      </c>
      <c r="J184" s="175">
        <v>11600</v>
      </c>
      <c r="K184" s="175">
        <f t="shared" si="3"/>
        <v>92800</v>
      </c>
      <c r="L184" s="175"/>
      <c r="M184" s="77" t="s">
        <v>27</v>
      </c>
      <c r="N184" s="77" t="s">
        <v>22</v>
      </c>
      <c r="O184" s="177" t="s">
        <v>418</v>
      </c>
    </row>
    <row r="185" spans="2:15" s="12" customFormat="1" ht="18">
      <c r="B185" s="372" t="s">
        <v>62</v>
      </c>
      <c r="C185" s="77" t="s">
        <v>1163</v>
      </c>
      <c r="D185" s="177" t="s">
        <v>17</v>
      </c>
      <c r="E185" s="370">
        <v>8</v>
      </c>
      <c r="F185" s="370">
        <v>7</v>
      </c>
      <c r="G185" s="370">
        <v>8</v>
      </c>
      <c r="H185" s="370">
        <v>5</v>
      </c>
      <c r="I185" s="363">
        <f>SUM(Tabla132112412[[#This Row],[PRIMER TRIMESTRE]:[CUARTO TRIMESTRE]])</f>
        <v>28</v>
      </c>
      <c r="J185" s="175">
        <v>400</v>
      </c>
      <c r="K185" s="175">
        <f t="shared" si="3"/>
        <v>11200</v>
      </c>
      <c r="L185" s="175"/>
      <c r="M185" s="77" t="s">
        <v>27</v>
      </c>
      <c r="N185" s="77" t="s">
        <v>22</v>
      </c>
      <c r="O185" s="177" t="s">
        <v>418</v>
      </c>
    </row>
    <row r="186" spans="2:15" s="12" customFormat="1" ht="18">
      <c r="B186" s="372" t="s">
        <v>62</v>
      </c>
      <c r="C186" s="77" t="s">
        <v>1164</v>
      </c>
      <c r="D186" s="177" t="s">
        <v>17</v>
      </c>
      <c r="E186" s="370">
        <v>8</v>
      </c>
      <c r="F186" s="370">
        <v>5</v>
      </c>
      <c r="G186" s="370">
        <v>8</v>
      </c>
      <c r="H186" s="370">
        <v>5</v>
      </c>
      <c r="I186" s="363">
        <f>SUM(Tabla132112412[[#This Row],[PRIMER TRIMESTRE]:[CUARTO TRIMESTRE]])</f>
        <v>26</v>
      </c>
      <c r="J186" s="175">
        <v>650</v>
      </c>
      <c r="K186" s="175">
        <f t="shared" si="3"/>
        <v>16900</v>
      </c>
      <c r="L186" s="175"/>
      <c r="M186" s="77" t="s">
        <v>27</v>
      </c>
      <c r="N186" s="77" t="s">
        <v>22</v>
      </c>
      <c r="O186" s="177" t="s">
        <v>418</v>
      </c>
    </row>
    <row r="187" spans="2:15" s="12" customFormat="1" ht="18">
      <c r="B187" s="372" t="s">
        <v>62</v>
      </c>
      <c r="C187" s="77" t="s">
        <v>1165</v>
      </c>
      <c r="D187" s="177" t="s">
        <v>17</v>
      </c>
      <c r="E187" s="370">
        <v>8</v>
      </c>
      <c r="F187" s="370">
        <v>5</v>
      </c>
      <c r="G187" s="370">
        <v>8</v>
      </c>
      <c r="H187" s="370">
        <v>5</v>
      </c>
      <c r="I187" s="363">
        <f>SUM(Tabla132112412[[#This Row],[PRIMER TRIMESTRE]:[CUARTO TRIMESTRE]])</f>
        <v>26</v>
      </c>
      <c r="J187" s="175">
        <v>1300</v>
      </c>
      <c r="K187" s="175">
        <f t="shared" si="3"/>
        <v>33800</v>
      </c>
      <c r="L187" s="175"/>
      <c r="M187" s="77" t="s">
        <v>27</v>
      </c>
      <c r="N187" s="77" t="s">
        <v>22</v>
      </c>
      <c r="O187" s="177" t="s">
        <v>418</v>
      </c>
    </row>
    <row r="188" spans="2:15" s="12" customFormat="1" ht="18">
      <c r="B188" s="372" t="s">
        <v>62</v>
      </c>
      <c r="C188" s="77" t="s">
        <v>158</v>
      </c>
      <c r="D188" s="177" t="s">
        <v>17</v>
      </c>
      <c r="E188" s="370">
        <v>12</v>
      </c>
      <c r="F188" s="370">
        <v>5</v>
      </c>
      <c r="G188" s="370">
        <v>12</v>
      </c>
      <c r="H188" s="370">
        <v>5</v>
      </c>
      <c r="I188" s="363">
        <f>SUM(Tabla132112412[[#This Row],[PRIMER TRIMESTRE]:[CUARTO TRIMESTRE]])</f>
        <v>34</v>
      </c>
      <c r="J188" s="175">
        <v>1120</v>
      </c>
      <c r="K188" s="175">
        <f>+Tabla132112412[[#This Row],[CANTIDAD TOTAL]]*Tabla132112412[[#This Row],[PRECIO UNITARIO ESTIMADO]]</f>
        <v>38080</v>
      </c>
      <c r="L188" s="175"/>
      <c r="M188" s="77" t="s">
        <v>27</v>
      </c>
      <c r="N188" s="77" t="s">
        <v>22</v>
      </c>
      <c r="O188" s="177" t="s">
        <v>418</v>
      </c>
    </row>
    <row r="189" spans="2:15" s="12" customFormat="1" ht="18">
      <c r="B189" s="372" t="s">
        <v>62</v>
      </c>
      <c r="C189" s="77" t="s">
        <v>1287</v>
      </c>
      <c r="D189" s="177" t="s">
        <v>17</v>
      </c>
      <c r="E189" s="370">
        <v>8</v>
      </c>
      <c r="F189" s="370">
        <v>5</v>
      </c>
      <c r="G189" s="370">
        <v>8</v>
      </c>
      <c r="H189" s="370">
        <v>5</v>
      </c>
      <c r="I189" s="363">
        <f>SUM(Tabla132112412[[#This Row],[PRIMER TRIMESTRE]:[CUARTO TRIMESTRE]])</f>
        <v>26</v>
      </c>
      <c r="J189" s="175">
        <v>2700</v>
      </c>
      <c r="K189" s="175">
        <f>+I189*J189</f>
        <v>70200</v>
      </c>
      <c r="L189" s="175"/>
      <c r="M189" s="77" t="s">
        <v>27</v>
      </c>
      <c r="N189" s="77" t="s">
        <v>22</v>
      </c>
      <c r="O189" s="177" t="s">
        <v>418</v>
      </c>
    </row>
    <row r="190" spans="2:15" s="12" customFormat="1" ht="18">
      <c r="B190" s="372" t="s">
        <v>62</v>
      </c>
      <c r="C190" s="77" t="s">
        <v>160</v>
      </c>
      <c r="D190" s="177" t="s">
        <v>17</v>
      </c>
      <c r="E190" s="370">
        <v>10</v>
      </c>
      <c r="F190" s="370">
        <v>11</v>
      </c>
      <c r="G190" s="370">
        <v>10</v>
      </c>
      <c r="H190" s="370">
        <v>5</v>
      </c>
      <c r="I190" s="363">
        <f>SUM(Tabla132112412[[#This Row],[PRIMER TRIMESTRE]:[CUARTO TRIMESTRE]])</f>
        <v>36</v>
      </c>
      <c r="J190" s="175">
        <v>1908</v>
      </c>
      <c r="K190" s="175">
        <f>+Tabla132112412[[#This Row],[CANTIDAD TOTAL]]*Tabla132112412[[#This Row],[PRECIO UNITARIO ESTIMADO]]</f>
        <v>68688</v>
      </c>
      <c r="L190" s="175"/>
      <c r="M190" s="77" t="s">
        <v>27</v>
      </c>
      <c r="N190" s="77" t="s">
        <v>22</v>
      </c>
      <c r="O190" s="177" t="s">
        <v>418</v>
      </c>
    </row>
    <row r="191" spans="2:15" s="12" customFormat="1" ht="18">
      <c r="B191" s="372" t="s">
        <v>62</v>
      </c>
      <c r="C191" s="77" t="s">
        <v>1545</v>
      </c>
      <c r="D191" s="177" t="s">
        <v>17</v>
      </c>
      <c r="E191" s="370">
        <v>9</v>
      </c>
      <c r="F191" s="370">
        <v>6</v>
      </c>
      <c r="G191" s="370">
        <v>6</v>
      </c>
      <c r="H191" s="370">
        <v>6</v>
      </c>
      <c r="I191" s="363">
        <f>SUM(Tabla132112412[[#This Row],[PRIMER TRIMESTRE]:[CUARTO TRIMESTRE]])</f>
        <v>27</v>
      </c>
      <c r="J191" s="175">
        <v>506.75</v>
      </c>
      <c r="K191" s="175">
        <f>+I191*J191</f>
        <v>13682.25</v>
      </c>
      <c r="L191" s="175"/>
      <c r="M191" s="77" t="s">
        <v>27</v>
      </c>
      <c r="N191" s="77" t="s">
        <v>22</v>
      </c>
      <c r="O191" s="177" t="s">
        <v>418</v>
      </c>
    </row>
    <row r="192" spans="2:15" s="12" customFormat="1" ht="18">
      <c r="B192" s="372" t="s">
        <v>62</v>
      </c>
      <c r="C192" s="77" t="s">
        <v>162</v>
      </c>
      <c r="D192" s="177" t="s">
        <v>17</v>
      </c>
      <c r="E192" s="370">
        <v>31</v>
      </c>
      <c r="F192" s="370">
        <v>86</v>
      </c>
      <c r="G192" s="370">
        <v>26</v>
      </c>
      <c r="H192" s="370">
        <v>86</v>
      </c>
      <c r="I192" s="363">
        <f>SUM(Tabla132112412[[#This Row],[PRIMER TRIMESTRE]:[CUARTO TRIMESTRE]])</f>
        <v>229</v>
      </c>
      <c r="J192" s="175">
        <v>29</v>
      </c>
      <c r="K192" s="175">
        <f>+Tabla132112412[[#This Row],[CANTIDAD TOTAL]]*Tabla132112412[[#This Row],[PRECIO UNITARIO ESTIMADO]]</f>
        <v>6641</v>
      </c>
      <c r="L192" s="175"/>
      <c r="M192" s="77" t="s">
        <v>27</v>
      </c>
      <c r="N192" s="77" t="s">
        <v>22</v>
      </c>
      <c r="O192" s="177" t="s">
        <v>418</v>
      </c>
    </row>
    <row r="193" spans="2:15" s="12" customFormat="1" ht="18">
      <c r="B193" s="372" t="s">
        <v>62</v>
      </c>
      <c r="C193" s="77" t="s">
        <v>368</v>
      </c>
      <c r="D193" s="177" t="s">
        <v>17</v>
      </c>
      <c r="E193" s="370">
        <v>12</v>
      </c>
      <c r="F193" s="370">
        <v>209</v>
      </c>
      <c r="G193" s="370">
        <v>9</v>
      </c>
      <c r="H193" s="370">
        <v>209</v>
      </c>
      <c r="I193" s="363">
        <f>SUM(Tabla132112412[[#This Row],[PRIMER TRIMESTRE]:[CUARTO TRIMESTRE]])</f>
        <v>439</v>
      </c>
      <c r="J193" s="175">
        <v>75.400000000000006</v>
      </c>
      <c r="K193" s="175">
        <f>+I193*J193</f>
        <v>33100.600000000006</v>
      </c>
      <c r="L193" s="175"/>
      <c r="M193" s="77" t="s">
        <v>27</v>
      </c>
      <c r="N193" s="77" t="s">
        <v>22</v>
      </c>
      <c r="O193" s="177" t="s">
        <v>418</v>
      </c>
    </row>
    <row r="194" spans="2:15" s="12" customFormat="1" ht="18">
      <c r="B194" s="372" t="s">
        <v>62</v>
      </c>
      <c r="C194" s="77" t="s">
        <v>602</v>
      </c>
      <c r="D194" s="177" t="s">
        <v>17</v>
      </c>
      <c r="E194" s="370">
        <v>9</v>
      </c>
      <c r="F194" s="370">
        <v>206</v>
      </c>
      <c r="G194" s="370">
        <v>6</v>
      </c>
      <c r="H194" s="370">
        <v>206</v>
      </c>
      <c r="I194" s="363">
        <f>SUM(Tabla132112412[[#This Row],[PRIMER TRIMESTRE]:[CUARTO TRIMESTRE]])</f>
        <v>427</v>
      </c>
      <c r="J194" s="175">
        <v>90</v>
      </c>
      <c r="K194" s="175">
        <f>+I194*J194</f>
        <v>38430</v>
      </c>
      <c r="L194" s="175"/>
      <c r="M194" s="77" t="s">
        <v>27</v>
      </c>
      <c r="N194" s="77" t="s">
        <v>22</v>
      </c>
      <c r="O194" s="177" t="s">
        <v>418</v>
      </c>
    </row>
    <row r="195" spans="2:15" s="12" customFormat="1" ht="18">
      <c r="B195" s="372" t="s">
        <v>62</v>
      </c>
      <c r="C195" s="77" t="s">
        <v>164</v>
      </c>
      <c r="D195" s="177" t="s">
        <v>17</v>
      </c>
      <c r="E195" s="370">
        <v>7</v>
      </c>
      <c r="F195" s="370">
        <v>6</v>
      </c>
      <c r="G195" s="370">
        <v>4</v>
      </c>
      <c r="H195" s="370">
        <v>0</v>
      </c>
      <c r="I195" s="363">
        <f>SUM(Tabla132112412[[#This Row],[PRIMER TRIMESTRE]:[CUARTO TRIMESTRE]])</f>
        <v>17</v>
      </c>
      <c r="J195" s="175">
        <v>3419.05</v>
      </c>
      <c r="K195" s="175">
        <f>+Tabla132112412[[#This Row],[CANTIDAD TOTAL]]*Tabla132112412[[#This Row],[PRECIO UNITARIO ESTIMADO]]</f>
        <v>58123.850000000006</v>
      </c>
      <c r="L195" s="175"/>
      <c r="M195" s="77" t="s">
        <v>27</v>
      </c>
      <c r="N195" s="77" t="s">
        <v>22</v>
      </c>
      <c r="O195" s="177" t="s">
        <v>418</v>
      </c>
    </row>
    <row r="196" spans="2:15" s="12" customFormat="1" ht="18">
      <c r="B196" s="372" t="s">
        <v>62</v>
      </c>
      <c r="C196" s="77" t="s">
        <v>1166</v>
      </c>
      <c r="D196" s="177" t="s">
        <v>17</v>
      </c>
      <c r="E196" s="370">
        <v>13</v>
      </c>
      <c r="F196" s="370">
        <v>8</v>
      </c>
      <c r="G196" s="370">
        <v>8</v>
      </c>
      <c r="H196" s="370">
        <v>8</v>
      </c>
      <c r="I196" s="363">
        <f>SUM(Tabla132112412[[#This Row],[PRIMER TRIMESTRE]:[CUARTO TRIMESTRE]])</f>
        <v>37</v>
      </c>
      <c r="J196" s="175">
        <v>400</v>
      </c>
      <c r="K196" s="175">
        <f>+I196*J196</f>
        <v>14800</v>
      </c>
      <c r="L196" s="175"/>
      <c r="M196" s="77" t="s">
        <v>27</v>
      </c>
      <c r="N196" s="77" t="s">
        <v>22</v>
      </c>
      <c r="O196" s="177" t="s">
        <v>418</v>
      </c>
    </row>
    <row r="197" spans="2:15" s="12" customFormat="1" ht="18">
      <c r="B197" s="372" t="s">
        <v>62</v>
      </c>
      <c r="C197" s="77" t="s">
        <v>1167</v>
      </c>
      <c r="D197" s="177" t="s">
        <v>17</v>
      </c>
      <c r="E197" s="370">
        <v>10</v>
      </c>
      <c r="F197" s="370">
        <v>5</v>
      </c>
      <c r="G197" s="370">
        <v>5</v>
      </c>
      <c r="H197" s="370">
        <v>5</v>
      </c>
      <c r="I197" s="363">
        <f>SUM(Tabla132112412[[#This Row],[PRIMER TRIMESTRE]:[CUARTO TRIMESTRE]])</f>
        <v>25</v>
      </c>
      <c r="J197" s="175">
        <v>1300</v>
      </c>
      <c r="K197" s="175">
        <f>+I197*J197</f>
        <v>32500</v>
      </c>
      <c r="L197" s="175"/>
      <c r="M197" s="77" t="s">
        <v>27</v>
      </c>
      <c r="N197" s="77" t="s">
        <v>22</v>
      </c>
      <c r="O197" s="177" t="s">
        <v>418</v>
      </c>
    </row>
    <row r="198" spans="2:15" s="12" customFormat="1" ht="18">
      <c r="B198" s="372" t="s">
        <v>62</v>
      </c>
      <c r="C198" s="77" t="s">
        <v>462</v>
      </c>
      <c r="D198" s="177" t="s">
        <v>17</v>
      </c>
      <c r="E198" s="370">
        <v>10</v>
      </c>
      <c r="F198" s="370">
        <v>9</v>
      </c>
      <c r="G198" s="370">
        <v>5</v>
      </c>
      <c r="H198" s="370">
        <v>5</v>
      </c>
      <c r="I198" s="363">
        <f>SUM(Tabla132112412[[#This Row],[PRIMER TRIMESTRE]:[CUARTO TRIMESTRE]])</f>
        <v>29</v>
      </c>
      <c r="J198" s="175">
        <v>1896.06</v>
      </c>
      <c r="K198" s="175">
        <f>+I198*J198</f>
        <v>54985.74</v>
      </c>
      <c r="L198" s="175"/>
      <c r="M198" s="77" t="s">
        <v>27</v>
      </c>
      <c r="N198" s="77" t="s">
        <v>22</v>
      </c>
      <c r="O198" s="177" t="s">
        <v>418</v>
      </c>
    </row>
    <row r="199" spans="2:15" s="12" customFormat="1" ht="18">
      <c r="B199" s="372" t="s">
        <v>62</v>
      </c>
      <c r="C199" s="454" t="s">
        <v>2061</v>
      </c>
      <c r="D199" s="177" t="s">
        <v>17</v>
      </c>
      <c r="E199" s="365">
        <v>3</v>
      </c>
      <c r="F199" s="365"/>
      <c r="G199" s="365"/>
      <c r="H199" s="365"/>
      <c r="I199" s="363">
        <f>SUM(Tabla132112412[[#This Row],[PRIMER TRIMESTRE]:[CUARTO TRIMESTRE]])</f>
        <v>3</v>
      </c>
      <c r="J199" s="175"/>
      <c r="K199" s="175"/>
      <c r="L199" s="175"/>
      <c r="M199" s="77"/>
      <c r="N199" s="77"/>
      <c r="O199" s="177"/>
    </row>
    <row r="200" spans="2:15" s="12" customFormat="1" ht="18">
      <c r="B200" s="372" t="s">
        <v>62</v>
      </c>
      <c r="C200" s="77" t="s">
        <v>463</v>
      </c>
      <c r="D200" s="177" t="s">
        <v>17</v>
      </c>
      <c r="E200" s="370">
        <v>14</v>
      </c>
      <c r="F200" s="370">
        <v>20</v>
      </c>
      <c r="G200" s="370">
        <v>5</v>
      </c>
      <c r="H200" s="370">
        <v>15</v>
      </c>
      <c r="I200" s="363">
        <f>SUM(Tabla132112412[[#This Row],[PRIMER TRIMESTRE]:[CUARTO TRIMESTRE]])</f>
        <v>54</v>
      </c>
      <c r="J200" s="175">
        <v>2320</v>
      </c>
      <c r="K200" s="175">
        <f>+Tabla132112412[[#This Row],[CANTIDAD TOTAL]]*Tabla132112412[[#This Row],[PRECIO UNITARIO ESTIMADO]]</f>
        <v>125280</v>
      </c>
      <c r="L200" s="175"/>
      <c r="M200" s="77" t="s">
        <v>27</v>
      </c>
      <c r="N200" s="77" t="s">
        <v>22</v>
      </c>
      <c r="O200" s="177" t="s">
        <v>418</v>
      </c>
    </row>
    <row r="201" spans="2:15" s="12" customFormat="1" ht="18">
      <c r="B201" s="372" t="s">
        <v>62</v>
      </c>
      <c r="C201" s="77" t="s">
        <v>465</v>
      </c>
      <c r="D201" s="177" t="s">
        <v>17</v>
      </c>
      <c r="E201" s="370">
        <v>14</v>
      </c>
      <c r="F201" s="370">
        <v>20</v>
      </c>
      <c r="G201" s="370">
        <v>5</v>
      </c>
      <c r="H201" s="370">
        <v>20</v>
      </c>
      <c r="I201" s="363">
        <f>SUM(Tabla132112412[[#This Row],[PRIMER TRIMESTRE]:[CUARTO TRIMESTRE]])</f>
        <v>59</v>
      </c>
      <c r="J201" s="175">
        <v>2682</v>
      </c>
      <c r="K201" s="175">
        <f>+Tabla132112412[[#This Row],[CANTIDAD TOTAL]]*Tabla132112412[[#This Row],[PRECIO UNITARIO ESTIMADO]]</f>
        <v>158238</v>
      </c>
      <c r="L201" s="175"/>
      <c r="M201" s="77" t="s">
        <v>27</v>
      </c>
      <c r="N201" s="77" t="s">
        <v>22</v>
      </c>
      <c r="O201" s="177" t="s">
        <v>418</v>
      </c>
    </row>
    <row r="202" spans="2:15" s="12" customFormat="1" ht="18">
      <c r="B202" s="372" t="s">
        <v>62</v>
      </c>
      <c r="C202" s="77" t="s">
        <v>464</v>
      </c>
      <c r="D202" s="177" t="s">
        <v>17</v>
      </c>
      <c r="E202" s="370">
        <v>11</v>
      </c>
      <c r="F202" s="370">
        <v>25</v>
      </c>
      <c r="G202" s="370">
        <v>2</v>
      </c>
      <c r="H202" s="370">
        <v>25</v>
      </c>
      <c r="I202" s="363">
        <f>SUM(Tabla132112412[[#This Row],[PRIMER TRIMESTRE]:[CUARTO TRIMESTRE]])</f>
        <v>63</v>
      </c>
      <c r="J202" s="175">
        <v>50</v>
      </c>
      <c r="K202" s="175">
        <f>+Tabla132112412[[#This Row],[CANTIDAD TOTAL]]*Tabla132112412[[#This Row],[PRECIO UNITARIO ESTIMADO]]</f>
        <v>3150</v>
      </c>
      <c r="L202" s="175"/>
      <c r="M202" s="77" t="s">
        <v>27</v>
      </c>
      <c r="N202" s="77" t="s">
        <v>22</v>
      </c>
      <c r="O202" s="177" t="s">
        <v>418</v>
      </c>
    </row>
    <row r="203" spans="2:15" s="12" customFormat="1" ht="18">
      <c r="B203" s="372" t="s">
        <v>62</v>
      </c>
      <c r="C203" s="77" t="s">
        <v>466</v>
      </c>
      <c r="D203" s="177" t="s">
        <v>17</v>
      </c>
      <c r="E203" s="370">
        <v>12</v>
      </c>
      <c r="F203" s="370">
        <v>0</v>
      </c>
      <c r="G203" s="370">
        <v>0</v>
      </c>
      <c r="H203" s="370">
        <v>0</v>
      </c>
      <c r="I203" s="363">
        <f>SUM(Tabla132112412[[#This Row],[PRIMER TRIMESTRE]:[CUARTO TRIMESTRE]])</f>
        <v>12</v>
      </c>
      <c r="J203" s="175">
        <v>1746.26</v>
      </c>
      <c r="K203" s="175">
        <f>+Tabla132112412[[#This Row],[CANTIDAD TOTAL]]*Tabla132112412[[#This Row],[PRECIO UNITARIO ESTIMADO]]</f>
        <v>20955.12</v>
      </c>
      <c r="L203" s="175"/>
      <c r="M203" s="77" t="s">
        <v>27</v>
      </c>
      <c r="N203" s="77" t="s">
        <v>22</v>
      </c>
      <c r="O203" s="177" t="s">
        <v>418</v>
      </c>
    </row>
    <row r="204" spans="2:15" s="12" customFormat="1" ht="18">
      <c r="B204" s="372" t="s">
        <v>62</v>
      </c>
      <c r="C204" s="77" t="s">
        <v>1168</v>
      </c>
      <c r="D204" s="177" t="s">
        <v>17</v>
      </c>
      <c r="E204" s="370">
        <v>5</v>
      </c>
      <c r="F204" s="370">
        <v>0</v>
      </c>
      <c r="G204" s="370">
        <v>0</v>
      </c>
      <c r="H204" s="370">
        <v>0</v>
      </c>
      <c r="I204" s="363">
        <f>SUM(Tabla132112412[[#This Row],[PRIMER TRIMESTRE]:[CUARTO TRIMESTRE]])</f>
        <v>5</v>
      </c>
      <c r="J204" s="175">
        <v>6800</v>
      </c>
      <c r="K204" s="175">
        <f>+I204*J204</f>
        <v>34000</v>
      </c>
      <c r="L204" s="175"/>
      <c r="M204" s="77" t="s">
        <v>27</v>
      </c>
      <c r="N204" s="77" t="s">
        <v>22</v>
      </c>
      <c r="O204" s="177" t="s">
        <v>418</v>
      </c>
    </row>
    <row r="205" spans="2:15" s="12" customFormat="1" ht="18">
      <c r="B205" s="372" t="s">
        <v>62</v>
      </c>
      <c r="C205" s="454" t="s">
        <v>2062</v>
      </c>
      <c r="D205" s="177" t="s">
        <v>17</v>
      </c>
      <c r="E205" s="365"/>
      <c r="F205" s="365">
        <v>2</v>
      </c>
      <c r="G205" s="365"/>
      <c r="H205" s="365"/>
      <c r="I205" s="363">
        <f>SUM(Tabla132112412[[#This Row],[PRIMER TRIMESTRE]:[CUARTO TRIMESTRE]])</f>
        <v>2</v>
      </c>
      <c r="J205" s="175"/>
      <c r="K205" s="175"/>
      <c r="L205" s="175"/>
      <c r="M205" s="77"/>
      <c r="N205" s="77"/>
      <c r="O205" s="177"/>
    </row>
    <row r="206" spans="2:15" s="12" customFormat="1" ht="18">
      <c r="B206" s="372" t="s">
        <v>62</v>
      </c>
      <c r="C206" s="77" t="s">
        <v>170</v>
      </c>
      <c r="D206" s="177" t="s">
        <v>17</v>
      </c>
      <c r="E206" s="370">
        <v>11</v>
      </c>
      <c r="F206" s="370">
        <v>0</v>
      </c>
      <c r="G206" s="370">
        <v>0</v>
      </c>
      <c r="H206" s="370">
        <v>0</v>
      </c>
      <c r="I206" s="363">
        <f>SUM(Tabla132112412[[#This Row],[PRIMER TRIMESTRE]:[CUARTO TRIMESTRE]])</f>
        <v>11</v>
      </c>
      <c r="J206" s="175">
        <v>458.2</v>
      </c>
      <c r="K206" s="175">
        <f>+Tabla132112412[[#This Row],[CANTIDAD TOTAL]]*Tabla132112412[[#This Row],[PRECIO UNITARIO ESTIMADO]]</f>
        <v>5040.2</v>
      </c>
      <c r="L206" s="175"/>
      <c r="M206" s="77" t="s">
        <v>27</v>
      </c>
      <c r="N206" s="77" t="s">
        <v>22</v>
      </c>
      <c r="O206" s="177" t="s">
        <v>418</v>
      </c>
    </row>
    <row r="207" spans="2:15" s="12" customFormat="1" ht="18">
      <c r="B207" s="372" t="s">
        <v>62</v>
      </c>
      <c r="C207" s="77" t="s">
        <v>172</v>
      </c>
      <c r="D207" s="177" t="s">
        <v>17</v>
      </c>
      <c r="E207" s="370">
        <v>20</v>
      </c>
      <c r="F207" s="370">
        <v>3</v>
      </c>
      <c r="G207" s="370">
        <v>10</v>
      </c>
      <c r="H207" s="370">
        <v>0</v>
      </c>
      <c r="I207" s="363">
        <f>SUM(Tabla132112412[[#This Row],[PRIMER TRIMESTRE]:[CUARTO TRIMESTRE]])</f>
        <v>33</v>
      </c>
      <c r="J207" s="175">
        <v>90</v>
      </c>
      <c r="K207" s="175">
        <f>+Tabla132112412[[#This Row],[CANTIDAD TOTAL]]*Tabla132112412[[#This Row],[PRECIO UNITARIO ESTIMADO]]</f>
        <v>2970</v>
      </c>
      <c r="L207" s="175"/>
      <c r="M207" s="77" t="s">
        <v>27</v>
      </c>
      <c r="N207" s="77" t="s">
        <v>22</v>
      </c>
      <c r="O207" s="177" t="s">
        <v>418</v>
      </c>
    </row>
    <row r="208" spans="2:15" s="111" customFormat="1" ht="18">
      <c r="B208" s="372" t="s">
        <v>62</v>
      </c>
      <c r="C208" s="77" t="s">
        <v>732</v>
      </c>
      <c r="D208" s="177" t="s">
        <v>17</v>
      </c>
      <c r="E208" s="370">
        <v>8</v>
      </c>
      <c r="F208" s="370">
        <v>28</v>
      </c>
      <c r="G208" s="370">
        <v>3</v>
      </c>
      <c r="H208" s="370">
        <v>28</v>
      </c>
      <c r="I208" s="363">
        <f>SUM(Tabla132112412[[#This Row],[PRIMER TRIMESTRE]:[CUARTO TRIMESTRE]])</f>
        <v>67</v>
      </c>
      <c r="J208" s="175">
        <v>142.85</v>
      </c>
      <c r="K208" s="175">
        <f t="shared" ref="K208:K215" si="4">+I208*J208</f>
        <v>9570.9499999999989</v>
      </c>
      <c r="L208" s="175"/>
      <c r="M208" s="77" t="s">
        <v>27</v>
      </c>
      <c r="N208" s="77" t="s">
        <v>22</v>
      </c>
      <c r="O208" s="177" t="s">
        <v>418</v>
      </c>
    </row>
    <row r="209" spans="1:15" s="12" customFormat="1" ht="18">
      <c r="B209" s="372" t="s">
        <v>62</v>
      </c>
      <c r="C209" s="77" t="s">
        <v>733</v>
      </c>
      <c r="D209" s="177" t="s">
        <v>17</v>
      </c>
      <c r="E209" s="370">
        <v>8</v>
      </c>
      <c r="F209" s="370">
        <v>28</v>
      </c>
      <c r="G209" s="370">
        <v>3</v>
      </c>
      <c r="H209" s="370">
        <v>28</v>
      </c>
      <c r="I209" s="363">
        <f>SUM(Tabla132112412[[#This Row],[PRIMER TRIMESTRE]:[CUARTO TRIMESTRE]])</f>
        <v>67</v>
      </c>
      <c r="J209" s="175">
        <v>39.56</v>
      </c>
      <c r="K209" s="175">
        <f t="shared" si="4"/>
        <v>2650.52</v>
      </c>
      <c r="L209" s="175"/>
      <c r="M209" s="77" t="s">
        <v>27</v>
      </c>
      <c r="N209" s="77" t="s">
        <v>22</v>
      </c>
      <c r="O209" s="177" t="s">
        <v>418</v>
      </c>
    </row>
    <row r="210" spans="1:15" s="12" customFormat="1" ht="18">
      <c r="B210" s="372" t="s">
        <v>62</v>
      </c>
      <c r="C210" s="77" t="s">
        <v>734</v>
      </c>
      <c r="D210" s="177" t="s">
        <v>17</v>
      </c>
      <c r="E210" s="370">
        <v>8</v>
      </c>
      <c r="F210" s="370">
        <v>28</v>
      </c>
      <c r="G210" s="370">
        <v>3</v>
      </c>
      <c r="H210" s="370">
        <v>28</v>
      </c>
      <c r="I210" s="363">
        <f>SUM(Tabla132112412[[#This Row],[PRIMER TRIMESTRE]:[CUARTO TRIMESTRE]])</f>
        <v>67</v>
      </c>
      <c r="J210" s="175">
        <v>41.8</v>
      </c>
      <c r="K210" s="175">
        <f t="shared" si="4"/>
        <v>2800.6</v>
      </c>
      <c r="L210" s="175"/>
      <c r="M210" s="77" t="s">
        <v>27</v>
      </c>
      <c r="N210" s="77" t="s">
        <v>22</v>
      </c>
      <c r="O210" s="177" t="s">
        <v>418</v>
      </c>
    </row>
    <row r="211" spans="1:15" s="12" customFormat="1" ht="18">
      <c r="B211" s="372" t="s">
        <v>62</v>
      </c>
      <c r="C211" s="77" t="s">
        <v>735</v>
      </c>
      <c r="D211" s="177" t="s">
        <v>17</v>
      </c>
      <c r="E211" s="370">
        <v>8</v>
      </c>
      <c r="F211" s="370">
        <v>28</v>
      </c>
      <c r="G211" s="370">
        <v>3</v>
      </c>
      <c r="H211" s="370">
        <v>28</v>
      </c>
      <c r="I211" s="363">
        <f>SUM(Tabla132112412[[#This Row],[PRIMER TRIMESTRE]:[CUARTO TRIMESTRE]])</f>
        <v>67</v>
      </c>
      <c r="J211" s="175">
        <v>50.27</v>
      </c>
      <c r="K211" s="175">
        <f t="shared" si="4"/>
        <v>3368.09</v>
      </c>
      <c r="L211" s="175"/>
      <c r="M211" s="77" t="s">
        <v>27</v>
      </c>
      <c r="N211" s="77" t="s">
        <v>22</v>
      </c>
      <c r="O211" s="177" t="s">
        <v>418</v>
      </c>
    </row>
    <row r="212" spans="1:15" s="12" customFormat="1" ht="18">
      <c r="B212" s="372" t="s">
        <v>62</v>
      </c>
      <c r="C212" s="77" t="s">
        <v>736</v>
      </c>
      <c r="D212" s="177" t="s">
        <v>17</v>
      </c>
      <c r="E212" s="370">
        <v>8</v>
      </c>
      <c r="F212" s="370">
        <v>25</v>
      </c>
      <c r="G212" s="370">
        <v>3</v>
      </c>
      <c r="H212" s="370">
        <v>28</v>
      </c>
      <c r="I212" s="363">
        <f>SUM(Tabla132112412[[#This Row],[PRIMER TRIMESTRE]:[CUARTO TRIMESTRE]])</f>
        <v>64</v>
      </c>
      <c r="J212" s="175">
        <v>60.89</v>
      </c>
      <c r="K212" s="175">
        <f t="shared" si="4"/>
        <v>3896.96</v>
      </c>
      <c r="L212" s="175"/>
      <c r="M212" s="77" t="s">
        <v>27</v>
      </c>
      <c r="N212" s="77" t="s">
        <v>22</v>
      </c>
      <c r="O212" s="177" t="s">
        <v>418</v>
      </c>
    </row>
    <row r="213" spans="1:15" s="12" customFormat="1" ht="18">
      <c r="B213" s="372" t="s">
        <v>62</v>
      </c>
      <c r="C213" s="77" t="s">
        <v>737</v>
      </c>
      <c r="D213" s="177" t="s">
        <v>17</v>
      </c>
      <c r="E213" s="370">
        <v>8</v>
      </c>
      <c r="F213" s="370">
        <v>28</v>
      </c>
      <c r="G213" s="370">
        <v>3</v>
      </c>
      <c r="H213" s="370">
        <v>28</v>
      </c>
      <c r="I213" s="363">
        <f>SUM(Tabla132112412[[#This Row],[PRIMER TRIMESTRE]:[CUARTO TRIMESTRE]])</f>
        <v>67</v>
      </c>
      <c r="J213" s="175">
        <v>65.36</v>
      </c>
      <c r="K213" s="175">
        <f t="shared" si="4"/>
        <v>4379.12</v>
      </c>
      <c r="L213" s="175"/>
      <c r="M213" s="77" t="s">
        <v>27</v>
      </c>
      <c r="N213" s="77" t="s">
        <v>22</v>
      </c>
      <c r="O213" s="177" t="s">
        <v>418</v>
      </c>
    </row>
    <row r="214" spans="1:15" s="26" customFormat="1" ht="18">
      <c r="A214" s="12"/>
      <c r="B214" s="372" t="s">
        <v>62</v>
      </c>
      <c r="C214" s="77" t="s">
        <v>738</v>
      </c>
      <c r="D214" s="177" t="s">
        <v>17</v>
      </c>
      <c r="E214" s="370">
        <v>8</v>
      </c>
      <c r="F214" s="370">
        <v>28</v>
      </c>
      <c r="G214" s="370">
        <v>3</v>
      </c>
      <c r="H214" s="370">
        <v>28</v>
      </c>
      <c r="I214" s="363">
        <f>SUM(Tabla132112412[[#This Row],[PRIMER TRIMESTRE]:[CUARTO TRIMESTRE]])</f>
        <v>67</v>
      </c>
      <c r="J214" s="175">
        <v>352.74</v>
      </c>
      <c r="K214" s="175">
        <f t="shared" si="4"/>
        <v>23633.58</v>
      </c>
      <c r="L214" s="175"/>
      <c r="M214" s="77" t="s">
        <v>27</v>
      </c>
      <c r="N214" s="77" t="s">
        <v>22</v>
      </c>
      <c r="O214" s="177" t="s">
        <v>418</v>
      </c>
    </row>
    <row r="215" spans="1:15" s="55" customFormat="1" ht="18">
      <c r="A215" s="12"/>
      <c r="B215" s="372" t="s">
        <v>62</v>
      </c>
      <c r="C215" s="77" t="s">
        <v>1169</v>
      </c>
      <c r="D215" s="177" t="s">
        <v>1162</v>
      </c>
      <c r="E215" s="370">
        <v>5</v>
      </c>
      <c r="F215" s="370">
        <v>0</v>
      </c>
      <c r="G215" s="370">
        <v>0</v>
      </c>
      <c r="H215" s="370">
        <v>3</v>
      </c>
      <c r="I215" s="363">
        <f>SUM(Tabla132112412[[#This Row],[PRIMER TRIMESTRE]:[CUARTO TRIMESTRE]])</f>
        <v>8</v>
      </c>
      <c r="J215" s="175">
        <v>2300</v>
      </c>
      <c r="K215" s="175">
        <f t="shared" si="4"/>
        <v>18400</v>
      </c>
      <c r="L215" s="175"/>
      <c r="M215" s="77" t="s">
        <v>27</v>
      </c>
      <c r="N215" s="77" t="s">
        <v>22</v>
      </c>
      <c r="O215" s="177" t="s">
        <v>418</v>
      </c>
    </row>
    <row r="216" spans="1:15" s="55" customFormat="1" ht="18">
      <c r="A216" s="12"/>
      <c r="B216" s="452" t="s">
        <v>62</v>
      </c>
      <c r="C216" s="453"/>
      <c r="D216" s="177"/>
      <c r="E216" s="370"/>
      <c r="F216" s="370"/>
      <c r="G216" s="370"/>
      <c r="H216" s="370"/>
      <c r="I216" s="363">
        <f>SUM(Tabla132112412[[#This Row],[PRIMER TRIMESTRE]:[CUARTO TRIMESTRE]])</f>
        <v>0</v>
      </c>
      <c r="J216" s="175"/>
      <c r="K216" s="175"/>
      <c r="L216" s="451">
        <f>SUM(K104:K215)</f>
        <v>3439616.1400000015</v>
      </c>
      <c r="M216" s="77"/>
      <c r="N216" s="77"/>
      <c r="O216" s="177"/>
    </row>
    <row r="217" spans="1:15" s="55" customFormat="1" ht="25.5">
      <c r="A217" s="12"/>
      <c r="B217" s="372" t="s">
        <v>73</v>
      </c>
      <c r="C217" s="77" t="s">
        <v>1275</v>
      </c>
      <c r="D217" s="457" t="s">
        <v>17</v>
      </c>
      <c r="E217" s="458">
        <v>3</v>
      </c>
      <c r="F217" s="370">
        <v>0</v>
      </c>
      <c r="G217" s="370">
        <v>1</v>
      </c>
      <c r="H217" s="370">
        <v>0</v>
      </c>
      <c r="I217" s="363">
        <f>SUM(Tabla132112412[[#This Row],[PRIMER TRIMESTRE]:[CUARTO TRIMESTRE]])</f>
        <v>4</v>
      </c>
      <c r="J217" s="469">
        <v>239750</v>
      </c>
      <c r="K217" s="469">
        <f>+I217*J217</f>
        <v>959000</v>
      </c>
      <c r="L217" s="460"/>
      <c r="M217" s="77" t="s">
        <v>18</v>
      </c>
      <c r="N217" s="470" t="s">
        <v>22</v>
      </c>
      <c r="O217" s="177" t="s">
        <v>418</v>
      </c>
    </row>
    <row r="218" spans="1:15" s="55" customFormat="1" ht="25.5">
      <c r="A218" s="12"/>
      <c r="B218" s="372" t="s">
        <v>73</v>
      </c>
      <c r="C218" s="77" t="s">
        <v>1276</v>
      </c>
      <c r="D218" s="457" t="s">
        <v>17</v>
      </c>
      <c r="E218" s="458">
        <v>2</v>
      </c>
      <c r="F218" s="370">
        <v>0</v>
      </c>
      <c r="G218" s="370">
        <v>0</v>
      </c>
      <c r="H218" s="370">
        <v>0</v>
      </c>
      <c r="I218" s="363">
        <f>SUM(Tabla132112412[[#This Row],[PRIMER TRIMESTRE]:[CUARTO TRIMESTRE]])</f>
        <v>2</v>
      </c>
      <c r="J218" s="469">
        <v>37500</v>
      </c>
      <c r="K218" s="469">
        <f>+I218*J218</f>
        <v>75000</v>
      </c>
      <c r="L218" s="460"/>
      <c r="M218" s="77" t="s">
        <v>18</v>
      </c>
      <c r="N218" s="470" t="s">
        <v>22</v>
      </c>
      <c r="O218" s="177" t="s">
        <v>418</v>
      </c>
    </row>
    <row r="219" spans="1:15" s="26" customFormat="1" ht="25.5">
      <c r="A219" s="12"/>
      <c r="B219" s="372" t="s">
        <v>73</v>
      </c>
      <c r="C219" s="77" t="s">
        <v>1277</v>
      </c>
      <c r="D219" s="457" t="s">
        <v>17</v>
      </c>
      <c r="E219" s="458">
        <v>2</v>
      </c>
      <c r="F219" s="370">
        <v>0</v>
      </c>
      <c r="G219" s="370">
        <v>0</v>
      </c>
      <c r="H219" s="370">
        <v>0</v>
      </c>
      <c r="I219" s="363">
        <f>SUM(Tabla132112412[[#This Row],[PRIMER TRIMESTRE]:[CUARTO TRIMESTRE]])</f>
        <v>2</v>
      </c>
      <c r="J219" s="469">
        <v>301000</v>
      </c>
      <c r="K219" s="469">
        <f>+I219*J219</f>
        <v>602000</v>
      </c>
      <c r="L219" s="460"/>
      <c r="M219" s="77" t="s">
        <v>18</v>
      </c>
      <c r="N219" s="470" t="s">
        <v>22</v>
      </c>
      <c r="O219" s="177" t="s">
        <v>418</v>
      </c>
    </row>
    <row r="220" spans="1:15" s="12" customFormat="1" ht="25.5">
      <c r="B220" s="372" t="s">
        <v>73</v>
      </c>
      <c r="C220" s="77" t="s">
        <v>1278</v>
      </c>
      <c r="D220" s="457" t="s">
        <v>17</v>
      </c>
      <c r="E220" s="458">
        <v>5</v>
      </c>
      <c r="F220" s="370">
        <v>0</v>
      </c>
      <c r="G220" s="370">
        <v>0</v>
      </c>
      <c r="H220" s="370">
        <v>0</v>
      </c>
      <c r="I220" s="363">
        <f>SUM(Tabla132112412[[#This Row],[PRIMER TRIMESTRE]:[CUARTO TRIMESTRE]])</f>
        <v>5</v>
      </c>
      <c r="J220" s="469">
        <v>350000</v>
      </c>
      <c r="K220" s="469">
        <f>+I220*J220</f>
        <v>1750000</v>
      </c>
      <c r="L220" s="460"/>
      <c r="M220" s="77" t="s">
        <v>18</v>
      </c>
      <c r="N220" s="470" t="s">
        <v>22</v>
      </c>
      <c r="O220" s="177" t="s">
        <v>418</v>
      </c>
    </row>
    <row r="221" spans="1:15" s="12" customFormat="1" ht="25.5">
      <c r="B221" s="452" t="s">
        <v>73</v>
      </c>
      <c r="C221" s="453"/>
      <c r="D221" s="177"/>
      <c r="E221" s="370"/>
      <c r="F221" s="370"/>
      <c r="G221" s="370"/>
      <c r="H221" s="370"/>
      <c r="I221" s="363">
        <f>SUM(Tabla132112412[[#This Row],[PRIMER TRIMESTRE]:[CUARTO TRIMESTRE]])</f>
        <v>0</v>
      </c>
      <c r="J221" s="175"/>
      <c r="K221" s="175"/>
      <c r="L221" s="451">
        <f>SUM(K217:K220)</f>
        <v>3386000</v>
      </c>
      <c r="M221" s="77"/>
      <c r="N221" s="77"/>
      <c r="O221" s="177"/>
    </row>
    <row r="222" spans="1:15" s="12" customFormat="1" ht="18">
      <c r="B222" s="372" t="s">
        <v>80</v>
      </c>
      <c r="C222" s="454" t="s">
        <v>2063</v>
      </c>
      <c r="D222" s="177"/>
      <c r="E222" s="368">
        <v>12</v>
      </c>
      <c r="F222" s="369">
        <v>12</v>
      </c>
      <c r="G222" s="369">
        <v>12</v>
      </c>
      <c r="H222" s="370"/>
      <c r="I222" s="363">
        <f>SUM(Tabla132112412[[#This Row],[PRIMER TRIMESTRE]:[CUARTO TRIMESTRE]])</f>
        <v>36</v>
      </c>
      <c r="J222" s="175"/>
      <c r="K222" s="175"/>
      <c r="L222" s="175"/>
      <c r="M222" s="77"/>
      <c r="N222" s="77"/>
      <c r="O222" s="177"/>
    </row>
    <row r="223" spans="1:15" s="12" customFormat="1" ht="18">
      <c r="B223" s="372" t="s">
        <v>80</v>
      </c>
      <c r="C223" s="454" t="s">
        <v>2064</v>
      </c>
      <c r="D223" s="177"/>
      <c r="E223" s="368">
        <v>6</v>
      </c>
      <c r="F223" s="369">
        <v>2</v>
      </c>
      <c r="G223" s="369">
        <v>2</v>
      </c>
      <c r="H223" s="370"/>
      <c r="I223" s="363">
        <f>SUM(Tabla132112412[[#This Row],[PRIMER TRIMESTRE]:[CUARTO TRIMESTRE]])</f>
        <v>10</v>
      </c>
      <c r="J223" s="175"/>
      <c r="K223" s="175"/>
      <c r="L223" s="175"/>
      <c r="M223" s="77"/>
      <c r="N223" s="77"/>
      <c r="O223" s="177"/>
    </row>
    <row r="224" spans="1:15" s="12" customFormat="1" ht="18">
      <c r="B224" s="372" t="s">
        <v>80</v>
      </c>
      <c r="C224" s="454" t="s">
        <v>2065</v>
      </c>
      <c r="D224" s="177"/>
      <c r="E224" s="368">
        <v>2</v>
      </c>
      <c r="F224" s="369">
        <v>1</v>
      </c>
      <c r="G224" s="369">
        <v>1</v>
      </c>
      <c r="H224" s="370"/>
      <c r="I224" s="363">
        <f>SUM(Tabla132112412[[#This Row],[PRIMER TRIMESTRE]:[CUARTO TRIMESTRE]])</f>
        <v>4</v>
      </c>
      <c r="J224" s="175"/>
      <c r="K224" s="175"/>
      <c r="L224" s="175"/>
      <c r="M224" s="77"/>
      <c r="N224" s="77"/>
      <c r="O224" s="177"/>
    </row>
    <row r="225" spans="2:15" s="12" customFormat="1" ht="18">
      <c r="B225" s="372" t="s">
        <v>80</v>
      </c>
      <c r="C225" s="454" t="s">
        <v>2066</v>
      </c>
      <c r="D225" s="177"/>
      <c r="E225" s="368">
        <v>1</v>
      </c>
      <c r="F225" s="369">
        <v>0</v>
      </c>
      <c r="G225" s="369">
        <v>1</v>
      </c>
      <c r="H225" s="370"/>
      <c r="I225" s="363">
        <f>SUM(Tabla132112412[[#This Row],[PRIMER TRIMESTRE]:[CUARTO TRIMESTRE]])</f>
        <v>2</v>
      </c>
      <c r="J225" s="175"/>
      <c r="K225" s="175"/>
      <c r="L225" s="175"/>
      <c r="M225" s="77"/>
      <c r="N225" s="77"/>
      <c r="O225" s="177"/>
    </row>
    <row r="226" spans="2:15" s="12" customFormat="1" ht="18">
      <c r="B226" s="372" t="s">
        <v>80</v>
      </c>
      <c r="C226" s="454" t="s">
        <v>2067</v>
      </c>
      <c r="D226" s="177"/>
      <c r="E226" s="368">
        <v>2</v>
      </c>
      <c r="F226" s="369">
        <v>0</v>
      </c>
      <c r="G226" s="369">
        <v>1</v>
      </c>
      <c r="H226" s="370"/>
      <c r="I226" s="363">
        <f>SUM(Tabla132112412[[#This Row],[PRIMER TRIMESTRE]:[CUARTO TRIMESTRE]])</f>
        <v>3</v>
      </c>
      <c r="J226" s="175"/>
      <c r="K226" s="175"/>
      <c r="L226" s="175"/>
      <c r="M226" s="77"/>
      <c r="N226" s="77"/>
      <c r="O226" s="177"/>
    </row>
    <row r="227" spans="2:15" s="12" customFormat="1" ht="18">
      <c r="B227" s="372" t="s">
        <v>80</v>
      </c>
      <c r="C227" s="454" t="s">
        <v>2068</v>
      </c>
      <c r="D227" s="177"/>
      <c r="E227" s="368">
        <v>2</v>
      </c>
      <c r="F227" s="369">
        <v>1</v>
      </c>
      <c r="G227" s="369">
        <v>1</v>
      </c>
      <c r="H227" s="370"/>
      <c r="I227" s="363">
        <f>SUM(Tabla132112412[[#This Row],[PRIMER TRIMESTRE]:[CUARTO TRIMESTRE]])</f>
        <v>4</v>
      </c>
      <c r="J227" s="175"/>
      <c r="K227" s="175"/>
      <c r="L227" s="175"/>
      <c r="M227" s="77"/>
      <c r="N227" s="77"/>
      <c r="O227" s="177"/>
    </row>
    <row r="228" spans="2:15" s="12" customFormat="1" ht="18">
      <c r="B228" s="372" t="s">
        <v>80</v>
      </c>
      <c r="C228" s="77" t="s">
        <v>788</v>
      </c>
      <c r="D228" s="177" t="s">
        <v>69</v>
      </c>
      <c r="E228" s="370">
        <v>635</v>
      </c>
      <c r="F228" s="370">
        <v>635</v>
      </c>
      <c r="G228" s="370">
        <v>635</v>
      </c>
      <c r="H228" s="370">
        <v>635</v>
      </c>
      <c r="I228" s="363">
        <f>SUM(Tabla132112412[[#This Row],[PRIMER TRIMESTRE]:[CUARTO TRIMESTRE]])</f>
        <v>2540</v>
      </c>
      <c r="J228" s="175">
        <v>5.46</v>
      </c>
      <c r="K228" s="175">
        <f>+Tabla132112412[[#This Row],[CANTIDAD TOTAL]]*Tabla132112412[[#This Row],[PRECIO UNITARIO ESTIMADO]]</f>
        <v>13868.4</v>
      </c>
      <c r="L228" s="175"/>
      <c r="M228" s="77" t="s">
        <v>18</v>
      </c>
      <c r="N228" s="77" t="s">
        <v>22</v>
      </c>
      <c r="O228" s="177" t="s">
        <v>418</v>
      </c>
    </row>
    <row r="229" spans="2:15" s="12" customFormat="1" ht="18">
      <c r="B229" s="372" t="s">
        <v>80</v>
      </c>
      <c r="C229" s="77" t="s">
        <v>1346</v>
      </c>
      <c r="D229" s="177" t="s">
        <v>208</v>
      </c>
      <c r="E229" s="370">
        <v>425</v>
      </c>
      <c r="F229" s="370">
        <v>425</v>
      </c>
      <c r="G229" s="370">
        <v>425</v>
      </c>
      <c r="H229" s="370">
        <v>425</v>
      </c>
      <c r="I229" s="363">
        <f>SUM(Tabla132112412[[#This Row],[PRIMER TRIMESTRE]:[CUARTO TRIMESTRE]])</f>
        <v>1700</v>
      </c>
      <c r="J229" s="175">
        <v>8</v>
      </c>
      <c r="K229" s="175">
        <f>+Tabla132112412[[#This Row],[CANTIDAD TOTAL]]*Tabla132112412[[#This Row],[PRECIO UNITARIO ESTIMADO]]</f>
        <v>13600</v>
      </c>
      <c r="L229" s="175"/>
      <c r="M229" s="77" t="s">
        <v>18</v>
      </c>
      <c r="N229" s="77" t="s">
        <v>22</v>
      </c>
      <c r="O229" s="177" t="s">
        <v>418</v>
      </c>
    </row>
    <row r="230" spans="2:15" s="12" customFormat="1" ht="18">
      <c r="B230" s="372" t="s">
        <v>80</v>
      </c>
      <c r="C230" s="77" t="s">
        <v>789</v>
      </c>
      <c r="D230" s="177" t="s">
        <v>208</v>
      </c>
      <c r="E230" s="370">
        <v>270</v>
      </c>
      <c r="F230" s="370">
        <v>270</v>
      </c>
      <c r="G230" s="370">
        <v>270</v>
      </c>
      <c r="H230" s="370">
        <v>270</v>
      </c>
      <c r="I230" s="363">
        <f>SUM(Tabla132112412[[#This Row],[PRIMER TRIMESTRE]:[CUARTO TRIMESTRE]])</f>
        <v>1080</v>
      </c>
      <c r="J230" s="175">
        <v>6.4</v>
      </c>
      <c r="K230" s="175">
        <f>+Tabla132112412[[#This Row],[CANTIDAD TOTAL]]*Tabla132112412[[#This Row],[PRECIO UNITARIO ESTIMADO]]</f>
        <v>6912</v>
      </c>
      <c r="L230" s="175"/>
      <c r="M230" s="77" t="s">
        <v>18</v>
      </c>
      <c r="N230" s="77" t="s">
        <v>22</v>
      </c>
      <c r="O230" s="177" t="s">
        <v>418</v>
      </c>
    </row>
    <row r="231" spans="2:15" s="12" customFormat="1" ht="18">
      <c r="B231" s="372" t="s">
        <v>80</v>
      </c>
      <c r="C231" s="77" t="s">
        <v>83</v>
      </c>
      <c r="D231" s="177" t="s">
        <v>69</v>
      </c>
      <c r="E231" s="370">
        <v>43</v>
      </c>
      <c r="F231" s="370">
        <v>43</v>
      </c>
      <c r="G231" s="370">
        <v>43</v>
      </c>
      <c r="H231" s="370">
        <v>43</v>
      </c>
      <c r="I231" s="363">
        <f>SUM(Tabla132112412[[#This Row],[PRIMER TRIMESTRE]:[CUARTO TRIMESTRE]])</f>
        <v>172</v>
      </c>
      <c r="J231" s="175">
        <v>290</v>
      </c>
      <c r="K231" s="175">
        <f>+Tabla132112412[[#This Row],[CANTIDAD TOTAL]]*Tabla132112412[[#This Row],[PRECIO UNITARIO ESTIMADO]]</f>
        <v>49880</v>
      </c>
      <c r="L231" s="175"/>
      <c r="M231" s="77" t="s">
        <v>18</v>
      </c>
      <c r="N231" s="77" t="s">
        <v>22</v>
      </c>
      <c r="O231" s="177" t="s">
        <v>418</v>
      </c>
    </row>
    <row r="232" spans="2:15" s="12" customFormat="1" ht="18">
      <c r="B232" s="372" t="s">
        <v>80</v>
      </c>
      <c r="C232" s="77" t="s">
        <v>1561</v>
      </c>
      <c r="D232" s="177" t="s">
        <v>69</v>
      </c>
      <c r="E232" s="370">
        <v>2</v>
      </c>
      <c r="F232" s="370">
        <v>0</v>
      </c>
      <c r="G232" s="370">
        <v>0</v>
      </c>
      <c r="H232" s="370">
        <v>0</v>
      </c>
      <c r="I232" s="363">
        <f>SUM(Tabla132112412[[#This Row],[PRIMER TRIMESTRE]:[CUARTO TRIMESTRE]])</f>
        <v>2</v>
      </c>
      <c r="J232" s="175">
        <v>3200</v>
      </c>
      <c r="K232" s="175">
        <f>+I232*J232</f>
        <v>6400</v>
      </c>
      <c r="L232" s="175"/>
      <c r="M232" s="77" t="s">
        <v>18</v>
      </c>
      <c r="N232" s="77" t="s">
        <v>22</v>
      </c>
      <c r="O232" s="177" t="s">
        <v>418</v>
      </c>
    </row>
    <row r="233" spans="2:15" s="12" customFormat="1" ht="18">
      <c r="B233" s="372" t="s">
        <v>80</v>
      </c>
      <c r="C233" s="77" t="s">
        <v>85</v>
      </c>
      <c r="D233" s="177" t="s">
        <v>69</v>
      </c>
      <c r="E233" s="370">
        <v>155</v>
      </c>
      <c r="F233" s="370">
        <v>155</v>
      </c>
      <c r="G233" s="370">
        <v>155</v>
      </c>
      <c r="H233" s="370">
        <v>155</v>
      </c>
      <c r="I233" s="363">
        <f>SUM(Tabla132112412[[#This Row],[PRIMER TRIMESTRE]:[CUARTO TRIMESTRE]])</f>
        <v>620</v>
      </c>
      <c r="J233" s="175">
        <v>4.0599999999999996</v>
      </c>
      <c r="K233" s="175">
        <f>+Tabla132112412[[#This Row],[CANTIDAD TOTAL]]*Tabla132112412[[#This Row],[PRECIO UNITARIO ESTIMADO]]</f>
        <v>2517.1999999999998</v>
      </c>
      <c r="L233" s="175"/>
      <c r="M233" s="77" t="s">
        <v>18</v>
      </c>
      <c r="N233" s="77" t="s">
        <v>22</v>
      </c>
      <c r="O233" s="177" t="s">
        <v>418</v>
      </c>
    </row>
    <row r="234" spans="2:15" s="12" customFormat="1" ht="18">
      <c r="B234" s="372" t="s">
        <v>80</v>
      </c>
      <c r="C234" s="77" t="s">
        <v>87</v>
      </c>
      <c r="D234" s="177" t="s">
        <v>69</v>
      </c>
      <c r="E234" s="370">
        <v>170</v>
      </c>
      <c r="F234" s="370">
        <v>170</v>
      </c>
      <c r="G234" s="370">
        <v>170</v>
      </c>
      <c r="H234" s="370">
        <v>170</v>
      </c>
      <c r="I234" s="363">
        <f>SUM(Tabla132112412[[#This Row],[PRIMER TRIMESTRE]:[CUARTO TRIMESTRE]])</f>
        <v>680</v>
      </c>
      <c r="J234" s="175">
        <v>3.71</v>
      </c>
      <c r="K234" s="175">
        <f>+Tabla132112412[[#This Row],[CANTIDAD TOTAL]]*Tabla132112412[[#This Row],[PRECIO UNITARIO ESTIMADO]]</f>
        <v>2522.8000000000002</v>
      </c>
      <c r="L234" s="175"/>
      <c r="M234" s="77" t="s">
        <v>18</v>
      </c>
      <c r="N234" s="77" t="s">
        <v>22</v>
      </c>
      <c r="O234" s="177" t="s">
        <v>418</v>
      </c>
    </row>
    <row r="235" spans="2:15" s="12" customFormat="1" ht="18">
      <c r="B235" s="372" t="s">
        <v>80</v>
      </c>
      <c r="C235" s="77" t="s">
        <v>1436</v>
      </c>
      <c r="D235" s="177" t="s">
        <v>69</v>
      </c>
      <c r="E235" s="370">
        <v>12</v>
      </c>
      <c r="F235" s="370">
        <v>0</v>
      </c>
      <c r="G235" s="370">
        <v>7</v>
      </c>
      <c r="H235" s="370">
        <v>0</v>
      </c>
      <c r="I235" s="363">
        <f>SUM(Tabla132112412[[#This Row],[PRIMER TRIMESTRE]:[CUARTO TRIMESTRE]])</f>
        <v>19</v>
      </c>
      <c r="J235" s="175">
        <v>125</v>
      </c>
      <c r="K235" s="175">
        <f>+I235*J235</f>
        <v>2375</v>
      </c>
      <c r="L235" s="175"/>
      <c r="M235" s="77" t="s">
        <v>18</v>
      </c>
      <c r="N235" s="77" t="s">
        <v>22</v>
      </c>
      <c r="O235" s="177" t="s">
        <v>418</v>
      </c>
    </row>
    <row r="236" spans="2:15" s="12" customFormat="1" ht="18">
      <c r="B236" s="372" t="s">
        <v>80</v>
      </c>
      <c r="C236" s="77" t="s">
        <v>89</v>
      </c>
      <c r="D236" s="177" t="s">
        <v>208</v>
      </c>
      <c r="E236" s="370">
        <v>63</v>
      </c>
      <c r="F236" s="370">
        <v>13</v>
      </c>
      <c r="G236" s="370">
        <v>63</v>
      </c>
      <c r="H236" s="370">
        <v>13</v>
      </c>
      <c r="I236" s="363">
        <f>SUM(Tabla132112412[[#This Row],[PRIMER TRIMESTRE]:[CUARTO TRIMESTRE]])</f>
        <v>152</v>
      </c>
      <c r="J236" s="175">
        <v>7.3</v>
      </c>
      <c r="K236" s="175">
        <f>+Tabla132112412[[#This Row],[CANTIDAD TOTAL]]*Tabla132112412[[#This Row],[PRECIO UNITARIO ESTIMADO]]</f>
        <v>1109.5999999999999</v>
      </c>
      <c r="L236" s="175"/>
      <c r="M236" s="77" t="s">
        <v>18</v>
      </c>
      <c r="N236" s="77" t="s">
        <v>22</v>
      </c>
      <c r="O236" s="177" t="s">
        <v>418</v>
      </c>
    </row>
    <row r="237" spans="2:15" s="12" customFormat="1" ht="18">
      <c r="B237" s="372" t="s">
        <v>80</v>
      </c>
      <c r="C237" s="454" t="s">
        <v>91</v>
      </c>
      <c r="D237" s="455" t="s">
        <v>69</v>
      </c>
      <c r="E237" s="362">
        <v>5</v>
      </c>
      <c r="F237" s="362">
        <v>5</v>
      </c>
      <c r="G237" s="362">
        <v>5</v>
      </c>
      <c r="H237" s="362">
        <v>5</v>
      </c>
      <c r="I237" s="363">
        <f>SUM(Tabla132112412[[#This Row],[PRIMER TRIMESTRE]:[CUARTO TRIMESTRE]])</f>
        <v>20</v>
      </c>
      <c r="J237" s="175"/>
      <c r="K237" s="175"/>
      <c r="L237" s="175"/>
      <c r="M237" s="77"/>
      <c r="N237" s="77"/>
      <c r="O237" s="177"/>
    </row>
    <row r="238" spans="2:15" s="12" customFormat="1" ht="18">
      <c r="B238" s="372" t="s">
        <v>80</v>
      </c>
      <c r="C238" s="454" t="s">
        <v>2069</v>
      </c>
      <c r="D238" s="177"/>
      <c r="E238" s="368">
        <v>205</v>
      </c>
      <c r="F238" s="368">
        <v>205</v>
      </c>
      <c r="G238" s="368">
        <v>205</v>
      </c>
      <c r="H238" s="368">
        <v>205</v>
      </c>
      <c r="I238" s="363">
        <f>SUM(Tabla132112412[[#This Row],[PRIMER TRIMESTRE]:[CUARTO TRIMESTRE]])</f>
        <v>820</v>
      </c>
      <c r="J238" s="175"/>
      <c r="K238" s="175"/>
      <c r="L238" s="175"/>
      <c r="M238" s="77"/>
      <c r="N238" s="77"/>
      <c r="O238" s="177"/>
    </row>
    <row r="239" spans="2:15" s="12" customFormat="1" ht="18">
      <c r="B239" s="372" t="s">
        <v>80</v>
      </c>
      <c r="C239" s="454" t="s">
        <v>2070</v>
      </c>
      <c r="D239" s="177"/>
      <c r="E239" s="368">
        <v>195</v>
      </c>
      <c r="F239" s="368">
        <v>195</v>
      </c>
      <c r="G239" s="368">
        <v>195</v>
      </c>
      <c r="H239" s="368">
        <v>195</v>
      </c>
      <c r="I239" s="363">
        <f>SUM(Tabla132112412[[#This Row],[PRIMER TRIMESTRE]:[CUARTO TRIMESTRE]])</f>
        <v>780</v>
      </c>
      <c r="J239" s="175"/>
      <c r="K239" s="175"/>
      <c r="L239" s="175"/>
      <c r="M239" s="77"/>
      <c r="N239" s="77"/>
      <c r="O239" s="177"/>
    </row>
    <row r="240" spans="2:15" s="12" customFormat="1" ht="18">
      <c r="B240" s="372" t="s">
        <v>80</v>
      </c>
      <c r="C240" s="454" t="s">
        <v>2071</v>
      </c>
      <c r="D240" s="177"/>
      <c r="E240" s="368">
        <v>10</v>
      </c>
      <c r="F240" s="369">
        <v>10</v>
      </c>
      <c r="G240" s="369">
        <v>10</v>
      </c>
      <c r="H240" s="369">
        <v>10</v>
      </c>
      <c r="I240" s="363">
        <f>SUM(Tabla132112412[[#This Row],[PRIMER TRIMESTRE]:[CUARTO TRIMESTRE]])</f>
        <v>40</v>
      </c>
      <c r="J240" s="175"/>
      <c r="K240" s="175"/>
      <c r="L240" s="175"/>
      <c r="M240" s="77"/>
      <c r="N240" s="77"/>
      <c r="O240" s="177"/>
    </row>
    <row r="241" spans="2:15" s="12" customFormat="1" ht="18">
      <c r="B241" s="372" t="s">
        <v>80</v>
      </c>
      <c r="C241" s="454" t="s">
        <v>2072</v>
      </c>
      <c r="D241" s="177"/>
      <c r="E241" s="368">
        <v>50</v>
      </c>
      <c r="F241" s="369">
        <v>0</v>
      </c>
      <c r="G241" s="369">
        <v>25</v>
      </c>
      <c r="H241" s="369">
        <v>0</v>
      </c>
      <c r="I241" s="363">
        <f>SUM(Tabla132112412[[#This Row],[PRIMER TRIMESTRE]:[CUARTO TRIMESTRE]])</f>
        <v>75</v>
      </c>
      <c r="J241" s="175"/>
      <c r="K241" s="175"/>
      <c r="L241" s="175"/>
      <c r="M241" s="77"/>
      <c r="N241" s="77"/>
      <c r="O241" s="177"/>
    </row>
    <row r="242" spans="2:15" s="12" customFormat="1" ht="18">
      <c r="B242" s="372" t="s">
        <v>80</v>
      </c>
      <c r="C242" s="454" t="s">
        <v>2073</v>
      </c>
      <c r="D242" s="177"/>
      <c r="E242" s="365">
        <v>15</v>
      </c>
      <c r="F242" s="365">
        <v>0</v>
      </c>
      <c r="G242" s="365">
        <v>0</v>
      </c>
      <c r="H242" s="365">
        <v>0</v>
      </c>
      <c r="I242" s="363">
        <f>SUM(Tabla132112412[[#This Row],[PRIMER TRIMESTRE]:[CUARTO TRIMESTRE]])</f>
        <v>15</v>
      </c>
      <c r="J242" s="175"/>
      <c r="K242" s="175"/>
      <c r="L242" s="175"/>
      <c r="M242" s="77"/>
      <c r="N242" s="77"/>
      <c r="O242" s="177"/>
    </row>
    <row r="243" spans="2:15" s="12" customFormat="1" ht="18">
      <c r="B243" s="372" t="s">
        <v>80</v>
      </c>
      <c r="C243" s="454" t="s">
        <v>2074</v>
      </c>
      <c r="D243" s="177"/>
      <c r="E243" s="365">
        <v>10</v>
      </c>
      <c r="F243" s="365">
        <v>5</v>
      </c>
      <c r="G243" s="365">
        <v>5</v>
      </c>
      <c r="H243" s="365">
        <v>5</v>
      </c>
      <c r="I243" s="363">
        <f>SUM(Tabla132112412[[#This Row],[PRIMER TRIMESTRE]:[CUARTO TRIMESTRE]])</f>
        <v>25</v>
      </c>
      <c r="J243" s="175"/>
      <c r="K243" s="175"/>
      <c r="L243" s="175"/>
      <c r="M243" s="77"/>
      <c r="N243" s="77"/>
      <c r="O243" s="177"/>
    </row>
    <row r="244" spans="2:15" s="12" customFormat="1" ht="18">
      <c r="B244" s="372" t="s">
        <v>80</v>
      </c>
      <c r="C244" s="454" t="s">
        <v>2075</v>
      </c>
      <c r="D244" s="177"/>
      <c r="E244" s="365">
        <v>100</v>
      </c>
      <c r="F244" s="365">
        <v>100</v>
      </c>
      <c r="G244" s="365">
        <v>100</v>
      </c>
      <c r="H244" s="365">
        <v>100</v>
      </c>
      <c r="I244" s="363">
        <f>SUM(Tabla132112412[[#This Row],[PRIMER TRIMESTRE]:[CUARTO TRIMESTRE]])</f>
        <v>400</v>
      </c>
      <c r="J244" s="175"/>
      <c r="K244" s="175"/>
      <c r="L244" s="175"/>
      <c r="M244" s="77"/>
      <c r="N244" s="77"/>
      <c r="O244" s="177"/>
    </row>
    <row r="245" spans="2:15" s="12" customFormat="1" ht="18">
      <c r="B245" s="372" t="s">
        <v>80</v>
      </c>
      <c r="C245" s="454" t="s">
        <v>2076</v>
      </c>
      <c r="D245" s="177"/>
      <c r="E245" s="368">
        <v>10</v>
      </c>
      <c r="F245" s="369">
        <v>5</v>
      </c>
      <c r="G245" s="369">
        <v>5</v>
      </c>
      <c r="H245" s="369">
        <v>5</v>
      </c>
      <c r="I245" s="363">
        <f>SUM(Tabla132112412[[#This Row],[PRIMER TRIMESTRE]:[CUARTO TRIMESTRE]])</f>
        <v>25</v>
      </c>
      <c r="J245" s="175"/>
      <c r="K245" s="175"/>
      <c r="L245" s="175"/>
      <c r="M245" s="77"/>
      <c r="N245" s="77"/>
      <c r="O245" s="177"/>
    </row>
    <row r="246" spans="2:15" s="12" customFormat="1" ht="18">
      <c r="B246" s="372" t="s">
        <v>80</v>
      </c>
      <c r="C246" s="373" t="s">
        <v>2077</v>
      </c>
      <c r="D246" s="177"/>
      <c r="E246" s="365">
        <v>5</v>
      </c>
      <c r="F246" s="365">
        <v>0</v>
      </c>
      <c r="G246" s="365">
        <v>0</v>
      </c>
      <c r="H246" s="365">
        <v>0</v>
      </c>
      <c r="I246" s="363">
        <f>SUM(Tabla132112412[[#This Row],[PRIMER TRIMESTRE]:[CUARTO TRIMESTRE]])</f>
        <v>5</v>
      </c>
      <c r="J246" s="175"/>
      <c r="K246" s="175"/>
      <c r="L246" s="175"/>
      <c r="M246" s="77"/>
      <c r="N246" s="77"/>
      <c r="O246" s="177"/>
    </row>
    <row r="247" spans="2:15" s="12" customFormat="1" ht="18">
      <c r="B247" s="372" t="s">
        <v>80</v>
      </c>
      <c r="C247" s="77"/>
      <c r="D247" s="177"/>
      <c r="E247" s="471"/>
      <c r="F247" s="471"/>
      <c r="G247" s="471"/>
      <c r="H247" s="471"/>
      <c r="I247" s="363">
        <f>SUM(Tabla132112412[[#This Row],[PRIMER TRIMESTRE]:[CUARTO TRIMESTRE]])</f>
        <v>0</v>
      </c>
      <c r="J247" s="175"/>
      <c r="K247" s="175"/>
      <c r="L247" s="175"/>
      <c r="M247" s="77"/>
      <c r="N247" s="77"/>
      <c r="O247" s="177"/>
    </row>
    <row r="248" spans="2:15" s="12" customFormat="1" ht="18">
      <c r="B248" s="372" t="s">
        <v>80</v>
      </c>
      <c r="C248" s="77" t="s">
        <v>98</v>
      </c>
      <c r="D248" s="177" t="s">
        <v>93</v>
      </c>
      <c r="E248" s="370">
        <v>100</v>
      </c>
      <c r="F248" s="370">
        <v>0</v>
      </c>
      <c r="G248" s="370">
        <v>100</v>
      </c>
      <c r="H248" s="370">
        <v>0</v>
      </c>
      <c r="I248" s="363">
        <f>SUM(Tabla132112412[[#This Row],[PRIMER TRIMESTRE]:[CUARTO TRIMESTRE]])</f>
        <v>200</v>
      </c>
      <c r="J248" s="175">
        <v>272.60000000000002</v>
      </c>
      <c r="K248" s="175">
        <f>+Tabla132112412[[#This Row],[CANTIDAD TOTAL]]*Tabla132112412[[#This Row],[PRECIO UNITARIO ESTIMADO]]</f>
        <v>54520.000000000007</v>
      </c>
      <c r="L248" s="175"/>
      <c r="M248" s="77" t="s">
        <v>18</v>
      </c>
      <c r="N248" s="77" t="s">
        <v>22</v>
      </c>
      <c r="O248" s="177" t="s">
        <v>418</v>
      </c>
    </row>
    <row r="249" spans="2:15" s="12" customFormat="1" ht="18">
      <c r="B249" s="372" t="s">
        <v>80</v>
      </c>
      <c r="C249" s="77" t="s">
        <v>1601</v>
      </c>
      <c r="D249" s="177" t="s">
        <v>93</v>
      </c>
      <c r="E249" s="370">
        <v>500</v>
      </c>
      <c r="F249" s="370">
        <v>0</v>
      </c>
      <c r="G249" s="370">
        <v>0</v>
      </c>
      <c r="H249" s="370">
        <v>0</v>
      </c>
      <c r="I249" s="363">
        <f>SUM(Tabla132112412[[#This Row],[PRIMER TRIMESTRE]:[CUARTO TRIMESTRE]])</f>
        <v>500</v>
      </c>
      <c r="J249" s="175">
        <v>57</v>
      </c>
      <c r="K249" s="175">
        <f>+I249*J249</f>
        <v>28500</v>
      </c>
      <c r="L249" s="175"/>
      <c r="M249" s="77" t="s">
        <v>18</v>
      </c>
      <c r="N249" s="77" t="s">
        <v>22</v>
      </c>
      <c r="O249" s="177" t="s">
        <v>418</v>
      </c>
    </row>
    <row r="250" spans="2:15" s="12" customFormat="1" ht="18">
      <c r="B250" s="372" t="s">
        <v>80</v>
      </c>
      <c r="C250" s="77" t="s">
        <v>100</v>
      </c>
      <c r="D250" s="177" t="s">
        <v>93</v>
      </c>
      <c r="E250" s="370">
        <v>500</v>
      </c>
      <c r="F250" s="370">
        <v>0</v>
      </c>
      <c r="G250" s="370">
        <v>0</v>
      </c>
      <c r="H250" s="370">
        <v>0</v>
      </c>
      <c r="I250" s="363">
        <f>SUM(Tabla132112412[[#This Row],[PRIMER TRIMESTRE]:[CUARTO TRIMESTRE]])</f>
        <v>500</v>
      </c>
      <c r="J250" s="175">
        <v>30.16</v>
      </c>
      <c r="K250" s="175">
        <f>+Tabla132112412[[#This Row],[CANTIDAD TOTAL]]*Tabla132112412[[#This Row],[PRECIO UNITARIO ESTIMADO]]</f>
        <v>15080</v>
      </c>
      <c r="L250" s="175"/>
      <c r="M250" s="77" t="s">
        <v>18</v>
      </c>
      <c r="N250" s="77" t="s">
        <v>22</v>
      </c>
      <c r="O250" s="177" t="s">
        <v>418</v>
      </c>
    </row>
    <row r="251" spans="2:15" s="12" customFormat="1" ht="25.5">
      <c r="B251" s="372" t="s">
        <v>80</v>
      </c>
      <c r="C251" s="77" t="s">
        <v>1729</v>
      </c>
      <c r="D251" s="177" t="s">
        <v>17</v>
      </c>
      <c r="E251" s="370">
        <v>110</v>
      </c>
      <c r="F251" s="370">
        <v>10</v>
      </c>
      <c r="G251" s="370">
        <v>10</v>
      </c>
      <c r="H251" s="370">
        <v>10</v>
      </c>
      <c r="I251" s="363">
        <f>SUM(Tabla132112412[[#This Row],[PRIMER TRIMESTRE]:[CUARTO TRIMESTRE]])</f>
        <v>140</v>
      </c>
      <c r="J251" s="175">
        <v>0</v>
      </c>
      <c r="K251" s="175">
        <v>0</v>
      </c>
      <c r="L251" s="175"/>
      <c r="M251" s="77" t="s">
        <v>18</v>
      </c>
      <c r="N251" s="77" t="s">
        <v>22</v>
      </c>
      <c r="O251" s="177" t="s">
        <v>418</v>
      </c>
    </row>
    <row r="252" spans="2:15" s="12" customFormat="1" ht="25.5">
      <c r="B252" s="372" t="s">
        <v>80</v>
      </c>
      <c r="C252" s="77" t="s">
        <v>1730</v>
      </c>
      <c r="D252" s="177" t="s">
        <v>17</v>
      </c>
      <c r="E252" s="370">
        <v>10</v>
      </c>
      <c r="F252" s="370">
        <v>10</v>
      </c>
      <c r="G252" s="370">
        <v>10</v>
      </c>
      <c r="H252" s="370">
        <v>10</v>
      </c>
      <c r="I252" s="363">
        <f>SUM(Tabla132112412[[#This Row],[PRIMER TRIMESTRE]:[CUARTO TRIMESTRE]])</f>
        <v>40</v>
      </c>
      <c r="J252" s="175">
        <v>0</v>
      </c>
      <c r="K252" s="175">
        <v>0</v>
      </c>
      <c r="L252" s="175"/>
      <c r="M252" s="77" t="s">
        <v>18</v>
      </c>
      <c r="N252" s="77" t="s">
        <v>22</v>
      </c>
      <c r="O252" s="177" t="s">
        <v>418</v>
      </c>
    </row>
    <row r="253" spans="2:15" s="12" customFormat="1" ht="18">
      <c r="B253" s="372" t="s">
        <v>80</v>
      </c>
      <c r="C253" s="77" t="s">
        <v>105</v>
      </c>
      <c r="D253" s="177" t="s">
        <v>17</v>
      </c>
      <c r="E253" s="370">
        <v>50</v>
      </c>
      <c r="F253" s="370">
        <v>50</v>
      </c>
      <c r="G253" s="370">
        <v>50</v>
      </c>
      <c r="H253" s="370">
        <v>50</v>
      </c>
      <c r="I253" s="363">
        <f>SUM(Tabla132112412[[#This Row],[PRIMER TRIMESTRE]:[CUARTO TRIMESTRE]])</f>
        <v>200</v>
      </c>
      <c r="J253" s="175">
        <v>33.64</v>
      </c>
      <c r="K253" s="175">
        <f>+Tabla132112412[[#This Row],[CANTIDAD TOTAL]]*Tabla132112412[[#This Row],[PRECIO UNITARIO ESTIMADO]]</f>
        <v>6728</v>
      </c>
      <c r="L253" s="175"/>
      <c r="M253" s="77" t="s">
        <v>18</v>
      </c>
      <c r="N253" s="77" t="s">
        <v>22</v>
      </c>
      <c r="O253" s="177" t="s">
        <v>418</v>
      </c>
    </row>
    <row r="254" spans="2:15" s="12" customFormat="1" ht="18">
      <c r="B254" s="372" t="s">
        <v>80</v>
      </c>
      <c r="C254" s="77" t="s">
        <v>1725</v>
      </c>
      <c r="D254" s="177" t="s">
        <v>17</v>
      </c>
      <c r="E254" s="370">
        <v>20</v>
      </c>
      <c r="F254" s="370">
        <v>20</v>
      </c>
      <c r="G254" s="370">
        <v>20</v>
      </c>
      <c r="H254" s="370">
        <v>20</v>
      </c>
      <c r="I254" s="363">
        <f>SUM(Tabla132112412[[#This Row],[PRIMER TRIMESTRE]:[CUARTO TRIMESTRE]])</f>
        <v>80</v>
      </c>
      <c r="J254" s="175">
        <v>0</v>
      </c>
      <c r="K254" s="175">
        <v>0</v>
      </c>
      <c r="L254" s="175"/>
      <c r="M254" s="77" t="s">
        <v>18</v>
      </c>
      <c r="N254" s="77" t="s">
        <v>22</v>
      </c>
      <c r="O254" s="177" t="s">
        <v>418</v>
      </c>
    </row>
    <row r="255" spans="2:15" s="12" customFormat="1" ht="18">
      <c r="B255" s="372" t="s">
        <v>80</v>
      </c>
      <c r="C255" s="77" t="s">
        <v>110</v>
      </c>
      <c r="D255" s="177" t="s">
        <v>17</v>
      </c>
      <c r="E255" s="370">
        <v>11</v>
      </c>
      <c r="F255" s="370">
        <v>6</v>
      </c>
      <c r="G255" s="370">
        <v>6</v>
      </c>
      <c r="H255" s="370">
        <v>6</v>
      </c>
      <c r="I255" s="363">
        <f>SUM(Tabla132112412[[#This Row],[PRIMER TRIMESTRE]:[CUARTO TRIMESTRE]])</f>
        <v>29</v>
      </c>
      <c r="J255" s="175">
        <v>5823.23</v>
      </c>
      <c r="K255" s="175">
        <f>+Tabla132112412[[#This Row],[CANTIDAD TOTAL]]*Tabla132112412[[#This Row],[PRECIO UNITARIO ESTIMADO]]</f>
        <v>168873.66999999998</v>
      </c>
      <c r="L255" s="175"/>
      <c r="M255" s="77" t="s">
        <v>18</v>
      </c>
      <c r="N255" s="77" t="s">
        <v>22</v>
      </c>
      <c r="O255" s="177" t="s">
        <v>418</v>
      </c>
    </row>
    <row r="256" spans="2:15" s="12" customFormat="1" ht="18">
      <c r="B256" s="372" t="s">
        <v>80</v>
      </c>
      <c r="C256" s="77" t="s">
        <v>112</v>
      </c>
      <c r="D256" s="177" t="s">
        <v>288</v>
      </c>
      <c r="E256" s="370">
        <v>35</v>
      </c>
      <c r="F256" s="370">
        <v>15</v>
      </c>
      <c r="G256" s="370">
        <v>35</v>
      </c>
      <c r="H256" s="370">
        <v>15</v>
      </c>
      <c r="I256" s="363">
        <f>SUM(Tabla132112412[[#This Row],[PRIMER TRIMESTRE]:[CUARTO TRIMESTRE]])</f>
        <v>100</v>
      </c>
      <c r="J256" s="175">
        <v>1624</v>
      </c>
      <c r="K256" s="175">
        <f>+Tabla132112412[[#This Row],[CANTIDAD TOTAL]]*Tabla132112412[[#This Row],[PRECIO UNITARIO ESTIMADO]]</f>
        <v>162400</v>
      </c>
      <c r="L256" s="175"/>
      <c r="M256" s="77" t="s">
        <v>18</v>
      </c>
      <c r="N256" s="77" t="s">
        <v>22</v>
      </c>
      <c r="O256" s="177" t="s">
        <v>418</v>
      </c>
    </row>
    <row r="257" spans="2:15" s="12" customFormat="1" ht="18">
      <c r="B257" s="372" t="s">
        <v>80</v>
      </c>
      <c r="C257" s="454" t="s">
        <v>2078</v>
      </c>
      <c r="D257" s="177" t="s">
        <v>33</v>
      </c>
      <c r="E257" s="368">
        <v>22</v>
      </c>
      <c r="F257" s="369">
        <v>41</v>
      </c>
      <c r="G257" s="369">
        <v>41</v>
      </c>
      <c r="H257" s="369">
        <v>21</v>
      </c>
      <c r="I257" s="363">
        <f>SUM(Tabla132112412[[#This Row],[PRIMER TRIMESTRE]:[CUARTO TRIMESTRE]])</f>
        <v>125</v>
      </c>
      <c r="J257" s="175"/>
      <c r="K257" s="175"/>
      <c r="L257" s="175"/>
      <c r="M257" s="77"/>
      <c r="N257" s="77"/>
      <c r="O257" s="177"/>
    </row>
    <row r="258" spans="2:15" s="12" customFormat="1" ht="18">
      <c r="B258" s="372" t="s">
        <v>80</v>
      </c>
      <c r="C258" s="77" t="s">
        <v>766</v>
      </c>
      <c r="D258" s="177" t="s">
        <v>767</v>
      </c>
      <c r="E258" s="370">
        <v>53</v>
      </c>
      <c r="F258" s="370">
        <v>50</v>
      </c>
      <c r="G258" s="370">
        <v>53</v>
      </c>
      <c r="H258" s="370">
        <v>50</v>
      </c>
      <c r="I258" s="363">
        <f>SUM(Tabla132112412[[#This Row],[PRIMER TRIMESTRE]:[CUARTO TRIMESTRE]])</f>
        <v>206</v>
      </c>
      <c r="J258" s="175">
        <v>470</v>
      </c>
      <c r="K258" s="175">
        <f>+Tabla132112412[[#This Row],[CANTIDAD TOTAL]]*Tabla132112412[[#This Row],[PRECIO UNITARIO ESTIMADO]]</f>
        <v>96820</v>
      </c>
      <c r="L258" s="175"/>
      <c r="M258" s="77" t="s">
        <v>18</v>
      </c>
      <c r="N258" s="77" t="s">
        <v>22</v>
      </c>
      <c r="O258" s="177" t="s">
        <v>418</v>
      </c>
    </row>
    <row r="259" spans="2:15" s="12" customFormat="1" ht="18">
      <c r="B259" s="372" t="s">
        <v>80</v>
      </c>
      <c r="C259" s="77" t="s">
        <v>1623</v>
      </c>
      <c r="D259" s="177" t="s">
        <v>17</v>
      </c>
      <c r="E259" s="370">
        <v>0</v>
      </c>
      <c r="F259" s="370">
        <v>0</v>
      </c>
      <c r="G259" s="370">
        <v>0</v>
      </c>
      <c r="H259" s="370">
        <v>0</v>
      </c>
      <c r="I259" s="363">
        <f>SUM(Tabla132112412[[#This Row],[PRIMER TRIMESTRE]:[CUARTO TRIMESTRE]])</f>
        <v>0</v>
      </c>
      <c r="J259" s="175">
        <v>1784.1</v>
      </c>
      <c r="K259" s="175">
        <f t="shared" ref="K259:K346" si="5">+I259*J259</f>
        <v>0</v>
      </c>
      <c r="L259" s="175"/>
      <c r="M259" s="77" t="s">
        <v>18</v>
      </c>
      <c r="N259" s="77" t="s">
        <v>22</v>
      </c>
      <c r="O259" s="177" t="s">
        <v>418</v>
      </c>
    </row>
    <row r="260" spans="2:15" s="12" customFormat="1" ht="18">
      <c r="B260" s="372" t="s">
        <v>80</v>
      </c>
      <c r="C260" s="77" t="s">
        <v>1431</v>
      </c>
      <c r="D260" s="177" t="s">
        <v>288</v>
      </c>
      <c r="E260" s="370">
        <v>0</v>
      </c>
      <c r="F260" s="370">
        <v>0</v>
      </c>
      <c r="G260" s="370">
        <v>0</v>
      </c>
      <c r="H260" s="370">
        <v>0</v>
      </c>
      <c r="I260" s="363">
        <f>SUM(Tabla132112412[[#This Row],[PRIMER TRIMESTRE]:[CUARTO TRIMESTRE]])</f>
        <v>0</v>
      </c>
      <c r="J260" s="175">
        <v>1395</v>
      </c>
      <c r="K260" s="175">
        <f t="shared" si="5"/>
        <v>0</v>
      </c>
      <c r="L260" s="175"/>
      <c r="M260" s="77" t="s">
        <v>18</v>
      </c>
      <c r="N260" s="77" t="s">
        <v>22</v>
      </c>
      <c r="O260" s="177" t="s">
        <v>418</v>
      </c>
    </row>
    <row r="261" spans="2:15" s="12" customFormat="1" ht="18">
      <c r="B261" s="372" t="s">
        <v>80</v>
      </c>
      <c r="C261" s="77" t="s">
        <v>921</v>
      </c>
      <c r="D261" s="177" t="s">
        <v>17</v>
      </c>
      <c r="E261" s="370">
        <v>60</v>
      </c>
      <c r="F261" s="370">
        <v>35</v>
      </c>
      <c r="G261" s="370">
        <v>60</v>
      </c>
      <c r="H261" s="370">
        <v>35</v>
      </c>
      <c r="I261" s="363">
        <f>SUM(Tabla132112412[[#This Row],[PRIMER TRIMESTRE]:[CUARTO TRIMESTRE]])</f>
        <v>190</v>
      </c>
      <c r="J261" s="175">
        <v>94</v>
      </c>
      <c r="K261" s="175">
        <f t="shared" si="5"/>
        <v>17860</v>
      </c>
      <c r="L261" s="175"/>
      <c r="M261" s="77" t="s">
        <v>18</v>
      </c>
      <c r="N261" s="77" t="s">
        <v>22</v>
      </c>
      <c r="O261" s="177" t="s">
        <v>418</v>
      </c>
    </row>
    <row r="262" spans="2:15" s="12" customFormat="1" ht="25.5">
      <c r="B262" s="372" t="s">
        <v>80</v>
      </c>
      <c r="C262" s="77" t="s">
        <v>1610</v>
      </c>
      <c r="D262" s="177" t="s">
        <v>17</v>
      </c>
      <c r="E262" s="370">
        <v>0</v>
      </c>
      <c r="F262" s="370">
        <v>0</v>
      </c>
      <c r="G262" s="370">
        <v>0</v>
      </c>
      <c r="H262" s="370">
        <v>0</v>
      </c>
      <c r="I262" s="363">
        <f>SUM(Tabla132112412[[#This Row],[PRIMER TRIMESTRE]:[CUARTO TRIMESTRE]])</f>
        <v>0</v>
      </c>
      <c r="J262" s="175">
        <v>573.88</v>
      </c>
      <c r="K262" s="175">
        <f t="shared" si="5"/>
        <v>0</v>
      </c>
      <c r="L262" s="175"/>
      <c r="M262" s="77" t="s">
        <v>18</v>
      </c>
      <c r="N262" s="77" t="s">
        <v>22</v>
      </c>
      <c r="O262" s="177" t="s">
        <v>418</v>
      </c>
    </row>
    <row r="263" spans="2:15" s="12" customFormat="1" ht="18">
      <c r="B263" s="372" t="s">
        <v>80</v>
      </c>
      <c r="C263" s="454" t="s">
        <v>2079</v>
      </c>
      <c r="D263" s="177"/>
      <c r="E263" s="368">
        <v>5</v>
      </c>
      <c r="F263" s="369">
        <v>5</v>
      </c>
      <c r="G263" s="369">
        <v>5</v>
      </c>
      <c r="H263" s="369">
        <v>5</v>
      </c>
      <c r="I263" s="363">
        <f>SUM(Tabla132112412[[#This Row],[PRIMER TRIMESTRE]:[CUARTO TRIMESTRE]])</f>
        <v>20</v>
      </c>
      <c r="J263" s="175"/>
      <c r="K263" s="175"/>
      <c r="L263" s="175"/>
      <c r="M263" s="77"/>
      <c r="N263" s="77"/>
      <c r="O263" s="177"/>
    </row>
    <row r="264" spans="2:15" s="12" customFormat="1" ht="18">
      <c r="B264" s="372" t="s">
        <v>80</v>
      </c>
      <c r="C264" s="454" t="s">
        <v>2080</v>
      </c>
      <c r="D264" s="177"/>
      <c r="E264" s="368">
        <v>5</v>
      </c>
      <c r="F264" s="369">
        <v>5</v>
      </c>
      <c r="G264" s="369">
        <v>5</v>
      </c>
      <c r="H264" s="369">
        <v>5</v>
      </c>
      <c r="I264" s="363">
        <f>SUM(Tabla132112412[[#This Row],[PRIMER TRIMESTRE]:[CUARTO TRIMESTRE]])</f>
        <v>20</v>
      </c>
      <c r="J264" s="175"/>
      <c r="K264" s="175"/>
      <c r="L264" s="175"/>
      <c r="M264" s="77"/>
      <c r="N264" s="77"/>
      <c r="O264" s="177"/>
    </row>
    <row r="265" spans="2:15" s="12" customFormat="1" ht="18">
      <c r="B265" s="372" t="s">
        <v>80</v>
      </c>
      <c r="C265" s="454" t="s">
        <v>2081</v>
      </c>
      <c r="D265" s="177"/>
      <c r="E265" s="368">
        <v>3</v>
      </c>
      <c r="F265" s="369">
        <v>1</v>
      </c>
      <c r="G265" s="369">
        <v>1</v>
      </c>
      <c r="H265" s="369">
        <v>1</v>
      </c>
      <c r="I265" s="363">
        <f>SUM(Tabla132112412[[#This Row],[PRIMER TRIMESTRE]:[CUARTO TRIMESTRE]])</f>
        <v>6</v>
      </c>
      <c r="J265" s="175"/>
      <c r="K265" s="175"/>
      <c r="L265" s="175"/>
      <c r="M265" s="77"/>
      <c r="N265" s="77"/>
      <c r="O265" s="177"/>
    </row>
    <row r="266" spans="2:15" s="12" customFormat="1" ht="18">
      <c r="B266" s="372" t="s">
        <v>80</v>
      </c>
      <c r="C266" s="454" t="s">
        <v>2082</v>
      </c>
      <c r="D266" s="177"/>
      <c r="E266" s="368">
        <v>10</v>
      </c>
      <c r="F266" s="369">
        <v>10</v>
      </c>
      <c r="G266" s="369">
        <v>10</v>
      </c>
      <c r="H266" s="369">
        <v>10</v>
      </c>
      <c r="I266" s="363">
        <f>SUM(Tabla132112412[[#This Row],[PRIMER TRIMESTRE]:[CUARTO TRIMESTRE]])</f>
        <v>40</v>
      </c>
      <c r="J266" s="175"/>
      <c r="K266" s="175"/>
      <c r="L266" s="175"/>
      <c r="M266" s="77"/>
      <c r="N266" s="77"/>
      <c r="O266" s="177"/>
    </row>
    <row r="267" spans="2:15" s="12" customFormat="1" ht="18">
      <c r="B267" s="372" t="s">
        <v>80</v>
      </c>
      <c r="C267" s="454" t="s">
        <v>2083</v>
      </c>
      <c r="D267" s="177" t="s">
        <v>69</v>
      </c>
      <c r="E267" s="368">
        <v>20</v>
      </c>
      <c r="F267" s="369">
        <v>20</v>
      </c>
      <c r="G267" s="369">
        <v>20</v>
      </c>
      <c r="H267" s="369">
        <v>20</v>
      </c>
      <c r="I267" s="363">
        <f>SUM(Tabla132112412[[#This Row],[PRIMER TRIMESTRE]:[CUARTO TRIMESTRE]])</f>
        <v>80</v>
      </c>
      <c r="J267" s="175"/>
      <c r="K267" s="175"/>
      <c r="L267" s="175"/>
      <c r="M267" s="77"/>
      <c r="N267" s="77"/>
      <c r="O267" s="177"/>
    </row>
    <row r="268" spans="2:15" s="12" customFormat="1" ht="18">
      <c r="B268" s="372" t="s">
        <v>80</v>
      </c>
      <c r="C268" s="454" t="s">
        <v>2084</v>
      </c>
      <c r="D268" s="177" t="s">
        <v>69</v>
      </c>
      <c r="E268" s="368">
        <v>20</v>
      </c>
      <c r="F268" s="369">
        <v>20</v>
      </c>
      <c r="G268" s="369">
        <v>10</v>
      </c>
      <c r="H268" s="369">
        <v>10</v>
      </c>
      <c r="I268" s="363">
        <f>SUM(Tabla132112412[[#This Row],[PRIMER TRIMESTRE]:[CUARTO TRIMESTRE]])</f>
        <v>60</v>
      </c>
      <c r="J268" s="175"/>
      <c r="K268" s="175"/>
      <c r="L268" s="175"/>
      <c r="M268" s="77"/>
      <c r="N268" s="77"/>
      <c r="O268" s="177"/>
    </row>
    <row r="269" spans="2:15" s="12" customFormat="1" ht="38.25">
      <c r="B269" s="372" t="s">
        <v>80</v>
      </c>
      <c r="C269" s="77" t="s">
        <v>1609</v>
      </c>
      <c r="D269" s="177" t="s">
        <v>17</v>
      </c>
      <c r="E269" s="370">
        <v>38</v>
      </c>
      <c r="F269" s="370">
        <v>38</v>
      </c>
      <c r="G269" s="370">
        <v>38</v>
      </c>
      <c r="H269" s="370">
        <v>38</v>
      </c>
      <c r="I269" s="363">
        <f>SUM(Tabla132112412[[#This Row],[PRIMER TRIMESTRE]:[CUARTO TRIMESTRE]])</f>
        <v>152</v>
      </c>
      <c r="J269" s="175">
        <v>223.86</v>
      </c>
      <c r="K269" s="175">
        <f t="shared" si="5"/>
        <v>34026.720000000001</v>
      </c>
      <c r="L269" s="175"/>
      <c r="M269" s="77" t="s">
        <v>18</v>
      </c>
      <c r="N269" s="77" t="s">
        <v>22</v>
      </c>
      <c r="O269" s="177" t="s">
        <v>418</v>
      </c>
    </row>
    <row r="270" spans="2:15" s="12" customFormat="1" ht="18">
      <c r="B270" s="372" t="s">
        <v>80</v>
      </c>
      <c r="C270" s="77" t="s">
        <v>1181</v>
      </c>
      <c r="D270" s="177" t="s">
        <v>17</v>
      </c>
      <c r="E270" s="370">
        <v>9</v>
      </c>
      <c r="F270" s="370">
        <v>4</v>
      </c>
      <c r="G270" s="370">
        <v>4</v>
      </c>
      <c r="H270" s="370">
        <v>4</v>
      </c>
      <c r="I270" s="363">
        <f>SUM(Tabla132112412[[#This Row],[PRIMER TRIMESTRE]:[CUARTO TRIMESTRE]])</f>
        <v>21</v>
      </c>
      <c r="J270" s="175">
        <v>175</v>
      </c>
      <c r="K270" s="175">
        <f t="shared" si="5"/>
        <v>3675</v>
      </c>
      <c r="L270" s="175"/>
      <c r="M270" s="77" t="s">
        <v>18</v>
      </c>
      <c r="N270" s="77" t="s">
        <v>22</v>
      </c>
      <c r="O270" s="177" t="s">
        <v>418</v>
      </c>
    </row>
    <row r="271" spans="2:15" s="12" customFormat="1" ht="18">
      <c r="B271" s="372" t="s">
        <v>80</v>
      </c>
      <c r="C271" s="77" t="s">
        <v>730</v>
      </c>
      <c r="D271" s="177" t="s">
        <v>17</v>
      </c>
      <c r="E271" s="370">
        <v>9</v>
      </c>
      <c r="F271" s="370">
        <v>4</v>
      </c>
      <c r="G271" s="370">
        <v>4</v>
      </c>
      <c r="H271" s="370">
        <v>4</v>
      </c>
      <c r="I271" s="363">
        <f>SUM(Tabla132112412[[#This Row],[PRIMER TRIMESTRE]:[CUARTO TRIMESTRE]])</f>
        <v>21</v>
      </c>
      <c r="J271" s="175">
        <v>246.34</v>
      </c>
      <c r="K271" s="175">
        <f t="shared" si="5"/>
        <v>5173.1400000000003</v>
      </c>
      <c r="L271" s="175"/>
      <c r="M271" s="77" t="s">
        <v>18</v>
      </c>
      <c r="N271" s="77" t="s">
        <v>22</v>
      </c>
      <c r="O271" s="177" t="s">
        <v>418</v>
      </c>
    </row>
    <row r="272" spans="2:15" s="12" customFormat="1" ht="18">
      <c r="B272" s="372" t="s">
        <v>80</v>
      </c>
      <c r="C272" s="77" t="s">
        <v>570</v>
      </c>
      <c r="D272" s="177" t="s">
        <v>17</v>
      </c>
      <c r="E272" s="370">
        <v>4</v>
      </c>
      <c r="F272" s="370">
        <v>0</v>
      </c>
      <c r="G272" s="370">
        <v>2</v>
      </c>
      <c r="H272" s="370">
        <v>0</v>
      </c>
      <c r="I272" s="363">
        <f>SUM(Tabla132112412[[#This Row],[PRIMER TRIMESTRE]:[CUARTO TRIMESTRE]])</f>
        <v>6</v>
      </c>
      <c r="J272" s="175">
        <v>4100</v>
      </c>
      <c r="K272" s="175">
        <f t="shared" si="5"/>
        <v>24600</v>
      </c>
      <c r="L272" s="175"/>
      <c r="M272" s="77" t="s">
        <v>18</v>
      </c>
      <c r="N272" s="77" t="s">
        <v>22</v>
      </c>
      <c r="O272" s="177" t="s">
        <v>418</v>
      </c>
    </row>
    <row r="273" spans="2:15" s="12" customFormat="1" ht="18">
      <c r="B273" s="372" t="s">
        <v>80</v>
      </c>
      <c r="C273" s="77" t="s">
        <v>919</v>
      </c>
      <c r="D273" s="177" t="s">
        <v>17</v>
      </c>
      <c r="E273" s="370">
        <v>20</v>
      </c>
      <c r="F273" s="370">
        <v>0</v>
      </c>
      <c r="G273" s="370">
        <v>10</v>
      </c>
      <c r="H273" s="370">
        <v>0</v>
      </c>
      <c r="I273" s="363">
        <f>SUM(Tabla132112412[[#This Row],[PRIMER TRIMESTRE]:[CUARTO TRIMESTRE]])</f>
        <v>30</v>
      </c>
      <c r="J273" s="175">
        <v>31500</v>
      </c>
      <c r="K273" s="175">
        <f t="shared" si="5"/>
        <v>945000</v>
      </c>
      <c r="L273" s="175"/>
      <c r="M273" s="77" t="s">
        <v>18</v>
      </c>
      <c r="N273" s="77" t="s">
        <v>22</v>
      </c>
      <c r="O273" s="177"/>
    </row>
    <row r="274" spans="2:15" s="12" customFormat="1" ht="18">
      <c r="B274" s="372" t="s">
        <v>80</v>
      </c>
      <c r="C274" s="77" t="s">
        <v>1555</v>
      </c>
      <c r="D274" s="177" t="s">
        <v>17</v>
      </c>
      <c r="E274" s="370">
        <v>4</v>
      </c>
      <c r="F274" s="370">
        <v>0</v>
      </c>
      <c r="G274" s="370">
        <v>2</v>
      </c>
      <c r="H274" s="370">
        <v>0</v>
      </c>
      <c r="I274" s="363">
        <f>SUM(Tabla132112412[[#This Row],[PRIMER TRIMESTRE]:[CUARTO TRIMESTRE]])</f>
        <v>6</v>
      </c>
      <c r="J274" s="175">
        <v>324</v>
      </c>
      <c r="K274" s="175">
        <f t="shared" si="5"/>
        <v>1944</v>
      </c>
      <c r="L274" s="175"/>
      <c r="M274" s="77" t="s">
        <v>18</v>
      </c>
      <c r="N274" s="77" t="s">
        <v>22</v>
      </c>
      <c r="O274" s="177"/>
    </row>
    <row r="275" spans="2:15" s="12" customFormat="1" ht="18">
      <c r="B275" s="372" t="s">
        <v>80</v>
      </c>
      <c r="C275" s="77" t="s">
        <v>1590</v>
      </c>
      <c r="D275" s="177" t="s">
        <v>17</v>
      </c>
      <c r="E275" s="370">
        <v>5</v>
      </c>
      <c r="F275" s="370">
        <v>0</v>
      </c>
      <c r="G275" s="370">
        <v>0</v>
      </c>
      <c r="H275" s="370">
        <v>0</v>
      </c>
      <c r="I275" s="363">
        <f>SUM(Tabla132112412[[#This Row],[PRIMER TRIMESTRE]:[CUARTO TRIMESTRE]])</f>
        <v>5</v>
      </c>
      <c r="J275" s="175">
        <v>196.4</v>
      </c>
      <c r="K275" s="175">
        <f t="shared" si="5"/>
        <v>982</v>
      </c>
      <c r="L275" s="175"/>
      <c r="M275" s="77" t="s">
        <v>18</v>
      </c>
      <c r="N275" s="77" t="s">
        <v>22</v>
      </c>
      <c r="O275" s="177"/>
    </row>
    <row r="276" spans="2:15" s="12" customFormat="1" ht="18">
      <c r="B276" s="372" t="s">
        <v>80</v>
      </c>
      <c r="C276" s="77" t="s">
        <v>1556</v>
      </c>
      <c r="D276" s="177" t="s">
        <v>17</v>
      </c>
      <c r="E276" s="370">
        <v>24</v>
      </c>
      <c r="F276" s="370">
        <v>24</v>
      </c>
      <c r="G276" s="370">
        <v>24</v>
      </c>
      <c r="H276" s="370">
        <v>24</v>
      </c>
      <c r="I276" s="363">
        <f>SUM(Tabla132112412[[#This Row],[PRIMER TRIMESTRE]:[CUARTO TRIMESTRE]])</f>
        <v>96</v>
      </c>
      <c r="J276" s="175">
        <v>390</v>
      </c>
      <c r="K276" s="175">
        <f t="shared" si="5"/>
        <v>37440</v>
      </c>
      <c r="L276" s="175"/>
      <c r="M276" s="77" t="s">
        <v>18</v>
      </c>
      <c r="N276" s="77" t="s">
        <v>22</v>
      </c>
      <c r="O276" s="177"/>
    </row>
    <row r="277" spans="2:15" s="12" customFormat="1" ht="25.5">
      <c r="B277" s="372" t="s">
        <v>80</v>
      </c>
      <c r="C277" s="77" t="s">
        <v>925</v>
      </c>
      <c r="D277" s="177" t="s">
        <v>93</v>
      </c>
      <c r="E277" s="370">
        <v>170</v>
      </c>
      <c r="F277" s="370">
        <v>100</v>
      </c>
      <c r="G277" s="370">
        <v>150</v>
      </c>
      <c r="H277" s="370">
        <v>120</v>
      </c>
      <c r="I277" s="363">
        <f>SUM(Tabla132112412[[#This Row],[PRIMER TRIMESTRE]:[CUARTO TRIMESTRE]])</f>
        <v>540</v>
      </c>
      <c r="J277" s="175">
        <v>125</v>
      </c>
      <c r="K277" s="175">
        <f t="shared" si="5"/>
        <v>67500</v>
      </c>
      <c r="L277" s="175"/>
      <c r="M277" s="77" t="s">
        <v>18</v>
      </c>
      <c r="N277" s="77" t="s">
        <v>22</v>
      </c>
      <c r="O277" s="177"/>
    </row>
    <row r="278" spans="2:15" s="12" customFormat="1" ht="25.5">
      <c r="B278" s="372" t="s">
        <v>80</v>
      </c>
      <c r="C278" s="77" t="s">
        <v>926</v>
      </c>
      <c r="D278" s="177" t="s">
        <v>93</v>
      </c>
      <c r="E278" s="370">
        <v>220</v>
      </c>
      <c r="F278" s="370">
        <v>100</v>
      </c>
      <c r="G278" s="370">
        <v>100</v>
      </c>
      <c r="H278" s="370">
        <v>120</v>
      </c>
      <c r="I278" s="363">
        <f>SUM(Tabla132112412[[#This Row],[PRIMER TRIMESTRE]:[CUARTO TRIMESTRE]])</f>
        <v>540</v>
      </c>
      <c r="J278" s="175">
        <v>150</v>
      </c>
      <c r="K278" s="175">
        <f t="shared" si="5"/>
        <v>81000</v>
      </c>
      <c r="L278" s="175"/>
      <c r="M278" s="77" t="s">
        <v>18</v>
      </c>
      <c r="N278" s="77" t="s">
        <v>22</v>
      </c>
      <c r="O278" s="177"/>
    </row>
    <row r="279" spans="2:15" s="12" customFormat="1" ht="18">
      <c r="B279" s="372" t="s">
        <v>80</v>
      </c>
      <c r="C279" s="77" t="s">
        <v>927</v>
      </c>
      <c r="D279" s="177" t="s">
        <v>17</v>
      </c>
      <c r="E279" s="370">
        <v>6</v>
      </c>
      <c r="F279" s="370">
        <v>4</v>
      </c>
      <c r="G279" s="370">
        <v>6</v>
      </c>
      <c r="H279" s="370">
        <v>4</v>
      </c>
      <c r="I279" s="363">
        <f>SUM(Tabla132112412[[#This Row],[PRIMER TRIMESTRE]:[CUARTO TRIMESTRE]])</f>
        <v>20</v>
      </c>
      <c r="J279" s="175">
        <v>25000</v>
      </c>
      <c r="K279" s="175">
        <f t="shared" si="5"/>
        <v>500000</v>
      </c>
      <c r="L279" s="175"/>
      <c r="M279" s="77" t="s">
        <v>18</v>
      </c>
      <c r="N279" s="77" t="s">
        <v>22</v>
      </c>
      <c r="O279" s="177"/>
    </row>
    <row r="280" spans="2:15" s="12" customFormat="1" ht="18">
      <c r="B280" s="372" t="s">
        <v>80</v>
      </c>
      <c r="C280" s="77" t="s">
        <v>928</v>
      </c>
      <c r="D280" s="177" t="s">
        <v>17</v>
      </c>
      <c r="E280" s="370">
        <v>8</v>
      </c>
      <c r="F280" s="370">
        <v>6</v>
      </c>
      <c r="G280" s="370">
        <v>8</v>
      </c>
      <c r="H280" s="370">
        <v>6</v>
      </c>
      <c r="I280" s="363">
        <f>SUM(Tabla132112412[[#This Row],[PRIMER TRIMESTRE]:[CUARTO TRIMESTRE]])</f>
        <v>28</v>
      </c>
      <c r="J280" s="175">
        <v>10000</v>
      </c>
      <c r="K280" s="175">
        <f t="shared" si="5"/>
        <v>280000</v>
      </c>
      <c r="L280" s="175"/>
      <c r="M280" s="77" t="s">
        <v>18</v>
      </c>
      <c r="N280" s="77" t="s">
        <v>22</v>
      </c>
      <c r="O280" s="177"/>
    </row>
    <row r="281" spans="2:15" s="12" customFormat="1" ht="18">
      <c r="B281" s="372" t="s">
        <v>80</v>
      </c>
      <c r="C281" s="77" t="s">
        <v>929</v>
      </c>
      <c r="D281" s="177" t="s">
        <v>17</v>
      </c>
      <c r="E281" s="370">
        <v>15</v>
      </c>
      <c r="F281" s="370">
        <v>15</v>
      </c>
      <c r="G281" s="370">
        <v>15</v>
      </c>
      <c r="H281" s="370">
        <v>15</v>
      </c>
      <c r="I281" s="363">
        <f>SUM(Tabla132112412[[#This Row],[PRIMER TRIMESTRE]:[CUARTO TRIMESTRE]])</f>
        <v>60</v>
      </c>
      <c r="J281" s="175">
        <v>1000</v>
      </c>
      <c r="K281" s="175">
        <f t="shared" si="5"/>
        <v>60000</v>
      </c>
      <c r="L281" s="175"/>
      <c r="M281" s="77" t="s">
        <v>18</v>
      </c>
      <c r="N281" s="77" t="s">
        <v>22</v>
      </c>
      <c r="O281" s="177"/>
    </row>
    <row r="282" spans="2:15" s="12" customFormat="1" ht="18">
      <c r="B282" s="372" t="s">
        <v>80</v>
      </c>
      <c r="C282" s="77" t="s">
        <v>930</v>
      </c>
      <c r="D282" s="177" t="s">
        <v>17</v>
      </c>
      <c r="E282" s="370">
        <v>7</v>
      </c>
      <c r="F282" s="370">
        <v>5</v>
      </c>
      <c r="G282" s="370">
        <v>5</v>
      </c>
      <c r="H282" s="370">
        <v>5</v>
      </c>
      <c r="I282" s="363">
        <f>SUM(Tabla132112412[[#This Row],[PRIMER TRIMESTRE]:[CUARTO TRIMESTRE]])</f>
        <v>22</v>
      </c>
      <c r="J282" s="175">
        <v>2500</v>
      </c>
      <c r="K282" s="175">
        <f t="shared" si="5"/>
        <v>55000</v>
      </c>
      <c r="L282" s="175"/>
      <c r="M282" s="77" t="s">
        <v>18</v>
      </c>
      <c r="N282" s="77" t="s">
        <v>22</v>
      </c>
      <c r="O282" s="177"/>
    </row>
    <row r="283" spans="2:15" s="12" customFormat="1" ht="18">
      <c r="B283" s="372" t="s">
        <v>80</v>
      </c>
      <c r="C283" s="77" t="s">
        <v>931</v>
      </c>
      <c r="D283" s="177" t="s">
        <v>17</v>
      </c>
      <c r="E283" s="370">
        <v>12</v>
      </c>
      <c r="F283" s="370">
        <v>0</v>
      </c>
      <c r="G283" s="370">
        <v>12</v>
      </c>
      <c r="H283" s="370">
        <v>0</v>
      </c>
      <c r="I283" s="363">
        <f>SUM(Tabla132112412[[#This Row],[PRIMER TRIMESTRE]:[CUARTO TRIMESTRE]])</f>
        <v>24</v>
      </c>
      <c r="J283" s="175">
        <v>5000</v>
      </c>
      <c r="K283" s="175">
        <f t="shared" si="5"/>
        <v>120000</v>
      </c>
      <c r="L283" s="175"/>
      <c r="M283" s="77" t="s">
        <v>18</v>
      </c>
      <c r="N283" s="77" t="s">
        <v>22</v>
      </c>
      <c r="O283" s="177"/>
    </row>
    <row r="284" spans="2:15" s="12" customFormat="1" ht="18">
      <c r="B284" s="372" t="s">
        <v>80</v>
      </c>
      <c r="C284" s="454" t="s">
        <v>2085</v>
      </c>
      <c r="D284" s="177" t="s">
        <v>69</v>
      </c>
      <c r="E284" s="368">
        <v>10</v>
      </c>
      <c r="F284" s="374">
        <v>4</v>
      </c>
      <c r="G284" s="369">
        <v>4</v>
      </c>
      <c r="H284" s="369">
        <v>4</v>
      </c>
      <c r="I284" s="363">
        <f>SUM(Tabla132112412[[#This Row],[PRIMER TRIMESTRE]:[CUARTO TRIMESTRE]])</f>
        <v>22</v>
      </c>
      <c r="J284" s="175"/>
      <c r="K284" s="175"/>
      <c r="L284" s="175"/>
      <c r="M284" s="77"/>
      <c r="N284" s="77"/>
      <c r="O284" s="177"/>
    </row>
    <row r="285" spans="2:15" s="12" customFormat="1" ht="18">
      <c r="B285" s="372" t="s">
        <v>80</v>
      </c>
      <c r="C285" s="454" t="s">
        <v>2086</v>
      </c>
      <c r="D285" s="177" t="s">
        <v>69</v>
      </c>
      <c r="E285" s="368">
        <v>10</v>
      </c>
      <c r="F285" s="374">
        <v>4</v>
      </c>
      <c r="G285" s="374">
        <v>4</v>
      </c>
      <c r="H285" s="374">
        <v>4</v>
      </c>
      <c r="I285" s="363">
        <f>SUM(Tabla132112412[[#This Row],[PRIMER TRIMESTRE]:[CUARTO TRIMESTRE]])</f>
        <v>22</v>
      </c>
      <c r="J285" s="175"/>
      <c r="K285" s="175"/>
      <c r="L285" s="175"/>
      <c r="M285" s="77"/>
      <c r="N285" s="77"/>
      <c r="O285" s="177"/>
    </row>
    <row r="286" spans="2:15" s="12" customFormat="1" ht="18">
      <c r="B286" s="372" t="s">
        <v>80</v>
      </c>
      <c r="C286" s="454" t="s">
        <v>2087</v>
      </c>
      <c r="D286" s="177" t="s">
        <v>69</v>
      </c>
      <c r="E286" s="368">
        <v>10</v>
      </c>
      <c r="F286" s="374">
        <v>4</v>
      </c>
      <c r="G286" s="374">
        <v>4</v>
      </c>
      <c r="H286" s="374">
        <v>4</v>
      </c>
      <c r="I286" s="363">
        <f>SUM(Tabla132112412[[#This Row],[PRIMER TRIMESTRE]:[CUARTO TRIMESTRE]])</f>
        <v>22</v>
      </c>
      <c r="J286" s="175"/>
      <c r="K286" s="175"/>
      <c r="L286" s="175"/>
      <c r="M286" s="77"/>
      <c r="N286" s="77"/>
      <c r="O286" s="177"/>
    </row>
    <row r="287" spans="2:15" s="12" customFormat="1" ht="18">
      <c r="B287" s="372" t="s">
        <v>80</v>
      </c>
      <c r="C287" s="454" t="s">
        <v>2088</v>
      </c>
      <c r="D287" s="177" t="s">
        <v>69</v>
      </c>
      <c r="E287" s="368">
        <v>10</v>
      </c>
      <c r="F287" s="374">
        <v>4</v>
      </c>
      <c r="G287" s="374">
        <v>4</v>
      </c>
      <c r="H287" s="374">
        <v>4</v>
      </c>
      <c r="I287" s="363">
        <f>SUM(Tabla132112412[[#This Row],[PRIMER TRIMESTRE]:[CUARTO TRIMESTRE]])</f>
        <v>22</v>
      </c>
      <c r="J287" s="175"/>
      <c r="K287" s="175"/>
      <c r="L287" s="175"/>
      <c r="M287" s="77"/>
      <c r="N287" s="77"/>
      <c r="O287" s="177"/>
    </row>
    <row r="288" spans="2:15" s="12" customFormat="1" ht="18">
      <c r="B288" s="372" t="s">
        <v>80</v>
      </c>
      <c r="C288" s="454" t="s">
        <v>2089</v>
      </c>
      <c r="D288" s="455" t="s">
        <v>17</v>
      </c>
      <c r="E288" s="362">
        <v>5</v>
      </c>
      <c r="F288" s="362"/>
      <c r="G288" s="362">
        <v>5</v>
      </c>
      <c r="H288" s="362"/>
      <c r="I288" s="363">
        <f>SUM(Tabla132112412[[#This Row],[PRIMER TRIMESTRE]:[CUARTO TRIMESTRE]])</f>
        <v>10</v>
      </c>
      <c r="J288" s="175"/>
      <c r="K288" s="175"/>
      <c r="L288" s="175"/>
      <c r="M288" s="77"/>
      <c r="N288" s="77"/>
      <c r="O288" s="177"/>
    </row>
    <row r="289" spans="2:15" s="12" customFormat="1" ht="18">
      <c r="B289" s="372" t="s">
        <v>80</v>
      </c>
      <c r="C289" s="454" t="s">
        <v>2090</v>
      </c>
      <c r="D289" s="455" t="s">
        <v>17</v>
      </c>
      <c r="E289" s="362">
        <v>5</v>
      </c>
      <c r="F289" s="362"/>
      <c r="G289" s="362">
        <v>5</v>
      </c>
      <c r="H289" s="362"/>
      <c r="I289" s="363">
        <f>SUM(Tabla132112412[[#This Row],[PRIMER TRIMESTRE]:[CUARTO TRIMESTRE]])</f>
        <v>10</v>
      </c>
      <c r="J289" s="175"/>
      <c r="K289" s="175"/>
      <c r="L289" s="175"/>
      <c r="M289" s="77"/>
      <c r="N289" s="77"/>
      <c r="O289" s="177"/>
    </row>
    <row r="290" spans="2:15" s="12" customFormat="1" ht="18">
      <c r="B290" s="372" t="s">
        <v>80</v>
      </c>
      <c r="C290" s="454" t="s">
        <v>2091</v>
      </c>
      <c r="D290" s="455" t="s">
        <v>17</v>
      </c>
      <c r="E290" s="362">
        <v>6</v>
      </c>
      <c r="F290" s="362"/>
      <c r="G290" s="362">
        <v>6</v>
      </c>
      <c r="H290" s="362"/>
      <c r="I290" s="363">
        <f>SUM(Tabla132112412[[#This Row],[PRIMER TRIMESTRE]:[CUARTO TRIMESTRE]])</f>
        <v>12</v>
      </c>
      <c r="J290" s="175"/>
      <c r="K290" s="175"/>
      <c r="L290" s="175"/>
      <c r="M290" s="77"/>
      <c r="N290" s="77"/>
      <c r="O290" s="177"/>
    </row>
    <row r="291" spans="2:15" s="12" customFormat="1" ht="18">
      <c r="B291" s="372" t="s">
        <v>80</v>
      </c>
      <c r="C291" s="454" t="s">
        <v>2092</v>
      </c>
      <c r="D291" s="455" t="s">
        <v>17</v>
      </c>
      <c r="E291" s="362">
        <v>80</v>
      </c>
      <c r="F291" s="362"/>
      <c r="G291" s="362">
        <v>80</v>
      </c>
      <c r="H291" s="362"/>
      <c r="I291" s="363">
        <f>SUM(Tabla132112412[[#This Row],[PRIMER TRIMESTRE]:[CUARTO TRIMESTRE]])</f>
        <v>160</v>
      </c>
      <c r="J291" s="175"/>
      <c r="K291" s="175"/>
      <c r="L291" s="175"/>
      <c r="M291" s="77"/>
      <c r="N291" s="77"/>
      <c r="O291" s="177"/>
    </row>
    <row r="292" spans="2:15" s="12" customFormat="1" ht="18">
      <c r="B292" s="372" t="s">
        <v>80</v>
      </c>
      <c r="C292" s="454" t="s">
        <v>2093</v>
      </c>
      <c r="D292" s="455" t="s">
        <v>17</v>
      </c>
      <c r="E292" s="362">
        <v>80</v>
      </c>
      <c r="F292" s="362"/>
      <c r="G292" s="362">
        <v>80</v>
      </c>
      <c r="H292" s="362"/>
      <c r="I292" s="363">
        <f>SUM(Tabla132112412[[#This Row],[PRIMER TRIMESTRE]:[CUARTO TRIMESTRE]])</f>
        <v>160</v>
      </c>
      <c r="J292" s="175"/>
      <c r="K292" s="175"/>
      <c r="L292" s="175"/>
      <c r="M292" s="77"/>
      <c r="N292" s="77"/>
      <c r="O292" s="177"/>
    </row>
    <row r="293" spans="2:15" s="12" customFormat="1" ht="18">
      <c r="B293" s="372" t="s">
        <v>80</v>
      </c>
      <c r="C293" s="454" t="s">
        <v>2094</v>
      </c>
      <c r="D293" s="455" t="s">
        <v>17</v>
      </c>
      <c r="E293" s="362">
        <v>80</v>
      </c>
      <c r="F293" s="362"/>
      <c r="G293" s="362">
        <v>80</v>
      </c>
      <c r="H293" s="362"/>
      <c r="I293" s="363">
        <f>SUM(Tabla132112412[[#This Row],[PRIMER TRIMESTRE]:[CUARTO TRIMESTRE]])</f>
        <v>160</v>
      </c>
      <c r="J293" s="175"/>
      <c r="K293" s="175"/>
      <c r="L293" s="175"/>
      <c r="M293" s="77"/>
      <c r="N293" s="77"/>
      <c r="O293" s="177"/>
    </row>
    <row r="294" spans="2:15" s="12" customFormat="1" ht="18">
      <c r="B294" s="372" t="s">
        <v>80</v>
      </c>
      <c r="C294" s="454" t="s">
        <v>2095</v>
      </c>
      <c r="D294" s="455" t="s">
        <v>17</v>
      </c>
      <c r="E294" s="362">
        <v>5</v>
      </c>
      <c r="F294" s="362">
        <v>5</v>
      </c>
      <c r="G294" s="362">
        <v>5</v>
      </c>
      <c r="H294" s="362">
        <v>5</v>
      </c>
      <c r="I294" s="363">
        <f>SUM(Tabla132112412[[#This Row],[PRIMER TRIMESTRE]:[CUARTO TRIMESTRE]])</f>
        <v>20</v>
      </c>
      <c r="J294" s="175"/>
      <c r="K294" s="175"/>
      <c r="L294" s="175"/>
      <c r="M294" s="77"/>
      <c r="N294" s="77"/>
      <c r="O294" s="177"/>
    </row>
    <row r="295" spans="2:15" s="12" customFormat="1" ht="18">
      <c r="B295" s="372" t="s">
        <v>80</v>
      </c>
      <c r="C295" s="454" t="s">
        <v>2096</v>
      </c>
      <c r="D295" s="177" t="s">
        <v>17</v>
      </c>
      <c r="E295" s="365">
        <v>1</v>
      </c>
      <c r="F295" s="365">
        <v>0</v>
      </c>
      <c r="G295" s="365">
        <v>0</v>
      </c>
      <c r="H295" s="365">
        <v>0</v>
      </c>
      <c r="I295" s="363">
        <f>SUM(Tabla132112412[[#This Row],[PRIMER TRIMESTRE]:[CUARTO TRIMESTRE]])</f>
        <v>1</v>
      </c>
      <c r="J295" s="175"/>
      <c r="K295" s="175"/>
      <c r="L295" s="175"/>
      <c r="M295" s="77"/>
      <c r="N295" s="77"/>
      <c r="O295" s="177"/>
    </row>
    <row r="296" spans="2:15" s="12" customFormat="1" ht="18">
      <c r="B296" s="372" t="s">
        <v>80</v>
      </c>
      <c r="C296" s="367" t="s">
        <v>2097</v>
      </c>
      <c r="D296" s="177" t="s">
        <v>149</v>
      </c>
      <c r="E296" s="368">
        <v>4</v>
      </c>
      <c r="F296" s="369">
        <v>4</v>
      </c>
      <c r="G296" s="369">
        <v>4</v>
      </c>
      <c r="H296" s="369">
        <v>4</v>
      </c>
      <c r="I296" s="363">
        <f>SUM(Tabla132112412[[#This Row],[PRIMER TRIMESTRE]:[CUARTO TRIMESTRE]])</f>
        <v>16</v>
      </c>
      <c r="J296" s="175"/>
      <c r="K296" s="175"/>
      <c r="L296" s="175"/>
      <c r="M296" s="77"/>
      <c r="N296" s="77"/>
      <c r="O296" s="177"/>
    </row>
    <row r="297" spans="2:15" s="12" customFormat="1" ht="18">
      <c r="B297" s="372" t="s">
        <v>80</v>
      </c>
      <c r="C297" s="367" t="s">
        <v>2098</v>
      </c>
      <c r="D297" s="177" t="s">
        <v>149</v>
      </c>
      <c r="E297" s="368">
        <v>4</v>
      </c>
      <c r="F297" s="369">
        <v>4</v>
      </c>
      <c r="G297" s="369">
        <v>4</v>
      </c>
      <c r="H297" s="369">
        <v>4</v>
      </c>
      <c r="I297" s="363">
        <f>SUM(Tabla132112412[[#This Row],[PRIMER TRIMESTRE]:[CUARTO TRIMESTRE]])</f>
        <v>16</v>
      </c>
      <c r="J297" s="175"/>
      <c r="K297" s="175"/>
      <c r="L297" s="175"/>
      <c r="M297" s="77"/>
      <c r="N297" s="77"/>
      <c r="O297" s="177"/>
    </row>
    <row r="298" spans="2:15" s="12" customFormat="1" ht="18">
      <c r="B298" s="372" t="s">
        <v>80</v>
      </c>
      <c r="C298" s="367" t="s">
        <v>2099</v>
      </c>
      <c r="D298" s="177" t="s">
        <v>17</v>
      </c>
      <c r="E298" s="368">
        <v>4</v>
      </c>
      <c r="F298" s="369">
        <v>4</v>
      </c>
      <c r="G298" s="369">
        <v>4</v>
      </c>
      <c r="H298" s="369">
        <v>4</v>
      </c>
      <c r="I298" s="363">
        <f>SUM(Tabla132112412[[#This Row],[PRIMER TRIMESTRE]:[CUARTO TRIMESTRE]])</f>
        <v>16</v>
      </c>
      <c r="J298" s="175"/>
      <c r="K298" s="175"/>
      <c r="L298" s="175"/>
      <c r="M298" s="77"/>
      <c r="N298" s="77"/>
      <c r="O298" s="177"/>
    </row>
    <row r="299" spans="2:15" s="12" customFormat="1" ht="18">
      <c r="B299" s="372" t="s">
        <v>80</v>
      </c>
      <c r="C299" s="367" t="s">
        <v>2100</v>
      </c>
      <c r="D299" s="177" t="s">
        <v>17</v>
      </c>
      <c r="E299" s="368">
        <v>4</v>
      </c>
      <c r="F299" s="369">
        <v>4</v>
      </c>
      <c r="G299" s="369">
        <v>4</v>
      </c>
      <c r="H299" s="369">
        <v>4</v>
      </c>
      <c r="I299" s="363">
        <f>SUM(Tabla132112412[[#This Row],[PRIMER TRIMESTRE]:[CUARTO TRIMESTRE]])</f>
        <v>16</v>
      </c>
      <c r="J299" s="175"/>
      <c r="K299" s="175"/>
      <c r="L299" s="175"/>
      <c r="M299" s="77"/>
      <c r="N299" s="77"/>
      <c r="O299" s="177"/>
    </row>
    <row r="300" spans="2:15" s="12" customFormat="1" ht="18">
      <c r="B300" s="372" t="s">
        <v>80</v>
      </c>
      <c r="C300" s="367" t="s">
        <v>2101</v>
      </c>
      <c r="D300" s="177" t="s">
        <v>17</v>
      </c>
      <c r="E300" s="368">
        <v>4</v>
      </c>
      <c r="F300" s="369">
        <v>4</v>
      </c>
      <c r="G300" s="369">
        <v>4</v>
      </c>
      <c r="H300" s="369">
        <v>4</v>
      </c>
      <c r="I300" s="363">
        <f>SUM(Tabla132112412[[#This Row],[PRIMER TRIMESTRE]:[CUARTO TRIMESTRE]])</f>
        <v>16</v>
      </c>
      <c r="J300" s="175"/>
      <c r="K300" s="175"/>
      <c r="L300" s="175"/>
      <c r="M300" s="77"/>
      <c r="N300" s="77"/>
      <c r="O300" s="177"/>
    </row>
    <row r="301" spans="2:15" s="12" customFormat="1" ht="18">
      <c r="B301" s="372" t="s">
        <v>80</v>
      </c>
      <c r="C301" s="367" t="s">
        <v>2102</v>
      </c>
      <c r="D301" s="177" t="s">
        <v>17</v>
      </c>
      <c r="E301" s="368">
        <v>4</v>
      </c>
      <c r="F301" s="369">
        <v>4</v>
      </c>
      <c r="G301" s="369">
        <v>4</v>
      </c>
      <c r="H301" s="369">
        <v>4</v>
      </c>
      <c r="I301" s="363">
        <f>SUM(Tabla132112412[[#This Row],[PRIMER TRIMESTRE]:[CUARTO TRIMESTRE]])</f>
        <v>16</v>
      </c>
      <c r="J301" s="175"/>
      <c r="K301" s="175"/>
      <c r="L301" s="175"/>
      <c r="M301" s="77"/>
      <c r="N301" s="77"/>
      <c r="O301" s="177"/>
    </row>
    <row r="302" spans="2:15" s="12" customFormat="1" ht="18">
      <c r="B302" s="372" t="s">
        <v>80</v>
      </c>
      <c r="C302" s="77" t="s">
        <v>694</v>
      </c>
      <c r="D302" s="177" t="s">
        <v>17</v>
      </c>
      <c r="E302" s="370">
        <v>22</v>
      </c>
      <c r="F302" s="370">
        <v>12</v>
      </c>
      <c r="G302" s="370">
        <v>17</v>
      </c>
      <c r="H302" s="370">
        <v>12</v>
      </c>
      <c r="I302" s="363">
        <f>SUM(Tabla132112412[[#This Row],[PRIMER TRIMESTRE]:[CUARTO TRIMESTRE]])</f>
        <v>63</v>
      </c>
      <c r="J302" s="175">
        <v>850</v>
      </c>
      <c r="K302" s="175">
        <f t="shared" si="5"/>
        <v>53550</v>
      </c>
      <c r="L302" s="175"/>
      <c r="M302" s="77" t="s">
        <v>18</v>
      </c>
      <c r="N302" s="77" t="s">
        <v>22</v>
      </c>
      <c r="O302" s="177" t="s">
        <v>418</v>
      </c>
    </row>
    <row r="303" spans="2:15" s="12" customFormat="1" ht="18">
      <c r="B303" s="372" t="s">
        <v>80</v>
      </c>
      <c r="C303" s="77" t="s">
        <v>695</v>
      </c>
      <c r="D303" s="177" t="s">
        <v>17</v>
      </c>
      <c r="E303" s="370">
        <v>22</v>
      </c>
      <c r="F303" s="370">
        <v>12</v>
      </c>
      <c r="G303" s="370">
        <v>17</v>
      </c>
      <c r="H303" s="370">
        <v>12</v>
      </c>
      <c r="I303" s="363">
        <f>SUM(Tabla132112412[[#This Row],[PRIMER TRIMESTRE]:[CUARTO TRIMESTRE]])</f>
        <v>63</v>
      </c>
      <c r="J303" s="175">
        <v>850</v>
      </c>
      <c r="K303" s="175">
        <f t="shared" si="5"/>
        <v>53550</v>
      </c>
      <c r="L303" s="175"/>
      <c r="M303" s="77" t="s">
        <v>18</v>
      </c>
      <c r="N303" s="77" t="s">
        <v>22</v>
      </c>
      <c r="O303" s="177" t="s">
        <v>418</v>
      </c>
    </row>
    <row r="304" spans="2:15" s="12" customFormat="1" ht="18">
      <c r="B304" s="372" t="s">
        <v>80</v>
      </c>
      <c r="C304" s="77" t="s">
        <v>1182</v>
      </c>
      <c r="D304" s="177" t="s">
        <v>17</v>
      </c>
      <c r="E304" s="370">
        <v>17</v>
      </c>
      <c r="F304" s="370">
        <v>12</v>
      </c>
      <c r="G304" s="370">
        <v>17</v>
      </c>
      <c r="H304" s="370">
        <v>12</v>
      </c>
      <c r="I304" s="363">
        <f>SUM(Tabla132112412[[#This Row],[PRIMER TRIMESTRE]:[CUARTO TRIMESTRE]])</f>
        <v>58</v>
      </c>
      <c r="J304" s="175">
        <v>850</v>
      </c>
      <c r="K304" s="175">
        <f t="shared" si="5"/>
        <v>49300</v>
      </c>
      <c r="L304" s="175"/>
      <c r="M304" s="77" t="s">
        <v>18</v>
      </c>
      <c r="N304" s="77" t="s">
        <v>22</v>
      </c>
      <c r="O304" s="177" t="s">
        <v>418</v>
      </c>
    </row>
    <row r="305" spans="2:15" s="12" customFormat="1" ht="18">
      <c r="B305" s="372" t="s">
        <v>80</v>
      </c>
      <c r="C305" s="77" t="s">
        <v>1183</v>
      </c>
      <c r="D305" s="177" t="s">
        <v>17</v>
      </c>
      <c r="E305" s="370">
        <v>17</v>
      </c>
      <c r="F305" s="370">
        <v>12</v>
      </c>
      <c r="G305" s="370">
        <v>12</v>
      </c>
      <c r="H305" s="370">
        <v>12</v>
      </c>
      <c r="I305" s="363">
        <f>SUM(Tabla132112412[[#This Row],[PRIMER TRIMESTRE]:[CUARTO TRIMESTRE]])</f>
        <v>53</v>
      </c>
      <c r="J305" s="175">
        <v>850</v>
      </c>
      <c r="K305" s="175">
        <f t="shared" si="5"/>
        <v>45050</v>
      </c>
      <c r="L305" s="175"/>
      <c r="M305" s="77" t="s">
        <v>18</v>
      </c>
      <c r="N305" s="77" t="s">
        <v>22</v>
      </c>
      <c r="O305" s="177" t="s">
        <v>418</v>
      </c>
    </row>
    <row r="306" spans="2:15" s="12" customFormat="1" ht="18">
      <c r="B306" s="372" t="s">
        <v>80</v>
      </c>
      <c r="C306" s="77" t="s">
        <v>1184</v>
      </c>
      <c r="D306" s="177" t="s">
        <v>17</v>
      </c>
      <c r="E306" s="370">
        <v>19</v>
      </c>
      <c r="F306" s="370">
        <v>14</v>
      </c>
      <c r="G306" s="370">
        <v>19</v>
      </c>
      <c r="H306" s="370">
        <v>14</v>
      </c>
      <c r="I306" s="363">
        <f>SUM(Tabla132112412[[#This Row],[PRIMER TRIMESTRE]:[CUARTO TRIMESTRE]])</f>
        <v>66</v>
      </c>
      <c r="J306" s="175">
        <v>850</v>
      </c>
      <c r="K306" s="175">
        <f t="shared" si="5"/>
        <v>56100</v>
      </c>
      <c r="L306" s="175"/>
      <c r="M306" s="77" t="s">
        <v>18</v>
      </c>
      <c r="N306" s="77" t="s">
        <v>22</v>
      </c>
      <c r="O306" s="177" t="s">
        <v>418</v>
      </c>
    </row>
    <row r="307" spans="2:15" s="12" customFormat="1" ht="18">
      <c r="B307" s="372" t="s">
        <v>80</v>
      </c>
      <c r="C307" s="77" t="s">
        <v>1185</v>
      </c>
      <c r="D307" s="177" t="s">
        <v>17</v>
      </c>
      <c r="E307" s="370">
        <v>24</v>
      </c>
      <c r="F307" s="370">
        <v>14</v>
      </c>
      <c r="G307" s="370">
        <v>19</v>
      </c>
      <c r="H307" s="370">
        <v>14</v>
      </c>
      <c r="I307" s="363">
        <f>SUM(Tabla132112412[[#This Row],[PRIMER TRIMESTRE]:[CUARTO TRIMESTRE]])</f>
        <v>71</v>
      </c>
      <c r="J307" s="175">
        <v>850</v>
      </c>
      <c r="K307" s="175">
        <f t="shared" si="5"/>
        <v>60350</v>
      </c>
      <c r="L307" s="175"/>
      <c r="M307" s="77" t="s">
        <v>18</v>
      </c>
      <c r="N307" s="77" t="s">
        <v>22</v>
      </c>
      <c r="O307" s="177" t="s">
        <v>418</v>
      </c>
    </row>
    <row r="308" spans="2:15" s="12" customFormat="1" ht="18">
      <c r="B308" s="372" t="s">
        <v>80</v>
      </c>
      <c r="C308" s="77" t="s">
        <v>696</v>
      </c>
      <c r="D308" s="177" t="s">
        <v>17</v>
      </c>
      <c r="E308" s="370">
        <v>13</v>
      </c>
      <c r="F308" s="370">
        <v>3</v>
      </c>
      <c r="G308" s="370">
        <v>8</v>
      </c>
      <c r="H308" s="370">
        <v>3</v>
      </c>
      <c r="I308" s="363">
        <f>SUM(Tabla132112412[[#This Row],[PRIMER TRIMESTRE]:[CUARTO TRIMESTRE]])</f>
        <v>27</v>
      </c>
      <c r="J308" s="175">
        <v>970</v>
      </c>
      <c r="K308" s="175">
        <f t="shared" si="5"/>
        <v>26190</v>
      </c>
      <c r="L308" s="175"/>
      <c r="M308" s="77" t="s">
        <v>18</v>
      </c>
      <c r="N308" s="77" t="s">
        <v>22</v>
      </c>
      <c r="O308" s="177" t="s">
        <v>418</v>
      </c>
    </row>
    <row r="309" spans="2:15" s="12" customFormat="1" ht="18">
      <c r="B309" s="372" t="s">
        <v>80</v>
      </c>
      <c r="C309" s="77" t="s">
        <v>1186</v>
      </c>
      <c r="D309" s="177" t="s">
        <v>17</v>
      </c>
      <c r="E309" s="370">
        <v>7</v>
      </c>
      <c r="F309" s="370">
        <v>2</v>
      </c>
      <c r="G309" s="370">
        <v>7</v>
      </c>
      <c r="H309" s="370">
        <v>2</v>
      </c>
      <c r="I309" s="363">
        <f>SUM(Tabla132112412[[#This Row],[PRIMER TRIMESTRE]:[CUARTO TRIMESTRE]])</f>
        <v>18</v>
      </c>
      <c r="J309" s="175">
        <v>850</v>
      </c>
      <c r="K309" s="175">
        <f t="shared" si="5"/>
        <v>15300</v>
      </c>
      <c r="L309" s="175"/>
      <c r="M309" s="77" t="s">
        <v>18</v>
      </c>
      <c r="N309" s="77" t="s">
        <v>22</v>
      </c>
      <c r="O309" s="177" t="s">
        <v>418</v>
      </c>
    </row>
    <row r="310" spans="2:15" s="12" customFormat="1" ht="18">
      <c r="B310" s="372" t="s">
        <v>80</v>
      </c>
      <c r="C310" s="77" t="s">
        <v>1187</v>
      </c>
      <c r="D310" s="177" t="s">
        <v>17</v>
      </c>
      <c r="E310" s="370">
        <v>7</v>
      </c>
      <c r="F310" s="370">
        <v>2</v>
      </c>
      <c r="G310" s="370">
        <v>7</v>
      </c>
      <c r="H310" s="370">
        <v>2</v>
      </c>
      <c r="I310" s="363">
        <f>SUM(Tabla132112412[[#This Row],[PRIMER TRIMESTRE]:[CUARTO TRIMESTRE]])</f>
        <v>18</v>
      </c>
      <c r="J310" s="175">
        <v>850</v>
      </c>
      <c r="K310" s="175">
        <f t="shared" si="5"/>
        <v>15300</v>
      </c>
      <c r="L310" s="175"/>
      <c r="M310" s="77" t="s">
        <v>18</v>
      </c>
      <c r="N310" s="77" t="s">
        <v>22</v>
      </c>
      <c r="O310" s="177" t="s">
        <v>418</v>
      </c>
    </row>
    <row r="311" spans="2:15" s="12" customFormat="1" ht="18">
      <c r="B311" s="372" t="s">
        <v>80</v>
      </c>
      <c r="C311" s="77" t="s">
        <v>1188</v>
      </c>
      <c r="D311" s="177" t="s">
        <v>17</v>
      </c>
      <c r="E311" s="370">
        <v>7</v>
      </c>
      <c r="F311" s="370">
        <v>2</v>
      </c>
      <c r="G311" s="370">
        <v>7</v>
      </c>
      <c r="H311" s="370">
        <v>2</v>
      </c>
      <c r="I311" s="363">
        <f>SUM(Tabla132112412[[#This Row],[PRIMER TRIMESTRE]:[CUARTO TRIMESTRE]])</f>
        <v>18</v>
      </c>
      <c r="J311" s="175">
        <v>850</v>
      </c>
      <c r="K311" s="175">
        <f t="shared" si="5"/>
        <v>15300</v>
      </c>
      <c r="L311" s="175"/>
      <c r="M311" s="77" t="s">
        <v>18</v>
      </c>
      <c r="N311" s="77" t="s">
        <v>22</v>
      </c>
      <c r="O311" s="177" t="s">
        <v>418</v>
      </c>
    </row>
    <row r="312" spans="2:15" s="12" customFormat="1" ht="18">
      <c r="B312" s="372" t="s">
        <v>80</v>
      </c>
      <c r="C312" s="77" t="s">
        <v>1189</v>
      </c>
      <c r="D312" s="177" t="s">
        <v>17</v>
      </c>
      <c r="E312" s="370">
        <v>7</v>
      </c>
      <c r="F312" s="370">
        <v>2</v>
      </c>
      <c r="G312" s="370">
        <v>7</v>
      </c>
      <c r="H312" s="370">
        <v>2</v>
      </c>
      <c r="I312" s="363">
        <f>SUM(Tabla132112412[[#This Row],[PRIMER TRIMESTRE]:[CUARTO TRIMESTRE]])</f>
        <v>18</v>
      </c>
      <c r="J312" s="175">
        <v>850</v>
      </c>
      <c r="K312" s="175">
        <f t="shared" si="5"/>
        <v>15300</v>
      </c>
      <c r="L312" s="175"/>
      <c r="M312" s="77" t="s">
        <v>18</v>
      </c>
      <c r="N312" s="77" t="s">
        <v>22</v>
      </c>
      <c r="O312" s="177" t="s">
        <v>418</v>
      </c>
    </row>
    <row r="313" spans="2:15" s="12" customFormat="1" ht="18">
      <c r="B313" s="372" t="s">
        <v>80</v>
      </c>
      <c r="C313" s="77" t="s">
        <v>1190</v>
      </c>
      <c r="D313" s="177" t="s">
        <v>17</v>
      </c>
      <c r="E313" s="370">
        <v>12</v>
      </c>
      <c r="F313" s="370">
        <v>1</v>
      </c>
      <c r="G313" s="370">
        <v>6</v>
      </c>
      <c r="H313" s="370">
        <v>1</v>
      </c>
      <c r="I313" s="363">
        <f>SUM(Tabla132112412[[#This Row],[PRIMER TRIMESTRE]:[CUARTO TRIMESTRE]])</f>
        <v>20</v>
      </c>
      <c r="J313" s="175">
        <v>970</v>
      </c>
      <c r="K313" s="175">
        <f t="shared" si="5"/>
        <v>19400</v>
      </c>
      <c r="L313" s="175"/>
      <c r="M313" s="77" t="s">
        <v>18</v>
      </c>
      <c r="N313" s="77" t="s">
        <v>22</v>
      </c>
      <c r="O313" s="177" t="s">
        <v>418</v>
      </c>
    </row>
    <row r="314" spans="2:15" s="12" customFormat="1" ht="18">
      <c r="B314" s="372" t="s">
        <v>80</v>
      </c>
      <c r="C314" s="77" t="s">
        <v>1191</v>
      </c>
      <c r="D314" s="177" t="s">
        <v>17</v>
      </c>
      <c r="E314" s="370">
        <v>11</v>
      </c>
      <c r="F314" s="370">
        <v>1</v>
      </c>
      <c r="G314" s="370">
        <v>1</v>
      </c>
      <c r="H314" s="370">
        <v>1</v>
      </c>
      <c r="I314" s="363">
        <f>SUM(Tabla132112412[[#This Row],[PRIMER TRIMESTRE]:[CUARTO TRIMESTRE]])</f>
        <v>14</v>
      </c>
      <c r="J314" s="175">
        <v>970</v>
      </c>
      <c r="K314" s="175">
        <f t="shared" si="5"/>
        <v>13580</v>
      </c>
      <c r="L314" s="175"/>
      <c r="M314" s="77" t="s">
        <v>18</v>
      </c>
      <c r="N314" s="77" t="s">
        <v>22</v>
      </c>
      <c r="O314" s="177" t="s">
        <v>418</v>
      </c>
    </row>
    <row r="315" spans="2:15" s="12" customFormat="1" ht="18">
      <c r="B315" s="372" t="s">
        <v>80</v>
      </c>
      <c r="C315" s="77" t="s">
        <v>1192</v>
      </c>
      <c r="D315" s="177" t="s">
        <v>17</v>
      </c>
      <c r="E315" s="370">
        <v>6</v>
      </c>
      <c r="F315" s="370">
        <v>1</v>
      </c>
      <c r="G315" s="370">
        <v>6</v>
      </c>
      <c r="H315" s="370">
        <v>1</v>
      </c>
      <c r="I315" s="363">
        <f>SUM(Tabla132112412[[#This Row],[PRIMER TRIMESTRE]:[CUARTO TRIMESTRE]])</f>
        <v>14</v>
      </c>
      <c r="J315" s="175">
        <v>970</v>
      </c>
      <c r="K315" s="175">
        <f t="shared" si="5"/>
        <v>13580</v>
      </c>
      <c r="L315" s="175"/>
      <c r="M315" s="77" t="s">
        <v>18</v>
      </c>
      <c r="N315" s="77" t="s">
        <v>22</v>
      </c>
      <c r="O315" s="177" t="s">
        <v>418</v>
      </c>
    </row>
    <row r="316" spans="2:15" s="12" customFormat="1" ht="18">
      <c r="B316" s="372" t="s">
        <v>80</v>
      </c>
      <c r="C316" s="77" t="s">
        <v>1193</v>
      </c>
      <c r="D316" s="177" t="s">
        <v>17</v>
      </c>
      <c r="E316" s="370">
        <v>6</v>
      </c>
      <c r="F316" s="370">
        <v>1</v>
      </c>
      <c r="G316" s="370">
        <v>6</v>
      </c>
      <c r="H316" s="370">
        <v>1</v>
      </c>
      <c r="I316" s="363">
        <f>SUM(Tabla132112412[[#This Row],[PRIMER TRIMESTRE]:[CUARTO TRIMESTRE]])</f>
        <v>14</v>
      </c>
      <c r="J316" s="175">
        <v>970</v>
      </c>
      <c r="K316" s="175">
        <f t="shared" si="5"/>
        <v>13580</v>
      </c>
      <c r="L316" s="175"/>
      <c r="M316" s="77" t="s">
        <v>18</v>
      </c>
      <c r="N316" s="77" t="s">
        <v>22</v>
      </c>
      <c r="O316" s="177" t="s">
        <v>418</v>
      </c>
    </row>
    <row r="317" spans="2:15" s="12" customFormat="1" ht="18">
      <c r="B317" s="372" t="s">
        <v>80</v>
      </c>
      <c r="C317" s="77" t="s">
        <v>1194</v>
      </c>
      <c r="D317" s="177" t="s">
        <v>17</v>
      </c>
      <c r="E317" s="370">
        <v>6</v>
      </c>
      <c r="F317" s="370">
        <v>1</v>
      </c>
      <c r="G317" s="370">
        <v>6</v>
      </c>
      <c r="H317" s="370">
        <v>1</v>
      </c>
      <c r="I317" s="363">
        <f>SUM(Tabla132112412[[#This Row],[PRIMER TRIMESTRE]:[CUARTO TRIMESTRE]])</f>
        <v>14</v>
      </c>
      <c r="J317" s="175">
        <v>970</v>
      </c>
      <c r="K317" s="175">
        <f t="shared" si="5"/>
        <v>13580</v>
      </c>
      <c r="L317" s="175"/>
      <c r="M317" s="77" t="s">
        <v>18</v>
      </c>
      <c r="N317" s="77" t="s">
        <v>22</v>
      </c>
      <c r="O317" s="177" t="s">
        <v>418</v>
      </c>
    </row>
    <row r="318" spans="2:15" s="12" customFormat="1" ht="18">
      <c r="B318" s="372" t="s">
        <v>80</v>
      </c>
      <c r="C318" s="77" t="s">
        <v>1195</v>
      </c>
      <c r="D318" s="177" t="s">
        <v>17</v>
      </c>
      <c r="E318" s="370">
        <v>6</v>
      </c>
      <c r="F318" s="370">
        <v>1</v>
      </c>
      <c r="G318" s="370">
        <v>6</v>
      </c>
      <c r="H318" s="370">
        <v>1</v>
      </c>
      <c r="I318" s="363">
        <f>SUM(Tabla132112412[[#This Row],[PRIMER TRIMESTRE]:[CUARTO TRIMESTRE]])</f>
        <v>14</v>
      </c>
      <c r="J318" s="175">
        <v>1870</v>
      </c>
      <c r="K318" s="175">
        <f t="shared" si="5"/>
        <v>26180</v>
      </c>
      <c r="L318" s="175"/>
      <c r="M318" s="77" t="s">
        <v>18</v>
      </c>
      <c r="N318" s="77" t="s">
        <v>22</v>
      </c>
      <c r="O318" s="177" t="s">
        <v>418</v>
      </c>
    </row>
    <row r="319" spans="2:15" s="12" customFormat="1" ht="18">
      <c r="B319" s="372" t="s">
        <v>80</v>
      </c>
      <c r="C319" s="77" t="s">
        <v>1196</v>
      </c>
      <c r="D319" s="177" t="s">
        <v>17</v>
      </c>
      <c r="E319" s="370">
        <v>6</v>
      </c>
      <c r="F319" s="370">
        <v>1</v>
      </c>
      <c r="G319" s="370">
        <v>6</v>
      </c>
      <c r="H319" s="370">
        <v>1</v>
      </c>
      <c r="I319" s="363">
        <f>SUM(Tabla132112412[[#This Row],[PRIMER TRIMESTRE]:[CUARTO TRIMESTRE]])</f>
        <v>14</v>
      </c>
      <c r="J319" s="175">
        <v>2150</v>
      </c>
      <c r="K319" s="175">
        <f t="shared" si="5"/>
        <v>30100</v>
      </c>
      <c r="L319" s="175"/>
      <c r="M319" s="77" t="s">
        <v>18</v>
      </c>
      <c r="N319" s="77" t="s">
        <v>22</v>
      </c>
      <c r="O319" s="177" t="s">
        <v>418</v>
      </c>
    </row>
    <row r="320" spans="2:15" s="12" customFormat="1" ht="18">
      <c r="B320" s="372" t="s">
        <v>80</v>
      </c>
      <c r="C320" s="77" t="s">
        <v>1197</v>
      </c>
      <c r="D320" s="177" t="s">
        <v>17</v>
      </c>
      <c r="E320" s="370">
        <v>6</v>
      </c>
      <c r="F320" s="370">
        <v>1</v>
      </c>
      <c r="G320" s="370">
        <v>6</v>
      </c>
      <c r="H320" s="370">
        <v>1</v>
      </c>
      <c r="I320" s="363">
        <f>SUM(Tabla132112412[[#This Row],[PRIMER TRIMESTRE]:[CUARTO TRIMESTRE]])</f>
        <v>14</v>
      </c>
      <c r="J320" s="175">
        <v>2860</v>
      </c>
      <c r="K320" s="175">
        <f t="shared" si="5"/>
        <v>40040</v>
      </c>
      <c r="L320" s="175"/>
      <c r="M320" s="77" t="s">
        <v>18</v>
      </c>
      <c r="N320" s="77" t="s">
        <v>22</v>
      </c>
      <c r="O320" s="177" t="s">
        <v>418</v>
      </c>
    </row>
    <row r="321" spans="2:15" s="12" customFormat="1" ht="18">
      <c r="B321" s="372" t="s">
        <v>80</v>
      </c>
      <c r="C321" s="77" t="s">
        <v>1198</v>
      </c>
      <c r="D321" s="177" t="s">
        <v>17</v>
      </c>
      <c r="E321" s="370">
        <v>6</v>
      </c>
      <c r="F321" s="370">
        <v>1</v>
      </c>
      <c r="G321" s="370">
        <v>6</v>
      </c>
      <c r="H321" s="370">
        <v>1</v>
      </c>
      <c r="I321" s="363">
        <f>SUM(Tabla132112412[[#This Row],[PRIMER TRIMESTRE]:[CUARTO TRIMESTRE]])</f>
        <v>14</v>
      </c>
      <c r="J321" s="175">
        <v>2860</v>
      </c>
      <c r="K321" s="175">
        <f t="shared" si="5"/>
        <v>40040</v>
      </c>
      <c r="L321" s="175"/>
      <c r="M321" s="77" t="s">
        <v>18</v>
      </c>
      <c r="N321" s="77" t="s">
        <v>22</v>
      </c>
      <c r="O321" s="177" t="s">
        <v>418</v>
      </c>
    </row>
    <row r="322" spans="2:15" s="12" customFormat="1" ht="18">
      <c r="B322" s="372" t="s">
        <v>80</v>
      </c>
      <c r="C322" s="77" t="s">
        <v>1199</v>
      </c>
      <c r="D322" s="177" t="s">
        <v>17</v>
      </c>
      <c r="E322" s="370">
        <v>6</v>
      </c>
      <c r="F322" s="370">
        <v>1</v>
      </c>
      <c r="G322" s="370">
        <v>6</v>
      </c>
      <c r="H322" s="370">
        <v>1</v>
      </c>
      <c r="I322" s="363">
        <f>SUM(Tabla132112412[[#This Row],[PRIMER TRIMESTRE]:[CUARTO TRIMESTRE]])</f>
        <v>14</v>
      </c>
      <c r="J322" s="175">
        <v>2860</v>
      </c>
      <c r="K322" s="175">
        <f t="shared" si="5"/>
        <v>40040</v>
      </c>
      <c r="L322" s="175"/>
      <c r="M322" s="77" t="s">
        <v>18</v>
      </c>
      <c r="N322" s="77" t="s">
        <v>22</v>
      </c>
      <c r="O322" s="177" t="s">
        <v>418</v>
      </c>
    </row>
    <row r="323" spans="2:15" s="12" customFormat="1" ht="18">
      <c r="B323" s="372" t="s">
        <v>80</v>
      </c>
      <c r="C323" s="77" t="s">
        <v>1200</v>
      </c>
      <c r="D323" s="177" t="s">
        <v>17</v>
      </c>
      <c r="E323" s="370">
        <v>6</v>
      </c>
      <c r="F323" s="370">
        <v>1</v>
      </c>
      <c r="G323" s="370">
        <v>6</v>
      </c>
      <c r="H323" s="370">
        <v>1</v>
      </c>
      <c r="I323" s="363">
        <f>SUM(Tabla132112412[[#This Row],[PRIMER TRIMESTRE]:[CUARTO TRIMESTRE]])</f>
        <v>14</v>
      </c>
      <c r="J323" s="175">
        <v>2860</v>
      </c>
      <c r="K323" s="175">
        <f t="shared" si="5"/>
        <v>40040</v>
      </c>
      <c r="L323" s="175"/>
      <c r="M323" s="77" t="s">
        <v>18</v>
      </c>
      <c r="N323" s="77" t="s">
        <v>22</v>
      </c>
      <c r="O323" s="177" t="s">
        <v>418</v>
      </c>
    </row>
    <row r="324" spans="2:15" s="12" customFormat="1" ht="18">
      <c r="B324" s="372" t="s">
        <v>80</v>
      </c>
      <c r="C324" s="77" t="s">
        <v>697</v>
      </c>
      <c r="D324" s="177" t="s">
        <v>17</v>
      </c>
      <c r="E324" s="370">
        <v>6</v>
      </c>
      <c r="F324" s="370">
        <v>1</v>
      </c>
      <c r="G324" s="370">
        <v>6</v>
      </c>
      <c r="H324" s="370">
        <v>1</v>
      </c>
      <c r="I324" s="363">
        <f>SUM(Tabla132112412[[#This Row],[PRIMER TRIMESTRE]:[CUARTO TRIMESTRE]])</f>
        <v>14</v>
      </c>
      <c r="J324" s="175">
        <v>1870</v>
      </c>
      <c r="K324" s="175">
        <f t="shared" si="5"/>
        <v>26180</v>
      </c>
      <c r="L324" s="175"/>
      <c r="M324" s="77" t="s">
        <v>18</v>
      </c>
      <c r="N324" s="77" t="s">
        <v>22</v>
      </c>
      <c r="O324" s="177" t="s">
        <v>418</v>
      </c>
    </row>
    <row r="325" spans="2:15" s="12" customFormat="1" ht="18">
      <c r="B325" s="372" t="s">
        <v>80</v>
      </c>
      <c r="C325" s="77" t="s">
        <v>698</v>
      </c>
      <c r="D325" s="177" t="s">
        <v>17</v>
      </c>
      <c r="E325" s="370">
        <v>6</v>
      </c>
      <c r="F325" s="370">
        <v>1</v>
      </c>
      <c r="G325" s="370">
        <v>6</v>
      </c>
      <c r="H325" s="370">
        <v>1</v>
      </c>
      <c r="I325" s="363">
        <f>SUM(Tabla132112412[[#This Row],[PRIMER TRIMESTRE]:[CUARTO TRIMESTRE]])</f>
        <v>14</v>
      </c>
      <c r="J325" s="175">
        <v>2150</v>
      </c>
      <c r="K325" s="175">
        <f t="shared" si="5"/>
        <v>30100</v>
      </c>
      <c r="L325" s="175"/>
      <c r="M325" s="77" t="s">
        <v>18</v>
      </c>
      <c r="N325" s="77" t="s">
        <v>22</v>
      </c>
      <c r="O325" s="177" t="s">
        <v>418</v>
      </c>
    </row>
    <row r="326" spans="2:15" s="12" customFormat="1" ht="18">
      <c r="B326" s="372" t="s">
        <v>80</v>
      </c>
      <c r="C326" s="77" t="s">
        <v>699</v>
      </c>
      <c r="D326" s="177" t="s">
        <v>17</v>
      </c>
      <c r="E326" s="370">
        <v>6</v>
      </c>
      <c r="F326" s="370">
        <v>1</v>
      </c>
      <c r="G326" s="370">
        <v>6</v>
      </c>
      <c r="H326" s="370">
        <v>1</v>
      </c>
      <c r="I326" s="363">
        <f>SUM(Tabla132112412[[#This Row],[PRIMER TRIMESTRE]:[CUARTO TRIMESTRE]])</f>
        <v>14</v>
      </c>
      <c r="J326" s="175">
        <v>2860</v>
      </c>
      <c r="K326" s="175">
        <f t="shared" si="5"/>
        <v>40040</v>
      </c>
      <c r="L326" s="175"/>
      <c r="M326" s="77" t="s">
        <v>18</v>
      </c>
      <c r="N326" s="77" t="s">
        <v>22</v>
      </c>
      <c r="O326" s="177" t="s">
        <v>418</v>
      </c>
    </row>
    <row r="327" spans="2:15" s="12" customFormat="1" ht="18">
      <c r="B327" s="372" t="s">
        <v>80</v>
      </c>
      <c r="C327" s="77" t="s">
        <v>1201</v>
      </c>
      <c r="D327" s="177" t="s">
        <v>17</v>
      </c>
      <c r="E327" s="370">
        <v>12</v>
      </c>
      <c r="F327" s="370">
        <v>2</v>
      </c>
      <c r="G327" s="370">
        <v>12</v>
      </c>
      <c r="H327" s="370">
        <v>2</v>
      </c>
      <c r="I327" s="363">
        <f>SUM(Tabla132112412[[#This Row],[PRIMER TRIMESTRE]:[CUARTO TRIMESTRE]])</f>
        <v>28</v>
      </c>
      <c r="J327" s="175">
        <v>250</v>
      </c>
      <c r="K327" s="175">
        <f t="shared" si="5"/>
        <v>7000</v>
      </c>
      <c r="L327" s="175"/>
      <c r="M327" s="77" t="s">
        <v>18</v>
      </c>
      <c r="N327" s="77" t="s">
        <v>22</v>
      </c>
      <c r="O327" s="177" t="s">
        <v>418</v>
      </c>
    </row>
    <row r="328" spans="2:15" s="12" customFormat="1" ht="18">
      <c r="B328" s="372" t="s">
        <v>80</v>
      </c>
      <c r="C328" s="77" t="s">
        <v>1202</v>
      </c>
      <c r="D328" s="177" t="s">
        <v>17</v>
      </c>
      <c r="E328" s="370">
        <v>12</v>
      </c>
      <c r="F328" s="370">
        <v>2</v>
      </c>
      <c r="G328" s="370">
        <v>12</v>
      </c>
      <c r="H328" s="370">
        <v>2</v>
      </c>
      <c r="I328" s="363">
        <f>SUM(Tabla132112412[[#This Row],[PRIMER TRIMESTRE]:[CUARTO TRIMESTRE]])</f>
        <v>28</v>
      </c>
      <c r="J328" s="175">
        <v>275</v>
      </c>
      <c r="K328" s="175">
        <f t="shared" si="5"/>
        <v>7700</v>
      </c>
      <c r="L328" s="175"/>
      <c r="M328" s="77" t="s">
        <v>18</v>
      </c>
      <c r="N328" s="77" t="s">
        <v>22</v>
      </c>
      <c r="O328" s="177" t="s">
        <v>418</v>
      </c>
    </row>
    <row r="329" spans="2:15" s="12" customFormat="1" ht="18">
      <c r="B329" s="372" t="s">
        <v>80</v>
      </c>
      <c r="C329" s="77" t="s">
        <v>1203</v>
      </c>
      <c r="D329" s="177" t="s">
        <v>17</v>
      </c>
      <c r="E329" s="370">
        <v>12</v>
      </c>
      <c r="F329" s="370">
        <v>2</v>
      </c>
      <c r="G329" s="370">
        <v>12</v>
      </c>
      <c r="H329" s="370">
        <v>2</v>
      </c>
      <c r="I329" s="363">
        <f>SUM(Tabla132112412[[#This Row],[PRIMER TRIMESTRE]:[CUARTO TRIMESTRE]])</f>
        <v>28</v>
      </c>
      <c r="J329" s="175">
        <v>300</v>
      </c>
      <c r="K329" s="175">
        <f t="shared" si="5"/>
        <v>8400</v>
      </c>
      <c r="L329" s="175"/>
      <c r="M329" s="77" t="s">
        <v>18</v>
      </c>
      <c r="N329" s="77" t="s">
        <v>22</v>
      </c>
      <c r="O329" s="177" t="s">
        <v>418</v>
      </c>
    </row>
    <row r="330" spans="2:15" s="12" customFormat="1" ht="18">
      <c r="B330" s="372" t="s">
        <v>80</v>
      </c>
      <c r="C330" s="77" t="s">
        <v>1204</v>
      </c>
      <c r="D330" s="177" t="s">
        <v>17</v>
      </c>
      <c r="E330" s="370">
        <v>12</v>
      </c>
      <c r="F330" s="370">
        <v>2</v>
      </c>
      <c r="G330" s="370">
        <v>12</v>
      </c>
      <c r="H330" s="370">
        <v>2</v>
      </c>
      <c r="I330" s="363">
        <f>SUM(Tabla132112412[[#This Row],[PRIMER TRIMESTRE]:[CUARTO TRIMESTRE]])</f>
        <v>28</v>
      </c>
      <c r="J330" s="175">
        <v>400</v>
      </c>
      <c r="K330" s="175">
        <f t="shared" si="5"/>
        <v>11200</v>
      </c>
      <c r="L330" s="175"/>
      <c r="M330" s="77" t="s">
        <v>18</v>
      </c>
      <c r="N330" s="77" t="s">
        <v>22</v>
      </c>
      <c r="O330" s="177" t="s">
        <v>418</v>
      </c>
    </row>
    <row r="331" spans="2:15" s="12" customFormat="1" ht="18">
      <c r="B331" s="372" t="s">
        <v>80</v>
      </c>
      <c r="C331" s="77" t="s">
        <v>1205</v>
      </c>
      <c r="D331" s="177" t="s">
        <v>17</v>
      </c>
      <c r="E331" s="370">
        <v>12</v>
      </c>
      <c r="F331" s="370">
        <v>2</v>
      </c>
      <c r="G331" s="370">
        <v>12</v>
      </c>
      <c r="H331" s="370">
        <v>2</v>
      </c>
      <c r="I331" s="363">
        <f>SUM(Tabla132112412[[#This Row],[PRIMER TRIMESTRE]:[CUARTO TRIMESTRE]])</f>
        <v>28</v>
      </c>
      <c r="J331" s="175">
        <v>600</v>
      </c>
      <c r="K331" s="175">
        <f t="shared" si="5"/>
        <v>16800</v>
      </c>
      <c r="L331" s="175"/>
      <c r="M331" s="77" t="s">
        <v>18</v>
      </c>
      <c r="N331" s="77" t="s">
        <v>22</v>
      </c>
      <c r="O331" s="177" t="s">
        <v>418</v>
      </c>
    </row>
    <row r="332" spans="2:15" s="12" customFormat="1" ht="18">
      <c r="B332" s="372" t="s">
        <v>80</v>
      </c>
      <c r="C332" s="77" t="s">
        <v>1206</v>
      </c>
      <c r="D332" s="177" t="s">
        <v>17</v>
      </c>
      <c r="E332" s="370">
        <v>12</v>
      </c>
      <c r="F332" s="370">
        <v>2</v>
      </c>
      <c r="G332" s="370">
        <v>12</v>
      </c>
      <c r="H332" s="370">
        <v>2</v>
      </c>
      <c r="I332" s="363">
        <f>SUM(Tabla132112412[[#This Row],[PRIMER TRIMESTRE]:[CUARTO TRIMESTRE]])</f>
        <v>28</v>
      </c>
      <c r="J332" s="175">
        <v>800</v>
      </c>
      <c r="K332" s="175">
        <f t="shared" si="5"/>
        <v>22400</v>
      </c>
      <c r="L332" s="175"/>
      <c r="M332" s="77" t="s">
        <v>18</v>
      </c>
      <c r="N332" s="77" t="s">
        <v>22</v>
      </c>
      <c r="O332" s="177" t="s">
        <v>418</v>
      </c>
    </row>
    <row r="333" spans="2:15" s="12" customFormat="1" ht="18">
      <c r="B333" s="372" t="s">
        <v>80</v>
      </c>
      <c r="C333" s="77" t="s">
        <v>1207</v>
      </c>
      <c r="D333" s="177" t="s">
        <v>17</v>
      </c>
      <c r="E333" s="370">
        <v>12</v>
      </c>
      <c r="F333" s="370">
        <v>2</v>
      </c>
      <c r="G333" s="370">
        <v>12</v>
      </c>
      <c r="H333" s="370">
        <v>2</v>
      </c>
      <c r="I333" s="363">
        <f>SUM(Tabla132112412[[#This Row],[PRIMER TRIMESTRE]:[CUARTO TRIMESTRE]])</f>
        <v>28</v>
      </c>
      <c r="J333" s="175">
        <v>1200</v>
      </c>
      <c r="K333" s="175">
        <f t="shared" si="5"/>
        <v>33600</v>
      </c>
      <c r="L333" s="175"/>
      <c r="M333" s="77" t="s">
        <v>18</v>
      </c>
      <c r="N333" s="77" t="s">
        <v>22</v>
      </c>
      <c r="O333" s="177" t="s">
        <v>418</v>
      </c>
    </row>
    <row r="334" spans="2:15" s="12" customFormat="1" ht="18">
      <c r="B334" s="372" t="s">
        <v>80</v>
      </c>
      <c r="C334" s="77" t="s">
        <v>1208</v>
      </c>
      <c r="D334" s="177" t="s">
        <v>17</v>
      </c>
      <c r="E334" s="370">
        <v>12</v>
      </c>
      <c r="F334" s="370">
        <v>2</v>
      </c>
      <c r="G334" s="370">
        <v>12</v>
      </c>
      <c r="H334" s="370">
        <v>2</v>
      </c>
      <c r="I334" s="363">
        <f>SUM(Tabla132112412[[#This Row],[PRIMER TRIMESTRE]:[CUARTO TRIMESTRE]])</f>
        <v>28</v>
      </c>
      <c r="J334" s="175">
        <v>1600</v>
      </c>
      <c r="K334" s="175">
        <f t="shared" si="5"/>
        <v>44800</v>
      </c>
      <c r="L334" s="175"/>
      <c r="M334" s="77" t="s">
        <v>18</v>
      </c>
      <c r="N334" s="77" t="s">
        <v>22</v>
      </c>
      <c r="O334" s="177" t="s">
        <v>418</v>
      </c>
    </row>
    <row r="335" spans="2:15" s="12" customFormat="1" ht="18">
      <c r="B335" s="372" t="s">
        <v>80</v>
      </c>
      <c r="C335" s="77" t="s">
        <v>1209</v>
      </c>
      <c r="D335" s="177" t="s">
        <v>17</v>
      </c>
      <c r="E335" s="370">
        <v>2</v>
      </c>
      <c r="F335" s="370">
        <v>2</v>
      </c>
      <c r="G335" s="370">
        <v>2</v>
      </c>
      <c r="H335" s="370">
        <v>2</v>
      </c>
      <c r="I335" s="363">
        <f>SUM(Tabla132112412[[#This Row],[PRIMER TRIMESTRE]:[CUARTO TRIMESTRE]])</f>
        <v>8</v>
      </c>
      <c r="J335" s="175">
        <v>1800</v>
      </c>
      <c r="K335" s="175">
        <f t="shared" si="5"/>
        <v>14400</v>
      </c>
      <c r="L335" s="175"/>
      <c r="M335" s="77" t="s">
        <v>18</v>
      </c>
      <c r="N335" s="77" t="s">
        <v>22</v>
      </c>
      <c r="O335" s="177" t="s">
        <v>418</v>
      </c>
    </row>
    <row r="336" spans="2:15" s="12" customFormat="1" ht="18">
      <c r="B336" s="372" t="s">
        <v>80</v>
      </c>
      <c r="C336" s="77" t="s">
        <v>1210</v>
      </c>
      <c r="D336" s="177" t="s">
        <v>17</v>
      </c>
      <c r="E336" s="370">
        <v>12</v>
      </c>
      <c r="F336" s="370">
        <v>2</v>
      </c>
      <c r="G336" s="370">
        <v>12</v>
      </c>
      <c r="H336" s="370">
        <v>2</v>
      </c>
      <c r="I336" s="363">
        <f>SUM(Tabla132112412[[#This Row],[PRIMER TRIMESTRE]:[CUARTO TRIMESTRE]])</f>
        <v>28</v>
      </c>
      <c r="J336" s="175">
        <v>2000</v>
      </c>
      <c r="K336" s="175">
        <f t="shared" si="5"/>
        <v>56000</v>
      </c>
      <c r="L336" s="175"/>
      <c r="M336" s="77" t="s">
        <v>18</v>
      </c>
      <c r="N336" s="77" t="s">
        <v>22</v>
      </c>
      <c r="O336" s="177" t="s">
        <v>418</v>
      </c>
    </row>
    <row r="337" spans="2:15" s="12" customFormat="1" ht="18">
      <c r="B337" s="372" t="s">
        <v>80</v>
      </c>
      <c r="C337" s="77" t="s">
        <v>1211</v>
      </c>
      <c r="D337" s="177" t="s">
        <v>17</v>
      </c>
      <c r="E337" s="370">
        <v>12</v>
      </c>
      <c r="F337" s="370">
        <v>2</v>
      </c>
      <c r="G337" s="370">
        <v>12</v>
      </c>
      <c r="H337" s="370">
        <v>2</v>
      </c>
      <c r="I337" s="363">
        <f>SUM(Tabla132112412[[#This Row],[PRIMER TRIMESTRE]:[CUARTO TRIMESTRE]])</f>
        <v>28</v>
      </c>
      <c r="J337" s="175">
        <v>3200</v>
      </c>
      <c r="K337" s="175">
        <f t="shared" si="5"/>
        <v>89600</v>
      </c>
      <c r="L337" s="175"/>
      <c r="M337" s="77" t="s">
        <v>18</v>
      </c>
      <c r="N337" s="77" t="s">
        <v>22</v>
      </c>
      <c r="O337" s="177" t="s">
        <v>418</v>
      </c>
    </row>
    <row r="338" spans="2:15" s="12" customFormat="1" ht="18">
      <c r="B338" s="372" t="s">
        <v>80</v>
      </c>
      <c r="C338" s="77" t="s">
        <v>1212</v>
      </c>
      <c r="D338" s="177" t="s">
        <v>17</v>
      </c>
      <c r="E338" s="370">
        <v>7</v>
      </c>
      <c r="F338" s="370">
        <v>2</v>
      </c>
      <c r="G338" s="370">
        <v>7</v>
      </c>
      <c r="H338" s="370">
        <v>2</v>
      </c>
      <c r="I338" s="363">
        <f>SUM(Tabla132112412[[#This Row],[PRIMER TRIMESTRE]:[CUARTO TRIMESTRE]])</f>
        <v>18</v>
      </c>
      <c r="J338" s="175">
        <v>3800</v>
      </c>
      <c r="K338" s="175">
        <f t="shared" si="5"/>
        <v>68400</v>
      </c>
      <c r="L338" s="175"/>
      <c r="M338" s="77" t="s">
        <v>18</v>
      </c>
      <c r="N338" s="77" t="s">
        <v>22</v>
      </c>
      <c r="O338" s="177" t="s">
        <v>418</v>
      </c>
    </row>
    <row r="339" spans="2:15" s="12" customFormat="1" ht="18">
      <c r="B339" s="372" t="s">
        <v>80</v>
      </c>
      <c r="C339" s="77" t="s">
        <v>580</v>
      </c>
      <c r="D339" s="177" t="s">
        <v>17</v>
      </c>
      <c r="E339" s="370">
        <v>25</v>
      </c>
      <c r="F339" s="370">
        <v>5</v>
      </c>
      <c r="G339" s="370">
        <v>25</v>
      </c>
      <c r="H339" s="370">
        <v>5</v>
      </c>
      <c r="I339" s="363">
        <f>SUM(Tabla132112412[[#This Row],[PRIMER TRIMESTRE]:[CUARTO TRIMESTRE]])</f>
        <v>60</v>
      </c>
      <c r="J339" s="175">
        <v>29</v>
      </c>
      <c r="K339" s="175">
        <f t="shared" si="5"/>
        <v>1740</v>
      </c>
      <c r="L339" s="175"/>
      <c r="M339" s="77" t="s">
        <v>18</v>
      </c>
      <c r="N339" s="77" t="s">
        <v>22</v>
      </c>
      <c r="O339" s="177" t="s">
        <v>418</v>
      </c>
    </row>
    <row r="340" spans="2:15" s="12" customFormat="1" ht="18">
      <c r="B340" s="372" t="s">
        <v>80</v>
      </c>
      <c r="C340" s="77" t="s">
        <v>579</v>
      </c>
      <c r="D340" s="177" t="s">
        <v>17</v>
      </c>
      <c r="E340" s="370">
        <v>25</v>
      </c>
      <c r="F340" s="370">
        <v>5</v>
      </c>
      <c r="G340" s="370">
        <v>25</v>
      </c>
      <c r="H340" s="370">
        <v>5</v>
      </c>
      <c r="I340" s="363">
        <f>SUM(Tabla132112412[[#This Row],[PRIMER TRIMESTRE]:[CUARTO TRIMESTRE]])</f>
        <v>60</v>
      </c>
      <c r="J340" s="175">
        <v>31.16</v>
      </c>
      <c r="K340" s="175">
        <f t="shared" si="5"/>
        <v>1869.6</v>
      </c>
      <c r="L340" s="175"/>
      <c r="M340" s="77" t="s">
        <v>18</v>
      </c>
      <c r="N340" s="77" t="s">
        <v>22</v>
      </c>
      <c r="O340" s="177" t="s">
        <v>418</v>
      </c>
    </row>
    <row r="341" spans="2:15" s="12" customFormat="1" ht="18">
      <c r="B341" s="372" t="s">
        <v>80</v>
      </c>
      <c r="C341" s="77" t="s">
        <v>581</v>
      </c>
      <c r="D341" s="177" t="s">
        <v>17</v>
      </c>
      <c r="E341" s="370">
        <v>25</v>
      </c>
      <c r="F341" s="370">
        <v>5</v>
      </c>
      <c r="G341" s="370">
        <v>25</v>
      </c>
      <c r="H341" s="370">
        <v>5</v>
      </c>
      <c r="I341" s="363">
        <f>SUM(Tabla132112412[[#This Row],[PRIMER TRIMESTRE]:[CUARTO TRIMESTRE]])</f>
        <v>60</v>
      </c>
      <c r="J341" s="175">
        <v>54.52</v>
      </c>
      <c r="K341" s="175">
        <f t="shared" si="5"/>
        <v>3271.2000000000003</v>
      </c>
      <c r="L341" s="175"/>
      <c r="M341" s="77" t="s">
        <v>18</v>
      </c>
      <c r="N341" s="77" t="s">
        <v>22</v>
      </c>
      <c r="O341" s="177" t="s">
        <v>418</v>
      </c>
    </row>
    <row r="342" spans="2:15" s="12" customFormat="1" ht="18">
      <c r="B342" s="372" t="s">
        <v>80</v>
      </c>
      <c r="C342" s="77" t="s">
        <v>582</v>
      </c>
      <c r="D342" s="177" t="s">
        <v>17</v>
      </c>
      <c r="E342" s="370">
        <v>25</v>
      </c>
      <c r="F342" s="370">
        <v>5</v>
      </c>
      <c r="G342" s="370">
        <v>25</v>
      </c>
      <c r="H342" s="370">
        <v>5</v>
      </c>
      <c r="I342" s="363">
        <f>SUM(Tabla132112412[[#This Row],[PRIMER TRIMESTRE]:[CUARTO TRIMESTRE]])</f>
        <v>60</v>
      </c>
      <c r="J342" s="175">
        <v>55.84</v>
      </c>
      <c r="K342" s="175">
        <f t="shared" si="5"/>
        <v>3350.4</v>
      </c>
      <c r="L342" s="175"/>
      <c r="M342" s="77" t="s">
        <v>18</v>
      </c>
      <c r="N342" s="77" t="s">
        <v>22</v>
      </c>
      <c r="O342" s="177" t="s">
        <v>418</v>
      </c>
    </row>
    <row r="343" spans="2:15" s="12" customFormat="1" ht="18">
      <c r="B343" s="372" t="s">
        <v>80</v>
      </c>
      <c r="C343" s="77" t="s">
        <v>583</v>
      </c>
      <c r="D343" s="177" t="s">
        <v>17</v>
      </c>
      <c r="E343" s="370">
        <v>25</v>
      </c>
      <c r="F343" s="370">
        <v>5</v>
      </c>
      <c r="G343" s="370">
        <v>25</v>
      </c>
      <c r="H343" s="370">
        <v>5</v>
      </c>
      <c r="I343" s="363">
        <f>SUM(Tabla132112412[[#This Row],[PRIMER TRIMESTRE]:[CUARTO TRIMESTRE]])</f>
        <v>60</v>
      </c>
      <c r="J343" s="175">
        <v>67.28</v>
      </c>
      <c r="K343" s="175">
        <f t="shared" si="5"/>
        <v>4036.8</v>
      </c>
      <c r="L343" s="175"/>
      <c r="M343" s="77" t="s">
        <v>18</v>
      </c>
      <c r="N343" s="77" t="s">
        <v>22</v>
      </c>
      <c r="O343" s="177" t="s">
        <v>418</v>
      </c>
    </row>
    <row r="344" spans="2:15" s="12" customFormat="1" ht="18">
      <c r="B344" s="372" t="s">
        <v>80</v>
      </c>
      <c r="C344" s="77" t="s">
        <v>584</v>
      </c>
      <c r="D344" s="177" t="s">
        <v>17</v>
      </c>
      <c r="E344" s="370">
        <v>25</v>
      </c>
      <c r="F344" s="370">
        <v>5</v>
      </c>
      <c r="G344" s="370">
        <v>25</v>
      </c>
      <c r="H344" s="370">
        <v>5</v>
      </c>
      <c r="I344" s="363">
        <f>SUM(Tabla132112412[[#This Row],[PRIMER TRIMESTRE]:[CUARTO TRIMESTRE]])</f>
        <v>60</v>
      </c>
      <c r="J344" s="175">
        <v>68.28</v>
      </c>
      <c r="K344" s="175">
        <f t="shared" si="5"/>
        <v>4096.8</v>
      </c>
      <c r="L344" s="175"/>
      <c r="M344" s="77" t="s">
        <v>18</v>
      </c>
      <c r="N344" s="77" t="s">
        <v>22</v>
      </c>
      <c r="O344" s="177" t="s">
        <v>418</v>
      </c>
    </row>
    <row r="345" spans="2:15" s="12" customFormat="1" ht="18">
      <c r="B345" s="372" t="s">
        <v>80</v>
      </c>
      <c r="C345" s="77" t="s">
        <v>585</v>
      </c>
      <c r="D345" s="177" t="s">
        <v>17</v>
      </c>
      <c r="E345" s="370">
        <v>25</v>
      </c>
      <c r="F345" s="370">
        <v>5</v>
      </c>
      <c r="G345" s="370">
        <v>25</v>
      </c>
      <c r="H345" s="370">
        <v>5</v>
      </c>
      <c r="I345" s="363">
        <f>SUM(Tabla132112412[[#This Row],[PRIMER TRIMESTRE]:[CUARTO TRIMESTRE]])</f>
        <v>60</v>
      </c>
      <c r="J345" s="175">
        <v>80</v>
      </c>
      <c r="K345" s="175">
        <f t="shared" si="5"/>
        <v>4800</v>
      </c>
      <c r="L345" s="175"/>
      <c r="M345" s="77" t="s">
        <v>18</v>
      </c>
      <c r="N345" s="77" t="s">
        <v>22</v>
      </c>
      <c r="O345" s="177" t="s">
        <v>418</v>
      </c>
    </row>
    <row r="346" spans="2:15" s="12" customFormat="1" ht="18">
      <c r="B346" s="372" t="s">
        <v>80</v>
      </c>
      <c r="C346" s="77" t="s">
        <v>586</v>
      </c>
      <c r="D346" s="177" t="s">
        <v>17</v>
      </c>
      <c r="E346" s="370">
        <v>25</v>
      </c>
      <c r="F346" s="370">
        <v>5</v>
      </c>
      <c r="G346" s="370">
        <v>25</v>
      </c>
      <c r="H346" s="370">
        <v>5</v>
      </c>
      <c r="I346" s="363">
        <f>SUM(Tabla132112412[[#This Row],[PRIMER TRIMESTRE]:[CUARTO TRIMESTRE]])</f>
        <v>60</v>
      </c>
      <c r="J346" s="175">
        <v>85</v>
      </c>
      <c r="K346" s="175">
        <f t="shared" si="5"/>
        <v>5100</v>
      </c>
      <c r="L346" s="175"/>
      <c r="M346" s="77" t="s">
        <v>18</v>
      </c>
      <c r="N346" s="77" t="s">
        <v>22</v>
      </c>
      <c r="O346" s="177" t="s">
        <v>418</v>
      </c>
    </row>
    <row r="347" spans="2:15" s="12" customFormat="1" ht="18">
      <c r="B347" s="372" t="s">
        <v>80</v>
      </c>
      <c r="C347" s="77" t="s">
        <v>587</v>
      </c>
      <c r="D347" s="177" t="s">
        <v>17</v>
      </c>
      <c r="E347" s="370">
        <v>20</v>
      </c>
      <c r="F347" s="370">
        <v>5</v>
      </c>
      <c r="G347" s="370">
        <v>20</v>
      </c>
      <c r="H347" s="370">
        <v>5</v>
      </c>
      <c r="I347" s="363">
        <f>SUM(Tabla132112412[[#This Row],[PRIMER TRIMESTRE]:[CUARTO TRIMESTRE]])</f>
        <v>50</v>
      </c>
      <c r="J347" s="175">
        <v>1044.3</v>
      </c>
      <c r="K347" s="175">
        <f>+I347*J347</f>
        <v>52215</v>
      </c>
      <c r="L347" s="175"/>
      <c r="M347" s="77" t="s">
        <v>18</v>
      </c>
      <c r="N347" s="77" t="s">
        <v>22</v>
      </c>
      <c r="O347" s="177" t="s">
        <v>418</v>
      </c>
    </row>
    <row r="348" spans="2:15" s="12" customFormat="1" ht="18">
      <c r="B348" s="372" t="s">
        <v>80</v>
      </c>
      <c r="C348" s="77" t="s">
        <v>588</v>
      </c>
      <c r="D348" s="177" t="s">
        <v>17</v>
      </c>
      <c r="E348" s="370">
        <v>20</v>
      </c>
      <c r="F348" s="370">
        <v>5</v>
      </c>
      <c r="G348" s="370">
        <v>20</v>
      </c>
      <c r="H348" s="370">
        <v>5</v>
      </c>
      <c r="I348" s="363">
        <f>SUM(Tabla132112412[[#This Row],[PRIMER TRIMESTRE]:[CUARTO TRIMESTRE]])</f>
        <v>50</v>
      </c>
      <c r="J348" s="175">
        <v>1000</v>
      </c>
      <c r="K348" s="175">
        <f>+I348*J348</f>
        <v>50000</v>
      </c>
      <c r="L348" s="175"/>
      <c r="M348" s="77" t="s">
        <v>18</v>
      </c>
      <c r="N348" s="77" t="s">
        <v>22</v>
      </c>
      <c r="O348" s="177" t="s">
        <v>418</v>
      </c>
    </row>
    <row r="349" spans="2:15" s="12" customFormat="1" ht="18">
      <c r="B349" s="372" t="s">
        <v>80</v>
      </c>
      <c r="C349" s="77" t="s">
        <v>589</v>
      </c>
      <c r="D349" s="177" t="s">
        <v>17</v>
      </c>
      <c r="E349" s="370">
        <v>20</v>
      </c>
      <c r="F349" s="370">
        <v>5</v>
      </c>
      <c r="G349" s="370">
        <v>20</v>
      </c>
      <c r="H349" s="370">
        <v>5</v>
      </c>
      <c r="I349" s="363">
        <f>SUM(Tabla132112412[[#This Row],[PRIMER TRIMESTRE]:[CUARTO TRIMESTRE]])</f>
        <v>50</v>
      </c>
      <c r="J349" s="175">
        <v>1144.5999999999999</v>
      </c>
      <c r="K349" s="175">
        <f>+I349*J349</f>
        <v>57229.999999999993</v>
      </c>
      <c r="L349" s="175"/>
      <c r="M349" s="77" t="s">
        <v>18</v>
      </c>
      <c r="N349" s="77" t="s">
        <v>22</v>
      </c>
      <c r="O349" s="177" t="s">
        <v>418</v>
      </c>
    </row>
    <row r="350" spans="2:15" s="12" customFormat="1" ht="18">
      <c r="B350" s="372" t="s">
        <v>80</v>
      </c>
      <c r="C350" s="77" t="s">
        <v>590</v>
      </c>
      <c r="D350" s="177" t="s">
        <v>17</v>
      </c>
      <c r="E350" s="370">
        <v>20</v>
      </c>
      <c r="F350" s="370">
        <v>5</v>
      </c>
      <c r="G350" s="370">
        <v>20</v>
      </c>
      <c r="H350" s="370">
        <v>5</v>
      </c>
      <c r="I350" s="363">
        <f>SUM(Tabla132112412[[#This Row],[PRIMER TRIMESTRE]:[CUARTO TRIMESTRE]])</f>
        <v>50</v>
      </c>
      <c r="J350" s="175">
        <v>1534</v>
      </c>
      <c r="K350" s="175">
        <f>+I350*J350</f>
        <v>76700</v>
      </c>
      <c r="L350" s="175"/>
      <c r="M350" s="77" t="s">
        <v>18</v>
      </c>
      <c r="N350" s="77" t="s">
        <v>22</v>
      </c>
      <c r="O350" s="177" t="s">
        <v>418</v>
      </c>
    </row>
    <row r="351" spans="2:15" s="12" customFormat="1" ht="18">
      <c r="B351" s="372" t="s">
        <v>80</v>
      </c>
      <c r="C351" s="77" t="s">
        <v>1546</v>
      </c>
      <c r="D351" s="177" t="s">
        <v>17</v>
      </c>
      <c r="E351" s="370">
        <v>15</v>
      </c>
      <c r="F351" s="370">
        <v>0</v>
      </c>
      <c r="G351" s="370">
        <v>15</v>
      </c>
      <c r="H351" s="370">
        <v>0</v>
      </c>
      <c r="I351" s="363">
        <f>SUM(Tabla132112412[[#This Row],[PRIMER TRIMESTRE]:[CUARTO TRIMESTRE]])</f>
        <v>30</v>
      </c>
      <c r="J351" s="175">
        <v>910</v>
      </c>
      <c r="K351" s="175">
        <f>+I351*J351</f>
        <v>27300</v>
      </c>
      <c r="L351" s="175"/>
      <c r="M351" s="77" t="s">
        <v>18</v>
      </c>
      <c r="N351" s="77" t="s">
        <v>22</v>
      </c>
      <c r="O351" s="177" t="s">
        <v>418</v>
      </c>
    </row>
    <row r="352" spans="2:15" s="12" customFormat="1" ht="18">
      <c r="B352" s="372" t="s">
        <v>80</v>
      </c>
      <c r="C352" s="454" t="s">
        <v>2103</v>
      </c>
      <c r="D352" s="177" t="s">
        <v>69</v>
      </c>
      <c r="E352" s="368">
        <v>40</v>
      </c>
      <c r="F352" s="368">
        <v>20</v>
      </c>
      <c r="G352" s="368">
        <v>20</v>
      </c>
      <c r="H352" s="368">
        <v>20</v>
      </c>
      <c r="I352" s="363">
        <f>SUM(Tabla132112412[[#This Row],[PRIMER TRIMESTRE]:[CUARTO TRIMESTRE]])</f>
        <v>100</v>
      </c>
      <c r="J352" s="175"/>
      <c r="K352" s="175"/>
      <c r="L352" s="175"/>
      <c r="M352" s="77"/>
      <c r="N352" s="77"/>
      <c r="O352" s="177"/>
    </row>
    <row r="353" spans="2:15" s="12" customFormat="1" ht="18">
      <c r="B353" s="372" t="s">
        <v>80</v>
      </c>
      <c r="C353" s="454" t="s">
        <v>2104</v>
      </c>
      <c r="D353" s="177" t="s">
        <v>93</v>
      </c>
      <c r="E353" s="368">
        <v>80</v>
      </c>
      <c r="F353" s="368">
        <v>40</v>
      </c>
      <c r="G353" s="368">
        <v>40</v>
      </c>
      <c r="H353" s="368">
        <v>40</v>
      </c>
      <c r="I353" s="363">
        <f>SUM(Tabla132112412[[#This Row],[PRIMER TRIMESTRE]:[CUARTO TRIMESTRE]])</f>
        <v>200</v>
      </c>
      <c r="J353" s="175"/>
      <c r="K353" s="175"/>
      <c r="L353" s="175"/>
      <c r="M353" s="77"/>
      <c r="N353" s="77"/>
      <c r="O353" s="177"/>
    </row>
    <row r="354" spans="2:15" s="12" customFormat="1" ht="18">
      <c r="B354" s="372" t="s">
        <v>80</v>
      </c>
      <c r="C354" s="454" t="s">
        <v>2105</v>
      </c>
      <c r="D354" s="177" t="s">
        <v>93</v>
      </c>
      <c r="E354" s="368">
        <v>40</v>
      </c>
      <c r="F354" s="368">
        <v>20</v>
      </c>
      <c r="G354" s="368">
        <v>20</v>
      </c>
      <c r="H354" s="368">
        <v>20</v>
      </c>
      <c r="I354" s="363">
        <f>SUM(Tabla132112412[[#This Row],[PRIMER TRIMESTRE]:[CUARTO TRIMESTRE]])</f>
        <v>100</v>
      </c>
      <c r="J354" s="175"/>
      <c r="K354" s="175"/>
      <c r="L354" s="175"/>
      <c r="M354" s="77"/>
      <c r="N354" s="77"/>
      <c r="O354" s="177"/>
    </row>
    <row r="355" spans="2:15" s="12" customFormat="1" ht="18">
      <c r="B355" s="372" t="s">
        <v>80</v>
      </c>
      <c r="C355" s="454" t="s">
        <v>2106</v>
      </c>
      <c r="D355" s="177" t="s">
        <v>17</v>
      </c>
      <c r="E355" s="368">
        <v>80</v>
      </c>
      <c r="F355" s="368">
        <v>40</v>
      </c>
      <c r="G355" s="368">
        <v>40</v>
      </c>
      <c r="H355" s="368">
        <v>40</v>
      </c>
      <c r="I355" s="363">
        <f>SUM(Tabla132112412[[#This Row],[PRIMER TRIMESTRE]:[CUARTO TRIMESTRE]])</f>
        <v>200</v>
      </c>
      <c r="J355" s="175"/>
      <c r="K355" s="175"/>
      <c r="L355" s="175"/>
      <c r="M355" s="77"/>
      <c r="N355" s="77"/>
      <c r="O355" s="177"/>
    </row>
    <row r="356" spans="2:15" s="12" customFormat="1" ht="18">
      <c r="B356" s="372" t="s">
        <v>80</v>
      </c>
      <c r="C356" s="454" t="s">
        <v>2107</v>
      </c>
      <c r="D356" s="177" t="s">
        <v>17</v>
      </c>
      <c r="E356" s="368">
        <v>40</v>
      </c>
      <c r="F356" s="368">
        <v>20</v>
      </c>
      <c r="G356" s="368">
        <v>20</v>
      </c>
      <c r="H356" s="368">
        <v>20</v>
      </c>
      <c r="I356" s="363">
        <f>SUM(Tabla132112412[[#This Row],[PRIMER TRIMESTRE]:[CUARTO TRIMESTRE]])</f>
        <v>100</v>
      </c>
      <c r="J356" s="175"/>
      <c r="K356" s="175"/>
      <c r="L356" s="175"/>
      <c r="M356" s="77"/>
      <c r="N356" s="77"/>
      <c r="O356" s="177"/>
    </row>
    <row r="357" spans="2:15" s="12" customFormat="1" ht="18">
      <c r="B357" s="372" t="s">
        <v>80</v>
      </c>
      <c r="C357" s="454" t="s">
        <v>2108</v>
      </c>
      <c r="D357" s="177" t="s">
        <v>288</v>
      </c>
      <c r="E357" s="368">
        <v>40</v>
      </c>
      <c r="F357" s="368">
        <v>20</v>
      </c>
      <c r="G357" s="368">
        <v>20</v>
      </c>
      <c r="H357" s="368">
        <v>20</v>
      </c>
      <c r="I357" s="363">
        <f>SUM(Tabla132112412[[#This Row],[PRIMER TRIMESTRE]:[CUARTO TRIMESTRE]])</f>
        <v>100</v>
      </c>
      <c r="J357" s="175"/>
      <c r="K357" s="175"/>
      <c r="L357" s="175"/>
      <c r="M357" s="77"/>
      <c r="N357" s="77"/>
      <c r="O357" s="177"/>
    </row>
    <row r="358" spans="2:15" s="12" customFormat="1" ht="18">
      <c r="B358" s="372" t="s">
        <v>80</v>
      </c>
      <c r="C358" s="454" t="s">
        <v>2109</v>
      </c>
      <c r="D358" s="177" t="s">
        <v>767</v>
      </c>
      <c r="E358" s="368">
        <v>40</v>
      </c>
      <c r="F358" s="368">
        <v>20</v>
      </c>
      <c r="G358" s="368">
        <v>20</v>
      </c>
      <c r="H358" s="368">
        <v>20</v>
      </c>
      <c r="I358" s="363">
        <f>SUM(Tabla132112412[[#This Row],[PRIMER TRIMESTRE]:[CUARTO TRIMESTRE]])</f>
        <v>100</v>
      </c>
      <c r="J358" s="175"/>
      <c r="K358" s="175"/>
      <c r="L358" s="175"/>
      <c r="M358" s="77"/>
      <c r="N358" s="77"/>
      <c r="O358" s="177"/>
    </row>
    <row r="359" spans="2:15" s="12" customFormat="1" ht="18">
      <c r="B359" s="372" t="s">
        <v>80</v>
      </c>
      <c r="C359" s="454" t="s">
        <v>2110</v>
      </c>
      <c r="D359" s="177" t="s">
        <v>17</v>
      </c>
      <c r="E359" s="368">
        <v>2</v>
      </c>
      <c r="F359" s="369">
        <v>1</v>
      </c>
      <c r="G359" s="369">
        <v>1</v>
      </c>
      <c r="H359" s="369">
        <v>1</v>
      </c>
      <c r="I359" s="363">
        <f>SUM(Tabla132112412[[#This Row],[PRIMER TRIMESTRE]:[CUARTO TRIMESTRE]])</f>
        <v>5</v>
      </c>
      <c r="J359" s="175"/>
      <c r="K359" s="175"/>
      <c r="L359" s="175"/>
      <c r="M359" s="77"/>
      <c r="N359" s="77"/>
      <c r="O359" s="177"/>
    </row>
    <row r="360" spans="2:15" s="12" customFormat="1" ht="18">
      <c r="B360" s="372" t="s">
        <v>80</v>
      </c>
      <c r="C360" s="454" t="s">
        <v>2111</v>
      </c>
      <c r="D360" s="177" t="s">
        <v>17</v>
      </c>
      <c r="E360" s="368">
        <v>20</v>
      </c>
      <c r="F360" s="368">
        <v>10</v>
      </c>
      <c r="G360" s="368">
        <v>10</v>
      </c>
      <c r="H360" s="368">
        <v>10</v>
      </c>
      <c r="I360" s="363">
        <f>SUM(Tabla132112412[[#This Row],[PRIMER TRIMESTRE]:[CUARTO TRIMESTRE]])</f>
        <v>50</v>
      </c>
      <c r="J360" s="175"/>
      <c r="K360" s="175"/>
      <c r="L360" s="175"/>
      <c r="M360" s="77"/>
      <c r="N360" s="77"/>
      <c r="O360" s="177"/>
    </row>
    <row r="361" spans="2:15" s="12" customFormat="1" ht="18">
      <c r="B361" s="372" t="s">
        <v>80</v>
      </c>
      <c r="C361" s="454" t="s">
        <v>2112</v>
      </c>
      <c r="D361" s="177" t="s">
        <v>17</v>
      </c>
      <c r="E361" s="368">
        <v>10</v>
      </c>
      <c r="F361" s="368">
        <v>5</v>
      </c>
      <c r="G361" s="368">
        <v>5</v>
      </c>
      <c r="H361" s="368">
        <v>5</v>
      </c>
      <c r="I361" s="363">
        <f>SUM(Tabla132112412[[#This Row],[PRIMER TRIMESTRE]:[CUARTO TRIMESTRE]])</f>
        <v>25</v>
      </c>
      <c r="J361" s="175"/>
      <c r="K361" s="175"/>
      <c r="L361" s="175"/>
      <c r="M361" s="77"/>
      <c r="N361" s="77"/>
      <c r="O361" s="177"/>
    </row>
    <row r="362" spans="2:15" s="12" customFormat="1" ht="18">
      <c r="B362" s="372" t="s">
        <v>80</v>
      </c>
      <c r="C362" s="454" t="s">
        <v>2113</v>
      </c>
      <c r="D362" s="177" t="s">
        <v>17</v>
      </c>
      <c r="E362" s="368">
        <v>5</v>
      </c>
      <c r="F362" s="368">
        <v>5</v>
      </c>
      <c r="G362" s="368">
        <v>5</v>
      </c>
      <c r="H362" s="368">
        <v>5</v>
      </c>
      <c r="I362" s="363">
        <f>SUM(Tabla132112412[[#This Row],[PRIMER TRIMESTRE]:[CUARTO TRIMESTRE]])</f>
        <v>20</v>
      </c>
      <c r="J362" s="175"/>
      <c r="K362" s="175"/>
      <c r="L362" s="175"/>
      <c r="M362" s="77"/>
      <c r="N362" s="77"/>
      <c r="O362" s="177"/>
    </row>
    <row r="363" spans="2:15" s="12" customFormat="1" ht="18">
      <c r="B363" s="372" t="s">
        <v>80</v>
      </c>
      <c r="C363" s="454" t="s">
        <v>2114</v>
      </c>
      <c r="D363" s="177" t="s">
        <v>17</v>
      </c>
      <c r="E363" s="368">
        <v>3</v>
      </c>
      <c r="F363" s="368">
        <v>3</v>
      </c>
      <c r="G363" s="368">
        <v>3</v>
      </c>
      <c r="H363" s="368">
        <v>3</v>
      </c>
      <c r="I363" s="363">
        <f>SUM(Tabla132112412[[#This Row],[PRIMER TRIMESTRE]:[CUARTO TRIMESTRE]])</f>
        <v>12</v>
      </c>
      <c r="J363" s="175"/>
      <c r="K363" s="175"/>
      <c r="L363" s="175"/>
      <c r="M363" s="77"/>
      <c r="N363" s="77"/>
      <c r="O363" s="177"/>
    </row>
    <row r="364" spans="2:15" s="12" customFormat="1" ht="18">
      <c r="B364" s="372" t="s">
        <v>80</v>
      </c>
      <c r="C364" s="454" t="s">
        <v>2115</v>
      </c>
      <c r="D364" s="177" t="s">
        <v>17</v>
      </c>
      <c r="E364" s="368">
        <v>2</v>
      </c>
      <c r="F364" s="368">
        <v>1</v>
      </c>
      <c r="G364" s="368">
        <v>1</v>
      </c>
      <c r="H364" s="368">
        <v>1</v>
      </c>
      <c r="I364" s="363">
        <f>SUM(Tabla132112412[[#This Row],[PRIMER TRIMESTRE]:[CUARTO TRIMESTRE]])</f>
        <v>5</v>
      </c>
      <c r="J364" s="175"/>
      <c r="K364" s="175"/>
      <c r="L364" s="175"/>
      <c r="M364" s="77"/>
      <c r="N364" s="77"/>
      <c r="O364" s="177"/>
    </row>
    <row r="365" spans="2:15" s="12" customFormat="1" ht="18">
      <c r="B365" s="372" t="s">
        <v>80</v>
      </c>
      <c r="C365" s="454" t="s">
        <v>2116</v>
      </c>
      <c r="D365" s="455" t="s">
        <v>17</v>
      </c>
      <c r="E365" s="362">
        <v>100</v>
      </c>
      <c r="F365" s="362">
        <v>100</v>
      </c>
      <c r="G365" s="362">
        <v>100</v>
      </c>
      <c r="H365" s="362">
        <v>100</v>
      </c>
      <c r="I365" s="363">
        <f>SUM(Tabla132112412[[#This Row],[PRIMER TRIMESTRE]:[CUARTO TRIMESTRE]])</f>
        <v>400</v>
      </c>
      <c r="J365" s="175"/>
      <c r="K365" s="175"/>
      <c r="L365" s="175"/>
      <c r="M365" s="77"/>
      <c r="N365" s="77"/>
      <c r="O365" s="177"/>
    </row>
    <row r="366" spans="2:15" s="12" customFormat="1" ht="18">
      <c r="B366" s="372" t="s">
        <v>80</v>
      </c>
      <c r="C366" s="454" t="s">
        <v>2117</v>
      </c>
      <c r="D366" s="455" t="s">
        <v>17</v>
      </c>
      <c r="E366" s="362">
        <v>5</v>
      </c>
      <c r="F366" s="362"/>
      <c r="G366" s="362">
        <v>5</v>
      </c>
      <c r="H366" s="362"/>
      <c r="I366" s="363">
        <f>SUM(Tabla132112412[[#This Row],[PRIMER TRIMESTRE]:[CUARTO TRIMESTRE]])</f>
        <v>10</v>
      </c>
      <c r="J366" s="175"/>
      <c r="K366" s="175"/>
      <c r="L366" s="175"/>
      <c r="M366" s="77"/>
      <c r="N366" s="77"/>
      <c r="O366" s="177"/>
    </row>
    <row r="367" spans="2:15" s="12" customFormat="1" ht="18">
      <c r="B367" s="372" t="s">
        <v>80</v>
      </c>
      <c r="C367" s="454" t="s">
        <v>2118</v>
      </c>
      <c r="D367" s="455" t="s">
        <v>17</v>
      </c>
      <c r="E367" s="362">
        <v>50</v>
      </c>
      <c r="F367" s="362">
        <v>50</v>
      </c>
      <c r="G367" s="362">
        <v>50</v>
      </c>
      <c r="H367" s="362">
        <v>50</v>
      </c>
      <c r="I367" s="363">
        <f>SUM(Tabla132112412[[#This Row],[PRIMER TRIMESTRE]:[CUARTO TRIMESTRE]])</f>
        <v>200</v>
      </c>
      <c r="J367" s="175"/>
      <c r="K367" s="175"/>
      <c r="L367" s="175"/>
      <c r="M367" s="77"/>
      <c r="N367" s="77"/>
      <c r="O367" s="177"/>
    </row>
    <row r="368" spans="2:15" s="12" customFormat="1" ht="18">
      <c r="B368" s="372" t="s">
        <v>80</v>
      </c>
      <c r="C368" s="454" t="s">
        <v>2119</v>
      </c>
      <c r="D368" s="455" t="s">
        <v>17</v>
      </c>
      <c r="E368" s="362">
        <v>5</v>
      </c>
      <c r="F368" s="362"/>
      <c r="G368" s="362">
        <v>5</v>
      </c>
      <c r="H368" s="362"/>
      <c r="I368" s="363">
        <f>SUM(Tabla132112412[[#This Row],[PRIMER TRIMESTRE]:[CUARTO TRIMESTRE]])</f>
        <v>10</v>
      </c>
      <c r="J368" s="175"/>
      <c r="K368" s="175"/>
      <c r="L368" s="175"/>
      <c r="M368" s="77"/>
      <c r="N368" s="77"/>
      <c r="O368" s="177"/>
    </row>
    <row r="369" spans="2:15" s="12" customFormat="1" ht="18">
      <c r="B369" s="372" t="s">
        <v>80</v>
      </c>
      <c r="C369" s="454" t="s">
        <v>2120</v>
      </c>
      <c r="D369" s="455" t="s">
        <v>17</v>
      </c>
      <c r="E369" s="362">
        <v>10</v>
      </c>
      <c r="F369" s="362">
        <v>10</v>
      </c>
      <c r="G369" s="362">
        <v>10</v>
      </c>
      <c r="H369" s="362">
        <v>10</v>
      </c>
      <c r="I369" s="363">
        <f>SUM(Tabla132112412[[#This Row],[PRIMER TRIMESTRE]:[CUARTO TRIMESTRE]])</f>
        <v>40</v>
      </c>
      <c r="J369" s="175"/>
      <c r="K369" s="175"/>
      <c r="L369" s="175"/>
      <c r="M369" s="77"/>
      <c r="N369" s="77"/>
      <c r="O369" s="177"/>
    </row>
    <row r="370" spans="2:15" s="12" customFormat="1" ht="18">
      <c r="B370" s="372" t="s">
        <v>80</v>
      </c>
      <c r="C370" s="454" t="s">
        <v>2121</v>
      </c>
      <c r="D370" s="455" t="s">
        <v>17</v>
      </c>
      <c r="E370" s="362">
        <v>5</v>
      </c>
      <c r="F370" s="362">
        <v>5</v>
      </c>
      <c r="G370" s="362">
        <v>5</v>
      </c>
      <c r="H370" s="362">
        <v>5</v>
      </c>
      <c r="I370" s="363">
        <f>SUM(Tabla132112412[[#This Row],[PRIMER TRIMESTRE]:[CUARTO TRIMESTRE]])</f>
        <v>20</v>
      </c>
      <c r="J370" s="175"/>
      <c r="K370" s="175"/>
      <c r="L370" s="175"/>
      <c r="M370" s="77"/>
      <c r="N370" s="77"/>
      <c r="O370" s="177"/>
    </row>
    <row r="371" spans="2:15" s="12" customFormat="1" ht="18">
      <c r="B371" s="372" t="s">
        <v>80</v>
      </c>
      <c r="C371" s="454" t="s">
        <v>2122</v>
      </c>
      <c r="D371" s="455" t="s">
        <v>17</v>
      </c>
      <c r="E371" s="362">
        <v>5</v>
      </c>
      <c r="F371" s="362"/>
      <c r="G371" s="362">
        <v>5</v>
      </c>
      <c r="H371" s="362"/>
      <c r="I371" s="363">
        <f>SUM(Tabla132112412[[#This Row],[PRIMER TRIMESTRE]:[CUARTO TRIMESTRE]])</f>
        <v>10</v>
      </c>
      <c r="J371" s="175"/>
      <c r="K371" s="175"/>
      <c r="L371" s="175"/>
      <c r="M371" s="77"/>
      <c r="N371" s="77"/>
      <c r="O371" s="177"/>
    </row>
    <row r="372" spans="2:15" s="12" customFormat="1" ht="18">
      <c r="B372" s="372" t="s">
        <v>80</v>
      </c>
      <c r="C372" s="454" t="s">
        <v>174</v>
      </c>
      <c r="D372" s="455" t="s">
        <v>17</v>
      </c>
      <c r="E372" s="362">
        <v>2</v>
      </c>
      <c r="F372" s="362"/>
      <c r="G372" s="362">
        <v>2</v>
      </c>
      <c r="H372" s="362"/>
      <c r="I372" s="363">
        <f>SUM(Tabla132112412[[#This Row],[PRIMER TRIMESTRE]:[CUARTO TRIMESTRE]])</f>
        <v>4</v>
      </c>
      <c r="J372" s="175"/>
      <c r="K372" s="175"/>
      <c r="L372" s="175"/>
      <c r="M372" s="77"/>
      <c r="N372" s="77"/>
      <c r="O372" s="177"/>
    </row>
    <row r="373" spans="2:15" s="12" customFormat="1" ht="18">
      <c r="B373" s="372" t="s">
        <v>80</v>
      </c>
      <c r="C373" s="454" t="s">
        <v>2123</v>
      </c>
      <c r="D373" s="177" t="s">
        <v>17</v>
      </c>
      <c r="E373" s="368">
        <v>40</v>
      </c>
      <c r="F373" s="368">
        <v>20</v>
      </c>
      <c r="G373" s="368">
        <v>20</v>
      </c>
      <c r="H373" s="368">
        <v>20</v>
      </c>
      <c r="I373" s="363">
        <f>SUM(Tabla132112412[[#This Row],[PRIMER TRIMESTRE]:[CUARTO TRIMESTRE]])</f>
        <v>100</v>
      </c>
      <c r="J373" s="175"/>
      <c r="K373" s="175"/>
      <c r="L373" s="175"/>
      <c r="M373" s="77"/>
      <c r="N373" s="77"/>
      <c r="O373" s="177"/>
    </row>
    <row r="374" spans="2:15" s="12" customFormat="1" ht="18">
      <c r="B374" s="372" t="s">
        <v>80</v>
      </c>
      <c r="C374" s="454" t="s">
        <v>2124</v>
      </c>
      <c r="D374" s="177" t="s">
        <v>17</v>
      </c>
      <c r="E374" s="368">
        <v>40</v>
      </c>
      <c r="F374" s="368">
        <v>20</v>
      </c>
      <c r="G374" s="368">
        <v>20</v>
      </c>
      <c r="H374" s="368">
        <v>20</v>
      </c>
      <c r="I374" s="363">
        <f>SUM(Tabla132112412[[#This Row],[PRIMER TRIMESTRE]:[CUARTO TRIMESTRE]])</f>
        <v>100</v>
      </c>
      <c r="J374" s="175"/>
      <c r="K374" s="175"/>
      <c r="L374" s="175"/>
      <c r="M374" s="77"/>
      <c r="N374" s="77"/>
      <c r="O374" s="177"/>
    </row>
    <row r="375" spans="2:15" s="12" customFormat="1" ht="18">
      <c r="B375" s="372" t="s">
        <v>80</v>
      </c>
      <c r="C375" s="454" t="s">
        <v>2125</v>
      </c>
      <c r="D375" s="177" t="s">
        <v>17</v>
      </c>
      <c r="E375" s="368">
        <v>25</v>
      </c>
      <c r="F375" s="369">
        <v>25</v>
      </c>
      <c r="G375" s="369">
        <v>25</v>
      </c>
      <c r="H375" s="369">
        <v>25</v>
      </c>
      <c r="I375" s="363">
        <f>SUM(Tabla132112412[[#This Row],[PRIMER TRIMESTRE]:[CUARTO TRIMESTRE]])</f>
        <v>100</v>
      </c>
      <c r="J375" s="175"/>
      <c r="K375" s="175"/>
      <c r="L375" s="175"/>
      <c r="M375" s="77"/>
      <c r="N375" s="77"/>
      <c r="O375" s="177"/>
    </row>
    <row r="376" spans="2:15" s="12" customFormat="1" ht="18">
      <c r="B376" s="372" t="s">
        <v>80</v>
      </c>
      <c r="C376" s="454" t="s">
        <v>2126</v>
      </c>
      <c r="D376" s="177" t="s">
        <v>17</v>
      </c>
      <c r="E376" s="368">
        <v>25</v>
      </c>
      <c r="F376" s="369">
        <v>25</v>
      </c>
      <c r="G376" s="369">
        <v>25</v>
      </c>
      <c r="H376" s="369">
        <v>25</v>
      </c>
      <c r="I376" s="363">
        <f>SUM(Tabla132112412[[#This Row],[PRIMER TRIMESTRE]:[CUARTO TRIMESTRE]])</f>
        <v>100</v>
      </c>
      <c r="J376" s="175"/>
      <c r="K376" s="175"/>
      <c r="L376" s="175"/>
      <c r="M376" s="77"/>
      <c r="N376" s="77"/>
      <c r="O376" s="177"/>
    </row>
    <row r="377" spans="2:15" s="12" customFormat="1" ht="18">
      <c r="B377" s="372" t="s">
        <v>80</v>
      </c>
      <c r="C377" s="454" t="s">
        <v>2127</v>
      </c>
      <c r="D377" s="177" t="s">
        <v>17</v>
      </c>
      <c r="E377" s="368">
        <v>50</v>
      </c>
      <c r="F377" s="369">
        <v>25</v>
      </c>
      <c r="G377" s="369">
        <v>50</v>
      </c>
      <c r="H377" s="369">
        <v>25</v>
      </c>
      <c r="I377" s="363">
        <f>SUM(Tabla132112412[[#This Row],[PRIMER TRIMESTRE]:[CUARTO TRIMESTRE]])</f>
        <v>150</v>
      </c>
      <c r="J377" s="175"/>
      <c r="K377" s="175"/>
      <c r="L377" s="175"/>
      <c r="M377" s="77"/>
      <c r="N377" s="77"/>
      <c r="O377" s="177"/>
    </row>
    <row r="378" spans="2:15" s="12" customFormat="1" ht="18">
      <c r="B378" s="372" t="s">
        <v>80</v>
      </c>
      <c r="C378" s="454" t="s">
        <v>2128</v>
      </c>
      <c r="D378" s="177" t="s">
        <v>17</v>
      </c>
      <c r="E378" s="368">
        <v>25</v>
      </c>
      <c r="F378" s="369">
        <v>25</v>
      </c>
      <c r="G378" s="369">
        <v>25</v>
      </c>
      <c r="H378" s="369">
        <v>25</v>
      </c>
      <c r="I378" s="363">
        <f>SUM(Tabla132112412[[#This Row],[PRIMER TRIMESTRE]:[CUARTO TRIMESTRE]])</f>
        <v>100</v>
      </c>
      <c r="J378" s="175"/>
      <c r="K378" s="175"/>
      <c r="L378" s="175"/>
      <c r="M378" s="77"/>
      <c r="N378" s="77"/>
      <c r="O378" s="177"/>
    </row>
    <row r="379" spans="2:15" s="12" customFormat="1" ht="18">
      <c r="B379" s="372" t="s">
        <v>80</v>
      </c>
      <c r="C379" s="77" t="s">
        <v>594</v>
      </c>
      <c r="D379" s="177" t="s">
        <v>17</v>
      </c>
      <c r="E379" s="370">
        <v>175</v>
      </c>
      <c r="F379" s="370">
        <v>175</v>
      </c>
      <c r="G379" s="370">
        <v>175</v>
      </c>
      <c r="H379" s="370">
        <v>175</v>
      </c>
      <c r="I379" s="363">
        <f>SUM(Tabla132112412[[#This Row],[PRIMER TRIMESTRE]:[CUARTO TRIMESTRE]])</f>
        <v>700</v>
      </c>
      <c r="J379" s="175">
        <v>6.37</v>
      </c>
      <c r="K379" s="175">
        <f>+I379*J379</f>
        <v>4459</v>
      </c>
      <c r="L379" s="175"/>
      <c r="M379" s="77" t="s">
        <v>18</v>
      </c>
      <c r="N379" s="77" t="s">
        <v>22</v>
      </c>
      <c r="O379" s="177" t="s">
        <v>418</v>
      </c>
    </row>
    <row r="380" spans="2:15" s="12" customFormat="1" ht="18">
      <c r="B380" s="372" t="s">
        <v>80</v>
      </c>
      <c r="C380" s="77" t="s">
        <v>595</v>
      </c>
      <c r="D380" s="177" t="s">
        <v>17</v>
      </c>
      <c r="E380" s="370">
        <v>175</v>
      </c>
      <c r="F380" s="370">
        <v>175</v>
      </c>
      <c r="G380" s="370">
        <v>175</v>
      </c>
      <c r="H380" s="370">
        <v>175</v>
      </c>
      <c r="I380" s="363">
        <f>SUM(Tabla132112412[[#This Row],[PRIMER TRIMESTRE]:[CUARTO TRIMESTRE]])</f>
        <v>700</v>
      </c>
      <c r="J380" s="175">
        <v>11.82</v>
      </c>
      <c r="K380" s="175">
        <f>+I380*J380</f>
        <v>8274</v>
      </c>
      <c r="L380" s="175"/>
      <c r="M380" s="77" t="s">
        <v>18</v>
      </c>
      <c r="N380" s="77" t="s">
        <v>22</v>
      </c>
      <c r="O380" s="177" t="s">
        <v>418</v>
      </c>
    </row>
    <row r="381" spans="2:15" s="12" customFormat="1" ht="18">
      <c r="B381" s="372" t="s">
        <v>80</v>
      </c>
      <c r="C381" s="77" t="s">
        <v>596</v>
      </c>
      <c r="D381" s="177" t="s">
        <v>17</v>
      </c>
      <c r="E381" s="370">
        <v>75</v>
      </c>
      <c r="F381" s="370">
        <v>75</v>
      </c>
      <c r="G381" s="370">
        <v>75</v>
      </c>
      <c r="H381" s="370">
        <v>75</v>
      </c>
      <c r="I381" s="363">
        <f>SUM(Tabla132112412[[#This Row],[PRIMER TRIMESTRE]:[CUARTO TRIMESTRE]])</f>
        <v>300</v>
      </c>
      <c r="J381" s="175">
        <v>15.46</v>
      </c>
      <c r="K381" s="175">
        <f>+I381*J381</f>
        <v>4638</v>
      </c>
      <c r="L381" s="175"/>
      <c r="M381" s="77" t="s">
        <v>18</v>
      </c>
      <c r="N381" s="77" t="s">
        <v>22</v>
      </c>
      <c r="O381" s="177" t="s">
        <v>418</v>
      </c>
    </row>
    <row r="382" spans="2:15" s="12" customFormat="1" ht="18">
      <c r="B382" s="372" t="s">
        <v>80</v>
      </c>
      <c r="C382" s="77" t="s">
        <v>592</v>
      </c>
      <c r="D382" s="177" t="s">
        <v>17</v>
      </c>
      <c r="E382" s="370">
        <v>75</v>
      </c>
      <c r="F382" s="370">
        <v>25</v>
      </c>
      <c r="G382" s="370">
        <v>50</v>
      </c>
      <c r="H382" s="370">
        <v>25</v>
      </c>
      <c r="I382" s="363">
        <f>SUM(Tabla132112412[[#This Row],[PRIMER TRIMESTRE]:[CUARTO TRIMESTRE]])</f>
        <v>175</v>
      </c>
      <c r="J382" s="175">
        <v>103.84</v>
      </c>
      <c r="K382" s="175">
        <f>+Tabla132112412[[#This Row],[CANTIDAD TOTAL]]*Tabla132112412[[#This Row],[PRECIO UNITARIO ESTIMADO]]</f>
        <v>18172</v>
      </c>
      <c r="L382" s="175"/>
      <c r="M382" s="77" t="s">
        <v>18</v>
      </c>
      <c r="N382" s="77" t="s">
        <v>22</v>
      </c>
      <c r="O382" s="177" t="s">
        <v>418</v>
      </c>
    </row>
    <row r="383" spans="2:15" s="12" customFormat="1" ht="18">
      <c r="B383" s="372" t="s">
        <v>80</v>
      </c>
      <c r="C383" s="77" t="s">
        <v>593</v>
      </c>
      <c r="D383" s="177" t="s">
        <v>17</v>
      </c>
      <c r="E383" s="370">
        <v>52</v>
      </c>
      <c r="F383" s="370">
        <v>0</v>
      </c>
      <c r="G383" s="370">
        <v>27</v>
      </c>
      <c r="H383" s="370">
        <v>0</v>
      </c>
      <c r="I383" s="363">
        <f>SUM(Tabla132112412[[#This Row],[PRIMER TRIMESTRE]:[CUARTO TRIMESTRE]])</f>
        <v>79</v>
      </c>
      <c r="J383" s="175">
        <v>22.42</v>
      </c>
      <c r="K383" s="175">
        <f>+Tabla132112412[[#This Row],[CANTIDAD TOTAL]]*Tabla132112412[[#This Row],[PRECIO UNITARIO ESTIMADO]]</f>
        <v>1771.18</v>
      </c>
      <c r="L383" s="175"/>
      <c r="M383" s="77" t="s">
        <v>18</v>
      </c>
      <c r="N383" s="77" t="s">
        <v>22</v>
      </c>
      <c r="O383" s="177" t="s">
        <v>418</v>
      </c>
    </row>
    <row r="384" spans="2:15" s="12" customFormat="1" ht="18">
      <c r="B384" s="372" t="s">
        <v>80</v>
      </c>
      <c r="C384" s="77" t="s">
        <v>591</v>
      </c>
      <c r="D384" s="177" t="s">
        <v>17</v>
      </c>
      <c r="E384" s="370">
        <v>52</v>
      </c>
      <c r="F384" s="370">
        <v>0</v>
      </c>
      <c r="G384" s="370">
        <v>27</v>
      </c>
      <c r="H384" s="370">
        <v>0</v>
      </c>
      <c r="I384" s="363">
        <f>SUM(Tabla132112412[[#This Row],[PRIMER TRIMESTRE]:[CUARTO TRIMESTRE]])</f>
        <v>79</v>
      </c>
      <c r="J384" s="175">
        <v>489.7</v>
      </c>
      <c r="K384" s="175">
        <f>+Tabla132112412[[#This Row],[CANTIDAD TOTAL]]*Tabla132112412[[#This Row],[PRECIO UNITARIO ESTIMADO]]</f>
        <v>38686.299999999996</v>
      </c>
      <c r="L384" s="175"/>
      <c r="M384" s="77" t="s">
        <v>18</v>
      </c>
      <c r="N384" s="77" t="s">
        <v>22</v>
      </c>
      <c r="O384" s="177" t="s">
        <v>418</v>
      </c>
    </row>
    <row r="385" spans="2:15" s="12" customFormat="1" ht="18">
      <c r="B385" s="372" t="s">
        <v>80</v>
      </c>
      <c r="C385" s="77" t="s">
        <v>1531</v>
      </c>
      <c r="D385" s="177" t="s">
        <v>17</v>
      </c>
      <c r="E385" s="370">
        <v>50</v>
      </c>
      <c r="F385" s="370">
        <v>0</v>
      </c>
      <c r="G385" s="370">
        <v>25</v>
      </c>
      <c r="H385" s="370">
        <v>0</v>
      </c>
      <c r="I385" s="363">
        <f>SUM(Tabla132112412[[#This Row],[PRIMER TRIMESTRE]:[CUARTO TRIMESTRE]])</f>
        <v>75</v>
      </c>
      <c r="J385" s="175">
        <v>486.29</v>
      </c>
      <c r="K385" s="175">
        <f>+I385*J385</f>
        <v>36471.75</v>
      </c>
      <c r="L385" s="175"/>
      <c r="M385" s="77" t="s">
        <v>18</v>
      </c>
      <c r="N385" s="77" t="s">
        <v>22</v>
      </c>
      <c r="O385" s="177" t="s">
        <v>418</v>
      </c>
    </row>
    <row r="386" spans="2:15" s="12" customFormat="1" ht="18">
      <c r="B386" s="372" t="s">
        <v>80</v>
      </c>
      <c r="C386" s="77" t="s">
        <v>616</v>
      </c>
      <c r="D386" s="177" t="s">
        <v>17</v>
      </c>
      <c r="E386" s="370">
        <v>10</v>
      </c>
      <c r="F386" s="370">
        <v>10</v>
      </c>
      <c r="G386" s="370">
        <v>10</v>
      </c>
      <c r="H386" s="370">
        <v>10</v>
      </c>
      <c r="I386" s="363">
        <f>SUM(Tabla132112412[[#This Row],[PRIMER TRIMESTRE]:[CUARTO TRIMESTRE]])</f>
        <v>40</v>
      </c>
      <c r="J386" s="175">
        <v>767</v>
      </c>
      <c r="K386" s="175">
        <f>+Tabla132112412[[#This Row],[CANTIDAD TOTAL]]*Tabla132112412[[#This Row],[PRECIO UNITARIO ESTIMADO]]</f>
        <v>30680</v>
      </c>
      <c r="L386" s="175"/>
      <c r="M386" s="77" t="s">
        <v>18</v>
      </c>
      <c r="N386" s="77" t="s">
        <v>22</v>
      </c>
      <c r="O386" s="177" t="s">
        <v>418</v>
      </c>
    </row>
    <row r="387" spans="2:15" s="12" customFormat="1" ht="18">
      <c r="B387" s="372" t="s">
        <v>80</v>
      </c>
      <c r="C387" s="77" t="s">
        <v>617</v>
      </c>
      <c r="D387" s="177" t="s">
        <v>17</v>
      </c>
      <c r="E387" s="370">
        <v>10</v>
      </c>
      <c r="F387" s="370">
        <v>10</v>
      </c>
      <c r="G387" s="370">
        <v>10</v>
      </c>
      <c r="H387" s="370">
        <v>10</v>
      </c>
      <c r="I387" s="363">
        <f>SUM(Tabla132112412[[#This Row],[PRIMER TRIMESTRE]:[CUARTO TRIMESTRE]])</f>
        <v>40</v>
      </c>
      <c r="J387" s="175">
        <v>1003</v>
      </c>
      <c r="K387" s="175">
        <f t="shared" ref="K387:K403" si="6">+I387*J387</f>
        <v>40120</v>
      </c>
      <c r="L387" s="175"/>
      <c r="M387" s="77" t="s">
        <v>18</v>
      </c>
      <c r="N387" s="77" t="s">
        <v>22</v>
      </c>
      <c r="O387" s="177" t="s">
        <v>418</v>
      </c>
    </row>
    <row r="388" spans="2:15" s="12" customFormat="1" ht="18">
      <c r="B388" s="372" t="s">
        <v>80</v>
      </c>
      <c r="C388" s="77" t="s">
        <v>618</v>
      </c>
      <c r="D388" s="177" t="s">
        <v>17</v>
      </c>
      <c r="E388" s="370">
        <v>10</v>
      </c>
      <c r="F388" s="370">
        <v>10</v>
      </c>
      <c r="G388" s="370">
        <v>10</v>
      </c>
      <c r="H388" s="370">
        <v>10</v>
      </c>
      <c r="I388" s="363">
        <f>SUM(Tabla132112412[[#This Row],[PRIMER TRIMESTRE]:[CUARTO TRIMESTRE]])</f>
        <v>40</v>
      </c>
      <c r="J388" s="175">
        <v>1357</v>
      </c>
      <c r="K388" s="175">
        <f t="shared" si="6"/>
        <v>54280</v>
      </c>
      <c r="L388" s="175"/>
      <c r="M388" s="77" t="s">
        <v>18</v>
      </c>
      <c r="N388" s="77" t="s">
        <v>22</v>
      </c>
      <c r="O388" s="177" t="s">
        <v>418</v>
      </c>
    </row>
    <row r="389" spans="2:15" s="12" customFormat="1" ht="18">
      <c r="B389" s="372" t="s">
        <v>80</v>
      </c>
      <c r="C389" s="77" t="s">
        <v>619</v>
      </c>
      <c r="D389" s="177" t="s">
        <v>17</v>
      </c>
      <c r="E389" s="370">
        <v>5</v>
      </c>
      <c r="F389" s="370">
        <v>5</v>
      </c>
      <c r="G389" s="370">
        <v>5</v>
      </c>
      <c r="H389" s="370">
        <v>5</v>
      </c>
      <c r="I389" s="363">
        <f>SUM(Tabla132112412[[#This Row],[PRIMER TRIMESTRE]:[CUARTO TRIMESTRE]])</f>
        <v>20</v>
      </c>
      <c r="J389" s="175">
        <v>2950</v>
      </c>
      <c r="K389" s="175">
        <f t="shared" si="6"/>
        <v>59000</v>
      </c>
      <c r="L389" s="175"/>
      <c r="M389" s="77" t="s">
        <v>18</v>
      </c>
      <c r="N389" s="77" t="s">
        <v>22</v>
      </c>
      <c r="O389" s="177" t="s">
        <v>418</v>
      </c>
    </row>
    <row r="390" spans="2:15" s="12" customFormat="1" ht="18">
      <c r="B390" s="372" t="s">
        <v>80</v>
      </c>
      <c r="C390" s="77" t="s">
        <v>620</v>
      </c>
      <c r="D390" s="177" t="s">
        <v>17</v>
      </c>
      <c r="E390" s="370">
        <v>5</v>
      </c>
      <c r="F390" s="370">
        <v>5</v>
      </c>
      <c r="G390" s="370">
        <v>5</v>
      </c>
      <c r="H390" s="370">
        <v>5</v>
      </c>
      <c r="I390" s="363">
        <f>SUM(Tabla132112412[[#This Row],[PRIMER TRIMESTRE]:[CUARTO TRIMESTRE]])</f>
        <v>20</v>
      </c>
      <c r="J390" s="175">
        <v>4484</v>
      </c>
      <c r="K390" s="175">
        <f t="shared" si="6"/>
        <v>89680</v>
      </c>
      <c r="L390" s="175"/>
      <c r="M390" s="77" t="s">
        <v>18</v>
      </c>
      <c r="N390" s="77" t="s">
        <v>22</v>
      </c>
      <c r="O390" s="177" t="s">
        <v>418</v>
      </c>
    </row>
    <row r="391" spans="2:15" s="12" customFormat="1" ht="18">
      <c r="B391" s="372" t="s">
        <v>80</v>
      </c>
      <c r="C391" s="77" t="s">
        <v>621</v>
      </c>
      <c r="D391" s="177" t="s">
        <v>17</v>
      </c>
      <c r="E391" s="370">
        <v>0</v>
      </c>
      <c r="F391" s="370">
        <v>0</v>
      </c>
      <c r="G391" s="370">
        <v>0</v>
      </c>
      <c r="H391" s="370">
        <v>0</v>
      </c>
      <c r="I391" s="363">
        <f>SUM(Tabla132112412[[#This Row],[PRIMER TRIMESTRE]:[CUARTO TRIMESTRE]])</f>
        <v>0</v>
      </c>
      <c r="J391" s="175">
        <v>6372</v>
      </c>
      <c r="K391" s="175">
        <f t="shared" si="6"/>
        <v>0</v>
      </c>
      <c r="L391" s="175"/>
      <c r="M391" s="77" t="s">
        <v>18</v>
      </c>
      <c r="N391" s="77" t="s">
        <v>22</v>
      </c>
      <c r="O391" s="177" t="s">
        <v>418</v>
      </c>
    </row>
    <row r="392" spans="2:15" s="12" customFormat="1" ht="18">
      <c r="B392" s="372" t="s">
        <v>80</v>
      </c>
      <c r="C392" s="77" t="s">
        <v>622</v>
      </c>
      <c r="D392" s="177" t="s">
        <v>17</v>
      </c>
      <c r="E392" s="370">
        <v>5</v>
      </c>
      <c r="F392" s="370">
        <v>5</v>
      </c>
      <c r="G392" s="370">
        <v>5</v>
      </c>
      <c r="H392" s="370">
        <v>5</v>
      </c>
      <c r="I392" s="363">
        <f>SUM(Tabla132112412[[#This Row],[PRIMER TRIMESTRE]:[CUARTO TRIMESTRE]])</f>
        <v>20</v>
      </c>
      <c r="J392" s="175">
        <v>11092</v>
      </c>
      <c r="K392" s="175">
        <f t="shared" si="6"/>
        <v>221840</v>
      </c>
      <c r="L392" s="175"/>
      <c r="M392" s="77" t="s">
        <v>18</v>
      </c>
      <c r="N392" s="77" t="s">
        <v>22</v>
      </c>
      <c r="O392" s="177" t="s">
        <v>418</v>
      </c>
    </row>
    <row r="393" spans="2:15" s="12" customFormat="1" ht="18">
      <c r="B393" s="372" t="s">
        <v>80</v>
      </c>
      <c r="C393" s="77" t="s">
        <v>623</v>
      </c>
      <c r="D393" s="177" t="s">
        <v>17</v>
      </c>
      <c r="E393" s="370">
        <v>5</v>
      </c>
      <c r="F393" s="370">
        <v>5</v>
      </c>
      <c r="G393" s="370">
        <v>5</v>
      </c>
      <c r="H393" s="370">
        <v>5</v>
      </c>
      <c r="I393" s="363">
        <f>SUM(Tabla132112412[[#This Row],[PRIMER TRIMESTRE]:[CUARTO TRIMESTRE]])</f>
        <v>20</v>
      </c>
      <c r="J393" s="175">
        <v>13924</v>
      </c>
      <c r="K393" s="175">
        <f t="shared" si="6"/>
        <v>278480</v>
      </c>
      <c r="L393" s="175"/>
      <c r="M393" s="77" t="s">
        <v>18</v>
      </c>
      <c r="N393" s="77" t="s">
        <v>22</v>
      </c>
      <c r="O393" s="177" t="s">
        <v>418</v>
      </c>
    </row>
    <row r="394" spans="2:15" s="12" customFormat="1" ht="18">
      <c r="B394" s="372" t="s">
        <v>80</v>
      </c>
      <c r="C394" s="77" t="s">
        <v>624</v>
      </c>
      <c r="D394" s="177" t="s">
        <v>17</v>
      </c>
      <c r="E394" s="370">
        <v>5</v>
      </c>
      <c r="F394" s="370">
        <v>0</v>
      </c>
      <c r="G394" s="370">
        <v>5</v>
      </c>
      <c r="H394" s="370">
        <v>5</v>
      </c>
      <c r="I394" s="363">
        <f>SUM(Tabla132112412[[#This Row],[PRIMER TRIMESTRE]:[CUARTO TRIMESTRE]])</f>
        <v>15</v>
      </c>
      <c r="J394" s="175">
        <v>20886</v>
      </c>
      <c r="K394" s="175">
        <f t="shared" si="6"/>
        <v>313290</v>
      </c>
      <c r="L394" s="175"/>
      <c r="M394" s="77" t="s">
        <v>18</v>
      </c>
      <c r="N394" s="77" t="s">
        <v>22</v>
      </c>
      <c r="O394" s="177" t="s">
        <v>418</v>
      </c>
    </row>
    <row r="395" spans="2:15" s="12" customFormat="1" ht="18">
      <c r="B395" s="372" t="s">
        <v>80</v>
      </c>
      <c r="C395" s="77" t="s">
        <v>625</v>
      </c>
      <c r="D395" s="177" t="s">
        <v>17</v>
      </c>
      <c r="E395" s="370">
        <v>10</v>
      </c>
      <c r="F395" s="370">
        <v>10</v>
      </c>
      <c r="G395" s="370">
        <v>10</v>
      </c>
      <c r="H395" s="370">
        <v>10</v>
      </c>
      <c r="I395" s="363">
        <f>SUM(Tabla132112412[[#This Row],[PRIMER TRIMESTRE]:[CUARTO TRIMESTRE]])</f>
        <v>40</v>
      </c>
      <c r="J395" s="175">
        <v>1121</v>
      </c>
      <c r="K395" s="175">
        <f t="shared" si="6"/>
        <v>44840</v>
      </c>
      <c r="L395" s="175"/>
      <c r="M395" s="77" t="s">
        <v>18</v>
      </c>
      <c r="N395" s="77" t="s">
        <v>22</v>
      </c>
      <c r="O395" s="177" t="s">
        <v>418</v>
      </c>
    </row>
    <row r="396" spans="2:15" s="12" customFormat="1" ht="18">
      <c r="B396" s="372" t="s">
        <v>80</v>
      </c>
      <c r="C396" s="77" t="s">
        <v>626</v>
      </c>
      <c r="D396" s="177" t="s">
        <v>17</v>
      </c>
      <c r="E396" s="370">
        <v>10</v>
      </c>
      <c r="F396" s="370">
        <v>10</v>
      </c>
      <c r="G396" s="370">
        <v>10</v>
      </c>
      <c r="H396" s="370">
        <v>10</v>
      </c>
      <c r="I396" s="363">
        <f>SUM(Tabla132112412[[#This Row],[PRIMER TRIMESTRE]:[CUARTO TRIMESTRE]])</f>
        <v>40</v>
      </c>
      <c r="J396" s="175">
        <v>1239</v>
      </c>
      <c r="K396" s="175">
        <f t="shared" si="6"/>
        <v>49560</v>
      </c>
      <c r="L396" s="175"/>
      <c r="M396" s="77" t="s">
        <v>18</v>
      </c>
      <c r="N396" s="77" t="s">
        <v>22</v>
      </c>
      <c r="O396" s="177" t="s">
        <v>418</v>
      </c>
    </row>
    <row r="397" spans="2:15" s="12" customFormat="1" ht="18">
      <c r="B397" s="372" t="s">
        <v>80</v>
      </c>
      <c r="C397" s="77" t="s">
        <v>627</v>
      </c>
      <c r="D397" s="177" t="s">
        <v>17</v>
      </c>
      <c r="E397" s="370">
        <v>10</v>
      </c>
      <c r="F397" s="370">
        <v>10</v>
      </c>
      <c r="G397" s="370">
        <v>10</v>
      </c>
      <c r="H397" s="370">
        <v>10</v>
      </c>
      <c r="I397" s="363">
        <f>SUM(Tabla132112412[[#This Row],[PRIMER TRIMESTRE]:[CUARTO TRIMESTRE]])</f>
        <v>40</v>
      </c>
      <c r="J397" s="175">
        <v>1593</v>
      </c>
      <c r="K397" s="175">
        <f t="shared" si="6"/>
        <v>63720</v>
      </c>
      <c r="L397" s="175"/>
      <c r="M397" s="77" t="s">
        <v>18</v>
      </c>
      <c r="N397" s="77" t="s">
        <v>22</v>
      </c>
      <c r="O397" s="177" t="s">
        <v>418</v>
      </c>
    </row>
    <row r="398" spans="2:15" s="12" customFormat="1" ht="18">
      <c r="B398" s="372" t="s">
        <v>80</v>
      </c>
      <c r="C398" s="77" t="s">
        <v>628</v>
      </c>
      <c r="D398" s="177" t="s">
        <v>17</v>
      </c>
      <c r="E398" s="370">
        <v>10</v>
      </c>
      <c r="F398" s="370">
        <v>10</v>
      </c>
      <c r="G398" s="370">
        <v>10</v>
      </c>
      <c r="H398" s="370">
        <v>10</v>
      </c>
      <c r="I398" s="363">
        <f>SUM(Tabla132112412[[#This Row],[PRIMER TRIMESTRE]:[CUARTO TRIMESTRE]])</f>
        <v>40</v>
      </c>
      <c r="J398" s="175">
        <v>3717</v>
      </c>
      <c r="K398" s="175">
        <f t="shared" si="6"/>
        <v>148680</v>
      </c>
      <c r="L398" s="175"/>
      <c r="M398" s="77" t="s">
        <v>18</v>
      </c>
      <c r="N398" s="77" t="s">
        <v>22</v>
      </c>
      <c r="O398" s="177" t="s">
        <v>418</v>
      </c>
    </row>
    <row r="399" spans="2:15" s="12" customFormat="1" ht="18">
      <c r="B399" s="372" t="s">
        <v>80</v>
      </c>
      <c r="C399" s="77" t="s">
        <v>629</v>
      </c>
      <c r="D399" s="177" t="s">
        <v>17</v>
      </c>
      <c r="E399" s="370">
        <v>10</v>
      </c>
      <c r="F399" s="370">
        <v>10</v>
      </c>
      <c r="G399" s="370">
        <v>10</v>
      </c>
      <c r="H399" s="370">
        <v>10</v>
      </c>
      <c r="I399" s="363">
        <f>SUM(Tabla132112412[[#This Row],[PRIMER TRIMESTRE]:[CUARTO TRIMESTRE]])</f>
        <v>40</v>
      </c>
      <c r="J399" s="175">
        <v>5133</v>
      </c>
      <c r="K399" s="175">
        <f t="shared" si="6"/>
        <v>205320</v>
      </c>
      <c r="L399" s="175"/>
      <c r="M399" s="77" t="s">
        <v>18</v>
      </c>
      <c r="N399" s="77" t="s">
        <v>22</v>
      </c>
      <c r="O399" s="177" t="s">
        <v>418</v>
      </c>
    </row>
    <row r="400" spans="2:15" s="12" customFormat="1" ht="18">
      <c r="B400" s="372" t="s">
        <v>80</v>
      </c>
      <c r="C400" s="77" t="s">
        <v>630</v>
      </c>
      <c r="D400" s="177" t="s">
        <v>17</v>
      </c>
      <c r="E400" s="370">
        <v>0</v>
      </c>
      <c r="F400" s="370">
        <v>0</v>
      </c>
      <c r="G400" s="370">
        <v>0</v>
      </c>
      <c r="H400" s="370">
        <v>0</v>
      </c>
      <c r="I400" s="363">
        <f>SUM(Tabla132112412[[#This Row],[PRIMER TRIMESTRE]:[CUARTO TRIMESTRE]])</f>
        <v>0</v>
      </c>
      <c r="J400" s="175">
        <v>7127</v>
      </c>
      <c r="K400" s="175">
        <f t="shared" si="6"/>
        <v>0</v>
      </c>
      <c r="L400" s="175"/>
      <c r="M400" s="77" t="s">
        <v>18</v>
      </c>
      <c r="N400" s="77" t="s">
        <v>22</v>
      </c>
      <c r="O400" s="177" t="s">
        <v>418</v>
      </c>
    </row>
    <row r="401" spans="2:15" s="12" customFormat="1" ht="18">
      <c r="B401" s="372" t="s">
        <v>80</v>
      </c>
      <c r="C401" s="77" t="s">
        <v>631</v>
      </c>
      <c r="D401" s="177" t="s">
        <v>17</v>
      </c>
      <c r="E401" s="370">
        <v>5</v>
      </c>
      <c r="F401" s="370">
        <v>5</v>
      </c>
      <c r="G401" s="370">
        <v>5</v>
      </c>
      <c r="H401" s="370">
        <v>5</v>
      </c>
      <c r="I401" s="363">
        <f>SUM(Tabla132112412[[#This Row],[PRIMER TRIMESTRE]:[CUARTO TRIMESTRE]])</f>
        <v>20</v>
      </c>
      <c r="J401" s="175">
        <v>12580</v>
      </c>
      <c r="K401" s="175">
        <f t="shared" si="6"/>
        <v>251600</v>
      </c>
      <c r="L401" s="175"/>
      <c r="M401" s="77" t="s">
        <v>18</v>
      </c>
      <c r="N401" s="77" t="s">
        <v>22</v>
      </c>
      <c r="O401" s="177" t="s">
        <v>418</v>
      </c>
    </row>
    <row r="402" spans="2:15" s="12" customFormat="1" ht="18">
      <c r="B402" s="372" t="s">
        <v>80</v>
      </c>
      <c r="C402" s="77" t="s">
        <v>632</v>
      </c>
      <c r="D402" s="177" t="s">
        <v>17</v>
      </c>
      <c r="E402" s="370">
        <v>5</v>
      </c>
      <c r="F402" s="370">
        <v>5</v>
      </c>
      <c r="G402" s="370">
        <v>5</v>
      </c>
      <c r="H402" s="370">
        <v>5</v>
      </c>
      <c r="I402" s="363">
        <f>SUM(Tabla132112412[[#This Row],[PRIMER TRIMESTRE]:[CUARTO TRIMESTRE]])</f>
        <v>20</v>
      </c>
      <c r="J402" s="175">
        <v>15045</v>
      </c>
      <c r="K402" s="175">
        <f t="shared" si="6"/>
        <v>300900</v>
      </c>
      <c r="L402" s="175"/>
      <c r="M402" s="77" t="s">
        <v>18</v>
      </c>
      <c r="N402" s="77" t="s">
        <v>22</v>
      </c>
      <c r="O402" s="177" t="s">
        <v>418</v>
      </c>
    </row>
    <row r="403" spans="2:15" s="12" customFormat="1" ht="18">
      <c r="B403" s="372" t="s">
        <v>80</v>
      </c>
      <c r="C403" s="77" t="s">
        <v>633</v>
      </c>
      <c r="D403" s="177" t="s">
        <v>17</v>
      </c>
      <c r="E403" s="370">
        <v>5</v>
      </c>
      <c r="F403" s="370">
        <v>0</v>
      </c>
      <c r="G403" s="370">
        <v>5</v>
      </c>
      <c r="H403" s="370">
        <v>0</v>
      </c>
      <c r="I403" s="363">
        <f>SUM(Tabla132112412[[#This Row],[PRIMER TRIMESTRE]:[CUARTO TRIMESTRE]])</f>
        <v>10</v>
      </c>
      <c r="J403" s="175">
        <v>22396.400000000001</v>
      </c>
      <c r="K403" s="175">
        <f t="shared" si="6"/>
        <v>223964</v>
      </c>
      <c r="L403" s="175"/>
      <c r="M403" s="77" t="s">
        <v>18</v>
      </c>
      <c r="N403" s="77" t="s">
        <v>22</v>
      </c>
      <c r="O403" s="177" t="s">
        <v>418</v>
      </c>
    </row>
    <row r="404" spans="2:15" s="12" customFormat="1" ht="18">
      <c r="B404" s="372" t="s">
        <v>80</v>
      </c>
      <c r="C404" s="77" t="s">
        <v>129</v>
      </c>
      <c r="D404" s="177" t="s">
        <v>17</v>
      </c>
      <c r="E404" s="370">
        <v>890</v>
      </c>
      <c r="F404" s="370">
        <v>890</v>
      </c>
      <c r="G404" s="370">
        <v>890</v>
      </c>
      <c r="H404" s="370">
        <v>890</v>
      </c>
      <c r="I404" s="363">
        <f>SUM(Tabla132112412[[#This Row],[PRIMER TRIMESTRE]:[CUARTO TRIMESTRE]])</f>
        <v>3560</v>
      </c>
      <c r="J404" s="175">
        <v>3.52</v>
      </c>
      <c r="K404" s="175">
        <f>+Tabla132112412[[#This Row],[CANTIDAD TOTAL]]*Tabla132112412[[#This Row],[PRECIO UNITARIO ESTIMADO]]</f>
        <v>12531.2</v>
      </c>
      <c r="L404" s="175"/>
      <c r="M404" s="77" t="s">
        <v>18</v>
      </c>
      <c r="N404" s="77" t="s">
        <v>22</v>
      </c>
      <c r="O404" s="177" t="s">
        <v>418</v>
      </c>
    </row>
    <row r="405" spans="2:15" s="12" customFormat="1" ht="18">
      <c r="B405" s="372" t="s">
        <v>80</v>
      </c>
      <c r="C405" s="77" t="s">
        <v>131</v>
      </c>
      <c r="D405" s="177" t="s">
        <v>17</v>
      </c>
      <c r="E405" s="370">
        <v>960</v>
      </c>
      <c r="F405" s="370">
        <v>960</v>
      </c>
      <c r="G405" s="370">
        <v>960</v>
      </c>
      <c r="H405" s="370">
        <v>960</v>
      </c>
      <c r="I405" s="363">
        <f>SUM(Tabla132112412[[#This Row],[PRIMER TRIMESTRE]:[CUARTO TRIMESTRE]])</f>
        <v>3840</v>
      </c>
      <c r="J405" s="175">
        <v>5.86</v>
      </c>
      <c r="K405" s="175">
        <f>+Tabla132112412[[#This Row],[CANTIDAD TOTAL]]*Tabla132112412[[#This Row],[PRECIO UNITARIO ESTIMADO]]</f>
        <v>22502.400000000001</v>
      </c>
      <c r="L405" s="175"/>
      <c r="M405" s="77" t="s">
        <v>18</v>
      </c>
      <c r="N405" s="77" t="s">
        <v>22</v>
      </c>
      <c r="O405" s="177" t="s">
        <v>418</v>
      </c>
    </row>
    <row r="406" spans="2:15" s="12" customFormat="1" ht="18">
      <c r="B406" s="372" t="s">
        <v>80</v>
      </c>
      <c r="C406" s="77" t="s">
        <v>473</v>
      </c>
      <c r="D406" s="177" t="s">
        <v>17</v>
      </c>
      <c r="E406" s="370">
        <v>375</v>
      </c>
      <c r="F406" s="370">
        <v>375</v>
      </c>
      <c r="G406" s="370">
        <v>375</v>
      </c>
      <c r="H406" s="370">
        <v>375</v>
      </c>
      <c r="I406" s="363">
        <f>SUM(Tabla132112412[[#This Row],[PRIMER TRIMESTRE]:[CUARTO TRIMESTRE]])</f>
        <v>1500</v>
      </c>
      <c r="J406" s="175">
        <v>15.46</v>
      </c>
      <c r="K406" s="175">
        <f>+I406*J406</f>
        <v>23190</v>
      </c>
      <c r="L406" s="175"/>
      <c r="M406" s="77" t="s">
        <v>18</v>
      </c>
      <c r="N406" s="77" t="s">
        <v>22</v>
      </c>
      <c r="O406" s="177" t="s">
        <v>418</v>
      </c>
    </row>
    <row r="407" spans="2:15" s="12" customFormat="1" ht="18">
      <c r="B407" s="372" t="s">
        <v>80</v>
      </c>
      <c r="C407" s="77" t="s">
        <v>661</v>
      </c>
      <c r="D407" s="177" t="s">
        <v>17</v>
      </c>
      <c r="E407" s="370">
        <v>110</v>
      </c>
      <c r="F407" s="370">
        <v>40</v>
      </c>
      <c r="G407" s="370">
        <v>40</v>
      </c>
      <c r="H407" s="370">
        <v>40</v>
      </c>
      <c r="I407" s="363">
        <f>SUM(Tabla132112412[[#This Row],[PRIMER TRIMESTRE]:[CUARTO TRIMESTRE]])</f>
        <v>230</v>
      </c>
      <c r="J407" s="175">
        <v>15.46</v>
      </c>
      <c r="K407" s="175">
        <f>+I407*J407</f>
        <v>3555.8</v>
      </c>
      <c r="L407" s="175"/>
      <c r="M407" s="77" t="s">
        <v>18</v>
      </c>
      <c r="N407" s="77" t="s">
        <v>22</v>
      </c>
      <c r="O407" s="177" t="s">
        <v>418</v>
      </c>
    </row>
    <row r="408" spans="2:15" s="12" customFormat="1" ht="18">
      <c r="B408" s="372" t="s">
        <v>80</v>
      </c>
      <c r="C408" s="77" t="s">
        <v>133</v>
      </c>
      <c r="D408" s="177" t="s">
        <v>17</v>
      </c>
      <c r="E408" s="370">
        <v>112</v>
      </c>
      <c r="F408" s="370">
        <v>112</v>
      </c>
      <c r="G408" s="370">
        <v>112</v>
      </c>
      <c r="H408" s="370">
        <v>112</v>
      </c>
      <c r="I408" s="363">
        <f>SUM(Tabla132112412[[#This Row],[PRIMER TRIMESTRE]:[CUARTO TRIMESTRE]])</f>
        <v>448</v>
      </c>
      <c r="J408" s="175">
        <v>40.17</v>
      </c>
      <c r="K408" s="175">
        <f>+Tabla132112412[[#This Row],[CANTIDAD TOTAL]]*Tabla132112412[[#This Row],[PRECIO UNITARIO ESTIMADO]]</f>
        <v>17996.16</v>
      </c>
      <c r="L408" s="175"/>
      <c r="M408" s="77" t="s">
        <v>18</v>
      </c>
      <c r="N408" s="77" t="s">
        <v>22</v>
      </c>
      <c r="O408" s="177" t="s">
        <v>418</v>
      </c>
    </row>
    <row r="409" spans="2:15" s="12" customFormat="1" ht="18">
      <c r="B409" s="372" t="s">
        <v>80</v>
      </c>
      <c r="C409" s="77" t="s">
        <v>135</v>
      </c>
      <c r="D409" s="177" t="s">
        <v>17</v>
      </c>
      <c r="E409" s="370">
        <v>112</v>
      </c>
      <c r="F409" s="370">
        <v>112</v>
      </c>
      <c r="G409" s="370">
        <v>112</v>
      </c>
      <c r="H409" s="370">
        <v>112</v>
      </c>
      <c r="I409" s="363">
        <f>SUM(Tabla132112412[[#This Row],[PRIMER TRIMESTRE]:[CUARTO TRIMESTRE]])</f>
        <v>448</v>
      </c>
      <c r="J409" s="175">
        <v>116.85</v>
      </c>
      <c r="K409" s="175">
        <f>+Tabla132112412[[#This Row],[CANTIDAD TOTAL]]*Tabla132112412[[#This Row],[PRECIO UNITARIO ESTIMADO]]</f>
        <v>52348.799999999996</v>
      </c>
      <c r="L409" s="175"/>
      <c r="M409" s="77" t="s">
        <v>18</v>
      </c>
      <c r="N409" s="77" t="s">
        <v>22</v>
      </c>
      <c r="O409" s="177" t="s">
        <v>418</v>
      </c>
    </row>
    <row r="410" spans="2:15" s="12" customFormat="1" ht="18">
      <c r="B410" s="372" t="s">
        <v>80</v>
      </c>
      <c r="C410" s="77" t="s">
        <v>597</v>
      </c>
      <c r="D410" s="177" t="s">
        <v>17</v>
      </c>
      <c r="E410" s="370">
        <v>112</v>
      </c>
      <c r="F410" s="370">
        <v>112</v>
      </c>
      <c r="G410" s="370">
        <v>112</v>
      </c>
      <c r="H410" s="370">
        <v>112</v>
      </c>
      <c r="I410" s="363">
        <f>SUM(Tabla132112412[[#This Row],[PRIMER TRIMESTRE]:[CUARTO TRIMESTRE]])</f>
        <v>448</v>
      </c>
      <c r="J410" s="175">
        <v>107.31</v>
      </c>
      <c r="K410" s="175">
        <f t="shared" ref="K410:K420" si="7">+I410*J410</f>
        <v>48074.880000000005</v>
      </c>
      <c r="L410" s="175"/>
      <c r="M410" s="77" t="s">
        <v>18</v>
      </c>
      <c r="N410" s="77" t="s">
        <v>22</v>
      </c>
      <c r="O410" s="177" t="s">
        <v>418</v>
      </c>
    </row>
    <row r="411" spans="2:15" s="12" customFormat="1" ht="18">
      <c r="B411" s="372" t="s">
        <v>80</v>
      </c>
      <c r="C411" s="77" t="s">
        <v>1532</v>
      </c>
      <c r="D411" s="177" t="s">
        <v>17</v>
      </c>
      <c r="E411" s="370">
        <v>27</v>
      </c>
      <c r="F411" s="370">
        <v>27</v>
      </c>
      <c r="G411" s="370">
        <v>27</v>
      </c>
      <c r="H411" s="370">
        <v>27</v>
      </c>
      <c r="I411" s="363">
        <f>SUM(Tabla132112412[[#This Row],[PRIMER TRIMESTRE]:[CUARTO TRIMESTRE]])</f>
        <v>108</v>
      </c>
      <c r="J411" s="175">
        <v>300</v>
      </c>
      <c r="K411" s="175">
        <f t="shared" si="7"/>
        <v>32400</v>
      </c>
      <c r="L411" s="175"/>
      <c r="M411" s="77" t="s">
        <v>18</v>
      </c>
      <c r="N411" s="77" t="s">
        <v>22</v>
      </c>
      <c r="O411" s="177" t="s">
        <v>418</v>
      </c>
    </row>
    <row r="412" spans="2:15" s="12" customFormat="1" ht="18">
      <c r="B412" s="372" t="s">
        <v>80</v>
      </c>
      <c r="C412" s="77" t="s">
        <v>1533</v>
      </c>
      <c r="D412" s="177" t="s">
        <v>17</v>
      </c>
      <c r="E412" s="370">
        <v>14</v>
      </c>
      <c r="F412" s="370">
        <v>14</v>
      </c>
      <c r="G412" s="370">
        <v>14</v>
      </c>
      <c r="H412" s="370">
        <v>14</v>
      </c>
      <c r="I412" s="363">
        <f>SUM(Tabla132112412[[#This Row],[PRIMER TRIMESTRE]:[CUARTO TRIMESTRE]])</f>
        <v>56</v>
      </c>
      <c r="J412" s="175">
        <v>845.5</v>
      </c>
      <c r="K412" s="175">
        <f t="shared" si="7"/>
        <v>47348</v>
      </c>
      <c r="L412" s="175"/>
      <c r="M412" s="77" t="s">
        <v>18</v>
      </c>
      <c r="N412" s="77" t="s">
        <v>22</v>
      </c>
      <c r="O412" s="177" t="s">
        <v>418</v>
      </c>
    </row>
    <row r="413" spans="2:15" s="12" customFormat="1" ht="18">
      <c r="B413" s="372" t="s">
        <v>80</v>
      </c>
      <c r="C413" s="77" t="s">
        <v>1535</v>
      </c>
      <c r="D413" s="177" t="s">
        <v>17</v>
      </c>
      <c r="E413" s="370">
        <v>18</v>
      </c>
      <c r="F413" s="370">
        <v>13</v>
      </c>
      <c r="G413" s="370">
        <v>18</v>
      </c>
      <c r="H413" s="370">
        <v>13</v>
      </c>
      <c r="I413" s="363">
        <f>SUM(Tabla132112412[[#This Row],[PRIMER TRIMESTRE]:[CUARTO TRIMESTRE]])</f>
        <v>62</v>
      </c>
      <c r="J413" s="175">
        <v>3192.99</v>
      </c>
      <c r="K413" s="175">
        <f t="shared" si="7"/>
        <v>197965.37999999998</v>
      </c>
      <c r="L413" s="175"/>
      <c r="M413" s="77" t="s">
        <v>18</v>
      </c>
      <c r="N413" s="77" t="s">
        <v>22</v>
      </c>
      <c r="O413" s="177" t="s">
        <v>418</v>
      </c>
    </row>
    <row r="414" spans="2:15" s="12" customFormat="1" ht="18">
      <c r="B414" s="372" t="s">
        <v>80</v>
      </c>
      <c r="C414" s="77" t="s">
        <v>1724</v>
      </c>
      <c r="D414" s="177" t="s">
        <v>17</v>
      </c>
      <c r="E414" s="370">
        <v>15</v>
      </c>
      <c r="F414" s="370">
        <v>15</v>
      </c>
      <c r="G414" s="370">
        <v>15</v>
      </c>
      <c r="H414" s="370">
        <v>15</v>
      </c>
      <c r="I414" s="363">
        <f>SUM(Tabla132112412[[#This Row],[PRIMER TRIMESTRE]:[CUARTO TRIMESTRE]])</f>
        <v>60</v>
      </c>
      <c r="J414" s="175">
        <v>0</v>
      </c>
      <c r="K414" s="175">
        <v>0</v>
      </c>
      <c r="L414" s="175"/>
      <c r="M414" s="77" t="s">
        <v>18</v>
      </c>
      <c r="N414" s="77" t="s">
        <v>22</v>
      </c>
      <c r="O414" s="177" t="s">
        <v>418</v>
      </c>
    </row>
    <row r="415" spans="2:15" s="12" customFormat="1" ht="51">
      <c r="B415" s="372" t="s">
        <v>80</v>
      </c>
      <c r="C415" s="77" t="s">
        <v>1536</v>
      </c>
      <c r="D415" s="177" t="s">
        <v>17</v>
      </c>
      <c r="E415" s="370">
        <v>2</v>
      </c>
      <c r="F415" s="370">
        <v>0</v>
      </c>
      <c r="G415" s="370">
        <v>0</v>
      </c>
      <c r="H415" s="370">
        <v>0</v>
      </c>
      <c r="I415" s="363">
        <f>SUM(Tabla132112412[[#This Row],[PRIMER TRIMESTRE]:[CUARTO TRIMESTRE]])</f>
        <v>2</v>
      </c>
      <c r="J415" s="175">
        <v>45017.279999999999</v>
      </c>
      <c r="K415" s="175">
        <f t="shared" si="7"/>
        <v>90034.559999999998</v>
      </c>
      <c r="L415" s="175"/>
      <c r="M415" s="77" t="s">
        <v>18</v>
      </c>
      <c r="N415" s="77" t="s">
        <v>22</v>
      </c>
      <c r="O415" s="177" t="s">
        <v>418</v>
      </c>
    </row>
    <row r="416" spans="2:15" s="12" customFormat="1" ht="18">
      <c r="B416" s="372" t="s">
        <v>80</v>
      </c>
      <c r="C416" s="77" t="s">
        <v>1340</v>
      </c>
      <c r="D416" s="177" t="s">
        <v>17</v>
      </c>
      <c r="E416" s="370">
        <v>10</v>
      </c>
      <c r="F416" s="370">
        <v>10</v>
      </c>
      <c r="G416" s="370">
        <v>10</v>
      </c>
      <c r="H416" s="370">
        <v>10</v>
      </c>
      <c r="I416" s="363">
        <f>SUM(Tabla132112412[[#This Row],[PRIMER TRIMESTRE]:[CUARTO TRIMESTRE]])</f>
        <v>40</v>
      </c>
      <c r="J416" s="175">
        <v>348.1</v>
      </c>
      <c r="K416" s="175">
        <f t="shared" si="7"/>
        <v>13924</v>
      </c>
      <c r="L416" s="175"/>
      <c r="M416" s="77" t="s">
        <v>18</v>
      </c>
      <c r="N416" s="77" t="s">
        <v>22</v>
      </c>
      <c r="O416" s="177" t="s">
        <v>418</v>
      </c>
    </row>
    <row r="417" spans="2:15" s="12" customFormat="1" ht="18">
      <c r="B417" s="372" t="s">
        <v>80</v>
      </c>
      <c r="C417" s="77" t="s">
        <v>1537</v>
      </c>
      <c r="D417" s="177" t="s">
        <v>17</v>
      </c>
      <c r="E417" s="370">
        <v>1</v>
      </c>
      <c r="F417" s="370">
        <v>0</v>
      </c>
      <c r="G417" s="370">
        <v>0</v>
      </c>
      <c r="H417" s="370">
        <v>0</v>
      </c>
      <c r="I417" s="363">
        <f>SUM(Tabla132112412[[#This Row],[PRIMER TRIMESTRE]:[CUARTO TRIMESTRE]])</f>
        <v>1</v>
      </c>
      <c r="J417" s="175">
        <v>7623.81</v>
      </c>
      <c r="K417" s="175">
        <f t="shared" si="7"/>
        <v>7623.81</v>
      </c>
      <c r="L417" s="175"/>
      <c r="M417" s="77" t="s">
        <v>18</v>
      </c>
      <c r="N417" s="77" t="s">
        <v>22</v>
      </c>
      <c r="O417" s="177" t="s">
        <v>418</v>
      </c>
    </row>
    <row r="418" spans="2:15" s="12" customFormat="1" ht="18">
      <c r="B418" s="372" t="s">
        <v>80</v>
      </c>
      <c r="C418" s="77" t="s">
        <v>1341</v>
      </c>
      <c r="D418" s="177" t="s">
        <v>17</v>
      </c>
      <c r="E418" s="370">
        <v>56</v>
      </c>
      <c r="F418" s="370">
        <v>56</v>
      </c>
      <c r="G418" s="370">
        <v>56</v>
      </c>
      <c r="H418" s="370">
        <v>56</v>
      </c>
      <c r="I418" s="363">
        <f>SUM(Tabla132112412[[#This Row],[PRIMER TRIMESTRE]:[CUARTO TRIMESTRE]])</f>
        <v>224</v>
      </c>
      <c r="J418" s="175">
        <v>88.5</v>
      </c>
      <c r="K418" s="175">
        <f t="shared" si="7"/>
        <v>19824</v>
      </c>
      <c r="L418" s="175"/>
      <c r="M418" s="77" t="s">
        <v>18</v>
      </c>
      <c r="N418" s="77" t="s">
        <v>22</v>
      </c>
      <c r="O418" s="177" t="s">
        <v>418</v>
      </c>
    </row>
    <row r="419" spans="2:15" s="12" customFormat="1" ht="18">
      <c r="B419" s="372" t="s">
        <v>80</v>
      </c>
      <c r="C419" s="77" t="s">
        <v>1342</v>
      </c>
      <c r="D419" s="177" t="s">
        <v>17</v>
      </c>
      <c r="E419" s="370">
        <v>13</v>
      </c>
      <c r="F419" s="370">
        <v>13</v>
      </c>
      <c r="G419" s="370">
        <v>13</v>
      </c>
      <c r="H419" s="370">
        <v>13</v>
      </c>
      <c r="I419" s="363">
        <f>SUM(Tabla132112412[[#This Row],[PRIMER TRIMESTRE]:[CUARTO TRIMESTRE]])</f>
        <v>52</v>
      </c>
      <c r="J419" s="175">
        <v>165.2</v>
      </c>
      <c r="K419" s="175">
        <f t="shared" si="7"/>
        <v>8590.4</v>
      </c>
      <c r="L419" s="175"/>
      <c r="M419" s="77" t="s">
        <v>18</v>
      </c>
      <c r="N419" s="77" t="s">
        <v>22</v>
      </c>
      <c r="O419" s="177" t="s">
        <v>418</v>
      </c>
    </row>
    <row r="420" spans="2:15" s="12" customFormat="1" ht="18">
      <c r="B420" s="372" t="s">
        <v>80</v>
      </c>
      <c r="C420" s="77" t="s">
        <v>1343</v>
      </c>
      <c r="D420" s="177" t="s">
        <v>17</v>
      </c>
      <c r="E420" s="370">
        <v>4</v>
      </c>
      <c r="F420" s="370">
        <v>0</v>
      </c>
      <c r="G420" s="370">
        <v>3</v>
      </c>
      <c r="H420" s="370">
        <v>1</v>
      </c>
      <c r="I420" s="363">
        <f>SUM(Tabla132112412[[#This Row],[PRIMER TRIMESTRE]:[CUARTO TRIMESTRE]])</f>
        <v>8</v>
      </c>
      <c r="J420" s="175">
        <v>855.5</v>
      </c>
      <c r="K420" s="175">
        <f t="shared" si="7"/>
        <v>6844</v>
      </c>
      <c r="L420" s="175"/>
      <c r="M420" s="77" t="s">
        <v>18</v>
      </c>
      <c r="N420" s="77" t="s">
        <v>22</v>
      </c>
      <c r="O420" s="177" t="s">
        <v>418</v>
      </c>
    </row>
    <row r="421" spans="2:15" s="12" customFormat="1" ht="18">
      <c r="B421" s="372" t="s">
        <v>80</v>
      </c>
      <c r="C421" s="373" t="s">
        <v>2129</v>
      </c>
      <c r="D421" s="177" t="s">
        <v>17</v>
      </c>
      <c r="E421" s="365">
        <v>2</v>
      </c>
      <c r="F421" s="365">
        <v>0</v>
      </c>
      <c r="G421" s="365">
        <v>0</v>
      </c>
      <c r="H421" s="365">
        <v>0</v>
      </c>
      <c r="I421" s="363">
        <f>SUM(Tabla132112412[[#This Row],[PRIMER TRIMESTRE]:[CUARTO TRIMESTRE]])</f>
        <v>2</v>
      </c>
      <c r="J421" s="175"/>
      <c r="K421" s="175"/>
      <c r="L421" s="175"/>
      <c r="M421" s="77"/>
      <c r="N421" s="77"/>
      <c r="O421" s="177"/>
    </row>
    <row r="422" spans="2:15" s="12" customFormat="1" ht="18">
      <c r="B422" s="372" t="s">
        <v>80</v>
      </c>
      <c r="C422" s="77" t="s">
        <v>571</v>
      </c>
      <c r="D422" s="177" t="s">
        <v>17</v>
      </c>
      <c r="E422" s="370">
        <v>2</v>
      </c>
      <c r="F422" s="370">
        <v>0</v>
      </c>
      <c r="G422" s="370">
        <v>0</v>
      </c>
      <c r="H422" s="370">
        <v>1</v>
      </c>
      <c r="I422" s="363">
        <f>SUM(Tabla132112412[[#This Row],[PRIMER TRIMESTRE]:[CUARTO TRIMESTRE]])</f>
        <v>3</v>
      </c>
      <c r="J422" s="175">
        <v>12159.7</v>
      </c>
      <c r="K422" s="175">
        <f>+Tabla132112412[[#This Row],[CANTIDAD TOTAL]]*Tabla132112412[[#This Row],[PRECIO UNITARIO ESTIMADO]]</f>
        <v>36479.100000000006</v>
      </c>
      <c r="L422" s="175"/>
      <c r="M422" s="77" t="s">
        <v>18</v>
      </c>
      <c r="N422" s="77" t="s">
        <v>22</v>
      </c>
      <c r="O422" s="177" t="s">
        <v>418</v>
      </c>
    </row>
    <row r="423" spans="2:15" s="12" customFormat="1" ht="18">
      <c r="B423" s="372" t="s">
        <v>80</v>
      </c>
      <c r="C423" s="77" t="s">
        <v>186</v>
      </c>
      <c r="D423" s="177" t="s">
        <v>17</v>
      </c>
      <c r="E423" s="370">
        <v>4</v>
      </c>
      <c r="F423" s="370">
        <v>4</v>
      </c>
      <c r="G423" s="370">
        <v>4</v>
      </c>
      <c r="H423" s="370">
        <v>4</v>
      </c>
      <c r="I423" s="363">
        <f>SUM(Tabla132112412[[#This Row],[PRIMER TRIMESTRE]:[CUARTO TRIMESTRE]])</f>
        <v>16</v>
      </c>
      <c r="J423" s="175">
        <v>2600</v>
      </c>
      <c r="K423" s="175">
        <f>+Tabla132112412[[#This Row],[CANTIDAD TOTAL]]*Tabla132112412[[#This Row],[PRECIO UNITARIO ESTIMADO]]</f>
        <v>41600</v>
      </c>
      <c r="L423" s="175"/>
      <c r="M423" s="77" t="s">
        <v>18</v>
      </c>
      <c r="N423" s="77" t="s">
        <v>22</v>
      </c>
      <c r="O423" s="177" t="s">
        <v>418</v>
      </c>
    </row>
    <row r="424" spans="2:15" s="12" customFormat="1" ht="18">
      <c r="B424" s="372" t="s">
        <v>80</v>
      </c>
      <c r="C424" s="77" t="s">
        <v>1550</v>
      </c>
      <c r="D424" s="177" t="s">
        <v>17</v>
      </c>
      <c r="E424" s="370">
        <v>0</v>
      </c>
      <c r="F424" s="370">
        <v>0</v>
      </c>
      <c r="G424" s="370">
        <v>0</v>
      </c>
      <c r="H424" s="370">
        <v>0</v>
      </c>
      <c r="I424" s="363">
        <f>SUM(Tabla132112412[[#This Row],[PRIMER TRIMESTRE]:[CUARTO TRIMESTRE]])</f>
        <v>0</v>
      </c>
      <c r="J424" s="175">
        <v>317.27</v>
      </c>
      <c r="K424" s="175">
        <f>+I424*J424</f>
        <v>0</v>
      </c>
      <c r="L424" s="175"/>
      <c r="M424" s="77" t="s">
        <v>18</v>
      </c>
      <c r="N424" s="77" t="s">
        <v>22</v>
      </c>
      <c r="O424" s="177" t="s">
        <v>418</v>
      </c>
    </row>
    <row r="425" spans="2:15" s="12" customFormat="1" ht="18">
      <c r="B425" s="372" t="s">
        <v>80</v>
      </c>
      <c r="C425" s="77" t="s">
        <v>148</v>
      </c>
      <c r="D425" s="177" t="s">
        <v>149</v>
      </c>
      <c r="E425" s="370">
        <v>150</v>
      </c>
      <c r="F425" s="370">
        <v>150</v>
      </c>
      <c r="G425" s="370">
        <v>150</v>
      </c>
      <c r="H425" s="370">
        <v>150</v>
      </c>
      <c r="I425" s="363">
        <f>SUM(Tabla132112412[[#This Row],[PRIMER TRIMESTRE]:[CUARTO TRIMESTRE]])</f>
        <v>600</v>
      </c>
      <c r="J425" s="175">
        <v>127.6</v>
      </c>
      <c r="K425" s="175">
        <f>+Tabla132112412[[#This Row],[CANTIDAD TOTAL]]*Tabla132112412[[#This Row],[PRECIO UNITARIO ESTIMADO]]</f>
        <v>76560</v>
      </c>
      <c r="L425" s="175"/>
      <c r="M425" s="77" t="s">
        <v>18</v>
      </c>
      <c r="N425" s="77" t="s">
        <v>22</v>
      </c>
      <c r="O425" s="177" t="s">
        <v>418</v>
      </c>
    </row>
    <row r="426" spans="2:15" s="12" customFormat="1" ht="18">
      <c r="B426" s="372" t="s">
        <v>80</v>
      </c>
      <c r="C426" s="77" t="s">
        <v>1430</v>
      </c>
      <c r="D426" s="177" t="s">
        <v>290</v>
      </c>
      <c r="E426" s="370">
        <v>1</v>
      </c>
      <c r="F426" s="370">
        <v>0</v>
      </c>
      <c r="G426" s="370">
        <v>0</v>
      </c>
      <c r="H426" s="370">
        <v>0</v>
      </c>
      <c r="I426" s="363">
        <f>SUM(Tabla132112412[[#This Row],[PRIMER TRIMESTRE]:[CUARTO TRIMESTRE]])</f>
        <v>1</v>
      </c>
      <c r="J426" s="175">
        <v>793.52</v>
      </c>
      <c r="K426" s="175">
        <f>+Tabla132112412[[#This Row],[CANTIDAD TOTAL]]*Tabla132112412[[#This Row],[PRECIO UNITARIO ESTIMADO]]</f>
        <v>793.52</v>
      </c>
      <c r="L426" s="175"/>
      <c r="M426" s="77" t="s">
        <v>18</v>
      </c>
      <c r="N426" s="77" t="s">
        <v>22</v>
      </c>
      <c r="O426" s="177" t="s">
        <v>418</v>
      </c>
    </row>
    <row r="427" spans="2:15" s="12" customFormat="1" ht="18">
      <c r="B427" s="372" t="s">
        <v>80</v>
      </c>
      <c r="C427" s="77" t="s">
        <v>439</v>
      </c>
      <c r="D427" s="177" t="s">
        <v>149</v>
      </c>
      <c r="E427" s="370">
        <v>40</v>
      </c>
      <c r="F427" s="370">
        <v>40</v>
      </c>
      <c r="G427" s="370">
        <v>40</v>
      </c>
      <c r="H427" s="370">
        <v>40</v>
      </c>
      <c r="I427" s="363">
        <f>SUM(Tabla132112412[[#This Row],[PRIMER TRIMESTRE]:[CUARTO TRIMESTRE]])</f>
        <v>160</v>
      </c>
      <c r="J427" s="175">
        <v>123.91</v>
      </c>
      <c r="K427" s="175">
        <f>+Tabla132112412[[#This Row],[CANTIDAD TOTAL]]*Tabla132112412[[#This Row],[PRECIO UNITARIO ESTIMADO]]</f>
        <v>19825.599999999999</v>
      </c>
      <c r="L427" s="175"/>
      <c r="M427" s="77" t="s">
        <v>18</v>
      </c>
      <c r="N427" s="77" t="s">
        <v>22</v>
      </c>
      <c r="O427" s="177" t="s">
        <v>418</v>
      </c>
    </row>
    <row r="428" spans="2:15" s="12" customFormat="1" ht="18">
      <c r="B428" s="372" t="s">
        <v>80</v>
      </c>
      <c r="C428" s="77" t="s">
        <v>2130</v>
      </c>
      <c r="D428" s="177" t="s">
        <v>17</v>
      </c>
      <c r="E428" s="370">
        <v>10</v>
      </c>
      <c r="F428" s="370">
        <v>10</v>
      </c>
      <c r="G428" s="370">
        <v>10</v>
      </c>
      <c r="H428" s="370">
        <v>10</v>
      </c>
      <c r="I428" s="363">
        <f>SUM(Tabla132112412[[#This Row],[PRIMER TRIMESTRE]:[CUARTO TRIMESTRE]])</f>
        <v>40</v>
      </c>
      <c r="J428" s="175">
        <v>536.16999999999996</v>
      </c>
      <c r="K428" s="175">
        <f t="shared" ref="K428:K434" si="8">+I428*J428</f>
        <v>21446.799999999999</v>
      </c>
      <c r="L428" s="175"/>
      <c r="M428" s="77" t="s">
        <v>18</v>
      </c>
      <c r="N428" s="77" t="s">
        <v>22</v>
      </c>
      <c r="O428" s="177" t="s">
        <v>418</v>
      </c>
    </row>
    <row r="429" spans="2:15" s="12" customFormat="1" ht="18">
      <c r="B429" s="372" t="s">
        <v>80</v>
      </c>
      <c r="C429" s="77" t="s">
        <v>2131</v>
      </c>
      <c r="D429" s="177" t="s">
        <v>17</v>
      </c>
      <c r="E429" s="370">
        <v>10</v>
      </c>
      <c r="F429" s="370">
        <v>10</v>
      </c>
      <c r="G429" s="370">
        <v>10</v>
      </c>
      <c r="H429" s="370">
        <v>10</v>
      </c>
      <c r="I429" s="363">
        <f>SUM(Tabla132112412[[#This Row],[PRIMER TRIMESTRE]:[CUARTO TRIMESTRE]])</f>
        <v>40</v>
      </c>
      <c r="J429" s="175">
        <v>536.16999999999996</v>
      </c>
      <c r="K429" s="175">
        <f t="shared" si="8"/>
        <v>21446.799999999999</v>
      </c>
      <c r="L429" s="175"/>
      <c r="M429" s="77" t="s">
        <v>18</v>
      </c>
      <c r="N429" s="77" t="s">
        <v>22</v>
      </c>
      <c r="O429" s="177" t="s">
        <v>418</v>
      </c>
    </row>
    <row r="430" spans="2:15" s="12" customFormat="1" ht="18">
      <c r="B430" s="372" t="s">
        <v>80</v>
      </c>
      <c r="C430" s="77" t="s">
        <v>2132</v>
      </c>
      <c r="D430" s="177" t="s">
        <v>17</v>
      </c>
      <c r="E430" s="370">
        <v>10</v>
      </c>
      <c r="F430" s="370">
        <v>10</v>
      </c>
      <c r="G430" s="370">
        <v>10</v>
      </c>
      <c r="H430" s="370">
        <v>10</v>
      </c>
      <c r="I430" s="363">
        <f>SUM(Tabla132112412[[#This Row],[PRIMER TRIMESTRE]:[CUARTO TRIMESTRE]])</f>
        <v>40</v>
      </c>
      <c r="J430" s="175">
        <v>536.16999999999996</v>
      </c>
      <c r="K430" s="175">
        <f t="shared" si="8"/>
        <v>21446.799999999999</v>
      </c>
      <c r="L430" s="175"/>
      <c r="M430" s="77" t="s">
        <v>18</v>
      </c>
      <c r="N430" s="77" t="s">
        <v>22</v>
      </c>
      <c r="O430" s="177" t="s">
        <v>418</v>
      </c>
    </row>
    <row r="431" spans="2:15" s="12" customFormat="1" ht="18">
      <c r="B431" s="372" t="s">
        <v>80</v>
      </c>
      <c r="C431" s="77" t="s">
        <v>1553</v>
      </c>
      <c r="D431" s="177" t="s">
        <v>17</v>
      </c>
      <c r="E431" s="370">
        <v>10</v>
      </c>
      <c r="F431" s="370">
        <v>10</v>
      </c>
      <c r="G431" s="370">
        <v>10</v>
      </c>
      <c r="H431" s="370">
        <v>10</v>
      </c>
      <c r="I431" s="363">
        <f>SUM(Tabla132112412[[#This Row],[PRIMER TRIMESTRE]:[CUARTO TRIMESTRE]])</f>
        <v>40</v>
      </c>
      <c r="J431" s="175">
        <v>536.16999999999996</v>
      </c>
      <c r="K431" s="175">
        <f t="shared" si="8"/>
        <v>21446.799999999999</v>
      </c>
      <c r="L431" s="175"/>
      <c r="M431" s="77" t="s">
        <v>18</v>
      </c>
      <c r="N431" s="77" t="s">
        <v>22</v>
      </c>
      <c r="O431" s="177" t="s">
        <v>418</v>
      </c>
    </row>
    <row r="432" spans="2:15" s="12" customFormat="1" ht="18">
      <c r="B432" s="372" t="s">
        <v>80</v>
      </c>
      <c r="C432" s="77" t="s">
        <v>2133</v>
      </c>
      <c r="D432" s="177" t="s">
        <v>17</v>
      </c>
      <c r="E432" s="370">
        <v>10</v>
      </c>
      <c r="F432" s="370">
        <v>10</v>
      </c>
      <c r="G432" s="370">
        <v>10</v>
      </c>
      <c r="H432" s="370">
        <v>10</v>
      </c>
      <c r="I432" s="363">
        <f>SUM(Tabla132112412[[#This Row],[PRIMER TRIMESTRE]:[CUARTO TRIMESTRE]])</f>
        <v>40</v>
      </c>
      <c r="J432" s="175">
        <v>536.16999999999996</v>
      </c>
      <c r="K432" s="175">
        <f t="shared" si="8"/>
        <v>21446.799999999999</v>
      </c>
      <c r="L432" s="175"/>
      <c r="M432" s="77" t="s">
        <v>18</v>
      </c>
      <c r="N432" s="77" t="s">
        <v>22</v>
      </c>
      <c r="O432" s="177" t="s">
        <v>418</v>
      </c>
    </row>
    <row r="433" spans="2:15" s="12" customFormat="1" ht="18">
      <c r="B433" s="372" t="s">
        <v>80</v>
      </c>
      <c r="C433" s="77" t="s">
        <v>2134</v>
      </c>
      <c r="D433" s="177" t="s">
        <v>17</v>
      </c>
      <c r="E433" s="370">
        <v>10</v>
      </c>
      <c r="F433" s="370">
        <v>10</v>
      </c>
      <c r="G433" s="370">
        <v>10</v>
      </c>
      <c r="H433" s="370">
        <v>10</v>
      </c>
      <c r="I433" s="363">
        <f>SUM(Tabla132112412[[#This Row],[PRIMER TRIMESTRE]:[CUARTO TRIMESTRE]])</f>
        <v>40</v>
      </c>
      <c r="J433" s="175">
        <v>536.16999999999996</v>
      </c>
      <c r="K433" s="175">
        <f t="shared" si="8"/>
        <v>21446.799999999999</v>
      </c>
      <c r="L433" s="175"/>
      <c r="M433" s="77" t="s">
        <v>18</v>
      </c>
      <c r="N433" s="77" t="s">
        <v>22</v>
      </c>
      <c r="O433" s="177" t="s">
        <v>418</v>
      </c>
    </row>
    <row r="434" spans="2:15" s="12" customFormat="1" ht="25.5">
      <c r="B434" s="372" t="s">
        <v>80</v>
      </c>
      <c r="C434" s="77" t="s">
        <v>1538</v>
      </c>
      <c r="D434" s="177" t="s">
        <v>149</v>
      </c>
      <c r="E434" s="370">
        <v>4</v>
      </c>
      <c r="F434" s="370">
        <v>4</v>
      </c>
      <c r="G434" s="370">
        <v>4</v>
      </c>
      <c r="H434" s="370">
        <v>4</v>
      </c>
      <c r="I434" s="363">
        <f>SUM(Tabla132112412[[#This Row],[PRIMER TRIMESTRE]:[CUARTO TRIMESTRE]])</f>
        <v>16</v>
      </c>
      <c r="J434" s="175">
        <v>560</v>
      </c>
      <c r="K434" s="175">
        <f t="shared" si="8"/>
        <v>8960</v>
      </c>
      <c r="L434" s="175"/>
      <c r="M434" s="77" t="s">
        <v>18</v>
      </c>
      <c r="N434" s="77" t="s">
        <v>22</v>
      </c>
      <c r="O434" s="177" t="s">
        <v>418</v>
      </c>
    </row>
    <row r="435" spans="2:15" s="12" customFormat="1" ht="18">
      <c r="B435" s="372" t="s">
        <v>80</v>
      </c>
      <c r="C435" s="77" t="s">
        <v>471</v>
      </c>
      <c r="D435" s="177" t="s">
        <v>17</v>
      </c>
      <c r="E435" s="370">
        <v>190</v>
      </c>
      <c r="F435" s="370">
        <v>185</v>
      </c>
      <c r="G435" s="370">
        <v>185</v>
      </c>
      <c r="H435" s="370">
        <v>185</v>
      </c>
      <c r="I435" s="363">
        <f>SUM(Tabla132112412[[#This Row],[PRIMER TRIMESTRE]:[CUARTO TRIMESTRE]])</f>
        <v>745</v>
      </c>
      <c r="J435" s="175">
        <v>55.38</v>
      </c>
      <c r="K435" s="175">
        <f>+Tabla132112412[[#This Row],[CANTIDAD TOTAL]]*Tabla132112412[[#This Row],[PRECIO UNITARIO ESTIMADO]]</f>
        <v>41258.1</v>
      </c>
      <c r="L435" s="175"/>
      <c r="M435" s="77" t="s">
        <v>18</v>
      </c>
      <c r="N435" s="77" t="s">
        <v>22</v>
      </c>
      <c r="O435" s="177" t="s">
        <v>418</v>
      </c>
    </row>
    <row r="436" spans="2:15" s="12" customFormat="1" ht="18">
      <c r="B436" s="372" t="s">
        <v>80</v>
      </c>
      <c r="C436" s="77" t="s">
        <v>1348</v>
      </c>
      <c r="D436" s="177" t="s">
        <v>17</v>
      </c>
      <c r="E436" s="370">
        <v>3</v>
      </c>
      <c r="F436" s="370">
        <v>3</v>
      </c>
      <c r="G436" s="370">
        <v>3</v>
      </c>
      <c r="H436" s="370">
        <v>3</v>
      </c>
      <c r="I436" s="363">
        <f>SUM(Tabla132112412[[#This Row],[PRIMER TRIMESTRE]:[CUARTO TRIMESTRE]])</f>
        <v>12</v>
      </c>
      <c r="J436" s="175">
        <v>85</v>
      </c>
      <c r="K436" s="175">
        <f>+I436*J436</f>
        <v>1020</v>
      </c>
      <c r="L436" s="175"/>
      <c r="M436" s="77" t="s">
        <v>18</v>
      </c>
      <c r="N436" s="77" t="s">
        <v>22</v>
      </c>
      <c r="O436" s="177" t="s">
        <v>418</v>
      </c>
    </row>
    <row r="437" spans="2:15" s="12" customFormat="1" ht="18">
      <c r="B437" s="372" t="s">
        <v>80</v>
      </c>
      <c r="C437" s="77" t="s">
        <v>1591</v>
      </c>
      <c r="D437" s="177" t="s">
        <v>17</v>
      </c>
      <c r="E437" s="370">
        <v>0</v>
      </c>
      <c r="F437" s="370">
        <v>0</v>
      </c>
      <c r="G437" s="370">
        <v>0</v>
      </c>
      <c r="H437" s="370">
        <v>0</v>
      </c>
      <c r="I437" s="363">
        <f>SUM(Tabla132112412[[#This Row],[PRIMER TRIMESTRE]:[CUARTO TRIMESTRE]])</f>
        <v>0</v>
      </c>
      <c r="J437" s="175">
        <v>196.4</v>
      </c>
      <c r="K437" s="175">
        <f>+I437*J437</f>
        <v>0</v>
      </c>
      <c r="L437" s="175"/>
      <c r="M437" s="77" t="s">
        <v>18</v>
      </c>
      <c r="N437" s="77" t="s">
        <v>22</v>
      </c>
      <c r="O437" s="177" t="s">
        <v>418</v>
      </c>
    </row>
    <row r="438" spans="2:15" s="12" customFormat="1" ht="18">
      <c r="B438" s="372" t="s">
        <v>80</v>
      </c>
      <c r="C438" s="77" t="s">
        <v>1349</v>
      </c>
      <c r="D438" s="177" t="s">
        <v>17</v>
      </c>
      <c r="E438" s="370">
        <v>35</v>
      </c>
      <c r="F438" s="370">
        <v>30</v>
      </c>
      <c r="G438" s="370">
        <v>35</v>
      </c>
      <c r="H438" s="370">
        <v>30</v>
      </c>
      <c r="I438" s="363">
        <f>SUM(Tabla132112412[[#This Row],[PRIMER TRIMESTRE]:[CUARTO TRIMESTRE]])</f>
        <v>130</v>
      </c>
      <c r="J438" s="175">
        <v>55</v>
      </c>
      <c r="K438" s="175">
        <f>+I438*J438</f>
        <v>7150</v>
      </c>
      <c r="L438" s="175"/>
      <c r="M438" s="77" t="s">
        <v>18</v>
      </c>
      <c r="N438" s="77" t="s">
        <v>22</v>
      </c>
      <c r="O438" s="177" t="s">
        <v>418</v>
      </c>
    </row>
    <row r="439" spans="2:15" s="12" customFormat="1" ht="18">
      <c r="B439" s="372" t="s">
        <v>80</v>
      </c>
      <c r="C439" s="77" t="s">
        <v>1711</v>
      </c>
      <c r="D439" s="177" t="s">
        <v>17</v>
      </c>
      <c r="E439" s="370">
        <v>0</v>
      </c>
      <c r="F439" s="370">
        <v>0</v>
      </c>
      <c r="G439" s="370">
        <v>0</v>
      </c>
      <c r="H439" s="370">
        <v>0</v>
      </c>
      <c r="I439" s="363">
        <f>SUM(Tabla132112412[[#This Row],[PRIMER TRIMESTRE]:[CUARTO TRIMESTRE]])</f>
        <v>0</v>
      </c>
      <c r="J439" s="175">
        <v>0</v>
      </c>
      <c r="K439" s="175">
        <v>0</v>
      </c>
      <c r="L439" s="175"/>
      <c r="M439" s="77" t="s">
        <v>18</v>
      </c>
      <c r="N439" s="77" t="s">
        <v>22</v>
      </c>
      <c r="O439" s="177" t="s">
        <v>418</v>
      </c>
    </row>
    <row r="440" spans="2:15" s="12" customFormat="1" ht="18">
      <c r="B440" s="372" t="s">
        <v>80</v>
      </c>
      <c r="C440" s="77" t="s">
        <v>1563</v>
      </c>
      <c r="D440" s="177" t="s">
        <v>17</v>
      </c>
      <c r="E440" s="370">
        <v>35</v>
      </c>
      <c r="F440" s="370">
        <v>15</v>
      </c>
      <c r="G440" s="370">
        <v>30</v>
      </c>
      <c r="H440" s="370">
        <v>15</v>
      </c>
      <c r="I440" s="363">
        <f>SUM(Tabla132112412[[#This Row],[PRIMER TRIMESTRE]:[CUARTO TRIMESTRE]])</f>
        <v>95</v>
      </c>
      <c r="J440" s="175">
        <v>108.41</v>
      </c>
      <c r="K440" s="175">
        <f>+I440*J440</f>
        <v>10298.949999999999</v>
      </c>
      <c r="L440" s="175"/>
      <c r="M440" s="77" t="s">
        <v>18</v>
      </c>
      <c r="N440" s="77" t="s">
        <v>22</v>
      </c>
      <c r="O440" s="177" t="s">
        <v>418</v>
      </c>
    </row>
    <row r="441" spans="2:15" s="12" customFormat="1" ht="18">
      <c r="B441" s="372" t="s">
        <v>80</v>
      </c>
      <c r="C441" s="77" t="s">
        <v>1562</v>
      </c>
      <c r="D441" s="177" t="s">
        <v>17</v>
      </c>
      <c r="E441" s="370">
        <v>120</v>
      </c>
      <c r="F441" s="370">
        <v>110</v>
      </c>
      <c r="G441" s="370">
        <v>120</v>
      </c>
      <c r="H441" s="370">
        <v>110</v>
      </c>
      <c r="I441" s="363">
        <f>SUM(Tabla132112412[[#This Row],[PRIMER TRIMESTRE]:[CUARTO TRIMESTRE]])</f>
        <v>460</v>
      </c>
      <c r="J441" s="175">
        <v>23.1</v>
      </c>
      <c r="K441" s="175">
        <f>+I441*J441</f>
        <v>10626</v>
      </c>
      <c r="L441" s="175"/>
      <c r="M441" s="77" t="s">
        <v>18</v>
      </c>
      <c r="N441" s="77" t="s">
        <v>22</v>
      </c>
      <c r="O441" s="177" t="s">
        <v>418</v>
      </c>
    </row>
    <row r="442" spans="2:15" s="12" customFormat="1" ht="18">
      <c r="B442" s="372" t="s">
        <v>80</v>
      </c>
      <c r="C442" s="367" t="s">
        <v>2135</v>
      </c>
      <c r="D442" s="177" t="s">
        <v>17</v>
      </c>
      <c r="E442" s="369">
        <v>10</v>
      </c>
      <c r="F442" s="369">
        <v>5</v>
      </c>
      <c r="G442" s="369">
        <v>5</v>
      </c>
      <c r="H442" s="369">
        <v>5</v>
      </c>
      <c r="I442" s="363">
        <f>SUM(Tabla132112412[[#This Row],[PRIMER TRIMESTRE]:[CUARTO TRIMESTRE]])</f>
        <v>25</v>
      </c>
      <c r="J442" s="175"/>
      <c r="K442" s="175"/>
      <c r="L442" s="175"/>
      <c r="M442" s="77"/>
      <c r="N442" s="77"/>
      <c r="O442" s="177"/>
    </row>
    <row r="443" spans="2:15" s="12" customFormat="1" ht="18">
      <c r="B443" s="372" t="s">
        <v>80</v>
      </c>
      <c r="C443" s="367" t="s">
        <v>2136</v>
      </c>
      <c r="D443" s="177" t="s">
        <v>17</v>
      </c>
      <c r="E443" s="368">
        <v>3</v>
      </c>
      <c r="F443" s="369">
        <v>3</v>
      </c>
      <c r="G443" s="369">
        <v>3</v>
      </c>
      <c r="H443" s="369">
        <v>3</v>
      </c>
      <c r="I443" s="363">
        <f>SUM(Tabla132112412[[#This Row],[PRIMER TRIMESTRE]:[CUARTO TRIMESTRE]])</f>
        <v>12</v>
      </c>
      <c r="J443" s="175"/>
      <c r="K443" s="175"/>
      <c r="L443" s="175"/>
      <c r="M443" s="77"/>
      <c r="N443" s="77"/>
      <c r="O443" s="177"/>
    </row>
    <row r="444" spans="2:15" s="12" customFormat="1" ht="18">
      <c r="B444" s="372" t="s">
        <v>80</v>
      </c>
      <c r="C444" s="472" t="s">
        <v>2137</v>
      </c>
      <c r="D444" s="177" t="s">
        <v>17</v>
      </c>
      <c r="E444" s="369">
        <v>3</v>
      </c>
      <c r="F444" s="369">
        <v>3</v>
      </c>
      <c r="G444" s="369">
        <v>3</v>
      </c>
      <c r="H444" s="369">
        <v>3</v>
      </c>
      <c r="I444" s="363">
        <f>SUM(Tabla132112412[[#This Row],[PRIMER TRIMESTRE]:[CUARTO TRIMESTRE]])</f>
        <v>12</v>
      </c>
      <c r="J444" s="175"/>
      <c r="K444" s="175"/>
      <c r="L444" s="175"/>
      <c r="M444" s="77"/>
      <c r="N444" s="77"/>
      <c r="O444" s="177"/>
    </row>
    <row r="445" spans="2:15" s="12" customFormat="1" ht="18">
      <c r="B445" s="372" t="s">
        <v>80</v>
      </c>
      <c r="C445" s="77" t="s">
        <v>1350</v>
      </c>
      <c r="D445" s="177" t="s">
        <v>17</v>
      </c>
      <c r="E445" s="370">
        <v>14</v>
      </c>
      <c r="F445" s="370">
        <v>14</v>
      </c>
      <c r="G445" s="370">
        <v>10</v>
      </c>
      <c r="H445" s="370">
        <v>10</v>
      </c>
      <c r="I445" s="363">
        <f>SUM(Tabla132112412[[#This Row],[PRIMER TRIMESTRE]:[CUARTO TRIMESTRE]])</f>
        <v>48</v>
      </c>
      <c r="J445" s="175">
        <v>210</v>
      </c>
      <c r="K445" s="175">
        <f>+I445*J445</f>
        <v>10080</v>
      </c>
      <c r="L445" s="175"/>
      <c r="M445" s="77" t="s">
        <v>18</v>
      </c>
      <c r="N445" s="77" t="s">
        <v>22</v>
      </c>
      <c r="O445" s="177" t="s">
        <v>418</v>
      </c>
    </row>
    <row r="446" spans="2:15" s="12" customFormat="1" ht="18">
      <c r="B446" s="372" t="s">
        <v>80</v>
      </c>
      <c r="C446" s="77" t="s">
        <v>2138</v>
      </c>
      <c r="D446" s="177" t="s">
        <v>17</v>
      </c>
      <c r="E446" s="370">
        <v>70</v>
      </c>
      <c r="F446" s="370">
        <v>70</v>
      </c>
      <c r="G446" s="370">
        <v>70</v>
      </c>
      <c r="H446" s="370">
        <v>70</v>
      </c>
      <c r="I446" s="363">
        <f>SUM(Tabla132112412[[#This Row],[PRIMER TRIMESTRE]:[CUARTO TRIMESTRE]])</f>
        <v>280</v>
      </c>
      <c r="J446" s="175">
        <v>731.35</v>
      </c>
      <c r="K446" s="175">
        <f>+I446*J446</f>
        <v>204778</v>
      </c>
      <c r="L446" s="175"/>
      <c r="M446" s="77" t="s">
        <v>18</v>
      </c>
      <c r="N446" s="77" t="s">
        <v>22</v>
      </c>
      <c r="O446" s="177" t="s">
        <v>418</v>
      </c>
    </row>
    <row r="447" spans="2:15" s="12" customFormat="1" ht="18">
      <c r="B447" s="372" t="s">
        <v>80</v>
      </c>
      <c r="C447" s="454" t="s">
        <v>2139</v>
      </c>
      <c r="D447" s="177" t="s">
        <v>17</v>
      </c>
      <c r="E447" s="368">
        <v>10</v>
      </c>
      <c r="F447" s="368">
        <v>10</v>
      </c>
      <c r="G447" s="368">
        <v>10</v>
      </c>
      <c r="H447" s="368">
        <v>10</v>
      </c>
      <c r="I447" s="363">
        <f>SUM(Tabla132112412[[#This Row],[PRIMER TRIMESTRE]:[CUARTO TRIMESTRE]])</f>
        <v>40</v>
      </c>
      <c r="J447" s="175"/>
      <c r="K447" s="175"/>
      <c r="L447" s="175"/>
      <c r="M447" s="77"/>
      <c r="N447" s="77"/>
      <c r="O447" s="177"/>
    </row>
    <row r="448" spans="2:15" s="12" customFormat="1" ht="18">
      <c r="B448" s="372" t="s">
        <v>80</v>
      </c>
      <c r="C448" s="77" t="s">
        <v>645</v>
      </c>
      <c r="D448" s="177" t="s">
        <v>17</v>
      </c>
      <c r="E448" s="370">
        <v>120</v>
      </c>
      <c r="F448" s="370">
        <v>120</v>
      </c>
      <c r="G448" s="370">
        <v>120</v>
      </c>
      <c r="H448" s="370">
        <v>120</v>
      </c>
      <c r="I448" s="363">
        <f>SUM(Tabla132112412[[#This Row],[PRIMER TRIMESTRE]:[CUARTO TRIMESTRE]])</f>
        <v>480</v>
      </c>
      <c r="J448" s="175">
        <v>1013.28</v>
      </c>
      <c r="K448" s="175">
        <f t="shared" ref="K448:K456" si="9">+I448*J448</f>
        <v>486374.39999999997</v>
      </c>
      <c r="L448" s="175"/>
      <c r="M448" s="77" t="s">
        <v>18</v>
      </c>
      <c r="N448" s="77" t="s">
        <v>22</v>
      </c>
      <c r="O448" s="177" t="s">
        <v>418</v>
      </c>
    </row>
    <row r="449" spans="2:15" s="12" customFormat="1" ht="18">
      <c r="B449" s="372" t="s">
        <v>80</v>
      </c>
      <c r="C449" s="77" t="s">
        <v>646</v>
      </c>
      <c r="D449" s="177" t="s">
        <v>17</v>
      </c>
      <c r="E449" s="370">
        <v>120</v>
      </c>
      <c r="F449" s="370">
        <v>120</v>
      </c>
      <c r="G449" s="370">
        <v>120</v>
      </c>
      <c r="H449" s="370">
        <v>120</v>
      </c>
      <c r="I449" s="363">
        <f>SUM(Tabla132112412[[#This Row],[PRIMER TRIMESTRE]:[CUARTO TRIMESTRE]])</f>
        <v>480</v>
      </c>
      <c r="J449" s="175">
        <v>1196.97</v>
      </c>
      <c r="K449" s="175">
        <f t="shared" si="9"/>
        <v>574545.6</v>
      </c>
      <c r="L449" s="175"/>
      <c r="M449" s="77" t="s">
        <v>18</v>
      </c>
      <c r="N449" s="77" t="s">
        <v>22</v>
      </c>
      <c r="O449" s="177" t="s">
        <v>418</v>
      </c>
    </row>
    <row r="450" spans="2:15" s="12" customFormat="1" ht="18">
      <c r="B450" s="372" t="s">
        <v>80</v>
      </c>
      <c r="C450" s="77" t="s">
        <v>647</v>
      </c>
      <c r="D450" s="177" t="s">
        <v>17</v>
      </c>
      <c r="E450" s="370">
        <v>100</v>
      </c>
      <c r="F450" s="370">
        <v>75</v>
      </c>
      <c r="G450" s="370">
        <v>75</v>
      </c>
      <c r="H450" s="370">
        <v>75</v>
      </c>
      <c r="I450" s="363">
        <f>SUM(Tabla132112412[[#This Row],[PRIMER TRIMESTRE]:[CUARTO TRIMESTRE]])</f>
        <v>325</v>
      </c>
      <c r="J450" s="175">
        <v>1882.41</v>
      </c>
      <c r="K450" s="175">
        <f t="shared" si="9"/>
        <v>611783.25</v>
      </c>
      <c r="L450" s="175"/>
      <c r="M450" s="77" t="s">
        <v>18</v>
      </c>
      <c r="N450" s="77" t="s">
        <v>22</v>
      </c>
      <c r="O450" s="177" t="s">
        <v>418</v>
      </c>
    </row>
    <row r="451" spans="2:15" s="12" customFormat="1" ht="18">
      <c r="B451" s="372" t="s">
        <v>80</v>
      </c>
      <c r="C451" s="77" t="s">
        <v>648</v>
      </c>
      <c r="D451" s="177" t="s">
        <v>17</v>
      </c>
      <c r="E451" s="370">
        <v>77</v>
      </c>
      <c r="F451" s="370">
        <v>77</v>
      </c>
      <c r="G451" s="370">
        <v>77</v>
      </c>
      <c r="H451" s="370">
        <v>77</v>
      </c>
      <c r="I451" s="363">
        <f>SUM(Tabla132112412[[#This Row],[PRIMER TRIMESTRE]:[CUARTO TRIMESTRE]])</f>
        <v>308</v>
      </c>
      <c r="J451" s="175">
        <v>2110.4699999999998</v>
      </c>
      <c r="K451" s="175">
        <f t="shared" si="9"/>
        <v>650024.75999999989</v>
      </c>
      <c r="L451" s="175"/>
      <c r="M451" s="77" t="s">
        <v>18</v>
      </c>
      <c r="N451" s="77" t="s">
        <v>22</v>
      </c>
      <c r="O451" s="177" t="s">
        <v>418</v>
      </c>
    </row>
    <row r="452" spans="2:15" s="12" customFormat="1" ht="18">
      <c r="B452" s="372" t="s">
        <v>80</v>
      </c>
      <c r="C452" s="77" t="s">
        <v>649</v>
      </c>
      <c r="D452" s="177" t="s">
        <v>17</v>
      </c>
      <c r="E452" s="370">
        <v>0</v>
      </c>
      <c r="F452" s="370">
        <v>0</v>
      </c>
      <c r="G452" s="370">
        <v>0</v>
      </c>
      <c r="H452" s="370">
        <v>0</v>
      </c>
      <c r="I452" s="363">
        <f>SUM(Tabla132112412[[#This Row],[PRIMER TRIMESTRE]:[CUARTO TRIMESTRE]])</f>
        <v>0</v>
      </c>
      <c r="J452" s="175">
        <v>2920.5</v>
      </c>
      <c r="K452" s="175">
        <f t="shared" si="9"/>
        <v>0</v>
      </c>
      <c r="L452" s="175"/>
      <c r="M452" s="77" t="s">
        <v>18</v>
      </c>
      <c r="N452" s="77" t="s">
        <v>22</v>
      </c>
      <c r="O452" s="177" t="s">
        <v>418</v>
      </c>
    </row>
    <row r="453" spans="2:15" s="12" customFormat="1" ht="18">
      <c r="B453" s="372" t="s">
        <v>80</v>
      </c>
      <c r="C453" s="77" t="s">
        <v>650</v>
      </c>
      <c r="D453" s="177" t="s">
        <v>17</v>
      </c>
      <c r="E453" s="370">
        <v>49</v>
      </c>
      <c r="F453" s="370">
        <v>49</v>
      </c>
      <c r="G453" s="370">
        <v>49</v>
      </c>
      <c r="H453" s="370">
        <v>49</v>
      </c>
      <c r="I453" s="363">
        <f>SUM(Tabla132112412[[#This Row],[PRIMER TRIMESTRE]:[CUARTO TRIMESTRE]])</f>
        <v>196</v>
      </c>
      <c r="J453" s="175">
        <v>2919.76</v>
      </c>
      <c r="K453" s="175">
        <f t="shared" si="9"/>
        <v>572272.96000000008</v>
      </c>
      <c r="L453" s="175"/>
      <c r="M453" s="77" t="s">
        <v>18</v>
      </c>
      <c r="N453" s="77" t="s">
        <v>22</v>
      </c>
      <c r="O453" s="177" t="s">
        <v>418</v>
      </c>
    </row>
    <row r="454" spans="2:15" s="12" customFormat="1" ht="18">
      <c r="B454" s="372" t="s">
        <v>80</v>
      </c>
      <c r="C454" s="77" t="s">
        <v>651</v>
      </c>
      <c r="D454" s="177" t="s">
        <v>17</v>
      </c>
      <c r="E454" s="370">
        <v>38</v>
      </c>
      <c r="F454" s="370">
        <v>30</v>
      </c>
      <c r="G454" s="370">
        <v>38</v>
      </c>
      <c r="H454" s="370">
        <v>30</v>
      </c>
      <c r="I454" s="363">
        <f>SUM(Tabla132112412[[#This Row],[PRIMER TRIMESTRE]:[CUARTO TRIMESTRE]])</f>
        <v>136</v>
      </c>
      <c r="J454" s="175">
        <v>5347.76</v>
      </c>
      <c r="K454" s="175">
        <f t="shared" si="9"/>
        <v>727295.36</v>
      </c>
      <c r="L454" s="175"/>
      <c r="M454" s="77" t="s">
        <v>18</v>
      </c>
      <c r="N454" s="77" t="s">
        <v>22</v>
      </c>
      <c r="O454" s="177" t="s">
        <v>418</v>
      </c>
    </row>
    <row r="455" spans="2:15" s="12" customFormat="1" ht="18">
      <c r="B455" s="372" t="s">
        <v>80</v>
      </c>
      <c r="C455" s="77" t="s">
        <v>652</v>
      </c>
      <c r="D455" s="177" t="s">
        <v>17</v>
      </c>
      <c r="E455" s="370">
        <v>46</v>
      </c>
      <c r="F455" s="370">
        <v>46</v>
      </c>
      <c r="G455" s="370">
        <v>46</v>
      </c>
      <c r="H455" s="370">
        <v>46</v>
      </c>
      <c r="I455" s="363">
        <f>SUM(Tabla132112412[[#This Row],[PRIMER TRIMESTRE]:[CUARTO TRIMESTRE]])</f>
        <v>184</v>
      </c>
      <c r="J455" s="175">
        <v>9696.06</v>
      </c>
      <c r="K455" s="175">
        <f t="shared" si="9"/>
        <v>1784075.0399999998</v>
      </c>
      <c r="L455" s="175"/>
      <c r="M455" s="77" t="s">
        <v>18</v>
      </c>
      <c r="N455" s="77" t="s">
        <v>22</v>
      </c>
      <c r="O455" s="177" t="s">
        <v>418</v>
      </c>
    </row>
    <row r="456" spans="2:15" s="12" customFormat="1" ht="18">
      <c r="B456" s="372" t="s">
        <v>80</v>
      </c>
      <c r="C456" s="77" t="s">
        <v>653</v>
      </c>
      <c r="D456" s="177" t="s">
        <v>17</v>
      </c>
      <c r="E456" s="370">
        <v>30</v>
      </c>
      <c r="F456" s="370">
        <v>30</v>
      </c>
      <c r="G456" s="370">
        <v>30</v>
      </c>
      <c r="H456" s="370">
        <v>30</v>
      </c>
      <c r="I456" s="363">
        <f>SUM(Tabla132112412[[#This Row],[PRIMER TRIMESTRE]:[CUARTO TRIMESTRE]])</f>
        <v>120</v>
      </c>
      <c r="J456" s="175">
        <v>13263.2</v>
      </c>
      <c r="K456" s="175">
        <f t="shared" si="9"/>
        <v>1591584</v>
      </c>
      <c r="L456" s="175"/>
      <c r="M456" s="77" t="s">
        <v>18</v>
      </c>
      <c r="N456" s="77" t="s">
        <v>22</v>
      </c>
      <c r="O456" s="177" t="s">
        <v>418</v>
      </c>
    </row>
    <row r="457" spans="2:15" s="12" customFormat="1" ht="18">
      <c r="B457" s="372" t="s">
        <v>80</v>
      </c>
      <c r="C457" s="454" t="s">
        <v>2140</v>
      </c>
      <c r="D457" s="177" t="s">
        <v>17</v>
      </c>
      <c r="E457" s="368">
        <v>25</v>
      </c>
      <c r="F457" s="368">
        <v>10</v>
      </c>
      <c r="G457" s="368">
        <v>10</v>
      </c>
      <c r="H457" s="368">
        <v>10</v>
      </c>
      <c r="I457" s="363">
        <f>SUM(Tabla132112412[[#This Row],[PRIMER TRIMESTRE]:[CUARTO TRIMESTRE]])</f>
        <v>55</v>
      </c>
      <c r="J457" s="175"/>
      <c r="K457" s="175"/>
      <c r="L457" s="175"/>
      <c r="M457" s="77"/>
      <c r="N457" s="77"/>
      <c r="O457" s="177"/>
    </row>
    <row r="458" spans="2:15" s="12" customFormat="1" ht="18">
      <c r="B458" s="372" t="s">
        <v>80</v>
      </c>
      <c r="C458" s="454" t="s">
        <v>2141</v>
      </c>
      <c r="D458" s="177" t="s">
        <v>17</v>
      </c>
      <c r="E458" s="368">
        <v>10</v>
      </c>
      <c r="F458" s="368">
        <v>10</v>
      </c>
      <c r="G458" s="368">
        <v>10</v>
      </c>
      <c r="H458" s="368">
        <v>10</v>
      </c>
      <c r="I458" s="363">
        <f>SUM(Tabla132112412[[#This Row],[PRIMER TRIMESTRE]:[CUARTO TRIMESTRE]])</f>
        <v>40</v>
      </c>
      <c r="J458" s="175"/>
      <c r="K458" s="175"/>
      <c r="L458" s="175"/>
      <c r="M458" s="77"/>
      <c r="N458" s="77"/>
      <c r="O458" s="177"/>
    </row>
    <row r="459" spans="2:15" s="12" customFormat="1" ht="18">
      <c r="B459" s="372" t="s">
        <v>80</v>
      </c>
      <c r="C459" s="454" t="s">
        <v>2142</v>
      </c>
      <c r="D459" s="177" t="s">
        <v>17</v>
      </c>
      <c r="E459" s="368">
        <v>10</v>
      </c>
      <c r="F459" s="368">
        <v>10</v>
      </c>
      <c r="G459" s="368">
        <v>10</v>
      </c>
      <c r="H459" s="368">
        <v>10</v>
      </c>
      <c r="I459" s="363">
        <f>SUM(Tabla132112412[[#This Row],[PRIMER TRIMESTRE]:[CUARTO TRIMESTRE]])</f>
        <v>40</v>
      </c>
      <c r="J459" s="175"/>
      <c r="K459" s="175"/>
      <c r="L459" s="175"/>
      <c r="M459" s="77"/>
      <c r="N459" s="77"/>
      <c r="O459" s="177"/>
    </row>
    <row r="460" spans="2:15" s="12" customFormat="1" ht="18">
      <c r="B460" s="372" t="s">
        <v>80</v>
      </c>
      <c r="C460" s="454" t="s">
        <v>2143</v>
      </c>
      <c r="D460" s="177" t="s">
        <v>17</v>
      </c>
      <c r="E460" s="368">
        <v>10</v>
      </c>
      <c r="F460" s="368">
        <v>10</v>
      </c>
      <c r="G460" s="368">
        <v>10</v>
      </c>
      <c r="H460" s="368">
        <v>10</v>
      </c>
      <c r="I460" s="363">
        <f>SUM(Tabla132112412[[#This Row],[PRIMER TRIMESTRE]:[CUARTO TRIMESTRE]])</f>
        <v>40</v>
      </c>
      <c r="J460" s="175"/>
      <c r="K460" s="175"/>
      <c r="L460" s="175"/>
      <c r="M460" s="77"/>
      <c r="N460" s="77"/>
      <c r="O460" s="177"/>
    </row>
    <row r="461" spans="2:15" s="12" customFormat="1" ht="18">
      <c r="B461" s="372" t="s">
        <v>80</v>
      </c>
      <c r="C461" s="454" t="s">
        <v>2144</v>
      </c>
      <c r="D461" s="177" t="s">
        <v>17</v>
      </c>
      <c r="E461" s="368">
        <v>10</v>
      </c>
      <c r="F461" s="368">
        <v>10</v>
      </c>
      <c r="G461" s="368">
        <v>10</v>
      </c>
      <c r="H461" s="368">
        <v>10</v>
      </c>
      <c r="I461" s="363">
        <f>SUM(Tabla132112412[[#This Row],[PRIMER TRIMESTRE]:[CUARTO TRIMESTRE]])</f>
        <v>40</v>
      </c>
      <c r="J461" s="175"/>
      <c r="K461" s="175"/>
      <c r="L461" s="175"/>
      <c r="M461" s="77"/>
      <c r="N461" s="77"/>
      <c r="O461" s="177"/>
    </row>
    <row r="462" spans="2:15" s="12" customFormat="1" ht="18">
      <c r="B462" s="372" t="s">
        <v>80</v>
      </c>
      <c r="C462" s="454" t="s">
        <v>2145</v>
      </c>
      <c r="D462" s="177" t="s">
        <v>17</v>
      </c>
      <c r="E462" s="368">
        <v>10</v>
      </c>
      <c r="F462" s="368">
        <v>10</v>
      </c>
      <c r="G462" s="368">
        <v>10</v>
      </c>
      <c r="H462" s="368">
        <v>10</v>
      </c>
      <c r="I462" s="363">
        <f>SUM(Tabla132112412[[#This Row],[PRIMER TRIMESTRE]:[CUARTO TRIMESTRE]])</f>
        <v>40</v>
      </c>
      <c r="J462" s="175"/>
      <c r="K462" s="175"/>
      <c r="L462" s="175"/>
      <c r="M462" s="77"/>
      <c r="N462" s="77"/>
      <c r="O462" s="177"/>
    </row>
    <row r="463" spans="2:15" s="12" customFormat="1" ht="18">
      <c r="B463" s="372" t="s">
        <v>80</v>
      </c>
      <c r="C463" s="454" t="s">
        <v>2146</v>
      </c>
      <c r="D463" s="177" t="s">
        <v>17</v>
      </c>
      <c r="E463" s="368">
        <v>10</v>
      </c>
      <c r="F463" s="368">
        <v>10</v>
      </c>
      <c r="G463" s="368">
        <v>10</v>
      </c>
      <c r="H463" s="368">
        <v>10</v>
      </c>
      <c r="I463" s="363">
        <f>SUM(Tabla132112412[[#This Row],[PRIMER TRIMESTRE]:[CUARTO TRIMESTRE]])</f>
        <v>40</v>
      </c>
      <c r="J463" s="175"/>
      <c r="K463" s="175"/>
      <c r="L463" s="175"/>
      <c r="M463" s="77"/>
      <c r="N463" s="77"/>
      <c r="O463" s="177"/>
    </row>
    <row r="464" spans="2:15" s="12" customFormat="1" ht="18">
      <c r="B464" s="372" t="s">
        <v>80</v>
      </c>
      <c r="C464" s="454" t="s">
        <v>2147</v>
      </c>
      <c r="D464" s="177" t="s">
        <v>17</v>
      </c>
      <c r="E464" s="368">
        <v>10</v>
      </c>
      <c r="F464" s="368">
        <v>10</v>
      </c>
      <c r="G464" s="368">
        <v>10</v>
      </c>
      <c r="H464" s="368">
        <v>10</v>
      </c>
      <c r="I464" s="363">
        <f>SUM(Tabla132112412[[#This Row],[PRIMER TRIMESTRE]:[CUARTO TRIMESTRE]])</f>
        <v>40</v>
      </c>
      <c r="J464" s="175"/>
      <c r="K464" s="175"/>
      <c r="L464" s="175"/>
      <c r="M464" s="77"/>
      <c r="N464" s="77"/>
      <c r="O464" s="177"/>
    </row>
    <row r="465" spans="2:15" s="12" customFormat="1" ht="18">
      <c r="B465" s="372" t="s">
        <v>80</v>
      </c>
      <c r="C465" s="454" t="s">
        <v>2148</v>
      </c>
      <c r="D465" s="177" t="s">
        <v>17</v>
      </c>
      <c r="E465" s="368">
        <v>10</v>
      </c>
      <c r="F465" s="368">
        <v>10</v>
      </c>
      <c r="G465" s="368">
        <v>10</v>
      </c>
      <c r="H465" s="368">
        <v>10</v>
      </c>
      <c r="I465" s="363">
        <f>SUM(Tabla132112412[[#This Row],[PRIMER TRIMESTRE]:[CUARTO TRIMESTRE]])</f>
        <v>40</v>
      </c>
      <c r="J465" s="175"/>
      <c r="K465" s="175"/>
      <c r="L465" s="175"/>
      <c r="M465" s="77"/>
      <c r="N465" s="77"/>
      <c r="O465" s="177"/>
    </row>
    <row r="466" spans="2:15" s="12" customFormat="1" ht="18">
      <c r="B466" s="372" t="s">
        <v>80</v>
      </c>
      <c r="C466" s="454" t="s">
        <v>2149</v>
      </c>
      <c r="D466" s="177" t="s">
        <v>17</v>
      </c>
      <c r="E466" s="368">
        <v>10</v>
      </c>
      <c r="F466" s="368">
        <v>10</v>
      </c>
      <c r="G466" s="368">
        <v>10</v>
      </c>
      <c r="H466" s="368">
        <v>10</v>
      </c>
      <c r="I466" s="363">
        <f>SUM(Tabla132112412[[#This Row],[PRIMER TRIMESTRE]:[CUARTO TRIMESTRE]])</f>
        <v>40</v>
      </c>
      <c r="J466" s="175"/>
      <c r="K466" s="175"/>
      <c r="L466" s="175"/>
      <c r="M466" s="77"/>
      <c r="N466" s="77"/>
      <c r="O466" s="177"/>
    </row>
    <row r="467" spans="2:15" s="12" customFormat="1" ht="18">
      <c r="B467" s="372" t="s">
        <v>80</v>
      </c>
      <c r="C467" s="454" t="s">
        <v>2150</v>
      </c>
      <c r="D467" s="455" t="s">
        <v>17</v>
      </c>
      <c r="E467" s="362">
        <v>2</v>
      </c>
      <c r="F467" s="362"/>
      <c r="G467" s="362">
        <v>2</v>
      </c>
      <c r="H467" s="362"/>
      <c r="I467" s="363">
        <f>SUM(Tabla132112412[[#This Row],[PRIMER TRIMESTRE]:[CUARTO TRIMESTRE]])</f>
        <v>4</v>
      </c>
      <c r="J467" s="175"/>
      <c r="K467" s="175"/>
      <c r="L467" s="175"/>
      <c r="M467" s="77"/>
      <c r="N467" s="77"/>
      <c r="O467" s="177"/>
    </row>
    <row r="468" spans="2:15" s="12" customFormat="1" ht="18">
      <c r="B468" s="372" t="s">
        <v>80</v>
      </c>
      <c r="C468" s="454" t="s">
        <v>2151</v>
      </c>
      <c r="D468" s="455" t="s">
        <v>17</v>
      </c>
      <c r="E468" s="362">
        <v>10</v>
      </c>
      <c r="F468" s="362"/>
      <c r="G468" s="362">
        <v>10</v>
      </c>
      <c r="H468" s="362"/>
      <c r="I468" s="363">
        <f>SUM(Tabla132112412[[#This Row],[PRIMER TRIMESTRE]:[CUARTO TRIMESTRE]])</f>
        <v>20</v>
      </c>
      <c r="J468" s="175"/>
      <c r="K468" s="175"/>
      <c r="L468" s="175"/>
      <c r="M468" s="77"/>
      <c r="N468" s="77"/>
      <c r="O468" s="177"/>
    </row>
    <row r="469" spans="2:15" s="12" customFormat="1" ht="18">
      <c r="B469" s="372" t="s">
        <v>80</v>
      </c>
      <c r="C469" s="454" t="s">
        <v>2152</v>
      </c>
      <c r="D469" s="455" t="s">
        <v>17</v>
      </c>
      <c r="E469" s="362">
        <v>50</v>
      </c>
      <c r="F469" s="362"/>
      <c r="G469" s="362">
        <v>50</v>
      </c>
      <c r="H469" s="362"/>
      <c r="I469" s="363">
        <f>SUM(Tabla132112412[[#This Row],[PRIMER TRIMESTRE]:[CUARTO TRIMESTRE]])</f>
        <v>100</v>
      </c>
      <c r="J469" s="175"/>
      <c r="K469" s="175"/>
      <c r="L469" s="175"/>
      <c r="M469" s="77"/>
      <c r="N469" s="77"/>
      <c r="O469" s="177"/>
    </row>
    <row r="470" spans="2:15" s="12" customFormat="1" ht="18">
      <c r="B470" s="372" t="s">
        <v>80</v>
      </c>
      <c r="C470" s="454" t="s">
        <v>2153</v>
      </c>
      <c r="D470" s="455" t="s">
        <v>17</v>
      </c>
      <c r="E470" s="362">
        <v>50</v>
      </c>
      <c r="F470" s="362"/>
      <c r="G470" s="362">
        <v>50</v>
      </c>
      <c r="H470" s="362"/>
      <c r="I470" s="363">
        <f>SUM(Tabla132112412[[#This Row],[PRIMER TRIMESTRE]:[CUARTO TRIMESTRE]])</f>
        <v>100</v>
      </c>
      <c r="J470" s="175"/>
      <c r="K470" s="175"/>
      <c r="L470" s="175"/>
      <c r="M470" s="77"/>
      <c r="N470" s="77"/>
      <c r="O470" s="177"/>
    </row>
    <row r="471" spans="2:15" s="12" customFormat="1" ht="18">
      <c r="B471" s="372" t="s">
        <v>80</v>
      </c>
      <c r="C471" s="454" t="s">
        <v>2154</v>
      </c>
      <c r="D471" s="455" t="s">
        <v>17</v>
      </c>
      <c r="E471" s="362">
        <v>50</v>
      </c>
      <c r="F471" s="362"/>
      <c r="G471" s="362">
        <v>50</v>
      </c>
      <c r="H471" s="362"/>
      <c r="I471" s="363">
        <f>SUM(Tabla132112412[[#This Row],[PRIMER TRIMESTRE]:[CUARTO TRIMESTRE]])</f>
        <v>100</v>
      </c>
      <c r="J471" s="175"/>
      <c r="K471" s="175"/>
      <c r="L471" s="175"/>
      <c r="M471" s="77"/>
      <c r="N471" s="77"/>
      <c r="O471" s="177"/>
    </row>
    <row r="472" spans="2:15" s="12" customFormat="1" ht="18">
      <c r="B472" s="372" t="s">
        <v>80</v>
      </c>
      <c r="C472" s="454" t="s">
        <v>2155</v>
      </c>
      <c r="D472" s="455" t="s">
        <v>17</v>
      </c>
      <c r="E472" s="362">
        <v>50</v>
      </c>
      <c r="F472" s="362"/>
      <c r="G472" s="362">
        <v>50</v>
      </c>
      <c r="H472" s="362"/>
      <c r="I472" s="363">
        <f>SUM(Tabla132112412[[#This Row],[PRIMER TRIMESTRE]:[CUARTO TRIMESTRE]])</f>
        <v>100</v>
      </c>
      <c r="J472" s="175"/>
      <c r="K472" s="175"/>
      <c r="L472" s="175"/>
      <c r="M472" s="77"/>
      <c r="N472" s="77"/>
      <c r="O472" s="177"/>
    </row>
    <row r="473" spans="2:15" s="12" customFormat="1" ht="18">
      <c r="B473" s="372" t="s">
        <v>80</v>
      </c>
      <c r="C473" s="454" t="s">
        <v>2156</v>
      </c>
      <c r="D473" s="455" t="s">
        <v>17</v>
      </c>
      <c r="E473" s="362">
        <v>20</v>
      </c>
      <c r="F473" s="362"/>
      <c r="G473" s="362">
        <v>20</v>
      </c>
      <c r="H473" s="362"/>
      <c r="I473" s="363">
        <f>SUM(Tabla132112412[[#This Row],[PRIMER TRIMESTRE]:[CUARTO TRIMESTRE]])</f>
        <v>40</v>
      </c>
      <c r="J473" s="175"/>
      <c r="K473" s="175"/>
      <c r="L473" s="175"/>
      <c r="M473" s="77"/>
      <c r="N473" s="77"/>
      <c r="O473" s="177"/>
    </row>
    <row r="474" spans="2:15" s="12" customFormat="1" ht="18">
      <c r="B474" s="372" t="s">
        <v>80</v>
      </c>
      <c r="C474" s="77"/>
      <c r="D474" s="177"/>
      <c r="E474" s="370"/>
      <c r="F474" s="370"/>
      <c r="G474" s="370"/>
      <c r="H474" s="370"/>
      <c r="I474" s="363">
        <f>SUM(Tabla132112412[[#This Row],[PRIMER TRIMESTRE]:[CUARTO TRIMESTRE]])</f>
        <v>0</v>
      </c>
      <c r="J474" s="175"/>
      <c r="K474" s="175"/>
      <c r="L474" s="175"/>
      <c r="M474" s="77"/>
      <c r="N474" s="77"/>
      <c r="O474" s="177"/>
    </row>
    <row r="475" spans="2:15" s="12" customFormat="1" ht="18">
      <c r="B475" s="372" t="s">
        <v>80</v>
      </c>
      <c r="C475" s="454" t="s">
        <v>348</v>
      </c>
      <c r="D475" s="455" t="s">
        <v>17</v>
      </c>
      <c r="E475" s="362">
        <v>10</v>
      </c>
      <c r="F475" s="362"/>
      <c r="G475" s="362">
        <v>10</v>
      </c>
      <c r="H475" s="362"/>
      <c r="I475" s="363">
        <f>SUM(Tabla132112412[[#This Row],[PRIMER TRIMESTRE]:[CUARTO TRIMESTRE]])</f>
        <v>20</v>
      </c>
      <c r="J475" s="175"/>
      <c r="K475" s="175"/>
      <c r="L475" s="175"/>
      <c r="M475" s="77"/>
      <c r="N475" s="77"/>
      <c r="O475" s="177"/>
    </row>
    <row r="476" spans="2:15" s="12" customFormat="1" ht="18">
      <c r="B476" s="372" t="s">
        <v>80</v>
      </c>
      <c r="C476" s="77" t="s">
        <v>351</v>
      </c>
      <c r="D476" s="177" t="s">
        <v>17</v>
      </c>
      <c r="E476" s="370">
        <v>25</v>
      </c>
      <c r="F476" s="370">
        <v>15</v>
      </c>
      <c r="G476" s="370">
        <v>25</v>
      </c>
      <c r="H476" s="370">
        <v>15</v>
      </c>
      <c r="I476" s="363">
        <f>SUM(Tabla132112412[[#This Row],[PRIMER TRIMESTRE]:[CUARTO TRIMESTRE]])</f>
        <v>80</v>
      </c>
      <c r="J476" s="175">
        <v>1800</v>
      </c>
      <c r="K476" s="175">
        <f t="shared" ref="K476:K482" si="10">+I476*J476</f>
        <v>144000</v>
      </c>
      <c r="L476" s="175"/>
      <c r="M476" s="77" t="s">
        <v>18</v>
      </c>
      <c r="N476" s="77" t="s">
        <v>22</v>
      </c>
      <c r="O476" s="177" t="s">
        <v>418</v>
      </c>
    </row>
    <row r="477" spans="2:15" s="12" customFormat="1" ht="18">
      <c r="B477" s="372" t="s">
        <v>80</v>
      </c>
      <c r="C477" s="77" t="s">
        <v>352</v>
      </c>
      <c r="D477" s="177" t="s">
        <v>17</v>
      </c>
      <c r="E477" s="370">
        <v>29</v>
      </c>
      <c r="F477" s="370">
        <v>19</v>
      </c>
      <c r="G477" s="370">
        <v>29</v>
      </c>
      <c r="H477" s="370">
        <v>19</v>
      </c>
      <c r="I477" s="363">
        <f>SUM(Tabla132112412[[#This Row],[PRIMER TRIMESTRE]:[CUARTO TRIMESTRE]])</f>
        <v>96</v>
      </c>
      <c r="J477" s="175">
        <v>2000</v>
      </c>
      <c r="K477" s="175">
        <f t="shared" si="10"/>
        <v>192000</v>
      </c>
      <c r="L477" s="175"/>
      <c r="M477" s="77" t="s">
        <v>18</v>
      </c>
      <c r="N477" s="77" t="s">
        <v>22</v>
      </c>
      <c r="O477" s="177" t="s">
        <v>418</v>
      </c>
    </row>
    <row r="478" spans="2:15" s="12" customFormat="1" ht="18">
      <c r="B478" s="372" t="s">
        <v>80</v>
      </c>
      <c r="C478" s="77" t="s">
        <v>345</v>
      </c>
      <c r="D478" s="177" t="s">
        <v>17</v>
      </c>
      <c r="E478" s="370">
        <v>0</v>
      </c>
      <c r="F478" s="370">
        <v>0</v>
      </c>
      <c r="G478" s="370">
        <v>0</v>
      </c>
      <c r="H478" s="370">
        <v>0</v>
      </c>
      <c r="I478" s="363">
        <f>SUM(Tabla132112412[[#This Row],[PRIMER TRIMESTRE]:[CUARTO TRIMESTRE]])</f>
        <v>0</v>
      </c>
      <c r="J478" s="175">
        <v>2500</v>
      </c>
      <c r="K478" s="175">
        <f t="shared" si="10"/>
        <v>0</v>
      </c>
      <c r="L478" s="175"/>
      <c r="M478" s="77" t="s">
        <v>18</v>
      </c>
      <c r="N478" s="77" t="s">
        <v>22</v>
      </c>
      <c r="O478" s="177" t="s">
        <v>418</v>
      </c>
    </row>
    <row r="479" spans="2:15" s="12" customFormat="1" ht="18">
      <c r="B479" s="372" t="s">
        <v>80</v>
      </c>
      <c r="C479" s="77" t="s">
        <v>346</v>
      </c>
      <c r="D479" s="177" t="s">
        <v>17</v>
      </c>
      <c r="E479" s="370">
        <v>16</v>
      </c>
      <c r="F479" s="370">
        <v>10</v>
      </c>
      <c r="G479" s="370">
        <v>16</v>
      </c>
      <c r="H479" s="370">
        <v>10</v>
      </c>
      <c r="I479" s="363">
        <f>SUM(Tabla132112412[[#This Row],[PRIMER TRIMESTRE]:[CUARTO TRIMESTRE]])</f>
        <v>52</v>
      </c>
      <c r="J479" s="175">
        <v>3100</v>
      </c>
      <c r="K479" s="175">
        <f t="shared" si="10"/>
        <v>161200</v>
      </c>
      <c r="L479" s="175"/>
      <c r="M479" s="77" t="s">
        <v>18</v>
      </c>
      <c r="N479" s="77" t="s">
        <v>22</v>
      </c>
      <c r="O479" s="177" t="s">
        <v>418</v>
      </c>
    </row>
    <row r="480" spans="2:15" s="12" customFormat="1" ht="18">
      <c r="B480" s="372" t="s">
        <v>80</v>
      </c>
      <c r="C480" s="77" t="s">
        <v>347</v>
      </c>
      <c r="D480" s="177" t="s">
        <v>17</v>
      </c>
      <c r="E480" s="370">
        <v>5</v>
      </c>
      <c r="F480" s="370">
        <v>5</v>
      </c>
      <c r="G480" s="370">
        <v>5</v>
      </c>
      <c r="H480" s="370">
        <v>5</v>
      </c>
      <c r="I480" s="363">
        <f>SUM(Tabla132112412[[#This Row],[PRIMER TRIMESTRE]:[CUARTO TRIMESTRE]])</f>
        <v>20</v>
      </c>
      <c r="J480" s="175">
        <v>4100</v>
      </c>
      <c r="K480" s="175">
        <f t="shared" si="10"/>
        <v>82000</v>
      </c>
      <c r="L480" s="175"/>
      <c r="M480" s="77" t="s">
        <v>18</v>
      </c>
      <c r="N480" s="77" t="s">
        <v>22</v>
      </c>
      <c r="O480" s="177" t="s">
        <v>418</v>
      </c>
    </row>
    <row r="481" spans="2:15" s="12" customFormat="1" ht="18">
      <c r="B481" s="372" t="s">
        <v>80</v>
      </c>
      <c r="C481" s="77" t="s">
        <v>1213</v>
      </c>
      <c r="D481" s="177" t="s">
        <v>17</v>
      </c>
      <c r="E481" s="370">
        <v>9</v>
      </c>
      <c r="F481" s="370">
        <v>9</v>
      </c>
      <c r="G481" s="370">
        <v>9</v>
      </c>
      <c r="H481" s="370">
        <v>9</v>
      </c>
      <c r="I481" s="363">
        <f>SUM(Tabla132112412[[#This Row],[PRIMER TRIMESTRE]:[CUARTO TRIMESTRE]])</f>
        <v>36</v>
      </c>
      <c r="J481" s="175">
        <v>8660</v>
      </c>
      <c r="K481" s="175">
        <f t="shared" si="10"/>
        <v>311760</v>
      </c>
      <c r="L481" s="175"/>
      <c r="M481" s="77" t="s">
        <v>18</v>
      </c>
      <c r="N481" s="77" t="s">
        <v>22</v>
      </c>
      <c r="O481" s="177" t="s">
        <v>418</v>
      </c>
    </row>
    <row r="482" spans="2:15" s="12" customFormat="1" ht="18">
      <c r="B482" s="372" t="s">
        <v>80</v>
      </c>
      <c r="C482" s="77" t="s">
        <v>356</v>
      </c>
      <c r="D482" s="177" t="s">
        <v>17</v>
      </c>
      <c r="E482" s="370">
        <v>28</v>
      </c>
      <c r="F482" s="370">
        <v>22</v>
      </c>
      <c r="G482" s="370">
        <v>28</v>
      </c>
      <c r="H482" s="370">
        <v>22</v>
      </c>
      <c r="I482" s="363">
        <f>SUM(Tabla132112412[[#This Row],[PRIMER TRIMESTRE]:[CUARTO TRIMESTRE]])</f>
        <v>100</v>
      </c>
      <c r="J482" s="175">
        <v>8660</v>
      </c>
      <c r="K482" s="175">
        <f t="shared" si="10"/>
        <v>866000</v>
      </c>
      <c r="L482" s="175"/>
      <c r="M482" s="77" t="s">
        <v>18</v>
      </c>
      <c r="N482" s="77" t="s">
        <v>22</v>
      </c>
      <c r="O482" s="177" t="s">
        <v>418</v>
      </c>
    </row>
    <row r="483" spans="2:15" s="12" customFormat="1" ht="18">
      <c r="B483" s="372" t="s">
        <v>80</v>
      </c>
      <c r="C483" s="454" t="s">
        <v>349</v>
      </c>
      <c r="D483" s="455" t="s">
        <v>17</v>
      </c>
      <c r="E483" s="362">
        <v>10</v>
      </c>
      <c r="F483" s="362"/>
      <c r="G483" s="362">
        <v>10</v>
      </c>
      <c r="H483" s="362"/>
      <c r="I483" s="363">
        <f>SUM(Tabla132112412[[#This Row],[PRIMER TRIMESTRE]:[CUARTO TRIMESTRE]])</f>
        <v>20</v>
      </c>
      <c r="J483" s="175"/>
      <c r="K483" s="175"/>
      <c r="L483" s="175"/>
      <c r="M483" s="77"/>
      <c r="N483" s="77"/>
      <c r="O483" s="177"/>
    </row>
    <row r="484" spans="2:15" s="12" customFormat="1" ht="18">
      <c r="B484" s="372" t="s">
        <v>80</v>
      </c>
      <c r="C484" s="77" t="s">
        <v>357</v>
      </c>
      <c r="D484" s="177" t="s">
        <v>17</v>
      </c>
      <c r="E484" s="370">
        <v>26</v>
      </c>
      <c r="F484" s="370">
        <v>22</v>
      </c>
      <c r="G484" s="370">
        <v>26</v>
      </c>
      <c r="H484" s="370">
        <v>22</v>
      </c>
      <c r="I484" s="363">
        <f>SUM(Tabla132112412[[#This Row],[PRIMER TRIMESTRE]:[CUARTO TRIMESTRE]])</f>
        <v>96</v>
      </c>
      <c r="J484" s="175">
        <v>8660</v>
      </c>
      <c r="K484" s="175">
        <f>+I484*J484</f>
        <v>831360</v>
      </c>
      <c r="L484" s="175"/>
      <c r="M484" s="77" t="s">
        <v>18</v>
      </c>
      <c r="N484" s="77" t="s">
        <v>22</v>
      </c>
      <c r="O484" s="177" t="s">
        <v>418</v>
      </c>
    </row>
    <row r="485" spans="2:15" s="12" customFormat="1" ht="18">
      <c r="B485" s="372" t="s">
        <v>80</v>
      </c>
      <c r="C485" s="454" t="s">
        <v>358</v>
      </c>
      <c r="D485" s="455" t="s">
        <v>17</v>
      </c>
      <c r="E485" s="362">
        <v>4</v>
      </c>
      <c r="F485" s="362"/>
      <c r="G485" s="362">
        <v>4</v>
      </c>
      <c r="H485" s="362"/>
      <c r="I485" s="363">
        <f>SUM(Tabla132112412[[#This Row],[PRIMER TRIMESTRE]:[CUARTO TRIMESTRE]])</f>
        <v>8</v>
      </c>
      <c r="J485" s="175"/>
      <c r="K485" s="175"/>
      <c r="L485" s="175"/>
      <c r="M485" s="77"/>
      <c r="N485" s="77"/>
      <c r="O485" s="177"/>
    </row>
    <row r="486" spans="2:15" s="12" customFormat="1" ht="18">
      <c r="B486" s="372" t="s">
        <v>80</v>
      </c>
      <c r="C486" s="77" t="s">
        <v>2157</v>
      </c>
      <c r="D486" s="177" t="s">
        <v>17</v>
      </c>
      <c r="E486" s="370">
        <v>18</v>
      </c>
      <c r="F486" s="370">
        <v>12</v>
      </c>
      <c r="G486" s="370">
        <v>18</v>
      </c>
      <c r="H486" s="370">
        <v>12</v>
      </c>
      <c r="I486" s="363">
        <f>SUM(Tabla132112412[[#This Row],[PRIMER TRIMESTRE]:[CUARTO TRIMESTRE]])</f>
        <v>60</v>
      </c>
      <c r="J486" s="175"/>
      <c r="K486" s="175"/>
      <c r="L486" s="175"/>
      <c r="M486" s="77"/>
      <c r="N486" s="77"/>
      <c r="O486" s="177"/>
    </row>
    <row r="487" spans="2:15" s="12" customFormat="1" ht="18">
      <c r="B487" s="372" t="s">
        <v>80</v>
      </c>
      <c r="C487" s="77" t="s">
        <v>359</v>
      </c>
      <c r="D487" s="177" t="s">
        <v>17</v>
      </c>
      <c r="E487" s="370">
        <v>14</v>
      </c>
      <c r="F487" s="370">
        <v>10</v>
      </c>
      <c r="G487" s="370">
        <v>14</v>
      </c>
      <c r="H487" s="370">
        <v>10</v>
      </c>
      <c r="I487" s="363">
        <f>SUM(Tabla132112412[[#This Row],[PRIMER TRIMESTRE]:[CUARTO TRIMESTRE]])</f>
        <v>48</v>
      </c>
      <c r="J487" s="175">
        <v>1800</v>
      </c>
      <c r="K487" s="175">
        <f t="shared" ref="K487:K496" si="11">+I487*J487</f>
        <v>86400</v>
      </c>
      <c r="L487" s="175"/>
      <c r="M487" s="77" t="s">
        <v>18</v>
      </c>
      <c r="N487" s="77" t="s">
        <v>22</v>
      </c>
      <c r="O487" s="177" t="s">
        <v>418</v>
      </c>
    </row>
    <row r="488" spans="2:15" s="12" customFormat="1" ht="18">
      <c r="B488" s="372" t="s">
        <v>80</v>
      </c>
      <c r="C488" s="77" t="s">
        <v>360</v>
      </c>
      <c r="D488" s="177" t="s">
        <v>17</v>
      </c>
      <c r="E488" s="370">
        <v>14</v>
      </c>
      <c r="F488" s="370">
        <v>10</v>
      </c>
      <c r="G488" s="370">
        <v>14</v>
      </c>
      <c r="H488" s="370">
        <v>10</v>
      </c>
      <c r="I488" s="363">
        <f>SUM(Tabla132112412[[#This Row],[PRIMER TRIMESTRE]:[CUARTO TRIMESTRE]])</f>
        <v>48</v>
      </c>
      <c r="J488" s="175">
        <v>2000</v>
      </c>
      <c r="K488" s="175">
        <f t="shared" si="11"/>
        <v>96000</v>
      </c>
      <c r="L488" s="175"/>
      <c r="M488" s="77" t="s">
        <v>18</v>
      </c>
      <c r="N488" s="77" t="s">
        <v>22</v>
      </c>
      <c r="O488" s="177" t="s">
        <v>418</v>
      </c>
    </row>
    <row r="489" spans="2:15" s="12" customFormat="1" ht="18">
      <c r="B489" s="372" t="s">
        <v>80</v>
      </c>
      <c r="C489" s="77" t="s">
        <v>353</v>
      </c>
      <c r="D489" s="177" t="s">
        <v>17</v>
      </c>
      <c r="E489" s="370">
        <v>0</v>
      </c>
      <c r="F489" s="370">
        <v>0</v>
      </c>
      <c r="G489" s="370">
        <v>0</v>
      </c>
      <c r="H489" s="370">
        <v>0</v>
      </c>
      <c r="I489" s="363">
        <f>SUM(Tabla132112412[[#This Row],[PRIMER TRIMESTRE]:[CUARTO TRIMESTRE]])</f>
        <v>0</v>
      </c>
      <c r="J489" s="175">
        <v>2500</v>
      </c>
      <c r="K489" s="175">
        <f t="shared" si="11"/>
        <v>0</v>
      </c>
      <c r="L489" s="175"/>
      <c r="M489" s="77" t="s">
        <v>18</v>
      </c>
      <c r="N489" s="77" t="s">
        <v>22</v>
      </c>
      <c r="O489" s="177" t="s">
        <v>418</v>
      </c>
    </row>
    <row r="490" spans="2:15" s="12" customFormat="1" ht="18">
      <c r="B490" s="372" t="s">
        <v>80</v>
      </c>
      <c r="C490" s="77" t="s">
        <v>354</v>
      </c>
      <c r="D490" s="177" t="s">
        <v>17</v>
      </c>
      <c r="E490" s="370">
        <v>15</v>
      </c>
      <c r="F490" s="370">
        <v>5</v>
      </c>
      <c r="G490" s="370">
        <v>15</v>
      </c>
      <c r="H490" s="370">
        <v>5</v>
      </c>
      <c r="I490" s="363">
        <f>SUM(Tabla132112412[[#This Row],[PRIMER TRIMESTRE]:[CUARTO TRIMESTRE]])</f>
        <v>40</v>
      </c>
      <c r="J490" s="175">
        <v>8502.7999999999993</v>
      </c>
      <c r="K490" s="175">
        <f t="shared" si="11"/>
        <v>340112</v>
      </c>
      <c r="L490" s="175"/>
      <c r="M490" s="77" t="s">
        <v>18</v>
      </c>
      <c r="N490" s="77" t="s">
        <v>22</v>
      </c>
      <c r="O490" s="177" t="s">
        <v>418</v>
      </c>
    </row>
    <row r="491" spans="2:15" s="12" customFormat="1" ht="18">
      <c r="B491" s="372" t="s">
        <v>80</v>
      </c>
      <c r="C491" s="77" t="s">
        <v>355</v>
      </c>
      <c r="D491" s="177" t="s">
        <v>17</v>
      </c>
      <c r="E491" s="370">
        <v>7</v>
      </c>
      <c r="F491" s="370">
        <v>5</v>
      </c>
      <c r="G491" s="370">
        <v>7</v>
      </c>
      <c r="H491" s="370">
        <v>5</v>
      </c>
      <c r="I491" s="363">
        <f>SUM(Tabla132112412[[#This Row],[PRIMER TRIMESTRE]:[CUARTO TRIMESTRE]])</f>
        <v>24</v>
      </c>
      <c r="J491" s="175">
        <v>12180</v>
      </c>
      <c r="K491" s="175">
        <f t="shared" si="11"/>
        <v>292320</v>
      </c>
      <c r="L491" s="175"/>
      <c r="M491" s="77" t="s">
        <v>18</v>
      </c>
      <c r="N491" s="77" t="s">
        <v>22</v>
      </c>
      <c r="O491" s="177" t="s">
        <v>418</v>
      </c>
    </row>
    <row r="492" spans="2:15" s="12" customFormat="1" ht="18">
      <c r="B492" s="372" t="s">
        <v>80</v>
      </c>
      <c r="C492" s="77" t="s">
        <v>1214</v>
      </c>
      <c r="D492" s="177" t="s">
        <v>17</v>
      </c>
      <c r="E492" s="370">
        <v>9</v>
      </c>
      <c r="F492" s="370">
        <v>9</v>
      </c>
      <c r="G492" s="370">
        <v>9</v>
      </c>
      <c r="H492" s="370">
        <v>9</v>
      </c>
      <c r="I492" s="363">
        <f>SUM(Tabla132112412[[#This Row],[PRIMER TRIMESTRE]:[CUARTO TRIMESTRE]])</f>
        <v>36</v>
      </c>
      <c r="J492" s="175">
        <v>12180</v>
      </c>
      <c r="K492" s="175">
        <f t="shared" si="11"/>
        <v>438480</v>
      </c>
      <c r="L492" s="175"/>
      <c r="M492" s="77" t="s">
        <v>18</v>
      </c>
      <c r="N492" s="77" t="s">
        <v>22</v>
      </c>
      <c r="O492" s="177" t="s">
        <v>418</v>
      </c>
    </row>
    <row r="493" spans="2:15" s="12" customFormat="1" ht="18">
      <c r="B493" s="372" t="s">
        <v>80</v>
      </c>
      <c r="C493" s="77" t="s">
        <v>366</v>
      </c>
      <c r="D493" s="177" t="s">
        <v>17</v>
      </c>
      <c r="E493" s="370">
        <v>14</v>
      </c>
      <c r="F493" s="370">
        <v>10</v>
      </c>
      <c r="G493" s="370">
        <v>14</v>
      </c>
      <c r="H493" s="370">
        <v>10</v>
      </c>
      <c r="I493" s="363">
        <f>SUM(Tabla132112412[[#This Row],[PRIMER TRIMESTRE]:[CUARTO TRIMESTRE]])</f>
        <v>48</v>
      </c>
      <c r="J493" s="175">
        <v>1800</v>
      </c>
      <c r="K493" s="175">
        <f t="shared" si="11"/>
        <v>86400</v>
      </c>
      <c r="L493" s="175"/>
      <c r="M493" s="77" t="s">
        <v>18</v>
      </c>
      <c r="N493" s="77" t="s">
        <v>22</v>
      </c>
      <c r="O493" s="177" t="s">
        <v>418</v>
      </c>
    </row>
    <row r="494" spans="2:15" s="12" customFormat="1" ht="18">
      <c r="B494" s="372" t="s">
        <v>80</v>
      </c>
      <c r="C494" s="77" t="s">
        <v>367</v>
      </c>
      <c r="D494" s="177" t="s">
        <v>17</v>
      </c>
      <c r="E494" s="370">
        <v>14</v>
      </c>
      <c r="F494" s="370">
        <v>14</v>
      </c>
      <c r="G494" s="370">
        <v>14</v>
      </c>
      <c r="H494" s="370">
        <v>14</v>
      </c>
      <c r="I494" s="363">
        <f>SUM(Tabla132112412[[#This Row],[PRIMER TRIMESTRE]:[CUARTO TRIMESTRE]])</f>
        <v>56</v>
      </c>
      <c r="J494" s="175">
        <v>2000</v>
      </c>
      <c r="K494" s="175">
        <f t="shared" si="11"/>
        <v>112000</v>
      </c>
      <c r="L494" s="175"/>
      <c r="M494" s="77" t="s">
        <v>18</v>
      </c>
      <c r="N494" s="77" t="s">
        <v>22</v>
      </c>
      <c r="O494" s="177" t="s">
        <v>418</v>
      </c>
    </row>
    <row r="495" spans="2:15" s="12" customFormat="1" ht="18">
      <c r="B495" s="372" t="s">
        <v>80</v>
      </c>
      <c r="C495" s="77" t="s">
        <v>361</v>
      </c>
      <c r="D495" s="177" t="s">
        <v>17</v>
      </c>
      <c r="E495" s="370">
        <v>0</v>
      </c>
      <c r="F495" s="370">
        <v>0</v>
      </c>
      <c r="G495" s="370">
        <v>0</v>
      </c>
      <c r="H495" s="370">
        <v>0</v>
      </c>
      <c r="I495" s="363">
        <f>SUM(Tabla132112412[[#This Row],[PRIMER TRIMESTRE]:[CUARTO TRIMESTRE]])</f>
        <v>0</v>
      </c>
      <c r="J495" s="175">
        <v>2500</v>
      </c>
      <c r="K495" s="175">
        <f t="shared" si="11"/>
        <v>0</v>
      </c>
      <c r="L495" s="175"/>
      <c r="M495" s="77" t="s">
        <v>18</v>
      </c>
      <c r="N495" s="77" t="s">
        <v>22</v>
      </c>
      <c r="O495" s="177" t="s">
        <v>418</v>
      </c>
    </row>
    <row r="496" spans="2:15" s="12" customFormat="1" ht="18">
      <c r="B496" s="372" t="s">
        <v>80</v>
      </c>
      <c r="C496" s="77" t="s">
        <v>362</v>
      </c>
      <c r="D496" s="177" t="s">
        <v>17</v>
      </c>
      <c r="E496" s="370">
        <v>9</v>
      </c>
      <c r="F496" s="370">
        <v>5</v>
      </c>
      <c r="G496" s="370">
        <v>9</v>
      </c>
      <c r="H496" s="370">
        <v>5</v>
      </c>
      <c r="I496" s="363">
        <f>SUM(Tabla132112412[[#This Row],[PRIMER TRIMESTRE]:[CUARTO TRIMESTRE]])</f>
        <v>28</v>
      </c>
      <c r="J496" s="175">
        <v>3100</v>
      </c>
      <c r="K496" s="175">
        <f t="shared" si="11"/>
        <v>86800</v>
      </c>
      <c r="L496" s="175"/>
      <c r="M496" s="77" t="s">
        <v>18</v>
      </c>
      <c r="N496" s="77" t="s">
        <v>22</v>
      </c>
      <c r="O496" s="177" t="s">
        <v>418</v>
      </c>
    </row>
    <row r="497" spans="2:15" s="12" customFormat="1" ht="18">
      <c r="B497" s="372" t="s">
        <v>80</v>
      </c>
      <c r="C497" s="454" t="s">
        <v>363</v>
      </c>
      <c r="D497" s="455" t="s">
        <v>17</v>
      </c>
      <c r="E497" s="362">
        <v>4</v>
      </c>
      <c r="F497" s="362"/>
      <c r="G497" s="362">
        <v>4</v>
      </c>
      <c r="H497" s="362"/>
      <c r="I497" s="363">
        <f>SUM(Tabla132112412[[#This Row],[PRIMER TRIMESTRE]:[CUARTO TRIMESTRE]])</f>
        <v>8</v>
      </c>
      <c r="J497" s="175"/>
      <c r="K497" s="175"/>
      <c r="L497" s="175"/>
      <c r="M497" s="77"/>
      <c r="N497" s="77"/>
      <c r="O497" s="177"/>
    </row>
    <row r="498" spans="2:15" s="12" customFormat="1" ht="18">
      <c r="B498" s="372" t="s">
        <v>80</v>
      </c>
      <c r="C498" s="454" t="s">
        <v>364</v>
      </c>
      <c r="D498" s="455" t="s">
        <v>17</v>
      </c>
      <c r="E498" s="362">
        <v>4</v>
      </c>
      <c r="F498" s="362"/>
      <c r="G498" s="362">
        <v>4</v>
      </c>
      <c r="H498" s="362"/>
      <c r="I498" s="363">
        <f>SUM(Tabla132112412[[#This Row],[PRIMER TRIMESTRE]:[CUARTO TRIMESTRE]])</f>
        <v>8</v>
      </c>
      <c r="J498" s="175"/>
      <c r="K498" s="175"/>
      <c r="L498" s="175"/>
      <c r="M498" s="77"/>
      <c r="N498" s="77"/>
      <c r="O498" s="177"/>
    </row>
    <row r="499" spans="2:15" s="12" customFormat="1" ht="18">
      <c r="B499" s="372" t="s">
        <v>80</v>
      </c>
      <c r="C499" s="454" t="s">
        <v>365</v>
      </c>
      <c r="D499" s="455" t="s">
        <v>17</v>
      </c>
      <c r="E499" s="362">
        <v>4</v>
      </c>
      <c r="F499" s="362"/>
      <c r="G499" s="362">
        <v>4</v>
      </c>
      <c r="H499" s="362"/>
      <c r="I499" s="363">
        <f>SUM(Tabla132112412[[#This Row],[PRIMER TRIMESTRE]:[CUARTO TRIMESTRE]])</f>
        <v>8</v>
      </c>
      <c r="J499" s="175"/>
      <c r="K499" s="175"/>
      <c r="L499" s="175"/>
      <c r="M499" s="77"/>
      <c r="N499" s="77"/>
      <c r="O499" s="177"/>
    </row>
    <row r="500" spans="2:15" s="12" customFormat="1" ht="18">
      <c r="B500" s="372" t="s">
        <v>80</v>
      </c>
      <c r="C500" s="454" t="s">
        <v>2158</v>
      </c>
      <c r="D500" s="455" t="s">
        <v>17</v>
      </c>
      <c r="E500" s="362">
        <v>20</v>
      </c>
      <c r="F500" s="362"/>
      <c r="G500" s="362">
        <v>20</v>
      </c>
      <c r="H500" s="362"/>
      <c r="I500" s="363">
        <f>SUM(Tabla132112412[[#This Row],[PRIMER TRIMESTRE]:[CUARTO TRIMESTRE]])</f>
        <v>40</v>
      </c>
      <c r="J500" s="175"/>
      <c r="K500" s="175"/>
      <c r="L500" s="175"/>
      <c r="M500" s="77"/>
      <c r="N500" s="77"/>
      <c r="O500" s="177"/>
    </row>
    <row r="501" spans="2:15" s="12" customFormat="1" ht="18">
      <c r="B501" s="372" t="s">
        <v>80</v>
      </c>
      <c r="C501" s="454" t="s">
        <v>2159</v>
      </c>
      <c r="D501" s="455" t="s">
        <v>17</v>
      </c>
      <c r="E501" s="362">
        <v>2</v>
      </c>
      <c r="F501" s="362"/>
      <c r="G501" s="362">
        <v>2</v>
      </c>
      <c r="H501" s="362"/>
      <c r="I501" s="363">
        <f>SUM(Tabla132112412[[#This Row],[PRIMER TRIMESTRE]:[CUARTO TRIMESTRE]])</f>
        <v>4</v>
      </c>
      <c r="J501" s="175"/>
      <c r="K501" s="175"/>
      <c r="L501" s="175"/>
      <c r="M501" s="77"/>
      <c r="N501" s="77"/>
      <c r="O501" s="177"/>
    </row>
    <row r="502" spans="2:15" s="12" customFormat="1" ht="18">
      <c r="B502" s="372" t="s">
        <v>80</v>
      </c>
      <c r="C502" s="454" t="s">
        <v>2160</v>
      </c>
      <c r="D502" s="455" t="s">
        <v>17</v>
      </c>
      <c r="E502" s="362">
        <v>50</v>
      </c>
      <c r="F502" s="362"/>
      <c r="G502" s="362">
        <v>50</v>
      </c>
      <c r="H502" s="362"/>
      <c r="I502" s="363">
        <f>SUM(Tabla132112412[[#This Row],[PRIMER TRIMESTRE]:[CUARTO TRIMESTRE]])</f>
        <v>100</v>
      </c>
      <c r="J502" s="175"/>
      <c r="K502" s="175"/>
      <c r="L502" s="175"/>
      <c r="M502" s="77"/>
      <c r="N502" s="77"/>
      <c r="O502" s="177"/>
    </row>
    <row r="503" spans="2:15" s="12" customFormat="1" ht="18">
      <c r="B503" s="372" t="s">
        <v>80</v>
      </c>
      <c r="C503" s="454" t="s">
        <v>2161</v>
      </c>
      <c r="D503" s="455" t="s">
        <v>17</v>
      </c>
      <c r="E503" s="362">
        <v>0</v>
      </c>
      <c r="F503" s="362"/>
      <c r="G503" s="362">
        <v>0</v>
      </c>
      <c r="H503" s="362"/>
      <c r="I503" s="363">
        <f>SUM(Tabla132112412[[#This Row],[PRIMER TRIMESTRE]:[CUARTO TRIMESTRE]])</f>
        <v>0</v>
      </c>
      <c r="J503" s="175"/>
      <c r="K503" s="175"/>
      <c r="L503" s="175"/>
      <c r="M503" s="77"/>
      <c r="N503" s="77"/>
      <c r="O503" s="177"/>
    </row>
    <row r="504" spans="2:15" s="12" customFormat="1" ht="18">
      <c r="B504" s="372" t="s">
        <v>80</v>
      </c>
      <c r="C504" s="454" t="s">
        <v>2162</v>
      </c>
      <c r="D504" s="455" t="s">
        <v>17</v>
      </c>
      <c r="E504" s="362">
        <v>0</v>
      </c>
      <c r="F504" s="362"/>
      <c r="G504" s="362"/>
      <c r="H504" s="362"/>
      <c r="I504" s="363">
        <f>SUM(Tabla132112412[[#This Row],[PRIMER TRIMESTRE]:[CUARTO TRIMESTRE]])</f>
        <v>0</v>
      </c>
      <c r="J504" s="175"/>
      <c r="K504" s="175"/>
      <c r="L504" s="175"/>
      <c r="M504" s="77"/>
      <c r="N504" s="77"/>
      <c r="O504" s="177"/>
    </row>
    <row r="505" spans="2:15" s="12" customFormat="1" ht="18">
      <c r="B505" s="372" t="s">
        <v>80</v>
      </c>
      <c r="C505" s="454" t="s">
        <v>2163</v>
      </c>
      <c r="D505" s="455" t="s">
        <v>17</v>
      </c>
      <c r="E505" s="362">
        <v>50</v>
      </c>
      <c r="F505" s="362"/>
      <c r="G505" s="362">
        <v>50</v>
      </c>
      <c r="H505" s="362"/>
      <c r="I505" s="363">
        <f>SUM(Tabla132112412[[#This Row],[PRIMER TRIMESTRE]:[CUARTO TRIMESTRE]])</f>
        <v>100</v>
      </c>
      <c r="J505" s="175"/>
      <c r="K505" s="175"/>
      <c r="L505" s="175"/>
      <c r="M505" s="77"/>
      <c r="N505" s="77"/>
      <c r="O505" s="177"/>
    </row>
    <row r="506" spans="2:15" s="12" customFormat="1" ht="18">
      <c r="B506" s="372" t="s">
        <v>80</v>
      </c>
      <c r="C506" s="454" t="s">
        <v>2164</v>
      </c>
      <c r="D506" s="455" t="s">
        <v>17</v>
      </c>
      <c r="E506" s="362">
        <v>50</v>
      </c>
      <c r="F506" s="362"/>
      <c r="G506" s="362">
        <v>50</v>
      </c>
      <c r="H506" s="362"/>
      <c r="I506" s="363">
        <f>SUM(Tabla132112412[[#This Row],[PRIMER TRIMESTRE]:[CUARTO TRIMESTRE]])</f>
        <v>100</v>
      </c>
      <c r="J506" s="175"/>
      <c r="K506" s="175"/>
      <c r="L506" s="175"/>
      <c r="M506" s="77"/>
      <c r="N506" s="77"/>
      <c r="O506" s="177"/>
    </row>
    <row r="507" spans="2:15" s="12" customFormat="1" ht="18">
      <c r="B507" s="372" t="s">
        <v>80</v>
      </c>
      <c r="C507" s="454" t="s">
        <v>2165</v>
      </c>
      <c r="D507" s="455" t="s">
        <v>17</v>
      </c>
      <c r="E507" s="362">
        <v>30</v>
      </c>
      <c r="F507" s="362"/>
      <c r="G507" s="362">
        <v>30</v>
      </c>
      <c r="H507" s="362"/>
      <c r="I507" s="363">
        <f>SUM(Tabla132112412[[#This Row],[PRIMER TRIMESTRE]:[CUARTO TRIMESTRE]])</f>
        <v>60</v>
      </c>
      <c r="J507" s="175"/>
      <c r="K507" s="175"/>
      <c r="L507" s="175"/>
      <c r="M507" s="77"/>
      <c r="N507" s="77"/>
      <c r="O507" s="177"/>
    </row>
    <row r="508" spans="2:15" s="12" customFormat="1" ht="18">
      <c r="B508" s="372" t="s">
        <v>80</v>
      </c>
      <c r="C508" s="454" t="s">
        <v>2166</v>
      </c>
      <c r="D508" s="455" t="s">
        <v>17</v>
      </c>
      <c r="E508" s="362">
        <v>40</v>
      </c>
      <c r="F508" s="362"/>
      <c r="G508" s="362">
        <v>20</v>
      </c>
      <c r="H508" s="362"/>
      <c r="I508" s="363">
        <f>SUM(Tabla132112412[[#This Row],[PRIMER TRIMESTRE]:[CUARTO TRIMESTRE]])</f>
        <v>60</v>
      </c>
      <c r="J508" s="175"/>
      <c r="K508" s="175"/>
      <c r="L508" s="175"/>
      <c r="M508" s="77"/>
      <c r="N508" s="77"/>
      <c r="O508" s="177"/>
    </row>
    <row r="509" spans="2:15" s="12" customFormat="1" ht="18">
      <c r="B509" s="372" t="s">
        <v>80</v>
      </c>
      <c r="C509" s="77" t="s">
        <v>2167</v>
      </c>
      <c r="D509" s="177" t="s">
        <v>17</v>
      </c>
      <c r="E509" s="375">
        <v>1</v>
      </c>
      <c r="F509" s="375"/>
      <c r="G509" s="375">
        <v>1</v>
      </c>
      <c r="H509" s="362"/>
      <c r="I509" s="363">
        <f>SUM(Tabla132112412[[#This Row],[PRIMER TRIMESTRE]:[CUARTO TRIMESTRE]])</f>
        <v>2</v>
      </c>
      <c r="J509" s="175"/>
      <c r="K509" s="175"/>
      <c r="L509" s="175"/>
      <c r="M509" s="77"/>
      <c r="N509" s="77"/>
      <c r="O509" s="177"/>
    </row>
    <row r="510" spans="2:15" s="12" customFormat="1" ht="18">
      <c r="B510" s="372" t="s">
        <v>80</v>
      </c>
      <c r="C510" s="77" t="s">
        <v>2168</v>
      </c>
      <c r="D510" s="177" t="s">
        <v>17</v>
      </c>
      <c r="E510" s="375">
        <v>1</v>
      </c>
      <c r="F510" s="375"/>
      <c r="G510" s="375">
        <v>1</v>
      </c>
      <c r="H510" s="362"/>
      <c r="I510" s="363">
        <f>SUM(Tabla132112412[[#This Row],[PRIMER TRIMESTRE]:[CUARTO TRIMESTRE]])</f>
        <v>2</v>
      </c>
      <c r="J510" s="175"/>
      <c r="K510" s="175"/>
      <c r="L510" s="175"/>
      <c r="M510" s="77"/>
      <c r="N510" s="77"/>
      <c r="O510" s="177"/>
    </row>
    <row r="511" spans="2:15" s="12" customFormat="1" ht="18">
      <c r="B511" s="372" t="s">
        <v>80</v>
      </c>
      <c r="C511" s="77" t="s">
        <v>2169</v>
      </c>
      <c r="D511" s="177" t="s">
        <v>17</v>
      </c>
      <c r="E511" s="375">
        <v>10</v>
      </c>
      <c r="F511" s="375">
        <v>5</v>
      </c>
      <c r="G511" s="375">
        <v>5</v>
      </c>
      <c r="H511" s="362">
        <v>5</v>
      </c>
      <c r="I511" s="363">
        <f>SUM(Tabla132112412[[#This Row],[PRIMER TRIMESTRE]:[CUARTO TRIMESTRE]])</f>
        <v>25</v>
      </c>
      <c r="J511" s="175"/>
      <c r="K511" s="175"/>
      <c r="L511" s="175"/>
      <c r="M511" s="77"/>
      <c r="N511" s="77"/>
      <c r="O511" s="177"/>
    </row>
    <row r="512" spans="2:15" s="12" customFormat="1" ht="18">
      <c r="B512" s="372" t="s">
        <v>80</v>
      </c>
      <c r="C512" s="77" t="s">
        <v>2170</v>
      </c>
      <c r="D512" s="177" t="s">
        <v>17</v>
      </c>
      <c r="E512" s="375">
        <v>1</v>
      </c>
      <c r="F512" s="375"/>
      <c r="G512" s="375">
        <v>1</v>
      </c>
      <c r="H512" s="362"/>
      <c r="I512" s="363">
        <f>SUM(Tabla132112412[[#This Row],[PRIMER TRIMESTRE]:[CUARTO TRIMESTRE]])</f>
        <v>2</v>
      </c>
      <c r="J512" s="175"/>
      <c r="K512" s="175"/>
      <c r="L512" s="175"/>
      <c r="M512" s="77"/>
      <c r="N512" s="77"/>
      <c r="O512" s="177"/>
    </row>
    <row r="513" spans="2:15" s="12" customFormat="1" ht="18">
      <c r="B513" s="372" t="s">
        <v>80</v>
      </c>
      <c r="C513" s="77" t="s">
        <v>2171</v>
      </c>
      <c r="D513" s="177" t="s">
        <v>17</v>
      </c>
      <c r="E513" s="375">
        <v>20</v>
      </c>
      <c r="F513" s="375"/>
      <c r="G513" s="375">
        <v>10</v>
      </c>
      <c r="H513" s="362"/>
      <c r="I513" s="363">
        <f>SUM(Tabla132112412[[#This Row],[PRIMER TRIMESTRE]:[CUARTO TRIMESTRE]])</f>
        <v>30</v>
      </c>
      <c r="J513" s="175"/>
      <c r="K513" s="175"/>
      <c r="L513" s="175"/>
      <c r="M513" s="77"/>
      <c r="N513" s="77"/>
      <c r="O513" s="177"/>
    </row>
    <row r="514" spans="2:15" s="12" customFormat="1" ht="18">
      <c r="B514" s="372" t="s">
        <v>80</v>
      </c>
      <c r="C514" s="77" t="s">
        <v>2172</v>
      </c>
      <c r="D514" s="177" t="s">
        <v>17</v>
      </c>
      <c r="E514" s="375">
        <v>1</v>
      </c>
      <c r="F514" s="375"/>
      <c r="G514" s="375">
        <v>1</v>
      </c>
      <c r="H514" s="362"/>
      <c r="I514" s="363">
        <f>SUM(Tabla132112412[[#This Row],[PRIMER TRIMESTRE]:[CUARTO TRIMESTRE]])</f>
        <v>2</v>
      </c>
      <c r="J514" s="175"/>
      <c r="K514" s="175"/>
      <c r="L514" s="175"/>
      <c r="M514" s="77"/>
      <c r="N514" s="77"/>
      <c r="O514" s="177"/>
    </row>
    <row r="515" spans="2:15" s="12" customFormat="1" ht="18">
      <c r="B515" s="372" t="s">
        <v>80</v>
      </c>
      <c r="C515" s="77" t="s">
        <v>2173</v>
      </c>
      <c r="D515" s="177" t="s">
        <v>17</v>
      </c>
      <c r="E515" s="375">
        <v>2</v>
      </c>
      <c r="F515" s="375"/>
      <c r="G515" s="375"/>
      <c r="H515" s="362"/>
      <c r="I515" s="363">
        <f>SUM(Tabla132112412[[#This Row],[PRIMER TRIMESTRE]:[CUARTO TRIMESTRE]])</f>
        <v>2</v>
      </c>
      <c r="J515" s="175"/>
      <c r="K515" s="175"/>
      <c r="L515" s="175"/>
      <c r="M515" s="77"/>
      <c r="N515" s="77"/>
      <c r="O515" s="177"/>
    </row>
    <row r="516" spans="2:15" s="12" customFormat="1" ht="18">
      <c r="B516" s="372" t="s">
        <v>80</v>
      </c>
      <c r="C516" s="77" t="s">
        <v>1439</v>
      </c>
      <c r="D516" s="177" t="s">
        <v>17</v>
      </c>
      <c r="E516" s="370">
        <v>0</v>
      </c>
      <c r="F516" s="370">
        <v>0</v>
      </c>
      <c r="G516" s="370">
        <v>0</v>
      </c>
      <c r="H516" s="370">
        <v>0</v>
      </c>
      <c r="I516" s="363">
        <f>SUM(Tabla132112412[[#This Row],[PRIMER TRIMESTRE]:[CUARTO TRIMESTRE]])</f>
        <v>0</v>
      </c>
      <c r="J516" s="175">
        <v>4100</v>
      </c>
      <c r="K516" s="175">
        <f>+I516*J516</f>
        <v>0</v>
      </c>
      <c r="L516" s="175"/>
      <c r="M516" s="77" t="s">
        <v>18</v>
      </c>
      <c r="N516" s="77" t="s">
        <v>22</v>
      </c>
      <c r="O516" s="177" t="s">
        <v>418</v>
      </c>
    </row>
    <row r="517" spans="2:15" s="12" customFormat="1" ht="18">
      <c r="B517" s="372" t="s">
        <v>80</v>
      </c>
      <c r="C517" s="77" t="s">
        <v>2174</v>
      </c>
      <c r="D517" s="177" t="s">
        <v>17</v>
      </c>
      <c r="E517" s="370">
        <v>4</v>
      </c>
      <c r="F517" s="370">
        <v>4</v>
      </c>
      <c r="G517" s="370">
        <v>4</v>
      </c>
      <c r="H517" s="370">
        <v>4</v>
      </c>
      <c r="I517" s="363">
        <f>SUM(Tabla132112412[[#This Row],[PRIMER TRIMESTRE]:[CUARTO TRIMESTRE]])</f>
        <v>16</v>
      </c>
      <c r="J517" s="175"/>
      <c r="K517" s="175"/>
      <c r="L517" s="175"/>
      <c r="M517" s="77"/>
      <c r="N517" s="77"/>
      <c r="O517" s="177"/>
    </row>
    <row r="518" spans="2:15" s="12" customFormat="1" ht="18">
      <c r="B518" s="372" t="s">
        <v>80</v>
      </c>
      <c r="C518" s="77" t="s">
        <v>920</v>
      </c>
      <c r="D518" s="177" t="s">
        <v>17</v>
      </c>
      <c r="E518" s="370">
        <v>26</v>
      </c>
      <c r="F518" s="370">
        <v>26</v>
      </c>
      <c r="G518" s="370">
        <v>26</v>
      </c>
      <c r="H518" s="370">
        <v>26</v>
      </c>
      <c r="I518" s="363">
        <f>SUM(Tabla132112412[[#This Row],[PRIMER TRIMESTRE]:[CUARTO TRIMESTRE]])</f>
        <v>104</v>
      </c>
      <c r="J518" s="175">
        <v>140</v>
      </c>
      <c r="K518" s="175">
        <f>+I518*J518</f>
        <v>14560</v>
      </c>
      <c r="L518" s="175"/>
      <c r="M518" s="77" t="s">
        <v>18</v>
      </c>
      <c r="N518" s="77" t="s">
        <v>22</v>
      </c>
      <c r="O518" s="177" t="s">
        <v>418</v>
      </c>
    </row>
    <row r="519" spans="2:15" s="12" customFormat="1" ht="18">
      <c r="B519" s="372" t="s">
        <v>80</v>
      </c>
      <c r="C519" s="77" t="s">
        <v>1578</v>
      </c>
      <c r="D519" s="177" t="s">
        <v>17</v>
      </c>
      <c r="E519" s="370">
        <v>0</v>
      </c>
      <c r="F519" s="370">
        <v>0</v>
      </c>
      <c r="G519" s="370">
        <v>0</v>
      </c>
      <c r="H519" s="370">
        <v>0</v>
      </c>
      <c r="I519" s="363">
        <f>SUM(Tabla132112412[[#This Row],[PRIMER TRIMESTRE]:[CUARTO TRIMESTRE]])</f>
        <v>0</v>
      </c>
      <c r="J519" s="175">
        <v>397.8</v>
      </c>
      <c r="K519" s="175">
        <f>+I519*J519</f>
        <v>0</v>
      </c>
      <c r="L519" s="175"/>
      <c r="M519" s="77" t="s">
        <v>18</v>
      </c>
      <c r="N519" s="77" t="s">
        <v>22</v>
      </c>
      <c r="O519" s="177" t="s">
        <v>418</v>
      </c>
    </row>
    <row r="520" spans="2:15" s="12" customFormat="1" ht="18">
      <c r="B520" s="372" t="s">
        <v>80</v>
      </c>
      <c r="C520" s="77" t="s">
        <v>154</v>
      </c>
      <c r="D520" s="177" t="s">
        <v>470</v>
      </c>
      <c r="E520" s="370">
        <v>10</v>
      </c>
      <c r="F520" s="370">
        <v>10</v>
      </c>
      <c r="G520" s="370">
        <v>10</v>
      </c>
      <c r="H520" s="370">
        <v>10</v>
      </c>
      <c r="I520" s="363">
        <f>SUM(Tabla132112412[[#This Row],[PRIMER TRIMESTRE]:[CUARTO TRIMESTRE]])</f>
        <v>40</v>
      </c>
      <c r="J520" s="175">
        <v>100</v>
      </c>
      <c r="K520" s="175">
        <f>+Tabla132112412[[#This Row],[CANTIDAD TOTAL]]*Tabla132112412[[#This Row],[PRECIO UNITARIO ESTIMADO]]</f>
        <v>4000</v>
      </c>
      <c r="L520" s="175"/>
      <c r="M520" s="77" t="s">
        <v>18</v>
      </c>
      <c r="N520" s="77" t="s">
        <v>22</v>
      </c>
      <c r="O520" s="177" t="s">
        <v>418</v>
      </c>
    </row>
    <row r="521" spans="2:15" s="12" customFormat="1" ht="18">
      <c r="B521" s="372" t="s">
        <v>80</v>
      </c>
      <c r="C521" s="77" t="s">
        <v>2175</v>
      </c>
      <c r="D521" s="177" t="s">
        <v>93</v>
      </c>
      <c r="E521" s="370">
        <v>430</v>
      </c>
      <c r="F521" s="370">
        <v>30</v>
      </c>
      <c r="G521" s="370">
        <v>430</v>
      </c>
      <c r="H521" s="370">
        <v>30</v>
      </c>
      <c r="I521" s="363">
        <f>SUM(Tabla132112412[[#This Row],[PRIMER TRIMESTRE]:[CUARTO TRIMESTRE]])</f>
        <v>920</v>
      </c>
      <c r="J521" s="175">
        <v>224.78</v>
      </c>
      <c r="K521" s="175">
        <f>+Tabla132112412[[#This Row],[CANTIDAD TOTAL]]*Tabla132112412[[#This Row],[PRECIO UNITARIO ESTIMADO]]</f>
        <v>206797.6</v>
      </c>
      <c r="L521" s="175"/>
      <c r="M521" s="77" t="s">
        <v>18</v>
      </c>
      <c r="N521" s="77" t="s">
        <v>22</v>
      </c>
      <c r="O521" s="177" t="s">
        <v>418</v>
      </c>
    </row>
    <row r="522" spans="2:15" s="12" customFormat="1" ht="18">
      <c r="B522" s="372" t="s">
        <v>80</v>
      </c>
      <c r="C522" s="77" t="s">
        <v>177</v>
      </c>
      <c r="D522" s="177" t="s">
        <v>93</v>
      </c>
      <c r="E522" s="370">
        <v>60</v>
      </c>
      <c r="F522" s="370">
        <v>30</v>
      </c>
      <c r="G522" s="370">
        <v>60</v>
      </c>
      <c r="H522" s="370">
        <v>30</v>
      </c>
      <c r="I522" s="363">
        <f>SUM(Tabla132112412[[#This Row],[PRIMER TRIMESTRE]:[CUARTO TRIMESTRE]])</f>
        <v>180</v>
      </c>
      <c r="J522" s="175">
        <v>225.78</v>
      </c>
      <c r="K522" s="175">
        <f>+Tabla132112412[[#This Row],[CANTIDAD TOTAL]]*Tabla132112412[[#This Row],[PRECIO UNITARIO ESTIMADO]]</f>
        <v>40640.400000000001</v>
      </c>
      <c r="L522" s="175"/>
      <c r="M522" s="77" t="s">
        <v>18</v>
      </c>
      <c r="N522" s="77" t="s">
        <v>22</v>
      </c>
      <c r="O522" s="177" t="s">
        <v>418</v>
      </c>
    </row>
    <row r="523" spans="2:15" s="12" customFormat="1" ht="18">
      <c r="B523" s="372" t="s">
        <v>80</v>
      </c>
      <c r="C523" s="77" t="s">
        <v>2176</v>
      </c>
      <c r="D523" s="177" t="s">
        <v>93</v>
      </c>
      <c r="E523" s="370">
        <v>60</v>
      </c>
      <c r="F523" s="370">
        <v>30</v>
      </c>
      <c r="G523" s="370">
        <v>60</v>
      </c>
      <c r="H523" s="370">
        <v>30</v>
      </c>
      <c r="I523" s="363">
        <f>SUM(Tabla132112412[[#This Row],[PRIMER TRIMESTRE]:[CUARTO TRIMESTRE]])</f>
        <v>180</v>
      </c>
      <c r="J523" s="175">
        <v>226.78</v>
      </c>
      <c r="K523" s="175">
        <f>+Tabla132112412[[#This Row],[CANTIDAD TOTAL]]*Tabla132112412[[#This Row],[PRECIO UNITARIO ESTIMADO]]</f>
        <v>40820.400000000001</v>
      </c>
      <c r="L523" s="175"/>
      <c r="M523" s="77" t="s">
        <v>18</v>
      </c>
      <c r="N523" s="77" t="s">
        <v>22</v>
      </c>
      <c r="O523" s="177" t="s">
        <v>418</v>
      </c>
    </row>
    <row r="524" spans="2:15" s="12" customFormat="1" ht="18">
      <c r="B524" s="372" t="s">
        <v>80</v>
      </c>
      <c r="C524" s="77" t="s">
        <v>460</v>
      </c>
      <c r="D524" s="177" t="s">
        <v>93</v>
      </c>
      <c r="E524" s="370">
        <v>4</v>
      </c>
      <c r="F524" s="370">
        <v>2</v>
      </c>
      <c r="G524" s="370">
        <v>4</v>
      </c>
      <c r="H524" s="370">
        <v>2</v>
      </c>
      <c r="I524" s="363">
        <f>SUM(Tabla132112412[[#This Row],[PRIMER TRIMESTRE]:[CUARTO TRIMESTRE]])</f>
        <v>12</v>
      </c>
      <c r="J524" s="175">
        <v>2055.4</v>
      </c>
      <c r="K524" s="175">
        <f>+I524*J524</f>
        <v>24664.800000000003</v>
      </c>
      <c r="L524" s="175"/>
      <c r="M524" s="77" t="s">
        <v>18</v>
      </c>
      <c r="N524" s="77" t="s">
        <v>22</v>
      </c>
      <c r="O524" s="177" t="s">
        <v>418</v>
      </c>
    </row>
    <row r="525" spans="2:15" s="12" customFormat="1" ht="18">
      <c r="B525" s="372" t="s">
        <v>80</v>
      </c>
      <c r="C525" s="77" t="s">
        <v>179</v>
      </c>
      <c r="D525" s="177" t="s">
        <v>93</v>
      </c>
      <c r="E525" s="370">
        <v>201</v>
      </c>
      <c r="F525" s="370">
        <v>1</v>
      </c>
      <c r="G525" s="370">
        <v>201</v>
      </c>
      <c r="H525" s="370">
        <v>1</v>
      </c>
      <c r="I525" s="363">
        <f>SUM(Tabla132112412[[#This Row],[PRIMER TRIMESTRE]:[CUARTO TRIMESTRE]])</f>
        <v>404</v>
      </c>
      <c r="J525" s="175">
        <v>222.14</v>
      </c>
      <c r="K525" s="175">
        <f>+Tabla132112412[[#This Row],[CANTIDAD TOTAL]]*Tabla132112412[[#This Row],[PRECIO UNITARIO ESTIMADO]]</f>
        <v>89744.56</v>
      </c>
      <c r="L525" s="175"/>
      <c r="M525" s="77" t="s">
        <v>18</v>
      </c>
      <c r="N525" s="77" t="s">
        <v>22</v>
      </c>
      <c r="O525" s="177" t="s">
        <v>418</v>
      </c>
    </row>
    <row r="526" spans="2:15" s="12" customFormat="1" ht="18">
      <c r="B526" s="372" t="s">
        <v>80</v>
      </c>
      <c r="C526" s="77" t="s">
        <v>1549</v>
      </c>
      <c r="D526" s="177" t="s">
        <v>17</v>
      </c>
      <c r="E526" s="370">
        <v>0</v>
      </c>
      <c r="F526" s="370">
        <v>0</v>
      </c>
      <c r="G526" s="370">
        <v>0</v>
      </c>
      <c r="H526" s="370">
        <v>0</v>
      </c>
      <c r="I526" s="363">
        <f>SUM(Tabla132112412[[#This Row],[PRIMER TRIMESTRE]:[CUARTO TRIMESTRE]])</f>
        <v>0</v>
      </c>
      <c r="J526" s="175">
        <v>62328</v>
      </c>
      <c r="K526" s="175">
        <f>+I526*J526</f>
        <v>0</v>
      </c>
      <c r="L526" s="175"/>
      <c r="M526" s="77" t="s">
        <v>18</v>
      </c>
      <c r="N526" s="77" t="s">
        <v>22</v>
      </c>
      <c r="O526" s="177" t="s">
        <v>418</v>
      </c>
    </row>
    <row r="527" spans="2:15" s="12" customFormat="1" ht="18">
      <c r="B527" s="372" t="s">
        <v>80</v>
      </c>
      <c r="C527" s="77" t="s">
        <v>181</v>
      </c>
      <c r="D527" s="177" t="s">
        <v>69</v>
      </c>
      <c r="E527" s="370">
        <v>7</v>
      </c>
      <c r="F527" s="370">
        <v>0</v>
      </c>
      <c r="G527" s="370">
        <v>4</v>
      </c>
      <c r="H527" s="370">
        <v>0</v>
      </c>
      <c r="I527" s="363">
        <f>SUM(Tabla132112412[[#This Row],[PRIMER TRIMESTRE]:[CUARTO TRIMESTRE]])</f>
        <v>11</v>
      </c>
      <c r="J527" s="175">
        <v>6206</v>
      </c>
      <c r="K527" s="175">
        <f>+Tabla132112412[[#This Row],[CANTIDAD TOTAL]]*Tabla132112412[[#This Row],[PRECIO UNITARIO ESTIMADO]]</f>
        <v>68266</v>
      </c>
      <c r="L527" s="175"/>
      <c r="M527" s="77" t="s">
        <v>18</v>
      </c>
      <c r="N527" s="77" t="s">
        <v>22</v>
      </c>
      <c r="O527" s="177" t="s">
        <v>418</v>
      </c>
    </row>
    <row r="528" spans="2:15" s="12" customFormat="1" ht="25.5">
      <c r="B528" s="372" t="s">
        <v>80</v>
      </c>
      <c r="C528" s="77" t="s">
        <v>468</v>
      </c>
      <c r="D528" s="177" t="s">
        <v>17</v>
      </c>
      <c r="E528" s="370">
        <v>3</v>
      </c>
      <c r="F528" s="370">
        <v>0</v>
      </c>
      <c r="G528" s="370">
        <v>0</v>
      </c>
      <c r="H528" s="370">
        <v>0</v>
      </c>
      <c r="I528" s="363">
        <f>SUM(Tabla132112412[[#This Row],[PRIMER TRIMESTRE]:[CUARTO TRIMESTRE]])</f>
        <v>3</v>
      </c>
      <c r="J528" s="175">
        <v>4827</v>
      </c>
      <c r="K528" s="175">
        <f>+Tabla132112412[[#This Row],[CANTIDAD TOTAL]]*Tabla132112412[[#This Row],[PRECIO UNITARIO ESTIMADO]]</f>
        <v>14481</v>
      </c>
      <c r="L528" s="175"/>
      <c r="M528" s="77" t="s">
        <v>18</v>
      </c>
      <c r="N528" s="77" t="s">
        <v>22</v>
      </c>
      <c r="O528" s="177" t="s">
        <v>418</v>
      </c>
    </row>
    <row r="529" spans="2:15" s="12" customFormat="1" ht="18">
      <c r="B529" s="372" t="s">
        <v>80</v>
      </c>
      <c r="C529" s="367" t="s">
        <v>2177</v>
      </c>
      <c r="D529" s="177" t="s">
        <v>17</v>
      </c>
      <c r="E529" s="368">
        <v>20</v>
      </c>
      <c r="F529" s="368">
        <v>10</v>
      </c>
      <c r="G529" s="368">
        <v>10</v>
      </c>
      <c r="H529" s="368">
        <v>10</v>
      </c>
      <c r="I529" s="363">
        <f>SUM(Tabla132112412[[#This Row],[PRIMER TRIMESTRE]:[CUARTO TRIMESTRE]])</f>
        <v>50</v>
      </c>
      <c r="J529" s="175"/>
      <c r="K529" s="175"/>
      <c r="L529" s="175"/>
      <c r="M529" s="77"/>
      <c r="N529" s="77"/>
      <c r="O529" s="177"/>
    </row>
    <row r="530" spans="2:15" s="12" customFormat="1" ht="18">
      <c r="B530" s="372" t="s">
        <v>80</v>
      </c>
      <c r="C530" s="367" t="s">
        <v>2178</v>
      </c>
      <c r="D530" s="177" t="s">
        <v>17</v>
      </c>
      <c r="E530" s="368">
        <v>20</v>
      </c>
      <c r="F530" s="368">
        <v>10</v>
      </c>
      <c r="G530" s="368">
        <v>10</v>
      </c>
      <c r="H530" s="368">
        <v>10</v>
      </c>
      <c r="I530" s="363">
        <f>SUM(Tabla132112412[[#This Row],[PRIMER TRIMESTRE]:[CUARTO TRIMESTRE]])</f>
        <v>50</v>
      </c>
      <c r="J530" s="175"/>
      <c r="K530" s="175"/>
      <c r="L530" s="175"/>
      <c r="M530" s="77"/>
      <c r="N530" s="77"/>
      <c r="O530" s="177"/>
    </row>
    <row r="531" spans="2:15" s="12" customFormat="1" ht="18">
      <c r="B531" s="372" t="s">
        <v>80</v>
      </c>
      <c r="C531" s="367" t="s">
        <v>2179</v>
      </c>
      <c r="D531" s="177" t="s">
        <v>17</v>
      </c>
      <c r="E531" s="368">
        <v>20</v>
      </c>
      <c r="F531" s="368">
        <v>10</v>
      </c>
      <c r="G531" s="368">
        <v>10</v>
      </c>
      <c r="H531" s="368">
        <v>10</v>
      </c>
      <c r="I531" s="363">
        <f>SUM(Tabla132112412[[#This Row],[PRIMER TRIMESTRE]:[CUARTO TRIMESTRE]])</f>
        <v>50</v>
      </c>
      <c r="J531" s="175"/>
      <c r="K531" s="175"/>
      <c r="L531" s="175"/>
      <c r="M531" s="77"/>
      <c r="N531" s="77"/>
      <c r="O531" s="177"/>
    </row>
    <row r="532" spans="2:15" s="12" customFormat="1" ht="18">
      <c r="B532" s="372" t="s">
        <v>80</v>
      </c>
      <c r="C532" s="367" t="s">
        <v>2180</v>
      </c>
      <c r="D532" s="177" t="s">
        <v>17</v>
      </c>
      <c r="E532" s="368">
        <v>20</v>
      </c>
      <c r="F532" s="368">
        <v>10</v>
      </c>
      <c r="G532" s="368">
        <v>10</v>
      </c>
      <c r="H532" s="368">
        <v>10</v>
      </c>
      <c r="I532" s="363">
        <f>SUM(Tabla132112412[[#This Row],[PRIMER TRIMESTRE]:[CUARTO TRIMESTRE]])</f>
        <v>50</v>
      </c>
      <c r="J532" s="175"/>
      <c r="K532" s="175"/>
      <c r="L532" s="175"/>
      <c r="M532" s="77"/>
      <c r="N532" s="77"/>
      <c r="O532" s="177"/>
    </row>
    <row r="533" spans="2:15" s="12" customFormat="1" ht="18">
      <c r="B533" s="372" t="s">
        <v>80</v>
      </c>
      <c r="C533" s="367" t="s">
        <v>2181</v>
      </c>
      <c r="D533" s="177" t="s">
        <v>17</v>
      </c>
      <c r="E533" s="368">
        <v>40</v>
      </c>
      <c r="F533" s="368">
        <v>20</v>
      </c>
      <c r="G533" s="368">
        <v>20</v>
      </c>
      <c r="H533" s="368">
        <v>20</v>
      </c>
      <c r="I533" s="363">
        <f>SUM(Tabla132112412[[#This Row],[PRIMER TRIMESTRE]:[CUARTO TRIMESTRE]])</f>
        <v>100</v>
      </c>
      <c r="J533" s="175"/>
      <c r="K533" s="175"/>
      <c r="L533" s="175"/>
      <c r="M533" s="77"/>
      <c r="N533" s="77"/>
      <c r="O533" s="177"/>
    </row>
    <row r="534" spans="2:15" s="12" customFormat="1" ht="18">
      <c r="B534" s="372" t="s">
        <v>80</v>
      </c>
      <c r="C534" s="367" t="s">
        <v>2182</v>
      </c>
      <c r="D534" s="177" t="s">
        <v>17</v>
      </c>
      <c r="E534" s="368">
        <v>40</v>
      </c>
      <c r="F534" s="368">
        <v>20</v>
      </c>
      <c r="G534" s="368">
        <v>20</v>
      </c>
      <c r="H534" s="368">
        <v>20</v>
      </c>
      <c r="I534" s="363">
        <f>SUM(Tabla132112412[[#This Row],[PRIMER TRIMESTRE]:[CUARTO TRIMESTRE]])</f>
        <v>100</v>
      </c>
      <c r="J534" s="175"/>
      <c r="K534" s="175"/>
      <c r="L534" s="175"/>
      <c r="M534" s="77"/>
      <c r="N534" s="77"/>
      <c r="O534" s="177"/>
    </row>
    <row r="535" spans="2:15" s="12" customFormat="1" ht="18">
      <c r="B535" s="372" t="s">
        <v>80</v>
      </c>
      <c r="C535" s="367" t="s">
        <v>2183</v>
      </c>
      <c r="D535" s="177" t="s">
        <v>17</v>
      </c>
      <c r="E535" s="368">
        <v>20</v>
      </c>
      <c r="F535" s="368">
        <v>10</v>
      </c>
      <c r="G535" s="368">
        <v>10</v>
      </c>
      <c r="H535" s="368">
        <v>10</v>
      </c>
      <c r="I535" s="363">
        <f>SUM(Tabla132112412[[#This Row],[PRIMER TRIMESTRE]:[CUARTO TRIMESTRE]])</f>
        <v>50</v>
      </c>
      <c r="J535" s="175"/>
      <c r="K535" s="175"/>
      <c r="L535" s="175"/>
      <c r="M535" s="77"/>
      <c r="N535" s="77"/>
      <c r="O535" s="177"/>
    </row>
    <row r="536" spans="2:15" s="12" customFormat="1" ht="18">
      <c r="B536" s="372" t="s">
        <v>80</v>
      </c>
      <c r="C536" s="367" t="s">
        <v>2184</v>
      </c>
      <c r="D536" s="177" t="s">
        <v>17</v>
      </c>
      <c r="E536" s="368">
        <v>20</v>
      </c>
      <c r="F536" s="368">
        <v>10</v>
      </c>
      <c r="G536" s="368">
        <v>10</v>
      </c>
      <c r="H536" s="368">
        <v>10</v>
      </c>
      <c r="I536" s="363">
        <f>SUM(Tabla132112412[[#This Row],[PRIMER TRIMESTRE]:[CUARTO TRIMESTRE]])</f>
        <v>50</v>
      </c>
      <c r="J536" s="175"/>
      <c r="K536" s="175"/>
      <c r="L536" s="175"/>
      <c r="M536" s="77"/>
      <c r="N536" s="77"/>
      <c r="O536" s="177"/>
    </row>
    <row r="537" spans="2:15" s="12" customFormat="1" ht="18">
      <c r="B537" s="372" t="s">
        <v>80</v>
      </c>
      <c r="C537" s="367" t="s">
        <v>2185</v>
      </c>
      <c r="D537" s="177" t="s">
        <v>17</v>
      </c>
      <c r="E537" s="368">
        <v>10</v>
      </c>
      <c r="F537" s="368">
        <v>5</v>
      </c>
      <c r="G537" s="368">
        <v>5</v>
      </c>
      <c r="H537" s="368">
        <v>5</v>
      </c>
      <c r="I537" s="363">
        <f>SUM(Tabla132112412[[#This Row],[PRIMER TRIMESTRE]:[CUARTO TRIMESTRE]])</f>
        <v>25</v>
      </c>
      <c r="J537" s="175"/>
      <c r="K537" s="175"/>
      <c r="L537" s="175"/>
      <c r="M537" s="77"/>
      <c r="N537" s="77"/>
      <c r="O537" s="177"/>
    </row>
    <row r="538" spans="2:15" s="12" customFormat="1" ht="18">
      <c r="B538" s="372" t="s">
        <v>80</v>
      </c>
      <c r="C538" s="367" t="s">
        <v>2186</v>
      </c>
      <c r="D538" s="177" t="s">
        <v>17</v>
      </c>
      <c r="E538" s="368">
        <v>40</v>
      </c>
      <c r="F538" s="368">
        <v>20</v>
      </c>
      <c r="G538" s="368">
        <v>20</v>
      </c>
      <c r="H538" s="368">
        <v>20</v>
      </c>
      <c r="I538" s="363">
        <f>SUM(Tabla132112412[[#This Row],[PRIMER TRIMESTRE]:[CUARTO TRIMESTRE]])</f>
        <v>100</v>
      </c>
      <c r="J538" s="175"/>
      <c r="K538" s="175"/>
      <c r="L538" s="175"/>
      <c r="M538" s="77"/>
      <c r="N538" s="77"/>
      <c r="O538" s="177"/>
    </row>
    <row r="539" spans="2:15" s="12" customFormat="1" ht="18">
      <c r="B539" s="372" t="s">
        <v>80</v>
      </c>
      <c r="C539" s="367" t="s">
        <v>2187</v>
      </c>
      <c r="D539" s="177" t="s">
        <v>17</v>
      </c>
      <c r="E539" s="368">
        <v>40</v>
      </c>
      <c r="F539" s="368">
        <v>20</v>
      </c>
      <c r="G539" s="368">
        <v>20</v>
      </c>
      <c r="H539" s="368">
        <v>20</v>
      </c>
      <c r="I539" s="363">
        <f>SUM(Tabla132112412[[#This Row],[PRIMER TRIMESTRE]:[CUARTO TRIMESTRE]])</f>
        <v>100</v>
      </c>
      <c r="J539" s="175"/>
      <c r="K539" s="175"/>
      <c r="L539" s="175"/>
      <c r="M539" s="77"/>
      <c r="N539" s="77"/>
      <c r="O539" s="177"/>
    </row>
    <row r="540" spans="2:15" s="12" customFormat="1" ht="18">
      <c r="B540" s="372" t="s">
        <v>80</v>
      </c>
      <c r="C540" s="367" t="s">
        <v>2188</v>
      </c>
      <c r="D540" s="177" t="s">
        <v>17</v>
      </c>
      <c r="E540" s="368">
        <v>10</v>
      </c>
      <c r="F540" s="368">
        <v>5</v>
      </c>
      <c r="G540" s="368">
        <v>5</v>
      </c>
      <c r="H540" s="368">
        <v>5</v>
      </c>
      <c r="I540" s="363">
        <f>SUM(Tabla132112412[[#This Row],[PRIMER TRIMESTRE]:[CUARTO TRIMESTRE]])</f>
        <v>25</v>
      </c>
      <c r="J540" s="175"/>
      <c r="K540" s="175"/>
      <c r="L540" s="175"/>
      <c r="M540" s="77"/>
      <c r="N540" s="77"/>
      <c r="O540" s="177"/>
    </row>
    <row r="541" spans="2:15" s="12" customFormat="1" ht="18">
      <c r="B541" s="372" t="s">
        <v>80</v>
      </c>
      <c r="C541" s="77" t="s">
        <v>1564</v>
      </c>
      <c r="D541" s="177" t="s">
        <v>17</v>
      </c>
      <c r="E541" s="370">
        <v>10</v>
      </c>
      <c r="F541" s="370">
        <v>10</v>
      </c>
      <c r="G541" s="370">
        <v>10</v>
      </c>
      <c r="H541" s="370">
        <v>10</v>
      </c>
      <c r="I541" s="363">
        <f>SUM(Tabla132112412[[#This Row],[PRIMER TRIMESTRE]:[CUARTO TRIMESTRE]])</f>
        <v>40</v>
      </c>
      <c r="J541" s="175">
        <v>72.37</v>
      </c>
      <c r="K541" s="175">
        <f>+I541*J541</f>
        <v>2894.8</v>
      </c>
      <c r="L541" s="175"/>
      <c r="M541" s="77" t="s">
        <v>18</v>
      </c>
      <c r="N541" s="77" t="s">
        <v>22</v>
      </c>
      <c r="O541" s="177" t="s">
        <v>418</v>
      </c>
    </row>
    <row r="542" spans="2:15" s="12" customFormat="1" ht="18">
      <c r="B542" s="372" t="s">
        <v>80</v>
      </c>
      <c r="C542" s="77" t="s">
        <v>1565</v>
      </c>
      <c r="D542" s="177" t="s">
        <v>17</v>
      </c>
      <c r="E542" s="370">
        <v>10</v>
      </c>
      <c r="F542" s="370">
        <v>10</v>
      </c>
      <c r="G542" s="370">
        <v>10</v>
      </c>
      <c r="H542" s="370">
        <v>10</v>
      </c>
      <c r="I542" s="363">
        <f>SUM(Tabla132112412[[#This Row],[PRIMER TRIMESTRE]:[CUARTO TRIMESTRE]])</f>
        <v>40</v>
      </c>
      <c r="J542" s="175">
        <v>48.05</v>
      </c>
      <c r="K542" s="175">
        <f>+I542*J542</f>
        <v>1922</v>
      </c>
      <c r="L542" s="175"/>
      <c r="M542" s="77" t="s">
        <v>18</v>
      </c>
      <c r="N542" s="77" t="s">
        <v>22</v>
      </c>
      <c r="O542" s="177" t="s">
        <v>418</v>
      </c>
    </row>
    <row r="543" spans="2:15" s="12" customFormat="1" ht="18">
      <c r="B543" s="372" t="s">
        <v>80</v>
      </c>
      <c r="C543" s="77" t="s">
        <v>1548</v>
      </c>
      <c r="D543" s="177" t="s">
        <v>17</v>
      </c>
      <c r="E543" s="370">
        <v>1</v>
      </c>
      <c r="F543" s="370">
        <v>0</v>
      </c>
      <c r="G543" s="370">
        <v>0</v>
      </c>
      <c r="H543" s="370">
        <v>0</v>
      </c>
      <c r="I543" s="363">
        <f>SUM(Tabla132112412[[#This Row],[PRIMER TRIMESTRE]:[CUARTO TRIMESTRE]])</f>
        <v>1</v>
      </c>
      <c r="J543" s="175">
        <v>191.1</v>
      </c>
      <c r="K543" s="175">
        <f>+I543*J543</f>
        <v>191.1</v>
      </c>
      <c r="L543" s="175"/>
      <c r="M543" s="77" t="s">
        <v>18</v>
      </c>
      <c r="N543" s="77" t="s">
        <v>22</v>
      </c>
      <c r="O543" s="177" t="s">
        <v>418</v>
      </c>
    </row>
    <row r="544" spans="2:15" s="12" customFormat="1" ht="18">
      <c r="B544" s="372" t="s">
        <v>80</v>
      </c>
      <c r="C544" s="77" t="s">
        <v>1619</v>
      </c>
      <c r="D544" s="177" t="s">
        <v>17</v>
      </c>
      <c r="E544" s="370">
        <v>5</v>
      </c>
      <c r="F544" s="370">
        <v>5</v>
      </c>
      <c r="G544" s="370">
        <v>5</v>
      </c>
      <c r="H544" s="370">
        <v>5</v>
      </c>
      <c r="I544" s="363">
        <f>SUM(Tabla132112412[[#This Row],[PRIMER TRIMESTRE]:[CUARTO TRIMESTRE]])</f>
        <v>20</v>
      </c>
      <c r="J544" s="175">
        <v>2184.9499999999998</v>
      </c>
      <c r="K544" s="175">
        <f>+I544*J544</f>
        <v>43699</v>
      </c>
      <c r="L544" s="175"/>
      <c r="M544" s="77" t="s">
        <v>18</v>
      </c>
      <c r="N544" s="77" t="s">
        <v>22</v>
      </c>
      <c r="O544" s="177" t="s">
        <v>418</v>
      </c>
    </row>
    <row r="545" spans="2:15" s="12" customFormat="1" ht="18">
      <c r="B545" s="372" t="s">
        <v>80</v>
      </c>
      <c r="C545" s="77" t="s">
        <v>1566</v>
      </c>
      <c r="D545" s="177" t="s">
        <v>17</v>
      </c>
      <c r="E545" s="370">
        <v>2</v>
      </c>
      <c r="F545" s="370">
        <v>0</v>
      </c>
      <c r="G545" s="370">
        <v>0</v>
      </c>
      <c r="H545" s="370">
        <v>2</v>
      </c>
      <c r="I545" s="363">
        <f>SUM(Tabla132112412[[#This Row],[PRIMER TRIMESTRE]:[CUARTO TRIMESTRE]])</f>
        <v>4</v>
      </c>
      <c r="J545" s="175">
        <v>2891.99</v>
      </c>
      <c r="K545" s="175">
        <f>+I545*J545</f>
        <v>11567.96</v>
      </c>
      <c r="L545" s="175"/>
      <c r="M545" s="77" t="s">
        <v>18</v>
      </c>
      <c r="N545" s="77" t="s">
        <v>22</v>
      </c>
      <c r="O545" s="177" t="s">
        <v>418</v>
      </c>
    </row>
    <row r="546" spans="2:15" s="12" customFormat="1" ht="18">
      <c r="B546" s="372" t="s">
        <v>80</v>
      </c>
      <c r="C546" s="77" t="s">
        <v>184</v>
      </c>
      <c r="D546" s="177" t="s">
        <v>17</v>
      </c>
      <c r="E546" s="370">
        <v>7</v>
      </c>
      <c r="F546" s="370">
        <v>0</v>
      </c>
      <c r="G546" s="370">
        <v>4</v>
      </c>
      <c r="H546" s="370">
        <v>0</v>
      </c>
      <c r="I546" s="363">
        <f>SUM(Tabla132112412[[#This Row],[PRIMER TRIMESTRE]:[CUARTO TRIMESTRE]])</f>
        <v>11</v>
      </c>
      <c r="J546" s="175">
        <v>1347.46</v>
      </c>
      <c r="K546" s="175">
        <f>+Tabla132112412[[#This Row],[CANTIDAD TOTAL]]*Tabla132112412[[#This Row],[PRECIO UNITARIO ESTIMADO]]</f>
        <v>14822.060000000001</v>
      </c>
      <c r="L546" s="175"/>
      <c r="M546" s="77" t="s">
        <v>18</v>
      </c>
      <c r="N546" s="77" t="s">
        <v>22</v>
      </c>
      <c r="O546" s="177" t="s">
        <v>418</v>
      </c>
    </row>
    <row r="547" spans="2:15" s="12" customFormat="1" ht="18">
      <c r="B547" s="372" t="s">
        <v>80</v>
      </c>
      <c r="C547" s="77" t="s">
        <v>1426</v>
      </c>
      <c r="D547" s="177" t="s">
        <v>17</v>
      </c>
      <c r="E547" s="370">
        <v>5</v>
      </c>
      <c r="F547" s="370">
        <v>5</v>
      </c>
      <c r="G547" s="370">
        <v>5</v>
      </c>
      <c r="H547" s="370">
        <v>5</v>
      </c>
      <c r="I547" s="363">
        <f>SUM(Tabla132112412[[#This Row],[PRIMER TRIMESTRE]:[CUARTO TRIMESTRE]])</f>
        <v>20</v>
      </c>
      <c r="J547" s="175">
        <v>423.61</v>
      </c>
      <c r="K547" s="175">
        <f t="shared" ref="K547:K572" si="12">+I547*J547</f>
        <v>8472.2000000000007</v>
      </c>
      <c r="L547" s="175"/>
      <c r="M547" s="77" t="s">
        <v>18</v>
      </c>
      <c r="N547" s="77" t="s">
        <v>22</v>
      </c>
      <c r="O547" s="177" t="s">
        <v>418</v>
      </c>
    </row>
    <row r="548" spans="2:15" s="12" customFormat="1" ht="18">
      <c r="B548" s="372" t="s">
        <v>80</v>
      </c>
      <c r="C548" s="77" t="s">
        <v>1432</v>
      </c>
      <c r="D548" s="177" t="s">
        <v>17</v>
      </c>
      <c r="E548" s="370">
        <v>0</v>
      </c>
      <c r="F548" s="370">
        <v>0</v>
      </c>
      <c r="G548" s="370">
        <v>0</v>
      </c>
      <c r="H548" s="370">
        <v>0</v>
      </c>
      <c r="I548" s="363">
        <f>SUM(Tabla132112412[[#This Row],[PRIMER TRIMESTRE]:[CUARTO TRIMESTRE]])</f>
        <v>0</v>
      </c>
      <c r="J548" s="175">
        <v>705.29</v>
      </c>
      <c r="K548" s="175">
        <f t="shared" si="12"/>
        <v>0</v>
      </c>
      <c r="L548" s="175"/>
      <c r="M548" s="77" t="s">
        <v>18</v>
      </c>
      <c r="N548" s="77" t="s">
        <v>22</v>
      </c>
      <c r="O548" s="177" t="s">
        <v>418</v>
      </c>
    </row>
    <row r="549" spans="2:15" s="12" customFormat="1" ht="18">
      <c r="B549" s="372" t="s">
        <v>80</v>
      </c>
      <c r="C549" s="77" t="s">
        <v>1726</v>
      </c>
      <c r="D549" s="177" t="s">
        <v>17</v>
      </c>
      <c r="E549" s="370">
        <v>0</v>
      </c>
      <c r="F549" s="370">
        <v>0</v>
      </c>
      <c r="G549" s="370">
        <v>0</v>
      </c>
      <c r="H549" s="370">
        <v>0</v>
      </c>
      <c r="I549" s="363">
        <f>SUM(Tabla132112412[[#This Row],[PRIMER TRIMESTRE]:[CUARTO TRIMESTRE]])</f>
        <v>0</v>
      </c>
      <c r="J549" s="175">
        <v>0</v>
      </c>
      <c r="K549" s="175">
        <v>0</v>
      </c>
      <c r="L549" s="175"/>
      <c r="M549" s="77" t="s">
        <v>18</v>
      </c>
      <c r="N549" s="77" t="s">
        <v>22</v>
      </c>
      <c r="O549" s="177" t="s">
        <v>418</v>
      </c>
    </row>
    <row r="550" spans="2:15" s="12" customFormat="1" ht="18">
      <c r="B550" s="372" t="s">
        <v>80</v>
      </c>
      <c r="C550" s="77" t="s">
        <v>1608</v>
      </c>
      <c r="D550" s="177" t="s">
        <v>17</v>
      </c>
      <c r="E550" s="370">
        <v>5</v>
      </c>
      <c r="F550" s="370">
        <v>0</v>
      </c>
      <c r="G550" s="370">
        <v>5</v>
      </c>
      <c r="H550" s="370">
        <v>0</v>
      </c>
      <c r="I550" s="363">
        <f>SUM(Tabla132112412[[#This Row],[PRIMER TRIMESTRE]:[CUARTO TRIMESTRE]])</f>
        <v>10</v>
      </c>
      <c r="J550" s="175">
        <v>4776.8500000000004</v>
      </c>
      <c r="K550" s="175">
        <f t="shared" si="12"/>
        <v>47768.5</v>
      </c>
      <c r="L550" s="175"/>
      <c r="M550" s="77" t="s">
        <v>18</v>
      </c>
      <c r="N550" s="77" t="s">
        <v>22</v>
      </c>
      <c r="O550" s="177" t="s">
        <v>418</v>
      </c>
    </row>
    <row r="551" spans="2:15" s="12" customFormat="1" ht="18">
      <c r="B551" s="372" t="s">
        <v>80</v>
      </c>
      <c r="C551" s="77" t="s">
        <v>1607</v>
      </c>
      <c r="D551" s="177" t="s">
        <v>17</v>
      </c>
      <c r="E551" s="370">
        <v>0</v>
      </c>
      <c r="F551" s="370">
        <v>0</v>
      </c>
      <c r="G551" s="370">
        <v>0</v>
      </c>
      <c r="H551" s="370">
        <v>0</v>
      </c>
      <c r="I551" s="363">
        <f>SUM(Tabla132112412[[#This Row],[PRIMER TRIMESTRE]:[CUARTO TRIMESTRE]])</f>
        <v>0</v>
      </c>
      <c r="J551" s="175">
        <v>20971.52</v>
      </c>
      <c r="K551" s="175">
        <f t="shared" si="12"/>
        <v>0</v>
      </c>
      <c r="L551" s="175"/>
      <c r="M551" s="77" t="s">
        <v>18</v>
      </c>
      <c r="N551" s="77" t="s">
        <v>22</v>
      </c>
      <c r="O551" s="177" t="s">
        <v>418</v>
      </c>
    </row>
    <row r="552" spans="2:15" s="12" customFormat="1" ht="18">
      <c r="B552" s="372" t="s">
        <v>80</v>
      </c>
      <c r="C552" s="77" t="s">
        <v>2189</v>
      </c>
      <c r="D552" s="177" t="s">
        <v>17</v>
      </c>
      <c r="E552" s="365">
        <v>14</v>
      </c>
      <c r="F552" s="365">
        <v>14</v>
      </c>
      <c r="G552" s="365">
        <v>14</v>
      </c>
      <c r="H552" s="365">
        <v>14</v>
      </c>
      <c r="I552" s="363">
        <f>SUM(Tabla132112412[[#This Row],[PRIMER TRIMESTRE]:[CUARTO TRIMESTRE]])</f>
        <v>56</v>
      </c>
      <c r="J552" s="175"/>
      <c r="K552" s="175"/>
      <c r="L552" s="175"/>
      <c r="M552" s="77"/>
      <c r="N552" s="77"/>
      <c r="O552" s="177"/>
    </row>
    <row r="553" spans="2:15" s="12" customFormat="1" ht="18">
      <c r="B553" s="372" t="s">
        <v>80</v>
      </c>
      <c r="C553" s="77" t="s">
        <v>2190</v>
      </c>
      <c r="D553" s="177" t="s">
        <v>17</v>
      </c>
      <c r="E553" s="365">
        <v>3</v>
      </c>
      <c r="F553" s="365"/>
      <c r="G553" s="365">
        <v>3</v>
      </c>
      <c r="H553" s="365"/>
      <c r="I553" s="363">
        <f>SUM(Tabla132112412[[#This Row],[PRIMER TRIMESTRE]:[CUARTO TRIMESTRE]])</f>
        <v>6</v>
      </c>
      <c r="J553" s="175"/>
      <c r="K553" s="175"/>
      <c r="L553" s="175"/>
      <c r="M553" s="77"/>
      <c r="N553" s="77"/>
      <c r="O553" s="177"/>
    </row>
    <row r="554" spans="2:15" s="12" customFormat="1" ht="18">
      <c r="B554" s="372" t="s">
        <v>80</v>
      </c>
      <c r="C554" s="77" t="s">
        <v>2191</v>
      </c>
      <c r="D554" s="177" t="s">
        <v>17</v>
      </c>
      <c r="E554" s="365">
        <v>3</v>
      </c>
      <c r="F554" s="365">
        <v>3</v>
      </c>
      <c r="G554" s="365">
        <v>3</v>
      </c>
      <c r="H554" s="365">
        <v>3</v>
      </c>
      <c r="I554" s="363">
        <f>SUM(Tabla132112412[[#This Row],[PRIMER TRIMESTRE]:[CUARTO TRIMESTRE]])</f>
        <v>12</v>
      </c>
      <c r="J554" s="175"/>
      <c r="K554" s="175"/>
      <c r="L554" s="175"/>
      <c r="M554" s="77"/>
      <c r="N554" s="77"/>
      <c r="O554" s="177"/>
    </row>
    <row r="555" spans="2:15" s="12" customFormat="1" ht="18">
      <c r="B555" s="372" t="s">
        <v>80</v>
      </c>
      <c r="C555" s="77" t="s">
        <v>2192</v>
      </c>
      <c r="D555" s="177" t="s">
        <v>17</v>
      </c>
      <c r="E555" s="365">
        <v>3</v>
      </c>
      <c r="F555" s="365"/>
      <c r="G555" s="365">
        <v>3</v>
      </c>
      <c r="H555" s="365"/>
      <c r="I555" s="363">
        <f>SUM(Tabla132112412[[#This Row],[PRIMER TRIMESTRE]:[CUARTO TRIMESTRE]])</f>
        <v>6</v>
      </c>
      <c r="J555" s="175"/>
      <c r="K555" s="175"/>
      <c r="L555" s="175"/>
      <c r="M555" s="77"/>
      <c r="N555" s="77"/>
      <c r="O555" s="177"/>
    </row>
    <row r="556" spans="2:15" s="12" customFormat="1" ht="18">
      <c r="B556" s="372" t="s">
        <v>80</v>
      </c>
      <c r="C556" s="77" t="s">
        <v>2193</v>
      </c>
      <c r="D556" s="177" t="s">
        <v>17</v>
      </c>
      <c r="E556" s="365">
        <v>2</v>
      </c>
      <c r="F556" s="365"/>
      <c r="G556" s="365">
        <v>2</v>
      </c>
      <c r="H556" s="365"/>
      <c r="I556" s="363">
        <f>SUM(Tabla132112412[[#This Row],[PRIMER TRIMESTRE]:[CUARTO TRIMESTRE]])</f>
        <v>4</v>
      </c>
      <c r="J556" s="175"/>
      <c r="K556" s="175"/>
      <c r="L556" s="175"/>
      <c r="M556" s="77"/>
      <c r="N556" s="77"/>
      <c r="O556" s="177"/>
    </row>
    <row r="557" spans="2:15" s="12" customFormat="1" ht="18">
      <c r="B557" s="372" t="s">
        <v>80</v>
      </c>
      <c r="C557" s="77" t="s">
        <v>2194</v>
      </c>
      <c r="D557" s="177" t="s">
        <v>17</v>
      </c>
      <c r="E557" s="365">
        <v>2</v>
      </c>
      <c r="F557" s="365"/>
      <c r="G557" s="365">
        <v>2</v>
      </c>
      <c r="H557" s="365"/>
      <c r="I557" s="363">
        <f>SUM(Tabla132112412[[#This Row],[PRIMER TRIMESTRE]:[CUARTO TRIMESTRE]])</f>
        <v>4</v>
      </c>
      <c r="J557" s="175"/>
      <c r="K557" s="175"/>
      <c r="L557" s="175"/>
      <c r="M557" s="77"/>
      <c r="N557" s="77"/>
      <c r="O557" s="177"/>
    </row>
    <row r="558" spans="2:15" s="12" customFormat="1" ht="18">
      <c r="B558" s="372" t="s">
        <v>80</v>
      </c>
      <c r="C558" s="77" t="s">
        <v>2195</v>
      </c>
      <c r="D558" s="177" t="s">
        <v>17</v>
      </c>
      <c r="E558" s="365">
        <v>1</v>
      </c>
      <c r="F558" s="365">
        <v>1</v>
      </c>
      <c r="G558" s="365">
        <v>1</v>
      </c>
      <c r="H558" s="365">
        <v>1</v>
      </c>
      <c r="I558" s="363">
        <f>SUM(Tabla132112412[[#This Row],[PRIMER TRIMESTRE]:[CUARTO TRIMESTRE]])</f>
        <v>4</v>
      </c>
      <c r="J558" s="175"/>
      <c r="K558" s="175"/>
      <c r="L558" s="175"/>
      <c r="M558" s="77"/>
      <c r="N558" s="77"/>
      <c r="O558" s="177"/>
    </row>
    <row r="559" spans="2:15" s="12" customFormat="1" ht="18">
      <c r="B559" s="372" t="s">
        <v>80</v>
      </c>
      <c r="C559" s="77" t="s">
        <v>2196</v>
      </c>
      <c r="D559" s="177" t="s">
        <v>17</v>
      </c>
      <c r="E559" s="365">
        <v>3</v>
      </c>
      <c r="F559" s="365"/>
      <c r="G559" s="365">
        <v>3</v>
      </c>
      <c r="H559" s="365"/>
      <c r="I559" s="363">
        <f>SUM(Tabla132112412[[#This Row],[PRIMER TRIMESTRE]:[CUARTO TRIMESTRE]])</f>
        <v>6</v>
      </c>
      <c r="J559" s="175"/>
      <c r="K559" s="175"/>
      <c r="L559" s="175"/>
      <c r="M559" s="77"/>
      <c r="N559" s="77"/>
      <c r="O559" s="177"/>
    </row>
    <row r="560" spans="2:15" s="12" customFormat="1" ht="18">
      <c r="B560" s="372" t="s">
        <v>80</v>
      </c>
      <c r="C560" s="77" t="s">
        <v>2197</v>
      </c>
      <c r="D560" s="177" t="s">
        <v>17</v>
      </c>
      <c r="E560" s="365">
        <v>2</v>
      </c>
      <c r="F560" s="365"/>
      <c r="G560" s="365">
        <v>2</v>
      </c>
      <c r="H560" s="365"/>
      <c r="I560" s="363">
        <f>SUM(Tabla132112412[[#This Row],[PRIMER TRIMESTRE]:[CUARTO TRIMESTRE]])</f>
        <v>4</v>
      </c>
      <c r="J560" s="175"/>
      <c r="K560" s="175"/>
      <c r="L560" s="175"/>
      <c r="M560" s="77"/>
      <c r="N560" s="77"/>
      <c r="O560" s="177"/>
    </row>
    <row r="561" spans="2:15" s="12" customFormat="1" ht="18">
      <c r="B561" s="372" t="s">
        <v>80</v>
      </c>
      <c r="C561" s="77" t="s">
        <v>2198</v>
      </c>
      <c r="D561" s="177" t="s">
        <v>17</v>
      </c>
      <c r="E561" s="365">
        <v>3</v>
      </c>
      <c r="F561" s="365"/>
      <c r="G561" s="365">
        <v>3</v>
      </c>
      <c r="H561" s="365"/>
      <c r="I561" s="363">
        <f>SUM(Tabla132112412[[#This Row],[PRIMER TRIMESTRE]:[CUARTO TRIMESTRE]])</f>
        <v>6</v>
      </c>
      <c r="J561" s="175"/>
      <c r="K561" s="175"/>
      <c r="L561" s="175"/>
      <c r="M561" s="77"/>
      <c r="N561" s="77"/>
      <c r="O561" s="177"/>
    </row>
    <row r="562" spans="2:15" s="12" customFormat="1" ht="18">
      <c r="B562" s="372" t="s">
        <v>80</v>
      </c>
      <c r="C562" s="77" t="s">
        <v>2199</v>
      </c>
      <c r="D562" s="177" t="s">
        <v>17</v>
      </c>
      <c r="E562" s="365">
        <v>3</v>
      </c>
      <c r="F562" s="365"/>
      <c r="G562" s="365">
        <v>3</v>
      </c>
      <c r="H562" s="365"/>
      <c r="I562" s="363">
        <f>SUM(Tabla132112412[[#This Row],[PRIMER TRIMESTRE]:[CUARTO TRIMESTRE]])</f>
        <v>6</v>
      </c>
      <c r="J562" s="175"/>
      <c r="K562" s="175"/>
      <c r="L562" s="175"/>
      <c r="M562" s="77"/>
      <c r="N562" s="77"/>
      <c r="O562" s="177"/>
    </row>
    <row r="563" spans="2:15" s="12" customFormat="1" ht="18">
      <c r="B563" s="372" t="s">
        <v>80</v>
      </c>
      <c r="C563" s="77" t="s">
        <v>369</v>
      </c>
      <c r="D563" s="177" t="s">
        <v>17</v>
      </c>
      <c r="E563" s="370">
        <v>65</v>
      </c>
      <c r="F563" s="370">
        <v>45</v>
      </c>
      <c r="G563" s="370">
        <v>65</v>
      </c>
      <c r="H563" s="370">
        <v>45</v>
      </c>
      <c r="I563" s="363">
        <f>SUM(Tabla132112412[[#This Row],[PRIMER TRIMESTRE]:[CUARTO TRIMESTRE]])</f>
        <v>220</v>
      </c>
      <c r="J563" s="175">
        <v>4.55</v>
      </c>
      <c r="K563" s="175">
        <f t="shared" si="12"/>
        <v>1001</v>
      </c>
      <c r="L563" s="175"/>
      <c r="M563" s="77" t="s">
        <v>18</v>
      </c>
      <c r="N563" s="77" t="s">
        <v>22</v>
      </c>
      <c r="O563" s="177" t="s">
        <v>418</v>
      </c>
    </row>
    <row r="564" spans="2:15" s="12" customFormat="1" ht="18">
      <c r="B564" s="372" t="s">
        <v>80</v>
      </c>
      <c r="C564" s="77" t="s">
        <v>449</v>
      </c>
      <c r="D564" s="177" t="s">
        <v>17</v>
      </c>
      <c r="E564" s="370">
        <v>35</v>
      </c>
      <c r="F564" s="370">
        <v>35</v>
      </c>
      <c r="G564" s="370">
        <v>35</v>
      </c>
      <c r="H564" s="370">
        <v>35</v>
      </c>
      <c r="I564" s="363">
        <f>SUM(Tabla132112412[[#This Row],[PRIMER TRIMESTRE]:[CUARTO TRIMESTRE]])</f>
        <v>140</v>
      </c>
      <c r="J564" s="175">
        <v>4.55</v>
      </c>
      <c r="K564" s="175">
        <f t="shared" si="12"/>
        <v>637</v>
      </c>
      <c r="L564" s="175"/>
      <c r="M564" s="77" t="s">
        <v>18</v>
      </c>
      <c r="N564" s="77" t="s">
        <v>22</v>
      </c>
      <c r="O564" s="177" t="s">
        <v>418</v>
      </c>
    </row>
    <row r="565" spans="2:15" s="12" customFormat="1" ht="18">
      <c r="B565" s="372" t="s">
        <v>80</v>
      </c>
      <c r="C565" s="77" t="s">
        <v>450</v>
      </c>
      <c r="D565" s="177" t="s">
        <v>17</v>
      </c>
      <c r="E565" s="370">
        <v>35</v>
      </c>
      <c r="F565" s="370">
        <v>35</v>
      </c>
      <c r="G565" s="370">
        <v>35</v>
      </c>
      <c r="H565" s="370">
        <v>35</v>
      </c>
      <c r="I565" s="363">
        <f>SUM(Tabla132112412[[#This Row],[PRIMER TRIMESTRE]:[CUARTO TRIMESTRE]])</f>
        <v>140</v>
      </c>
      <c r="J565" s="175">
        <v>4.55</v>
      </c>
      <c r="K565" s="175">
        <f t="shared" si="12"/>
        <v>637</v>
      </c>
      <c r="L565" s="175"/>
      <c r="M565" s="77" t="s">
        <v>18</v>
      </c>
      <c r="N565" s="77" t="s">
        <v>22</v>
      </c>
      <c r="O565" s="177" t="s">
        <v>418</v>
      </c>
    </row>
    <row r="566" spans="2:15" s="12" customFormat="1" ht="18">
      <c r="B566" s="372" t="s">
        <v>80</v>
      </c>
      <c r="C566" s="77" t="s">
        <v>451</v>
      </c>
      <c r="D566" s="177" t="s">
        <v>17</v>
      </c>
      <c r="E566" s="370">
        <v>30</v>
      </c>
      <c r="F566" s="370">
        <v>20</v>
      </c>
      <c r="G566" s="370">
        <v>20</v>
      </c>
      <c r="H566" s="370">
        <v>20</v>
      </c>
      <c r="I566" s="363">
        <f>SUM(Tabla132112412[[#This Row],[PRIMER TRIMESTRE]:[CUARTO TRIMESTRE]])</f>
        <v>90</v>
      </c>
      <c r="J566" s="175">
        <v>4.55</v>
      </c>
      <c r="K566" s="175">
        <f t="shared" si="12"/>
        <v>409.5</v>
      </c>
      <c r="L566" s="175"/>
      <c r="M566" s="77" t="s">
        <v>18</v>
      </c>
      <c r="N566" s="77" t="s">
        <v>22</v>
      </c>
      <c r="O566" s="177" t="s">
        <v>418</v>
      </c>
    </row>
    <row r="567" spans="2:15" s="12" customFormat="1" ht="18">
      <c r="B567" s="372" t="s">
        <v>80</v>
      </c>
      <c r="C567" s="77" t="s">
        <v>453</v>
      </c>
      <c r="D567" s="177" t="s">
        <v>17</v>
      </c>
      <c r="E567" s="370">
        <v>25</v>
      </c>
      <c r="F567" s="370">
        <v>20</v>
      </c>
      <c r="G567" s="370">
        <v>25</v>
      </c>
      <c r="H567" s="370">
        <v>20</v>
      </c>
      <c r="I567" s="363">
        <f>SUM(Tabla132112412[[#This Row],[PRIMER TRIMESTRE]:[CUARTO TRIMESTRE]])</f>
        <v>90</v>
      </c>
      <c r="J567" s="175">
        <v>4.55</v>
      </c>
      <c r="K567" s="175">
        <f t="shared" si="12"/>
        <v>409.5</v>
      </c>
      <c r="L567" s="175"/>
      <c r="M567" s="77" t="s">
        <v>18</v>
      </c>
      <c r="N567" s="77" t="s">
        <v>22</v>
      </c>
      <c r="O567" s="177" t="s">
        <v>418</v>
      </c>
    </row>
    <row r="568" spans="2:15" s="12" customFormat="1" ht="18">
      <c r="B568" s="372" t="s">
        <v>80</v>
      </c>
      <c r="C568" s="77" t="s">
        <v>452</v>
      </c>
      <c r="D568" s="177" t="s">
        <v>17</v>
      </c>
      <c r="E568" s="370">
        <v>25</v>
      </c>
      <c r="F568" s="370">
        <v>20</v>
      </c>
      <c r="G568" s="370">
        <v>25</v>
      </c>
      <c r="H568" s="370">
        <v>20</v>
      </c>
      <c r="I568" s="363">
        <f>SUM(Tabla132112412[[#This Row],[PRIMER TRIMESTRE]:[CUARTO TRIMESTRE]])</f>
        <v>90</v>
      </c>
      <c r="J568" s="175">
        <v>4.55</v>
      </c>
      <c r="K568" s="175">
        <f t="shared" si="12"/>
        <v>409.5</v>
      </c>
      <c r="L568" s="175"/>
      <c r="M568" s="77" t="s">
        <v>18</v>
      </c>
      <c r="N568" s="77" t="s">
        <v>22</v>
      </c>
      <c r="O568" s="177" t="s">
        <v>418</v>
      </c>
    </row>
    <row r="569" spans="2:15" s="12" customFormat="1" ht="18">
      <c r="B569" s="372" t="s">
        <v>80</v>
      </c>
      <c r="C569" s="77" t="s">
        <v>603</v>
      </c>
      <c r="D569" s="177" t="s">
        <v>17</v>
      </c>
      <c r="E569" s="370">
        <v>30</v>
      </c>
      <c r="F569" s="370">
        <v>20</v>
      </c>
      <c r="G569" s="370">
        <v>30</v>
      </c>
      <c r="H569" s="370">
        <v>20</v>
      </c>
      <c r="I569" s="363">
        <f>SUM(Tabla132112412[[#This Row],[PRIMER TRIMESTRE]:[CUARTO TRIMESTRE]])</f>
        <v>100</v>
      </c>
      <c r="J569" s="175">
        <v>737.74</v>
      </c>
      <c r="K569" s="175">
        <f t="shared" si="12"/>
        <v>73774</v>
      </c>
      <c r="L569" s="175"/>
      <c r="M569" s="77" t="s">
        <v>18</v>
      </c>
      <c r="N569" s="77" t="s">
        <v>22</v>
      </c>
      <c r="O569" s="177" t="s">
        <v>418</v>
      </c>
    </row>
    <row r="570" spans="2:15" s="12" customFormat="1" ht="18">
      <c r="B570" s="372" t="s">
        <v>80</v>
      </c>
      <c r="C570" s="77" t="s">
        <v>604</v>
      </c>
      <c r="D570" s="177" t="s">
        <v>17</v>
      </c>
      <c r="E570" s="370">
        <v>19</v>
      </c>
      <c r="F570" s="370">
        <v>10</v>
      </c>
      <c r="G570" s="370">
        <v>19</v>
      </c>
      <c r="H570" s="370">
        <v>10</v>
      </c>
      <c r="I570" s="363">
        <f>SUM(Tabla132112412[[#This Row],[PRIMER TRIMESTRE]:[CUARTO TRIMESTRE]])</f>
        <v>58</v>
      </c>
      <c r="J570" s="175">
        <v>2121.4499999999998</v>
      </c>
      <c r="K570" s="175">
        <f t="shared" si="12"/>
        <v>123044.09999999999</v>
      </c>
      <c r="L570" s="175"/>
      <c r="M570" s="77" t="s">
        <v>18</v>
      </c>
      <c r="N570" s="77" t="s">
        <v>22</v>
      </c>
      <c r="O570" s="177" t="s">
        <v>418</v>
      </c>
    </row>
    <row r="571" spans="2:15" s="12" customFormat="1" ht="18">
      <c r="B571" s="372" t="s">
        <v>80</v>
      </c>
      <c r="C571" s="77" t="s">
        <v>605</v>
      </c>
      <c r="D571" s="177" t="s">
        <v>17</v>
      </c>
      <c r="E571" s="370">
        <v>14</v>
      </c>
      <c r="F571" s="370">
        <v>10</v>
      </c>
      <c r="G571" s="370">
        <v>14</v>
      </c>
      <c r="H571" s="370">
        <v>10</v>
      </c>
      <c r="I571" s="363">
        <f>SUM(Tabla132112412[[#This Row],[PRIMER TRIMESTRE]:[CUARTO TRIMESTRE]])</f>
        <v>48</v>
      </c>
      <c r="J571" s="175">
        <v>2121.4499999999998</v>
      </c>
      <c r="K571" s="175">
        <f t="shared" si="12"/>
        <v>101829.59999999999</v>
      </c>
      <c r="L571" s="175"/>
      <c r="M571" s="77" t="s">
        <v>18</v>
      </c>
      <c r="N571" s="77" t="s">
        <v>22</v>
      </c>
      <c r="O571" s="177" t="s">
        <v>418</v>
      </c>
    </row>
    <row r="572" spans="2:15" s="12" customFormat="1" ht="18">
      <c r="B572" s="372" t="s">
        <v>80</v>
      </c>
      <c r="C572" s="77" t="s">
        <v>606</v>
      </c>
      <c r="D572" s="177" t="s">
        <v>17</v>
      </c>
      <c r="E572" s="370">
        <v>17</v>
      </c>
      <c r="F572" s="370">
        <v>10</v>
      </c>
      <c r="G572" s="370">
        <v>17</v>
      </c>
      <c r="H572" s="370">
        <v>10</v>
      </c>
      <c r="I572" s="363">
        <f>SUM(Tabla132112412[[#This Row],[PRIMER TRIMESTRE]:[CUARTO TRIMESTRE]])</f>
        <v>54</v>
      </c>
      <c r="J572" s="175">
        <v>3601.69</v>
      </c>
      <c r="K572" s="175">
        <f t="shared" si="12"/>
        <v>194491.26</v>
      </c>
      <c r="L572" s="175"/>
      <c r="M572" s="77" t="s">
        <v>18</v>
      </c>
      <c r="N572" s="77" t="s">
        <v>22</v>
      </c>
      <c r="O572" s="177" t="s">
        <v>418</v>
      </c>
    </row>
    <row r="573" spans="2:15" s="12" customFormat="1" ht="18">
      <c r="B573" s="372" t="s">
        <v>80</v>
      </c>
      <c r="C573" s="367" t="s">
        <v>2200</v>
      </c>
      <c r="D573" s="177" t="s">
        <v>17</v>
      </c>
      <c r="E573" s="368">
        <v>60</v>
      </c>
      <c r="F573" s="369">
        <v>30</v>
      </c>
      <c r="G573" s="369">
        <v>30</v>
      </c>
      <c r="H573" s="369">
        <v>30</v>
      </c>
      <c r="I573" s="363">
        <f>SUM(Tabla132112412[[#This Row],[PRIMER TRIMESTRE]:[CUARTO TRIMESTRE]])</f>
        <v>150</v>
      </c>
      <c r="J573" s="175"/>
      <c r="K573" s="175"/>
      <c r="L573" s="175"/>
      <c r="M573" s="77"/>
      <c r="N573" s="77"/>
      <c r="O573" s="177"/>
    </row>
    <row r="574" spans="2:15" s="12" customFormat="1" ht="18">
      <c r="B574" s="372" t="s">
        <v>80</v>
      </c>
      <c r="C574" s="367" t="s">
        <v>2201</v>
      </c>
      <c r="D574" s="177" t="s">
        <v>17</v>
      </c>
      <c r="E574" s="368">
        <v>10</v>
      </c>
      <c r="F574" s="368">
        <v>10</v>
      </c>
      <c r="G574" s="368">
        <v>10</v>
      </c>
      <c r="H574" s="368">
        <v>10</v>
      </c>
      <c r="I574" s="363">
        <f>SUM(Tabla132112412[[#This Row],[PRIMER TRIMESTRE]:[CUARTO TRIMESTRE]])</f>
        <v>40</v>
      </c>
      <c r="J574" s="175"/>
      <c r="K574" s="175"/>
      <c r="L574" s="175"/>
      <c r="M574" s="77"/>
      <c r="N574" s="77"/>
      <c r="O574" s="177"/>
    </row>
    <row r="575" spans="2:15" s="12" customFormat="1" ht="18">
      <c r="B575" s="372" t="s">
        <v>80</v>
      </c>
      <c r="C575" s="367" t="s">
        <v>2202</v>
      </c>
      <c r="D575" s="177" t="s">
        <v>17</v>
      </c>
      <c r="E575" s="368">
        <v>10</v>
      </c>
      <c r="F575" s="368">
        <v>10</v>
      </c>
      <c r="G575" s="368">
        <v>10</v>
      </c>
      <c r="H575" s="368">
        <v>10</v>
      </c>
      <c r="I575" s="363">
        <f>SUM(Tabla132112412[[#This Row],[PRIMER TRIMESTRE]:[CUARTO TRIMESTRE]])</f>
        <v>40</v>
      </c>
      <c r="J575" s="175"/>
      <c r="K575" s="175"/>
      <c r="L575" s="175"/>
      <c r="M575" s="77"/>
      <c r="N575" s="77"/>
      <c r="O575" s="177"/>
    </row>
    <row r="576" spans="2:15" s="12" customFormat="1" ht="18">
      <c r="B576" s="372" t="s">
        <v>80</v>
      </c>
      <c r="C576" s="367" t="s">
        <v>2203</v>
      </c>
      <c r="D576" s="177" t="s">
        <v>17</v>
      </c>
      <c r="E576" s="368">
        <v>10</v>
      </c>
      <c r="F576" s="368">
        <v>10</v>
      </c>
      <c r="G576" s="368">
        <v>10</v>
      </c>
      <c r="H576" s="368">
        <v>10</v>
      </c>
      <c r="I576" s="363">
        <f>SUM(Tabla132112412[[#This Row],[PRIMER TRIMESTRE]:[CUARTO TRIMESTRE]])</f>
        <v>40</v>
      </c>
      <c r="J576" s="175"/>
      <c r="K576" s="175"/>
      <c r="L576" s="175"/>
      <c r="M576" s="77"/>
      <c r="N576" s="77"/>
      <c r="O576" s="177"/>
    </row>
    <row r="577" spans="2:15" s="12" customFormat="1" ht="18">
      <c r="B577" s="372" t="s">
        <v>80</v>
      </c>
      <c r="C577" s="367" t="s">
        <v>2204</v>
      </c>
      <c r="D577" s="177" t="s">
        <v>470</v>
      </c>
      <c r="E577" s="368">
        <v>15</v>
      </c>
      <c r="F577" s="368">
        <v>15</v>
      </c>
      <c r="G577" s="368">
        <v>15</v>
      </c>
      <c r="H577" s="368">
        <v>15</v>
      </c>
      <c r="I577" s="363">
        <f>SUM(Tabla132112412[[#This Row],[PRIMER TRIMESTRE]:[CUARTO TRIMESTRE]])</f>
        <v>60</v>
      </c>
      <c r="J577" s="175"/>
      <c r="K577" s="175"/>
      <c r="L577" s="175"/>
      <c r="M577" s="77"/>
      <c r="N577" s="77"/>
      <c r="O577" s="177"/>
    </row>
    <row r="578" spans="2:15" s="12" customFormat="1" ht="18">
      <c r="B578" s="372" t="s">
        <v>80</v>
      </c>
      <c r="C578" s="367" t="s">
        <v>2205</v>
      </c>
      <c r="D578" s="177" t="s">
        <v>93</v>
      </c>
      <c r="E578" s="368">
        <v>10</v>
      </c>
      <c r="F578" s="368">
        <v>10</v>
      </c>
      <c r="G578" s="368">
        <v>10</v>
      </c>
      <c r="H578" s="368">
        <v>10</v>
      </c>
      <c r="I578" s="363">
        <f>SUM(Tabla132112412[[#This Row],[PRIMER TRIMESTRE]:[CUARTO TRIMESTRE]])</f>
        <v>40</v>
      </c>
      <c r="J578" s="175"/>
      <c r="K578" s="175"/>
      <c r="L578" s="175"/>
      <c r="M578" s="77"/>
      <c r="N578" s="77"/>
      <c r="O578" s="177"/>
    </row>
    <row r="579" spans="2:15" s="12" customFormat="1" ht="18">
      <c r="B579" s="372" t="s">
        <v>80</v>
      </c>
      <c r="C579" s="367" t="s">
        <v>2206</v>
      </c>
      <c r="D579" s="177" t="s">
        <v>17</v>
      </c>
      <c r="E579" s="369">
        <v>20</v>
      </c>
      <c r="F579" s="369">
        <v>10</v>
      </c>
      <c r="G579" s="369">
        <v>10</v>
      </c>
      <c r="H579" s="369">
        <v>10</v>
      </c>
      <c r="I579" s="363">
        <f>SUM(Tabla132112412[[#This Row],[PRIMER TRIMESTRE]:[CUARTO TRIMESTRE]])</f>
        <v>50</v>
      </c>
      <c r="J579" s="175"/>
      <c r="K579" s="175"/>
      <c r="L579" s="175"/>
      <c r="M579" s="77"/>
      <c r="N579" s="77"/>
      <c r="O579" s="177"/>
    </row>
    <row r="580" spans="2:15" s="12" customFormat="1" ht="18">
      <c r="B580" s="372" t="s">
        <v>80</v>
      </c>
      <c r="C580" s="367" t="s">
        <v>2207</v>
      </c>
      <c r="D580" s="177" t="s">
        <v>17</v>
      </c>
      <c r="E580" s="369">
        <v>20</v>
      </c>
      <c r="F580" s="369">
        <v>10</v>
      </c>
      <c r="G580" s="369">
        <v>10</v>
      </c>
      <c r="H580" s="369">
        <v>10</v>
      </c>
      <c r="I580" s="363">
        <f>SUM(Tabla132112412[[#This Row],[PRIMER TRIMESTRE]:[CUARTO TRIMESTRE]])</f>
        <v>50</v>
      </c>
      <c r="J580" s="175"/>
      <c r="K580" s="175"/>
      <c r="L580" s="175"/>
      <c r="M580" s="77"/>
      <c r="N580" s="77"/>
      <c r="O580" s="177"/>
    </row>
    <row r="581" spans="2:15" s="12" customFormat="1" ht="18">
      <c r="B581" s="372" t="s">
        <v>80</v>
      </c>
      <c r="C581" s="367" t="s">
        <v>2208</v>
      </c>
      <c r="D581" s="177" t="s">
        <v>17</v>
      </c>
      <c r="E581" s="369">
        <v>20</v>
      </c>
      <c r="F581" s="369">
        <v>10</v>
      </c>
      <c r="G581" s="369">
        <v>10</v>
      </c>
      <c r="H581" s="369">
        <v>10</v>
      </c>
      <c r="I581" s="363">
        <f>SUM(Tabla132112412[[#This Row],[PRIMER TRIMESTRE]:[CUARTO TRIMESTRE]])</f>
        <v>50</v>
      </c>
      <c r="J581" s="175"/>
      <c r="K581" s="175"/>
      <c r="L581" s="175"/>
      <c r="M581" s="77"/>
      <c r="N581" s="77"/>
      <c r="O581" s="177"/>
    </row>
    <row r="582" spans="2:15" s="12" customFormat="1" ht="18">
      <c r="B582" s="372" t="s">
        <v>80</v>
      </c>
      <c r="C582" s="367" t="s">
        <v>2209</v>
      </c>
      <c r="D582" s="177" t="s">
        <v>17</v>
      </c>
      <c r="E582" s="369">
        <v>20</v>
      </c>
      <c r="F582" s="369">
        <v>10</v>
      </c>
      <c r="G582" s="369">
        <v>10</v>
      </c>
      <c r="H582" s="369">
        <v>10</v>
      </c>
      <c r="I582" s="363">
        <f>SUM(Tabla132112412[[#This Row],[PRIMER TRIMESTRE]:[CUARTO TRIMESTRE]])</f>
        <v>50</v>
      </c>
      <c r="J582" s="175"/>
      <c r="K582" s="175"/>
      <c r="L582" s="175"/>
      <c r="M582" s="77"/>
      <c r="N582" s="77"/>
      <c r="O582" s="177"/>
    </row>
    <row r="583" spans="2:15" s="12" customFormat="1" ht="18">
      <c r="B583" s="372" t="s">
        <v>80</v>
      </c>
      <c r="C583" s="367" t="s">
        <v>2210</v>
      </c>
      <c r="D583" s="177" t="s">
        <v>17</v>
      </c>
      <c r="E583" s="369">
        <v>20</v>
      </c>
      <c r="F583" s="369">
        <v>10</v>
      </c>
      <c r="G583" s="369">
        <v>10</v>
      </c>
      <c r="H583" s="369">
        <v>10</v>
      </c>
      <c r="I583" s="363">
        <f>SUM(Tabla132112412[[#This Row],[PRIMER TRIMESTRE]:[CUARTO TRIMESTRE]])</f>
        <v>50</v>
      </c>
      <c r="J583" s="175"/>
      <c r="K583" s="175"/>
      <c r="L583" s="175"/>
      <c r="M583" s="77"/>
      <c r="N583" s="77"/>
      <c r="O583" s="177"/>
    </row>
    <row r="584" spans="2:15" s="12" customFormat="1" ht="18">
      <c r="B584" s="372" t="s">
        <v>80</v>
      </c>
      <c r="C584" s="367" t="s">
        <v>2211</v>
      </c>
      <c r="D584" s="177" t="s">
        <v>17</v>
      </c>
      <c r="E584" s="368">
        <v>10</v>
      </c>
      <c r="F584" s="368">
        <v>10</v>
      </c>
      <c r="G584" s="368">
        <v>10</v>
      </c>
      <c r="H584" s="368">
        <v>10</v>
      </c>
      <c r="I584" s="363">
        <f>SUM(Tabla132112412[[#This Row],[PRIMER TRIMESTRE]:[CUARTO TRIMESTRE]])</f>
        <v>40</v>
      </c>
      <c r="J584" s="175"/>
      <c r="K584" s="175"/>
      <c r="L584" s="175"/>
      <c r="M584" s="77"/>
      <c r="N584" s="77"/>
      <c r="O584" s="177"/>
    </row>
    <row r="585" spans="2:15" s="12" customFormat="1" ht="18">
      <c r="B585" s="372" t="s">
        <v>80</v>
      </c>
      <c r="C585" s="367" t="s">
        <v>2212</v>
      </c>
      <c r="D585" s="177" t="s">
        <v>17</v>
      </c>
      <c r="E585" s="368">
        <v>50</v>
      </c>
      <c r="F585" s="369">
        <v>25</v>
      </c>
      <c r="G585" s="369">
        <v>25</v>
      </c>
      <c r="H585" s="369">
        <v>25</v>
      </c>
      <c r="I585" s="363">
        <f>SUM(Tabla132112412[[#This Row],[PRIMER TRIMESTRE]:[CUARTO TRIMESTRE]])</f>
        <v>125</v>
      </c>
      <c r="J585" s="175"/>
      <c r="K585" s="175"/>
      <c r="L585" s="175"/>
      <c r="M585" s="77"/>
      <c r="N585" s="77"/>
      <c r="O585" s="177"/>
    </row>
    <row r="586" spans="2:15" s="12" customFormat="1" ht="18">
      <c r="B586" s="372" t="s">
        <v>80</v>
      </c>
      <c r="C586" s="367" t="s">
        <v>2213</v>
      </c>
      <c r="D586" s="177" t="s">
        <v>17</v>
      </c>
      <c r="E586" s="368">
        <v>20</v>
      </c>
      <c r="F586" s="369">
        <v>10</v>
      </c>
      <c r="G586" s="369">
        <v>10</v>
      </c>
      <c r="H586" s="369">
        <v>10</v>
      </c>
      <c r="I586" s="363">
        <f>SUM(Tabla132112412[[#This Row],[PRIMER TRIMESTRE]:[CUARTO TRIMESTRE]])</f>
        <v>50</v>
      </c>
      <c r="J586" s="175"/>
      <c r="K586" s="175"/>
      <c r="L586" s="175"/>
      <c r="M586" s="77"/>
      <c r="N586" s="77"/>
      <c r="O586" s="177"/>
    </row>
    <row r="587" spans="2:15" s="12" customFormat="1" ht="18">
      <c r="B587" s="372" t="s">
        <v>80</v>
      </c>
      <c r="C587" s="367" t="s">
        <v>2214</v>
      </c>
      <c r="D587" s="177" t="s">
        <v>17</v>
      </c>
      <c r="E587" s="368">
        <v>50</v>
      </c>
      <c r="F587" s="368">
        <v>50</v>
      </c>
      <c r="G587" s="368">
        <v>50</v>
      </c>
      <c r="H587" s="368">
        <v>50</v>
      </c>
      <c r="I587" s="363">
        <f>SUM(Tabla132112412[[#This Row],[PRIMER TRIMESTRE]:[CUARTO TRIMESTRE]])</f>
        <v>200</v>
      </c>
      <c r="J587" s="175"/>
      <c r="K587" s="175"/>
      <c r="L587" s="175"/>
      <c r="M587" s="77"/>
      <c r="N587" s="77"/>
      <c r="O587" s="177"/>
    </row>
    <row r="588" spans="2:15" s="12" customFormat="1" ht="18">
      <c r="B588" s="372" t="s">
        <v>80</v>
      </c>
      <c r="C588" s="367" t="s">
        <v>2215</v>
      </c>
      <c r="D588" s="177" t="s">
        <v>17</v>
      </c>
      <c r="E588" s="368">
        <v>50</v>
      </c>
      <c r="F588" s="368">
        <v>50</v>
      </c>
      <c r="G588" s="368">
        <v>50</v>
      </c>
      <c r="H588" s="368">
        <v>50</v>
      </c>
      <c r="I588" s="363">
        <f>SUM(Tabla132112412[[#This Row],[PRIMER TRIMESTRE]:[CUARTO TRIMESTRE]])</f>
        <v>200</v>
      </c>
      <c r="J588" s="175"/>
      <c r="K588" s="175"/>
      <c r="L588" s="175"/>
      <c r="M588" s="77"/>
      <c r="N588" s="77"/>
      <c r="O588" s="177"/>
    </row>
    <row r="589" spans="2:15" s="12" customFormat="1" ht="18">
      <c r="B589" s="372" t="s">
        <v>80</v>
      </c>
      <c r="C589" s="367" t="s">
        <v>2216</v>
      </c>
      <c r="D589" s="177" t="s">
        <v>17</v>
      </c>
      <c r="E589" s="368">
        <v>10</v>
      </c>
      <c r="F589" s="368">
        <v>10</v>
      </c>
      <c r="G589" s="368">
        <v>10</v>
      </c>
      <c r="H589" s="368">
        <v>10</v>
      </c>
      <c r="I589" s="363">
        <f>SUM(Tabla132112412[[#This Row],[PRIMER TRIMESTRE]:[CUARTO TRIMESTRE]])</f>
        <v>40</v>
      </c>
      <c r="J589" s="175"/>
      <c r="K589" s="175"/>
      <c r="L589" s="175"/>
      <c r="M589" s="77"/>
      <c r="N589" s="77"/>
      <c r="O589" s="177"/>
    </row>
    <row r="590" spans="2:15" s="12" customFormat="1" ht="18">
      <c r="B590" s="372" t="s">
        <v>80</v>
      </c>
      <c r="C590" s="367" t="s">
        <v>2217</v>
      </c>
      <c r="D590" s="177" t="s">
        <v>17</v>
      </c>
      <c r="E590" s="368">
        <v>50</v>
      </c>
      <c r="F590" s="368">
        <v>50</v>
      </c>
      <c r="G590" s="368">
        <v>50</v>
      </c>
      <c r="H590" s="368">
        <v>50</v>
      </c>
      <c r="I590" s="363">
        <f>SUM(Tabla132112412[[#This Row],[PRIMER TRIMESTRE]:[CUARTO TRIMESTRE]])</f>
        <v>200</v>
      </c>
      <c r="J590" s="175"/>
      <c r="K590" s="175"/>
      <c r="L590" s="175"/>
      <c r="M590" s="77"/>
      <c r="N590" s="77"/>
      <c r="O590" s="177"/>
    </row>
    <row r="591" spans="2:15" s="12" customFormat="1" ht="18">
      <c r="B591" s="372" t="s">
        <v>80</v>
      </c>
      <c r="C591" s="367" t="s">
        <v>2218</v>
      </c>
      <c r="D591" s="177" t="s">
        <v>17</v>
      </c>
      <c r="E591" s="368">
        <v>50</v>
      </c>
      <c r="F591" s="368">
        <v>50</v>
      </c>
      <c r="G591" s="368">
        <v>50</v>
      </c>
      <c r="H591" s="368">
        <v>50</v>
      </c>
      <c r="I591" s="363">
        <f>SUM(Tabla132112412[[#This Row],[PRIMER TRIMESTRE]:[CUARTO TRIMESTRE]])</f>
        <v>200</v>
      </c>
      <c r="J591" s="175"/>
      <c r="K591" s="175"/>
      <c r="L591" s="175"/>
      <c r="M591" s="77"/>
      <c r="N591" s="77"/>
      <c r="O591" s="177"/>
    </row>
    <row r="592" spans="2:15" s="12" customFormat="1" ht="18">
      <c r="B592" s="372" t="s">
        <v>80</v>
      </c>
      <c r="C592" s="77" t="s">
        <v>188</v>
      </c>
      <c r="D592" s="177" t="s">
        <v>189</v>
      </c>
      <c r="E592" s="370">
        <v>70</v>
      </c>
      <c r="F592" s="370">
        <v>20</v>
      </c>
      <c r="G592" s="370">
        <v>20</v>
      </c>
      <c r="H592" s="370">
        <v>20</v>
      </c>
      <c r="I592" s="363">
        <f>SUM(Tabla132112412[[#This Row],[PRIMER TRIMESTRE]:[CUARTO TRIMESTRE]])</f>
        <v>130</v>
      </c>
      <c r="J592" s="175">
        <v>104.4</v>
      </c>
      <c r="K592" s="175">
        <f>+Tabla132112412[[#This Row],[CANTIDAD TOTAL]]*Tabla132112412[[#This Row],[PRECIO UNITARIO ESTIMADO]]</f>
        <v>13572</v>
      </c>
      <c r="L592" s="175"/>
      <c r="M592" s="77" t="s">
        <v>18</v>
      </c>
      <c r="N592" s="77" t="s">
        <v>22</v>
      </c>
      <c r="O592" s="177" t="s">
        <v>418</v>
      </c>
    </row>
    <row r="593" spans="2:15" s="12" customFormat="1" ht="18">
      <c r="B593" s="372" t="s">
        <v>80</v>
      </c>
      <c r="C593" s="77" t="s">
        <v>1760</v>
      </c>
      <c r="D593" s="177" t="s">
        <v>17</v>
      </c>
      <c r="E593" s="370">
        <v>10</v>
      </c>
      <c r="F593" s="370">
        <v>0</v>
      </c>
      <c r="G593" s="370">
        <v>0</v>
      </c>
      <c r="H593" s="370">
        <v>0</v>
      </c>
      <c r="I593" s="363">
        <f>SUM(Tabla132112412[[#This Row],[PRIMER TRIMESTRE]:[CUARTO TRIMESTRE]])</f>
        <v>10</v>
      </c>
      <c r="J593" s="175">
        <v>0</v>
      </c>
      <c r="K593" s="175">
        <v>0</v>
      </c>
      <c r="L593" s="175"/>
      <c r="M593" s="77" t="s">
        <v>18</v>
      </c>
      <c r="N593" s="77" t="s">
        <v>22</v>
      </c>
      <c r="O593" s="177" t="s">
        <v>418</v>
      </c>
    </row>
    <row r="594" spans="2:15" s="12" customFormat="1" ht="18">
      <c r="B594" s="372" t="s">
        <v>80</v>
      </c>
      <c r="C594" s="77" t="s">
        <v>1761</v>
      </c>
      <c r="D594" s="177" t="s">
        <v>17</v>
      </c>
      <c r="E594" s="370">
        <v>10</v>
      </c>
      <c r="F594" s="370">
        <v>0</v>
      </c>
      <c r="G594" s="370">
        <v>0</v>
      </c>
      <c r="H594" s="370">
        <v>0</v>
      </c>
      <c r="I594" s="363">
        <f>SUM(Tabla132112412[[#This Row],[PRIMER TRIMESTRE]:[CUARTO TRIMESTRE]])</f>
        <v>10</v>
      </c>
      <c r="J594" s="175">
        <v>0</v>
      </c>
      <c r="K594" s="175">
        <v>0</v>
      </c>
      <c r="L594" s="175"/>
      <c r="M594" s="77" t="s">
        <v>18</v>
      </c>
      <c r="N594" s="77" t="s">
        <v>22</v>
      </c>
      <c r="O594" s="177" t="s">
        <v>418</v>
      </c>
    </row>
    <row r="595" spans="2:15" s="12" customFormat="1" ht="18">
      <c r="B595" s="372" t="s">
        <v>80</v>
      </c>
      <c r="C595" s="77" t="s">
        <v>191</v>
      </c>
      <c r="D595" s="177" t="s">
        <v>17</v>
      </c>
      <c r="E595" s="370">
        <v>30</v>
      </c>
      <c r="F595" s="370">
        <v>25</v>
      </c>
      <c r="G595" s="370">
        <v>25</v>
      </c>
      <c r="H595" s="370">
        <v>25</v>
      </c>
      <c r="I595" s="363">
        <f>SUM(Tabla132112412[[#This Row],[PRIMER TRIMESTRE]:[CUARTO TRIMESTRE]])</f>
        <v>105</v>
      </c>
      <c r="J595" s="175">
        <v>754</v>
      </c>
      <c r="K595" s="175">
        <f>+Tabla132112412[[#This Row],[CANTIDAD TOTAL]]*Tabla132112412[[#This Row],[PRECIO UNITARIO ESTIMADO]]</f>
        <v>79170</v>
      </c>
      <c r="L595" s="175"/>
      <c r="M595" s="77" t="s">
        <v>18</v>
      </c>
      <c r="N595" s="77" t="s">
        <v>22</v>
      </c>
      <c r="O595" s="177" t="s">
        <v>418</v>
      </c>
    </row>
    <row r="596" spans="2:15" s="12" customFormat="1" ht="18">
      <c r="B596" s="372" t="s">
        <v>80</v>
      </c>
      <c r="C596" s="77" t="s">
        <v>193</v>
      </c>
      <c r="D596" s="177" t="s">
        <v>17</v>
      </c>
      <c r="E596" s="370">
        <v>40</v>
      </c>
      <c r="F596" s="370">
        <v>25</v>
      </c>
      <c r="G596" s="370">
        <v>25</v>
      </c>
      <c r="H596" s="370">
        <v>25</v>
      </c>
      <c r="I596" s="363">
        <f>SUM(Tabla132112412[[#This Row],[PRIMER TRIMESTRE]:[CUARTO TRIMESTRE]])</f>
        <v>115</v>
      </c>
      <c r="J596" s="175">
        <v>222.06</v>
      </c>
      <c r="K596" s="175">
        <f>+Tabla132112412[[#This Row],[CANTIDAD TOTAL]]*Tabla132112412[[#This Row],[PRECIO UNITARIO ESTIMADO]]</f>
        <v>25536.9</v>
      </c>
      <c r="L596" s="175"/>
      <c r="M596" s="77" t="s">
        <v>18</v>
      </c>
      <c r="N596" s="77" t="s">
        <v>22</v>
      </c>
      <c r="O596" s="177" t="s">
        <v>418</v>
      </c>
    </row>
    <row r="597" spans="2:15" s="12" customFormat="1" ht="18">
      <c r="B597" s="372" t="s">
        <v>80</v>
      </c>
      <c r="C597" s="77" t="s">
        <v>1429</v>
      </c>
      <c r="D597" s="177" t="s">
        <v>17</v>
      </c>
      <c r="E597" s="370">
        <v>30</v>
      </c>
      <c r="F597" s="370">
        <v>30</v>
      </c>
      <c r="G597" s="370">
        <v>30</v>
      </c>
      <c r="H597" s="370">
        <v>30</v>
      </c>
      <c r="I597" s="363">
        <f>SUM(Tabla132112412[[#This Row],[PRIMER TRIMESTRE]:[CUARTO TRIMESTRE]])</f>
        <v>120</v>
      </c>
      <c r="J597" s="175">
        <v>1.23</v>
      </c>
      <c r="K597" s="175">
        <f>+I597*J597</f>
        <v>147.6</v>
      </c>
      <c r="L597" s="175"/>
      <c r="M597" s="77" t="s">
        <v>18</v>
      </c>
      <c r="N597" s="77" t="s">
        <v>22</v>
      </c>
      <c r="O597" s="177" t="s">
        <v>418</v>
      </c>
    </row>
    <row r="598" spans="2:15" s="12" customFormat="1" ht="18">
      <c r="B598" s="372" t="s">
        <v>80</v>
      </c>
      <c r="C598" s="77" t="s">
        <v>654</v>
      </c>
      <c r="D598" s="177" t="s">
        <v>17</v>
      </c>
      <c r="E598" s="370">
        <v>4155</v>
      </c>
      <c r="F598" s="370">
        <v>3855</v>
      </c>
      <c r="G598" s="370">
        <v>4055</v>
      </c>
      <c r="H598" s="370">
        <v>3855</v>
      </c>
      <c r="I598" s="363">
        <f>SUM(Tabla132112412[[#This Row],[PRIMER TRIMESTRE]:[CUARTO TRIMESTRE]])</f>
        <v>15920</v>
      </c>
      <c r="J598" s="175">
        <v>2.86</v>
      </c>
      <c r="K598" s="175">
        <f>+Tabla132112412[[#This Row],[CANTIDAD TOTAL]]*Tabla132112412[[#This Row],[PRECIO UNITARIO ESTIMADO]]</f>
        <v>45531.199999999997</v>
      </c>
      <c r="L598" s="175"/>
      <c r="M598" s="77" t="s">
        <v>18</v>
      </c>
      <c r="N598" s="77" t="s">
        <v>22</v>
      </c>
      <c r="O598" s="177" t="s">
        <v>418</v>
      </c>
    </row>
    <row r="599" spans="2:15" s="12" customFormat="1" ht="18">
      <c r="B599" s="372" t="s">
        <v>80</v>
      </c>
      <c r="C599" s="77" t="s">
        <v>655</v>
      </c>
      <c r="D599" s="177" t="s">
        <v>17</v>
      </c>
      <c r="E599" s="370">
        <v>100</v>
      </c>
      <c r="F599" s="370">
        <v>700</v>
      </c>
      <c r="G599" s="370">
        <v>900</v>
      </c>
      <c r="H599" s="370">
        <v>700</v>
      </c>
      <c r="I599" s="363">
        <f>SUM(Tabla132112412[[#This Row],[PRIMER TRIMESTRE]:[CUARTO TRIMESTRE]])</f>
        <v>2400</v>
      </c>
      <c r="J599" s="175">
        <v>4.09</v>
      </c>
      <c r="K599" s="175">
        <f>+Tabla132112412[[#This Row],[CANTIDAD TOTAL]]*Tabla132112412[[#This Row],[PRECIO UNITARIO ESTIMADO]]</f>
        <v>9816</v>
      </c>
      <c r="L599" s="175"/>
      <c r="M599" s="77" t="s">
        <v>18</v>
      </c>
      <c r="N599" s="77" t="s">
        <v>22</v>
      </c>
      <c r="O599" s="177" t="s">
        <v>418</v>
      </c>
    </row>
    <row r="600" spans="2:15" s="12" customFormat="1" ht="18">
      <c r="B600" s="372" t="s">
        <v>80</v>
      </c>
      <c r="C600" s="77" t="s">
        <v>2219</v>
      </c>
      <c r="D600" s="177" t="s">
        <v>17</v>
      </c>
      <c r="E600" s="375">
        <v>10</v>
      </c>
      <c r="F600" s="375"/>
      <c r="G600" s="375">
        <v>10</v>
      </c>
      <c r="H600" s="362"/>
      <c r="I600" s="363">
        <f>SUM(Tabla132112412[[#This Row],[PRIMER TRIMESTRE]:[CUARTO TRIMESTRE]])</f>
        <v>20</v>
      </c>
      <c r="J600" s="175"/>
      <c r="K600" s="175"/>
      <c r="L600" s="175"/>
      <c r="M600" s="77"/>
      <c r="N600" s="77"/>
      <c r="O600" s="177"/>
    </row>
    <row r="601" spans="2:15" s="12" customFormat="1" ht="18">
      <c r="B601" s="372" t="s">
        <v>80</v>
      </c>
      <c r="C601" s="77" t="s">
        <v>2220</v>
      </c>
      <c r="D601" s="177" t="s">
        <v>17</v>
      </c>
      <c r="E601" s="375">
        <v>5</v>
      </c>
      <c r="F601" s="375"/>
      <c r="G601" s="375">
        <v>5</v>
      </c>
      <c r="H601" s="362"/>
      <c r="I601" s="363">
        <f>SUM(Tabla132112412[[#This Row],[PRIMER TRIMESTRE]:[CUARTO TRIMESTRE]])</f>
        <v>10</v>
      </c>
      <c r="J601" s="175"/>
      <c r="K601" s="175"/>
      <c r="L601" s="175"/>
      <c r="M601" s="77"/>
      <c r="N601" s="77"/>
      <c r="O601" s="177"/>
    </row>
    <row r="602" spans="2:15" s="12" customFormat="1" ht="18">
      <c r="B602" s="372" t="s">
        <v>80</v>
      </c>
      <c r="C602" s="77" t="s">
        <v>2221</v>
      </c>
      <c r="D602" s="177" t="s">
        <v>17</v>
      </c>
      <c r="E602" s="375">
        <v>10</v>
      </c>
      <c r="F602" s="375"/>
      <c r="G602" s="375">
        <v>10</v>
      </c>
      <c r="H602" s="362"/>
      <c r="I602" s="363">
        <f>SUM(Tabla132112412[[#This Row],[PRIMER TRIMESTRE]:[CUARTO TRIMESTRE]])</f>
        <v>20</v>
      </c>
      <c r="J602" s="175"/>
      <c r="K602" s="175"/>
      <c r="L602" s="175"/>
      <c r="M602" s="77"/>
      <c r="N602" s="77"/>
      <c r="O602" s="177"/>
    </row>
    <row r="603" spans="2:15" s="12" customFormat="1" ht="18">
      <c r="B603" s="372" t="s">
        <v>80</v>
      </c>
      <c r="C603" s="77" t="s">
        <v>2222</v>
      </c>
      <c r="D603" s="177" t="s">
        <v>17</v>
      </c>
      <c r="E603" s="375">
        <v>10</v>
      </c>
      <c r="F603" s="375"/>
      <c r="G603" s="375">
        <v>10</v>
      </c>
      <c r="H603" s="362"/>
      <c r="I603" s="363">
        <f>SUM(Tabla132112412[[#This Row],[PRIMER TRIMESTRE]:[CUARTO TRIMESTRE]])</f>
        <v>20</v>
      </c>
      <c r="J603" s="175"/>
      <c r="K603" s="175"/>
      <c r="L603" s="175"/>
      <c r="M603" s="77"/>
      <c r="N603" s="77"/>
      <c r="O603" s="177"/>
    </row>
    <row r="604" spans="2:15" s="12" customFormat="1" ht="18">
      <c r="B604" s="372" t="s">
        <v>80</v>
      </c>
      <c r="C604" s="77" t="s">
        <v>2223</v>
      </c>
      <c r="D604" s="177" t="s">
        <v>17</v>
      </c>
      <c r="E604" s="375">
        <v>10</v>
      </c>
      <c r="F604" s="375"/>
      <c r="G604" s="375">
        <v>10</v>
      </c>
      <c r="H604" s="362"/>
      <c r="I604" s="363">
        <f>SUM(Tabla132112412[[#This Row],[PRIMER TRIMESTRE]:[CUARTO TRIMESTRE]])</f>
        <v>20</v>
      </c>
      <c r="J604" s="175"/>
      <c r="K604" s="175"/>
      <c r="L604" s="175"/>
      <c r="M604" s="77"/>
      <c r="N604" s="77"/>
      <c r="O604" s="177"/>
    </row>
    <row r="605" spans="2:15" s="12" customFormat="1" ht="18">
      <c r="B605" s="372" t="s">
        <v>80</v>
      </c>
      <c r="C605" s="77" t="s">
        <v>2224</v>
      </c>
      <c r="D605" s="177" t="s">
        <v>17</v>
      </c>
      <c r="E605" s="375">
        <v>10</v>
      </c>
      <c r="F605" s="375"/>
      <c r="G605" s="375">
        <v>10</v>
      </c>
      <c r="H605" s="362"/>
      <c r="I605" s="363">
        <f>SUM(Tabla132112412[[#This Row],[PRIMER TRIMESTRE]:[CUARTO TRIMESTRE]])</f>
        <v>20</v>
      </c>
      <c r="J605" s="175">
        <v>11.82</v>
      </c>
      <c r="K605" s="175">
        <f>+I605*J605</f>
        <v>236.4</v>
      </c>
      <c r="L605" s="175"/>
      <c r="M605" s="77" t="s">
        <v>18</v>
      </c>
      <c r="N605" s="77" t="s">
        <v>22</v>
      </c>
      <c r="O605" s="177" t="s">
        <v>418</v>
      </c>
    </row>
    <row r="606" spans="2:15" s="12" customFormat="1" ht="18">
      <c r="B606" s="372" t="s">
        <v>80</v>
      </c>
      <c r="C606" s="373" t="s">
        <v>2225</v>
      </c>
      <c r="D606" s="177"/>
      <c r="E606" s="365">
        <v>300</v>
      </c>
      <c r="F606" s="365">
        <v>0</v>
      </c>
      <c r="G606" s="365">
        <v>200</v>
      </c>
      <c r="H606" s="365">
        <v>0</v>
      </c>
      <c r="I606" s="363">
        <f>SUM(Tabla132112412[[#This Row],[PRIMER TRIMESTRE]:[CUARTO TRIMESTRE]])</f>
        <v>500</v>
      </c>
      <c r="J606" s="175"/>
      <c r="K606" s="175"/>
      <c r="L606" s="175"/>
      <c r="M606" s="77"/>
      <c r="N606" s="77"/>
      <c r="O606" s="177"/>
    </row>
    <row r="607" spans="2:15" s="12" customFormat="1" ht="18">
      <c r="B607" s="372" t="s">
        <v>80</v>
      </c>
      <c r="C607" s="373" t="s">
        <v>2226</v>
      </c>
      <c r="D607" s="177"/>
      <c r="E607" s="365">
        <v>310</v>
      </c>
      <c r="F607" s="365">
        <v>10</v>
      </c>
      <c r="G607" s="365">
        <v>210</v>
      </c>
      <c r="H607" s="365">
        <v>10</v>
      </c>
      <c r="I607" s="363">
        <f>SUM(Tabla132112412[[#This Row],[PRIMER TRIMESTRE]:[CUARTO TRIMESTRE]])</f>
        <v>540</v>
      </c>
      <c r="J607" s="175"/>
      <c r="K607" s="175"/>
      <c r="L607" s="175"/>
      <c r="M607" s="77"/>
      <c r="N607" s="77"/>
      <c r="O607" s="177"/>
    </row>
    <row r="608" spans="2:15" s="12" customFormat="1" ht="18">
      <c r="B608" s="372" t="s">
        <v>80</v>
      </c>
      <c r="C608" s="373" t="s">
        <v>2227</v>
      </c>
      <c r="D608" s="177"/>
      <c r="E608" s="365">
        <v>310</v>
      </c>
      <c r="F608" s="365">
        <v>10</v>
      </c>
      <c r="G608" s="365">
        <v>210</v>
      </c>
      <c r="H608" s="365">
        <v>10</v>
      </c>
      <c r="I608" s="363">
        <f>SUM(Tabla132112412[[#This Row],[PRIMER TRIMESTRE]:[CUARTO TRIMESTRE]])</f>
        <v>540</v>
      </c>
      <c r="J608" s="175"/>
      <c r="K608" s="175"/>
      <c r="L608" s="175"/>
      <c r="M608" s="77"/>
      <c r="N608" s="77"/>
      <c r="O608" s="177"/>
    </row>
    <row r="609" spans="2:15" s="12" customFormat="1" ht="18">
      <c r="B609" s="372" t="s">
        <v>80</v>
      </c>
      <c r="C609" s="77" t="s">
        <v>660</v>
      </c>
      <c r="D609" s="177" t="s">
        <v>17</v>
      </c>
      <c r="E609" s="370">
        <v>70</v>
      </c>
      <c r="F609" s="370">
        <v>70</v>
      </c>
      <c r="G609" s="370">
        <v>70</v>
      </c>
      <c r="H609" s="370">
        <v>70</v>
      </c>
      <c r="I609" s="363">
        <f>SUM(Tabla132112412[[#This Row],[PRIMER TRIMESTRE]:[CUARTO TRIMESTRE]])</f>
        <v>280</v>
      </c>
      <c r="J609" s="175">
        <v>13.65</v>
      </c>
      <c r="K609" s="175">
        <f>+I609*J609</f>
        <v>3822</v>
      </c>
      <c r="L609" s="175"/>
      <c r="M609" s="77" t="s">
        <v>18</v>
      </c>
      <c r="N609" s="77" t="s">
        <v>22</v>
      </c>
      <c r="O609" s="177" t="s">
        <v>418</v>
      </c>
    </row>
    <row r="610" spans="2:15" s="12" customFormat="1" ht="18">
      <c r="B610" s="372" t="s">
        <v>80</v>
      </c>
      <c r="C610" s="77" t="s">
        <v>656</v>
      </c>
      <c r="D610" s="177" t="s">
        <v>17</v>
      </c>
      <c r="E610" s="370">
        <v>40</v>
      </c>
      <c r="F610" s="370">
        <v>40</v>
      </c>
      <c r="G610" s="370">
        <v>40</v>
      </c>
      <c r="H610" s="370">
        <v>40</v>
      </c>
      <c r="I610" s="363">
        <f>SUM(Tabla132112412[[#This Row],[PRIMER TRIMESTRE]:[CUARTO TRIMESTRE]])</f>
        <v>160</v>
      </c>
      <c r="J610" s="175">
        <v>22.39</v>
      </c>
      <c r="K610" s="175">
        <f>+Tabla132112412[[#This Row],[CANTIDAD TOTAL]]*Tabla132112412[[#This Row],[PRECIO UNITARIO ESTIMADO]]</f>
        <v>3582.4</v>
      </c>
      <c r="L610" s="175"/>
      <c r="M610" s="77" t="s">
        <v>18</v>
      </c>
      <c r="N610" s="77" t="s">
        <v>22</v>
      </c>
      <c r="O610" s="177" t="s">
        <v>418</v>
      </c>
    </row>
    <row r="611" spans="2:15" s="12" customFormat="1" ht="18">
      <c r="B611" s="372" t="s">
        <v>80</v>
      </c>
      <c r="C611" s="77" t="s">
        <v>657</v>
      </c>
      <c r="D611" s="177" t="s">
        <v>17</v>
      </c>
      <c r="E611" s="370">
        <v>32</v>
      </c>
      <c r="F611" s="370">
        <v>32</v>
      </c>
      <c r="G611" s="370">
        <v>32</v>
      </c>
      <c r="H611" s="370">
        <v>32</v>
      </c>
      <c r="I611" s="363">
        <f>SUM(Tabla132112412[[#This Row],[PRIMER TRIMESTRE]:[CUARTO TRIMESTRE]])</f>
        <v>128</v>
      </c>
      <c r="J611" s="175">
        <v>59.97</v>
      </c>
      <c r="K611" s="175">
        <f>+Tabla132112412[[#This Row],[CANTIDAD TOTAL]]*Tabla132112412[[#This Row],[PRECIO UNITARIO ESTIMADO]]</f>
        <v>7676.16</v>
      </c>
      <c r="L611" s="175"/>
      <c r="M611" s="77" t="s">
        <v>18</v>
      </c>
      <c r="N611" s="77" t="s">
        <v>22</v>
      </c>
      <c r="O611" s="177" t="s">
        <v>418</v>
      </c>
    </row>
    <row r="612" spans="2:15" s="12" customFormat="1" ht="18">
      <c r="B612" s="372" t="s">
        <v>80</v>
      </c>
      <c r="C612" s="77" t="s">
        <v>658</v>
      </c>
      <c r="D612" s="177" t="s">
        <v>17</v>
      </c>
      <c r="E612" s="370">
        <v>30</v>
      </c>
      <c r="F612" s="370">
        <v>30</v>
      </c>
      <c r="G612" s="370">
        <v>30</v>
      </c>
      <c r="H612" s="370">
        <v>30</v>
      </c>
      <c r="I612" s="363">
        <f>SUM(Tabla132112412[[#This Row],[PRIMER TRIMESTRE]:[CUARTO TRIMESTRE]])</f>
        <v>120</v>
      </c>
      <c r="J612" s="175">
        <v>101.5</v>
      </c>
      <c r="K612" s="175">
        <f>+Tabla132112412[[#This Row],[CANTIDAD TOTAL]]*Tabla132112412[[#This Row],[PRECIO UNITARIO ESTIMADO]]</f>
        <v>12180</v>
      </c>
      <c r="L612" s="175"/>
      <c r="M612" s="77" t="s">
        <v>18</v>
      </c>
      <c r="N612" s="77" t="s">
        <v>22</v>
      </c>
      <c r="O612" s="177" t="s">
        <v>418</v>
      </c>
    </row>
    <row r="613" spans="2:15" s="12" customFormat="1" ht="18">
      <c r="B613" s="372" t="s">
        <v>80</v>
      </c>
      <c r="C613" s="77" t="s">
        <v>202</v>
      </c>
      <c r="D613" s="177" t="s">
        <v>17</v>
      </c>
      <c r="E613" s="370">
        <v>1</v>
      </c>
      <c r="F613" s="370">
        <v>0</v>
      </c>
      <c r="G613" s="370">
        <v>0</v>
      </c>
      <c r="H613" s="370">
        <v>0</v>
      </c>
      <c r="I613" s="363">
        <f>SUM(Tabla132112412[[#This Row],[PRIMER TRIMESTRE]:[CUARTO TRIMESTRE]])</f>
        <v>1</v>
      </c>
      <c r="J613" s="175">
        <v>3364</v>
      </c>
      <c r="K613" s="175">
        <f>+Tabla132112412[[#This Row],[CANTIDAD TOTAL]]*Tabla132112412[[#This Row],[PRECIO UNITARIO ESTIMADO]]</f>
        <v>3364</v>
      </c>
      <c r="L613" s="175"/>
      <c r="M613" s="77" t="s">
        <v>18</v>
      </c>
      <c r="N613" s="77" t="s">
        <v>22</v>
      </c>
      <c r="O613" s="177" t="s">
        <v>418</v>
      </c>
    </row>
    <row r="614" spans="2:15" s="12" customFormat="1" ht="18">
      <c r="B614" s="372" t="s">
        <v>80</v>
      </c>
      <c r="C614" s="77" t="s">
        <v>776</v>
      </c>
      <c r="D614" s="177" t="s">
        <v>17</v>
      </c>
      <c r="E614" s="370">
        <v>32</v>
      </c>
      <c r="F614" s="370">
        <v>0</v>
      </c>
      <c r="G614" s="370">
        <v>12</v>
      </c>
      <c r="H614" s="370">
        <v>0</v>
      </c>
      <c r="I614" s="363">
        <f>SUM(Tabla132112412[[#This Row],[PRIMER TRIMESTRE]:[CUARTO TRIMESTRE]])</f>
        <v>44</v>
      </c>
      <c r="J614" s="175">
        <v>32.479999999999997</v>
      </c>
      <c r="K614" s="175">
        <f>+Tabla132112412[[#This Row],[CANTIDAD TOTAL]]*Tabla132112412[[#This Row],[PRECIO UNITARIO ESTIMADO]]</f>
        <v>1429.12</v>
      </c>
      <c r="L614" s="175"/>
      <c r="M614" s="77" t="s">
        <v>18</v>
      </c>
      <c r="N614" s="77" t="s">
        <v>22</v>
      </c>
      <c r="O614" s="177" t="s">
        <v>418</v>
      </c>
    </row>
    <row r="615" spans="2:15" s="12" customFormat="1" ht="18">
      <c r="B615" s="372" t="s">
        <v>80</v>
      </c>
      <c r="C615" s="77" t="s">
        <v>205</v>
      </c>
      <c r="D615" s="177" t="s">
        <v>17</v>
      </c>
      <c r="E615" s="370">
        <v>225</v>
      </c>
      <c r="F615" s="370">
        <v>225</v>
      </c>
      <c r="G615" s="370">
        <v>225</v>
      </c>
      <c r="H615" s="370">
        <v>225</v>
      </c>
      <c r="I615" s="363">
        <f>SUM(Tabla132112412[[#This Row],[PRIMER TRIMESTRE]:[CUARTO TRIMESTRE]])</f>
        <v>900</v>
      </c>
      <c r="J615" s="175">
        <v>2.3199999999999998</v>
      </c>
      <c r="K615" s="175">
        <f>+Tabla132112412[[#This Row],[CANTIDAD TOTAL]]*Tabla132112412[[#This Row],[PRECIO UNITARIO ESTIMADO]]</f>
        <v>2088</v>
      </c>
      <c r="L615" s="175"/>
      <c r="M615" s="77" t="s">
        <v>18</v>
      </c>
      <c r="N615" s="77" t="s">
        <v>22</v>
      </c>
      <c r="O615" s="177" t="s">
        <v>418</v>
      </c>
    </row>
    <row r="616" spans="2:15" s="12" customFormat="1" ht="18">
      <c r="B616" s="372" t="s">
        <v>80</v>
      </c>
      <c r="C616" s="77" t="s">
        <v>206</v>
      </c>
      <c r="D616" s="177" t="s">
        <v>17</v>
      </c>
      <c r="E616" s="370">
        <v>70</v>
      </c>
      <c r="F616" s="370">
        <v>70</v>
      </c>
      <c r="G616" s="370">
        <v>70</v>
      </c>
      <c r="H616" s="370">
        <v>10</v>
      </c>
      <c r="I616" s="363">
        <f>SUM(Tabla132112412[[#This Row],[PRIMER TRIMESTRE]:[CUARTO TRIMESTRE]])</f>
        <v>220</v>
      </c>
      <c r="J616" s="175">
        <v>3.48</v>
      </c>
      <c r="K616" s="175">
        <f>+Tabla132112412[[#This Row],[CANTIDAD TOTAL]]*Tabla132112412[[#This Row],[PRECIO UNITARIO ESTIMADO]]</f>
        <v>765.6</v>
      </c>
      <c r="L616" s="175"/>
      <c r="M616" s="77" t="s">
        <v>18</v>
      </c>
      <c r="N616" s="77" t="s">
        <v>22</v>
      </c>
      <c r="O616" s="177" t="s">
        <v>418</v>
      </c>
    </row>
    <row r="617" spans="2:15" s="12" customFormat="1" ht="18">
      <c r="B617" s="372" t="s">
        <v>80</v>
      </c>
      <c r="C617" s="77" t="s">
        <v>1335</v>
      </c>
      <c r="D617" s="177" t="s">
        <v>17</v>
      </c>
      <c r="E617" s="370">
        <v>10</v>
      </c>
      <c r="F617" s="370">
        <v>10</v>
      </c>
      <c r="G617" s="370">
        <v>10</v>
      </c>
      <c r="H617" s="370">
        <v>10</v>
      </c>
      <c r="I617" s="363">
        <f>SUM(Tabla132112412[[#This Row],[PRIMER TRIMESTRE]:[CUARTO TRIMESTRE]])</f>
        <v>40</v>
      </c>
      <c r="J617" s="175">
        <v>9.44</v>
      </c>
      <c r="K617" s="175">
        <f>+I617*J617</f>
        <v>377.59999999999997</v>
      </c>
      <c r="L617" s="175"/>
      <c r="M617" s="77" t="s">
        <v>18</v>
      </c>
      <c r="N617" s="77" t="s">
        <v>22</v>
      </c>
      <c r="O617" s="177" t="s">
        <v>418</v>
      </c>
    </row>
    <row r="618" spans="2:15" s="12" customFormat="1" ht="18">
      <c r="B618" s="372" t="s">
        <v>80</v>
      </c>
      <c r="C618" s="77" t="s">
        <v>1336</v>
      </c>
      <c r="D618" s="177" t="s">
        <v>17</v>
      </c>
      <c r="E618" s="370">
        <v>225</v>
      </c>
      <c r="F618" s="370">
        <v>225</v>
      </c>
      <c r="G618" s="370">
        <v>225</v>
      </c>
      <c r="H618" s="370">
        <v>225</v>
      </c>
      <c r="I618" s="363">
        <f>SUM(Tabla132112412[[#This Row],[PRIMER TRIMESTRE]:[CUARTO TRIMESTRE]])</f>
        <v>900</v>
      </c>
      <c r="J618" s="175">
        <v>5.9</v>
      </c>
      <c r="K618" s="175">
        <f>+I618*J618</f>
        <v>5310</v>
      </c>
      <c r="L618" s="175"/>
      <c r="M618" s="77" t="s">
        <v>18</v>
      </c>
      <c r="N618" s="77" t="s">
        <v>22</v>
      </c>
      <c r="O618" s="177" t="s">
        <v>418</v>
      </c>
    </row>
    <row r="619" spans="2:15" s="12" customFormat="1" ht="18">
      <c r="B619" s="372" t="s">
        <v>80</v>
      </c>
      <c r="C619" s="77" t="s">
        <v>2228</v>
      </c>
      <c r="D619" s="177" t="s">
        <v>17</v>
      </c>
      <c r="E619" s="370">
        <v>200</v>
      </c>
      <c r="F619" s="370">
        <v>200</v>
      </c>
      <c r="G619" s="370">
        <v>200</v>
      </c>
      <c r="H619" s="370">
        <v>200</v>
      </c>
      <c r="I619" s="363">
        <f>SUM(Tabla132112412[[#This Row],[PRIMER TRIMESTRE]:[CUARTO TRIMESTRE]])</f>
        <v>800</v>
      </c>
      <c r="J619" s="175">
        <v>3.54</v>
      </c>
      <c r="K619" s="175">
        <f>+I619*J619</f>
        <v>2832</v>
      </c>
      <c r="L619" s="175"/>
      <c r="M619" s="77" t="s">
        <v>18</v>
      </c>
      <c r="N619" s="77" t="s">
        <v>22</v>
      </c>
      <c r="O619" s="177" t="s">
        <v>418</v>
      </c>
    </row>
    <row r="620" spans="2:15" s="12" customFormat="1" ht="18">
      <c r="B620" s="372" t="s">
        <v>80</v>
      </c>
      <c r="C620" s="367" t="s">
        <v>2229</v>
      </c>
      <c r="D620" s="177" t="s">
        <v>189</v>
      </c>
      <c r="E620" s="368">
        <v>20</v>
      </c>
      <c r="F620" s="368">
        <v>10</v>
      </c>
      <c r="G620" s="368">
        <v>10</v>
      </c>
      <c r="H620" s="368">
        <v>10</v>
      </c>
      <c r="I620" s="363">
        <f>SUM(Tabla132112412[[#This Row],[PRIMER TRIMESTRE]:[CUARTO TRIMESTRE]])</f>
        <v>50</v>
      </c>
      <c r="J620" s="175"/>
      <c r="K620" s="175"/>
      <c r="L620" s="175"/>
      <c r="M620" s="77"/>
      <c r="N620" s="77"/>
      <c r="O620" s="177"/>
    </row>
    <row r="621" spans="2:15" s="12" customFormat="1" ht="18">
      <c r="B621" s="372" t="s">
        <v>80</v>
      </c>
      <c r="C621" s="367" t="s">
        <v>2230</v>
      </c>
      <c r="D621" s="177" t="s">
        <v>17</v>
      </c>
      <c r="E621" s="368">
        <v>40</v>
      </c>
      <c r="F621" s="368">
        <v>20</v>
      </c>
      <c r="G621" s="368">
        <v>20</v>
      </c>
      <c r="H621" s="368">
        <v>20</v>
      </c>
      <c r="I621" s="363">
        <f>SUM(Tabla132112412[[#This Row],[PRIMER TRIMESTRE]:[CUARTO TRIMESTRE]])</f>
        <v>100</v>
      </c>
      <c r="J621" s="175"/>
      <c r="K621" s="175"/>
      <c r="L621" s="175"/>
      <c r="M621" s="77"/>
      <c r="N621" s="77"/>
      <c r="O621" s="177"/>
    </row>
    <row r="622" spans="2:15" s="12" customFormat="1" ht="18">
      <c r="B622" s="372" t="s">
        <v>80</v>
      </c>
      <c r="C622" s="367" t="s">
        <v>2231</v>
      </c>
      <c r="D622" s="177" t="s">
        <v>17</v>
      </c>
      <c r="E622" s="368">
        <v>20</v>
      </c>
      <c r="F622" s="368">
        <v>10</v>
      </c>
      <c r="G622" s="368">
        <v>10</v>
      </c>
      <c r="H622" s="368">
        <v>10</v>
      </c>
      <c r="I622" s="363">
        <f>SUM(Tabla132112412[[#This Row],[PRIMER TRIMESTRE]:[CUARTO TRIMESTRE]])</f>
        <v>50</v>
      </c>
      <c r="J622" s="175"/>
      <c r="K622" s="175"/>
      <c r="L622" s="175"/>
      <c r="M622" s="77"/>
      <c r="N622" s="77"/>
      <c r="O622" s="177"/>
    </row>
    <row r="623" spans="2:15" s="12" customFormat="1" ht="18">
      <c r="B623" s="372" t="s">
        <v>80</v>
      </c>
      <c r="C623" s="367" t="s">
        <v>2232</v>
      </c>
      <c r="D623" s="177" t="s">
        <v>17</v>
      </c>
      <c r="E623" s="368">
        <v>40</v>
      </c>
      <c r="F623" s="368">
        <v>20</v>
      </c>
      <c r="G623" s="368">
        <v>20</v>
      </c>
      <c r="H623" s="368">
        <v>20</v>
      </c>
      <c r="I623" s="363">
        <f>SUM(Tabla132112412[[#This Row],[PRIMER TRIMESTRE]:[CUARTO TRIMESTRE]])</f>
        <v>100</v>
      </c>
      <c r="J623" s="175"/>
      <c r="K623" s="175"/>
      <c r="L623" s="175"/>
      <c r="M623" s="77"/>
      <c r="N623" s="77"/>
      <c r="O623" s="177"/>
    </row>
    <row r="624" spans="2:15" s="12" customFormat="1" ht="18">
      <c r="B624" s="372" t="s">
        <v>80</v>
      </c>
      <c r="C624" s="367" t="s">
        <v>2233</v>
      </c>
      <c r="D624" s="177" t="s">
        <v>17</v>
      </c>
      <c r="E624" s="368">
        <v>10</v>
      </c>
      <c r="F624" s="368">
        <v>5</v>
      </c>
      <c r="G624" s="368">
        <v>5</v>
      </c>
      <c r="H624" s="368">
        <v>5</v>
      </c>
      <c r="I624" s="363">
        <f>SUM(Tabla132112412[[#This Row],[PRIMER TRIMESTRE]:[CUARTO TRIMESTRE]])</f>
        <v>25</v>
      </c>
      <c r="J624" s="175"/>
      <c r="K624" s="175"/>
      <c r="L624" s="175"/>
      <c r="M624" s="77"/>
      <c r="N624" s="77"/>
      <c r="O624" s="177"/>
    </row>
    <row r="625" spans="2:15" s="12" customFormat="1" ht="18">
      <c r="B625" s="372" t="s">
        <v>80</v>
      </c>
      <c r="C625" s="367" t="s">
        <v>2234</v>
      </c>
      <c r="D625" s="177" t="s">
        <v>17</v>
      </c>
      <c r="E625" s="368">
        <v>20</v>
      </c>
      <c r="F625" s="368">
        <v>10</v>
      </c>
      <c r="G625" s="368">
        <v>10</v>
      </c>
      <c r="H625" s="368">
        <v>10</v>
      </c>
      <c r="I625" s="363">
        <f>SUM(Tabla132112412[[#This Row],[PRIMER TRIMESTRE]:[CUARTO TRIMESTRE]])</f>
        <v>50</v>
      </c>
      <c r="J625" s="175"/>
      <c r="K625" s="175"/>
      <c r="L625" s="175"/>
      <c r="M625" s="77"/>
      <c r="N625" s="77"/>
      <c r="O625" s="177"/>
    </row>
    <row r="626" spans="2:15" s="12" customFormat="1" ht="18">
      <c r="B626" s="372" t="s">
        <v>80</v>
      </c>
      <c r="C626" s="367" t="s">
        <v>2235</v>
      </c>
      <c r="D626" s="177" t="s">
        <v>17</v>
      </c>
      <c r="E626" s="368">
        <v>10</v>
      </c>
      <c r="F626" s="368">
        <v>5</v>
      </c>
      <c r="G626" s="368">
        <v>5</v>
      </c>
      <c r="H626" s="368">
        <v>5</v>
      </c>
      <c r="I626" s="363">
        <f>SUM(Tabla132112412[[#This Row],[PRIMER TRIMESTRE]:[CUARTO TRIMESTRE]])</f>
        <v>25</v>
      </c>
      <c r="J626" s="175"/>
      <c r="K626" s="175"/>
      <c r="L626" s="175"/>
      <c r="M626" s="77"/>
      <c r="N626" s="77"/>
      <c r="O626" s="177"/>
    </row>
    <row r="627" spans="2:15" s="12" customFormat="1" ht="18">
      <c r="B627" s="372" t="s">
        <v>80</v>
      </c>
      <c r="C627" s="367" t="s">
        <v>2236</v>
      </c>
      <c r="D627" s="177" t="s">
        <v>17</v>
      </c>
      <c r="E627" s="368">
        <v>20</v>
      </c>
      <c r="F627" s="368">
        <v>10</v>
      </c>
      <c r="G627" s="368">
        <v>10</v>
      </c>
      <c r="H627" s="368">
        <v>10</v>
      </c>
      <c r="I627" s="363">
        <f>SUM(Tabla132112412[[#This Row],[PRIMER TRIMESTRE]:[CUARTO TRIMESTRE]])</f>
        <v>50</v>
      </c>
      <c r="J627" s="175"/>
      <c r="K627" s="175"/>
      <c r="L627" s="175"/>
      <c r="M627" s="77"/>
      <c r="N627" s="77"/>
      <c r="O627" s="177"/>
    </row>
    <row r="628" spans="2:15" s="12" customFormat="1" ht="18">
      <c r="B628" s="372" t="s">
        <v>80</v>
      </c>
      <c r="C628" s="367" t="s">
        <v>2237</v>
      </c>
      <c r="D628" s="177" t="s">
        <v>17</v>
      </c>
      <c r="E628" s="368">
        <v>10</v>
      </c>
      <c r="F628" s="368">
        <v>5</v>
      </c>
      <c r="G628" s="368">
        <v>5</v>
      </c>
      <c r="H628" s="368">
        <v>5</v>
      </c>
      <c r="I628" s="363">
        <f>SUM(Tabla132112412[[#This Row],[PRIMER TRIMESTRE]:[CUARTO TRIMESTRE]])</f>
        <v>25</v>
      </c>
      <c r="J628" s="175"/>
      <c r="K628" s="175"/>
      <c r="L628" s="175"/>
      <c r="M628" s="77"/>
      <c r="N628" s="77"/>
      <c r="O628" s="177"/>
    </row>
    <row r="629" spans="2:15" s="12" customFormat="1" ht="18">
      <c r="B629" s="372" t="s">
        <v>80</v>
      </c>
      <c r="C629" s="367" t="s">
        <v>2238</v>
      </c>
      <c r="D629" s="177" t="s">
        <v>17</v>
      </c>
      <c r="E629" s="368">
        <v>10</v>
      </c>
      <c r="F629" s="368">
        <v>5</v>
      </c>
      <c r="G629" s="368">
        <v>5</v>
      </c>
      <c r="H629" s="368">
        <v>5</v>
      </c>
      <c r="I629" s="363">
        <f>SUM(Tabla132112412[[#This Row],[PRIMER TRIMESTRE]:[CUARTO TRIMESTRE]])</f>
        <v>25</v>
      </c>
      <c r="J629" s="175"/>
      <c r="K629" s="175"/>
      <c r="L629" s="175"/>
      <c r="M629" s="77"/>
      <c r="N629" s="77"/>
      <c r="O629" s="177"/>
    </row>
    <row r="630" spans="2:15" s="12" customFormat="1" ht="18">
      <c r="B630" s="372" t="s">
        <v>80</v>
      </c>
      <c r="C630" s="367" t="s">
        <v>2239</v>
      </c>
      <c r="D630" s="177" t="s">
        <v>17</v>
      </c>
      <c r="E630" s="368">
        <v>2</v>
      </c>
      <c r="F630" s="369">
        <v>1</v>
      </c>
      <c r="G630" s="369">
        <v>1</v>
      </c>
      <c r="H630" s="369">
        <v>1</v>
      </c>
      <c r="I630" s="363">
        <f>SUM(Tabla132112412[[#This Row],[PRIMER TRIMESTRE]:[CUARTO TRIMESTRE]])</f>
        <v>5</v>
      </c>
      <c r="J630" s="175"/>
      <c r="K630" s="175"/>
      <c r="L630" s="175"/>
      <c r="M630" s="77"/>
      <c r="N630" s="77"/>
      <c r="O630" s="177"/>
    </row>
    <row r="631" spans="2:15" s="12" customFormat="1" ht="18">
      <c r="B631" s="372" t="s">
        <v>80</v>
      </c>
      <c r="C631" s="367" t="s">
        <v>2240</v>
      </c>
      <c r="D631" s="177" t="s">
        <v>17</v>
      </c>
      <c r="E631" s="368">
        <v>10</v>
      </c>
      <c r="F631" s="368">
        <v>5</v>
      </c>
      <c r="G631" s="368">
        <v>5</v>
      </c>
      <c r="H631" s="368">
        <v>5</v>
      </c>
      <c r="I631" s="363">
        <f>SUM(Tabla132112412[[#This Row],[PRIMER TRIMESTRE]:[CUARTO TRIMESTRE]])</f>
        <v>25</v>
      </c>
      <c r="J631" s="175"/>
      <c r="K631" s="175"/>
      <c r="L631" s="175"/>
      <c r="M631" s="77"/>
      <c r="N631" s="77"/>
      <c r="O631" s="177"/>
    </row>
    <row r="632" spans="2:15" s="12" customFormat="1" ht="18">
      <c r="B632" s="372" t="s">
        <v>80</v>
      </c>
      <c r="C632" s="367" t="s">
        <v>2241</v>
      </c>
      <c r="D632" s="177" t="s">
        <v>17</v>
      </c>
      <c r="E632" s="368">
        <v>4</v>
      </c>
      <c r="F632" s="368">
        <v>2</v>
      </c>
      <c r="G632" s="368">
        <v>2</v>
      </c>
      <c r="H632" s="368">
        <v>2</v>
      </c>
      <c r="I632" s="363">
        <f>SUM(Tabla132112412[[#This Row],[PRIMER TRIMESTRE]:[CUARTO TRIMESTRE]])</f>
        <v>10</v>
      </c>
      <c r="J632" s="175"/>
      <c r="K632" s="175"/>
      <c r="L632" s="175"/>
      <c r="M632" s="77"/>
      <c r="N632" s="77"/>
      <c r="O632" s="177"/>
    </row>
    <row r="633" spans="2:15" s="12" customFormat="1" ht="18">
      <c r="B633" s="372" t="s">
        <v>80</v>
      </c>
      <c r="C633" s="367" t="s">
        <v>2242</v>
      </c>
      <c r="D633" s="177" t="s">
        <v>17</v>
      </c>
      <c r="E633" s="368">
        <v>4</v>
      </c>
      <c r="F633" s="368">
        <v>2</v>
      </c>
      <c r="G633" s="368">
        <v>2</v>
      </c>
      <c r="H633" s="368">
        <v>2</v>
      </c>
      <c r="I633" s="363">
        <f>SUM(Tabla132112412[[#This Row],[PRIMER TRIMESTRE]:[CUARTO TRIMESTRE]])</f>
        <v>10</v>
      </c>
      <c r="J633" s="175"/>
      <c r="K633" s="175"/>
      <c r="L633" s="175"/>
      <c r="M633" s="77"/>
      <c r="N633" s="77"/>
      <c r="O633" s="177"/>
    </row>
    <row r="634" spans="2:15" s="12" customFormat="1" ht="18">
      <c r="B634" s="372" t="s">
        <v>80</v>
      </c>
      <c r="C634" s="454" t="s">
        <v>2243</v>
      </c>
      <c r="D634" s="455" t="s">
        <v>17</v>
      </c>
      <c r="E634" s="362">
        <v>10</v>
      </c>
      <c r="F634" s="362"/>
      <c r="G634" s="362">
        <v>10</v>
      </c>
      <c r="H634" s="362"/>
      <c r="I634" s="363">
        <f>SUM(Tabla132112412[[#This Row],[PRIMER TRIMESTRE]:[CUARTO TRIMESTRE]])</f>
        <v>20</v>
      </c>
      <c r="J634" s="175"/>
      <c r="K634" s="175"/>
      <c r="L634" s="175"/>
      <c r="M634" s="77"/>
      <c r="N634" s="77"/>
      <c r="O634" s="177"/>
    </row>
    <row r="635" spans="2:15" s="12" customFormat="1" ht="18">
      <c r="B635" s="372" t="s">
        <v>80</v>
      </c>
      <c r="C635" s="454" t="s">
        <v>2244</v>
      </c>
      <c r="D635" s="455" t="s">
        <v>17</v>
      </c>
      <c r="E635" s="362">
        <v>10</v>
      </c>
      <c r="F635" s="362"/>
      <c r="G635" s="362">
        <v>10</v>
      </c>
      <c r="H635" s="362"/>
      <c r="I635" s="363">
        <f>SUM(Tabla132112412[[#This Row],[PRIMER TRIMESTRE]:[CUARTO TRIMESTRE]])</f>
        <v>20</v>
      </c>
      <c r="J635" s="175"/>
      <c r="K635" s="175"/>
      <c r="L635" s="175"/>
      <c r="M635" s="77"/>
      <c r="N635" s="77"/>
      <c r="O635" s="177"/>
    </row>
    <row r="636" spans="2:15" s="12" customFormat="1" ht="18">
      <c r="B636" s="372" t="s">
        <v>80</v>
      </c>
      <c r="C636" s="367" t="s">
        <v>2245</v>
      </c>
      <c r="D636" s="177" t="s">
        <v>17</v>
      </c>
      <c r="E636" s="368">
        <v>4</v>
      </c>
      <c r="F636" s="368">
        <v>2</v>
      </c>
      <c r="G636" s="368">
        <v>2</v>
      </c>
      <c r="H636" s="368">
        <v>2</v>
      </c>
      <c r="I636" s="363">
        <f>SUM(Tabla132112412[[#This Row],[PRIMER TRIMESTRE]:[CUARTO TRIMESTRE]])</f>
        <v>10</v>
      </c>
      <c r="J636" s="175"/>
      <c r="K636" s="175"/>
      <c r="L636" s="175"/>
      <c r="M636" s="77"/>
      <c r="N636" s="77"/>
      <c r="O636" s="177"/>
    </row>
    <row r="637" spans="2:15" s="12" customFormat="1" ht="18">
      <c r="B637" s="372" t="s">
        <v>80</v>
      </c>
      <c r="C637" s="367" t="s">
        <v>2246</v>
      </c>
      <c r="D637" s="177" t="s">
        <v>17</v>
      </c>
      <c r="E637" s="368">
        <v>4</v>
      </c>
      <c r="F637" s="368">
        <v>2</v>
      </c>
      <c r="G637" s="368">
        <v>2</v>
      </c>
      <c r="H637" s="368">
        <v>2</v>
      </c>
      <c r="I637" s="363">
        <f>SUM(Tabla132112412[[#This Row],[PRIMER TRIMESTRE]:[CUARTO TRIMESTRE]])</f>
        <v>10</v>
      </c>
      <c r="J637" s="175"/>
      <c r="K637" s="175"/>
      <c r="L637" s="175"/>
      <c r="M637" s="77"/>
      <c r="N637" s="77"/>
      <c r="O637" s="177"/>
    </row>
    <row r="638" spans="2:15" s="12" customFormat="1" ht="18">
      <c r="B638" s="372" t="s">
        <v>80</v>
      </c>
      <c r="C638" s="367" t="s">
        <v>2247</v>
      </c>
      <c r="D638" s="177" t="s">
        <v>17</v>
      </c>
      <c r="E638" s="368">
        <v>4</v>
      </c>
      <c r="F638" s="368">
        <v>2</v>
      </c>
      <c r="G638" s="368">
        <v>2</v>
      </c>
      <c r="H638" s="368">
        <v>2</v>
      </c>
      <c r="I638" s="363">
        <f>SUM(Tabla132112412[[#This Row],[PRIMER TRIMESTRE]:[CUARTO TRIMESTRE]])</f>
        <v>10</v>
      </c>
      <c r="J638" s="175"/>
      <c r="K638" s="175"/>
      <c r="L638" s="175"/>
      <c r="M638" s="77"/>
      <c r="N638" s="77"/>
      <c r="O638" s="177"/>
    </row>
    <row r="639" spans="2:15" s="12" customFormat="1" ht="18">
      <c r="B639" s="372" t="s">
        <v>80</v>
      </c>
      <c r="C639" s="367" t="s">
        <v>2248</v>
      </c>
      <c r="D639" s="177" t="s">
        <v>17</v>
      </c>
      <c r="E639" s="368">
        <v>4</v>
      </c>
      <c r="F639" s="368">
        <v>2</v>
      </c>
      <c r="G639" s="368">
        <v>2</v>
      </c>
      <c r="H639" s="368">
        <v>2</v>
      </c>
      <c r="I639" s="363">
        <f>SUM(Tabla132112412[[#This Row],[PRIMER TRIMESTRE]:[CUARTO TRIMESTRE]])</f>
        <v>10</v>
      </c>
      <c r="J639" s="175"/>
      <c r="K639" s="175"/>
      <c r="L639" s="175"/>
      <c r="M639" s="77"/>
      <c r="N639" s="77"/>
      <c r="O639" s="177"/>
    </row>
    <row r="640" spans="2:15" s="12" customFormat="1" ht="18">
      <c r="B640" s="372" t="s">
        <v>80</v>
      </c>
      <c r="C640" s="367" t="s">
        <v>2249</v>
      </c>
      <c r="D640" s="177" t="s">
        <v>17</v>
      </c>
      <c r="E640" s="368">
        <v>3</v>
      </c>
      <c r="F640" s="368">
        <v>3</v>
      </c>
      <c r="G640" s="368">
        <v>3</v>
      </c>
      <c r="H640" s="368">
        <v>3</v>
      </c>
      <c r="I640" s="363">
        <f>SUM(Tabla132112412[[#This Row],[PRIMER TRIMESTRE]:[CUARTO TRIMESTRE]])</f>
        <v>12</v>
      </c>
      <c r="J640" s="175"/>
      <c r="K640" s="175"/>
      <c r="L640" s="175"/>
      <c r="M640" s="77"/>
      <c r="N640" s="77"/>
      <c r="O640" s="177"/>
    </row>
    <row r="641" spans="2:15" s="12" customFormat="1" ht="18">
      <c r="B641" s="372" t="s">
        <v>80</v>
      </c>
      <c r="C641" s="367" t="s">
        <v>2250</v>
      </c>
      <c r="D641" s="177" t="s">
        <v>17</v>
      </c>
      <c r="E641" s="368">
        <v>2</v>
      </c>
      <c r="F641" s="368">
        <v>1</v>
      </c>
      <c r="G641" s="368">
        <v>1</v>
      </c>
      <c r="H641" s="368">
        <v>1</v>
      </c>
      <c r="I641" s="363">
        <f>SUM(Tabla132112412[[#This Row],[PRIMER TRIMESTRE]:[CUARTO TRIMESTRE]])</f>
        <v>5</v>
      </c>
      <c r="J641" s="175"/>
      <c r="K641" s="175"/>
      <c r="L641" s="175"/>
      <c r="M641" s="77"/>
      <c r="N641" s="77"/>
      <c r="O641" s="177"/>
    </row>
    <row r="642" spans="2:15" s="12" customFormat="1" ht="18">
      <c r="B642" s="372" t="s">
        <v>80</v>
      </c>
      <c r="C642" s="367" t="s">
        <v>2251</v>
      </c>
      <c r="D642" s="177" t="s">
        <v>17</v>
      </c>
      <c r="E642" s="368">
        <v>2</v>
      </c>
      <c r="F642" s="368">
        <v>1</v>
      </c>
      <c r="G642" s="368">
        <v>1</v>
      </c>
      <c r="H642" s="368">
        <v>1</v>
      </c>
      <c r="I642" s="363">
        <f>SUM(Tabla132112412[[#This Row],[PRIMER TRIMESTRE]:[CUARTO TRIMESTRE]])</f>
        <v>5</v>
      </c>
      <c r="J642" s="175"/>
      <c r="K642" s="175"/>
      <c r="L642" s="175"/>
      <c r="M642" s="77"/>
      <c r="N642" s="77"/>
      <c r="O642" s="177"/>
    </row>
    <row r="643" spans="2:15" s="12" customFormat="1" ht="18">
      <c r="B643" s="372" t="s">
        <v>80</v>
      </c>
      <c r="C643" s="367" t="s">
        <v>2252</v>
      </c>
      <c r="D643" s="177" t="s">
        <v>17</v>
      </c>
      <c r="E643" s="368">
        <v>2</v>
      </c>
      <c r="F643" s="368">
        <v>1</v>
      </c>
      <c r="G643" s="368">
        <v>1</v>
      </c>
      <c r="H643" s="368">
        <v>1</v>
      </c>
      <c r="I643" s="363">
        <f>SUM(Tabla132112412[[#This Row],[PRIMER TRIMESTRE]:[CUARTO TRIMESTRE]])</f>
        <v>5</v>
      </c>
      <c r="J643" s="175"/>
      <c r="K643" s="175"/>
      <c r="L643" s="175"/>
      <c r="M643" s="77"/>
      <c r="N643" s="77"/>
      <c r="O643" s="177"/>
    </row>
    <row r="644" spans="2:15" s="12" customFormat="1" ht="18">
      <c r="B644" s="372" t="s">
        <v>80</v>
      </c>
      <c r="C644" s="367" t="s">
        <v>2253</v>
      </c>
      <c r="D644" s="177" t="s">
        <v>17</v>
      </c>
      <c r="E644" s="369">
        <v>10</v>
      </c>
      <c r="F644" s="369">
        <v>5</v>
      </c>
      <c r="G644" s="369">
        <v>5</v>
      </c>
      <c r="H644" s="369">
        <v>5</v>
      </c>
      <c r="I644" s="363">
        <f>SUM(Tabla132112412[[#This Row],[PRIMER TRIMESTRE]:[CUARTO TRIMESTRE]])</f>
        <v>25</v>
      </c>
      <c r="J644" s="175"/>
      <c r="K644" s="175"/>
      <c r="L644" s="175"/>
      <c r="M644" s="77"/>
      <c r="N644" s="77"/>
      <c r="O644" s="177"/>
    </row>
    <row r="645" spans="2:15" s="12" customFormat="1" ht="18">
      <c r="B645" s="372" t="s">
        <v>80</v>
      </c>
      <c r="C645" s="77" t="s">
        <v>638</v>
      </c>
      <c r="D645" s="177" t="s">
        <v>17</v>
      </c>
      <c r="E645" s="370">
        <v>35</v>
      </c>
      <c r="F645" s="370">
        <v>30</v>
      </c>
      <c r="G645" s="370">
        <v>35</v>
      </c>
      <c r="H645" s="370">
        <v>30</v>
      </c>
      <c r="I645" s="363">
        <f>SUM(Tabla132112412[[#This Row],[PRIMER TRIMESTRE]:[CUARTO TRIMESTRE]])</f>
        <v>130</v>
      </c>
      <c r="J645" s="175">
        <v>7.28</v>
      </c>
      <c r="K645" s="175">
        <f t="shared" ref="K645:K660" si="13">+I645*J645</f>
        <v>946.4</v>
      </c>
      <c r="L645" s="175"/>
      <c r="M645" s="77" t="s">
        <v>18</v>
      </c>
      <c r="N645" s="77" t="s">
        <v>22</v>
      </c>
      <c r="O645" s="177" t="s">
        <v>418</v>
      </c>
    </row>
    <row r="646" spans="2:15" s="12" customFormat="1" ht="18">
      <c r="B646" s="372" t="s">
        <v>80</v>
      </c>
      <c r="C646" s="77" t="s">
        <v>639</v>
      </c>
      <c r="D646" s="177" t="s">
        <v>17</v>
      </c>
      <c r="E646" s="370">
        <v>15</v>
      </c>
      <c r="F646" s="370">
        <v>10</v>
      </c>
      <c r="G646" s="370">
        <v>15</v>
      </c>
      <c r="H646" s="370">
        <v>10</v>
      </c>
      <c r="I646" s="363">
        <f>SUM(Tabla132112412[[#This Row],[PRIMER TRIMESTRE]:[CUARTO TRIMESTRE]])</f>
        <v>50</v>
      </c>
      <c r="J646" s="175">
        <v>11.82</v>
      </c>
      <c r="K646" s="175">
        <f t="shared" si="13"/>
        <v>591</v>
      </c>
      <c r="L646" s="175"/>
      <c r="M646" s="77" t="s">
        <v>18</v>
      </c>
      <c r="N646" s="77" t="s">
        <v>22</v>
      </c>
      <c r="O646" s="177"/>
    </row>
    <row r="647" spans="2:15" s="12" customFormat="1" ht="18">
      <c r="B647" s="372" t="s">
        <v>80</v>
      </c>
      <c r="C647" s="77" t="s">
        <v>642</v>
      </c>
      <c r="D647" s="177" t="s">
        <v>17</v>
      </c>
      <c r="E647" s="370">
        <v>15</v>
      </c>
      <c r="F647" s="370">
        <v>10</v>
      </c>
      <c r="G647" s="370">
        <v>15</v>
      </c>
      <c r="H647" s="370">
        <v>10</v>
      </c>
      <c r="I647" s="363">
        <f>SUM(Tabla132112412[[#This Row],[PRIMER TRIMESTRE]:[CUARTO TRIMESTRE]])</f>
        <v>50</v>
      </c>
      <c r="J647" s="175">
        <v>22.74</v>
      </c>
      <c r="K647" s="175">
        <f t="shared" si="13"/>
        <v>1137</v>
      </c>
      <c r="L647" s="175"/>
      <c r="M647" s="77" t="s">
        <v>18</v>
      </c>
      <c r="N647" s="77" t="s">
        <v>22</v>
      </c>
      <c r="O647" s="177"/>
    </row>
    <row r="648" spans="2:15" s="12" customFormat="1" ht="18">
      <c r="B648" s="372" t="s">
        <v>80</v>
      </c>
      <c r="C648" s="77" t="s">
        <v>643</v>
      </c>
      <c r="D648" s="177" t="s">
        <v>17</v>
      </c>
      <c r="E648" s="370">
        <v>20</v>
      </c>
      <c r="F648" s="370">
        <v>20</v>
      </c>
      <c r="G648" s="370">
        <v>20</v>
      </c>
      <c r="H648" s="370">
        <v>20</v>
      </c>
      <c r="I648" s="363">
        <f>SUM(Tabla132112412[[#This Row],[PRIMER TRIMESTRE]:[CUARTO TRIMESTRE]])</f>
        <v>80</v>
      </c>
      <c r="J648" s="175">
        <v>53.66</v>
      </c>
      <c r="K648" s="175">
        <f t="shared" si="13"/>
        <v>4292.7999999999993</v>
      </c>
      <c r="L648" s="175"/>
      <c r="M648" s="77" t="s">
        <v>18</v>
      </c>
      <c r="N648" s="77" t="s">
        <v>22</v>
      </c>
      <c r="O648" s="177"/>
    </row>
    <row r="649" spans="2:15" s="12" customFormat="1" ht="18">
      <c r="B649" s="372" t="s">
        <v>80</v>
      </c>
      <c r="C649" s="77" t="s">
        <v>640</v>
      </c>
      <c r="D649" s="177" t="s">
        <v>17</v>
      </c>
      <c r="E649" s="370">
        <v>20</v>
      </c>
      <c r="F649" s="370">
        <v>20</v>
      </c>
      <c r="G649" s="370">
        <v>20</v>
      </c>
      <c r="H649" s="370">
        <v>20</v>
      </c>
      <c r="I649" s="363">
        <f>SUM(Tabla132112412[[#This Row],[PRIMER TRIMESTRE]:[CUARTO TRIMESTRE]])</f>
        <v>80</v>
      </c>
      <c r="J649" s="175">
        <v>90</v>
      </c>
      <c r="K649" s="175">
        <f t="shared" si="13"/>
        <v>7200</v>
      </c>
      <c r="L649" s="175"/>
      <c r="M649" s="77" t="s">
        <v>18</v>
      </c>
      <c r="N649" s="77" t="s">
        <v>22</v>
      </c>
      <c r="O649" s="177"/>
    </row>
    <row r="650" spans="2:15" s="12" customFormat="1" ht="18">
      <c r="B650" s="372" t="s">
        <v>80</v>
      </c>
      <c r="C650" s="77" t="s">
        <v>641</v>
      </c>
      <c r="D650" s="177" t="s">
        <v>17</v>
      </c>
      <c r="E650" s="370">
        <v>10</v>
      </c>
      <c r="F650" s="370">
        <v>10</v>
      </c>
      <c r="G650" s="370">
        <v>10</v>
      </c>
      <c r="H650" s="370">
        <v>10</v>
      </c>
      <c r="I650" s="363">
        <f>SUM(Tabla132112412[[#This Row],[PRIMER TRIMESTRE]:[CUARTO TRIMESTRE]])</f>
        <v>40</v>
      </c>
      <c r="J650" s="175">
        <v>1799.03</v>
      </c>
      <c r="K650" s="175">
        <f t="shared" si="13"/>
        <v>71961.2</v>
      </c>
      <c r="L650" s="175"/>
      <c r="M650" s="77" t="s">
        <v>18</v>
      </c>
      <c r="N650" s="77" t="s">
        <v>22</v>
      </c>
      <c r="O650" s="177"/>
    </row>
    <row r="651" spans="2:15" s="12" customFormat="1" ht="18">
      <c r="B651" s="372" t="s">
        <v>80</v>
      </c>
      <c r="C651" s="77" t="s">
        <v>607</v>
      </c>
      <c r="D651" s="177" t="s">
        <v>17</v>
      </c>
      <c r="E651" s="370">
        <v>5</v>
      </c>
      <c r="F651" s="370">
        <v>0</v>
      </c>
      <c r="G651" s="370">
        <v>5</v>
      </c>
      <c r="H651" s="370">
        <v>0</v>
      </c>
      <c r="I651" s="363">
        <f>SUM(Tabla132112412[[#This Row],[PRIMER TRIMESTRE]:[CUARTO TRIMESTRE]])</f>
        <v>10</v>
      </c>
      <c r="J651" s="175">
        <v>3068</v>
      </c>
      <c r="K651" s="175">
        <f t="shared" si="13"/>
        <v>30680</v>
      </c>
      <c r="L651" s="175"/>
      <c r="M651" s="77" t="s">
        <v>18</v>
      </c>
      <c r="N651" s="77" t="s">
        <v>22</v>
      </c>
      <c r="O651" s="177"/>
    </row>
    <row r="652" spans="2:15" s="12" customFormat="1" ht="18">
      <c r="B652" s="372" t="s">
        <v>80</v>
      </c>
      <c r="C652" s="77" t="s">
        <v>608</v>
      </c>
      <c r="D652" s="177" t="s">
        <v>17</v>
      </c>
      <c r="E652" s="370">
        <v>5</v>
      </c>
      <c r="F652" s="370">
        <v>0</v>
      </c>
      <c r="G652" s="370">
        <v>5</v>
      </c>
      <c r="H652" s="370">
        <v>0</v>
      </c>
      <c r="I652" s="363">
        <f>SUM(Tabla132112412[[#This Row],[PRIMER TRIMESTRE]:[CUARTO TRIMESTRE]])</f>
        <v>10</v>
      </c>
      <c r="J652" s="175">
        <v>4425</v>
      </c>
      <c r="K652" s="175">
        <f t="shared" si="13"/>
        <v>44250</v>
      </c>
      <c r="L652" s="175"/>
      <c r="M652" s="77" t="s">
        <v>18</v>
      </c>
      <c r="N652" s="77" t="s">
        <v>22</v>
      </c>
      <c r="O652" s="177"/>
    </row>
    <row r="653" spans="2:15" s="12" customFormat="1" ht="18">
      <c r="B653" s="372" t="s">
        <v>80</v>
      </c>
      <c r="C653" s="77" t="s">
        <v>609</v>
      </c>
      <c r="D653" s="177" t="s">
        <v>17</v>
      </c>
      <c r="E653" s="370">
        <v>5</v>
      </c>
      <c r="F653" s="370">
        <v>0</v>
      </c>
      <c r="G653" s="370">
        <v>5</v>
      </c>
      <c r="H653" s="370">
        <v>0</v>
      </c>
      <c r="I653" s="363">
        <f>SUM(Tabla132112412[[#This Row],[PRIMER TRIMESTRE]:[CUARTO TRIMESTRE]])</f>
        <v>10</v>
      </c>
      <c r="J653" s="175">
        <v>5074</v>
      </c>
      <c r="K653" s="175">
        <f t="shared" si="13"/>
        <v>50740</v>
      </c>
      <c r="L653" s="175"/>
      <c r="M653" s="77" t="s">
        <v>18</v>
      </c>
      <c r="N653" s="77" t="s">
        <v>22</v>
      </c>
      <c r="O653" s="177"/>
    </row>
    <row r="654" spans="2:15" s="12" customFormat="1" ht="18">
      <c r="B654" s="372" t="s">
        <v>80</v>
      </c>
      <c r="C654" s="77" t="s">
        <v>610</v>
      </c>
      <c r="D654" s="177" t="s">
        <v>17</v>
      </c>
      <c r="E654" s="370">
        <v>5</v>
      </c>
      <c r="F654" s="370">
        <v>0</v>
      </c>
      <c r="G654" s="370">
        <v>5</v>
      </c>
      <c r="H654" s="370">
        <v>0</v>
      </c>
      <c r="I654" s="363">
        <f>SUM(Tabla132112412[[#This Row],[PRIMER TRIMESTRE]:[CUARTO TRIMESTRE]])</f>
        <v>10</v>
      </c>
      <c r="J654" s="175">
        <v>6431</v>
      </c>
      <c r="K654" s="175">
        <f t="shared" si="13"/>
        <v>64310</v>
      </c>
      <c r="L654" s="175"/>
      <c r="M654" s="77" t="s">
        <v>18</v>
      </c>
      <c r="N654" s="77" t="s">
        <v>22</v>
      </c>
      <c r="O654" s="177"/>
    </row>
    <row r="655" spans="2:15" s="12" customFormat="1" ht="18">
      <c r="B655" s="372" t="s">
        <v>80</v>
      </c>
      <c r="C655" s="77" t="s">
        <v>611</v>
      </c>
      <c r="D655" s="177" t="s">
        <v>17</v>
      </c>
      <c r="E655" s="370">
        <v>5</v>
      </c>
      <c r="F655" s="370">
        <v>0</v>
      </c>
      <c r="G655" s="370">
        <v>5</v>
      </c>
      <c r="H655" s="370">
        <v>0</v>
      </c>
      <c r="I655" s="363">
        <f>SUM(Tabla132112412[[#This Row],[PRIMER TRIMESTRE]:[CUARTO TRIMESTRE]])</f>
        <v>10</v>
      </c>
      <c r="J655" s="175">
        <v>7943</v>
      </c>
      <c r="K655" s="175">
        <f t="shared" si="13"/>
        <v>79430</v>
      </c>
      <c r="L655" s="175"/>
      <c r="M655" s="77" t="s">
        <v>18</v>
      </c>
      <c r="N655" s="77" t="s">
        <v>22</v>
      </c>
      <c r="O655" s="177"/>
    </row>
    <row r="656" spans="2:15" s="12" customFormat="1" ht="18">
      <c r="B656" s="372" t="s">
        <v>80</v>
      </c>
      <c r="C656" s="77" t="s">
        <v>612</v>
      </c>
      <c r="D656" s="177" t="s">
        <v>17</v>
      </c>
      <c r="E656" s="370">
        <v>0</v>
      </c>
      <c r="F656" s="370">
        <v>0</v>
      </c>
      <c r="G656" s="370">
        <v>0</v>
      </c>
      <c r="H656" s="370">
        <v>0</v>
      </c>
      <c r="I656" s="363">
        <f>SUM(Tabla132112412[[#This Row],[PRIMER TRIMESTRE]:[CUARTO TRIMESTRE]])</f>
        <v>0</v>
      </c>
      <c r="J656" s="175">
        <v>9145</v>
      </c>
      <c r="K656" s="175">
        <f t="shared" si="13"/>
        <v>0</v>
      </c>
      <c r="L656" s="175"/>
      <c r="M656" s="77" t="s">
        <v>18</v>
      </c>
      <c r="N656" s="77" t="s">
        <v>22</v>
      </c>
      <c r="O656" s="177"/>
    </row>
    <row r="657" spans="2:15" s="12" customFormat="1" ht="18">
      <c r="B657" s="372" t="s">
        <v>80</v>
      </c>
      <c r="C657" s="77" t="s">
        <v>613</v>
      </c>
      <c r="D657" s="177" t="s">
        <v>17</v>
      </c>
      <c r="E657" s="370">
        <v>5</v>
      </c>
      <c r="F657" s="370">
        <v>0</v>
      </c>
      <c r="G657" s="370">
        <v>0</v>
      </c>
      <c r="H657" s="370">
        <v>0</v>
      </c>
      <c r="I657" s="363">
        <f>SUM(Tabla132112412[[#This Row],[PRIMER TRIMESTRE]:[CUARTO TRIMESTRE]])</f>
        <v>5</v>
      </c>
      <c r="J657" s="175">
        <v>10502</v>
      </c>
      <c r="K657" s="175">
        <f t="shared" si="13"/>
        <v>52510</v>
      </c>
      <c r="L657" s="175"/>
      <c r="M657" s="77" t="s">
        <v>18</v>
      </c>
      <c r="N657" s="77" t="s">
        <v>22</v>
      </c>
      <c r="O657" s="177"/>
    </row>
    <row r="658" spans="2:15" s="12" customFormat="1" ht="18">
      <c r="B658" s="372" t="s">
        <v>80</v>
      </c>
      <c r="C658" s="77" t="s">
        <v>614</v>
      </c>
      <c r="D658" s="177" t="s">
        <v>17</v>
      </c>
      <c r="E658" s="370">
        <v>1</v>
      </c>
      <c r="F658" s="370">
        <v>0</v>
      </c>
      <c r="G658" s="370">
        <v>1</v>
      </c>
      <c r="H658" s="370">
        <v>0</v>
      </c>
      <c r="I658" s="363">
        <f>SUM(Tabla132112412[[#This Row],[PRIMER TRIMESTRE]:[CUARTO TRIMESTRE]])</f>
        <v>2</v>
      </c>
      <c r="J658" s="175">
        <v>11564</v>
      </c>
      <c r="K658" s="175">
        <f t="shared" si="13"/>
        <v>23128</v>
      </c>
      <c r="L658" s="175"/>
      <c r="M658" s="77" t="s">
        <v>18</v>
      </c>
      <c r="N658" s="77" t="s">
        <v>22</v>
      </c>
      <c r="O658" s="177"/>
    </row>
    <row r="659" spans="2:15" s="12" customFormat="1" ht="18">
      <c r="B659" s="372" t="s">
        <v>80</v>
      </c>
      <c r="C659" s="77" t="s">
        <v>615</v>
      </c>
      <c r="D659" s="177" t="s">
        <v>17</v>
      </c>
      <c r="E659" s="370">
        <v>0</v>
      </c>
      <c r="F659" s="370">
        <v>0</v>
      </c>
      <c r="G659" s="370">
        <v>0</v>
      </c>
      <c r="H659" s="370">
        <v>0</v>
      </c>
      <c r="I659" s="363">
        <f>SUM(Tabla132112412[[#This Row],[PRIMER TRIMESTRE]:[CUARTO TRIMESTRE]])</f>
        <v>0</v>
      </c>
      <c r="J659" s="175">
        <v>13747</v>
      </c>
      <c r="K659" s="175">
        <f t="shared" si="13"/>
        <v>0</v>
      </c>
      <c r="L659" s="175"/>
      <c r="M659" s="77" t="s">
        <v>18</v>
      </c>
      <c r="N659" s="77" t="s">
        <v>22</v>
      </c>
      <c r="O659" s="177"/>
    </row>
    <row r="660" spans="2:15" s="12" customFormat="1" ht="18">
      <c r="B660" s="372" t="s">
        <v>80</v>
      </c>
      <c r="C660" s="77" t="s">
        <v>1547</v>
      </c>
      <c r="D660" s="177" t="s">
        <v>17</v>
      </c>
      <c r="E660" s="370">
        <v>5</v>
      </c>
      <c r="F660" s="370">
        <v>0</v>
      </c>
      <c r="G660" s="370">
        <v>0</v>
      </c>
      <c r="H660" s="370">
        <v>0</v>
      </c>
      <c r="I660" s="363">
        <f>SUM(Tabla132112412[[#This Row],[PRIMER TRIMESTRE]:[CUARTO TRIMESTRE]])</f>
        <v>5</v>
      </c>
      <c r="J660" s="175">
        <v>700</v>
      </c>
      <c r="K660" s="175">
        <f t="shared" si="13"/>
        <v>3500</v>
      </c>
      <c r="L660" s="175"/>
      <c r="M660" s="77" t="s">
        <v>18</v>
      </c>
      <c r="N660" s="77" t="s">
        <v>22</v>
      </c>
      <c r="O660" s="177"/>
    </row>
    <row r="661" spans="2:15" s="12" customFormat="1" ht="18">
      <c r="B661" s="372" t="s">
        <v>80</v>
      </c>
      <c r="C661" s="367" t="s">
        <v>2254</v>
      </c>
      <c r="D661" s="177" t="s">
        <v>17</v>
      </c>
      <c r="E661" s="368">
        <v>5</v>
      </c>
      <c r="F661" s="369">
        <v>4</v>
      </c>
      <c r="G661" s="369">
        <v>3</v>
      </c>
      <c r="H661" s="369">
        <v>3</v>
      </c>
      <c r="I661" s="363">
        <f>SUM(Tabla132112412[[#This Row],[PRIMER TRIMESTRE]:[CUARTO TRIMESTRE]])</f>
        <v>15</v>
      </c>
      <c r="J661" s="175"/>
      <c r="K661" s="175"/>
      <c r="L661" s="175"/>
      <c r="M661" s="77"/>
      <c r="N661" s="77"/>
      <c r="O661" s="177"/>
    </row>
    <row r="662" spans="2:15" s="12" customFormat="1" ht="18">
      <c r="B662" s="372" t="s">
        <v>80</v>
      </c>
      <c r="C662" s="367" t="s">
        <v>2255</v>
      </c>
      <c r="D662" s="177" t="s">
        <v>17</v>
      </c>
      <c r="E662" s="368">
        <v>5</v>
      </c>
      <c r="F662" s="369">
        <v>4</v>
      </c>
      <c r="G662" s="369">
        <v>3</v>
      </c>
      <c r="H662" s="369">
        <v>3</v>
      </c>
      <c r="I662" s="363">
        <f>SUM(Tabla132112412[[#This Row],[PRIMER TRIMESTRE]:[CUARTO TRIMESTRE]])</f>
        <v>15</v>
      </c>
      <c r="J662" s="175"/>
      <c r="K662" s="175"/>
      <c r="L662" s="175"/>
      <c r="M662" s="77"/>
      <c r="N662" s="77"/>
      <c r="O662" s="177"/>
    </row>
    <row r="663" spans="2:15" s="12" customFormat="1" ht="25.5">
      <c r="B663" s="372" t="s">
        <v>80</v>
      </c>
      <c r="C663" s="367" t="s">
        <v>2256</v>
      </c>
      <c r="D663" s="177" t="s">
        <v>17</v>
      </c>
      <c r="E663" s="368">
        <v>40</v>
      </c>
      <c r="F663" s="369">
        <v>20</v>
      </c>
      <c r="G663" s="369">
        <v>20</v>
      </c>
      <c r="H663" s="369">
        <v>20</v>
      </c>
      <c r="I663" s="363">
        <f>SUM(Tabla132112412[[#This Row],[PRIMER TRIMESTRE]:[CUARTO TRIMESTRE]])</f>
        <v>100</v>
      </c>
      <c r="J663" s="175"/>
      <c r="K663" s="175"/>
      <c r="L663" s="175"/>
      <c r="M663" s="77"/>
      <c r="N663" s="77"/>
      <c r="O663" s="177"/>
    </row>
    <row r="664" spans="2:15" s="12" customFormat="1" ht="18">
      <c r="B664" s="372" t="s">
        <v>80</v>
      </c>
      <c r="C664" s="367" t="s">
        <v>2257</v>
      </c>
      <c r="D664" s="177" t="s">
        <v>17</v>
      </c>
      <c r="E664" s="368">
        <v>40</v>
      </c>
      <c r="F664" s="369">
        <v>20</v>
      </c>
      <c r="G664" s="369">
        <v>20</v>
      </c>
      <c r="H664" s="369">
        <v>20</v>
      </c>
      <c r="I664" s="363">
        <f>SUM(Tabla132112412[[#This Row],[PRIMER TRIMESTRE]:[CUARTO TRIMESTRE]])</f>
        <v>100</v>
      </c>
      <c r="J664" s="175"/>
      <c r="K664" s="175"/>
      <c r="L664" s="175"/>
      <c r="M664" s="77"/>
      <c r="N664" s="77"/>
      <c r="O664" s="177"/>
    </row>
    <row r="665" spans="2:15" s="12" customFormat="1" ht="18">
      <c r="B665" s="372" t="s">
        <v>80</v>
      </c>
      <c r="C665" s="367" t="s">
        <v>2258</v>
      </c>
      <c r="D665" s="177" t="s">
        <v>17</v>
      </c>
      <c r="E665" s="368">
        <v>40</v>
      </c>
      <c r="F665" s="369">
        <v>20</v>
      </c>
      <c r="G665" s="369">
        <v>20</v>
      </c>
      <c r="H665" s="369">
        <v>20</v>
      </c>
      <c r="I665" s="363">
        <f>SUM(Tabla132112412[[#This Row],[PRIMER TRIMESTRE]:[CUARTO TRIMESTRE]])</f>
        <v>100</v>
      </c>
      <c r="J665" s="175"/>
      <c r="K665" s="175"/>
      <c r="L665" s="175"/>
      <c r="M665" s="77"/>
      <c r="N665" s="77"/>
      <c r="O665" s="177"/>
    </row>
    <row r="666" spans="2:15" s="12" customFormat="1" ht="25.5">
      <c r="B666" s="372" t="s">
        <v>80</v>
      </c>
      <c r="C666" s="367" t="s">
        <v>2259</v>
      </c>
      <c r="D666" s="177" t="s">
        <v>17</v>
      </c>
      <c r="E666" s="368">
        <v>40</v>
      </c>
      <c r="F666" s="369">
        <v>20</v>
      </c>
      <c r="G666" s="369">
        <v>20</v>
      </c>
      <c r="H666" s="369">
        <v>20</v>
      </c>
      <c r="I666" s="363">
        <f>SUM(Tabla132112412[[#This Row],[PRIMER TRIMESTRE]:[CUARTO TRIMESTRE]])</f>
        <v>100</v>
      </c>
      <c r="J666" s="175"/>
      <c r="K666" s="175"/>
      <c r="L666" s="175"/>
      <c r="M666" s="77"/>
      <c r="N666" s="77"/>
      <c r="O666" s="177"/>
    </row>
    <row r="667" spans="2:15" s="12" customFormat="1" ht="25.5">
      <c r="B667" s="372" t="s">
        <v>80</v>
      </c>
      <c r="C667" s="367" t="s">
        <v>2260</v>
      </c>
      <c r="D667" s="177" t="s">
        <v>17</v>
      </c>
      <c r="E667" s="368">
        <v>40</v>
      </c>
      <c r="F667" s="369">
        <v>20</v>
      </c>
      <c r="G667" s="369">
        <v>20</v>
      </c>
      <c r="H667" s="369">
        <v>20</v>
      </c>
      <c r="I667" s="363">
        <f>SUM(Tabla132112412[[#This Row],[PRIMER TRIMESTRE]:[CUARTO TRIMESTRE]])</f>
        <v>100</v>
      </c>
      <c r="J667" s="175"/>
      <c r="K667" s="175"/>
      <c r="L667" s="175"/>
      <c r="M667" s="77"/>
      <c r="N667" s="77"/>
      <c r="O667" s="177"/>
    </row>
    <row r="668" spans="2:15" s="12" customFormat="1" ht="18">
      <c r="B668" s="372" t="s">
        <v>80</v>
      </c>
      <c r="C668" s="367" t="s">
        <v>2261</v>
      </c>
      <c r="D668" s="177" t="s">
        <v>17</v>
      </c>
      <c r="E668" s="368">
        <v>40</v>
      </c>
      <c r="F668" s="369">
        <v>20</v>
      </c>
      <c r="G668" s="369">
        <v>20</v>
      </c>
      <c r="H668" s="369">
        <v>20</v>
      </c>
      <c r="I668" s="363">
        <f>SUM(Tabla132112412[[#This Row],[PRIMER TRIMESTRE]:[CUARTO TRIMESTRE]])</f>
        <v>100</v>
      </c>
      <c r="J668" s="175"/>
      <c r="K668" s="175"/>
      <c r="L668" s="175"/>
      <c r="M668" s="77"/>
      <c r="N668" s="77"/>
      <c r="O668" s="177"/>
    </row>
    <row r="669" spans="2:15" s="12" customFormat="1" ht="25.5">
      <c r="B669" s="372" t="s">
        <v>80</v>
      </c>
      <c r="C669" s="367" t="s">
        <v>2262</v>
      </c>
      <c r="D669" s="177" t="s">
        <v>17</v>
      </c>
      <c r="E669" s="368">
        <v>40</v>
      </c>
      <c r="F669" s="369">
        <v>20</v>
      </c>
      <c r="G669" s="369">
        <v>20</v>
      </c>
      <c r="H669" s="369">
        <v>20</v>
      </c>
      <c r="I669" s="363">
        <f>SUM(Tabla132112412[[#This Row],[PRIMER TRIMESTRE]:[CUARTO TRIMESTRE]])</f>
        <v>100</v>
      </c>
      <c r="J669" s="175"/>
      <c r="K669" s="175"/>
      <c r="L669" s="175"/>
      <c r="M669" s="77"/>
      <c r="N669" s="77"/>
      <c r="O669" s="177"/>
    </row>
    <row r="670" spans="2:15" s="12" customFormat="1" ht="18">
      <c r="B670" s="372" t="s">
        <v>80</v>
      </c>
      <c r="C670" s="367" t="s">
        <v>2263</v>
      </c>
      <c r="D670" s="177" t="s">
        <v>17</v>
      </c>
      <c r="E670" s="368">
        <v>40</v>
      </c>
      <c r="F670" s="369">
        <v>20</v>
      </c>
      <c r="G670" s="369">
        <v>20</v>
      </c>
      <c r="H670" s="369">
        <v>20</v>
      </c>
      <c r="I670" s="363">
        <f>SUM(Tabla132112412[[#This Row],[PRIMER TRIMESTRE]:[CUARTO TRIMESTRE]])</f>
        <v>100</v>
      </c>
      <c r="J670" s="175"/>
      <c r="K670" s="175"/>
      <c r="L670" s="175"/>
      <c r="M670" s="77"/>
      <c r="N670" s="77"/>
      <c r="O670" s="177"/>
    </row>
    <row r="671" spans="2:15" s="12" customFormat="1" ht="18">
      <c r="B671" s="372" t="s">
        <v>80</v>
      </c>
      <c r="C671" s="367" t="s">
        <v>2264</v>
      </c>
      <c r="D671" s="177" t="s">
        <v>17</v>
      </c>
      <c r="E671" s="368">
        <v>40</v>
      </c>
      <c r="F671" s="369">
        <v>20</v>
      </c>
      <c r="G671" s="369">
        <v>20</v>
      </c>
      <c r="H671" s="369">
        <v>20</v>
      </c>
      <c r="I671" s="363">
        <f>SUM(Tabla132112412[[#This Row],[PRIMER TRIMESTRE]:[CUARTO TRIMESTRE]])</f>
        <v>100</v>
      </c>
      <c r="J671" s="175"/>
      <c r="K671" s="175"/>
      <c r="L671" s="175"/>
      <c r="M671" s="77"/>
      <c r="N671" s="77"/>
      <c r="O671" s="177"/>
    </row>
    <row r="672" spans="2:15" s="12" customFormat="1" ht="25.5">
      <c r="B672" s="372" t="s">
        <v>80</v>
      </c>
      <c r="C672" s="367" t="s">
        <v>2265</v>
      </c>
      <c r="D672" s="177" t="s">
        <v>17</v>
      </c>
      <c r="E672" s="368">
        <v>40</v>
      </c>
      <c r="F672" s="369">
        <v>20</v>
      </c>
      <c r="G672" s="369">
        <v>20</v>
      </c>
      <c r="H672" s="369">
        <v>20</v>
      </c>
      <c r="I672" s="363">
        <f>SUM(Tabla132112412[[#This Row],[PRIMER TRIMESTRE]:[CUARTO TRIMESTRE]])</f>
        <v>100</v>
      </c>
      <c r="J672" s="175"/>
      <c r="K672" s="175"/>
      <c r="L672" s="175"/>
      <c r="M672" s="77"/>
      <c r="N672" s="77"/>
      <c r="O672" s="177"/>
    </row>
    <row r="673" spans="2:15" s="12" customFormat="1" ht="25.5">
      <c r="B673" s="372" t="s">
        <v>80</v>
      </c>
      <c r="C673" s="367" t="s">
        <v>2266</v>
      </c>
      <c r="D673" s="177" t="s">
        <v>17</v>
      </c>
      <c r="E673" s="368">
        <v>40</v>
      </c>
      <c r="F673" s="369">
        <v>20</v>
      </c>
      <c r="G673" s="369">
        <v>20</v>
      </c>
      <c r="H673" s="369">
        <v>20</v>
      </c>
      <c r="I673" s="363">
        <f>SUM(Tabla132112412[[#This Row],[PRIMER TRIMESTRE]:[CUARTO TRIMESTRE]])</f>
        <v>100</v>
      </c>
      <c r="J673" s="175"/>
      <c r="K673" s="175"/>
      <c r="L673" s="175"/>
      <c r="M673" s="77"/>
      <c r="N673" s="77"/>
      <c r="O673" s="177"/>
    </row>
    <row r="674" spans="2:15" s="12" customFormat="1" ht="18">
      <c r="B674" s="372" t="s">
        <v>80</v>
      </c>
      <c r="C674" s="367" t="s">
        <v>2267</v>
      </c>
      <c r="D674" s="177" t="s">
        <v>17</v>
      </c>
      <c r="E674" s="368">
        <v>40</v>
      </c>
      <c r="F674" s="369">
        <v>20</v>
      </c>
      <c r="G674" s="369">
        <v>20</v>
      </c>
      <c r="H674" s="369">
        <v>20</v>
      </c>
      <c r="I674" s="363">
        <f>SUM(Tabla132112412[[#This Row],[PRIMER TRIMESTRE]:[CUARTO TRIMESTRE]])</f>
        <v>100</v>
      </c>
      <c r="J674" s="175"/>
      <c r="K674" s="175"/>
      <c r="L674" s="175"/>
      <c r="M674" s="77"/>
      <c r="N674" s="77"/>
      <c r="O674" s="177"/>
    </row>
    <row r="675" spans="2:15" s="12" customFormat="1" ht="25.5">
      <c r="B675" s="372" t="s">
        <v>80</v>
      </c>
      <c r="C675" s="367" t="s">
        <v>2268</v>
      </c>
      <c r="D675" s="177" t="s">
        <v>17</v>
      </c>
      <c r="E675" s="368">
        <v>40</v>
      </c>
      <c r="F675" s="369">
        <v>20</v>
      </c>
      <c r="G675" s="369">
        <v>20</v>
      </c>
      <c r="H675" s="369">
        <v>20</v>
      </c>
      <c r="I675" s="363">
        <f>SUM(Tabla132112412[[#This Row],[PRIMER TRIMESTRE]:[CUARTO TRIMESTRE]])</f>
        <v>100</v>
      </c>
      <c r="J675" s="175"/>
      <c r="K675" s="175"/>
      <c r="L675" s="175"/>
      <c r="M675" s="77"/>
      <c r="N675" s="77"/>
      <c r="O675" s="177"/>
    </row>
    <row r="676" spans="2:15" s="12" customFormat="1" ht="25.5">
      <c r="B676" s="372" t="s">
        <v>80</v>
      </c>
      <c r="C676" s="367" t="s">
        <v>2269</v>
      </c>
      <c r="D676" s="177" t="s">
        <v>17</v>
      </c>
      <c r="E676" s="368">
        <v>40</v>
      </c>
      <c r="F676" s="369">
        <v>20</v>
      </c>
      <c r="G676" s="369">
        <v>20</v>
      </c>
      <c r="H676" s="369">
        <v>20</v>
      </c>
      <c r="I676" s="363">
        <f>SUM(Tabla132112412[[#This Row],[PRIMER TRIMESTRE]:[CUARTO TRIMESTRE]])</f>
        <v>100</v>
      </c>
      <c r="J676" s="175"/>
      <c r="K676" s="175"/>
      <c r="L676" s="175"/>
      <c r="M676" s="77"/>
      <c r="N676" s="77"/>
      <c r="O676" s="177"/>
    </row>
    <row r="677" spans="2:15" s="12" customFormat="1" ht="25.5">
      <c r="B677" s="372" t="s">
        <v>80</v>
      </c>
      <c r="C677" s="367" t="s">
        <v>2270</v>
      </c>
      <c r="D677" s="177" t="s">
        <v>17</v>
      </c>
      <c r="E677" s="368">
        <v>40</v>
      </c>
      <c r="F677" s="369">
        <v>20</v>
      </c>
      <c r="G677" s="369">
        <v>20</v>
      </c>
      <c r="H677" s="369">
        <v>20</v>
      </c>
      <c r="I677" s="363">
        <f>SUM(Tabla132112412[[#This Row],[PRIMER TRIMESTRE]:[CUARTO TRIMESTRE]])</f>
        <v>100</v>
      </c>
      <c r="J677" s="175"/>
      <c r="K677" s="175"/>
      <c r="L677" s="175"/>
      <c r="M677" s="77"/>
      <c r="N677" s="77"/>
      <c r="O677" s="177"/>
    </row>
    <row r="678" spans="2:15" s="12" customFormat="1" ht="25.5">
      <c r="B678" s="372" t="s">
        <v>80</v>
      </c>
      <c r="C678" s="367" t="s">
        <v>2271</v>
      </c>
      <c r="D678" s="177" t="s">
        <v>17</v>
      </c>
      <c r="E678" s="368">
        <v>40</v>
      </c>
      <c r="F678" s="369">
        <v>20</v>
      </c>
      <c r="G678" s="369">
        <v>20</v>
      </c>
      <c r="H678" s="369">
        <v>20</v>
      </c>
      <c r="I678" s="363">
        <f>SUM(Tabla132112412[[#This Row],[PRIMER TRIMESTRE]:[CUARTO TRIMESTRE]])</f>
        <v>100</v>
      </c>
      <c r="J678" s="175"/>
      <c r="K678" s="175"/>
      <c r="L678" s="175"/>
      <c r="M678" s="77"/>
      <c r="N678" s="77"/>
      <c r="O678" s="177"/>
    </row>
    <row r="679" spans="2:15" s="12" customFormat="1" ht="25.5">
      <c r="B679" s="372" t="s">
        <v>80</v>
      </c>
      <c r="C679" s="367" t="s">
        <v>2272</v>
      </c>
      <c r="D679" s="177" t="s">
        <v>17</v>
      </c>
      <c r="E679" s="368">
        <v>40</v>
      </c>
      <c r="F679" s="369">
        <v>20</v>
      </c>
      <c r="G679" s="369">
        <v>20</v>
      </c>
      <c r="H679" s="369">
        <v>20</v>
      </c>
      <c r="I679" s="363">
        <f>SUM(Tabla132112412[[#This Row],[PRIMER TRIMESTRE]:[CUARTO TRIMESTRE]])</f>
        <v>100</v>
      </c>
      <c r="J679" s="175"/>
      <c r="K679" s="175"/>
      <c r="L679" s="175"/>
      <c r="M679" s="77"/>
      <c r="N679" s="77"/>
      <c r="O679" s="177"/>
    </row>
    <row r="680" spans="2:15" s="12" customFormat="1" ht="25.5">
      <c r="B680" s="372" t="s">
        <v>80</v>
      </c>
      <c r="C680" s="367" t="s">
        <v>2273</v>
      </c>
      <c r="D680" s="177" t="s">
        <v>17</v>
      </c>
      <c r="E680" s="368">
        <v>40</v>
      </c>
      <c r="F680" s="369">
        <v>20</v>
      </c>
      <c r="G680" s="369">
        <v>20</v>
      </c>
      <c r="H680" s="369">
        <v>20</v>
      </c>
      <c r="I680" s="363">
        <f>SUM(Tabla132112412[[#This Row],[PRIMER TRIMESTRE]:[CUARTO TRIMESTRE]])</f>
        <v>100</v>
      </c>
      <c r="J680" s="175"/>
      <c r="K680" s="175"/>
      <c r="L680" s="175"/>
      <c r="M680" s="77"/>
      <c r="N680" s="77"/>
      <c r="O680" s="177"/>
    </row>
    <row r="681" spans="2:15" s="12" customFormat="1" ht="18">
      <c r="B681" s="372" t="s">
        <v>80</v>
      </c>
      <c r="C681" s="472" t="s">
        <v>2274</v>
      </c>
      <c r="D681" s="177" t="s">
        <v>17</v>
      </c>
      <c r="E681" s="368">
        <v>40</v>
      </c>
      <c r="F681" s="369">
        <v>20</v>
      </c>
      <c r="G681" s="369">
        <v>20</v>
      </c>
      <c r="H681" s="369">
        <v>20</v>
      </c>
      <c r="I681" s="363">
        <f>SUM(Tabla132112412[[#This Row],[PRIMER TRIMESTRE]:[CUARTO TRIMESTRE]])</f>
        <v>100</v>
      </c>
      <c r="J681" s="175"/>
      <c r="K681" s="175"/>
      <c r="L681" s="175"/>
      <c r="M681" s="77"/>
      <c r="N681" s="77"/>
      <c r="O681" s="177"/>
    </row>
    <row r="682" spans="2:15" s="12" customFormat="1" ht="18">
      <c r="B682" s="372" t="s">
        <v>80</v>
      </c>
      <c r="C682" s="367" t="s">
        <v>2275</v>
      </c>
      <c r="D682" s="177" t="s">
        <v>17</v>
      </c>
      <c r="E682" s="368">
        <v>20</v>
      </c>
      <c r="F682" s="369">
        <v>10</v>
      </c>
      <c r="G682" s="369">
        <v>10</v>
      </c>
      <c r="H682" s="369">
        <v>10</v>
      </c>
      <c r="I682" s="363">
        <f>SUM(Tabla132112412[[#This Row],[PRIMER TRIMESTRE]:[CUARTO TRIMESTRE]])</f>
        <v>50</v>
      </c>
      <c r="J682" s="175"/>
      <c r="K682" s="175"/>
      <c r="L682" s="175"/>
      <c r="M682" s="77"/>
      <c r="N682" s="77"/>
      <c r="O682" s="177"/>
    </row>
    <row r="683" spans="2:15" s="12" customFormat="1" ht="18">
      <c r="B683" s="372" t="s">
        <v>80</v>
      </c>
      <c r="C683" s="367" t="s">
        <v>2276</v>
      </c>
      <c r="D683" s="177" t="s">
        <v>17</v>
      </c>
      <c r="E683" s="368">
        <v>80</v>
      </c>
      <c r="F683" s="368">
        <v>40</v>
      </c>
      <c r="G683" s="368">
        <v>40</v>
      </c>
      <c r="H683" s="368">
        <v>40</v>
      </c>
      <c r="I683" s="363">
        <f>SUM(Tabla132112412[[#This Row],[PRIMER TRIMESTRE]:[CUARTO TRIMESTRE]])</f>
        <v>200</v>
      </c>
      <c r="J683" s="175"/>
      <c r="K683" s="175"/>
      <c r="L683" s="175"/>
      <c r="M683" s="77"/>
      <c r="N683" s="77"/>
      <c r="O683" s="177"/>
    </row>
    <row r="684" spans="2:15" s="12" customFormat="1" ht="18">
      <c r="B684" s="372" t="s">
        <v>80</v>
      </c>
      <c r="C684" s="367" t="s">
        <v>2277</v>
      </c>
      <c r="D684" s="177" t="s">
        <v>17</v>
      </c>
      <c r="E684" s="368">
        <v>20</v>
      </c>
      <c r="F684" s="369">
        <v>10</v>
      </c>
      <c r="G684" s="369">
        <v>10</v>
      </c>
      <c r="H684" s="369">
        <v>10</v>
      </c>
      <c r="I684" s="363">
        <f>SUM(Tabla132112412[[#This Row],[PRIMER TRIMESTRE]:[CUARTO TRIMESTRE]])</f>
        <v>50</v>
      </c>
      <c r="J684" s="175"/>
      <c r="K684" s="175"/>
      <c r="L684" s="175"/>
      <c r="M684" s="77"/>
      <c r="N684" s="77"/>
      <c r="O684" s="177"/>
    </row>
    <row r="685" spans="2:15" s="12" customFormat="1" ht="18">
      <c r="B685" s="372" t="s">
        <v>80</v>
      </c>
      <c r="C685" s="367" t="s">
        <v>2278</v>
      </c>
      <c r="D685" s="177" t="s">
        <v>17</v>
      </c>
      <c r="E685" s="368">
        <v>80</v>
      </c>
      <c r="F685" s="368">
        <v>40</v>
      </c>
      <c r="G685" s="368">
        <v>40</v>
      </c>
      <c r="H685" s="368">
        <v>40</v>
      </c>
      <c r="I685" s="363">
        <f>SUM(Tabla132112412[[#This Row],[PRIMER TRIMESTRE]:[CUARTO TRIMESTRE]])</f>
        <v>200</v>
      </c>
      <c r="J685" s="175"/>
      <c r="K685" s="175"/>
      <c r="L685" s="175"/>
      <c r="M685" s="77"/>
      <c r="N685" s="77"/>
      <c r="O685" s="177"/>
    </row>
    <row r="686" spans="2:15" s="12" customFormat="1" ht="18">
      <c r="B686" s="372" t="s">
        <v>80</v>
      </c>
      <c r="C686" s="367" t="s">
        <v>2279</v>
      </c>
      <c r="D686" s="177" t="s">
        <v>17</v>
      </c>
      <c r="E686" s="368">
        <v>20</v>
      </c>
      <c r="F686" s="369">
        <v>10</v>
      </c>
      <c r="G686" s="369">
        <v>10</v>
      </c>
      <c r="H686" s="369">
        <v>10</v>
      </c>
      <c r="I686" s="363">
        <f>SUM(Tabla132112412[[#This Row],[PRIMER TRIMESTRE]:[CUARTO TRIMESTRE]])</f>
        <v>50</v>
      </c>
      <c r="J686" s="175"/>
      <c r="K686" s="175"/>
      <c r="L686" s="175"/>
      <c r="M686" s="77"/>
      <c r="N686" s="77"/>
      <c r="O686" s="177"/>
    </row>
    <row r="687" spans="2:15" s="12" customFormat="1" ht="18">
      <c r="B687" s="372" t="s">
        <v>80</v>
      </c>
      <c r="C687" s="367" t="s">
        <v>2280</v>
      </c>
      <c r="D687" s="177" t="s">
        <v>17</v>
      </c>
      <c r="E687" s="368">
        <v>40</v>
      </c>
      <c r="F687" s="369">
        <v>20</v>
      </c>
      <c r="G687" s="369">
        <v>20</v>
      </c>
      <c r="H687" s="369">
        <v>20</v>
      </c>
      <c r="I687" s="363">
        <f>SUM(Tabla132112412[[#This Row],[PRIMER TRIMESTRE]:[CUARTO TRIMESTRE]])</f>
        <v>100</v>
      </c>
      <c r="J687" s="175"/>
      <c r="K687" s="175"/>
      <c r="L687" s="175"/>
      <c r="M687" s="77"/>
      <c r="N687" s="77"/>
      <c r="O687" s="177"/>
    </row>
    <row r="688" spans="2:15" s="12" customFormat="1" ht="18">
      <c r="B688" s="372" t="s">
        <v>80</v>
      </c>
      <c r="C688" s="367" t="s">
        <v>2281</v>
      </c>
      <c r="D688" s="177" t="s">
        <v>17</v>
      </c>
      <c r="E688" s="368">
        <v>15</v>
      </c>
      <c r="F688" s="369">
        <v>10</v>
      </c>
      <c r="G688" s="369">
        <v>5</v>
      </c>
      <c r="H688" s="369">
        <v>5</v>
      </c>
      <c r="I688" s="363">
        <f>SUM(Tabla132112412[[#This Row],[PRIMER TRIMESTRE]:[CUARTO TRIMESTRE]])</f>
        <v>35</v>
      </c>
      <c r="J688" s="175"/>
      <c r="K688" s="175"/>
      <c r="L688" s="175"/>
      <c r="M688" s="77"/>
      <c r="N688" s="77"/>
      <c r="O688" s="177"/>
    </row>
    <row r="689" spans="2:15" s="12" customFormat="1" ht="18">
      <c r="B689" s="372" t="s">
        <v>80</v>
      </c>
      <c r="C689" s="367" t="s">
        <v>2282</v>
      </c>
      <c r="D689" s="177" t="s">
        <v>17</v>
      </c>
      <c r="E689" s="368">
        <v>20</v>
      </c>
      <c r="F689" s="369">
        <v>10</v>
      </c>
      <c r="G689" s="369">
        <v>10</v>
      </c>
      <c r="H689" s="369">
        <v>10</v>
      </c>
      <c r="I689" s="363">
        <f>SUM(Tabla132112412[[#This Row],[PRIMER TRIMESTRE]:[CUARTO TRIMESTRE]])</f>
        <v>50</v>
      </c>
      <c r="J689" s="175"/>
      <c r="K689" s="175"/>
      <c r="L689" s="175"/>
      <c r="M689" s="77"/>
      <c r="N689" s="77"/>
      <c r="O689" s="177"/>
    </row>
    <row r="690" spans="2:15" s="12" customFormat="1" ht="18">
      <c r="B690" s="372" t="s">
        <v>80</v>
      </c>
      <c r="C690" s="367" t="s">
        <v>2283</v>
      </c>
      <c r="D690" s="177" t="s">
        <v>17</v>
      </c>
      <c r="E690" s="368">
        <v>8</v>
      </c>
      <c r="F690" s="369">
        <v>4</v>
      </c>
      <c r="G690" s="369">
        <v>4</v>
      </c>
      <c r="H690" s="369">
        <v>4</v>
      </c>
      <c r="I690" s="363">
        <f>SUM(Tabla132112412[[#This Row],[PRIMER TRIMESTRE]:[CUARTO TRIMESTRE]])</f>
        <v>20</v>
      </c>
      <c r="J690" s="175"/>
      <c r="K690" s="175"/>
      <c r="L690" s="175"/>
      <c r="M690" s="77"/>
      <c r="N690" s="77"/>
      <c r="O690" s="177"/>
    </row>
    <row r="691" spans="2:15" s="12" customFormat="1" ht="18">
      <c r="B691" s="372" t="s">
        <v>80</v>
      </c>
      <c r="C691" s="472" t="s">
        <v>2284</v>
      </c>
      <c r="D691" s="177" t="s">
        <v>17</v>
      </c>
      <c r="E691" s="369">
        <v>10</v>
      </c>
      <c r="F691" s="369">
        <v>5</v>
      </c>
      <c r="G691" s="369">
        <v>5</v>
      </c>
      <c r="H691" s="369">
        <v>5</v>
      </c>
      <c r="I691" s="363">
        <f>SUM(Tabla132112412[[#This Row],[PRIMER TRIMESTRE]:[CUARTO TRIMESTRE]])</f>
        <v>25</v>
      </c>
      <c r="J691" s="175"/>
      <c r="K691" s="175"/>
      <c r="L691" s="175"/>
      <c r="M691" s="77"/>
      <c r="N691" s="77"/>
      <c r="O691" s="177"/>
    </row>
    <row r="692" spans="2:15" s="12" customFormat="1" ht="18">
      <c r="B692" s="372" t="s">
        <v>80</v>
      </c>
      <c r="C692" s="367" t="s">
        <v>2285</v>
      </c>
      <c r="D692" s="177" t="s">
        <v>17</v>
      </c>
      <c r="E692" s="368">
        <v>2</v>
      </c>
      <c r="F692" s="369">
        <v>1</v>
      </c>
      <c r="G692" s="369">
        <v>1</v>
      </c>
      <c r="H692" s="369">
        <v>1</v>
      </c>
      <c r="I692" s="363">
        <f>SUM(Tabla132112412[[#This Row],[PRIMER TRIMESTRE]:[CUARTO TRIMESTRE]])</f>
        <v>5</v>
      </c>
      <c r="J692" s="175"/>
      <c r="K692" s="175"/>
      <c r="L692" s="175"/>
      <c r="M692" s="77"/>
      <c r="N692" s="77"/>
      <c r="O692" s="177"/>
    </row>
    <row r="693" spans="2:15" s="12" customFormat="1" ht="18">
      <c r="B693" s="372" t="s">
        <v>80</v>
      </c>
      <c r="C693" s="472" t="s">
        <v>2286</v>
      </c>
      <c r="D693" s="177" t="s">
        <v>17</v>
      </c>
      <c r="E693" s="368">
        <v>2</v>
      </c>
      <c r="F693" s="369">
        <v>1</v>
      </c>
      <c r="G693" s="369">
        <v>1</v>
      </c>
      <c r="H693" s="369">
        <v>1</v>
      </c>
      <c r="I693" s="363">
        <f>SUM(Tabla132112412[[#This Row],[PRIMER TRIMESTRE]:[CUARTO TRIMESTRE]])</f>
        <v>5</v>
      </c>
      <c r="J693" s="175"/>
      <c r="K693" s="175"/>
      <c r="L693" s="175"/>
      <c r="M693" s="77"/>
      <c r="N693" s="77"/>
      <c r="O693" s="177"/>
    </row>
    <row r="694" spans="2:15" s="12" customFormat="1" ht="18">
      <c r="B694" s="372" t="s">
        <v>80</v>
      </c>
      <c r="C694" s="367" t="s">
        <v>2287</v>
      </c>
      <c r="D694" s="177" t="s">
        <v>17</v>
      </c>
      <c r="E694" s="368">
        <v>20</v>
      </c>
      <c r="F694" s="369">
        <v>10</v>
      </c>
      <c r="G694" s="369">
        <v>10</v>
      </c>
      <c r="H694" s="369">
        <v>10</v>
      </c>
      <c r="I694" s="363">
        <f>SUM(Tabla132112412[[#This Row],[PRIMER TRIMESTRE]:[CUARTO TRIMESTRE]])</f>
        <v>50</v>
      </c>
      <c r="J694" s="175"/>
      <c r="K694" s="175"/>
      <c r="L694" s="175"/>
      <c r="M694" s="77"/>
      <c r="N694" s="77"/>
      <c r="O694" s="177"/>
    </row>
    <row r="695" spans="2:15" s="12" customFormat="1" ht="18">
      <c r="B695" s="372" t="s">
        <v>80</v>
      </c>
      <c r="C695" s="367" t="s">
        <v>2288</v>
      </c>
      <c r="D695" s="177" t="s">
        <v>17</v>
      </c>
      <c r="E695" s="368">
        <v>20</v>
      </c>
      <c r="F695" s="369">
        <v>10</v>
      </c>
      <c r="G695" s="369">
        <v>10</v>
      </c>
      <c r="H695" s="369">
        <v>10</v>
      </c>
      <c r="I695" s="363">
        <f>SUM(Tabla132112412[[#This Row],[PRIMER TRIMESTRE]:[CUARTO TRIMESTRE]])</f>
        <v>50</v>
      </c>
      <c r="J695" s="175"/>
      <c r="K695" s="175"/>
      <c r="L695" s="175"/>
      <c r="M695" s="77"/>
      <c r="N695" s="77"/>
      <c r="O695" s="177"/>
    </row>
    <row r="696" spans="2:15" s="12" customFormat="1" ht="18">
      <c r="B696" s="372" t="s">
        <v>80</v>
      </c>
      <c r="C696" s="367" t="s">
        <v>2289</v>
      </c>
      <c r="D696" s="177" t="s">
        <v>17</v>
      </c>
      <c r="E696" s="368">
        <v>2</v>
      </c>
      <c r="F696" s="369">
        <v>1</v>
      </c>
      <c r="G696" s="369">
        <v>1</v>
      </c>
      <c r="H696" s="369">
        <v>1</v>
      </c>
      <c r="I696" s="363">
        <f>SUM(Tabla132112412[[#This Row],[PRIMER TRIMESTRE]:[CUARTO TRIMESTRE]])</f>
        <v>5</v>
      </c>
      <c r="J696" s="175"/>
      <c r="K696" s="175"/>
      <c r="L696" s="175"/>
      <c r="M696" s="77"/>
      <c r="N696" s="77"/>
      <c r="O696" s="177"/>
    </row>
    <row r="697" spans="2:15" s="12" customFormat="1" ht="18">
      <c r="B697" s="372" t="s">
        <v>80</v>
      </c>
      <c r="C697" s="367" t="s">
        <v>2290</v>
      </c>
      <c r="D697" s="177" t="s">
        <v>17</v>
      </c>
      <c r="E697" s="368">
        <v>2</v>
      </c>
      <c r="F697" s="369">
        <v>1</v>
      </c>
      <c r="G697" s="369">
        <v>1</v>
      </c>
      <c r="H697" s="369">
        <v>1</v>
      </c>
      <c r="I697" s="363">
        <f>SUM(Tabla132112412[[#This Row],[PRIMER TRIMESTRE]:[CUARTO TRIMESTRE]])</f>
        <v>5</v>
      </c>
      <c r="J697" s="175"/>
      <c r="K697" s="175"/>
      <c r="L697" s="175"/>
      <c r="M697" s="77"/>
      <c r="N697" s="77"/>
      <c r="O697" s="177"/>
    </row>
    <row r="698" spans="2:15" s="12" customFormat="1" ht="18">
      <c r="B698" s="372" t="s">
        <v>80</v>
      </c>
      <c r="C698" s="367" t="s">
        <v>2291</v>
      </c>
      <c r="D698" s="177" t="s">
        <v>17</v>
      </c>
      <c r="E698" s="368">
        <v>1</v>
      </c>
      <c r="F698" s="369">
        <v>1</v>
      </c>
      <c r="G698" s="369">
        <v>1</v>
      </c>
      <c r="H698" s="369">
        <v>1</v>
      </c>
      <c r="I698" s="363">
        <f>SUM(Tabla132112412[[#This Row],[PRIMER TRIMESTRE]:[CUARTO TRIMESTRE]])</f>
        <v>4</v>
      </c>
      <c r="J698" s="175"/>
      <c r="K698" s="175"/>
      <c r="L698" s="175"/>
      <c r="M698" s="77"/>
      <c r="N698" s="77"/>
      <c r="O698" s="177"/>
    </row>
    <row r="699" spans="2:15" s="12" customFormat="1" ht="18">
      <c r="B699" s="372" t="s">
        <v>80</v>
      </c>
      <c r="C699" s="367" t="s">
        <v>2292</v>
      </c>
      <c r="D699" s="177" t="s">
        <v>17</v>
      </c>
      <c r="E699" s="368">
        <v>25</v>
      </c>
      <c r="F699" s="369">
        <v>25</v>
      </c>
      <c r="G699" s="369">
        <v>25</v>
      </c>
      <c r="H699" s="369">
        <v>25</v>
      </c>
      <c r="I699" s="363">
        <f>SUM(Tabla132112412[[#This Row],[PRIMER TRIMESTRE]:[CUARTO TRIMESTRE]])</f>
        <v>100</v>
      </c>
      <c r="J699" s="175"/>
      <c r="K699" s="175"/>
      <c r="L699" s="175"/>
      <c r="M699" s="77"/>
      <c r="N699" s="77"/>
      <c r="O699" s="177"/>
    </row>
    <row r="700" spans="2:15" s="12" customFormat="1" ht="18">
      <c r="B700" s="372" t="s">
        <v>80</v>
      </c>
      <c r="C700" s="472" t="s">
        <v>2293</v>
      </c>
      <c r="D700" s="177" t="s">
        <v>17</v>
      </c>
      <c r="E700" s="368">
        <v>20</v>
      </c>
      <c r="F700" s="369">
        <v>10</v>
      </c>
      <c r="G700" s="369">
        <v>10</v>
      </c>
      <c r="H700" s="369">
        <v>10</v>
      </c>
      <c r="I700" s="363">
        <f>SUM(Tabla132112412[[#This Row],[PRIMER TRIMESTRE]:[CUARTO TRIMESTRE]])</f>
        <v>50</v>
      </c>
      <c r="J700" s="175"/>
      <c r="K700" s="175"/>
      <c r="L700" s="175"/>
      <c r="M700" s="77"/>
      <c r="N700" s="77"/>
      <c r="O700" s="177"/>
    </row>
    <row r="701" spans="2:15" s="12" customFormat="1" ht="18">
      <c r="B701" s="372" t="s">
        <v>80</v>
      </c>
      <c r="C701" s="367" t="s">
        <v>2294</v>
      </c>
      <c r="D701" s="177" t="s">
        <v>17</v>
      </c>
      <c r="E701" s="368">
        <v>30</v>
      </c>
      <c r="F701" s="368">
        <v>30</v>
      </c>
      <c r="G701" s="368">
        <v>30</v>
      </c>
      <c r="H701" s="368">
        <v>30</v>
      </c>
      <c r="I701" s="363">
        <f>SUM(Tabla132112412[[#This Row],[PRIMER TRIMESTRE]:[CUARTO TRIMESTRE]])</f>
        <v>120</v>
      </c>
      <c r="J701" s="175"/>
      <c r="K701" s="175"/>
      <c r="L701" s="175"/>
      <c r="M701" s="77"/>
      <c r="N701" s="77"/>
      <c r="O701" s="177"/>
    </row>
    <row r="702" spans="2:15" s="12" customFormat="1" ht="18">
      <c r="B702" s="372" t="s">
        <v>80</v>
      </c>
      <c r="C702" s="367" t="s">
        <v>2295</v>
      </c>
      <c r="D702" s="177" t="s">
        <v>17</v>
      </c>
      <c r="E702" s="368">
        <v>2</v>
      </c>
      <c r="F702" s="369">
        <v>1</v>
      </c>
      <c r="G702" s="369">
        <v>1</v>
      </c>
      <c r="H702" s="369">
        <v>1</v>
      </c>
      <c r="I702" s="363">
        <f>SUM(Tabla132112412[[#This Row],[PRIMER TRIMESTRE]:[CUARTO TRIMESTRE]])</f>
        <v>5</v>
      </c>
      <c r="J702" s="175"/>
      <c r="K702" s="175"/>
      <c r="L702" s="175"/>
      <c r="M702" s="77"/>
      <c r="N702" s="77"/>
      <c r="O702" s="177"/>
    </row>
    <row r="703" spans="2:15" s="12" customFormat="1" ht="18">
      <c r="B703" s="372" t="s">
        <v>80</v>
      </c>
      <c r="C703" s="472" t="s">
        <v>2296</v>
      </c>
      <c r="D703" s="177" t="s">
        <v>17</v>
      </c>
      <c r="E703" s="368">
        <v>20</v>
      </c>
      <c r="F703" s="369">
        <v>10</v>
      </c>
      <c r="G703" s="369">
        <v>10</v>
      </c>
      <c r="H703" s="369">
        <v>10</v>
      </c>
      <c r="I703" s="363">
        <f>SUM(Tabla132112412[[#This Row],[PRIMER TRIMESTRE]:[CUARTO TRIMESTRE]])</f>
        <v>50</v>
      </c>
      <c r="J703" s="175"/>
      <c r="K703" s="175"/>
      <c r="L703" s="175"/>
      <c r="M703" s="77"/>
      <c r="N703" s="77"/>
      <c r="O703" s="177"/>
    </row>
    <row r="704" spans="2:15" s="12" customFormat="1" ht="18">
      <c r="B704" s="372" t="s">
        <v>80</v>
      </c>
      <c r="C704" s="367" t="s">
        <v>2297</v>
      </c>
      <c r="D704" s="177" t="s">
        <v>17</v>
      </c>
      <c r="E704" s="368">
        <v>20</v>
      </c>
      <c r="F704" s="369">
        <v>10</v>
      </c>
      <c r="G704" s="369">
        <v>10</v>
      </c>
      <c r="H704" s="369">
        <v>10</v>
      </c>
      <c r="I704" s="363">
        <f>SUM(Tabla132112412[[#This Row],[PRIMER TRIMESTRE]:[CUARTO TRIMESTRE]])</f>
        <v>50</v>
      </c>
      <c r="J704" s="175"/>
      <c r="K704" s="175"/>
      <c r="L704" s="175"/>
      <c r="M704" s="77"/>
      <c r="N704" s="77"/>
      <c r="O704" s="177"/>
    </row>
    <row r="705" spans="2:15" s="12" customFormat="1" ht="18">
      <c r="B705" s="372" t="s">
        <v>80</v>
      </c>
      <c r="C705" s="472" t="s">
        <v>2298</v>
      </c>
      <c r="D705" s="177" t="s">
        <v>17</v>
      </c>
      <c r="E705" s="369">
        <v>10</v>
      </c>
      <c r="F705" s="369">
        <v>5</v>
      </c>
      <c r="G705" s="369">
        <v>5</v>
      </c>
      <c r="H705" s="369">
        <v>5</v>
      </c>
      <c r="I705" s="363">
        <f>SUM(Tabla132112412[[#This Row],[PRIMER TRIMESTRE]:[CUARTO TRIMESTRE]])</f>
        <v>25</v>
      </c>
      <c r="J705" s="175"/>
      <c r="K705" s="175"/>
      <c r="L705" s="175"/>
      <c r="M705" s="77"/>
      <c r="N705" s="77"/>
      <c r="O705" s="177"/>
    </row>
    <row r="706" spans="2:15" s="12" customFormat="1" ht="18">
      <c r="B706" s="372" t="s">
        <v>80</v>
      </c>
      <c r="C706" s="367" t="s">
        <v>2299</v>
      </c>
      <c r="D706" s="177" t="s">
        <v>17</v>
      </c>
      <c r="E706" s="368">
        <v>10</v>
      </c>
      <c r="F706" s="369">
        <v>5</v>
      </c>
      <c r="G706" s="369">
        <v>5</v>
      </c>
      <c r="H706" s="369">
        <v>5</v>
      </c>
      <c r="I706" s="363">
        <f>SUM(Tabla132112412[[#This Row],[PRIMER TRIMESTRE]:[CUARTO TRIMESTRE]])</f>
        <v>25</v>
      </c>
      <c r="J706" s="175"/>
      <c r="K706" s="175"/>
      <c r="L706" s="175"/>
      <c r="M706" s="77"/>
      <c r="N706" s="77"/>
      <c r="O706" s="177"/>
    </row>
    <row r="707" spans="2:15" s="12" customFormat="1" ht="18">
      <c r="B707" s="372" t="s">
        <v>80</v>
      </c>
      <c r="C707" s="472" t="s">
        <v>2300</v>
      </c>
      <c r="D707" s="177" t="s">
        <v>17</v>
      </c>
      <c r="E707" s="369">
        <v>10</v>
      </c>
      <c r="F707" s="369">
        <v>5</v>
      </c>
      <c r="G707" s="369">
        <v>5</v>
      </c>
      <c r="H707" s="369">
        <v>5</v>
      </c>
      <c r="I707" s="363">
        <f>SUM(Tabla132112412[[#This Row],[PRIMER TRIMESTRE]:[CUARTO TRIMESTRE]])</f>
        <v>25</v>
      </c>
      <c r="J707" s="175"/>
      <c r="K707" s="175"/>
      <c r="L707" s="175"/>
      <c r="M707" s="77"/>
      <c r="N707" s="77"/>
      <c r="O707" s="177"/>
    </row>
    <row r="708" spans="2:15" s="12" customFormat="1" ht="18">
      <c r="B708" s="372" t="s">
        <v>80</v>
      </c>
      <c r="C708" s="77" t="s">
        <v>1577</v>
      </c>
      <c r="D708" s="177" t="s">
        <v>17</v>
      </c>
      <c r="E708" s="370">
        <v>10</v>
      </c>
      <c r="F708" s="370">
        <v>10</v>
      </c>
      <c r="G708" s="370">
        <v>10</v>
      </c>
      <c r="H708" s="370">
        <v>10</v>
      </c>
      <c r="I708" s="363">
        <f>SUM(Tabla132112412[[#This Row],[PRIMER TRIMESTRE]:[CUARTO TRIMESTRE]])</f>
        <v>40</v>
      </c>
      <c r="J708" s="175">
        <v>133.88999999999999</v>
      </c>
      <c r="K708" s="175">
        <f>+I708*J708</f>
        <v>5355.5999999999995</v>
      </c>
      <c r="L708" s="175"/>
      <c r="M708" s="77" t="s">
        <v>18</v>
      </c>
      <c r="N708" s="77" t="s">
        <v>22</v>
      </c>
      <c r="O708" s="177"/>
    </row>
    <row r="709" spans="2:15" s="12" customFormat="1" ht="18">
      <c r="B709" s="372" t="s">
        <v>80</v>
      </c>
      <c r="C709" s="77" t="s">
        <v>1576</v>
      </c>
      <c r="D709" s="177" t="s">
        <v>17</v>
      </c>
      <c r="E709" s="370">
        <v>40</v>
      </c>
      <c r="F709" s="370">
        <v>40</v>
      </c>
      <c r="G709" s="370">
        <v>40</v>
      </c>
      <c r="H709" s="370">
        <v>40</v>
      </c>
      <c r="I709" s="363">
        <f>SUM(Tabla132112412[[#This Row],[PRIMER TRIMESTRE]:[CUARTO TRIMESTRE]])</f>
        <v>160</v>
      </c>
      <c r="J709" s="175">
        <v>21</v>
      </c>
      <c r="K709" s="175">
        <f>+I709*J709</f>
        <v>3360</v>
      </c>
      <c r="L709" s="175"/>
      <c r="M709" s="77" t="s">
        <v>18</v>
      </c>
      <c r="N709" s="77" t="s">
        <v>22</v>
      </c>
      <c r="O709" s="177"/>
    </row>
    <row r="710" spans="2:15" s="12" customFormat="1" ht="18">
      <c r="B710" s="372" t="s">
        <v>80</v>
      </c>
      <c r="C710" s="77" t="s">
        <v>1727</v>
      </c>
      <c r="D710" s="177" t="s">
        <v>17</v>
      </c>
      <c r="E710" s="370">
        <v>62</v>
      </c>
      <c r="F710" s="370">
        <v>62</v>
      </c>
      <c r="G710" s="370">
        <v>62</v>
      </c>
      <c r="H710" s="370">
        <v>61</v>
      </c>
      <c r="I710" s="363">
        <f>SUM(Tabla132112412[[#This Row],[PRIMER TRIMESTRE]:[CUARTO TRIMESTRE]])</f>
        <v>247</v>
      </c>
      <c r="J710" s="175">
        <v>0</v>
      </c>
      <c r="K710" s="175">
        <v>0</v>
      </c>
      <c r="L710" s="175"/>
      <c r="M710" s="77" t="s">
        <v>18</v>
      </c>
      <c r="N710" s="77" t="s">
        <v>22</v>
      </c>
      <c r="O710" s="177"/>
    </row>
    <row r="711" spans="2:15" s="12" customFormat="1" ht="18">
      <c r="B711" s="372" t="s">
        <v>80</v>
      </c>
      <c r="C711" s="77" t="s">
        <v>1575</v>
      </c>
      <c r="D711" s="177" t="s">
        <v>17</v>
      </c>
      <c r="E711" s="370">
        <v>50</v>
      </c>
      <c r="F711" s="370">
        <v>50</v>
      </c>
      <c r="G711" s="370">
        <v>50</v>
      </c>
      <c r="H711" s="370">
        <v>50</v>
      </c>
      <c r="I711" s="363">
        <f>SUM(Tabla132112412[[#This Row],[PRIMER TRIMESTRE]:[CUARTO TRIMESTRE]])</f>
        <v>200</v>
      </c>
      <c r="J711" s="175">
        <v>15.21</v>
      </c>
      <c r="K711" s="175">
        <f>+I711*J711</f>
        <v>3042</v>
      </c>
      <c r="L711" s="175"/>
      <c r="M711" s="77" t="s">
        <v>18</v>
      </c>
      <c r="N711" s="77" t="s">
        <v>22</v>
      </c>
      <c r="O711" s="177"/>
    </row>
    <row r="712" spans="2:15" s="12" customFormat="1" ht="18">
      <c r="B712" s="372" t="s">
        <v>80</v>
      </c>
      <c r="C712" s="77" t="s">
        <v>2301</v>
      </c>
      <c r="D712" s="177" t="s">
        <v>17</v>
      </c>
      <c r="E712" s="365">
        <v>24</v>
      </c>
      <c r="F712" s="365">
        <v>24</v>
      </c>
      <c r="G712" s="365">
        <v>24</v>
      </c>
      <c r="H712" s="365">
        <v>24</v>
      </c>
      <c r="I712" s="363">
        <f>SUM(Tabla132112412[[#This Row],[PRIMER TRIMESTRE]:[CUARTO TRIMESTRE]])</f>
        <v>96</v>
      </c>
      <c r="J712" s="175"/>
      <c r="K712" s="175"/>
      <c r="L712" s="175"/>
      <c r="M712" s="77"/>
      <c r="N712" s="77"/>
      <c r="O712" s="177"/>
    </row>
    <row r="713" spans="2:15" s="12" customFormat="1" ht="18">
      <c r="B713" s="372" t="s">
        <v>80</v>
      </c>
      <c r="C713" s="77" t="s">
        <v>1574</v>
      </c>
      <c r="D713" s="177" t="s">
        <v>17</v>
      </c>
      <c r="E713" s="370">
        <v>62</v>
      </c>
      <c r="F713" s="370">
        <v>62</v>
      </c>
      <c r="G713" s="370">
        <v>62</v>
      </c>
      <c r="H713" s="370">
        <v>62</v>
      </c>
      <c r="I713" s="363">
        <f>SUM(Tabla132112412[[#This Row],[PRIMER TRIMESTRE]:[CUARTO TRIMESTRE]])</f>
        <v>248</v>
      </c>
      <c r="J713" s="175">
        <v>1</v>
      </c>
      <c r="K713" s="175">
        <f>+I713*J713</f>
        <v>248</v>
      </c>
      <c r="L713" s="175"/>
      <c r="M713" s="77" t="s">
        <v>18</v>
      </c>
      <c r="N713" s="77" t="s">
        <v>22</v>
      </c>
      <c r="O713" s="177"/>
    </row>
    <row r="714" spans="2:15" s="12" customFormat="1" ht="18">
      <c r="B714" s="372" t="s">
        <v>80</v>
      </c>
      <c r="C714" s="77" t="s">
        <v>1338</v>
      </c>
      <c r="D714" s="177" t="s">
        <v>17</v>
      </c>
      <c r="E714" s="370">
        <v>60</v>
      </c>
      <c r="F714" s="370">
        <v>60</v>
      </c>
      <c r="G714" s="370">
        <v>60</v>
      </c>
      <c r="H714" s="370">
        <v>60</v>
      </c>
      <c r="I714" s="363">
        <f>SUM(Tabla132112412[[#This Row],[PRIMER TRIMESTRE]:[CUARTO TRIMESTRE]])</f>
        <v>240</v>
      </c>
      <c r="J714" s="175">
        <v>17.7</v>
      </c>
      <c r="K714" s="175">
        <f>+I714*J714</f>
        <v>4248</v>
      </c>
      <c r="L714" s="175"/>
      <c r="M714" s="77" t="s">
        <v>18</v>
      </c>
      <c r="N714" s="77" t="s">
        <v>22</v>
      </c>
      <c r="O714" s="177"/>
    </row>
    <row r="715" spans="2:15" s="12" customFormat="1" ht="18">
      <c r="B715" s="372" t="s">
        <v>80</v>
      </c>
      <c r="C715" s="77" t="s">
        <v>1573</v>
      </c>
      <c r="D715" s="177" t="s">
        <v>17</v>
      </c>
      <c r="E715" s="370">
        <v>10</v>
      </c>
      <c r="F715" s="370">
        <v>10</v>
      </c>
      <c r="G715" s="370">
        <v>10</v>
      </c>
      <c r="H715" s="370">
        <v>10</v>
      </c>
      <c r="I715" s="363">
        <f>SUM(Tabla132112412[[#This Row],[PRIMER TRIMESTRE]:[CUARTO TRIMESTRE]])</f>
        <v>40</v>
      </c>
      <c r="J715" s="175">
        <v>20</v>
      </c>
      <c r="K715" s="175">
        <f>+I715*J715</f>
        <v>800</v>
      </c>
      <c r="L715" s="175"/>
      <c r="M715" s="77" t="s">
        <v>18</v>
      </c>
      <c r="N715" s="77" t="s">
        <v>22</v>
      </c>
      <c r="O715" s="177"/>
    </row>
    <row r="716" spans="2:15" s="12" customFormat="1" ht="18">
      <c r="B716" s="372" t="s">
        <v>80</v>
      </c>
      <c r="C716" s="77" t="s">
        <v>1339</v>
      </c>
      <c r="D716" s="177" t="s">
        <v>17</v>
      </c>
      <c r="E716" s="370">
        <v>50</v>
      </c>
      <c r="F716" s="370">
        <v>50</v>
      </c>
      <c r="G716" s="370">
        <v>50</v>
      </c>
      <c r="H716" s="370">
        <v>50</v>
      </c>
      <c r="I716" s="363">
        <f>SUM(Tabla132112412[[#This Row],[PRIMER TRIMESTRE]:[CUARTO TRIMESTRE]])</f>
        <v>200</v>
      </c>
      <c r="J716" s="175">
        <v>23.6</v>
      </c>
      <c r="K716" s="175">
        <f>+I716*J716</f>
        <v>4720</v>
      </c>
      <c r="L716" s="175"/>
      <c r="M716" s="77" t="s">
        <v>18</v>
      </c>
      <c r="N716" s="77" t="s">
        <v>22</v>
      </c>
      <c r="O716" s="177"/>
    </row>
    <row r="717" spans="2:15" s="12" customFormat="1" ht="18">
      <c r="B717" s="372" t="s">
        <v>80</v>
      </c>
      <c r="C717" s="77" t="s">
        <v>1703</v>
      </c>
      <c r="D717" s="177" t="s">
        <v>17</v>
      </c>
      <c r="E717" s="370">
        <v>50</v>
      </c>
      <c r="F717" s="370">
        <v>50</v>
      </c>
      <c r="G717" s="370">
        <v>50</v>
      </c>
      <c r="H717" s="370">
        <v>50</v>
      </c>
      <c r="I717" s="363">
        <f>SUM(Tabla132112412[[#This Row],[PRIMER TRIMESTRE]:[CUARTO TRIMESTRE]])</f>
        <v>200</v>
      </c>
      <c r="J717" s="175">
        <v>0</v>
      </c>
      <c r="K717" s="175">
        <v>0</v>
      </c>
      <c r="L717" s="175"/>
      <c r="M717" s="77" t="s">
        <v>18</v>
      </c>
      <c r="N717" s="77" t="s">
        <v>22</v>
      </c>
      <c r="O717" s="177"/>
    </row>
    <row r="718" spans="2:15" s="12" customFormat="1" ht="18">
      <c r="B718" s="372" t="s">
        <v>80</v>
      </c>
      <c r="C718" s="77" t="s">
        <v>1572</v>
      </c>
      <c r="D718" s="177" t="s">
        <v>17</v>
      </c>
      <c r="E718" s="370">
        <v>20</v>
      </c>
      <c r="F718" s="370">
        <v>20</v>
      </c>
      <c r="G718" s="370">
        <v>20</v>
      </c>
      <c r="H718" s="370">
        <v>20</v>
      </c>
      <c r="I718" s="363">
        <f>SUM(Tabla132112412[[#This Row],[PRIMER TRIMESTRE]:[CUARTO TRIMESTRE]])</f>
        <v>80</v>
      </c>
      <c r="J718" s="175">
        <v>2</v>
      </c>
      <c r="K718" s="175">
        <f t="shared" ref="K718:K743" si="14">+I718*J718</f>
        <v>160</v>
      </c>
      <c r="L718" s="175"/>
      <c r="M718" s="77" t="s">
        <v>18</v>
      </c>
      <c r="N718" s="77" t="s">
        <v>22</v>
      </c>
      <c r="O718" s="177"/>
    </row>
    <row r="719" spans="2:15" s="12" customFormat="1" ht="18">
      <c r="B719" s="372" t="s">
        <v>80</v>
      </c>
      <c r="C719" s="77" t="s">
        <v>1428</v>
      </c>
      <c r="D719" s="177" t="s">
        <v>17</v>
      </c>
      <c r="E719" s="370">
        <v>20</v>
      </c>
      <c r="F719" s="370">
        <v>20</v>
      </c>
      <c r="G719" s="370">
        <v>20</v>
      </c>
      <c r="H719" s="370">
        <v>20</v>
      </c>
      <c r="I719" s="363">
        <f>SUM(Tabla132112412[[#This Row],[PRIMER TRIMESTRE]:[CUARTO TRIMESTRE]])</f>
        <v>80</v>
      </c>
      <c r="J719" s="175">
        <v>0.88</v>
      </c>
      <c r="K719" s="175">
        <f t="shared" si="14"/>
        <v>70.400000000000006</v>
      </c>
      <c r="L719" s="175"/>
      <c r="M719" s="77" t="s">
        <v>18</v>
      </c>
      <c r="N719" s="77" t="s">
        <v>22</v>
      </c>
      <c r="O719" s="177"/>
    </row>
    <row r="720" spans="2:15" s="12" customFormat="1" ht="18">
      <c r="B720" s="372" t="s">
        <v>80</v>
      </c>
      <c r="C720" s="77" t="s">
        <v>1427</v>
      </c>
      <c r="D720" s="177" t="s">
        <v>17</v>
      </c>
      <c r="E720" s="370">
        <v>20</v>
      </c>
      <c r="F720" s="370">
        <v>20</v>
      </c>
      <c r="G720" s="370">
        <v>20</v>
      </c>
      <c r="H720" s="370">
        <v>20</v>
      </c>
      <c r="I720" s="363">
        <f>SUM(Tabla132112412[[#This Row],[PRIMER TRIMESTRE]:[CUARTO TRIMESTRE]])</f>
        <v>80</v>
      </c>
      <c r="J720" s="175">
        <v>1</v>
      </c>
      <c r="K720" s="175">
        <f t="shared" si="14"/>
        <v>80</v>
      </c>
      <c r="L720" s="175"/>
      <c r="M720" s="77" t="s">
        <v>18</v>
      </c>
      <c r="N720" s="77" t="s">
        <v>22</v>
      </c>
      <c r="O720" s="177"/>
    </row>
    <row r="721" spans="2:15" s="12" customFormat="1" ht="18">
      <c r="B721" s="372" t="s">
        <v>80</v>
      </c>
      <c r="C721" s="77" t="s">
        <v>1433</v>
      </c>
      <c r="D721" s="177" t="s">
        <v>208</v>
      </c>
      <c r="E721" s="370">
        <v>2</v>
      </c>
      <c r="F721" s="370">
        <v>0</v>
      </c>
      <c r="G721" s="370">
        <v>2</v>
      </c>
      <c r="H721" s="370">
        <v>0</v>
      </c>
      <c r="I721" s="363">
        <f>SUM(Tabla132112412[[#This Row],[PRIMER TRIMESTRE]:[CUARTO TRIMESTRE]])</f>
        <v>4</v>
      </c>
      <c r="J721" s="175">
        <v>361.44</v>
      </c>
      <c r="K721" s="175">
        <f t="shared" si="14"/>
        <v>1445.76</v>
      </c>
      <c r="L721" s="175"/>
      <c r="M721" s="77" t="s">
        <v>18</v>
      </c>
      <c r="N721" s="77" t="s">
        <v>22</v>
      </c>
      <c r="O721" s="177"/>
    </row>
    <row r="722" spans="2:15" s="12" customFormat="1" ht="18">
      <c r="B722" s="372" t="s">
        <v>80</v>
      </c>
      <c r="C722" s="77" t="s">
        <v>1435</v>
      </c>
      <c r="D722" s="177" t="s">
        <v>17</v>
      </c>
      <c r="E722" s="370">
        <v>20</v>
      </c>
      <c r="F722" s="370">
        <v>20</v>
      </c>
      <c r="G722" s="370">
        <v>20</v>
      </c>
      <c r="H722" s="370">
        <v>20</v>
      </c>
      <c r="I722" s="363">
        <f>SUM(Tabla132112412[[#This Row],[PRIMER TRIMESTRE]:[CUARTO TRIMESTRE]])</f>
        <v>80</v>
      </c>
      <c r="J722" s="175">
        <v>1.1499999999999999</v>
      </c>
      <c r="K722" s="175">
        <f t="shared" si="14"/>
        <v>92</v>
      </c>
      <c r="L722" s="175"/>
      <c r="M722" s="77" t="s">
        <v>18</v>
      </c>
      <c r="N722" s="77" t="s">
        <v>22</v>
      </c>
      <c r="O722" s="177"/>
    </row>
    <row r="723" spans="2:15" s="12" customFormat="1" ht="18">
      <c r="B723" s="372" t="s">
        <v>80</v>
      </c>
      <c r="C723" s="77" t="s">
        <v>1527</v>
      </c>
      <c r="D723" s="177" t="s">
        <v>17</v>
      </c>
      <c r="E723" s="370">
        <v>17</v>
      </c>
      <c r="F723" s="370">
        <v>12</v>
      </c>
      <c r="G723" s="370">
        <v>17</v>
      </c>
      <c r="H723" s="370">
        <v>12</v>
      </c>
      <c r="I723" s="363">
        <f>SUM(Tabla132112412[[#This Row],[PRIMER TRIMESTRE]:[CUARTO TRIMESTRE]])</f>
        <v>58</v>
      </c>
      <c r="J723" s="175">
        <v>12739.27</v>
      </c>
      <c r="K723" s="175">
        <f t="shared" si="14"/>
        <v>738877.66</v>
      </c>
      <c r="L723" s="175"/>
      <c r="M723" s="77" t="s">
        <v>18</v>
      </c>
      <c r="N723" s="77" t="s">
        <v>22</v>
      </c>
      <c r="O723" s="177"/>
    </row>
    <row r="724" spans="2:15" s="12" customFormat="1" ht="18">
      <c r="B724" s="372" t="s">
        <v>80</v>
      </c>
      <c r="C724" s="77" t="s">
        <v>702</v>
      </c>
      <c r="D724" s="177" t="s">
        <v>17</v>
      </c>
      <c r="E724" s="370">
        <v>15</v>
      </c>
      <c r="F724" s="370">
        <v>5</v>
      </c>
      <c r="G724" s="370">
        <v>15</v>
      </c>
      <c r="H724" s="370">
        <v>5</v>
      </c>
      <c r="I724" s="363">
        <f>SUM(Tabla132112412[[#This Row],[PRIMER TRIMESTRE]:[CUARTO TRIMESTRE]])</f>
        <v>40</v>
      </c>
      <c r="J724" s="175">
        <v>1052.51</v>
      </c>
      <c r="K724" s="175">
        <f t="shared" si="14"/>
        <v>42100.4</v>
      </c>
      <c r="L724" s="175"/>
      <c r="M724" s="77" t="s">
        <v>18</v>
      </c>
      <c r="N724" s="77" t="s">
        <v>22</v>
      </c>
      <c r="O724" s="177"/>
    </row>
    <row r="725" spans="2:15" s="12" customFormat="1" ht="18">
      <c r="B725" s="372" t="s">
        <v>80</v>
      </c>
      <c r="C725" s="77" t="s">
        <v>370</v>
      </c>
      <c r="D725" s="177" t="s">
        <v>17</v>
      </c>
      <c r="E725" s="370">
        <v>20</v>
      </c>
      <c r="F725" s="370">
        <v>10</v>
      </c>
      <c r="G725" s="370">
        <v>20</v>
      </c>
      <c r="H725" s="370">
        <v>10</v>
      </c>
      <c r="I725" s="363">
        <f>SUM(Tabla132112412[[#This Row],[PRIMER TRIMESTRE]:[CUARTO TRIMESTRE]])</f>
        <v>60</v>
      </c>
      <c r="J725" s="175">
        <v>3302.0937420000005</v>
      </c>
      <c r="K725" s="175">
        <f t="shared" si="14"/>
        <v>198125.62452000004</v>
      </c>
      <c r="L725" s="175"/>
      <c r="M725" s="77" t="s">
        <v>18</v>
      </c>
      <c r="N725" s="77" t="s">
        <v>22</v>
      </c>
      <c r="O725" s="177"/>
    </row>
    <row r="726" spans="2:15" s="12" customFormat="1" ht="18">
      <c r="B726" s="372" t="s">
        <v>80</v>
      </c>
      <c r="C726" s="77" t="s">
        <v>371</v>
      </c>
      <c r="D726" s="177" t="s">
        <v>17</v>
      </c>
      <c r="E726" s="370">
        <v>16</v>
      </c>
      <c r="F726" s="370">
        <v>6</v>
      </c>
      <c r="G726" s="370">
        <v>16</v>
      </c>
      <c r="H726" s="370">
        <v>6</v>
      </c>
      <c r="I726" s="363">
        <f>SUM(Tabla132112412[[#This Row],[PRIMER TRIMESTRE]:[CUARTO TRIMESTRE]])</f>
        <v>44</v>
      </c>
      <c r="J726" s="175">
        <v>5605.3296870000004</v>
      </c>
      <c r="K726" s="175">
        <f t="shared" si="14"/>
        <v>246634.50622800001</v>
      </c>
      <c r="L726" s="175"/>
      <c r="M726" s="77" t="s">
        <v>18</v>
      </c>
      <c r="N726" s="77" t="s">
        <v>22</v>
      </c>
      <c r="O726" s="177"/>
    </row>
    <row r="727" spans="2:15" s="12" customFormat="1" ht="18">
      <c r="B727" s="372" t="s">
        <v>80</v>
      </c>
      <c r="C727" s="77" t="s">
        <v>799</v>
      </c>
      <c r="D727" s="177" t="s">
        <v>17</v>
      </c>
      <c r="E727" s="370">
        <v>155</v>
      </c>
      <c r="F727" s="370">
        <v>75</v>
      </c>
      <c r="G727" s="370">
        <v>85</v>
      </c>
      <c r="H727" s="370">
        <v>75</v>
      </c>
      <c r="I727" s="363">
        <f>SUM(Tabla132112412[[#This Row],[PRIMER TRIMESTRE]:[CUARTO TRIMESTRE]])</f>
        <v>390</v>
      </c>
      <c r="J727" s="175">
        <v>12700</v>
      </c>
      <c r="K727" s="175">
        <f t="shared" si="14"/>
        <v>4953000</v>
      </c>
      <c r="L727" s="175"/>
      <c r="M727" s="77" t="s">
        <v>18</v>
      </c>
      <c r="N727" s="77" t="s">
        <v>22</v>
      </c>
      <c r="O727" s="177"/>
    </row>
    <row r="728" spans="2:15" s="12" customFormat="1" ht="18">
      <c r="B728" s="372" t="s">
        <v>80</v>
      </c>
      <c r="C728" s="77" t="s">
        <v>372</v>
      </c>
      <c r="D728" s="177" t="s">
        <v>17</v>
      </c>
      <c r="E728" s="370">
        <v>200</v>
      </c>
      <c r="F728" s="370">
        <v>125</v>
      </c>
      <c r="G728" s="370">
        <v>150</v>
      </c>
      <c r="H728" s="370">
        <v>125</v>
      </c>
      <c r="I728" s="363">
        <f>SUM(Tabla132112412[[#This Row],[PRIMER TRIMESTRE]:[CUARTO TRIMESTRE]])</f>
        <v>600</v>
      </c>
      <c r="J728" s="175">
        <v>256.14999999999998</v>
      </c>
      <c r="K728" s="175">
        <f t="shared" si="14"/>
        <v>153690</v>
      </c>
      <c r="L728" s="175"/>
      <c r="M728" s="77" t="s">
        <v>18</v>
      </c>
      <c r="N728" s="77" t="s">
        <v>22</v>
      </c>
      <c r="O728" s="177"/>
    </row>
    <row r="729" spans="2:15" s="12" customFormat="1" ht="18">
      <c r="B729" s="372" t="s">
        <v>80</v>
      </c>
      <c r="C729" s="77" t="s">
        <v>373</v>
      </c>
      <c r="D729" s="177" t="s">
        <v>17</v>
      </c>
      <c r="E729" s="370">
        <v>200</v>
      </c>
      <c r="F729" s="370">
        <v>125</v>
      </c>
      <c r="G729" s="370">
        <v>150</v>
      </c>
      <c r="H729" s="370">
        <v>125</v>
      </c>
      <c r="I729" s="363">
        <f>SUM(Tabla132112412[[#This Row],[PRIMER TRIMESTRE]:[CUARTO TRIMESTRE]])</f>
        <v>600</v>
      </c>
      <c r="J729" s="175">
        <v>260.58531900000003</v>
      </c>
      <c r="K729" s="175">
        <f t="shared" si="14"/>
        <v>156351.19140000001</v>
      </c>
      <c r="L729" s="175"/>
      <c r="M729" s="77" t="s">
        <v>18</v>
      </c>
      <c r="N729" s="77" t="s">
        <v>22</v>
      </c>
      <c r="O729" s="177"/>
    </row>
    <row r="730" spans="2:15" s="12" customFormat="1" ht="18">
      <c r="B730" s="372" t="s">
        <v>80</v>
      </c>
      <c r="C730" s="77" t="s">
        <v>374</v>
      </c>
      <c r="D730" s="177" t="s">
        <v>17</v>
      </c>
      <c r="E730" s="370">
        <v>85</v>
      </c>
      <c r="F730" s="370">
        <v>60</v>
      </c>
      <c r="G730" s="370">
        <v>60</v>
      </c>
      <c r="H730" s="370">
        <v>60</v>
      </c>
      <c r="I730" s="363">
        <f>SUM(Tabla132112412[[#This Row],[PRIMER TRIMESTRE]:[CUARTO TRIMESTRE]])</f>
        <v>265</v>
      </c>
      <c r="J730" s="175">
        <v>383.08377000000007</v>
      </c>
      <c r="K730" s="175">
        <f t="shared" si="14"/>
        <v>101517.19905000002</v>
      </c>
      <c r="L730" s="175"/>
      <c r="M730" s="77" t="s">
        <v>18</v>
      </c>
      <c r="N730" s="77" t="s">
        <v>22</v>
      </c>
      <c r="O730" s="177"/>
    </row>
    <row r="731" spans="2:15" s="12" customFormat="1" ht="18">
      <c r="B731" s="372" t="s">
        <v>80</v>
      </c>
      <c r="C731" s="77" t="s">
        <v>375</v>
      </c>
      <c r="D731" s="177" t="s">
        <v>17</v>
      </c>
      <c r="E731" s="370">
        <v>80</v>
      </c>
      <c r="F731" s="370">
        <v>55</v>
      </c>
      <c r="G731" s="370">
        <v>55</v>
      </c>
      <c r="H731" s="370">
        <v>55</v>
      </c>
      <c r="I731" s="363">
        <f>SUM(Tabla132112412[[#This Row],[PRIMER TRIMESTRE]:[CUARTO TRIMESTRE]])</f>
        <v>245</v>
      </c>
      <c r="J731" s="175">
        <v>450</v>
      </c>
      <c r="K731" s="175">
        <f t="shared" si="14"/>
        <v>110250</v>
      </c>
      <c r="L731" s="175"/>
      <c r="M731" s="77" t="s">
        <v>18</v>
      </c>
      <c r="N731" s="77" t="s">
        <v>22</v>
      </c>
      <c r="O731" s="177"/>
    </row>
    <row r="732" spans="2:15" s="12" customFormat="1" ht="18">
      <c r="B732" s="372" t="s">
        <v>80</v>
      </c>
      <c r="C732" s="77" t="s">
        <v>376</v>
      </c>
      <c r="D732" s="177" t="s">
        <v>17</v>
      </c>
      <c r="E732" s="370">
        <v>20</v>
      </c>
      <c r="F732" s="370">
        <v>20</v>
      </c>
      <c r="G732" s="370">
        <v>20</v>
      </c>
      <c r="H732" s="370">
        <v>20</v>
      </c>
      <c r="I732" s="363">
        <f>SUM(Tabla132112412[[#This Row],[PRIMER TRIMESTRE]:[CUARTO TRIMESTRE]])</f>
        <v>80</v>
      </c>
      <c r="J732" s="175">
        <v>667.77</v>
      </c>
      <c r="K732" s="175">
        <f t="shared" si="14"/>
        <v>53421.599999999999</v>
      </c>
      <c r="L732" s="175"/>
      <c r="M732" s="77" t="s">
        <v>18</v>
      </c>
      <c r="N732" s="77" t="s">
        <v>22</v>
      </c>
      <c r="O732" s="177"/>
    </row>
    <row r="733" spans="2:15" s="12" customFormat="1" ht="18">
      <c r="B733" s="372" t="s">
        <v>80</v>
      </c>
      <c r="C733" s="77" t="s">
        <v>377</v>
      </c>
      <c r="D733" s="177" t="s">
        <v>17</v>
      </c>
      <c r="E733" s="370">
        <v>10</v>
      </c>
      <c r="F733" s="370">
        <v>10</v>
      </c>
      <c r="G733" s="370">
        <v>10</v>
      </c>
      <c r="H733" s="370">
        <v>10</v>
      </c>
      <c r="I733" s="363">
        <f>SUM(Tabla132112412[[#This Row],[PRIMER TRIMESTRE]:[CUARTO TRIMESTRE]])</f>
        <v>40</v>
      </c>
      <c r="J733" s="175">
        <v>160.61749500000002</v>
      </c>
      <c r="K733" s="175">
        <f t="shared" si="14"/>
        <v>6424.6998000000003</v>
      </c>
      <c r="L733" s="175"/>
      <c r="M733" s="77" t="s">
        <v>18</v>
      </c>
      <c r="N733" s="77" t="s">
        <v>22</v>
      </c>
      <c r="O733" s="177"/>
    </row>
    <row r="734" spans="2:15" s="12" customFormat="1" ht="18">
      <c r="B734" s="372" t="s">
        <v>80</v>
      </c>
      <c r="C734" s="77" t="s">
        <v>378</v>
      </c>
      <c r="D734" s="177" t="s">
        <v>17</v>
      </c>
      <c r="E734" s="370">
        <v>35</v>
      </c>
      <c r="F734" s="370">
        <v>35</v>
      </c>
      <c r="G734" s="370">
        <v>35</v>
      </c>
      <c r="H734" s="370">
        <v>35</v>
      </c>
      <c r="I734" s="363">
        <f>SUM(Tabla132112412[[#This Row],[PRIMER TRIMESTRE]:[CUARTO TRIMESTRE]])</f>
        <v>140</v>
      </c>
      <c r="J734" s="175">
        <v>631.80422099999998</v>
      </c>
      <c r="K734" s="175">
        <f t="shared" si="14"/>
        <v>88452.590939999995</v>
      </c>
      <c r="L734" s="175"/>
      <c r="M734" s="77" t="s">
        <v>18</v>
      </c>
      <c r="N734" s="77" t="s">
        <v>22</v>
      </c>
      <c r="O734" s="177"/>
    </row>
    <row r="735" spans="2:15" s="12" customFormat="1" ht="18">
      <c r="B735" s="372" t="s">
        <v>80</v>
      </c>
      <c r="C735" s="77" t="s">
        <v>1526</v>
      </c>
      <c r="D735" s="177" t="s">
        <v>17</v>
      </c>
      <c r="E735" s="370">
        <v>30</v>
      </c>
      <c r="F735" s="370">
        <v>30</v>
      </c>
      <c r="G735" s="370">
        <v>30</v>
      </c>
      <c r="H735" s="370">
        <v>30</v>
      </c>
      <c r="I735" s="363">
        <f>SUM(Tabla132112412[[#This Row],[PRIMER TRIMESTRE]:[CUARTO TRIMESTRE]])</f>
        <v>120</v>
      </c>
      <c r="J735" s="175">
        <v>631.80422099999998</v>
      </c>
      <c r="K735" s="175">
        <f t="shared" si="14"/>
        <v>75816.506519999995</v>
      </c>
      <c r="L735" s="175"/>
      <c r="M735" s="77" t="s">
        <v>18</v>
      </c>
      <c r="N735" s="77" t="s">
        <v>22</v>
      </c>
      <c r="O735" s="177"/>
    </row>
    <row r="736" spans="2:15" s="12" customFormat="1" ht="18">
      <c r="B736" s="372" t="s">
        <v>80</v>
      </c>
      <c r="C736" s="77" t="s">
        <v>379</v>
      </c>
      <c r="D736" s="177" t="s">
        <v>17</v>
      </c>
      <c r="E736" s="370">
        <v>45</v>
      </c>
      <c r="F736" s="370">
        <v>45</v>
      </c>
      <c r="G736" s="370">
        <v>45</v>
      </c>
      <c r="H736" s="370">
        <v>45</v>
      </c>
      <c r="I736" s="363">
        <f>SUM(Tabla132112412[[#This Row],[PRIMER TRIMESTRE]:[CUARTO TRIMESTRE]])</f>
        <v>180</v>
      </c>
      <c r="J736" s="175">
        <v>1565.22</v>
      </c>
      <c r="K736" s="175">
        <f t="shared" si="14"/>
        <v>281739.59999999998</v>
      </c>
      <c r="L736" s="175"/>
      <c r="M736" s="77" t="s">
        <v>18</v>
      </c>
      <c r="N736" s="77" t="s">
        <v>22</v>
      </c>
      <c r="O736" s="177"/>
    </row>
    <row r="737" spans="2:15" s="12" customFormat="1" ht="18">
      <c r="B737" s="372" t="s">
        <v>80</v>
      </c>
      <c r="C737" s="77" t="s">
        <v>380</v>
      </c>
      <c r="D737" s="177" t="s">
        <v>17</v>
      </c>
      <c r="E737" s="370">
        <v>40</v>
      </c>
      <c r="F737" s="370">
        <v>40</v>
      </c>
      <c r="G737" s="370">
        <v>40</v>
      </c>
      <c r="H737" s="370">
        <v>40</v>
      </c>
      <c r="I737" s="363">
        <f>SUM(Tabla132112412[[#This Row],[PRIMER TRIMESTRE]:[CUARTO TRIMESTRE]])</f>
        <v>160</v>
      </c>
      <c r="J737" s="175">
        <v>2310.9299999999998</v>
      </c>
      <c r="K737" s="175">
        <f t="shared" si="14"/>
        <v>369748.8</v>
      </c>
      <c r="L737" s="175"/>
      <c r="M737" s="77" t="s">
        <v>18</v>
      </c>
      <c r="N737" s="77" t="s">
        <v>22</v>
      </c>
      <c r="O737" s="177"/>
    </row>
    <row r="738" spans="2:15" s="12" customFormat="1" ht="18">
      <c r="B738" s="372" t="s">
        <v>80</v>
      </c>
      <c r="C738" s="77" t="s">
        <v>381</v>
      </c>
      <c r="D738" s="177" t="s">
        <v>17</v>
      </c>
      <c r="E738" s="370">
        <v>31</v>
      </c>
      <c r="F738" s="370">
        <v>31</v>
      </c>
      <c r="G738" s="370">
        <v>31</v>
      </c>
      <c r="H738" s="370">
        <v>31</v>
      </c>
      <c r="I738" s="363">
        <f>SUM(Tabla132112412[[#This Row],[PRIMER TRIMESTRE]:[CUARTO TRIMESTRE]])</f>
        <v>124</v>
      </c>
      <c r="J738" s="175">
        <v>4630.1499999999996</v>
      </c>
      <c r="K738" s="175">
        <f t="shared" si="14"/>
        <v>574138.6</v>
      </c>
      <c r="L738" s="175"/>
      <c r="M738" s="77" t="s">
        <v>18</v>
      </c>
      <c r="N738" s="77" t="s">
        <v>22</v>
      </c>
      <c r="O738" s="177"/>
    </row>
    <row r="739" spans="2:15" s="12" customFormat="1" ht="18">
      <c r="B739" s="372" t="s">
        <v>80</v>
      </c>
      <c r="C739" s="77" t="s">
        <v>382</v>
      </c>
      <c r="D739" s="177" t="s">
        <v>17</v>
      </c>
      <c r="E739" s="370">
        <v>28</v>
      </c>
      <c r="F739" s="370">
        <v>28</v>
      </c>
      <c r="G739" s="370">
        <v>28</v>
      </c>
      <c r="H739" s="370">
        <v>28</v>
      </c>
      <c r="I739" s="363">
        <f>SUM(Tabla132112412[[#This Row],[PRIMER TRIMESTRE]:[CUARTO TRIMESTRE]])</f>
        <v>112</v>
      </c>
      <c r="J739" s="175">
        <v>6410</v>
      </c>
      <c r="K739" s="175">
        <f t="shared" si="14"/>
        <v>717920</v>
      </c>
      <c r="L739" s="175"/>
      <c r="M739" s="77" t="s">
        <v>18</v>
      </c>
      <c r="N739" s="77" t="s">
        <v>22</v>
      </c>
      <c r="O739" s="177"/>
    </row>
    <row r="740" spans="2:15" s="12" customFormat="1" ht="18">
      <c r="B740" s="372" t="s">
        <v>80</v>
      </c>
      <c r="C740" s="77" t="s">
        <v>383</v>
      </c>
      <c r="D740" s="177" t="s">
        <v>17</v>
      </c>
      <c r="E740" s="370">
        <v>0</v>
      </c>
      <c r="F740" s="370">
        <v>0</v>
      </c>
      <c r="G740" s="370">
        <v>0</v>
      </c>
      <c r="H740" s="370">
        <v>0</v>
      </c>
      <c r="I740" s="363">
        <f>SUM(Tabla132112412[[#This Row],[PRIMER TRIMESTRE]:[CUARTO TRIMESTRE]])</f>
        <v>0</v>
      </c>
      <c r="J740" s="175">
        <v>10255.09</v>
      </c>
      <c r="K740" s="175">
        <f t="shared" si="14"/>
        <v>0</v>
      </c>
      <c r="L740" s="175"/>
      <c r="M740" s="77" t="s">
        <v>18</v>
      </c>
      <c r="N740" s="77" t="s">
        <v>22</v>
      </c>
      <c r="O740" s="177"/>
    </row>
    <row r="741" spans="2:15" s="12" customFormat="1" ht="18">
      <c r="B741" s="372" t="s">
        <v>80</v>
      </c>
      <c r="C741" s="77" t="s">
        <v>384</v>
      </c>
      <c r="D741" s="177" t="s">
        <v>17</v>
      </c>
      <c r="E741" s="370">
        <v>12</v>
      </c>
      <c r="F741" s="370">
        <v>12</v>
      </c>
      <c r="G741" s="370">
        <v>12</v>
      </c>
      <c r="H741" s="370">
        <v>12</v>
      </c>
      <c r="I741" s="363">
        <f>SUM(Tabla132112412[[#This Row],[PRIMER TRIMESTRE]:[CUARTO TRIMESTRE]])</f>
        <v>48</v>
      </c>
      <c r="J741" s="175">
        <v>14777.68</v>
      </c>
      <c r="K741" s="175">
        <f t="shared" si="14"/>
        <v>709328.64</v>
      </c>
      <c r="L741" s="175"/>
      <c r="M741" s="77" t="s">
        <v>18</v>
      </c>
      <c r="N741" s="77" t="s">
        <v>22</v>
      </c>
      <c r="O741" s="177"/>
    </row>
    <row r="742" spans="2:15" s="12" customFormat="1" ht="18">
      <c r="B742" s="372" t="s">
        <v>80</v>
      </c>
      <c r="C742" s="77" t="s">
        <v>385</v>
      </c>
      <c r="D742" s="177" t="s">
        <v>17</v>
      </c>
      <c r="E742" s="370">
        <v>13</v>
      </c>
      <c r="F742" s="370">
        <v>4</v>
      </c>
      <c r="G742" s="370">
        <v>9</v>
      </c>
      <c r="H742" s="370">
        <v>4</v>
      </c>
      <c r="I742" s="363">
        <f>SUM(Tabla132112412[[#This Row],[PRIMER TRIMESTRE]:[CUARTO TRIMESTRE]])</f>
        <v>30</v>
      </c>
      <c r="J742" s="175">
        <v>24012.400000000001</v>
      </c>
      <c r="K742" s="175">
        <f t="shared" si="14"/>
        <v>720372</v>
      </c>
      <c r="L742" s="175"/>
      <c r="M742" s="77" t="s">
        <v>18</v>
      </c>
      <c r="N742" s="77" t="s">
        <v>22</v>
      </c>
      <c r="O742" s="177"/>
    </row>
    <row r="743" spans="2:15" s="12" customFormat="1" ht="18">
      <c r="B743" s="372" t="s">
        <v>80</v>
      </c>
      <c r="C743" s="77" t="s">
        <v>386</v>
      </c>
      <c r="D743" s="177" t="s">
        <v>17</v>
      </c>
      <c r="E743" s="370">
        <v>14</v>
      </c>
      <c r="F743" s="370">
        <v>9</v>
      </c>
      <c r="G743" s="370">
        <v>9</v>
      </c>
      <c r="H743" s="370">
        <v>9</v>
      </c>
      <c r="I743" s="363">
        <f>SUM(Tabla132112412[[#This Row],[PRIMER TRIMESTRE]:[CUARTO TRIMESTRE]])</f>
        <v>41</v>
      </c>
      <c r="J743" s="175">
        <v>37525.1</v>
      </c>
      <c r="K743" s="175">
        <f t="shared" si="14"/>
        <v>1538529.0999999999</v>
      </c>
      <c r="L743" s="175"/>
      <c r="M743" s="77" t="s">
        <v>18</v>
      </c>
      <c r="N743" s="77" t="s">
        <v>22</v>
      </c>
      <c r="O743" s="177"/>
    </row>
    <row r="744" spans="2:15" s="12" customFormat="1" ht="18">
      <c r="B744" s="372" t="s">
        <v>80</v>
      </c>
      <c r="C744" s="364" t="s">
        <v>2302</v>
      </c>
      <c r="D744" s="455" t="s">
        <v>17</v>
      </c>
      <c r="E744" s="362">
        <v>5</v>
      </c>
      <c r="F744" s="362"/>
      <c r="G744" s="362">
        <v>5</v>
      </c>
      <c r="H744" s="362"/>
      <c r="I744" s="363">
        <f>SUM(Tabla132112412[[#This Row],[PRIMER TRIMESTRE]:[CUARTO TRIMESTRE]])</f>
        <v>10</v>
      </c>
      <c r="J744" s="175"/>
      <c r="K744" s="175"/>
      <c r="L744" s="175"/>
      <c r="M744" s="77"/>
      <c r="N744" s="77"/>
      <c r="O744" s="177"/>
    </row>
    <row r="745" spans="2:15" s="12" customFormat="1" ht="18">
      <c r="B745" s="372" t="s">
        <v>80</v>
      </c>
      <c r="C745" s="364" t="s">
        <v>2303</v>
      </c>
      <c r="D745" s="455" t="s">
        <v>17</v>
      </c>
      <c r="E745" s="362">
        <v>5</v>
      </c>
      <c r="F745" s="362"/>
      <c r="G745" s="362">
        <v>5</v>
      </c>
      <c r="H745" s="362"/>
      <c r="I745" s="363">
        <f>SUM(Tabla132112412[[#This Row],[PRIMER TRIMESTRE]:[CUARTO TRIMESTRE]])</f>
        <v>10</v>
      </c>
      <c r="J745" s="175"/>
      <c r="K745" s="175"/>
      <c r="L745" s="175"/>
      <c r="M745" s="77"/>
      <c r="N745" s="77"/>
      <c r="O745" s="177"/>
    </row>
    <row r="746" spans="2:15" s="12" customFormat="1" ht="18">
      <c r="B746" s="372" t="s">
        <v>80</v>
      </c>
      <c r="C746" s="364" t="s">
        <v>2304</v>
      </c>
      <c r="D746" s="455" t="s">
        <v>17</v>
      </c>
      <c r="E746" s="362">
        <v>5</v>
      </c>
      <c r="F746" s="362"/>
      <c r="G746" s="362">
        <v>5</v>
      </c>
      <c r="H746" s="362"/>
      <c r="I746" s="363">
        <f>SUM(Tabla132112412[[#This Row],[PRIMER TRIMESTRE]:[CUARTO TRIMESTRE]])</f>
        <v>10</v>
      </c>
      <c r="J746" s="175"/>
      <c r="K746" s="175"/>
      <c r="L746" s="175"/>
      <c r="M746" s="77"/>
      <c r="N746" s="77"/>
      <c r="O746" s="177"/>
    </row>
    <row r="747" spans="2:15" s="12" customFormat="1" ht="18">
      <c r="B747" s="372" t="s">
        <v>80</v>
      </c>
      <c r="C747" s="364" t="s">
        <v>2305</v>
      </c>
      <c r="D747" s="455" t="s">
        <v>17</v>
      </c>
      <c r="E747" s="362">
        <v>2</v>
      </c>
      <c r="F747" s="362"/>
      <c r="G747" s="362">
        <v>2</v>
      </c>
      <c r="H747" s="362"/>
      <c r="I747" s="363">
        <f>SUM(Tabla132112412[[#This Row],[PRIMER TRIMESTRE]:[CUARTO TRIMESTRE]])</f>
        <v>4</v>
      </c>
      <c r="J747" s="175"/>
      <c r="K747" s="175"/>
      <c r="L747" s="175"/>
      <c r="M747" s="77"/>
      <c r="N747" s="77"/>
      <c r="O747" s="177"/>
    </row>
    <row r="748" spans="2:15" s="12" customFormat="1" ht="18">
      <c r="B748" s="372" t="s">
        <v>80</v>
      </c>
      <c r="C748" s="364" t="s">
        <v>2306</v>
      </c>
      <c r="D748" s="455" t="s">
        <v>17</v>
      </c>
      <c r="E748" s="362">
        <v>5</v>
      </c>
      <c r="F748" s="362"/>
      <c r="G748" s="362">
        <v>5</v>
      </c>
      <c r="H748" s="362"/>
      <c r="I748" s="363">
        <f>SUM(Tabla132112412[[#This Row],[PRIMER TRIMESTRE]:[CUARTO TRIMESTRE]])</f>
        <v>10</v>
      </c>
      <c r="J748" s="175"/>
      <c r="K748" s="175"/>
      <c r="L748" s="175"/>
      <c r="M748" s="77"/>
      <c r="N748" s="77"/>
      <c r="O748" s="177"/>
    </row>
    <row r="749" spans="2:15" s="12" customFormat="1" ht="18">
      <c r="B749" s="372" t="s">
        <v>80</v>
      </c>
      <c r="C749" s="364" t="s">
        <v>2307</v>
      </c>
      <c r="D749" s="455" t="s">
        <v>17</v>
      </c>
      <c r="E749" s="362">
        <v>5</v>
      </c>
      <c r="F749" s="362"/>
      <c r="G749" s="362">
        <v>5</v>
      </c>
      <c r="H749" s="362"/>
      <c r="I749" s="363">
        <f>SUM(Tabla132112412[[#This Row],[PRIMER TRIMESTRE]:[CUARTO TRIMESTRE]])</f>
        <v>10</v>
      </c>
      <c r="J749" s="175"/>
      <c r="K749" s="175"/>
      <c r="L749" s="175"/>
      <c r="M749" s="77"/>
      <c r="N749" s="77"/>
      <c r="O749" s="177"/>
    </row>
    <row r="750" spans="2:15" s="12" customFormat="1" ht="18">
      <c r="B750" s="372" t="s">
        <v>80</v>
      </c>
      <c r="C750" s="364" t="s">
        <v>2308</v>
      </c>
      <c r="D750" s="455" t="s">
        <v>17</v>
      </c>
      <c r="E750" s="362">
        <v>5</v>
      </c>
      <c r="F750" s="362"/>
      <c r="G750" s="362">
        <v>5</v>
      </c>
      <c r="H750" s="362"/>
      <c r="I750" s="363">
        <f>SUM(Tabla132112412[[#This Row],[PRIMER TRIMESTRE]:[CUARTO TRIMESTRE]])</f>
        <v>10</v>
      </c>
      <c r="J750" s="175"/>
      <c r="K750" s="175"/>
      <c r="L750" s="175"/>
      <c r="M750" s="77"/>
      <c r="N750" s="77"/>
      <c r="O750" s="177"/>
    </row>
    <row r="751" spans="2:15" s="12" customFormat="1" ht="18">
      <c r="B751" s="372" t="s">
        <v>80</v>
      </c>
      <c r="C751" s="364" t="s">
        <v>2309</v>
      </c>
      <c r="D751" s="455" t="s">
        <v>17</v>
      </c>
      <c r="E751" s="362">
        <v>5</v>
      </c>
      <c r="F751" s="362"/>
      <c r="G751" s="362"/>
      <c r="H751" s="362"/>
      <c r="I751" s="363">
        <f>SUM(Tabla132112412[[#This Row],[PRIMER TRIMESTRE]:[CUARTO TRIMESTRE]])</f>
        <v>5</v>
      </c>
      <c r="J751" s="175"/>
      <c r="K751" s="175"/>
      <c r="L751" s="175"/>
      <c r="M751" s="77"/>
      <c r="N751" s="77"/>
      <c r="O751" s="177"/>
    </row>
    <row r="752" spans="2:15" s="12" customFormat="1" ht="18">
      <c r="B752" s="372" t="s">
        <v>80</v>
      </c>
      <c r="C752" s="77" t="s">
        <v>800</v>
      </c>
      <c r="D752" s="177" t="s">
        <v>17</v>
      </c>
      <c r="E752" s="370">
        <v>8</v>
      </c>
      <c r="F752" s="370">
        <v>3</v>
      </c>
      <c r="G752" s="370">
        <v>3</v>
      </c>
      <c r="H752" s="370">
        <v>3</v>
      </c>
      <c r="I752" s="363">
        <f>SUM(Tabla132112412[[#This Row],[PRIMER TRIMESTRE]:[CUARTO TRIMESTRE]])</f>
        <v>17</v>
      </c>
      <c r="J752" s="175">
        <v>4500</v>
      </c>
      <c r="K752" s="175">
        <f t="shared" ref="K752:K761" si="15">+I752*J752</f>
        <v>76500</v>
      </c>
      <c r="L752" s="175"/>
      <c r="M752" s="77" t="s">
        <v>18</v>
      </c>
      <c r="N752" s="77" t="s">
        <v>22</v>
      </c>
      <c r="O752" s="177"/>
    </row>
    <row r="753" spans="2:15" s="12" customFormat="1" ht="18">
      <c r="B753" s="372" t="s">
        <v>80</v>
      </c>
      <c r="C753" s="77" t="s">
        <v>713</v>
      </c>
      <c r="D753" s="177" t="s">
        <v>17</v>
      </c>
      <c r="E753" s="370">
        <v>9</v>
      </c>
      <c r="F753" s="370">
        <v>4</v>
      </c>
      <c r="G753" s="370">
        <v>4</v>
      </c>
      <c r="H753" s="370">
        <v>4</v>
      </c>
      <c r="I753" s="363">
        <f>SUM(Tabla132112412[[#This Row],[PRIMER TRIMESTRE]:[CUARTO TRIMESTRE]])</f>
        <v>21</v>
      </c>
      <c r="J753" s="175">
        <v>6000</v>
      </c>
      <c r="K753" s="175">
        <f t="shared" si="15"/>
        <v>126000</v>
      </c>
      <c r="L753" s="175"/>
      <c r="M753" s="77" t="s">
        <v>18</v>
      </c>
      <c r="N753" s="77" t="s">
        <v>22</v>
      </c>
      <c r="O753" s="177"/>
    </row>
    <row r="754" spans="2:15" s="12" customFormat="1" ht="18">
      <c r="B754" s="372" t="s">
        <v>80</v>
      </c>
      <c r="C754" s="77" t="s">
        <v>712</v>
      </c>
      <c r="D754" s="177" t="s">
        <v>17</v>
      </c>
      <c r="E754" s="370">
        <v>8</v>
      </c>
      <c r="F754" s="370">
        <v>3</v>
      </c>
      <c r="G754" s="370">
        <v>3</v>
      </c>
      <c r="H754" s="370">
        <v>3</v>
      </c>
      <c r="I754" s="363">
        <f>SUM(Tabla132112412[[#This Row],[PRIMER TRIMESTRE]:[CUARTO TRIMESTRE]])</f>
        <v>17</v>
      </c>
      <c r="J754" s="175">
        <v>15544</v>
      </c>
      <c r="K754" s="175">
        <f t="shared" si="15"/>
        <v>264248</v>
      </c>
      <c r="L754" s="175"/>
      <c r="M754" s="77" t="s">
        <v>18</v>
      </c>
      <c r="N754" s="77" t="s">
        <v>22</v>
      </c>
      <c r="O754" s="177"/>
    </row>
    <row r="755" spans="2:15" s="12" customFormat="1" ht="18">
      <c r="B755" s="372" t="s">
        <v>80</v>
      </c>
      <c r="C755" s="77" t="s">
        <v>711</v>
      </c>
      <c r="D755" s="177" t="s">
        <v>17</v>
      </c>
      <c r="E755" s="370">
        <v>0</v>
      </c>
      <c r="F755" s="370">
        <v>0</v>
      </c>
      <c r="G755" s="370">
        <v>0</v>
      </c>
      <c r="H755" s="370">
        <v>0</v>
      </c>
      <c r="I755" s="363">
        <f>SUM(Tabla132112412[[#This Row],[PRIMER TRIMESTRE]:[CUARTO TRIMESTRE]])</f>
        <v>0</v>
      </c>
      <c r="J755" s="175">
        <v>20650.03</v>
      </c>
      <c r="K755" s="175">
        <f t="shared" si="15"/>
        <v>0</v>
      </c>
      <c r="L755" s="175"/>
      <c r="M755" s="77" t="s">
        <v>18</v>
      </c>
      <c r="N755" s="77" t="s">
        <v>22</v>
      </c>
      <c r="O755" s="177"/>
    </row>
    <row r="756" spans="2:15" s="12" customFormat="1" ht="18">
      <c r="B756" s="372" t="s">
        <v>80</v>
      </c>
      <c r="C756" s="77" t="s">
        <v>710</v>
      </c>
      <c r="D756" s="177" t="s">
        <v>17</v>
      </c>
      <c r="E756" s="370">
        <v>9</v>
      </c>
      <c r="F756" s="370">
        <v>4</v>
      </c>
      <c r="G756" s="370">
        <v>4</v>
      </c>
      <c r="H756" s="370">
        <v>4</v>
      </c>
      <c r="I756" s="363">
        <f>SUM(Tabla132112412[[#This Row],[PRIMER TRIMESTRE]:[CUARTO TRIMESTRE]])</f>
        <v>21</v>
      </c>
      <c r="J756" s="175">
        <v>39221.919999999998</v>
      </c>
      <c r="K756" s="175">
        <f t="shared" si="15"/>
        <v>823660.32</v>
      </c>
      <c r="L756" s="175"/>
      <c r="M756" s="77" t="s">
        <v>18</v>
      </c>
      <c r="N756" s="77" t="s">
        <v>22</v>
      </c>
      <c r="O756" s="177"/>
    </row>
    <row r="757" spans="2:15" s="12" customFormat="1" ht="18">
      <c r="B757" s="372" t="s">
        <v>80</v>
      </c>
      <c r="C757" s="77" t="s">
        <v>709</v>
      </c>
      <c r="D757" s="177" t="s">
        <v>17</v>
      </c>
      <c r="E757" s="370">
        <v>8</v>
      </c>
      <c r="F757" s="370">
        <v>3</v>
      </c>
      <c r="G757" s="370">
        <v>3</v>
      </c>
      <c r="H757" s="370">
        <v>3</v>
      </c>
      <c r="I757" s="363">
        <f>SUM(Tabla132112412[[#This Row],[PRIMER TRIMESTRE]:[CUARTO TRIMESTRE]])</f>
        <v>17</v>
      </c>
      <c r="J757" s="175">
        <f>17500*1.18</f>
        <v>20650</v>
      </c>
      <c r="K757" s="175">
        <f t="shared" si="15"/>
        <v>351050</v>
      </c>
      <c r="L757" s="175"/>
      <c r="M757" s="77" t="s">
        <v>18</v>
      </c>
      <c r="N757" s="77" t="s">
        <v>22</v>
      </c>
      <c r="O757" s="177"/>
    </row>
    <row r="758" spans="2:15" s="12" customFormat="1" ht="18">
      <c r="B758" s="372" t="s">
        <v>80</v>
      </c>
      <c r="C758" s="77" t="s">
        <v>708</v>
      </c>
      <c r="D758" s="177" t="s">
        <v>17</v>
      </c>
      <c r="E758" s="370">
        <v>0</v>
      </c>
      <c r="F758" s="370">
        <v>0</v>
      </c>
      <c r="G758" s="370">
        <v>0</v>
      </c>
      <c r="H758" s="370">
        <v>0</v>
      </c>
      <c r="I758" s="363">
        <f>SUM(Tabla132112412[[#This Row],[PRIMER TRIMESTRE]:[CUARTO TRIMESTRE]])</f>
        <v>0</v>
      </c>
      <c r="J758" s="175">
        <f>25175*1.18</f>
        <v>29706.5</v>
      </c>
      <c r="K758" s="175">
        <f t="shared" si="15"/>
        <v>0</v>
      </c>
      <c r="L758" s="175"/>
      <c r="M758" s="77" t="s">
        <v>18</v>
      </c>
      <c r="N758" s="77" t="s">
        <v>22</v>
      </c>
      <c r="O758" s="177"/>
    </row>
    <row r="759" spans="2:15" s="12" customFormat="1" ht="18">
      <c r="B759" s="372" t="s">
        <v>80</v>
      </c>
      <c r="C759" s="77" t="s">
        <v>707</v>
      </c>
      <c r="D759" s="177" t="s">
        <v>17</v>
      </c>
      <c r="E759" s="370">
        <v>8</v>
      </c>
      <c r="F759" s="370">
        <v>3</v>
      </c>
      <c r="G759" s="370">
        <v>3</v>
      </c>
      <c r="H759" s="370">
        <v>3</v>
      </c>
      <c r="I759" s="363">
        <f>SUM(Tabla132112412[[#This Row],[PRIMER TRIMESTRE]:[CUARTO TRIMESTRE]])</f>
        <v>17</v>
      </c>
      <c r="J759" s="175">
        <f>34500*1.18</f>
        <v>40710</v>
      </c>
      <c r="K759" s="175">
        <f t="shared" si="15"/>
        <v>692070</v>
      </c>
      <c r="L759" s="175"/>
      <c r="M759" s="77" t="s">
        <v>18</v>
      </c>
      <c r="N759" s="77" t="s">
        <v>22</v>
      </c>
      <c r="O759" s="177"/>
    </row>
    <row r="760" spans="2:15" s="12" customFormat="1" ht="18">
      <c r="B760" s="372" t="s">
        <v>80</v>
      </c>
      <c r="C760" s="77" t="s">
        <v>706</v>
      </c>
      <c r="D760" s="177" t="s">
        <v>17</v>
      </c>
      <c r="E760" s="370">
        <v>7</v>
      </c>
      <c r="F760" s="370">
        <v>0</v>
      </c>
      <c r="G760" s="370">
        <v>2</v>
      </c>
      <c r="H760" s="370">
        <v>0</v>
      </c>
      <c r="I760" s="363">
        <f>SUM(Tabla132112412[[#This Row],[PRIMER TRIMESTRE]:[CUARTO TRIMESTRE]])</f>
        <v>9</v>
      </c>
      <c r="J760" s="175">
        <v>51330</v>
      </c>
      <c r="K760" s="175">
        <f t="shared" si="15"/>
        <v>461970</v>
      </c>
      <c r="L760" s="175"/>
      <c r="M760" s="77" t="s">
        <v>18</v>
      </c>
      <c r="N760" s="77" t="s">
        <v>22</v>
      </c>
      <c r="O760" s="177"/>
    </row>
    <row r="761" spans="2:15" s="12" customFormat="1" ht="18">
      <c r="B761" s="372" t="s">
        <v>80</v>
      </c>
      <c r="C761" s="77" t="s">
        <v>705</v>
      </c>
      <c r="D761" s="177" t="s">
        <v>17</v>
      </c>
      <c r="E761" s="370">
        <v>5</v>
      </c>
      <c r="F761" s="370">
        <v>0</v>
      </c>
      <c r="G761" s="370">
        <v>0</v>
      </c>
      <c r="H761" s="370">
        <v>0</v>
      </c>
      <c r="I761" s="363">
        <f>SUM(Tabla132112412[[#This Row],[PRIMER TRIMESTRE]:[CUARTO TRIMESTRE]])</f>
        <v>5</v>
      </c>
      <c r="J761" s="175">
        <v>61360</v>
      </c>
      <c r="K761" s="175">
        <f t="shared" si="15"/>
        <v>306800</v>
      </c>
      <c r="L761" s="175"/>
      <c r="M761" s="77" t="s">
        <v>18</v>
      </c>
      <c r="N761" s="77" t="s">
        <v>22</v>
      </c>
      <c r="O761" s="177"/>
    </row>
    <row r="762" spans="2:15" s="12" customFormat="1" ht="18">
      <c r="B762" s="372" t="s">
        <v>80</v>
      </c>
      <c r="C762" s="77" t="s">
        <v>1687</v>
      </c>
      <c r="D762" s="177" t="s">
        <v>17</v>
      </c>
      <c r="E762" s="370">
        <v>10</v>
      </c>
      <c r="F762" s="370">
        <v>5</v>
      </c>
      <c r="G762" s="370">
        <v>10</v>
      </c>
      <c r="H762" s="370">
        <v>5</v>
      </c>
      <c r="I762" s="363">
        <f>SUM(Tabla132112412[[#This Row],[PRIMER TRIMESTRE]:[CUARTO TRIMESTRE]])</f>
        <v>30</v>
      </c>
      <c r="J762" s="175">
        <v>0</v>
      </c>
      <c r="K762" s="175">
        <v>0</v>
      </c>
      <c r="L762" s="175"/>
      <c r="M762" s="77" t="s">
        <v>18</v>
      </c>
      <c r="N762" s="77" t="s">
        <v>22</v>
      </c>
      <c r="O762" s="177"/>
    </row>
    <row r="763" spans="2:15" s="12" customFormat="1" ht="18">
      <c r="B763" s="372" t="s">
        <v>80</v>
      </c>
      <c r="C763" s="77" t="s">
        <v>1528</v>
      </c>
      <c r="D763" s="177" t="s">
        <v>17</v>
      </c>
      <c r="E763" s="370">
        <v>10</v>
      </c>
      <c r="F763" s="370">
        <v>5</v>
      </c>
      <c r="G763" s="370">
        <v>10</v>
      </c>
      <c r="H763" s="370">
        <v>5</v>
      </c>
      <c r="I763" s="363">
        <f>SUM(Tabla132112412[[#This Row],[PRIMER TRIMESTRE]:[CUARTO TRIMESTRE]])</f>
        <v>30</v>
      </c>
      <c r="J763" s="175">
        <v>4973.5</v>
      </c>
      <c r="K763" s="175">
        <f t="shared" ref="K763:K851" si="16">+I763*J763</f>
        <v>149205</v>
      </c>
      <c r="L763" s="175"/>
      <c r="M763" s="77" t="s">
        <v>18</v>
      </c>
      <c r="N763" s="77" t="s">
        <v>22</v>
      </c>
      <c r="O763" s="177"/>
    </row>
    <row r="764" spans="2:15" s="12" customFormat="1" ht="18">
      <c r="B764" s="372" t="s">
        <v>80</v>
      </c>
      <c r="C764" s="77" t="s">
        <v>1722</v>
      </c>
      <c r="D764" s="177" t="s">
        <v>17</v>
      </c>
      <c r="E764" s="370">
        <v>5</v>
      </c>
      <c r="F764" s="370">
        <v>0</v>
      </c>
      <c r="G764" s="370">
        <v>5</v>
      </c>
      <c r="H764" s="370">
        <v>0</v>
      </c>
      <c r="I764" s="363">
        <f>SUM(Tabla132112412[[#This Row],[PRIMER TRIMESTRE]:[CUARTO TRIMESTRE]])</f>
        <v>10</v>
      </c>
      <c r="J764" s="175">
        <v>0</v>
      </c>
      <c r="K764" s="175">
        <v>0</v>
      </c>
      <c r="L764" s="175"/>
      <c r="M764" s="77" t="s">
        <v>18</v>
      </c>
      <c r="N764" s="77" t="s">
        <v>22</v>
      </c>
      <c r="O764" s="177"/>
    </row>
    <row r="765" spans="2:15" s="12" customFormat="1" ht="18">
      <c r="B765" s="372" t="s">
        <v>80</v>
      </c>
      <c r="C765" s="77" t="s">
        <v>703</v>
      </c>
      <c r="D765" s="177" t="s">
        <v>17</v>
      </c>
      <c r="E765" s="370">
        <v>15</v>
      </c>
      <c r="F765" s="370">
        <v>5</v>
      </c>
      <c r="G765" s="370">
        <v>15</v>
      </c>
      <c r="H765" s="370">
        <v>5</v>
      </c>
      <c r="I765" s="363">
        <f>SUM(Tabla132112412[[#This Row],[PRIMER TRIMESTRE]:[CUARTO TRIMESTRE]])</f>
        <v>40</v>
      </c>
      <c r="J765" s="175">
        <v>1926.1</v>
      </c>
      <c r="K765" s="175">
        <f t="shared" si="16"/>
        <v>77044</v>
      </c>
      <c r="L765" s="175"/>
      <c r="M765" s="77" t="s">
        <v>18</v>
      </c>
      <c r="N765" s="77" t="s">
        <v>22</v>
      </c>
      <c r="O765" s="177"/>
    </row>
    <row r="766" spans="2:15" s="12" customFormat="1" ht="18">
      <c r="B766" s="372" t="s">
        <v>80</v>
      </c>
      <c r="C766" s="77" t="s">
        <v>704</v>
      </c>
      <c r="D766" s="177" t="s">
        <v>17</v>
      </c>
      <c r="E766" s="370">
        <v>10</v>
      </c>
      <c r="F766" s="370">
        <v>0</v>
      </c>
      <c r="G766" s="370">
        <v>10</v>
      </c>
      <c r="H766" s="370">
        <v>0</v>
      </c>
      <c r="I766" s="363">
        <f>SUM(Tabla132112412[[#This Row],[PRIMER TRIMESTRE]:[CUARTO TRIMESTRE]])</f>
        <v>20</v>
      </c>
      <c r="J766" s="175">
        <v>3940</v>
      </c>
      <c r="K766" s="175">
        <f t="shared" si="16"/>
        <v>78800</v>
      </c>
      <c r="L766" s="175"/>
      <c r="M766" s="77" t="s">
        <v>18</v>
      </c>
      <c r="N766" s="77" t="s">
        <v>22</v>
      </c>
      <c r="O766" s="177"/>
    </row>
    <row r="767" spans="2:15" s="12" customFormat="1" ht="18">
      <c r="B767" s="372" t="s">
        <v>80</v>
      </c>
      <c r="C767" s="77" t="s">
        <v>1216</v>
      </c>
      <c r="D767" s="177" t="s">
        <v>17</v>
      </c>
      <c r="E767" s="370">
        <v>16</v>
      </c>
      <c r="F767" s="370">
        <v>6</v>
      </c>
      <c r="G767" s="370">
        <v>16</v>
      </c>
      <c r="H767" s="370">
        <v>6</v>
      </c>
      <c r="I767" s="363">
        <f>SUM(Tabla132112412[[#This Row],[PRIMER TRIMESTRE]:[CUARTO TRIMESTRE]])</f>
        <v>44</v>
      </c>
      <c r="J767" s="175">
        <v>3940</v>
      </c>
      <c r="K767" s="175">
        <f t="shared" si="16"/>
        <v>173360</v>
      </c>
      <c r="L767" s="175"/>
      <c r="M767" s="77" t="s">
        <v>18</v>
      </c>
      <c r="N767" s="77" t="s">
        <v>22</v>
      </c>
      <c r="O767" s="177"/>
    </row>
    <row r="768" spans="2:15" s="12" customFormat="1" ht="18">
      <c r="B768" s="372" t="s">
        <v>80</v>
      </c>
      <c r="C768" s="77" t="s">
        <v>1215</v>
      </c>
      <c r="D768" s="177" t="s">
        <v>17</v>
      </c>
      <c r="E768" s="370">
        <v>14</v>
      </c>
      <c r="F768" s="370">
        <v>4</v>
      </c>
      <c r="G768" s="370">
        <v>4</v>
      </c>
      <c r="H768" s="370">
        <v>4</v>
      </c>
      <c r="I768" s="363">
        <f>SUM(Tabla132112412[[#This Row],[PRIMER TRIMESTRE]:[CUARTO TRIMESTRE]])</f>
        <v>26</v>
      </c>
      <c r="J768" s="175">
        <v>3940</v>
      </c>
      <c r="K768" s="175">
        <f t="shared" si="16"/>
        <v>102440</v>
      </c>
      <c r="L768" s="175"/>
      <c r="M768" s="77" t="s">
        <v>18</v>
      </c>
      <c r="N768" s="77" t="s">
        <v>22</v>
      </c>
      <c r="O768" s="177"/>
    </row>
    <row r="769" spans="2:15" s="12" customFormat="1" ht="18">
      <c r="B769" s="372" t="s">
        <v>80</v>
      </c>
      <c r="C769" s="77" t="s">
        <v>1620</v>
      </c>
      <c r="D769" s="177" t="s">
        <v>17</v>
      </c>
      <c r="E769" s="370">
        <v>10</v>
      </c>
      <c r="F769" s="370">
        <v>0</v>
      </c>
      <c r="G769" s="370">
        <v>10</v>
      </c>
      <c r="H769" s="370">
        <v>0</v>
      </c>
      <c r="I769" s="363">
        <f>SUM(Tabla132112412[[#This Row],[PRIMER TRIMESTRE]:[CUARTO TRIMESTRE]])</f>
        <v>20</v>
      </c>
      <c r="J769" s="175">
        <v>4973.5</v>
      </c>
      <c r="K769" s="175">
        <f t="shared" si="16"/>
        <v>99470</v>
      </c>
      <c r="L769" s="175"/>
      <c r="M769" s="77" t="s">
        <v>18</v>
      </c>
      <c r="N769" s="77" t="s">
        <v>22</v>
      </c>
      <c r="O769" s="177"/>
    </row>
    <row r="770" spans="2:15" s="12" customFormat="1" ht="18">
      <c r="B770" s="372" t="s">
        <v>80</v>
      </c>
      <c r="C770" s="77" t="s">
        <v>1850</v>
      </c>
      <c r="D770" s="177" t="s">
        <v>17</v>
      </c>
      <c r="E770" s="370">
        <v>20</v>
      </c>
      <c r="F770" s="370">
        <v>20</v>
      </c>
      <c r="G770" s="370">
        <v>20</v>
      </c>
      <c r="H770" s="370">
        <v>20</v>
      </c>
      <c r="I770" s="363">
        <f>SUM(Tabla132112412[[#This Row],[PRIMER TRIMESTRE]:[CUARTO TRIMESTRE]])</f>
        <v>80</v>
      </c>
      <c r="J770" s="175">
        <v>0</v>
      </c>
      <c r="K770" s="175">
        <v>0</v>
      </c>
      <c r="L770" s="175"/>
      <c r="M770" s="77" t="s">
        <v>18</v>
      </c>
      <c r="N770" s="77" t="s">
        <v>22</v>
      </c>
      <c r="O770" s="177"/>
    </row>
    <row r="771" spans="2:15" s="12" customFormat="1" ht="18">
      <c r="B771" s="372" t="s">
        <v>80</v>
      </c>
      <c r="C771" s="77" t="s">
        <v>1529</v>
      </c>
      <c r="D771" s="177" t="s">
        <v>17</v>
      </c>
      <c r="E771" s="370">
        <v>50</v>
      </c>
      <c r="F771" s="370">
        <v>50</v>
      </c>
      <c r="G771" s="370">
        <v>50</v>
      </c>
      <c r="H771" s="370">
        <v>50</v>
      </c>
      <c r="I771" s="363">
        <f>SUM(Tabla132112412[[#This Row],[PRIMER TRIMESTRE]:[CUARTO TRIMESTRE]])</f>
        <v>200</v>
      </c>
      <c r="J771" s="175">
        <v>4.57</v>
      </c>
      <c r="K771" s="175">
        <f t="shared" si="16"/>
        <v>914</v>
      </c>
      <c r="L771" s="175"/>
      <c r="M771" s="77" t="s">
        <v>18</v>
      </c>
      <c r="N771" s="77" t="s">
        <v>22</v>
      </c>
      <c r="O771" s="177"/>
    </row>
    <row r="772" spans="2:15" s="12" customFormat="1" ht="18">
      <c r="B772" s="372" t="s">
        <v>80</v>
      </c>
      <c r="C772" s="77" t="s">
        <v>1569</v>
      </c>
      <c r="D772" s="177" t="s">
        <v>17</v>
      </c>
      <c r="E772" s="370">
        <v>30</v>
      </c>
      <c r="F772" s="370">
        <v>20</v>
      </c>
      <c r="G772" s="370">
        <v>20</v>
      </c>
      <c r="H772" s="370">
        <v>20</v>
      </c>
      <c r="I772" s="363">
        <f>SUM(Tabla132112412[[#This Row],[PRIMER TRIMESTRE]:[CUARTO TRIMESTRE]])</f>
        <v>90</v>
      </c>
      <c r="J772" s="175">
        <v>85.92</v>
      </c>
      <c r="K772" s="175">
        <f t="shared" si="16"/>
        <v>7732.8</v>
      </c>
      <c r="L772" s="175"/>
      <c r="M772" s="77" t="s">
        <v>18</v>
      </c>
      <c r="N772" s="77" t="s">
        <v>22</v>
      </c>
      <c r="O772" s="177"/>
    </row>
    <row r="773" spans="2:15" s="12" customFormat="1" ht="18">
      <c r="B773" s="372" t="s">
        <v>80</v>
      </c>
      <c r="C773" s="77" t="s">
        <v>1568</v>
      </c>
      <c r="D773" s="177" t="s">
        <v>17</v>
      </c>
      <c r="E773" s="370">
        <v>30</v>
      </c>
      <c r="F773" s="370">
        <v>25</v>
      </c>
      <c r="G773" s="370">
        <v>30</v>
      </c>
      <c r="H773" s="370">
        <v>25</v>
      </c>
      <c r="I773" s="363">
        <f>SUM(Tabla132112412[[#This Row],[PRIMER TRIMESTRE]:[CUARTO TRIMESTRE]])</f>
        <v>110</v>
      </c>
      <c r="J773" s="175">
        <v>26.5</v>
      </c>
      <c r="K773" s="175">
        <f t="shared" si="16"/>
        <v>2915</v>
      </c>
      <c r="L773" s="175"/>
      <c r="M773" s="77" t="s">
        <v>18</v>
      </c>
      <c r="N773" s="77" t="s">
        <v>22</v>
      </c>
      <c r="O773" s="177"/>
    </row>
    <row r="774" spans="2:15" s="12" customFormat="1" ht="18">
      <c r="B774" s="372" t="s">
        <v>80</v>
      </c>
      <c r="C774" s="77" t="s">
        <v>1530</v>
      </c>
      <c r="D774" s="177" t="s">
        <v>17</v>
      </c>
      <c r="E774" s="370">
        <v>75</v>
      </c>
      <c r="F774" s="370">
        <v>25</v>
      </c>
      <c r="G774" s="370">
        <v>75</v>
      </c>
      <c r="H774" s="370">
        <v>25</v>
      </c>
      <c r="I774" s="363">
        <f>SUM(Tabla132112412[[#This Row],[PRIMER TRIMESTRE]:[CUARTO TRIMESTRE]])</f>
        <v>200</v>
      </c>
      <c r="J774" s="175">
        <v>6.07</v>
      </c>
      <c r="K774" s="175">
        <f t="shared" si="16"/>
        <v>1214</v>
      </c>
      <c r="L774" s="175"/>
      <c r="M774" s="77" t="s">
        <v>18</v>
      </c>
      <c r="N774" s="77" t="s">
        <v>22</v>
      </c>
      <c r="O774" s="177"/>
    </row>
    <row r="775" spans="2:15" s="12" customFormat="1" ht="18">
      <c r="B775" s="372" t="s">
        <v>80</v>
      </c>
      <c r="C775" s="77" t="s">
        <v>387</v>
      </c>
      <c r="D775" s="177" t="s">
        <v>17</v>
      </c>
      <c r="E775" s="370">
        <v>50</v>
      </c>
      <c r="F775" s="370">
        <v>25</v>
      </c>
      <c r="G775" s="370">
        <v>50</v>
      </c>
      <c r="H775" s="370">
        <v>25</v>
      </c>
      <c r="I775" s="363">
        <f>SUM(Tabla132112412[[#This Row],[PRIMER TRIMESTRE]:[CUARTO TRIMESTRE]])</f>
        <v>150</v>
      </c>
      <c r="J775" s="175">
        <v>4.1100000000000003</v>
      </c>
      <c r="K775" s="175">
        <f t="shared" si="16"/>
        <v>616.5</v>
      </c>
      <c r="L775" s="175"/>
      <c r="M775" s="77" t="s">
        <v>18</v>
      </c>
      <c r="N775" s="77" t="s">
        <v>22</v>
      </c>
      <c r="O775" s="177"/>
    </row>
    <row r="776" spans="2:15" s="12" customFormat="1" ht="18">
      <c r="B776" s="372" t="s">
        <v>80</v>
      </c>
      <c r="C776" s="77" t="s">
        <v>388</v>
      </c>
      <c r="D776" s="177" t="s">
        <v>17</v>
      </c>
      <c r="E776" s="370">
        <v>50</v>
      </c>
      <c r="F776" s="370">
        <v>25</v>
      </c>
      <c r="G776" s="370">
        <v>50</v>
      </c>
      <c r="H776" s="370">
        <v>25</v>
      </c>
      <c r="I776" s="363">
        <f>SUM(Tabla132112412[[#This Row],[PRIMER TRIMESTRE]:[CUARTO TRIMESTRE]])</f>
        <v>150</v>
      </c>
      <c r="J776" s="175">
        <v>5.25</v>
      </c>
      <c r="K776" s="175">
        <f t="shared" si="16"/>
        <v>787.5</v>
      </c>
      <c r="L776" s="175"/>
      <c r="M776" s="77" t="s">
        <v>18</v>
      </c>
      <c r="N776" s="77" t="s">
        <v>22</v>
      </c>
      <c r="O776" s="177"/>
    </row>
    <row r="777" spans="2:15" s="12" customFormat="1" ht="18">
      <c r="B777" s="372" t="s">
        <v>80</v>
      </c>
      <c r="C777" s="77" t="s">
        <v>1567</v>
      </c>
      <c r="D777" s="177" t="s">
        <v>17</v>
      </c>
      <c r="E777" s="370">
        <v>14</v>
      </c>
      <c r="F777" s="370">
        <v>13</v>
      </c>
      <c r="G777" s="370">
        <v>13</v>
      </c>
      <c r="H777" s="370">
        <v>13</v>
      </c>
      <c r="I777" s="363">
        <f>SUM(Tabla132112412[[#This Row],[PRIMER TRIMESTRE]:[CUARTO TRIMESTRE]])</f>
        <v>53</v>
      </c>
      <c r="J777" s="175">
        <v>15</v>
      </c>
      <c r="K777" s="175">
        <f t="shared" si="16"/>
        <v>795</v>
      </c>
      <c r="L777" s="175"/>
      <c r="M777" s="77" t="s">
        <v>18</v>
      </c>
      <c r="N777" s="77" t="s">
        <v>22</v>
      </c>
      <c r="O777" s="177"/>
    </row>
    <row r="778" spans="2:15" s="12" customFormat="1" ht="18">
      <c r="B778" s="372" t="s">
        <v>80</v>
      </c>
      <c r="C778" s="77" t="s">
        <v>389</v>
      </c>
      <c r="D778" s="177" t="s">
        <v>17</v>
      </c>
      <c r="E778" s="370">
        <v>10</v>
      </c>
      <c r="F778" s="370">
        <v>10</v>
      </c>
      <c r="G778" s="370">
        <v>10</v>
      </c>
      <c r="H778" s="370">
        <v>10</v>
      </c>
      <c r="I778" s="363">
        <f>SUM(Tabla132112412[[#This Row],[PRIMER TRIMESTRE]:[CUARTO TRIMESTRE]])</f>
        <v>40</v>
      </c>
      <c r="J778" s="175">
        <v>11</v>
      </c>
      <c r="K778" s="175">
        <f t="shared" si="16"/>
        <v>440</v>
      </c>
      <c r="L778" s="175"/>
      <c r="M778" s="77" t="s">
        <v>18</v>
      </c>
      <c r="N778" s="77" t="s">
        <v>22</v>
      </c>
      <c r="O778" s="177"/>
    </row>
    <row r="779" spans="2:15" s="12" customFormat="1" ht="18">
      <c r="B779" s="372" t="s">
        <v>80</v>
      </c>
      <c r="C779" s="77" t="s">
        <v>2310</v>
      </c>
      <c r="D779" s="177" t="s">
        <v>17</v>
      </c>
      <c r="E779" s="370">
        <v>19</v>
      </c>
      <c r="F779" s="370">
        <v>3</v>
      </c>
      <c r="G779" s="370">
        <v>18</v>
      </c>
      <c r="H779" s="370">
        <v>3</v>
      </c>
      <c r="I779" s="363">
        <f>SUM(Tabla132112412[[#This Row],[PRIMER TRIMESTRE]:[CUARTO TRIMESTRE]])</f>
        <v>43</v>
      </c>
      <c r="J779" s="175">
        <v>0</v>
      </c>
      <c r="K779" s="175">
        <v>0</v>
      </c>
      <c r="L779" s="175"/>
      <c r="M779" s="77" t="s">
        <v>18</v>
      </c>
      <c r="N779" s="77" t="s">
        <v>22</v>
      </c>
      <c r="O779" s="177"/>
    </row>
    <row r="780" spans="2:15" s="12" customFormat="1" ht="18">
      <c r="B780" s="372" t="s">
        <v>80</v>
      </c>
      <c r="C780" s="77" t="s">
        <v>2311</v>
      </c>
      <c r="D780" s="177" t="s">
        <v>17</v>
      </c>
      <c r="E780" s="365">
        <v>4</v>
      </c>
      <c r="F780" s="365">
        <v>3</v>
      </c>
      <c r="G780" s="365">
        <v>3</v>
      </c>
      <c r="H780" s="365">
        <v>3</v>
      </c>
      <c r="I780" s="363">
        <f>SUM(Tabla132112412[[#This Row],[PRIMER TRIMESTRE]:[CUARTO TRIMESTRE]])</f>
        <v>13</v>
      </c>
      <c r="J780" s="175"/>
      <c r="K780" s="175"/>
      <c r="L780" s="175"/>
      <c r="M780" s="77"/>
      <c r="N780" s="77"/>
      <c r="O780" s="177"/>
    </row>
    <row r="781" spans="2:15" s="12" customFormat="1" ht="18">
      <c r="B781" s="372" t="s">
        <v>80</v>
      </c>
      <c r="C781" s="77" t="s">
        <v>2312</v>
      </c>
      <c r="D781" s="177" t="s">
        <v>17</v>
      </c>
      <c r="E781" s="365">
        <v>4</v>
      </c>
      <c r="F781" s="365">
        <v>3</v>
      </c>
      <c r="G781" s="365">
        <v>3</v>
      </c>
      <c r="H781" s="365">
        <v>3</v>
      </c>
      <c r="I781" s="363">
        <f>SUM(Tabla132112412[[#This Row],[PRIMER TRIMESTRE]:[CUARTO TRIMESTRE]])</f>
        <v>13</v>
      </c>
      <c r="J781" s="175"/>
      <c r="K781" s="175"/>
      <c r="L781" s="175"/>
      <c r="M781" s="77"/>
      <c r="N781" s="77"/>
      <c r="O781" s="177"/>
    </row>
    <row r="782" spans="2:15" s="12" customFormat="1" ht="25.5">
      <c r="B782" s="372" t="s">
        <v>80</v>
      </c>
      <c r="C782" s="77" t="s">
        <v>1716</v>
      </c>
      <c r="D782" s="177" t="s">
        <v>17</v>
      </c>
      <c r="E782" s="370">
        <v>0</v>
      </c>
      <c r="F782" s="370">
        <v>0</v>
      </c>
      <c r="G782" s="370">
        <v>0</v>
      </c>
      <c r="H782" s="370">
        <v>0</v>
      </c>
      <c r="I782" s="363">
        <f>SUM(Tabla132112412[[#This Row],[PRIMER TRIMESTRE]:[CUARTO TRIMESTRE]])</f>
        <v>0</v>
      </c>
      <c r="J782" s="175">
        <v>0</v>
      </c>
      <c r="K782" s="175">
        <v>0</v>
      </c>
      <c r="L782" s="175"/>
      <c r="M782" s="77" t="s">
        <v>18</v>
      </c>
      <c r="N782" s="77" t="s">
        <v>22</v>
      </c>
      <c r="O782" s="177"/>
    </row>
    <row r="783" spans="2:15" s="12" customFormat="1" ht="18">
      <c r="B783" s="372" t="s">
        <v>80</v>
      </c>
      <c r="C783" s="77" t="s">
        <v>1621</v>
      </c>
      <c r="D783" s="177" t="s">
        <v>17</v>
      </c>
      <c r="E783" s="370">
        <v>8</v>
      </c>
      <c r="F783" s="370">
        <v>0</v>
      </c>
      <c r="G783" s="370">
        <v>8</v>
      </c>
      <c r="H783" s="370">
        <v>0</v>
      </c>
      <c r="I783" s="363">
        <f>SUM(Tabla132112412[[#This Row],[PRIMER TRIMESTRE]:[CUARTO TRIMESTRE]])</f>
        <v>16</v>
      </c>
      <c r="J783" s="175">
        <v>6790</v>
      </c>
      <c r="K783" s="175">
        <f t="shared" si="16"/>
        <v>108640</v>
      </c>
      <c r="L783" s="175"/>
      <c r="M783" s="77" t="s">
        <v>18</v>
      </c>
      <c r="N783" s="77" t="s">
        <v>22</v>
      </c>
      <c r="O783" s="177"/>
    </row>
    <row r="784" spans="2:15" s="12" customFormat="1" ht="18">
      <c r="B784" s="372" t="s">
        <v>80</v>
      </c>
      <c r="C784" s="77" t="s">
        <v>1482</v>
      </c>
      <c r="D784" s="177" t="s">
        <v>17</v>
      </c>
      <c r="E784" s="370">
        <v>5</v>
      </c>
      <c r="F784" s="370">
        <v>0</v>
      </c>
      <c r="G784" s="370">
        <v>5</v>
      </c>
      <c r="H784" s="370">
        <v>0</v>
      </c>
      <c r="I784" s="363">
        <f>SUM(Tabla132112412[[#This Row],[PRIMER TRIMESTRE]:[CUARTO TRIMESTRE]])</f>
        <v>10</v>
      </c>
      <c r="J784" s="175">
        <v>12500</v>
      </c>
      <c r="K784" s="175">
        <f t="shared" si="16"/>
        <v>125000</v>
      </c>
      <c r="L784" s="175"/>
      <c r="M784" s="77" t="s">
        <v>18</v>
      </c>
      <c r="N784" s="77" t="s">
        <v>22</v>
      </c>
      <c r="O784" s="177"/>
    </row>
    <row r="785" spans="2:15" s="12" customFormat="1" ht="18">
      <c r="B785" s="372" t="s">
        <v>80</v>
      </c>
      <c r="C785" s="77" t="s">
        <v>1483</v>
      </c>
      <c r="D785" s="177" t="s">
        <v>17</v>
      </c>
      <c r="E785" s="370">
        <v>5</v>
      </c>
      <c r="F785" s="370">
        <v>0</v>
      </c>
      <c r="G785" s="370">
        <v>5</v>
      </c>
      <c r="H785" s="370">
        <v>0</v>
      </c>
      <c r="I785" s="363">
        <f>SUM(Tabla132112412[[#This Row],[PRIMER TRIMESTRE]:[CUARTO TRIMESTRE]])</f>
        <v>10</v>
      </c>
      <c r="J785" s="175">
        <v>11430</v>
      </c>
      <c r="K785" s="175">
        <f t="shared" si="16"/>
        <v>114300</v>
      </c>
      <c r="L785" s="175"/>
      <c r="M785" s="77" t="s">
        <v>18</v>
      </c>
      <c r="N785" s="77" t="s">
        <v>22</v>
      </c>
      <c r="O785" s="177"/>
    </row>
    <row r="786" spans="2:15" s="12" customFormat="1" ht="25.5">
      <c r="B786" s="372" t="s">
        <v>80</v>
      </c>
      <c r="C786" s="77" t="s">
        <v>1484</v>
      </c>
      <c r="D786" s="177" t="s">
        <v>17</v>
      </c>
      <c r="E786" s="370">
        <v>5</v>
      </c>
      <c r="F786" s="370">
        <v>0</v>
      </c>
      <c r="G786" s="370">
        <v>0</v>
      </c>
      <c r="H786" s="370">
        <v>0</v>
      </c>
      <c r="I786" s="363">
        <f>SUM(Tabla132112412[[#This Row],[PRIMER TRIMESTRE]:[CUARTO TRIMESTRE]])</f>
        <v>5</v>
      </c>
      <c r="J786" s="175">
        <v>18242</v>
      </c>
      <c r="K786" s="175">
        <f t="shared" si="16"/>
        <v>91210</v>
      </c>
      <c r="L786" s="175"/>
      <c r="M786" s="77" t="s">
        <v>18</v>
      </c>
      <c r="N786" s="77" t="s">
        <v>22</v>
      </c>
      <c r="O786" s="177"/>
    </row>
    <row r="787" spans="2:15" s="12" customFormat="1" ht="25.5">
      <c r="B787" s="372" t="s">
        <v>80</v>
      </c>
      <c r="C787" s="77" t="s">
        <v>1485</v>
      </c>
      <c r="D787" s="177" t="s">
        <v>17</v>
      </c>
      <c r="E787" s="370">
        <v>17</v>
      </c>
      <c r="F787" s="370">
        <v>6</v>
      </c>
      <c r="G787" s="370">
        <v>3</v>
      </c>
      <c r="H787" s="370">
        <v>3</v>
      </c>
      <c r="I787" s="363">
        <f>SUM(Tabla132112412[[#This Row],[PRIMER TRIMESTRE]:[CUARTO TRIMESTRE]])</f>
        <v>29</v>
      </c>
      <c r="J787" s="175">
        <v>17900</v>
      </c>
      <c r="K787" s="175">
        <f t="shared" si="16"/>
        <v>519100</v>
      </c>
      <c r="L787" s="175"/>
      <c r="M787" s="77" t="s">
        <v>18</v>
      </c>
      <c r="N787" s="77" t="s">
        <v>22</v>
      </c>
      <c r="O787" s="177"/>
    </row>
    <row r="788" spans="2:15" s="12" customFormat="1" ht="18">
      <c r="B788" s="372" t="s">
        <v>80</v>
      </c>
      <c r="C788" s="77" t="s">
        <v>1486</v>
      </c>
      <c r="D788" s="177" t="s">
        <v>17</v>
      </c>
      <c r="E788" s="370">
        <v>5</v>
      </c>
      <c r="F788" s="370">
        <v>0</v>
      </c>
      <c r="G788" s="370">
        <v>0</v>
      </c>
      <c r="H788" s="370">
        <v>0</v>
      </c>
      <c r="I788" s="363">
        <f>SUM(Tabla132112412[[#This Row],[PRIMER TRIMESTRE]:[CUARTO TRIMESTRE]])</f>
        <v>5</v>
      </c>
      <c r="J788" s="175">
        <v>16800</v>
      </c>
      <c r="K788" s="175">
        <f t="shared" si="16"/>
        <v>84000</v>
      </c>
      <c r="L788" s="175"/>
      <c r="M788" s="77" t="s">
        <v>18</v>
      </c>
      <c r="N788" s="77" t="s">
        <v>22</v>
      </c>
      <c r="O788" s="177"/>
    </row>
    <row r="789" spans="2:15" s="12" customFormat="1" ht="25.5">
      <c r="B789" s="372" t="s">
        <v>80</v>
      </c>
      <c r="C789" s="77" t="s">
        <v>1487</v>
      </c>
      <c r="D789" s="177" t="s">
        <v>17</v>
      </c>
      <c r="E789" s="370">
        <v>9</v>
      </c>
      <c r="F789" s="370">
        <v>0</v>
      </c>
      <c r="G789" s="370">
        <v>4</v>
      </c>
      <c r="H789" s="370">
        <v>0</v>
      </c>
      <c r="I789" s="363">
        <f>SUM(Tabla132112412[[#This Row],[PRIMER TRIMESTRE]:[CUARTO TRIMESTRE]])</f>
        <v>13</v>
      </c>
      <c r="J789" s="175">
        <v>12500</v>
      </c>
      <c r="K789" s="175">
        <f t="shared" si="16"/>
        <v>162500</v>
      </c>
      <c r="L789" s="175"/>
      <c r="M789" s="77" t="s">
        <v>18</v>
      </c>
      <c r="N789" s="77" t="s">
        <v>22</v>
      </c>
      <c r="O789" s="177"/>
    </row>
    <row r="790" spans="2:15" s="12" customFormat="1" ht="25.5">
      <c r="B790" s="372" t="s">
        <v>80</v>
      </c>
      <c r="C790" s="77" t="s">
        <v>1488</v>
      </c>
      <c r="D790" s="177" t="s">
        <v>17</v>
      </c>
      <c r="E790" s="370">
        <v>5</v>
      </c>
      <c r="F790" s="370">
        <v>0</v>
      </c>
      <c r="G790" s="370">
        <v>0</v>
      </c>
      <c r="H790" s="370">
        <v>0</v>
      </c>
      <c r="I790" s="363">
        <f>SUM(Tabla132112412[[#This Row],[PRIMER TRIMESTRE]:[CUARTO TRIMESTRE]])</f>
        <v>5</v>
      </c>
      <c r="J790" s="175">
        <v>31500</v>
      </c>
      <c r="K790" s="175">
        <f t="shared" si="16"/>
        <v>157500</v>
      </c>
      <c r="L790" s="175"/>
      <c r="M790" s="77" t="s">
        <v>18</v>
      </c>
      <c r="N790" s="77" t="s">
        <v>22</v>
      </c>
      <c r="O790" s="177"/>
    </row>
    <row r="791" spans="2:15" s="12" customFormat="1" ht="25.5">
      <c r="B791" s="372" t="s">
        <v>80</v>
      </c>
      <c r="C791" s="77" t="s">
        <v>1489</v>
      </c>
      <c r="D791" s="177" t="s">
        <v>17</v>
      </c>
      <c r="E791" s="370">
        <v>5</v>
      </c>
      <c r="F791" s="370">
        <v>0</v>
      </c>
      <c r="G791" s="370">
        <v>0</v>
      </c>
      <c r="H791" s="370">
        <v>0</v>
      </c>
      <c r="I791" s="363">
        <f>SUM(Tabla132112412[[#This Row],[PRIMER TRIMESTRE]:[CUARTO TRIMESTRE]])</f>
        <v>5</v>
      </c>
      <c r="J791" s="175">
        <v>0</v>
      </c>
      <c r="K791" s="175">
        <v>0</v>
      </c>
      <c r="L791" s="175"/>
      <c r="M791" s="77" t="s">
        <v>18</v>
      </c>
      <c r="N791" s="77" t="s">
        <v>22</v>
      </c>
      <c r="O791" s="177"/>
    </row>
    <row r="792" spans="2:15" s="12" customFormat="1" ht="25.5">
      <c r="B792" s="372" t="s">
        <v>80</v>
      </c>
      <c r="C792" s="77" t="s">
        <v>1489</v>
      </c>
      <c r="D792" s="177" t="s">
        <v>17</v>
      </c>
      <c r="E792" s="370">
        <v>17</v>
      </c>
      <c r="F792" s="370">
        <v>8</v>
      </c>
      <c r="G792" s="370">
        <v>8</v>
      </c>
      <c r="H792" s="370">
        <v>8</v>
      </c>
      <c r="I792" s="363">
        <f>SUM(Tabla132112412[[#This Row],[PRIMER TRIMESTRE]:[CUARTO TRIMESTRE]])</f>
        <v>41</v>
      </c>
      <c r="J792" s="175">
        <v>48500</v>
      </c>
      <c r="K792" s="175">
        <f t="shared" si="16"/>
        <v>1988500</v>
      </c>
      <c r="L792" s="175"/>
      <c r="M792" s="77" t="s">
        <v>18</v>
      </c>
      <c r="N792" s="77" t="s">
        <v>22</v>
      </c>
      <c r="O792" s="177"/>
    </row>
    <row r="793" spans="2:15" s="12" customFormat="1" ht="25.5">
      <c r="B793" s="372" t="s">
        <v>80</v>
      </c>
      <c r="C793" s="367" t="s">
        <v>2313</v>
      </c>
      <c r="D793" s="177" t="s">
        <v>17</v>
      </c>
      <c r="E793" s="368">
        <v>5</v>
      </c>
      <c r="F793" s="369">
        <v>5</v>
      </c>
      <c r="G793" s="369">
        <v>5</v>
      </c>
      <c r="H793" s="369">
        <v>5</v>
      </c>
      <c r="I793" s="363">
        <f>SUM(Tabla132112412[[#This Row],[PRIMER TRIMESTRE]:[CUARTO TRIMESTRE]])</f>
        <v>20</v>
      </c>
      <c r="J793" s="175"/>
      <c r="K793" s="175"/>
      <c r="L793" s="175"/>
      <c r="M793" s="77"/>
      <c r="N793" s="77"/>
      <c r="O793" s="177"/>
    </row>
    <row r="794" spans="2:15" s="12" customFormat="1" ht="18">
      <c r="B794" s="372" t="s">
        <v>80</v>
      </c>
      <c r="C794" s="472" t="s">
        <v>2314</v>
      </c>
      <c r="D794" s="177" t="s">
        <v>17</v>
      </c>
      <c r="E794" s="369">
        <v>5</v>
      </c>
      <c r="F794" s="369">
        <v>5</v>
      </c>
      <c r="G794" s="369">
        <v>5</v>
      </c>
      <c r="H794" s="369">
        <v>5</v>
      </c>
      <c r="I794" s="363">
        <f>SUM(Tabla132112412[[#This Row],[PRIMER TRIMESTRE]:[CUARTO TRIMESTRE]])</f>
        <v>20</v>
      </c>
      <c r="J794" s="175"/>
      <c r="K794" s="175"/>
      <c r="L794" s="175"/>
      <c r="M794" s="77"/>
      <c r="N794" s="77"/>
      <c r="O794" s="177"/>
    </row>
    <row r="795" spans="2:15" s="12" customFormat="1" ht="25.5">
      <c r="B795" s="372" t="s">
        <v>80</v>
      </c>
      <c r="C795" s="367" t="s">
        <v>2315</v>
      </c>
      <c r="D795" s="177" t="s">
        <v>17</v>
      </c>
      <c r="E795" s="369">
        <v>10</v>
      </c>
      <c r="F795" s="369">
        <v>10</v>
      </c>
      <c r="G795" s="369">
        <v>5</v>
      </c>
      <c r="H795" s="369">
        <v>5</v>
      </c>
      <c r="I795" s="363">
        <f>SUM(Tabla132112412[[#This Row],[PRIMER TRIMESTRE]:[CUARTO TRIMESTRE]])</f>
        <v>30</v>
      </c>
      <c r="J795" s="175"/>
      <c r="K795" s="175"/>
      <c r="L795" s="175"/>
      <c r="M795" s="77"/>
      <c r="N795" s="77"/>
      <c r="O795" s="177"/>
    </row>
    <row r="796" spans="2:15" s="12" customFormat="1" ht="18">
      <c r="B796" s="372" t="s">
        <v>80</v>
      </c>
      <c r="C796" s="367" t="s">
        <v>2316</v>
      </c>
      <c r="D796" s="177" t="s">
        <v>17</v>
      </c>
      <c r="E796" s="369">
        <v>10</v>
      </c>
      <c r="F796" s="369">
        <v>10</v>
      </c>
      <c r="G796" s="369">
        <v>5</v>
      </c>
      <c r="H796" s="369">
        <v>5</v>
      </c>
      <c r="I796" s="363">
        <f>SUM(Tabla132112412[[#This Row],[PRIMER TRIMESTRE]:[CUARTO TRIMESTRE]])</f>
        <v>30</v>
      </c>
      <c r="J796" s="175"/>
      <c r="K796" s="175"/>
      <c r="L796" s="175"/>
      <c r="M796" s="77"/>
      <c r="N796" s="77"/>
      <c r="O796" s="177"/>
    </row>
    <row r="797" spans="2:15" s="12" customFormat="1" ht="25.5">
      <c r="B797" s="372" t="s">
        <v>80</v>
      </c>
      <c r="C797" s="367" t="s">
        <v>2317</v>
      </c>
      <c r="D797" s="177" t="s">
        <v>17</v>
      </c>
      <c r="E797" s="369">
        <v>10</v>
      </c>
      <c r="F797" s="369">
        <v>10</v>
      </c>
      <c r="G797" s="369">
        <v>5</v>
      </c>
      <c r="H797" s="369">
        <v>5</v>
      </c>
      <c r="I797" s="363">
        <f>SUM(Tabla132112412[[#This Row],[PRIMER TRIMESTRE]:[CUARTO TRIMESTRE]])</f>
        <v>30</v>
      </c>
      <c r="J797" s="175"/>
      <c r="K797" s="175"/>
      <c r="L797" s="175"/>
      <c r="M797" s="77"/>
      <c r="N797" s="77"/>
      <c r="O797" s="177"/>
    </row>
    <row r="798" spans="2:15" s="12" customFormat="1" ht="18">
      <c r="B798" s="372" t="s">
        <v>80</v>
      </c>
      <c r="C798" s="367" t="s">
        <v>2318</v>
      </c>
      <c r="D798" s="177"/>
      <c r="E798" s="369">
        <v>10</v>
      </c>
      <c r="F798" s="369">
        <v>10</v>
      </c>
      <c r="G798" s="369">
        <v>5</v>
      </c>
      <c r="H798" s="369">
        <v>5</v>
      </c>
      <c r="I798" s="363">
        <f>SUM(Tabla132112412[[#This Row],[PRIMER TRIMESTRE]:[CUARTO TRIMESTRE]])</f>
        <v>30</v>
      </c>
      <c r="J798" s="175"/>
      <c r="K798" s="175"/>
      <c r="L798" s="175"/>
      <c r="M798" s="77"/>
      <c r="N798" s="77"/>
      <c r="O798" s="177"/>
    </row>
    <row r="799" spans="2:15" s="12" customFormat="1" ht="25.5">
      <c r="B799" s="372" t="s">
        <v>80</v>
      </c>
      <c r="C799" s="367" t="s">
        <v>2319</v>
      </c>
      <c r="D799" s="177"/>
      <c r="E799" s="369">
        <v>10</v>
      </c>
      <c r="F799" s="369">
        <v>10</v>
      </c>
      <c r="G799" s="369">
        <v>5</v>
      </c>
      <c r="H799" s="369">
        <v>5</v>
      </c>
      <c r="I799" s="363">
        <f>SUM(Tabla132112412[[#This Row],[PRIMER TRIMESTRE]:[CUARTO TRIMESTRE]])</f>
        <v>30</v>
      </c>
      <c r="J799" s="175"/>
      <c r="K799" s="175"/>
      <c r="L799" s="175"/>
      <c r="M799" s="77"/>
      <c r="N799" s="77"/>
      <c r="O799" s="177"/>
    </row>
    <row r="800" spans="2:15" s="12" customFormat="1" ht="18">
      <c r="B800" s="372" t="s">
        <v>80</v>
      </c>
      <c r="C800" s="367" t="s">
        <v>2320</v>
      </c>
      <c r="D800" s="177"/>
      <c r="E800" s="369">
        <v>10</v>
      </c>
      <c r="F800" s="369">
        <v>10</v>
      </c>
      <c r="G800" s="369">
        <v>5</v>
      </c>
      <c r="H800" s="369">
        <v>5</v>
      </c>
      <c r="I800" s="363">
        <f>SUM(Tabla132112412[[#This Row],[PRIMER TRIMESTRE]:[CUARTO TRIMESTRE]])</f>
        <v>30</v>
      </c>
      <c r="J800" s="175"/>
      <c r="K800" s="175"/>
      <c r="L800" s="175"/>
      <c r="M800" s="77"/>
      <c r="N800" s="77"/>
      <c r="O800" s="177"/>
    </row>
    <row r="801" spans="2:15" s="12" customFormat="1" ht="25.5">
      <c r="B801" s="372" t="s">
        <v>80</v>
      </c>
      <c r="C801" s="367" t="s">
        <v>2321</v>
      </c>
      <c r="D801" s="177"/>
      <c r="E801" s="369">
        <v>5</v>
      </c>
      <c r="F801" s="369">
        <v>5</v>
      </c>
      <c r="G801" s="369">
        <v>5</v>
      </c>
      <c r="H801" s="369">
        <v>5</v>
      </c>
      <c r="I801" s="363">
        <f>SUM(Tabla132112412[[#This Row],[PRIMER TRIMESTRE]:[CUARTO TRIMESTRE]])</f>
        <v>20</v>
      </c>
      <c r="J801" s="175"/>
      <c r="K801" s="175"/>
      <c r="L801" s="175"/>
      <c r="M801" s="77"/>
      <c r="N801" s="77"/>
      <c r="O801" s="177"/>
    </row>
    <row r="802" spans="2:15" s="12" customFormat="1" ht="18">
      <c r="B802" s="372" t="s">
        <v>80</v>
      </c>
      <c r="C802" s="367" t="s">
        <v>2322</v>
      </c>
      <c r="D802" s="177"/>
      <c r="E802" s="369">
        <v>5</v>
      </c>
      <c r="F802" s="369">
        <v>5</v>
      </c>
      <c r="G802" s="369">
        <v>5</v>
      </c>
      <c r="H802" s="369">
        <v>5</v>
      </c>
      <c r="I802" s="363">
        <f>SUM(Tabla132112412[[#This Row],[PRIMER TRIMESTRE]:[CUARTO TRIMESTRE]])</f>
        <v>20</v>
      </c>
      <c r="J802" s="175"/>
      <c r="K802" s="175"/>
      <c r="L802" s="175"/>
      <c r="M802" s="77"/>
      <c r="N802" s="77"/>
      <c r="O802" s="177"/>
    </row>
    <row r="803" spans="2:15" s="12" customFormat="1" ht="25.5">
      <c r="B803" s="372" t="s">
        <v>80</v>
      </c>
      <c r="C803" s="367" t="s">
        <v>2323</v>
      </c>
      <c r="D803" s="177"/>
      <c r="E803" s="368">
        <v>6</v>
      </c>
      <c r="F803" s="369">
        <v>3</v>
      </c>
      <c r="G803" s="369">
        <v>3</v>
      </c>
      <c r="H803" s="369">
        <v>3</v>
      </c>
      <c r="I803" s="363">
        <f>SUM(Tabla132112412[[#This Row],[PRIMER TRIMESTRE]:[CUARTO TRIMESTRE]])</f>
        <v>15</v>
      </c>
      <c r="J803" s="175"/>
      <c r="K803" s="175"/>
      <c r="L803" s="175"/>
      <c r="M803" s="77"/>
      <c r="N803" s="77"/>
      <c r="O803" s="177"/>
    </row>
    <row r="804" spans="2:15" s="12" customFormat="1" ht="18">
      <c r="B804" s="372" t="s">
        <v>80</v>
      </c>
      <c r="C804" s="367" t="s">
        <v>2324</v>
      </c>
      <c r="D804" s="177" t="s">
        <v>17</v>
      </c>
      <c r="E804" s="368">
        <v>6</v>
      </c>
      <c r="F804" s="369">
        <v>3</v>
      </c>
      <c r="G804" s="369">
        <v>3</v>
      </c>
      <c r="H804" s="369">
        <v>3</v>
      </c>
      <c r="I804" s="363">
        <f>SUM(Tabla132112412[[#This Row],[PRIMER TRIMESTRE]:[CUARTO TRIMESTRE]])</f>
        <v>15</v>
      </c>
      <c r="J804" s="175"/>
      <c r="K804" s="175"/>
      <c r="L804" s="175"/>
      <c r="M804" s="77"/>
      <c r="N804" s="77"/>
      <c r="O804" s="177"/>
    </row>
    <row r="805" spans="2:15" s="12" customFormat="1" ht="25.5">
      <c r="B805" s="372" t="s">
        <v>80</v>
      </c>
      <c r="C805" s="367" t="s">
        <v>2325</v>
      </c>
      <c r="D805" s="177" t="s">
        <v>17</v>
      </c>
      <c r="E805" s="368">
        <v>6</v>
      </c>
      <c r="F805" s="369">
        <v>3</v>
      </c>
      <c r="G805" s="369">
        <v>3</v>
      </c>
      <c r="H805" s="369">
        <v>3</v>
      </c>
      <c r="I805" s="363">
        <f>SUM(Tabla132112412[[#This Row],[PRIMER TRIMESTRE]:[CUARTO TRIMESTRE]])</f>
        <v>15</v>
      </c>
      <c r="J805" s="175"/>
      <c r="K805" s="175"/>
      <c r="L805" s="175"/>
      <c r="M805" s="77"/>
      <c r="N805" s="77"/>
      <c r="O805" s="177"/>
    </row>
    <row r="806" spans="2:15" s="12" customFormat="1" ht="18">
      <c r="B806" s="372" t="s">
        <v>80</v>
      </c>
      <c r="C806" s="367" t="s">
        <v>2326</v>
      </c>
      <c r="D806" s="177" t="s">
        <v>17</v>
      </c>
      <c r="E806" s="368">
        <v>6</v>
      </c>
      <c r="F806" s="369">
        <v>3</v>
      </c>
      <c r="G806" s="369">
        <v>3</v>
      </c>
      <c r="H806" s="369">
        <v>3</v>
      </c>
      <c r="I806" s="363">
        <f>SUM(Tabla132112412[[#This Row],[PRIMER TRIMESTRE]:[CUARTO TRIMESTRE]])</f>
        <v>15</v>
      </c>
      <c r="J806" s="175"/>
      <c r="K806" s="175"/>
      <c r="L806" s="175"/>
      <c r="M806" s="77"/>
      <c r="N806" s="77"/>
      <c r="O806" s="177"/>
    </row>
    <row r="807" spans="2:15" s="12" customFormat="1" ht="18">
      <c r="B807" s="372" t="s">
        <v>80</v>
      </c>
      <c r="C807" s="367" t="s">
        <v>2327</v>
      </c>
      <c r="D807" s="177" t="s">
        <v>17</v>
      </c>
      <c r="E807" s="368">
        <v>2</v>
      </c>
      <c r="F807" s="369">
        <v>2</v>
      </c>
      <c r="G807" s="369">
        <v>1</v>
      </c>
      <c r="H807" s="369">
        <v>1</v>
      </c>
      <c r="I807" s="363">
        <f>SUM(Tabla132112412[[#This Row],[PRIMER TRIMESTRE]:[CUARTO TRIMESTRE]])</f>
        <v>6</v>
      </c>
      <c r="J807" s="175"/>
      <c r="K807" s="175"/>
      <c r="L807" s="175"/>
      <c r="M807" s="77"/>
      <c r="N807" s="77"/>
      <c r="O807" s="177"/>
    </row>
    <row r="808" spans="2:15" s="12" customFormat="1" ht="18">
      <c r="B808" s="372" t="s">
        <v>80</v>
      </c>
      <c r="C808" s="364" t="s">
        <v>420</v>
      </c>
      <c r="D808" s="455" t="s">
        <v>17</v>
      </c>
      <c r="E808" s="362">
        <v>10</v>
      </c>
      <c r="F808" s="362"/>
      <c r="G808" s="362">
        <v>10</v>
      </c>
      <c r="H808" s="362"/>
      <c r="I808" s="363">
        <f>SUM(Tabla132112412[[#This Row],[PRIMER TRIMESTRE]:[CUARTO TRIMESTRE]])</f>
        <v>20</v>
      </c>
      <c r="J808" s="175"/>
      <c r="K808" s="175"/>
      <c r="L808" s="175"/>
      <c r="M808" s="77"/>
      <c r="N808" s="77"/>
      <c r="O808" s="177"/>
    </row>
    <row r="809" spans="2:15" s="12" customFormat="1" ht="18">
      <c r="B809" s="372" t="s">
        <v>80</v>
      </c>
      <c r="C809" s="364" t="s">
        <v>421</v>
      </c>
      <c r="D809" s="455" t="s">
        <v>17</v>
      </c>
      <c r="E809" s="362">
        <v>10</v>
      </c>
      <c r="F809" s="362"/>
      <c r="G809" s="362">
        <v>10</v>
      </c>
      <c r="H809" s="362"/>
      <c r="I809" s="363">
        <f>SUM(Tabla132112412[[#This Row],[PRIMER TRIMESTRE]:[CUARTO TRIMESTRE]])</f>
        <v>20</v>
      </c>
      <c r="J809" s="175"/>
      <c r="K809" s="175"/>
      <c r="L809" s="175"/>
      <c r="M809" s="77"/>
      <c r="N809" s="77"/>
      <c r="O809" s="177"/>
    </row>
    <row r="810" spans="2:15" s="12" customFormat="1" ht="18">
      <c r="B810" s="372" t="s">
        <v>80</v>
      </c>
      <c r="C810" s="364" t="s">
        <v>422</v>
      </c>
      <c r="D810" s="455" t="s">
        <v>17</v>
      </c>
      <c r="E810" s="362">
        <v>10</v>
      </c>
      <c r="F810" s="362"/>
      <c r="G810" s="362">
        <v>10</v>
      </c>
      <c r="H810" s="362"/>
      <c r="I810" s="363">
        <f>SUM(Tabla132112412[[#This Row],[PRIMER TRIMESTRE]:[CUARTO TRIMESTRE]])</f>
        <v>20</v>
      </c>
      <c r="J810" s="175"/>
      <c r="K810" s="175"/>
      <c r="L810" s="175"/>
      <c r="M810" s="77"/>
      <c r="N810" s="77"/>
      <c r="O810" s="177"/>
    </row>
    <row r="811" spans="2:15" s="12" customFormat="1" ht="18">
      <c r="B811" s="372" t="s">
        <v>80</v>
      </c>
      <c r="C811" s="364" t="s">
        <v>423</v>
      </c>
      <c r="D811" s="455" t="s">
        <v>17</v>
      </c>
      <c r="E811" s="362">
        <v>10</v>
      </c>
      <c r="F811" s="362"/>
      <c r="G811" s="362">
        <v>10</v>
      </c>
      <c r="H811" s="362"/>
      <c r="I811" s="363">
        <f>SUM(Tabla132112412[[#This Row],[PRIMER TRIMESTRE]:[CUARTO TRIMESTRE]])</f>
        <v>20</v>
      </c>
      <c r="J811" s="175"/>
      <c r="K811" s="175"/>
      <c r="L811" s="175"/>
      <c r="M811" s="77"/>
      <c r="N811" s="77"/>
      <c r="O811" s="177"/>
    </row>
    <row r="812" spans="2:15" s="12" customFormat="1" ht="18">
      <c r="B812" s="372" t="s">
        <v>80</v>
      </c>
      <c r="C812" s="364" t="s">
        <v>424</v>
      </c>
      <c r="D812" s="455" t="s">
        <v>17</v>
      </c>
      <c r="E812" s="362">
        <v>10</v>
      </c>
      <c r="F812" s="362"/>
      <c r="G812" s="362">
        <v>10</v>
      </c>
      <c r="H812" s="362"/>
      <c r="I812" s="363">
        <f>SUM(Tabla132112412[[#This Row],[PRIMER TRIMESTRE]:[CUARTO TRIMESTRE]])</f>
        <v>20</v>
      </c>
      <c r="J812" s="175"/>
      <c r="K812" s="175"/>
      <c r="L812" s="175"/>
      <c r="M812" s="77"/>
      <c r="N812" s="77"/>
      <c r="O812" s="177"/>
    </row>
    <row r="813" spans="2:15" s="12" customFormat="1" ht="25.5">
      <c r="B813" s="372" t="s">
        <v>80</v>
      </c>
      <c r="C813" s="77" t="s">
        <v>2328</v>
      </c>
      <c r="D813" s="177" t="s">
        <v>17</v>
      </c>
      <c r="E813" s="370">
        <v>10</v>
      </c>
      <c r="F813" s="370">
        <v>5</v>
      </c>
      <c r="G813" s="370">
        <v>5</v>
      </c>
      <c r="H813" s="370">
        <v>5</v>
      </c>
      <c r="I813" s="363">
        <f>SUM(Tabla132112412[[#This Row],[PRIMER TRIMESTRE]:[CUARTO TRIMESTRE]])</f>
        <v>25</v>
      </c>
      <c r="J813" s="175">
        <v>22260</v>
      </c>
      <c r="K813" s="175">
        <f t="shared" si="16"/>
        <v>556500</v>
      </c>
      <c r="L813" s="175"/>
      <c r="M813" s="77" t="s">
        <v>18</v>
      </c>
      <c r="N813" s="77" t="s">
        <v>22</v>
      </c>
      <c r="O813" s="177"/>
    </row>
    <row r="814" spans="2:15" s="12" customFormat="1" ht="25.5">
      <c r="B814" s="372" t="s">
        <v>80</v>
      </c>
      <c r="C814" s="77" t="s">
        <v>1490</v>
      </c>
      <c r="D814" s="177" t="s">
        <v>17</v>
      </c>
      <c r="E814" s="365">
        <v>8</v>
      </c>
      <c r="F814" s="365">
        <v>8</v>
      </c>
      <c r="G814" s="365">
        <v>8</v>
      </c>
      <c r="H814" s="365">
        <v>8</v>
      </c>
      <c r="I814" s="363">
        <f>SUM(Tabla132112412[[#This Row],[PRIMER TRIMESTRE]:[CUARTO TRIMESTRE]])</f>
        <v>32</v>
      </c>
      <c r="J814" s="175"/>
      <c r="K814" s="175"/>
      <c r="L814" s="175"/>
      <c r="M814" s="77"/>
      <c r="N814" s="77"/>
      <c r="O814" s="177"/>
    </row>
    <row r="815" spans="2:15" s="12" customFormat="1" ht="38.25">
      <c r="B815" s="372" t="s">
        <v>80</v>
      </c>
      <c r="C815" s="77" t="s">
        <v>1491</v>
      </c>
      <c r="D815" s="177" t="s">
        <v>17</v>
      </c>
      <c r="E815" s="370">
        <v>13</v>
      </c>
      <c r="F815" s="370">
        <v>13</v>
      </c>
      <c r="G815" s="370">
        <v>13</v>
      </c>
      <c r="H815" s="370">
        <v>13</v>
      </c>
      <c r="I815" s="363">
        <f>SUM(Tabla132112412[[#This Row],[PRIMER TRIMESTRE]:[CUARTO TRIMESTRE]])</f>
        <v>52</v>
      </c>
      <c r="J815" s="175">
        <v>25500</v>
      </c>
      <c r="K815" s="175">
        <f t="shared" si="16"/>
        <v>1326000</v>
      </c>
      <c r="L815" s="175"/>
      <c r="M815" s="77" t="s">
        <v>18</v>
      </c>
      <c r="N815" s="77" t="s">
        <v>22</v>
      </c>
      <c r="O815" s="177"/>
    </row>
    <row r="816" spans="2:15" s="12" customFormat="1" ht="25.5">
      <c r="B816" s="372" t="s">
        <v>80</v>
      </c>
      <c r="C816" s="77" t="s">
        <v>1492</v>
      </c>
      <c r="D816" s="177" t="s">
        <v>17</v>
      </c>
      <c r="E816" s="370">
        <v>7</v>
      </c>
      <c r="F816" s="370">
        <v>0</v>
      </c>
      <c r="G816" s="370">
        <v>2</v>
      </c>
      <c r="H816" s="370">
        <v>0</v>
      </c>
      <c r="I816" s="363">
        <f>SUM(Tabla132112412[[#This Row],[PRIMER TRIMESTRE]:[CUARTO TRIMESTRE]])</f>
        <v>9</v>
      </c>
      <c r="J816" s="175">
        <v>22600</v>
      </c>
      <c r="K816" s="175">
        <f t="shared" si="16"/>
        <v>203400</v>
      </c>
      <c r="L816" s="175"/>
      <c r="M816" s="77" t="s">
        <v>18</v>
      </c>
      <c r="N816" s="77" t="s">
        <v>22</v>
      </c>
      <c r="O816" s="177"/>
    </row>
    <row r="817" spans="2:15" s="12" customFormat="1" ht="25.5">
      <c r="B817" s="372" t="s">
        <v>80</v>
      </c>
      <c r="C817" s="77" t="s">
        <v>1493</v>
      </c>
      <c r="D817" s="177" t="s">
        <v>17</v>
      </c>
      <c r="E817" s="370">
        <v>0</v>
      </c>
      <c r="F817" s="370">
        <v>0</v>
      </c>
      <c r="G817" s="370">
        <v>0</v>
      </c>
      <c r="H817" s="370">
        <v>0</v>
      </c>
      <c r="I817" s="363">
        <f>SUM(Tabla132112412[[#This Row],[PRIMER TRIMESTRE]:[CUARTO TRIMESTRE]])</f>
        <v>0</v>
      </c>
      <c r="J817" s="175">
        <v>22350</v>
      </c>
      <c r="K817" s="175">
        <f t="shared" si="16"/>
        <v>0</v>
      </c>
      <c r="L817" s="175"/>
      <c r="M817" s="77" t="s">
        <v>18</v>
      </c>
      <c r="N817" s="77" t="s">
        <v>22</v>
      </c>
      <c r="O817" s="177"/>
    </row>
    <row r="818" spans="2:15" s="12" customFormat="1" ht="38.25">
      <c r="B818" s="372" t="s">
        <v>80</v>
      </c>
      <c r="C818" s="77" t="s">
        <v>1494</v>
      </c>
      <c r="D818" s="177" t="s">
        <v>17</v>
      </c>
      <c r="E818" s="370">
        <v>9</v>
      </c>
      <c r="F818" s="370">
        <v>0</v>
      </c>
      <c r="G818" s="370">
        <v>4</v>
      </c>
      <c r="H818" s="370">
        <v>0</v>
      </c>
      <c r="I818" s="363">
        <f>SUM(Tabla132112412[[#This Row],[PRIMER TRIMESTRE]:[CUARTO TRIMESTRE]])</f>
        <v>13</v>
      </c>
      <c r="J818" s="175">
        <v>49500</v>
      </c>
      <c r="K818" s="175">
        <f t="shared" si="16"/>
        <v>643500</v>
      </c>
      <c r="L818" s="175"/>
      <c r="M818" s="77" t="s">
        <v>18</v>
      </c>
      <c r="N818" s="77" t="s">
        <v>22</v>
      </c>
      <c r="O818" s="177"/>
    </row>
    <row r="819" spans="2:15" s="12" customFormat="1" ht="38.25">
      <c r="B819" s="372" t="s">
        <v>80</v>
      </c>
      <c r="C819" s="77" t="s">
        <v>1495</v>
      </c>
      <c r="D819" s="177" t="s">
        <v>17</v>
      </c>
      <c r="E819" s="370">
        <v>8</v>
      </c>
      <c r="F819" s="370">
        <v>0</v>
      </c>
      <c r="G819" s="370">
        <v>3</v>
      </c>
      <c r="H819" s="370">
        <v>0</v>
      </c>
      <c r="I819" s="363">
        <f>SUM(Tabla132112412[[#This Row],[PRIMER TRIMESTRE]:[CUARTO TRIMESTRE]])</f>
        <v>11</v>
      </c>
      <c r="J819" s="175">
        <v>11200</v>
      </c>
      <c r="K819" s="175">
        <f t="shared" si="16"/>
        <v>123200</v>
      </c>
      <c r="L819" s="175"/>
      <c r="M819" s="77" t="s">
        <v>18</v>
      </c>
      <c r="N819" s="77" t="s">
        <v>22</v>
      </c>
      <c r="O819" s="177"/>
    </row>
    <row r="820" spans="2:15" s="12" customFormat="1" ht="38.25">
      <c r="B820" s="372" t="s">
        <v>80</v>
      </c>
      <c r="C820" s="77" t="s">
        <v>1496</v>
      </c>
      <c r="D820" s="177" t="s">
        <v>17</v>
      </c>
      <c r="E820" s="370">
        <v>6</v>
      </c>
      <c r="F820" s="370">
        <v>0</v>
      </c>
      <c r="G820" s="370">
        <v>1</v>
      </c>
      <c r="H820" s="370">
        <v>0</v>
      </c>
      <c r="I820" s="363">
        <f>SUM(Tabla132112412[[#This Row],[PRIMER TRIMESTRE]:[CUARTO TRIMESTRE]])</f>
        <v>7</v>
      </c>
      <c r="J820" s="175">
        <v>88000</v>
      </c>
      <c r="K820" s="175">
        <f t="shared" si="16"/>
        <v>616000</v>
      </c>
      <c r="L820" s="175"/>
      <c r="M820" s="77" t="s">
        <v>18</v>
      </c>
      <c r="N820" s="77" t="s">
        <v>22</v>
      </c>
      <c r="O820" s="177"/>
    </row>
    <row r="821" spans="2:15" s="12" customFormat="1" ht="25.5">
      <c r="B821" s="372" t="s">
        <v>80</v>
      </c>
      <c r="C821" s="77" t="s">
        <v>1497</v>
      </c>
      <c r="D821" s="177" t="s">
        <v>17</v>
      </c>
      <c r="E821" s="370">
        <v>10</v>
      </c>
      <c r="F821" s="370">
        <v>10</v>
      </c>
      <c r="G821" s="370">
        <v>10</v>
      </c>
      <c r="H821" s="370">
        <v>10</v>
      </c>
      <c r="I821" s="363">
        <f>SUM(Tabla132112412[[#This Row],[PRIMER TRIMESTRE]:[CUARTO TRIMESTRE]])</f>
        <v>40</v>
      </c>
      <c r="J821" s="175">
        <v>26500</v>
      </c>
      <c r="K821" s="175">
        <f t="shared" si="16"/>
        <v>1060000</v>
      </c>
      <c r="L821" s="175"/>
      <c r="M821" s="77" t="s">
        <v>18</v>
      </c>
      <c r="N821" s="77" t="s">
        <v>22</v>
      </c>
      <c r="O821" s="177"/>
    </row>
    <row r="822" spans="2:15" s="12" customFormat="1" ht="38.25">
      <c r="B822" s="372" t="s">
        <v>80</v>
      </c>
      <c r="C822" s="77" t="s">
        <v>1498</v>
      </c>
      <c r="D822" s="177" t="s">
        <v>17</v>
      </c>
      <c r="E822" s="370">
        <v>14</v>
      </c>
      <c r="F822" s="370">
        <v>9</v>
      </c>
      <c r="G822" s="370">
        <v>9</v>
      </c>
      <c r="H822" s="370">
        <v>0</v>
      </c>
      <c r="I822" s="363">
        <f>SUM(Tabla132112412[[#This Row],[PRIMER TRIMESTRE]:[CUARTO TRIMESTRE]])</f>
        <v>32</v>
      </c>
      <c r="J822" s="175">
        <v>48500</v>
      </c>
      <c r="K822" s="175">
        <f t="shared" si="16"/>
        <v>1552000</v>
      </c>
      <c r="L822" s="175"/>
      <c r="M822" s="77" t="s">
        <v>18</v>
      </c>
      <c r="N822" s="77" t="s">
        <v>22</v>
      </c>
      <c r="O822" s="177"/>
    </row>
    <row r="823" spans="2:15" s="12" customFormat="1" ht="18">
      <c r="B823" s="372" t="s">
        <v>80</v>
      </c>
      <c r="C823" s="77" t="s">
        <v>1499</v>
      </c>
      <c r="D823" s="177" t="s">
        <v>17</v>
      </c>
      <c r="E823" s="370">
        <v>5</v>
      </c>
      <c r="F823" s="370">
        <v>0</v>
      </c>
      <c r="G823" s="370">
        <v>0</v>
      </c>
      <c r="H823" s="370">
        <v>0</v>
      </c>
      <c r="I823" s="363">
        <f>SUM(Tabla132112412[[#This Row],[PRIMER TRIMESTRE]:[CUARTO TRIMESTRE]])</f>
        <v>5</v>
      </c>
      <c r="J823" s="175">
        <v>26500</v>
      </c>
      <c r="K823" s="175">
        <f t="shared" si="16"/>
        <v>132500</v>
      </c>
      <c r="L823" s="175"/>
      <c r="M823" s="77" t="s">
        <v>18</v>
      </c>
      <c r="N823" s="77" t="s">
        <v>22</v>
      </c>
      <c r="O823" s="177"/>
    </row>
    <row r="824" spans="2:15" s="12" customFormat="1" ht="25.5">
      <c r="B824" s="372" t="s">
        <v>80</v>
      </c>
      <c r="C824" s="77" t="s">
        <v>1500</v>
      </c>
      <c r="D824" s="177" t="s">
        <v>17</v>
      </c>
      <c r="E824" s="370">
        <v>8</v>
      </c>
      <c r="F824" s="370">
        <v>3</v>
      </c>
      <c r="G824" s="370">
        <v>3</v>
      </c>
      <c r="H824" s="370">
        <v>3</v>
      </c>
      <c r="I824" s="363">
        <f>SUM(Tabla132112412[[#This Row],[PRIMER TRIMESTRE]:[CUARTO TRIMESTRE]])</f>
        <v>17</v>
      </c>
      <c r="J824" s="175">
        <v>22700</v>
      </c>
      <c r="K824" s="175">
        <f t="shared" si="16"/>
        <v>385900</v>
      </c>
      <c r="L824" s="175"/>
      <c r="M824" s="77" t="s">
        <v>18</v>
      </c>
      <c r="N824" s="77" t="s">
        <v>22</v>
      </c>
      <c r="O824" s="177"/>
    </row>
    <row r="825" spans="2:15" s="12" customFormat="1" ht="25.5">
      <c r="B825" s="372" t="s">
        <v>80</v>
      </c>
      <c r="C825" s="77" t="s">
        <v>1501</v>
      </c>
      <c r="D825" s="177" t="s">
        <v>17</v>
      </c>
      <c r="E825" s="370">
        <v>20</v>
      </c>
      <c r="F825" s="370">
        <v>0</v>
      </c>
      <c r="G825" s="370">
        <v>0</v>
      </c>
      <c r="H825" s="370">
        <v>0</v>
      </c>
      <c r="I825" s="363">
        <f>SUM(Tabla132112412[[#This Row],[PRIMER TRIMESTRE]:[CUARTO TRIMESTRE]])</f>
        <v>20</v>
      </c>
      <c r="J825" s="175">
        <v>3220</v>
      </c>
      <c r="K825" s="175">
        <f t="shared" si="16"/>
        <v>64400</v>
      </c>
      <c r="L825" s="175"/>
      <c r="M825" s="77" t="s">
        <v>18</v>
      </c>
      <c r="N825" s="77" t="s">
        <v>22</v>
      </c>
      <c r="O825" s="177"/>
    </row>
    <row r="826" spans="2:15" s="12" customFormat="1" ht="18">
      <c r="B826" s="372" t="s">
        <v>80</v>
      </c>
      <c r="C826" s="77" t="s">
        <v>1534</v>
      </c>
      <c r="D826" s="177" t="s">
        <v>17</v>
      </c>
      <c r="E826" s="370">
        <v>26</v>
      </c>
      <c r="F826" s="370">
        <v>6</v>
      </c>
      <c r="G826" s="370">
        <v>6</v>
      </c>
      <c r="H826" s="370">
        <v>6</v>
      </c>
      <c r="I826" s="363">
        <f>SUM(Tabla132112412[[#This Row],[PRIMER TRIMESTRE]:[CUARTO TRIMESTRE]])</f>
        <v>44</v>
      </c>
      <c r="J826" s="175">
        <v>2380</v>
      </c>
      <c r="K826" s="175">
        <f t="shared" si="16"/>
        <v>104720</v>
      </c>
      <c r="L826" s="175"/>
      <c r="M826" s="77" t="s">
        <v>18</v>
      </c>
      <c r="N826" s="77" t="s">
        <v>22</v>
      </c>
      <c r="O826" s="177"/>
    </row>
    <row r="827" spans="2:15" s="12" customFormat="1" ht="25.5">
      <c r="B827" s="372" t="s">
        <v>80</v>
      </c>
      <c r="C827" s="77" t="s">
        <v>1682</v>
      </c>
      <c r="D827" s="177" t="s">
        <v>17</v>
      </c>
      <c r="E827" s="370">
        <v>8</v>
      </c>
      <c r="F827" s="370">
        <v>3</v>
      </c>
      <c r="G827" s="370">
        <v>3</v>
      </c>
      <c r="H827" s="370">
        <v>3</v>
      </c>
      <c r="I827" s="363">
        <f>SUM(Tabla132112412[[#This Row],[PRIMER TRIMESTRE]:[CUARTO TRIMESTRE]])</f>
        <v>17</v>
      </c>
      <c r="J827" s="175">
        <v>0</v>
      </c>
      <c r="K827" s="175">
        <v>0</v>
      </c>
      <c r="L827" s="175"/>
      <c r="M827" s="77" t="s">
        <v>18</v>
      </c>
      <c r="N827" s="77" t="s">
        <v>22</v>
      </c>
      <c r="O827" s="177"/>
    </row>
    <row r="828" spans="2:15" s="12" customFormat="1" ht="38.25">
      <c r="B828" s="372" t="s">
        <v>80</v>
      </c>
      <c r="C828" s="77" t="s">
        <v>1502</v>
      </c>
      <c r="D828" s="177" t="s">
        <v>17</v>
      </c>
      <c r="E828" s="370">
        <v>13</v>
      </c>
      <c r="F828" s="370">
        <v>3</v>
      </c>
      <c r="G828" s="370">
        <v>3</v>
      </c>
      <c r="H828" s="370">
        <v>3</v>
      </c>
      <c r="I828" s="363">
        <f>SUM(Tabla132112412[[#This Row],[PRIMER TRIMESTRE]:[CUARTO TRIMESTRE]])</f>
        <v>22</v>
      </c>
      <c r="J828" s="175">
        <v>34440</v>
      </c>
      <c r="K828" s="175">
        <f t="shared" si="16"/>
        <v>757680</v>
      </c>
      <c r="L828" s="175"/>
      <c r="M828" s="77" t="s">
        <v>18</v>
      </c>
      <c r="N828" s="77" t="s">
        <v>22</v>
      </c>
      <c r="O828" s="177"/>
    </row>
    <row r="829" spans="2:15" s="12" customFormat="1" ht="25.5">
      <c r="B829" s="372" t="s">
        <v>80</v>
      </c>
      <c r="C829" s="77" t="s">
        <v>1503</v>
      </c>
      <c r="D829" s="177" t="s">
        <v>17</v>
      </c>
      <c r="E829" s="370">
        <v>12</v>
      </c>
      <c r="F829" s="370">
        <v>0</v>
      </c>
      <c r="G829" s="370">
        <v>2</v>
      </c>
      <c r="H829" s="370">
        <v>0</v>
      </c>
      <c r="I829" s="363">
        <f>SUM(Tabla132112412[[#This Row],[PRIMER TRIMESTRE]:[CUARTO TRIMESTRE]])</f>
        <v>14</v>
      </c>
      <c r="J829" s="175">
        <v>2600</v>
      </c>
      <c r="K829" s="175">
        <f t="shared" si="16"/>
        <v>36400</v>
      </c>
      <c r="L829" s="175"/>
      <c r="M829" s="77" t="s">
        <v>18</v>
      </c>
      <c r="N829" s="77" t="s">
        <v>22</v>
      </c>
      <c r="O829" s="177"/>
    </row>
    <row r="830" spans="2:15" s="12" customFormat="1" ht="25.5">
      <c r="B830" s="372" t="s">
        <v>80</v>
      </c>
      <c r="C830" s="77" t="s">
        <v>1504</v>
      </c>
      <c r="D830" s="177" t="s">
        <v>17</v>
      </c>
      <c r="E830" s="370">
        <v>5</v>
      </c>
      <c r="F830" s="370">
        <v>0</v>
      </c>
      <c r="G830" s="370">
        <v>0</v>
      </c>
      <c r="H830" s="370">
        <v>0</v>
      </c>
      <c r="I830" s="363">
        <f>SUM(Tabla132112412[[#This Row],[PRIMER TRIMESTRE]:[CUARTO TRIMESTRE]])</f>
        <v>5</v>
      </c>
      <c r="J830" s="175">
        <v>14280</v>
      </c>
      <c r="K830" s="175">
        <f t="shared" si="16"/>
        <v>71400</v>
      </c>
      <c r="L830" s="175"/>
      <c r="M830" s="77" t="s">
        <v>18</v>
      </c>
      <c r="N830" s="77" t="s">
        <v>22</v>
      </c>
      <c r="O830" s="177"/>
    </row>
    <row r="831" spans="2:15" s="12" customFormat="1" ht="25.5">
      <c r="B831" s="372" t="s">
        <v>80</v>
      </c>
      <c r="C831" s="77" t="s">
        <v>1505</v>
      </c>
      <c r="D831" s="177" t="s">
        <v>17</v>
      </c>
      <c r="E831" s="370">
        <v>10</v>
      </c>
      <c r="F831" s="370">
        <v>0</v>
      </c>
      <c r="G831" s="370">
        <v>0</v>
      </c>
      <c r="H831" s="370">
        <v>0</v>
      </c>
      <c r="I831" s="363">
        <f>SUM(Tabla132112412[[#This Row],[PRIMER TRIMESTRE]:[CUARTO TRIMESTRE]])</f>
        <v>10</v>
      </c>
      <c r="J831" s="175">
        <v>15708</v>
      </c>
      <c r="K831" s="175">
        <f t="shared" si="16"/>
        <v>157080</v>
      </c>
      <c r="L831" s="175"/>
      <c r="M831" s="77" t="s">
        <v>18</v>
      </c>
      <c r="N831" s="77" t="s">
        <v>22</v>
      </c>
      <c r="O831" s="177"/>
    </row>
    <row r="832" spans="2:15" s="12" customFormat="1" ht="38.25">
      <c r="B832" s="372" t="s">
        <v>80</v>
      </c>
      <c r="C832" s="77" t="s">
        <v>1506</v>
      </c>
      <c r="D832" s="177" t="s">
        <v>17</v>
      </c>
      <c r="E832" s="370">
        <v>5</v>
      </c>
      <c r="F832" s="370">
        <v>0</v>
      </c>
      <c r="G832" s="370">
        <v>0</v>
      </c>
      <c r="H832" s="370">
        <v>0</v>
      </c>
      <c r="I832" s="363">
        <f>SUM(Tabla132112412[[#This Row],[PRIMER TRIMESTRE]:[CUARTO TRIMESTRE]])</f>
        <v>5</v>
      </c>
      <c r="J832" s="175">
        <v>29481</v>
      </c>
      <c r="K832" s="175">
        <f t="shared" si="16"/>
        <v>147405</v>
      </c>
      <c r="L832" s="175"/>
      <c r="M832" s="77" t="s">
        <v>18</v>
      </c>
      <c r="N832" s="77" t="s">
        <v>22</v>
      </c>
      <c r="O832" s="177"/>
    </row>
    <row r="833" spans="2:15" s="12" customFormat="1" ht="38.25">
      <c r="B833" s="372" t="s">
        <v>80</v>
      </c>
      <c r="C833" s="77" t="s">
        <v>2329</v>
      </c>
      <c r="D833" s="177" t="s">
        <v>17</v>
      </c>
      <c r="E833" s="365">
        <v>2</v>
      </c>
      <c r="F833" s="365"/>
      <c r="G833" s="365">
        <v>2</v>
      </c>
      <c r="H833" s="365"/>
      <c r="I833" s="363">
        <f>SUM(Tabla132112412[[#This Row],[PRIMER TRIMESTRE]:[CUARTO TRIMESTRE]])</f>
        <v>4</v>
      </c>
      <c r="J833" s="175"/>
      <c r="K833" s="175"/>
      <c r="L833" s="175"/>
      <c r="M833" s="77"/>
      <c r="N833" s="77"/>
      <c r="O833" s="177"/>
    </row>
    <row r="834" spans="2:15" s="12" customFormat="1" ht="38.25">
      <c r="B834" s="372" t="s">
        <v>80</v>
      </c>
      <c r="C834" s="77" t="s">
        <v>2330</v>
      </c>
      <c r="D834" s="177" t="s">
        <v>17</v>
      </c>
      <c r="E834" s="365">
        <v>5</v>
      </c>
      <c r="F834" s="365"/>
      <c r="G834" s="365">
        <v>5</v>
      </c>
      <c r="H834" s="365"/>
      <c r="I834" s="363">
        <f>SUM(Tabla132112412[[#This Row],[PRIMER TRIMESTRE]:[CUARTO TRIMESTRE]])</f>
        <v>10</v>
      </c>
      <c r="J834" s="175"/>
      <c r="K834" s="175"/>
      <c r="L834" s="175"/>
      <c r="M834" s="77"/>
      <c r="N834" s="77"/>
      <c r="O834" s="177"/>
    </row>
    <row r="835" spans="2:15" s="12" customFormat="1" ht="38.25">
      <c r="B835" s="372" t="s">
        <v>80</v>
      </c>
      <c r="C835" s="77" t="s">
        <v>1507</v>
      </c>
      <c r="D835" s="177" t="s">
        <v>17</v>
      </c>
      <c r="E835" s="370">
        <v>5</v>
      </c>
      <c r="F835" s="370">
        <v>0</v>
      </c>
      <c r="G835" s="370">
        <v>0</v>
      </c>
      <c r="H835" s="370">
        <v>0</v>
      </c>
      <c r="I835" s="363">
        <f>SUM(Tabla132112412[[#This Row],[PRIMER TRIMESTRE]:[CUARTO TRIMESTRE]])</f>
        <v>5</v>
      </c>
      <c r="J835" s="175">
        <v>29000</v>
      </c>
      <c r="K835" s="175">
        <f t="shared" si="16"/>
        <v>145000</v>
      </c>
      <c r="L835" s="175"/>
      <c r="M835" s="77" t="s">
        <v>18</v>
      </c>
      <c r="N835" s="77" t="s">
        <v>22</v>
      </c>
      <c r="O835" s="177"/>
    </row>
    <row r="836" spans="2:15" s="12" customFormat="1" ht="38.25">
      <c r="B836" s="372" t="s">
        <v>80</v>
      </c>
      <c r="C836" s="77" t="s">
        <v>1592</v>
      </c>
      <c r="D836" s="177" t="s">
        <v>17</v>
      </c>
      <c r="E836" s="370">
        <v>4</v>
      </c>
      <c r="F836" s="370">
        <v>0</v>
      </c>
      <c r="G836" s="370">
        <v>2</v>
      </c>
      <c r="H836" s="370">
        <v>0</v>
      </c>
      <c r="I836" s="363">
        <f>SUM(Tabla132112412[[#This Row],[PRIMER TRIMESTRE]:[CUARTO TRIMESTRE]])</f>
        <v>6</v>
      </c>
      <c r="J836" s="175">
        <v>52242</v>
      </c>
      <c r="K836" s="175">
        <f t="shared" si="16"/>
        <v>313452</v>
      </c>
      <c r="L836" s="175"/>
      <c r="M836" s="77" t="s">
        <v>18</v>
      </c>
      <c r="N836" s="77" t="s">
        <v>22</v>
      </c>
      <c r="O836" s="177"/>
    </row>
    <row r="837" spans="2:15" s="12" customFormat="1" ht="18">
      <c r="B837" s="372" t="s">
        <v>80</v>
      </c>
      <c r="C837" s="77" t="s">
        <v>1552</v>
      </c>
      <c r="D837" s="177" t="s">
        <v>17</v>
      </c>
      <c r="E837" s="370">
        <v>0</v>
      </c>
      <c r="F837" s="370"/>
      <c r="G837" s="370"/>
      <c r="H837" s="370"/>
      <c r="I837" s="363">
        <f>SUM(Tabla132112412[[#This Row],[PRIMER TRIMESTRE]:[CUARTO TRIMESTRE]])</f>
        <v>0</v>
      </c>
      <c r="J837" s="175">
        <v>28.8</v>
      </c>
      <c r="K837" s="175">
        <f t="shared" si="16"/>
        <v>0</v>
      </c>
      <c r="L837" s="175"/>
      <c r="M837" s="77" t="s">
        <v>18</v>
      </c>
      <c r="N837" s="77" t="s">
        <v>22</v>
      </c>
      <c r="O837" s="177"/>
    </row>
    <row r="838" spans="2:15" s="12" customFormat="1" ht="25.5">
      <c r="B838" s="372" t="s">
        <v>80</v>
      </c>
      <c r="C838" s="77" t="s">
        <v>663</v>
      </c>
      <c r="D838" s="177" t="s">
        <v>17</v>
      </c>
      <c r="E838" s="370">
        <v>15</v>
      </c>
      <c r="F838" s="370">
        <v>10</v>
      </c>
      <c r="G838" s="370">
        <v>15</v>
      </c>
      <c r="H838" s="370">
        <v>10</v>
      </c>
      <c r="I838" s="363">
        <f>SUM(Tabla132112412[[#This Row],[PRIMER TRIMESTRE]:[CUARTO TRIMESTRE]])</f>
        <v>50</v>
      </c>
      <c r="J838" s="175">
        <v>15930</v>
      </c>
      <c r="K838" s="175">
        <f t="shared" si="16"/>
        <v>796500</v>
      </c>
      <c r="L838" s="175"/>
      <c r="M838" s="77" t="s">
        <v>18</v>
      </c>
      <c r="N838" s="77" t="s">
        <v>22</v>
      </c>
      <c r="O838" s="177"/>
    </row>
    <row r="839" spans="2:15" s="12" customFormat="1" ht="25.5">
      <c r="B839" s="372" t="s">
        <v>80</v>
      </c>
      <c r="C839" s="77" t="s">
        <v>662</v>
      </c>
      <c r="D839" s="177" t="s">
        <v>17</v>
      </c>
      <c r="E839" s="370">
        <v>5</v>
      </c>
      <c r="F839" s="370">
        <v>0</v>
      </c>
      <c r="G839" s="370">
        <v>0</v>
      </c>
      <c r="H839" s="370">
        <v>0</v>
      </c>
      <c r="I839" s="363">
        <f>SUM(Tabla132112412[[#This Row],[PRIMER TRIMESTRE]:[CUARTO TRIMESTRE]])</f>
        <v>5</v>
      </c>
      <c r="J839" s="175">
        <f>15500*1.18</f>
        <v>18290</v>
      </c>
      <c r="K839" s="175">
        <f t="shared" si="16"/>
        <v>91450</v>
      </c>
      <c r="L839" s="175"/>
      <c r="M839" s="77" t="s">
        <v>18</v>
      </c>
      <c r="N839" s="77" t="s">
        <v>22</v>
      </c>
      <c r="O839" s="177"/>
    </row>
    <row r="840" spans="2:15" s="12" customFormat="1" ht="25.5">
      <c r="B840" s="372" t="s">
        <v>80</v>
      </c>
      <c r="C840" s="77" t="s">
        <v>664</v>
      </c>
      <c r="D840" s="177" t="s">
        <v>17</v>
      </c>
      <c r="E840" s="370">
        <v>5</v>
      </c>
      <c r="F840" s="370">
        <v>0</v>
      </c>
      <c r="G840" s="370">
        <v>0</v>
      </c>
      <c r="H840" s="370">
        <v>0</v>
      </c>
      <c r="I840" s="363">
        <f>SUM(Tabla132112412[[#This Row],[PRIMER TRIMESTRE]:[CUARTO TRIMESTRE]])</f>
        <v>5</v>
      </c>
      <c r="J840" s="175">
        <f>18500*1.18</f>
        <v>21830</v>
      </c>
      <c r="K840" s="175">
        <f t="shared" si="16"/>
        <v>109150</v>
      </c>
      <c r="L840" s="175"/>
      <c r="M840" s="77" t="s">
        <v>18</v>
      </c>
      <c r="N840" s="77" t="s">
        <v>22</v>
      </c>
      <c r="O840" s="177"/>
    </row>
    <row r="841" spans="2:15" s="12" customFormat="1" ht="38.25">
      <c r="B841" s="372" t="s">
        <v>80</v>
      </c>
      <c r="C841" s="77" t="s">
        <v>672</v>
      </c>
      <c r="D841" s="177" t="s">
        <v>17</v>
      </c>
      <c r="E841" s="370">
        <v>5</v>
      </c>
      <c r="F841" s="370">
        <v>0</v>
      </c>
      <c r="G841" s="370">
        <v>0</v>
      </c>
      <c r="H841" s="370">
        <v>0</v>
      </c>
      <c r="I841" s="363">
        <f>SUM(Tabla132112412[[#This Row],[PRIMER TRIMESTRE]:[CUARTO TRIMESTRE]])</f>
        <v>5</v>
      </c>
      <c r="J841" s="175">
        <f>13800*1.18</f>
        <v>16284</v>
      </c>
      <c r="K841" s="175">
        <f t="shared" si="16"/>
        <v>81420</v>
      </c>
      <c r="L841" s="175"/>
      <c r="M841" s="77" t="s">
        <v>18</v>
      </c>
      <c r="N841" s="77" t="s">
        <v>22</v>
      </c>
      <c r="O841" s="177"/>
    </row>
    <row r="842" spans="2:15" s="12" customFormat="1" ht="38.25">
      <c r="B842" s="372" t="s">
        <v>80</v>
      </c>
      <c r="C842" s="77" t="s">
        <v>665</v>
      </c>
      <c r="D842" s="177" t="s">
        <v>17</v>
      </c>
      <c r="E842" s="370">
        <v>5</v>
      </c>
      <c r="F842" s="370">
        <v>0</v>
      </c>
      <c r="G842" s="370">
        <v>0</v>
      </c>
      <c r="H842" s="370">
        <v>0</v>
      </c>
      <c r="I842" s="363">
        <f>SUM(Tabla132112412[[#This Row],[PRIMER TRIMESTRE]:[CUARTO TRIMESTRE]])</f>
        <v>5</v>
      </c>
      <c r="J842" s="175">
        <f>15950*1.18</f>
        <v>18821</v>
      </c>
      <c r="K842" s="175">
        <f t="shared" si="16"/>
        <v>94105</v>
      </c>
      <c r="L842" s="175"/>
      <c r="M842" s="77" t="s">
        <v>18</v>
      </c>
      <c r="N842" s="77" t="s">
        <v>22</v>
      </c>
      <c r="O842" s="177"/>
    </row>
    <row r="843" spans="2:15" s="12" customFormat="1" ht="38.25">
      <c r="B843" s="372" t="s">
        <v>80</v>
      </c>
      <c r="C843" s="77" t="s">
        <v>666</v>
      </c>
      <c r="D843" s="177" t="s">
        <v>17</v>
      </c>
      <c r="E843" s="370">
        <v>5</v>
      </c>
      <c r="F843" s="370">
        <v>0</v>
      </c>
      <c r="G843" s="370">
        <v>0</v>
      </c>
      <c r="H843" s="370">
        <v>0</v>
      </c>
      <c r="I843" s="363">
        <f>SUM(Tabla132112412[[#This Row],[PRIMER TRIMESTRE]:[CUARTO TRIMESTRE]])</f>
        <v>5</v>
      </c>
      <c r="J843" s="175">
        <f>18950*1.18</f>
        <v>22361</v>
      </c>
      <c r="K843" s="175">
        <f t="shared" si="16"/>
        <v>111805</v>
      </c>
      <c r="L843" s="175"/>
      <c r="M843" s="77" t="s">
        <v>18</v>
      </c>
      <c r="N843" s="77" t="s">
        <v>22</v>
      </c>
      <c r="O843" s="177"/>
    </row>
    <row r="844" spans="2:15" s="12" customFormat="1" ht="38.25">
      <c r="B844" s="372" t="s">
        <v>80</v>
      </c>
      <c r="C844" s="77" t="s">
        <v>667</v>
      </c>
      <c r="D844" s="177" t="s">
        <v>17</v>
      </c>
      <c r="E844" s="370">
        <v>5</v>
      </c>
      <c r="F844" s="370">
        <v>0</v>
      </c>
      <c r="G844" s="370">
        <v>0</v>
      </c>
      <c r="H844" s="370">
        <v>0</v>
      </c>
      <c r="I844" s="363">
        <f>SUM(Tabla132112412[[#This Row],[PRIMER TRIMESTRE]:[CUARTO TRIMESTRE]])</f>
        <v>5</v>
      </c>
      <c r="J844" s="175">
        <f>23500*1.18</f>
        <v>27730</v>
      </c>
      <c r="K844" s="175">
        <f t="shared" si="16"/>
        <v>138650</v>
      </c>
      <c r="L844" s="175"/>
      <c r="M844" s="77" t="s">
        <v>18</v>
      </c>
      <c r="N844" s="77" t="s">
        <v>22</v>
      </c>
      <c r="O844" s="177"/>
    </row>
    <row r="845" spans="2:15" s="12" customFormat="1" ht="38.25">
      <c r="B845" s="372" t="s">
        <v>80</v>
      </c>
      <c r="C845" s="77" t="s">
        <v>668</v>
      </c>
      <c r="D845" s="177" t="s">
        <v>17</v>
      </c>
      <c r="E845" s="370">
        <v>5</v>
      </c>
      <c r="F845" s="370">
        <v>0</v>
      </c>
      <c r="G845" s="370">
        <v>0</v>
      </c>
      <c r="H845" s="370">
        <v>0</v>
      </c>
      <c r="I845" s="363">
        <f>SUM(Tabla132112412[[#This Row],[PRIMER TRIMESTRE]:[CUARTO TRIMESTRE]])</f>
        <v>5</v>
      </c>
      <c r="J845" s="175">
        <f>32800*1.18</f>
        <v>38704</v>
      </c>
      <c r="K845" s="175">
        <f t="shared" si="16"/>
        <v>193520</v>
      </c>
      <c r="L845" s="175"/>
      <c r="M845" s="77" t="s">
        <v>18</v>
      </c>
      <c r="N845" s="77" t="s">
        <v>22</v>
      </c>
      <c r="O845" s="177"/>
    </row>
    <row r="846" spans="2:15" s="12" customFormat="1" ht="38.25">
      <c r="B846" s="372" t="s">
        <v>80</v>
      </c>
      <c r="C846" s="77" t="s">
        <v>669</v>
      </c>
      <c r="D846" s="177" t="s">
        <v>17</v>
      </c>
      <c r="E846" s="370">
        <v>0</v>
      </c>
      <c r="F846" s="370">
        <v>0</v>
      </c>
      <c r="G846" s="370">
        <v>0</v>
      </c>
      <c r="H846" s="370">
        <v>0</v>
      </c>
      <c r="I846" s="363">
        <f>SUM(Tabla132112412[[#This Row],[PRIMER TRIMESTRE]:[CUARTO TRIMESTRE]])</f>
        <v>0</v>
      </c>
      <c r="J846" s="175">
        <f>56500*1.18</f>
        <v>66670</v>
      </c>
      <c r="K846" s="175">
        <f t="shared" si="16"/>
        <v>0</v>
      </c>
      <c r="L846" s="175"/>
      <c r="M846" s="77" t="s">
        <v>18</v>
      </c>
      <c r="N846" s="77" t="s">
        <v>22</v>
      </c>
      <c r="O846" s="177"/>
    </row>
    <row r="847" spans="2:15" s="12" customFormat="1" ht="38.25">
      <c r="B847" s="372" t="s">
        <v>80</v>
      </c>
      <c r="C847" s="77" t="s">
        <v>670</v>
      </c>
      <c r="D847" s="177" t="s">
        <v>17</v>
      </c>
      <c r="E847" s="370">
        <v>2</v>
      </c>
      <c r="F847" s="370">
        <v>0</v>
      </c>
      <c r="G847" s="370">
        <v>0</v>
      </c>
      <c r="H847" s="370">
        <v>0</v>
      </c>
      <c r="I847" s="363">
        <f>SUM(Tabla132112412[[#This Row],[PRIMER TRIMESTRE]:[CUARTO TRIMESTRE]])</f>
        <v>2</v>
      </c>
      <c r="J847" s="175">
        <f>74000*1.18</f>
        <v>87320</v>
      </c>
      <c r="K847" s="175">
        <f t="shared" si="16"/>
        <v>174640</v>
      </c>
      <c r="L847" s="175"/>
      <c r="M847" s="77" t="s">
        <v>18</v>
      </c>
      <c r="N847" s="77" t="s">
        <v>22</v>
      </c>
      <c r="O847" s="177"/>
    </row>
    <row r="848" spans="2:15" s="12" customFormat="1" ht="38.25">
      <c r="B848" s="372" t="s">
        <v>80</v>
      </c>
      <c r="C848" s="77" t="s">
        <v>671</v>
      </c>
      <c r="D848" s="177" t="s">
        <v>17</v>
      </c>
      <c r="E848" s="370">
        <v>2</v>
      </c>
      <c r="F848" s="370">
        <v>0</v>
      </c>
      <c r="G848" s="370">
        <v>0</v>
      </c>
      <c r="H848" s="370">
        <v>0</v>
      </c>
      <c r="I848" s="363">
        <f>SUM(Tabla132112412[[#This Row],[PRIMER TRIMESTRE]:[CUARTO TRIMESTRE]])</f>
        <v>2</v>
      </c>
      <c r="J848" s="175">
        <f>245000*1.18</f>
        <v>289100</v>
      </c>
      <c r="K848" s="175">
        <f t="shared" si="16"/>
        <v>578200</v>
      </c>
      <c r="L848" s="175"/>
      <c r="M848" s="77" t="s">
        <v>18</v>
      </c>
      <c r="N848" s="77" t="s">
        <v>22</v>
      </c>
      <c r="O848" s="177"/>
    </row>
    <row r="849" spans="2:15" s="12" customFormat="1" ht="38.25">
      <c r="B849" s="372" t="s">
        <v>80</v>
      </c>
      <c r="C849" s="77" t="s">
        <v>676</v>
      </c>
      <c r="D849" s="177" t="s">
        <v>17</v>
      </c>
      <c r="E849" s="370">
        <v>2</v>
      </c>
      <c r="F849" s="370">
        <v>0</v>
      </c>
      <c r="G849" s="370">
        <v>0</v>
      </c>
      <c r="H849" s="370">
        <v>0</v>
      </c>
      <c r="I849" s="363">
        <f>SUM(Tabla132112412[[#This Row],[PRIMER TRIMESTRE]:[CUARTO TRIMESTRE]])</f>
        <v>2</v>
      </c>
      <c r="J849" s="175">
        <v>40200</v>
      </c>
      <c r="K849" s="175">
        <f t="shared" si="16"/>
        <v>80400</v>
      </c>
      <c r="L849" s="175"/>
      <c r="M849" s="77" t="s">
        <v>18</v>
      </c>
      <c r="N849" s="77" t="s">
        <v>22</v>
      </c>
      <c r="O849" s="177"/>
    </row>
    <row r="850" spans="2:15" s="12" customFormat="1" ht="38.25">
      <c r="B850" s="372" t="s">
        <v>80</v>
      </c>
      <c r="C850" s="77" t="s">
        <v>677</v>
      </c>
      <c r="D850" s="177" t="s">
        <v>17</v>
      </c>
      <c r="E850" s="370">
        <v>2</v>
      </c>
      <c r="F850" s="370">
        <v>0</v>
      </c>
      <c r="G850" s="370">
        <v>0</v>
      </c>
      <c r="H850" s="370">
        <v>0</v>
      </c>
      <c r="I850" s="363">
        <f>SUM(Tabla132112412[[#This Row],[PRIMER TRIMESTRE]:[CUARTO TRIMESTRE]])</f>
        <v>2</v>
      </c>
      <c r="J850" s="175">
        <v>49500</v>
      </c>
      <c r="K850" s="175">
        <f t="shared" si="16"/>
        <v>99000</v>
      </c>
      <c r="L850" s="175"/>
      <c r="M850" s="77" t="s">
        <v>18</v>
      </c>
      <c r="N850" s="77" t="s">
        <v>22</v>
      </c>
      <c r="O850" s="177"/>
    </row>
    <row r="851" spans="2:15" s="12" customFormat="1" ht="38.25">
      <c r="B851" s="372" t="s">
        <v>80</v>
      </c>
      <c r="C851" s="77" t="s">
        <v>678</v>
      </c>
      <c r="D851" s="177" t="s">
        <v>17</v>
      </c>
      <c r="E851" s="370">
        <v>2</v>
      </c>
      <c r="F851" s="370">
        <v>0</v>
      </c>
      <c r="G851" s="370">
        <v>0</v>
      </c>
      <c r="H851" s="370">
        <v>0</v>
      </c>
      <c r="I851" s="363">
        <f>SUM(Tabla132112412[[#This Row],[PRIMER TRIMESTRE]:[CUARTO TRIMESTRE]])</f>
        <v>2</v>
      </c>
      <c r="J851" s="175">
        <v>73250</v>
      </c>
      <c r="K851" s="175">
        <f t="shared" si="16"/>
        <v>146500</v>
      </c>
      <c r="L851" s="175"/>
      <c r="M851" s="77" t="s">
        <v>18</v>
      </c>
      <c r="N851" s="77" t="s">
        <v>22</v>
      </c>
      <c r="O851" s="177"/>
    </row>
    <row r="852" spans="2:15" s="12" customFormat="1" ht="38.25">
      <c r="B852" s="372" t="s">
        <v>80</v>
      </c>
      <c r="C852" s="77" t="s">
        <v>679</v>
      </c>
      <c r="D852" s="177" t="s">
        <v>17</v>
      </c>
      <c r="E852" s="370">
        <v>2</v>
      </c>
      <c r="F852" s="370">
        <v>0</v>
      </c>
      <c r="G852" s="370">
        <v>0</v>
      </c>
      <c r="H852" s="370">
        <v>0</v>
      </c>
      <c r="I852" s="363">
        <f>SUM(Tabla132112412[[#This Row],[PRIMER TRIMESTRE]:[CUARTO TRIMESTRE]])</f>
        <v>2</v>
      </c>
      <c r="J852" s="175">
        <v>289000</v>
      </c>
      <c r="K852" s="175">
        <f t="shared" ref="K852:K882" si="17">+I852*J852</f>
        <v>578000</v>
      </c>
      <c r="L852" s="175"/>
      <c r="M852" s="77" t="s">
        <v>18</v>
      </c>
      <c r="N852" s="77" t="s">
        <v>22</v>
      </c>
      <c r="O852" s="177"/>
    </row>
    <row r="853" spans="2:15" s="12" customFormat="1" ht="51">
      <c r="B853" s="372" t="s">
        <v>80</v>
      </c>
      <c r="C853" s="77" t="s">
        <v>680</v>
      </c>
      <c r="D853" s="177" t="s">
        <v>17</v>
      </c>
      <c r="E853" s="370">
        <v>2</v>
      </c>
      <c r="F853" s="370">
        <v>0</v>
      </c>
      <c r="G853" s="370">
        <v>0</v>
      </c>
      <c r="H853" s="370">
        <v>0</v>
      </c>
      <c r="I853" s="363">
        <f>SUM(Tabla132112412[[#This Row],[PRIMER TRIMESTRE]:[CUARTO TRIMESTRE]])</f>
        <v>2</v>
      </c>
      <c r="J853" s="175">
        <f>26800*1.18</f>
        <v>31624</v>
      </c>
      <c r="K853" s="175">
        <f t="shared" si="17"/>
        <v>63248</v>
      </c>
      <c r="L853" s="175"/>
      <c r="M853" s="77" t="s">
        <v>18</v>
      </c>
      <c r="N853" s="77" t="s">
        <v>22</v>
      </c>
      <c r="O853" s="177"/>
    </row>
    <row r="854" spans="2:15" s="12" customFormat="1" ht="51">
      <c r="B854" s="372" t="s">
        <v>80</v>
      </c>
      <c r="C854" s="77" t="s">
        <v>681</v>
      </c>
      <c r="D854" s="177" t="s">
        <v>17</v>
      </c>
      <c r="E854" s="370">
        <v>7</v>
      </c>
      <c r="F854" s="370">
        <v>5</v>
      </c>
      <c r="G854" s="370">
        <v>5</v>
      </c>
      <c r="H854" s="370">
        <v>5</v>
      </c>
      <c r="I854" s="363">
        <f>SUM(Tabla132112412[[#This Row],[PRIMER TRIMESTRE]:[CUARTO TRIMESTRE]])</f>
        <v>22</v>
      </c>
      <c r="J854" s="175">
        <f>39500*1.18</f>
        <v>46610</v>
      </c>
      <c r="K854" s="175">
        <f t="shared" si="17"/>
        <v>1025420</v>
      </c>
      <c r="L854" s="175"/>
      <c r="M854" s="77" t="s">
        <v>18</v>
      </c>
      <c r="N854" s="77" t="s">
        <v>22</v>
      </c>
      <c r="O854" s="177"/>
    </row>
    <row r="855" spans="2:15" s="12" customFormat="1" ht="51">
      <c r="B855" s="372" t="s">
        <v>80</v>
      </c>
      <c r="C855" s="77" t="s">
        <v>683</v>
      </c>
      <c r="D855" s="177" t="s">
        <v>17</v>
      </c>
      <c r="E855" s="370">
        <v>2</v>
      </c>
      <c r="F855" s="370">
        <v>0</v>
      </c>
      <c r="G855" s="370">
        <v>0</v>
      </c>
      <c r="H855" s="370">
        <v>5</v>
      </c>
      <c r="I855" s="363">
        <f>SUM(Tabla132112412[[#This Row],[PRIMER TRIMESTRE]:[CUARTO TRIMESTRE]])</f>
        <v>7</v>
      </c>
      <c r="J855" s="175">
        <v>68487.199999999997</v>
      </c>
      <c r="K855" s="175">
        <f t="shared" si="17"/>
        <v>479410.39999999997</v>
      </c>
      <c r="L855" s="175"/>
      <c r="M855" s="77" t="s">
        <v>18</v>
      </c>
      <c r="N855" s="77" t="s">
        <v>22</v>
      </c>
      <c r="O855" s="177"/>
    </row>
    <row r="856" spans="2:15" s="12" customFormat="1" ht="51">
      <c r="B856" s="372" t="s">
        <v>80</v>
      </c>
      <c r="C856" s="77" t="s">
        <v>2331</v>
      </c>
      <c r="D856" s="177" t="s">
        <v>17</v>
      </c>
      <c r="E856" s="365">
        <v>2</v>
      </c>
      <c r="F856" s="365"/>
      <c r="G856" s="365">
        <v>2</v>
      </c>
      <c r="H856" s="370">
        <v>5</v>
      </c>
      <c r="I856" s="363">
        <f>SUM(Tabla132112412[[#This Row],[PRIMER TRIMESTRE]:[CUARTO TRIMESTRE]])</f>
        <v>9</v>
      </c>
      <c r="J856" s="175"/>
      <c r="K856" s="175"/>
      <c r="L856" s="175"/>
      <c r="M856" s="77"/>
      <c r="N856" s="77"/>
      <c r="O856" s="177"/>
    </row>
    <row r="857" spans="2:15" s="12" customFormat="1" ht="51">
      <c r="B857" s="372" t="s">
        <v>80</v>
      </c>
      <c r="C857" s="77" t="s">
        <v>682</v>
      </c>
      <c r="D857" s="177" t="s">
        <v>17</v>
      </c>
      <c r="E857" s="370">
        <v>2</v>
      </c>
      <c r="F857" s="370">
        <v>0</v>
      </c>
      <c r="G857" s="370">
        <v>0</v>
      </c>
      <c r="H857" s="370">
        <v>0</v>
      </c>
      <c r="I857" s="363">
        <f>SUM(Tabla132112412[[#This Row],[PRIMER TRIMESTRE]:[CUARTO TRIMESTRE]])</f>
        <v>2</v>
      </c>
      <c r="J857" s="175">
        <v>304100</v>
      </c>
      <c r="K857" s="175">
        <f t="shared" si="17"/>
        <v>608200</v>
      </c>
      <c r="L857" s="175"/>
      <c r="M857" s="77" t="s">
        <v>18</v>
      </c>
      <c r="N857" s="77" t="s">
        <v>22</v>
      </c>
      <c r="O857" s="177"/>
    </row>
    <row r="858" spans="2:15" s="12" customFormat="1" ht="51">
      <c r="B858" s="372" t="s">
        <v>80</v>
      </c>
      <c r="C858" s="77" t="s">
        <v>2331</v>
      </c>
      <c r="D858" s="177" t="s">
        <v>17</v>
      </c>
      <c r="E858" s="365">
        <v>2</v>
      </c>
      <c r="F858" s="365"/>
      <c r="G858" s="365">
        <v>2</v>
      </c>
      <c r="H858" s="365"/>
      <c r="I858" s="363">
        <f>SUM(Tabla132112412[[#This Row],[PRIMER TRIMESTRE]:[CUARTO TRIMESTRE]])</f>
        <v>4</v>
      </c>
      <c r="J858" s="175"/>
      <c r="K858" s="175"/>
      <c r="L858" s="175"/>
      <c r="M858" s="77"/>
      <c r="N858" s="77"/>
      <c r="O858" s="177"/>
    </row>
    <row r="859" spans="2:15" s="12" customFormat="1" ht="18">
      <c r="B859" s="372" t="s">
        <v>80</v>
      </c>
      <c r="C859" s="77" t="s">
        <v>2332</v>
      </c>
      <c r="D859" s="177" t="s">
        <v>17</v>
      </c>
      <c r="E859" s="365">
        <v>2</v>
      </c>
      <c r="F859" s="365"/>
      <c r="G859" s="365">
        <v>2</v>
      </c>
      <c r="H859" s="365"/>
      <c r="I859" s="363">
        <f>SUM(Tabla132112412[[#This Row],[PRIMER TRIMESTRE]:[CUARTO TRIMESTRE]])</f>
        <v>4</v>
      </c>
      <c r="J859" s="175"/>
      <c r="K859" s="175"/>
      <c r="L859" s="175"/>
      <c r="M859" s="77"/>
      <c r="N859" s="77"/>
      <c r="O859" s="177"/>
    </row>
    <row r="860" spans="2:15" s="12" customFormat="1" ht="18">
      <c r="B860" s="372" t="s">
        <v>80</v>
      </c>
      <c r="C860" s="77" t="s">
        <v>2333</v>
      </c>
      <c r="D860" s="177" t="s">
        <v>17</v>
      </c>
      <c r="E860" s="365">
        <v>2</v>
      </c>
      <c r="F860" s="365"/>
      <c r="G860" s="365"/>
      <c r="H860" s="365"/>
      <c r="I860" s="363">
        <f>SUM(Tabla132112412[[#This Row],[PRIMER TRIMESTRE]:[CUARTO TRIMESTRE]])</f>
        <v>2</v>
      </c>
      <c r="J860" s="175"/>
      <c r="K860" s="175"/>
      <c r="L860" s="175"/>
      <c r="M860" s="77"/>
      <c r="N860" s="77"/>
      <c r="O860" s="177"/>
    </row>
    <row r="861" spans="2:15" s="12" customFormat="1" ht="25.5">
      <c r="B861" s="372" t="s">
        <v>80</v>
      </c>
      <c r="C861" s="77" t="s">
        <v>1720</v>
      </c>
      <c r="D861" s="177" t="s">
        <v>17</v>
      </c>
      <c r="E861" s="370">
        <v>2</v>
      </c>
      <c r="F861" s="370">
        <v>0</v>
      </c>
      <c r="G861" s="370">
        <v>0</v>
      </c>
      <c r="H861" s="370">
        <v>0</v>
      </c>
      <c r="I861" s="363">
        <f>SUM(Tabla132112412[[#This Row],[PRIMER TRIMESTRE]:[CUARTO TRIMESTRE]])</f>
        <v>2</v>
      </c>
      <c r="J861" s="175">
        <v>0</v>
      </c>
      <c r="K861" s="175">
        <v>0</v>
      </c>
      <c r="L861" s="175"/>
      <c r="M861" s="77" t="s">
        <v>18</v>
      </c>
      <c r="N861" s="77" t="s">
        <v>22</v>
      </c>
      <c r="O861" s="177"/>
    </row>
    <row r="862" spans="2:15" s="12" customFormat="1" ht="18">
      <c r="B862" s="372" t="s">
        <v>80</v>
      </c>
      <c r="C862" s="77" t="s">
        <v>635</v>
      </c>
      <c r="D862" s="177" t="s">
        <v>17</v>
      </c>
      <c r="E862" s="370">
        <v>1</v>
      </c>
      <c r="F862" s="370">
        <v>0</v>
      </c>
      <c r="G862" s="370">
        <v>0</v>
      </c>
      <c r="H862" s="370">
        <v>0</v>
      </c>
      <c r="I862" s="363">
        <f>SUM(Tabla132112412[[#This Row],[PRIMER TRIMESTRE]:[CUARTO TRIMESTRE]])</f>
        <v>1</v>
      </c>
      <c r="J862" s="175">
        <v>94400</v>
      </c>
      <c r="K862" s="175">
        <f t="shared" si="17"/>
        <v>94400</v>
      </c>
      <c r="L862" s="175"/>
      <c r="M862" s="77" t="s">
        <v>18</v>
      </c>
      <c r="N862" s="77" t="s">
        <v>22</v>
      </c>
      <c r="O862" s="177"/>
    </row>
    <row r="863" spans="2:15" s="12" customFormat="1" ht="18">
      <c r="B863" s="372" t="s">
        <v>80</v>
      </c>
      <c r="C863" s="77" t="s">
        <v>636</v>
      </c>
      <c r="D863" s="177" t="s">
        <v>17</v>
      </c>
      <c r="E863" s="370">
        <v>0</v>
      </c>
      <c r="F863" s="370">
        <v>0</v>
      </c>
      <c r="G863" s="370">
        <v>0</v>
      </c>
      <c r="H863" s="370">
        <v>0</v>
      </c>
      <c r="I863" s="363">
        <f>SUM(Tabla132112412[[#This Row],[PRIMER TRIMESTRE]:[CUARTO TRIMESTRE]])</f>
        <v>0</v>
      </c>
      <c r="J863" s="175">
        <v>106200</v>
      </c>
      <c r="K863" s="175">
        <f t="shared" si="17"/>
        <v>0</v>
      </c>
      <c r="L863" s="175"/>
      <c r="M863" s="77" t="s">
        <v>18</v>
      </c>
      <c r="N863" s="77" t="s">
        <v>22</v>
      </c>
      <c r="O863" s="177"/>
    </row>
    <row r="864" spans="2:15" s="12" customFormat="1" ht="18">
      <c r="B864" s="372" t="s">
        <v>80</v>
      </c>
      <c r="C864" s="77" t="s">
        <v>637</v>
      </c>
      <c r="D864" s="177" t="s">
        <v>17</v>
      </c>
      <c r="E864" s="370">
        <v>1</v>
      </c>
      <c r="F864" s="370">
        <v>0</v>
      </c>
      <c r="G864" s="370">
        <v>0</v>
      </c>
      <c r="H864" s="370">
        <v>0</v>
      </c>
      <c r="I864" s="363">
        <f>SUM(Tabla132112412[[#This Row],[PRIMER TRIMESTRE]:[CUARTO TRIMESTRE]])</f>
        <v>1</v>
      </c>
      <c r="J864" s="175">
        <v>112100</v>
      </c>
      <c r="K864" s="175">
        <f t="shared" si="17"/>
        <v>112100</v>
      </c>
      <c r="L864" s="175"/>
      <c r="M864" s="77" t="s">
        <v>18</v>
      </c>
      <c r="N864" s="77" t="s">
        <v>22</v>
      </c>
      <c r="O864" s="177"/>
    </row>
    <row r="865" spans="2:15" s="12" customFormat="1" ht="38.25">
      <c r="B865" s="372" t="s">
        <v>80</v>
      </c>
      <c r="C865" s="77" t="s">
        <v>685</v>
      </c>
      <c r="D865" s="177" t="s">
        <v>17</v>
      </c>
      <c r="E865" s="370">
        <v>2</v>
      </c>
      <c r="F865" s="370">
        <v>0</v>
      </c>
      <c r="G865" s="370">
        <v>0</v>
      </c>
      <c r="H865" s="370">
        <v>0</v>
      </c>
      <c r="I865" s="363">
        <f>SUM(Tabla132112412[[#This Row],[PRIMER TRIMESTRE]:[CUARTO TRIMESTRE]])</f>
        <v>2</v>
      </c>
      <c r="J865" s="175">
        <v>42480</v>
      </c>
      <c r="K865" s="175">
        <f t="shared" si="17"/>
        <v>84960</v>
      </c>
      <c r="L865" s="175"/>
      <c r="M865" s="77" t="s">
        <v>18</v>
      </c>
      <c r="N865" s="77" t="s">
        <v>22</v>
      </c>
      <c r="O865" s="177"/>
    </row>
    <row r="866" spans="2:15" s="12" customFormat="1" ht="38.25">
      <c r="B866" s="372" t="s">
        <v>80</v>
      </c>
      <c r="C866" s="77" t="s">
        <v>686</v>
      </c>
      <c r="D866" s="177" t="s">
        <v>17</v>
      </c>
      <c r="E866" s="370">
        <v>0</v>
      </c>
      <c r="F866" s="370">
        <v>0</v>
      </c>
      <c r="G866" s="370">
        <v>0</v>
      </c>
      <c r="H866" s="370">
        <v>0</v>
      </c>
      <c r="I866" s="363">
        <f>SUM(Tabla132112412[[#This Row],[PRIMER TRIMESTRE]:[CUARTO TRIMESTRE]])</f>
        <v>0</v>
      </c>
      <c r="J866" s="175">
        <v>64900</v>
      </c>
      <c r="K866" s="175">
        <f t="shared" si="17"/>
        <v>0</v>
      </c>
      <c r="L866" s="175"/>
      <c r="M866" s="77" t="s">
        <v>18</v>
      </c>
      <c r="N866" s="77" t="s">
        <v>22</v>
      </c>
      <c r="O866" s="177"/>
    </row>
    <row r="867" spans="2:15" s="12" customFormat="1" ht="38.25">
      <c r="B867" s="372" t="s">
        <v>80</v>
      </c>
      <c r="C867" s="77" t="s">
        <v>687</v>
      </c>
      <c r="D867" s="177" t="s">
        <v>17</v>
      </c>
      <c r="E867" s="370">
        <v>2</v>
      </c>
      <c r="F867" s="370">
        <v>0</v>
      </c>
      <c r="G867" s="370">
        <v>0</v>
      </c>
      <c r="H867" s="370">
        <v>0</v>
      </c>
      <c r="I867" s="363">
        <f>SUM(Tabla132112412[[#This Row],[PRIMER TRIMESTRE]:[CUARTO TRIMESTRE]])</f>
        <v>2</v>
      </c>
      <c r="J867" s="175">
        <v>92040</v>
      </c>
      <c r="K867" s="175">
        <f t="shared" si="17"/>
        <v>184080</v>
      </c>
      <c r="L867" s="175"/>
      <c r="M867" s="77" t="s">
        <v>18</v>
      </c>
      <c r="N867" s="77" t="s">
        <v>22</v>
      </c>
      <c r="O867" s="177"/>
    </row>
    <row r="868" spans="2:15" s="12" customFormat="1" ht="25.5">
      <c r="B868" s="372" t="s">
        <v>80</v>
      </c>
      <c r="C868" s="77" t="s">
        <v>688</v>
      </c>
      <c r="D868" s="177" t="s">
        <v>17</v>
      </c>
      <c r="E868" s="370">
        <v>14</v>
      </c>
      <c r="F868" s="370">
        <v>4</v>
      </c>
      <c r="G868" s="370">
        <v>4</v>
      </c>
      <c r="H868" s="370">
        <v>4</v>
      </c>
      <c r="I868" s="363">
        <f>SUM(Tabla132112412[[#This Row],[PRIMER TRIMESTRE]:[CUARTO TRIMESTRE]])</f>
        <v>26</v>
      </c>
      <c r="J868" s="175">
        <v>6377.7</v>
      </c>
      <c r="K868" s="175">
        <f t="shared" si="17"/>
        <v>165820.19999999998</v>
      </c>
      <c r="L868" s="175"/>
      <c r="M868" s="77" t="s">
        <v>18</v>
      </c>
      <c r="N868" s="77" t="s">
        <v>22</v>
      </c>
      <c r="O868" s="177"/>
    </row>
    <row r="869" spans="2:15" s="12" customFormat="1" ht="25.5">
      <c r="B869" s="372" t="s">
        <v>80</v>
      </c>
      <c r="C869" s="77" t="s">
        <v>689</v>
      </c>
      <c r="D869" s="177" t="s">
        <v>17</v>
      </c>
      <c r="E869" s="370">
        <v>14</v>
      </c>
      <c r="F869" s="370">
        <v>4</v>
      </c>
      <c r="G869" s="370">
        <v>4</v>
      </c>
      <c r="H869" s="370">
        <v>4</v>
      </c>
      <c r="I869" s="363">
        <f>SUM(Tabla132112412[[#This Row],[PRIMER TRIMESTRE]:[CUARTO TRIMESTRE]])</f>
        <v>26</v>
      </c>
      <c r="J869" s="175">
        <v>6769.1</v>
      </c>
      <c r="K869" s="175">
        <f t="shared" si="17"/>
        <v>175996.6</v>
      </c>
      <c r="L869" s="175"/>
      <c r="M869" s="77" t="s">
        <v>18</v>
      </c>
      <c r="N869" s="77" t="s">
        <v>22</v>
      </c>
      <c r="O869" s="177"/>
    </row>
    <row r="870" spans="2:15" s="12" customFormat="1" ht="25.5">
      <c r="B870" s="372" t="s">
        <v>80</v>
      </c>
      <c r="C870" s="77" t="s">
        <v>690</v>
      </c>
      <c r="D870" s="177" t="s">
        <v>17</v>
      </c>
      <c r="E870" s="370">
        <v>14</v>
      </c>
      <c r="F870" s="370">
        <v>4</v>
      </c>
      <c r="G870" s="370">
        <v>14</v>
      </c>
      <c r="H870" s="370">
        <v>4</v>
      </c>
      <c r="I870" s="363">
        <f>SUM(Tabla132112412[[#This Row],[PRIMER TRIMESTRE]:[CUARTO TRIMESTRE]])</f>
        <v>36</v>
      </c>
      <c r="J870" s="175">
        <v>6890.2</v>
      </c>
      <c r="K870" s="175">
        <f t="shared" si="17"/>
        <v>248047.19999999998</v>
      </c>
      <c r="L870" s="175"/>
      <c r="M870" s="77" t="s">
        <v>18</v>
      </c>
      <c r="N870" s="77" t="s">
        <v>22</v>
      </c>
      <c r="O870" s="177"/>
    </row>
    <row r="871" spans="2:15" s="12" customFormat="1" ht="25.5">
      <c r="B871" s="372" t="s">
        <v>80</v>
      </c>
      <c r="C871" s="77" t="s">
        <v>905</v>
      </c>
      <c r="D871" s="177" t="s">
        <v>17</v>
      </c>
      <c r="E871" s="370">
        <v>14</v>
      </c>
      <c r="F871" s="370">
        <v>4</v>
      </c>
      <c r="G871" s="370">
        <v>14</v>
      </c>
      <c r="H871" s="370">
        <v>4</v>
      </c>
      <c r="I871" s="363">
        <f>SUM(Tabla132112412[[#This Row],[PRIMER TRIMESTRE]:[CUARTO TRIMESTRE]])</f>
        <v>36</v>
      </c>
      <c r="J871" s="175">
        <f>+J870*1.15</f>
        <v>7923.73</v>
      </c>
      <c r="K871" s="175">
        <f t="shared" si="17"/>
        <v>285254.27999999997</v>
      </c>
      <c r="L871" s="175"/>
      <c r="M871" s="77" t="s">
        <v>18</v>
      </c>
      <c r="N871" s="77" t="s">
        <v>22</v>
      </c>
      <c r="O871" s="177"/>
    </row>
    <row r="872" spans="2:15" s="12" customFormat="1" ht="25.5">
      <c r="B872" s="372" t="s">
        <v>80</v>
      </c>
      <c r="C872" s="77" t="s">
        <v>691</v>
      </c>
      <c r="D872" s="177" t="s">
        <v>17</v>
      </c>
      <c r="E872" s="370">
        <v>7</v>
      </c>
      <c r="F872" s="370">
        <v>2</v>
      </c>
      <c r="G872" s="370">
        <v>7</v>
      </c>
      <c r="H872" s="370">
        <v>2</v>
      </c>
      <c r="I872" s="363">
        <f>SUM(Tabla132112412[[#This Row],[PRIMER TRIMESTRE]:[CUARTO TRIMESTRE]])</f>
        <v>18</v>
      </c>
      <c r="J872" s="175">
        <f>2500*1.18</f>
        <v>2950</v>
      </c>
      <c r="K872" s="175">
        <f t="shared" si="17"/>
        <v>53100</v>
      </c>
      <c r="L872" s="175"/>
      <c r="M872" s="77" t="s">
        <v>18</v>
      </c>
      <c r="N872" s="77" t="s">
        <v>22</v>
      </c>
      <c r="O872" s="177"/>
    </row>
    <row r="873" spans="2:15" s="12" customFormat="1" ht="25.5">
      <c r="B873" s="372" t="s">
        <v>80</v>
      </c>
      <c r="C873" s="77" t="s">
        <v>692</v>
      </c>
      <c r="D873" s="177" t="s">
        <v>17</v>
      </c>
      <c r="E873" s="370">
        <v>2</v>
      </c>
      <c r="F873" s="370">
        <v>0</v>
      </c>
      <c r="G873" s="370">
        <v>2</v>
      </c>
      <c r="H873" s="370">
        <v>0</v>
      </c>
      <c r="I873" s="363">
        <f>SUM(Tabla132112412[[#This Row],[PRIMER TRIMESTRE]:[CUARTO TRIMESTRE]])</f>
        <v>4</v>
      </c>
      <c r="J873" s="175">
        <v>20380.96</v>
      </c>
      <c r="K873" s="175">
        <f t="shared" si="17"/>
        <v>81523.839999999997</v>
      </c>
      <c r="L873" s="175"/>
      <c r="M873" s="77" t="s">
        <v>18</v>
      </c>
      <c r="N873" s="77" t="s">
        <v>22</v>
      </c>
      <c r="O873" s="177"/>
    </row>
    <row r="874" spans="2:15" s="12" customFormat="1" ht="25.5">
      <c r="B874" s="372" t="s">
        <v>80</v>
      </c>
      <c r="C874" s="77" t="s">
        <v>693</v>
      </c>
      <c r="D874" s="177" t="s">
        <v>17</v>
      </c>
      <c r="E874" s="370">
        <v>0</v>
      </c>
      <c r="F874" s="370">
        <v>0</v>
      </c>
      <c r="G874" s="370">
        <v>0</v>
      </c>
      <c r="H874" s="370">
        <v>0</v>
      </c>
      <c r="I874" s="363">
        <f>SUM(Tabla132112412[[#This Row],[PRIMER TRIMESTRE]:[CUARTO TRIMESTRE]])</f>
        <v>0</v>
      </c>
      <c r="J874" s="175">
        <v>29236.86</v>
      </c>
      <c r="K874" s="175">
        <f t="shared" si="17"/>
        <v>0</v>
      </c>
      <c r="L874" s="175"/>
      <c r="M874" s="77" t="s">
        <v>18</v>
      </c>
      <c r="N874" s="77" t="s">
        <v>22</v>
      </c>
      <c r="O874" s="177"/>
    </row>
    <row r="875" spans="2:15" s="12" customFormat="1" ht="25.5">
      <c r="B875" s="372" t="s">
        <v>80</v>
      </c>
      <c r="C875" s="77" t="s">
        <v>2334</v>
      </c>
      <c r="D875" s="177" t="s">
        <v>17</v>
      </c>
      <c r="E875" s="370">
        <v>2</v>
      </c>
      <c r="F875" s="370"/>
      <c r="G875" s="370">
        <v>2</v>
      </c>
      <c r="H875" s="370"/>
      <c r="I875" s="363">
        <f>SUM(Tabla132112412[[#This Row],[PRIMER TRIMESTRE]:[CUARTO TRIMESTRE]])</f>
        <v>4</v>
      </c>
      <c r="J875" s="175"/>
      <c r="K875" s="175"/>
      <c r="L875" s="175"/>
      <c r="M875" s="77"/>
      <c r="N875" s="77"/>
      <c r="O875" s="177"/>
    </row>
    <row r="876" spans="2:15" s="12" customFormat="1" ht="18">
      <c r="B876" s="372" t="s">
        <v>80</v>
      </c>
      <c r="C876" s="77" t="s">
        <v>454</v>
      </c>
      <c r="D876" s="177" t="s">
        <v>17</v>
      </c>
      <c r="E876" s="370">
        <v>30</v>
      </c>
      <c r="F876" s="370">
        <v>30</v>
      </c>
      <c r="G876" s="370">
        <v>30</v>
      </c>
      <c r="H876" s="370">
        <v>30</v>
      </c>
      <c r="I876" s="363">
        <f>SUM(Tabla132112412[[#This Row],[PRIMER TRIMESTRE]:[CUARTO TRIMESTRE]])</f>
        <v>120</v>
      </c>
      <c r="J876" s="175">
        <v>236</v>
      </c>
      <c r="K876" s="175">
        <f t="shared" si="17"/>
        <v>28320</v>
      </c>
      <c r="L876" s="175"/>
      <c r="M876" s="77" t="s">
        <v>18</v>
      </c>
      <c r="N876" s="77" t="s">
        <v>22</v>
      </c>
      <c r="O876" s="177"/>
    </row>
    <row r="877" spans="2:15" s="12" customFormat="1" ht="18">
      <c r="B877" s="372" t="s">
        <v>80</v>
      </c>
      <c r="C877" s="77" t="s">
        <v>455</v>
      </c>
      <c r="D877" s="177" t="s">
        <v>17</v>
      </c>
      <c r="E877" s="370">
        <v>30</v>
      </c>
      <c r="F877" s="370">
        <v>30</v>
      </c>
      <c r="G877" s="370">
        <v>30</v>
      </c>
      <c r="H877" s="370">
        <v>30</v>
      </c>
      <c r="I877" s="363">
        <f>SUM(Tabla132112412[[#This Row],[PRIMER TRIMESTRE]:[CUARTO TRIMESTRE]])</f>
        <v>120</v>
      </c>
      <c r="J877" s="175">
        <v>344.56</v>
      </c>
      <c r="K877" s="175">
        <f t="shared" si="17"/>
        <v>41347.199999999997</v>
      </c>
      <c r="L877" s="175"/>
      <c r="M877" s="77" t="s">
        <v>18</v>
      </c>
      <c r="N877" s="77" t="s">
        <v>22</v>
      </c>
      <c r="O877" s="177"/>
    </row>
    <row r="878" spans="2:15" s="12" customFormat="1" ht="18">
      <c r="B878" s="372" t="s">
        <v>80</v>
      </c>
      <c r="C878" s="77" t="s">
        <v>456</v>
      </c>
      <c r="D878" s="177" t="s">
        <v>17</v>
      </c>
      <c r="E878" s="370">
        <v>17</v>
      </c>
      <c r="F878" s="370">
        <v>17</v>
      </c>
      <c r="G878" s="370">
        <v>17</v>
      </c>
      <c r="H878" s="370">
        <v>17</v>
      </c>
      <c r="I878" s="363">
        <f>SUM(Tabla132112412[[#This Row],[PRIMER TRIMESTRE]:[CUARTO TRIMESTRE]])</f>
        <v>68</v>
      </c>
      <c r="J878" s="175">
        <v>499.14</v>
      </c>
      <c r="K878" s="175">
        <f t="shared" si="17"/>
        <v>33941.519999999997</v>
      </c>
      <c r="L878" s="175"/>
      <c r="M878" s="77" t="s">
        <v>18</v>
      </c>
      <c r="N878" s="77" t="s">
        <v>22</v>
      </c>
      <c r="O878" s="177"/>
    </row>
    <row r="879" spans="2:15" s="12" customFormat="1" ht="18">
      <c r="B879" s="372" t="s">
        <v>80</v>
      </c>
      <c r="C879" s="77" t="s">
        <v>457</v>
      </c>
      <c r="D879" s="177" t="s">
        <v>17</v>
      </c>
      <c r="E879" s="370">
        <v>11</v>
      </c>
      <c r="F879" s="370">
        <v>11</v>
      </c>
      <c r="G879" s="370">
        <v>11</v>
      </c>
      <c r="H879" s="370">
        <v>11</v>
      </c>
      <c r="I879" s="363">
        <f>SUM(Tabla132112412[[#This Row],[PRIMER TRIMESTRE]:[CUARTO TRIMESTRE]])</f>
        <v>44</v>
      </c>
      <c r="J879" s="175">
        <v>1598.9</v>
      </c>
      <c r="K879" s="175">
        <f t="shared" si="17"/>
        <v>70351.600000000006</v>
      </c>
      <c r="L879" s="175"/>
      <c r="M879" s="175" t="s">
        <v>18</v>
      </c>
      <c r="N879" s="77" t="s">
        <v>22</v>
      </c>
      <c r="O879" s="177"/>
    </row>
    <row r="880" spans="2:15" s="12" customFormat="1" ht="18">
      <c r="B880" s="372" t="s">
        <v>80</v>
      </c>
      <c r="C880" s="77" t="s">
        <v>458</v>
      </c>
      <c r="D880" s="177" t="s">
        <v>17</v>
      </c>
      <c r="E880" s="370">
        <v>20</v>
      </c>
      <c r="F880" s="370">
        <v>10</v>
      </c>
      <c r="G880" s="370">
        <v>20</v>
      </c>
      <c r="H880" s="370">
        <v>10</v>
      </c>
      <c r="I880" s="363">
        <f>SUM(Tabla132112412[[#This Row],[PRIMER TRIMESTRE]:[CUARTO TRIMESTRE]])</f>
        <v>60</v>
      </c>
      <c r="J880" s="175">
        <v>1849.06</v>
      </c>
      <c r="K880" s="175">
        <f t="shared" si="17"/>
        <v>110943.59999999999</v>
      </c>
      <c r="L880" s="175"/>
      <c r="M880" s="175" t="s">
        <v>18</v>
      </c>
      <c r="N880" s="77" t="s">
        <v>22</v>
      </c>
      <c r="O880" s="177"/>
    </row>
    <row r="881" spans="1:15" s="26" customFormat="1" ht="18">
      <c r="A881" s="12"/>
      <c r="B881" s="372" t="s">
        <v>80</v>
      </c>
      <c r="C881" s="77" t="s">
        <v>801</v>
      </c>
      <c r="D881" s="177" t="s">
        <v>17</v>
      </c>
      <c r="E881" s="370">
        <v>10</v>
      </c>
      <c r="F881" s="370">
        <v>10</v>
      </c>
      <c r="G881" s="370">
        <v>10</v>
      </c>
      <c r="H881" s="370">
        <v>10</v>
      </c>
      <c r="I881" s="363">
        <f>SUM(Tabla132112412[[#This Row],[PRIMER TRIMESTRE]:[CUARTO TRIMESTRE]])</f>
        <v>40</v>
      </c>
      <c r="J881" s="175">
        <v>5444</v>
      </c>
      <c r="K881" s="175">
        <f t="shared" si="17"/>
        <v>217760</v>
      </c>
      <c r="L881" s="175"/>
      <c r="M881" s="175" t="s">
        <v>18</v>
      </c>
      <c r="N881" s="77" t="s">
        <v>22</v>
      </c>
      <c r="O881" s="177"/>
    </row>
    <row r="882" spans="1:15" s="12" customFormat="1" ht="18">
      <c r="B882" s="372" t="s">
        <v>80</v>
      </c>
      <c r="C882" s="77" t="s">
        <v>802</v>
      </c>
      <c r="D882" s="177" t="s">
        <v>17</v>
      </c>
      <c r="E882" s="370">
        <v>10</v>
      </c>
      <c r="F882" s="370">
        <v>10</v>
      </c>
      <c r="G882" s="370">
        <v>10</v>
      </c>
      <c r="H882" s="370">
        <v>10</v>
      </c>
      <c r="I882" s="363">
        <f>SUM(Tabla132112412[[#This Row],[PRIMER TRIMESTRE]:[CUARTO TRIMESTRE]])</f>
        <v>40</v>
      </c>
      <c r="J882" s="175">
        <v>6844</v>
      </c>
      <c r="K882" s="175">
        <f t="shared" si="17"/>
        <v>273760</v>
      </c>
      <c r="L882" s="175"/>
      <c r="M882" s="175" t="s">
        <v>18</v>
      </c>
      <c r="N882" s="77" t="s">
        <v>22</v>
      </c>
      <c r="O882" s="177"/>
    </row>
    <row r="883" spans="1:15" s="12" customFormat="1" ht="18">
      <c r="B883" s="452" t="s">
        <v>80</v>
      </c>
      <c r="C883" s="453"/>
      <c r="D883" s="177"/>
      <c r="E883" s="370"/>
      <c r="F883" s="370"/>
      <c r="G883" s="370"/>
      <c r="H883" s="370"/>
      <c r="I883" s="363">
        <f>SUM(Tabla132112412[[#This Row],[PRIMER TRIMESTRE]:[CUARTO TRIMESTRE]])</f>
        <v>0</v>
      </c>
      <c r="J883" s="175"/>
      <c r="K883" s="175"/>
      <c r="L883" s="451">
        <f>SUM(K228:K882)</f>
        <v>56046936.648458019</v>
      </c>
      <c r="M883" s="77"/>
      <c r="N883" s="77"/>
      <c r="O883" s="177"/>
    </row>
    <row r="884" spans="1:15" s="12" customFormat="1" ht="18">
      <c r="B884" s="372" t="s">
        <v>81</v>
      </c>
      <c r="C884" s="77" t="s">
        <v>207</v>
      </c>
      <c r="D884" s="177" t="s">
        <v>33</v>
      </c>
      <c r="E884" s="370">
        <v>25</v>
      </c>
      <c r="F884" s="370">
        <v>17</v>
      </c>
      <c r="G884" s="370">
        <v>17</v>
      </c>
      <c r="H884" s="370">
        <v>17</v>
      </c>
      <c r="I884" s="363">
        <f>SUM(Tabla132112412[[#This Row],[PRIMER TRIMESTRE]:[CUARTO TRIMESTRE]])</f>
        <v>76</v>
      </c>
      <c r="J884" s="175">
        <v>871.93</v>
      </c>
      <c r="K884" s="175">
        <f>+Tabla132112412[[#This Row],[CANTIDAD TOTAL]]*Tabla132112412[[#This Row],[PRECIO UNITARIO ESTIMADO]]</f>
        <v>66266.679999999993</v>
      </c>
      <c r="L884" s="175"/>
      <c r="M884" s="175" t="s">
        <v>18</v>
      </c>
      <c r="N884" s="77" t="s">
        <v>22</v>
      </c>
      <c r="O884" s="177" t="s">
        <v>418</v>
      </c>
    </row>
    <row r="885" spans="1:15" s="12" customFormat="1" ht="18">
      <c r="B885" s="372" t="s">
        <v>81</v>
      </c>
      <c r="C885" s="77" t="s">
        <v>1279</v>
      </c>
      <c r="D885" s="177" t="s">
        <v>33</v>
      </c>
      <c r="E885" s="370">
        <v>170</v>
      </c>
      <c r="F885" s="370">
        <v>110</v>
      </c>
      <c r="G885" s="370">
        <v>80</v>
      </c>
      <c r="H885" s="370">
        <v>80</v>
      </c>
      <c r="I885" s="363">
        <f>SUM(Tabla132112412[[#This Row],[PRIMER TRIMESTRE]:[CUARTO TRIMESTRE]])</f>
        <v>440</v>
      </c>
      <c r="J885" s="175">
        <v>871.93</v>
      </c>
      <c r="K885" s="175">
        <f t="shared" ref="K885:K891" si="18">+I885*J885</f>
        <v>383649.19999999995</v>
      </c>
      <c r="L885" s="175"/>
      <c r="M885" s="175" t="s">
        <v>18</v>
      </c>
      <c r="N885" s="77" t="s">
        <v>22</v>
      </c>
      <c r="O885" s="177" t="s">
        <v>418</v>
      </c>
    </row>
    <row r="886" spans="1:15" s="12" customFormat="1" ht="18">
      <c r="B886" s="372" t="s">
        <v>81</v>
      </c>
      <c r="C886" s="77" t="s">
        <v>1424</v>
      </c>
      <c r="D886" s="177" t="s">
        <v>33</v>
      </c>
      <c r="E886" s="370">
        <v>45</v>
      </c>
      <c r="F886" s="370">
        <v>45</v>
      </c>
      <c r="G886" s="370">
        <v>45</v>
      </c>
      <c r="H886" s="370">
        <v>45</v>
      </c>
      <c r="I886" s="363">
        <f>SUM(Tabla132112412[[#This Row],[PRIMER TRIMESTRE]:[CUARTO TRIMESTRE]])</f>
        <v>180</v>
      </c>
      <c r="J886" s="175">
        <v>871.93</v>
      </c>
      <c r="K886" s="175">
        <f t="shared" si="18"/>
        <v>156947.4</v>
      </c>
      <c r="L886" s="175"/>
      <c r="M886" s="175" t="s">
        <v>18</v>
      </c>
      <c r="N886" s="77" t="s">
        <v>22</v>
      </c>
      <c r="O886" s="177" t="s">
        <v>418</v>
      </c>
    </row>
    <row r="887" spans="1:15" s="12" customFormat="1" ht="18">
      <c r="B887" s="372" t="s">
        <v>81</v>
      </c>
      <c r="C887" s="77" t="s">
        <v>1347</v>
      </c>
      <c r="D887" s="177" t="s">
        <v>33</v>
      </c>
      <c r="E887" s="370">
        <v>23</v>
      </c>
      <c r="F887" s="370">
        <v>13</v>
      </c>
      <c r="G887" s="370">
        <v>13</v>
      </c>
      <c r="H887" s="370">
        <v>13</v>
      </c>
      <c r="I887" s="363">
        <f>SUM(Tabla132112412[[#This Row],[PRIMER TRIMESTRE]:[CUARTO TRIMESTRE]])</f>
        <v>62</v>
      </c>
      <c r="J887" s="175">
        <v>767</v>
      </c>
      <c r="K887" s="175">
        <f t="shared" si="18"/>
        <v>47554</v>
      </c>
      <c r="L887" s="175"/>
      <c r="M887" s="175" t="s">
        <v>18</v>
      </c>
      <c r="N887" s="77" t="s">
        <v>22</v>
      </c>
      <c r="O887" s="177" t="s">
        <v>418</v>
      </c>
    </row>
    <row r="888" spans="1:15" s="12" customFormat="1" ht="18">
      <c r="B888" s="372" t="s">
        <v>81</v>
      </c>
      <c r="C888" s="77" t="s">
        <v>1280</v>
      </c>
      <c r="D888" s="177" t="s">
        <v>33</v>
      </c>
      <c r="E888" s="370">
        <v>115</v>
      </c>
      <c r="F888" s="370">
        <v>75</v>
      </c>
      <c r="G888" s="370">
        <v>45</v>
      </c>
      <c r="H888" s="370">
        <v>25</v>
      </c>
      <c r="I888" s="363">
        <f>SUM(Tabla132112412[[#This Row],[PRIMER TRIMESTRE]:[CUARTO TRIMESTRE]])</f>
        <v>260</v>
      </c>
      <c r="J888" s="175">
        <v>871.93</v>
      </c>
      <c r="K888" s="175">
        <f t="shared" si="18"/>
        <v>226701.8</v>
      </c>
      <c r="L888" s="175"/>
      <c r="M888" s="175" t="s">
        <v>18</v>
      </c>
      <c r="N888" s="77" t="s">
        <v>22</v>
      </c>
      <c r="O888" s="177" t="s">
        <v>418</v>
      </c>
    </row>
    <row r="889" spans="1:15" s="12" customFormat="1" ht="18">
      <c r="B889" s="372" t="s">
        <v>81</v>
      </c>
      <c r="C889" s="77" t="s">
        <v>1345</v>
      </c>
      <c r="D889" s="177" t="s">
        <v>33</v>
      </c>
      <c r="E889" s="370">
        <v>25</v>
      </c>
      <c r="F889" s="370">
        <v>15</v>
      </c>
      <c r="G889" s="370">
        <v>15</v>
      </c>
      <c r="H889" s="370">
        <v>15</v>
      </c>
      <c r="I889" s="363">
        <f>SUM(Tabla132112412[[#This Row],[PRIMER TRIMESTRE]:[CUARTO TRIMESTRE]])</f>
        <v>70</v>
      </c>
      <c r="J889" s="175">
        <v>350</v>
      </c>
      <c r="K889" s="175">
        <f t="shared" si="18"/>
        <v>24500</v>
      </c>
      <c r="L889" s="175"/>
      <c r="M889" s="175" t="s">
        <v>18</v>
      </c>
      <c r="N889" s="77" t="s">
        <v>22</v>
      </c>
      <c r="O889" s="177" t="s">
        <v>418</v>
      </c>
    </row>
    <row r="890" spans="1:15" s="26" customFormat="1" ht="18">
      <c r="A890" s="12"/>
      <c r="B890" s="372" t="s">
        <v>81</v>
      </c>
      <c r="C890" s="77" t="s">
        <v>1425</v>
      </c>
      <c r="D890" s="177" t="s">
        <v>33</v>
      </c>
      <c r="E890" s="370">
        <v>30</v>
      </c>
      <c r="F890" s="370">
        <v>20</v>
      </c>
      <c r="G890" s="370">
        <v>20</v>
      </c>
      <c r="H890" s="370">
        <v>20</v>
      </c>
      <c r="I890" s="363">
        <f>SUM(Tabla132112412[[#This Row],[PRIMER TRIMESTRE]:[CUARTO TRIMESTRE]])</f>
        <v>90</v>
      </c>
      <c r="J890" s="175">
        <v>863.54</v>
      </c>
      <c r="K890" s="175">
        <f t="shared" si="18"/>
        <v>77718.599999999991</v>
      </c>
      <c r="L890" s="175"/>
      <c r="M890" s="175" t="s">
        <v>18</v>
      </c>
      <c r="N890" s="77" t="s">
        <v>22</v>
      </c>
      <c r="O890" s="177" t="s">
        <v>418</v>
      </c>
    </row>
    <row r="891" spans="1:15" s="26" customFormat="1" ht="18">
      <c r="A891" s="12"/>
      <c r="B891" s="372" t="s">
        <v>81</v>
      </c>
      <c r="C891" s="77" t="s">
        <v>1434</v>
      </c>
      <c r="D891" s="177" t="s">
        <v>33</v>
      </c>
      <c r="E891" s="370">
        <v>15</v>
      </c>
      <c r="F891" s="370">
        <v>10</v>
      </c>
      <c r="G891" s="370">
        <v>10</v>
      </c>
      <c r="H891" s="370">
        <v>10</v>
      </c>
      <c r="I891" s="363">
        <f>SUM(Tabla132112412[[#This Row],[PRIMER TRIMESTRE]:[CUARTO TRIMESTRE]])</f>
        <v>45</v>
      </c>
      <c r="J891" s="175">
        <v>1165</v>
      </c>
      <c r="K891" s="175">
        <f t="shared" si="18"/>
        <v>52425</v>
      </c>
      <c r="L891" s="175"/>
      <c r="M891" s="175" t="s">
        <v>18</v>
      </c>
      <c r="N891" s="77" t="s">
        <v>22</v>
      </c>
      <c r="O891" s="177" t="s">
        <v>418</v>
      </c>
    </row>
    <row r="892" spans="1:15" s="26" customFormat="1" ht="18">
      <c r="A892" s="12"/>
      <c r="B892" s="452" t="s">
        <v>81</v>
      </c>
      <c r="C892" s="453"/>
      <c r="D892" s="177"/>
      <c r="E892" s="370"/>
      <c r="F892" s="370"/>
      <c r="G892" s="370"/>
      <c r="H892" s="370"/>
      <c r="I892" s="363">
        <f>SUM(Tabla132112412[[#This Row],[PRIMER TRIMESTRE]:[CUARTO TRIMESTRE]])</f>
        <v>0</v>
      </c>
      <c r="J892" s="175"/>
      <c r="K892" s="175"/>
      <c r="L892" s="451">
        <f>SUM(K884:K891)</f>
        <v>1035762.6799999998</v>
      </c>
      <c r="M892" s="77"/>
      <c r="N892" s="77"/>
      <c r="O892" s="177"/>
    </row>
    <row r="893" spans="1:15" s="26" customFormat="1" ht="18">
      <c r="A893" s="12"/>
      <c r="B893" s="372" t="s">
        <v>95</v>
      </c>
      <c r="C893" s="77" t="s">
        <v>1468</v>
      </c>
      <c r="D893" s="177" t="s">
        <v>17</v>
      </c>
      <c r="E893" s="370">
        <v>17</v>
      </c>
      <c r="F893" s="370">
        <v>17</v>
      </c>
      <c r="G893" s="370">
        <v>17</v>
      </c>
      <c r="H893" s="370">
        <v>17</v>
      </c>
      <c r="I893" s="363">
        <f>SUM(Tabla132112412[[#This Row],[PRIMER TRIMESTRE]:[CUARTO TRIMESTRE]])</f>
        <v>68</v>
      </c>
      <c r="J893" s="175">
        <v>3169.99</v>
      </c>
      <c r="K893" s="175">
        <f t="shared" ref="K893:K900" si="19">+I893*J893</f>
        <v>215559.31999999998</v>
      </c>
      <c r="L893" s="175"/>
      <c r="M893" s="77" t="s">
        <v>18</v>
      </c>
      <c r="N893" s="77" t="s">
        <v>22</v>
      </c>
      <c r="O893" s="177" t="s">
        <v>418</v>
      </c>
    </row>
    <row r="894" spans="1:15" s="26" customFormat="1" ht="18">
      <c r="A894" s="12"/>
      <c r="B894" s="372" t="s">
        <v>95</v>
      </c>
      <c r="C894" s="77" t="s">
        <v>1469</v>
      </c>
      <c r="D894" s="177" t="s">
        <v>17</v>
      </c>
      <c r="E894" s="370">
        <v>18</v>
      </c>
      <c r="F894" s="370">
        <v>18</v>
      </c>
      <c r="G894" s="370">
        <v>18</v>
      </c>
      <c r="H894" s="370">
        <v>18</v>
      </c>
      <c r="I894" s="363">
        <f>SUM(Tabla132112412[[#This Row],[PRIMER TRIMESTRE]:[CUARTO TRIMESTRE]])</f>
        <v>72</v>
      </c>
      <c r="J894" s="175">
        <v>4920</v>
      </c>
      <c r="K894" s="175">
        <f t="shared" si="19"/>
        <v>354240</v>
      </c>
      <c r="L894" s="175"/>
      <c r="M894" s="77" t="s">
        <v>18</v>
      </c>
      <c r="N894" s="77" t="s">
        <v>22</v>
      </c>
      <c r="O894" s="372"/>
    </row>
    <row r="895" spans="1:15" s="12" customFormat="1" ht="18">
      <c r="B895" s="372" t="s">
        <v>95</v>
      </c>
      <c r="C895" s="77" t="s">
        <v>1470</v>
      </c>
      <c r="D895" s="177" t="s">
        <v>17</v>
      </c>
      <c r="E895" s="370">
        <v>35</v>
      </c>
      <c r="F895" s="370">
        <v>30</v>
      </c>
      <c r="G895" s="370">
        <v>35</v>
      </c>
      <c r="H895" s="370">
        <v>30</v>
      </c>
      <c r="I895" s="363">
        <f>SUM(Tabla132112412[[#This Row],[PRIMER TRIMESTRE]:[CUARTO TRIMESTRE]])</f>
        <v>130</v>
      </c>
      <c r="J895" s="175">
        <v>1521</v>
      </c>
      <c r="K895" s="175">
        <f t="shared" si="19"/>
        <v>197730</v>
      </c>
      <c r="L895" s="175"/>
      <c r="M895" s="77" t="s">
        <v>18</v>
      </c>
      <c r="N895" s="77" t="s">
        <v>22</v>
      </c>
      <c r="O895" s="177" t="s">
        <v>418</v>
      </c>
    </row>
    <row r="896" spans="1:15" s="12" customFormat="1" ht="18">
      <c r="B896" s="372" t="s">
        <v>95</v>
      </c>
      <c r="C896" s="377" t="s">
        <v>2335</v>
      </c>
      <c r="D896" s="177"/>
      <c r="E896" s="378">
        <v>10</v>
      </c>
      <c r="F896" s="369">
        <v>10</v>
      </c>
      <c r="G896" s="369">
        <v>10</v>
      </c>
      <c r="H896" s="369">
        <v>10</v>
      </c>
      <c r="I896" s="363">
        <f>SUM(Tabla132112412[[#This Row],[PRIMER TRIMESTRE]:[CUARTO TRIMESTRE]])</f>
        <v>40</v>
      </c>
      <c r="J896" s="175"/>
      <c r="K896" s="175"/>
      <c r="L896" s="175"/>
      <c r="M896" s="77"/>
      <c r="N896" s="77"/>
      <c r="O896" s="177"/>
    </row>
    <row r="897" spans="1:15" s="12" customFormat="1" ht="18">
      <c r="B897" s="372" t="s">
        <v>95</v>
      </c>
      <c r="C897" s="77" t="s">
        <v>1471</v>
      </c>
      <c r="D897" s="177" t="s">
        <v>17</v>
      </c>
      <c r="E897" s="370">
        <v>0</v>
      </c>
      <c r="F897" s="370">
        <v>0</v>
      </c>
      <c r="G897" s="370">
        <v>0</v>
      </c>
      <c r="H897" s="370">
        <v>0</v>
      </c>
      <c r="I897" s="363">
        <f>SUM(Tabla132112412[[#This Row],[PRIMER TRIMESTRE]:[CUARTO TRIMESTRE]])</f>
        <v>0</v>
      </c>
      <c r="J897" s="175">
        <v>2028</v>
      </c>
      <c r="K897" s="175">
        <f t="shared" si="19"/>
        <v>0</v>
      </c>
      <c r="L897" s="175"/>
      <c r="M897" s="77" t="s">
        <v>18</v>
      </c>
      <c r="N897" s="77" t="s">
        <v>22</v>
      </c>
      <c r="O897" s="177" t="s">
        <v>418</v>
      </c>
    </row>
    <row r="898" spans="1:15" s="12" customFormat="1" ht="25.5">
      <c r="B898" s="372" t="s">
        <v>95</v>
      </c>
      <c r="C898" s="77" t="str">
        <f ca="1">+UPPER(Tabla132112412[[#This Row],[DESCRIPCIÓN DE LA COMPRA O CONTRATACIÓN]])</f>
        <v>LÁMPARA FLUORESCENTE, DE 2 X 4 PIES, 32 WATTS, COMPLETA</v>
      </c>
      <c r="D898" s="177" t="s">
        <v>17</v>
      </c>
      <c r="E898" s="370">
        <v>15</v>
      </c>
      <c r="F898" s="370">
        <v>15</v>
      </c>
      <c r="G898" s="370">
        <v>15</v>
      </c>
      <c r="H898" s="370">
        <v>15</v>
      </c>
      <c r="I898" s="363">
        <f>SUM(Tabla132112412[[#This Row],[PRIMER TRIMESTRE]:[CUARTO TRIMESTRE]])</f>
        <v>60</v>
      </c>
      <c r="J898" s="175">
        <v>63.44</v>
      </c>
      <c r="K898" s="175">
        <f t="shared" si="19"/>
        <v>3806.3999999999996</v>
      </c>
      <c r="L898" s="175"/>
      <c r="M898" s="77" t="s">
        <v>15</v>
      </c>
      <c r="N898" s="77" t="s">
        <v>22</v>
      </c>
      <c r="O898" s="177"/>
    </row>
    <row r="899" spans="1:15" s="12" customFormat="1" ht="18">
      <c r="B899" s="372" t="s">
        <v>95</v>
      </c>
      <c r="C899" s="77" t="s">
        <v>1539</v>
      </c>
      <c r="D899" s="177" t="s">
        <v>17</v>
      </c>
      <c r="E899" s="370">
        <v>32</v>
      </c>
      <c r="F899" s="370">
        <v>30</v>
      </c>
      <c r="G899" s="370">
        <v>30</v>
      </c>
      <c r="H899" s="370">
        <v>30</v>
      </c>
      <c r="I899" s="363">
        <f>SUM(Tabla132112412[[#This Row],[PRIMER TRIMESTRE]:[CUARTO TRIMESTRE]])</f>
        <v>122</v>
      </c>
      <c r="J899" s="175">
        <v>45</v>
      </c>
      <c r="K899" s="175">
        <f t="shared" si="19"/>
        <v>5490</v>
      </c>
      <c r="L899" s="175"/>
      <c r="M899" s="77" t="s">
        <v>18</v>
      </c>
      <c r="N899" s="77" t="s">
        <v>22</v>
      </c>
      <c r="O899" s="177" t="s">
        <v>418</v>
      </c>
    </row>
    <row r="900" spans="1:15" s="12" customFormat="1" ht="18">
      <c r="B900" s="372" t="s">
        <v>95</v>
      </c>
      <c r="C900" s="77" t="s">
        <v>1540</v>
      </c>
      <c r="D900" s="177" t="s">
        <v>17</v>
      </c>
      <c r="E900" s="370">
        <v>10</v>
      </c>
      <c r="F900" s="370">
        <v>10</v>
      </c>
      <c r="G900" s="370">
        <v>10</v>
      </c>
      <c r="H900" s="370">
        <v>10</v>
      </c>
      <c r="I900" s="363">
        <f>SUM(Tabla132112412[[#This Row],[PRIMER TRIMESTRE]:[CUARTO TRIMESTRE]])</f>
        <v>40</v>
      </c>
      <c r="J900" s="175">
        <v>45</v>
      </c>
      <c r="K900" s="175">
        <f t="shared" si="19"/>
        <v>1800</v>
      </c>
      <c r="L900" s="175"/>
      <c r="M900" s="77" t="s">
        <v>18</v>
      </c>
      <c r="N900" s="77" t="s">
        <v>22</v>
      </c>
      <c r="O900" s="177" t="s">
        <v>418</v>
      </c>
    </row>
    <row r="901" spans="1:15" s="12" customFormat="1" ht="18">
      <c r="B901" s="372" t="s">
        <v>95</v>
      </c>
      <c r="C901" s="77" t="s">
        <v>209</v>
      </c>
      <c r="D901" s="177" t="s">
        <v>17</v>
      </c>
      <c r="E901" s="370">
        <v>12</v>
      </c>
      <c r="F901" s="370">
        <v>12</v>
      </c>
      <c r="G901" s="370">
        <v>12</v>
      </c>
      <c r="H901" s="370">
        <v>12</v>
      </c>
      <c r="I901" s="363">
        <f>SUM(Tabla132112412[[#This Row],[PRIMER TRIMESTRE]:[CUARTO TRIMESTRE]])</f>
        <v>48</v>
      </c>
      <c r="J901" s="175">
        <v>1417.52</v>
      </c>
      <c r="K901" s="175">
        <f>+Tabla132112412[[#This Row],[CANTIDAD TOTAL]]*Tabla132112412[[#This Row],[PRECIO UNITARIO ESTIMADO]]</f>
        <v>68040.959999999992</v>
      </c>
      <c r="L901" s="175"/>
      <c r="M901" s="77" t="s">
        <v>27</v>
      </c>
      <c r="N901" s="77" t="s">
        <v>22</v>
      </c>
      <c r="O901" s="177"/>
    </row>
    <row r="902" spans="1:15" s="12" customFormat="1" ht="18">
      <c r="B902" s="372" t="s">
        <v>95</v>
      </c>
      <c r="C902" s="77" t="s">
        <v>1467</v>
      </c>
      <c r="D902" s="177" t="s">
        <v>17</v>
      </c>
      <c r="E902" s="370">
        <v>25</v>
      </c>
      <c r="F902" s="370">
        <v>25</v>
      </c>
      <c r="G902" s="370">
        <v>25</v>
      </c>
      <c r="H902" s="370">
        <v>25</v>
      </c>
      <c r="I902" s="363">
        <f>SUM(Tabla132112412[[#This Row],[PRIMER TRIMESTRE]:[CUARTO TRIMESTRE]])</f>
        <v>100</v>
      </c>
      <c r="J902" s="175">
        <v>5268.24</v>
      </c>
      <c r="K902" s="175">
        <f t="shared" ref="K902:K911" si="20">+I902*J902</f>
        <v>526824</v>
      </c>
      <c r="L902" s="175"/>
      <c r="M902" s="77" t="s">
        <v>18</v>
      </c>
      <c r="N902" s="77" t="s">
        <v>22</v>
      </c>
      <c r="O902" s="177" t="s">
        <v>418</v>
      </c>
    </row>
    <row r="903" spans="1:15" s="12" customFormat="1" ht="25.5">
      <c r="B903" s="372" t="s">
        <v>95</v>
      </c>
      <c r="C903" s="77" t="s">
        <v>881</v>
      </c>
      <c r="D903" s="177" t="s">
        <v>17</v>
      </c>
      <c r="E903" s="370">
        <v>9</v>
      </c>
      <c r="F903" s="370">
        <v>9</v>
      </c>
      <c r="G903" s="370">
        <v>9</v>
      </c>
      <c r="H903" s="370">
        <v>9</v>
      </c>
      <c r="I903" s="363">
        <f>SUM(Tabla132112412[[#This Row],[PRIMER TRIMESTRE]:[CUARTO TRIMESTRE]])</f>
        <v>36</v>
      </c>
      <c r="J903" s="175">
        <v>877.77</v>
      </c>
      <c r="K903" s="175">
        <f t="shared" si="20"/>
        <v>31599.72</v>
      </c>
      <c r="L903" s="175"/>
      <c r="M903" s="77" t="s">
        <v>15</v>
      </c>
      <c r="N903" s="77" t="s">
        <v>22</v>
      </c>
      <c r="O903" s="177"/>
    </row>
    <row r="904" spans="1:15" s="12" customFormat="1" ht="25.5">
      <c r="B904" s="372" t="s">
        <v>95</v>
      </c>
      <c r="C904" s="77" t="s">
        <v>1624</v>
      </c>
      <c r="D904" s="177" t="s">
        <v>17</v>
      </c>
      <c r="E904" s="370">
        <v>20</v>
      </c>
      <c r="F904" s="370">
        <v>15</v>
      </c>
      <c r="G904" s="370">
        <v>15</v>
      </c>
      <c r="H904" s="370">
        <v>15</v>
      </c>
      <c r="I904" s="363">
        <f>SUM(Tabla132112412[[#This Row],[PRIMER TRIMESTRE]:[CUARTO TRIMESTRE]])</f>
        <v>65</v>
      </c>
      <c r="J904" s="175">
        <v>4800</v>
      </c>
      <c r="K904" s="175">
        <f t="shared" si="20"/>
        <v>312000</v>
      </c>
      <c r="L904" s="175"/>
      <c r="M904" s="77" t="s">
        <v>18</v>
      </c>
      <c r="N904" s="77" t="s">
        <v>22</v>
      </c>
      <c r="O904" s="177"/>
    </row>
    <row r="905" spans="1:15" s="12" customFormat="1" ht="25.5">
      <c r="B905" s="372" t="s">
        <v>95</v>
      </c>
      <c r="C905" s="77" t="s">
        <v>1593</v>
      </c>
      <c r="D905" s="177" t="s">
        <v>17</v>
      </c>
      <c r="E905" s="370">
        <v>6</v>
      </c>
      <c r="F905" s="370">
        <v>0</v>
      </c>
      <c r="G905" s="370">
        <v>6</v>
      </c>
      <c r="H905" s="370">
        <v>0</v>
      </c>
      <c r="I905" s="363">
        <f>SUM(Tabla132112412[[#This Row],[PRIMER TRIMESTRE]:[CUARTO TRIMESTRE]])</f>
        <v>12</v>
      </c>
      <c r="J905" s="175">
        <v>1980</v>
      </c>
      <c r="K905" s="175">
        <f t="shared" si="20"/>
        <v>23760</v>
      </c>
      <c r="L905" s="175"/>
      <c r="M905" s="77" t="s">
        <v>18</v>
      </c>
      <c r="N905" s="77" t="s">
        <v>22</v>
      </c>
      <c r="O905" s="177"/>
    </row>
    <row r="906" spans="1:15" s="12" customFormat="1" ht="18">
      <c r="B906" s="372" t="s">
        <v>95</v>
      </c>
      <c r="C906" s="77" t="s">
        <v>1544</v>
      </c>
      <c r="D906" s="177" t="s">
        <v>17</v>
      </c>
      <c r="E906" s="370">
        <v>125</v>
      </c>
      <c r="F906" s="370">
        <v>100</v>
      </c>
      <c r="G906" s="370">
        <v>100</v>
      </c>
      <c r="H906" s="370">
        <v>100</v>
      </c>
      <c r="I906" s="363">
        <f>SUM(Tabla132112412[[#This Row],[PRIMER TRIMESTRE]:[CUARTO TRIMESTRE]])</f>
        <v>425</v>
      </c>
      <c r="J906" s="175">
        <v>68</v>
      </c>
      <c r="K906" s="175">
        <f t="shared" si="20"/>
        <v>28900</v>
      </c>
      <c r="L906" s="175"/>
      <c r="M906" s="77" t="s">
        <v>18</v>
      </c>
      <c r="N906" s="77" t="s">
        <v>22</v>
      </c>
      <c r="O906" s="177"/>
    </row>
    <row r="907" spans="1:15" s="12" customFormat="1" ht="18">
      <c r="B907" s="372" t="s">
        <v>95</v>
      </c>
      <c r="C907" s="77" t="s">
        <v>1543</v>
      </c>
      <c r="D907" s="177" t="s">
        <v>17</v>
      </c>
      <c r="E907" s="370">
        <v>30</v>
      </c>
      <c r="F907" s="370">
        <v>30</v>
      </c>
      <c r="G907" s="370">
        <v>30</v>
      </c>
      <c r="H907" s="370">
        <v>30</v>
      </c>
      <c r="I907" s="363">
        <f>SUM(Tabla132112412[[#This Row],[PRIMER TRIMESTRE]:[CUARTO TRIMESTRE]])</f>
        <v>120</v>
      </c>
      <c r="J907" s="175">
        <v>161.28</v>
      </c>
      <c r="K907" s="175">
        <f t="shared" si="20"/>
        <v>19353.599999999999</v>
      </c>
      <c r="L907" s="175"/>
      <c r="M907" s="77" t="s">
        <v>18</v>
      </c>
      <c r="N907" s="77" t="s">
        <v>22</v>
      </c>
      <c r="O907" s="177"/>
    </row>
    <row r="908" spans="1:15" s="12" customFormat="1" ht="18">
      <c r="B908" s="372" t="s">
        <v>95</v>
      </c>
      <c r="C908" s="77" t="s">
        <v>1625</v>
      </c>
      <c r="D908" s="177" t="s">
        <v>17</v>
      </c>
      <c r="E908" s="370">
        <v>0</v>
      </c>
      <c r="F908" s="370">
        <v>0</v>
      </c>
      <c r="G908" s="370">
        <v>0</v>
      </c>
      <c r="H908" s="370">
        <v>0</v>
      </c>
      <c r="I908" s="363">
        <f>SUM(Tabla132112412[[#This Row],[PRIMER TRIMESTRE]:[CUARTO TRIMESTRE]])</f>
        <v>0</v>
      </c>
      <c r="J908" s="175">
        <v>400</v>
      </c>
      <c r="K908" s="175">
        <f t="shared" si="20"/>
        <v>0</v>
      </c>
      <c r="L908" s="175"/>
      <c r="M908" s="77" t="s">
        <v>18</v>
      </c>
      <c r="N908" s="77" t="s">
        <v>22</v>
      </c>
      <c r="O908" s="177"/>
    </row>
    <row r="909" spans="1:15" s="12" customFormat="1" ht="18">
      <c r="B909" s="372" t="s">
        <v>95</v>
      </c>
      <c r="C909" s="77" t="s">
        <v>1542</v>
      </c>
      <c r="D909" s="177" t="s">
        <v>17</v>
      </c>
      <c r="E909" s="370">
        <v>60</v>
      </c>
      <c r="F909" s="370">
        <v>30</v>
      </c>
      <c r="G909" s="370">
        <v>25</v>
      </c>
      <c r="H909" s="370">
        <v>15</v>
      </c>
      <c r="I909" s="363">
        <f>SUM(Tabla132112412[[#This Row],[PRIMER TRIMESTRE]:[CUARTO TRIMESTRE]])</f>
        <v>130</v>
      </c>
      <c r="J909" s="175">
        <v>40</v>
      </c>
      <c r="K909" s="175">
        <f t="shared" si="20"/>
        <v>5200</v>
      </c>
      <c r="L909" s="175"/>
      <c r="M909" s="77" t="s">
        <v>18</v>
      </c>
      <c r="N909" s="77" t="s">
        <v>22</v>
      </c>
      <c r="O909" s="177"/>
    </row>
    <row r="910" spans="1:15" s="26" customFormat="1" ht="18">
      <c r="A910" s="12"/>
      <c r="B910" s="372" t="s">
        <v>95</v>
      </c>
      <c r="C910" s="77" t="s">
        <v>1541</v>
      </c>
      <c r="D910" s="177" t="s">
        <v>17</v>
      </c>
      <c r="E910" s="370">
        <v>15</v>
      </c>
      <c r="F910" s="370">
        <v>15</v>
      </c>
      <c r="G910" s="370">
        <v>15</v>
      </c>
      <c r="H910" s="370">
        <v>15</v>
      </c>
      <c r="I910" s="363">
        <f>SUM(Tabla132112412[[#This Row],[PRIMER TRIMESTRE]:[CUARTO TRIMESTRE]])</f>
        <v>60</v>
      </c>
      <c r="J910" s="175">
        <v>170</v>
      </c>
      <c r="K910" s="175">
        <f t="shared" si="20"/>
        <v>10200</v>
      </c>
      <c r="L910" s="175"/>
      <c r="M910" s="77" t="s">
        <v>18</v>
      </c>
      <c r="N910" s="77" t="s">
        <v>22</v>
      </c>
      <c r="O910" s="177"/>
    </row>
    <row r="911" spans="1:15" s="12" customFormat="1" ht="25.5">
      <c r="B911" s="372" t="s">
        <v>95</v>
      </c>
      <c r="C911" s="77" t="s">
        <v>1472</v>
      </c>
      <c r="D911" s="177" t="s">
        <v>17</v>
      </c>
      <c r="E911" s="370">
        <v>0</v>
      </c>
      <c r="F911" s="370">
        <v>0</v>
      </c>
      <c r="G911" s="370">
        <v>0</v>
      </c>
      <c r="H911" s="370">
        <v>0</v>
      </c>
      <c r="I911" s="363">
        <f>SUM(Tabla132112412[[#This Row],[PRIMER TRIMESTRE]:[CUARTO TRIMESTRE]])</f>
        <v>0</v>
      </c>
      <c r="J911" s="175">
        <v>28982</v>
      </c>
      <c r="K911" s="175">
        <f t="shared" si="20"/>
        <v>0</v>
      </c>
      <c r="L911" s="175"/>
      <c r="M911" s="77" t="s">
        <v>18</v>
      </c>
      <c r="N911" s="77" t="s">
        <v>22</v>
      </c>
      <c r="O911" s="177"/>
    </row>
    <row r="912" spans="1:15" s="12" customFormat="1" ht="18">
      <c r="B912" s="452" t="s">
        <v>95</v>
      </c>
      <c r="C912" s="453"/>
      <c r="D912" s="177"/>
      <c r="E912" s="370"/>
      <c r="F912" s="370"/>
      <c r="G912" s="370"/>
      <c r="H912" s="370"/>
      <c r="I912" s="363">
        <f>SUM(Tabla132112412[[#This Row],[PRIMER TRIMESTRE]:[CUARTO TRIMESTRE]])</f>
        <v>0</v>
      </c>
      <c r="J912" s="175"/>
      <c r="K912" s="175"/>
      <c r="L912" s="451">
        <f>SUM(K893:K911)</f>
        <v>1804504</v>
      </c>
      <c r="M912" s="77"/>
      <c r="N912" s="77"/>
      <c r="O912" s="177"/>
    </row>
    <row r="913" spans="2:15" s="12" customFormat="1" ht="25.5">
      <c r="B913" s="372" t="s">
        <v>96</v>
      </c>
      <c r="C913" s="77" t="str">
        <f ca="1">+UPPER(Tabla132112412[[#This Row],[DESCRIPCIÓN DE LA COMPRA O CONTRATACIÓN]])</f>
        <v>CUT-OUTS 15 KV 200 AMPERES</v>
      </c>
      <c r="D913" s="177" t="s">
        <v>17</v>
      </c>
      <c r="E913" s="370">
        <v>25</v>
      </c>
      <c r="F913" s="370">
        <v>20</v>
      </c>
      <c r="G913" s="370">
        <v>20</v>
      </c>
      <c r="H913" s="370">
        <v>20</v>
      </c>
      <c r="I913" s="363">
        <f>SUM(Tabla132112412[[#This Row],[PRIMER TRIMESTRE]:[CUARTO TRIMESTRE]])</f>
        <v>85</v>
      </c>
      <c r="J913" s="175">
        <v>6486.1</v>
      </c>
      <c r="K913" s="175">
        <f t="shared" ref="K913:K920" si="21">+I913*J913</f>
        <v>551318.5</v>
      </c>
      <c r="L913" s="175"/>
      <c r="M913" s="77" t="s">
        <v>18</v>
      </c>
      <c r="N913" s="77" t="s">
        <v>22</v>
      </c>
      <c r="O913" s="177"/>
    </row>
    <row r="914" spans="2:15" s="12" customFormat="1" ht="25.5">
      <c r="B914" s="372" t="s">
        <v>96</v>
      </c>
      <c r="C914" s="77" t="str">
        <f ca="1">+UPPER(Tabla132112412[[#This Row],[DESCRIPCIÓN DE LA COMPRA O CONTRATACIÓN]])</f>
        <v>CUT-OUTS 15 KV 100 AMPERES</v>
      </c>
      <c r="D914" s="177" t="s">
        <v>17</v>
      </c>
      <c r="E914" s="370">
        <v>22</v>
      </c>
      <c r="F914" s="370">
        <v>20</v>
      </c>
      <c r="G914" s="370">
        <v>20</v>
      </c>
      <c r="H914" s="370">
        <v>20</v>
      </c>
      <c r="I914" s="363">
        <f>SUM(Tabla132112412[[#This Row],[PRIMER TRIMESTRE]:[CUARTO TRIMESTRE]])</f>
        <v>82</v>
      </c>
      <c r="J914" s="175">
        <v>4877.16</v>
      </c>
      <c r="K914" s="175">
        <f t="shared" si="21"/>
        <v>399927.12</v>
      </c>
      <c r="L914" s="175"/>
      <c r="M914" s="77" t="s">
        <v>18</v>
      </c>
      <c r="N914" s="77" t="s">
        <v>22</v>
      </c>
      <c r="O914" s="177"/>
    </row>
    <row r="915" spans="2:15" s="12" customFormat="1" ht="25.5">
      <c r="B915" s="372" t="s">
        <v>96</v>
      </c>
      <c r="C915" s="77" t="str">
        <f ca="1">+UPPER(Tabla132112412[[#This Row],[DESCRIPCIÓN DE LA COMPRA O CONTRATACIÓN]])</f>
        <v>APARTARRAYOS DE 9KV</v>
      </c>
      <c r="D915" s="177" t="s">
        <v>17</v>
      </c>
      <c r="E915" s="370">
        <v>30</v>
      </c>
      <c r="F915" s="370">
        <v>30</v>
      </c>
      <c r="G915" s="370">
        <v>30</v>
      </c>
      <c r="H915" s="370">
        <v>30</v>
      </c>
      <c r="I915" s="363">
        <f>SUM(Tabla132112412[[#This Row],[PRIMER TRIMESTRE]:[CUARTO TRIMESTRE]])</f>
        <v>120</v>
      </c>
      <c r="J915" s="175">
        <v>2726</v>
      </c>
      <c r="K915" s="175">
        <f t="shared" si="21"/>
        <v>327120</v>
      </c>
      <c r="L915" s="175"/>
      <c r="M915" s="77" t="s">
        <v>18</v>
      </c>
      <c r="N915" s="77" t="s">
        <v>22</v>
      </c>
      <c r="O915" s="177"/>
    </row>
    <row r="916" spans="2:15" s="12" customFormat="1" ht="25.5">
      <c r="B916" s="372" t="s">
        <v>96</v>
      </c>
      <c r="C916" s="77" t="s">
        <v>1217</v>
      </c>
      <c r="D916" s="177" t="s">
        <v>17</v>
      </c>
      <c r="E916" s="370">
        <v>7</v>
      </c>
      <c r="F916" s="370">
        <v>5</v>
      </c>
      <c r="G916" s="370">
        <v>5</v>
      </c>
      <c r="H916" s="370">
        <v>5</v>
      </c>
      <c r="I916" s="363">
        <f>SUM(Tabla132112412[[#This Row],[PRIMER TRIMESTRE]:[CUARTO TRIMESTRE]])</f>
        <v>22</v>
      </c>
      <c r="J916" s="175">
        <v>2438.11</v>
      </c>
      <c r="K916" s="175">
        <f t="shared" si="21"/>
        <v>53638.420000000006</v>
      </c>
      <c r="L916" s="175"/>
      <c r="M916" s="77" t="s">
        <v>18</v>
      </c>
      <c r="N916" s="77" t="s">
        <v>22</v>
      </c>
      <c r="O916" s="177"/>
    </row>
    <row r="917" spans="2:15" s="12" customFormat="1" ht="25.5">
      <c r="B917" s="372" t="s">
        <v>96</v>
      </c>
      <c r="C917" s="77" t="str">
        <f ca="1">+UPPER(Tabla132112412[[#This Row],[DESCRIPCIÓN DE LA COMPRA O CONTRATACIÓN]])</f>
        <v>APARTARRAYOS DE 220V, SECUNDARIO</v>
      </c>
      <c r="D917" s="177" t="s">
        <v>17</v>
      </c>
      <c r="E917" s="370">
        <v>17</v>
      </c>
      <c r="F917" s="370">
        <v>15</v>
      </c>
      <c r="G917" s="370">
        <v>15</v>
      </c>
      <c r="H917" s="370">
        <v>15</v>
      </c>
      <c r="I917" s="363">
        <f>SUM(Tabla132112412[[#This Row],[PRIMER TRIMESTRE]:[CUARTO TRIMESTRE]])</f>
        <v>62</v>
      </c>
      <c r="J917" s="175">
        <v>6840</v>
      </c>
      <c r="K917" s="175">
        <f t="shared" si="21"/>
        <v>424080</v>
      </c>
      <c r="L917" s="175"/>
      <c r="M917" s="77" t="s">
        <v>18</v>
      </c>
      <c r="N917" s="77" t="s">
        <v>22</v>
      </c>
      <c r="O917" s="177"/>
    </row>
    <row r="918" spans="2:15" s="12" customFormat="1" ht="25.5">
      <c r="B918" s="372" t="s">
        <v>96</v>
      </c>
      <c r="C918" s="77" t="str">
        <f ca="1">+UPPER(Tabla132112412[[#This Row],[DESCRIPCIÓN DE LA COMPRA O CONTRATACIÓN]])</f>
        <v>APARTARRAYOS DE 480V, SECUNDARIO</v>
      </c>
      <c r="D918" s="177" t="s">
        <v>17</v>
      </c>
      <c r="E918" s="370">
        <v>15</v>
      </c>
      <c r="F918" s="370">
        <v>15</v>
      </c>
      <c r="G918" s="370">
        <v>15</v>
      </c>
      <c r="H918" s="370">
        <v>15</v>
      </c>
      <c r="I918" s="363">
        <f>SUM(Tabla132112412[[#This Row],[PRIMER TRIMESTRE]:[CUARTO TRIMESTRE]])</f>
        <v>60</v>
      </c>
      <c r="J918" s="175">
        <v>6900</v>
      </c>
      <c r="K918" s="175">
        <f t="shared" si="21"/>
        <v>414000</v>
      </c>
      <c r="L918" s="175"/>
      <c r="M918" s="77" t="s">
        <v>18</v>
      </c>
      <c r="N918" s="77" t="s">
        <v>22</v>
      </c>
      <c r="O918" s="177"/>
    </row>
    <row r="919" spans="2:15" s="12" customFormat="1" ht="25.5">
      <c r="B919" s="372" t="s">
        <v>96</v>
      </c>
      <c r="C919" s="77" t="s">
        <v>1679</v>
      </c>
      <c r="D919" s="177" t="s">
        <v>17</v>
      </c>
      <c r="E919" s="370">
        <v>10</v>
      </c>
      <c r="F919" s="370">
        <v>10</v>
      </c>
      <c r="G919" s="370">
        <v>10</v>
      </c>
      <c r="H919" s="370">
        <v>10</v>
      </c>
      <c r="I919" s="363">
        <f>SUM(Tabla132112412[[#This Row],[PRIMER TRIMESTRE]:[CUARTO TRIMESTRE]])</f>
        <v>40</v>
      </c>
      <c r="J919" s="175">
        <v>0</v>
      </c>
      <c r="K919" s="175">
        <v>0</v>
      </c>
      <c r="L919" s="175"/>
      <c r="M919" s="77" t="s">
        <v>18</v>
      </c>
      <c r="N919" s="77" t="s">
        <v>22</v>
      </c>
      <c r="O919" s="177"/>
    </row>
    <row r="920" spans="2:15" s="12" customFormat="1" ht="25.5">
      <c r="B920" s="372" t="s">
        <v>96</v>
      </c>
      <c r="C920" s="77" t="s">
        <v>1597</v>
      </c>
      <c r="D920" s="177" t="s">
        <v>17</v>
      </c>
      <c r="E920" s="370">
        <v>10</v>
      </c>
      <c r="F920" s="370">
        <v>10</v>
      </c>
      <c r="G920" s="370">
        <v>10</v>
      </c>
      <c r="H920" s="370">
        <v>10</v>
      </c>
      <c r="I920" s="363">
        <f>SUM(Tabla132112412[[#This Row],[PRIMER TRIMESTRE]:[CUARTO TRIMESTRE]])</f>
        <v>40</v>
      </c>
      <c r="J920" s="175">
        <v>101.53</v>
      </c>
      <c r="K920" s="175">
        <f t="shared" si="21"/>
        <v>4061.2</v>
      </c>
      <c r="L920" s="175"/>
      <c r="M920" s="77" t="s">
        <v>18</v>
      </c>
      <c r="N920" s="77" t="s">
        <v>22</v>
      </c>
      <c r="O920" s="177"/>
    </row>
    <row r="921" spans="2:15" s="12" customFormat="1" ht="25.5">
      <c r="B921" s="372" t="s">
        <v>96</v>
      </c>
      <c r="C921" s="77" t="s">
        <v>777</v>
      </c>
      <c r="D921" s="177" t="s">
        <v>17</v>
      </c>
      <c r="E921" s="370">
        <v>15</v>
      </c>
      <c r="F921" s="370">
        <v>15</v>
      </c>
      <c r="G921" s="370">
        <v>15</v>
      </c>
      <c r="H921" s="370">
        <v>15</v>
      </c>
      <c r="I921" s="363">
        <f>SUM(Tabla132112412[[#This Row],[PRIMER TRIMESTRE]:[CUARTO TRIMESTRE]])</f>
        <v>60</v>
      </c>
      <c r="J921" s="175">
        <v>13750</v>
      </c>
      <c r="K921" s="175">
        <f>+Tabla132112412[[#This Row],[CANTIDAD TOTAL]]*Tabla132112412[[#This Row],[PRECIO UNITARIO ESTIMADO]]</f>
        <v>825000</v>
      </c>
      <c r="L921" s="175"/>
      <c r="M921" s="77" t="s">
        <v>18</v>
      </c>
      <c r="N921" s="77" t="s">
        <v>22</v>
      </c>
      <c r="O921" s="177" t="s">
        <v>418</v>
      </c>
    </row>
    <row r="922" spans="2:15" s="12" customFormat="1" ht="25.5">
      <c r="B922" s="372" t="s">
        <v>96</v>
      </c>
      <c r="C922" s="77" t="s">
        <v>1599</v>
      </c>
      <c r="D922" s="177" t="s">
        <v>17</v>
      </c>
      <c r="E922" s="365">
        <v>15</v>
      </c>
      <c r="F922" s="365">
        <v>15</v>
      </c>
      <c r="G922" s="365">
        <v>15</v>
      </c>
      <c r="H922" s="365">
        <v>15</v>
      </c>
      <c r="I922" s="363">
        <f>SUM(Tabla132112412[[#This Row],[PRIMER TRIMESTRE]:[CUARTO TRIMESTRE]])</f>
        <v>60</v>
      </c>
      <c r="J922" s="175">
        <v>110</v>
      </c>
      <c r="K922" s="175">
        <f>+I922*J922</f>
        <v>6600</v>
      </c>
      <c r="L922" s="175"/>
      <c r="M922" s="77" t="s">
        <v>18</v>
      </c>
      <c r="N922" s="77" t="s">
        <v>22</v>
      </c>
      <c r="O922" s="177"/>
    </row>
    <row r="923" spans="2:15" s="12" customFormat="1" ht="25.5">
      <c r="B923" s="372" t="s">
        <v>96</v>
      </c>
      <c r="C923" s="77" t="s">
        <v>1600</v>
      </c>
      <c r="D923" s="177" t="s">
        <v>17</v>
      </c>
      <c r="E923" s="370">
        <v>19</v>
      </c>
      <c r="F923" s="370">
        <v>19</v>
      </c>
      <c r="G923" s="370">
        <v>19</v>
      </c>
      <c r="H923" s="370">
        <v>19</v>
      </c>
      <c r="I923" s="363">
        <f>SUM(Tabla132112412[[#This Row],[PRIMER TRIMESTRE]:[CUARTO TRIMESTRE]])</f>
        <v>76</v>
      </c>
      <c r="J923" s="175">
        <v>40</v>
      </c>
      <c r="K923" s="175">
        <f>+I923*J923</f>
        <v>3040</v>
      </c>
      <c r="L923" s="175"/>
      <c r="M923" s="77" t="s">
        <v>18</v>
      </c>
      <c r="N923" s="77" t="s">
        <v>22</v>
      </c>
      <c r="O923" s="177"/>
    </row>
    <row r="924" spans="2:15" s="12" customFormat="1" ht="25.5">
      <c r="B924" s="372" t="s">
        <v>96</v>
      </c>
      <c r="C924" s="77" t="s">
        <v>1598</v>
      </c>
      <c r="D924" s="177" t="s">
        <v>17</v>
      </c>
      <c r="E924" s="370">
        <v>10</v>
      </c>
      <c r="F924" s="370">
        <v>10</v>
      </c>
      <c r="G924" s="370">
        <v>10</v>
      </c>
      <c r="H924" s="370">
        <v>10</v>
      </c>
      <c r="I924" s="363">
        <f>SUM(Tabla132112412[[#This Row],[PRIMER TRIMESTRE]:[CUARTO TRIMESTRE]])</f>
        <v>40</v>
      </c>
      <c r="J924" s="175">
        <v>90</v>
      </c>
      <c r="K924" s="175">
        <f>+I924*J924</f>
        <v>3600</v>
      </c>
      <c r="L924" s="175"/>
      <c r="M924" s="77" t="s">
        <v>18</v>
      </c>
      <c r="N924" s="77" t="s">
        <v>22</v>
      </c>
      <c r="O924" s="177"/>
    </row>
    <row r="925" spans="2:15" s="12" customFormat="1" ht="25.5">
      <c r="B925" s="372" t="s">
        <v>96</v>
      </c>
      <c r="C925" s="77" t="s">
        <v>210</v>
      </c>
      <c r="D925" s="177" t="s">
        <v>17</v>
      </c>
      <c r="E925" s="370">
        <v>5</v>
      </c>
      <c r="F925" s="370">
        <v>5</v>
      </c>
      <c r="G925" s="370">
        <v>5</v>
      </c>
      <c r="H925" s="370">
        <v>5</v>
      </c>
      <c r="I925" s="363">
        <f>SUM(Tabla132112412[[#This Row],[PRIMER TRIMESTRE]:[CUARTO TRIMESTRE]])</f>
        <v>20</v>
      </c>
      <c r="J925" s="175">
        <v>13750</v>
      </c>
      <c r="K925" s="175">
        <f>+Tabla132112412[[#This Row],[CANTIDAD TOTAL]]*Tabla132112412[[#This Row],[PRECIO UNITARIO ESTIMADO]]</f>
        <v>275000</v>
      </c>
      <c r="L925" s="175"/>
      <c r="M925" s="77" t="s">
        <v>18</v>
      </c>
      <c r="N925" s="77" t="s">
        <v>22</v>
      </c>
      <c r="O925" s="177" t="s">
        <v>418</v>
      </c>
    </row>
    <row r="926" spans="2:15" s="12" customFormat="1" ht="25.5">
      <c r="B926" s="372" t="s">
        <v>96</v>
      </c>
      <c r="C926" s="77" t="s">
        <v>1594</v>
      </c>
      <c r="D926" s="177" t="s">
        <v>17</v>
      </c>
      <c r="E926" s="370">
        <v>35</v>
      </c>
      <c r="F926" s="370">
        <v>35</v>
      </c>
      <c r="G926" s="370">
        <v>35</v>
      </c>
      <c r="H926" s="370">
        <v>35</v>
      </c>
      <c r="I926" s="363">
        <f>SUM(Tabla132112412[[#This Row],[PRIMER TRIMESTRE]:[CUARTO TRIMESTRE]])</f>
        <v>140</v>
      </c>
      <c r="J926" s="175">
        <v>95</v>
      </c>
      <c r="K926" s="175">
        <f>+I926*J926</f>
        <v>13300</v>
      </c>
      <c r="L926" s="175"/>
      <c r="M926" s="77" t="s">
        <v>18</v>
      </c>
      <c r="N926" s="77" t="s">
        <v>22</v>
      </c>
      <c r="O926" s="177"/>
    </row>
    <row r="927" spans="2:15" s="12" customFormat="1" ht="25.5">
      <c r="B927" s="372" t="s">
        <v>96</v>
      </c>
      <c r="C927" s="77" t="s">
        <v>1596</v>
      </c>
      <c r="D927" s="177" t="s">
        <v>17</v>
      </c>
      <c r="E927" s="370">
        <v>22</v>
      </c>
      <c r="F927" s="370">
        <v>22</v>
      </c>
      <c r="G927" s="370">
        <v>22</v>
      </c>
      <c r="H927" s="370">
        <v>22</v>
      </c>
      <c r="I927" s="363">
        <f>SUM(Tabla132112412[[#This Row],[PRIMER TRIMESTRE]:[CUARTO TRIMESTRE]])</f>
        <v>88</v>
      </c>
      <c r="J927" s="175">
        <v>95</v>
      </c>
      <c r="K927" s="175">
        <f>+I927*J927</f>
        <v>8360</v>
      </c>
      <c r="L927" s="175"/>
      <c r="M927" s="77" t="s">
        <v>18</v>
      </c>
      <c r="N927" s="77" t="s">
        <v>22</v>
      </c>
      <c r="O927" s="177"/>
    </row>
    <row r="928" spans="2:15" s="169" customFormat="1" ht="25.5">
      <c r="B928" s="372" t="s">
        <v>96</v>
      </c>
      <c r="C928" s="77" t="s">
        <v>211</v>
      </c>
      <c r="D928" s="177" t="s">
        <v>17</v>
      </c>
      <c r="E928" s="370">
        <v>50</v>
      </c>
      <c r="F928" s="370">
        <v>25</v>
      </c>
      <c r="G928" s="370">
        <v>50</v>
      </c>
      <c r="H928" s="370">
        <v>25</v>
      </c>
      <c r="I928" s="363">
        <f>SUM(Tabla132112412[[#This Row],[PRIMER TRIMESTRE]:[CUARTO TRIMESTRE]])</f>
        <v>150</v>
      </c>
      <c r="J928" s="175">
        <v>191</v>
      </c>
      <c r="K928" s="175">
        <f>+Tabla132112412[[#This Row],[CANTIDAD TOTAL]]*Tabla132112412[[#This Row],[PRECIO UNITARIO ESTIMADO]]</f>
        <v>28650</v>
      </c>
      <c r="L928" s="175"/>
      <c r="M928" s="77" t="s">
        <v>18</v>
      </c>
      <c r="N928" s="77" t="s">
        <v>22</v>
      </c>
      <c r="O928" s="177" t="s">
        <v>418</v>
      </c>
    </row>
    <row r="929" spans="2:15" s="169" customFormat="1" ht="25.5">
      <c r="B929" s="372" t="s">
        <v>96</v>
      </c>
      <c r="C929" s="77" t="s">
        <v>2336</v>
      </c>
      <c r="D929" s="177" t="s">
        <v>17</v>
      </c>
      <c r="E929" s="365">
        <v>20</v>
      </c>
      <c r="F929" s="365"/>
      <c r="G929" s="365">
        <v>20</v>
      </c>
      <c r="H929" s="365"/>
      <c r="I929" s="363">
        <f>SUM(Tabla132112412[[#This Row],[PRIMER TRIMESTRE]:[CUARTO TRIMESTRE]])</f>
        <v>40</v>
      </c>
      <c r="J929" s="175"/>
      <c r="K929" s="175"/>
      <c r="L929" s="175"/>
      <c r="M929" s="77"/>
      <c r="N929" s="77"/>
      <c r="O929" s="177"/>
    </row>
    <row r="930" spans="2:15" s="12" customFormat="1" ht="25.5">
      <c r="B930" s="372" t="s">
        <v>96</v>
      </c>
      <c r="C930" s="77" t="s">
        <v>772</v>
      </c>
      <c r="D930" s="177" t="s">
        <v>17</v>
      </c>
      <c r="E930" s="370">
        <v>35</v>
      </c>
      <c r="F930" s="370">
        <v>35</v>
      </c>
      <c r="G930" s="370">
        <v>35</v>
      </c>
      <c r="H930" s="370">
        <v>35</v>
      </c>
      <c r="I930" s="363">
        <f>SUM(Tabla132112412[[#This Row],[PRIMER TRIMESTRE]:[CUARTO TRIMESTRE]])</f>
        <v>140</v>
      </c>
      <c r="J930" s="175">
        <v>7700</v>
      </c>
      <c r="K930" s="175">
        <f>+I930*J930</f>
        <v>1078000</v>
      </c>
      <c r="L930" s="175"/>
      <c r="M930" s="77" t="s">
        <v>18</v>
      </c>
      <c r="N930" s="77" t="s">
        <v>22</v>
      </c>
      <c r="O930" s="177"/>
    </row>
    <row r="931" spans="2:15" s="12" customFormat="1" ht="25.5">
      <c r="B931" s="372" t="s">
        <v>96</v>
      </c>
      <c r="C931" s="77" t="s">
        <v>1690</v>
      </c>
      <c r="D931" s="177" t="s">
        <v>343</v>
      </c>
      <c r="E931" s="370">
        <v>50</v>
      </c>
      <c r="F931" s="370">
        <v>0</v>
      </c>
      <c r="G931" s="370">
        <v>0</v>
      </c>
      <c r="H931" s="370">
        <v>0</v>
      </c>
      <c r="I931" s="363">
        <f>SUM(Tabla132112412[[#This Row],[PRIMER TRIMESTRE]:[CUARTO TRIMESTRE]])</f>
        <v>50</v>
      </c>
      <c r="J931" s="175">
        <v>0</v>
      </c>
      <c r="K931" s="175">
        <v>0</v>
      </c>
      <c r="L931" s="175"/>
      <c r="M931" s="77" t="s">
        <v>18</v>
      </c>
      <c r="N931" s="77" t="s">
        <v>22</v>
      </c>
      <c r="O931" s="177"/>
    </row>
    <row r="932" spans="2:15" s="12" customFormat="1" ht="25.5">
      <c r="B932" s="372" t="s">
        <v>96</v>
      </c>
      <c r="C932" s="77" t="s">
        <v>229</v>
      </c>
      <c r="D932" s="177" t="s">
        <v>17</v>
      </c>
      <c r="E932" s="370">
        <v>15</v>
      </c>
      <c r="F932" s="370">
        <v>10</v>
      </c>
      <c r="G932" s="370">
        <v>10</v>
      </c>
      <c r="H932" s="370">
        <v>10</v>
      </c>
      <c r="I932" s="363">
        <f>SUM(Tabla132112412[[#This Row],[PRIMER TRIMESTRE]:[CUARTO TRIMESTRE]])</f>
        <v>45</v>
      </c>
      <c r="J932" s="175">
        <v>6460</v>
      </c>
      <c r="K932" s="175">
        <f>+Tabla132112412[[#This Row],[CANTIDAD TOTAL]]*Tabla132112412[[#This Row],[PRECIO UNITARIO ESTIMADO]]</f>
        <v>290700</v>
      </c>
      <c r="L932" s="175"/>
      <c r="M932" s="77" t="s">
        <v>18</v>
      </c>
      <c r="N932" s="77" t="s">
        <v>22</v>
      </c>
      <c r="O932" s="177"/>
    </row>
    <row r="933" spans="2:15" s="12" customFormat="1" ht="25.5">
      <c r="B933" s="77" t="s">
        <v>96</v>
      </c>
      <c r="C933" s="376" t="s">
        <v>2337</v>
      </c>
      <c r="D933" s="177"/>
      <c r="E933" s="369">
        <v>4</v>
      </c>
      <c r="F933" s="369">
        <v>2</v>
      </c>
      <c r="G933" s="369">
        <v>2</v>
      </c>
      <c r="H933" s="369">
        <v>2</v>
      </c>
      <c r="I933" s="363">
        <f>SUM(Tabla132112412[[#This Row],[PRIMER TRIMESTRE]:[CUARTO TRIMESTRE]])</f>
        <v>10</v>
      </c>
      <c r="J933" s="175"/>
      <c r="K933" s="175"/>
      <c r="L933" s="175"/>
      <c r="M933" s="77"/>
      <c r="N933" s="77"/>
      <c r="O933" s="177"/>
    </row>
    <row r="934" spans="2:15" s="12" customFormat="1" ht="25.5">
      <c r="B934" s="77" t="s">
        <v>96</v>
      </c>
      <c r="C934" s="376" t="s">
        <v>2338</v>
      </c>
      <c r="D934" s="177"/>
      <c r="E934" s="369">
        <v>4</v>
      </c>
      <c r="F934" s="369">
        <v>2</v>
      </c>
      <c r="G934" s="369">
        <v>2</v>
      </c>
      <c r="H934" s="369">
        <v>2</v>
      </c>
      <c r="I934" s="363">
        <f>SUM(Tabla132112412[[#This Row],[PRIMER TRIMESTRE]:[CUARTO TRIMESTRE]])</f>
        <v>10</v>
      </c>
      <c r="J934" s="175"/>
      <c r="K934" s="175"/>
      <c r="L934" s="175"/>
      <c r="M934" s="77"/>
      <c r="N934" s="77"/>
      <c r="O934" s="177"/>
    </row>
    <row r="935" spans="2:15" s="12" customFormat="1" ht="25.5">
      <c r="B935" s="77" t="s">
        <v>96</v>
      </c>
      <c r="C935" s="376" t="s">
        <v>2339</v>
      </c>
      <c r="D935" s="177"/>
      <c r="E935" s="369">
        <v>12</v>
      </c>
      <c r="F935" s="369">
        <v>12</v>
      </c>
      <c r="G935" s="369">
        <v>12</v>
      </c>
      <c r="H935" s="369">
        <v>12</v>
      </c>
      <c r="I935" s="363">
        <f>SUM(Tabla132112412[[#This Row],[PRIMER TRIMESTRE]:[CUARTO TRIMESTRE]])</f>
        <v>48</v>
      </c>
      <c r="J935" s="175"/>
      <c r="K935" s="175"/>
      <c r="L935" s="175"/>
      <c r="M935" s="77"/>
      <c r="N935" s="77"/>
      <c r="O935" s="177"/>
    </row>
    <row r="936" spans="2:15" s="12" customFormat="1" ht="25.5">
      <c r="B936" s="77" t="s">
        <v>96</v>
      </c>
      <c r="C936" s="376" t="s">
        <v>2340</v>
      </c>
      <c r="D936" s="177"/>
      <c r="E936" s="365">
        <v>250</v>
      </c>
      <c r="F936" s="365">
        <v>250</v>
      </c>
      <c r="G936" s="365">
        <v>250</v>
      </c>
      <c r="H936" s="365">
        <v>250</v>
      </c>
      <c r="I936" s="363">
        <f>SUM(Tabla132112412[[#This Row],[PRIMER TRIMESTRE]:[CUARTO TRIMESTRE]])</f>
        <v>1000</v>
      </c>
      <c r="J936" s="175"/>
      <c r="K936" s="175"/>
      <c r="L936" s="175"/>
      <c r="M936" s="77"/>
      <c r="N936" s="77"/>
      <c r="O936" s="177"/>
    </row>
    <row r="937" spans="2:15" s="12" customFormat="1" ht="25.5">
      <c r="B937" s="77" t="s">
        <v>96</v>
      </c>
      <c r="C937" s="472" t="s">
        <v>2341</v>
      </c>
      <c r="D937" s="177"/>
      <c r="E937" s="365">
        <v>250</v>
      </c>
      <c r="F937" s="365">
        <v>250</v>
      </c>
      <c r="G937" s="365">
        <v>250</v>
      </c>
      <c r="H937" s="365">
        <v>250</v>
      </c>
      <c r="I937" s="363">
        <f>SUM(Tabla132112412[[#This Row],[PRIMER TRIMESTRE]:[CUARTO TRIMESTRE]])</f>
        <v>1000</v>
      </c>
      <c r="J937" s="175"/>
      <c r="K937" s="175"/>
      <c r="L937" s="175"/>
      <c r="M937" s="77"/>
      <c r="N937" s="77"/>
      <c r="O937" s="177"/>
    </row>
    <row r="938" spans="2:15" s="12" customFormat="1" ht="25.5">
      <c r="B938" s="77" t="s">
        <v>96</v>
      </c>
      <c r="C938" s="376" t="s">
        <v>2342</v>
      </c>
      <c r="D938" s="177"/>
      <c r="E938" s="365">
        <v>250</v>
      </c>
      <c r="F938" s="365">
        <v>250</v>
      </c>
      <c r="G938" s="365">
        <v>250</v>
      </c>
      <c r="H938" s="365">
        <v>250</v>
      </c>
      <c r="I938" s="363">
        <f>SUM(Tabla132112412[[#This Row],[PRIMER TRIMESTRE]:[CUARTO TRIMESTRE]])</f>
        <v>1000</v>
      </c>
      <c r="J938" s="175"/>
      <c r="K938" s="175"/>
      <c r="L938" s="175"/>
      <c r="M938" s="77"/>
      <c r="N938" s="77"/>
      <c r="O938" s="177"/>
    </row>
    <row r="939" spans="2:15" s="12" customFormat="1" ht="25.5">
      <c r="B939" s="77" t="s">
        <v>96</v>
      </c>
      <c r="C939" s="377" t="s">
        <v>2343</v>
      </c>
      <c r="D939" s="177"/>
      <c r="E939" s="365">
        <v>250</v>
      </c>
      <c r="F939" s="365">
        <v>250</v>
      </c>
      <c r="G939" s="365">
        <v>250</v>
      </c>
      <c r="H939" s="365">
        <v>250</v>
      </c>
      <c r="I939" s="363">
        <f>SUM(Tabla132112412[[#This Row],[PRIMER TRIMESTRE]:[CUARTO TRIMESTRE]])</f>
        <v>1000</v>
      </c>
      <c r="J939" s="175"/>
      <c r="K939" s="175"/>
      <c r="L939" s="175"/>
      <c r="M939" s="77"/>
      <c r="N939" s="77"/>
      <c r="O939" s="177"/>
    </row>
    <row r="940" spans="2:15" s="12" customFormat="1" ht="25.5">
      <c r="B940" s="77" t="s">
        <v>96</v>
      </c>
      <c r="C940" s="377" t="s">
        <v>2344</v>
      </c>
      <c r="D940" s="177"/>
      <c r="E940" s="365">
        <v>250</v>
      </c>
      <c r="F940" s="365">
        <v>250</v>
      </c>
      <c r="G940" s="365">
        <v>250</v>
      </c>
      <c r="H940" s="365">
        <v>250</v>
      </c>
      <c r="I940" s="363">
        <f>SUM(Tabla132112412[[#This Row],[PRIMER TRIMESTRE]:[CUARTO TRIMESTRE]])</f>
        <v>1000</v>
      </c>
      <c r="J940" s="175"/>
      <c r="K940" s="175"/>
      <c r="L940" s="175"/>
      <c r="M940" s="77"/>
      <c r="N940" s="77"/>
      <c r="O940" s="177"/>
    </row>
    <row r="941" spans="2:15" s="12" customFormat="1" ht="25.5">
      <c r="B941" s="77" t="s">
        <v>96</v>
      </c>
      <c r="C941" s="472" t="s">
        <v>2345</v>
      </c>
      <c r="D941" s="177"/>
      <c r="E941" s="378">
        <v>5</v>
      </c>
      <c r="F941" s="369">
        <v>0</v>
      </c>
      <c r="G941" s="369">
        <v>0</v>
      </c>
      <c r="H941" s="369">
        <v>0</v>
      </c>
      <c r="I941" s="363">
        <f>SUM(Tabla132112412[[#This Row],[PRIMER TRIMESTRE]:[CUARTO TRIMESTRE]])</f>
        <v>5</v>
      </c>
      <c r="J941" s="175"/>
      <c r="K941" s="175"/>
      <c r="L941" s="175"/>
      <c r="M941" s="77"/>
      <c r="N941" s="77"/>
      <c r="O941" s="177"/>
    </row>
    <row r="942" spans="2:15" s="12" customFormat="1" ht="25.5">
      <c r="B942" s="77" t="s">
        <v>96</v>
      </c>
      <c r="C942" s="472" t="s">
        <v>2346</v>
      </c>
      <c r="D942" s="177"/>
      <c r="E942" s="378">
        <v>3</v>
      </c>
      <c r="F942" s="369">
        <v>0</v>
      </c>
      <c r="G942" s="369">
        <v>0</v>
      </c>
      <c r="H942" s="369">
        <v>0</v>
      </c>
      <c r="I942" s="363">
        <f>SUM(Tabla132112412[[#This Row],[PRIMER TRIMESTRE]:[CUARTO TRIMESTRE]])</f>
        <v>3</v>
      </c>
      <c r="J942" s="175"/>
      <c r="K942" s="175"/>
      <c r="L942" s="175"/>
      <c r="M942" s="77"/>
      <c r="N942" s="77"/>
      <c r="O942" s="177"/>
    </row>
    <row r="943" spans="2:15" s="12" customFormat="1" ht="25.5">
      <c r="B943" s="77" t="s">
        <v>96</v>
      </c>
      <c r="C943" s="377" t="s">
        <v>2347</v>
      </c>
      <c r="D943" s="177"/>
      <c r="E943" s="378">
        <v>2</v>
      </c>
      <c r="F943" s="369">
        <v>0</v>
      </c>
      <c r="G943" s="369">
        <v>1</v>
      </c>
      <c r="H943" s="369">
        <v>0</v>
      </c>
      <c r="I943" s="363">
        <f>SUM(Tabla132112412[[#This Row],[PRIMER TRIMESTRE]:[CUARTO TRIMESTRE]])</f>
        <v>3</v>
      </c>
      <c r="J943" s="175"/>
      <c r="K943" s="175"/>
      <c r="L943" s="175"/>
      <c r="M943" s="77"/>
      <c r="N943" s="77"/>
      <c r="O943" s="177"/>
    </row>
    <row r="944" spans="2:15" s="12" customFormat="1" ht="25.5">
      <c r="B944" s="77" t="s">
        <v>96</v>
      </c>
      <c r="C944" s="377" t="s">
        <v>2348</v>
      </c>
      <c r="D944" s="177"/>
      <c r="E944" s="378">
        <v>1</v>
      </c>
      <c r="F944" s="369">
        <v>0</v>
      </c>
      <c r="G944" s="369">
        <v>1</v>
      </c>
      <c r="H944" s="369">
        <v>0</v>
      </c>
      <c r="I944" s="363">
        <f>SUM(Tabla132112412[[#This Row],[PRIMER TRIMESTRE]:[CUARTO TRIMESTRE]])</f>
        <v>2</v>
      </c>
      <c r="J944" s="175"/>
      <c r="K944" s="175"/>
      <c r="L944" s="175"/>
      <c r="M944" s="77"/>
      <c r="N944" s="77"/>
      <c r="O944" s="177"/>
    </row>
    <row r="945" spans="2:15" s="12" customFormat="1" ht="25.5">
      <c r="B945" s="77" t="s">
        <v>96</v>
      </c>
      <c r="C945" s="377" t="s">
        <v>2349</v>
      </c>
      <c r="D945" s="177"/>
      <c r="E945" s="378">
        <v>1</v>
      </c>
      <c r="F945" s="369">
        <v>0</v>
      </c>
      <c r="G945" s="369">
        <v>1</v>
      </c>
      <c r="H945" s="369">
        <v>0</v>
      </c>
      <c r="I945" s="363">
        <f>SUM(Tabla132112412[[#This Row],[PRIMER TRIMESTRE]:[CUARTO TRIMESTRE]])</f>
        <v>2</v>
      </c>
      <c r="J945" s="175"/>
      <c r="K945" s="175"/>
      <c r="L945" s="175"/>
      <c r="M945" s="77"/>
      <c r="N945" s="77"/>
      <c r="O945" s="177"/>
    </row>
    <row r="946" spans="2:15" s="12" customFormat="1" ht="25.5">
      <c r="B946" s="77" t="s">
        <v>96</v>
      </c>
      <c r="C946" s="377" t="s">
        <v>2350</v>
      </c>
      <c r="D946" s="177"/>
      <c r="E946" s="378">
        <v>3</v>
      </c>
      <c r="F946" s="369">
        <v>0</v>
      </c>
      <c r="G946" s="369">
        <v>1</v>
      </c>
      <c r="H946" s="369">
        <v>0</v>
      </c>
      <c r="I946" s="363">
        <f>SUM(Tabla132112412[[#This Row],[PRIMER TRIMESTRE]:[CUARTO TRIMESTRE]])</f>
        <v>4</v>
      </c>
      <c r="J946" s="175"/>
      <c r="K946" s="175"/>
      <c r="L946" s="175"/>
      <c r="M946" s="77"/>
      <c r="N946" s="77"/>
      <c r="O946" s="177"/>
    </row>
    <row r="947" spans="2:15" s="12" customFormat="1" ht="25.5">
      <c r="B947" s="77" t="s">
        <v>96</v>
      </c>
      <c r="C947" s="377" t="s">
        <v>2351</v>
      </c>
      <c r="D947" s="177"/>
      <c r="E947" s="378">
        <v>3</v>
      </c>
      <c r="F947" s="369">
        <v>0</v>
      </c>
      <c r="G947" s="369">
        <v>1</v>
      </c>
      <c r="H947" s="369">
        <v>0</v>
      </c>
      <c r="I947" s="363">
        <f>SUM(Tabla132112412[[#This Row],[PRIMER TRIMESTRE]:[CUARTO TRIMESTRE]])</f>
        <v>4</v>
      </c>
      <c r="J947" s="175"/>
      <c r="K947" s="175"/>
      <c r="L947" s="175"/>
      <c r="M947" s="77"/>
      <c r="N947" s="77"/>
      <c r="O947" s="177"/>
    </row>
    <row r="948" spans="2:15" s="12" customFormat="1" ht="25.5">
      <c r="B948" s="372" t="s">
        <v>96</v>
      </c>
      <c r="C948" s="77" t="s">
        <v>1712</v>
      </c>
      <c r="D948" s="177" t="s">
        <v>17</v>
      </c>
      <c r="E948" s="370">
        <v>15</v>
      </c>
      <c r="F948" s="370">
        <v>10</v>
      </c>
      <c r="G948" s="370">
        <v>10</v>
      </c>
      <c r="H948" s="370">
        <v>10</v>
      </c>
      <c r="I948" s="363">
        <f>SUM(Tabla132112412[[#This Row],[PRIMER TRIMESTRE]:[CUARTO TRIMESTRE]])</f>
        <v>45</v>
      </c>
      <c r="J948" s="175">
        <v>0</v>
      </c>
      <c r="K948" s="175">
        <v>0</v>
      </c>
      <c r="L948" s="175"/>
      <c r="M948" s="77" t="s">
        <v>18</v>
      </c>
      <c r="N948" s="77" t="s">
        <v>22</v>
      </c>
      <c r="O948" s="177"/>
    </row>
    <row r="949" spans="2:15" s="12" customFormat="1" ht="25.5">
      <c r="B949" s="372" t="s">
        <v>96</v>
      </c>
      <c r="C949" s="77" t="s">
        <v>1218</v>
      </c>
      <c r="D949" s="177" t="s">
        <v>17</v>
      </c>
      <c r="E949" s="370">
        <v>15</v>
      </c>
      <c r="F949" s="370">
        <v>10</v>
      </c>
      <c r="G949" s="370">
        <v>10</v>
      </c>
      <c r="H949" s="370">
        <v>10</v>
      </c>
      <c r="I949" s="363">
        <f>SUM(Tabla132112412[[#This Row],[PRIMER TRIMESTRE]:[CUARTO TRIMESTRE]])</f>
        <v>45</v>
      </c>
      <c r="J949" s="175">
        <v>6460</v>
      </c>
      <c r="K949" s="175">
        <f>+I949*J949</f>
        <v>290700</v>
      </c>
      <c r="L949" s="175"/>
      <c r="M949" s="77" t="s">
        <v>18</v>
      </c>
      <c r="N949" s="77" t="s">
        <v>22</v>
      </c>
      <c r="O949" s="177"/>
    </row>
    <row r="950" spans="2:15" s="12" customFormat="1" ht="25.5">
      <c r="B950" s="372" t="s">
        <v>96</v>
      </c>
      <c r="C950" s="77" t="s">
        <v>1683</v>
      </c>
      <c r="D950" s="177" t="s">
        <v>17</v>
      </c>
      <c r="E950" s="370">
        <v>0</v>
      </c>
      <c r="F950" s="370">
        <v>0</v>
      </c>
      <c r="G950" s="370">
        <v>0</v>
      </c>
      <c r="H950" s="370">
        <v>0</v>
      </c>
      <c r="I950" s="363">
        <f>SUM(Tabla132112412[[#This Row],[PRIMER TRIMESTRE]:[CUARTO TRIMESTRE]])</f>
        <v>0</v>
      </c>
      <c r="J950" s="175">
        <v>0</v>
      </c>
      <c r="K950" s="175">
        <v>0</v>
      </c>
      <c r="L950" s="175"/>
      <c r="M950" s="77" t="s">
        <v>18</v>
      </c>
      <c r="N950" s="77" t="s">
        <v>22</v>
      </c>
      <c r="O950" s="177"/>
    </row>
    <row r="951" spans="2:15" s="12" customFormat="1" ht="25.5">
      <c r="B951" s="372" t="s">
        <v>96</v>
      </c>
      <c r="C951" s="77" t="s">
        <v>1731</v>
      </c>
      <c r="D951" s="177" t="s">
        <v>17</v>
      </c>
      <c r="E951" s="370">
        <v>20</v>
      </c>
      <c r="F951" s="370">
        <v>10</v>
      </c>
      <c r="G951" s="370">
        <v>10</v>
      </c>
      <c r="H951" s="370">
        <v>10</v>
      </c>
      <c r="I951" s="363">
        <f>SUM(Tabla132112412[[#This Row],[PRIMER TRIMESTRE]:[CUARTO TRIMESTRE]])</f>
        <v>50</v>
      </c>
      <c r="J951" s="175">
        <v>0</v>
      </c>
      <c r="K951" s="175">
        <v>0</v>
      </c>
      <c r="L951" s="175"/>
      <c r="M951" s="77" t="s">
        <v>18</v>
      </c>
      <c r="N951" s="77" t="s">
        <v>22</v>
      </c>
      <c r="O951" s="177"/>
    </row>
    <row r="952" spans="2:15" s="12" customFormat="1" ht="25.5">
      <c r="B952" s="372" t="s">
        <v>96</v>
      </c>
      <c r="C952" s="77" t="s">
        <v>770</v>
      </c>
      <c r="D952" s="177" t="s">
        <v>17</v>
      </c>
      <c r="E952" s="370">
        <v>30</v>
      </c>
      <c r="F952" s="370">
        <v>0</v>
      </c>
      <c r="G952" s="370">
        <v>20</v>
      </c>
      <c r="H952" s="370">
        <v>0</v>
      </c>
      <c r="I952" s="363">
        <f>SUM(Tabla132112412[[#This Row],[PRIMER TRIMESTRE]:[CUARTO TRIMESTRE]])</f>
        <v>50</v>
      </c>
      <c r="J952" s="175">
        <v>12589</v>
      </c>
      <c r="K952" s="175">
        <f>+Tabla132112412[[#This Row],[CANTIDAD TOTAL]]*Tabla132112412[[#This Row],[PRECIO UNITARIO ESTIMADO]]</f>
        <v>629450</v>
      </c>
      <c r="L952" s="175"/>
      <c r="M952" s="77" t="s">
        <v>18</v>
      </c>
      <c r="N952" s="77" t="s">
        <v>22</v>
      </c>
      <c r="O952" s="177"/>
    </row>
    <row r="953" spans="2:15" s="12" customFormat="1" ht="25.5">
      <c r="B953" s="372" t="s">
        <v>96</v>
      </c>
      <c r="C953" s="77" t="s">
        <v>771</v>
      </c>
      <c r="D953" s="177" t="s">
        <v>17</v>
      </c>
      <c r="E953" s="370">
        <v>85</v>
      </c>
      <c r="F953" s="370">
        <v>80</v>
      </c>
      <c r="G953" s="370">
        <v>80</v>
      </c>
      <c r="H953" s="370">
        <v>80</v>
      </c>
      <c r="I953" s="363">
        <f>SUM(Tabla132112412[[#This Row],[PRIMER TRIMESTRE]:[CUARTO TRIMESTRE]])</f>
        <v>325</v>
      </c>
      <c r="J953" s="175">
        <v>14625</v>
      </c>
      <c r="K953" s="175">
        <f t="shared" ref="K953:K1052" si="22">+I953*J953</f>
        <v>4753125</v>
      </c>
      <c r="L953" s="175"/>
      <c r="M953" s="77" t="s">
        <v>18</v>
      </c>
      <c r="N953" s="77" t="s">
        <v>22</v>
      </c>
      <c r="O953" s="177"/>
    </row>
    <row r="954" spans="2:15" s="12" customFormat="1" ht="25.5">
      <c r="B954" s="372" t="s">
        <v>96</v>
      </c>
      <c r="C954" s="77" t="s">
        <v>1219</v>
      </c>
      <c r="D954" s="177" t="s">
        <v>17</v>
      </c>
      <c r="E954" s="370">
        <v>0</v>
      </c>
      <c r="F954" s="370">
        <v>0</v>
      </c>
      <c r="G954" s="370">
        <v>0</v>
      </c>
      <c r="H954" s="370">
        <v>0</v>
      </c>
      <c r="I954" s="363">
        <f>SUM(Tabla132112412[[#This Row],[PRIMER TRIMESTRE]:[CUARTO TRIMESTRE]])</f>
        <v>0</v>
      </c>
      <c r="J954" s="175">
        <v>28650</v>
      </c>
      <c r="K954" s="175">
        <f t="shared" si="22"/>
        <v>0</v>
      </c>
      <c r="L954" s="175"/>
      <c r="M954" s="175" t="s">
        <v>18</v>
      </c>
      <c r="N954" s="77" t="s">
        <v>22</v>
      </c>
      <c r="O954" s="177"/>
    </row>
    <row r="955" spans="2:15" s="12" customFormat="1" ht="25.5">
      <c r="B955" s="372" t="s">
        <v>96</v>
      </c>
      <c r="C955" s="77" t="s">
        <v>803</v>
      </c>
      <c r="D955" s="177" t="s">
        <v>343</v>
      </c>
      <c r="E955" s="370">
        <v>1000</v>
      </c>
      <c r="F955" s="370">
        <v>500</v>
      </c>
      <c r="G955" s="370">
        <v>500</v>
      </c>
      <c r="H955" s="370">
        <v>500</v>
      </c>
      <c r="I955" s="363">
        <f>SUM(Tabla132112412[[#This Row],[PRIMER TRIMESTRE]:[CUARTO TRIMESTRE]])</f>
        <v>2500</v>
      </c>
      <c r="J955" s="175">
        <v>5.64</v>
      </c>
      <c r="K955" s="175">
        <f t="shared" si="22"/>
        <v>14100</v>
      </c>
      <c r="L955" s="175"/>
      <c r="M955" s="175" t="s">
        <v>18</v>
      </c>
      <c r="N955" s="77" t="s">
        <v>22</v>
      </c>
      <c r="O955" s="177" t="s">
        <v>418</v>
      </c>
    </row>
    <row r="956" spans="2:15" s="12" customFormat="1" ht="25.5">
      <c r="B956" s="372" t="s">
        <v>96</v>
      </c>
      <c r="C956" s="77" t="s">
        <v>804</v>
      </c>
      <c r="D956" s="177" t="s">
        <v>343</v>
      </c>
      <c r="E956" s="370">
        <v>1000</v>
      </c>
      <c r="F956" s="370">
        <v>500</v>
      </c>
      <c r="G956" s="370">
        <v>500</v>
      </c>
      <c r="H956" s="370">
        <v>500</v>
      </c>
      <c r="I956" s="363">
        <f>SUM(Tabla132112412[[#This Row],[PRIMER TRIMESTRE]:[CUARTO TRIMESTRE]])</f>
        <v>2500</v>
      </c>
      <c r="J956" s="175">
        <v>12</v>
      </c>
      <c r="K956" s="175">
        <f t="shared" si="22"/>
        <v>30000</v>
      </c>
      <c r="L956" s="175"/>
      <c r="M956" s="175" t="s">
        <v>18</v>
      </c>
      <c r="N956" s="77" t="s">
        <v>22</v>
      </c>
      <c r="O956" s="177" t="s">
        <v>418</v>
      </c>
    </row>
    <row r="957" spans="2:15" s="12" customFormat="1" ht="25.5">
      <c r="B957" s="372" t="s">
        <v>96</v>
      </c>
      <c r="C957" s="77" t="s">
        <v>805</v>
      </c>
      <c r="D957" s="177" t="s">
        <v>343</v>
      </c>
      <c r="E957" s="370">
        <v>1000</v>
      </c>
      <c r="F957" s="370">
        <v>500</v>
      </c>
      <c r="G957" s="370">
        <v>500</v>
      </c>
      <c r="H957" s="370">
        <v>500</v>
      </c>
      <c r="I957" s="363">
        <f>SUM(Tabla132112412[[#This Row],[PRIMER TRIMESTRE]:[CUARTO TRIMESTRE]])</f>
        <v>2500</v>
      </c>
      <c r="J957" s="175">
        <v>19</v>
      </c>
      <c r="K957" s="175">
        <f t="shared" si="22"/>
        <v>47500</v>
      </c>
      <c r="L957" s="175"/>
      <c r="M957" s="175" t="s">
        <v>18</v>
      </c>
      <c r="N957" s="77" t="s">
        <v>22</v>
      </c>
      <c r="O957" s="177" t="s">
        <v>418</v>
      </c>
    </row>
    <row r="958" spans="2:15" s="12" customFormat="1" ht="25.5">
      <c r="B958" s="372" t="s">
        <v>96</v>
      </c>
      <c r="C958" s="77" t="s">
        <v>806</v>
      </c>
      <c r="D958" s="177" t="s">
        <v>343</v>
      </c>
      <c r="E958" s="370">
        <v>1000</v>
      </c>
      <c r="F958" s="370">
        <v>500</v>
      </c>
      <c r="G958" s="370">
        <v>500</v>
      </c>
      <c r="H958" s="370">
        <v>500</v>
      </c>
      <c r="I958" s="363">
        <f>SUM(Tabla132112412[[#This Row],[PRIMER TRIMESTRE]:[CUARTO TRIMESTRE]])</f>
        <v>2500</v>
      </c>
      <c r="J958" s="175">
        <v>22</v>
      </c>
      <c r="K958" s="175">
        <f t="shared" si="22"/>
        <v>55000</v>
      </c>
      <c r="L958" s="175"/>
      <c r="M958" s="175" t="s">
        <v>18</v>
      </c>
      <c r="N958" s="77" t="s">
        <v>22</v>
      </c>
      <c r="O958" s="177" t="s">
        <v>418</v>
      </c>
    </row>
    <row r="959" spans="2:15" s="12" customFormat="1" ht="25.5">
      <c r="B959" s="372" t="s">
        <v>96</v>
      </c>
      <c r="C959" s="77" t="s">
        <v>807</v>
      </c>
      <c r="D959" s="177" t="s">
        <v>343</v>
      </c>
      <c r="E959" s="370">
        <v>1000</v>
      </c>
      <c r="F959" s="370">
        <v>500</v>
      </c>
      <c r="G959" s="370">
        <v>500</v>
      </c>
      <c r="H959" s="370">
        <v>500</v>
      </c>
      <c r="I959" s="363">
        <f>SUM(Tabla132112412[[#This Row],[PRIMER TRIMESTRE]:[CUARTO TRIMESTRE]])</f>
        <v>2500</v>
      </c>
      <c r="J959" s="175">
        <v>30.5</v>
      </c>
      <c r="K959" s="175">
        <f t="shared" si="22"/>
        <v>76250</v>
      </c>
      <c r="L959" s="175"/>
      <c r="M959" s="175" t="s">
        <v>18</v>
      </c>
      <c r="N959" s="77" t="s">
        <v>22</v>
      </c>
      <c r="O959" s="177" t="s">
        <v>418</v>
      </c>
    </row>
    <row r="960" spans="2:15" s="12" customFormat="1" ht="25.5">
      <c r="B960" s="372" t="s">
        <v>96</v>
      </c>
      <c r="C960" s="77" t="s">
        <v>808</v>
      </c>
      <c r="D960" s="177" t="s">
        <v>343</v>
      </c>
      <c r="E960" s="370">
        <v>1000</v>
      </c>
      <c r="F960" s="370">
        <v>500</v>
      </c>
      <c r="G960" s="370">
        <v>500</v>
      </c>
      <c r="H960" s="370">
        <v>500</v>
      </c>
      <c r="I960" s="363">
        <f>SUM(Tabla132112412[[#This Row],[PRIMER TRIMESTRE]:[CUARTO TRIMESTRE]])</f>
        <v>2500</v>
      </c>
      <c r="J960" s="175">
        <v>49.27</v>
      </c>
      <c r="K960" s="175">
        <f t="shared" si="22"/>
        <v>123175.00000000001</v>
      </c>
      <c r="L960" s="175"/>
      <c r="M960" s="175" t="s">
        <v>18</v>
      </c>
      <c r="N960" s="77" t="s">
        <v>22</v>
      </c>
      <c r="O960" s="177" t="s">
        <v>418</v>
      </c>
    </row>
    <row r="961" spans="2:15" s="12" customFormat="1" ht="25.5">
      <c r="B961" s="372" t="s">
        <v>96</v>
      </c>
      <c r="C961" s="77" t="s">
        <v>809</v>
      </c>
      <c r="D961" s="177" t="s">
        <v>343</v>
      </c>
      <c r="E961" s="370">
        <v>1000</v>
      </c>
      <c r="F961" s="370">
        <v>500</v>
      </c>
      <c r="G961" s="370">
        <v>500</v>
      </c>
      <c r="H961" s="370">
        <v>500</v>
      </c>
      <c r="I961" s="363">
        <f>SUM(Tabla132112412[[#This Row],[PRIMER TRIMESTRE]:[CUARTO TRIMESTRE]])</f>
        <v>2500</v>
      </c>
      <c r="J961" s="175">
        <v>73</v>
      </c>
      <c r="K961" s="175">
        <f t="shared" si="22"/>
        <v>182500</v>
      </c>
      <c r="L961" s="175"/>
      <c r="M961" s="175" t="s">
        <v>18</v>
      </c>
      <c r="N961" s="77" t="s">
        <v>22</v>
      </c>
      <c r="O961" s="177" t="s">
        <v>418</v>
      </c>
    </row>
    <row r="962" spans="2:15" s="12" customFormat="1" ht="25.5">
      <c r="B962" s="372" t="s">
        <v>96</v>
      </c>
      <c r="C962" s="77" t="s">
        <v>810</v>
      </c>
      <c r="D962" s="177" t="s">
        <v>343</v>
      </c>
      <c r="E962" s="370">
        <v>1000</v>
      </c>
      <c r="F962" s="370">
        <v>500</v>
      </c>
      <c r="G962" s="370">
        <v>500</v>
      </c>
      <c r="H962" s="370">
        <v>500</v>
      </c>
      <c r="I962" s="363">
        <f>SUM(Tabla132112412[[#This Row],[PRIMER TRIMESTRE]:[CUARTO TRIMESTRE]])</f>
        <v>2500</v>
      </c>
      <c r="J962" s="175">
        <v>95</v>
      </c>
      <c r="K962" s="175">
        <f t="shared" si="22"/>
        <v>237500</v>
      </c>
      <c r="L962" s="175"/>
      <c r="M962" s="175" t="s">
        <v>18</v>
      </c>
      <c r="N962" s="77" t="s">
        <v>22</v>
      </c>
      <c r="O962" s="177" t="s">
        <v>418</v>
      </c>
    </row>
    <row r="963" spans="2:15" s="12" customFormat="1" ht="25.5">
      <c r="B963" s="372" t="s">
        <v>96</v>
      </c>
      <c r="C963" s="77" t="s">
        <v>811</v>
      </c>
      <c r="D963" s="177" t="s">
        <v>343</v>
      </c>
      <c r="E963" s="370">
        <v>500</v>
      </c>
      <c r="F963" s="370">
        <v>0</v>
      </c>
      <c r="G963" s="370">
        <v>0</v>
      </c>
      <c r="H963" s="370">
        <v>0</v>
      </c>
      <c r="I963" s="363">
        <f>SUM(Tabla132112412[[#This Row],[PRIMER TRIMESTRE]:[CUARTO TRIMESTRE]])</f>
        <v>500</v>
      </c>
      <c r="J963" s="175">
        <v>121.25</v>
      </c>
      <c r="K963" s="175">
        <f t="shared" si="22"/>
        <v>60625</v>
      </c>
      <c r="L963" s="175"/>
      <c r="M963" s="175" t="s">
        <v>18</v>
      </c>
      <c r="N963" s="77" t="s">
        <v>22</v>
      </c>
      <c r="O963" s="177" t="s">
        <v>418</v>
      </c>
    </row>
    <row r="964" spans="2:15" s="12" customFormat="1" ht="25.5">
      <c r="B964" s="372" t="s">
        <v>96</v>
      </c>
      <c r="C964" s="77" t="s">
        <v>812</v>
      </c>
      <c r="D964" s="177" t="s">
        <v>343</v>
      </c>
      <c r="E964" s="370">
        <v>1000</v>
      </c>
      <c r="F964" s="370">
        <v>500</v>
      </c>
      <c r="G964" s="370">
        <v>500</v>
      </c>
      <c r="H964" s="370">
        <v>500</v>
      </c>
      <c r="I964" s="363">
        <f>SUM(Tabla132112412[[#This Row],[PRIMER TRIMESTRE]:[CUARTO TRIMESTRE]])</f>
        <v>2500</v>
      </c>
      <c r="J964" s="175">
        <v>163.98</v>
      </c>
      <c r="K964" s="175">
        <f t="shared" si="22"/>
        <v>409950</v>
      </c>
      <c r="L964" s="175"/>
      <c r="M964" s="175" t="s">
        <v>18</v>
      </c>
      <c r="N964" s="77" t="s">
        <v>22</v>
      </c>
      <c r="O964" s="177" t="s">
        <v>418</v>
      </c>
    </row>
    <row r="965" spans="2:15" s="12" customFormat="1" ht="18">
      <c r="B965" s="372"/>
      <c r="C965" s="77" t="s">
        <v>2352</v>
      </c>
      <c r="D965" s="177" t="s">
        <v>343</v>
      </c>
      <c r="E965" s="365">
        <v>500</v>
      </c>
      <c r="F965" s="365">
        <v>500</v>
      </c>
      <c r="G965" s="365">
        <v>500</v>
      </c>
      <c r="H965" s="365">
        <v>500</v>
      </c>
      <c r="I965" s="363">
        <f>SUM(Tabla132112412[[#This Row],[PRIMER TRIMESTRE]:[CUARTO TRIMESTRE]])</f>
        <v>2000</v>
      </c>
      <c r="J965" s="175"/>
      <c r="K965" s="175"/>
      <c r="L965" s="175"/>
      <c r="M965" s="175"/>
      <c r="N965" s="77"/>
      <c r="O965" s="177"/>
    </row>
    <row r="966" spans="2:15" s="12" customFormat="1" ht="25.5">
      <c r="B966" s="372" t="s">
        <v>96</v>
      </c>
      <c r="C966" s="77" t="s">
        <v>1479</v>
      </c>
      <c r="D966" s="177" t="s">
        <v>343</v>
      </c>
      <c r="E966" s="370">
        <v>500</v>
      </c>
      <c r="F966" s="370">
        <v>0</v>
      </c>
      <c r="G966" s="370">
        <v>0</v>
      </c>
      <c r="H966" s="370">
        <v>0</v>
      </c>
      <c r="I966" s="363">
        <f>SUM(Tabla132112412[[#This Row],[PRIMER TRIMESTRE]:[CUARTO TRIMESTRE]])</f>
        <v>500</v>
      </c>
      <c r="J966" s="175">
        <v>249.9</v>
      </c>
      <c r="K966" s="175">
        <f t="shared" si="22"/>
        <v>124950</v>
      </c>
      <c r="L966" s="175"/>
      <c r="M966" s="175" t="s">
        <v>18</v>
      </c>
      <c r="N966" s="77" t="s">
        <v>22</v>
      </c>
      <c r="O966" s="177" t="s">
        <v>418</v>
      </c>
    </row>
    <row r="967" spans="2:15" s="12" customFormat="1" ht="25.5">
      <c r="B967" s="372" t="s">
        <v>96</v>
      </c>
      <c r="C967" s="77" t="s">
        <v>1463</v>
      </c>
      <c r="D967" s="177" t="s">
        <v>343</v>
      </c>
      <c r="E967" s="370">
        <v>500</v>
      </c>
      <c r="F967" s="370">
        <v>0</v>
      </c>
      <c r="G967" s="370">
        <v>0</v>
      </c>
      <c r="H967" s="370">
        <v>0</v>
      </c>
      <c r="I967" s="363">
        <f>SUM(Tabla132112412[[#This Row],[PRIMER TRIMESTRE]:[CUARTO TRIMESTRE]])</f>
        <v>500</v>
      </c>
      <c r="J967" s="175">
        <v>175</v>
      </c>
      <c r="K967" s="175">
        <f t="shared" si="22"/>
        <v>87500</v>
      </c>
      <c r="L967" s="175"/>
      <c r="M967" s="175" t="s">
        <v>18</v>
      </c>
      <c r="N967" s="77" t="s">
        <v>22</v>
      </c>
      <c r="O967" s="177" t="s">
        <v>418</v>
      </c>
    </row>
    <row r="968" spans="2:15" s="12" customFormat="1" ht="25.5">
      <c r="B968" s="372" t="s">
        <v>96</v>
      </c>
      <c r="C968" s="77" t="s">
        <v>1448</v>
      </c>
      <c r="D968" s="177" t="s">
        <v>343</v>
      </c>
      <c r="E968" s="370">
        <v>1000</v>
      </c>
      <c r="F968" s="370">
        <v>500</v>
      </c>
      <c r="G968" s="370">
        <v>500</v>
      </c>
      <c r="H968" s="370">
        <v>500</v>
      </c>
      <c r="I968" s="363">
        <f>SUM(Tabla132112412[[#This Row],[PRIMER TRIMESTRE]:[CUARTO TRIMESTRE]])</f>
        <v>2500</v>
      </c>
      <c r="J968" s="175">
        <v>120</v>
      </c>
      <c r="K968" s="175">
        <f t="shared" si="22"/>
        <v>300000</v>
      </c>
      <c r="L968" s="175"/>
      <c r="M968" s="175" t="s">
        <v>18</v>
      </c>
      <c r="N968" s="77" t="s">
        <v>22</v>
      </c>
      <c r="O968" s="177" t="s">
        <v>418</v>
      </c>
    </row>
    <row r="969" spans="2:15" s="12" customFormat="1" ht="25.5">
      <c r="B969" s="372" t="s">
        <v>96</v>
      </c>
      <c r="C969" s="77" t="s">
        <v>1476</v>
      </c>
      <c r="D969" s="177" t="s">
        <v>343</v>
      </c>
      <c r="E969" s="370">
        <v>500</v>
      </c>
      <c r="F969" s="370">
        <v>0</v>
      </c>
      <c r="G969" s="370">
        <v>0</v>
      </c>
      <c r="H969" s="370">
        <v>0</v>
      </c>
      <c r="I969" s="363">
        <f>SUM(Tabla132112412[[#This Row],[PRIMER TRIMESTRE]:[CUARTO TRIMESTRE]])</f>
        <v>500</v>
      </c>
      <c r="J969" s="175">
        <v>48.72</v>
      </c>
      <c r="K969" s="175">
        <f t="shared" si="22"/>
        <v>24360</v>
      </c>
      <c r="L969" s="175"/>
      <c r="M969" s="175" t="s">
        <v>18</v>
      </c>
      <c r="N969" s="77" t="s">
        <v>22</v>
      </c>
      <c r="O969" s="177" t="s">
        <v>418</v>
      </c>
    </row>
    <row r="970" spans="2:15" s="12" customFormat="1" ht="25.5">
      <c r="B970" s="372" t="s">
        <v>96</v>
      </c>
      <c r="C970" s="77" t="s">
        <v>1477</v>
      </c>
      <c r="D970" s="177" t="s">
        <v>343</v>
      </c>
      <c r="E970" s="370">
        <v>500</v>
      </c>
      <c r="F970" s="370">
        <v>0</v>
      </c>
      <c r="G970" s="370">
        <v>0</v>
      </c>
      <c r="H970" s="370">
        <v>0</v>
      </c>
      <c r="I970" s="363">
        <f>SUM(Tabla132112412[[#This Row],[PRIMER TRIMESTRE]:[CUARTO TRIMESTRE]])</f>
        <v>500</v>
      </c>
      <c r="J970" s="175">
        <v>78</v>
      </c>
      <c r="K970" s="175">
        <f t="shared" si="22"/>
        <v>39000</v>
      </c>
      <c r="L970" s="175"/>
      <c r="M970" s="175" t="s">
        <v>18</v>
      </c>
      <c r="N970" s="77" t="s">
        <v>22</v>
      </c>
      <c r="O970" s="177" t="s">
        <v>418</v>
      </c>
    </row>
    <row r="971" spans="2:15" s="12" customFormat="1" ht="25.5">
      <c r="B971" s="372" t="s">
        <v>96</v>
      </c>
      <c r="C971" s="77" t="s">
        <v>1680</v>
      </c>
      <c r="D971" s="177" t="s">
        <v>343</v>
      </c>
      <c r="E971" s="370">
        <v>1000</v>
      </c>
      <c r="F971" s="370">
        <v>500</v>
      </c>
      <c r="G971" s="370">
        <v>500</v>
      </c>
      <c r="H971" s="370">
        <v>500</v>
      </c>
      <c r="I971" s="363">
        <f>SUM(Tabla132112412[[#This Row],[PRIMER TRIMESTRE]:[CUARTO TRIMESTRE]])</f>
        <v>2500</v>
      </c>
      <c r="J971" s="175">
        <v>0</v>
      </c>
      <c r="K971" s="175">
        <v>0</v>
      </c>
      <c r="L971" s="175"/>
      <c r="M971" s="175" t="s">
        <v>18</v>
      </c>
      <c r="N971" s="77" t="s">
        <v>22</v>
      </c>
      <c r="O971" s="177" t="s">
        <v>418</v>
      </c>
    </row>
    <row r="972" spans="2:15" s="12" customFormat="1" ht="25.5">
      <c r="B972" s="372" t="s">
        <v>96</v>
      </c>
      <c r="C972" s="77" t="s">
        <v>1478</v>
      </c>
      <c r="D972" s="177" t="s">
        <v>343</v>
      </c>
      <c r="E972" s="370">
        <v>650</v>
      </c>
      <c r="F972" s="370">
        <v>150</v>
      </c>
      <c r="G972" s="370">
        <v>150</v>
      </c>
      <c r="H972" s="370">
        <v>150</v>
      </c>
      <c r="I972" s="363">
        <f>SUM(Tabla132112412[[#This Row],[PRIMER TRIMESTRE]:[CUARTO TRIMESTRE]])</f>
        <v>1100</v>
      </c>
      <c r="J972" s="175">
        <v>109.2</v>
      </c>
      <c r="K972" s="175">
        <f t="shared" si="22"/>
        <v>120120</v>
      </c>
      <c r="L972" s="175"/>
      <c r="M972" s="175" t="s">
        <v>18</v>
      </c>
      <c r="N972" s="77" t="s">
        <v>22</v>
      </c>
      <c r="O972" s="177" t="s">
        <v>418</v>
      </c>
    </row>
    <row r="973" spans="2:15" s="12" customFormat="1" ht="25.5">
      <c r="B973" s="372" t="s">
        <v>96</v>
      </c>
      <c r="C973" s="77" t="s">
        <v>1473</v>
      </c>
      <c r="D973" s="177" t="s">
        <v>343</v>
      </c>
      <c r="E973" s="370">
        <v>500</v>
      </c>
      <c r="F973" s="370">
        <v>0</v>
      </c>
      <c r="G973" s="370">
        <v>0</v>
      </c>
      <c r="H973" s="370">
        <v>0</v>
      </c>
      <c r="I973" s="363">
        <f>SUM(Tabla132112412[[#This Row],[PRIMER TRIMESTRE]:[CUARTO TRIMESTRE]])</f>
        <v>500</v>
      </c>
      <c r="J973" s="175">
        <v>126</v>
      </c>
      <c r="K973" s="175">
        <f t="shared" si="22"/>
        <v>63000</v>
      </c>
      <c r="L973" s="175"/>
      <c r="M973" s="175" t="s">
        <v>18</v>
      </c>
      <c r="N973" s="77" t="s">
        <v>22</v>
      </c>
      <c r="O973" s="177" t="s">
        <v>418</v>
      </c>
    </row>
    <row r="974" spans="2:15" s="12" customFormat="1" ht="25.5">
      <c r="B974" s="372" t="s">
        <v>96</v>
      </c>
      <c r="C974" s="77" t="s">
        <v>1474</v>
      </c>
      <c r="D974" s="177" t="s">
        <v>343</v>
      </c>
      <c r="E974" s="370">
        <v>500</v>
      </c>
      <c r="F974" s="370">
        <v>0</v>
      </c>
      <c r="G974" s="370">
        <v>0</v>
      </c>
      <c r="H974" s="370">
        <v>0</v>
      </c>
      <c r="I974" s="363">
        <f>SUM(Tabla132112412[[#This Row],[PRIMER TRIMESTRE]:[CUARTO TRIMESTRE]])</f>
        <v>500</v>
      </c>
      <c r="J974" s="175">
        <v>10.8</v>
      </c>
      <c r="K974" s="175">
        <f t="shared" si="22"/>
        <v>5400</v>
      </c>
      <c r="L974" s="175"/>
      <c r="M974" s="175" t="s">
        <v>18</v>
      </c>
      <c r="N974" s="77" t="s">
        <v>22</v>
      </c>
      <c r="O974" s="177" t="s">
        <v>418</v>
      </c>
    </row>
    <row r="975" spans="2:15" s="12" customFormat="1" ht="25.5">
      <c r="B975" s="372" t="s">
        <v>96</v>
      </c>
      <c r="C975" s="77" t="s">
        <v>1475</v>
      </c>
      <c r="D975" s="177" t="s">
        <v>343</v>
      </c>
      <c r="E975" s="370">
        <v>500</v>
      </c>
      <c r="F975" s="370">
        <v>0</v>
      </c>
      <c r="G975" s="370">
        <v>0</v>
      </c>
      <c r="H975" s="370">
        <v>0</v>
      </c>
      <c r="I975" s="363">
        <f>SUM(Tabla132112412[[#This Row],[PRIMER TRIMESTRE]:[CUARTO TRIMESTRE]])</f>
        <v>500</v>
      </c>
      <c r="J975" s="175">
        <v>98.88</v>
      </c>
      <c r="K975" s="175">
        <f t="shared" si="22"/>
        <v>49440</v>
      </c>
      <c r="L975" s="175"/>
      <c r="M975" s="175" t="s">
        <v>18</v>
      </c>
      <c r="N975" s="77" t="s">
        <v>22</v>
      </c>
      <c r="O975" s="177" t="s">
        <v>418</v>
      </c>
    </row>
    <row r="976" spans="2:15" s="12" customFormat="1" ht="25.5">
      <c r="B976" s="372" t="s">
        <v>96</v>
      </c>
      <c r="C976" s="77" t="s">
        <v>1480</v>
      </c>
      <c r="D976" s="177" t="s">
        <v>343</v>
      </c>
      <c r="E976" s="370">
        <v>500</v>
      </c>
      <c r="F976" s="370">
        <v>0</v>
      </c>
      <c r="G976" s="370">
        <v>0</v>
      </c>
      <c r="H976" s="370">
        <v>0</v>
      </c>
      <c r="I976" s="363">
        <f>SUM(Tabla132112412[[#This Row],[PRIMER TRIMESTRE]:[CUARTO TRIMESTRE]])</f>
        <v>500</v>
      </c>
      <c r="J976" s="175">
        <v>169.73</v>
      </c>
      <c r="K976" s="175">
        <f t="shared" si="22"/>
        <v>84865</v>
      </c>
      <c r="L976" s="175"/>
      <c r="M976" s="175" t="s">
        <v>18</v>
      </c>
      <c r="N976" s="77" t="s">
        <v>22</v>
      </c>
      <c r="O976" s="177" t="s">
        <v>418</v>
      </c>
    </row>
    <row r="977" spans="2:15" s="12" customFormat="1" ht="25.5">
      <c r="B977" s="372" t="s">
        <v>96</v>
      </c>
      <c r="C977" s="77" t="s">
        <v>1481</v>
      </c>
      <c r="D977" s="177" t="s">
        <v>343</v>
      </c>
      <c r="E977" s="370">
        <v>650</v>
      </c>
      <c r="F977" s="370">
        <v>150</v>
      </c>
      <c r="G977" s="370">
        <v>150</v>
      </c>
      <c r="H977" s="370">
        <v>150</v>
      </c>
      <c r="I977" s="363">
        <f>SUM(Tabla132112412[[#This Row],[PRIMER TRIMESTRE]:[CUARTO TRIMESTRE]])</f>
        <v>1100</v>
      </c>
      <c r="J977" s="175">
        <v>49</v>
      </c>
      <c r="K977" s="175">
        <f t="shared" si="22"/>
        <v>53900</v>
      </c>
      <c r="L977" s="175"/>
      <c r="M977" s="175" t="s">
        <v>18</v>
      </c>
      <c r="N977" s="77" t="s">
        <v>22</v>
      </c>
      <c r="O977" s="177" t="s">
        <v>418</v>
      </c>
    </row>
    <row r="978" spans="2:15" s="12" customFormat="1" ht="25.5">
      <c r="B978" s="77" t="s">
        <v>96</v>
      </c>
      <c r="C978" s="472" t="s">
        <v>2353</v>
      </c>
      <c r="D978" s="177"/>
      <c r="E978" s="378">
        <v>12</v>
      </c>
      <c r="F978" s="369">
        <v>0</v>
      </c>
      <c r="G978" s="369">
        <v>3</v>
      </c>
      <c r="H978" s="369">
        <v>0</v>
      </c>
      <c r="I978" s="363">
        <f>SUM(Tabla132112412[[#This Row],[PRIMER TRIMESTRE]:[CUARTO TRIMESTRE]])</f>
        <v>15</v>
      </c>
      <c r="J978" s="175"/>
      <c r="K978" s="175"/>
      <c r="L978" s="175"/>
      <c r="M978" s="175"/>
      <c r="N978" s="77"/>
      <c r="O978" s="177"/>
    </row>
    <row r="979" spans="2:15" s="12" customFormat="1" ht="25.5">
      <c r="B979" s="77" t="s">
        <v>96</v>
      </c>
      <c r="C979" s="472" t="s">
        <v>2354</v>
      </c>
      <c r="D979" s="177"/>
      <c r="E979" s="378">
        <v>12</v>
      </c>
      <c r="F979" s="369">
        <v>0</v>
      </c>
      <c r="G979" s="369">
        <v>3</v>
      </c>
      <c r="H979" s="369">
        <v>0</v>
      </c>
      <c r="I979" s="363">
        <f>SUM(Tabla132112412[[#This Row],[PRIMER TRIMESTRE]:[CUARTO TRIMESTRE]])</f>
        <v>15</v>
      </c>
      <c r="J979" s="175"/>
      <c r="K979" s="175"/>
      <c r="L979" s="175"/>
      <c r="M979" s="175"/>
      <c r="N979" s="77"/>
      <c r="O979" s="177"/>
    </row>
    <row r="980" spans="2:15" s="12" customFormat="1" ht="25.5">
      <c r="B980" s="77" t="s">
        <v>96</v>
      </c>
      <c r="C980" s="377" t="s">
        <v>2355</v>
      </c>
      <c r="D980" s="177"/>
      <c r="E980" s="378">
        <v>2</v>
      </c>
      <c r="F980" s="369">
        <v>0</v>
      </c>
      <c r="G980" s="369">
        <v>0</v>
      </c>
      <c r="H980" s="369">
        <v>0</v>
      </c>
      <c r="I980" s="363">
        <f>SUM(Tabla132112412[[#This Row],[PRIMER TRIMESTRE]:[CUARTO TRIMESTRE]])</f>
        <v>2</v>
      </c>
      <c r="J980" s="175"/>
      <c r="K980" s="175"/>
      <c r="L980" s="175"/>
      <c r="M980" s="175"/>
      <c r="N980" s="77"/>
      <c r="O980" s="177"/>
    </row>
    <row r="981" spans="2:15" s="12" customFormat="1" ht="25.5">
      <c r="B981" s="77" t="s">
        <v>96</v>
      </c>
      <c r="C981" s="472" t="s">
        <v>2356</v>
      </c>
      <c r="D981" s="177"/>
      <c r="E981" s="378">
        <v>4</v>
      </c>
      <c r="F981" s="369">
        <v>0</v>
      </c>
      <c r="G981" s="369">
        <v>1</v>
      </c>
      <c r="H981" s="369">
        <v>0</v>
      </c>
      <c r="I981" s="363">
        <f>SUM(Tabla132112412[[#This Row],[PRIMER TRIMESTRE]:[CUARTO TRIMESTRE]])</f>
        <v>5</v>
      </c>
      <c r="J981" s="175"/>
      <c r="K981" s="175"/>
      <c r="L981" s="175"/>
      <c r="M981" s="175"/>
      <c r="N981" s="77"/>
      <c r="O981" s="177"/>
    </row>
    <row r="982" spans="2:15" s="12" customFormat="1" ht="25.5">
      <c r="B982" s="77" t="s">
        <v>96</v>
      </c>
      <c r="C982" s="376" t="s">
        <v>2357</v>
      </c>
      <c r="D982" s="177"/>
      <c r="E982" s="369">
        <v>6</v>
      </c>
      <c r="F982" s="369">
        <v>2</v>
      </c>
      <c r="G982" s="369">
        <v>2</v>
      </c>
      <c r="H982" s="369">
        <v>2</v>
      </c>
      <c r="I982" s="363">
        <f>SUM(Tabla132112412[[#This Row],[PRIMER TRIMESTRE]:[CUARTO TRIMESTRE]])</f>
        <v>12</v>
      </c>
      <c r="J982" s="175"/>
      <c r="K982" s="175"/>
      <c r="L982" s="175"/>
      <c r="M982" s="175"/>
      <c r="N982" s="77"/>
      <c r="O982" s="177"/>
    </row>
    <row r="983" spans="2:15" s="12" customFormat="1" ht="25.5">
      <c r="B983" s="372" t="s">
        <v>96</v>
      </c>
      <c r="C983" s="77" t="s">
        <v>1691</v>
      </c>
      <c r="D983" s="177" t="s">
        <v>343</v>
      </c>
      <c r="E983" s="370">
        <v>650</v>
      </c>
      <c r="F983" s="370">
        <v>150</v>
      </c>
      <c r="G983" s="370">
        <v>150</v>
      </c>
      <c r="H983" s="370">
        <v>150</v>
      </c>
      <c r="I983" s="363">
        <f>SUM(Tabla132112412[[#This Row],[PRIMER TRIMESTRE]:[CUARTO TRIMESTRE]])</f>
        <v>1100</v>
      </c>
      <c r="J983" s="175">
        <v>0</v>
      </c>
      <c r="K983" s="175">
        <v>0</v>
      </c>
      <c r="L983" s="175"/>
      <c r="M983" s="175" t="s">
        <v>18</v>
      </c>
      <c r="N983" s="77" t="s">
        <v>22</v>
      </c>
      <c r="O983" s="177" t="s">
        <v>418</v>
      </c>
    </row>
    <row r="984" spans="2:15" s="12" customFormat="1" ht="25.5">
      <c r="B984" s="372" t="s">
        <v>96</v>
      </c>
      <c r="C984" s="77" t="s">
        <v>813</v>
      </c>
      <c r="D984" s="177" t="s">
        <v>343</v>
      </c>
      <c r="E984" s="370">
        <v>750</v>
      </c>
      <c r="F984" s="370">
        <v>250</v>
      </c>
      <c r="G984" s="370">
        <v>250</v>
      </c>
      <c r="H984" s="370">
        <v>250</v>
      </c>
      <c r="I984" s="363">
        <f>SUM(Tabla132112412[[#This Row],[PRIMER TRIMESTRE]:[CUARTO TRIMESTRE]])</f>
        <v>1500</v>
      </c>
      <c r="J984" s="175">
        <v>309.39999999999998</v>
      </c>
      <c r="K984" s="175">
        <f t="shared" si="22"/>
        <v>464099.99999999994</v>
      </c>
      <c r="L984" s="175"/>
      <c r="M984" s="175" t="s">
        <v>18</v>
      </c>
      <c r="N984" s="77" t="s">
        <v>22</v>
      </c>
      <c r="O984" s="177" t="s">
        <v>418</v>
      </c>
    </row>
    <row r="985" spans="2:15" s="12" customFormat="1" ht="25.5">
      <c r="B985" s="372" t="s">
        <v>1676</v>
      </c>
      <c r="C985" s="77" t="s">
        <v>1853</v>
      </c>
      <c r="D985" s="177" t="s">
        <v>343</v>
      </c>
      <c r="E985" s="370">
        <v>500</v>
      </c>
      <c r="F985" s="370">
        <v>0</v>
      </c>
      <c r="G985" s="370">
        <v>0</v>
      </c>
      <c r="H985" s="370">
        <v>0</v>
      </c>
      <c r="I985" s="363">
        <f>SUM(Tabla132112412[[#This Row],[PRIMER TRIMESTRE]:[CUARTO TRIMESTRE]])</f>
        <v>500</v>
      </c>
      <c r="J985" s="175">
        <v>0</v>
      </c>
      <c r="K985" s="175">
        <v>0</v>
      </c>
      <c r="L985" s="175"/>
      <c r="M985" s="175" t="s">
        <v>18</v>
      </c>
      <c r="N985" s="77" t="s">
        <v>22</v>
      </c>
      <c r="O985" s="177" t="s">
        <v>418</v>
      </c>
    </row>
    <row r="986" spans="2:15" s="12" customFormat="1" ht="25.5">
      <c r="B986" s="372" t="s">
        <v>96</v>
      </c>
      <c r="C986" s="77" t="s">
        <v>2358</v>
      </c>
      <c r="D986" s="177" t="s">
        <v>17</v>
      </c>
      <c r="E986" s="370">
        <v>5</v>
      </c>
      <c r="F986" s="370">
        <v>0</v>
      </c>
      <c r="G986" s="370">
        <v>0</v>
      </c>
      <c r="H986" s="370">
        <v>0</v>
      </c>
      <c r="I986" s="363">
        <f>SUM(Tabla132112412[[#This Row],[PRIMER TRIMESTRE]:[CUARTO TRIMESTRE]])</f>
        <v>5</v>
      </c>
      <c r="J986" s="175">
        <v>131500</v>
      </c>
      <c r="K986" s="175">
        <f t="shared" si="22"/>
        <v>657500</v>
      </c>
      <c r="L986" s="175"/>
      <c r="M986" s="175" t="s">
        <v>18</v>
      </c>
      <c r="N986" s="77" t="s">
        <v>22</v>
      </c>
      <c r="O986" s="177" t="s">
        <v>418</v>
      </c>
    </row>
    <row r="987" spans="2:15" s="12" customFormat="1" ht="25.5">
      <c r="B987" s="372" t="s">
        <v>96</v>
      </c>
      <c r="C987" s="77" t="s">
        <v>1570</v>
      </c>
      <c r="D987" s="177" t="s">
        <v>343</v>
      </c>
      <c r="E987" s="370">
        <v>500</v>
      </c>
      <c r="F987" s="370">
        <v>0</v>
      </c>
      <c r="G987" s="370">
        <v>0</v>
      </c>
      <c r="H987" s="370">
        <v>0</v>
      </c>
      <c r="I987" s="363">
        <f>SUM(Tabla132112412[[#This Row],[PRIMER TRIMESTRE]:[CUARTO TRIMESTRE]])</f>
        <v>500</v>
      </c>
      <c r="J987" s="175">
        <v>31.11</v>
      </c>
      <c r="K987" s="175">
        <f t="shared" si="22"/>
        <v>15555</v>
      </c>
      <c r="L987" s="175"/>
      <c r="M987" s="175" t="s">
        <v>18</v>
      </c>
      <c r="N987" s="77" t="s">
        <v>22</v>
      </c>
      <c r="O987" s="177" t="s">
        <v>418</v>
      </c>
    </row>
    <row r="988" spans="2:15" s="12" customFormat="1" ht="25.5">
      <c r="B988" s="372" t="s">
        <v>96</v>
      </c>
      <c r="C988" s="77" t="s">
        <v>1603</v>
      </c>
      <c r="D988" s="177" t="s">
        <v>343</v>
      </c>
      <c r="E988" s="370">
        <v>500</v>
      </c>
      <c r="F988" s="370">
        <v>0</v>
      </c>
      <c r="G988" s="370">
        <v>0</v>
      </c>
      <c r="H988" s="370">
        <v>0</v>
      </c>
      <c r="I988" s="363">
        <f>SUM(Tabla132112412[[#This Row],[PRIMER TRIMESTRE]:[CUARTO TRIMESTRE]])</f>
        <v>500</v>
      </c>
      <c r="J988" s="175">
        <v>75.61</v>
      </c>
      <c r="K988" s="175">
        <f t="shared" si="22"/>
        <v>37805</v>
      </c>
      <c r="L988" s="175"/>
      <c r="M988" s="175" t="s">
        <v>18</v>
      </c>
      <c r="N988" s="77" t="s">
        <v>22</v>
      </c>
      <c r="O988" s="177" t="s">
        <v>418</v>
      </c>
    </row>
    <row r="989" spans="2:15" s="12" customFormat="1" ht="25.5">
      <c r="B989" s="372" t="s">
        <v>96</v>
      </c>
      <c r="C989" s="77" t="s">
        <v>1602</v>
      </c>
      <c r="D989" s="177" t="s">
        <v>343</v>
      </c>
      <c r="E989" s="370">
        <v>500</v>
      </c>
      <c r="F989" s="370">
        <v>0</v>
      </c>
      <c r="G989" s="370">
        <v>0</v>
      </c>
      <c r="H989" s="370">
        <v>0</v>
      </c>
      <c r="I989" s="363">
        <f>SUM(Tabla132112412[[#This Row],[PRIMER TRIMESTRE]:[CUARTO TRIMESTRE]])</f>
        <v>500</v>
      </c>
      <c r="J989" s="175">
        <v>77.77</v>
      </c>
      <c r="K989" s="175">
        <f t="shared" si="22"/>
        <v>38885</v>
      </c>
      <c r="L989" s="175"/>
      <c r="M989" s="175" t="s">
        <v>18</v>
      </c>
      <c r="N989" s="77" t="s">
        <v>22</v>
      </c>
      <c r="O989" s="177" t="s">
        <v>418</v>
      </c>
    </row>
    <row r="990" spans="2:15" s="12" customFormat="1" ht="25.5">
      <c r="B990" s="372" t="s">
        <v>96</v>
      </c>
      <c r="C990" s="77" t="s">
        <v>814</v>
      </c>
      <c r="D990" s="177" t="s">
        <v>343</v>
      </c>
      <c r="E990" s="370">
        <v>750</v>
      </c>
      <c r="F990" s="370">
        <v>250</v>
      </c>
      <c r="G990" s="370">
        <v>250</v>
      </c>
      <c r="H990" s="370">
        <v>250</v>
      </c>
      <c r="I990" s="363">
        <f>SUM(Tabla132112412[[#This Row],[PRIMER TRIMESTRE]:[CUARTO TRIMESTRE]])</f>
        <v>1500</v>
      </c>
      <c r="J990" s="175">
        <v>380.3</v>
      </c>
      <c r="K990" s="175">
        <f t="shared" si="22"/>
        <v>570450</v>
      </c>
      <c r="L990" s="175"/>
      <c r="M990" s="175" t="s">
        <v>18</v>
      </c>
      <c r="N990" s="77" t="s">
        <v>22</v>
      </c>
      <c r="O990" s="177" t="s">
        <v>418</v>
      </c>
    </row>
    <row r="991" spans="2:15" s="12" customFormat="1" ht="25.5">
      <c r="B991" s="77" t="s">
        <v>96</v>
      </c>
      <c r="C991" s="377" t="s">
        <v>2359</v>
      </c>
      <c r="D991" s="177"/>
      <c r="E991" s="378">
        <v>12</v>
      </c>
      <c r="F991" s="369">
        <v>12</v>
      </c>
      <c r="G991" s="369">
        <v>12</v>
      </c>
      <c r="H991" s="369">
        <v>12</v>
      </c>
      <c r="I991" s="363">
        <f>SUM(Tabla132112412[[#This Row],[PRIMER TRIMESTRE]:[CUARTO TRIMESTRE]])</f>
        <v>48</v>
      </c>
      <c r="J991" s="175"/>
      <c r="K991" s="175"/>
      <c r="L991" s="175"/>
      <c r="M991" s="175"/>
      <c r="N991" s="77"/>
      <c r="O991" s="177"/>
    </row>
    <row r="992" spans="2:15" s="12" customFormat="1" ht="25.5">
      <c r="B992" s="77" t="s">
        <v>96</v>
      </c>
      <c r="C992" s="377" t="s">
        <v>2360</v>
      </c>
      <c r="D992" s="177"/>
      <c r="E992" s="378">
        <v>12</v>
      </c>
      <c r="F992" s="369">
        <v>12</v>
      </c>
      <c r="G992" s="369">
        <v>12</v>
      </c>
      <c r="H992" s="369">
        <v>12</v>
      </c>
      <c r="I992" s="363">
        <f>SUM(Tabla132112412[[#This Row],[PRIMER TRIMESTRE]:[CUARTO TRIMESTRE]])</f>
        <v>48</v>
      </c>
      <c r="J992" s="175"/>
      <c r="K992" s="175"/>
      <c r="L992" s="175"/>
      <c r="M992" s="175"/>
      <c r="N992" s="77"/>
      <c r="O992" s="177"/>
    </row>
    <row r="993" spans="2:15" s="12" customFormat="1" ht="25.5">
      <c r="B993" s="77" t="s">
        <v>96</v>
      </c>
      <c r="C993" s="376" t="s">
        <v>2361</v>
      </c>
      <c r="D993" s="177"/>
      <c r="E993" s="369">
        <v>7</v>
      </c>
      <c r="F993" s="369">
        <v>6</v>
      </c>
      <c r="G993" s="369">
        <v>6</v>
      </c>
      <c r="H993" s="369">
        <v>6</v>
      </c>
      <c r="I993" s="363">
        <f>SUM(Tabla132112412[[#This Row],[PRIMER TRIMESTRE]:[CUARTO TRIMESTRE]])</f>
        <v>25</v>
      </c>
      <c r="J993" s="175"/>
      <c r="K993" s="175"/>
      <c r="L993" s="175"/>
      <c r="M993" s="175"/>
      <c r="N993" s="77"/>
      <c r="O993" s="177"/>
    </row>
    <row r="994" spans="2:15" s="12" customFormat="1" ht="25.5">
      <c r="B994" s="77" t="s">
        <v>96</v>
      </c>
      <c r="C994" s="376" t="s">
        <v>2362</v>
      </c>
      <c r="D994" s="177"/>
      <c r="E994" s="369">
        <v>7</v>
      </c>
      <c r="F994" s="369">
        <v>6</v>
      </c>
      <c r="G994" s="369">
        <v>6</v>
      </c>
      <c r="H994" s="369">
        <v>6</v>
      </c>
      <c r="I994" s="363">
        <f>SUM(Tabla132112412[[#This Row],[PRIMER TRIMESTRE]:[CUARTO TRIMESTRE]])</f>
        <v>25</v>
      </c>
      <c r="J994" s="175"/>
      <c r="K994" s="175"/>
      <c r="L994" s="175"/>
      <c r="M994" s="175"/>
      <c r="N994" s="77"/>
      <c r="O994" s="177"/>
    </row>
    <row r="995" spans="2:15" s="12" customFormat="1" ht="25.5">
      <c r="B995" s="77" t="s">
        <v>96</v>
      </c>
      <c r="C995" s="472" t="s">
        <v>2363</v>
      </c>
      <c r="D995" s="177"/>
      <c r="E995" s="378">
        <v>24</v>
      </c>
      <c r="F995" s="369">
        <v>24</v>
      </c>
      <c r="G995" s="369">
        <v>24</v>
      </c>
      <c r="H995" s="369">
        <v>24</v>
      </c>
      <c r="I995" s="363">
        <f>SUM(Tabla132112412[[#This Row],[PRIMER TRIMESTRE]:[CUARTO TRIMESTRE]])</f>
        <v>96</v>
      </c>
      <c r="J995" s="175"/>
      <c r="K995" s="175"/>
      <c r="L995" s="175"/>
      <c r="M995" s="175"/>
      <c r="N995" s="77"/>
      <c r="O995" s="177"/>
    </row>
    <row r="996" spans="2:15" s="12" customFormat="1" ht="18">
      <c r="B996" s="372"/>
      <c r="C996" s="472" t="s">
        <v>2364</v>
      </c>
      <c r="D996" s="177"/>
      <c r="E996" s="378">
        <v>20</v>
      </c>
      <c r="F996" s="369">
        <v>10</v>
      </c>
      <c r="G996" s="369">
        <v>10</v>
      </c>
      <c r="H996" s="369">
        <v>10</v>
      </c>
      <c r="I996" s="363">
        <f>SUM(Tabla132112412[[#This Row],[PRIMER TRIMESTRE]:[CUARTO TRIMESTRE]])</f>
        <v>50</v>
      </c>
      <c r="J996" s="175"/>
      <c r="K996" s="175"/>
      <c r="L996" s="175"/>
      <c r="M996" s="175"/>
      <c r="N996" s="77"/>
      <c r="O996" s="177"/>
    </row>
    <row r="997" spans="2:15" s="12" customFormat="1" ht="18">
      <c r="B997" s="372"/>
      <c r="C997" s="473"/>
      <c r="D997" s="177"/>
      <c r="E997" s="471"/>
      <c r="F997" s="370"/>
      <c r="G997" s="370"/>
      <c r="H997" s="370"/>
      <c r="I997" s="363">
        <f>SUM(Tabla132112412[[#This Row],[PRIMER TRIMESTRE]:[CUARTO TRIMESTRE]])</f>
        <v>0</v>
      </c>
      <c r="J997" s="175"/>
      <c r="K997" s="175"/>
      <c r="L997" s="175"/>
      <c r="M997" s="175"/>
      <c r="N997" s="77"/>
      <c r="O997" s="177"/>
    </row>
    <row r="998" spans="2:15" s="12" customFormat="1" ht="25.5">
      <c r="B998" s="77" t="s">
        <v>96</v>
      </c>
      <c r="C998" s="377" t="s">
        <v>2365</v>
      </c>
      <c r="D998" s="177"/>
      <c r="E998" s="378">
        <v>1</v>
      </c>
      <c r="F998" s="369">
        <v>0</v>
      </c>
      <c r="G998" s="369">
        <v>0</v>
      </c>
      <c r="H998" s="369">
        <v>0</v>
      </c>
      <c r="I998" s="363">
        <f>SUM(Tabla132112412[[#This Row],[PRIMER TRIMESTRE]:[CUARTO TRIMESTRE]])</f>
        <v>1</v>
      </c>
      <c r="J998" s="175"/>
      <c r="K998" s="175"/>
      <c r="L998" s="175"/>
      <c r="M998" s="175"/>
      <c r="N998" s="77"/>
      <c r="O998" s="177"/>
    </row>
    <row r="999" spans="2:15" s="12" customFormat="1" ht="25.5">
      <c r="B999" s="77" t="s">
        <v>96</v>
      </c>
      <c r="C999" s="376" t="s">
        <v>2366</v>
      </c>
      <c r="D999" s="177"/>
      <c r="E999" s="369">
        <v>1</v>
      </c>
      <c r="F999" s="369">
        <v>1</v>
      </c>
      <c r="G999" s="369">
        <v>1</v>
      </c>
      <c r="H999" s="369">
        <v>1</v>
      </c>
      <c r="I999" s="363">
        <f>SUM(Tabla132112412[[#This Row],[PRIMER TRIMESTRE]:[CUARTO TRIMESTRE]])</f>
        <v>4</v>
      </c>
      <c r="J999" s="175"/>
      <c r="K999" s="175"/>
      <c r="L999" s="175"/>
      <c r="M999" s="175"/>
      <c r="N999" s="77"/>
      <c r="O999" s="177"/>
    </row>
    <row r="1000" spans="2:15" s="12" customFormat="1" ht="25.5">
      <c r="B1000" s="77" t="s">
        <v>96</v>
      </c>
      <c r="C1000" s="377" t="s">
        <v>2367</v>
      </c>
      <c r="D1000" s="177"/>
      <c r="E1000" s="378">
        <v>6</v>
      </c>
      <c r="F1000" s="369">
        <v>0</v>
      </c>
      <c r="G1000" s="369">
        <v>2</v>
      </c>
      <c r="H1000" s="369">
        <v>0</v>
      </c>
      <c r="I1000" s="363">
        <f>SUM(Tabla132112412[[#This Row],[PRIMER TRIMESTRE]:[CUARTO TRIMESTRE]])</f>
        <v>8</v>
      </c>
      <c r="J1000" s="175"/>
      <c r="K1000" s="175"/>
      <c r="L1000" s="175"/>
      <c r="M1000" s="175"/>
      <c r="N1000" s="77"/>
      <c r="O1000" s="177"/>
    </row>
    <row r="1001" spans="2:15" s="12" customFormat="1" ht="25.5">
      <c r="B1001" s="77" t="s">
        <v>96</v>
      </c>
      <c r="C1001" s="377" t="s">
        <v>2368</v>
      </c>
      <c r="D1001" s="177"/>
      <c r="E1001" s="378">
        <v>12</v>
      </c>
      <c r="F1001" s="369">
        <v>4</v>
      </c>
      <c r="G1001" s="369">
        <v>4</v>
      </c>
      <c r="H1001" s="369">
        <v>4</v>
      </c>
      <c r="I1001" s="363">
        <f>SUM(Tabla132112412[[#This Row],[PRIMER TRIMESTRE]:[CUARTO TRIMESTRE]])</f>
        <v>24</v>
      </c>
      <c r="J1001" s="175"/>
      <c r="K1001" s="175"/>
      <c r="L1001" s="175"/>
      <c r="M1001" s="175"/>
      <c r="N1001" s="77"/>
      <c r="O1001" s="177"/>
    </row>
    <row r="1002" spans="2:15" s="12" customFormat="1" ht="25.5">
      <c r="B1002" s="77" t="s">
        <v>96</v>
      </c>
      <c r="C1002" s="377" t="s">
        <v>2369</v>
      </c>
      <c r="D1002" s="177"/>
      <c r="E1002" s="378">
        <v>5</v>
      </c>
      <c r="F1002" s="369">
        <v>5</v>
      </c>
      <c r="G1002" s="369">
        <v>5</v>
      </c>
      <c r="H1002" s="369">
        <v>5</v>
      </c>
      <c r="I1002" s="363">
        <f>SUM(Tabla132112412[[#This Row],[PRIMER TRIMESTRE]:[CUARTO TRIMESTRE]])</f>
        <v>20</v>
      </c>
      <c r="J1002" s="175"/>
      <c r="K1002" s="175"/>
      <c r="L1002" s="175"/>
      <c r="M1002" s="175"/>
      <c r="N1002" s="77"/>
      <c r="O1002" s="177"/>
    </row>
    <row r="1003" spans="2:15" s="12" customFormat="1" ht="25.5">
      <c r="B1003" s="77" t="s">
        <v>96</v>
      </c>
      <c r="C1003" s="377" t="s">
        <v>2370</v>
      </c>
      <c r="D1003" s="177"/>
      <c r="E1003" s="378">
        <v>2</v>
      </c>
      <c r="F1003" s="369">
        <v>1</v>
      </c>
      <c r="G1003" s="369">
        <v>1</v>
      </c>
      <c r="H1003" s="369">
        <v>1</v>
      </c>
      <c r="I1003" s="363">
        <f>SUM(Tabla132112412[[#This Row],[PRIMER TRIMESTRE]:[CUARTO TRIMESTRE]])</f>
        <v>5</v>
      </c>
      <c r="J1003" s="175"/>
      <c r="K1003" s="175"/>
      <c r="L1003" s="175"/>
      <c r="M1003" s="175"/>
      <c r="N1003" s="77"/>
      <c r="O1003" s="177"/>
    </row>
    <row r="1004" spans="2:15" s="12" customFormat="1" ht="25.5">
      <c r="B1004" s="77" t="s">
        <v>96</v>
      </c>
      <c r="C1004" s="376" t="s">
        <v>2371</v>
      </c>
      <c r="D1004" s="177"/>
      <c r="E1004" s="369">
        <v>1</v>
      </c>
      <c r="F1004" s="369">
        <v>0</v>
      </c>
      <c r="G1004" s="369">
        <v>0</v>
      </c>
      <c r="H1004" s="369">
        <v>0</v>
      </c>
      <c r="I1004" s="363">
        <f>SUM(Tabla132112412[[#This Row],[PRIMER TRIMESTRE]:[CUARTO TRIMESTRE]])</f>
        <v>1</v>
      </c>
      <c r="J1004" s="175"/>
      <c r="K1004" s="175"/>
      <c r="L1004" s="175"/>
      <c r="M1004" s="175"/>
      <c r="N1004" s="77"/>
      <c r="O1004" s="177"/>
    </row>
    <row r="1005" spans="2:15" s="12" customFormat="1" ht="25.5">
      <c r="B1005" s="77" t="s">
        <v>96</v>
      </c>
      <c r="C1005" s="474" t="s">
        <v>2372</v>
      </c>
      <c r="D1005" s="177"/>
      <c r="E1005" s="369">
        <v>2</v>
      </c>
      <c r="F1005" s="369">
        <v>2</v>
      </c>
      <c r="G1005" s="369">
        <v>2</v>
      </c>
      <c r="H1005" s="369">
        <v>2</v>
      </c>
      <c r="I1005" s="363">
        <f>SUM(Tabla132112412[[#This Row],[PRIMER TRIMESTRE]:[CUARTO TRIMESTRE]])</f>
        <v>8</v>
      </c>
      <c r="J1005" s="175"/>
      <c r="K1005" s="175"/>
      <c r="L1005" s="175"/>
      <c r="M1005" s="175"/>
      <c r="N1005" s="77"/>
      <c r="O1005" s="177"/>
    </row>
    <row r="1006" spans="2:15" s="12" customFormat="1" ht="25.5">
      <c r="B1006" s="77" t="s">
        <v>96</v>
      </c>
      <c r="C1006" s="376" t="s">
        <v>2373</v>
      </c>
      <c r="D1006" s="177"/>
      <c r="E1006" s="369">
        <v>2</v>
      </c>
      <c r="F1006" s="369">
        <v>0</v>
      </c>
      <c r="G1006" s="369">
        <v>1</v>
      </c>
      <c r="H1006" s="369">
        <v>0</v>
      </c>
      <c r="I1006" s="363">
        <f>SUM(Tabla132112412[[#This Row],[PRIMER TRIMESTRE]:[CUARTO TRIMESTRE]])</f>
        <v>3</v>
      </c>
      <c r="J1006" s="175"/>
      <c r="K1006" s="175"/>
      <c r="L1006" s="175"/>
      <c r="M1006" s="175"/>
      <c r="N1006" s="77"/>
      <c r="O1006" s="177"/>
    </row>
    <row r="1007" spans="2:15" s="12" customFormat="1" ht="25.5">
      <c r="B1007" s="372" t="s">
        <v>96</v>
      </c>
      <c r="C1007" s="77" t="s">
        <v>874</v>
      </c>
      <c r="D1007" s="177" t="s">
        <v>17</v>
      </c>
      <c r="E1007" s="370">
        <v>40</v>
      </c>
      <c r="F1007" s="370">
        <v>10</v>
      </c>
      <c r="G1007" s="370">
        <v>10</v>
      </c>
      <c r="H1007" s="370">
        <v>10</v>
      </c>
      <c r="I1007" s="363">
        <f>SUM(Tabla132112412[[#This Row],[PRIMER TRIMESTRE]:[CUARTO TRIMESTRE]])</f>
        <v>70</v>
      </c>
      <c r="J1007" s="175">
        <v>110</v>
      </c>
      <c r="K1007" s="175">
        <f t="shared" si="22"/>
        <v>7700</v>
      </c>
      <c r="L1007" s="175"/>
      <c r="M1007" s="77" t="s">
        <v>18</v>
      </c>
      <c r="N1007" s="77" t="s">
        <v>22</v>
      </c>
      <c r="O1007" s="177"/>
    </row>
    <row r="1008" spans="2:15" s="12" customFormat="1" ht="25.5">
      <c r="B1008" s="372" t="s">
        <v>96</v>
      </c>
      <c r="C1008" s="77" t="s">
        <v>875</v>
      </c>
      <c r="D1008" s="177" t="s">
        <v>17</v>
      </c>
      <c r="E1008" s="370">
        <v>10</v>
      </c>
      <c r="F1008" s="370">
        <v>10</v>
      </c>
      <c r="G1008" s="370">
        <v>10</v>
      </c>
      <c r="H1008" s="370">
        <v>10</v>
      </c>
      <c r="I1008" s="363">
        <f>SUM(Tabla132112412[[#This Row],[PRIMER TRIMESTRE]:[CUARTO TRIMESTRE]])</f>
        <v>40</v>
      </c>
      <c r="J1008" s="175">
        <v>125</v>
      </c>
      <c r="K1008" s="175">
        <f t="shared" si="22"/>
        <v>5000</v>
      </c>
      <c r="L1008" s="175"/>
      <c r="M1008" s="77" t="s">
        <v>18</v>
      </c>
      <c r="N1008" s="77" t="s">
        <v>22</v>
      </c>
      <c r="O1008" s="177"/>
    </row>
    <row r="1009" spans="2:15" s="12" customFormat="1" ht="25.5">
      <c r="B1009" s="372" t="s">
        <v>96</v>
      </c>
      <c r="C1009" s="77" t="s">
        <v>876</v>
      </c>
      <c r="D1009" s="177" t="s">
        <v>17</v>
      </c>
      <c r="E1009" s="370">
        <v>25</v>
      </c>
      <c r="F1009" s="370">
        <v>25</v>
      </c>
      <c r="G1009" s="370">
        <v>25</v>
      </c>
      <c r="H1009" s="370">
        <v>25</v>
      </c>
      <c r="I1009" s="363">
        <f>SUM(Tabla132112412[[#This Row],[PRIMER TRIMESTRE]:[CUARTO TRIMESTRE]])</f>
        <v>100</v>
      </c>
      <c r="J1009" s="175">
        <v>135</v>
      </c>
      <c r="K1009" s="175">
        <f t="shared" si="22"/>
        <v>13500</v>
      </c>
      <c r="L1009" s="175"/>
      <c r="M1009" s="77" t="s">
        <v>18</v>
      </c>
      <c r="N1009" s="77" t="s">
        <v>22</v>
      </c>
      <c r="O1009" s="177"/>
    </row>
    <row r="1010" spans="2:15" s="12" customFormat="1" ht="25.5">
      <c r="B1010" s="372" t="s">
        <v>96</v>
      </c>
      <c r="C1010" s="77" t="s">
        <v>877</v>
      </c>
      <c r="D1010" s="177" t="s">
        <v>17</v>
      </c>
      <c r="E1010" s="370">
        <v>25</v>
      </c>
      <c r="F1010" s="370">
        <v>25</v>
      </c>
      <c r="G1010" s="370">
        <v>25</v>
      </c>
      <c r="H1010" s="370">
        <v>25</v>
      </c>
      <c r="I1010" s="363">
        <f>SUM(Tabla132112412[[#This Row],[PRIMER TRIMESTRE]:[CUARTO TRIMESTRE]])</f>
        <v>100</v>
      </c>
      <c r="J1010" s="175">
        <v>175</v>
      </c>
      <c r="K1010" s="175">
        <f t="shared" si="22"/>
        <v>17500</v>
      </c>
      <c r="L1010" s="175"/>
      <c r="M1010" s="77" t="s">
        <v>18</v>
      </c>
      <c r="N1010" s="77" t="s">
        <v>22</v>
      </c>
      <c r="O1010" s="177"/>
    </row>
    <row r="1011" spans="2:15" s="12" customFormat="1" ht="25.5">
      <c r="B1011" s="372" t="s">
        <v>96</v>
      </c>
      <c r="C1011" s="377" t="s">
        <v>2374</v>
      </c>
      <c r="D1011" s="177"/>
      <c r="E1011" s="378">
        <v>1</v>
      </c>
      <c r="F1011" s="369">
        <v>0</v>
      </c>
      <c r="G1011" s="369">
        <v>0</v>
      </c>
      <c r="H1011" s="369">
        <v>0</v>
      </c>
      <c r="I1011" s="363">
        <f>SUM(Tabla132112412[[#This Row],[PRIMER TRIMESTRE]:[CUARTO TRIMESTRE]])</f>
        <v>1</v>
      </c>
      <c r="J1011" s="175"/>
      <c r="K1011" s="175"/>
      <c r="L1011" s="175"/>
      <c r="M1011" s="77"/>
      <c r="N1011" s="77"/>
      <c r="O1011" s="177"/>
    </row>
    <row r="1012" spans="2:15" s="12" customFormat="1" ht="25.5">
      <c r="B1012" s="372" t="s">
        <v>96</v>
      </c>
      <c r="C1012" s="377" t="s">
        <v>2375</v>
      </c>
      <c r="D1012" s="177"/>
      <c r="E1012" s="378">
        <v>1</v>
      </c>
      <c r="F1012" s="369">
        <v>0</v>
      </c>
      <c r="G1012" s="369">
        <v>0</v>
      </c>
      <c r="H1012" s="369">
        <v>0</v>
      </c>
      <c r="I1012" s="363">
        <f>SUM(Tabla132112412[[#This Row],[PRIMER TRIMESTRE]:[CUARTO TRIMESTRE]])</f>
        <v>1</v>
      </c>
      <c r="J1012" s="175"/>
      <c r="K1012" s="175"/>
      <c r="L1012" s="175"/>
      <c r="M1012" s="77"/>
      <c r="N1012" s="77"/>
      <c r="O1012" s="177"/>
    </row>
    <row r="1013" spans="2:15" s="12" customFormat="1" ht="25.5">
      <c r="B1013" s="372" t="s">
        <v>96</v>
      </c>
      <c r="C1013" s="376" t="s">
        <v>2376</v>
      </c>
      <c r="D1013" s="177"/>
      <c r="E1013" s="369">
        <v>4</v>
      </c>
      <c r="F1013" s="369">
        <v>2</v>
      </c>
      <c r="G1013" s="369">
        <v>2</v>
      </c>
      <c r="H1013" s="369">
        <v>2</v>
      </c>
      <c r="I1013" s="363">
        <f>SUM(Tabla132112412[[#This Row],[PRIMER TRIMESTRE]:[CUARTO TRIMESTRE]])</f>
        <v>10</v>
      </c>
      <c r="J1013" s="175"/>
      <c r="K1013" s="175"/>
      <c r="L1013" s="175"/>
      <c r="M1013" s="77"/>
      <c r="N1013" s="77"/>
      <c r="O1013" s="177"/>
    </row>
    <row r="1014" spans="2:15" s="12" customFormat="1" ht="25.5">
      <c r="B1014" s="372" t="s">
        <v>96</v>
      </c>
      <c r="C1014" s="376" t="s">
        <v>2377</v>
      </c>
      <c r="D1014" s="177"/>
      <c r="E1014" s="369">
        <v>4</v>
      </c>
      <c r="F1014" s="369">
        <v>2</v>
      </c>
      <c r="G1014" s="369">
        <v>2</v>
      </c>
      <c r="H1014" s="369">
        <v>2</v>
      </c>
      <c r="I1014" s="363">
        <f>SUM(Tabla132112412[[#This Row],[PRIMER TRIMESTRE]:[CUARTO TRIMESTRE]])</f>
        <v>10</v>
      </c>
      <c r="J1014" s="175"/>
      <c r="K1014" s="175"/>
      <c r="L1014" s="175"/>
      <c r="M1014" s="77"/>
      <c r="N1014" s="77"/>
      <c r="O1014" s="177"/>
    </row>
    <row r="1015" spans="2:15" s="12" customFormat="1" ht="25.5">
      <c r="B1015" s="372" t="s">
        <v>96</v>
      </c>
      <c r="C1015" s="376" t="s">
        <v>2378</v>
      </c>
      <c r="D1015" s="177"/>
      <c r="E1015" s="369">
        <v>4</v>
      </c>
      <c r="F1015" s="369">
        <v>2</v>
      </c>
      <c r="G1015" s="369">
        <v>2</v>
      </c>
      <c r="H1015" s="369">
        <v>2</v>
      </c>
      <c r="I1015" s="363">
        <f>SUM(Tabla132112412[[#This Row],[PRIMER TRIMESTRE]:[CUARTO TRIMESTRE]])</f>
        <v>10</v>
      </c>
      <c r="J1015" s="175"/>
      <c r="K1015" s="175"/>
      <c r="L1015" s="175"/>
      <c r="M1015" s="77"/>
      <c r="N1015" s="77"/>
      <c r="O1015" s="177"/>
    </row>
    <row r="1016" spans="2:15" s="12" customFormat="1" ht="25.5">
      <c r="B1016" s="372" t="s">
        <v>96</v>
      </c>
      <c r="C1016" s="376" t="s">
        <v>2379</v>
      </c>
      <c r="D1016" s="177"/>
      <c r="E1016" s="369">
        <v>4</v>
      </c>
      <c r="F1016" s="369">
        <v>2</v>
      </c>
      <c r="G1016" s="369">
        <v>2</v>
      </c>
      <c r="H1016" s="369">
        <v>2</v>
      </c>
      <c r="I1016" s="363">
        <f>SUM(Tabla132112412[[#This Row],[PRIMER TRIMESTRE]:[CUARTO TRIMESTRE]])</f>
        <v>10</v>
      </c>
      <c r="J1016" s="175"/>
      <c r="K1016" s="175"/>
      <c r="L1016" s="175"/>
      <c r="M1016" s="77"/>
      <c r="N1016" s="77"/>
      <c r="O1016" s="177"/>
    </row>
    <row r="1017" spans="2:15" s="12" customFormat="1" ht="25.5">
      <c r="B1017" s="372" t="s">
        <v>96</v>
      </c>
      <c r="C1017" s="376" t="s">
        <v>2380</v>
      </c>
      <c r="D1017" s="177"/>
      <c r="E1017" s="369">
        <v>4</v>
      </c>
      <c r="F1017" s="369">
        <v>2</v>
      </c>
      <c r="G1017" s="369">
        <v>2</v>
      </c>
      <c r="H1017" s="369">
        <v>2</v>
      </c>
      <c r="I1017" s="363">
        <f>SUM(Tabla132112412[[#This Row],[PRIMER TRIMESTRE]:[CUARTO TRIMESTRE]])</f>
        <v>10</v>
      </c>
      <c r="J1017" s="175"/>
      <c r="K1017" s="175"/>
      <c r="L1017" s="175"/>
      <c r="M1017" s="77"/>
      <c r="N1017" s="77"/>
      <c r="O1017" s="177"/>
    </row>
    <row r="1018" spans="2:15" s="12" customFormat="1" ht="25.5">
      <c r="B1018" s="372" t="s">
        <v>96</v>
      </c>
      <c r="C1018" s="376" t="s">
        <v>2381</v>
      </c>
      <c r="D1018" s="177"/>
      <c r="E1018" s="369">
        <v>4</v>
      </c>
      <c r="F1018" s="369">
        <v>2</v>
      </c>
      <c r="G1018" s="369">
        <v>2</v>
      </c>
      <c r="H1018" s="369">
        <v>2</v>
      </c>
      <c r="I1018" s="363">
        <f>SUM(Tabla132112412[[#This Row],[PRIMER TRIMESTRE]:[CUARTO TRIMESTRE]])</f>
        <v>10</v>
      </c>
      <c r="J1018" s="175"/>
      <c r="K1018" s="175"/>
      <c r="L1018" s="175"/>
      <c r="M1018" s="77"/>
      <c r="N1018" s="77"/>
      <c r="O1018" s="177"/>
    </row>
    <row r="1019" spans="2:15" s="12" customFormat="1" ht="25.5">
      <c r="B1019" s="372" t="s">
        <v>96</v>
      </c>
      <c r="C1019" s="376" t="s">
        <v>2382</v>
      </c>
      <c r="D1019" s="177"/>
      <c r="E1019" s="369">
        <v>4</v>
      </c>
      <c r="F1019" s="369">
        <v>2</v>
      </c>
      <c r="G1019" s="369">
        <v>2</v>
      </c>
      <c r="H1019" s="369">
        <v>2</v>
      </c>
      <c r="I1019" s="363">
        <f>SUM(Tabla132112412[[#This Row],[PRIMER TRIMESTRE]:[CUARTO TRIMESTRE]])</f>
        <v>10</v>
      </c>
      <c r="J1019" s="175"/>
      <c r="K1019" s="175"/>
      <c r="L1019" s="175"/>
      <c r="M1019" s="77"/>
      <c r="N1019" s="77"/>
      <c r="O1019" s="177"/>
    </row>
    <row r="1020" spans="2:15" s="12" customFormat="1" ht="25.5">
      <c r="B1020" s="372" t="s">
        <v>96</v>
      </c>
      <c r="C1020" s="376" t="s">
        <v>2383</v>
      </c>
      <c r="D1020" s="177"/>
      <c r="E1020" s="369">
        <v>4</v>
      </c>
      <c r="F1020" s="369">
        <v>2</v>
      </c>
      <c r="G1020" s="369">
        <v>2</v>
      </c>
      <c r="H1020" s="369">
        <v>2</v>
      </c>
      <c r="I1020" s="363">
        <f>SUM(Tabla132112412[[#This Row],[PRIMER TRIMESTRE]:[CUARTO TRIMESTRE]])</f>
        <v>10</v>
      </c>
      <c r="J1020" s="175"/>
      <c r="K1020" s="175"/>
      <c r="L1020" s="175"/>
      <c r="M1020" s="77"/>
      <c r="N1020" s="77"/>
      <c r="O1020" s="177"/>
    </row>
    <row r="1021" spans="2:15" s="12" customFormat="1" ht="25.5">
      <c r="B1021" s="372" t="s">
        <v>96</v>
      </c>
      <c r="C1021" s="376" t="s">
        <v>2384</v>
      </c>
      <c r="D1021" s="177"/>
      <c r="E1021" s="369">
        <v>4</v>
      </c>
      <c r="F1021" s="369">
        <v>2</v>
      </c>
      <c r="G1021" s="369">
        <v>2</v>
      </c>
      <c r="H1021" s="369">
        <v>2</v>
      </c>
      <c r="I1021" s="363">
        <f>SUM(Tabla132112412[[#This Row],[PRIMER TRIMESTRE]:[CUARTO TRIMESTRE]])</f>
        <v>10</v>
      </c>
      <c r="J1021" s="175"/>
      <c r="K1021" s="175"/>
      <c r="L1021" s="175"/>
      <c r="M1021" s="77"/>
      <c r="N1021" s="77"/>
      <c r="O1021" s="177"/>
    </row>
    <row r="1022" spans="2:15" s="12" customFormat="1" ht="25.5">
      <c r="B1022" s="372" t="s">
        <v>96</v>
      </c>
      <c r="C1022" s="377" t="s">
        <v>2385</v>
      </c>
      <c r="D1022" s="177"/>
      <c r="E1022" s="378">
        <v>1</v>
      </c>
      <c r="F1022" s="369">
        <v>0</v>
      </c>
      <c r="G1022" s="369">
        <v>0</v>
      </c>
      <c r="H1022" s="369">
        <v>0</v>
      </c>
      <c r="I1022" s="363">
        <f>SUM(Tabla132112412[[#This Row],[PRIMER TRIMESTRE]:[CUARTO TRIMESTRE]])</f>
        <v>1</v>
      </c>
      <c r="J1022" s="175"/>
      <c r="K1022" s="175"/>
      <c r="L1022" s="175"/>
      <c r="M1022" s="77"/>
      <c r="N1022" s="77"/>
      <c r="O1022" s="177"/>
    </row>
    <row r="1023" spans="2:15" s="12" customFormat="1" ht="25.5">
      <c r="B1023" s="372" t="s">
        <v>96</v>
      </c>
      <c r="C1023" s="377" t="s">
        <v>2386</v>
      </c>
      <c r="D1023" s="177"/>
      <c r="E1023" s="378">
        <v>1</v>
      </c>
      <c r="F1023" s="369">
        <v>0</v>
      </c>
      <c r="G1023" s="369">
        <v>0</v>
      </c>
      <c r="H1023" s="369">
        <v>0</v>
      </c>
      <c r="I1023" s="363">
        <f>SUM(Tabla132112412[[#This Row],[PRIMER TRIMESTRE]:[CUARTO TRIMESTRE]])</f>
        <v>1</v>
      </c>
      <c r="J1023" s="175"/>
      <c r="K1023" s="175"/>
      <c r="L1023" s="175"/>
      <c r="M1023" s="77"/>
      <c r="N1023" s="77"/>
      <c r="O1023" s="177"/>
    </row>
    <row r="1024" spans="2:15" s="12" customFormat="1" ht="25.5">
      <c r="B1024" s="372" t="s">
        <v>96</v>
      </c>
      <c r="C1024" s="377" t="s">
        <v>2387</v>
      </c>
      <c r="D1024" s="177"/>
      <c r="E1024" s="378">
        <v>1</v>
      </c>
      <c r="F1024" s="369">
        <v>0</v>
      </c>
      <c r="G1024" s="369">
        <v>0</v>
      </c>
      <c r="H1024" s="369">
        <v>0</v>
      </c>
      <c r="I1024" s="363">
        <f>SUM(Tabla132112412[[#This Row],[PRIMER TRIMESTRE]:[CUARTO TRIMESTRE]])</f>
        <v>1</v>
      </c>
      <c r="J1024" s="175"/>
      <c r="K1024" s="175"/>
      <c r="L1024" s="175"/>
      <c r="M1024" s="77"/>
      <c r="N1024" s="77"/>
      <c r="O1024" s="177"/>
    </row>
    <row r="1025" spans="2:15" s="12" customFormat="1" ht="25.5">
      <c r="B1025" s="372" t="s">
        <v>96</v>
      </c>
      <c r="C1025" s="77" t="s">
        <v>878</v>
      </c>
      <c r="D1025" s="177" t="s">
        <v>17</v>
      </c>
      <c r="E1025" s="365">
        <v>15</v>
      </c>
      <c r="F1025" s="365">
        <v>15</v>
      </c>
      <c r="G1025" s="365">
        <v>15</v>
      </c>
      <c r="H1025" s="365">
        <v>15</v>
      </c>
      <c r="I1025" s="363">
        <f>SUM(Tabla132112412[[#This Row],[PRIMER TRIMESTRE]:[CUARTO TRIMESTRE]])</f>
        <v>60</v>
      </c>
      <c r="J1025" s="175">
        <v>191</v>
      </c>
      <c r="K1025" s="175">
        <f t="shared" si="22"/>
        <v>11460</v>
      </c>
      <c r="L1025" s="175"/>
      <c r="M1025" s="77" t="s">
        <v>18</v>
      </c>
      <c r="N1025" s="77" t="s">
        <v>22</v>
      </c>
      <c r="O1025" s="177"/>
    </row>
    <row r="1026" spans="2:15" s="12" customFormat="1" ht="25.5">
      <c r="B1026" s="372" t="s">
        <v>96</v>
      </c>
      <c r="C1026" s="77" t="s">
        <v>1595</v>
      </c>
      <c r="D1026" s="177" t="s">
        <v>17</v>
      </c>
      <c r="E1026" s="370">
        <v>25</v>
      </c>
      <c r="F1026" s="370">
        <v>25</v>
      </c>
      <c r="G1026" s="370">
        <v>25</v>
      </c>
      <c r="H1026" s="370">
        <v>25</v>
      </c>
      <c r="I1026" s="363">
        <f>SUM(Tabla132112412[[#This Row],[PRIMER TRIMESTRE]:[CUARTO TRIMESTRE]])</f>
        <v>100</v>
      </c>
      <c r="J1026" s="175">
        <v>371.2</v>
      </c>
      <c r="K1026" s="175">
        <f t="shared" si="22"/>
        <v>37120</v>
      </c>
      <c r="L1026" s="175"/>
      <c r="M1026" s="77" t="s">
        <v>18</v>
      </c>
      <c r="N1026" s="77" t="s">
        <v>22</v>
      </c>
      <c r="O1026" s="177"/>
    </row>
    <row r="1027" spans="2:15" s="12" customFormat="1" ht="25.5">
      <c r="B1027" s="372" t="s">
        <v>96</v>
      </c>
      <c r="C1027" s="77" t="s">
        <v>879</v>
      </c>
      <c r="D1027" s="177" t="s">
        <v>17</v>
      </c>
      <c r="E1027" s="370">
        <v>7</v>
      </c>
      <c r="F1027" s="370">
        <v>3</v>
      </c>
      <c r="G1027" s="370">
        <v>7</v>
      </c>
      <c r="H1027" s="370">
        <v>3</v>
      </c>
      <c r="I1027" s="363">
        <f>SUM(Tabla132112412[[#This Row],[PRIMER TRIMESTRE]:[CUARTO TRIMESTRE]])</f>
        <v>20</v>
      </c>
      <c r="J1027" s="175">
        <v>23600</v>
      </c>
      <c r="K1027" s="175">
        <f t="shared" si="22"/>
        <v>472000</v>
      </c>
      <c r="L1027" s="175"/>
      <c r="M1027" s="77" t="s">
        <v>18</v>
      </c>
      <c r="N1027" s="77" t="s">
        <v>22</v>
      </c>
      <c r="O1027" s="177"/>
    </row>
    <row r="1028" spans="2:15" s="12" customFormat="1" ht="25.5">
      <c r="B1028" s="372" t="s">
        <v>96</v>
      </c>
      <c r="C1028" s="77" t="s">
        <v>1518</v>
      </c>
      <c r="D1028" s="177" t="s">
        <v>208</v>
      </c>
      <c r="E1028" s="370">
        <v>14</v>
      </c>
      <c r="F1028" s="370">
        <v>12</v>
      </c>
      <c r="G1028" s="370">
        <v>14</v>
      </c>
      <c r="H1028" s="370">
        <v>12</v>
      </c>
      <c r="I1028" s="363">
        <f>SUM(Tabla132112412[[#This Row],[PRIMER TRIMESTRE]:[CUARTO TRIMESTRE]])</f>
        <v>52</v>
      </c>
      <c r="J1028" s="175">
        <v>1500.62</v>
      </c>
      <c r="K1028" s="175">
        <f t="shared" si="22"/>
        <v>78032.239999999991</v>
      </c>
      <c r="L1028" s="175"/>
      <c r="M1028" s="77" t="s">
        <v>18</v>
      </c>
      <c r="N1028" s="77" t="s">
        <v>22</v>
      </c>
      <c r="O1028" s="177"/>
    </row>
    <row r="1029" spans="2:15" s="12" customFormat="1" ht="25.5">
      <c r="B1029" s="372" t="s">
        <v>96</v>
      </c>
      <c r="C1029" s="77" t="s">
        <v>1519</v>
      </c>
      <c r="D1029" s="177" t="s">
        <v>208</v>
      </c>
      <c r="E1029" s="370">
        <v>12</v>
      </c>
      <c r="F1029" s="370">
        <v>10</v>
      </c>
      <c r="G1029" s="370">
        <v>12</v>
      </c>
      <c r="H1029" s="370">
        <v>10</v>
      </c>
      <c r="I1029" s="363">
        <f>SUM(Tabla132112412[[#This Row],[PRIMER TRIMESTRE]:[CUARTO TRIMESTRE]])</f>
        <v>44</v>
      </c>
      <c r="J1029" s="175">
        <v>942.48</v>
      </c>
      <c r="K1029" s="175">
        <f t="shared" si="22"/>
        <v>41469.120000000003</v>
      </c>
      <c r="L1029" s="175"/>
      <c r="M1029" s="77" t="s">
        <v>18</v>
      </c>
      <c r="N1029" s="77" t="s">
        <v>22</v>
      </c>
      <c r="O1029" s="177"/>
    </row>
    <row r="1030" spans="2:15" s="12" customFormat="1" ht="25.5">
      <c r="B1030" s="372" t="s">
        <v>96</v>
      </c>
      <c r="C1030" s="77" t="s">
        <v>1520</v>
      </c>
      <c r="D1030" s="177" t="s">
        <v>208</v>
      </c>
      <c r="E1030" s="370">
        <v>4</v>
      </c>
      <c r="F1030" s="370">
        <v>2</v>
      </c>
      <c r="G1030" s="370">
        <v>4</v>
      </c>
      <c r="H1030" s="370">
        <v>2</v>
      </c>
      <c r="I1030" s="363">
        <f>SUM(Tabla132112412[[#This Row],[PRIMER TRIMESTRE]:[CUARTO TRIMESTRE]])</f>
        <v>12</v>
      </c>
      <c r="J1030" s="175">
        <v>942.48</v>
      </c>
      <c r="K1030" s="175">
        <f t="shared" si="22"/>
        <v>11309.76</v>
      </c>
      <c r="L1030" s="175"/>
      <c r="M1030" s="77" t="s">
        <v>18</v>
      </c>
      <c r="N1030" s="77" t="s">
        <v>22</v>
      </c>
      <c r="O1030" s="177"/>
    </row>
    <row r="1031" spans="2:15" s="12" customFormat="1" ht="25.5">
      <c r="B1031" s="372" t="s">
        <v>96</v>
      </c>
      <c r="C1031" s="77" t="s">
        <v>880</v>
      </c>
      <c r="D1031" s="177" t="s">
        <v>17</v>
      </c>
      <c r="E1031" s="370">
        <v>1</v>
      </c>
      <c r="F1031" s="370">
        <v>0</v>
      </c>
      <c r="G1031" s="370">
        <v>1</v>
      </c>
      <c r="H1031" s="370">
        <v>0</v>
      </c>
      <c r="I1031" s="363">
        <f>SUM(Tabla132112412[[#This Row],[PRIMER TRIMESTRE]:[CUARTO TRIMESTRE]])</f>
        <v>2</v>
      </c>
      <c r="J1031" s="175">
        <v>25850</v>
      </c>
      <c r="K1031" s="175">
        <f t="shared" si="22"/>
        <v>51700</v>
      </c>
      <c r="L1031" s="175"/>
      <c r="M1031" s="77" t="s">
        <v>18</v>
      </c>
      <c r="N1031" s="77" t="s">
        <v>22</v>
      </c>
      <c r="O1031" s="177"/>
    </row>
    <row r="1032" spans="2:15" s="12" customFormat="1" ht="38.25">
      <c r="B1032" s="372" t="s">
        <v>96</v>
      </c>
      <c r="C1032" s="77" t="s">
        <v>924</v>
      </c>
      <c r="D1032" s="177" t="s">
        <v>17</v>
      </c>
      <c r="E1032" s="370">
        <v>5</v>
      </c>
      <c r="F1032" s="370">
        <v>0</v>
      </c>
      <c r="G1032" s="370">
        <v>0</v>
      </c>
      <c r="H1032" s="370">
        <v>0</v>
      </c>
      <c r="I1032" s="363">
        <f>SUM(Tabla132112412[[#This Row],[PRIMER TRIMESTRE]:[CUARTO TRIMESTRE]])</f>
        <v>5</v>
      </c>
      <c r="J1032" s="175">
        <v>100000</v>
      </c>
      <c r="K1032" s="175">
        <f t="shared" si="22"/>
        <v>500000</v>
      </c>
      <c r="L1032" s="175"/>
      <c r="M1032" s="77" t="s">
        <v>18</v>
      </c>
      <c r="N1032" s="77" t="s">
        <v>22</v>
      </c>
      <c r="O1032" s="177"/>
    </row>
    <row r="1033" spans="2:15" s="12" customFormat="1" ht="25.5">
      <c r="B1033" s="372" t="s">
        <v>96</v>
      </c>
      <c r="C1033" s="77" t="s">
        <v>882</v>
      </c>
      <c r="D1033" s="177" t="s">
        <v>17</v>
      </c>
      <c r="E1033" s="370">
        <v>15</v>
      </c>
      <c r="F1033" s="370">
        <v>15</v>
      </c>
      <c r="G1033" s="370">
        <v>15</v>
      </c>
      <c r="H1033" s="370">
        <v>15</v>
      </c>
      <c r="I1033" s="363">
        <f>SUM(Tabla132112412[[#This Row],[PRIMER TRIMESTRE]:[CUARTO TRIMESTRE]])</f>
        <v>60</v>
      </c>
      <c r="J1033" s="175">
        <v>600</v>
      </c>
      <c r="K1033" s="175">
        <f t="shared" si="22"/>
        <v>36000</v>
      </c>
      <c r="L1033" s="175"/>
      <c r="M1033" s="77" t="s">
        <v>18</v>
      </c>
      <c r="N1033" s="77" t="s">
        <v>22</v>
      </c>
      <c r="O1033" s="177"/>
    </row>
    <row r="1034" spans="2:15" s="12" customFormat="1" ht="25.5">
      <c r="B1034" s="372" t="s">
        <v>96</v>
      </c>
      <c r="C1034" s="77" t="s">
        <v>883</v>
      </c>
      <c r="D1034" s="177" t="s">
        <v>17</v>
      </c>
      <c r="E1034" s="370">
        <v>15</v>
      </c>
      <c r="F1034" s="370">
        <v>15</v>
      </c>
      <c r="G1034" s="370">
        <v>15</v>
      </c>
      <c r="H1034" s="370">
        <v>15</v>
      </c>
      <c r="I1034" s="363">
        <f>SUM(Tabla132112412[[#This Row],[PRIMER TRIMESTRE]:[CUARTO TRIMESTRE]])</f>
        <v>60</v>
      </c>
      <c r="J1034" s="175">
        <v>350</v>
      </c>
      <c r="K1034" s="175">
        <f t="shared" si="22"/>
        <v>21000</v>
      </c>
      <c r="L1034" s="175"/>
      <c r="M1034" s="77" t="s">
        <v>18</v>
      </c>
      <c r="N1034" s="77" t="s">
        <v>22</v>
      </c>
      <c r="O1034" s="177"/>
    </row>
    <row r="1035" spans="2:15" s="12" customFormat="1" ht="25.5">
      <c r="B1035" s="372" t="s">
        <v>96</v>
      </c>
      <c r="C1035" s="77" t="s">
        <v>884</v>
      </c>
      <c r="D1035" s="177" t="s">
        <v>17</v>
      </c>
      <c r="E1035" s="370">
        <v>5</v>
      </c>
      <c r="F1035" s="370">
        <v>5</v>
      </c>
      <c r="G1035" s="370">
        <v>5</v>
      </c>
      <c r="H1035" s="370">
        <v>5</v>
      </c>
      <c r="I1035" s="363">
        <f>SUM(Tabla132112412[[#This Row],[PRIMER TRIMESTRE]:[CUARTO TRIMESTRE]])</f>
        <v>20</v>
      </c>
      <c r="J1035" s="175">
        <v>450</v>
      </c>
      <c r="K1035" s="175">
        <f t="shared" si="22"/>
        <v>9000</v>
      </c>
      <c r="L1035" s="175"/>
      <c r="M1035" s="77" t="s">
        <v>18</v>
      </c>
      <c r="N1035" s="77" t="s">
        <v>22</v>
      </c>
      <c r="O1035" s="177"/>
    </row>
    <row r="1036" spans="2:15" s="12" customFormat="1" ht="25.5">
      <c r="B1036" s="372" t="s">
        <v>96</v>
      </c>
      <c r="C1036" s="77" t="s">
        <v>885</v>
      </c>
      <c r="D1036" s="177" t="s">
        <v>344</v>
      </c>
      <c r="E1036" s="370">
        <v>55</v>
      </c>
      <c r="F1036" s="370">
        <v>55</v>
      </c>
      <c r="G1036" s="370">
        <v>55</v>
      </c>
      <c r="H1036" s="370">
        <v>55</v>
      </c>
      <c r="I1036" s="363">
        <f>SUM(Tabla132112412[[#This Row],[PRIMER TRIMESTRE]:[CUARTO TRIMESTRE]])</f>
        <v>220</v>
      </c>
      <c r="J1036" s="175">
        <v>3650</v>
      </c>
      <c r="K1036" s="175">
        <f t="shared" si="22"/>
        <v>803000</v>
      </c>
      <c r="L1036" s="175"/>
      <c r="M1036" s="77" t="s">
        <v>18</v>
      </c>
      <c r="N1036" s="77" t="s">
        <v>22</v>
      </c>
      <c r="O1036" s="177"/>
    </row>
    <row r="1037" spans="2:15" s="12" customFormat="1" ht="25.5">
      <c r="B1037" s="372" t="s">
        <v>96</v>
      </c>
      <c r="C1037" s="77" t="s">
        <v>886</v>
      </c>
      <c r="D1037" s="177" t="s">
        <v>344</v>
      </c>
      <c r="E1037" s="370">
        <v>17</v>
      </c>
      <c r="F1037" s="370">
        <v>17</v>
      </c>
      <c r="G1037" s="370">
        <v>17</v>
      </c>
      <c r="H1037" s="370">
        <v>17</v>
      </c>
      <c r="I1037" s="363">
        <f>SUM(Tabla132112412[[#This Row],[PRIMER TRIMESTRE]:[CUARTO TRIMESTRE]])</f>
        <v>68</v>
      </c>
      <c r="J1037" s="175">
        <v>3650</v>
      </c>
      <c r="K1037" s="175">
        <f t="shared" si="22"/>
        <v>248200</v>
      </c>
      <c r="L1037" s="175"/>
      <c r="M1037" s="77" t="s">
        <v>18</v>
      </c>
      <c r="N1037" s="77" t="s">
        <v>22</v>
      </c>
      <c r="O1037" s="177"/>
    </row>
    <row r="1038" spans="2:15" s="12" customFormat="1" ht="25.5">
      <c r="B1038" s="372" t="s">
        <v>96</v>
      </c>
      <c r="C1038" s="77" t="s">
        <v>887</v>
      </c>
      <c r="D1038" s="177" t="s">
        <v>344</v>
      </c>
      <c r="E1038" s="370">
        <v>15</v>
      </c>
      <c r="F1038" s="370">
        <v>15</v>
      </c>
      <c r="G1038" s="370">
        <v>15</v>
      </c>
      <c r="H1038" s="370">
        <v>15</v>
      </c>
      <c r="I1038" s="363">
        <f>SUM(Tabla132112412[[#This Row],[PRIMER TRIMESTRE]:[CUARTO TRIMESTRE]])</f>
        <v>60</v>
      </c>
      <c r="J1038" s="175">
        <v>3650</v>
      </c>
      <c r="K1038" s="175">
        <f t="shared" si="22"/>
        <v>219000</v>
      </c>
      <c r="L1038" s="175"/>
      <c r="M1038" s="77" t="s">
        <v>18</v>
      </c>
      <c r="N1038" s="77" t="s">
        <v>22</v>
      </c>
      <c r="O1038" s="177"/>
    </row>
    <row r="1039" spans="2:15" s="12" customFormat="1" ht="25.5">
      <c r="B1039" s="372" t="s">
        <v>96</v>
      </c>
      <c r="C1039" s="77" t="s">
        <v>888</v>
      </c>
      <c r="D1039" s="177" t="s">
        <v>344</v>
      </c>
      <c r="E1039" s="370">
        <v>15</v>
      </c>
      <c r="F1039" s="370">
        <v>15</v>
      </c>
      <c r="G1039" s="370">
        <v>15</v>
      </c>
      <c r="H1039" s="370">
        <v>15</v>
      </c>
      <c r="I1039" s="363">
        <f>SUM(Tabla132112412[[#This Row],[PRIMER TRIMESTRE]:[CUARTO TRIMESTRE]])</f>
        <v>60</v>
      </c>
      <c r="J1039" s="175">
        <v>3650</v>
      </c>
      <c r="K1039" s="175">
        <f t="shared" si="22"/>
        <v>219000</v>
      </c>
      <c r="L1039" s="175"/>
      <c r="M1039" s="77" t="s">
        <v>18</v>
      </c>
      <c r="N1039" s="77" t="s">
        <v>22</v>
      </c>
      <c r="O1039" s="177"/>
    </row>
    <row r="1040" spans="2:15" s="12" customFormat="1" ht="25.5">
      <c r="B1040" s="372" t="s">
        <v>96</v>
      </c>
      <c r="C1040" s="77" t="s">
        <v>815</v>
      </c>
      <c r="D1040" s="177" t="s">
        <v>17</v>
      </c>
      <c r="E1040" s="370">
        <v>17</v>
      </c>
      <c r="F1040" s="370">
        <v>17</v>
      </c>
      <c r="G1040" s="370">
        <v>17</v>
      </c>
      <c r="H1040" s="370">
        <v>17</v>
      </c>
      <c r="I1040" s="363">
        <f>SUM(Tabla132112412[[#This Row],[PRIMER TRIMESTRE]:[CUARTO TRIMESTRE]])</f>
        <v>68</v>
      </c>
      <c r="J1040" s="175">
        <v>4625.12</v>
      </c>
      <c r="K1040" s="175">
        <f t="shared" si="22"/>
        <v>314508.15999999997</v>
      </c>
      <c r="L1040" s="175"/>
      <c r="M1040" s="175" t="s">
        <v>18</v>
      </c>
      <c r="N1040" s="77" t="s">
        <v>22</v>
      </c>
      <c r="O1040" s="177"/>
    </row>
    <row r="1041" spans="2:15" s="12" customFormat="1" ht="25.5">
      <c r="B1041" s="372" t="s">
        <v>96</v>
      </c>
      <c r="C1041" s="77" t="s">
        <v>913</v>
      </c>
      <c r="D1041" s="177" t="s">
        <v>343</v>
      </c>
      <c r="E1041" s="370">
        <v>750</v>
      </c>
      <c r="F1041" s="370">
        <v>250</v>
      </c>
      <c r="G1041" s="370">
        <v>250</v>
      </c>
      <c r="H1041" s="370">
        <v>250</v>
      </c>
      <c r="I1041" s="363">
        <f>SUM(Tabla132112412[[#This Row],[PRIMER TRIMESTRE]:[CUARTO TRIMESTRE]])</f>
        <v>1500</v>
      </c>
      <c r="J1041" s="175">
        <v>80</v>
      </c>
      <c r="K1041" s="175">
        <f t="shared" si="22"/>
        <v>120000</v>
      </c>
      <c r="L1041" s="175"/>
      <c r="M1041" s="77" t="s">
        <v>18</v>
      </c>
      <c r="N1041" s="77" t="s">
        <v>22</v>
      </c>
      <c r="O1041" s="177"/>
    </row>
    <row r="1042" spans="2:15" s="12" customFormat="1" ht="25.5">
      <c r="B1042" s="372" t="s">
        <v>96</v>
      </c>
      <c r="C1042" s="77" t="s">
        <v>914</v>
      </c>
      <c r="D1042" s="177" t="s">
        <v>343</v>
      </c>
      <c r="E1042" s="370">
        <v>500</v>
      </c>
      <c r="F1042" s="370">
        <v>0</v>
      </c>
      <c r="G1042" s="370">
        <v>0</v>
      </c>
      <c r="H1042" s="370">
        <v>0</v>
      </c>
      <c r="I1042" s="363">
        <f>SUM(Tabla132112412[[#This Row],[PRIMER TRIMESTRE]:[CUARTO TRIMESTRE]])</f>
        <v>500</v>
      </c>
      <c r="J1042" s="175">
        <v>112</v>
      </c>
      <c r="K1042" s="175">
        <f t="shared" si="22"/>
        <v>56000</v>
      </c>
      <c r="L1042" s="175"/>
      <c r="M1042" s="77" t="s">
        <v>18</v>
      </c>
      <c r="N1042" s="77" t="s">
        <v>22</v>
      </c>
      <c r="O1042" s="177"/>
    </row>
    <row r="1043" spans="2:15" s="12" customFormat="1" ht="25.5">
      <c r="B1043" s="372" t="s">
        <v>96</v>
      </c>
      <c r="C1043" s="77" t="s">
        <v>915</v>
      </c>
      <c r="D1043" s="177" t="s">
        <v>343</v>
      </c>
      <c r="E1043" s="370">
        <v>500</v>
      </c>
      <c r="F1043" s="370">
        <v>0</v>
      </c>
      <c r="G1043" s="370">
        <v>0</v>
      </c>
      <c r="H1043" s="370">
        <v>0</v>
      </c>
      <c r="I1043" s="363">
        <f>SUM(Tabla132112412[[#This Row],[PRIMER TRIMESTRE]:[CUARTO TRIMESTRE]])</f>
        <v>500</v>
      </c>
      <c r="J1043" s="175">
        <v>150</v>
      </c>
      <c r="K1043" s="175">
        <f t="shared" si="22"/>
        <v>75000</v>
      </c>
      <c r="L1043" s="175"/>
      <c r="M1043" s="77" t="s">
        <v>18</v>
      </c>
      <c r="N1043" s="77" t="s">
        <v>22</v>
      </c>
      <c r="O1043" s="177"/>
    </row>
    <row r="1044" spans="2:15" s="12" customFormat="1" ht="25.5">
      <c r="B1044" s="372" t="s">
        <v>96</v>
      </c>
      <c r="C1044" s="77" t="s">
        <v>916</v>
      </c>
      <c r="D1044" s="177" t="s">
        <v>343</v>
      </c>
      <c r="E1044" s="370">
        <v>500</v>
      </c>
      <c r="F1044" s="370">
        <v>0</v>
      </c>
      <c r="G1044" s="370">
        <v>0</v>
      </c>
      <c r="H1044" s="370">
        <v>0</v>
      </c>
      <c r="I1044" s="363">
        <f>SUM(Tabla132112412[[#This Row],[PRIMER TRIMESTRE]:[CUARTO TRIMESTRE]])</f>
        <v>500</v>
      </c>
      <c r="J1044" s="175">
        <v>188</v>
      </c>
      <c r="K1044" s="175">
        <f t="shared" si="22"/>
        <v>94000</v>
      </c>
      <c r="L1044" s="175"/>
      <c r="M1044" s="77" t="s">
        <v>18</v>
      </c>
      <c r="N1044" s="77" t="s">
        <v>22</v>
      </c>
      <c r="O1044" s="177"/>
    </row>
    <row r="1045" spans="2:15" s="12" customFormat="1" ht="25.5">
      <c r="B1045" s="372" t="s">
        <v>96</v>
      </c>
      <c r="C1045" s="77" t="s">
        <v>917</v>
      </c>
      <c r="D1045" s="177" t="s">
        <v>343</v>
      </c>
      <c r="E1045" s="370">
        <v>500</v>
      </c>
      <c r="F1045" s="370">
        <v>0</v>
      </c>
      <c r="G1045" s="370">
        <v>0</v>
      </c>
      <c r="H1045" s="370">
        <v>0</v>
      </c>
      <c r="I1045" s="363">
        <f>SUM(Tabla132112412[[#This Row],[PRIMER TRIMESTRE]:[CUARTO TRIMESTRE]])</f>
        <v>500</v>
      </c>
      <c r="J1045" s="175">
        <v>225</v>
      </c>
      <c r="K1045" s="175">
        <f t="shared" si="22"/>
        <v>112500</v>
      </c>
      <c r="L1045" s="175"/>
      <c r="M1045" s="77" t="s">
        <v>18</v>
      </c>
      <c r="N1045" s="77" t="s">
        <v>22</v>
      </c>
      <c r="O1045" s="177"/>
    </row>
    <row r="1046" spans="2:15" s="12" customFormat="1" ht="25.5">
      <c r="B1046" s="372" t="s">
        <v>96</v>
      </c>
      <c r="C1046" s="77" t="s">
        <v>918</v>
      </c>
      <c r="D1046" s="177" t="s">
        <v>343</v>
      </c>
      <c r="E1046" s="370">
        <v>500</v>
      </c>
      <c r="F1046" s="370">
        <v>0</v>
      </c>
      <c r="G1046" s="370">
        <v>0</v>
      </c>
      <c r="H1046" s="370">
        <v>0</v>
      </c>
      <c r="I1046" s="363">
        <f>SUM(Tabla132112412[[#This Row],[PRIMER TRIMESTRE]:[CUARTO TRIMESTRE]])</f>
        <v>500</v>
      </c>
      <c r="J1046" s="175">
        <v>135</v>
      </c>
      <c r="K1046" s="175">
        <f t="shared" si="22"/>
        <v>67500</v>
      </c>
      <c r="L1046" s="175"/>
      <c r="M1046" s="77" t="s">
        <v>18</v>
      </c>
      <c r="N1046" s="77" t="s">
        <v>22</v>
      </c>
      <c r="O1046" s="177"/>
    </row>
    <row r="1047" spans="2:15" s="12" customFormat="1" ht="25.5">
      <c r="B1047" s="372" t="s">
        <v>96</v>
      </c>
      <c r="C1047" s="77" t="s">
        <v>1220</v>
      </c>
      <c r="D1047" s="177" t="s">
        <v>17</v>
      </c>
      <c r="E1047" s="370">
        <v>20</v>
      </c>
      <c r="F1047" s="370">
        <v>0</v>
      </c>
      <c r="G1047" s="370">
        <v>20</v>
      </c>
      <c r="H1047" s="370">
        <v>0</v>
      </c>
      <c r="I1047" s="363">
        <f>SUM(Tabla132112412[[#This Row],[PRIMER TRIMESTRE]:[CUARTO TRIMESTRE]])</f>
        <v>40</v>
      </c>
      <c r="J1047" s="175">
        <v>12000</v>
      </c>
      <c r="K1047" s="175">
        <f t="shared" si="22"/>
        <v>480000</v>
      </c>
      <c r="L1047" s="175"/>
      <c r="M1047" s="77" t="s">
        <v>18</v>
      </c>
      <c r="N1047" s="77" t="s">
        <v>22</v>
      </c>
      <c r="O1047" s="177"/>
    </row>
    <row r="1048" spans="2:15" s="12" customFormat="1" ht="25.5">
      <c r="B1048" s="372" t="s">
        <v>96</v>
      </c>
      <c r="C1048" s="77" t="s">
        <v>1221</v>
      </c>
      <c r="D1048" s="177" t="s">
        <v>17</v>
      </c>
      <c r="E1048" s="370">
        <v>23</v>
      </c>
      <c r="F1048" s="370">
        <v>3</v>
      </c>
      <c r="G1048" s="370">
        <v>23</v>
      </c>
      <c r="H1048" s="370">
        <v>3</v>
      </c>
      <c r="I1048" s="363">
        <f>SUM(Tabla132112412[[#This Row],[PRIMER TRIMESTRE]:[CUARTO TRIMESTRE]])</f>
        <v>52</v>
      </c>
      <c r="J1048" s="175">
        <v>16000</v>
      </c>
      <c r="K1048" s="175">
        <f t="shared" si="22"/>
        <v>832000</v>
      </c>
      <c r="L1048" s="175"/>
      <c r="M1048" s="77" t="s">
        <v>18</v>
      </c>
      <c r="N1048" s="77" t="s">
        <v>22</v>
      </c>
      <c r="O1048" s="177"/>
    </row>
    <row r="1049" spans="2:15" s="12" customFormat="1" ht="25.5">
      <c r="B1049" s="372" t="s">
        <v>96</v>
      </c>
      <c r="C1049" s="77" t="s">
        <v>1222</v>
      </c>
      <c r="D1049" s="177" t="s">
        <v>17</v>
      </c>
      <c r="E1049" s="370">
        <v>23</v>
      </c>
      <c r="F1049" s="370">
        <v>0</v>
      </c>
      <c r="G1049" s="370">
        <v>20</v>
      </c>
      <c r="H1049" s="370">
        <v>0</v>
      </c>
      <c r="I1049" s="363">
        <f>SUM(Tabla132112412[[#This Row],[PRIMER TRIMESTRE]:[CUARTO TRIMESTRE]])</f>
        <v>43</v>
      </c>
      <c r="J1049" s="175">
        <v>17000</v>
      </c>
      <c r="K1049" s="175">
        <f t="shared" si="22"/>
        <v>731000</v>
      </c>
      <c r="L1049" s="175"/>
      <c r="M1049" s="77" t="s">
        <v>18</v>
      </c>
      <c r="N1049" s="77" t="s">
        <v>22</v>
      </c>
      <c r="O1049" s="177"/>
    </row>
    <row r="1050" spans="2:15" s="12" customFormat="1" ht="25.5">
      <c r="B1050" s="372" t="s">
        <v>96</v>
      </c>
      <c r="C1050" s="77" t="s">
        <v>1223</v>
      </c>
      <c r="D1050" s="177" t="s">
        <v>17</v>
      </c>
      <c r="E1050" s="370">
        <v>20</v>
      </c>
      <c r="F1050" s="370">
        <v>0</v>
      </c>
      <c r="G1050" s="370">
        <v>0</v>
      </c>
      <c r="H1050" s="370">
        <v>0</v>
      </c>
      <c r="I1050" s="363">
        <f>SUM(Tabla132112412[[#This Row],[PRIMER TRIMESTRE]:[CUARTO TRIMESTRE]])</f>
        <v>20</v>
      </c>
      <c r="J1050" s="175">
        <v>19000</v>
      </c>
      <c r="K1050" s="175">
        <f t="shared" si="22"/>
        <v>380000</v>
      </c>
      <c r="L1050" s="175"/>
      <c r="M1050" s="77" t="s">
        <v>18</v>
      </c>
      <c r="N1050" s="77" t="s">
        <v>22</v>
      </c>
      <c r="O1050" s="177"/>
    </row>
    <row r="1051" spans="2:15" s="12" customFormat="1" ht="25.5">
      <c r="B1051" s="372" t="s">
        <v>96</v>
      </c>
      <c r="C1051" s="77" t="s">
        <v>1224</v>
      </c>
      <c r="D1051" s="177" t="s">
        <v>17</v>
      </c>
      <c r="E1051" s="370">
        <v>0</v>
      </c>
      <c r="F1051" s="370">
        <v>0</v>
      </c>
      <c r="G1051" s="370">
        <v>0</v>
      </c>
      <c r="H1051" s="370">
        <v>0</v>
      </c>
      <c r="I1051" s="363">
        <f>SUM(Tabla132112412[[#This Row],[PRIMER TRIMESTRE]:[CUARTO TRIMESTRE]])</f>
        <v>0</v>
      </c>
      <c r="J1051" s="175">
        <v>23000</v>
      </c>
      <c r="K1051" s="175">
        <f t="shared" si="22"/>
        <v>0</v>
      </c>
      <c r="L1051" s="175"/>
      <c r="M1051" s="77" t="s">
        <v>18</v>
      </c>
      <c r="N1051" s="77" t="s">
        <v>22</v>
      </c>
      <c r="O1051" s="177"/>
    </row>
    <row r="1052" spans="2:15" s="12" customFormat="1" ht="25.5">
      <c r="B1052" s="372" t="s">
        <v>96</v>
      </c>
      <c r="C1052" s="77" t="s">
        <v>1225</v>
      </c>
      <c r="D1052" s="177" t="s">
        <v>17</v>
      </c>
      <c r="E1052" s="370">
        <v>3</v>
      </c>
      <c r="F1052" s="370">
        <v>3</v>
      </c>
      <c r="G1052" s="370">
        <v>3</v>
      </c>
      <c r="H1052" s="370">
        <v>3</v>
      </c>
      <c r="I1052" s="363">
        <f>SUM(Tabla132112412[[#This Row],[PRIMER TRIMESTRE]:[CUARTO TRIMESTRE]])</f>
        <v>12</v>
      </c>
      <c r="J1052" s="175">
        <v>30000</v>
      </c>
      <c r="K1052" s="175">
        <f t="shared" si="22"/>
        <v>360000</v>
      </c>
      <c r="L1052" s="175"/>
      <c r="M1052" s="77" t="s">
        <v>18</v>
      </c>
      <c r="N1052" s="77" t="s">
        <v>22</v>
      </c>
      <c r="O1052" s="177"/>
    </row>
    <row r="1053" spans="2:15" s="12" customFormat="1" ht="25.5">
      <c r="B1053" s="372" t="s">
        <v>96</v>
      </c>
      <c r="C1053" s="77" t="s">
        <v>1226</v>
      </c>
      <c r="D1053" s="177" t="s">
        <v>17</v>
      </c>
      <c r="E1053" s="370">
        <v>0</v>
      </c>
      <c r="F1053" s="370">
        <v>0</v>
      </c>
      <c r="G1053" s="370">
        <v>0</v>
      </c>
      <c r="H1053" s="370">
        <v>0</v>
      </c>
      <c r="I1053" s="363">
        <f>SUM(Tabla132112412[[#This Row],[PRIMER TRIMESTRE]:[CUARTO TRIMESTRE]])</f>
        <v>0</v>
      </c>
      <c r="J1053" s="175">
        <v>42345.120000000003</v>
      </c>
      <c r="K1053" s="175">
        <f t="shared" ref="K1053:K1116" si="23">+I1053*J1053</f>
        <v>0</v>
      </c>
      <c r="L1053" s="175"/>
      <c r="M1053" s="77" t="s">
        <v>18</v>
      </c>
      <c r="N1053" s="77" t="s">
        <v>22</v>
      </c>
      <c r="O1053" s="177"/>
    </row>
    <row r="1054" spans="2:15" s="12" customFormat="1" ht="25.5">
      <c r="B1054" s="372" t="s">
        <v>96</v>
      </c>
      <c r="C1054" s="77" t="s">
        <v>773</v>
      </c>
      <c r="D1054" s="177" t="s">
        <v>17</v>
      </c>
      <c r="E1054" s="370">
        <v>15</v>
      </c>
      <c r="F1054" s="370">
        <v>15</v>
      </c>
      <c r="G1054" s="370">
        <v>15</v>
      </c>
      <c r="H1054" s="370">
        <v>15</v>
      </c>
      <c r="I1054" s="363">
        <f>SUM(Tabla132112412[[#This Row],[PRIMER TRIMESTRE]:[CUARTO TRIMESTRE]])</f>
        <v>60</v>
      </c>
      <c r="J1054" s="175">
        <v>500</v>
      </c>
      <c r="K1054" s="175">
        <f t="shared" si="23"/>
        <v>30000</v>
      </c>
      <c r="L1054" s="175"/>
      <c r="M1054" s="77" t="s">
        <v>18</v>
      </c>
      <c r="N1054" s="77" t="s">
        <v>22</v>
      </c>
      <c r="O1054" s="177" t="s">
        <v>418</v>
      </c>
    </row>
    <row r="1055" spans="2:15" s="12" customFormat="1" ht="25.5">
      <c r="B1055" s="372" t="s">
        <v>96</v>
      </c>
      <c r="C1055" s="77" t="s">
        <v>774</v>
      </c>
      <c r="D1055" s="177" t="s">
        <v>17</v>
      </c>
      <c r="E1055" s="370">
        <v>5</v>
      </c>
      <c r="F1055" s="370">
        <v>5</v>
      </c>
      <c r="G1055" s="370">
        <v>5</v>
      </c>
      <c r="H1055" s="370">
        <v>5</v>
      </c>
      <c r="I1055" s="363">
        <f>SUM(Tabla132112412[[#This Row],[PRIMER TRIMESTRE]:[CUARTO TRIMESTRE]])</f>
        <v>20</v>
      </c>
      <c r="J1055" s="175">
        <v>1380</v>
      </c>
      <c r="K1055" s="175">
        <f t="shared" si="23"/>
        <v>27600</v>
      </c>
      <c r="L1055" s="175"/>
      <c r="M1055" s="77" t="s">
        <v>18</v>
      </c>
      <c r="N1055" s="77" t="s">
        <v>22</v>
      </c>
      <c r="O1055" s="177" t="s">
        <v>418</v>
      </c>
    </row>
    <row r="1056" spans="2:15" s="12" customFormat="1" ht="25.5">
      <c r="B1056" s="372" t="s">
        <v>96</v>
      </c>
      <c r="C1056" s="77" t="s">
        <v>775</v>
      </c>
      <c r="D1056" s="177" t="s">
        <v>17</v>
      </c>
      <c r="E1056" s="370">
        <v>5</v>
      </c>
      <c r="F1056" s="370">
        <v>5</v>
      </c>
      <c r="G1056" s="370">
        <v>5</v>
      </c>
      <c r="H1056" s="370">
        <v>5</v>
      </c>
      <c r="I1056" s="363">
        <f>SUM(Tabla132112412[[#This Row],[PRIMER TRIMESTRE]:[CUARTO TRIMESTRE]])</f>
        <v>20</v>
      </c>
      <c r="J1056" s="175">
        <v>3200</v>
      </c>
      <c r="K1056" s="175">
        <f t="shared" si="23"/>
        <v>64000</v>
      </c>
      <c r="L1056" s="175"/>
      <c r="M1056" s="77" t="s">
        <v>18</v>
      </c>
      <c r="N1056" s="77" t="s">
        <v>22</v>
      </c>
      <c r="O1056" s="177" t="s">
        <v>418</v>
      </c>
    </row>
    <row r="1057" spans="2:15" s="12" customFormat="1" ht="25.5">
      <c r="B1057" s="372" t="s">
        <v>96</v>
      </c>
      <c r="C1057" s="77" t="s">
        <v>2388</v>
      </c>
      <c r="D1057" s="177" t="s">
        <v>17</v>
      </c>
      <c r="E1057" s="365">
        <v>12</v>
      </c>
      <c r="F1057" s="365">
        <v>12</v>
      </c>
      <c r="G1057" s="365">
        <v>12</v>
      </c>
      <c r="H1057" s="365">
        <v>12</v>
      </c>
      <c r="I1057" s="363">
        <f>SUM(Tabla132112412[[#This Row],[PRIMER TRIMESTRE]:[CUARTO TRIMESTRE]])</f>
        <v>48</v>
      </c>
      <c r="J1057" s="175"/>
      <c r="K1057" s="175"/>
      <c r="L1057" s="175"/>
      <c r="M1057" s="77"/>
      <c r="N1057" s="77"/>
      <c r="O1057" s="177"/>
    </row>
    <row r="1058" spans="2:15" s="12" customFormat="1" ht="25.5">
      <c r="B1058" s="372" t="s">
        <v>96</v>
      </c>
      <c r="C1058" s="77" t="s">
        <v>2389</v>
      </c>
      <c r="D1058" s="177" t="s">
        <v>17</v>
      </c>
      <c r="E1058" s="365">
        <v>5</v>
      </c>
      <c r="F1058" s="365"/>
      <c r="G1058" s="365">
        <v>5</v>
      </c>
      <c r="H1058" s="365"/>
      <c r="I1058" s="363">
        <f>SUM(Tabla132112412[[#This Row],[PRIMER TRIMESTRE]:[CUARTO TRIMESTRE]])</f>
        <v>10</v>
      </c>
      <c r="J1058" s="175"/>
      <c r="K1058" s="175"/>
      <c r="L1058" s="175"/>
      <c r="M1058" s="77"/>
      <c r="N1058" s="77"/>
      <c r="O1058" s="177"/>
    </row>
    <row r="1059" spans="2:15" s="12" customFormat="1" ht="51">
      <c r="B1059" s="372" t="s">
        <v>96</v>
      </c>
      <c r="C1059" s="77" t="s">
        <v>1717</v>
      </c>
      <c r="D1059" s="177" t="s">
        <v>17</v>
      </c>
      <c r="E1059" s="370">
        <v>5</v>
      </c>
      <c r="F1059" s="370">
        <v>3</v>
      </c>
      <c r="G1059" s="370">
        <v>5</v>
      </c>
      <c r="H1059" s="370">
        <v>3</v>
      </c>
      <c r="I1059" s="363">
        <f>SUM(Tabla132112412[[#This Row],[PRIMER TRIMESTRE]:[CUARTO TRIMESTRE]])</f>
        <v>16</v>
      </c>
      <c r="J1059" s="175">
        <v>0</v>
      </c>
      <c r="K1059" s="175">
        <v>0</v>
      </c>
      <c r="L1059" s="175"/>
      <c r="M1059" s="77" t="s">
        <v>18</v>
      </c>
      <c r="N1059" s="77" t="s">
        <v>19</v>
      </c>
      <c r="O1059" s="177"/>
    </row>
    <row r="1060" spans="2:15" s="12" customFormat="1" ht="51">
      <c r="B1060" s="372" t="s">
        <v>96</v>
      </c>
      <c r="C1060" s="77" t="s">
        <v>1678</v>
      </c>
      <c r="D1060" s="177" t="s">
        <v>17</v>
      </c>
      <c r="E1060" s="370">
        <v>2</v>
      </c>
      <c r="F1060" s="370">
        <v>0</v>
      </c>
      <c r="G1060" s="370">
        <v>2</v>
      </c>
      <c r="H1060" s="370">
        <v>0</v>
      </c>
      <c r="I1060" s="363">
        <f>SUM(Tabla132112412[[#This Row],[PRIMER TRIMESTRE]:[CUARTO TRIMESTRE]])</f>
        <v>4</v>
      </c>
      <c r="J1060" s="175">
        <v>0</v>
      </c>
      <c r="K1060" s="175">
        <v>0</v>
      </c>
      <c r="L1060" s="175"/>
      <c r="M1060" s="77" t="s">
        <v>18</v>
      </c>
      <c r="N1060" s="77" t="s">
        <v>19</v>
      </c>
      <c r="O1060" s="177"/>
    </row>
    <row r="1061" spans="2:15" s="12" customFormat="1" ht="51">
      <c r="B1061" s="372" t="s">
        <v>96</v>
      </c>
      <c r="C1061" s="77" t="s">
        <v>1715</v>
      </c>
      <c r="D1061" s="177" t="s">
        <v>17</v>
      </c>
      <c r="E1061" s="370">
        <v>3</v>
      </c>
      <c r="F1061" s="370">
        <v>3</v>
      </c>
      <c r="G1061" s="370">
        <v>3</v>
      </c>
      <c r="H1061" s="370">
        <v>3</v>
      </c>
      <c r="I1061" s="363">
        <f>SUM(Tabla132112412[[#This Row],[PRIMER TRIMESTRE]:[CUARTO TRIMESTRE]])</f>
        <v>12</v>
      </c>
      <c r="J1061" s="175">
        <v>0</v>
      </c>
      <c r="K1061" s="175">
        <v>0</v>
      </c>
      <c r="L1061" s="175"/>
      <c r="M1061" s="77" t="s">
        <v>18</v>
      </c>
      <c r="N1061" s="77" t="s">
        <v>19</v>
      </c>
      <c r="O1061" s="177"/>
    </row>
    <row r="1062" spans="2:15" s="12" customFormat="1" ht="38.25">
      <c r="B1062" s="372" t="s">
        <v>96</v>
      </c>
      <c r="C1062" s="77" t="s">
        <v>1719</v>
      </c>
      <c r="D1062" s="177" t="s">
        <v>17</v>
      </c>
      <c r="E1062" s="370">
        <v>0</v>
      </c>
      <c r="F1062" s="370">
        <v>0</v>
      </c>
      <c r="G1062" s="370">
        <v>0</v>
      </c>
      <c r="H1062" s="370">
        <v>0</v>
      </c>
      <c r="I1062" s="363">
        <f>SUM(Tabla132112412[[#This Row],[PRIMER TRIMESTRE]:[CUARTO TRIMESTRE]])</f>
        <v>0</v>
      </c>
      <c r="J1062" s="175">
        <v>0</v>
      </c>
      <c r="K1062" s="175">
        <v>0</v>
      </c>
      <c r="L1062" s="175"/>
      <c r="M1062" s="77" t="s">
        <v>18</v>
      </c>
      <c r="N1062" s="77" t="s">
        <v>19</v>
      </c>
      <c r="O1062" s="177"/>
    </row>
    <row r="1063" spans="2:15" s="12" customFormat="1" ht="38.25">
      <c r="B1063" s="372" t="s">
        <v>96</v>
      </c>
      <c r="C1063" s="77" t="s">
        <v>816</v>
      </c>
      <c r="D1063" s="177" t="s">
        <v>17</v>
      </c>
      <c r="E1063" s="370">
        <v>2</v>
      </c>
      <c r="F1063" s="370">
        <v>0</v>
      </c>
      <c r="G1063" s="370">
        <v>2</v>
      </c>
      <c r="H1063" s="370">
        <v>0</v>
      </c>
      <c r="I1063" s="363">
        <f>SUM(Tabla132112412[[#This Row],[PRIMER TRIMESTRE]:[CUARTO TRIMESTRE]])</f>
        <v>4</v>
      </c>
      <c r="J1063" s="175">
        <v>565000</v>
      </c>
      <c r="K1063" s="175">
        <f t="shared" si="23"/>
        <v>2260000</v>
      </c>
      <c r="L1063" s="175"/>
      <c r="M1063" s="77" t="s">
        <v>18</v>
      </c>
      <c r="N1063" s="77" t="s">
        <v>19</v>
      </c>
      <c r="O1063" s="177"/>
    </row>
    <row r="1064" spans="2:15" s="12" customFormat="1" ht="38.25">
      <c r="B1064" s="372" t="s">
        <v>96</v>
      </c>
      <c r="C1064" s="77" t="s">
        <v>817</v>
      </c>
      <c r="D1064" s="177" t="s">
        <v>17</v>
      </c>
      <c r="E1064" s="370">
        <v>0</v>
      </c>
      <c r="F1064" s="370">
        <v>0</v>
      </c>
      <c r="G1064" s="370">
        <v>0</v>
      </c>
      <c r="H1064" s="370">
        <v>0</v>
      </c>
      <c r="I1064" s="363">
        <f>SUM(Tabla132112412[[#This Row],[PRIMER TRIMESTRE]:[CUARTO TRIMESTRE]])</f>
        <v>0</v>
      </c>
      <c r="J1064" s="175">
        <v>699235.41</v>
      </c>
      <c r="K1064" s="175">
        <f t="shared" si="23"/>
        <v>0</v>
      </c>
      <c r="L1064" s="175"/>
      <c r="M1064" s="77" t="s">
        <v>18</v>
      </c>
      <c r="N1064" s="77" t="s">
        <v>19</v>
      </c>
      <c r="O1064" s="177"/>
    </row>
    <row r="1065" spans="2:15" s="12" customFormat="1" ht="38.25">
      <c r="B1065" s="372" t="s">
        <v>96</v>
      </c>
      <c r="C1065" s="77" t="s">
        <v>818</v>
      </c>
      <c r="D1065" s="177" t="s">
        <v>17</v>
      </c>
      <c r="E1065" s="370">
        <v>0</v>
      </c>
      <c r="F1065" s="370">
        <v>0</v>
      </c>
      <c r="G1065" s="370">
        <v>0</v>
      </c>
      <c r="H1065" s="370">
        <v>0</v>
      </c>
      <c r="I1065" s="363">
        <f>SUM(Tabla132112412[[#This Row],[PRIMER TRIMESTRE]:[CUARTO TRIMESTRE]])</f>
        <v>0</v>
      </c>
      <c r="J1065" s="175">
        <v>350000</v>
      </c>
      <c r="K1065" s="175">
        <f t="shared" si="23"/>
        <v>0</v>
      </c>
      <c r="L1065" s="175"/>
      <c r="M1065" s="77" t="s">
        <v>18</v>
      </c>
      <c r="N1065" s="77" t="s">
        <v>19</v>
      </c>
      <c r="O1065" s="177"/>
    </row>
    <row r="1066" spans="2:15" s="12" customFormat="1" ht="38.25">
      <c r="B1066" s="372" t="s">
        <v>96</v>
      </c>
      <c r="C1066" s="77" t="s">
        <v>819</v>
      </c>
      <c r="D1066" s="177" t="s">
        <v>17</v>
      </c>
      <c r="E1066" s="370">
        <v>2</v>
      </c>
      <c r="F1066" s="370">
        <v>0</v>
      </c>
      <c r="G1066" s="370">
        <v>0</v>
      </c>
      <c r="H1066" s="370">
        <v>0</v>
      </c>
      <c r="I1066" s="363">
        <f>SUM(Tabla132112412[[#This Row],[PRIMER TRIMESTRE]:[CUARTO TRIMESTRE]])</f>
        <v>2</v>
      </c>
      <c r="J1066" s="175">
        <v>198000</v>
      </c>
      <c r="K1066" s="175">
        <f t="shared" si="23"/>
        <v>396000</v>
      </c>
      <c r="L1066" s="175"/>
      <c r="M1066" s="77" t="s">
        <v>18</v>
      </c>
      <c r="N1066" s="77" t="s">
        <v>19</v>
      </c>
      <c r="O1066" s="177"/>
    </row>
    <row r="1067" spans="2:15" s="12" customFormat="1" ht="38.25">
      <c r="B1067" s="372" t="s">
        <v>96</v>
      </c>
      <c r="C1067" s="77" t="s">
        <v>820</v>
      </c>
      <c r="D1067" s="177" t="s">
        <v>17</v>
      </c>
      <c r="E1067" s="370">
        <v>0</v>
      </c>
      <c r="F1067" s="370">
        <v>0</v>
      </c>
      <c r="G1067" s="370">
        <v>0</v>
      </c>
      <c r="H1067" s="370">
        <v>0</v>
      </c>
      <c r="I1067" s="363">
        <f>SUM(Tabla132112412[[#This Row],[PRIMER TRIMESTRE]:[CUARTO TRIMESTRE]])</f>
        <v>0</v>
      </c>
      <c r="J1067" s="175">
        <v>117000</v>
      </c>
      <c r="K1067" s="175">
        <f t="shared" si="23"/>
        <v>0</v>
      </c>
      <c r="L1067" s="175"/>
      <c r="M1067" s="77" t="s">
        <v>18</v>
      </c>
      <c r="N1067" s="77" t="s">
        <v>19</v>
      </c>
      <c r="O1067" s="177"/>
    </row>
    <row r="1068" spans="2:15" s="12" customFormat="1" ht="38.25">
      <c r="B1068" s="372" t="s">
        <v>96</v>
      </c>
      <c r="C1068" s="77" t="s">
        <v>821</v>
      </c>
      <c r="D1068" s="177" t="s">
        <v>17</v>
      </c>
      <c r="E1068" s="370">
        <v>2</v>
      </c>
      <c r="F1068" s="370">
        <v>2</v>
      </c>
      <c r="G1068" s="370">
        <v>2</v>
      </c>
      <c r="H1068" s="370">
        <v>2</v>
      </c>
      <c r="I1068" s="363">
        <f>SUM(Tabla132112412[[#This Row],[PRIMER TRIMESTRE]:[CUARTO TRIMESTRE]])</f>
        <v>8</v>
      </c>
      <c r="J1068" s="175">
        <v>61630.63</v>
      </c>
      <c r="K1068" s="175">
        <f t="shared" si="23"/>
        <v>493045.04</v>
      </c>
      <c r="L1068" s="175"/>
      <c r="M1068" s="77" t="s">
        <v>18</v>
      </c>
      <c r="N1068" s="77" t="s">
        <v>19</v>
      </c>
      <c r="O1068" s="177"/>
    </row>
    <row r="1069" spans="2:15" s="12" customFormat="1" ht="38.25">
      <c r="B1069" s="372" t="s">
        <v>96</v>
      </c>
      <c r="C1069" s="77" t="s">
        <v>822</v>
      </c>
      <c r="D1069" s="177" t="s">
        <v>17</v>
      </c>
      <c r="E1069" s="370">
        <v>0</v>
      </c>
      <c r="F1069" s="370">
        <v>0</v>
      </c>
      <c r="G1069" s="370">
        <v>0</v>
      </c>
      <c r="H1069" s="370">
        <v>0</v>
      </c>
      <c r="I1069" s="363">
        <f>SUM(Tabla132112412[[#This Row],[PRIMER TRIMESTRE]:[CUARTO TRIMESTRE]])</f>
        <v>0</v>
      </c>
      <c r="J1069" s="175">
        <v>54792</v>
      </c>
      <c r="K1069" s="175">
        <f t="shared" si="23"/>
        <v>0</v>
      </c>
      <c r="L1069" s="175"/>
      <c r="M1069" s="77" t="s">
        <v>18</v>
      </c>
      <c r="N1069" s="77" t="s">
        <v>19</v>
      </c>
      <c r="O1069" s="177"/>
    </row>
    <row r="1070" spans="2:15" s="12" customFormat="1" ht="38.25">
      <c r="B1070" s="372" t="s">
        <v>96</v>
      </c>
      <c r="C1070" s="77" t="s">
        <v>823</v>
      </c>
      <c r="D1070" s="177" t="s">
        <v>17</v>
      </c>
      <c r="E1070" s="370">
        <v>2</v>
      </c>
      <c r="F1070" s="370">
        <v>2</v>
      </c>
      <c r="G1070" s="370">
        <v>2</v>
      </c>
      <c r="H1070" s="370">
        <v>2</v>
      </c>
      <c r="I1070" s="363">
        <f>SUM(Tabla132112412[[#This Row],[PRIMER TRIMESTRE]:[CUARTO TRIMESTRE]])</f>
        <v>8</v>
      </c>
      <c r="J1070" s="175">
        <v>49560</v>
      </c>
      <c r="K1070" s="175">
        <f t="shared" si="23"/>
        <v>396480</v>
      </c>
      <c r="L1070" s="175"/>
      <c r="M1070" s="77" t="s">
        <v>18</v>
      </c>
      <c r="N1070" s="77" t="s">
        <v>19</v>
      </c>
      <c r="O1070" s="177"/>
    </row>
    <row r="1071" spans="2:15" s="12" customFormat="1" ht="25.5">
      <c r="B1071" s="372" t="s">
        <v>96</v>
      </c>
      <c r="C1071" s="77" t="s">
        <v>824</v>
      </c>
      <c r="D1071" s="177" t="s">
        <v>17</v>
      </c>
      <c r="E1071" s="370">
        <v>3</v>
      </c>
      <c r="F1071" s="370">
        <v>2</v>
      </c>
      <c r="G1071" s="370">
        <v>3</v>
      </c>
      <c r="H1071" s="370">
        <v>2</v>
      </c>
      <c r="I1071" s="363">
        <f>SUM(Tabla132112412[[#This Row],[PRIMER TRIMESTRE]:[CUARTO TRIMESTRE]])</f>
        <v>10</v>
      </c>
      <c r="J1071" s="175">
        <v>46658.86</v>
      </c>
      <c r="K1071" s="175">
        <f t="shared" si="23"/>
        <v>466588.6</v>
      </c>
      <c r="L1071" s="175"/>
      <c r="M1071" s="77" t="s">
        <v>18</v>
      </c>
      <c r="N1071" s="77" t="s">
        <v>19</v>
      </c>
      <c r="O1071" s="177"/>
    </row>
    <row r="1072" spans="2:15" s="12" customFormat="1" ht="38.25">
      <c r="B1072" s="372" t="s">
        <v>96</v>
      </c>
      <c r="C1072" s="77" t="s">
        <v>1734</v>
      </c>
      <c r="D1072" s="177" t="s">
        <v>17</v>
      </c>
      <c r="E1072" s="370">
        <v>1</v>
      </c>
      <c r="F1072" s="370">
        <v>0</v>
      </c>
      <c r="G1072" s="370">
        <v>1</v>
      </c>
      <c r="H1072" s="370">
        <v>0</v>
      </c>
      <c r="I1072" s="363">
        <f>SUM(Tabla132112412[[#This Row],[PRIMER TRIMESTRE]:[CUARTO TRIMESTRE]])</f>
        <v>2</v>
      </c>
      <c r="J1072" s="175">
        <v>0</v>
      </c>
      <c r="K1072" s="175">
        <f t="shared" si="23"/>
        <v>0</v>
      </c>
      <c r="L1072" s="175"/>
      <c r="M1072" s="77" t="s">
        <v>18</v>
      </c>
      <c r="N1072" s="77" t="s">
        <v>19</v>
      </c>
      <c r="O1072" s="177"/>
    </row>
    <row r="1073" spans="2:15" s="12" customFormat="1" ht="38.25">
      <c r="B1073" s="372" t="s">
        <v>96</v>
      </c>
      <c r="C1073" s="77" t="s">
        <v>1733</v>
      </c>
      <c r="D1073" s="177" t="s">
        <v>17</v>
      </c>
      <c r="E1073" s="370">
        <v>0</v>
      </c>
      <c r="F1073" s="370">
        <v>0</v>
      </c>
      <c r="G1073" s="370">
        <v>0</v>
      </c>
      <c r="H1073" s="370">
        <v>0</v>
      </c>
      <c r="I1073" s="363">
        <f>SUM(Tabla132112412[[#This Row],[PRIMER TRIMESTRE]:[CUARTO TRIMESTRE]])</f>
        <v>0</v>
      </c>
      <c r="J1073" s="175">
        <v>0</v>
      </c>
      <c r="K1073" s="175">
        <f t="shared" si="23"/>
        <v>0</v>
      </c>
      <c r="L1073" s="175"/>
      <c r="M1073" s="77" t="s">
        <v>18</v>
      </c>
      <c r="N1073" s="77" t="s">
        <v>19</v>
      </c>
      <c r="O1073" s="177"/>
    </row>
    <row r="1074" spans="2:15" s="12" customFormat="1" ht="38.25">
      <c r="B1074" s="372" t="s">
        <v>96</v>
      </c>
      <c r="C1074" s="77" t="s">
        <v>1732</v>
      </c>
      <c r="D1074" s="177" t="s">
        <v>17</v>
      </c>
      <c r="E1074" s="370">
        <v>0</v>
      </c>
      <c r="F1074" s="370">
        <v>0</v>
      </c>
      <c r="G1074" s="370">
        <v>0</v>
      </c>
      <c r="H1074" s="370">
        <v>0</v>
      </c>
      <c r="I1074" s="363">
        <f>SUM(Tabla132112412[[#This Row],[PRIMER TRIMESTRE]:[CUARTO TRIMESTRE]])</f>
        <v>0</v>
      </c>
      <c r="J1074" s="175">
        <v>0</v>
      </c>
      <c r="K1074" s="175">
        <f t="shared" si="23"/>
        <v>0</v>
      </c>
      <c r="L1074" s="175"/>
      <c r="M1074" s="77" t="s">
        <v>18</v>
      </c>
      <c r="N1074" s="77" t="s">
        <v>19</v>
      </c>
      <c r="O1074" s="177"/>
    </row>
    <row r="1075" spans="2:15" s="12" customFormat="1" ht="25.5">
      <c r="B1075" s="372" t="s">
        <v>96</v>
      </c>
      <c r="C1075" s="77" t="s">
        <v>825</v>
      </c>
      <c r="D1075" s="177" t="s">
        <v>17</v>
      </c>
      <c r="E1075" s="370">
        <v>0</v>
      </c>
      <c r="F1075" s="370">
        <v>0</v>
      </c>
      <c r="G1075" s="370">
        <v>0</v>
      </c>
      <c r="H1075" s="370">
        <v>0</v>
      </c>
      <c r="I1075" s="363">
        <f>SUM(Tabla132112412[[#This Row],[PRIMER TRIMESTRE]:[CUARTO TRIMESTRE]])</f>
        <v>0</v>
      </c>
      <c r="J1075" s="175">
        <v>47216.69</v>
      </c>
      <c r="K1075" s="175">
        <f t="shared" si="23"/>
        <v>0</v>
      </c>
      <c r="L1075" s="175"/>
      <c r="M1075" s="77" t="s">
        <v>18</v>
      </c>
      <c r="N1075" s="77" t="s">
        <v>19</v>
      </c>
      <c r="O1075" s="177"/>
    </row>
    <row r="1076" spans="2:15" s="12" customFormat="1" ht="25.5">
      <c r="B1076" s="372" t="s">
        <v>96</v>
      </c>
      <c r="C1076" s="77" t="s">
        <v>826</v>
      </c>
      <c r="D1076" s="177" t="s">
        <v>17</v>
      </c>
      <c r="E1076" s="370">
        <v>0</v>
      </c>
      <c r="F1076" s="370">
        <v>0</v>
      </c>
      <c r="G1076" s="370">
        <v>0</v>
      </c>
      <c r="H1076" s="370">
        <v>0</v>
      </c>
      <c r="I1076" s="363">
        <f>SUM(Tabla132112412[[#This Row],[PRIMER TRIMESTRE]:[CUARTO TRIMESTRE]])</f>
        <v>0</v>
      </c>
      <c r="J1076" s="175">
        <v>59766.34</v>
      </c>
      <c r="K1076" s="175">
        <f t="shared" si="23"/>
        <v>0</v>
      </c>
      <c r="L1076" s="175"/>
      <c r="M1076" s="77" t="s">
        <v>18</v>
      </c>
      <c r="N1076" s="77" t="s">
        <v>19</v>
      </c>
      <c r="O1076" s="177"/>
    </row>
    <row r="1077" spans="2:15" s="12" customFormat="1" ht="25.5">
      <c r="B1077" s="372" t="s">
        <v>96</v>
      </c>
      <c r="C1077" s="77" t="s">
        <v>1227</v>
      </c>
      <c r="D1077" s="177" t="s">
        <v>17</v>
      </c>
      <c r="E1077" s="370">
        <v>0</v>
      </c>
      <c r="F1077" s="370">
        <v>0</v>
      </c>
      <c r="G1077" s="370">
        <v>0</v>
      </c>
      <c r="H1077" s="370">
        <v>0</v>
      </c>
      <c r="I1077" s="363">
        <f>SUM(Tabla132112412[[#This Row],[PRIMER TRIMESTRE]:[CUARTO TRIMESTRE]])</f>
        <v>0</v>
      </c>
      <c r="J1077" s="175">
        <v>56400</v>
      </c>
      <c r="K1077" s="175">
        <f t="shared" si="23"/>
        <v>0</v>
      </c>
      <c r="L1077" s="175"/>
      <c r="M1077" s="77" t="s">
        <v>18</v>
      </c>
      <c r="N1077" s="77" t="s">
        <v>22</v>
      </c>
      <c r="O1077" s="177"/>
    </row>
    <row r="1078" spans="2:15" s="12" customFormat="1" ht="25.5">
      <c r="B1078" s="372" t="s">
        <v>96</v>
      </c>
      <c r="C1078" s="77" t="s">
        <v>1228</v>
      </c>
      <c r="D1078" s="177" t="s">
        <v>17</v>
      </c>
      <c r="E1078" s="370">
        <v>0</v>
      </c>
      <c r="F1078" s="370">
        <v>0</v>
      </c>
      <c r="G1078" s="370">
        <v>0</v>
      </c>
      <c r="H1078" s="370">
        <v>0</v>
      </c>
      <c r="I1078" s="363">
        <f>SUM(Tabla132112412[[#This Row],[PRIMER TRIMESTRE]:[CUARTO TRIMESTRE]])</f>
        <v>0</v>
      </c>
      <c r="J1078" s="175">
        <v>56400</v>
      </c>
      <c r="K1078" s="175">
        <f t="shared" si="23"/>
        <v>0</v>
      </c>
      <c r="L1078" s="175"/>
      <c r="M1078" s="77" t="s">
        <v>18</v>
      </c>
      <c r="N1078" s="77" t="s">
        <v>22</v>
      </c>
      <c r="O1078" s="177"/>
    </row>
    <row r="1079" spans="2:15" s="12" customFormat="1" ht="25.5">
      <c r="B1079" s="372" t="s">
        <v>96</v>
      </c>
      <c r="C1079" s="77" t="s">
        <v>1229</v>
      </c>
      <c r="D1079" s="177" t="s">
        <v>17</v>
      </c>
      <c r="E1079" s="370">
        <v>2</v>
      </c>
      <c r="F1079" s="370">
        <v>1</v>
      </c>
      <c r="G1079" s="370">
        <v>1</v>
      </c>
      <c r="H1079" s="370">
        <v>1</v>
      </c>
      <c r="I1079" s="363">
        <f>SUM(Tabla132112412[[#This Row],[PRIMER TRIMESTRE]:[CUARTO TRIMESTRE]])</f>
        <v>5</v>
      </c>
      <c r="J1079" s="175">
        <v>56400</v>
      </c>
      <c r="K1079" s="175">
        <f t="shared" si="23"/>
        <v>282000</v>
      </c>
      <c r="L1079" s="175"/>
      <c r="M1079" s="77" t="s">
        <v>18</v>
      </c>
      <c r="N1079" s="77" t="s">
        <v>22</v>
      </c>
      <c r="O1079" s="177"/>
    </row>
    <row r="1080" spans="2:15" s="12" customFormat="1" ht="25.5">
      <c r="B1080" s="372" t="s">
        <v>96</v>
      </c>
      <c r="C1080" s="376" t="s">
        <v>2390</v>
      </c>
      <c r="D1080" s="177"/>
      <c r="E1080" s="369">
        <v>2</v>
      </c>
      <c r="F1080" s="369">
        <v>1</v>
      </c>
      <c r="G1080" s="369">
        <v>1</v>
      </c>
      <c r="H1080" s="369">
        <v>1</v>
      </c>
      <c r="I1080" s="363">
        <f>SUM(Tabla132112412[[#This Row],[PRIMER TRIMESTRE]:[CUARTO TRIMESTRE]])</f>
        <v>5</v>
      </c>
      <c r="J1080" s="175"/>
      <c r="K1080" s="175"/>
      <c r="L1080" s="175"/>
      <c r="M1080" s="77"/>
      <c r="N1080" s="77"/>
      <c r="O1080" s="177"/>
    </row>
    <row r="1081" spans="2:15" s="12" customFormat="1" ht="25.5">
      <c r="B1081" s="372" t="s">
        <v>96</v>
      </c>
      <c r="C1081" s="376" t="s">
        <v>2391</v>
      </c>
      <c r="D1081" s="177"/>
      <c r="E1081" s="369">
        <v>4</v>
      </c>
      <c r="F1081" s="369">
        <v>4</v>
      </c>
      <c r="G1081" s="369">
        <v>4</v>
      </c>
      <c r="H1081" s="369">
        <v>4</v>
      </c>
      <c r="I1081" s="363">
        <f>SUM(Tabla132112412[[#This Row],[PRIMER TRIMESTRE]:[CUARTO TRIMESTRE]])</f>
        <v>16</v>
      </c>
      <c r="J1081" s="175"/>
      <c r="K1081" s="175"/>
      <c r="L1081" s="175"/>
      <c r="M1081" s="77"/>
      <c r="N1081" s="77"/>
      <c r="O1081" s="177"/>
    </row>
    <row r="1082" spans="2:15" s="12" customFormat="1" ht="25.5">
      <c r="B1082" s="372" t="s">
        <v>96</v>
      </c>
      <c r="C1082" s="376" t="s">
        <v>2392</v>
      </c>
      <c r="D1082" s="177"/>
      <c r="E1082" s="369">
        <v>2</v>
      </c>
      <c r="F1082" s="369">
        <v>0</v>
      </c>
      <c r="G1082" s="369">
        <v>1</v>
      </c>
      <c r="H1082" s="369">
        <v>0</v>
      </c>
      <c r="I1082" s="363">
        <f>SUM(Tabla132112412[[#This Row],[PRIMER TRIMESTRE]:[CUARTO TRIMESTRE]])</f>
        <v>3</v>
      </c>
      <c r="J1082" s="175"/>
      <c r="K1082" s="175"/>
      <c r="L1082" s="175"/>
      <c r="M1082" s="77"/>
      <c r="N1082" s="77"/>
      <c r="O1082" s="177"/>
    </row>
    <row r="1083" spans="2:15" s="12" customFormat="1" ht="25.5">
      <c r="B1083" s="372" t="s">
        <v>96</v>
      </c>
      <c r="C1083" s="472" t="s">
        <v>2393</v>
      </c>
      <c r="D1083" s="177"/>
      <c r="E1083" s="378">
        <v>6</v>
      </c>
      <c r="F1083" s="369">
        <v>0</v>
      </c>
      <c r="G1083" s="369">
        <v>2</v>
      </c>
      <c r="H1083" s="369">
        <v>0</v>
      </c>
      <c r="I1083" s="363">
        <f>SUM(Tabla132112412[[#This Row],[PRIMER TRIMESTRE]:[CUARTO TRIMESTRE]])</f>
        <v>8</v>
      </c>
      <c r="J1083" s="175"/>
      <c r="K1083" s="175"/>
      <c r="L1083" s="175"/>
      <c r="M1083" s="77"/>
      <c r="N1083" s="77"/>
      <c r="O1083" s="177"/>
    </row>
    <row r="1084" spans="2:15" s="12" customFormat="1" ht="25.5">
      <c r="B1084" s="372" t="s">
        <v>96</v>
      </c>
      <c r="C1084" s="472" t="s">
        <v>2394</v>
      </c>
      <c r="D1084" s="177"/>
      <c r="E1084" s="378">
        <v>6</v>
      </c>
      <c r="F1084" s="369">
        <v>0</v>
      </c>
      <c r="G1084" s="369">
        <v>2</v>
      </c>
      <c r="H1084" s="369">
        <v>0</v>
      </c>
      <c r="I1084" s="363">
        <f>SUM(Tabla132112412[[#This Row],[PRIMER TRIMESTRE]:[CUARTO TRIMESTRE]])</f>
        <v>8</v>
      </c>
      <c r="J1084" s="175"/>
      <c r="K1084" s="175"/>
      <c r="L1084" s="175"/>
      <c r="M1084" s="77"/>
      <c r="N1084" s="77"/>
      <c r="O1084" s="177"/>
    </row>
    <row r="1085" spans="2:15" s="12" customFormat="1" ht="25.5">
      <c r="B1085" s="372" t="s">
        <v>96</v>
      </c>
      <c r="C1085" s="472" t="s">
        <v>2395</v>
      </c>
      <c r="D1085" s="177"/>
      <c r="E1085" s="378">
        <v>4</v>
      </c>
      <c r="F1085" s="369">
        <v>0</v>
      </c>
      <c r="G1085" s="369">
        <v>1</v>
      </c>
      <c r="H1085" s="369">
        <v>0</v>
      </c>
      <c r="I1085" s="363">
        <f>SUM(Tabla132112412[[#This Row],[PRIMER TRIMESTRE]:[CUARTO TRIMESTRE]])</f>
        <v>5</v>
      </c>
      <c r="J1085" s="175"/>
      <c r="K1085" s="175"/>
      <c r="L1085" s="175"/>
      <c r="M1085" s="77"/>
      <c r="N1085" s="77"/>
      <c r="O1085" s="177"/>
    </row>
    <row r="1086" spans="2:15" s="12" customFormat="1" ht="25.5">
      <c r="B1086" s="372" t="s">
        <v>96</v>
      </c>
      <c r="C1086" s="472" t="s">
        <v>2396</v>
      </c>
      <c r="D1086" s="177"/>
      <c r="E1086" s="378">
        <v>4</v>
      </c>
      <c r="F1086" s="369">
        <v>0</v>
      </c>
      <c r="G1086" s="369">
        <v>1</v>
      </c>
      <c r="H1086" s="369">
        <v>0</v>
      </c>
      <c r="I1086" s="363">
        <f>SUM(Tabla132112412[[#This Row],[PRIMER TRIMESTRE]:[CUARTO TRIMESTRE]])</f>
        <v>5</v>
      </c>
      <c r="J1086" s="175"/>
      <c r="K1086" s="175"/>
      <c r="L1086" s="175"/>
      <c r="M1086" s="77"/>
      <c r="N1086" s="77"/>
      <c r="O1086" s="177"/>
    </row>
    <row r="1087" spans="2:15" s="12" customFormat="1" ht="25.5">
      <c r="B1087" s="372" t="s">
        <v>96</v>
      </c>
      <c r="C1087" s="472" t="s">
        <v>2397</v>
      </c>
      <c r="D1087" s="177"/>
      <c r="E1087" s="378">
        <v>4</v>
      </c>
      <c r="F1087" s="369">
        <v>0</v>
      </c>
      <c r="G1087" s="369">
        <v>1</v>
      </c>
      <c r="H1087" s="369">
        <v>0</v>
      </c>
      <c r="I1087" s="363">
        <f>SUM(Tabla132112412[[#This Row],[PRIMER TRIMESTRE]:[CUARTO TRIMESTRE]])</f>
        <v>5</v>
      </c>
      <c r="J1087" s="175"/>
      <c r="K1087" s="175"/>
      <c r="L1087" s="175"/>
      <c r="M1087" s="77"/>
      <c r="N1087" s="77"/>
      <c r="O1087" s="177"/>
    </row>
    <row r="1088" spans="2:15" s="12" customFormat="1" ht="25.5">
      <c r="B1088" s="372" t="s">
        <v>96</v>
      </c>
      <c r="C1088" s="377" t="s">
        <v>2398</v>
      </c>
      <c r="D1088" s="177"/>
      <c r="E1088" s="378">
        <v>6</v>
      </c>
      <c r="F1088" s="369">
        <v>0</v>
      </c>
      <c r="G1088" s="369">
        <v>2</v>
      </c>
      <c r="H1088" s="369">
        <v>0</v>
      </c>
      <c r="I1088" s="363">
        <f>SUM(Tabla132112412[[#This Row],[PRIMER TRIMESTRE]:[CUARTO TRIMESTRE]])</f>
        <v>8</v>
      </c>
      <c r="J1088" s="175"/>
      <c r="K1088" s="175"/>
      <c r="L1088" s="175"/>
      <c r="M1088" s="77"/>
      <c r="N1088" s="77"/>
      <c r="O1088" s="177"/>
    </row>
    <row r="1089" spans="2:15" s="12" customFormat="1" ht="25.5">
      <c r="B1089" s="372" t="s">
        <v>96</v>
      </c>
      <c r="C1089" s="377" t="s">
        <v>2399</v>
      </c>
      <c r="D1089" s="177"/>
      <c r="E1089" s="378">
        <v>6</v>
      </c>
      <c r="F1089" s="369">
        <v>0</v>
      </c>
      <c r="G1089" s="369">
        <v>2</v>
      </c>
      <c r="H1089" s="369">
        <v>0</v>
      </c>
      <c r="I1089" s="363">
        <f>SUM(Tabla132112412[[#This Row],[PRIMER TRIMESTRE]:[CUARTO TRIMESTRE]])</f>
        <v>8</v>
      </c>
      <c r="J1089" s="175"/>
      <c r="K1089" s="175"/>
      <c r="L1089" s="175"/>
      <c r="M1089" s="77"/>
      <c r="N1089" s="77"/>
      <c r="O1089" s="177"/>
    </row>
    <row r="1090" spans="2:15" s="12" customFormat="1" ht="25.5">
      <c r="B1090" s="372" t="s">
        <v>96</v>
      </c>
      <c r="C1090" s="377" t="s">
        <v>2400</v>
      </c>
      <c r="D1090" s="177"/>
      <c r="E1090" s="378">
        <v>6</v>
      </c>
      <c r="F1090" s="369">
        <v>0</v>
      </c>
      <c r="G1090" s="369">
        <v>2</v>
      </c>
      <c r="H1090" s="369">
        <v>0</v>
      </c>
      <c r="I1090" s="363">
        <f>SUM(Tabla132112412[[#This Row],[PRIMER TRIMESTRE]:[CUARTO TRIMESTRE]])</f>
        <v>8</v>
      </c>
      <c r="J1090" s="175"/>
      <c r="K1090" s="175"/>
      <c r="L1090" s="175"/>
      <c r="M1090" s="77"/>
      <c r="N1090" s="77"/>
      <c r="O1090" s="177"/>
    </row>
    <row r="1091" spans="2:15" s="12" customFormat="1" ht="25.5">
      <c r="B1091" s="372" t="s">
        <v>96</v>
      </c>
      <c r="C1091" s="377" t="s">
        <v>2401</v>
      </c>
      <c r="D1091" s="177"/>
      <c r="E1091" s="378">
        <v>6</v>
      </c>
      <c r="F1091" s="369">
        <v>0</v>
      </c>
      <c r="G1091" s="369">
        <v>2</v>
      </c>
      <c r="H1091" s="369">
        <v>0</v>
      </c>
      <c r="I1091" s="363">
        <f>SUM(Tabla132112412[[#This Row],[PRIMER TRIMESTRE]:[CUARTO TRIMESTRE]])</f>
        <v>8</v>
      </c>
      <c r="J1091" s="175"/>
      <c r="K1091" s="175"/>
      <c r="L1091" s="175"/>
      <c r="M1091" s="77"/>
      <c r="N1091" s="77"/>
      <c r="O1091" s="177"/>
    </row>
    <row r="1092" spans="2:15" s="12" customFormat="1" ht="25.5">
      <c r="B1092" s="372" t="s">
        <v>96</v>
      </c>
      <c r="C1092" s="472" t="s">
        <v>2402</v>
      </c>
      <c r="D1092" s="177"/>
      <c r="E1092" s="378">
        <v>6</v>
      </c>
      <c r="F1092" s="369">
        <v>0</v>
      </c>
      <c r="G1092" s="369">
        <v>2</v>
      </c>
      <c r="H1092" s="369">
        <v>0</v>
      </c>
      <c r="I1092" s="363">
        <f>SUM(Tabla132112412[[#This Row],[PRIMER TRIMESTRE]:[CUARTO TRIMESTRE]])</f>
        <v>8</v>
      </c>
      <c r="J1092" s="175"/>
      <c r="K1092" s="175"/>
      <c r="L1092" s="175"/>
      <c r="M1092" s="77"/>
      <c r="N1092" s="77"/>
      <c r="O1092" s="177"/>
    </row>
    <row r="1093" spans="2:15" s="12" customFormat="1" ht="25.5">
      <c r="B1093" s="372" t="s">
        <v>96</v>
      </c>
      <c r="C1093" s="77" t="s">
        <v>827</v>
      </c>
      <c r="D1093" s="177" t="s">
        <v>17</v>
      </c>
      <c r="E1093" s="370">
        <v>0</v>
      </c>
      <c r="F1093" s="370">
        <v>0</v>
      </c>
      <c r="G1093" s="370">
        <v>0</v>
      </c>
      <c r="H1093" s="370">
        <v>0</v>
      </c>
      <c r="I1093" s="363">
        <f>SUM(Tabla132112412[[#This Row],[PRIMER TRIMESTRE]:[CUARTO TRIMESTRE]])</f>
        <v>0</v>
      </c>
      <c r="J1093" s="175">
        <v>2415</v>
      </c>
      <c r="K1093" s="175">
        <f t="shared" si="23"/>
        <v>0</v>
      </c>
      <c r="L1093" s="175"/>
      <c r="M1093" s="77" t="s">
        <v>18</v>
      </c>
      <c r="N1093" s="77" t="s">
        <v>22</v>
      </c>
      <c r="O1093" s="177"/>
    </row>
    <row r="1094" spans="2:15" s="12" customFormat="1" ht="25.5">
      <c r="B1094" s="372" t="s">
        <v>96</v>
      </c>
      <c r="C1094" s="77" t="s">
        <v>828</v>
      </c>
      <c r="D1094" s="177" t="s">
        <v>17</v>
      </c>
      <c r="E1094" s="370">
        <v>3</v>
      </c>
      <c r="F1094" s="370">
        <v>3</v>
      </c>
      <c r="G1094" s="370">
        <v>3</v>
      </c>
      <c r="H1094" s="370">
        <v>3</v>
      </c>
      <c r="I1094" s="363">
        <f>SUM(Tabla132112412[[#This Row],[PRIMER TRIMESTRE]:[CUARTO TRIMESTRE]])</f>
        <v>12</v>
      </c>
      <c r="J1094" s="175">
        <v>3266</v>
      </c>
      <c r="K1094" s="175">
        <f t="shared" si="23"/>
        <v>39192</v>
      </c>
      <c r="L1094" s="175"/>
      <c r="M1094" s="77" t="s">
        <v>18</v>
      </c>
      <c r="N1094" s="77" t="s">
        <v>22</v>
      </c>
      <c r="O1094" s="177"/>
    </row>
    <row r="1095" spans="2:15" s="12" customFormat="1" ht="25.5">
      <c r="B1095" s="372" t="s">
        <v>96</v>
      </c>
      <c r="C1095" s="77" t="s">
        <v>829</v>
      </c>
      <c r="D1095" s="177" t="s">
        <v>17</v>
      </c>
      <c r="E1095" s="370">
        <v>2</v>
      </c>
      <c r="F1095" s="370">
        <v>0</v>
      </c>
      <c r="G1095" s="370">
        <v>2</v>
      </c>
      <c r="H1095" s="370">
        <v>0</v>
      </c>
      <c r="I1095" s="363">
        <f>SUM(Tabla132112412[[#This Row],[PRIMER TRIMESTRE]:[CUARTO TRIMESTRE]])</f>
        <v>4</v>
      </c>
      <c r="J1095" s="175">
        <v>4000</v>
      </c>
      <c r="K1095" s="175">
        <f t="shared" si="23"/>
        <v>16000</v>
      </c>
      <c r="L1095" s="175"/>
      <c r="M1095" s="77" t="s">
        <v>18</v>
      </c>
      <c r="N1095" s="77" t="s">
        <v>22</v>
      </c>
      <c r="O1095" s="177"/>
    </row>
    <row r="1096" spans="2:15" s="12" customFormat="1" ht="25.5">
      <c r="B1096" s="372" t="s">
        <v>96</v>
      </c>
      <c r="C1096" s="77" t="s">
        <v>830</v>
      </c>
      <c r="D1096" s="177" t="s">
        <v>17</v>
      </c>
      <c r="E1096" s="370">
        <v>3</v>
      </c>
      <c r="F1096" s="370">
        <v>2</v>
      </c>
      <c r="G1096" s="370">
        <v>3</v>
      </c>
      <c r="H1096" s="370">
        <v>2</v>
      </c>
      <c r="I1096" s="363">
        <f>SUM(Tabla132112412[[#This Row],[PRIMER TRIMESTRE]:[CUARTO TRIMESTRE]])</f>
        <v>10</v>
      </c>
      <c r="J1096" s="175">
        <v>4957</v>
      </c>
      <c r="K1096" s="175">
        <f t="shared" si="23"/>
        <v>49570</v>
      </c>
      <c r="L1096" s="175"/>
      <c r="M1096" s="77" t="s">
        <v>18</v>
      </c>
      <c r="N1096" s="77" t="s">
        <v>22</v>
      </c>
      <c r="O1096" s="177"/>
    </row>
    <row r="1097" spans="2:15" s="12" customFormat="1" ht="25.5">
      <c r="B1097" s="372" t="s">
        <v>96</v>
      </c>
      <c r="C1097" s="77" t="s">
        <v>831</v>
      </c>
      <c r="D1097" s="177" t="s">
        <v>17</v>
      </c>
      <c r="E1097" s="370">
        <v>1</v>
      </c>
      <c r="F1097" s="370">
        <v>0</v>
      </c>
      <c r="G1097" s="370">
        <v>1</v>
      </c>
      <c r="H1097" s="370">
        <v>0</v>
      </c>
      <c r="I1097" s="363">
        <f>SUM(Tabla132112412[[#This Row],[PRIMER TRIMESTRE]:[CUARTO TRIMESTRE]])</f>
        <v>2</v>
      </c>
      <c r="J1097" s="175">
        <v>5394</v>
      </c>
      <c r="K1097" s="175">
        <f t="shared" si="23"/>
        <v>10788</v>
      </c>
      <c r="L1097" s="175"/>
      <c r="M1097" s="77" t="s">
        <v>18</v>
      </c>
      <c r="N1097" s="77" t="s">
        <v>22</v>
      </c>
      <c r="O1097" s="177"/>
    </row>
    <row r="1098" spans="2:15" s="12" customFormat="1" ht="25.5">
      <c r="B1098" s="372" t="s">
        <v>96</v>
      </c>
      <c r="C1098" s="77" t="s">
        <v>1511</v>
      </c>
      <c r="D1098" s="177" t="s">
        <v>17</v>
      </c>
      <c r="E1098" s="370">
        <v>0</v>
      </c>
      <c r="F1098" s="370">
        <v>0</v>
      </c>
      <c r="G1098" s="370">
        <v>0</v>
      </c>
      <c r="H1098" s="370">
        <v>0</v>
      </c>
      <c r="I1098" s="363">
        <f>SUM(Tabla132112412[[#This Row],[PRIMER TRIMESTRE]:[CUARTO TRIMESTRE]])</f>
        <v>0</v>
      </c>
      <c r="J1098" s="175">
        <v>58148.4</v>
      </c>
      <c r="K1098" s="175">
        <f t="shared" si="23"/>
        <v>0</v>
      </c>
      <c r="L1098" s="175"/>
      <c r="M1098" s="77" t="s">
        <v>18</v>
      </c>
      <c r="N1098" s="77" t="s">
        <v>22</v>
      </c>
      <c r="O1098" s="177"/>
    </row>
    <row r="1099" spans="2:15" s="12" customFormat="1" ht="25.5">
      <c r="B1099" s="372" t="s">
        <v>96</v>
      </c>
      <c r="C1099" s="77" t="s">
        <v>2403</v>
      </c>
      <c r="D1099" s="177" t="s">
        <v>17</v>
      </c>
      <c r="E1099" s="365">
        <v>1</v>
      </c>
      <c r="F1099" s="365"/>
      <c r="G1099" s="365">
        <v>1</v>
      </c>
      <c r="H1099" s="365"/>
      <c r="I1099" s="363">
        <f>SUM(Tabla132112412[[#This Row],[PRIMER TRIMESTRE]:[CUARTO TRIMESTRE]])</f>
        <v>2</v>
      </c>
      <c r="J1099" s="175"/>
      <c r="K1099" s="175"/>
      <c r="L1099" s="175"/>
      <c r="M1099" s="77"/>
      <c r="N1099" s="77"/>
      <c r="O1099" s="177"/>
    </row>
    <row r="1100" spans="2:15" s="12" customFormat="1" ht="25.5">
      <c r="B1100" s="372" t="s">
        <v>96</v>
      </c>
      <c r="C1100" s="77" t="s">
        <v>1512</v>
      </c>
      <c r="D1100" s="177" t="s">
        <v>17</v>
      </c>
      <c r="E1100" s="370">
        <v>1</v>
      </c>
      <c r="F1100" s="370">
        <v>0</v>
      </c>
      <c r="G1100" s="370">
        <v>1</v>
      </c>
      <c r="H1100" s="370">
        <v>0</v>
      </c>
      <c r="I1100" s="363">
        <f>SUM(Tabla132112412[[#This Row],[PRIMER TRIMESTRE]:[CUARTO TRIMESTRE]])</f>
        <v>2</v>
      </c>
      <c r="J1100" s="175">
        <v>3703</v>
      </c>
      <c r="K1100" s="175">
        <f t="shared" si="23"/>
        <v>7406</v>
      </c>
      <c r="L1100" s="175"/>
      <c r="M1100" s="77" t="s">
        <v>18</v>
      </c>
      <c r="N1100" s="77" t="s">
        <v>22</v>
      </c>
      <c r="O1100" s="177"/>
    </row>
    <row r="1101" spans="2:15" s="12" customFormat="1" ht="25.5">
      <c r="B1101" s="372" t="s">
        <v>96</v>
      </c>
      <c r="C1101" s="77" t="s">
        <v>1513</v>
      </c>
      <c r="D1101" s="177" t="s">
        <v>17</v>
      </c>
      <c r="E1101" s="370">
        <v>4</v>
      </c>
      <c r="F1101" s="370">
        <v>3</v>
      </c>
      <c r="G1101" s="370">
        <v>4</v>
      </c>
      <c r="H1101" s="370">
        <v>3</v>
      </c>
      <c r="I1101" s="363">
        <f>SUM(Tabla132112412[[#This Row],[PRIMER TRIMESTRE]:[CUARTO TRIMESTRE]])</f>
        <v>14</v>
      </c>
      <c r="J1101" s="175">
        <v>3703.83</v>
      </c>
      <c r="K1101" s="175">
        <f t="shared" si="23"/>
        <v>51853.619999999995</v>
      </c>
      <c r="L1101" s="175"/>
      <c r="M1101" s="77" t="s">
        <v>18</v>
      </c>
      <c r="N1101" s="77" t="s">
        <v>22</v>
      </c>
      <c r="O1101" s="177"/>
    </row>
    <row r="1102" spans="2:15" s="12" customFormat="1" ht="25.5">
      <c r="B1102" s="372" t="s">
        <v>96</v>
      </c>
      <c r="C1102" s="77" t="s">
        <v>2404</v>
      </c>
      <c r="D1102" s="177" t="s">
        <v>17</v>
      </c>
      <c r="E1102" s="365">
        <v>1</v>
      </c>
      <c r="F1102" s="365"/>
      <c r="G1102" s="365"/>
      <c r="H1102" s="365"/>
      <c r="I1102" s="363">
        <f>SUM(Tabla132112412[[#This Row],[PRIMER TRIMESTRE]:[CUARTO TRIMESTRE]])</f>
        <v>1</v>
      </c>
      <c r="J1102" s="175"/>
      <c r="K1102" s="175"/>
      <c r="L1102" s="175"/>
      <c r="M1102" s="77"/>
      <c r="N1102" s="77"/>
      <c r="O1102" s="177"/>
    </row>
    <row r="1103" spans="2:15" s="12" customFormat="1" ht="25.5">
      <c r="B1103" s="372" t="s">
        <v>96</v>
      </c>
      <c r="C1103" s="77" t="s">
        <v>1514</v>
      </c>
      <c r="D1103" s="177" t="s">
        <v>17</v>
      </c>
      <c r="E1103" s="370">
        <v>0</v>
      </c>
      <c r="F1103" s="370">
        <v>0</v>
      </c>
      <c r="G1103" s="370">
        <v>0</v>
      </c>
      <c r="H1103" s="370">
        <v>0</v>
      </c>
      <c r="I1103" s="363">
        <f>SUM(Tabla132112412[[#This Row],[PRIMER TRIMESTRE]:[CUARTO TRIMESTRE]])</f>
        <v>0</v>
      </c>
      <c r="J1103" s="175">
        <v>4018</v>
      </c>
      <c r="K1103" s="175">
        <f t="shared" si="23"/>
        <v>0</v>
      </c>
      <c r="L1103" s="175"/>
      <c r="M1103" s="77" t="s">
        <v>18</v>
      </c>
      <c r="N1103" s="77" t="s">
        <v>22</v>
      </c>
      <c r="O1103" s="177"/>
    </row>
    <row r="1104" spans="2:15" s="12" customFormat="1" ht="25.5">
      <c r="B1104" s="372" t="s">
        <v>96</v>
      </c>
      <c r="C1104" s="77" t="s">
        <v>1721</v>
      </c>
      <c r="D1104" s="177" t="s">
        <v>17</v>
      </c>
      <c r="E1104" s="370">
        <v>0</v>
      </c>
      <c r="F1104" s="370">
        <v>0</v>
      </c>
      <c r="G1104" s="370">
        <v>0</v>
      </c>
      <c r="H1104" s="370">
        <v>0</v>
      </c>
      <c r="I1104" s="363">
        <f>SUM(Tabla132112412[[#This Row],[PRIMER TRIMESTRE]:[CUARTO TRIMESTRE]])</f>
        <v>0</v>
      </c>
      <c r="J1104" s="175">
        <v>0</v>
      </c>
      <c r="K1104" s="175">
        <v>0</v>
      </c>
      <c r="L1104" s="175"/>
      <c r="M1104" s="77" t="s">
        <v>18</v>
      </c>
      <c r="N1104" s="77" t="s">
        <v>22</v>
      </c>
      <c r="O1104" s="177"/>
    </row>
    <row r="1105" spans="2:15" s="12" customFormat="1" ht="25.5">
      <c r="B1105" s="372" t="s">
        <v>96</v>
      </c>
      <c r="C1105" s="77" t="s">
        <v>2405</v>
      </c>
      <c r="D1105" s="177" t="s">
        <v>17</v>
      </c>
      <c r="E1105" s="365">
        <v>1</v>
      </c>
      <c r="F1105" s="365"/>
      <c r="G1105" s="365">
        <v>1</v>
      </c>
      <c r="H1105" s="365"/>
      <c r="I1105" s="363">
        <f>SUM(Tabla132112412[[#This Row],[PRIMER TRIMESTRE]:[CUARTO TRIMESTRE]])</f>
        <v>2</v>
      </c>
      <c r="J1105" s="175"/>
      <c r="K1105" s="175"/>
      <c r="L1105" s="175"/>
      <c r="M1105" s="77"/>
      <c r="N1105" s="77"/>
      <c r="O1105" s="177"/>
    </row>
    <row r="1106" spans="2:15" s="12" customFormat="1" ht="25.5">
      <c r="B1106" s="372" t="s">
        <v>96</v>
      </c>
      <c r="C1106" s="77" t="s">
        <v>1515</v>
      </c>
      <c r="D1106" s="177" t="s">
        <v>17</v>
      </c>
      <c r="E1106" s="370">
        <v>0</v>
      </c>
      <c r="F1106" s="370">
        <v>0</v>
      </c>
      <c r="G1106" s="370">
        <v>0</v>
      </c>
      <c r="H1106" s="370">
        <v>0</v>
      </c>
      <c r="I1106" s="363">
        <f>SUM(Tabla132112412[[#This Row],[PRIMER TRIMESTRE]:[CUARTO TRIMESTRE]])</f>
        <v>0</v>
      </c>
      <c r="J1106" s="175">
        <v>4500</v>
      </c>
      <c r="K1106" s="175">
        <f t="shared" si="23"/>
        <v>0</v>
      </c>
      <c r="L1106" s="175"/>
      <c r="M1106" s="77" t="s">
        <v>18</v>
      </c>
      <c r="N1106" s="77" t="s">
        <v>22</v>
      </c>
      <c r="O1106" s="177"/>
    </row>
    <row r="1107" spans="2:15" s="12" customFormat="1" ht="25.5">
      <c r="B1107" s="372" t="s">
        <v>96</v>
      </c>
      <c r="C1107" s="77" t="s">
        <v>1516</v>
      </c>
      <c r="D1107" s="177" t="s">
        <v>17</v>
      </c>
      <c r="E1107" s="370">
        <v>0</v>
      </c>
      <c r="F1107" s="370">
        <v>0</v>
      </c>
      <c r="G1107" s="370">
        <v>0</v>
      </c>
      <c r="H1107" s="370">
        <v>0</v>
      </c>
      <c r="I1107" s="363">
        <f>SUM(Tabla132112412[[#This Row],[PRIMER TRIMESTRE]:[CUARTO TRIMESTRE]])</f>
        <v>0</v>
      </c>
      <c r="J1107" s="175">
        <v>2185</v>
      </c>
      <c r="K1107" s="175">
        <f t="shared" si="23"/>
        <v>0</v>
      </c>
      <c r="L1107" s="175"/>
      <c r="M1107" s="77" t="s">
        <v>18</v>
      </c>
      <c r="N1107" s="77" t="s">
        <v>22</v>
      </c>
      <c r="O1107" s="177"/>
    </row>
    <row r="1108" spans="2:15" s="12" customFormat="1" ht="25.5">
      <c r="B1108" s="372" t="s">
        <v>96</v>
      </c>
      <c r="C1108" s="77" t="s">
        <v>1517</v>
      </c>
      <c r="D1108" s="177" t="s">
        <v>17</v>
      </c>
      <c r="E1108" s="370">
        <v>1</v>
      </c>
      <c r="F1108" s="370">
        <v>0</v>
      </c>
      <c r="G1108" s="370">
        <v>1</v>
      </c>
      <c r="H1108" s="370">
        <v>0</v>
      </c>
      <c r="I1108" s="363">
        <f>SUM(Tabla132112412[[#This Row],[PRIMER TRIMESTRE]:[CUARTO TRIMESTRE]])</f>
        <v>2</v>
      </c>
      <c r="J1108" s="175">
        <v>2185</v>
      </c>
      <c r="K1108" s="175">
        <f t="shared" si="23"/>
        <v>4370</v>
      </c>
      <c r="L1108" s="175"/>
      <c r="M1108" s="77" t="s">
        <v>18</v>
      </c>
      <c r="N1108" s="77" t="s">
        <v>22</v>
      </c>
      <c r="O1108" s="177"/>
    </row>
    <row r="1109" spans="2:15" s="12" customFormat="1" ht="25.5">
      <c r="B1109" s="372" t="s">
        <v>96</v>
      </c>
      <c r="C1109" s="77" t="s">
        <v>832</v>
      </c>
      <c r="D1109" s="177" t="s">
        <v>17</v>
      </c>
      <c r="E1109" s="370">
        <v>3</v>
      </c>
      <c r="F1109" s="370">
        <v>3</v>
      </c>
      <c r="G1109" s="370">
        <v>3</v>
      </c>
      <c r="H1109" s="370">
        <v>3</v>
      </c>
      <c r="I1109" s="363">
        <f>SUM(Tabla132112412[[#This Row],[PRIMER TRIMESTRE]:[CUARTO TRIMESTRE]])</f>
        <v>12</v>
      </c>
      <c r="J1109" s="175">
        <v>5772</v>
      </c>
      <c r="K1109" s="175">
        <f t="shared" si="23"/>
        <v>69264</v>
      </c>
      <c r="L1109" s="175"/>
      <c r="M1109" s="77" t="s">
        <v>18</v>
      </c>
      <c r="N1109" s="77" t="s">
        <v>22</v>
      </c>
      <c r="O1109" s="177"/>
    </row>
    <row r="1110" spans="2:15" s="12" customFormat="1" ht="25.5">
      <c r="B1110" s="372" t="s">
        <v>96</v>
      </c>
      <c r="C1110" s="77" t="s">
        <v>833</v>
      </c>
      <c r="D1110" s="177" t="s">
        <v>17</v>
      </c>
      <c r="E1110" s="370">
        <v>0</v>
      </c>
      <c r="F1110" s="370">
        <v>0</v>
      </c>
      <c r="G1110" s="370">
        <v>0</v>
      </c>
      <c r="H1110" s="370">
        <v>0</v>
      </c>
      <c r="I1110" s="363">
        <f>SUM(Tabla132112412[[#This Row],[PRIMER TRIMESTRE]:[CUARTO TRIMESTRE]])</f>
        <v>0</v>
      </c>
      <c r="J1110" s="175">
        <v>6168.42</v>
      </c>
      <c r="K1110" s="175">
        <f t="shared" si="23"/>
        <v>0</v>
      </c>
      <c r="L1110" s="175"/>
      <c r="M1110" s="77" t="s">
        <v>18</v>
      </c>
      <c r="N1110" s="77" t="s">
        <v>22</v>
      </c>
      <c r="O1110" s="177"/>
    </row>
    <row r="1111" spans="2:15" s="12" customFormat="1" ht="25.5">
      <c r="B1111" s="372" t="s">
        <v>96</v>
      </c>
      <c r="C1111" s="77" t="s">
        <v>834</v>
      </c>
      <c r="D1111" s="177" t="s">
        <v>17</v>
      </c>
      <c r="E1111" s="370">
        <v>0</v>
      </c>
      <c r="F1111" s="370">
        <v>0</v>
      </c>
      <c r="G1111" s="370">
        <v>0</v>
      </c>
      <c r="H1111" s="370">
        <v>0</v>
      </c>
      <c r="I1111" s="363">
        <f>SUM(Tabla132112412[[#This Row],[PRIMER TRIMESTRE]:[CUARTO TRIMESTRE]])</f>
        <v>0</v>
      </c>
      <c r="J1111" s="175">
        <v>14000</v>
      </c>
      <c r="K1111" s="175">
        <f t="shared" si="23"/>
        <v>0</v>
      </c>
      <c r="L1111" s="175"/>
      <c r="M1111" s="77" t="s">
        <v>18</v>
      </c>
      <c r="N1111" s="77" t="s">
        <v>22</v>
      </c>
      <c r="O1111" s="177"/>
    </row>
    <row r="1112" spans="2:15" s="12" customFormat="1" ht="25.5">
      <c r="B1112" s="372" t="s">
        <v>96</v>
      </c>
      <c r="C1112" s="77" t="s">
        <v>835</v>
      </c>
      <c r="D1112" s="177" t="s">
        <v>17</v>
      </c>
      <c r="E1112" s="370">
        <v>0</v>
      </c>
      <c r="F1112" s="370">
        <v>0</v>
      </c>
      <c r="G1112" s="370">
        <v>0</v>
      </c>
      <c r="H1112" s="370">
        <v>0</v>
      </c>
      <c r="I1112" s="363">
        <f>SUM(Tabla132112412[[#This Row],[PRIMER TRIMESTRE]:[CUARTO TRIMESTRE]])</f>
        <v>0</v>
      </c>
      <c r="J1112" s="175">
        <v>15000</v>
      </c>
      <c r="K1112" s="175">
        <f t="shared" si="23"/>
        <v>0</v>
      </c>
      <c r="L1112" s="175"/>
      <c r="M1112" s="77" t="s">
        <v>18</v>
      </c>
      <c r="N1112" s="77" t="s">
        <v>22</v>
      </c>
      <c r="O1112" s="177"/>
    </row>
    <row r="1113" spans="2:15" s="12" customFormat="1" ht="25.5">
      <c r="B1113" s="372" t="s">
        <v>96</v>
      </c>
      <c r="C1113" s="77" t="s">
        <v>836</v>
      </c>
      <c r="D1113" s="177" t="s">
        <v>17</v>
      </c>
      <c r="E1113" s="370">
        <v>0</v>
      </c>
      <c r="F1113" s="370">
        <v>0</v>
      </c>
      <c r="G1113" s="370">
        <v>0</v>
      </c>
      <c r="H1113" s="370">
        <v>0</v>
      </c>
      <c r="I1113" s="363">
        <f>SUM(Tabla132112412[[#This Row],[PRIMER TRIMESTRE]:[CUARTO TRIMESTRE]])</f>
        <v>0</v>
      </c>
      <c r="J1113" s="175">
        <v>16500</v>
      </c>
      <c r="K1113" s="175">
        <f t="shared" si="23"/>
        <v>0</v>
      </c>
      <c r="L1113" s="175"/>
      <c r="M1113" s="77" t="s">
        <v>18</v>
      </c>
      <c r="N1113" s="77" t="s">
        <v>22</v>
      </c>
      <c r="O1113" s="177"/>
    </row>
    <row r="1114" spans="2:15" s="12" customFormat="1" ht="25.5">
      <c r="B1114" s="372" t="s">
        <v>96</v>
      </c>
      <c r="C1114" s="77" t="s">
        <v>1449</v>
      </c>
      <c r="D1114" s="177" t="s">
        <v>17</v>
      </c>
      <c r="E1114" s="370">
        <v>2</v>
      </c>
      <c r="F1114" s="370">
        <v>0</v>
      </c>
      <c r="G1114" s="370">
        <v>0</v>
      </c>
      <c r="H1114" s="370">
        <v>0</v>
      </c>
      <c r="I1114" s="363">
        <f>SUM(Tabla132112412[[#This Row],[PRIMER TRIMESTRE]:[CUARTO TRIMESTRE]])</f>
        <v>2</v>
      </c>
      <c r="J1114" s="175">
        <v>20600</v>
      </c>
      <c r="K1114" s="175">
        <f t="shared" si="23"/>
        <v>41200</v>
      </c>
      <c r="L1114" s="175"/>
      <c r="M1114" s="77" t="s">
        <v>18</v>
      </c>
      <c r="N1114" s="77" t="s">
        <v>22</v>
      </c>
      <c r="O1114" s="177"/>
    </row>
    <row r="1115" spans="2:15" s="12" customFormat="1" ht="38.25">
      <c r="B1115" s="372" t="s">
        <v>96</v>
      </c>
      <c r="C1115" s="77" t="s">
        <v>843</v>
      </c>
      <c r="D1115" s="177" t="s">
        <v>17</v>
      </c>
      <c r="E1115" s="370">
        <v>3</v>
      </c>
      <c r="F1115" s="370">
        <v>2</v>
      </c>
      <c r="G1115" s="370">
        <v>2</v>
      </c>
      <c r="H1115" s="370">
        <v>2</v>
      </c>
      <c r="I1115" s="363">
        <f>SUM(Tabla132112412[[#This Row],[PRIMER TRIMESTRE]:[CUARTO TRIMESTRE]])</f>
        <v>9</v>
      </c>
      <c r="J1115" s="175">
        <v>4270</v>
      </c>
      <c r="K1115" s="175">
        <f t="shared" si="23"/>
        <v>38430</v>
      </c>
      <c r="L1115" s="175"/>
      <c r="M1115" s="77" t="s">
        <v>18</v>
      </c>
      <c r="N1115" s="77" t="s">
        <v>22</v>
      </c>
      <c r="O1115" s="177"/>
    </row>
    <row r="1116" spans="2:15" s="12" customFormat="1" ht="38.25">
      <c r="B1116" s="372" t="s">
        <v>96</v>
      </c>
      <c r="C1116" s="77" t="s">
        <v>844</v>
      </c>
      <c r="D1116" s="177" t="s">
        <v>17</v>
      </c>
      <c r="E1116" s="370">
        <v>2</v>
      </c>
      <c r="F1116" s="370">
        <v>0</v>
      </c>
      <c r="G1116" s="370">
        <v>2</v>
      </c>
      <c r="H1116" s="370">
        <v>0</v>
      </c>
      <c r="I1116" s="363">
        <f>SUM(Tabla132112412[[#This Row],[PRIMER TRIMESTRE]:[CUARTO TRIMESTRE]])</f>
        <v>4</v>
      </c>
      <c r="J1116" s="175">
        <v>4320</v>
      </c>
      <c r="K1116" s="175">
        <f t="shared" si="23"/>
        <v>17280</v>
      </c>
      <c r="L1116" s="175"/>
      <c r="M1116" s="77" t="s">
        <v>18</v>
      </c>
      <c r="N1116" s="77" t="s">
        <v>22</v>
      </c>
      <c r="O1116" s="177"/>
    </row>
    <row r="1117" spans="2:15" s="12" customFormat="1" ht="38.25">
      <c r="B1117" s="372" t="s">
        <v>96</v>
      </c>
      <c r="C1117" s="77" t="s">
        <v>845</v>
      </c>
      <c r="D1117" s="177" t="s">
        <v>17</v>
      </c>
      <c r="E1117" s="370">
        <v>1</v>
      </c>
      <c r="F1117" s="370">
        <v>0</v>
      </c>
      <c r="G1117" s="370">
        <v>1</v>
      </c>
      <c r="H1117" s="370">
        <v>0</v>
      </c>
      <c r="I1117" s="363">
        <f>SUM(Tabla132112412[[#This Row],[PRIMER TRIMESTRE]:[CUARTO TRIMESTRE]])</f>
        <v>2</v>
      </c>
      <c r="J1117" s="175">
        <v>4560</v>
      </c>
      <c r="K1117" s="175">
        <f t="shared" ref="K1117:K1181" si="24">+I1117*J1117</f>
        <v>9120</v>
      </c>
      <c r="L1117" s="175"/>
      <c r="M1117" s="77" t="s">
        <v>18</v>
      </c>
      <c r="N1117" s="77" t="s">
        <v>22</v>
      </c>
      <c r="O1117" s="177"/>
    </row>
    <row r="1118" spans="2:15" s="12" customFormat="1" ht="38.25">
      <c r="B1118" s="372" t="s">
        <v>96</v>
      </c>
      <c r="C1118" s="77" t="s">
        <v>846</v>
      </c>
      <c r="D1118" s="177" t="s">
        <v>17</v>
      </c>
      <c r="E1118" s="370">
        <v>1</v>
      </c>
      <c r="F1118" s="370">
        <v>0</v>
      </c>
      <c r="G1118" s="370">
        <v>1</v>
      </c>
      <c r="H1118" s="370">
        <v>0</v>
      </c>
      <c r="I1118" s="363">
        <f>SUM(Tabla132112412[[#This Row],[PRIMER TRIMESTRE]:[CUARTO TRIMESTRE]])</f>
        <v>2</v>
      </c>
      <c r="J1118" s="175">
        <v>5684</v>
      </c>
      <c r="K1118" s="175">
        <f t="shared" si="24"/>
        <v>11368</v>
      </c>
      <c r="L1118" s="175"/>
      <c r="M1118" s="77" t="s">
        <v>18</v>
      </c>
      <c r="N1118" s="77" t="s">
        <v>22</v>
      </c>
      <c r="O1118" s="177"/>
    </row>
    <row r="1119" spans="2:15" s="12" customFormat="1" ht="38.25">
      <c r="B1119" s="372" t="s">
        <v>96</v>
      </c>
      <c r="C1119" s="77" t="s">
        <v>847</v>
      </c>
      <c r="D1119" s="177" t="s">
        <v>17</v>
      </c>
      <c r="E1119" s="370">
        <v>1</v>
      </c>
      <c r="F1119" s="370">
        <v>0</v>
      </c>
      <c r="G1119" s="370">
        <v>1</v>
      </c>
      <c r="H1119" s="370">
        <v>0</v>
      </c>
      <c r="I1119" s="363">
        <f>SUM(Tabla132112412[[#This Row],[PRIMER TRIMESTRE]:[CUARTO TRIMESTRE]])</f>
        <v>2</v>
      </c>
      <c r="J1119" s="175">
        <v>5300</v>
      </c>
      <c r="K1119" s="175">
        <f t="shared" si="24"/>
        <v>10600</v>
      </c>
      <c r="L1119" s="175"/>
      <c r="M1119" s="77" t="s">
        <v>18</v>
      </c>
      <c r="N1119" s="77" t="s">
        <v>22</v>
      </c>
      <c r="O1119" s="177"/>
    </row>
    <row r="1120" spans="2:15" s="12" customFormat="1" ht="38.25">
      <c r="B1120" s="372" t="s">
        <v>96</v>
      </c>
      <c r="C1120" s="77" t="s">
        <v>848</v>
      </c>
      <c r="D1120" s="177" t="s">
        <v>17</v>
      </c>
      <c r="E1120" s="370">
        <v>2</v>
      </c>
      <c r="F1120" s="370">
        <v>0</v>
      </c>
      <c r="G1120" s="370">
        <v>2</v>
      </c>
      <c r="H1120" s="370">
        <v>0</v>
      </c>
      <c r="I1120" s="363">
        <f>SUM(Tabla132112412[[#This Row],[PRIMER TRIMESTRE]:[CUARTO TRIMESTRE]])</f>
        <v>4</v>
      </c>
      <c r="J1120" s="175">
        <v>4958</v>
      </c>
      <c r="K1120" s="175">
        <f t="shared" si="24"/>
        <v>19832</v>
      </c>
      <c r="L1120" s="175"/>
      <c r="M1120" s="77" t="s">
        <v>18</v>
      </c>
      <c r="N1120" s="77" t="s">
        <v>22</v>
      </c>
      <c r="O1120" s="177"/>
    </row>
    <row r="1121" spans="2:15" s="12" customFormat="1" ht="38.25">
      <c r="B1121" s="372" t="s">
        <v>96</v>
      </c>
      <c r="C1121" s="77" t="s">
        <v>849</v>
      </c>
      <c r="D1121" s="177" t="s">
        <v>17</v>
      </c>
      <c r="E1121" s="370">
        <v>2</v>
      </c>
      <c r="F1121" s="370">
        <v>0</v>
      </c>
      <c r="G1121" s="370">
        <v>2</v>
      </c>
      <c r="H1121" s="370">
        <v>0</v>
      </c>
      <c r="I1121" s="363">
        <f>SUM(Tabla132112412[[#This Row],[PRIMER TRIMESTRE]:[CUARTO TRIMESTRE]])</f>
        <v>4</v>
      </c>
      <c r="J1121" s="175">
        <v>6958</v>
      </c>
      <c r="K1121" s="175">
        <f t="shared" si="24"/>
        <v>27832</v>
      </c>
      <c r="L1121" s="175"/>
      <c r="M1121" s="77" t="s">
        <v>18</v>
      </c>
      <c r="N1121" s="77" t="s">
        <v>22</v>
      </c>
      <c r="O1121" s="177"/>
    </row>
    <row r="1122" spans="2:15" s="12" customFormat="1" ht="38.25">
      <c r="B1122" s="372" t="s">
        <v>96</v>
      </c>
      <c r="C1122" s="77" t="s">
        <v>850</v>
      </c>
      <c r="D1122" s="177" t="s">
        <v>17</v>
      </c>
      <c r="E1122" s="370">
        <v>3</v>
      </c>
      <c r="F1122" s="370">
        <v>0</v>
      </c>
      <c r="G1122" s="370">
        <v>3</v>
      </c>
      <c r="H1122" s="370">
        <v>0</v>
      </c>
      <c r="I1122" s="363">
        <f>SUM(Tabla132112412[[#This Row],[PRIMER TRIMESTRE]:[CUARTO TRIMESTRE]])</f>
        <v>6</v>
      </c>
      <c r="J1122" s="175">
        <v>7050</v>
      </c>
      <c r="K1122" s="175">
        <f t="shared" si="24"/>
        <v>42300</v>
      </c>
      <c r="L1122" s="175"/>
      <c r="M1122" s="77" t="s">
        <v>18</v>
      </c>
      <c r="N1122" s="77" t="s">
        <v>22</v>
      </c>
      <c r="O1122" s="177"/>
    </row>
    <row r="1123" spans="2:15" s="12" customFormat="1" ht="38.25">
      <c r="B1123" s="372" t="s">
        <v>96</v>
      </c>
      <c r="C1123" s="77" t="s">
        <v>851</v>
      </c>
      <c r="D1123" s="177" t="s">
        <v>17</v>
      </c>
      <c r="E1123" s="370">
        <v>1</v>
      </c>
      <c r="F1123" s="370">
        <v>0</v>
      </c>
      <c r="G1123" s="370">
        <v>1</v>
      </c>
      <c r="H1123" s="370">
        <v>0</v>
      </c>
      <c r="I1123" s="363">
        <f>SUM(Tabla132112412[[#This Row],[PRIMER TRIMESTRE]:[CUARTO TRIMESTRE]])</f>
        <v>2</v>
      </c>
      <c r="J1123" s="175">
        <v>7950</v>
      </c>
      <c r="K1123" s="175">
        <f t="shared" si="24"/>
        <v>15900</v>
      </c>
      <c r="L1123" s="175"/>
      <c r="M1123" s="77" t="s">
        <v>18</v>
      </c>
      <c r="N1123" s="77" t="s">
        <v>22</v>
      </c>
      <c r="O1123" s="177"/>
    </row>
    <row r="1124" spans="2:15" s="12" customFormat="1" ht="38.25">
      <c r="B1124" s="372" t="s">
        <v>96</v>
      </c>
      <c r="C1124" s="77" t="s">
        <v>852</v>
      </c>
      <c r="D1124" s="177" t="s">
        <v>17</v>
      </c>
      <c r="E1124" s="370">
        <v>0</v>
      </c>
      <c r="F1124" s="370">
        <v>0</v>
      </c>
      <c r="G1124" s="370">
        <v>0</v>
      </c>
      <c r="H1124" s="370">
        <v>0</v>
      </c>
      <c r="I1124" s="363">
        <f>SUM(Tabla132112412[[#This Row],[PRIMER TRIMESTRE]:[CUARTO TRIMESTRE]])</f>
        <v>0</v>
      </c>
      <c r="J1124" s="175">
        <v>8338.15</v>
      </c>
      <c r="K1124" s="175">
        <f t="shared" si="24"/>
        <v>0</v>
      </c>
      <c r="L1124" s="175"/>
      <c r="M1124" s="77" t="s">
        <v>18</v>
      </c>
      <c r="N1124" s="77" t="s">
        <v>22</v>
      </c>
      <c r="O1124" s="177"/>
    </row>
    <row r="1125" spans="2:15" s="12" customFormat="1" ht="38.25">
      <c r="B1125" s="372" t="s">
        <v>96</v>
      </c>
      <c r="C1125" s="77" t="s">
        <v>853</v>
      </c>
      <c r="D1125" s="177" t="s">
        <v>17</v>
      </c>
      <c r="E1125" s="370">
        <v>2</v>
      </c>
      <c r="F1125" s="370">
        <v>0</v>
      </c>
      <c r="G1125" s="370">
        <v>2</v>
      </c>
      <c r="H1125" s="370">
        <v>0</v>
      </c>
      <c r="I1125" s="363">
        <f>SUM(Tabla132112412[[#This Row],[PRIMER TRIMESTRE]:[CUARTO TRIMESTRE]])</f>
        <v>4</v>
      </c>
      <c r="J1125" s="175">
        <v>9900.17</v>
      </c>
      <c r="K1125" s="175">
        <f t="shared" si="24"/>
        <v>39600.68</v>
      </c>
      <c r="L1125" s="175"/>
      <c r="M1125" s="77" t="s">
        <v>18</v>
      </c>
      <c r="N1125" s="77" t="s">
        <v>22</v>
      </c>
      <c r="O1125" s="177"/>
    </row>
    <row r="1126" spans="2:15" s="12" customFormat="1" ht="25.5">
      <c r="B1126" s="372" t="s">
        <v>96</v>
      </c>
      <c r="C1126" s="77" t="str">
        <f ca="1">+UPPER(Tabla132112412[[#This Row],[DESCRIPCIÓN DE LA COMPRA O CONTRATACIÓN]])</f>
        <v>MONITORES DE FASE A 460 VOLTIOS, CONTRA PÉRDIDA DE FASE E INVERSIÓN DE GIRO CON SU BASE</v>
      </c>
      <c r="D1126" s="177" t="s">
        <v>17</v>
      </c>
      <c r="E1126" s="370">
        <v>2</v>
      </c>
      <c r="F1126" s="370">
        <v>0</v>
      </c>
      <c r="G1126" s="370">
        <v>2</v>
      </c>
      <c r="H1126" s="370">
        <v>0</v>
      </c>
      <c r="I1126" s="363">
        <f>SUM(Tabla132112412[[#This Row],[PRIMER TRIMESTRE]:[CUARTO TRIMESTRE]])</f>
        <v>4</v>
      </c>
      <c r="J1126" s="175">
        <v>7500</v>
      </c>
      <c r="K1126" s="175">
        <f t="shared" si="24"/>
        <v>30000</v>
      </c>
      <c r="L1126" s="175"/>
      <c r="M1126" s="77" t="s">
        <v>18</v>
      </c>
      <c r="N1126" s="77" t="s">
        <v>22</v>
      </c>
      <c r="O1126" s="177"/>
    </row>
    <row r="1127" spans="2:15" s="12" customFormat="1" ht="25.5">
      <c r="B1127" s="372" t="s">
        <v>96</v>
      </c>
      <c r="C1127" s="77" t="s">
        <v>1509</v>
      </c>
      <c r="D1127" s="177" t="s">
        <v>17</v>
      </c>
      <c r="E1127" s="370">
        <v>20</v>
      </c>
      <c r="F1127" s="370">
        <v>10</v>
      </c>
      <c r="G1127" s="370">
        <v>20</v>
      </c>
      <c r="H1127" s="370">
        <v>10</v>
      </c>
      <c r="I1127" s="363">
        <f>SUM(Tabla132112412[[#This Row],[PRIMER TRIMESTRE]:[CUARTO TRIMESTRE]])</f>
        <v>60</v>
      </c>
      <c r="J1127" s="175">
        <v>5400</v>
      </c>
      <c r="K1127" s="175">
        <f t="shared" si="24"/>
        <v>324000</v>
      </c>
      <c r="L1127" s="175"/>
      <c r="M1127" s="77" t="s">
        <v>18</v>
      </c>
      <c r="N1127" s="77" t="s">
        <v>22</v>
      </c>
      <c r="O1127" s="177"/>
    </row>
    <row r="1128" spans="2:15" s="12" customFormat="1" ht="25.5">
      <c r="B1128" s="372" t="s">
        <v>96</v>
      </c>
      <c r="C1128" s="77" t="str">
        <f ca="1">+UPPER(Tabla132112412[[#This Row],[DESCRIPCIÓN DE LA COMPRA O CONTRATACIÓN]])</f>
        <v>MONITORES DE FASE A 230 VOLTIOS, CONTRA PÉRDIDA DE FASE E INVERSIÓN DE GIRO CON SU BASE</v>
      </c>
      <c r="D1128" s="177" t="s">
        <v>17</v>
      </c>
      <c r="E1128" s="370">
        <v>17</v>
      </c>
      <c r="F1128" s="370">
        <v>12</v>
      </c>
      <c r="G1128" s="370">
        <v>17</v>
      </c>
      <c r="H1128" s="370">
        <v>12</v>
      </c>
      <c r="I1128" s="363">
        <f>SUM(Tabla132112412[[#This Row],[PRIMER TRIMESTRE]:[CUARTO TRIMESTRE]])</f>
        <v>58</v>
      </c>
      <c r="J1128" s="175">
        <v>7500</v>
      </c>
      <c r="K1128" s="175">
        <f t="shared" si="24"/>
        <v>435000</v>
      </c>
      <c r="L1128" s="175"/>
      <c r="M1128" s="77" t="s">
        <v>18</v>
      </c>
      <c r="N1128" s="77" t="s">
        <v>22</v>
      </c>
      <c r="O1128" s="177"/>
    </row>
    <row r="1129" spans="2:15" s="12" customFormat="1" ht="25.5">
      <c r="B1129" s="372" t="s">
        <v>96</v>
      </c>
      <c r="C1129" s="475" t="s">
        <v>2406</v>
      </c>
      <c r="D1129" s="177"/>
      <c r="E1129" s="378">
        <v>20</v>
      </c>
      <c r="F1129" s="369">
        <v>10</v>
      </c>
      <c r="G1129" s="369">
        <v>10</v>
      </c>
      <c r="H1129" s="369">
        <v>10</v>
      </c>
      <c r="I1129" s="363">
        <f>SUM(Tabla132112412[[#This Row],[PRIMER TRIMESTRE]:[CUARTO TRIMESTRE]])</f>
        <v>50</v>
      </c>
      <c r="J1129" s="175"/>
      <c r="K1129" s="175"/>
      <c r="L1129" s="175"/>
      <c r="M1129" s="77"/>
      <c r="N1129" s="77"/>
      <c r="O1129" s="177"/>
    </row>
    <row r="1130" spans="2:15" s="12" customFormat="1" ht="25.5">
      <c r="B1130" s="372" t="s">
        <v>96</v>
      </c>
      <c r="C1130" s="77" t="s">
        <v>1854</v>
      </c>
      <c r="D1130" s="177" t="s">
        <v>17</v>
      </c>
      <c r="E1130" s="370">
        <v>3</v>
      </c>
      <c r="F1130" s="370">
        <v>0</v>
      </c>
      <c r="G1130" s="370">
        <v>0</v>
      </c>
      <c r="H1130" s="370">
        <v>0</v>
      </c>
      <c r="I1130" s="363">
        <f>SUM(Tabla132112412[[#This Row],[PRIMER TRIMESTRE]:[CUARTO TRIMESTRE]])</f>
        <v>3</v>
      </c>
      <c r="J1130" s="175">
        <v>0</v>
      </c>
      <c r="K1130" s="175">
        <v>0</v>
      </c>
      <c r="L1130" s="175"/>
      <c r="M1130" s="77" t="s">
        <v>18</v>
      </c>
      <c r="N1130" s="77" t="s">
        <v>19</v>
      </c>
      <c r="O1130" s="177"/>
    </row>
    <row r="1131" spans="2:15" s="12" customFormat="1" ht="38.25">
      <c r="B1131" s="372" t="s">
        <v>96</v>
      </c>
      <c r="C1131" s="77" t="s">
        <v>1695</v>
      </c>
      <c r="D1131" s="177" t="s">
        <v>17</v>
      </c>
      <c r="E1131" s="370">
        <v>2</v>
      </c>
      <c r="F1131" s="370">
        <v>0</v>
      </c>
      <c r="G1131" s="370">
        <v>0</v>
      </c>
      <c r="H1131" s="370">
        <v>0</v>
      </c>
      <c r="I1131" s="363">
        <f>SUM(Tabla132112412[[#This Row],[PRIMER TRIMESTRE]:[CUARTO TRIMESTRE]])</f>
        <v>2</v>
      </c>
      <c r="J1131" s="175">
        <v>0</v>
      </c>
      <c r="K1131" s="175">
        <v>0</v>
      </c>
      <c r="L1131" s="175"/>
      <c r="M1131" s="77" t="s">
        <v>18</v>
      </c>
      <c r="N1131" s="77" t="s">
        <v>19</v>
      </c>
      <c r="O1131" s="177"/>
    </row>
    <row r="1132" spans="2:15" s="12" customFormat="1" ht="25.5">
      <c r="B1132" s="372" t="s">
        <v>96</v>
      </c>
      <c r="C1132" s="77" t="s">
        <v>854</v>
      </c>
      <c r="D1132" s="177" t="s">
        <v>17</v>
      </c>
      <c r="E1132" s="370">
        <v>5</v>
      </c>
      <c r="F1132" s="370">
        <v>3</v>
      </c>
      <c r="G1132" s="370">
        <v>3</v>
      </c>
      <c r="H1132" s="370">
        <v>3</v>
      </c>
      <c r="I1132" s="363">
        <f>SUM(Tabla132112412[[#This Row],[PRIMER TRIMESTRE]:[CUARTO TRIMESTRE]])</f>
        <v>14</v>
      </c>
      <c r="J1132" s="175">
        <v>16500</v>
      </c>
      <c r="K1132" s="175">
        <f t="shared" si="24"/>
        <v>231000</v>
      </c>
      <c r="L1132" s="175"/>
      <c r="M1132" s="77" t="s">
        <v>18</v>
      </c>
      <c r="N1132" s="77" t="s">
        <v>19</v>
      </c>
      <c r="O1132" s="177"/>
    </row>
    <row r="1133" spans="2:15" s="12" customFormat="1" ht="25.5">
      <c r="B1133" s="372" t="s">
        <v>96</v>
      </c>
      <c r="C1133" s="77" t="s">
        <v>1718</v>
      </c>
      <c r="D1133" s="177" t="s">
        <v>17</v>
      </c>
      <c r="E1133" s="370">
        <v>1</v>
      </c>
      <c r="F1133" s="370">
        <v>1</v>
      </c>
      <c r="G1133" s="370">
        <v>1</v>
      </c>
      <c r="H1133" s="370">
        <v>1</v>
      </c>
      <c r="I1133" s="363">
        <f>SUM(Tabla132112412[[#This Row],[PRIMER TRIMESTRE]:[CUARTO TRIMESTRE]])</f>
        <v>4</v>
      </c>
      <c r="J1133" s="175">
        <v>0</v>
      </c>
      <c r="K1133" s="175">
        <v>0</v>
      </c>
      <c r="L1133" s="175"/>
      <c r="M1133" s="77" t="s">
        <v>18</v>
      </c>
      <c r="N1133" s="77" t="s">
        <v>19</v>
      </c>
      <c r="O1133" s="177"/>
    </row>
    <row r="1134" spans="2:15" s="12" customFormat="1" ht="25.5">
      <c r="B1134" s="372" t="s">
        <v>96</v>
      </c>
      <c r="C1134" s="77" t="s">
        <v>855</v>
      </c>
      <c r="D1134" s="177" t="s">
        <v>17</v>
      </c>
      <c r="E1134" s="370">
        <v>2</v>
      </c>
      <c r="F1134" s="370">
        <v>0</v>
      </c>
      <c r="G1134" s="370">
        <v>0</v>
      </c>
      <c r="H1134" s="370">
        <v>0</v>
      </c>
      <c r="I1134" s="363">
        <f>SUM(Tabla132112412[[#This Row],[PRIMER TRIMESTRE]:[CUARTO TRIMESTRE]])</f>
        <v>2</v>
      </c>
      <c r="J1134" s="175">
        <v>60000</v>
      </c>
      <c r="K1134" s="175">
        <f t="shared" si="24"/>
        <v>120000</v>
      </c>
      <c r="L1134" s="175"/>
      <c r="M1134" s="77" t="s">
        <v>18</v>
      </c>
      <c r="N1134" s="77" t="s">
        <v>19</v>
      </c>
      <c r="O1134" s="177"/>
    </row>
    <row r="1135" spans="2:15" s="12" customFormat="1" ht="25.5">
      <c r="B1135" s="372" t="s">
        <v>96</v>
      </c>
      <c r="C1135" s="77" t="str">
        <f ca="1">+UPPER(Tabla132112412[[#This Row],[DESCRIPCIÓN DE LA COMPRA O CONTRATACIÓN]])</f>
        <v>MOTORES ELÉCTRICOS SUMERGIBLES, 3Ø, 230 /460 VOLTIOS, 60HZ, 1.15 FS, 3,450 RPM 7.5 HP NEMA 6</v>
      </c>
      <c r="D1135" s="177" t="s">
        <v>17</v>
      </c>
      <c r="E1135" s="370">
        <v>2</v>
      </c>
      <c r="F1135" s="370">
        <v>0</v>
      </c>
      <c r="G1135" s="370">
        <v>0</v>
      </c>
      <c r="H1135" s="370">
        <v>0</v>
      </c>
      <c r="I1135" s="363">
        <f>SUM(Tabla132112412[[#This Row],[PRIMER TRIMESTRE]:[CUARTO TRIMESTRE]])</f>
        <v>2</v>
      </c>
      <c r="J1135" s="175">
        <v>81217.84</v>
      </c>
      <c r="K1135" s="175">
        <f t="shared" si="24"/>
        <v>162435.68</v>
      </c>
      <c r="L1135" s="175"/>
      <c r="M1135" s="77" t="s">
        <v>18</v>
      </c>
      <c r="N1135" s="77" t="s">
        <v>19</v>
      </c>
      <c r="O1135" s="177"/>
    </row>
    <row r="1136" spans="2:15" s="12" customFormat="1" ht="25.5">
      <c r="B1136" s="372" t="s">
        <v>96</v>
      </c>
      <c r="C1136" s="77" t="s">
        <v>2407</v>
      </c>
      <c r="D1136" s="177" t="s">
        <v>17</v>
      </c>
      <c r="E1136" s="365"/>
      <c r="F1136" s="365">
        <v>1</v>
      </c>
      <c r="G1136" s="365"/>
      <c r="H1136" s="365">
        <v>1</v>
      </c>
      <c r="I1136" s="363">
        <f>SUM(Tabla132112412[[#This Row],[PRIMER TRIMESTRE]:[CUARTO TRIMESTRE]])</f>
        <v>2</v>
      </c>
      <c r="J1136" s="175"/>
      <c r="K1136" s="175"/>
      <c r="L1136" s="175"/>
      <c r="M1136" s="77"/>
      <c r="N1136" s="77"/>
      <c r="O1136" s="177"/>
    </row>
    <row r="1137" spans="2:15" s="12" customFormat="1" ht="25.5">
      <c r="B1137" s="372" t="s">
        <v>96</v>
      </c>
      <c r="C1137" s="77" t="str">
        <f ca="1">+UPPER(Tabla132112412[[#This Row],[DESCRIPCIÓN DE LA COMPRA O CONTRATACIÓN]])</f>
        <v>MOTORES ELÉCTRICOS SUMERGIBLES, 3Ø, 230 /460 VOLTIOS, 60HZ, 1.15 FS, 3,450 RPM 20 HP NEMA 6</v>
      </c>
      <c r="D1137" s="177" t="s">
        <v>17</v>
      </c>
      <c r="E1137" s="370">
        <v>2</v>
      </c>
      <c r="F1137" s="370">
        <v>1</v>
      </c>
      <c r="G1137" s="370">
        <v>0</v>
      </c>
      <c r="H1137" s="370">
        <v>1</v>
      </c>
      <c r="I1137" s="363">
        <f>SUM(Tabla132112412[[#This Row],[PRIMER TRIMESTRE]:[CUARTO TRIMESTRE]])</f>
        <v>4</v>
      </c>
      <c r="J1137" s="175">
        <v>90520</v>
      </c>
      <c r="K1137" s="175">
        <f t="shared" si="24"/>
        <v>362080</v>
      </c>
      <c r="L1137" s="175"/>
      <c r="M1137" s="77" t="s">
        <v>18</v>
      </c>
      <c r="N1137" s="77" t="s">
        <v>19</v>
      </c>
      <c r="O1137" s="177"/>
    </row>
    <row r="1138" spans="2:15" s="12" customFormat="1" ht="25.5">
      <c r="B1138" s="372" t="s">
        <v>96</v>
      </c>
      <c r="C1138" s="77" t="s">
        <v>856</v>
      </c>
      <c r="D1138" s="177" t="s">
        <v>17</v>
      </c>
      <c r="E1138" s="370">
        <v>2</v>
      </c>
      <c r="F1138" s="370">
        <v>1</v>
      </c>
      <c r="G1138" s="370">
        <v>0</v>
      </c>
      <c r="H1138" s="370">
        <v>0</v>
      </c>
      <c r="I1138" s="363">
        <f>SUM(Tabla132112412[[#This Row],[PRIMER TRIMESTRE]:[CUARTO TRIMESTRE]])</f>
        <v>3</v>
      </c>
      <c r="J1138" s="175">
        <v>107544.96000000001</v>
      </c>
      <c r="K1138" s="175">
        <f t="shared" si="24"/>
        <v>322634.88</v>
      </c>
      <c r="L1138" s="175"/>
      <c r="M1138" s="77" t="s">
        <v>18</v>
      </c>
      <c r="N1138" s="77" t="s">
        <v>19</v>
      </c>
      <c r="O1138" s="177"/>
    </row>
    <row r="1139" spans="2:15" s="12" customFormat="1" ht="25.5">
      <c r="B1139" s="372" t="s">
        <v>96</v>
      </c>
      <c r="C1139" s="77" t="s">
        <v>1684</v>
      </c>
      <c r="D1139" s="177" t="s">
        <v>17</v>
      </c>
      <c r="E1139" s="370">
        <v>2</v>
      </c>
      <c r="F1139" s="370">
        <v>0</v>
      </c>
      <c r="G1139" s="370">
        <v>0</v>
      </c>
      <c r="H1139" s="370">
        <v>0</v>
      </c>
      <c r="I1139" s="363">
        <f>SUM(Tabla132112412[[#This Row],[PRIMER TRIMESTRE]:[CUARTO TRIMESTRE]])</f>
        <v>2</v>
      </c>
      <c r="J1139" s="175">
        <v>0</v>
      </c>
      <c r="K1139" s="175">
        <v>0</v>
      </c>
      <c r="L1139" s="175"/>
      <c r="M1139" s="77" t="s">
        <v>18</v>
      </c>
      <c r="N1139" s="77" t="s">
        <v>19</v>
      </c>
      <c r="O1139" s="177"/>
    </row>
    <row r="1140" spans="2:15" s="12" customFormat="1" ht="25.5">
      <c r="B1140" s="372" t="s">
        <v>96</v>
      </c>
      <c r="C1140" s="77" t="s">
        <v>1446</v>
      </c>
      <c r="D1140" s="177" t="s">
        <v>17</v>
      </c>
      <c r="E1140" s="370">
        <v>0</v>
      </c>
      <c r="F1140" s="370">
        <v>0</v>
      </c>
      <c r="G1140" s="370">
        <v>0</v>
      </c>
      <c r="H1140" s="370">
        <v>0</v>
      </c>
      <c r="I1140" s="363">
        <f>SUM(Tabla132112412[[#This Row],[PRIMER TRIMESTRE]:[CUARTO TRIMESTRE]])</f>
        <v>0</v>
      </c>
      <c r="J1140" s="175">
        <v>132750</v>
      </c>
      <c r="K1140" s="175">
        <f t="shared" si="24"/>
        <v>0</v>
      </c>
      <c r="L1140" s="175"/>
      <c r="M1140" s="77" t="s">
        <v>18</v>
      </c>
      <c r="N1140" s="77" t="s">
        <v>19</v>
      </c>
      <c r="O1140" s="177"/>
    </row>
    <row r="1141" spans="2:15" s="12" customFormat="1" ht="25.5">
      <c r="B1141" s="372" t="s">
        <v>96</v>
      </c>
      <c r="C1141" s="77" t="s">
        <v>1447</v>
      </c>
      <c r="D1141" s="177" t="s">
        <v>17</v>
      </c>
      <c r="E1141" s="370">
        <v>0</v>
      </c>
      <c r="F1141" s="370">
        <v>0</v>
      </c>
      <c r="G1141" s="370">
        <v>0</v>
      </c>
      <c r="H1141" s="370">
        <v>0</v>
      </c>
      <c r="I1141" s="363">
        <f>SUM(Tabla132112412[[#This Row],[PRIMER TRIMESTRE]:[CUARTO TRIMESTRE]])</f>
        <v>0</v>
      </c>
      <c r="J1141" s="175">
        <v>151330</v>
      </c>
      <c r="K1141" s="175">
        <f t="shared" si="24"/>
        <v>0</v>
      </c>
      <c r="L1141" s="175"/>
      <c r="M1141" s="77" t="s">
        <v>18</v>
      </c>
      <c r="N1141" s="77" t="s">
        <v>19</v>
      </c>
      <c r="O1141" s="177"/>
    </row>
    <row r="1142" spans="2:15" s="12" customFormat="1" ht="25.5">
      <c r="B1142" s="372" t="s">
        <v>96</v>
      </c>
      <c r="C1142" s="77" t="s">
        <v>857</v>
      </c>
      <c r="D1142" s="177" t="s">
        <v>17</v>
      </c>
      <c r="E1142" s="370">
        <v>0</v>
      </c>
      <c r="F1142" s="370">
        <v>0</v>
      </c>
      <c r="G1142" s="370">
        <v>0</v>
      </c>
      <c r="H1142" s="370">
        <v>0</v>
      </c>
      <c r="I1142" s="363">
        <f>SUM(Tabla132112412[[#This Row],[PRIMER TRIMESTRE]:[CUARTO TRIMESTRE]])</f>
        <v>0</v>
      </c>
      <c r="J1142" s="175">
        <v>123744.06</v>
      </c>
      <c r="K1142" s="175">
        <f t="shared" si="24"/>
        <v>0</v>
      </c>
      <c r="L1142" s="175"/>
      <c r="M1142" s="77" t="s">
        <v>18</v>
      </c>
      <c r="N1142" s="77" t="s">
        <v>19</v>
      </c>
      <c r="O1142" s="177"/>
    </row>
    <row r="1143" spans="2:15" s="12" customFormat="1" ht="25.5">
      <c r="B1143" s="372" t="s">
        <v>96</v>
      </c>
      <c r="C1143" s="77" t="s">
        <v>858</v>
      </c>
      <c r="D1143" s="177" t="s">
        <v>17</v>
      </c>
      <c r="E1143" s="370">
        <v>2</v>
      </c>
      <c r="F1143" s="370">
        <v>1</v>
      </c>
      <c r="G1143" s="370">
        <v>0</v>
      </c>
      <c r="H1143" s="370">
        <v>0</v>
      </c>
      <c r="I1143" s="363">
        <f>SUM(Tabla132112412[[#This Row],[PRIMER TRIMESTRE]:[CUARTO TRIMESTRE]])</f>
        <v>3</v>
      </c>
      <c r="J1143" s="175">
        <v>135450.07</v>
      </c>
      <c r="K1143" s="175">
        <f t="shared" si="24"/>
        <v>406350.21</v>
      </c>
      <c r="L1143" s="175"/>
      <c r="M1143" s="77" t="s">
        <v>18</v>
      </c>
      <c r="N1143" s="77" t="s">
        <v>19</v>
      </c>
      <c r="O1143" s="177"/>
    </row>
    <row r="1144" spans="2:15" s="12" customFormat="1" ht="25.5">
      <c r="B1144" s="372" t="s">
        <v>96</v>
      </c>
      <c r="C1144" s="77" t="s">
        <v>859</v>
      </c>
      <c r="D1144" s="177" t="s">
        <v>17</v>
      </c>
      <c r="E1144" s="370">
        <v>2</v>
      </c>
      <c r="F1144" s="370">
        <v>0</v>
      </c>
      <c r="G1144" s="370">
        <v>0</v>
      </c>
      <c r="H1144" s="370">
        <v>0</v>
      </c>
      <c r="I1144" s="363">
        <f>SUM(Tabla132112412[[#This Row],[PRIMER TRIMESTRE]:[CUARTO TRIMESTRE]])</f>
        <v>2</v>
      </c>
      <c r="J1144" s="175">
        <v>181838</v>
      </c>
      <c r="K1144" s="175">
        <f t="shared" si="24"/>
        <v>363676</v>
      </c>
      <c r="L1144" s="175"/>
      <c r="M1144" s="77" t="s">
        <v>18</v>
      </c>
      <c r="N1144" s="77" t="s">
        <v>19</v>
      </c>
      <c r="O1144" s="177"/>
    </row>
    <row r="1145" spans="2:15" s="12" customFormat="1" ht="25.5">
      <c r="B1145" s="372" t="s">
        <v>96</v>
      </c>
      <c r="C1145" s="77" t="s">
        <v>860</v>
      </c>
      <c r="D1145" s="177" t="s">
        <v>17</v>
      </c>
      <c r="E1145" s="370">
        <v>2</v>
      </c>
      <c r="F1145" s="370">
        <v>0</v>
      </c>
      <c r="G1145" s="370">
        <v>0</v>
      </c>
      <c r="H1145" s="370">
        <v>0</v>
      </c>
      <c r="I1145" s="363">
        <f>SUM(Tabla132112412[[#This Row],[PRIMER TRIMESTRE]:[CUARTO TRIMESTRE]])</f>
        <v>2</v>
      </c>
      <c r="J1145" s="175">
        <v>190640</v>
      </c>
      <c r="K1145" s="175">
        <f t="shared" si="24"/>
        <v>381280</v>
      </c>
      <c r="L1145" s="175"/>
      <c r="M1145" s="77" t="s">
        <v>18</v>
      </c>
      <c r="N1145" s="77" t="s">
        <v>19</v>
      </c>
      <c r="O1145" s="177"/>
    </row>
    <row r="1146" spans="2:15" s="12" customFormat="1" ht="25.5">
      <c r="B1146" s="372" t="s">
        <v>96</v>
      </c>
      <c r="C1146" s="77" t="s">
        <v>861</v>
      </c>
      <c r="D1146" s="177" t="s">
        <v>17</v>
      </c>
      <c r="E1146" s="370">
        <v>0</v>
      </c>
      <c r="F1146" s="370">
        <v>1</v>
      </c>
      <c r="G1146" s="370">
        <v>0</v>
      </c>
      <c r="H1146" s="370">
        <v>0</v>
      </c>
      <c r="I1146" s="363">
        <f>SUM(Tabla132112412[[#This Row],[PRIMER TRIMESTRE]:[CUARTO TRIMESTRE]])</f>
        <v>1</v>
      </c>
      <c r="J1146" s="175">
        <v>190640.56</v>
      </c>
      <c r="K1146" s="175">
        <f t="shared" si="24"/>
        <v>190640.56</v>
      </c>
      <c r="L1146" s="175"/>
      <c r="M1146" s="77" t="s">
        <v>18</v>
      </c>
      <c r="N1146" s="77" t="s">
        <v>19</v>
      </c>
      <c r="O1146" s="177"/>
    </row>
    <row r="1147" spans="2:15" s="12" customFormat="1" ht="25.5">
      <c r="B1147" s="372" t="s">
        <v>96</v>
      </c>
      <c r="C1147" s="77" t="s">
        <v>862</v>
      </c>
      <c r="D1147" s="177" t="s">
        <v>17</v>
      </c>
      <c r="E1147" s="370">
        <v>0</v>
      </c>
      <c r="F1147" s="370">
        <v>0</v>
      </c>
      <c r="G1147" s="370">
        <v>0</v>
      </c>
      <c r="H1147" s="370">
        <v>0</v>
      </c>
      <c r="I1147" s="363">
        <f>SUM(Tabla132112412[[#This Row],[PRIMER TRIMESTRE]:[CUARTO TRIMESTRE]])</f>
        <v>0</v>
      </c>
      <c r="J1147" s="175">
        <v>327450</v>
      </c>
      <c r="K1147" s="175">
        <f t="shared" si="24"/>
        <v>0</v>
      </c>
      <c r="L1147" s="175"/>
      <c r="M1147" s="77" t="s">
        <v>18</v>
      </c>
      <c r="N1147" s="77" t="s">
        <v>19</v>
      </c>
      <c r="O1147" s="177"/>
    </row>
    <row r="1148" spans="2:15" s="12" customFormat="1" ht="25.5">
      <c r="B1148" s="372" t="s">
        <v>96</v>
      </c>
      <c r="C1148" s="77" t="str">
        <f ca="1">+UPPER(Tabla132112412[[#This Row],[DESCRIPCIÓN DE LA COMPRA O CONTRATACIÓN]])</f>
        <v xml:space="preserve">MOTORES ELÉCTRICOS MONOFASICO SUMERGIBLES, 230 VOLTIOS, 3,450 RPM  3 HP CON CAJA DE CONTROLS </v>
      </c>
      <c r="D1148" s="177" t="s">
        <v>17</v>
      </c>
      <c r="E1148" s="370">
        <v>1</v>
      </c>
      <c r="F1148" s="370">
        <v>1</v>
      </c>
      <c r="G1148" s="370">
        <v>0</v>
      </c>
      <c r="H1148" s="370">
        <v>0</v>
      </c>
      <c r="I1148" s="363">
        <f>SUM(Tabla132112412[[#This Row],[PRIMER TRIMESTRE]:[CUARTO TRIMESTRE]])</f>
        <v>2</v>
      </c>
      <c r="J1148" s="175">
        <v>36114.370000000003</v>
      </c>
      <c r="K1148" s="175">
        <f t="shared" si="24"/>
        <v>72228.740000000005</v>
      </c>
      <c r="L1148" s="175"/>
      <c r="M1148" s="77" t="s">
        <v>18</v>
      </c>
      <c r="N1148" s="77" t="s">
        <v>19</v>
      </c>
      <c r="O1148" s="177"/>
    </row>
    <row r="1149" spans="2:15" s="12" customFormat="1" ht="25.5">
      <c r="B1149" s="372" t="s">
        <v>96</v>
      </c>
      <c r="C1149" s="77" t="str">
        <f ca="1">+UPPER(Tabla132112412[[#This Row],[DESCRIPCIÓN DE LA COMPRA O CONTRATACIÓN]])</f>
        <v xml:space="preserve">MOTORES ELÉCTRICOS MONOFASICO SUMERGIBLES, 230 VOLTIOS, 3,450 RPM  5 HP CON CAJA DE CONTROLS </v>
      </c>
      <c r="D1149" s="177" t="s">
        <v>17</v>
      </c>
      <c r="E1149" s="370">
        <v>1</v>
      </c>
      <c r="F1149" s="370">
        <v>0</v>
      </c>
      <c r="G1149" s="370">
        <v>0</v>
      </c>
      <c r="H1149" s="370">
        <v>0</v>
      </c>
      <c r="I1149" s="363">
        <f>SUM(Tabla132112412[[#This Row],[PRIMER TRIMESTRE]:[CUARTO TRIMESTRE]])</f>
        <v>1</v>
      </c>
      <c r="J1149" s="175">
        <v>38000</v>
      </c>
      <c r="K1149" s="175">
        <f t="shared" si="24"/>
        <v>38000</v>
      </c>
      <c r="L1149" s="175"/>
      <c r="M1149" s="77" t="s">
        <v>18</v>
      </c>
      <c r="N1149" s="77" t="s">
        <v>19</v>
      </c>
      <c r="O1149" s="177"/>
    </row>
    <row r="1150" spans="2:15" s="12" customFormat="1" ht="25.5">
      <c r="B1150" s="372" t="s">
        <v>96</v>
      </c>
      <c r="C1150" s="77" t="str">
        <f ca="1">+UPPER(Tabla132112412[[#This Row],[DESCRIPCIÓN DE LA COMPRA O CONTRATACIÓN]])</f>
        <v xml:space="preserve">MOTORES ELÉCTRICOS MONOFASICO SUMERGIBLES, 230 VOLTIOS, 3,450 RPM  7.5 HP CON CAJA DE CONTROLS </v>
      </c>
      <c r="D1150" s="177" t="s">
        <v>17</v>
      </c>
      <c r="E1150" s="370">
        <v>2</v>
      </c>
      <c r="F1150" s="370">
        <v>0</v>
      </c>
      <c r="G1150" s="370">
        <v>2</v>
      </c>
      <c r="H1150" s="370">
        <v>0</v>
      </c>
      <c r="I1150" s="363">
        <f>SUM(Tabla132112412[[#This Row],[PRIMER TRIMESTRE]:[CUARTO TRIMESTRE]])</f>
        <v>4</v>
      </c>
      <c r="J1150" s="175">
        <v>50164</v>
      </c>
      <c r="K1150" s="175">
        <f t="shared" si="24"/>
        <v>200656</v>
      </c>
      <c r="L1150" s="175"/>
      <c r="M1150" s="77" t="s">
        <v>18</v>
      </c>
      <c r="N1150" s="77" t="s">
        <v>19</v>
      </c>
      <c r="O1150" s="177"/>
    </row>
    <row r="1151" spans="2:15" s="12" customFormat="1" ht="25.5">
      <c r="B1151" s="372" t="s">
        <v>96</v>
      </c>
      <c r="C1151" s="77" t="str">
        <f ca="1">+UPPER(Tabla132112412[[#This Row],[DESCRIPCIÓN DE LA COMPRA O CONTRATACIÓN]])</f>
        <v>ELECTROBOMBAS HORIZONTAL, 0.75HP, 1Ø, 115/230V, TIPO MONOBLOCK,3500 RPM, 20 GPM VS 100 PIES TDH</v>
      </c>
      <c r="D1151" s="177" t="s">
        <v>17</v>
      </c>
      <c r="E1151" s="370">
        <v>2</v>
      </c>
      <c r="F1151" s="370">
        <v>0</v>
      </c>
      <c r="G1151" s="370">
        <v>2</v>
      </c>
      <c r="H1151" s="370">
        <v>0</v>
      </c>
      <c r="I1151" s="363">
        <f>SUM(Tabla132112412[[#This Row],[PRIMER TRIMESTRE]:[CUARTO TRIMESTRE]])</f>
        <v>4</v>
      </c>
      <c r="J1151" s="175">
        <v>23570</v>
      </c>
      <c r="K1151" s="175">
        <f t="shared" si="24"/>
        <v>94280</v>
      </c>
      <c r="L1151" s="175"/>
      <c r="M1151" s="77" t="s">
        <v>18</v>
      </c>
      <c r="N1151" s="77" t="s">
        <v>19</v>
      </c>
      <c r="O1151" s="177"/>
    </row>
    <row r="1152" spans="2:15" s="12" customFormat="1" ht="25.5">
      <c r="B1152" s="372" t="s">
        <v>96</v>
      </c>
      <c r="C1152" s="77" t="str">
        <f ca="1">+UPPER(Tabla132112412[[#This Row],[DESCRIPCIÓN DE LA COMPRA O CONTRATACIÓN]])</f>
        <v>ELECTROBOMBAS SUMERGIBLE, 1.00HP, 230V, 1Ø, 60HZ, CON SU CAJA DE CONTROL, 3500 RPM</v>
      </c>
      <c r="D1152" s="177" t="s">
        <v>17</v>
      </c>
      <c r="E1152" s="370">
        <v>1</v>
      </c>
      <c r="F1152" s="370">
        <v>1</v>
      </c>
      <c r="G1152" s="370">
        <v>1</v>
      </c>
      <c r="H1152" s="370">
        <v>1</v>
      </c>
      <c r="I1152" s="363">
        <f>SUM(Tabla132112412[[#This Row],[PRIMER TRIMESTRE]:[CUARTO TRIMESTRE]])</f>
        <v>4</v>
      </c>
      <c r="J1152" s="175">
        <v>32670</v>
      </c>
      <c r="K1152" s="175">
        <f t="shared" si="24"/>
        <v>130680</v>
      </c>
      <c r="L1152" s="175"/>
      <c r="M1152" s="77" t="s">
        <v>18</v>
      </c>
      <c r="N1152" s="77" t="s">
        <v>19</v>
      </c>
      <c r="O1152" s="177"/>
    </row>
    <row r="1153" spans="2:15" s="12" customFormat="1" ht="25.5">
      <c r="B1153" s="372" t="s">
        <v>96</v>
      </c>
      <c r="C1153" s="77" t="s">
        <v>1688</v>
      </c>
      <c r="D1153" s="177" t="s">
        <v>17</v>
      </c>
      <c r="E1153" s="370">
        <v>0</v>
      </c>
      <c r="F1153" s="370">
        <v>0</v>
      </c>
      <c r="G1153" s="370">
        <v>0</v>
      </c>
      <c r="H1153" s="370">
        <v>0</v>
      </c>
      <c r="I1153" s="363">
        <f>SUM(Tabla132112412[[#This Row],[PRIMER TRIMESTRE]:[CUARTO TRIMESTRE]])</f>
        <v>0</v>
      </c>
      <c r="J1153" s="175">
        <v>0</v>
      </c>
      <c r="K1153" s="175">
        <v>0</v>
      </c>
      <c r="L1153" s="175"/>
      <c r="M1153" s="77" t="s">
        <v>18</v>
      </c>
      <c r="N1153" s="77" t="s">
        <v>22</v>
      </c>
      <c r="O1153" s="177"/>
    </row>
    <row r="1154" spans="2:15" s="12" customFormat="1" ht="25.5">
      <c r="B1154" s="372" t="s">
        <v>96</v>
      </c>
      <c r="C1154" s="77" t="s">
        <v>1230</v>
      </c>
      <c r="D1154" s="177" t="s">
        <v>17</v>
      </c>
      <c r="E1154" s="370">
        <v>0</v>
      </c>
      <c r="F1154" s="370">
        <v>0</v>
      </c>
      <c r="G1154" s="370">
        <v>0</v>
      </c>
      <c r="H1154" s="370">
        <v>0</v>
      </c>
      <c r="I1154" s="363">
        <f>SUM(Tabla132112412[[#This Row],[PRIMER TRIMESTRE]:[CUARTO TRIMESTRE]])</f>
        <v>0</v>
      </c>
      <c r="J1154" s="175">
        <v>45000</v>
      </c>
      <c r="K1154" s="175">
        <f t="shared" si="24"/>
        <v>0</v>
      </c>
      <c r="L1154" s="175"/>
      <c r="M1154" s="77" t="s">
        <v>18</v>
      </c>
      <c r="N1154" s="77" t="s">
        <v>22</v>
      </c>
      <c r="O1154" s="177"/>
    </row>
    <row r="1155" spans="2:15" s="12" customFormat="1" ht="25.5">
      <c r="B1155" s="372" t="s">
        <v>96</v>
      </c>
      <c r="C1155" s="77" t="s">
        <v>1231</v>
      </c>
      <c r="D1155" s="177" t="s">
        <v>17</v>
      </c>
      <c r="E1155" s="370">
        <v>3</v>
      </c>
      <c r="F1155" s="370">
        <v>0</v>
      </c>
      <c r="G1155" s="370">
        <v>0</v>
      </c>
      <c r="H1155" s="370">
        <v>0</v>
      </c>
      <c r="I1155" s="363">
        <f>SUM(Tabla132112412[[#This Row],[PRIMER TRIMESTRE]:[CUARTO TRIMESTRE]])</f>
        <v>3</v>
      </c>
      <c r="J1155" s="175">
        <v>48231.23</v>
      </c>
      <c r="K1155" s="175">
        <f t="shared" si="24"/>
        <v>144693.69</v>
      </c>
      <c r="L1155" s="175"/>
      <c r="M1155" s="77" t="s">
        <v>18</v>
      </c>
      <c r="N1155" s="77" t="s">
        <v>22</v>
      </c>
      <c r="O1155" s="177"/>
    </row>
    <row r="1156" spans="2:15" s="12" customFormat="1" ht="25.5">
      <c r="B1156" s="372" t="s">
        <v>96</v>
      </c>
      <c r="C1156" s="77" t="s">
        <v>1232</v>
      </c>
      <c r="D1156" s="177" t="s">
        <v>17</v>
      </c>
      <c r="E1156" s="370">
        <v>0</v>
      </c>
      <c r="F1156" s="370">
        <v>0</v>
      </c>
      <c r="G1156" s="370">
        <v>0</v>
      </c>
      <c r="H1156" s="370">
        <v>0</v>
      </c>
      <c r="I1156" s="363">
        <f>SUM(Tabla132112412[[#This Row],[PRIMER TRIMESTRE]:[CUARTO TRIMESTRE]])</f>
        <v>0</v>
      </c>
      <c r="J1156" s="175">
        <v>52738.12</v>
      </c>
      <c r="K1156" s="175">
        <f t="shared" si="24"/>
        <v>0</v>
      </c>
      <c r="L1156" s="175"/>
      <c r="M1156" s="77" t="s">
        <v>18</v>
      </c>
      <c r="N1156" s="77" t="s">
        <v>22</v>
      </c>
      <c r="O1156" s="177"/>
    </row>
    <row r="1157" spans="2:15" s="12" customFormat="1" ht="25.5">
      <c r="B1157" s="372" t="s">
        <v>96</v>
      </c>
      <c r="C1157" s="77" t="s">
        <v>1233</v>
      </c>
      <c r="D1157" s="177" t="s">
        <v>17</v>
      </c>
      <c r="E1157" s="370">
        <v>0</v>
      </c>
      <c r="F1157" s="370">
        <v>0</v>
      </c>
      <c r="G1157" s="370">
        <v>0</v>
      </c>
      <c r="H1157" s="370">
        <v>0</v>
      </c>
      <c r="I1157" s="363">
        <f>SUM(Tabla132112412[[#This Row],[PRIMER TRIMESTRE]:[CUARTO TRIMESTRE]])</f>
        <v>0</v>
      </c>
      <c r="J1157" s="175">
        <v>14726</v>
      </c>
      <c r="K1157" s="175">
        <f t="shared" si="24"/>
        <v>0</v>
      </c>
      <c r="L1157" s="175"/>
      <c r="M1157" s="77" t="s">
        <v>18</v>
      </c>
      <c r="N1157" s="77" t="s">
        <v>22</v>
      </c>
      <c r="O1157" s="177"/>
    </row>
    <row r="1158" spans="2:15" s="12" customFormat="1" ht="25.5">
      <c r="B1158" s="372" t="s">
        <v>96</v>
      </c>
      <c r="C1158" s="77" t="s">
        <v>1234</v>
      </c>
      <c r="D1158" s="177" t="s">
        <v>17</v>
      </c>
      <c r="E1158" s="370">
        <v>0</v>
      </c>
      <c r="F1158" s="370">
        <v>0</v>
      </c>
      <c r="G1158" s="370">
        <v>0</v>
      </c>
      <c r="H1158" s="370">
        <v>0</v>
      </c>
      <c r="I1158" s="363">
        <f>SUM(Tabla132112412[[#This Row],[PRIMER TRIMESTRE]:[CUARTO TRIMESTRE]])</f>
        <v>0</v>
      </c>
      <c r="J1158" s="175">
        <v>60000</v>
      </c>
      <c r="K1158" s="175">
        <f t="shared" si="24"/>
        <v>0</v>
      </c>
      <c r="L1158" s="175"/>
      <c r="M1158" s="77" t="s">
        <v>18</v>
      </c>
      <c r="N1158" s="77" t="s">
        <v>22</v>
      </c>
      <c r="O1158" s="177"/>
    </row>
    <row r="1159" spans="2:15" s="12" customFormat="1" ht="38.25">
      <c r="B1159" s="372" t="s">
        <v>96</v>
      </c>
      <c r="C1159" s="77" t="s">
        <v>1686</v>
      </c>
      <c r="D1159" s="177" t="s">
        <v>17</v>
      </c>
      <c r="E1159" s="370">
        <v>0</v>
      </c>
      <c r="F1159" s="370">
        <v>0</v>
      </c>
      <c r="G1159" s="370">
        <v>0</v>
      </c>
      <c r="H1159" s="370">
        <v>0</v>
      </c>
      <c r="I1159" s="363">
        <f>SUM(Tabla132112412[[#This Row],[PRIMER TRIMESTRE]:[CUARTO TRIMESTRE]])</f>
        <v>0</v>
      </c>
      <c r="J1159" s="175">
        <v>0</v>
      </c>
      <c r="K1159" s="175">
        <v>0</v>
      </c>
      <c r="L1159" s="175"/>
      <c r="M1159" s="77" t="s">
        <v>18</v>
      </c>
      <c r="N1159" s="77" t="s">
        <v>22</v>
      </c>
      <c r="O1159" s="177"/>
    </row>
    <row r="1160" spans="2:15" s="12" customFormat="1" ht="38.25">
      <c r="B1160" s="372" t="s">
        <v>96</v>
      </c>
      <c r="C1160" s="77" t="s">
        <v>1685</v>
      </c>
      <c r="D1160" s="177" t="s">
        <v>17</v>
      </c>
      <c r="E1160" s="370">
        <v>0</v>
      </c>
      <c r="F1160" s="370">
        <v>0</v>
      </c>
      <c r="G1160" s="370">
        <v>0</v>
      </c>
      <c r="H1160" s="370">
        <v>0</v>
      </c>
      <c r="I1160" s="363">
        <f>SUM(Tabla132112412[[#This Row],[PRIMER TRIMESTRE]:[CUARTO TRIMESTRE]])</f>
        <v>0</v>
      </c>
      <c r="J1160" s="175">
        <v>0</v>
      </c>
      <c r="K1160" s="175">
        <v>0</v>
      </c>
      <c r="L1160" s="175"/>
      <c r="M1160" s="77" t="s">
        <v>18</v>
      </c>
      <c r="N1160" s="77" t="s">
        <v>22</v>
      </c>
      <c r="O1160" s="177"/>
    </row>
    <row r="1161" spans="2:15" s="12" customFormat="1" ht="25.5">
      <c r="B1161" s="372" t="s">
        <v>96</v>
      </c>
      <c r="C1161" s="77" t="s">
        <v>1689</v>
      </c>
      <c r="D1161" s="177" t="s">
        <v>17</v>
      </c>
      <c r="E1161" s="370">
        <v>1</v>
      </c>
      <c r="F1161" s="370">
        <v>0</v>
      </c>
      <c r="G1161" s="370">
        <v>1</v>
      </c>
      <c r="H1161" s="370">
        <v>0</v>
      </c>
      <c r="I1161" s="363">
        <f>SUM(Tabla132112412[[#This Row],[PRIMER TRIMESTRE]:[CUARTO TRIMESTRE]])</f>
        <v>2</v>
      </c>
      <c r="J1161" s="175">
        <v>0</v>
      </c>
      <c r="K1161" s="175">
        <v>0</v>
      </c>
      <c r="L1161" s="175"/>
      <c r="M1161" s="77" t="s">
        <v>18</v>
      </c>
      <c r="N1161" s="77" t="s">
        <v>22</v>
      </c>
      <c r="O1161" s="177"/>
    </row>
    <row r="1162" spans="2:15" s="12" customFormat="1" ht="38.25">
      <c r="B1162" s="372" t="s">
        <v>96</v>
      </c>
      <c r="C1162" s="77" t="s">
        <v>863</v>
      </c>
      <c r="D1162" s="177" t="s">
        <v>17</v>
      </c>
      <c r="E1162" s="370">
        <v>2</v>
      </c>
      <c r="F1162" s="370">
        <v>2</v>
      </c>
      <c r="G1162" s="370">
        <v>0</v>
      </c>
      <c r="H1162" s="370">
        <v>0</v>
      </c>
      <c r="I1162" s="363">
        <f>SUM(Tabla132112412[[#This Row],[PRIMER TRIMESTRE]:[CUARTO TRIMESTRE]])</f>
        <v>4</v>
      </c>
      <c r="J1162" s="175">
        <v>24051.94</v>
      </c>
      <c r="K1162" s="175">
        <f t="shared" si="24"/>
        <v>96207.76</v>
      </c>
      <c r="L1162" s="175"/>
      <c r="M1162" s="77" t="s">
        <v>18</v>
      </c>
      <c r="N1162" s="77" t="s">
        <v>22</v>
      </c>
      <c r="O1162" s="177"/>
    </row>
    <row r="1163" spans="2:15" s="12" customFormat="1" ht="25.5">
      <c r="B1163" s="372" t="s">
        <v>96</v>
      </c>
      <c r="C1163" s="77" t="s">
        <v>2408</v>
      </c>
      <c r="D1163" s="177" t="s">
        <v>1779</v>
      </c>
      <c r="E1163" s="365">
        <v>1</v>
      </c>
      <c r="F1163" s="365"/>
      <c r="G1163" s="365">
        <v>1</v>
      </c>
      <c r="H1163" s="365"/>
      <c r="I1163" s="363">
        <f>SUM(Tabla132112412[[#This Row],[PRIMER TRIMESTRE]:[CUARTO TRIMESTRE]])</f>
        <v>2</v>
      </c>
      <c r="J1163" s="175"/>
      <c r="K1163" s="175"/>
      <c r="L1163" s="175"/>
      <c r="M1163" s="77"/>
      <c r="N1163" s="77"/>
      <c r="O1163" s="177"/>
    </row>
    <row r="1164" spans="2:15" s="12" customFormat="1" ht="25.5">
      <c r="B1164" s="372" t="s">
        <v>96</v>
      </c>
      <c r="C1164" s="77" t="s">
        <v>2409</v>
      </c>
      <c r="D1164" s="177" t="s">
        <v>17</v>
      </c>
      <c r="E1164" s="365">
        <v>2</v>
      </c>
      <c r="F1164" s="365">
        <v>2</v>
      </c>
      <c r="G1164" s="365"/>
      <c r="H1164" s="365"/>
      <c r="I1164" s="363">
        <f>SUM(Tabla132112412[[#This Row],[PRIMER TRIMESTRE]:[CUARTO TRIMESTRE]])</f>
        <v>4</v>
      </c>
      <c r="J1164" s="175"/>
      <c r="K1164" s="175"/>
      <c r="L1164" s="175"/>
      <c r="M1164" s="77"/>
      <c r="N1164" s="77"/>
      <c r="O1164" s="177"/>
    </row>
    <row r="1165" spans="2:15" s="12" customFormat="1" ht="38.25">
      <c r="B1165" s="372" t="s">
        <v>96</v>
      </c>
      <c r="C1165" s="77" t="s">
        <v>2410</v>
      </c>
      <c r="D1165" s="177"/>
      <c r="E1165" s="365">
        <v>1</v>
      </c>
      <c r="F1165" s="365"/>
      <c r="G1165" s="365">
        <v>1</v>
      </c>
      <c r="H1165" s="365"/>
      <c r="I1165" s="363">
        <f>SUM(Tabla132112412[[#This Row],[PRIMER TRIMESTRE]:[CUARTO TRIMESTRE]])</f>
        <v>2</v>
      </c>
      <c r="J1165" s="175"/>
      <c r="K1165" s="175"/>
      <c r="L1165" s="175"/>
      <c r="M1165" s="77"/>
      <c r="N1165" s="77"/>
      <c r="O1165" s="177"/>
    </row>
    <row r="1166" spans="2:15" s="12" customFormat="1" ht="38.25">
      <c r="B1166" s="372" t="s">
        <v>96</v>
      </c>
      <c r="C1166" s="77" t="s">
        <v>2411</v>
      </c>
      <c r="D1166" s="177"/>
      <c r="E1166" s="365">
        <v>2</v>
      </c>
      <c r="F1166" s="365">
        <v>2</v>
      </c>
      <c r="G1166" s="365"/>
      <c r="H1166" s="365"/>
      <c r="I1166" s="363">
        <f>SUM(Tabla132112412[[#This Row],[PRIMER TRIMESTRE]:[CUARTO TRIMESTRE]])</f>
        <v>4</v>
      </c>
      <c r="J1166" s="175"/>
      <c r="K1166" s="175"/>
      <c r="L1166" s="175"/>
      <c r="M1166" s="77"/>
      <c r="N1166" s="77"/>
      <c r="O1166" s="177"/>
    </row>
    <row r="1167" spans="2:15" s="12" customFormat="1" ht="38.25">
      <c r="B1167" s="372" t="s">
        <v>96</v>
      </c>
      <c r="C1167" s="77" t="str">
        <f ca="1">+UPPER(Tabla132112412[[#This Row],[DESCRIPCIÓN DE LA COMPRA O CONTRATACIÓN]])</f>
        <v>TRANSFORMADORES 1Ø, 60HZ, SUMERGIDOS EN ACEITE, 7.2/12.47 KV, 120/240V, TIPO POSTE, HOMOLGADOS CON IDÉNTICA IMPEDANCIA 25 KVA</v>
      </c>
      <c r="D1167" s="177" t="s">
        <v>17</v>
      </c>
      <c r="E1167" s="370">
        <v>0</v>
      </c>
      <c r="F1167" s="370">
        <v>0</v>
      </c>
      <c r="G1167" s="370">
        <v>0</v>
      </c>
      <c r="H1167" s="370">
        <v>0</v>
      </c>
      <c r="I1167" s="363">
        <f>SUM(Tabla132112412[[#This Row],[PRIMER TRIMESTRE]:[CUARTO TRIMESTRE]])</f>
        <v>0</v>
      </c>
      <c r="J1167" s="175">
        <v>34220</v>
      </c>
      <c r="K1167" s="175">
        <f t="shared" si="24"/>
        <v>0</v>
      </c>
      <c r="L1167" s="175"/>
      <c r="M1167" s="77" t="s">
        <v>18</v>
      </c>
      <c r="N1167" s="77" t="s">
        <v>22</v>
      </c>
      <c r="O1167" s="177"/>
    </row>
    <row r="1168" spans="2:15" s="12" customFormat="1" ht="38.25">
      <c r="B1168" s="372" t="s">
        <v>96</v>
      </c>
      <c r="C1168" s="77" t="str">
        <f ca="1">+UPPER(Tabla132112412[[#This Row],[DESCRIPCIÓN DE LA COMPRA O CONTRATACIÓN]])</f>
        <v>TRANSFORMADORES 1Ø, 60HZ, SUMERGIDOS EN ACEITE, 7.2/12.47 KV, 120/240V, TIPO POSTE, HOMOLGADOS CON IDÉNTICA IMPEDANCIA 37.5 KVA</v>
      </c>
      <c r="D1168" s="177" t="s">
        <v>17</v>
      </c>
      <c r="E1168" s="370">
        <v>2</v>
      </c>
      <c r="F1168" s="370">
        <v>0</v>
      </c>
      <c r="G1168" s="370">
        <v>0</v>
      </c>
      <c r="H1168" s="370">
        <v>0</v>
      </c>
      <c r="I1168" s="363">
        <f>SUM(Tabla132112412[[#This Row],[PRIMER TRIMESTRE]:[CUARTO TRIMESTRE]])</f>
        <v>2</v>
      </c>
      <c r="J1168" s="175">
        <v>58875.22</v>
      </c>
      <c r="K1168" s="175">
        <f t="shared" si="24"/>
        <v>117750.44</v>
      </c>
      <c r="L1168" s="175"/>
      <c r="M1168" s="77" t="s">
        <v>18</v>
      </c>
      <c r="N1168" s="77" t="s">
        <v>22</v>
      </c>
      <c r="O1168" s="177"/>
    </row>
    <row r="1169" spans="2:15" s="12" customFormat="1" ht="38.25">
      <c r="B1169" s="372" t="s">
        <v>96</v>
      </c>
      <c r="C1169" s="77" t="str">
        <f ca="1">+UPPER(Tabla132112412[[#This Row],[DESCRIPCIÓN DE LA COMPRA O CONTRATACIÓN]])</f>
        <v>TRANSFORMADORES 1Ø, 60HZ, SUMERGIDOS EN ACEITE, 7.2/12.47 KV, 240/480V, TIPO POSTE HOMOLGADOS CON IDÉNTICA IMPEDANCIA 15 KVA</v>
      </c>
      <c r="D1169" s="177" t="s">
        <v>17</v>
      </c>
      <c r="E1169" s="370">
        <v>3</v>
      </c>
      <c r="F1169" s="370">
        <v>0</v>
      </c>
      <c r="G1169" s="370">
        <v>0</v>
      </c>
      <c r="H1169" s="370">
        <v>0</v>
      </c>
      <c r="I1169" s="363">
        <f>SUM(Tabla132112412[[#This Row],[PRIMER TRIMESTRE]:[CUARTO TRIMESTRE]])</f>
        <v>3</v>
      </c>
      <c r="J1169" s="175">
        <v>25498.09</v>
      </c>
      <c r="K1169" s="175">
        <f t="shared" si="24"/>
        <v>76494.27</v>
      </c>
      <c r="L1169" s="175"/>
      <c r="M1169" s="77" t="s">
        <v>18</v>
      </c>
      <c r="N1169" s="77" t="s">
        <v>22</v>
      </c>
      <c r="O1169" s="177"/>
    </row>
    <row r="1170" spans="2:15" s="12" customFormat="1" ht="38.25">
      <c r="B1170" s="372" t="s">
        <v>96</v>
      </c>
      <c r="C1170" s="77" t="str">
        <f ca="1">+UPPER(Tabla132112412[[#This Row],[DESCRIPCIÓN DE LA COMPRA O CONTRATACIÓN]])</f>
        <v>TRANSFORMADORES 1Ø, 60HZ, SUMERGIDOS EN ACEITE, 7.2/12.47 KV, 240/480V, TIPO POSTE HOMOLGADOS CON IDÉNTICA IMPEDANCIA 25 KVA</v>
      </c>
      <c r="D1170" s="177" t="s">
        <v>17</v>
      </c>
      <c r="E1170" s="370">
        <v>3</v>
      </c>
      <c r="F1170" s="370"/>
      <c r="G1170" s="370">
        <v>3</v>
      </c>
      <c r="H1170" s="370">
        <v>0</v>
      </c>
      <c r="I1170" s="363">
        <f>SUM(Tabla132112412[[#This Row],[PRIMER TRIMESTRE]:[CUARTO TRIMESTRE]])</f>
        <v>6</v>
      </c>
      <c r="J1170" s="175">
        <v>37186.82</v>
      </c>
      <c r="K1170" s="175">
        <f t="shared" si="24"/>
        <v>223120.91999999998</v>
      </c>
      <c r="L1170" s="175"/>
      <c r="M1170" s="77" t="s">
        <v>18</v>
      </c>
      <c r="N1170" s="77" t="s">
        <v>22</v>
      </c>
      <c r="O1170" s="177"/>
    </row>
    <row r="1171" spans="2:15" s="12" customFormat="1" ht="38.25">
      <c r="B1171" s="372" t="s">
        <v>96</v>
      </c>
      <c r="C1171" s="77" t="s">
        <v>864</v>
      </c>
      <c r="D1171" s="177" t="s">
        <v>17</v>
      </c>
      <c r="E1171" s="370">
        <v>6</v>
      </c>
      <c r="F1171" s="370">
        <v>3</v>
      </c>
      <c r="G1171" s="370">
        <v>3</v>
      </c>
      <c r="H1171" s="370">
        <v>3</v>
      </c>
      <c r="I1171" s="363">
        <f>SUM(Tabla132112412[[#This Row],[PRIMER TRIMESTRE]:[CUARTO TRIMESTRE]])</f>
        <v>15</v>
      </c>
      <c r="J1171" s="175">
        <v>44076.54</v>
      </c>
      <c r="K1171" s="175">
        <f t="shared" si="24"/>
        <v>661148.1</v>
      </c>
      <c r="L1171" s="175"/>
      <c r="M1171" s="77" t="s">
        <v>18</v>
      </c>
      <c r="N1171" s="77" t="s">
        <v>22</v>
      </c>
      <c r="O1171" s="177"/>
    </row>
    <row r="1172" spans="2:15" s="12" customFormat="1" ht="38.25">
      <c r="B1172" s="372" t="s">
        <v>96</v>
      </c>
      <c r="C1172" s="77" t="s">
        <v>865</v>
      </c>
      <c r="D1172" s="177" t="s">
        <v>17</v>
      </c>
      <c r="E1172" s="370">
        <v>6</v>
      </c>
      <c r="F1172" s="370">
        <v>6</v>
      </c>
      <c r="G1172" s="370">
        <v>6</v>
      </c>
      <c r="H1172" s="370">
        <v>6</v>
      </c>
      <c r="I1172" s="363">
        <f>SUM(Tabla132112412[[#This Row],[PRIMER TRIMESTRE]:[CUARTO TRIMESTRE]])</f>
        <v>24</v>
      </c>
      <c r="J1172" s="175">
        <v>54061.7</v>
      </c>
      <c r="K1172" s="175">
        <f t="shared" si="24"/>
        <v>1297480.7999999998</v>
      </c>
      <c r="L1172" s="175"/>
      <c r="M1172" s="77" t="s">
        <v>18</v>
      </c>
      <c r="N1172" s="77" t="s">
        <v>22</v>
      </c>
      <c r="O1172" s="177"/>
    </row>
    <row r="1173" spans="2:15" s="12" customFormat="1" ht="38.25">
      <c r="B1173" s="372" t="s">
        <v>96</v>
      </c>
      <c r="C1173" s="77" t="s">
        <v>866</v>
      </c>
      <c r="D1173" s="177" t="s">
        <v>17</v>
      </c>
      <c r="E1173" s="370">
        <v>3</v>
      </c>
      <c r="F1173" s="370">
        <v>0</v>
      </c>
      <c r="G1173" s="370">
        <v>3</v>
      </c>
      <c r="H1173" s="370">
        <v>0</v>
      </c>
      <c r="I1173" s="363">
        <f>SUM(Tabla132112412[[#This Row],[PRIMER TRIMESTRE]:[CUARTO TRIMESTRE]])</f>
        <v>6</v>
      </c>
      <c r="J1173" s="175">
        <v>81423.539999999994</v>
      </c>
      <c r="K1173" s="175">
        <f t="shared" si="24"/>
        <v>488541.24</v>
      </c>
      <c r="L1173" s="175"/>
      <c r="M1173" s="77" t="s">
        <v>18</v>
      </c>
      <c r="N1173" s="77" t="s">
        <v>22</v>
      </c>
      <c r="O1173" s="177"/>
    </row>
    <row r="1174" spans="2:15" s="12" customFormat="1" ht="38.25">
      <c r="B1174" s="372" t="s">
        <v>96</v>
      </c>
      <c r="C1174" s="77" t="str">
        <f ca="1">+UPPER(Tabla132112412[[#This Row],[DESCRIPCIÓN DE LA COMPRA O CONTRATACIÓN]])</f>
        <v>TRANSFORMADORES 1Ø, 60HZ, SUMERGIDOS EN ACEITE, 7.2/12.47 KV, 240/480V, TIPO POSTE HOMOLGADOS CON IDÉNTICA IMPEDANCIA 100 KVA</v>
      </c>
      <c r="D1174" s="177" t="s">
        <v>17</v>
      </c>
      <c r="E1174" s="370">
        <v>0</v>
      </c>
      <c r="F1174" s="370">
        <v>0</v>
      </c>
      <c r="G1174" s="370">
        <v>0</v>
      </c>
      <c r="H1174" s="370">
        <v>0</v>
      </c>
      <c r="I1174" s="363">
        <f>SUM(Tabla132112412[[#This Row],[PRIMER TRIMESTRE]:[CUARTO TRIMESTRE]])</f>
        <v>0</v>
      </c>
      <c r="J1174" s="175">
        <v>108938.74</v>
      </c>
      <c r="K1174" s="175">
        <f t="shared" si="24"/>
        <v>0</v>
      </c>
      <c r="L1174" s="175"/>
      <c r="M1174" s="77" t="s">
        <v>18</v>
      </c>
      <c r="N1174" s="77" t="s">
        <v>22</v>
      </c>
      <c r="O1174" s="177"/>
    </row>
    <row r="1175" spans="2:15" s="12" customFormat="1" ht="38.25">
      <c r="B1175" s="372" t="s">
        <v>96</v>
      </c>
      <c r="C1175" s="77" t="s">
        <v>867</v>
      </c>
      <c r="D1175" s="177" t="s">
        <v>17</v>
      </c>
      <c r="E1175" s="370">
        <v>3</v>
      </c>
      <c r="F1175" s="370">
        <v>0</v>
      </c>
      <c r="G1175" s="370">
        <v>0</v>
      </c>
      <c r="H1175" s="370">
        <v>0</v>
      </c>
      <c r="I1175" s="363">
        <f>SUM(Tabla132112412[[#This Row],[PRIMER TRIMESTRE]:[CUARTO TRIMESTRE]])</f>
        <v>3</v>
      </c>
      <c r="J1175" s="175">
        <v>160529.56</v>
      </c>
      <c r="K1175" s="175">
        <f t="shared" si="24"/>
        <v>481588.68</v>
      </c>
      <c r="L1175" s="175"/>
      <c r="M1175" s="77" t="s">
        <v>18</v>
      </c>
      <c r="N1175" s="77" t="s">
        <v>22</v>
      </c>
      <c r="O1175" s="177"/>
    </row>
    <row r="1176" spans="2:15" s="12" customFormat="1" ht="38.25">
      <c r="B1176" s="372" t="s">
        <v>96</v>
      </c>
      <c r="C1176" s="77" t="s">
        <v>871</v>
      </c>
      <c r="D1176" s="177" t="s">
        <v>17</v>
      </c>
      <c r="E1176" s="370">
        <v>3</v>
      </c>
      <c r="F1176" s="370">
        <v>0</v>
      </c>
      <c r="G1176" s="370">
        <v>0</v>
      </c>
      <c r="H1176" s="370">
        <v>0</v>
      </c>
      <c r="I1176" s="363">
        <f>SUM(Tabla132112412[[#This Row],[PRIMER TRIMESTRE]:[CUARTO TRIMESTRE]])</f>
        <v>3</v>
      </c>
      <c r="J1176" s="175">
        <v>2995.96</v>
      </c>
      <c r="K1176" s="175">
        <f t="shared" si="24"/>
        <v>8987.880000000001</v>
      </c>
      <c r="L1176" s="175"/>
      <c r="M1176" s="77" t="s">
        <v>18</v>
      </c>
      <c r="N1176" s="77" t="s">
        <v>22</v>
      </c>
      <c r="O1176" s="177"/>
    </row>
    <row r="1177" spans="2:15" s="12" customFormat="1" ht="38.25">
      <c r="B1177" s="372" t="s">
        <v>96</v>
      </c>
      <c r="C1177" s="77" t="s">
        <v>872</v>
      </c>
      <c r="D1177" s="177" t="s">
        <v>17</v>
      </c>
      <c r="E1177" s="370">
        <v>20</v>
      </c>
      <c r="F1177" s="370">
        <v>0</v>
      </c>
      <c r="G1177" s="370">
        <v>20</v>
      </c>
      <c r="H1177" s="370">
        <v>0</v>
      </c>
      <c r="I1177" s="363">
        <f>SUM(Tabla132112412[[#This Row],[PRIMER TRIMESTRE]:[CUARTO TRIMESTRE]])</f>
        <v>40</v>
      </c>
      <c r="J1177" s="175">
        <v>3986.24</v>
      </c>
      <c r="K1177" s="175">
        <f t="shared" si="24"/>
        <v>159449.59999999998</v>
      </c>
      <c r="L1177" s="175"/>
      <c r="M1177" s="77" t="s">
        <v>18</v>
      </c>
      <c r="N1177" s="77" t="s">
        <v>22</v>
      </c>
      <c r="O1177" s="177"/>
    </row>
    <row r="1178" spans="2:15" s="12" customFormat="1" ht="38.25">
      <c r="B1178" s="372" t="s">
        <v>96</v>
      </c>
      <c r="C1178" s="77" t="s">
        <v>873</v>
      </c>
      <c r="D1178" s="177" t="s">
        <v>17</v>
      </c>
      <c r="E1178" s="370">
        <v>20</v>
      </c>
      <c r="F1178" s="370">
        <v>0</v>
      </c>
      <c r="G1178" s="370">
        <v>15</v>
      </c>
      <c r="H1178" s="370">
        <v>0</v>
      </c>
      <c r="I1178" s="363">
        <f>SUM(Tabla132112412[[#This Row],[PRIMER TRIMESTRE]:[CUARTO TRIMESTRE]])</f>
        <v>35</v>
      </c>
      <c r="J1178" s="175">
        <v>6982.2</v>
      </c>
      <c r="K1178" s="175">
        <f t="shared" si="24"/>
        <v>244377</v>
      </c>
      <c r="L1178" s="175"/>
      <c r="M1178" s="77" t="s">
        <v>18</v>
      </c>
      <c r="N1178" s="77" t="s">
        <v>22</v>
      </c>
      <c r="O1178" s="177"/>
    </row>
    <row r="1179" spans="2:15" s="12" customFormat="1" ht="25.5">
      <c r="B1179" s="372" t="s">
        <v>96</v>
      </c>
      <c r="C1179" s="77" t="s">
        <v>1437</v>
      </c>
      <c r="D1179" s="177" t="s">
        <v>1438</v>
      </c>
      <c r="E1179" s="370">
        <v>9</v>
      </c>
      <c r="F1179" s="370">
        <v>0</v>
      </c>
      <c r="G1179" s="370">
        <v>6</v>
      </c>
      <c r="H1179" s="370">
        <v>0</v>
      </c>
      <c r="I1179" s="363">
        <f>SUM(Tabla132112412[[#This Row],[PRIMER TRIMESTRE]:[CUARTO TRIMESTRE]])</f>
        <v>15</v>
      </c>
      <c r="J1179" s="175">
        <v>554145.56999999995</v>
      </c>
      <c r="K1179" s="175">
        <f t="shared" si="24"/>
        <v>8312183.5499999989</v>
      </c>
      <c r="L1179" s="175"/>
      <c r="M1179" s="77" t="s">
        <v>18</v>
      </c>
      <c r="N1179" s="77" t="s">
        <v>22</v>
      </c>
      <c r="O1179" s="177"/>
    </row>
    <row r="1180" spans="2:15" s="12" customFormat="1" ht="25.5">
      <c r="B1180" s="372" t="s">
        <v>96</v>
      </c>
      <c r="C1180" s="77" t="s">
        <v>1450</v>
      </c>
      <c r="D1180" s="177" t="s">
        <v>17</v>
      </c>
      <c r="E1180" s="370">
        <v>3</v>
      </c>
      <c r="F1180" s="370">
        <v>0</v>
      </c>
      <c r="G1180" s="370">
        <v>3</v>
      </c>
      <c r="H1180" s="370">
        <v>0</v>
      </c>
      <c r="I1180" s="363">
        <f>SUM(Tabla132112412[[#This Row],[PRIMER TRIMESTRE]:[CUARTO TRIMESTRE]])</f>
        <v>6</v>
      </c>
      <c r="J1180" s="175">
        <v>6950.29</v>
      </c>
      <c r="K1180" s="175">
        <f t="shared" si="24"/>
        <v>41701.74</v>
      </c>
      <c r="L1180" s="175"/>
      <c r="M1180" s="77" t="s">
        <v>18</v>
      </c>
      <c r="N1180" s="77" t="s">
        <v>22</v>
      </c>
      <c r="O1180" s="177"/>
    </row>
    <row r="1181" spans="2:15" s="12" customFormat="1" ht="25.5">
      <c r="B1181" s="372" t="s">
        <v>96</v>
      </c>
      <c r="C1181" s="77" t="s">
        <v>1524</v>
      </c>
      <c r="D1181" s="177" t="s">
        <v>17</v>
      </c>
      <c r="E1181" s="370">
        <v>3</v>
      </c>
      <c r="F1181" s="370">
        <v>0</v>
      </c>
      <c r="G1181" s="370">
        <v>3</v>
      </c>
      <c r="H1181" s="370">
        <v>0</v>
      </c>
      <c r="I1181" s="363">
        <f>SUM(Tabla132112412[[#This Row],[PRIMER TRIMESTRE]:[CUARTO TRIMESTRE]])</f>
        <v>6</v>
      </c>
      <c r="J1181" s="175">
        <v>38300</v>
      </c>
      <c r="K1181" s="175">
        <f t="shared" si="24"/>
        <v>229800</v>
      </c>
      <c r="L1181" s="175"/>
      <c r="M1181" s="77" t="s">
        <v>18</v>
      </c>
      <c r="N1181" s="77" t="s">
        <v>22</v>
      </c>
      <c r="O1181" s="177"/>
    </row>
    <row r="1182" spans="2:15" s="12" customFormat="1" ht="25.5">
      <c r="B1182" s="372" t="s">
        <v>96</v>
      </c>
      <c r="C1182" s="77" t="s">
        <v>1728</v>
      </c>
      <c r="D1182" s="177" t="s">
        <v>17</v>
      </c>
      <c r="E1182" s="370">
        <v>28</v>
      </c>
      <c r="F1182" s="370">
        <v>0</v>
      </c>
      <c r="G1182" s="370">
        <v>0</v>
      </c>
      <c r="H1182" s="370">
        <v>0</v>
      </c>
      <c r="I1182" s="363">
        <f>SUM(Tabla132112412[[#This Row],[PRIMER TRIMESTRE]:[CUARTO TRIMESTRE]])</f>
        <v>28</v>
      </c>
      <c r="J1182" s="175">
        <v>0</v>
      </c>
      <c r="K1182" s="175">
        <v>0</v>
      </c>
      <c r="L1182" s="175"/>
      <c r="M1182" s="77" t="s">
        <v>18</v>
      </c>
      <c r="N1182" s="77" t="s">
        <v>22</v>
      </c>
      <c r="O1182" s="177"/>
    </row>
    <row r="1183" spans="2:15" s="12" customFormat="1" ht="25.5">
      <c r="B1183" s="372" t="s">
        <v>96</v>
      </c>
      <c r="C1183" s="77" t="s">
        <v>2412</v>
      </c>
      <c r="D1183" s="177" t="s">
        <v>17</v>
      </c>
      <c r="E1183" s="365">
        <v>16</v>
      </c>
      <c r="F1183" s="365"/>
      <c r="G1183" s="365"/>
      <c r="H1183" s="365"/>
      <c r="I1183" s="363">
        <f>SUM(Tabla132112412[[#This Row],[PRIMER TRIMESTRE]:[CUARTO TRIMESTRE]])</f>
        <v>16</v>
      </c>
      <c r="J1183" s="175"/>
      <c r="K1183" s="175"/>
      <c r="L1183" s="175"/>
      <c r="M1183" s="77"/>
      <c r="N1183" s="77"/>
      <c r="O1183" s="177"/>
    </row>
    <row r="1184" spans="2:15" s="12" customFormat="1" ht="38.25">
      <c r="B1184" s="372" t="s">
        <v>96</v>
      </c>
      <c r="C1184" s="77" t="s">
        <v>863</v>
      </c>
      <c r="D1184" s="177" t="s">
        <v>17</v>
      </c>
      <c r="E1184" s="365"/>
      <c r="F1184" s="365">
        <v>6</v>
      </c>
      <c r="G1184" s="365"/>
      <c r="H1184" s="365">
        <v>4</v>
      </c>
      <c r="I1184" s="363">
        <f>SUM(Tabla132112412[[#This Row],[PRIMER TRIMESTRE]:[CUARTO TRIMESTRE]])</f>
        <v>10</v>
      </c>
      <c r="J1184" s="175"/>
      <c r="K1184" s="175"/>
      <c r="L1184" s="175"/>
      <c r="M1184" s="77"/>
      <c r="N1184" s="77"/>
      <c r="O1184" s="177"/>
    </row>
    <row r="1185" spans="2:15" s="12" customFormat="1" ht="38.25">
      <c r="B1185" s="372" t="s">
        <v>96</v>
      </c>
      <c r="C1185" s="77" t="s">
        <v>864</v>
      </c>
      <c r="D1185" s="177" t="s">
        <v>17</v>
      </c>
      <c r="E1185" s="365"/>
      <c r="F1185" s="365">
        <v>10</v>
      </c>
      <c r="G1185" s="365"/>
      <c r="H1185" s="365">
        <v>10</v>
      </c>
      <c r="I1185" s="363">
        <f>SUM(Tabla132112412[[#This Row],[PRIMER TRIMESTRE]:[CUARTO TRIMESTRE]])</f>
        <v>20</v>
      </c>
      <c r="J1185" s="175"/>
      <c r="K1185" s="175"/>
      <c r="L1185" s="175"/>
      <c r="M1185" s="77"/>
      <c r="N1185" s="77"/>
      <c r="O1185" s="177"/>
    </row>
    <row r="1186" spans="2:15" s="12" customFormat="1" ht="38.25">
      <c r="B1186" s="372" t="s">
        <v>96</v>
      </c>
      <c r="C1186" s="77" t="s">
        <v>865</v>
      </c>
      <c r="D1186" s="177" t="s">
        <v>17</v>
      </c>
      <c r="E1186" s="365"/>
      <c r="F1186" s="365">
        <v>10</v>
      </c>
      <c r="G1186" s="365"/>
      <c r="H1186" s="365">
        <v>10</v>
      </c>
      <c r="I1186" s="363">
        <f>SUM(Tabla132112412[[#This Row],[PRIMER TRIMESTRE]:[CUARTO TRIMESTRE]])</f>
        <v>20</v>
      </c>
      <c r="J1186" s="175"/>
      <c r="K1186" s="175"/>
      <c r="L1186" s="175"/>
      <c r="M1186" s="77"/>
      <c r="N1186" s="77"/>
      <c r="O1186" s="177"/>
    </row>
    <row r="1187" spans="2:15" s="12" customFormat="1" ht="38.25">
      <c r="B1187" s="372" t="s">
        <v>96</v>
      </c>
      <c r="C1187" s="77" t="s">
        <v>866</v>
      </c>
      <c r="D1187" s="177" t="s">
        <v>17</v>
      </c>
      <c r="E1187" s="365"/>
      <c r="F1187" s="365">
        <v>7</v>
      </c>
      <c r="G1187" s="365"/>
      <c r="H1187" s="365">
        <v>7</v>
      </c>
      <c r="I1187" s="363">
        <f>SUM(Tabla132112412[[#This Row],[PRIMER TRIMESTRE]:[CUARTO TRIMESTRE]])</f>
        <v>14</v>
      </c>
      <c r="J1187" s="175"/>
      <c r="K1187" s="175"/>
      <c r="L1187" s="175"/>
      <c r="M1187" s="77"/>
      <c r="N1187" s="77"/>
      <c r="O1187" s="177"/>
    </row>
    <row r="1188" spans="2:15" s="12" customFormat="1" ht="38.25">
      <c r="B1188" s="372" t="s">
        <v>96</v>
      </c>
      <c r="C1188" s="77" t="s">
        <v>867</v>
      </c>
      <c r="D1188" s="177" t="s">
        <v>17</v>
      </c>
      <c r="E1188" s="365"/>
      <c r="F1188" s="365">
        <v>5</v>
      </c>
      <c r="G1188" s="365"/>
      <c r="H1188" s="365">
        <v>5</v>
      </c>
      <c r="I1188" s="363">
        <f>SUM(Tabla132112412[[#This Row],[PRIMER TRIMESTRE]:[CUARTO TRIMESTRE]])</f>
        <v>10</v>
      </c>
      <c r="J1188" s="175"/>
      <c r="K1188" s="175"/>
      <c r="L1188" s="175"/>
      <c r="M1188" s="77"/>
      <c r="N1188" s="77"/>
      <c r="O1188" s="177"/>
    </row>
    <row r="1189" spans="2:15" s="12" customFormat="1" ht="38.25">
      <c r="B1189" s="372" t="s">
        <v>96</v>
      </c>
      <c r="C1189" s="77" t="s">
        <v>871</v>
      </c>
      <c r="D1189" s="177" t="s">
        <v>17</v>
      </c>
      <c r="E1189" s="365"/>
      <c r="F1189" s="365">
        <v>5</v>
      </c>
      <c r="G1189" s="365"/>
      <c r="H1189" s="365">
        <v>3</v>
      </c>
      <c r="I1189" s="363">
        <f>SUM(Tabla132112412[[#This Row],[PRIMER TRIMESTRE]:[CUARTO TRIMESTRE]])</f>
        <v>8</v>
      </c>
      <c r="J1189" s="175"/>
      <c r="K1189" s="175"/>
      <c r="L1189" s="175"/>
      <c r="M1189" s="77"/>
      <c r="N1189" s="77"/>
      <c r="O1189" s="177"/>
    </row>
    <row r="1190" spans="2:15" s="12" customFormat="1" ht="38.25">
      <c r="B1190" s="372" t="s">
        <v>96</v>
      </c>
      <c r="C1190" s="77" t="s">
        <v>872</v>
      </c>
      <c r="D1190" s="177" t="s">
        <v>17</v>
      </c>
      <c r="E1190" s="365"/>
      <c r="F1190" s="365">
        <v>5</v>
      </c>
      <c r="G1190" s="365"/>
      <c r="H1190" s="365">
        <v>3</v>
      </c>
      <c r="I1190" s="363">
        <f>SUM(Tabla132112412[[#This Row],[PRIMER TRIMESTRE]:[CUARTO TRIMESTRE]])</f>
        <v>8</v>
      </c>
      <c r="J1190" s="175"/>
      <c r="K1190" s="175"/>
      <c r="L1190" s="175"/>
      <c r="M1190" s="77"/>
      <c r="N1190" s="77"/>
      <c r="O1190" s="177"/>
    </row>
    <row r="1191" spans="2:15" s="12" customFormat="1" ht="38.25">
      <c r="B1191" s="372" t="s">
        <v>96</v>
      </c>
      <c r="C1191" s="77" t="s">
        <v>873</v>
      </c>
      <c r="D1191" s="177" t="s">
        <v>17</v>
      </c>
      <c r="E1191" s="365"/>
      <c r="F1191" s="365">
        <v>4</v>
      </c>
      <c r="G1191" s="365"/>
      <c r="H1191" s="365">
        <v>2</v>
      </c>
      <c r="I1191" s="363">
        <f>SUM(Tabla132112412[[#This Row],[PRIMER TRIMESTRE]:[CUARTO TRIMESTRE]])</f>
        <v>6</v>
      </c>
      <c r="J1191" s="175"/>
      <c r="K1191" s="175"/>
      <c r="L1191" s="175"/>
      <c r="M1191" s="77"/>
      <c r="N1191" s="77"/>
      <c r="O1191" s="177"/>
    </row>
    <row r="1192" spans="2:15" s="12" customFormat="1" ht="25.5">
      <c r="B1192" s="372" t="s">
        <v>96</v>
      </c>
      <c r="C1192" s="77" t="s">
        <v>209</v>
      </c>
      <c r="D1192" s="177" t="s">
        <v>17</v>
      </c>
      <c r="E1192" s="365"/>
      <c r="F1192" s="365">
        <v>230</v>
      </c>
      <c r="G1192" s="365"/>
      <c r="H1192" s="365">
        <v>230</v>
      </c>
      <c r="I1192" s="363">
        <f>SUM(Tabla132112412[[#This Row],[PRIMER TRIMESTRE]:[CUARTO TRIMESTRE]])</f>
        <v>460</v>
      </c>
      <c r="J1192" s="175"/>
      <c r="K1192" s="175"/>
      <c r="L1192" s="175"/>
      <c r="M1192" s="77"/>
      <c r="N1192" s="77"/>
      <c r="O1192" s="177"/>
    </row>
    <row r="1193" spans="2:15" s="12" customFormat="1" ht="25.5">
      <c r="B1193" s="372" t="s">
        <v>96</v>
      </c>
      <c r="C1193" s="77" t="s">
        <v>881</v>
      </c>
      <c r="D1193" s="177" t="s">
        <v>17</v>
      </c>
      <c r="E1193" s="365"/>
      <c r="F1193" s="365">
        <v>100</v>
      </c>
      <c r="G1193" s="365"/>
      <c r="H1193" s="365">
        <v>100</v>
      </c>
      <c r="I1193" s="363">
        <f>SUM(Tabla132112412[[#This Row],[PRIMER TRIMESTRE]:[CUARTO TRIMESTRE]])</f>
        <v>200</v>
      </c>
      <c r="J1193" s="175"/>
      <c r="K1193" s="175"/>
      <c r="L1193" s="175"/>
      <c r="M1193" s="77"/>
      <c r="N1193" s="77"/>
      <c r="O1193" s="177"/>
    </row>
    <row r="1194" spans="2:15" s="12" customFormat="1" ht="25.5">
      <c r="B1194" s="372" t="s">
        <v>96</v>
      </c>
      <c r="C1194" s="77" t="s">
        <v>227</v>
      </c>
      <c r="D1194" s="177" t="s">
        <v>17</v>
      </c>
      <c r="E1194" s="365"/>
      <c r="F1194" s="365">
        <v>40</v>
      </c>
      <c r="G1194" s="365"/>
      <c r="H1194" s="365">
        <v>40</v>
      </c>
      <c r="I1194" s="363">
        <f>SUM(Tabla132112412[[#This Row],[PRIMER TRIMESTRE]:[CUARTO TRIMESTRE]])</f>
        <v>80</v>
      </c>
      <c r="J1194" s="175"/>
      <c r="K1194" s="175"/>
      <c r="L1194" s="175"/>
      <c r="M1194" s="77"/>
      <c r="N1194" s="77"/>
      <c r="O1194" s="177"/>
    </row>
    <row r="1195" spans="2:15" s="12" customFormat="1" ht="25.5">
      <c r="B1195" s="372" t="s">
        <v>96</v>
      </c>
      <c r="C1195" s="77" t="s">
        <v>2413</v>
      </c>
      <c r="D1195" s="177" t="s">
        <v>17</v>
      </c>
      <c r="E1195" s="365"/>
      <c r="F1195" s="365">
        <v>100</v>
      </c>
      <c r="G1195" s="365"/>
      <c r="H1195" s="365">
        <v>100</v>
      </c>
      <c r="I1195" s="363">
        <f>SUM(Tabla132112412[[#This Row],[PRIMER TRIMESTRE]:[CUARTO TRIMESTRE]])</f>
        <v>200</v>
      </c>
      <c r="J1195" s="175"/>
      <c r="K1195" s="175"/>
      <c r="L1195" s="175"/>
      <c r="M1195" s="77"/>
      <c r="N1195" s="77"/>
      <c r="O1195" s="177"/>
    </row>
    <row r="1196" spans="2:15" s="12" customFormat="1" ht="25.5">
      <c r="B1196" s="372" t="s">
        <v>96</v>
      </c>
      <c r="C1196" s="77" t="s">
        <v>572</v>
      </c>
      <c r="D1196" s="177" t="s">
        <v>17</v>
      </c>
      <c r="E1196" s="365">
        <v>3</v>
      </c>
      <c r="F1196" s="365">
        <v>0</v>
      </c>
      <c r="G1196" s="365"/>
      <c r="H1196" s="365">
        <v>1</v>
      </c>
      <c r="I1196" s="363">
        <f>SUM(Tabla132112412[[#This Row],[PRIMER TRIMESTRE]:[CUARTO TRIMESTRE]])</f>
        <v>4</v>
      </c>
      <c r="J1196" s="175"/>
      <c r="K1196" s="175"/>
      <c r="L1196" s="175"/>
      <c r="M1196" s="77"/>
      <c r="N1196" s="77"/>
      <c r="O1196" s="177"/>
    </row>
    <row r="1197" spans="2:15" s="12" customFormat="1" ht="25.5">
      <c r="B1197" s="372" t="s">
        <v>96</v>
      </c>
      <c r="C1197" s="376" t="s">
        <v>2414</v>
      </c>
      <c r="D1197" s="177"/>
      <c r="E1197" s="369">
        <v>10</v>
      </c>
      <c r="F1197" s="369">
        <v>5</v>
      </c>
      <c r="G1197" s="369">
        <v>5</v>
      </c>
      <c r="H1197" s="369">
        <v>5</v>
      </c>
      <c r="I1197" s="363">
        <f>SUM(Tabla132112412[[#This Row],[PRIMER TRIMESTRE]:[CUARTO TRIMESTRE]])</f>
        <v>25</v>
      </c>
      <c r="J1197" s="175"/>
      <c r="K1197" s="175"/>
      <c r="L1197" s="175"/>
      <c r="M1197" s="77"/>
      <c r="N1197" s="77"/>
      <c r="O1197" s="177"/>
    </row>
    <row r="1198" spans="2:15" s="12" customFormat="1" ht="25.5">
      <c r="B1198" s="372" t="s">
        <v>96</v>
      </c>
      <c r="C1198" s="376" t="s">
        <v>2415</v>
      </c>
      <c r="D1198" s="177"/>
      <c r="E1198" s="369">
        <v>10</v>
      </c>
      <c r="F1198" s="369">
        <v>5</v>
      </c>
      <c r="G1198" s="369">
        <v>5</v>
      </c>
      <c r="H1198" s="369">
        <v>5</v>
      </c>
      <c r="I1198" s="363">
        <f>SUM(Tabla132112412[[#This Row],[PRIMER TRIMESTRE]:[CUARTO TRIMESTRE]])</f>
        <v>25</v>
      </c>
      <c r="J1198" s="175"/>
      <c r="K1198" s="175"/>
      <c r="L1198" s="175"/>
      <c r="M1198" s="77"/>
      <c r="N1198" s="77"/>
      <c r="O1198" s="177"/>
    </row>
    <row r="1199" spans="2:15" s="12" customFormat="1" ht="25.5">
      <c r="B1199" s="372" t="s">
        <v>96</v>
      </c>
      <c r="C1199" s="377" t="s">
        <v>2416</v>
      </c>
      <c r="D1199" s="177"/>
      <c r="E1199" s="378">
        <v>10</v>
      </c>
      <c r="F1199" s="369">
        <v>5</v>
      </c>
      <c r="G1199" s="369">
        <v>5</v>
      </c>
      <c r="H1199" s="369">
        <v>5</v>
      </c>
      <c r="I1199" s="363">
        <f>SUM(Tabla132112412[[#This Row],[PRIMER TRIMESTRE]:[CUARTO TRIMESTRE]])</f>
        <v>25</v>
      </c>
      <c r="J1199" s="175"/>
      <c r="K1199" s="175"/>
      <c r="L1199" s="175"/>
      <c r="M1199" s="77"/>
      <c r="N1199" s="77"/>
      <c r="O1199" s="177"/>
    </row>
    <row r="1200" spans="2:15" s="12" customFormat="1" ht="25.5">
      <c r="B1200" s="372" t="s">
        <v>96</v>
      </c>
      <c r="C1200" s="377" t="s">
        <v>2417</v>
      </c>
      <c r="D1200" s="177"/>
      <c r="E1200" s="378">
        <v>10</v>
      </c>
      <c r="F1200" s="369">
        <v>5</v>
      </c>
      <c r="G1200" s="369">
        <v>5</v>
      </c>
      <c r="H1200" s="369">
        <v>5</v>
      </c>
      <c r="I1200" s="363">
        <f>SUM(Tabla132112412[[#This Row],[PRIMER TRIMESTRE]:[CUARTO TRIMESTRE]])</f>
        <v>25</v>
      </c>
      <c r="J1200" s="175"/>
      <c r="K1200" s="175"/>
      <c r="L1200" s="175"/>
      <c r="M1200" s="77"/>
      <c r="N1200" s="77"/>
      <c r="O1200" s="177"/>
    </row>
    <row r="1201" spans="1:15" s="12" customFormat="1" ht="25.5">
      <c r="B1201" s="372" t="s">
        <v>96</v>
      </c>
      <c r="C1201" s="472" t="s">
        <v>2418</v>
      </c>
      <c r="D1201" s="177"/>
      <c r="E1201" s="378">
        <v>5</v>
      </c>
      <c r="F1201" s="369">
        <v>5</v>
      </c>
      <c r="G1201" s="369">
        <v>5</v>
      </c>
      <c r="H1201" s="369">
        <v>5</v>
      </c>
      <c r="I1201" s="363">
        <f>SUM(Tabla132112412[[#This Row],[PRIMER TRIMESTRE]:[CUARTO TRIMESTRE]])</f>
        <v>20</v>
      </c>
      <c r="J1201" s="175"/>
      <c r="K1201" s="175"/>
      <c r="L1201" s="175"/>
      <c r="M1201" s="77"/>
      <c r="N1201" s="77"/>
      <c r="O1201" s="177"/>
    </row>
    <row r="1202" spans="1:15" s="12" customFormat="1" ht="25.5">
      <c r="B1202" s="372" t="s">
        <v>96</v>
      </c>
      <c r="C1202" s="472" t="s">
        <v>2419</v>
      </c>
      <c r="D1202" s="177"/>
      <c r="E1202" s="378">
        <v>3</v>
      </c>
      <c r="F1202" s="369">
        <v>3</v>
      </c>
      <c r="G1202" s="369">
        <v>2</v>
      </c>
      <c r="H1202" s="369">
        <v>2</v>
      </c>
      <c r="I1202" s="363">
        <f>SUM(Tabla132112412[[#This Row],[PRIMER TRIMESTRE]:[CUARTO TRIMESTRE]])</f>
        <v>10</v>
      </c>
      <c r="J1202" s="175"/>
      <c r="K1202" s="175"/>
      <c r="L1202" s="175"/>
      <c r="M1202" s="77"/>
      <c r="N1202" s="77"/>
      <c r="O1202" s="177"/>
    </row>
    <row r="1203" spans="1:15" s="12" customFormat="1" ht="25.5">
      <c r="B1203" s="372" t="s">
        <v>96</v>
      </c>
      <c r="C1203" s="376" t="s">
        <v>2420</v>
      </c>
      <c r="D1203" s="177"/>
      <c r="E1203" s="369">
        <v>4</v>
      </c>
      <c r="F1203" s="369">
        <v>2</v>
      </c>
      <c r="G1203" s="369">
        <v>2</v>
      </c>
      <c r="H1203" s="369">
        <v>2</v>
      </c>
      <c r="I1203" s="363">
        <f>SUM(Tabla132112412[[#This Row],[PRIMER TRIMESTRE]:[CUARTO TRIMESTRE]])</f>
        <v>10</v>
      </c>
      <c r="J1203" s="175"/>
      <c r="K1203" s="175"/>
      <c r="L1203" s="175"/>
      <c r="M1203" s="77"/>
      <c r="N1203" s="77"/>
      <c r="O1203" s="177"/>
    </row>
    <row r="1204" spans="1:15" s="12" customFormat="1" ht="25.5">
      <c r="B1204" s="372" t="s">
        <v>96</v>
      </c>
      <c r="C1204" s="377" t="s">
        <v>2421</v>
      </c>
      <c r="D1204" s="177"/>
      <c r="E1204" s="378">
        <v>4</v>
      </c>
      <c r="F1204" s="369">
        <v>2</v>
      </c>
      <c r="G1204" s="369">
        <v>2</v>
      </c>
      <c r="H1204" s="369">
        <v>2</v>
      </c>
      <c r="I1204" s="363">
        <f>SUM(Tabla132112412[[#This Row],[PRIMER TRIMESTRE]:[CUARTO TRIMESTRE]])</f>
        <v>10</v>
      </c>
      <c r="J1204" s="175"/>
      <c r="K1204" s="175"/>
      <c r="L1204" s="175"/>
      <c r="M1204" s="77"/>
      <c r="N1204" s="77"/>
      <c r="O1204" s="177"/>
    </row>
    <row r="1205" spans="1:15" s="12" customFormat="1" ht="51">
      <c r="B1205" s="372" t="s">
        <v>96</v>
      </c>
      <c r="C1205" s="77" t="s">
        <v>1525</v>
      </c>
      <c r="D1205" s="177" t="s">
        <v>17</v>
      </c>
      <c r="E1205" s="370">
        <v>3</v>
      </c>
      <c r="F1205" s="370">
        <v>0</v>
      </c>
      <c r="G1205" s="370">
        <v>0</v>
      </c>
      <c r="H1205" s="370">
        <v>0</v>
      </c>
      <c r="I1205" s="363">
        <f>SUM(Tabla132112412[[#This Row],[PRIMER TRIMESTRE]:[CUARTO TRIMESTRE]])</f>
        <v>3</v>
      </c>
      <c r="J1205" s="175">
        <v>251461</v>
      </c>
      <c r="K1205" s="175">
        <f t="shared" ref="K1205:K1215" si="25">+I1205*J1205</f>
        <v>754383</v>
      </c>
      <c r="L1205" s="175"/>
      <c r="M1205" s="77" t="s">
        <v>18</v>
      </c>
      <c r="N1205" s="77" t="s">
        <v>22</v>
      </c>
      <c r="O1205" s="177"/>
    </row>
    <row r="1206" spans="1:15" s="12" customFormat="1" ht="25.5">
      <c r="B1206" s="372" t="s">
        <v>96</v>
      </c>
      <c r="C1206" s="77" t="s">
        <v>1523</v>
      </c>
      <c r="D1206" s="177" t="s">
        <v>17</v>
      </c>
      <c r="E1206" s="370">
        <v>0</v>
      </c>
      <c r="F1206" s="370">
        <v>0</v>
      </c>
      <c r="G1206" s="370">
        <v>0</v>
      </c>
      <c r="H1206" s="370">
        <v>0</v>
      </c>
      <c r="I1206" s="363">
        <f>SUM(Tabla132112412[[#This Row],[PRIMER TRIMESTRE]:[CUARTO TRIMESTRE]])</f>
        <v>0</v>
      </c>
      <c r="J1206" s="175">
        <v>11200</v>
      </c>
      <c r="K1206" s="175">
        <f t="shared" si="25"/>
        <v>0</v>
      </c>
      <c r="L1206" s="175"/>
      <c r="M1206" s="77" t="s">
        <v>18</v>
      </c>
      <c r="N1206" s="77" t="s">
        <v>22</v>
      </c>
      <c r="O1206" s="177"/>
    </row>
    <row r="1207" spans="1:15" s="12" customFormat="1" ht="25.5">
      <c r="B1207" s="372" t="s">
        <v>96</v>
      </c>
      <c r="C1207" s="77" t="s">
        <v>1758</v>
      </c>
      <c r="D1207" s="177" t="s">
        <v>17</v>
      </c>
      <c r="E1207" s="370">
        <v>0</v>
      </c>
      <c r="F1207" s="370">
        <v>0</v>
      </c>
      <c r="G1207" s="370">
        <v>0</v>
      </c>
      <c r="H1207" s="370">
        <v>0</v>
      </c>
      <c r="I1207" s="363">
        <f>SUM(Tabla132112412[[#This Row],[PRIMER TRIMESTRE]:[CUARTO TRIMESTRE]])</f>
        <v>0</v>
      </c>
      <c r="J1207" s="175">
        <v>0</v>
      </c>
      <c r="K1207" s="175">
        <v>0</v>
      </c>
      <c r="L1207" s="175"/>
      <c r="M1207" s="77" t="s">
        <v>18</v>
      </c>
      <c r="N1207" s="77" t="s">
        <v>22</v>
      </c>
      <c r="O1207" s="177"/>
    </row>
    <row r="1208" spans="1:15" s="12" customFormat="1" ht="25.5">
      <c r="B1208" s="372" t="s">
        <v>96</v>
      </c>
      <c r="C1208" s="77" t="s">
        <v>1510</v>
      </c>
      <c r="D1208" s="177" t="s">
        <v>17</v>
      </c>
      <c r="E1208" s="370">
        <v>0</v>
      </c>
      <c r="F1208" s="370">
        <v>0</v>
      </c>
      <c r="G1208" s="370">
        <v>0</v>
      </c>
      <c r="H1208" s="370">
        <v>0</v>
      </c>
      <c r="I1208" s="363">
        <f>SUM(Tabla132112412[[#This Row],[PRIMER TRIMESTRE]:[CUARTO TRIMESTRE]])</f>
        <v>0</v>
      </c>
      <c r="J1208" s="175">
        <v>250</v>
      </c>
      <c r="K1208" s="175">
        <f t="shared" si="25"/>
        <v>0</v>
      </c>
      <c r="L1208" s="175"/>
      <c r="M1208" s="77" t="s">
        <v>18</v>
      </c>
      <c r="N1208" s="77" t="s">
        <v>22</v>
      </c>
      <c r="O1208" s="177"/>
    </row>
    <row r="1209" spans="1:15" s="12" customFormat="1" ht="25.5">
      <c r="B1209" s="372" t="s">
        <v>96</v>
      </c>
      <c r="C1209" s="77" t="s">
        <v>1611</v>
      </c>
      <c r="D1209" s="177" t="s">
        <v>17</v>
      </c>
      <c r="E1209" s="370">
        <v>0</v>
      </c>
      <c r="F1209" s="370">
        <v>0</v>
      </c>
      <c r="G1209" s="370">
        <v>0</v>
      </c>
      <c r="H1209" s="370">
        <v>0</v>
      </c>
      <c r="I1209" s="363">
        <f>SUM(Tabla132112412[[#This Row],[PRIMER TRIMESTRE]:[CUARTO TRIMESTRE]])</f>
        <v>0</v>
      </c>
      <c r="J1209" s="175">
        <v>36000</v>
      </c>
      <c r="K1209" s="175">
        <f t="shared" si="25"/>
        <v>0</v>
      </c>
      <c r="L1209" s="175"/>
      <c r="M1209" s="77" t="s">
        <v>18</v>
      </c>
      <c r="N1209" s="77" t="s">
        <v>22</v>
      </c>
      <c r="O1209" s="177"/>
    </row>
    <row r="1210" spans="1:15" s="12" customFormat="1" ht="25.5">
      <c r="B1210" s="372" t="s">
        <v>96</v>
      </c>
      <c r="C1210" s="77" t="s">
        <v>1714</v>
      </c>
      <c r="D1210" s="177" t="s">
        <v>17</v>
      </c>
      <c r="E1210" s="370">
        <v>0</v>
      </c>
      <c r="F1210" s="370">
        <v>0</v>
      </c>
      <c r="G1210" s="370">
        <v>0</v>
      </c>
      <c r="H1210" s="370">
        <v>0</v>
      </c>
      <c r="I1210" s="363">
        <f>SUM(Tabla132112412[[#This Row],[PRIMER TRIMESTRE]:[CUARTO TRIMESTRE]])</f>
        <v>0</v>
      </c>
      <c r="J1210" s="175">
        <v>0</v>
      </c>
      <c r="K1210" s="175">
        <v>0</v>
      </c>
      <c r="L1210" s="175"/>
      <c r="M1210" s="77" t="s">
        <v>18</v>
      </c>
      <c r="N1210" s="77" t="s">
        <v>22</v>
      </c>
      <c r="O1210" s="177"/>
    </row>
    <row r="1211" spans="1:15" s="12" customFormat="1" ht="25.5">
      <c r="B1211" s="372" t="s">
        <v>96</v>
      </c>
      <c r="C1211" s="77" t="s">
        <v>1744</v>
      </c>
      <c r="D1211" s="177" t="s">
        <v>17</v>
      </c>
      <c r="E1211" s="370">
        <v>0</v>
      </c>
      <c r="F1211" s="370">
        <v>0</v>
      </c>
      <c r="G1211" s="370">
        <v>0</v>
      </c>
      <c r="H1211" s="370">
        <v>0</v>
      </c>
      <c r="I1211" s="363">
        <f>SUM(Tabla132112412[[#This Row],[PRIMER TRIMESTRE]:[CUARTO TRIMESTRE]])</f>
        <v>0</v>
      </c>
      <c r="J1211" s="175">
        <v>6950</v>
      </c>
      <c r="K1211" s="175">
        <f>Tabla132112412[[#This Row],[PRECIO UNITARIO ESTIMADO]]*Tabla132112412[[#This Row],[CANTIDAD TOTAL]]</f>
        <v>0</v>
      </c>
      <c r="L1211" s="175"/>
      <c r="M1211" s="77" t="s">
        <v>18</v>
      </c>
      <c r="N1211" s="77" t="s">
        <v>22</v>
      </c>
      <c r="O1211" s="177"/>
    </row>
    <row r="1212" spans="1:15" s="12" customFormat="1" ht="25.5">
      <c r="B1212" s="372" t="s">
        <v>96</v>
      </c>
      <c r="C1212" s="367" t="s">
        <v>2422</v>
      </c>
      <c r="D1212" s="177"/>
      <c r="E1212" s="368">
        <v>60</v>
      </c>
      <c r="F1212" s="369">
        <v>30</v>
      </c>
      <c r="G1212" s="369">
        <v>30</v>
      </c>
      <c r="H1212" s="369">
        <v>30</v>
      </c>
      <c r="I1212" s="363">
        <f>SUM(Tabla132112412[[#This Row],[PRIMER TRIMESTRE]:[CUARTO TRIMESTRE]])</f>
        <v>150</v>
      </c>
      <c r="J1212" s="175"/>
      <c r="K1212" s="175"/>
      <c r="L1212" s="175"/>
      <c r="M1212" s="77"/>
      <c r="N1212" s="77"/>
      <c r="O1212" s="177"/>
    </row>
    <row r="1213" spans="1:15" s="12" customFormat="1" ht="25.5">
      <c r="B1213" s="372" t="s">
        <v>96</v>
      </c>
      <c r="C1213" s="367" t="s">
        <v>2423</v>
      </c>
      <c r="D1213" s="177"/>
      <c r="E1213" s="368">
        <v>60</v>
      </c>
      <c r="F1213" s="369">
        <v>30</v>
      </c>
      <c r="G1213" s="369">
        <v>30</v>
      </c>
      <c r="H1213" s="369">
        <v>30</v>
      </c>
      <c r="I1213" s="363">
        <f>SUM(Tabla132112412[[#This Row],[PRIMER TRIMESTRE]:[CUARTO TRIMESTRE]])</f>
        <v>150</v>
      </c>
      <c r="J1213" s="175"/>
      <c r="K1213" s="175"/>
      <c r="L1213" s="175"/>
      <c r="M1213" s="77"/>
      <c r="N1213" s="77"/>
      <c r="O1213" s="177"/>
    </row>
    <row r="1214" spans="1:15" s="26" customFormat="1" ht="25.5">
      <c r="A1214" s="12"/>
      <c r="B1214" s="372" t="s">
        <v>96</v>
      </c>
      <c r="C1214" s="77" t="s">
        <v>1521</v>
      </c>
      <c r="D1214" s="177" t="s">
        <v>17</v>
      </c>
      <c r="E1214" s="370">
        <v>0</v>
      </c>
      <c r="F1214" s="370">
        <v>0</v>
      </c>
      <c r="G1214" s="370">
        <v>0</v>
      </c>
      <c r="H1214" s="370">
        <v>0</v>
      </c>
      <c r="I1214" s="363">
        <f>SUM(Tabla132112412[[#This Row],[PRIMER TRIMESTRE]:[CUARTO TRIMESTRE]])</f>
        <v>0</v>
      </c>
      <c r="J1214" s="175">
        <v>109000</v>
      </c>
      <c r="K1214" s="175">
        <f t="shared" si="25"/>
        <v>0</v>
      </c>
      <c r="L1214" s="175"/>
      <c r="M1214" s="77" t="s">
        <v>18</v>
      </c>
      <c r="N1214" s="77" t="s">
        <v>22</v>
      </c>
      <c r="O1214" s="177"/>
    </row>
    <row r="1215" spans="1:15" s="12" customFormat="1" ht="25.5">
      <c r="B1215" s="372" t="s">
        <v>96</v>
      </c>
      <c r="C1215" s="77" t="s">
        <v>1522</v>
      </c>
      <c r="D1215" s="177" t="s">
        <v>17</v>
      </c>
      <c r="E1215" s="370">
        <v>0</v>
      </c>
      <c r="F1215" s="370">
        <v>0</v>
      </c>
      <c r="G1215" s="370">
        <v>0</v>
      </c>
      <c r="H1215" s="370">
        <v>0</v>
      </c>
      <c r="I1215" s="363">
        <f>SUM(Tabla132112412[[#This Row],[PRIMER TRIMESTRE]:[CUARTO TRIMESTRE]])</f>
        <v>0</v>
      </c>
      <c r="J1215" s="175">
        <v>2760</v>
      </c>
      <c r="K1215" s="175">
        <f t="shared" si="25"/>
        <v>0</v>
      </c>
      <c r="L1215" s="175"/>
      <c r="M1215" s="77" t="s">
        <v>18</v>
      </c>
      <c r="N1215" s="77" t="s">
        <v>22</v>
      </c>
      <c r="O1215" s="177"/>
    </row>
    <row r="1216" spans="1:15" s="12" customFormat="1" ht="25.5">
      <c r="B1216" s="476" t="s">
        <v>96</v>
      </c>
      <c r="C1216" s="453"/>
      <c r="D1216" s="177"/>
      <c r="E1216" s="370"/>
      <c r="F1216" s="370"/>
      <c r="G1216" s="370"/>
      <c r="H1216" s="370"/>
      <c r="I1216" s="363">
        <f>SUM(Tabla132112412[[#This Row],[PRIMER TRIMESTRE]:[CUARTO TRIMESTRE]])</f>
        <v>0</v>
      </c>
      <c r="J1216" s="175"/>
      <c r="K1216" s="175"/>
      <c r="L1216" s="451">
        <f>SUM(K913:K1215)</f>
        <v>42918070.200000003</v>
      </c>
      <c r="M1216" s="77"/>
      <c r="N1216" s="77"/>
      <c r="O1216" s="177"/>
    </row>
    <row r="1217" spans="2:15" s="12" customFormat="1" ht="18">
      <c r="B1217" s="372" t="s">
        <v>97</v>
      </c>
      <c r="C1217" s="77" t="s">
        <v>1855</v>
      </c>
      <c r="D1217" s="177" t="s">
        <v>17</v>
      </c>
      <c r="E1217" s="370">
        <v>1</v>
      </c>
      <c r="F1217" s="370">
        <v>0</v>
      </c>
      <c r="G1217" s="370">
        <v>1</v>
      </c>
      <c r="H1217" s="370">
        <v>0</v>
      </c>
      <c r="I1217" s="363">
        <f>SUM(Tabla132112412[[#This Row],[PRIMER TRIMESTRE]:[CUARTO TRIMESTRE]])</f>
        <v>2</v>
      </c>
      <c r="J1217" s="175">
        <v>0</v>
      </c>
      <c r="K1217" s="175">
        <v>0</v>
      </c>
      <c r="L1217" s="77"/>
      <c r="M1217" s="77" t="s">
        <v>18</v>
      </c>
      <c r="N1217" s="77" t="s">
        <v>22</v>
      </c>
      <c r="O1217" s="177"/>
    </row>
    <row r="1218" spans="2:15" s="12" customFormat="1" ht="25.5">
      <c r="B1218" s="372" t="s">
        <v>97</v>
      </c>
      <c r="C1218" s="77" t="s">
        <v>1681</v>
      </c>
      <c r="D1218" s="177" t="s">
        <v>17</v>
      </c>
      <c r="E1218" s="370">
        <v>1</v>
      </c>
      <c r="F1218" s="370">
        <v>0</v>
      </c>
      <c r="G1218" s="370">
        <v>0</v>
      </c>
      <c r="H1218" s="370">
        <v>0</v>
      </c>
      <c r="I1218" s="363">
        <f>SUM(Tabla132112412[[#This Row],[PRIMER TRIMESTRE]:[CUARTO TRIMESTRE]])</f>
        <v>1</v>
      </c>
      <c r="J1218" s="175">
        <v>0</v>
      </c>
      <c r="K1218" s="175">
        <v>0</v>
      </c>
      <c r="L1218" s="175"/>
      <c r="M1218" s="77" t="s">
        <v>18</v>
      </c>
      <c r="N1218" s="77" t="s">
        <v>22</v>
      </c>
      <c r="O1218" s="177"/>
    </row>
    <row r="1219" spans="2:15" s="12" customFormat="1" ht="18">
      <c r="B1219" s="372" t="s">
        <v>97</v>
      </c>
      <c r="C1219" s="77" t="s">
        <v>227</v>
      </c>
      <c r="D1219" s="177" t="s">
        <v>17</v>
      </c>
      <c r="E1219" s="370">
        <v>10</v>
      </c>
      <c r="F1219" s="370">
        <v>10</v>
      </c>
      <c r="G1219" s="370">
        <v>10</v>
      </c>
      <c r="H1219" s="370">
        <v>10</v>
      </c>
      <c r="I1219" s="363">
        <f>SUM(Tabla132112412[[#This Row],[PRIMER TRIMESTRE]:[CUARTO TRIMESTRE]])</f>
        <v>40</v>
      </c>
      <c r="J1219" s="175">
        <v>110.2</v>
      </c>
      <c r="K1219" s="175">
        <f>+Tabla132112412[[#This Row],[CANTIDAD TOTAL]]*Tabla132112412[[#This Row],[PRECIO UNITARIO ESTIMADO]]</f>
        <v>4408</v>
      </c>
      <c r="L1219" s="175"/>
      <c r="M1219" s="77" t="s">
        <v>18</v>
      </c>
      <c r="N1219" s="77" t="s">
        <v>22</v>
      </c>
      <c r="O1219" s="177"/>
    </row>
    <row r="1220" spans="2:15" s="12" customFormat="1" ht="18">
      <c r="B1220" s="372" t="s">
        <v>97</v>
      </c>
      <c r="C1220" s="77" t="s">
        <v>1235</v>
      </c>
      <c r="D1220" s="177" t="s">
        <v>17</v>
      </c>
      <c r="E1220" s="370">
        <v>35</v>
      </c>
      <c r="F1220" s="370">
        <v>25</v>
      </c>
      <c r="G1220" s="370">
        <v>25</v>
      </c>
      <c r="H1220" s="370">
        <v>25</v>
      </c>
      <c r="I1220" s="363">
        <f>SUM(Tabla132112412[[#This Row],[PRIMER TRIMESTRE]:[CUARTO TRIMESTRE]])</f>
        <v>110</v>
      </c>
      <c r="J1220" s="175">
        <v>156.5</v>
      </c>
      <c r="K1220" s="175">
        <f t="shared" ref="K1220:K1227" si="26">+I1220*J1220</f>
        <v>17215</v>
      </c>
      <c r="L1220" s="175"/>
      <c r="M1220" s="77" t="s">
        <v>18</v>
      </c>
      <c r="N1220" s="77" t="s">
        <v>22</v>
      </c>
      <c r="O1220" s="177"/>
    </row>
    <row r="1221" spans="2:15" s="12" customFormat="1" ht="18">
      <c r="B1221" s="372" t="s">
        <v>97</v>
      </c>
      <c r="C1221" s="77" t="s">
        <v>1236</v>
      </c>
      <c r="D1221" s="177" t="s">
        <v>17</v>
      </c>
      <c r="E1221" s="370">
        <v>30</v>
      </c>
      <c r="F1221" s="370">
        <v>30</v>
      </c>
      <c r="G1221" s="370">
        <v>30</v>
      </c>
      <c r="H1221" s="370">
        <v>30</v>
      </c>
      <c r="I1221" s="363">
        <f>SUM(Tabla132112412[[#This Row],[PRIMER TRIMESTRE]:[CUARTO TRIMESTRE]])</f>
        <v>120</v>
      </c>
      <c r="J1221" s="175">
        <v>156.5</v>
      </c>
      <c r="K1221" s="175">
        <f t="shared" si="26"/>
        <v>18780</v>
      </c>
      <c r="L1221" s="175"/>
      <c r="M1221" s="77" t="s">
        <v>18</v>
      </c>
      <c r="N1221" s="77" t="s">
        <v>22</v>
      </c>
      <c r="O1221" s="177"/>
    </row>
    <row r="1222" spans="2:15" s="12" customFormat="1" ht="18">
      <c r="B1222" s="372" t="s">
        <v>97</v>
      </c>
      <c r="C1222" s="77" t="s">
        <v>1334</v>
      </c>
      <c r="D1222" s="177" t="s">
        <v>17</v>
      </c>
      <c r="E1222" s="370">
        <v>10</v>
      </c>
      <c r="F1222" s="370">
        <v>10</v>
      </c>
      <c r="G1222" s="370">
        <v>10</v>
      </c>
      <c r="H1222" s="370">
        <v>10</v>
      </c>
      <c r="I1222" s="363">
        <f>SUM(Tabla132112412[[#This Row],[PRIMER TRIMESTRE]:[CUARTO TRIMESTRE]])</f>
        <v>40</v>
      </c>
      <c r="J1222" s="175">
        <v>387.04</v>
      </c>
      <c r="K1222" s="175">
        <f t="shared" si="26"/>
        <v>15481.6</v>
      </c>
      <c r="L1222" s="175"/>
      <c r="M1222" s="77" t="s">
        <v>18</v>
      </c>
      <c r="N1222" s="77" t="s">
        <v>22</v>
      </c>
      <c r="O1222" s="177"/>
    </row>
    <row r="1223" spans="2:15" s="12" customFormat="1" ht="18">
      <c r="B1223" s="372" t="s">
        <v>97</v>
      </c>
      <c r="C1223" s="77" t="s">
        <v>1237</v>
      </c>
      <c r="D1223" s="177" t="s">
        <v>17</v>
      </c>
      <c r="E1223" s="370">
        <v>2</v>
      </c>
      <c r="F1223" s="370">
        <v>0</v>
      </c>
      <c r="G1223" s="370">
        <v>0</v>
      </c>
      <c r="H1223" s="370">
        <v>0</v>
      </c>
      <c r="I1223" s="363">
        <f>SUM(Tabla132112412[[#This Row],[PRIMER TRIMESTRE]:[CUARTO TRIMESTRE]])</f>
        <v>2</v>
      </c>
      <c r="J1223" s="175">
        <v>35000</v>
      </c>
      <c r="K1223" s="175">
        <f t="shared" si="26"/>
        <v>70000</v>
      </c>
      <c r="L1223" s="175"/>
      <c r="M1223" s="77" t="s">
        <v>18</v>
      </c>
      <c r="N1223" s="77" t="s">
        <v>22</v>
      </c>
      <c r="O1223" s="177"/>
    </row>
    <row r="1224" spans="2:15" s="12" customFormat="1" ht="18">
      <c r="B1224" s="372" t="s">
        <v>97</v>
      </c>
      <c r="C1224" s="77" t="s">
        <v>1713</v>
      </c>
      <c r="D1224" s="177" t="s">
        <v>17</v>
      </c>
      <c r="E1224" s="370">
        <v>0</v>
      </c>
      <c r="F1224" s="370">
        <v>0</v>
      </c>
      <c r="G1224" s="370">
        <v>0</v>
      </c>
      <c r="H1224" s="370">
        <v>0</v>
      </c>
      <c r="I1224" s="363">
        <f>SUM(Tabla132112412[[#This Row],[PRIMER TRIMESTRE]:[CUARTO TRIMESTRE]])</f>
        <v>0</v>
      </c>
      <c r="J1224" s="175">
        <v>0</v>
      </c>
      <c r="K1224" s="175">
        <v>0</v>
      </c>
      <c r="L1224" s="175"/>
      <c r="M1224" s="77" t="s">
        <v>18</v>
      </c>
      <c r="N1224" s="77" t="s">
        <v>22</v>
      </c>
      <c r="O1224" s="177"/>
    </row>
    <row r="1225" spans="2:15" s="12" customFormat="1" ht="18">
      <c r="B1225" s="372" t="s">
        <v>97</v>
      </c>
      <c r="C1225" s="77" t="s">
        <v>572</v>
      </c>
      <c r="D1225" s="177" t="s">
        <v>17</v>
      </c>
      <c r="E1225" s="370">
        <v>4</v>
      </c>
      <c r="F1225" s="370">
        <v>0</v>
      </c>
      <c r="G1225" s="370">
        <v>3</v>
      </c>
      <c r="H1225" s="370">
        <v>0</v>
      </c>
      <c r="I1225" s="363">
        <f>SUM(Tabla132112412[[#This Row],[PRIMER TRIMESTRE]:[CUARTO TRIMESTRE]])</f>
        <v>7</v>
      </c>
      <c r="J1225" s="175">
        <v>25000</v>
      </c>
      <c r="K1225" s="175">
        <f t="shared" si="26"/>
        <v>175000</v>
      </c>
      <c r="L1225" s="175"/>
      <c r="M1225" s="77" t="s">
        <v>18</v>
      </c>
      <c r="N1225" s="77" t="s">
        <v>22</v>
      </c>
      <c r="O1225" s="177"/>
    </row>
    <row r="1226" spans="2:15" s="12" customFormat="1" ht="18">
      <c r="B1226" s="372" t="s">
        <v>97</v>
      </c>
      <c r="C1226" s="77" t="s">
        <v>1238</v>
      </c>
      <c r="D1226" s="177" t="s">
        <v>17</v>
      </c>
      <c r="E1226" s="370">
        <v>3</v>
      </c>
      <c r="F1226" s="370">
        <v>0</v>
      </c>
      <c r="G1226" s="370">
        <v>3</v>
      </c>
      <c r="H1226" s="370">
        <v>0</v>
      </c>
      <c r="I1226" s="363">
        <f>SUM(Tabla132112412[[#This Row],[PRIMER TRIMESTRE]:[CUARTO TRIMESTRE]])</f>
        <v>6</v>
      </c>
      <c r="J1226" s="175">
        <v>25000</v>
      </c>
      <c r="K1226" s="175">
        <f t="shared" si="26"/>
        <v>150000</v>
      </c>
      <c r="L1226" s="175"/>
      <c r="M1226" s="77" t="s">
        <v>18</v>
      </c>
      <c r="N1226" s="77" t="s">
        <v>22</v>
      </c>
      <c r="O1226" s="177"/>
    </row>
    <row r="1227" spans="2:15" s="12" customFormat="1" ht="18">
      <c r="B1227" s="372" t="s">
        <v>97</v>
      </c>
      <c r="C1227" s="77" t="s">
        <v>1239</v>
      </c>
      <c r="D1227" s="177" t="s">
        <v>17</v>
      </c>
      <c r="E1227" s="370">
        <v>1</v>
      </c>
      <c r="F1227" s="370">
        <v>0</v>
      </c>
      <c r="G1227" s="370">
        <v>0</v>
      </c>
      <c r="H1227" s="370">
        <v>0</v>
      </c>
      <c r="I1227" s="363">
        <f>SUM(Tabla132112412[[#This Row],[PRIMER TRIMESTRE]:[CUARTO TRIMESTRE]])</f>
        <v>1</v>
      </c>
      <c r="J1227" s="175">
        <v>25000</v>
      </c>
      <c r="K1227" s="175">
        <f t="shared" si="26"/>
        <v>25000</v>
      </c>
      <c r="L1227" s="175"/>
      <c r="M1227" s="77" t="s">
        <v>18</v>
      </c>
      <c r="N1227" s="77" t="s">
        <v>22</v>
      </c>
      <c r="O1227" s="177"/>
    </row>
    <row r="1228" spans="2:15" s="12" customFormat="1" ht="18">
      <c r="B1228" s="372" t="s">
        <v>97</v>
      </c>
      <c r="C1228" s="77" t="s">
        <v>220</v>
      </c>
      <c r="D1228" s="177" t="s">
        <v>17</v>
      </c>
      <c r="E1228" s="370">
        <v>0</v>
      </c>
      <c r="F1228" s="370">
        <v>1</v>
      </c>
      <c r="G1228" s="370">
        <v>0</v>
      </c>
      <c r="H1228" s="370">
        <v>1</v>
      </c>
      <c r="I1228" s="363">
        <f>SUM(Tabla132112412[[#This Row],[PRIMER TRIMESTRE]:[CUARTO TRIMESTRE]])</f>
        <v>2</v>
      </c>
      <c r="J1228" s="175">
        <v>40165</v>
      </c>
      <c r="K1228" s="175">
        <f>+Tabla132112412[[#This Row],[CANTIDAD TOTAL]]*Tabla132112412[[#This Row],[PRECIO UNITARIO ESTIMADO]]</f>
        <v>80330</v>
      </c>
      <c r="L1228" s="175"/>
      <c r="M1228" s="77" t="s">
        <v>18</v>
      </c>
      <c r="N1228" s="77" t="s">
        <v>22</v>
      </c>
      <c r="O1228" s="177"/>
    </row>
    <row r="1229" spans="2:15" s="12" customFormat="1" ht="18">
      <c r="B1229" s="372" t="s">
        <v>97</v>
      </c>
      <c r="C1229" s="77" t="s">
        <v>213</v>
      </c>
      <c r="D1229" s="177" t="s">
        <v>17</v>
      </c>
      <c r="E1229" s="370">
        <v>0</v>
      </c>
      <c r="F1229" s="370">
        <v>4</v>
      </c>
      <c r="G1229" s="370">
        <v>0</v>
      </c>
      <c r="H1229" s="370">
        <v>4</v>
      </c>
      <c r="I1229" s="363">
        <f>SUM(Tabla132112412[[#This Row],[PRIMER TRIMESTRE]:[CUARTO TRIMESTRE]])</f>
        <v>8</v>
      </c>
      <c r="J1229" s="175">
        <v>30999.38</v>
      </c>
      <c r="K1229" s="175">
        <f>+Tabla132112412[[#This Row],[CANTIDAD TOTAL]]*Tabla132112412[[#This Row],[PRECIO UNITARIO ESTIMADO]]</f>
        <v>247995.04</v>
      </c>
      <c r="L1229" s="175"/>
      <c r="M1229" s="77" t="s">
        <v>18</v>
      </c>
      <c r="N1229" s="77" t="s">
        <v>22</v>
      </c>
      <c r="O1229" s="177"/>
    </row>
    <row r="1230" spans="2:15" s="12" customFormat="1" ht="18">
      <c r="B1230" s="372" t="s">
        <v>97</v>
      </c>
      <c r="C1230" s="77" t="s">
        <v>226</v>
      </c>
      <c r="D1230" s="177" t="s">
        <v>17</v>
      </c>
      <c r="E1230" s="370">
        <v>0</v>
      </c>
      <c r="F1230" s="370">
        <v>3</v>
      </c>
      <c r="G1230" s="370">
        <v>0</v>
      </c>
      <c r="H1230" s="370">
        <v>4</v>
      </c>
      <c r="I1230" s="363">
        <f>SUM(Tabla132112412[[#This Row],[PRIMER TRIMESTRE]:[CUARTO TRIMESTRE]])</f>
        <v>7</v>
      </c>
      <c r="J1230" s="175">
        <v>14929.2</v>
      </c>
      <c r="K1230" s="175">
        <f>+Tabla132112412[[#This Row],[CANTIDAD TOTAL]]*Tabla132112412[[#This Row],[PRECIO UNITARIO ESTIMADO]]</f>
        <v>104504.40000000001</v>
      </c>
      <c r="L1230" s="175"/>
      <c r="M1230" s="77" t="s">
        <v>18</v>
      </c>
      <c r="N1230" s="77" t="s">
        <v>22</v>
      </c>
      <c r="O1230" s="177"/>
    </row>
    <row r="1231" spans="2:15" s="12" customFormat="1" ht="18">
      <c r="B1231" s="372" t="s">
        <v>97</v>
      </c>
      <c r="C1231" s="77" t="s">
        <v>2424</v>
      </c>
      <c r="D1231" s="177" t="s">
        <v>17</v>
      </c>
      <c r="E1231" s="365">
        <v>2</v>
      </c>
      <c r="F1231" s="365"/>
      <c r="G1231" s="365"/>
      <c r="H1231" s="365"/>
      <c r="I1231" s="363">
        <f>SUM(Tabla132112412[[#This Row],[PRIMER TRIMESTRE]:[CUARTO TRIMESTRE]])</f>
        <v>2</v>
      </c>
      <c r="J1231" s="175"/>
      <c r="K1231" s="175"/>
      <c r="L1231" s="175"/>
      <c r="M1231" s="77"/>
      <c r="N1231" s="77"/>
      <c r="O1231" s="177"/>
    </row>
    <row r="1232" spans="2:15" s="12" customFormat="1" ht="38.25">
      <c r="B1232" s="372" t="s">
        <v>97</v>
      </c>
      <c r="C1232" s="77" t="s">
        <v>1696</v>
      </c>
      <c r="D1232" s="177" t="s">
        <v>17</v>
      </c>
      <c r="E1232" s="370">
        <v>0</v>
      </c>
      <c r="F1232" s="370">
        <v>0</v>
      </c>
      <c r="G1232" s="370">
        <v>0</v>
      </c>
      <c r="H1232" s="370">
        <v>0</v>
      </c>
      <c r="I1232" s="363">
        <f>SUM(Tabla132112412[[#This Row],[PRIMER TRIMESTRE]:[CUARTO TRIMESTRE]])</f>
        <v>0</v>
      </c>
      <c r="J1232" s="175">
        <v>0</v>
      </c>
      <c r="K1232" s="175">
        <v>0</v>
      </c>
      <c r="L1232" s="175"/>
      <c r="M1232" s="77" t="s">
        <v>18</v>
      </c>
      <c r="N1232" s="77" t="s">
        <v>22</v>
      </c>
      <c r="O1232" s="177"/>
    </row>
    <row r="1233" spans="2:15" s="12" customFormat="1" ht="38.25">
      <c r="B1233" s="372" t="s">
        <v>97</v>
      </c>
      <c r="C1233" s="77" t="s">
        <v>1697</v>
      </c>
      <c r="D1233" s="177" t="s">
        <v>17</v>
      </c>
      <c r="E1233" s="370">
        <v>0</v>
      </c>
      <c r="F1233" s="370">
        <v>0</v>
      </c>
      <c r="G1233" s="370">
        <v>0</v>
      </c>
      <c r="H1233" s="370">
        <v>0</v>
      </c>
      <c r="I1233" s="363">
        <f>SUM(Tabla132112412[[#This Row],[PRIMER TRIMESTRE]:[CUARTO TRIMESTRE]])</f>
        <v>0</v>
      </c>
      <c r="J1233" s="175">
        <v>0</v>
      </c>
      <c r="K1233" s="175">
        <v>0</v>
      </c>
      <c r="L1233" s="175"/>
      <c r="M1233" s="77" t="s">
        <v>18</v>
      </c>
      <c r="N1233" s="77" t="s">
        <v>22</v>
      </c>
      <c r="O1233" s="177"/>
    </row>
    <row r="1234" spans="2:15" s="12" customFormat="1" ht="38.25">
      <c r="B1234" s="372" t="s">
        <v>97</v>
      </c>
      <c r="C1234" s="77" t="s">
        <v>1698</v>
      </c>
      <c r="D1234" s="177" t="s">
        <v>17</v>
      </c>
      <c r="E1234" s="370">
        <v>0</v>
      </c>
      <c r="F1234" s="370">
        <v>0</v>
      </c>
      <c r="G1234" s="370">
        <v>0</v>
      </c>
      <c r="H1234" s="370">
        <v>0</v>
      </c>
      <c r="I1234" s="363">
        <f>SUM(Tabla132112412[[#This Row],[PRIMER TRIMESTRE]:[CUARTO TRIMESTRE]])</f>
        <v>0</v>
      </c>
      <c r="J1234" s="175">
        <v>0</v>
      </c>
      <c r="K1234" s="175">
        <v>0</v>
      </c>
      <c r="L1234" s="175"/>
      <c r="M1234" s="77" t="s">
        <v>18</v>
      </c>
      <c r="N1234" s="77" t="s">
        <v>22</v>
      </c>
      <c r="O1234" s="177"/>
    </row>
    <row r="1235" spans="2:15" s="12" customFormat="1" ht="18">
      <c r="B1235" s="372" t="s">
        <v>97</v>
      </c>
      <c r="C1235" s="77" t="s">
        <v>212</v>
      </c>
      <c r="D1235" s="177" t="s">
        <v>17</v>
      </c>
      <c r="E1235" s="370">
        <v>0</v>
      </c>
      <c r="F1235" s="370">
        <v>1</v>
      </c>
      <c r="G1235" s="370">
        <v>0</v>
      </c>
      <c r="H1235" s="370">
        <v>0</v>
      </c>
      <c r="I1235" s="363">
        <f>SUM(Tabla132112412[[#This Row],[PRIMER TRIMESTRE]:[CUARTO TRIMESTRE]])</f>
        <v>1</v>
      </c>
      <c r="J1235" s="175">
        <v>280500</v>
      </c>
      <c r="K1235" s="175">
        <f>+Tabla132112412[[#This Row],[CANTIDAD TOTAL]]*Tabla132112412[[#This Row],[PRECIO UNITARIO ESTIMADO]]</f>
        <v>280500</v>
      </c>
      <c r="L1235" s="175"/>
      <c r="M1235" s="77" t="s">
        <v>18</v>
      </c>
      <c r="N1235" s="77" t="s">
        <v>22</v>
      </c>
      <c r="O1235" s="177"/>
    </row>
    <row r="1236" spans="2:15" s="12" customFormat="1" ht="18">
      <c r="B1236" s="372" t="s">
        <v>97</v>
      </c>
      <c r="C1236" s="77" t="s">
        <v>214</v>
      </c>
      <c r="D1236" s="177" t="s">
        <v>17</v>
      </c>
      <c r="E1236" s="370">
        <v>0</v>
      </c>
      <c r="F1236" s="370">
        <v>1</v>
      </c>
      <c r="G1236" s="370">
        <v>0</v>
      </c>
      <c r="H1236" s="370">
        <v>1</v>
      </c>
      <c r="I1236" s="363">
        <f>SUM(Tabla132112412[[#This Row],[PRIMER TRIMESTRE]:[CUARTO TRIMESTRE]])</f>
        <v>2</v>
      </c>
      <c r="J1236" s="175">
        <v>62762.6</v>
      </c>
      <c r="K1236" s="175">
        <f>+Tabla132112412[[#This Row],[CANTIDAD TOTAL]]*Tabla132112412[[#This Row],[PRECIO UNITARIO ESTIMADO]]</f>
        <v>125525.2</v>
      </c>
      <c r="L1236" s="175"/>
      <c r="M1236" s="77" t="s">
        <v>18</v>
      </c>
      <c r="N1236" s="77" t="s">
        <v>22</v>
      </c>
      <c r="O1236" s="177"/>
    </row>
    <row r="1237" spans="2:15" s="12" customFormat="1" ht="18">
      <c r="B1237" s="372" t="s">
        <v>97</v>
      </c>
      <c r="C1237" s="77" t="s">
        <v>215</v>
      </c>
      <c r="D1237" s="177" t="s">
        <v>17</v>
      </c>
      <c r="E1237" s="370">
        <v>0</v>
      </c>
      <c r="F1237" s="370">
        <v>6</v>
      </c>
      <c r="G1237" s="370">
        <v>0</v>
      </c>
      <c r="H1237" s="370">
        <v>5</v>
      </c>
      <c r="I1237" s="363">
        <f>SUM(Tabla132112412[[#This Row],[PRIMER TRIMESTRE]:[CUARTO TRIMESTRE]])</f>
        <v>11</v>
      </c>
      <c r="J1237" s="175">
        <v>14453.6</v>
      </c>
      <c r="K1237" s="175">
        <f>+Tabla132112412[[#This Row],[CANTIDAD TOTAL]]*Tabla132112412[[#This Row],[PRECIO UNITARIO ESTIMADO]]</f>
        <v>158989.6</v>
      </c>
      <c r="L1237" s="175"/>
      <c r="M1237" s="77" t="s">
        <v>18</v>
      </c>
      <c r="N1237" s="77" t="s">
        <v>22</v>
      </c>
      <c r="O1237" s="177"/>
    </row>
    <row r="1238" spans="2:15" s="12" customFormat="1" ht="18">
      <c r="B1238" s="372" t="s">
        <v>97</v>
      </c>
      <c r="C1238" s="77" t="s">
        <v>216</v>
      </c>
      <c r="D1238" s="177" t="s">
        <v>17</v>
      </c>
      <c r="E1238" s="370">
        <v>0</v>
      </c>
      <c r="F1238" s="370">
        <v>1</v>
      </c>
      <c r="G1238" s="370">
        <v>0</v>
      </c>
      <c r="H1238" s="370">
        <v>0</v>
      </c>
      <c r="I1238" s="363">
        <f>SUM(Tabla132112412[[#This Row],[PRIMER TRIMESTRE]:[CUARTO TRIMESTRE]])</f>
        <v>1</v>
      </c>
      <c r="J1238" s="175">
        <v>58701.8</v>
      </c>
      <c r="K1238" s="175">
        <f>+Tabla132112412[[#This Row],[CANTIDAD TOTAL]]*Tabla132112412[[#This Row],[PRECIO UNITARIO ESTIMADO]]</f>
        <v>58701.8</v>
      </c>
      <c r="L1238" s="175"/>
      <c r="M1238" s="77" t="s">
        <v>18</v>
      </c>
      <c r="N1238" s="77" t="s">
        <v>22</v>
      </c>
      <c r="O1238" s="177"/>
    </row>
    <row r="1239" spans="2:15" s="12" customFormat="1" ht="25.5">
      <c r="B1239" s="372" t="s">
        <v>97</v>
      </c>
      <c r="C1239" s="77" t="s">
        <v>217</v>
      </c>
      <c r="D1239" s="177" t="s">
        <v>17</v>
      </c>
      <c r="E1239" s="370">
        <v>0</v>
      </c>
      <c r="F1239" s="370">
        <v>1</v>
      </c>
      <c r="G1239" s="370">
        <v>0</v>
      </c>
      <c r="H1239" s="370">
        <v>1</v>
      </c>
      <c r="I1239" s="363">
        <f>SUM(Tabla132112412[[#This Row],[PRIMER TRIMESTRE]:[CUARTO TRIMESTRE]])</f>
        <v>2</v>
      </c>
      <c r="J1239" s="175">
        <v>36540</v>
      </c>
      <c r="K1239" s="175">
        <f>+Tabla132112412[[#This Row],[CANTIDAD TOTAL]]*Tabla132112412[[#This Row],[PRECIO UNITARIO ESTIMADO]]</f>
        <v>73080</v>
      </c>
      <c r="L1239" s="175"/>
      <c r="M1239" s="77" t="s">
        <v>18</v>
      </c>
      <c r="N1239" s="77" t="s">
        <v>22</v>
      </c>
      <c r="O1239" s="177"/>
    </row>
    <row r="1240" spans="2:15" s="12" customFormat="1" ht="25.5">
      <c r="B1240" s="372" t="s">
        <v>97</v>
      </c>
      <c r="C1240" s="77" t="s">
        <v>218</v>
      </c>
      <c r="D1240" s="177" t="s">
        <v>17</v>
      </c>
      <c r="E1240" s="370">
        <v>0</v>
      </c>
      <c r="F1240" s="370">
        <v>1</v>
      </c>
      <c r="G1240" s="370">
        <v>0</v>
      </c>
      <c r="H1240" s="370">
        <v>0</v>
      </c>
      <c r="I1240" s="363">
        <f>SUM(Tabla132112412[[#This Row],[PRIMER TRIMESTRE]:[CUARTO TRIMESTRE]])</f>
        <v>1</v>
      </c>
      <c r="J1240" s="175">
        <v>60262</v>
      </c>
      <c r="K1240" s="175">
        <f>+Tabla132112412[[#This Row],[CANTIDAD TOTAL]]*Tabla132112412[[#This Row],[PRECIO UNITARIO ESTIMADO]]</f>
        <v>60262</v>
      </c>
      <c r="L1240" s="175"/>
      <c r="M1240" s="77" t="s">
        <v>18</v>
      </c>
      <c r="N1240" s="77" t="s">
        <v>22</v>
      </c>
      <c r="O1240" s="177"/>
    </row>
    <row r="1241" spans="2:15" s="12" customFormat="1" ht="25.5">
      <c r="B1241" s="372" t="s">
        <v>97</v>
      </c>
      <c r="C1241" s="77" t="s">
        <v>219</v>
      </c>
      <c r="D1241" s="177" t="s">
        <v>17</v>
      </c>
      <c r="E1241" s="370">
        <v>0</v>
      </c>
      <c r="F1241" s="370">
        <v>2</v>
      </c>
      <c r="G1241" s="370">
        <v>0</v>
      </c>
      <c r="H1241" s="370">
        <v>2</v>
      </c>
      <c r="I1241" s="363">
        <f>SUM(Tabla132112412[[#This Row],[PRIMER TRIMESTRE]:[CUARTO TRIMESTRE]])</f>
        <v>4</v>
      </c>
      <c r="J1241" s="175">
        <v>59757.4</v>
      </c>
      <c r="K1241" s="175">
        <f>+Tabla132112412[[#This Row],[CANTIDAD TOTAL]]*Tabla132112412[[#This Row],[PRECIO UNITARIO ESTIMADO]]</f>
        <v>239029.6</v>
      </c>
      <c r="L1241" s="175"/>
      <c r="M1241" s="77" t="s">
        <v>18</v>
      </c>
      <c r="N1241" s="77" t="s">
        <v>22</v>
      </c>
      <c r="O1241" s="177"/>
    </row>
    <row r="1242" spans="2:15" s="12" customFormat="1" ht="18">
      <c r="B1242" s="372" t="s">
        <v>97</v>
      </c>
      <c r="C1242" s="77" t="s">
        <v>221</v>
      </c>
      <c r="D1242" s="177" t="s">
        <v>17</v>
      </c>
      <c r="E1242" s="365"/>
      <c r="F1242" s="365">
        <v>1</v>
      </c>
      <c r="G1242" s="365"/>
      <c r="H1242" s="365">
        <v>1</v>
      </c>
      <c r="I1242" s="363">
        <f>SUM(Tabla132112412[[#This Row],[PRIMER TRIMESTRE]:[CUARTO TRIMESTRE]])</f>
        <v>2</v>
      </c>
      <c r="J1242" s="175"/>
      <c r="K1242" s="175"/>
      <c r="L1242" s="175"/>
      <c r="M1242" s="77"/>
      <c r="N1242" s="77"/>
      <c r="O1242" s="177"/>
    </row>
    <row r="1243" spans="2:15" s="12" customFormat="1" ht="25.5">
      <c r="B1243" s="372" t="s">
        <v>97</v>
      </c>
      <c r="C1243" s="77" t="s">
        <v>222</v>
      </c>
      <c r="D1243" s="177" t="s">
        <v>17</v>
      </c>
      <c r="E1243" s="365"/>
      <c r="F1243" s="365">
        <v>1</v>
      </c>
      <c r="G1243" s="365"/>
      <c r="H1243" s="365">
        <v>2</v>
      </c>
      <c r="I1243" s="363">
        <f>SUM(Tabla132112412[[#This Row],[PRIMER TRIMESTRE]:[CUARTO TRIMESTRE]])</f>
        <v>3</v>
      </c>
      <c r="J1243" s="175"/>
      <c r="K1243" s="175"/>
      <c r="L1243" s="175"/>
      <c r="M1243" s="77"/>
      <c r="N1243" s="77"/>
      <c r="O1243" s="177"/>
    </row>
    <row r="1244" spans="2:15" s="12" customFormat="1" ht="25.5">
      <c r="B1244" s="372" t="s">
        <v>97</v>
      </c>
      <c r="C1244" s="77" t="s">
        <v>223</v>
      </c>
      <c r="D1244" s="177" t="s">
        <v>17</v>
      </c>
      <c r="E1244" s="378"/>
      <c r="F1244" s="365">
        <v>1</v>
      </c>
      <c r="G1244" s="365"/>
      <c r="H1244" s="365">
        <v>3</v>
      </c>
      <c r="I1244" s="363">
        <f>SUM(Tabla132112412[[#This Row],[PRIMER TRIMESTRE]:[CUARTO TRIMESTRE]])</f>
        <v>4</v>
      </c>
      <c r="J1244" s="175"/>
      <c r="K1244" s="175"/>
      <c r="L1244" s="175"/>
      <c r="M1244" s="77"/>
      <c r="N1244" s="77"/>
      <c r="O1244" s="177"/>
    </row>
    <row r="1245" spans="2:15" s="12" customFormat="1" ht="18">
      <c r="B1245" s="372" t="s">
        <v>97</v>
      </c>
      <c r="C1245" s="77" t="s">
        <v>224</v>
      </c>
      <c r="D1245" s="177" t="s">
        <v>17</v>
      </c>
      <c r="E1245" s="365"/>
      <c r="F1245" s="365">
        <v>1</v>
      </c>
      <c r="G1245" s="365"/>
      <c r="H1245" s="365"/>
      <c r="I1245" s="363">
        <f>SUM(Tabla132112412[[#This Row],[PRIMER TRIMESTRE]:[CUARTO TRIMESTRE]])</f>
        <v>1</v>
      </c>
      <c r="J1245" s="175"/>
      <c r="K1245" s="175"/>
      <c r="L1245" s="175"/>
      <c r="M1245" s="77"/>
      <c r="N1245" s="77"/>
      <c r="O1245" s="177"/>
    </row>
    <row r="1246" spans="2:15" s="12" customFormat="1" ht="18">
      <c r="B1246" s="372" t="s">
        <v>97</v>
      </c>
      <c r="C1246" s="77" t="s">
        <v>225</v>
      </c>
      <c r="D1246" s="177" t="s">
        <v>17</v>
      </c>
      <c r="E1246" s="365"/>
      <c r="F1246" s="365">
        <v>1</v>
      </c>
      <c r="G1246" s="365"/>
      <c r="H1246" s="365"/>
      <c r="I1246" s="363">
        <f>SUM(Tabla132112412[[#This Row],[PRIMER TRIMESTRE]:[CUARTO TRIMESTRE]])</f>
        <v>1</v>
      </c>
      <c r="J1246" s="175"/>
      <c r="K1246" s="175"/>
      <c r="L1246" s="175"/>
      <c r="M1246" s="77"/>
      <c r="N1246" s="77"/>
      <c r="O1246" s="177"/>
    </row>
    <row r="1247" spans="2:15" s="12" customFormat="1" ht="51">
      <c r="B1247" s="372" t="s">
        <v>97</v>
      </c>
      <c r="C1247" s="77" t="s">
        <v>1765</v>
      </c>
      <c r="D1247" s="177" t="s">
        <v>17</v>
      </c>
      <c r="E1247" s="370">
        <v>0</v>
      </c>
      <c r="F1247" s="370">
        <v>0</v>
      </c>
      <c r="G1247" s="370">
        <v>0</v>
      </c>
      <c r="H1247" s="370">
        <v>0</v>
      </c>
      <c r="I1247" s="363">
        <f>SUM(Tabla132112412[[#This Row],[PRIMER TRIMESTRE]:[CUARTO TRIMESTRE]])</f>
        <v>0</v>
      </c>
      <c r="J1247" s="175">
        <v>0</v>
      </c>
      <c r="K1247" s="175">
        <v>0</v>
      </c>
      <c r="L1247" s="175"/>
      <c r="M1247" s="77" t="s">
        <v>18</v>
      </c>
      <c r="N1247" s="77" t="s">
        <v>22</v>
      </c>
      <c r="O1247" s="177"/>
    </row>
    <row r="1248" spans="2:15" s="12" customFormat="1" ht="51">
      <c r="B1248" s="372" t="s">
        <v>97</v>
      </c>
      <c r="C1248" s="77" t="s">
        <v>1766</v>
      </c>
      <c r="D1248" s="177" t="s">
        <v>17</v>
      </c>
      <c r="E1248" s="370">
        <v>0</v>
      </c>
      <c r="F1248" s="370">
        <v>0</v>
      </c>
      <c r="G1248" s="370">
        <v>0</v>
      </c>
      <c r="H1248" s="370">
        <v>0</v>
      </c>
      <c r="I1248" s="363">
        <f>SUM(Tabla132112412[[#This Row],[PRIMER TRIMESTRE]:[CUARTO TRIMESTRE]])</f>
        <v>0</v>
      </c>
      <c r="J1248" s="175">
        <v>0</v>
      </c>
      <c r="K1248" s="175">
        <v>0</v>
      </c>
      <c r="L1248" s="175"/>
      <c r="M1248" s="77" t="s">
        <v>18</v>
      </c>
      <c r="N1248" s="77" t="s">
        <v>22</v>
      </c>
      <c r="O1248" s="177"/>
    </row>
    <row r="1249" spans="2:15" s="12" customFormat="1" ht="18">
      <c r="B1249" s="372" t="s">
        <v>97</v>
      </c>
      <c r="C1249" s="77" t="s">
        <v>317</v>
      </c>
      <c r="D1249" s="177" t="s">
        <v>17</v>
      </c>
      <c r="E1249" s="370">
        <v>5</v>
      </c>
      <c r="F1249" s="370">
        <v>0</v>
      </c>
      <c r="G1249" s="370">
        <v>0</v>
      </c>
      <c r="H1249" s="370">
        <v>0</v>
      </c>
      <c r="I1249" s="363">
        <f>SUM(Tabla132112412[[#This Row],[PRIMER TRIMESTRE]:[CUARTO TRIMESTRE]])</f>
        <v>5</v>
      </c>
      <c r="J1249" s="175">
        <f>1252664.4/5</f>
        <v>250532.87999999998</v>
      </c>
      <c r="K1249" s="175">
        <f>+Tabla132112412[[#This Row],[CANTIDAD TOTAL]]*Tabla132112412[[#This Row],[PRECIO UNITARIO ESTIMADO]]</f>
        <v>1252664.3999999999</v>
      </c>
      <c r="L1249" s="175"/>
      <c r="M1249" s="77" t="s">
        <v>18</v>
      </c>
      <c r="N1249" s="77" t="s">
        <v>22</v>
      </c>
      <c r="O1249" s="177"/>
    </row>
    <row r="1250" spans="2:15" s="12" customFormat="1" ht="18">
      <c r="B1250" s="372" t="s">
        <v>97</v>
      </c>
      <c r="C1250" s="77" t="s">
        <v>1462</v>
      </c>
      <c r="D1250" s="177" t="s">
        <v>17</v>
      </c>
      <c r="E1250" s="370">
        <v>0</v>
      </c>
      <c r="F1250" s="370">
        <v>0</v>
      </c>
      <c r="G1250" s="370">
        <v>0</v>
      </c>
      <c r="H1250" s="370">
        <v>0</v>
      </c>
      <c r="I1250" s="363">
        <f>SUM(Tabla132112412[[#This Row],[PRIMER TRIMESTRE]:[CUARTO TRIMESTRE]])</f>
        <v>0</v>
      </c>
      <c r="J1250" s="175">
        <v>250532.68</v>
      </c>
      <c r="K1250" s="175">
        <f t="shared" ref="K1250:K1279" si="27">+I1250*J1250</f>
        <v>0</v>
      </c>
      <c r="L1250" s="175"/>
      <c r="M1250" s="77" t="s">
        <v>15</v>
      </c>
      <c r="N1250" s="77" t="s">
        <v>22</v>
      </c>
      <c r="O1250" s="177"/>
    </row>
    <row r="1251" spans="2:15" s="12" customFormat="1" ht="18">
      <c r="B1251" s="372" t="s">
        <v>97</v>
      </c>
      <c r="C1251" s="77" t="s">
        <v>1240</v>
      </c>
      <c r="D1251" s="177" t="s">
        <v>17</v>
      </c>
      <c r="E1251" s="370">
        <v>0</v>
      </c>
      <c r="F1251" s="370">
        <v>0</v>
      </c>
      <c r="G1251" s="370">
        <v>0</v>
      </c>
      <c r="H1251" s="370">
        <v>0</v>
      </c>
      <c r="I1251" s="363">
        <f>SUM(Tabla132112412[[#This Row],[PRIMER TRIMESTRE]:[CUARTO TRIMESTRE]])</f>
        <v>0</v>
      </c>
      <c r="J1251" s="175">
        <v>2300000</v>
      </c>
      <c r="K1251" s="175">
        <f t="shared" si="27"/>
        <v>0</v>
      </c>
      <c r="L1251" s="175"/>
      <c r="M1251" s="77" t="s">
        <v>18</v>
      </c>
      <c r="N1251" s="77" t="s">
        <v>22</v>
      </c>
      <c r="O1251" s="177"/>
    </row>
    <row r="1252" spans="2:15" s="12" customFormat="1" ht="18">
      <c r="B1252" s="372" t="s">
        <v>97</v>
      </c>
      <c r="C1252" s="77" t="s">
        <v>1241</v>
      </c>
      <c r="D1252" s="177" t="s">
        <v>17</v>
      </c>
      <c r="E1252" s="370">
        <v>0</v>
      </c>
      <c r="F1252" s="370">
        <v>0</v>
      </c>
      <c r="G1252" s="370">
        <v>0</v>
      </c>
      <c r="H1252" s="370">
        <v>0</v>
      </c>
      <c r="I1252" s="363">
        <f>SUM(Tabla132112412[[#This Row],[PRIMER TRIMESTRE]:[CUARTO TRIMESTRE]])</f>
        <v>0</v>
      </c>
      <c r="J1252" s="175">
        <v>950000</v>
      </c>
      <c r="K1252" s="175">
        <f t="shared" si="27"/>
        <v>0</v>
      </c>
      <c r="L1252" s="175"/>
      <c r="M1252" s="77" t="s">
        <v>18</v>
      </c>
      <c r="N1252" s="77" t="s">
        <v>22</v>
      </c>
      <c r="O1252" s="177"/>
    </row>
    <row r="1253" spans="2:15" s="12" customFormat="1" ht="18">
      <c r="B1253" s="372" t="s">
        <v>97</v>
      </c>
      <c r="C1253" s="77" t="s">
        <v>1242</v>
      </c>
      <c r="D1253" s="177" t="s">
        <v>17</v>
      </c>
      <c r="E1253" s="370">
        <v>0</v>
      </c>
      <c r="F1253" s="370">
        <v>0</v>
      </c>
      <c r="G1253" s="370">
        <v>0</v>
      </c>
      <c r="H1253" s="370">
        <v>0</v>
      </c>
      <c r="I1253" s="363">
        <f>SUM(Tabla132112412[[#This Row],[PRIMER TRIMESTRE]:[CUARTO TRIMESTRE]])</f>
        <v>0</v>
      </c>
      <c r="J1253" s="175">
        <v>1800000</v>
      </c>
      <c r="K1253" s="175">
        <f t="shared" si="27"/>
        <v>0</v>
      </c>
      <c r="L1253" s="175"/>
      <c r="M1253" s="77" t="s">
        <v>18</v>
      </c>
      <c r="N1253" s="77" t="s">
        <v>22</v>
      </c>
      <c r="O1253" s="177"/>
    </row>
    <row r="1254" spans="2:15" s="12" customFormat="1" ht="18">
      <c r="B1254" s="372" t="s">
        <v>97</v>
      </c>
      <c r="C1254" s="77" t="s">
        <v>1243</v>
      </c>
      <c r="D1254" s="177" t="s">
        <v>17</v>
      </c>
      <c r="E1254" s="370">
        <v>0</v>
      </c>
      <c r="F1254" s="370">
        <v>0</v>
      </c>
      <c r="G1254" s="370">
        <v>0</v>
      </c>
      <c r="H1254" s="370">
        <v>0</v>
      </c>
      <c r="I1254" s="363">
        <f>SUM(Tabla132112412[[#This Row],[PRIMER TRIMESTRE]:[CUARTO TRIMESTRE]])</f>
        <v>0</v>
      </c>
      <c r="J1254" s="175">
        <v>270000</v>
      </c>
      <c r="K1254" s="175">
        <f t="shared" si="27"/>
        <v>0</v>
      </c>
      <c r="L1254" s="175"/>
      <c r="M1254" s="77" t="s">
        <v>18</v>
      </c>
      <c r="N1254" s="77" t="s">
        <v>22</v>
      </c>
      <c r="O1254" s="177"/>
    </row>
    <row r="1255" spans="2:15" s="12" customFormat="1" ht="18">
      <c r="B1255" s="372" t="s">
        <v>97</v>
      </c>
      <c r="C1255" s="77" t="s">
        <v>1244</v>
      </c>
      <c r="D1255" s="177" t="s">
        <v>17</v>
      </c>
      <c r="E1255" s="370">
        <v>0</v>
      </c>
      <c r="F1255" s="370">
        <v>0</v>
      </c>
      <c r="G1255" s="370">
        <v>0</v>
      </c>
      <c r="H1255" s="370">
        <v>0</v>
      </c>
      <c r="I1255" s="363">
        <f>SUM(Tabla132112412[[#This Row],[PRIMER TRIMESTRE]:[CUARTO TRIMESTRE]])</f>
        <v>0</v>
      </c>
      <c r="J1255" s="175">
        <v>398000</v>
      </c>
      <c r="K1255" s="175">
        <f t="shared" si="27"/>
        <v>0</v>
      </c>
      <c r="L1255" s="175"/>
      <c r="M1255" s="77" t="s">
        <v>18</v>
      </c>
      <c r="N1255" s="77" t="s">
        <v>22</v>
      </c>
      <c r="O1255" s="177"/>
    </row>
    <row r="1256" spans="2:15" s="12" customFormat="1" ht="18">
      <c r="B1256" s="372" t="s">
        <v>97</v>
      </c>
      <c r="C1256" s="77" t="s">
        <v>1245</v>
      </c>
      <c r="D1256" s="177" t="s">
        <v>17</v>
      </c>
      <c r="E1256" s="370">
        <v>0</v>
      </c>
      <c r="F1256" s="370">
        <v>0</v>
      </c>
      <c r="G1256" s="370">
        <v>0</v>
      </c>
      <c r="H1256" s="370">
        <v>0</v>
      </c>
      <c r="I1256" s="363">
        <f>SUM(Tabla132112412[[#This Row],[PRIMER TRIMESTRE]:[CUARTO TRIMESTRE]])</f>
        <v>0</v>
      </c>
      <c r="J1256" s="175">
        <v>395000</v>
      </c>
      <c r="K1256" s="175">
        <f t="shared" si="27"/>
        <v>0</v>
      </c>
      <c r="L1256" s="175"/>
      <c r="M1256" s="77" t="s">
        <v>18</v>
      </c>
      <c r="N1256" s="77" t="s">
        <v>22</v>
      </c>
      <c r="O1256" s="177"/>
    </row>
    <row r="1257" spans="2:15" s="12" customFormat="1" ht="18">
      <c r="B1257" s="372" t="s">
        <v>97</v>
      </c>
      <c r="C1257" s="77" t="s">
        <v>1246</v>
      </c>
      <c r="D1257" s="177" t="s">
        <v>17</v>
      </c>
      <c r="E1257" s="370">
        <v>5</v>
      </c>
      <c r="F1257" s="370">
        <v>4</v>
      </c>
      <c r="G1257" s="370">
        <v>4</v>
      </c>
      <c r="H1257" s="370">
        <v>4</v>
      </c>
      <c r="I1257" s="363">
        <f>SUM(Tabla132112412[[#This Row],[PRIMER TRIMESTRE]:[CUARTO TRIMESTRE]])</f>
        <v>17</v>
      </c>
      <c r="J1257" s="175">
        <v>390000</v>
      </c>
      <c r="K1257" s="175">
        <f t="shared" si="27"/>
        <v>6630000</v>
      </c>
      <c r="L1257" s="175"/>
      <c r="M1257" s="77" t="s">
        <v>18</v>
      </c>
      <c r="N1257" s="77" t="s">
        <v>22</v>
      </c>
      <c r="O1257" s="177"/>
    </row>
    <row r="1258" spans="2:15" s="12" customFormat="1" ht="18">
      <c r="B1258" s="372" t="s">
        <v>97</v>
      </c>
      <c r="C1258" s="77" t="s">
        <v>1247</v>
      </c>
      <c r="D1258" s="177" t="s">
        <v>17</v>
      </c>
      <c r="E1258" s="370">
        <v>3</v>
      </c>
      <c r="F1258" s="370">
        <v>2</v>
      </c>
      <c r="G1258" s="370">
        <v>2</v>
      </c>
      <c r="H1258" s="370">
        <v>2</v>
      </c>
      <c r="I1258" s="363">
        <f>SUM(Tabla132112412[[#This Row],[PRIMER TRIMESTRE]:[CUARTO TRIMESTRE]])</f>
        <v>9</v>
      </c>
      <c r="J1258" s="175">
        <v>385000</v>
      </c>
      <c r="K1258" s="175">
        <f t="shared" si="27"/>
        <v>3465000</v>
      </c>
      <c r="L1258" s="175"/>
      <c r="M1258" s="77" t="s">
        <v>18</v>
      </c>
      <c r="N1258" s="77" t="s">
        <v>22</v>
      </c>
      <c r="O1258" s="177"/>
    </row>
    <row r="1259" spans="2:15" s="12" customFormat="1" ht="18">
      <c r="B1259" s="372" t="s">
        <v>97</v>
      </c>
      <c r="C1259" s="77" t="s">
        <v>1248</v>
      </c>
      <c r="D1259" s="177" t="s">
        <v>17</v>
      </c>
      <c r="E1259" s="370">
        <v>3</v>
      </c>
      <c r="F1259" s="370">
        <v>0</v>
      </c>
      <c r="G1259" s="370">
        <v>2</v>
      </c>
      <c r="H1259" s="370">
        <v>0</v>
      </c>
      <c r="I1259" s="363">
        <f>SUM(Tabla132112412[[#This Row],[PRIMER TRIMESTRE]:[CUARTO TRIMESTRE]])</f>
        <v>5</v>
      </c>
      <c r="J1259" s="175">
        <v>290400</v>
      </c>
      <c r="K1259" s="175">
        <f t="shared" si="27"/>
        <v>1452000</v>
      </c>
      <c r="L1259" s="175"/>
      <c r="M1259" s="77" t="s">
        <v>18</v>
      </c>
      <c r="N1259" s="77" t="s">
        <v>22</v>
      </c>
      <c r="O1259" s="177"/>
    </row>
    <row r="1260" spans="2:15" s="12" customFormat="1" ht="18">
      <c r="B1260" s="372" t="s">
        <v>97</v>
      </c>
      <c r="C1260" s="77" t="s">
        <v>1249</v>
      </c>
      <c r="D1260" s="177" t="s">
        <v>17</v>
      </c>
      <c r="E1260" s="370">
        <v>3</v>
      </c>
      <c r="F1260" s="370">
        <v>0</v>
      </c>
      <c r="G1260" s="370">
        <v>3</v>
      </c>
      <c r="H1260" s="370">
        <v>0</v>
      </c>
      <c r="I1260" s="363">
        <f>SUM(Tabla132112412[[#This Row],[PRIMER TRIMESTRE]:[CUARTO TRIMESTRE]])</f>
        <v>6</v>
      </c>
      <c r="J1260" s="175">
        <v>230000</v>
      </c>
      <c r="K1260" s="175">
        <f t="shared" si="27"/>
        <v>1380000</v>
      </c>
      <c r="L1260" s="175"/>
      <c r="M1260" s="77" t="s">
        <v>18</v>
      </c>
      <c r="N1260" s="77" t="s">
        <v>22</v>
      </c>
      <c r="O1260" s="177"/>
    </row>
    <row r="1261" spans="2:15" s="12" customFormat="1" ht="18">
      <c r="B1261" s="372" t="s">
        <v>97</v>
      </c>
      <c r="C1261" s="77" t="s">
        <v>1250</v>
      </c>
      <c r="D1261" s="177" t="s">
        <v>17</v>
      </c>
      <c r="E1261" s="370">
        <v>4</v>
      </c>
      <c r="F1261" s="370">
        <v>0</v>
      </c>
      <c r="G1261" s="370">
        <v>4</v>
      </c>
      <c r="H1261" s="370">
        <v>0</v>
      </c>
      <c r="I1261" s="363">
        <f>SUM(Tabla132112412[[#This Row],[PRIMER TRIMESTRE]:[CUARTO TRIMESTRE]])</f>
        <v>8</v>
      </c>
      <c r="J1261" s="175">
        <v>13700</v>
      </c>
      <c r="K1261" s="175">
        <f t="shared" si="27"/>
        <v>109600</v>
      </c>
      <c r="L1261" s="175"/>
      <c r="M1261" s="77" t="s">
        <v>18</v>
      </c>
      <c r="N1261" s="77" t="s">
        <v>22</v>
      </c>
      <c r="O1261" s="177"/>
    </row>
    <row r="1262" spans="2:15" s="12" customFormat="1" ht="18">
      <c r="B1262" s="372" t="s">
        <v>97</v>
      </c>
      <c r="C1262" s="77" t="s">
        <v>1251</v>
      </c>
      <c r="D1262" s="177" t="s">
        <v>17</v>
      </c>
      <c r="E1262" s="370">
        <v>0</v>
      </c>
      <c r="F1262" s="370">
        <v>0</v>
      </c>
      <c r="G1262" s="370">
        <v>0</v>
      </c>
      <c r="H1262" s="370">
        <v>0</v>
      </c>
      <c r="I1262" s="363">
        <f>SUM(Tabla132112412[[#This Row],[PRIMER TRIMESTRE]:[CUARTO TRIMESTRE]])</f>
        <v>0</v>
      </c>
      <c r="J1262" s="175">
        <v>205000</v>
      </c>
      <c r="K1262" s="175">
        <f t="shared" si="27"/>
        <v>0</v>
      </c>
      <c r="L1262" s="175"/>
      <c r="M1262" s="77" t="s">
        <v>18</v>
      </c>
      <c r="N1262" s="77" t="s">
        <v>22</v>
      </c>
      <c r="O1262" s="177"/>
    </row>
    <row r="1263" spans="2:15" s="12" customFormat="1" ht="18">
      <c r="B1263" s="372" t="s">
        <v>97</v>
      </c>
      <c r="C1263" s="77" t="s">
        <v>1252</v>
      </c>
      <c r="D1263" s="177" t="s">
        <v>17</v>
      </c>
      <c r="E1263" s="370">
        <v>0</v>
      </c>
      <c r="F1263" s="370">
        <v>0</v>
      </c>
      <c r="G1263" s="370">
        <v>0</v>
      </c>
      <c r="H1263" s="370">
        <v>0</v>
      </c>
      <c r="I1263" s="363">
        <f>SUM(Tabla132112412[[#This Row],[PRIMER TRIMESTRE]:[CUARTO TRIMESTRE]])</f>
        <v>0</v>
      </c>
      <c r="J1263" s="175">
        <v>170000</v>
      </c>
      <c r="K1263" s="175">
        <f t="shared" si="27"/>
        <v>0</v>
      </c>
      <c r="L1263" s="175"/>
      <c r="M1263" s="77" t="s">
        <v>18</v>
      </c>
      <c r="N1263" s="77" t="s">
        <v>22</v>
      </c>
      <c r="O1263" s="177"/>
    </row>
    <row r="1264" spans="2:15" s="12" customFormat="1" ht="18">
      <c r="B1264" s="372" t="s">
        <v>97</v>
      </c>
      <c r="C1264" s="77" t="s">
        <v>1253</v>
      </c>
      <c r="D1264" s="177" t="s">
        <v>17</v>
      </c>
      <c r="E1264" s="370">
        <v>0</v>
      </c>
      <c r="F1264" s="370">
        <v>0</v>
      </c>
      <c r="G1264" s="370">
        <v>0</v>
      </c>
      <c r="H1264" s="370">
        <v>0</v>
      </c>
      <c r="I1264" s="363">
        <f>SUM(Tabla132112412[[#This Row],[PRIMER TRIMESTRE]:[CUARTO TRIMESTRE]])</f>
        <v>0</v>
      </c>
      <c r="J1264" s="175">
        <v>155000</v>
      </c>
      <c r="K1264" s="175">
        <f t="shared" si="27"/>
        <v>0</v>
      </c>
      <c r="L1264" s="175"/>
      <c r="M1264" s="77" t="s">
        <v>18</v>
      </c>
      <c r="N1264" s="77" t="s">
        <v>22</v>
      </c>
      <c r="O1264" s="177"/>
    </row>
    <row r="1265" spans="2:15" s="12" customFormat="1" ht="18">
      <c r="B1265" s="372" t="s">
        <v>97</v>
      </c>
      <c r="C1265" s="77" t="s">
        <v>1254</v>
      </c>
      <c r="D1265" s="177" t="s">
        <v>17</v>
      </c>
      <c r="E1265" s="370">
        <v>0</v>
      </c>
      <c r="F1265" s="370">
        <v>0</v>
      </c>
      <c r="G1265" s="370">
        <v>0</v>
      </c>
      <c r="H1265" s="370">
        <v>0</v>
      </c>
      <c r="I1265" s="363">
        <f>SUM(Tabla132112412[[#This Row],[PRIMER TRIMESTRE]:[CUARTO TRIMESTRE]])</f>
        <v>0</v>
      </c>
      <c r="J1265" s="175">
        <v>140000</v>
      </c>
      <c r="K1265" s="175">
        <f t="shared" si="27"/>
        <v>0</v>
      </c>
      <c r="L1265" s="175"/>
      <c r="M1265" s="77" t="s">
        <v>18</v>
      </c>
      <c r="N1265" s="77" t="s">
        <v>22</v>
      </c>
      <c r="O1265" s="177"/>
    </row>
    <row r="1266" spans="2:15" s="12" customFormat="1" ht="18">
      <c r="B1266" s="372" t="s">
        <v>97</v>
      </c>
      <c r="C1266" s="77" t="s">
        <v>1255</v>
      </c>
      <c r="D1266" s="177" t="s">
        <v>17</v>
      </c>
      <c r="E1266" s="370">
        <v>0</v>
      </c>
      <c r="F1266" s="370">
        <v>0</v>
      </c>
      <c r="G1266" s="370">
        <v>0</v>
      </c>
      <c r="H1266" s="370">
        <v>0</v>
      </c>
      <c r="I1266" s="363">
        <f>SUM(Tabla132112412[[#This Row],[PRIMER TRIMESTRE]:[CUARTO TRIMESTRE]])</f>
        <v>0</v>
      </c>
      <c r="J1266" s="175">
        <v>115000</v>
      </c>
      <c r="K1266" s="175">
        <f t="shared" si="27"/>
        <v>0</v>
      </c>
      <c r="L1266" s="175"/>
      <c r="M1266" s="77" t="s">
        <v>18</v>
      </c>
      <c r="N1266" s="77" t="s">
        <v>22</v>
      </c>
      <c r="O1266" s="177"/>
    </row>
    <row r="1267" spans="2:15" s="12" customFormat="1" ht="18">
      <c r="B1267" s="372" t="s">
        <v>97</v>
      </c>
      <c r="C1267" s="77" t="s">
        <v>1256</v>
      </c>
      <c r="D1267" s="177" t="s">
        <v>17</v>
      </c>
      <c r="E1267" s="370">
        <v>0</v>
      </c>
      <c r="F1267" s="370">
        <v>0</v>
      </c>
      <c r="G1267" s="370">
        <v>0</v>
      </c>
      <c r="H1267" s="370">
        <v>0</v>
      </c>
      <c r="I1267" s="363">
        <f>SUM(Tabla132112412[[#This Row],[PRIMER TRIMESTRE]:[CUARTO TRIMESTRE]])</f>
        <v>0</v>
      </c>
      <c r="J1267" s="175">
        <v>100000</v>
      </c>
      <c r="K1267" s="175">
        <f t="shared" si="27"/>
        <v>0</v>
      </c>
      <c r="L1267" s="175"/>
      <c r="M1267" s="77" t="s">
        <v>18</v>
      </c>
      <c r="N1267" s="77" t="s">
        <v>22</v>
      </c>
      <c r="O1267" s="177"/>
    </row>
    <row r="1268" spans="2:15" s="12" customFormat="1" ht="18">
      <c r="B1268" s="372" t="s">
        <v>97</v>
      </c>
      <c r="C1268" s="77" t="s">
        <v>1257</v>
      </c>
      <c r="D1268" s="177" t="s">
        <v>17</v>
      </c>
      <c r="E1268" s="370">
        <v>2</v>
      </c>
      <c r="F1268" s="370">
        <v>1</v>
      </c>
      <c r="G1268" s="370">
        <v>2</v>
      </c>
      <c r="H1268" s="370">
        <v>1</v>
      </c>
      <c r="I1268" s="363">
        <f>SUM(Tabla132112412[[#This Row],[PRIMER TRIMESTRE]:[CUARTO TRIMESTRE]])</f>
        <v>6</v>
      </c>
      <c r="J1268" s="175">
        <v>80000</v>
      </c>
      <c r="K1268" s="175">
        <f t="shared" si="27"/>
        <v>480000</v>
      </c>
      <c r="L1268" s="175"/>
      <c r="M1268" s="77" t="s">
        <v>18</v>
      </c>
      <c r="N1268" s="77" t="s">
        <v>22</v>
      </c>
      <c r="O1268" s="177"/>
    </row>
    <row r="1269" spans="2:15" s="12" customFormat="1" ht="18">
      <c r="B1269" s="372" t="s">
        <v>97</v>
      </c>
      <c r="C1269" s="77" t="s">
        <v>1258</v>
      </c>
      <c r="D1269" s="177" t="s">
        <v>17</v>
      </c>
      <c r="E1269" s="370">
        <v>3</v>
      </c>
      <c r="F1269" s="370">
        <v>1</v>
      </c>
      <c r="G1269" s="370">
        <v>3</v>
      </c>
      <c r="H1269" s="370">
        <v>1</v>
      </c>
      <c r="I1269" s="363">
        <f>SUM(Tabla132112412[[#This Row],[PRIMER TRIMESTRE]:[CUARTO TRIMESTRE]])</f>
        <v>8</v>
      </c>
      <c r="J1269" s="175">
        <v>65000</v>
      </c>
      <c r="K1269" s="175">
        <f t="shared" si="27"/>
        <v>520000</v>
      </c>
      <c r="L1269" s="175"/>
      <c r="M1269" s="77" t="s">
        <v>18</v>
      </c>
      <c r="N1269" s="77" t="s">
        <v>22</v>
      </c>
      <c r="O1269" s="177"/>
    </row>
    <row r="1270" spans="2:15" s="12" customFormat="1" ht="18">
      <c r="B1270" s="372" t="s">
        <v>97</v>
      </c>
      <c r="C1270" s="77" t="s">
        <v>1259</v>
      </c>
      <c r="D1270" s="177" t="s">
        <v>17</v>
      </c>
      <c r="E1270" s="370">
        <v>2</v>
      </c>
      <c r="F1270" s="370">
        <v>0</v>
      </c>
      <c r="G1270" s="370">
        <v>2</v>
      </c>
      <c r="H1270" s="370">
        <v>0</v>
      </c>
      <c r="I1270" s="363">
        <f>SUM(Tabla132112412[[#This Row],[PRIMER TRIMESTRE]:[CUARTO TRIMESTRE]])</f>
        <v>4</v>
      </c>
      <c r="J1270" s="175">
        <v>50000</v>
      </c>
      <c r="K1270" s="175">
        <f t="shared" si="27"/>
        <v>200000</v>
      </c>
      <c r="L1270" s="175"/>
      <c r="M1270" s="77" t="s">
        <v>18</v>
      </c>
      <c r="N1270" s="77" t="s">
        <v>22</v>
      </c>
      <c r="O1270" s="177"/>
    </row>
    <row r="1271" spans="2:15" s="12" customFormat="1" ht="18">
      <c r="B1271" s="372" t="s">
        <v>97</v>
      </c>
      <c r="C1271" s="77" t="s">
        <v>1260</v>
      </c>
      <c r="D1271" s="177" t="s">
        <v>17</v>
      </c>
      <c r="E1271" s="370">
        <v>2</v>
      </c>
      <c r="F1271" s="370">
        <v>0</v>
      </c>
      <c r="G1271" s="370">
        <v>2</v>
      </c>
      <c r="H1271" s="370">
        <v>0</v>
      </c>
      <c r="I1271" s="363">
        <f>SUM(Tabla132112412[[#This Row],[PRIMER TRIMESTRE]:[CUARTO TRIMESTRE]])</f>
        <v>4</v>
      </c>
      <c r="J1271" s="175">
        <v>45000</v>
      </c>
      <c r="K1271" s="175">
        <f t="shared" si="27"/>
        <v>180000</v>
      </c>
      <c r="L1271" s="175"/>
      <c r="M1271" s="77" t="s">
        <v>18</v>
      </c>
      <c r="N1271" s="77" t="s">
        <v>22</v>
      </c>
      <c r="O1271" s="177"/>
    </row>
    <row r="1272" spans="2:15" s="12" customFormat="1" ht="18">
      <c r="B1272" s="372" t="s">
        <v>97</v>
      </c>
      <c r="C1272" s="77" t="s">
        <v>1261</v>
      </c>
      <c r="D1272" s="177" t="s">
        <v>17</v>
      </c>
      <c r="E1272" s="370">
        <v>3</v>
      </c>
      <c r="F1272" s="370">
        <v>0</v>
      </c>
      <c r="G1272" s="370">
        <v>3</v>
      </c>
      <c r="H1272" s="370">
        <v>0</v>
      </c>
      <c r="I1272" s="363">
        <f>SUM(Tabla132112412[[#This Row],[PRIMER TRIMESTRE]:[CUARTO TRIMESTRE]])</f>
        <v>6</v>
      </c>
      <c r="J1272" s="175">
        <v>40000</v>
      </c>
      <c r="K1272" s="175">
        <f t="shared" si="27"/>
        <v>240000</v>
      </c>
      <c r="L1272" s="175"/>
      <c r="M1272" s="77" t="s">
        <v>18</v>
      </c>
      <c r="N1272" s="77" t="s">
        <v>22</v>
      </c>
      <c r="O1272" s="177"/>
    </row>
    <row r="1273" spans="2:15" s="12" customFormat="1" ht="18">
      <c r="B1273" s="372" t="s">
        <v>97</v>
      </c>
      <c r="C1273" s="77" t="s">
        <v>1262</v>
      </c>
      <c r="D1273" s="177" t="s">
        <v>17</v>
      </c>
      <c r="E1273" s="370">
        <v>1</v>
      </c>
      <c r="F1273" s="370">
        <v>0</v>
      </c>
      <c r="G1273" s="370">
        <v>1</v>
      </c>
      <c r="H1273" s="370">
        <v>0</v>
      </c>
      <c r="I1273" s="363">
        <f>SUM(Tabla132112412[[#This Row],[PRIMER TRIMESTRE]:[CUARTO TRIMESTRE]])</f>
        <v>2</v>
      </c>
      <c r="J1273" s="175">
        <v>30000</v>
      </c>
      <c r="K1273" s="175">
        <f t="shared" si="27"/>
        <v>60000</v>
      </c>
      <c r="L1273" s="175"/>
      <c r="M1273" s="77" t="s">
        <v>18</v>
      </c>
      <c r="N1273" s="77" t="s">
        <v>22</v>
      </c>
      <c r="O1273" s="177"/>
    </row>
    <row r="1274" spans="2:15" s="12" customFormat="1" ht="18">
      <c r="B1274" s="372" t="s">
        <v>97</v>
      </c>
      <c r="C1274" s="77" t="s">
        <v>1263</v>
      </c>
      <c r="D1274" s="177" t="s">
        <v>17</v>
      </c>
      <c r="E1274" s="370">
        <v>3</v>
      </c>
      <c r="F1274" s="370">
        <v>0</v>
      </c>
      <c r="G1274" s="370">
        <v>3</v>
      </c>
      <c r="H1274" s="370">
        <v>0</v>
      </c>
      <c r="I1274" s="363">
        <f>SUM(Tabla132112412[[#This Row],[PRIMER TRIMESTRE]:[CUARTO TRIMESTRE]])</f>
        <v>6</v>
      </c>
      <c r="J1274" s="175">
        <v>26000</v>
      </c>
      <c r="K1274" s="175">
        <f t="shared" si="27"/>
        <v>156000</v>
      </c>
      <c r="L1274" s="175"/>
      <c r="M1274" s="77" t="s">
        <v>18</v>
      </c>
      <c r="N1274" s="77" t="s">
        <v>22</v>
      </c>
      <c r="O1274" s="177"/>
    </row>
    <row r="1275" spans="2:15" s="12" customFormat="1" ht="18">
      <c r="B1275" s="372" t="s">
        <v>97</v>
      </c>
      <c r="C1275" s="77" t="s">
        <v>1264</v>
      </c>
      <c r="D1275" s="177" t="s">
        <v>17</v>
      </c>
      <c r="E1275" s="370">
        <v>1</v>
      </c>
      <c r="F1275" s="370">
        <v>0</v>
      </c>
      <c r="G1275" s="370">
        <v>1</v>
      </c>
      <c r="H1275" s="370">
        <v>0</v>
      </c>
      <c r="I1275" s="363">
        <f>SUM(Tabla132112412[[#This Row],[PRIMER TRIMESTRE]:[CUARTO TRIMESTRE]])</f>
        <v>2</v>
      </c>
      <c r="J1275" s="175">
        <v>24000</v>
      </c>
      <c r="K1275" s="175">
        <f t="shared" si="27"/>
        <v>48000</v>
      </c>
      <c r="L1275" s="175"/>
      <c r="M1275" s="77" t="s">
        <v>18</v>
      </c>
      <c r="N1275" s="77" t="s">
        <v>22</v>
      </c>
      <c r="O1275" s="177"/>
    </row>
    <row r="1276" spans="2:15" s="12" customFormat="1" ht="18">
      <c r="B1276" s="372" t="s">
        <v>97</v>
      </c>
      <c r="C1276" s="77" t="s">
        <v>1265</v>
      </c>
      <c r="D1276" s="177" t="s">
        <v>17</v>
      </c>
      <c r="E1276" s="370">
        <v>3</v>
      </c>
      <c r="F1276" s="370">
        <v>0</v>
      </c>
      <c r="G1276" s="370">
        <v>3</v>
      </c>
      <c r="H1276" s="370">
        <v>0</v>
      </c>
      <c r="I1276" s="363">
        <f>SUM(Tabla132112412[[#This Row],[PRIMER TRIMESTRE]:[CUARTO TRIMESTRE]])</f>
        <v>6</v>
      </c>
      <c r="J1276" s="175">
        <v>20000</v>
      </c>
      <c r="K1276" s="175">
        <f t="shared" si="27"/>
        <v>120000</v>
      </c>
      <c r="L1276" s="175"/>
      <c r="M1276" s="77" t="s">
        <v>18</v>
      </c>
      <c r="N1276" s="77" t="s">
        <v>22</v>
      </c>
      <c r="O1276" s="177"/>
    </row>
    <row r="1277" spans="2:15" s="12" customFormat="1" ht="18">
      <c r="B1277" s="372" t="s">
        <v>97</v>
      </c>
      <c r="C1277" s="77" t="s">
        <v>1266</v>
      </c>
      <c r="D1277" s="177" t="s">
        <v>17</v>
      </c>
      <c r="E1277" s="370">
        <v>0</v>
      </c>
      <c r="F1277" s="370">
        <v>0</v>
      </c>
      <c r="G1277" s="370">
        <v>0</v>
      </c>
      <c r="H1277" s="370">
        <v>0</v>
      </c>
      <c r="I1277" s="363">
        <f>SUM(Tabla132112412[[#This Row],[PRIMER TRIMESTRE]:[CUARTO TRIMESTRE]])</f>
        <v>0</v>
      </c>
      <c r="J1277" s="175">
        <v>18000</v>
      </c>
      <c r="K1277" s="175">
        <f t="shared" si="27"/>
        <v>0</v>
      </c>
      <c r="L1277" s="175"/>
      <c r="M1277" s="77" t="s">
        <v>18</v>
      </c>
      <c r="N1277" s="77" t="s">
        <v>22</v>
      </c>
      <c r="O1277" s="177"/>
    </row>
    <row r="1278" spans="2:15" s="12" customFormat="1" ht="18">
      <c r="B1278" s="372" t="s">
        <v>97</v>
      </c>
      <c r="C1278" s="77" t="s">
        <v>1267</v>
      </c>
      <c r="D1278" s="177" t="s">
        <v>17</v>
      </c>
      <c r="E1278" s="370">
        <v>3</v>
      </c>
      <c r="F1278" s="370">
        <v>0</v>
      </c>
      <c r="G1278" s="370">
        <v>2</v>
      </c>
      <c r="H1278" s="370">
        <v>0</v>
      </c>
      <c r="I1278" s="363">
        <f>SUM(Tabla132112412[[#This Row],[PRIMER TRIMESTRE]:[CUARTO TRIMESTRE]])</f>
        <v>5</v>
      </c>
      <c r="J1278" s="175">
        <v>15000</v>
      </c>
      <c r="K1278" s="175">
        <f t="shared" si="27"/>
        <v>75000</v>
      </c>
      <c r="L1278" s="175"/>
      <c r="M1278" s="77" t="s">
        <v>18</v>
      </c>
      <c r="N1278" s="77" t="s">
        <v>22</v>
      </c>
      <c r="O1278" s="177"/>
    </row>
    <row r="1279" spans="2:15" s="12" customFormat="1" ht="30.75" customHeight="1">
      <c r="B1279" s="372" t="s">
        <v>97</v>
      </c>
      <c r="C1279" s="77" t="s">
        <v>1268</v>
      </c>
      <c r="D1279" s="177" t="s">
        <v>17</v>
      </c>
      <c r="E1279" s="370">
        <v>2</v>
      </c>
      <c r="F1279" s="370">
        <v>0</v>
      </c>
      <c r="G1279" s="370">
        <v>2</v>
      </c>
      <c r="H1279" s="370">
        <v>0</v>
      </c>
      <c r="I1279" s="363">
        <f>SUM(Tabla132112412[[#This Row],[PRIMER TRIMESTRE]:[CUARTO TRIMESTRE]])</f>
        <v>4</v>
      </c>
      <c r="J1279" s="175">
        <v>61000</v>
      </c>
      <c r="K1279" s="175">
        <f t="shared" si="27"/>
        <v>244000</v>
      </c>
      <c r="L1279" s="175"/>
      <c r="M1279" s="77" t="s">
        <v>18</v>
      </c>
      <c r="N1279" s="77" t="s">
        <v>22</v>
      </c>
      <c r="O1279" s="177"/>
    </row>
    <row r="1280" spans="2:15" s="12" customFormat="1" ht="30.75" customHeight="1">
      <c r="B1280" s="372" t="s">
        <v>97</v>
      </c>
      <c r="C1280" s="77" t="s">
        <v>221</v>
      </c>
      <c r="D1280" s="177" t="s">
        <v>17</v>
      </c>
      <c r="E1280" s="370">
        <v>1</v>
      </c>
      <c r="F1280" s="370">
        <v>0</v>
      </c>
      <c r="G1280" s="370">
        <v>1</v>
      </c>
      <c r="H1280" s="370">
        <v>0</v>
      </c>
      <c r="I1280" s="363">
        <f>SUM(Tabla132112412[[#This Row],[PRIMER TRIMESTRE]:[CUARTO TRIMESTRE]])</f>
        <v>2</v>
      </c>
      <c r="J1280" s="175">
        <v>100060.44</v>
      </c>
      <c r="K1280" s="175">
        <f>+Tabla132112412[[#This Row],[CANTIDAD TOTAL]]*Tabla132112412[[#This Row],[PRECIO UNITARIO ESTIMADO]]</f>
        <v>200120.88</v>
      </c>
      <c r="L1280" s="175"/>
      <c r="M1280" s="77" t="s">
        <v>18</v>
      </c>
      <c r="N1280" s="77" t="s">
        <v>22</v>
      </c>
      <c r="O1280" s="177"/>
    </row>
    <row r="1281" spans="1:15" s="12" customFormat="1" ht="30.75" customHeight="1">
      <c r="B1281" s="372" t="s">
        <v>97</v>
      </c>
      <c r="C1281" s="77" t="s">
        <v>222</v>
      </c>
      <c r="D1281" s="177" t="s">
        <v>17</v>
      </c>
      <c r="E1281" s="365">
        <v>1</v>
      </c>
      <c r="F1281" s="365"/>
      <c r="G1281" s="365">
        <v>1</v>
      </c>
      <c r="H1281" s="370">
        <v>0</v>
      </c>
      <c r="I1281" s="363">
        <f>SUM(Tabla132112412[[#This Row],[PRIMER TRIMESTRE]:[CUARTO TRIMESTRE]])</f>
        <v>2</v>
      </c>
      <c r="J1281" s="175">
        <v>327948.84999999998</v>
      </c>
      <c r="K1281" s="175">
        <f>+Tabla132112412[[#This Row],[CANTIDAD TOTAL]]*Tabla132112412[[#This Row],[PRECIO UNITARIO ESTIMADO]]</f>
        <v>655897.69999999995</v>
      </c>
      <c r="L1281" s="175"/>
      <c r="M1281" s="77" t="s">
        <v>18</v>
      </c>
      <c r="N1281" s="77" t="s">
        <v>22</v>
      </c>
      <c r="O1281" s="177"/>
    </row>
    <row r="1282" spans="1:15" s="12" customFormat="1" ht="30.75" customHeight="1">
      <c r="B1282" s="372" t="s">
        <v>97</v>
      </c>
      <c r="C1282" s="77" t="s">
        <v>223</v>
      </c>
      <c r="D1282" s="177" t="s">
        <v>17</v>
      </c>
      <c r="E1282" s="365">
        <v>1</v>
      </c>
      <c r="F1282" s="365"/>
      <c r="G1282" s="365">
        <v>1</v>
      </c>
      <c r="H1282" s="370">
        <v>0</v>
      </c>
      <c r="I1282" s="363">
        <f>SUM(Tabla132112412[[#This Row],[PRIMER TRIMESTRE]:[CUARTO TRIMESTRE]])</f>
        <v>2</v>
      </c>
      <c r="J1282" s="175">
        <v>16744.599999999999</v>
      </c>
      <c r="K1282" s="175">
        <f>+Tabla132112412[[#This Row],[CANTIDAD TOTAL]]*Tabla132112412[[#This Row],[PRECIO UNITARIO ESTIMADO]]</f>
        <v>33489.199999999997</v>
      </c>
      <c r="L1282" s="175"/>
      <c r="M1282" s="77" t="s">
        <v>18</v>
      </c>
      <c r="N1282" s="77" t="s">
        <v>22</v>
      </c>
      <c r="O1282" s="177"/>
    </row>
    <row r="1283" spans="1:15" s="26" customFormat="1" ht="30.75" customHeight="1">
      <c r="A1283" s="12"/>
      <c r="B1283" s="372" t="s">
        <v>97</v>
      </c>
      <c r="C1283" s="77" t="s">
        <v>224</v>
      </c>
      <c r="D1283" s="177" t="s">
        <v>17</v>
      </c>
      <c r="E1283" s="370">
        <v>0</v>
      </c>
      <c r="F1283" s="370">
        <v>0</v>
      </c>
      <c r="G1283" s="370">
        <v>0</v>
      </c>
      <c r="H1283" s="370">
        <v>0</v>
      </c>
      <c r="I1283" s="363">
        <f>SUM(Tabla132112412[[#This Row],[PRIMER TRIMESTRE]:[CUARTO TRIMESTRE]])</f>
        <v>0</v>
      </c>
      <c r="J1283" s="175">
        <v>52380.2</v>
      </c>
      <c r="K1283" s="175">
        <f>+Tabla132112412[[#This Row],[CANTIDAD TOTAL]]*Tabla132112412[[#This Row],[PRECIO UNITARIO ESTIMADO]]</f>
        <v>0</v>
      </c>
      <c r="L1283" s="175"/>
      <c r="M1283" s="77" t="s">
        <v>18</v>
      </c>
      <c r="N1283" s="77" t="s">
        <v>22</v>
      </c>
      <c r="O1283" s="177"/>
    </row>
    <row r="1284" spans="1:15" s="26" customFormat="1" ht="30.75" customHeight="1">
      <c r="A1284" s="12"/>
      <c r="B1284" s="372" t="s">
        <v>97</v>
      </c>
      <c r="C1284" s="77" t="s">
        <v>225</v>
      </c>
      <c r="D1284" s="177" t="s">
        <v>17</v>
      </c>
      <c r="E1284" s="370">
        <v>0</v>
      </c>
      <c r="F1284" s="370">
        <v>0</v>
      </c>
      <c r="G1284" s="370">
        <v>0</v>
      </c>
      <c r="H1284" s="370">
        <v>0</v>
      </c>
      <c r="I1284" s="363">
        <f>SUM(Tabla132112412[[#This Row],[PRIMER TRIMESTRE]:[CUARTO TRIMESTRE]])</f>
        <v>0</v>
      </c>
      <c r="J1284" s="175">
        <v>99342.399999999994</v>
      </c>
      <c r="K1284" s="175">
        <f>+Tabla132112412[[#This Row],[CANTIDAD TOTAL]]*Tabla132112412[[#This Row],[PRECIO UNITARIO ESTIMADO]]</f>
        <v>0</v>
      </c>
      <c r="L1284" s="175"/>
      <c r="M1284" s="77" t="s">
        <v>18</v>
      </c>
      <c r="N1284" s="77" t="s">
        <v>22</v>
      </c>
      <c r="O1284" s="177"/>
    </row>
    <row r="1285" spans="1:15" s="26" customFormat="1" ht="30.75" customHeight="1">
      <c r="A1285" s="12"/>
      <c r="B1285" s="452" t="s">
        <v>97</v>
      </c>
      <c r="C1285" s="453"/>
      <c r="D1285" s="177"/>
      <c r="E1285" s="370"/>
      <c r="F1285" s="370"/>
      <c r="G1285" s="370"/>
      <c r="H1285" s="370"/>
      <c r="I1285" s="363">
        <f>SUM(Tabla132112412[[#This Row],[PRIMER TRIMESTRE]:[CUARTO TRIMESTRE]])</f>
        <v>0</v>
      </c>
      <c r="J1285" s="175"/>
      <c r="K1285" s="175"/>
      <c r="L1285" s="451">
        <f>SUM(K1219:K1284)</f>
        <v>19406574.419999998</v>
      </c>
      <c r="M1285" s="77"/>
      <c r="N1285" s="77"/>
      <c r="O1285" s="177"/>
    </row>
    <row r="1286" spans="1:15" s="26" customFormat="1" ht="30.75" customHeight="1">
      <c r="A1286" s="12"/>
      <c r="B1286" s="77" t="s">
        <v>99</v>
      </c>
      <c r="C1286" s="379" t="s">
        <v>2425</v>
      </c>
      <c r="D1286" s="177" t="s">
        <v>2426</v>
      </c>
      <c r="E1286" s="369">
        <v>6</v>
      </c>
      <c r="F1286" s="369">
        <v>2</v>
      </c>
      <c r="G1286" s="369">
        <v>2</v>
      </c>
      <c r="H1286" s="369">
        <v>2</v>
      </c>
      <c r="I1286" s="363">
        <f>SUM(Tabla132112412[[#This Row],[PRIMER TRIMESTRE]:[CUARTO TRIMESTRE]])</f>
        <v>12</v>
      </c>
      <c r="J1286" s="175"/>
      <c r="K1286" s="175"/>
      <c r="L1286" s="175"/>
      <c r="M1286" s="77"/>
      <c r="N1286" s="77"/>
      <c r="O1286" s="177"/>
    </row>
    <row r="1287" spans="1:15" s="26" customFormat="1" ht="30.75" customHeight="1">
      <c r="A1287" s="12"/>
      <c r="B1287" s="372" t="s">
        <v>948</v>
      </c>
      <c r="C1287" s="77" t="s">
        <v>949</v>
      </c>
      <c r="D1287" s="177" t="s">
        <v>17</v>
      </c>
      <c r="E1287" s="370">
        <v>0</v>
      </c>
      <c r="F1287" s="370">
        <v>0</v>
      </c>
      <c r="G1287" s="370">
        <v>0</v>
      </c>
      <c r="H1287" s="370">
        <v>0</v>
      </c>
      <c r="I1287" s="363">
        <f>SUM(Tabla132112412[[#This Row],[PRIMER TRIMESTRE]:[CUARTO TRIMESTRE]])</f>
        <v>0</v>
      </c>
      <c r="J1287" s="175">
        <v>227000</v>
      </c>
      <c r="K1287" s="175">
        <f t="shared" ref="K1287:K1298" si="28">+I1287*J1287</f>
        <v>0</v>
      </c>
      <c r="L1287" s="175"/>
      <c r="M1287" s="77" t="s">
        <v>18</v>
      </c>
      <c r="N1287" s="77" t="s">
        <v>22</v>
      </c>
      <c r="O1287" s="77"/>
    </row>
    <row r="1288" spans="1:15" s="26" customFormat="1" ht="30.75" customHeight="1">
      <c r="A1288" s="12"/>
      <c r="B1288" s="372" t="s">
        <v>948</v>
      </c>
      <c r="C1288" s="77" t="s">
        <v>950</v>
      </c>
      <c r="D1288" s="177" t="s">
        <v>17</v>
      </c>
      <c r="E1288" s="370">
        <v>0</v>
      </c>
      <c r="F1288" s="370">
        <v>0</v>
      </c>
      <c r="G1288" s="370">
        <v>0</v>
      </c>
      <c r="H1288" s="370">
        <v>0</v>
      </c>
      <c r="I1288" s="363">
        <f>SUM(Tabla132112412[[#This Row],[PRIMER TRIMESTRE]:[CUARTO TRIMESTRE]])</f>
        <v>0</v>
      </c>
      <c r="J1288" s="175">
        <v>1118000</v>
      </c>
      <c r="K1288" s="175">
        <f t="shared" si="28"/>
        <v>0</v>
      </c>
      <c r="L1288" s="175"/>
      <c r="M1288" s="77" t="s">
        <v>18</v>
      </c>
      <c r="N1288" s="77" t="s">
        <v>22</v>
      </c>
      <c r="O1288" s="77"/>
    </row>
    <row r="1289" spans="1:15" s="26" customFormat="1" ht="30.75" customHeight="1">
      <c r="A1289" s="12"/>
      <c r="B1289" s="372" t="s">
        <v>948</v>
      </c>
      <c r="C1289" s="77" t="s">
        <v>952</v>
      </c>
      <c r="D1289" s="177" t="s">
        <v>17</v>
      </c>
      <c r="E1289" s="370">
        <v>5</v>
      </c>
      <c r="F1289" s="370">
        <v>0</v>
      </c>
      <c r="G1289" s="370">
        <v>5</v>
      </c>
      <c r="H1289" s="370">
        <v>0</v>
      </c>
      <c r="I1289" s="363">
        <f>SUM(Tabla132112412[[#This Row],[PRIMER TRIMESTRE]:[CUARTO TRIMESTRE]])</f>
        <v>10</v>
      </c>
      <c r="J1289" s="175">
        <v>3200</v>
      </c>
      <c r="K1289" s="175">
        <f t="shared" si="28"/>
        <v>32000</v>
      </c>
      <c r="L1289" s="175"/>
      <c r="M1289" s="77" t="s">
        <v>18</v>
      </c>
      <c r="N1289" s="77" t="s">
        <v>22</v>
      </c>
      <c r="O1289" s="177"/>
    </row>
    <row r="1290" spans="1:15" s="26" customFormat="1" ht="30.75" customHeight="1">
      <c r="A1290" s="12"/>
      <c r="B1290" s="372" t="s">
        <v>948</v>
      </c>
      <c r="C1290" s="77" t="s">
        <v>953</v>
      </c>
      <c r="D1290" s="177" t="s">
        <v>17</v>
      </c>
      <c r="E1290" s="370">
        <v>10</v>
      </c>
      <c r="F1290" s="370">
        <v>10</v>
      </c>
      <c r="G1290" s="370">
        <v>10</v>
      </c>
      <c r="H1290" s="370">
        <v>10</v>
      </c>
      <c r="I1290" s="363">
        <f>SUM(Tabla132112412[[#This Row],[PRIMER TRIMESTRE]:[CUARTO TRIMESTRE]])</f>
        <v>40</v>
      </c>
      <c r="J1290" s="175">
        <v>96.7</v>
      </c>
      <c r="K1290" s="175">
        <f t="shared" si="28"/>
        <v>3868</v>
      </c>
      <c r="L1290" s="175"/>
      <c r="M1290" s="77" t="s">
        <v>18</v>
      </c>
      <c r="N1290" s="77" t="s">
        <v>22</v>
      </c>
      <c r="O1290" s="177"/>
    </row>
    <row r="1291" spans="1:15" s="26" customFormat="1" ht="30.75" customHeight="1">
      <c r="A1291" s="12"/>
      <c r="B1291" s="372" t="s">
        <v>948</v>
      </c>
      <c r="C1291" s="77" t="s">
        <v>954</v>
      </c>
      <c r="D1291" s="177" t="s">
        <v>17</v>
      </c>
      <c r="E1291" s="370">
        <v>0</v>
      </c>
      <c r="F1291" s="370">
        <v>0</v>
      </c>
      <c r="G1291" s="370">
        <v>0</v>
      </c>
      <c r="H1291" s="370">
        <v>0</v>
      </c>
      <c r="I1291" s="363">
        <f>SUM(Tabla132112412[[#This Row],[PRIMER TRIMESTRE]:[CUARTO TRIMESTRE]])</f>
        <v>0</v>
      </c>
      <c r="J1291" s="175">
        <v>113850</v>
      </c>
      <c r="K1291" s="175">
        <f t="shared" si="28"/>
        <v>0</v>
      </c>
      <c r="L1291" s="175"/>
      <c r="M1291" s="77" t="s">
        <v>18</v>
      </c>
      <c r="N1291" s="77" t="s">
        <v>22</v>
      </c>
      <c r="O1291" s="177"/>
    </row>
    <row r="1292" spans="1:15" s="26" customFormat="1" ht="30.75" customHeight="1">
      <c r="A1292" s="12"/>
      <c r="B1292" s="372" t="s">
        <v>948</v>
      </c>
      <c r="C1292" s="77" t="s">
        <v>955</v>
      </c>
      <c r="D1292" s="177" t="s">
        <v>17</v>
      </c>
      <c r="E1292" s="370">
        <v>0</v>
      </c>
      <c r="F1292" s="370">
        <v>0</v>
      </c>
      <c r="G1292" s="370">
        <v>0</v>
      </c>
      <c r="H1292" s="370">
        <v>0</v>
      </c>
      <c r="I1292" s="363">
        <f>SUM(Tabla132112412[[#This Row],[PRIMER TRIMESTRE]:[CUARTO TRIMESTRE]])</f>
        <v>0</v>
      </c>
      <c r="J1292" s="175">
        <v>57914</v>
      </c>
      <c r="K1292" s="175">
        <f t="shared" si="28"/>
        <v>0</v>
      </c>
      <c r="L1292" s="175"/>
      <c r="M1292" s="77" t="s">
        <v>18</v>
      </c>
      <c r="N1292" s="77" t="s">
        <v>22</v>
      </c>
      <c r="O1292" s="177"/>
    </row>
    <row r="1293" spans="1:15" s="26" customFormat="1" ht="30.75" customHeight="1">
      <c r="A1293" s="12"/>
      <c r="B1293" s="372" t="s">
        <v>948</v>
      </c>
      <c r="C1293" s="77" t="s">
        <v>956</v>
      </c>
      <c r="D1293" s="177" t="s">
        <v>17</v>
      </c>
      <c r="E1293" s="370">
        <v>0</v>
      </c>
      <c r="F1293" s="370">
        <v>0</v>
      </c>
      <c r="G1293" s="370">
        <v>0</v>
      </c>
      <c r="H1293" s="370">
        <v>0</v>
      </c>
      <c r="I1293" s="363">
        <f>SUM(Tabla132112412[[#This Row],[PRIMER TRIMESTRE]:[CUARTO TRIMESTRE]])</f>
        <v>0</v>
      </c>
      <c r="J1293" s="175">
        <v>908000</v>
      </c>
      <c r="K1293" s="175">
        <f t="shared" si="28"/>
        <v>0</v>
      </c>
      <c r="L1293" s="175"/>
      <c r="M1293" s="77" t="s">
        <v>18</v>
      </c>
      <c r="N1293" s="77" t="s">
        <v>22</v>
      </c>
      <c r="O1293" s="177"/>
    </row>
    <row r="1294" spans="1:15" s="26" customFormat="1" ht="30.75" customHeight="1">
      <c r="A1294" s="12"/>
      <c r="B1294" s="372" t="s">
        <v>948</v>
      </c>
      <c r="C1294" s="77" t="s">
        <v>957</v>
      </c>
      <c r="D1294" s="177" t="s">
        <v>17</v>
      </c>
      <c r="E1294" s="370">
        <v>4</v>
      </c>
      <c r="F1294" s="370">
        <v>0</v>
      </c>
      <c r="G1294" s="370">
        <v>0</v>
      </c>
      <c r="H1294" s="370">
        <v>0</v>
      </c>
      <c r="I1294" s="363">
        <f>SUM(Tabla132112412[[#This Row],[PRIMER TRIMESTRE]:[CUARTO TRIMESTRE]])</f>
        <v>4</v>
      </c>
      <c r="J1294" s="175">
        <v>10000</v>
      </c>
      <c r="K1294" s="175">
        <f t="shared" si="28"/>
        <v>40000</v>
      </c>
      <c r="L1294" s="175"/>
      <c r="M1294" s="77" t="s">
        <v>18</v>
      </c>
      <c r="N1294" s="77" t="s">
        <v>22</v>
      </c>
      <c r="O1294" s="177"/>
    </row>
    <row r="1295" spans="1:15" s="26" customFormat="1" ht="30.75" customHeight="1">
      <c r="A1295" s="12"/>
      <c r="B1295" s="372" t="s">
        <v>948</v>
      </c>
      <c r="C1295" s="77" t="s">
        <v>958</v>
      </c>
      <c r="D1295" s="177" t="s">
        <v>17</v>
      </c>
      <c r="E1295" s="370">
        <v>0</v>
      </c>
      <c r="F1295" s="370">
        <v>0</v>
      </c>
      <c r="G1295" s="370">
        <v>0</v>
      </c>
      <c r="H1295" s="370">
        <v>0</v>
      </c>
      <c r="I1295" s="363">
        <f>SUM(Tabla132112412[[#This Row],[PRIMER TRIMESTRE]:[CUARTO TRIMESTRE]])</f>
        <v>0</v>
      </c>
      <c r="J1295" s="175">
        <v>37500</v>
      </c>
      <c r="K1295" s="175">
        <f t="shared" si="28"/>
        <v>0</v>
      </c>
      <c r="L1295" s="175"/>
      <c r="M1295" s="77" t="s">
        <v>18</v>
      </c>
      <c r="N1295" s="77" t="s">
        <v>22</v>
      </c>
      <c r="O1295" s="177"/>
    </row>
    <row r="1296" spans="1:15" s="26" customFormat="1" ht="30.75" customHeight="1">
      <c r="A1296" s="12"/>
      <c r="B1296" s="372" t="s">
        <v>948</v>
      </c>
      <c r="C1296" s="77" t="s">
        <v>951</v>
      </c>
      <c r="D1296" s="177" t="s">
        <v>17</v>
      </c>
      <c r="E1296" s="370">
        <v>1</v>
      </c>
      <c r="F1296" s="370">
        <v>0</v>
      </c>
      <c r="G1296" s="370">
        <v>0</v>
      </c>
      <c r="H1296" s="370">
        <v>0</v>
      </c>
      <c r="I1296" s="363">
        <f>SUM(Tabla132112412[[#This Row],[PRIMER TRIMESTRE]:[CUARTO TRIMESTRE]])</f>
        <v>1</v>
      </c>
      <c r="J1296" s="175">
        <v>120</v>
      </c>
      <c r="K1296" s="175">
        <f t="shared" si="28"/>
        <v>120</v>
      </c>
      <c r="L1296" s="175"/>
      <c r="M1296" s="77" t="s">
        <v>18</v>
      </c>
      <c r="N1296" s="77" t="s">
        <v>22</v>
      </c>
      <c r="O1296" s="177"/>
    </row>
    <row r="1297" spans="1:15" s="26" customFormat="1" ht="30.75" customHeight="1">
      <c r="A1297" s="12"/>
      <c r="B1297" s="372" t="s">
        <v>948</v>
      </c>
      <c r="C1297" s="77" t="s">
        <v>959</v>
      </c>
      <c r="D1297" s="177" t="s">
        <v>17</v>
      </c>
      <c r="E1297" s="370">
        <v>3</v>
      </c>
      <c r="F1297" s="370">
        <v>0</v>
      </c>
      <c r="G1297" s="370">
        <v>0</v>
      </c>
      <c r="H1297" s="370">
        <v>0</v>
      </c>
      <c r="I1297" s="363">
        <f>SUM(Tabla132112412[[#This Row],[PRIMER TRIMESTRE]:[CUARTO TRIMESTRE]])</f>
        <v>3</v>
      </c>
      <c r="J1297" s="175">
        <v>2627</v>
      </c>
      <c r="K1297" s="175">
        <f t="shared" si="28"/>
        <v>7881</v>
      </c>
      <c r="L1297" s="175"/>
      <c r="M1297" s="77" t="s">
        <v>18</v>
      </c>
      <c r="N1297" s="77" t="s">
        <v>22</v>
      </c>
      <c r="O1297" s="177"/>
    </row>
    <row r="1298" spans="1:15" s="12" customFormat="1" ht="30.75" customHeight="1">
      <c r="B1298" s="372" t="s">
        <v>948</v>
      </c>
      <c r="C1298" s="77" t="s">
        <v>963</v>
      </c>
      <c r="D1298" s="177" t="s">
        <v>17</v>
      </c>
      <c r="E1298" s="370">
        <v>1</v>
      </c>
      <c r="F1298" s="370">
        <v>0</v>
      </c>
      <c r="G1298" s="370">
        <v>0</v>
      </c>
      <c r="H1298" s="370">
        <v>0</v>
      </c>
      <c r="I1298" s="363">
        <f>SUM(Tabla132112412[[#This Row],[PRIMER TRIMESTRE]:[CUARTO TRIMESTRE]])</f>
        <v>1</v>
      </c>
      <c r="J1298" s="175">
        <v>2552.54</v>
      </c>
      <c r="K1298" s="175">
        <f t="shared" si="28"/>
        <v>2552.54</v>
      </c>
      <c r="L1298" s="175"/>
      <c r="M1298" s="77" t="s">
        <v>18</v>
      </c>
      <c r="N1298" s="77" t="s">
        <v>22</v>
      </c>
      <c r="O1298" s="177"/>
    </row>
    <row r="1299" spans="1:15" s="12" customFormat="1" ht="30.75" customHeight="1">
      <c r="B1299" s="452" t="s">
        <v>948</v>
      </c>
      <c r="C1299" s="453"/>
      <c r="D1299" s="177"/>
      <c r="E1299" s="370"/>
      <c r="F1299" s="370"/>
      <c r="G1299" s="370"/>
      <c r="H1299" s="370"/>
      <c r="I1299" s="363">
        <f>SUM(Tabla132112412[[#This Row],[PRIMER TRIMESTRE]:[CUARTO TRIMESTRE]])</f>
        <v>0</v>
      </c>
      <c r="J1299" s="177"/>
      <c r="K1299" s="177"/>
      <c r="L1299" s="451">
        <f>SUM(K1287:K1298)</f>
        <v>86421.54</v>
      </c>
      <c r="M1299" s="77"/>
      <c r="N1299" s="77"/>
      <c r="O1299" s="177"/>
    </row>
    <row r="1300" spans="1:15" s="12" customFormat="1" ht="30.75" customHeight="1">
      <c r="B1300" s="372" t="s">
        <v>99</v>
      </c>
      <c r="C1300" s="77" t="s">
        <v>1856</v>
      </c>
      <c r="D1300" s="177" t="s">
        <v>17</v>
      </c>
      <c r="E1300" s="370">
        <v>10</v>
      </c>
      <c r="F1300" s="370">
        <v>10</v>
      </c>
      <c r="G1300" s="370">
        <v>10</v>
      </c>
      <c r="H1300" s="370">
        <v>10</v>
      </c>
      <c r="I1300" s="363">
        <f>SUM(Tabla132112412[[#This Row],[PRIMER TRIMESTRE]:[CUARTO TRIMESTRE]])</f>
        <v>40</v>
      </c>
      <c r="J1300" s="477">
        <v>0</v>
      </c>
      <c r="K1300" s="477">
        <v>0</v>
      </c>
      <c r="L1300" s="77"/>
      <c r="M1300" s="77" t="s">
        <v>18</v>
      </c>
      <c r="N1300" s="77" t="s">
        <v>22</v>
      </c>
      <c r="O1300" s="177" t="s">
        <v>418</v>
      </c>
    </row>
    <row r="1301" spans="1:15" s="12" customFormat="1" ht="37.5" customHeight="1">
      <c r="B1301" s="372" t="s">
        <v>99</v>
      </c>
      <c r="C1301" s="77" t="s">
        <v>1857</v>
      </c>
      <c r="D1301" s="177" t="s">
        <v>17</v>
      </c>
      <c r="E1301" s="370">
        <v>5</v>
      </c>
      <c r="F1301" s="370">
        <v>5</v>
      </c>
      <c r="G1301" s="370">
        <f>5+1</f>
        <v>6</v>
      </c>
      <c r="H1301" s="370">
        <v>5</v>
      </c>
      <c r="I1301" s="363">
        <f>SUM(Tabla132112412[[#This Row],[PRIMER TRIMESTRE]:[CUARTO TRIMESTRE]])</f>
        <v>21</v>
      </c>
      <c r="J1301" s="478">
        <v>0</v>
      </c>
      <c r="K1301" s="478">
        <v>0</v>
      </c>
      <c r="L1301" s="372"/>
      <c r="M1301" s="77" t="s">
        <v>18</v>
      </c>
      <c r="N1301" s="77" t="s">
        <v>22</v>
      </c>
      <c r="O1301" s="177" t="s">
        <v>418</v>
      </c>
    </row>
    <row r="1302" spans="1:15" s="12" customFormat="1" ht="30.75" customHeight="1">
      <c r="B1302" s="372" t="s">
        <v>99</v>
      </c>
      <c r="C1302" s="77" t="s">
        <v>1858</v>
      </c>
      <c r="D1302" s="177" t="s">
        <v>17</v>
      </c>
      <c r="E1302" s="370">
        <v>0</v>
      </c>
      <c r="F1302" s="370">
        <v>0</v>
      </c>
      <c r="G1302" s="370">
        <v>1</v>
      </c>
      <c r="H1302" s="370">
        <v>0</v>
      </c>
      <c r="I1302" s="363">
        <f>SUM(Tabla132112412[[#This Row],[PRIMER TRIMESTRE]:[CUARTO TRIMESTRE]])</f>
        <v>1</v>
      </c>
      <c r="J1302" s="478">
        <v>0</v>
      </c>
      <c r="K1302" s="478">
        <v>0</v>
      </c>
      <c r="L1302" s="77"/>
      <c r="M1302" s="77" t="s">
        <v>18</v>
      </c>
      <c r="N1302" s="77" t="s">
        <v>22</v>
      </c>
      <c r="O1302" s="177" t="s">
        <v>418</v>
      </c>
    </row>
    <row r="1303" spans="1:15" s="12" customFormat="1" ht="30.75" customHeight="1">
      <c r="B1303" s="372" t="s">
        <v>99</v>
      </c>
      <c r="C1303" s="77" t="s">
        <v>1859</v>
      </c>
      <c r="D1303" s="177" t="s">
        <v>290</v>
      </c>
      <c r="E1303" s="370">
        <v>13</v>
      </c>
      <c r="F1303" s="370">
        <v>12</v>
      </c>
      <c r="G1303" s="370">
        <v>13</v>
      </c>
      <c r="H1303" s="370">
        <v>12</v>
      </c>
      <c r="I1303" s="363">
        <f>SUM(Tabla132112412[[#This Row],[PRIMER TRIMESTRE]:[CUARTO TRIMESTRE]])</f>
        <v>50</v>
      </c>
      <c r="J1303" s="478">
        <v>0</v>
      </c>
      <c r="K1303" s="478">
        <v>0</v>
      </c>
      <c r="L1303" s="77"/>
      <c r="M1303" s="77" t="s">
        <v>18</v>
      </c>
      <c r="N1303" s="77" t="s">
        <v>22</v>
      </c>
      <c r="O1303" s="177" t="s">
        <v>418</v>
      </c>
    </row>
    <row r="1304" spans="1:15" s="12" customFormat="1" ht="30.75" customHeight="1">
      <c r="B1304" s="372" t="s">
        <v>99</v>
      </c>
      <c r="C1304" s="77" t="s">
        <v>1650</v>
      </c>
      <c r="D1304" s="177" t="s">
        <v>290</v>
      </c>
      <c r="E1304" s="370">
        <v>11</v>
      </c>
      <c r="F1304" s="370">
        <v>10</v>
      </c>
      <c r="G1304" s="370">
        <v>11</v>
      </c>
      <c r="H1304" s="370">
        <v>10</v>
      </c>
      <c r="I1304" s="363">
        <f>SUM(Tabla132112412[[#This Row],[PRIMER TRIMESTRE]:[CUARTO TRIMESTRE]])</f>
        <v>42</v>
      </c>
      <c r="J1304" s="478">
        <v>0</v>
      </c>
      <c r="K1304" s="478">
        <v>0</v>
      </c>
      <c r="L1304" s="77"/>
      <c r="M1304" s="77" t="s">
        <v>18</v>
      </c>
      <c r="N1304" s="77" t="s">
        <v>22</v>
      </c>
      <c r="O1304" s="177" t="s">
        <v>418</v>
      </c>
    </row>
    <row r="1305" spans="1:15" s="12" customFormat="1" ht="30.75" customHeight="1">
      <c r="B1305" s="372" t="s">
        <v>99</v>
      </c>
      <c r="C1305" s="77" t="s">
        <v>306</v>
      </c>
      <c r="D1305" s="177" t="s">
        <v>33</v>
      </c>
      <c r="E1305" s="370">
        <v>12</v>
      </c>
      <c r="F1305" s="370">
        <v>11</v>
      </c>
      <c r="G1305" s="370">
        <v>11</v>
      </c>
      <c r="H1305" s="370">
        <v>11</v>
      </c>
      <c r="I1305" s="363">
        <f>SUM(Tabla132112412[[#This Row],[PRIMER TRIMESTRE]:[CUARTO TRIMESTRE]])</f>
        <v>45</v>
      </c>
      <c r="J1305" s="175">
        <v>260</v>
      </c>
      <c r="K1305" s="175">
        <f>+Tabla132112412[[#This Row],[CANTIDAD TOTAL]]*Tabla132112412[[#This Row],[PRECIO UNITARIO ESTIMADO]]</f>
        <v>11700</v>
      </c>
      <c r="L1305" s="175"/>
      <c r="M1305" s="77" t="s">
        <v>18</v>
      </c>
      <c r="N1305" s="77" t="s">
        <v>22</v>
      </c>
      <c r="O1305" s="177" t="s">
        <v>418</v>
      </c>
    </row>
    <row r="1306" spans="1:15" s="12" customFormat="1" ht="30.75" customHeight="1">
      <c r="B1306" s="372" t="s">
        <v>99</v>
      </c>
      <c r="C1306" s="77" t="s">
        <v>307</v>
      </c>
      <c r="D1306" s="177" t="s">
        <v>308</v>
      </c>
      <c r="E1306" s="370">
        <v>0</v>
      </c>
      <c r="F1306" s="370">
        <v>0</v>
      </c>
      <c r="G1306" s="370">
        <v>0</v>
      </c>
      <c r="H1306" s="370">
        <v>0</v>
      </c>
      <c r="I1306" s="363">
        <f>SUM(Tabla132112412[[#This Row],[PRIMER TRIMESTRE]:[CUARTO TRIMESTRE]])</f>
        <v>0</v>
      </c>
      <c r="J1306" s="175">
        <v>1237.82</v>
      </c>
      <c r="K1306" s="175">
        <f>+Tabla132112412[[#This Row],[CANTIDAD TOTAL]]*Tabla132112412[[#This Row],[PRECIO UNITARIO ESTIMADO]]</f>
        <v>0</v>
      </c>
      <c r="L1306" s="175"/>
      <c r="M1306" s="77" t="s">
        <v>18</v>
      </c>
      <c r="N1306" s="77" t="s">
        <v>22</v>
      </c>
      <c r="O1306" s="177" t="s">
        <v>418</v>
      </c>
    </row>
    <row r="1307" spans="1:15" s="12" customFormat="1" ht="30.75" customHeight="1">
      <c r="B1307" s="372" t="s">
        <v>99</v>
      </c>
      <c r="C1307" s="77" t="s">
        <v>309</v>
      </c>
      <c r="D1307" s="177" t="s">
        <v>308</v>
      </c>
      <c r="E1307" s="370">
        <v>0</v>
      </c>
      <c r="F1307" s="370">
        <v>0</v>
      </c>
      <c r="G1307" s="370">
        <v>0</v>
      </c>
      <c r="H1307" s="370">
        <v>0</v>
      </c>
      <c r="I1307" s="363">
        <f>SUM(Tabla132112412[[#This Row],[PRIMER TRIMESTRE]:[CUARTO TRIMESTRE]])</f>
        <v>0</v>
      </c>
      <c r="J1307" s="175">
        <v>1770</v>
      </c>
      <c r="K1307" s="175">
        <f>+Tabla132112412[[#This Row],[CANTIDAD TOTAL]]*Tabla132112412[[#This Row],[PRECIO UNITARIO ESTIMADO]]</f>
        <v>0</v>
      </c>
      <c r="L1307" s="175"/>
      <c r="M1307" s="77" t="s">
        <v>18</v>
      </c>
      <c r="N1307" s="77" t="s">
        <v>22</v>
      </c>
      <c r="O1307" s="177" t="s">
        <v>418</v>
      </c>
    </row>
    <row r="1308" spans="1:15" s="12" customFormat="1" ht="30.75" customHeight="1">
      <c r="B1308" s="372" t="s">
        <v>99</v>
      </c>
      <c r="C1308" s="77" t="s">
        <v>230</v>
      </c>
      <c r="D1308" s="177" t="s">
        <v>17</v>
      </c>
      <c r="E1308" s="370">
        <v>1</v>
      </c>
      <c r="F1308" s="370">
        <v>0</v>
      </c>
      <c r="G1308" s="370">
        <v>0</v>
      </c>
      <c r="H1308" s="370">
        <v>0</v>
      </c>
      <c r="I1308" s="363">
        <f>SUM(Tabla132112412[[#This Row],[PRIMER TRIMESTRE]:[CUARTO TRIMESTRE]])</f>
        <v>1</v>
      </c>
      <c r="J1308" s="175">
        <v>1740</v>
      </c>
      <c r="K1308" s="175">
        <f>+Tabla132112412[[#This Row],[CANTIDAD TOTAL]]*Tabla132112412[[#This Row],[PRECIO UNITARIO ESTIMADO]]</f>
        <v>1740</v>
      </c>
      <c r="L1308" s="175"/>
      <c r="M1308" s="77" t="s">
        <v>18</v>
      </c>
      <c r="N1308" s="77" t="s">
        <v>22</v>
      </c>
      <c r="O1308" s="177" t="s">
        <v>418</v>
      </c>
    </row>
    <row r="1309" spans="1:15" s="12" customFormat="1" ht="30.75" customHeight="1">
      <c r="B1309" s="372" t="s">
        <v>99</v>
      </c>
      <c r="C1309" s="77" t="s">
        <v>310</v>
      </c>
      <c r="D1309" s="177" t="s">
        <v>308</v>
      </c>
      <c r="E1309" s="370">
        <v>0</v>
      </c>
      <c r="F1309" s="370">
        <v>0</v>
      </c>
      <c r="G1309" s="370">
        <v>0</v>
      </c>
      <c r="H1309" s="370">
        <v>0</v>
      </c>
      <c r="I1309" s="363">
        <f>SUM(Tabla132112412[[#This Row],[PRIMER TRIMESTRE]:[CUARTO TRIMESTRE]])</f>
        <v>0</v>
      </c>
      <c r="J1309" s="175">
        <v>1298</v>
      </c>
      <c r="K1309" s="175">
        <f>+Tabla132112412[[#This Row],[CANTIDAD TOTAL]]*Tabla132112412[[#This Row],[PRECIO UNITARIO ESTIMADO]]</f>
        <v>0</v>
      </c>
      <c r="L1309" s="175"/>
      <c r="M1309" s="77" t="s">
        <v>18</v>
      </c>
      <c r="N1309" s="77" t="s">
        <v>22</v>
      </c>
      <c r="O1309" s="177" t="s">
        <v>418</v>
      </c>
    </row>
    <row r="1310" spans="1:15" s="12" customFormat="1" ht="30.75" customHeight="1">
      <c r="B1310" s="372" t="s">
        <v>99</v>
      </c>
      <c r="C1310" s="77" t="s">
        <v>311</v>
      </c>
      <c r="D1310" s="177" t="s">
        <v>312</v>
      </c>
      <c r="E1310" s="370">
        <v>0</v>
      </c>
      <c r="F1310" s="370">
        <v>0</v>
      </c>
      <c r="G1310" s="370">
        <v>0</v>
      </c>
      <c r="H1310" s="370">
        <v>0</v>
      </c>
      <c r="I1310" s="363">
        <f>SUM(Tabla132112412[[#This Row],[PRIMER TRIMESTRE]:[CUARTO TRIMESTRE]])</f>
        <v>0</v>
      </c>
      <c r="J1310" s="175">
        <v>3418.58</v>
      </c>
      <c r="K1310" s="175">
        <f>+Tabla132112412[[#This Row],[CANTIDAD TOTAL]]*Tabla132112412[[#This Row],[PRECIO UNITARIO ESTIMADO]]</f>
        <v>0</v>
      </c>
      <c r="L1310" s="175"/>
      <c r="M1310" s="77" t="s">
        <v>18</v>
      </c>
      <c r="N1310" s="77" t="s">
        <v>22</v>
      </c>
      <c r="O1310" s="177" t="s">
        <v>418</v>
      </c>
    </row>
    <row r="1311" spans="1:15" s="12" customFormat="1" ht="30.75" customHeight="1">
      <c r="B1311" s="372" t="s">
        <v>99</v>
      </c>
      <c r="C1311" s="77" t="s">
        <v>314</v>
      </c>
      <c r="D1311" s="177" t="s">
        <v>315</v>
      </c>
      <c r="E1311" s="370">
        <v>2</v>
      </c>
      <c r="F1311" s="370">
        <v>0</v>
      </c>
      <c r="G1311" s="370">
        <v>0</v>
      </c>
      <c r="H1311" s="370">
        <v>0</v>
      </c>
      <c r="I1311" s="363">
        <f>SUM(Tabla132112412[[#This Row],[PRIMER TRIMESTRE]:[CUARTO TRIMESTRE]])</f>
        <v>2</v>
      </c>
      <c r="J1311" s="175">
        <v>1569.4</v>
      </c>
      <c r="K1311" s="175">
        <f>+Tabla132112412[[#This Row],[CANTIDAD TOTAL]]*Tabla132112412[[#This Row],[PRECIO UNITARIO ESTIMADO]]</f>
        <v>3138.8</v>
      </c>
      <c r="L1311" s="175"/>
      <c r="M1311" s="77" t="s">
        <v>18</v>
      </c>
      <c r="N1311" s="77" t="s">
        <v>22</v>
      </c>
      <c r="O1311" s="177" t="s">
        <v>418</v>
      </c>
    </row>
    <row r="1312" spans="1:15" s="12" customFormat="1" ht="18">
      <c r="B1312" s="372" t="s">
        <v>99</v>
      </c>
      <c r="C1312" s="77" t="s">
        <v>313</v>
      </c>
      <c r="D1312" s="177" t="s">
        <v>308</v>
      </c>
      <c r="E1312" s="370">
        <v>1</v>
      </c>
      <c r="F1312" s="370">
        <v>0</v>
      </c>
      <c r="G1312" s="370">
        <v>0</v>
      </c>
      <c r="H1312" s="370">
        <v>0</v>
      </c>
      <c r="I1312" s="363">
        <f>SUM(Tabla132112412[[#This Row],[PRIMER TRIMESTRE]:[CUARTO TRIMESTRE]])</f>
        <v>1</v>
      </c>
      <c r="J1312" s="175">
        <v>3651.69</v>
      </c>
      <c r="K1312" s="175">
        <f>+Tabla132112412[[#This Row],[CANTIDAD TOTAL]]*Tabla132112412[[#This Row],[PRECIO UNITARIO ESTIMADO]]</f>
        <v>3651.69</v>
      </c>
      <c r="L1312" s="175"/>
      <c r="M1312" s="77" t="s">
        <v>18</v>
      </c>
      <c r="N1312" s="77" t="s">
        <v>22</v>
      </c>
      <c r="O1312" s="177" t="s">
        <v>418</v>
      </c>
    </row>
    <row r="1313" spans="2:15" s="12" customFormat="1" ht="18">
      <c r="B1313" s="372" t="s">
        <v>99</v>
      </c>
      <c r="C1313" s="77" t="s">
        <v>231</v>
      </c>
      <c r="D1313" s="177" t="s">
        <v>17</v>
      </c>
      <c r="E1313" s="370">
        <v>270</v>
      </c>
      <c r="F1313" s="370">
        <v>270</v>
      </c>
      <c r="G1313" s="370">
        <v>270</v>
      </c>
      <c r="H1313" s="370">
        <v>270</v>
      </c>
      <c r="I1313" s="363">
        <f>SUM(Tabla132112412[[#This Row],[PRIMER TRIMESTRE]:[CUARTO TRIMESTRE]])</f>
        <v>1080</v>
      </c>
      <c r="J1313" s="175">
        <v>574.20000000000005</v>
      </c>
      <c r="K1313" s="175">
        <f>+Tabla132112412[[#This Row],[CANTIDAD TOTAL]]*Tabla132112412[[#This Row],[PRECIO UNITARIO ESTIMADO]]</f>
        <v>620136</v>
      </c>
      <c r="L1313" s="175"/>
      <c r="M1313" s="77" t="s">
        <v>18</v>
      </c>
      <c r="N1313" s="77" t="s">
        <v>22</v>
      </c>
      <c r="O1313" s="177" t="s">
        <v>418</v>
      </c>
    </row>
    <row r="1314" spans="2:15" s="12" customFormat="1" ht="18">
      <c r="B1314" s="372" t="s">
        <v>99</v>
      </c>
      <c r="C1314" s="77" t="s">
        <v>232</v>
      </c>
      <c r="D1314" s="177" t="s">
        <v>17</v>
      </c>
      <c r="E1314" s="370">
        <v>8</v>
      </c>
      <c r="F1314" s="370">
        <v>0</v>
      </c>
      <c r="G1314" s="370">
        <v>0</v>
      </c>
      <c r="H1314" s="370">
        <v>5</v>
      </c>
      <c r="I1314" s="363">
        <f>SUM(Tabla132112412[[#This Row],[PRIMER TRIMESTRE]:[CUARTO TRIMESTRE]])</f>
        <v>13</v>
      </c>
      <c r="J1314" s="175">
        <v>1035</v>
      </c>
      <c r="K1314" s="175">
        <f>+Tabla132112412[[#This Row],[CANTIDAD TOTAL]]*Tabla132112412[[#This Row],[PRECIO UNITARIO ESTIMADO]]</f>
        <v>13455</v>
      </c>
      <c r="L1314" s="175"/>
      <c r="M1314" s="77" t="s">
        <v>18</v>
      </c>
      <c r="N1314" s="77" t="s">
        <v>22</v>
      </c>
      <c r="O1314" s="177" t="s">
        <v>418</v>
      </c>
    </row>
    <row r="1315" spans="2:15" s="12" customFormat="1" ht="18">
      <c r="B1315" s="372" t="s">
        <v>99</v>
      </c>
      <c r="C1315" s="77" t="s">
        <v>1031</v>
      </c>
      <c r="D1315" s="177" t="s">
        <v>1037</v>
      </c>
      <c r="E1315" s="370">
        <v>70</v>
      </c>
      <c r="F1315" s="370">
        <v>70</v>
      </c>
      <c r="G1315" s="370">
        <v>70</v>
      </c>
      <c r="H1315" s="370">
        <v>70</v>
      </c>
      <c r="I1315" s="363">
        <f>SUM(Tabla132112412[[#This Row],[PRIMER TRIMESTRE]:[CUARTO TRIMESTRE]])</f>
        <v>280</v>
      </c>
      <c r="J1315" s="175">
        <v>3800</v>
      </c>
      <c r="K1315" s="175">
        <f t="shared" ref="K1315:K1382" si="29">+I1315*J1315</f>
        <v>1064000</v>
      </c>
      <c r="L1315" s="175"/>
      <c r="M1315" s="77" t="s">
        <v>18</v>
      </c>
      <c r="N1315" s="77" t="s">
        <v>22</v>
      </c>
      <c r="O1315" s="177" t="s">
        <v>418</v>
      </c>
    </row>
    <row r="1316" spans="2:15" s="12" customFormat="1" ht="18">
      <c r="B1316" s="372" t="s">
        <v>99</v>
      </c>
      <c r="C1316" s="77" t="s">
        <v>1032</v>
      </c>
      <c r="D1316" s="177" t="s">
        <v>1037</v>
      </c>
      <c r="E1316" s="370">
        <v>0</v>
      </c>
      <c r="F1316" s="370">
        <v>0</v>
      </c>
      <c r="G1316" s="370">
        <v>1</v>
      </c>
      <c r="H1316" s="370">
        <v>0</v>
      </c>
      <c r="I1316" s="363">
        <f>SUM(Tabla132112412[[#This Row],[PRIMER TRIMESTRE]:[CUARTO TRIMESTRE]])</f>
        <v>1</v>
      </c>
      <c r="J1316" s="175">
        <v>11200</v>
      </c>
      <c r="K1316" s="175">
        <f t="shared" si="29"/>
        <v>11200</v>
      </c>
      <c r="L1316" s="175"/>
      <c r="M1316" s="77" t="s">
        <v>18</v>
      </c>
      <c r="N1316" s="77" t="s">
        <v>22</v>
      </c>
      <c r="O1316" s="177" t="s">
        <v>418</v>
      </c>
    </row>
    <row r="1317" spans="2:15" s="12" customFormat="1" ht="18">
      <c r="B1317" s="372" t="s">
        <v>99</v>
      </c>
      <c r="C1317" s="77" t="s">
        <v>1033</v>
      </c>
      <c r="D1317" s="177" t="s">
        <v>1037</v>
      </c>
      <c r="E1317" s="370">
        <v>3</v>
      </c>
      <c r="F1317" s="370">
        <v>3</v>
      </c>
      <c r="G1317" s="370">
        <v>3</v>
      </c>
      <c r="H1317" s="370">
        <v>3</v>
      </c>
      <c r="I1317" s="363">
        <f>SUM(Tabla132112412[[#This Row],[PRIMER TRIMESTRE]:[CUARTO TRIMESTRE]])</f>
        <v>12</v>
      </c>
      <c r="J1317" s="175">
        <v>3700</v>
      </c>
      <c r="K1317" s="175">
        <f t="shared" si="29"/>
        <v>44400</v>
      </c>
      <c r="L1317" s="175"/>
      <c r="M1317" s="77" t="s">
        <v>18</v>
      </c>
      <c r="N1317" s="77" t="s">
        <v>22</v>
      </c>
      <c r="O1317" s="177" t="s">
        <v>418</v>
      </c>
    </row>
    <row r="1318" spans="2:15" s="12" customFormat="1" ht="18">
      <c r="B1318" s="372" t="s">
        <v>99</v>
      </c>
      <c r="C1318" s="77" t="s">
        <v>1034</v>
      </c>
      <c r="D1318" s="177" t="s">
        <v>1037</v>
      </c>
      <c r="E1318" s="370">
        <v>0</v>
      </c>
      <c r="F1318" s="370">
        <v>0</v>
      </c>
      <c r="G1318" s="370">
        <v>0</v>
      </c>
      <c r="H1318" s="370">
        <v>0</v>
      </c>
      <c r="I1318" s="363">
        <f>SUM(Tabla132112412[[#This Row],[PRIMER TRIMESTRE]:[CUARTO TRIMESTRE]])</f>
        <v>0</v>
      </c>
      <c r="J1318" s="175">
        <v>4500</v>
      </c>
      <c r="K1318" s="175">
        <f t="shared" si="29"/>
        <v>0</v>
      </c>
      <c r="L1318" s="175"/>
      <c r="M1318" s="77" t="s">
        <v>15</v>
      </c>
      <c r="N1318" s="77" t="s">
        <v>22</v>
      </c>
      <c r="O1318" s="177" t="s">
        <v>418</v>
      </c>
    </row>
    <row r="1319" spans="2:15" s="12" customFormat="1" ht="18">
      <c r="B1319" s="372" t="s">
        <v>99</v>
      </c>
      <c r="C1319" s="479" t="s">
        <v>1860</v>
      </c>
      <c r="D1319" s="177" t="s">
        <v>1037</v>
      </c>
      <c r="E1319" s="370">
        <v>1</v>
      </c>
      <c r="F1319" s="370"/>
      <c r="G1319" s="370"/>
      <c r="H1319" s="370"/>
      <c r="I1319" s="363"/>
      <c r="J1319" s="175"/>
      <c r="K1319" s="175"/>
      <c r="L1319" s="175"/>
      <c r="M1319" s="77"/>
      <c r="N1319" s="77"/>
      <c r="O1319" s="177"/>
    </row>
    <row r="1320" spans="2:15" s="12" customFormat="1" ht="18">
      <c r="B1320" s="372" t="s">
        <v>99</v>
      </c>
      <c r="C1320" s="77" t="s">
        <v>1035</v>
      </c>
      <c r="D1320" s="177" t="s">
        <v>1037</v>
      </c>
      <c r="E1320" s="370">
        <v>0</v>
      </c>
      <c r="F1320" s="370">
        <v>0</v>
      </c>
      <c r="G1320" s="370">
        <v>0</v>
      </c>
      <c r="H1320" s="370">
        <v>0</v>
      </c>
      <c r="I1320" s="363">
        <f>SUM(Tabla132112412[[#This Row],[PRIMER TRIMESTRE]:[CUARTO TRIMESTRE]])</f>
        <v>0</v>
      </c>
      <c r="J1320" s="175">
        <v>2800</v>
      </c>
      <c r="K1320" s="175">
        <f t="shared" si="29"/>
        <v>0</v>
      </c>
      <c r="L1320" s="175"/>
      <c r="M1320" s="77" t="s">
        <v>15</v>
      </c>
      <c r="N1320" s="77" t="s">
        <v>22</v>
      </c>
      <c r="O1320" s="177" t="s">
        <v>418</v>
      </c>
    </row>
    <row r="1321" spans="2:15" s="12" customFormat="1" ht="18">
      <c r="B1321" s="372" t="s">
        <v>99</v>
      </c>
      <c r="C1321" s="77" t="s">
        <v>1036</v>
      </c>
      <c r="D1321" s="177" t="s">
        <v>1037</v>
      </c>
      <c r="E1321" s="370">
        <v>3</v>
      </c>
      <c r="F1321" s="370">
        <v>3</v>
      </c>
      <c r="G1321" s="370">
        <v>3</v>
      </c>
      <c r="H1321" s="370">
        <v>3</v>
      </c>
      <c r="I1321" s="363">
        <f>SUM(Tabla132112412[[#This Row],[PRIMER TRIMESTRE]:[CUARTO TRIMESTRE]])</f>
        <v>12</v>
      </c>
      <c r="J1321" s="175">
        <v>3500</v>
      </c>
      <c r="K1321" s="175">
        <f t="shared" si="29"/>
        <v>42000</v>
      </c>
      <c r="L1321" s="175"/>
      <c r="M1321" s="77" t="s">
        <v>18</v>
      </c>
      <c r="N1321" s="77" t="s">
        <v>22</v>
      </c>
      <c r="O1321" s="177" t="s">
        <v>418</v>
      </c>
    </row>
    <row r="1322" spans="2:15" s="12" customFormat="1" ht="25.5">
      <c r="B1322" s="372" t="s">
        <v>99</v>
      </c>
      <c r="C1322" s="77" t="s">
        <v>1038</v>
      </c>
      <c r="D1322" s="177" t="s">
        <v>1037</v>
      </c>
      <c r="E1322" s="370">
        <v>1</v>
      </c>
      <c r="F1322" s="370">
        <v>0</v>
      </c>
      <c r="G1322" s="370">
        <v>0</v>
      </c>
      <c r="H1322" s="370">
        <v>0</v>
      </c>
      <c r="I1322" s="363">
        <f>SUM(Tabla132112412[[#This Row],[PRIMER TRIMESTRE]:[CUARTO TRIMESTRE]])</f>
        <v>1</v>
      </c>
      <c r="J1322" s="175">
        <v>2500</v>
      </c>
      <c r="K1322" s="175">
        <f t="shared" si="29"/>
        <v>2500</v>
      </c>
      <c r="L1322" s="175"/>
      <c r="M1322" s="77" t="s">
        <v>18</v>
      </c>
      <c r="N1322" s="77" t="s">
        <v>22</v>
      </c>
      <c r="O1322" s="177" t="s">
        <v>418</v>
      </c>
    </row>
    <row r="1323" spans="2:15" s="12" customFormat="1" ht="25.5">
      <c r="B1323" s="372" t="s">
        <v>99</v>
      </c>
      <c r="C1323" s="77" t="s">
        <v>1039</v>
      </c>
      <c r="D1323" s="177" t="s">
        <v>1037</v>
      </c>
      <c r="E1323" s="370">
        <v>1</v>
      </c>
      <c r="F1323" s="370">
        <v>0</v>
      </c>
      <c r="G1323" s="370">
        <v>0</v>
      </c>
      <c r="H1323" s="370">
        <v>0</v>
      </c>
      <c r="I1323" s="363">
        <f>SUM(Tabla132112412[[#This Row],[PRIMER TRIMESTRE]:[CUARTO TRIMESTRE]])</f>
        <v>1</v>
      </c>
      <c r="J1323" s="175">
        <v>3000</v>
      </c>
      <c r="K1323" s="175">
        <f t="shared" si="29"/>
        <v>3000</v>
      </c>
      <c r="L1323" s="175"/>
      <c r="M1323" s="77" t="s">
        <v>18</v>
      </c>
      <c r="N1323" s="77" t="s">
        <v>22</v>
      </c>
      <c r="O1323" s="177" t="s">
        <v>418</v>
      </c>
    </row>
    <row r="1324" spans="2:15" s="12" customFormat="1" ht="18">
      <c r="B1324" s="372" t="s">
        <v>99</v>
      </c>
      <c r="C1324" s="77" t="s">
        <v>1040</v>
      </c>
      <c r="D1324" s="177" t="s">
        <v>1037</v>
      </c>
      <c r="E1324" s="370">
        <v>1</v>
      </c>
      <c r="F1324" s="370">
        <v>0</v>
      </c>
      <c r="G1324" s="370">
        <v>0</v>
      </c>
      <c r="H1324" s="370">
        <v>0</v>
      </c>
      <c r="I1324" s="363">
        <f>SUM(Tabla132112412[[#This Row],[PRIMER TRIMESTRE]:[CUARTO TRIMESTRE]])</f>
        <v>1</v>
      </c>
      <c r="J1324" s="175">
        <v>3500</v>
      </c>
      <c r="K1324" s="175">
        <f t="shared" si="29"/>
        <v>3500</v>
      </c>
      <c r="L1324" s="175"/>
      <c r="M1324" s="77" t="s">
        <v>18</v>
      </c>
      <c r="N1324" s="77" t="s">
        <v>22</v>
      </c>
      <c r="O1324" s="177" t="s">
        <v>418</v>
      </c>
    </row>
    <row r="1325" spans="2:15" s="12" customFormat="1" ht="25.5">
      <c r="B1325" s="372" t="s">
        <v>99</v>
      </c>
      <c r="C1325" s="77" t="s">
        <v>1041</v>
      </c>
      <c r="D1325" s="177" t="s">
        <v>1037</v>
      </c>
      <c r="E1325" s="370">
        <v>1</v>
      </c>
      <c r="F1325" s="370">
        <v>0</v>
      </c>
      <c r="G1325" s="370">
        <v>0</v>
      </c>
      <c r="H1325" s="370">
        <v>0</v>
      </c>
      <c r="I1325" s="363">
        <f>SUM(Tabla132112412[[#This Row],[PRIMER TRIMESTRE]:[CUARTO TRIMESTRE]])</f>
        <v>1</v>
      </c>
      <c r="J1325" s="175">
        <v>4000</v>
      </c>
      <c r="K1325" s="175">
        <f t="shared" si="29"/>
        <v>4000</v>
      </c>
      <c r="L1325" s="175"/>
      <c r="M1325" s="77" t="s">
        <v>18</v>
      </c>
      <c r="N1325" s="77" t="s">
        <v>22</v>
      </c>
      <c r="O1325" s="177" t="s">
        <v>418</v>
      </c>
    </row>
    <row r="1326" spans="2:15" s="12" customFormat="1" ht="18">
      <c r="B1326" s="372" t="s">
        <v>99</v>
      </c>
      <c r="C1326" s="77" t="s">
        <v>1042</v>
      </c>
      <c r="D1326" s="177" t="s">
        <v>1037</v>
      </c>
      <c r="E1326" s="370">
        <v>1</v>
      </c>
      <c r="F1326" s="370">
        <v>0</v>
      </c>
      <c r="G1326" s="370">
        <v>0</v>
      </c>
      <c r="H1326" s="370">
        <v>0</v>
      </c>
      <c r="I1326" s="363">
        <f>SUM(Tabla132112412[[#This Row],[PRIMER TRIMESTRE]:[CUARTO TRIMESTRE]])</f>
        <v>1</v>
      </c>
      <c r="J1326" s="175">
        <v>6000</v>
      </c>
      <c r="K1326" s="175">
        <f t="shared" si="29"/>
        <v>6000</v>
      </c>
      <c r="L1326" s="175"/>
      <c r="M1326" s="77" t="s">
        <v>18</v>
      </c>
      <c r="N1326" s="77" t="s">
        <v>22</v>
      </c>
      <c r="O1326" s="177" t="s">
        <v>418</v>
      </c>
    </row>
    <row r="1327" spans="2:15" s="12" customFormat="1" ht="25.5">
      <c r="B1327" s="372" t="s">
        <v>99</v>
      </c>
      <c r="C1327" s="77" t="s">
        <v>1043</v>
      </c>
      <c r="D1327" s="177" t="s">
        <v>1037</v>
      </c>
      <c r="E1327" s="370">
        <v>1</v>
      </c>
      <c r="F1327" s="370">
        <v>0</v>
      </c>
      <c r="G1327" s="370">
        <v>0</v>
      </c>
      <c r="H1327" s="370">
        <v>0</v>
      </c>
      <c r="I1327" s="363">
        <f>SUM(Tabla132112412[[#This Row],[PRIMER TRIMESTRE]:[CUARTO TRIMESTRE]])</f>
        <v>1</v>
      </c>
      <c r="J1327" s="175">
        <v>3500</v>
      </c>
      <c r="K1327" s="175">
        <f t="shared" si="29"/>
        <v>3500</v>
      </c>
      <c r="L1327" s="175"/>
      <c r="M1327" s="77" t="s">
        <v>18</v>
      </c>
      <c r="N1327" s="77" t="s">
        <v>22</v>
      </c>
      <c r="O1327" s="177" t="s">
        <v>418</v>
      </c>
    </row>
    <row r="1328" spans="2:15" s="12" customFormat="1" ht="25.5">
      <c r="B1328" s="372" t="s">
        <v>99</v>
      </c>
      <c r="C1328" s="77" t="s">
        <v>1044</v>
      </c>
      <c r="D1328" s="177" t="s">
        <v>1037</v>
      </c>
      <c r="E1328" s="370">
        <v>1</v>
      </c>
      <c r="F1328" s="370">
        <v>0</v>
      </c>
      <c r="G1328" s="370">
        <v>0</v>
      </c>
      <c r="H1328" s="370">
        <v>0</v>
      </c>
      <c r="I1328" s="363">
        <f>SUM(Tabla132112412[[#This Row],[PRIMER TRIMESTRE]:[CUARTO TRIMESTRE]])</f>
        <v>1</v>
      </c>
      <c r="J1328" s="175">
        <v>2500</v>
      </c>
      <c r="K1328" s="175">
        <f t="shared" si="29"/>
        <v>2500</v>
      </c>
      <c r="L1328" s="175"/>
      <c r="M1328" s="77" t="s">
        <v>18</v>
      </c>
      <c r="N1328" s="77" t="s">
        <v>22</v>
      </c>
      <c r="O1328" s="177" t="s">
        <v>418</v>
      </c>
    </row>
    <row r="1329" spans="2:15" s="12" customFormat="1" ht="18">
      <c r="B1329" s="372" t="s">
        <v>99</v>
      </c>
      <c r="C1329" s="77" t="s">
        <v>1045</v>
      </c>
      <c r="D1329" s="177" t="s">
        <v>1037</v>
      </c>
      <c r="E1329" s="370">
        <v>1</v>
      </c>
      <c r="F1329" s="370">
        <v>0</v>
      </c>
      <c r="G1329" s="370">
        <v>0</v>
      </c>
      <c r="H1329" s="370">
        <v>0</v>
      </c>
      <c r="I1329" s="363">
        <f>SUM(Tabla132112412[[#This Row],[PRIMER TRIMESTRE]:[CUARTO TRIMESTRE]])</f>
        <v>1</v>
      </c>
      <c r="J1329" s="175">
        <v>2000</v>
      </c>
      <c r="K1329" s="175">
        <f t="shared" si="29"/>
        <v>2000</v>
      </c>
      <c r="L1329" s="175"/>
      <c r="M1329" s="77" t="s">
        <v>18</v>
      </c>
      <c r="N1329" s="77" t="s">
        <v>22</v>
      </c>
      <c r="O1329" s="177" t="s">
        <v>418</v>
      </c>
    </row>
    <row r="1330" spans="2:15" s="12" customFormat="1" ht="25.5">
      <c r="B1330" s="372" t="s">
        <v>99</v>
      </c>
      <c r="C1330" s="77" t="s">
        <v>1046</v>
      </c>
      <c r="D1330" s="177" t="s">
        <v>1037</v>
      </c>
      <c r="E1330" s="370">
        <v>1</v>
      </c>
      <c r="F1330" s="370">
        <v>0</v>
      </c>
      <c r="G1330" s="370">
        <v>0</v>
      </c>
      <c r="H1330" s="370">
        <v>0</v>
      </c>
      <c r="I1330" s="363">
        <f>SUM(Tabla132112412[[#This Row],[PRIMER TRIMESTRE]:[CUARTO TRIMESTRE]])</f>
        <v>1</v>
      </c>
      <c r="J1330" s="175">
        <v>3000</v>
      </c>
      <c r="K1330" s="175">
        <f t="shared" si="29"/>
        <v>3000</v>
      </c>
      <c r="L1330" s="175"/>
      <c r="M1330" s="77" t="s">
        <v>18</v>
      </c>
      <c r="N1330" s="77" t="s">
        <v>22</v>
      </c>
      <c r="O1330" s="177" t="s">
        <v>418</v>
      </c>
    </row>
    <row r="1331" spans="2:15" s="12" customFormat="1" ht="25.5">
      <c r="B1331" s="372" t="s">
        <v>99</v>
      </c>
      <c r="C1331" s="77" t="s">
        <v>1047</v>
      </c>
      <c r="D1331" s="177" t="s">
        <v>1037</v>
      </c>
      <c r="E1331" s="370">
        <v>1</v>
      </c>
      <c r="F1331" s="370">
        <v>0</v>
      </c>
      <c r="G1331" s="370">
        <v>0</v>
      </c>
      <c r="H1331" s="370">
        <v>0</v>
      </c>
      <c r="I1331" s="363">
        <f>SUM(Tabla132112412[[#This Row],[PRIMER TRIMESTRE]:[CUARTO TRIMESTRE]])</f>
        <v>1</v>
      </c>
      <c r="J1331" s="175">
        <v>3500</v>
      </c>
      <c r="K1331" s="175">
        <f t="shared" si="29"/>
        <v>3500</v>
      </c>
      <c r="L1331" s="175"/>
      <c r="M1331" s="77" t="s">
        <v>18</v>
      </c>
      <c r="N1331" s="77" t="s">
        <v>22</v>
      </c>
      <c r="O1331" s="177" t="s">
        <v>418</v>
      </c>
    </row>
    <row r="1332" spans="2:15" s="12" customFormat="1" ht="38.25">
      <c r="B1332" s="372" t="s">
        <v>99</v>
      </c>
      <c r="C1332" s="77" t="s">
        <v>1048</v>
      </c>
      <c r="D1332" s="177" t="s">
        <v>1063</v>
      </c>
      <c r="E1332" s="370">
        <v>2</v>
      </c>
      <c r="F1332" s="370">
        <v>1</v>
      </c>
      <c r="G1332" s="370">
        <v>1</v>
      </c>
      <c r="H1332" s="370">
        <v>0</v>
      </c>
      <c r="I1332" s="363">
        <f>SUM(Tabla132112412[[#This Row],[PRIMER TRIMESTRE]:[CUARTO TRIMESTRE]])</f>
        <v>4</v>
      </c>
      <c r="J1332" s="175">
        <v>3500</v>
      </c>
      <c r="K1332" s="175">
        <f t="shared" si="29"/>
        <v>14000</v>
      </c>
      <c r="L1332" s="175"/>
      <c r="M1332" s="77" t="s">
        <v>18</v>
      </c>
      <c r="N1332" s="77" t="s">
        <v>22</v>
      </c>
      <c r="O1332" s="177" t="s">
        <v>418</v>
      </c>
    </row>
    <row r="1333" spans="2:15" s="12" customFormat="1" ht="25.5">
      <c r="B1333" s="372" t="s">
        <v>99</v>
      </c>
      <c r="C1333" s="77" t="s">
        <v>1049</v>
      </c>
      <c r="D1333" s="177" t="s">
        <v>1063</v>
      </c>
      <c r="E1333" s="370">
        <v>1</v>
      </c>
      <c r="F1333" s="370">
        <v>0</v>
      </c>
      <c r="G1333" s="370">
        <v>0</v>
      </c>
      <c r="H1333" s="370">
        <v>0</v>
      </c>
      <c r="I1333" s="363">
        <f>SUM(Tabla132112412[[#This Row],[PRIMER TRIMESTRE]:[CUARTO TRIMESTRE]])</f>
        <v>1</v>
      </c>
      <c r="J1333" s="175">
        <v>2500</v>
      </c>
      <c r="K1333" s="175">
        <f t="shared" si="29"/>
        <v>2500</v>
      </c>
      <c r="L1333" s="175"/>
      <c r="M1333" s="77" t="s">
        <v>15</v>
      </c>
      <c r="N1333" s="77" t="s">
        <v>22</v>
      </c>
      <c r="O1333" s="177" t="s">
        <v>418</v>
      </c>
    </row>
    <row r="1334" spans="2:15" s="12" customFormat="1" ht="25.5">
      <c r="B1334" s="372" t="s">
        <v>99</v>
      </c>
      <c r="C1334" s="77" t="s">
        <v>1050</v>
      </c>
      <c r="D1334" s="177" t="s">
        <v>1063</v>
      </c>
      <c r="E1334" s="370">
        <v>1</v>
      </c>
      <c r="F1334" s="370">
        <v>0</v>
      </c>
      <c r="G1334" s="370">
        <v>0</v>
      </c>
      <c r="H1334" s="370">
        <v>0</v>
      </c>
      <c r="I1334" s="363">
        <f>SUM(Tabla132112412[[#This Row],[PRIMER TRIMESTRE]:[CUARTO TRIMESTRE]])</f>
        <v>1</v>
      </c>
      <c r="J1334" s="175">
        <v>2500</v>
      </c>
      <c r="K1334" s="175">
        <f t="shared" si="29"/>
        <v>2500</v>
      </c>
      <c r="L1334" s="175"/>
      <c r="M1334" s="77" t="s">
        <v>18</v>
      </c>
      <c r="N1334" s="77" t="s">
        <v>22</v>
      </c>
      <c r="O1334" s="177" t="s">
        <v>418</v>
      </c>
    </row>
    <row r="1335" spans="2:15" s="12" customFormat="1" ht="18">
      <c r="B1335" s="372" t="s">
        <v>99</v>
      </c>
      <c r="C1335" s="77" t="s">
        <v>1051</v>
      </c>
      <c r="D1335" s="177" t="s">
        <v>1037</v>
      </c>
      <c r="E1335" s="370">
        <v>1</v>
      </c>
      <c r="F1335" s="370">
        <v>0</v>
      </c>
      <c r="G1335" s="370">
        <v>0</v>
      </c>
      <c r="H1335" s="370">
        <v>0</v>
      </c>
      <c r="I1335" s="363">
        <f>SUM(Tabla132112412[[#This Row],[PRIMER TRIMESTRE]:[CUARTO TRIMESTRE]])</f>
        <v>1</v>
      </c>
      <c r="J1335" s="175">
        <v>3000</v>
      </c>
      <c r="K1335" s="175">
        <f t="shared" si="29"/>
        <v>3000</v>
      </c>
      <c r="L1335" s="175"/>
      <c r="M1335" s="77" t="s">
        <v>18</v>
      </c>
      <c r="N1335" s="77" t="s">
        <v>22</v>
      </c>
      <c r="O1335" s="177" t="s">
        <v>418</v>
      </c>
    </row>
    <row r="1336" spans="2:15" s="12" customFormat="1" ht="18">
      <c r="B1336" s="372" t="s">
        <v>99</v>
      </c>
      <c r="C1336" s="77" t="s">
        <v>1052</v>
      </c>
      <c r="D1336" s="177" t="s">
        <v>1064</v>
      </c>
      <c r="E1336" s="370">
        <v>1</v>
      </c>
      <c r="F1336" s="370">
        <v>0</v>
      </c>
      <c r="G1336" s="370">
        <v>0</v>
      </c>
      <c r="H1336" s="370">
        <v>1</v>
      </c>
      <c r="I1336" s="363">
        <f>SUM(Tabla132112412[[#This Row],[PRIMER TRIMESTRE]:[CUARTO TRIMESTRE]])</f>
        <v>2</v>
      </c>
      <c r="J1336" s="175">
        <v>2500</v>
      </c>
      <c r="K1336" s="175">
        <f t="shared" si="29"/>
        <v>5000</v>
      </c>
      <c r="L1336" s="175"/>
      <c r="M1336" s="77" t="s">
        <v>18</v>
      </c>
      <c r="N1336" s="77" t="s">
        <v>22</v>
      </c>
      <c r="O1336" s="177" t="s">
        <v>418</v>
      </c>
    </row>
    <row r="1337" spans="2:15" s="12" customFormat="1" ht="18">
      <c r="B1337" s="372" t="s">
        <v>99</v>
      </c>
      <c r="C1337" s="77" t="s">
        <v>1053</v>
      </c>
      <c r="D1337" s="177" t="s">
        <v>1064</v>
      </c>
      <c r="E1337" s="370">
        <v>1</v>
      </c>
      <c r="F1337" s="370">
        <v>0</v>
      </c>
      <c r="G1337" s="370">
        <v>0</v>
      </c>
      <c r="H1337" s="370">
        <v>1</v>
      </c>
      <c r="I1337" s="363">
        <f>SUM(Tabla132112412[[#This Row],[PRIMER TRIMESTRE]:[CUARTO TRIMESTRE]])</f>
        <v>2</v>
      </c>
      <c r="J1337" s="175">
        <v>2500</v>
      </c>
      <c r="K1337" s="175">
        <f t="shared" si="29"/>
        <v>5000</v>
      </c>
      <c r="L1337" s="175"/>
      <c r="M1337" s="77" t="s">
        <v>18</v>
      </c>
      <c r="N1337" s="77" t="s">
        <v>22</v>
      </c>
      <c r="O1337" s="177" t="s">
        <v>418</v>
      </c>
    </row>
    <row r="1338" spans="2:15" s="12" customFormat="1" ht="18">
      <c r="B1338" s="372" t="s">
        <v>99</v>
      </c>
      <c r="C1338" s="77" t="s">
        <v>1054</v>
      </c>
      <c r="D1338" s="177" t="s">
        <v>1064</v>
      </c>
      <c r="E1338" s="370">
        <v>2</v>
      </c>
      <c r="F1338" s="370">
        <v>1</v>
      </c>
      <c r="G1338" s="370">
        <v>1</v>
      </c>
      <c r="H1338" s="370">
        <v>1</v>
      </c>
      <c r="I1338" s="363">
        <f>SUM(Tabla132112412[[#This Row],[PRIMER TRIMESTRE]:[CUARTO TRIMESTRE]])</f>
        <v>5</v>
      </c>
      <c r="J1338" s="175">
        <v>2000</v>
      </c>
      <c r="K1338" s="175">
        <f t="shared" si="29"/>
        <v>10000</v>
      </c>
      <c r="L1338" s="175"/>
      <c r="M1338" s="77" t="s">
        <v>18</v>
      </c>
      <c r="N1338" s="77" t="s">
        <v>22</v>
      </c>
      <c r="O1338" s="177" t="s">
        <v>418</v>
      </c>
    </row>
    <row r="1339" spans="2:15" s="12" customFormat="1" ht="18">
      <c r="B1339" s="372" t="s">
        <v>99</v>
      </c>
      <c r="C1339" s="77" t="s">
        <v>1055</v>
      </c>
      <c r="D1339" s="177" t="s">
        <v>1065</v>
      </c>
      <c r="E1339" s="370">
        <v>2</v>
      </c>
      <c r="F1339" s="370">
        <v>1</v>
      </c>
      <c r="G1339" s="370">
        <v>1</v>
      </c>
      <c r="H1339" s="370">
        <v>1</v>
      </c>
      <c r="I1339" s="363">
        <f>SUM(Tabla132112412[[#This Row],[PRIMER TRIMESTRE]:[CUARTO TRIMESTRE]])</f>
        <v>5</v>
      </c>
      <c r="J1339" s="175">
        <v>2000</v>
      </c>
      <c r="K1339" s="175">
        <f t="shared" si="29"/>
        <v>10000</v>
      </c>
      <c r="L1339" s="175"/>
      <c r="M1339" s="77" t="s">
        <v>18</v>
      </c>
      <c r="N1339" s="77" t="s">
        <v>22</v>
      </c>
      <c r="O1339" s="177" t="s">
        <v>418</v>
      </c>
    </row>
    <row r="1340" spans="2:15" s="12" customFormat="1" ht="18">
      <c r="B1340" s="372" t="s">
        <v>99</v>
      </c>
      <c r="C1340" s="77" t="s">
        <v>1056</v>
      </c>
      <c r="D1340" s="177" t="s">
        <v>1065</v>
      </c>
      <c r="E1340" s="370">
        <v>1</v>
      </c>
      <c r="F1340" s="370">
        <v>0</v>
      </c>
      <c r="G1340" s="370">
        <v>1</v>
      </c>
      <c r="H1340" s="370">
        <v>1</v>
      </c>
      <c r="I1340" s="363">
        <f>SUM(Tabla132112412[[#This Row],[PRIMER TRIMESTRE]:[CUARTO TRIMESTRE]])</f>
        <v>3</v>
      </c>
      <c r="J1340" s="175">
        <v>2100</v>
      </c>
      <c r="K1340" s="175">
        <f t="shared" si="29"/>
        <v>6300</v>
      </c>
      <c r="L1340" s="175"/>
      <c r="M1340" s="77" t="s">
        <v>18</v>
      </c>
      <c r="N1340" s="77" t="s">
        <v>22</v>
      </c>
      <c r="O1340" s="177" t="s">
        <v>418</v>
      </c>
    </row>
    <row r="1341" spans="2:15" s="12" customFormat="1" ht="18">
      <c r="B1341" s="372" t="s">
        <v>99</v>
      </c>
      <c r="C1341" s="77" t="s">
        <v>1057</v>
      </c>
      <c r="D1341" s="177" t="s">
        <v>1065</v>
      </c>
      <c r="E1341" s="370">
        <v>2</v>
      </c>
      <c r="F1341" s="370">
        <v>1</v>
      </c>
      <c r="G1341" s="370">
        <v>1</v>
      </c>
      <c r="H1341" s="370">
        <v>1</v>
      </c>
      <c r="I1341" s="363">
        <f>SUM(Tabla132112412[[#This Row],[PRIMER TRIMESTRE]:[CUARTO TRIMESTRE]])</f>
        <v>5</v>
      </c>
      <c r="J1341" s="175">
        <v>2500</v>
      </c>
      <c r="K1341" s="175">
        <f t="shared" si="29"/>
        <v>12500</v>
      </c>
      <c r="L1341" s="175"/>
      <c r="M1341" s="77" t="s">
        <v>18</v>
      </c>
      <c r="N1341" s="77" t="s">
        <v>22</v>
      </c>
      <c r="O1341" s="177" t="s">
        <v>418</v>
      </c>
    </row>
    <row r="1342" spans="2:15" s="12" customFormat="1" ht="18">
      <c r="B1342" s="372" t="s">
        <v>99</v>
      </c>
      <c r="C1342" s="75" t="s">
        <v>1861</v>
      </c>
      <c r="D1342" s="177" t="s">
        <v>1065</v>
      </c>
      <c r="E1342" s="370">
        <v>1</v>
      </c>
      <c r="F1342" s="370">
        <v>1</v>
      </c>
      <c r="G1342" s="370">
        <v>1</v>
      </c>
      <c r="H1342" s="370">
        <v>1</v>
      </c>
      <c r="I1342" s="363"/>
      <c r="J1342" s="175"/>
      <c r="K1342" s="175"/>
      <c r="L1342" s="175"/>
      <c r="M1342" s="77"/>
      <c r="N1342" s="77"/>
      <c r="O1342" s="177"/>
    </row>
    <row r="1343" spans="2:15" s="12" customFormat="1" ht="18">
      <c r="B1343" s="372" t="s">
        <v>99</v>
      </c>
      <c r="C1343" s="77" t="s">
        <v>1058</v>
      </c>
      <c r="D1343" s="177" t="s">
        <v>1065</v>
      </c>
      <c r="E1343" s="370">
        <v>2</v>
      </c>
      <c r="F1343" s="370">
        <v>1</v>
      </c>
      <c r="G1343" s="370">
        <v>1</v>
      </c>
      <c r="H1343" s="370">
        <v>1</v>
      </c>
      <c r="I1343" s="363">
        <f>SUM(Tabla132112412[[#This Row],[PRIMER TRIMESTRE]:[CUARTO TRIMESTRE]])</f>
        <v>5</v>
      </c>
      <c r="J1343" s="175">
        <v>2500</v>
      </c>
      <c r="K1343" s="175">
        <f t="shared" si="29"/>
        <v>12500</v>
      </c>
      <c r="L1343" s="175"/>
      <c r="M1343" s="77" t="s">
        <v>18</v>
      </c>
      <c r="N1343" s="77" t="s">
        <v>22</v>
      </c>
      <c r="O1343" s="177" t="s">
        <v>418</v>
      </c>
    </row>
    <row r="1344" spans="2:15" s="12" customFormat="1" ht="18">
      <c r="B1344" s="372" t="s">
        <v>99</v>
      </c>
      <c r="C1344" s="77" t="s">
        <v>1059</v>
      </c>
      <c r="D1344" s="177" t="s">
        <v>1065</v>
      </c>
      <c r="E1344" s="370">
        <v>2</v>
      </c>
      <c r="F1344" s="370">
        <v>0</v>
      </c>
      <c r="G1344" s="370">
        <v>0</v>
      </c>
      <c r="H1344" s="370">
        <v>1</v>
      </c>
      <c r="I1344" s="363">
        <f>SUM(Tabla132112412[[#This Row],[PRIMER TRIMESTRE]:[CUARTO TRIMESTRE]])</f>
        <v>3</v>
      </c>
      <c r="J1344" s="175">
        <v>2500</v>
      </c>
      <c r="K1344" s="175">
        <f t="shared" si="29"/>
        <v>7500</v>
      </c>
      <c r="L1344" s="175"/>
      <c r="M1344" s="77" t="s">
        <v>18</v>
      </c>
      <c r="N1344" s="77" t="s">
        <v>22</v>
      </c>
      <c r="O1344" s="177" t="s">
        <v>418</v>
      </c>
    </row>
    <row r="1345" spans="2:15" s="12" customFormat="1" ht="18">
      <c r="B1345" s="372" t="s">
        <v>99</v>
      </c>
      <c r="C1345" s="77" t="s">
        <v>1060</v>
      </c>
      <c r="D1345" s="177" t="s">
        <v>1065</v>
      </c>
      <c r="E1345" s="370">
        <v>2</v>
      </c>
      <c r="F1345" s="370">
        <v>0</v>
      </c>
      <c r="G1345" s="370">
        <v>0</v>
      </c>
      <c r="H1345" s="370">
        <v>1</v>
      </c>
      <c r="I1345" s="363">
        <f>SUM(Tabla132112412[[#This Row],[PRIMER TRIMESTRE]:[CUARTO TRIMESTRE]])</f>
        <v>3</v>
      </c>
      <c r="J1345" s="175">
        <v>4000</v>
      </c>
      <c r="K1345" s="175">
        <f t="shared" si="29"/>
        <v>12000</v>
      </c>
      <c r="L1345" s="175"/>
      <c r="M1345" s="77" t="s">
        <v>18</v>
      </c>
      <c r="N1345" s="77" t="s">
        <v>22</v>
      </c>
      <c r="O1345" s="177" t="s">
        <v>418</v>
      </c>
    </row>
    <row r="1346" spans="2:15" s="12" customFormat="1" ht="25.5">
      <c r="B1346" s="372" t="s">
        <v>99</v>
      </c>
      <c r="C1346" s="77" t="s">
        <v>1061</v>
      </c>
      <c r="D1346" s="177" t="s">
        <v>1064</v>
      </c>
      <c r="E1346" s="370">
        <v>2</v>
      </c>
      <c r="F1346" s="370">
        <v>0</v>
      </c>
      <c r="G1346" s="370">
        <v>0</v>
      </c>
      <c r="H1346" s="370">
        <v>1</v>
      </c>
      <c r="I1346" s="363">
        <f>SUM(Tabla132112412[[#This Row],[PRIMER TRIMESTRE]:[CUARTO TRIMESTRE]])</f>
        <v>3</v>
      </c>
      <c r="J1346" s="175">
        <v>3000</v>
      </c>
      <c r="K1346" s="175">
        <f t="shared" si="29"/>
        <v>9000</v>
      </c>
      <c r="L1346" s="175"/>
      <c r="M1346" s="77" t="s">
        <v>18</v>
      </c>
      <c r="N1346" s="77" t="s">
        <v>22</v>
      </c>
      <c r="O1346" s="177" t="s">
        <v>418</v>
      </c>
    </row>
    <row r="1347" spans="2:15" s="12" customFormat="1" ht="18">
      <c r="B1347" s="372" t="s">
        <v>99</v>
      </c>
      <c r="C1347" s="77" t="s">
        <v>1062</v>
      </c>
      <c r="D1347" s="177" t="s">
        <v>290</v>
      </c>
      <c r="E1347" s="370">
        <v>4</v>
      </c>
      <c r="F1347" s="370">
        <v>3</v>
      </c>
      <c r="G1347" s="370">
        <v>3</v>
      </c>
      <c r="H1347" s="370">
        <v>3</v>
      </c>
      <c r="I1347" s="363">
        <f>SUM(Tabla132112412[[#This Row],[PRIMER TRIMESTRE]:[CUARTO TRIMESTRE]])</f>
        <v>13</v>
      </c>
      <c r="J1347" s="175">
        <v>1200</v>
      </c>
      <c r="K1347" s="175">
        <f t="shared" si="29"/>
        <v>15600</v>
      </c>
      <c r="L1347" s="175"/>
      <c r="M1347" s="77" t="s">
        <v>18</v>
      </c>
      <c r="N1347" s="77" t="s">
        <v>22</v>
      </c>
      <c r="O1347" s="177" t="s">
        <v>418</v>
      </c>
    </row>
    <row r="1348" spans="2:15" s="12" customFormat="1" ht="25.5">
      <c r="B1348" s="372" t="s">
        <v>99</v>
      </c>
      <c r="C1348" s="77" t="s">
        <v>1066</v>
      </c>
      <c r="D1348" s="177" t="s">
        <v>1067</v>
      </c>
      <c r="E1348" s="370">
        <v>1</v>
      </c>
      <c r="F1348" s="370">
        <v>0</v>
      </c>
      <c r="G1348" s="370">
        <v>0</v>
      </c>
      <c r="H1348" s="370">
        <v>0</v>
      </c>
      <c r="I1348" s="363">
        <f>SUM(Tabla132112412[[#This Row],[PRIMER TRIMESTRE]:[CUARTO TRIMESTRE]])</f>
        <v>1</v>
      </c>
      <c r="J1348" s="175">
        <v>10000</v>
      </c>
      <c r="K1348" s="175">
        <f t="shared" si="29"/>
        <v>10000</v>
      </c>
      <c r="L1348" s="175"/>
      <c r="M1348" s="77" t="s">
        <v>18</v>
      </c>
      <c r="N1348" s="77" t="s">
        <v>22</v>
      </c>
      <c r="O1348" s="177" t="s">
        <v>418</v>
      </c>
    </row>
    <row r="1349" spans="2:15" s="12" customFormat="1" ht="25.5">
      <c r="B1349" s="372" t="s">
        <v>99</v>
      </c>
      <c r="C1349" s="77" t="s">
        <v>1068</v>
      </c>
      <c r="D1349" s="177" t="s">
        <v>1067</v>
      </c>
      <c r="E1349" s="370">
        <v>1</v>
      </c>
      <c r="F1349" s="370">
        <v>0</v>
      </c>
      <c r="G1349" s="370">
        <v>0</v>
      </c>
      <c r="H1349" s="370">
        <v>0</v>
      </c>
      <c r="I1349" s="363">
        <f>SUM(Tabla132112412[[#This Row],[PRIMER TRIMESTRE]:[CUARTO TRIMESTRE]])</f>
        <v>1</v>
      </c>
      <c r="J1349" s="175">
        <v>10000</v>
      </c>
      <c r="K1349" s="175">
        <f t="shared" si="29"/>
        <v>10000</v>
      </c>
      <c r="L1349" s="175"/>
      <c r="M1349" s="77" t="s">
        <v>18</v>
      </c>
      <c r="N1349" s="77" t="s">
        <v>22</v>
      </c>
      <c r="O1349" s="177" t="s">
        <v>418</v>
      </c>
    </row>
    <row r="1350" spans="2:15" s="12" customFormat="1" ht="25.5">
      <c r="B1350" s="372" t="s">
        <v>99</v>
      </c>
      <c r="C1350" s="75" t="s">
        <v>1862</v>
      </c>
      <c r="D1350" s="177" t="s">
        <v>1065</v>
      </c>
      <c r="E1350" s="370">
        <v>3</v>
      </c>
      <c r="F1350" s="370">
        <v>3</v>
      </c>
      <c r="G1350" s="370"/>
      <c r="H1350" s="370">
        <v>3</v>
      </c>
      <c r="I1350" s="363">
        <f>SUM(Tabla132112412[[#This Row],[PRIMER TRIMESTRE]:[CUARTO TRIMESTRE]])</f>
        <v>9</v>
      </c>
      <c r="J1350" s="175"/>
      <c r="K1350" s="175"/>
      <c r="L1350" s="175"/>
      <c r="M1350" s="77"/>
      <c r="N1350" s="77"/>
      <c r="O1350" s="177"/>
    </row>
    <row r="1351" spans="2:15" s="12" customFormat="1" ht="25.5">
      <c r="B1351" s="372" t="s">
        <v>99</v>
      </c>
      <c r="C1351" s="75" t="s">
        <v>1863</v>
      </c>
      <c r="D1351" s="177" t="str">
        <f>+D1350</f>
        <v>PAQUETE</v>
      </c>
      <c r="E1351" s="370">
        <v>5</v>
      </c>
      <c r="F1351" s="370">
        <v>5</v>
      </c>
      <c r="G1351" s="370">
        <v>5</v>
      </c>
      <c r="H1351" s="370">
        <v>5</v>
      </c>
      <c r="I1351" s="363">
        <f>SUM(Tabla132112412[[#This Row],[PRIMER TRIMESTRE]:[CUARTO TRIMESTRE]])</f>
        <v>20</v>
      </c>
      <c r="J1351" s="175"/>
      <c r="K1351" s="175"/>
      <c r="L1351" s="175"/>
      <c r="M1351" s="77"/>
      <c r="N1351" s="77"/>
      <c r="O1351" s="177"/>
    </row>
    <row r="1352" spans="2:15" s="12" customFormat="1" ht="38.25">
      <c r="B1352" s="372" t="s">
        <v>99</v>
      </c>
      <c r="C1352" s="77" t="s">
        <v>1069</v>
      </c>
      <c r="D1352" s="177" t="s">
        <v>718</v>
      </c>
      <c r="E1352" s="370">
        <v>1</v>
      </c>
      <c r="F1352" s="370">
        <v>0</v>
      </c>
      <c r="G1352" s="370">
        <v>0</v>
      </c>
      <c r="H1352" s="370">
        <v>0</v>
      </c>
      <c r="I1352" s="363">
        <f>SUM(Tabla132112412[[#This Row],[PRIMER TRIMESTRE]:[CUARTO TRIMESTRE]])</f>
        <v>1</v>
      </c>
      <c r="J1352" s="175">
        <v>10000</v>
      </c>
      <c r="K1352" s="175">
        <f t="shared" si="29"/>
        <v>10000</v>
      </c>
      <c r="L1352" s="175"/>
      <c r="M1352" s="77" t="s">
        <v>18</v>
      </c>
      <c r="N1352" s="77" t="s">
        <v>22</v>
      </c>
      <c r="O1352" s="177" t="s">
        <v>418</v>
      </c>
    </row>
    <row r="1353" spans="2:15" s="12" customFormat="1" ht="38.25">
      <c r="B1353" s="372" t="s">
        <v>99</v>
      </c>
      <c r="C1353" s="77" t="s">
        <v>1070</v>
      </c>
      <c r="D1353" s="177" t="s">
        <v>208</v>
      </c>
      <c r="E1353" s="370">
        <v>1</v>
      </c>
      <c r="F1353" s="370">
        <v>0</v>
      </c>
      <c r="G1353" s="370">
        <v>0</v>
      </c>
      <c r="H1353" s="370">
        <v>0</v>
      </c>
      <c r="I1353" s="363">
        <f>SUM(Tabla132112412[[#This Row],[PRIMER TRIMESTRE]:[CUARTO TRIMESTRE]])</f>
        <v>1</v>
      </c>
      <c r="J1353" s="175">
        <v>10000</v>
      </c>
      <c r="K1353" s="175">
        <f t="shared" si="29"/>
        <v>10000</v>
      </c>
      <c r="L1353" s="175"/>
      <c r="M1353" s="77" t="s">
        <v>18</v>
      </c>
      <c r="N1353" s="77" t="s">
        <v>22</v>
      </c>
      <c r="O1353" s="177" t="s">
        <v>418</v>
      </c>
    </row>
    <row r="1354" spans="2:15" s="12" customFormat="1" ht="18">
      <c r="B1354" s="372" t="s">
        <v>99</v>
      </c>
      <c r="C1354" s="77" t="s">
        <v>1071</v>
      </c>
      <c r="D1354" s="177" t="s">
        <v>1065</v>
      </c>
      <c r="E1354" s="370">
        <v>11</v>
      </c>
      <c r="F1354" s="370">
        <v>10</v>
      </c>
      <c r="G1354" s="370">
        <v>10</v>
      </c>
      <c r="H1354" s="370">
        <v>10</v>
      </c>
      <c r="I1354" s="363">
        <f>SUM(Tabla132112412[[#This Row],[PRIMER TRIMESTRE]:[CUARTO TRIMESTRE]])</f>
        <v>41</v>
      </c>
      <c r="J1354" s="175">
        <v>800</v>
      </c>
      <c r="K1354" s="175">
        <f t="shared" si="29"/>
        <v>32800</v>
      </c>
      <c r="L1354" s="175"/>
      <c r="M1354" s="77" t="s">
        <v>18</v>
      </c>
      <c r="N1354" s="77" t="s">
        <v>22</v>
      </c>
      <c r="O1354" s="177" t="s">
        <v>418</v>
      </c>
    </row>
    <row r="1355" spans="2:15" s="12" customFormat="1" ht="25.5">
      <c r="B1355" s="372" t="s">
        <v>99</v>
      </c>
      <c r="C1355" s="77" t="s">
        <v>1072</v>
      </c>
      <c r="D1355" s="177" t="s">
        <v>1073</v>
      </c>
      <c r="E1355" s="370">
        <v>1</v>
      </c>
      <c r="F1355" s="370">
        <v>5</v>
      </c>
      <c r="G1355" s="370">
        <v>0</v>
      </c>
      <c r="H1355" s="370">
        <v>5</v>
      </c>
      <c r="I1355" s="363">
        <f>SUM(Tabla132112412[[#This Row],[PRIMER TRIMESTRE]:[CUARTO TRIMESTRE]])</f>
        <v>11</v>
      </c>
      <c r="J1355" s="175">
        <v>7500</v>
      </c>
      <c r="K1355" s="175">
        <f t="shared" si="29"/>
        <v>82500</v>
      </c>
      <c r="L1355" s="175"/>
      <c r="M1355" s="77" t="s">
        <v>18</v>
      </c>
      <c r="N1355" s="77" t="s">
        <v>22</v>
      </c>
      <c r="O1355" s="177" t="s">
        <v>418</v>
      </c>
    </row>
    <row r="1356" spans="2:15" s="12" customFormat="1" ht="18">
      <c r="B1356" s="372" t="s">
        <v>99</v>
      </c>
      <c r="C1356" s="77" t="s">
        <v>1074</v>
      </c>
      <c r="D1356" s="177" t="s">
        <v>1067</v>
      </c>
      <c r="E1356" s="370">
        <v>6</v>
      </c>
      <c r="F1356" s="370">
        <v>5</v>
      </c>
      <c r="G1356" s="370">
        <v>5</v>
      </c>
      <c r="H1356" s="370">
        <v>5</v>
      </c>
      <c r="I1356" s="363">
        <f>SUM(Tabla132112412[[#This Row],[PRIMER TRIMESTRE]:[CUARTO TRIMESTRE]])</f>
        <v>21</v>
      </c>
      <c r="J1356" s="175">
        <v>1000</v>
      </c>
      <c r="K1356" s="175">
        <f t="shared" si="29"/>
        <v>21000</v>
      </c>
      <c r="L1356" s="175"/>
      <c r="M1356" s="77" t="s">
        <v>18</v>
      </c>
      <c r="N1356" s="77" t="s">
        <v>22</v>
      </c>
      <c r="O1356" s="177" t="s">
        <v>418</v>
      </c>
    </row>
    <row r="1357" spans="2:15" s="12" customFormat="1" ht="25.5">
      <c r="B1357" s="372" t="s">
        <v>99</v>
      </c>
      <c r="C1357" s="77" t="s">
        <v>1075</v>
      </c>
      <c r="D1357" s="177" t="s">
        <v>1067</v>
      </c>
      <c r="E1357" s="370">
        <v>6</v>
      </c>
      <c r="F1357" s="370">
        <v>5</v>
      </c>
      <c r="G1357" s="370">
        <v>5</v>
      </c>
      <c r="H1357" s="370">
        <v>5</v>
      </c>
      <c r="I1357" s="363">
        <f>SUM(Tabla132112412[[#This Row],[PRIMER TRIMESTRE]:[CUARTO TRIMESTRE]])</f>
        <v>21</v>
      </c>
      <c r="J1357" s="175">
        <v>2500</v>
      </c>
      <c r="K1357" s="175">
        <f t="shared" si="29"/>
        <v>52500</v>
      </c>
      <c r="L1357" s="175"/>
      <c r="M1357" s="77" t="s">
        <v>18</v>
      </c>
      <c r="N1357" s="77" t="s">
        <v>22</v>
      </c>
      <c r="O1357" s="177" t="s">
        <v>418</v>
      </c>
    </row>
    <row r="1358" spans="2:15" s="12" customFormat="1" ht="25.5">
      <c r="B1358" s="372" t="s">
        <v>99</v>
      </c>
      <c r="C1358" s="77" t="s">
        <v>1076</v>
      </c>
      <c r="D1358" s="177" t="s">
        <v>1067</v>
      </c>
      <c r="E1358" s="370">
        <v>3</v>
      </c>
      <c r="F1358" s="370">
        <v>2</v>
      </c>
      <c r="G1358" s="370">
        <v>2</v>
      </c>
      <c r="H1358" s="370">
        <v>2</v>
      </c>
      <c r="I1358" s="363">
        <f>SUM(Tabla132112412[[#This Row],[PRIMER TRIMESTRE]:[CUARTO TRIMESTRE]])</f>
        <v>9</v>
      </c>
      <c r="J1358" s="175">
        <v>10000</v>
      </c>
      <c r="K1358" s="175">
        <f t="shared" si="29"/>
        <v>90000</v>
      </c>
      <c r="L1358" s="175"/>
      <c r="M1358" s="77" t="s">
        <v>18</v>
      </c>
      <c r="N1358" s="77" t="s">
        <v>22</v>
      </c>
      <c r="O1358" s="177" t="s">
        <v>418</v>
      </c>
    </row>
    <row r="1359" spans="2:15" s="12" customFormat="1" ht="25.5">
      <c r="B1359" s="372" t="s">
        <v>99</v>
      </c>
      <c r="C1359" s="77" t="s">
        <v>1077</v>
      </c>
      <c r="D1359" s="177" t="s">
        <v>718</v>
      </c>
      <c r="E1359" s="370">
        <v>4</v>
      </c>
      <c r="F1359" s="370">
        <v>3</v>
      </c>
      <c r="G1359" s="370">
        <v>3</v>
      </c>
      <c r="H1359" s="370">
        <v>3</v>
      </c>
      <c r="I1359" s="363">
        <f>SUM(Tabla132112412[[#This Row],[PRIMER TRIMESTRE]:[CUARTO TRIMESTRE]])</f>
        <v>13</v>
      </c>
      <c r="J1359" s="175">
        <v>10000</v>
      </c>
      <c r="K1359" s="175">
        <f t="shared" si="29"/>
        <v>130000</v>
      </c>
      <c r="L1359" s="175"/>
      <c r="M1359" s="77" t="s">
        <v>18</v>
      </c>
      <c r="N1359" s="77" t="s">
        <v>22</v>
      </c>
      <c r="O1359" s="177" t="s">
        <v>418</v>
      </c>
    </row>
    <row r="1360" spans="2:15" s="12" customFormat="1" ht="38.25">
      <c r="B1360" s="372" t="s">
        <v>99</v>
      </c>
      <c r="C1360" s="77" t="s">
        <v>1078</v>
      </c>
      <c r="D1360" s="177" t="s">
        <v>1067</v>
      </c>
      <c r="E1360" s="370">
        <v>1</v>
      </c>
      <c r="F1360" s="370">
        <v>0</v>
      </c>
      <c r="G1360" s="370">
        <v>0</v>
      </c>
      <c r="H1360" s="370">
        <v>6</v>
      </c>
      <c r="I1360" s="363">
        <f>SUM(Tabla132112412[[#This Row],[PRIMER TRIMESTRE]:[CUARTO TRIMESTRE]])</f>
        <v>7</v>
      </c>
      <c r="J1360" s="175">
        <v>1000</v>
      </c>
      <c r="K1360" s="175">
        <f t="shared" si="29"/>
        <v>7000</v>
      </c>
      <c r="L1360" s="175"/>
      <c r="M1360" s="77" t="s">
        <v>18</v>
      </c>
      <c r="N1360" s="77" t="s">
        <v>22</v>
      </c>
      <c r="O1360" s="177" t="s">
        <v>418</v>
      </c>
    </row>
    <row r="1361" spans="2:15" s="12" customFormat="1" ht="18">
      <c r="B1361" s="372" t="s">
        <v>99</v>
      </c>
      <c r="C1361" s="77" t="s">
        <v>1079</v>
      </c>
      <c r="D1361" s="177" t="s">
        <v>208</v>
      </c>
      <c r="E1361" s="370">
        <v>3</v>
      </c>
      <c r="F1361" s="370">
        <v>0</v>
      </c>
      <c r="G1361" s="370">
        <v>0</v>
      </c>
      <c r="H1361" s="370">
        <v>2</v>
      </c>
      <c r="I1361" s="363">
        <f>SUM(Tabla132112412[[#This Row],[PRIMER TRIMESTRE]:[CUARTO TRIMESTRE]])</f>
        <v>5</v>
      </c>
      <c r="J1361" s="175">
        <v>250</v>
      </c>
      <c r="K1361" s="175">
        <f t="shared" si="29"/>
        <v>1250</v>
      </c>
      <c r="L1361" s="175"/>
      <c r="M1361" s="77" t="s">
        <v>18</v>
      </c>
      <c r="N1361" s="77" t="s">
        <v>22</v>
      </c>
      <c r="O1361" s="177" t="s">
        <v>418</v>
      </c>
    </row>
    <row r="1362" spans="2:15" s="12" customFormat="1" ht="38.25">
      <c r="B1362" s="372" t="s">
        <v>99</v>
      </c>
      <c r="C1362" s="77" t="s">
        <v>1080</v>
      </c>
      <c r="D1362" s="177" t="s">
        <v>1067</v>
      </c>
      <c r="E1362" s="370">
        <v>3</v>
      </c>
      <c r="F1362" s="370">
        <v>0</v>
      </c>
      <c r="G1362" s="370">
        <v>0</v>
      </c>
      <c r="H1362" s="370">
        <v>6</v>
      </c>
      <c r="I1362" s="363">
        <f>SUM(Tabla132112412[[#This Row],[PRIMER TRIMESTRE]:[CUARTO TRIMESTRE]])</f>
        <v>9</v>
      </c>
      <c r="J1362" s="175">
        <v>1000</v>
      </c>
      <c r="K1362" s="175">
        <f t="shared" si="29"/>
        <v>9000</v>
      </c>
      <c r="L1362" s="175"/>
      <c r="M1362" s="77" t="s">
        <v>18</v>
      </c>
      <c r="N1362" s="77" t="s">
        <v>22</v>
      </c>
      <c r="O1362" s="177" t="s">
        <v>418</v>
      </c>
    </row>
    <row r="1363" spans="2:15" s="12" customFormat="1" ht="38.25">
      <c r="B1363" s="372" t="s">
        <v>99</v>
      </c>
      <c r="C1363" s="77" t="s">
        <v>1081</v>
      </c>
      <c r="D1363" s="177" t="s">
        <v>1067</v>
      </c>
      <c r="E1363" s="370">
        <v>3</v>
      </c>
      <c r="F1363" s="370">
        <v>0</v>
      </c>
      <c r="G1363" s="370">
        <v>0</v>
      </c>
      <c r="H1363" s="370">
        <v>4</v>
      </c>
      <c r="I1363" s="363">
        <f>SUM(Tabla132112412[[#This Row],[PRIMER TRIMESTRE]:[CUARTO TRIMESTRE]])</f>
        <v>7</v>
      </c>
      <c r="J1363" s="175">
        <v>1000</v>
      </c>
      <c r="K1363" s="175">
        <f t="shared" si="29"/>
        <v>7000</v>
      </c>
      <c r="L1363" s="175"/>
      <c r="M1363" s="77" t="s">
        <v>18</v>
      </c>
      <c r="N1363" s="77" t="s">
        <v>22</v>
      </c>
      <c r="O1363" s="177" t="s">
        <v>418</v>
      </c>
    </row>
    <row r="1364" spans="2:15" s="12" customFormat="1" ht="38.25">
      <c r="B1364" s="372" t="s">
        <v>99</v>
      </c>
      <c r="C1364" s="77" t="s">
        <v>1082</v>
      </c>
      <c r="D1364" s="177" t="s">
        <v>1067</v>
      </c>
      <c r="E1364" s="370">
        <v>3</v>
      </c>
      <c r="F1364" s="370">
        <v>0</v>
      </c>
      <c r="G1364" s="370">
        <v>0</v>
      </c>
      <c r="H1364" s="370">
        <v>4</v>
      </c>
      <c r="I1364" s="363">
        <f>SUM(Tabla132112412[[#This Row],[PRIMER TRIMESTRE]:[CUARTO TRIMESTRE]])</f>
        <v>7</v>
      </c>
      <c r="J1364" s="175">
        <v>1000</v>
      </c>
      <c r="K1364" s="175">
        <f t="shared" si="29"/>
        <v>7000</v>
      </c>
      <c r="L1364" s="175"/>
      <c r="M1364" s="77" t="s">
        <v>18</v>
      </c>
      <c r="N1364" s="77" t="s">
        <v>22</v>
      </c>
      <c r="O1364" s="177" t="s">
        <v>418</v>
      </c>
    </row>
    <row r="1365" spans="2:15" s="12" customFormat="1" ht="18">
      <c r="B1365" s="372" t="s">
        <v>99</v>
      </c>
      <c r="C1365" s="77" t="s">
        <v>1083</v>
      </c>
      <c r="D1365" s="177" t="s">
        <v>1067</v>
      </c>
      <c r="E1365" s="370">
        <v>10</v>
      </c>
      <c r="F1365" s="370">
        <v>0</v>
      </c>
      <c r="G1365" s="370">
        <v>0</v>
      </c>
      <c r="H1365" s="370">
        <v>0</v>
      </c>
      <c r="I1365" s="363">
        <f>SUM(Tabla132112412[[#This Row],[PRIMER TRIMESTRE]:[CUARTO TRIMESTRE]])</f>
        <v>10</v>
      </c>
      <c r="J1365" s="175">
        <v>300</v>
      </c>
      <c r="K1365" s="175">
        <f t="shared" si="29"/>
        <v>3000</v>
      </c>
      <c r="L1365" s="175"/>
      <c r="M1365" s="77" t="s">
        <v>18</v>
      </c>
      <c r="N1365" s="77" t="s">
        <v>22</v>
      </c>
      <c r="O1365" s="177" t="s">
        <v>418</v>
      </c>
    </row>
    <row r="1366" spans="2:15" s="12" customFormat="1" ht="18">
      <c r="B1366" s="372" t="s">
        <v>99</v>
      </c>
      <c r="C1366" s="77" t="s">
        <v>1084</v>
      </c>
      <c r="D1366" s="177" t="s">
        <v>1067</v>
      </c>
      <c r="E1366" s="370">
        <v>6</v>
      </c>
      <c r="F1366" s="370">
        <v>1</v>
      </c>
      <c r="G1366" s="370">
        <v>6</v>
      </c>
      <c r="H1366" s="370">
        <v>6</v>
      </c>
      <c r="I1366" s="363">
        <f>SUM(Tabla132112412[[#This Row],[PRIMER TRIMESTRE]:[CUARTO TRIMESTRE]])</f>
        <v>19</v>
      </c>
      <c r="J1366" s="175">
        <v>1500</v>
      </c>
      <c r="K1366" s="175">
        <f t="shared" si="29"/>
        <v>28500</v>
      </c>
      <c r="L1366" s="175"/>
      <c r="M1366" s="77" t="s">
        <v>18</v>
      </c>
      <c r="N1366" s="77" t="s">
        <v>22</v>
      </c>
      <c r="O1366" s="177" t="s">
        <v>418</v>
      </c>
    </row>
    <row r="1367" spans="2:15" s="12" customFormat="1" ht="25.5">
      <c r="B1367" s="372" t="s">
        <v>99</v>
      </c>
      <c r="C1367" s="77" t="s">
        <v>1085</v>
      </c>
      <c r="D1367" s="177" t="s">
        <v>1067</v>
      </c>
      <c r="E1367" s="370">
        <v>5</v>
      </c>
      <c r="F1367" s="370">
        <v>0</v>
      </c>
      <c r="G1367" s="370">
        <v>0</v>
      </c>
      <c r="H1367" s="370">
        <v>0</v>
      </c>
      <c r="I1367" s="363">
        <f>SUM(Tabla132112412[[#This Row],[PRIMER TRIMESTRE]:[CUARTO TRIMESTRE]])</f>
        <v>5</v>
      </c>
      <c r="J1367" s="175">
        <v>700</v>
      </c>
      <c r="K1367" s="175">
        <f t="shared" si="29"/>
        <v>3500</v>
      </c>
      <c r="L1367" s="175"/>
      <c r="M1367" s="77" t="s">
        <v>18</v>
      </c>
      <c r="N1367" s="77" t="s">
        <v>22</v>
      </c>
      <c r="O1367" s="177" t="s">
        <v>418</v>
      </c>
    </row>
    <row r="1368" spans="2:15" s="12" customFormat="1" ht="18">
      <c r="B1368" s="372" t="s">
        <v>99</v>
      </c>
      <c r="C1368" s="77" t="s">
        <v>1086</v>
      </c>
      <c r="D1368" s="177" t="s">
        <v>1067</v>
      </c>
      <c r="E1368" s="370">
        <v>10</v>
      </c>
      <c r="F1368" s="370">
        <v>3</v>
      </c>
      <c r="G1368" s="370">
        <v>8</v>
      </c>
      <c r="H1368" s="370">
        <v>3</v>
      </c>
      <c r="I1368" s="363">
        <f>SUM(Tabla132112412[[#This Row],[PRIMER TRIMESTRE]:[CUARTO TRIMESTRE]])</f>
        <v>24</v>
      </c>
      <c r="J1368" s="175">
        <v>1500</v>
      </c>
      <c r="K1368" s="175">
        <f t="shared" si="29"/>
        <v>36000</v>
      </c>
      <c r="L1368" s="175"/>
      <c r="M1368" s="77" t="s">
        <v>18</v>
      </c>
      <c r="N1368" s="77" t="s">
        <v>22</v>
      </c>
      <c r="O1368" s="177" t="s">
        <v>418</v>
      </c>
    </row>
    <row r="1369" spans="2:15" s="12" customFormat="1" ht="25.5">
      <c r="B1369" s="372" t="s">
        <v>99</v>
      </c>
      <c r="C1369" s="77" t="s">
        <v>1087</v>
      </c>
      <c r="D1369" s="177" t="s">
        <v>208</v>
      </c>
      <c r="E1369" s="370">
        <v>10</v>
      </c>
      <c r="F1369" s="370">
        <v>0</v>
      </c>
      <c r="G1369" s="370">
        <v>2</v>
      </c>
      <c r="H1369" s="370">
        <v>2</v>
      </c>
      <c r="I1369" s="363">
        <f>SUM(Tabla132112412[[#This Row],[PRIMER TRIMESTRE]:[CUARTO TRIMESTRE]])</f>
        <v>14</v>
      </c>
      <c r="J1369" s="175">
        <v>500</v>
      </c>
      <c r="K1369" s="175">
        <f t="shared" si="29"/>
        <v>7000</v>
      </c>
      <c r="L1369" s="175"/>
      <c r="M1369" s="77" t="s">
        <v>18</v>
      </c>
      <c r="N1369" s="77" t="s">
        <v>22</v>
      </c>
      <c r="O1369" s="177" t="s">
        <v>418</v>
      </c>
    </row>
    <row r="1370" spans="2:15" s="12" customFormat="1" ht="51">
      <c r="B1370" s="372" t="s">
        <v>99</v>
      </c>
      <c r="C1370" s="77" t="s">
        <v>1088</v>
      </c>
      <c r="D1370" s="177" t="s">
        <v>1067</v>
      </c>
      <c r="E1370" s="370">
        <v>1</v>
      </c>
      <c r="F1370" s="370">
        <v>0</v>
      </c>
      <c r="G1370" s="370">
        <v>0</v>
      </c>
      <c r="H1370" s="370">
        <v>0</v>
      </c>
      <c r="I1370" s="363">
        <f>SUM(Tabla132112412[[#This Row],[PRIMER TRIMESTRE]:[CUARTO TRIMESTRE]])</f>
        <v>1</v>
      </c>
      <c r="J1370" s="175">
        <v>15000</v>
      </c>
      <c r="K1370" s="175">
        <f t="shared" si="29"/>
        <v>15000</v>
      </c>
      <c r="L1370" s="175"/>
      <c r="M1370" s="77" t="s">
        <v>18</v>
      </c>
      <c r="N1370" s="77" t="s">
        <v>22</v>
      </c>
      <c r="O1370" s="177" t="s">
        <v>418</v>
      </c>
    </row>
    <row r="1371" spans="2:15" s="12" customFormat="1" ht="25.5">
      <c r="B1371" s="372" t="s">
        <v>99</v>
      </c>
      <c r="C1371" s="77" t="s">
        <v>1089</v>
      </c>
      <c r="D1371" s="177" t="s">
        <v>1090</v>
      </c>
      <c r="E1371" s="370">
        <v>202</v>
      </c>
      <c r="F1371" s="370">
        <v>200</v>
      </c>
      <c r="G1371" s="370">
        <v>200</v>
      </c>
      <c r="H1371" s="370">
        <v>200</v>
      </c>
      <c r="I1371" s="363">
        <f>SUM(Tabla132112412[[#This Row],[PRIMER TRIMESTRE]:[CUARTO TRIMESTRE]])</f>
        <v>802</v>
      </c>
      <c r="J1371" s="175">
        <v>50</v>
      </c>
      <c r="K1371" s="175">
        <f t="shared" si="29"/>
        <v>40100</v>
      </c>
      <c r="L1371" s="175"/>
      <c r="M1371" s="77" t="s">
        <v>18</v>
      </c>
      <c r="N1371" s="77" t="s">
        <v>22</v>
      </c>
      <c r="O1371" s="177" t="s">
        <v>418</v>
      </c>
    </row>
    <row r="1372" spans="2:15" s="12" customFormat="1" ht="25.5">
      <c r="B1372" s="372" t="s">
        <v>99</v>
      </c>
      <c r="C1372" s="77" t="s">
        <v>1091</v>
      </c>
      <c r="D1372" s="177" t="s">
        <v>718</v>
      </c>
      <c r="E1372" s="370">
        <v>2</v>
      </c>
      <c r="F1372" s="370">
        <v>0</v>
      </c>
      <c r="G1372" s="370">
        <v>1</v>
      </c>
      <c r="H1372" s="370">
        <v>0</v>
      </c>
      <c r="I1372" s="363">
        <f>SUM(Tabla132112412[[#This Row],[PRIMER TRIMESTRE]:[CUARTO TRIMESTRE]])</f>
        <v>3</v>
      </c>
      <c r="J1372" s="175">
        <v>2000</v>
      </c>
      <c r="K1372" s="175">
        <f t="shared" si="29"/>
        <v>6000</v>
      </c>
      <c r="L1372" s="175"/>
      <c r="M1372" s="77" t="s">
        <v>18</v>
      </c>
      <c r="N1372" s="77" t="s">
        <v>22</v>
      </c>
      <c r="O1372" s="177" t="s">
        <v>418</v>
      </c>
    </row>
    <row r="1373" spans="2:15" s="12" customFormat="1" ht="25.5">
      <c r="B1373" s="372" t="s">
        <v>99</v>
      </c>
      <c r="C1373" s="77" t="s">
        <v>1092</v>
      </c>
      <c r="D1373" s="177" t="s">
        <v>1067</v>
      </c>
      <c r="E1373" s="370">
        <v>11</v>
      </c>
      <c r="F1373" s="370">
        <v>0</v>
      </c>
      <c r="G1373" s="370">
        <v>0</v>
      </c>
      <c r="H1373" s="370">
        <v>5</v>
      </c>
      <c r="I1373" s="363">
        <f>SUM(Tabla132112412[[#This Row],[PRIMER TRIMESTRE]:[CUARTO TRIMESTRE]])</f>
        <v>16</v>
      </c>
      <c r="J1373" s="175">
        <v>200</v>
      </c>
      <c r="K1373" s="175">
        <f t="shared" si="29"/>
        <v>3200</v>
      </c>
      <c r="L1373" s="175"/>
      <c r="M1373" s="77" t="s">
        <v>27</v>
      </c>
      <c r="N1373" s="77" t="s">
        <v>22</v>
      </c>
      <c r="O1373" s="177" t="s">
        <v>418</v>
      </c>
    </row>
    <row r="1374" spans="2:15" s="12" customFormat="1" ht="25.5">
      <c r="B1374" s="372" t="s">
        <v>99</v>
      </c>
      <c r="C1374" s="77" t="s">
        <v>1093</v>
      </c>
      <c r="D1374" s="177" t="s">
        <v>1067</v>
      </c>
      <c r="E1374" s="370">
        <v>20</v>
      </c>
      <c r="F1374" s="370">
        <v>0</v>
      </c>
      <c r="G1374" s="370">
        <v>0</v>
      </c>
      <c r="H1374" s="370">
        <v>10</v>
      </c>
      <c r="I1374" s="363">
        <f>SUM(Tabla132112412[[#This Row],[PRIMER TRIMESTRE]:[CUARTO TRIMESTRE]])</f>
        <v>30</v>
      </c>
      <c r="J1374" s="175">
        <v>100</v>
      </c>
      <c r="K1374" s="175">
        <f t="shared" si="29"/>
        <v>3000</v>
      </c>
      <c r="L1374" s="175"/>
      <c r="M1374" s="77" t="s">
        <v>18</v>
      </c>
      <c r="N1374" s="77" t="s">
        <v>22</v>
      </c>
      <c r="O1374" s="177" t="s">
        <v>418</v>
      </c>
    </row>
    <row r="1375" spans="2:15" s="12" customFormat="1" ht="18">
      <c r="B1375" s="372" t="s">
        <v>99</v>
      </c>
      <c r="C1375" s="77" t="s">
        <v>1094</v>
      </c>
      <c r="D1375" s="177" t="s">
        <v>208</v>
      </c>
      <c r="E1375" s="370">
        <v>11</v>
      </c>
      <c r="F1375" s="370">
        <v>0</v>
      </c>
      <c r="G1375" s="370">
        <v>0</v>
      </c>
      <c r="H1375" s="370">
        <v>10</v>
      </c>
      <c r="I1375" s="363">
        <f>SUM(Tabla132112412[[#This Row],[PRIMER TRIMESTRE]:[CUARTO TRIMESTRE]])</f>
        <v>21</v>
      </c>
      <c r="J1375" s="175">
        <v>200</v>
      </c>
      <c r="K1375" s="175">
        <f t="shared" si="29"/>
        <v>4200</v>
      </c>
      <c r="L1375" s="175"/>
      <c r="M1375" s="77" t="s">
        <v>18</v>
      </c>
      <c r="N1375" s="77" t="s">
        <v>22</v>
      </c>
      <c r="O1375" s="177" t="s">
        <v>418</v>
      </c>
    </row>
    <row r="1376" spans="2:15" s="12" customFormat="1" ht="18">
      <c r="B1376" s="372" t="s">
        <v>99</v>
      </c>
      <c r="C1376" s="77" t="s">
        <v>1095</v>
      </c>
      <c r="D1376" s="177" t="s">
        <v>208</v>
      </c>
      <c r="E1376" s="370">
        <v>11</v>
      </c>
      <c r="F1376" s="370">
        <v>0</v>
      </c>
      <c r="G1376" s="370">
        <v>0</v>
      </c>
      <c r="H1376" s="370">
        <v>10</v>
      </c>
      <c r="I1376" s="363">
        <f>SUM(Tabla132112412[[#This Row],[PRIMER TRIMESTRE]:[CUARTO TRIMESTRE]])</f>
        <v>21</v>
      </c>
      <c r="J1376" s="175">
        <v>200</v>
      </c>
      <c r="K1376" s="175">
        <f t="shared" si="29"/>
        <v>4200</v>
      </c>
      <c r="L1376" s="175"/>
      <c r="M1376" s="77" t="s">
        <v>18</v>
      </c>
      <c r="N1376" s="77" t="s">
        <v>22</v>
      </c>
      <c r="O1376" s="177" t="s">
        <v>418</v>
      </c>
    </row>
    <row r="1377" spans="2:15" s="12" customFormat="1" ht="18">
      <c r="B1377" s="372" t="s">
        <v>99</v>
      </c>
      <c r="C1377" s="77" t="s">
        <v>1096</v>
      </c>
      <c r="D1377" s="177" t="s">
        <v>208</v>
      </c>
      <c r="E1377" s="370">
        <v>8</v>
      </c>
      <c r="F1377" s="370">
        <v>2</v>
      </c>
      <c r="G1377" s="370">
        <v>2</v>
      </c>
      <c r="H1377" s="370">
        <v>7</v>
      </c>
      <c r="I1377" s="363">
        <f>SUM(Tabla132112412[[#This Row],[PRIMER TRIMESTRE]:[CUARTO TRIMESTRE]])</f>
        <v>19</v>
      </c>
      <c r="J1377" s="175">
        <v>500</v>
      </c>
      <c r="K1377" s="175">
        <f t="shared" si="29"/>
        <v>9500</v>
      </c>
      <c r="L1377" s="175"/>
      <c r="M1377" s="77" t="s">
        <v>18</v>
      </c>
      <c r="N1377" s="77" t="s">
        <v>22</v>
      </c>
      <c r="O1377" s="177" t="s">
        <v>418</v>
      </c>
    </row>
    <row r="1378" spans="2:15" s="12" customFormat="1" ht="18">
      <c r="B1378" s="372" t="s">
        <v>99</v>
      </c>
      <c r="C1378" s="77" t="s">
        <v>1098</v>
      </c>
      <c r="D1378" s="177" t="s">
        <v>1099</v>
      </c>
      <c r="E1378" s="370">
        <v>10</v>
      </c>
      <c r="F1378" s="370">
        <v>0</v>
      </c>
      <c r="G1378" s="370">
        <v>0</v>
      </c>
      <c r="H1378" s="370">
        <v>0</v>
      </c>
      <c r="I1378" s="363">
        <f>SUM(Tabla132112412[[#This Row],[PRIMER TRIMESTRE]:[CUARTO TRIMESTRE]])</f>
        <v>10</v>
      </c>
      <c r="J1378" s="175">
        <v>115</v>
      </c>
      <c r="K1378" s="175">
        <f t="shared" si="29"/>
        <v>1150</v>
      </c>
      <c r="L1378" s="175"/>
      <c r="M1378" s="77" t="s">
        <v>18</v>
      </c>
      <c r="N1378" s="77" t="s">
        <v>22</v>
      </c>
      <c r="O1378" s="177" t="s">
        <v>418</v>
      </c>
    </row>
    <row r="1379" spans="2:15" s="12" customFormat="1" ht="18">
      <c r="B1379" s="372" t="s">
        <v>99</v>
      </c>
      <c r="C1379" s="77" t="s">
        <v>1100</v>
      </c>
      <c r="D1379" s="177" t="s">
        <v>1067</v>
      </c>
      <c r="E1379" s="370">
        <v>10</v>
      </c>
      <c r="F1379" s="370">
        <v>0</v>
      </c>
      <c r="G1379" s="370">
        <v>0</v>
      </c>
      <c r="H1379" s="370">
        <v>0</v>
      </c>
      <c r="I1379" s="363">
        <f>SUM(Tabla132112412[[#This Row],[PRIMER TRIMESTRE]:[CUARTO TRIMESTRE]])</f>
        <v>10</v>
      </c>
      <c r="J1379" s="175">
        <v>50</v>
      </c>
      <c r="K1379" s="175">
        <f t="shared" si="29"/>
        <v>500</v>
      </c>
      <c r="L1379" s="175"/>
      <c r="M1379" s="77" t="s">
        <v>18</v>
      </c>
      <c r="N1379" s="77" t="s">
        <v>22</v>
      </c>
      <c r="O1379" s="177" t="s">
        <v>418</v>
      </c>
    </row>
    <row r="1380" spans="2:15" s="12" customFormat="1" ht="18">
      <c r="B1380" s="372" t="s">
        <v>99</v>
      </c>
      <c r="C1380" s="77" t="s">
        <v>1101</v>
      </c>
      <c r="D1380" s="177" t="s">
        <v>35</v>
      </c>
      <c r="E1380" s="370">
        <v>2</v>
      </c>
      <c r="F1380" s="370">
        <v>0</v>
      </c>
      <c r="G1380" s="370">
        <v>0</v>
      </c>
      <c r="H1380" s="370">
        <v>2</v>
      </c>
      <c r="I1380" s="363">
        <f>SUM(Tabla132112412[[#This Row],[PRIMER TRIMESTRE]:[CUARTO TRIMESTRE]])</f>
        <v>4</v>
      </c>
      <c r="J1380" s="175">
        <v>2000</v>
      </c>
      <c r="K1380" s="175">
        <f t="shared" si="29"/>
        <v>8000</v>
      </c>
      <c r="L1380" s="175"/>
      <c r="M1380" s="77" t="s">
        <v>18</v>
      </c>
      <c r="N1380" s="77" t="s">
        <v>22</v>
      </c>
      <c r="O1380" s="177" t="s">
        <v>418</v>
      </c>
    </row>
    <row r="1381" spans="2:15" s="12" customFormat="1" ht="18">
      <c r="B1381" s="372" t="s">
        <v>99</v>
      </c>
      <c r="C1381" s="77" t="s">
        <v>1626</v>
      </c>
      <c r="D1381" s="177" t="s">
        <v>35</v>
      </c>
      <c r="E1381" s="370">
        <v>1</v>
      </c>
      <c r="F1381" s="370">
        <v>0</v>
      </c>
      <c r="G1381" s="370">
        <v>0</v>
      </c>
      <c r="H1381" s="370">
        <v>0</v>
      </c>
      <c r="I1381" s="363">
        <f>SUM(Tabla132112412[[#This Row],[PRIMER TRIMESTRE]:[CUARTO TRIMESTRE]])</f>
        <v>1</v>
      </c>
      <c r="J1381" s="175">
        <v>2850</v>
      </c>
      <c r="K1381" s="175">
        <f t="shared" si="29"/>
        <v>2850</v>
      </c>
      <c r="L1381" s="175"/>
      <c r="M1381" s="77" t="s">
        <v>18</v>
      </c>
      <c r="N1381" s="77" t="s">
        <v>22</v>
      </c>
      <c r="O1381" s="177" t="s">
        <v>418</v>
      </c>
    </row>
    <row r="1382" spans="2:15" s="12" customFormat="1" ht="18">
      <c r="B1382" s="372" t="s">
        <v>99</v>
      </c>
      <c r="C1382" s="77" t="s">
        <v>1102</v>
      </c>
      <c r="D1382" s="177" t="s">
        <v>1065</v>
      </c>
      <c r="E1382" s="370">
        <v>27</v>
      </c>
      <c r="F1382" s="370">
        <v>12</v>
      </c>
      <c r="G1382" s="370">
        <v>22</v>
      </c>
      <c r="H1382" s="370">
        <v>17</v>
      </c>
      <c r="I1382" s="363">
        <f>SUM(Tabla132112412[[#This Row],[PRIMER TRIMESTRE]:[CUARTO TRIMESTRE]])</f>
        <v>78</v>
      </c>
      <c r="J1382" s="175">
        <v>100</v>
      </c>
      <c r="K1382" s="175">
        <f t="shared" si="29"/>
        <v>7800</v>
      </c>
      <c r="L1382" s="175"/>
      <c r="M1382" s="77" t="s">
        <v>18</v>
      </c>
      <c r="N1382" s="77" t="s">
        <v>22</v>
      </c>
      <c r="O1382" s="177" t="s">
        <v>418</v>
      </c>
    </row>
    <row r="1383" spans="2:15" s="12" customFormat="1" ht="18">
      <c r="B1383" s="372" t="s">
        <v>99</v>
      </c>
      <c r="C1383" s="77" t="s">
        <v>1103</v>
      </c>
      <c r="D1383" s="177" t="s">
        <v>1065</v>
      </c>
      <c r="E1383" s="370">
        <v>27</v>
      </c>
      <c r="F1383" s="370">
        <v>12</v>
      </c>
      <c r="G1383" s="370">
        <v>22</v>
      </c>
      <c r="H1383" s="370">
        <v>17</v>
      </c>
      <c r="I1383" s="363">
        <f>SUM(Tabla132112412[[#This Row],[PRIMER TRIMESTRE]:[CUARTO TRIMESTRE]])</f>
        <v>78</v>
      </c>
      <c r="J1383" s="175">
        <v>100</v>
      </c>
      <c r="K1383" s="175">
        <f t="shared" ref="K1383:K1453" si="30">+I1383*J1383</f>
        <v>7800</v>
      </c>
      <c r="L1383" s="175"/>
      <c r="M1383" s="77" t="s">
        <v>18</v>
      </c>
      <c r="N1383" s="77" t="s">
        <v>22</v>
      </c>
      <c r="O1383" s="177" t="s">
        <v>418</v>
      </c>
    </row>
    <row r="1384" spans="2:15" s="12" customFormat="1" ht="18">
      <c r="B1384" s="372" t="s">
        <v>99</v>
      </c>
      <c r="C1384" s="77" t="s">
        <v>1104</v>
      </c>
      <c r="D1384" s="177" t="s">
        <v>102</v>
      </c>
      <c r="E1384" s="370">
        <v>17</v>
      </c>
      <c r="F1384" s="370">
        <v>17</v>
      </c>
      <c r="G1384" s="370">
        <v>17</v>
      </c>
      <c r="H1384" s="370">
        <v>17</v>
      </c>
      <c r="I1384" s="363">
        <f>SUM(Tabla132112412[[#This Row],[PRIMER TRIMESTRE]:[CUARTO TRIMESTRE]])</f>
        <v>68</v>
      </c>
      <c r="J1384" s="175">
        <v>600</v>
      </c>
      <c r="K1384" s="175">
        <f t="shared" si="30"/>
        <v>40800</v>
      </c>
      <c r="L1384" s="175"/>
      <c r="M1384" s="77" t="s">
        <v>18</v>
      </c>
      <c r="N1384" s="77" t="s">
        <v>22</v>
      </c>
      <c r="O1384" s="177" t="s">
        <v>418</v>
      </c>
    </row>
    <row r="1385" spans="2:15" s="12" customFormat="1" ht="18">
      <c r="B1385" s="372" t="s">
        <v>99</v>
      </c>
      <c r="C1385" s="77" t="s">
        <v>1106</v>
      </c>
      <c r="D1385" s="177" t="s">
        <v>149</v>
      </c>
      <c r="E1385" s="370">
        <v>30</v>
      </c>
      <c r="F1385" s="370">
        <v>30</v>
      </c>
      <c r="G1385" s="370">
        <v>30</v>
      </c>
      <c r="H1385" s="370">
        <v>30</v>
      </c>
      <c r="I1385" s="363">
        <f>SUM(Tabla132112412[[#This Row],[PRIMER TRIMESTRE]:[CUARTO TRIMESTRE]])</f>
        <v>120</v>
      </c>
      <c r="J1385" s="175">
        <v>80</v>
      </c>
      <c r="K1385" s="175">
        <f t="shared" si="30"/>
        <v>9600</v>
      </c>
      <c r="L1385" s="175"/>
      <c r="M1385" s="77" t="s">
        <v>18</v>
      </c>
      <c r="N1385" s="77" t="s">
        <v>22</v>
      </c>
      <c r="O1385" s="177" t="s">
        <v>418</v>
      </c>
    </row>
    <row r="1386" spans="2:15" s="12" customFormat="1" ht="18">
      <c r="B1386" s="372" t="s">
        <v>99</v>
      </c>
      <c r="C1386" s="77" t="s">
        <v>1107</v>
      </c>
      <c r="D1386" s="177" t="s">
        <v>149</v>
      </c>
      <c r="E1386" s="370">
        <v>25</v>
      </c>
      <c r="F1386" s="370">
        <v>25</v>
      </c>
      <c r="G1386" s="370">
        <v>25</v>
      </c>
      <c r="H1386" s="370">
        <v>25</v>
      </c>
      <c r="I1386" s="363">
        <f>SUM(Tabla132112412[[#This Row],[PRIMER TRIMESTRE]:[CUARTO TRIMESTRE]])</f>
        <v>100</v>
      </c>
      <c r="J1386" s="175">
        <v>80</v>
      </c>
      <c r="K1386" s="175">
        <f t="shared" si="30"/>
        <v>8000</v>
      </c>
      <c r="L1386" s="175"/>
      <c r="M1386" s="77" t="s">
        <v>18</v>
      </c>
      <c r="N1386" s="77" t="s">
        <v>22</v>
      </c>
      <c r="O1386" s="177" t="s">
        <v>418</v>
      </c>
    </row>
    <row r="1387" spans="2:15" s="12" customFormat="1" ht="18">
      <c r="B1387" s="372" t="s">
        <v>99</v>
      </c>
      <c r="C1387" s="77" t="s">
        <v>306</v>
      </c>
      <c r="D1387" s="177" t="s">
        <v>290</v>
      </c>
      <c r="E1387" s="370">
        <v>3</v>
      </c>
      <c r="F1387" s="370">
        <v>1</v>
      </c>
      <c r="G1387" s="370">
        <v>1</v>
      </c>
      <c r="H1387" s="370">
        <v>3</v>
      </c>
      <c r="I1387" s="363">
        <f>SUM(Tabla132112412[[#This Row],[PRIMER TRIMESTRE]:[CUARTO TRIMESTRE]])</f>
        <v>8</v>
      </c>
      <c r="J1387" s="175">
        <v>200</v>
      </c>
      <c r="K1387" s="175">
        <f t="shared" si="30"/>
        <v>1600</v>
      </c>
      <c r="L1387" s="175"/>
      <c r="M1387" s="77" t="s">
        <v>18</v>
      </c>
      <c r="N1387" s="77" t="s">
        <v>22</v>
      </c>
      <c r="O1387" s="177" t="s">
        <v>418</v>
      </c>
    </row>
    <row r="1388" spans="2:15" s="12" customFormat="1" ht="76.5">
      <c r="B1388" s="372" t="s">
        <v>99</v>
      </c>
      <c r="C1388" s="77" t="s">
        <v>1108</v>
      </c>
      <c r="D1388" s="177" t="s">
        <v>1067</v>
      </c>
      <c r="E1388" s="370">
        <v>1</v>
      </c>
      <c r="F1388" s="370">
        <v>0</v>
      </c>
      <c r="G1388" s="370">
        <v>6</v>
      </c>
      <c r="H1388" s="370">
        <v>0</v>
      </c>
      <c r="I1388" s="363">
        <f>SUM(Tabla132112412[[#This Row],[PRIMER TRIMESTRE]:[CUARTO TRIMESTRE]])</f>
        <v>7</v>
      </c>
      <c r="J1388" s="175">
        <v>3000</v>
      </c>
      <c r="K1388" s="175">
        <f t="shared" si="30"/>
        <v>21000</v>
      </c>
      <c r="L1388" s="175"/>
      <c r="M1388" s="77" t="s">
        <v>18</v>
      </c>
      <c r="N1388" s="77" t="s">
        <v>22</v>
      </c>
      <c r="O1388" s="177" t="s">
        <v>418</v>
      </c>
    </row>
    <row r="1389" spans="2:15" s="12" customFormat="1" ht="51">
      <c r="B1389" s="372" t="s">
        <v>99</v>
      </c>
      <c r="C1389" s="77" t="s">
        <v>1109</v>
      </c>
      <c r="D1389" s="177" t="s">
        <v>1067</v>
      </c>
      <c r="E1389" s="370">
        <v>1</v>
      </c>
      <c r="F1389" s="370">
        <v>0</v>
      </c>
      <c r="G1389" s="370">
        <v>0</v>
      </c>
      <c r="H1389" s="370">
        <v>0</v>
      </c>
      <c r="I1389" s="363">
        <f>SUM(Tabla132112412[[#This Row],[PRIMER TRIMESTRE]:[CUARTO TRIMESTRE]])</f>
        <v>1</v>
      </c>
      <c r="J1389" s="175">
        <v>2000</v>
      </c>
      <c r="K1389" s="175">
        <f t="shared" si="30"/>
        <v>2000</v>
      </c>
      <c r="L1389" s="175"/>
      <c r="M1389" s="77" t="s">
        <v>18</v>
      </c>
      <c r="N1389" s="77" t="s">
        <v>22</v>
      </c>
      <c r="O1389" s="177" t="s">
        <v>418</v>
      </c>
    </row>
    <row r="1390" spans="2:15" s="12" customFormat="1" ht="51">
      <c r="B1390" s="372" t="s">
        <v>99</v>
      </c>
      <c r="C1390" s="77" t="s">
        <v>1110</v>
      </c>
      <c r="D1390" s="177" t="s">
        <v>1067</v>
      </c>
      <c r="E1390" s="370">
        <v>1</v>
      </c>
      <c r="F1390" s="370">
        <v>0</v>
      </c>
      <c r="G1390" s="370">
        <v>0</v>
      </c>
      <c r="H1390" s="370">
        <v>0</v>
      </c>
      <c r="I1390" s="363">
        <f>SUM(Tabla132112412[[#This Row],[PRIMER TRIMESTRE]:[CUARTO TRIMESTRE]])</f>
        <v>1</v>
      </c>
      <c r="J1390" s="175">
        <v>2000</v>
      </c>
      <c r="K1390" s="175">
        <f t="shared" si="30"/>
        <v>2000</v>
      </c>
      <c r="L1390" s="175"/>
      <c r="M1390" s="77" t="s">
        <v>18</v>
      </c>
      <c r="N1390" s="77" t="s">
        <v>22</v>
      </c>
      <c r="O1390" s="177" t="s">
        <v>418</v>
      </c>
    </row>
    <row r="1391" spans="2:15" s="12" customFormat="1" ht="51">
      <c r="B1391" s="372" t="s">
        <v>99</v>
      </c>
      <c r="C1391" s="77" t="s">
        <v>1111</v>
      </c>
      <c r="D1391" s="177" t="s">
        <v>1067</v>
      </c>
      <c r="E1391" s="370">
        <v>7</v>
      </c>
      <c r="F1391" s="370">
        <v>0</v>
      </c>
      <c r="G1391" s="370">
        <v>0</v>
      </c>
      <c r="H1391" s="370">
        <v>0</v>
      </c>
      <c r="I1391" s="363">
        <f>SUM(Tabla132112412[[#This Row],[PRIMER TRIMESTRE]:[CUARTO TRIMESTRE]])</f>
        <v>7</v>
      </c>
      <c r="J1391" s="175">
        <v>2000</v>
      </c>
      <c r="K1391" s="175">
        <f t="shared" si="30"/>
        <v>14000</v>
      </c>
      <c r="L1391" s="175"/>
      <c r="M1391" s="77" t="s">
        <v>18</v>
      </c>
      <c r="N1391" s="77" t="s">
        <v>22</v>
      </c>
      <c r="O1391" s="177" t="s">
        <v>418</v>
      </c>
    </row>
    <row r="1392" spans="2:15" s="12" customFormat="1" ht="38.25">
      <c r="B1392" s="372" t="s">
        <v>99</v>
      </c>
      <c r="C1392" s="77" t="s">
        <v>1112</v>
      </c>
      <c r="D1392" s="177" t="s">
        <v>1067</v>
      </c>
      <c r="E1392" s="370">
        <v>1</v>
      </c>
      <c r="F1392" s="370">
        <v>0</v>
      </c>
      <c r="G1392" s="370">
        <v>0</v>
      </c>
      <c r="H1392" s="370">
        <v>0</v>
      </c>
      <c r="I1392" s="363">
        <f>SUM(Tabla132112412[[#This Row],[PRIMER TRIMESTRE]:[CUARTO TRIMESTRE]])</f>
        <v>1</v>
      </c>
      <c r="J1392" s="175">
        <v>20000</v>
      </c>
      <c r="K1392" s="175">
        <f t="shared" si="30"/>
        <v>20000</v>
      </c>
      <c r="L1392" s="175"/>
      <c r="M1392" s="77" t="s">
        <v>18</v>
      </c>
      <c r="N1392" s="77" t="s">
        <v>22</v>
      </c>
      <c r="O1392" s="177" t="s">
        <v>418</v>
      </c>
    </row>
    <row r="1393" spans="2:15" s="12" customFormat="1" ht="38.25">
      <c r="B1393" s="372" t="s">
        <v>99</v>
      </c>
      <c r="C1393" s="77" t="s">
        <v>1113</v>
      </c>
      <c r="D1393" s="177" t="s">
        <v>1067</v>
      </c>
      <c r="E1393" s="370">
        <v>1</v>
      </c>
      <c r="F1393" s="370">
        <v>0</v>
      </c>
      <c r="G1393" s="370">
        <v>0</v>
      </c>
      <c r="H1393" s="370">
        <v>0</v>
      </c>
      <c r="I1393" s="363">
        <f>SUM(Tabla132112412[[#This Row],[PRIMER TRIMESTRE]:[CUARTO TRIMESTRE]])</f>
        <v>1</v>
      </c>
      <c r="J1393" s="175">
        <v>5000</v>
      </c>
      <c r="K1393" s="175">
        <f t="shared" si="30"/>
        <v>5000</v>
      </c>
      <c r="L1393" s="175"/>
      <c r="M1393" s="77" t="s">
        <v>18</v>
      </c>
      <c r="N1393" s="77" t="s">
        <v>22</v>
      </c>
      <c r="O1393" s="177" t="s">
        <v>418</v>
      </c>
    </row>
    <row r="1394" spans="2:15" s="12" customFormat="1" ht="38.25">
      <c r="B1394" s="372" t="s">
        <v>99</v>
      </c>
      <c r="C1394" s="77" t="s">
        <v>1114</v>
      </c>
      <c r="D1394" s="177" t="s">
        <v>1067</v>
      </c>
      <c r="E1394" s="370">
        <v>1</v>
      </c>
      <c r="F1394" s="370">
        <v>0</v>
      </c>
      <c r="G1394" s="370">
        <v>0</v>
      </c>
      <c r="H1394" s="370">
        <v>0</v>
      </c>
      <c r="I1394" s="363">
        <f>SUM(Tabla132112412[[#This Row],[PRIMER TRIMESTRE]:[CUARTO TRIMESTRE]])</f>
        <v>1</v>
      </c>
      <c r="J1394" s="175">
        <v>80000</v>
      </c>
      <c r="K1394" s="175">
        <f t="shared" si="30"/>
        <v>80000</v>
      </c>
      <c r="L1394" s="175"/>
      <c r="M1394" s="77" t="s">
        <v>18</v>
      </c>
      <c r="N1394" s="77" t="s">
        <v>22</v>
      </c>
      <c r="O1394" s="177" t="s">
        <v>418</v>
      </c>
    </row>
    <row r="1395" spans="2:15" s="12" customFormat="1" ht="38.25">
      <c r="B1395" s="372" t="s">
        <v>99</v>
      </c>
      <c r="C1395" s="77" t="s">
        <v>1115</v>
      </c>
      <c r="D1395" s="177" t="s">
        <v>1067</v>
      </c>
      <c r="E1395" s="370">
        <v>1</v>
      </c>
      <c r="F1395" s="370">
        <v>0</v>
      </c>
      <c r="G1395" s="370">
        <v>0</v>
      </c>
      <c r="H1395" s="370">
        <v>0</v>
      </c>
      <c r="I1395" s="363">
        <f>SUM(Tabla132112412[[#This Row],[PRIMER TRIMESTRE]:[CUARTO TRIMESTRE]])</f>
        <v>1</v>
      </c>
      <c r="J1395" s="175">
        <v>38000</v>
      </c>
      <c r="K1395" s="175">
        <f t="shared" si="30"/>
        <v>38000</v>
      </c>
      <c r="L1395" s="175"/>
      <c r="M1395" s="77" t="s">
        <v>18</v>
      </c>
      <c r="N1395" s="77" t="s">
        <v>22</v>
      </c>
      <c r="O1395" s="177" t="s">
        <v>418</v>
      </c>
    </row>
    <row r="1396" spans="2:15" s="12" customFormat="1" ht="38.25">
      <c r="B1396" s="372" t="s">
        <v>99</v>
      </c>
      <c r="C1396" s="77" t="s">
        <v>1116</v>
      </c>
      <c r="D1396" s="177" t="s">
        <v>1067</v>
      </c>
      <c r="E1396" s="370">
        <v>1</v>
      </c>
      <c r="F1396" s="370">
        <v>0</v>
      </c>
      <c r="G1396" s="370">
        <v>0</v>
      </c>
      <c r="H1396" s="370">
        <v>0</v>
      </c>
      <c r="I1396" s="363">
        <f>SUM(Tabla132112412[[#This Row],[PRIMER TRIMESTRE]:[CUARTO TRIMESTRE]])</f>
        <v>1</v>
      </c>
      <c r="J1396" s="175">
        <v>52000</v>
      </c>
      <c r="K1396" s="175">
        <f t="shared" si="30"/>
        <v>52000</v>
      </c>
      <c r="L1396" s="175"/>
      <c r="M1396" s="77" t="s">
        <v>18</v>
      </c>
      <c r="N1396" s="77" t="s">
        <v>22</v>
      </c>
      <c r="O1396" s="177" t="s">
        <v>418</v>
      </c>
    </row>
    <row r="1397" spans="2:15" s="12" customFormat="1" ht="25.5">
      <c r="B1397" s="372" t="s">
        <v>99</v>
      </c>
      <c r="C1397" s="77" t="s">
        <v>1117</v>
      </c>
      <c r="D1397" s="177" t="s">
        <v>1067</v>
      </c>
      <c r="E1397" s="370">
        <v>1</v>
      </c>
      <c r="F1397" s="370">
        <v>0</v>
      </c>
      <c r="G1397" s="370">
        <v>0</v>
      </c>
      <c r="H1397" s="370">
        <v>0</v>
      </c>
      <c r="I1397" s="363">
        <f>SUM(Tabla132112412[[#This Row],[PRIMER TRIMESTRE]:[CUARTO TRIMESTRE]])</f>
        <v>1</v>
      </c>
      <c r="J1397" s="175">
        <v>4000</v>
      </c>
      <c r="K1397" s="175">
        <f t="shared" si="30"/>
        <v>4000</v>
      </c>
      <c r="L1397" s="175"/>
      <c r="M1397" s="77" t="s">
        <v>18</v>
      </c>
      <c r="N1397" s="77" t="s">
        <v>22</v>
      </c>
      <c r="O1397" s="177" t="s">
        <v>418</v>
      </c>
    </row>
    <row r="1398" spans="2:15" s="12" customFormat="1" ht="25.5">
      <c r="B1398" s="372" t="s">
        <v>99</v>
      </c>
      <c r="C1398" s="77" t="s">
        <v>1118</v>
      </c>
      <c r="D1398" s="177" t="s">
        <v>1067</v>
      </c>
      <c r="E1398" s="370">
        <v>1</v>
      </c>
      <c r="F1398" s="370">
        <v>0</v>
      </c>
      <c r="G1398" s="370">
        <v>0</v>
      </c>
      <c r="H1398" s="370">
        <v>0</v>
      </c>
      <c r="I1398" s="363">
        <f>SUM(Tabla132112412[[#This Row],[PRIMER TRIMESTRE]:[CUARTO TRIMESTRE]])</f>
        <v>1</v>
      </c>
      <c r="J1398" s="175">
        <v>8000</v>
      </c>
      <c r="K1398" s="175">
        <f t="shared" si="30"/>
        <v>8000</v>
      </c>
      <c r="L1398" s="175"/>
      <c r="M1398" s="77" t="s">
        <v>18</v>
      </c>
      <c r="N1398" s="77" t="s">
        <v>22</v>
      </c>
      <c r="O1398" s="177" t="s">
        <v>418</v>
      </c>
    </row>
    <row r="1399" spans="2:15" s="12" customFormat="1" ht="25.5">
      <c r="B1399" s="372" t="s">
        <v>99</v>
      </c>
      <c r="C1399" s="75" t="s">
        <v>1867</v>
      </c>
      <c r="D1399" s="177" t="s">
        <v>1067</v>
      </c>
      <c r="E1399" s="370">
        <v>1</v>
      </c>
      <c r="F1399" s="370">
        <v>1</v>
      </c>
      <c r="G1399" s="370"/>
      <c r="H1399" s="370"/>
      <c r="I1399" s="363"/>
      <c r="J1399" s="175"/>
      <c r="K1399" s="175"/>
      <c r="L1399" s="175"/>
      <c r="M1399" s="77"/>
      <c r="N1399" s="77"/>
      <c r="O1399" s="177"/>
    </row>
    <row r="1400" spans="2:15" s="12" customFormat="1" ht="25.5">
      <c r="B1400" s="372" t="s">
        <v>99</v>
      </c>
      <c r="C1400" s="77" t="s">
        <v>1119</v>
      </c>
      <c r="D1400" s="177" t="s">
        <v>1067</v>
      </c>
      <c r="E1400" s="370">
        <v>1</v>
      </c>
      <c r="F1400" s="370">
        <v>0</v>
      </c>
      <c r="G1400" s="370">
        <v>0</v>
      </c>
      <c r="H1400" s="370">
        <v>0</v>
      </c>
      <c r="I1400" s="363">
        <f>SUM(Tabla132112412[[#This Row],[PRIMER TRIMESTRE]:[CUARTO TRIMESTRE]])</f>
        <v>1</v>
      </c>
      <c r="J1400" s="175">
        <v>350000</v>
      </c>
      <c r="K1400" s="175">
        <f t="shared" si="30"/>
        <v>350000</v>
      </c>
      <c r="L1400" s="175"/>
      <c r="M1400" s="77" t="s">
        <v>18</v>
      </c>
      <c r="N1400" s="77" t="s">
        <v>22</v>
      </c>
      <c r="O1400" s="177" t="s">
        <v>418</v>
      </c>
    </row>
    <row r="1401" spans="2:15" s="12" customFormat="1" ht="25.5">
      <c r="B1401" s="372" t="s">
        <v>99</v>
      </c>
      <c r="C1401" s="77" t="s">
        <v>1120</v>
      </c>
      <c r="D1401" s="177" t="s">
        <v>1067</v>
      </c>
      <c r="E1401" s="370">
        <v>1</v>
      </c>
      <c r="F1401" s="370">
        <v>1</v>
      </c>
      <c r="G1401" s="370">
        <v>0</v>
      </c>
      <c r="H1401" s="370">
        <v>0</v>
      </c>
      <c r="I1401" s="363">
        <f>SUM(Tabla132112412[[#This Row],[PRIMER TRIMESTRE]:[CUARTO TRIMESTRE]])</f>
        <v>2</v>
      </c>
      <c r="J1401" s="175">
        <v>21000</v>
      </c>
      <c r="K1401" s="175">
        <f t="shared" si="30"/>
        <v>42000</v>
      </c>
      <c r="L1401" s="175"/>
      <c r="M1401" s="77" t="s">
        <v>18</v>
      </c>
      <c r="N1401" s="77" t="s">
        <v>22</v>
      </c>
      <c r="O1401" s="177" t="s">
        <v>418</v>
      </c>
    </row>
    <row r="1402" spans="2:15" s="12" customFormat="1" ht="89.25">
      <c r="B1402" s="372" t="s">
        <v>99</v>
      </c>
      <c r="C1402" s="77" t="s">
        <v>1121</v>
      </c>
      <c r="D1402" s="177" t="s">
        <v>1067</v>
      </c>
      <c r="E1402" s="370">
        <v>1</v>
      </c>
      <c r="F1402" s="370">
        <v>0</v>
      </c>
      <c r="G1402" s="370">
        <v>0</v>
      </c>
      <c r="H1402" s="370">
        <v>0</v>
      </c>
      <c r="I1402" s="363">
        <f>SUM(Tabla132112412[[#This Row],[PRIMER TRIMESTRE]:[CUARTO TRIMESTRE]])</f>
        <v>1</v>
      </c>
      <c r="J1402" s="175">
        <v>300000</v>
      </c>
      <c r="K1402" s="175">
        <f t="shared" si="30"/>
        <v>300000</v>
      </c>
      <c r="L1402" s="175"/>
      <c r="M1402" s="77" t="s">
        <v>18</v>
      </c>
      <c r="N1402" s="77" t="s">
        <v>22</v>
      </c>
      <c r="O1402" s="177" t="s">
        <v>418</v>
      </c>
    </row>
    <row r="1403" spans="2:15" s="12" customFormat="1" ht="18">
      <c r="B1403" s="372" t="s">
        <v>99</v>
      </c>
      <c r="C1403" s="75" t="s">
        <v>1868</v>
      </c>
      <c r="D1403" s="177" t="s">
        <v>1067</v>
      </c>
      <c r="E1403" s="370">
        <v>2</v>
      </c>
      <c r="F1403" s="370"/>
      <c r="G1403" s="370">
        <v>2</v>
      </c>
      <c r="H1403" s="370"/>
      <c r="I1403" s="363"/>
      <c r="J1403" s="175"/>
      <c r="K1403" s="175"/>
      <c r="L1403" s="175"/>
      <c r="M1403" s="77"/>
      <c r="N1403" s="77"/>
      <c r="O1403" s="177"/>
    </row>
    <row r="1404" spans="2:15" s="12" customFormat="1" ht="25.5">
      <c r="B1404" s="372" t="s">
        <v>99</v>
      </c>
      <c r="C1404" s="77" t="s">
        <v>1122</v>
      </c>
      <c r="D1404" s="177" t="s">
        <v>1067</v>
      </c>
      <c r="E1404" s="370">
        <v>1</v>
      </c>
      <c r="F1404" s="370">
        <v>0</v>
      </c>
      <c r="G1404" s="370">
        <v>0</v>
      </c>
      <c r="H1404" s="370">
        <v>0</v>
      </c>
      <c r="I1404" s="363">
        <f>SUM(Tabla132112412[[#This Row],[PRIMER TRIMESTRE]:[CUARTO TRIMESTRE]])</f>
        <v>1</v>
      </c>
      <c r="J1404" s="175">
        <v>12000</v>
      </c>
      <c r="K1404" s="175">
        <f t="shared" si="30"/>
        <v>12000</v>
      </c>
      <c r="L1404" s="175"/>
      <c r="M1404" s="77" t="s">
        <v>18</v>
      </c>
      <c r="N1404" s="77" t="s">
        <v>22</v>
      </c>
      <c r="O1404" s="177" t="s">
        <v>418</v>
      </c>
    </row>
    <row r="1405" spans="2:15" s="12" customFormat="1" ht="25.5">
      <c r="B1405" s="372" t="s">
        <v>99</v>
      </c>
      <c r="C1405" s="77" t="s">
        <v>1123</v>
      </c>
      <c r="D1405" s="177" t="s">
        <v>1067</v>
      </c>
      <c r="E1405" s="370">
        <v>1</v>
      </c>
      <c r="F1405" s="370">
        <v>0</v>
      </c>
      <c r="G1405" s="370">
        <v>0</v>
      </c>
      <c r="H1405" s="370">
        <v>0</v>
      </c>
      <c r="I1405" s="363">
        <f>SUM(Tabla132112412[[#This Row],[PRIMER TRIMESTRE]:[CUARTO TRIMESTRE]])</f>
        <v>1</v>
      </c>
      <c r="J1405" s="175">
        <v>10000</v>
      </c>
      <c r="K1405" s="175">
        <f t="shared" si="30"/>
        <v>10000</v>
      </c>
      <c r="L1405" s="175"/>
      <c r="M1405" s="77" t="s">
        <v>18</v>
      </c>
      <c r="N1405" s="77" t="s">
        <v>22</v>
      </c>
      <c r="O1405" s="177" t="s">
        <v>418</v>
      </c>
    </row>
    <row r="1406" spans="2:15" s="12" customFormat="1" ht="25.5">
      <c r="B1406" s="372" t="s">
        <v>99</v>
      </c>
      <c r="C1406" s="77" t="s">
        <v>1124</v>
      </c>
      <c r="D1406" s="177" t="s">
        <v>1067</v>
      </c>
      <c r="E1406" s="370">
        <v>2</v>
      </c>
      <c r="F1406" s="370">
        <v>0</v>
      </c>
      <c r="G1406" s="370">
        <v>0</v>
      </c>
      <c r="H1406" s="370">
        <v>0</v>
      </c>
      <c r="I1406" s="363">
        <f>SUM(Tabla132112412[[#This Row],[PRIMER TRIMESTRE]:[CUARTO TRIMESTRE]])</f>
        <v>2</v>
      </c>
      <c r="J1406" s="175">
        <v>5000</v>
      </c>
      <c r="K1406" s="175">
        <f t="shared" si="30"/>
        <v>10000</v>
      </c>
      <c r="L1406" s="175"/>
      <c r="M1406" s="77" t="s">
        <v>18</v>
      </c>
      <c r="N1406" s="77" t="s">
        <v>22</v>
      </c>
      <c r="O1406" s="177" t="s">
        <v>418</v>
      </c>
    </row>
    <row r="1407" spans="2:15" s="12" customFormat="1" ht="25.5">
      <c r="B1407" s="372" t="s">
        <v>99</v>
      </c>
      <c r="C1407" s="77" t="s">
        <v>1125</v>
      </c>
      <c r="D1407" s="177" t="s">
        <v>1067</v>
      </c>
      <c r="E1407" s="370">
        <v>1</v>
      </c>
      <c r="F1407" s="370">
        <v>0</v>
      </c>
      <c r="G1407" s="370">
        <v>0</v>
      </c>
      <c r="H1407" s="370">
        <v>0</v>
      </c>
      <c r="I1407" s="363">
        <f>SUM(Tabla132112412[[#This Row],[PRIMER TRIMESTRE]:[CUARTO TRIMESTRE]])</f>
        <v>1</v>
      </c>
      <c r="J1407" s="175">
        <v>5000</v>
      </c>
      <c r="K1407" s="175">
        <f t="shared" si="30"/>
        <v>5000</v>
      </c>
      <c r="L1407" s="175"/>
      <c r="M1407" s="77" t="s">
        <v>18</v>
      </c>
      <c r="N1407" s="77" t="s">
        <v>22</v>
      </c>
      <c r="O1407" s="177" t="s">
        <v>418</v>
      </c>
    </row>
    <row r="1408" spans="2:15" s="12" customFormat="1" ht="25.5">
      <c r="B1408" s="372" t="s">
        <v>99</v>
      </c>
      <c r="C1408" s="75" t="s">
        <v>1869</v>
      </c>
      <c r="D1408" s="177" t="s">
        <v>1067</v>
      </c>
      <c r="E1408" s="370">
        <v>1</v>
      </c>
      <c r="F1408" s="370">
        <v>1</v>
      </c>
      <c r="G1408" s="370"/>
      <c r="H1408" s="370"/>
      <c r="I1408" s="363"/>
      <c r="J1408" s="175"/>
      <c r="K1408" s="175"/>
      <c r="L1408" s="175"/>
      <c r="M1408" s="77"/>
      <c r="N1408" s="77"/>
      <c r="O1408" s="177"/>
    </row>
    <row r="1409" spans="2:15" s="12" customFormat="1" ht="18">
      <c r="B1409" s="372" t="s">
        <v>99</v>
      </c>
      <c r="C1409" s="77" t="s">
        <v>1126</v>
      </c>
      <c r="D1409" s="177" t="s">
        <v>1067</v>
      </c>
      <c r="E1409" s="370">
        <v>7</v>
      </c>
      <c r="F1409" s="370">
        <v>2</v>
      </c>
      <c r="G1409" s="370">
        <v>2</v>
      </c>
      <c r="H1409" s="370">
        <v>0</v>
      </c>
      <c r="I1409" s="363">
        <f>SUM(Tabla132112412[[#This Row],[PRIMER TRIMESTRE]:[CUARTO TRIMESTRE]])</f>
        <v>11</v>
      </c>
      <c r="J1409" s="175">
        <v>3000</v>
      </c>
      <c r="K1409" s="175">
        <f t="shared" si="30"/>
        <v>33000</v>
      </c>
      <c r="L1409" s="175"/>
      <c r="M1409" s="77" t="s">
        <v>18</v>
      </c>
      <c r="N1409" s="77" t="s">
        <v>22</v>
      </c>
      <c r="O1409" s="177" t="s">
        <v>418</v>
      </c>
    </row>
    <row r="1410" spans="2:15" s="12" customFormat="1" ht="25.5">
      <c r="B1410" s="372" t="s">
        <v>99</v>
      </c>
      <c r="C1410" s="77" t="s">
        <v>1093</v>
      </c>
      <c r="D1410" s="177" t="s">
        <v>1067</v>
      </c>
      <c r="E1410" s="370">
        <v>12</v>
      </c>
      <c r="F1410" s="370">
        <v>10</v>
      </c>
      <c r="G1410" s="370">
        <v>2</v>
      </c>
      <c r="H1410" s="370">
        <v>0</v>
      </c>
      <c r="I1410" s="363">
        <f>SUM(Tabla132112412[[#This Row],[PRIMER TRIMESTRE]:[CUARTO TRIMESTRE]])</f>
        <v>24</v>
      </c>
      <c r="J1410" s="175">
        <v>250</v>
      </c>
      <c r="K1410" s="175">
        <f t="shared" si="30"/>
        <v>6000</v>
      </c>
      <c r="L1410" s="175"/>
      <c r="M1410" s="77" t="s">
        <v>18</v>
      </c>
      <c r="N1410" s="77" t="s">
        <v>22</v>
      </c>
      <c r="O1410" s="177" t="s">
        <v>418</v>
      </c>
    </row>
    <row r="1411" spans="2:15" s="12" customFormat="1" ht="25.5">
      <c r="B1411" s="372" t="s">
        <v>99</v>
      </c>
      <c r="C1411" s="77" t="s">
        <v>1127</v>
      </c>
      <c r="D1411" s="177" t="s">
        <v>1067</v>
      </c>
      <c r="E1411" s="370">
        <v>1</v>
      </c>
      <c r="F1411" s="370">
        <v>0</v>
      </c>
      <c r="G1411" s="370">
        <v>0</v>
      </c>
      <c r="H1411" s="370">
        <v>0</v>
      </c>
      <c r="I1411" s="363">
        <f>SUM(Tabla132112412[[#This Row],[PRIMER TRIMESTRE]:[CUARTO TRIMESTRE]])</f>
        <v>1</v>
      </c>
      <c r="J1411" s="175">
        <v>80000</v>
      </c>
      <c r="K1411" s="175">
        <f t="shared" si="30"/>
        <v>80000</v>
      </c>
      <c r="L1411" s="175"/>
      <c r="M1411" s="77" t="s">
        <v>18</v>
      </c>
      <c r="N1411" s="77" t="s">
        <v>22</v>
      </c>
      <c r="O1411" s="177" t="s">
        <v>418</v>
      </c>
    </row>
    <row r="1412" spans="2:15" s="12" customFormat="1" ht="18">
      <c r="B1412" s="372" t="s">
        <v>99</v>
      </c>
      <c r="C1412" s="75" t="s">
        <v>1871</v>
      </c>
      <c r="D1412" s="177" t="s">
        <v>1067</v>
      </c>
      <c r="E1412" s="370">
        <v>5</v>
      </c>
      <c r="F1412" s="370"/>
      <c r="G1412" s="370">
        <v>5</v>
      </c>
      <c r="H1412" s="370">
        <v>5</v>
      </c>
      <c r="I1412" s="363"/>
      <c r="J1412" s="175"/>
      <c r="K1412" s="175"/>
      <c r="L1412" s="175"/>
      <c r="M1412" s="77"/>
      <c r="N1412" s="77"/>
      <c r="O1412" s="177"/>
    </row>
    <row r="1413" spans="2:15" s="12" customFormat="1" ht="25.5">
      <c r="B1413" s="372" t="s">
        <v>99</v>
      </c>
      <c r="C1413" s="77" t="s">
        <v>1128</v>
      </c>
      <c r="D1413" s="177" t="s">
        <v>1067</v>
      </c>
      <c r="E1413" s="370">
        <v>1</v>
      </c>
      <c r="F1413" s="370">
        <v>0</v>
      </c>
      <c r="G1413" s="370">
        <v>1</v>
      </c>
      <c r="H1413" s="370">
        <v>0</v>
      </c>
      <c r="I1413" s="363">
        <f>SUM(Tabla132112412[[#This Row],[PRIMER TRIMESTRE]:[CUARTO TRIMESTRE]])</f>
        <v>2</v>
      </c>
      <c r="J1413" s="175">
        <v>1500</v>
      </c>
      <c r="K1413" s="175">
        <f t="shared" si="30"/>
        <v>3000</v>
      </c>
      <c r="L1413" s="175"/>
      <c r="M1413" s="77" t="s">
        <v>18</v>
      </c>
      <c r="N1413" s="77" t="s">
        <v>22</v>
      </c>
      <c r="O1413" s="177" t="s">
        <v>418</v>
      </c>
    </row>
    <row r="1414" spans="2:15" s="12" customFormat="1" ht="25.5">
      <c r="B1414" s="372" t="s">
        <v>99</v>
      </c>
      <c r="C1414" s="77" t="s">
        <v>1129</v>
      </c>
      <c r="D1414" s="177" t="s">
        <v>1067</v>
      </c>
      <c r="E1414" s="370">
        <v>1</v>
      </c>
      <c r="F1414" s="370">
        <v>0</v>
      </c>
      <c r="G1414" s="370">
        <v>0</v>
      </c>
      <c r="H1414" s="370">
        <v>0</v>
      </c>
      <c r="I1414" s="363">
        <f>SUM(Tabla132112412[[#This Row],[PRIMER TRIMESTRE]:[CUARTO TRIMESTRE]])</f>
        <v>1</v>
      </c>
      <c r="J1414" s="175">
        <v>1000</v>
      </c>
      <c r="K1414" s="175">
        <f t="shared" si="30"/>
        <v>1000</v>
      </c>
      <c r="L1414" s="175"/>
      <c r="M1414" s="77" t="s">
        <v>18</v>
      </c>
      <c r="N1414" s="77" t="s">
        <v>22</v>
      </c>
      <c r="O1414" s="177" t="s">
        <v>418</v>
      </c>
    </row>
    <row r="1415" spans="2:15" s="12" customFormat="1" ht="25.5">
      <c r="B1415" s="372" t="s">
        <v>99</v>
      </c>
      <c r="C1415" s="77" t="s">
        <v>1130</v>
      </c>
      <c r="D1415" s="177" t="s">
        <v>1067</v>
      </c>
      <c r="E1415" s="370">
        <v>1</v>
      </c>
      <c r="F1415" s="370">
        <v>0</v>
      </c>
      <c r="G1415" s="370">
        <v>0</v>
      </c>
      <c r="H1415" s="370">
        <v>0</v>
      </c>
      <c r="I1415" s="363">
        <f>SUM(Tabla132112412[[#This Row],[PRIMER TRIMESTRE]:[CUARTO TRIMESTRE]])</f>
        <v>1</v>
      </c>
      <c r="J1415" s="175">
        <v>2000</v>
      </c>
      <c r="K1415" s="175">
        <f t="shared" si="30"/>
        <v>2000</v>
      </c>
      <c r="L1415" s="175"/>
      <c r="M1415" s="77" t="s">
        <v>18</v>
      </c>
      <c r="N1415" s="77" t="s">
        <v>22</v>
      </c>
      <c r="O1415" s="177" t="s">
        <v>418</v>
      </c>
    </row>
    <row r="1416" spans="2:15" s="12" customFormat="1" ht="25.5">
      <c r="B1416" s="372" t="s">
        <v>99</v>
      </c>
      <c r="C1416" s="77" t="s">
        <v>1131</v>
      </c>
      <c r="D1416" s="177" t="s">
        <v>1067</v>
      </c>
      <c r="E1416" s="370">
        <v>2</v>
      </c>
      <c r="F1416" s="370">
        <v>0</v>
      </c>
      <c r="G1416" s="370">
        <v>2</v>
      </c>
      <c r="H1416" s="370">
        <v>0</v>
      </c>
      <c r="I1416" s="363">
        <f>SUM(Tabla132112412[[#This Row],[PRIMER TRIMESTRE]:[CUARTO TRIMESTRE]])</f>
        <v>4</v>
      </c>
      <c r="J1416" s="175">
        <v>300</v>
      </c>
      <c r="K1416" s="175">
        <f t="shared" si="30"/>
        <v>1200</v>
      </c>
      <c r="L1416" s="175"/>
      <c r="M1416" s="77" t="s">
        <v>18</v>
      </c>
      <c r="N1416" s="77" t="s">
        <v>22</v>
      </c>
      <c r="O1416" s="177" t="s">
        <v>418</v>
      </c>
    </row>
    <row r="1417" spans="2:15" s="12" customFormat="1" ht="18">
      <c r="B1417" s="372" t="s">
        <v>99</v>
      </c>
      <c r="C1417" s="77" t="s">
        <v>1508</v>
      </c>
      <c r="D1417" s="177" t="s">
        <v>1067</v>
      </c>
      <c r="E1417" s="370">
        <v>2</v>
      </c>
      <c r="F1417" s="370">
        <v>0</v>
      </c>
      <c r="G1417" s="370">
        <v>2</v>
      </c>
      <c r="H1417" s="370">
        <v>0</v>
      </c>
      <c r="I1417" s="363">
        <f>SUM(Tabla132112412[[#This Row],[PRIMER TRIMESTRE]:[CUARTO TRIMESTRE]])</f>
        <v>4</v>
      </c>
      <c r="J1417" s="175">
        <v>392</v>
      </c>
      <c r="K1417" s="175">
        <f t="shared" si="30"/>
        <v>1568</v>
      </c>
      <c r="L1417" s="175"/>
      <c r="M1417" s="77" t="s">
        <v>27</v>
      </c>
      <c r="N1417" s="77" t="s">
        <v>22</v>
      </c>
      <c r="O1417" s="177" t="s">
        <v>418</v>
      </c>
    </row>
    <row r="1418" spans="2:15" s="12" customFormat="1" ht="25.5">
      <c r="B1418" s="372" t="s">
        <v>99</v>
      </c>
      <c r="C1418" s="75" t="s">
        <v>1872</v>
      </c>
      <c r="D1418" s="177" t="s">
        <v>1067</v>
      </c>
      <c r="E1418" s="370">
        <v>1</v>
      </c>
      <c r="F1418" s="370"/>
      <c r="G1418" s="370"/>
      <c r="H1418" s="370"/>
      <c r="I1418" s="363"/>
      <c r="J1418" s="175"/>
      <c r="K1418" s="175"/>
      <c r="L1418" s="175"/>
      <c r="M1418" s="77"/>
      <c r="N1418" s="77"/>
      <c r="O1418" s="177"/>
    </row>
    <row r="1419" spans="2:15" s="12" customFormat="1" ht="25.5">
      <c r="B1419" s="372" t="s">
        <v>99</v>
      </c>
      <c r="C1419" s="77" t="s">
        <v>1132</v>
      </c>
      <c r="D1419" s="177" t="s">
        <v>1067</v>
      </c>
      <c r="E1419" s="370">
        <v>4</v>
      </c>
      <c r="F1419" s="370">
        <v>1</v>
      </c>
      <c r="G1419" s="370">
        <v>2</v>
      </c>
      <c r="H1419" s="370">
        <v>0</v>
      </c>
      <c r="I1419" s="363">
        <f>SUM(Tabla132112412[[#This Row],[PRIMER TRIMESTRE]:[CUARTO TRIMESTRE]])</f>
        <v>7</v>
      </c>
      <c r="J1419" s="175">
        <v>60000</v>
      </c>
      <c r="K1419" s="175">
        <f t="shared" si="30"/>
        <v>420000</v>
      </c>
      <c r="L1419" s="175"/>
      <c r="M1419" s="77" t="s">
        <v>18</v>
      </c>
      <c r="N1419" s="77" t="s">
        <v>22</v>
      </c>
      <c r="O1419" s="177" t="s">
        <v>418</v>
      </c>
    </row>
    <row r="1420" spans="2:15" s="12" customFormat="1" ht="63.75">
      <c r="B1420" s="372" t="s">
        <v>99</v>
      </c>
      <c r="C1420" s="77" t="s">
        <v>1133</v>
      </c>
      <c r="D1420" s="177" t="s">
        <v>1067</v>
      </c>
      <c r="E1420" s="370">
        <v>1</v>
      </c>
      <c r="F1420" s="370">
        <v>0</v>
      </c>
      <c r="G1420" s="370">
        <v>0</v>
      </c>
      <c r="H1420" s="370">
        <v>0</v>
      </c>
      <c r="I1420" s="363">
        <f>SUM(Tabla132112412[[#This Row],[PRIMER TRIMESTRE]:[CUARTO TRIMESTRE]])</f>
        <v>1</v>
      </c>
      <c r="J1420" s="175">
        <v>3500</v>
      </c>
      <c r="K1420" s="175">
        <f t="shared" si="30"/>
        <v>3500</v>
      </c>
      <c r="L1420" s="175"/>
      <c r="M1420" s="77" t="s">
        <v>18</v>
      </c>
      <c r="N1420" s="77" t="s">
        <v>22</v>
      </c>
      <c r="O1420" s="177" t="s">
        <v>418</v>
      </c>
    </row>
    <row r="1421" spans="2:15" s="12" customFormat="1" ht="18">
      <c r="B1421" s="372" t="s">
        <v>99</v>
      </c>
      <c r="C1421" s="77" t="s">
        <v>1873</v>
      </c>
      <c r="D1421" s="177" t="s">
        <v>1067</v>
      </c>
      <c r="E1421" s="370">
        <v>1</v>
      </c>
      <c r="F1421" s="370">
        <v>0</v>
      </c>
      <c r="G1421" s="370">
        <v>0</v>
      </c>
      <c r="H1421" s="370">
        <v>0</v>
      </c>
      <c r="I1421" s="363">
        <f>SUM(Tabla132112412[[#This Row],[PRIMER TRIMESTRE]:[CUARTO TRIMESTRE]])</f>
        <v>1</v>
      </c>
      <c r="J1421" s="175">
        <v>1150</v>
      </c>
      <c r="K1421" s="175">
        <f>Tabla132112412[[#This Row],[PRECIO UNITARIO ESTIMADO]]*Tabla132112412[[#This Row],[CANTIDAD TOTAL]]</f>
        <v>1150</v>
      </c>
      <c r="L1421" s="175"/>
      <c r="M1421" s="77" t="s">
        <v>18</v>
      </c>
      <c r="N1421" s="77" t="s">
        <v>22</v>
      </c>
      <c r="O1421" s="177" t="s">
        <v>418</v>
      </c>
    </row>
    <row r="1422" spans="2:15" s="12" customFormat="1" ht="18">
      <c r="B1422" s="372" t="s">
        <v>99</v>
      </c>
      <c r="C1422" s="75" t="s">
        <v>1874</v>
      </c>
      <c r="D1422" s="177" t="s">
        <v>1067</v>
      </c>
      <c r="E1422" s="370">
        <v>1</v>
      </c>
      <c r="F1422" s="370"/>
      <c r="G1422" s="370"/>
      <c r="H1422" s="370"/>
      <c r="I1422" s="363">
        <f>SUM(Tabla132112412[[#This Row],[PRIMER TRIMESTRE]:[CUARTO TRIMESTRE]])</f>
        <v>1</v>
      </c>
      <c r="J1422" s="175"/>
      <c r="K1422" s="175"/>
      <c r="L1422" s="175"/>
      <c r="M1422" s="77"/>
      <c r="N1422" s="77"/>
      <c r="O1422" s="177"/>
    </row>
    <row r="1423" spans="2:15" s="12" customFormat="1" ht="18">
      <c r="B1423" s="372" t="s">
        <v>99</v>
      </c>
      <c r="C1423" s="75" t="s">
        <v>1875</v>
      </c>
      <c r="D1423" s="177" t="s">
        <v>1067</v>
      </c>
      <c r="E1423" s="370">
        <v>1</v>
      </c>
      <c r="F1423" s="370"/>
      <c r="G1423" s="370"/>
      <c r="H1423" s="370"/>
      <c r="I1423" s="363">
        <f>SUM(Tabla132112412[[#This Row],[PRIMER TRIMESTRE]:[CUARTO TRIMESTRE]])</f>
        <v>1</v>
      </c>
      <c r="J1423" s="175"/>
      <c r="K1423" s="175"/>
      <c r="L1423" s="175"/>
      <c r="M1423" s="77"/>
      <c r="N1423" s="77"/>
      <c r="O1423" s="177"/>
    </row>
    <row r="1424" spans="2:15" s="12" customFormat="1" ht="51">
      <c r="B1424" s="372" t="s">
        <v>99</v>
      </c>
      <c r="C1424" s="77" t="s">
        <v>1134</v>
      </c>
      <c r="D1424" s="177" t="s">
        <v>1067</v>
      </c>
      <c r="E1424" s="370">
        <v>2</v>
      </c>
      <c r="F1424" s="370">
        <v>1</v>
      </c>
      <c r="G1424" s="370">
        <v>0</v>
      </c>
      <c r="H1424" s="370">
        <v>0</v>
      </c>
      <c r="I1424" s="363">
        <f>SUM(Tabla132112412[[#This Row],[PRIMER TRIMESTRE]:[CUARTO TRIMESTRE]])</f>
        <v>3</v>
      </c>
      <c r="J1424" s="175">
        <v>450000</v>
      </c>
      <c r="K1424" s="175">
        <f t="shared" si="30"/>
        <v>1350000</v>
      </c>
      <c r="L1424" s="175"/>
      <c r="M1424" s="77" t="s">
        <v>18</v>
      </c>
      <c r="N1424" s="77" t="s">
        <v>22</v>
      </c>
      <c r="O1424" s="177" t="s">
        <v>418</v>
      </c>
    </row>
    <row r="1425" spans="2:15" s="12" customFormat="1" ht="51">
      <c r="B1425" s="372" t="s">
        <v>99</v>
      </c>
      <c r="C1425" s="77" t="s">
        <v>1135</v>
      </c>
      <c r="D1425" s="177" t="s">
        <v>1067</v>
      </c>
      <c r="E1425" s="370">
        <v>1</v>
      </c>
      <c r="F1425" s="370">
        <v>1</v>
      </c>
      <c r="G1425" s="370">
        <v>0</v>
      </c>
      <c r="H1425" s="370">
        <v>0</v>
      </c>
      <c r="I1425" s="363">
        <f>SUM(Tabla132112412[[#This Row],[PRIMER TRIMESTRE]:[CUARTO TRIMESTRE]])</f>
        <v>2</v>
      </c>
      <c r="J1425" s="175">
        <v>200000</v>
      </c>
      <c r="K1425" s="175">
        <f t="shared" si="30"/>
        <v>400000</v>
      </c>
      <c r="L1425" s="175"/>
      <c r="M1425" s="77" t="s">
        <v>18</v>
      </c>
      <c r="N1425" s="77" t="s">
        <v>22</v>
      </c>
      <c r="O1425" s="177" t="s">
        <v>418</v>
      </c>
    </row>
    <row r="1426" spans="2:15" s="12" customFormat="1" ht="38.25">
      <c r="B1426" s="372" t="s">
        <v>99</v>
      </c>
      <c r="C1426" s="77" t="s">
        <v>1136</v>
      </c>
      <c r="D1426" s="177" t="s">
        <v>1067</v>
      </c>
      <c r="E1426" s="370">
        <v>4</v>
      </c>
      <c r="F1426" s="370">
        <v>2</v>
      </c>
      <c r="G1426" s="370">
        <v>1</v>
      </c>
      <c r="H1426" s="370">
        <v>0</v>
      </c>
      <c r="I1426" s="363">
        <f>SUM(Tabla132112412[[#This Row],[PRIMER TRIMESTRE]:[CUARTO TRIMESTRE]])</f>
        <v>7</v>
      </c>
      <c r="J1426" s="175">
        <v>70000</v>
      </c>
      <c r="K1426" s="175">
        <f t="shared" si="30"/>
        <v>490000</v>
      </c>
      <c r="L1426" s="175"/>
      <c r="M1426" s="77" t="s">
        <v>18</v>
      </c>
      <c r="N1426" s="77" t="s">
        <v>22</v>
      </c>
      <c r="O1426" s="177" t="s">
        <v>418</v>
      </c>
    </row>
    <row r="1427" spans="2:15" s="12" customFormat="1" ht="25.5">
      <c r="B1427" s="372" t="s">
        <v>99</v>
      </c>
      <c r="C1427" s="77" t="s">
        <v>1137</v>
      </c>
      <c r="D1427" s="177" t="s">
        <v>1067</v>
      </c>
      <c r="E1427" s="370">
        <v>2</v>
      </c>
      <c r="F1427" s="370">
        <v>0</v>
      </c>
      <c r="G1427" s="370">
        <v>0</v>
      </c>
      <c r="H1427" s="370">
        <v>0</v>
      </c>
      <c r="I1427" s="363">
        <f>SUM(Tabla132112412[[#This Row],[PRIMER TRIMESTRE]:[CUARTO TRIMESTRE]])</f>
        <v>2</v>
      </c>
      <c r="J1427" s="175">
        <v>20000</v>
      </c>
      <c r="K1427" s="175">
        <f t="shared" si="30"/>
        <v>40000</v>
      </c>
      <c r="L1427" s="175"/>
      <c r="M1427" s="77" t="s">
        <v>18</v>
      </c>
      <c r="N1427" s="77" t="s">
        <v>22</v>
      </c>
      <c r="O1427" s="177" t="s">
        <v>418</v>
      </c>
    </row>
    <row r="1428" spans="2:15" s="12" customFormat="1" ht="18">
      <c r="B1428" s="372" t="s">
        <v>99</v>
      </c>
      <c r="C1428" s="77" t="s">
        <v>1148</v>
      </c>
      <c r="D1428" s="177" t="s">
        <v>1067</v>
      </c>
      <c r="E1428" s="370">
        <v>20</v>
      </c>
      <c r="F1428" s="370">
        <v>0</v>
      </c>
      <c r="G1428" s="370">
        <v>10</v>
      </c>
      <c r="H1428" s="370">
        <v>0</v>
      </c>
      <c r="I1428" s="363">
        <f>SUM(Tabla132112412[[#This Row],[PRIMER TRIMESTRE]:[CUARTO TRIMESTRE]])</f>
        <v>30</v>
      </c>
      <c r="J1428" s="175">
        <v>70</v>
      </c>
      <c r="K1428" s="175">
        <f t="shared" si="30"/>
        <v>2100</v>
      </c>
      <c r="L1428" s="175"/>
      <c r="M1428" s="77" t="s">
        <v>18</v>
      </c>
      <c r="N1428" s="77" t="s">
        <v>22</v>
      </c>
      <c r="O1428" s="177" t="s">
        <v>418</v>
      </c>
    </row>
    <row r="1429" spans="2:15" s="12" customFormat="1" ht="18">
      <c r="B1429" s="372" t="s">
        <v>99</v>
      </c>
      <c r="C1429" s="75" t="s">
        <v>1880</v>
      </c>
      <c r="D1429" s="177" t="s">
        <v>1067</v>
      </c>
      <c r="E1429" s="370">
        <v>1</v>
      </c>
      <c r="F1429" s="370"/>
      <c r="G1429" s="370"/>
      <c r="H1429" s="370"/>
      <c r="I1429" s="363">
        <f>SUM(Tabla132112412[[#This Row],[PRIMER TRIMESTRE]:[CUARTO TRIMESTRE]])</f>
        <v>1</v>
      </c>
      <c r="J1429" s="175"/>
      <c r="K1429" s="175"/>
      <c r="L1429" s="175"/>
      <c r="M1429" s="77"/>
      <c r="N1429" s="77"/>
      <c r="O1429" s="177"/>
    </row>
    <row r="1430" spans="2:15" s="12" customFormat="1" ht="18">
      <c r="B1430" s="372" t="s">
        <v>99</v>
      </c>
      <c r="C1430" s="75" t="s">
        <v>1881</v>
      </c>
      <c r="D1430" s="177" t="s">
        <v>1067</v>
      </c>
      <c r="E1430" s="370"/>
      <c r="F1430" s="370"/>
      <c r="G1430" s="370"/>
      <c r="H1430" s="370">
        <v>4</v>
      </c>
      <c r="I1430" s="363">
        <f>SUM(Tabla132112412[[#This Row],[PRIMER TRIMESTRE]:[CUARTO TRIMESTRE]])</f>
        <v>4</v>
      </c>
      <c r="J1430" s="175"/>
      <c r="K1430" s="175"/>
      <c r="L1430" s="175"/>
      <c r="M1430" s="77"/>
      <c r="N1430" s="77"/>
      <c r="O1430" s="177"/>
    </row>
    <row r="1431" spans="2:15" s="12" customFormat="1" ht="38.25">
      <c r="B1431" s="372" t="s">
        <v>99</v>
      </c>
      <c r="C1431" s="75" t="s">
        <v>1882</v>
      </c>
      <c r="D1431" s="39" t="s">
        <v>1067</v>
      </c>
      <c r="E1431" s="236">
        <v>1</v>
      </c>
      <c r="F1431" s="370"/>
      <c r="G1431" s="370"/>
      <c r="H1431" s="370"/>
      <c r="I1431" s="363">
        <f>SUM(Tabla132112412[[#This Row],[PRIMER TRIMESTRE]:[CUARTO TRIMESTRE]])</f>
        <v>1</v>
      </c>
      <c r="J1431" s="175"/>
      <c r="K1431" s="175"/>
      <c r="L1431" s="175"/>
      <c r="M1431" s="77"/>
      <c r="N1431" s="77"/>
      <c r="O1431" s="177"/>
    </row>
    <row r="1432" spans="2:15" s="12" customFormat="1" ht="25.5">
      <c r="B1432" s="372" t="s">
        <v>99</v>
      </c>
      <c r="C1432" s="75" t="s">
        <v>1883</v>
      </c>
      <c r="D1432" s="39" t="s">
        <v>1067</v>
      </c>
      <c r="E1432" s="236">
        <v>20</v>
      </c>
      <c r="F1432" s="370"/>
      <c r="G1432" s="370"/>
      <c r="H1432" s="370"/>
      <c r="I1432" s="363">
        <f>SUM(Tabla132112412[[#This Row],[PRIMER TRIMESTRE]:[CUARTO TRIMESTRE]])</f>
        <v>20</v>
      </c>
      <c r="J1432" s="175"/>
      <c r="K1432" s="175"/>
      <c r="L1432" s="175"/>
      <c r="M1432" s="77"/>
      <c r="N1432" s="77"/>
      <c r="O1432" s="177"/>
    </row>
    <row r="1433" spans="2:15" s="12" customFormat="1" ht="25.5">
      <c r="B1433" s="372" t="s">
        <v>99</v>
      </c>
      <c r="C1433" s="77" t="s">
        <v>1139</v>
      </c>
      <c r="D1433" s="177" t="s">
        <v>1067</v>
      </c>
      <c r="E1433" s="370">
        <v>1</v>
      </c>
      <c r="F1433" s="370">
        <v>0</v>
      </c>
      <c r="G1433" s="370">
        <v>1</v>
      </c>
      <c r="H1433" s="370">
        <v>0</v>
      </c>
      <c r="I1433" s="363">
        <f>SUM(Tabla132112412[[#This Row],[PRIMER TRIMESTRE]:[CUARTO TRIMESTRE]])</f>
        <v>2</v>
      </c>
      <c r="J1433" s="175">
        <v>10000</v>
      </c>
      <c r="K1433" s="175">
        <f>+I1433*J1433</f>
        <v>20000</v>
      </c>
      <c r="L1433" s="175"/>
      <c r="M1433" s="77" t="s">
        <v>18</v>
      </c>
      <c r="N1433" s="77" t="s">
        <v>22</v>
      </c>
      <c r="O1433" s="177" t="s">
        <v>418</v>
      </c>
    </row>
    <row r="1434" spans="2:15" s="12" customFormat="1" ht="76.5">
      <c r="B1434" s="372" t="s">
        <v>99</v>
      </c>
      <c r="C1434" s="77" t="s">
        <v>1140</v>
      </c>
      <c r="D1434" s="177" t="s">
        <v>1067</v>
      </c>
      <c r="E1434" s="370">
        <v>1</v>
      </c>
      <c r="F1434" s="370">
        <v>0</v>
      </c>
      <c r="G1434" s="370">
        <v>0</v>
      </c>
      <c r="H1434" s="370">
        <v>0</v>
      </c>
      <c r="I1434" s="363">
        <f>SUM(Tabla132112412[[#This Row],[PRIMER TRIMESTRE]:[CUARTO TRIMESTRE]])</f>
        <v>1</v>
      </c>
      <c r="J1434" s="175">
        <v>60000</v>
      </c>
      <c r="K1434" s="175">
        <f t="shared" si="30"/>
        <v>60000</v>
      </c>
      <c r="L1434" s="175"/>
      <c r="M1434" s="77" t="s">
        <v>18</v>
      </c>
      <c r="N1434" s="77" t="s">
        <v>22</v>
      </c>
      <c r="O1434" s="177" t="s">
        <v>418</v>
      </c>
    </row>
    <row r="1435" spans="2:15" s="12" customFormat="1" ht="25.5">
      <c r="B1435" s="372" t="s">
        <v>99</v>
      </c>
      <c r="C1435" s="77" t="s">
        <v>1141</v>
      </c>
      <c r="D1435" s="177" t="s">
        <v>718</v>
      </c>
      <c r="E1435" s="370">
        <v>1</v>
      </c>
      <c r="F1435" s="370">
        <v>0</v>
      </c>
      <c r="G1435" s="370">
        <v>0</v>
      </c>
      <c r="H1435" s="370">
        <v>1</v>
      </c>
      <c r="I1435" s="363">
        <f>SUM(Tabla132112412[[#This Row],[PRIMER TRIMESTRE]:[CUARTO TRIMESTRE]])</f>
        <v>2</v>
      </c>
      <c r="J1435" s="175">
        <v>4000</v>
      </c>
      <c r="K1435" s="175">
        <f t="shared" si="30"/>
        <v>8000</v>
      </c>
      <c r="L1435" s="175"/>
      <c r="M1435" s="77" t="s">
        <v>18</v>
      </c>
      <c r="N1435" s="77" t="s">
        <v>22</v>
      </c>
      <c r="O1435" s="177" t="s">
        <v>418</v>
      </c>
    </row>
    <row r="1436" spans="2:15" s="12" customFormat="1" ht="25.5">
      <c r="B1436" s="372" t="s">
        <v>99</v>
      </c>
      <c r="C1436" s="77" t="s">
        <v>1142</v>
      </c>
      <c r="D1436" s="177" t="s">
        <v>718</v>
      </c>
      <c r="E1436" s="370">
        <v>2</v>
      </c>
      <c r="F1436" s="370">
        <v>0</v>
      </c>
      <c r="G1436" s="370">
        <v>0</v>
      </c>
      <c r="H1436" s="370">
        <v>1</v>
      </c>
      <c r="I1436" s="363">
        <f>SUM(Tabla132112412[[#This Row],[PRIMER TRIMESTRE]:[CUARTO TRIMESTRE]])</f>
        <v>3</v>
      </c>
      <c r="J1436" s="175">
        <v>3000</v>
      </c>
      <c r="K1436" s="175">
        <f t="shared" si="30"/>
        <v>9000</v>
      </c>
      <c r="L1436" s="175"/>
      <c r="M1436" s="77" t="s">
        <v>18</v>
      </c>
      <c r="N1436" s="77" t="s">
        <v>22</v>
      </c>
      <c r="O1436" s="177" t="s">
        <v>418</v>
      </c>
    </row>
    <row r="1437" spans="2:15" s="12" customFormat="1" ht="25.5">
      <c r="B1437" s="372" t="s">
        <v>99</v>
      </c>
      <c r="C1437" s="77" t="s">
        <v>1143</v>
      </c>
      <c r="D1437" s="177" t="s">
        <v>1065</v>
      </c>
      <c r="E1437" s="370">
        <v>2</v>
      </c>
      <c r="F1437" s="370">
        <v>0</v>
      </c>
      <c r="G1437" s="370">
        <v>0</v>
      </c>
      <c r="H1437" s="370">
        <v>0</v>
      </c>
      <c r="I1437" s="363">
        <f>SUM(Tabla132112412[[#This Row],[PRIMER TRIMESTRE]:[CUARTO TRIMESTRE]])</f>
        <v>2</v>
      </c>
      <c r="J1437" s="175">
        <v>4500</v>
      </c>
      <c r="K1437" s="175">
        <f t="shared" si="30"/>
        <v>9000</v>
      </c>
      <c r="L1437" s="175"/>
      <c r="M1437" s="77" t="s">
        <v>18</v>
      </c>
      <c r="N1437" s="77" t="s">
        <v>22</v>
      </c>
      <c r="O1437" s="177" t="s">
        <v>418</v>
      </c>
    </row>
    <row r="1438" spans="2:15" s="12" customFormat="1" ht="18">
      <c r="B1438" s="372" t="s">
        <v>99</v>
      </c>
      <c r="C1438" s="77" t="s">
        <v>1144</v>
      </c>
      <c r="D1438" s="177" t="s">
        <v>102</v>
      </c>
      <c r="E1438" s="370">
        <v>2</v>
      </c>
      <c r="F1438" s="370">
        <v>0</v>
      </c>
      <c r="G1438" s="370">
        <v>0</v>
      </c>
      <c r="H1438" s="370">
        <v>0</v>
      </c>
      <c r="I1438" s="363">
        <f>SUM(Tabla132112412[[#This Row],[PRIMER TRIMESTRE]:[CUARTO TRIMESTRE]])</f>
        <v>2</v>
      </c>
      <c r="J1438" s="175">
        <v>1000</v>
      </c>
      <c r="K1438" s="175">
        <f t="shared" si="30"/>
        <v>2000</v>
      </c>
      <c r="L1438" s="175"/>
      <c r="M1438" s="77" t="s">
        <v>18</v>
      </c>
      <c r="N1438" s="77" t="s">
        <v>22</v>
      </c>
      <c r="O1438" s="177" t="s">
        <v>418</v>
      </c>
    </row>
    <row r="1439" spans="2:15" s="12" customFormat="1" ht="18">
      <c r="B1439" s="372" t="s">
        <v>99</v>
      </c>
      <c r="C1439" s="75" t="s">
        <v>1884</v>
      </c>
      <c r="D1439" s="39" t="s">
        <v>1067</v>
      </c>
      <c r="E1439" s="236">
        <v>1</v>
      </c>
      <c r="F1439" s="236">
        <v>1</v>
      </c>
      <c r="G1439" s="370"/>
      <c r="H1439" s="370"/>
      <c r="I1439" s="363"/>
      <c r="J1439" s="175"/>
      <c r="K1439" s="175"/>
      <c r="L1439" s="175"/>
      <c r="M1439" s="77"/>
      <c r="N1439" s="77"/>
      <c r="O1439" s="177"/>
    </row>
    <row r="1440" spans="2:15" s="12" customFormat="1" ht="30.75" customHeight="1">
      <c r="B1440" s="372" t="s">
        <v>99</v>
      </c>
      <c r="C1440" s="77" t="s">
        <v>1145</v>
      </c>
      <c r="D1440" s="177" t="s">
        <v>1067</v>
      </c>
      <c r="E1440" s="370">
        <v>6</v>
      </c>
      <c r="F1440" s="370">
        <v>0</v>
      </c>
      <c r="G1440" s="370">
        <v>0</v>
      </c>
      <c r="H1440" s="370">
        <v>0</v>
      </c>
      <c r="I1440" s="363">
        <f>SUM(Tabla132112412[[#This Row],[PRIMER TRIMESTRE]:[CUARTO TRIMESTRE]])</f>
        <v>6</v>
      </c>
      <c r="J1440" s="175">
        <v>184000</v>
      </c>
      <c r="K1440" s="175">
        <f t="shared" si="30"/>
        <v>1104000</v>
      </c>
      <c r="L1440" s="175"/>
      <c r="M1440" s="77" t="s">
        <v>18</v>
      </c>
      <c r="N1440" s="77" t="s">
        <v>22</v>
      </c>
      <c r="O1440" s="177" t="s">
        <v>418</v>
      </c>
    </row>
    <row r="1441" spans="1:15" s="26" customFormat="1" ht="30.75" customHeight="1">
      <c r="A1441" s="12"/>
      <c r="B1441" s="372" t="s">
        <v>99</v>
      </c>
      <c r="C1441" s="77" t="s">
        <v>1146</v>
      </c>
      <c r="D1441" s="177" t="s">
        <v>1067</v>
      </c>
      <c r="E1441" s="370">
        <v>6</v>
      </c>
      <c r="F1441" s="370">
        <v>5</v>
      </c>
      <c r="G1441" s="370">
        <v>5</v>
      </c>
      <c r="H1441" s="370">
        <v>5</v>
      </c>
      <c r="I1441" s="363">
        <f>SUM(Tabla132112412[[#This Row],[PRIMER TRIMESTRE]:[CUARTO TRIMESTRE]])</f>
        <v>21</v>
      </c>
      <c r="J1441" s="175">
        <v>85000</v>
      </c>
      <c r="K1441" s="175">
        <f t="shared" si="30"/>
        <v>1785000</v>
      </c>
      <c r="L1441" s="175"/>
      <c r="M1441" s="77" t="s">
        <v>18</v>
      </c>
      <c r="N1441" s="77" t="s">
        <v>22</v>
      </c>
      <c r="O1441" s="177" t="s">
        <v>418</v>
      </c>
    </row>
    <row r="1442" spans="1:15" s="26" customFormat="1" ht="30.75" customHeight="1">
      <c r="A1442" s="12"/>
      <c r="B1442" s="372" t="s">
        <v>99</v>
      </c>
      <c r="C1442" s="75" t="s">
        <v>1885</v>
      </c>
      <c r="D1442" s="39" t="s">
        <v>1067</v>
      </c>
      <c r="E1442" s="236">
        <v>1</v>
      </c>
      <c r="F1442" s="370"/>
      <c r="G1442" s="370"/>
      <c r="H1442" s="370"/>
      <c r="I1442" s="363"/>
      <c r="J1442" s="175"/>
      <c r="K1442" s="175"/>
      <c r="L1442" s="175"/>
      <c r="M1442" s="77"/>
      <c r="N1442" s="77"/>
      <c r="O1442" s="177"/>
    </row>
    <row r="1443" spans="1:15" s="12" customFormat="1" ht="30.75" customHeight="1">
      <c r="B1443" s="372" t="s">
        <v>99</v>
      </c>
      <c r="C1443" s="77" t="s">
        <v>1147</v>
      </c>
      <c r="D1443" s="177" t="s">
        <v>1067</v>
      </c>
      <c r="E1443" s="370">
        <v>6</v>
      </c>
      <c r="F1443" s="370">
        <v>5</v>
      </c>
      <c r="G1443" s="370">
        <v>5</v>
      </c>
      <c r="H1443" s="370">
        <v>5</v>
      </c>
      <c r="I1443" s="363">
        <f>SUM(Tabla132112412[[#This Row],[PRIMER TRIMESTRE]:[CUARTO TRIMESTRE]])</f>
        <v>21</v>
      </c>
      <c r="J1443" s="175">
        <v>10000</v>
      </c>
      <c r="K1443" s="175">
        <f t="shared" si="30"/>
        <v>210000</v>
      </c>
      <c r="L1443" s="175"/>
      <c r="M1443" s="77" t="s">
        <v>18</v>
      </c>
      <c r="N1443" s="77" t="s">
        <v>22</v>
      </c>
      <c r="O1443" s="177" t="s">
        <v>418</v>
      </c>
    </row>
    <row r="1444" spans="1:15" s="12" customFormat="1" ht="30.75" customHeight="1">
      <c r="B1444" s="372" t="s">
        <v>99</v>
      </c>
      <c r="C1444" s="75" t="s">
        <v>1886</v>
      </c>
      <c r="D1444" s="39" t="s">
        <v>1067</v>
      </c>
      <c r="E1444" s="239"/>
      <c r="F1444" s="236">
        <v>1</v>
      </c>
      <c r="G1444" s="370"/>
      <c r="H1444" s="370"/>
      <c r="I1444" s="363"/>
      <c r="J1444" s="175"/>
      <c r="K1444" s="175"/>
      <c r="L1444" s="175"/>
      <c r="M1444" s="77"/>
      <c r="N1444" s="77"/>
      <c r="O1444" s="177"/>
    </row>
    <row r="1445" spans="1:15" s="12" customFormat="1" ht="30.75" customHeight="1">
      <c r="B1445" s="372" t="s">
        <v>99</v>
      </c>
      <c r="C1445" s="77" t="s">
        <v>1452</v>
      </c>
      <c r="D1445" s="177" t="s">
        <v>17</v>
      </c>
      <c r="E1445" s="370">
        <v>1</v>
      </c>
      <c r="F1445" s="370">
        <v>0</v>
      </c>
      <c r="G1445" s="370">
        <v>0</v>
      </c>
      <c r="H1445" s="370">
        <v>0</v>
      </c>
      <c r="I1445" s="363">
        <f>SUM(Tabla132112412[[#This Row],[PRIMER TRIMESTRE]:[CUARTO TRIMESTRE]])</f>
        <v>1</v>
      </c>
      <c r="J1445" s="175">
        <v>5589.05</v>
      </c>
      <c r="K1445" s="175">
        <f t="shared" si="30"/>
        <v>5589.05</v>
      </c>
      <c r="L1445" s="175"/>
      <c r="M1445" s="77" t="s">
        <v>27</v>
      </c>
      <c r="N1445" s="77" t="s">
        <v>19</v>
      </c>
      <c r="O1445" s="177" t="s">
        <v>342</v>
      </c>
    </row>
    <row r="1446" spans="1:15" s="12" customFormat="1" ht="30.75" customHeight="1">
      <c r="B1446" s="372" t="s">
        <v>99</v>
      </c>
      <c r="C1446" s="77" t="s">
        <v>1453</v>
      </c>
      <c r="D1446" s="177" t="s">
        <v>17</v>
      </c>
      <c r="E1446" s="370">
        <v>7</v>
      </c>
      <c r="F1446" s="370">
        <v>0</v>
      </c>
      <c r="G1446" s="370">
        <v>0</v>
      </c>
      <c r="H1446" s="370">
        <v>0</v>
      </c>
      <c r="I1446" s="363">
        <f>SUM(Tabla132112412[[#This Row],[PRIMER TRIMESTRE]:[CUARTO TRIMESTRE]])</f>
        <v>7</v>
      </c>
      <c r="J1446" s="175">
        <v>15710.6</v>
      </c>
      <c r="K1446" s="175">
        <f t="shared" si="30"/>
        <v>109974.2</v>
      </c>
      <c r="L1446" s="175"/>
      <c r="M1446" s="77" t="s">
        <v>27</v>
      </c>
      <c r="N1446" s="77" t="s">
        <v>19</v>
      </c>
      <c r="O1446" s="177" t="s">
        <v>342</v>
      </c>
    </row>
    <row r="1447" spans="1:15" s="12" customFormat="1" ht="30.75" customHeight="1">
      <c r="B1447" s="372" t="s">
        <v>99</v>
      </c>
      <c r="C1447" s="77" t="s">
        <v>1454</v>
      </c>
      <c r="D1447" s="177" t="s">
        <v>17</v>
      </c>
      <c r="E1447" s="370">
        <v>1</v>
      </c>
      <c r="F1447" s="370">
        <v>2</v>
      </c>
      <c r="G1447" s="370">
        <v>0</v>
      </c>
      <c r="H1447" s="370">
        <v>2</v>
      </c>
      <c r="I1447" s="363">
        <f>SUM(Tabla132112412[[#This Row],[PRIMER TRIMESTRE]:[CUARTO TRIMESTRE]])</f>
        <v>5</v>
      </c>
      <c r="J1447" s="175">
        <v>5347.87</v>
      </c>
      <c r="K1447" s="175">
        <f t="shared" si="30"/>
        <v>26739.35</v>
      </c>
      <c r="L1447" s="175"/>
      <c r="M1447" s="77" t="s">
        <v>27</v>
      </c>
      <c r="N1447" s="77" t="s">
        <v>19</v>
      </c>
      <c r="O1447" s="177" t="s">
        <v>342</v>
      </c>
    </row>
    <row r="1448" spans="1:15" s="12" customFormat="1" ht="30.75" customHeight="1">
      <c r="B1448" s="372" t="s">
        <v>99</v>
      </c>
      <c r="C1448" s="77" t="s">
        <v>1455</v>
      </c>
      <c r="D1448" s="177" t="s">
        <v>17</v>
      </c>
      <c r="E1448" s="370">
        <v>1</v>
      </c>
      <c r="F1448" s="370">
        <v>0</v>
      </c>
      <c r="G1448" s="370">
        <v>0</v>
      </c>
      <c r="H1448" s="370">
        <v>0</v>
      </c>
      <c r="I1448" s="363">
        <f>SUM(Tabla132112412[[#This Row],[PRIMER TRIMESTRE]:[CUARTO TRIMESTRE]])</f>
        <v>1</v>
      </c>
      <c r="J1448" s="175">
        <v>213.48</v>
      </c>
      <c r="K1448" s="175">
        <f t="shared" si="30"/>
        <v>213.48</v>
      </c>
      <c r="L1448" s="175"/>
      <c r="M1448" s="77" t="s">
        <v>27</v>
      </c>
      <c r="N1448" s="77" t="s">
        <v>19</v>
      </c>
      <c r="O1448" s="177" t="s">
        <v>342</v>
      </c>
    </row>
    <row r="1449" spans="1:15" s="12" customFormat="1" ht="30.75" customHeight="1">
      <c r="B1449" s="372" t="s">
        <v>99</v>
      </c>
      <c r="C1449" s="77" t="s">
        <v>1456</v>
      </c>
      <c r="D1449" s="177" t="s">
        <v>17</v>
      </c>
      <c r="E1449" s="370">
        <v>3</v>
      </c>
      <c r="F1449" s="370">
        <v>0</v>
      </c>
      <c r="G1449" s="370">
        <v>2</v>
      </c>
      <c r="H1449" s="370">
        <v>0</v>
      </c>
      <c r="I1449" s="363">
        <f>SUM(Tabla132112412[[#This Row],[PRIMER TRIMESTRE]:[CUARTO TRIMESTRE]])</f>
        <v>5</v>
      </c>
      <c r="J1449" s="175">
        <v>719</v>
      </c>
      <c r="K1449" s="175">
        <f t="shared" si="30"/>
        <v>3595</v>
      </c>
      <c r="L1449" s="175"/>
      <c r="M1449" s="77" t="s">
        <v>27</v>
      </c>
      <c r="N1449" s="77" t="s">
        <v>19</v>
      </c>
      <c r="O1449" s="177" t="s">
        <v>342</v>
      </c>
    </row>
    <row r="1450" spans="1:15" s="12" customFormat="1" ht="30.75" customHeight="1">
      <c r="B1450" s="372" t="s">
        <v>99</v>
      </c>
      <c r="C1450" s="77" t="s">
        <v>1457</v>
      </c>
      <c r="D1450" s="177" t="s">
        <v>17</v>
      </c>
      <c r="E1450" s="370">
        <v>1</v>
      </c>
      <c r="F1450" s="370">
        <v>0</v>
      </c>
      <c r="G1450" s="370">
        <v>0</v>
      </c>
      <c r="H1450" s="370">
        <v>0</v>
      </c>
      <c r="I1450" s="363">
        <f>SUM(Tabla132112412[[#This Row],[PRIMER TRIMESTRE]:[CUARTO TRIMESTRE]])</f>
        <v>1</v>
      </c>
      <c r="J1450" s="175">
        <v>213.48</v>
      </c>
      <c r="K1450" s="175">
        <f t="shared" si="30"/>
        <v>213.48</v>
      </c>
      <c r="L1450" s="175"/>
      <c r="M1450" s="77" t="s">
        <v>27</v>
      </c>
      <c r="N1450" s="77" t="s">
        <v>19</v>
      </c>
      <c r="O1450" s="177" t="s">
        <v>342</v>
      </c>
    </row>
    <row r="1451" spans="1:15" s="12" customFormat="1" ht="30.75" customHeight="1">
      <c r="B1451" s="372" t="s">
        <v>99</v>
      </c>
      <c r="C1451" s="77" t="s">
        <v>1458</v>
      </c>
      <c r="D1451" s="177" t="s">
        <v>17</v>
      </c>
      <c r="E1451" s="370">
        <v>1</v>
      </c>
      <c r="F1451" s="370">
        <v>0</v>
      </c>
      <c r="G1451" s="370">
        <v>0</v>
      </c>
      <c r="H1451" s="370">
        <v>0</v>
      </c>
      <c r="I1451" s="363">
        <f>SUM(Tabla132112412[[#This Row],[PRIMER TRIMESTRE]:[CUARTO TRIMESTRE]])</f>
        <v>1</v>
      </c>
      <c r="J1451" s="175">
        <v>1100</v>
      </c>
      <c r="K1451" s="175">
        <f t="shared" si="30"/>
        <v>1100</v>
      </c>
      <c r="L1451" s="175"/>
      <c r="M1451" s="77" t="s">
        <v>27</v>
      </c>
      <c r="N1451" s="77" t="s">
        <v>19</v>
      </c>
      <c r="O1451" s="177" t="s">
        <v>342</v>
      </c>
    </row>
    <row r="1452" spans="1:15" s="26" customFormat="1" ht="30.75" customHeight="1">
      <c r="A1452" s="12"/>
      <c r="B1452" s="372" t="s">
        <v>99</v>
      </c>
      <c r="C1452" s="77" t="s">
        <v>1459</v>
      </c>
      <c r="D1452" s="177" t="s">
        <v>33</v>
      </c>
      <c r="E1452" s="370">
        <v>4</v>
      </c>
      <c r="F1452" s="370">
        <v>3</v>
      </c>
      <c r="G1452" s="370">
        <v>3</v>
      </c>
      <c r="H1452" s="370">
        <v>3</v>
      </c>
      <c r="I1452" s="363">
        <f>SUM(Tabla132112412[[#This Row],[PRIMER TRIMESTRE]:[CUARTO TRIMESTRE]])</f>
        <v>13</v>
      </c>
      <c r="J1452" s="175">
        <v>250</v>
      </c>
      <c r="K1452" s="175">
        <f t="shared" si="30"/>
        <v>3250</v>
      </c>
      <c r="L1452" s="175"/>
      <c r="M1452" s="77" t="s">
        <v>27</v>
      </c>
      <c r="N1452" s="77" t="s">
        <v>19</v>
      </c>
      <c r="O1452" s="177" t="s">
        <v>342</v>
      </c>
    </row>
    <row r="1453" spans="1:15" s="12" customFormat="1" ht="30.75" customHeight="1">
      <c r="B1453" s="372" t="s">
        <v>99</v>
      </c>
      <c r="C1453" s="77" t="s">
        <v>1460</v>
      </c>
      <c r="D1453" s="177" t="s">
        <v>208</v>
      </c>
      <c r="E1453" s="370">
        <v>1</v>
      </c>
      <c r="F1453" s="370">
        <v>0</v>
      </c>
      <c r="G1453" s="370">
        <v>1</v>
      </c>
      <c r="H1453" s="370">
        <v>0</v>
      </c>
      <c r="I1453" s="363">
        <f>SUM(Tabla132112412[[#This Row],[PRIMER TRIMESTRE]:[CUARTO TRIMESTRE]])</f>
        <v>2</v>
      </c>
      <c r="J1453" s="175">
        <v>1130</v>
      </c>
      <c r="K1453" s="175">
        <f t="shared" si="30"/>
        <v>2260</v>
      </c>
      <c r="L1453" s="175"/>
      <c r="M1453" s="77" t="s">
        <v>27</v>
      </c>
      <c r="N1453" s="77" t="s">
        <v>19</v>
      </c>
      <c r="O1453" s="177" t="s">
        <v>342</v>
      </c>
    </row>
    <row r="1454" spans="1:15" s="12" customFormat="1" ht="30.75" customHeight="1">
      <c r="B1454" s="372" t="s">
        <v>113</v>
      </c>
      <c r="C1454" s="77" t="s">
        <v>236</v>
      </c>
      <c r="D1454" s="177" t="s">
        <v>17</v>
      </c>
      <c r="E1454" s="370">
        <v>6</v>
      </c>
      <c r="F1454" s="370">
        <v>4</v>
      </c>
      <c r="G1454" s="370">
        <v>6</v>
      </c>
      <c r="H1454" s="370">
        <v>4</v>
      </c>
      <c r="I1454" s="363">
        <f>SUM(Tabla132112412[[#This Row],[PRIMER TRIMESTRE]:[CUARTO TRIMESTRE]])</f>
        <v>20</v>
      </c>
      <c r="J1454" s="175">
        <v>806.2</v>
      </c>
      <c r="K1454" s="175">
        <f>+Tabla132112412[[#This Row],[CANTIDAD TOTAL]]*Tabla132112412[[#This Row],[PRECIO UNITARIO ESTIMADO]]</f>
        <v>16124</v>
      </c>
      <c r="L1454" s="175"/>
      <c r="M1454" s="77" t="s">
        <v>15</v>
      </c>
      <c r="N1454" s="77" t="s">
        <v>22</v>
      </c>
      <c r="O1454" s="177" t="s">
        <v>418</v>
      </c>
    </row>
    <row r="1455" spans="1:15" s="12" customFormat="1" ht="30.75" customHeight="1">
      <c r="B1455" s="372" t="s">
        <v>113</v>
      </c>
      <c r="C1455" s="77" t="s">
        <v>233</v>
      </c>
      <c r="D1455" s="177" t="s">
        <v>234</v>
      </c>
      <c r="E1455" s="370">
        <v>1</v>
      </c>
      <c r="F1455" s="370">
        <v>0</v>
      </c>
      <c r="G1455" s="370">
        <v>0</v>
      </c>
      <c r="H1455" s="370">
        <v>0</v>
      </c>
      <c r="I1455" s="363">
        <f>SUM(Tabla132112412[[#This Row],[PRIMER TRIMESTRE]:[CUARTO TRIMESTRE]])</f>
        <v>1</v>
      </c>
      <c r="J1455" s="175">
        <v>7099.2</v>
      </c>
      <c r="K1455" s="175">
        <f>+Tabla132112412[[#This Row],[CANTIDAD TOTAL]]*Tabla132112412[[#This Row],[PRECIO UNITARIO ESTIMADO]]</f>
        <v>7099.2</v>
      </c>
      <c r="L1455" s="175"/>
      <c r="M1455" s="77" t="s">
        <v>27</v>
      </c>
      <c r="N1455" s="77" t="s">
        <v>22</v>
      </c>
      <c r="O1455" s="177" t="s">
        <v>418</v>
      </c>
    </row>
    <row r="1456" spans="1:15" s="12" customFormat="1" ht="30.75" customHeight="1">
      <c r="B1456" s="372" t="s">
        <v>113</v>
      </c>
      <c r="C1456" s="77" t="s">
        <v>235</v>
      </c>
      <c r="D1456" s="177" t="s">
        <v>69</v>
      </c>
      <c r="E1456" s="370">
        <v>3</v>
      </c>
      <c r="F1456" s="370">
        <v>2</v>
      </c>
      <c r="G1456" s="370">
        <v>3</v>
      </c>
      <c r="H1456" s="370">
        <v>2</v>
      </c>
      <c r="I1456" s="363">
        <f>SUM(Tabla132112412[[#This Row],[PRIMER TRIMESTRE]:[CUARTO TRIMESTRE]])</f>
        <v>10</v>
      </c>
      <c r="J1456" s="175">
        <v>52.2</v>
      </c>
      <c r="K1456" s="175">
        <f>+Tabla132112412[[#This Row],[CANTIDAD TOTAL]]*Tabla132112412[[#This Row],[PRECIO UNITARIO ESTIMADO]]</f>
        <v>522</v>
      </c>
      <c r="L1456" s="175"/>
      <c r="M1456" s="77" t="s">
        <v>27</v>
      </c>
      <c r="N1456" s="77" t="s">
        <v>22</v>
      </c>
      <c r="O1456" s="177" t="s">
        <v>418</v>
      </c>
    </row>
    <row r="1457" spans="1:15" s="12" customFormat="1" ht="25.5">
      <c r="B1457" s="372" t="s">
        <v>113</v>
      </c>
      <c r="C1457" s="77" t="s">
        <v>320</v>
      </c>
      <c r="D1457" s="177" t="s">
        <v>17</v>
      </c>
      <c r="E1457" s="370">
        <v>7</v>
      </c>
      <c r="F1457" s="370">
        <v>7</v>
      </c>
      <c r="G1457" s="370">
        <v>7</v>
      </c>
      <c r="H1457" s="370">
        <v>7</v>
      </c>
      <c r="I1457" s="363">
        <f>SUM(Tabla132112412[[#This Row],[PRIMER TRIMESTRE]:[CUARTO TRIMESTRE]])</f>
        <v>28</v>
      </c>
      <c r="J1457" s="175">
        <f>41960.8/121</f>
        <v>346.7834710743802</v>
      </c>
      <c r="K1457" s="175">
        <f>+Tabla132112412[[#This Row],[CANTIDAD TOTAL]]*Tabla132112412[[#This Row],[PRECIO UNITARIO ESTIMADO]]</f>
        <v>9709.9371900826463</v>
      </c>
      <c r="L1457" s="175"/>
      <c r="M1457" s="77" t="s">
        <v>15</v>
      </c>
      <c r="N1457" s="77" t="s">
        <v>22</v>
      </c>
      <c r="O1457" s="177" t="s">
        <v>418</v>
      </c>
    </row>
    <row r="1458" spans="1:15" s="26" customFormat="1" ht="25.5">
      <c r="A1458" s="12"/>
      <c r="B1458" s="372" t="s">
        <v>113</v>
      </c>
      <c r="C1458" s="77" t="s">
        <v>237</v>
      </c>
      <c r="D1458" s="177" t="s">
        <v>17</v>
      </c>
      <c r="E1458" s="370">
        <v>2</v>
      </c>
      <c r="F1458" s="370">
        <v>0</v>
      </c>
      <c r="G1458" s="370">
        <v>0</v>
      </c>
      <c r="H1458" s="370">
        <v>0</v>
      </c>
      <c r="I1458" s="363">
        <f>SUM(Tabla132112412[[#This Row],[PRIMER TRIMESTRE]:[CUARTO TRIMESTRE]])</f>
        <v>2</v>
      </c>
      <c r="J1458" s="175">
        <v>668</v>
      </c>
      <c r="K1458" s="175">
        <f>+Tabla132112412[[#This Row],[CANTIDAD TOTAL]]*Tabla132112412[[#This Row],[PRECIO UNITARIO ESTIMADO]]</f>
        <v>1336</v>
      </c>
      <c r="L1458" s="175"/>
      <c r="M1458" s="77" t="s">
        <v>15</v>
      </c>
      <c r="N1458" s="77" t="s">
        <v>22</v>
      </c>
      <c r="O1458" s="177" t="s">
        <v>418</v>
      </c>
    </row>
    <row r="1459" spans="1:15" s="169" customFormat="1" ht="25.5">
      <c r="A1459" s="12"/>
      <c r="B1459" s="372" t="s">
        <v>113</v>
      </c>
      <c r="C1459" s="77" t="s">
        <v>238</v>
      </c>
      <c r="D1459" s="177" t="s">
        <v>208</v>
      </c>
      <c r="E1459" s="370">
        <v>1</v>
      </c>
      <c r="F1459" s="370">
        <v>0</v>
      </c>
      <c r="G1459" s="370">
        <v>0</v>
      </c>
      <c r="H1459" s="370">
        <v>0</v>
      </c>
      <c r="I1459" s="363">
        <f>SUM(Tabla132112412[[#This Row],[PRIMER TRIMESTRE]:[CUARTO TRIMESTRE]])</f>
        <v>1</v>
      </c>
      <c r="J1459" s="175">
        <v>754</v>
      </c>
      <c r="K1459" s="175">
        <f>+Tabla132112412[[#This Row],[CANTIDAD TOTAL]]*Tabla132112412[[#This Row],[PRECIO UNITARIO ESTIMADO]]</f>
        <v>754</v>
      </c>
      <c r="L1459" s="175"/>
      <c r="M1459" s="77" t="s">
        <v>27</v>
      </c>
      <c r="N1459" s="77" t="s">
        <v>22</v>
      </c>
      <c r="O1459" s="177" t="s">
        <v>418</v>
      </c>
    </row>
    <row r="1460" spans="1:15" s="12" customFormat="1" ht="25.5">
      <c r="B1460" s="452" t="s">
        <v>113</v>
      </c>
      <c r="C1460" s="453"/>
      <c r="D1460" s="177"/>
      <c r="E1460" s="370"/>
      <c r="F1460" s="370"/>
      <c r="G1460" s="370"/>
      <c r="H1460" s="370"/>
      <c r="I1460" s="363">
        <f>SUM(Tabla132112412[[#This Row],[PRIMER TRIMESTRE]:[CUARTO TRIMESTRE]])</f>
        <v>0</v>
      </c>
      <c r="J1460" s="175"/>
      <c r="K1460" s="175"/>
      <c r="L1460" s="451">
        <f>SUM(K1454:K1459)</f>
        <v>35545.137190082649</v>
      </c>
      <c r="M1460" s="77"/>
      <c r="N1460" s="77"/>
      <c r="O1460" s="177"/>
    </row>
    <row r="1461" spans="1:15" s="12" customFormat="1" ht="18">
      <c r="B1461" s="372" t="s">
        <v>115</v>
      </c>
      <c r="C1461" s="77" t="s">
        <v>319</v>
      </c>
      <c r="D1461" s="177" t="s">
        <v>17</v>
      </c>
      <c r="E1461" s="370">
        <v>3</v>
      </c>
      <c r="F1461" s="370">
        <v>0</v>
      </c>
      <c r="G1461" s="370">
        <v>2</v>
      </c>
      <c r="H1461" s="370">
        <v>0</v>
      </c>
      <c r="I1461" s="363">
        <f>SUM(Tabla132112412[[#This Row],[PRIMER TRIMESTRE]:[CUARTO TRIMESTRE]])</f>
        <v>5</v>
      </c>
      <c r="J1461" s="175">
        <f>544724/8</f>
        <v>68090.5</v>
      </c>
      <c r="K1461" s="175">
        <f>+Tabla132112412[[#This Row],[CANTIDAD TOTAL]]*Tabla132112412[[#This Row],[PRECIO UNITARIO ESTIMADO]]</f>
        <v>340452.5</v>
      </c>
      <c r="L1461" s="175"/>
      <c r="M1461" s="77" t="s">
        <v>18</v>
      </c>
      <c r="N1461" s="77" t="s">
        <v>22</v>
      </c>
      <c r="O1461" s="177" t="s">
        <v>418</v>
      </c>
    </row>
    <row r="1462" spans="1:15" s="12" customFormat="1" ht="18">
      <c r="B1462" s="372" t="s">
        <v>115</v>
      </c>
      <c r="C1462" s="77" t="s">
        <v>428</v>
      </c>
      <c r="D1462" s="177" t="s">
        <v>17</v>
      </c>
      <c r="E1462" s="370">
        <v>3</v>
      </c>
      <c r="F1462" s="370">
        <v>0</v>
      </c>
      <c r="G1462" s="370">
        <v>2</v>
      </c>
      <c r="H1462" s="370">
        <v>0</v>
      </c>
      <c r="I1462" s="363">
        <f>SUM(Tabla132112412[[#This Row],[PRIMER TRIMESTRE]:[CUARTO TRIMESTRE]])</f>
        <v>5</v>
      </c>
      <c r="J1462" s="175">
        <v>3074</v>
      </c>
      <c r="K1462" s="175">
        <f>+Tabla132112412[[#This Row],[CANTIDAD TOTAL]]*Tabla132112412[[#This Row],[PRECIO UNITARIO ESTIMADO]]</f>
        <v>15370</v>
      </c>
      <c r="L1462" s="175"/>
      <c r="M1462" s="77" t="s">
        <v>18</v>
      </c>
      <c r="N1462" s="77" t="s">
        <v>22</v>
      </c>
      <c r="O1462" s="177" t="s">
        <v>418</v>
      </c>
    </row>
    <row r="1463" spans="1:15" s="12" customFormat="1" ht="18">
      <c r="B1463" s="372" t="s">
        <v>115</v>
      </c>
      <c r="C1463" s="77" t="s">
        <v>244</v>
      </c>
      <c r="D1463" s="177" t="s">
        <v>17</v>
      </c>
      <c r="E1463" s="370">
        <v>2</v>
      </c>
      <c r="F1463" s="370">
        <v>0</v>
      </c>
      <c r="G1463" s="370">
        <v>0</v>
      </c>
      <c r="H1463" s="370">
        <v>1</v>
      </c>
      <c r="I1463" s="363">
        <f>SUM(Tabla132112412[[#This Row],[PRIMER TRIMESTRE]:[CUARTO TRIMESTRE]])</f>
        <v>3</v>
      </c>
      <c r="J1463" s="175">
        <v>24940</v>
      </c>
      <c r="K1463" s="175">
        <f>+Tabla132112412[[#This Row],[CANTIDAD TOTAL]]*Tabla132112412[[#This Row],[PRECIO UNITARIO ESTIMADO]]</f>
        <v>74820</v>
      </c>
      <c r="L1463" s="175"/>
      <c r="M1463" s="77" t="s">
        <v>18</v>
      </c>
      <c r="N1463" s="77" t="s">
        <v>22</v>
      </c>
      <c r="O1463" s="177" t="s">
        <v>418</v>
      </c>
    </row>
    <row r="1464" spans="1:15" s="169" customFormat="1" ht="18">
      <c r="A1464" s="12"/>
      <c r="B1464" s="372" t="s">
        <v>115</v>
      </c>
      <c r="C1464" s="77" t="s">
        <v>429</v>
      </c>
      <c r="D1464" s="177" t="s">
        <v>17</v>
      </c>
      <c r="E1464" s="370">
        <v>0</v>
      </c>
      <c r="F1464" s="370">
        <v>0</v>
      </c>
      <c r="G1464" s="370">
        <v>0</v>
      </c>
      <c r="H1464" s="370">
        <v>0</v>
      </c>
      <c r="I1464" s="363">
        <f>SUM(Tabla132112412[[#This Row],[PRIMER TRIMESTRE]:[CUARTO TRIMESTRE]])</f>
        <v>0</v>
      </c>
      <c r="J1464" s="175">
        <v>77185.240000000005</v>
      </c>
      <c r="K1464" s="175">
        <f>+Tabla132112412[[#This Row],[CANTIDAD TOTAL]]*Tabla132112412[[#This Row],[PRECIO UNITARIO ESTIMADO]]</f>
        <v>0</v>
      </c>
      <c r="L1464" s="175"/>
      <c r="M1464" s="77" t="s">
        <v>18</v>
      </c>
      <c r="N1464" s="77" t="s">
        <v>22</v>
      </c>
      <c r="O1464" s="177" t="s">
        <v>418</v>
      </c>
    </row>
    <row r="1465" spans="1:15" s="169" customFormat="1" ht="18">
      <c r="A1465" s="12"/>
      <c r="B1465" s="372" t="s">
        <v>115</v>
      </c>
      <c r="C1465" s="77" t="s">
        <v>321</v>
      </c>
      <c r="D1465" s="177" t="s">
        <v>17</v>
      </c>
      <c r="E1465" s="370">
        <v>6</v>
      </c>
      <c r="F1465" s="370">
        <v>6</v>
      </c>
      <c r="G1465" s="370">
        <v>6</v>
      </c>
      <c r="H1465" s="370">
        <v>6</v>
      </c>
      <c r="I1465" s="363">
        <f>SUM(Tabla132112412[[#This Row],[PRIMER TRIMESTRE]:[CUARTO TRIMESTRE]])</f>
        <v>24</v>
      </c>
      <c r="J1465" s="175">
        <f>31243.78/16</f>
        <v>1952.7362499999999</v>
      </c>
      <c r="K1465" s="175">
        <f>+Tabla132112412[[#This Row],[CANTIDAD TOTAL]]*Tabla132112412[[#This Row],[PRECIO UNITARIO ESTIMADO]]</f>
        <v>46865.67</v>
      </c>
      <c r="L1465" s="175"/>
      <c r="M1465" s="77" t="s">
        <v>18</v>
      </c>
      <c r="N1465" s="77" t="s">
        <v>22</v>
      </c>
      <c r="O1465" s="177" t="s">
        <v>418</v>
      </c>
    </row>
    <row r="1466" spans="1:15" s="169" customFormat="1" ht="38.25">
      <c r="A1466" s="12"/>
      <c r="B1466" s="372" t="s">
        <v>115</v>
      </c>
      <c r="C1466" s="77" t="s">
        <v>892</v>
      </c>
      <c r="D1466" s="177" t="s">
        <v>17</v>
      </c>
      <c r="E1466" s="370">
        <v>3</v>
      </c>
      <c r="F1466" s="370">
        <v>0</v>
      </c>
      <c r="G1466" s="370">
        <v>3</v>
      </c>
      <c r="H1466" s="370">
        <v>0</v>
      </c>
      <c r="I1466" s="363">
        <f>SUM(Tabla132112412[[#This Row],[PRIMER TRIMESTRE]:[CUARTO TRIMESTRE]])</f>
        <v>6</v>
      </c>
      <c r="J1466" s="175">
        <v>3519</v>
      </c>
      <c r="K1466" s="175">
        <f t="shared" ref="K1466:K1494" si="31">+I1466*J1466</f>
        <v>21114</v>
      </c>
      <c r="L1466" s="175"/>
      <c r="M1466" s="77" t="s">
        <v>18</v>
      </c>
      <c r="N1466" s="77" t="s">
        <v>22</v>
      </c>
      <c r="O1466" s="177" t="s">
        <v>418</v>
      </c>
    </row>
    <row r="1467" spans="1:15" s="169" customFormat="1" ht="25.5">
      <c r="A1467" s="12"/>
      <c r="B1467" s="372" t="s">
        <v>115</v>
      </c>
      <c r="C1467" s="77" t="s">
        <v>932</v>
      </c>
      <c r="D1467" s="177" t="s">
        <v>17</v>
      </c>
      <c r="E1467" s="370">
        <v>17</v>
      </c>
      <c r="F1467" s="370">
        <v>0</v>
      </c>
      <c r="G1467" s="370">
        <v>12</v>
      </c>
      <c r="H1467" s="370">
        <v>0</v>
      </c>
      <c r="I1467" s="363">
        <f>SUM(Tabla132112412[[#This Row],[PRIMER TRIMESTRE]:[CUARTO TRIMESTRE]])</f>
        <v>29</v>
      </c>
      <c r="J1467" s="175">
        <v>1500</v>
      </c>
      <c r="K1467" s="175">
        <f t="shared" si="31"/>
        <v>43500</v>
      </c>
      <c r="L1467" s="175"/>
      <c r="M1467" s="77" t="s">
        <v>18</v>
      </c>
      <c r="N1467" s="77" t="s">
        <v>22</v>
      </c>
      <c r="O1467" s="177" t="s">
        <v>418</v>
      </c>
    </row>
    <row r="1468" spans="1:15" s="169" customFormat="1" ht="25.5">
      <c r="A1468" s="12"/>
      <c r="B1468" s="372" t="s">
        <v>115</v>
      </c>
      <c r="C1468" s="77" t="s">
        <v>894</v>
      </c>
      <c r="D1468" s="177" t="s">
        <v>17</v>
      </c>
      <c r="E1468" s="370">
        <v>7</v>
      </c>
      <c r="F1468" s="370">
        <v>3</v>
      </c>
      <c r="G1468" s="370">
        <v>7</v>
      </c>
      <c r="H1468" s="370">
        <v>3</v>
      </c>
      <c r="I1468" s="363">
        <f>SUM(Tabla132112412[[#This Row],[PRIMER TRIMESTRE]:[CUARTO TRIMESTRE]])</f>
        <v>20</v>
      </c>
      <c r="J1468" s="175">
        <v>600</v>
      </c>
      <c r="K1468" s="175">
        <f t="shared" si="31"/>
        <v>12000</v>
      </c>
      <c r="L1468" s="175"/>
      <c r="M1468" s="77" t="s">
        <v>18</v>
      </c>
      <c r="N1468" s="77" t="s">
        <v>22</v>
      </c>
      <c r="O1468" s="177" t="s">
        <v>418</v>
      </c>
    </row>
    <row r="1469" spans="1:15" s="169" customFormat="1" ht="25.5">
      <c r="A1469" s="12"/>
      <c r="B1469" s="372" t="s">
        <v>115</v>
      </c>
      <c r="C1469" s="77" t="s">
        <v>895</v>
      </c>
      <c r="D1469" s="177" t="s">
        <v>17</v>
      </c>
      <c r="E1469" s="370">
        <v>7</v>
      </c>
      <c r="F1469" s="370">
        <v>3</v>
      </c>
      <c r="G1469" s="370">
        <v>7</v>
      </c>
      <c r="H1469" s="370">
        <v>3</v>
      </c>
      <c r="I1469" s="363">
        <f>SUM(Tabla132112412[[#This Row],[PRIMER TRIMESTRE]:[CUARTO TRIMESTRE]])</f>
        <v>20</v>
      </c>
      <c r="J1469" s="175">
        <v>450</v>
      </c>
      <c r="K1469" s="175">
        <f t="shared" si="31"/>
        <v>9000</v>
      </c>
      <c r="L1469" s="175"/>
      <c r="M1469" s="77" t="s">
        <v>18</v>
      </c>
      <c r="N1469" s="77" t="s">
        <v>22</v>
      </c>
      <c r="O1469" s="177" t="s">
        <v>418</v>
      </c>
    </row>
    <row r="1470" spans="1:15" s="169" customFormat="1" ht="18">
      <c r="A1470" s="12"/>
      <c r="B1470" s="372" t="s">
        <v>115</v>
      </c>
      <c r="C1470" s="77" t="s">
        <v>897</v>
      </c>
      <c r="D1470" s="177" t="s">
        <v>17</v>
      </c>
      <c r="E1470" s="370">
        <v>3</v>
      </c>
      <c r="F1470" s="370">
        <v>0</v>
      </c>
      <c r="G1470" s="370">
        <v>0</v>
      </c>
      <c r="H1470" s="370">
        <v>0</v>
      </c>
      <c r="I1470" s="363">
        <f>SUM(Tabla132112412[[#This Row],[PRIMER TRIMESTRE]:[CUARTO TRIMESTRE]])</f>
        <v>3</v>
      </c>
      <c r="J1470" s="175">
        <v>85000</v>
      </c>
      <c r="K1470" s="175">
        <f t="shared" si="31"/>
        <v>255000</v>
      </c>
      <c r="L1470" s="175"/>
      <c r="M1470" s="77" t="s">
        <v>18</v>
      </c>
      <c r="N1470" s="77" t="s">
        <v>22</v>
      </c>
      <c r="O1470" s="177" t="s">
        <v>418</v>
      </c>
    </row>
    <row r="1471" spans="1:15" s="169" customFormat="1" ht="25.5">
      <c r="A1471" s="12"/>
      <c r="B1471" s="372" t="s">
        <v>115</v>
      </c>
      <c r="C1471" s="77" t="s">
        <v>898</v>
      </c>
      <c r="D1471" s="177" t="s">
        <v>17</v>
      </c>
      <c r="E1471" s="370">
        <f>6+13</f>
        <v>19</v>
      </c>
      <c r="F1471" s="370">
        <f>4+13</f>
        <v>17</v>
      </c>
      <c r="G1471" s="370">
        <f>6+13</f>
        <v>19</v>
      </c>
      <c r="H1471" s="370">
        <f>4+8</f>
        <v>12</v>
      </c>
      <c r="I1471" s="363">
        <f>SUM(Tabla132112412[[#This Row],[PRIMER TRIMESTRE]:[CUARTO TRIMESTRE]])</f>
        <v>67</v>
      </c>
      <c r="J1471" s="175">
        <v>2500</v>
      </c>
      <c r="K1471" s="175">
        <f t="shared" si="31"/>
        <v>167500</v>
      </c>
      <c r="L1471" s="175"/>
      <c r="M1471" s="77" t="s">
        <v>18</v>
      </c>
      <c r="N1471" s="77" t="s">
        <v>22</v>
      </c>
      <c r="O1471" s="177" t="s">
        <v>418</v>
      </c>
    </row>
    <row r="1472" spans="1:15" s="169" customFormat="1" ht="38.25">
      <c r="A1472" s="12"/>
      <c r="B1472" s="372" t="s">
        <v>115</v>
      </c>
      <c r="C1472" s="77" t="s">
        <v>933</v>
      </c>
      <c r="D1472" s="177" t="s">
        <v>17</v>
      </c>
      <c r="E1472" s="370">
        <v>0</v>
      </c>
      <c r="F1472" s="370">
        <v>0</v>
      </c>
      <c r="G1472" s="370">
        <v>0</v>
      </c>
      <c r="H1472" s="370">
        <v>0</v>
      </c>
      <c r="I1472" s="363">
        <f>SUM(Tabla132112412[[#This Row],[PRIMER TRIMESTRE]:[CUARTO TRIMESTRE]])</f>
        <v>0</v>
      </c>
      <c r="J1472" s="175">
        <v>420</v>
      </c>
      <c r="K1472" s="175">
        <f t="shared" si="31"/>
        <v>0</v>
      </c>
      <c r="L1472" s="175"/>
      <c r="M1472" s="77" t="s">
        <v>18</v>
      </c>
      <c r="N1472" s="77" t="s">
        <v>22</v>
      </c>
      <c r="O1472" s="177" t="s">
        <v>418</v>
      </c>
    </row>
    <row r="1473" spans="1:15" s="169" customFormat="1" ht="38.25">
      <c r="A1473" s="12"/>
      <c r="B1473" s="372" t="s">
        <v>115</v>
      </c>
      <c r="C1473" s="77" t="s">
        <v>902</v>
      </c>
      <c r="D1473" s="177" t="s">
        <v>17</v>
      </c>
      <c r="E1473" s="370">
        <v>0</v>
      </c>
      <c r="F1473" s="370">
        <v>0</v>
      </c>
      <c r="G1473" s="370">
        <v>0</v>
      </c>
      <c r="H1473" s="370">
        <v>0</v>
      </c>
      <c r="I1473" s="363">
        <f>SUM(Tabla132112412[[#This Row],[PRIMER TRIMESTRE]:[CUARTO TRIMESTRE]])</f>
        <v>0</v>
      </c>
      <c r="J1473" s="175">
        <v>450</v>
      </c>
      <c r="K1473" s="175">
        <f t="shared" si="31"/>
        <v>0</v>
      </c>
      <c r="L1473" s="175"/>
      <c r="M1473" s="77" t="s">
        <v>18</v>
      </c>
      <c r="N1473" s="77" t="s">
        <v>22</v>
      </c>
      <c r="O1473" s="177" t="s">
        <v>418</v>
      </c>
    </row>
    <row r="1474" spans="1:15" s="169" customFormat="1" ht="18">
      <c r="A1474" s="12"/>
      <c r="B1474" s="372" t="s">
        <v>115</v>
      </c>
      <c r="C1474" s="77" t="s">
        <v>934</v>
      </c>
      <c r="D1474" s="177" t="s">
        <v>17</v>
      </c>
      <c r="E1474" s="370">
        <v>0</v>
      </c>
      <c r="F1474" s="370">
        <v>0</v>
      </c>
      <c r="G1474" s="370">
        <v>0</v>
      </c>
      <c r="H1474" s="370">
        <v>0</v>
      </c>
      <c r="I1474" s="363">
        <f>SUM(Tabla132112412[[#This Row],[PRIMER TRIMESTRE]:[CUARTO TRIMESTRE]])</f>
        <v>0</v>
      </c>
      <c r="J1474" s="175">
        <v>125</v>
      </c>
      <c r="K1474" s="175">
        <f t="shared" si="31"/>
        <v>0</v>
      </c>
      <c r="L1474" s="175"/>
      <c r="M1474" s="77" t="s">
        <v>18</v>
      </c>
      <c r="N1474" s="77" t="s">
        <v>22</v>
      </c>
      <c r="O1474" s="177" t="s">
        <v>418</v>
      </c>
    </row>
    <row r="1475" spans="1:15" s="169" customFormat="1" ht="18">
      <c r="A1475" s="12"/>
      <c r="B1475" s="372" t="s">
        <v>115</v>
      </c>
      <c r="C1475" s="77" t="s">
        <v>935</v>
      </c>
      <c r="D1475" s="177" t="s">
        <v>208</v>
      </c>
      <c r="E1475" s="370">
        <v>1</v>
      </c>
      <c r="F1475" s="370">
        <v>0</v>
      </c>
      <c r="G1475" s="370">
        <v>0</v>
      </c>
      <c r="H1475" s="370">
        <v>0</v>
      </c>
      <c r="I1475" s="363">
        <f>SUM(Tabla132112412[[#This Row],[PRIMER TRIMESTRE]:[CUARTO TRIMESTRE]])</f>
        <v>1</v>
      </c>
      <c r="J1475" s="175">
        <v>4300</v>
      </c>
      <c r="K1475" s="175">
        <f t="shared" si="31"/>
        <v>4300</v>
      </c>
      <c r="L1475" s="175"/>
      <c r="M1475" s="77" t="s">
        <v>18</v>
      </c>
      <c r="N1475" s="77" t="s">
        <v>22</v>
      </c>
      <c r="O1475" s="177" t="s">
        <v>418</v>
      </c>
    </row>
    <row r="1476" spans="1:15" s="169" customFormat="1" ht="25.5">
      <c r="A1476" s="12"/>
      <c r="B1476" s="372" t="s">
        <v>115</v>
      </c>
      <c r="C1476" s="77" t="s">
        <v>936</v>
      </c>
      <c r="D1476" s="177" t="s">
        <v>17</v>
      </c>
      <c r="E1476" s="370">
        <v>3</v>
      </c>
      <c r="F1476" s="370">
        <v>0</v>
      </c>
      <c r="G1476" s="370">
        <v>0</v>
      </c>
      <c r="H1476" s="370">
        <v>0</v>
      </c>
      <c r="I1476" s="363">
        <f>SUM(Tabla132112412[[#This Row],[PRIMER TRIMESTRE]:[CUARTO TRIMESTRE]])</f>
        <v>3</v>
      </c>
      <c r="J1476" s="175">
        <v>7300</v>
      </c>
      <c r="K1476" s="175">
        <f t="shared" si="31"/>
        <v>21900</v>
      </c>
      <c r="L1476" s="175"/>
      <c r="M1476" s="77" t="s">
        <v>18</v>
      </c>
      <c r="N1476" s="77" t="s">
        <v>22</v>
      </c>
      <c r="O1476" s="177" t="s">
        <v>418</v>
      </c>
    </row>
    <row r="1477" spans="1:15" s="169" customFormat="1" ht="25.5">
      <c r="A1477" s="12"/>
      <c r="B1477" s="372" t="s">
        <v>115</v>
      </c>
      <c r="C1477" s="77" t="s">
        <v>937</v>
      </c>
      <c r="D1477" s="177" t="s">
        <v>17</v>
      </c>
      <c r="E1477" s="370">
        <v>3</v>
      </c>
      <c r="F1477" s="370">
        <v>0</v>
      </c>
      <c r="G1477" s="370">
        <v>0</v>
      </c>
      <c r="H1477" s="370">
        <v>0</v>
      </c>
      <c r="I1477" s="363">
        <f>SUM(Tabla132112412[[#This Row],[PRIMER TRIMESTRE]:[CUARTO TRIMESTRE]])</f>
        <v>3</v>
      </c>
      <c r="J1477" s="175">
        <v>14671</v>
      </c>
      <c r="K1477" s="175">
        <f t="shared" si="31"/>
        <v>44013</v>
      </c>
      <c r="L1477" s="175"/>
      <c r="M1477" s="77" t="s">
        <v>18</v>
      </c>
      <c r="N1477" s="77" t="s">
        <v>22</v>
      </c>
      <c r="O1477" s="177" t="s">
        <v>418</v>
      </c>
    </row>
    <row r="1478" spans="1:15" s="169" customFormat="1" ht="25.5">
      <c r="A1478" s="12"/>
      <c r="B1478" s="372" t="s">
        <v>115</v>
      </c>
      <c r="C1478" s="77" t="s">
        <v>938</v>
      </c>
      <c r="D1478" s="177" t="s">
        <v>17</v>
      </c>
      <c r="E1478" s="370">
        <v>1</v>
      </c>
      <c r="F1478" s="370">
        <v>0</v>
      </c>
      <c r="G1478" s="370">
        <v>0</v>
      </c>
      <c r="H1478" s="370">
        <v>0</v>
      </c>
      <c r="I1478" s="363">
        <f>SUM(Tabla132112412[[#This Row],[PRIMER TRIMESTRE]:[CUARTO TRIMESTRE]])</f>
        <v>1</v>
      </c>
      <c r="J1478" s="175">
        <v>34000</v>
      </c>
      <c r="K1478" s="175">
        <f t="shared" si="31"/>
        <v>34000</v>
      </c>
      <c r="L1478" s="175"/>
      <c r="M1478" s="77" t="s">
        <v>18</v>
      </c>
      <c r="N1478" s="77" t="s">
        <v>22</v>
      </c>
      <c r="O1478" s="177" t="s">
        <v>418</v>
      </c>
    </row>
    <row r="1479" spans="1:15" s="169" customFormat="1" ht="18">
      <c r="A1479" s="12"/>
      <c r="B1479" s="372" t="s">
        <v>115</v>
      </c>
      <c r="C1479" s="77" t="s">
        <v>1628</v>
      </c>
      <c r="D1479" s="177" t="s">
        <v>17</v>
      </c>
      <c r="E1479" s="370">
        <v>46</v>
      </c>
      <c r="F1479" s="370">
        <v>0</v>
      </c>
      <c r="G1479" s="370">
        <v>0</v>
      </c>
      <c r="H1479" s="370">
        <v>0</v>
      </c>
      <c r="I1479" s="363">
        <f>SUM(Tabla132112412[[#This Row],[PRIMER TRIMESTRE]:[CUARTO TRIMESTRE]])</f>
        <v>46</v>
      </c>
      <c r="J1479" s="175">
        <v>3500</v>
      </c>
      <c r="K1479" s="175">
        <f t="shared" si="31"/>
        <v>161000</v>
      </c>
      <c r="L1479" s="175"/>
      <c r="M1479" s="77" t="s">
        <v>18</v>
      </c>
      <c r="N1479" s="77" t="s">
        <v>22</v>
      </c>
      <c r="O1479" s="177" t="s">
        <v>418</v>
      </c>
    </row>
    <row r="1480" spans="1:15" s="169" customFormat="1" ht="18">
      <c r="A1480" s="12"/>
      <c r="B1480" s="372" t="s">
        <v>115</v>
      </c>
      <c r="C1480" s="77" t="s">
        <v>1629</v>
      </c>
      <c r="D1480" s="177" t="s">
        <v>17</v>
      </c>
      <c r="E1480" s="370">
        <v>18</v>
      </c>
      <c r="F1480" s="370">
        <v>0</v>
      </c>
      <c r="G1480" s="370">
        <v>0</v>
      </c>
      <c r="H1480" s="370">
        <v>0</v>
      </c>
      <c r="I1480" s="363">
        <f>SUM(Tabla132112412[[#This Row],[PRIMER TRIMESTRE]:[CUARTO TRIMESTRE]])</f>
        <v>18</v>
      </c>
      <c r="J1480" s="175">
        <v>14000</v>
      </c>
      <c r="K1480" s="175">
        <f t="shared" si="31"/>
        <v>252000</v>
      </c>
      <c r="L1480" s="175"/>
      <c r="M1480" s="77" t="s">
        <v>18</v>
      </c>
      <c r="N1480" s="77" t="s">
        <v>22</v>
      </c>
      <c r="O1480" s="177" t="s">
        <v>418</v>
      </c>
    </row>
    <row r="1481" spans="1:15" s="169" customFormat="1" ht="25.5">
      <c r="A1481" s="12"/>
      <c r="B1481" s="372" t="s">
        <v>115</v>
      </c>
      <c r="C1481" s="77" t="s">
        <v>939</v>
      </c>
      <c r="D1481" s="177" t="s">
        <v>17</v>
      </c>
      <c r="E1481" s="370">
        <v>1</v>
      </c>
      <c r="F1481" s="370">
        <v>0</v>
      </c>
      <c r="G1481" s="370">
        <v>0</v>
      </c>
      <c r="H1481" s="370">
        <v>0</v>
      </c>
      <c r="I1481" s="363">
        <f>SUM(Tabla132112412[[#This Row],[PRIMER TRIMESTRE]:[CUARTO TRIMESTRE]])</f>
        <v>1</v>
      </c>
      <c r="J1481" s="175">
        <v>34000</v>
      </c>
      <c r="K1481" s="175">
        <f t="shared" si="31"/>
        <v>34000</v>
      </c>
      <c r="L1481" s="175"/>
      <c r="M1481" s="77" t="s">
        <v>18</v>
      </c>
      <c r="N1481" s="77" t="s">
        <v>22</v>
      </c>
      <c r="O1481" s="177" t="s">
        <v>418</v>
      </c>
    </row>
    <row r="1482" spans="1:15" s="169" customFormat="1" ht="18">
      <c r="A1482" s="12"/>
      <c r="B1482" s="372" t="s">
        <v>115</v>
      </c>
      <c r="C1482" s="77" t="s">
        <v>1630</v>
      </c>
      <c r="D1482" s="177" t="s">
        <v>17</v>
      </c>
      <c r="E1482" s="370">
        <f>1+1</f>
        <v>2</v>
      </c>
      <c r="F1482" s="370">
        <v>0</v>
      </c>
      <c r="G1482" s="370">
        <v>0</v>
      </c>
      <c r="H1482" s="370">
        <v>0</v>
      </c>
      <c r="I1482" s="363">
        <f>SUM(Tabla132112412[[#This Row],[PRIMER TRIMESTRE]:[CUARTO TRIMESTRE]])</f>
        <v>2</v>
      </c>
      <c r="J1482" s="175">
        <v>4000</v>
      </c>
      <c r="K1482" s="175">
        <f t="shared" si="31"/>
        <v>8000</v>
      </c>
      <c r="L1482" s="175"/>
      <c r="M1482" s="77" t="s">
        <v>18</v>
      </c>
      <c r="N1482" s="77" t="s">
        <v>22</v>
      </c>
      <c r="O1482" s="177" t="s">
        <v>418</v>
      </c>
    </row>
    <row r="1483" spans="1:15" s="169" customFormat="1" ht="18">
      <c r="A1483" s="12"/>
      <c r="B1483" s="372" t="s">
        <v>115</v>
      </c>
      <c r="C1483" s="77" t="s">
        <v>1631</v>
      </c>
      <c r="D1483" s="177" t="s">
        <v>17</v>
      </c>
      <c r="E1483" s="370">
        <v>1</v>
      </c>
      <c r="F1483" s="370">
        <v>0</v>
      </c>
      <c r="G1483" s="370">
        <v>0</v>
      </c>
      <c r="H1483" s="370">
        <v>0</v>
      </c>
      <c r="I1483" s="363">
        <f>SUM(Tabla132112412[[#This Row],[PRIMER TRIMESTRE]:[CUARTO TRIMESTRE]])</f>
        <v>1</v>
      </c>
      <c r="J1483" s="175">
        <v>20000</v>
      </c>
      <c r="K1483" s="175">
        <f t="shared" si="31"/>
        <v>20000</v>
      </c>
      <c r="L1483" s="175"/>
      <c r="M1483" s="77" t="s">
        <v>18</v>
      </c>
      <c r="N1483" s="77" t="s">
        <v>22</v>
      </c>
      <c r="O1483" s="177" t="s">
        <v>418</v>
      </c>
    </row>
    <row r="1484" spans="1:15" s="169" customFormat="1" ht="18">
      <c r="A1484" s="12"/>
      <c r="B1484" s="372" t="s">
        <v>115</v>
      </c>
      <c r="C1484" s="77" t="s">
        <v>1632</v>
      </c>
      <c r="D1484" s="177" t="s">
        <v>17</v>
      </c>
      <c r="E1484" s="370">
        <v>5</v>
      </c>
      <c r="F1484" s="370">
        <v>0</v>
      </c>
      <c r="G1484" s="370">
        <v>3</v>
      </c>
      <c r="H1484" s="370">
        <v>0</v>
      </c>
      <c r="I1484" s="363">
        <f>SUM(Tabla132112412[[#This Row],[PRIMER TRIMESTRE]:[CUARTO TRIMESTRE]])</f>
        <v>8</v>
      </c>
      <c r="J1484" s="175">
        <v>300000</v>
      </c>
      <c r="K1484" s="175">
        <f t="shared" si="31"/>
        <v>2400000</v>
      </c>
      <c r="L1484" s="175"/>
      <c r="M1484" s="77" t="s">
        <v>18</v>
      </c>
      <c r="N1484" s="77" t="s">
        <v>22</v>
      </c>
      <c r="O1484" s="177" t="s">
        <v>418</v>
      </c>
    </row>
    <row r="1485" spans="1:15" s="12" customFormat="1" ht="25.5">
      <c r="B1485" s="372" t="s">
        <v>115</v>
      </c>
      <c r="C1485" s="77" t="s">
        <v>940</v>
      </c>
      <c r="D1485" s="177" t="s">
        <v>17</v>
      </c>
      <c r="E1485" s="370">
        <v>1</v>
      </c>
      <c r="F1485" s="370">
        <v>0</v>
      </c>
      <c r="G1485" s="370">
        <v>0</v>
      </c>
      <c r="H1485" s="370">
        <v>0</v>
      </c>
      <c r="I1485" s="363">
        <f>SUM(Tabla132112412[[#This Row],[PRIMER TRIMESTRE]:[CUARTO TRIMESTRE]])</f>
        <v>1</v>
      </c>
      <c r="J1485" s="175">
        <v>210000</v>
      </c>
      <c r="K1485" s="175">
        <f t="shared" si="31"/>
        <v>210000</v>
      </c>
      <c r="L1485" s="175"/>
      <c r="M1485" s="77" t="s">
        <v>18</v>
      </c>
      <c r="N1485" s="77" t="s">
        <v>22</v>
      </c>
      <c r="O1485" s="177" t="s">
        <v>418</v>
      </c>
    </row>
    <row r="1486" spans="1:15" s="12" customFormat="1" ht="25.5">
      <c r="B1486" s="372" t="s">
        <v>115</v>
      </c>
      <c r="C1486" s="77" t="s">
        <v>1887</v>
      </c>
      <c r="D1486" s="177" t="s">
        <v>17</v>
      </c>
      <c r="E1486" s="370">
        <f>8+9</f>
        <v>17</v>
      </c>
      <c r="F1486" s="370">
        <v>9</v>
      </c>
      <c r="G1486" s="370">
        <f>5+9</f>
        <v>14</v>
      </c>
      <c r="H1486" s="370">
        <v>9</v>
      </c>
      <c r="I1486" s="363">
        <f>SUM(Tabla132112412[[#This Row],[PRIMER TRIMESTRE]:[CUARTO TRIMESTRE]])</f>
        <v>49</v>
      </c>
      <c r="J1486" s="175">
        <v>35000</v>
      </c>
      <c r="K1486" s="175">
        <f t="shared" si="31"/>
        <v>1715000</v>
      </c>
      <c r="L1486" s="175"/>
      <c r="M1486" s="77" t="s">
        <v>18</v>
      </c>
      <c r="N1486" s="77" t="s">
        <v>22</v>
      </c>
      <c r="O1486" s="177" t="s">
        <v>418</v>
      </c>
    </row>
    <row r="1487" spans="1:15" s="12" customFormat="1" ht="25.5">
      <c r="B1487" s="372" t="s">
        <v>115</v>
      </c>
      <c r="C1487" s="77" t="s">
        <v>1752</v>
      </c>
      <c r="D1487" s="177" t="s">
        <v>17</v>
      </c>
      <c r="E1487" s="370">
        <v>0</v>
      </c>
      <c r="F1487" s="370">
        <v>0</v>
      </c>
      <c r="G1487" s="370">
        <v>0</v>
      </c>
      <c r="H1487" s="370">
        <v>0</v>
      </c>
      <c r="I1487" s="363">
        <f>SUM(Tabla132112412[[#This Row],[PRIMER TRIMESTRE]:[CUARTO TRIMESTRE]])</f>
        <v>0</v>
      </c>
      <c r="J1487" s="175">
        <v>0</v>
      </c>
      <c r="K1487" s="175">
        <v>0</v>
      </c>
      <c r="L1487" s="175"/>
      <c r="M1487" s="77" t="s">
        <v>18</v>
      </c>
      <c r="N1487" s="77" t="s">
        <v>22</v>
      </c>
      <c r="O1487" s="177" t="s">
        <v>418</v>
      </c>
    </row>
    <row r="1488" spans="1:15" s="12" customFormat="1" ht="18">
      <c r="B1488" s="372" t="s">
        <v>115</v>
      </c>
      <c r="C1488" s="77" t="s">
        <v>1888</v>
      </c>
      <c r="D1488" s="177" t="s">
        <v>17</v>
      </c>
      <c r="E1488" s="370">
        <v>0</v>
      </c>
      <c r="F1488" s="370">
        <v>0</v>
      </c>
      <c r="G1488" s="370">
        <v>0</v>
      </c>
      <c r="H1488" s="370">
        <v>0</v>
      </c>
      <c r="I1488" s="363">
        <f>SUM(Tabla132112412[[#This Row],[PRIMER TRIMESTRE]:[CUARTO TRIMESTRE]])</f>
        <v>0</v>
      </c>
      <c r="J1488" s="175">
        <v>0</v>
      </c>
      <c r="K1488" s="175">
        <v>0</v>
      </c>
      <c r="L1488" s="175"/>
      <c r="M1488" s="77" t="s">
        <v>18</v>
      </c>
      <c r="N1488" s="77" t="s">
        <v>22</v>
      </c>
      <c r="O1488" s="177" t="s">
        <v>418</v>
      </c>
    </row>
    <row r="1489" spans="1:15" s="12" customFormat="1" ht="30.75" customHeight="1">
      <c r="B1489" s="372" t="s">
        <v>115</v>
      </c>
      <c r="C1489" s="77" t="s">
        <v>945</v>
      </c>
      <c r="D1489" s="177" t="s">
        <v>17</v>
      </c>
      <c r="E1489" s="370">
        <v>6</v>
      </c>
      <c r="F1489" s="370">
        <v>3</v>
      </c>
      <c r="G1489" s="370">
        <v>6</v>
      </c>
      <c r="H1489" s="370">
        <v>3</v>
      </c>
      <c r="I1489" s="363">
        <f>SUM(Tabla132112412[[#This Row],[PRIMER TRIMESTRE]:[CUARTO TRIMESTRE]])</f>
        <v>18</v>
      </c>
      <c r="J1489" s="175">
        <v>7498</v>
      </c>
      <c r="K1489" s="175">
        <f t="shared" si="31"/>
        <v>134964</v>
      </c>
      <c r="L1489" s="175"/>
      <c r="M1489" s="77" t="s">
        <v>18</v>
      </c>
      <c r="N1489" s="77" t="s">
        <v>22</v>
      </c>
      <c r="O1489" s="177" t="s">
        <v>418</v>
      </c>
    </row>
    <row r="1490" spans="1:15" s="12" customFormat="1" ht="30.75" customHeight="1">
      <c r="B1490" s="372" t="s">
        <v>115</v>
      </c>
      <c r="C1490" s="77" t="s">
        <v>946</v>
      </c>
      <c r="D1490" s="177" t="s">
        <v>17</v>
      </c>
      <c r="E1490" s="370">
        <v>4</v>
      </c>
      <c r="F1490" s="370">
        <v>0</v>
      </c>
      <c r="G1490" s="370">
        <v>3</v>
      </c>
      <c r="H1490" s="370">
        <v>0</v>
      </c>
      <c r="I1490" s="363">
        <f>SUM(Tabla132112412[[#This Row],[PRIMER TRIMESTRE]:[CUARTO TRIMESTRE]])</f>
        <v>7</v>
      </c>
      <c r="J1490" s="175">
        <v>4600</v>
      </c>
      <c r="K1490" s="175">
        <f t="shared" si="31"/>
        <v>32200</v>
      </c>
      <c r="L1490" s="175"/>
      <c r="M1490" s="77" t="s">
        <v>18</v>
      </c>
      <c r="N1490" s="77" t="s">
        <v>22</v>
      </c>
      <c r="O1490" s="177" t="s">
        <v>418</v>
      </c>
    </row>
    <row r="1491" spans="1:15" s="12" customFormat="1" ht="30.75" customHeight="1">
      <c r="B1491" s="372" t="s">
        <v>115</v>
      </c>
      <c r="C1491" s="77" t="s">
        <v>947</v>
      </c>
      <c r="D1491" s="177" t="s">
        <v>17</v>
      </c>
      <c r="E1491" s="370">
        <v>2</v>
      </c>
      <c r="F1491" s="370">
        <v>0</v>
      </c>
      <c r="G1491" s="370">
        <v>2</v>
      </c>
      <c r="H1491" s="370">
        <v>0</v>
      </c>
      <c r="I1491" s="363">
        <f>SUM(Tabla132112412[[#This Row],[PRIMER TRIMESTRE]:[CUARTO TRIMESTRE]])</f>
        <v>4</v>
      </c>
      <c r="J1491" s="175">
        <v>3496</v>
      </c>
      <c r="K1491" s="175">
        <f t="shared" si="31"/>
        <v>13984</v>
      </c>
      <c r="L1491" s="175"/>
      <c r="M1491" s="77" t="s">
        <v>18</v>
      </c>
      <c r="N1491" s="77" t="s">
        <v>22</v>
      </c>
      <c r="O1491" s="177" t="s">
        <v>418</v>
      </c>
    </row>
    <row r="1492" spans="1:15" s="12" customFormat="1" ht="30.75" customHeight="1">
      <c r="B1492" s="372" t="s">
        <v>115</v>
      </c>
      <c r="C1492" s="77" t="s">
        <v>1440</v>
      </c>
      <c r="D1492" s="177" t="s">
        <v>17</v>
      </c>
      <c r="E1492" s="370">
        <v>1</v>
      </c>
      <c r="F1492" s="370">
        <v>0</v>
      </c>
      <c r="G1492" s="370">
        <v>0</v>
      </c>
      <c r="H1492" s="370">
        <v>0</v>
      </c>
      <c r="I1492" s="363">
        <f>SUM(Tabla132112412[[#This Row],[PRIMER TRIMESTRE]:[CUARTO TRIMESTRE]])</f>
        <v>1</v>
      </c>
      <c r="J1492" s="175">
        <v>5310</v>
      </c>
      <c r="K1492" s="175">
        <f t="shared" si="31"/>
        <v>5310</v>
      </c>
      <c r="L1492" s="175"/>
      <c r="M1492" s="77" t="s">
        <v>15</v>
      </c>
      <c r="N1492" s="77" t="s">
        <v>22</v>
      </c>
      <c r="O1492" s="177" t="s">
        <v>418</v>
      </c>
    </row>
    <row r="1493" spans="1:15" s="26" customFormat="1" ht="30.75" customHeight="1">
      <c r="A1493" s="12"/>
      <c r="B1493" s="372" t="s">
        <v>115</v>
      </c>
      <c r="C1493" s="77" t="s">
        <v>1441</v>
      </c>
      <c r="D1493" s="177" t="s">
        <v>17</v>
      </c>
      <c r="E1493" s="370">
        <v>1</v>
      </c>
      <c r="F1493" s="370">
        <v>0</v>
      </c>
      <c r="G1493" s="370">
        <v>0</v>
      </c>
      <c r="H1493" s="370">
        <v>0</v>
      </c>
      <c r="I1493" s="363">
        <f>SUM(Tabla132112412[[#This Row],[PRIMER TRIMESTRE]:[CUARTO TRIMESTRE]])</f>
        <v>1</v>
      </c>
      <c r="J1493" s="175">
        <v>5310</v>
      </c>
      <c r="K1493" s="175">
        <f t="shared" si="31"/>
        <v>5310</v>
      </c>
      <c r="L1493" s="175"/>
      <c r="M1493" s="77" t="s">
        <v>15</v>
      </c>
      <c r="N1493" s="77" t="s">
        <v>22</v>
      </c>
      <c r="O1493" s="177" t="s">
        <v>418</v>
      </c>
    </row>
    <row r="1494" spans="1:15" s="12" customFormat="1" ht="30.75" customHeight="1">
      <c r="B1494" s="372" t="s">
        <v>115</v>
      </c>
      <c r="C1494" s="77" t="s">
        <v>1442</v>
      </c>
      <c r="D1494" s="177" t="s">
        <v>17</v>
      </c>
      <c r="E1494" s="370">
        <v>1</v>
      </c>
      <c r="F1494" s="370">
        <v>0</v>
      </c>
      <c r="G1494" s="370">
        <v>0</v>
      </c>
      <c r="H1494" s="370">
        <v>0</v>
      </c>
      <c r="I1494" s="363">
        <f>SUM(Tabla132112412[[#This Row],[PRIMER TRIMESTRE]:[CUARTO TRIMESTRE]])</f>
        <v>1</v>
      </c>
      <c r="J1494" s="175">
        <v>5310</v>
      </c>
      <c r="K1494" s="175">
        <f t="shared" si="31"/>
        <v>5310</v>
      </c>
      <c r="L1494" s="175"/>
      <c r="M1494" s="77" t="s">
        <v>15</v>
      </c>
      <c r="N1494" s="77" t="s">
        <v>22</v>
      </c>
      <c r="O1494" s="177" t="s">
        <v>418</v>
      </c>
    </row>
    <row r="1495" spans="1:15" s="12" customFormat="1" ht="30.75" customHeight="1">
      <c r="B1495" s="372" t="s">
        <v>115</v>
      </c>
      <c r="C1495" s="75" t="s">
        <v>1889</v>
      </c>
      <c r="D1495" s="39" t="s">
        <v>17</v>
      </c>
      <c r="E1495" s="236">
        <v>1</v>
      </c>
      <c r="F1495" s="236"/>
      <c r="G1495" s="236"/>
      <c r="H1495" s="236"/>
      <c r="I1495" s="363">
        <f>SUM(Tabla132112412[[#This Row],[PRIMER TRIMESTRE]:[CUARTO TRIMESTRE]])</f>
        <v>1</v>
      </c>
      <c r="J1495" s="175"/>
      <c r="K1495" s="175"/>
      <c r="L1495" s="451">
        <f>SUM(K1461:K1494)</f>
        <v>6086913.1699999999</v>
      </c>
      <c r="M1495" s="77"/>
      <c r="N1495" s="77"/>
      <c r="O1495" s="177"/>
    </row>
    <row r="1496" spans="1:15" s="12" customFormat="1" ht="30.75" customHeight="1">
      <c r="B1496" s="372" t="s">
        <v>115</v>
      </c>
      <c r="C1496" s="414" t="s">
        <v>1890</v>
      </c>
      <c r="D1496" s="39"/>
      <c r="E1496" s="348">
        <v>1</v>
      </c>
      <c r="F1496" s="348">
        <v>1</v>
      </c>
      <c r="G1496" s="348">
        <v>1</v>
      </c>
      <c r="H1496" s="348">
        <v>1</v>
      </c>
      <c r="I1496" s="363">
        <f>SUM(Tabla132112412[[#This Row],[PRIMER TRIMESTRE]:[CUARTO TRIMESTRE]])</f>
        <v>4</v>
      </c>
      <c r="J1496" s="175"/>
      <c r="K1496" s="175"/>
      <c r="L1496" s="175"/>
      <c r="M1496" s="77"/>
      <c r="N1496" s="77"/>
      <c r="O1496" s="177"/>
    </row>
    <row r="1497" spans="1:15" s="12" customFormat="1" ht="30.75" customHeight="1">
      <c r="B1497" s="372" t="s">
        <v>115</v>
      </c>
      <c r="C1497" s="75" t="s">
        <v>1891</v>
      </c>
      <c r="D1497" s="39" t="s">
        <v>17</v>
      </c>
      <c r="E1497" s="348">
        <v>4</v>
      </c>
      <c r="F1497" s="348"/>
      <c r="G1497" s="348"/>
      <c r="H1497" s="348"/>
      <c r="I1497" s="363">
        <f>SUM(Tabla132112412[[#This Row],[PRIMER TRIMESTRE]:[CUARTO TRIMESTRE]])</f>
        <v>4</v>
      </c>
      <c r="J1497" s="175"/>
      <c r="K1497" s="175"/>
      <c r="L1497" s="175"/>
      <c r="M1497" s="77"/>
      <c r="N1497" s="77"/>
      <c r="O1497" s="177"/>
    </row>
    <row r="1498" spans="1:15" s="12" customFormat="1" ht="30.75" customHeight="1">
      <c r="B1498" s="372" t="s">
        <v>117</v>
      </c>
      <c r="C1498" s="77" t="s">
        <v>941</v>
      </c>
      <c r="D1498" s="177" t="s">
        <v>17</v>
      </c>
      <c r="E1498" s="370">
        <v>0</v>
      </c>
      <c r="F1498" s="370">
        <v>0</v>
      </c>
      <c r="G1498" s="370">
        <v>0</v>
      </c>
      <c r="H1498" s="370">
        <v>0</v>
      </c>
      <c r="I1498" s="363">
        <f>SUM(Tabla132112412[[#This Row],[PRIMER TRIMESTRE]:[CUARTO TRIMESTRE]])</f>
        <v>0</v>
      </c>
      <c r="J1498" s="175">
        <v>900</v>
      </c>
      <c r="K1498" s="175">
        <f>+I1498*J1498</f>
        <v>0</v>
      </c>
      <c r="L1498" s="175"/>
      <c r="M1498" s="77" t="s">
        <v>18</v>
      </c>
      <c r="N1498" s="77" t="s">
        <v>22</v>
      </c>
      <c r="O1498" s="177"/>
    </row>
    <row r="1499" spans="1:15" s="12" customFormat="1" ht="30.75" customHeight="1">
      <c r="B1499" s="372" t="s">
        <v>117</v>
      </c>
      <c r="C1499" s="77" t="s">
        <v>942</v>
      </c>
      <c r="D1499" s="177" t="s">
        <v>17</v>
      </c>
      <c r="E1499" s="370">
        <v>0</v>
      </c>
      <c r="F1499" s="370">
        <v>0</v>
      </c>
      <c r="G1499" s="370">
        <v>0</v>
      </c>
      <c r="H1499" s="370">
        <v>0</v>
      </c>
      <c r="I1499" s="363">
        <f>SUM(Tabla132112412[[#This Row],[PRIMER TRIMESTRE]:[CUARTO TRIMESTRE]])</f>
        <v>0</v>
      </c>
      <c r="J1499" s="175">
        <v>900</v>
      </c>
      <c r="K1499" s="175">
        <f>+I1499*J1499</f>
        <v>0</v>
      </c>
      <c r="L1499" s="175"/>
      <c r="M1499" s="77" t="s">
        <v>18</v>
      </c>
      <c r="N1499" s="77" t="s">
        <v>22</v>
      </c>
      <c r="O1499" s="177" t="s">
        <v>418</v>
      </c>
    </row>
    <row r="1500" spans="1:15" s="12" customFormat="1" ht="30.75" customHeight="1">
      <c r="B1500" s="372" t="s">
        <v>117</v>
      </c>
      <c r="C1500" s="77" t="s">
        <v>943</v>
      </c>
      <c r="D1500" s="177" t="s">
        <v>17</v>
      </c>
      <c r="E1500" s="370">
        <v>0</v>
      </c>
      <c r="F1500" s="370">
        <v>0</v>
      </c>
      <c r="G1500" s="370">
        <v>0</v>
      </c>
      <c r="H1500" s="370">
        <v>0</v>
      </c>
      <c r="I1500" s="363">
        <f>SUM(Tabla132112412[[#This Row],[PRIMER TRIMESTRE]:[CUARTO TRIMESTRE]])</f>
        <v>0</v>
      </c>
      <c r="J1500" s="175">
        <v>800000</v>
      </c>
      <c r="K1500" s="175">
        <f>+I1500*J1500</f>
        <v>0</v>
      </c>
      <c r="L1500" s="175"/>
      <c r="M1500" s="77" t="s">
        <v>18</v>
      </c>
      <c r="N1500" s="77" t="s">
        <v>22</v>
      </c>
      <c r="O1500" s="177" t="s">
        <v>418</v>
      </c>
    </row>
    <row r="1501" spans="1:15" s="12" customFormat="1" ht="30.75" customHeight="1">
      <c r="B1501" s="372" t="s">
        <v>117</v>
      </c>
      <c r="C1501" s="77" t="s">
        <v>1402</v>
      </c>
      <c r="D1501" s="177" t="s">
        <v>17</v>
      </c>
      <c r="E1501" s="370">
        <v>0</v>
      </c>
      <c r="F1501" s="370">
        <v>0</v>
      </c>
      <c r="G1501" s="370">
        <v>0</v>
      </c>
      <c r="H1501" s="370">
        <v>0</v>
      </c>
      <c r="I1501" s="363">
        <f>SUM(Tabla132112412[[#This Row],[PRIMER TRIMESTRE]:[CUARTO TRIMESTRE]])</f>
        <v>0</v>
      </c>
      <c r="J1501" s="175">
        <v>758</v>
      </c>
      <c r="K1501" s="175">
        <f>+Tabla132112412[[#This Row],[CANTIDAD TOTAL]]*Tabla132112412[[#This Row],[PRECIO UNITARIO ESTIMADO]]</f>
        <v>0</v>
      </c>
      <c r="L1501" s="175"/>
      <c r="M1501" s="77" t="s">
        <v>18</v>
      </c>
      <c r="N1501" s="77" t="s">
        <v>22</v>
      </c>
      <c r="O1501" s="177" t="s">
        <v>418</v>
      </c>
    </row>
    <row r="1502" spans="1:15" s="12" customFormat="1" ht="30.75" customHeight="1">
      <c r="B1502" s="372" t="s">
        <v>117</v>
      </c>
      <c r="C1502" s="77" t="s">
        <v>944</v>
      </c>
      <c r="D1502" s="177" t="s">
        <v>17</v>
      </c>
      <c r="E1502" s="370">
        <v>0</v>
      </c>
      <c r="F1502" s="370">
        <v>0</v>
      </c>
      <c r="G1502" s="370">
        <v>0</v>
      </c>
      <c r="H1502" s="370">
        <v>0</v>
      </c>
      <c r="I1502" s="363">
        <f>SUM(Tabla132112412[[#This Row],[PRIMER TRIMESTRE]:[CUARTO TRIMESTRE]])</f>
        <v>0</v>
      </c>
      <c r="J1502" s="175">
        <v>12000</v>
      </c>
      <c r="K1502" s="175">
        <f t="shared" ref="K1502:K1512" si="32">+I1502*J1502</f>
        <v>0</v>
      </c>
      <c r="L1502" s="175"/>
      <c r="M1502" s="77" t="s">
        <v>18</v>
      </c>
      <c r="N1502" s="77" t="s">
        <v>22</v>
      </c>
      <c r="O1502" s="177" t="s">
        <v>418</v>
      </c>
    </row>
    <row r="1503" spans="1:15" s="12" customFormat="1" ht="30.75" customHeight="1">
      <c r="B1503" s="372" t="s">
        <v>117</v>
      </c>
      <c r="C1503" s="77" t="s">
        <v>1755</v>
      </c>
      <c r="D1503" s="177" t="s">
        <v>17</v>
      </c>
      <c r="E1503" s="370">
        <v>0</v>
      </c>
      <c r="F1503" s="370">
        <v>0</v>
      </c>
      <c r="G1503" s="370">
        <v>0</v>
      </c>
      <c r="H1503" s="370">
        <v>0</v>
      </c>
      <c r="I1503" s="363">
        <f>SUM(Tabla132112412[[#This Row],[PRIMER TRIMESTRE]:[CUARTO TRIMESTRE]])</f>
        <v>0</v>
      </c>
      <c r="J1503" s="175">
        <v>0</v>
      </c>
      <c r="K1503" s="175">
        <v>0</v>
      </c>
      <c r="L1503" s="175"/>
      <c r="M1503" s="77" t="s">
        <v>18</v>
      </c>
      <c r="N1503" s="77" t="s">
        <v>22</v>
      </c>
      <c r="O1503" s="177" t="s">
        <v>418</v>
      </c>
    </row>
    <row r="1504" spans="1:15" s="12" customFormat="1" ht="30.75" customHeight="1">
      <c r="B1504" s="372" t="s">
        <v>117</v>
      </c>
      <c r="C1504" s="77" t="s">
        <v>1756</v>
      </c>
      <c r="D1504" s="177" t="s">
        <v>17</v>
      </c>
      <c r="E1504" s="370">
        <v>0</v>
      </c>
      <c r="F1504" s="370">
        <v>0</v>
      </c>
      <c r="G1504" s="370">
        <v>0</v>
      </c>
      <c r="H1504" s="370">
        <v>0</v>
      </c>
      <c r="I1504" s="363">
        <f>SUM(Tabla132112412[[#This Row],[PRIMER TRIMESTRE]:[CUARTO TRIMESTRE]])</f>
        <v>0</v>
      </c>
      <c r="J1504" s="175">
        <v>0</v>
      </c>
      <c r="K1504" s="175">
        <v>0</v>
      </c>
      <c r="L1504" s="175"/>
      <c r="M1504" s="77" t="s">
        <v>18</v>
      </c>
      <c r="N1504" s="77" t="s">
        <v>22</v>
      </c>
      <c r="O1504" s="177" t="s">
        <v>418</v>
      </c>
    </row>
    <row r="1505" spans="1:15" s="12" customFormat="1" ht="30.75" customHeight="1">
      <c r="B1505" s="372" t="s">
        <v>117</v>
      </c>
      <c r="C1505" s="77" t="s">
        <v>1403</v>
      </c>
      <c r="D1505" s="177" t="s">
        <v>17</v>
      </c>
      <c r="E1505" s="370">
        <v>4</v>
      </c>
      <c r="F1505" s="370">
        <v>0</v>
      </c>
      <c r="G1505" s="370">
        <v>0</v>
      </c>
      <c r="H1505" s="370">
        <v>0</v>
      </c>
      <c r="I1505" s="363">
        <f>SUM(Tabla132112412[[#This Row],[PRIMER TRIMESTRE]:[CUARTO TRIMESTRE]])</f>
        <v>4</v>
      </c>
      <c r="J1505" s="175">
        <v>250000</v>
      </c>
      <c r="K1505" s="175">
        <f t="shared" si="32"/>
        <v>1000000</v>
      </c>
      <c r="L1505" s="175"/>
      <c r="M1505" s="77" t="s">
        <v>18</v>
      </c>
      <c r="N1505" s="77" t="s">
        <v>22</v>
      </c>
      <c r="O1505" s="177" t="s">
        <v>418</v>
      </c>
    </row>
    <row r="1506" spans="1:15" s="12" customFormat="1" ht="30.75" customHeight="1">
      <c r="B1506" s="372" t="s">
        <v>117</v>
      </c>
      <c r="C1506" s="77" t="s">
        <v>2427</v>
      </c>
      <c r="D1506" s="177" t="s">
        <v>17</v>
      </c>
      <c r="E1506" s="370">
        <v>0</v>
      </c>
      <c r="F1506" s="370">
        <v>0</v>
      </c>
      <c r="G1506" s="370">
        <v>0</v>
      </c>
      <c r="H1506" s="370">
        <v>0</v>
      </c>
      <c r="I1506" s="363">
        <f>SUM(Tabla132112412[[#This Row],[PRIMER TRIMESTRE]:[CUARTO TRIMESTRE]])</f>
        <v>0</v>
      </c>
      <c r="J1506" s="175">
        <v>25000000</v>
      </c>
      <c r="K1506" s="175">
        <f t="shared" si="32"/>
        <v>0</v>
      </c>
      <c r="L1506" s="175"/>
      <c r="M1506" s="77" t="s">
        <v>18</v>
      </c>
      <c r="N1506" s="77" t="s">
        <v>22</v>
      </c>
      <c r="O1506" s="177" t="s">
        <v>418</v>
      </c>
    </row>
    <row r="1507" spans="1:15" s="12" customFormat="1" ht="30.75" customHeight="1">
      <c r="B1507" s="372" t="s">
        <v>117</v>
      </c>
      <c r="C1507" s="77" t="s">
        <v>1404</v>
      </c>
      <c r="D1507" s="177" t="s">
        <v>17</v>
      </c>
      <c r="E1507" s="370">
        <v>0</v>
      </c>
      <c r="F1507" s="370">
        <v>0</v>
      </c>
      <c r="G1507" s="370">
        <v>0</v>
      </c>
      <c r="H1507" s="370">
        <v>0</v>
      </c>
      <c r="I1507" s="363">
        <f>SUM(Tabla132112412[[#This Row],[PRIMER TRIMESTRE]:[CUARTO TRIMESTRE]])</f>
        <v>0</v>
      </c>
      <c r="J1507" s="175">
        <v>327618.2</v>
      </c>
      <c r="K1507" s="175">
        <f t="shared" si="32"/>
        <v>0</v>
      </c>
      <c r="L1507" s="175"/>
      <c r="M1507" s="77" t="s">
        <v>18</v>
      </c>
      <c r="N1507" s="77" t="s">
        <v>22</v>
      </c>
      <c r="O1507" s="177" t="s">
        <v>418</v>
      </c>
    </row>
    <row r="1508" spans="1:15" s="12" customFormat="1" ht="30.75" customHeight="1">
      <c r="B1508" s="372" t="s">
        <v>117</v>
      </c>
      <c r="C1508" s="77" t="s">
        <v>1405</v>
      </c>
      <c r="D1508" s="177" t="s">
        <v>17</v>
      </c>
      <c r="E1508" s="370">
        <v>0</v>
      </c>
      <c r="F1508" s="370">
        <v>0</v>
      </c>
      <c r="G1508" s="370">
        <v>0</v>
      </c>
      <c r="H1508" s="370">
        <v>0</v>
      </c>
      <c r="I1508" s="363">
        <f>SUM(Tabla132112412[[#This Row],[PRIMER TRIMESTRE]:[CUARTO TRIMESTRE]])</f>
        <v>0</v>
      </c>
      <c r="J1508" s="175">
        <v>815223.95</v>
      </c>
      <c r="K1508" s="175">
        <f t="shared" si="32"/>
        <v>0</v>
      </c>
      <c r="L1508" s="175"/>
      <c r="M1508" s="77" t="s">
        <v>18</v>
      </c>
      <c r="N1508" s="77" t="s">
        <v>22</v>
      </c>
      <c r="O1508" s="177" t="s">
        <v>418</v>
      </c>
    </row>
    <row r="1509" spans="1:15" s="12" customFormat="1" ht="30.75" customHeight="1">
      <c r="B1509" s="372" t="s">
        <v>117</v>
      </c>
      <c r="C1509" s="77" t="s">
        <v>2428</v>
      </c>
      <c r="D1509" s="177" t="s">
        <v>17</v>
      </c>
      <c r="E1509" s="365">
        <v>4</v>
      </c>
      <c r="F1509" s="370"/>
      <c r="G1509" s="370"/>
      <c r="H1509" s="370"/>
      <c r="I1509" s="363">
        <f>SUM(Tabla132112412[[#This Row],[PRIMER TRIMESTRE]:[CUARTO TRIMESTRE]])</f>
        <v>4</v>
      </c>
      <c r="J1509" s="175"/>
      <c r="K1509" s="175"/>
      <c r="L1509" s="175"/>
      <c r="M1509" s="77"/>
      <c r="N1509" s="77"/>
      <c r="O1509" s="177"/>
    </row>
    <row r="1510" spans="1:15" s="12" customFormat="1" ht="30.75" customHeight="1">
      <c r="B1510" s="372" t="s">
        <v>117</v>
      </c>
      <c r="C1510" s="77" t="s">
        <v>1406</v>
      </c>
      <c r="D1510" s="177" t="s">
        <v>17</v>
      </c>
      <c r="E1510" s="370">
        <v>0</v>
      </c>
      <c r="F1510" s="370">
        <v>0</v>
      </c>
      <c r="G1510" s="370">
        <v>0</v>
      </c>
      <c r="H1510" s="370">
        <v>0</v>
      </c>
      <c r="I1510" s="363">
        <f>SUM(Tabla132112412[[#This Row],[PRIMER TRIMESTRE]:[CUARTO TRIMESTRE]])</f>
        <v>0</v>
      </c>
      <c r="J1510" s="175">
        <v>341286.40000000002</v>
      </c>
      <c r="K1510" s="175">
        <f t="shared" si="32"/>
        <v>0</v>
      </c>
      <c r="L1510" s="175"/>
      <c r="M1510" s="77" t="s">
        <v>18</v>
      </c>
      <c r="N1510" s="77" t="s">
        <v>22</v>
      </c>
      <c r="O1510" s="177" t="s">
        <v>418</v>
      </c>
    </row>
    <row r="1511" spans="1:15" s="26" customFormat="1" ht="30.75" customHeight="1">
      <c r="A1511" s="12"/>
      <c r="B1511" s="372" t="s">
        <v>117</v>
      </c>
      <c r="C1511" s="77" t="s">
        <v>1407</v>
      </c>
      <c r="D1511" s="177" t="s">
        <v>17</v>
      </c>
      <c r="E1511" s="370">
        <v>3</v>
      </c>
      <c r="F1511" s="370">
        <v>0</v>
      </c>
      <c r="G1511" s="370">
        <v>0</v>
      </c>
      <c r="H1511" s="370">
        <v>0</v>
      </c>
      <c r="I1511" s="363">
        <f>SUM(Tabla132112412[[#This Row],[PRIMER TRIMESTRE]:[CUARTO TRIMESTRE]])</f>
        <v>3</v>
      </c>
      <c r="J1511" s="175">
        <v>498739.15</v>
      </c>
      <c r="K1511" s="175">
        <f t="shared" si="32"/>
        <v>1496217.4500000002</v>
      </c>
      <c r="L1511" s="175"/>
      <c r="M1511" s="77" t="s">
        <v>18</v>
      </c>
      <c r="N1511" s="77" t="s">
        <v>22</v>
      </c>
      <c r="O1511" s="177" t="s">
        <v>418</v>
      </c>
    </row>
    <row r="1512" spans="1:15" s="12" customFormat="1" ht="30.75" customHeight="1">
      <c r="B1512" s="372" t="s">
        <v>117</v>
      </c>
      <c r="C1512" s="77" t="s">
        <v>1408</v>
      </c>
      <c r="D1512" s="177" t="s">
        <v>17</v>
      </c>
      <c r="E1512" s="370">
        <v>0</v>
      </c>
      <c r="F1512" s="370">
        <v>0</v>
      </c>
      <c r="G1512" s="370">
        <v>0</v>
      </c>
      <c r="H1512" s="370">
        <v>0</v>
      </c>
      <c r="I1512" s="363">
        <f>SUM(Tabla132112412[[#This Row],[PRIMER TRIMESTRE]:[CUARTO TRIMESTRE]])</f>
        <v>0</v>
      </c>
      <c r="J1512" s="175">
        <v>48163257.060000002</v>
      </c>
      <c r="K1512" s="175">
        <f t="shared" si="32"/>
        <v>0</v>
      </c>
      <c r="L1512" s="175"/>
      <c r="M1512" s="77" t="s">
        <v>18</v>
      </c>
      <c r="N1512" s="77" t="s">
        <v>22</v>
      </c>
      <c r="O1512" s="177" t="s">
        <v>418</v>
      </c>
    </row>
    <row r="1513" spans="1:15" s="12" customFormat="1" ht="30.75" customHeight="1">
      <c r="B1513" s="452" t="s">
        <v>117</v>
      </c>
      <c r="C1513" s="453" t="s">
        <v>891</v>
      </c>
      <c r="D1513" s="177"/>
      <c r="E1513" s="370"/>
      <c r="F1513" s="370"/>
      <c r="G1513" s="370"/>
      <c r="H1513" s="370"/>
      <c r="I1513" s="363">
        <f>SUM(Tabla132112412[[#This Row],[PRIMER TRIMESTRE]:[CUARTO TRIMESTRE]])</f>
        <v>0</v>
      </c>
      <c r="J1513" s="175"/>
      <c r="K1513" s="175"/>
      <c r="L1513" s="451">
        <f>SUM(K1498:K1512)</f>
        <v>2496217.4500000002</v>
      </c>
      <c r="M1513" s="77"/>
      <c r="N1513" s="77"/>
      <c r="O1513" s="177"/>
    </row>
    <row r="1514" spans="1:15" s="12" customFormat="1" ht="30.75" customHeight="1">
      <c r="B1514" s="372" t="s">
        <v>118</v>
      </c>
      <c r="C1514" s="77" t="s">
        <v>2429</v>
      </c>
      <c r="D1514" s="177" t="s">
        <v>17</v>
      </c>
      <c r="E1514" s="370">
        <f>4+3</f>
        <v>7</v>
      </c>
      <c r="F1514" s="370">
        <f>2+4</f>
        <v>6</v>
      </c>
      <c r="G1514" s="370">
        <v>2</v>
      </c>
      <c r="H1514" s="370">
        <v>2</v>
      </c>
      <c r="I1514" s="363">
        <f>SUM(Tabla132112412[[#This Row],[PRIMER TRIMESTRE]:[CUARTO TRIMESTRE]])</f>
        <v>17</v>
      </c>
      <c r="J1514" s="175">
        <v>7544.8</v>
      </c>
      <c r="K1514" s="175">
        <f>+Tabla132112412[[#This Row],[CANTIDAD TOTAL]]*Tabla132112412[[#This Row],[PRECIO UNITARIO ESTIMADO]]</f>
        <v>128261.6</v>
      </c>
      <c r="L1514" s="175"/>
      <c r="M1514" s="77" t="s">
        <v>27</v>
      </c>
      <c r="N1514" s="77" t="s">
        <v>22</v>
      </c>
      <c r="O1514" s="177" t="s">
        <v>418</v>
      </c>
    </row>
    <row r="1515" spans="1:15" s="12" customFormat="1" ht="30.75" customHeight="1">
      <c r="B1515" s="372" t="s">
        <v>118</v>
      </c>
      <c r="C1515" s="77" t="s">
        <v>242</v>
      </c>
      <c r="D1515" s="177" t="s">
        <v>17</v>
      </c>
      <c r="E1515" s="370">
        <v>8</v>
      </c>
      <c r="F1515" s="370">
        <v>2</v>
      </c>
      <c r="G1515" s="370">
        <v>8</v>
      </c>
      <c r="H1515" s="370">
        <v>2</v>
      </c>
      <c r="I1515" s="363">
        <f>SUM(Tabla132112412[[#This Row],[PRIMER TRIMESTRE]:[CUARTO TRIMESTRE]])</f>
        <v>20</v>
      </c>
      <c r="J1515" s="175">
        <v>4756</v>
      </c>
      <c r="K1515" s="175">
        <f>+Tabla132112412[[#This Row],[CANTIDAD TOTAL]]*Tabla132112412[[#This Row],[PRECIO UNITARIO ESTIMADO]]</f>
        <v>95120</v>
      </c>
      <c r="L1515" s="175"/>
      <c r="M1515" s="77" t="s">
        <v>27</v>
      </c>
      <c r="N1515" s="77" t="s">
        <v>22</v>
      </c>
      <c r="O1515" s="177" t="s">
        <v>418</v>
      </c>
    </row>
    <row r="1516" spans="1:15" s="12" customFormat="1" ht="30.75" customHeight="1">
      <c r="B1516" s="372" t="s">
        <v>118</v>
      </c>
      <c r="C1516" s="77" t="s">
        <v>243</v>
      </c>
      <c r="D1516" s="177" t="s">
        <v>17</v>
      </c>
      <c r="E1516" s="370">
        <v>8</v>
      </c>
      <c r="F1516" s="370">
        <v>0</v>
      </c>
      <c r="G1516" s="370">
        <v>8</v>
      </c>
      <c r="H1516" s="370">
        <v>0</v>
      </c>
      <c r="I1516" s="363">
        <f>SUM(Tabla132112412[[#This Row],[PRIMER TRIMESTRE]:[CUARTO TRIMESTRE]])</f>
        <v>16</v>
      </c>
      <c r="J1516" s="175">
        <v>4610.34</v>
      </c>
      <c r="K1516" s="175">
        <f>+Tabla132112412[[#This Row],[CANTIDAD TOTAL]]*Tabla132112412[[#This Row],[PRECIO UNITARIO ESTIMADO]]</f>
        <v>73765.440000000002</v>
      </c>
      <c r="L1516" s="175"/>
      <c r="M1516" s="77" t="s">
        <v>27</v>
      </c>
      <c r="N1516" s="77" t="s">
        <v>22</v>
      </c>
      <c r="O1516" s="177" t="s">
        <v>418</v>
      </c>
    </row>
    <row r="1517" spans="1:15" s="12" customFormat="1" ht="30.75" customHeight="1">
      <c r="B1517" s="372" t="s">
        <v>118</v>
      </c>
      <c r="C1517" s="77" t="s">
        <v>336</v>
      </c>
      <c r="D1517" s="177" t="s">
        <v>17</v>
      </c>
      <c r="E1517" s="370">
        <v>5</v>
      </c>
      <c r="F1517" s="370">
        <v>2</v>
      </c>
      <c r="G1517" s="370">
        <v>7</v>
      </c>
      <c r="H1517" s="370">
        <v>2</v>
      </c>
      <c r="I1517" s="363">
        <f>SUM(Tabla132112412[[#This Row],[PRIMER TRIMESTRE]:[CUARTO TRIMESTRE]])</f>
        <v>16</v>
      </c>
      <c r="J1517" s="175">
        <v>10115</v>
      </c>
      <c r="K1517" s="175">
        <f>+Tabla132112412[[#This Row],[CANTIDAD TOTAL]]*Tabla132112412[[#This Row],[PRECIO UNITARIO ESTIMADO]]</f>
        <v>161840</v>
      </c>
      <c r="L1517" s="175"/>
      <c r="M1517" s="77" t="s">
        <v>27</v>
      </c>
      <c r="N1517" s="77" t="s">
        <v>22</v>
      </c>
      <c r="O1517" s="177" t="s">
        <v>418</v>
      </c>
    </row>
    <row r="1518" spans="1:15" s="12" customFormat="1" ht="30.75" customHeight="1">
      <c r="B1518" s="372" t="s">
        <v>118</v>
      </c>
      <c r="C1518" s="77" t="s">
        <v>1322</v>
      </c>
      <c r="D1518" s="177" t="s">
        <v>17</v>
      </c>
      <c r="E1518" s="370">
        <v>1</v>
      </c>
      <c r="F1518" s="370">
        <v>0</v>
      </c>
      <c r="G1518" s="370">
        <v>1</v>
      </c>
      <c r="H1518" s="370">
        <v>0</v>
      </c>
      <c r="I1518" s="363">
        <f>SUM(Tabla132112412[[#This Row],[PRIMER TRIMESTRE]:[CUARTO TRIMESTRE]])</f>
        <v>2</v>
      </c>
      <c r="J1518" s="175">
        <f>+(5938.35+4838)/2</f>
        <v>5388.1750000000002</v>
      </c>
      <c r="K1518" s="175">
        <f>+Tabla132112412[[#This Row],[CANTIDAD TOTAL]]*Tabla132112412[[#This Row],[PRECIO UNITARIO ESTIMADO]]</f>
        <v>10776.35</v>
      </c>
      <c r="L1518" s="175"/>
      <c r="M1518" s="77" t="s">
        <v>27</v>
      </c>
      <c r="N1518" s="77" t="s">
        <v>22</v>
      </c>
      <c r="O1518" s="177" t="s">
        <v>418</v>
      </c>
    </row>
    <row r="1519" spans="1:15" s="12" customFormat="1" ht="30.75" customHeight="1">
      <c r="B1519" s="372" t="s">
        <v>118</v>
      </c>
      <c r="C1519" s="77" t="s">
        <v>334</v>
      </c>
      <c r="D1519" s="177" t="s">
        <v>17</v>
      </c>
      <c r="E1519" s="370">
        <v>3</v>
      </c>
      <c r="F1519" s="370">
        <v>0</v>
      </c>
      <c r="G1519" s="370">
        <v>1</v>
      </c>
      <c r="H1519" s="370">
        <v>0</v>
      </c>
      <c r="I1519" s="363">
        <f>SUM(Tabla132112412[[#This Row],[PRIMER TRIMESTRE]:[CUARTO TRIMESTRE]])</f>
        <v>4</v>
      </c>
      <c r="J1519" s="175">
        <v>7080</v>
      </c>
      <c r="K1519" s="175">
        <f>+Tabla132112412[[#This Row],[CANTIDAD TOTAL]]*Tabla132112412[[#This Row],[PRECIO UNITARIO ESTIMADO]]</f>
        <v>28320</v>
      </c>
      <c r="L1519" s="175"/>
      <c r="M1519" s="77" t="s">
        <v>27</v>
      </c>
      <c r="N1519" s="77" t="s">
        <v>22</v>
      </c>
      <c r="O1519" s="177" t="s">
        <v>418</v>
      </c>
    </row>
    <row r="1520" spans="1:15" s="12" customFormat="1" ht="30.75" customHeight="1">
      <c r="B1520" s="372" t="s">
        <v>118</v>
      </c>
      <c r="C1520" s="77" t="s">
        <v>340</v>
      </c>
      <c r="D1520" s="177" t="s">
        <v>17</v>
      </c>
      <c r="E1520" s="370">
        <v>6</v>
      </c>
      <c r="F1520" s="370">
        <v>3</v>
      </c>
      <c r="G1520" s="370">
        <v>7</v>
      </c>
      <c r="H1520" s="370">
        <v>3</v>
      </c>
      <c r="I1520" s="363">
        <f>SUM(Tabla132112412[[#This Row],[PRIMER TRIMESTRE]:[CUARTO TRIMESTRE]])</f>
        <v>19</v>
      </c>
      <c r="J1520" s="175">
        <v>13684.27</v>
      </c>
      <c r="K1520" s="175">
        <f>+Tabla132112412[[#This Row],[CANTIDAD TOTAL]]*Tabla132112412[[#This Row],[PRECIO UNITARIO ESTIMADO]]</f>
        <v>260001.13</v>
      </c>
      <c r="L1520" s="175"/>
      <c r="M1520" s="77" t="s">
        <v>15</v>
      </c>
      <c r="N1520" s="77" t="s">
        <v>22</v>
      </c>
      <c r="O1520" s="177" t="s">
        <v>418</v>
      </c>
    </row>
    <row r="1521" spans="1:15" s="12" customFormat="1" ht="30.75" customHeight="1">
      <c r="B1521" s="372" t="s">
        <v>118</v>
      </c>
      <c r="C1521" s="77" t="s">
        <v>1138</v>
      </c>
      <c r="D1521" s="177" t="s">
        <v>1067</v>
      </c>
      <c r="E1521" s="370">
        <v>7</v>
      </c>
      <c r="F1521" s="370">
        <v>2</v>
      </c>
      <c r="G1521" s="370">
        <v>7</v>
      </c>
      <c r="H1521" s="370">
        <v>2</v>
      </c>
      <c r="I1521" s="363">
        <f>SUM(Tabla132112412[[#This Row],[PRIMER TRIMESTRE]:[CUARTO TRIMESTRE]])</f>
        <v>18</v>
      </c>
      <c r="J1521" s="175">
        <v>3000</v>
      </c>
      <c r="K1521" s="175">
        <f>+I1521*J1521</f>
        <v>54000</v>
      </c>
      <c r="L1521" s="175"/>
      <c r="M1521" s="77" t="s">
        <v>15</v>
      </c>
      <c r="N1521" s="77" t="s">
        <v>22</v>
      </c>
      <c r="O1521" s="177" t="s">
        <v>418</v>
      </c>
    </row>
    <row r="1522" spans="1:15" s="12" customFormat="1" ht="30.75" customHeight="1">
      <c r="B1522" s="372" t="s">
        <v>118</v>
      </c>
      <c r="C1522" s="77" t="s">
        <v>245</v>
      </c>
      <c r="D1522" s="177" t="s">
        <v>17</v>
      </c>
      <c r="E1522" s="370">
        <v>5</v>
      </c>
      <c r="F1522" s="370">
        <v>0</v>
      </c>
      <c r="G1522" s="370">
        <v>0</v>
      </c>
      <c r="H1522" s="370">
        <v>0</v>
      </c>
      <c r="I1522" s="363">
        <f>SUM(Tabla132112412[[#This Row],[PRIMER TRIMESTRE]:[CUARTO TRIMESTRE]])</f>
        <v>5</v>
      </c>
      <c r="J1522" s="175">
        <v>10788</v>
      </c>
      <c r="K1522" s="175">
        <f>+Tabla132112412[[#This Row],[CANTIDAD TOTAL]]*Tabla132112412[[#This Row],[PRECIO UNITARIO ESTIMADO]]</f>
        <v>53940</v>
      </c>
      <c r="L1522" s="175"/>
      <c r="M1522" s="77" t="s">
        <v>15</v>
      </c>
      <c r="N1522" s="77" t="s">
        <v>22</v>
      </c>
      <c r="O1522" s="177" t="s">
        <v>418</v>
      </c>
    </row>
    <row r="1523" spans="1:15" s="12" customFormat="1" ht="30.75" customHeight="1">
      <c r="B1523" s="372" t="s">
        <v>118</v>
      </c>
      <c r="C1523" s="77" t="s">
        <v>246</v>
      </c>
      <c r="D1523" s="177" t="s">
        <v>17</v>
      </c>
      <c r="E1523" s="370">
        <v>6</v>
      </c>
      <c r="F1523" s="370">
        <v>6</v>
      </c>
      <c r="G1523" s="370">
        <v>6</v>
      </c>
      <c r="H1523" s="370">
        <v>6</v>
      </c>
      <c r="I1523" s="363">
        <f>SUM(Tabla132112412[[#This Row],[PRIMER TRIMESTRE]:[CUARTO TRIMESTRE]])</f>
        <v>24</v>
      </c>
      <c r="J1523" s="175">
        <v>2467.71</v>
      </c>
      <c r="K1523" s="175">
        <f>+Tabla132112412[[#This Row],[CANTIDAD TOTAL]]*Tabla132112412[[#This Row],[PRECIO UNITARIO ESTIMADO]]</f>
        <v>59225.04</v>
      </c>
      <c r="L1523" s="175"/>
      <c r="M1523" s="77" t="s">
        <v>27</v>
      </c>
      <c r="N1523" s="77" t="s">
        <v>22</v>
      </c>
      <c r="O1523" s="177" t="s">
        <v>418</v>
      </c>
    </row>
    <row r="1524" spans="1:15" s="12" customFormat="1" ht="30.75" customHeight="1">
      <c r="B1524" s="372" t="s">
        <v>118</v>
      </c>
      <c r="C1524" s="77" t="s">
        <v>247</v>
      </c>
      <c r="D1524" s="177" t="s">
        <v>17</v>
      </c>
      <c r="E1524" s="370">
        <v>2</v>
      </c>
      <c r="F1524" s="370">
        <v>0</v>
      </c>
      <c r="G1524" s="370">
        <v>1</v>
      </c>
      <c r="H1524" s="370">
        <v>0</v>
      </c>
      <c r="I1524" s="363">
        <f>SUM(Tabla132112412[[#This Row],[PRIMER TRIMESTRE]:[CUARTO TRIMESTRE]])</f>
        <v>3</v>
      </c>
      <c r="J1524" s="175">
        <v>14434.48</v>
      </c>
      <c r="K1524" s="175">
        <f>+Tabla132112412[[#This Row],[CANTIDAD TOTAL]]*Tabla132112412[[#This Row],[PRECIO UNITARIO ESTIMADO]]</f>
        <v>43303.44</v>
      </c>
      <c r="L1524" s="175"/>
      <c r="M1524" s="77" t="s">
        <v>15</v>
      </c>
      <c r="N1524" s="77" t="s">
        <v>22</v>
      </c>
      <c r="O1524" s="177" t="s">
        <v>418</v>
      </c>
    </row>
    <row r="1525" spans="1:15" s="12" customFormat="1" ht="30.75" customHeight="1">
      <c r="B1525" s="372" t="s">
        <v>118</v>
      </c>
      <c r="C1525" s="77" t="s">
        <v>1604</v>
      </c>
      <c r="D1525" s="177" t="s">
        <v>17</v>
      </c>
      <c r="E1525" s="370">
        <v>7</v>
      </c>
      <c r="F1525" s="370">
        <v>0</v>
      </c>
      <c r="G1525" s="370">
        <v>3</v>
      </c>
      <c r="H1525" s="370">
        <v>0</v>
      </c>
      <c r="I1525" s="363">
        <f>SUM(Tabla132112412[[#This Row],[PRIMER TRIMESTRE]:[CUARTO TRIMESTRE]])</f>
        <v>10</v>
      </c>
      <c r="J1525" s="175">
        <v>4800</v>
      </c>
      <c r="K1525" s="175">
        <f>+I1525*J1525</f>
        <v>48000</v>
      </c>
      <c r="L1525" s="175"/>
      <c r="M1525" s="77" t="s">
        <v>27</v>
      </c>
      <c r="N1525" s="77" t="s">
        <v>22</v>
      </c>
      <c r="O1525" s="177" t="s">
        <v>418</v>
      </c>
    </row>
    <row r="1526" spans="1:15" s="12" customFormat="1" ht="30.75" customHeight="1">
      <c r="B1526" s="372" t="s">
        <v>118</v>
      </c>
      <c r="C1526" s="77" t="s">
        <v>339</v>
      </c>
      <c r="D1526" s="177" t="s">
        <v>17</v>
      </c>
      <c r="E1526" s="370">
        <v>3</v>
      </c>
      <c r="F1526" s="370">
        <v>0</v>
      </c>
      <c r="G1526" s="370">
        <v>0</v>
      </c>
      <c r="H1526" s="370">
        <v>0</v>
      </c>
      <c r="I1526" s="363">
        <f>SUM(Tabla132112412[[#This Row],[PRIMER TRIMESTRE]:[CUARTO TRIMESTRE]])</f>
        <v>3</v>
      </c>
      <c r="J1526" s="175">
        <f>115079.5/24</f>
        <v>4794.979166666667</v>
      </c>
      <c r="K1526" s="175">
        <f>+Tabla132112412[[#This Row],[CANTIDAD TOTAL]]*Tabla132112412[[#This Row],[PRECIO UNITARIO ESTIMADO]]</f>
        <v>14384.9375</v>
      </c>
      <c r="L1526" s="175"/>
      <c r="M1526" s="77" t="s">
        <v>15</v>
      </c>
      <c r="N1526" s="77" t="s">
        <v>22</v>
      </c>
      <c r="O1526" s="177" t="s">
        <v>418</v>
      </c>
    </row>
    <row r="1527" spans="1:15" s="12" customFormat="1" ht="30.75" customHeight="1">
      <c r="B1527" s="372" t="s">
        <v>118</v>
      </c>
      <c r="C1527" s="77" t="s">
        <v>248</v>
      </c>
      <c r="D1527" s="177" t="s">
        <v>17</v>
      </c>
      <c r="E1527" s="370">
        <v>6</v>
      </c>
      <c r="F1527" s="370">
        <v>6</v>
      </c>
      <c r="G1527" s="370">
        <v>6</v>
      </c>
      <c r="H1527" s="370">
        <v>6</v>
      </c>
      <c r="I1527" s="363">
        <f>SUM(Tabla132112412[[#This Row],[PRIMER TRIMESTRE]:[CUARTO TRIMESTRE]])</f>
        <v>24</v>
      </c>
      <c r="J1527" s="175">
        <v>2262</v>
      </c>
      <c r="K1527" s="175">
        <f>+Tabla132112412[[#This Row],[CANTIDAD TOTAL]]*Tabla132112412[[#This Row],[PRECIO UNITARIO ESTIMADO]]</f>
        <v>54288</v>
      </c>
      <c r="L1527" s="175"/>
      <c r="M1527" s="77" t="s">
        <v>15</v>
      </c>
      <c r="N1527" s="77" t="s">
        <v>22</v>
      </c>
      <c r="O1527" s="177" t="s">
        <v>418</v>
      </c>
    </row>
    <row r="1528" spans="1:15" s="12" customFormat="1" ht="30.75" customHeight="1">
      <c r="B1528" s="372" t="s">
        <v>118</v>
      </c>
      <c r="C1528" s="77" t="s">
        <v>249</v>
      </c>
      <c r="D1528" s="177" t="s">
        <v>17</v>
      </c>
      <c r="E1528" s="370">
        <f>9+10</f>
        <v>19</v>
      </c>
      <c r="F1528" s="370">
        <v>3</v>
      </c>
      <c r="G1528" s="370">
        <v>9</v>
      </c>
      <c r="H1528" s="370">
        <v>3</v>
      </c>
      <c r="I1528" s="363">
        <f>SUM(Tabla132112412[[#This Row],[PRIMER TRIMESTRE]:[CUARTO TRIMESTRE]])</f>
        <v>34</v>
      </c>
      <c r="J1528" s="175">
        <v>3250</v>
      </c>
      <c r="K1528" s="175">
        <f>+Tabla132112412[[#This Row],[CANTIDAD TOTAL]]*Tabla132112412[[#This Row],[PRECIO UNITARIO ESTIMADO]]</f>
        <v>110500</v>
      </c>
      <c r="L1528" s="175"/>
      <c r="M1528" s="77" t="s">
        <v>27</v>
      </c>
      <c r="N1528" s="77" t="s">
        <v>22</v>
      </c>
      <c r="O1528" s="177" t="s">
        <v>418</v>
      </c>
    </row>
    <row r="1529" spans="1:15" s="26" customFormat="1" ht="30.75" customHeight="1">
      <c r="A1529" s="12"/>
      <c r="B1529" s="372" t="s">
        <v>118</v>
      </c>
      <c r="C1529" s="77" t="s">
        <v>250</v>
      </c>
      <c r="D1529" s="177" t="s">
        <v>17</v>
      </c>
      <c r="E1529" s="370">
        <f>5+2</f>
        <v>7</v>
      </c>
      <c r="F1529" s="370">
        <v>2</v>
      </c>
      <c r="G1529" s="370">
        <v>5</v>
      </c>
      <c r="H1529" s="370">
        <v>2</v>
      </c>
      <c r="I1529" s="363">
        <f>SUM(Tabla132112412[[#This Row],[PRIMER TRIMESTRE]:[CUARTO TRIMESTRE]])</f>
        <v>16</v>
      </c>
      <c r="J1529" s="175">
        <v>3959.88</v>
      </c>
      <c r="K1529" s="175">
        <f>+Tabla132112412[[#This Row],[CANTIDAD TOTAL]]*Tabla132112412[[#This Row],[PRECIO UNITARIO ESTIMADO]]</f>
        <v>63358.080000000002</v>
      </c>
      <c r="L1529" s="175"/>
      <c r="M1529" s="77" t="s">
        <v>27</v>
      </c>
      <c r="N1529" s="77" t="s">
        <v>22</v>
      </c>
      <c r="O1529" s="177" t="s">
        <v>418</v>
      </c>
    </row>
    <row r="1530" spans="1:15" s="12" customFormat="1" ht="30.75" customHeight="1">
      <c r="B1530" s="372" t="s">
        <v>118</v>
      </c>
      <c r="C1530" s="77" t="s">
        <v>323</v>
      </c>
      <c r="D1530" s="177" t="s">
        <v>17</v>
      </c>
      <c r="E1530" s="370">
        <f>3+1</f>
        <v>4</v>
      </c>
      <c r="F1530" s="370">
        <v>0</v>
      </c>
      <c r="G1530" s="370">
        <v>0</v>
      </c>
      <c r="H1530" s="370">
        <v>0</v>
      </c>
      <c r="I1530" s="363">
        <f>SUM(Tabla132112412[[#This Row],[PRIMER TRIMESTRE]:[CUARTO TRIMESTRE]])</f>
        <v>4</v>
      </c>
      <c r="J1530" s="175">
        <f>16086.57/3</f>
        <v>5362.19</v>
      </c>
      <c r="K1530" s="175">
        <f>+Tabla132112412[[#This Row],[CANTIDAD TOTAL]]*Tabla132112412[[#This Row],[PRECIO UNITARIO ESTIMADO]]</f>
        <v>21448.76</v>
      </c>
      <c r="L1530" s="175"/>
      <c r="M1530" s="77" t="s">
        <v>15</v>
      </c>
      <c r="N1530" s="77" t="s">
        <v>22</v>
      </c>
      <c r="O1530" s="177" t="s">
        <v>418</v>
      </c>
    </row>
    <row r="1531" spans="1:15" s="12" customFormat="1" ht="30.75" customHeight="1">
      <c r="B1531" s="452" t="s">
        <v>118</v>
      </c>
      <c r="C1531" s="453"/>
      <c r="D1531" s="177"/>
      <c r="E1531" s="370"/>
      <c r="F1531" s="370"/>
      <c r="G1531" s="370"/>
      <c r="H1531" s="370"/>
      <c r="I1531" s="363">
        <f>SUM(Tabla132112412[[#This Row],[PRIMER TRIMESTRE]:[CUARTO TRIMESTRE]])</f>
        <v>0</v>
      </c>
      <c r="J1531" s="175"/>
      <c r="K1531" s="175"/>
      <c r="L1531" s="451">
        <f>SUM(K1514:K1530)</f>
        <v>1280532.7775000001</v>
      </c>
      <c r="M1531" s="77"/>
      <c r="N1531" s="77"/>
      <c r="O1531" s="177"/>
    </row>
    <row r="1532" spans="1:15" s="12" customFormat="1" ht="30.75" customHeight="1">
      <c r="B1532" s="372" t="s">
        <v>119</v>
      </c>
      <c r="C1532" s="77" t="s">
        <v>341</v>
      </c>
      <c r="D1532" s="177" t="s">
        <v>17</v>
      </c>
      <c r="E1532" s="370">
        <v>0</v>
      </c>
      <c r="F1532" s="370">
        <v>0</v>
      </c>
      <c r="G1532" s="370">
        <v>0</v>
      </c>
      <c r="H1532" s="370">
        <v>101</v>
      </c>
      <c r="I1532" s="363">
        <f>SUM(Tabla132112412[[#This Row],[PRIMER TRIMESTRE]:[CUARTO TRIMESTRE]])</f>
        <v>101</v>
      </c>
      <c r="J1532" s="175">
        <f>2160.9+22288+501.5+6355.8+18041.9+5084.64+8389.8+3050.76+2466.06+1983.5+6203.28</f>
        <v>76526.14</v>
      </c>
      <c r="K1532" s="175">
        <f>+Tabla132112412[[#This Row],[CANTIDAD TOTAL]]*Tabla132112412[[#This Row],[PRECIO UNITARIO ESTIMADO]]</f>
        <v>7729140.1399999997</v>
      </c>
      <c r="L1532" s="175"/>
      <c r="M1532" s="77" t="s">
        <v>15</v>
      </c>
      <c r="N1532" s="77" t="s">
        <v>22</v>
      </c>
      <c r="O1532" s="177" t="s">
        <v>418</v>
      </c>
    </row>
    <row r="1533" spans="1:15" s="12" customFormat="1" ht="30.75" customHeight="1">
      <c r="B1533" s="372" t="s">
        <v>119</v>
      </c>
      <c r="C1533" s="77" t="s">
        <v>252</v>
      </c>
      <c r="D1533" s="177" t="s">
        <v>17</v>
      </c>
      <c r="E1533" s="370">
        <v>25</v>
      </c>
      <c r="F1533" s="370">
        <v>25</v>
      </c>
      <c r="G1533" s="370">
        <v>25</v>
      </c>
      <c r="H1533" s="370">
        <v>25</v>
      </c>
      <c r="I1533" s="363">
        <f>SUM(Tabla132112412[[#This Row],[PRIMER TRIMESTRE]:[CUARTO TRIMESTRE]])</f>
        <v>100</v>
      </c>
      <c r="J1533" s="175">
        <v>26.45</v>
      </c>
      <c r="K1533" s="175">
        <f>+Tabla132112412[[#This Row],[CANTIDAD TOTAL]]*Tabla132112412[[#This Row],[PRECIO UNITARIO ESTIMADO]]</f>
        <v>2645</v>
      </c>
      <c r="L1533" s="175"/>
      <c r="M1533" s="77" t="s">
        <v>15</v>
      </c>
      <c r="N1533" s="77" t="s">
        <v>22</v>
      </c>
      <c r="O1533" s="177" t="s">
        <v>418</v>
      </c>
    </row>
    <row r="1534" spans="1:15" s="12" customFormat="1" ht="30.75" customHeight="1">
      <c r="B1534" s="372" t="s">
        <v>119</v>
      </c>
      <c r="C1534" s="77" t="s">
        <v>1606</v>
      </c>
      <c r="D1534" s="177" t="s">
        <v>17</v>
      </c>
      <c r="E1534" s="370">
        <f>5+3</f>
        <v>8</v>
      </c>
      <c r="F1534" s="370">
        <v>0</v>
      </c>
      <c r="G1534" s="370">
        <v>2</v>
      </c>
      <c r="H1534" s="370">
        <v>0</v>
      </c>
      <c r="I1534" s="363">
        <f>SUM(Tabla132112412[[#This Row],[PRIMER TRIMESTRE]:[CUARTO TRIMESTRE]])</f>
        <v>10</v>
      </c>
      <c r="J1534" s="175">
        <v>8000</v>
      </c>
      <c r="K1534" s="175">
        <f>+I1534*J1534</f>
        <v>80000</v>
      </c>
      <c r="L1534" s="175"/>
      <c r="M1534" s="77" t="s">
        <v>15</v>
      </c>
      <c r="N1534" s="77" t="s">
        <v>22</v>
      </c>
      <c r="O1534" s="177" t="s">
        <v>418</v>
      </c>
    </row>
    <row r="1535" spans="1:15" s="12" customFormat="1" ht="30.75" customHeight="1">
      <c r="B1535" s="372" t="s">
        <v>119</v>
      </c>
      <c r="C1535" s="77" t="s">
        <v>1605</v>
      </c>
      <c r="D1535" s="177" t="s">
        <v>17</v>
      </c>
      <c r="E1535" s="370">
        <v>2</v>
      </c>
      <c r="F1535" s="370">
        <v>0</v>
      </c>
      <c r="G1535" s="370">
        <v>0</v>
      </c>
      <c r="H1535" s="370">
        <v>0</v>
      </c>
      <c r="I1535" s="363">
        <f>SUM(Tabla132112412[[#This Row],[PRIMER TRIMESTRE]:[CUARTO TRIMESTRE]])</f>
        <v>2</v>
      </c>
      <c r="J1535" s="175">
        <v>12500</v>
      </c>
      <c r="K1535" s="175">
        <f>+I1535*J1535</f>
        <v>25000</v>
      </c>
      <c r="L1535" s="175"/>
      <c r="M1535" s="77" t="s">
        <v>15</v>
      </c>
      <c r="N1535" s="77" t="s">
        <v>22</v>
      </c>
      <c r="O1535" s="177" t="s">
        <v>418</v>
      </c>
    </row>
    <row r="1536" spans="1:15" s="12" customFormat="1" ht="30.75" customHeight="1">
      <c r="B1536" s="372" t="s">
        <v>119</v>
      </c>
      <c r="C1536" s="77" t="s">
        <v>256</v>
      </c>
      <c r="D1536" s="177" t="s">
        <v>17</v>
      </c>
      <c r="E1536" s="370">
        <v>5</v>
      </c>
      <c r="F1536" s="370">
        <v>3</v>
      </c>
      <c r="G1536" s="370">
        <v>5</v>
      </c>
      <c r="H1536" s="370">
        <v>3</v>
      </c>
      <c r="I1536" s="363">
        <f>SUM(Tabla132112412[[#This Row],[PRIMER TRIMESTRE]:[CUARTO TRIMESTRE]])</f>
        <v>16</v>
      </c>
      <c r="J1536" s="175">
        <v>434.24</v>
      </c>
      <c r="K1536" s="175">
        <f>+Tabla132112412[[#This Row],[CANTIDAD TOTAL]]*Tabla132112412[[#This Row],[PRECIO UNITARIO ESTIMADO]]</f>
        <v>6947.84</v>
      </c>
      <c r="L1536" s="175"/>
      <c r="M1536" s="77" t="s">
        <v>15</v>
      </c>
      <c r="N1536" s="77" t="s">
        <v>22</v>
      </c>
      <c r="O1536" s="177" t="s">
        <v>418</v>
      </c>
    </row>
    <row r="1537" spans="1:15" s="26" customFormat="1" ht="30.75" customHeight="1">
      <c r="A1537" s="12"/>
      <c r="B1537" s="372" t="s">
        <v>119</v>
      </c>
      <c r="C1537" s="77" t="s">
        <v>324</v>
      </c>
      <c r="D1537" s="177" t="s">
        <v>17</v>
      </c>
      <c r="E1537" s="370">
        <v>2</v>
      </c>
      <c r="F1537" s="370">
        <v>0</v>
      </c>
      <c r="G1537" s="370">
        <v>0</v>
      </c>
      <c r="H1537" s="370">
        <v>0</v>
      </c>
      <c r="I1537" s="363">
        <f>SUM(Tabla132112412[[#This Row],[PRIMER TRIMESTRE]:[CUARTO TRIMESTRE]])</f>
        <v>2</v>
      </c>
      <c r="J1537" s="175">
        <f>3536.75/2</f>
        <v>1768.375</v>
      </c>
      <c r="K1537" s="175">
        <f>+Tabla132112412[[#This Row],[CANTIDAD TOTAL]]*Tabla132112412[[#This Row],[PRECIO UNITARIO ESTIMADO]]</f>
        <v>3536.75</v>
      </c>
      <c r="L1537" s="175"/>
      <c r="M1537" s="77" t="s">
        <v>15</v>
      </c>
      <c r="N1537" s="77" t="s">
        <v>22</v>
      </c>
      <c r="O1537" s="177" t="s">
        <v>418</v>
      </c>
    </row>
    <row r="1538" spans="1:15" s="12" customFormat="1" ht="30.75" customHeight="1">
      <c r="B1538" s="372" t="s">
        <v>119</v>
      </c>
      <c r="C1538" s="77" t="s">
        <v>257</v>
      </c>
      <c r="D1538" s="177" t="s">
        <v>17</v>
      </c>
      <c r="E1538" s="370">
        <f>1+12</f>
        <v>13</v>
      </c>
      <c r="F1538" s="370">
        <v>0</v>
      </c>
      <c r="G1538" s="370">
        <v>2</v>
      </c>
      <c r="H1538" s="370">
        <v>1</v>
      </c>
      <c r="I1538" s="363">
        <f>SUM(Tabla132112412[[#This Row],[PRIMER TRIMESTRE]:[CUARTO TRIMESTRE]])</f>
        <v>16</v>
      </c>
      <c r="J1538" s="175">
        <v>522</v>
      </c>
      <c r="K1538" s="175">
        <f>+Tabla132112412[[#This Row],[CANTIDAD TOTAL]]*Tabla132112412[[#This Row],[PRECIO UNITARIO ESTIMADO]]</f>
        <v>8352</v>
      </c>
      <c r="L1538" s="175"/>
      <c r="M1538" s="77" t="s">
        <v>15</v>
      </c>
      <c r="N1538" s="77" t="s">
        <v>22</v>
      </c>
      <c r="O1538" s="177" t="s">
        <v>418</v>
      </c>
    </row>
    <row r="1539" spans="1:15" s="12" customFormat="1" ht="30.75" customHeight="1">
      <c r="B1539" s="452" t="s">
        <v>119</v>
      </c>
      <c r="C1539" s="453"/>
      <c r="D1539" s="177"/>
      <c r="E1539" s="370"/>
      <c r="F1539" s="370"/>
      <c r="G1539" s="370"/>
      <c r="H1539" s="370"/>
      <c r="I1539" s="363">
        <f>SUM(Tabla132112412[[#This Row],[PRIMER TRIMESTRE]:[CUARTO TRIMESTRE]])</f>
        <v>0</v>
      </c>
      <c r="J1539" s="175"/>
      <c r="K1539" s="175"/>
      <c r="L1539" s="451">
        <f>SUM(K1532:K1538)</f>
        <v>7855621.7299999995</v>
      </c>
      <c r="M1539" s="77"/>
      <c r="N1539" s="77"/>
      <c r="O1539" s="177"/>
    </row>
    <row r="1540" spans="1:15" s="12" customFormat="1" ht="18">
      <c r="B1540" s="372" t="s">
        <v>120</v>
      </c>
      <c r="C1540" s="77" t="s">
        <v>392</v>
      </c>
      <c r="D1540" s="177" t="s">
        <v>208</v>
      </c>
      <c r="E1540" s="370">
        <f>24+6</f>
        <v>30</v>
      </c>
      <c r="F1540" s="370">
        <f>24+4</f>
        <v>28</v>
      </c>
      <c r="G1540" s="370">
        <f>24+4</f>
        <v>28</v>
      </c>
      <c r="H1540" s="370">
        <f>24+4</f>
        <v>28</v>
      </c>
      <c r="I1540" s="363">
        <f>SUM(Tabla132112412[[#This Row],[PRIMER TRIMESTRE]:[CUARTO TRIMESTRE]])</f>
        <v>114</v>
      </c>
      <c r="J1540" s="175">
        <v>48.12</v>
      </c>
      <c r="K1540" s="175">
        <f>+I1540*J1540</f>
        <v>5485.6799999999994</v>
      </c>
      <c r="L1540" s="175"/>
      <c r="M1540" s="77" t="s">
        <v>18</v>
      </c>
      <c r="N1540" s="77" t="s">
        <v>22</v>
      </c>
      <c r="O1540" s="177" t="s">
        <v>418</v>
      </c>
    </row>
    <row r="1541" spans="1:15" s="12" customFormat="1" ht="18">
      <c r="B1541" s="372" t="s">
        <v>120</v>
      </c>
      <c r="C1541" s="77" t="s">
        <v>393</v>
      </c>
      <c r="D1541" s="177" t="s">
        <v>208</v>
      </c>
      <c r="E1541" s="370">
        <v>30</v>
      </c>
      <c r="F1541" s="370">
        <v>30</v>
      </c>
      <c r="G1541" s="370">
        <v>30</v>
      </c>
      <c r="H1541" s="370">
        <v>30</v>
      </c>
      <c r="I1541" s="363">
        <f>SUM(Tabla132112412[[#This Row],[PRIMER TRIMESTRE]:[CUARTO TRIMESTRE]])</f>
        <v>120</v>
      </c>
      <c r="J1541" s="175">
        <v>41.28</v>
      </c>
      <c r="K1541" s="175">
        <f>+I1541*J1541</f>
        <v>4953.6000000000004</v>
      </c>
      <c r="L1541" s="175"/>
      <c r="M1541" s="77" t="s">
        <v>18</v>
      </c>
      <c r="N1541" s="77" t="s">
        <v>22</v>
      </c>
      <c r="O1541" s="177" t="s">
        <v>418</v>
      </c>
    </row>
    <row r="1542" spans="1:15" s="12" customFormat="1" ht="18">
      <c r="B1542" s="372" t="s">
        <v>120</v>
      </c>
      <c r="C1542" s="77" t="s">
        <v>743</v>
      </c>
      <c r="D1542" s="177" t="s">
        <v>208</v>
      </c>
      <c r="E1542" s="370">
        <v>1</v>
      </c>
      <c r="F1542" s="370">
        <v>0</v>
      </c>
      <c r="G1542" s="370">
        <v>0</v>
      </c>
      <c r="H1542" s="370">
        <v>0</v>
      </c>
      <c r="I1542" s="363">
        <f>SUM(Tabla132112412[[#This Row],[PRIMER TRIMESTRE]:[CUARTO TRIMESTRE]])</f>
        <v>1</v>
      </c>
      <c r="J1542" s="175">
        <f>4.42*12</f>
        <v>53.04</v>
      </c>
      <c r="K1542" s="175">
        <f>+I1542*J1542</f>
        <v>53.04</v>
      </c>
      <c r="L1542" s="175"/>
      <c r="M1542" s="77" t="s">
        <v>18</v>
      </c>
      <c r="N1542" s="77" t="s">
        <v>22</v>
      </c>
      <c r="O1542" s="177" t="s">
        <v>418</v>
      </c>
    </row>
    <row r="1543" spans="1:15" s="12" customFormat="1" ht="18">
      <c r="B1543" s="372" t="s">
        <v>120</v>
      </c>
      <c r="C1543" s="77" t="s">
        <v>398</v>
      </c>
      <c r="D1543" s="177" t="s">
        <v>208</v>
      </c>
      <c r="E1543" s="370">
        <f>16+7</f>
        <v>23</v>
      </c>
      <c r="F1543" s="370">
        <f>16+7</f>
        <v>23</v>
      </c>
      <c r="G1543" s="370">
        <f>16+7</f>
        <v>23</v>
      </c>
      <c r="H1543" s="370">
        <f>16+7</f>
        <v>23</v>
      </c>
      <c r="I1543" s="363">
        <f>SUM(Tabla132112412[[#This Row],[PRIMER TRIMESTRE]:[CUARTO TRIMESTRE]])</f>
        <v>92</v>
      </c>
      <c r="J1543" s="175">
        <v>22.42</v>
      </c>
      <c r="K1543" s="175">
        <f>+I1543*J1543</f>
        <v>2062.6400000000003</v>
      </c>
      <c r="L1543" s="175"/>
      <c r="M1543" s="77" t="s">
        <v>18</v>
      </c>
      <c r="N1543" s="77" t="s">
        <v>22</v>
      </c>
      <c r="O1543" s="177" t="s">
        <v>418</v>
      </c>
    </row>
    <row r="1544" spans="1:15" s="12" customFormat="1" ht="18">
      <c r="B1544" s="372" t="s">
        <v>120</v>
      </c>
      <c r="C1544" s="364" t="s">
        <v>401</v>
      </c>
      <c r="D1544" s="455" t="s">
        <v>17</v>
      </c>
      <c r="E1544" s="362">
        <v>5</v>
      </c>
      <c r="F1544" s="362">
        <v>5</v>
      </c>
      <c r="G1544" s="362">
        <v>5</v>
      </c>
      <c r="H1544" s="362">
        <v>5</v>
      </c>
      <c r="I1544" s="363">
        <f>SUM(Tabla132112412[[#This Row],[PRIMER TRIMESTRE]:[CUARTO TRIMESTRE]])</f>
        <v>20</v>
      </c>
      <c r="J1544" s="175"/>
      <c r="K1544" s="175"/>
      <c r="L1544" s="175"/>
      <c r="M1544" s="77"/>
      <c r="N1544" s="77"/>
      <c r="O1544" s="177"/>
    </row>
    <row r="1545" spans="1:15" s="12" customFormat="1" ht="18">
      <c r="B1545" s="372" t="s">
        <v>120</v>
      </c>
      <c r="C1545" s="77" t="s">
        <v>253</v>
      </c>
      <c r="D1545" s="177" t="s">
        <v>208</v>
      </c>
      <c r="E1545" s="370">
        <v>7</v>
      </c>
      <c r="F1545" s="370">
        <v>7</v>
      </c>
      <c r="G1545" s="370">
        <v>7</v>
      </c>
      <c r="H1545" s="370">
        <v>7</v>
      </c>
      <c r="I1545" s="363">
        <f>SUM(Tabla132112412[[#This Row],[PRIMER TRIMESTRE]:[CUARTO TRIMESTRE]])</f>
        <v>28</v>
      </c>
      <c r="J1545" s="175">
        <v>52.28</v>
      </c>
      <c r="K1545" s="175">
        <f>+Tabla132112412[[#This Row],[CANTIDAD TOTAL]]*Tabla132112412[[#This Row],[PRECIO UNITARIO ESTIMADO]]</f>
        <v>1463.8400000000001</v>
      </c>
      <c r="L1545" s="175"/>
      <c r="M1545" s="77" t="s">
        <v>18</v>
      </c>
      <c r="N1545" s="77" t="s">
        <v>22</v>
      </c>
      <c r="O1545" s="177" t="s">
        <v>418</v>
      </c>
    </row>
    <row r="1546" spans="1:15" s="169" customFormat="1" ht="18">
      <c r="A1546" s="12"/>
      <c r="B1546" s="372" t="s">
        <v>120</v>
      </c>
      <c r="C1546" s="77" t="s">
        <v>402</v>
      </c>
      <c r="D1546" s="177" t="s">
        <v>17</v>
      </c>
      <c r="E1546" s="370">
        <f>7+2</f>
        <v>9</v>
      </c>
      <c r="F1546" s="370">
        <v>7</v>
      </c>
      <c r="G1546" s="370">
        <v>7</v>
      </c>
      <c r="H1546" s="370">
        <v>7</v>
      </c>
      <c r="I1546" s="363">
        <f>SUM(Tabla132112412[[#This Row],[PRIMER TRIMESTRE]:[CUARTO TRIMESTRE]])</f>
        <v>30</v>
      </c>
      <c r="J1546" s="175">
        <v>182.9</v>
      </c>
      <c r="K1546" s="175">
        <f>+I1546*J1546</f>
        <v>5487</v>
      </c>
      <c r="L1546" s="175"/>
      <c r="M1546" s="77" t="s">
        <v>18</v>
      </c>
      <c r="N1546" s="77" t="s">
        <v>22</v>
      </c>
      <c r="O1546" s="177" t="s">
        <v>418</v>
      </c>
    </row>
    <row r="1547" spans="1:15" s="12" customFormat="1" ht="18">
      <c r="B1547" s="372" t="s">
        <v>120</v>
      </c>
      <c r="C1547" s="77" t="s">
        <v>260</v>
      </c>
      <c r="D1547" s="177" t="s">
        <v>17</v>
      </c>
      <c r="E1547" s="370">
        <v>5</v>
      </c>
      <c r="F1547" s="370">
        <v>5</v>
      </c>
      <c r="G1547" s="370">
        <v>5</v>
      </c>
      <c r="H1547" s="370">
        <v>5</v>
      </c>
      <c r="I1547" s="363">
        <f>SUM(Tabla132112412[[#This Row],[PRIMER TRIMESTRE]:[CUARTO TRIMESTRE]])</f>
        <v>20</v>
      </c>
      <c r="J1547" s="175">
        <v>29.28</v>
      </c>
      <c r="K1547" s="175">
        <f>+Tabla132112412[[#This Row],[CANTIDAD TOTAL]]*Tabla132112412[[#This Row],[PRECIO UNITARIO ESTIMADO]]</f>
        <v>585.6</v>
      </c>
      <c r="L1547" s="175"/>
      <c r="M1547" s="77" t="s">
        <v>18</v>
      </c>
      <c r="N1547" s="77" t="s">
        <v>22</v>
      </c>
      <c r="O1547" s="177" t="s">
        <v>418</v>
      </c>
    </row>
    <row r="1548" spans="1:15" s="169" customFormat="1" ht="18">
      <c r="A1548" s="12"/>
      <c r="B1548" s="372" t="s">
        <v>120</v>
      </c>
      <c r="C1548" s="77" t="s">
        <v>239</v>
      </c>
      <c r="D1548" s="177" t="s">
        <v>208</v>
      </c>
      <c r="E1548" s="370">
        <v>2</v>
      </c>
      <c r="F1548" s="370">
        <v>1</v>
      </c>
      <c r="G1548" s="370">
        <v>1</v>
      </c>
      <c r="H1548" s="370">
        <v>1</v>
      </c>
      <c r="I1548" s="363">
        <f>SUM(Tabla132112412[[#This Row],[PRIMER TRIMESTRE]:[CUARTO TRIMESTRE]])</f>
        <v>5</v>
      </c>
      <c r="J1548" s="175">
        <v>232</v>
      </c>
      <c r="K1548" s="175">
        <f>+Tabla132112412[[#This Row],[CANTIDAD TOTAL]]*Tabla132112412[[#This Row],[PRECIO UNITARIO ESTIMADO]]</f>
        <v>1160</v>
      </c>
      <c r="L1548" s="175"/>
      <c r="M1548" s="77" t="s">
        <v>18</v>
      </c>
      <c r="N1548" s="77" t="s">
        <v>22</v>
      </c>
      <c r="O1548" s="177" t="s">
        <v>418</v>
      </c>
    </row>
    <row r="1549" spans="1:15" s="12" customFormat="1" ht="18">
      <c r="B1549" s="372" t="s">
        <v>120</v>
      </c>
      <c r="C1549" s="77" t="s">
        <v>414</v>
      </c>
      <c r="D1549" s="177" t="s">
        <v>417</v>
      </c>
      <c r="E1549" s="370">
        <v>12</v>
      </c>
      <c r="F1549" s="370">
        <v>12</v>
      </c>
      <c r="G1549" s="370">
        <v>12</v>
      </c>
      <c r="H1549" s="370">
        <v>12</v>
      </c>
      <c r="I1549" s="363">
        <f>SUM(Tabla132112412[[#This Row],[PRIMER TRIMESTRE]:[CUARTO TRIMESTRE]])</f>
        <v>48</v>
      </c>
      <c r="J1549" s="175">
        <v>13.57</v>
      </c>
      <c r="K1549" s="175">
        <f>+I1549*J1549</f>
        <v>651.36</v>
      </c>
      <c r="L1549" s="175"/>
      <c r="M1549" s="77" t="s">
        <v>18</v>
      </c>
      <c r="N1549" s="77" t="s">
        <v>22</v>
      </c>
      <c r="O1549" s="177" t="s">
        <v>418</v>
      </c>
    </row>
    <row r="1550" spans="1:15" s="12" customFormat="1" ht="18">
      <c r="B1550" s="372" t="s">
        <v>120</v>
      </c>
      <c r="C1550" s="77" t="s">
        <v>240</v>
      </c>
      <c r="D1550" s="177" t="s">
        <v>208</v>
      </c>
      <c r="E1550" s="370">
        <v>1</v>
      </c>
      <c r="F1550" s="370">
        <v>0</v>
      </c>
      <c r="G1550" s="370">
        <v>0</v>
      </c>
      <c r="H1550" s="370">
        <v>0</v>
      </c>
      <c r="I1550" s="363">
        <f>SUM(Tabla132112412[[#This Row],[PRIMER TRIMESTRE]:[CUARTO TRIMESTRE]])</f>
        <v>1</v>
      </c>
      <c r="J1550" s="175">
        <v>5341.57</v>
      </c>
      <c r="K1550" s="175">
        <f>+Tabla132112412[[#This Row],[CANTIDAD TOTAL]]*Tabla132112412[[#This Row],[PRECIO UNITARIO ESTIMADO]]</f>
        <v>5341.57</v>
      </c>
      <c r="L1550" s="175"/>
      <c r="M1550" s="77" t="s">
        <v>18</v>
      </c>
      <c r="N1550" s="77" t="s">
        <v>22</v>
      </c>
      <c r="O1550" s="177" t="s">
        <v>418</v>
      </c>
    </row>
    <row r="1551" spans="1:15" s="12" customFormat="1" ht="18">
      <c r="B1551" s="372" t="s">
        <v>120</v>
      </c>
      <c r="C1551" s="77" t="s">
        <v>748</v>
      </c>
      <c r="D1551" s="177" t="s">
        <v>17</v>
      </c>
      <c r="E1551" s="370">
        <f>2+4</f>
        <v>6</v>
      </c>
      <c r="F1551" s="370">
        <v>2</v>
      </c>
      <c r="G1551" s="370">
        <v>2</v>
      </c>
      <c r="H1551" s="370">
        <v>2</v>
      </c>
      <c r="I1551" s="363">
        <f>SUM(Tabla132112412[[#This Row],[PRIMER TRIMESTRE]:[CUARTO TRIMESTRE]])</f>
        <v>12</v>
      </c>
      <c r="J1551" s="175">
        <v>463.74</v>
      </c>
      <c r="K1551" s="175">
        <f>+I1551*J1551</f>
        <v>5564.88</v>
      </c>
      <c r="L1551" s="175"/>
      <c r="M1551" s="77" t="s">
        <v>18</v>
      </c>
      <c r="N1551" s="77" t="s">
        <v>22</v>
      </c>
      <c r="O1551" s="177" t="s">
        <v>418</v>
      </c>
    </row>
    <row r="1552" spans="1:15" s="12" customFormat="1" ht="18">
      <c r="B1552" s="372" t="s">
        <v>120</v>
      </c>
      <c r="C1552" s="77" t="s">
        <v>263</v>
      </c>
      <c r="D1552" s="177" t="s">
        <v>17</v>
      </c>
      <c r="E1552" s="370">
        <f>1+3</f>
        <v>4</v>
      </c>
      <c r="F1552" s="370">
        <v>0</v>
      </c>
      <c r="G1552" s="370">
        <v>0</v>
      </c>
      <c r="H1552" s="370">
        <v>0</v>
      </c>
      <c r="I1552" s="363">
        <f>SUM(Tabla132112412[[#This Row],[PRIMER TRIMESTRE]:[CUARTO TRIMESTRE]])</f>
        <v>4</v>
      </c>
      <c r="J1552" s="175">
        <v>217.02</v>
      </c>
      <c r="K1552" s="175">
        <f>+Tabla132112412[[#This Row],[CANTIDAD TOTAL]]*Tabla132112412[[#This Row],[PRECIO UNITARIO ESTIMADO]]</f>
        <v>868.08</v>
      </c>
      <c r="L1552" s="175"/>
      <c r="M1552" s="77" t="s">
        <v>18</v>
      </c>
      <c r="N1552" s="77" t="s">
        <v>22</v>
      </c>
      <c r="O1552" s="177" t="s">
        <v>418</v>
      </c>
    </row>
    <row r="1553" spans="2:15" s="12" customFormat="1" ht="18">
      <c r="B1553" s="372" t="s">
        <v>120</v>
      </c>
      <c r="C1553" s="77" t="s">
        <v>749</v>
      </c>
      <c r="D1553" s="177" t="s">
        <v>17</v>
      </c>
      <c r="E1553" s="370">
        <v>4</v>
      </c>
      <c r="F1553" s="370">
        <v>0</v>
      </c>
      <c r="G1553" s="370">
        <v>0</v>
      </c>
      <c r="H1553" s="370">
        <v>0</v>
      </c>
      <c r="I1553" s="363">
        <f>SUM(Tabla132112412[[#This Row],[PRIMER TRIMESTRE]:[CUARTO TRIMESTRE]])</f>
        <v>4</v>
      </c>
      <c r="J1553" s="175">
        <v>186.44</v>
      </c>
      <c r="K1553" s="175">
        <f>+I1553*J1553</f>
        <v>745.76</v>
      </c>
      <c r="L1553" s="175"/>
      <c r="M1553" s="77" t="s">
        <v>18</v>
      </c>
      <c r="N1553" s="77" t="s">
        <v>22</v>
      </c>
      <c r="O1553" s="177" t="s">
        <v>418</v>
      </c>
    </row>
    <row r="1554" spans="2:15" s="12" customFormat="1" ht="18">
      <c r="B1554" s="372" t="s">
        <v>120</v>
      </c>
      <c r="C1554" s="77" t="s">
        <v>750</v>
      </c>
      <c r="D1554" s="177" t="s">
        <v>17</v>
      </c>
      <c r="E1554" s="370">
        <v>4</v>
      </c>
      <c r="F1554" s="370">
        <v>0</v>
      </c>
      <c r="G1554" s="370">
        <v>0</v>
      </c>
      <c r="H1554" s="370">
        <v>0</v>
      </c>
      <c r="I1554" s="363">
        <f>SUM(Tabla132112412[[#This Row],[PRIMER TRIMESTRE]:[CUARTO TRIMESTRE]])</f>
        <v>4</v>
      </c>
      <c r="J1554" s="175">
        <v>129.80000000000001</v>
      </c>
      <c r="K1554" s="175">
        <f>+I1554*J1554</f>
        <v>519.20000000000005</v>
      </c>
      <c r="L1554" s="175"/>
      <c r="M1554" s="77" t="s">
        <v>18</v>
      </c>
      <c r="N1554" s="77" t="s">
        <v>22</v>
      </c>
      <c r="O1554" s="177" t="s">
        <v>418</v>
      </c>
    </row>
    <row r="1555" spans="2:15" s="12" customFormat="1" ht="18">
      <c r="B1555" s="372" t="s">
        <v>120</v>
      </c>
      <c r="C1555" s="77" t="s">
        <v>403</v>
      </c>
      <c r="D1555" s="177" t="s">
        <v>416</v>
      </c>
      <c r="E1555" s="370">
        <f>6+4</f>
        <v>10</v>
      </c>
      <c r="F1555" s="370">
        <f>6+4</f>
        <v>10</v>
      </c>
      <c r="G1555" s="370">
        <v>6</v>
      </c>
      <c r="H1555" s="370">
        <v>6</v>
      </c>
      <c r="I1555" s="363">
        <f>SUM(Tabla132112412[[#This Row],[PRIMER TRIMESTRE]:[CUARTO TRIMESTRE]])</f>
        <v>32</v>
      </c>
      <c r="J1555" s="175">
        <v>75</v>
      </c>
      <c r="K1555" s="175">
        <f>+I1555*J1555</f>
        <v>2400</v>
      </c>
      <c r="L1555" s="175"/>
      <c r="M1555" s="77" t="s">
        <v>18</v>
      </c>
      <c r="N1555" s="77" t="s">
        <v>22</v>
      </c>
      <c r="O1555" s="177" t="s">
        <v>418</v>
      </c>
    </row>
    <row r="1556" spans="2:15" s="12" customFormat="1" ht="18">
      <c r="B1556" s="372" t="s">
        <v>120</v>
      </c>
      <c r="C1556" s="77" t="s">
        <v>744</v>
      </c>
      <c r="D1556" s="177" t="s">
        <v>17</v>
      </c>
      <c r="E1556" s="370">
        <v>0</v>
      </c>
      <c r="F1556" s="370">
        <v>0</v>
      </c>
      <c r="G1556" s="370">
        <v>0</v>
      </c>
      <c r="H1556" s="370">
        <v>0</v>
      </c>
      <c r="I1556" s="363">
        <f>SUM(Tabla132112412[[#This Row],[PRIMER TRIMESTRE]:[CUARTO TRIMESTRE]])</f>
        <v>0</v>
      </c>
      <c r="J1556" s="175">
        <v>43.66</v>
      </c>
      <c r="K1556" s="175">
        <f>+I1556*J1556</f>
        <v>0</v>
      </c>
      <c r="L1556" s="175"/>
      <c r="M1556" s="77" t="s">
        <v>18</v>
      </c>
      <c r="N1556" s="77" t="s">
        <v>22</v>
      </c>
      <c r="O1556" s="177" t="s">
        <v>418</v>
      </c>
    </row>
    <row r="1557" spans="2:15" s="12" customFormat="1" ht="18">
      <c r="B1557" s="372" t="s">
        <v>120</v>
      </c>
      <c r="C1557" s="77" t="s">
        <v>264</v>
      </c>
      <c r="D1557" s="177" t="s">
        <v>17</v>
      </c>
      <c r="E1557" s="370">
        <v>0</v>
      </c>
      <c r="F1557" s="370">
        <v>0</v>
      </c>
      <c r="G1557" s="370">
        <v>0</v>
      </c>
      <c r="H1557" s="370">
        <v>0</v>
      </c>
      <c r="I1557" s="363">
        <f>SUM(Tabla132112412[[#This Row],[PRIMER TRIMESTRE]:[CUARTO TRIMESTRE]])</f>
        <v>0</v>
      </c>
      <c r="J1557" s="175">
        <v>185</v>
      </c>
      <c r="K1557" s="175">
        <f>+Tabla132112412[[#This Row],[CANTIDAD TOTAL]]*Tabla132112412[[#This Row],[PRECIO UNITARIO ESTIMADO]]</f>
        <v>0</v>
      </c>
      <c r="L1557" s="175"/>
      <c r="M1557" s="77" t="s">
        <v>18</v>
      </c>
      <c r="N1557" s="77" t="s">
        <v>22</v>
      </c>
      <c r="O1557" s="177" t="s">
        <v>418</v>
      </c>
    </row>
    <row r="1558" spans="2:15" s="12" customFormat="1" ht="18">
      <c r="B1558" s="372" t="s">
        <v>120</v>
      </c>
      <c r="C1558" s="77" t="s">
        <v>745</v>
      </c>
      <c r="D1558" s="177" t="s">
        <v>208</v>
      </c>
      <c r="E1558" s="370">
        <f>1+1</f>
        <v>2</v>
      </c>
      <c r="F1558" s="370">
        <v>0</v>
      </c>
      <c r="G1558" s="370">
        <v>0</v>
      </c>
      <c r="H1558" s="370">
        <v>0</v>
      </c>
      <c r="I1558" s="363">
        <f>SUM(Tabla132112412[[#This Row],[PRIMER TRIMESTRE]:[CUARTO TRIMESTRE]])</f>
        <v>2</v>
      </c>
      <c r="J1558" s="175">
        <v>43.66</v>
      </c>
      <c r="K1558" s="175">
        <f t="shared" ref="K1558:K1573" si="33">+I1558*J1558</f>
        <v>87.32</v>
      </c>
      <c r="L1558" s="175"/>
      <c r="M1558" s="77" t="s">
        <v>18</v>
      </c>
      <c r="N1558" s="77" t="s">
        <v>22</v>
      </c>
      <c r="O1558" s="177" t="s">
        <v>418</v>
      </c>
    </row>
    <row r="1559" spans="2:15" s="12" customFormat="1" ht="18">
      <c r="B1559" s="372" t="s">
        <v>120</v>
      </c>
      <c r="C1559" s="77" t="s">
        <v>760</v>
      </c>
      <c r="D1559" s="177" t="s">
        <v>208</v>
      </c>
      <c r="E1559" s="370">
        <v>15</v>
      </c>
      <c r="F1559" s="370">
        <v>15</v>
      </c>
      <c r="G1559" s="370">
        <v>15</v>
      </c>
      <c r="H1559" s="370">
        <v>15</v>
      </c>
      <c r="I1559" s="363">
        <f>SUM(Tabla132112412[[#This Row],[PRIMER TRIMESTRE]:[CUARTO TRIMESTRE]])</f>
        <v>60</v>
      </c>
      <c r="J1559" s="175">
        <v>43.66</v>
      </c>
      <c r="K1559" s="175">
        <f t="shared" si="33"/>
        <v>2619.6</v>
      </c>
      <c r="L1559" s="175"/>
      <c r="M1559" s="77" t="s">
        <v>18</v>
      </c>
      <c r="N1559" s="77" t="s">
        <v>22</v>
      </c>
      <c r="O1559" s="177" t="s">
        <v>418</v>
      </c>
    </row>
    <row r="1560" spans="2:15" s="12" customFormat="1" ht="18">
      <c r="B1560" s="372" t="s">
        <v>120</v>
      </c>
      <c r="C1560" s="77" t="s">
        <v>761</v>
      </c>
      <c r="D1560" s="177" t="s">
        <v>208</v>
      </c>
      <c r="E1560" s="370">
        <f>40+7</f>
        <v>47</v>
      </c>
      <c r="F1560" s="370">
        <v>40</v>
      </c>
      <c r="G1560" s="370">
        <v>40</v>
      </c>
      <c r="H1560" s="370">
        <v>40</v>
      </c>
      <c r="I1560" s="363">
        <f>SUM(Tabla132112412[[#This Row],[PRIMER TRIMESTRE]:[CUARTO TRIMESTRE]])</f>
        <v>167</v>
      </c>
      <c r="J1560" s="175">
        <v>12.98</v>
      </c>
      <c r="K1560" s="175">
        <f t="shared" si="33"/>
        <v>2167.66</v>
      </c>
      <c r="L1560" s="175"/>
      <c r="M1560" s="77" t="s">
        <v>18</v>
      </c>
      <c r="N1560" s="77" t="s">
        <v>22</v>
      </c>
      <c r="O1560" s="177" t="s">
        <v>418</v>
      </c>
    </row>
    <row r="1561" spans="2:15" s="12" customFormat="1" ht="18">
      <c r="B1561" s="372" t="s">
        <v>120</v>
      </c>
      <c r="C1561" s="77" t="s">
        <v>399</v>
      </c>
      <c r="D1561" s="177" t="s">
        <v>208</v>
      </c>
      <c r="E1561" s="370">
        <f>75+1</f>
        <v>76</v>
      </c>
      <c r="F1561" s="370">
        <v>65</v>
      </c>
      <c r="G1561" s="370">
        <v>75</v>
      </c>
      <c r="H1561" s="370">
        <v>65</v>
      </c>
      <c r="I1561" s="363">
        <f>SUM(Tabla132112412[[#This Row],[PRIMER TRIMESTRE]:[CUARTO TRIMESTRE]])</f>
        <v>281</v>
      </c>
      <c r="J1561" s="175">
        <v>86.81</v>
      </c>
      <c r="K1561" s="175">
        <f t="shared" si="33"/>
        <v>24393.61</v>
      </c>
      <c r="L1561" s="175"/>
      <c r="M1561" s="77" t="s">
        <v>18</v>
      </c>
      <c r="N1561" s="77" t="s">
        <v>22</v>
      </c>
      <c r="O1561" s="177" t="s">
        <v>418</v>
      </c>
    </row>
    <row r="1562" spans="2:15" s="12" customFormat="1" ht="18">
      <c r="B1562" s="372" t="s">
        <v>120</v>
      </c>
      <c r="C1562" s="77" t="s">
        <v>400</v>
      </c>
      <c r="D1562" s="177" t="s">
        <v>208</v>
      </c>
      <c r="E1562" s="370">
        <f>61+2</f>
        <v>63</v>
      </c>
      <c r="F1562" s="370">
        <v>61</v>
      </c>
      <c r="G1562" s="370">
        <v>61</v>
      </c>
      <c r="H1562" s="370">
        <v>61</v>
      </c>
      <c r="I1562" s="363">
        <f>SUM(Tabla132112412[[#This Row],[PRIMER TRIMESTRE]:[CUARTO TRIMESTRE]])</f>
        <v>246</v>
      </c>
      <c r="J1562" s="175">
        <v>25.4</v>
      </c>
      <c r="K1562" s="175">
        <f t="shared" si="33"/>
        <v>6248.4</v>
      </c>
      <c r="L1562" s="175"/>
      <c r="M1562" s="77" t="s">
        <v>18</v>
      </c>
      <c r="N1562" s="77" t="s">
        <v>22</v>
      </c>
      <c r="O1562" s="177" t="s">
        <v>418</v>
      </c>
    </row>
    <row r="1563" spans="2:15" s="12" customFormat="1" ht="25.5">
      <c r="B1563" s="372" t="s">
        <v>120</v>
      </c>
      <c r="C1563" s="77" t="s">
        <v>395</v>
      </c>
      <c r="D1563" s="177" t="s">
        <v>208</v>
      </c>
      <c r="E1563" s="370">
        <f>8+1</f>
        <v>9</v>
      </c>
      <c r="F1563" s="370">
        <v>3</v>
      </c>
      <c r="G1563" s="370">
        <v>8</v>
      </c>
      <c r="H1563" s="370">
        <v>3</v>
      </c>
      <c r="I1563" s="363">
        <f>SUM(Tabla132112412[[#This Row],[PRIMER TRIMESTRE]:[CUARTO TRIMESTRE]])</f>
        <v>23</v>
      </c>
      <c r="J1563" s="175">
        <v>235.20000000000002</v>
      </c>
      <c r="K1563" s="175">
        <f t="shared" si="33"/>
        <v>5409.6</v>
      </c>
      <c r="L1563" s="175"/>
      <c r="M1563" s="77" t="s">
        <v>18</v>
      </c>
      <c r="N1563" s="77" t="s">
        <v>22</v>
      </c>
      <c r="O1563" s="177" t="s">
        <v>418</v>
      </c>
    </row>
    <row r="1564" spans="2:15" s="12" customFormat="1" ht="18">
      <c r="B1564" s="372" t="s">
        <v>120</v>
      </c>
      <c r="C1564" s="77" t="s">
        <v>746</v>
      </c>
      <c r="D1564" s="177" t="s">
        <v>17</v>
      </c>
      <c r="E1564" s="370">
        <v>0</v>
      </c>
      <c r="F1564" s="370">
        <v>0</v>
      </c>
      <c r="G1564" s="370">
        <v>0</v>
      </c>
      <c r="H1564" s="370">
        <v>0</v>
      </c>
      <c r="I1564" s="363">
        <f>SUM(Tabla132112412[[#This Row],[PRIMER TRIMESTRE]:[CUARTO TRIMESTRE]])</f>
        <v>0</v>
      </c>
      <c r="J1564" s="175">
        <v>23.32</v>
      </c>
      <c r="K1564" s="175">
        <f t="shared" si="33"/>
        <v>0</v>
      </c>
      <c r="L1564" s="175"/>
      <c r="M1564" s="77" t="s">
        <v>18</v>
      </c>
      <c r="N1564" s="77" t="s">
        <v>22</v>
      </c>
      <c r="O1564" s="177" t="s">
        <v>418</v>
      </c>
    </row>
    <row r="1565" spans="2:15" s="12" customFormat="1" ht="18">
      <c r="B1565" s="372" t="s">
        <v>120</v>
      </c>
      <c r="C1565" s="77" t="s">
        <v>747</v>
      </c>
      <c r="D1565" s="177" t="s">
        <v>17</v>
      </c>
      <c r="E1565" s="370">
        <v>0</v>
      </c>
      <c r="F1565" s="370">
        <v>0</v>
      </c>
      <c r="G1565" s="370">
        <v>0</v>
      </c>
      <c r="H1565" s="370">
        <v>0</v>
      </c>
      <c r="I1565" s="363">
        <f>SUM(Tabla132112412[[#This Row],[PRIMER TRIMESTRE]:[CUARTO TRIMESTRE]])</f>
        <v>0</v>
      </c>
      <c r="J1565" s="175">
        <v>23.32</v>
      </c>
      <c r="K1565" s="175">
        <f t="shared" si="33"/>
        <v>0</v>
      </c>
      <c r="L1565" s="175"/>
      <c r="M1565" s="77" t="s">
        <v>18</v>
      </c>
      <c r="N1565" s="77" t="s">
        <v>22</v>
      </c>
      <c r="O1565" s="177" t="s">
        <v>418</v>
      </c>
    </row>
    <row r="1566" spans="2:15" s="12" customFormat="1" ht="18">
      <c r="B1566" s="372" t="s">
        <v>120</v>
      </c>
      <c r="C1566" s="454" t="s">
        <v>2430</v>
      </c>
      <c r="D1566" s="455" t="s">
        <v>17</v>
      </c>
      <c r="E1566" s="362">
        <v>10</v>
      </c>
      <c r="F1566" s="362"/>
      <c r="G1566" s="362"/>
      <c r="H1566" s="362"/>
      <c r="I1566" s="363">
        <f>SUM(Tabla132112412[[#This Row],[PRIMER TRIMESTRE]:[CUARTO TRIMESTRE]])</f>
        <v>10</v>
      </c>
      <c r="J1566" s="175"/>
      <c r="K1566" s="175"/>
      <c r="L1566" s="175"/>
      <c r="M1566" s="77"/>
      <c r="N1566" s="77"/>
      <c r="O1566" s="177"/>
    </row>
    <row r="1567" spans="2:15" s="12" customFormat="1" ht="18">
      <c r="B1567" s="372" t="s">
        <v>120</v>
      </c>
      <c r="C1567" s="77" t="s">
        <v>396</v>
      </c>
      <c r="D1567" s="177" t="s">
        <v>208</v>
      </c>
      <c r="E1567" s="370">
        <f>10+1</f>
        <v>11</v>
      </c>
      <c r="F1567" s="370">
        <v>10</v>
      </c>
      <c r="G1567" s="370">
        <f>10+1</f>
        <v>11</v>
      </c>
      <c r="H1567" s="370">
        <v>10</v>
      </c>
      <c r="I1567" s="363">
        <f>SUM(Tabla132112412[[#This Row],[PRIMER TRIMESTRE]:[CUARTO TRIMESTRE]])</f>
        <v>42</v>
      </c>
      <c r="J1567" s="175">
        <v>194.7</v>
      </c>
      <c r="K1567" s="175">
        <f t="shared" si="33"/>
        <v>8177.4</v>
      </c>
      <c r="L1567" s="175"/>
      <c r="M1567" s="77" t="s">
        <v>18</v>
      </c>
      <c r="N1567" s="77" t="s">
        <v>22</v>
      </c>
      <c r="O1567" s="177" t="s">
        <v>418</v>
      </c>
    </row>
    <row r="1568" spans="2:15" s="12" customFormat="1" ht="18">
      <c r="B1568" s="372" t="s">
        <v>120</v>
      </c>
      <c r="C1568" s="77" t="s">
        <v>397</v>
      </c>
      <c r="D1568" s="177" t="s">
        <v>208</v>
      </c>
      <c r="E1568" s="370">
        <f>13+1</f>
        <v>14</v>
      </c>
      <c r="F1568" s="370">
        <v>3</v>
      </c>
      <c r="G1568" s="370">
        <v>3</v>
      </c>
      <c r="H1568" s="370">
        <v>3</v>
      </c>
      <c r="I1568" s="363">
        <f>SUM(Tabla132112412[[#This Row],[PRIMER TRIMESTRE]:[CUARTO TRIMESTRE]])</f>
        <v>23</v>
      </c>
      <c r="J1568" s="175">
        <v>309.14</v>
      </c>
      <c r="K1568" s="175">
        <f t="shared" si="33"/>
        <v>7110.2199999999993</v>
      </c>
      <c r="L1568" s="175"/>
      <c r="M1568" s="77" t="s">
        <v>18</v>
      </c>
      <c r="N1568" s="77" t="s">
        <v>22</v>
      </c>
      <c r="O1568" s="177" t="s">
        <v>418</v>
      </c>
    </row>
    <row r="1569" spans="2:15" s="12" customFormat="1" ht="18">
      <c r="B1569" s="372" t="s">
        <v>120</v>
      </c>
      <c r="C1569" s="77" t="s">
        <v>404</v>
      </c>
      <c r="D1569" s="177" t="s">
        <v>255</v>
      </c>
      <c r="E1569" s="370">
        <f>17+6</f>
        <v>23</v>
      </c>
      <c r="F1569" s="370">
        <f>17+6</f>
        <v>23</v>
      </c>
      <c r="G1569" s="370">
        <f>17+6</f>
        <v>23</v>
      </c>
      <c r="H1569" s="370">
        <v>17</v>
      </c>
      <c r="I1569" s="363">
        <f>SUM(Tabla132112412[[#This Row],[PRIMER TRIMESTRE]:[CUARTO TRIMESTRE]])</f>
        <v>86</v>
      </c>
      <c r="J1569" s="175">
        <v>29.5</v>
      </c>
      <c r="K1569" s="175">
        <f t="shared" si="33"/>
        <v>2537</v>
      </c>
      <c r="L1569" s="175"/>
      <c r="M1569" s="77" t="s">
        <v>18</v>
      </c>
      <c r="N1569" s="77" t="s">
        <v>22</v>
      </c>
      <c r="O1569" s="177" t="s">
        <v>418</v>
      </c>
    </row>
    <row r="1570" spans="2:15" s="12" customFormat="1" ht="18">
      <c r="B1570" s="372" t="s">
        <v>120</v>
      </c>
      <c r="C1570" s="77" t="s">
        <v>254</v>
      </c>
      <c r="D1570" s="177" t="s">
        <v>417</v>
      </c>
      <c r="E1570" s="370">
        <f>1+60</f>
        <v>61</v>
      </c>
      <c r="F1570" s="370">
        <v>10</v>
      </c>
      <c r="G1570" s="370">
        <v>10</v>
      </c>
      <c r="H1570" s="370">
        <v>10</v>
      </c>
      <c r="I1570" s="363">
        <f>SUM(Tabla132112412[[#This Row],[PRIMER TRIMESTRE]:[CUARTO TRIMESTRE]])</f>
        <v>91</v>
      </c>
      <c r="J1570" s="175">
        <v>12</v>
      </c>
      <c r="K1570" s="175">
        <f t="shared" si="33"/>
        <v>1092</v>
      </c>
      <c r="L1570" s="175"/>
      <c r="M1570" s="77" t="s">
        <v>18</v>
      </c>
      <c r="N1570" s="77" t="s">
        <v>22</v>
      </c>
      <c r="O1570" s="177" t="s">
        <v>418</v>
      </c>
    </row>
    <row r="1571" spans="2:15" s="12" customFormat="1" ht="18">
      <c r="B1571" s="372" t="s">
        <v>120</v>
      </c>
      <c r="C1571" s="77" t="s">
        <v>394</v>
      </c>
      <c r="D1571" s="177" t="s">
        <v>208</v>
      </c>
      <c r="E1571" s="370">
        <f>8+5</f>
        <v>13</v>
      </c>
      <c r="F1571" s="370">
        <f>3+5</f>
        <v>8</v>
      </c>
      <c r="G1571" s="370">
        <f>3+4</f>
        <v>7</v>
      </c>
      <c r="H1571" s="370">
        <v>8</v>
      </c>
      <c r="I1571" s="363">
        <f>SUM(Tabla132112412[[#This Row],[PRIMER TRIMESTRE]:[CUARTO TRIMESTRE]])</f>
        <v>36</v>
      </c>
      <c r="J1571" s="175">
        <v>69.599999999999994</v>
      </c>
      <c r="K1571" s="175">
        <f t="shared" si="33"/>
        <v>2505.6</v>
      </c>
      <c r="L1571" s="175"/>
      <c r="M1571" s="77" t="s">
        <v>18</v>
      </c>
      <c r="N1571" s="77" t="s">
        <v>22</v>
      </c>
      <c r="O1571" s="177" t="s">
        <v>418</v>
      </c>
    </row>
    <row r="1572" spans="2:15" s="12" customFormat="1" ht="18">
      <c r="B1572" s="372" t="s">
        <v>120</v>
      </c>
      <c r="C1572" s="77" t="s">
        <v>408</v>
      </c>
      <c r="D1572" s="177" t="s">
        <v>417</v>
      </c>
      <c r="E1572" s="370">
        <f>22+6</f>
        <v>28</v>
      </c>
      <c r="F1572" s="370">
        <f>22+6</f>
        <v>28</v>
      </c>
      <c r="G1572" s="370">
        <v>22</v>
      </c>
      <c r="H1572" s="370">
        <v>22</v>
      </c>
      <c r="I1572" s="363">
        <f>SUM(Tabla132112412[[#This Row],[PRIMER TRIMESTRE]:[CUARTO TRIMESTRE]])</f>
        <v>100</v>
      </c>
      <c r="J1572" s="175">
        <v>43.7</v>
      </c>
      <c r="K1572" s="175">
        <f t="shared" si="33"/>
        <v>4370</v>
      </c>
      <c r="L1572" s="175"/>
      <c r="M1572" s="77" t="s">
        <v>18</v>
      </c>
      <c r="N1572" s="77" t="s">
        <v>22</v>
      </c>
      <c r="O1572" s="177" t="s">
        <v>418</v>
      </c>
    </row>
    <row r="1573" spans="2:15" s="12" customFormat="1" ht="18">
      <c r="B1573" s="372" t="s">
        <v>120</v>
      </c>
      <c r="C1573" s="77" t="s">
        <v>409</v>
      </c>
      <c r="D1573" s="177" t="s">
        <v>417</v>
      </c>
      <c r="E1573" s="370">
        <f>10+5</f>
        <v>15</v>
      </c>
      <c r="F1573" s="370">
        <f>10+5</f>
        <v>15</v>
      </c>
      <c r="G1573" s="370">
        <f>10+5</f>
        <v>15</v>
      </c>
      <c r="H1573" s="370">
        <f>10+3</f>
        <v>13</v>
      </c>
      <c r="I1573" s="363">
        <f>SUM(Tabla132112412[[#This Row],[PRIMER TRIMESTRE]:[CUARTO TRIMESTRE]])</f>
        <v>58</v>
      </c>
      <c r="J1573" s="175">
        <v>15.21</v>
      </c>
      <c r="K1573" s="175">
        <f t="shared" si="33"/>
        <v>882.18000000000006</v>
      </c>
      <c r="L1573" s="175"/>
      <c r="M1573" s="77" t="s">
        <v>18</v>
      </c>
      <c r="N1573" s="77" t="s">
        <v>22</v>
      </c>
      <c r="O1573" s="177" t="s">
        <v>418</v>
      </c>
    </row>
    <row r="1574" spans="2:15" s="12" customFormat="1" ht="18">
      <c r="B1574" s="372" t="s">
        <v>120</v>
      </c>
      <c r="C1574" s="77" t="s">
        <v>265</v>
      </c>
      <c r="D1574" s="177" t="s">
        <v>17</v>
      </c>
      <c r="E1574" s="370">
        <f>11+4</f>
        <v>15</v>
      </c>
      <c r="F1574" s="370">
        <f>6+3</f>
        <v>9</v>
      </c>
      <c r="G1574" s="370">
        <v>6</v>
      </c>
      <c r="H1574" s="370">
        <v>11</v>
      </c>
      <c r="I1574" s="363">
        <f>SUM(Tabla132112412[[#This Row],[PRIMER TRIMESTRE]:[CUARTO TRIMESTRE]])</f>
        <v>41</v>
      </c>
      <c r="J1574" s="175">
        <v>185.6</v>
      </c>
      <c r="K1574" s="175">
        <f>+Tabla132112412[[#This Row],[CANTIDAD TOTAL]]*Tabla132112412[[#This Row],[PRECIO UNITARIO ESTIMADO]]</f>
        <v>7609.5999999999995</v>
      </c>
      <c r="L1574" s="175"/>
      <c r="M1574" s="77" t="s">
        <v>18</v>
      </c>
      <c r="N1574" s="77" t="s">
        <v>22</v>
      </c>
      <c r="O1574" s="177" t="s">
        <v>418</v>
      </c>
    </row>
    <row r="1575" spans="2:15" s="12" customFormat="1" ht="18">
      <c r="B1575" s="372" t="s">
        <v>120</v>
      </c>
      <c r="C1575" s="77" t="s">
        <v>261</v>
      </c>
      <c r="D1575" s="177" t="s">
        <v>17</v>
      </c>
      <c r="E1575" s="370">
        <v>15</v>
      </c>
      <c r="F1575" s="370">
        <v>5</v>
      </c>
      <c r="G1575" s="370">
        <v>15</v>
      </c>
      <c r="H1575" s="370">
        <v>5</v>
      </c>
      <c r="I1575" s="363">
        <f>SUM(Tabla132112412[[#This Row],[PRIMER TRIMESTRE]:[CUARTO TRIMESTRE]])</f>
        <v>40</v>
      </c>
      <c r="J1575" s="175">
        <v>148</v>
      </c>
      <c r="K1575" s="175">
        <f>+Tabla132112412[[#This Row],[CANTIDAD TOTAL]]*Tabla132112412[[#This Row],[PRECIO UNITARIO ESTIMADO]]</f>
        <v>5920</v>
      </c>
      <c r="L1575" s="175"/>
      <c r="M1575" s="77" t="s">
        <v>18</v>
      </c>
      <c r="N1575" s="77" t="s">
        <v>22</v>
      </c>
      <c r="O1575" s="177" t="s">
        <v>418</v>
      </c>
    </row>
    <row r="1576" spans="2:15" s="12" customFormat="1" ht="18">
      <c r="B1576" s="372" t="s">
        <v>120</v>
      </c>
      <c r="C1576" s="77" t="s">
        <v>751</v>
      </c>
      <c r="D1576" s="177" t="s">
        <v>17</v>
      </c>
      <c r="E1576" s="370">
        <f>12+2</f>
        <v>14</v>
      </c>
      <c r="F1576" s="370">
        <v>12</v>
      </c>
      <c r="G1576" s="370">
        <v>12</v>
      </c>
      <c r="H1576" s="370">
        <v>12</v>
      </c>
      <c r="I1576" s="363">
        <f>SUM(Tabla132112412[[#This Row],[PRIMER TRIMESTRE]:[CUARTO TRIMESTRE]])</f>
        <v>50</v>
      </c>
      <c r="J1576" s="175">
        <v>15.54</v>
      </c>
      <c r="K1576" s="175">
        <f>+I1576*J1576</f>
        <v>777</v>
      </c>
      <c r="L1576" s="175"/>
      <c r="M1576" s="77" t="s">
        <v>18</v>
      </c>
      <c r="N1576" s="77" t="s">
        <v>22</v>
      </c>
      <c r="O1576" s="177" t="s">
        <v>418</v>
      </c>
    </row>
    <row r="1577" spans="2:15" s="12" customFormat="1" ht="18">
      <c r="B1577" s="372" t="s">
        <v>120</v>
      </c>
      <c r="C1577" s="77" t="s">
        <v>754</v>
      </c>
      <c r="D1577" s="177" t="s">
        <v>17</v>
      </c>
      <c r="E1577" s="370">
        <f>12+5</f>
        <v>17</v>
      </c>
      <c r="F1577" s="370">
        <v>12</v>
      </c>
      <c r="G1577" s="370">
        <v>12</v>
      </c>
      <c r="H1577" s="370">
        <v>12</v>
      </c>
      <c r="I1577" s="363">
        <f>SUM(Tabla132112412[[#This Row],[PRIMER TRIMESTRE]:[CUARTO TRIMESTRE]])</f>
        <v>53</v>
      </c>
      <c r="J1577" s="175">
        <v>15.54</v>
      </c>
      <c r="K1577" s="175">
        <f>+I1577*J1577</f>
        <v>823.62</v>
      </c>
      <c r="L1577" s="175"/>
      <c r="M1577" s="77" t="s">
        <v>18</v>
      </c>
      <c r="N1577" s="77" t="s">
        <v>22</v>
      </c>
      <c r="O1577" s="177" t="s">
        <v>418</v>
      </c>
    </row>
    <row r="1578" spans="2:15" s="12" customFormat="1" ht="18">
      <c r="B1578" s="372" t="s">
        <v>120</v>
      </c>
      <c r="C1578" s="77" t="s">
        <v>755</v>
      </c>
      <c r="D1578" s="177" t="s">
        <v>17</v>
      </c>
      <c r="E1578" s="370">
        <f>12+5</f>
        <v>17</v>
      </c>
      <c r="F1578" s="370">
        <v>12</v>
      </c>
      <c r="G1578" s="370">
        <v>12</v>
      </c>
      <c r="H1578" s="370">
        <v>12</v>
      </c>
      <c r="I1578" s="363">
        <f>SUM(Tabla132112412[[#This Row],[PRIMER TRIMESTRE]:[CUARTO TRIMESTRE]])</f>
        <v>53</v>
      </c>
      <c r="J1578" s="175">
        <v>15.54</v>
      </c>
      <c r="K1578" s="175">
        <f>+I1578*J1578</f>
        <v>823.62</v>
      </c>
      <c r="L1578" s="175"/>
      <c r="M1578" s="77" t="s">
        <v>18</v>
      </c>
      <c r="N1578" s="77" t="s">
        <v>22</v>
      </c>
      <c r="O1578" s="177" t="s">
        <v>418</v>
      </c>
    </row>
    <row r="1579" spans="2:15" s="12" customFormat="1" ht="18">
      <c r="B1579" s="372" t="s">
        <v>120</v>
      </c>
      <c r="C1579" s="77" t="s">
        <v>390</v>
      </c>
      <c r="D1579" s="177" t="s">
        <v>266</v>
      </c>
      <c r="E1579" s="370">
        <f>30+5</f>
        <v>35</v>
      </c>
      <c r="F1579" s="370">
        <f>30+5</f>
        <v>35</v>
      </c>
      <c r="G1579" s="370">
        <f>30+5</f>
        <v>35</v>
      </c>
      <c r="H1579" s="370">
        <f>30+5</f>
        <v>35</v>
      </c>
      <c r="I1579" s="363">
        <f>SUM(Tabla132112412[[#This Row],[PRIMER TRIMESTRE]:[CUARTO TRIMESTRE]])</f>
        <v>140</v>
      </c>
      <c r="J1579" s="175">
        <v>145.13999999999999</v>
      </c>
      <c r="K1579" s="175">
        <f>+I1579*J1579</f>
        <v>20319.599999999999</v>
      </c>
      <c r="L1579" s="451"/>
      <c r="M1579" s="77" t="s">
        <v>18</v>
      </c>
      <c r="N1579" s="77" t="s">
        <v>22</v>
      </c>
      <c r="O1579" s="177" t="s">
        <v>418</v>
      </c>
    </row>
    <row r="1580" spans="2:15" s="12" customFormat="1" ht="18">
      <c r="B1580" s="372" t="s">
        <v>120</v>
      </c>
      <c r="C1580" s="77" t="s">
        <v>391</v>
      </c>
      <c r="D1580" s="177" t="s">
        <v>415</v>
      </c>
      <c r="E1580" s="370">
        <f>12+5</f>
        <v>17</v>
      </c>
      <c r="F1580" s="370">
        <f>12+5</f>
        <v>17</v>
      </c>
      <c r="G1580" s="370">
        <f>12+5</f>
        <v>17</v>
      </c>
      <c r="H1580" s="370">
        <v>12</v>
      </c>
      <c r="I1580" s="363">
        <f>SUM(Tabla132112412[[#This Row],[PRIMER TRIMESTRE]:[CUARTO TRIMESTRE]])</f>
        <v>63</v>
      </c>
      <c r="J1580" s="175">
        <v>214.76</v>
      </c>
      <c r="K1580" s="175">
        <f>+I1580*J1580</f>
        <v>13529.88</v>
      </c>
      <c r="L1580" s="175"/>
      <c r="M1580" s="77" t="s">
        <v>18</v>
      </c>
      <c r="N1580" s="77" t="s">
        <v>22</v>
      </c>
      <c r="O1580" s="177" t="s">
        <v>418</v>
      </c>
    </row>
    <row r="1581" spans="2:15" s="12" customFormat="1" ht="18">
      <c r="B1581" s="372" t="s">
        <v>120</v>
      </c>
      <c r="C1581" s="77" t="s">
        <v>267</v>
      </c>
      <c r="D1581" s="177" t="s">
        <v>102</v>
      </c>
      <c r="E1581" s="370">
        <v>2</v>
      </c>
      <c r="F1581" s="370">
        <v>1</v>
      </c>
      <c r="G1581" s="370">
        <v>2</v>
      </c>
      <c r="H1581" s="370">
        <v>1</v>
      </c>
      <c r="I1581" s="363">
        <f>SUM(Tabla132112412[[#This Row],[PRIMER TRIMESTRE]:[CUARTO TRIMESTRE]])</f>
        <v>6</v>
      </c>
      <c r="J1581" s="175">
        <v>1063.19</v>
      </c>
      <c r="K1581" s="175">
        <f>+Tabla132112412[[#This Row],[CANTIDAD TOTAL]]*Tabla132112412[[#This Row],[PRECIO UNITARIO ESTIMADO]]</f>
        <v>6379.14</v>
      </c>
      <c r="L1581" s="175"/>
      <c r="M1581" s="77" t="s">
        <v>18</v>
      </c>
      <c r="N1581" s="77" t="s">
        <v>22</v>
      </c>
      <c r="O1581" s="177" t="s">
        <v>418</v>
      </c>
    </row>
    <row r="1582" spans="2:15" s="12" customFormat="1" ht="18">
      <c r="B1582" s="372" t="s">
        <v>120</v>
      </c>
      <c r="C1582" s="77" t="s">
        <v>759</v>
      </c>
      <c r="D1582" s="177" t="s">
        <v>208</v>
      </c>
      <c r="E1582" s="370">
        <v>3</v>
      </c>
      <c r="F1582" s="370">
        <v>3</v>
      </c>
      <c r="G1582" s="370">
        <v>3</v>
      </c>
      <c r="H1582" s="370">
        <v>3</v>
      </c>
      <c r="I1582" s="363">
        <f>SUM(Tabla132112412[[#This Row],[PRIMER TRIMESTRE]:[CUARTO TRIMESTRE]])</f>
        <v>12</v>
      </c>
      <c r="J1582" s="175">
        <v>161.66</v>
      </c>
      <c r="K1582" s="175">
        <f>+I1582*J1582</f>
        <v>1939.92</v>
      </c>
      <c r="L1582" s="175"/>
      <c r="M1582" s="77" t="s">
        <v>18</v>
      </c>
      <c r="N1582" s="77" t="s">
        <v>22</v>
      </c>
      <c r="O1582" s="177" t="s">
        <v>418</v>
      </c>
    </row>
    <row r="1583" spans="2:15" s="12" customFormat="1" ht="18">
      <c r="B1583" s="372" t="s">
        <v>120</v>
      </c>
      <c r="C1583" s="77" t="s">
        <v>268</v>
      </c>
      <c r="D1583" s="177" t="s">
        <v>208</v>
      </c>
      <c r="E1583" s="370">
        <v>0</v>
      </c>
      <c r="F1583" s="370">
        <v>0</v>
      </c>
      <c r="G1583" s="370">
        <v>0</v>
      </c>
      <c r="H1583" s="370">
        <v>0</v>
      </c>
      <c r="I1583" s="363">
        <f>SUM(Tabla132112412[[#This Row],[PRIMER TRIMESTRE]:[CUARTO TRIMESTRE]])</f>
        <v>0</v>
      </c>
      <c r="J1583" s="175">
        <v>1450</v>
      </c>
      <c r="K1583" s="175">
        <f>+Tabla132112412[[#This Row],[CANTIDAD TOTAL]]*Tabla132112412[[#This Row],[PRECIO UNITARIO ESTIMADO]]</f>
        <v>0</v>
      </c>
      <c r="L1583" s="175"/>
      <c r="M1583" s="77" t="s">
        <v>18</v>
      </c>
      <c r="N1583" s="77" t="s">
        <v>22</v>
      </c>
      <c r="O1583" s="177" t="s">
        <v>418</v>
      </c>
    </row>
    <row r="1584" spans="2:15" s="12" customFormat="1" ht="18">
      <c r="B1584" s="372" t="s">
        <v>120</v>
      </c>
      <c r="C1584" s="77" t="s">
        <v>269</v>
      </c>
      <c r="D1584" s="177" t="s">
        <v>266</v>
      </c>
      <c r="E1584" s="370">
        <f>4+1</f>
        <v>5</v>
      </c>
      <c r="F1584" s="370">
        <v>0</v>
      </c>
      <c r="G1584" s="370">
        <v>4</v>
      </c>
      <c r="H1584" s="370">
        <v>0</v>
      </c>
      <c r="I1584" s="363">
        <f>SUM(Tabla132112412[[#This Row],[PRIMER TRIMESTRE]:[CUARTO TRIMESTRE]])</f>
        <v>9</v>
      </c>
      <c r="J1584" s="175">
        <v>2552</v>
      </c>
      <c r="K1584" s="175">
        <f>+Tabla132112412[[#This Row],[CANTIDAD TOTAL]]*Tabla132112412[[#This Row],[PRECIO UNITARIO ESTIMADO]]</f>
        <v>22968</v>
      </c>
      <c r="L1584" s="175"/>
      <c r="M1584" s="77" t="s">
        <v>18</v>
      </c>
      <c r="N1584" s="77" t="s">
        <v>22</v>
      </c>
      <c r="O1584" s="177" t="s">
        <v>418</v>
      </c>
    </row>
    <row r="1585" spans="2:15" s="12" customFormat="1" ht="18">
      <c r="B1585" s="372" t="s">
        <v>120</v>
      </c>
      <c r="C1585" s="77" t="s">
        <v>756</v>
      </c>
      <c r="D1585" s="177" t="s">
        <v>234</v>
      </c>
      <c r="E1585" s="370">
        <f>18+4</f>
        <v>22</v>
      </c>
      <c r="F1585" s="370">
        <v>18</v>
      </c>
      <c r="G1585" s="370">
        <v>18</v>
      </c>
      <c r="H1585" s="370">
        <v>18</v>
      </c>
      <c r="I1585" s="363">
        <f>SUM(Tabla132112412[[#This Row],[PRIMER TRIMESTRE]:[CUARTO TRIMESTRE]])</f>
        <v>76</v>
      </c>
      <c r="J1585" s="175">
        <v>24.78</v>
      </c>
      <c r="K1585" s="175">
        <f t="shared" ref="K1585:K1591" si="34">+I1585*J1585</f>
        <v>1883.2800000000002</v>
      </c>
      <c r="L1585" s="175"/>
      <c r="M1585" s="77" t="s">
        <v>18</v>
      </c>
      <c r="N1585" s="77" t="s">
        <v>22</v>
      </c>
      <c r="O1585" s="177" t="s">
        <v>418</v>
      </c>
    </row>
    <row r="1586" spans="2:15" s="12" customFormat="1" ht="18">
      <c r="B1586" s="372" t="s">
        <v>120</v>
      </c>
      <c r="C1586" s="77" t="s">
        <v>763</v>
      </c>
      <c r="D1586" s="177" t="s">
        <v>17</v>
      </c>
      <c r="E1586" s="370">
        <v>8</v>
      </c>
      <c r="F1586" s="370">
        <v>0</v>
      </c>
      <c r="G1586" s="370">
        <v>8</v>
      </c>
      <c r="H1586" s="370">
        <v>0</v>
      </c>
      <c r="I1586" s="363">
        <f>SUM(Tabla132112412[[#This Row],[PRIMER TRIMESTRE]:[CUARTO TRIMESTRE]])</f>
        <v>16</v>
      </c>
      <c r="J1586" s="175">
        <v>186.44</v>
      </c>
      <c r="K1586" s="175">
        <f t="shared" si="34"/>
        <v>2983.04</v>
      </c>
      <c r="L1586" s="175"/>
      <c r="M1586" s="77" t="s">
        <v>18</v>
      </c>
      <c r="N1586" s="77" t="s">
        <v>22</v>
      </c>
      <c r="O1586" s="177" t="s">
        <v>418</v>
      </c>
    </row>
    <row r="1587" spans="2:15" s="12" customFormat="1" ht="18">
      <c r="B1587" s="372" t="s">
        <v>120</v>
      </c>
      <c r="C1587" s="77" t="s">
        <v>410</v>
      </c>
      <c r="D1587" s="177" t="s">
        <v>417</v>
      </c>
      <c r="E1587" s="370">
        <f>34+5</f>
        <v>39</v>
      </c>
      <c r="F1587" s="370">
        <v>34</v>
      </c>
      <c r="G1587" s="370">
        <f>34+5</f>
        <v>39</v>
      </c>
      <c r="H1587" s="370">
        <v>34</v>
      </c>
      <c r="I1587" s="363">
        <f>SUM(Tabla132112412[[#This Row],[PRIMER TRIMESTRE]:[CUARTO TRIMESTRE]])</f>
        <v>146</v>
      </c>
      <c r="J1587" s="175">
        <v>10</v>
      </c>
      <c r="K1587" s="175">
        <f t="shared" si="34"/>
        <v>1460</v>
      </c>
      <c r="L1587" s="175"/>
      <c r="M1587" s="77" t="s">
        <v>18</v>
      </c>
      <c r="N1587" s="77" t="s">
        <v>22</v>
      </c>
      <c r="O1587" s="177" t="s">
        <v>418</v>
      </c>
    </row>
    <row r="1588" spans="2:15" s="12" customFormat="1" ht="18">
      <c r="B1588" s="372" t="s">
        <v>120</v>
      </c>
      <c r="C1588" s="77" t="s">
        <v>411</v>
      </c>
      <c r="D1588" s="177" t="s">
        <v>417</v>
      </c>
      <c r="E1588" s="370">
        <f>34+7</f>
        <v>41</v>
      </c>
      <c r="F1588" s="370">
        <f>34+7</f>
        <v>41</v>
      </c>
      <c r="G1588" s="370">
        <f>34+5</f>
        <v>39</v>
      </c>
      <c r="H1588" s="370">
        <v>34</v>
      </c>
      <c r="I1588" s="363">
        <f>SUM(Tabla132112412[[#This Row],[PRIMER TRIMESTRE]:[CUARTO TRIMESTRE]])</f>
        <v>155</v>
      </c>
      <c r="J1588" s="175">
        <v>14.37</v>
      </c>
      <c r="K1588" s="175">
        <f t="shared" si="34"/>
        <v>2227.35</v>
      </c>
      <c r="L1588" s="175"/>
      <c r="M1588" s="77" t="s">
        <v>18</v>
      </c>
      <c r="N1588" s="77" t="s">
        <v>22</v>
      </c>
      <c r="O1588" s="177" t="s">
        <v>418</v>
      </c>
    </row>
    <row r="1589" spans="2:15" s="12" customFormat="1" ht="18">
      <c r="B1589" s="372" t="s">
        <v>120</v>
      </c>
      <c r="C1589" s="77" t="s">
        <v>412</v>
      </c>
      <c r="D1589" s="177" t="s">
        <v>417</v>
      </c>
      <c r="E1589" s="370">
        <f>72+7</f>
        <v>79</v>
      </c>
      <c r="F1589" s="370">
        <f>22+7</f>
        <v>29</v>
      </c>
      <c r="G1589" s="370">
        <f>72+5</f>
        <v>77</v>
      </c>
      <c r="H1589" s="370">
        <v>22</v>
      </c>
      <c r="I1589" s="363">
        <f>SUM(Tabla132112412[[#This Row],[PRIMER TRIMESTRE]:[CUARTO TRIMESTRE]])</f>
        <v>207</v>
      </c>
      <c r="J1589" s="175">
        <v>24.79</v>
      </c>
      <c r="K1589" s="175">
        <f t="shared" si="34"/>
        <v>5131.53</v>
      </c>
      <c r="L1589" s="175"/>
      <c r="M1589" s="77" t="s">
        <v>18</v>
      </c>
      <c r="N1589" s="77" t="s">
        <v>22</v>
      </c>
      <c r="O1589" s="177" t="s">
        <v>418</v>
      </c>
    </row>
    <row r="1590" spans="2:15" s="12" customFormat="1" ht="18">
      <c r="B1590" s="372" t="s">
        <v>120</v>
      </c>
      <c r="C1590" s="77" t="s">
        <v>413</v>
      </c>
      <c r="D1590" s="177" t="s">
        <v>208</v>
      </c>
      <c r="E1590" s="370">
        <f>3+2</f>
        <v>5</v>
      </c>
      <c r="F1590" s="370">
        <v>3</v>
      </c>
      <c r="G1590" s="370">
        <f>3+2</f>
        <v>5</v>
      </c>
      <c r="H1590" s="370">
        <v>3</v>
      </c>
      <c r="I1590" s="363">
        <f>SUM(Tabla132112412[[#This Row],[PRIMER TRIMESTRE]:[CUARTO TRIMESTRE]])</f>
        <v>16</v>
      </c>
      <c r="J1590" s="175">
        <v>371.09</v>
      </c>
      <c r="K1590" s="175">
        <f t="shared" si="34"/>
        <v>5937.44</v>
      </c>
      <c r="L1590" s="175"/>
      <c r="M1590" s="77" t="s">
        <v>18</v>
      </c>
      <c r="N1590" s="77" t="s">
        <v>22</v>
      </c>
      <c r="O1590" s="177" t="s">
        <v>418</v>
      </c>
    </row>
    <row r="1591" spans="2:15" s="12" customFormat="1" ht="18">
      <c r="B1591" s="372" t="s">
        <v>120</v>
      </c>
      <c r="C1591" s="77" t="s">
        <v>762</v>
      </c>
      <c r="D1591" s="177" t="s">
        <v>208</v>
      </c>
      <c r="E1591" s="370">
        <v>13</v>
      </c>
      <c r="F1591" s="370">
        <v>3</v>
      </c>
      <c r="G1591" s="370">
        <v>13</v>
      </c>
      <c r="H1591" s="370">
        <v>3</v>
      </c>
      <c r="I1591" s="363">
        <f>SUM(Tabla132112412[[#This Row],[PRIMER TRIMESTRE]:[CUARTO TRIMESTRE]])</f>
        <v>32</v>
      </c>
      <c r="J1591" s="175">
        <v>433.06</v>
      </c>
      <c r="K1591" s="175">
        <f t="shared" si="34"/>
        <v>13857.92</v>
      </c>
      <c r="L1591" s="175"/>
      <c r="M1591" s="77" t="s">
        <v>18</v>
      </c>
      <c r="N1591" s="77" t="s">
        <v>22</v>
      </c>
      <c r="O1591" s="177" t="s">
        <v>418</v>
      </c>
    </row>
    <row r="1592" spans="2:15" s="12" customFormat="1" ht="18">
      <c r="B1592" s="372" t="s">
        <v>120</v>
      </c>
      <c r="C1592" s="77" t="s">
        <v>270</v>
      </c>
      <c r="D1592" s="177" t="s">
        <v>17</v>
      </c>
      <c r="E1592" s="370">
        <v>11</v>
      </c>
      <c r="F1592" s="370">
        <v>0</v>
      </c>
      <c r="G1592" s="370">
        <v>5</v>
      </c>
      <c r="H1592" s="370">
        <v>6</v>
      </c>
      <c r="I1592" s="363">
        <f>SUM(Tabla132112412[[#This Row],[PRIMER TRIMESTRE]:[CUARTO TRIMESTRE]])</f>
        <v>22</v>
      </c>
      <c r="J1592" s="175">
        <v>9.2799999999999994</v>
      </c>
      <c r="K1592" s="175">
        <f>+Tabla132112412[[#This Row],[CANTIDAD TOTAL]]*Tabla132112412[[#This Row],[PRECIO UNITARIO ESTIMADO]]</f>
        <v>204.16</v>
      </c>
      <c r="L1592" s="175"/>
      <c r="M1592" s="77" t="s">
        <v>18</v>
      </c>
      <c r="N1592" s="77" t="s">
        <v>22</v>
      </c>
      <c r="O1592" s="177" t="s">
        <v>418</v>
      </c>
    </row>
    <row r="1593" spans="2:15" s="12" customFormat="1" ht="18">
      <c r="B1593" s="372" t="s">
        <v>120</v>
      </c>
      <c r="C1593" s="77" t="s">
        <v>405</v>
      </c>
      <c r="D1593" s="177" t="s">
        <v>17</v>
      </c>
      <c r="E1593" s="370">
        <f>16+5</f>
        <v>21</v>
      </c>
      <c r="F1593" s="370">
        <v>10</v>
      </c>
      <c r="G1593" s="370">
        <v>16</v>
      </c>
      <c r="H1593" s="370">
        <v>10</v>
      </c>
      <c r="I1593" s="363">
        <f>SUM(Tabla132112412[[#This Row],[PRIMER TRIMESTRE]:[CUARTO TRIMESTRE]])</f>
        <v>57</v>
      </c>
      <c r="J1593" s="175">
        <v>11.21</v>
      </c>
      <c r="K1593" s="175">
        <f>+I1593*J1593</f>
        <v>638.97</v>
      </c>
      <c r="L1593" s="175"/>
      <c r="M1593" s="77" t="s">
        <v>18</v>
      </c>
      <c r="N1593" s="77" t="s">
        <v>22</v>
      </c>
      <c r="O1593" s="177" t="s">
        <v>418</v>
      </c>
    </row>
    <row r="1594" spans="2:15" s="12" customFormat="1" ht="18">
      <c r="B1594" s="372" t="s">
        <v>120</v>
      </c>
      <c r="C1594" s="77" t="s">
        <v>406</v>
      </c>
      <c r="D1594" s="177" t="s">
        <v>17</v>
      </c>
      <c r="E1594" s="370">
        <f>16+5</f>
        <v>21</v>
      </c>
      <c r="F1594" s="370">
        <v>10</v>
      </c>
      <c r="G1594" s="370">
        <v>16</v>
      </c>
      <c r="H1594" s="370">
        <v>10</v>
      </c>
      <c r="I1594" s="363">
        <f>SUM(Tabla132112412[[#This Row],[PRIMER TRIMESTRE]:[CUARTO TRIMESTRE]])</f>
        <v>57</v>
      </c>
      <c r="J1594" s="175">
        <v>10.56</v>
      </c>
      <c r="K1594" s="175">
        <f>+I1594*J1594</f>
        <v>601.92000000000007</v>
      </c>
      <c r="L1594" s="175"/>
      <c r="M1594" s="77" t="s">
        <v>18</v>
      </c>
      <c r="N1594" s="77" t="s">
        <v>22</v>
      </c>
      <c r="O1594" s="177" t="s">
        <v>418</v>
      </c>
    </row>
    <row r="1595" spans="2:15" s="12" customFormat="1" ht="18">
      <c r="B1595" s="372" t="s">
        <v>120</v>
      </c>
      <c r="C1595" s="77" t="s">
        <v>407</v>
      </c>
      <c r="D1595" s="177" t="s">
        <v>17</v>
      </c>
      <c r="E1595" s="370">
        <f>16+5</f>
        <v>21</v>
      </c>
      <c r="F1595" s="370">
        <v>10</v>
      </c>
      <c r="G1595" s="370">
        <v>16</v>
      </c>
      <c r="H1595" s="370">
        <v>10</v>
      </c>
      <c r="I1595" s="363">
        <f>SUM(Tabla132112412[[#This Row],[PRIMER TRIMESTRE]:[CUARTO TRIMESTRE]])</f>
        <v>57</v>
      </c>
      <c r="J1595" s="175">
        <v>11.21</v>
      </c>
      <c r="K1595" s="175">
        <f>+I1595*J1595</f>
        <v>638.97</v>
      </c>
      <c r="L1595" s="175"/>
      <c r="M1595" s="77" t="s">
        <v>18</v>
      </c>
      <c r="N1595" s="77" t="s">
        <v>22</v>
      </c>
      <c r="O1595" s="177" t="s">
        <v>418</v>
      </c>
    </row>
    <row r="1596" spans="2:15" s="12" customFormat="1" ht="18">
      <c r="B1596" s="372" t="s">
        <v>120</v>
      </c>
      <c r="C1596" s="77" t="s">
        <v>742</v>
      </c>
      <c r="D1596" s="177" t="s">
        <v>17</v>
      </c>
      <c r="E1596" s="370">
        <f>22+5</f>
        <v>27</v>
      </c>
      <c r="F1596" s="370">
        <v>0</v>
      </c>
      <c r="G1596" s="370">
        <v>12</v>
      </c>
      <c r="H1596" s="370">
        <v>10</v>
      </c>
      <c r="I1596" s="363">
        <f>SUM(Tabla132112412[[#This Row],[PRIMER TRIMESTRE]:[CUARTO TRIMESTRE]])</f>
        <v>49</v>
      </c>
      <c r="J1596" s="175">
        <v>53.1</v>
      </c>
      <c r="K1596" s="175">
        <f>+Tabla132112412[[#This Row],[CANTIDAD TOTAL]]*Tabla132112412[[#This Row],[PRECIO UNITARIO ESTIMADO]]</f>
        <v>2601.9</v>
      </c>
      <c r="L1596" s="175"/>
      <c r="M1596" s="77" t="s">
        <v>18</v>
      </c>
      <c r="N1596" s="77" t="s">
        <v>22</v>
      </c>
      <c r="O1596" s="177" t="s">
        <v>418</v>
      </c>
    </row>
    <row r="1597" spans="2:15" s="12" customFormat="1" ht="18">
      <c r="B1597" s="372" t="s">
        <v>120</v>
      </c>
      <c r="C1597" s="77" t="s">
        <v>271</v>
      </c>
      <c r="D1597" s="177" t="s">
        <v>17</v>
      </c>
      <c r="E1597" s="370">
        <v>5</v>
      </c>
      <c r="F1597" s="370">
        <v>0</v>
      </c>
      <c r="G1597" s="370">
        <v>0</v>
      </c>
      <c r="H1597" s="370">
        <v>0</v>
      </c>
      <c r="I1597" s="363">
        <f>SUM(Tabla132112412[[#This Row],[PRIMER TRIMESTRE]:[CUARTO TRIMESTRE]])</f>
        <v>5</v>
      </c>
      <c r="J1597" s="175">
        <v>18.399999999999999</v>
      </c>
      <c r="K1597" s="175">
        <f>+I1597*J1597</f>
        <v>92</v>
      </c>
      <c r="L1597" s="175"/>
      <c r="M1597" s="77" t="s">
        <v>18</v>
      </c>
      <c r="N1597" s="77" t="s">
        <v>22</v>
      </c>
      <c r="O1597" s="177" t="s">
        <v>418</v>
      </c>
    </row>
    <row r="1598" spans="2:15" s="12" customFormat="1" ht="18">
      <c r="B1598" s="372" t="s">
        <v>120</v>
      </c>
      <c r="C1598" s="77" t="s">
        <v>757</v>
      </c>
      <c r="D1598" s="177" t="s">
        <v>17</v>
      </c>
      <c r="E1598" s="370">
        <f>36+6</f>
        <v>42</v>
      </c>
      <c r="F1598" s="370">
        <v>36</v>
      </c>
      <c r="G1598" s="370">
        <v>36</v>
      </c>
      <c r="H1598" s="370">
        <v>36</v>
      </c>
      <c r="I1598" s="363">
        <f>SUM(Tabla132112412[[#This Row],[PRIMER TRIMESTRE]:[CUARTO TRIMESTRE]])</f>
        <v>150</v>
      </c>
      <c r="J1598" s="175">
        <v>12.92</v>
      </c>
      <c r="K1598" s="175">
        <f>+I1598*J1598</f>
        <v>1938</v>
      </c>
      <c r="L1598" s="175"/>
      <c r="M1598" s="77" t="s">
        <v>18</v>
      </c>
      <c r="N1598" s="77" t="s">
        <v>22</v>
      </c>
      <c r="O1598" s="177" t="s">
        <v>418</v>
      </c>
    </row>
    <row r="1599" spans="2:15" s="12" customFormat="1" ht="18">
      <c r="B1599" s="372" t="s">
        <v>120</v>
      </c>
      <c r="C1599" s="364" t="s">
        <v>2431</v>
      </c>
      <c r="D1599" s="455" t="s">
        <v>17</v>
      </c>
      <c r="E1599" s="362">
        <v>2</v>
      </c>
      <c r="F1599" s="362"/>
      <c r="G1599" s="362"/>
      <c r="H1599" s="362"/>
      <c r="I1599" s="363">
        <f>SUM(Tabla132112412[[#This Row],[PRIMER TRIMESTRE]:[CUARTO TRIMESTRE]])</f>
        <v>2</v>
      </c>
      <c r="J1599" s="175"/>
      <c r="K1599" s="175"/>
      <c r="L1599" s="175"/>
      <c r="M1599" s="77"/>
      <c r="N1599" s="77"/>
      <c r="O1599" s="177"/>
    </row>
    <row r="1600" spans="2:15" s="12" customFormat="1" ht="18">
      <c r="B1600" s="372" t="s">
        <v>120</v>
      </c>
      <c r="C1600" s="77" t="s">
        <v>325</v>
      </c>
      <c r="D1600" s="177" t="s">
        <v>17</v>
      </c>
      <c r="E1600" s="370">
        <v>42</v>
      </c>
      <c r="F1600" s="370">
        <v>42</v>
      </c>
      <c r="G1600" s="370">
        <v>42</v>
      </c>
      <c r="H1600" s="370">
        <v>42</v>
      </c>
      <c r="I1600" s="363">
        <f>SUM(Tabla132112412[[#This Row],[PRIMER TRIMESTRE]:[CUARTO TRIMESTRE]])</f>
        <v>168</v>
      </c>
      <c r="J1600" s="175">
        <f>337351.26/1251</f>
        <v>269.66527577937649</v>
      </c>
      <c r="K1600" s="175">
        <f>+Tabla132112412[[#This Row],[CANTIDAD TOTAL]]*Tabla132112412[[#This Row],[PRECIO UNITARIO ESTIMADO]]</f>
        <v>45303.76633093525</v>
      </c>
      <c r="L1600" s="175"/>
      <c r="M1600" s="77" t="s">
        <v>18</v>
      </c>
      <c r="N1600" s="77" t="s">
        <v>22</v>
      </c>
      <c r="O1600" s="177" t="s">
        <v>418</v>
      </c>
    </row>
    <row r="1601" spans="2:15" s="12" customFormat="1" ht="18">
      <c r="B1601" s="372" t="s">
        <v>120</v>
      </c>
      <c r="C1601" s="75" t="s">
        <v>1894</v>
      </c>
      <c r="D1601" s="39" t="s">
        <v>17</v>
      </c>
      <c r="E1601" s="236">
        <v>125</v>
      </c>
      <c r="F1601" s="236">
        <v>125</v>
      </c>
      <c r="G1601" s="236">
        <v>125</v>
      </c>
      <c r="H1601" s="236">
        <v>125</v>
      </c>
      <c r="I1601" s="363">
        <f>SUM(Tabla132112412[[#This Row],[PRIMER TRIMESTRE]:[CUARTO TRIMESTRE]])</f>
        <v>500</v>
      </c>
      <c r="J1601" s="175"/>
      <c r="K1601" s="175"/>
      <c r="L1601" s="175"/>
      <c r="M1601" s="77"/>
      <c r="N1601" s="77"/>
      <c r="O1601" s="177"/>
    </row>
    <row r="1602" spans="2:15" s="12" customFormat="1" ht="18">
      <c r="B1602" s="372" t="s">
        <v>120</v>
      </c>
      <c r="C1602" s="77" t="s">
        <v>784</v>
      </c>
      <c r="D1602" s="177" t="s">
        <v>17</v>
      </c>
      <c r="E1602" s="370">
        <v>48</v>
      </c>
      <c r="F1602" s="370">
        <v>48</v>
      </c>
      <c r="G1602" s="370">
        <v>48</v>
      </c>
      <c r="H1602" s="370">
        <v>48</v>
      </c>
      <c r="I1602" s="363">
        <f>SUM(Tabla132112412[[#This Row],[PRIMER TRIMESTRE]:[CUARTO TRIMESTRE]])</f>
        <v>192</v>
      </c>
      <c r="J1602" s="175">
        <f>20*1.18</f>
        <v>23.599999999999998</v>
      </c>
      <c r="K1602" s="175">
        <f>+I1602*J1602</f>
        <v>4531.2</v>
      </c>
      <c r="L1602" s="175"/>
      <c r="M1602" s="77" t="s">
        <v>18</v>
      </c>
      <c r="N1602" s="77" t="s">
        <v>22</v>
      </c>
      <c r="O1602" s="177" t="s">
        <v>418</v>
      </c>
    </row>
    <row r="1603" spans="2:15" s="12" customFormat="1" ht="18">
      <c r="B1603" s="372" t="s">
        <v>120</v>
      </c>
      <c r="C1603" s="364" t="s">
        <v>2432</v>
      </c>
      <c r="D1603" s="455" t="s">
        <v>17</v>
      </c>
      <c r="E1603" s="362">
        <v>2</v>
      </c>
      <c r="F1603" s="362">
        <v>2</v>
      </c>
      <c r="G1603" s="362">
        <v>2</v>
      </c>
      <c r="H1603" s="362">
        <v>2</v>
      </c>
      <c r="I1603" s="363">
        <f>SUM(Tabla132112412[[#This Row],[PRIMER TRIMESTRE]:[CUARTO TRIMESTRE]])</f>
        <v>8</v>
      </c>
      <c r="J1603" s="175"/>
      <c r="K1603" s="175"/>
      <c r="L1603" s="175"/>
      <c r="M1603" s="77"/>
      <c r="N1603" s="77"/>
      <c r="O1603" s="177"/>
    </row>
    <row r="1604" spans="2:15" s="12" customFormat="1" ht="18">
      <c r="B1604" s="372" t="s">
        <v>120</v>
      </c>
      <c r="C1604" s="77" t="s">
        <v>785</v>
      </c>
      <c r="D1604" s="177" t="s">
        <v>17</v>
      </c>
      <c r="E1604" s="370">
        <f>30+31</f>
        <v>61</v>
      </c>
      <c r="F1604" s="370">
        <f>5+31</f>
        <v>36</v>
      </c>
      <c r="G1604" s="370">
        <v>10</v>
      </c>
      <c r="H1604" s="370">
        <v>5</v>
      </c>
      <c r="I1604" s="363">
        <f>SUM(Tabla132112412[[#This Row],[PRIMER TRIMESTRE]:[CUARTO TRIMESTRE]])</f>
        <v>112</v>
      </c>
      <c r="J1604" s="175">
        <f>4*1.18</f>
        <v>4.72</v>
      </c>
      <c r="K1604" s="175">
        <f>+I1604*J1604</f>
        <v>528.64</v>
      </c>
      <c r="L1604" s="175"/>
      <c r="M1604" s="77" t="s">
        <v>18</v>
      </c>
      <c r="N1604" s="77" t="s">
        <v>22</v>
      </c>
      <c r="O1604" s="177" t="s">
        <v>418</v>
      </c>
    </row>
    <row r="1605" spans="2:15" s="12" customFormat="1" ht="18">
      <c r="B1605" s="372" t="s">
        <v>120</v>
      </c>
      <c r="C1605" s="364" t="s">
        <v>2433</v>
      </c>
      <c r="D1605" s="455" t="s">
        <v>208</v>
      </c>
      <c r="E1605" s="362">
        <v>25</v>
      </c>
      <c r="F1605" s="362">
        <v>25</v>
      </c>
      <c r="G1605" s="362">
        <v>25</v>
      </c>
      <c r="H1605" s="362">
        <v>25</v>
      </c>
      <c r="I1605" s="363">
        <f>SUM(Tabla132112412[[#This Row],[PRIMER TRIMESTRE]:[CUARTO TRIMESTRE]])</f>
        <v>100</v>
      </c>
      <c r="J1605" s="175"/>
      <c r="K1605" s="175"/>
      <c r="L1605" s="175"/>
      <c r="M1605" s="77"/>
      <c r="N1605" s="77"/>
      <c r="O1605" s="177"/>
    </row>
    <row r="1606" spans="2:15" s="12" customFormat="1" ht="18">
      <c r="B1606" s="372" t="s">
        <v>120</v>
      </c>
      <c r="C1606" s="364" t="s">
        <v>2434</v>
      </c>
      <c r="D1606" s="455" t="s">
        <v>208</v>
      </c>
      <c r="E1606" s="362">
        <v>10</v>
      </c>
      <c r="F1606" s="362">
        <v>10</v>
      </c>
      <c r="G1606" s="362">
        <v>10</v>
      </c>
      <c r="H1606" s="362">
        <v>20</v>
      </c>
      <c r="I1606" s="363">
        <f>SUM(Tabla132112412[[#This Row],[PRIMER TRIMESTRE]:[CUARTO TRIMESTRE]])</f>
        <v>50</v>
      </c>
      <c r="J1606" s="175"/>
      <c r="K1606" s="175"/>
      <c r="L1606" s="175"/>
      <c r="M1606" s="77"/>
      <c r="N1606" s="77"/>
      <c r="O1606" s="177"/>
    </row>
    <row r="1607" spans="2:15" s="12" customFormat="1" ht="18">
      <c r="B1607" s="372" t="s">
        <v>120</v>
      </c>
      <c r="C1607" s="364" t="s">
        <v>262</v>
      </c>
      <c r="D1607" s="455" t="s">
        <v>17</v>
      </c>
      <c r="E1607" s="362">
        <v>10</v>
      </c>
      <c r="F1607" s="362">
        <v>10</v>
      </c>
      <c r="G1607" s="362">
        <v>10</v>
      </c>
      <c r="H1607" s="362"/>
      <c r="I1607" s="363">
        <f>SUM(Tabla132112412[[#This Row],[PRIMER TRIMESTRE]:[CUARTO TRIMESTRE]])</f>
        <v>30</v>
      </c>
      <c r="J1607" s="175"/>
      <c r="K1607" s="175"/>
      <c r="L1607" s="175"/>
      <c r="M1607" s="77"/>
      <c r="N1607" s="77"/>
      <c r="O1607" s="177"/>
    </row>
    <row r="1608" spans="2:15" s="12" customFormat="1" ht="18">
      <c r="B1608" s="372" t="s">
        <v>120</v>
      </c>
      <c r="C1608" s="364" t="s">
        <v>263</v>
      </c>
      <c r="D1608" s="455" t="s">
        <v>17</v>
      </c>
      <c r="E1608" s="362">
        <v>5</v>
      </c>
      <c r="F1608" s="362"/>
      <c r="G1608" s="362"/>
      <c r="H1608" s="362"/>
      <c r="I1608" s="363">
        <f>SUM(Tabla132112412[[#This Row],[PRIMER TRIMESTRE]:[CUARTO TRIMESTRE]])</f>
        <v>5</v>
      </c>
      <c r="J1608" s="175"/>
      <c r="K1608" s="175"/>
      <c r="L1608" s="175"/>
      <c r="M1608" s="77"/>
      <c r="N1608" s="77"/>
      <c r="O1608" s="177"/>
    </row>
    <row r="1609" spans="2:15" s="12" customFormat="1" ht="18">
      <c r="B1609" s="372" t="s">
        <v>120</v>
      </c>
      <c r="C1609" s="364" t="s">
        <v>2435</v>
      </c>
      <c r="D1609" s="455" t="s">
        <v>102</v>
      </c>
      <c r="E1609" s="362">
        <v>238</v>
      </c>
      <c r="F1609" s="362">
        <v>238</v>
      </c>
      <c r="G1609" s="362">
        <v>238</v>
      </c>
      <c r="H1609" s="362">
        <v>238</v>
      </c>
      <c r="I1609" s="363">
        <f>SUM(Tabla132112412[[#This Row],[PRIMER TRIMESTRE]:[CUARTO TRIMESTRE]])</f>
        <v>952</v>
      </c>
      <c r="J1609" s="175"/>
      <c r="K1609" s="175"/>
      <c r="L1609" s="175"/>
      <c r="M1609" s="77"/>
      <c r="N1609" s="77"/>
      <c r="O1609" s="177"/>
    </row>
    <row r="1610" spans="2:15" s="12" customFormat="1" ht="18">
      <c r="B1610" s="372" t="s">
        <v>120</v>
      </c>
      <c r="C1610" s="75" t="s">
        <v>1895</v>
      </c>
      <c r="D1610" s="39" t="s">
        <v>17</v>
      </c>
      <c r="E1610" s="236">
        <v>63</v>
      </c>
      <c r="F1610" s="236">
        <v>63</v>
      </c>
      <c r="G1610" s="236">
        <v>63</v>
      </c>
      <c r="H1610" s="236">
        <v>63</v>
      </c>
      <c r="I1610" s="363">
        <f>SUM(Tabla132112412[[#This Row],[PRIMER TRIMESTRE]:[CUARTO TRIMESTRE]])</f>
        <v>252</v>
      </c>
      <c r="J1610" s="175"/>
      <c r="K1610" s="175"/>
      <c r="L1610" s="175"/>
      <c r="M1610" s="77"/>
      <c r="N1610" s="77"/>
      <c r="O1610" s="177"/>
    </row>
    <row r="1611" spans="2:15" s="12" customFormat="1" ht="18">
      <c r="B1611" s="372" t="s">
        <v>120</v>
      </c>
      <c r="C1611" s="75" t="s">
        <v>272</v>
      </c>
      <c r="D1611" s="39" t="s">
        <v>17</v>
      </c>
      <c r="E1611" s="236"/>
      <c r="F1611" s="236"/>
      <c r="G1611" s="236"/>
      <c r="H1611" s="236"/>
      <c r="I1611" s="363"/>
      <c r="J1611" s="175"/>
      <c r="K1611" s="175"/>
      <c r="L1611" s="175"/>
      <c r="M1611" s="77"/>
      <c r="N1611" s="77"/>
      <c r="O1611" s="177"/>
    </row>
    <row r="1612" spans="2:15" s="12" customFormat="1" ht="18">
      <c r="B1612" s="372" t="s">
        <v>120</v>
      </c>
      <c r="C1612" s="77" t="s">
        <v>758</v>
      </c>
      <c r="D1612" s="177" t="s">
        <v>17</v>
      </c>
      <c r="E1612" s="370">
        <v>0</v>
      </c>
      <c r="F1612" s="370">
        <v>0</v>
      </c>
      <c r="G1612" s="370">
        <v>0</v>
      </c>
      <c r="H1612" s="370">
        <v>0</v>
      </c>
      <c r="I1612" s="363">
        <f>SUM(Tabla132112412[[#This Row],[PRIMER TRIMESTRE]:[CUARTO TRIMESTRE]])</f>
        <v>0</v>
      </c>
      <c r="J1612" s="175">
        <v>61.95</v>
      </c>
      <c r="K1612" s="175">
        <f t="shared" ref="K1612:K1683" si="35">+I1612*J1612</f>
        <v>0</v>
      </c>
      <c r="L1612" s="175"/>
      <c r="M1612" s="77" t="s">
        <v>18</v>
      </c>
      <c r="N1612" s="77" t="s">
        <v>22</v>
      </c>
      <c r="O1612" s="177" t="s">
        <v>418</v>
      </c>
    </row>
    <row r="1613" spans="2:15" s="12" customFormat="1" ht="18">
      <c r="B1613" s="372" t="s">
        <v>120</v>
      </c>
      <c r="C1613" s="77" t="s">
        <v>1767</v>
      </c>
      <c r="D1613" s="177" t="s">
        <v>417</v>
      </c>
      <c r="E1613" s="370">
        <v>0</v>
      </c>
      <c r="F1613" s="370">
        <v>0</v>
      </c>
      <c r="G1613" s="370">
        <v>0</v>
      </c>
      <c r="H1613" s="370">
        <v>0</v>
      </c>
      <c r="I1613" s="363">
        <f>SUM(Tabla132112412[[#This Row],[PRIMER TRIMESTRE]:[CUARTO TRIMESTRE]])</f>
        <v>0</v>
      </c>
      <c r="J1613" s="175">
        <v>0</v>
      </c>
      <c r="K1613" s="175">
        <v>0</v>
      </c>
      <c r="L1613" s="175"/>
      <c r="M1613" s="77" t="s">
        <v>18</v>
      </c>
      <c r="N1613" s="77" t="s">
        <v>22</v>
      </c>
      <c r="O1613" s="177" t="s">
        <v>418</v>
      </c>
    </row>
    <row r="1614" spans="2:15" s="12" customFormat="1" ht="18">
      <c r="B1614" s="372" t="s">
        <v>120</v>
      </c>
      <c r="C1614" s="480" t="s">
        <v>477</v>
      </c>
      <c r="D1614" s="177" t="s">
        <v>417</v>
      </c>
      <c r="E1614" s="370">
        <v>0</v>
      </c>
      <c r="F1614" s="370">
        <v>0</v>
      </c>
      <c r="G1614" s="370">
        <v>0</v>
      </c>
      <c r="H1614" s="370">
        <v>0</v>
      </c>
      <c r="I1614" s="363">
        <f>SUM(Tabla132112412[[#This Row],[PRIMER TRIMESTRE]:[CUARTO TRIMESTRE]])</f>
        <v>0</v>
      </c>
      <c r="J1614" s="175">
        <v>650</v>
      </c>
      <c r="K1614" s="175">
        <f t="shared" si="35"/>
        <v>0</v>
      </c>
      <c r="L1614" s="175"/>
      <c r="M1614" s="77" t="s">
        <v>18</v>
      </c>
      <c r="N1614" s="77" t="s">
        <v>22</v>
      </c>
      <c r="O1614" s="177" t="s">
        <v>418</v>
      </c>
    </row>
    <row r="1615" spans="2:15" s="12" customFormat="1" ht="18">
      <c r="B1615" s="372" t="s">
        <v>120</v>
      </c>
      <c r="C1615" s="480" t="s">
        <v>478</v>
      </c>
      <c r="D1615" s="177" t="s">
        <v>417</v>
      </c>
      <c r="E1615" s="370">
        <v>0</v>
      </c>
      <c r="F1615" s="370">
        <v>0</v>
      </c>
      <c r="G1615" s="370">
        <v>0</v>
      </c>
      <c r="H1615" s="370">
        <v>0</v>
      </c>
      <c r="I1615" s="363">
        <f>SUM(Tabla132112412[[#This Row],[PRIMER TRIMESTRE]:[CUARTO TRIMESTRE]])</f>
        <v>0</v>
      </c>
      <c r="J1615" s="175">
        <v>950</v>
      </c>
      <c r="K1615" s="175">
        <f t="shared" si="35"/>
        <v>0</v>
      </c>
      <c r="L1615" s="175"/>
      <c r="M1615" s="77" t="s">
        <v>18</v>
      </c>
      <c r="N1615" s="77" t="s">
        <v>22</v>
      </c>
      <c r="O1615" s="177" t="s">
        <v>418</v>
      </c>
    </row>
    <row r="1616" spans="2:15" s="12" customFormat="1" ht="18">
      <c r="B1616" s="372" t="s">
        <v>120</v>
      </c>
      <c r="C1616" s="80" t="s">
        <v>479</v>
      </c>
      <c r="D1616" s="177" t="s">
        <v>417</v>
      </c>
      <c r="E1616" s="370">
        <v>0</v>
      </c>
      <c r="F1616" s="370">
        <v>0</v>
      </c>
      <c r="G1616" s="370">
        <v>0</v>
      </c>
      <c r="H1616" s="370">
        <v>0</v>
      </c>
      <c r="I1616" s="363">
        <f>SUM(Tabla132112412[[#This Row],[PRIMER TRIMESTRE]:[CUARTO TRIMESTRE]])</f>
        <v>0</v>
      </c>
      <c r="J1616" s="175">
        <v>650</v>
      </c>
      <c r="K1616" s="175">
        <f t="shared" si="35"/>
        <v>0</v>
      </c>
      <c r="L1616" s="175"/>
      <c r="M1616" s="77" t="s">
        <v>18</v>
      </c>
      <c r="N1616" s="77" t="s">
        <v>22</v>
      </c>
      <c r="O1616" s="177" t="s">
        <v>418</v>
      </c>
    </row>
    <row r="1617" spans="2:15" s="12" customFormat="1" ht="18">
      <c r="B1617" s="372" t="s">
        <v>120</v>
      </c>
      <c r="C1617" s="480" t="s">
        <v>480</v>
      </c>
      <c r="D1617" s="177" t="s">
        <v>417</v>
      </c>
      <c r="E1617" s="370">
        <v>0</v>
      </c>
      <c r="F1617" s="370">
        <v>0</v>
      </c>
      <c r="G1617" s="370">
        <v>0</v>
      </c>
      <c r="H1617" s="370">
        <v>0</v>
      </c>
      <c r="I1617" s="363">
        <f>SUM(Tabla132112412[[#This Row],[PRIMER TRIMESTRE]:[CUARTO TRIMESTRE]])</f>
        <v>0</v>
      </c>
      <c r="J1617" s="175">
        <v>800</v>
      </c>
      <c r="K1617" s="175">
        <f t="shared" si="35"/>
        <v>0</v>
      </c>
      <c r="L1617" s="175"/>
      <c r="M1617" s="77" t="s">
        <v>18</v>
      </c>
      <c r="N1617" s="77" t="s">
        <v>22</v>
      </c>
      <c r="O1617" s="177" t="s">
        <v>418</v>
      </c>
    </row>
    <row r="1618" spans="2:15" s="12" customFormat="1" ht="18">
      <c r="B1618" s="372" t="s">
        <v>120</v>
      </c>
      <c r="C1618" s="480" t="s">
        <v>481</v>
      </c>
      <c r="D1618" s="177" t="s">
        <v>417</v>
      </c>
      <c r="E1618" s="370">
        <v>0</v>
      </c>
      <c r="F1618" s="370">
        <v>0</v>
      </c>
      <c r="G1618" s="370">
        <v>0</v>
      </c>
      <c r="H1618" s="370">
        <v>0</v>
      </c>
      <c r="I1618" s="363">
        <f>SUM(Tabla132112412[[#This Row],[PRIMER TRIMESTRE]:[CUARTO TRIMESTRE]])</f>
        <v>0</v>
      </c>
      <c r="J1618" s="175">
        <v>1190</v>
      </c>
      <c r="K1618" s="175">
        <f t="shared" si="35"/>
        <v>0</v>
      </c>
      <c r="L1618" s="175"/>
      <c r="M1618" s="77" t="s">
        <v>18</v>
      </c>
      <c r="N1618" s="77" t="s">
        <v>22</v>
      </c>
      <c r="O1618" s="177" t="s">
        <v>418</v>
      </c>
    </row>
    <row r="1619" spans="2:15" s="12" customFormat="1" ht="18">
      <c r="B1619" s="372" t="s">
        <v>120</v>
      </c>
      <c r="C1619" s="480" t="s">
        <v>482</v>
      </c>
      <c r="D1619" s="177" t="s">
        <v>417</v>
      </c>
      <c r="E1619" s="370">
        <v>0</v>
      </c>
      <c r="F1619" s="370">
        <v>0</v>
      </c>
      <c r="G1619" s="370">
        <v>0</v>
      </c>
      <c r="H1619" s="370">
        <v>0</v>
      </c>
      <c r="I1619" s="363">
        <f>SUM(Tabla132112412[[#This Row],[PRIMER TRIMESTRE]:[CUARTO TRIMESTRE]])</f>
        <v>0</v>
      </c>
      <c r="J1619" s="175">
        <v>1050</v>
      </c>
      <c r="K1619" s="175">
        <f t="shared" si="35"/>
        <v>0</v>
      </c>
      <c r="L1619" s="175"/>
      <c r="M1619" s="77" t="s">
        <v>18</v>
      </c>
      <c r="N1619" s="77" t="s">
        <v>22</v>
      </c>
      <c r="O1619" s="177" t="s">
        <v>418</v>
      </c>
    </row>
    <row r="1620" spans="2:15" s="12" customFormat="1" ht="18">
      <c r="B1620" s="372" t="s">
        <v>120</v>
      </c>
      <c r="C1620" s="480" t="s">
        <v>483</v>
      </c>
      <c r="D1620" s="177" t="s">
        <v>417</v>
      </c>
      <c r="E1620" s="370">
        <v>0</v>
      </c>
      <c r="F1620" s="370">
        <v>0</v>
      </c>
      <c r="G1620" s="370">
        <v>0</v>
      </c>
      <c r="H1620" s="370">
        <v>0</v>
      </c>
      <c r="I1620" s="363">
        <f>SUM(Tabla132112412[[#This Row],[PRIMER TRIMESTRE]:[CUARTO TRIMESTRE]])</f>
        <v>0</v>
      </c>
      <c r="J1620" s="175">
        <v>990</v>
      </c>
      <c r="K1620" s="175">
        <f t="shared" si="35"/>
        <v>0</v>
      </c>
      <c r="L1620" s="175"/>
      <c r="M1620" s="77" t="s">
        <v>18</v>
      </c>
      <c r="N1620" s="77" t="s">
        <v>22</v>
      </c>
      <c r="O1620" s="177" t="s">
        <v>418</v>
      </c>
    </row>
    <row r="1621" spans="2:15" s="12" customFormat="1" ht="18">
      <c r="B1621" s="372" t="s">
        <v>120</v>
      </c>
      <c r="C1621" s="480" t="s">
        <v>484</v>
      </c>
      <c r="D1621" s="177" t="s">
        <v>417</v>
      </c>
      <c r="E1621" s="370">
        <v>0</v>
      </c>
      <c r="F1621" s="370">
        <v>0</v>
      </c>
      <c r="G1621" s="370">
        <v>0</v>
      </c>
      <c r="H1621" s="370">
        <v>0</v>
      </c>
      <c r="I1621" s="363">
        <f>SUM(Tabla132112412[[#This Row],[PRIMER TRIMESTRE]:[CUARTO TRIMESTRE]])</f>
        <v>0</v>
      </c>
      <c r="J1621" s="175">
        <v>450</v>
      </c>
      <c r="K1621" s="175">
        <f t="shared" si="35"/>
        <v>0</v>
      </c>
      <c r="L1621" s="175"/>
      <c r="M1621" s="77" t="s">
        <v>18</v>
      </c>
      <c r="N1621" s="77" t="s">
        <v>22</v>
      </c>
      <c r="O1621" s="177" t="s">
        <v>418</v>
      </c>
    </row>
    <row r="1622" spans="2:15" s="12" customFormat="1" ht="18">
      <c r="B1622" s="372" t="s">
        <v>120</v>
      </c>
      <c r="C1622" s="80" t="s">
        <v>1896</v>
      </c>
      <c r="D1622" s="39" t="s">
        <v>1778</v>
      </c>
      <c r="E1622" s="236">
        <v>2</v>
      </c>
      <c r="F1622" s="236">
        <v>2</v>
      </c>
      <c r="G1622" s="236">
        <v>2</v>
      </c>
      <c r="H1622" s="236">
        <v>2</v>
      </c>
      <c r="I1622" s="363"/>
      <c r="J1622" s="175"/>
      <c r="K1622" s="175"/>
      <c r="L1622" s="175"/>
      <c r="M1622" s="77"/>
      <c r="N1622" s="77"/>
      <c r="O1622" s="177"/>
    </row>
    <row r="1623" spans="2:15" s="12" customFormat="1" ht="18">
      <c r="B1623" s="372" t="s">
        <v>120</v>
      </c>
      <c r="C1623" s="480" t="s">
        <v>485</v>
      </c>
      <c r="D1623" s="177" t="s">
        <v>417</v>
      </c>
      <c r="E1623" s="370">
        <v>0</v>
      </c>
      <c r="F1623" s="370">
        <v>0</v>
      </c>
      <c r="G1623" s="370">
        <v>0</v>
      </c>
      <c r="H1623" s="370">
        <v>0</v>
      </c>
      <c r="I1623" s="363">
        <f>SUM(Tabla132112412[[#This Row],[PRIMER TRIMESTRE]:[CUARTO TRIMESTRE]])</f>
        <v>0</v>
      </c>
      <c r="J1623" s="175">
        <v>550</v>
      </c>
      <c r="K1623" s="175">
        <f t="shared" si="35"/>
        <v>0</v>
      </c>
      <c r="L1623" s="175"/>
      <c r="M1623" s="77" t="s">
        <v>18</v>
      </c>
      <c r="N1623" s="77" t="s">
        <v>22</v>
      </c>
      <c r="O1623" s="177" t="s">
        <v>418</v>
      </c>
    </row>
    <row r="1624" spans="2:15" s="12" customFormat="1" ht="18">
      <c r="B1624" s="372" t="s">
        <v>120</v>
      </c>
      <c r="C1624" s="480" t="s">
        <v>486</v>
      </c>
      <c r="D1624" s="177" t="s">
        <v>417</v>
      </c>
      <c r="E1624" s="370">
        <v>0</v>
      </c>
      <c r="F1624" s="370">
        <v>0</v>
      </c>
      <c r="G1624" s="370">
        <v>0</v>
      </c>
      <c r="H1624" s="370">
        <v>0</v>
      </c>
      <c r="I1624" s="363">
        <f>SUM(Tabla132112412[[#This Row],[PRIMER TRIMESTRE]:[CUARTO TRIMESTRE]])</f>
        <v>0</v>
      </c>
      <c r="J1624" s="175">
        <v>1000</v>
      </c>
      <c r="K1624" s="175">
        <f t="shared" si="35"/>
        <v>0</v>
      </c>
      <c r="L1624" s="175"/>
      <c r="M1624" s="77" t="s">
        <v>18</v>
      </c>
      <c r="N1624" s="77" t="s">
        <v>22</v>
      </c>
      <c r="O1624" s="177" t="s">
        <v>418</v>
      </c>
    </row>
    <row r="1625" spans="2:15" s="12" customFormat="1" ht="18">
      <c r="B1625" s="372" t="s">
        <v>120</v>
      </c>
      <c r="C1625" s="480" t="s">
        <v>487</v>
      </c>
      <c r="D1625" s="177" t="s">
        <v>417</v>
      </c>
      <c r="E1625" s="370">
        <v>0</v>
      </c>
      <c r="F1625" s="370">
        <v>0</v>
      </c>
      <c r="G1625" s="370">
        <v>0</v>
      </c>
      <c r="H1625" s="370">
        <v>0</v>
      </c>
      <c r="I1625" s="363">
        <f>SUM(Tabla132112412[[#This Row],[PRIMER TRIMESTRE]:[CUARTO TRIMESTRE]])</f>
        <v>0</v>
      </c>
      <c r="J1625" s="175">
        <v>850</v>
      </c>
      <c r="K1625" s="175">
        <f t="shared" si="35"/>
        <v>0</v>
      </c>
      <c r="L1625" s="175"/>
      <c r="M1625" s="77" t="s">
        <v>18</v>
      </c>
      <c r="N1625" s="77" t="s">
        <v>22</v>
      </c>
      <c r="O1625" s="177" t="s">
        <v>418</v>
      </c>
    </row>
    <row r="1626" spans="2:15" s="12" customFormat="1" ht="18">
      <c r="B1626" s="372" t="s">
        <v>120</v>
      </c>
      <c r="C1626" s="480" t="s">
        <v>488</v>
      </c>
      <c r="D1626" s="177" t="s">
        <v>417</v>
      </c>
      <c r="E1626" s="370">
        <v>0</v>
      </c>
      <c r="F1626" s="370">
        <v>0</v>
      </c>
      <c r="G1626" s="370">
        <v>0</v>
      </c>
      <c r="H1626" s="370">
        <v>0</v>
      </c>
      <c r="I1626" s="363">
        <f>SUM(Tabla132112412[[#This Row],[PRIMER TRIMESTRE]:[CUARTO TRIMESTRE]])</f>
        <v>0</v>
      </c>
      <c r="J1626" s="175">
        <v>850</v>
      </c>
      <c r="K1626" s="175">
        <f t="shared" si="35"/>
        <v>0</v>
      </c>
      <c r="L1626" s="175"/>
      <c r="M1626" s="77" t="s">
        <v>18</v>
      </c>
      <c r="N1626" s="77" t="s">
        <v>22</v>
      </c>
      <c r="O1626" s="177" t="s">
        <v>418</v>
      </c>
    </row>
    <row r="1627" spans="2:15" s="12" customFormat="1" ht="18">
      <c r="B1627" s="372" t="s">
        <v>120</v>
      </c>
      <c r="C1627" s="480" t="s">
        <v>489</v>
      </c>
      <c r="D1627" s="177" t="s">
        <v>417</v>
      </c>
      <c r="E1627" s="370">
        <v>0</v>
      </c>
      <c r="F1627" s="370">
        <v>0</v>
      </c>
      <c r="G1627" s="370">
        <v>0</v>
      </c>
      <c r="H1627" s="370">
        <v>0</v>
      </c>
      <c r="I1627" s="363">
        <f>SUM(Tabla132112412[[#This Row],[PRIMER TRIMESTRE]:[CUARTO TRIMESTRE]])</f>
        <v>0</v>
      </c>
      <c r="J1627" s="175">
        <v>650</v>
      </c>
      <c r="K1627" s="175">
        <f t="shared" si="35"/>
        <v>0</v>
      </c>
      <c r="L1627" s="175"/>
      <c r="M1627" s="77" t="s">
        <v>18</v>
      </c>
      <c r="N1627" s="77" t="s">
        <v>22</v>
      </c>
      <c r="O1627" s="177" t="s">
        <v>418</v>
      </c>
    </row>
    <row r="1628" spans="2:15" s="12" customFormat="1" ht="18">
      <c r="B1628" s="372" t="s">
        <v>120</v>
      </c>
      <c r="C1628" s="480" t="s">
        <v>490</v>
      </c>
      <c r="D1628" s="177" t="s">
        <v>417</v>
      </c>
      <c r="E1628" s="370">
        <v>0</v>
      </c>
      <c r="F1628" s="370">
        <v>0</v>
      </c>
      <c r="G1628" s="370">
        <v>0</v>
      </c>
      <c r="H1628" s="370">
        <v>0</v>
      </c>
      <c r="I1628" s="363">
        <f>SUM(Tabla132112412[[#This Row],[PRIMER TRIMESTRE]:[CUARTO TRIMESTRE]])</f>
        <v>0</v>
      </c>
      <c r="J1628" s="175">
        <v>1100</v>
      </c>
      <c r="K1628" s="175">
        <f t="shared" si="35"/>
        <v>0</v>
      </c>
      <c r="L1628" s="175"/>
      <c r="M1628" s="77" t="s">
        <v>18</v>
      </c>
      <c r="N1628" s="77" t="s">
        <v>22</v>
      </c>
      <c r="O1628" s="177" t="s">
        <v>418</v>
      </c>
    </row>
    <row r="1629" spans="2:15" s="12" customFormat="1" ht="18">
      <c r="B1629" s="372" t="s">
        <v>120</v>
      </c>
      <c r="C1629" s="480" t="s">
        <v>491</v>
      </c>
      <c r="D1629" s="177" t="s">
        <v>417</v>
      </c>
      <c r="E1629" s="370">
        <v>0</v>
      </c>
      <c r="F1629" s="370">
        <v>0</v>
      </c>
      <c r="G1629" s="370">
        <v>0</v>
      </c>
      <c r="H1629" s="370">
        <v>0</v>
      </c>
      <c r="I1629" s="363">
        <f>SUM(Tabla132112412[[#This Row],[PRIMER TRIMESTRE]:[CUARTO TRIMESTRE]])</f>
        <v>0</v>
      </c>
      <c r="J1629" s="175">
        <v>1100</v>
      </c>
      <c r="K1629" s="175">
        <f t="shared" si="35"/>
        <v>0</v>
      </c>
      <c r="L1629" s="175"/>
      <c r="M1629" s="77" t="s">
        <v>18</v>
      </c>
      <c r="N1629" s="77" t="s">
        <v>22</v>
      </c>
      <c r="O1629" s="177" t="s">
        <v>418</v>
      </c>
    </row>
    <row r="1630" spans="2:15" s="12" customFormat="1" ht="18">
      <c r="B1630" s="372" t="s">
        <v>120</v>
      </c>
      <c r="C1630" s="480" t="s">
        <v>492</v>
      </c>
      <c r="D1630" s="177" t="s">
        <v>417</v>
      </c>
      <c r="E1630" s="370">
        <v>0</v>
      </c>
      <c r="F1630" s="370">
        <v>0</v>
      </c>
      <c r="G1630" s="370">
        <v>0</v>
      </c>
      <c r="H1630" s="370">
        <v>0</v>
      </c>
      <c r="I1630" s="363">
        <f>SUM(Tabla132112412[[#This Row],[PRIMER TRIMESTRE]:[CUARTO TRIMESTRE]])</f>
        <v>0</v>
      </c>
      <c r="J1630" s="175">
        <v>1500</v>
      </c>
      <c r="K1630" s="175">
        <f t="shared" si="35"/>
        <v>0</v>
      </c>
      <c r="L1630" s="175"/>
      <c r="M1630" s="77" t="s">
        <v>18</v>
      </c>
      <c r="N1630" s="77" t="s">
        <v>22</v>
      </c>
      <c r="O1630" s="177" t="s">
        <v>418</v>
      </c>
    </row>
    <row r="1631" spans="2:15" s="12" customFormat="1" ht="18">
      <c r="B1631" s="372" t="s">
        <v>120</v>
      </c>
      <c r="C1631" s="480" t="s">
        <v>493</v>
      </c>
      <c r="D1631" s="177" t="s">
        <v>417</v>
      </c>
      <c r="E1631" s="370">
        <v>0</v>
      </c>
      <c r="F1631" s="370">
        <v>0</v>
      </c>
      <c r="G1631" s="370">
        <v>0</v>
      </c>
      <c r="H1631" s="370">
        <v>0</v>
      </c>
      <c r="I1631" s="363">
        <f>SUM(Tabla132112412[[#This Row],[PRIMER TRIMESTRE]:[CUARTO TRIMESTRE]])</f>
        <v>0</v>
      </c>
      <c r="J1631" s="175">
        <v>1650</v>
      </c>
      <c r="K1631" s="175">
        <f t="shared" si="35"/>
        <v>0</v>
      </c>
      <c r="L1631" s="175"/>
      <c r="M1631" s="77" t="s">
        <v>18</v>
      </c>
      <c r="N1631" s="77" t="s">
        <v>22</v>
      </c>
      <c r="O1631" s="177" t="s">
        <v>418</v>
      </c>
    </row>
    <row r="1632" spans="2:15" s="12" customFormat="1" ht="18">
      <c r="B1632" s="372" t="s">
        <v>120</v>
      </c>
      <c r="C1632" s="480" t="s">
        <v>494</v>
      </c>
      <c r="D1632" s="177" t="s">
        <v>417</v>
      </c>
      <c r="E1632" s="370">
        <v>0</v>
      </c>
      <c r="F1632" s="370">
        <v>0</v>
      </c>
      <c r="G1632" s="370">
        <v>0</v>
      </c>
      <c r="H1632" s="370">
        <v>0</v>
      </c>
      <c r="I1632" s="363">
        <f>SUM(Tabla132112412[[#This Row],[PRIMER TRIMESTRE]:[CUARTO TRIMESTRE]])</f>
        <v>0</v>
      </c>
      <c r="J1632" s="175">
        <v>1250</v>
      </c>
      <c r="K1632" s="175">
        <f t="shared" si="35"/>
        <v>0</v>
      </c>
      <c r="L1632" s="175"/>
      <c r="M1632" s="77" t="s">
        <v>18</v>
      </c>
      <c r="N1632" s="77" t="s">
        <v>22</v>
      </c>
      <c r="O1632" s="177" t="s">
        <v>418</v>
      </c>
    </row>
    <row r="1633" spans="2:15" s="12" customFormat="1" ht="18">
      <c r="B1633" s="372" t="s">
        <v>120</v>
      </c>
      <c r="C1633" s="80" t="s">
        <v>495</v>
      </c>
      <c r="D1633" s="177" t="s">
        <v>417</v>
      </c>
      <c r="E1633" s="370">
        <v>0</v>
      </c>
      <c r="F1633" s="370">
        <v>0</v>
      </c>
      <c r="G1633" s="370">
        <v>0</v>
      </c>
      <c r="H1633" s="370">
        <v>0</v>
      </c>
      <c r="I1633" s="363">
        <f>SUM(Tabla132112412[[#This Row],[PRIMER TRIMESTRE]:[CUARTO TRIMESTRE]])</f>
        <v>0</v>
      </c>
      <c r="J1633" s="175">
        <v>1672</v>
      </c>
      <c r="K1633" s="175">
        <f t="shared" si="35"/>
        <v>0</v>
      </c>
      <c r="L1633" s="175"/>
      <c r="M1633" s="77" t="s">
        <v>18</v>
      </c>
      <c r="N1633" s="77" t="s">
        <v>22</v>
      </c>
      <c r="O1633" s="177" t="s">
        <v>418</v>
      </c>
    </row>
    <row r="1634" spans="2:15" s="12" customFormat="1" ht="18">
      <c r="B1634" s="372" t="s">
        <v>120</v>
      </c>
      <c r="C1634" s="80" t="s">
        <v>533</v>
      </c>
      <c r="D1634" s="177" t="s">
        <v>417</v>
      </c>
      <c r="E1634" s="370">
        <v>0</v>
      </c>
      <c r="F1634" s="370">
        <v>0</v>
      </c>
      <c r="G1634" s="370">
        <v>0</v>
      </c>
      <c r="H1634" s="370">
        <v>0</v>
      </c>
      <c r="I1634" s="363">
        <f>SUM(Tabla132112412[[#This Row],[PRIMER TRIMESTRE]:[CUARTO TRIMESTRE]])</f>
        <v>0</v>
      </c>
      <c r="J1634" s="175">
        <v>720</v>
      </c>
      <c r="K1634" s="175">
        <f t="shared" si="35"/>
        <v>0</v>
      </c>
      <c r="L1634" s="175"/>
      <c r="M1634" s="77" t="s">
        <v>18</v>
      </c>
      <c r="N1634" s="77" t="s">
        <v>22</v>
      </c>
      <c r="O1634" s="177" t="s">
        <v>418</v>
      </c>
    </row>
    <row r="1635" spans="2:15" s="12" customFormat="1" ht="25.5">
      <c r="B1635" s="372" t="s">
        <v>120</v>
      </c>
      <c r="C1635" s="80" t="s">
        <v>534</v>
      </c>
      <c r="D1635" s="177" t="s">
        <v>417</v>
      </c>
      <c r="E1635" s="370">
        <v>0</v>
      </c>
      <c r="F1635" s="370">
        <v>0</v>
      </c>
      <c r="G1635" s="370">
        <v>0</v>
      </c>
      <c r="H1635" s="370">
        <v>0</v>
      </c>
      <c r="I1635" s="363">
        <f>SUM(Tabla132112412[[#This Row],[PRIMER TRIMESTRE]:[CUARTO TRIMESTRE]])</f>
        <v>0</v>
      </c>
      <c r="J1635" s="175">
        <v>1280</v>
      </c>
      <c r="K1635" s="175">
        <f t="shared" si="35"/>
        <v>0</v>
      </c>
      <c r="L1635" s="175"/>
      <c r="M1635" s="77" t="s">
        <v>18</v>
      </c>
      <c r="N1635" s="77" t="s">
        <v>22</v>
      </c>
      <c r="O1635" s="177" t="s">
        <v>418</v>
      </c>
    </row>
    <row r="1636" spans="2:15" s="12" customFormat="1" ht="18">
      <c r="B1636" s="372" t="s">
        <v>120</v>
      </c>
      <c r="C1636" s="80" t="s">
        <v>1443</v>
      </c>
      <c r="D1636" s="177" t="s">
        <v>417</v>
      </c>
      <c r="E1636" s="370">
        <v>0</v>
      </c>
      <c r="F1636" s="370">
        <v>0</v>
      </c>
      <c r="G1636" s="370">
        <v>0</v>
      </c>
      <c r="H1636" s="370">
        <v>0</v>
      </c>
      <c r="I1636" s="363">
        <f>SUM(Tabla132112412[[#This Row],[PRIMER TRIMESTRE]:[CUARTO TRIMESTRE]])</f>
        <v>0</v>
      </c>
      <c r="J1636" s="175">
        <v>4159.5</v>
      </c>
      <c r="K1636" s="175">
        <f t="shared" si="35"/>
        <v>0</v>
      </c>
      <c r="L1636" s="175"/>
      <c r="M1636" s="77" t="s">
        <v>15</v>
      </c>
      <c r="N1636" s="77" t="s">
        <v>22</v>
      </c>
      <c r="O1636" s="177" t="s">
        <v>418</v>
      </c>
    </row>
    <row r="1637" spans="2:15" s="12" customFormat="1" ht="18">
      <c r="B1637" s="372" t="s">
        <v>120</v>
      </c>
      <c r="C1637" s="80" t="s">
        <v>1444</v>
      </c>
      <c r="D1637" s="177" t="s">
        <v>417</v>
      </c>
      <c r="E1637" s="370">
        <v>0</v>
      </c>
      <c r="F1637" s="370">
        <v>0</v>
      </c>
      <c r="G1637" s="370">
        <v>0</v>
      </c>
      <c r="H1637" s="370">
        <v>0</v>
      </c>
      <c r="I1637" s="363">
        <f>SUM(Tabla132112412[[#This Row],[PRIMER TRIMESTRE]:[CUARTO TRIMESTRE]])</f>
        <v>0</v>
      </c>
      <c r="J1637" s="175">
        <v>4159.5</v>
      </c>
      <c r="K1637" s="175">
        <f t="shared" si="35"/>
        <v>0</v>
      </c>
      <c r="L1637" s="175"/>
      <c r="M1637" s="77" t="s">
        <v>15</v>
      </c>
      <c r="N1637" s="77" t="s">
        <v>22</v>
      </c>
      <c r="O1637" s="177" t="s">
        <v>418</v>
      </c>
    </row>
    <row r="1638" spans="2:15" s="12" customFormat="1" ht="18">
      <c r="B1638" s="372" t="s">
        <v>120</v>
      </c>
      <c r="C1638" s="80" t="s">
        <v>1445</v>
      </c>
      <c r="D1638" s="177" t="s">
        <v>417</v>
      </c>
      <c r="E1638" s="370">
        <v>0</v>
      </c>
      <c r="F1638" s="370">
        <v>0</v>
      </c>
      <c r="G1638" s="370">
        <v>0</v>
      </c>
      <c r="H1638" s="370">
        <v>0</v>
      </c>
      <c r="I1638" s="363">
        <f>SUM(Tabla132112412[[#This Row],[PRIMER TRIMESTRE]:[CUARTO TRIMESTRE]])</f>
        <v>0</v>
      </c>
      <c r="J1638" s="175">
        <v>4159.5</v>
      </c>
      <c r="K1638" s="175">
        <f t="shared" si="35"/>
        <v>0</v>
      </c>
      <c r="L1638" s="175"/>
      <c r="M1638" s="77" t="s">
        <v>15</v>
      </c>
      <c r="N1638" s="77" t="s">
        <v>22</v>
      </c>
      <c r="O1638" s="177" t="s">
        <v>418</v>
      </c>
    </row>
    <row r="1639" spans="2:15" s="12" customFormat="1" ht="18">
      <c r="B1639" s="372" t="s">
        <v>120</v>
      </c>
      <c r="C1639" s="364" t="s">
        <v>2436</v>
      </c>
      <c r="D1639" s="455" t="s">
        <v>416</v>
      </c>
      <c r="E1639" s="362">
        <v>1</v>
      </c>
      <c r="F1639" s="362"/>
      <c r="G1639" s="362">
        <v>1</v>
      </c>
      <c r="H1639" s="362"/>
      <c r="I1639" s="363">
        <f>SUM(Tabla132112412[[#This Row],[PRIMER TRIMESTRE]:[CUARTO TRIMESTRE]])</f>
        <v>2</v>
      </c>
      <c r="J1639" s="175"/>
      <c r="K1639" s="175"/>
      <c r="L1639" s="175"/>
      <c r="M1639" s="77"/>
      <c r="N1639" s="77"/>
      <c r="O1639" s="177"/>
    </row>
    <row r="1640" spans="2:15" s="12" customFormat="1" ht="18">
      <c r="B1640" s="372" t="s">
        <v>120</v>
      </c>
      <c r="C1640" s="364" t="s">
        <v>2437</v>
      </c>
      <c r="D1640" s="455" t="s">
        <v>416</v>
      </c>
      <c r="E1640" s="362">
        <v>4</v>
      </c>
      <c r="F1640" s="362">
        <v>4</v>
      </c>
      <c r="G1640" s="362">
        <v>4</v>
      </c>
      <c r="H1640" s="362">
        <v>4</v>
      </c>
      <c r="I1640" s="363">
        <f>SUM(Tabla132112412[[#This Row],[PRIMER TRIMESTRE]:[CUARTO TRIMESTRE]])</f>
        <v>16</v>
      </c>
      <c r="J1640" s="175"/>
      <c r="K1640" s="175"/>
      <c r="L1640" s="175"/>
      <c r="M1640" s="77"/>
      <c r="N1640" s="77"/>
      <c r="O1640" s="177"/>
    </row>
    <row r="1641" spans="2:15" s="12" customFormat="1" ht="18">
      <c r="B1641" s="372" t="s">
        <v>120</v>
      </c>
      <c r="C1641" s="364" t="s">
        <v>2438</v>
      </c>
      <c r="D1641" s="455" t="s">
        <v>17</v>
      </c>
      <c r="E1641" s="362">
        <v>6</v>
      </c>
      <c r="F1641" s="362">
        <v>6</v>
      </c>
      <c r="G1641" s="362">
        <v>6</v>
      </c>
      <c r="H1641" s="362">
        <v>6</v>
      </c>
      <c r="I1641" s="363">
        <f>SUM(Tabla132112412[[#This Row],[PRIMER TRIMESTRE]:[CUARTO TRIMESTRE]])</f>
        <v>24</v>
      </c>
      <c r="J1641" s="175"/>
      <c r="K1641" s="175"/>
      <c r="L1641" s="175"/>
      <c r="M1641" s="77"/>
      <c r="N1641" s="77"/>
      <c r="O1641" s="177"/>
    </row>
    <row r="1642" spans="2:15" s="12" customFormat="1" ht="18">
      <c r="B1642" s="372" t="s">
        <v>120</v>
      </c>
      <c r="C1642" s="80" t="s">
        <v>474</v>
      </c>
      <c r="D1642" s="177" t="s">
        <v>417</v>
      </c>
      <c r="E1642" s="370">
        <v>0</v>
      </c>
      <c r="F1642" s="370">
        <v>0</v>
      </c>
      <c r="G1642" s="370">
        <v>0</v>
      </c>
      <c r="H1642" s="370">
        <v>0</v>
      </c>
      <c r="I1642" s="363">
        <f>SUM(Tabla132112412[[#This Row],[PRIMER TRIMESTRE]:[CUARTO TRIMESTRE]])</f>
        <v>0</v>
      </c>
      <c r="J1642" s="175">
        <v>2900</v>
      </c>
      <c r="K1642" s="175">
        <f t="shared" si="35"/>
        <v>0</v>
      </c>
      <c r="L1642" s="175"/>
      <c r="M1642" s="77" t="s">
        <v>18</v>
      </c>
      <c r="N1642" s="77" t="s">
        <v>22</v>
      </c>
      <c r="O1642" s="177" t="s">
        <v>418</v>
      </c>
    </row>
    <row r="1643" spans="2:15" s="12" customFormat="1" ht="18">
      <c r="B1643" s="372" t="s">
        <v>120</v>
      </c>
      <c r="C1643" s="480" t="s">
        <v>475</v>
      </c>
      <c r="D1643" s="177" t="s">
        <v>417</v>
      </c>
      <c r="E1643" s="370">
        <v>0</v>
      </c>
      <c r="F1643" s="370">
        <v>0</v>
      </c>
      <c r="G1643" s="370">
        <v>0</v>
      </c>
      <c r="H1643" s="370">
        <v>0</v>
      </c>
      <c r="I1643" s="363">
        <f>SUM(Tabla132112412[[#This Row],[PRIMER TRIMESTRE]:[CUARTO TRIMESTRE]])</f>
        <v>0</v>
      </c>
      <c r="J1643" s="175">
        <v>2350</v>
      </c>
      <c r="K1643" s="175">
        <f t="shared" si="35"/>
        <v>0</v>
      </c>
      <c r="L1643" s="175"/>
      <c r="M1643" s="77" t="s">
        <v>18</v>
      </c>
      <c r="N1643" s="77" t="s">
        <v>22</v>
      </c>
      <c r="O1643" s="177" t="s">
        <v>418</v>
      </c>
    </row>
    <row r="1644" spans="2:15" s="12" customFormat="1" ht="18">
      <c r="B1644" s="372" t="s">
        <v>120</v>
      </c>
      <c r="C1644" s="480" t="s">
        <v>2439</v>
      </c>
      <c r="D1644" s="177" t="s">
        <v>417</v>
      </c>
      <c r="E1644" s="370">
        <v>5</v>
      </c>
      <c r="F1644" s="370">
        <v>5</v>
      </c>
      <c r="G1644" s="370">
        <v>5</v>
      </c>
      <c r="H1644" s="370">
        <v>5</v>
      </c>
      <c r="I1644" s="363">
        <f>SUM(Tabla132112412[[#This Row],[PRIMER TRIMESTRE]:[CUARTO TRIMESTRE]])</f>
        <v>20</v>
      </c>
      <c r="J1644" s="175">
        <v>3990</v>
      </c>
      <c r="K1644" s="175">
        <f t="shared" si="35"/>
        <v>79800</v>
      </c>
      <c r="L1644" s="175"/>
      <c r="M1644" s="77" t="s">
        <v>18</v>
      </c>
      <c r="N1644" s="77" t="s">
        <v>22</v>
      </c>
      <c r="O1644" s="177" t="s">
        <v>418</v>
      </c>
    </row>
    <row r="1645" spans="2:15" s="12" customFormat="1" ht="18">
      <c r="B1645" s="372" t="s">
        <v>120</v>
      </c>
      <c r="C1645" s="80" t="s">
        <v>496</v>
      </c>
      <c r="D1645" s="177" t="s">
        <v>417</v>
      </c>
      <c r="E1645" s="370">
        <v>0</v>
      </c>
      <c r="F1645" s="370">
        <v>0</v>
      </c>
      <c r="G1645" s="370">
        <v>0</v>
      </c>
      <c r="H1645" s="370">
        <v>0</v>
      </c>
      <c r="I1645" s="363">
        <f>SUM(Tabla132112412[[#This Row],[PRIMER TRIMESTRE]:[CUARTO TRIMESTRE]])</f>
        <v>0</v>
      </c>
      <c r="J1645" s="175">
        <v>4200</v>
      </c>
      <c r="K1645" s="175">
        <f t="shared" si="35"/>
        <v>0</v>
      </c>
      <c r="L1645" s="175"/>
      <c r="M1645" s="77" t="s">
        <v>18</v>
      </c>
      <c r="N1645" s="77" t="s">
        <v>22</v>
      </c>
      <c r="O1645" s="177" t="s">
        <v>418</v>
      </c>
    </row>
    <row r="1646" spans="2:15" s="12" customFormat="1" ht="18">
      <c r="B1646" s="372" t="s">
        <v>120</v>
      </c>
      <c r="C1646" s="480" t="s">
        <v>497</v>
      </c>
      <c r="D1646" s="177" t="s">
        <v>417</v>
      </c>
      <c r="E1646" s="370">
        <v>0</v>
      </c>
      <c r="F1646" s="370">
        <v>0</v>
      </c>
      <c r="G1646" s="370">
        <v>0</v>
      </c>
      <c r="H1646" s="370">
        <v>0</v>
      </c>
      <c r="I1646" s="363">
        <f>SUM(Tabla132112412[[#This Row],[PRIMER TRIMESTRE]:[CUARTO TRIMESTRE]])</f>
        <v>0</v>
      </c>
      <c r="J1646" s="175">
        <v>4200</v>
      </c>
      <c r="K1646" s="175">
        <f t="shared" si="35"/>
        <v>0</v>
      </c>
      <c r="L1646" s="175"/>
      <c r="M1646" s="77" t="s">
        <v>18</v>
      </c>
      <c r="N1646" s="77" t="s">
        <v>22</v>
      </c>
      <c r="O1646" s="177" t="s">
        <v>418</v>
      </c>
    </row>
    <row r="1647" spans="2:15" s="12" customFormat="1" ht="18">
      <c r="B1647" s="372" t="s">
        <v>120</v>
      </c>
      <c r="C1647" s="480" t="s">
        <v>498</v>
      </c>
      <c r="D1647" s="177" t="s">
        <v>417</v>
      </c>
      <c r="E1647" s="370">
        <v>0</v>
      </c>
      <c r="F1647" s="370">
        <v>0</v>
      </c>
      <c r="G1647" s="370">
        <v>0</v>
      </c>
      <c r="H1647" s="370">
        <v>0</v>
      </c>
      <c r="I1647" s="363">
        <f>SUM(Tabla132112412[[#This Row],[PRIMER TRIMESTRE]:[CUARTO TRIMESTRE]])</f>
        <v>0</v>
      </c>
      <c r="J1647" s="175">
        <v>4200</v>
      </c>
      <c r="K1647" s="175">
        <f t="shared" si="35"/>
        <v>0</v>
      </c>
      <c r="L1647" s="175"/>
      <c r="M1647" s="77" t="s">
        <v>18</v>
      </c>
      <c r="N1647" s="77" t="s">
        <v>22</v>
      </c>
      <c r="O1647" s="177" t="s">
        <v>418</v>
      </c>
    </row>
    <row r="1648" spans="2:15" s="12" customFormat="1" ht="18">
      <c r="B1648" s="372" t="s">
        <v>120</v>
      </c>
      <c r="C1648" s="480" t="s">
        <v>499</v>
      </c>
      <c r="D1648" s="177" t="s">
        <v>417</v>
      </c>
      <c r="E1648" s="370">
        <v>0</v>
      </c>
      <c r="F1648" s="370">
        <v>0</v>
      </c>
      <c r="G1648" s="370">
        <v>0</v>
      </c>
      <c r="H1648" s="370">
        <v>0</v>
      </c>
      <c r="I1648" s="363">
        <f>SUM(Tabla132112412[[#This Row],[PRIMER TRIMESTRE]:[CUARTO TRIMESTRE]])</f>
        <v>0</v>
      </c>
      <c r="J1648" s="175">
        <v>4200</v>
      </c>
      <c r="K1648" s="175">
        <f t="shared" si="35"/>
        <v>0</v>
      </c>
      <c r="L1648" s="175"/>
      <c r="M1648" s="77" t="s">
        <v>18</v>
      </c>
      <c r="N1648" s="77" t="s">
        <v>22</v>
      </c>
      <c r="O1648" s="177" t="s">
        <v>418</v>
      </c>
    </row>
    <row r="1649" spans="2:15" s="12" customFormat="1" ht="18">
      <c r="B1649" s="372" t="s">
        <v>120</v>
      </c>
      <c r="C1649" s="80" t="s">
        <v>500</v>
      </c>
      <c r="D1649" s="177" t="s">
        <v>417</v>
      </c>
      <c r="E1649" s="370">
        <v>0</v>
      </c>
      <c r="F1649" s="370">
        <v>0</v>
      </c>
      <c r="G1649" s="370">
        <v>0</v>
      </c>
      <c r="H1649" s="370">
        <v>0</v>
      </c>
      <c r="I1649" s="363">
        <f>SUM(Tabla132112412[[#This Row],[PRIMER TRIMESTRE]:[CUARTO TRIMESTRE]])</f>
        <v>0</v>
      </c>
      <c r="J1649" s="175">
        <v>8210.5</v>
      </c>
      <c r="K1649" s="175">
        <f t="shared" si="35"/>
        <v>0</v>
      </c>
      <c r="L1649" s="175"/>
      <c r="M1649" s="77" t="s">
        <v>18</v>
      </c>
      <c r="N1649" s="77" t="s">
        <v>22</v>
      </c>
      <c r="O1649" s="177" t="s">
        <v>418</v>
      </c>
    </row>
    <row r="1650" spans="2:15" s="12" customFormat="1" ht="18">
      <c r="B1650" s="372" t="s">
        <v>120</v>
      </c>
      <c r="C1650" s="184" t="s">
        <v>1897</v>
      </c>
      <c r="D1650" s="39" t="s">
        <v>417</v>
      </c>
      <c r="E1650" s="236">
        <v>2</v>
      </c>
      <c r="F1650" s="236">
        <v>2</v>
      </c>
      <c r="G1650" s="236">
        <v>2</v>
      </c>
      <c r="H1650" s="236">
        <v>2</v>
      </c>
      <c r="I1650" s="363">
        <f>SUM(Tabla132112412[[#This Row],[PRIMER TRIMESTRE]:[CUARTO TRIMESTRE]])</f>
        <v>8</v>
      </c>
      <c r="J1650" s="175"/>
      <c r="K1650" s="175"/>
      <c r="L1650" s="175"/>
      <c r="M1650" s="77"/>
      <c r="N1650" s="77"/>
      <c r="O1650" s="177"/>
    </row>
    <row r="1651" spans="2:15" s="12" customFormat="1" ht="18">
      <c r="B1651" s="372" t="s">
        <v>120</v>
      </c>
      <c r="C1651" s="184" t="s">
        <v>1898</v>
      </c>
      <c r="D1651" s="39" t="s">
        <v>417</v>
      </c>
      <c r="E1651" s="236">
        <v>2</v>
      </c>
      <c r="F1651" s="236">
        <v>2</v>
      </c>
      <c r="G1651" s="236">
        <v>2</v>
      </c>
      <c r="H1651" s="236">
        <v>2</v>
      </c>
      <c r="I1651" s="363">
        <f>SUM(Tabla132112412[[#This Row],[PRIMER TRIMESTRE]:[CUARTO TRIMESTRE]])</f>
        <v>8</v>
      </c>
      <c r="J1651" s="175"/>
      <c r="K1651" s="175"/>
      <c r="L1651" s="175"/>
      <c r="M1651" s="77"/>
      <c r="N1651" s="77"/>
      <c r="O1651" s="177"/>
    </row>
    <row r="1652" spans="2:15" s="12" customFormat="1" ht="18">
      <c r="B1652" s="372" t="s">
        <v>120</v>
      </c>
      <c r="C1652" s="184" t="s">
        <v>1899</v>
      </c>
      <c r="D1652" s="39" t="s">
        <v>417</v>
      </c>
      <c r="E1652" s="236">
        <v>2</v>
      </c>
      <c r="F1652" s="236">
        <v>2</v>
      </c>
      <c r="G1652" s="236">
        <v>2</v>
      </c>
      <c r="H1652" s="236">
        <v>2</v>
      </c>
      <c r="I1652" s="363">
        <f>SUM(Tabla132112412[[#This Row],[PRIMER TRIMESTRE]:[CUARTO TRIMESTRE]])</f>
        <v>8</v>
      </c>
      <c r="J1652" s="175"/>
      <c r="K1652" s="175"/>
      <c r="L1652" s="175"/>
      <c r="M1652" s="77"/>
      <c r="N1652" s="77"/>
      <c r="O1652" s="177"/>
    </row>
    <row r="1653" spans="2:15" s="12" customFormat="1" ht="18">
      <c r="B1653" s="372" t="s">
        <v>120</v>
      </c>
      <c r="C1653" s="184" t="s">
        <v>1900</v>
      </c>
      <c r="D1653" s="39" t="s">
        <v>417</v>
      </c>
      <c r="E1653" s="236">
        <v>2</v>
      </c>
      <c r="F1653" s="236">
        <v>2</v>
      </c>
      <c r="G1653" s="236">
        <v>2</v>
      </c>
      <c r="H1653" s="236">
        <v>2</v>
      </c>
      <c r="I1653" s="363">
        <f>SUM(Tabla132112412[[#This Row],[PRIMER TRIMESTRE]:[CUARTO TRIMESTRE]])</f>
        <v>8</v>
      </c>
      <c r="J1653" s="175"/>
      <c r="K1653" s="175"/>
      <c r="L1653" s="175"/>
      <c r="M1653" s="77"/>
      <c r="N1653" s="77"/>
      <c r="O1653" s="177"/>
    </row>
    <row r="1654" spans="2:15" s="12" customFormat="1" ht="18">
      <c r="B1654" s="372" t="s">
        <v>120</v>
      </c>
      <c r="C1654" s="80" t="s">
        <v>501</v>
      </c>
      <c r="D1654" s="177" t="s">
        <v>417</v>
      </c>
      <c r="E1654" s="370">
        <v>0</v>
      </c>
      <c r="F1654" s="370">
        <v>0</v>
      </c>
      <c r="G1654" s="370">
        <v>0</v>
      </c>
      <c r="H1654" s="370">
        <v>0</v>
      </c>
      <c r="I1654" s="363">
        <f>SUM(Tabla132112412[[#This Row],[PRIMER TRIMESTRE]:[CUARTO TRIMESTRE]])</f>
        <v>0</v>
      </c>
      <c r="J1654" s="175">
        <v>3250</v>
      </c>
      <c r="K1654" s="175">
        <f t="shared" si="35"/>
        <v>0</v>
      </c>
      <c r="L1654" s="175"/>
      <c r="M1654" s="77" t="s">
        <v>18</v>
      </c>
      <c r="N1654" s="77" t="s">
        <v>22</v>
      </c>
      <c r="O1654" s="177" t="s">
        <v>418</v>
      </c>
    </row>
    <row r="1655" spans="2:15" s="12" customFormat="1" ht="18">
      <c r="B1655" s="372" t="s">
        <v>120</v>
      </c>
      <c r="C1655" s="480" t="s">
        <v>502</v>
      </c>
      <c r="D1655" s="177" t="s">
        <v>417</v>
      </c>
      <c r="E1655" s="370">
        <v>0</v>
      </c>
      <c r="F1655" s="370">
        <v>0</v>
      </c>
      <c r="G1655" s="370">
        <v>0</v>
      </c>
      <c r="H1655" s="370">
        <v>0</v>
      </c>
      <c r="I1655" s="363">
        <f>SUM(Tabla132112412[[#This Row],[PRIMER TRIMESTRE]:[CUARTO TRIMESTRE]])</f>
        <v>0</v>
      </c>
      <c r="J1655" s="175">
        <v>450</v>
      </c>
      <c r="K1655" s="175">
        <f t="shared" si="35"/>
        <v>0</v>
      </c>
      <c r="L1655" s="175"/>
      <c r="M1655" s="77" t="s">
        <v>18</v>
      </c>
      <c r="N1655" s="77" t="s">
        <v>22</v>
      </c>
      <c r="O1655" s="177" t="s">
        <v>418</v>
      </c>
    </row>
    <row r="1656" spans="2:15" s="12" customFormat="1" ht="18">
      <c r="B1656" s="372" t="s">
        <v>120</v>
      </c>
      <c r="C1656" s="480" t="s">
        <v>503</v>
      </c>
      <c r="D1656" s="177" t="s">
        <v>417</v>
      </c>
      <c r="E1656" s="370">
        <v>0</v>
      </c>
      <c r="F1656" s="370">
        <v>0</v>
      </c>
      <c r="G1656" s="370">
        <v>0</v>
      </c>
      <c r="H1656" s="370">
        <v>0</v>
      </c>
      <c r="I1656" s="363">
        <f>SUM(Tabla132112412[[#This Row],[PRIMER TRIMESTRE]:[CUARTO TRIMESTRE]])</f>
        <v>0</v>
      </c>
      <c r="J1656" s="175">
        <v>450</v>
      </c>
      <c r="K1656" s="175">
        <f t="shared" si="35"/>
        <v>0</v>
      </c>
      <c r="L1656" s="175"/>
      <c r="M1656" s="77" t="s">
        <v>18</v>
      </c>
      <c r="N1656" s="77" t="s">
        <v>22</v>
      </c>
      <c r="O1656" s="177" t="s">
        <v>418</v>
      </c>
    </row>
    <row r="1657" spans="2:15" s="12" customFormat="1" ht="18">
      <c r="B1657" s="372" t="s">
        <v>120</v>
      </c>
      <c r="C1657" s="480" t="s">
        <v>504</v>
      </c>
      <c r="D1657" s="177" t="s">
        <v>417</v>
      </c>
      <c r="E1657" s="370">
        <v>0</v>
      </c>
      <c r="F1657" s="370">
        <v>0</v>
      </c>
      <c r="G1657" s="370">
        <v>0</v>
      </c>
      <c r="H1657" s="370">
        <v>0</v>
      </c>
      <c r="I1657" s="363">
        <f>SUM(Tabla132112412[[#This Row],[PRIMER TRIMESTRE]:[CUARTO TRIMESTRE]])</f>
        <v>0</v>
      </c>
      <c r="J1657" s="175">
        <v>450</v>
      </c>
      <c r="K1657" s="175">
        <f t="shared" si="35"/>
        <v>0</v>
      </c>
      <c r="L1657" s="175"/>
      <c r="M1657" s="77" t="s">
        <v>18</v>
      </c>
      <c r="N1657" s="77" t="s">
        <v>22</v>
      </c>
      <c r="O1657" s="177" t="s">
        <v>418</v>
      </c>
    </row>
    <row r="1658" spans="2:15" s="12" customFormat="1" ht="18">
      <c r="B1658" s="372" t="s">
        <v>120</v>
      </c>
      <c r="C1658" s="480" t="s">
        <v>505</v>
      </c>
      <c r="D1658" s="177" t="s">
        <v>417</v>
      </c>
      <c r="E1658" s="370">
        <v>0</v>
      </c>
      <c r="F1658" s="370">
        <v>0</v>
      </c>
      <c r="G1658" s="370">
        <v>0</v>
      </c>
      <c r="H1658" s="370">
        <v>0</v>
      </c>
      <c r="I1658" s="363">
        <f>SUM(Tabla132112412[[#This Row],[PRIMER TRIMESTRE]:[CUARTO TRIMESTRE]])</f>
        <v>0</v>
      </c>
      <c r="J1658" s="175">
        <v>450</v>
      </c>
      <c r="K1658" s="175">
        <f t="shared" si="35"/>
        <v>0</v>
      </c>
      <c r="L1658" s="175"/>
      <c r="M1658" s="77" t="s">
        <v>18</v>
      </c>
      <c r="N1658" s="77" t="s">
        <v>22</v>
      </c>
      <c r="O1658" s="177" t="s">
        <v>418</v>
      </c>
    </row>
    <row r="1659" spans="2:15" s="12" customFormat="1" ht="18">
      <c r="B1659" s="372" t="s">
        <v>120</v>
      </c>
      <c r="C1659" s="480" t="s">
        <v>506</v>
      </c>
      <c r="D1659" s="177" t="s">
        <v>417</v>
      </c>
      <c r="E1659" s="370">
        <v>0</v>
      </c>
      <c r="F1659" s="370">
        <v>0</v>
      </c>
      <c r="G1659" s="370">
        <v>0</v>
      </c>
      <c r="H1659" s="370">
        <v>0</v>
      </c>
      <c r="I1659" s="363">
        <f>SUM(Tabla132112412[[#This Row],[PRIMER TRIMESTRE]:[CUARTO TRIMESTRE]])</f>
        <v>0</v>
      </c>
      <c r="J1659" s="175">
        <v>5800</v>
      </c>
      <c r="K1659" s="175">
        <f t="shared" si="35"/>
        <v>0</v>
      </c>
      <c r="L1659" s="175"/>
      <c r="M1659" s="77" t="s">
        <v>18</v>
      </c>
      <c r="N1659" s="77" t="s">
        <v>22</v>
      </c>
      <c r="O1659" s="177" t="s">
        <v>418</v>
      </c>
    </row>
    <row r="1660" spans="2:15" s="12" customFormat="1" ht="18">
      <c r="B1660" s="372" t="s">
        <v>120</v>
      </c>
      <c r="C1660" s="480" t="s">
        <v>507</v>
      </c>
      <c r="D1660" s="177" t="s">
        <v>417</v>
      </c>
      <c r="E1660" s="370">
        <v>0</v>
      </c>
      <c r="F1660" s="370">
        <v>0</v>
      </c>
      <c r="G1660" s="370">
        <v>0</v>
      </c>
      <c r="H1660" s="370">
        <v>0</v>
      </c>
      <c r="I1660" s="363">
        <f>SUM(Tabla132112412[[#This Row],[PRIMER TRIMESTRE]:[CUARTO TRIMESTRE]])</f>
        <v>0</v>
      </c>
      <c r="J1660" s="175">
        <v>2800</v>
      </c>
      <c r="K1660" s="175">
        <f t="shared" si="35"/>
        <v>0</v>
      </c>
      <c r="L1660" s="175"/>
      <c r="M1660" s="77" t="s">
        <v>18</v>
      </c>
      <c r="N1660" s="77" t="s">
        <v>22</v>
      </c>
      <c r="O1660" s="177" t="s">
        <v>418</v>
      </c>
    </row>
    <row r="1661" spans="2:15" s="12" customFormat="1" ht="18">
      <c r="B1661" s="372" t="s">
        <v>120</v>
      </c>
      <c r="C1661" s="480" t="s">
        <v>508</v>
      </c>
      <c r="D1661" s="177" t="s">
        <v>417</v>
      </c>
      <c r="E1661" s="370">
        <v>0</v>
      </c>
      <c r="F1661" s="370">
        <v>0</v>
      </c>
      <c r="G1661" s="370">
        <v>0</v>
      </c>
      <c r="H1661" s="370">
        <v>0</v>
      </c>
      <c r="I1661" s="363">
        <f>SUM(Tabla132112412[[#This Row],[PRIMER TRIMESTRE]:[CUARTO TRIMESTRE]])</f>
        <v>0</v>
      </c>
      <c r="J1661" s="175">
        <v>5100</v>
      </c>
      <c r="K1661" s="175">
        <f t="shared" si="35"/>
        <v>0</v>
      </c>
      <c r="L1661" s="175"/>
      <c r="M1661" s="77" t="s">
        <v>18</v>
      </c>
      <c r="N1661" s="77" t="s">
        <v>22</v>
      </c>
      <c r="O1661" s="177" t="s">
        <v>418</v>
      </c>
    </row>
    <row r="1662" spans="2:15" s="12" customFormat="1" ht="18">
      <c r="B1662" s="372" t="s">
        <v>120</v>
      </c>
      <c r="C1662" s="480" t="s">
        <v>509</v>
      </c>
      <c r="D1662" s="177" t="s">
        <v>417</v>
      </c>
      <c r="E1662" s="370">
        <v>0</v>
      </c>
      <c r="F1662" s="370">
        <v>0</v>
      </c>
      <c r="G1662" s="370">
        <v>0</v>
      </c>
      <c r="H1662" s="370">
        <v>0</v>
      </c>
      <c r="I1662" s="363">
        <f>SUM(Tabla132112412[[#This Row],[PRIMER TRIMESTRE]:[CUARTO TRIMESTRE]])</f>
        <v>0</v>
      </c>
      <c r="J1662" s="175">
        <v>5100</v>
      </c>
      <c r="K1662" s="175">
        <f t="shared" si="35"/>
        <v>0</v>
      </c>
      <c r="L1662" s="175"/>
      <c r="M1662" s="77" t="s">
        <v>18</v>
      </c>
      <c r="N1662" s="77" t="s">
        <v>22</v>
      </c>
      <c r="O1662" s="177" t="s">
        <v>418</v>
      </c>
    </row>
    <row r="1663" spans="2:15" s="12" customFormat="1" ht="18">
      <c r="B1663" s="372" t="s">
        <v>120</v>
      </c>
      <c r="C1663" s="480" t="s">
        <v>510</v>
      </c>
      <c r="D1663" s="177" t="s">
        <v>417</v>
      </c>
      <c r="E1663" s="370">
        <v>0</v>
      </c>
      <c r="F1663" s="370">
        <v>0</v>
      </c>
      <c r="G1663" s="370">
        <v>0</v>
      </c>
      <c r="H1663" s="370">
        <v>0</v>
      </c>
      <c r="I1663" s="363">
        <f>SUM(Tabla132112412[[#This Row],[PRIMER TRIMESTRE]:[CUARTO TRIMESTRE]])</f>
        <v>0</v>
      </c>
      <c r="J1663" s="175">
        <v>5100</v>
      </c>
      <c r="K1663" s="175">
        <f t="shared" si="35"/>
        <v>0</v>
      </c>
      <c r="L1663" s="175"/>
      <c r="M1663" s="77" t="s">
        <v>18</v>
      </c>
      <c r="N1663" s="77" t="s">
        <v>22</v>
      </c>
      <c r="O1663" s="177" t="s">
        <v>418</v>
      </c>
    </row>
    <row r="1664" spans="2:15" s="12" customFormat="1" ht="18">
      <c r="B1664" s="372" t="s">
        <v>120</v>
      </c>
      <c r="C1664" s="480" t="s">
        <v>511</v>
      </c>
      <c r="D1664" s="177" t="s">
        <v>417</v>
      </c>
      <c r="E1664" s="370">
        <v>0</v>
      </c>
      <c r="F1664" s="370">
        <v>0</v>
      </c>
      <c r="G1664" s="370">
        <v>0</v>
      </c>
      <c r="H1664" s="370">
        <v>0</v>
      </c>
      <c r="I1664" s="363">
        <f>SUM(Tabla132112412[[#This Row],[PRIMER TRIMESTRE]:[CUARTO TRIMESTRE]])</f>
        <v>0</v>
      </c>
      <c r="J1664" s="175">
        <v>5100</v>
      </c>
      <c r="K1664" s="175">
        <f t="shared" si="35"/>
        <v>0</v>
      </c>
      <c r="L1664" s="175"/>
      <c r="M1664" s="77" t="s">
        <v>18</v>
      </c>
      <c r="N1664" s="77" t="s">
        <v>22</v>
      </c>
      <c r="O1664" s="177" t="s">
        <v>418</v>
      </c>
    </row>
    <row r="1665" spans="2:15" s="12" customFormat="1" ht="18">
      <c r="B1665" s="372" t="s">
        <v>120</v>
      </c>
      <c r="C1665" s="480" t="s">
        <v>512</v>
      </c>
      <c r="D1665" s="177" t="s">
        <v>417</v>
      </c>
      <c r="E1665" s="370">
        <v>0</v>
      </c>
      <c r="F1665" s="370">
        <v>0</v>
      </c>
      <c r="G1665" s="370">
        <v>0</v>
      </c>
      <c r="H1665" s="370">
        <v>0</v>
      </c>
      <c r="I1665" s="363">
        <f>SUM(Tabla132112412[[#This Row],[PRIMER TRIMESTRE]:[CUARTO TRIMESTRE]])</f>
        <v>0</v>
      </c>
      <c r="J1665" s="175">
        <v>2000</v>
      </c>
      <c r="K1665" s="175">
        <f t="shared" si="35"/>
        <v>0</v>
      </c>
      <c r="L1665" s="175"/>
      <c r="M1665" s="77" t="s">
        <v>18</v>
      </c>
      <c r="N1665" s="77" t="s">
        <v>22</v>
      </c>
      <c r="O1665" s="177" t="s">
        <v>418</v>
      </c>
    </row>
    <row r="1666" spans="2:15" s="12" customFormat="1" ht="18">
      <c r="B1666" s="372" t="s">
        <v>120</v>
      </c>
      <c r="C1666" s="480" t="s">
        <v>513</v>
      </c>
      <c r="D1666" s="177" t="s">
        <v>417</v>
      </c>
      <c r="E1666" s="370">
        <v>0</v>
      </c>
      <c r="F1666" s="370">
        <v>0</v>
      </c>
      <c r="G1666" s="370">
        <v>0</v>
      </c>
      <c r="H1666" s="370">
        <v>0</v>
      </c>
      <c r="I1666" s="363">
        <f>SUM(Tabla132112412[[#This Row],[PRIMER TRIMESTRE]:[CUARTO TRIMESTRE]])</f>
        <v>0</v>
      </c>
      <c r="J1666" s="175">
        <v>2500</v>
      </c>
      <c r="K1666" s="175">
        <f t="shared" si="35"/>
        <v>0</v>
      </c>
      <c r="L1666" s="175"/>
      <c r="M1666" s="77" t="s">
        <v>18</v>
      </c>
      <c r="N1666" s="77" t="s">
        <v>22</v>
      </c>
      <c r="O1666" s="177" t="s">
        <v>418</v>
      </c>
    </row>
    <row r="1667" spans="2:15" s="12" customFormat="1" ht="18">
      <c r="B1667" s="372" t="s">
        <v>120</v>
      </c>
      <c r="C1667" s="480" t="s">
        <v>514</v>
      </c>
      <c r="D1667" s="177" t="s">
        <v>417</v>
      </c>
      <c r="E1667" s="370">
        <v>0</v>
      </c>
      <c r="F1667" s="370">
        <v>0</v>
      </c>
      <c r="G1667" s="370">
        <v>0</v>
      </c>
      <c r="H1667" s="370">
        <v>0</v>
      </c>
      <c r="I1667" s="363">
        <f>SUM(Tabla132112412[[#This Row],[PRIMER TRIMESTRE]:[CUARTO TRIMESTRE]])</f>
        <v>0</v>
      </c>
      <c r="J1667" s="175">
        <v>2500</v>
      </c>
      <c r="K1667" s="175">
        <f t="shared" si="35"/>
        <v>0</v>
      </c>
      <c r="L1667" s="175"/>
      <c r="M1667" s="77" t="s">
        <v>18</v>
      </c>
      <c r="N1667" s="77" t="s">
        <v>22</v>
      </c>
      <c r="O1667" s="177" t="s">
        <v>418</v>
      </c>
    </row>
    <row r="1668" spans="2:15" s="12" customFormat="1" ht="18">
      <c r="B1668" s="372" t="s">
        <v>120</v>
      </c>
      <c r="C1668" s="480" t="s">
        <v>515</v>
      </c>
      <c r="D1668" s="177" t="s">
        <v>417</v>
      </c>
      <c r="E1668" s="370">
        <v>0</v>
      </c>
      <c r="F1668" s="370">
        <v>0</v>
      </c>
      <c r="G1668" s="370">
        <v>0</v>
      </c>
      <c r="H1668" s="370">
        <v>0</v>
      </c>
      <c r="I1668" s="363">
        <f>SUM(Tabla132112412[[#This Row],[PRIMER TRIMESTRE]:[CUARTO TRIMESTRE]])</f>
        <v>0</v>
      </c>
      <c r="J1668" s="175">
        <v>2500</v>
      </c>
      <c r="K1668" s="175">
        <f t="shared" si="35"/>
        <v>0</v>
      </c>
      <c r="L1668" s="175"/>
      <c r="M1668" s="77" t="s">
        <v>18</v>
      </c>
      <c r="N1668" s="77" t="s">
        <v>22</v>
      </c>
      <c r="O1668" s="177" t="s">
        <v>418</v>
      </c>
    </row>
    <row r="1669" spans="2:15" s="12" customFormat="1" ht="18">
      <c r="B1669" s="372" t="s">
        <v>120</v>
      </c>
      <c r="C1669" s="480" t="s">
        <v>516</v>
      </c>
      <c r="D1669" s="177" t="s">
        <v>417</v>
      </c>
      <c r="E1669" s="370">
        <v>0</v>
      </c>
      <c r="F1669" s="370">
        <v>0</v>
      </c>
      <c r="G1669" s="370">
        <v>0</v>
      </c>
      <c r="H1669" s="370">
        <v>0</v>
      </c>
      <c r="I1669" s="363">
        <f>SUM(Tabla132112412[[#This Row],[PRIMER TRIMESTRE]:[CUARTO TRIMESTRE]])</f>
        <v>0</v>
      </c>
      <c r="J1669" s="175">
        <v>2500</v>
      </c>
      <c r="K1669" s="175">
        <f t="shared" si="35"/>
        <v>0</v>
      </c>
      <c r="L1669" s="175"/>
      <c r="M1669" s="77" t="s">
        <v>18</v>
      </c>
      <c r="N1669" s="77" t="s">
        <v>22</v>
      </c>
      <c r="O1669" s="177" t="s">
        <v>418</v>
      </c>
    </row>
    <row r="1670" spans="2:15" s="12" customFormat="1" ht="18">
      <c r="B1670" s="372" t="s">
        <v>120</v>
      </c>
      <c r="C1670" s="480" t="s">
        <v>517</v>
      </c>
      <c r="D1670" s="177" t="s">
        <v>417</v>
      </c>
      <c r="E1670" s="370">
        <v>0</v>
      </c>
      <c r="F1670" s="370">
        <v>0</v>
      </c>
      <c r="G1670" s="370">
        <v>0</v>
      </c>
      <c r="H1670" s="370">
        <v>0</v>
      </c>
      <c r="I1670" s="363">
        <f>SUM(Tabla132112412[[#This Row],[PRIMER TRIMESTRE]:[CUARTO TRIMESTRE]])</f>
        <v>0</v>
      </c>
      <c r="J1670" s="175">
        <v>4100</v>
      </c>
      <c r="K1670" s="175">
        <f t="shared" si="35"/>
        <v>0</v>
      </c>
      <c r="L1670" s="175"/>
      <c r="M1670" s="77" t="s">
        <v>18</v>
      </c>
      <c r="N1670" s="77" t="s">
        <v>22</v>
      </c>
      <c r="O1670" s="177" t="s">
        <v>418</v>
      </c>
    </row>
    <row r="1671" spans="2:15" s="12" customFormat="1" ht="18">
      <c r="B1671" s="372" t="s">
        <v>120</v>
      </c>
      <c r="C1671" s="480" t="s">
        <v>518</v>
      </c>
      <c r="D1671" s="177" t="s">
        <v>417</v>
      </c>
      <c r="E1671" s="370">
        <v>0</v>
      </c>
      <c r="F1671" s="370">
        <v>0</v>
      </c>
      <c r="G1671" s="370">
        <v>0</v>
      </c>
      <c r="H1671" s="370">
        <v>0</v>
      </c>
      <c r="I1671" s="363">
        <f>SUM(Tabla132112412[[#This Row],[PRIMER TRIMESTRE]:[CUARTO TRIMESTRE]])</f>
        <v>0</v>
      </c>
      <c r="J1671" s="175">
        <v>3800</v>
      </c>
      <c r="K1671" s="175">
        <f t="shared" si="35"/>
        <v>0</v>
      </c>
      <c r="L1671" s="175"/>
      <c r="M1671" s="77" t="s">
        <v>18</v>
      </c>
      <c r="N1671" s="77" t="s">
        <v>22</v>
      </c>
      <c r="O1671" s="177" t="s">
        <v>418</v>
      </c>
    </row>
    <row r="1672" spans="2:15" s="12" customFormat="1" ht="18">
      <c r="B1672" s="372" t="s">
        <v>120</v>
      </c>
      <c r="C1672" s="480" t="s">
        <v>519</v>
      </c>
      <c r="D1672" s="177" t="s">
        <v>417</v>
      </c>
      <c r="E1672" s="370">
        <v>0</v>
      </c>
      <c r="F1672" s="370">
        <v>0</v>
      </c>
      <c r="G1672" s="370">
        <v>0</v>
      </c>
      <c r="H1672" s="370">
        <v>0</v>
      </c>
      <c r="I1672" s="363">
        <f>SUM(Tabla132112412[[#This Row],[PRIMER TRIMESTRE]:[CUARTO TRIMESTRE]])</f>
        <v>0</v>
      </c>
      <c r="J1672" s="175">
        <v>5400</v>
      </c>
      <c r="K1672" s="175">
        <f t="shared" si="35"/>
        <v>0</v>
      </c>
      <c r="L1672" s="175"/>
      <c r="M1672" s="77" t="s">
        <v>18</v>
      </c>
      <c r="N1672" s="77" t="s">
        <v>22</v>
      </c>
      <c r="O1672" s="177" t="s">
        <v>418</v>
      </c>
    </row>
    <row r="1673" spans="2:15" s="12" customFormat="1" ht="18">
      <c r="B1673" s="372" t="s">
        <v>120</v>
      </c>
      <c r="C1673" s="480" t="s">
        <v>520</v>
      </c>
      <c r="D1673" s="177" t="s">
        <v>417</v>
      </c>
      <c r="E1673" s="370">
        <v>0</v>
      </c>
      <c r="F1673" s="370">
        <v>0</v>
      </c>
      <c r="G1673" s="370">
        <v>0</v>
      </c>
      <c r="H1673" s="370">
        <v>0</v>
      </c>
      <c r="I1673" s="363">
        <f>SUM(Tabla132112412[[#This Row],[PRIMER TRIMESTRE]:[CUARTO TRIMESTRE]])</f>
        <v>0</v>
      </c>
      <c r="J1673" s="175">
        <v>5400</v>
      </c>
      <c r="K1673" s="175">
        <f t="shared" si="35"/>
        <v>0</v>
      </c>
      <c r="L1673" s="175"/>
      <c r="M1673" s="77" t="s">
        <v>18</v>
      </c>
      <c r="N1673" s="77" t="s">
        <v>22</v>
      </c>
      <c r="O1673" s="177" t="s">
        <v>418</v>
      </c>
    </row>
    <row r="1674" spans="2:15" s="12" customFormat="1" ht="18">
      <c r="B1674" s="372" t="s">
        <v>120</v>
      </c>
      <c r="C1674" s="480" t="s">
        <v>521</v>
      </c>
      <c r="D1674" s="177" t="s">
        <v>417</v>
      </c>
      <c r="E1674" s="370">
        <v>0</v>
      </c>
      <c r="F1674" s="370">
        <v>0</v>
      </c>
      <c r="G1674" s="370">
        <v>0</v>
      </c>
      <c r="H1674" s="370">
        <v>0</v>
      </c>
      <c r="I1674" s="363">
        <f>SUM(Tabla132112412[[#This Row],[PRIMER TRIMESTRE]:[CUARTO TRIMESTRE]])</f>
        <v>0</v>
      </c>
      <c r="J1674" s="175">
        <v>5400</v>
      </c>
      <c r="K1674" s="175">
        <f t="shared" si="35"/>
        <v>0</v>
      </c>
      <c r="L1674" s="175"/>
      <c r="M1674" s="77" t="s">
        <v>18</v>
      </c>
      <c r="N1674" s="77" t="s">
        <v>22</v>
      </c>
      <c r="O1674" s="177" t="s">
        <v>418</v>
      </c>
    </row>
    <row r="1675" spans="2:15" s="12" customFormat="1" ht="18">
      <c r="B1675" s="372" t="s">
        <v>120</v>
      </c>
      <c r="C1675" s="480" t="s">
        <v>522</v>
      </c>
      <c r="D1675" s="177" t="s">
        <v>417</v>
      </c>
      <c r="E1675" s="370">
        <v>5</v>
      </c>
      <c r="F1675" s="370">
        <v>5</v>
      </c>
      <c r="G1675" s="370">
        <v>5</v>
      </c>
      <c r="H1675" s="370">
        <v>5</v>
      </c>
      <c r="I1675" s="363">
        <f>SUM(Tabla132112412[[#This Row],[PRIMER TRIMESTRE]:[CUARTO TRIMESTRE]])</f>
        <v>20</v>
      </c>
      <c r="J1675" s="175">
        <v>3100</v>
      </c>
      <c r="K1675" s="175">
        <f t="shared" si="35"/>
        <v>62000</v>
      </c>
      <c r="L1675" s="175"/>
      <c r="M1675" s="77" t="s">
        <v>18</v>
      </c>
      <c r="N1675" s="77" t="s">
        <v>22</v>
      </c>
      <c r="O1675" s="177" t="s">
        <v>418</v>
      </c>
    </row>
    <row r="1676" spans="2:15" s="12" customFormat="1" ht="18">
      <c r="B1676" s="372" t="s">
        <v>120</v>
      </c>
      <c r="C1676" s="480" t="s">
        <v>523</v>
      </c>
      <c r="D1676" s="177" t="s">
        <v>417</v>
      </c>
      <c r="E1676" s="370">
        <v>0</v>
      </c>
      <c r="F1676" s="370">
        <v>0</v>
      </c>
      <c r="G1676" s="370">
        <v>0</v>
      </c>
      <c r="H1676" s="370">
        <v>0</v>
      </c>
      <c r="I1676" s="363">
        <f>SUM(Tabla132112412[[#This Row],[PRIMER TRIMESTRE]:[CUARTO TRIMESTRE]])</f>
        <v>0</v>
      </c>
      <c r="J1676" s="175">
        <v>5100</v>
      </c>
      <c r="K1676" s="175">
        <f t="shared" si="35"/>
        <v>0</v>
      </c>
      <c r="L1676" s="175"/>
      <c r="M1676" s="77" t="s">
        <v>18</v>
      </c>
      <c r="N1676" s="77" t="s">
        <v>22</v>
      </c>
      <c r="O1676" s="177" t="s">
        <v>418</v>
      </c>
    </row>
    <row r="1677" spans="2:15" s="12" customFormat="1" ht="18">
      <c r="B1677" s="372" t="s">
        <v>120</v>
      </c>
      <c r="C1677" s="480" t="s">
        <v>524</v>
      </c>
      <c r="D1677" s="177" t="s">
        <v>417</v>
      </c>
      <c r="E1677" s="370">
        <v>0</v>
      </c>
      <c r="F1677" s="370">
        <v>0</v>
      </c>
      <c r="G1677" s="370">
        <v>0</v>
      </c>
      <c r="H1677" s="370">
        <v>0</v>
      </c>
      <c r="I1677" s="363">
        <f>SUM(Tabla132112412[[#This Row],[PRIMER TRIMESTRE]:[CUARTO TRIMESTRE]])</f>
        <v>0</v>
      </c>
      <c r="J1677" s="175">
        <v>3000</v>
      </c>
      <c r="K1677" s="175">
        <f t="shared" si="35"/>
        <v>0</v>
      </c>
      <c r="L1677" s="175"/>
      <c r="M1677" s="77" t="s">
        <v>18</v>
      </c>
      <c r="N1677" s="77" t="s">
        <v>22</v>
      </c>
      <c r="O1677" s="177" t="s">
        <v>418</v>
      </c>
    </row>
    <row r="1678" spans="2:15" s="12" customFormat="1" ht="18">
      <c r="B1678" s="372" t="s">
        <v>120</v>
      </c>
      <c r="C1678" s="480" t="s">
        <v>525</v>
      </c>
      <c r="D1678" s="177" t="s">
        <v>417</v>
      </c>
      <c r="E1678" s="370">
        <v>0</v>
      </c>
      <c r="F1678" s="370">
        <v>0</v>
      </c>
      <c r="G1678" s="370">
        <v>0</v>
      </c>
      <c r="H1678" s="370">
        <v>0</v>
      </c>
      <c r="I1678" s="363">
        <f>SUM(Tabla132112412[[#This Row],[PRIMER TRIMESTRE]:[CUARTO TRIMESTRE]])</f>
        <v>0</v>
      </c>
      <c r="J1678" s="175">
        <v>3800</v>
      </c>
      <c r="K1678" s="175">
        <f t="shared" si="35"/>
        <v>0</v>
      </c>
      <c r="L1678" s="175"/>
      <c r="M1678" s="77" t="s">
        <v>18</v>
      </c>
      <c r="N1678" s="77" t="s">
        <v>22</v>
      </c>
      <c r="O1678" s="177" t="s">
        <v>418</v>
      </c>
    </row>
    <row r="1679" spans="2:15" s="12" customFormat="1" ht="18">
      <c r="B1679" s="372" t="s">
        <v>120</v>
      </c>
      <c r="C1679" s="480" t="s">
        <v>526</v>
      </c>
      <c r="D1679" s="177" t="s">
        <v>417</v>
      </c>
      <c r="E1679" s="370">
        <v>0</v>
      </c>
      <c r="F1679" s="370">
        <v>0</v>
      </c>
      <c r="G1679" s="370">
        <v>0</v>
      </c>
      <c r="H1679" s="370">
        <v>0</v>
      </c>
      <c r="I1679" s="363">
        <f>SUM(Tabla132112412[[#This Row],[PRIMER TRIMESTRE]:[CUARTO TRIMESTRE]])</f>
        <v>0</v>
      </c>
      <c r="J1679" s="175">
        <v>3800</v>
      </c>
      <c r="K1679" s="175">
        <f t="shared" si="35"/>
        <v>0</v>
      </c>
      <c r="L1679" s="175"/>
      <c r="M1679" s="77" t="s">
        <v>18</v>
      </c>
      <c r="N1679" s="77" t="s">
        <v>22</v>
      </c>
      <c r="O1679" s="177" t="s">
        <v>418</v>
      </c>
    </row>
    <row r="1680" spans="2:15" s="12" customFormat="1" ht="18">
      <c r="B1680" s="372" t="s">
        <v>120</v>
      </c>
      <c r="C1680" s="480" t="s">
        <v>527</v>
      </c>
      <c r="D1680" s="177" t="s">
        <v>417</v>
      </c>
      <c r="E1680" s="370">
        <v>0</v>
      </c>
      <c r="F1680" s="370">
        <v>0</v>
      </c>
      <c r="G1680" s="370">
        <v>0</v>
      </c>
      <c r="H1680" s="370">
        <v>0</v>
      </c>
      <c r="I1680" s="363">
        <f>SUM(Tabla132112412[[#This Row],[PRIMER TRIMESTRE]:[CUARTO TRIMESTRE]])</f>
        <v>0</v>
      </c>
      <c r="J1680" s="175">
        <v>3800</v>
      </c>
      <c r="K1680" s="175">
        <f t="shared" si="35"/>
        <v>0</v>
      </c>
      <c r="L1680" s="175"/>
      <c r="M1680" s="77" t="s">
        <v>18</v>
      </c>
      <c r="N1680" s="77" t="s">
        <v>22</v>
      </c>
      <c r="O1680" s="177" t="s">
        <v>418</v>
      </c>
    </row>
    <row r="1681" spans="2:15" s="12" customFormat="1" ht="18">
      <c r="B1681" s="372" t="s">
        <v>120</v>
      </c>
      <c r="C1681" s="480" t="s">
        <v>528</v>
      </c>
      <c r="D1681" s="177" t="s">
        <v>417</v>
      </c>
      <c r="E1681" s="370">
        <v>0</v>
      </c>
      <c r="F1681" s="370">
        <v>0</v>
      </c>
      <c r="G1681" s="370">
        <v>0</v>
      </c>
      <c r="H1681" s="370">
        <v>0</v>
      </c>
      <c r="I1681" s="363">
        <f>SUM(Tabla132112412[[#This Row],[PRIMER TRIMESTRE]:[CUARTO TRIMESTRE]])</f>
        <v>0</v>
      </c>
      <c r="J1681" s="175">
        <v>6400</v>
      </c>
      <c r="K1681" s="175">
        <f t="shared" si="35"/>
        <v>0</v>
      </c>
      <c r="L1681" s="175"/>
      <c r="M1681" s="77" t="s">
        <v>18</v>
      </c>
      <c r="N1681" s="77" t="s">
        <v>22</v>
      </c>
      <c r="O1681" s="177" t="s">
        <v>418</v>
      </c>
    </row>
    <row r="1682" spans="2:15" s="12" customFormat="1" ht="18">
      <c r="B1682" s="372" t="s">
        <v>120</v>
      </c>
      <c r="C1682" s="80" t="s">
        <v>529</v>
      </c>
      <c r="D1682" s="177" t="s">
        <v>417</v>
      </c>
      <c r="E1682" s="370">
        <v>0</v>
      </c>
      <c r="F1682" s="370">
        <v>0</v>
      </c>
      <c r="G1682" s="370">
        <v>0</v>
      </c>
      <c r="H1682" s="370">
        <v>0</v>
      </c>
      <c r="I1682" s="363">
        <f>SUM(Tabla132112412[[#This Row],[PRIMER TRIMESTRE]:[CUARTO TRIMESTRE]])</f>
        <v>0</v>
      </c>
      <c r="J1682" s="175">
        <f>9750*1.18</f>
        <v>11505</v>
      </c>
      <c r="K1682" s="175">
        <f t="shared" si="35"/>
        <v>0</v>
      </c>
      <c r="L1682" s="175"/>
      <c r="M1682" s="77" t="s">
        <v>18</v>
      </c>
      <c r="N1682" s="77" t="s">
        <v>22</v>
      </c>
      <c r="O1682" s="177" t="s">
        <v>418</v>
      </c>
    </row>
    <row r="1683" spans="2:15" s="12" customFormat="1" ht="18">
      <c r="B1683" s="372" t="s">
        <v>120</v>
      </c>
      <c r="C1683" s="80" t="s">
        <v>530</v>
      </c>
      <c r="D1683" s="177" t="s">
        <v>417</v>
      </c>
      <c r="E1683" s="370">
        <v>0</v>
      </c>
      <c r="F1683" s="370">
        <v>0</v>
      </c>
      <c r="G1683" s="370">
        <v>0</v>
      </c>
      <c r="H1683" s="370">
        <v>0</v>
      </c>
      <c r="I1683" s="363">
        <f>SUM(Tabla132112412[[#This Row],[PRIMER TRIMESTRE]:[CUARTO TRIMESTRE]])</f>
        <v>0</v>
      </c>
      <c r="J1683" s="175">
        <v>11505</v>
      </c>
      <c r="K1683" s="175">
        <f t="shared" si="35"/>
        <v>0</v>
      </c>
      <c r="L1683" s="175"/>
      <c r="M1683" s="77" t="s">
        <v>18</v>
      </c>
      <c r="N1683" s="77" t="s">
        <v>22</v>
      </c>
      <c r="O1683" s="177" t="s">
        <v>418</v>
      </c>
    </row>
    <row r="1684" spans="2:15" s="12" customFormat="1" ht="18">
      <c r="B1684" s="372" t="s">
        <v>120</v>
      </c>
      <c r="C1684" s="80" t="s">
        <v>531</v>
      </c>
      <c r="D1684" s="177" t="s">
        <v>417</v>
      </c>
      <c r="E1684" s="370">
        <v>0</v>
      </c>
      <c r="F1684" s="370">
        <v>0</v>
      </c>
      <c r="G1684" s="370">
        <v>0</v>
      </c>
      <c r="H1684" s="370">
        <v>0</v>
      </c>
      <c r="I1684" s="363">
        <f>SUM(Tabla132112412[[#This Row],[PRIMER TRIMESTRE]:[CUARTO TRIMESTRE]])</f>
        <v>0</v>
      </c>
      <c r="J1684" s="175">
        <v>11505</v>
      </c>
      <c r="K1684" s="175">
        <f t="shared" ref="K1684:K1702" si="36">+I1684*J1684</f>
        <v>0</v>
      </c>
      <c r="L1684" s="175"/>
      <c r="M1684" s="77" t="s">
        <v>18</v>
      </c>
      <c r="N1684" s="77" t="s">
        <v>22</v>
      </c>
      <c r="O1684" s="177" t="s">
        <v>418</v>
      </c>
    </row>
    <row r="1685" spans="2:15" s="12" customFormat="1" ht="18">
      <c r="B1685" s="372" t="s">
        <v>120</v>
      </c>
      <c r="C1685" s="80" t="s">
        <v>532</v>
      </c>
      <c r="D1685" s="177" t="s">
        <v>417</v>
      </c>
      <c r="E1685" s="370">
        <v>0</v>
      </c>
      <c r="F1685" s="370">
        <v>0</v>
      </c>
      <c r="G1685" s="370">
        <v>0</v>
      </c>
      <c r="H1685" s="370">
        <v>0</v>
      </c>
      <c r="I1685" s="363">
        <f>SUM(Tabla132112412[[#This Row],[PRIMER TRIMESTRE]:[CUARTO TRIMESTRE]])</f>
        <v>0</v>
      </c>
      <c r="J1685" s="175">
        <v>11505</v>
      </c>
      <c r="K1685" s="175">
        <f t="shared" si="36"/>
        <v>0</v>
      </c>
      <c r="L1685" s="175"/>
      <c r="M1685" s="77" t="s">
        <v>18</v>
      </c>
      <c r="N1685" s="77" t="s">
        <v>22</v>
      </c>
      <c r="O1685" s="177" t="s">
        <v>418</v>
      </c>
    </row>
    <row r="1686" spans="2:15" s="12" customFormat="1" ht="18">
      <c r="B1686" s="372" t="s">
        <v>120</v>
      </c>
      <c r="C1686" s="80" t="s">
        <v>1901</v>
      </c>
      <c r="D1686" s="39" t="s">
        <v>417</v>
      </c>
      <c r="E1686" s="236">
        <v>4</v>
      </c>
      <c r="F1686" s="210">
        <v>4</v>
      </c>
      <c r="G1686" s="370"/>
      <c r="H1686" s="370"/>
      <c r="I1686" s="363">
        <f>SUM(Tabla132112412[[#This Row],[PRIMER TRIMESTRE]:[CUARTO TRIMESTRE]])</f>
        <v>8</v>
      </c>
      <c r="J1686" s="175"/>
      <c r="K1686" s="175"/>
      <c r="L1686" s="175"/>
      <c r="M1686" s="77"/>
      <c r="N1686" s="77"/>
      <c r="O1686" s="177"/>
    </row>
    <row r="1687" spans="2:15" s="12" customFormat="1" ht="18">
      <c r="B1687" s="372" t="s">
        <v>120</v>
      </c>
      <c r="C1687" s="80" t="s">
        <v>1902</v>
      </c>
      <c r="D1687" s="39" t="s">
        <v>417</v>
      </c>
      <c r="E1687" s="236">
        <v>4</v>
      </c>
      <c r="F1687" s="210"/>
      <c r="G1687" s="370"/>
      <c r="H1687" s="370"/>
      <c r="I1687" s="363">
        <f>SUM(Tabla132112412[[#This Row],[PRIMER TRIMESTRE]:[CUARTO TRIMESTRE]])</f>
        <v>4</v>
      </c>
      <c r="J1687" s="175"/>
      <c r="K1687" s="175"/>
      <c r="L1687" s="175"/>
      <c r="M1687" s="77"/>
      <c r="N1687" s="77"/>
      <c r="O1687" s="177"/>
    </row>
    <row r="1688" spans="2:15" s="12" customFormat="1" ht="18">
      <c r="B1688" s="372" t="s">
        <v>120</v>
      </c>
      <c r="C1688" s="80" t="s">
        <v>1903</v>
      </c>
      <c r="D1688" s="39" t="s">
        <v>417</v>
      </c>
      <c r="E1688" s="236">
        <v>4</v>
      </c>
      <c r="F1688" s="210"/>
      <c r="G1688" s="370"/>
      <c r="H1688" s="370"/>
      <c r="I1688" s="363">
        <f>SUM(Tabla132112412[[#This Row],[PRIMER TRIMESTRE]:[CUARTO TRIMESTRE]])</f>
        <v>4</v>
      </c>
      <c r="J1688" s="175"/>
      <c r="K1688" s="175"/>
      <c r="L1688" s="175"/>
      <c r="M1688" s="77"/>
      <c r="N1688" s="77"/>
      <c r="O1688" s="177"/>
    </row>
    <row r="1689" spans="2:15" s="12" customFormat="1" ht="18">
      <c r="B1689" s="372" t="s">
        <v>120</v>
      </c>
      <c r="C1689" s="80" t="s">
        <v>1904</v>
      </c>
      <c r="D1689" s="39" t="s">
        <v>417</v>
      </c>
      <c r="E1689" s="236">
        <v>4</v>
      </c>
      <c r="F1689" s="210"/>
      <c r="G1689" s="370"/>
      <c r="H1689" s="370"/>
      <c r="I1689" s="363">
        <f>SUM(Tabla132112412[[#This Row],[PRIMER TRIMESTRE]:[CUARTO TRIMESTRE]])</f>
        <v>4</v>
      </c>
      <c r="J1689" s="175"/>
      <c r="K1689" s="175"/>
      <c r="L1689" s="175"/>
      <c r="M1689" s="77"/>
      <c r="N1689" s="77"/>
      <c r="O1689" s="177"/>
    </row>
    <row r="1690" spans="2:15" s="12" customFormat="1" ht="18">
      <c r="B1690" s="372" t="s">
        <v>120</v>
      </c>
      <c r="C1690" s="80" t="s">
        <v>1905</v>
      </c>
      <c r="D1690" s="39" t="s">
        <v>417</v>
      </c>
      <c r="E1690" s="236">
        <v>6</v>
      </c>
      <c r="F1690" s="210"/>
      <c r="G1690" s="370"/>
      <c r="H1690" s="370"/>
      <c r="I1690" s="363">
        <f>SUM(Tabla132112412[[#This Row],[PRIMER TRIMESTRE]:[CUARTO TRIMESTRE]])</f>
        <v>6</v>
      </c>
      <c r="J1690" s="175"/>
      <c r="K1690" s="175"/>
      <c r="L1690" s="175"/>
      <c r="M1690" s="77"/>
      <c r="N1690" s="77"/>
      <c r="O1690" s="177"/>
    </row>
    <row r="1691" spans="2:15" s="12" customFormat="1" ht="18">
      <c r="B1691" s="372" t="s">
        <v>120</v>
      </c>
      <c r="C1691" s="80" t="s">
        <v>790</v>
      </c>
      <c r="D1691" s="177" t="s">
        <v>417</v>
      </c>
      <c r="E1691" s="370">
        <v>0</v>
      </c>
      <c r="F1691" s="370">
        <v>0</v>
      </c>
      <c r="G1691" s="370">
        <v>0</v>
      </c>
      <c r="H1691" s="370">
        <v>0</v>
      </c>
      <c r="I1691" s="363">
        <f>SUM(Tabla132112412[[#This Row],[PRIMER TRIMESTRE]:[CUARTO TRIMESTRE]])</f>
        <v>0</v>
      </c>
      <c r="J1691" s="175">
        <v>3760.11</v>
      </c>
      <c r="K1691" s="175">
        <f t="shared" si="36"/>
        <v>0</v>
      </c>
      <c r="L1691" s="175"/>
      <c r="M1691" s="77" t="s">
        <v>18</v>
      </c>
      <c r="N1691" s="77" t="s">
        <v>22</v>
      </c>
      <c r="O1691" s="177" t="s">
        <v>418</v>
      </c>
    </row>
    <row r="1692" spans="2:15" s="12" customFormat="1" ht="30.75" customHeight="1">
      <c r="B1692" s="372" t="s">
        <v>120</v>
      </c>
      <c r="C1692" s="80" t="s">
        <v>791</v>
      </c>
      <c r="D1692" s="177" t="s">
        <v>417</v>
      </c>
      <c r="E1692" s="370">
        <v>0</v>
      </c>
      <c r="F1692" s="370">
        <v>0</v>
      </c>
      <c r="G1692" s="370">
        <v>0</v>
      </c>
      <c r="H1692" s="370">
        <v>0</v>
      </c>
      <c r="I1692" s="363">
        <f>SUM(Tabla132112412[[#This Row],[PRIMER TRIMESTRE]:[CUARTO TRIMESTRE]])</f>
        <v>0</v>
      </c>
      <c r="J1692" s="175">
        <v>3914.09</v>
      </c>
      <c r="K1692" s="175">
        <f t="shared" si="36"/>
        <v>0</v>
      </c>
      <c r="L1692" s="175"/>
      <c r="M1692" s="77" t="s">
        <v>18</v>
      </c>
      <c r="N1692" s="77" t="s">
        <v>22</v>
      </c>
      <c r="O1692" s="177" t="s">
        <v>418</v>
      </c>
    </row>
    <row r="1693" spans="2:15" s="12" customFormat="1" ht="30.75" customHeight="1">
      <c r="B1693" s="372" t="s">
        <v>120</v>
      </c>
      <c r="C1693" s="80" t="s">
        <v>792</v>
      </c>
      <c r="D1693" s="177" t="s">
        <v>417</v>
      </c>
      <c r="E1693" s="370">
        <v>0</v>
      </c>
      <c r="F1693" s="370">
        <v>0</v>
      </c>
      <c r="G1693" s="370">
        <v>0</v>
      </c>
      <c r="H1693" s="370">
        <v>0</v>
      </c>
      <c r="I1693" s="363">
        <f>SUM(Tabla132112412[[#This Row],[PRIMER TRIMESTRE]:[CUARTO TRIMESTRE]])</f>
        <v>0</v>
      </c>
      <c r="J1693" s="175">
        <v>4257.1899999999996</v>
      </c>
      <c r="K1693" s="175">
        <f t="shared" si="36"/>
        <v>0</v>
      </c>
      <c r="L1693" s="175"/>
      <c r="M1693" s="77" t="s">
        <v>18</v>
      </c>
      <c r="N1693" s="77" t="s">
        <v>22</v>
      </c>
      <c r="O1693" s="177" t="s">
        <v>418</v>
      </c>
    </row>
    <row r="1694" spans="2:15" s="12" customFormat="1" ht="30.75" customHeight="1">
      <c r="B1694" s="372" t="s">
        <v>120</v>
      </c>
      <c r="C1694" s="80" t="s">
        <v>793</v>
      </c>
      <c r="D1694" s="177" t="s">
        <v>417</v>
      </c>
      <c r="E1694" s="370">
        <v>0</v>
      </c>
      <c r="F1694" s="370">
        <v>0</v>
      </c>
      <c r="G1694" s="370">
        <v>0</v>
      </c>
      <c r="H1694" s="370">
        <v>0</v>
      </c>
      <c r="I1694" s="363">
        <f>SUM(Tabla132112412[[#This Row],[PRIMER TRIMESTRE]:[CUARTO TRIMESTRE]])</f>
        <v>0</v>
      </c>
      <c r="J1694" s="175">
        <v>4257.1899999999996</v>
      </c>
      <c r="K1694" s="175">
        <f t="shared" si="36"/>
        <v>0</v>
      </c>
      <c r="L1694" s="175"/>
      <c r="M1694" s="77" t="s">
        <v>18</v>
      </c>
      <c r="N1694" s="77" t="s">
        <v>22</v>
      </c>
      <c r="O1694" s="177" t="s">
        <v>418</v>
      </c>
    </row>
    <row r="1695" spans="2:15" s="12" customFormat="1" ht="30.75" customHeight="1">
      <c r="B1695" s="372" t="s">
        <v>120</v>
      </c>
      <c r="C1695" s="80" t="s">
        <v>794</v>
      </c>
      <c r="D1695" s="177" t="s">
        <v>417</v>
      </c>
      <c r="E1695" s="370">
        <v>0</v>
      </c>
      <c r="F1695" s="370">
        <v>0</v>
      </c>
      <c r="G1695" s="370">
        <v>0</v>
      </c>
      <c r="H1695" s="370">
        <v>0</v>
      </c>
      <c r="I1695" s="363">
        <f>SUM(Tabla132112412[[#This Row],[PRIMER TRIMESTRE]:[CUARTO TRIMESTRE]])</f>
        <v>0</v>
      </c>
      <c r="J1695" s="175">
        <v>4257.8999999999996</v>
      </c>
      <c r="K1695" s="175">
        <f t="shared" si="36"/>
        <v>0</v>
      </c>
      <c r="L1695" s="175"/>
      <c r="M1695" s="77" t="s">
        <v>18</v>
      </c>
      <c r="N1695" s="77" t="s">
        <v>22</v>
      </c>
      <c r="O1695" s="177" t="s">
        <v>418</v>
      </c>
    </row>
    <row r="1696" spans="2:15" s="12" customFormat="1" ht="30.75" customHeight="1">
      <c r="B1696" s="372" t="s">
        <v>120</v>
      </c>
      <c r="C1696" s="80" t="s">
        <v>795</v>
      </c>
      <c r="D1696" s="177" t="s">
        <v>417</v>
      </c>
      <c r="E1696" s="370">
        <v>5</v>
      </c>
      <c r="F1696" s="370">
        <v>5</v>
      </c>
      <c r="G1696" s="370">
        <v>5</v>
      </c>
      <c r="H1696" s="370">
        <v>5</v>
      </c>
      <c r="I1696" s="363">
        <f>SUM(Tabla132112412[[#This Row],[PRIMER TRIMESTRE]:[CUARTO TRIMESTRE]])</f>
        <v>20</v>
      </c>
      <c r="J1696" s="175">
        <v>4238.76</v>
      </c>
      <c r="K1696" s="175">
        <f t="shared" si="36"/>
        <v>84775.200000000012</v>
      </c>
      <c r="L1696" s="175"/>
      <c r="M1696" s="77" t="s">
        <v>18</v>
      </c>
      <c r="N1696" s="77" t="s">
        <v>22</v>
      </c>
      <c r="O1696" s="177" t="s">
        <v>418</v>
      </c>
    </row>
    <row r="1697" spans="1:15" s="12" customFormat="1" ht="30.75" customHeight="1">
      <c r="B1697" s="372" t="s">
        <v>120</v>
      </c>
      <c r="C1697" s="80" t="s">
        <v>796</v>
      </c>
      <c r="D1697" s="177" t="s">
        <v>417</v>
      </c>
      <c r="E1697" s="370">
        <v>5</v>
      </c>
      <c r="F1697" s="370">
        <v>5</v>
      </c>
      <c r="G1697" s="370">
        <v>5</v>
      </c>
      <c r="H1697" s="370">
        <v>5</v>
      </c>
      <c r="I1697" s="363">
        <f>SUM(Tabla132112412[[#This Row],[PRIMER TRIMESTRE]:[CUARTO TRIMESTRE]])</f>
        <v>20</v>
      </c>
      <c r="J1697" s="175">
        <v>3199.82</v>
      </c>
      <c r="K1697" s="175">
        <f t="shared" si="36"/>
        <v>63996.4</v>
      </c>
      <c r="L1697" s="175"/>
      <c r="M1697" s="77" t="s">
        <v>18</v>
      </c>
      <c r="N1697" s="77" t="s">
        <v>22</v>
      </c>
      <c r="O1697" s="177" t="s">
        <v>418</v>
      </c>
    </row>
    <row r="1698" spans="1:15" s="12" customFormat="1" ht="30.75" customHeight="1">
      <c r="B1698" s="372" t="s">
        <v>120</v>
      </c>
      <c r="C1698" s="80" t="s">
        <v>797</v>
      </c>
      <c r="D1698" s="177" t="s">
        <v>417</v>
      </c>
      <c r="E1698" s="370">
        <v>0</v>
      </c>
      <c r="F1698" s="370">
        <v>0</v>
      </c>
      <c r="G1698" s="370">
        <v>0</v>
      </c>
      <c r="H1698" s="370">
        <v>0</v>
      </c>
      <c r="I1698" s="363">
        <f>SUM(Tabla132112412[[#This Row],[PRIMER TRIMESTRE]:[CUARTO TRIMESTRE]])</f>
        <v>0</v>
      </c>
      <c r="J1698" s="175">
        <v>3679.8</v>
      </c>
      <c r="K1698" s="175">
        <f t="shared" si="36"/>
        <v>0</v>
      </c>
      <c r="L1698" s="175"/>
      <c r="M1698" s="77" t="s">
        <v>18</v>
      </c>
      <c r="N1698" s="77" t="s">
        <v>22</v>
      </c>
      <c r="O1698" s="177" t="s">
        <v>418</v>
      </c>
    </row>
    <row r="1699" spans="1:15" s="12" customFormat="1" ht="30.75" customHeight="1">
      <c r="B1699" s="372" t="s">
        <v>120</v>
      </c>
      <c r="C1699" s="80" t="s">
        <v>798</v>
      </c>
      <c r="D1699" s="177" t="s">
        <v>417</v>
      </c>
      <c r="E1699" s="370">
        <v>0</v>
      </c>
      <c r="F1699" s="370">
        <v>0</v>
      </c>
      <c r="G1699" s="370">
        <v>0</v>
      </c>
      <c r="H1699" s="370">
        <v>0</v>
      </c>
      <c r="I1699" s="363">
        <f>SUM(Tabla132112412[[#This Row],[PRIMER TRIMESTRE]:[CUARTO TRIMESTRE]])</f>
        <v>0</v>
      </c>
      <c r="J1699" s="175">
        <v>3304</v>
      </c>
      <c r="K1699" s="175">
        <f t="shared" si="36"/>
        <v>0</v>
      </c>
      <c r="L1699" s="175"/>
      <c r="M1699" s="77" t="s">
        <v>18</v>
      </c>
      <c r="N1699" s="77" t="s">
        <v>22</v>
      </c>
      <c r="O1699" s="177" t="s">
        <v>418</v>
      </c>
    </row>
    <row r="1700" spans="1:15" s="12" customFormat="1" ht="30.75" customHeight="1">
      <c r="B1700" s="372" t="s">
        <v>120</v>
      </c>
      <c r="C1700" s="80" t="s">
        <v>1409</v>
      </c>
      <c r="D1700" s="177" t="s">
        <v>417</v>
      </c>
      <c r="E1700" s="370">
        <v>0</v>
      </c>
      <c r="F1700" s="370">
        <v>0</v>
      </c>
      <c r="G1700" s="370">
        <v>0</v>
      </c>
      <c r="H1700" s="370">
        <v>0</v>
      </c>
      <c r="I1700" s="363">
        <f>SUM(Tabla132112412[[#This Row],[PRIMER TRIMESTRE]:[CUARTO TRIMESTRE]])</f>
        <v>0</v>
      </c>
      <c r="J1700" s="175">
        <v>5700</v>
      </c>
      <c r="K1700" s="175">
        <f t="shared" si="36"/>
        <v>0</v>
      </c>
      <c r="L1700" s="175"/>
      <c r="M1700" s="77" t="s">
        <v>18</v>
      </c>
      <c r="N1700" s="77" t="s">
        <v>22</v>
      </c>
      <c r="O1700" s="177" t="s">
        <v>418</v>
      </c>
    </row>
    <row r="1701" spans="1:15" s="26" customFormat="1" ht="30.75" customHeight="1">
      <c r="A1701" s="12"/>
      <c r="B1701" s="372" t="s">
        <v>120</v>
      </c>
      <c r="C1701" s="80" t="s">
        <v>1410</v>
      </c>
      <c r="D1701" s="177" t="s">
        <v>417</v>
      </c>
      <c r="E1701" s="370">
        <v>0</v>
      </c>
      <c r="F1701" s="370">
        <v>0</v>
      </c>
      <c r="G1701" s="370">
        <v>0</v>
      </c>
      <c r="H1701" s="370">
        <v>0</v>
      </c>
      <c r="I1701" s="363">
        <f>SUM(Tabla132112412[[#This Row],[PRIMER TRIMESTRE]:[CUARTO TRIMESTRE]])</f>
        <v>0</v>
      </c>
      <c r="J1701" s="175">
        <v>8500</v>
      </c>
      <c r="K1701" s="175">
        <f t="shared" si="36"/>
        <v>0</v>
      </c>
      <c r="L1701" s="175"/>
      <c r="M1701" s="77" t="s">
        <v>18</v>
      </c>
      <c r="N1701" s="77" t="s">
        <v>22</v>
      </c>
      <c r="O1701" s="177" t="s">
        <v>418</v>
      </c>
    </row>
    <row r="1702" spans="1:15" s="12" customFormat="1" ht="30.75" customHeight="1">
      <c r="B1702" s="372" t="s">
        <v>120</v>
      </c>
      <c r="C1702" s="80" t="s">
        <v>2440</v>
      </c>
      <c r="D1702" s="177" t="s">
        <v>417</v>
      </c>
      <c r="E1702" s="370">
        <v>8</v>
      </c>
      <c r="F1702" s="370">
        <v>8</v>
      </c>
      <c r="G1702" s="370">
        <v>8</v>
      </c>
      <c r="H1702" s="370">
        <v>8</v>
      </c>
      <c r="I1702" s="363">
        <f>SUM(Tabla132112412[[#This Row],[PRIMER TRIMESTRE]:[CUARTO TRIMESTRE]])</f>
        <v>32</v>
      </c>
      <c r="J1702" s="175">
        <v>3500</v>
      </c>
      <c r="K1702" s="175">
        <f t="shared" si="36"/>
        <v>112000</v>
      </c>
      <c r="L1702" s="175"/>
      <c r="M1702" s="77" t="s">
        <v>18</v>
      </c>
      <c r="N1702" s="77" t="s">
        <v>22</v>
      </c>
      <c r="O1702" s="177" t="s">
        <v>418</v>
      </c>
    </row>
    <row r="1703" spans="1:15" s="12" customFormat="1" ht="30.75" customHeight="1">
      <c r="B1703" s="452" t="s">
        <v>120</v>
      </c>
      <c r="C1703" s="453"/>
      <c r="D1703" s="177"/>
      <c r="E1703" s="370"/>
      <c r="F1703" s="370"/>
      <c r="G1703" s="370"/>
      <c r="H1703" s="370"/>
      <c r="I1703" s="363">
        <f>SUM(Tabla132112412[[#This Row],[PRIMER TRIMESTRE]:[CUARTO TRIMESTRE]])</f>
        <v>0</v>
      </c>
      <c r="J1703" s="175"/>
      <c r="K1703" s="175"/>
      <c r="L1703" s="451">
        <f>SUM(K1540:K1702)</f>
        <v>679164.90633093531</v>
      </c>
      <c r="M1703" s="77"/>
      <c r="N1703" s="77"/>
      <c r="O1703" s="177"/>
    </row>
    <row r="1704" spans="1:15" s="12" customFormat="1" ht="30.75" customHeight="1">
      <c r="B1704" s="372" t="s">
        <v>121</v>
      </c>
      <c r="C1704" s="77" t="s">
        <v>273</v>
      </c>
      <c r="D1704" s="177" t="s">
        <v>17</v>
      </c>
      <c r="E1704" s="370">
        <f>3+1</f>
        <v>4</v>
      </c>
      <c r="F1704" s="370">
        <v>0</v>
      </c>
      <c r="G1704" s="370">
        <v>0</v>
      </c>
      <c r="H1704" s="370">
        <v>0</v>
      </c>
      <c r="I1704" s="363">
        <f>SUM(Tabla132112412[[#This Row],[PRIMER TRIMESTRE]:[CUARTO TRIMESTRE]])</f>
        <v>4</v>
      </c>
      <c r="J1704" s="175">
        <v>5684</v>
      </c>
      <c r="K1704" s="175">
        <f>+Tabla132112412[[#This Row],[CANTIDAD TOTAL]]*Tabla132112412[[#This Row],[PRECIO UNITARIO ESTIMADO]]</f>
        <v>22736</v>
      </c>
      <c r="L1704" s="175"/>
      <c r="M1704" s="77" t="s">
        <v>18</v>
      </c>
      <c r="N1704" s="77" t="s">
        <v>22</v>
      </c>
      <c r="O1704" s="177" t="s">
        <v>418</v>
      </c>
    </row>
    <row r="1705" spans="1:15" s="12" customFormat="1" ht="30.75" customHeight="1">
      <c r="B1705" s="372" t="s">
        <v>121</v>
      </c>
      <c r="C1705" s="77" t="s">
        <v>1757</v>
      </c>
      <c r="D1705" s="177" t="s">
        <v>17</v>
      </c>
      <c r="E1705" s="370">
        <v>4</v>
      </c>
      <c r="F1705" s="370">
        <v>0</v>
      </c>
      <c r="G1705" s="370">
        <v>4</v>
      </c>
      <c r="H1705" s="370">
        <v>0</v>
      </c>
      <c r="I1705" s="363">
        <f>SUM(Tabla132112412[[#This Row],[PRIMER TRIMESTRE]:[CUARTO TRIMESTRE]])</f>
        <v>8</v>
      </c>
      <c r="J1705" s="175">
        <v>0</v>
      </c>
      <c r="K1705" s="175">
        <v>0</v>
      </c>
      <c r="L1705" s="175"/>
      <c r="M1705" s="77"/>
      <c r="N1705" s="77"/>
      <c r="O1705" s="177"/>
    </row>
    <row r="1706" spans="1:15" s="12" customFormat="1" ht="50.25" customHeight="1">
      <c r="B1706" s="372" t="s">
        <v>121</v>
      </c>
      <c r="C1706" s="77" t="s">
        <v>1282</v>
      </c>
      <c r="D1706" s="177" t="s">
        <v>17</v>
      </c>
      <c r="E1706" s="370">
        <v>5</v>
      </c>
      <c r="F1706" s="370">
        <v>5</v>
      </c>
      <c r="G1706" s="370">
        <v>5</v>
      </c>
      <c r="H1706" s="370">
        <v>5</v>
      </c>
      <c r="I1706" s="363">
        <f>SUM(Tabla132112412[[#This Row],[PRIMER TRIMESTRE]:[CUARTO TRIMESTRE]])</f>
        <v>20</v>
      </c>
      <c r="J1706" s="175">
        <v>25000</v>
      </c>
      <c r="K1706" s="175">
        <f>+I1706*J1706</f>
        <v>500000</v>
      </c>
      <c r="L1706" s="175"/>
      <c r="M1706" s="77" t="s">
        <v>18</v>
      </c>
      <c r="N1706" s="77" t="s">
        <v>22</v>
      </c>
      <c r="O1706" s="177" t="s">
        <v>418</v>
      </c>
    </row>
    <row r="1707" spans="1:15" s="26" customFormat="1" ht="30.75" customHeight="1">
      <c r="A1707" s="12"/>
      <c r="B1707" s="372" t="s">
        <v>121</v>
      </c>
      <c r="C1707" s="77" t="s">
        <v>1283</v>
      </c>
      <c r="D1707" s="177" t="s">
        <v>17</v>
      </c>
      <c r="E1707" s="370">
        <v>1</v>
      </c>
      <c r="F1707" s="370">
        <v>0</v>
      </c>
      <c r="G1707" s="370">
        <v>0</v>
      </c>
      <c r="H1707" s="370">
        <v>0</v>
      </c>
      <c r="I1707" s="363">
        <f>SUM(Tabla132112412[[#This Row],[PRIMER TRIMESTRE]:[CUARTO TRIMESTRE]])</f>
        <v>1</v>
      </c>
      <c r="J1707" s="175">
        <f>16685940/4</f>
        <v>4171485</v>
      </c>
      <c r="K1707" s="175">
        <f>+I1707*J1707</f>
        <v>4171485</v>
      </c>
      <c r="L1707" s="175"/>
      <c r="M1707" s="77" t="s">
        <v>18</v>
      </c>
      <c r="N1707" s="77" t="s">
        <v>22</v>
      </c>
      <c r="O1707" s="177" t="s">
        <v>418</v>
      </c>
    </row>
    <row r="1708" spans="1:15" s="12" customFormat="1" ht="30.75" customHeight="1">
      <c r="B1708" s="372" t="s">
        <v>121</v>
      </c>
      <c r="C1708" s="77" t="s">
        <v>1284</v>
      </c>
      <c r="D1708" s="177" t="s">
        <v>17</v>
      </c>
      <c r="E1708" s="370">
        <v>0</v>
      </c>
      <c r="F1708" s="370">
        <v>0</v>
      </c>
      <c r="G1708" s="370">
        <v>0</v>
      </c>
      <c r="H1708" s="370">
        <v>0</v>
      </c>
      <c r="I1708" s="363">
        <f>SUM(Tabla132112412[[#This Row],[PRIMER TRIMESTRE]:[CUARTO TRIMESTRE]])</f>
        <v>0</v>
      </c>
      <c r="J1708" s="175">
        <v>3500</v>
      </c>
      <c r="K1708" s="175">
        <f>+I1708*J1708</f>
        <v>0</v>
      </c>
      <c r="L1708" s="175"/>
      <c r="M1708" s="77" t="s">
        <v>18</v>
      </c>
      <c r="N1708" s="77" t="s">
        <v>22</v>
      </c>
      <c r="O1708" s="177" t="s">
        <v>418</v>
      </c>
    </row>
    <row r="1709" spans="1:15" s="12" customFormat="1" ht="30.75" customHeight="1">
      <c r="B1709" s="452" t="s">
        <v>121</v>
      </c>
      <c r="C1709" s="453"/>
      <c r="D1709" s="177"/>
      <c r="E1709" s="370"/>
      <c r="F1709" s="370"/>
      <c r="G1709" s="370"/>
      <c r="H1709" s="370"/>
      <c r="I1709" s="363">
        <f>SUM(Tabla132112412[[#This Row],[PRIMER TRIMESTRE]:[CUARTO TRIMESTRE]])</f>
        <v>0</v>
      </c>
      <c r="J1709" s="175"/>
      <c r="K1709" s="175"/>
      <c r="L1709" s="451">
        <f>SUM(K1704:K1708)</f>
        <v>4694221</v>
      </c>
      <c r="M1709" s="77"/>
      <c r="N1709" s="77"/>
      <c r="O1709" s="177"/>
    </row>
    <row r="1710" spans="1:15" s="12" customFormat="1" ht="30.75" customHeight="1">
      <c r="B1710" s="372" t="s">
        <v>122</v>
      </c>
      <c r="C1710" s="77" t="s">
        <v>274</v>
      </c>
      <c r="D1710" s="177" t="s">
        <v>17</v>
      </c>
      <c r="E1710" s="370">
        <v>20</v>
      </c>
      <c r="F1710" s="370">
        <v>160</v>
      </c>
      <c r="G1710" s="370">
        <v>12</v>
      </c>
      <c r="H1710" s="370">
        <v>160</v>
      </c>
      <c r="I1710" s="363">
        <f>SUM(Tabla132112412[[#This Row],[PRIMER TRIMESTRE]:[CUARTO TRIMESTRE]])</f>
        <v>352</v>
      </c>
      <c r="J1710" s="175">
        <v>133.47</v>
      </c>
      <c r="K1710" s="175">
        <f>+Tabla132112412[[#This Row],[CANTIDAD TOTAL]]*Tabla132112412[[#This Row],[PRECIO UNITARIO ESTIMADO]]</f>
        <v>46981.440000000002</v>
      </c>
      <c r="L1710" s="175"/>
      <c r="M1710" s="77" t="s">
        <v>27</v>
      </c>
      <c r="N1710" s="77" t="s">
        <v>22</v>
      </c>
      <c r="O1710" s="177" t="s">
        <v>418</v>
      </c>
    </row>
    <row r="1711" spans="1:15" s="12" customFormat="1" ht="30.75" customHeight="1">
      <c r="B1711" s="372" t="s">
        <v>122</v>
      </c>
      <c r="C1711" s="77" t="s">
        <v>275</v>
      </c>
      <c r="D1711" s="177" t="s">
        <v>17</v>
      </c>
      <c r="E1711" s="370">
        <v>25</v>
      </c>
      <c r="F1711" s="370">
        <v>75</v>
      </c>
      <c r="G1711" s="370">
        <v>25</v>
      </c>
      <c r="H1711" s="370">
        <v>75</v>
      </c>
      <c r="I1711" s="363">
        <f>SUM(Tabla132112412[[#This Row],[PRIMER TRIMESTRE]:[CUARTO TRIMESTRE]])</f>
        <v>200</v>
      </c>
      <c r="J1711" s="175">
        <v>115.24</v>
      </c>
      <c r="K1711" s="175">
        <f>+Tabla132112412[[#This Row],[CANTIDAD TOTAL]]*Tabla132112412[[#This Row],[PRECIO UNITARIO ESTIMADO]]</f>
        <v>23048</v>
      </c>
      <c r="L1711" s="175"/>
      <c r="M1711" s="77" t="s">
        <v>27</v>
      </c>
      <c r="N1711" s="77" t="s">
        <v>22</v>
      </c>
      <c r="O1711" s="177" t="s">
        <v>418</v>
      </c>
    </row>
    <row r="1712" spans="1:15" s="12" customFormat="1" ht="30.75" customHeight="1">
      <c r="B1712" s="372" t="s">
        <v>122</v>
      </c>
      <c r="C1712" s="77" t="s">
        <v>125</v>
      </c>
      <c r="D1712" s="177" t="s">
        <v>17</v>
      </c>
      <c r="E1712" s="370">
        <v>15</v>
      </c>
      <c r="F1712" s="370">
        <v>35</v>
      </c>
      <c r="G1712" s="370">
        <v>15</v>
      </c>
      <c r="H1712" s="370">
        <v>35</v>
      </c>
      <c r="I1712" s="363">
        <f>SUM(Tabla132112412[[#This Row],[PRIMER TRIMESTRE]:[CUARTO TRIMESTRE]])</f>
        <v>100</v>
      </c>
      <c r="J1712" s="175">
        <v>1624</v>
      </c>
      <c r="K1712" s="175">
        <f>+Tabla132112412[[#This Row],[CANTIDAD TOTAL]]*Tabla132112412[[#This Row],[PRECIO UNITARIO ESTIMADO]]</f>
        <v>162400</v>
      </c>
      <c r="L1712" s="175"/>
      <c r="M1712" s="77" t="s">
        <v>27</v>
      </c>
      <c r="N1712" s="77" t="s">
        <v>22</v>
      </c>
      <c r="O1712" s="177" t="s">
        <v>418</v>
      </c>
    </row>
    <row r="1713" spans="1:15" s="12" customFormat="1" ht="30.75" customHeight="1">
      <c r="B1713" s="372" t="s">
        <v>1588</v>
      </c>
      <c r="C1713" s="77" t="s">
        <v>1587</v>
      </c>
      <c r="D1713" s="177" t="s">
        <v>17</v>
      </c>
      <c r="E1713" s="370">
        <v>0</v>
      </c>
      <c r="F1713" s="370">
        <v>0</v>
      </c>
      <c r="G1713" s="370">
        <v>0</v>
      </c>
      <c r="H1713" s="370">
        <v>0</v>
      </c>
      <c r="I1713" s="363">
        <f>SUM(Tabla132112412[[#This Row],[PRIMER TRIMESTRE]:[CUARTO TRIMESTRE]])</f>
        <v>0</v>
      </c>
      <c r="J1713" s="175">
        <v>3500</v>
      </c>
      <c r="K1713" s="175">
        <f>+I1713*J1713</f>
        <v>0</v>
      </c>
      <c r="L1713" s="175"/>
      <c r="M1713" s="77" t="s">
        <v>15</v>
      </c>
      <c r="N1713" s="77" t="s">
        <v>22</v>
      </c>
      <c r="O1713" s="177" t="s">
        <v>418</v>
      </c>
    </row>
    <row r="1714" spans="1:15" s="12" customFormat="1" ht="30.75" customHeight="1">
      <c r="B1714" s="372" t="s">
        <v>122</v>
      </c>
      <c r="C1714" s="77" t="s">
        <v>276</v>
      </c>
      <c r="D1714" s="177" t="s">
        <v>17</v>
      </c>
      <c r="E1714" s="370">
        <v>10</v>
      </c>
      <c r="F1714" s="370">
        <v>60</v>
      </c>
      <c r="G1714" s="370">
        <v>10</v>
      </c>
      <c r="H1714" s="370">
        <v>60</v>
      </c>
      <c r="I1714" s="363">
        <f>SUM(Tabla132112412[[#This Row],[PRIMER TRIMESTRE]:[CUARTO TRIMESTRE]])</f>
        <v>140</v>
      </c>
      <c r="J1714" s="175">
        <v>101.68</v>
      </c>
      <c r="K1714" s="175">
        <f>+Tabla132112412[[#This Row],[CANTIDAD TOTAL]]*Tabla132112412[[#This Row],[PRECIO UNITARIO ESTIMADO]]</f>
        <v>14235.2</v>
      </c>
      <c r="L1714" s="175"/>
      <c r="M1714" s="77" t="s">
        <v>27</v>
      </c>
      <c r="N1714" s="77" t="s">
        <v>22</v>
      </c>
      <c r="O1714" s="177" t="s">
        <v>418</v>
      </c>
    </row>
    <row r="1715" spans="1:15" s="12" customFormat="1" ht="30.75" customHeight="1">
      <c r="B1715" s="372" t="s">
        <v>122</v>
      </c>
      <c r="C1715" s="77" t="s">
        <v>277</v>
      </c>
      <c r="D1715" s="177" t="s">
        <v>17</v>
      </c>
      <c r="E1715" s="370">
        <v>100</v>
      </c>
      <c r="F1715" s="370">
        <v>150</v>
      </c>
      <c r="G1715" s="370">
        <v>100</v>
      </c>
      <c r="H1715" s="370">
        <v>150</v>
      </c>
      <c r="I1715" s="363">
        <f>SUM(Tabla132112412[[#This Row],[PRIMER TRIMESTRE]:[CUARTO TRIMESTRE]])</f>
        <v>500</v>
      </c>
      <c r="J1715" s="175">
        <v>27.14</v>
      </c>
      <c r="K1715" s="175">
        <f>+Tabla132112412[[#This Row],[CANTIDAD TOTAL]]*Tabla132112412[[#This Row],[PRECIO UNITARIO ESTIMADO]]</f>
        <v>13570</v>
      </c>
      <c r="L1715" s="175"/>
      <c r="M1715" s="77" t="s">
        <v>27</v>
      </c>
      <c r="N1715" s="77" t="s">
        <v>22</v>
      </c>
      <c r="O1715" s="177" t="s">
        <v>418</v>
      </c>
    </row>
    <row r="1716" spans="1:15" s="12" customFormat="1" ht="30.75" customHeight="1">
      <c r="B1716" s="372" t="s">
        <v>122</v>
      </c>
      <c r="C1716" s="77" t="s">
        <v>327</v>
      </c>
      <c r="D1716" s="177" t="s">
        <v>102</v>
      </c>
      <c r="E1716" s="370">
        <v>15</v>
      </c>
      <c r="F1716" s="370">
        <v>193</v>
      </c>
      <c r="G1716" s="370">
        <v>15</v>
      </c>
      <c r="H1716" s="370">
        <v>193</v>
      </c>
      <c r="I1716" s="363">
        <f>SUM(Tabla132112412[[#This Row],[PRIMER TRIMESTRE]:[CUARTO TRIMESTRE]])</f>
        <v>416</v>
      </c>
      <c r="J1716" s="175">
        <f>43660/209</f>
        <v>208.89952153110048</v>
      </c>
      <c r="K1716" s="175">
        <f>+Tabla132112412[[#This Row],[CANTIDAD TOTAL]]*Tabla132112412[[#This Row],[PRECIO UNITARIO ESTIMADO]]</f>
        <v>86902.200956937799</v>
      </c>
      <c r="L1716" s="175"/>
      <c r="M1716" s="77" t="s">
        <v>27</v>
      </c>
      <c r="N1716" s="77" t="s">
        <v>22</v>
      </c>
      <c r="O1716" s="177" t="s">
        <v>418</v>
      </c>
    </row>
    <row r="1717" spans="1:15" s="12" customFormat="1" ht="30.75" customHeight="1">
      <c r="B1717" s="372"/>
      <c r="C1717" s="472" t="s">
        <v>2441</v>
      </c>
      <c r="D1717" s="177" t="s">
        <v>17</v>
      </c>
      <c r="E1717" s="366">
        <v>10</v>
      </c>
      <c r="F1717" s="365">
        <v>0</v>
      </c>
      <c r="G1717" s="365">
        <v>4</v>
      </c>
      <c r="H1717" s="365">
        <v>0</v>
      </c>
      <c r="I1717" s="363">
        <f>SUM(Tabla132112412[[#This Row],[PRIMER TRIMESTRE]:[CUARTO TRIMESTRE]])</f>
        <v>14</v>
      </c>
      <c r="J1717" s="175"/>
      <c r="K1717" s="175"/>
      <c r="L1717" s="175"/>
      <c r="M1717" s="77"/>
      <c r="N1717" s="77"/>
      <c r="O1717" s="177"/>
    </row>
    <row r="1718" spans="1:15" s="12" customFormat="1" ht="30.75" customHeight="1">
      <c r="B1718" s="372" t="s">
        <v>122</v>
      </c>
      <c r="C1718" s="77" t="s">
        <v>1269</v>
      </c>
      <c r="D1718" s="177" t="s">
        <v>17</v>
      </c>
      <c r="E1718" s="370">
        <v>2</v>
      </c>
      <c r="F1718" s="370">
        <v>0</v>
      </c>
      <c r="G1718" s="370">
        <v>2</v>
      </c>
      <c r="H1718" s="370">
        <v>0</v>
      </c>
      <c r="I1718" s="363">
        <f>SUM(Tabla132112412[[#This Row],[PRIMER TRIMESTRE]:[CUARTO TRIMESTRE]])</f>
        <v>4</v>
      </c>
      <c r="J1718" s="175">
        <v>350</v>
      </c>
      <c r="K1718" s="175">
        <f>+I1718*J1718</f>
        <v>1400</v>
      </c>
      <c r="L1718" s="175"/>
      <c r="M1718" s="77" t="s">
        <v>27</v>
      </c>
      <c r="N1718" s="77" t="s">
        <v>22</v>
      </c>
      <c r="O1718" s="177" t="s">
        <v>418</v>
      </c>
    </row>
    <row r="1719" spans="1:15" s="12" customFormat="1" ht="30.75" customHeight="1">
      <c r="B1719" s="372" t="s">
        <v>122</v>
      </c>
      <c r="C1719" s="77" t="s">
        <v>328</v>
      </c>
      <c r="D1719" s="177" t="s">
        <v>17</v>
      </c>
      <c r="E1719" s="370">
        <v>1</v>
      </c>
      <c r="F1719" s="370">
        <v>0</v>
      </c>
      <c r="G1719" s="370">
        <v>1</v>
      </c>
      <c r="H1719" s="370">
        <v>0</v>
      </c>
      <c r="I1719" s="363">
        <f>SUM(Tabla132112412[[#This Row],[PRIMER TRIMESTRE]:[CUARTO TRIMESTRE]])</f>
        <v>2</v>
      </c>
      <c r="J1719" s="175">
        <v>12626</v>
      </c>
      <c r="K1719" s="175">
        <f>+Tabla132112412[[#This Row],[CANTIDAD TOTAL]]*Tabla132112412[[#This Row],[PRECIO UNITARIO ESTIMADO]]</f>
        <v>25252</v>
      </c>
      <c r="L1719" s="175"/>
      <c r="M1719" s="77" t="s">
        <v>27</v>
      </c>
      <c r="N1719" s="77" t="s">
        <v>22</v>
      </c>
      <c r="O1719" s="177" t="s">
        <v>418</v>
      </c>
    </row>
    <row r="1720" spans="1:15" s="26" customFormat="1" ht="30.75" customHeight="1">
      <c r="A1720" s="12"/>
      <c r="B1720" s="372" t="s">
        <v>122</v>
      </c>
      <c r="C1720" s="77" t="s">
        <v>329</v>
      </c>
      <c r="D1720" s="177" t="s">
        <v>17</v>
      </c>
      <c r="E1720" s="370">
        <v>5</v>
      </c>
      <c r="F1720" s="370">
        <v>40</v>
      </c>
      <c r="G1720" s="370">
        <v>5</v>
      </c>
      <c r="H1720" s="370">
        <v>40</v>
      </c>
      <c r="I1720" s="363">
        <f>SUM(Tabla132112412[[#This Row],[PRIMER TRIMESTRE]:[CUARTO TRIMESTRE]])</f>
        <v>90</v>
      </c>
      <c r="J1720" s="175">
        <f>1382216.68/118</f>
        <v>11713.700677966101</v>
      </c>
      <c r="K1720" s="175">
        <f>+Tabla132112412[[#This Row],[CANTIDAD TOTAL]]*Tabla132112412[[#This Row],[PRECIO UNITARIO ESTIMADO]]</f>
        <v>1054233.0610169491</v>
      </c>
      <c r="L1720" s="175"/>
      <c r="M1720" s="77" t="s">
        <v>27</v>
      </c>
      <c r="N1720" s="77" t="s">
        <v>22</v>
      </c>
      <c r="O1720" s="177" t="s">
        <v>418</v>
      </c>
    </row>
    <row r="1721" spans="1:15" s="12" customFormat="1" ht="30.75" customHeight="1">
      <c r="B1721" s="372" t="s">
        <v>122</v>
      </c>
      <c r="C1721" s="77" t="s">
        <v>330</v>
      </c>
      <c r="D1721" s="177" t="s">
        <v>17</v>
      </c>
      <c r="E1721" s="370">
        <v>5</v>
      </c>
      <c r="F1721" s="370">
        <v>68</v>
      </c>
      <c r="G1721" s="370">
        <v>5</v>
      </c>
      <c r="H1721" s="370">
        <v>68</v>
      </c>
      <c r="I1721" s="363">
        <f>SUM(Tabla132112412[[#This Row],[PRIMER TRIMESTRE]:[CUARTO TRIMESTRE]])</f>
        <v>146</v>
      </c>
      <c r="J1721" s="175">
        <v>413</v>
      </c>
      <c r="K1721" s="175">
        <f>+Tabla132112412[[#This Row],[CANTIDAD TOTAL]]*Tabla132112412[[#This Row],[PRECIO UNITARIO ESTIMADO]]</f>
        <v>60298</v>
      </c>
      <c r="L1721" s="175"/>
      <c r="M1721" s="77" t="s">
        <v>27</v>
      </c>
      <c r="N1721" s="77" t="s">
        <v>22</v>
      </c>
      <c r="O1721" s="177" t="s">
        <v>418</v>
      </c>
    </row>
    <row r="1722" spans="1:15" s="12" customFormat="1" ht="30.75" customHeight="1">
      <c r="B1722" s="452" t="s">
        <v>122</v>
      </c>
      <c r="C1722" s="453"/>
      <c r="D1722" s="177"/>
      <c r="E1722" s="370"/>
      <c r="F1722" s="370"/>
      <c r="G1722" s="370"/>
      <c r="H1722" s="370"/>
      <c r="I1722" s="363">
        <f>SUM(Tabla132112412[[#This Row],[PRIMER TRIMESTRE]:[CUARTO TRIMESTRE]])</f>
        <v>0</v>
      </c>
      <c r="J1722" s="175"/>
      <c r="K1722" s="175"/>
      <c r="L1722" s="451">
        <f>SUM(K1710:K1721)</f>
        <v>1488319.9019738869</v>
      </c>
      <c r="M1722" s="77"/>
      <c r="N1722" s="77"/>
      <c r="O1722" s="177"/>
    </row>
    <row r="1723" spans="1:15" s="12" customFormat="1" ht="30.75" customHeight="1">
      <c r="B1723" s="372" t="s">
        <v>278</v>
      </c>
      <c r="C1723" s="77" t="s">
        <v>2442</v>
      </c>
      <c r="D1723" s="177" t="s">
        <v>17</v>
      </c>
      <c r="E1723" s="365">
        <v>4</v>
      </c>
      <c r="F1723" s="365"/>
      <c r="G1723" s="365"/>
      <c r="H1723" s="365"/>
      <c r="I1723" s="363">
        <f>SUM(Tabla132112412[[#This Row],[PRIMER TRIMESTRE]:[CUARTO TRIMESTRE]])</f>
        <v>4</v>
      </c>
      <c r="J1723" s="175"/>
      <c r="K1723" s="175"/>
      <c r="L1723" s="175"/>
      <c r="M1723" s="77"/>
      <c r="N1723" s="77"/>
      <c r="O1723" s="177"/>
    </row>
    <row r="1724" spans="1:15" s="12" customFormat="1" ht="30.75" customHeight="1">
      <c r="B1724" s="372" t="s">
        <v>278</v>
      </c>
      <c r="C1724" s="77" t="s">
        <v>727</v>
      </c>
      <c r="D1724" s="177" t="s">
        <v>17</v>
      </c>
      <c r="E1724" s="365"/>
      <c r="F1724" s="365">
        <v>10</v>
      </c>
      <c r="G1724" s="365"/>
      <c r="H1724" s="365"/>
      <c r="I1724" s="363">
        <f>SUM(Tabla132112412[[#This Row],[PRIMER TRIMESTRE]:[CUARTO TRIMESTRE]])</f>
        <v>10</v>
      </c>
      <c r="J1724" s="175"/>
      <c r="K1724" s="175"/>
      <c r="L1724" s="175"/>
      <c r="M1724" s="77"/>
      <c r="N1724" s="77"/>
      <c r="O1724" s="177"/>
    </row>
    <row r="1725" spans="1:15" s="12" customFormat="1" ht="30.75" customHeight="1">
      <c r="B1725" s="372" t="s">
        <v>278</v>
      </c>
      <c r="C1725" s="77" t="s">
        <v>279</v>
      </c>
      <c r="D1725" s="177" t="s">
        <v>17</v>
      </c>
      <c r="E1725" s="370">
        <v>12</v>
      </c>
      <c r="F1725" s="370">
        <v>0</v>
      </c>
      <c r="G1725" s="370">
        <v>12</v>
      </c>
      <c r="H1725" s="370">
        <v>0</v>
      </c>
      <c r="I1725" s="363">
        <f>SUM(Tabla132112412[[#This Row],[PRIMER TRIMESTRE]:[CUARTO TRIMESTRE]])</f>
        <v>24</v>
      </c>
      <c r="J1725" s="175">
        <v>259.68</v>
      </c>
      <c r="K1725" s="175">
        <f>+Tabla132112412[[#This Row],[CANTIDAD TOTAL]]*Tabla132112412[[#This Row],[PRECIO UNITARIO ESTIMADO]]</f>
        <v>6232.32</v>
      </c>
      <c r="L1725" s="175"/>
      <c r="M1725" s="77" t="s">
        <v>27</v>
      </c>
      <c r="N1725" s="77" t="s">
        <v>22</v>
      </c>
      <c r="O1725" s="177" t="s">
        <v>342</v>
      </c>
    </row>
    <row r="1726" spans="1:15" s="12" customFormat="1" ht="30.75" customHeight="1">
      <c r="B1726" s="372" t="s">
        <v>278</v>
      </c>
      <c r="C1726" s="77" t="s">
        <v>137</v>
      </c>
      <c r="D1726" s="177" t="s">
        <v>17</v>
      </c>
      <c r="E1726" s="370">
        <v>17</v>
      </c>
      <c r="F1726" s="370">
        <v>0</v>
      </c>
      <c r="G1726" s="370">
        <v>17</v>
      </c>
      <c r="H1726" s="370">
        <v>0</v>
      </c>
      <c r="I1726" s="363">
        <f>SUM(Tabla132112412[[#This Row],[PRIMER TRIMESTRE]:[CUARTO TRIMESTRE]])</f>
        <v>34</v>
      </c>
      <c r="J1726" s="175">
        <v>220.12</v>
      </c>
      <c r="K1726" s="175">
        <f>+Tabla132112412[[#This Row],[CANTIDAD TOTAL]]*Tabla132112412[[#This Row],[PRECIO UNITARIO ESTIMADO]]</f>
        <v>7484.08</v>
      </c>
      <c r="L1726" s="175"/>
      <c r="M1726" s="77" t="s">
        <v>27</v>
      </c>
      <c r="N1726" s="77" t="s">
        <v>22</v>
      </c>
      <c r="O1726" s="177" t="s">
        <v>418</v>
      </c>
    </row>
    <row r="1727" spans="1:15" s="12" customFormat="1" ht="30.75" customHeight="1">
      <c r="B1727" s="372" t="s">
        <v>278</v>
      </c>
      <c r="C1727" s="77" t="s">
        <v>280</v>
      </c>
      <c r="D1727" s="177" t="s">
        <v>17</v>
      </c>
      <c r="E1727" s="370">
        <v>10</v>
      </c>
      <c r="F1727" s="370">
        <v>10</v>
      </c>
      <c r="G1727" s="370">
        <v>10</v>
      </c>
      <c r="H1727" s="370">
        <v>10</v>
      </c>
      <c r="I1727" s="363">
        <f>SUM(Tabla132112412[[#This Row],[PRIMER TRIMESTRE]:[CUARTO TRIMESTRE]])</f>
        <v>40</v>
      </c>
      <c r="J1727" s="175">
        <v>150</v>
      </c>
      <c r="K1727" s="175">
        <f>+Tabla132112412[[#This Row],[CANTIDAD TOTAL]]*Tabla132112412[[#This Row],[PRECIO UNITARIO ESTIMADO]]</f>
        <v>6000</v>
      </c>
      <c r="L1727" s="175"/>
      <c r="M1727" s="77" t="s">
        <v>27</v>
      </c>
      <c r="N1727" s="77" t="s">
        <v>22</v>
      </c>
      <c r="O1727" s="177" t="s">
        <v>342</v>
      </c>
    </row>
    <row r="1728" spans="1:15" s="26" customFormat="1" ht="30.75" customHeight="1">
      <c r="A1728" s="12"/>
      <c r="B1728" s="372" t="s">
        <v>278</v>
      </c>
      <c r="C1728" s="77" t="s">
        <v>566</v>
      </c>
      <c r="D1728" s="177" t="s">
        <v>17</v>
      </c>
      <c r="E1728" s="370">
        <v>4</v>
      </c>
      <c r="F1728" s="370">
        <v>0</v>
      </c>
      <c r="G1728" s="370">
        <v>4</v>
      </c>
      <c r="H1728" s="370">
        <v>0</v>
      </c>
      <c r="I1728" s="363">
        <f>SUM(Tabla132112412[[#This Row],[PRIMER TRIMESTRE]:[CUARTO TRIMESTRE]])</f>
        <v>8</v>
      </c>
      <c r="J1728" s="175">
        <v>140</v>
      </c>
      <c r="K1728" s="175">
        <f>+Tabla132112412[[#This Row],[CANTIDAD TOTAL]]*Tabla132112412[[#This Row],[PRECIO UNITARIO ESTIMADO]]</f>
        <v>1120</v>
      </c>
      <c r="L1728" s="175"/>
      <c r="M1728" s="77" t="s">
        <v>27</v>
      </c>
      <c r="N1728" s="77" t="s">
        <v>22</v>
      </c>
      <c r="O1728" s="177" t="s">
        <v>342</v>
      </c>
    </row>
    <row r="1729" spans="2:15" s="12" customFormat="1" ht="30.75" customHeight="1">
      <c r="B1729" s="372" t="s">
        <v>278</v>
      </c>
      <c r="C1729" s="77" t="s">
        <v>922</v>
      </c>
      <c r="D1729" s="177" t="s">
        <v>17</v>
      </c>
      <c r="E1729" s="370">
        <v>0</v>
      </c>
      <c r="F1729" s="370">
        <v>0</v>
      </c>
      <c r="G1729" s="370">
        <v>0</v>
      </c>
      <c r="H1729" s="370">
        <v>0</v>
      </c>
      <c r="I1729" s="363">
        <f>SUM(Tabla132112412[[#This Row],[PRIMER TRIMESTRE]:[CUARTO TRIMESTRE]])</f>
        <v>0</v>
      </c>
      <c r="J1729" s="175">
        <v>21895</v>
      </c>
      <c r="K1729" s="175">
        <f>+I1729*J1729</f>
        <v>0</v>
      </c>
      <c r="L1729" s="175"/>
      <c r="M1729" s="77" t="s">
        <v>27</v>
      </c>
      <c r="N1729" s="77" t="s">
        <v>22</v>
      </c>
      <c r="O1729" s="177" t="s">
        <v>342</v>
      </c>
    </row>
    <row r="1730" spans="2:15" s="12" customFormat="1" ht="30.75" customHeight="1">
      <c r="B1730" s="452" t="s">
        <v>278</v>
      </c>
      <c r="C1730" s="453"/>
      <c r="D1730" s="177"/>
      <c r="E1730" s="370"/>
      <c r="F1730" s="370"/>
      <c r="G1730" s="370"/>
      <c r="H1730" s="370"/>
      <c r="I1730" s="363">
        <f>SUM(Tabla132112412[[#This Row],[PRIMER TRIMESTRE]:[CUARTO TRIMESTRE]])</f>
        <v>0</v>
      </c>
      <c r="J1730" s="175"/>
      <c r="K1730" s="175"/>
      <c r="L1730" s="451">
        <f>SUM(K1725:K1729)</f>
        <v>20836.400000000001</v>
      </c>
      <c r="M1730" s="77" t="s">
        <v>27</v>
      </c>
      <c r="N1730" s="77"/>
      <c r="O1730" s="177"/>
    </row>
    <row r="1731" spans="2:15" s="12" customFormat="1" ht="30.75" customHeight="1">
      <c r="B1731" s="372" t="s">
        <v>124</v>
      </c>
      <c r="C1731" s="77" t="s">
        <v>281</v>
      </c>
      <c r="D1731" s="177" t="s">
        <v>102</v>
      </c>
      <c r="E1731" s="370">
        <v>5</v>
      </c>
      <c r="F1731" s="370">
        <v>5</v>
      </c>
      <c r="G1731" s="370">
        <v>5</v>
      </c>
      <c r="H1731" s="370">
        <v>5</v>
      </c>
      <c r="I1731" s="363">
        <f>SUM(Tabla132112412[[#This Row],[PRIMER TRIMESTRE]:[CUARTO TRIMESTRE]])</f>
        <v>20</v>
      </c>
      <c r="J1731" s="175">
        <v>191.84</v>
      </c>
      <c r="K1731" s="175">
        <f>+Tabla132112412[[#This Row],[CANTIDAD TOTAL]]*Tabla132112412[[#This Row],[PRECIO UNITARIO ESTIMADO]]</f>
        <v>3836.8</v>
      </c>
      <c r="L1731" s="175"/>
      <c r="M1731" s="77" t="s">
        <v>27</v>
      </c>
      <c r="N1731" s="77" t="s">
        <v>22</v>
      </c>
      <c r="O1731" s="177" t="s">
        <v>342</v>
      </c>
    </row>
    <row r="1732" spans="2:15" s="12" customFormat="1" ht="30.75" customHeight="1">
      <c r="B1732" s="372" t="s">
        <v>124</v>
      </c>
      <c r="C1732" s="77" t="s">
        <v>282</v>
      </c>
      <c r="D1732" s="177" t="s">
        <v>69</v>
      </c>
      <c r="E1732" s="370">
        <v>5</v>
      </c>
      <c r="F1732" s="370">
        <v>5</v>
      </c>
      <c r="G1732" s="370">
        <v>5</v>
      </c>
      <c r="H1732" s="370">
        <v>5</v>
      </c>
      <c r="I1732" s="363">
        <f>SUM(Tabla132112412[[#This Row],[PRIMER TRIMESTRE]:[CUARTO TRIMESTRE]])</f>
        <v>20</v>
      </c>
      <c r="J1732" s="175">
        <v>83.78</v>
      </c>
      <c r="K1732" s="175">
        <f>+Tabla132112412[[#This Row],[CANTIDAD TOTAL]]*Tabla132112412[[#This Row],[PRECIO UNITARIO ESTIMADO]]</f>
        <v>1675.6</v>
      </c>
      <c r="L1732" s="175"/>
      <c r="M1732" s="77" t="s">
        <v>27</v>
      </c>
      <c r="N1732" s="77" t="s">
        <v>22</v>
      </c>
      <c r="O1732" s="177" t="s">
        <v>342</v>
      </c>
    </row>
    <row r="1733" spans="2:15" s="12" customFormat="1" ht="30.75" customHeight="1">
      <c r="B1733" s="372" t="s">
        <v>124</v>
      </c>
      <c r="C1733" s="77" t="s">
        <v>283</v>
      </c>
      <c r="D1733" s="177" t="s">
        <v>17</v>
      </c>
      <c r="E1733" s="370">
        <v>5</v>
      </c>
      <c r="F1733" s="370">
        <v>5</v>
      </c>
      <c r="G1733" s="370">
        <v>5</v>
      </c>
      <c r="H1733" s="370">
        <v>5</v>
      </c>
      <c r="I1733" s="363">
        <f>SUM(Tabla132112412[[#This Row],[PRIMER TRIMESTRE]:[CUARTO TRIMESTRE]])</f>
        <v>20</v>
      </c>
      <c r="J1733" s="175">
        <v>82.94</v>
      </c>
      <c r="K1733" s="175">
        <f>+Tabla132112412[[#This Row],[CANTIDAD TOTAL]]*Tabla132112412[[#This Row],[PRECIO UNITARIO ESTIMADO]]</f>
        <v>1658.8</v>
      </c>
      <c r="L1733" s="175"/>
      <c r="M1733" s="77" t="s">
        <v>27</v>
      </c>
      <c r="N1733" s="77" t="s">
        <v>22</v>
      </c>
      <c r="O1733" s="177" t="s">
        <v>342</v>
      </c>
    </row>
    <row r="1734" spans="2:15" s="12" customFormat="1" ht="30.75" customHeight="1">
      <c r="B1734" s="372" t="s">
        <v>124</v>
      </c>
      <c r="C1734" s="77" t="s">
        <v>284</v>
      </c>
      <c r="D1734" s="177" t="s">
        <v>17</v>
      </c>
      <c r="E1734" s="370">
        <v>24</v>
      </c>
      <c r="F1734" s="370">
        <v>24</v>
      </c>
      <c r="G1734" s="370">
        <v>24</v>
      </c>
      <c r="H1734" s="370">
        <v>24</v>
      </c>
      <c r="I1734" s="363">
        <f>SUM(Tabla132112412[[#This Row],[PRIMER TRIMESTRE]:[CUARTO TRIMESTRE]])</f>
        <v>96</v>
      </c>
      <c r="J1734" s="175">
        <v>26.67</v>
      </c>
      <c r="K1734" s="175">
        <f>+Tabla132112412[[#This Row],[CANTIDAD TOTAL]]*Tabla132112412[[#This Row],[PRECIO UNITARIO ESTIMADO]]</f>
        <v>2560.3200000000002</v>
      </c>
      <c r="L1734" s="175"/>
      <c r="M1734" s="77" t="s">
        <v>27</v>
      </c>
      <c r="N1734" s="77" t="s">
        <v>22</v>
      </c>
      <c r="O1734" s="177" t="s">
        <v>342</v>
      </c>
    </row>
    <row r="1735" spans="2:15" s="12" customFormat="1" ht="30.75" customHeight="1">
      <c r="B1735" s="372" t="s">
        <v>124</v>
      </c>
      <c r="C1735" s="77" t="s">
        <v>726</v>
      </c>
      <c r="D1735" s="177" t="s">
        <v>17</v>
      </c>
      <c r="E1735" s="370">
        <v>10</v>
      </c>
      <c r="F1735" s="370">
        <v>10</v>
      </c>
      <c r="G1735" s="370">
        <v>10</v>
      </c>
      <c r="H1735" s="370">
        <v>10</v>
      </c>
      <c r="I1735" s="363">
        <f>SUM(Tabla132112412[[#This Row],[PRIMER TRIMESTRE]:[CUARTO TRIMESTRE]])</f>
        <v>40</v>
      </c>
      <c r="J1735" s="175">
        <v>50</v>
      </c>
      <c r="K1735" s="175">
        <f>+I1735*J1735</f>
        <v>2000</v>
      </c>
      <c r="L1735" s="175"/>
      <c r="M1735" s="77" t="s">
        <v>27</v>
      </c>
      <c r="N1735" s="77" t="s">
        <v>22</v>
      </c>
      <c r="O1735" s="177" t="s">
        <v>342</v>
      </c>
    </row>
    <row r="1736" spans="2:15" s="12" customFormat="1" ht="30.75" customHeight="1">
      <c r="B1736" s="372" t="s">
        <v>124</v>
      </c>
      <c r="C1736" s="77" t="s">
        <v>285</v>
      </c>
      <c r="D1736" s="177" t="s">
        <v>33</v>
      </c>
      <c r="E1736" s="370">
        <v>6</v>
      </c>
      <c r="F1736" s="370">
        <v>6</v>
      </c>
      <c r="G1736" s="370">
        <v>6</v>
      </c>
      <c r="H1736" s="370">
        <v>6</v>
      </c>
      <c r="I1736" s="363">
        <f>SUM(Tabla132112412[[#This Row],[PRIMER TRIMESTRE]:[CUARTO TRIMESTRE]])</f>
        <v>24</v>
      </c>
      <c r="J1736" s="175">
        <v>115.94</v>
      </c>
      <c r="K1736" s="175">
        <f>+Tabla132112412[[#This Row],[CANTIDAD TOTAL]]*Tabla132112412[[#This Row],[PRECIO UNITARIO ESTIMADO]]</f>
        <v>2782.56</v>
      </c>
      <c r="L1736" s="175"/>
      <c r="M1736" s="77" t="s">
        <v>27</v>
      </c>
      <c r="N1736" s="77" t="s">
        <v>22</v>
      </c>
      <c r="O1736" s="177" t="s">
        <v>342</v>
      </c>
    </row>
    <row r="1737" spans="2:15" s="12" customFormat="1" ht="30.75" customHeight="1">
      <c r="B1737" s="372" t="s">
        <v>124</v>
      </c>
      <c r="C1737" s="77" t="s">
        <v>287</v>
      </c>
      <c r="D1737" s="177" t="s">
        <v>288</v>
      </c>
      <c r="E1737" s="370">
        <v>2</v>
      </c>
      <c r="F1737" s="370">
        <v>2</v>
      </c>
      <c r="G1737" s="370">
        <v>2</v>
      </c>
      <c r="H1737" s="370">
        <v>2</v>
      </c>
      <c r="I1737" s="363">
        <f>SUM(Tabla132112412[[#This Row],[PRIMER TRIMESTRE]:[CUARTO TRIMESTRE]])</f>
        <v>8</v>
      </c>
      <c r="J1737" s="175">
        <v>255.31</v>
      </c>
      <c r="K1737" s="175">
        <f>+Tabla132112412[[#This Row],[CANTIDAD TOTAL]]*Tabla132112412[[#This Row],[PRECIO UNITARIO ESTIMADO]]</f>
        <v>2042.48</v>
      </c>
      <c r="L1737" s="175"/>
      <c r="M1737" s="77" t="s">
        <v>27</v>
      </c>
      <c r="N1737" s="77" t="s">
        <v>22</v>
      </c>
      <c r="O1737" s="177" t="s">
        <v>342</v>
      </c>
    </row>
    <row r="1738" spans="2:15" s="12" customFormat="1" ht="30.75" customHeight="1">
      <c r="B1738" s="372" t="s">
        <v>124</v>
      </c>
      <c r="C1738" s="77" t="s">
        <v>293</v>
      </c>
      <c r="D1738" s="177" t="s">
        <v>290</v>
      </c>
      <c r="E1738" s="370">
        <v>2</v>
      </c>
      <c r="F1738" s="370">
        <v>2</v>
      </c>
      <c r="G1738" s="370">
        <v>2</v>
      </c>
      <c r="H1738" s="370">
        <v>2</v>
      </c>
      <c r="I1738" s="363">
        <f>SUM(Tabla132112412[[#This Row],[PRIMER TRIMESTRE]:[CUARTO TRIMESTRE]])</f>
        <v>8</v>
      </c>
      <c r="J1738" s="175">
        <v>160</v>
      </c>
      <c r="K1738" s="175">
        <f t="shared" ref="K1738:K1746" si="37">+I1738*J1738</f>
        <v>1280</v>
      </c>
      <c r="L1738" s="175"/>
      <c r="M1738" s="77" t="s">
        <v>27</v>
      </c>
      <c r="N1738" s="77" t="s">
        <v>22</v>
      </c>
      <c r="O1738" s="177" t="s">
        <v>342</v>
      </c>
    </row>
    <row r="1739" spans="2:15" s="12" customFormat="1" ht="30.75" customHeight="1">
      <c r="B1739" s="372" t="s">
        <v>124</v>
      </c>
      <c r="C1739" s="77" t="s">
        <v>1411</v>
      </c>
      <c r="D1739" s="177" t="s">
        <v>290</v>
      </c>
      <c r="E1739" s="370">
        <v>1</v>
      </c>
      <c r="F1739" s="370">
        <v>1</v>
      </c>
      <c r="G1739" s="370">
        <v>1</v>
      </c>
      <c r="H1739" s="370">
        <v>1</v>
      </c>
      <c r="I1739" s="363">
        <f>SUM(Tabla132112412[[#This Row],[PRIMER TRIMESTRE]:[CUARTO TRIMESTRE]])</f>
        <v>4</v>
      </c>
      <c r="J1739" s="175">
        <v>450</v>
      </c>
      <c r="K1739" s="175">
        <f t="shared" si="37"/>
        <v>1800</v>
      </c>
      <c r="L1739" s="175"/>
      <c r="M1739" s="77" t="s">
        <v>27</v>
      </c>
      <c r="N1739" s="77" t="s">
        <v>22</v>
      </c>
      <c r="O1739" s="177" t="s">
        <v>342</v>
      </c>
    </row>
    <row r="1740" spans="2:15" s="12" customFormat="1" ht="30.75" customHeight="1">
      <c r="B1740" s="372" t="s">
        <v>124</v>
      </c>
      <c r="C1740" s="77" t="s">
        <v>1451</v>
      </c>
      <c r="D1740" s="177" t="s">
        <v>17</v>
      </c>
      <c r="E1740" s="370">
        <v>0</v>
      </c>
      <c r="F1740" s="370">
        <v>0</v>
      </c>
      <c r="G1740" s="370">
        <v>0</v>
      </c>
      <c r="H1740" s="370">
        <v>0</v>
      </c>
      <c r="I1740" s="363">
        <f>SUM(Tabla132112412[[#This Row],[PRIMER TRIMESTRE]:[CUARTO TRIMESTRE]])</f>
        <v>0</v>
      </c>
      <c r="J1740" s="175">
        <v>469</v>
      </c>
      <c r="K1740" s="175">
        <f t="shared" si="37"/>
        <v>0</v>
      </c>
      <c r="L1740" s="175"/>
      <c r="M1740" s="77" t="s">
        <v>15</v>
      </c>
      <c r="N1740" s="77" t="s">
        <v>22</v>
      </c>
      <c r="O1740" s="177" t="s">
        <v>342</v>
      </c>
    </row>
    <row r="1741" spans="2:15" s="12" customFormat="1" ht="30.75" customHeight="1">
      <c r="B1741" s="372" t="s">
        <v>124</v>
      </c>
      <c r="C1741" s="77" t="s">
        <v>1906</v>
      </c>
      <c r="D1741" s="177" t="s">
        <v>17</v>
      </c>
      <c r="E1741" s="370">
        <v>0</v>
      </c>
      <c r="F1741" s="370">
        <v>0</v>
      </c>
      <c r="G1741" s="370">
        <v>0</v>
      </c>
      <c r="H1741" s="370">
        <v>0</v>
      </c>
      <c r="I1741" s="363">
        <f>SUM(Tabla132112412[[#This Row],[PRIMER TRIMESTRE]:[CUARTO TRIMESTRE]])</f>
        <v>0</v>
      </c>
      <c r="J1741" s="175">
        <v>250</v>
      </c>
      <c r="K1741" s="175">
        <f t="shared" si="37"/>
        <v>0</v>
      </c>
      <c r="L1741" s="175"/>
      <c r="M1741" s="77" t="s">
        <v>27</v>
      </c>
      <c r="N1741" s="77" t="s">
        <v>22</v>
      </c>
      <c r="O1741" s="177" t="s">
        <v>342</v>
      </c>
    </row>
    <row r="1742" spans="2:15" s="12" customFormat="1" ht="30.75" customHeight="1">
      <c r="B1742" s="372" t="s">
        <v>124</v>
      </c>
      <c r="C1742" s="77" t="s">
        <v>1907</v>
      </c>
      <c r="D1742" s="177" t="s">
        <v>17</v>
      </c>
      <c r="E1742" s="370">
        <v>0</v>
      </c>
      <c r="F1742" s="370">
        <v>0</v>
      </c>
      <c r="G1742" s="370">
        <v>0</v>
      </c>
      <c r="H1742" s="370">
        <v>0</v>
      </c>
      <c r="I1742" s="363">
        <f>SUM(Tabla132112412[[#This Row],[PRIMER TRIMESTRE]:[CUARTO TRIMESTRE]])</f>
        <v>0</v>
      </c>
      <c r="J1742" s="175">
        <v>0</v>
      </c>
      <c r="K1742" s="175">
        <v>0</v>
      </c>
      <c r="L1742" s="175"/>
      <c r="M1742" s="77" t="s">
        <v>27</v>
      </c>
      <c r="N1742" s="77" t="s">
        <v>22</v>
      </c>
      <c r="O1742" s="177" t="s">
        <v>342</v>
      </c>
    </row>
    <row r="1743" spans="2:15" s="12" customFormat="1" ht="30.75" customHeight="1">
      <c r="B1743" s="372" t="s">
        <v>124</v>
      </c>
      <c r="C1743" s="77" t="s">
        <v>1412</v>
      </c>
      <c r="D1743" s="177" t="s">
        <v>17</v>
      </c>
      <c r="E1743" s="370">
        <v>5</v>
      </c>
      <c r="F1743" s="370">
        <v>5</v>
      </c>
      <c r="G1743" s="370">
        <v>5</v>
      </c>
      <c r="H1743" s="370">
        <v>5</v>
      </c>
      <c r="I1743" s="363">
        <f>SUM(Tabla132112412[[#This Row],[PRIMER TRIMESTRE]:[CUARTO TRIMESTRE]])</f>
        <v>20</v>
      </c>
      <c r="J1743" s="175">
        <v>250</v>
      </c>
      <c r="K1743" s="175">
        <f t="shared" si="37"/>
        <v>5000</v>
      </c>
      <c r="L1743" s="175"/>
      <c r="M1743" s="77" t="s">
        <v>27</v>
      </c>
      <c r="N1743" s="77" t="s">
        <v>22</v>
      </c>
      <c r="O1743" s="177" t="s">
        <v>342</v>
      </c>
    </row>
    <row r="1744" spans="2:15" s="12" customFormat="1" ht="30.75" customHeight="1">
      <c r="B1744" s="372" t="s">
        <v>124</v>
      </c>
      <c r="C1744" s="77" t="s">
        <v>1105</v>
      </c>
      <c r="D1744" s="177" t="s">
        <v>290</v>
      </c>
      <c r="E1744" s="370">
        <v>2</v>
      </c>
      <c r="F1744" s="370">
        <v>2</v>
      </c>
      <c r="G1744" s="370">
        <v>2</v>
      </c>
      <c r="H1744" s="370">
        <v>2</v>
      </c>
      <c r="I1744" s="363">
        <f>SUM(Tabla132112412[[#This Row],[PRIMER TRIMESTRE]:[CUARTO TRIMESTRE]])</f>
        <v>8</v>
      </c>
      <c r="J1744" s="175">
        <v>250</v>
      </c>
      <c r="K1744" s="175">
        <f t="shared" si="37"/>
        <v>2000</v>
      </c>
      <c r="L1744" s="175"/>
      <c r="M1744" s="77" t="s">
        <v>27</v>
      </c>
      <c r="N1744" s="77" t="s">
        <v>22</v>
      </c>
      <c r="O1744" s="177" t="s">
        <v>342</v>
      </c>
    </row>
    <row r="1745" spans="1:15" s="12" customFormat="1" ht="30.75" customHeight="1">
      <c r="B1745" s="372" t="s">
        <v>124</v>
      </c>
      <c r="C1745" s="77" t="s">
        <v>1097</v>
      </c>
      <c r="D1745" s="177" t="s">
        <v>1067</v>
      </c>
      <c r="E1745" s="370">
        <v>10</v>
      </c>
      <c r="F1745" s="370">
        <v>10</v>
      </c>
      <c r="G1745" s="370">
        <v>10</v>
      </c>
      <c r="H1745" s="370">
        <v>10</v>
      </c>
      <c r="I1745" s="363">
        <f>SUM(Tabla132112412[[#This Row],[PRIMER TRIMESTRE]:[CUARTO TRIMESTRE]])</f>
        <v>40</v>
      </c>
      <c r="J1745" s="175">
        <v>53</v>
      </c>
      <c r="K1745" s="175">
        <f t="shared" si="37"/>
        <v>2120</v>
      </c>
      <c r="L1745" s="175"/>
      <c r="M1745" s="77" t="s">
        <v>27</v>
      </c>
      <c r="N1745" s="77" t="s">
        <v>22</v>
      </c>
      <c r="O1745" s="177" t="s">
        <v>342</v>
      </c>
    </row>
    <row r="1746" spans="1:15" s="12" customFormat="1" ht="30.75" customHeight="1">
      <c r="B1746" s="372" t="s">
        <v>124</v>
      </c>
      <c r="C1746" s="77" t="s">
        <v>1413</v>
      </c>
      <c r="D1746" s="177" t="s">
        <v>1414</v>
      </c>
      <c r="E1746" s="370">
        <v>1</v>
      </c>
      <c r="F1746" s="370">
        <v>1</v>
      </c>
      <c r="G1746" s="370">
        <v>1</v>
      </c>
      <c r="H1746" s="370">
        <v>1</v>
      </c>
      <c r="I1746" s="363">
        <f>SUM(Tabla132112412[[#This Row],[PRIMER TRIMESTRE]:[CUARTO TRIMESTRE]])</f>
        <v>4</v>
      </c>
      <c r="J1746" s="175">
        <v>450</v>
      </c>
      <c r="K1746" s="175">
        <f t="shared" si="37"/>
        <v>1800</v>
      </c>
      <c r="L1746" s="175"/>
      <c r="M1746" s="77" t="s">
        <v>27</v>
      </c>
      <c r="N1746" s="77" t="s">
        <v>22</v>
      </c>
      <c r="O1746" s="177" t="s">
        <v>342</v>
      </c>
    </row>
    <row r="1747" spans="1:15" s="12" customFormat="1" ht="30.75" customHeight="1">
      <c r="B1747" s="372" t="s">
        <v>124</v>
      </c>
      <c r="C1747" s="77" t="s">
        <v>291</v>
      </c>
      <c r="D1747" s="177" t="s">
        <v>290</v>
      </c>
      <c r="E1747" s="370">
        <v>3</v>
      </c>
      <c r="F1747" s="370">
        <v>3</v>
      </c>
      <c r="G1747" s="370">
        <v>3</v>
      </c>
      <c r="H1747" s="370">
        <v>3</v>
      </c>
      <c r="I1747" s="363">
        <f>SUM(Tabla132112412[[#This Row],[PRIMER TRIMESTRE]:[CUARTO TRIMESTRE]])</f>
        <v>12</v>
      </c>
      <c r="J1747" s="175">
        <v>121.8</v>
      </c>
      <c r="K1747" s="175">
        <f>+Tabla132112412[[#This Row],[CANTIDAD TOTAL]]*Tabla132112412[[#This Row],[PRECIO UNITARIO ESTIMADO]]</f>
        <v>1461.6</v>
      </c>
      <c r="L1747" s="175"/>
      <c r="M1747" s="77" t="s">
        <v>27</v>
      </c>
      <c r="N1747" s="77" t="s">
        <v>22</v>
      </c>
      <c r="O1747" s="177" t="s">
        <v>342</v>
      </c>
    </row>
    <row r="1748" spans="1:15" s="12" customFormat="1" ht="30.75" customHeight="1">
      <c r="B1748" s="372" t="s">
        <v>124</v>
      </c>
      <c r="C1748" s="77" t="s">
        <v>469</v>
      </c>
      <c r="D1748" s="177" t="s">
        <v>17</v>
      </c>
      <c r="E1748" s="370">
        <v>5</v>
      </c>
      <c r="F1748" s="370">
        <v>5</v>
      </c>
      <c r="G1748" s="370">
        <v>5</v>
      </c>
      <c r="H1748" s="370">
        <v>5</v>
      </c>
      <c r="I1748" s="363">
        <f>SUM(Tabla132112412[[#This Row],[PRIMER TRIMESTRE]:[CUARTO TRIMESTRE]])</f>
        <v>20</v>
      </c>
      <c r="J1748" s="175">
        <v>217.18</v>
      </c>
      <c r="K1748" s="175">
        <f>+I1748*J1748</f>
        <v>4343.6000000000004</v>
      </c>
      <c r="L1748" s="175"/>
      <c r="M1748" s="77" t="s">
        <v>27</v>
      </c>
      <c r="N1748" s="77" t="s">
        <v>22</v>
      </c>
      <c r="O1748" s="177" t="s">
        <v>342</v>
      </c>
    </row>
    <row r="1749" spans="1:15" s="12" customFormat="1" ht="30.75" customHeight="1">
      <c r="B1749" s="372" t="s">
        <v>124</v>
      </c>
      <c r="C1749" s="77" t="s">
        <v>741</v>
      </c>
      <c r="D1749" s="177" t="s">
        <v>17</v>
      </c>
      <c r="E1749" s="370">
        <v>12</v>
      </c>
      <c r="F1749" s="370">
        <v>12</v>
      </c>
      <c r="G1749" s="370">
        <v>12</v>
      </c>
      <c r="H1749" s="370">
        <v>12</v>
      </c>
      <c r="I1749" s="363">
        <f>SUM(Tabla132112412[[#This Row],[PRIMER TRIMESTRE]:[CUARTO TRIMESTRE]])</f>
        <v>48</v>
      </c>
      <c r="J1749" s="175">
        <v>217.18</v>
      </c>
      <c r="K1749" s="175">
        <f>+Tabla132112412[[#This Row],[CANTIDAD TOTAL]]*Tabla132112412[[#This Row],[PRECIO UNITARIO ESTIMADO]]</f>
        <v>10424.64</v>
      </c>
      <c r="L1749" s="175"/>
      <c r="M1749" s="77" t="s">
        <v>27</v>
      </c>
      <c r="N1749" s="77" t="s">
        <v>22</v>
      </c>
      <c r="O1749" s="177" t="s">
        <v>342</v>
      </c>
    </row>
    <row r="1750" spans="1:15" s="12" customFormat="1" ht="30.75" customHeight="1">
      <c r="B1750" s="372" t="s">
        <v>124</v>
      </c>
      <c r="C1750" s="77" t="s">
        <v>292</v>
      </c>
      <c r="D1750" s="177" t="s">
        <v>17</v>
      </c>
      <c r="E1750" s="370">
        <v>3</v>
      </c>
      <c r="F1750" s="370">
        <v>3</v>
      </c>
      <c r="G1750" s="370">
        <v>3</v>
      </c>
      <c r="H1750" s="370">
        <v>3</v>
      </c>
      <c r="I1750" s="363">
        <f>SUM(Tabla132112412[[#This Row],[PRIMER TRIMESTRE]:[CUARTO TRIMESTRE]])</f>
        <v>12</v>
      </c>
      <c r="J1750" s="175">
        <v>377.54</v>
      </c>
      <c r="K1750" s="175">
        <f>+Tabla132112412[[#This Row],[CANTIDAD TOTAL]]*Tabla132112412[[#This Row],[PRECIO UNITARIO ESTIMADO]]</f>
        <v>4530.4800000000005</v>
      </c>
      <c r="L1750" s="175"/>
      <c r="M1750" s="77" t="s">
        <v>27</v>
      </c>
      <c r="N1750" s="77" t="s">
        <v>22</v>
      </c>
      <c r="O1750" s="177" t="s">
        <v>342</v>
      </c>
    </row>
    <row r="1751" spans="1:15" s="12" customFormat="1" ht="30.75" customHeight="1">
      <c r="B1751" s="372" t="s">
        <v>124</v>
      </c>
      <c r="C1751" s="77" t="s">
        <v>725</v>
      </c>
      <c r="D1751" s="177" t="s">
        <v>17</v>
      </c>
      <c r="E1751" s="370">
        <v>12</v>
      </c>
      <c r="F1751" s="370">
        <v>12</v>
      </c>
      <c r="G1751" s="370">
        <v>12</v>
      </c>
      <c r="H1751" s="370">
        <v>12</v>
      </c>
      <c r="I1751" s="363">
        <f>SUM(Tabla132112412[[#This Row],[PRIMER TRIMESTRE]:[CUARTO TRIMESTRE]])</f>
        <v>48</v>
      </c>
      <c r="J1751" s="175">
        <v>90</v>
      </c>
      <c r="K1751" s="175">
        <f>+I1751*J1751</f>
        <v>4320</v>
      </c>
      <c r="L1751" s="175"/>
      <c r="M1751" s="77" t="s">
        <v>27</v>
      </c>
      <c r="N1751" s="77" t="s">
        <v>22</v>
      </c>
      <c r="O1751" s="177" t="s">
        <v>342</v>
      </c>
    </row>
    <row r="1752" spans="1:15" s="12" customFormat="1" ht="30.75" customHeight="1">
      <c r="B1752" s="372" t="s">
        <v>124</v>
      </c>
      <c r="C1752" s="77" t="s">
        <v>294</v>
      </c>
      <c r="D1752" s="177" t="s">
        <v>17</v>
      </c>
      <c r="E1752" s="370">
        <v>3</v>
      </c>
      <c r="F1752" s="370">
        <v>3</v>
      </c>
      <c r="G1752" s="370">
        <v>3</v>
      </c>
      <c r="H1752" s="370">
        <v>3</v>
      </c>
      <c r="I1752" s="363">
        <f>SUM(Tabla132112412[[#This Row],[PRIMER TRIMESTRE]:[CUARTO TRIMESTRE]])</f>
        <v>12</v>
      </c>
      <c r="J1752" s="175">
        <v>424.95</v>
      </c>
      <c r="K1752" s="175">
        <f>+Tabla132112412[[#This Row],[CANTIDAD TOTAL]]*Tabla132112412[[#This Row],[PRECIO UNITARIO ESTIMADO]]</f>
        <v>5099.3999999999996</v>
      </c>
      <c r="L1752" s="175"/>
      <c r="M1752" s="77" t="s">
        <v>27</v>
      </c>
      <c r="N1752" s="77" t="s">
        <v>22</v>
      </c>
      <c r="O1752" s="177" t="s">
        <v>342</v>
      </c>
    </row>
    <row r="1753" spans="1:15" s="12" customFormat="1" ht="30.75" customHeight="1">
      <c r="B1753" s="372" t="s">
        <v>124</v>
      </c>
      <c r="C1753" s="77" t="s">
        <v>331</v>
      </c>
      <c r="D1753" s="177" t="s">
        <v>33</v>
      </c>
      <c r="E1753" s="370">
        <v>2</v>
      </c>
      <c r="F1753" s="370">
        <v>0</v>
      </c>
      <c r="G1753" s="370">
        <v>2</v>
      </c>
      <c r="H1753" s="370">
        <v>0</v>
      </c>
      <c r="I1753" s="363">
        <f>SUM(Tabla132112412[[#This Row],[PRIMER TRIMESTRE]:[CUARTO TRIMESTRE]])</f>
        <v>4</v>
      </c>
      <c r="J1753" s="175">
        <v>404.45</v>
      </c>
      <c r="K1753" s="175">
        <f>+Tabla132112412[[#This Row],[CANTIDAD TOTAL]]*Tabla132112412[[#This Row],[PRECIO UNITARIO ESTIMADO]]</f>
        <v>1617.8</v>
      </c>
      <c r="L1753" s="175"/>
      <c r="M1753" s="77" t="s">
        <v>27</v>
      </c>
      <c r="N1753" s="77" t="s">
        <v>22</v>
      </c>
      <c r="O1753" s="177" t="s">
        <v>342</v>
      </c>
    </row>
    <row r="1754" spans="1:15" s="12" customFormat="1" ht="30.75" customHeight="1">
      <c r="B1754" s="372" t="s">
        <v>124</v>
      </c>
      <c r="C1754" s="77" t="s">
        <v>724</v>
      </c>
      <c r="D1754" s="177" t="s">
        <v>17</v>
      </c>
      <c r="E1754" s="370">
        <v>6</v>
      </c>
      <c r="F1754" s="370">
        <v>6</v>
      </c>
      <c r="G1754" s="370">
        <v>6</v>
      </c>
      <c r="H1754" s="370">
        <v>6</v>
      </c>
      <c r="I1754" s="363">
        <f>SUM(Tabla132112412[[#This Row],[PRIMER TRIMESTRE]:[CUARTO TRIMESTRE]])</f>
        <v>24</v>
      </c>
      <c r="J1754" s="175">
        <v>140</v>
      </c>
      <c r="K1754" s="175">
        <f>+I1754*J1754</f>
        <v>3360</v>
      </c>
      <c r="L1754" s="175"/>
      <c r="M1754" s="77" t="s">
        <v>27</v>
      </c>
      <c r="N1754" s="77" t="s">
        <v>22</v>
      </c>
      <c r="O1754" s="177" t="s">
        <v>342</v>
      </c>
    </row>
    <row r="1755" spans="1:15" s="12" customFormat="1" ht="30.75" customHeight="1">
      <c r="B1755" s="372" t="s">
        <v>124</v>
      </c>
      <c r="C1755" s="77" t="s">
        <v>1415</v>
      </c>
      <c r="D1755" s="177" t="s">
        <v>1461</v>
      </c>
      <c r="E1755" s="370">
        <v>1</v>
      </c>
      <c r="F1755" s="370">
        <v>1</v>
      </c>
      <c r="G1755" s="370">
        <v>1</v>
      </c>
      <c r="H1755" s="370">
        <v>1</v>
      </c>
      <c r="I1755" s="363">
        <f>SUM(Tabla132112412[[#This Row],[PRIMER TRIMESTRE]:[CUARTO TRIMESTRE]])</f>
        <v>4</v>
      </c>
      <c r="J1755" s="175">
        <v>55</v>
      </c>
      <c r="K1755" s="175">
        <f>+I1755*J1755</f>
        <v>220</v>
      </c>
      <c r="L1755" s="175"/>
      <c r="M1755" s="77" t="s">
        <v>27</v>
      </c>
      <c r="N1755" s="77" t="s">
        <v>22</v>
      </c>
      <c r="O1755" s="177" t="s">
        <v>342</v>
      </c>
    </row>
    <row r="1756" spans="1:15" s="26" customFormat="1" ht="30.75" customHeight="1">
      <c r="A1756" s="12"/>
      <c r="B1756" s="372" t="s">
        <v>124</v>
      </c>
      <c r="C1756" s="77" t="s">
        <v>1735</v>
      </c>
      <c r="D1756" s="177" t="s">
        <v>1461</v>
      </c>
      <c r="E1756" s="370">
        <v>1</v>
      </c>
      <c r="F1756" s="370">
        <v>1</v>
      </c>
      <c r="G1756" s="370">
        <v>1</v>
      </c>
      <c r="H1756" s="370">
        <v>1</v>
      </c>
      <c r="I1756" s="363">
        <f>SUM(Tabla132112412[[#This Row],[PRIMER TRIMESTRE]:[CUARTO TRIMESTRE]])</f>
        <v>4</v>
      </c>
      <c r="J1756" s="175">
        <v>0</v>
      </c>
      <c r="K1756" s="175">
        <v>0</v>
      </c>
      <c r="L1756" s="175"/>
      <c r="M1756" s="77" t="s">
        <v>27</v>
      </c>
      <c r="N1756" s="77" t="s">
        <v>22</v>
      </c>
      <c r="O1756" s="177" t="s">
        <v>342</v>
      </c>
    </row>
    <row r="1757" spans="1:15" s="12" customFormat="1" ht="30.75" customHeight="1">
      <c r="B1757" s="372" t="s">
        <v>124</v>
      </c>
      <c r="C1757" s="77" t="s">
        <v>1416</v>
      </c>
      <c r="D1757" s="177" t="s">
        <v>1461</v>
      </c>
      <c r="E1757" s="370">
        <v>1</v>
      </c>
      <c r="F1757" s="370">
        <v>1</v>
      </c>
      <c r="G1757" s="370">
        <v>1</v>
      </c>
      <c r="H1757" s="370">
        <v>1</v>
      </c>
      <c r="I1757" s="363">
        <f>SUM(Tabla132112412[[#This Row],[PRIMER TRIMESTRE]:[CUARTO TRIMESTRE]])</f>
        <v>4</v>
      </c>
      <c r="J1757" s="175">
        <v>100</v>
      </c>
      <c r="K1757" s="175">
        <f>+I1757*J1757</f>
        <v>400</v>
      </c>
      <c r="L1757" s="175"/>
      <c r="M1757" s="77" t="s">
        <v>27</v>
      </c>
      <c r="N1757" s="77" t="s">
        <v>22</v>
      </c>
      <c r="O1757" s="177" t="s">
        <v>342</v>
      </c>
    </row>
    <row r="1758" spans="1:15" s="12" customFormat="1" ht="30.75" customHeight="1">
      <c r="B1758" s="452" t="s">
        <v>124</v>
      </c>
      <c r="C1758" s="453"/>
      <c r="D1758" s="177"/>
      <c r="E1758" s="370"/>
      <c r="F1758" s="370"/>
      <c r="G1758" s="370"/>
      <c r="H1758" s="370"/>
      <c r="I1758" s="363">
        <f>SUM(Tabla132112412[[#This Row],[PRIMER TRIMESTRE]:[CUARTO TRIMESTRE]])</f>
        <v>0</v>
      </c>
      <c r="J1758" s="175"/>
      <c r="K1758" s="175"/>
      <c r="L1758" s="451">
        <f>SUM(K1731:K1757)</f>
        <v>66334.080000000016</v>
      </c>
      <c r="M1758" s="77"/>
      <c r="N1758" s="77"/>
      <c r="O1758" s="177"/>
    </row>
    <row r="1759" spans="1:15" s="12" customFormat="1" ht="30.75" customHeight="1">
      <c r="B1759" s="372" t="s">
        <v>295</v>
      </c>
      <c r="C1759" s="77" t="s">
        <v>296</v>
      </c>
      <c r="D1759" s="177" t="s">
        <v>17</v>
      </c>
      <c r="E1759" s="370">
        <v>0</v>
      </c>
      <c r="F1759" s="370">
        <v>0</v>
      </c>
      <c r="G1759" s="370">
        <v>0</v>
      </c>
      <c r="H1759" s="370">
        <v>0</v>
      </c>
      <c r="I1759" s="363">
        <f>SUM(Tabla132112412[[#This Row],[PRIMER TRIMESTRE]:[CUARTO TRIMESTRE]])</f>
        <v>0</v>
      </c>
      <c r="J1759" s="175">
        <v>5300.02</v>
      </c>
      <c r="K1759" s="175">
        <f>+Tabla132112412[[#This Row],[CANTIDAD TOTAL]]*Tabla132112412[[#This Row],[PRECIO UNITARIO ESTIMADO]]</f>
        <v>0</v>
      </c>
      <c r="L1759" s="175"/>
      <c r="M1759" s="77" t="s">
        <v>27</v>
      </c>
      <c r="N1759" s="77" t="s">
        <v>22</v>
      </c>
      <c r="O1759" s="177" t="s">
        <v>342</v>
      </c>
    </row>
    <row r="1760" spans="1:15" s="12" customFormat="1" ht="30.75" customHeight="1">
      <c r="B1760" s="372" t="s">
        <v>295</v>
      </c>
      <c r="C1760" s="77" t="s">
        <v>297</v>
      </c>
      <c r="D1760" s="177" t="s">
        <v>17</v>
      </c>
      <c r="E1760" s="370">
        <v>0</v>
      </c>
      <c r="F1760" s="370">
        <v>0</v>
      </c>
      <c r="G1760" s="370">
        <v>0</v>
      </c>
      <c r="H1760" s="370">
        <v>0</v>
      </c>
      <c r="I1760" s="363">
        <f>SUM(Tabla132112412[[#This Row],[PRIMER TRIMESTRE]:[CUARTO TRIMESTRE]])</f>
        <v>0</v>
      </c>
      <c r="J1760" s="175">
        <v>11775.77</v>
      </c>
      <c r="K1760" s="175">
        <f>+Tabla132112412[[#This Row],[CANTIDAD TOTAL]]*Tabla132112412[[#This Row],[PRECIO UNITARIO ESTIMADO]]</f>
        <v>0</v>
      </c>
      <c r="L1760" s="175"/>
      <c r="M1760" s="77" t="s">
        <v>27</v>
      </c>
      <c r="N1760" s="77" t="s">
        <v>22</v>
      </c>
      <c r="O1760" s="177" t="s">
        <v>342</v>
      </c>
    </row>
    <row r="1761" spans="1:15" s="12" customFormat="1" ht="30.75" customHeight="1">
      <c r="B1761" s="372" t="s">
        <v>295</v>
      </c>
      <c r="C1761" s="77" t="s">
        <v>298</v>
      </c>
      <c r="D1761" s="177" t="s">
        <v>17</v>
      </c>
      <c r="E1761" s="370">
        <v>0</v>
      </c>
      <c r="F1761" s="370">
        <v>0</v>
      </c>
      <c r="G1761" s="370">
        <v>0</v>
      </c>
      <c r="H1761" s="370">
        <v>0</v>
      </c>
      <c r="I1761" s="363">
        <f>SUM(Tabla132112412[[#This Row],[PRIMER TRIMESTRE]:[CUARTO TRIMESTRE]])</f>
        <v>0</v>
      </c>
      <c r="J1761" s="175">
        <v>18999.439999999999</v>
      </c>
      <c r="K1761" s="175">
        <f>+Tabla132112412[[#This Row],[CANTIDAD TOTAL]]*Tabla132112412[[#This Row],[PRECIO UNITARIO ESTIMADO]]</f>
        <v>0</v>
      </c>
      <c r="L1761" s="175"/>
      <c r="M1761" s="77" t="s">
        <v>27</v>
      </c>
      <c r="N1761" s="77" t="s">
        <v>22</v>
      </c>
      <c r="O1761" s="177" t="s">
        <v>342</v>
      </c>
    </row>
    <row r="1762" spans="1:15" s="12" customFormat="1" ht="30.75" customHeight="1">
      <c r="B1762" s="372" t="s">
        <v>295</v>
      </c>
      <c r="C1762" s="77" t="s">
        <v>299</v>
      </c>
      <c r="D1762" s="177" t="s">
        <v>17</v>
      </c>
      <c r="E1762" s="370">
        <v>9</v>
      </c>
      <c r="F1762" s="370">
        <v>1</v>
      </c>
      <c r="G1762" s="370">
        <v>1</v>
      </c>
      <c r="H1762" s="370">
        <v>1</v>
      </c>
      <c r="I1762" s="363">
        <f>SUM(Tabla132112412[[#This Row],[PRIMER TRIMESTRE]:[CUARTO TRIMESTRE]])</f>
        <v>12</v>
      </c>
      <c r="J1762" s="175">
        <v>784</v>
      </c>
      <c r="K1762" s="175">
        <f>+Tabla132112412[[#This Row],[CANTIDAD TOTAL]]*Tabla132112412[[#This Row],[PRECIO UNITARIO ESTIMADO]]</f>
        <v>9408</v>
      </c>
      <c r="L1762" s="175"/>
      <c r="M1762" s="77" t="s">
        <v>27</v>
      </c>
      <c r="N1762" s="77" t="s">
        <v>22</v>
      </c>
      <c r="O1762" s="177" t="s">
        <v>342</v>
      </c>
    </row>
    <row r="1763" spans="1:15" s="12" customFormat="1" ht="30.75" customHeight="1">
      <c r="B1763" s="372" t="s">
        <v>295</v>
      </c>
      <c r="C1763" s="77" t="s">
        <v>300</v>
      </c>
      <c r="D1763" s="177" t="s">
        <v>17</v>
      </c>
      <c r="E1763" s="370">
        <v>3</v>
      </c>
      <c r="F1763" s="370">
        <v>0</v>
      </c>
      <c r="G1763" s="370">
        <v>0</v>
      </c>
      <c r="H1763" s="370">
        <v>0</v>
      </c>
      <c r="I1763" s="363">
        <f>SUM(Tabla132112412[[#This Row],[PRIMER TRIMESTRE]:[CUARTO TRIMESTRE]])</f>
        <v>3</v>
      </c>
      <c r="J1763" s="175">
        <v>21495</v>
      </c>
      <c r="K1763" s="175">
        <f>+Tabla132112412[[#This Row],[CANTIDAD TOTAL]]*Tabla132112412[[#This Row],[PRECIO UNITARIO ESTIMADO]]</f>
        <v>64485</v>
      </c>
      <c r="L1763" s="175"/>
      <c r="M1763" s="77" t="s">
        <v>27</v>
      </c>
      <c r="N1763" s="77" t="s">
        <v>22</v>
      </c>
      <c r="O1763" s="177" t="s">
        <v>342</v>
      </c>
    </row>
    <row r="1764" spans="1:15" s="12" customFormat="1" ht="30.75" customHeight="1">
      <c r="B1764" s="372" t="s">
        <v>295</v>
      </c>
      <c r="C1764" s="77" t="s">
        <v>337</v>
      </c>
      <c r="D1764" s="177" t="s">
        <v>17</v>
      </c>
      <c r="E1764" s="370">
        <v>1</v>
      </c>
      <c r="F1764" s="370">
        <v>0</v>
      </c>
      <c r="G1764" s="370">
        <v>0</v>
      </c>
      <c r="H1764" s="370">
        <v>0</v>
      </c>
      <c r="I1764" s="363">
        <f>SUM(Tabla132112412[[#This Row],[PRIMER TRIMESTRE]:[CUARTO TRIMESTRE]])</f>
        <v>1</v>
      </c>
      <c r="J1764" s="175">
        <v>3225.3333333333335</v>
      </c>
      <c r="K1764" s="175">
        <f>+Tabla132112412[[#This Row],[CANTIDAD TOTAL]]*Tabla132112412[[#This Row],[PRECIO UNITARIO ESTIMADO]]</f>
        <v>3225.3333333333335</v>
      </c>
      <c r="L1764" s="175"/>
      <c r="M1764" s="77" t="s">
        <v>27</v>
      </c>
      <c r="N1764" s="77" t="s">
        <v>22</v>
      </c>
      <c r="O1764" s="177" t="s">
        <v>418</v>
      </c>
    </row>
    <row r="1765" spans="1:15" s="12" customFormat="1" ht="30.75" customHeight="1">
      <c r="B1765" s="372" t="s">
        <v>295</v>
      </c>
      <c r="C1765" s="77" t="s">
        <v>441</v>
      </c>
      <c r="D1765" s="177" t="s">
        <v>17</v>
      </c>
      <c r="E1765" s="370">
        <f>1+1</f>
        <v>2</v>
      </c>
      <c r="F1765" s="370">
        <v>0</v>
      </c>
      <c r="G1765" s="370">
        <v>0</v>
      </c>
      <c r="H1765" s="370">
        <v>0</v>
      </c>
      <c r="I1765" s="363">
        <f>SUM(Tabla132112412[[#This Row],[PRIMER TRIMESTRE]:[CUARTO TRIMESTRE]])</f>
        <v>2</v>
      </c>
      <c r="J1765" s="175">
        <v>9000</v>
      </c>
      <c r="K1765" s="175">
        <f>+I1765*J1765</f>
        <v>18000</v>
      </c>
      <c r="L1765" s="175"/>
      <c r="M1765" s="77" t="s">
        <v>27</v>
      </c>
      <c r="N1765" s="77" t="s">
        <v>22</v>
      </c>
      <c r="O1765" s="177" t="s">
        <v>342</v>
      </c>
    </row>
    <row r="1766" spans="1:15" s="12" customFormat="1" ht="30.75" customHeight="1">
      <c r="B1766" s="372" t="s">
        <v>295</v>
      </c>
      <c r="C1766" s="77" t="s">
        <v>301</v>
      </c>
      <c r="D1766" s="177" t="s">
        <v>17</v>
      </c>
      <c r="E1766" s="370">
        <v>5</v>
      </c>
      <c r="F1766" s="370">
        <v>2</v>
      </c>
      <c r="G1766" s="370">
        <v>2</v>
      </c>
      <c r="H1766" s="370">
        <v>2</v>
      </c>
      <c r="I1766" s="363">
        <f>SUM(Tabla132112412[[#This Row],[PRIMER TRIMESTRE]:[CUARTO TRIMESTRE]])</f>
        <v>11</v>
      </c>
      <c r="J1766" s="175">
        <v>8004</v>
      </c>
      <c r="K1766" s="175">
        <f>+Tabla132112412[[#This Row],[CANTIDAD TOTAL]]*Tabla132112412[[#This Row],[PRECIO UNITARIO ESTIMADO]]</f>
        <v>88044</v>
      </c>
      <c r="L1766" s="175"/>
      <c r="M1766" s="77" t="s">
        <v>27</v>
      </c>
      <c r="N1766" s="77" t="s">
        <v>22</v>
      </c>
      <c r="O1766" s="177" t="s">
        <v>342</v>
      </c>
    </row>
    <row r="1767" spans="1:15" s="12" customFormat="1" ht="30.75" customHeight="1">
      <c r="B1767" s="372" t="s">
        <v>295</v>
      </c>
      <c r="C1767" s="77" t="s">
        <v>316</v>
      </c>
      <c r="D1767" s="177" t="s">
        <v>17</v>
      </c>
      <c r="E1767" s="370">
        <v>0</v>
      </c>
      <c r="F1767" s="370">
        <v>0</v>
      </c>
      <c r="G1767" s="370">
        <v>0</v>
      </c>
      <c r="H1767" s="370">
        <v>0</v>
      </c>
      <c r="I1767" s="363">
        <f>SUM(Tabla132112412[[#This Row],[PRIMER TRIMESTRE]:[CUARTO TRIMESTRE]])</f>
        <v>0</v>
      </c>
      <c r="J1767" s="175">
        <v>8802.7999999999993</v>
      </c>
      <c r="K1767" s="175">
        <f>+Tabla132112412[[#This Row],[CANTIDAD TOTAL]]*Tabla132112412[[#This Row],[PRECIO UNITARIO ESTIMADO]]</f>
        <v>0</v>
      </c>
      <c r="L1767" s="175"/>
      <c r="M1767" s="77" t="s">
        <v>27</v>
      </c>
      <c r="N1767" s="77" t="s">
        <v>22</v>
      </c>
      <c r="O1767" s="177" t="s">
        <v>342</v>
      </c>
    </row>
    <row r="1768" spans="1:15" s="26" customFormat="1" ht="30.75" customHeight="1">
      <c r="A1768" s="12"/>
      <c r="B1768" s="372" t="s">
        <v>295</v>
      </c>
      <c r="C1768" s="77" t="s">
        <v>322</v>
      </c>
      <c r="D1768" s="177" t="s">
        <v>17</v>
      </c>
      <c r="E1768" s="370">
        <v>0</v>
      </c>
      <c r="F1768" s="370">
        <v>0</v>
      </c>
      <c r="G1768" s="370">
        <v>0</v>
      </c>
      <c r="H1768" s="370">
        <v>0</v>
      </c>
      <c r="I1768" s="363">
        <f>SUM(Tabla132112412[[#This Row],[PRIMER TRIMESTRE]:[CUARTO TRIMESTRE]])</f>
        <v>0</v>
      </c>
      <c r="J1768" s="175">
        <v>64546</v>
      </c>
      <c r="K1768" s="175">
        <f>+Tabla132112412[[#This Row],[CANTIDAD TOTAL]]*Tabla132112412[[#This Row],[PRECIO UNITARIO ESTIMADO]]</f>
        <v>0</v>
      </c>
      <c r="L1768" s="175"/>
      <c r="M1768" s="77" t="s">
        <v>27</v>
      </c>
      <c r="N1768" s="77" t="s">
        <v>22</v>
      </c>
      <c r="O1768" s="177" t="s">
        <v>342</v>
      </c>
    </row>
    <row r="1769" spans="1:15" s="26" customFormat="1" ht="30.75" customHeight="1">
      <c r="A1769" s="12"/>
      <c r="B1769" s="372" t="s">
        <v>295</v>
      </c>
      <c r="C1769" s="454" t="s">
        <v>2443</v>
      </c>
      <c r="D1769" s="455" t="s">
        <v>17</v>
      </c>
      <c r="E1769" s="362">
        <v>2</v>
      </c>
      <c r="F1769" s="370"/>
      <c r="G1769" s="370"/>
      <c r="H1769" s="370"/>
      <c r="I1769" s="363">
        <f>SUM(Tabla132112412[[#This Row],[PRIMER TRIMESTRE]:[CUARTO TRIMESTRE]])</f>
        <v>2</v>
      </c>
      <c r="J1769" s="175"/>
      <c r="K1769" s="175"/>
      <c r="L1769" s="175"/>
      <c r="M1769" s="77"/>
      <c r="N1769" s="77"/>
      <c r="O1769" s="177"/>
    </row>
    <row r="1770" spans="1:15" s="26" customFormat="1" ht="30.75" customHeight="1">
      <c r="A1770" s="12"/>
      <c r="B1770" s="372" t="s">
        <v>295</v>
      </c>
      <c r="C1770" s="454" t="s">
        <v>2444</v>
      </c>
      <c r="D1770" s="455" t="s">
        <v>17</v>
      </c>
      <c r="E1770" s="362">
        <v>1</v>
      </c>
      <c r="F1770" s="370"/>
      <c r="G1770" s="370"/>
      <c r="H1770" s="370"/>
      <c r="I1770" s="363">
        <f>SUM(Tabla132112412[[#This Row],[PRIMER TRIMESTRE]:[CUARTO TRIMESTRE]])</f>
        <v>1</v>
      </c>
      <c r="J1770" s="175"/>
      <c r="K1770" s="175"/>
      <c r="L1770" s="175"/>
      <c r="M1770" s="77"/>
      <c r="N1770" s="77"/>
      <c r="O1770" s="177"/>
    </row>
    <row r="1771" spans="1:15" s="12" customFormat="1" ht="30.75" customHeight="1">
      <c r="B1771" s="372" t="s">
        <v>295</v>
      </c>
      <c r="C1771" s="77" t="s">
        <v>1423</v>
      </c>
      <c r="D1771" s="177" t="s">
        <v>17</v>
      </c>
      <c r="E1771" s="370">
        <v>2</v>
      </c>
      <c r="F1771" s="370">
        <v>0</v>
      </c>
      <c r="G1771" s="370">
        <v>0</v>
      </c>
      <c r="H1771" s="370">
        <v>0</v>
      </c>
      <c r="I1771" s="363">
        <f>SUM(Tabla132112412[[#This Row],[PRIMER TRIMESTRE]:[CUARTO TRIMESTRE]])</f>
        <v>2</v>
      </c>
      <c r="J1771" s="175">
        <v>24978.240000000002</v>
      </c>
      <c r="K1771" s="175">
        <f>+I1771*J1771</f>
        <v>49956.480000000003</v>
      </c>
      <c r="L1771" s="175"/>
      <c r="M1771" s="77" t="s">
        <v>15</v>
      </c>
      <c r="N1771" s="77" t="s">
        <v>22</v>
      </c>
      <c r="O1771" s="177" t="s">
        <v>342</v>
      </c>
    </row>
    <row r="1772" spans="1:15" s="12" customFormat="1" ht="30.75" customHeight="1">
      <c r="B1772" s="452" t="s">
        <v>295</v>
      </c>
      <c r="C1772" s="453"/>
      <c r="D1772" s="177"/>
      <c r="E1772" s="370"/>
      <c r="F1772" s="370"/>
      <c r="G1772" s="370"/>
      <c r="H1772" s="370"/>
      <c r="I1772" s="363">
        <f>SUM(Tabla132112412[[#This Row],[PRIMER TRIMESTRE]:[CUARTO TRIMESTRE]])</f>
        <v>0</v>
      </c>
      <c r="J1772" s="175"/>
      <c r="K1772" s="175"/>
      <c r="L1772" s="451">
        <f>SUM(K1759:K1771)</f>
        <v>233118.81333333332</v>
      </c>
      <c r="M1772" s="77"/>
      <c r="N1772" s="77"/>
      <c r="O1772" s="177"/>
    </row>
    <row r="1773" spans="1:15" s="12" customFormat="1" ht="30.75" customHeight="1">
      <c r="B1773" s="372" t="s">
        <v>147</v>
      </c>
      <c r="C1773" s="77" t="s">
        <v>302</v>
      </c>
      <c r="D1773" s="177" t="s">
        <v>17</v>
      </c>
      <c r="E1773" s="370">
        <v>650</v>
      </c>
      <c r="F1773" s="370">
        <v>200</v>
      </c>
      <c r="G1773" s="370">
        <v>200</v>
      </c>
      <c r="H1773" s="370">
        <v>200</v>
      </c>
      <c r="I1773" s="363">
        <f>SUM(Tabla132112412[[#This Row],[PRIMER TRIMESTRE]:[CUARTO TRIMESTRE]])</f>
        <v>1250</v>
      </c>
      <c r="J1773" s="175">
        <v>452.4</v>
      </c>
      <c r="K1773" s="175">
        <f>+Tabla132112412[[#This Row],[CANTIDAD TOTAL]]*Tabla132112412[[#This Row],[PRECIO UNITARIO ESTIMADO]]</f>
        <v>565500</v>
      </c>
      <c r="L1773" s="175"/>
      <c r="M1773" s="77" t="s">
        <v>27</v>
      </c>
      <c r="N1773" s="77" t="s">
        <v>22</v>
      </c>
      <c r="O1773" s="177" t="s">
        <v>342</v>
      </c>
    </row>
    <row r="1774" spans="1:15" s="12" customFormat="1" ht="30.75" customHeight="1">
      <c r="B1774" s="372" t="s">
        <v>147</v>
      </c>
      <c r="C1774" s="77" t="s">
        <v>326</v>
      </c>
      <c r="D1774" s="177" t="s">
        <v>17</v>
      </c>
      <c r="E1774" s="370">
        <v>28</v>
      </c>
      <c r="F1774" s="370">
        <v>3</v>
      </c>
      <c r="G1774" s="370">
        <v>3</v>
      </c>
      <c r="H1774" s="370">
        <v>3</v>
      </c>
      <c r="I1774" s="363">
        <f>SUM(Tabla132112412[[#This Row],[PRIMER TRIMESTRE]:[CUARTO TRIMESTRE]])</f>
        <v>37</v>
      </c>
      <c r="J1774" s="175">
        <v>2596</v>
      </c>
      <c r="K1774" s="175">
        <f>+Tabla132112412[[#This Row],[CANTIDAD TOTAL]]*Tabla132112412[[#This Row],[PRECIO UNITARIO ESTIMADO]]</f>
        <v>96052</v>
      </c>
      <c r="L1774" s="175"/>
      <c r="M1774" s="77" t="s">
        <v>27</v>
      </c>
      <c r="N1774" s="77" t="s">
        <v>22</v>
      </c>
      <c r="O1774" s="177" t="s">
        <v>342</v>
      </c>
    </row>
    <row r="1775" spans="1:15" s="12" customFormat="1" ht="30.75" customHeight="1">
      <c r="B1775" s="372" t="s">
        <v>147</v>
      </c>
      <c r="C1775" s="77" t="s">
        <v>332</v>
      </c>
      <c r="D1775" s="177" t="s">
        <v>17</v>
      </c>
      <c r="E1775" s="370">
        <v>650</v>
      </c>
      <c r="F1775" s="370">
        <v>200</v>
      </c>
      <c r="G1775" s="370">
        <v>200</v>
      </c>
      <c r="H1775" s="370">
        <v>200</v>
      </c>
      <c r="I1775" s="363">
        <f>SUM(Tabla132112412[[#This Row],[PRIMER TRIMESTRE]:[CUARTO TRIMESTRE]])</f>
        <v>1250</v>
      </c>
      <c r="J1775" s="175">
        <v>460.2</v>
      </c>
      <c r="K1775" s="175">
        <f>+Tabla132112412[[#This Row],[CANTIDAD TOTAL]]*Tabla132112412[[#This Row],[PRECIO UNITARIO ESTIMADO]]</f>
        <v>575250</v>
      </c>
      <c r="L1775" s="175"/>
      <c r="M1775" s="77" t="s">
        <v>27</v>
      </c>
      <c r="N1775" s="77" t="s">
        <v>22</v>
      </c>
      <c r="O1775" s="177" t="s">
        <v>342</v>
      </c>
    </row>
    <row r="1776" spans="1:15" s="12" customFormat="1" ht="30.75" customHeight="1">
      <c r="B1776" s="372" t="s">
        <v>147</v>
      </c>
      <c r="C1776" s="77" t="s">
        <v>333</v>
      </c>
      <c r="D1776" s="177" t="s">
        <v>17</v>
      </c>
      <c r="E1776" s="370">
        <v>400</v>
      </c>
      <c r="F1776" s="370">
        <v>200</v>
      </c>
      <c r="G1776" s="370">
        <v>200</v>
      </c>
      <c r="H1776" s="370">
        <v>200</v>
      </c>
      <c r="I1776" s="363">
        <f>SUM(Tabla132112412[[#This Row],[PRIMER TRIMESTRE]:[CUARTO TRIMESTRE]])</f>
        <v>1000</v>
      </c>
      <c r="J1776" s="175">
        <f>76995/450</f>
        <v>171.1</v>
      </c>
      <c r="K1776" s="175">
        <f>+Tabla132112412[[#This Row],[CANTIDAD TOTAL]]*Tabla132112412[[#This Row],[PRECIO UNITARIO ESTIMADO]]</f>
        <v>171100</v>
      </c>
      <c r="L1776" s="175"/>
      <c r="M1776" s="77" t="s">
        <v>27</v>
      </c>
      <c r="N1776" s="77" t="s">
        <v>22</v>
      </c>
      <c r="O1776" s="177" t="s">
        <v>342</v>
      </c>
    </row>
    <row r="1777" spans="2:15" s="12" customFormat="1" ht="30.75" customHeight="1">
      <c r="B1777" s="372" t="s">
        <v>147</v>
      </c>
      <c r="C1777" s="77" t="s">
        <v>1580</v>
      </c>
      <c r="D1777" s="177" t="s">
        <v>149</v>
      </c>
      <c r="E1777" s="370">
        <v>3</v>
      </c>
      <c r="F1777" s="370">
        <v>3</v>
      </c>
      <c r="G1777" s="370">
        <v>3</v>
      </c>
      <c r="H1777" s="370">
        <v>3</v>
      </c>
      <c r="I1777" s="363">
        <f>SUM(Tabla132112412[[#This Row],[PRIMER TRIMESTRE]:[CUARTO TRIMESTRE]])</f>
        <v>12</v>
      </c>
      <c r="J1777" s="175">
        <v>3250</v>
      </c>
      <c r="K1777" s="175">
        <f>+I1777*J1777</f>
        <v>39000</v>
      </c>
      <c r="L1777" s="175"/>
      <c r="M1777" s="77" t="s">
        <v>27</v>
      </c>
      <c r="N1777" s="77" t="s">
        <v>22</v>
      </c>
      <c r="O1777" s="177" t="s">
        <v>342</v>
      </c>
    </row>
    <row r="1778" spans="2:15" s="12" customFormat="1" ht="30.75" customHeight="1">
      <c r="B1778" s="372" t="s">
        <v>147</v>
      </c>
      <c r="C1778" s="77" t="s">
        <v>1581</v>
      </c>
      <c r="D1778" s="177" t="s">
        <v>149</v>
      </c>
      <c r="E1778" s="370">
        <v>3</v>
      </c>
      <c r="F1778" s="370">
        <v>3</v>
      </c>
      <c r="G1778" s="370">
        <v>3</v>
      </c>
      <c r="H1778" s="370">
        <v>3</v>
      </c>
      <c r="I1778" s="363">
        <f>SUM(Tabla132112412[[#This Row],[PRIMER TRIMESTRE]:[CUARTO TRIMESTRE]])</f>
        <v>12</v>
      </c>
      <c r="J1778" s="175">
        <v>3250</v>
      </c>
      <c r="K1778" s="175">
        <f>+I1778*J1778</f>
        <v>39000</v>
      </c>
      <c r="L1778" s="175"/>
      <c r="M1778" s="77" t="s">
        <v>27</v>
      </c>
      <c r="N1778" s="77" t="s">
        <v>22</v>
      </c>
      <c r="O1778" s="177" t="s">
        <v>342</v>
      </c>
    </row>
    <row r="1779" spans="2:15" s="12" customFormat="1" ht="30.75" customHeight="1">
      <c r="B1779" s="372" t="s">
        <v>147</v>
      </c>
      <c r="C1779" s="77" t="s">
        <v>1579</v>
      </c>
      <c r="D1779" s="177" t="s">
        <v>149</v>
      </c>
      <c r="E1779" s="370">
        <v>3</v>
      </c>
      <c r="F1779" s="370">
        <v>3</v>
      </c>
      <c r="G1779" s="370">
        <v>3</v>
      </c>
      <c r="H1779" s="370">
        <v>3</v>
      </c>
      <c r="I1779" s="363">
        <f>SUM(Tabla132112412[[#This Row],[PRIMER TRIMESTRE]:[CUARTO TRIMESTRE]])</f>
        <v>12</v>
      </c>
      <c r="J1779" s="175">
        <v>3250</v>
      </c>
      <c r="K1779" s="175">
        <f>+I1779*J1779</f>
        <v>39000</v>
      </c>
      <c r="L1779" s="175"/>
      <c r="M1779" s="77" t="s">
        <v>27</v>
      </c>
      <c r="N1779" s="77" t="s">
        <v>22</v>
      </c>
      <c r="O1779" s="177" t="s">
        <v>342</v>
      </c>
    </row>
    <row r="1780" spans="2:15" s="12" customFormat="1" ht="30.75" customHeight="1">
      <c r="B1780" s="372" t="s">
        <v>147</v>
      </c>
      <c r="C1780" s="77" t="s">
        <v>303</v>
      </c>
      <c r="D1780" s="177" t="s">
        <v>149</v>
      </c>
      <c r="E1780" s="370">
        <v>203</v>
      </c>
      <c r="F1780" s="370">
        <v>3</v>
      </c>
      <c r="G1780" s="370">
        <v>3</v>
      </c>
      <c r="H1780" s="370">
        <v>3</v>
      </c>
      <c r="I1780" s="363">
        <f>SUM(Tabla132112412[[#This Row],[PRIMER TRIMESTRE]:[CUARTO TRIMESTRE]])</f>
        <v>212</v>
      </c>
      <c r="J1780" s="175">
        <v>1856</v>
      </c>
      <c r="K1780" s="175">
        <f>+Tabla132112412[[#This Row],[CANTIDAD TOTAL]]*Tabla132112412[[#This Row],[PRECIO UNITARIO ESTIMADO]]</f>
        <v>393472</v>
      </c>
      <c r="L1780" s="175"/>
      <c r="M1780" s="77" t="s">
        <v>27</v>
      </c>
      <c r="N1780" s="77" t="s">
        <v>22</v>
      </c>
      <c r="O1780" s="177" t="s">
        <v>342</v>
      </c>
    </row>
    <row r="1781" spans="2:15" s="12" customFormat="1" ht="30.75" customHeight="1">
      <c r="B1781" s="372" t="s">
        <v>147</v>
      </c>
      <c r="C1781" s="77" t="s">
        <v>1582</v>
      </c>
      <c r="D1781" s="177" t="s">
        <v>149</v>
      </c>
      <c r="E1781" s="370">
        <v>3</v>
      </c>
      <c r="F1781" s="370">
        <v>3</v>
      </c>
      <c r="G1781" s="370">
        <v>3</v>
      </c>
      <c r="H1781" s="370">
        <v>3</v>
      </c>
      <c r="I1781" s="363">
        <f>SUM(Tabla132112412[[#This Row],[PRIMER TRIMESTRE]:[CUARTO TRIMESTRE]])</f>
        <v>12</v>
      </c>
      <c r="J1781" s="175">
        <v>1680</v>
      </c>
      <c r="K1781" s="175">
        <f>+I1781*J1781</f>
        <v>20160</v>
      </c>
      <c r="L1781" s="175"/>
      <c r="M1781" s="77" t="s">
        <v>27</v>
      </c>
      <c r="N1781" s="77" t="s">
        <v>22</v>
      </c>
      <c r="O1781" s="177" t="s">
        <v>342</v>
      </c>
    </row>
    <row r="1782" spans="2:15" s="12" customFormat="1" ht="30.75" customHeight="1">
      <c r="B1782" s="372" t="s">
        <v>147</v>
      </c>
      <c r="C1782" s="77" t="s">
        <v>1583</v>
      </c>
      <c r="D1782" s="177" t="s">
        <v>149</v>
      </c>
      <c r="E1782" s="370">
        <v>3</v>
      </c>
      <c r="F1782" s="370">
        <v>3</v>
      </c>
      <c r="G1782" s="370">
        <v>3</v>
      </c>
      <c r="H1782" s="370">
        <v>3</v>
      </c>
      <c r="I1782" s="363">
        <f>SUM(Tabla132112412[[#This Row],[PRIMER TRIMESTRE]:[CUARTO TRIMESTRE]])</f>
        <v>12</v>
      </c>
      <c r="J1782" s="175">
        <v>1615</v>
      </c>
      <c r="K1782" s="175">
        <f>+I1782*J1782</f>
        <v>19380</v>
      </c>
      <c r="L1782" s="175"/>
      <c r="M1782" s="77" t="s">
        <v>27</v>
      </c>
      <c r="N1782" s="77" t="s">
        <v>22</v>
      </c>
      <c r="O1782" s="177" t="s">
        <v>342</v>
      </c>
    </row>
    <row r="1783" spans="2:15" s="12" customFormat="1" ht="30.75" customHeight="1">
      <c r="B1783" s="372" t="s">
        <v>147</v>
      </c>
      <c r="C1783" s="77" t="s">
        <v>1584</v>
      </c>
      <c r="D1783" s="177" t="s">
        <v>149</v>
      </c>
      <c r="E1783" s="370">
        <v>0</v>
      </c>
      <c r="F1783" s="370">
        <v>0</v>
      </c>
      <c r="G1783" s="370">
        <v>0</v>
      </c>
      <c r="H1783" s="370">
        <v>0</v>
      </c>
      <c r="I1783" s="363">
        <f>SUM(Tabla132112412[[#This Row],[PRIMER TRIMESTRE]:[CUARTO TRIMESTRE]])</f>
        <v>0</v>
      </c>
      <c r="J1783" s="175">
        <v>1615</v>
      </c>
      <c r="K1783" s="175">
        <f>+I1783*J1783</f>
        <v>0</v>
      </c>
      <c r="L1783" s="175"/>
      <c r="M1783" s="77" t="s">
        <v>27</v>
      </c>
      <c r="N1783" s="77" t="s">
        <v>22</v>
      </c>
      <c r="O1783" s="177" t="s">
        <v>342</v>
      </c>
    </row>
    <row r="1784" spans="2:15" s="12" customFormat="1" ht="30.75" customHeight="1">
      <c r="B1784" s="372" t="s">
        <v>147</v>
      </c>
      <c r="C1784" s="77" t="s">
        <v>1585</v>
      </c>
      <c r="D1784" s="177" t="s">
        <v>149</v>
      </c>
      <c r="E1784" s="370">
        <v>0</v>
      </c>
      <c r="F1784" s="370">
        <v>0</v>
      </c>
      <c r="G1784" s="370">
        <v>0</v>
      </c>
      <c r="H1784" s="370">
        <v>0</v>
      </c>
      <c r="I1784" s="363">
        <f>SUM(Tabla132112412[[#This Row],[PRIMER TRIMESTRE]:[CUARTO TRIMESTRE]])</f>
        <v>0</v>
      </c>
      <c r="J1784" s="175">
        <v>1615</v>
      </c>
      <c r="K1784" s="175">
        <f>+I1784*J1784</f>
        <v>0</v>
      </c>
      <c r="L1784" s="175"/>
      <c r="M1784" s="77" t="s">
        <v>27</v>
      </c>
      <c r="N1784" s="77" t="s">
        <v>22</v>
      </c>
      <c r="O1784" s="177" t="s">
        <v>342</v>
      </c>
    </row>
    <row r="1785" spans="2:15" s="12" customFormat="1" ht="30.75" customHeight="1">
      <c r="B1785" s="372" t="s">
        <v>147</v>
      </c>
      <c r="C1785" s="453" t="s">
        <v>2445</v>
      </c>
      <c r="D1785" s="177" t="s">
        <v>149</v>
      </c>
      <c r="E1785" s="365">
        <v>3</v>
      </c>
      <c r="F1785" s="365">
        <v>0</v>
      </c>
      <c r="G1785" s="365">
        <v>2</v>
      </c>
      <c r="H1785" s="365">
        <v>0</v>
      </c>
      <c r="I1785" s="363">
        <f>SUM(Tabla132112412[[#This Row],[PRIMER TRIMESTRE]:[CUARTO TRIMESTRE]])</f>
        <v>5</v>
      </c>
      <c r="J1785" s="175"/>
      <c r="K1785" s="175"/>
      <c r="L1785" s="175"/>
      <c r="M1785" s="77"/>
      <c r="N1785" s="77"/>
      <c r="O1785" s="177"/>
    </row>
    <row r="1786" spans="2:15" s="12" customFormat="1" ht="30.75" customHeight="1">
      <c r="B1786" s="372" t="s">
        <v>147</v>
      </c>
      <c r="C1786" s="453" t="s">
        <v>2446</v>
      </c>
      <c r="D1786" s="177" t="s">
        <v>149</v>
      </c>
      <c r="E1786" s="365">
        <v>8</v>
      </c>
      <c r="F1786" s="365">
        <v>0</v>
      </c>
      <c r="G1786" s="365">
        <v>2</v>
      </c>
      <c r="H1786" s="365">
        <v>0</v>
      </c>
      <c r="I1786" s="363">
        <f>SUM(Tabla132112412[[#This Row],[PRIMER TRIMESTRE]:[CUARTO TRIMESTRE]])</f>
        <v>10</v>
      </c>
      <c r="J1786" s="175"/>
      <c r="K1786" s="175"/>
      <c r="L1786" s="175"/>
      <c r="M1786" s="77"/>
      <c r="N1786" s="77"/>
      <c r="O1786" s="177"/>
    </row>
    <row r="1787" spans="2:15" s="12" customFormat="1" ht="30.75" customHeight="1">
      <c r="B1787" s="372" t="s">
        <v>147</v>
      </c>
      <c r="C1787" s="453" t="s">
        <v>2447</v>
      </c>
      <c r="D1787" s="177" t="s">
        <v>149</v>
      </c>
      <c r="E1787" s="365">
        <v>3</v>
      </c>
      <c r="F1787" s="365">
        <v>0</v>
      </c>
      <c r="G1787" s="365">
        <v>2</v>
      </c>
      <c r="H1787" s="365">
        <v>0</v>
      </c>
      <c r="I1787" s="363">
        <f>SUM(Tabla132112412[[#This Row],[PRIMER TRIMESTRE]:[CUARTO TRIMESTRE]])</f>
        <v>5</v>
      </c>
      <c r="J1787" s="175"/>
      <c r="K1787" s="175"/>
      <c r="L1787" s="175"/>
      <c r="M1787" s="77"/>
      <c r="N1787" s="77"/>
      <c r="O1787" s="177"/>
    </row>
    <row r="1788" spans="2:15" s="12" customFormat="1" ht="30.75" customHeight="1">
      <c r="B1788" s="372" t="s">
        <v>147</v>
      </c>
      <c r="C1788" s="453" t="s">
        <v>568</v>
      </c>
      <c r="D1788" s="177" t="s">
        <v>149</v>
      </c>
      <c r="E1788" s="365">
        <v>5</v>
      </c>
      <c r="F1788" s="365">
        <v>2</v>
      </c>
      <c r="G1788" s="365">
        <v>3</v>
      </c>
      <c r="H1788" s="365">
        <v>0</v>
      </c>
      <c r="I1788" s="363">
        <f>SUM(Tabla132112412[[#This Row],[PRIMER TRIMESTRE]:[CUARTO TRIMESTRE]])</f>
        <v>10</v>
      </c>
      <c r="J1788" s="175"/>
      <c r="K1788" s="175"/>
      <c r="L1788" s="175"/>
      <c r="M1788" s="77"/>
      <c r="N1788" s="77"/>
      <c r="O1788" s="177"/>
    </row>
    <row r="1789" spans="2:15" s="12" customFormat="1" ht="30.75" customHeight="1">
      <c r="B1789" s="372" t="s">
        <v>147</v>
      </c>
      <c r="C1789" s="453" t="s">
        <v>569</v>
      </c>
      <c r="D1789" s="177" t="s">
        <v>149</v>
      </c>
      <c r="E1789" s="365">
        <v>2</v>
      </c>
      <c r="F1789" s="365">
        <v>1</v>
      </c>
      <c r="G1789" s="365"/>
      <c r="H1789" s="365">
        <v>0</v>
      </c>
      <c r="I1789" s="363">
        <f>SUM(Tabla132112412[[#This Row],[PRIMER TRIMESTRE]:[CUARTO TRIMESTRE]])</f>
        <v>3</v>
      </c>
      <c r="J1789" s="175"/>
      <c r="K1789" s="175"/>
      <c r="L1789" s="175"/>
      <c r="M1789" s="77"/>
      <c r="N1789" s="77"/>
      <c r="O1789" s="177"/>
    </row>
    <row r="1790" spans="2:15" s="12" customFormat="1" ht="30.75" customHeight="1">
      <c r="B1790" s="372" t="s">
        <v>147</v>
      </c>
      <c r="C1790" s="453" t="s">
        <v>2448</v>
      </c>
      <c r="D1790" s="177" t="s">
        <v>149</v>
      </c>
      <c r="E1790" s="365">
        <v>2</v>
      </c>
      <c r="F1790" s="365">
        <v>0</v>
      </c>
      <c r="G1790" s="365">
        <v>1</v>
      </c>
      <c r="H1790" s="365">
        <v>0</v>
      </c>
      <c r="I1790" s="363">
        <f>SUM(Tabla132112412[[#This Row],[PRIMER TRIMESTRE]:[CUARTO TRIMESTRE]])</f>
        <v>3</v>
      </c>
      <c r="J1790" s="175"/>
      <c r="K1790" s="175"/>
      <c r="L1790" s="175"/>
      <c r="M1790" s="77"/>
      <c r="N1790" s="77"/>
      <c r="O1790" s="177"/>
    </row>
    <row r="1791" spans="2:15" s="12" customFormat="1" ht="30.75" customHeight="1">
      <c r="B1791" s="372" t="s">
        <v>147</v>
      </c>
      <c r="C1791" s="77" t="s">
        <v>1586</v>
      </c>
      <c r="D1791" s="177" t="s">
        <v>149</v>
      </c>
      <c r="E1791" s="370">
        <v>1</v>
      </c>
      <c r="F1791" s="370">
        <v>0</v>
      </c>
      <c r="G1791" s="370">
        <v>1</v>
      </c>
      <c r="H1791" s="370">
        <v>0</v>
      </c>
      <c r="I1791" s="363">
        <f>SUM(Tabla132112412[[#This Row],[PRIMER TRIMESTRE]:[CUARTO TRIMESTRE]])</f>
        <v>2</v>
      </c>
      <c r="J1791" s="175">
        <v>1615</v>
      </c>
      <c r="K1791" s="175">
        <f>+I1791*J1791</f>
        <v>3230</v>
      </c>
      <c r="L1791" s="175"/>
      <c r="M1791" s="77" t="s">
        <v>27</v>
      </c>
      <c r="N1791" s="77" t="s">
        <v>22</v>
      </c>
      <c r="O1791" s="177" t="s">
        <v>342</v>
      </c>
    </row>
    <row r="1792" spans="2:15" s="12" customFormat="1" ht="30.75" customHeight="1">
      <c r="B1792" s="372" t="s">
        <v>147</v>
      </c>
      <c r="C1792" s="77" t="s">
        <v>1272</v>
      </c>
      <c r="D1792" s="177" t="s">
        <v>149</v>
      </c>
      <c r="E1792" s="370">
        <v>25</v>
      </c>
      <c r="F1792" s="370">
        <v>25</v>
      </c>
      <c r="G1792" s="370">
        <v>25</v>
      </c>
      <c r="H1792" s="370">
        <v>25</v>
      </c>
      <c r="I1792" s="363">
        <f>SUM(Tabla132112412[[#This Row],[PRIMER TRIMESTRE]:[CUARTO TRIMESTRE]])</f>
        <v>100</v>
      </c>
      <c r="J1792" s="175">
        <v>488.31</v>
      </c>
      <c r="K1792" s="175">
        <f>+Tabla132112412[[#This Row],[CANTIDAD TOTAL]]*Tabla132112412[[#This Row],[PRECIO UNITARIO ESTIMADO]]</f>
        <v>48831</v>
      </c>
      <c r="L1792" s="175"/>
      <c r="M1792" s="77" t="s">
        <v>27</v>
      </c>
      <c r="N1792" s="77" t="s">
        <v>22</v>
      </c>
      <c r="O1792" s="177" t="s">
        <v>342</v>
      </c>
    </row>
    <row r="1793" spans="1:15" s="12" customFormat="1" ht="30.75" customHeight="1">
      <c r="B1793" s="372" t="s">
        <v>147</v>
      </c>
      <c r="C1793" s="77" t="s">
        <v>1273</v>
      </c>
      <c r="D1793" s="177" t="s">
        <v>149</v>
      </c>
      <c r="E1793" s="370">
        <v>10</v>
      </c>
      <c r="F1793" s="370">
        <v>10</v>
      </c>
      <c r="G1793" s="370">
        <v>10</v>
      </c>
      <c r="H1793" s="370">
        <v>10</v>
      </c>
      <c r="I1793" s="363">
        <f>SUM(Tabla132112412[[#This Row],[PRIMER TRIMESTRE]:[CUARTO TRIMESTRE]])</f>
        <v>40</v>
      </c>
      <c r="J1793" s="175">
        <v>550.4</v>
      </c>
      <c r="K1793" s="175">
        <f>+I1793*J1793</f>
        <v>22016</v>
      </c>
      <c r="L1793" s="175"/>
      <c r="M1793" s="77" t="s">
        <v>27</v>
      </c>
      <c r="N1793" s="77" t="s">
        <v>22</v>
      </c>
      <c r="O1793" s="177" t="s">
        <v>342</v>
      </c>
    </row>
    <row r="1794" spans="1:15" s="12" customFormat="1" ht="30.75" customHeight="1">
      <c r="B1794" s="372" t="s">
        <v>147</v>
      </c>
      <c r="C1794" s="77" t="s">
        <v>1274</v>
      </c>
      <c r="D1794" s="177" t="s">
        <v>17</v>
      </c>
      <c r="E1794" s="370">
        <v>15</v>
      </c>
      <c r="F1794" s="370">
        <v>15</v>
      </c>
      <c r="G1794" s="370">
        <v>15</v>
      </c>
      <c r="H1794" s="370">
        <v>15</v>
      </c>
      <c r="I1794" s="363">
        <f>SUM(Tabla132112412[[#This Row],[PRIMER TRIMESTRE]:[CUARTO TRIMESTRE]])</f>
        <v>60</v>
      </c>
      <c r="J1794" s="175">
        <v>450</v>
      </c>
      <c r="K1794" s="175">
        <f>+I1794*J1794</f>
        <v>27000</v>
      </c>
      <c r="L1794" s="175"/>
      <c r="M1794" s="77" t="s">
        <v>27</v>
      </c>
      <c r="N1794" s="77" t="s">
        <v>22</v>
      </c>
      <c r="O1794" s="177" t="s">
        <v>342</v>
      </c>
    </row>
    <row r="1795" spans="1:15" s="26" customFormat="1" ht="30.75" customHeight="1">
      <c r="A1795" s="12"/>
      <c r="B1795" s="372" t="s">
        <v>147</v>
      </c>
      <c r="C1795" s="77" t="s">
        <v>1270</v>
      </c>
      <c r="D1795" s="177" t="s">
        <v>17</v>
      </c>
      <c r="E1795" s="370">
        <v>0</v>
      </c>
      <c r="F1795" s="370">
        <v>0</v>
      </c>
      <c r="G1795" s="370">
        <v>0</v>
      </c>
      <c r="H1795" s="370">
        <v>0</v>
      </c>
      <c r="I1795" s="363">
        <f>SUM(Tabla132112412[[#This Row],[PRIMER TRIMESTRE]:[CUARTO TRIMESTRE]])</f>
        <v>0</v>
      </c>
      <c r="J1795" s="175">
        <v>850</v>
      </c>
      <c r="K1795" s="175">
        <f>+I1795*J1795</f>
        <v>0</v>
      </c>
      <c r="L1795" s="175"/>
      <c r="M1795" s="77" t="s">
        <v>27</v>
      </c>
      <c r="N1795" s="77" t="s">
        <v>22</v>
      </c>
      <c r="O1795" s="177" t="s">
        <v>342</v>
      </c>
    </row>
    <row r="1796" spans="1:15" s="12" customFormat="1" ht="30.75" customHeight="1">
      <c r="B1796" s="372" t="s">
        <v>147</v>
      </c>
      <c r="C1796" s="77" t="s">
        <v>1271</v>
      </c>
      <c r="D1796" s="177" t="s">
        <v>17</v>
      </c>
      <c r="E1796" s="370">
        <v>15</v>
      </c>
      <c r="F1796" s="370">
        <v>15</v>
      </c>
      <c r="G1796" s="370">
        <v>15</v>
      </c>
      <c r="H1796" s="370">
        <v>15</v>
      </c>
      <c r="I1796" s="363">
        <f>SUM(Tabla132112412[[#This Row],[PRIMER TRIMESTRE]:[CUARTO TRIMESTRE]])</f>
        <v>60</v>
      </c>
      <c r="J1796" s="175">
        <v>250</v>
      </c>
      <c r="K1796" s="175">
        <f>+I1796*J1796</f>
        <v>15000</v>
      </c>
      <c r="L1796" s="175"/>
      <c r="M1796" s="77" t="s">
        <v>27</v>
      </c>
      <c r="N1796" s="77" t="s">
        <v>22</v>
      </c>
      <c r="O1796" s="177" t="s">
        <v>342</v>
      </c>
    </row>
    <row r="1797" spans="1:15" s="12" customFormat="1" ht="30.75" customHeight="1">
      <c r="B1797" s="452" t="s">
        <v>147</v>
      </c>
      <c r="C1797" s="453"/>
      <c r="D1797" s="177"/>
      <c r="E1797" s="370"/>
      <c r="F1797" s="370"/>
      <c r="G1797" s="370"/>
      <c r="H1797" s="370"/>
      <c r="I1797" s="363">
        <f>SUM(Tabla132112412[[#This Row],[PRIMER TRIMESTRE]:[CUARTO TRIMESTRE]])</f>
        <v>0</v>
      </c>
      <c r="J1797" s="175"/>
      <c r="K1797" s="175"/>
      <c r="L1797" s="451">
        <f>SUM(K1773:K1796)</f>
        <v>2073991</v>
      </c>
      <c r="M1797" s="77"/>
      <c r="N1797" s="77"/>
      <c r="O1797" s="177"/>
    </row>
    <row r="1798" spans="1:15" s="12" customFormat="1" ht="30.75" customHeight="1">
      <c r="B1798" s="372" t="s">
        <v>153</v>
      </c>
      <c r="C1798" s="77" t="s">
        <v>1908</v>
      </c>
      <c r="D1798" s="177" t="s">
        <v>17</v>
      </c>
      <c r="E1798" s="370">
        <v>0</v>
      </c>
      <c r="F1798" s="370">
        <v>0</v>
      </c>
      <c r="G1798" s="370">
        <v>0</v>
      </c>
      <c r="H1798" s="370">
        <v>0</v>
      </c>
      <c r="I1798" s="363">
        <f>SUM(Tabla132112412[[#This Row],[PRIMER TRIMESTRE]:[CUARTO TRIMESTRE]])</f>
        <v>0</v>
      </c>
      <c r="J1798" s="175">
        <v>0</v>
      </c>
      <c r="K1798" s="77"/>
      <c r="L1798" s="77"/>
      <c r="M1798" s="77" t="s">
        <v>15</v>
      </c>
      <c r="N1798" s="77" t="s">
        <v>22</v>
      </c>
      <c r="O1798" s="177" t="s">
        <v>342</v>
      </c>
    </row>
    <row r="1799" spans="1:15" s="12" customFormat="1" ht="30.75" customHeight="1">
      <c r="B1799" s="372" t="s">
        <v>1909</v>
      </c>
      <c r="C1799" s="77" t="s">
        <v>1910</v>
      </c>
      <c r="D1799" s="177" t="s">
        <v>17</v>
      </c>
      <c r="E1799" s="370">
        <v>3</v>
      </c>
      <c r="F1799" s="370">
        <v>3</v>
      </c>
      <c r="G1799" s="370">
        <v>3</v>
      </c>
      <c r="H1799" s="370">
        <v>3</v>
      </c>
      <c r="I1799" s="363">
        <f>SUM(Tabla132112412[[#This Row],[PRIMER TRIMESTRE]:[CUARTO TRIMESTRE]])</f>
        <v>12</v>
      </c>
      <c r="J1799" s="175">
        <v>0</v>
      </c>
      <c r="K1799" s="77"/>
      <c r="L1799" s="77"/>
      <c r="M1799" s="77" t="s">
        <v>15</v>
      </c>
      <c r="N1799" s="77" t="s">
        <v>22</v>
      </c>
      <c r="O1799" s="177" t="s">
        <v>342</v>
      </c>
    </row>
    <row r="1800" spans="1:15" s="12" customFormat="1" ht="30.75" customHeight="1">
      <c r="B1800" s="372" t="s">
        <v>1909</v>
      </c>
      <c r="C1800" s="77" t="s">
        <v>1911</v>
      </c>
      <c r="D1800" s="177" t="s">
        <v>17</v>
      </c>
      <c r="E1800" s="370">
        <v>0</v>
      </c>
      <c r="F1800" s="370">
        <v>0</v>
      </c>
      <c r="G1800" s="370">
        <v>0</v>
      </c>
      <c r="H1800" s="370">
        <v>0</v>
      </c>
      <c r="I1800" s="363">
        <f>SUM(Tabla132112412[[#This Row],[PRIMER TRIMESTRE]:[CUARTO TRIMESTRE]])</f>
        <v>0</v>
      </c>
      <c r="J1800" s="175">
        <v>1</v>
      </c>
      <c r="K1800" s="175"/>
      <c r="L1800" s="175"/>
      <c r="M1800" s="77" t="s">
        <v>15</v>
      </c>
      <c r="N1800" s="77" t="s">
        <v>22</v>
      </c>
      <c r="O1800" s="177" t="s">
        <v>342</v>
      </c>
    </row>
    <row r="1801" spans="1:15" s="12" customFormat="1" ht="30.75" customHeight="1">
      <c r="B1801" s="372" t="s">
        <v>153</v>
      </c>
      <c r="C1801" s="77" t="s">
        <v>1664</v>
      </c>
      <c r="D1801" s="177" t="s">
        <v>17</v>
      </c>
      <c r="E1801" s="370">
        <v>0</v>
      </c>
      <c r="F1801" s="370">
        <v>0</v>
      </c>
      <c r="G1801" s="370">
        <v>0</v>
      </c>
      <c r="H1801" s="370">
        <v>0</v>
      </c>
      <c r="I1801" s="363">
        <f>SUM(Tabla132112412[[#This Row],[PRIMER TRIMESTRE]:[CUARTO TRIMESTRE]])</f>
        <v>0</v>
      </c>
      <c r="J1801" s="175">
        <v>1</v>
      </c>
      <c r="K1801" s="175"/>
      <c r="L1801" s="175"/>
      <c r="M1801" s="77" t="s">
        <v>15</v>
      </c>
      <c r="N1801" s="77" t="s">
        <v>22</v>
      </c>
      <c r="O1801" s="177" t="s">
        <v>342</v>
      </c>
    </row>
    <row r="1802" spans="1:15" s="12" customFormat="1" ht="30.75" customHeight="1">
      <c r="B1802" s="372" t="s">
        <v>153</v>
      </c>
      <c r="C1802" s="77" t="s">
        <v>1665</v>
      </c>
      <c r="D1802" s="177" t="s">
        <v>17</v>
      </c>
      <c r="E1802" s="370">
        <v>0</v>
      </c>
      <c r="F1802" s="370">
        <v>0</v>
      </c>
      <c r="G1802" s="370">
        <v>0</v>
      </c>
      <c r="H1802" s="370">
        <v>0</v>
      </c>
      <c r="I1802" s="363">
        <f>SUM(Tabla132112412[[#This Row],[PRIMER TRIMESTRE]:[CUARTO TRIMESTRE]])</f>
        <v>0</v>
      </c>
      <c r="J1802" s="175">
        <v>0</v>
      </c>
      <c r="K1802" s="77"/>
      <c r="L1802" s="77"/>
      <c r="M1802" s="77" t="s">
        <v>15</v>
      </c>
      <c r="N1802" s="77" t="s">
        <v>22</v>
      </c>
      <c r="O1802" s="177" t="s">
        <v>342</v>
      </c>
    </row>
    <row r="1803" spans="1:15" s="12" customFormat="1" ht="30.75" customHeight="1">
      <c r="B1803" s="372" t="s">
        <v>153</v>
      </c>
      <c r="C1803" s="77" t="s">
        <v>768</v>
      </c>
      <c r="D1803" s="177" t="s">
        <v>17</v>
      </c>
      <c r="E1803" s="370">
        <v>500</v>
      </c>
      <c r="F1803" s="370">
        <v>500</v>
      </c>
      <c r="G1803" s="370">
        <v>500</v>
      </c>
      <c r="H1803" s="370">
        <v>500</v>
      </c>
      <c r="I1803" s="363">
        <f>SUM(Tabla132112412[[#This Row],[PRIMER TRIMESTRE]:[CUARTO TRIMESTRE]])</f>
        <v>2000</v>
      </c>
      <c r="J1803" s="175">
        <v>48.75</v>
      </c>
      <c r="K1803" s="175">
        <f>+I1803*J1803</f>
        <v>97500</v>
      </c>
      <c r="L1803" s="175"/>
      <c r="M1803" s="77" t="s">
        <v>15</v>
      </c>
      <c r="N1803" s="77" t="s">
        <v>22</v>
      </c>
      <c r="O1803" s="177" t="s">
        <v>342</v>
      </c>
    </row>
    <row r="1804" spans="1:15" s="12" customFormat="1" ht="30.75" customHeight="1">
      <c r="B1804" s="372" t="s">
        <v>153</v>
      </c>
      <c r="C1804" s="77" t="s">
        <v>1417</v>
      </c>
      <c r="D1804" s="177" t="s">
        <v>17</v>
      </c>
      <c r="E1804" s="370">
        <f>36500*3</f>
        <v>109500</v>
      </c>
      <c r="F1804" s="370">
        <f>36500*3</f>
        <v>109500</v>
      </c>
      <c r="G1804" s="370">
        <f>36500*3</f>
        <v>109500</v>
      </c>
      <c r="H1804" s="370">
        <f>36500*3</f>
        <v>109500</v>
      </c>
      <c r="I1804" s="363">
        <f>SUM(Tabla132112412[[#This Row],[PRIMER TRIMESTRE]:[CUARTO TRIMESTRE]])</f>
        <v>438000</v>
      </c>
      <c r="J1804" s="175">
        <v>9</v>
      </c>
      <c r="K1804" s="175">
        <f>+I1804*J1804</f>
        <v>3942000</v>
      </c>
      <c r="L1804" s="175"/>
      <c r="M1804" s="77" t="s">
        <v>18</v>
      </c>
      <c r="N1804" s="77" t="s">
        <v>22</v>
      </c>
      <c r="O1804" s="177" t="s">
        <v>342</v>
      </c>
    </row>
    <row r="1805" spans="1:15" s="26" customFormat="1" ht="30.75" customHeight="1">
      <c r="A1805" s="12"/>
      <c r="B1805" s="372" t="s">
        <v>153</v>
      </c>
      <c r="C1805" s="77" t="s">
        <v>1627</v>
      </c>
      <c r="D1805" s="177" t="s">
        <v>17</v>
      </c>
      <c r="E1805" s="370">
        <v>2000</v>
      </c>
      <c r="F1805" s="370">
        <v>2000</v>
      </c>
      <c r="G1805" s="370">
        <v>2000</v>
      </c>
      <c r="H1805" s="370">
        <v>2000</v>
      </c>
      <c r="I1805" s="363">
        <f>SUM(Tabla132112412[[#This Row],[PRIMER TRIMESTRE]:[CUARTO TRIMESTRE]])</f>
        <v>8000</v>
      </c>
      <c r="J1805" s="175">
        <v>30</v>
      </c>
      <c r="K1805" s="175">
        <f>+I1805*J1805</f>
        <v>240000</v>
      </c>
      <c r="L1805" s="372"/>
      <c r="M1805" s="77" t="s">
        <v>18</v>
      </c>
      <c r="N1805" s="77" t="s">
        <v>22</v>
      </c>
      <c r="O1805" s="177" t="s">
        <v>342</v>
      </c>
    </row>
    <row r="1806" spans="1:15" s="169" customFormat="1" ht="30.75" customHeight="1">
      <c r="A1806" s="12"/>
      <c r="B1806" s="372" t="s">
        <v>153</v>
      </c>
      <c r="C1806" s="77" t="s">
        <v>1466</v>
      </c>
      <c r="D1806" s="177" t="s">
        <v>17</v>
      </c>
      <c r="E1806" s="370">
        <v>3</v>
      </c>
      <c r="F1806" s="370">
        <v>3</v>
      </c>
      <c r="G1806" s="370">
        <v>3</v>
      </c>
      <c r="H1806" s="370">
        <v>3</v>
      </c>
      <c r="I1806" s="363">
        <f>SUM(Tabla132112412[[#This Row],[PRIMER TRIMESTRE]:[CUARTO TRIMESTRE]])</f>
        <v>12</v>
      </c>
      <c r="J1806" s="175">
        <v>2200</v>
      </c>
      <c r="K1806" s="175">
        <f>+I1806*J1806</f>
        <v>26400</v>
      </c>
      <c r="L1806" s="175"/>
      <c r="M1806" s="77" t="s">
        <v>18</v>
      </c>
      <c r="N1806" s="77" t="s">
        <v>22</v>
      </c>
      <c r="O1806" s="177" t="s">
        <v>342</v>
      </c>
    </row>
    <row r="1807" spans="1:15" s="169" customFormat="1" ht="49.5" customHeight="1">
      <c r="A1807" s="12"/>
      <c r="B1807" s="452" t="s">
        <v>153</v>
      </c>
      <c r="C1807" s="453"/>
      <c r="D1807" s="177"/>
      <c r="E1807" s="370"/>
      <c r="F1807" s="370"/>
      <c r="G1807" s="370"/>
      <c r="H1807" s="370"/>
      <c r="I1807" s="363">
        <f>SUM(Tabla132112412[[#This Row],[PRIMER TRIMESTRE]:[CUARTO TRIMESTRE]])</f>
        <v>0</v>
      </c>
      <c r="J1807" s="175"/>
      <c r="K1807" s="175"/>
      <c r="L1807" s="451">
        <f>SUM(K1803:K1806)</f>
        <v>4305900</v>
      </c>
      <c r="M1807" s="77"/>
      <c r="N1807" s="77"/>
      <c r="O1807" s="177"/>
    </row>
    <row r="1808" spans="1:15" s="169" customFormat="1" ht="51.75" customHeight="1">
      <c r="A1808" s="12"/>
      <c r="B1808" s="372" t="s">
        <v>1024</v>
      </c>
      <c r="C1808" s="77" t="s">
        <v>1025</v>
      </c>
      <c r="D1808" s="177" t="s">
        <v>17</v>
      </c>
      <c r="E1808" s="370">
        <v>0</v>
      </c>
      <c r="F1808" s="370">
        <v>0</v>
      </c>
      <c r="G1808" s="370">
        <v>0</v>
      </c>
      <c r="H1808" s="370">
        <v>0</v>
      </c>
      <c r="I1808" s="363">
        <f>SUM(Tabla132112412[[#This Row],[PRIMER TRIMESTRE]:[CUARTO TRIMESTRE]])</f>
        <v>0</v>
      </c>
      <c r="J1808" s="175">
        <v>2465459.7599999998</v>
      </c>
      <c r="K1808" s="175">
        <f t="shared" ref="K1808:K1813" si="38">+I1808*J1808</f>
        <v>0</v>
      </c>
      <c r="L1808" s="175"/>
      <c r="M1808" s="77" t="s">
        <v>18</v>
      </c>
      <c r="N1808" s="77" t="s">
        <v>19</v>
      </c>
      <c r="O1808" s="177"/>
    </row>
    <row r="1809" spans="1:15" s="169" customFormat="1" ht="54" customHeight="1">
      <c r="A1809" s="12"/>
      <c r="B1809" s="372" t="s">
        <v>1024</v>
      </c>
      <c r="C1809" s="77" t="s">
        <v>1026</v>
      </c>
      <c r="D1809" s="177" t="s">
        <v>17</v>
      </c>
      <c r="E1809" s="370">
        <v>0</v>
      </c>
      <c r="F1809" s="370">
        <v>0</v>
      </c>
      <c r="G1809" s="370">
        <v>0</v>
      </c>
      <c r="H1809" s="370">
        <v>0</v>
      </c>
      <c r="I1809" s="363">
        <f>SUM(Tabla132112412[[#This Row],[PRIMER TRIMESTRE]:[CUARTO TRIMESTRE]])</f>
        <v>0</v>
      </c>
      <c r="J1809" s="175">
        <v>485677.62</v>
      </c>
      <c r="K1809" s="175">
        <f t="shared" si="38"/>
        <v>0</v>
      </c>
      <c r="L1809" s="175"/>
      <c r="M1809" s="77" t="s">
        <v>18</v>
      </c>
      <c r="N1809" s="77" t="s">
        <v>19</v>
      </c>
      <c r="O1809" s="177" t="s">
        <v>342</v>
      </c>
    </row>
    <row r="1810" spans="1:15" s="169" customFormat="1" ht="48.75" customHeight="1">
      <c r="A1810" s="12"/>
      <c r="B1810" s="372" t="s">
        <v>1024</v>
      </c>
      <c r="C1810" s="77" t="s">
        <v>1027</v>
      </c>
      <c r="D1810" s="177" t="s">
        <v>17</v>
      </c>
      <c r="E1810" s="370">
        <v>0</v>
      </c>
      <c r="F1810" s="370">
        <v>0</v>
      </c>
      <c r="G1810" s="370">
        <v>0</v>
      </c>
      <c r="H1810" s="370">
        <v>0</v>
      </c>
      <c r="I1810" s="363">
        <f>SUM(Tabla132112412[[#This Row],[PRIMER TRIMESTRE]:[CUARTO TRIMESTRE]])</f>
        <v>0</v>
      </c>
      <c r="J1810" s="175">
        <v>7126452.3600000003</v>
      </c>
      <c r="K1810" s="175">
        <f t="shared" si="38"/>
        <v>0</v>
      </c>
      <c r="L1810" s="175"/>
      <c r="M1810" s="77" t="s">
        <v>18</v>
      </c>
      <c r="N1810" s="77" t="s">
        <v>19</v>
      </c>
      <c r="O1810" s="177"/>
    </row>
    <row r="1811" spans="1:15" s="169" customFormat="1" ht="51" customHeight="1">
      <c r="A1811" s="12"/>
      <c r="B1811" s="372" t="s">
        <v>1024</v>
      </c>
      <c r="C1811" s="77" t="s">
        <v>1028</v>
      </c>
      <c r="D1811" s="177" t="s">
        <v>17</v>
      </c>
      <c r="E1811" s="370">
        <v>0</v>
      </c>
      <c r="F1811" s="370">
        <v>0</v>
      </c>
      <c r="G1811" s="370">
        <v>0</v>
      </c>
      <c r="H1811" s="370">
        <v>0</v>
      </c>
      <c r="I1811" s="363">
        <f>SUM(Tabla132112412[[#This Row],[PRIMER TRIMESTRE]:[CUARTO TRIMESTRE]])</f>
        <v>0</v>
      </c>
      <c r="J1811" s="175">
        <v>52892.2</v>
      </c>
      <c r="K1811" s="175">
        <f t="shared" si="38"/>
        <v>0</v>
      </c>
      <c r="L1811" s="175"/>
      <c r="M1811" s="77" t="s">
        <v>18</v>
      </c>
      <c r="N1811" s="77" t="s">
        <v>19</v>
      </c>
      <c r="O1811" s="177" t="s">
        <v>342</v>
      </c>
    </row>
    <row r="1812" spans="1:15" s="169" customFormat="1" ht="48.75" customHeight="1">
      <c r="A1812" s="12"/>
      <c r="B1812" s="372" t="s">
        <v>1024</v>
      </c>
      <c r="C1812" s="77" t="s">
        <v>1029</v>
      </c>
      <c r="D1812" s="177" t="s">
        <v>17</v>
      </c>
      <c r="E1812" s="370">
        <v>0</v>
      </c>
      <c r="F1812" s="370">
        <v>0</v>
      </c>
      <c r="G1812" s="370">
        <v>0</v>
      </c>
      <c r="H1812" s="370">
        <v>0</v>
      </c>
      <c r="I1812" s="363">
        <f>SUM(Tabla132112412[[#This Row],[PRIMER TRIMESTRE]:[CUARTO TRIMESTRE]])</f>
        <v>0</v>
      </c>
      <c r="J1812" s="175">
        <v>134185.97999999998</v>
      </c>
      <c r="K1812" s="175">
        <f t="shared" si="38"/>
        <v>0</v>
      </c>
      <c r="L1812" s="175"/>
      <c r="M1812" s="77" t="s">
        <v>18</v>
      </c>
      <c r="N1812" s="77" t="s">
        <v>19</v>
      </c>
      <c r="O1812" s="177"/>
    </row>
    <row r="1813" spans="1:15" s="12" customFormat="1" ht="30.75" customHeight="1">
      <c r="B1813" s="372" t="s">
        <v>1024</v>
      </c>
      <c r="C1813" s="77" t="s">
        <v>1030</v>
      </c>
      <c r="D1813" s="177" t="s">
        <v>17</v>
      </c>
      <c r="E1813" s="370">
        <v>6</v>
      </c>
      <c r="F1813" s="370">
        <v>0</v>
      </c>
      <c r="G1813" s="370">
        <v>0</v>
      </c>
      <c r="H1813" s="370">
        <v>0</v>
      </c>
      <c r="I1813" s="363">
        <f>SUM(Tabla132112412[[#This Row],[PRIMER TRIMESTRE]:[CUARTO TRIMESTRE]])</f>
        <v>6</v>
      </c>
      <c r="J1813" s="175">
        <v>624559.46</v>
      </c>
      <c r="K1813" s="175">
        <f t="shared" si="38"/>
        <v>3747356.76</v>
      </c>
      <c r="L1813" s="175"/>
      <c r="M1813" s="77" t="s">
        <v>18</v>
      </c>
      <c r="N1813" s="77" t="s">
        <v>19</v>
      </c>
      <c r="O1813" s="177"/>
    </row>
    <row r="1814" spans="1:15" s="12" customFormat="1" ht="54.75" customHeight="1">
      <c r="B1814" s="372" t="s">
        <v>1024</v>
      </c>
      <c r="C1814" s="77" t="s">
        <v>2449</v>
      </c>
      <c r="D1814" s="177" t="s">
        <v>17</v>
      </c>
      <c r="E1814" s="370">
        <v>6</v>
      </c>
      <c r="F1814" s="370">
        <v>0</v>
      </c>
      <c r="G1814" s="370">
        <v>0</v>
      </c>
      <c r="H1814" s="370">
        <v>0</v>
      </c>
      <c r="I1814" s="363">
        <f>SUM(Tabla132112412[[#This Row],[PRIMER TRIMESTRE]:[CUARTO TRIMESTRE]])</f>
        <v>6</v>
      </c>
      <c r="J1814" s="175">
        <v>485677.62</v>
      </c>
      <c r="K1814" s="175">
        <f>+I1814*J1814</f>
        <v>2914065.7199999997</v>
      </c>
      <c r="L1814" s="175"/>
      <c r="M1814" s="77" t="s">
        <v>18</v>
      </c>
      <c r="N1814" s="77" t="s">
        <v>19</v>
      </c>
      <c r="O1814" s="177" t="s">
        <v>342</v>
      </c>
    </row>
    <row r="1815" spans="1:15" s="169" customFormat="1" ht="30.75" customHeight="1">
      <c r="A1815" s="12"/>
      <c r="B1815" s="452" t="s">
        <v>1024</v>
      </c>
      <c r="C1815" s="453"/>
      <c r="D1815" s="177"/>
      <c r="E1815" s="370"/>
      <c r="F1815" s="370"/>
      <c r="G1815" s="370"/>
      <c r="H1815" s="370"/>
      <c r="I1815" s="363">
        <f>SUM(Tabla132112412[[#This Row],[PRIMER TRIMESTRE]:[CUARTO TRIMESTRE]])</f>
        <v>0</v>
      </c>
      <c r="J1815" s="175"/>
      <c r="K1815" s="175"/>
      <c r="L1815" s="451">
        <f>SUM(K1808:K1814)</f>
        <v>6661422.4799999995</v>
      </c>
      <c r="M1815" s="77"/>
      <c r="N1815" s="77"/>
      <c r="O1815" s="177"/>
    </row>
    <row r="1816" spans="1:15" s="169" customFormat="1" ht="30.75" customHeight="1">
      <c r="A1816" s="12"/>
      <c r="B1816" s="372" t="s">
        <v>167</v>
      </c>
      <c r="C1816" s="77" t="s">
        <v>964</v>
      </c>
      <c r="D1816" s="177" t="s">
        <v>17</v>
      </c>
      <c r="E1816" s="370">
        <v>0</v>
      </c>
      <c r="F1816" s="370">
        <v>0</v>
      </c>
      <c r="G1816" s="370">
        <v>0</v>
      </c>
      <c r="H1816" s="370">
        <v>0</v>
      </c>
      <c r="I1816" s="363">
        <f>SUM(Tabla132112412[[#This Row],[PRIMER TRIMESTRE]:[CUARTO TRIMESTRE]])</f>
        <v>0</v>
      </c>
      <c r="J1816" s="175">
        <v>84508.178</v>
      </c>
      <c r="K1816" s="175">
        <f t="shared" ref="K1816:K1879" si="39">+I1816*J1816</f>
        <v>0</v>
      </c>
      <c r="L1816" s="175"/>
      <c r="M1816" s="77" t="s">
        <v>18</v>
      </c>
      <c r="N1816" s="77" t="s">
        <v>19</v>
      </c>
      <c r="O1816" s="177" t="s">
        <v>342</v>
      </c>
    </row>
    <row r="1817" spans="1:15" s="169" customFormat="1" ht="30.75" customHeight="1">
      <c r="A1817" s="12"/>
      <c r="B1817" s="372" t="s">
        <v>167</v>
      </c>
      <c r="C1817" s="77" t="s">
        <v>965</v>
      </c>
      <c r="D1817" s="177" t="s">
        <v>17</v>
      </c>
      <c r="E1817" s="370">
        <v>0</v>
      </c>
      <c r="F1817" s="370">
        <v>0</v>
      </c>
      <c r="G1817" s="370">
        <v>0</v>
      </c>
      <c r="H1817" s="370">
        <v>0</v>
      </c>
      <c r="I1817" s="363">
        <f>SUM(Tabla132112412[[#This Row],[PRIMER TRIMESTRE]:[CUARTO TRIMESTRE]])</f>
        <v>0</v>
      </c>
      <c r="J1817" s="175">
        <v>55372.68</v>
      </c>
      <c r="K1817" s="175">
        <f t="shared" si="39"/>
        <v>0</v>
      </c>
      <c r="L1817" s="175"/>
      <c r="M1817" s="77" t="s">
        <v>18</v>
      </c>
      <c r="N1817" s="77" t="s">
        <v>19</v>
      </c>
      <c r="O1817" s="177"/>
    </row>
    <row r="1818" spans="1:15" s="169" customFormat="1" ht="30.75" customHeight="1">
      <c r="A1818" s="12"/>
      <c r="B1818" s="372" t="s">
        <v>167</v>
      </c>
      <c r="C1818" s="77" t="s">
        <v>966</v>
      </c>
      <c r="D1818" s="177" t="s">
        <v>17</v>
      </c>
      <c r="E1818" s="370">
        <v>0</v>
      </c>
      <c r="F1818" s="370">
        <v>0</v>
      </c>
      <c r="G1818" s="370">
        <v>0</v>
      </c>
      <c r="H1818" s="370">
        <v>0</v>
      </c>
      <c r="I1818" s="363">
        <f>SUM(Tabla132112412[[#This Row],[PRIMER TRIMESTRE]:[CUARTO TRIMESTRE]])</f>
        <v>0</v>
      </c>
      <c r="J1818" s="175">
        <v>467752</v>
      </c>
      <c r="K1818" s="175">
        <f t="shared" si="39"/>
        <v>0</v>
      </c>
      <c r="L1818" s="175"/>
      <c r="M1818" s="77" t="s">
        <v>18</v>
      </c>
      <c r="N1818" s="77" t="s">
        <v>19</v>
      </c>
      <c r="O1818" s="177"/>
    </row>
    <row r="1819" spans="1:15" s="169" customFormat="1" ht="30.75" customHeight="1">
      <c r="A1819" s="12"/>
      <c r="B1819" s="372" t="s">
        <v>167</v>
      </c>
      <c r="C1819" s="77" t="s">
        <v>967</v>
      </c>
      <c r="D1819" s="177" t="s">
        <v>17</v>
      </c>
      <c r="E1819" s="370">
        <v>0</v>
      </c>
      <c r="F1819" s="370">
        <v>0</v>
      </c>
      <c r="G1819" s="370">
        <v>0</v>
      </c>
      <c r="H1819" s="370">
        <v>0</v>
      </c>
      <c r="I1819" s="363">
        <f>SUM(Tabla132112412[[#This Row],[PRIMER TRIMESTRE]:[CUARTO TRIMESTRE]])</f>
        <v>0</v>
      </c>
      <c r="J1819" s="175">
        <v>804524</v>
      </c>
      <c r="K1819" s="175">
        <f t="shared" si="39"/>
        <v>0</v>
      </c>
      <c r="L1819" s="175"/>
      <c r="M1819" s="77" t="s">
        <v>18</v>
      </c>
      <c r="N1819" s="77" t="s">
        <v>19</v>
      </c>
      <c r="O1819" s="177"/>
    </row>
    <row r="1820" spans="1:15" s="169" customFormat="1" ht="30.75" customHeight="1">
      <c r="A1820" s="12"/>
      <c r="B1820" s="372" t="s">
        <v>167</v>
      </c>
      <c r="C1820" s="77" t="s">
        <v>968</v>
      </c>
      <c r="D1820" s="177" t="s">
        <v>17</v>
      </c>
      <c r="E1820" s="370">
        <v>0</v>
      </c>
      <c r="F1820" s="370">
        <v>0</v>
      </c>
      <c r="G1820" s="370">
        <v>0</v>
      </c>
      <c r="H1820" s="370">
        <v>0</v>
      </c>
      <c r="I1820" s="363">
        <f>SUM(Tabla132112412[[#This Row],[PRIMER TRIMESTRE]:[CUARTO TRIMESTRE]])</f>
        <v>0</v>
      </c>
      <c r="J1820" s="175">
        <v>223315</v>
      </c>
      <c r="K1820" s="175">
        <f t="shared" si="39"/>
        <v>0</v>
      </c>
      <c r="L1820" s="175"/>
      <c r="M1820" s="77" t="s">
        <v>18</v>
      </c>
      <c r="N1820" s="77" t="s">
        <v>19</v>
      </c>
      <c r="O1820" s="177" t="s">
        <v>342</v>
      </c>
    </row>
    <row r="1821" spans="1:15" s="169" customFormat="1" ht="30.75" customHeight="1">
      <c r="A1821" s="12"/>
      <c r="B1821" s="372" t="s">
        <v>167</v>
      </c>
      <c r="C1821" s="77" t="s">
        <v>969</v>
      </c>
      <c r="D1821" s="177" t="s">
        <v>17</v>
      </c>
      <c r="E1821" s="370">
        <v>0</v>
      </c>
      <c r="F1821" s="370">
        <v>0</v>
      </c>
      <c r="G1821" s="370">
        <v>0</v>
      </c>
      <c r="H1821" s="370">
        <v>0</v>
      </c>
      <c r="I1821" s="363">
        <f>SUM(Tabla132112412[[#This Row],[PRIMER TRIMESTRE]:[CUARTO TRIMESTRE]])</f>
        <v>0</v>
      </c>
      <c r="J1821" s="175">
        <v>73588.34</v>
      </c>
      <c r="K1821" s="175">
        <f t="shared" si="39"/>
        <v>0</v>
      </c>
      <c r="L1821" s="175"/>
      <c r="M1821" s="77" t="s">
        <v>18</v>
      </c>
      <c r="N1821" s="77" t="s">
        <v>19</v>
      </c>
      <c r="O1821" s="177" t="s">
        <v>342</v>
      </c>
    </row>
    <row r="1822" spans="1:15" s="169" customFormat="1" ht="30.75" customHeight="1">
      <c r="A1822" s="12"/>
      <c r="B1822" s="372" t="s">
        <v>167</v>
      </c>
      <c r="C1822" s="77" t="s">
        <v>970</v>
      </c>
      <c r="D1822" s="177" t="s">
        <v>17</v>
      </c>
      <c r="E1822" s="370">
        <v>0</v>
      </c>
      <c r="F1822" s="370">
        <v>0</v>
      </c>
      <c r="G1822" s="370">
        <v>0</v>
      </c>
      <c r="H1822" s="370">
        <v>0</v>
      </c>
      <c r="I1822" s="363">
        <f>SUM(Tabla132112412[[#This Row],[PRIMER TRIMESTRE]:[CUARTO TRIMESTRE]])</f>
        <v>0</v>
      </c>
      <c r="J1822" s="175">
        <v>170392</v>
      </c>
      <c r="K1822" s="175">
        <f t="shared" si="39"/>
        <v>0</v>
      </c>
      <c r="L1822" s="175"/>
      <c r="M1822" s="77" t="s">
        <v>18</v>
      </c>
      <c r="N1822" s="77" t="s">
        <v>19</v>
      </c>
      <c r="O1822" s="177" t="s">
        <v>342</v>
      </c>
    </row>
    <row r="1823" spans="1:15" s="169" customFormat="1" ht="30.75" customHeight="1">
      <c r="A1823" s="12"/>
      <c r="B1823" s="372" t="s">
        <v>167</v>
      </c>
      <c r="C1823" s="77" t="s">
        <v>971</v>
      </c>
      <c r="D1823" s="177" t="s">
        <v>17</v>
      </c>
      <c r="E1823" s="370">
        <v>0</v>
      </c>
      <c r="F1823" s="370">
        <v>0</v>
      </c>
      <c r="G1823" s="370">
        <v>0</v>
      </c>
      <c r="H1823" s="370">
        <v>0</v>
      </c>
      <c r="I1823" s="363">
        <f>SUM(Tabla132112412[[#This Row],[PRIMER TRIMESTRE]:[CUARTO TRIMESTRE]])</f>
        <v>0</v>
      </c>
      <c r="J1823" s="175">
        <v>274350</v>
      </c>
      <c r="K1823" s="175">
        <f t="shared" si="39"/>
        <v>0</v>
      </c>
      <c r="L1823" s="175"/>
      <c r="M1823" s="77" t="s">
        <v>18</v>
      </c>
      <c r="N1823" s="77" t="s">
        <v>19</v>
      </c>
      <c r="O1823" s="177" t="s">
        <v>342</v>
      </c>
    </row>
    <row r="1824" spans="1:15" s="169" customFormat="1" ht="30.75" customHeight="1">
      <c r="A1824" s="12"/>
      <c r="B1824" s="372" t="s">
        <v>167</v>
      </c>
      <c r="C1824" s="77" t="s">
        <v>972</v>
      </c>
      <c r="D1824" s="177" t="s">
        <v>17</v>
      </c>
      <c r="E1824" s="370">
        <v>1</v>
      </c>
      <c r="F1824" s="370">
        <v>0</v>
      </c>
      <c r="G1824" s="370">
        <v>0</v>
      </c>
      <c r="H1824" s="370">
        <v>0</v>
      </c>
      <c r="I1824" s="363">
        <f>SUM(Tabla132112412[[#This Row],[PRIMER TRIMESTRE]:[CUARTO TRIMESTRE]])</f>
        <v>1</v>
      </c>
      <c r="J1824" s="175">
        <v>55460</v>
      </c>
      <c r="K1824" s="175">
        <f t="shared" si="39"/>
        <v>55460</v>
      </c>
      <c r="L1824" s="175"/>
      <c r="M1824" s="77" t="s">
        <v>18</v>
      </c>
      <c r="N1824" s="77" t="s">
        <v>19</v>
      </c>
      <c r="O1824" s="177" t="s">
        <v>342</v>
      </c>
    </row>
    <row r="1825" spans="1:15" s="169" customFormat="1" ht="30.75" customHeight="1">
      <c r="A1825" s="12"/>
      <c r="B1825" s="372" t="s">
        <v>167</v>
      </c>
      <c r="C1825" s="77" t="s">
        <v>973</v>
      </c>
      <c r="D1825" s="177" t="s">
        <v>17</v>
      </c>
      <c r="E1825" s="370">
        <v>1</v>
      </c>
      <c r="F1825" s="370">
        <v>0</v>
      </c>
      <c r="G1825" s="370">
        <v>0</v>
      </c>
      <c r="H1825" s="370">
        <v>0</v>
      </c>
      <c r="I1825" s="363">
        <f>SUM(Tabla132112412[[#This Row],[PRIMER TRIMESTRE]:[CUARTO TRIMESTRE]])</f>
        <v>1</v>
      </c>
      <c r="J1825" s="175">
        <v>59000</v>
      </c>
      <c r="K1825" s="175">
        <f t="shared" si="39"/>
        <v>59000</v>
      </c>
      <c r="L1825" s="175"/>
      <c r="M1825" s="77" t="s">
        <v>18</v>
      </c>
      <c r="N1825" s="77" t="s">
        <v>19</v>
      </c>
      <c r="O1825" s="177" t="s">
        <v>342</v>
      </c>
    </row>
    <row r="1826" spans="1:15" s="169" customFormat="1" ht="30.75" customHeight="1">
      <c r="A1826" s="12"/>
      <c r="B1826" s="372" t="s">
        <v>167</v>
      </c>
      <c r="C1826" s="77" t="s">
        <v>974</v>
      </c>
      <c r="D1826" s="177" t="s">
        <v>17</v>
      </c>
      <c r="E1826" s="370">
        <v>0</v>
      </c>
      <c r="F1826" s="370">
        <v>0</v>
      </c>
      <c r="G1826" s="370">
        <v>0</v>
      </c>
      <c r="H1826" s="370">
        <v>0</v>
      </c>
      <c r="I1826" s="363">
        <f>SUM(Tabla132112412[[#This Row],[PRIMER TRIMESTRE]:[CUARTO TRIMESTRE]])</f>
        <v>0</v>
      </c>
      <c r="J1826" s="175">
        <v>17700</v>
      </c>
      <c r="K1826" s="175">
        <f t="shared" si="39"/>
        <v>0</v>
      </c>
      <c r="L1826" s="175"/>
      <c r="M1826" s="77" t="s">
        <v>18</v>
      </c>
      <c r="N1826" s="77" t="s">
        <v>19</v>
      </c>
      <c r="O1826" s="177" t="s">
        <v>342</v>
      </c>
    </row>
    <row r="1827" spans="1:15" s="169" customFormat="1" ht="30.75" customHeight="1">
      <c r="A1827" s="12"/>
      <c r="B1827" s="372" t="s">
        <v>167</v>
      </c>
      <c r="C1827" s="77" t="s">
        <v>975</v>
      </c>
      <c r="D1827" s="177" t="s">
        <v>17</v>
      </c>
      <c r="E1827" s="370">
        <v>0</v>
      </c>
      <c r="F1827" s="370">
        <v>0</v>
      </c>
      <c r="G1827" s="370">
        <v>0</v>
      </c>
      <c r="H1827" s="370">
        <v>0</v>
      </c>
      <c r="I1827" s="363">
        <f>SUM(Tabla132112412[[#This Row],[PRIMER TRIMESTRE]:[CUARTO TRIMESTRE]])</f>
        <v>0</v>
      </c>
      <c r="J1827" s="175">
        <v>843572.93759999995</v>
      </c>
      <c r="K1827" s="175">
        <f t="shared" si="39"/>
        <v>0</v>
      </c>
      <c r="L1827" s="175"/>
      <c r="M1827" s="77" t="s">
        <v>18</v>
      </c>
      <c r="N1827" s="77" t="s">
        <v>19</v>
      </c>
      <c r="O1827" s="177" t="s">
        <v>342</v>
      </c>
    </row>
    <row r="1828" spans="1:15" s="169" customFormat="1" ht="30.75" customHeight="1">
      <c r="A1828" s="12"/>
      <c r="B1828" s="372" t="s">
        <v>167</v>
      </c>
      <c r="C1828" s="77" t="s">
        <v>976</v>
      </c>
      <c r="D1828" s="177" t="s">
        <v>17</v>
      </c>
      <c r="E1828" s="370">
        <v>0</v>
      </c>
      <c r="F1828" s="370">
        <v>0</v>
      </c>
      <c r="G1828" s="370">
        <v>0</v>
      </c>
      <c r="H1828" s="370">
        <v>0</v>
      </c>
      <c r="I1828" s="363">
        <f>SUM(Tabla132112412[[#This Row],[PRIMER TRIMESTRE]:[CUARTO TRIMESTRE]])</f>
        <v>0</v>
      </c>
      <c r="J1828" s="175">
        <v>46936.765599999999</v>
      </c>
      <c r="K1828" s="175">
        <f t="shared" si="39"/>
        <v>0</v>
      </c>
      <c r="L1828" s="175"/>
      <c r="M1828" s="77" t="s">
        <v>18</v>
      </c>
      <c r="N1828" s="77" t="s">
        <v>19</v>
      </c>
      <c r="O1828" s="177" t="s">
        <v>342</v>
      </c>
    </row>
    <row r="1829" spans="1:15" s="169" customFormat="1" ht="42.75" customHeight="1">
      <c r="A1829" s="12"/>
      <c r="B1829" s="372" t="s">
        <v>167</v>
      </c>
      <c r="C1829" s="77" t="s">
        <v>977</v>
      </c>
      <c r="D1829" s="177" t="s">
        <v>17</v>
      </c>
      <c r="E1829" s="370">
        <v>0</v>
      </c>
      <c r="F1829" s="370">
        <v>0</v>
      </c>
      <c r="G1829" s="370">
        <v>0</v>
      </c>
      <c r="H1829" s="370">
        <v>0</v>
      </c>
      <c r="I1829" s="363">
        <f>SUM(Tabla132112412[[#This Row],[PRIMER TRIMESTRE]:[CUARTO TRIMESTRE]])</f>
        <v>0</v>
      </c>
      <c r="J1829" s="175">
        <v>121535.63399999999</v>
      </c>
      <c r="K1829" s="175">
        <f t="shared" si="39"/>
        <v>0</v>
      </c>
      <c r="L1829" s="175"/>
      <c r="M1829" s="77" t="s">
        <v>18</v>
      </c>
      <c r="N1829" s="77" t="s">
        <v>19</v>
      </c>
      <c r="O1829" s="177" t="s">
        <v>342</v>
      </c>
    </row>
    <row r="1830" spans="1:15" s="169" customFormat="1" ht="30.75" customHeight="1">
      <c r="A1830" s="12"/>
      <c r="B1830" s="372" t="s">
        <v>167</v>
      </c>
      <c r="C1830" s="77" t="s">
        <v>978</v>
      </c>
      <c r="D1830" s="177" t="s">
        <v>17</v>
      </c>
      <c r="E1830" s="370">
        <v>0</v>
      </c>
      <c r="F1830" s="370">
        <v>0</v>
      </c>
      <c r="G1830" s="370">
        <v>0</v>
      </c>
      <c r="H1830" s="370">
        <v>0</v>
      </c>
      <c r="I1830" s="363">
        <f>SUM(Tabla132112412[[#This Row],[PRIMER TRIMESTRE]:[CUARTO TRIMESTRE]])</f>
        <v>0</v>
      </c>
      <c r="J1830" s="175">
        <v>1558708.1733999997</v>
      </c>
      <c r="K1830" s="175">
        <f t="shared" si="39"/>
        <v>0</v>
      </c>
      <c r="L1830" s="175"/>
      <c r="M1830" s="77" t="s">
        <v>18</v>
      </c>
      <c r="N1830" s="77" t="s">
        <v>19</v>
      </c>
      <c r="O1830" s="177" t="s">
        <v>342</v>
      </c>
    </row>
    <row r="1831" spans="1:15" s="169" customFormat="1" ht="30.75" customHeight="1">
      <c r="A1831" s="12"/>
      <c r="B1831" s="372" t="s">
        <v>167</v>
      </c>
      <c r="C1831" s="77" t="s">
        <v>979</v>
      </c>
      <c r="D1831" s="177" t="s">
        <v>17</v>
      </c>
      <c r="E1831" s="370">
        <v>0</v>
      </c>
      <c r="F1831" s="370">
        <v>0</v>
      </c>
      <c r="G1831" s="370">
        <v>0</v>
      </c>
      <c r="H1831" s="370">
        <v>0</v>
      </c>
      <c r="I1831" s="363">
        <f>SUM(Tabla132112412[[#This Row],[PRIMER TRIMESTRE]:[CUARTO TRIMESTRE]])</f>
        <v>0</v>
      </c>
      <c r="J1831" s="175">
        <v>125316</v>
      </c>
      <c r="K1831" s="175">
        <f t="shared" si="39"/>
        <v>0</v>
      </c>
      <c r="L1831" s="175"/>
      <c r="M1831" s="77" t="s">
        <v>18</v>
      </c>
      <c r="N1831" s="77" t="s">
        <v>19</v>
      </c>
      <c r="O1831" s="177" t="s">
        <v>342</v>
      </c>
    </row>
    <row r="1832" spans="1:15" s="169" customFormat="1" ht="30.75" customHeight="1">
      <c r="A1832" s="12"/>
      <c r="B1832" s="372" t="s">
        <v>167</v>
      </c>
      <c r="C1832" s="77" t="s">
        <v>980</v>
      </c>
      <c r="D1832" s="177" t="s">
        <v>17</v>
      </c>
      <c r="E1832" s="370">
        <v>0</v>
      </c>
      <c r="F1832" s="370">
        <v>0</v>
      </c>
      <c r="G1832" s="370">
        <v>0</v>
      </c>
      <c r="H1832" s="370">
        <v>0</v>
      </c>
      <c r="I1832" s="363">
        <f>SUM(Tabla132112412[[#This Row],[PRIMER TRIMESTRE]:[CUARTO TRIMESTRE]])</f>
        <v>0</v>
      </c>
      <c r="J1832" s="175">
        <v>953817.59999999998</v>
      </c>
      <c r="K1832" s="175">
        <f t="shared" si="39"/>
        <v>0</v>
      </c>
      <c r="L1832" s="175"/>
      <c r="M1832" s="77" t="s">
        <v>18</v>
      </c>
      <c r="N1832" s="77" t="s">
        <v>19</v>
      </c>
      <c r="O1832" s="177"/>
    </row>
    <row r="1833" spans="1:15" s="169" customFormat="1" ht="30.75" customHeight="1">
      <c r="A1833" s="12"/>
      <c r="B1833" s="372" t="s">
        <v>167</v>
      </c>
      <c r="C1833" s="77" t="s">
        <v>981</v>
      </c>
      <c r="D1833" s="177" t="s">
        <v>17</v>
      </c>
      <c r="E1833" s="370">
        <v>0</v>
      </c>
      <c r="F1833" s="370">
        <v>0</v>
      </c>
      <c r="G1833" s="370">
        <v>0</v>
      </c>
      <c r="H1833" s="370">
        <v>0</v>
      </c>
      <c r="I1833" s="363">
        <f>SUM(Tabla132112412[[#This Row],[PRIMER TRIMESTRE]:[CUARTO TRIMESTRE]])</f>
        <v>0</v>
      </c>
      <c r="J1833" s="175">
        <v>443739</v>
      </c>
      <c r="K1833" s="175">
        <f t="shared" si="39"/>
        <v>0</v>
      </c>
      <c r="L1833" s="175"/>
      <c r="M1833" s="77" t="s">
        <v>18</v>
      </c>
      <c r="N1833" s="77" t="s">
        <v>19</v>
      </c>
      <c r="O1833" s="177" t="s">
        <v>342</v>
      </c>
    </row>
    <row r="1834" spans="1:15" s="169" customFormat="1" ht="30.75" customHeight="1">
      <c r="A1834" s="12"/>
      <c r="B1834" s="372" t="s">
        <v>167</v>
      </c>
      <c r="C1834" s="77" t="s">
        <v>982</v>
      </c>
      <c r="D1834" s="177" t="s">
        <v>17</v>
      </c>
      <c r="E1834" s="370">
        <v>0</v>
      </c>
      <c r="F1834" s="370">
        <v>0</v>
      </c>
      <c r="G1834" s="370">
        <v>0</v>
      </c>
      <c r="H1834" s="370">
        <v>0</v>
      </c>
      <c r="I1834" s="363">
        <f>SUM(Tabla132112412[[#This Row],[PRIMER TRIMESTRE]:[CUARTO TRIMESTRE]])</f>
        <v>0</v>
      </c>
      <c r="J1834" s="175">
        <v>399194</v>
      </c>
      <c r="K1834" s="175">
        <f t="shared" si="39"/>
        <v>0</v>
      </c>
      <c r="L1834" s="175"/>
      <c r="M1834" s="77" t="s">
        <v>18</v>
      </c>
      <c r="N1834" s="77" t="s">
        <v>19</v>
      </c>
      <c r="O1834" s="177"/>
    </row>
    <row r="1835" spans="1:15" s="169" customFormat="1" ht="30.75" customHeight="1">
      <c r="A1835" s="12"/>
      <c r="B1835" s="372" t="s">
        <v>167</v>
      </c>
      <c r="C1835" s="77" t="s">
        <v>983</v>
      </c>
      <c r="D1835" s="177" t="s">
        <v>17</v>
      </c>
      <c r="E1835" s="370">
        <v>0</v>
      </c>
      <c r="F1835" s="370">
        <v>0</v>
      </c>
      <c r="G1835" s="370">
        <v>0</v>
      </c>
      <c r="H1835" s="370">
        <v>0</v>
      </c>
      <c r="I1835" s="363">
        <f>SUM(Tabla132112412[[#This Row],[PRIMER TRIMESTRE]:[CUARTO TRIMESTRE]])</f>
        <v>0</v>
      </c>
      <c r="J1835" s="175">
        <v>5763120</v>
      </c>
      <c r="K1835" s="175">
        <f t="shared" si="39"/>
        <v>0</v>
      </c>
      <c r="L1835" s="175"/>
      <c r="M1835" s="77" t="s">
        <v>18</v>
      </c>
      <c r="N1835" s="77" t="s">
        <v>19</v>
      </c>
      <c r="O1835" s="177"/>
    </row>
    <row r="1836" spans="1:15" s="169" customFormat="1" ht="30.75" customHeight="1">
      <c r="A1836" s="12"/>
      <c r="B1836" s="372" t="s">
        <v>167</v>
      </c>
      <c r="C1836" s="77" t="s">
        <v>984</v>
      </c>
      <c r="D1836" s="177" t="s">
        <v>17</v>
      </c>
      <c r="E1836" s="370">
        <v>0</v>
      </c>
      <c r="F1836" s="370">
        <v>0</v>
      </c>
      <c r="G1836" s="370">
        <v>0</v>
      </c>
      <c r="H1836" s="370">
        <v>0</v>
      </c>
      <c r="I1836" s="363">
        <f>SUM(Tabla132112412[[#This Row],[PRIMER TRIMESTRE]:[CUARTO TRIMESTRE]])</f>
        <v>0</v>
      </c>
      <c r="J1836" s="175">
        <v>399194</v>
      </c>
      <c r="K1836" s="175">
        <f t="shared" si="39"/>
        <v>0</v>
      </c>
      <c r="L1836" s="175"/>
      <c r="M1836" s="77" t="s">
        <v>18</v>
      </c>
      <c r="N1836" s="77" t="s">
        <v>19</v>
      </c>
      <c r="O1836" s="177" t="s">
        <v>342</v>
      </c>
    </row>
    <row r="1837" spans="1:15" s="169" customFormat="1" ht="30.75" customHeight="1">
      <c r="A1837" s="12"/>
      <c r="B1837" s="372" t="s">
        <v>167</v>
      </c>
      <c r="C1837" s="77" t="s">
        <v>985</v>
      </c>
      <c r="D1837" s="177" t="s">
        <v>17</v>
      </c>
      <c r="E1837" s="370">
        <v>0</v>
      </c>
      <c r="F1837" s="370">
        <v>0</v>
      </c>
      <c r="G1837" s="370">
        <v>0</v>
      </c>
      <c r="H1837" s="370">
        <v>0</v>
      </c>
      <c r="I1837" s="363">
        <f>SUM(Tabla132112412[[#This Row],[PRIMER TRIMESTRE]:[CUARTO TRIMESTRE]])</f>
        <v>0</v>
      </c>
      <c r="J1837" s="175">
        <v>130224.79999999999</v>
      </c>
      <c r="K1837" s="175">
        <f t="shared" si="39"/>
        <v>0</v>
      </c>
      <c r="L1837" s="175"/>
      <c r="M1837" s="77" t="s">
        <v>18</v>
      </c>
      <c r="N1837" s="77" t="s">
        <v>19</v>
      </c>
      <c r="O1837" s="177" t="s">
        <v>342</v>
      </c>
    </row>
    <row r="1838" spans="1:15" s="169" customFormat="1" ht="30.75" customHeight="1">
      <c r="A1838" s="12"/>
      <c r="B1838" s="372" t="s">
        <v>167</v>
      </c>
      <c r="C1838" s="77" t="s">
        <v>986</v>
      </c>
      <c r="D1838" s="177" t="s">
        <v>17</v>
      </c>
      <c r="E1838" s="370">
        <v>0</v>
      </c>
      <c r="F1838" s="370">
        <v>0</v>
      </c>
      <c r="G1838" s="370">
        <v>0</v>
      </c>
      <c r="H1838" s="370">
        <v>0</v>
      </c>
      <c r="I1838" s="363">
        <f>SUM(Tabla132112412[[#This Row],[PRIMER TRIMESTRE]:[CUARTO TRIMESTRE]])</f>
        <v>0</v>
      </c>
      <c r="J1838" s="175">
        <v>394438.6</v>
      </c>
      <c r="K1838" s="175">
        <f t="shared" si="39"/>
        <v>0</v>
      </c>
      <c r="L1838" s="175"/>
      <c r="M1838" s="77" t="s">
        <v>18</v>
      </c>
      <c r="N1838" s="77" t="s">
        <v>19</v>
      </c>
      <c r="O1838" s="177"/>
    </row>
    <row r="1839" spans="1:15" s="169" customFormat="1" ht="30.75" customHeight="1">
      <c r="A1839" s="12"/>
      <c r="B1839" s="372" t="s">
        <v>167</v>
      </c>
      <c r="C1839" s="77" t="s">
        <v>987</v>
      </c>
      <c r="D1839" s="177" t="s">
        <v>17</v>
      </c>
      <c r="E1839" s="370">
        <v>0</v>
      </c>
      <c r="F1839" s="370">
        <v>0</v>
      </c>
      <c r="G1839" s="370">
        <v>0</v>
      </c>
      <c r="H1839" s="370">
        <v>0</v>
      </c>
      <c r="I1839" s="363">
        <f>SUM(Tabla132112412[[#This Row],[PRIMER TRIMESTRE]:[CUARTO TRIMESTRE]])</f>
        <v>0</v>
      </c>
      <c r="J1839" s="175">
        <v>554027.69999999995</v>
      </c>
      <c r="K1839" s="175">
        <f t="shared" si="39"/>
        <v>0</v>
      </c>
      <c r="L1839" s="175"/>
      <c r="M1839" s="77" t="s">
        <v>18</v>
      </c>
      <c r="N1839" s="77" t="s">
        <v>19</v>
      </c>
      <c r="O1839" s="177"/>
    </row>
    <row r="1840" spans="1:15" s="169" customFormat="1" ht="30.75" customHeight="1">
      <c r="A1840" s="12"/>
      <c r="B1840" s="372" t="s">
        <v>167</v>
      </c>
      <c r="C1840" s="77" t="s">
        <v>988</v>
      </c>
      <c r="D1840" s="177" t="s">
        <v>17</v>
      </c>
      <c r="E1840" s="370">
        <v>0</v>
      </c>
      <c r="F1840" s="370">
        <v>0</v>
      </c>
      <c r="G1840" s="370">
        <v>0</v>
      </c>
      <c r="H1840" s="370">
        <v>0</v>
      </c>
      <c r="I1840" s="363">
        <f>SUM(Tabla132112412[[#This Row],[PRIMER TRIMESTRE]:[CUARTO TRIMESTRE]])</f>
        <v>0</v>
      </c>
      <c r="J1840" s="175">
        <v>406250.39999999997</v>
      </c>
      <c r="K1840" s="175">
        <f t="shared" si="39"/>
        <v>0</v>
      </c>
      <c r="L1840" s="175"/>
      <c r="M1840" s="77" t="s">
        <v>18</v>
      </c>
      <c r="N1840" s="77" t="s">
        <v>19</v>
      </c>
      <c r="O1840" s="177" t="s">
        <v>342</v>
      </c>
    </row>
    <row r="1841" spans="1:15" s="169" customFormat="1" ht="33.75" customHeight="1">
      <c r="A1841" s="12"/>
      <c r="B1841" s="372" t="s">
        <v>167</v>
      </c>
      <c r="C1841" s="77" t="s">
        <v>989</v>
      </c>
      <c r="D1841" s="177" t="s">
        <v>17</v>
      </c>
      <c r="E1841" s="370">
        <v>0</v>
      </c>
      <c r="F1841" s="370">
        <v>0</v>
      </c>
      <c r="G1841" s="370">
        <v>0</v>
      </c>
      <c r="H1841" s="370">
        <v>0</v>
      </c>
      <c r="I1841" s="363">
        <f>SUM(Tabla132112412[[#This Row],[PRIMER TRIMESTRE]:[CUARTO TRIMESTRE]])</f>
        <v>0</v>
      </c>
      <c r="J1841" s="175">
        <v>71148.099999999991</v>
      </c>
      <c r="K1841" s="175">
        <f t="shared" si="39"/>
        <v>0</v>
      </c>
      <c r="L1841" s="175"/>
      <c r="M1841" s="77" t="s">
        <v>18</v>
      </c>
      <c r="N1841" s="77" t="s">
        <v>19</v>
      </c>
      <c r="O1841" s="177"/>
    </row>
    <row r="1842" spans="1:15" s="169" customFormat="1" ht="41.25" customHeight="1">
      <c r="A1842" s="12"/>
      <c r="B1842" s="372" t="s">
        <v>167</v>
      </c>
      <c r="C1842" s="77" t="s">
        <v>990</v>
      </c>
      <c r="D1842" s="177" t="s">
        <v>17</v>
      </c>
      <c r="E1842" s="370">
        <v>0</v>
      </c>
      <c r="F1842" s="370">
        <v>0</v>
      </c>
      <c r="G1842" s="370">
        <v>0</v>
      </c>
      <c r="H1842" s="370">
        <v>0</v>
      </c>
      <c r="I1842" s="363">
        <f>SUM(Tabla132112412[[#This Row],[PRIMER TRIMESTRE]:[CUARTO TRIMESTRE]])</f>
        <v>0</v>
      </c>
      <c r="J1842" s="175">
        <v>283158.7</v>
      </c>
      <c r="K1842" s="175">
        <f t="shared" si="39"/>
        <v>0</v>
      </c>
      <c r="L1842" s="175"/>
      <c r="M1842" s="77" t="s">
        <v>18</v>
      </c>
      <c r="N1842" s="77" t="s">
        <v>19</v>
      </c>
      <c r="O1842" s="177" t="s">
        <v>342</v>
      </c>
    </row>
    <row r="1843" spans="1:15" s="169" customFormat="1" ht="26.25" customHeight="1">
      <c r="A1843" s="12"/>
      <c r="B1843" s="372" t="s">
        <v>167</v>
      </c>
      <c r="C1843" s="77" t="s">
        <v>991</v>
      </c>
      <c r="D1843" s="177" t="s">
        <v>17</v>
      </c>
      <c r="E1843" s="370">
        <v>0</v>
      </c>
      <c r="F1843" s="370">
        <v>0</v>
      </c>
      <c r="G1843" s="370">
        <v>0</v>
      </c>
      <c r="H1843" s="370">
        <v>0</v>
      </c>
      <c r="I1843" s="363">
        <f>SUM(Tabla132112412[[#This Row],[PRIMER TRIMESTRE]:[CUARTO TRIMESTRE]])</f>
        <v>0</v>
      </c>
      <c r="J1843" s="175">
        <v>4687668</v>
      </c>
      <c r="K1843" s="175">
        <f t="shared" si="39"/>
        <v>0</v>
      </c>
      <c r="L1843" s="175"/>
      <c r="M1843" s="77" t="s">
        <v>18</v>
      </c>
      <c r="N1843" s="77" t="s">
        <v>19</v>
      </c>
      <c r="O1843" s="177"/>
    </row>
    <row r="1844" spans="1:15" s="169" customFormat="1" ht="27.75" customHeight="1">
      <c r="A1844" s="12"/>
      <c r="B1844" s="372" t="s">
        <v>167</v>
      </c>
      <c r="C1844" s="77" t="s">
        <v>992</v>
      </c>
      <c r="D1844" s="177" t="s">
        <v>17</v>
      </c>
      <c r="E1844" s="370">
        <v>0</v>
      </c>
      <c r="F1844" s="370">
        <v>0</v>
      </c>
      <c r="G1844" s="370">
        <v>0</v>
      </c>
      <c r="H1844" s="370">
        <v>0</v>
      </c>
      <c r="I1844" s="363">
        <f>SUM(Tabla132112412[[#This Row],[PRIMER TRIMESTRE]:[CUARTO TRIMESTRE]])</f>
        <v>0</v>
      </c>
      <c r="J1844" s="175">
        <v>140862.5</v>
      </c>
      <c r="K1844" s="175">
        <f t="shared" si="39"/>
        <v>0</v>
      </c>
      <c r="L1844" s="175"/>
      <c r="M1844" s="77" t="s">
        <v>18</v>
      </c>
      <c r="N1844" s="77" t="s">
        <v>19</v>
      </c>
      <c r="O1844" s="177" t="s">
        <v>342</v>
      </c>
    </row>
    <row r="1845" spans="1:15" s="169" customFormat="1" ht="36" customHeight="1">
      <c r="A1845" s="12"/>
      <c r="B1845" s="372" t="s">
        <v>167</v>
      </c>
      <c r="C1845" s="77" t="s">
        <v>993</v>
      </c>
      <c r="D1845" s="177" t="s">
        <v>17</v>
      </c>
      <c r="E1845" s="370">
        <v>0</v>
      </c>
      <c r="F1845" s="370">
        <v>0</v>
      </c>
      <c r="G1845" s="370">
        <v>0</v>
      </c>
      <c r="H1845" s="370">
        <v>0</v>
      </c>
      <c r="I1845" s="363">
        <f>SUM(Tabla132112412[[#This Row],[PRIMER TRIMESTRE]:[CUARTO TRIMESTRE]])</f>
        <v>0</v>
      </c>
      <c r="J1845" s="175">
        <v>109622</v>
      </c>
      <c r="K1845" s="175">
        <f t="shared" si="39"/>
        <v>0</v>
      </c>
      <c r="L1845" s="175"/>
      <c r="M1845" s="77" t="s">
        <v>18</v>
      </c>
      <c r="N1845" s="77" t="s">
        <v>19</v>
      </c>
      <c r="O1845" s="177" t="s">
        <v>342</v>
      </c>
    </row>
    <row r="1846" spans="1:15" s="169" customFormat="1" ht="30.75" customHeight="1">
      <c r="A1846" s="12"/>
      <c r="B1846" s="372" t="s">
        <v>167</v>
      </c>
      <c r="C1846" s="77" t="s">
        <v>994</v>
      </c>
      <c r="D1846" s="177" t="s">
        <v>17</v>
      </c>
      <c r="E1846" s="370">
        <v>0</v>
      </c>
      <c r="F1846" s="370">
        <v>0</v>
      </c>
      <c r="G1846" s="370">
        <v>0</v>
      </c>
      <c r="H1846" s="370">
        <v>0</v>
      </c>
      <c r="I1846" s="363">
        <f>SUM(Tabla132112412[[#This Row],[PRIMER TRIMESTRE]:[CUARTO TRIMESTRE]])</f>
        <v>0</v>
      </c>
      <c r="J1846" s="175">
        <v>567462</v>
      </c>
      <c r="K1846" s="175">
        <f t="shared" si="39"/>
        <v>0</v>
      </c>
      <c r="L1846" s="175"/>
      <c r="M1846" s="77" t="s">
        <v>18</v>
      </c>
      <c r="N1846" s="77" t="s">
        <v>19</v>
      </c>
      <c r="O1846" s="177" t="s">
        <v>342</v>
      </c>
    </row>
    <row r="1847" spans="1:15" s="169" customFormat="1" ht="30.75" customHeight="1">
      <c r="A1847" s="12"/>
      <c r="B1847" s="372" t="s">
        <v>167</v>
      </c>
      <c r="C1847" s="77" t="s">
        <v>995</v>
      </c>
      <c r="D1847" s="177" t="s">
        <v>17</v>
      </c>
      <c r="E1847" s="370">
        <v>0</v>
      </c>
      <c r="F1847" s="370">
        <v>0</v>
      </c>
      <c r="G1847" s="370">
        <v>0</v>
      </c>
      <c r="H1847" s="370">
        <v>0</v>
      </c>
      <c r="I1847" s="363">
        <f>SUM(Tabla132112412[[#This Row],[PRIMER TRIMESTRE]:[CUARTO TRIMESTRE]])</f>
        <v>0</v>
      </c>
      <c r="J1847" s="175">
        <v>36580</v>
      </c>
      <c r="K1847" s="175">
        <f t="shared" si="39"/>
        <v>0</v>
      </c>
      <c r="L1847" s="175"/>
      <c r="M1847" s="77" t="s">
        <v>18</v>
      </c>
      <c r="N1847" s="77" t="s">
        <v>19</v>
      </c>
      <c r="O1847" s="177"/>
    </row>
    <row r="1848" spans="1:15" s="169" customFormat="1" ht="30.75" customHeight="1">
      <c r="A1848" s="12"/>
      <c r="B1848" s="372" t="s">
        <v>167</v>
      </c>
      <c r="C1848" s="77" t="s">
        <v>996</v>
      </c>
      <c r="D1848" s="177" t="s">
        <v>17</v>
      </c>
      <c r="E1848" s="370">
        <v>0</v>
      </c>
      <c r="F1848" s="370">
        <v>0</v>
      </c>
      <c r="G1848" s="370">
        <v>0</v>
      </c>
      <c r="H1848" s="370">
        <v>0</v>
      </c>
      <c r="I1848" s="363">
        <f>SUM(Tabla132112412[[#This Row],[PRIMER TRIMESTRE]:[CUARTO TRIMESTRE]])</f>
        <v>0</v>
      </c>
      <c r="J1848" s="175">
        <v>160775</v>
      </c>
      <c r="K1848" s="175">
        <f t="shared" si="39"/>
        <v>0</v>
      </c>
      <c r="L1848" s="175"/>
      <c r="M1848" s="77" t="s">
        <v>18</v>
      </c>
      <c r="N1848" s="77" t="s">
        <v>19</v>
      </c>
      <c r="O1848" s="177" t="s">
        <v>342</v>
      </c>
    </row>
    <row r="1849" spans="1:15" s="169" customFormat="1" ht="30.75" customHeight="1">
      <c r="A1849" s="12"/>
      <c r="B1849" s="372" t="s">
        <v>167</v>
      </c>
      <c r="C1849" s="77" t="s">
        <v>997</v>
      </c>
      <c r="D1849" s="177" t="s">
        <v>17</v>
      </c>
      <c r="E1849" s="370">
        <v>0</v>
      </c>
      <c r="F1849" s="370">
        <v>0</v>
      </c>
      <c r="G1849" s="370">
        <v>0</v>
      </c>
      <c r="H1849" s="370">
        <v>0</v>
      </c>
      <c r="I1849" s="363">
        <f>SUM(Tabla132112412[[#This Row],[PRIMER TRIMESTRE]:[CUARTO TRIMESTRE]])</f>
        <v>0</v>
      </c>
      <c r="J1849" s="175">
        <v>216608.47</v>
      </c>
      <c r="K1849" s="175">
        <f t="shared" si="39"/>
        <v>0</v>
      </c>
      <c r="L1849" s="175"/>
      <c r="M1849" s="77" t="s">
        <v>18</v>
      </c>
      <c r="N1849" s="77" t="s">
        <v>19</v>
      </c>
      <c r="O1849" s="177" t="s">
        <v>342</v>
      </c>
    </row>
    <row r="1850" spans="1:15" s="169" customFormat="1" ht="35.25" customHeight="1">
      <c r="A1850" s="12"/>
      <c r="B1850" s="372" t="s">
        <v>167</v>
      </c>
      <c r="C1850" s="77" t="s">
        <v>998</v>
      </c>
      <c r="D1850" s="177" t="s">
        <v>17</v>
      </c>
      <c r="E1850" s="370">
        <v>0</v>
      </c>
      <c r="F1850" s="370">
        <v>0</v>
      </c>
      <c r="G1850" s="370">
        <v>0</v>
      </c>
      <c r="H1850" s="370">
        <v>0</v>
      </c>
      <c r="I1850" s="363">
        <f>SUM(Tabla132112412[[#This Row],[PRIMER TRIMESTRE]:[CUARTO TRIMESTRE]])</f>
        <v>0</v>
      </c>
      <c r="J1850" s="175">
        <v>294752.2</v>
      </c>
      <c r="K1850" s="175">
        <f t="shared" si="39"/>
        <v>0</v>
      </c>
      <c r="L1850" s="175"/>
      <c r="M1850" s="77" t="s">
        <v>18</v>
      </c>
      <c r="N1850" s="77" t="s">
        <v>19</v>
      </c>
      <c r="O1850" s="177" t="s">
        <v>342</v>
      </c>
    </row>
    <row r="1851" spans="1:15" s="169" customFormat="1" ht="30.75" customHeight="1">
      <c r="A1851" s="12"/>
      <c r="B1851" s="372" t="s">
        <v>167</v>
      </c>
      <c r="C1851" s="77" t="s">
        <v>999</v>
      </c>
      <c r="D1851" s="177" t="s">
        <v>17</v>
      </c>
      <c r="E1851" s="370">
        <v>0</v>
      </c>
      <c r="F1851" s="370">
        <v>0</v>
      </c>
      <c r="G1851" s="370">
        <v>0</v>
      </c>
      <c r="H1851" s="370">
        <v>0</v>
      </c>
      <c r="I1851" s="363">
        <f>SUM(Tabla132112412[[#This Row],[PRIMER TRIMESTRE]:[CUARTO TRIMESTRE]])</f>
        <v>0</v>
      </c>
      <c r="J1851" s="175">
        <v>230554.3</v>
      </c>
      <c r="K1851" s="175">
        <f t="shared" si="39"/>
        <v>0</v>
      </c>
      <c r="L1851" s="175"/>
      <c r="M1851" s="77" t="s">
        <v>18</v>
      </c>
      <c r="N1851" s="77" t="s">
        <v>19</v>
      </c>
      <c r="O1851" s="177" t="s">
        <v>342</v>
      </c>
    </row>
    <row r="1852" spans="1:15" s="169" customFormat="1" ht="30.75" customHeight="1">
      <c r="A1852" s="12"/>
      <c r="B1852" s="372" t="s">
        <v>167</v>
      </c>
      <c r="C1852" s="77" t="s">
        <v>1000</v>
      </c>
      <c r="D1852" s="177" t="s">
        <v>17</v>
      </c>
      <c r="E1852" s="370">
        <v>0</v>
      </c>
      <c r="F1852" s="370">
        <v>0</v>
      </c>
      <c r="G1852" s="370">
        <v>0</v>
      </c>
      <c r="H1852" s="370">
        <v>0</v>
      </c>
      <c r="I1852" s="363">
        <f>SUM(Tabla132112412[[#This Row],[PRIMER TRIMESTRE]:[CUARTO TRIMESTRE]])</f>
        <v>0</v>
      </c>
      <c r="J1852" s="175">
        <v>494992.3</v>
      </c>
      <c r="K1852" s="175">
        <f t="shared" si="39"/>
        <v>0</v>
      </c>
      <c r="L1852" s="175"/>
      <c r="M1852" s="77" t="s">
        <v>18</v>
      </c>
      <c r="N1852" s="77" t="s">
        <v>19</v>
      </c>
      <c r="O1852" s="177" t="s">
        <v>342</v>
      </c>
    </row>
    <row r="1853" spans="1:15" s="169" customFormat="1" ht="30.75" customHeight="1">
      <c r="A1853" s="12"/>
      <c r="B1853" s="372" t="s">
        <v>167</v>
      </c>
      <c r="C1853" s="77" t="s">
        <v>1001</v>
      </c>
      <c r="D1853" s="177" t="s">
        <v>17</v>
      </c>
      <c r="E1853" s="370">
        <v>0</v>
      </c>
      <c r="F1853" s="370">
        <v>0</v>
      </c>
      <c r="G1853" s="370">
        <v>0</v>
      </c>
      <c r="H1853" s="370">
        <v>0</v>
      </c>
      <c r="I1853" s="363">
        <f>SUM(Tabla132112412[[#This Row],[PRIMER TRIMESTRE]:[CUARTO TRIMESTRE]])</f>
        <v>0</v>
      </c>
      <c r="J1853" s="175">
        <v>211166.9</v>
      </c>
      <c r="K1853" s="175">
        <f t="shared" si="39"/>
        <v>0</v>
      </c>
      <c r="L1853" s="175"/>
      <c r="M1853" s="77" t="s">
        <v>18</v>
      </c>
      <c r="N1853" s="77" t="s">
        <v>19</v>
      </c>
      <c r="O1853" s="177" t="s">
        <v>342</v>
      </c>
    </row>
    <row r="1854" spans="1:15" s="169" customFormat="1" ht="30.75" customHeight="1">
      <c r="A1854" s="12"/>
      <c r="B1854" s="372" t="s">
        <v>167</v>
      </c>
      <c r="C1854" s="77" t="s">
        <v>1002</v>
      </c>
      <c r="D1854" s="177" t="s">
        <v>17</v>
      </c>
      <c r="E1854" s="370">
        <v>0</v>
      </c>
      <c r="F1854" s="370">
        <v>0</v>
      </c>
      <c r="G1854" s="370">
        <v>0</v>
      </c>
      <c r="H1854" s="370">
        <v>0</v>
      </c>
      <c r="I1854" s="363">
        <f>SUM(Tabla132112412[[#This Row],[PRIMER TRIMESTRE]:[CUARTO TRIMESTRE]])</f>
        <v>0</v>
      </c>
      <c r="J1854" s="175">
        <v>62368.899999999994</v>
      </c>
      <c r="K1854" s="175">
        <f t="shared" si="39"/>
        <v>0</v>
      </c>
      <c r="L1854" s="175"/>
      <c r="M1854" s="77" t="s">
        <v>18</v>
      </c>
      <c r="N1854" s="77" t="s">
        <v>19</v>
      </c>
      <c r="O1854" s="177" t="s">
        <v>342</v>
      </c>
    </row>
    <row r="1855" spans="1:15" s="169" customFormat="1" ht="30.75" customHeight="1">
      <c r="A1855" s="12"/>
      <c r="B1855" s="372" t="s">
        <v>167</v>
      </c>
      <c r="C1855" s="77" t="s">
        <v>1003</v>
      </c>
      <c r="D1855" s="177" t="s">
        <v>17</v>
      </c>
      <c r="E1855" s="370">
        <v>0</v>
      </c>
      <c r="F1855" s="370">
        <v>0</v>
      </c>
      <c r="G1855" s="370">
        <v>0</v>
      </c>
      <c r="H1855" s="370">
        <v>0</v>
      </c>
      <c r="I1855" s="363">
        <f>SUM(Tabla132112412[[#This Row],[PRIMER TRIMESTRE]:[CUARTO TRIMESTRE]])</f>
        <v>0</v>
      </c>
      <c r="J1855" s="175">
        <v>105533.29999999999</v>
      </c>
      <c r="K1855" s="175">
        <f t="shared" si="39"/>
        <v>0</v>
      </c>
      <c r="L1855" s="175"/>
      <c r="M1855" s="77" t="s">
        <v>18</v>
      </c>
      <c r="N1855" s="77" t="s">
        <v>19</v>
      </c>
      <c r="O1855" s="177" t="s">
        <v>342</v>
      </c>
    </row>
    <row r="1856" spans="1:15" s="169" customFormat="1" ht="30.75" customHeight="1">
      <c r="A1856" s="12"/>
      <c r="B1856" s="372" t="s">
        <v>167</v>
      </c>
      <c r="C1856" s="77" t="s">
        <v>1004</v>
      </c>
      <c r="D1856" s="177" t="s">
        <v>17</v>
      </c>
      <c r="E1856" s="370">
        <v>0</v>
      </c>
      <c r="F1856" s="370">
        <v>0</v>
      </c>
      <c r="G1856" s="370">
        <v>0</v>
      </c>
      <c r="H1856" s="370">
        <v>0</v>
      </c>
      <c r="I1856" s="363">
        <f>SUM(Tabla132112412[[#This Row],[PRIMER TRIMESTRE]:[CUARTO TRIMESTRE]])</f>
        <v>0</v>
      </c>
      <c r="J1856" s="175">
        <v>98618.5</v>
      </c>
      <c r="K1856" s="175">
        <f t="shared" si="39"/>
        <v>0</v>
      </c>
      <c r="L1856" s="175"/>
      <c r="M1856" s="77" t="s">
        <v>18</v>
      </c>
      <c r="N1856" s="77" t="s">
        <v>19</v>
      </c>
      <c r="O1856" s="177"/>
    </row>
    <row r="1857" spans="1:15" s="169" customFormat="1" ht="30.75" customHeight="1">
      <c r="A1857" s="12"/>
      <c r="B1857" s="372" t="s">
        <v>167</v>
      </c>
      <c r="C1857" s="77" t="s">
        <v>1005</v>
      </c>
      <c r="D1857" s="177" t="s">
        <v>17</v>
      </c>
      <c r="E1857" s="370">
        <v>1</v>
      </c>
      <c r="F1857" s="370">
        <v>0</v>
      </c>
      <c r="G1857" s="370">
        <v>0</v>
      </c>
      <c r="H1857" s="370">
        <v>0</v>
      </c>
      <c r="I1857" s="363">
        <f>SUM(Tabla132112412[[#This Row],[PRIMER TRIMESTRE]:[CUARTO TRIMESTRE]])</f>
        <v>1</v>
      </c>
      <c r="J1857" s="175">
        <v>135818</v>
      </c>
      <c r="K1857" s="175">
        <f t="shared" si="39"/>
        <v>135818</v>
      </c>
      <c r="L1857" s="175"/>
      <c r="M1857" s="77" t="s">
        <v>18</v>
      </c>
      <c r="N1857" s="77" t="s">
        <v>19</v>
      </c>
      <c r="O1857" s="177" t="s">
        <v>342</v>
      </c>
    </row>
    <row r="1858" spans="1:15" s="169" customFormat="1" ht="30.75" customHeight="1">
      <c r="A1858" s="12"/>
      <c r="B1858" s="372" t="s">
        <v>167</v>
      </c>
      <c r="C1858" s="77" t="s">
        <v>1006</v>
      </c>
      <c r="D1858" s="177" t="s">
        <v>17</v>
      </c>
      <c r="E1858" s="370">
        <v>1</v>
      </c>
      <c r="F1858" s="370">
        <v>0</v>
      </c>
      <c r="G1858" s="370">
        <v>0</v>
      </c>
      <c r="H1858" s="370">
        <v>0</v>
      </c>
      <c r="I1858" s="363">
        <f>SUM(Tabla132112412[[#This Row],[PRIMER TRIMESTRE]:[CUARTO TRIMESTRE]])</f>
        <v>1</v>
      </c>
      <c r="J1858" s="175">
        <v>114460</v>
      </c>
      <c r="K1858" s="175">
        <f t="shared" si="39"/>
        <v>114460</v>
      </c>
      <c r="L1858" s="175"/>
      <c r="M1858" s="77" t="s">
        <v>18</v>
      </c>
      <c r="N1858" s="77" t="s">
        <v>19</v>
      </c>
      <c r="O1858" s="177" t="s">
        <v>342</v>
      </c>
    </row>
    <row r="1859" spans="1:15" s="169" customFormat="1" ht="30.75" customHeight="1">
      <c r="A1859" s="12"/>
      <c r="B1859" s="372" t="s">
        <v>167</v>
      </c>
      <c r="C1859" s="77" t="s">
        <v>1007</v>
      </c>
      <c r="D1859" s="177" t="s">
        <v>17</v>
      </c>
      <c r="E1859" s="370">
        <v>1</v>
      </c>
      <c r="F1859" s="370">
        <v>0</v>
      </c>
      <c r="G1859" s="370">
        <v>0</v>
      </c>
      <c r="H1859" s="370">
        <v>0</v>
      </c>
      <c r="I1859" s="363">
        <f>SUM(Tabla132112412[[#This Row],[PRIMER TRIMESTRE]:[CUARTO TRIMESTRE]])</f>
        <v>1</v>
      </c>
      <c r="J1859" s="175">
        <v>164374</v>
      </c>
      <c r="K1859" s="175">
        <f t="shared" si="39"/>
        <v>164374</v>
      </c>
      <c r="L1859" s="175"/>
      <c r="M1859" s="77" t="s">
        <v>18</v>
      </c>
      <c r="N1859" s="77" t="s">
        <v>19</v>
      </c>
      <c r="O1859" s="177" t="s">
        <v>342</v>
      </c>
    </row>
    <row r="1860" spans="1:15" s="169" customFormat="1" ht="30.75" customHeight="1">
      <c r="A1860" s="12"/>
      <c r="B1860" s="372" t="s">
        <v>167</v>
      </c>
      <c r="C1860" s="77" t="s">
        <v>1008</v>
      </c>
      <c r="D1860" s="177" t="s">
        <v>17</v>
      </c>
      <c r="E1860" s="370">
        <v>1</v>
      </c>
      <c r="F1860" s="370">
        <v>0</v>
      </c>
      <c r="G1860" s="370">
        <v>0</v>
      </c>
      <c r="H1860" s="370">
        <v>0</v>
      </c>
      <c r="I1860" s="363">
        <f>SUM(Tabla132112412[[#This Row],[PRIMER TRIMESTRE]:[CUARTO TRIMESTRE]])</f>
        <v>1</v>
      </c>
      <c r="J1860" s="175">
        <v>24691.5</v>
      </c>
      <c r="K1860" s="175">
        <f t="shared" si="39"/>
        <v>24691.5</v>
      </c>
      <c r="L1860" s="175"/>
      <c r="M1860" s="77" t="s">
        <v>18</v>
      </c>
      <c r="N1860" s="77" t="s">
        <v>19</v>
      </c>
      <c r="O1860" s="177"/>
    </row>
    <row r="1861" spans="1:15" s="169" customFormat="1" ht="30.75" customHeight="1">
      <c r="A1861" s="12"/>
      <c r="B1861" s="372" t="s">
        <v>167</v>
      </c>
      <c r="C1861" s="77" t="s">
        <v>1009</v>
      </c>
      <c r="D1861" s="177" t="s">
        <v>17</v>
      </c>
      <c r="E1861" s="370">
        <v>1</v>
      </c>
      <c r="F1861" s="370">
        <v>0</v>
      </c>
      <c r="G1861" s="370">
        <v>0</v>
      </c>
      <c r="H1861" s="370">
        <v>0</v>
      </c>
      <c r="I1861" s="363">
        <f>SUM(Tabla132112412[[#This Row],[PRIMER TRIMESTRE]:[CUARTO TRIMESTRE]])</f>
        <v>1</v>
      </c>
      <c r="J1861" s="175">
        <v>192045</v>
      </c>
      <c r="K1861" s="175">
        <f t="shared" si="39"/>
        <v>192045</v>
      </c>
      <c r="L1861" s="175"/>
      <c r="M1861" s="77" t="s">
        <v>18</v>
      </c>
      <c r="N1861" s="77" t="s">
        <v>19</v>
      </c>
      <c r="O1861" s="177" t="s">
        <v>342</v>
      </c>
    </row>
    <row r="1862" spans="1:15" s="169" customFormat="1" ht="30.75" customHeight="1">
      <c r="A1862" s="12"/>
      <c r="B1862" s="372" t="s">
        <v>167</v>
      </c>
      <c r="C1862" s="77" t="s">
        <v>1010</v>
      </c>
      <c r="D1862" s="177" t="s">
        <v>17</v>
      </c>
      <c r="E1862" s="370">
        <v>1</v>
      </c>
      <c r="F1862" s="370">
        <v>0</v>
      </c>
      <c r="G1862" s="370">
        <v>0</v>
      </c>
      <c r="H1862" s="370">
        <v>0</v>
      </c>
      <c r="I1862" s="363">
        <f>SUM(Tabla132112412[[#This Row],[PRIMER TRIMESTRE]:[CUARTO TRIMESTRE]])</f>
        <v>1</v>
      </c>
      <c r="J1862" s="175">
        <v>164374</v>
      </c>
      <c r="K1862" s="175">
        <f t="shared" si="39"/>
        <v>164374</v>
      </c>
      <c r="L1862" s="175"/>
      <c r="M1862" s="77" t="s">
        <v>18</v>
      </c>
      <c r="N1862" s="77" t="s">
        <v>19</v>
      </c>
      <c r="O1862" s="177" t="s">
        <v>342</v>
      </c>
    </row>
    <row r="1863" spans="1:15" s="169" customFormat="1" ht="30.75" customHeight="1">
      <c r="A1863" s="12"/>
      <c r="B1863" s="372" t="s">
        <v>167</v>
      </c>
      <c r="C1863" s="77" t="s">
        <v>1011</v>
      </c>
      <c r="D1863" s="177" t="s">
        <v>17</v>
      </c>
      <c r="E1863" s="370">
        <v>0</v>
      </c>
      <c r="F1863" s="370">
        <v>0</v>
      </c>
      <c r="G1863" s="370">
        <v>0</v>
      </c>
      <c r="H1863" s="370">
        <v>0</v>
      </c>
      <c r="I1863" s="363">
        <f>SUM(Tabla132112412[[#This Row],[PRIMER TRIMESTRE]:[CUARTO TRIMESTRE]])</f>
        <v>0</v>
      </c>
      <c r="J1863" s="175">
        <v>35145.119999999995</v>
      </c>
      <c r="K1863" s="175">
        <f t="shared" si="39"/>
        <v>0</v>
      </c>
      <c r="L1863" s="175"/>
      <c r="M1863" s="77" t="s">
        <v>18</v>
      </c>
      <c r="N1863" s="77" t="s">
        <v>19</v>
      </c>
      <c r="O1863" s="177"/>
    </row>
    <row r="1864" spans="1:15" s="169" customFormat="1" ht="30.75" customHeight="1">
      <c r="A1864" s="12"/>
      <c r="B1864" s="372" t="s">
        <v>167</v>
      </c>
      <c r="C1864" s="77" t="s">
        <v>1012</v>
      </c>
      <c r="D1864" s="177" t="s">
        <v>17</v>
      </c>
      <c r="E1864" s="370">
        <v>0</v>
      </c>
      <c r="F1864" s="370">
        <v>0</v>
      </c>
      <c r="G1864" s="370">
        <v>0</v>
      </c>
      <c r="H1864" s="370">
        <v>0</v>
      </c>
      <c r="I1864" s="363">
        <f>SUM(Tabla132112412[[#This Row],[PRIMER TRIMESTRE]:[CUARTO TRIMESTRE]])</f>
        <v>0</v>
      </c>
      <c r="J1864" s="175">
        <v>926960.79999999993</v>
      </c>
      <c r="K1864" s="175">
        <f t="shared" si="39"/>
        <v>0</v>
      </c>
      <c r="L1864" s="175"/>
      <c r="M1864" s="77" t="s">
        <v>18</v>
      </c>
      <c r="N1864" s="77" t="s">
        <v>19</v>
      </c>
      <c r="O1864" s="177" t="s">
        <v>342</v>
      </c>
    </row>
    <row r="1865" spans="1:15" s="169" customFormat="1" ht="30.75" customHeight="1">
      <c r="A1865" s="12"/>
      <c r="B1865" s="372" t="s">
        <v>167</v>
      </c>
      <c r="C1865" s="77" t="s">
        <v>1013</v>
      </c>
      <c r="D1865" s="177" t="s">
        <v>17</v>
      </c>
      <c r="E1865" s="370">
        <v>0</v>
      </c>
      <c r="F1865" s="370">
        <v>0</v>
      </c>
      <c r="G1865" s="370">
        <v>0</v>
      </c>
      <c r="H1865" s="370">
        <v>0</v>
      </c>
      <c r="I1865" s="363">
        <f>SUM(Tabla132112412[[#This Row],[PRIMER TRIMESTRE]:[CUARTO TRIMESTRE]])</f>
        <v>0</v>
      </c>
      <c r="J1865" s="175">
        <v>266798</v>
      </c>
      <c r="K1865" s="175">
        <f t="shared" si="39"/>
        <v>0</v>
      </c>
      <c r="L1865" s="175"/>
      <c r="M1865" s="77" t="s">
        <v>18</v>
      </c>
      <c r="N1865" s="77" t="s">
        <v>19</v>
      </c>
      <c r="O1865" s="177" t="s">
        <v>342</v>
      </c>
    </row>
    <row r="1866" spans="1:15" s="169" customFormat="1" ht="30.75" customHeight="1">
      <c r="A1866" s="12"/>
      <c r="B1866" s="372" t="s">
        <v>167</v>
      </c>
      <c r="C1866" s="77" t="s">
        <v>1014</v>
      </c>
      <c r="D1866" s="177" t="s">
        <v>17</v>
      </c>
      <c r="E1866" s="370">
        <v>0</v>
      </c>
      <c r="F1866" s="370">
        <v>0</v>
      </c>
      <c r="G1866" s="370">
        <v>0</v>
      </c>
      <c r="H1866" s="370">
        <v>0</v>
      </c>
      <c r="I1866" s="363">
        <f>SUM(Tabla132112412[[#This Row],[PRIMER TRIMESTRE]:[CUARTO TRIMESTRE]])</f>
        <v>0</v>
      </c>
      <c r="J1866" s="175">
        <v>77555.5</v>
      </c>
      <c r="K1866" s="175">
        <f t="shared" si="39"/>
        <v>0</v>
      </c>
      <c r="L1866" s="175"/>
      <c r="M1866" s="77" t="s">
        <v>18</v>
      </c>
      <c r="N1866" s="77" t="s">
        <v>19</v>
      </c>
      <c r="O1866" s="177"/>
    </row>
    <row r="1867" spans="1:15" s="169" customFormat="1" ht="30.75" customHeight="1">
      <c r="A1867" s="12"/>
      <c r="B1867" s="372" t="s">
        <v>167</v>
      </c>
      <c r="C1867" s="77" t="s">
        <v>1015</v>
      </c>
      <c r="D1867" s="177" t="s">
        <v>17</v>
      </c>
      <c r="E1867" s="370">
        <v>0</v>
      </c>
      <c r="F1867" s="370">
        <v>0</v>
      </c>
      <c r="G1867" s="370">
        <v>0</v>
      </c>
      <c r="H1867" s="370">
        <v>0</v>
      </c>
      <c r="I1867" s="363">
        <f>SUM(Tabla132112412[[#This Row],[PRIMER TRIMESTRE]:[CUARTO TRIMESTRE]])</f>
        <v>0</v>
      </c>
      <c r="J1867" s="175">
        <v>100595</v>
      </c>
      <c r="K1867" s="175">
        <f t="shared" si="39"/>
        <v>0</v>
      </c>
      <c r="L1867" s="175"/>
      <c r="M1867" s="77" t="s">
        <v>18</v>
      </c>
      <c r="N1867" s="77" t="s">
        <v>19</v>
      </c>
      <c r="O1867" s="177" t="s">
        <v>342</v>
      </c>
    </row>
    <row r="1868" spans="1:15" s="169" customFormat="1" ht="30.75" customHeight="1">
      <c r="A1868" s="12"/>
      <c r="B1868" s="372" t="s">
        <v>167</v>
      </c>
      <c r="C1868" s="77" t="s">
        <v>1016</v>
      </c>
      <c r="D1868" s="177" t="s">
        <v>17</v>
      </c>
      <c r="E1868" s="370">
        <v>0</v>
      </c>
      <c r="F1868" s="370">
        <v>0</v>
      </c>
      <c r="G1868" s="370">
        <v>0</v>
      </c>
      <c r="H1868" s="370">
        <v>0</v>
      </c>
      <c r="I1868" s="363">
        <f>SUM(Tabla132112412[[#This Row],[PRIMER TRIMESTRE]:[CUARTO TRIMESTRE]])</f>
        <v>0</v>
      </c>
      <c r="J1868" s="175">
        <v>106173.45</v>
      </c>
      <c r="K1868" s="175">
        <f t="shared" si="39"/>
        <v>0</v>
      </c>
      <c r="L1868" s="175"/>
      <c r="M1868" s="77" t="s">
        <v>18</v>
      </c>
      <c r="N1868" s="77" t="s">
        <v>19</v>
      </c>
      <c r="O1868" s="177" t="s">
        <v>342</v>
      </c>
    </row>
    <row r="1869" spans="1:15" s="169" customFormat="1" ht="30.75" customHeight="1">
      <c r="A1869" s="12"/>
      <c r="B1869" s="372" t="s">
        <v>167</v>
      </c>
      <c r="C1869" s="77" t="s">
        <v>1017</v>
      </c>
      <c r="D1869" s="177" t="s">
        <v>17</v>
      </c>
      <c r="E1869" s="370">
        <v>0</v>
      </c>
      <c r="F1869" s="370">
        <v>0</v>
      </c>
      <c r="G1869" s="370">
        <v>0</v>
      </c>
      <c r="H1869" s="370">
        <v>0</v>
      </c>
      <c r="I1869" s="363">
        <f>SUM(Tabla132112412[[#This Row],[PRIMER TRIMESTRE]:[CUARTO TRIMESTRE]])</f>
        <v>0</v>
      </c>
      <c r="J1869" s="175">
        <v>111156</v>
      </c>
      <c r="K1869" s="175">
        <f t="shared" si="39"/>
        <v>0</v>
      </c>
      <c r="L1869" s="175"/>
      <c r="M1869" s="77" t="s">
        <v>18</v>
      </c>
      <c r="N1869" s="77" t="s">
        <v>19</v>
      </c>
      <c r="O1869" s="177" t="s">
        <v>342</v>
      </c>
    </row>
    <row r="1870" spans="1:15" s="169" customFormat="1" ht="30.75" customHeight="1">
      <c r="A1870" s="12"/>
      <c r="B1870" s="372" t="s">
        <v>167</v>
      </c>
      <c r="C1870" s="77" t="s">
        <v>1018</v>
      </c>
      <c r="D1870" s="177" t="s">
        <v>17</v>
      </c>
      <c r="E1870" s="370">
        <v>0</v>
      </c>
      <c r="F1870" s="370">
        <v>0</v>
      </c>
      <c r="G1870" s="370">
        <v>0</v>
      </c>
      <c r="H1870" s="370">
        <v>0</v>
      </c>
      <c r="I1870" s="363">
        <f>SUM(Tabla132112412[[#This Row],[PRIMER TRIMESTRE]:[CUARTO TRIMESTRE]])</f>
        <v>0</v>
      </c>
      <c r="J1870" s="175">
        <v>62186</v>
      </c>
      <c r="K1870" s="175">
        <f t="shared" si="39"/>
        <v>0</v>
      </c>
      <c r="L1870" s="175"/>
      <c r="M1870" s="77" t="s">
        <v>18</v>
      </c>
      <c r="N1870" s="77" t="s">
        <v>19</v>
      </c>
      <c r="O1870" s="177" t="s">
        <v>342</v>
      </c>
    </row>
    <row r="1871" spans="1:15" s="169" customFormat="1" ht="37.5" customHeight="1">
      <c r="A1871" s="12"/>
      <c r="B1871" s="372" t="s">
        <v>167</v>
      </c>
      <c r="C1871" s="77" t="s">
        <v>1019</v>
      </c>
      <c r="D1871" s="177" t="s">
        <v>17</v>
      </c>
      <c r="E1871" s="370">
        <v>0</v>
      </c>
      <c r="F1871" s="370">
        <v>0</v>
      </c>
      <c r="G1871" s="370">
        <v>0</v>
      </c>
      <c r="H1871" s="370">
        <v>0</v>
      </c>
      <c r="I1871" s="363">
        <f>SUM(Tabla132112412[[#This Row],[PRIMER TRIMESTRE]:[CUARTO TRIMESTRE]])</f>
        <v>0</v>
      </c>
      <c r="J1871" s="175">
        <v>306800</v>
      </c>
      <c r="K1871" s="175">
        <f t="shared" si="39"/>
        <v>0</v>
      </c>
      <c r="L1871" s="175"/>
      <c r="M1871" s="77" t="s">
        <v>18</v>
      </c>
      <c r="N1871" s="77" t="s">
        <v>19</v>
      </c>
      <c r="O1871" s="177" t="s">
        <v>342</v>
      </c>
    </row>
    <row r="1872" spans="1:15" s="169" customFormat="1" ht="27.75" customHeight="1">
      <c r="A1872" s="12"/>
      <c r="B1872" s="372" t="s">
        <v>167</v>
      </c>
      <c r="C1872" s="77" t="s">
        <v>1020</v>
      </c>
      <c r="D1872" s="177" t="s">
        <v>17</v>
      </c>
      <c r="E1872" s="370">
        <v>0</v>
      </c>
      <c r="F1872" s="370">
        <v>0</v>
      </c>
      <c r="G1872" s="370">
        <v>0</v>
      </c>
      <c r="H1872" s="370">
        <v>0</v>
      </c>
      <c r="I1872" s="363">
        <f>SUM(Tabla132112412[[#This Row],[PRIMER TRIMESTRE]:[CUARTO TRIMESTRE]])</f>
        <v>0</v>
      </c>
      <c r="J1872" s="175">
        <v>31093</v>
      </c>
      <c r="K1872" s="175">
        <f t="shared" si="39"/>
        <v>0</v>
      </c>
      <c r="L1872" s="175"/>
      <c r="M1872" s="77" t="s">
        <v>18</v>
      </c>
      <c r="N1872" s="77" t="s">
        <v>19</v>
      </c>
      <c r="O1872" s="177" t="s">
        <v>342</v>
      </c>
    </row>
    <row r="1873" spans="1:15" s="169" customFormat="1" ht="34.5" customHeight="1">
      <c r="A1873" s="12"/>
      <c r="B1873" s="372" t="s">
        <v>167</v>
      </c>
      <c r="C1873" s="77" t="s">
        <v>1021</v>
      </c>
      <c r="D1873" s="177" t="s">
        <v>17</v>
      </c>
      <c r="E1873" s="370">
        <v>0</v>
      </c>
      <c r="F1873" s="370">
        <v>0</v>
      </c>
      <c r="G1873" s="370">
        <v>0</v>
      </c>
      <c r="H1873" s="370">
        <v>0</v>
      </c>
      <c r="I1873" s="363">
        <f>SUM(Tabla132112412[[#This Row],[PRIMER TRIMESTRE]:[CUARTO TRIMESTRE]])</f>
        <v>0</v>
      </c>
      <c r="J1873" s="175">
        <v>329220</v>
      </c>
      <c r="K1873" s="175">
        <f t="shared" si="39"/>
        <v>0</v>
      </c>
      <c r="L1873" s="175"/>
      <c r="M1873" s="77" t="s">
        <v>18</v>
      </c>
      <c r="N1873" s="77" t="s">
        <v>19</v>
      </c>
      <c r="O1873" s="177" t="s">
        <v>342</v>
      </c>
    </row>
    <row r="1874" spans="1:15" s="169" customFormat="1" ht="93.75" customHeight="1">
      <c r="A1874" s="12"/>
      <c r="B1874" s="372" t="s">
        <v>167</v>
      </c>
      <c r="C1874" s="77" t="s">
        <v>1700</v>
      </c>
      <c r="D1874" s="177" t="s">
        <v>17</v>
      </c>
      <c r="E1874" s="370">
        <v>0</v>
      </c>
      <c r="F1874" s="370">
        <v>0</v>
      </c>
      <c r="G1874" s="370">
        <v>0</v>
      </c>
      <c r="H1874" s="370">
        <v>0</v>
      </c>
      <c r="I1874" s="363">
        <f>SUM(Tabla132112412[[#This Row],[PRIMER TRIMESTRE]:[CUARTO TRIMESTRE]])</f>
        <v>0</v>
      </c>
      <c r="J1874" s="175">
        <v>0</v>
      </c>
      <c r="K1874" s="175">
        <v>0</v>
      </c>
      <c r="L1874" s="175"/>
      <c r="M1874" s="77" t="s">
        <v>18</v>
      </c>
      <c r="N1874" s="77" t="s">
        <v>19</v>
      </c>
      <c r="O1874" s="177" t="s">
        <v>342</v>
      </c>
    </row>
    <row r="1875" spans="1:15" s="169" customFormat="1" ht="37.5" customHeight="1">
      <c r="A1875" s="12"/>
      <c r="B1875" s="372" t="s">
        <v>167</v>
      </c>
      <c r="C1875" s="77" t="s">
        <v>1762</v>
      </c>
      <c r="D1875" s="177" t="s">
        <v>17</v>
      </c>
      <c r="E1875" s="370">
        <v>0</v>
      </c>
      <c r="F1875" s="370">
        <v>0</v>
      </c>
      <c r="G1875" s="370">
        <v>0</v>
      </c>
      <c r="H1875" s="370">
        <v>0</v>
      </c>
      <c r="I1875" s="363">
        <f>SUM(Tabla132112412[[#This Row],[PRIMER TRIMESTRE]:[CUARTO TRIMESTRE]])</f>
        <v>0</v>
      </c>
      <c r="J1875" s="175">
        <v>0</v>
      </c>
      <c r="K1875" s="175">
        <v>0</v>
      </c>
      <c r="L1875" s="175"/>
      <c r="M1875" s="77" t="s">
        <v>18</v>
      </c>
      <c r="N1875" s="77" t="s">
        <v>19</v>
      </c>
      <c r="O1875" s="177"/>
    </row>
    <row r="1876" spans="1:15" s="169" customFormat="1" ht="30" customHeight="1">
      <c r="A1876" s="12"/>
      <c r="B1876" s="372" t="s">
        <v>167</v>
      </c>
      <c r="C1876" s="77" t="s">
        <v>1022</v>
      </c>
      <c r="D1876" s="177" t="s">
        <v>17</v>
      </c>
      <c r="E1876" s="370">
        <v>0</v>
      </c>
      <c r="F1876" s="370">
        <v>0</v>
      </c>
      <c r="G1876" s="370">
        <v>0</v>
      </c>
      <c r="H1876" s="370">
        <v>0</v>
      </c>
      <c r="I1876" s="363">
        <f>SUM(Tabla132112412[[#This Row],[PRIMER TRIMESTRE]:[CUARTO TRIMESTRE]])</f>
        <v>0</v>
      </c>
      <c r="J1876" s="175">
        <v>235000</v>
      </c>
      <c r="K1876" s="175">
        <f t="shared" si="39"/>
        <v>0</v>
      </c>
      <c r="L1876" s="175"/>
      <c r="M1876" s="77" t="s">
        <v>18</v>
      </c>
      <c r="N1876" s="77" t="s">
        <v>19</v>
      </c>
      <c r="O1876" s="177"/>
    </row>
    <row r="1877" spans="1:15" s="169" customFormat="1" ht="58.5" customHeight="1">
      <c r="A1877" s="12"/>
      <c r="B1877" s="372" t="s">
        <v>167</v>
      </c>
      <c r="C1877" s="77" t="s">
        <v>1023</v>
      </c>
      <c r="D1877" s="177" t="s">
        <v>17</v>
      </c>
      <c r="E1877" s="370">
        <v>0</v>
      </c>
      <c r="F1877" s="370">
        <v>0</v>
      </c>
      <c r="G1877" s="370">
        <v>0</v>
      </c>
      <c r="H1877" s="370">
        <v>0</v>
      </c>
      <c r="I1877" s="363">
        <f>SUM(Tabla132112412[[#This Row],[PRIMER TRIMESTRE]:[CUARTO TRIMESTRE]])</f>
        <v>0</v>
      </c>
      <c r="J1877" s="175">
        <v>803877.81</v>
      </c>
      <c r="K1877" s="175">
        <f t="shared" si="39"/>
        <v>0</v>
      </c>
      <c r="L1877" s="175"/>
      <c r="M1877" s="77" t="s">
        <v>18</v>
      </c>
      <c r="N1877" s="77" t="s">
        <v>19</v>
      </c>
      <c r="O1877" s="177" t="s">
        <v>342</v>
      </c>
    </row>
    <row r="1878" spans="1:15" s="55" customFormat="1" ht="33" customHeight="1">
      <c r="A1878" s="12"/>
      <c r="B1878" s="372" t="s">
        <v>167</v>
      </c>
      <c r="C1878" s="77" t="s">
        <v>1418</v>
      </c>
      <c r="D1878" s="177" t="s">
        <v>17</v>
      </c>
      <c r="E1878" s="370">
        <v>0</v>
      </c>
      <c r="F1878" s="370">
        <v>0</v>
      </c>
      <c r="G1878" s="370">
        <v>0</v>
      </c>
      <c r="H1878" s="370">
        <v>0</v>
      </c>
      <c r="I1878" s="363">
        <f>SUM(Tabla132112412[[#This Row],[PRIMER TRIMESTRE]:[CUARTO TRIMESTRE]])</f>
        <v>0</v>
      </c>
      <c r="J1878" s="175">
        <v>265000</v>
      </c>
      <c r="K1878" s="175">
        <f t="shared" si="39"/>
        <v>0</v>
      </c>
      <c r="L1878" s="175"/>
      <c r="M1878" s="77" t="s">
        <v>18</v>
      </c>
      <c r="N1878" s="77" t="s">
        <v>19</v>
      </c>
      <c r="O1878" s="177" t="s">
        <v>342</v>
      </c>
    </row>
    <row r="1879" spans="1:15" s="55" customFormat="1" ht="34.5" customHeight="1">
      <c r="A1879" s="12"/>
      <c r="B1879" s="372" t="s">
        <v>167</v>
      </c>
      <c r="C1879" s="77" t="s">
        <v>2450</v>
      </c>
      <c r="D1879" s="177" t="s">
        <v>17</v>
      </c>
      <c r="E1879" s="370">
        <v>1</v>
      </c>
      <c r="F1879" s="370">
        <v>0</v>
      </c>
      <c r="G1879" s="370">
        <v>0</v>
      </c>
      <c r="H1879" s="370">
        <v>0</v>
      </c>
      <c r="I1879" s="363">
        <f>SUM(Tabla132112412[[#This Row],[PRIMER TRIMESTRE]:[CUARTO TRIMESTRE]])</f>
        <v>1</v>
      </c>
      <c r="J1879" s="175">
        <v>265001</v>
      </c>
      <c r="K1879" s="175">
        <f t="shared" si="39"/>
        <v>265001</v>
      </c>
      <c r="L1879" s="175"/>
      <c r="M1879" s="77" t="s">
        <v>18</v>
      </c>
      <c r="N1879" s="77" t="s">
        <v>19</v>
      </c>
      <c r="O1879" s="177" t="s">
        <v>342</v>
      </c>
    </row>
    <row r="1880" spans="1:15" s="55" customFormat="1" ht="39.75" customHeight="1">
      <c r="A1880" s="12"/>
      <c r="B1880" s="372" t="s">
        <v>167</v>
      </c>
      <c r="C1880" s="77" t="s">
        <v>2451</v>
      </c>
      <c r="D1880" s="177" t="s">
        <v>17</v>
      </c>
      <c r="E1880" s="370">
        <v>1</v>
      </c>
      <c r="F1880" s="370">
        <v>0</v>
      </c>
      <c r="G1880" s="370">
        <v>0</v>
      </c>
      <c r="H1880" s="370">
        <v>0</v>
      </c>
      <c r="I1880" s="363">
        <f>SUM(Tabla132112412[[#This Row],[PRIMER TRIMESTRE]:[CUARTO TRIMESTRE]])</f>
        <v>1</v>
      </c>
      <c r="J1880" s="175">
        <v>265002</v>
      </c>
      <c r="K1880" s="175">
        <f t="shared" ref="K1880:K1890" si="40">+I1880*J1880</f>
        <v>265002</v>
      </c>
      <c r="L1880" s="175"/>
      <c r="M1880" s="77" t="s">
        <v>18</v>
      </c>
      <c r="N1880" s="77" t="s">
        <v>19</v>
      </c>
      <c r="O1880" s="177" t="s">
        <v>342</v>
      </c>
    </row>
    <row r="1881" spans="1:15" s="55" customFormat="1" ht="36.75" customHeight="1">
      <c r="A1881" s="12"/>
      <c r="B1881" s="372" t="s">
        <v>167</v>
      </c>
      <c r="C1881" s="77" t="s">
        <v>2452</v>
      </c>
      <c r="D1881" s="177" t="s">
        <v>17</v>
      </c>
      <c r="E1881" s="370">
        <v>1</v>
      </c>
      <c r="F1881" s="370">
        <v>0</v>
      </c>
      <c r="G1881" s="370">
        <v>0</v>
      </c>
      <c r="H1881" s="370">
        <v>0</v>
      </c>
      <c r="I1881" s="363">
        <f>SUM(Tabla132112412[[#This Row],[PRIMER TRIMESTRE]:[CUARTO TRIMESTRE]])</f>
        <v>1</v>
      </c>
      <c r="J1881" s="175">
        <v>265003</v>
      </c>
      <c r="K1881" s="175">
        <f t="shared" si="40"/>
        <v>265003</v>
      </c>
      <c r="L1881" s="175"/>
      <c r="M1881" s="77" t="s">
        <v>18</v>
      </c>
      <c r="N1881" s="77" t="s">
        <v>19</v>
      </c>
      <c r="O1881" s="177" t="s">
        <v>342</v>
      </c>
    </row>
    <row r="1882" spans="1:15" s="55" customFormat="1" ht="54" customHeight="1">
      <c r="A1882" s="12"/>
      <c r="B1882" s="372" t="s">
        <v>167</v>
      </c>
      <c r="C1882" s="77" t="s">
        <v>2453</v>
      </c>
      <c r="D1882" s="177" t="s">
        <v>17</v>
      </c>
      <c r="E1882" s="370">
        <v>1</v>
      </c>
      <c r="F1882" s="370">
        <v>0</v>
      </c>
      <c r="G1882" s="370">
        <v>0</v>
      </c>
      <c r="H1882" s="370">
        <v>0</v>
      </c>
      <c r="I1882" s="363">
        <f>SUM(Tabla132112412[[#This Row],[PRIMER TRIMESTRE]:[CUARTO TRIMESTRE]])</f>
        <v>1</v>
      </c>
      <c r="J1882" s="175">
        <v>265004</v>
      </c>
      <c r="K1882" s="175">
        <f t="shared" si="40"/>
        <v>265004</v>
      </c>
      <c r="L1882" s="175"/>
      <c r="M1882" s="77" t="s">
        <v>18</v>
      </c>
      <c r="N1882" s="77" t="s">
        <v>19</v>
      </c>
      <c r="O1882" s="177" t="s">
        <v>342</v>
      </c>
    </row>
    <row r="1883" spans="1:15" s="55" customFormat="1" ht="41.25" customHeight="1">
      <c r="A1883" s="12"/>
      <c r="B1883" s="372" t="s">
        <v>167</v>
      </c>
      <c r="C1883" s="77" t="s">
        <v>2454</v>
      </c>
      <c r="D1883" s="177" t="s">
        <v>17</v>
      </c>
      <c r="E1883" s="370">
        <v>1</v>
      </c>
      <c r="F1883" s="370">
        <v>0</v>
      </c>
      <c r="G1883" s="370">
        <v>0</v>
      </c>
      <c r="H1883" s="370">
        <v>0</v>
      </c>
      <c r="I1883" s="363">
        <f>SUM(Tabla132112412[[#This Row],[PRIMER TRIMESTRE]:[CUARTO TRIMESTRE]])</f>
        <v>1</v>
      </c>
      <c r="J1883" s="175">
        <v>265005</v>
      </c>
      <c r="K1883" s="175">
        <f t="shared" si="40"/>
        <v>265005</v>
      </c>
      <c r="L1883" s="175"/>
      <c r="M1883" s="77" t="s">
        <v>18</v>
      </c>
      <c r="N1883" s="77" t="s">
        <v>19</v>
      </c>
      <c r="O1883" s="177" t="s">
        <v>342</v>
      </c>
    </row>
    <row r="1884" spans="1:15" s="55" customFormat="1" ht="24.75" customHeight="1">
      <c r="A1884" s="12"/>
      <c r="B1884" s="372" t="s">
        <v>167</v>
      </c>
      <c r="C1884" s="77" t="s">
        <v>2455</v>
      </c>
      <c r="D1884" s="177" t="s">
        <v>17</v>
      </c>
      <c r="E1884" s="370">
        <v>1</v>
      </c>
      <c r="F1884" s="370">
        <v>0</v>
      </c>
      <c r="G1884" s="370">
        <v>0</v>
      </c>
      <c r="H1884" s="370">
        <v>0</v>
      </c>
      <c r="I1884" s="363">
        <f>SUM(Tabla132112412[[#This Row],[PRIMER TRIMESTRE]:[CUARTO TRIMESTRE]])</f>
        <v>1</v>
      </c>
      <c r="J1884" s="175">
        <v>265006</v>
      </c>
      <c r="K1884" s="175">
        <f t="shared" si="40"/>
        <v>265006</v>
      </c>
      <c r="L1884" s="175"/>
      <c r="M1884" s="77" t="s">
        <v>18</v>
      </c>
      <c r="N1884" s="77" t="s">
        <v>19</v>
      </c>
      <c r="O1884" s="177" t="s">
        <v>342</v>
      </c>
    </row>
    <row r="1885" spans="1:15" s="55" customFormat="1" ht="24.75" customHeight="1">
      <c r="A1885" s="12"/>
      <c r="B1885" s="372" t="s">
        <v>167</v>
      </c>
      <c r="C1885" s="77" t="s">
        <v>2456</v>
      </c>
      <c r="D1885" s="177" t="s">
        <v>17</v>
      </c>
      <c r="E1885" s="370">
        <v>1</v>
      </c>
      <c r="F1885" s="370">
        <v>0</v>
      </c>
      <c r="G1885" s="370">
        <v>0</v>
      </c>
      <c r="H1885" s="370">
        <v>0</v>
      </c>
      <c r="I1885" s="363">
        <f>SUM(Tabla132112412[[#This Row],[PRIMER TRIMESTRE]:[CUARTO TRIMESTRE]])</f>
        <v>1</v>
      </c>
      <c r="J1885" s="175">
        <v>265007</v>
      </c>
      <c r="K1885" s="175">
        <f t="shared" si="40"/>
        <v>265007</v>
      </c>
      <c r="L1885" s="175"/>
      <c r="M1885" s="77" t="s">
        <v>18</v>
      </c>
      <c r="N1885" s="77" t="s">
        <v>19</v>
      </c>
      <c r="O1885" s="177" t="s">
        <v>342</v>
      </c>
    </row>
    <row r="1886" spans="1:15" s="55" customFormat="1" ht="36.75" customHeight="1">
      <c r="A1886" s="12"/>
      <c r="B1886" s="372" t="s">
        <v>167</v>
      </c>
      <c r="C1886" s="77" t="s">
        <v>2457</v>
      </c>
      <c r="D1886" s="177" t="s">
        <v>17</v>
      </c>
      <c r="E1886" s="370">
        <v>1</v>
      </c>
      <c r="F1886" s="370">
        <v>0</v>
      </c>
      <c r="G1886" s="370">
        <v>0</v>
      </c>
      <c r="H1886" s="370">
        <v>0</v>
      </c>
      <c r="I1886" s="363">
        <f>SUM(Tabla132112412[[#This Row],[PRIMER TRIMESTRE]:[CUARTO TRIMESTRE]])</f>
        <v>1</v>
      </c>
      <c r="J1886" s="175">
        <v>265008</v>
      </c>
      <c r="K1886" s="175">
        <f t="shared" si="40"/>
        <v>265008</v>
      </c>
      <c r="L1886" s="175"/>
      <c r="M1886" s="77" t="s">
        <v>18</v>
      </c>
      <c r="N1886" s="77" t="s">
        <v>19</v>
      </c>
      <c r="O1886" s="177" t="s">
        <v>342</v>
      </c>
    </row>
    <row r="1887" spans="1:15" s="55" customFormat="1" ht="38.25" customHeight="1">
      <c r="A1887" s="12"/>
      <c r="B1887" s="372" t="s">
        <v>167</v>
      </c>
      <c r="C1887" s="77" t="s">
        <v>2458</v>
      </c>
      <c r="D1887" s="177" t="s">
        <v>17</v>
      </c>
      <c r="E1887" s="370">
        <v>1</v>
      </c>
      <c r="F1887" s="370">
        <v>0</v>
      </c>
      <c r="G1887" s="370">
        <v>0</v>
      </c>
      <c r="H1887" s="370">
        <v>0</v>
      </c>
      <c r="I1887" s="363">
        <f>SUM(Tabla132112412[[#This Row],[PRIMER TRIMESTRE]:[CUARTO TRIMESTRE]])</f>
        <v>1</v>
      </c>
      <c r="J1887" s="175">
        <v>265009</v>
      </c>
      <c r="K1887" s="175">
        <f t="shared" si="40"/>
        <v>265009</v>
      </c>
      <c r="L1887" s="175"/>
      <c r="M1887" s="77" t="s">
        <v>18</v>
      </c>
      <c r="N1887" s="77" t="s">
        <v>19</v>
      </c>
      <c r="O1887" s="177" t="s">
        <v>342</v>
      </c>
    </row>
    <row r="1888" spans="1:15" s="55" customFormat="1" ht="24.75" customHeight="1">
      <c r="A1888" s="12"/>
      <c r="B1888" s="372" t="s">
        <v>167</v>
      </c>
      <c r="C1888" s="77" t="s">
        <v>2459</v>
      </c>
      <c r="D1888" s="177" t="s">
        <v>17</v>
      </c>
      <c r="E1888" s="370">
        <v>1</v>
      </c>
      <c r="F1888" s="370">
        <v>0</v>
      </c>
      <c r="G1888" s="370">
        <v>0</v>
      </c>
      <c r="H1888" s="370">
        <v>0</v>
      </c>
      <c r="I1888" s="363">
        <f>SUM(Tabla132112412[[#This Row],[PRIMER TRIMESTRE]:[CUARTO TRIMESTRE]])</f>
        <v>1</v>
      </c>
      <c r="J1888" s="175">
        <v>265010</v>
      </c>
      <c r="K1888" s="175">
        <f t="shared" si="40"/>
        <v>265010</v>
      </c>
      <c r="L1888" s="175"/>
      <c r="M1888" s="77" t="s">
        <v>18</v>
      </c>
      <c r="N1888" s="77" t="s">
        <v>19</v>
      </c>
      <c r="O1888" s="177" t="s">
        <v>342</v>
      </c>
    </row>
    <row r="1889" spans="1:15" s="55" customFormat="1" ht="24.75" customHeight="1">
      <c r="A1889" s="12"/>
      <c r="B1889" s="372" t="s">
        <v>167</v>
      </c>
      <c r="C1889" s="77" t="s">
        <v>2460</v>
      </c>
      <c r="D1889" s="177" t="s">
        <v>17</v>
      </c>
      <c r="E1889" s="370">
        <v>1</v>
      </c>
      <c r="F1889" s="370">
        <v>0</v>
      </c>
      <c r="G1889" s="370">
        <v>0</v>
      </c>
      <c r="H1889" s="370">
        <v>0</v>
      </c>
      <c r="I1889" s="363">
        <f>SUM(Tabla132112412[[#This Row],[PRIMER TRIMESTRE]:[CUARTO TRIMESTRE]])</f>
        <v>1</v>
      </c>
      <c r="J1889" s="175">
        <v>265011</v>
      </c>
      <c r="K1889" s="175">
        <f t="shared" si="40"/>
        <v>265011</v>
      </c>
      <c r="L1889" s="175"/>
      <c r="M1889" s="77" t="s">
        <v>18</v>
      </c>
      <c r="N1889" s="77" t="s">
        <v>19</v>
      </c>
      <c r="O1889" s="177" t="s">
        <v>342</v>
      </c>
    </row>
    <row r="1890" spans="1:15" s="55" customFormat="1" ht="24.75" customHeight="1">
      <c r="A1890" s="12"/>
      <c r="B1890" s="372" t="s">
        <v>167</v>
      </c>
      <c r="C1890" s="77" t="s">
        <v>2461</v>
      </c>
      <c r="D1890" s="177" t="s">
        <v>17</v>
      </c>
      <c r="E1890" s="370">
        <v>1</v>
      </c>
      <c r="F1890" s="370">
        <v>0</v>
      </c>
      <c r="G1890" s="370">
        <v>0</v>
      </c>
      <c r="H1890" s="370">
        <v>0</v>
      </c>
      <c r="I1890" s="363">
        <f>SUM(Tabla132112412[[#This Row],[PRIMER TRIMESTRE]:[CUARTO TRIMESTRE]])</f>
        <v>1</v>
      </c>
      <c r="J1890" s="175">
        <v>11500000</v>
      </c>
      <c r="K1890" s="175">
        <f t="shared" si="40"/>
        <v>11500000</v>
      </c>
      <c r="L1890" s="175"/>
      <c r="M1890" s="77" t="s">
        <v>18</v>
      </c>
      <c r="N1890" s="77" t="s">
        <v>19</v>
      </c>
      <c r="O1890" s="177" t="s">
        <v>342</v>
      </c>
    </row>
    <row r="1891" spans="1:15" s="55" customFormat="1" ht="29.25" customHeight="1">
      <c r="A1891" s="12"/>
      <c r="B1891" s="372" t="s">
        <v>167</v>
      </c>
      <c r="C1891" s="453" t="s">
        <v>891</v>
      </c>
      <c r="D1891" s="177"/>
      <c r="E1891" s="370"/>
      <c r="F1891" s="370"/>
      <c r="G1891" s="370"/>
      <c r="H1891" s="370"/>
      <c r="I1891" s="363">
        <f>SUM(Tabla132112412[[#This Row],[PRIMER TRIMESTRE]:[CUARTO TRIMESTRE]])</f>
        <v>0</v>
      </c>
      <c r="J1891" s="175"/>
      <c r="K1891" s="175"/>
      <c r="L1891" s="451">
        <f>SUM(K1816:K1878)</f>
        <v>910222.5</v>
      </c>
      <c r="M1891" s="77"/>
      <c r="N1891" s="77"/>
      <c r="O1891" s="177"/>
    </row>
    <row r="1892" spans="1:15" s="55" customFormat="1" ht="18">
      <c r="A1892" s="12"/>
      <c r="B1892" s="372" t="s">
        <v>573</v>
      </c>
      <c r="C1892" s="77" t="s">
        <v>574</v>
      </c>
      <c r="D1892" s="177" t="s">
        <v>17</v>
      </c>
      <c r="E1892" s="458">
        <v>0</v>
      </c>
      <c r="F1892" s="458">
        <v>0</v>
      </c>
      <c r="G1892" s="458">
        <v>0</v>
      </c>
      <c r="H1892" s="458">
        <v>15</v>
      </c>
      <c r="I1892" s="363">
        <f>SUM(Tabla132112412[[#This Row],[PRIMER TRIMESTRE]:[CUARTO TRIMESTRE]])</f>
        <v>15</v>
      </c>
      <c r="J1892" s="469">
        <v>500</v>
      </c>
      <c r="K1892" s="469">
        <f>+Tabla132112412[[#This Row],[CANTIDAD TOTAL]]*Tabla132112412[[#This Row],[PRECIO UNITARIO ESTIMADO]]</f>
        <v>7500</v>
      </c>
      <c r="L1892" s="460"/>
      <c r="M1892" s="470" t="s">
        <v>18</v>
      </c>
      <c r="N1892" s="470" t="s">
        <v>22</v>
      </c>
      <c r="O1892" s="457"/>
    </row>
    <row r="1893" spans="1:15" s="12" customFormat="1" ht="18">
      <c r="B1893" s="372" t="s">
        <v>573</v>
      </c>
      <c r="C1893" s="77" t="s">
        <v>575</v>
      </c>
      <c r="D1893" s="177" t="s">
        <v>17</v>
      </c>
      <c r="E1893" s="458">
        <v>0</v>
      </c>
      <c r="F1893" s="458">
        <v>0</v>
      </c>
      <c r="G1893" s="458">
        <v>0</v>
      </c>
      <c r="H1893" s="458">
        <v>15</v>
      </c>
      <c r="I1893" s="363">
        <f>SUM(Tabla132112412[[#This Row],[PRIMER TRIMESTRE]:[CUARTO TRIMESTRE]])</f>
        <v>15</v>
      </c>
      <c r="J1893" s="469">
        <v>1000</v>
      </c>
      <c r="K1893" s="469">
        <f>+Tabla132112412[[#This Row],[CANTIDAD TOTAL]]*Tabla132112412[[#This Row],[PRECIO UNITARIO ESTIMADO]]</f>
        <v>15000</v>
      </c>
      <c r="L1893" s="460"/>
      <c r="M1893" s="470" t="s">
        <v>18</v>
      </c>
      <c r="N1893" s="470" t="s">
        <v>22</v>
      </c>
      <c r="O1893" s="457"/>
    </row>
    <row r="1894" spans="1:15" s="12" customFormat="1" ht="18">
      <c r="B1894" s="372" t="s">
        <v>573</v>
      </c>
      <c r="C1894" s="77" t="s">
        <v>576</v>
      </c>
      <c r="D1894" s="177" t="s">
        <v>17</v>
      </c>
      <c r="E1894" s="458">
        <v>0</v>
      </c>
      <c r="F1894" s="458">
        <v>0</v>
      </c>
      <c r="G1894" s="458">
        <v>0</v>
      </c>
      <c r="H1894" s="458">
        <v>15</v>
      </c>
      <c r="I1894" s="363">
        <f>SUM(Tabla132112412[[#This Row],[PRIMER TRIMESTRE]:[CUARTO TRIMESTRE]])</f>
        <v>15</v>
      </c>
      <c r="J1894" s="469">
        <v>2000</v>
      </c>
      <c r="K1894" s="469">
        <f>+Tabla132112412[[#This Row],[CANTIDAD TOTAL]]*Tabla132112412[[#This Row],[PRECIO UNITARIO ESTIMADO]]</f>
        <v>30000</v>
      </c>
      <c r="L1894" s="460"/>
      <c r="M1894" s="77" t="s">
        <v>18</v>
      </c>
      <c r="N1894" s="470" t="s">
        <v>22</v>
      </c>
      <c r="O1894" s="457"/>
    </row>
    <row r="1895" spans="1:15" s="12" customFormat="1" ht="18">
      <c r="B1895" s="372" t="s">
        <v>573</v>
      </c>
      <c r="C1895" s="77" t="s">
        <v>1331</v>
      </c>
      <c r="D1895" s="177" t="s">
        <v>17</v>
      </c>
      <c r="E1895" s="370">
        <v>0</v>
      </c>
      <c r="F1895" s="370">
        <v>0</v>
      </c>
      <c r="G1895" s="370">
        <v>0</v>
      </c>
      <c r="H1895" s="370">
        <v>1</v>
      </c>
      <c r="I1895" s="363">
        <f>SUM(Tabla132112412[[#This Row],[PRIMER TRIMESTRE]:[CUARTO TRIMESTRE]])</f>
        <v>1</v>
      </c>
      <c r="J1895" s="175">
        <v>40000</v>
      </c>
      <c r="K1895" s="175">
        <f t="shared" ref="K1895:K1904" si="41">+I1895*J1895</f>
        <v>40000</v>
      </c>
      <c r="L1895" s="175"/>
      <c r="M1895" s="470" t="s">
        <v>18</v>
      </c>
      <c r="N1895" s="470" t="s">
        <v>22</v>
      </c>
      <c r="O1895" s="177"/>
    </row>
    <row r="1896" spans="1:15" s="12" customFormat="1" ht="18">
      <c r="B1896" s="372" t="s">
        <v>573</v>
      </c>
      <c r="C1896" s="77" t="s">
        <v>1751</v>
      </c>
      <c r="D1896" s="177" t="s">
        <v>17</v>
      </c>
      <c r="E1896" s="370">
        <v>0</v>
      </c>
      <c r="F1896" s="370">
        <v>0</v>
      </c>
      <c r="G1896" s="370">
        <v>0</v>
      </c>
      <c r="H1896" s="370">
        <v>1</v>
      </c>
      <c r="I1896" s="363">
        <f>SUM(Tabla132112412[[#This Row],[PRIMER TRIMESTRE]:[CUARTO TRIMESTRE]])</f>
        <v>1</v>
      </c>
      <c r="J1896" s="175"/>
      <c r="K1896" s="175"/>
      <c r="L1896" s="175"/>
      <c r="M1896" s="470" t="s">
        <v>18</v>
      </c>
      <c r="N1896" s="470" t="s">
        <v>22</v>
      </c>
      <c r="O1896" s="177"/>
    </row>
    <row r="1897" spans="1:15" s="12" customFormat="1" ht="18">
      <c r="B1897" s="372" t="s">
        <v>573</v>
      </c>
      <c r="C1897" s="77" t="s">
        <v>1747</v>
      </c>
      <c r="D1897" s="177" t="s">
        <v>17</v>
      </c>
      <c r="E1897" s="370">
        <v>0</v>
      </c>
      <c r="F1897" s="370">
        <v>0</v>
      </c>
      <c r="G1897" s="370">
        <v>0</v>
      </c>
      <c r="H1897" s="370">
        <v>1</v>
      </c>
      <c r="I1897" s="363">
        <f>SUM(Tabla132112412[[#This Row],[PRIMER TRIMESTRE]:[CUARTO TRIMESTRE]])</f>
        <v>1</v>
      </c>
      <c r="J1897" s="175"/>
      <c r="K1897" s="175"/>
      <c r="L1897" s="175"/>
      <c r="M1897" s="470" t="s">
        <v>18</v>
      </c>
      <c r="N1897" s="470" t="s">
        <v>22</v>
      </c>
      <c r="O1897" s="177"/>
    </row>
    <row r="1898" spans="1:15" s="12" customFormat="1" ht="18">
      <c r="B1898" s="372" t="s">
        <v>573</v>
      </c>
      <c r="C1898" s="77" t="s">
        <v>1332</v>
      </c>
      <c r="D1898" s="177" t="s">
        <v>17</v>
      </c>
      <c r="E1898" s="370">
        <v>0</v>
      </c>
      <c r="F1898" s="370">
        <v>0</v>
      </c>
      <c r="G1898" s="370">
        <v>0</v>
      </c>
      <c r="H1898" s="370">
        <v>1</v>
      </c>
      <c r="I1898" s="363">
        <f>SUM(Tabla132112412[[#This Row],[PRIMER TRIMESTRE]:[CUARTO TRIMESTRE]])</f>
        <v>1</v>
      </c>
      <c r="J1898" s="175">
        <v>30000</v>
      </c>
      <c r="K1898" s="175">
        <f t="shared" si="41"/>
        <v>30000</v>
      </c>
      <c r="L1898" s="175"/>
      <c r="M1898" s="470" t="s">
        <v>18</v>
      </c>
      <c r="N1898" s="470" t="s">
        <v>22</v>
      </c>
      <c r="O1898" s="177"/>
    </row>
    <row r="1899" spans="1:15" s="12" customFormat="1" ht="18">
      <c r="B1899" s="372" t="s">
        <v>573</v>
      </c>
      <c r="C1899" s="77" t="s">
        <v>1749</v>
      </c>
      <c r="D1899" s="177" t="s">
        <v>17</v>
      </c>
      <c r="E1899" s="370">
        <v>0</v>
      </c>
      <c r="F1899" s="370">
        <v>0</v>
      </c>
      <c r="G1899" s="370">
        <v>0</v>
      </c>
      <c r="H1899" s="370">
        <v>1</v>
      </c>
      <c r="I1899" s="363">
        <f>SUM(Tabla132112412[[#This Row],[PRIMER TRIMESTRE]:[CUARTO TRIMESTRE]])</f>
        <v>1</v>
      </c>
      <c r="J1899" s="175">
        <v>75000</v>
      </c>
      <c r="K1899" s="175">
        <f>Tabla132112412[[#This Row],[PRECIO UNITARIO ESTIMADO]]*Tabla132112412[[#This Row],[CANTIDAD TOTAL]]</f>
        <v>75000</v>
      </c>
      <c r="L1899" s="175"/>
      <c r="M1899" s="77" t="s">
        <v>18</v>
      </c>
      <c r="N1899" s="77" t="s">
        <v>22</v>
      </c>
      <c r="O1899" s="177"/>
    </row>
    <row r="1900" spans="1:15" s="12" customFormat="1" ht="18">
      <c r="B1900" s="372" t="s">
        <v>573</v>
      </c>
      <c r="C1900" s="77" t="s">
        <v>1333</v>
      </c>
      <c r="D1900" s="177" t="s">
        <v>17</v>
      </c>
      <c r="E1900" s="370">
        <v>0</v>
      </c>
      <c r="F1900" s="370">
        <v>0</v>
      </c>
      <c r="G1900" s="370">
        <v>0</v>
      </c>
      <c r="H1900" s="370">
        <v>0</v>
      </c>
      <c r="I1900" s="363">
        <f>SUM(Tabla132112412[[#This Row],[PRIMER TRIMESTRE]:[CUARTO TRIMESTRE]])</f>
        <v>0</v>
      </c>
      <c r="J1900" s="175">
        <v>1500000</v>
      </c>
      <c r="K1900" s="175">
        <f>+I1900*J1900</f>
        <v>0</v>
      </c>
      <c r="L1900" s="175"/>
      <c r="M1900" s="77" t="s">
        <v>18</v>
      </c>
      <c r="N1900" s="470" t="s">
        <v>22</v>
      </c>
      <c r="O1900" s="177"/>
    </row>
    <row r="1901" spans="1:15" s="12" customFormat="1" ht="18">
      <c r="B1901" s="372" t="s">
        <v>573</v>
      </c>
      <c r="C1901" s="77" t="s">
        <v>1750</v>
      </c>
      <c r="D1901" s="177" t="s">
        <v>17</v>
      </c>
      <c r="E1901" s="370">
        <v>0</v>
      </c>
      <c r="F1901" s="370">
        <v>0</v>
      </c>
      <c r="G1901" s="370">
        <v>0</v>
      </c>
      <c r="H1901" s="370">
        <v>1</v>
      </c>
      <c r="I1901" s="363">
        <f>SUM(Tabla132112412[[#This Row],[PRIMER TRIMESTRE]:[CUARTO TRIMESTRE]])</f>
        <v>1</v>
      </c>
      <c r="J1901" s="175"/>
      <c r="K1901" s="175">
        <f>Tabla132112412[[#This Row],[PRECIO UNITARIO ESTIMADO]]*Tabla132112412[[#This Row],[CANTIDAD TOTAL]]</f>
        <v>0</v>
      </c>
      <c r="L1901" s="175"/>
      <c r="M1901" s="77" t="s">
        <v>18</v>
      </c>
      <c r="N1901" s="470" t="s">
        <v>22</v>
      </c>
      <c r="O1901" s="177"/>
    </row>
    <row r="1902" spans="1:15" s="12" customFormat="1" ht="18">
      <c r="B1902" s="372" t="s">
        <v>573</v>
      </c>
      <c r="C1902" s="77" t="s">
        <v>1464</v>
      </c>
      <c r="D1902" s="177" t="s">
        <v>17</v>
      </c>
      <c r="E1902" s="370">
        <v>0</v>
      </c>
      <c r="F1902" s="370">
        <v>0</v>
      </c>
      <c r="G1902" s="370">
        <v>0</v>
      </c>
      <c r="H1902" s="370">
        <v>1</v>
      </c>
      <c r="I1902" s="363">
        <f>SUM(Tabla132112412[[#This Row],[PRIMER TRIMESTRE]:[CUARTO TRIMESTRE]])</f>
        <v>1</v>
      </c>
      <c r="J1902" s="175">
        <v>87000</v>
      </c>
      <c r="K1902" s="175">
        <f t="shared" si="41"/>
        <v>87000</v>
      </c>
      <c r="L1902" s="175"/>
      <c r="M1902" s="77" t="s">
        <v>18</v>
      </c>
      <c r="N1902" s="470" t="s">
        <v>22</v>
      </c>
      <c r="O1902" s="177"/>
    </row>
    <row r="1903" spans="1:15" s="64" customFormat="1" ht="18">
      <c r="A1903" s="12"/>
      <c r="B1903" s="372" t="s">
        <v>573</v>
      </c>
      <c r="C1903" s="77" t="s">
        <v>1465</v>
      </c>
      <c r="D1903" s="177" t="s">
        <v>17</v>
      </c>
      <c r="E1903" s="370">
        <v>50</v>
      </c>
      <c r="F1903" s="370">
        <v>50</v>
      </c>
      <c r="G1903" s="370">
        <v>50</v>
      </c>
      <c r="H1903" s="370">
        <v>50</v>
      </c>
      <c r="I1903" s="363">
        <f>SUM(Tabla132112412[[#This Row],[PRIMER TRIMESTRE]:[CUARTO TRIMESTRE]])</f>
        <v>200</v>
      </c>
      <c r="J1903" s="175">
        <v>15</v>
      </c>
      <c r="K1903" s="175">
        <f t="shared" si="41"/>
        <v>3000</v>
      </c>
      <c r="L1903" s="175"/>
      <c r="M1903" s="77" t="s">
        <v>18</v>
      </c>
      <c r="N1903" s="470" t="s">
        <v>22</v>
      </c>
      <c r="O1903" s="177"/>
    </row>
    <row r="1904" spans="1:15" s="34" customFormat="1" ht="24" thickBot="1">
      <c r="A1904" s="12"/>
      <c r="B1904" s="372" t="s">
        <v>573</v>
      </c>
      <c r="C1904" s="77" t="s">
        <v>1419</v>
      </c>
      <c r="D1904" s="177" t="s">
        <v>17</v>
      </c>
      <c r="E1904" s="370">
        <v>0</v>
      </c>
      <c r="F1904" s="370">
        <v>0</v>
      </c>
      <c r="G1904" s="370">
        <v>0</v>
      </c>
      <c r="H1904" s="370">
        <v>1</v>
      </c>
      <c r="I1904" s="363">
        <f>SUM(Tabla132112412[[#This Row],[PRIMER TRIMESTRE]:[CUARTO TRIMESTRE]])</f>
        <v>1</v>
      </c>
      <c r="J1904" s="175">
        <v>250000</v>
      </c>
      <c r="K1904" s="175">
        <f t="shared" si="41"/>
        <v>250000</v>
      </c>
      <c r="L1904" s="175"/>
      <c r="M1904" s="77" t="s">
        <v>18</v>
      </c>
      <c r="N1904" s="470" t="s">
        <v>22</v>
      </c>
      <c r="O1904" s="177"/>
    </row>
    <row r="1905" spans="2:15" ht="18.75" customHeight="1">
      <c r="B1905" s="481"/>
      <c r="C1905" s="77"/>
      <c r="D1905" s="457"/>
      <c r="E1905" s="458"/>
      <c r="F1905" s="458"/>
      <c r="G1905" s="458"/>
      <c r="H1905" s="458"/>
      <c r="I1905" s="482"/>
      <c r="J1905" s="483"/>
      <c r="K1905" s="484"/>
      <c r="L1905" s="451">
        <f>+SUM($K$1892:$K$1904)</f>
        <v>537500</v>
      </c>
      <c r="M1905" s="485"/>
      <c r="N1905" s="485"/>
      <c r="O1905" s="457"/>
    </row>
    <row r="1906" spans="2:15" ht="30.75" customHeight="1" thickBot="1">
      <c r="B1906" s="486"/>
      <c r="C1906" s="487" t="s">
        <v>1912</v>
      </c>
      <c r="D1906" s="488"/>
      <c r="E1906" s="489"/>
      <c r="F1906" s="489"/>
      <c r="G1906" s="489"/>
      <c r="H1906" s="489"/>
      <c r="I1906" s="490"/>
      <c r="J1906" s="491"/>
      <c r="K1906" s="491"/>
      <c r="L1906" s="491">
        <f>SUM(L13:L1905)</f>
        <v>276771799.10678625</v>
      </c>
      <c r="M1906" s="487"/>
      <c r="N1906" s="487"/>
      <c r="O1906" s="488"/>
    </row>
    <row r="1908" spans="2:15" ht="30.75" customHeight="1">
      <c r="B1908" s="436"/>
      <c r="C1908" s="436"/>
      <c r="D1908" s="436"/>
    </row>
    <row r="1909" spans="2:15" ht="18">
      <c r="B1909" s="436"/>
      <c r="C1909" s="436"/>
      <c r="D1909" s="436"/>
      <c r="L1909" s="250"/>
    </row>
    <row r="1910" spans="2:15" ht="30.75" customHeight="1">
      <c r="B1910" s="436"/>
      <c r="C1910" s="436"/>
      <c r="D1910" s="436"/>
    </row>
    <row r="1911" spans="2:15" ht="30.75" customHeight="1">
      <c r="B1911" s="436"/>
      <c r="C1911" s="436"/>
      <c r="D1911" s="436"/>
    </row>
    <row r="1912" spans="2:15" ht="30.75" customHeight="1">
      <c r="B1912" s="436"/>
      <c r="C1912" s="436"/>
      <c r="D1912" s="436"/>
    </row>
    <row r="1913" spans="2:15" ht="18">
      <c r="B1913" s="436"/>
      <c r="C1913" s="436"/>
      <c r="D1913" s="436"/>
      <c r="O1913" s="399"/>
    </row>
    <row r="1914" spans="2:15" ht="18">
      <c r="C1914" s="399" t="s">
        <v>2462</v>
      </c>
      <c r="O1914" s="399"/>
    </row>
    <row r="1915" spans="2:15" ht="36">
      <c r="C1915" s="399" t="s">
        <v>2463</v>
      </c>
      <c r="O1915" s="399"/>
    </row>
    <row r="1916" spans="2:15" ht="18">
      <c r="O1916" s="399"/>
    </row>
    <row r="1917" spans="2:15" ht="18">
      <c r="O1917" s="399"/>
    </row>
    <row r="1918" spans="2:15" ht="18">
      <c r="O1918" s="399"/>
    </row>
    <row r="1919" spans="2:15" ht="18">
      <c r="O1919" s="399"/>
    </row>
    <row r="1920" spans="2:15" ht="18">
      <c r="O1920" s="399"/>
    </row>
    <row r="1921" spans="15:15" ht="18">
      <c r="O1921" s="399"/>
    </row>
    <row r="1922" spans="15:15" ht="18"/>
  </sheetData>
  <mergeCells count="7">
    <mergeCell ref="B10:I10"/>
    <mergeCell ref="B3:B5"/>
    <mergeCell ref="D3:M3"/>
    <mergeCell ref="D4:M4"/>
    <mergeCell ref="D5:M5"/>
    <mergeCell ref="D7:M7"/>
    <mergeCell ref="E9:H9"/>
  </mergeCells>
  <dataValidations count="12">
    <dataValidation type="list" allowBlank="1" showInputMessage="1" showErrorMessage="1" promptTitle="PACC" prompt="Seleccione el Código de Bienes y Servicios._x000a_" sqref="B933:B947 B978:B982 B1286 B991:B1006">
      <formula1>$Q$11:$Q$333</formula1>
    </dataValidation>
    <dataValidation allowBlank="1" showInputMessage="1" showErrorMessage="1" promptTitle="PACC" prompt="Digite la cantidad requerida en este período._x000a_" sqref="F1807:G1891 H422 G172:G173 E1726:F1726 F270:H275 G1536:H1536 E952 G772:G776 F115:H115 G779 G913:H917 F255:H255 E1286:H1288 E228:H230 G861:H873 H1807:H1894 E15:G15 E1533:F1537 G813 F403:H403 G1028:H1031 E1585:H1585 F14:G14 E166:E175 F1728:H1729 G816:G820 E1587:H1587 F892:H892 E1513:E1527 E1930:F1930 H1923:H1924 F1923:F1929 G1925:H1930 F1708:F1712 E1231:H1231 G1923 F928:H928 G1539:H1542 G555:G557 E1546:F1548 H909 F1907:H1922 E1540:F1541 E1840:E1891 F216 F1000:F1006 F614:H614 E1931:H1940 E1906:H1906 G1533:G1535 E1290:E1304 F1542 F422 G1457 F721:H721 E1530:E1532 F277:F280 G543 E22:H22 F407:H407 F883:H883 F1552 F1517:F1532 E1445:H1453 F1538:F1539 H1041:H1046 F1467 F1470 E1485:E1488 F861 F1753:H1753 H593:H594 E509:H515 F1905:H1905 E1808:E1836 E1730:H1749 F215:G215 G232:H232 H912 G1514:G1515 F1586:H1586 E1581:H1582 H1552 H1708:H1712 F1549:F1550 F109:H112 H1150 F1167:H1178 F1028:F1034 E1754:H1757 H1537:H1538 H13:H15 G822:G838 F1150 H762:H769 F909 F1091:F1092 F1041:F1046 G545:G546 F1592:H1596 H1136 H1513:H1535 G1546:H1549 H1550 E1569:H1575 F147:F163 F415:H415 G1498:H1512 F880:H880 E1907:E1924 G1470:H1471 E17:H20 H168:H175 F168:F175 E140:E142 F723:F727 H727 F645:H647 G723:H726 F651:H655 F634:F644 G765:G769 E808:H812 F762:F769 F1272:H1278 H1289:H1312 G1290:G1312 F1289:F1312 G1384:G1387 G1441:G1444 E1895:H1904 G1465 F1232:H1269 H1454:H1467 F994:H999 F1698:H1705 G1708 E1708:E1711 F1280:H1285 G1710:G1712 F1758:H1758 F1763:H1765 F1771:H1772 F1791:H1791 F1797:H1797 G267:H268 G550:G551 G559:G562 G553 F839:H860 F912:F917 E222:G227 H1032:H1034 F1038:F1039 H1038:H1039 F1099:H1099 F1102:H1102 F1105:H1105 F1136 F1156:H1162 F1610:H1638 F1223:H1230 E1785:H1790 E46:H53 G147:H167 F529:G540 F200:H205 H215:H216 H199 F191:H198 E195:E204 E206:H214 F246:H246 G235:H236 F606:H608 E257:H257 E263:H266 G277:H287 G302:H351 F335:F351 H352:H355 G356:H356 F353:G355 G352 F357:H364 G177:H177 E366:H366 E368:H372 E288:H294 F373:H394 F447:H447 F460:F463 H457:H462 H465:H473 F457:G459 F465:F473 E467:E473 E475:F475 H475 E483:F483 H483 E485:F485 H485 E497:G499 E500:F508 H500:H508 F176:G176 F178:G184 F295:H298 F299:G301 F118:H135 F138:H146 F136:G137 F577:H579 F573:G576 E580:E583 G580:H583 F584:H591 E634:E635 F620:H633 G634:G635 H634:H644 G641:G644 F658:H661 G676:G683 H669:H674 F669:F674 E665:E668 F662:F664 G662:G673 H662:H664 F684:H702 F707:H707 G703:H706 F442:H444 F420:H421 E596:H599 E609:H610 E744:H751 F793:H807 F742:H743 F752:H761 E600:E605 G600:H605 E237:H245 E247:H247 E215:E221 H221:H227 F221:G221 F931:H940 H941 F941 F942:H943 F944:F947 H944:H947 F1080:F1081 H1080:H1081 F1082:H1082 H1083:H1089 F1083:F1089 F1090:H1090 H1091:H1092 F948:H964 H991:H993 F991:F993 F966:H979 F983:H990 H980:H982 F980:F982 H1011:H1013 H896 G895 G897:G905 F896 H1000:H1006 F1129 H1129 F1014:H1014 F1015:F1024 H1015:H1024 F1011:F1013 H1213:H1216 F1604:H1604 F1213:F1216 F1212:H1212 F1197:F1211 H1197:H1211 H1193 F1192:H1192 F1194:H1196 F1193 F1189:F1191 H1189:H1191 F1185:H1188 H1179:H1184 F1179:F1184 E1714:G1716 E1717:F1717 H1714:H1722 E1718:G1722 F1723:H1724 H1725:H1726 F1725:G1725 E1769:E1770 E1544:H1544 E1639:H1641 E1603:H1603 F1601:H1601 E1599:H1599 E1566:H1566 F1314:H1352 G1353:G1381 E1323:E1352 H1353:H1444 E1353:F1444 E1454:F1466 G1489:H1496 F1490:F1496 F1498:F1515 F1497:H1497 E1605:H1609 F1642:H1695"/>
    <dataValidation allowBlank="1" showInputMessage="1" showErrorMessage="1" promptTitle="PACC" prompt="La cantidad total resultará de la suma de las cantidades requeridas en cada trimestre. " sqref="H545:H546 J888:J897 J913:J927 H559:H562 G727 H543:I543 H550:H551 H555:H557 G467:G473 G475 G483 G485 G500:G508 H299:H301 H529:H540 H136:H137 H573:H576 G636:G640 F600:F605 J930:J951 H553:I553 I544:I552 I13:I542 I554:I1940"/>
    <dataValidation allowBlank="1" showInputMessage="1" showErrorMessage="1" promptTitle="PACC" prompt="Este valor se calculará automáticamente, resultado de la multiplicación de la cantidad total por el precio unitario estimado." sqref="K195:K196 K610:L610 J1833:J1835 L22:L23 K1239:L1239 K953:L957 K228:L279 K1094:L1096 K1936:L1940 K1240:K1248 K569:L595 K305:L345 J1836:K1836 J1924:L1924 K1925:K1930 J1931:K1933 K1583 K1569:K1580 K1581:L1582 K1545:L1568 K1584:L1585 K1587:L1587 K1586 K140:K142 K1934:K1935 K1486:K1497 L66:L68 L888:L897 K1540:K1544 K217:K227 K1816:L1832 L55 K1498:L1539 K1906:K1923 K69:L139 K1803:K1815 K1904 J1741:J1742 K55:K68 K13:L21 K454:K568 K1837:K1902 L27:L45 K22:K53 K143:L194 K346:K389 K280:K304 K611:K648 K390:L453 K596:K609 K649:L726 K197:L216 K727:K952 L913:L951 K958:K1093 L964:L1030 K1097:K1238 K1759:K1797 K1704:L1758 K1588:K1703 K1249:L1485"/>
    <dataValidation allowBlank="1" showInputMessage="1" showErrorMessage="1" promptTitle="PACC" prompt="Digite el precio unitario estimado._x000a_" sqref="J1923 J1930 J1837:J1853 J1934:J1940 J898:J912 J1905:K1905 J1816:J1832 J1892:J1894 J13:J45 J55:J216 J1743:J1807 J228:J887 J952:J1740"/>
    <dataValidation allowBlank="1" showInputMessage="1" showErrorMessage="1" promptTitle="PACC" prompt="Digite la fuente de financiamiento del procedimiento de referencia." sqref="O1834:O1835 O1931:O1933 N1934:N1940 N893:N912 O894 O892 O913:O951 N1837:N1930 N13:N891 N955:N1832"/>
    <dataValidation allowBlank="1" showInputMessage="1" showErrorMessage="1" promptTitle="PACC" prompt="Este valor se calculará sumando los costos totales que posean el mismo Código de Catálogo de Bienes y Servicios." sqref="L24:L26 K1833:K1835 L195:L196 L952:M952 L56:L65 L1240:L1248 L958:L963 M1064 L1583 L1925:L1930 J1925:J1929 L1569:L1580 L1586 L140:L142 L1934:L1935 M892 L898:L912 L1540:L1544 L1486:L1497 L217:L227 J217:J227 K1903 M1034:M1042 J1906:J1922 M911 L1803:L1815 J1808:J1815 J1854:J1891 L46:L53 J46:J53 L346:L389 L280:L304 L611:L648 L596:L609 L727:L887 M913:M951 L1031:L1093 L1097:L1238 L1759:L1797 L1588:L1703 L454:L568 L1837:L1923 J1895:J1904"/>
    <dataValidation allowBlank="1" showInputMessage="1" showErrorMessage="1" promptTitle="PACC" prompt="Digite las observaciones que considere." sqref="O1934:O1940 O895:O912 O893 O13:O53 O1836:O1930 O55:O891 O952:O1833"/>
    <dataValidation allowBlank="1" showInputMessage="1" showErrorMessage="1" promptTitle="PACC" prompt="Digite la unidad de medida._x000a__x000a_" sqref="D893:D912 D933:D947 D1912:D1940 F703:F706 D609:D702 D808:D867 D708:D792 D247:D441 D13:D245 D1803:D1907 D445:D605 D952:D1797"/>
    <dataValidation allowBlank="1" showInputMessage="1" showErrorMessage="1" promptTitle="PACC" prompt="Digite la descripción de la compra o contratación." sqref="C1923:C1940 C1905 C1816:C1853 C1892:C1894 C13:C45 C54:C216 B90 C222:C1807"/>
    <dataValidation type="list" allowBlank="1" showInputMessage="1" showErrorMessage="1" promptTitle="PACC" prompt="Seleccione el procedimiento de selección." sqref="L1833:L1836 L1931:L1933 M1043:M1063 M912 M1934:M1940 M893:M910 N892 M13:M53 N913:N954 M953:M1033 M55:M891 M1065:M1930">
      <formula1>#REF!</formula1>
    </dataValidation>
    <dataValidation type="list" allowBlank="1" showInputMessage="1" showErrorMessage="1" promptTitle="PACC" prompt="Seleccione el Código de Bienes y Servicios._x000a_" sqref="D1798:D1802 K1798:L1802 B1931:B1940 B1007:B1285 B13:B89 B948:B977 B983:B990 B91:B932 B1287:B1923">
      <formula1>#REF!</formula1>
    </dataValidation>
  </dataValidations>
  <pageMargins left="0.11811023622047245" right="0.11811023622047245" top="0.19685039370078741" bottom="0.15748031496062992" header="0.11811023622047245" footer="0.11811023622047245"/>
  <pageSetup paperSize="5" scale="55" orientation="landscape" r:id="rId1"/>
  <drawing r:id="rId2"/>
  <legacyDrawing r:id="rId3"/>
  <tableParts count="1"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N1439"/>
  <sheetViews>
    <sheetView topLeftCell="A16" zoomScale="90" zoomScaleNormal="90" workbookViewId="0">
      <selection activeCell="B26" sqref="B26"/>
    </sheetView>
  </sheetViews>
  <sheetFormatPr baseColWidth="10" defaultColWidth="11.42578125" defaultRowHeight="30.75" customHeight="1"/>
  <cols>
    <col min="1" max="1" width="47.140625" style="400" customWidth="1"/>
    <col min="2" max="2" width="48.42578125" style="400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400" customWidth="1"/>
    <col min="10" max="10" width="22" style="400" customWidth="1"/>
    <col min="11" max="11" width="32.42578125" style="400" customWidth="1"/>
    <col min="12" max="12" width="32.140625" style="400" customWidth="1"/>
    <col min="13" max="13" width="25.85546875" style="400" customWidth="1"/>
    <col min="14" max="14" width="12.5703125" style="37" customWidth="1"/>
    <col min="15" max="16384" width="11.42578125" style="400"/>
  </cols>
  <sheetData>
    <row r="1" spans="1:14" ht="18.75" thickBot="1"/>
    <row r="2" spans="1:14" ht="18">
      <c r="A2" s="7" t="s">
        <v>0</v>
      </c>
      <c r="N2" s="8">
        <v>42332</v>
      </c>
    </row>
    <row r="3" spans="1:14" ht="18">
      <c r="A3" s="554"/>
      <c r="N3" s="9"/>
    </row>
    <row r="4" spans="1:14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14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14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172" customFormat="1" ht="15.75">
      <c r="A7" s="556" t="s">
        <v>1281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14" ht="18.75" thickBot="1"/>
    <row r="9" spans="1:14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14" s="14" customFormat="1" ht="18"/>
    <row r="11" spans="1:14" s="12" customFormat="1" ht="18.75" customHeight="1" thickBot="1"/>
    <row r="12" spans="1:14" s="12" customFormat="1" ht="78">
      <c r="A12" s="2" t="s">
        <v>3</v>
      </c>
      <c r="B12" s="3" t="s">
        <v>4</v>
      </c>
      <c r="C12" s="3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3" t="s">
        <v>10</v>
      </c>
      <c r="I12" s="3" t="s">
        <v>11</v>
      </c>
      <c r="J12" s="3" t="s">
        <v>12</v>
      </c>
      <c r="K12" s="3" t="s">
        <v>442</v>
      </c>
      <c r="L12" s="3" t="s">
        <v>13</v>
      </c>
      <c r="M12" s="3" t="s">
        <v>14</v>
      </c>
      <c r="N12" s="3" t="s">
        <v>305</v>
      </c>
    </row>
    <row r="13" spans="1:14" s="12" customFormat="1" ht="31.5">
      <c r="A13" s="178" t="s">
        <v>16</v>
      </c>
      <c r="B13" s="75" t="s">
        <v>427</v>
      </c>
      <c r="C13" s="39" t="s">
        <v>17</v>
      </c>
      <c r="D13" s="236"/>
      <c r="E13" s="236"/>
      <c r="F13" s="236"/>
      <c r="G13" s="236"/>
      <c r="H13" s="236">
        <f>SUM(Tabla132112413[[#This Row],[PRIMER TRIMESTRE]:[CUARTO TRIMESTRE]])</f>
        <v>0</v>
      </c>
      <c r="I13" s="17">
        <v>4568.04</v>
      </c>
      <c r="J13" s="17">
        <f>+Tabla132112413[[#This Row],[CANTIDAD TOTAL]]*Tabla132112413[[#This Row],[PRECIO UNITARIO ESTIMADO]]</f>
        <v>0</v>
      </c>
      <c r="K13" s="21"/>
      <c r="L13" s="16" t="s">
        <v>18</v>
      </c>
      <c r="M13" s="16" t="s">
        <v>19</v>
      </c>
      <c r="N13" s="39"/>
    </row>
    <row r="14" spans="1:14" s="12" customFormat="1" ht="31.5">
      <c r="A14" s="178" t="s">
        <v>16</v>
      </c>
      <c r="B14" s="75" t="s">
        <v>426</v>
      </c>
      <c r="C14" s="39" t="s">
        <v>17</v>
      </c>
      <c r="D14" s="236"/>
      <c r="E14" s="236"/>
      <c r="F14" s="236"/>
      <c r="G14" s="236"/>
      <c r="H14" s="236">
        <f>SUM(Tabla132112413[[#This Row],[PRIMER TRIMESTRE]:[CUARTO TRIMESTRE]])</f>
        <v>0</v>
      </c>
      <c r="I14" s="17">
        <v>33696</v>
      </c>
      <c r="J14" s="17">
        <f>+Tabla132112413[[#This Row],[CANTIDAD TOTAL]]*Tabla132112413[[#This Row],[PRECIO UNITARIO ESTIMADO]]</f>
        <v>0</v>
      </c>
      <c r="K14" s="17"/>
      <c r="L14" s="16" t="s">
        <v>18</v>
      </c>
      <c r="M14" s="16" t="s">
        <v>19</v>
      </c>
      <c r="N14" s="39"/>
    </row>
    <row r="15" spans="1:14" s="12" customFormat="1" ht="31.5">
      <c r="A15" s="178" t="s">
        <v>16</v>
      </c>
      <c r="B15" s="75" t="s">
        <v>24</v>
      </c>
      <c r="C15" s="39" t="s">
        <v>25</v>
      </c>
      <c r="D15" s="210"/>
      <c r="E15" s="210"/>
      <c r="F15" s="210"/>
      <c r="G15" s="210"/>
      <c r="H15" s="236">
        <f>SUM(Tabla132112413[[#This Row],[PRIMER TRIMESTRE]:[CUARTO TRIMESTRE]])</f>
        <v>0</v>
      </c>
      <c r="I15" s="17">
        <v>3628</v>
      </c>
      <c r="J15" s="17">
        <f>+Tabla132112413[[#This Row],[CANTIDAD TOTAL]]*Tabla132112413[[#This Row],[PRECIO UNITARIO ESTIMADO]]</f>
        <v>0</v>
      </c>
      <c r="K15" s="17"/>
      <c r="L15" s="16" t="s">
        <v>18</v>
      </c>
      <c r="M15" s="16" t="s">
        <v>19</v>
      </c>
      <c r="N15" s="39"/>
    </row>
    <row r="16" spans="1:14" s="12" customFormat="1" ht="31.5">
      <c r="A16" s="178" t="s">
        <v>16</v>
      </c>
      <c r="B16" s="75" t="s">
        <v>1385</v>
      </c>
      <c r="C16" s="39" t="s">
        <v>23</v>
      </c>
      <c r="D16" s="210"/>
      <c r="E16" s="210"/>
      <c r="F16" s="210" t="s">
        <v>2464</v>
      </c>
      <c r="G16" s="210"/>
      <c r="H16" s="236">
        <f>SUM(Tabla132112413[[#This Row],[PRIMER TRIMESTRE]:[CUARTO TRIMESTRE]])</f>
        <v>0</v>
      </c>
      <c r="I16" s="17">
        <v>28440</v>
      </c>
      <c r="J16" s="17">
        <f>+Tabla132112413[[#This Row],[CANTIDAD TOTAL]]*Tabla132112413[[#This Row],[PRECIO UNITARIO ESTIMADO]]</f>
        <v>0</v>
      </c>
      <c r="K16" s="17"/>
      <c r="L16" s="16" t="s">
        <v>15</v>
      </c>
      <c r="M16" s="16" t="s">
        <v>19</v>
      </c>
      <c r="N16" s="39" t="s">
        <v>342</v>
      </c>
    </row>
    <row r="17" spans="1:14" s="12" customFormat="1" ht="31.5">
      <c r="A17" s="178" t="s">
        <v>16</v>
      </c>
      <c r="B17" s="75" t="s">
        <v>29</v>
      </c>
      <c r="C17" s="39" t="s">
        <v>30</v>
      </c>
      <c r="D17" s="236"/>
      <c r="E17" s="236"/>
      <c r="F17" s="236"/>
      <c r="G17" s="236"/>
      <c r="H17" s="236">
        <f>SUM(Tabla132112413[[#This Row],[PRIMER TRIMESTRE]:[CUARTO TRIMESTRE]])</f>
        <v>0</v>
      </c>
      <c r="I17" s="17">
        <v>862.27</v>
      </c>
      <c r="J17" s="17">
        <f>+Tabla132112413[[#This Row],[CANTIDAD TOTAL]]*Tabla132112413[[#This Row],[PRECIO UNITARIO ESTIMADO]]</f>
        <v>0</v>
      </c>
      <c r="K17" s="17"/>
      <c r="L17" s="16" t="s">
        <v>18</v>
      </c>
      <c r="M17" s="16" t="s">
        <v>19</v>
      </c>
      <c r="N17" s="39"/>
    </row>
    <row r="18" spans="1:14" s="12" customFormat="1" ht="31.5">
      <c r="A18" s="178" t="s">
        <v>16</v>
      </c>
      <c r="B18" s="75" t="s">
        <v>1842</v>
      </c>
      <c r="C18" s="39" t="s">
        <v>30</v>
      </c>
      <c r="D18" s="236"/>
      <c r="E18" s="236"/>
      <c r="F18" s="236"/>
      <c r="G18" s="236"/>
      <c r="H18" s="236">
        <f>SUM(Tabla132112413[[#This Row],[PRIMER TRIMESTRE]:[CUARTO TRIMESTRE]])</f>
        <v>0</v>
      </c>
      <c r="I18" s="17">
        <v>24.68</v>
      </c>
      <c r="J18" s="17">
        <f>+H18*I18</f>
        <v>0</v>
      </c>
      <c r="K18" s="17"/>
      <c r="L18" s="16" t="s">
        <v>18</v>
      </c>
      <c r="M18" s="16" t="s">
        <v>19</v>
      </c>
      <c r="N18" s="39"/>
    </row>
    <row r="19" spans="1:14" s="169" customFormat="1" ht="31.5">
      <c r="A19" s="178" t="s">
        <v>16</v>
      </c>
      <c r="B19" s="75" t="s">
        <v>1843</v>
      </c>
      <c r="C19" s="39" t="s">
        <v>17</v>
      </c>
      <c r="D19" s="236"/>
      <c r="E19" s="236"/>
      <c r="F19" s="236"/>
      <c r="G19" s="236"/>
      <c r="H19" s="236">
        <f>SUM(Tabla132112413[[#This Row],[PRIMER TRIMESTRE]:[CUARTO TRIMESTRE]])</f>
        <v>0</v>
      </c>
      <c r="I19" s="17">
        <v>15000</v>
      </c>
      <c r="J19" s="17">
        <f>+H19*I19</f>
        <v>0</v>
      </c>
      <c r="K19" s="17"/>
      <c r="L19" s="16" t="s">
        <v>27</v>
      </c>
      <c r="M19" s="16" t="s">
        <v>19</v>
      </c>
      <c r="N19" s="39"/>
    </row>
    <row r="20" spans="1:14" s="169" customFormat="1" ht="18">
      <c r="A20" s="179" t="s">
        <v>16</v>
      </c>
      <c r="B20" s="405" t="s">
        <v>443</v>
      </c>
      <c r="C20" s="42"/>
      <c r="D20" s="237"/>
      <c r="E20" s="237"/>
      <c r="F20" s="237"/>
      <c r="G20" s="237"/>
      <c r="H20" s="43"/>
      <c r="I20" s="24"/>
      <c r="J20" s="24"/>
      <c r="K20" s="25">
        <f>SUM(J13:J19)</f>
        <v>0</v>
      </c>
      <c r="L20" s="23"/>
      <c r="M20" s="23"/>
      <c r="N20" s="42"/>
    </row>
    <row r="21" spans="1:14" s="169" customFormat="1" ht="30">
      <c r="A21" s="180" t="s">
        <v>34</v>
      </c>
      <c r="B21" s="77" t="s">
        <v>717</v>
      </c>
      <c r="C21" s="70" t="s">
        <v>35</v>
      </c>
      <c r="D21" s="210"/>
      <c r="E21" s="210"/>
      <c r="F21" s="210"/>
      <c r="G21" s="210"/>
      <c r="H21" s="406">
        <f>SUM(Tabla132112413[[#This Row],[PRIMER TRIMESTRE]:[CUARTO TRIMESTRE]])</f>
        <v>0</v>
      </c>
      <c r="I21" s="72">
        <v>31896.55</v>
      </c>
      <c r="J21" s="72">
        <f>+Tabla132112413[[#This Row],[CANTIDAD TOTAL]]*Tabla132112413[[#This Row],[PRECIO UNITARIO ESTIMADO]]</f>
        <v>0</v>
      </c>
      <c r="K21" s="72"/>
      <c r="L21" s="77" t="s">
        <v>27</v>
      </c>
      <c r="M21" s="73" t="s">
        <v>22</v>
      </c>
      <c r="N21" s="70" t="s">
        <v>418</v>
      </c>
    </row>
    <row r="22" spans="1:14" s="169" customFormat="1" ht="30">
      <c r="A22" s="180" t="s">
        <v>34</v>
      </c>
      <c r="B22" s="77" t="s">
        <v>714</v>
      </c>
      <c r="C22" s="70" t="s">
        <v>35</v>
      </c>
      <c r="D22" s="210"/>
      <c r="E22" s="210"/>
      <c r="F22" s="210"/>
      <c r="G22" s="210"/>
      <c r="H22" s="406">
        <f>SUM(Tabla132112413[[#This Row],[PRIMER TRIMESTRE]:[CUARTO TRIMESTRE]])</f>
        <v>0</v>
      </c>
      <c r="I22" s="72">
        <v>28017.24</v>
      </c>
      <c r="J22" s="72">
        <f>+H22*I22</f>
        <v>0</v>
      </c>
      <c r="K22" s="171"/>
      <c r="L22" s="77" t="s">
        <v>27</v>
      </c>
      <c r="M22" s="73" t="s">
        <v>22</v>
      </c>
      <c r="N22" s="70" t="s">
        <v>418</v>
      </c>
    </row>
    <row r="23" spans="1:14" s="169" customFormat="1" ht="30">
      <c r="A23" s="180" t="s">
        <v>34</v>
      </c>
      <c r="B23" s="77" t="s">
        <v>715</v>
      </c>
      <c r="C23" s="70" t="s">
        <v>35</v>
      </c>
      <c r="D23" s="210"/>
      <c r="E23" s="210"/>
      <c r="F23" s="210"/>
      <c r="G23" s="210"/>
      <c r="H23" s="406">
        <f>SUM(Tabla132112413[[#This Row],[PRIMER TRIMESTRE]:[CUARTO TRIMESTRE]])</f>
        <v>0</v>
      </c>
      <c r="I23" s="72">
        <v>23612</v>
      </c>
      <c r="J23" s="72">
        <f>+H23*I23</f>
        <v>0</v>
      </c>
      <c r="K23" s="72"/>
      <c r="L23" s="77" t="s">
        <v>27</v>
      </c>
      <c r="M23" s="73" t="s">
        <v>22</v>
      </c>
      <c r="N23" s="70" t="s">
        <v>418</v>
      </c>
    </row>
    <row r="24" spans="1:14" s="169" customFormat="1" ht="30">
      <c r="A24" s="180" t="s">
        <v>34</v>
      </c>
      <c r="B24" s="77" t="s">
        <v>716</v>
      </c>
      <c r="C24" s="70" t="s">
        <v>35</v>
      </c>
      <c r="D24" s="210"/>
      <c r="E24" s="210"/>
      <c r="F24" s="210"/>
      <c r="G24" s="210"/>
      <c r="H24" s="406">
        <f>SUM(Tabla132112413[[#This Row],[PRIMER TRIMESTRE]:[CUARTO TRIMESTRE]])</f>
        <v>0</v>
      </c>
      <c r="I24" s="72">
        <v>23112.13</v>
      </c>
      <c r="J24" s="72">
        <f>+H24*I24</f>
        <v>0</v>
      </c>
      <c r="K24" s="72"/>
      <c r="L24" s="77" t="s">
        <v>27</v>
      </c>
      <c r="M24" s="73" t="s">
        <v>22</v>
      </c>
      <c r="N24" s="70" t="s">
        <v>418</v>
      </c>
    </row>
    <row r="25" spans="1:14" s="169" customFormat="1" ht="30">
      <c r="A25" s="180" t="s">
        <v>34</v>
      </c>
      <c r="B25" s="77" t="s">
        <v>787</v>
      </c>
      <c r="C25" s="70" t="s">
        <v>35</v>
      </c>
      <c r="D25" s="210"/>
      <c r="E25" s="210"/>
      <c r="F25" s="210"/>
      <c r="G25" s="210"/>
      <c r="H25" s="406">
        <f>SUM(Tabla132112413[[#This Row],[PRIMER TRIMESTRE]:[CUARTO TRIMESTRE]])</f>
        <v>0</v>
      </c>
      <c r="I25" s="72">
        <v>24630.67</v>
      </c>
      <c r="J25" s="72">
        <f>+Tabla132112413[[#This Row],[CANTIDAD TOTAL]]*Tabla132112413[[#This Row],[PRECIO UNITARIO ESTIMADO]]</f>
        <v>0</v>
      </c>
      <c r="K25" s="72"/>
      <c r="L25" s="77" t="s">
        <v>27</v>
      </c>
      <c r="M25" s="73" t="s">
        <v>22</v>
      </c>
      <c r="N25" s="70" t="s">
        <v>418</v>
      </c>
    </row>
    <row r="26" spans="1:14" s="169" customFormat="1" ht="30">
      <c r="A26" s="180" t="s">
        <v>34</v>
      </c>
      <c r="B26" s="77" t="s">
        <v>786</v>
      </c>
      <c r="C26" s="70" t="s">
        <v>35</v>
      </c>
      <c r="D26" s="210"/>
      <c r="E26" s="210"/>
      <c r="F26" s="210"/>
      <c r="G26" s="210"/>
      <c r="H26" s="406">
        <f>SUM(Tabla132112413[[#This Row],[PRIMER TRIMESTRE]:[CUARTO TRIMESTRE]])</f>
        <v>0</v>
      </c>
      <c r="I26" s="72">
        <f>+I25*1.05</f>
        <v>25862.2035</v>
      </c>
      <c r="J26" s="72">
        <f>+H26*I26</f>
        <v>0</v>
      </c>
      <c r="K26" s="72"/>
      <c r="L26" s="77" t="s">
        <v>27</v>
      </c>
      <c r="M26" s="73" t="s">
        <v>22</v>
      </c>
      <c r="N26" s="70" t="s">
        <v>418</v>
      </c>
    </row>
    <row r="27" spans="1:14" s="26" customFormat="1" ht="30">
      <c r="A27" s="180" t="s">
        <v>34</v>
      </c>
      <c r="B27" s="77" t="s">
        <v>720</v>
      </c>
      <c r="C27" s="70" t="s">
        <v>721</v>
      </c>
      <c r="D27" s="210"/>
      <c r="E27" s="210"/>
      <c r="F27" s="210"/>
      <c r="G27" s="210"/>
      <c r="H27" s="406">
        <f>SUM(Tabla132112413[[#This Row],[PRIMER TRIMESTRE]:[CUARTO TRIMESTRE]])</f>
        <v>0</v>
      </c>
      <c r="I27" s="72">
        <v>3700</v>
      </c>
      <c r="J27" s="72">
        <f>+Tabla132112413[[#This Row],[CANTIDAD TOTAL]]*Tabla132112413[[#This Row],[PRECIO UNITARIO ESTIMADO]]</f>
        <v>0</v>
      </c>
      <c r="K27" s="72"/>
      <c r="L27" s="77" t="s">
        <v>27</v>
      </c>
      <c r="M27" s="73" t="s">
        <v>22</v>
      </c>
      <c r="N27" s="70" t="s">
        <v>418</v>
      </c>
    </row>
    <row r="28" spans="1:14" s="169" customFormat="1" ht="30">
      <c r="A28" s="180" t="s">
        <v>34</v>
      </c>
      <c r="B28" s="77" t="s">
        <v>719</v>
      </c>
      <c r="C28" s="70" t="s">
        <v>718</v>
      </c>
      <c r="D28" s="210">
        <v>1</v>
      </c>
      <c r="E28" s="210"/>
      <c r="F28" s="210"/>
      <c r="G28" s="210"/>
      <c r="H28" s="406">
        <f>SUM(Tabla132112413[[#This Row],[PRIMER TRIMESTRE]:[CUARTO TRIMESTRE]])</f>
        <v>1</v>
      </c>
      <c r="I28" s="72">
        <v>800</v>
      </c>
      <c r="J28" s="72">
        <f>+Tabla132112413[[#This Row],[CANTIDAD TOTAL]]*Tabla132112413[[#This Row],[PRECIO UNITARIO ESTIMADO]]</f>
        <v>800</v>
      </c>
      <c r="K28" s="72"/>
      <c r="L28" s="77" t="s">
        <v>27</v>
      </c>
      <c r="M28" s="73" t="s">
        <v>22</v>
      </c>
      <c r="N28" s="70" t="s">
        <v>418</v>
      </c>
    </row>
    <row r="29" spans="1:14" s="169" customFormat="1" ht="31.5">
      <c r="A29" s="179" t="s">
        <v>34</v>
      </c>
      <c r="B29" s="76" t="s">
        <v>444</v>
      </c>
      <c r="C29" s="42"/>
      <c r="D29" s="237"/>
      <c r="E29" s="237"/>
      <c r="F29" s="237"/>
      <c r="G29" s="237"/>
      <c r="H29" s="43"/>
      <c r="I29" s="24"/>
      <c r="J29" s="24"/>
      <c r="K29" s="25">
        <f>SUBTOTAL(109,J21:J28)</f>
        <v>800</v>
      </c>
      <c r="L29" s="23"/>
      <c r="M29" s="23"/>
      <c r="N29" s="42"/>
    </row>
    <row r="30" spans="1:14" s="26" customFormat="1" ht="31.5">
      <c r="A30" s="180" t="s">
        <v>1288</v>
      </c>
      <c r="B30" s="77" t="s">
        <v>1290</v>
      </c>
      <c r="C30" s="70" t="s">
        <v>33</v>
      </c>
      <c r="D30" s="210"/>
      <c r="E30" s="210"/>
      <c r="F30" s="210"/>
      <c r="G30" s="210"/>
      <c r="H30" s="406">
        <f>SUM(Tabla132112413[[#This Row],[PRIMER TRIMESTRE]:[CUARTO TRIMESTRE]])</f>
        <v>0</v>
      </c>
      <c r="I30" s="72">
        <v>144.9</v>
      </c>
      <c r="J30" s="72">
        <f>+H30*I30</f>
        <v>0</v>
      </c>
      <c r="K30" s="72"/>
      <c r="L30" s="16" t="s">
        <v>18</v>
      </c>
      <c r="M30" s="73" t="s">
        <v>19</v>
      </c>
      <c r="N30" s="70"/>
    </row>
    <row r="31" spans="1:14" s="12" customFormat="1" ht="31.5">
      <c r="A31" s="180" t="s">
        <v>1288</v>
      </c>
      <c r="B31" s="77" t="s">
        <v>1289</v>
      </c>
      <c r="C31" s="70" t="s">
        <v>33</v>
      </c>
      <c r="D31" s="210"/>
      <c r="E31" s="210"/>
      <c r="F31" s="210"/>
      <c r="G31" s="210"/>
      <c r="H31" s="406">
        <f>SUM(Tabla132112413[[#This Row],[PRIMER TRIMESTRE]:[CUARTO TRIMESTRE]])</f>
        <v>0</v>
      </c>
      <c r="I31" s="72">
        <v>144.9</v>
      </c>
      <c r="J31" s="72">
        <f>+H31*I31</f>
        <v>0</v>
      </c>
      <c r="K31" s="72"/>
      <c r="L31" s="16" t="s">
        <v>18</v>
      </c>
      <c r="M31" s="73" t="s">
        <v>19</v>
      </c>
      <c r="N31" s="70"/>
    </row>
    <row r="32" spans="1:14" s="12" customFormat="1" ht="18">
      <c r="A32" s="179" t="s">
        <v>1288</v>
      </c>
      <c r="B32" s="76"/>
      <c r="C32" s="42"/>
      <c r="D32" s="237"/>
      <c r="E32" s="237"/>
      <c r="F32" s="237"/>
      <c r="G32" s="237"/>
      <c r="H32" s="43"/>
      <c r="I32" s="24"/>
      <c r="J32" s="24"/>
      <c r="K32" s="25">
        <f>SUBTOTAL(109,J30:J31)</f>
        <v>0</v>
      </c>
      <c r="L32" s="23"/>
      <c r="M32" s="23"/>
      <c r="N32" s="42"/>
    </row>
    <row r="33" spans="1:14" s="26" customFormat="1" ht="30">
      <c r="A33" s="180" t="s">
        <v>41</v>
      </c>
      <c r="B33" s="77" t="s">
        <v>42</v>
      </c>
      <c r="C33" s="70" t="s">
        <v>17</v>
      </c>
      <c r="D33" s="210"/>
      <c r="E33" s="210"/>
      <c r="F33" s="210"/>
      <c r="G33" s="210"/>
      <c r="H33" s="40">
        <f>SUM(Tabla132112413[[#This Row],[PRIMER TRIMESTRE]:[CUARTO TRIMESTRE]])</f>
        <v>0</v>
      </c>
      <c r="I33" s="17">
        <v>26999</v>
      </c>
      <c r="J33" s="17">
        <f>+Tabla132112413[[#This Row],[CANTIDAD TOTAL]]*Tabla132112413[[#This Row],[PRECIO UNITARIO ESTIMADO]]</f>
        <v>0</v>
      </c>
      <c r="K33" s="17"/>
      <c r="L33" s="16" t="s">
        <v>15</v>
      </c>
      <c r="M33" s="16" t="s">
        <v>22</v>
      </c>
      <c r="N33" s="39" t="s">
        <v>418</v>
      </c>
    </row>
    <row r="34" spans="1:14" s="55" customFormat="1" ht="30">
      <c r="A34" s="180" t="s">
        <v>41</v>
      </c>
      <c r="B34" s="77" t="s">
        <v>44</v>
      </c>
      <c r="C34" s="70" t="s">
        <v>17</v>
      </c>
      <c r="D34" s="210"/>
      <c r="E34" s="210"/>
      <c r="F34" s="210"/>
      <c r="G34" s="210"/>
      <c r="H34" s="40">
        <f>SUM(Tabla132112413[[#This Row],[PRIMER TRIMESTRE]:[CUARTO TRIMESTRE]])</f>
        <v>0</v>
      </c>
      <c r="I34" s="17">
        <v>90854.41</v>
      </c>
      <c r="J34" s="17">
        <f>+Tabla132112413[[#This Row],[CANTIDAD TOTAL]]*Tabla132112413[[#This Row],[PRECIO UNITARIO ESTIMADO]]</f>
        <v>0</v>
      </c>
      <c r="K34" s="17"/>
      <c r="L34" s="16" t="s">
        <v>15</v>
      </c>
      <c r="M34" s="16" t="s">
        <v>22</v>
      </c>
      <c r="N34" s="39" t="s">
        <v>418</v>
      </c>
    </row>
    <row r="35" spans="1:14" s="55" customFormat="1" ht="31.5">
      <c r="A35" s="179" t="s">
        <v>41</v>
      </c>
      <c r="B35" s="76"/>
      <c r="C35" s="42"/>
      <c r="D35" s="237"/>
      <c r="E35" s="237"/>
      <c r="F35" s="237"/>
      <c r="G35" s="237"/>
      <c r="H35" s="43"/>
      <c r="I35" s="24"/>
      <c r="J35" s="24"/>
      <c r="K35" s="25">
        <f>SUBTOTAL(109,J33:J34)</f>
        <v>0</v>
      </c>
      <c r="L35" s="23"/>
      <c r="M35" s="23"/>
      <c r="N35" s="42"/>
    </row>
    <row r="36" spans="1:14" s="55" customFormat="1" ht="30">
      <c r="A36" s="178" t="s">
        <v>1386</v>
      </c>
      <c r="B36" s="75" t="s">
        <v>1387</v>
      </c>
      <c r="C36" s="53" t="s">
        <v>1388</v>
      </c>
      <c r="D36" s="241"/>
      <c r="E36" s="241"/>
      <c r="F36" s="241"/>
      <c r="G36" s="241"/>
      <c r="H36" s="244">
        <f>SUM(Tabla132112413[[#This Row],[PRIMER TRIMESTRE]:[CUARTO TRIMESTRE]])</f>
        <v>0</v>
      </c>
      <c r="I36" s="245">
        <v>2500</v>
      </c>
      <c r="J36" s="245">
        <f>+H36*I36</f>
        <v>0</v>
      </c>
      <c r="K36" s="50"/>
      <c r="L36" s="77" t="s">
        <v>27</v>
      </c>
      <c r="M36" s="77" t="s">
        <v>22</v>
      </c>
      <c r="N36" s="53"/>
    </row>
    <row r="37" spans="1:14" s="55" customFormat="1" ht="31.5">
      <c r="A37" s="16" t="s">
        <v>1386</v>
      </c>
      <c r="B37" s="75" t="s">
        <v>1551</v>
      </c>
      <c r="C37" s="176" t="s">
        <v>35</v>
      </c>
      <c r="D37" s="244"/>
      <c r="E37" s="244"/>
      <c r="F37" s="244"/>
      <c r="G37" s="244"/>
      <c r="H37" s="244">
        <f>SUM(Tabla132112413[[#This Row],[PRIMER TRIMESTRE]:[CUARTO TRIMESTRE]])</f>
        <v>0</v>
      </c>
      <c r="I37" s="245">
        <v>29000</v>
      </c>
      <c r="J37" s="245">
        <f>+H37*I37</f>
        <v>0</v>
      </c>
      <c r="K37" s="17"/>
      <c r="L37" s="16" t="s">
        <v>15</v>
      </c>
      <c r="M37" s="16" t="s">
        <v>22</v>
      </c>
      <c r="N37" s="39" t="s">
        <v>418</v>
      </c>
    </row>
    <row r="38" spans="1:14" s="55" customFormat="1" ht="31.5">
      <c r="A38" s="16" t="s">
        <v>1386</v>
      </c>
      <c r="B38" s="75" t="s">
        <v>1844</v>
      </c>
      <c r="C38" s="53" t="s">
        <v>17</v>
      </c>
      <c r="D38" s="299"/>
      <c r="E38" s="299"/>
      <c r="F38" s="299"/>
      <c r="G38" s="299"/>
      <c r="H38" s="244"/>
      <c r="I38" s="248">
        <v>4000000</v>
      </c>
      <c r="J38" s="245">
        <f>+H38*I38</f>
        <v>0</v>
      </c>
      <c r="K38" s="17"/>
      <c r="L38" s="16" t="s">
        <v>18</v>
      </c>
      <c r="M38" s="16" t="s">
        <v>22</v>
      </c>
      <c r="N38" s="39"/>
    </row>
    <row r="39" spans="1:14" s="55" customFormat="1" ht="30">
      <c r="A39" s="178" t="s">
        <v>1386</v>
      </c>
      <c r="B39" s="75" t="s">
        <v>1699</v>
      </c>
      <c r="C39" s="53" t="s">
        <v>17</v>
      </c>
      <c r="D39" s="299"/>
      <c r="E39" s="299"/>
      <c r="F39" s="299"/>
      <c r="G39" s="299"/>
      <c r="H39" s="46">
        <v>0</v>
      </c>
      <c r="I39" s="248">
        <v>0</v>
      </c>
      <c r="J39" s="248">
        <v>0</v>
      </c>
      <c r="K39" s="17"/>
      <c r="L39" s="16" t="s">
        <v>18</v>
      </c>
      <c r="M39" s="16" t="s">
        <v>22</v>
      </c>
      <c r="N39" s="39"/>
    </row>
    <row r="40" spans="1:14" s="26" customFormat="1" ht="30">
      <c r="A40" s="178" t="s">
        <v>1386</v>
      </c>
      <c r="B40" s="75" t="s">
        <v>1701</v>
      </c>
      <c r="C40" s="53" t="s">
        <v>17</v>
      </c>
      <c r="D40" s="299"/>
      <c r="E40" s="299"/>
      <c r="F40" s="299"/>
      <c r="G40" s="299"/>
      <c r="H40" s="46">
        <v>0</v>
      </c>
      <c r="I40" s="248">
        <v>0</v>
      </c>
      <c r="J40" s="248">
        <v>0</v>
      </c>
      <c r="K40" s="17"/>
      <c r="L40" s="16" t="s">
        <v>18</v>
      </c>
      <c r="M40" s="77" t="s">
        <v>22</v>
      </c>
      <c r="N40" s="39"/>
    </row>
    <row r="41" spans="1:14" s="26" customFormat="1" ht="30">
      <c r="A41" s="178" t="s">
        <v>1386</v>
      </c>
      <c r="B41" s="75" t="s">
        <v>1764</v>
      </c>
      <c r="C41" s="53" t="s">
        <v>17</v>
      </c>
      <c r="D41" s="299"/>
      <c r="E41" s="299"/>
      <c r="F41" s="299"/>
      <c r="G41" s="299"/>
      <c r="H41" s="46">
        <v>0</v>
      </c>
      <c r="I41" s="248">
        <v>0</v>
      </c>
      <c r="J41" s="248">
        <v>0</v>
      </c>
      <c r="K41" s="17"/>
      <c r="L41" s="77" t="s">
        <v>27</v>
      </c>
      <c r="M41" s="77" t="s">
        <v>22</v>
      </c>
      <c r="N41" s="39"/>
    </row>
    <row r="42" spans="1:14" s="111" customFormat="1" ht="30">
      <c r="A42" s="178" t="s">
        <v>1386</v>
      </c>
      <c r="B42" s="75" t="s">
        <v>1389</v>
      </c>
      <c r="C42" s="53" t="s">
        <v>1390</v>
      </c>
      <c r="D42" s="241"/>
      <c r="E42" s="241"/>
      <c r="F42" s="241"/>
      <c r="G42" s="241"/>
      <c r="H42" s="244">
        <f>SUM(Tabla132112413[[#This Row],[PRIMER TRIMESTRE]:[CUARTO TRIMESTRE]])</f>
        <v>0</v>
      </c>
      <c r="I42" s="245">
        <v>277</v>
      </c>
      <c r="J42" s="245">
        <f>+H42*I42</f>
        <v>0</v>
      </c>
      <c r="K42" s="50"/>
      <c r="L42" s="77" t="s">
        <v>27</v>
      </c>
      <c r="M42" s="77" t="s">
        <v>22</v>
      </c>
      <c r="N42" s="53"/>
    </row>
    <row r="43" spans="1:14" s="111" customFormat="1" ht="31.5">
      <c r="A43" s="179" t="s">
        <v>1386</v>
      </c>
      <c r="B43" s="76"/>
      <c r="C43" s="42"/>
      <c r="D43" s="237"/>
      <c r="E43" s="237"/>
      <c r="F43" s="237"/>
      <c r="G43" s="237"/>
      <c r="H43" s="43"/>
      <c r="I43" s="24"/>
      <c r="J43" s="24"/>
      <c r="K43" s="25">
        <f>SUM(J36:J42)</f>
        <v>0</v>
      </c>
      <c r="L43" s="23"/>
      <c r="M43" s="23"/>
      <c r="N43" s="42"/>
    </row>
    <row r="44" spans="1:14" s="111" customFormat="1" ht="18">
      <c r="A44" s="180" t="s">
        <v>1672</v>
      </c>
      <c r="B44" s="77" t="s">
        <v>1845</v>
      </c>
      <c r="C44" s="244" t="s">
        <v>17</v>
      </c>
      <c r="D44" s="244"/>
      <c r="E44" s="244"/>
      <c r="F44" s="244"/>
      <c r="G44" s="244"/>
      <c r="H44" s="244">
        <v>0</v>
      </c>
      <c r="I44" s="244">
        <v>0</v>
      </c>
      <c r="J44" s="244">
        <v>0</v>
      </c>
      <c r="K44" s="244"/>
      <c r="L44" s="244" t="s">
        <v>1663</v>
      </c>
      <c r="M44" s="16" t="s">
        <v>22</v>
      </c>
      <c r="N44" s="244"/>
    </row>
    <row r="45" spans="1:14" s="111" customFormat="1" ht="25.5" customHeight="1">
      <c r="A45" s="180" t="s">
        <v>46</v>
      </c>
      <c r="B45" s="77" t="s">
        <v>1391</v>
      </c>
      <c r="C45" s="244" t="s">
        <v>17</v>
      </c>
      <c r="D45" s="244">
        <v>2</v>
      </c>
      <c r="E45" s="244"/>
      <c r="F45" s="244"/>
      <c r="G45" s="244"/>
      <c r="H45" s="244">
        <f>SUM(Tabla132112413[[#This Row],[PRIMER TRIMESTRE]:[CUARTO TRIMESTRE]])</f>
        <v>2</v>
      </c>
      <c r="I45" s="246">
        <v>1136476.48</v>
      </c>
      <c r="J45" s="246">
        <f t="shared" ref="J45:J76" si="0">+H45*I45</f>
        <v>2272952.96</v>
      </c>
      <c r="K45" s="77"/>
      <c r="L45" s="16" t="s">
        <v>18</v>
      </c>
      <c r="M45" s="16" t="s">
        <v>22</v>
      </c>
      <c r="N45" s="77"/>
    </row>
    <row r="46" spans="1:14" s="111" customFormat="1" ht="18">
      <c r="A46" s="180" t="s">
        <v>46</v>
      </c>
      <c r="B46" s="77" t="s">
        <v>1392</v>
      </c>
      <c r="C46" s="177" t="s">
        <v>17</v>
      </c>
      <c r="D46" s="177"/>
      <c r="E46" s="177"/>
      <c r="F46" s="177"/>
      <c r="G46" s="177"/>
      <c r="H46" s="177">
        <f>SUM(Tabla132112413[[#This Row],[PRIMER TRIMESTRE]:[CUARTO TRIMESTRE]])</f>
        <v>0</v>
      </c>
      <c r="I46" s="246">
        <v>2600000</v>
      </c>
      <c r="J46" s="246">
        <f t="shared" si="0"/>
        <v>0</v>
      </c>
      <c r="K46" s="77"/>
      <c r="L46" s="16" t="s">
        <v>18</v>
      </c>
      <c r="M46" s="16" t="s">
        <v>22</v>
      </c>
      <c r="N46" s="77"/>
    </row>
    <row r="47" spans="1:14" s="111" customFormat="1" ht="18">
      <c r="A47" s="180" t="s">
        <v>1666</v>
      </c>
      <c r="B47" s="77" t="s">
        <v>1669</v>
      </c>
      <c r="C47" s="177" t="s">
        <v>17</v>
      </c>
      <c r="D47" s="210"/>
      <c r="E47" s="210"/>
      <c r="F47" s="210"/>
      <c r="G47" s="210"/>
      <c r="H47" s="406">
        <v>0</v>
      </c>
      <c r="I47" s="247">
        <v>0</v>
      </c>
      <c r="J47" s="247">
        <v>0</v>
      </c>
      <c r="K47" s="72"/>
      <c r="L47" s="16" t="s">
        <v>18</v>
      </c>
      <c r="M47" s="16" t="s">
        <v>22</v>
      </c>
      <c r="N47" s="70"/>
    </row>
    <row r="48" spans="1:14" s="111" customFormat="1" ht="18">
      <c r="A48" s="180" t="s">
        <v>1667</v>
      </c>
      <c r="B48" s="77" t="s">
        <v>1670</v>
      </c>
      <c r="C48" s="177" t="s">
        <v>17</v>
      </c>
      <c r="D48" s="210"/>
      <c r="E48" s="210"/>
      <c r="F48" s="210"/>
      <c r="G48" s="210"/>
      <c r="H48" s="406">
        <v>0</v>
      </c>
      <c r="I48" s="247">
        <v>0</v>
      </c>
      <c r="J48" s="247">
        <v>0</v>
      </c>
      <c r="K48" s="72"/>
      <c r="L48" s="16" t="s">
        <v>18</v>
      </c>
      <c r="M48" s="16" t="s">
        <v>22</v>
      </c>
      <c r="N48" s="70"/>
    </row>
    <row r="49" spans="1:14" s="111" customFormat="1" ht="18">
      <c r="A49" s="180" t="s">
        <v>1668</v>
      </c>
      <c r="B49" s="77" t="s">
        <v>1846</v>
      </c>
      <c r="C49" s="177" t="s">
        <v>17</v>
      </c>
      <c r="D49" s="210"/>
      <c r="E49" s="210"/>
      <c r="F49" s="210"/>
      <c r="G49" s="210"/>
      <c r="H49" s="406">
        <v>0</v>
      </c>
      <c r="I49" s="247">
        <v>0</v>
      </c>
      <c r="J49" s="247">
        <v>0</v>
      </c>
      <c r="K49" s="72"/>
      <c r="L49" s="16" t="s">
        <v>18</v>
      </c>
      <c r="M49" s="16" t="s">
        <v>22</v>
      </c>
      <c r="N49" s="70"/>
    </row>
    <row r="50" spans="1:14" s="111" customFormat="1" ht="18">
      <c r="A50" s="180" t="s">
        <v>1668</v>
      </c>
      <c r="B50" s="77" t="s">
        <v>1847</v>
      </c>
      <c r="C50" s="177" t="s">
        <v>17</v>
      </c>
      <c r="D50" s="210"/>
      <c r="E50" s="210"/>
      <c r="F50" s="210"/>
      <c r="G50" s="210"/>
      <c r="H50" s="406">
        <v>0</v>
      </c>
      <c r="I50" s="247">
        <v>0</v>
      </c>
      <c r="J50" s="247">
        <v>0</v>
      </c>
      <c r="K50" s="72"/>
      <c r="L50" s="16" t="s">
        <v>18</v>
      </c>
      <c r="M50" s="16" t="s">
        <v>22</v>
      </c>
      <c r="N50" s="70"/>
    </row>
    <row r="51" spans="1:14" s="111" customFormat="1" ht="25.5">
      <c r="A51" s="180" t="s">
        <v>46</v>
      </c>
      <c r="B51" s="77" t="s">
        <v>1693</v>
      </c>
      <c r="C51" s="70" t="s">
        <v>17</v>
      </c>
      <c r="D51" s="210"/>
      <c r="E51" s="210"/>
      <c r="F51" s="210"/>
      <c r="G51" s="210"/>
      <c r="H51" s="406">
        <v>0</v>
      </c>
      <c r="I51" s="247">
        <v>0</v>
      </c>
      <c r="J51" s="247">
        <v>0</v>
      </c>
      <c r="K51" s="72"/>
      <c r="L51" s="16" t="s">
        <v>18</v>
      </c>
      <c r="M51" s="16" t="s">
        <v>22</v>
      </c>
      <c r="N51" s="70"/>
    </row>
    <row r="52" spans="1:14" s="111" customFormat="1" ht="25.5">
      <c r="A52" s="180" t="s">
        <v>46</v>
      </c>
      <c r="B52" s="77" t="s">
        <v>1694</v>
      </c>
      <c r="C52" s="177" t="s">
        <v>17</v>
      </c>
      <c r="D52" s="210"/>
      <c r="E52" s="210"/>
      <c r="F52" s="210"/>
      <c r="G52" s="210"/>
      <c r="H52" s="406">
        <v>0</v>
      </c>
      <c r="I52" s="247">
        <v>0</v>
      </c>
      <c r="J52" s="247">
        <v>0</v>
      </c>
      <c r="K52" s="72"/>
      <c r="L52" s="16" t="s">
        <v>18</v>
      </c>
      <c r="M52" s="16" t="s">
        <v>22</v>
      </c>
      <c r="N52" s="70"/>
    </row>
    <row r="53" spans="1:14" s="111" customFormat="1" ht="18">
      <c r="A53" s="180" t="s">
        <v>46</v>
      </c>
      <c r="B53" s="77" t="s">
        <v>1393</v>
      </c>
      <c r="C53" s="177" t="s">
        <v>17</v>
      </c>
      <c r="D53" s="77"/>
      <c r="E53" s="177"/>
      <c r="F53" s="177"/>
      <c r="G53" s="177"/>
      <c r="H53" s="177">
        <f>SUM(Tabla132112413[[#This Row],[PRIMER TRIMESTRE]:[CUARTO TRIMESTRE]])</f>
        <v>0</v>
      </c>
      <c r="I53" s="246">
        <v>1800000</v>
      </c>
      <c r="J53" s="246">
        <f t="shared" si="0"/>
        <v>0</v>
      </c>
      <c r="K53" s="77"/>
      <c r="L53" s="16" t="s">
        <v>18</v>
      </c>
      <c r="M53" s="16" t="s">
        <v>22</v>
      </c>
      <c r="N53" s="77"/>
    </row>
    <row r="54" spans="1:14" s="111" customFormat="1" ht="18">
      <c r="A54" s="180" t="s">
        <v>46</v>
      </c>
      <c r="B54" s="77" t="s">
        <v>1394</v>
      </c>
      <c r="C54" s="177" t="s">
        <v>17</v>
      </c>
      <c r="D54" s="77"/>
      <c r="E54" s="177"/>
      <c r="F54" s="177"/>
      <c r="G54" s="177"/>
      <c r="H54" s="177">
        <f>SUM(Tabla132112413[[#This Row],[PRIMER TRIMESTRE]:[CUARTO TRIMESTRE]])</f>
        <v>0</v>
      </c>
      <c r="I54" s="246">
        <v>1800000</v>
      </c>
      <c r="J54" s="246">
        <f t="shared" si="0"/>
        <v>0</v>
      </c>
      <c r="K54" s="77"/>
      <c r="L54" s="16" t="s">
        <v>18</v>
      </c>
      <c r="M54" s="16" t="s">
        <v>22</v>
      </c>
      <c r="N54" s="77"/>
    </row>
    <row r="55" spans="1:14" s="111" customFormat="1" ht="18">
      <c r="A55" s="180" t="s">
        <v>46</v>
      </c>
      <c r="B55" s="77" t="s">
        <v>1395</v>
      </c>
      <c r="C55" s="177" t="s">
        <v>17</v>
      </c>
      <c r="D55" s="77"/>
      <c r="E55" s="177"/>
      <c r="F55" s="177"/>
      <c r="G55" s="177"/>
      <c r="H55" s="177">
        <f>SUM(Tabla132112413[[#This Row],[PRIMER TRIMESTRE]:[CUARTO TRIMESTRE]])</f>
        <v>0</v>
      </c>
      <c r="I55" s="246">
        <v>11500000</v>
      </c>
      <c r="J55" s="246">
        <f t="shared" si="0"/>
        <v>0</v>
      </c>
      <c r="K55" s="77"/>
      <c r="L55" s="16" t="s">
        <v>18</v>
      </c>
      <c r="M55" s="16" t="s">
        <v>22</v>
      </c>
      <c r="N55" s="77"/>
    </row>
    <row r="56" spans="1:14" s="111" customFormat="1" ht="18">
      <c r="A56" s="180" t="s">
        <v>46</v>
      </c>
      <c r="B56" s="77" t="s">
        <v>1396</v>
      </c>
      <c r="C56" s="177" t="s">
        <v>17</v>
      </c>
      <c r="D56" s="77"/>
      <c r="E56" s="177"/>
      <c r="F56" s="177"/>
      <c r="G56" s="177"/>
      <c r="H56" s="177">
        <f>SUM(Tabla132112413[[#This Row],[PRIMER TRIMESTRE]:[CUARTO TRIMESTRE]])</f>
        <v>0</v>
      </c>
      <c r="I56" s="246">
        <v>8120000</v>
      </c>
      <c r="J56" s="246">
        <f t="shared" si="0"/>
        <v>0</v>
      </c>
      <c r="K56" s="77"/>
      <c r="L56" s="16" t="s">
        <v>18</v>
      </c>
      <c r="M56" s="16" t="s">
        <v>22</v>
      </c>
      <c r="N56" s="77"/>
    </row>
    <row r="57" spans="1:14" s="169" customFormat="1" ht="18">
      <c r="A57" s="180" t="s">
        <v>46</v>
      </c>
      <c r="B57" s="77" t="s">
        <v>1622</v>
      </c>
      <c r="C57" s="177" t="s">
        <v>17</v>
      </c>
      <c r="D57" s="210"/>
      <c r="E57" s="177"/>
      <c r="F57" s="177"/>
      <c r="G57" s="210"/>
      <c r="H57" s="177">
        <f>SUM(Tabla132112413[[#This Row],[PRIMER TRIMESTRE]:[CUARTO TRIMESTRE]])</f>
        <v>0</v>
      </c>
      <c r="I57" s="247">
        <v>58223</v>
      </c>
      <c r="J57" s="247">
        <f t="shared" si="0"/>
        <v>0</v>
      </c>
      <c r="K57" s="72"/>
      <c r="L57" s="16" t="s">
        <v>18</v>
      </c>
      <c r="M57" s="16" t="s">
        <v>22</v>
      </c>
      <c r="N57" s="39" t="s">
        <v>418</v>
      </c>
    </row>
    <row r="58" spans="1:14" s="169" customFormat="1" ht="18">
      <c r="A58" s="180" t="s">
        <v>46</v>
      </c>
      <c r="B58" s="77" t="s">
        <v>1397</v>
      </c>
      <c r="C58" s="177" t="s">
        <v>17</v>
      </c>
      <c r="D58" s="77"/>
      <c r="E58" s="177"/>
      <c r="F58" s="177"/>
      <c r="G58" s="177"/>
      <c r="H58" s="177">
        <f>SUM(Tabla132112413[[#This Row],[PRIMER TRIMESTRE]:[CUARTO TRIMESTRE]])</f>
        <v>0</v>
      </c>
      <c r="I58" s="246">
        <v>55000</v>
      </c>
      <c r="J58" s="246">
        <f t="shared" si="0"/>
        <v>0</v>
      </c>
      <c r="K58" s="77"/>
      <c r="L58" s="16" t="s">
        <v>18</v>
      </c>
      <c r="M58" s="16" t="s">
        <v>22</v>
      </c>
      <c r="N58" s="39" t="s">
        <v>418</v>
      </c>
    </row>
    <row r="59" spans="1:14" s="169" customFormat="1" ht="18">
      <c r="A59" s="180" t="s">
        <v>46</v>
      </c>
      <c r="B59" s="77" t="s">
        <v>550</v>
      </c>
      <c r="C59" s="70" t="s">
        <v>17</v>
      </c>
      <c r="D59" s="210"/>
      <c r="E59" s="210"/>
      <c r="F59" s="210"/>
      <c r="G59" s="210"/>
      <c r="H59" s="406">
        <f>SUM(Tabla132112413[[#This Row],[PRIMER TRIMESTRE]:[CUARTO TRIMESTRE]])</f>
        <v>0</v>
      </c>
      <c r="I59" s="72">
        <v>9480</v>
      </c>
      <c r="J59" s="72">
        <f t="shared" si="0"/>
        <v>0</v>
      </c>
      <c r="K59" s="72"/>
      <c r="L59" s="16" t="s">
        <v>18</v>
      </c>
      <c r="M59" s="73" t="s">
        <v>22</v>
      </c>
      <c r="N59" s="70" t="s">
        <v>418</v>
      </c>
    </row>
    <row r="60" spans="1:14" s="169" customFormat="1" ht="18">
      <c r="A60" s="180" t="s">
        <v>46</v>
      </c>
      <c r="B60" s="77" t="s">
        <v>551</v>
      </c>
      <c r="C60" s="70" t="s">
        <v>17</v>
      </c>
      <c r="D60" s="210"/>
      <c r="E60" s="210"/>
      <c r="F60" s="210"/>
      <c r="G60" s="210"/>
      <c r="H60" s="406">
        <f>SUM(Tabla132112413[[#This Row],[PRIMER TRIMESTRE]:[CUARTO TRIMESTRE]])</f>
        <v>0</v>
      </c>
      <c r="I60" s="72">
        <v>31680</v>
      </c>
      <c r="J60" s="72">
        <f t="shared" si="0"/>
        <v>0</v>
      </c>
      <c r="K60" s="72"/>
      <c r="L60" s="16" t="s">
        <v>18</v>
      </c>
      <c r="M60" s="73" t="s">
        <v>22</v>
      </c>
      <c r="N60" s="70" t="s">
        <v>418</v>
      </c>
    </row>
    <row r="61" spans="1:14" s="169" customFormat="1" ht="18">
      <c r="A61" s="180" t="s">
        <v>46</v>
      </c>
      <c r="B61" s="77" t="s">
        <v>552</v>
      </c>
      <c r="C61" s="70" t="s">
        <v>17</v>
      </c>
      <c r="D61" s="210"/>
      <c r="E61" s="210"/>
      <c r="F61" s="210"/>
      <c r="G61" s="210"/>
      <c r="H61" s="406">
        <f>SUM(Tabla132112413[[#This Row],[PRIMER TRIMESTRE]:[CUARTO TRIMESTRE]])</f>
        <v>0</v>
      </c>
      <c r="I61" s="72">
        <v>9279.9</v>
      </c>
      <c r="J61" s="72">
        <f t="shared" si="0"/>
        <v>0</v>
      </c>
      <c r="K61" s="72"/>
      <c r="L61" s="16" t="s">
        <v>18</v>
      </c>
      <c r="M61" s="73" t="s">
        <v>22</v>
      </c>
      <c r="N61" s="70" t="s">
        <v>418</v>
      </c>
    </row>
    <row r="62" spans="1:14" s="169" customFormat="1" ht="18">
      <c r="A62" s="180" t="s">
        <v>46</v>
      </c>
      <c r="B62" s="77" t="s">
        <v>54</v>
      </c>
      <c r="C62" s="70" t="s">
        <v>17</v>
      </c>
      <c r="D62" s="210"/>
      <c r="E62" s="210"/>
      <c r="F62" s="210"/>
      <c r="G62" s="210"/>
      <c r="H62" s="406">
        <f>SUM(Tabla132112413[[#This Row],[PRIMER TRIMESTRE]:[CUARTO TRIMESTRE]])</f>
        <v>0</v>
      </c>
      <c r="I62" s="72">
        <v>9079.9</v>
      </c>
      <c r="J62" s="72">
        <f t="shared" si="0"/>
        <v>0</v>
      </c>
      <c r="K62" s="72"/>
      <c r="L62" s="16" t="s">
        <v>18</v>
      </c>
      <c r="M62" s="73" t="s">
        <v>22</v>
      </c>
      <c r="N62" s="70" t="s">
        <v>418</v>
      </c>
    </row>
    <row r="63" spans="1:14" s="169" customFormat="1" ht="18">
      <c r="A63" s="180" t="s">
        <v>46</v>
      </c>
      <c r="B63" s="77" t="s">
        <v>53</v>
      </c>
      <c r="C63" s="70" t="s">
        <v>17</v>
      </c>
      <c r="D63" s="210"/>
      <c r="E63" s="210"/>
      <c r="F63" s="210"/>
      <c r="G63" s="210"/>
      <c r="H63" s="406">
        <f>SUM(Tabla132112413[[#This Row],[PRIMER TRIMESTRE]:[CUARTO TRIMESTRE]])</f>
        <v>0</v>
      </c>
      <c r="I63" s="72">
        <v>9048</v>
      </c>
      <c r="J63" s="72">
        <f t="shared" si="0"/>
        <v>0</v>
      </c>
      <c r="K63" s="72"/>
      <c r="L63" s="16" t="s">
        <v>18</v>
      </c>
      <c r="M63" s="73" t="s">
        <v>22</v>
      </c>
      <c r="N63" s="70" t="s">
        <v>418</v>
      </c>
    </row>
    <row r="64" spans="1:14" s="169" customFormat="1" ht="18">
      <c r="A64" s="180" t="s">
        <v>46</v>
      </c>
      <c r="B64" s="77" t="s">
        <v>553</v>
      </c>
      <c r="C64" s="70" t="s">
        <v>17</v>
      </c>
      <c r="D64" s="210">
        <v>4</v>
      </c>
      <c r="E64" s="210"/>
      <c r="F64" s="210"/>
      <c r="G64" s="210"/>
      <c r="H64" s="406">
        <f>SUM(Tabla132112413[[#This Row],[PRIMER TRIMESTRE]:[CUARTO TRIMESTRE]])</f>
        <v>4</v>
      </c>
      <c r="I64" s="72">
        <v>7043.16</v>
      </c>
      <c r="J64" s="72">
        <f t="shared" si="0"/>
        <v>28172.639999999999</v>
      </c>
      <c r="K64" s="72"/>
      <c r="L64" s="16" t="s">
        <v>18</v>
      </c>
      <c r="M64" s="73" t="s">
        <v>22</v>
      </c>
      <c r="N64" s="70" t="s">
        <v>418</v>
      </c>
    </row>
    <row r="65" spans="1:14" s="169" customFormat="1" ht="18">
      <c r="A65" s="180" t="s">
        <v>46</v>
      </c>
      <c r="B65" s="77" t="s">
        <v>554</v>
      </c>
      <c r="C65" s="70" t="s">
        <v>17</v>
      </c>
      <c r="D65" s="210"/>
      <c r="E65" s="210"/>
      <c r="F65" s="210"/>
      <c r="G65" s="210"/>
      <c r="H65" s="406">
        <f>SUM(Tabla132112413[[#This Row],[PRIMER TRIMESTRE]:[CUARTO TRIMESTRE]])</f>
        <v>0</v>
      </c>
      <c r="I65" s="72">
        <v>12210</v>
      </c>
      <c r="J65" s="72">
        <f t="shared" si="0"/>
        <v>0</v>
      </c>
      <c r="K65" s="72"/>
      <c r="L65" s="16" t="s">
        <v>18</v>
      </c>
      <c r="M65" s="73" t="s">
        <v>22</v>
      </c>
      <c r="N65" s="70" t="s">
        <v>418</v>
      </c>
    </row>
    <row r="66" spans="1:14" s="169" customFormat="1" ht="18">
      <c r="A66" s="180" t="s">
        <v>46</v>
      </c>
      <c r="B66" s="77" t="s">
        <v>555</v>
      </c>
      <c r="C66" s="70" t="s">
        <v>17</v>
      </c>
      <c r="D66" s="210"/>
      <c r="E66" s="210"/>
      <c r="F66" s="210"/>
      <c r="G66" s="210"/>
      <c r="H66" s="406">
        <f>SUM(Tabla132112413[[#This Row],[PRIMER TRIMESTRE]:[CUARTO TRIMESTRE]])</f>
        <v>0</v>
      </c>
      <c r="I66" s="72">
        <v>4029.25</v>
      </c>
      <c r="J66" s="72">
        <f t="shared" si="0"/>
        <v>0</v>
      </c>
      <c r="K66" s="72"/>
      <c r="L66" s="16" t="s">
        <v>18</v>
      </c>
      <c r="M66" s="73" t="s">
        <v>22</v>
      </c>
      <c r="N66" s="70" t="s">
        <v>418</v>
      </c>
    </row>
    <row r="67" spans="1:14" s="169" customFormat="1" ht="18">
      <c r="A67" s="407"/>
      <c r="B67" s="77"/>
      <c r="C67" s="70"/>
      <c r="D67" s="210"/>
      <c r="E67" s="210"/>
      <c r="F67" s="210"/>
      <c r="G67" s="210"/>
      <c r="H67" s="406"/>
      <c r="I67" s="72"/>
      <c r="J67" s="72"/>
      <c r="K67" s="72"/>
      <c r="L67" s="16"/>
      <c r="M67" s="73"/>
      <c r="N67" s="70"/>
    </row>
    <row r="68" spans="1:14" s="169" customFormat="1" ht="18">
      <c r="A68" s="180" t="s">
        <v>46</v>
      </c>
      <c r="B68" s="77" t="s">
        <v>556</v>
      </c>
      <c r="C68" s="70" t="s">
        <v>17</v>
      </c>
      <c r="D68" s="210"/>
      <c r="E68" s="210"/>
      <c r="F68" s="210"/>
      <c r="G68" s="210"/>
      <c r="H68" s="406">
        <f>SUM(Tabla132112413[[#This Row],[PRIMER TRIMESTRE]:[CUARTO TRIMESTRE]])</f>
        <v>0</v>
      </c>
      <c r="I68" s="72">
        <v>33660</v>
      </c>
      <c r="J68" s="72">
        <f t="shared" si="0"/>
        <v>0</v>
      </c>
      <c r="K68" s="72"/>
      <c r="L68" s="16" t="s">
        <v>18</v>
      </c>
      <c r="M68" s="73" t="s">
        <v>22</v>
      </c>
      <c r="N68" s="70" t="s">
        <v>418</v>
      </c>
    </row>
    <row r="69" spans="1:14" s="243" customFormat="1" ht="18">
      <c r="A69" s="180" t="s">
        <v>46</v>
      </c>
      <c r="B69" s="77" t="s">
        <v>557</v>
      </c>
      <c r="C69" s="70" t="s">
        <v>17</v>
      </c>
      <c r="D69" s="210"/>
      <c r="E69" s="210"/>
      <c r="F69" s="210"/>
      <c r="G69" s="210"/>
      <c r="H69" s="406">
        <f>SUM(Tabla132112413[[#This Row],[PRIMER TRIMESTRE]:[CUARTO TRIMESTRE]])</f>
        <v>0</v>
      </c>
      <c r="I69" s="72">
        <v>27205.48</v>
      </c>
      <c r="J69" s="72">
        <f t="shared" si="0"/>
        <v>0</v>
      </c>
      <c r="K69" s="72"/>
      <c r="L69" s="16" t="s">
        <v>18</v>
      </c>
      <c r="M69" s="73" t="s">
        <v>22</v>
      </c>
      <c r="N69" s="70" t="s">
        <v>418</v>
      </c>
    </row>
    <row r="70" spans="1:14" s="169" customFormat="1" ht="18">
      <c r="A70" s="180" t="s">
        <v>46</v>
      </c>
      <c r="B70" s="77" t="s">
        <v>558</v>
      </c>
      <c r="C70" s="70" t="s">
        <v>17</v>
      </c>
      <c r="D70" s="210"/>
      <c r="E70" s="210"/>
      <c r="F70" s="210"/>
      <c r="G70" s="210"/>
      <c r="H70" s="406">
        <f>SUM(Tabla132112413[[#This Row],[PRIMER TRIMESTRE]:[CUARTO TRIMESTRE]])</f>
        <v>0</v>
      </c>
      <c r="I70" s="72">
        <v>14272.5</v>
      </c>
      <c r="J70" s="72">
        <f t="shared" si="0"/>
        <v>0</v>
      </c>
      <c r="K70" s="72"/>
      <c r="L70" s="16" t="s">
        <v>18</v>
      </c>
      <c r="M70" s="73" t="s">
        <v>22</v>
      </c>
      <c r="N70" s="70" t="s">
        <v>418</v>
      </c>
    </row>
    <row r="71" spans="1:14" s="169" customFormat="1" ht="18">
      <c r="A71" s="180" t="s">
        <v>46</v>
      </c>
      <c r="B71" s="77" t="s">
        <v>1398</v>
      </c>
      <c r="C71" s="70" t="s">
        <v>17</v>
      </c>
      <c r="D71" s="70">
        <v>8</v>
      </c>
      <c r="E71" s="70"/>
      <c r="F71" s="70"/>
      <c r="G71" s="70"/>
      <c r="H71" s="70">
        <f>SUM(Tabla132112413[[#This Row],[PRIMER TRIMESTRE]:[CUARTO TRIMESTRE]])</f>
        <v>8</v>
      </c>
      <c r="I71" s="72">
        <v>9279.9</v>
      </c>
      <c r="J71" s="72">
        <f t="shared" si="0"/>
        <v>74239.199999999997</v>
      </c>
      <c r="K71" s="72"/>
      <c r="L71" s="16" t="s">
        <v>18</v>
      </c>
      <c r="M71" s="73" t="s">
        <v>22</v>
      </c>
      <c r="N71" s="70" t="s">
        <v>418</v>
      </c>
    </row>
    <row r="72" spans="1:14" s="169" customFormat="1" ht="18">
      <c r="A72" s="180" t="s">
        <v>46</v>
      </c>
      <c r="B72" s="77" t="s">
        <v>560</v>
      </c>
      <c r="C72" s="70" t="s">
        <v>17</v>
      </c>
      <c r="D72" s="210"/>
      <c r="E72" s="210"/>
      <c r="F72" s="210"/>
      <c r="G72" s="210"/>
      <c r="H72" s="406">
        <f>SUM(Tabla132112413[[#This Row],[PRIMER TRIMESTRE]:[CUARTO TRIMESTRE]])</f>
        <v>0</v>
      </c>
      <c r="I72" s="72">
        <v>14190</v>
      </c>
      <c r="J72" s="72">
        <f t="shared" si="0"/>
        <v>0</v>
      </c>
      <c r="K72" s="72"/>
      <c r="L72" s="16" t="s">
        <v>18</v>
      </c>
      <c r="M72" s="73" t="s">
        <v>22</v>
      </c>
      <c r="N72" s="70" t="s">
        <v>418</v>
      </c>
    </row>
    <row r="73" spans="1:14" s="169" customFormat="1" ht="18">
      <c r="A73" s="180" t="s">
        <v>46</v>
      </c>
      <c r="B73" s="77" t="s">
        <v>561</v>
      </c>
      <c r="C73" s="70" t="s">
        <v>17</v>
      </c>
      <c r="D73" s="210"/>
      <c r="E73" s="210"/>
      <c r="F73" s="210"/>
      <c r="G73" s="210"/>
      <c r="H73" s="406">
        <f>SUM(Tabla132112413[[#This Row],[PRIMER TRIMESTRE]:[CUARTO TRIMESTRE]])</f>
        <v>0</v>
      </c>
      <c r="I73" s="72">
        <v>4200</v>
      </c>
      <c r="J73" s="72">
        <f t="shared" si="0"/>
        <v>0</v>
      </c>
      <c r="K73" s="72"/>
      <c r="L73" s="16" t="s">
        <v>18</v>
      </c>
      <c r="M73" s="73" t="s">
        <v>22</v>
      </c>
      <c r="N73" s="70" t="s">
        <v>418</v>
      </c>
    </row>
    <row r="74" spans="1:14" s="169" customFormat="1" ht="18">
      <c r="A74" s="180" t="s">
        <v>46</v>
      </c>
      <c r="B74" s="77" t="s">
        <v>764</v>
      </c>
      <c r="C74" s="70" t="s">
        <v>17</v>
      </c>
      <c r="D74" s="210"/>
      <c r="E74" s="210"/>
      <c r="F74" s="210"/>
      <c r="G74" s="210"/>
      <c r="H74" s="406">
        <f>SUM(Tabla132112413[[#This Row],[PRIMER TRIMESTRE]:[CUARTO TRIMESTRE]])</f>
        <v>0</v>
      </c>
      <c r="I74" s="72">
        <v>12650</v>
      </c>
      <c r="J74" s="72">
        <f t="shared" si="0"/>
        <v>0</v>
      </c>
      <c r="K74" s="72"/>
      <c r="L74" s="16" t="s">
        <v>18</v>
      </c>
      <c r="M74" s="73" t="s">
        <v>22</v>
      </c>
      <c r="N74" s="70" t="s">
        <v>418</v>
      </c>
    </row>
    <row r="75" spans="1:14" s="26" customFormat="1" ht="18">
      <c r="A75" s="180" t="s">
        <v>46</v>
      </c>
      <c r="B75" s="77" t="s">
        <v>1399</v>
      </c>
      <c r="C75" s="70" t="s">
        <v>17</v>
      </c>
      <c r="D75" s="210"/>
      <c r="E75" s="210"/>
      <c r="F75" s="210"/>
      <c r="G75" s="210"/>
      <c r="H75" s="406">
        <f>SUM(Tabla132112413[[#This Row],[PRIMER TRIMESTRE]:[CUARTO TRIMESTRE]])</f>
        <v>0</v>
      </c>
      <c r="I75" s="72">
        <v>8500</v>
      </c>
      <c r="J75" s="72">
        <f t="shared" si="0"/>
        <v>0</v>
      </c>
      <c r="K75" s="72"/>
      <c r="L75" s="16" t="s">
        <v>18</v>
      </c>
      <c r="M75" s="73" t="s">
        <v>22</v>
      </c>
      <c r="N75" s="70" t="s">
        <v>418</v>
      </c>
    </row>
    <row r="76" spans="1:14" s="169" customFormat="1" ht="18">
      <c r="A76" s="180" t="s">
        <v>46</v>
      </c>
      <c r="B76" s="77" t="s">
        <v>1400</v>
      </c>
      <c r="C76" s="70" t="s">
        <v>17</v>
      </c>
      <c r="D76" s="210"/>
      <c r="E76" s="210"/>
      <c r="F76" s="210"/>
      <c r="G76" s="210"/>
      <c r="H76" s="406">
        <f>SUM(Tabla132112413[[#This Row],[PRIMER TRIMESTRE]:[CUARTO TRIMESTRE]])</f>
        <v>0</v>
      </c>
      <c r="I76" s="72">
        <v>9500</v>
      </c>
      <c r="J76" s="72">
        <f t="shared" si="0"/>
        <v>0</v>
      </c>
      <c r="K76" s="72"/>
      <c r="L76" s="16" t="s">
        <v>18</v>
      </c>
      <c r="M76" s="73" t="s">
        <v>22</v>
      </c>
      <c r="N76" s="70" t="s">
        <v>418</v>
      </c>
    </row>
    <row r="77" spans="1:14" s="169" customFormat="1" ht="18">
      <c r="A77" s="409" t="s">
        <v>46</v>
      </c>
      <c r="B77" s="43"/>
      <c r="C77" s="43"/>
      <c r="D77" s="238"/>
      <c r="E77" s="238"/>
      <c r="F77" s="238"/>
      <c r="G77" s="238"/>
      <c r="H77" s="43"/>
      <c r="I77" s="24"/>
      <c r="J77" s="24"/>
      <c r="K77" s="25">
        <f>SUBTOTAL(109,J45:J76)</f>
        <v>2375364.8000000003</v>
      </c>
      <c r="L77" s="23"/>
      <c r="M77" s="23"/>
      <c r="N77" s="42"/>
    </row>
    <row r="78" spans="1:14" s="169" customFormat="1" ht="30">
      <c r="A78" s="180" t="s">
        <v>56</v>
      </c>
      <c r="B78" s="77" t="s">
        <v>563</v>
      </c>
      <c r="C78" s="70" t="s">
        <v>17</v>
      </c>
      <c r="D78" s="210"/>
      <c r="E78" s="210"/>
      <c r="F78" s="210"/>
      <c r="G78" s="210"/>
      <c r="H78" s="406">
        <f>SUM(Tabla132112413[[#This Row],[PRIMER TRIMESTRE]:[CUARTO TRIMESTRE]])</f>
        <v>0</v>
      </c>
      <c r="I78" s="72">
        <v>4500</v>
      </c>
      <c r="J78" s="72">
        <f>+H78*I78</f>
        <v>0</v>
      </c>
      <c r="K78" s="72"/>
      <c r="L78" s="73" t="s">
        <v>27</v>
      </c>
      <c r="M78" s="73" t="s">
        <v>22</v>
      </c>
      <c r="N78" s="70" t="s">
        <v>418</v>
      </c>
    </row>
    <row r="79" spans="1:14" s="169" customFormat="1" ht="30">
      <c r="A79" s="180" t="s">
        <v>56</v>
      </c>
      <c r="B79" s="77" t="s">
        <v>562</v>
      </c>
      <c r="C79" s="70" t="s">
        <v>17</v>
      </c>
      <c r="D79" s="210">
        <v>1</v>
      </c>
      <c r="E79" s="210"/>
      <c r="F79" s="210"/>
      <c r="G79" s="210"/>
      <c r="H79" s="406">
        <f>SUM(Tabla132112413[[#This Row],[PRIMER TRIMESTRE]:[CUARTO TRIMESTRE]])</f>
        <v>1</v>
      </c>
      <c r="I79" s="72">
        <v>6800</v>
      </c>
      <c r="J79" s="72">
        <f>+H79*I79</f>
        <v>6800</v>
      </c>
      <c r="K79" s="72"/>
      <c r="L79" s="73" t="s">
        <v>27</v>
      </c>
      <c r="M79" s="73" t="s">
        <v>22</v>
      </c>
      <c r="N79" s="70" t="s">
        <v>418</v>
      </c>
    </row>
    <row r="80" spans="1:14" s="169" customFormat="1" ht="30">
      <c r="A80" s="180" t="s">
        <v>56</v>
      </c>
      <c r="B80" s="77" t="s">
        <v>61</v>
      </c>
      <c r="C80" s="70" t="s">
        <v>17</v>
      </c>
      <c r="D80" s="210">
        <v>3</v>
      </c>
      <c r="E80" s="210"/>
      <c r="F80" s="210"/>
      <c r="G80" s="210"/>
      <c r="H80" s="406">
        <f>SUM(Tabla132112413[[#This Row],[PRIMER TRIMESTRE]:[CUARTO TRIMESTRE]])</f>
        <v>3</v>
      </c>
      <c r="I80" s="72">
        <f>3600*1.2</f>
        <v>4320</v>
      </c>
      <c r="J80" s="72">
        <f>+Tabla132112413[[#This Row],[CANTIDAD TOTAL]]*Tabla132112413[[#This Row],[PRECIO UNITARIO ESTIMADO]]</f>
        <v>12960</v>
      </c>
      <c r="K80" s="72"/>
      <c r="L80" s="73" t="s">
        <v>27</v>
      </c>
      <c r="M80" s="73" t="s">
        <v>22</v>
      </c>
      <c r="N80" s="70" t="s">
        <v>418</v>
      </c>
    </row>
    <row r="81" spans="1:14" s="169" customFormat="1" ht="30">
      <c r="A81" s="180" t="s">
        <v>56</v>
      </c>
      <c r="B81" s="77" t="s">
        <v>63</v>
      </c>
      <c r="C81" s="70" t="s">
        <v>17</v>
      </c>
      <c r="D81" s="210"/>
      <c r="E81" s="210"/>
      <c r="F81" s="210"/>
      <c r="G81" s="210"/>
      <c r="H81" s="406">
        <f>SUM(Tabla132112413[[#This Row],[PRIMER TRIMESTRE]:[CUARTO TRIMESTRE]])</f>
        <v>0</v>
      </c>
      <c r="I81" s="72">
        <v>6409</v>
      </c>
      <c r="J81" s="72">
        <f>+Tabla132112413[[#This Row],[CANTIDAD TOTAL]]*Tabla132112413[[#This Row],[PRECIO UNITARIO ESTIMADO]]</f>
        <v>0</v>
      </c>
      <c r="K81" s="72"/>
      <c r="L81" s="73" t="s">
        <v>27</v>
      </c>
      <c r="M81" s="73" t="s">
        <v>22</v>
      </c>
      <c r="N81" s="70" t="s">
        <v>418</v>
      </c>
    </row>
    <row r="82" spans="1:14" s="169" customFormat="1" ht="30">
      <c r="A82" s="180" t="s">
        <v>56</v>
      </c>
      <c r="B82" s="77" t="s">
        <v>64</v>
      </c>
      <c r="C82" s="70" t="s">
        <v>17</v>
      </c>
      <c r="D82" s="210"/>
      <c r="E82" s="210"/>
      <c r="F82" s="210"/>
      <c r="G82" s="210"/>
      <c r="H82" s="406">
        <f>SUM(Tabla132112413[[#This Row],[PRIMER TRIMESTRE]:[CUARTO TRIMESTRE]])</f>
        <v>0</v>
      </c>
      <c r="I82" s="72">
        <v>6500</v>
      </c>
      <c r="J82" s="72">
        <f>+Tabla132112413[[#This Row],[CANTIDAD TOTAL]]*Tabla132112413[[#This Row],[PRECIO UNITARIO ESTIMADO]]</f>
        <v>0</v>
      </c>
      <c r="K82" s="72"/>
      <c r="L82" s="73" t="s">
        <v>27</v>
      </c>
      <c r="M82" s="73" t="s">
        <v>22</v>
      </c>
      <c r="N82" s="70" t="s">
        <v>418</v>
      </c>
    </row>
    <row r="83" spans="1:14" s="169" customFormat="1" ht="30">
      <c r="A83" s="180" t="s">
        <v>56</v>
      </c>
      <c r="B83" s="77" t="s">
        <v>65</v>
      </c>
      <c r="C83" s="70" t="s">
        <v>17</v>
      </c>
      <c r="D83" s="210"/>
      <c r="E83" s="210"/>
      <c r="F83" s="210"/>
      <c r="G83" s="210"/>
      <c r="H83" s="406">
        <f>SUM(Tabla132112413[[#This Row],[PRIMER TRIMESTRE]:[CUARTO TRIMESTRE]])</f>
        <v>0</v>
      </c>
      <c r="I83" s="72">
        <v>6500</v>
      </c>
      <c r="J83" s="72">
        <f>+H83*I83</f>
        <v>0</v>
      </c>
      <c r="K83" s="72"/>
      <c r="L83" s="73" t="s">
        <v>27</v>
      </c>
      <c r="M83" s="73" t="s">
        <v>22</v>
      </c>
      <c r="N83" s="70" t="s">
        <v>418</v>
      </c>
    </row>
    <row r="84" spans="1:14" s="169" customFormat="1" ht="30">
      <c r="A84" s="180" t="s">
        <v>56</v>
      </c>
      <c r="B84" s="77" t="s">
        <v>1422</v>
      </c>
      <c r="C84" s="70" t="s">
        <v>17</v>
      </c>
      <c r="D84" s="210"/>
      <c r="E84" s="210"/>
      <c r="F84" s="210"/>
      <c r="G84" s="210"/>
      <c r="H84" s="406">
        <f>SUM(Tabla132112413[[#This Row],[PRIMER TRIMESTRE]:[CUARTO TRIMESTRE]])</f>
        <v>0</v>
      </c>
      <c r="I84" s="72">
        <v>7965.33</v>
      </c>
      <c r="J84" s="72">
        <f>+Tabla132112413[[#This Row],[CANTIDAD TOTAL]]*Tabla132112413[[#This Row],[PRECIO UNITARIO ESTIMADO]]</f>
        <v>0</v>
      </c>
      <c r="K84" s="72"/>
      <c r="L84" s="73" t="s">
        <v>27</v>
      </c>
      <c r="M84" s="73" t="s">
        <v>22</v>
      </c>
      <c r="N84" s="70" t="s">
        <v>418</v>
      </c>
    </row>
    <row r="85" spans="1:14" s="111" customFormat="1" ht="30">
      <c r="A85" s="180" t="s">
        <v>56</v>
      </c>
      <c r="B85" s="77" t="s">
        <v>66</v>
      </c>
      <c r="C85" s="70" t="s">
        <v>17</v>
      </c>
      <c r="D85" s="210"/>
      <c r="E85" s="210"/>
      <c r="F85" s="210"/>
      <c r="G85" s="210"/>
      <c r="H85" s="406">
        <f>SUM(Tabla132112413[[#This Row],[PRIMER TRIMESTRE]:[CUARTO TRIMESTRE]])</f>
        <v>0</v>
      </c>
      <c r="I85" s="72">
        <v>9976</v>
      </c>
      <c r="J85" s="72">
        <f>+Tabla132112413[[#This Row],[CANTIDAD TOTAL]]*Tabla132112413[[#This Row],[PRECIO UNITARIO ESTIMADO]]</f>
        <v>0</v>
      </c>
      <c r="K85" s="72"/>
      <c r="L85" s="73" t="s">
        <v>27</v>
      </c>
      <c r="M85" s="73" t="s">
        <v>22</v>
      </c>
      <c r="N85" s="70" t="s">
        <v>418</v>
      </c>
    </row>
    <row r="86" spans="1:14" s="111" customFormat="1" ht="30">
      <c r="A86" s="180" t="s">
        <v>56</v>
      </c>
      <c r="B86" s="77" t="s">
        <v>1848</v>
      </c>
      <c r="C86" s="70" t="s">
        <v>17</v>
      </c>
      <c r="D86" s="210"/>
      <c r="E86" s="210"/>
      <c r="F86" s="210"/>
      <c r="G86" s="210"/>
      <c r="H86" s="406">
        <v>0</v>
      </c>
      <c r="I86" s="72">
        <v>0</v>
      </c>
      <c r="J86" s="72">
        <v>0</v>
      </c>
      <c r="K86" s="72"/>
      <c r="L86" s="73" t="s">
        <v>27</v>
      </c>
      <c r="M86" s="73" t="s">
        <v>22</v>
      </c>
      <c r="N86" s="70" t="s">
        <v>418</v>
      </c>
    </row>
    <row r="87" spans="1:14" s="26" customFormat="1" ht="30">
      <c r="A87" s="180" t="s">
        <v>56</v>
      </c>
      <c r="B87" s="77" t="s">
        <v>765</v>
      </c>
      <c r="C87" s="70" t="s">
        <v>17</v>
      </c>
      <c r="D87" s="210"/>
      <c r="E87" s="210"/>
      <c r="F87" s="210"/>
      <c r="G87" s="210"/>
      <c r="H87" s="406">
        <f>SUM(Tabla132112413[[#This Row],[PRIMER TRIMESTRE]:[CUARTO TRIMESTRE]])</f>
        <v>0</v>
      </c>
      <c r="I87" s="72">
        <v>11500</v>
      </c>
      <c r="J87" s="72">
        <f>+H87*I87</f>
        <v>0</v>
      </c>
      <c r="K87" s="72"/>
      <c r="L87" s="73" t="s">
        <v>27</v>
      </c>
      <c r="M87" s="73" t="s">
        <v>22</v>
      </c>
      <c r="N87" s="70" t="s">
        <v>418</v>
      </c>
    </row>
    <row r="88" spans="1:14" s="12" customFormat="1" ht="18">
      <c r="A88" s="70" t="s">
        <v>56</v>
      </c>
      <c r="B88" s="77" t="s">
        <v>1401</v>
      </c>
      <c r="C88" s="70" t="s">
        <v>17</v>
      </c>
      <c r="D88" s="70"/>
      <c r="E88" s="70"/>
      <c r="F88" s="70"/>
      <c r="G88" s="70"/>
      <c r="H88" s="70">
        <f>SUM(Tabla132112413[[#This Row],[PRIMER TRIMESTRE]:[CUARTO TRIMESTRE]])</f>
        <v>0</v>
      </c>
      <c r="I88" s="72">
        <v>250</v>
      </c>
      <c r="J88" s="72">
        <f>+H88*I88</f>
        <v>0</v>
      </c>
      <c r="K88" s="72"/>
      <c r="L88" s="73" t="s">
        <v>27</v>
      </c>
      <c r="M88" s="73" t="s">
        <v>22</v>
      </c>
      <c r="N88" s="70" t="s">
        <v>418</v>
      </c>
    </row>
    <row r="89" spans="1:14" s="12" customFormat="1" ht="31.5">
      <c r="A89" s="179" t="s">
        <v>56</v>
      </c>
      <c r="B89" s="76"/>
      <c r="C89" s="42"/>
      <c r="D89" s="237"/>
      <c r="E89" s="237"/>
      <c r="F89" s="237"/>
      <c r="G89" s="237"/>
      <c r="H89" s="43"/>
      <c r="I89" s="24"/>
      <c r="J89" s="24"/>
      <c r="K89" s="25">
        <f>SUM(J78:J88)</f>
        <v>19760</v>
      </c>
      <c r="L89" s="23"/>
      <c r="M89" s="23"/>
      <c r="N89" s="42"/>
    </row>
    <row r="90" spans="1:14" s="12" customFormat="1" ht="18">
      <c r="A90" s="180" t="s">
        <v>62</v>
      </c>
      <c r="B90" s="77" t="s">
        <v>68</v>
      </c>
      <c r="C90" s="70" t="s">
        <v>69</v>
      </c>
      <c r="D90" s="210"/>
      <c r="E90" s="210"/>
      <c r="F90" s="210"/>
      <c r="G90" s="210"/>
      <c r="H90" s="406">
        <f>SUM(Tabla132112413[[#This Row],[PRIMER TRIMESTRE]:[CUARTO TRIMESTRE]])</f>
        <v>0</v>
      </c>
      <c r="I90" s="17">
        <v>320.89999999999998</v>
      </c>
      <c r="J90" s="17">
        <f>+Tabla132112413[[#This Row],[CANTIDAD TOTAL]]*Tabla132112413[[#This Row],[PRECIO UNITARIO ESTIMADO]]</f>
        <v>0</v>
      </c>
      <c r="K90" s="17"/>
      <c r="L90" s="16" t="s">
        <v>27</v>
      </c>
      <c r="M90" s="16" t="s">
        <v>22</v>
      </c>
      <c r="N90" s="39" t="s">
        <v>418</v>
      </c>
    </row>
    <row r="91" spans="1:14" s="12" customFormat="1" ht="18">
      <c r="A91" s="180" t="s">
        <v>62</v>
      </c>
      <c r="B91" s="77" t="s">
        <v>461</v>
      </c>
      <c r="C91" s="70" t="s">
        <v>69</v>
      </c>
      <c r="D91" s="210"/>
      <c r="E91" s="210"/>
      <c r="F91" s="210"/>
      <c r="G91" s="210"/>
      <c r="H91" s="406">
        <f>SUM(Tabla132112413[[#This Row],[PRIMER TRIMESTRE]:[CUARTO TRIMESTRE]])</f>
        <v>0</v>
      </c>
      <c r="I91" s="17">
        <v>561.17999999999995</v>
      </c>
      <c r="J91" s="17">
        <f>+H91*I91</f>
        <v>0</v>
      </c>
      <c r="K91" s="17"/>
      <c r="L91" s="16" t="s">
        <v>27</v>
      </c>
      <c r="M91" s="16" t="s">
        <v>22</v>
      </c>
      <c r="N91" s="39" t="s">
        <v>418</v>
      </c>
    </row>
    <row r="92" spans="1:14" s="12" customFormat="1" ht="18">
      <c r="A92" s="180" t="s">
        <v>62</v>
      </c>
      <c r="B92" s="77" t="s">
        <v>1149</v>
      </c>
      <c r="C92" s="70" t="s">
        <v>69</v>
      </c>
      <c r="D92" s="210"/>
      <c r="E92" s="210"/>
      <c r="F92" s="210"/>
      <c r="G92" s="210"/>
      <c r="H92" s="406">
        <f>SUM(Tabla132112413[[#This Row],[PRIMER TRIMESTRE]:[CUARTO TRIMESTRE]])</f>
        <v>0</v>
      </c>
      <c r="I92" s="17">
        <v>1900</v>
      </c>
      <c r="J92" s="17">
        <f>+H92*I92</f>
        <v>0</v>
      </c>
      <c r="K92" s="17"/>
      <c r="L92" s="16" t="s">
        <v>27</v>
      </c>
      <c r="M92" s="16" t="s">
        <v>22</v>
      </c>
      <c r="N92" s="39" t="s">
        <v>418</v>
      </c>
    </row>
    <row r="93" spans="1:14" s="12" customFormat="1" ht="18">
      <c r="A93" s="180" t="s">
        <v>62</v>
      </c>
      <c r="B93" s="77" t="s">
        <v>567</v>
      </c>
      <c r="C93" s="70" t="s">
        <v>17</v>
      </c>
      <c r="D93" s="210"/>
      <c r="E93" s="210"/>
      <c r="F93" s="210"/>
      <c r="G93" s="210"/>
      <c r="H93" s="406">
        <f>SUM(Tabla132112413[[#This Row],[PRIMER TRIMESTRE]:[CUARTO TRIMESTRE]])</f>
        <v>0</v>
      </c>
      <c r="I93" s="17">
        <v>350</v>
      </c>
      <c r="J93" s="17">
        <f>+Tabla132112413[[#This Row],[CANTIDAD TOTAL]]*Tabla132112413[[#This Row],[PRECIO UNITARIO ESTIMADO]]</f>
        <v>0</v>
      </c>
      <c r="K93" s="17"/>
      <c r="L93" s="16" t="s">
        <v>27</v>
      </c>
      <c r="M93" s="16" t="s">
        <v>22</v>
      </c>
      <c r="N93" s="39" t="s">
        <v>418</v>
      </c>
    </row>
    <row r="94" spans="1:14" s="12" customFormat="1" ht="18">
      <c r="A94" s="180" t="s">
        <v>62</v>
      </c>
      <c r="B94" s="77" t="s">
        <v>472</v>
      </c>
      <c r="C94" s="70" t="s">
        <v>17</v>
      </c>
      <c r="D94" s="210"/>
      <c r="E94" s="210"/>
      <c r="F94" s="210"/>
      <c r="G94" s="210"/>
      <c r="H94" s="406">
        <f>SUM(Tabla132112413[[#This Row],[PRIMER TRIMESTRE]:[CUARTO TRIMESTRE]])</f>
        <v>0</v>
      </c>
      <c r="I94" s="17">
        <v>450.4</v>
      </c>
      <c r="J94" s="17">
        <f>+H94*I94</f>
        <v>0</v>
      </c>
      <c r="K94" s="17"/>
      <c r="L94" s="16" t="s">
        <v>27</v>
      </c>
      <c r="M94" s="16" t="s">
        <v>22</v>
      </c>
      <c r="N94" s="39" t="s">
        <v>418</v>
      </c>
    </row>
    <row r="95" spans="1:14" s="12" customFormat="1" ht="18">
      <c r="A95" s="180" t="s">
        <v>62</v>
      </c>
      <c r="B95" s="77" t="s">
        <v>1150</v>
      </c>
      <c r="C95" s="70" t="s">
        <v>17</v>
      </c>
      <c r="D95" s="210"/>
      <c r="E95" s="210"/>
      <c r="F95" s="210"/>
      <c r="G95" s="210"/>
      <c r="H95" s="406">
        <f>SUM(Tabla132112413[[#This Row],[PRIMER TRIMESTRE]:[CUARTO TRIMESTRE]])</f>
        <v>0</v>
      </c>
      <c r="I95" s="17">
        <v>450.4</v>
      </c>
      <c r="J95" s="17">
        <f>+H95*I95</f>
        <v>0</v>
      </c>
      <c r="K95" s="17"/>
      <c r="L95" s="16" t="s">
        <v>27</v>
      </c>
      <c r="M95" s="16" t="s">
        <v>22</v>
      </c>
      <c r="N95" s="39" t="s">
        <v>418</v>
      </c>
    </row>
    <row r="96" spans="1:14" s="12" customFormat="1" ht="18">
      <c r="A96" s="180" t="s">
        <v>62</v>
      </c>
      <c r="B96" s="77" t="s">
        <v>440</v>
      </c>
      <c r="C96" s="70" t="s">
        <v>17</v>
      </c>
      <c r="D96" s="210"/>
      <c r="E96" s="210"/>
      <c r="F96" s="210"/>
      <c r="G96" s="210"/>
      <c r="H96" s="406">
        <f>SUM(Tabla132112413[[#This Row],[PRIMER TRIMESTRE]:[CUARTO TRIMESTRE]])</f>
        <v>0</v>
      </c>
      <c r="I96" s="17">
        <v>7000</v>
      </c>
      <c r="J96" s="17">
        <f>+H96*I96</f>
        <v>0</v>
      </c>
      <c r="K96" s="17"/>
      <c r="L96" s="16" t="s">
        <v>27</v>
      </c>
      <c r="M96" s="16" t="s">
        <v>22</v>
      </c>
      <c r="N96" s="39" t="s">
        <v>418</v>
      </c>
    </row>
    <row r="97" spans="1:14" s="12" customFormat="1" ht="18">
      <c r="A97" s="180" t="s">
        <v>62</v>
      </c>
      <c r="B97" s="77" t="s">
        <v>435</v>
      </c>
      <c r="C97" s="70" t="s">
        <v>17</v>
      </c>
      <c r="D97" s="210"/>
      <c r="E97" s="210"/>
      <c r="F97" s="210"/>
      <c r="G97" s="210"/>
      <c r="H97" s="406">
        <f>SUM(Tabla132112413[[#This Row],[PRIMER TRIMESTRE]:[CUARTO TRIMESTRE]])</f>
        <v>0</v>
      </c>
      <c r="I97" s="17">
        <v>110</v>
      </c>
      <c r="J97" s="17">
        <f>+Tabla132112413[[#This Row],[CANTIDAD TOTAL]]*Tabla132112413[[#This Row],[PRECIO UNITARIO ESTIMADO]]</f>
        <v>0</v>
      </c>
      <c r="K97" s="17"/>
      <c r="L97" s="16" t="s">
        <v>27</v>
      </c>
      <c r="M97" s="16" t="s">
        <v>22</v>
      </c>
      <c r="N97" s="39" t="s">
        <v>418</v>
      </c>
    </row>
    <row r="98" spans="1:14" s="12" customFormat="1" ht="18">
      <c r="A98" s="180" t="s">
        <v>62</v>
      </c>
      <c r="B98" s="77" t="s">
        <v>729</v>
      </c>
      <c r="C98" s="70" t="s">
        <v>17</v>
      </c>
      <c r="D98" s="210"/>
      <c r="E98" s="210"/>
      <c r="F98" s="210"/>
      <c r="G98" s="210"/>
      <c r="H98" s="406">
        <f>SUM(Tabla132112413[[#This Row],[PRIMER TRIMESTRE]:[CUARTO TRIMESTRE]])</f>
        <v>0</v>
      </c>
      <c r="I98" s="17">
        <v>260</v>
      </c>
      <c r="J98" s="17">
        <f>+Tabla132112413[[#This Row],[CANTIDAD TOTAL]]*Tabla132112413[[#This Row],[PRECIO UNITARIO ESTIMADO]]</f>
        <v>0</v>
      </c>
      <c r="K98" s="17"/>
      <c r="L98" s="16" t="s">
        <v>27</v>
      </c>
      <c r="M98" s="16" t="s">
        <v>22</v>
      </c>
      <c r="N98" s="39" t="s">
        <v>418</v>
      </c>
    </row>
    <row r="99" spans="1:14" s="12" customFormat="1" ht="18">
      <c r="A99" s="180" t="s">
        <v>62</v>
      </c>
      <c r="B99" s="77" t="s">
        <v>731</v>
      </c>
      <c r="C99" s="70" t="s">
        <v>17</v>
      </c>
      <c r="D99" s="210"/>
      <c r="E99" s="210"/>
      <c r="F99" s="210"/>
      <c r="G99" s="210"/>
      <c r="H99" s="406">
        <f>SUM(Tabla132112413[[#This Row],[PRIMER TRIMESTRE]:[CUARTO TRIMESTRE]])</f>
        <v>0</v>
      </c>
      <c r="I99" s="17">
        <v>375</v>
      </c>
      <c r="J99" s="17">
        <f>+Tabla132112413[[#This Row],[CANTIDAD TOTAL]]*Tabla132112413[[#This Row],[PRECIO UNITARIO ESTIMADO]]</f>
        <v>0</v>
      </c>
      <c r="K99" s="17"/>
      <c r="L99" s="16" t="s">
        <v>27</v>
      </c>
      <c r="M99" s="16" t="s">
        <v>22</v>
      </c>
      <c r="N99" s="39" t="s">
        <v>418</v>
      </c>
    </row>
    <row r="100" spans="1:14" s="12" customFormat="1" ht="18">
      <c r="A100" s="180" t="s">
        <v>62</v>
      </c>
      <c r="B100" s="17" t="s">
        <v>1589</v>
      </c>
      <c r="C100" s="248" t="s">
        <v>17</v>
      </c>
      <c r="D100" s="210"/>
      <c r="E100" s="17"/>
      <c r="F100" s="17"/>
      <c r="G100" s="17"/>
      <c r="H100" s="406">
        <f>SUM(Tabla132112413[[#This Row],[PRIMER TRIMESTRE]:[CUARTO TRIMESTRE]])</f>
        <v>0</v>
      </c>
      <c r="I100" s="17">
        <v>425</v>
      </c>
      <c r="J100" s="17">
        <f>+H100*I100</f>
        <v>0</v>
      </c>
      <c r="K100" s="17"/>
      <c r="L100" s="16" t="s">
        <v>27</v>
      </c>
      <c r="M100" s="16" t="s">
        <v>22</v>
      </c>
      <c r="N100" s="39" t="s">
        <v>418</v>
      </c>
    </row>
    <row r="101" spans="1:14" s="12" customFormat="1" ht="18">
      <c r="A101" s="180" t="s">
        <v>62</v>
      </c>
      <c r="B101" s="77" t="s">
        <v>72</v>
      </c>
      <c r="C101" s="70" t="s">
        <v>17</v>
      </c>
      <c r="D101" s="210"/>
      <c r="E101" s="210"/>
      <c r="F101" s="210"/>
      <c r="G101" s="210"/>
      <c r="H101" s="406">
        <f>SUM(Tabla132112413[[#This Row],[PRIMER TRIMESTRE]:[CUARTO TRIMESTRE]])</f>
        <v>0</v>
      </c>
      <c r="I101" s="72">
        <v>295</v>
      </c>
      <c r="J101" s="17">
        <f>+Tabla132112413[[#This Row],[CANTIDAD TOTAL]]*Tabla132112413[[#This Row],[PRECIO UNITARIO ESTIMADO]]</f>
        <v>0</v>
      </c>
      <c r="K101" s="17"/>
      <c r="L101" s="16" t="s">
        <v>27</v>
      </c>
      <c r="M101" s="16" t="s">
        <v>22</v>
      </c>
      <c r="N101" s="39" t="s">
        <v>418</v>
      </c>
    </row>
    <row r="102" spans="1:14" s="12" customFormat="1" ht="18">
      <c r="A102" s="180" t="s">
        <v>62</v>
      </c>
      <c r="B102" s="77" t="s">
        <v>467</v>
      </c>
      <c r="C102" s="70" t="s">
        <v>17</v>
      </c>
      <c r="D102" s="210"/>
      <c r="E102" s="210"/>
      <c r="F102" s="210"/>
      <c r="G102" s="210"/>
      <c r="H102" s="406">
        <f>SUM(Tabla132112413[[#This Row],[PRIMER TRIMESTRE]:[CUARTO TRIMESTRE]])</f>
        <v>0</v>
      </c>
      <c r="I102" s="72">
        <v>852.71</v>
      </c>
      <c r="J102" s="17">
        <f t="shared" ref="J102:J118" si="1">+H102*I102</f>
        <v>0</v>
      </c>
      <c r="K102" s="17"/>
      <c r="L102" s="16" t="s">
        <v>27</v>
      </c>
      <c r="M102" s="16" t="s">
        <v>22</v>
      </c>
      <c r="N102" s="39" t="s">
        <v>418</v>
      </c>
    </row>
    <row r="103" spans="1:14" s="12" customFormat="1" ht="18">
      <c r="A103" s="180" t="s">
        <v>62</v>
      </c>
      <c r="B103" s="75" t="s">
        <v>1155</v>
      </c>
      <c r="C103" s="39" t="s">
        <v>17</v>
      </c>
      <c r="D103" s="236"/>
      <c r="E103" s="236"/>
      <c r="F103" s="236"/>
      <c r="G103" s="236"/>
      <c r="H103" s="40">
        <f>SUM(Tabla132112413[[#This Row],[PRIMER TRIMESTRE]:[CUARTO TRIMESTRE]])</f>
        <v>0</v>
      </c>
      <c r="I103" s="72">
        <v>600</v>
      </c>
      <c r="J103" s="17">
        <f t="shared" si="1"/>
        <v>0</v>
      </c>
      <c r="K103" s="17"/>
      <c r="L103" s="16" t="s">
        <v>27</v>
      </c>
      <c r="M103" s="16" t="s">
        <v>22</v>
      </c>
      <c r="N103" s="39" t="s">
        <v>418</v>
      </c>
    </row>
    <row r="104" spans="1:14" s="12" customFormat="1" ht="18">
      <c r="A104" s="180" t="s">
        <v>62</v>
      </c>
      <c r="B104" s="75" t="s">
        <v>1156</v>
      </c>
      <c r="C104" s="39" t="s">
        <v>17</v>
      </c>
      <c r="D104" s="39"/>
      <c r="E104" s="39"/>
      <c r="F104" s="39"/>
      <c r="G104" s="39"/>
      <c r="H104" s="39">
        <f>SUM(Tabla132112413[[#This Row],[PRIMER TRIMESTRE]:[CUARTO TRIMESTRE]])</f>
        <v>0</v>
      </c>
      <c r="I104" s="72">
        <v>700</v>
      </c>
      <c r="J104" s="17">
        <f t="shared" si="1"/>
        <v>0</v>
      </c>
      <c r="K104" s="17"/>
      <c r="L104" s="16" t="s">
        <v>27</v>
      </c>
      <c r="M104" s="16" t="s">
        <v>22</v>
      </c>
      <c r="N104" s="39" t="s">
        <v>418</v>
      </c>
    </row>
    <row r="105" spans="1:14" s="12" customFormat="1" ht="18">
      <c r="A105" s="180" t="s">
        <v>62</v>
      </c>
      <c r="B105" s="75" t="s">
        <v>1612</v>
      </c>
      <c r="C105" s="39" t="s">
        <v>17</v>
      </c>
      <c r="D105" s="39"/>
      <c r="E105" s="39"/>
      <c r="F105" s="39"/>
      <c r="G105" s="39"/>
      <c r="H105" s="39">
        <f>SUM(Tabla132112413[[#This Row],[PRIMER TRIMESTRE]:[CUARTO TRIMESTRE]])</f>
        <v>0</v>
      </c>
      <c r="I105" s="72">
        <v>835</v>
      </c>
      <c r="J105" s="17">
        <f t="shared" si="1"/>
        <v>0</v>
      </c>
      <c r="K105" s="17"/>
      <c r="L105" s="16" t="s">
        <v>27</v>
      </c>
      <c r="M105" s="16" t="s">
        <v>22</v>
      </c>
      <c r="N105" s="39" t="s">
        <v>418</v>
      </c>
    </row>
    <row r="106" spans="1:14" s="12" customFormat="1" ht="18">
      <c r="A106" s="180" t="s">
        <v>62</v>
      </c>
      <c r="B106" s="75" t="s">
        <v>1613</v>
      </c>
      <c r="C106" s="39" t="s">
        <v>17</v>
      </c>
      <c r="D106" s="39"/>
      <c r="E106" s="39"/>
      <c r="F106" s="39"/>
      <c r="G106" s="39"/>
      <c r="H106" s="39">
        <f>SUM(Tabla132112413[[#This Row],[PRIMER TRIMESTRE]:[CUARTO TRIMESTRE]])</f>
        <v>0</v>
      </c>
      <c r="I106" s="72">
        <v>618</v>
      </c>
      <c r="J106" s="17">
        <f t="shared" si="1"/>
        <v>0</v>
      </c>
      <c r="K106" s="17"/>
      <c r="L106" s="16" t="s">
        <v>27</v>
      </c>
      <c r="M106" s="16" t="s">
        <v>22</v>
      </c>
      <c r="N106" s="39" t="s">
        <v>418</v>
      </c>
    </row>
    <row r="107" spans="1:14" s="12" customFormat="1" ht="18">
      <c r="A107" s="180" t="s">
        <v>62</v>
      </c>
      <c r="B107" s="75" t="s">
        <v>1706</v>
      </c>
      <c r="C107" s="39" t="s">
        <v>17</v>
      </c>
      <c r="D107" s="236"/>
      <c r="E107" s="236"/>
      <c r="F107" s="236"/>
      <c r="G107" s="236"/>
      <c r="H107" s="40">
        <v>0</v>
      </c>
      <c r="I107" s="72">
        <v>0</v>
      </c>
      <c r="J107" s="17">
        <v>0</v>
      </c>
      <c r="K107" s="17"/>
      <c r="L107" s="16" t="s">
        <v>27</v>
      </c>
      <c r="M107" s="16" t="s">
        <v>22</v>
      </c>
      <c r="N107" s="39" t="s">
        <v>418</v>
      </c>
    </row>
    <row r="108" spans="1:14" s="12" customFormat="1" ht="18">
      <c r="A108" s="180" t="s">
        <v>62</v>
      </c>
      <c r="B108" s="75" t="s">
        <v>1614</v>
      </c>
      <c r="C108" s="39" t="s">
        <v>17</v>
      </c>
      <c r="D108" s="39"/>
      <c r="E108" s="39"/>
      <c r="F108" s="39"/>
      <c r="G108" s="39"/>
      <c r="H108" s="39">
        <f>SUM(Tabla132112413[[#This Row],[PRIMER TRIMESTRE]:[CUARTO TRIMESTRE]])</f>
        <v>0</v>
      </c>
      <c r="I108" s="72">
        <v>280</v>
      </c>
      <c r="J108" s="17">
        <f t="shared" si="1"/>
        <v>0</v>
      </c>
      <c r="K108" s="17"/>
      <c r="L108" s="16" t="s">
        <v>27</v>
      </c>
      <c r="M108" s="16" t="s">
        <v>22</v>
      </c>
      <c r="N108" s="39" t="s">
        <v>418</v>
      </c>
    </row>
    <row r="109" spans="1:14" s="12" customFormat="1" ht="18">
      <c r="A109" s="180" t="s">
        <v>62</v>
      </c>
      <c r="B109" s="75" t="s">
        <v>1615</v>
      </c>
      <c r="C109" s="39" t="s">
        <v>17</v>
      </c>
      <c r="D109" s="39"/>
      <c r="E109" s="39"/>
      <c r="F109" s="39"/>
      <c r="G109" s="39"/>
      <c r="H109" s="39">
        <f>SUM(Tabla132112413[[#This Row],[PRIMER TRIMESTRE]:[CUARTO TRIMESTRE]])</f>
        <v>0</v>
      </c>
      <c r="I109" s="72">
        <v>447.46</v>
      </c>
      <c r="J109" s="17">
        <f t="shared" si="1"/>
        <v>0</v>
      </c>
      <c r="K109" s="17"/>
      <c r="L109" s="16" t="s">
        <v>27</v>
      </c>
      <c r="M109" s="16" t="s">
        <v>22</v>
      </c>
      <c r="N109" s="39" t="s">
        <v>418</v>
      </c>
    </row>
    <row r="110" spans="1:14" s="12" customFormat="1" ht="18">
      <c r="A110" s="180" t="s">
        <v>62</v>
      </c>
      <c r="B110" s="75" t="s">
        <v>1616</v>
      </c>
      <c r="C110" s="39" t="s">
        <v>718</v>
      </c>
      <c r="D110" s="39"/>
      <c r="E110" s="39"/>
      <c r="F110" s="39"/>
      <c r="G110" s="39"/>
      <c r="H110" s="39">
        <f>SUM(Tabla132112413[[#This Row],[PRIMER TRIMESTRE]:[CUARTO TRIMESTRE]])</f>
        <v>0</v>
      </c>
      <c r="I110" s="72">
        <v>452.8</v>
      </c>
      <c r="J110" s="17">
        <f t="shared" si="1"/>
        <v>0</v>
      </c>
      <c r="K110" s="17"/>
      <c r="L110" s="16" t="s">
        <v>27</v>
      </c>
      <c r="M110" s="16" t="s">
        <v>22</v>
      </c>
      <c r="N110" s="39" t="s">
        <v>418</v>
      </c>
    </row>
    <row r="111" spans="1:14" s="12" customFormat="1" ht="18">
      <c r="A111" s="180" t="s">
        <v>62</v>
      </c>
      <c r="B111" s="75" t="s">
        <v>1617</v>
      </c>
      <c r="C111" s="39" t="s">
        <v>718</v>
      </c>
      <c r="D111" s="39"/>
      <c r="E111" s="39"/>
      <c r="F111" s="39"/>
      <c r="G111" s="39"/>
      <c r="H111" s="39">
        <f>SUM(Tabla132112413[[#This Row],[PRIMER TRIMESTRE]:[CUARTO TRIMESTRE]])</f>
        <v>0</v>
      </c>
      <c r="I111" s="72">
        <v>431</v>
      </c>
      <c r="J111" s="17">
        <f t="shared" si="1"/>
        <v>0</v>
      </c>
      <c r="K111" s="17"/>
      <c r="L111" s="16" t="s">
        <v>27</v>
      </c>
      <c r="M111" s="16" t="s">
        <v>22</v>
      </c>
      <c r="N111" s="39" t="s">
        <v>418</v>
      </c>
    </row>
    <row r="112" spans="1:14" s="12" customFormat="1" ht="18">
      <c r="A112" s="180" t="s">
        <v>62</v>
      </c>
      <c r="B112" s="75" t="s">
        <v>1618</v>
      </c>
      <c r="C112" s="39" t="s">
        <v>718</v>
      </c>
      <c r="D112" s="39"/>
      <c r="E112" s="39"/>
      <c r="F112" s="39"/>
      <c r="G112" s="39"/>
      <c r="H112" s="39">
        <f>SUM(Tabla132112413[[#This Row],[PRIMER TRIMESTRE]:[CUARTO TRIMESTRE]])</f>
        <v>0</v>
      </c>
      <c r="I112" s="72">
        <v>145.30000000000001</v>
      </c>
      <c r="J112" s="17">
        <f t="shared" si="1"/>
        <v>0</v>
      </c>
      <c r="K112" s="17"/>
      <c r="L112" s="16" t="s">
        <v>27</v>
      </c>
      <c r="M112" s="16" t="s">
        <v>22</v>
      </c>
      <c r="N112" s="39" t="s">
        <v>418</v>
      </c>
    </row>
    <row r="113" spans="1:14" s="12" customFormat="1" ht="18">
      <c r="A113" s="180" t="s">
        <v>62</v>
      </c>
      <c r="B113" s="75" t="s">
        <v>1157</v>
      </c>
      <c r="C113" s="39" t="s">
        <v>17</v>
      </c>
      <c r="D113" s="236"/>
      <c r="E113" s="236"/>
      <c r="F113" s="236"/>
      <c r="G113" s="236"/>
      <c r="H113" s="40">
        <f>SUM(Tabla132112413[[#This Row],[PRIMER TRIMESTRE]:[CUARTO TRIMESTRE]])</f>
        <v>0</v>
      </c>
      <c r="I113" s="72">
        <v>800</v>
      </c>
      <c r="J113" s="17">
        <f t="shared" si="1"/>
        <v>0</v>
      </c>
      <c r="K113" s="17"/>
      <c r="L113" s="16" t="s">
        <v>27</v>
      </c>
      <c r="M113" s="16" t="s">
        <v>22</v>
      </c>
      <c r="N113" s="39" t="s">
        <v>418</v>
      </c>
    </row>
    <row r="114" spans="1:14" s="12" customFormat="1" ht="18">
      <c r="A114" s="180" t="s">
        <v>62</v>
      </c>
      <c r="B114" s="75" t="s">
        <v>1158</v>
      </c>
      <c r="C114" s="39" t="s">
        <v>17</v>
      </c>
      <c r="D114" s="236"/>
      <c r="E114" s="236"/>
      <c r="F114" s="236"/>
      <c r="G114" s="236"/>
      <c r="H114" s="40">
        <f>SUM(Tabla132112413[[#This Row],[PRIMER TRIMESTRE]:[CUARTO TRIMESTRE]])</f>
        <v>0</v>
      </c>
      <c r="I114" s="72">
        <v>900</v>
      </c>
      <c r="J114" s="17">
        <f t="shared" si="1"/>
        <v>0</v>
      </c>
      <c r="K114" s="17"/>
      <c r="L114" s="16" t="s">
        <v>27</v>
      </c>
      <c r="M114" s="16" t="s">
        <v>22</v>
      </c>
      <c r="N114" s="39" t="s">
        <v>418</v>
      </c>
    </row>
    <row r="115" spans="1:14" s="12" customFormat="1" ht="18">
      <c r="A115" s="180" t="s">
        <v>62</v>
      </c>
      <c r="B115" s="75" t="s">
        <v>1151</v>
      </c>
      <c r="C115" s="39" t="s">
        <v>17</v>
      </c>
      <c r="D115" s="236"/>
      <c r="E115" s="236"/>
      <c r="F115" s="236"/>
      <c r="G115" s="236"/>
      <c r="H115" s="40">
        <f>SUM(Tabla132112413[[#This Row],[PRIMER TRIMESTRE]:[CUARTO TRIMESTRE]])</f>
        <v>0</v>
      </c>
      <c r="I115" s="72">
        <v>375</v>
      </c>
      <c r="J115" s="17">
        <f t="shared" si="1"/>
        <v>0</v>
      </c>
      <c r="K115" s="17"/>
      <c r="L115" s="16" t="s">
        <v>27</v>
      </c>
      <c r="M115" s="16" t="s">
        <v>22</v>
      </c>
      <c r="N115" s="39" t="s">
        <v>418</v>
      </c>
    </row>
    <row r="116" spans="1:14" s="12" customFormat="1" ht="18">
      <c r="A116" s="180" t="s">
        <v>62</v>
      </c>
      <c r="B116" s="75" t="s">
        <v>1152</v>
      </c>
      <c r="C116" s="39" t="s">
        <v>17</v>
      </c>
      <c r="D116" s="236"/>
      <c r="E116" s="236"/>
      <c r="F116" s="236"/>
      <c r="G116" s="236"/>
      <c r="H116" s="40">
        <f>SUM(Tabla132112413[[#This Row],[PRIMER TRIMESTRE]:[CUARTO TRIMESTRE]])</f>
        <v>0</v>
      </c>
      <c r="I116" s="72">
        <v>1300</v>
      </c>
      <c r="J116" s="17">
        <f t="shared" si="1"/>
        <v>0</v>
      </c>
      <c r="K116" s="17"/>
      <c r="L116" s="16" t="s">
        <v>27</v>
      </c>
      <c r="M116" s="16" t="s">
        <v>22</v>
      </c>
      <c r="N116" s="39" t="s">
        <v>418</v>
      </c>
    </row>
    <row r="117" spans="1:14" s="12" customFormat="1" ht="18">
      <c r="A117" s="180" t="s">
        <v>62</v>
      </c>
      <c r="B117" s="75" t="s">
        <v>1153</v>
      </c>
      <c r="C117" s="39" t="s">
        <v>17</v>
      </c>
      <c r="D117" s="236"/>
      <c r="E117" s="236"/>
      <c r="F117" s="236"/>
      <c r="G117" s="236"/>
      <c r="H117" s="40">
        <f>SUM(Tabla132112413[[#This Row],[PRIMER TRIMESTRE]:[CUARTO TRIMESTRE]])</f>
        <v>0</v>
      </c>
      <c r="I117" s="72">
        <v>900</v>
      </c>
      <c r="J117" s="17">
        <f t="shared" si="1"/>
        <v>0</v>
      </c>
      <c r="K117" s="17"/>
      <c r="L117" s="16" t="s">
        <v>27</v>
      </c>
      <c r="M117" s="16" t="s">
        <v>22</v>
      </c>
      <c r="N117" s="39" t="s">
        <v>418</v>
      </c>
    </row>
    <row r="118" spans="1:14" s="12" customFormat="1" ht="18">
      <c r="A118" s="180" t="s">
        <v>62</v>
      </c>
      <c r="B118" s="75" t="s">
        <v>1154</v>
      </c>
      <c r="C118" s="39" t="s">
        <v>17</v>
      </c>
      <c r="D118" s="236"/>
      <c r="E118" s="236"/>
      <c r="F118" s="236"/>
      <c r="G118" s="236"/>
      <c r="H118" s="40">
        <f>SUM(Tabla132112413[[#This Row],[PRIMER TRIMESTRE]:[CUARTO TRIMESTRE]])</f>
        <v>0</v>
      </c>
      <c r="I118" s="72">
        <v>1800</v>
      </c>
      <c r="J118" s="17">
        <f t="shared" si="1"/>
        <v>0</v>
      </c>
      <c r="K118" s="17"/>
      <c r="L118" s="16" t="s">
        <v>27</v>
      </c>
      <c r="M118" s="16" t="s">
        <v>22</v>
      </c>
      <c r="N118" s="39" t="s">
        <v>418</v>
      </c>
    </row>
    <row r="119" spans="1:14" s="12" customFormat="1" ht="18">
      <c r="A119" s="180" t="s">
        <v>62</v>
      </c>
      <c r="B119" s="75" t="s">
        <v>1709</v>
      </c>
      <c r="C119" s="70" t="s">
        <v>17</v>
      </c>
      <c r="D119" s="236"/>
      <c r="E119" s="236"/>
      <c r="F119" s="236"/>
      <c r="G119" s="236"/>
      <c r="H119" s="40">
        <v>0</v>
      </c>
      <c r="I119" s="72">
        <v>0</v>
      </c>
      <c r="J119" s="17">
        <v>0</v>
      </c>
      <c r="K119" s="17"/>
      <c r="L119" s="16" t="s">
        <v>27</v>
      </c>
      <c r="M119" s="16" t="s">
        <v>22</v>
      </c>
      <c r="N119" s="39" t="s">
        <v>418</v>
      </c>
    </row>
    <row r="120" spans="1:14" s="26" customFormat="1" ht="18">
      <c r="A120" s="180" t="s">
        <v>62</v>
      </c>
      <c r="B120" s="77" t="s">
        <v>432</v>
      </c>
      <c r="C120" s="70" t="s">
        <v>17</v>
      </c>
      <c r="D120" s="210"/>
      <c r="E120" s="210"/>
      <c r="F120" s="210"/>
      <c r="G120" s="210"/>
      <c r="H120" s="406">
        <f>SUM(Tabla132112413[[#This Row],[PRIMER TRIMESTRE]:[CUARTO TRIMESTRE]])</f>
        <v>0</v>
      </c>
      <c r="I120" s="72">
        <v>350</v>
      </c>
      <c r="J120" s="17">
        <f>+Tabla132112413[[#This Row],[CANTIDAD TOTAL]]*Tabla132112413[[#This Row],[PRECIO UNITARIO ESTIMADO]]</f>
        <v>0</v>
      </c>
      <c r="K120" s="17"/>
      <c r="L120" s="16" t="s">
        <v>27</v>
      </c>
      <c r="M120" s="16" t="s">
        <v>22</v>
      </c>
      <c r="N120" s="39" t="s">
        <v>418</v>
      </c>
    </row>
    <row r="121" spans="1:14" s="26" customFormat="1" ht="18">
      <c r="A121" s="180" t="s">
        <v>62</v>
      </c>
      <c r="B121" s="77" t="s">
        <v>431</v>
      </c>
      <c r="C121" s="70" t="s">
        <v>17</v>
      </c>
      <c r="D121" s="210"/>
      <c r="E121" s="210"/>
      <c r="F121" s="210"/>
      <c r="G121" s="210"/>
      <c r="H121" s="406">
        <f>SUM(Tabla132112413[[#This Row],[PRIMER TRIMESTRE]:[CUARTO TRIMESTRE]])</f>
        <v>0</v>
      </c>
      <c r="I121" s="72">
        <v>397.45</v>
      </c>
      <c r="J121" s="17">
        <f>+Tabla132112413[[#This Row],[CANTIDAD TOTAL]]*Tabla132112413[[#This Row],[PRECIO UNITARIO ESTIMADO]]</f>
        <v>0</v>
      </c>
      <c r="K121" s="17"/>
      <c r="L121" s="16" t="s">
        <v>27</v>
      </c>
      <c r="M121" s="16" t="s">
        <v>22</v>
      </c>
      <c r="N121" s="39" t="s">
        <v>418</v>
      </c>
    </row>
    <row r="122" spans="1:14" s="26" customFormat="1" ht="18">
      <c r="A122" s="180" t="s">
        <v>62</v>
      </c>
      <c r="B122" s="75" t="s">
        <v>960</v>
      </c>
      <c r="C122" s="39" t="s">
        <v>17</v>
      </c>
      <c r="D122" s="236"/>
      <c r="E122" s="236"/>
      <c r="F122" s="236"/>
      <c r="G122" s="236"/>
      <c r="H122" s="40">
        <f>SUM(Tabla132112413[[#This Row],[PRIMER TRIMESTRE]:[CUARTO TRIMESTRE]])</f>
        <v>0</v>
      </c>
      <c r="I122" s="17">
        <v>400.75</v>
      </c>
      <c r="J122" s="17">
        <f>+H122*I122</f>
        <v>0</v>
      </c>
      <c r="K122" s="17"/>
      <c r="L122" s="16" t="s">
        <v>27</v>
      </c>
      <c r="M122" s="16" t="s">
        <v>22</v>
      </c>
      <c r="N122" s="39" t="s">
        <v>418</v>
      </c>
    </row>
    <row r="123" spans="1:14" s="12" customFormat="1" ht="18">
      <c r="A123" s="180" t="s">
        <v>62</v>
      </c>
      <c r="B123" s="75" t="s">
        <v>961</v>
      </c>
      <c r="C123" s="39" t="s">
        <v>17</v>
      </c>
      <c r="D123" s="236"/>
      <c r="E123" s="236"/>
      <c r="F123" s="236"/>
      <c r="G123" s="236"/>
      <c r="H123" s="40">
        <f>SUM(Tabla132112413[[#This Row],[PRIMER TRIMESTRE]:[CUARTO TRIMESTRE]])</f>
        <v>0</v>
      </c>
      <c r="I123" s="17">
        <v>216</v>
      </c>
      <c r="J123" s="17">
        <f>+H123*I123</f>
        <v>0</v>
      </c>
      <c r="K123" s="17"/>
      <c r="L123" s="16" t="s">
        <v>27</v>
      </c>
      <c r="M123" s="16" t="s">
        <v>22</v>
      </c>
      <c r="N123" s="39" t="s">
        <v>418</v>
      </c>
    </row>
    <row r="124" spans="1:14" s="12" customFormat="1" ht="18">
      <c r="A124" s="180" t="s">
        <v>62</v>
      </c>
      <c r="B124" s="75" t="s">
        <v>962</v>
      </c>
      <c r="C124" s="39" t="s">
        <v>17</v>
      </c>
      <c r="D124" s="236"/>
      <c r="E124" s="236"/>
      <c r="F124" s="236"/>
      <c r="G124" s="236"/>
      <c r="H124" s="40">
        <f>SUM(Tabla132112413[[#This Row],[PRIMER TRIMESTRE]:[CUARTO TRIMESTRE]])</f>
        <v>0</v>
      </c>
      <c r="I124" s="17">
        <v>249.67</v>
      </c>
      <c r="J124" s="17">
        <f>+H124*I124</f>
        <v>0</v>
      </c>
      <c r="K124" s="17"/>
      <c r="L124" s="16" t="s">
        <v>27</v>
      </c>
      <c r="M124" s="16" t="s">
        <v>22</v>
      </c>
      <c r="N124" s="39" t="s">
        <v>418</v>
      </c>
    </row>
    <row r="125" spans="1:14" s="12" customFormat="1" ht="18">
      <c r="A125" s="180" t="s">
        <v>62</v>
      </c>
      <c r="B125" s="77" t="s">
        <v>434</v>
      </c>
      <c r="C125" s="70" t="s">
        <v>17</v>
      </c>
      <c r="D125" s="210"/>
      <c r="E125" s="210"/>
      <c r="F125" s="210"/>
      <c r="G125" s="210"/>
      <c r="H125" s="406">
        <f>SUM(Tabla132112413[[#This Row],[PRIMER TRIMESTRE]:[CUARTO TRIMESTRE]])</f>
        <v>0</v>
      </c>
      <c r="I125" s="72">
        <v>1120.9100000000001</v>
      </c>
      <c r="J125" s="17">
        <f>+Tabla132112413[[#This Row],[CANTIDAD TOTAL]]*Tabla132112413[[#This Row],[PRECIO UNITARIO ESTIMADO]]</f>
        <v>0</v>
      </c>
      <c r="K125" s="17"/>
      <c r="L125" s="16" t="s">
        <v>27</v>
      </c>
      <c r="M125" s="16" t="s">
        <v>22</v>
      </c>
      <c r="N125" s="39" t="s">
        <v>418</v>
      </c>
    </row>
    <row r="126" spans="1:14" s="12" customFormat="1" ht="18">
      <c r="A126" s="180" t="s">
        <v>62</v>
      </c>
      <c r="B126" s="77" t="s">
        <v>76</v>
      </c>
      <c r="C126" s="70" t="s">
        <v>17</v>
      </c>
      <c r="D126" s="210"/>
      <c r="E126" s="210"/>
      <c r="F126" s="210"/>
      <c r="G126" s="210"/>
      <c r="H126" s="406">
        <f>SUM(Tabla132112413[[#This Row],[PRIMER TRIMESTRE]:[CUARTO TRIMESTRE]])</f>
        <v>0</v>
      </c>
      <c r="I126" s="17">
        <v>100.57</v>
      </c>
      <c r="J126" s="17">
        <f>+Tabla132112413[[#This Row],[CANTIDAD TOTAL]]*Tabla132112413[[#This Row],[PRECIO UNITARIO ESTIMADO]]</f>
        <v>0</v>
      </c>
      <c r="K126" s="17"/>
      <c r="L126" s="16" t="s">
        <v>27</v>
      </c>
      <c r="M126" s="16" t="s">
        <v>22</v>
      </c>
      <c r="N126" s="39" t="s">
        <v>418</v>
      </c>
    </row>
    <row r="127" spans="1:14" s="12" customFormat="1" ht="18">
      <c r="A127" s="180" t="s">
        <v>62</v>
      </c>
      <c r="B127" s="77" t="s">
        <v>433</v>
      </c>
      <c r="C127" s="70" t="s">
        <v>17</v>
      </c>
      <c r="D127" s="210"/>
      <c r="E127" s="210"/>
      <c r="F127" s="210"/>
      <c r="G127" s="210"/>
      <c r="H127" s="406">
        <f>SUM(Tabla132112413[[#This Row],[PRIMER TRIMESTRE]:[CUARTO TRIMESTRE]])</f>
        <v>0</v>
      </c>
      <c r="I127" s="17">
        <v>1144.23</v>
      </c>
      <c r="J127" s="17">
        <f>+Tabla132112413[[#This Row],[CANTIDAD TOTAL]]*Tabla132112413[[#This Row],[PRECIO UNITARIO ESTIMADO]]</f>
        <v>0</v>
      </c>
      <c r="K127" s="17"/>
      <c r="L127" s="16" t="s">
        <v>27</v>
      </c>
      <c r="M127" s="16" t="s">
        <v>22</v>
      </c>
      <c r="N127" s="39" t="s">
        <v>418</v>
      </c>
    </row>
    <row r="128" spans="1:14" s="12" customFormat="1" ht="18">
      <c r="A128" s="180" t="s">
        <v>62</v>
      </c>
      <c r="B128" s="77" t="s">
        <v>433</v>
      </c>
      <c r="C128" s="70" t="s">
        <v>17</v>
      </c>
      <c r="D128" s="210"/>
      <c r="E128" s="210"/>
      <c r="F128" s="210"/>
      <c r="G128" s="210"/>
      <c r="H128" s="210">
        <f>SUM(Tabla132112413[[#This Row],[PRIMER TRIMESTRE]:[CUARTO TRIMESTRE]])</f>
        <v>0</v>
      </c>
      <c r="I128" s="17">
        <v>280</v>
      </c>
      <c r="J128" s="17">
        <f>+H128*I128</f>
        <v>0</v>
      </c>
      <c r="K128" s="17"/>
      <c r="L128" s="16" t="s">
        <v>27</v>
      </c>
      <c r="M128" s="16" t="s">
        <v>22</v>
      </c>
      <c r="N128" s="39" t="s">
        <v>418</v>
      </c>
    </row>
    <row r="129" spans="1:14" s="12" customFormat="1" ht="18">
      <c r="A129" s="180" t="s">
        <v>62</v>
      </c>
      <c r="B129" s="77" t="s">
        <v>1159</v>
      </c>
      <c r="C129" s="70" t="s">
        <v>17</v>
      </c>
      <c r="D129" s="210"/>
      <c r="E129" s="210"/>
      <c r="F129" s="210"/>
      <c r="G129" s="210"/>
      <c r="H129" s="406">
        <f>SUM(Tabla132112413[[#This Row],[PRIMER TRIMESTRE]:[CUARTO TRIMESTRE]])</f>
        <v>0</v>
      </c>
      <c r="I129" s="17">
        <v>377</v>
      </c>
      <c r="J129" s="17">
        <f>+H129*I129</f>
        <v>0</v>
      </c>
      <c r="K129" s="17"/>
      <c r="L129" s="16" t="s">
        <v>27</v>
      </c>
      <c r="M129" s="16" t="s">
        <v>22</v>
      </c>
      <c r="N129" s="39" t="s">
        <v>418</v>
      </c>
    </row>
    <row r="130" spans="1:14" s="12" customFormat="1" ht="18">
      <c r="A130" s="180" t="s">
        <v>62</v>
      </c>
      <c r="B130" s="75" t="s">
        <v>78</v>
      </c>
      <c r="C130" s="39" t="s">
        <v>17</v>
      </c>
      <c r="D130" s="236"/>
      <c r="E130" s="236"/>
      <c r="F130" s="236"/>
      <c r="G130" s="236"/>
      <c r="H130" s="40">
        <f>SUM(Tabla132112413[[#This Row],[PRIMER TRIMESTRE]:[CUARTO TRIMESTRE]])</f>
        <v>0</v>
      </c>
      <c r="I130" s="17">
        <v>377</v>
      </c>
      <c r="J130" s="17">
        <f>+Tabla132112413[[#This Row],[CANTIDAD TOTAL]]*Tabla132112413[[#This Row],[PRECIO UNITARIO ESTIMADO]]</f>
        <v>0</v>
      </c>
      <c r="K130" s="17"/>
      <c r="L130" s="16" t="s">
        <v>27</v>
      </c>
      <c r="M130" s="16" t="s">
        <v>22</v>
      </c>
      <c r="N130" s="39" t="s">
        <v>418</v>
      </c>
    </row>
    <row r="131" spans="1:14" s="12" customFormat="1" ht="18">
      <c r="A131" s="180" t="s">
        <v>62</v>
      </c>
      <c r="B131" s="75" t="s">
        <v>1179</v>
      </c>
      <c r="C131" s="39" t="s">
        <v>17</v>
      </c>
      <c r="D131" s="236"/>
      <c r="E131" s="236"/>
      <c r="F131" s="236"/>
      <c r="G131" s="236"/>
      <c r="H131" s="40">
        <f>SUM(Tabla132112413[[#This Row],[PRIMER TRIMESTRE]:[CUARTO TRIMESTRE]])</f>
        <v>0</v>
      </c>
      <c r="I131" s="17">
        <v>350</v>
      </c>
      <c r="J131" s="17">
        <f t="shared" ref="J131:J138" si="2">+H131*I131</f>
        <v>0</v>
      </c>
      <c r="K131" s="17"/>
      <c r="L131" s="16" t="s">
        <v>27</v>
      </c>
      <c r="M131" s="16" t="s">
        <v>22</v>
      </c>
      <c r="N131" s="39" t="s">
        <v>418</v>
      </c>
    </row>
    <row r="132" spans="1:14" s="12" customFormat="1" ht="18">
      <c r="A132" s="180" t="s">
        <v>62</v>
      </c>
      <c r="B132" s="75" t="s">
        <v>1180</v>
      </c>
      <c r="C132" s="39" t="s">
        <v>17</v>
      </c>
      <c r="D132" s="236"/>
      <c r="E132" s="236"/>
      <c r="F132" s="236"/>
      <c r="G132" s="236"/>
      <c r="H132" s="40">
        <f>SUM(Tabla132112413[[#This Row],[PRIMER TRIMESTRE]:[CUARTO TRIMESTRE]])</f>
        <v>0</v>
      </c>
      <c r="I132" s="17">
        <v>350</v>
      </c>
      <c r="J132" s="17">
        <f t="shared" si="2"/>
        <v>0</v>
      </c>
      <c r="K132" s="17"/>
      <c r="L132" s="16" t="s">
        <v>27</v>
      </c>
      <c r="M132" s="16" t="s">
        <v>22</v>
      </c>
      <c r="N132" s="39" t="s">
        <v>418</v>
      </c>
    </row>
    <row r="133" spans="1:14" s="12" customFormat="1" ht="18">
      <c r="A133" s="180" t="s">
        <v>62</v>
      </c>
      <c r="B133" s="75" t="s">
        <v>1557</v>
      </c>
      <c r="C133" s="39" t="s">
        <v>17</v>
      </c>
      <c r="D133" s="236"/>
      <c r="E133" s="236"/>
      <c r="F133" s="236"/>
      <c r="G133" s="236"/>
      <c r="H133" s="40">
        <f>SUM(Tabla132112413[[#This Row],[PRIMER TRIMESTRE]:[CUARTO TRIMESTRE]])</f>
        <v>0</v>
      </c>
      <c r="I133" s="17">
        <v>220.66</v>
      </c>
      <c r="J133" s="17">
        <f t="shared" si="2"/>
        <v>0</v>
      </c>
      <c r="K133" s="17"/>
      <c r="L133" s="16" t="s">
        <v>27</v>
      </c>
      <c r="M133" s="16" t="s">
        <v>22</v>
      </c>
      <c r="N133" s="39" t="s">
        <v>418</v>
      </c>
    </row>
    <row r="134" spans="1:14" s="12" customFormat="1" ht="18">
      <c r="A134" s="180" t="s">
        <v>62</v>
      </c>
      <c r="B134" s="75" t="s">
        <v>1558</v>
      </c>
      <c r="C134" s="39" t="s">
        <v>17</v>
      </c>
      <c r="D134" s="236"/>
      <c r="E134" s="236"/>
      <c r="F134" s="236"/>
      <c r="G134" s="236"/>
      <c r="H134" s="40">
        <f>SUM(Tabla132112413[[#This Row],[PRIMER TRIMESTRE]:[CUARTO TRIMESTRE]])</f>
        <v>0</v>
      </c>
      <c r="I134" s="17">
        <v>353.52</v>
      </c>
      <c r="J134" s="17">
        <f t="shared" si="2"/>
        <v>0</v>
      </c>
      <c r="K134" s="17"/>
      <c r="L134" s="16" t="s">
        <v>27</v>
      </c>
      <c r="M134" s="16" t="s">
        <v>22</v>
      </c>
      <c r="N134" s="39" t="s">
        <v>418</v>
      </c>
    </row>
    <row r="135" spans="1:14" s="12" customFormat="1" ht="18">
      <c r="A135" s="180" t="s">
        <v>62</v>
      </c>
      <c r="B135" s="75" t="s">
        <v>1560</v>
      </c>
      <c r="C135" s="39" t="s">
        <v>17</v>
      </c>
      <c r="D135" s="236"/>
      <c r="E135" s="236"/>
      <c r="F135" s="236"/>
      <c r="G135" s="236"/>
      <c r="H135" s="40">
        <f>SUM(Tabla132112413[[#This Row],[PRIMER TRIMESTRE]:[CUARTO TRIMESTRE]])</f>
        <v>0</v>
      </c>
      <c r="I135" s="17">
        <v>147.30000000000001</v>
      </c>
      <c r="J135" s="17">
        <f t="shared" si="2"/>
        <v>0</v>
      </c>
      <c r="K135" s="17"/>
      <c r="L135" s="16" t="s">
        <v>27</v>
      </c>
      <c r="M135" s="16" t="s">
        <v>22</v>
      </c>
      <c r="N135" s="39" t="s">
        <v>418</v>
      </c>
    </row>
    <row r="136" spans="1:14" s="12" customFormat="1" ht="18">
      <c r="A136" s="180" t="s">
        <v>62</v>
      </c>
      <c r="B136" s="75" t="s">
        <v>1559</v>
      </c>
      <c r="C136" s="39" t="s">
        <v>17</v>
      </c>
      <c r="D136" s="236"/>
      <c r="E136" s="236"/>
      <c r="F136" s="236"/>
      <c r="G136" s="236"/>
      <c r="H136" s="40">
        <f>SUM(Tabla132112413[[#This Row],[PRIMER TRIMESTRE]:[CUARTO TRIMESTRE]])</f>
        <v>0</v>
      </c>
      <c r="I136" s="17">
        <v>6490.63</v>
      </c>
      <c r="J136" s="17">
        <f t="shared" si="2"/>
        <v>0</v>
      </c>
      <c r="K136" s="17"/>
      <c r="L136" s="16" t="s">
        <v>27</v>
      </c>
      <c r="M136" s="16" t="s">
        <v>22</v>
      </c>
      <c r="N136" s="39" t="s">
        <v>418</v>
      </c>
    </row>
    <row r="137" spans="1:14" s="12" customFormat="1" ht="18">
      <c r="A137" s="180" t="s">
        <v>62</v>
      </c>
      <c r="B137" s="75" t="s">
        <v>1554</v>
      </c>
      <c r="C137" s="39" t="s">
        <v>17</v>
      </c>
      <c r="D137" s="236"/>
      <c r="E137" s="236"/>
      <c r="F137" s="236"/>
      <c r="G137" s="236"/>
      <c r="H137" s="40">
        <f>SUM(Tabla132112413[[#This Row],[PRIMER TRIMESTRE]:[CUARTO TRIMESTRE]])</f>
        <v>0</v>
      </c>
      <c r="I137" s="17">
        <v>597.1</v>
      </c>
      <c r="J137" s="17">
        <f t="shared" si="2"/>
        <v>0</v>
      </c>
      <c r="K137" s="17"/>
      <c r="L137" s="16" t="s">
        <v>27</v>
      </c>
      <c r="M137" s="16" t="s">
        <v>22</v>
      </c>
      <c r="N137" s="39" t="s">
        <v>418</v>
      </c>
    </row>
    <row r="138" spans="1:14" s="12" customFormat="1" ht="18">
      <c r="A138" s="180" t="s">
        <v>62</v>
      </c>
      <c r="B138" s="75" t="s">
        <v>923</v>
      </c>
      <c r="C138" s="39" t="s">
        <v>17</v>
      </c>
      <c r="D138" s="236"/>
      <c r="E138" s="236"/>
      <c r="F138" s="236"/>
      <c r="G138" s="236"/>
      <c r="H138" s="40">
        <f>SUM(Tabla132112413[[#This Row],[PRIMER TRIMESTRE]:[CUARTO TRIMESTRE]])</f>
        <v>0</v>
      </c>
      <c r="I138" s="17">
        <v>5000</v>
      </c>
      <c r="J138" s="17">
        <f t="shared" si="2"/>
        <v>0</v>
      </c>
      <c r="K138" s="17"/>
      <c r="L138" s="16" t="s">
        <v>27</v>
      </c>
      <c r="M138" s="16" t="s">
        <v>22</v>
      </c>
      <c r="N138" s="39" t="s">
        <v>418</v>
      </c>
    </row>
    <row r="139" spans="1:14" s="12" customFormat="1" ht="18">
      <c r="A139" s="180" t="s">
        <v>62</v>
      </c>
      <c r="B139" s="77" t="s">
        <v>437</v>
      </c>
      <c r="C139" s="70" t="s">
        <v>17</v>
      </c>
      <c r="D139" s="210"/>
      <c r="E139" s="210"/>
      <c r="F139" s="210"/>
      <c r="G139" s="210"/>
      <c r="H139" s="406">
        <f>SUM(Tabla132112413[[#This Row],[PRIMER TRIMESTRE]:[CUARTO TRIMESTRE]])</f>
        <v>0</v>
      </c>
      <c r="I139" s="17">
        <v>125</v>
      </c>
      <c r="J139" s="17">
        <f>+Tabla132112413[[#This Row],[CANTIDAD TOTAL]]*Tabla132112413[[#This Row],[PRECIO UNITARIO ESTIMADO]]</f>
        <v>0</v>
      </c>
      <c r="K139" s="17"/>
      <c r="L139" s="16" t="s">
        <v>27</v>
      </c>
      <c r="M139" s="16" t="s">
        <v>22</v>
      </c>
      <c r="N139" s="39" t="s">
        <v>418</v>
      </c>
    </row>
    <row r="140" spans="1:14" s="12" customFormat="1" ht="18">
      <c r="A140" s="180" t="s">
        <v>62</v>
      </c>
      <c r="B140" s="77" t="s">
        <v>438</v>
      </c>
      <c r="C140" s="70" t="s">
        <v>17</v>
      </c>
      <c r="D140" s="210"/>
      <c r="E140" s="210"/>
      <c r="F140" s="210"/>
      <c r="G140" s="210"/>
      <c r="H140" s="406">
        <f>SUM(Tabla132112413[[#This Row],[PRIMER TRIMESTRE]:[CUARTO TRIMESTRE]])</f>
        <v>0</v>
      </c>
      <c r="I140" s="17">
        <v>80</v>
      </c>
      <c r="J140" s="17">
        <f>+Tabla132112413[[#This Row],[CANTIDAD TOTAL]]*Tabla132112413[[#This Row],[PRECIO UNITARIO ESTIMADO]]</f>
        <v>0</v>
      </c>
      <c r="K140" s="17"/>
      <c r="L140" s="16" t="s">
        <v>27</v>
      </c>
      <c r="M140" s="16" t="s">
        <v>22</v>
      </c>
      <c r="N140" s="39" t="s">
        <v>418</v>
      </c>
    </row>
    <row r="141" spans="1:14" s="12" customFormat="1" ht="18">
      <c r="A141" s="180" t="s">
        <v>62</v>
      </c>
      <c r="B141" s="77" t="s">
        <v>430</v>
      </c>
      <c r="C141" s="70" t="s">
        <v>17</v>
      </c>
      <c r="D141" s="210"/>
      <c r="E141" s="210"/>
      <c r="F141" s="210"/>
      <c r="G141" s="210"/>
      <c r="H141" s="406">
        <f>SUM(Tabla132112413[[#This Row],[PRIMER TRIMESTRE]:[CUARTO TRIMESTRE]])</f>
        <v>0</v>
      </c>
      <c r="I141" s="17">
        <v>46.8</v>
      </c>
      <c r="J141" s="17">
        <f>+Tabla132112413[[#This Row],[CANTIDAD TOTAL]]*Tabla132112413[[#This Row],[PRECIO UNITARIO ESTIMADO]]</f>
        <v>0</v>
      </c>
      <c r="K141" s="17"/>
      <c r="L141" s="16" t="s">
        <v>27</v>
      </c>
      <c r="M141" s="16" t="s">
        <v>22</v>
      </c>
      <c r="N141" s="39" t="s">
        <v>418</v>
      </c>
    </row>
    <row r="142" spans="1:14" s="12" customFormat="1" ht="18">
      <c r="A142" s="180" t="s">
        <v>62</v>
      </c>
      <c r="B142" s="77" t="s">
        <v>139</v>
      </c>
      <c r="C142" s="70" t="s">
        <v>17</v>
      </c>
      <c r="D142" s="210"/>
      <c r="E142" s="210"/>
      <c r="F142" s="210"/>
      <c r="G142" s="210"/>
      <c r="H142" s="406">
        <f>SUM(Tabla132112413[[#This Row],[PRIMER TRIMESTRE]:[CUARTO TRIMESTRE]])</f>
        <v>0</v>
      </c>
      <c r="I142" s="17">
        <v>180</v>
      </c>
      <c r="J142" s="17">
        <f>+Tabla132112413[[#This Row],[CANTIDAD TOTAL]]*Tabla132112413[[#This Row],[PRECIO UNITARIO ESTIMADO]]</f>
        <v>0</v>
      </c>
      <c r="K142" s="17"/>
      <c r="L142" s="16" t="s">
        <v>27</v>
      </c>
      <c r="M142" s="16" t="s">
        <v>22</v>
      </c>
      <c r="N142" s="39" t="s">
        <v>418</v>
      </c>
    </row>
    <row r="143" spans="1:14" s="12" customFormat="1" ht="18">
      <c r="A143" s="180" t="s">
        <v>62</v>
      </c>
      <c r="B143" s="75" t="s">
        <v>1170</v>
      </c>
      <c r="C143" s="39" t="s">
        <v>1162</v>
      </c>
      <c r="D143" s="236"/>
      <c r="E143" s="236"/>
      <c r="F143" s="236"/>
      <c r="G143" s="236"/>
      <c r="H143" s="40">
        <f>SUM(Tabla132112413[[#This Row],[PRIMER TRIMESTRE]:[CUARTO TRIMESTRE]])</f>
        <v>0</v>
      </c>
      <c r="I143" s="17">
        <v>11000</v>
      </c>
      <c r="J143" s="17">
        <f>+H143*I143</f>
        <v>0</v>
      </c>
      <c r="K143" s="17"/>
      <c r="L143" s="16" t="s">
        <v>27</v>
      </c>
      <c r="M143" s="16" t="s">
        <v>22</v>
      </c>
      <c r="N143" s="39" t="s">
        <v>418</v>
      </c>
    </row>
    <row r="144" spans="1:14" s="169" customFormat="1" ht="18">
      <c r="A144" s="180" t="s">
        <v>62</v>
      </c>
      <c r="B144" s="75" t="s">
        <v>1171</v>
      </c>
      <c r="C144" s="39" t="s">
        <v>1162</v>
      </c>
      <c r="D144" s="236"/>
      <c r="E144" s="236"/>
      <c r="F144" s="236"/>
      <c r="G144" s="236"/>
      <c r="H144" s="40">
        <f>SUM(Tabla132112413[[#This Row],[PRIMER TRIMESTRE]:[CUARTO TRIMESTRE]])</f>
        <v>0</v>
      </c>
      <c r="I144" s="17">
        <v>11000</v>
      </c>
      <c r="J144" s="17">
        <f>+H144*I144</f>
        <v>0</v>
      </c>
      <c r="K144" s="17"/>
      <c r="L144" s="16" t="s">
        <v>27</v>
      </c>
      <c r="M144" s="16" t="s">
        <v>22</v>
      </c>
      <c r="N144" s="39" t="s">
        <v>418</v>
      </c>
    </row>
    <row r="145" spans="1:14" s="169" customFormat="1" ht="18">
      <c r="A145" s="180" t="s">
        <v>62</v>
      </c>
      <c r="B145" s="75" t="s">
        <v>1344</v>
      </c>
      <c r="C145" s="70" t="s">
        <v>17</v>
      </c>
      <c r="D145" s="236"/>
      <c r="E145" s="236"/>
      <c r="F145" s="236"/>
      <c r="G145" s="236"/>
      <c r="H145" s="40">
        <f>SUM(Tabla132112413[[#This Row],[PRIMER TRIMESTRE]:[CUARTO TRIMESTRE]])</f>
        <v>0</v>
      </c>
      <c r="I145" s="17">
        <v>29.5</v>
      </c>
      <c r="J145" s="17">
        <f>+H145*I145</f>
        <v>0</v>
      </c>
      <c r="K145" s="17"/>
      <c r="L145" s="16" t="s">
        <v>27</v>
      </c>
      <c r="M145" s="16" t="s">
        <v>22</v>
      </c>
      <c r="N145" s="39" t="s">
        <v>418</v>
      </c>
    </row>
    <row r="146" spans="1:14" s="12" customFormat="1" ht="18">
      <c r="A146" s="180" t="s">
        <v>62</v>
      </c>
      <c r="B146" s="75" t="s">
        <v>1710</v>
      </c>
      <c r="C146" s="70" t="s">
        <v>17</v>
      </c>
      <c r="D146" s="236"/>
      <c r="E146" s="236"/>
      <c r="F146" s="236"/>
      <c r="G146" s="236"/>
      <c r="H146" s="40">
        <v>0</v>
      </c>
      <c r="I146" s="17">
        <v>0</v>
      </c>
      <c r="J146" s="17">
        <v>0</v>
      </c>
      <c r="K146" s="17"/>
      <c r="L146" s="16" t="s">
        <v>27</v>
      </c>
      <c r="M146" s="16" t="s">
        <v>22</v>
      </c>
      <c r="N146" s="70" t="s">
        <v>418</v>
      </c>
    </row>
    <row r="147" spans="1:14" s="12" customFormat="1" ht="18">
      <c r="A147" s="180" t="s">
        <v>62</v>
      </c>
      <c r="B147" s="77" t="s">
        <v>107</v>
      </c>
      <c r="C147" s="70" t="s">
        <v>17</v>
      </c>
      <c r="D147" s="210"/>
      <c r="E147" s="210"/>
      <c r="F147" s="210"/>
      <c r="G147" s="210"/>
      <c r="H147" s="406">
        <f>SUM(Tabla132112413[[#This Row],[PRIMER TRIMESTRE]:[CUARTO TRIMESTRE]])</f>
        <v>0</v>
      </c>
      <c r="I147" s="72">
        <v>86.24</v>
      </c>
      <c r="J147" s="72">
        <f>+Tabla132112413[[#This Row],[CANTIDAD TOTAL]]*Tabla132112413[[#This Row],[PRECIO UNITARIO ESTIMADO]]</f>
        <v>0</v>
      </c>
      <c r="K147" s="72"/>
      <c r="L147" s="16" t="s">
        <v>27</v>
      </c>
      <c r="M147" s="16" t="s">
        <v>22</v>
      </c>
      <c r="N147" s="70" t="s">
        <v>418</v>
      </c>
    </row>
    <row r="148" spans="1:14" s="12" customFormat="1" ht="18">
      <c r="A148" s="180" t="s">
        <v>62</v>
      </c>
      <c r="B148" s="77" t="s">
        <v>598</v>
      </c>
      <c r="C148" s="70" t="s">
        <v>17</v>
      </c>
      <c r="D148" s="210"/>
      <c r="E148" s="210"/>
      <c r="F148" s="210"/>
      <c r="G148" s="210"/>
      <c r="H148" s="406">
        <f>SUM(Tabla132112413[[#This Row],[PRIMER TRIMESTRE]:[CUARTO TRIMESTRE]])</f>
        <v>0</v>
      </c>
      <c r="I148" s="17">
        <v>153.05000000000001</v>
      </c>
      <c r="J148" s="17">
        <f>+Tabla132112413[[#This Row],[CANTIDAD TOTAL]]*Tabla132112413[[#This Row],[PRECIO UNITARIO ESTIMADO]]</f>
        <v>0</v>
      </c>
      <c r="K148" s="17"/>
      <c r="L148" s="16" t="s">
        <v>27</v>
      </c>
      <c r="M148" s="16" t="s">
        <v>22</v>
      </c>
      <c r="N148" s="39" t="s">
        <v>418</v>
      </c>
    </row>
    <row r="149" spans="1:14" s="12" customFormat="1" ht="18">
      <c r="A149" s="180" t="s">
        <v>62</v>
      </c>
      <c r="B149" s="77" t="s">
        <v>599</v>
      </c>
      <c r="C149" s="70" t="s">
        <v>17</v>
      </c>
      <c r="D149" s="210"/>
      <c r="E149" s="210"/>
      <c r="F149" s="210"/>
      <c r="G149" s="210"/>
      <c r="H149" s="406">
        <f>SUM(Tabla132112413[[#This Row],[PRIMER TRIMESTRE]:[CUARTO TRIMESTRE]])</f>
        <v>0</v>
      </c>
      <c r="I149" s="17">
        <v>72.88</v>
      </c>
      <c r="J149" s="17">
        <f>+H149*I149</f>
        <v>0</v>
      </c>
      <c r="K149" s="17"/>
      <c r="L149" s="16" t="s">
        <v>27</v>
      </c>
      <c r="M149" s="16" t="s">
        <v>22</v>
      </c>
      <c r="N149" s="39" t="s">
        <v>418</v>
      </c>
    </row>
    <row r="150" spans="1:14" s="12" customFormat="1" ht="18">
      <c r="A150" s="180" t="s">
        <v>62</v>
      </c>
      <c r="B150" s="77" t="s">
        <v>600</v>
      </c>
      <c r="C150" s="70" t="s">
        <v>17</v>
      </c>
      <c r="D150" s="210"/>
      <c r="E150" s="210"/>
      <c r="F150" s="210"/>
      <c r="G150" s="210"/>
      <c r="H150" s="406">
        <f>SUM(Tabla132112413[[#This Row],[PRIMER TRIMESTRE]:[CUARTO TRIMESTRE]])</f>
        <v>0</v>
      </c>
      <c r="I150" s="17">
        <v>86</v>
      </c>
      <c r="J150" s="17">
        <f>+Tabla132112413[[#This Row],[CANTIDAD TOTAL]]*Tabla132112413[[#This Row],[PRECIO UNITARIO ESTIMADO]]</f>
        <v>0</v>
      </c>
      <c r="K150" s="17"/>
      <c r="L150" s="16" t="s">
        <v>27</v>
      </c>
      <c r="M150" s="16" t="s">
        <v>22</v>
      </c>
      <c r="N150" s="39" t="s">
        <v>418</v>
      </c>
    </row>
    <row r="151" spans="1:14" s="12" customFormat="1" ht="18">
      <c r="A151" s="180" t="s">
        <v>62</v>
      </c>
      <c r="B151" s="77" t="s">
        <v>601</v>
      </c>
      <c r="C151" s="70" t="s">
        <v>17</v>
      </c>
      <c r="D151" s="210"/>
      <c r="E151" s="210"/>
      <c r="F151" s="210"/>
      <c r="G151" s="210"/>
      <c r="H151" s="406">
        <f>SUM(Tabla132112413[[#This Row],[PRIMER TRIMESTRE]:[CUARTO TRIMESTRE]])</f>
        <v>0</v>
      </c>
      <c r="I151" s="17">
        <v>158.88</v>
      </c>
      <c r="J151" s="17">
        <f>+H151*I151</f>
        <v>0</v>
      </c>
      <c r="K151" s="17"/>
      <c r="L151" s="16" t="s">
        <v>27</v>
      </c>
      <c r="M151" s="16" t="s">
        <v>22</v>
      </c>
      <c r="N151" s="39" t="s">
        <v>418</v>
      </c>
    </row>
    <row r="152" spans="1:14" s="12" customFormat="1" ht="18">
      <c r="A152" s="180" t="s">
        <v>62</v>
      </c>
      <c r="B152" s="75" t="s">
        <v>1160</v>
      </c>
      <c r="C152" s="39" t="s">
        <v>1162</v>
      </c>
      <c r="D152" s="236"/>
      <c r="E152" s="236"/>
      <c r="F152" s="236"/>
      <c r="G152" s="236"/>
      <c r="H152" s="40">
        <f>SUM(Tabla132112413[[#This Row],[PRIMER TRIMESTRE]:[CUARTO TRIMESTRE]])</f>
        <v>0</v>
      </c>
      <c r="I152" s="17">
        <v>2000</v>
      </c>
      <c r="J152" s="17">
        <f>+H152*I152</f>
        <v>0</v>
      </c>
      <c r="K152" s="17"/>
      <c r="L152" s="16" t="s">
        <v>27</v>
      </c>
      <c r="M152" s="16" t="s">
        <v>22</v>
      </c>
      <c r="N152" s="39" t="s">
        <v>418</v>
      </c>
    </row>
    <row r="153" spans="1:14" s="12" customFormat="1" ht="18">
      <c r="A153" s="180" t="s">
        <v>62</v>
      </c>
      <c r="B153" s="75" t="s">
        <v>1161</v>
      </c>
      <c r="C153" s="39" t="s">
        <v>1162</v>
      </c>
      <c r="D153" s="236"/>
      <c r="E153" s="236"/>
      <c r="F153" s="236"/>
      <c r="G153" s="236"/>
      <c r="H153" s="40">
        <f>SUM(Tabla132112413[[#This Row],[PRIMER TRIMESTRE]:[CUARTO TRIMESTRE]])</f>
        <v>0</v>
      </c>
      <c r="I153" s="17">
        <v>2000</v>
      </c>
      <c r="J153" s="17">
        <f>+H153*I153</f>
        <v>0</v>
      </c>
      <c r="K153" s="17"/>
      <c r="L153" s="16" t="s">
        <v>27</v>
      </c>
      <c r="M153" s="16" t="s">
        <v>22</v>
      </c>
      <c r="N153" s="39" t="s">
        <v>418</v>
      </c>
    </row>
    <row r="154" spans="1:14" s="12" customFormat="1" ht="18">
      <c r="A154" s="180" t="s">
        <v>62</v>
      </c>
      <c r="B154" s="75" t="s">
        <v>1849</v>
      </c>
      <c r="C154" s="39" t="s">
        <v>17</v>
      </c>
      <c r="D154" s="236"/>
      <c r="E154" s="236"/>
      <c r="F154" s="236"/>
      <c r="G154" s="236"/>
      <c r="H154" s="40">
        <v>0</v>
      </c>
      <c r="I154" s="17">
        <v>0</v>
      </c>
      <c r="J154" s="17">
        <v>0</v>
      </c>
      <c r="K154" s="17"/>
      <c r="L154" s="16" t="s">
        <v>27</v>
      </c>
      <c r="M154" s="16" t="s">
        <v>22</v>
      </c>
      <c r="N154" s="39" t="s">
        <v>418</v>
      </c>
    </row>
    <row r="155" spans="1:14" s="12" customFormat="1" ht="18">
      <c r="A155" s="180" t="s">
        <v>62</v>
      </c>
      <c r="B155" s="77" t="s">
        <v>1705</v>
      </c>
      <c r="C155" s="70" t="s">
        <v>17</v>
      </c>
      <c r="D155" s="236"/>
      <c r="E155" s="236"/>
      <c r="F155" s="236"/>
      <c r="G155" s="236"/>
      <c r="H155" s="40">
        <v>0</v>
      </c>
      <c r="I155" s="17">
        <v>0</v>
      </c>
      <c r="J155" s="17">
        <v>0</v>
      </c>
      <c r="K155" s="17"/>
      <c r="L155" s="16" t="s">
        <v>27</v>
      </c>
      <c r="M155" s="16" t="s">
        <v>22</v>
      </c>
      <c r="N155" s="39" t="s">
        <v>418</v>
      </c>
    </row>
    <row r="156" spans="1:14" s="12" customFormat="1" ht="18">
      <c r="A156" s="180" t="s">
        <v>62</v>
      </c>
      <c r="B156" s="77" t="s">
        <v>144</v>
      </c>
      <c r="C156" s="70" t="s">
        <v>17</v>
      </c>
      <c r="D156" s="210"/>
      <c r="E156" s="210"/>
      <c r="F156" s="210"/>
      <c r="G156" s="210"/>
      <c r="H156" s="406">
        <f>SUM(Tabla132112413[[#This Row],[PRIMER TRIMESTRE]:[CUARTO TRIMESTRE]])</f>
        <v>0</v>
      </c>
      <c r="I156" s="17">
        <v>62.87</v>
      </c>
      <c r="J156" s="17">
        <f>+Tabla132112413[[#This Row],[CANTIDAD TOTAL]]*Tabla132112413[[#This Row],[PRECIO UNITARIO ESTIMADO]]</f>
        <v>0</v>
      </c>
      <c r="K156" s="17"/>
      <c r="L156" s="16" t="s">
        <v>27</v>
      </c>
      <c r="M156" s="16" t="s">
        <v>22</v>
      </c>
      <c r="N156" s="39" t="s">
        <v>418</v>
      </c>
    </row>
    <row r="157" spans="1:14" s="12" customFormat="1" ht="18">
      <c r="A157" s="180" t="s">
        <v>62</v>
      </c>
      <c r="B157" s="77" t="s">
        <v>1707</v>
      </c>
      <c r="C157" s="70" t="s">
        <v>17</v>
      </c>
      <c r="D157" s="210"/>
      <c r="E157" s="210"/>
      <c r="F157" s="210"/>
      <c r="G157" s="210"/>
      <c r="H157" s="406">
        <v>0</v>
      </c>
      <c r="I157" s="17">
        <v>0</v>
      </c>
      <c r="J157" s="17">
        <v>0</v>
      </c>
      <c r="K157" s="17"/>
      <c r="L157" s="16" t="s">
        <v>27</v>
      </c>
      <c r="M157" s="16" t="s">
        <v>22</v>
      </c>
      <c r="N157" s="39" t="s">
        <v>418</v>
      </c>
    </row>
    <row r="158" spans="1:14" s="12" customFormat="1" ht="18">
      <c r="A158" s="180" t="s">
        <v>62</v>
      </c>
      <c r="B158" s="77" t="s">
        <v>1708</v>
      </c>
      <c r="C158" s="70" t="s">
        <v>17</v>
      </c>
      <c r="D158" s="210"/>
      <c r="E158" s="210"/>
      <c r="F158" s="210"/>
      <c r="G158" s="210"/>
      <c r="H158" s="406">
        <v>0</v>
      </c>
      <c r="I158" s="17">
        <v>0</v>
      </c>
      <c r="J158" s="17">
        <v>0</v>
      </c>
      <c r="K158" s="17"/>
      <c r="L158" s="16" t="s">
        <v>27</v>
      </c>
      <c r="M158" s="16" t="s">
        <v>22</v>
      </c>
      <c r="N158" s="39" t="s">
        <v>418</v>
      </c>
    </row>
    <row r="159" spans="1:14" s="12" customFormat="1" ht="18">
      <c r="A159" s="180" t="s">
        <v>62</v>
      </c>
      <c r="B159" s="75" t="s">
        <v>1172</v>
      </c>
      <c r="C159" s="39" t="s">
        <v>1162</v>
      </c>
      <c r="D159" s="236"/>
      <c r="E159" s="236"/>
      <c r="F159" s="236"/>
      <c r="G159" s="236"/>
      <c r="H159" s="40">
        <f>SUM(Tabla132112413[[#This Row],[PRIMER TRIMESTRE]:[CUARTO TRIMESTRE]])</f>
        <v>0</v>
      </c>
      <c r="I159" s="17">
        <v>7800</v>
      </c>
      <c r="J159" s="17">
        <f t="shared" ref="J159:J168" si="3">+H159*I159</f>
        <v>0</v>
      </c>
      <c r="K159" s="17"/>
      <c r="L159" s="16" t="s">
        <v>27</v>
      </c>
      <c r="M159" s="16" t="s">
        <v>22</v>
      </c>
      <c r="N159" s="39" t="s">
        <v>418</v>
      </c>
    </row>
    <row r="160" spans="1:14" s="12" customFormat="1" ht="18">
      <c r="A160" s="180" t="s">
        <v>62</v>
      </c>
      <c r="B160" s="75" t="s">
        <v>1173</v>
      </c>
      <c r="C160" s="39" t="s">
        <v>1162</v>
      </c>
      <c r="D160" s="236"/>
      <c r="E160" s="236"/>
      <c r="F160" s="236"/>
      <c r="G160" s="236"/>
      <c r="H160" s="40">
        <f>SUM(Tabla132112413[[#This Row],[PRIMER TRIMESTRE]:[CUARTO TRIMESTRE]])</f>
        <v>0</v>
      </c>
      <c r="I160" s="17">
        <v>7800</v>
      </c>
      <c r="J160" s="17">
        <f t="shared" si="3"/>
        <v>0</v>
      </c>
      <c r="K160" s="17"/>
      <c r="L160" s="16" t="s">
        <v>27</v>
      </c>
      <c r="M160" s="16" t="s">
        <v>22</v>
      </c>
      <c r="N160" s="39" t="s">
        <v>418</v>
      </c>
    </row>
    <row r="161" spans="1:14" s="12" customFormat="1" ht="18">
      <c r="A161" s="180" t="s">
        <v>62</v>
      </c>
      <c r="B161" s="75" t="s">
        <v>1174</v>
      </c>
      <c r="C161" s="39" t="s">
        <v>17</v>
      </c>
      <c r="D161" s="236"/>
      <c r="E161" s="236"/>
      <c r="F161" s="236"/>
      <c r="G161" s="236"/>
      <c r="H161" s="40">
        <f>SUM(Tabla132112413[[#This Row],[PRIMER TRIMESTRE]:[CUARTO TRIMESTRE]])</f>
        <v>0</v>
      </c>
      <c r="I161" s="17">
        <v>5500</v>
      </c>
      <c r="J161" s="17">
        <f t="shared" si="3"/>
        <v>0</v>
      </c>
      <c r="K161" s="17"/>
      <c r="L161" s="16" t="s">
        <v>27</v>
      </c>
      <c r="M161" s="16" t="s">
        <v>22</v>
      </c>
      <c r="N161" s="39" t="s">
        <v>418</v>
      </c>
    </row>
    <row r="162" spans="1:14" s="12" customFormat="1" ht="18">
      <c r="A162" s="180" t="s">
        <v>62</v>
      </c>
      <c r="B162" s="75" t="s">
        <v>1175</v>
      </c>
      <c r="C162" s="39" t="s">
        <v>17</v>
      </c>
      <c r="D162" s="236"/>
      <c r="E162" s="236"/>
      <c r="F162" s="236"/>
      <c r="G162" s="236"/>
      <c r="H162" s="40">
        <f>SUM(Tabla132112413[[#This Row],[PRIMER TRIMESTRE]:[CUARTO TRIMESTRE]])</f>
        <v>0</v>
      </c>
      <c r="I162" s="17">
        <v>7000</v>
      </c>
      <c r="J162" s="17">
        <f t="shared" si="3"/>
        <v>0</v>
      </c>
      <c r="K162" s="17"/>
      <c r="L162" s="16" t="s">
        <v>27</v>
      </c>
      <c r="M162" s="16" t="s">
        <v>22</v>
      </c>
      <c r="N162" s="39" t="s">
        <v>418</v>
      </c>
    </row>
    <row r="163" spans="1:14" s="12" customFormat="1" ht="18">
      <c r="A163" s="180" t="s">
        <v>62</v>
      </c>
      <c r="B163" s="75" t="s">
        <v>1176</v>
      </c>
      <c r="C163" s="39" t="s">
        <v>17</v>
      </c>
      <c r="D163" s="236"/>
      <c r="E163" s="236"/>
      <c r="F163" s="236"/>
      <c r="G163" s="236"/>
      <c r="H163" s="40">
        <f>SUM(Tabla132112413[[#This Row],[PRIMER TRIMESTRE]:[CUARTO TRIMESTRE]])</f>
        <v>0</v>
      </c>
      <c r="I163" s="17">
        <v>9000</v>
      </c>
      <c r="J163" s="17">
        <f t="shared" si="3"/>
        <v>0</v>
      </c>
      <c r="K163" s="17"/>
      <c r="L163" s="16" t="s">
        <v>27</v>
      </c>
      <c r="M163" s="16" t="s">
        <v>22</v>
      </c>
      <c r="N163" s="39" t="s">
        <v>418</v>
      </c>
    </row>
    <row r="164" spans="1:14" s="12" customFormat="1" ht="18">
      <c r="A164" s="180" t="s">
        <v>62</v>
      </c>
      <c r="B164" s="75" t="s">
        <v>1177</v>
      </c>
      <c r="C164" s="39" t="s">
        <v>17</v>
      </c>
      <c r="D164" s="236"/>
      <c r="E164" s="236"/>
      <c r="F164" s="236"/>
      <c r="G164" s="236"/>
      <c r="H164" s="40">
        <f>SUM(Tabla132112413[[#This Row],[PRIMER TRIMESTRE]:[CUARTO TRIMESTRE]])</f>
        <v>0</v>
      </c>
      <c r="I164" s="17">
        <v>11600</v>
      </c>
      <c r="J164" s="17">
        <f t="shared" si="3"/>
        <v>0</v>
      </c>
      <c r="K164" s="17"/>
      <c r="L164" s="16" t="s">
        <v>27</v>
      </c>
      <c r="M164" s="16" t="s">
        <v>22</v>
      </c>
      <c r="N164" s="39" t="s">
        <v>418</v>
      </c>
    </row>
    <row r="165" spans="1:14" s="12" customFormat="1" ht="18">
      <c r="A165" s="180" t="s">
        <v>62</v>
      </c>
      <c r="B165" s="75" t="s">
        <v>1178</v>
      </c>
      <c r="C165" s="39" t="s">
        <v>17</v>
      </c>
      <c r="D165" s="236"/>
      <c r="E165" s="236"/>
      <c r="F165" s="236"/>
      <c r="G165" s="236"/>
      <c r="H165" s="40">
        <f>SUM(Tabla132112413[[#This Row],[PRIMER TRIMESTRE]:[CUARTO TRIMESTRE]])</f>
        <v>0</v>
      </c>
      <c r="I165" s="17">
        <v>11600</v>
      </c>
      <c r="J165" s="17">
        <f t="shared" si="3"/>
        <v>0</v>
      </c>
      <c r="K165" s="17"/>
      <c r="L165" s="16" t="s">
        <v>27</v>
      </c>
      <c r="M165" s="16" t="s">
        <v>22</v>
      </c>
      <c r="N165" s="39" t="s">
        <v>418</v>
      </c>
    </row>
    <row r="166" spans="1:14" s="12" customFormat="1" ht="18">
      <c r="A166" s="180" t="s">
        <v>62</v>
      </c>
      <c r="B166" s="75" t="s">
        <v>1163</v>
      </c>
      <c r="C166" s="39" t="s">
        <v>17</v>
      </c>
      <c r="D166" s="236"/>
      <c r="E166" s="236"/>
      <c r="F166" s="236"/>
      <c r="G166" s="236"/>
      <c r="H166" s="40">
        <f>SUM(Tabla132112413[[#This Row],[PRIMER TRIMESTRE]:[CUARTO TRIMESTRE]])</f>
        <v>0</v>
      </c>
      <c r="I166" s="17">
        <v>400</v>
      </c>
      <c r="J166" s="17">
        <f t="shared" si="3"/>
        <v>0</v>
      </c>
      <c r="K166" s="17"/>
      <c r="L166" s="16" t="s">
        <v>27</v>
      </c>
      <c r="M166" s="16" t="s">
        <v>22</v>
      </c>
      <c r="N166" s="39" t="s">
        <v>418</v>
      </c>
    </row>
    <row r="167" spans="1:14" s="12" customFormat="1" ht="18">
      <c r="A167" s="180" t="s">
        <v>62</v>
      </c>
      <c r="B167" s="75" t="s">
        <v>1164</v>
      </c>
      <c r="C167" s="39" t="s">
        <v>17</v>
      </c>
      <c r="D167" s="236"/>
      <c r="E167" s="236"/>
      <c r="F167" s="236"/>
      <c r="G167" s="236"/>
      <c r="H167" s="40">
        <f>SUM(Tabla132112413[[#This Row],[PRIMER TRIMESTRE]:[CUARTO TRIMESTRE]])</f>
        <v>0</v>
      </c>
      <c r="I167" s="17">
        <v>650</v>
      </c>
      <c r="J167" s="17">
        <f t="shared" si="3"/>
        <v>0</v>
      </c>
      <c r="K167" s="17"/>
      <c r="L167" s="16" t="s">
        <v>27</v>
      </c>
      <c r="M167" s="16" t="s">
        <v>22</v>
      </c>
      <c r="N167" s="39" t="s">
        <v>418</v>
      </c>
    </row>
    <row r="168" spans="1:14" s="12" customFormat="1" ht="18">
      <c r="A168" s="180" t="s">
        <v>62</v>
      </c>
      <c r="B168" s="75" t="s">
        <v>1165</v>
      </c>
      <c r="C168" s="39" t="s">
        <v>17</v>
      </c>
      <c r="D168" s="236"/>
      <c r="E168" s="236"/>
      <c r="F168" s="236"/>
      <c r="G168" s="236"/>
      <c r="H168" s="40">
        <f>SUM(Tabla132112413[[#This Row],[PRIMER TRIMESTRE]:[CUARTO TRIMESTRE]])</f>
        <v>0</v>
      </c>
      <c r="I168" s="17">
        <v>1300</v>
      </c>
      <c r="J168" s="17">
        <f t="shared" si="3"/>
        <v>0</v>
      </c>
      <c r="K168" s="17"/>
      <c r="L168" s="16" t="s">
        <v>27</v>
      </c>
      <c r="M168" s="16" t="s">
        <v>22</v>
      </c>
      <c r="N168" s="39" t="s">
        <v>418</v>
      </c>
    </row>
    <row r="169" spans="1:14" s="12" customFormat="1" ht="18">
      <c r="A169" s="180" t="s">
        <v>62</v>
      </c>
      <c r="B169" s="77" t="s">
        <v>158</v>
      </c>
      <c r="C169" s="70" t="s">
        <v>17</v>
      </c>
      <c r="D169" s="210"/>
      <c r="E169" s="210"/>
      <c r="F169" s="210"/>
      <c r="G169" s="210"/>
      <c r="H169" s="406">
        <f>SUM(Tabla132112413[[#This Row],[PRIMER TRIMESTRE]:[CUARTO TRIMESTRE]])</f>
        <v>0</v>
      </c>
      <c r="I169" s="17">
        <v>1120</v>
      </c>
      <c r="J169" s="17">
        <f>+Tabla132112413[[#This Row],[CANTIDAD TOTAL]]*Tabla132112413[[#This Row],[PRECIO UNITARIO ESTIMADO]]</f>
        <v>0</v>
      </c>
      <c r="K169" s="17"/>
      <c r="L169" s="16" t="s">
        <v>27</v>
      </c>
      <c r="M169" s="16" t="s">
        <v>22</v>
      </c>
      <c r="N169" s="39" t="s">
        <v>418</v>
      </c>
    </row>
    <row r="170" spans="1:14" s="12" customFormat="1" ht="18">
      <c r="A170" s="180" t="s">
        <v>62</v>
      </c>
      <c r="B170" s="77" t="s">
        <v>1287</v>
      </c>
      <c r="C170" s="70" t="s">
        <v>17</v>
      </c>
      <c r="D170" s="210"/>
      <c r="E170" s="210"/>
      <c r="F170" s="210"/>
      <c r="G170" s="210"/>
      <c r="H170" s="406">
        <f>SUM(Tabla132112413[[#This Row],[PRIMER TRIMESTRE]:[CUARTO TRIMESTRE]])</f>
        <v>0</v>
      </c>
      <c r="I170" s="17">
        <v>2700</v>
      </c>
      <c r="J170" s="17">
        <f>+H170*I170</f>
        <v>0</v>
      </c>
      <c r="K170" s="17"/>
      <c r="L170" s="16" t="s">
        <v>27</v>
      </c>
      <c r="M170" s="16" t="s">
        <v>22</v>
      </c>
      <c r="N170" s="39" t="s">
        <v>418</v>
      </c>
    </row>
    <row r="171" spans="1:14" s="12" customFormat="1" ht="18">
      <c r="A171" s="180" t="s">
        <v>62</v>
      </c>
      <c r="B171" s="77" t="s">
        <v>160</v>
      </c>
      <c r="C171" s="70" t="s">
        <v>17</v>
      </c>
      <c r="D171" s="210"/>
      <c r="E171" s="210"/>
      <c r="F171" s="210"/>
      <c r="G171" s="210"/>
      <c r="H171" s="406">
        <f>SUM(Tabla132112413[[#This Row],[PRIMER TRIMESTRE]:[CUARTO TRIMESTRE]])</f>
        <v>0</v>
      </c>
      <c r="I171" s="17">
        <v>1908</v>
      </c>
      <c r="J171" s="17">
        <f>+Tabla132112413[[#This Row],[CANTIDAD TOTAL]]*Tabla132112413[[#This Row],[PRECIO UNITARIO ESTIMADO]]</f>
        <v>0</v>
      </c>
      <c r="K171" s="17"/>
      <c r="L171" s="16" t="s">
        <v>27</v>
      </c>
      <c r="M171" s="16" t="s">
        <v>22</v>
      </c>
      <c r="N171" s="39" t="s">
        <v>418</v>
      </c>
    </row>
    <row r="172" spans="1:14" s="12" customFormat="1" ht="18">
      <c r="A172" s="180" t="s">
        <v>62</v>
      </c>
      <c r="B172" s="77" t="s">
        <v>1545</v>
      </c>
      <c r="C172" s="70" t="s">
        <v>17</v>
      </c>
      <c r="D172" s="210"/>
      <c r="E172" s="210"/>
      <c r="F172" s="210"/>
      <c r="G172" s="210"/>
      <c r="H172" s="406">
        <f>SUM(Tabla132112413[[#This Row],[PRIMER TRIMESTRE]:[CUARTO TRIMESTRE]])</f>
        <v>0</v>
      </c>
      <c r="I172" s="17">
        <v>506.75</v>
      </c>
      <c r="J172" s="17">
        <f>+H172*I172</f>
        <v>0</v>
      </c>
      <c r="K172" s="17"/>
      <c r="L172" s="16" t="s">
        <v>27</v>
      </c>
      <c r="M172" s="16" t="s">
        <v>22</v>
      </c>
      <c r="N172" s="39" t="s">
        <v>418</v>
      </c>
    </row>
    <row r="173" spans="1:14" s="12" customFormat="1" ht="18">
      <c r="A173" s="180" t="s">
        <v>62</v>
      </c>
      <c r="B173" s="77" t="s">
        <v>162</v>
      </c>
      <c r="C173" s="70" t="s">
        <v>17</v>
      </c>
      <c r="D173" s="210"/>
      <c r="E173" s="210"/>
      <c r="F173" s="210"/>
      <c r="G173" s="210"/>
      <c r="H173" s="406">
        <f>SUM(Tabla132112413[[#This Row],[PRIMER TRIMESTRE]:[CUARTO TRIMESTRE]])</f>
        <v>0</v>
      </c>
      <c r="I173" s="17">
        <v>29</v>
      </c>
      <c r="J173" s="17">
        <f>+Tabla132112413[[#This Row],[CANTIDAD TOTAL]]*Tabla132112413[[#This Row],[PRECIO UNITARIO ESTIMADO]]</f>
        <v>0</v>
      </c>
      <c r="K173" s="17"/>
      <c r="L173" s="16" t="s">
        <v>27</v>
      </c>
      <c r="M173" s="16" t="s">
        <v>22</v>
      </c>
      <c r="N173" s="39" t="s">
        <v>418</v>
      </c>
    </row>
    <row r="174" spans="1:14" s="12" customFormat="1" ht="18">
      <c r="A174" s="180" t="s">
        <v>62</v>
      </c>
      <c r="B174" s="77" t="s">
        <v>368</v>
      </c>
      <c r="C174" s="70" t="s">
        <v>17</v>
      </c>
      <c r="D174" s="210"/>
      <c r="E174" s="210"/>
      <c r="F174" s="210"/>
      <c r="G174" s="210"/>
      <c r="H174" s="406">
        <f>SUM(Tabla132112413[[#This Row],[PRIMER TRIMESTRE]:[CUARTO TRIMESTRE]])</f>
        <v>0</v>
      </c>
      <c r="I174" s="17">
        <v>75.400000000000006</v>
      </c>
      <c r="J174" s="17">
        <f>+H174*I174</f>
        <v>0</v>
      </c>
      <c r="K174" s="17"/>
      <c r="L174" s="16" t="s">
        <v>27</v>
      </c>
      <c r="M174" s="16" t="s">
        <v>22</v>
      </c>
      <c r="N174" s="39" t="s">
        <v>418</v>
      </c>
    </row>
    <row r="175" spans="1:14" s="12" customFormat="1" ht="18">
      <c r="A175" s="180" t="s">
        <v>62</v>
      </c>
      <c r="B175" s="77" t="s">
        <v>602</v>
      </c>
      <c r="C175" s="70" t="s">
        <v>17</v>
      </c>
      <c r="D175" s="210"/>
      <c r="E175" s="210"/>
      <c r="F175" s="210"/>
      <c r="G175" s="210"/>
      <c r="H175" s="406">
        <f>SUM(Tabla132112413[[#This Row],[PRIMER TRIMESTRE]:[CUARTO TRIMESTRE]])</f>
        <v>0</v>
      </c>
      <c r="I175" s="17">
        <v>90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</row>
    <row r="176" spans="1:14" s="12" customFormat="1" ht="18">
      <c r="A176" s="180" t="s">
        <v>62</v>
      </c>
      <c r="B176" s="77" t="s">
        <v>164</v>
      </c>
      <c r="C176" s="70" t="s">
        <v>17</v>
      </c>
      <c r="D176" s="210"/>
      <c r="E176" s="210"/>
      <c r="F176" s="210"/>
      <c r="G176" s="210"/>
      <c r="H176" s="406">
        <f>SUM(Tabla132112413[[#This Row],[PRIMER TRIMESTRE]:[CUARTO TRIMESTRE]])</f>
        <v>0</v>
      </c>
      <c r="I176" s="17">
        <v>3419.05</v>
      </c>
      <c r="J176" s="17">
        <f>+Tabla132112413[[#This Row],[CANTIDAD TOTAL]]*Tabla132112413[[#This Row],[PRECIO UNITARIO ESTIMADO]]</f>
        <v>0</v>
      </c>
      <c r="K176" s="17"/>
      <c r="L176" s="16" t="s">
        <v>27</v>
      </c>
      <c r="M176" s="16" t="s">
        <v>22</v>
      </c>
      <c r="N176" s="39" t="s">
        <v>418</v>
      </c>
    </row>
    <row r="177" spans="1:14" s="12" customFormat="1" ht="18">
      <c r="A177" s="180" t="s">
        <v>62</v>
      </c>
      <c r="B177" s="75" t="s">
        <v>1166</v>
      </c>
      <c r="C177" s="39" t="s">
        <v>17</v>
      </c>
      <c r="D177" s="236"/>
      <c r="E177" s="236"/>
      <c r="F177" s="236"/>
      <c r="G177" s="236"/>
      <c r="H177" s="40">
        <f>SUM(Tabla132112413[[#This Row],[PRIMER TRIMESTRE]:[CUARTO TRIMESTRE]])</f>
        <v>0</v>
      </c>
      <c r="I177" s="17">
        <v>400</v>
      </c>
      <c r="J177" s="17">
        <f>+H177*I177</f>
        <v>0</v>
      </c>
      <c r="K177" s="17"/>
      <c r="L177" s="16" t="s">
        <v>27</v>
      </c>
      <c r="M177" s="16" t="s">
        <v>22</v>
      </c>
      <c r="N177" s="39" t="s">
        <v>418</v>
      </c>
    </row>
    <row r="178" spans="1:14" s="12" customFormat="1" ht="18">
      <c r="A178" s="180" t="s">
        <v>62</v>
      </c>
      <c r="B178" s="75" t="s">
        <v>1167</v>
      </c>
      <c r="C178" s="39" t="s">
        <v>17</v>
      </c>
      <c r="D178" s="236"/>
      <c r="E178" s="236"/>
      <c r="F178" s="236"/>
      <c r="G178" s="236"/>
      <c r="H178" s="40">
        <f>SUM(Tabla132112413[[#This Row],[PRIMER TRIMESTRE]:[CUARTO TRIMESTRE]])</f>
        <v>0</v>
      </c>
      <c r="I178" s="17">
        <v>1300</v>
      </c>
      <c r="J178" s="17">
        <f>+H178*I178</f>
        <v>0</v>
      </c>
      <c r="K178" s="17"/>
      <c r="L178" s="16" t="s">
        <v>27</v>
      </c>
      <c r="M178" s="16" t="s">
        <v>22</v>
      </c>
      <c r="N178" s="39" t="s">
        <v>418</v>
      </c>
    </row>
    <row r="179" spans="1:14" s="12" customFormat="1" ht="18">
      <c r="A179" s="180" t="s">
        <v>62</v>
      </c>
      <c r="B179" s="77" t="s">
        <v>462</v>
      </c>
      <c r="C179" s="70" t="s">
        <v>17</v>
      </c>
      <c r="D179" s="210"/>
      <c r="E179" s="210"/>
      <c r="F179" s="210"/>
      <c r="G179" s="210"/>
      <c r="H179" s="406">
        <f>SUM(Tabla132112413[[#This Row],[PRIMER TRIMESTRE]:[CUARTO TRIMESTRE]])</f>
        <v>0</v>
      </c>
      <c r="I179" s="17">
        <v>1896.06</v>
      </c>
      <c r="J179" s="17">
        <f>+H179*I179</f>
        <v>0</v>
      </c>
      <c r="K179" s="17"/>
      <c r="L179" s="16" t="s">
        <v>27</v>
      </c>
      <c r="M179" s="16" t="s">
        <v>22</v>
      </c>
      <c r="N179" s="39" t="s">
        <v>418</v>
      </c>
    </row>
    <row r="180" spans="1:14" s="12" customFormat="1" ht="18">
      <c r="A180" s="180" t="s">
        <v>62</v>
      </c>
      <c r="B180" s="77" t="s">
        <v>463</v>
      </c>
      <c r="C180" s="70" t="s">
        <v>17</v>
      </c>
      <c r="D180" s="210"/>
      <c r="E180" s="210"/>
      <c r="F180" s="210"/>
      <c r="G180" s="210"/>
      <c r="H180" s="406">
        <f>SUM(Tabla132112413[[#This Row],[PRIMER TRIMESTRE]:[CUARTO TRIMESTRE]])</f>
        <v>0</v>
      </c>
      <c r="I180" s="17">
        <v>2320</v>
      </c>
      <c r="J180" s="17">
        <f>+Tabla132112413[[#This Row],[CANTIDAD TOTAL]]*Tabla132112413[[#This Row],[PRECIO UNITARIO ESTIMADO]]</f>
        <v>0</v>
      </c>
      <c r="K180" s="17"/>
      <c r="L180" s="16" t="s">
        <v>27</v>
      </c>
      <c r="M180" s="16" t="s">
        <v>22</v>
      </c>
      <c r="N180" s="39" t="s">
        <v>418</v>
      </c>
    </row>
    <row r="181" spans="1:14" s="12" customFormat="1" ht="18">
      <c r="A181" s="180" t="s">
        <v>62</v>
      </c>
      <c r="B181" s="77" t="s">
        <v>465</v>
      </c>
      <c r="C181" s="70" t="s">
        <v>17</v>
      </c>
      <c r="D181" s="210"/>
      <c r="E181" s="210"/>
      <c r="F181" s="210"/>
      <c r="G181" s="210"/>
      <c r="H181" s="406">
        <f>SUM(Tabla132112413[[#This Row],[PRIMER TRIMESTRE]:[CUARTO TRIMESTRE]])</f>
        <v>0</v>
      </c>
      <c r="I181" s="17">
        <v>2682</v>
      </c>
      <c r="J181" s="17">
        <f>+Tabla132112413[[#This Row],[CANTIDAD TOTAL]]*Tabla132112413[[#This Row],[PRECIO UNITARIO ESTIMADO]]</f>
        <v>0</v>
      </c>
      <c r="K181" s="17"/>
      <c r="L181" s="16" t="s">
        <v>27</v>
      </c>
      <c r="M181" s="16" t="s">
        <v>22</v>
      </c>
      <c r="N181" s="39" t="s">
        <v>418</v>
      </c>
    </row>
    <row r="182" spans="1:14" s="12" customFormat="1" ht="18">
      <c r="A182" s="180" t="s">
        <v>62</v>
      </c>
      <c r="B182" s="77" t="s">
        <v>464</v>
      </c>
      <c r="C182" s="70" t="s">
        <v>17</v>
      </c>
      <c r="D182" s="210"/>
      <c r="E182" s="210"/>
      <c r="F182" s="210"/>
      <c r="G182" s="210"/>
      <c r="H182" s="406">
        <f>SUM(Tabla132112413[[#This Row],[PRIMER TRIMESTRE]:[CUARTO TRIMESTRE]])</f>
        <v>0</v>
      </c>
      <c r="I182" s="17">
        <v>50</v>
      </c>
      <c r="J182" s="17">
        <f>+Tabla132112413[[#This Row],[CANTIDAD TOTAL]]*Tabla132112413[[#This Row],[PRECIO UNITARIO ESTIMADO]]</f>
        <v>0</v>
      </c>
      <c r="K182" s="17"/>
      <c r="L182" s="16" t="s">
        <v>27</v>
      </c>
      <c r="M182" s="16" t="s">
        <v>22</v>
      </c>
      <c r="N182" s="39" t="s">
        <v>418</v>
      </c>
    </row>
    <row r="183" spans="1:14" s="12" customFormat="1" ht="18">
      <c r="A183" s="180" t="s">
        <v>62</v>
      </c>
      <c r="B183" s="77" t="s">
        <v>466</v>
      </c>
      <c r="C183" s="70" t="s">
        <v>17</v>
      </c>
      <c r="D183" s="210"/>
      <c r="E183" s="210"/>
      <c r="F183" s="210"/>
      <c r="G183" s="210"/>
      <c r="H183" s="406">
        <f>SUM(Tabla132112413[[#This Row],[PRIMER TRIMESTRE]:[CUARTO TRIMESTRE]])</f>
        <v>0</v>
      </c>
      <c r="I183" s="17">
        <v>1746.26</v>
      </c>
      <c r="J183" s="17">
        <f>+Tabla132112413[[#This Row],[CANTIDAD TOTAL]]*Tabla132112413[[#This Row],[PRECIO UNITARIO ESTIMADO]]</f>
        <v>0</v>
      </c>
      <c r="K183" s="17"/>
      <c r="L183" s="16" t="s">
        <v>27</v>
      </c>
      <c r="M183" s="16" t="s">
        <v>22</v>
      </c>
      <c r="N183" s="39" t="s">
        <v>418</v>
      </c>
    </row>
    <row r="184" spans="1:14" s="12" customFormat="1" ht="18">
      <c r="A184" s="180" t="s">
        <v>62</v>
      </c>
      <c r="B184" s="77" t="s">
        <v>1168</v>
      </c>
      <c r="C184" s="70" t="s">
        <v>17</v>
      </c>
      <c r="D184" s="210"/>
      <c r="E184" s="210"/>
      <c r="F184" s="210"/>
      <c r="G184" s="210"/>
      <c r="H184" s="406">
        <f>SUM(Tabla132112413[[#This Row],[PRIMER TRIMESTRE]:[CUARTO TRIMESTRE]])</f>
        <v>0</v>
      </c>
      <c r="I184" s="17">
        <v>6800</v>
      </c>
      <c r="J184" s="17">
        <f>+H184*I184</f>
        <v>0</v>
      </c>
      <c r="K184" s="17"/>
      <c r="L184" s="16" t="s">
        <v>27</v>
      </c>
      <c r="M184" s="16" t="s">
        <v>22</v>
      </c>
      <c r="N184" s="39" t="s">
        <v>418</v>
      </c>
    </row>
    <row r="185" spans="1:14" s="12" customFormat="1" ht="18">
      <c r="A185" s="180" t="s">
        <v>62</v>
      </c>
      <c r="B185" s="77" t="s">
        <v>170</v>
      </c>
      <c r="C185" s="70" t="s">
        <v>17</v>
      </c>
      <c r="D185" s="210"/>
      <c r="E185" s="210"/>
      <c r="F185" s="210"/>
      <c r="G185" s="210"/>
      <c r="H185" s="406">
        <f>SUM(Tabla132112413[[#This Row],[PRIMER TRIMESTRE]:[CUARTO TRIMESTRE]])</f>
        <v>0</v>
      </c>
      <c r="I185" s="17">
        <v>458.2</v>
      </c>
      <c r="J185" s="17">
        <f>+Tabla132112413[[#This Row],[CANTIDAD TOTAL]]*Tabla132112413[[#This Row],[PRECIO UNITARIO ESTIMADO]]</f>
        <v>0</v>
      </c>
      <c r="K185" s="17"/>
      <c r="L185" s="16" t="s">
        <v>27</v>
      </c>
      <c r="M185" s="16" t="s">
        <v>22</v>
      </c>
      <c r="N185" s="39" t="s">
        <v>418</v>
      </c>
    </row>
    <row r="186" spans="1:14" s="12" customFormat="1" ht="18">
      <c r="A186" s="180" t="s">
        <v>62</v>
      </c>
      <c r="B186" s="77" t="s">
        <v>172</v>
      </c>
      <c r="C186" s="70" t="s">
        <v>17</v>
      </c>
      <c r="D186" s="210"/>
      <c r="E186" s="210"/>
      <c r="F186" s="210"/>
      <c r="G186" s="210"/>
      <c r="H186" s="406">
        <f>SUM(Tabla132112413[[#This Row],[PRIMER TRIMESTRE]:[CUARTO TRIMESTRE]])</f>
        <v>0</v>
      </c>
      <c r="I186" s="17">
        <v>90</v>
      </c>
      <c r="J186" s="17">
        <f>+Tabla132112413[[#This Row],[CANTIDAD TOTAL]]*Tabla132112413[[#This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</row>
    <row r="187" spans="1:14" s="12" customFormat="1" ht="18">
      <c r="A187" s="180" t="s">
        <v>62</v>
      </c>
      <c r="B187" s="77" t="s">
        <v>732</v>
      </c>
      <c r="C187" s="70" t="s">
        <v>17</v>
      </c>
      <c r="D187" s="210"/>
      <c r="E187" s="210"/>
      <c r="F187" s="210"/>
      <c r="G187" s="210"/>
      <c r="H187" s="406">
        <f>SUM(Tabla132112413[[#This Row],[PRIMER TRIMESTRE]:[CUARTO TRIMESTRE]])</f>
        <v>0</v>
      </c>
      <c r="I187" s="72">
        <v>142.85</v>
      </c>
      <c r="J187" s="17">
        <f t="shared" ref="J187:J194" si="4">+H187*I187</f>
        <v>0</v>
      </c>
      <c r="K187" s="17"/>
      <c r="L187" s="16" t="s">
        <v>27</v>
      </c>
      <c r="M187" s="16" t="s">
        <v>22</v>
      </c>
      <c r="N187" s="39" t="s">
        <v>418</v>
      </c>
    </row>
    <row r="188" spans="1:14" s="12" customFormat="1" ht="18">
      <c r="A188" s="180" t="s">
        <v>62</v>
      </c>
      <c r="B188" s="77" t="s">
        <v>733</v>
      </c>
      <c r="C188" s="70" t="s">
        <v>17</v>
      </c>
      <c r="D188" s="210"/>
      <c r="E188" s="210"/>
      <c r="F188" s="210"/>
      <c r="G188" s="210"/>
      <c r="H188" s="406">
        <f>SUM(Tabla132112413[[#This Row],[PRIMER TRIMESTRE]:[CUARTO TRIMESTRE]])</f>
        <v>0</v>
      </c>
      <c r="I188" s="17">
        <v>39.56</v>
      </c>
      <c r="J188" s="17">
        <f t="shared" si="4"/>
        <v>0</v>
      </c>
      <c r="K188" s="17"/>
      <c r="L188" s="16" t="s">
        <v>27</v>
      </c>
      <c r="M188" s="16" t="s">
        <v>22</v>
      </c>
      <c r="N188" s="39" t="s">
        <v>418</v>
      </c>
    </row>
    <row r="189" spans="1:14" s="12" customFormat="1" ht="18">
      <c r="A189" s="180" t="s">
        <v>62</v>
      </c>
      <c r="B189" s="77" t="s">
        <v>734</v>
      </c>
      <c r="C189" s="70" t="s">
        <v>17</v>
      </c>
      <c r="D189" s="210"/>
      <c r="E189" s="210"/>
      <c r="F189" s="210"/>
      <c r="G189" s="210"/>
      <c r="H189" s="406">
        <f>SUM(Tabla132112413[[#This Row],[PRIMER TRIMESTRE]:[CUARTO TRIMESTRE]])</f>
        <v>0</v>
      </c>
      <c r="I189" s="17">
        <v>41.8</v>
      </c>
      <c r="J189" s="17">
        <f t="shared" si="4"/>
        <v>0</v>
      </c>
      <c r="K189" s="17"/>
      <c r="L189" s="16" t="s">
        <v>27</v>
      </c>
      <c r="M189" s="16" t="s">
        <v>22</v>
      </c>
      <c r="N189" s="39" t="s">
        <v>418</v>
      </c>
    </row>
    <row r="190" spans="1:14" s="12" customFormat="1" ht="18">
      <c r="A190" s="180" t="s">
        <v>62</v>
      </c>
      <c r="B190" s="77" t="s">
        <v>735</v>
      </c>
      <c r="C190" s="70" t="s">
        <v>17</v>
      </c>
      <c r="D190" s="210"/>
      <c r="E190" s="210"/>
      <c r="F190" s="210"/>
      <c r="G190" s="210"/>
      <c r="H190" s="406">
        <f>SUM(Tabla132112413[[#This Row],[PRIMER TRIMESTRE]:[CUARTO TRIMESTRE]])</f>
        <v>0</v>
      </c>
      <c r="I190" s="17">
        <v>50.27</v>
      </c>
      <c r="J190" s="17">
        <f t="shared" si="4"/>
        <v>0</v>
      </c>
      <c r="K190" s="17"/>
      <c r="L190" s="16" t="s">
        <v>27</v>
      </c>
      <c r="M190" s="16" t="s">
        <v>22</v>
      </c>
      <c r="N190" s="39" t="s">
        <v>418</v>
      </c>
    </row>
    <row r="191" spans="1:14" s="12" customFormat="1" ht="18">
      <c r="A191" s="180" t="s">
        <v>62</v>
      </c>
      <c r="B191" s="77" t="s">
        <v>736</v>
      </c>
      <c r="C191" s="70" t="s">
        <v>17</v>
      </c>
      <c r="D191" s="210"/>
      <c r="E191" s="210"/>
      <c r="F191" s="210"/>
      <c r="G191" s="210"/>
      <c r="H191" s="406">
        <f>SUM(Tabla132112413[[#This Row],[PRIMER TRIMESTRE]:[CUARTO TRIMESTRE]])</f>
        <v>0</v>
      </c>
      <c r="I191" s="17">
        <v>60.89</v>
      </c>
      <c r="J191" s="17">
        <f t="shared" si="4"/>
        <v>0</v>
      </c>
      <c r="K191" s="17"/>
      <c r="L191" s="16" t="s">
        <v>27</v>
      </c>
      <c r="M191" s="16" t="s">
        <v>22</v>
      </c>
      <c r="N191" s="39" t="s">
        <v>418</v>
      </c>
    </row>
    <row r="192" spans="1:14" s="12" customFormat="1" ht="18">
      <c r="A192" s="180" t="s">
        <v>62</v>
      </c>
      <c r="B192" s="77" t="s">
        <v>737</v>
      </c>
      <c r="C192" s="70" t="s">
        <v>17</v>
      </c>
      <c r="D192" s="210"/>
      <c r="E192" s="210"/>
      <c r="F192" s="210"/>
      <c r="G192" s="210"/>
      <c r="H192" s="406">
        <f>SUM(Tabla132112413[[#This Row],[PRIMER TRIMESTRE]:[CUARTO TRIMESTRE]])</f>
        <v>0</v>
      </c>
      <c r="I192" s="17">
        <v>65.36</v>
      </c>
      <c r="J192" s="17">
        <f t="shared" si="4"/>
        <v>0</v>
      </c>
      <c r="K192" s="17"/>
      <c r="L192" s="16" t="s">
        <v>27</v>
      </c>
      <c r="M192" s="16" t="s">
        <v>22</v>
      </c>
      <c r="N192" s="39" t="s">
        <v>418</v>
      </c>
    </row>
    <row r="193" spans="1:14" s="26" customFormat="1" ht="18">
      <c r="A193" s="180" t="s">
        <v>62</v>
      </c>
      <c r="B193" s="77" t="s">
        <v>738</v>
      </c>
      <c r="C193" s="70" t="s">
        <v>17</v>
      </c>
      <c r="D193" s="210"/>
      <c r="E193" s="210"/>
      <c r="F193" s="210"/>
      <c r="G193" s="210"/>
      <c r="H193" s="406">
        <f>SUM(Tabla132112413[[#This Row],[PRIMER TRIMESTRE]:[CUARTO TRIMESTRE]])</f>
        <v>0</v>
      </c>
      <c r="I193" s="17">
        <v>352.74</v>
      </c>
      <c r="J193" s="17">
        <f t="shared" si="4"/>
        <v>0</v>
      </c>
      <c r="K193" s="17"/>
      <c r="L193" s="16" t="s">
        <v>27</v>
      </c>
      <c r="M193" s="16" t="s">
        <v>22</v>
      </c>
      <c r="N193" s="39" t="s">
        <v>418</v>
      </c>
    </row>
    <row r="194" spans="1:14" s="55" customFormat="1" ht="18">
      <c r="A194" s="180" t="s">
        <v>62</v>
      </c>
      <c r="B194" s="75" t="s">
        <v>1169</v>
      </c>
      <c r="C194" s="39" t="s">
        <v>1162</v>
      </c>
      <c r="D194" s="236"/>
      <c r="E194" s="236"/>
      <c r="F194" s="236"/>
      <c r="G194" s="236"/>
      <c r="H194" s="40">
        <f>SUM(Tabla132112413[[#This Row],[PRIMER TRIMESTRE]:[CUARTO TRIMESTRE]])</f>
        <v>0</v>
      </c>
      <c r="I194" s="17">
        <v>2300</v>
      </c>
      <c r="J194" s="17">
        <f t="shared" si="4"/>
        <v>0</v>
      </c>
      <c r="K194" s="17"/>
      <c r="L194" s="16" t="s">
        <v>27</v>
      </c>
      <c r="M194" s="16" t="s">
        <v>22</v>
      </c>
      <c r="N194" s="39" t="s">
        <v>418</v>
      </c>
    </row>
    <row r="195" spans="1:14" s="55" customFormat="1" ht="18">
      <c r="A195" s="179" t="s">
        <v>62</v>
      </c>
      <c r="B195" s="76"/>
      <c r="C195" s="42"/>
      <c r="D195" s="237"/>
      <c r="E195" s="237"/>
      <c r="F195" s="237"/>
      <c r="G195" s="237"/>
      <c r="H195" s="43"/>
      <c r="I195" s="24"/>
      <c r="J195" s="24"/>
      <c r="K195" s="25">
        <f>SUM(J90:J194)</f>
        <v>0</v>
      </c>
      <c r="L195" s="23"/>
      <c r="M195" s="23"/>
      <c r="N195" s="42"/>
    </row>
    <row r="196" spans="1:14" s="55" customFormat="1" ht="30">
      <c r="A196" s="178" t="s">
        <v>73</v>
      </c>
      <c r="B196" s="75" t="s">
        <v>1275</v>
      </c>
      <c r="C196" s="53" t="s">
        <v>17</v>
      </c>
      <c r="D196" s="410"/>
      <c r="E196" s="410"/>
      <c r="F196" s="410"/>
      <c r="G196" s="410"/>
      <c r="H196" s="51">
        <f>SUM(Tabla132112413[[#This Row],[PRIMER TRIMESTRE]:[CUARTO TRIMESTRE]])</f>
        <v>0</v>
      </c>
      <c r="I196" s="52">
        <v>239750</v>
      </c>
      <c r="J196" s="52">
        <f>+H196*I196</f>
        <v>0</v>
      </c>
      <c r="K196" s="50"/>
      <c r="L196" s="16" t="s">
        <v>18</v>
      </c>
      <c r="M196" s="411" t="s">
        <v>22</v>
      </c>
      <c r="N196" s="39" t="s">
        <v>418</v>
      </c>
    </row>
    <row r="197" spans="1:14" s="55" customFormat="1" ht="30">
      <c r="A197" s="178" t="s">
        <v>73</v>
      </c>
      <c r="B197" s="75" t="s">
        <v>1276</v>
      </c>
      <c r="C197" s="53" t="s">
        <v>17</v>
      </c>
      <c r="D197" s="410"/>
      <c r="E197" s="410"/>
      <c r="F197" s="410"/>
      <c r="G197" s="410"/>
      <c r="H197" s="51">
        <f>SUM(Tabla132112413[[#This Row],[PRIMER TRIMESTRE]:[CUARTO TRIMESTRE]])</f>
        <v>0</v>
      </c>
      <c r="I197" s="52">
        <v>37500</v>
      </c>
      <c r="J197" s="52">
        <f>+H197*I197</f>
        <v>0</v>
      </c>
      <c r="K197" s="50"/>
      <c r="L197" s="16" t="s">
        <v>18</v>
      </c>
      <c r="M197" s="411" t="s">
        <v>22</v>
      </c>
      <c r="N197" s="39" t="s">
        <v>418</v>
      </c>
    </row>
    <row r="198" spans="1:14" s="26" customFormat="1" ht="30">
      <c r="A198" s="178" t="s">
        <v>73</v>
      </c>
      <c r="B198" s="75" t="s">
        <v>1277</v>
      </c>
      <c r="C198" s="53" t="s">
        <v>17</v>
      </c>
      <c r="D198" s="410"/>
      <c r="E198" s="410"/>
      <c r="F198" s="410"/>
      <c r="G198" s="410"/>
      <c r="H198" s="51">
        <f>SUM(Tabla132112413[[#This Row],[PRIMER TRIMESTRE]:[CUARTO TRIMESTRE]])</f>
        <v>0</v>
      </c>
      <c r="I198" s="52">
        <v>301000</v>
      </c>
      <c r="J198" s="52">
        <f>+H198*I198</f>
        <v>0</v>
      </c>
      <c r="K198" s="50"/>
      <c r="L198" s="16" t="s">
        <v>18</v>
      </c>
      <c r="M198" s="411" t="s">
        <v>22</v>
      </c>
      <c r="N198" s="39" t="s">
        <v>418</v>
      </c>
    </row>
    <row r="199" spans="1:14" s="12" customFormat="1" ht="30">
      <c r="A199" s="178" t="s">
        <v>73</v>
      </c>
      <c r="B199" s="75" t="s">
        <v>1278</v>
      </c>
      <c r="C199" s="53" t="s">
        <v>17</v>
      </c>
      <c r="D199" s="410"/>
      <c r="E199" s="410"/>
      <c r="F199" s="410"/>
      <c r="G199" s="410"/>
      <c r="H199" s="51">
        <f>SUM(Tabla132112413[[#This Row],[PRIMER TRIMESTRE]:[CUARTO TRIMESTRE]])</f>
        <v>0</v>
      </c>
      <c r="I199" s="52">
        <v>350000</v>
      </c>
      <c r="J199" s="52">
        <f>+H199*I199</f>
        <v>0</v>
      </c>
      <c r="K199" s="50"/>
      <c r="L199" s="16" t="s">
        <v>18</v>
      </c>
      <c r="M199" s="411" t="s">
        <v>22</v>
      </c>
      <c r="N199" s="39" t="s">
        <v>418</v>
      </c>
    </row>
    <row r="200" spans="1:14" s="12" customFormat="1" ht="31.5">
      <c r="A200" s="179" t="s">
        <v>73</v>
      </c>
      <c r="B200" s="76"/>
      <c r="C200" s="42"/>
      <c r="D200" s="237"/>
      <c r="E200" s="237"/>
      <c r="F200" s="237"/>
      <c r="G200" s="237"/>
      <c r="H200" s="43"/>
      <c r="I200" s="24"/>
      <c r="J200" s="24"/>
      <c r="K200" s="25">
        <f>SUM(J196:J199)</f>
        <v>0</v>
      </c>
      <c r="L200" s="23"/>
      <c r="M200" s="23"/>
      <c r="N200" s="42"/>
    </row>
    <row r="201" spans="1:14" s="12" customFormat="1" ht="18">
      <c r="A201" s="178" t="s">
        <v>80</v>
      </c>
      <c r="B201" s="75" t="s">
        <v>788</v>
      </c>
      <c r="C201" s="39" t="s">
        <v>69</v>
      </c>
      <c r="D201" s="236"/>
      <c r="E201" s="236"/>
      <c r="F201" s="236"/>
      <c r="G201" s="236"/>
      <c r="H201" s="40">
        <f>SUM(Tabla132112413[[#This Row],[PRIMER TRIMESTRE]:[CUARTO TRIMESTRE]])</f>
        <v>0</v>
      </c>
      <c r="I201" s="17">
        <v>5.46</v>
      </c>
      <c r="J201" s="17">
        <f>+Tabla132112413[[#This Row],[CANTIDAD TOTAL]]*Tabla132112413[[#This Row],[PRECIO UNITARIO ESTIMADO]]</f>
        <v>0</v>
      </c>
      <c r="K201" s="17"/>
      <c r="L201" s="16" t="s">
        <v>18</v>
      </c>
      <c r="M201" s="16" t="s">
        <v>22</v>
      </c>
      <c r="N201" s="39" t="s">
        <v>418</v>
      </c>
    </row>
    <row r="202" spans="1:14" s="12" customFormat="1" ht="18">
      <c r="A202" s="178" t="s">
        <v>80</v>
      </c>
      <c r="B202" s="75" t="s">
        <v>1346</v>
      </c>
      <c r="C202" s="39" t="s">
        <v>208</v>
      </c>
      <c r="D202" s="236"/>
      <c r="E202" s="236"/>
      <c r="F202" s="236"/>
      <c r="G202" s="236"/>
      <c r="H202" s="40">
        <f>SUM(Tabla132112413[[#This Row],[PRIMER TRIMESTRE]:[CUARTO TRIMESTRE]])</f>
        <v>0</v>
      </c>
      <c r="I202" s="17">
        <v>8</v>
      </c>
      <c r="J202" s="17">
        <f>+Tabla132112413[[#This Row],[CANTIDAD TOTAL]]*Tabla132112413[[#This Row],[PRECIO UNITARIO ESTIMADO]]</f>
        <v>0</v>
      </c>
      <c r="K202" s="17"/>
      <c r="L202" s="16" t="s">
        <v>18</v>
      </c>
      <c r="M202" s="16" t="s">
        <v>22</v>
      </c>
      <c r="N202" s="39" t="s">
        <v>418</v>
      </c>
    </row>
    <row r="203" spans="1:14" s="12" customFormat="1" ht="18">
      <c r="A203" s="178" t="s">
        <v>80</v>
      </c>
      <c r="B203" s="75" t="s">
        <v>789</v>
      </c>
      <c r="C203" s="39" t="s">
        <v>208</v>
      </c>
      <c r="D203" s="236"/>
      <c r="E203" s="236"/>
      <c r="F203" s="236"/>
      <c r="G203" s="236"/>
      <c r="H203" s="40">
        <f>SUM(Tabla132112413[[#This Row],[PRIMER TRIMESTRE]:[CUARTO TRIMESTRE]])</f>
        <v>0</v>
      </c>
      <c r="I203" s="17">
        <v>6.4</v>
      </c>
      <c r="J203" s="17">
        <f>+Tabla132112413[[#This Row],[CANTIDAD TOTAL]]*Tabla132112413[[#This Row],[PRECIO UNITARIO ESTIMADO]]</f>
        <v>0</v>
      </c>
      <c r="K203" s="17"/>
      <c r="L203" s="16" t="s">
        <v>18</v>
      </c>
      <c r="M203" s="16" t="s">
        <v>22</v>
      </c>
      <c r="N203" s="39" t="s">
        <v>418</v>
      </c>
    </row>
    <row r="204" spans="1:14" s="12" customFormat="1" ht="18">
      <c r="A204" s="178" t="s">
        <v>80</v>
      </c>
      <c r="B204" s="75" t="s">
        <v>83</v>
      </c>
      <c r="C204" s="39" t="s">
        <v>69</v>
      </c>
      <c r="D204" s="236"/>
      <c r="E204" s="236"/>
      <c r="F204" s="236"/>
      <c r="G204" s="236"/>
      <c r="H204" s="40">
        <f>SUM(Tabla132112413[[#This Row],[PRIMER TRIMESTRE]:[CUARTO TRIMESTRE]])</f>
        <v>0</v>
      </c>
      <c r="I204" s="17">
        <v>290</v>
      </c>
      <c r="J204" s="17">
        <f>+Tabla132112413[[#This Row],[CANTIDAD TOTAL]]*Tabla132112413[[#This Row],[PRECIO UNITARIO ESTIMADO]]</f>
        <v>0</v>
      </c>
      <c r="K204" s="17"/>
      <c r="L204" s="16" t="s">
        <v>18</v>
      </c>
      <c r="M204" s="16" t="s">
        <v>22</v>
      </c>
      <c r="N204" s="39" t="s">
        <v>418</v>
      </c>
    </row>
    <row r="205" spans="1:14" s="12" customFormat="1" ht="18">
      <c r="A205" s="178" t="s">
        <v>80</v>
      </c>
      <c r="B205" s="75" t="s">
        <v>1561</v>
      </c>
      <c r="C205" s="39" t="s">
        <v>69</v>
      </c>
      <c r="D205" s="39"/>
      <c r="E205" s="236"/>
      <c r="F205" s="236"/>
      <c r="G205" s="236"/>
      <c r="H205" s="40">
        <f>SUM(Tabla132112413[[#This Row],[PRIMER TRIMESTRE]:[CUARTO TRIMESTRE]])</f>
        <v>0</v>
      </c>
      <c r="I205" s="17">
        <v>3200</v>
      </c>
      <c r="J205" s="17">
        <f>+H205*I205</f>
        <v>0</v>
      </c>
      <c r="K205" s="17"/>
      <c r="L205" s="16" t="s">
        <v>18</v>
      </c>
      <c r="M205" s="16" t="s">
        <v>22</v>
      </c>
      <c r="N205" s="39" t="s">
        <v>418</v>
      </c>
    </row>
    <row r="206" spans="1:14" s="12" customFormat="1" ht="18">
      <c r="A206" s="178" t="s">
        <v>80</v>
      </c>
      <c r="B206" s="75" t="s">
        <v>85</v>
      </c>
      <c r="C206" s="39" t="s">
        <v>69</v>
      </c>
      <c r="D206" s="236"/>
      <c r="E206" s="236"/>
      <c r="F206" s="236"/>
      <c r="G206" s="236"/>
      <c r="H206" s="40">
        <f>SUM(Tabla132112413[[#This Row],[PRIMER TRIMESTRE]:[CUARTO TRIMESTRE]])</f>
        <v>0</v>
      </c>
      <c r="I206" s="17">
        <v>4.0599999999999996</v>
      </c>
      <c r="J206" s="17">
        <f>+Tabla132112413[[#This Row],[CANTIDAD TOTAL]]*Tabla132112413[[#This Row],[PRECIO UNITARIO ESTIMADO]]</f>
        <v>0</v>
      </c>
      <c r="K206" s="17"/>
      <c r="L206" s="16" t="s">
        <v>18</v>
      </c>
      <c r="M206" s="16" t="s">
        <v>22</v>
      </c>
      <c r="N206" s="39" t="s">
        <v>418</v>
      </c>
    </row>
    <row r="207" spans="1:14" s="12" customFormat="1" ht="18">
      <c r="A207" s="178" t="s">
        <v>80</v>
      </c>
      <c r="B207" s="75" t="s">
        <v>87</v>
      </c>
      <c r="C207" s="39" t="s">
        <v>69</v>
      </c>
      <c r="D207" s="236"/>
      <c r="E207" s="236"/>
      <c r="F207" s="236"/>
      <c r="G207" s="236"/>
      <c r="H207" s="40">
        <f>SUM(Tabla132112413[[#This Row],[PRIMER TRIMESTRE]:[CUARTO TRIMESTRE]])</f>
        <v>0</v>
      </c>
      <c r="I207" s="17">
        <v>3.71</v>
      </c>
      <c r="J207" s="17">
        <f>+Tabla132112413[[#This Row],[CANTIDAD TOTAL]]*Tabla132112413[[#This Row],[PRECIO UNITARIO ESTIMADO]]</f>
        <v>0</v>
      </c>
      <c r="K207" s="17"/>
      <c r="L207" s="16" t="s">
        <v>18</v>
      </c>
      <c r="M207" s="16" t="s">
        <v>22</v>
      </c>
      <c r="N207" s="39" t="s">
        <v>418</v>
      </c>
    </row>
    <row r="208" spans="1:14" s="12" customFormat="1" ht="18">
      <c r="A208" s="178" t="s">
        <v>80</v>
      </c>
      <c r="B208" s="75" t="s">
        <v>1436</v>
      </c>
      <c r="C208" s="39" t="s">
        <v>69</v>
      </c>
      <c r="D208" s="236"/>
      <c r="E208" s="236"/>
      <c r="F208" s="236"/>
      <c r="G208" s="236"/>
      <c r="H208" s="40">
        <f>SUM(Tabla132112413[[#This Row],[PRIMER TRIMESTRE]:[CUARTO TRIMESTRE]])</f>
        <v>0</v>
      </c>
      <c r="I208" s="17">
        <v>125</v>
      </c>
      <c r="J208" s="17">
        <f>+H208*I208</f>
        <v>0</v>
      </c>
      <c r="K208" s="17"/>
      <c r="L208" s="16" t="s">
        <v>18</v>
      </c>
      <c r="M208" s="16" t="s">
        <v>22</v>
      </c>
      <c r="N208" s="39" t="s">
        <v>418</v>
      </c>
    </row>
    <row r="209" spans="1:14" s="12" customFormat="1" ht="18">
      <c r="A209" s="178" t="s">
        <v>80</v>
      </c>
      <c r="B209" s="75" t="s">
        <v>89</v>
      </c>
      <c r="C209" s="39" t="s">
        <v>208</v>
      </c>
      <c r="D209" s="236"/>
      <c r="E209" s="236"/>
      <c r="F209" s="236"/>
      <c r="G209" s="236"/>
      <c r="H209" s="40">
        <f>SUM(Tabla132112413[[#This Row],[PRIMER TRIMESTRE]:[CUARTO TRIMESTRE]])</f>
        <v>0</v>
      </c>
      <c r="I209" s="17">
        <v>7.3</v>
      </c>
      <c r="J209" s="17">
        <f>+Tabla132112413[[#This Row],[CANTIDAD TOTAL]]*Tabla132112413[[#This Row],[PRECIO UNITARIO ESTIMADO]]</f>
        <v>0</v>
      </c>
      <c r="K209" s="17"/>
      <c r="L209" s="16" t="s">
        <v>18</v>
      </c>
      <c r="M209" s="16" t="s">
        <v>22</v>
      </c>
      <c r="N209" s="39" t="s">
        <v>418</v>
      </c>
    </row>
    <row r="210" spans="1:14" s="12" customFormat="1" ht="18">
      <c r="A210" s="178" t="s">
        <v>80</v>
      </c>
      <c r="B210" s="75" t="s">
        <v>98</v>
      </c>
      <c r="C210" s="39" t="s">
        <v>93</v>
      </c>
      <c r="D210" s="236"/>
      <c r="E210" s="236"/>
      <c r="F210" s="236"/>
      <c r="G210" s="236"/>
      <c r="H210" s="40">
        <f>SUM(Tabla132112413[[#This Row],[PRIMER TRIMESTRE]:[CUARTO TRIMESTRE]])</f>
        <v>0</v>
      </c>
      <c r="I210" s="17">
        <v>272.60000000000002</v>
      </c>
      <c r="J210" s="17">
        <f>+Tabla132112413[[#This Row],[CANTIDAD TOTAL]]*Tabla132112413[[#This Row],[PRECIO UNITARIO ESTIMADO]]</f>
        <v>0</v>
      </c>
      <c r="K210" s="17"/>
      <c r="L210" s="16" t="s">
        <v>18</v>
      </c>
      <c r="M210" s="16" t="s">
        <v>22</v>
      </c>
      <c r="N210" s="39" t="s">
        <v>418</v>
      </c>
    </row>
    <row r="211" spans="1:14" s="12" customFormat="1" ht="18">
      <c r="A211" s="178" t="s">
        <v>80</v>
      </c>
      <c r="B211" s="75" t="s">
        <v>1601</v>
      </c>
      <c r="C211" s="39" t="s">
        <v>93</v>
      </c>
      <c r="D211" s="39"/>
      <c r="E211" s="39"/>
      <c r="F211" s="39"/>
      <c r="G211" s="39"/>
      <c r="H211" s="39">
        <f>SUM(Tabla132112413[[#This Row],[PRIMER TRIMESTRE]:[CUARTO TRIMESTRE]])</f>
        <v>0</v>
      </c>
      <c r="I211" s="17">
        <v>57</v>
      </c>
      <c r="J211" s="17">
        <f>+H211*I211</f>
        <v>0</v>
      </c>
      <c r="K211" s="17"/>
      <c r="L211" s="16" t="s">
        <v>18</v>
      </c>
      <c r="M211" s="16" t="s">
        <v>22</v>
      </c>
      <c r="N211" s="39" t="s">
        <v>418</v>
      </c>
    </row>
    <row r="212" spans="1:14" s="12" customFormat="1" ht="18">
      <c r="A212" s="178" t="s">
        <v>80</v>
      </c>
      <c r="B212" s="75" t="s">
        <v>100</v>
      </c>
      <c r="C212" s="39" t="s">
        <v>93</v>
      </c>
      <c r="D212" s="236"/>
      <c r="E212" s="236"/>
      <c r="F212" s="236"/>
      <c r="G212" s="236"/>
      <c r="H212" s="40">
        <f>SUM(Tabla132112413[[#This Row],[PRIMER TRIMESTRE]:[CUARTO TRIMESTRE]])</f>
        <v>0</v>
      </c>
      <c r="I212" s="17">
        <v>30.16</v>
      </c>
      <c r="J212" s="17">
        <f>+Tabla132112413[[#This Row],[CANTIDAD TOTAL]]*Tabla132112413[[#This Row],[PRECIO UNITARIO ESTIMADO]]</f>
        <v>0</v>
      </c>
      <c r="K212" s="17"/>
      <c r="L212" s="16" t="s">
        <v>18</v>
      </c>
      <c r="M212" s="16" t="s">
        <v>22</v>
      </c>
      <c r="N212" s="39" t="s">
        <v>418</v>
      </c>
    </row>
    <row r="213" spans="1:14" s="12" customFormat="1" ht="25.5">
      <c r="A213" s="178" t="s">
        <v>80</v>
      </c>
      <c r="B213" s="75" t="s">
        <v>1729</v>
      </c>
      <c r="C213" s="39" t="s">
        <v>17</v>
      </c>
      <c r="D213" s="236"/>
      <c r="E213" s="236"/>
      <c r="F213" s="236"/>
      <c r="G213" s="236"/>
      <c r="H213" s="40">
        <v>0</v>
      </c>
      <c r="I213" s="17">
        <v>0</v>
      </c>
      <c r="J213" s="17">
        <v>0</v>
      </c>
      <c r="K213" s="17"/>
      <c r="L213" s="16" t="s">
        <v>18</v>
      </c>
      <c r="M213" s="16" t="s">
        <v>22</v>
      </c>
      <c r="N213" s="39" t="s">
        <v>418</v>
      </c>
    </row>
    <row r="214" spans="1:14" s="12" customFormat="1" ht="25.5">
      <c r="A214" s="178" t="s">
        <v>80</v>
      </c>
      <c r="B214" s="75" t="s">
        <v>1730</v>
      </c>
      <c r="C214" s="39" t="s">
        <v>17</v>
      </c>
      <c r="D214" s="236"/>
      <c r="E214" s="236"/>
      <c r="F214" s="236"/>
      <c r="G214" s="236"/>
      <c r="H214" s="40">
        <v>0</v>
      </c>
      <c r="I214" s="17">
        <v>0</v>
      </c>
      <c r="J214" s="17">
        <v>0</v>
      </c>
      <c r="K214" s="17"/>
      <c r="L214" s="16" t="s">
        <v>18</v>
      </c>
      <c r="M214" s="16" t="s">
        <v>22</v>
      </c>
      <c r="N214" s="39" t="s">
        <v>418</v>
      </c>
    </row>
    <row r="215" spans="1:14" s="12" customFormat="1" ht="18">
      <c r="A215" s="178" t="s">
        <v>80</v>
      </c>
      <c r="B215" s="75" t="s">
        <v>105</v>
      </c>
      <c r="C215" s="39" t="s">
        <v>17</v>
      </c>
      <c r="D215" s="236"/>
      <c r="E215" s="236"/>
      <c r="F215" s="236"/>
      <c r="G215" s="236"/>
      <c r="H215" s="40">
        <f>SUM(Tabla132112413[[#This Row],[PRIMER TRIMESTRE]:[CUARTO TRIMESTRE]])</f>
        <v>0</v>
      </c>
      <c r="I215" s="17">
        <v>33.64</v>
      </c>
      <c r="J215" s="17">
        <f>+Tabla132112413[[#This Row],[CANTIDAD TOTAL]]*Tabla132112413[[#This Row],[PRECIO UNITARIO ESTIMADO]]</f>
        <v>0</v>
      </c>
      <c r="K215" s="17"/>
      <c r="L215" s="16" t="s">
        <v>18</v>
      </c>
      <c r="M215" s="16" t="s">
        <v>22</v>
      </c>
      <c r="N215" s="39" t="s">
        <v>418</v>
      </c>
    </row>
    <row r="216" spans="1:14" s="12" customFormat="1" ht="18">
      <c r="A216" s="178" t="s">
        <v>80</v>
      </c>
      <c r="B216" s="75" t="s">
        <v>1725</v>
      </c>
      <c r="C216" s="70" t="s">
        <v>17</v>
      </c>
      <c r="D216" s="236"/>
      <c r="E216" s="236"/>
      <c r="F216" s="236"/>
      <c r="G216" s="236"/>
      <c r="H216" s="40">
        <v>0</v>
      </c>
      <c r="I216" s="17">
        <v>0</v>
      </c>
      <c r="J216" s="17">
        <v>0</v>
      </c>
      <c r="K216" s="17"/>
      <c r="L216" s="16" t="s">
        <v>18</v>
      </c>
      <c r="M216" s="16" t="s">
        <v>22</v>
      </c>
      <c r="N216" s="39" t="s">
        <v>418</v>
      </c>
    </row>
    <row r="217" spans="1:14" s="12" customFormat="1" ht="18">
      <c r="A217" s="178" t="s">
        <v>80</v>
      </c>
      <c r="B217" s="75" t="s">
        <v>110</v>
      </c>
      <c r="C217" s="70" t="s">
        <v>17</v>
      </c>
      <c r="D217" s="236"/>
      <c r="E217" s="236"/>
      <c r="F217" s="210"/>
      <c r="G217" s="210"/>
      <c r="H217" s="40">
        <f>SUM(Tabla132112413[[#This Row],[PRIMER TRIMESTRE]:[CUARTO TRIMESTRE]])</f>
        <v>0</v>
      </c>
      <c r="I217" s="17">
        <v>5823.23</v>
      </c>
      <c r="J217" s="17">
        <f>+Tabla132112413[[#This Row],[CANTIDAD TOTAL]]*Tabla132112413[[#This Row],[PRECIO UNITARIO ESTIMADO]]</f>
        <v>0</v>
      </c>
      <c r="K217" s="17"/>
      <c r="L217" s="16" t="s">
        <v>18</v>
      </c>
      <c r="M217" s="16" t="s">
        <v>22</v>
      </c>
      <c r="N217" s="39" t="s">
        <v>418</v>
      </c>
    </row>
    <row r="218" spans="1:14" s="12" customFormat="1" ht="18">
      <c r="A218" s="178" t="s">
        <v>80</v>
      </c>
      <c r="B218" s="77" t="s">
        <v>112</v>
      </c>
      <c r="C218" s="70" t="s">
        <v>288</v>
      </c>
      <c r="D218" s="236"/>
      <c r="E218" s="210"/>
      <c r="F218" s="210"/>
      <c r="G218" s="210"/>
      <c r="H218" s="40">
        <f>SUM(Tabla132112413[[#This Row],[PRIMER TRIMESTRE]:[CUARTO TRIMESTRE]])</f>
        <v>0</v>
      </c>
      <c r="I218" s="17">
        <v>1624</v>
      </c>
      <c r="J218" s="17">
        <f>+Tabla132112413[[#This Row],[CANTIDAD TOTAL]]*Tabla132112413[[#This Row],[PRECIO UNITARIO ESTIMADO]]</f>
        <v>0</v>
      </c>
      <c r="K218" s="17"/>
      <c r="L218" s="16" t="s">
        <v>18</v>
      </c>
      <c r="M218" s="16" t="s">
        <v>22</v>
      </c>
      <c r="N218" s="39" t="s">
        <v>418</v>
      </c>
    </row>
    <row r="219" spans="1:14" s="12" customFormat="1" ht="18">
      <c r="A219" s="178" t="s">
        <v>80</v>
      </c>
      <c r="B219" s="77" t="s">
        <v>766</v>
      </c>
      <c r="C219" s="70" t="s">
        <v>767</v>
      </c>
      <c r="D219" s="236"/>
      <c r="E219" s="210"/>
      <c r="F219" s="210"/>
      <c r="G219" s="210"/>
      <c r="H219" s="40">
        <f>SUM(Tabla132112413[[#This Row],[PRIMER TRIMESTRE]:[CUARTO TRIMESTRE]])</f>
        <v>0</v>
      </c>
      <c r="I219" s="17">
        <v>470</v>
      </c>
      <c r="J219" s="17">
        <f>+Tabla132112413[[#This Row],[CANTIDAD TOTAL]]*Tabla132112413[[#This Row],[PRECIO UNITARIO ESTIMADO]]</f>
        <v>0</v>
      </c>
      <c r="K219" s="17"/>
      <c r="L219" s="16" t="s">
        <v>18</v>
      </c>
      <c r="M219" s="16" t="s">
        <v>22</v>
      </c>
      <c r="N219" s="39" t="s">
        <v>418</v>
      </c>
    </row>
    <row r="220" spans="1:14" s="12" customFormat="1" ht="18">
      <c r="A220" s="178" t="s">
        <v>80</v>
      </c>
      <c r="B220" s="77" t="s">
        <v>1623</v>
      </c>
      <c r="C220" s="70" t="s">
        <v>17</v>
      </c>
      <c r="D220" s="236"/>
      <c r="E220" s="210"/>
      <c r="F220" s="210"/>
      <c r="G220" s="210"/>
      <c r="H220" s="40">
        <f>SUM(Tabla132112413[[#This Row],[PRIMER TRIMESTRE]:[CUARTO TRIMESTRE]])</f>
        <v>0</v>
      </c>
      <c r="I220" s="17">
        <v>1784.1</v>
      </c>
      <c r="J220" s="17">
        <f t="shared" ref="J220:J283" si="5">+H220*I220</f>
        <v>0</v>
      </c>
      <c r="K220" s="17"/>
      <c r="L220" s="16" t="s">
        <v>18</v>
      </c>
      <c r="M220" s="16" t="s">
        <v>22</v>
      </c>
      <c r="N220" s="39" t="s">
        <v>418</v>
      </c>
    </row>
    <row r="221" spans="1:14" s="12" customFormat="1" ht="18">
      <c r="A221" s="178" t="s">
        <v>80</v>
      </c>
      <c r="B221" s="77" t="s">
        <v>1431</v>
      </c>
      <c r="C221" s="70" t="s">
        <v>288</v>
      </c>
      <c r="D221" s="236"/>
      <c r="E221" s="210"/>
      <c r="F221" s="210"/>
      <c r="G221" s="210"/>
      <c r="H221" s="40">
        <f>SUM(Tabla132112413[[#This Row],[PRIMER TRIMESTRE]:[CUARTO TRIMESTRE]])</f>
        <v>0</v>
      </c>
      <c r="I221" s="17">
        <v>1395</v>
      </c>
      <c r="J221" s="17">
        <f t="shared" si="5"/>
        <v>0</v>
      </c>
      <c r="K221" s="17"/>
      <c r="L221" s="16" t="s">
        <v>18</v>
      </c>
      <c r="M221" s="16" t="s">
        <v>22</v>
      </c>
      <c r="N221" s="39" t="s">
        <v>418</v>
      </c>
    </row>
    <row r="222" spans="1:14" s="12" customFormat="1" ht="18">
      <c r="A222" s="178" t="s">
        <v>80</v>
      </c>
      <c r="B222" s="77" t="s">
        <v>921</v>
      </c>
      <c r="C222" s="70" t="s">
        <v>17</v>
      </c>
      <c r="D222" s="236"/>
      <c r="E222" s="210"/>
      <c r="F222" s="210"/>
      <c r="G222" s="210"/>
      <c r="H222" s="40">
        <f>SUM(Tabla132112413[[#This Row],[PRIMER TRIMESTRE]:[CUARTO TRIMESTRE]])</f>
        <v>0</v>
      </c>
      <c r="I222" s="17">
        <v>94</v>
      </c>
      <c r="J222" s="17">
        <f t="shared" si="5"/>
        <v>0</v>
      </c>
      <c r="K222" s="17"/>
      <c r="L222" s="16" t="s">
        <v>18</v>
      </c>
      <c r="M222" s="16" t="s">
        <v>22</v>
      </c>
      <c r="N222" s="39" t="s">
        <v>418</v>
      </c>
    </row>
    <row r="223" spans="1:14" s="12" customFormat="1" ht="25.5">
      <c r="A223" s="178" t="s">
        <v>80</v>
      </c>
      <c r="B223" s="77" t="s">
        <v>1610</v>
      </c>
      <c r="C223" s="70" t="s">
        <v>17</v>
      </c>
      <c r="D223" s="70"/>
      <c r="E223" s="70"/>
      <c r="F223" s="70"/>
      <c r="G223" s="70"/>
      <c r="H223" s="70">
        <f>SUM(Tabla132112413[[#This Row],[PRIMER TRIMESTRE]:[CUARTO TRIMESTRE]])</f>
        <v>0</v>
      </c>
      <c r="I223" s="17">
        <v>573.88</v>
      </c>
      <c r="J223" s="17">
        <f t="shared" si="5"/>
        <v>0</v>
      </c>
      <c r="K223" s="17"/>
      <c r="L223" s="16" t="s">
        <v>18</v>
      </c>
      <c r="M223" s="16" t="s">
        <v>22</v>
      </c>
      <c r="N223" s="39" t="s">
        <v>418</v>
      </c>
    </row>
    <row r="224" spans="1:14" s="12" customFormat="1" ht="38.25">
      <c r="A224" s="178" t="s">
        <v>80</v>
      </c>
      <c r="B224" s="77" t="s">
        <v>1609</v>
      </c>
      <c r="C224" s="70" t="s">
        <v>17</v>
      </c>
      <c r="D224" s="70"/>
      <c r="E224" s="70"/>
      <c r="F224" s="70"/>
      <c r="G224" s="70"/>
      <c r="H224" s="70">
        <f>SUM(Tabla132112413[[#This Row],[PRIMER TRIMESTRE]:[CUARTO TRIMESTRE]])</f>
        <v>0</v>
      </c>
      <c r="I224" s="17">
        <v>223.86</v>
      </c>
      <c r="J224" s="17">
        <f t="shared" si="5"/>
        <v>0</v>
      </c>
      <c r="K224" s="17"/>
      <c r="L224" s="16" t="s">
        <v>18</v>
      </c>
      <c r="M224" s="16" t="s">
        <v>22</v>
      </c>
      <c r="N224" s="39" t="s">
        <v>418</v>
      </c>
    </row>
    <row r="225" spans="1:14" s="12" customFormat="1" ht="18">
      <c r="A225" s="178" t="s">
        <v>80</v>
      </c>
      <c r="B225" s="77" t="s">
        <v>1181</v>
      </c>
      <c r="C225" s="70" t="s">
        <v>17</v>
      </c>
      <c r="D225" s="236"/>
      <c r="E225" s="210"/>
      <c r="F225" s="210"/>
      <c r="G225" s="210"/>
      <c r="H225" s="40">
        <f>SUM(Tabla132112413[[#This Row],[PRIMER TRIMESTRE]:[CUARTO TRIMESTRE]])</f>
        <v>0</v>
      </c>
      <c r="I225" s="17">
        <v>175</v>
      </c>
      <c r="J225" s="17">
        <f t="shared" si="5"/>
        <v>0</v>
      </c>
      <c r="K225" s="17"/>
      <c r="L225" s="16" t="s">
        <v>18</v>
      </c>
      <c r="M225" s="16" t="s">
        <v>22</v>
      </c>
      <c r="N225" s="39" t="s">
        <v>418</v>
      </c>
    </row>
    <row r="226" spans="1:14" s="12" customFormat="1" ht="18">
      <c r="A226" s="178" t="s">
        <v>80</v>
      </c>
      <c r="B226" s="75" t="s">
        <v>730</v>
      </c>
      <c r="C226" s="70" t="s">
        <v>17</v>
      </c>
      <c r="D226" s="236"/>
      <c r="E226" s="210"/>
      <c r="F226" s="210"/>
      <c r="G226" s="210"/>
      <c r="H226" s="40">
        <f>SUM(Tabla132112413[[#This Row],[PRIMER TRIMESTRE]:[CUARTO TRIMESTRE]])</f>
        <v>0</v>
      </c>
      <c r="I226" s="17">
        <v>246.34</v>
      </c>
      <c r="J226" s="17">
        <f t="shared" si="5"/>
        <v>0</v>
      </c>
      <c r="K226" s="17"/>
      <c r="L226" s="16" t="s">
        <v>18</v>
      </c>
      <c r="M226" s="16" t="s">
        <v>22</v>
      </c>
      <c r="N226" s="39" t="s">
        <v>418</v>
      </c>
    </row>
    <row r="227" spans="1:14" s="12" customFormat="1" ht="18">
      <c r="A227" s="178" t="s">
        <v>80</v>
      </c>
      <c r="B227" s="75" t="s">
        <v>570</v>
      </c>
      <c r="C227" s="70" t="s">
        <v>17</v>
      </c>
      <c r="D227" s="236">
        <v>2</v>
      </c>
      <c r="E227" s="210"/>
      <c r="F227" s="210"/>
      <c r="G227" s="210"/>
      <c r="H227" s="40">
        <f>SUM(Tabla132112413[[#This Row],[PRIMER TRIMESTRE]:[CUARTO TRIMESTRE]])</f>
        <v>2</v>
      </c>
      <c r="I227" s="17">
        <v>4100</v>
      </c>
      <c r="J227" s="17">
        <f t="shared" si="5"/>
        <v>8200</v>
      </c>
      <c r="K227" s="17"/>
      <c r="L227" s="16" t="s">
        <v>18</v>
      </c>
      <c r="M227" s="16" t="s">
        <v>22</v>
      </c>
      <c r="N227" s="39" t="s">
        <v>418</v>
      </c>
    </row>
    <row r="228" spans="1:14" s="12" customFormat="1" ht="18">
      <c r="A228" s="178" t="s">
        <v>80</v>
      </c>
      <c r="B228" s="75" t="s">
        <v>919</v>
      </c>
      <c r="C228" s="70" t="s">
        <v>17</v>
      </c>
      <c r="D228" s="236"/>
      <c r="E228" s="210"/>
      <c r="F228" s="210"/>
      <c r="G228" s="210"/>
      <c r="H228" s="40">
        <f>SUM(Tabla132112413[[#This Row],[PRIMER TRIMESTRE]:[CUARTO TRIMESTRE]])</f>
        <v>0</v>
      </c>
      <c r="I228" s="17">
        <v>31500</v>
      </c>
      <c r="J228" s="17">
        <f t="shared" si="5"/>
        <v>0</v>
      </c>
      <c r="K228" s="17"/>
      <c r="L228" s="16" t="s">
        <v>18</v>
      </c>
      <c r="M228" s="16" t="s">
        <v>22</v>
      </c>
      <c r="N228" s="39"/>
    </row>
    <row r="229" spans="1:14" s="12" customFormat="1" ht="18">
      <c r="A229" s="178" t="s">
        <v>80</v>
      </c>
      <c r="B229" s="75" t="s">
        <v>1555</v>
      </c>
      <c r="C229" s="70" t="s">
        <v>17</v>
      </c>
      <c r="D229" s="236"/>
      <c r="E229" s="236"/>
      <c r="F229" s="236"/>
      <c r="G229" s="236"/>
      <c r="H229" s="236">
        <f>SUM(Tabla132112413[[#This Row],[PRIMER TRIMESTRE]:[CUARTO TRIMESTRE]])</f>
        <v>0</v>
      </c>
      <c r="I229" s="17">
        <v>324</v>
      </c>
      <c r="J229" s="17">
        <f t="shared" si="5"/>
        <v>0</v>
      </c>
      <c r="K229" s="17"/>
      <c r="L229" s="16" t="s">
        <v>18</v>
      </c>
      <c r="M229" s="16" t="s">
        <v>22</v>
      </c>
      <c r="N229" s="39"/>
    </row>
    <row r="230" spans="1:14" s="12" customFormat="1" ht="18">
      <c r="A230" s="178" t="s">
        <v>80</v>
      </c>
      <c r="B230" s="75" t="s">
        <v>1590</v>
      </c>
      <c r="C230" s="176" t="s">
        <v>17</v>
      </c>
      <c r="D230" s="236"/>
      <c r="E230" s="236"/>
      <c r="F230" s="236"/>
      <c r="G230" s="236"/>
      <c r="H230" s="236">
        <f>SUM(Tabla132112413[[#This Row],[PRIMER TRIMESTRE]:[CUARTO TRIMESTRE]])</f>
        <v>0</v>
      </c>
      <c r="I230" s="17">
        <v>196.4</v>
      </c>
      <c r="J230" s="17">
        <f t="shared" si="5"/>
        <v>0</v>
      </c>
      <c r="K230" s="17"/>
      <c r="L230" s="16" t="s">
        <v>18</v>
      </c>
      <c r="M230" s="16" t="s">
        <v>22</v>
      </c>
      <c r="N230" s="39"/>
    </row>
    <row r="231" spans="1:14" s="12" customFormat="1" ht="18">
      <c r="A231" s="178" t="s">
        <v>80</v>
      </c>
      <c r="B231" s="75" t="s">
        <v>1556</v>
      </c>
      <c r="C231" s="176" t="s">
        <v>17</v>
      </c>
      <c r="D231" s="236"/>
      <c r="E231" s="236"/>
      <c r="F231" s="236"/>
      <c r="G231" s="236"/>
      <c r="H231" s="236">
        <f>SUM(Tabla132112413[[#This Row],[PRIMER TRIMESTRE]:[CUARTO TRIMESTRE]])</f>
        <v>0</v>
      </c>
      <c r="I231" s="17">
        <v>390</v>
      </c>
      <c r="J231" s="17">
        <f t="shared" si="5"/>
        <v>0</v>
      </c>
      <c r="K231" s="17"/>
      <c r="L231" s="16" t="s">
        <v>18</v>
      </c>
      <c r="M231" s="16" t="s">
        <v>22</v>
      </c>
      <c r="N231" s="39"/>
    </row>
    <row r="232" spans="1:14" s="12" customFormat="1" ht="25.5">
      <c r="A232" s="178" t="s">
        <v>80</v>
      </c>
      <c r="B232" s="77" t="s">
        <v>925</v>
      </c>
      <c r="C232" s="39" t="s">
        <v>93</v>
      </c>
      <c r="D232" s="236"/>
      <c r="E232" s="236"/>
      <c r="F232" s="236"/>
      <c r="G232" s="236"/>
      <c r="H232" s="40">
        <f>SUM(Tabla132112413[[#This Row],[PRIMER TRIMESTRE]:[CUARTO TRIMESTRE]])</f>
        <v>0</v>
      </c>
      <c r="I232" s="17">
        <v>125</v>
      </c>
      <c r="J232" s="17">
        <f t="shared" si="5"/>
        <v>0</v>
      </c>
      <c r="K232" s="17"/>
      <c r="L232" s="16" t="s">
        <v>18</v>
      </c>
      <c r="M232" s="16" t="s">
        <v>22</v>
      </c>
      <c r="N232" s="39"/>
    </row>
    <row r="233" spans="1:14" s="12" customFormat="1" ht="25.5">
      <c r="A233" s="178" t="s">
        <v>80</v>
      </c>
      <c r="B233" s="77" t="s">
        <v>926</v>
      </c>
      <c r="C233" s="39" t="s">
        <v>93</v>
      </c>
      <c r="D233" s="236"/>
      <c r="E233" s="236"/>
      <c r="F233" s="236"/>
      <c r="G233" s="236"/>
      <c r="H233" s="40">
        <f>SUM(Tabla132112413[[#This Row],[PRIMER TRIMESTRE]:[CUARTO TRIMESTRE]])</f>
        <v>0</v>
      </c>
      <c r="I233" s="17">
        <v>150</v>
      </c>
      <c r="J233" s="17">
        <f t="shared" si="5"/>
        <v>0</v>
      </c>
      <c r="K233" s="17"/>
      <c r="L233" s="16" t="s">
        <v>18</v>
      </c>
      <c r="M233" s="16" t="s">
        <v>22</v>
      </c>
      <c r="N233" s="39"/>
    </row>
    <row r="234" spans="1:14" s="12" customFormat="1" ht="18">
      <c r="A234" s="178" t="s">
        <v>80</v>
      </c>
      <c r="B234" s="77" t="s">
        <v>927</v>
      </c>
      <c r="C234" s="39" t="s">
        <v>17</v>
      </c>
      <c r="D234" s="236"/>
      <c r="E234" s="236"/>
      <c r="F234" s="236"/>
      <c r="G234" s="236"/>
      <c r="H234" s="40">
        <f>SUM(Tabla132112413[[#This Row],[PRIMER TRIMESTRE]:[CUARTO TRIMESTRE]])</f>
        <v>0</v>
      </c>
      <c r="I234" s="17">
        <v>25000</v>
      </c>
      <c r="J234" s="17">
        <f t="shared" si="5"/>
        <v>0</v>
      </c>
      <c r="K234" s="17"/>
      <c r="L234" s="16" t="s">
        <v>18</v>
      </c>
      <c r="M234" s="16" t="s">
        <v>22</v>
      </c>
      <c r="N234" s="39"/>
    </row>
    <row r="235" spans="1:14" s="12" customFormat="1" ht="18">
      <c r="A235" s="178" t="s">
        <v>80</v>
      </c>
      <c r="B235" s="77" t="s">
        <v>928</v>
      </c>
      <c r="C235" s="39" t="s">
        <v>17</v>
      </c>
      <c r="D235" s="236"/>
      <c r="E235" s="236"/>
      <c r="F235" s="236"/>
      <c r="G235" s="236"/>
      <c r="H235" s="40">
        <f>SUM(Tabla132112413[[#This Row],[PRIMER TRIMESTRE]:[CUARTO TRIMESTRE]])</f>
        <v>0</v>
      </c>
      <c r="I235" s="17">
        <v>10000</v>
      </c>
      <c r="J235" s="17">
        <f t="shared" si="5"/>
        <v>0</v>
      </c>
      <c r="K235" s="17"/>
      <c r="L235" s="16" t="s">
        <v>18</v>
      </c>
      <c r="M235" s="16" t="s">
        <v>22</v>
      </c>
      <c r="N235" s="39"/>
    </row>
    <row r="236" spans="1:14" s="12" customFormat="1" ht="18">
      <c r="A236" s="178" t="s">
        <v>80</v>
      </c>
      <c r="B236" s="77" t="s">
        <v>929</v>
      </c>
      <c r="C236" s="39" t="s">
        <v>17</v>
      </c>
      <c r="D236" s="236"/>
      <c r="E236" s="236"/>
      <c r="F236" s="236"/>
      <c r="G236" s="236"/>
      <c r="H236" s="40">
        <f>SUM(Tabla132112413[[#This Row],[PRIMER TRIMESTRE]:[CUARTO TRIMESTRE]])</f>
        <v>0</v>
      </c>
      <c r="I236" s="17">
        <v>1000</v>
      </c>
      <c r="J236" s="17">
        <f t="shared" si="5"/>
        <v>0</v>
      </c>
      <c r="K236" s="17"/>
      <c r="L236" s="16" t="s">
        <v>18</v>
      </c>
      <c r="M236" s="16" t="s">
        <v>22</v>
      </c>
      <c r="N236" s="39"/>
    </row>
    <row r="237" spans="1:14" s="12" customFormat="1" ht="18">
      <c r="A237" s="178" t="s">
        <v>80</v>
      </c>
      <c r="B237" s="77" t="s">
        <v>930</v>
      </c>
      <c r="C237" s="39" t="s">
        <v>17</v>
      </c>
      <c r="D237" s="236"/>
      <c r="E237" s="236"/>
      <c r="F237" s="236"/>
      <c r="G237" s="236"/>
      <c r="H237" s="40">
        <f>SUM(Tabla132112413[[#This Row],[PRIMER TRIMESTRE]:[CUARTO TRIMESTRE]])</f>
        <v>0</v>
      </c>
      <c r="I237" s="17">
        <v>2500</v>
      </c>
      <c r="J237" s="17">
        <f t="shared" si="5"/>
        <v>0</v>
      </c>
      <c r="K237" s="17"/>
      <c r="L237" s="16" t="s">
        <v>18</v>
      </c>
      <c r="M237" s="16" t="s">
        <v>22</v>
      </c>
      <c r="N237" s="39"/>
    </row>
    <row r="238" spans="1:14" s="12" customFormat="1" ht="18">
      <c r="A238" s="178" t="s">
        <v>80</v>
      </c>
      <c r="B238" s="77" t="s">
        <v>931</v>
      </c>
      <c r="C238" s="39" t="s">
        <v>17</v>
      </c>
      <c r="D238" s="236"/>
      <c r="E238" s="236"/>
      <c r="F238" s="236"/>
      <c r="G238" s="236"/>
      <c r="H238" s="40">
        <f>SUM(Tabla132112413[[#This Row],[PRIMER TRIMESTRE]:[CUARTO TRIMESTRE]])</f>
        <v>0</v>
      </c>
      <c r="I238" s="17">
        <v>5000</v>
      </c>
      <c r="J238" s="17">
        <f t="shared" si="5"/>
        <v>0</v>
      </c>
      <c r="K238" s="17"/>
      <c r="L238" s="16" t="s">
        <v>18</v>
      </c>
      <c r="M238" s="16" t="s">
        <v>22</v>
      </c>
      <c r="N238" s="39"/>
    </row>
    <row r="239" spans="1:14" s="12" customFormat="1" ht="18">
      <c r="A239" s="178" t="s">
        <v>80</v>
      </c>
      <c r="B239" s="75" t="s">
        <v>694</v>
      </c>
      <c r="C239" s="70" t="s">
        <v>17</v>
      </c>
      <c r="D239" s="236"/>
      <c r="E239" s="210"/>
      <c r="F239" s="210"/>
      <c r="G239" s="210"/>
      <c r="H239" s="40">
        <f>SUM(Tabla132112413[[#This Row],[PRIMER TRIMESTRE]:[CUARTO TRIMESTRE]])</f>
        <v>0</v>
      </c>
      <c r="I239" s="72">
        <v>850</v>
      </c>
      <c r="J239" s="17">
        <f t="shared" si="5"/>
        <v>0</v>
      </c>
      <c r="K239" s="17"/>
      <c r="L239" s="16" t="s">
        <v>18</v>
      </c>
      <c r="M239" s="16" t="s">
        <v>22</v>
      </c>
      <c r="N239" s="39" t="s">
        <v>418</v>
      </c>
    </row>
    <row r="240" spans="1:14" s="12" customFormat="1" ht="18">
      <c r="A240" s="178" t="s">
        <v>80</v>
      </c>
      <c r="B240" s="75" t="s">
        <v>695</v>
      </c>
      <c r="C240" s="70" t="s">
        <v>17</v>
      </c>
      <c r="D240" s="236"/>
      <c r="E240" s="210"/>
      <c r="F240" s="210"/>
      <c r="G240" s="210"/>
      <c r="H240" s="40">
        <f>SUM(Tabla132112413[[#This Row],[PRIMER TRIMESTRE]:[CUARTO TRIMESTRE]])</f>
        <v>0</v>
      </c>
      <c r="I240" s="72">
        <v>850</v>
      </c>
      <c r="J240" s="17">
        <f t="shared" si="5"/>
        <v>0</v>
      </c>
      <c r="K240" s="17"/>
      <c r="L240" s="16" t="s">
        <v>18</v>
      </c>
      <c r="M240" s="16" t="s">
        <v>22</v>
      </c>
      <c r="N240" s="39" t="s">
        <v>418</v>
      </c>
    </row>
    <row r="241" spans="1:14" s="12" customFormat="1" ht="18">
      <c r="A241" s="178" t="s">
        <v>80</v>
      </c>
      <c r="B241" s="75" t="s">
        <v>1182</v>
      </c>
      <c r="C241" s="70" t="s">
        <v>17</v>
      </c>
      <c r="D241" s="236"/>
      <c r="E241" s="210"/>
      <c r="F241" s="210"/>
      <c r="G241" s="210"/>
      <c r="H241" s="40">
        <f>SUM(Tabla132112413[[#This Row],[PRIMER TRIMESTRE]:[CUARTO TRIMESTRE]])</f>
        <v>0</v>
      </c>
      <c r="I241" s="72">
        <v>850</v>
      </c>
      <c r="J241" s="17">
        <f t="shared" si="5"/>
        <v>0</v>
      </c>
      <c r="K241" s="17"/>
      <c r="L241" s="16" t="s">
        <v>18</v>
      </c>
      <c r="M241" s="16" t="s">
        <v>22</v>
      </c>
      <c r="N241" s="39" t="s">
        <v>418</v>
      </c>
    </row>
    <row r="242" spans="1:14" s="12" customFormat="1" ht="18">
      <c r="A242" s="178" t="s">
        <v>80</v>
      </c>
      <c r="B242" s="75" t="s">
        <v>1183</v>
      </c>
      <c r="C242" s="70" t="s">
        <v>17</v>
      </c>
      <c r="D242" s="236"/>
      <c r="E242" s="210"/>
      <c r="F242" s="210"/>
      <c r="G242" s="210"/>
      <c r="H242" s="40">
        <f>SUM(Tabla132112413[[#This Row],[PRIMER TRIMESTRE]:[CUARTO TRIMESTRE]])</f>
        <v>0</v>
      </c>
      <c r="I242" s="72">
        <v>850</v>
      </c>
      <c r="J242" s="17">
        <f t="shared" si="5"/>
        <v>0</v>
      </c>
      <c r="K242" s="17"/>
      <c r="L242" s="16" t="s">
        <v>18</v>
      </c>
      <c r="M242" s="16" t="s">
        <v>22</v>
      </c>
      <c r="N242" s="39" t="s">
        <v>418</v>
      </c>
    </row>
    <row r="243" spans="1:14" s="12" customFormat="1" ht="18">
      <c r="A243" s="178" t="s">
        <v>80</v>
      </c>
      <c r="B243" s="75" t="s">
        <v>1184</v>
      </c>
      <c r="C243" s="70" t="s">
        <v>17</v>
      </c>
      <c r="D243" s="236"/>
      <c r="E243" s="210"/>
      <c r="F243" s="210"/>
      <c r="G243" s="210"/>
      <c r="H243" s="40">
        <f>SUM(Tabla132112413[[#This Row],[PRIMER TRIMESTRE]:[CUARTO TRIMESTRE]])</f>
        <v>0</v>
      </c>
      <c r="I243" s="72">
        <v>850</v>
      </c>
      <c r="J243" s="17">
        <f t="shared" si="5"/>
        <v>0</v>
      </c>
      <c r="K243" s="17"/>
      <c r="L243" s="16" t="s">
        <v>18</v>
      </c>
      <c r="M243" s="16" t="s">
        <v>22</v>
      </c>
      <c r="N243" s="39" t="s">
        <v>418</v>
      </c>
    </row>
    <row r="244" spans="1:14" s="12" customFormat="1" ht="18">
      <c r="A244" s="178" t="s">
        <v>80</v>
      </c>
      <c r="B244" s="75" t="s">
        <v>1185</v>
      </c>
      <c r="C244" s="70" t="s">
        <v>17</v>
      </c>
      <c r="D244" s="236"/>
      <c r="E244" s="210"/>
      <c r="F244" s="210"/>
      <c r="G244" s="210"/>
      <c r="H244" s="40">
        <f>SUM(Tabla132112413[[#This Row],[PRIMER TRIMESTRE]:[CUARTO TRIMESTRE]])</f>
        <v>0</v>
      </c>
      <c r="I244" s="72">
        <v>850</v>
      </c>
      <c r="J244" s="17">
        <f t="shared" si="5"/>
        <v>0</v>
      </c>
      <c r="K244" s="17"/>
      <c r="L244" s="16" t="s">
        <v>18</v>
      </c>
      <c r="M244" s="16" t="s">
        <v>22</v>
      </c>
      <c r="N244" s="39" t="s">
        <v>418</v>
      </c>
    </row>
    <row r="245" spans="1:14" s="12" customFormat="1" ht="18">
      <c r="A245" s="178" t="s">
        <v>80</v>
      </c>
      <c r="B245" s="75" t="s">
        <v>696</v>
      </c>
      <c r="C245" s="70" t="s">
        <v>17</v>
      </c>
      <c r="D245" s="236"/>
      <c r="E245" s="210"/>
      <c r="F245" s="210"/>
      <c r="G245" s="210"/>
      <c r="H245" s="40">
        <f>SUM(Tabla132112413[[#This Row],[PRIMER TRIMESTRE]:[CUARTO TRIMESTRE]])</f>
        <v>0</v>
      </c>
      <c r="I245" s="72">
        <v>970</v>
      </c>
      <c r="J245" s="17">
        <f t="shared" si="5"/>
        <v>0</v>
      </c>
      <c r="K245" s="17"/>
      <c r="L245" s="16" t="s">
        <v>18</v>
      </c>
      <c r="M245" s="16" t="s">
        <v>22</v>
      </c>
      <c r="N245" s="39" t="s">
        <v>418</v>
      </c>
    </row>
    <row r="246" spans="1:14" s="12" customFormat="1" ht="18">
      <c r="A246" s="178" t="s">
        <v>80</v>
      </c>
      <c r="B246" s="75" t="s">
        <v>1186</v>
      </c>
      <c r="C246" s="70" t="s">
        <v>17</v>
      </c>
      <c r="D246" s="236"/>
      <c r="E246" s="210"/>
      <c r="F246" s="210"/>
      <c r="G246" s="210"/>
      <c r="H246" s="40">
        <f>SUM(Tabla132112413[[#This Row],[PRIMER TRIMESTRE]:[CUARTO TRIMESTRE]])</f>
        <v>0</v>
      </c>
      <c r="I246" s="72">
        <v>850</v>
      </c>
      <c r="J246" s="17">
        <f t="shared" si="5"/>
        <v>0</v>
      </c>
      <c r="K246" s="17"/>
      <c r="L246" s="16" t="s">
        <v>18</v>
      </c>
      <c r="M246" s="16" t="s">
        <v>22</v>
      </c>
      <c r="N246" s="39" t="s">
        <v>418</v>
      </c>
    </row>
    <row r="247" spans="1:14" s="12" customFormat="1" ht="18">
      <c r="A247" s="178" t="s">
        <v>80</v>
      </c>
      <c r="B247" s="75" t="s">
        <v>1187</v>
      </c>
      <c r="C247" s="70" t="s">
        <v>17</v>
      </c>
      <c r="D247" s="236"/>
      <c r="E247" s="210"/>
      <c r="F247" s="210"/>
      <c r="G247" s="210"/>
      <c r="H247" s="40">
        <f>SUM(Tabla132112413[[#This Row],[PRIMER TRIMESTRE]:[CUARTO TRIMESTRE]])</f>
        <v>0</v>
      </c>
      <c r="I247" s="72">
        <v>850</v>
      </c>
      <c r="J247" s="17">
        <f t="shared" si="5"/>
        <v>0</v>
      </c>
      <c r="K247" s="17"/>
      <c r="L247" s="16" t="s">
        <v>18</v>
      </c>
      <c r="M247" s="16" t="s">
        <v>22</v>
      </c>
      <c r="N247" s="39" t="s">
        <v>418</v>
      </c>
    </row>
    <row r="248" spans="1:14" s="12" customFormat="1" ht="18">
      <c r="A248" s="178" t="s">
        <v>80</v>
      </c>
      <c r="B248" s="75" t="s">
        <v>1188</v>
      </c>
      <c r="C248" s="70" t="s">
        <v>17</v>
      </c>
      <c r="D248" s="236"/>
      <c r="E248" s="210"/>
      <c r="F248" s="210"/>
      <c r="G248" s="210"/>
      <c r="H248" s="40">
        <f>SUM(Tabla132112413[[#This Row],[PRIMER TRIMESTRE]:[CUARTO TRIMESTRE]])</f>
        <v>0</v>
      </c>
      <c r="I248" s="72">
        <v>850</v>
      </c>
      <c r="J248" s="17">
        <f t="shared" si="5"/>
        <v>0</v>
      </c>
      <c r="K248" s="17"/>
      <c r="L248" s="16" t="s">
        <v>18</v>
      </c>
      <c r="M248" s="16" t="s">
        <v>22</v>
      </c>
      <c r="N248" s="39" t="s">
        <v>418</v>
      </c>
    </row>
    <row r="249" spans="1:14" s="12" customFormat="1" ht="18">
      <c r="A249" s="178" t="s">
        <v>80</v>
      </c>
      <c r="B249" s="75" t="s">
        <v>1189</v>
      </c>
      <c r="C249" s="70" t="s">
        <v>17</v>
      </c>
      <c r="D249" s="236"/>
      <c r="E249" s="210"/>
      <c r="F249" s="210"/>
      <c r="G249" s="210"/>
      <c r="H249" s="40">
        <f>SUM(Tabla132112413[[#This Row],[PRIMER TRIMESTRE]:[CUARTO TRIMESTRE]])</f>
        <v>0</v>
      </c>
      <c r="I249" s="72">
        <v>850</v>
      </c>
      <c r="J249" s="17">
        <f t="shared" si="5"/>
        <v>0</v>
      </c>
      <c r="K249" s="17"/>
      <c r="L249" s="16" t="s">
        <v>18</v>
      </c>
      <c r="M249" s="16" t="s">
        <v>22</v>
      </c>
      <c r="N249" s="39" t="s">
        <v>418</v>
      </c>
    </row>
    <row r="250" spans="1:14" s="12" customFormat="1" ht="18">
      <c r="A250" s="178" t="s">
        <v>80</v>
      </c>
      <c r="B250" s="75" t="s">
        <v>1190</v>
      </c>
      <c r="C250" s="70" t="s">
        <v>17</v>
      </c>
      <c r="D250" s="236"/>
      <c r="E250" s="210"/>
      <c r="F250" s="210"/>
      <c r="G250" s="210"/>
      <c r="H250" s="40">
        <f>SUM(Tabla132112413[[#This Row],[PRIMER TRIMESTRE]:[CUARTO TRIMESTRE]])</f>
        <v>0</v>
      </c>
      <c r="I250" s="72">
        <v>970</v>
      </c>
      <c r="J250" s="17">
        <f t="shared" si="5"/>
        <v>0</v>
      </c>
      <c r="K250" s="17"/>
      <c r="L250" s="16" t="s">
        <v>18</v>
      </c>
      <c r="M250" s="16" t="s">
        <v>22</v>
      </c>
      <c r="N250" s="39" t="s">
        <v>418</v>
      </c>
    </row>
    <row r="251" spans="1:14" s="12" customFormat="1" ht="18">
      <c r="A251" s="178" t="s">
        <v>80</v>
      </c>
      <c r="B251" s="75" t="s">
        <v>1191</v>
      </c>
      <c r="C251" s="70" t="s">
        <v>17</v>
      </c>
      <c r="D251" s="236"/>
      <c r="E251" s="210"/>
      <c r="F251" s="210"/>
      <c r="G251" s="210"/>
      <c r="H251" s="40">
        <f>SUM(Tabla132112413[[#This Row],[PRIMER TRIMESTRE]:[CUARTO TRIMESTRE]])</f>
        <v>0</v>
      </c>
      <c r="I251" s="72">
        <v>970</v>
      </c>
      <c r="J251" s="17">
        <f t="shared" si="5"/>
        <v>0</v>
      </c>
      <c r="K251" s="17"/>
      <c r="L251" s="16" t="s">
        <v>18</v>
      </c>
      <c r="M251" s="16" t="s">
        <v>22</v>
      </c>
      <c r="N251" s="39" t="s">
        <v>418</v>
      </c>
    </row>
    <row r="252" spans="1:14" s="12" customFormat="1" ht="18">
      <c r="A252" s="178" t="s">
        <v>80</v>
      </c>
      <c r="B252" s="75" t="s">
        <v>1192</v>
      </c>
      <c r="C252" s="70" t="s">
        <v>17</v>
      </c>
      <c r="D252" s="236"/>
      <c r="E252" s="210"/>
      <c r="F252" s="210"/>
      <c r="G252" s="210"/>
      <c r="H252" s="40">
        <f>SUM(Tabla132112413[[#This Row],[PRIMER TRIMESTRE]:[CUARTO TRIMESTRE]])</f>
        <v>0</v>
      </c>
      <c r="I252" s="72">
        <v>970</v>
      </c>
      <c r="J252" s="17">
        <f t="shared" si="5"/>
        <v>0</v>
      </c>
      <c r="K252" s="17"/>
      <c r="L252" s="16" t="s">
        <v>18</v>
      </c>
      <c r="M252" s="16" t="s">
        <v>22</v>
      </c>
      <c r="N252" s="39" t="s">
        <v>418</v>
      </c>
    </row>
    <row r="253" spans="1:14" s="12" customFormat="1" ht="18">
      <c r="A253" s="178" t="s">
        <v>80</v>
      </c>
      <c r="B253" s="75" t="s">
        <v>1193</v>
      </c>
      <c r="C253" s="70" t="s">
        <v>17</v>
      </c>
      <c r="D253" s="236"/>
      <c r="E253" s="210"/>
      <c r="F253" s="210"/>
      <c r="G253" s="210"/>
      <c r="H253" s="40">
        <f>SUM(Tabla132112413[[#This Row],[PRIMER TRIMESTRE]:[CUARTO TRIMESTRE]])</f>
        <v>0</v>
      </c>
      <c r="I253" s="72">
        <v>970</v>
      </c>
      <c r="J253" s="17">
        <f t="shared" si="5"/>
        <v>0</v>
      </c>
      <c r="K253" s="17"/>
      <c r="L253" s="16" t="s">
        <v>18</v>
      </c>
      <c r="M253" s="16" t="s">
        <v>22</v>
      </c>
      <c r="N253" s="39" t="s">
        <v>418</v>
      </c>
    </row>
    <row r="254" spans="1:14" s="12" customFormat="1" ht="18">
      <c r="A254" s="178" t="s">
        <v>80</v>
      </c>
      <c r="B254" s="75" t="s">
        <v>1194</v>
      </c>
      <c r="C254" s="70" t="s">
        <v>17</v>
      </c>
      <c r="D254" s="236"/>
      <c r="E254" s="210"/>
      <c r="F254" s="210"/>
      <c r="G254" s="210"/>
      <c r="H254" s="40">
        <f>SUM(Tabla132112413[[#This Row],[PRIMER TRIMESTRE]:[CUARTO TRIMESTRE]])</f>
        <v>0</v>
      </c>
      <c r="I254" s="72">
        <v>970</v>
      </c>
      <c r="J254" s="17">
        <f t="shared" si="5"/>
        <v>0</v>
      </c>
      <c r="K254" s="17"/>
      <c r="L254" s="16" t="s">
        <v>18</v>
      </c>
      <c r="M254" s="16" t="s">
        <v>22</v>
      </c>
      <c r="N254" s="39" t="s">
        <v>418</v>
      </c>
    </row>
    <row r="255" spans="1:14" s="12" customFormat="1" ht="18">
      <c r="A255" s="178" t="s">
        <v>80</v>
      </c>
      <c r="B255" s="75" t="s">
        <v>1195</v>
      </c>
      <c r="C255" s="70" t="s">
        <v>17</v>
      </c>
      <c r="D255" s="236"/>
      <c r="E255" s="210"/>
      <c r="F255" s="210"/>
      <c r="G255" s="210"/>
      <c r="H255" s="40">
        <f>SUM(Tabla132112413[[#This Row],[PRIMER TRIMESTRE]:[CUARTO TRIMESTRE]])</f>
        <v>0</v>
      </c>
      <c r="I255" s="72">
        <v>1870</v>
      </c>
      <c r="J255" s="17">
        <f t="shared" si="5"/>
        <v>0</v>
      </c>
      <c r="K255" s="17"/>
      <c r="L255" s="16" t="s">
        <v>18</v>
      </c>
      <c r="M255" s="16" t="s">
        <v>22</v>
      </c>
      <c r="N255" s="39" t="s">
        <v>418</v>
      </c>
    </row>
    <row r="256" spans="1:14" s="12" customFormat="1" ht="18">
      <c r="A256" s="178" t="s">
        <v>80</v>
      </c>
      <c r="B256" s="75" t="s">
        <v>1196</v>
      </c>
      <c r="C256" s="70" t="s">
        <v>17</v>
      </c>
      <c r="D256" s="236"/>
      <c r="E256" s="210"/>
      <c r="F256" s="210"/>
      <c r="G256" s="210"/>
      <c r="H256" s="40">
        <f>SUM(Tabla132112413[[#This Row],[PRIMER TRIMESTRE]:[CUARTO TRIMESTRE]])</f>
        <v>0</v>
      </c>
      <c r="I256" s="72">
        <v>2150</v>
      </c>
      <c r="J256" s="17">
        <f t="shared" si="5"/>
        <v>0</v>
      </c>
      <c r="K256" s="17"/>
      <c r="L256" s="16" t="s">
        <v>18</v>
      </c>
      <c r="M256" s="16" t="s">
        <v>22</v>
      </c>
      <c r="N256" s="39" t="s">
        <v>418</v>
      </c>
    </row>
    <row r="257" spans="1:14" s="12" customFormat="1" ht="18">
      <c r="A257" s="178" t="s">
        <v>80</v>
      </c>
      <c r="B257" s="75" t="s">
        <v>1197</v>
      </c>
      <c r="C257" s="70" t="s">
        <v>17</v>
      </c>
      <c r="D257" s="236"/>
      <c r="E257" s="210"/>
      <c r="F257" s="210"/>
      <c r="G257" s="210"/>
      <c r="H257" s="40">
        <f>SUM(Tabla132112413[[#This Row],[PRIMER TRIMESTRE]:[CUARTO TRIMESTRE]])</f>
        <v>0</v>
      </c>
      <c r="I257" s="72">
        <v>2860</v>
      </c>
      <c r="J257" s="17">
        <f t="shared" si="5"/>
        <v>0</v>
      </c>
      <c r="K257" s="17"/>
      <c r="L257" s="16" t="s">
        <v>18</v>
      </c>
      <c r="M257" s="16" t="s">
        <v>22</v>
      </c>
      <c r="N257" s="39" t="s">
        <v>418</v>
      </c>
    </row>
    <row r="258" spans="1:14" s="12" customFormat="1" ht="18">
      <c r="A258" s="178" t="s">
        <v>80</v>
      </c>
      <c r="B258" s="75" t="s">
        <v>1198</v>
      </c>
      <c r="C258" s="70" t="s">
        <v>17</v>
      </c>
      <c r="D258" s="236"/>
      <c r="E258" s="210"/>
      <c r="F258" s="210"/>
      <c r="G258" s="210"/>
      <c r="H258" s="40">
        <f>SUM(Tabla132112413[[#This Row],[PRIMER TRIMESTRE]:[CUARTO TRIMESTRE]])</f>
        <v>0</v>
      </c>
      <c r="I258" s="72">
        <v>2860</v>
      </c>
      <c r="J258" s="17">
        <f t="shared" si="5"/>
        <v>0</v>
      </c>
      <c r="K258" s="17"/>
      <c r="L258" s="16" t="s">
        <v>18</v>
      </c>
      <c r="M258" s="16" t="s">
        <v>22</v>
      </c>
      <c r="N258" s="39" t="s">
        <v>418</v>
      </c>
    </row>
    <row r="259" spans="1:14" s="12" customFormat="1" ht="18">
      <c r="A259" s="178" t="s">
        <v>80</v>
      </c>
      <c r="B259" s="75" t="s">
        <v>1199</v>
      </c>
      <c r="C259" s="70" t="s">
        <v>17</v>
      </c>
      <c r="D259" s="236"/>
      <c r="E259" s="210"/>
      <c r="F259" s="210"/>
      <c r="G259" s="210"/>
      <c r="H259" s="40">
        <f>SUM(Tabla132112413[[#This Row],[PRIMER TRIMESTRE]:[CUARTO TRIMESTRE]])</f>
        <v>0</v>
      </c>
      <c r="I259" s="72">
        <v>2860</v>
      </c>
      <c r="J259" s="17">
        <f t="shared" si="5"/>
        <v>0</v>
      </c>
      <c r="K259" s="17"/>
      <c r="L259" s="16" t="s">
        <v>18</v>
      </c>
      <c r="M259" s="16" t="s">
        <v>22</v>
      </c>
      <c r="N259" s="39" t="s">
        <v>418</v>
      </c>
    </row>
    <row r="260" spans="1:14" s="12" customFormat="1" ht="18">
      <c r="A260" s="178" t="s">
        <v>80</v>
      </c>
      <c r="B260" s="75" t="s">
        <v>1200</v>
      </c>
      <c r="C260" s="70" t="s">
        <v>17</v>
      </c>
      <c r="D260" s="236"/>
      <c r="E260" s="210"/>
      <c r="F260" s="210"/>
      <c r="G260" s="210"/>
      <c r="H260" s="40">
        <f>SUM(Tabla132112413[[#This Row],[PRIMER TRIMESTRE]:[CUARTO TRIMESTRE]])</f>
        <v>0</v>
      </c>
      <c r="I260" s="72">
        <v>2860</v>
      </c>
      <c r="J260" s="17">
        <f t="shared" si="5"/>
        <v>0</v>
      </c>
      <c r="K260" s="17"/>
      <c r="L260" s="16" t="s">
        <v>18</v>
      </c>
      <c r="M260" s="16" t="s">
        <v>22</v>
      </c>
      <c r="N260" s="39" t="s">
        <v>418</v>
      </c>
    </row>
    <row r="261" spans="1:14" s="12" customFormat="1" ht="18">
      <c r="A261" s="178" t="s">
        <v>80</v>
      </c>
      <c r="B261" s="75" t="s">
        <v>697</v>
      </c>
      <c r="C261" s="70" t="s">
        <v>17</v>
      </c>
      <c r="D261" s="236"/>
      <c r="E261" s="210"/>
      <c r="F261" s="210"/>
      <c r="G261" s="210"/>
      <c r="H261" s="40">
        <f>SUM(Tabla132112413[[#This Row],[PRIMER TRIMESTRE]:[CUARTO TRIMESTRE]])</f>
        <v>0</v>
      </c>
      <c r="I261" s="72">
        <v>1870</v>
      </c>
      <c r="J261" s="17">
        <f t="shared" si="5"/>
        <v>0</v>
      </c>
      <c r="K261" s="17"/>
      <c r="L261" s="16" t="s">
        <v>18</v>
      </c>
      <c r="M261" s="16" t="s">
        <v>22</v>
      </c>
      <c r="N261" s="39" t="s">
        <v>418</v>
      </c>
    </row>
    <row r="262" spans="1:14" s="12" customFormat="1" ht="18">
      <c r="A262" s="178" t="s">
        <v>80</v>
      </c>
      <c r="B262" s="75" t="s">
        <v>698</v>
      </c>
      <c r="C262" s="39" t="s">
        <v>17</v>
      </c>
      <c r="D262" s="236"/>
      <c r="E262" s="236"/>
      <c r="F262" s="236"/>
      <c r="G262" s="236"/>
      <c r="H262" s="40">
        <f>SUM(Tabla132112413[[#This Row],[PRIMER TRIMESTRE]:[CUARTO TRIMESTRE]])</f>
        <v>0</v>
      </c>
      <c r="I262" s="72">
        <v>2150</v>
      </c>
      <c r="J262" s="17">
        <f t="shared" si="5"/>
        <v>0</v>
      </c>
      <c r="K262" s="17"/>
      <c r="L262" s="16" t="s">
        <v>18</v>
      </c>
      <c r="M262" s="16" t="s">
        <v>22</v>
      </c>
      <c r="N262" s="39" t="s">
        <v>418</v>
      </c>
    </row>
    <row r="263" spans="1:14" s="12" customFormat="1" ht="18">
      <c r="A263" s="178" t="s">
        <v>80</v>
      </c>
      <c r="B263" s="75" t="s">
        <v>699</v>
      </c>
      <c r="C263" s="39" t="s">
        <v>17</v>
      </c>
      <c r="D263" s="236"/>
      <c r="E263" s="236"/>
      <c r="F263" s="236"/>
      <c r="G263" s="236"/>
      <c r="H263" s="40">
        <f>SUM(Tabla132112413[[#This Row],[PRIMER TRIMESTRE]:[CUARTO TRIMESTRE]])</f>
        <v>0</v>
      </c>
      <c r="I263" s="72">
        <v>2860</v>
      </c>
      <c r="J263" s="17">
        <f t="shared" si="5"/>
        <v>0</v>
      </c>
      <c r="K263" s="17"/>
      <c r="L263" s="16" t="s">
        <v>18</v>
      </c>
      <c r="M263" s="16" t="s">
        <v>22</v>
      </c>
      <c r="N263" s="39" t="s">
        <v>418</v>
      </c>
    </row>
    <row r="264" spans="1:14" s="12" customFormat="1" ht="18">
      <c r="A264" s="178" t="s">
        <v>80</v>
      </c>
      <c r="B264" s="75" t="s">
        <v>1201</v>
      </c>
      <c r="C264" s="39" t="s">
        <v>17</v>
      </c>
      <c r="D264" s="236"/>
      <c r="E264" s="236"/>
      <c r="F264" s="236"/>
      <c r="G264" s="236"/>
      <c r="H264" s="40">
        <f>SUM(Tabla132112413[[#This Row],[PRIMER TRIMESTRE]:[CUARTO TRIMESTRE]])</f>
        <v>0</v>
      </c>
      <c r="I264" s="72">
        <v>250</v>
      </c>
      <c r="J264" s="17">
        <f t="shared" si="5"/>
        <v>0</v>
      </c>
      <c r="K264" s="17"/>
      <c r="L264" s="16" t="s">
        <v>18</v>
      </c>
      <c r="M264" s="16" t="s">
        <v>22</v>
      </c>
      <c r="N264" s="39" t="s">
        <v>418</v>
      </c>
    </row>
    <row r="265" spans="1:14" s="12" customFormat="1" ht="18">
      <c r="A265" s="178" t="s">
        <v>80</v>
      </c>
      <c r="B265" s="75" t="s">
        <v>1202</v>
      </c>
      <c r="C265" s="39" t="s">
        <v>17</v>
      </c>
      <c r="D265" s="236"/>
      <c r="E265" s="236"/>
      <c r="F265" s="236"/>
      <c r="G265" s="236"/>
      <c r="H265" s="40">
        <f>SUM(Tabla132112413[[#This Row],[PRIMER TRIMESTRE]:[CUARTO TRIMESTRE]])</f>
        <v>0</v>
      </c>
      <c r="I265" s="72">
        <v>275</v>
      </c>
      <c r="J265" s="17">
        <f t="shared" si="5"/>
        <v>0</v>
      </c>
      <c r="K265" s="17"/>
      <c r="L265" s="16" t="s">
        <v>18</v>
      </c>
      <c r="M265" s="16" t="s">
        <v>22</v>
      </c>
      <c r="N265" s="39" t="s">
        <v>418</v>
      </c>
    </row>
    <row r="266" spans="1:14" s="12" customFormat="1" ht="18">
      <c r="A266" s="178" t="s">
        <v>80</v>
      </c>
      <c r="B266" s="75" t="s">
        <v>1203</v>
      </c>
      <c r="C266" s="39" t="s">
        <v>17</v>
      </c>
      <c r="D266" s="236"/>
      <c r="E266" s="236"/>
      <c r="F266" s="236"/>
      <c r="G266" s="236"/>
      <c r="H266" s="40">
        <f>SUM(Tabla132112413[[#This Row],[PRIMER TRIMESTRE]:[CUARTO TRIMESTRE]])</f>
        <v>0</v>
      </c>
      <c r="I266" s="72">
        <v>300</v>
      </c>
      <c r="J266" s="17">
        <f t="shared" si="5"/>
        <v>0</v>
      </c>
      <c r="K266" s="17"/>
      <c r="L266" s="16" t="s">
        <v>18</v>
      </c>
      <c r="M266" s="16" t="s">
        <v>22</v>
      </c>
      <c r="N266" s="39" t="s">
        <v>418</v>
      </c>
    </row>
    <row r="267" spans="1:14" s="12" customFormat="1" ht="18">
      <c r="A267" s="178" t="s">
        <v>80</v>
      </c>
      <c r="B267" s="75" t="s">
        <v>1204</v>
      </c>
      <c r="C267" s="39" t="s">
        <v>17</v>
      </c>
      <c r="D267" s="236"/>
      <c r="E267" s="236"/>
      <c r="F267" s="236"/>
      <c r="G267" s="236"/>
      <c r="H267" s="40">
        <f>SUM(Tabla132112413[[#This Row],[PRIMER TRIMESTRE]:[CUARTO TRIMESTRE]])</f>
        <v>0</v>
      </c>
      <c r="I267" s="72">
        <v>400</v>
      </c>
      <c r="J267" s="17">
        <f t="shared" si="5"/>
        <v>0</v>
      </c>
      <c r="K267" s="17"/>
      <c r="L267" s="16" t="s">
        <v>18</v>
      </c>
      <c r="M267" s="16" t="s">
        <v>22</v>
      </c>
      <c r="N267" s="39" t="s">
        <v>418</v>
      </c>
    </row>
    <row r="268" spans="1:14" s="12" customFormat="1" ht="18">
      <c r="A268" s="178" t="s">
        <v>80</v>
      </c>
      <c r="B268" s="75" t="s">
        <v>1205</v>
      </c>
      <c r="C268" s="39" t="s">
        <v>17</v>
      </c>
      <c r="D268" s="236"/>
      <c r="E268" s="236"/>
      <c r="F268" s="236"/>
      <c r="G268" s="236"/>
      <c r="H268" s="40">
        <f>SUM(Tabla132112413[[#This Row],[PRIMER TRIMESTRE]:[CUARTO TRIMESTRE]])</f>
        <v>0</v>
      </c>
      <c r="I268" s="72">
        <v>600</v>
      </c>
      <c r="J268" s="17">
        <f t="shared" si="5"/>
        <v>0</v>
      </c>
      <c r="K268" s="17"/>
      <c r="L268" s="16" t="s">
        <v>18</v>
      </c>
      <c r="M268" s="16" t="s">
        <v>22</v>
      </c>
      <c r="N268" s="39" t="s">
        <v>418</v>
      </c>
    </row>
    <row r="269" spans="1:14" s="12" customFormat="1" ht="18">
      <c r="A269" s="178" t="s">
        <v>80</v>
      </c>
      <c r="B269" s="75" t="s">
        <v>1206</v>
      </c>
      <c r="C269" s="39" t="s">
        <v>17</v>
      </c>
      <c r="D269" s="236"/>
      <c r="E269" s="236"/>
      <c r="F269" s="236"/>
      <c r="G269" s="236"/>
      <c r="H269" s="40">
        <f>SUM(Tabla132112413[[#This Row],[PRIMER TRIMESTRE]:[CUARTO TRIMESTRE]])</f>
        <v>0</v>
      </c>
      <c r="I269" s="72">
        <v>800</v>
      </c>
      <c r="J269" s="17">
        <f t="shared" si="5"/>
        <v>0</v>
      </c>
      <c r="K269" s="17"/>
      <c r="L269" s="16" t="s">
        <v>18</v>
      </c>
      <c r="M269" s="16" t="s">
        <v>22</v>
      </c>
      <c r="N269" s="39" t="s">
        <v>418</v>
      </c>
    </row>
    <row r="270" spans="1:14" s="12" customFormat="1" ht="18">
      <c r="A270" s="178" t="s">
        <v>80</v>
      </c>
      <c r="B270" s="75" t="s">
        <v>1207</v>
      </c>
      <c r="C270" s="39" t="s">
        <v>17</v>
      </c>
      <c r="D270" s="236"/>
      <c r="E270" s="236"/>
      <c r="F270" s="236"/>
      <c r="G270" s="236"/>
      <c r="H270" s="40">
        <f>SUM(Tabla132112413[[#This Row],[PRIMER TRIMESTRE]:[CUARTO TRIMESTRE]])</f>
        <v>0</v>
      </c>
      <c r="I270" s="72">
        <v>1200</v>
      </c>
      <c r="J270" s="17">
        <f t="shared" si="5"/>
        <v>0</v>
      </c>
      <c r="K270" s="17"/>
      <c r="L270" s="16" t="s">
        <v>18</v>
      </c>
      <c r="M270" s="16" t="s">
        <v>22</v>
      </c>
      <c r="N270" s="39" t="s">
        <v>418</v>
      </c>
    </row>
    <row r="271" spans="1:14" s="12" customFormat="1" ht="18">
      <c r="A271" s="178" t="s">
        <v>80</v>
      </c>
      <c r="B271" s="75" t="s">
        <v>1208</v>
      </c>
      <c r="C271" s="39" t="s">
        <v>17</v>
      </c>
      <c r="D271" s="236"/>
      <c r="E271" s="236"/>
      <c r="F271" s="236"/>
      <c r="G271" s="236"/>
      <c r="H271" s="40">
        <f>SUM(Tabla132112413[[#This Row],[PRIMER TRIMESTRE]:[CUARTO TRIMESTRE]])</f>
        <v>0</v>
      </c>
      <c r="I271" s="72">
        <v>1600</v>
      </c>
      <c r="J271" s="17">
        <f t="shared" si="5"/>
        <v>0</v>
      </c>
      <c r="K271" s="17"/>
      <c r="L271" s="16" t="s">
        <v>18</v>
      </c>
      <c r="M271" s="16" t="s">
        <v>22</v>
      </c>
      <c r="N271" s="39" t="s">
        <v>418</v>
      </c>
    </row>
    <row r="272" spans="1:14" s="12" customFormat="1" ht="18">
      <c r="A272" s="178" t="s">
        <v>80</v>
      </c>
      <c r="B272" s="75" t="s">
        <v>1209</v>
      </c>
      <c r="C272" s="39" t="s">
        <v>17</v>
      </c>
      <c r="D272" s="236"/>
      <c r="E272" s="236"/>
      <c r="F272" s="236"/>
      <c r="G272" s="236"/>
      <c r="H272" s="40">
        <f>SUM(Tabla132112413[[#This Row],[PRIMER TRIMESTRE]:[CUARTO TRIMESTRE]])</f>
        <v>0</v>
      </c>
      <c r="I272" s="72">
        <v>1800</v>
      </c>
      <c r="J272" s="17">
        <f t="shared" si="5"/>
        <v>0</v>
      </c>
      <c r="K272" s="17"/>
      <c r="L272" s="16" t="s">
        <v>18</v>
      </c>
      <c r="M272" s="16" t="s">
        <v>22</v>
      </c>
      <c r="N272" s="39" t="s">
        <v>418</v>
      </c>
    </row>
    <row r="273" spans="1:14" s="12" customFormat="1" ht="18">
      <c r="A273" s="178" t="s">
        <v>80</v>
      </c>
      <c r="B273" s="75" t="s">
        <v>1210</v>
      </c>
      <c r="C273" s="39" t="s">
        <v>17</v>
      </c>
      <c r="D273" s="236"/>
      <c r="E273" s="236"/>
      <c r="F273" s="236"/>
      <c r="G273" s="236"/>
      <c r="H273" s="40">
        <f>SUM(Tabla132112413[[#This Row],[PRIMER TRIMESTRE]:[CUARTO TRIMESTRE]])</f>
        <v>0</v>
      </c>
      <c r="I273" s="72">
        <v>2000</v>
      </c>
      <c r="J273" s="17">
        <f t="shared" si="5"/>
        <v>0</v>
      </c>
      <c r="K273" s="17"/>
      <c r="L273" s="16" t="s">
        <v>18</v>
      </c>
      <c r="M273" s="16" t="s">
        <v>22</v>
      </c>
      <c r="N273" s="39" t="s">
        <v>418</v>
      </c>
    </row>
    <row r="274" spans="1:14" s="12" customFormat="1" ht="18">
      <c r="A274" s="178" t="s">
        <v>80</v>
      </c>
      <c r="B274" s="75" t="s">
        <v>1211</v>
      </c>
      <c r="C274" s="39" t="s">
        <v>17</v>
      </c>
      <c r="D274" s="236"/>
      <c r="E274" s="236"/>
      <c r="F274" s="236"/>
      <c r="G274" s="236"/>
      <c r="H274" s="40">
        <f>SUM(Tabla132112413[[#This Row],[PRIMER TRIMESTRE]:[CUARTO TRIMESTRE]])</f>
        <v>0</v>
      </c>
      <c r="I274" s="72">
        <v>3200</v>
      </c>
      <c r="J274" s="17">
        <f t="shared" si="5"/>
        <v>0</v>
      </c>
      <c r="K274" s="17"/>
      <c r="L274" s="16" t="s">
        <v>18</v>
      </c>
      <c r="M274" s="16" t="s">
        <v>22</v>
      </c>
      <c r="N274" s="39" t="s">
        <v>418</v>
      </c>
    </row>
    <row r="275" spans="1:14" s="12" customFormat="1" ht="18">
      <c r="A275" s="178" t="s">
        <v>80</v>
      </c>
      <c r="B275" s="75" t="s">
        <v>1212</v>
      </c>
      <c r="C275" s="39" t="s">
        <v>17</v>
      </c>
      <c r="D275" s="236"/>
      <c r="E275" s="236"/>
      <c r="F275" s="236"/>
      <c r="G275" s="236"/>
      <c r="H275" s="40">
        <f>SUM(Tabla132112413[[#This Row],[PRIMER TRIMESTRE]:[CUARTO TRIMESTRE]])</f>
        <v>0</v>
      </c>
      <c r="I275" s="72">
        <v>3800</v>
      </c>
      <c r="J275" s="17">
        <f t="shared" si="5"/>
        <v>0</v>
      </c>
      <c r="K275" s="17"/>
      <c r="L275" s="16" t="s">
        <v>18</v>
      </c>
      <c r="M275" s="16" t="s">
        <v>22</v>
      </c>
      <c r="N275" s="39" t="s">
        <v>418</v>
      </c>
    </row>
    <row r="276" spans="1:14" s="12" customFormat="1" ht="18">
      <c r="A276" s="178" t="s">
        <v>80</v>
      </c>
      <c r="B276" s="75" t="s">
        <v>580</v>
      </c>
      <c r="C276" s="39" t="s">
        <v>17</v>
      </c>
      <c r="D276" s="236"/>
      <c r="E276" s="236"/>
      <c r="F276" s="236"/>
      <c r="G276" s="236"/>
      <c r="H276" s="40">
        <f>SUM(Tabla132112413[[#This Row],[PRIMER TRIMESTRE]:[CUARTO TRIMESTRE]])</f>
        <v>0</v>
      </c>
      <c r="I276" s="17">
        <v>29</v>
      </c>
      <c r="J276" s="17">
        <f t="shared" si="5"/>
        <v>0</v>
      </c>
      <c r="K276" s="17"/>
      <c r="L276" s="16" t="s">
        <v>18</v>
      </c>
      <c r="M276" s="16" t="s">
        <v>22</v>
      </c>
      <c r="N276" s="39" t="s">
        <v>418</v>
      </c>
    </row>
    <row r="277" spans="1:14" s="12" customFormat="1" ht="18">
      <c r="A277" s="178" t="s">
        <v>80</v>
      </c>
      <c r="B277" s="75" t="s">
        <v>579</v>
      </c>
      <c r="C277" s="39" t="s">
        <v>17</v>
      </c>
      <c r="D277" s="236"/>
      <c r="E277" s="236"/>
      <c r="F277" s="236"/>
      <c r="G277" s="236"/>
      <c r="H277" s="40">
        <f>SUM(Tabla132112413[[#This Row],[PRIMER TRIMESTRE]:[CUARTO TRIMESTRE]])</f>
        <v>0</v>
      </c>
      <c r="I277" s="17">
        <v>31.16</v>
      </c>
      <c r="J277" s="17">
        <f t="shared" si="5"/>
        <v>0</v>
      </c>
      <c r="K277" s="17"/>
      <c r="L277" s="16" t="s">
        <v>18</v>
      </c>
      <c r="M277" s="16" t="s">
        <v>22</v>
      </c>
      <c r="N277" s="39" t="s">
        <v>418</v>
      </c>
    </row>
    <row r="278" spans="1:14" s="12" customFormat="1" ht="18">
      <c r="A278" s="178" t="s">
        <v>80</v>
      </c>
      <c r="B278" s="75" t="s">
        <v>581</v>
      </c>
      <c r="C278" s="39" t="s">
        <v>17</v>
      </c>
      <c r="D278" s="236"/>
      <c r="E278" s="236"/>
      <c r="F278" s="236"/>
      <c r="G278" s="236"/>
      <c r="H278" s="40">
        <f>SUM(Tabla132112413[[#This Row],[PRIMER TRIMESTRE]:[CUARTO TRIMESTRE]])</f>
        <v>0</v>
      </c>
      <c r="I278" s="17">
        <v>54.52</v>
      </c>
      <c r="J278" s="17">
        <f t="shared" si="5"/>
        <v>0</v>
      </c>
      <c r="K278" s="17"/>
      <c r="L278" s="16" t="s">
        <v>18</v>
      </c>
      <c r="M278" s="16" t="s">
        <v>22</v>
      </c>
      <c r="N278" s="39" t="s">
        <v>418</v>
      </c>
    </row>
    <row r="279" spans="1:14" s="12" customFormat="1" ht="18">
      <c r="A279" s="178" t="s">
        <v>80</v>
      </c>
      <c r="B279" s="75" t="s">
        <v>582</v>
      </c>
      <c r="C279" s="39" t="s">
        <v>17</v>
      </c>
      <c r="D279" s="236"/>
      <c r="E279" s="236"/>
      <c r="F279" s="236"/>
      <c r="G279" s="236"/>
      <c r="H279" s="40">
        <f>SUM(Tabla132112413[[#This Row],[PRIMER TRIMESTRE]:[CUARTO TRIMESTRE]])</f>
        <v>0</v>
      </c>
      <c r="I279" s="17">
        <v>55.84</v>
      </c>
      <c r="J279" s="17">
        <f t="shared" si="5"/>
        <v>0</v>
      </c>
      <c r="K279" s="17"/>
      <c r="L279" s="16" t="s">
        <v>18</v>
      </c>
      <c r="M279" s="16" t="s">
        <v>22</v>
      </c>
      <c r="N279" s="39" t="s">
        <v>418</v>
      </c>
    </row>
    <row r="280" spans="1:14" s="12" customFormat="1" ht="18">
      <c r="A280" s="178" t="s">
        <v>80</v>
      </c>
      <c r="B280" s="75" t="s">
        <v>583</v>
      </c>
      <c r="C280" s="39" t="s">
        <v>17</v>
      </c>
      <c r="D280" s="236"/>
      <c r="E280" s="236"/>
      <c r="F280" s="236"/>
      <c r="G280" s="236"/>
      <c r="H280" s="40">
        <f>SUM(Tabla132112413[[#This Row],[PRIMER TRIMESTRE]:[CUARTO TRIMESTRE]])</f>
        <v>0</v>
      </c>
      <c r="I280" s="17">
        <v>67.28</v>
      </c>
      <c r="J280" s="17">
        <f t="shared" si="5"/>
        <v>0</v>
      </c>
      <c r="K280" s="17"/>
      <c r="L280" s="16" t="s">
        <v>18</v>
      </c>
      <c r="M280" s="16" t="s">
        <v>22</v>
      </c>
      <c r="N280" s="39" t="s">
        <v>418</v>
      </c>
    </row>
    <row r="281" spans="1:14" s="12" customFormat="1" ht="18">
      <c r="A281" s="178" t="s">
        <v>80</v>
      </c>
      <c r="B281" s="75" t="s">
        <v>584</v>
      </c>
      <c r="C281" s="39" t="s">
        <v>17</v>
      </c>
      <c r="D281" s="236"/>
      <c r="E281" s="236"/>
      <c r="F281" s="236"/>
      <c r="G281" s="236"/>
      <c r="H281" s="40">
        <f>SUM(Tabla132112413[[#This Row],[PRIMER TRIMESTRE]:[CUARTO TRIMESTRE]])</f>
        <v>0</v>
      </c>
      <c r="I281" s="17">
        <v>68.28</v>
      </c>
      <c r="J281" s="17">
        <f t="shared" si="5"/>
        <v>0</v>
      </c>
      <c r="K281" s="17"/>
      <c r="L281" s="16" t="s">
        <v>18</v>
      </c>
      <c r="M281" s="16" t="s">
        <v>22</v>
      </c>
      <c r="N281" s="39" t="s">
        <v>418</v>
      </c>
    </row>
    <row r="282" spans="1:14" s="12" customFormat="1" ht="18">
      <c r="A282" s="178" t="s">
        <v>80</v>
      </c>
      <c r="B282" s="75" t="s">
        <v>585</v>
      </c>
      <c r="C282" s="39" t="s">
        <v>17</v>
      </c>
      <c r="D282" s="236"/>
      <c r="E282" s="236"/>
      <c r="F282" s="236"/>
      <c r="G282" s="236"/>
      <c r="H282" s="40">
        <f>SUM(Tabla132112413[[#This Row],[PRIMER TRIMESTRE]:[CUARTO TRIMESTRE]])</f>
        <v>0</v>
      </c>
      <c r="I282" s="17">
        <v>80</v>
      </c>
      <c r="J282" s="17">
        <f t="shared" si="5"/>
        <v>0</v>
      </c>
      <c r="K282" s="17"/>
      <c r="L282" s="16" t="s">
        <v>18</v>
      </c>
      <c r="M282" s="16" t="s">
        <v>22</v>
      </c>
      <c r="N282" s="39" t="s">
        <v>418</v>
      </c>
    </row>
    <row r="283" spans="1:14" s="12" customFormat="1" ht="18">
      <c r="A283" s="178" t="s">
        <v>80</v>
      </c>
      <c r="B283" s="75" t="s">
        <v>586</v>
      </c>
      <c r="C283" s="39" t="s">
        <v>17</v>
      </c>
      <c r="D283" s="236"/>
      <c r="E283" s="236"/>
      <c r="F283" s="236"/>
      <c r="G283" s="236"/>
      <c r="H283" s="40">
        <f>SUM(Tabla132112413[[#This Row],[PRIMER TRIMESTRE]:[CUARTO TRIMESTRE]])</f>
        <v>0</v>
      </c>
      <c r="I283" s="72">
        <v>85</v>
      </c>
      <c r="J283" s="17">
        <f t="shared" si="5"/>
        <v>0</v>
      </c>
      <c r="K283" s="17"/>
      <c r="L283" s="16" t="s">
        <v>18</v>
      </c>
      <c r="M283" s="16" t="s">
        <v>22</v>
      </c>
      <c r="N283" s="39" t="s">
        <v>418</v>
      </c>
    </row>
    <row r="284" spans="1:14" s="12" customFormat="1" ht="18">
      <c r="A284" s="178" t="s">
        <v>80</v>
      </c>
      <c r="B284" s="75" t="s">
        <v>587</v>
      </c>
      <c r="C284" s="39" t="s">
        <v>17</v>
      </c>
      <c r="D284" s="236"/>
      <c r="E284" s="236"/>
      <c r="F284" s="236"/>
      <c r="G284" s="236"/>
      <c r="H284" s="40">
        <f>SUM(Tabla132112413[[#This Row],[PRIMER TRIMESTRE]:[CUARTO TRIMESTRE]])</f>
        <v>0</v>
      </c>
      <c r="I284" s="72">
        <v>1044.3</v>
      </c>
      <c r="J284" s="17">
        <f t="shared" ref="J284:J291" si="6">+H284*I284</f>
        <v>0</v>
      </c>
      <c r="K284" s="17"/>
      <c r="L284" s="16" t="s">
        <v>18</v>
      </c>
      <c r="M284" s="16" t="s">
        <v>22</v>
      </c>
      <c r="N284" s="39" t="s">
        <v>418</v>
      </c>
    </row>
    <row r="285" spans="1:14" s="12" customFormat="1" ht="18">
      <c r="A285" s="178" t="s">
        <v>80</v>
      </c>
      <c r="B285" s="75" t="s">
        <v>588</v>
      </c>
      <c r="C285" s="39" t="s">
        <v>17</v>
      </c>
      <c r="D285" s="236"/>
      <c r="E285" s="236"/>
      <c r="F285" s="236"/>
      <c r="G285" s="236"/>
      <c r="H285" s="40">
        <f>SUM(Tabla132112413[[#This Row],[PRIMER TRIMESTRE]:[CUARTO TRIMESTRE]])</f>
        <v>0</v>
      </c>
      <c r="I285" s="17">
        <v>1000</v>
      </c>
      <c r="J285" s="17">
        <f t="shared" si="6"/>
        <v>0</v>
      </c>
      <c r="K285" s="17"/>
      <c r="L285" s="16" t="s">
        <v>18</v>
      </c>
      <c r="M285" s="16" t="s">
        <v>22</v>
      </c>
      <c r="N285" s="39" t="s">
        <v>418</v>
      </c>
    </row>
    <row r="286" spans="1:14" s="12" customFormat="1" ht="18">
      <c r="A286" s="178" t="s">
        <v>80</v>
      </c>
      <c r="B286" s="75" t="s">
        <v>589</v>
      </c>
      <c r="C286" s="39" t="s">
        <v>17</v>
      </c>
      <c r="D286" s="236"/>
      <c r="E286" s="236"/>
      <c r="F286" s="236"/>
      <c r="G286" s="236"/>
      <c r="H286" s="40">
        <f>SUM(Tabla132112413[[#This Row],[PRIMER TRIMESTRE]:[CUARTO TRIMESTRE]])</f>
        <v>0</v>
      </c>
      <c r="I286" s="72">
        <v>1144.5999999999999</v>
      </c>
      <c r="J286" s="17">
        <f t="shared" si="6"/>
        <v>0</v>
      </c>
      <c r="K286" s="17"/>
      <c r="L286" s="16" t="s">
        <v>18</v>
      </c>
      <c r="M286" s="16" t="s">
        <v>22</v>
      </c>
      <c r="N286" s="39" t="s">
        <v>418</v>
      </c>
    </row>
    <row r="287" spans="1:14" s="12" customFormat="1" ht="18">
      <c r="A287" s="178" t="s">
        <v>80</v>
      </c>
      <c r="B287" s="75" t="s">
        <v>590</v>
      </c>
      <c r="C287" s="39" t="s">
        <v>17</v>
      </c>
      <c r="D287" s="236"/>
      <c r="E287" s="236"/>
      <c r="F287" s="236"/>
      <c r="G287" s="236"/>
      <c r="H287" s="40">
        <f>SUM(Tabla132112413[[#This Row],[PRIMER TRIMESTRE]:[CUARTO TRIMESTRE]])</f>
        <v>0</v>
      </c>
      <c r="I287" s="72">
        <v>1534</v>
      </c>
      <c r="J287" s="17">
        <f t="shared" si="6"/>
        <v>0</v>
      </c>
      <c r="K287" s="17"/>
      <c r="L287" s="16" t="s">
        <v>18</v>
      </c>
      <c r="M287" s="16" t="s">
        <v>22</v>
      </c>
      <c r="N287" s="39" t="s">
        <v>418</v>
      </c>
    </row>
    <row r="288" spans="1:14" s="12" customFormat="1" ht="18">
      <c r="A288" s="178" t="s">
        <v>80</v>
      </c>
      <c r="B288" s="75" t="s">
        <v>1546</v>
      </c>
      <c r="C288" s="39" t="s">
        <v>17</v>
      </c>
      <c r="D288" s="236"/>
      <c r="E288" s="236"/>
      <c r="F288" s="236"/>
      <c r="G288" s="236"/>
      <c r="H288" s="236">
        <f>SUM(Tabla132112413[[#This Row],[PRIMER TRIMESTRE]:[CUARTO TRIMESTRE]])</f>
        <v>0</v>
      </c>
      <c r="I288" s="72">
        <v>910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</row>
    <row r="289" spans="1:14" s="12" customFormat="1" ht="18">
      <c r="A289" s="178" t="s">
        <v>80</v>
      </c>
      <c r="B289" s="75" t="s">
        <v>594</v>
      </c>
      <c r="C289" s="39" t="s">
        <v>17</v>
      </c>
      <c r="D289" s="236"/>
      <c r="E289" s="236"/>
      <c r="F289" s="236"/>
      <c r="G289" s="236"/>
      <c r="H289" s="40">
        <f>SUM(Tabla132112413[[#This Row],[PRIMER TRIMESTRE]:[CUARTO TRIMESTRE]])</f>
        <v>0</v>
      </c>
      <c r="I289" s="17">
        <v>6.37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</row>
    <row r="290" spans="1:14" s="12" customFormat="1" ht="18">
      <c r="A290" s="178" t="s">
        <v>80</v>
      </c>
      <c r="B290" s="75" t="s">
        <v>595</v>
      </c>
      <c r="C290" s="39" t="s">
        <v>17</v>
      </c>
      <c r="D290" s="236"/>
      <c r="E290" s="236"/>
      <c r="F290" s="236"/>
      <c r="G290" s="236"/>
      <c r="H290" s="40">
        <f>SUM(Tabla132112413[[#This Row],[PRIMER TRIMESTRE]:[CUARTO TRIMESTRE]])</f>
        <v>0</v>
      </c>
      <c r="I290" s="17">
        <v>11.82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</row>
    <row r="291" spans="1:14" s="12" customFormat="1" ht="18">
      <c r="A291" s="178" t="s">
        <v>80</v>
      </c>
      <c r="B291" s="75" t="s">
        <v>596</v>
      </c>
      <c r="C291" s="39" t="s">
        <v>17</v>
      </c>
      <c r="D291" s="236"/>
      <c r="E291" s="236"/>
      <c r="F291" s="236"/>
      <c r="G291" s="236"/>
      <c r="H291" s="40">
        <f>SUM(Tabla132112413[[#This Row],[PRIMER TRIMESTRE]:[CUARTO TRIMESTRE]])</f>
        <v>0</v>
      </c>
      <c r="I291" s="17">
        <v>15.46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</row>
    <row r="292" spans="1:14" s="12" customFormat="1" ht="18">
      <c r="A292" s="178" t="s">
        <v>80</v>
      </c>
      <c r="B292" s="75" t="s">
        <v>592</v>
      </c>
      <c r="C292" s="39" t="s">
        <v>17</v>
      </c>
      <c r="D292" s="236"/>
      <c r="E292" s="236"/>
      <c r="F292" s="236"/>
      <c r="G292" s="236"/>
      <c r="H292" s="40">
        <f>SUM(Tabla132112413[[#This Row],[PRIMER TRIMESTRE]:[CUARTO TRIMESTRE]])</f>
        <v>0</v>
      </c>
      <c r="I292" s="17">
        <v>103.84</v>
      </c>
      <c r="J292" s="17">
        <f>+Tabla132112413[[#This Row],[CANTIDAD TOTAL]]*Tabla132112413[[#This Row],[PRECIO UNITARIO ESTIMADO]]</f>
        <v>0</v>
      </c>
      <c r="K292" s="17"/>
      <c r="L292" s="16" t="s">
        <v>18</v>
      </c>
      <c r="M292" s="16" t="s">
        <v>22</v>
      </c>
      <c r="N292" s="39" t="s">
        <v>418</v>
      </c>
    </row>
    <row r="293" spans="1:14" s="12" customFormat="1" ht="18">
      <c r="A293" s="178" t="s">
        <v>80</v>
      </c>
      <c r="B293" s="75" t="s">
        <v>593</v>
      </c>
      <c r="C293" s="39" t="s">
        <v>17</v>
      </c>
      <c r="D293" s="236"/>
      <c r="E293" s="236"/>
      <c r="F293" s="236"/>
      <c r="G293" s="236"/>
      <c r="H293" s="40">
        <f>SUM(Tabla132112413[[#This Row],[PRIMER TRIMESTRE]:[CUARTO TRIMESTRE]])</f>
        <v>0</v>
      </c>
      <c r="I293" s="17">
        <v>22.42</v>
      </c>
      <c r="J293" s="17">
        <f>+Tabla132112413[[#This Row],[CANTIDAD TOTAL]]*Tabla132112413[[#This Row],[PRECIO UNITARIO ESTIMADO]]</f>
        <v>0</v>
      </c>
      <c r="K293" s="17"/>
      <c r="L293" s="16" t="s">
        <v>18</v>
      </c>
      <c r="M293" s="16" t="s">
        <v>22</v>
      </c>
      <c r="N293" s="39" t="s">
        <v>418</v>
      </c>
    </row>
    <row r="294" spans="1:14" s="12" customFormat="1" ht="18">
      <c r="A294" s="178" t="s">
        <v>80</v>
      </c>
      <c r="B294" s="75" t="s">
        <v>591</v>
      </c>
      <c r="C294" s="39" t="s">
        <v>17</v>
      </c>
      <c r="D294" s="236"/>
      <c r="E294" s="236"/>
      <c r="F294" s="236"/>
      <c r="G294" s="236"/>
      <c r="H294" s="236">
        <f>SUM(Tabla132112413[[#This Row],[PRIMER TRIMESTRE]:[CUARTO TRIMESTRE]])</f>
        <v>0</v>
      </c>
      <c r="I294" s="17">
        <v>489.7</v>
      </c>
      <c r="J294" s="17">
        <f>+Tabla132112413[[#This Row],[CANTIDAD TOTAL]]*Tabla132112413[[#This Row],[PRECIO UNITARIO ESTIMADO]]</f>
        <v>0</v>
      </c>
      <c r="K294" s="17"/>
      <c r="L294" s="16" t="s">
        <v>18</v>
      </c>
      <c r="M294" s="16" t="s">
        <v>22</v>
      </c>
      <c r="N294" s="39" t="s">
        <v>418</v>
      </c>
    </row>
    <row r="295" spans="1:14" s="12" customFormat="1" ht="18">
      <c r="A295" s="178" t="s">
        <v>80</v>
      </c>
      <c r="B295" s="75" t="s">
        <v>1531</v>
      </c>
      <c r="C295" s="176" t="s">
        <v>17</v>
      </c>
      <c r="D295" s="236"/>
      <c r="E295" s="236"/>
      <c r="F295" s="236"/>
      <c r="G295" s="236"/>
      <c r="H295" s="236">
        <f>SUM(Tabla132112413[[#This Row],[PRIMER TRIMESTRE]:[CUARTO TRIMESTRE]])</f>
        <v>0</v>
      </c>
      <c r="I295" s="17">
        <v>486.29</v>
      </c>
      <c r="J295" s="17">
        <f>+H295*I295</f>
        <v>0</v>
      </c>
      <c r="K295" s="17"/>
      <c r="L295" s="16" t="s">
        <v>18</v>
      </c>
      <c r="M295" s="16" t="s">
        <v>22</v>
      </c>
      <c r="N295" s="39" t="s">
        <v>418</v>
      </c>
    </row>
    <row r="296" spans="1:14" s="12" customFormat="1" ht="18">
      <c r="A296" s="178" t="s">
        <v>80</v>
      </c>
      <c r="B296" s="75" t="s">
        <v>616</v>
      </c>
      <c r="C296" s="39" t="s">
        <v>17</v>
      </c>
      <c r="D296" s="236"/>
      <c r="E296" s="236"/>
      <c r="F296" s="236"/>
      <c r="G296" s="236"/>
      <c r="H296" s="40">
        <f>SUM(Tabla132112413[[#This Row],[PRIMER TRIMESTRE]:[CUARTO TRIMESTRE]])</f>
        <v>0</v>
      </c>
      <c r="I296" s="17">
        <v>767</v>
      </c>
      <c r="J296" s="17">
        <f>+Tabla132112413[[#This Row],[CANTIDAD TOTAL]]*Tabla132112413[[#This Row],[PRECIO UNITARIO ESTIMADO]]</f>
        <v>0</v>
      </c>
      <c r="K296" s="17"/>
      <c r="L296" s="16" t="s">
        <v>18</v>
      </c>
      <c r="M296" s="16" t="s">
        <v>22</v>
      </c>
      <c r="N296" s="39" t="s">
        <v>418</v>
      </c>
    </row>
    <row r="297" spans="1:14" s="12" customFormat="1" ht="18">
      <c r="A297" s="178" t="s">
        <v>80</v>
      </c>
      <c r="B297" s="75" t="s">
        <v>617</v>
      </c>
      <c r="C297" s="39" t="s">
        <v>17</v>
      </c>
      <c r="D297" s="236"/>
      <c r="E297" s="236"/>
      <c r="F297" s="236"/>
      <c r="G297" s="236"/>
      <c r="H297" s="40">
        <f>SUM(Tabla132112413[[#This Row],[PRIMER TRIMESTRE]:[CUARTO TRIMESTRE]])</f>
        <v>0</v>
      </c>
      <c r="I297" s="17">
        <v>1003</v>
      </c>
      <c r="J297" s="17">
        <f t="shared" ref="J297:J313" si="7">+H297*I297</f>
        <v>0</v>
      </c>
      <c r="K297" s="17"/>
      <c r="L297" s="16" t="s">
        <v>18</v>
      </c>
      <c r="M297" s="16" t="s">
        <v>22</v>
      </c>
      <c r="N297" s="39" t="s">
        <v>418</v>
      </c>
    </row>
    <row r="298" spans="1:14" s="12" customFormat="1" ht="18">
      <c r="A298" s="178" t="s">
        <v>80</v>
      </c>
      <c r="B298" s="75" t="s">
        <v>618</v>
      </c>
      <c r="C298" s="39" t="s">
        <v>17</v>
      </c>
      <c r="D298" s="236"/>
      <c r="E298" s="236"/>
      <c r="F298" s="236"/>
      <c r="G298" s="236"/>
      <c r="H298" s="40">
        <f>SUM(Tabla132112413[[#This Row],[PRIMER TRIMESTRE]:[CUARTO TRIMESTRE]])</f>
        <v>0</v>
      </c>
      <c r="I298" s="17">
        <v>1357</v>
      </c>
      <c r="J298" s="17">
        <f t="shared" si="7"/>
        <v>0</v>
      </c>
      <c r="K298" s="17"/>
      <c r="L298" s="16" t="s">
        <v>18</v>
      </c>
      <c r="M298" s="16" t="s">
        <v>22</v>
      </c>
      <c r="N298" s="39" t="s">
        <v>418</v>
      </c>
    </row>
    <row r="299" spans="1:14" s="12" customFormat="1" ht="18">
      <c r="A299" s="178" t="s">
        <v>80</v>
      </c>
      <c r="B299" s="75" t="s">
        <v>619</v>
      </c>
      <c r="C299" s="39" t="s">
        <v>17</v>
      </c>
      <c r="D299" s="236"/>
      <c r="E299" s="236"/>
      <c r="F299" s="236"/>
      <c r="G299" s="236"/>
      <c r="H299" s="40">
        <f>SUM(Tabla132112413[[#This Row],[PRIMER TRIMESTRE]:[CUARTO TRIMESTRE]])</f>
        <v>0</v>
      </c>
      <c r="I299" s="17">
        <v>2950</v>
      </c>
      <c r="J299" s="17">
        <f t="shared" si="7"/>
        <v>0</v>
      </c>
      <c r="K299" s="17"/>
      <c r="L299" s="16" t="s">
        <v>18</v>
      </c>
      <c r="M299" s="16" t="s">
        <v>22</v>
      </c>
      <c r="N299" s="39" t="s">
        <v>418</v>
      </c>
    </row>
    <row r="300" spans="1:14" s="12" customFormat="1" ht="18">
      <c r="A300" s="178" t="s">
        <v>80</v>
      </c>
      <c r="B300" s="75" t="s">
        <v>620</v>
      </c>
      <c r="C300" s="39" t="s">
        <v>17</v>
      </c>
      <c r="D300" s="236"/>
      <c r="E300" s="236"/>
      <c r="F300" s="236"/>
      <c r="G300" s="236"/>
      <c r="H300" s="40">
        <f>SUM(Tabla132112413[[#This Row],[PRIMER TRIMESTRE]:[CUARTO TRIMESTRE]])</f>
        <v>0</v>
      </c>
      <c r="I300" s="17">
        <v>4484</v>
      </c>
      <c r="J300" s="17">
        <f t="shared" si="7"/>
        <v>0</v>
      </c>
      <c r="K300" s="17"/>
      <c r="L300" s="16" t="s">
        <v>18</v>
      </c>
      <c r="M300" s="16" t="s">
        <v>22</v>
      </c>
      <c r="N300" s="39" t="s">
        <v>418</v>
      </c>
    </row>
    <row r="301" spans="1:14" s="12" customFormat="1" ht="18">
      <c r="A301" s="178" t="s">
        <v>80</v>
      </c>
      <c r="B301" s="75" t="s">
        <v>621</v>
      </c>
      <c r="C301" s="39" t="s">
        <v>17</v>
      </c>
      <c r="D301" s="236"/>
      <c r="E301" s="236"/>
      <c r="F301" s="236"/>
      <c r="G301" s="236"/>
      <c r="H301" s="40">
        <f>SUM(Tabla132112413[[#This Row],[PRIMER TRIMESTRE]:[CUARTO TRIMESTRE]])</f>
        <v>0</v>
      </c>
      <c r="I301" s="17">
        <v>6372</v>
      </c>
      <c r="J301" s="17">
        <f t="shared" si="7"/>
        <v>0</v>
      </c>
      <c r="K301" s="17"/>
      <c r="L301" s="16" t="s">
        <v>18</v>
      </c>
      <c r="M301" s="16" t="s">
        <v>22</v>
      </c>
      <c r="N301" s="39" t="s">
        <v>418</v>
      </c>
    </row>
    <row r="302" spans="1:14" s="12" customFormat="1" ht="18">
      <c r="A302" s="178" t="s">
        <v>80</v>
      </c>
      <c r="B302" s="75" t="s">
        <v>622</v>
      </c>
      <c r="C302" s="39" t="s">
        <v>17</v>
      </c>
      <c r="D302" s="236"/>
      <c r="E302" s="236"/>
      <c r="F302" s="236"/>
      <c r="G302" s="236"/>
      <c r="H302" s="40">
        <f>SUM(Tabla132112413[[#This Row],[PRIMER TRIMESTRE]:[CUARTO TRIMESTRE]])</f>
        <v>0</v>
      </c>
      <c r="I302" s="17">
        <v>11092</v>
      </c>
      <c r="J302" s="17">
        <f t="shared" si="7"/>
        <v>0</v>
      </c>
      <c r="K302" s="17"/>
      <c r="L302" s="16" t="s">
        <v>18</v>
      </c>
      <c r="M302" s="16" t="s">
        <v>22</v>
      </c>
      <c r="N302" s="39" t="s">
        <v>418</v>
      </c>
    </row>
    <row r="303" spans="1:14" s="12" customFormat="1" ht="18">
      <c r="A303" s="178" t="s">
        <v>80</v>
      </c>
      <c r="B303" s="75" t="s">
        <v>623</v>
      </c>
      <c r="C303" s="39" t="s">
        <v>17</v>
      </c>
      <c r="D303" s="236"/>
      <c r="E303" s="236"/>
      <c r="F303" s="236"/>
      <c r="G303" s="236"/>
      <c r="H303" s="40">
        <f>SUM(Tabla132112413[[#This Row],[PRIMER TRIMESTRE]:[CUARTO TRIMESTRE]])</f>
        <v>0</v>
      </c>
      <c r="I303" s="17">
        <v>13924</v>
      </c>
      <c r="J303" s="17">
        <f t="shared" si="7"/>
        <v>0</v>
      </c>
      <c r="K303" s="17"/>
      <c r="L303" s="16" t="s">
        <v>18</v>
      </c>
      <c r="M303" s="16" t="s">
        <v>22</v>
      </c>
      <c r="N303" s="39" t="s">
        <v>418</v>
      </c>
    </row>
    <row r="304" spans="1:14" s="12" customFormat="1" ht="18">
      <c r="A304" s="178" t="s">
        <v>80</v>
      </c>
      <c r="B304" s="75" t="s">
        <v>624</v>
      </c>
      <c r="C304" s="39" t="s">
        <v>17</v>
      </c>
      <c r="D304" s="236"/>
      <c r="E304" s="236"/>
      <c r="F304" s="236"/>
      <c r="G304" s="236"/>
      <c r="H304" s="40">
        <f>SUM(Tabla132112413[[#This Row],[PRIMER TRIMESTRE]:[CUARTO TRIMESTRE]])</f>
        <v>0</v>
      </c>
      <c r="I304" s="17">
        <v>20886</v>
      </c>
      <c r="J304" s="17">
        <f t="shared" si="7"/>
        <v>0</v>
      </c>
      <c r="K304" s="17"/>
      <c r="L304" s="16" t="s">
        <v>18</v>
      </c>
      <c r="M304" s="16" t="s">
        <v>22</v>
      </c>
      <c r="N304" s="39" t="s">
        <v>418</v>
      </c>
    </row>
    <row r="305" spans="1:14" s="12" customFormat="1" ht="18">
      <c r="A305" s="178" t="s">
        <v>80</v>
      </c>
      <c r="B305" s="75" t="s">
        <v>625</v>
      </c>
      <c r="C305" s="39" t="s">
        <v>17</v>
      </c>
      <c r="D305" s="236"/>
      <c r="E305" s="236"/>
      <c r="F305" s="236"/>
      <c r="G305" s="236"/>
      <c r="H305" s="40">
        <f>SUM(Tabla132112413[[#This Row],[PRIMER TRIMESTRE]:[CUARTO TRIMESTRE]])</f>
        <v>0</v>
      </c>
      <c r="I305" s="17">
        <v>1121</v>
      </c>
      <c r="J305" s="17">
        <f t="shared" si="7"/>
        <v>0</v>
      </c>
      <c r="K305" s="17"/>
      <c r="L305" s="16" t="s">
        <v>18</v>
      </c>
      <c r="M305" s="16" t="s">
        <v>22</v>
      </c>
      <c r="N305" s="39" t="s">
        <v>418</v>
      </c>
    </row>
    <row r="306" spans="1:14" s="12" customFormat="1" ht="18">
      <c r="A306" s="178" t="s">
        <v>80</v>
      </c>
      <c r="B306" s="75" t="s">
        <v>626</v>
      </c>
      <c r="C306" s="39" t="s">
        <v>17</v>
      </c>
      <c r="D306" s="236"/>
      <c r="E306" s="236"/>
      <c r="F306" s="236"/>
      <c r="G306" s="236"/>
      <c r="H306" s="40">
        <f>SUM(Tabla132112413[[#This Row],[PRIMER TRIMESTRE]:[CUARTO TRIMESTRE]])</f>
        <v>0</v>
      </c>
      <c r="I306" s="17">
        <v>1239</v>
      </c>
      <c r="J306" s="17">
        <f t="shared" si="7"/>
        <v>0</v>
      </c>
      <c r="K306" s="17"/>
      <c r="L306" s="16" t="s">
        <v>18</v>
      </c>
      <c r="M306" s="16" t="s">
        <v>22</v>
      </c>
      <c r="N306" s="39" t="s">
        <v>418</v>
      </c>
    </row>
    <row r="307" spans="1:14" s="12" customFormat="1" ht="18">
      <c r="A307" s="178" t="s">
        <v>80</v>
      </c>
      <c r="B307" s="75" t="s">
        <v>627</v>
      </c>
      <c r="C307" s="39" t="s">
        <v>17</v>
      </c>
      <c r="D307" s="236"/>
      <c r="E307" s="236"/>
      <c r="F307" s="236"/>
      <c r="G307" s="236"/>
      <c r="H307" s="40">
        <f>SUM(Tabla132112413[[#This Row],[PRIMER TRIMESTRE]:[CUARTO TRIMESTRE]])</f>
        <v>0</v>
      </c>
      <c r="I307" s="17">
        <v>1593</v>
      </c>
      <c r="J307" s="17">
        <f t="shared" si="7"/>
        <v>0</v>
      </c>
      <c r="K307" s="17"/>
      <c r="L307" s="16" t="s">
        <v>18</v>
      </c>
      <c r="M307" s="16" t="s">
        <v>22</v>
      </c>
      <c r="N307" s="39" t="s">
        <v>418</v>
      </c>
    </row>
    <row r="308" spans="1:14" s="12" customFormat="1" ht="18">
      <c r="A308" s="178" t="s">
        <v>80</v>
      </c>
      <c r="B308" s="75" t="s">
        <v>628</v>
      </c>
      <c r="C308" s="39" t="s">
        <v>17</v>
      </c>
      <c r="D308" s="236"/>
      <c r="E308" s="236"/>
      <c r="F308" s="236"/>
      <c r="G308" s="236"/>
      <c r="H308" s="40">
        <f>SUM(Tabla132112413[[#This Row],[PRIMER TRIMESTRE]:[CUARTO TRIMESTRE]])</f>
        <v>0</v>
      </c>
      <c r="I308" s="17">
        <v>3717</v>
      </c>
      <c r="J308" s="17">
        <f t="shared" si="7"/>
        <v>0</v>
      </c>
      <c r="K308" s="17"/>
      <c r="L308" s="16" t="s">
        <v>18</v>
      </c>
      <c r="M308" s="16" t="s">
        <v>22</v>
      </c>
      <c r="N308" s="39" t="s">
        <v>418</v>
      </c>
    </row>
    <row r="309" spans="1:14" s="12" customFormat="1" ht="18">
      <c r="A309" s="178" t="s">
        <v>80</v>
      </c>
      <c r="B309" s="75" t="s">
        <v>629</v>
      </c>
      <c r="C309" s="39" t="s">
        <v>17</v>
      </c>
      <c r="D309" s="236"/>
      <c r="E309" s="236"/>
      <c r="F309" s="236"/>
      <c r="G309" s="236"/>
      <c r="H309" s="40">
        <f>SUM(Tabla132112413[[#This Row],[PRIMER TRIMESTRE]:[CUARTO TRIMESTRE]])</f>
        <v>0</v>
      </c>
      <c r="I309" s="17">
        <v>5133</v>
      </c>
      <c r="J309" s="17">
        <f t="shared" si="7"/>
        <v>0</v>
      </c>
      <c r="K309" s="17"/>
      <c r="L309" s="16" t="s">
        <v>18</v>
      </c>
      <c r="M309" s="16" t="s">
        <v>22</v>
      </c>
      <c r="N309" s="39" t="s">
        <v>418</v>
      </c>
    </row>
    <row r="310" spans="1:14" s="12" customFormat="1" ht="18">
      <c r="A310" s="178" t="s">
        <v>80</v>
      </c>
      <c r="B310" s="75" t="s">
        <v>630</v>
      </c>
      <c r="C310" s="39" t="s">
        <v>17</v>
      </c>
      <c r="D310" s="236"/>
      <c r="E310" s="236"/>
      <c r="F310" s="236"/>
      <c r="G310" s="236"/>
      <c r="H310" s="40">
        <f>SUM(Tabla132112413[[#This Row],[PRIMER TRIMESTRE]:[CUARTO TRIMESTRE]])</f>
        <v>0</v>
      </c>
      <c r="I310" s="17">
        <v>7127</v>
      </c>
      <c r="J310" s="17">
        <f t="shared" si="7"/>
        <v>0</v>
      </c>
      <c r="K310" s="17"/>
      <c r="L310" s="16" t="s">
        <v>18</v>
      </c>
      <c r="M310" s="16" t="s">
        <v>22</v>
      </c>
      <c r="N310" s="39" t="s">
        <v>418</v>
      </c>
    </row>
    <row r="311" spans="1:14" s="12" customFormat="1" ht="18">
      <c r="A311" s="178" t="s">
        <v>80</v>
      </c>
      <c r="B311" s="75" t="s">
        <v>631</v>
      </c>
      <c r="C311" s="39" t="s">
        <v>17</v>
      </c>
      <c r="D311" s="236"/>
      <c r="E311" s="236"/>
      <c r="F311" s="236"/>
      <c r="G311" s="236"/>
      <c r="H311" s="40">
        <f>SUM(Tabla132112413[[#This Row],[PRIMER TRIMESTRE]:[CUARTO TRIMESTRE]])</f>
        <v>0</v>
      </c>
      <c r="I311" s="17">
        <v>12580</v>
      </c>
      <c r="J311" s="17">
        <f t="shared" si="7"/>
        <v>0</v>
      </c>
      <c r="K311" s="17"/>
      <c r="L311" s="16" t="s">
        <v>18</v>
      </c>
      <c r="M311" s="16" t="s">
        <v>22</v>
      </c>
      <c r="N311" s="39" t="s">
        <v>418</v>
      </c>
    </row>
    <row r="312" spans="1:14" s="12" customFormat="1" ht="18">
      <c r="A312" s="178" t="s">
        <v>80</v>
      </c>
      <c r="B312" s="75" t="s">
        <v>632</v>
      </c>
      <c r="C312" s="39" t="s">
        <v>17</v>
      </c>
      <c r="D312" s="236"/>
      <c r="E312" s="236"/>
      <c r="F312" s="236"/>
      <c r="G312" s="236"/>
      <c r="H312" s="40">
        <f>SUM(Tabla132112413[[#This Row],[PRIMER TRIMESTRE]:[CUARTO TRIMESTRE]])</f>
        <v>0</v>
      </c>
      <c r="I312" s="17">
        <v>15045</v>
      </c>
      <c r="J312" s="17">
        <f t="shared" si="7"/>
        <v>0</v>
      </c>
      <c r="K312" s="17"/>
      <c r="L312" s="16" t="s">
        <v>18</v>
      </c>
      <c r="M312" s="16" t="s">
        <v>22</v>
      </c>
      <c r="N312" s="39" t="s">
        <v>418</v>
      </c>
    </row>
    <row r="313" spans="1:14" s="12" customFormat="1" ht="18">
      <c r="A313" s="178" t="s">
        <v>80</v>
      </c>
      <c r="B313" s="75" t="s">
        <v>633</v>
      </c>
      <c r="C313" s="39" t="s">
        <v>17</v>
      </c>
      <c r="D313" s="236"/>
      <c r="E313" s="236"/>
      <c r="F313" s="236"/>
      <c r="G313" s="236"/>
      <c r="H313" s="40">
        <f>SUM(Tabla132112413[[#This Row],[PRIMER TRIMESTRE]:[CUARTO TRIMESTRE]])</f>
        <v>0</v>
      </c>
      <c r="I313" s="17">
        <v>22396.400000000001</v>
      </c>
      <c r="J313" s="17">
        <f t="shared" si="7"/>
        <v>0</v>
      </c>
      <c r="K313" s="17"/>
      <c r="L313" s="16" t="s">
        <v>18</v>
      </c>
      <c r="M313" s="16" t="s">
        <v>22</v>
      </c>
      <c r="N313" s="39" t="s">
        <v>418</v>
      </c>
    </row>
    <row r="314" spans="1:14" s="12" customFormat="1" ht="18">
      <c r="A314" s="178" t="s">
        <v>80</v>
      </c>
      <c r="B314" s="75" t="s">
        <v>129</v>
      </c>
      <c r="C314" s="39" t="s">
        <v>17</v>
      </c>
      <c r="D314" s="236"/>
      <c r="E314" s="236"/>
      <c r="F314" s="236"/>
      <c r="G314" s="236"/>
      <c r="H314" s="40">
        <f>SUM(Tabla132112413[[#This Row],[PRIMER TRIMESTRE]:[CUARTO TRIMESTRE]])</f>
        <v>0</v>
      </c>
      <c r="I314" s="17">
        <v>3.52</v>
      </c>
      <c r="J314" s="17">
        <f>+Tabla132112413[[#This Row],[CANTIDAD TOTAL]]*Tabla132112413[[#This Row],[PRECIO UNITARIO ESTIMADO]]</f>
        <v>0</v>
      </c>
      <c r="K314" s="17"/>
      <c r="L314" s="16" t="s">
        <v>18</v>
      </c>
      <c r="M314" s="16" t="s">
        <v>22</v>
      </c>
      <c r="N314" s="39" t="s">
        <v>418</v>
      </c>
    </row>
    <row r="315" spans="1:14" s="12" customFormat="1" ht="18">
      <c r="A315" s="178" t="s">
        <v>80</v>
      </c>
      <c r="B315" s="75" t="s">
        <v>131</v>
      </c>
      <c r="C315" s="39" t="s">
        <v>17</v>
      </c>
      <c r="D315" s="236"/>
      <c r="E315" s="236"/>
      <c r="F315" s="236"/>
      <c r="G315" s="236"/>
      <c r="H315" s="40">
        <f>SUM(Tabla132112413[[#This Row],[PRIMER TRIMESTRE]:[CUARTO TRIMESTRE]])</f>
        <v>0</v>
      </c>
      <c r="I315" s="17">
        <v>5.86</v>
      </c>
      <c r="J315" s="17">
        <f>+Tabla132112413[[#This Row],[CANTIDAD TOTAL]]*Tabla132112413[[#This Row],[PRECIO UNITARIO ESTIMADO]]</f>
        <v>0</v>
      </c>
      <c r="K315" s="17"/>
      <c r="L315" s="16" t="s">
        <v>18</v>
      </c>
      <c r="M315" s="16" t="s">
        <v>22</v>
      </c>
      <c r="N315" s="39" t="s">
        <v>418</v>
      </c>
    </row>
    <row r="316" spans="1:14" s="12" customFormat="1" ht="18">
      <c r="A316" s="178" t="s">
        <v>80</v>
      </c>
      <c r="B316" s="75" t="s">
        <v>473</v>
      </c>
      <c r="C316" s="39" t="s">
        <v>17</v>
      </c>
      <c r="D316" s="236"/>
      <c r="E316" s="236"/>
      <c r="F316" s="236"/>
      <c r="G316" s="236"/>
      <c r="H316" s="40">
        <f>SUM(Tabla132112413[[#This Row],[PRIMER TRIMESTRE]:[CUARTO TRIMESTRE]])</f>
        <v>0</v>
      </c>
      <c r="I316" s="17">
        <v>15.46</v>
      </c>
      <c r="J316" s="17">
        <f>+H316*I316</f>
        <v>0</v>
      </c>
      <c r="K316" s="17"/>
      <c r="L316" s="16" t="s">
        <v>18</v>
      </c>
      <c r="M316" s="16" t="s">
        <v>22</v>
      </c>
      <c r="N316" s="39" t="s">
        <v>418</v>
      </c>
    </row>
    <row r="317" spans="1:14" s="12" customFormat="1" ht="18">
      <c r="A317" s="178" t="s">
        <v>80</v>
      </c>
      <c r="B317" s="75" t="s">
        <v>661</v>
      </c>
      <c r="C317" s="39" t="s">
        <v>17</v>
      </c>
      <c r="D317" s="236"/>
      <c r="E317" s="236"/>
      <c r="F317" s="236"/>
      <c r="G317" s="236"/>
      <c r="H317" s="40">
        <f>SUM(Tabla132112413[[#This Row],[PRIMER TRIMESTRE]:[CUARTO TRIMESTRE]])</f>
        <v>0</v>
      </c>
      <c r="I317" s="72">
        <v>15.46</v>
      </c>
      <c r="J317" s="17">
        <f>+H317*I317</f>
        <v>0</v>
      </c>
      <c r="K317" s="17"/>
      <c r="L317" s="16" t="s">
        <v>18</v>
      </c>
      <c r="M317" s="16" t="s">
        <v>22</v>
      </c>
      <c r="N317" s="39" t="s">
        <v>418</v>
      </c>
    </row>
    <row r="318" spans="1:14" s="12" customFormat="1" ht="18">
      <c r="A318" s="178" t="s">
        <v>80</v>
      </c>
      <c r="B318" s="75" t="s">
        <v>133</v>
      </c>
      <c r="C318" s="39" t="s">
        <v>17</v>
      </c>
      <c r="D318" s="236"/>
      <c r="E318" s="236"/>
      <c r="F318" s="236"/>
      <c r="G318" s="236"/>
      <c r="H318" s="40">
        <f>SUM(Tabla132112413[[#This Row],[PRIMER TRIMESTRE]:[CUARTO TRIMESTRE]])</f>
        <v>0</v>
      </c>
      <c r="I318" s="17">
        <v>40.17</v>
      </c>
      <c r="J318" s="17">
        <f>+Tabla132112413[[#This Row],[CANTIDAD TOTAL]]*Tabla132112413[[#This Row],[PRECIO UNITARIO ESTIMADO]]</f>
        <v>0</v>
      </c>
      <c r="K318" s="17"/>
      <c r="L318" s="16" t="s">
        <v>18</v>
      </c>
      <c r="M318" s="16" t="s">
        <v>22</v>
      </c>
      <c r="N318" s="39" t="s">
        <v>418</v>
      </c>
    </row>
    <row r="319" spans="1:14" s="12" customFormat="1" ht="18">
      <c r="A319" s="178" t="s">
        <v>80</v>
      </c>
      <c r="B319" s="75" t="s">
        <v>135</v>
      </c>
      <c r="C319" s="39" t="s">
        <v>17</v>
      </c>
      <c r="D319" s="236"/>
      <c r="E319" s="236"/>
      <c r="F319" s="236"/>
      <c r="G319" s="236"/>
      <c r="H319" s="40">
        <f>SUM(Tabla132112413[[#This Row],[PRIMER TRIMESTRE]:[CUARTO TRIMESTRE]])</f>
        <v>0</v>
      </c>
      <c r="I319" s="17">
        <v>116.85</v>
      </c>
      <c r="J319" s="17">
        <f>+Tabla132112413[[#This Row],[CANTIDAD TOTAL]]*Tabla132112413[[#This Row],[PRECIO UNITARIO ESTIMADO]]</f>
        <v>0</v>
      </c>
      <c r="K319" s="17"/>
      <c r="L319" s="16" t="s">
        <v>18</v>
      </c>
      <c r="M319" s="16" t="s">
        <v>22</v>
      </c>
      <c r="N319" s="39" t="s">
        <v>418</v>
      </c>
    </row>
    <row r="320" spans="1:14" s="12" customFormat="1" ht="18">
      <c r="A320" s="178" t="s">
        <v>80</v>
      </c>
      <c r="B320" s="75" t="s">
        <v>597</v>
      </c>
      <c r="C320" s="39" t="s">
        <v>17</v>
      </c>
      <c r="D320" s="236"/>
      <c r="E320" s="236"/>
      <c r="F320" s="236"/>
      <c r="G320" s="236"/>
      <c r="H320" s="40">
        <f>SUM(Tabla132112413[[#This Row],[PRIMER TRIMESTRE]:[CUARTO TRIMESTRE]])</f>
        <v>0</v>
      </c>
      <c r="I320" s="72">
        <v>107.31</v>
      </c>
      <c r="J320" s="17">
        <f t="shared" ref="J320:J330" si="8">+H320*I320</f>
        <v>0</v>
      </c>
      <c r="K320" s="17"/>
      <c r="L320" s="16" t="s">
        <v>18</v>
      </c>
      <c r="M320" s="16" t="s">
        <v>22</v>
      </c>
      <c r="N320" s="39" t="s">
        <v>418</v>
      </c>
    </row>
    <row r="321" spans="1:14" s="12" customFormat="1" ht="18">
      <c r="A321" s="178" t="s">
        <v>80</v>
      </c>
      <c r="B321" s="75" t="s">
        <v>1532</v>
      </c>
      <c r="C321" s="176" t="s">
        <v>17</v>
      </c>
      <c r="D321" s="236"/>
      <c r="E321" s="236"/>
      <c r="F321" s="236"/>
      <c r="G321" s="236"/>
      <c r="H321" s="236">
        <f>SUM(Tabla132112413[[#This Row],[PRIMER TRIMESTRE]:[CUARTO TRIMESTRE]])</f>
        <v>0</v>
      </c>
      <c r="I321" s="72">
        <v>300</v>
      </c>
      <c r="J321" s="72">
        <f t="shared" si="8"/>
        <v>0</v>
      </c>
      <c r="K321" s="17"/>
      <c r="L321" s="16" t="s">
        <v>18</v>
      </c>
      <c r="M321" s="16" t="s">
        <v>22</v>
      </c>
      <c r="N321" s="39" t="s">
        <v>418</v>
      </c>
    </row>
    <row r="322" spans="1:14" s="12" customFormat="1" ht="18">
      <c r="A322" s="178" t="s">
        <v>80</v>
      </c>
      <c r="B322" s="75" t="s">
        <v>1533</v>
      </c>
      <c r="C322" s="176" t="s">
        <v>17</v>
      </c>
      <c r="D322" s="236"/>
      <c r="E322" s="236"/>
      <c r="F322" s="236"/>
      <c r="G322" s="236"/>
      <c r="H322" s="236">
        <f>SUM(Tabla132112413[[#This Row],[PRIMER TRIMESTRE]:[CUARTO TRIMESTRE]])</f>
        <v>0</v>
      </c>
      <c r="I322" s="72">
        <v>845.5</v>
      </c>
      <c r="J322" s="72">
        <f t="shared" si="8"/>
        <v>0</v>
      </c>
      <c r="K322" s="17"/>
      <c r="L322" s="16" t="s">
        <v>18</v>
      </c>
      <c r="M322" s="16" t="s">
        <v>22</v>
      </c>
      <c r="N322" s="39" t="s">
        <v>418</v>
      </c>
    </row>
    <row r="323" spans="1:14" s="12" customFormat="1" ht="18">
      <c r="A323" s="178" t="s">
        <v>80</v>
      </c>
      <c r="B323" s="75" t="s">
        <v>1535</v>
      </c>
      <c r="C323" s="176" t="s">
        <v>17</v>
      </c>
      <c r="D323" s="236"/>
      <c r="E323" s="236"/>
      <c r="F323" s="236"/>
      <c r="G323" s="236"/>
      <c r="H323" s="236">
        <f>SUM(Tabla132112413[[#This Row],[PRIMER TRIMESTRE]:[CUARTO TRIMESTRE]])</f>
        <v>0</v>
      </c>
      <c r="I323" s="72">
        <v>3192.99</v>
      </c>
      <c r="J323" s="72">
        <f t="shared" si="8"/>
        <v>0</v>
      </c>
      <c r="K323" s="17"/>
      <c r="L323" s="16" t="s">
        <v>18</v>
      </c>
      <c r="M323" s="16" t="s">
        <v>22</v>
      </c>
      <c r="N323" s="39" t="s">
        <v>418</v>
      </c>
    </row>
    <row r="324" spans="1:14" s="12" customFormat="1" ht="18">
      <c r="A324" s="178" t="s">
        <v>80</v>
      </c>
      <c r="B324" s="75" t="s">
        <v>1724</v>
      </c>
      <c r="C324" s="176" t="s">
        <v>17</v>
      </c>
      <c r="D324" s="236"/>
      <c r="E324" s="236"/>
      <c r="F324" s="236"/>
      <c r="G324" s="236"/>
      <c r="H324" s="40">
        <v>0</v>
      </c>
      <c r="I324" s="72">
        <v>0</v>
      </c>
      <c r="J324" s="72">
        <v>0</v>
      </c>
      <c r="K324" s="17"/>
      <c r="L324" s="16" t="s">
        <v>18</v>
      </c>
      <c r="M324" s="16" t="s">
        <v>22</v>
      </c>
      <c r="N324" s="39" t="s">
        <v>418</v>
      </c>
    </row>
    <row r="325" spans="1:14" s="12" customFormat="1" ht="51">
      <c r="A325" s="178" t="s">
        <v>80</v>
      </c>
      <c r="B325" s="75" t="s">
        <v>1536</v>
      </c>
      <c r="C325" s="176" t="s">
        <v>17</v>
      </c>
      <c r="D325" s="236"/>
      <c r="E325" s="236"/>
      <c r="F325" s="236"/>
      <c r="G325" s="236"/>
      <c r="H325" s="236">
        <f>SUM(Tabla132112413[[#This Row],[PRIMER TRIMESTRE]:[CUARTO TRIMESTRE]])</f>
        <v>0</v>
      </c>
      <c r="I325" s="72">
        <v>45017.279999999999</v>
      </c>
      <c r="J325" s="72">
        <f t="shared" si="8"/>
        <v>0</v>
      </c>
      <c r="K325" s="17"/>
      <c r="L325" s="16" t="s">
        <v>18</v>
      </c>
      <c r="M325" s="16" t="s">
        <v>22</v>
      </c>
      <c r="N325" s="39" t="s">
        <v>418</v>
      </c>
    </row>
    <row r="326" spans="1:14" s="12" customFormat="1" ht="18">
      <c r="A326" s="178" t="s">
        <v>80</v>
      </c>
      <c r="B326" s="75" t="s">
        <v>1340</v>
      </c>
      <c r="C326" s="39" t="s">
        <v>17</v>
      </c>
      <c r="D326" s="236"/>
      <c r="E326" s="236"/>
      <c r="F326" s="236"/>
      <c r="G326" s="236"/>
      <c r="H326" s="40">
        <f>SUM(Tabla132112413[[#This Row],[PRIMER TRIMESTRE]:[CUARTO TRIMESTRE]])</f>
        <v>0</v>
      </c>
      <c r="I326" s="72">
        <v>348.1</v>
      </c>
      <c r="J326" s="17">
        <f t="shared" si="8"/>
        <v>0</v>
      </c>
      <c r="K326" s="17"/>
      <c r="L326" s="16" t="s">
        <v>18</v>
      </c>
      <c r="M326" s="16" t="s">
        <v>22</v>
      </c>
      <c r="N326" s="39" t="s">
        <v>418</v>
      </c>
    </row>
    <row r="327" spans="1:14" s="12" customFormat="1" ht="18">
      <c r="A327" s="178" t="s">
        <v>80</v>
      </c>
      <c r="B327" s="75" t="s">
        <v>1537</v>
      </c>
      <c r="C327" s="39" t="s">
        <v>17</v>
      </c>
      <c r="D327" s="236"/>
      <c r="E327" s="236"/>
      <c r="F327" s="236"/>
      <c r="G327" s="236"/>
      <c r="H327" s="236">
        <f>SUM(Tabla132112413[[#This Row],[PRIMER TRIMESTRE]:[CUARTO TRIMESTRE]])</f>
        <v>0</v>
      </c>
      <c r="I327" s="72">
        <v>7623.81</v>
      </c>
      <c r="J327" s="72">
        <f t="shared" si="8"/>
        <v>0</v>
      </c>
      <c r="K327" s="17"/>
      <c r="L327" s="16" t="s">
        <v>18</v>
      </c>
      <c r="M327" s="16" t="s">
        <v>22</v>
      </c>
      <c r="N327" s="39" t="s">
        <v>418</v>
      </c>
    </row>
    <row r="328" spans="1:14" s="12" customFormat="1" ht="18">
      <c r="A328" s="178" t="s">
        <v>80</v>
      </c>
      <c r="B328" s="75" t="s">
        <v>1341</v>
      </c>
      <c r="C328" s="39" t="s">
        <v>17</v>
      </c>
      <c r="D328" s="236"/>
      <c r="E328" s="236"/>
      <c r="F328" s="236"/>
      <c r="G328" s="236"/>
      <c r="H328" s="40">
        <f>SUM(Tabla132112413[[#This Row],[PRIMER TRIMESTRE]:[CUARTO TRIMESTRE]])</f>
        <v>0</v>
      </c>
      <c r="I328" s="72">
        <v>88.5</v>
      </c>
      <c r="J328" s="17">
        <f t="shared" si="8"/>
        <v>0</v>
      </c>
      <c r="K328" s="17"/>
      <c r="L328" s="16" t="s">
        <v>18</v>
      </c>
      <c r="M328" s="16" t="s">
        <v>22</v>
      </c>
      <c r="N328" s="39" t="s">
        <v>418</v>
      </c>
    </row>
    <row r="329" spans="1:14" s="12" customFormat="1" ht="18">
      <c r="A329" s="178" t="s">
        <v>80</v>
      </c>
      <c r="B329" s="75" t="s">
        <v>1342</v>
      </c>
      <c r="C329" s="39" t="s">
        <v>17</v>
      </c>
      <c r="D329" s="236"/>
      <c r="E329" s="236"/>
      <c r="F329" s="236"/>
      <c r="G329" s="236"/>
      <c r="H329" s="40">
        <f>SUM(Tabla132112413[[#This Row],[PRIMER TRIMESTRE]:[CUARTO TRIMESTRE]])</f>
        <v>0</v>
      </c>
      <c r="I329" s="72">
        <v>165.2</v>
      </c>
      <c r="J329" s="17">
        <f t="shared" si="8"/>
        <v>0</v>
      </c>
      <c r="K329" s="17"/>
      <c r="L329" s="16" t="s">
        <v>18</v>
      </c>
      <c r="M329" s="16" t="s">
        <v>22</v>
      </c>
      <c r="N329" s="39" t="s">
        <v>418</v>
      </c>
    </row>
    <row r="330" spans="1:14" s="12" customFormat="1" ht="18">
      <c r="A330" s="178" t="s">
        <v>80</v>
      </c>
      <c r="B330" s="75" t="s">
        <v>1343</v>
      </c>
      <c r="C330" s="39" t="s">
        <v>17</v>
      </c>
      <c r="D330" s="236"/>
      <c r="E330" s="236"/>
      <c r="F330" s="236"/>
      <c r="G330" s="236"/>
      <c r="H330" s="40">
        <f>SUM(Tabla132112413[[#This Row],[PRIMER TRIMESTRE]:[CUARTO TRIMESTRE]])</f>
        <v>0</v>
      </c>
      <c r="I330" s="72">
        <v>855.5</v>
      </c>
      <c r="J330" s="17">
        <f t="shared" si="8"/>
        <v>0</v>
      </c>
      <c r="K330" s="17"/>
      <c r="L330" s="16" t="s">
        <v>18</v>
      </c>
      <c r="M330" s="16" t="s">
        <v>22</v>
      </c>
      <c r="N330" s="39" t="s">
        <v>418</v>
      </c>
    </row>
    <row r="331" spans="1:14" s="12" customFormat="1" ht="18">
      <c r="A331" s="178" t="s">
        <v>80</v>
      </c>
      <c r="B331" s="75" t="s">
        <v>571</v>
      </c>
      <c r="C331" s="39" t="s">
        <v>17</v>
      </c>
      <c r="D331" s="236"/>
      <c r="E331" s="236"/>
      <c r="F331" s="236"/>
      <c r="G331" s="236"/>
      <c r="H331" s="40">
        <f>SUM(Tabla132112413[[#This Row],[PRIMER TRIMESTRE]:[CUARTO TRIMESTRE]])</f>
        <v>0</v>
      </c>
      <c r="I331" s="17">
        <v>12159.7</v>
      </c>
      <c r="J331" s="17">
        <f>+Tabla132112413[[#This Row],[CANTIDAD TOTAL]]*Tabla132112413[[#This Row],[PRECIO UNITARIO ESTIMADO]]</f>
        <v>0</v>
      </c>
      <c r="K331" s="17"/>
      <c r="L331" s="16" t="s">
        <v>18</v>
      </c>
      <c r="M331" s="16" t="s">
        <v>22</v>
      </c>
      <c r="N331" s="39" t="s">
        <v>418</v>
      </c>
    </row>
    <row r="332" spans="1:14" s="12" customFormat="1" ht="18">
      <c r="A332" s="178" t="s">
        <v>80</v>
      </c>
      <c r="B332" s="75" t="s">
        <v>186</v>
      </c>
      <c r="C332" s="39" t="s">
        <v>17</v>
      </c>
      <c r="D332" s="236"/>
      <c r="E332" s="236"/>
      <c r="F332" s="236"/>
      <c r="G332" s="236"/>
      <c r="H332" s="40">
        <f>SUM(Tabla132112413[[#This Row],[PRIMER TRIMESTRE]:[CUARTO TRIMESTRE]])</f>
        <v>0</v>
      </c>
      <c r="I332" s="17">
        <v>2600</v>
      </c>
      <c r="J332" s="17">
        <f>+Tabla132112413[[#This Row],[CANTIDAD TOTAL]]*Tabla132112413[[#This Row],[PRECIO UNITARIO ESTIMADO]]</f>
        <v>0</v>
      </c>
      <c r="K332" s="17"/>
      <c r="L332" s="16" t="s">
        <v>18</v>
      </c>
      <c r="M332" s="16" t="s">
        <v>22</v>
      </c>
      <c r="N332" s="39" t="s">
        <v>418</v>
      </c>
    </row>
    <row r="333" spans="1:14" s="12" customFormat="1" ht="18">
      <c r="A333" s="178" t="s">
        <v>80</v>
      </c>
      <c r="B333" s="75" t="s">
        <v>1550</v>
      </c>
      <c r="C333" s="39" t="s">
        <v>17</v>
      </c>
      <c r="D333" s="236"/>
      <c r="E333" s="236"/>
      <c r="F333" s="236"/>
      <c r="G333" s="236"/>
      <c r="H333" s="236">
        <f>SUM(Tabla132112413[[#This Row],[PRIMER TRIMESTRE]:[CUARTO TRIMESTRE]])</f>
        <v>0</v>
      </c>
      <c r="I333" s="17">
        <v>317.27</v>
      </c>
      <c r="J333" s="17">
        <f>+H333*I333</f>
        <v>0</v>
      </c>
      <c r="K333" s="17"/>
      <c r="L333" s="16" t="s">
        <v>18</v>
      </c>
      <c r="M333" s="16" t="s">
        <v>22</v>
      </c>
      <c r="N333" s="39" t="s">
        <v>418</v>
      </c>
    </row>
    <row r="334" spans="1:14" s="12" customFormat="1" ht="18">
      <c r="A334" s="178" t="s">
        <v>80</v>
      </c>
      <c r="B334" s="75" t="s">
        <v>148</v>
      </c>
      <c r="C334" s="39" t="s">
        <v>149</v>
      </c>
      <c r="D334" s="236"/>
      <c r="E334" s="236"/>
      <c r="F334" s="236"/>
      <c r="G334" s="236"/>
      <c r="H334" s="40">
        <f>SUM(Tabla132112413[[#This Row],[PRIMER TRIMESTRE]:[CUARTO TRIMESTRE]])</f>
        <v>0</v>
      </c>
      <c r="I334" s="17">
        <v>127.6</v>
      </c>
      <c r="J334" s="17">
        <f>+Tabla132112413[[#This Row],[CANTIDAD TOTAL]]*Tabla132112413[[#This Row],[PRECIO UNITARIO ESTIMADO]]</f>
        <v>0</v>
      </c>
      <c r="K334" s="17"/>
      <c r="L334" s="16" t="s">
        <v>18</v>
      </c>
      <c r="M334" s="16" t="s">
        <v>22</v>
      </c>
      <c r="N334" s="39" t="s">
        <v>418</v>
      </c>
    </row>
    <row r="335" spans="1:14" s="12" customFormat="1" ht="18">
      <c r="A335" s="178" t="s">
        <v>80</v>
      </c>
      <c r="B335" s="75" t="s">
        <v>1430</v>
      </c>
      <c r="C335" s="39" t="s">
        <v>290</v>
      </c>
      <c r="D335" s="236"/>
      <c r="E335" s="236"/>
      <c r="F335" s="236"/>
      <c r="G335" s="236"/>
      <c r="H335" s="40">
        <f>SUM(Tabla132112413[[#This Row],[PRIMER TRIMESTRE]:[CUARTO TRIMESTRE]])</f>
        <v>0</v>
      </c>
      <c r="I335" s="17">
        <v>793.52</v>
      </c>
      <c r="J335" s="17">
        <f>+Tabla132112413[[#This Row],[CANTIDAD TOTAL]]*Tabla132112413[[#This Row],[PRECIO UNITARIO ESTIMADO]]</f>
        <v>0</v>
      </c>
      <c r="K335" s="17"/>
      <c r="L335" s="16" t="s">
        <v>18</v>
      </c>
      <c r="M335" s="16" t="s">
        <v>22</v>
      </c>
      <c r="N335" s="39" t="s">
        <v>418</v>
      </c>
    </row>
    <row r="336" spans="1:14" s="12" customFormat="1" ht="18">
      <c r="A336" s="178" t="s">
        <v>80</v>
      </c>
      <c r="B336" s="75" t="s">
        <v>439</v>
      </c>
      <c r="C336" s="39" t="s">
        <v>149</v>
      </c>
      <c r="D336" s="236"/>
      <c r="E336" s="236"/>
      <c r="F336" s="236"/>
      <c r="G336" s="236"/>
      <c r="H336" s="40">
        <f>SUM(Tabla132112413[[#This Row],[PRIMER TRIMESTRE]:[CUARTO TRIMESTRE]])</f>
        <v>0</v>
      </c>
      <c r="I336" s="17">
        <v>123.91</v>
      </c>
      <c r="J336" s="17">
        <f>+Tabla132112413[[#This Row],[CANTIDAD TOTAL]]*Tabla132112413[[#This Row],[PRECIO UNITARIO ESTIMADO]]</f>
        <v>0</v>
      </c>
      <c r="K336" s="17"/>
      <c r="L336" s="16" t="s">
        <v>18</v>
      </c>
      <c r="M336" s="16" t="s">
        <v>22</v>
      </c>
      <c r="N336" s="39" t="s">
        <v>418</v>
      </c>
    </row>
    <row r="337" spans="1:14" s="12" customFormat="1" ht="18">
      <c r="A337" s="178" t="s">
        <v>80</v>
      </c>
      <c r="B337" s="75" t="s">
        <v>1553</v>
      </c>
      <c r="C337" s="39" t="s">
        <v>17</v>
      </c>
      <c r="D337" s="236"/>
      <c r="E337" s="236"/>
      <c r="F337" s="236"/>
      <c r="G337" s="236"/>
      <c r="H337" s="236">
        <f>SUM(Tabla132112413[[#This Row],[PRIMER TRIMESTRE]:[CUARTO TRIMESTRE]])</f>
        <v>0</v>
      </c>
      <c r="I337" s="17">
        <v>536.16999999999996</v>
      </c>
      <c r="J337" s="17">
        <f>+H337*I337</f>
        <v>0</v>
      </c>
      <c r="K337" s="17"/>
      <c r="L337" s="16" t="s">
        <v>18</v>
      </c>
      <c r="M337" s="16" t="s">
        <v>22</v>
      </c>
      <c r="N337" s="39" t="s">
        <v>418</v>
      </c>
    </row>
    <row r="338" spans="1:14" s="12" customFormat="1" ht="25.5">
      <c r="A338" s="178" t="s">
        <v>80</v>
      </c>
      <c r="B338" s="75" t="s">
        <v>1538</v>
      </c>
      <c r="C338" s="39" t="s">
        <v>149</v>
      </c>
      <c r="D338" s="236"/>
      <c r="E338" s="236"/>
      <c r="F338" s="236"/>
      <c r="G338" s="236"/>
      <c r="H338" s="236">
        <f>SUM(Tabla132112413[[#This Row],[PRIMER TRIMESTRE]:[CUARTO TRIMESTRE]])</f>
        <v>0</v>
      </c>
      <c r="I338" s="17">
        <v>560</v>
      </c>
      <c r="J338" s="17">
        <f>+H338*I338</f>
        <v>0</v>
      </c>
      <c r="K338" s="17"/>
      <c r="L338" s="16" t="s">
        <v>18</v>
      </c>
      <c r="M338" s="16" t="s">
        <v>22</v>
      </c>
      <c r="N338" s="39" t="s">
        <v>418</v>
      </c>
    </row>
    <row r="339" spans="1:14" s="12" customFormat="1" ht="18">
      <c r="A339" s="178" t="s">
        <v>80</v>
      </c>
      <c r="B339" s="75" t="s">
        <v>471</v>
      </c>
      <c r="C339" s="39" t="s">
        <v>17</v>
      </c>
      <c r="D339" s="236"/>
      <c r="E339" s="210"/>
      <c r="F339" s="236"/>
      <c r="G339" s="236"/>
      <c r="H339" s="40">
        <f>SUM(Tabla132112413[[#This Row],[PRIMER TRIMESTRE]:[CUARTO TRIMESTRE]])</f>
        <v>0</v>
      </c>
      <c r="I339" s="17">
        <v>55.38</v>
      </c>
      <c r="J339" s="17">
        <f>+Tabla132112413[[#This Row],[CANTIDAD TOTAL]]*Tabla132112413[[#This Row],[PRECIO UNITARIO ESTIMADO]]</f>
        <v>0</v>
      </c>
      <c r="K339" s="17"/>
      <c r="L339" s="16" t="s">
        <v>18</v>
      </c>
      <c r="M339" s="16" t="s">
        <v>22</v>
      </c>
      <c r="N339" s="39" t="s">
        <v>418</v>
      </c>
    </row>
    <row r="340" spans="1:14" s="12" customFormat="1" ht="18">
      <c r="A340" s="178" t="s">
        <v>80</v>
      </c>
      <c r="B340" s="75" t="s">
        <v>1348</v>
      </c>
      <c r="C340" s="39" t="s">
        <v>17</v>
      </c>
      <c r="D340" s="236"/>
      <c r="E340" s="210"/>
      <c r="F340" s="236"/>
      <c r="G340" s="236"/>
      <c r="H340" s="40">
        <f>SUM(Tabla132112413[[#This Row],[PRIMER TRIMESTRE]:[CUARTO TRIMESTRE]])</f>
        <v>0</v>
      </c>
      <c r="I340" s="17">
        <v>85</v>
      </c>
      <c r="J340" s="17">
        <f t="shared" ref="J340:J375" si="9">+H340*I340</f>
        <v>0</v>
      </c>
      <c r="K340" s="17"/>
      <c r="L340" s="16" t="s">
        <v>18</v>
      </c>
      <c r="M340" s="16" t="s">
        <v>22</v>
      </c>
      <c r="N340" s="39" t="s">
        <v>418</v>
      </c>
    </row>
    <row r="341" spans="1:14" s="12" customFormat="1" ht="18">
      <c r="A341" s="178" t="s">
        <v>80</v>
      </c>
      <c r="B341" s="75" t="s">
        <v>1591</v>
      </c>
      <c r="C341" s="39" t="s">
        <v>17</v>
      </c>
      <c r="D341" s="236"/>
      <c r="E341" s="210"/>
      <c r="F341" s="236"/>
      <c r="G341" s="236"/>
      <c r="H341" s="40">
        <f>SUM(Tabla132112413[[#This Row],[PRIMER TRIMESTRE]:[CUARTO TRIMESTRE]])</f>
        <v>0</v>
      </c>
      <c r="I341" s="17">
        <v>196.4</v>
      </c>
      <c r="J341" s="17">
        <f t="shared" si="9"/>
        <v>0</v>
      </c>
      <c r="K341" s="17"/>
      <c r="L341" s="16" t="s">
        <v>18</v>
      </c>
      <c r="M341" s="16" t="s">
        <v>22</v>
      </c>
      <c r="N341" s="39" t="s">
        <v>418</v>
      </c>
    </row>
    <row r="342" spans="1:14" s="12" customFormat="1" ht="18">
      <c r="A342" s="178" t="s">
        <v>80</v>
      </c>
      <c r="B342" s="75" t="s">
        <v>1349</v>
      </c>
      <c r="C342" s="39" t="s">
        <v>17</v>
      </c>
      <c r="D342" s="236"/>
      <c r="E342" s="210"/>
      <c r="F342" s="236"/>
      <c r="G342" s="236"/>
      <c r="H342" s="40">
        <f>SUM(Tabla132112413[[#This Row],[PRIMER TRIMESTRE]:[CUARTO TRIMESTRE]])</f>
        <v>0</v>
      </c>
      <c r="I342" s="17">
        <v>55</v>
      </c>
      <c r="J342" s="17">
        <f t="shared" si="9"/>
        <v>0</v>
      </c>
      <c r="K342" s="17"/>
      <c r="L342" s="16" t="s">
        <v>18</v>
      </c>
      <c r="M342" s="16" t="s">
        <v>22</v>
      </c>
      <c r="N342" s="39" t="s">
        <v>418</v>
      </c>
    </row>
    <row r="343" spans="1:14" s="12" customFormat="1" ht="18">
      <c r="A343" s="178" t="s">
        <v>80</v>
      </c>
      <c r="B343" s="75" t="s">
        <v>1711</v>
      </c>
      <c r="C343" s="39" t="s">
        <v>17</v>
      </c>
      <c r="D343" s="236"/>
      <c r="E343" s="210"/>
      <c r="F343" s="236"/>
      <c r="G343" s="236"/>
      <c r="H343" s="40">
        <v>0</v>
      </c>
      <c r="I343" s="17">
        <v>0</v>
      </c>
      <c r="J343" s="17">
        <v>0</v>
      </c>
      <c r="K343" s="17"/>
      <c r="L343" s="16" t="s">
        <v>18</v>
      </c>
      <c r="M343" s="16" t="s">
        <v>22</v>
      </c>
      <c r="N343" s="39" t="s">
        <v>418</v>
      </c>
    </row>
    <row r="344" spans="1:14" s="12" customFormat="1" ht="18">
      <c r="A344" s="178" t="s">
        <v>80</v>
      </c>
      <c r="B344" s="75" t="s">
        <v>1563</v>
      </c>
      <c r="C344" s="39" t="s">
        <v>17</v>
      </c>
      <c r="D344" s="236"/>
      <c r="E344" s="236"/>
      <c r="F344" s="236"/>
      <c r="G344" s="236"/>
      <c r="H344" s="236">
        <f>SUM(Tabla132112413[[#This Row],[PRIMER TRIMESTRE]:[CUARTO TRIMESTRE]])</f>
        <v>0</v>
      </c>
      <c r="I344" s="17">
        <v>108.41</v>
      </c>
      <c r="J344" s="17">
        <f t="shared" si="9"/>
        <v>0</v>
      </c>
      <c r="K344" s="17"/>
      <c r="L344" s="16" t="s">
        <v>18</v>
      </c>
      <c r="M344" s="16" t="s">
        <v>22</v>
      </c>
      <c r="N344" s="39" t="s">
        <v>418</v>
      </c>
    </row>
    <row r="345" spans="1:14" s="12" customFormat="1" ht="18">
      <c r="A345" s="178" t="s">
        <v>80</v>
      </c>
      <c r="B345" s="75" t="s">
        <v>1562</v>
      </c>
      <c r="C345" s="39" t="s">
        <v>17</v>
      </c>
      <c r="D345" s="236"/>
      <c r="E345" s="236"/>
      <c r="F345" s="236"/>
      <c r="G345" s="236"/>
      <c r="H345" s="236">
        <f>SUM(Tabla132112413[[#This Row],[PRIMER TRIMESTRE]:[CUARTO TRIMESTRE]])</f>
        <v>0</v>
      </c>
      <c r="I345" s="17">
        <v>23.1</v>
      </c>
      <c r="J345" s="17">
        <f t="shared" si="9"/>
        <v>0</v>
      </c>
      <c r="K345" s="17"/>
      <c r="L345" s="16" t="s">
        <v>18</v>
      </c>
      <c r="M345" s="16" t="s">
        <v>22</v>
      </c>
      <c r="N345" s="39" t="s">
        <v>418</v>
      </c>
    </row>
    <row r="346" spans="1:14" s="12" customFormat="1" ht="18">
      <c r="A346" s="178" t="s">
        <v>80</v>
      </c>
      <c r="B346" s="75" t="s">
        <v>1350</v>
      </c>
      <c r="C346" s="39" t="s">
        <v>17</v>
      </c>
      <c r="D346" s="236"/>
      <c r="E346" s="210"/>
      <c r="F346" s="236"/>
      <c r="G346" s="236"/>
      <c r="H346" s="40">
        <f>SUM(Tabla132112413[[#This Row],[PRIMER TRIMESTRE]:[CUARTO TRIMESTRE]])</f>
        <v>0</v>
      </c>
      <c r="I346" s="17">
        <v>210</v>
      </c>
      <c r="J346" s="17">
        <f t="shared" si="9"/>
        <v>0</v>
      </c>
      <c r="K346" s="17"/>
      <c r="L346" s="16" t="s">
        <v>18</v>
      </c>
      <c r="M346" s="16" t="s">
        <v>22</v>
      </c>
      <c r="N346" s="39" t="s">
        <v>418</v>
      </c>
    </row>
    <row r="347" spans="1:14" s="12" customFormat="1" ht="18">
      <c r="A347" s="178" t="s">
        <v>80</v>
      </c>
      <c r="B347" s="75" t="s">
        <v>644</v>
      </c>
      <c r="C347" s="39" t="s">
        <v>17</v>
      </c>
      <c r="D347" s="236"/>
      <c r="E347" s="236"/>
      <c r="F347" s="236"/>
      <c r="G347" s="240"/>
      <c r="H347" s="40">
        <f>SUM(Tabla132112413[[#This Row],[PRIMER TRIMESTRE]:[CUARTO TRIMESTRE]])</f>
        <v>0</v>
      </c>
      <c r="I347" s="17">
        <v>731.35</v>
      </c>
      <c r="J347" s="17">
        <f t="shared" si="9"/>
        <v>0</v>
      </c>
      <c r="K347" s="17"/>
      <c r="L347" s="16" t="s">
        <v>18</v>
      </c>
      <c r="M347" s="16" t="s">
        <v>22</v>
      </c>
      <c r="N347" s="39" t="s">
        <v>418</v>
      </c>
    </row>
    <row r="348" spans="1:14" s="12" customFormat="1" ht="18">
      <c r="A348" s="178" t="s">
        <v>80</v>
      </c>
      <c r="B348" s="75" t="s">
        <v>645</v>
      </c>
      <c r="C348" s="39" t="s">
        <v>17</v>
      </c>
      <c r="D348" s="236"/>
      <c r="E348" s="236"/>
      <c r="F348" s="236"/>
      <c r="G348" s="240"/>
      <c r="H348" s="40">
        <f>SUM(Tabla132112413[[#This Row],[PRIMER TRIMESTRE]:[CUARTO TRIMESTRE]])</f>
        <v>0</v>
      </c>
      <c r="I348" s="17">
        <v>1013.28</v>
      </c>
      <c r="J348" s="17">
        <f t="shared" si="9"/>
        <v>0</v>
      </c>
      <c r="K348" s="17"/>
      <c r="L348" s="16" t="s">
        <v>18</v>
      </c>
      <c r="M348" s="16" t="s">
        <v>22</v>
      </c>
      <c r="N348" s="39" t="s">
        <v>418</v>
      </c>
    </row>
    <row r="349" spans="1:14" s="12" customFormat="1" ht="18">
      <c r="A349" s="178" t="s">
        <v>80</v>
      </c>
      <c r="B349" s="75" t="s">
        <v>646</v>
      </c>
      <c r="C349" s="39" t="s">
        <v>17</v>
      </c>
      <c r="D349" s="236"/>
      <c r="E349" s="236"/>
      <c r="F349" s="236"/>
      <c r="G349" s="240"/>
      <c r="H349" s="40">
        <f>SUM(Tabla132112413[[#This Row],[PRIMER TRIMESTRE]:[CUARTO TRIMESTRE]])</f>
        <v>0</v>
      </c>
      <c r="I349" s="17">
        <v>1196.97</v>
      </c>
      <c r="J349" s="17">
        <f t="shared" si="9"/>
        <v>0</v>
      </c>
      <c r="K349" s="17"/>
      <c r="L349" s="16" t="s">
        <v>18</v>
      </c>
      <c r="M349" s="16" t="s">
        <v>22</v>
      </c>
      <c r="N349" s="39" t="s">
        <v>418</v>
      </c>
    </row>
    <row r="350" spans="1:14" s="12" customFormat="1" ht="18">
      <c r="A350" s="178" t="s">
        <v>80</v>
      </c>
      <c r="B350" s="75" t="s">
        <v>647</v>
      </c>
      <c r="C350" s="39" t="s">
        <v>17</v>
      </c>
      <c r="D350" s="236"/>
      <c r="E350" s="236"/>
      <c r="F350" s="236"/>
      <c r="G350" s="240"/>
      <c r="H350" s="40">
        <f>SUM(Tabla132112413[[#This Row],[PRIMER TRIMESTRE]:[CUARTO TRIMESTRE]])</f>
        <v>0</v>
      </c>
      <c r="I350" s="17">
        <v>1882.41</v>
      </c>
      <c r="J350" s="17">
        <f t="shared" si="9"/>
        <v>0</v>
      </c>
      <c r="K350" s="17"/>
      <c r="L350" s="16" t="s">
        <v>18</v>
      </c>
      <c r="M350" s="16" t="s">
        <v>22</v>
      </c>
      <c r="N350" s="39" t="s">
        <v>418</v>
      </c>
    </row>
    <row r="351" spans="1:14" s="12" customFormat="1" ht="18">
      <c r="A351" s="178" t="s">
        <v>80</v>
      </c>
      <c r="B351" s="75" t="s">
        <v>648</v>
      </c>
      <c r="C351" s="39" t="s">
        <v>17</v>
      </c>
      <c r="D351" s="236"/>
      <c r="E351" s="236"/>
      <c r="F351" s="236"/>
      <c r="G351" s="240"/>
      <c r="H351" s="40">
        <f>SUM(Tabla132112413[[#This Row],[PRIMER TRIMESTRE]:[CUARTO TRIMESTRE]])</f>
        <v>0</v>
      </c>
      <c r="I351" s="17">
        <v>2110.4699999999998</v>
      </c>
      <c r="J351" s="17">
        <f t="shared" si="9"/>
        <v>0</v>
      </c>
      <c r="K351" s="17"/>
      <c r="L351" s="16" t="s">
        <v>18</v>
      </c>
      <c r="M351" s="16" t="s">
        <v>22</v>
      </c>
      <c r="N351" s="39" t="s">
        <v>418</v>
      </c>
    </row>
    <row r="352" spans="1:14" s="12" customFormat="1" ht="18">
      <c r="A352" s="178" t="s">
        <v>80</v>
      </c>
      <c r="B352" s="75" t="s">
        <v>649</v>
      </c>
      <c r="C352" s="39" t="s">
        <v>17</v>
      </c>
      <c r="D352" s="236"/>
      <c r="E352" s="236"/>
      <c r="F352" s="236"/>
      <c r="G352" s="240"/>
      <c r="H352" s="40">
        <f>SUM(Tabla132112413[[#This Row],[PRIMER TRIMESTRE]:[CUARTO TRIMESTRE]])</f>
        <v>0</v>
      </c>
      <c r="I352" s="17">
        <v>2920.5</v>
      </c>
      <c r="J352" s="17">
        <f t="shared" si="9"/>
        <v>0</v>
      </c>
      <c r="K352" s="17"/>
      <c r="L352" s="16" t="s">
        <v>18</v>
      </c>
      <c r="M352" s="16" t="s">
        <v>22</v>
      </c>
      <c r="N352" s="39" t="s">
        <v>418</v>
      </c>
    </row>
    <row r="353" spans="1:14" s="12" customFormat="1" ht="18">
      <c r="A353" s="178" t="s">
        <v>80</v>
      </c>
      <c r="B353" s="75" t="s">
        <v>650</v>
      </c>
      <c r="C353" s="39" t="s">
        <v>17</v>
      </c>
      <c r="D353" s="236"/>
      <c r="E353" s="236"/>
      <c r="F353" s="236"/>
      <c r="G353" s="240"/>
      <c r="H353" s="40">
        <f>SUM(Tabla132112413[[#This Row],[PRIMER TRIMESTRE]:[CUARTO TRIMESTRE]])</f>
        <v>0</v>
      </c>
      <c r="I353" s="17">
        <v>2919.76</v>
      </c>
      <c r="J353" s="17">
        <f t="shared" si="9"/>
        <v>0</v>
      </c>
      <c r="K353" s="17"/>
      <c r="L353" s="16" t="s">
        <v>18</v>
      </c>
      <c r="M353" s="16" t="s">
        <v>22</v>
      </c>
      <c r="N353" s="39" t="s">
        <v>418</v>
      </c>
    </row>
    <row r="354" spans="1:14" s="12" customFormat="1" ht="18">
      <c r="A354" s="178" t="s">
        <v>80</v>
      </c>
      <c r="B354" s="75" t="s">
        <v>651</v>
      </c>
      <c r="C354" s="39" t="s">
        <v>17</v>
      </c>
      <c r="D354" s="236"/>
      <c r="E354" s="236"/>
      <c r="F354" s="236"/>
      <c r="G354" s="240"/>
      <c r="H354" s="40">
        <f>SUM(Tabla132112413[[#This Row],[PRIMER TRIMESTRE]:[CUARTO TRIMESTRE]])</f>
        <v>0</v>
      </c>
      <c r="I354" s="17">
        <v>5347.76</v>
      </c>
      <c r="J354" s="17">
        <f t="shared" si="9"/>
        <v>0</v>
      </c>
      <c r="K354" s="17"/>
      <c r="L354" s="16" t="s">
        <v>18</v>
      </c>
      <c r="M354" s="16" t="s">
        <v>22</v>
      </c>
      <c r="N354" s="39" t="s">
        <v>418</v>
      </c>
    </row>
    <row r="355" spans="1:14" s="12" customFormat="1" ht="18">
      <c r="A355" s="178" t="s">
        <v>80</v>
      </c>
      <c r="B355" s="75" t="s">
        <v>652</v>
      </c>
      <c r="C355" s="39" t="s">
        <v>17</v>
      </c>
      <c r="D355" s="236"/>
      <c r="E355" s="236"/>
      <c r="F355" s="236"/>
      <c r="G355" s="240"/>
      <c r="H355" s="40">
        <f>SUM(Tabla132112413[[#This Row],[PRIMER TRIMESTRE]:[CUARTO TRIMESTRE]])</f>
        <v>0</v>
      </c>
      <c r="I355" s="17">
        <v>9696.06</v>
      </c>
      <c r="J355" s="17">
        <f t="shared" si="9"/>
        <v>0</v>
      </c>
      <c r="K355" s="17"/>
      <c r="L355" s="16" t="s">
        <v>18</v>
      </c>
      <c r="M355" s="16" t="s">
        <v>22</v>
      </c>
      <c r="N355" s="39" t="s">
        <v>418</v>
      </c>
    </row>
    <row r="356" spans="1:14" s="12" customFormat="1" ht="18">
      <c r="A356" s="178" t="s">
        <v>80</v>
      </c>
      <c r="B356" s="75" t="s">
        <v>653</v>
      </c>
      <c r="C356" s="39" t="s">
        <v>17</v>
      </c>
      <c r="D356" s="236"/>
      <c r="E356" s="236"/>
      <c r="F356" s="236"/>
      <c r="G356" s="240"/>
      <c r="H356" s="40">
        <f>SUM(Tabla132112413[[#This Row],[PRIMER TRIMESTRE]:[CUARTO TRIMESTRE]])</f>
        <v>0</v>
      </c>
      <c r="I356" s="17">
        <v>13263.2</v>
      </c>
      <c r="J356" s="17">
        <f t="shared" si="9"/>
        <v>0</v>
      </c>
      <c r="K356" s="17"/>
      <c r="L356" s="16" t="s">
        <v>18</v>
      </c>
      <c r="M356" s="16" t="s">
        <v>22</v>
      </c>
      <c r="N356" s="39" t="s">
        <v>418</v>
      </c>
    </row>
    <row r="357" spans="1:14" s="12" customFormat="1" ht="18">
      <c r="A357" s="178" t="s">
        <v>80</v>
      </c>
      <c r="B357" s="75" t="s">
        <v>351</v>
      </c>
      <c r="C357" s="39" t="s">
        <v>17</v>
      </c>
      <c r="D357" s="236"/>
      <c r="E357" s="236"/>
      <c r="F357" s="236"/>
      <c r="G357" s="240"/>
      <c r="H357" s="40">
        <f>SUM(Tabla132112413[[#This Row],[PRIMER TRIMESTRE]:[CUARTO TRIMESTRE]])</f>
        <v>0</v>
      </c>
      <c r="I357" s="17">
        <v>1800</v>
      </c>
      <c r="J357" s="17">
        <f t="shared" si="9"/>
        <v>0</v>
      </c>
      <c r="K357" s="17"/>
      <c r="L357" s="16" t="s">
        <v>18</v>
      </c>
      <c r="M357" s="16" t="s">
        <v>22</v>
      </c>
      <c r="N357" s="39" t="s">
        <v>418</v>
      </c>
    </row>
    <row r="358" spans="1:14" s="12" customFormat="1" ht="18">
      <c r="A358" s="178" t="s">
        <v>80</v>
      </c>
      <c r="B358" s="75" t="s">
        <v>352</v>
      </c>
      <c r="C358" s="39" t="s">
        <v>17</v>
      </c>
      <c r="D358" s="236"/>
      <c r="E358" s="236"/>
      <c r="F358" s="236"/>
      <c r="G358" s="240"/>
      <c r="H358" s="40">
        <f>SUM(Tabla132112413[[#This Row],[PRIMER TRIMESTRE]:[CUARTO TRIMESTRE]])</f>
        <v>0</v>
      </c>
      <c r="I358" s="17">
        <v>2000</v>
      </c>
      <c r="J358" s="17">
        <f t="shared" si="9"/>
        <v>0</v>
      </c>
      <c r="K358" s="17"/>
      <c r="L358" s="16" t="s">
        <v>18</v>
      </c>
      <c r="M358" s="16" t="s">
        <v>22</v>
      </c>
      <c r="N358" s="39" t="s">
        <v>418</v>
      </c>
    </row>
    <row r="359" spans="1:14" s="12" customFormat="1" ht="18">
      <c r="A359" s="178" t="s">
        <v>80</v>
      </c>
      <c r="B359" s="75" t="s">
        <v>345</v>
      </c>
      <c r="C359" s="39" t="s">
        <v>17</v>
      </c>
      <c r="D359" s="236"/>
      <c r="E359" s="236"/>
      <c r="F359" s="236"/>
      <c r="G359" s="240"/>
      <c r="H359" s="40">
        <f>SUM(Tabla132112413[[#This Row],[PRIMER TRIMESTRE]:[CUARTO TRIMESTRE]])</f>
        <v>0</v>
      </c>
      <c r="I359" s="17">
        <v>2500</v>
      </c>
      <c r="J359" s="17">
        <f t="shared" si="9"/>
        <v>0</v>
      </c>
      <c r="K359" s="17"/>
      <c r="L359" s="16" t="s">
        <v>18</v>
      </c>
      <c r="M359" s="16" t="s">
        <v>22</v>
      </c>
      <c r="N359" s="39" t="s">
        <v>418</v>
      </c>
    </row>
    <row r="360" spans="1:14" s="12" customFormat="1" ht="18">
      <c r="A360" s="178" t="s">
        <v>80</v>
      </c>
      <c r="B360" s="75" t="s">
        <v>346</v>
      </c>
      <c r="C360" s="39" t="s">
        <v>17</v>
      </c>
      <c r="D360" s="236"/>
      <c r="E360" s="236"/>
      <c r="F360" s="236"/>
      <c r="G360" s="240"/>
      <c r="H360" s="40">
        <f>SUM(Tabla132112413[[#This Row],[PRIMER TRIMESTRE]:[CUARTO TRIMESTRE]])</f>
        <v>0</v>
      </c>
      <c r="I360" s="17">
        <v>3100</v>
      </c>
      <c r="J360" s="17">
        <f t="shared" si="9"/>
        <v>0</v>
      </c>
      <c r="K360" s="17"/>
      <c r="L360" s="16" t="s">
        <v>18</v>
      </c>
      <c r="M360" s="16" t="s">
        <v>22</v>
      </c>
      <c r="N360" s="39" t="s">
        <v>418</v>
      </c>
    </row>
    <row r="361" spans="1:14" s="12" customFormat="1" ht="18">
      <c r="A361" s="178" t="s">
        <v>80</v>
      </c>
      <c r="B361" s="75" t="s">
        <v>347</v>
      </c>
      <c r="C361" s="39" t="s">
        <v>17</v>
      </c>
      <c r="D361" s="236"/>
      <c r="E361" s="236"/>
      <c r="F361" s="236"/>
      <c r="G361" s="240"/>
      <c r="H361" s="40">
        <f>SUM(Tabla132112413[[#This Row],[PRIMER TRIMESTRE]:[CUARTO TRIMESTRE]])</f>
        <v>0</v>
      </c>
      <c r="I361" s="17">
        <v>4100</v>
      </c>
      <c r="J361" s="17">
        <f t="shared" si="9"/>
        <v>0</v>
      </c>
      <c r="K361" s="17"/>
      <c r="L361" s="16" t="s">
        <v>18</v>
      </c>
      <c r="M361" s="16" t="s">
        <v>22</v>
      </c>
      <c r="N361" s="39" t="s">
        <v>418</v>
      </c>
    </row>
    <row r="362" spans="1:14" s="12" customFormat="1" ht="18">
      <c r="A362" s="178" t="s">
        <v>80</v>
      </c>
      <c r="B362" s="75" t="s">
        <v>1213</v>
      </c>
      <c r="C362" s="39" t="s">
        <v>17</v>
      </c>
      <c r="D362" s="236"/>
      <c r="E362" s="236"/>
      <c r="F362" s="236"/>
      <c r="G362" s="240"/>
      <c r="H362" s="40">
        <f>SUM(Tabla132112413[[#This Row],[PRIMER TRIMESTRE]:[CUARTO TRIMESTRE]])</f>
        <v>0</v>
      </c>
      <c r="I362" s="17">
        <v>8660</v>
      </c>
      <c r="J362" s="17">
        <f t="shared" si="9"/>
        <v>0</v>
      </c>
      <c r="K362" s="17"/>
      <c r="L362" s="16" t="s">
        <v>18</v>
      </c>
      <c r="M362" s="16" t="s">
        <v>22</v>
      </c>
      <c r="N362" s="39" t="s">
        <v>418</v>
      </c>
    </row>
    <row r="363" spans="1:14" s="12" customFormat="1" ht="18">
      <c r="A363" s="178" t="s">
        <v>80</v>
      </c>
      <c r="B363" s="75" t="s">
        <v>359</v>
      </c>
      <c r="C363" s="39" t="s">
        <v>17</v>
      </c>
      <c r="D363" s="236"/>
      <c r="E363" s="236"/>
      <c r="F363" s="236"/>
      <c r="G363" s="240"/>
      <c r="H363" s="40">
        <f>SUM(Tabla132112413[[#This Row],[PRIMER TRIMESTRE]:[CUARTO TRIMESTRE]])</f>
        <v>0</v>
      </c>
      <c r="I363" s="17">
        <v>1800</v>
      </c>
      <c r="J363" s="17">
        <f t="shared" si="9"/>
        <v>0</v>
      </c>
      <c r="K363" s="17"/>
      <c r="L363" s="16" t="s">
        <v>18</v>
      </c>
      <c r="M363" s="16" t="s">
        <v>22</v>
      </c>
      <c r="N363" s="39" t="s">
        <v>418</v>
      </c>
    </row>
    <row r="364" spans="1:14" s="12" customFormat="1" ht="18">
      <c r="A364" s="178" t="s">
        <v>80</v>
      </c>
      <c r="B364" s="75" t="s">
        <v>360</v>
      </c>
      <c r="C364" s="39" t="s">
        <v>17</v>
      </c>
      <c r="D364" s="236"/>
      <c r="E364" s="236"/>
      <c r="F364" s="236"/>
      <c r="G364" s="240"/>
      <c r="H364" s="40">
        <f>SUM(Tabla132112413[[#This Row],[PRIMER TRIMESTRE]:[CUARTO TRIMESTRE]])</f>
        <v>0</v>
      </c>
      <c r="I364" s="17">
        <v>2000</v>
      </c>
      <c r="J364" s="17">
        <f t="shared" si="9"/>
        <v>0</v>
      </c>
      <c r="K364" s="17"/>
      <c r="L364" s="16" t="s">
        <v>18</v>
      </c>
      <c r="M364" s="16" t="s">
        <v>22</v>
      </c>
      <c r="N364" s="39" t="s">
        <v>418</v>
      </c>
    </row>
    <row r="365" spans="1:14" s="12" customFormat="1" ht="18">
      <c r="A365" s="178" t="s">
        <v>80</v>
      </c>
      <c r="B365" s="75" t="s">
        <v>353</v>
      </c>
      <c r="C365" s="39" t="s">
        <v>17</v>
      </c>
      <c r="D365" s="236"/>
      <c r="E365" s="236"/>
      <c r="F365" s="236"/>
      <c r="G365" s="240"/>
      <c r="H365" s="40">
        <f>SUM(Tabla132112413[[#This Row],[PRIMER TRIMESTRE]:[CUARTO TRIMESTRE]])</f>
        <v>0</v>
      </c>
      <c r="I365" s="17">
        <v>2500</v>
      </c>
      <c r="J365" s="17">
        <f t="shared" si="9"/>
        <v>0</v>
      </c>
      <c r="K365" s="17"/>
      <c r="L365" s="16" t="s">
        <v>18</v>
      </c>
      <c r="M365" s="16" t="s">
        <v>22</v>
      </c>
      <c r="N365" s="39" t="s">
        <v>418</v>
      </c>
    </row>
    <row r="366" spans="1:14" s="12" customFormat="1" ht="18">
      <c r="A366" s="178" t="s">
        <v>80</v>
      </c>
      <c r="B366" s="75" t="s">
        <v>354</v>
      </c>
      <c r="C366" s="39" t="s">
        <v>17</v>
      </c>
      <c r="D366" s="236"/>
      <c r="E366" s="236"/>
      <c r="F366" s="236"/>
      <c r="G366" s="240"/>
      <c r="H366" s="40">
        <f>SUM(Tabla132112413[[#This Row],[PRIMER TRIMESTRE]:[CUARTO TRIMESTRE]])</f>
        <v>0</v>
      </c>
      <c r="I366" s="17">
        <v>8502.7999999999993</v>
      </c>
      <c r="J366" s="17">
        <f t="shared" si="9"/>
        <v>0</v>
      </c>
      <c r="K366" s="17"/>
      <c r="L366" s="16" t="s">
        <v>18</v>
      </c>
      <c r="M366" s="16" t="s">
        <v>22</v>
      </c>
      <c r="N366" s="39" t="s">
        <v>418</v>
      </c>
    </row>
    <row r="367" spans="1:14" s="12" customFormat="1" ht="18">
      <c r="A367" s="178" t="s">
        <v>80</v>
      </c>
      <c r="B367" s="75" t="s">
        <v>355</v>
      </c>
      <c r="C367" s="39" t="s">
        <v>17</v>
      </c>
      <c r="D367" s="236"/>
      <c r="E367" s="236"/>
      <c r="F367" s="236"/>
      <c r="G367" s="240"/>
      <c r="H367" s="40">
        <f>SUM(Tabla132112413[[#This Row],[PRIMER TRIMESTRE]:[CUARTO TRIMESTRE]])</f>
        <v>0</v>
      </c>
      <c r="I367" s="17">
        <v>12180</v>
      </c>
      <c r="J367" s="17">
        <f t="shared" si="9"/>
        <v>0</v>
      </c>
      <c r="K367" s="17"/>
      <c r="L367" s="16" t="s">
        <v>18</v>
      </c>
      <c r="M367" s="16" t="s">
        <v>22</v>
      </c>
      <c r="N367" s="39" t="s">
        <v>418</v>
      </c>
    </row>
    <row r="368" spans="1:14" s="12" customFormat="1" ht="18">
      <c r="A368" s="178" t="s">
        <v>80</v>
      </c>
      <c r="B368" s="75" t="s">
        <v>1214</v>
      </c>
      <c r="C368" s="39" t="s">
        <v>17</v>
      </c>
      <c r="D368" s="236"/>
      <c r="E368" s="236"/>
      <c r="F368" s="236"/>
      <c r="G368" s="240"/>
      <c r="H368" s="40">
        <f>SUM(Tabla132112413[[#This Row],[PRIMER TRIMESTRE]:[CUARTO TRIMESTRE]])</f>
        <v>0</v>
      </c>
      <c r="I368" s="17">
        <v>12180</v>
      </c>
      <c r="J368" s="17">
        <f t="shared" si="9"/>
        <v>0</v>
      </c>
      <c r="K368" s="17"/>
      <c r="L368" s="16" t="s">
        <v>18</v>
      </c>
      <c r="M368" s="16" t="s">
        <v>22</v>
      </c>
      <c r="N368" s="39" t="s">
        <v>418</v>
      </c>
    </row>
    <row r="369" spans="1:14" s="12" customFormat="1" ht="18">
      <c r="A369" s="178" t="s">
        <v>80</v>
      </c>
      <c r="B369" s="75" t="s">
        <v>366</v>
      </c>
      <c r="C369" s="39" t="s">
        <v>17</v>
      </c>
      <c r="D369" s="236"/>
      <c r="E369" s="236"/>
      <c r="F369" s="236"/>
      <c r="G369" s="240"/>
      <c r="H369" s="40">
        <f>SUM(Tabla132112413[[#This Row],[PRIMER TRIMESTRE]:[CUARTO TRIMESTRE]])</f>
        <v>0</v>
      </c>
      <c r="I369" s="17">
        <v>1800</v>
      </c>
      <c r="J369" s="17">
        <f t="shared" si="9"/>
        <v>0</v>
      </c>
      <c r="K369" s="17"/>
      <c r="L369" s="16" t="s">
        <v>18</v>
      </c>
      <c r="M369" s="16" t="s">
        <v>22</v>
      </c>
      <c r="N369" s="39" t="s">
        <v>418</v>
      </c>
    </row>
    <row r="370" spans="1:14" s="12" customFormat="1" ht="18">
      <c r="A370" s="178" t="s">
        <v>80</v>
      </c>
      <c r="B370" s="75" t="s">
        <v>367</v>
      </c>
      <c r="C370" s="39" t="s">
        <v>17</v>
      </c>
      <c r="D370" s="236"/>
      <c r="E370" s="236"/>
      <c r="F370" s="236"/>
      <c r="G370" s="240"/>
      <c r="H370" s="40">
        <f>SUM(Tabla132112413[[#This Row],[PRIMER TRIMESTRE]:[CUARTO TRIMESTRE]])</f>
        <v>0</v>
      </c>
      <c r="I370" s="17">
        <v>2000</v>
      </c>
      <c r="J370" s="17">
        <f t="shared" si="9"/>
        <v>0</v>
      </c>
      <c r="K370" s="17"/>
      <c r="L370" s="16" t="s">
        <v>18</v>
      </c>
      <c r="M370" s="16" t="s">
        <v>22</v>
      </c>
      <c r="N370" s="39" t="s">
        <v>418</v>
      </c>
    </row>
    <row r="371" spans="1:14" s="12" customFormat="1" ht="18">
      <c r="A371" s="178" t="s">
        <v>80</v>
      </c>
      <c r="B371" s="75" t="s">
        <v>361</v>
      </c>
      <c r="C371" s="39" t="s">
        <v>17</v>
      </c>
      <c r="D371" s="236"/>
      <c r="E371" s="236"/>
      <c r="F371" s="236"/>
      <c r="G371" s="240"/>
      <c r="H371" s="40">
        <f>SUM(Tabla132112413[[#This Row],[PRIMER TRIMESTRE]:[CUARTO TRIMESTRE]])</f>
        <v>0</v>
      </c>
      <c r="I371" s="17">
        <v>2500</v>
      </c>
      <c r="J371" s="17">
        <f t="shared" si="9"/>
        <v>0</v>
      </c>
      <c r="K371" s="17"/>
      <c r="L371" s="16" t="s">
        <v>18</v>
      </c>
      <c r="M371" s="16" t="s">
        <v>22</v>
      </c>
      <c r="N371" s="39" t="s">
        <v>418</v>
      </c>
    </row>
    <row r="372" spans="1:14" s="12" customFormat="1" ht="18">
      <c r="A372" s="178" t="s">
        <v>80</v>
      </c>
      <c r="B372" s="75" t="s">
        <v>362</v>
      </c>
      <c r="C372" s="39" t="s">
        <v>17</v>
      </c>
      <c r="D372" s="236"/>
      <c r="E372" s="236"/>
      <c r="F372" s="236"/>
      <c r="G372" s="240"/>
      <c r="H372" s="40">
        <f>SUM(Tabla132112413[[#This Row],[PRIMER TRIMESTRE]:[CUARTO TRIMESTRE]])</f>
        <v>0</v>
      </c>
      <c r="I372" s="17">
        <v>3100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</row>
    <row r="373" spans="1:14" s="12" customFormat="1" ht="18">
      <c r="A373" s="178" t="s">
        <v>80</v>
      </c>
      <c r="B373" s="75" t="s">
        <v>1439</v>
      </c>
      <c r="C373" s="39" t="s">
        <v>17</v>
      </c>
      <c r="D373" s="236"/>
      <c r="E373" s="236"/>
      <c r="F373" s="236"/>
      <c r="G373" s="240"/>
      <c r="H373" s="40">
        <f>SUM(Tabla132112413[[#This Row],[PRIMER TRIMESTRE]:[CUARTO TRIMESTRE]])</f>
        <v>0</v>
      </c>
      <c r="I373" s="17">
        <v>4100</v>
      </c>
      <c r="J373" s="17">
        <f t="shared" si="9"/>
        <v>0</v>
      </c>
      <c r="K373" s="17"/>
      <c r="L373" s="16" t="s">
        <v>18</v>
      </c>
      <c r="M373" s="16" t="s">
        <v>22</v>
      </c>
      <c r="N373" s="39" t="s">
        <v>418</v>
      </c>
    </row>
    <row r="374" spans="1:14" s="12" customFormat="1" ht="18">
      <c r="A374" s="178" t="s">
        <v>80</v>
      </c>
      <c r="B374" s="75" t="s">
        <v>920</v>
      </c>
      <c r="C374" s="39" t="s">
        <v>17</v>
      </c>
      <c r="D374" s="236"/>
      <c r="E374" s="236"/>
      <c r="F374" s="236"/>
      <c r="G374" s="240"/>
      <c r="H374" s="40">
        <f>SUM(Tabla132112413[[#This Row],[PRIMER TRIMESTRE]:[CUARTO TRIMESTRE]])</f>
        <v>0</v>
      </c>
      <c r="I374" s="17">
        <v>140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</row>
    <row r="375" spans="1:14" s="12" customFormat="1" ht="18">
      <c r="A375" s="178" t="s">
        <v>80</v>
      </c>
      <c r="B375" s="75" t="s">
        <v>1578</v>
      </c>
      <c r="C375" s="39" t="s">
        <v>17</v>
      </c>
      <c r="D375" s="236"/>
      <c r="E375" s="236"/>
      <c r="F375" s="236"/>
      <c r="G375" s="236"/>
      <c r="H375" s="236">
        <f>SUM(Tabla132112413[[#This Row],[PRIMER TRIMESTRE]:[CUARTO TRIMESTRE]])</f>
        <v>0</v>
      </c>
      <c r="I375" s="17">
        <v>397.8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</row>
    <row r="376" spans="1:14" s="12" customFormat="1" ht="18">
      <c r="A376" s="178" t="s">
        <v>80</v>
      </c>
      <c r="B376" s="75" t="s">
        <v>154</v>
      </c>
      <c r="C376" s="39" t="s">
        <v>470</v>
      </c>
      <c r="D376" s="236"/>
      <c r="E376" s="236"/>
      <c r="F376" s="236"/>
      <c r="G376" s="236"/>
      <c r="H376" s="40">
        <f>SUM(Tabla132112413[[#This Row],[PRIMER TRIMESTRE]:[CUARTO TRIMESTRE]])</f>
        <v>0</v>
      </c>
      <c r="I376" s="17">
        <v>100</v>
      </c>
      <c r="J376" s="17">
        <f>+Tabla132112413[[#This Row],[CANTIDAD TOTAL]]*Tabla132112413[[#This Row],[PRECIO UNITARIO ESTIMADO]]</f>
        <v>0</v>
      </c>
      <c r="K376" s="17"/>
      <c r="L376" s="16" t="s">
        <v>18</v>
      </c>
      <c r="M376" s="16" t="s">
        <v>22</v>
      </c>
      <c r="N376" s="39" t="s">
        <v>418</v>
      </c>
    </row>
    <row r="377" spans="1:14" s="12" customFormat="1" ht="18">
      <c r="A377" s="178" t="s">
        <v>80</v>
      </c>
      <c r="B377" s="75" t="s">
        <v>177</v>
      </c>
      <c r="C377" s="39" t="s">
        <v>93</v>
      </c>
      <c r="D377" s="236"/>
      <c r="E377" s="236"/>
      <c r="F377" s="236"/>
      <c r="G377" s="236"/>
      <c r="H377" s="40">
        <f>SUM(Tabla132112413[[#This Row],[PRIMER TRIMESTRE]:[CUARTO TRIMESTRE]])</f>
        <v>0</v>
      </c>
      <c r="I377" s="17">
        <v>226.78</v>
      </c>
      <c r="J377" s="17">
        <f>+Tabla132112413[[#This Row],[CANTIDAD TOTAL]]*Tabla132112413[[#This Row],[PRECIO UNITARIO ESTIMADO]]</f>
        <v>0</v>
      </c>
      <c r="K377" s="17"/>
      <c r="L377" s="16" t="s">
        <v>18</v>
      </c>
      <c r="M377" s="16" t="s">
        <v>22</v>
      </c>
      <c r="N377" s="39" t="s">
        <v>418</v>
      </c>
    </row>
    <row r="378" spans="1:14" s="12" customFormat="1" ht="18">
      <c r="A378" s="178" t="s">
        <v>80</v>
      </c>
      <c r="B378" s="75" t="s">
        <v>460</v>
      </c>
      <c r="C378" s="39" t="s">
        <v>93</v>
      </c>
      <c r="D378" s="236"/>
      <c r="E378" s="236"/>
      <c r="F378" s="236"/>
      <c r="G378" s="236"/>
      <c r="H378" s="40">
        <f>SUM(Tabla132112413[[#This Row],[PRIMER TRIMESTRE]:[CUARTO TRIMESTRE]])</f>
        <v>0</v>
      </c>
      <c r="I378" s="17">
        <v>2055.4</v>
      </c>
      <c r="J378" s="17">
        <f>+H378*I378</f>
        <v>0</v>
      </c>
      <c r="K378" s="17"/>
      <c r="L378" s="16" t="s">
        <v>18</v>
      </c>
      <c r="M378" s="16" t="s">
        <v>22</v>
      </c>
      <c r="N378" s="39" t="s">
        <v>418</v>
      </c>
    </row>
    <row r="379" spans="1:14" s="12" customFormat="1" ht="18">
      <c r="A379" s="178" t="s">
        <v>80</v>
      </c>
      <c r="B379" s="75" t="s">
        <v>179</v>
      </c>
      <c r="C379" s="39" t="s">
        <v>93</v>
      </c>
      <c r="D379" s="236"/>
      <c r="E379" s="236"/>
      <c r="F379" s="236"/>
      <c r="G379" s="236"/>
      <c r="H379" s="40">
        <f>SUM(Tabla132112413[[#This Row],[PRIMER TRIMESTRE]:[CUARTO TRIMESTRE]])</f>
        <v>0</v>
      </c>
      <c r="I379" s="17">
        <v>222.14</v>
      </c>
      <c r="J379" s="17">
        <f>+Tabla132112413[[#This Row],[CANTIDAD TOTAL]]*Tabla132112413[[#This Row],[PRECIO UNITARIO ESTIMADO]]</f>
        <v>0</v>
      </c>
      <c r="K379" s="17"/>
      <c r="L379" s="16" t="s">
        <v>18</v>
      </c>
      <c r="M379" s="16" t="s">
        <v>22</v>
      </c>
      <c r="N379" s="39" t="s">
        <v>418</v>
      </c>
    </row>
    <row r="380" spans="1:14" s="12" customFormat="1" ht="18">
      <c r="A380" s="178" t="s">
        <v>80</v>
      </c>
      <c r="B380" s="75" t="s">
        <v>1549</v>
      </c>
      <c r="C380" s="39" t="s">
        <v>17</v>
      </c>
      <c r="D380" s="236"/>
      <c r="E380" s="236"/>
      <c r="F380" s="236"/>
      <c r="G380" s="236"/>
      <c r="H380" s="236">
        <f>SUM(Tabla132112413[[#This Row],[PRIMER TRIMESTRE]:[CUARTO TRIMESTRE]])</f>
        <v>0</v>
      </c>
      <c r="I380" s="17">
        <v>62328</v>
      </c>
      <c r="J380" s="17">
        <f>+H380*I380</f>
        <v>0</v>
      </c>
      <c r="K380" s="17"/>
      <c r="L380" s="16" t="s">
        <v>18</v>
      </c>
      <c r="M380" s="16" t="s">
        <v>22</v>
      </c>
      <c r="N380" s="39" t="s">
        <v>418</v>
      </c>
    </row>
    <row r="381" spans="1:14" s="12" customFormat="1" ht="18">
      <c r="A381" s="178" t="s">
        <v>80</v>
      </c>
      <c r="B381" s="75" t="s">
        <v>181</v>
      </c>
      <c r="C381" s="39" t="s">
        <v>69</v>
      </c>
      <c r="D381" s="210"/>
      <c r="E381" s="210"/>
      <c r="F381" s="210"/>
      <c r="G381" s="210"/>
      <c r="H381" s="40">
        <f>SUM(Tabla132112413[[#This Row],[PRIMER TRIMESTRE]:[CUARTO TRIMESTRE]])</f>
        <v>0</v>
      </c>
      <c r="I381" s="17">
        <v>6206</v>
      </c>
      <c r="J381" s="17">
        <f>+Tabla132112413[[#This Row],[CANTIDAD TOTAL]]*Tabla132112413[[#This Row],[PRECIO UNITARIO ESTIMADO]]</f>
        <v>0</v>
      </c>
      <c r="K381" s="17"/>
      <c r="L381" s="16" t="s">
        <v>18</v>
      </c>
      <c r="M381" s="16" t="s">
        <v>22</v>
      </c>
      <c r="N381" s="39" t="s">
        <v>418</v>
      </c>
    </row>
    <row r="382" spans="1:14" s="12" customFormat="1" ht="25.5">
      <c r="A382" s="178" t="s">
        <v>80</v>
      </c>
      <c r="B382" s="75" t="s">
        <v>468</v>
      </c>
      <c r="C382" s="39" t="s">
        <v>17</v>
      </c>
      <c r="D382" s="236"/>
      <c r="E382" s="236"/>
      <c r="F382" s="236"/>
      <c r="G382" s="236"/>
      <c r="H382" s="40">
        <f>SUM(Tabla132112413[[#This Row],[PRIMER TRIMESTRE]:[CUARTO TRIMESTRE]])</f>
        <v>0</v>
      </c>
      <c r="I382" s="17">
        <v>4827</v>
      </c>
      <c r="J382" s="17">
        <f>+Tabla132112413[[#This Row],[CANTIDAD TOTAL]]*Tabla132112413[[#This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</row>
    <row r="383" spans="1:14" s="12" customFormat="1" ht="18">
      <c r="A383" s="178" t="s">
        <v>80</v>
      </c>
      <c r="B383" s="75" t="s">
        <v>1564</v>
      </c>
      <c r="C383" s="39" t="s">
        <v>17</v>
      </c>
      <c r="D383" s="236"/>
      <c r="E383" s="236"/>
      <c r="F383" s="236"/>
      <c r="G383" s="236"/>
      <c r="H383" s="236">
        <f>SUM(Tabla132112413[[#This Row],[PRIMER TRIMESTRE]:[CUARTO TRIMESTRE]])</f>
        <v>0</v>
      </c>
      <c r="I383" s="17">
        <v>72.37</v>
      </c>
      <c r="J383" s="17">
        <f>+H383*I383</f>
        <v>0</v>
      </c>
      <c r="K383" s="17"/>
      <c r="L383" s="16" t="s">
        <v>18</v>
      </c>
      <c r="M383" s="16" t="s">
        <v>22</v>
      </c>
      <c r="N383" s="39" t="s">
        <v>418</v>
      </c>
    </row>
    <row r="384" spans="1:14" s="12" customFormat="1" ht="18">
      <c r="A384" s="178" t="s">
        <v>80</v>
      </c>
      <c r="B384" s="75" t="s">
        <v>1565</v>
      </c>
      <c r="C384" s="39" t="s">
        <v>17</v>
      </c>
      <c r="D384" s="236"/>
      <c r="E384" s="236"/>
      <c r="F384" s="236"/>
      <c r="G384" s="236"/>
      <c r="H384" s="236">
        <f>SUM(Tabla132112413[[#This Row],[PRIMER TRIMESTRE]:[CUARTO TRIMESTRE]])</f>
        <v>0</v>
      </c>
      <c r="I384" s="17">
        <v>48.05</v>
      </c>
      <c r="J384" s="17">
        <f>+H384*I384</f>
        <v>0</v>
      </c>
      <c r="K384" s="17"/>
      <c r="L384" s="16" t="s">
        <v>18</v>
      </c>
      <c r="M384" s="16" t="s">
        <v>22</v>
      </c>
      <c r="N384" s="39" t="s">
        <v>418</v>
      </c>
    </row>
    <row r="385" spans="1:14" s="12" customFormat="1" ht="18">
      <c r="A385" s="178" t="s">
        <v>80</v>
      </c>
      <c r="B385" s="75" t="s">
        <v>1548</v>
      </c>
      <c r="C385" s="39" t="s">
        <v>17</v>
      </c>
      <c r="D385" s="236"/>
      <c r="E385" s="236"/>
      <c r="F385" s="236"/>
      <c r="G385" s="236"/>
      <c r="H385" s="236">
        <f>SUM(Tabla132112413[[#This Row],[PRIMER TRIMESTRE]:[CUARTO TRIMESTRE]])</f>
        <v>0</v>
      </c>
      <c r="I385" s="17">
        <v>191.1</v>
      </c>
      <c r="J385" s="17">
        <f>+H385*I385</f>
        <v>0</v>
      </c>
      <c r="K385" s="17"/>
      <c r="L385" s="16" t="s">
        <v>18</v>
      </c>
      <c r="M385" s="16" t="s">
        <v>22</v>
      </c>
      <c r="N385" s="39" t="s">
        <v>418</v>
      </c>
    </row>
    <row r="386" spans="1:14" s="12" customFormat="1" ht="18">
      <c r="A386" s="178" t="s">
        <v>80</v>
      </c>
      <c r="B386" s="75" t="s">
        <v>1619</v>
      </c>
      <c r="C386" s="39" t="s">
        <v>17</v>
      </c>
      <c r="D386" s="236"/>
      <c r="E386" s="236"/>
      <c r="F386" s="236"/>
      <c r="G386" s="236"/>
      <c r="H386" s="236">
        <f>SUM(Tabla132112413[[#This Row],[PRIMER TRIMESTRE]:[CUARTO TRIMESTRE]])</f>
        <v>0</v>
      </c>
      <c r="I386" s="17">
        <v>2184.9499999999998</v>
      </c>
      <c r="J386" s="17">
        <f>+H386*I386</f>
        <v>0</v>
      </c>
      <c r="K386" s="17"/>
      <c r="L386" s="16" t="s">
        <v>18</v>
      </c>
      <c r="M386" s="16" t="s">
        <v>22</v>
      </c>
      <c r="N386" s="39" t="s">
        <v>418</v>
      </c>
    </row>
    <row r="387" spans="1:14" s="12" customFormat="1" ht="18">
      <c r="A387" s="178" t="s">
        <v>80</v>
      </c>
      <c r="B387" s="75" t="s">
        <v>1566</v>
      </c>
      <c r="C387" s="39" t="s">
        <v>17</v>
      </c>
      <c r="D387" s="236"/>
      <c r="E387" s="236"/>
      <c r="F387" s="236"/>
      <c r="G387" s="236"/>
      <c r="H387" s="236">
        <f>SUM(Tabla132112413[[#This Row],[PRIMER TRIMESTRE]:[CUARTO TRIMESTRE]])</f>
        <v>0</v>
      </c>
      <c r="I387" s="17">
        <v>2891.99</v>
      </c>
      <c r="J387" s="17">
        <f>+H387*I387</f>
        <v>0</v>
      </c>
      <c r="K387" s="17"/>
      <c r="L387" s="16" t="s">
        <v>18</v>
      </c>
      <c r="M387" s="16" t="s">
        <v>22</v>
      </c>
      <c r="N387" s="39" t="s">
        <v>418</v>
      </c>
    </row>
    <row r="388" spans="1:14" s="12" customFormat="1" ht="18">
      <c r="A388" s="178" t="s">
        <v>80</v>
      </c>
      <c r="B388" s="75" t="s">
        <v>184</v>
      </c>
      <c r="C388" s="39" t="s">
        <v>17</v>
      </c>
      <c r="D388" s="236"/>
      <c r="E388" s="236"/>
      <c r="F388" s="236"/>
      <c r="G388" s="236"/>
      <c r="H388" s="40">
        <f>SUM(Tabla132112413[[#This Row],[PRIMER TRIMESTRE]:[CUARTO TRIMESTRE]])</f>
        <v>0</v>
      </c>
      <c r="I388" s="17">
        <v>1347.46</v>
      </c>
      <c r="J388" s="17">
        <f>+Tabla132112413[[#This Row],[CANTIDAD TOTAL]]*Tabla132112413[[#This Row],[PRECIO UNITARIO ESTIMADO]]</f>
        <v>0</v>
      </c>
      <c r="K388" s="17"/>
      <c r="L388" s="16" t="s">
        <v>18</v>
      </c>
      <c r="M388" s="16" t="s">
        <v>22</v>
      </c>
      <c r="N388" s="39" t="s">
        <v>418</v>
      </c>
    </row>
    <row r="389" spans="1:14" s="12" customFormat="1" ht="18">
      <c r="A389" s="178" t="s">
        <v>80</v>
      </c>
      <c r="B389" s="75" t="s">
        <v>1426</v>
      </c>
      <c r="C389" s="39" t="s">
        <v>17</v>
      </c>
      <c r="D389" s="236"/>
      <c r="E389" s="236"/>
      <c r="F389" s="236"/>
      <c r="G389" s="236"/>
      <c r="H389" s="40">
        <f>SUM(Tabla132112413[[#This Row],[PRIMER TRIMESTRE]:[CUARTO TRIMESTRE]])</f>
        <v>0</v>
      </c>
      <c r="I389" s="17">
        <v>423.61</v>
      </c>
      <c r="J389" s="17">
        <f t="shared" ref="J389:J403" si="10">+H389*I389</f>
        <v>0</v>
      </c>
      <c r="K389" s="17"/>
      <c r="L389" s="16" t="s">
        <v>18</v>
      </c>
      <c r="M389" s="16" t="s">
        <v>22</v>
      </c>
      <c r="N389" s="39" t="s">
        <v>418</v>
      </c>
    </row>
    <row r="390" spans="1:14" s="12" customFormat="1" ht="18">
      <c r="A390" s="178" t="s">
        <v>80</v>
      </c>
      <c r="B390" s="75" t="s">
        <v>1432</v>
      </c>
      <c r="C390" s="39" t="s">
        <v>17</v>
      </c>
      <c r="D390" s="236"/>
      <c r="E390" s="236"/>
      <c r="F390" s="236"/>
      <c r="G390" s="236"/>
      <c r="H390" s="40">
        <f>SUM(Tabla132112413[[#This Row],[PRIMER TRIMESTRE]:[CUARTO TRIMESTRE]])</f>
        <v>0</v>
      </c>
      <c r="I390" s="17">
        <v>705.29</v>
      </c>
      <c r="J390" s="17">
        <f t="shared" si="10"/>
        <v>0</v>
      </c>
      <c r="K390" s="17"/>
      <c r="L390" s="16" t="s">
        <v>18</v>
      </c>
      <c r="M390" s="16" t="s">
        <v>22</v>
      </c>
      <c r="N390" s="39" t="s">
        <v>418</v>
      </c>
    </row>
    <row r="391" spans="1:14" s="12" customFormat="1" ht="18">
      <c r="A391" s="178" t="s">
        <v>80</v>
      </c>
      <c r="B391" s="75" t="s">
        <v>1726</v>
      </c>
      <c r="C391" s="39" t="s">
        <v>17</v>
      </c>
      <c r="D391" s="236"/>
      <c r="E391" s="236"/>
      <c r="F391" s="236"/>
      <c r="G391" s="236"/>
      <c r="H391" s="40">
        <v>0</v>
      </c>
      <c r="I391" s="17">
        <v>0</v>
      </c>
      <c r="J391" s="17">
        <v>0</v>
      </c>
      <c r="K391" s="17"/>
      <c r="L391" s="16" t="s">
        <v>18</v>
      </c>
      <c r="M391" s="16" t="s">
        <v>22</v>
      </c>
      <c r="N391" s="39" t="s">
        <v>418</v>
      </c>
    </row>
    <row r="392" spans="1:14" s="12" customFormat="1" ht="18">
      <c r="A392" s="178" t="s">
        <v>80</v>
      </c>
      <c r="B392" s="75" t="s">
        <v>1608</v>
      </c>
      <c r="C392" s="39" t="s">
        <v>17</v>
      </c>
      <c r="D392" s="236"/>
      <c r="E392" s="236"/>
      <c r="F392" s="236"/>
      <c r="G392" s="236"/>
      <c r="H392" s="236">
        <f>SUM(Tabla132112413[[#This Row],[PRIMER TRIMESTRE]:[CUARTO TRIMESTRE]])</f>
        <v>0</v>
      </c>
      <c r="I392" s="17">
        <v>4776.8500000000004</v>
      </c>
      <c r="J392" s="17">
        <f t="shared" si="10"/>
        <v>0</v>
      </c>
      <c r="K392" s="17"/>
      <c r="L392" s="16" t="s">
        <v>18</v>
      </c>
      <c r="M392" s="16" t="s">
        <v>22</v>
      </c>
      <c r="N392" s="39" t="s">
        <v>418</v>
      </c>
    </row>
    <row r="393" spans="1:14" s="12" customFormat="1" ht="18">
      <c r="A393" s="178" t="s">
        <v>80</v>
      </c>
      <c r="B393" s="75" t="s">
        <v>1607</v>
      </c>
      <c r="C393" s="39" t="s">
        <v>17</v>
      </c>
      <c r="D393" s="236"/>
      <c r="E393" s="236"/>
      <c r="F393" s="236"/>
      <c r="G393" s="236"/>
      <c r="H393" s="236">
        <f>SUM(Tabla132112413[[#This Row],[PRIMER TRIMESTRE]:[CUARTO TRIMESTRE]])</f>
        <v>0</v>
      </c>
      <c r="I393" s="17">
        <v>20971.52</v>
      </c>
      <c r="J393" s="17">
        <f t="shared" si="10"/>
        <v>0</v>
      </c>
      <c r="K393" s="17"/>
      <c r="L393" s="16" t="s">
        <v>18</v>
      </c>
      <c r="M393" s="16" t="s">
        <v>22</v>
      </c>
      <c r="N393" s="39" t="s">
        <v>418</v>
      </c>
    </row>
    <row r="394" spans="1:14" s="12" customFormat="1" ht="18">
      <c r="A394" s="178" t="s">
        <v>80</v>
      </c>
      <c r="B394" s="75" t="s">
        <v>369</v>
      </c>
      <c r="C394" s="39" t="s">
        <v>17</v>
      </c>
      <c r="D394" s="236"/>
      <c r="E394" s="236"/>
      <c r="F394" s="236"/>
      <c r="G394" s="236"/>
      <c r="H394" s="40">
        <f>SUM(Tabla132112413[[#This Row],[PRIMER TRIMESTRE]:[CUARTO TRIMESTRE]])</f>
        <v>0</v>
      </c>
      <c r="I394" s="17">
        <v>4.55</v>
      </c>
      <c r="J394" s="17">
        <f t="shared" si="10"/>
        <v>0</v>
      </c>
      <c r="K394" s="17"/>
      <c r="L394" s="16" t="s">
        <v>18</v>
      </c>
      <c r="M394" s="16" t="s">
        <v>22</v>
      </c>
      <c r="N394" s="39" t="s">
        <v>418</v>
      </c>
    </row>
    <row r="395" spans="1:14" s="12" customFormat="1" ht="18">
      <c r="A395" s="178" t="s">
        <v>80</v>
      </c>
      <c r="B395" s="75" t="s">
        <v>449</v>
      </c>
      <c r="C395" s="39" t="s">
        <v>17</v>
      </c>
      <c r="D395" s="236"/>
      <c r="E395" s="236"/>
      <c r="F395" s="236"/>
      <c r="G395" s="236"/>
      <c r="H395" s="40">
        <f>SUM(Tabla132112413[[#This Row],[PRIMER TRIMESTRE]:[CUARTO TRIMESTRE]])</f>
        <v>0</v>
      </c>
      <c r="I395" s="17">
        <v>4.55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</row>
    <row r="396" spans="1:14" s="12" customFormat="1" ht="18">
      <c r="A396" s="178" t="s">
        <v>80</v>
      </c>
      <c r="B396" s="75" t="s">
        <v>450</v>
      </c>
      <c r="C396" s="39" t="s">
        <v>17</v>
      </c>
      <c r="D396" s="236"/>
      <c r="E396" s="236"/>
      <c r="F396" s="236"/>
      <c r="G396" s="236"/>
      <c r="H396" s="40">
        <f>SUM(Tabla132112413[[#This Row],[PRIMER TRIMESTRE]:[CUARTO TRIMESTRE]])</f>
        <v>0</v>
      </c>
      <c r="I396" s="17">
        <v>4.55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</row>
    <row r="397" spans="1:14" s="12" customFormat="1" ht="18">
      <c r="A397" s="178" t="s">
        <v>80</v>
      </c>
      <c r="B397" s="75" t="s">
        <v>451</v>
      </c>
      <c r="C397" s="39" t="s">
        <v>17</v>
      </c>
      <c r="D397" s="236"/>
      <c r="E397" s="236"/>
      <c r="F397" s="236"/>
      <c r="G397" s="236"/>
      <c r="H397" s="40">
        <f>SUM(Tabla132112413[[#This Row],[PRIMER TRIMESTRE]:[CUARTO TRIMESTRE]])</f>
        <v>0</v>
      </c>
      <c r="I397" s="17">
        <v>4.55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</row>
    <row r="398" spans="1:14" s="12" customFormat="1" ht="18">
      <c r="A398" s="178" t="s">
        <v>80</v>
      </c>
      <c r="B398" s="75" t="s">
        <v>453</v>
      </c>
      <c r="C398" s="39" t="s">
        <v>17</v>
      </c>
      <c r="D398" s="236"/>
      <c r="E398" s="236"/>
      <c r="F398" s="236"/>
      <c r="G398" s="236"/>
      <c r="H398" s="40">
        <f>SUM(Tabla132112413[[#This Row],[PRIMER TRIMESTRE]:[CUARTO TRIMESTRE]])</f>
        <v>0</v>
      </c>
      <c r="I398" s="17">
        <v>4.55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</row>
    <row r="399" spans="1:14" s="12" customFormat="1" ht="18">
      <c r="A399" s="178" t="s">
        <v>80</v>
      </c>
      <c r="B399" s="75" t="s">
        <v>452</v>
      </c>
      <c r="C399" s="39" t="s">
        <v>17</v>
      </c>
      <c r="D399" s="236"/>
      <c r="E399" s="236"/>
      <c r="F399" s="236"/>
      <c r="G399" s="236"/>
      <c r="H399" s="40">
        <f>SUM(Tabla132112413[[#This Row],[PRIMER TRIMESTRE]:[CUARTO TRIMESTRE]])</f>
        <v>0</v>
      </c>
      <c r="I399" s="17">
        <v>4.55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</row>
    <row r="400" spans="1:14" s="12" customFormat="1" ht="18">
      <c r="A400" s="178" t="s">
        <v>80</v>
      </c>
      <c r="B400" s="75" t="s">
        <v>603</v>
      </c>
      <c r="C400" s="39" t="s">
        <v>17</v>
      </c>
      <c r="D400" s="236"/>
      <c r="E400" s="236"/>
      <c r="F400" s="236"/>
      <c r="G400" s="236"/>
      <c r="H400" s="40">
        <f>SUM(Tabla132112413[[#This Row],[PRIMER TRIMESTRE]:[CUARTO TRIMESTRE]])</f>
        <v>0</v>
      </c>
      <c r="I400" s="17">
        <v>737.74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</row>
    <row r="401" spans="1:14" s="12" customFormat="1" ht="18">
      <c r="A401" s="178" t="s">
        <v>80</v>
      </c>
      <c r="B401" s="75" t="s">
        <v>604</v>
      </c>
      <c r="C401" s="39" t="s">
        <v>17</v>
      </c>
      <c r="D401" s="236"/>
      <c r="E401" s="236"/>
      <c r="F401" s="236"/>
      <c r="G401" s="236"/>
      <c r="H401" s="40">
        <f>SUM(Tabla132112413[[#This Row],[PRIMER TRIMESTRE]:[CUARTO TRIMESTRE]])</f>
        <v>0</v>
      </c>
      <c r="I401" s="17">
        <v>2121.4499999999998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</row>
    <row r="402" spans="1:14" s="12" customFormat="1" ht="18">
      <c r="A402" s="178" t="s">
        <v>80</v>
      </c>
      <c r="B402" s="75" t="s">
        <v>605</v>
      </c>
      <c r="C402" s="39" t="s">
        <v>17</v>
      </c>
      <c r="D402" s="236"/>
      <c r="E402" s="236"/>
      <c r="F402" s="236"/>
      <c r="G402" s="236"/>
      <c r="H402" s="40">
        <f>SUM(Tabla132112413[[#This Row],[PRIMER TRIMESTRE]:[CUARTO TRIMESTRE]])</f>
        <v>0</v>
      </c>
      <c r="I402" s="17">
        <v>2121.4499999999998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</row>
    <row r="403" spans="1:14" s="12" customFormat="1" ht="18">
      <c r="A403" s="178" t="s">
        <v>80</v>
      </c>
      <c r="B403" s="75" t="s">
        <v>606</v>
      </c>
      <c r="C403" s="39" t="s">
        <v>17</v>
      </c>
      <c r="D403" s="236"/>
      <c r="E403" s="236"/>
      <c r="F403" s="236"/>
      <c r="G403" s="236"/>
      <c r="H403" s="40">
        <f>SUM(Tabla132112413[[#This Row],[PRIMER TRIMESTRE]:[CUARTO TRIMESTRE]])</f>
        <v>0</v>
      </c>
      <c r="I403" s="17">
        <v>3601.69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</row>
    <row r="404" spans="1:14" s="12" customFormat="1" ht="18">
      <c r="A404" s="178" t="s">
        <v>80</v>
      </c>
      <c r="B404" s="75" t="s">
        <v>188</v>
      </c>
      <c r="C404" s="39" t="s">
        <v>189</v>
      </c>
      <c r="D404" s="236"/>
      <c r="E404" s="236"/>
      <c r="F404" s="236"/>
      <c r="G404" s="236"/>
      <c r="H404" s="40">
        <f>SUM(Tabla132112413[[#This Row],[PRIMER TRIMESTRE]:[CUARTO TRIMESTRE]])</f>
        <v>0</v>
      </c>
      <c r="I404" s="17">
        <v>104.4</v>
      </c>
      <c r="J404" s="17">
        <f>+Tabla132112413[[#This Row],[CANTIDAD TOTAL]]*Tabla132112413[[#This Row],[PRECIO UNITARIO ESTIMADO]]</f>
        <v>0</v>
      </c>
      <c r="K404" s="17"/>
      <c r="L404" s="16" t="s">
        <v>18</v>
      </c>
      <c r="M404" s="16" t="s">
        <v>22</v>
      </c>
      <c r="N404" s="39" t="s">
        <v>418</v>
      </c>
    </row>
    <row r="405" spans="1:14" s="12" customFormat="1" ht="18">
      <c r="A405" s="178" t="s">
        <v>80</v>
      </c>
      <c r="B405" s="75" t="s">
        <v>1760</v>
      </c>
      <c r="C405" s="39" t="s">
        <v>17</v>
      </c>
      <c r="D405" s="236"/>
      <c r="E405" s="236"/>
      <c r="F405" s="236"/>
      <c r="G405" s="236"/>
      <c r="H405" s="40">
        <v>0</v>
      </c>
      <c r="I405" s="17">
        <v>0</v>
      </c>
      <c r="J405" s="17">
        <v>0</v>
      </c>
      <c r="K405" s="17"/>
      <c r="L405" s="16" t="s">
        <v>18</v>
      </c>
      <c r="M405" s="16" t="s">
        <v>22</v>
      </c>
      <c r="N405" s="39" t="s">
        <v>418</v>
      </c>
    </row>
    <row r="406" spans="1:14" s="12" customFormat="1" ht="18">
      <c r="A406" s="178" t="s">
        <v>80</v>
      </c>
      <c r="B406" s="75" t="s">
        <v>1761</v>
      </c>
      <c r="C406" s="39" t="s">
        <v>17</v>
      </c>
      <c r="D406" s="236"/>
      <c r="E406" s="236"/>
      <c r="F406" s="236"/>
      <c r="G406" s="236"/>
      <c r="H406" s="40">
        <v>0</v>
      </c>
      <c r="I406" s="17">
        <v>0</v>
      </c>
      <c r="J406" s="17">
        <v>0</v>
      </c>
      <c r="K406" s="17"/>
      <c r="L406" s="16" t="s">
        <v>18</v>
      </c>
      <c r="M406" s="16" t="s">
        <v>22</v>
      </c>
      <c r="N406" s="39" t="s">
        <v>418</v>
      </c>
    </row>
    <row r="407" spans="1:14" s="12" customFormat="1" ht="18">
      <c r="A407" s="178" t="s">
        <v>80</v>
      </c>
      <c r="B407" s="75" t="s">
        <v>191</v>
      </c>
      <c r="C407" s="39" t="s">
        <v>17</v>
      </c>
      <c r="D407" s="236"/>
      <c r="E407" s="236"/>
      <c r="F407" s="236"/>
      <c r="G407" s="236"/>
      <c r="H407" s="40">
        <f>SUM(Tabla132112413[[#This Row],[PRIMER TRIMESTRE]:[CUARTO TRIMESTRE]])</f>
        <v>0</v>
      </c>
      <c r="I407" s="17">
        <v>754</v>
      </c>
      <c r="J407" s="17">
        <f>+Tabla132112413[[#This Row],[CANTIDAD TOTAL]]*Tabla132112413[[#This Row],[PRECIO UNITARIO ESTIMADO]]</f>
        <v>0</v>
      </c>
      <c r="K407" s="17"/>
      <c r="L407" s="16" t="s">
        <v>18</v>
      </c>
      <c r="M407" s="16" t="s">
        <v>22</v>
      </c>
      <c r="N407" s="39" t="s">
        <v>418</v>
      </c>
    </row>
    <row r="408" spans="1:14" s="12" customFormat="1" ht="18">
      <c r="A408" s="178" t="s">
        <v>80</v>
      </c>
      <c r="B408" s="75" t="s">
        <v>193</v>
      </c>
      <c r="C408" s="39" t="s">
        <v>17</v>
      </c>
      <c r="D408" s="236"/>
      <c r="E408" s="236"/>
      <c r="F408" s="236"/>
      <c r="G408" s="236"/>
      <c r="H408" s="40">
        <f>SUM(Tabla132112413[[#This Row],[PRIMER TRIMESTRE]:[CUARTO TRIMESTRE]])</f>
        <v>0</v>
      </c>
      <c r="I408" s="17">
        <v>222.06</v>
      </c>
      <c r="J408" s="17">
        <f>+Tabla132112413[[#This Row],[CANTIDAD TOTAL]]*Tabla132112413[[#This Row],[PRECIO UNITARIO ESTIMADO]]</f>
        <v>0</v>
      </c>
      <c r="K408" s="17"/>
      <c r="L408" s="16" t="s">
        <v>18</v>
      </c>
      <c r="M408" s="16" t="s">
        <v>22</v>
      </c>
      <c r="N408" s="39" t="s">
        <v>418</v>
      </c>
    </row>
    <row r="409" spans="1:14" s="12" customFormat="1" ht="18">
      <c r="A409" s="178" t="s">
        <v>80</v>
      </c>
      <c r="B409" s="75" t="s">
        <v>1429</v>
      </c>
      <c r="C409" s="39" t="s">
        <v>17</v>
      </c>
      <c r="D409" s="236"/>
      <c r="E409" s="236"/>
      <c r="F409" s="236"/>
      <c r="G409" s="236"/>
      <c r="H409" s="40">
        <f>SUM(Tabla132112413[[#This Row],[PRIMER TRIMESTRE]:[CUARTO TRIMESTRE]])</f>
        <v>0</v>
      </c>
      <c r="I409" s="17">
        <v>1.23</v>
      </c>
      <c r="J409" s="17">
        <f>+H409*I409</f>
        <v>0</v>
      </c>
      <c r="K409" s="17"/>
      <c r="L409" s="16" t="s">
        <v>18</v>
      </c>
      <c r="M409" s="16" t="s">
        <v>22</v>
      </c>
      <c r="N409" s="39" t="s">
        <v>418</v>
      </c>
    </row>
    <row r="410" spans="1:14" s="12" customFormat="1" ht="18">
      <c r="A410" s="178" t="s">
        <v>80</v>
      </c>
      <c r="B410" s="75" t="s">
        <v>654</v>
      </c>
      <c r="C410" s="39" t="s">
        <v>17</v>
      </c>
      <c r="D410" s="236"/>
      <c r="E410" s="236"/>
      <c r="F410" s="236"/>
      <c r="G410" s="236"/>
      <c r="H410" s="40">
        <f>SUM(Tabla132112413[[#This Row],[PRIMER TRIMESTRE]:[CUARTO TRIMESTRE]])</f>
        <v>0</v>
      </c>
      <c r="I410" s="17">
        <v>2.86</v>
      </c>
      <c r="J410" s="17">
        <f>+Tabla132112413[[#This Row],[CANTIDAD TOTAL]]*Tabla132112413[[#This Row],[PRECIO UNITARIO ESTIMADO]]</f>
        <v>0</v>
      </c>
      <c r="K410" s="17"/>
      <c r="L410" s="16" t="s">
        <v>18</v>
      </c>
      <c r="M410" s="16" t="s">
        <v>22</v>
      </c>
      <c r="N410" s="39" t="s">
        <v>418</v>
      </c>
    </row>
    <row r="411" spans="1:14" s="12" customFormat="1" ht="18">
      <c r="A411" s="178" t="s">
        <v>80</v>
      </c>
      <c r="B411" s="75" t="s">
        <v>655</v>
      </c>
      <c r="C411" s="39" t="s">
        <v>17</v>
      </c>
      <c r="D411" s="236"/>
      <c r="E411" s="236"/>
      <c r="F411" s="236"/>
      <c r="G411" s="236"/>
      <c r="H411" s="40">
        <f>SUM(Tabla132112413[[#This Row],[PRIMER TRIMESTRE]:[CUARTO TRIMESTRE]])</f>
        <v>0</v>
      </c>
      <c r="I411" s="17">
        <v>4.09</v>
      </c>
      <c r="J411" s="17">
        <f>+Tabla132112413[[#This Row],[CANTIDAD TOTAL]]*Tabla132112413[[#This Row],[PRECIO UNITARIO ESTIMADO]]</f>
        <v>0</v>
      </c>
      <c r="K411" s="17"/>
      <c r="L411" s="16" t="s">
        <v>18</v>
      </c>
      <c r="M411" s="16" t="s">
        <v>22</v>
      </c>
      <c r="N411" s="39" t="s">
        <v>418</v>
      </c>
    </row>
    <row r="412" spans="1:14" s="12" customFormat="1" ht="18">
      <c r="A412" s="178" t="s">
        <v>80</v>
      </c>
      <c r="B412" s="75" t="s">
        <v>659</v>
      </c>
      <c r="C412" s="39" t="s">
        <v>17</v>
      </c>
      <c r="D412" s="236"/>
      <c r="E412" s="236"/>
      <c r="F412" s="236"/>
      <c r="G412" s="236"/>
      <c r="H412" s="40">
        <f>SUM(Tabla132112413[[#This Row],[PRIMER TRIMESTRE]:[CUARTO TRIMESTRE]])</f>
        <v>0</v>
      </c>
      <c r="I412" s="72">
        <v>11.82</v>
      </c>
      <c r="J412" s="17">
        <f>+H412*I412</f>
        <v>0</v>
      </c>
      <c r="K412" s="17"/>
      <c r="L412" s="16" t="s">
        <v>18</v>
      </c>
      <c r="M412" s="16" t="s">
        <v>22</v>
      </c>
      <c r="N412" s="39" t="s">
        <v>418</v>
      </c>
    </row>
    <row r="413" spans="1:14" s="12" customFormat="1" ht="18">
      <c r="A413" s="178" t="s">
        <v>80</v>
      </c>
      <c r="B413" s="75" t="s">
        <v>660</v>
      </c>
      <c r="C413" s="39" t="s">
        <v>17</v>
      </c>
      <c r="D413" s="236"/>
      <c r="E413" s="236"/>
      <c r="F413" s="236"/>
      <c r="G413" s="236"/>
      <c r="H413" s="40">
        <f>SUM(Tabla132112413[[#This Row],[PRIMER TRIMESTRE]:[CUARTO TRIMESTRE]])</f>
        <v>0</v>
      </c>
      <c r="I413" s="72">
        <v>13.65</v>
      </c>
      <c r="J413" s="17">
        <f>+H413*I413</f>
        <v>0</v>
      </c>
      <c r="K413" s="17"/>
      <c r="L413" s="16" t="s">
        <v>18</v>
      </c>
      <c r="M413" s="16" t="s">
        <v>22</v>
      </c>
      <c r="N413" s="39" t="s">
        <v>418</v>
      </c>
    </row>
    <row r="414" spans="1:14" s="12" customFormat="1" ht="18">
      <c r="A414" s="178" t="s">
        <v>80</v>
      </c>
      <c r="B414" s="75" t="s">
        <v>656</v>
      </c>
      <c r="C414" s="39" t="s">
        <v>17</v>
      </c>
      <c r="D414" s="236"/>
      <c r="E414" s="236"/>
      <c r="F414" s="236"/>
      <c r="G414" s="236"/>
      <c r="H414" s="40">
        <f>SUM(Tabla132112413[[#This Row],[PRIMER TRIMESTRE]:[CUARTO TRIMESTRE]])</f>
        <v>0</v>
      </c>
      <c r="I414" s="17">
        <v>22.39</v>
      </c>
      <c r="J414" s="17">
        <f>+Tabla132112413[[#This Row],[CANTIDAD TOTAL]]*Tabla132112413[[#This Row],[PRECIO UNITARIO ESTIMADO]]</f>
        <v>0</v>
      </c>
      <c r="K414" s="17"/>
      <c r="L414" s="16" t="s">
        <v>18</v>
      </c>
      <c r="M414" s="16" t="s">
        <v>22</v>
      </c>
      <c r="N414" s="39" t="s">
        <v>418</v>
      </c>
    </row>
    <row r="415" spans="1:14" s="12" customFormat="1" ht="18">
      <c r="A415" s="178" t="s">
        <v>80</v>
      </c>
      <c r="B415" s="75" t="s">
        <v>657</v>
      </c>
      <c r="C415" s="39" t="s">
        <v>17</v>
      </c>
      <c r="D415" s="236"/>
      <c r="E415" s="236"/>
      <c r="F415" s="236"/>
      <c r="G415" s="236"/>
      <c r="H415" s="40">
        <f>SUM(Tabla132112413[[#This Row],[PRIMER TRIMESTRE]:[CUARTO TRIMESTRE]])</f>
        <v>0</v>
      </c>
      <c r="I415" s="17">
        <v>59.97</v>
      </c>
      <c r="J415" s="17">
        <f>+Tabla132112413[[#This Row],[CANTIDAD TOTAL]]*Tabla132112413[[#This Row],[PRECIO UNITARIO ESTIMADO]]</f>
        <v>0</v>
      </c>
      <c r="K415" s="17"/>
      <c r="L415" s="16" t="s">
        <v>18</v>
      </c>
      <c r="M415" s="16" t="s">
        <v>22</v>
      </c>
      <c r="N415" s="39" t="s">
        <v>418</v>
      </c>
    </row>
    <row r="416" spans="1:14" s="12" customFormat="1" ht="18">
      <c r="A416" s="178" t="s">
        <v>80</v>
      </c>
      <c r="B416" s="75" t="s">
        <v>658</v>
      </c>
      <c r="C416" s="39" t="s">
        <v>17</v>
      </c>
      <c r="D416" s="236"/>
      <c r="E416" s="236"/>
      <c r="F416" s="236"/>
      <c r="G416" s="236"/>
      <c r="H416" s="40">
        <f>SUM(Tabla132112413[[#This Row],[PRIMER TRIMESTRE]:[CUARTO TRIMESTRE]])</f>
        <v>0</v>
      </c>
      <c r="I416" s="17">
        <v>101.5</v>
      </c>
      <c r="J416" s="17">
        <f>+Tabla132112413[[#This Row],[CANTIDAD TOTAL]]*Tabla132112413[[#This Row],[PRECIO UNITARIO ESTIMADO]]</f>
        <v>0</v>
      </c>
      <c r="K416" s="17"/>
      <c r="L416" s="16" t="s">
        <v>18</v>
      </c>
      <c r="M416" s="16" t="s">
        <v>22</v>
      </c>
      <c r="N416" s="39" t="s">
        <v>418</v>
      </c>
    </row>
    <row r="417" spans="1:14" s="12" customFormat="1" ht="18">
      <c r="A417" s="178" t="s">
        <v>80</v>
      </c>
      <c r="B417" s="75" t="s">
        <v>202</v>
      </c>
      <c r="C417" s="39" t="s">
        <v>17</v>
      </c>
      <c r="D417" s="236"/>
      <c r="E417" s="236"/>
      <c r="F417" s="236"/>
      <c r="G417" s="236"/>
      <c r="H417" s="40">
        <f>SUM(Tabla132112413[[#This Row],[PRIMER TRIMESTRE]:[CUARTO TRIMESTRE]])</f>
        <v>0</v>
      </c>
      <c r="I417" s="17">
        <v>3364</v>
      </c>
      <c r="J417" s="17">
        <f>+Tabla132112413[[#This Row],[CANTIDAD TOTAL]]*Tabla132112413[[#This Row],[PRECIO UNITARIO ESTIMADO]]</f>
        <v>0</v>
      </c>
      <c r="K417" s="17"/>
      <c r="L417" s="16" t="s">
        <v>18</v>
      </c>
      <c r="M417" s="16" t="s">
        <v>22</v>
      </c>
      <c r="N417" s="39" t="s">
        <v>418</v>
      </c>
    </row>
    <row r="418" spans="1:14" s="12" customFormat="1" ht="18">
      <c r="A418" s="178" t="s">
        <v>80</v>
      </c>
      <c r="B418" s="75" t="s">
        <v>776</v>
      </c>
      <c r="C418" s="39" t="s">
        <v>17</v>
      </c>
      <c r="D418" s="236"/>
      <c r="E418" s="236"/>
      <c r="F418" s="236"/>
      <c r="G418" s="236"/>
      <c r="H418" s="40">
        <f>SUM(Tabla132112413[[#This Row],[PRIMER TRIMESTRE]:[CUARTO TRIMESTRE]])</f>
        <v>0</v>
      </c>
      <c r="I418" s="17">
        <v>32.479999999999997</v>
      </c>
      <c r="J418" s="17">
        <f>+Tabla132112413[[#This Row],[CANTIDAD TOTAL]]*Tabla132112413[[#This Row],[PRECIO UNITARIO ESTIMADO]]</f>
        <v>0</v>
      </c>
      <c r="K418" s="17"/>
      <c r="L418" s="16" t="s">
        <v>18</v>
      </c>
      <c r="M418" s="16" t="s">
        <v>22</v>
      </c>
      <c r="N418" s="39" t="s">
        <v>418</v>
      </c>
    </row>
    <row r="419" spans="1:14" s="12" customFormat="1" ht="18">
      <c r="A419" s="178" t="s">
        <v>80</v>
      </c>
      <c r="B419" s="75" t="s">
        <v>205</v>
      </c>
      <c r="C419" s="39" t="s">
        <v>17</v>
      </c>
      <c r="D419" s="236"/>
      <c r="E419" s="236"/>
      <c r="F419" s="236"/>
      <c r="G419" s="236"/>
      <c r="H419" s="40">
        <f>SUM(Tabla132112413[[#This Row],[PRIMER TRIMESTRE]:[CUARTO TRIMESTRE]])</f>
        <v>0</v>
      </c>
      <c r="I419" s="17">
        <v>2.3199999999999998</v>
      </c>
      <c r="J419" s="17">
        <f>+Tabla132112413[[#This Row],[CANTIDAD TOTAL]]*Tabla132112413[[#This Row],[PRECIO UNITARIO ESTIMADO]]</f>
        <v>0</v>
      </c>
      <c r="K419" s="17"/>
      <c r="L419" s="16" t="s">
        <v>18</v>
      </c>
      <c r="M419" s="16" t="s">
        <v>22</v>
      </c>
      <c r="N419" s="39" t="s">
        <v>418</v>
      </c>
    </row>
    <row r="420" spans="1:14" s="12" customFormat="1" ht="18">
      <c r="A420" s="178" t="s">
        <v>80</v>
      </c>
      <c r="B420" s="75" t="s">
        <v>206</v>
      </c>
      <c r="C420" s="39" t="s">
        <v>17</v>
      </c>
      <c r="D420" s="236"/>
      <c r="E420" s="236"/>
      <c r="F420" s="236"/>
      <c r="G420" s="236"/>
      <c r="H420" s="40">
        <f>SUM(Tabla132112413[[#This Row],[PRIMER TRIMESTRE]:[CUARTO TRIMESTRE]])</f>
        <v>0</v>
      </c>
      <c r="I420" s="17">
        <v>3.48</v>
      </c>
      <c r="J420" s="17">
        <f>+Tabla132112413[[#This Row],[CANTIDAD TOTAL]]*Tabla132112413[[#This Row],[PRECIO UNITARIO ESTIMADO]]</f>
        <v>0</v>
      </c>
      <c r="K420" s="17"/>
      <c r="L420" s="16" t="s">
        <v>18</v>
      </c>
      <c r="M420" s="16" t="s">
        <v>22</v>
      </c>
      <c r="N420" s="39" t="s">
        <v>418</v>
      </c>
    </row>
    <row r="421" spans="1:14" s="12" customFormat="1" ht="18">
      <c r="A421" s="178" t="s">
        <v>80</v>
      </c>
      <c r="B421" s="75" t="s">
        <v>1335</v>
      </c>
      <c r="C421" s="39" t="s">
        <v>17</v>
      </c>
      <c r="D421" s="236"/>
      <c r="E421" s="236"/>
      <c r="F421" s="236"/>
      <c r="G421" s="236"/>
      <c r="H421" s="40">
        <f>SUM(Tabla132112413[[#This Row],[PRIMER TRIMESTRE]:[CUARTO TRIMESTRE]])</f>
        <v>0</v>
      </c>
      <c r="I421" s="17">
        <v>9.44</v>
      </c>
      <c r="J421" s="17">
        <f t="shared" ref="J421:J484" si="11">+H421*I421</f>
        <v>0</v>
      </c>
      <c r="K421" s="17"/>
      <c r="L421" s="16" t="s">
        <v>18</v>
      </c>
      <c r="M421" s="16" t="s">
        <v>22</v>
      </c>
      <c r="N421" s="39" t="s">
        <v>418</v>
      </c>
    </row>
    <row r="422" spans="1:14" s="12" customFormat="1" ht="18">
      <c r="A422" s="178" t="s">
        <v>80</v>
      </c>
      <c r="B422" s="75" t="s">
        <v>1336</v>
      </c>
      <c r="C422" s="39" t="s">
        <v>17</v>
      </c>
      <c r="D422" s="236"/>
      <c r="E422" s="236"/>
      <c r="F422" s="236"/>
      <c r="G422" s="236"/>
      <c r="H422" s="40">
        <f>SUM(Tabla132112413[[#This Row],[PRIMER TRIMESTRE]:[CUARTO TRIMESTRE]])</f>
        <v>0</v>
      </c>
      <c r="I422" s="17">
        <v>5.9</v>
      </c>
      <c r="J422" s="17">
        <f t="shared" si="11"/>
        <v>0</v>
      </c>
      <c r="K422" s="17"/>
      <c r="L422" s="16" t="s">
        <v>18</v>
      </c>
      <c r="M422" s="16" t="s">
        <v>22</v>
      </c>
      <c r="N422" s="39" t="s">
        <v>418</v>
      </c>
    </row>
    <row r="423" spans="1:14" s="12" customFormat="1" ht="18">
      <c r="A423" s="178" t="s">
        <v>80</v>
      </c>
      <c r="B423" s="75" t="s">
        <v>1337</v>
      </c>
      <c r="C423" s="39" t="s">
        <v>17</v>
      </c>
      <c r="D423" s="236"/>
      <c r="E423" s="236"/>
      <c r="F423" s="236"/>
      <c r="G423" s="236"/>
      <c r="H423" s="40">
        <f>SUM(Tabla132112413[[#This Row],[PRIMER TRIMESTRE]:[CUARTO TRIMESTRE]])</f>
        <v>0</v>
      </c>
      <c r="I423" s="17">
        <v>3.54</v>
      </c>
      <c r="J423" s="17">
        <f t="shared" si="11"/>
        <v>0</v>
      </c>
      <c r="K423" s="17"/>
      <c r="L423" s="16" t="s">
        <v>18</v>
      </c>
      <c r="M423" s="16" t="s">
        <v>22</v>
      </c>
      <c r="N423" s="39" t="s">
        <v>418</v>
      </c>
    </row>
    <row r="424" spans="1:14" s="12" customFormat="1" ht="18">
      <c r="A424" s="178" t="s">
        <v>80</v>
      </c>
      <c r="B424" s="75" t="s">
        <v>638</v>
      </c>
      <c r="C424" s="39" t="s">
        <v>17</v>
      </c>
      <c r="D424" s="236"/>
      <c r="E424" s="236"/>
      <c r="F424" s="240"/>
      <c r="G424" s="236"/>
      <c r="H424" s="40">
        <f>SUM(Tabla132112413[[#This Row],[PRIMER TRIMESTRE]:[CUARTO TRIMESTRE]])</f>
        <v>0</v>
      </c>
      <c r="I424" s="72">
        <v>7.28</v>
      </c>
      <c r="J424" s="17">
        <f t="shared" si="11"/>
        <v>0</v>
      </c>
      <c r="K424" s="17"/>
      <c r="L424" s="16" t="s">
        <v>18</v>
      </c>
      <c r="M424" s="16" t="s">
        <v>22</v>
      </c>
      <c r="N424" s="39" t="s">
        <v>418</v>
      </c>
    </row>
    <row r="425" spans="1:14" s="12" customFormat="1" ht="18">
      <c r="A425" s="178" t="s">
        <v>80</v>
      </c>
      <c r="B425" s="75" t="s">
        <v>639</v>
      </c>
      <c r="C425" s="39" t="s">
        <v>17</v>
      </c>
      <c r="D425" s="236"/>
      <c r="E425" s="236"/>
      <c r="F425" s="240"/>
      <c r="G425" s="236"/>
      <c r="H425" s="40">
        <f>SUM(Tabla132112413[[#This Row],[PRIMER TRIMESTRE]:[CUARTO TRIMESTRE]])</f>
        <v>0</v>
      </c>
      <c r="I425" s="72">
        <v>11.82</v>
      </c>
      <c r="J425" s="17">
        <f t="shared" si="11"/>
        <v>0</v>
      </c>
      <c r="K425" s="17"/>
      <c r="L425" s="16" t="s">
        <v>18</v>
      </c>
      <c r="M425" s="16" t="s">
        <v>22</v>
      </c>
      <c r="N425" s="39"/>
    </row>
    <row r="426" spans="1:14" s="12" customFormat="1" ht="18">
      <c r="A426" s="178" t="s">
        <v>80</v>
      </c>
      <c r="B426" s="75" t="s">
        <v>642</v>
      </c>
      <c r="C426" s="39" t="s">
        <v>17</v>
      </c>
      <c r="D426" s="236"/>
      <c r="E426" s="236"/>
      <c r="F426" s="240"/>
      <c r="G426" s="236"/>
      <c r="H426" s="40">
        <f>SUM(Tabla132112413[[#This Row],[PRIMER TRIMESTRE]:[CUARTO TRIMESTRE]])</f>
        <v>0</v>
      </c>
      <c r="I426" s="72">
        <v>22.74</v>
      </c>
      <c r="J426" s="17">
        <f t="shared" si="11"/>
        <v>0</v>
      </c>
      <c r="K426" s="17"/>
      <c r="L426" s="16" t="s">
        <v>18</v>
      </c>
      <c r="M426" s="16" t="s">
        <v>22</v>
      </c>
      <c r="N426" s="39"/>
    </row>
    <row r="427" spans="1:14" s="12" customFormat="1" ht="18">
      <c r="A427" s="178" t="s">
        <v>80</v>
      </c>
      <c r="B427" s="75" t="s">
        <v>643</v>
      </c>
      <c r="C427" s="39" t="s">
        <v>17</v>
      </c>
      <c r="D427" s="236"/>
      <c r="E427" s="236"/>
      <c r="F427" s="240"/>
      <c r="G427" s="236"/>
      <c r="H427" s="40">
        <f>SUM(Tabla132112413[[#This Row],[PRIMER TRIMESTRE]:[CUARTO TRIMESTRE]])</f>
        <v>0</v>
      </c>
      <c r="I427" s="72">
        <v>53.66</v>
      </c>
      <c r="J427" s="17">
        <f t="shared" si="11"/>
        <v>0</v>
      </c>
      <c r="K427" s="17"/>
      <c r="L427" s="16" t="s">
        <v>18</v>
      </c>
      <c r="M427" s="16" t="s">
        <v>22</v>
      </c>
      <c r="N427" s="39"/>
    </row>
    <row r="428" spans="1:14" s="12" customFormat="1" ht="18">
      <c r="A428" s="178" t="s">
        <v>80</v>
      </c>
      <c r="B428" s="75" t="s">
        <v>640</v>
      </c>
      <c r="C428" s="39" t="s">
        <v>17</v>
      </c>
      <c r="D428" s="236"/>
      <c r="E428" s="236"/>
      <c r="F428" s="240"/>
      <c r="G428" s="236"/>
      <c r="H428" s="40">
        <f>SUM(Tabla132112413[[#This Row],[PRIMER TRIMESTRE]:[CUARTO TRIMESTRE]])</f>
        <v>0</v>
      </c>
      <c r="I428" s="72">
        <v>90</v>
      </c>
      <c r="J428" s="17">
        <f t="shared" si="11"/>
        <v>0</v>
      </c>
      <c r="K428" s="17"/>
      <c r="L428" s="16" t="s">
        <v>18</v>
      </c>
      <c r="M428" s="16" t="s">
        <v>22</v>
      </c>
      <c r="N428" s="39"/>
    </row>
    <row r="429" spans="1:14" s="12" customFormat="1" ht="18">
      <c r="A429" s="178" t="s">
        <v>80</v>
      </c>
      <c r="B429" s="75" t="s">
        <v>641</v>
      </c>
      <c r="C429" s="39" t="s">
        <v>17</v>
      </c>
      <c r="D429" s="236"/>
      <c r="E429" s="236"/>
      <c r="F429" s="236"/>
      <c r="G429" s="236"/>
      <c r="H429" s="40">
        <f>SUM(Tabla132112413[[#This Row],[PRIMER TRIMESTRE]:[CUARTO TRIMESTRE]])</f>
        <v>0</v>
      </c>
      <c r="I429" s="72">
        <v>1799.03</v>
      </c>
      <c r="J429" s="17">
        <f t="shared" si="11"/>
        <v>0</v>
      </c>
      <c r="K429" s="17"/>
      <c r="L429" s="16" t="s">
        <v>18</v>
      </c>
      <c r="M429" s="16" t="s">
        <v>22</v>
      </c>
      <c r="N429" s="39"/>
    </row>
    <row r="430" spans="1:14" s="12" customFormat="1" ht="18">
      <c r="A430" s="178" t="s">
        <v>80</v>
      </c>
      <c r="B430" s="75" t="s">
        <v>607</v>
      </c>
      <c r="C430" s="39" t="s">
        <v>17</v>
      </c>
      <c r="D430" s="236"/>
      <c r="E430" s="236"/>
      <c r="F430" s="236"/>
      <c r="G430" s="236"/>
      <c r="H430" s="40">
        <f>SUM(Tabla132112413[[#This Row],[PRIMER TRIMESTRE]:[CUARTO TRIMESTRE]])</f>
        <v>0</v>
      </c>
      <c r="I430" s="17">
        <v>3068</v>
      </c>
      <c r="J430" s="17">
        <f t="shared" si="11"/>
        <v>0</v>
      </c>
      <c r="K430" s="17"/>
      <c r="L430" s="16" t="s">
        <v>18</v>
      </c>
      <c r="M430" s="16" t="s">
        <v>22</v>
      </c>
      <c r="N430" s="39"/>
    </row>
    <row r="431" spans="1:14" s="12" customFormat="1" ht="18">
      <c r="A431" s="178" t="s">
        <v>80</v>
      </c>
      <c r="B431" s="75" t="s">
        <v>608</v>
      </c>
      <c r="C431" s="39" t="s">
        <v>17</v>
      </c>
      <c r="D431" s="236"/>
      <c r="E431" s="236"/>
      <c r="F431" s="236"/>
      <c r="G431" s="236"/>
      <c r="H431" s="40">
        <f>SUM(Tabla132112413[[#This Row],[PRIMER TRIMESTRE]:[CUARTO TRIMESTRE]])</f>
        <v>0</v>
      </c>
      <c r="I431" s="17">
        <v>4425</v>
      </c>
      <c r="J431" s="17">
        <f t="shared" si="11"/>
        <v>0</v>
      </c>
      <c r="K431" s="17"/>
      <c r="L431" s="16" t="s">
        <v>18</v>
      </c>
      <c r="M431" s="16" t="s">
        <v>22</v>
      </c>
      <c r="N431" s="39"/>
    </row>
    <row r="432" spans="1:14" s="12" customFormat="1" ht="18">
      <c r="A432" s="178" t="s">
        <v>80</v>
      </c>
      <c r="B432" s="75" t="s">
        <v>609</v>
      </c>
      <c r="C432" s="39" t="s">
        <v>17</v>
      </c>
      <c r="D432" s="236"/>
      <c r="E432" s="236"/>
      <c r="F432" s="236"/>
      <c r="G432" s="236"/>
      <c r="H432" s="40">
        <f>SUM(Tabla132112413[[#This Row],[PRIMER TRIMESTRE]:[CUARTO TRIMESTRE]])</f>
        <v>0</v>
      </c>
      <c r="I432" s="17">
        <v>5074</v>
      </c>
      <c r="J432" s="17">
        <f t="shared" si="11"/>
        <v>0</v>
      </c>
      <c r="K432" s="17"/>
      <c r="L432" s="16" t="s">
        <v>18</v>
      </c>
      <c r="M432" s="16" t="s">
        <v>22</v>
      </c>
      <c r="N432" s="39"/>
    </row>
    <row r="433" spans="1:14" s="12" customFormat="1" ht="18">
      <c r="A433" s="178" t="s">
        <v>80</v>
      </c>
      <c r="B433" s="75" t="s">
        <v>610</v>
      </c>
      <c r="C433" s="39" t="s">
        <v>17</v>
      </c>
      <c r="D433" s="236"/>
      <c r="E433" s="236"/>
      <c r="F433" s="236"/>
      <c r="G433" s="236"/>
      <c r="H433" s="40">
        <f>SUM(Tabla132112413[[#This Row],[PRIMER TRIMESTRE]:[CUARTO TRIMESTRE]])</f>
        <v>0</v>
      </c>
      <c r="I433" s="17">
        <v>6431</v>
      </c>
      <c r="J433" s="17">
        <f t="shared" si="11"/>
        <v>0</v>
      </c>
      <c r="K433" s="17"/>
      <c r="L433" s="16" t="s">
        <v>18</v>
      </c>
      <c r="M433" s="16" t="s">
        <v>22</v>
      </c>
      <c r="N433" s="39"/>
    </row>
    <row r="434" spans="1:14" s="12" customFormat="1" ht="18">
      <c r="A434" s="178" t="s">
        <v>80</v>
      </c>
      <c r="B434" s="75" t="s">
        <v>611</v>
      </c>
      <c r="C434" s="39" t="s">
        <v>17</v>
      </c>
      <c r="D434" s="236"/>
      <c r="E434" s="236"/>
      <c r="F434" s="236"/>
      <c r="G434" s="236"/>
      <c r="H434" s="40">
        <f>SUM(Tabla132112413[[#This Row],[PRIMER TRIMESTRE]:[CUARTO TRIMESTRE]])</f>
        <v>0</v>
      </c>
      <c r="I434" s="17">
        <v>7943</v>
      </c>
      <c r="J434" s="17">
        <f t="shared" si="11"/>
        <v>0</v>
      </c>
      <c r="K434" s="17"/>
      <c r="L434" s="16" t="s">
        <v>18</v>
      </c>
      <c r="M434" s="16" t="s">
        <v>22</v>
      </c>
      <c r="N434" s="39"/>
    </row>
    <row r="435" spans="1:14" s="12" customFormat="1" ht="18">
      <c r="A435" s="178" t="s">
        <v>80</v>
      </c>
      <c r="B435" s="75" t="s">
        <v>612</v>
      </c>
      <c r="C435" s="39" t="s">
        <v>17</v>
      </c>
      <c r="D435" s="236"/>
      <c r="E435" s="236"/>
      <c r="F435" s="236"/>
      <c r="G435" s="236"/>
      <c r="H435" s="40">
        <f>SUM(Tabla132112413[[#This Row],[PRIMER TRIMESTRE]:[CUARTO TRIMESTRE]])</f>
        <v>0</v>
      </c>
      <c r="I435" s="17">
        <v>9145</v>
      </c>
      <c r="J435" s="17">
        <f t="shared" si="11"/>
        <v>0</v>
      </c>
      <c r="K435" s="17"/>
      <c r="L435" s="16" t="s">
        <v>18</v>
      </c>
      <c r="M435" s="16" t="s">
        <v>22</v>
      </c>
      <c r="N435" s="39"/>
    </row>
    <row r="436" spans="1:14" s="12" customFormat="1" ht="18">
      <c r="A436" s="178" t="s">
        <v>80</v>
      </c>
      <c r="B436" s="75" t="s">
        <v>613</v>
      </c>
      <c r="C436" s="39" t="s">
        <v>17</v>
      </c>
      <c r="D436" s="236"/>
      <c r="E436" s="236"/>
      <c r="F436" s="236"/>
      <c r="G436" s="236"/>
      <c r="H436" s="40">
        <f>SUM(Tabla132112413[[#This Row],[PRIMER TRIMESTRE]:[CUARTO TRIMESTRE]])</f>
        <v>0</v>
      </c>
      <c r="I436" s="17">
        <v>10502</v>
      </c>
      <c r="J436" s="17">
        <f t="shared" si="11"/>
        <v>0</v>
      </c>
      <c r="K436" s="17"/>
      <c r="L436" s="16" t="s">
        <v>18</v>
      </c>
      <c r="M436" s="16" t="s">
        <v>22</v>
      </c>
      <c r="N436" s="39"/>
    </row>
    <row r="437" spans="1:14" s="12" customFormat="1" ht="18">
      <c r="A437" s="178" t="s">
        <v>80</v>
      </c>
      <c r="B437" s="75" t="s">
        <v>614</v>
      </c>
      <c r="C437" s="39" t="s">
        <v>17</v>
      </c>
      <c r="D437" s="236"/>
      <c r="E437" s="236"/>
      <c r="F437" s="236"/>
      <c r="G437" s="236"/>
      <c r="H437" s="40">
        <f>SUM(Tabla132112413[[#This Row],[PRIMER TRIMESTRE]:[CUARTO TRIMESTRE]])</f>
        <v>0</v>
      </c>
      <c r="I437" s="17">
        <v>11564</v>
      </c>
      <c r="J437" s="17">
        <f t="shared" si="11"/>
        <v>0</v>
      </c>
      <c r="K437" s="17"/>
      <c r="L437" s="16" t="s">
        <v>18</v>
      </c>
      <c r="M437" s="16" t="s">
        <v>22</v>
      </c>
      <c r="N437" s="39"/>
    </row>
    <row r="438" spans="1:14" s="12" customFormat="1" ht="18">
      <c r="A438" s="178" t="s">
        <v>80</v>
      </c>
      <c r="B438" s="75" t="s">
        <v>615</v>
      </c>
      <c r="C438" s="39" t="s">
        <v>17</v>
      </c>
      <c r="D438" s="236"/>
      <c r="E438" s="236"/>
      <c r="F438" s="236"/>
      <c r="G438" s="236"/>
      <c r="H438" s="40">
        <f>SUM(Tabla132112413[[#This Row],[PRIMER TRIMESTRE]:[CUARTO TRIMESTRE]])</f>
        <v>0</v>
      </c>
      <c r="I438" s="17">
        <v>13747</v>
      </c>
      <c r="J438" s="17">
        <f t="shared" si="11"/>
        <v>0</v>
      </c>
      <c r="K438" s="17"/>
      <c r="L438" s="16" t="s">
        <v>18</v>
      </c>
      <c r="M438" s="16" t="s">
        <v>22</v>
      </c>
      <c r="N438" s="39"/>
    </row>
    <row r="439" spans="1:14" s="12" customFormat="1" ht="18">
      <c r="A439" s="178" t="s">
        <v>80</v>
      </c>
      <c r="B439" s="75" t="s">
        <v>1547</v>
      </c>
      <c r="C439" s="39" t="s">
        <v>17</v>
      </c>
      <c r="D439" s="236"/>
      <c r="E439" s="236"/>
      <c r="F439" s="236"/>
      <c r="G439" s="236"/>
      <c r="H439" s="236">
        <f>SUM(Tabla132112413[[#This Row],[PRIMER TRIMESTRE]:[CUARTO TRIMESTRE]])</f>
        <v>0</v>
      </c>
      <c r="I439" s="17">
        <v>700</v>
      </c>
      <c r="J439" s="17">
        <f t="shared" si="11"/>
        <v>0</v>
      </c>
      <c r="K439" s="17"/>
      <c r="L439" s="16" t="s">
        <v>18</v>
      </c>
      <c r="M439" s="16" t="s">
        <v>22</v>
      </c>
      <c r="N439" s="39"/>
    </row>
    <row r="440" spans="1:14" s="12" customFormat="1" ht="18">
      <c r="A440" s="178" t="s">
        <v>80</v>
      </c>
      <c r="B440" s="75" t="s">
        <v>1577</v>
      </c>
      <c r="C440" s="39" t="s">
        <v>17</v>
      </c>
      <c r="D440" s="236"/>
      <c r="E440" s="236"/>
      <c r="F440" s="236"/>
      <c r="G440" s="236"/>
      <c r="H440" s="236">
        <f>SUM(Tabla132112413[[#This Row],[PRIMER TRIMESTRE]:[CUARTO TRIMESTRE]])</f>
        <v>0</v>
      </c>
      <c r="I440" s="17">
        <v>133.88999999999999</v>
      </c>
      <c r="J440" s="17">
        <f t="shared" si="11"/>
        <v>0</v>
      </c>
      <c r="K440" s="17"/>
      <c r="L440" s="16" t="s">
        <v>18</v>
      </c>
      <c r="M440" s="16" t="s">
        <v>22</v>
      </c>
      <c r="N440" s="39"/>
    </row>
    <row r="441" spans="1:14" s="12" customFormat="1" ht="18">
      <c r="A441" s="178" t="s">
        <v>80</v>
      </c>
      <c r="B441" s="75" t="s">
        <v>1576</v>
      </c>
      <c r="C441" s="39" t="s">
        <v>17</v>
      </c>
      <c r="D441" s="236"/>
      <c r="E441" s="236"/>
      <c r="F441" s="236"/>
      <c r="G441" s="236"/>
      <c r="H441" s="236">
        <f>SUM(Tabla132112413[[#This Row],[PRIMER TRIMESTRE]:[CUARTO TRIMESTRE]])</f>
        <v>0</v>
      </c>
      <c r="I441" s="17">
        <v>21</v>
      </c>
      <c r="J441" s="17">
        <f t="shared" si="11"/>
        <v>0</v>
      </c>
      <c r="K441" s="17"/>
      <c r="L441" s="16" t="s">
        <v>18</v>
      </c>
      <c r="M441" s="16" t="s">
        <v>22</v>
      </c>
      <c r="N441" s="39"/>
    </row>
    <row r="442" spans="1:14" s="12" customFormat="1" ht="18">
      <c r="A442" s="178" t="s">
        <v>80</v>
      </c>
      <c r="B442" s="75" t="s">
        <v>1727</v>
      </c>
      <c r="C442" s="39" t="s">
        <v>17</v>
      </c>
      <c r="D442" s="236"/>
      <c r="E442" s="236"/>
      <c r="F442" s="236"/>
      <c r="G442" s="236"/>
      <c r="H442" s="40">
        <v>0</v>
      </c>
      <c r="I442" s="17">
        <v>0</v>
      </c>
      <c r="J442" s="17">
        <v>0</v>
      </c>
      <c r="K442" s="17"/>
      <c r="L442" s="16" t="s">
        <v>18</v>
      </c>
      <c r="M442" s="16" t="s">
        <v>22</v>
      </c>
      <c r="N442" s="39"/>
    </row>
    <row r="443" spans="1:14" s="12" customFormat="1" ht="18">
      <c r="A443" s="178" t="s">
        <v>80</v>
      </c>
      <c r="B443" s="75" t="s">
        <v>1575</v>
      </c>
      <c r="C443" s="39" t="s">
        <v>17</v>
      </c>
      <c r="D443" s="236"/>
      <c r="E443" s="236"/>
      <c r="F443" s="236"/>
      <c r="G443" s="236"/>
      <c r="H443" s="236">
        <f>SUM(Tabla132112413[[#This Row],[PRIMER TRIMESTRE]:[CUARTO TRIMESTRE]])</f>
        <v>0</v>
      </c>
      <c r="I443" s="17">
        <v>15.21</v>
      </c>
      <c r="J443" s="17">
        <f t="shared" si="11"/>
        <v>0</v>
      </c>
      <c r="K443" s="17"/>
      <c r="L443" s="16" t="s">
        <v>18</v>
      </c>
      <c r="M443" s="16" t="s">
        <v>22</v>
      </c>
      <c r="N443" s="39"/>
    </row>
    <row r="444" spans="1:14" s="12" customFormat="1" ht="18">
      <c r="A444" s="178" t="s">
        <v>80</v>
      </c>
      <c r="B444" s="75" t="s">
        <v>1574</v>
      </c>
      <c r="C444" s="39" t="s">
        <v>17</v>
      </c>
      <c r="D444" s="236"/>
      <c r="E444" s="236"/>
      <c r="F444" s="236"/>
      <c r="G444" s="236"/>
      <c r="H444" s="236">
        <f>SUM(Tabla132112413[[#This Row],[PRIMER TRIMESTRE]:[CUARTO TRIMESTRE]])</f>
        <v>0</v>
      </c>
      <c r="I444" s="17">
        <v>1</v>
      </c>
      <c r="J444" s="17">
        <f t="shared" si="11"/>
        <v>0</v>
      </c>
      <c r="K444" s="17"/>
      <c r="L444" s="16" t="s">
        <v>18</v>
      </c>
      <c r="M444" s="16" t="s">
        <v>22</v>
      </c>
      <c r="N444" s="39"/>
    </row>
    <row r="445" spans="1:14" s="12" customFormat="1" ht="18">
      <c r="A445" s="178" t="s">
        <v>80</v>
      </c>
      <c r="B445" s="75" t="s">
        <v>1338</v>
      </c>
      <c r="C445" s="39" t="s">
        <v>17</v>
      </c>
      <c r="D445" s="236"/>
      <c r="E445" s="236"/>
      <c r="F445" s="236"/>
      <c r="G445" s="236"/>
      <c r="H445" s="40">
        <f>SUM(Tabla132112413[[#This Row],[PRIMER TRIMESTRE]:[CUARTO TRIMESTRE]])</f>
        <v>0</v>
      </c>
      <c r="I445" s="17">
        <v>17.7</v>
      </c>
      <c r="J445" s="17">
        <f t="shared" si="11"/>
        <v>0</v>
      </c>
      <c r="K445" s="17"/>
      <c r="L445" s="16" t="s">
        <v>18</v>
      </c>
      <c r="M445" s="16" t="s">
        <v>22</v>
      </c>
      <c r="N445" s="39"/>
    </row>
    <row r="446" spans="1:14" s="12" customFormat="1" ht="18">
      <c r="A446" s="178" t="s">
        <v>80</v>
      </c>
      <c r="B446" s="75" t="s">
        <v>1573</v>
      </c>
      <c r="C446" s="39" t="s">
        <v>17</v>
      </c>
      <c r="D446" s="236"/>
      <c r="E446" s="236"/>
      <c r="F446" s="236"/>
      <c r="G446" s="236"/>
      <c r="H446" s="40">
        <f>SUM(Tabla132112413[[#This Row],[PRIMER TRIMESTRE]:[CUARTO TRIMESTRE]])</f>
        <v>0</v>
      </c>
      <c r="I446" s="17">
        <v>20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</row>
    <row r="447" spans="1:14" s="12" customFormat="1" ht="18">
      <c r="A447" s="178" t="s">
        <v>80</v>
      </c>
      <c r="B447" s="75" t="s">
        <v>1339</v>
      </c>
      <c r="C447" s="39" t="s">
        <v>17</v>
      </c>
      <c r="D447" s="236"/>
      <c r="E447" s="236"/>
      <c r="F447" s="236"/>
      <c r="G447" s="236"/>
      <c r="H447" s="40">
        <f>SUM(Tabla132112413[[#This Row],[PRIMER TRIMESTRE]:[CUARTO TRIMESTRE]])</f>
        <v>0</v>
      </c>
      <c r="I447" s="17">
        <v>23.6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</row>
    <row r="448" spans="1:14" s="12" customFormat="1" ht="18">
      <c r="A448" s="178" t="s">
        <v>80</v>
      </c>
      <c r="B448" s="75" t="s">
        <v>1703</v>
      </c>
      <c r="C448" s="39" t="s">
        <v>17</v>
      </c>
      <c r="D448" s="236"/>
      <c r="E448" s="236"/>
      <c r="F448" s="236"/>
      <c r="G448" s="236"/>
      <c r="H448" s="40">
        <v>0</v>
      </c>
      <c r="I448" s="17">
        <v>0</v>
      </c>
      <c r="J448" s="17">
        <v>0</v>
      </c>
      <c r="K448" s="17"/>
      <c r="L448" s="16" t="s">
        <v>18</v>
      </c>
      <c r="M448" s="16" t="s">
        <v>22</v>
      </c>
      <c r="N448" s="39"/>
    </row>
    <row r="449" spans="1:14" s="12" customFormat="1" ht="18">
      <c r="A449" s="178" t="s">
        <v>80</v>
      </c>
      <c r="B449" s="75" t="s">
        <v>1572</v>
      </c>
      <c r="C449" s="39" t="s">
        <v>17</v>
      </c>
      <c r="D449" s="236"/>
      <c r="E449" s="236"/>
      <c r="F449" s="236"/>
      <c r="G449" s="236"/>
      <c r="H449" s="40">
        <f>SUM(Tabla132112413[[#This Row],[PRIMER TRIMESTRE]:[CUARTO TRIMESTRE]])</f>
        <v>0</v>
      </c>
      <c r="I449" s="17">
        <v>2</v>
      </c>
      <c r="J449" s="17">
        <f t="shared" si="11"/>
        <v>0</v>
      </c>
      <c r="K449" s="17"/>
      <c r="L449" s="16" t="s">
        <v>18</v>
      </c>
      <c r="M449" s="16" t="s">
        <v>22</v>
      </c>
      <c r="N449" s="39"/>
    </row>
    <row r="450" spans="1:14" s="12" customFormat="1" ht="18">
      <c r="A450" s="178" t="s">
        <v>80</v>
      </c>
      <c r="B450" s="75" t="s">
        <v>1428</v>
      </c>
      <c r="C450" s="39" t="s">
        <v>17</v>
      </c>
      <c r="D450" s="236"/>
      <c r="E450" s="236"/>
      <c r="F450" s="236"/>
      <c r="G450" s="236"/>
      <c r="H450" s="40">
        <f>SUM(Tabla132112413[[#This Row],[PRIMER TRIMESTRE]:[CUARTO TRIMESTRE]])</f>
        <v>0</v>
      </c>
      <c r="I450" s="17">
        <v>0.88</v>
      </c>
      <c r="J450" s="17">
        <f t="shared" si="11"/>
        <v>0</v>
      </c>
      <c r="K450" s="17"/>
      <c r="L450" s="16" t="s">
        <v>18</v>
      </c>
      <c r="M450" s="16" t="s">
        <v>22</v>
      </c>
      <c r="N450" s="39"/>
    </row>
    <row r="451" spans="1:14" s="12" customFormat="1" ht="18">
      <c r="A451" s="178" t="s">
        <v>80</v>
      </c>
      <c r="B451" s="75" t="s">
        <v>1427</v>
      </c>
      <c r="C451" s="39" t="s">
        <v>17</v>
      </c>
      <c r="D451" s="236"/>
      <c r="E451" s="236"/>
      <c r="F451" s="236"/>
      <c r="G451" s="236"/>
      <c r="H451" s="40">
        <f>SUM(Tabla132112413[[#This Row],[PRIMER TRIMESTRE]:[CUARTO TRIMESTRE]])</f>
        <v>0</v>
      </c>
      <c r="I451" s="17">
        <v>1</v>
      </c>
      <c r="J451" s="17">
        <f t="shared" si="11"/>
        <v>0</v>
      </c>
      <c r="K451" s="17"/>
      <c r="L451" s="16" t="s">
        <v>18</v>
      </c>
      <c r="M451" s="16" t="s">
        <v>22</v>
      </c>
      <c r="N451" s="39"/>
    </row>
    <row r="452" spans="1:14" s="12" customFormat="1" ht="18">
      <c r="A452" s="178" t="s">
        <v>80</v>
      </c>
      <c r="B452" s="75" t="s">
        <v>1433</v>
      </c>
      <c r="C452" s="39" t="s">
        <v>208</v>
      </c>
      <c r="D452" s="236"/>
      <c r="E452" s="236"/>
      <c r="F452" s="236"/>
      <c r="G452" s="236"/>
      <c r="H452" s="40">
        <f>SUM(Tabla132112413[[#This Row],[PRIMER TRIMESTRE]:[CUARTO TRIMESTRE]])</f>
        <v>0</v>
      </c>
      <c r="I452" s="17">
        <v>361.44</v>
      </c>
      <c r="J452" s="17">
        <f t="shared" si="11"/>
        <v>0</v>
      </c>
      <c r="K452" s="17"/>
      <c r="L452" s="16" t="s">
        <v>18</v>
      </c>
      <c r="M452" s="16" t="s">
        <v>22</v>
      </c>
      <c r="N452" s="39"/>
    </row>
    <row r="453" spans="1:14" s="12" customFormat="1" ht="18">
      <c r="A453" s="178" t="s">
        <v>80</v>
      </c>
      <c r="B453" s="75" t="s">
        <v>1435</v>
      </c>
      <c r="C453" s="39" t="s">
        <v>17</v>
      </c>
      <c r="D453" s="236"/>
      <c r="E453" s="236"/>
      <c r="F453" s="236"/>
      <c r="G453" s="236"/>
      <c r="H453" s="40">
        <f>SUM(Tabla132112413[[#This Row],[PRIMER TRIMESTRE]:[CUARTO TRIMESTRE]])</f>
        <v>0</v>
      </c>
      <c r="I453" s="17">
        <v>1.1499999999999999</v>
      </c>
      <c r="J453" s="17">
        <f t="shared" si="11"/>
        <v>0</v>
      </c>
      <c r="K453" s="17"/>
      <c r="L453" s="16" t="s">
        <v>18</v>
      </c>
      <c r="M453" s="16" t="s">
        <v>22</v>
      </c>
      <c r="N453" s="39"/>
    </row>
    <row r="454" spans="1:14" s="12" customFormat="1" ht="18">
      <c r="A454" s="178" t="s">
        <v>80</v>
      </c>
      <c r="B454" s="75" t="s">
        <v>1527</v>
      </c>
      <c r="C454" s="39" t="s">
        <v>17</v>
      </c>
      <c r="D454" s="236"/>
      <c r="E454" s="236"/>
      <c r="F454" s="236"/>
      <c r="G454" s="236"/>
      <c r="H454" s="236">
        <f>SUM(Tabla132112413[[#This Row],[PRIMER TRIMESTRE]:[CUARTO TRIMESTRE]])</f>
        <v>0</v>
      </c>
      <c r="I454" s="17">
        <v>12739.27</v>
      </c>
      <c r="J454" s="17">
        <f t="shared" si="11"/>
        <v>0</v>
      </c>
      <c r="K454" s="17"/>
      <c r="L454" s="16" t="s">
        <v>18</v>
      </c>
      <c r="M454" s="16" t="s">
        <v>22</v>
      </c>
      <c r="N454" s="39"/>
    </row>
    <row r="455" spans="1:14" s="12" customFormat="1" ht="18">
      <c r="A455" s="178" t="s">
        <v>80</v>
      </c>
      <c r="B455" s="75" t="s">
        <v>702</v>
      </c>
      <c r="C455" s="39" t="s">
        <v>17</v>
      </c>
      <c r="D455" s="236"/>
      <c r="E455" s="236"/>
      <c r="F455" s="236"/>
      <c r="G455" s="236"/>
      <c r="H455" s="40">
        <f>SUM(Tabla132112413[[#This Row],[PRIMER TRIMESTRE]:[CUARTO TRIMESTRE]])</f>
        <v>0</v>
      </c>
      <c r="I455" s="17">
        <v>1052.51</v>
      </c>
      <c r="J455" s="17">
        <f t="shared" si="11"/>
        <v>0</v>
      </c>
      <c r="K455" s="17"/>
      <c r="L455" s="16" t="s">
        <v>18</v>
      </c>
      <c r="M455" s="16" t="s">
        <v>22</v>
      </c>
      <c r="N455" s="39"/>
    </row>
    <row r="456" spans="1:14" s="12" customFormat="1" ht="18">
      <c r="A456" s="178" t="s">
        <v>80</v>
      </c>
      <c r="B456" s="75" t="s">
        <v>370</v>
      </c>
      <c r="C456" s="39" t="s">
        <v>17</v>
      </c>
      <c r="D456" s="236"/>
      <c r="E456" s="236"/>
      <c r="F456" s="236"/>
      <c r="G456" s="236"/>
      <c r="H456" s="40">
        <f>SUM(Tabla132112413[[#This Row],[PRIMER TRIMESTRE]:[CUARTO TRIMESTRE]])</f>
        <v>0</v>
      </c>
      <c r="I456" s="17">
        <v>3302.0937420000005</v>
      </c>
      <c r="J456" s="17">
        <f t="shared" si="11"/>
        <v>0</v>
      </c>
      <c r="K456" s="17"/>
      <c r="L456" s="16" t="s">
        <v>18</v>
      </c>
      <c r="M456" s="16" t="s">
        <v>22</v>
      </c>
      <c r="N456" s="39"/>
    </row>
    <row r="457" spans="1:14" s="12" customFormat="1" ht="18">
      <c r="A457" s="178" t="s">
        <v>80</v>
      </c>
      <c r="B457" s="75" t="s">
        <v>371</v>
      </c>
      <c r="C457" s="39" t="s">
        <v>17</v>
      </c>
      <c r="D457" s="236"/>
      <c r="E457" s="236"/>
      <c r="F457" s="236"/>
      <c r="G457" s="236"/>
      <c r="H457" s="40">
        <f>SUM(Tabla132112413[[#This Row],[PRIMER TRIMESTRE]:[CUARTO TRIMESTRE]])</f>
        <v>0</v>
      </c>
      <c r="I457" s="17">
        <v>5605.3296870000004</v>
      </c>
      <c r="J457" s="17">
        <f t="shared" si="11"/>
        <v>0</v>
      </c>
      <c r="K457" s="17"/>
      <c r="L457" s="16" t="s">
        <v>18</v>
      </c>
      <c r="M457" s="16" t="s">
        <v>22</v>
      </c>
      <c r="N457" s="39"/>
    </row>
    <row r="458" spans="1:14" s="12" customFormat="1" ht="18">
      <c r="A458" s="178" t="s">
        <v>80</v>
      </c>
      <c r="B458" s="75" t="s">
        <v>799</v>
      </c>
      <c r="C458" s="39" t="s">
        <v>17</v>
      </c>
      <c r="D458" s="236"/>
      <c r="E458" s="236"/>
      <c r="F458" s="236"/>
      <c r="G458" s="236"/>
      <c r="H458" s="40">
        <f>SUM(Tabla132112413[[#This Row],[PRIMER TRIMESTRE]:[CUARTO TRIMESTRE]])</f>
        <v>0</v>
      </c>
      <c r="I458" s="17">
        <v>12700</v>
      </c>
      <c r="J458" s="17">
        <f t="shared" si="11"/>
        <v>0</v>
      </c>
      <c r="K458" s="17"/>
      <c r="L458" s="16" t="s">
        <v>18</v>
      </c>
      <c r="M458" s="16" t="s">
        <v>22</v>
      </c>
      <c r="N458" s="39"/>
    </row>
    <row r="459" spans="1:14" s="12" customFormat="1" ht="18">
      <c r="A459" s="178" t="s">
        <v>80</v>
      </c>
      <c r="B459" s="75" t="s">
        <v>372</v>
      </c>
      <c r="C459" s="39" t="s">
        <v>17</v>
      </c>
      <c r="D459" s="236"/>
      <c r="E459" s="236"/>
      <c r="F459" s="236"/>
      <c r="G459" s="236"/>
      <c r="H459" s="40">
        <f>SUM(Tabla132112413[[#This Row],[PRIMER TRIMESTRE]:[CUARTO TRIMESTRE]])</f>
        <v>0</v>
      </c>
      <c r="I459" s="17">
        <v>256.14999999999998</v>
      </c>
      <c r="J459" s="17">
        <f t="shared" si="11"/>
        <v>0</v>
      </c>
      <c r="K459" s="17"/>
      <c r="L459" s="16" t="s">
        <v>18</v>
      </c>
      <c r="M459" s="16" t="s">
        <v>22</v>
      </c>
      <c r="N459" s="39"/>
    </row>
    <row r="460" spans="1:14" s="12" customFormat="1" ht="18">
      <c r="A460" s="178" t="s">
        <v>80</v>
      </c>
      <c r="B460" s="75" t="s">
        <v>373</v>
      </c>
      <c r="C460" s="39" t="s">
        <v>17</v>
      </c>
      <c r="D460" s="236"/>
      <c r="E460" s="236"/>
      <c r="F460" s="236"/>
      <c r="G460" s="236"/>
      <c r="H460" s="40">
        <f>SUM(Tabla132112413[[#This Row],[PRIMER TRIMESTRE]:[CUARTO TRIMESTRE]])</f>
        <v>0</v>
      </c>
      <c r="I460" s="17">
        <v>260.58531900000003</v>
      </c>
      <c r="J460" s="17">
        <f t="shared" si="11"/>
        <v>0</v>
      </c>
      <c r="K460" s="17"/>
      <c r="L460" s="16" t="s">
        <v>18</v>
      </c>
      <c r="M460" s="16" t="s">
        <v>22</v>
      </c>
      <c r="N460" s="39"/>
    </row>
    <row r="461" spans="1:14" s="12" customFormat="1" ht="18">
      <c r="A461" s="178" t="s">
        <v>80</v>
      </c>
      <c r="B461" s="75" t="s">
        <v>374</v>
      </c>
      <c r="C461" s="39" t="s">
        <v>17</v>
      </c>
      <c r="D461" s="236"/>
      <c r="E461" s="236"/>
      <c r="F461" s="236"/>
      <c r="G461" s="236"/>
      <c r="H461" s="40">
        <f>SUM(Tabla132112413[[#This Row],[PRIMER TRIMESTRE]:[CUARTO TRIMESTRE]])</f>
        <v>0</v>
      </c>
      <c r="I461" s="17">
        <v>383.08377000000007</v>
      </c>
      <c r="J461" s="17">
        <f t="shared" si="11"/>
        <v>0</v>
      </c>
      <c r="K461" s="17"/>
      <c r="L461" s="16" t="s">
        <v>18</v>
      </c>
      <c r="M461" s="16" t="s">
        <v>22</v>
      </c>
      <c r="N461" s="39"/>
    </row>
    <row r="462" spans="1:14" s="12" customFormat="1" ht="18">
      <c r="A462" s="178" t="s">
        <v>80</v>
      </c>
      <c r="B462" s="75" t="s">
        <v>375</v>
      </c>
      <c r="C462" s="39" t="s">
        <v>17</v>
      </c>
      <c r="D462" s="236"/>
      <c r="E462" s="236"/>
      <c r="F462" s="236"/>
      <c r="G462" s="236"/>
      <c r="H462" s="40">
        <f>SUM(Tabla132112413[[#This Row],[PRIMER TRIMESTRE]:[CUARTO TRIMESTRE]])</f>
        <v>0</v>
      </c>
      <c r="I462" s="17">
        <v>450</v>
      </c>
      <c r="J462" s="17">
        <f t="shared" si="11"/>
        <v>0</v>
      </c>
      <c r="K462" s="17"/>
      <c r="L462" s="16" t="s">
        <v>18</v>
      </c>
      <c r="M462" s="16" t="s">
        <v>22</v>
      </c>
      <c r="N462" s="39"/>
    </row>
    <row r="463" spans="1:14" s="12" customFormat="1" ht="18">
      <c r="A463" s="178" t="s">
        <v>80</v>
      </c>
      <c r="B463" s="75" t="s">
        <v>376</v>
      </c>
      <c r="C463" s="39" t="s">
        <v>17</v>
      </c>
      <c r="D463" s="236"/>
      <c r="E463" s="236"/>
      <c r="F463" s="236"/>
      <c r="G463" s="236"/>
      <c r="H463" s="40">
        <f>SUM(Tabla132112413[[#This Row],[PRIMER TRIMESTRE]:[CUARTO TRIMESTRE]])</f>
        <v>0</v>
      </c>
      <c r="I463" s="17">
        <v>667.77</v>
      </c>
      <c r="J463" s="17">
        <f t="shared" si="11"/>
        <v>0</v>
      </c>
      <c r="K463" s="17"/>
      <c r="L463" s="16" t="s">
        <v>18</v>
      </c>
      <c r="M463" s="16" t="s">
        <v>22</v>
      </c>
      <c r="N463" s="39"/>
    </row>
    <row r="464" spans="1:14" s="12" customFormat="1" ht="18">
      <c r="A464" s="178" t="s">
        <v>80</v>
      </c>
      <c r="B464" s="75" t="s">
        <v>377</v>
      </c>
      <c r="C464" s="39" t="s">
        <v>17</v>
      </c>
      <c r="D464" s="236"/>
      <c r="E464" s="236"/>
      <c r="F464" s="236"/>
      <c r="G464" s="236"/>
      <c r="H464" s="40">
        <f>SUM(Tabla132112413[[#This Row],[PRIMER TRIMESTRE]:[CUARTO TRIMESTRE]])</f>
        <v>0</v>
      </c>
      <c r="I464" s="17">
        <v>160.61749500000002</v>
      </c>
      <c r="J464" s="17">
        <f t="shared" si="11"/>
        <v>0</v>
      </c>
      <c r="K464" s="17"/>
      <c r="L464" s="16" t="s">
        <v>18</v>
      </c>
      <c r="M464" s="16" t="s">
        <v>22</v>
      </c>
      <c r="N464" s="39"/>
    </row>
    <row r="465" spans="1:14" s="12" customFormat="1" ht="18">
      <c r="A465" s="178" t="s">
        <v>80</v>
      </c>
      <c r="B465" s="75" t="s">
        <v>378</v>
      </c>
      <c r="C465" s="39" t="s">
        <v>17</v>
      </c>
      <c r="D465" s="236"/>
      <c r="E465" s="236"/>
      <c r="F465" s="236"/>
      <c r="G465" s="236"/>
      <c r="H465" s="40">
        <f>SUM(Tabla132112413[[#This Row],[PRIMER TRIMESTRE]:[CUARTO TRIMESTRE]])</f>
        <v>0</v>
      </c>
      <c r="I465" s="17">
        <v>631.80422099999998</v>
      </c>
      <c r="J465" s="17">
        <f t="shared" si="11"/>
        <v>0</v>
      </c>
      <c r="K465" s="17"/>
      <c r="L465" s="16" t="s">
        <v>18</v>
      </c>
      <c r="M465" s="16" t="s">
        <v>22</v>
      </c>
      <c r="N465" s="39"/>
    </row>
    <row r="466" spans="1:14" s="12" customFormat="1" ht="18">
      <c r="A466" s="178" t="s">
        <v>80</v>
      </c>
      <c r="B466" s="75" t="s">
        <v>1526</v>
      </c>
      <c r="C466" s="176" t="s">
        <v>17</v>
      </c>
      <c r="D466" s="236"/>
      <c r="E466" s="236"/>
      <c r="F466" s="236"/>
      <c r="G466" s="236"/>
      <c r="H466" s="236">
        <f>SUM(Tabla132112413[[#This Row],[PRIMER TRIMESTRE]:[CUARTO TRIMESTRE]])</f>
        <v>0</v>
      </c>
      <c r="I466" s="17">
        <v>631.80422099999998</v>
      </c>
      <c r="J466" s="17">
        <f t="shared" si="11"/>
        <v>0</v>
      </c>
      <c r="K466" s="17"/>
      <c r="L466" s="16" t="s">
        <v>18</v>
      </c>
      <c r="M466" s="16" t="s">
        <v>22</v>
      </c>
      <c r="N466" s="39"/>
    </row>
    <row r="467" spans="1:14" s="12" customFormat="1" ht="18">
      <c r="A467" s="178" t="s">
        <v>80</v>
      </c>
      <c r="B467" s="75" t="s">
        <v>379</v>
      </c>
      <c r="C467" s="39" t="s">
        <v>17</v>
      </c>
      <c r="D467" s="236"/>
      <c r="E467" s="236"/>
      <c r="F467" s="236"/>
      <c r="G467" s="236"/>
      <c r="H467" s="40">
        <f>SUM(Tabla132112413[[#This Row],[PRIMER TRIMESTRE]:[CUARTO TRIMESTRE]])</f>
        <v>0</v>
      </c>
      <c r="I467" s="17">
        <v>1565.22</v>
      </c>
      <c r="J467" s="17">
        <f t="shared" si="11"/>
        <v>0</v>
      </c>
      <c r="K467" s="17"/>
      <c r="L467" s="16" t="s">
        <v>18</v>
      </c>
      <c r="M467" s="16" t="s">
        <v>22</v>
      </c>
      <c r="N467" s="39"/>
    </row>
    <row r="468" spans="1:14" s="12" customFormat="1" ht="18">
      <c r="A468" s="178" t="s">
        <v>80</v>
      </c>
      <c r="B468" s="75" t="s">
        <v>380</v>
      </c>
      <c r="C468" s="39" t="s">
        <v>17</v>
      </c>
      <c r="D468" s="236"/>
      <c r="E468" s="236"/>
      <c r="F468" s="236"/>
      <c r="G468" s="236"/>
      <c r="H468" s="40">
        <f>SUM(Tabla132112413[[#This Row],[PRIMER TRIMESTRE]:[CUARTO TRIMESTRE]])</f>
        <v>0</v>
      </c>
      <c r="I468" s="17">
        <v>2310.9299999999998</v>
      </c>
      <c r="J468" s="17">
        <f t="shared" si="11"/>
        <v>0</v>
      </c>
      <c r="K468" s="17"/>
      <c r="L468" s="16" t="s">
        <v>18</v>
      </c>
      <c r="M468" s="16" t="s">
        <v>22</v>
      </c>
      <c r="N468" s="39"/>
    </row>
    <row r="469" spans="1:14" s="12" customFormat="1" ht="18">
      <c r="A469" s="178" t="s">
        <v>80</v>
      </c>
      <c r="B469" s="75" t="s">
        <v>381</v>
      </c>
      <c r="C469" s="39" t="s">
        <v>17</v>
      </c>
      <c r="D469" s="236"/>
      <c r="E469" s="236"/>
      <c r="F469" s="236"/>
      <c r="G469" s="236"/>
      <c r="H469" s="40">
        <f>SUM(Tabla132112413[[#This Row],[PRIMER TRIMESTRE]:[CUARTO TRIMESTRE]])</f>
        <v>0</v>
      </c>
      <c r="I469" s="17">
        <v>4630.1499999999996</v>
      </c>
      <c r="J469" s="17">
        <f t="shared" si="11"/>
        <v>0</v>
      </c>
      <c r="K469" s="17"/>
      <c r="L469" s="16" t="s">
        <v>18</v>
      </c>
      <c r="M469" s="16" t="s">
        <v>22</v>
      </c>
      <c r="N469" s="39"/>
    </row>
    <row r="470" spans="1:14" s="12" customFormat="1" ht="18">
      <c r="A470" s="178" t="s">
        <v>80</v>
      </c>
      <c r="B470" s="75" t="s">
        <v>382</v>
      </c>
      <c r="C470" s="39" t="s">
        <v>17</v>
      </c>
      <c r="D470" s="236"/>
      <c r="E470" s="236"/>
      <c r="F470" s="236"/>
      <c r="G470" s="236"/>
      <c r="H470" s="40">
        <f>SUM(Tabla132112413[[#This Row],[PRIMER TRIMESTRE]:[CUARTO TRIMESTRE]])</f>
        <v>0</v>
      </c>
      <c r="I470" s="17">
        <v>6410</v>
      </c>
      <c r="J470" s="17">
        <f t="shared" si="11"/>
        <v>0</v>
      </c>
      <c r="K470" s="17"/>
      <c r="L470" s="16" t="s">
        <v>18</v>
      </c>
      <c r="M470" s="16" t="s">
        <v>22</v>
      </c>
      <c r="N470" s="39"/>
    </row>
    <row r="471" spans="1:14" s="12" customFormat="1" ht="18">
      <c r="A471" s="178" t="s">
        <v>80</v>
      </c>
      <c r="B471" s="75" t="s">
        <v>383</v>
      </c>
      <c r="C471" s="39" t="s">
        <v>17</v>
      </c>
      <c r="D471" s="236"/>
      <c r="E471" s="236"/>
      <c r="F471" s="236"/>
      <c r="G471" s="236"/>
      <c r="H471" s="40">
        <f>SUM(Tabla132112413[[#This Row],[PRIMER TRIMESTRE]:[CUARTO TRIMESTRE]])</f>
        <v>0</v>
      </c>
      <c r="I471" s="17">
        <v>10255.09</v>
      </c>
      <c r="J471" s="17">
        <f t="shared" si="11"/>
        <v>0</v>
      </c>
      <c r="K471" s="17"/>
      <c r="L471" s="16" t="s">
        <v>18</v>
      </c>
      <c r="M471" s="16" t="s">
        <v>22</v>
      </c>
      <c r="N471" s="39"/>
    </row>
    <row r="472" spans="1:14" s="12" customFormat="1" ht="18">
      <c r="A472" s="178" t="s">
        <v>80</v>
      </c>
      <c r="B472" s="75" t="s">
        <v>384</v>
      </c>
      <c r="C472" s="39" t="s">
        <v>17</v>
      </c>
      <c r="D472" s="236"/>
      <c r="E472" s="236"/>
      <c r="F472" s="236"/>
      <c r="G472" s="236"/>
      <c r="H472" s="40">
        <f>SUM(Tabla132112413[[#This Row],[PRIMER TRIMESTRE]:[CUARTO TRIMESTRE]])</f>
        <v>0</v>
      </c>
      <c r="I472" s="17">
        <v>14777.68</v>
      </c>
      <c r="J472" s="17">
        <f t="shared" si="11"/>
        <v>0</v>
      </c>
      <c r="K472" s="17"/>
      <c r="L472" s="16" t="s">
        <v>18</v>
      </c>
      <c r="M472" s="16" t="s">
        <v>22</v>
      </c>
      <c r="N472" s="39"/>
    </row>
    <row r="473" spans="1:14" s="12" customFormat="1" ht="18">
      <c r="A473" s="178" t="s">
        <v>80</v>
      </c>
      <c r="B473" s="75" t="s">
        <v>385</v>
      </c>
      <c r="C473" s="39" t="s">
        <v>17</v>
      </c>
      <c r="D473" s="236"/>
      <c r="E473" s="236"/>
      <c r="F473" s="236"/>
      <c r="G473" s="236"/>
      <c r="H473" s="40">
        <f>SUM(Tabla132112413[[#This Row],[PRIMER TRIMESTRE]:[CUARTO TRIMESTRE]])</f>
        <v>0</v>
      </c>
      <c r="I473" s="17">
        <v>24012.400000000001</v>
      </c>
      <c r="J473" s="17">
        <f t="shared" si="11"/>
        <v>0</v>
      </c>
      <c r="K473" s="17"/>
      <c r="L473" s="16" t="s">
        <v>18</v>
      </c>
      <c r="M473" s="16" t="s">
        <v>22</v>
      </c>
      <c r="N473" s="39"/>
    </row>
    <row r="474" spans="1:14" s="12" customFormat="1" ht="18">
      <c r="A474" s="178" t="s">
        <v>80</v>
      </c>
      <c r="B474" s="75" t="s">
        <v>386</v>
      </c>
      <c r="C474" s="39" t="s">
        <v>17</v>
      </c>
      <c r="D474" s="236"/>
      <c r="E474" s="236"/>
      <c r="F474" s="236"/>
      <c r="G474" s="236"/>
      <c r="H474" s="40">
        <f>SUM(Tabla132112413[[#This Row],[PRIMER TRIMESTRE]:[CUARTO TRIMESTRE]])</f>
        <v>0</v>
      </c>
      <c r="I474" s="17">
        <v>37525.1</v>
      </c>
      <c r="J474" s="17">
        <f t="shared" si="11"/>
        <v>0</v>
      </c>
      <c r="K474" s="17"/>
      <c r="L474" s="16" t="s">
        <v>18</v>
      </c>
      <c r="M474" s="16" t="s">
        <v>22</v>
      </c>
      <c r="N474" s="39"/>
    </row>
    <row r="475" spans="1:14" s="12" customFormat="1" ht="18">
      <c r="A475" s="178" t="s">
        <v>80</v>
      </c>
      <c r="B475" s="75" t="s">
        <v>800</v>
      </c>
      <c r="C475" s="39" t="s">
        <v>17</v>
      </c>
      <c r="D475" s="239"/>
      <c r="E475" s="239"/>
      <c r="F475" s="239"/>
      <c r="G475" s="236"/>
      <c r="H475" s="40">
        <f>SUM(Tabla132112413[[#This Row],[PRIMER TRIMESTRE]:[CUARTO TRIMESTRE]])</f>
        <v>0</v>
      </c>
      <c r="I475" s="17">
        <v>4500</v>
      </c>
      <c r="J475" s="17">
        <f t="shared" si="11"/>
        <v>0</v>
      </c>
      <c r="K475" s="17"/>
      <c r="L475" s="16" t="s">
        <v>18</v>
      </c>
      <c r="M475" s="16" t="s">
        <v>22</v>
      </c>
      <c r="N475" s="39"/>
    </row>
    <row r="476" spans="1:14" s="12" customFormat="1" ht="18">
      <c r="A476" s="178" t="s">
        <v>80</v>
      </c>
      <c r="B476" s="75" t="s">
        <v>713</v>
      </c>
      <c r="C476" s="39" t="s">
        <v>17</v>
      </c>
      <c r="D476" s="236"/>
      <c r="E476" s="236"/>
      <c r="F476" s="236"/>
      <c r="G476" s="236"/>
      <c r="H476" s="40">
        <f>SUM(Tabla132112413[[#This Row],[PRIMER TRIMESTRE]:[CUARTO TRIMESTRE]])</f>
        <v>0</v>
      </c>
      <c r="I476" s="72">
        <v>6000</v>
      </c>
      <c r="J476" s="17">
        <f t="shared" si="11"/>
        <v>0</v>
      </c>
      <c r="K476" s="17"/>
      <c r="L476" s="16" t="s">
        <v>18</v>
      </c>
      <c r="M476" s="16" t="s">
        <v>22</v>
      </c>
      <c r="N476" s="39"/>
    </row>
    <row r="477" spans="1:14" s="12" customFormat="1" ht="18">
      <c r="A477" s="178" t="s">
        <v>80</v>
      </c>
      <c r="B477" s="75" t="s">
        <v>712</v>
      </c>
      <c r="C477" s="39" t="s">
        <v>17</v>
      </c>
      <c r="D477" s="236"/>
      <c r="E477" s="236"/>
      <c r="F477" s="236"/>
      <c r="G477" s="236"/>
      <c r="H477" s="40">
        <f>SUM(Tabla132112413[[#This Row],[PRIMER TRIMESTRE]:[CUARTO TRIMESTRE]])</f>
        <v>0</v>
      </c>
      <c r="I477" s="17">
        <v>15544</v>
      </c>
      <c r="J477" s="17">
        <f t="shared" si="11"/>
        <v>0</v>
      </c>
      <c r="K477" s="17"/>
      <c r="L477" s="16" t="s">
        <v>18</v>
      </c>
      <c r="M477" s="16" t="s">
        <v>22</v>
      </c>
      <c r="N477" s="39"/>
    </row>
    <row r="478" spans="1:14" s="12" customFormat="1" ht="18">
      <c r="A478" s="178" t="s">
        <v>80</v>
      </c>
      <c r="B478" s="75" t="s">
        <v>711</v>
      </c>
      <c r="C478" s="39" t="s">
        <v>17</v>
      </c>
      <c r="D478" s="236"/>
      <c r="E478" s="236"/>
      <c r="F478" s="236"/>
      <c r="G478" s="236"/>
      <c r="H478" s="40">
        <f>SUM(Tabla132112413[[#This Row],[PRIMER TRIMESTRE]:[CUARTO TRIMESTRE]])</f>
        <v>0</v>
      </c>
      <c r="I478" s="72">
        <v>20650.03</v>
      </c>
      <c r="J478" s="17">
        <f t="shared" si="11"/>
        <v>0</v>
      </c>
      <c r="K478" s="17"/>
      <c r="L478" s="16" t="s">
        <v>18</v>
      </c>
      <c r="M478" s="16" t="s">
        <v>22</v>
      </c>
      <c r="N478" s="39"/>
    </row>
    <row r="479" spans="1:14" s="12" customFormat="1" ht="18">
      <c r="A479" s="178" t="s">
        <v>80</v>
      </c>
      <c r="B479" s="75" t="s">
        <v>710</v>
      </c>
      <c r="C479" s="39" t="s">
        <v>17</v>
      </c>
      <c r="D479" s="236"/>
      <c r="E479" s="236"/>
      <c r="F479" s="236"/>
      <c r="G479" s="236"/>
      <c r="H479" s="40">
        <f>SUM(Tabla132112413[[#This Row],[PRIMER TRIMESTRE]:[CUARTO TRIMESTRE]])</f>
        <v>0</v>
      </c>
      <c r="I479" s="17">
        <v>39221.919999999998</v>
      </c>
      <c r="J479" s="17">
        <f t="shared" si="11"/>
        <v>0</v>
      </c>
      <c r="K479" s="17"/>
      <c r="L479" s="16" t="s">
        <v>18</v>
      </c>
      <c r="M479" s="16" t="s">
        <v>22</v>
      </c>
      <c r="N479" s="39"/>
    </row>
    <row r="480" spans="1:14" s="12" customFormat="1" ht="18">
      <c r="A480" s="178" t="s">
        <v>80</v>
      </c>
      <c r="B480" s="75" t="s">
        <v>709</v>
      </c>
      <c r="C480" s="39" t="s">
        <v>17</v>
      </c>
      <c r="D480" s="236"/>
      <c r="E480" s="236"/>
      <c r="F480" s="236"/>
      <c r="G480" s="236"/>
      <c r="H480" s="40">
        <f>SUM(Tabla132112413[[#This Row],[PRIMER TRIMESTRE]:[CUARTO TRIMESTRE]])</f>
        <v>0</v>
      </c>
      <c r="I480" s="72">
        <f>17500*1.18</f>
        <v>20650</v>
      </c>
      <c r="J480" s="17">
        <f t="shared" si="11"/>
        <v>0</v>
      </c>
      <c r="K480" s="17"/>
      <c r="L480" s="16" t="s">
        <v>18</v>
      </c>
      <c r="M480" s="16" t="s">
        <v>22</v>
      </c>
      <c r="N480" s="39"/>
    </row>
    <row r="481" spans="1:14" s="12" customFormat="1" ht="18">
      <c r="A481" s="178" t="s">
        <v>80</v>
      </c>
      <c r="B481" s="75" t="s">
        <v>708</v>
      </c>
      <c r="C481" s="39" t="s">
        <v>17</v>
      </c>
      <c r="D481" s="236"/>
      <c r="E481" s="236"/>
      <c r="F481" s="236"/>
      <c r="G481" s="236"/>
      <c r="H481" s="40">
        <f>SUM(Tabla132112413[[#This Row],[PRIMER TRIMESTRE]:[CUARTO TRIMESTRE]])</f>
        <v>0</v>
      </c>
      <c r="I481" s="72">
        <f>25175*1.18</f>
        <v>29706.5</v>
      </c>
      <c r="J481" s="17">
        <f t="shared" si="11"/>
        <v>0</v>
      </c>
      <c r="K481" s="17"/>
      <c r="L481" s="16" t="s">
        <v>18</v>
      </c>
      <c r="M481" s="16" t="s">
        <v>22</v>
      </c>
      <c r="N481" s="39"/>
    </row>
    <row r="482" spans="1:14" s="12" customFormat="1" ht="18">
      <c r="A482" s="178" t="s">
        <v>80</v>
      </c>
      <c r="B482" s="75" t="s">
        <v>707</v>
      </c>
      <c r="C482" s="39" t="s">
        <v>17</v>
      </c>
      <c r="D482" s="236"/>
      <c r="E482" s="236"/>
      <c r="F482" s="236"/>
      <c r="G482" s="236"/>
      <c r="H482" s="40">
        <f>SUM(Tabla132112413[[#This Row],[PRIMER TRIMESTRE]:[CUARTO TRIMESTRE]])</f>
        <v>0</v>
      </c>
      <c r="I482" s="17">
        <f>34500*1.18</f>
        <v>40710</v>
      </c>
      <c r="J482" s="17">
        <f t="shared" si="11"/>
        <v>0</v>
      </c>
      <c r="K482" s="17"/>
      <c r="L482" s="16" t="s">
        <v>18</v>
      </c>
      <c r="M482" s="16" t="s">
        <v>22</v>
      </c>
      <c r="N482" s="39"/>
    </row>
    <row r="483" spans="1:14" s="12" customFormat="1" ht="18">
      <c r="A483" s="178" t="s">
        <v>80</v>
      </c>
      <c r="B483" s="75" t="s">
        <v>706</v>
      </c>
      <c r="C483" s="39" t="s">
        <v>17</v>
      </c>
      <c r="D483" s="236"/>
      <c r="E483" s="236"/>
      <c r="F483" s="236"/>
      <c r="G483" s="236"/>
      <c r="H483" s="40">
        <f>SUM(Tabla132112413[[#This Row],[PRIMER TRIMESTRE]:[CUARTO TRIMESTRE]])</f>
        <v>0</v>
      </c>
      <c r="I483" s="72">
        <v>51330</v>
      </c>
      <c r="J483" s="17">
        <f t="shared" si="11"/>
        <v>0</v>
      </c>
      <c r="K483" s="17"/>
      <c r="L483" s="16" t="s">
        <v>18</v>
      </c>
      <c r="M483" s="16" t="s">
        <v>22</v>
      </c>
      <c r="N483" s="39"/>
    </row>
    <row r="484" spans="1:14" s="12" customFormat="1" ht="18">
      <c r="A484" s="178" t="s">
        <v>80</v>
      </c>
      <c r="B484" s="75" t="s">
        <v>705</v>
      </c>
      <c r="C484" s="39" t="s">
        <v>17</v>
      </c>
      <c r="D484" s="236"/>
      <c r="E484" s="236"/>
      <c r="F484" s="236"/>
      <c r="G484" s="236"/>
      <c r="H484" s="40">
        <f>SUM(Tabla132112413[[#This Row],[PRIMER TRIMESTRE]:[CUARTO TRIMESTRE]])</f>
        <v>0</v>
      </c>
      <c r="I484" s="72">
        <v>61360</v>
      </c>
      <c r="J484" s="17">
        <f t="shared" si="11"/>
        <v>0</v>
      </c>
      <c r="K484" s="17"/>
      <c r="L484" s="16" t="s">
        <v>18</v>
      </c>
      <c r="M484" s="16" t="s">
        <v>22</v>
      </c>
      <c r="N484" s="39"/>
    </row>
    <row r="485" spans="1:14" s="12" customFormat="1" ht="18">
      <c r="A485" s="178" t="s">
        <v>80</v>
      </c>
      <c r="B485" s="75" t="s">
        <v>1687</v>
      </c>
      <c r="C485" s="39" t="s">
        <v>17</v>
      </c>
      <c r="D485" s="236"/>
      <c r="E485" s="236"/>
      <c r="F485" s="236"/>
      <c r="G485" s="236"/>
      <c r="H485" s="40">
        <v>0</v>
      </c>
      <c r="I485" s="72">
        <v>0</v>
      </c>
      <c r="J485" s="17">
        <v>0</v>
      </c>
      <c r="K485" s="17"/>
      <c r="L485" s="16" t="s">
        <v>18</v>
      </c>
      <c r="M485" s="16" t="s">
        <v>22</v>
      </c>
      <c r="N485" s="39"/>
    </row>
    <row r="486" spans="1:14" s="12" customFormat="1" ht="18">
      <c r="A486" s="178" t="s">
        <v>80</v>
      </c>
      <c r="B486" s="75" t="s">
        <v>1528</v>
      </c>
      <c r="C486" s="39" t="s">
        <v>17</v>
      </c>
      <c r="D486" s="236"/>
      <c r="E486" s="236"/>
      <c r="F486" s="236"/>
      <c r="G486" s="236"/>
      <c r="H486" s="236">
        <f>SUM(Tabla132112413[[#This Row],[PRIMER TRIMESTRE]:[CUARTO TRIMESTRE]])</f>
        <v>0</v>
      </c>
      <c r="I486" s="72">
        <v>4973.5</v>
      </c>
      <c r="J486" s="72">
        <f t="shared" ref="J486:J549" si="12">+H486*I486</f>
        <v>0</v>
      </c>
      <c r="K486" s="17"/>
      <c r="L486" s="16" t="s">
        <v>18</v>
      </c>
      <c r="M486" s="16" t="s">
        <v>22</v>
      </c>
      <c r="N486" s="39"/>
    </row>
    <row r="487" spans="1:14" s="12" customFormat="1" ht="18">
      <c r="A487" s="178" t="s">
        <v>80</v>
      </c>
      <c r="B487" s="75" t="s">
        <v>1722</v>
      </c>
      <c r="C487" s="39" t="s">
        <v>17</v>
      </c>
      <c r="D487" s="236"/>
      <c r="E487" s="236"/>
      <c r="F487" s="236"/>
      <c r="G487" s="236"/>
      <c r="H487" s="40">
        <v>0</v>
      </c>
      <c r="I487" s="72">
        <v>0</v>
      </c>
      <c r="J487" s="72">
        <v>0</v>
      </c>
      <c r="K487" s="17"/>
      <c r="L487" s="16" t="s">
        <v>18</v>
      </c>
      <c r="M487" s="16" t="s">
        <v>22</v>
      </c>
      <c r="N487" s="39"/>
    </row>
    <row r="488" spans="1:14" s="12" customFormat="1" ht="18">
      <c r="A488" s="178" t="s">
        <v>80</v>
      </c>
      <c r="B488" s="75" t="s">
        <v>703</v>
      </c>
      <c r="C488" s="39" t="s">
        <v>17</v>
      </c>
      <c r="D488" s="236"/>
      <c r="E488" s="236"/>
      <c r="F488" s="236"/>
      <c r="G488" s="236"/>
      <c r="H488" s="40">
        <f>SUM(Tabla132112413[[#This Row],[PRIMER TRIMESTRE]:[CUARTO TRIMESTRE]])</f>
        <v>0</v>
      </c>
      <c r="I488" s="72">
        <v>1926.1</v>
      </c>
      <c r="J488" s="17">
        <f t="shared" si="12"/>
        <v>0</v>
      </c>
      <c r="K488" s="17"/>
      <c r="L488" s="16" t="s">
        <v>18</v>
      </c>
      <c r="M488" s="16" t="s">
        <v>22</v>
      </c>
      <c r="N488" s="39"/>
    </row>
    <row r="489" spans="1:14" s="12" customFormat="1" ht="18">
      <c r="A489" s="178" t="s">
        <v>80</v>
      </c>
      <c r="B489" s="75" t="s">
        <v>704</v>
      </c>
      <c r="C489" s="39" t="s">
        <v>17</v>
      </c>
      <c r="D489" s="236"/>
      <c r="E489" s="236"/>
      <c r="F489" s="236"/>
      <c r="G489" s="236"/>
      <c r="H489" s="40">
        <f>SUM(Tabla132112413[[#This Row],[PRIMER TRIMESTRE]:[CUARTO TRIMESTRE]])</f>
        <v>0</v>
      </c>
      <c r="I489" s="72">
        <v>3940</v>
      </c>
      <c r="J489" s="17">
        <f t="shared" si="12"/>
        <v>0</v>
      </c>
      <c r="K489" s="17"/>
      <c r="L489" s="16" t="s">
        <v>18</v>
      </c>
      <c r="M489" s="16" t="s">
        <v>22</v>
      </c>
      <c r="N489" s="39"/>
    </row>
    <row r="490" spans="1:14" s="12" customFormat="1" ht="18">
      <c r="A490" s="178" t="s">
        <v>80</v>
      </c>
      <c r="B490" s="75" t="s">
        <v>1216</v>
      </c>
      <c r="C490" s="39" t="s">
        <v>17</v>
      </c>
      <c r="D490" s="236"/>
      <c r="E490" s="236"/>
      <c r="F490" s="236"/>
      <c r="G490" s="236"/>
      <c r="H490" s="40">
        <f>SUM(Tabla132112413[[#This Row],[PRIMER TRIMESTRE]:[CUARTO TRIMESTRE]])</f>
        <v>0</v>
      </c>
      <c r="I490" s="175">
        <v>3940</v>
      </c>
      <c r="J490" s="17">
        <f t="shared" si="12"/>
        <v>0</v>
      </c>
      <c r="K490" s="17"/>
      <c r="L490" s="16" t="s">
        <v>18</v>
      </c>
      <c r="M490" s="16" t="s">
        <v>22</v>
      </c>
      <c r="N490" s="39"/>
    </row>
    <row r="491" spans="1:14" s="12" customFormat="1" ht="18">
      <c r="A491" s="178" t="s">
        <v>80</v>
      </c>
      <c r="B491" s="75" t="s">
        <v>1215</v>
      </c>
      <c r="C491" s="39" t="s">
        <v>17</v>
      </c>
      <c r="D491" s="236"/>
      <c r="E491" s="236"/>
      <c r="F491" s="236"/>
      <c r="G491" s="236"/>
      <c r="H491" s="40">
        <f>SUM(Tabla132112413[[#This Row],[PRIMER TRIMESTRE]:[CUARTO TRIMESTRE]])</f>
        <v>0</v>
      </c>
      <c r="I491" s="72">
        <v>3940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</row>
    <row r="492" spans="1:14" s="12" customFormat="1" ht="18">
      <c r="A492" s="178" t="s">
        <v>80</v>
      </c>
      <c r="B492" s="75" t="s">
        <v>1620</v>
      </c>
      <c r="C492" s="39" t="s">
        <v>17</v>
      </c>
      <c r="D492" s="236"/>
      <c r="E492" s="236"/>
      <c r="F492" s="236"/>
      <c r="G492" s="236"/>
      <c r="H492" s="40">
        <f>SUM(Tabla132112413[[#This Row],[PRIMER TRIMESTRE]:[CUARTO TRIMESTRE]])</f>
        <v>0</v>
      </c>
      <c r="I492" s="72">
        <v>4973.5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</row>
    <row r="493" spans="1:14" s="12" customFormat="1" ht="18">
      <c r="A493" s="178" t="s">
        <v>80</v>
      </c>
      <c r="B493" s="75" t="s">
        <v>1850</v>
      </c>
      <c r="C493" s="39" t="s">
        <v>17</v>
      </c>
      <c r="D493" s="236"/>
      <c r="E493" s="236"/>
      <c r="F493" s="236"/>
      <c r="G493" s="236"/>
      <c r="H493" s="40">
        <v>0</v>
      </c>
      <c r="I493" s="72">
        <v>0</v>
      </c>
      <c r="J493" s="17">
        <v>0</v>
      </c>
      <c r="K493" s="17"/>
      <c r="L493" s="16" t="s">
        <v>18</v>
      </c>
      <c r="M493" s="16" t="s">
        <v>22</v>
      </c>
      <c r="N493" s="39"/>
    </row>
    <row r="494" spans="1:14" s="12" customFormat="1" ht="18">
      <c r="A494" s="178" t="s">
        <v>80</v>
      </c>
      <c r="B494" s="75" t="s">
        <v>1529</v>
      </c>
      <c r="C494" s="39" t="s">
        <v>17</v>
      </c>
      <c r="D494" s="236"/>
      <c r="E494" s="236"/>
      <c r="F494" s="236"/>
      <c r="G494" s="236"/>
      <c r="H494" s="236">
        <f>SUM(Tabla132112413[[#This Row],[PRIMER TRIMESTRE]:[CUARTO TRIMESTRE]])</f>
        <v>0</v>
      </c>
      <c r="I494" s="72">
        <v>4.57</v>
      </c>
      <c r="J494" s="17">
        <f t="shared" si="12"/>
        <v>0</v>
      </c>
      <c r="K494" s="17"/>
      <c r="L494" s="16" t="s">
        <v>18</v>
      </c>
      <c r="M494" s="16" t="s">
        <v>22</v>
      </c>
      <c r="N494" s="39"/>
    </row>
    <row r="495" spans="1:14" s="12" customFormat="1" ht="18">
      <c r="A495" s="178" t="s">
        <v>80</v>
      </c>
      <c r="B495" s="75" t="s">
        <v>1569</v>
      </c>
      <c r="C495" s="39" t="s">
        <v>17</v>
      </c>
      <c r="D495" s="236"/>
      <c r="E495" s="236"/>
      <c r="F495" s="236"/>
      <c r="G495" s="236"/>
      <c r="H495" s="236">
        <f>SUM(Tabla132112413[[#This Row],[PRIMER TRIMESTRE]:[CUARTO TRIMESTRE]])</f>
        <v>0</v>
      </c>
      <c r="I495" s="72">
        <v>85.92</v>
      </c>
      <c r="J495" s="17">
        <f t="shared" si="12"/>
        <v>0</v>
      </c>
      <c r="K495" s="17"/>
      <c r="L495" s="16" t="s">
        <v>18</v>
      </c>
      <c r="M495" s="16" t="s">
        <v>22</v>
      </c>
      <c r="N495" s="39"/>
    </row>
    <row r="496" spans="1:14" s="12" customFormat="1" ht="18">
      <c r="A496" s="178" t="s">
        <v>80</v>
      </c>
      <c r="B496" s="75" t="s">
        <v>1568</v>
      </c>
      <c r="C496" s="39" t="s">
        <v>17</v>
      </c>
      <c r="D496" s="236"/>
      <c r="E496" s="236"/>
      <c r="F496" s="236"/>
      <c r="G496" s="236"/>
      <c r="H496" s="236">
        <f>SUM(Tabla132112413[[#This Row],[PRIMER TRIMESTRE]:[CUARTO TRIMESTRE]])</f>
        <v>0</v>
      </c>
      <c r="I496" s="72">
        <v>26.5</v>
      </c>
      <c r="J496" s="17">
        <f t="shared" si="12"/>
        <v>0</v>
      </c>
      <c r="K496" s="17"/>
      <c r="L496" s="16" t="s">
        <v>18</v>
      </c>
      <c r="M496" s="16" t="s">
        <v>22</v>
      </c>
      <c r="N496" s="39"/>
    </row>
    <row r="497" spans="1:14" s="12" customFormat="1" ht="18">
      <c r="A497" s="178" t="s">
        <v>80</v>
      </c>
      <c r="B497" s="75" t="s">
        <v>1530</v>
      </c>
      <c r="C497" s="39" t="s">
        <v>17</v>
      </c>
      <c r="D497" s="236"/>
      <c r="E497" s="236"/>
      <c r="F497" s="236"/>
      <c r="G497" s="236"/>
      <c r="H497" s="236">
        <f>SUM(Tabla132112413[[#This Row],[PRIMER TRIMESTRE]:[CUARTO TRIMESTRE]])</f>
        <v>0</v>
      </c>
      <c r="I497" s="72">
        <v>6.07</v>
      </c>
      <c r="J497" s="17">
        <f t="shared" si="12"/>
        <v>0</v>
      </c>
      <c r="K497" s="17"/>
      <c r="L497" s="16" t="s">
        <v>18</v>
      </c>
      <c r="M497" s="16" t="s">
        <v>22</v>
      </c>
      <c r="N497" s="39"/>
    </row>
    <row r="498" spans="1:14" s="12" customFormat="1" ht="18">
      <c r="A498" s="178" t="s">
        <v>80</v>
      </c>
      <c r="B498" s="75" t="s">
        <v>387</v>
      </c>
      <c r="C498" s="39" t="s">
        <v>17</v>
      </c>
      <c r="D498" s="236"/>
      <c r="E498" s="236"/>
      <c r="F498" s="236"/>
      <c r="G498" s="236"/>
      <c r="H498" s="40">
        <f>SUM(Tabla132112413[[#This Row],[PRIMER TRIMESTRE]:[CUARTO TRIMESTRE]])</f>
        <v>0</v>
      </c>
      <c r="I498" s="17">
        <v>4.1100000000000003</v>
      </c>
      <c r="J498" s="17">
        <f t="shared" si="12"/>
        <v>0</v>
      </c>
      <c r="K498" s="17"/>
      <c r="L498" s="16" t="s">
        <v>18</v>
      </c>
      <c r="M498" s="16" t="s">
        <v>22</v>
      </c>
      <c r="N498" s="39"/>
    </row>
    <row r="499" spans="1:14" s="12" customFormat="1" ht="18">
      <c r="A499" s="178" t="s">
        <v>80</v>
      </c>
      <c r="B499" s="75" t="s">
        <v>388</v>
      </c>
      <c r="C499" s="39" t="s">
        <v>17</v>
      </c>
      <c r="D499" s="236"/>
      <c r="E499" s="236"/>
      <c r="F499" s="236"/>
      <c r="G499" s="236"/>
      <c r="H499" s="40">
        <f>SUM(Tabla132112413[[#This Row],[PRIMER TRIMESTRE]:[CUARTO TRIMESTRE]])</f>
        <v>0</v>
      </c>
      <c r="I499" s="17">
        <v>5.25</v>
      </c>
      <c r="J499" s="17">
        <f t="shared" si="12"/>
        <v>0</v>
      </c>
      <c r="K499" s="17"/>
      <c r="L499" s="16" t="s">
        <v>18</v>
      </c>
      <c r="M499" s="16" t="s">
        <v>22</v>
      </c>
      <c r="N499" s="39"/>
    </row>
    <row r="500" spans="1:14" s="12" customFormat="1" ht="18">
      <c r="A500" s="178" t="s">
        <v>80</v>
      </c>
      <c r="B500" s="75" t="s">
        <v>1567</v>
      </c>
      <c r="C500" s="39" t="s">
        <v>17</v>
      </c>
      <c r="D500" s="236"/>
      <c r="E500" s="236"/>
      <c r="F500" s="236"/>
      <c r="G500" s="236"/>
      <c r="H500" s="236">
        <f>SUM(Tabla132112413[[#This Row],[PRIMER TRIMESTRE]:[CUARTO TRIMESTRE]])</f>
        <v>0</v>
      </c>
      <c r="I500" s="17">
        <v>15</v>
      </c>
      <c r="J500" s="17">
        <f t="shared" si="12"/>
        <v>0</v>
      </c>
      <c r="K500" s="17"/>
      <c r="L500" s="16" t="s">
        <v>18</v>
      </c>
      <c r="M500" s="16" t="s">
        <v>22</v>
      </c>
      <c r="N500" s="39"/>
    </row>
    <row r="501" spans="1:14" s="12" customFormat="1" ht="18">
      <c r="A501" s="178" t="s">
        <v>80</v>
      </c>
      <c r="B501" s="75" t="s">
        <v>389</v>
      </c>
      <c r="C501" s="39" t="s">
        <v>17</v>
      </c>
      <c r="D501" s="236"/>
      <c r="E501" s="236"/>
      <c r="F501" s="236"/>
      <c r="G501" s="236"/>
      <c r="H501" s="40">
        <f>SUM(Tabla132112413[[#This Row],[PRIMER TRIMESTRE]:[CUARTO TRIMESTRE]])</f>
        <v>0</v>
      </c>
      <c r="I501" s="17">
        <v>11</v>
      </c>
      <c r="J501" s="17">
        <f t="shared" si="12"/>
        <v>0</v>
      </c>
      <c r="K501" s="17"/>
      <c r="L501" s="16" t="s">
        <v>18</v>
      </c>
      <c r="M501" s="16" t="s">
        <v>22</v>
      </c>
      <c r="N501" s="39"/>
    </row>
    <row r="502" spans="1:14" s="12" customFormat="1" ht="18">
      <c r="A502" s="178" t="s">
        <v>80</v>
      </c>
      <c r="B502" s="75" t="s">
        <v>1851</v>
      </c>
      <c r="C502" s="39" t="s">
        <v>17</v>
      </c>
      <c r="D502" s="236"/>
      <c r="E502" s="236"/>
      <c r="F502" s="236"/>
      <c r="G502" s="236"/>
      <c r="H502" s="40">
        <v>0</v>
      </c>
      <c r="I502" s="17">
        <v>0</v>
      </c>
      <c r="J502" s="17">
        <v>0</v>
      </c>
      <c r="K502" s="17"/>
      <c r="L502" s="16" t="s">
        <v>18</v>
      </c>
      <c r="M502" s="16" t="s">
        <v>22</v>
      </c>
      <c r="N502" s="39"/>
    </row>
    <row r="503" spans="1:14" s="12" customFormat="1" ht="25.5">
      <c r="A503" s="178" t="s">
        <v>80</v>
      </c>
      <c r="B503" s="75" t="s">
        <v>1716</v>
      </c>
      <c r="C503" s="39" t="s">
        <v>17</v>
      </c>
      <c r="D503" s="236"/>
      <c r="E503" s="236"/>
      <c r="F503" s="236"/>
      <c r="G503" s="236"/>
      <c r="H503" s="40">
        <v>0</v>
      </c>
      <c r="I503" s="17">
        <v>0</v>
      </c>
      <c r="J503" s="17">
        <v>0</v>
      </c>
      <c r="K503" s="17"/>
      <c r="L503" s="16" t="s">
        <v>18</v>
      </c>
      <c r="M503" s="16" t="s">
        <v>22</v>
      </c>
      <c r="N503" s="39"/>
    </row>
    <row r="504" spans="1:14" s="12" customFormat="1" ht="18">
      <c r="A504" s="178" t="s">
        <v>80</v>
      </c>
      <c r="B504" s="75" t="s">
        <v>1621</v>
      </c>
      <c r="C504" s="39" t="s">
        <v>17</v>
      </c>
      <c r="D504" s="236"/>
      <c r="E504" s="236"/>
      <c r="F504" s="236"/>
      <c r="G504" s="236"/>
      <c r="H504" s="236">
        <f>SUM(Tabla132112413[[#This Row],[PRIMER TRIMESTRE]:[CUARTO TRIMESTRE]])</f>
        <v>0</v>
      </c>
      <c r="I504" s="17">
        <v>6790</v>
      </c>
      <c r="J504" s="17">
        <f t="shared" si="12"/>
        <v>0</v>
      </c>
      <c r="K504" s="17"/>
      <c r="L504" s="16" t="s">
        <v>18</v>
      </c>
      <c r="M504" s="16" t="s">
        <v>22</v>
      </c>
      <c r="N504" s="39"/>
    </row>
    <row r="505" spans="1:14" s="12" customFormat="1" ht="18">
      <c r="A505" s="178" t="s">
        <v>80</v>
      </c>
      <c r="B505" s="75" t="s">
        <v>1482</v>
      </c>
      <c r="C505" s="39" t="s">
        <v>17</v>
      </c>
      <c r="D505" s="236"/>
      <c r="E505" s="236"/>
      <c r="F505" s="236"/>
      <c r="G505" s="236"/>
      <c r="H505" s="236">
        <f>SUM(Tabla132112413[[#This Row],[PRIMER TRIMESTRE]:[CUARTO TRIMESTRE]])</f>
        <v>0</v>
      </c>
      <c r="I505" s="17">
        <v>12500</v>
      </c>
      <c r="J505" s="17">
        <f t="shared" si="12"/>
        <v>0</v>
      </c>
      <c r="K505" s="17"/>
      <c r="L505" s="16" t="s">
        <v>18</v>
      </c>
      <c r="M505" s="16" t="s">
        <v>22</v>
      </c>
      <c r="N505" s="39"/>
    </row>
    <row r="506" spans="1:14" s="12" customFormat="1" ht="18">
      <c r="A506" s="178" t="s">
        <v>80</v>
      </c>
      <c r="B506" s="75" t="s">
        <v>1483</v>
      </c>
      <c r="C506" s="39" t="s">
        <v>17</v>
      </c>
      <c r="D506" s="236"/>
      <c r="E506" s="236"/>
      <c r="F506" s="236"/>
      <c r="G506" s="236"/>
      <c r="H506" s="236">
        <f>SUM(Tabla132112413[[#This Row],[PRIMER TRIMESTRE]:[CUARTO TRIMESTRE]])</f>
        <v>0</v>
      </c>
      <c r="I506" s="17">
        <v>11430</v>
      </c>
      <c r="J506" s="17">
        <f t="shared" si="12"/>
        <v>0</v>
      </c>
      <c r="K506" s="17"/>
      <c r="L506" s="16" t="s">
        <v>18</v>
      </c>
      <c r="M506" s="16" t="s">
        <v>22</v>
      </c>
      <c r="N506" s="39"/>
    </row>
    <row r="507" spans="1:14" s="12" customFormat="1" ht="25.5">
      <c r="A507" s="178" t="s">
        <v>80</v>
      </c>
      <c r="B507" s="75" t="s">
        <v>1484</v>
      </c>
      <c r="C507" s="39" t="s">
        <v>17</v>
      </c>
      <c r="D507" s="236"/>
      <c r="E507" s="236"/>
      <c r="F507" s="236"/>
      <c r="G507" s="236"/>
      <c r="H507" s="236">
        <f>SUM(Tabla132112413[[#This Row],[PRIMER TRIMESTRE]:[CUARTO TRIMESTRE]])</f>
        <v>0</v>
      </c>
      <c r="I507" s="17">
        <v>18242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</row>
    <row r="508" spans="1:14" s="12" customFormat="1" ht="25.5">
      <c r="A508" s="178" t="s">
        <v>80</v>
      </c>
      <c r="B508" s="75" t="s">
        <v>1485</v>
      </c>
      <c r="C508" s="39" t="s">
        <v>17</v>
      </c>
      <c r="D508" s="236"/>
      <c r="E508" s="236"/>
      <c r="F508" s="236"/>
      <c r="G508" s="236"/>
      <c r="H508" s="236">
        <f>SUM(Tabla132112413[[#This Row],[PRIMER TRIMESTRE]:[CUARTO TRIMESTRE]])</f>
        <v>0</v>
      </c>
      <c r="I508" s="17">
        <v>17900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</row>
    <row r="509" spans="1:14" s="12" customFormat="1" ht="18">
      <c r="A509" s="178" t="s">
        <v>80</v>
      </c>
      <c r="B509" s="75" t="s">
        <v>1486</v>
      </c>
      <c r="C509" s="39" t="s">
        <v>17</v>
      </c>
      <c r="D509" s="236"/>
      <c r="E509" s="236"/>
      <c r="F509" s="236"/>
      <c r="G509" s="236"/>
      <c r="H509" s="236">
        <f>SUM(Tabla132112413[[#This Row],[PRIMER TRIMESTRE]:[CUARTO TRIMESTRE]])</f>
        <v>0</v>
      </c>
      <c r="I509" s="17">
        <v>16800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</row>
    <row r="510" spans="1:14" s="12" customFormat="1" ht="25.5">
      <c r="A510" s="178" t="s">
        <v>80</v>
      </c>
      <c r="B510" s="75" t="s">
        <v>1487</v>
      </c>
      <c r="C510" s="39" t="s">
        <v>17</v>
      </c>
      <c r="D510" s="236"/>
      <c r="E510" s="236"/>
      <c r="F510" s="236"/>
      <c r="G510" s="236"/>
      <c r="H510" s="236">
        <f>SUM(Tabla132112413[[#This Row],[PRIMER TRIMESTRE]:[CUARTO TRIMESTRE]])</f>
        <v>0</v>
      </c>
      <c r="I510" s="17">
        <v>12500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</row>
    <row r="511" spans="1:14" s="12" customFormat="1" ht="25.5">
      <c r="A511" s="178" t="s">
        <v>80</v>
      </c>
      <c r="B511" s="75" t="s">
        <v>1488</v>
      </c>
      <c r="C511" s="39" t="s">
        <v>17</v>
      </c>
      <c r="D511" s="236"/>
      <c r="E511" s="236"/>
      <c r="F511" s="236"/>
      <c r="G511" s="236"/>
      <c r="H511" s="236">
        <f>SUM(Tabla132112413[[#This Row],[PRIMER TRIMESTRE]:[CUARTO TRIMESTRE]])</f>
        <v>0</v>
      </c>
      <c r="I511" s="17">
        <v>31500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</row>
    <row r="512" spans="1:14" s="12" customFormat="1" ht="25.5">
      <c r="A512" s="178" t="s">
        <v>1852</v>
      </c>
      <c r="B512" s="75" t="s">
        <v>1489</v>
      </c>
      <c r="C512" s="39" t="s">
        <v>17</v>
      </c>
      <c r="D512" s="236"/>
      <c r="E512" s="236"/>
      <c r="F512" s="236"/>
      <c r="G512" s="236"/>
      <c r="H512" s="40">
        <v>0</v>
      </c>
      <c r="I512" s="17">
        <v>0</v>
      </c>
      <c r="J512" s="17">
        <v>0</v>
      </c>
      <c r="K512" s="17"/>
      <c r="L512" s="16" t="s">
        <v>18</v>
      </c>
      <c r="M512" s="16" t="s">
        <v>22</v>
      </c>
      <c r="N512" s="39"/>
    </row>
    <row r="513" spans="1:14" s="12" customFormat="1" ht="25.5">
      <c r="A513" s="178" t="s">
        <v>80</v>
      </c>
      <c r="B513" s="75" t="s">
        <v>1489</v>
      </c>
      <c r="C513" s="39" t="s">
        <v>17</v>
      </c>
      <c r="D513" s="236"/>
      <c r="E513" s="236"/>
      <c r="F513" s="236"/>
      <c r="G513" s="236"/>
      <c r="H513" s="236">
        <f>SUM(Tabla132112413[[#This Row],[PRIMER TRIMESTRE]:[CUARTO TRIMESTRE]])</f>
        <v>0</v>
      </c>
      <c r="I513" s="17">
        <v>48500</v>
      </c>
      <c r="J513" s="17">
        <f t="shared" si="12"/>
        <v>0</v>
      </c>
      <c r="K513" s="17"/>
      <c r="L513" s="16" t="s">
        <v>18</v>
      </c>
      <c r="M513" s="16" t="s">
        <v>22</v>
      </c>
      <c r="N513" s="39"/>
    </row>
    <row r="514" spans="1:14" s="12" customFormat="1" ht="25.5">
      <c r="A514" s="178" t="s">
        <v>80</v>
      </c>
      <c r="B514" s="75" t="s">
        <v>1490</v>
      </c>
      <c r="C514" s="39" t="s">
        <v>17</v>
      </c>
      <c r="D514" s="236"/>
      <c r="E514" s="236"/>
      <c r="F514" s="236"/>
      <c r="G514" s="236"/>
      <c r="H514" s="236">
        <f>SUM(Tabla132112413[[#This Row],[PRIMER TRIMESTRE]:[CUARTO TRIMESTRE]])</f>
        <v>0</v>
      </c>
      <c r="I514" s="17">
        <v>22260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</row>
    <row r="515" spans="1:14" s="12" customFormat="1" ht="25.5">
      <c r="A515" s="178" t="s">
        <v>80</v>
      </c>
      <c r="B515" s="75" t="s">
        <v>1491</v>
      </c>
      <c r="C515" s="39" t="s">
        <v>17</v>
      </c>
      <c r="D515" s="236"/>
      <c r="E515" s="236"/>
      <c r="F515" s="236"/>
      <c r="G515" s="236"/>
      <c r="H515" s="236">
        <f>SUM(Tabla132112413[[#This Row],[PRIMER TRIMESTRE]:[CUARTO TRIMESTRE]])</f>
        <v>0</v>
      </c>
      <c r="I515" s="17">
        <v>25500</v>
      </c>
      <c r="J515" s="17">
        <f t="shared" si="12"/>
        <v>0</v>
      </c>
      <c r="K515" s="17"/>
      <c r="L515" s="16" t="s">
        <v>18</v>
      </c>
      <c r="M515" s="16" t="s">
        <v>22</v>
      </c>
      <c r="N515" s="39"/>
    </row>
    <row r="516" spans="1:14" s="12" customFormat="1" ht="25.5">
      <c r="A516" s="178" t="s">
        <v>80</v>
      </c>
      <c r="B516" s="75" t="s">
        <v>1492</v>
      </c>
      <c r="C516" s="39" t="s">
        <v>17</v>
      </c>
      <c r="D516" s="236"/>
      <c r="E516" s="236"/>
      <c r="F516" s="236"/>
      <c r="G516" s="236"/>
      <c r="H516" s="236">
        <f>SUM(Tabla132112413[[#This Row],[PRIMER TRIMESTRE]:[CUARTO TRIMESTRE]])</f>
        <v>0</v>
      </c>
      <c r="I516" s="17">
        <v>22600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</row>
    <row r="517" spans="1:14" s="12" customFormat="1" ht="25.5">
      <c r="A517" s="178" t="s">
        <v>80</v>
      </c>
      <c r="B517" s="75" t="s">
        <v>1493</v>
      </c>
      <c r="C517" s="39" t="s">
        <v>17</v>
      </c>
      <c r="D517" s="236"/>
      <c r="E517" s="236"/>
      <c r="F517" s="236"/>
      <c r="G517" s="236"/>
      <c r="H517" s="236">
        <f>SUM(Tabla132112413[[#This Row],[PRIMER TRIMESTRE]:[CUARTO TRIMESTRE]])</f>
        <v>0</v>
      </c>
      <c r="I517" s="17">
        <v>22350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</row>
    <row r="518" spans="1:14" s="12" customFormat="1" ht="38.25">
      <c r="A518" s="178" t="s">
        <v>80</v>
      </c>
      <c r="B518" s="75" t="s">
        <v>1494</v>
      </c>
      <c r="C518" s="39" t="s">
        <v>17</v>
      </c>
      <c r="D518" s="236"/>
      <c r="E518" s="236"/>
      <c r="F518" s="236"/>
      <c r="G518" s="236"/>
      <c r="H518" s="236">
        <f>SUM(Tabla132112413[[#This Row],[PRIMER TRIMESTRE]:[CUARTO TRIMESTRE]])</f>
        <v>0</v>
      </c>
      <c r="I518" s="17">
        <v>49500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</row>
    <row r="519" spans="1:14" s="12" customFormat="1" ht="38.25">
      <c r="A519" s="178" t="s">
        <v>80</v>
      </c>
      <c r="B519" s="75" t="s">
        <v>1495</v>
      </c>
      <c r="C519" s="39" t="s">
        <v>17</v>
      </c>
      <c r="D519" s="236"/>
      <c r="E519" s="236"/>
      <c r="F519" s="236"/>
      <c r="G519" s="236"/>
      <c r="H519" s="236">
        <f>SUM(Tabla132112413[[#This Row],[PRIMER TRIMESTRE]:[CUARTO TRIMESTRE]])</f>
        <v>0</v>
      </c>
      <c r="I519" s="17">
        <v>11200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</row>
    <row r="520" spans="1:14" s="12" customFormat="1" ht="38.25">
      <c r="A520" s="178" t="s">
        <v>80</v>
      </c>
      <c r="B520" s="75" t="s">
        <v>1496</v>
      </c>
      <c r="C520" s="39" t="s">
        <v>17</v>
      </c>
      <c r="D520" s="236"/>
      <c r="E520" s="236"/>
      <c r="F520" s="236"/>
      <c r="G520" s="236"/>
      <c r="H520" s="236">
        <f>SUM(Tabla132112413[[#This Row],[PRIMER TRIMESTRE]:[CUARTO TRIMESTRE]])</f>
        <v>0</v>
      </c>
      <c r="I520" s="17">
        <v>88000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</row>
    <row r="521" spans="1:14" s="12" customFormat="1" ht="25.5">
      <c r="A521" s="178" t="s">
        <v>80</v>
      </c>
      <c r="B521" s="75" t="s">
        <v>1497</v>
      </c>
      <c r="C521" s="39" t="s">
        <v>17</v>
      </c>
      <c r="D521" s="236"/>
      <c r="E521" s="236"/>
      <c r="F521" s="236"/>
      <c r="G521" s="236"/>
      <c r="H521" s="236">
        <f>SUM(Tabla132112413[[#This Row],[PRIMER TRIMESTRE]:[CUARTO TRIMESTRE]])</f>
        <v>0</v>
      </c>
      <c r="I521" s="17">
        <v>26500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</row>
    <row r="522" spans="1:14" s="12" customFormat="1" ht="25.5">
      <c r="A522" s="178" t="s">
        <v>80</v>
      </c>
      <c r="B522" s="75" t="s">
        <v>1498</v>
      </c>
      <c r="C522" s="39" t="s">
        <v>17</v>
      </c>
      <c r="D522" s="236"/>
      <c r="E522" s="236"/>
      <c r="F522" s="236"/>
      <c r="G522" s="236"/>
      <c r="H522" s="236">
        <f>SUM(Tabla132112413[[#This Row],[PRIMER TRIMESTRE]:[CUARTO TRIMESTRE]])</f>
        <v>0</v>
      </c>
      <c r="I522" s="17">
        <v>48500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</row>
    <row r="523" spans="1:14" s="12" customFormat="1" ht="18">
      <c r="A523" s="178" t="s">
        <v>80</v>
      </c>
      <c r="B523" s="75" t="s">
        <v>1499</v>
      </c>
      <c r="C523" s="39" t="s">
        <v>17</v>
      </c>
      <c r="D523" s="236"/>
      <c r="E523" s="236"/>
      <c r="F523" s="236"/>
      <c r="G523" s="236"/>
      <c r="H523" s="236">
        <f>SUM(Tabla132112413[[#This Row],[PRIMER TRIMESTRE]:[CUARTO TRIMESTRE]])</f>
        <v>0</v>
      </c>
      <c r="I523" s="17">
        <v>26500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</row>
    <row r="524" spans="1:14" s="12" customFormat="1" ht="25.5">
      <c r="A524" s="178" t="s">
        <v>80</v>
      </c>
      <c r="B524" s="75" t="s">
        <v>1500</v>
      </c>
      <c r="C524" s="39" t="s">
        <v>17</v>
      </c>
      <c r="D524" s="236"/>
      <c r="E524" s="236"/>
      <c r="F524" s="236"/>
      <c r="G524" s="236"/>
      <c r="H524" s="236">
        <f>SUM(Tabla132112413[[#This Row],[PRIMER TRIMESTRE]:[CUARTO TRIMESTRE]])</f>
        <v>0</v>
      </c>
      <c r="I524" s="17">
        <v>22700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</row>
    <row r="525" spans="1:14" s="12" customFormat="1" ht="25.5">
      <c r="A525" s="178" t="s">
        <v>80</v>
      </c>
      <c r="B525" s="75" t="s">
        <v>1501</v>
      </c>
      <c r="C525" s="39" t="s">
        <v>17</v>
      </c>
      <c r="D525" s="236"/>
      <c r="E525" s="236"/>
      <c r="F525" s="236"/>
      <c r="G525" s="236"/>
      <c r="H525" s="236">
        <f>SUM(Tabla132112413[[#This Row],[PRIMER TRIMESTRE]:[CUARTO TRIMESTRE]])</f>
        <v>0</v>
      </c>
      <c r="I525" s="17">
        <v>3220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</row>
    <row r="526" spans="1:14" s="12" customFormat="1" ht="18">
      <c r="A526" s="178" t="s">
        <v>80</v>
      </c>
      <c r="B526" s="75" t="s">
        <v>1534</v>
      </c>
      <c r="C526" s="39" t="s">
        <v>17</v>
      </c>
      <c r="D526" s="236"/>
      <c r="E526" s="236"/>
      <c r="F526" s="236"/>
      <c r="G526" s="236"/>
      <c r="H526" s="236">
        <f>SUM(Tabla132112413[[#This Row],[PRIMER TRIMESTRE]:[CUARTO TRIMESTRE]])</f>
        <v>0</v>
      </c>
      <c r="I526" s="17">
        <v>2380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</row>
    <row r="527" spans="1:14" s="12" customFormat="1" ht="25.5">
      <c r="A527" s="178" t="s">
        <v>80</v>
      </c>
      <c r="B527" s="75" t="s">
        <v>1682</v>
      </c>
      <c r="C527" s="39" t="s">
        <v>17</v>
      </c>
      <c r="D527" s="236"/>
      <c r="E527" s="236"/>
      <c r="F527" s="236"/>
      <c r="G527" s="236"/>
      <c r="H527" s="40">
        <v>0</v>
      </c>
      <c r="I527" s="17">
        <v>0</v>
      </c>
      <c r="J527" s="17">
        <v>0</v>
      </c>
      <c r="K527" s="17"/>
      <c r="L527" s="16" t="s">
        <v>18</v>
      </c>
      <c r="M527" s="16" t="s">
        <v>22</v>
      </c>
      <c r="N527" s="39"/>
    </row>
    <row r="528" spans="1:14" s="12" customFormat="1" ht="38.25">
      <c r="A528" s="178" t="s">
        <v>80</v>
      </c>
      <c r="B528" s="75" t="s">
        <v>1502</v>
      </c>
      <c r="C528" s="39" t="s">
        <v>17</v>
      </c>
      <c r="D528" s="236"/>
      <c r="E528" s="236"/>
      <c r="F528" s="236"/>
      <c r="G528" s="236"/>
      <c r="H528" s="236">
        <f>SUM(Tabla132112413[[#This Row],[PRIMER TRIMESTRE]:[CUARTO TRIMESTRE]])</f>
        <v>0</v>
      </c>
      <c r="I528" s="17">
        <v>34440</v>
      </c>
      <c r="J528" s="17">
        <f t="shared" si="12"/>
        <v>0</v>
      </c>
      <c r="K528" s="17"/>
      <c r="L528" s="16" t="s">
        <v>18</v>
      </c>
      <c r="M528" s="16" t="s">
        <v>22</v>
      </c>
      <c r="N528" s="39"/>
    </row>
    <row r="529" spans="1:14" s="12" customFormat="1" ht="25.5">
      <c r="A529" s="178" t="s">
        <v>80</v>
      </c>
      <c r="B529" s="75" t="s">
        <v>1503</v>
      </c>
      <c r="C529" s="39" t="s">
        <v>17</v>
      </c>
      <c r="D529" s="236"/>
      <c r="E529" s="236"/>
      <c r="F529" s="236"/>
      <c r="G529" s="236"/>
      <c r="H529" s="236">
        <f>SUM(Tabla132112413[[#This Row],[PRIMER TRIMESTRE]:[CUARTO TRIMESTRE]])</f>
        <v>0</v>
      </c>
      <c r="I529" s="17">
        <v>2600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</row>
    <row r="530" spans="1:14" s="12" customFormat="1" ht="18">
      <c r="A530" s="178" t="s">
        <v>80</v>
      </c>
      <c r="B530" s="75" t="s">
        <v>1504</v>
      </c>
      <c r="C530" s="39" t="s">
        <v>17</v>
      </c>
      <c r="D530" s="236"/>
      <c r="E530" s="236"/>
      <c r="F530" s="236"/>
      <c r="G530" s="236"/>
      <c r="H530" s="236">
        <f>SUM(Tabla132112413[[#This Row],[PRIMER TRIMESTRE]:[CUARTO TRIMESTRE]])</f>
        <v>0</v>
      </c>
      <c r="I530" s="17">
        <v>14280</v>
      </c>
      <c r="J530" s="17">
        <f t="shared" si="12"/>
        <v>0</v>
      </c>
      <c r="K530" s="17"/>
      <c r="L530" s="16" t="s">
        <v>18</v>
      </c>
      <c r="M530" s="16" t="s">
        <v>22</v>
      </c>
      <c r="N530" s="39"/>
    </row>
    <row r="531" spans="1:14" s="12" customFormat="1" ht="25.5">
      <c r="A531" s="178" t="s">
        <v>80</v>
      </c>
      <c r="B531" s="75" t="s">
        <v>1505</v>
      </c>
      <c r="C531" s="39" t="s">
        <v>17</v>
      </c>
      <c r="D531" s="236"/>
      <c r="E531" s="236"/>
      <c r="F531" s="236"/>
      <c r="G531" s="236"/>
      <c r="H531" s="236">
        <f>SUM(Tabla132112413[[#This Row],[PRIMER TRIMESTRE]:[CUARTO TRIMESTRE]])</f>
        <v>0</v>
      </c>
      <c r="I531" s="17">
        <v>15708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</row>
    <row r="532" spans="1:14" s="12" customFormat="1" ht="38.25">
      <c r="A532" s="178" t="s">
        <v>80</v>
      </c>
      <c r="B532" s="75" t="s">
        <v>1506</v>
      </c>
      <c r="C532" s="39" t="s">
        <v>17</v>
      </c>
      <c r="D532" s="236"/>
      <c r="E532" s="236"/>
      <c r="F532" s="236"/>
      <c r="G532" s="236"/>
      <c r="H532" s="236">
        <f>SUM(Tabla132112413[[#This Row],[PRIMER TRIMESTRE]:[CUARTO TRIMESTRE]])</f>
        <v>0</v>
      </c>
      <c r="I532" s="17">
        <v>29481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</row>
    <row r="533" spans="1:14" s="12" customFormat="1" ht="38.25">
      <c r="A533" s="178" t="s">
        <v>80</v>
      </c>
      <c r="B533" s="75" t="s">
        <v>1507</v>
      </c>
      <c r="C533" s="39" t="s">
        <v>17</v>
      </c>
      <c r="D533" s="236"/>
      <c r="E533" s="236"/>
      <c r="F533" s="236"/>
      <c r="G533" s="236"/>
      <c r="H533" s="236">
        <f>SUM(Tabla132112413[[#This Row],[PRIMER TRIMESTRE]:[CUARTO TRIMESTRE]])</f>
        <v>0</v>
      </c>
      <c r="I533" s="17">
        <v>29000</v>
      </c>
      <c r="J533" s="17">
        <f t="shared" si="12"/>
        <v>0</v>
      </c>
      <c r="K533" s="17"/>
      <c r="L533" s="16" t="s">
        <v>18</v>
      </c>
      <c r="M533" s="16" t="s">
        <v>22</v>
      </c>
      <c r="N533" s="39"/>
    </row>
    <row r="534" spans="1:14" s="12" customFormat="1" ht="38.25">
      <c r="A534" s="178" t="s">
        <v>80</v>
      </c>
      <c r="B534" s="75" t="s">
        <v>1592</v>
      </c>
      <c r="C534" s="39" t="s">
        <v>17</v>
      </c>
      <c r="D534" s="236"/>
      <c r="E534" s="236"/>
      <c r="F534" s="236"/>
      <c r="G534" s="236"/>
      <c r="H534" s="236">
        <f>SUM(Tabla132112413[[#This Row],[PRIMER TRIMESTRE]:[CUARTO TRIMESTRE]])</f>
        <v>0</v>
      </c>
      <c r="I534" s="17">
        <v>52242</v>
      </c>
      <c r="J534" s="17">
        <f t="shared" si="12"/>
        <v>0</v>
      </c>
      <c r="K534" s="17"/>
      <c r="L534" s="16" t="s">
        <v>18</v>
      </c>
      <c r="M534" s="16" t="s">
        <v>22</v>
      </c>
      <c r="N534" s="39"/>
    </row>
    <row r="535" spans="1:14" s="12" customFormat="1" ht="18">
      <c r="A535" s="178" t="s">
        <v>80</v>
      </c>
      <c r="B535" s="75" t="s">
        <v>1552</v>
      </c>
      <c r="C535" s="39" t="s">
        <v>17</v>
      </c>
      <c r="D535" s="236"/>
      <c r="E535" s="236"/>
      <c r="F535" s="236"/>
      <c r="G535" s="236"/>
      <c r="H535" s="236">
        <f>SUM(Tabla132112413[[#This Row],[PRIMER TRIMESTRE]:[CUARTO TRIMESTRE]])</f>
        <v>0</v>
      </c>
      <c r="I535" s="17">
        <v>28.8</v>
      </c>
      <c r="J535" s="17">
        <f t="shared" si="12"/>
        <v>0</v>
      </c>
      <c r="K535" s="17"/>
      <c r="L535" s="16" t="s">
        <v>18</v>
      </c>
      <c r="M535" s="16" t="s">
        <v>22</v>
      </c>
      <c r="N535" s="39"/>
    </row>
    <row r="536" spans="1:14" s="12" customFormat="1" ht="25.5">
      <c r="A536" s="178" t="s">
        <v>80</v>
      </c>
      <c r="B536" s="75" t="s">
        <v>663</v>
      </c>
      <c r="C536" s="39" t="s">
        <v>17</v>
      </c>
      <c r="D536" s="236"/>
      <c r="E536" s="236"/>
      <c r="F536" s="236"/>
      <c r="G536" s="236"/>
      <c r="H536" s="40">
        <f>SUM(Tabla132112413[[#This Row],[PRIMER TRIMESTRE]:[CUARTO TRIMESTRE]])</f>
        <v>0</v>
      </c>
      <c r="I536" s="72">
        <v>15930</v>
      </c>
      <c r="J536" s="17">
        <f t="shared" si="12"/>
        <v>0</v>
      </c>
      <c r="K536" s="17"/>
      <c r="L536" s="16" t="s">
        <v>18</v>
      </c>
      <c r="M536" s="16" t="s">
        <v>22</v>
      </c>
      <c r="N536" s="39"/>
    </row>
    <row r="537" spans="1:14" s="12" customFormat="1" ht="25.5">
      <c r="A537" s="178" t="s">
        <v>80</v>
      </c>
      <c r="B537" s="75" t="s">
        <v>662</v>
      </c>
      <c r="C537" s="39" t="s">
        <v>17</v>
      </c>
      <c r="D537" s="236"/>
      <c r="E537" s="236"/>
      <c r="F537" s="236"/>
      <c r="G537" s="236"/>
      <c r="H537" s="40">
        <f>SUM(Tabla132112413[[#This Row],[PRIMER TRIMESTRE]:[CUARTO TRIMESTRE]])</f>
        <v>0</v>
      </c>
      <c r="I537" s="72">
        <f>15500*1.18</f>
        <v>18290</v>
      </c>
      <c r="J537" s="17">
        <f t="shared" si="12"/>
        <v>0</v>
      </c>
      <c r="K537" s="17"/>
      <c r="L537" s="16" t="s">
        <v>18</v>
      </c>
      <c r="M537" s="16" t="s">
        <v>22</v>
      </c>
      <c r="N537" s="39"/>
    </row>
    <row r="538" spans="1:14" s="12" customFormat="1" ht="25.5">
      <c r="A538" s="178" t="s">
        <v>80</v>
      </c>
      <c r="B538" s="75" t="s">
        <v>664</v>
      </c>
      <c r="C538" s="39" t="s">
        <v>17</v>
      </c>
      <c r="D538" s="236"/>
      <c r="E538" s="236"/>
      <c r="F538" s="236"/>
      <c r="G538" s="236"/>
      <c r="H538" s="40">
        <f>SUM(Tabla132112413[[#This Row],[PRIMER TRIMESTRE]:[CUARTO TRIMESTRE]])</f>
        <v>0</v>
      </c>
      <c r="I538" s="72">
        <f>18500*1.18</f>
        <v>21830</v>
      </c>
      <c r="J538" s="17">
        <f t="shared" si="12"/>
        <v>0</v>
      </c>
      <c r="K538" s="17"/>
      <c r="L538" s="16" t="s">
        <v>18</v>
      </c>
      <c r="M538" s="16" t="s">
        <v>22</v>
      </c>
      <c r="N538" s="39"/>
    </row>
    <row r="539" spans="1:14" s="12" customFormat="1" ht="38.25">
      <c r="A539" s="178" t="s">
        <v>80</v>
      </c>
      <c r="B539" s="75" t="s">
        <v>672</v>
      </c>
      <c r="C539" s="39" t="s">
        <v>17</v>
      </c>
      <c r="D539" s="236"/>
      <c r="E539" s="236"/>
      <c r="F539" s="236"/>
      <c r="G539" s="236"/>
      <c r="H539" s="40">
        <f>SUM(Tabla132112413[[#This Row],[PRIMER TRIMESTRE]:[CUARTO TRIMESTRE]])</f>
        <v>0</v>
      </c>
      <c r="I539" s="72">
        <f>13800*1.18</f>
        <v>16284</v>
      </c>
      <c r="J539" s="17">
        <f t="shared" si="12"/>
        <v>0</v>
      </c>
      <c r="K539" s="17"/>
      <c r="L539" s="16" t="s">
        <v>18</v>
      </c>
      <c r="M539" s="16" t="s">
        <v>22</v>
      </c>
      <c r="N539" s="39"/>
    </row>
    <row r="540" spans="1:14" s="12" customFormat="1" ht="38.25">
      <c r="A540" s="178" t="s">
        <v>80</v>
      </c>
      <c r="B540" s="75" t="s">
        <v>665</v>
      </c>
      <c r="C540" s="39" t="s">
        <v>17</v>
      </c>
      <c r="D540" s="236"/>
      <c r="E540" s="236"/>
      <c r="F540" s="236"/>
      <c r="G540" s="236"/>
      <c r="H540" s="40">
        <f>SUM(Tabla132112413[[#This Row],[PRIMER TRIMESTRE]:[CUARTO TRIMESTRE]])</f>
        <v>0</v>
      </c>
      <c r="I540" s="17">
        <f>15950*1.18</f>
        <v>18821</v>
      </c>
      <c r="J540" s="17">
        <f t="shared" si="12"/>
        <v>0</v>
      </c>
      <c r="K540" s="17"/>
      <c r="L540" s="16" t="s">
        <v>18</v>
      </c>
      <c r="M540" s="16" t="s">
        <v>22</v>
      </c>
      <c r="N540" s="39"/>
    </row>
    <row r="541" spans="1:14" s="12" customFormat="1" ht="38.25">
      <c r="A541" s="178" t="s">
        <v>80</v>
      </c>
      <c r="B541" s="75" t="s">
        <v>666</v>
      </c>
      <c r="C541" s="39" t="s">
        <v>17</v>
      </c>
      <c r="D541" s="236"/>
      <c r="E541" s="236"/>
      <c r="F541" s="236"/>
      <c r="G541" s="236"/>
      <c r="H541" s="40">
        <f>SUM(Tabla132112413[[#This Row],[PRIMER TRIMESTRE]:[CUARTO TRIMESTRE]])</f>
        <v>0</v>
      </c>
      <c r="I541" s="17">
        <f>18950*1.18</f>
        <v>22361</v>
      </c>
      <c r="J541" s="17">
        <f t="shared" si="12"/>
        <v>0</v>
      </c>
      <c r="K541" s="17"/>
      <c r="L541" s="16" t="s">
        <v>18</v>
      </c>
      <c r="M541" s="16" t="s">
        <v>22</v>
      </c>
      <c r="N541" s="39"/>
    </row>
    <row r="542" spans="1:14" s="12" customFormat="1" ht="38.25">
      <c r="A542" s="178" t="s">
        <v>80</v>
      </c>
      <c r="B542" s="75" t="s">
        <v>667</v>
      </c>
      <c r="C542" s="39" t="s">
        <v>17</v>
      </c>
      <c r="D542" s="236"/>
      <c r="E542" s="236"/>
      <c r="F542" s="236"/>
      <c r="G542" s="236"/>
      <c r="H542" s="40">
        <f>SUM(Tabla132112413[[#This Row],[PRIMER TRIMESTRE]:[CUARTO TRIMESTRE]])</f>
        <v>0</v>
      </c>
      <c r="I542" s="17">
        <f>23500*1.18</f>
        <v>27730</v>
      </c>
      <c r="J542" s="17">
        <f t="shared" si="12"/>
        <v>0</v>
      </c>
      <c r="K542" s="17"/>
      <c r="L542" s="16" t="s">
        <v>18</v>
      </c>
      <c r="M542" s="16" t="s">
        <v>22</v>
      </c>
      <c r="N542" s="39"/>
    </row>
    <row r="543" spans="1:14" s="12" customFormat="1" ht="38.25">
      <c r="A543" s="178" t="s">
        <v>80</v>
      </c>
      <c r="B543" s="75" t="s">
        <v>668</v>
      </c>
      <c r="C543" s="39" t="s">
        <v>17</v>
      </c>
      <c r="D543" s="236"/>
      <c r="E543" s="236"/>
      <c r="F543" s="236"/>
      <c r="G543" s="236"/>
      <c r="H543" s="40">
        <f>SUM(Tabla132112413[[#This Row],[PRIMER TRIMESTRE]:[CUARTO TRIMESTRE]])</f>
        <v>0</v>
      </c>
      <c r="I543" s="17">
        <f>32800*1.18</f>
        <v>38704</v>
      </c>
      <c r="J543" s="17">
        <f t="shared" si="12"/>
        <v>0</v>
      </c>
      <c r="K543" s="17"/>
      <c r="L543" s="16" t="s">
        <v>18</v>
      </c>
      <c r="M543" s="16" t="s">
        <v>22</v>
      </c>
      <c r="N543" s="39"/>
    </row>
    <row r="544" spans="1:14" s="12" customFormat="1" ht="38.25">
      <c r="A544" s="178" t="s">
        <v>80</v>
      </c>
      <c r="B544" s="75" t="s">
        <v>669</v>
      </c>
      <c r="C544" s="39" t="s">
        <v>17</v>
      </c>
      <c r="D544" s="236"/>
      <c r="E544" s="236"/>
      <c r="F544" s="236"/>
      <c r="G544" s="236"/>
      <c r="H544" s="40">
        <f>SUM(Tabla132112413[[#This Row],[PRIMER TRIMESTRE]:[CUARTO TRIMESTRE]])</f>
        <v>0</v>
      </c>
      <c r="I544" s="17">
        <f>56500*1.18</f>
        <v>66670</v>
      </c>
      <c r="J544" s="17">
        <f t="shared" si="12"/>
        <v>0</v>
      </c>
      <c r="K544" s="17"/>
      <c r="L544" s="16" t="s">
        <v>18</v>
      </c>
      <c r="M544" s="16" t="s">
        <v>22</v>
      </c>
      <c r="N544" s="39"/>
    </row>
    <row r="545" spans="1:14" s="12" customFormat="1" ht="38.25">
      <c r="A545" s="178" t="s">
        <v>80</v>
      </c>
      <c r="B545" s="75" t="s">
        <v>670</v>
      </c>
      <c r="C545" s="39" t="s">
        <v>17</v>
      </c>
      <c r="D545" s="236"/>
      <c r="E545" s="236"/>
      <c r="F545" s="236"/>
      <c r="G545" s="236"/>
      <c r="H545" s="40">
        <f>SUM(Tabla132112413[[#This Row],[PRIMER TRIMESTRE]:[CUARTO TRIMESTRE]])</f>
        <v>0</v>
      </c>
      <c r="I545" s="17">
        <f>74000*1.18</f>
        <v>87320</v>
      </c>
      <c r="J545" s="17">
        <f t="shared" si="12"/>
        <v>0</v>
      </c>
      <c r="K545" s="17"/>
      <c r="L545" s="16" t="s">
        <v>18</v>
      </c>
      <c r="M545" s="16" t="s">
        <v>22</v>
      </c>
      <c r="N545" s="39"/>
    </row>
    <row r="546" spans="1:14" s="12" customFormat="1" ht="38.25">
      <c r="A546" s="178" t="s">
        <v>80</v>
      </c>
      <c r="B546" s="75" t="s">
        <v>671</v>
      </c>
      <c r="C546" s="39" t="s">
        <v>17</v>
      </c>
      <c r="D546" s="236"/>
      <c r="E546" s="236"/>
      <c r="F546" s="236"/>
      <c r="G546" s="236"/>
      <c r="H546" s="40">
        <f>SUM(Tabla132112413[[#This Row],[PRIMER TRIMESTRE]:[CUARTO TRIMESTRE]])</f>
        <v>0</v>
      </c>
      <c r="I546" s="17">
        <f>245000*1.18</f>
        <v>289100</v>
      </c>
      <c r="J546" s="17">
        <f t="shared" si="12"/>
        <v>0</v>
      </c>
      <c r="K546" s="17"/>
      <c r="L546" s="16" t="s">
        <v>18</v>
      </c>
      <c r="M546" s="16" t="s">
        <v>22</v>
      </c>
      <c r="N546" s="39"/>
    </row>
    <row r="547" spans="1:14" s="12" customFormat="1" ht="38.25">
      <c r="A547" s="178" t="s">
        <v>80</v>
      </c>
      <c r="B547" s="75" t="s">
        <v>676</v>
      </c>
      <c r="C547" s="39" t="s">
        <v>17</v>
      </c>
      <c r="D547" s="236"/>
      <c r="E547" s="236"/>
      <c r="F547" s="236"/>
      <c r="G547" s="236"/>
      <c r="H547" s="40">
        <f>SUM(Tabla132112413[[#This Row],[PRIMER TRIMESTRE]:[CUARTO TRIMESTRE]])</f>
        <v>0</v>
      </c>
      <c r="I547" s="17">
        <v>40200</v>
      </c>
      <c r="J547" s="17">
        <f t="shared" si="12"/>
        <v>0</v>
      </c>
      <c r="K547" s="17"/>
      <c r="L547" s="16" t="s">
        <v>18</v>
      </c>
      <c r="M547" s="16" t="s">
        <v>22</v>
      </c>
      <c r="N547" s="39"/>
    </row>
    <row r="548" spans="1:14" s="12" customFormat="1" ht="38.25">
      <c r="A548" s="178" t="s">
        <v>80</v>
      </c>
      <c r="B548" s="75" t="s">
        <v>677</v>
      </c>
      <c r="C548" s="39" t="s">
        <v>17</v>
      </c>
      <c r="D548" s="236"/>
      <c r="E548" s="236"/>
      <c r="F548" s="236"/>
      <c r="G548" s="236"/>
      <c r="H548" s="40">
        <f>SUM(Tabla132112413[[#This Row],[PRIMER TRIMESTRE]:[CUARTO TRIMESTRE]])</f>
        <v>0</v>
      </c>
      <c r="I548" s="17">
        <v>49500</v>
      </c>
      <c r="J548" s="17">
        <f t="shared" si="12"/>
        <v>0</v>
      </c>
      <c r="K548" s="17"/>
      <c r="L548" s="16" t="s">
        <v>18</v>
      </c>
      <c r="M548" s="16" t="s">
        <v>22</v>
      </c>
      <c r="N548" s="39"/>
    </row>
    <row r="549" spans="1:14" s="12" customFormat="1" ht="38.25">
      <c r="A549" s="178" t="s">
        <v>80</v>
      </c>
      <c r="B549" s="75" t="s">
        <v>678</v>
      </c>
      <c r="C549" s="39" t="s">
        <v>17</v>
      </c>
      <c r="D549" s="236"/>
      <c r="E549" s="236"/>
      <c r="F549" s="236"/>
      <c r="G549" s="236"/>
      <c r="H549" s="40">
        <f>SUM(Tabla132112413[[#This Row],[PRIMER TRIMESTRE]:[CUARTO TRIMESTRE]])</f>
        <v>0</v>
      </c>
      <c r="I549" s="17">
        <v>73250</v>
      </c>
      <c r="J549" s="17">
        <f t="shared" si="12"/>
        <v>0</v>
      </c>
      <c r="K549" s="17"/>
      <c r="L549" s="16" t="s">
        <v>18</v>
      </c>
      <c r="M549" s="16" t="s">
        <v>22</v>
      </c>
      <c r="N549" s="39"/>
    </row>
    <row r="550" spans="1:14" s="12" customFormat="1" ht="38.25">
      <c r="A550" s="178" t="s">
        <v>80</v>
      </c>
      <c r="B550" s="75" t="s">
        <v>679</v>
      </c>
      <c r="C550" s="39" t="s">
        <v>17</v>
      </c>
      <c r="D550" s="236"/>
      <c r="E550" s="236"/>
      <c r="F550" s="236"/>
      <c r="G550" s="236"/>
      <c r="H550" s="40">
        <f>SUM(Tabla132112413[[#This Row],[PRIMER TRIMESTRE]:[CUARTO TRIMESTRE]])</f>
        <v>0</v>
      </c>
      <c r="I550" s="72">
        <v>289000</v>
      </c>
      <c r="J550" s="17">
        <f t="shared" ref="J550:J575" si="13">+H550*I550</f>
        <v>0</v>
      </c>
      <c r="K550" s="17"/>
      <c r="L550" s="16" t="s">
        <v>18</v>
      </c>
      <c r="M550" s="16" t="s">
        <v>22</v>
      </c>
      <c r="N550" s="39"/>
    </row>
    <row r="551" spans="1:14" s="12" customFormat="1" ht="51">
      <c r="A551" s="178" t="s">
        <v>80</v>
      </c>
      <c r="B551" s="75" t="s">
        <v>680</v>
      </c>
      <c r="C551" s="39" t="s">
        <v>17</v>
      </c>
      <c r="D551" s="236"/>
      <c r="E551" s="236"/>
      <c r="F551" s="236"/>
      <c r="G551" s="236"/>
      <c r="H551" s="40">
        <f>SUM(Tabla132112413[[#This Row],[PRIMER TRIMESTRE]:[CUARTO TRIMESTRE]])</f>
        <v>0</v>
      </c>
      <c r="I551" s="72">
        <f>26800*1.18</f>
        <v>31624</v>
      </c>
      <c r="J551" s="17">
        <f t="shared" si="13"/>
        <v>0</v>
      </c>
      <c r="K551" s="17"/>
      <c r="L551" s="16" t="s">
        <v>18</v>
      </c>
      <c r="M551" s="16" t="s">
        <v>22</v>
      </c>
      <c r="N551" s="39"/>
    </row>
    <row r="552" spans="1:14" s="12" customFormat="1" ht="51">
      <c r="A552" s="178" t="s">
        <v>80</v>
      </c>
      <c r="B552" s="75" t="s">
        <v>681</v>
      </c>
      <c r="C552" s="39" t="s">
        <v>17</v>
      </c>
      <c r="D552" s="236"/>
      <c r="E552" s="236"/>
      <c r="F552" s="236"/>
      <c r="G552" s="236"/>
      <c r="H552" s="40">
        <f>SUM(Tabla132112413[[#This Row],[PRIMER TRIMESTRE]:[CUARTO TRIMESTRE]])</f>
        <v>0</v>
      </c>
      <c r="I552" s="17">
        <f>39500*1.18</f>
        <v>46610</v>
      </c>
      <c r="J552" s="17">
        <f t="shared" si="13"/>
        <v>0</v>
      </c>
      <c r="K552" s="17"/>
      <c r="L552" s="16" t="s">
        <v>18</v>
      </c>
      <c r="M552" s="16" t="s">
        <v>22</v>
      </c>
      <c r="N552" s="39"/>
    </row>
    <row r="553" spans="1:14" s="12" customFormat="1" ht="51">
      <c r="A553" s="178" t="s">
        <v>80</v>
      </c>
      <c r="B553" s="75" t="s">
        <v>683</v>
      </c>
      <c r="C553" s="39" t="s">
        <v>17</v>
      </c>
      <c r="D553" s="236"/>
      <c r="E553" s="236"/>
      <c r="F553" s="236"/>
      <c r="G553" s="236"/>
      <c r="H553" s="40">
        <f>SUM(Tabla132112413[[#This Row],[PRIMER TRIMESTRE]:[CUARTO TRIMESTRE]])</f>
        <v>0</v>
      </c>
      <c r="I553" s="72">
        <v>68487.199999999997</v>
      </c>
      <c r="J553" s="17">
        <f t="shared" si="13"/>
        <v>0</v>
      </c>
      <c r="K553" s="17"/>
      <c r="L553" s="16" t="s">
        <v>18</v>
      </c>
      <c r="M553" s="16" t="s">
        <v>22</v>
      </c>
      <c r="N553" s="39"/>
    </row>
    <row r="554" spans="1:14" s="12" customFormat="1" ht="51">
      <c r="A554" s="178" t="s">
        <v>80</v>
      </c>
      <c r="B554" s="75" t="s">
        <v>682</v>
      </c>
      <c r="C554" s="39" t="s">
        <v>17</v>
      </c>
      <c r="D554" s="236"/>
      <c r="E554" s="236"/>
      <c r="F554" s="236"/>
      <c r="G554" s="236"/>
      <c r="H554" s="40">
        <f>SUM(Tabla132112413[[#This Row],[PRIMER TRIMESTRE]:[CUARTO TRIMESTRE]])</f>
        <v>0</v>
      </c>
      <c r="I554" s="72">
        <v>304100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</row>
    <row r="555" spans="1:14" s="12" customFormat="1" ht="25.5">
      <c r="A555" s="178" t="s">
        <v>80</v>
      </c>
      <c r="B555" s="75" t="s">
        <v>1720</v>
      </c>
      <c r="C555" s="39" t="s">
        <v>17</v>
      </c>
      <c r="D555" s="236"/>
      <c r="E555" s="236"/>
      <c r="F555" s="236"/>
      <c r="G555" s="236"/>
      <c r="H555" s="40">
        <v>0</v>
      </c>
      <c r="I555" s="72">
        <v>0</v>
      </c>
      <c r="J555" s="17">
        <v>0</v>
      </c>
      <c r="K555" s="17"/>
      <c r="L555" s="16" t="s">
        <v>18</v>
      </c>
      <c r="M555" s="16" t="s">
        <v>22</v>
      </c>
      <c r="N555" s="39"/>
    </row>
    <row r="556" spans="1:14" s="12" customFormat="1" ht="18">
      <c r="A556" s="178" t="s">
        <v>80</v>
      </c>
      <c r="B556" s="75" t="s">
        <v>635</v>
      </c>
      <c r="C556" s="39" t="s">
        <v>17</v>
      </c>
      <c r="D556" s="236"/>
      <c r="E556" s="236"/>
      <c r="F556" s="236"/>
      <c r="G556" s="236"/>
      <c r="H556" s="40">
        <f>SUM(Tabla132112413[[#This Row],[PRIMER TRIMESTRE]:[CUARTO TRIMESTRE]])</f>
        <v>0</v>
      </c>
      <c r="I556" s="17">
        <v>94400</v>
      </c>
      <c r="J556" s="17">
        <f t="shared" si="13"/>
        <v>0</v>
      </c>
      <c r="K556" s="17"/>
      <c r="L556" s="16" t="s">
        <v>18</v>
      </c>
      <c r="M556" s="16" t="s">
        <v>22</v>
      </c>
      <c r="N556" s="39"/>
    </row>
    <row r="557" spans="1:14" s="12" customFormat="1" ht="18">
      <c r="A557" s="178" t="s">
        <v>80</v>
      </c>
      <c r="B557" s="75" t="s">
        <v>636</v>
      </c>
      <c r="C557" s="39" t="s">
        <v>17</v>
      </c>
      <c r="D557" s="236"/>
      <c r="E557" s="236"/>
      <c r="F557" s="236"/>
      <c r="G557" s="236"/>
      <c r="H557" s="40">
        <f>SUM(Tabla132112413[[#This Row],[PRIMER TRIMESTRE]:[CUARTO TRIMESTRE]])</f>
        <v>0</v>
      </c>
      <c r="I557" s="17">
        <v>106200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</row>
    <row r="558" spans="1:14" s="12" customFormat="1" ht="18">
      <c r="A558" s="178" t="s">
        <v>80</v>
      </c>
      <c r="B558" s="75" t="s">
        <v>637</v>
      </c>
      <c r="C558" s="39" t="s">
        <v>17</v>
      </c>
      <c r="D558" s="236"/>
      <c r="E558" s="236"/>
      <c r="F558" s="236"/>
      <c r="G558" s="236"/>
      <c r="H558" s="40">
        <f>SUM(Tabla132112413[[#This Row],[PRIMER TRIMESTRE]:[CUARTO TRIMESTRE]])</f>
        <v>0</v>
      </c>
      <c r="I558" s="17">
        <v>112100</v>
      </c>
      <c r="J558" s="17">
        <f t="shared" si="13"/>
        <v>0</v>
      </c>
      <c r="K558" s="17"/>
      <c r="L558" s="16" t="s">
        <v>18</v>
      </c>
      <c r="M558" s="16" t="s">
        <v>22</v>
      </c>
      <c r="N558" s="39"/>
    </row>
    <row r="559" spans="1:14" s="12" customFormat="1" ht="38.25">
      <c r="A559" s="178" t="s">
        <v>80</v>
      </c>
      <c r="B559" s="75" t="s">
        <v>685</v>
      </c>
      <c r="C559" s="39" t="s">
        <v>17</v>
      </c>
      <c r="D559" s="236"/>
      <c r="E559" s="236"/>
      <c r="F559" s="236"/>
      <c r="G559" s="236"/>
      <c r="H559" s="40">
        <f>SUM(Tabla132112413[[#This Row],[PRIMER TRIMESTRE]:[CUARTO TRIMESTRE]])</f>
        <v>0</v>
      </c>
      <c r="I559" s="17">
        <v>42480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</row>
    <row r="560" spans="1:14" s="12" customFormat="1" ht="38.25">
      <c r="A560" s="178" t="s">
        <v>80</v>
      </c>
      <c r="B560" s="75" t="s">
        <v>686</v>
      </c>
      <c r="C560" s="39" t="s">
        <v>17</v>
      </c>
      <c r="D560" s="236"/>
      <c r="E560" s="236"/>
      <c r="F560" s="236"/>
      <c r="G560" s="236"/>
      <c r="H560" s="40">
        <f>SUM(Tabla132112413[[#This Row],[PRIMER TRIMESTRE]:[CUARTO TRIMESTRE]])</f>
        <v>0</v>
      </c>
      <c r="I560" s="17">
        <v>64900</v>
      </c>
      <c r="J560" s="17">
        <f t="shared" si="13"/>
        <v>0</v>
      </c>
      <c r="K560" s="17"/>
      <c r="L560" s="16" t="s">
        <v>18</v>
      </c>
      <c r="M560" s="16" t="s">
        <v>22</v>
      </c>
      <c r="N560" s="39"/>
    </row>
    <row r="561" spans="1:14" s="12" customFormat="1" ht="38.25">
      <c r="A561" s="178" t="s">
        <v>80</v>
      </c>
      <c r="B561" s="75" t="s">
        <v>687</v>
      </c>
      <c r="C561" s="39" t="s">
        <v>17</v>
      </c>
      <c r="D561" s="236"/>
      <c r="E561" s="236"/>
      <c r="F561" s="236"/>
      <c r="G561" s="236"/>
      <c r="H561" s="40">
        <f>SUM(Tabla132112413[[#This Row],[PRIMER TRIMESTRE]:[CUARTO TRIMESTRE]])</f>
        <v>0</v>
      </c>
      <c r="I561" s="17">
        <v>92040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</row>
    <row r="562" spans="1:14" s="12" customFormat="1" ht="25.5">
      <c r="A562" s="178" t="s">
        <v>80</v>
      </c>
      <c r="B562" s="75" t="s">
        <v>688</v>
      </c>
      <c r="C562" s="39" t="s">
        <v>17</v>
      </c>
      <c r="D562" s="236"/>
      <c r="E562" s="236"/>
      <c r="F562" s="236"/>
      <c r="G562" s="236"/>
      <c r="H562" s="40">
        <f>SUM(Tabla132112413[[#This Row],[PRIMER TRIMESTRE]:[CUARTO TRIMESTRE]])</f>
        <v>0</v>
      </c>
      <c r="I562" s="17">
        <v>6377.7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</row>
    <row r="563" spans="1:14" s="12" customFormat="1" ht="25.5">
      <c r="A563" s="178" t="s">
        <v>80</v>
      </c>
      <c r="B563" s="75" t="s">
        <v>689</v>
      </c>
      <c r="C563" s="39" t="s">
        <v>17</v>
      </c>
      <c r="D563" s="236"/>
      <c r="E563" s="236"/>
      <c r="F563" s="236"/>
      <c r="G563" s="236"/>
      <c r="H563" s="40">
        <f>SUM(Tabla132112413[[#This Row],[PRIMER TRIMESTRE]:[CUARTO TRIMESTRE]])</f>
        <v>0</v>
      </c>
      <c r="I563" s="72">
        <v>6769.1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</row>
    <row r="564" spans="1:14" s="12" customFormat="1" ht="25.5">
      <c r="A564" s="178" t="s">
        <v>80</v>
      </c>
      <c r="B564" s="75" t="s">
        <v>690</v>
      </c>
      <c r="C564" s="39" t="s">
        <v>17</v>
      </c>
      <c r="D564" s="236"/>
      <c r="E564" s="236"/>
      <c r="F564" s="236"/>
      <c r="G564" s="236"/>
      <c r="H564" s="40">
        <f>SUM(Tabla132112413[[#This Row],[PRIMER TRIMESTRE]:[CUARTO TRIMESTRE]])</f>
        <v>0</v>
      </c>
      <c r="I564" s="72">
        <v>6890.2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</row>
    <row r="565" spans="1:14" s="12" customFormat="1" ht="25.5">
      <c r="A565" s="178" t="s">
        <v>80</v>
      </c>
      <c r="B565" s="75" t="s">
        <v>905</v>
      </c>
      <c r="C565" s="39" t="s">
        <v>17</v>
      </c>
      <c r="D565" s="236"/>
      <c r="E565" s="236"/>
      <c r="F565" s="236"/>
      <c r="G565" s="236"/>
      <c r="H565" s="40">
        <f>SUM(Tabla132112413[[#This Row],[PRIMER TRIMESTRE]:[CUARTO TRIMESTRE]])</f>
        <v>0</v>
      </c>
      <c r="I565" s="72">
        <f>+I564*1.15</f>
        <v>7923.73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</row>
    <row r="566" spans="1:14" s="12" customFormat="1" ht="25.5">
      <c r="A566" s="178" t="s">
        <v>80</v>
      </c>
      <c r="B566" s="75" t="s">
        <v>691</v>
      </c>
      <c r="C566" s="39" t="s">
        <v>17</v>
      </c>
      <c r="D566" s="236"/>
      <c r="E566" s="236"/>
      <c r="F566" s="236"/>
      <c r="G566" s="236"/>
      <c r="H566" s="40">
        <f>SUM(Tabla132112413[[#This Row],[PRIMER TRIMESTRE]:[CUARTO TRIMESTRE]])</f>
        <v>0</v>
      </c>
      <c r="I566" s="72">
        <f>2500*1.18</f>
        <v>2950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</row>
    <row r="567" spans="1:14" s="12" customFormat="1" ht="25.5">
      <c r="A567" s="178" t="s">
        <v>80</v>
      </c>
      <c r="B567" s="75" t="s">
        <v>692</v>
      </c>
      <c r="C567" s="39" t="s">
        <v>17</v>
      </c>
      <c r="D567" s="236"/>
      <c r="E567" s="236"/>
      <c r="F567" s="236"/>
      <c r="G567" s="236"/>
      <c r="H567" s="40">
        <f>SUM(Tabla132112413[[#This Row],[PRIMER TRIMESTRE]:[CUARTO TRIMESTRE]])</f>
        <v>0</v>
      </c>
      <c r="I567" s="72">
        <v>20380.96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</row>
    <row r="568" spans="1:14" s="12" customFormat="1" ht="25.5">
      <c r="A568" s="178" t="s">
        <v>80</v>
      </c>
      <c r="B568" s="75" t="s">
        <v>693</v>
      </c>
      <c r="C568" s="39" t="s">
        <v>17</v>
      </c>
      <c r="D568" s="236"/>
      <c r="E568" s="236"/>
      <c r="F568" s="236"/>
      <c r="G568" s="236"/>
      <c r="H568" s="40">
        <f>SUM(Tabla132112413[[#This Row],[PRIMER TRIMESTRE]:[CUARTO TRIMESTRE]])</f>
        <v>0</v>
      </c>
      <c r="I568" s="72">
        <v>29236.86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</row>
    <row r="569" spans="1:14" s="12" customFormat="1" ht="18">
      <c r="A569" s="178" t="s">
        <v>80</v>
      </c>
      <c r="B569" s="75" t="s">
        <v>454</v>
      </c>
      <c r="C569" s="39" t="s">
        <v>17</v>
      </c>
      <c r="D569" s="236"/>
      <c r="E569" s="236"/>
      <c r="F569" s="236"/>
      <c r="G569" s="236"/>
      <c r="H569" s="40">
        <f>SUM(Tabla132112413[[#This Row],[PRIMER TRIMESTRE]:[CUARTO TRIMESTRE]])</f>
        <v>0</v>
      </c>
      <c r="I569" s="72">
        <v>236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</row>
    <row r="570" spans="1:14" s="12" customFormat="1" ht="18">
      <c r="A570" s="178" t="s">
        <v>80</v>
      </c>
      <c r="B570" s="75" t="s">
        <v>455</v>
      </c>
      <c r="C570" s="39" t="s">
        <v>17</v>
      </c>
      <c r="D570" s="236"/>
      <c r="E570" s="236"/>
      <c r="F570" s="236"/>
      <c r="G570" s="236"/>
      <c r="H570" s="40">
        <f>SUM(Tabla132112413[[#This Row],[PRIMER TRIMESTRE]:[CUARTO TRIMESTRE]])</f>
        <v>0</v>
      </c>
      <c r="I570" s="72">
        <v>344.56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</row>
    <row r="571" spans="1:14" s="12" customFormat="1" ht="18">
      <c r="A571" s="178" t="s">
        <v>80</v>
      </c>
      <c r="B571" s="75" t="s">
        <v>456</v>
      </c>
      <c r="C571" s="39" t="s">
        <v>17</v>
      </c>
      <c r="D571" s="236"/>
      <c r="E571" s="236"/>
      <c r="F571" s="236"/>
      <c r="G571" s="236"/>
      <c r="H571" s="40">
        <f>SUM(Tabla132112413[[#This Row],[PRIMER TRIMESTRE]:[CUARTO TRIMESTRE]])</f>
        <v>0</v>
      </c>
      <c r="I571" s="72">
        <v>499.14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</row>
    <row r="572" spans="1:14" s="12" customFormat="1" ht="18">
      <c r="A572" s="178" t="s">
        <v>80</v>
      </c>
      <c r="B572" s="75" t="s">
        <v>457</v>
      </c>
      <c r="C572" s="39" t="s">
        <v>17</v>
      </c>
      <c r="D572" s="236"/>
      <c r="E572" s="236"/>
      <c r="F572" s="236"/>
      <c r="G572" s="236"/>
      <c r="H572" s="40">
        <f>SUM(Tabla132112413[[#This Row],[PRIMER TRIMESTRE]:[CUARTO TRIMESTRE]])</f>
        <v>0</v>
      </c>
      <c r="I572" s="72">
        <v>1598.9</v>
      </c>
      <c r="J572" s="17">
        <f t="shared" si="13"/>
        <v>0</v>
      </c>
      <c r="K572" s="17"/>
      <c r="L572" s="17" t="s">
        <v>18</v>
      </c>
      <c r="M572" s="16" t="s">
        <v>22</v>
      </c>
      <c r="N572" s="39"/>
    </row>
    <row r="573" spans="1:14" s="12" customFormat="1" ht="18">
      <c r="A573" s="178" t="s">
        <v>80</v>
      </c>
      <c r="B573" s="75" t="s">
        <v>458</v>
      </c>
      <c r="C573" s="39" t="s">
        <v>17</v>
      </c>
      <c r="D573" s="236"/>
      <c r="E573" s="236"/>
      <c r="F573" s="236"/>
      <c r="G573" s="236"/>
      <c r="H573" s="40">
        <f>SUM(Tabla132112413[[#This Row],[PRIMER TRIMESTRE]:[CUARTO TRIMESTRE]])</f>
        <v>0</v>
      </c>
      <c r="I573" s="72">
        <v>1849.06</v>
      </c>
      <c r="J573" s="17">
        <f t="shared" si="13"/>
        <v>0</v>
      </c>
      <c r="K573" s="17"/>
      <c r="L573" s="17" t="s">
        <v>18</v>
      </c>
      <c r="M573" s="16" t="s">
        <v>22</v>
      </c>
      <c r="N573" s="39"/>
    </row>
    <row r="574" spans="1:14" s="26" customFormat="1" ht="18">
      <c r="A574" s="178" t="s">
        <v>80</v>
      </c>
      <c r="B574" s="75" t="s">
        <v>801</v>
      </c>
      <c r="C574" s="39" t="s">
        <v>17</v>
      </c>
      <c r="D574" s="236"/>
      <c r="E574" s="236"/>
      <c r="F574" s="236"/>
      <c r="G574" s="236"/>
      <c r="H574" s="40">
        <f>SUM(Tabla132112413[[#This Row],[PRIMER TRIMESTRE]:[CUARTO TRIMESTRE]])</f>
        <v>0</v>
      </c>
      <c r="I574" s="72">
        <v>5444</v>
      </c>
      <c r="J574" s="17">
        <f t="shared" si="13"/>
        <v>0</v>
      </c>
      <c r="K574" s="17"/>
      <c r="L574" s="17" t="s">
        <v>18</v>
      </c>
      <c r="M574" s="16" t="s">
        <v>22</v>
      </c>
      <c r="N574" s="39"/>
    </row>
    <row r="575" spans="1:14" s="12" customFormat="1" ht="18">
      <c r="A575" s="178" t="s">
        <v>80</v>
      </c>
      <c r="B575" s="75" t="s">
        <v>802</v>
      </c>
      <c r="C575" s="39" t="s">
        <v>17</v>
      </c>
      <c r="D575" s="236"/>
      <c r="E575" s="236"/>
      <c r="F575" s="236"/>
      <c r="G575" s="236"/>
      <c r="H575" s="40">
        <f>SUM(Tabla132112413[[#This Row],[PRIMER TRIMESTRE]:[CUARTO TRIMESTRE]])</f>
        <v>0</v>
      </c>
      <c r="I575" s="72">
        <v>6844</v>
      </c>
      <c r="J575" s="17">
        <f t="shared" si="13"/>
        <v>0</v>
      </c>
      <c r="K575" s="17"/>
      <c r="L575" s="17" t="s">
        <v>18</v>
      </c>
      <c r="M575" s="16" t="s">
        <v>22</v>
      </c>
      <c r="N575" s="39"/>
    </row>
    <row r="576" spans="1:14" s="12" customFormat="1" ht="18">
      <c r="A576" s="179" t="s">
        <v>80</v>
      </c>
      <c r="B576" s="76"/>
      <c r="C576" s="42"/>
      <c r="D576" s="237"/>
      <c r="E576" s="237"/>
      <c r="F576" s="237"/>
      <c r="G576" s="237"/>
      <c r="H576" s="43"/>
      <c r="I576" s="24"/>
      <c r="J576" s="24"/>
      <c r="K576" s="25">
        <f>SUM(J201:J575)</f>
        <v>8200</v>
      </c>
      <c r="L576" s="23"/>
      <c r="M576" s="23"/>
      <c r="N576" s="42"/>
    </row>
    <row r="577" spans="1:14" s="12" customFormat="1" ht="18">
      <c r="A577" s="178" t="s">
        <v>81</v>
      </c>
      <c r="B577" s="75" t="s">
        <v>207</v>
      </c>
      <c r="C577" s="39" t="s">
        <v>33</v>
      </c>
      <c r="D577" s="236"/>
      <c r="E577" s="236"/>
      <c r="F577" s="236"/>
      <c r="G577" s="236"/>
      <c r="H577" s="40">
        <f>SUM(Tabla132112413[[#This Row],[PRIMER TRIMESTRE]:[CUARTO TRIMESTRE]])</f>
        <v>0</v>
      </c>
      <c r="I577" s="17">
        <v>871.93</v>
      </c>
      <c r="J577" s="17">
        <f>+Tabla132112413[[#This Row],[CANTIDAD TOTAL]]*Tabla132112413[[#This Row],[PRECIO UNITARIO ESTIMADO]]</f>
        <v>0</v>
      </c>
      <c r="K577" s="17"/>
      <c r="L577" s="17" t="s">
        <v>18</v>
      </c>
      <c r="M577" s="16" t="s">
        <v>22</v>
      </c>
      <c r="N577" s="39" t="s">
        <v>418</v>
      </c>
    </row>
    <row r="578" spans="1:14" s="12" customFormat="1" ht="18">
      <c r="A578" s="178" t="s">
        <v>81</v>
      </c>
      <c r="B578" s="75" t="s">
        <v>1279</v>
      </c>
      <c r="C578" s="39" t="s">
        <v>33</v>
      </c>
      <c r="D578" s="236"/>
      <c r="E578" s="236"/>
      <c r="F578" s="236"/>
      <c r="G578" s="236"/>
      <c r="H578" s="40">
        <f>SUM(Tabla132112413[[#This Row],[PRIMER TRIMESTRE]:[CUARTO TRIMESTRE]])</f>
        <v>0</v>
      </c>
      <c r="I578" s="17">
        <v>871.93</v>
      </c>
      <c r="J578" s="17">
        <f t="shared" ref="J578:J584" si="14">+H578*I578</f>
        <v>0</v>
      </c>
      <c r="K578" s="17"/>
      <c r="L578" s="17" t="s">
        <v>18</v>
      </c>
      <c r="M578" s="16" t="s">
        <v>22</v>
      </c>
      <c r="N578" s="39" t="s">
        <v>418</v>
      </c>
    </row>
    <row r="579" spans="1:14" s="12" customFormat="1" ht="18">
      <c r="A579" s="178" t="s">
        <v>81</v>
      </c>
      <c r="B579" s="75" t="s">
        <v>1424</v>
      </c>
      <c r="C579" s="39" t="s">
        <v>33</v>
      </c>
      <c r="D579" s="236"/>
      <c r="E579" s="236"/>
      <c r="F579" s="236"/>
      <c r="G579" s="236"/>
      <c r="H579" s="40">
        <f>SUM(Tabla132112413[[#This Row],[PRIMER TRIMESTRE]:[CUARTO TRIMESTRE]])</f>
        <v>0</v>
      </c>
      <c r="I579" s="17">
        <v>871.93</v>
      </c>
      <c r="J579" s="17">
        <f t="shared" si="14"/>
        <v>0</v>
      </c>
      <c r="K579" s="17"/>
      <c r="L579" s="17" t="s">
        <v>18</v>
      </c>
      <c r="M579" s="16" t="s">
        <v>22</v>
      </c>
      <c r="N579" s="39" t="s">
        <v>418</v>
      </c>
    </row>
    <row r="580" spans="1:14" s="12" customFormat="1" ht="18">
      <c r="A580" s="178" t="s">
        <v>81</v>
      </c>
      <c r="B580" s="75" t="s">
        <v>1347</v>
      </c>
      <c r="C580" s="39" t="s">
        <v>33</v>
      </c>
      <c r="D580" s="236"/>
      <c r="E580" s="236"/>
      <c r="F580" s="236"/>
      <c r="G580" s="236"/>
      <c r="H580" s="40">
        <f>SUM(Tabla132112413[[#This Row],[PRIMER TRIMESTRE]:[CUARTO TRIMESTRE]])</f>
        <v>0</v>
      </c>
      <c r="I580" s="17">
        <v>767</v>
      </c>
      <c r="J580" s="17">
        <f t="shared" si="14"/>
        <v>0</v>
      </c>
      <c r="K580" s="17"/>
      <c r="L580" s="17" t="s">
        <v>18</v>
      </c>
      <c r="M580" s="16" t="s">
        <v>22</v>
      </c>
      <c r="N580" s="39" t="s">
        <v>418</v>
      </c>
    </row>
    <row r="581" spans="1:14" s="12" customFormat="1" ht="18">
      <c r="A581" s="178" t="s">
        <v>81</v>
      </c>
      <c r="B581" s="75" t="s">
        <v>1280</v>
      </c>
      <c r="C581" s="39" t="s">
        <v>33</v>
      </c>
      <c r="D581" s="236"/>
      <c r="E581" s="236"/>
      <c r="F581" s="236"/>
      <c r="G581" s="236"/>
      <c r="H581" s="40">
        <f>SUM(Tabla132112413[[#This Row],[PRIMER TRIMESTRE]:[CUARTO TRIMESTRE]])</f>
        <v>0</v>
      </c>
      <c r="I581" s="17">
        <v>871.93</v>
      </c>
      <c r="J581" s="17">
        <f t="shared" si="14"/>
        <v>0</v>
      </c>
      <c r="K581" s="17"/>
      <c r="L581" s="17" t="s">
        <v>18</v>
      </c>
      <c r="M581" s="16" t="s">
        <v>22</v>
      </c>
      <c r="N581" s="39" t="s">
        <v>418</v>
      </c>
    </row>
    <row r="582" spans="1:14" s="12" customFormat="1" ht="18">
      <c r="A582" s="178" t="s">
        <v>81</v>
      </c>
      <c r="B582" s="75" t="s">
        <v>1345</v>
      </c>
      <c r="C582" s="39" t="s">
        <v>33</v>
      </c>
      <c r="D582" s="236"/>
      <c r="E582" s="236"/>
      <c r="F582" s="236"/>
      <c r="G582" s="236"/>
      <c r="H582" s="40">
        <f>SUM(Tabla132112413[[#This Row],[PRIMER TRIMESTRE]:[CUARTO TRIMESTRE]])</f>
        <v>0</v>
      </c>
      <c r="I582" s="17">
        <v>350</v>
      </c>
      <c r="J582" s="17">
        <f t="shared" si="14"/>
        <v>0</v>
      </c>
      <c r="K582" s="17"/>
      <c r="L582" s="17" t="s">
        <v>18</v>
      </c>
      <c r="M582" s="16" t="s">
        <v>22</v>
      </c>
      <c r="N582" s="39" t="s">
        <v>418</v>
      </c>
    </row>
    <row r="583" spans="1:14" s="26" customFormat="1" ht="18">
      <c r="A583" s="178" t="s">
        <v>81</v>
      </c>
      <c r="B583" s="75" t="s">
        <v>1425</v>
      </c>
      <c r="C583" s="39" t="s">
        <v>33</v>
      </c>
      <c r="D583" s="236"/>
      <c r="E583" s="236"/>
      <c r="F583" s="236"/>
      <c r="G583" s="236"/>
      <c r="H583" s="40">
        <f>SUM(Tabla132112413[[#This Row],[PRIMER TRIMESTRE]:[CUARTO TRIMESTRE]])</f>
        <v>0</v>
      </c>
      <c r="I583" s="17">
        <v>863.54</v>
      </c>
      <c r="J583" s="17">
        <f t="shared" si="14"/>
        <v>0</v>
      </c>
      <c r="K583" s="17"/>
      <c r="L583" s="17" t="s">
        <v>18</v>
      </c>
      <c r="M583" s="16" t="s">
        <v>22</v>
      </c>
      <c r="N583" s="39" t="s">
        <v>418</v>
      </c>
    </row>
    <row r="584" spans="1:14" s="26" customFormat="1" ht="18">
      <c r="A584" s="178" t="s">
        <v>81</v>
      </c>
      <c r="B584" s="75" t="s">
        <v>1434</v>
      </c>
      <c r="C584" s="39" t="s">
        <v>33</v>
      </c>
      <c r="D584" s="236"/>
      <c r="E584" s="236"/>
      <c r="F584" s="236"/>
      <c r="G584" s="236"/>
      <c r="H584" s="40">
        <f>SUM(Tabla132112413[[#This Row],[PRIMER TRIMESTRE]:[CUARTO TRIMESTRE]])</f>
        <v>0</v>
      </c>
      <c r="I584" s="17">
        <v>1165</v>
      </c>
      <c r="J584" s="17">
        <f t="shared" si="14"/>
        <v>0</v>
      </c>
      <c r="K584" s="17"/>
      <c r="L584" s="17" t="s">
        <v>18</v>
      </c>
      <c r="M584" s="16" t="s">
        <v>22</v>
      </c>
      <c r="N584" s="39" t="s">
        <v>418</v>
      </c>
    </row>
    <row r="585" spans="1:14" s="26" customFormat="1" ht="18">
      <c r="A585" s="179" t="s">
        <v>81</v>
      </c>
      <c r="B585" s="76"/>
      <c r="C585" s="42"/>
      <c r="D585" s="237"/>
      <c r="E585" s="237"/>
      <c r="F585" s="237"/>
      <c r="G585" s="237"/>
      <c r="H585" s="43"/>
      <c r="I585" s="24"/>
      <c r="J585" s="24"/>
      <c r="K585" s="25">
        <f>SUM(J577:J584)</f>
        <v>0</v>
      </c>
      <c r="L585" s="23"/>
      <c r="M585" s="23"/>
      <c r="N585" s="42"/>
    </row>
    <row r="586" spans="1:14" s="26" customFormat="1" ht="18">
      <c r="A586" s="178" t="s">
        <v>95</v>
      </c>
      <c r="B586" s="75" t="s">
        <v>1468</v>
      </c>
      <c r="C586" s="39" t="s">
        <v>17</v>
      </c>
      <c r="D586" s="236"/>
      <c r="E586" s="236"/>
      <c r="F586" s="236"/>
      <c r="G586" s="236"/>
      <c r="H586" s="40">
        <f>SUM(Tabla132112413[[#This Row],[PRIMER TRIMESTRE]:[CUARTO TRIMESTRE]])</f>
        <v>0</v>
      </c>
      <c r="I586" s="17">
        <v>3169.99</v>
      </c>
      <c r="J586" s="17">
        <f t="shared" ref="J586:J592" si="15">+H586*I586</f>
        <v>0</v>
      </c>
      <c r="K586" s="17"/>
      <c r="L586" s="16" t="s">
        <v>18</v>
      </c>
      <c r="M586" s="16" t="s">
        <v>22</v>
      </c>
      <c r="N586" s="39" t="s">
        <v>418</v>
      </c>
    </row>
    <row r="587" spans="1:14" s="26" customFormat="1" ht="18">
      <c r="A587" s="178" t="s">
        <v>95</v>
      </c>
      <c r="B587" s="75" t="s">
        <v>1469</v>
      </c>
      <c r="C587" s="39" t="s">
        <v>17</v>
      </c>
      <c r="D587" s="236"/>
      <c r="E587" s="236"/>
      <c r="F587" s="236"/>
      <c r="G587" s="236"/>
      <c r="H587" s="40">
        <f>SUM(Tabla132112413[[#This Row],[PRIMER TRIMESTRE]:[CUARTO TRIMESTRE]])</f>
        <v>0</v>
      </c>
      <c r="I587" s="17">
        <v>4920</v>
      </c>
      <c r="J587" s="17">
        <f t="shared" si="15"/>
        <v>0</v>
      </c>
      <c r="K587" s="17"/>
      <c r="L587" s="16" t="s">
        <v>18</v>
      </c>
      <c r="M587" s="16" t="s">
        <v>22</v>
      </c>
      <c r="N587" s="178"/>
    </row>
    <row r="588" spans="1:14" s="12" customFormat="1" ht="18">
      <c r="A588" s="178" t="s">
        <v>95</v>
      </c>
      <c r="B588" s="75" t="s">
        <v>1470</v>
      </c>
      <c r="C588" s="39" t="s">
        <v>17</v>
      </c>
      <c r="D588" s="236"/>
      <c r="E588" s="236"/>
      <c r="F588" s="236"/>
      <c r="G588" s="236"/>
      <c r="H588" s="40">
        <f>SUM(Tabla132112413[[#This Row],[PRIMER TRIMESTRE]:[CUARTO TRIMESTRE]])</f>
        <v>0</v>
      </c>
      <c r="I588" s="17">
        <v>1521</v>
      </c>
      <c r="J588" s="17">
        <f t="shared" si="15"/>
        <v>0</v>
      </c>
      <c r="K588" s="17"/>
      <c r="L588" s="16" t="s">
        <v>18</v>
      </c>
      <c r="M588" s="16" t="s">
        <v>22</v>
      </c>
      <c r="N588" s="39" t="s">
        <v>418</v>
      </c>
    </row>
    <row r="589" spans="1:14" s="12" customFormat="1" ht="18">
      <c r="A589" s="178" t="s">
        <v>95</v>
      </c>
      <c r="B589" s="75" t="s">
        <v>1471</v>
      </c>
      <c r="C589" s="39" t="s">
        <v>17</v>
      </c>
      <c r="D589" s="236"/>
      <c r="E589" s="236"/>
      <c r="F589" s="236"/>
      <c r="G589" s="236"/>
      <c r="H589" s="40">
        <f>SUM(Tabla132112413[[#This Row],[PRIMER TRIMESTRE]:[CUARTO TRIMESTRE]])</f>
        <v>0</v>
      </c>
      <c r="I589" s="17">
        <v>2028</v>
      </c>
      <c r="J589" s="17">
        <f t="shared" si="15"/>
        <v>0</v>
      </c>
      <c r="K589" s="17"/>
      <c r="L589" s="16" t="s">
        <v>18</v>
      </c>
      <c r="M589" s="16" t="s">
        <v>22</v>
      </c>
      <c r="N589" s="39" t="s">
        <v>418</v>
      </c>
    </row>
    <row r="590" spans="1:14" s="12" customFormat="1" ht="25.5">
      <c r="A590" s="178" t="s">
        <v>95</v>
      </c>
      <c r="B590" s="75" t="str">
        <f ca="1">+UPPER(Tabla132112413[[#This Row],[DESCRIPCIÓN DE LA COMPRA O CONTRATACIÓN]])</f>
        <v>LÁMPARA FLUORESCENTE, DE 2 X 4 PIES, 32 WATTS, COMPLETA</v>
      </c>
      <c r="C590" s="39" t="s">
        <v>17</v>
      </c>
      <c r="D590" s="236"/>
      <c r="E590" s="236"/>
      <c r="F590" s="236"/>
      <c r="G590" s="236"/>
      <c r="H590" s="40">
        <f>SUM(Tabla132112413[[#This Row],[PRIMER TRIMESTRE]:[CUARTO TRIMESTRE]])</f>
        <v>0</v>
      </c>
      <c r="I590" s="17">
        <v>63.44</v>
      </c>
      <c r="J590" s="17">
        <f t="shared" si="15"/>
        <v>0</v>
      </c>
      <c r="K590" s="17"/>
      <c r="L590" s="16" t="s">
        <v>15</v>
      </c>
      <c r="M590" s="16" t="s">
        <v>22</v>
      </c>
      <c r="N590" s="39"/>
    </row>
    <row r="591" spans="1:14" s="12" customFormat="1" ht="18">
      <c r="A591" s="178" t="s">
        <v>95</v>
      </c>
      <c r="B591" s="75" t="s">
        <v>1539</v>
      </c>
      <c r="C591" s="39" t="s">
        <v>17</v>
      </c>
      <c r="D591" s="236"/>
      <c r="E591" s="236"/>
      <c r="F591" s="236"/>
      <c r="G591" s="236"/>
      <c r="H591" s="40">
        <f>SUM(Tabla132112413[[#This Row],[PRIMER TRIMESTRE]:[CUARTO TRIMESTRE]])</f>
        <v>0</v>
      </c>
      <c r="I591" s="17">
        <v>45</v>
      </c>
      <c r="J591" s="17">
        <f t="shared" si="15"/>
        <v>0</v>
      </c>
      <c r="K591" s="17"/>
      <c r="L591" s="16" t="s">
        <v>18</v>
      </c>
      <c r="M591" s="16" t="s">
        <v>22</v>
      </c>
      <c r="N591" s="39" t="s">
        <v>418</v>
      </c>
    </row>
    <row r="592" spans="1:14" s="12" customFormat="1" ht="18">
      <c r="A592" s="178" t="s">
        <v>95</v>
      </c>
      <c r="B592" s="75" t="s">
        <v>1540</v>
      </c>
      <c r="C592" s="39" t="s">
        <v>17</v>
      </c>
      <c r="D592" s="236"/>
      <c r="E592" s="236"/>
      <c r="F592" s="236"/>
      <c r="G592" s="236"/>
      <c r="H592" s="40">
        <f>SUM(Tabla132112413[[#This Row],[PRIMER TRIMESTRE]:[CUARTO TRIMESTRE]])</f>
        <v>0</v>
      </c>
      <c r="I592" s="17">
        <v>45</v>
      </c>
      <c r="J592" s="17">
        <f t="shared" si="15"/>
        <v>0</v>
      </c>
      <c r="K592" s="17"/>
      <c r="L592" s="16" t="s">
        <v>18</v>
      </c>
      <c r="M592" s="16" t="s">
        <v>22</v>
      </c>
      <c r="N592" s="39" t="s">
        <v>418</v>
      </c>
    </row>
    <row r="593" spans="1:14" s="12" customFormat="1" ht="18">
      <c r="A593" s="178" t="s">
        <v>95</v>
      </c>
      <c r="B593" s="75" t="s">
        <v>209</v>
      </c>
      <c r="C593" s="39" t="s">
        <v>17</v>
      </c>
      <c r="D593" s="236"/>
      <c r="E593" s="236"/>
      <c r="F593" s="236"/>
      <c r="G593" s="236"/>
      <c r="H593" s="40">
        <f>SUM(Tabla132112413[[#This Row],[PRIMER TRIMESTRE]:[CUARTO TRIMESTRE]])</f>
        <v>0</v>
      </c>
      <c r="I593" s="17">
        <v>1417.52</v>
      </c>
      <c r="J593" s="17">
        <f>+Tabla132112413[[#This Row],[CANTIDAD TOTAL]]*Tabla132112413[[#This Row],[PRECIO UNITARIO ESTIMADO]]</f>
        <v>0</v>
      </c>
      <c r="K593" s="17"/>
      <c r="L593" s="16" t="s">
        <v>27</v>
      </c>
      <c r="M593" s="16" t="s">
        <v>22</v>
      </c>
      <c r="N593" s="39"/>
    </row>
    <row r="594" spans="1:14" s="12" customFormat="1" ht="18">
      <c r="A594" s="178" t="s">
        <v>95</v>
      </c>
      <c r="B594" s="75" t="s">
        <v>1467</v>
      </c>
      <c r="C594" s="39" t="s">
        <v>17</v>
      </c>
      <c r="D594" s="236"/>
      <c r="E594" s="236"/>
      <c r="F594" s="236"/>
      <c r="G594" s="236"/>
      <c r="H594" s="236">
        <f>SUM(Tabla132112413[[#This Row],[PRIMER TRIMESTRE]:[CUARTO TRIMESTRE]])</f>
        <v>0</v>
      </c>
      <c r="I594" s="17">
        <v>5268.24</v>
      </c>
      <c r="J594" s="17">
        <f t="shared" ref="J594:J603" si="16">+H594*I594</f>
        <v>0</v>
      </c>
      <c r="K594" s="17"/>
      <c r="L594" s="16" t="s">
        <v>18</v>
      </c>
      <c r="M594" s="16" t="s">
        <v>22</v>
      </c>
      <c r="N594" s="39" t="s">
        <v>418</v>
      </c>
    </row>
    <row r="595" spans="1:14" s="12" customFormat="1" ht="25.5">
      <c r="A595" s="178" t="s">
        <v>95</v>
      </c>
      <c r="B595" s="77" t="s">
        <v>881</v>
      </c>
      <c r="C595" s="39" t="s">
        <v>17</v>
      </c>
      <c r="D595" s="236"/>
      <c r="E595" s="236"/>
      <c r="F595" s="236"/>
      <c r="G595" s="236"/>
      <c r="H595" s="40">
        <f>SUM(Tabla132112413[[#This Row],[PRIMER TRIMESTRE]:[CUARTO TRIMESTRE]])</f>
        <v>0</v>
      </c>
      <c r="I595" s="17">
        <v>877.77</v>
      </c>
      <c r="J595" s="17">
        <f t="shared" si="16"/>
        <v>0</v>
      </c>
      <c r="K595" s="17"/>
      <c r="L595" s="16" t="s">
        <v>15</v>
      </c>
      <c r="M595" s="16" t="s">
        <v>22</v>
      </c>
      <c r="N595" s="39"/>
    </row>
    <row r="596" spans="1:14" s="12" customFormat="1" ht="25.5">
      <c r="A596" s="178" t="s">
        <v>95</v>
      </c>
      <c r="B596" s="77" t="s">
        <v>1624</v>
      </c>
      <c r="C596" s="39" t="s">
        <v>17</v>
      </c>
      <c r="D596" s="236"/>
      <c r="E596" s="236"/>
      <c r="F596" s="236"/>
      <c r="G596" s="236"/>
      <c r="H596" s="236">
        <f>SUM(Tabla132112413[[#This Row],[PRIMER TRIMESTRE]:[CUARTO TRIMESTRE]])</f>
        <v>0</v>
      </c>
      <c r="I596" s="17">
        <v>4800</v>
      </c>
      <c r="J596" s="17">
        <f t="shared" si="16"/>
        <v>0</v>
      </c>
      <c r="K596" s="17"/>
      <c r="L596" s="16" t="s">
        <v>18</v>
      </c>
      <c r="M596" s="16" t="s">
        <v>22</v>
      </c>
      <c r="N596" s="39"/>
    </row>
    <row r="597" spans="1:14" s="12" customFormat="1" ht="25.5">
      <c r="A597" s="178" t="s">
        <v>95</v>
      </c>
      <c r="B597" s="77" t="s">
        <v>1593</v>
      </c>
      <c r="C597" s="39" t="s">
        <v>17</v>
      </c>
      <c r="D597" s="236"/>
      <c r="E597" s="236"/>
      <c r="F597" s="236"/>
      <c r="G597" s="236"/>
      <c r="H597" s="236">
        <f>SUM(Tabla132112413[[#This Row],[PRIMER TRIMESTRE]:[CUARTO TRIMESTRE]])</f>
        <v>0</v>
      </c>
      <c r="I597" s="17">
        <v>1980</v>
      </c>
      <c r="J597" s="17">
        <f t="shared" si="16"/>
        <v>0</v>
      </c>
      <c r="K597" s="17"/>
      <c r="L597" s="16" t="s">
        <v>18</v>
      </c>
      <c r="M597" s="16" t="s">
        <v>22</v>
      </c>
      <c r="N597" s="39"/>
    </row>
    <row r="598" spans="1:14" s="12" customFormat="1" ht="18">
      <c r="A598" s="178" t="s">
        <v>95</v>
      </c>
      <c r="B598" s="77" t="s">
        <v>1544</v>
      </c>
      <c r="C598" s="39" t="s">
        <v>17</v>
      </c>
      <c r="D598" s="236"/>
      <c r="E598" s="236"/>
      <c r="F598" s="236"/>
      <c r="G598" s="236"/>
      <c r="H598" s="236">
        <f>SUM(Tabla132112413[[#This Row],[PRIMER TRIMESTRE]:[CUARTO TRIMESTRE]])</f>
        <v>0</v>
      </c>
      <c r="I598" s="17">
        <v>68</v>
      </c>
      <c r="J598" s="17">
        <f t="shared" si="16"/>
        <v>0</v>
      </c>
      <c r="K598" s="17"/>
      <c r="L598" s="16" t="s">
        <v>18</v>
      </c>
      <c r="M598" s="16" t="s">
        <v>22</v>
      </c>
      <c r="N598" s="39"/>
    </row>
    <row r="599" spans="1:14" s="12" customFormat="1" ht="18">
      <c r="A599" s="178" t="s">
        <v>95</v>
      </c>
      <c r="B599" s="77" t="s">
        <v>1543</v>
      </c>
      <c r="C599" s="39" t="s">
        <v>17</v>
      </c>
      <c r="D599" s="236"/>
      <c r="E599" s="236"/>
      <c r="F599" s="236"/>
      <c r="G599" s="236"/>
      <c r="H599" s="236">
        <f>SUM(Tabla132112413[[#This Row],[PRIMER TRIMESTRE]:[CUARTO TRIMESTRE]])</f>
        <v>0</v>
      </c>
      <c r="I599" s="17">
        <v>161.28</v>
      </c>
      <c r="J599" s="17">
        <f t="shared" si="16"/>
        <v>0</v>
      </c>
      <c r="K599" s="17"/>
      <c r="L599" s="16" t="s">
        <v>18</v>
      </c>
      <c r="M599" s="16" t="s">
        <v>22</v>
      </c>
      <c r="N599" s="39"/>
    </row>
    <row r="600" spans="1:14" s="12" customFormat="1" ht="18">
      <c r="A600" s="178" t="s">
        <v>95</v>
      </c>
      <c r="B600" s="77" t="s">
        <v>1625</v>
      </c>
      <c r="C600" s="39" t="s">
        <v>17</v>
      </c>
      <c r="D600" s="236">
        <v>10</v>
      </c>
      <c r="E600" s="236"/>
      <c r="F600" s="236"/>
      <c r="G600" s="236"/>
      <c r="H600" s="236">
        <f>SUM(Tabla132112413[[#This Row],[PRIMER TRIMESTRE]:[CUARTO TRIMESTRE]])</f>
        <v>10</v>
      </c>
      <c r="I600" s="17">
        <v>400</v>
      </c>
      <c r="J600" s="17">
        <f t="shared" si="16"/>
        <v>4000</v>
      </c>
      <c r="K600" s="17"/>
      <c r="L600" s="16" t="s">
        <v>18</v>
      </c>
      <c r="M600" s="16" t="s">
        <v>22</v>
      </c>
      <c r="N600" s="39"/>
    </row>
    <row r="601" spans="1:14" s="12" customFormat="1" ht="18">
      <c r="A601" s="178" t="s">
        <v>95</v>
      </c>
      <c r="B601" s="77" t="s">
        <v>1542</v>
      </c>
      <c r="C601" s="39" t="s">
        <v>17</v>
      </c>
      <c r="D601" s="236"/>
      <c r="E601" s="236"/>
      <c r="F601" s="236"/>
      <c r="G601" s="236"/>
      <c r="H601" s="236">
        <f>SUM(Tabla132112413[[#This Row],[PRIMER TRIMESTRE]:[CUARTO TRIMESTRE]])</f>
        <v>0</v>
      </c>
      <c r="I601" s="17">
        <v>40</v>
      </c>
      <c r="J601" s="17">
        <f t="shared" si="16"/>
        <v>0</v>
      </c>
      <c r="K601" s="17"/>
      <c r="L601" s="16" t="s">
        <v>18</v>
      </c>
      <c r="M601" s="16" t="s">
        <v>22</v>
      </c>
      <c r="N601" s="39"/>
    </row>
    <row r="602" spans="1:14" s="26" customFormat="1" ht="18">
      <c r="A602" s="178" t="s">
        <v>95</v>
      </c>
      <c r="B602" s="77" t="s">
        <v>1541</v>
      </c>
      <c r="C602" s="39" t="s">
        <v>17</v>
      </c>
      <c r="D602" s="236"/>
      <c r="E602" s="236"/>
      <c r="F602" s="236"/>
      <c r="G602" s="236"/>
      <c r="H602" s="236">
        <f>SUM(Tabla132112413[[#This Row],[PRIMER TRIMESTRE]:[CUARTO TRIMESTRE]])</f>
        <v>0</v>
      </c>
      <c r="I602" s="17">
        <v>170</v>
      </c>
      <c r="J602" s="17">
        <f t="shared" si="16"/>
        <v>0</v>
      </c>
      <c r="K602" s="17"/>
      <c r="L602" s="16" t="s">
        <v>18</v>
      </c>
      <c r="M602" s="16" t="s">
        <v>22</v>
      </c>
      <c r="N602" s="39"/>
    </row>
    <row r="603" spans="1:14" s="12" customFormat="1" ht="25.5">
      <c r="A603" s="178" t="s">
        <v>95</v>
      </c>
      <c r="B603" s="77" t="s">
        <v>1472</v>
      </c>
      <c r="C603" s="39" t="s">
        <v>17</v>
      </c>
      <c r="D603" s="236"/>
      <c r="E603" s="236"/>
      <c r="F603" s="236"/>
      <c r="G603" s="236"/>
      <c r="H603" s="236">
        <f>SUM(Tabla132112413[[#This Row],[PRIMER TRIMESTRE]:[CUARTO TRIMESTRE]])</f>
        <v>0</v>
      </c>
      <c r="I603" s="17">
        <v>28982</v>
      </c>
      <c r="J603" s="17">
        <f t="shared" si="16"/>
        <v>0</v>
      </c>
      <c r="K603" s="17"/>
      <c r="L603" s="16" t="s">
        <v>18</v>
      </c>
      <c r="M603" s="16" t="s">
        <v>22</v>
      </c>
      <c r="N603" s="39"/>
    </row>
    <row r="604" spans="1:14" s="12" customFormat="1" ht="31.5">
      <c r="A604" s="179" t="s">
        <v>95</v>
      </c>
      <c r="B604" s="76"/>
      <c r="C604" s="42"/>
      <c r="D604" s="237"/>
      <c r="E604" s="237"/>
      <c r="F604" s="237"/>
      <c r="G604" s="237"/>
      <c r="H604" s="43"/>
      <c r="I604" s="24"/>
      <c r="J604" s="24"/>
      <c r="K604" s="25">
        <f>SUM(J586:J603)</f>
        <v>4000</v>
      </c>
      <c r="L604" s="23"/>
      <c r="M604" s="23"/>
      <c r="N604" s="42"/>
    </row>
    <row r="605" spans="1:14" s="12" customFormat="1" ht="30">
      <c r="A605" s="178" t="s">
        <v>96</v>
      </c>
      <c r="B605" s="75" t="str">
        <f ca="1">+UPPER(Tabla132112413[[#This Row],[DESCRIPCIÓN DE LA COMPRA O CONTRATACIÓN]])</f>
        <v>CUT-OUTS 15 KV 200 AMPERES</v>
      </c>
      <c r="C605" s="39" t="s">
        <v>17</v>
      </c>
      <c r="D605" s="236"/>
      <c r="E605" s="236"/>
      <c r="F605" s="236"/>
      <c r="G605" s="236"/>
      <c r="H605" s="40">
        <f>SUM(Tabla132112413[[#This Row],[PRIMER TRIMESTRE]:[CUARTO TRIMESTRE]])</f>
        <v>0</v>
      </c>
      <c r="I605" s="17">
        <v>6486.1</v>
      </c>
      <c r="J605" s="17">
        <f t="shared" ref="J605:J612" si="17">+H605*I605</f>
        <v>0</v>
      </c>
      <c r="K605" s="17"/>
      <c r="L605" s="16" t="s">
        <v>18</v>
      </c>
      <c r="M605" s="16" t="s">
        <v>22</v>
      </c>
      <c r="N605" s="39"/>
    </row>
    <row r="606" spans="1:14" s="12" customFormat="1" ht="30">
      <c r="A606" s="178" t="s">
        <v>96</v>
      </c>
      <c r="B606" s="75" t="str">
        <f ca="1">+UPPER(Tabla132112413[[#This Row],[DESCRIPCIÓN DE LA COMPRA O CONTRATACIÓN]])</f>
        <v>CUT-OUTS 15 KV 100 AMPERES</v>
      </c>
      <c r="C606" s="39" t="s">
        <v>17</v>
      </c>
      <c r="D606" s="236"/>
      <c r="E606" s="236"/>
      <c r="F606" s="236"/>
      <c r="G606" s="236"/>
      <c r="H606" s="40">
        <f>SUM(Tabla132112413[[#This Row],[PRIMER TRIMESTRE]:[CUARTO TRIMESTRE]])</f>
        <v>0</v>
      </c>
      <c r="I606" s="17">
        <v>4877.16</v>
      </c>
      <c r="J606" s="17">
        <f t="shared" si="17"/>
        <v>0</v>
      </c>
      <c r="K606" s="17"/>
      <c r="L606" s="16" t="s">
        <v>18</v>
      </c>
      <c r="M606" s="16" t="s">
        <v>22</v>
      </c>
      <c r="N606" s="39"/>
    </row>
    <row r="607" spans="1:14" s="12" customFormat="1" ht="30">
      <c r="A607" s="178" t="s">
        <v>96</v>
      </c>
      <c r="B607" s="75" t="str">
        <f ca="1">+UPPER(Tabla132112413[[#This Row],[DESCRIPCIÓN DE LA COMPRA O CONTRATACIÓN]])</f>
        <v>APARTARRAYOS DE 9KV</v>
      </c>
      <c r="C607" s="39" t="s">
        <v>17</v>
      </c>
      <c r="D607" s="236"/>
      <c r="E607" s="236"/>
      <c r="F607" s="236"/>
      <c r="G607" s="236"/>
      <c r="H607" s="40">
        <f>SUM(Tabla132112413[[#This Row],[PRIMER TRIMESTRE]:[CUARTO TRIMESTRE]])</f>
        <v>0</v>
      </c>
      <c r="I607" s="17">
        <v>2726</v>
      </c>
      <c r="J607" s="17">
        <f t="shared" si="17"/>
        <v>0</v>
      </c>
      <c r="K607" s="17"/>
      <c r="L607" s="16" t="s">
        <v>18</v>
      </c>
      <c r="M607" s="16" t="s">
        <v>22</v>
      </c>
      <c r="N607" s="39"/>
    </row>
    <row r="608" spans="1:14" s="12" customFormat="1" ht="30">
      <c r="A608" s="178" t="s">
        <v>96</v>
      </c>
      <c r="B608" s="75" t="s">
        <v>1217</v>
      </c>
      <c r="C608" s="39" t="s">
        <v>17</v>
      </c>
      <c r="D608" s="236"/>
      <c r="E608" s="236"/>
      <c r="F608" s="236"/>
      <c r="G608" s="236"/>
      <c r="H608" s="40">
        <f>SUM(Tabla132112413[[#This Row],[PRIMER TRIMESTRE]:[CUARTO TRIMESTRE]])</f>
        <v>0</v>
      </c>
      <c r="I608" s="17">
        <v>2438.11</v>
      </c>
      <c r="J608" s="17">
        <f t="shared" si="17"/>
        <v>0</v>
      </c>
      <c r="K608" s="17"/>
      <c r="L608" s="16" t="s">
        <v>18</v>
      </c>
      <c r="M608" s="16" t="s">
        <v>22</v>
      </c>
      <c r="N608" s="39"/>
    </row>
    <row r="609" spans="1:14" s="12" customFormat="1" ht="30">
      <c r="A609" s="178" t="s">
        <v>96</v>
      </c>
      <c r="B609" s="75" t="str">
        <f ca="1">+UPPER(Tabla132112413[[#This Row],[DESCRIPCIÓN DE LA COMPRA O CONTRATACIÓN]])</f>
        <v>APARTARRAYOS DE 220V, SECUNDARIO</v>
      </c>
      <c r="C609" s="39" t="s">
        <v>17</v>
      </c>
      <c r="D609" s="236"/>
      <c r="E609" s="236"/>
      <c r="F609" s="236"/>
      <c r="G609" s="236"/>
      <c r="H609" s="40">
        <f>SUM(Tabla132112413[[#This Row],[PRIMER TRIMESTRE]:[CUARTO TRIMESTRE]])</f>
        <v>0</v>
      </c>
      <c r="I609" s="17">
        <v>6840</v>
      </c>
      <c r="J609" s="17">
        <f t="shared" si="17"/>
        <v>0</v>
      </c>
      <c r="K609" s="17"/>
      <c r="L609" s="16" t="s">
        <v>18</v>
      </c>
      <c r="M609" s="16" t="s">
        <v>22</v>
      </c>
      <c r="N609" s="39"/>
    </row>
    <row r="610" spans="1:14" s="12" customFormat="1" ht="30">
      <c r="A610" s="178" t="s">
        <v>96</v>
      </c>
      <c r="B610" s="75" t="str">
        <f ca="1">+UPPER(Tabla132112413[[#This Row],[DESCRIPCIÓN DE LA COMPRA O CONTRATACIÓN]])</f>
        <v>APARTARRAYOS DE 480V, SECUNDARIO</v>
      </c>
      <c r="C610" s="39" t="s">
        <v>17</v>
      </c>
      <c r="D610" s="236"/>
      <c r="E610" s="236"/>
      <c r="F610" s="236"/>
      <c r="G610" s="236"/>
      <c r="H610" s="40">
        <f>SUM(Tabla132112413[[#This Row],[PRIMER TRIMESTRE]:[CUARTO TRIMESTRE]])</f>
        <v>0</v>
      </c>
      <c r="I610" s="72">
        <v>6900</v>
      </c>
      <c r="J610" s="17">
        <f t="shared" si="17"/>
        <v>0</v>
      </c>
      <c r="K610" s="17"/>
      <c r="L610" s="16" t="s">
        <v>18</v>
      </c>
      <c r="M610" s="16" t="s">
        <v>22</v>
      </c>
      <c r="N610" s="39"/>
    </row>
    <row r="611" spans="1:14" s="12" customFormat="1" ht="30">
      <c r="A611" s="178" t="s">
        <v>96</v>
      </c>
      <c r="B611" s="75" t="s">
        <v>1679</v>
      </c>
      <c r="C611" s="39" t="s">
        <v>17</v>
      </c>
      <c r="D611" s="236"/>
      <c r="E611" s="236"/>
      <c r="F611" s="236"/>
      <c r="G611" s="236"/>
      <c r="H611" s="40">
        <v>0</v>
      </c>
      <c r="I611" s="72">
        <v>0</v>
      </c>
      <c r="J611" s="17">
        <v>0</v>
      </c>
      <c r="K611" s="17"/>
      <c r="L611" s="16" t="s">
        <v>18</v>
      </c>
      <c r="M611" s="16" t="s">
        <v>22</v>
      </c>
      <c r="N611" s="39"/>
    </row>
    <row r="612" spans="1:14" s="12" customFormat="1" ht="30">
      <c r="A612" s="178" t="s">
        <v>96</v>
      </c>
      <c r="B612" s="75" t="s">
        <v>1597</v>
      </c>
      <c r="C612" s="39" t="s">
        <v>17</v>
      </c>
      <c r="D612" s="236"/>
      <c r="E612" s="236"/>
      <c r="F612" s="236"/>
      <c r="G612" s="236"/>
      <c r="H612" s="236">
        <f>SUM(Tabla132112413[[#This Row],[PRIMER TRIMESTRE]:[CUARTO TRIMESTRE]])</f>
        <v>0</v>
      </c>
      <c r="I612" s="72">
        <v>101.53</v>
      </c>
      <c r="J612" s="17">
        <f t="shared" si="17"/>
        <v>0</v>
      </c>
      <c r="K612" s="17"/>
      <c r="L612" s="16" t="s">
        <v>18</v>
      </c>
      <c r="M612" s="16" t="s">
        <v>22</v>
      </c>
      <c r="N612" s="39"/>
    </row>
    <row r="613" spans="1:14" s="12" customFormat="1" ht="30">
      <c r="A613" s="178" t="s">
        <v>96</v>
      </c>
      <c r="B613" s="75" t="s">
        <v>777</v>
      </c>
      <c r="C613" s="39" t="s">
        <v>17</v>
      </c>
      <c r="D613" s="236"/>
      <c r="E613" s="236"/>
      <c r="F613" s="236"/>
      <c r="G613" s="236"/>
      <c r="H613" s="236">
        <f>SUM(Tabla132112413[[#This Row],[PRIMER TRIMESTRE]:[CUARTO TRIMESTRE]])</f>
        <v>0</v>
      </c>
      <c r="I613" s="72">
        <v>13750</v>
      </c>
      <c r="J613" s="17">
        <f>+Tabla132112413[[#This Row],[CANTIDAD TOTAL]]*Tabla132112413[[#This Row],[PRECIO UNITARIO ESTIMADO]]</f>
        <v>0</v>
      </c>
      <c r="K613" s="17"/>
      <c r="L613" s="16" t="s">
        <v>18</v>
      </c>
      <c r="M613" s="16" t="s">
        <v>22</v>
      </c>
      <c r="N613" s="39" t="s">
        <v>418</v>
      </c>
    </row>
    <row r="614" spans="1:14" s="12" customFormat="1" ht="30">
      <c r="A614" s="178" t="s">
        <v>96</v>
      </c>
      <c r="B614" s="75" t="s">
        <v>1599</v>
      </c>
      <c r="C614" s="39" t="s">
        <v>17</v>
      </c>
      <c r="D614" s="236"/>
      <c r="E614" s="236"/>
      <c r="F614" s="236"/>
      <c r="G614" s="236"/>
      <c r="H614" s="236">
        <f>SUM(Tabla132112413[[#This Row],[PRIMER TRIMESTRE]:[CUARTO TRIMESTRE]])</f>
        <v>0</v>
      </c>
      <c r="I614" s="72">
        <v>110</v>
      </c>
      <c r="J614" s="17">
        <f>+H614*I614</f>
        <v>0</v>
      </c>
      <c r="K614" s="17"/>
      <c r="L614" s="16" t="s">
        <v>18</v>
      </c>
      <c r="M614" s="16" t="s">
        <v>22</v>
      </c>
      <c r="N614" s="39"/>
    </row>
    <row r="615" spans="1:14" s="12" customFormat="1" ht="30">
      <c r="A615" s="178" t="s">
        <v>96</v>
      </c>
      <c r="B615" s="75" t="s">
        <v>1600</v>
      </c>
      <c r="C615" s="39" t="s">
        <v>17</v>
      </c>
      <c r="D615" s="236"/>
      <c r="E615" s="236"/>
      <c r="F615" s="236"/>
      <c r="G615" s="236"/>
      <c r="H615" s="236">
        <f>SUM(Tabla132112413[[#This Row],[PRIMER TRIMESTRE]:[CUARTO TRIMESTRE]])</f>
        <v>0</v>
      </c>
      <c r="I615" s="72">
        <v>40</v>
      </c>
      <c r="J615" s="17">
        <f>+H615*I615</f>
        <v>0</v>
      </c>
      <c r="K615" s="17"/>
      <c r="L615" s="16" t="s">
        <v>18</v>
      </c>
      <c r="M615" s="16" t="s">
        <v>22</v>
      </c>
      <c r="N615" s="39"/>
    </row>
    <row r="616" spans="1:14" s="12" customFormat="1" ht="30">
      <c r="A616" s="178" t="s">
        <v>96</v>
      </c>
      <c r="B616" s="75" t="s">
        <v>1598</v>
      </c>
      <c r="C616" s="39" t="s">
        <v>17</v>
      </c>
      <c r="D616" s="236"/>
      <c r="E616" s="236"/>
      <c r="F616" s="236"/>
      <c r="G616" s="236"/>
      <c r="H616" s="236">
        <f>SUM(Tabla132112413[[#This Row],[PRIMER TRIMESTRE]:[CUARTO TRIMESTRE]])</f>
        <v>0</v>
      </c>
      <c r="I616" s="72">
        <v>90</v>
      </c>
      <c r="J616" s="17">
        <f>+H616*I616</f>
        <v>0</v>
      </c>
      <c r="K616" s="17"/>
      <c r="L616" s="16" t="s">
        <v>18</v>
      </c>
      <c r="M616" s="16" t="s">
        <v>22</v>
      </c>
      <c r="N616" s="39"/>
    </row>
    <row r="617" spans="1:14" s="12" customFormat="1" ht="30">
      <c r="A617" s="178" t="s">
        <v>96</v>
      </c>
      <c r="B617" s="75" t="s">
        <v>210</v>
      </c>
      <c r="C617" s="39" t="s">
        <v>17</v>
      </c>
      <c r="D617" s="236"/>
      <c r="E617" s="236"/>
      <c r="F617" s="236"/>
      <c r="G617" s="236"/>
      <c r="H617" s="236">
        <f>SUM(Tabla132112413[[#This Row],[PRIMER TRIMESTRE]:[CUARTO TRIMESTRE]])</f>
        <v>0</v>
      </c>
      <c r="I617" s="72">
        <v>13750</v>
      </c>
      <c r="J617" s="17">
        <f>+Tabla132112413[[#This Row],[CANTIDAD TOTAL]]*Tabla132112413[[#This Row],[PRECIO UNITARIO ESTIMADO]]</f>
        <v>0</v>
      </c>
      <c r="K617" s="17"/>
      <c r="L617" s="16" t="s">
        <v>18</v>
      </c>
      <c r="M617" s="16" t="s">
        <v>22</v>
      </c>
      <c r="N617" s="39" t="s">
        <v>418</v>
      </c>
    </row>
    <row r="618" spans="1:14" s="12" customFormat="1" ht="30">
      <c r="A618" s="178" t="s">
        <v>96</v>
      </c>
      <c r="B618" s="75" t="s">
        <v>1594</v>
      </c>
      <c r="C618" s="39" t="s">
        <v>17</v>
      </c>
      <c r="D618" s="236"/>
      <c r="E618" s="236"/>
      <c r="F618" s="236"/>
      <c r="G618" s="236"/>
      <c r="H618" s="236">
        <f>SUM(Tabla132112413[[#This Row],[PRIMER TRIMESTRE]:[CUARTO TRIMESTRE]])</f>
        <v>0</v>
      </c>
      <c r="I618" s="72">
        <v>95</v>
      </c>
      <c r="J618" s="17">
        <f>+H618*I618</f>
        <v>0</v>
      </c>
      <c r="K618" s="17"/>
      <c r="L618" s="16" t="s">
        <v>18</v>
      </c>
      <c r="M618" s="16" t="s">
        <v>22</v>
      </c>
      <c r="N618" s="39"/>
    </row>
    <row r="619" spans="1:14" s="12" customFormat="1" ht="30">
      <c r="A619" s="178" t="s">
        <v>96</v>
      </c>
      <c r="B619" s="75" t="s">
        <v>1596</v>
      </c>
      <c r="C619" s="39" t="s">
        <v>17</v>
      </c>
      <c r="D619" s="236"/>
      <c r="E619" s="236"/>
      <c r="F619" s="236"/>
      <c r="G619" s="236"/>
      <c r="H619" s="236">
        <f>SUM(Tabla132112413[[#This Row],[PRIMER TRIMESTRE]:[CUARTO TRIMESTRE]])</f>
        <v>0</v>
      </c>
      <c r="I619" s="72">
        <v>95</v>
      </c>
      <c r="J619" s="17">
        <f>+H619*I619</f>
        <v>0</v>
      </c>
      <c r="K619" s="17"/>
      <c r="L619" s="16" t="s">
        <v>18</v>
      </c>
      <c r="M619" s="16" t="s">
        <v>22</v>
      </c>
      <c r="N619" s="39"/>
    </row>
    <row r="620" spans="1:14" s="12" customFormat="1" ht="30">
      <c r="A620" s="178" t="s">
        <v>96</v>
      </c>
      <c r="B620" s="75" t="s">
        <v>211</v>
      </c>
      <c r="C620" s="39" t="s">
        <v>17</v>
      </c>
      <c r="D620" s="236"/>
      <c r="E620" s="236"/>
      <c r="F620" s="236"/>
      <c r="G620" s="236"/>
      <c r="H620" s="40">
        <f>SUM(Tabla132112413[[#This Row],[PRIMER TRIMESTRE]:[CUARTO TRIMESTRE]])</f>
        <v>0</v>
      </c>
      <c r="I620" s="17">
        <v>191</v>
      </c>
      <c r="J620" s="17">
        <f>+Tabla132112413[[#This Row],[CANTIDAD TOTAL]]*Tabla132112413[[#This Row],[PRECIO UNITARIO ESTIMADO]]</f>
        <v>0</v>
      </c>
      <c r="K620" s="17"/>
      <c r="L620" s="16" t="s">
        <v>18</v>
      </c>
      <c r="M620" s="16" t="s">
        <v>22</v>
      </c>
      <c r="N620" s="39" t="s">
        <v>418</v>
      </c>
    </row>
    <row r="621" spans="1:14" s="12" customFormat="1" ht="30">
      <c r="A621" s="178" t="s">
        <v>96</v>
      </c>
      <c r="B621" s="75" t="s">
        <v>772</v>
      </c>
      <c r="C621" s="39" t="s">
        <v>17</v>
      </c>
      <c r="D621" s="236"/>
      <c r="E621" s="236"/>
      <c r="F621" s="236"/>
      <c r="G621" s="236"/>
      <c r="H621" s="40">
        <f>SUM(Tabla132112413[[#This Row],[PRIMER TRIMESTRE]:[CUARTO TRIMESTRE]])</f>
        <v>0</v>
      </c>
      <c r="I621" s="72">
        <v>7700</v>
      </c>
      <c r="J621" s="17">
        <f>+H621*I621</f>
        <v>0</v>
      </c>
      <c r="K621" s="17"/>
      <c r="L621" s="16" t="s">
        <v>18</v>
      </c>
      <c r="M621" s="16" t="s">
        <v>22</v>
      </c>
      <c r="N621" s="39"/>
    </row>
    <row r="622" spans="1:14" s="12" customFormat="1" ht="30">
      <c r="A622" s="178" t="s">
        <v>96</v>
      </c>
      <c r="B622" s="75" t="s">
        <v>1690</v>
      </c>
      <c r="C622" s="39" t="s">
        <v>343</v>
      </c>
      <c r="D622" s="236"/>
      <c r="E622" s="236"/>
      <c r="F622" s="236"/>
      <c r="G622" s="236"/>
      <c r="H622" s="40">
        <v>0</v>
      </c>
      <c r="I622" s="72">
        <v>0</v>
      </c>
      <c r="J622" s="17">
        <v>0</v>
      </c>
      <c r="K622" s="17"/>
      <c r="L622" s="16" t="s">
        <v>18</v>
      </c>
      <c r="M622" s="16" t="s">
        <v>22</v>
      </c>
      <c r="N622" s="39"/>
    </row>
    <row r="623" spans="1:14" s="12" customFormat="1" ht="30">
      <c r="A623" s="178" t="s">
        <v>96</v>
      </c>
      <c r="B623" s="75" t="s">
        <v>229</v>
      </c>
      <c r="C623" s="39" t="s">
        <v>17</v>
      </c>
      <c r="D623" s="236"/>
      <c r="E623" s="236"/>
      <c r="F623" s="236"/>
      <c r="G623" s="236"/>
      <c r="H623" s="40">
        <f>SUM(Tabla132112413[[#This Row],[PRIMER TRIMESTRE]:[CUARTO TRIMESTRE]])</f>
        <v>0</v>
      </c>
      <c r="I623" s="17">
        <v>6460</v>
      </c>
      <c r="J623" s="17">
        <f>+Tabla132112413[[#This Row],[CANTIDAD TOTAL]]*Tabla132112413[[#This Row],[PRECIO UNITARIO ESTIMADO]]</f>
        <v>0</v>
      </c>
      <c r="K623" s="17"/>
      <c r="L623" s="16" t="s">
        <v>18</v>
      </c>
      <c r="M623" s="16" t="s">
        <v>22</v>
      </c>
      <c r="N623" s="39"/>
    </row>
    <row r="624" spans="1:14" s="12" customFormat="1" ht="30">
      <c r="A624" s="178" t="s">
        <v>96</v>
      </c>
      <c r="B624" s="75" t="s">
        <v>1712</v>
      </c>
      <c r="C624" s="39" t="s">
        <v>17</v>
      </c>
      <c r="D624" s="236"/>
      <c r="E624" s="236"/>
      <c r="F624" s="236"/>
      <c r="G624" s="236"/>
      <c r="H624" s="40">
        <v>0</v>
      </c>
      <c r="I624" s="17">
        <v>0</v>
      </c>
      <c r="J624" s="17">
        <v>0</v>
      </c>
      <c r="K624" s="17"/>
      <c r="L624" s="16" t="s">
        <v>18</v>
      </c>
      <c r="M624" s="16" t="s">
        <v>22</v>
      </c>
      <c r="N624" s="39"/>
    </row>
    <row r="625" spans="1:14" s="12" customFormat="1" ht="30">
      <c r="A625" s="178" t="s">
        <v>96</v>
      </c>
      <c r="B625" s="75" t="s">
        <v>1218</v>
      </c>
      <c r="C625" s="39" t="s">
        <v>17</v>
      </c>
      <c r="D625" s="236"/>
      <c r="E625" s="236"/>
      <c r="F625" s="236"/>
      <c r="G625" s="236"/>
      <c r="H625" s="40">
        <f>SUM(Tabla132112413[[#This Row],[PRIMER TRIMESTRE]:[CUARTO TRIMESTRE]])</f>
        <v>0</v>
      </c>
      <c r="I625" s="17">
        <v>6460</v>
      </c>
      <c r="J625" s="17">
        <f>+H625*I625</f>
        <v>0</v>
      </c>
      <c r="K625" s="17"/>
      <c r="L625" s="16" t="s">
        <v>18</v>
      </c>
      <c r="M625" s="16" t="s">
        <v>22</v>
      </c>
      <c r="N625" s="39"/>
    </row>
    <row r="626" spans="1:14" s="12" customFormat="1" ht="30">
      <c r="A626" s="178" t="s">
        <v>96</v>
      </c>
      <c r="B626" s="75" t="s">
        <v>1683</v>
      </c>
      <c r="C626" s="39" t="s">
        <v>17</v>
      </c>
      <c r="D626" s="236"/>
      <c r="E626" s="236"/>
      <c r="F626" s="236"/>
      <c r="G626" s="236"/>
      <c r="H626" s="40">
        <v>0</v>
      </c>
      <c r="I626" s="17">
        <v>0</v>
      </c>
      <c r="J626" s="17">
        <v>0</v>
      </c>
      <c r="K626" s="17"/>
      <c r="L626" s="16" t="s">
        <v>18</v>
      </c>
      <c r="M626" s="16" t="s">
        <v>22</v>
      </c>
      <c r="N626" s="39"/>
    </row>
    <row r="627" spans="1:14" s="12" customFormat="1" ht="30">
      <c r="A627" s="178" t="s">
        <v>96</v>
      </c>
      <c r="B627" s="75" t="s">
        <v>1731</v>
      </c>
      <c r="C627" s="39" t="s">
        <v>17</v>
      </c>
      <c r="D627" s="236"/>
      <c r="E627" s="236"/>
      <c r="F627" s="236"/>
      <c r="G627" s="236"/>
      <c r="H627" s="40">
        <v>0</v>
      </c>
      <c r="I627" s="17">
        <v>0</v>
      </c>
      <c r="J627" s="17">
        <v>0</v>
      </c>
      <c r="K627" s="17"/>
      <c r="L627" s="16" t="s">
        <v>18</v>
      </c>
      <c r="M627" s="16" t="s">
        <v>22</v>
      </c>
      <c r="N627" s="39"/>
    </row>
    <row r="628" spans="1:14" s="12" customFormat="1" ht="30">
      <c r="A628" s="178" t="s">
        <v>96</v>
      </c>
      <c r="B628" s="75" t="s">
        <v>770</v>
      </c>
      <c r="C628" s="39" t="s">
        <v>17</v>
      </c>
      <c r="D628" s="236"/>
      <c r="E628" s="236"/>
      <c r="F628" s="236"/>
      <c r="G628" s="236"/>
      <c r="H628" s="40">
        <f>SUM(Tabla132112413[[#This Row],[PRIMER TRIMESTRE]:[CUARTO TRIMESTRE]])</f>
        <v>0</v>
      </c>
      <c r="I628" s="17">
        <v>12589</v>
      </c>
      <c r="J628" s="17">
        <f>+Tabla132112413[[#This Row],[CANTIDAD TOTAL]]*Tabla132112413[[#This Row],[PRECIO UNITARIO ESTIMADO]]</f>
        <v>0</v>
      </c>
      <c r="K628" s="17"/>
      <c r="L628" s="16" t="s">
        <v>18</v>
      </c>
      <c r="M628" s="16" t="s">
        <v>22</v>
      </c>
      <c r="N628" s="39"/>
    </row>
    <row r="629" spans="1:14" s="12" customFormat="1" ht="30">
      <c r="A629" s="178" t="s">
        <v>96</v>
      </c>
      <c r="B629" s="75" t="s">
        <v>771</v>
      </c>
      <c r="C629" s="39" t="s">
        <v>17</v>
      </c>
      <c r="D629" s="236"/>
      <c r="E629" s="236"/>
      <c r="F629" s="236"/>
      <c r="G629" s="236"/>
      <c r="H629" s="40">
        <f>SUM(Tabla132112413[[#This Row],[PRIMER TRIMESTRE]:[CUARTO TRIMESTRE]])</f>
        <v>0</v>
      </c>
      <c r="I629" s="72">
        <v>14625</v>
      </c>
      <c r="J629" s="17">
        <f t="shared" ref="J629:J692" si="18">+H629*I629</f>
        <v>0</v>
      </c>
      <c r="K629" s="17"/>
      <c r="L629" s="16" t="s">
        <v>18</v>
      </c>
      <c r="M629" s="16" t="s">
        <v>22</v>
      </c>
      <c r="N629" s="39"/>
    </row>
    <row r="630" spans="1:14" s="12" customFormat="1" ht="30">
      <c r="A630" s="178" t="s">
        <v>96</v>
      </c>
      <c r="B630" s="75" t="s">
        <v>1219</v>
      </c>
      <c r="C630" s="39" t="s">
        <v>17</v>
      </c>
      <c r="D630" s="236"/>
      <c r="E630" s="236"/>
      <c r="F630" s="236"/>
      <c r="G630" s="236"/>
      <c r="H630" s="40">
        <f>SUM(Tabla132112413[[#This Row],[PRIMER TRIMESTRE]:[CUARTO TRIMESTRE]])</f>
        <v>0</v>
      </c>
      <c r="I630" s="72">
        <v>28650</v>
      </c>
      <c r="J630" s="17">
        <f t="shared" si="18"/>
        <v>0</v>
      </c>
      <c r="K630" s="17"/>
      <c r="L630" s="17" t="s">
        <v>18</v>
      </c>
      <c r="M630" s="16" t="s">
        <v>22</v>
      </c>
      <c r="N630" s="39"/>
    </row>
    <row r="631" spans="1:14" s="12" customFormat="1" ht="30">
      <c r="A631" s="178" t="s">
        <v>96</v>
      </c>
      <c r="B631" s="75" t="s">
        <v>803</v>
      </c>
      <c r="C631" s="39" t="s">
        <v>343</v>
      </c>
      <c r="D631" s="236"/>
      <c r="E631" s="236"/>
      <c r="F631" s="236"/>
      <c r="G631" s="236"/>
      <c r="H631" s="40">
        <f>SUM(Tabla132112413[[#This Row],[PRIMER TRIMESTRE]:[CUARTO TRIMESTRE]])</f>
        <v>0</v>
      </c>
      <c r="I631" s="72">
        <v>5.64</v>
      </c>
      <c r="J631" s="17">
        <f t="shared" si="18"/>
        <v>0</v>
      </c>
      <c r="K631" s="17"/>
      <c r="L631" s="17" t="s">
        <v>18</v>
      </c>
      <c r="M631" s="16" t="s">
        <v>22</v>
      </c>
      <c r="N631" s="39" t="s">
        <v>418</v>
      </c>
    </row>
    <row r="632" spans="1:14" s="12" customFormat="1" ht="30">
      <c r="A632" s="178" t="s">
        <v>96</v>
      </c>
      <c r="B632" s="75" t="s">
        <v>804</v>
      </c>
      <c r="C632" s="39" t="s">
        <v>343</v>
      </c>
      <c r="D632" s="236"/>
      <c r="E632" s="236"/>
      <c r="F632" s="236"/>
      <c r="G632" s="236"/>
      <c r="H632" s="40">
        <f>SUM(Tabla132112413[[#This Row],[PRIMER TRIMESTRE]:[CUARTO TRIMESTRE]])</f>
        <v>0</v>
      </c>
      <c r="I632" s="17">
        <v>12</v>
      </c>
      <c r="J632" s="17">
        <f t="shared" si="18"/>
        <v>0</v>
      </c>
      <c r="K632" s="17"/>
      <c r="L632" s="17" t="s">
        <v>18</v>
      </c>
      <c r="M632" s="16" t="s">
        <v>22</v>
      </c>
      <c r="N632" s="39" t="s">
        <v>418</v>
      </c>
    </row>
    <row r="633" spans="1:14" s="12" customFormat="1" ht="30">
      <c r="A633" s="178" t="s">
        <v>96</v>
      </c>
      <c r="B633" s="75" t="s">
        <v>805</v>
      </c>
      <c r="C633" s="39" t="s">
        <v>343</v>
      </c>
      <c r="D633" s="236"/>
      <c r="E633" s="236"/>
      <c r="F633" s="236"/>
      <c r="G633" s="236"/>
      <c r="H633" s="40">
        <f>SUM(Tabla132112413[[#This Row],[PRIMER TRIMESTRE]:[CUARTO TRIMESTRE]])</f>
        <v>0</v>
      </c>
      <c r="I633" s="72">
        <v>19</v>
      </c>
      <c r="J633" s="17">
        <f t="shared" si="18"/>
        <v>0</v>
      </c>
      <c r="K633" s="17"/>
      <c r="L633" s="17" t="s">
        <v>18</v>
      </c>
      <c r="M633" s="16" t="s">
        <v>22</v>
      </c>
      <c r="N633" s="39" t="s">
        <v>418</v>
      </c>
    </row>
    <row r="634" spans="1:14" s="12" customFormat="1" ht="30">
      <c r="A634" s="178" t="s">
        <v>96</v>
      </c>
      <c r="B634" s="75" t="s">
        <v>806</v>
      </c>
      <c r="C634" s="39" t="s">
        <v>343</v>
      </c>
      <c r="D634" s="236"/>
      <c r="E634" s="236"/>
      <c r="F634" s="236"/>
      <c r="G634" s="236"/>
      <c r="H634" s="40">
        <f>SUM(Tabla132112413[[#This Row],[PRIMER TRIMESTRE]:[CUARTO TRIMESTRE]])</f>
        <v>0</v>
      </c>
      <c r="I634" s="72">
        <v>22</v>
      </c>
      <c r="J634" s="17">
        <f t="shared" si="18"/>
        <v>0</v>
      </c>
      <c r="K634" s="17"/>
      <c r="L634" s="17" t="s">
        <v>18</v>
      </c>
      <c r="M634" s="16" t="s">
        <v>22</v>
      </c>
      <c r="N634" s="39" t="s">
        <v>418</v>
      </c>
    </row>
    <row r="635" spans="1:14" s="12" customFormat="1" ht="30">
      <c r="A635" s="178" t="s">
        <v>96</v>
      </c>
      <c r="B635" s="75" t="s">
        <v>807</v>
      </c>
      <c r="C635" s="39" t="s">
        <v>343</v>
      </c>
      <c r="D635" s="236"/>
      <c r="E635" s="236"/>
      <c r="F635" s="236"/>
      <c r="G635" s="236"/>
      <c r="H635" s="40">
        <f>SUM(Tabla132112413[[#This Row],[PRIMER TRIMESTRE]:[CUARTO TRIMESTRE]])</f>
        <v>0</v>
      </c>
      <c r="I635" s="72">
        <v>30.5</v>
      </c>
      <c r="J635" s="17">
        <f t="shared" si="18"/>
        <v>0</v>
      </c>
      <c r="K635" s="17"/>
      <c r="L635" s="17" t="s">
        <v>18</v>
      </c>
      <c r="M635" s="16" t="s">
        <v>22</v>
      </c>
      <c r="N635" s="39" t="s">
        <v>418</v>
      </c>
    </row>
    <row r="636" spans="1:14" s="12" customFormat="1" ht="30">
      <c r="A636" s="178" t="s">
        <v>96</v>
      </c>
      <c r="B636" s="75" t="s">
        <v>808</v>
      </c>
      <c r="C636" s="39" t="s">
        <v>343</v>
      </c>
      <c r="D636" s="236"/>
      <c r="E636" s="236"/>
      <c r="F636" s="236"/>
      <c r="G636" s="236"/>
      <c r="H636" s="40">
        <f>SUM(Tabla132112413[[#This Row],[PRIMER TRIMESTRE]:[CUARTO TRIMESTRE]])</f>
        <v>0</v>
      </c>
      <c r="I636" s="72">
        <v>49.27</v>
      </c>
      <c r="J636" s="17">
        <f t="shared" si="18"/>
        <v>0</v>
      </c>
      <c r="K636" s="17"/>
      <c r="L636" s="17" t="s">
        <v>18</v>
      </c>
      <c r="M636" s="16" t="s">
        <v>22</v>
      </c>
      <c r="N636" s="39" t="s">
        <v>418</v>
      </c>
    </row>
    <row r="637" spans="1:14" s="12" customFormat="1" ht="30">
      <c r="A637" s="178" t="s">
        <v>96</v>
      </c>
      <c r="B637" s="75" t="s">
        <v>809</v>
      </c>
      <c r="C637" s="39" t="s">
        <v>343</v>
      </c>
      <c r="D637" s="236"/>
      <c r="E637" s="236"/>
      <c r="F637" s="236"/>
      <c r="G637" s="236"/>
      <c r="H637" s="40">
        <f>SUM(Tabla132112413[[#This Row],[PRIMER TRIMESTRE]:[CUARTO TRIMESTRE]])</f>
        <v>0</v>
      </c>
      <c r="I637" s="72">
        <v>73</v>
      </c>
      <c r="J637" s="17">
        <f t="shared" si="18"/>
        <v>0</v>
      </c>
      <c r="K637" s="17"/>
      <c r="L637" s="17" t="s">
        <v>18</v>
      </c>
      <c r="M637" s="16" t="s">
        <v>22</v>
      </c>
      <c r="N637" s="39" t="s">
        <v>418</v>
      </c>
    </row>
    <row r="638" spans="1:14" s="12" customFormat="1" ht="30">
      <c r="A638" s="178" t="s">
        <v>96</v>
      </c>
      <c r="B638" s="75" t="s">
        <v>810</v>
      </c>
      <c r="C638" s="39" t="s">
        <v>343</v>
      </c>
      <c r="D638" s="236"/>
      <c r="E638" s="236"/>
      <c r="F638" s="236"/>
      <c r="G638" s="236"/>
      <c r="H638" s="40">
        <f>SUM(Tabla132112413[[#This Row],[PRIMER TRIMESTRE]:[CUARTO TRIMESTRE]])</f>
        <v>0</v>
      </c>
      <c r="I638" s="17">
        <v>95</v>
      </c>
      <c r="J638" s="17">
        <f t="shared" si="18"/>
        <v>0</v>
      </c>
      <c r="K638" s="17"/>
      <c r="L638" s="17" t="s">
        <v>18</v>
      </c>
      <c r="M638" s="16" t="s">
        <v>22</v>
      </c>
      <c r="N638" s="39" t="s">
        <v>418</v>
      </c>
    </row>
    <row r="639" spans="1:14" s="12" customFormat="1" ht="30">
      <c r="A639" s="178" t="s">
        <v>96</v>
      </c>
      <c r="B639" s="75" t="s">
        <v>811</v>
      </c>
      <c r="C639" s="39" t="s">
        <v>343</v>
      </c>
      <c r="D639" s="236"/>
      <c r="E639" s="236"/>
      <c r="F639" s="236"/>
      <c r="G639" s="236"/>
      <c r="H639" s="40">
        <f>SUM(Tabla132112413[[#This Row],[PRIMER TRIMESTRE]:[CUARTO TRIMESTRE]])</f>
        <v>0</v>
      </c>
      <c r="I639" s="17">
        <v>121.25</v>
      </c>
      <c r="J639" s="17">
        <f t="shared" si="18"/>
        <v>0</v>
      </c>
      <c r="K639" s="17"/>
      <c r="L639" s="17" t="s">
        <v>18</v>
      </c>
      <c r="M639" s="16" t="s">
        <v>22</v>
      </c>
      <c r="N639" s="39" t="s">
        <v>418</v>
      </c>
    </row>
    <row r="640" spans="1:14" s="12" customFormat="1" ht="30">
      <c r="A640" s="178" t="s">
        <v>96</v>
      </c>
      <c r="B640" s="75" t="s">
        <v>812</v>
      </c>
      <c r="C640" s="39" t="s">
        <v>343</v>
      </c>
      <c r="D640" s="236"/>
      <c r="E640" s="236"/>
      <c r="F640" s="236"/>
      <c r="G640" s="236"/>
      <c r="H640" s="40">
        <f>SUM(Tabla132112413[[#This Row],[PRIMER TRIMESTRE]:[CUARTO TRIMESTRE]])</f>
        <v>0</v>
      </c>
      <c r="I640" s="17">
        <v>163.98</v>
      </c>
      <c r="J640" s="17">
        <f t="shared" si="18"/>
        <v>0</v>
      </c>
      <c r="K640" s="17"/>
      <c r="L640" s="17" t="s">
        <v>18</v>
      </c>
      <c r="M640" s="16" t="s">
        <v>22</v>
      </c>
      <c r="N640" s="39" t="s">
        <v>418</v>
      </c>
    </row>
    <row r="641" spans="1:14" s="12" customFormat="1" ht="30">
      <c r="A641" s="178" t="s">
        <v>96</v>
      </c>
      <c r="B641" s="75" t="s">
        <v>1479</v>
      </c>
      <c r="C641" s="39" t="s">
        <v>343</v>
      </c>
      <c r="D641" s="236"/>
      <c r="E641" s="236"/>
      <c r="F641" s="236"/>
      <c r="G641" s="236"/>
      <c r="H641" s="236">
        <f>SUM(Tabla132112413[[#This Row],[PRIMER TRIMESTRE]:[CUARTO TRIMESTRE]])</f>
        <v>0</v>
      </c>
      <c r="I641" s="17">
        <v>249.9</v>
      </c>
      <c r="J641" s="17">
        <f t="shared" si="18"/>
        <v>0</v>
      </c>
      <c r="K641" s="17"/>
      <c r="L641" s="17" t="s">
        <v>18</v>
      </c>
      <c r="M641" s="16" t="s">
        <v>22</v>
      </c>
      <c r="N641" s="39" t="s">
        <v>418</v>
      </c>
    </row>
    <row r="642" spans="1:14" s="12" customFormat="1" ht="30">
      <c r="A642" s="178" t="s">
        <v>96</v>
      </c>
      <c r="B642" s="75" t="s">
        <v>1463</v>
      </c>
      <c r="C642" s="39" t="s">
        <v>343</v>
      </c>
      <c r="D642" s="236"/>
      <c r="E642" s="236"/>
      <c r="F642" s="236"/>
      <c r="G642" s="236"/>
      <c r="H642" s="40">
        <f>SUM(Tabla132112413[[#This Row],[PRIMER TRIMESTRE]:[CUARTO TRIMESTRE]])</f>
        <v>0</v>
      </c>
      <c r="I642" s="17">
        <v>175</v>
      </c>
      <c r="J642" s="17">
        <f t="shared" si="18"/>
        <v>0</v>
      </c>
      <c r="K642" s="17"/>
      <c r="L642" s="17" t="s">
        <v>18</v>
      </c>
      <c r="M642" s="16" t="s">
        <v>22</v>
      </c>
      <c r="N642" s="39" t="s">
        <v>418</v>
      </c>
    </row>
    <row r="643" spans="1:14" s="12" customFormat="1" ht="30">
      <c r="A643" s="178" t="s">
        <v>96</v>
      </c>
      <c r="B643" s="75" t="s">
        <v>1448</v>
      </c>
      <c r="C643" s="39" t="s">
        <v>343</v>
      </c>
      <c r="D643" s="236"/>
      <c r="E643" s="236"/>
      <c r="F643" s="236"/>
      <c r="G643" s="236"/>
      <c r="H643" s="40">
        <f>SUM(Tabla132112413[[#This Row],[PRIMER TRIMESTRE]:[CUARTO TRIMESTRE]])</f>
        <v>0</v>
      </c>
      <c r="I643" s="17">
        <v>120</v>
      </c>
      <c r="J643" s="17">
        <f t="shared" si="18"/>
        <v>0</v>
      </c>
      <c r="K643" s="17"/>
      <c r="L643" s="17" t="s">
        <v>18</v>
      </c>
      <c r="M643" s="16" t="s">
        <v>22</v>
      </c>
      <c r="N643" s="39" t="s">
        <v>418</v>
      </c>
    </row>
    <row r="644" spans="1:14" s="12" customFormat="1" ht="30">
      <c r="A644" s="178" t="s">
        <v>96</v>
      </c>
      <c r="B644" s="75" t="s">
        <v>1476</v>
      </c>
      <c r="C644" s="39" t="s">
        <v>343</v>
      </c>
      <c r="D644" s="236"/>
      <c r="E644" s="236"/>
      <c r="F644" s="236"/>
      <c r="G644" s="236"/>
      <c r="H644" s="236">
        <f>SUM(Tabla132112413[[#This Row],[PRIMER TRIMESTRE]:[CUARTO TRIMESTRE]])</f>
        <v>0</v>
      </c>
      <c r="I644" s="17">
        <v>48.72</v>
      </c>
      <c r="J644" s="17">
        <f t="shared" si="18"/>
        <v>0</v>
      </c>
      <c r="K644" s="17"/>
      <c r="L644" s="17" t="s">
        <v>18</v>
      </c>
      <c r="M644" s="16" t="s">
        <v>22</v>
      </c>
      <c r="N644" s="39" t="s">
        <v>418</v>
      </c>
    </row>
    <row r="645" spans="1:14" s="12" customFormat="1" ht="30">
      <c r="A645" s="178" t="s">
        <v>96</v>
      </c>
      <c r="B645" s="75" t="s">
        <v>1477</v>
      </c>
      <c r="C645" s="39" t="s">
        <v>343</v>
      </c>
      <c r="D645" s="236"/>
      <c r="E645" s="236"/>
      <c r="F645" s="236"/>
      <c r="G645" s="236"/>
      <c r="H645" s="236">
        <f>SUM(Tabla132112413[[#This Row],[PRIMER TRIMESTRE]:[CUARTO TRIMESTRE]])</f>
        <v>0</v>
      </c>
      <c r="I645" s="17">
        <v>78</v>
      </c>
      <c r="J645" s="17">
        <f t="shared" si="18"/>
        <v>0</v>
      </c>
      <c r="K645" s="17"/>
      <c r="L645" s="17" t="s">
        <v>18</v>
      </c>
      <c r="M645" s="16" t="s">
        <v>22</v>
      </c>
      <c r="N645" s="39" t="s">
        <v>418</v>
      </c>
    </row>
    <row r="646" spans="1:14" s="12" customFormat="1" ht="30">
      <c r="A646" s="178" t="s">
        <v>96</v>
      </c>
      <c r="B646" s="75" t="s">
        <v>1680</v>
      </c>
      <c r="C646" s="39" t="s">
        <v>343</v>
      </c>
      <c r="D646" s="236"/>
      <c r="E646" s="236"/>
      <c r="F646" s="236"/>
      <c r="G646" s="236"/>
      <c r="H646" s="40">
        <v>0</v>
      </c>
      <c r="I646" s="17">
        <v>0</v>
      </c>
      <c r="J646" s="17">
        <v>0</v>
      </c>
      <c r="K646" s="17"/>
      <c r="L646" s="17" t="s">
        <v>18</v>
      </c>
      <c r="M646" s="16" t="s">
        <v>22</v>
      </c>
      <c r="N646" s="39" t="s">
        <v>418</v>
      </c>
    </row>
    <row r="647" spans="1:14" s="12" customFormat="1" ht="30">
      <c r="A647" s="178" t="s">
        <v>96</v>
      </c>
      <c r="B647" s="75" t="s">
        <v>1478</v>
      </c>
      <c r="C647" s="39" t="s">
        <v>343</v>
      </c>
      <c r="D647" s="236"/>
      <c r="E647" s="236"/>
      <c r="F647" s="236"/>
      <c r="G647" s="236"/>
      <c r="H647" s="236">
        <f>SUM(Tabla132112413[[#This Row],[PRIMER TRIMESTRE]:[CUARTO TRIMESTRE]])</f>
        <v>0</v>
      </c>
      <c r="I647" s="17">
        <v>109.2</v>
      </c>
      <c r="J647" s="17">
        <f t="shared" si="18"/>
        <v>0</v>
      </c>
      <c r="K647" s="17"/>
      <c r="L647" s="17" t="s">
        <v>18</v>
      </c>
      <c r="M647" s="16" t="s">
        <v>22</v>
      </c>
      <c r="N647" s="39" t="s">
        <v>418</v>
      </c>
    </row>
    <row r="648" spans="1:14" s="12" customFormat="1" ht="30">
      <c r="A648" s="178" t="s">
        <v>96</v>
      </c>
      <c r="B648" s="75" t="s">
        <v>1473</v>
      </c>
      <c r="C648" s="39" t="s">
        <v>343</v>
      </c>
      <c r="D648" s="236"/>
      <c r="E648" s="236"/>
      <c r="F648" s="236"/>
      <c r="G648" s="236"/>
      <c r="H648" s="236">
        <f>SUM(Tabla132112413[[#This Row],[PRIMER TRIMESTRE]:[CUARTO TRIMESTRE]])</f>
        <v>0</v>
      </c>
      <c r="I648" s="17">
        <v>126</v>
      </c>
      <c r="J648" s="17">
        <f t="shared" si="18"/>
        <v>0</v>
      </c>
      <c r="K648" s="17"/>
      <c r="L648" s="17" t="s">
        <v>18</v>
      </c>
      <c r="M648" s="16" t="s">
        <v>22</v>
      </c>
      <c r="N648" s="39" t="s">
        <v>418</v>
      </c>
    </row>
    <row r="649" spans="1:14" s="12" customFormat="1" ht="30">
      <c r="A649" s="178" t="s">
        <v>96</v>
      </c>
      <c r="B649" s="75" t="s">
        <v>1474</v>
      </c>
      <c r="C649" s="39" t="s">
        <v>343</v>
      </c>
      <c r="D649" s="236"/>
      <c r="E649" s="236"/>
      <c r="F649" s="236"/>
      <c r="G649" s="236"/>
      <c r="H649" s="236">
        <f>SUM(Tabla132112413[[#This Row],[PRIMER TRIMESTRE]:[CUARTO TRIMESTRE]])</f>
        <v>0</v>
      </c>
      <c r="I649" s="17">
        <v>10.8</v>
      </c>
      <c r="J649" s="17">
        <f t="shared" si="18"/>
        <v>0</v>
      </c>
      <c r="K649" s="17"/>
      <c r="L649" s="17" t="s">
        <v>18</v>
      </c>
      <c r="M649" s="16" t="s">
        <v>22</v>
      </c>
      <c r="N649" s="39" t="s">
        <v>418</v>
      </c>
    </row>
    <row r="650" spans="1:14" s="12" customFormat="1" ht="30">
      <c r="A650" s="178" t="s">
        <v>96</v>
      </c>
      <c r="B650" s="75" t="s">
        <v>1475</v>
      </c>
      <c r="C650" s="39" t="s">
        <v>343</v>
      </c>
      <c r="D650" s="236"/>
      <c r="E650" s="236"/>
      <c r="F650" s="236"/>
      <c r="G650" s="236"/>
      <c r="H650" s="236">
        <f>SUM(Tabla132112413[[#This Row],[PRIMER TRIMESTRE]:[CUARTO TRIMESTRE]])</f>
        <v>0</v>
      </c>
      <c r="I650" s="17">
        <v>98.88</v>
      </c>
      <c r="J650" s="17">
        <f t="shared" si="18"/>
        <v>0</v>
      </c>
      <c r="K650" s="17"/>
      <c r="L650" s="17" t="s">
        <v>18</v>
      </c>
      <c r="M650" s="16" t="s">
        <v>22</v>
      </c>
      <c r="N650" s="39" t="s">
        <v>418</v>
      </c>
    </row>
    <row r="651" spans="1:14" s="12" customFormat="1" ht="30">
      <c r="A651" s="178" t="s">
        <v>96</v>
      </c>
      <c r="B651" s="75" t="s">
        <v>1480</v>
      </c>
      <c r="C651" s="39" t="s">
        <v>343</v>
      </c>
      <c r="D651" s="236"/>
      <c r="E651" s="236"/>
      <c r="F651" s="236"/>
      <c r="G651" s="236"/>
      <c r="H651" s="236">
        <f>SUM(Tabla132112413[[#This Row],[PRIMER TRIMESTRE]:[CUARTO TRIMESTRE]])</f>
        <v>0</v>
      </c>
      <c r="I651" s="17">
        <v>169.73</v>
      </c>
      <c r="J651" s="17">
        <f t="shared" si="18"/>
        <v>0</v>
      </c>
      <c r="K651" s="17"/>
      <c r="L651" s="17" t="s">
        <v>18</v>
      </c>
      <c r="M651" s="16" t="s">
        <v>22</v>
      </c>
      <c r="N651" s="39" t="s">
        <v>418</v>
      </c>
    </row>
    <row r="652" spans="1:14" s="12" customFormat="1" ht="30">
      <c r="A652" s="178" t="s">
        <v>96</v>
      </c>
      <c r="B652" s="75" t="s">
        <v>1481</v>
      </c>
      <c r="C652" s="39" t="s">
        <v>343</v>
      </c>
      <c r="D652" s="236"/>
      <c r="E652" s="236"/>
      <c r="F652" s="236"/>
      <c r="G652" s="236"/>
      <c r="H652" s="236">
        <f>SUM(Tabla132112413[[#This Row],[PRIMER TRIMESTRE]:[CUARTO TRIMESTRE]])</f>
        <v>0</v>
      </c>
      <c r="I652" s="17">
        <v>49</v>
      </c>
      <c r="J652" s="17">
        <f t="shared" si="18"/>
        <v>0</v>
      </c>
      <c r="K652" s="17"/>
      <c r="L652" s="17" t="s">
        <v>18</v>
      </c>
      <c r="M652" s="16" t="s">
        <v>22</v>
      </c>
      <c r="N652" s="39" t="s">
        <v>418</v>
      </c>
    </row>
    <row r="653" spans="1:14" s="12" customFormat="1" ht="30">
      <c r="A653" s="178" t="s">
        <v>96</v>
      </c>
      <c r="B653" s="75" t="s">
        <v>1691</v>
      </c>
      <c r="C653" s="39" t="s">
        <v>343</v>
      </c>
      <c r="D653" s="236"/>
      <c r="E653" s="236"/>
      <c r="F653" s="236"/>
      <c r="G653" s="236"/>
      <c r="H653" s="40">
        <v>0</v>
      </c>
      <c r="I653" s="17">
        <v>0</v>
      </c>
      <c r="J653" s="17">
        <v>0</v>
      </c>
      <c r="K653" s="17"/>
      <c r="L653" s="17" t="s">
        <v>18</v>
      </c>
      <c r="M653" s="16" t="s">
        <v>22</v>
      </c>
      <c r="N653" s="39" t="s">
        <v>418</v>
      </c>
    </row>
    <row r="654" spans="1:14" s="12" customFormat="1" ht="30">
      <c r="A654" s="178" t="s">
        <v>96</v>
      </c>
      <c r="B654" s="75" t="s">
        <v>813</v>
      </c>
      <c r="C654" s="39" t="s">
        <v>343</v>
      </c>
      <c r="D654" s="236"/>
      <c r="E654" s="236"/>
      <c r="F654" s="236"/>
      <c r="G654" s="236"/>
      <c r="H654" s="236">
        <f>SUM(Tabla132112413[[#This Row],[PRIMER TRIMESTRE]:[CUARTO TRIMESTRE]])</f>
        <v>0</v>
      </c>
      <c r="I654" s="17">
        <v>309.39999999999998</v>
      </c>
      <c r="J654" s="17">
        <f t="shared" si="18"/>
        <v>0</v>
      </c>
      <c r="K654" s="17"/>
      <c r="L654" s="17" t="s">
        <v>18</v>
      </c>
      <c r="M654" s="16" t="s">
        <v>22</v>
      </c>
      <c r="N654" s="39" t="s">
        <v>418</v>
      </c>
    </row>
    <row r="655" spans="1:14" s="12" customFormat="1" ht="30">
      <c r="A655" s="178" t="s">
        <v>1676</v>
      </c>
      <c r="B655" s="75" t="s">
        <v>1853</v>
      </c>
      <c r="C655" s="39" t="s">
        <v>343</v>
      </c>
      <c r="D655" s="236"/>
      <c r="E655" s="236"/>
      <c r="F655" s="236"/>
      <c r="G655" s="236"/>
      <c r="H655" s="40">
        <v>0</v>
      </c>
      <c r="I655" s="17">
        <v>0</v>
      </c>
      <c r="J655" s="17">
        <v>0</v>
      </c>
      <c r="K655" s="17"/>
      <c r="L655" s="17" t="s">
        <v>18</v>
      </c>
      <c r="M655" s="16" t="s">
        <v>22</v>
      </c>
      <c r="N655" s="39" t="s">
        <v>418</v>
      </c>
    </row>
    <row r="656" spans="1:14" s="12" customFormat="1" ht="30">
      <c r="A656" s="178" t="s">
        <v>96</v>
      </c>
      <c r="B656" s="75" t="s">
        <v>1571</v>
      </c>
      <c r="C656" s="39" t="s">
        <v>17</v>
      </c>
      <c r="D656" s="236"/>
      <c r="E656" s="236"/>
      <c r="F656" s="236"/>
      <c r="G656" s="236"/>
      <c r="H656" s="236">
        <f>SUM(Tabla132112413[[#This Row],[PRIMER TRIMESTRE]:[CUARTO TRIMESTRE]])</f>
        <v>0</v>
      </c>
      <c r="I656" s="17">
        <v>131500</v>
      </c>
      <c r="J656" s="17">
        <f t="shared" si="18"/>
        <v>0</v>
      </c>
      <c r="K656" s="17"/>
      <c r="L656" s="17" t="s">
        <v>18</v>
      </c>
      <c r="M656" s="16" t="s">
        <v>22</v>
      </c>
      <c r="N656" s="39" t="s">
        <v>418</v>
      </c>
    </row>
    <row r="657" spans="1:14" s="12" customFormat="1" ht="30">
      <c r="A657" s="178" t="s">
        <v>96</v>
      </c>
      <c r="B657" s="75" t="s">
        <v>1570</v>
      </c>
      <c r="C657" s="39" t="s">
        <v>343</v>
      </c>
      <c r="D657" s="236"/>
      <c r="E657" s="236"/>
      <c r="F657" s="236"/>
      <c r="G657" s="236"/>
      <c r="H657" s="236">
        <f>SUM(Tabla132112413[[#This Row],[PRIMER TRIMESTRE]:[CUARTO TRIMESTRE]])</f>
        <v>0</v>
      </c>
      <c r="I657" s="17">
        <v>31.11</v>
      </c>
      <c r="J657" s="17">
        <f t="shared" si="18"/>
        <v>0</v>
      </c>
      <c r="K657" s="17"/>
      <c r="L657" s="17" t="s">
        <v>18</v>
      </c>
      <c r="M657" s="16" t="s">
        <v>22</v>
      </c>
      <c r="N657" s="39" t="s">
        <v>418</v>
      </c>
    </row>
    <row r="658" spans="1:14" s="12" customFormat="1" ht="30">
      <c r="A658" s="178" t="s">
        <v>96</v>
      </c>
      <c r="B658" s="75" t="s">
        <v>1603</v>
      </c>
      <c r="C658" s="39" t="s">
        <v>343</v>
      </c>
      <c r="D658" s="236"/>
      <c r="E658" s="236"/>
      <c r="F658" s="236"/>
      <c r="G658" s="236"/>
      <c r="H658" s="236">
        <f>SUM(Tabla132112413[[#This Row],[PRIMER TRIMESTRE]:[CUARTO TRIMESTRE]])</f>
        <v>0</v>
      </c>
      <c r="I658" s="17">
        <v>75.61</v>
      </c>
      <c r="J658" s="17">
        <f t="shared" si="18"/>
        <v>0</v>
      </c>
      <c r="K658" s="17"/>
      <c r="L658" s="17" t="s">
        <v>18</v>
      </c>
      <c r="M658" s="16" t="s">
        <v>22</v>
      </c>
      <c r="N658" s="39" t="s">
        <v>418</v>
      </c>
    </row>
    <row r="659" spans="1:14" s="12" customFormat="1" ht="30">
      <c r="A659" s="178" t="s">
        <v>96</v>
      </c>
      <c r="B659" s="75" t="s">
        <v>1602</v>
      </c>
      <c r="C659" s="39" t="s">
        <v>343</v>
      </c>
      <c r="D659" s="236"/>
      <c r="E659" s="236"/>
      <c r="F659" s="236"/>
      <c r="G659" s="236"/>
      <c r="H659" s="236">
        <f>SUM(Tabla132112413[[#This Row],[PRIMER TRIMESTRE]:[CUARTO TRIMESTRE]])</f>
        <v>0</v>
      </c>
      <c r="I659" s="17">
        <v>77.77</v>
      </c>
      <c r="J659" s="17">
        <f t="shared" si="18"/>
        <v>0</v>
      </c>
      <c r="K659" s="17"/>
      <c r="L659" s="17" t="s">
        <v>18</v>
      </c>
      <c r="M659" s="16" t="s">
        <v>22</v>
      </c>
      <c r="N659" s="39" t="s">
        <v>418</v>
      </c>
    </row>
    <row r="660" spans="1:14" s="12" customFormat="1" ht="30">
      <c r="A660" s="178" t="s">
        <v>96</v>
      </c>
      <c r="B660" s="75" t="s">
        <v>814</v>
      </c>
      <c r="C660" s="39" t="s">
        <v>343</v>
      </c>
      <c r="D660" s="236"/>
      <c r="E660" s="236"/>
      <c r="F660" s="236"/>
      <c r="G660" s="236"/>
      <c r="H660" s="40">
        <f>SUM(Tabla132112413[[#This Row],[PRIMER TRIMESTRE]:[CUARTO TRIMESTRE]])</f>
        <v>0</v>
      </c>
      <c r="I660" s="17">
        <v>380.3</v>
      </c>
      <c r="J660" s="17">
        <f t="shared" si="18"/>
        <v>0</v>
      </c>
      <c r="K660" s="17"/>
      <c r="L660" s="17" t="s">
        <v>18</v>
      </c>
      <c r="M660" s="16" t="s">
        <v>22</v>
      </c>
      <c r="N660" s="39" t="s">
        <v>418</v>
      </c>
    </row>
    <row r="661" spans="1:14" s="12" customFormat="1" ht="30">
      <c r="A661" s="178" t="s">
        <v>96</v>
      </c>
      <c r="B661" s="77" t="s">
        <v>874</v>
      </c>
      <c r="C661" s="39" t="s">
        <v>17</v>
      </c>
      <c r="D661" s="236"/>
      <c r="E661" s="236"/>
      <c r="F661" s="236"/>
      <c r="G661" s="236"/>
      <c r="H661" s="40">
        <f>SUM(Tabla132112413[[#This Row],[PRIMER TRIMESTRE]:[CUARTO TRIMESTRE]])</f>
        <v>0</v>
      </c>
      <c r="I661" s="17">
        <v>110</v>
      </c>
      <c r="J661" s="17">
        <f t="shared" si="18"/>
        <v>0</v>
      </c>
      <c r="K661" s="17"/>
      <c r="L661" s="16" t="s">
        <v>18</v>
      </c>
      <c r="M661" s="16" t="s">
        <v>22</v>
      </c>
      <c r="N661" s="39"/>
    </row>
    <row r="662" spans="1:14" s="12" customFormat="1" ht="30">
      <c r="A662" s="178" t="s">
        <v>96</v>
      </c>
      <c r="B662" s="77" t="s">
        <v>875</v>
      </c>
      <c r="C662" s="39" t="s">
        <v>17</v>
      </c>
      <c r="D662" s="236"/>
      <c r="E662" s="236"/>
      <c r="F662" s="236"/>
      <c r="G662" s="236"/>
      <c r="H662" s="40">
        <f>SUM(Tabla132112413[[#This Row],[PRIMER TRIMESTRE]:[CUARTO TRIMESTRE]])</f>
        <v>0</v>
      </c>
      <c r="I662" s="17">
        <v>125</v>
      </c>
      <c r="J662" s="17">
        <f t="shared" si="18"/>
        <v>0</v>
      </c>
      <c r="K662" s="17"/>
      <c r="L662" s="16" t="s">
        <v>18</v>
      </c>
      <c r="M662" s="16" t="s">
        <v>22</v>
      </c>
      <c r="N662" s="39"/>
    </row>
    <row r="663" spans="1:14" s="12" customFormat="1" ht="30">
      <c r="A663" s="178" t="s">
        <v>96</v>
      </c>
      <c r="B663" s="77" t="s">
        <v>876</v>
      </c>
      <c r="C663" s="39" t="s">
        <v>17</v>
      </c>
      <c r="D663" s="236"/>
      <c r="E663" s="236"/>
      <c r="F663" s="236"/>
      <c r="G663" s="236"/>
      <c r="H663" s="40">
        <f>SUM(Tabla132112413[[#This Row],[PRIMER TRIMESTRE]:[CUARTO TRIMESTRE]])</f>
        <v>0</v>
      </c>
      <c r="I663" s="17">
        <v>135</v>
      </c>
      <c r="J663" s="17">
        <f t="shared" si="18"/>
        <v>0</v>
      </c>
      <c r="K663" s="17"/>
      <c r="L663" s="16" t="s">
        <v>18</v>
      </c>
      <c r="M663" s="16" t="s">
        <v>22</v>
      </c>
      <c r="N663" s="39"/>
    </row>
    <row r="664" spans="1:14" s="12" customFormat="1" ht="30">
      <c r="A664" s="178" t="s">
        <v>96</v>
      </c>
      <c r="B664" s="77" t="s">
        <v>877</v>
      </c>
      <c r="C664" s="39" t="s">
        <v>17</v>
      </c>
      <c r="D664" s="236"/>
      <c r="E664" s="236"/>
      <c r="F664" s="236"/>
      <c r="G664" s="236"/>
      <c r="H664" s="40">
        <f>SUM(Tabla132112413[[#This Row],[PRIMER TRIMESTRE]:[CUARTO TRIMESTRE]])</f>
        <v>0</v>
      </c>
      <c r="I664" s="17">
        <v>175</v>
      </c>
      <c r="J664" s="17">
        <f t="shared" si="18"/>
        <v>0</v>
      </c>
      <c r="K664" s="17"/>
      <c r="L664" s="16" t="s">
        <v>18</v>
      </c>
      <c r="M664" s="16" t="s">
        <v>22</v>
      </c>
      <c r="N664" s="39"/>
    </row>
    <row r="665" spans="1:14" s="12" customFormat="1" ht="30">
      <c r="A665" s="178" t="s">
        <v>96</v>
      </c>
      <c r="B665" s="77" t="s">
        <v>878</v>
      </c>
      <c r="C665" s="39" t="s">
        <v>17</v>
      </c>
      <c r="D665" s="236"/>
      <c r="E665" s="236"/>
      <c r="F665" s="236"/>
      <c r="G665" s="236"/>
      <c r="H665" s="40">
        <f>SUM(Tabla132112413[[#This Row],[PRIMER TRIMESTRE]:[CUARTO TRIMESTRE]])</f>
        <v>0</v>
      </c>
      <c r="I665" s="17">
        <v>191</v>
      </c>
      <c r="J665" s="17">
        <f t="shared" si="18"/>
        <v>0</v>
      </c>
      <c r="K665" s="17"/>
      <c r="L665" s="16" t="s">
        <v>18</v>
      </c>
      <c r="M665" s="16" t="s">
        <v>22</v>
      </c>
      <c r="N665" s="39"/>
    </row>
    <row r="666" spans="1:14" s="12" customFormat="1" ht="30">
      <c r="A666" s="178" t="s">
        <v>96</v>
      </c>
      <c r="B666" s="77" t="s">
        <v>1595</v>
      </c>
      <c r="C666" s="39" t="s">
        <v>17</v>
      </c>
      <c r="D666" s="236"/>
      <c r="E666" s="236"/>
      <c r="F666" s="236"/>
      <c r="G666" s="236"/>
      <c r="H666" s="236">
        <f>SUM(Tabla132112413[[#This Row],[PRIMER TRIMESTRE]:[CUARTO TRIMESTRE]])</f>
        <v>0</v>
      </c>
      <c r="I666" s="17">
        <v>371.2</v>
      </c>
      <c r="J666" s="17">
        <f t="shared" si="18"/>
        <v>0</v>
      </c>
      <c r="K666" s="17"/>
      <c r="L666" s="16" t="s">
        <v>18</v>
      </c>
      <c r="M666" s="16" t="s">
        <v>22</v>
      </c>
      <c r="N666" s="39"/>
    </row>
    <row r="667" spans="1:14" s="12" customFormat="1" ht="30">
      <c r="A667" s="178" t="s">
        <v>96</v>
      </c>
      <c r="B667" s="77" t="s">
        <v>879</v>
      </c>
      <c r="C667" s="39" t="s">
        <v>17</v>
      </c>
      <c r="D667" s="236"/>
      <c r="E667" s="236"/>
      <c r="F667" s="236"/>
      <c r="G667" s="236"/>
      <c r="H667" s="40">
        <f>SUM(Tabla132112413[[#This Row],[PRIMER TRIMESTRE]:[CUARTO TRIMESTRE]])</f>
        <v>0</v>
      </c>
      <c r="I667" s="17">
        <v>23600</v>
      </c>
      <c r="J667" s="17">
        <f t="shared" si="18"/>
        <v>0</v>
      </c>
      <c r="K667" s="17"/>
      <c r="L667" s="16" t="s">
        <v>18</v>
      </c>
      <c r="M667" s="16" t="s">
        <v>22</v>
      </c>
      <c r="N667" s="39"/>
    </row>
    <row r="668" spans="1:14" s="12" customFormat="1" ht="30">
      <c r="A668" s="178" t="s">
        <v>96</v>
      </c>
      <c r="B668" s="77" t="s">
        <v>1518</v>
      </c>
      <c r="C668" s="39" t="s">
        <v>208</v>
      </c>
      <c r="D668" s="236"/>
      <c r="E668" s="236"/>
      <c r="F668" s="236"/>
      <c r="G668" s="236"/>
      <c r="H668" s="236">
        <f>SUM(Tabla132112413[[#This Row],[PRIMER TRIMESTRE]:[CUARTO TRIMESTRE]])</f>
        <v>0</v>
      </c>
      <c r="I668" s="17">
        <v>1500.62</v>
      </c>
      <c r="J668" s="17">
        <f t="shared" si="18"/>
        <v>0</v>
      </c>
      <c r="K668" s="17"/>
      <c r="L668" s="16" t="s">
        <v>18</v>
      </c>
      <c r="M668" s="16" t="s">
        <v>22</v>
      </c>
      <c r="N668" s="39"/>
    </row>
    <row r="669" spans="1:14" s="12" customFormat="1" ht="30">
      <c r="A669" s="178" t="s">
        <v>96</v>
      </c>
      <c r="B669" s="77" t="s">
        <v>1519</v>
      </c>
      <c r="C669" s="39" t="s">
        <v>208</v>
      </c>
      <c r="D669" s="236"/>
      <c r="E669" s="236"/>
      <c r="F669" s="236"/>
      <c r="G669" s="236"/>
      <c r="H669" s="236">
        <f>SUM(Tabla132112413[[#This Row],[PRIMER TRIMESTRE]:[CUARTO TRIMESTRE]])</f>
        <v>0</v>
      </c>
      <c r="I669" s="17">
        <v>942.48</v>
      </c>
      <c r="J669" s="17">
        <f t="shared" si="18"/>
        <v>0</v>
      </c>
      <c r="K669" s="17"/>
      <c r="L669" s="16" t="s">
        <v>18</v>
      </c>
      <c r="M669" s="16" t="s">
        <v>22</v>
      </c>
      <c r="N669" s="39"/>
    </row>
    <row r="670" spans="1:14" s="12" customFormat="1" ht="30">
      <c r="A670" s="178" t="s">
        <v>96</v>
      </c>
      <c r="B670" s="77" t="s">
        <v>1520</v>
      </c>
      <c r="C670" s="39" t="s">
        <v>208</v>
      </c>
      <c r="D670" s="236"/>
      <c r="E670" s="236"/>
      <c r="F670" s="236"/>
      <c r="G670" s="236"/>
      <c r="H670" s="236">
        <f>SUM(Tabla132112413[[#This Row],[PRIMER TRIMESTRE]:[CUARTO TRIMESTRE]])</f>
        <v>0</v>
      </c>
      <c r="I670" s="17">
        <v>942.48</v>
      </c>
      <c r="J670" s="17">
        <f t="shared" si="18"/>
        <v>0</v>
      </c>
      <c r="K670" s="17"/>
      <c r="L670" s="16" t="s">
        <v>18</v>
      </c>
      <c r="M670" s="16" t="s">
        <v>22</v>
      </c>
      <c r="N670" s="39"/>
    </row>
    <row r="671" spans="1:14" s="12" customFormat="1" ht="30">
      <c r="A671" s="178" t="s">
        <v>96</v>
      </c>
      <c r="B671" s="77" t="s">
        <v>880</v>
      </c>
      <c r="C671" s="39" t="s">
        <v>17</v>
      </c>
      <c r="D671" s="236"/>
      <c r="E671" s="236"/>
      <c r="F671" s="236"/>
      <c r="G671" s="236"/>
      <c r="H671" s="40">
        <f>SUM(Tabla132112413[[#This Row],[PRIMER TRIMESTRE]:[CUARTO TRIMESTRE]])</f>
        <v>0</v>
      </c>
      <c r="I671" s="17">
        <v>25850</v>
      </c>
      <c r="J671" s="17">
        <f t="shared" si="18"/>
        <v>0</v>
      </c>
      <c r="K671" s="17"/>
      <c r="L671" s="16" t="s">
        <v>18</v>
      </c>
      <c r="M671" s="16" t="s">
        <v>22</v>
      </c>
      <c r="N671" s="39"/>
    </row>
    <row r="672" spans="1:14" s="12" customFormat="1" ht="38.25">
      <c r="A672" s="178" t="s">
        <v>96</v>
      </c>
      <c r="B672" s="77" t="s">
        <v>924</v>
      </c>
      <c r="C672" s="39" t="s">
        <v>17</v>
      </c>
      <c r="D672" s="236"/>
      <c r="E672" s="236"/>
      <c r="F672" s="236"/>
      <c r="G672" s="236"/>
      <c r="H672" s="40">
        <f>SUM(Tabla132112413[[#This Row],[PRIMER TRIMESTRE]:[CUARTO TRIMESTRE]])</f>
        <v>0</v>
      </c>
      <c r="I672" s="17">
        <v>100000</v>
      </c>
      <c r="J672" s="17">
        <f t="shared" si="18"/>
        <v>0</v>
      </c>
      <c r="K672" s="17"/>
      <c r="L672" s="16" t="s">
        <v>18</v>
      </c>
      <c r="M672" s="16" t="s">
        <v>22</v>
      </c>
      <c r="N672" s="39"/>
    </row>
    <row r="673" spans="1:14" s="12" customFormat="1" ht="30">
      <c r="A673" s="178" t="s">
        <v>96</v>
      </c>
      <c r="B673" s="75" t="s">
        <v>882</v>
      </c>
      <c r="C673" s="39" t="s">
        <v>17</v>
      </c>
      <c r="D673" s="236"/>
      <c r="E673" s="236"/>
      <c r="F673" s="236"/>
      <c r="G673" s="236"/>
      <c r="H673" s="40">
        <f>SUM(Tabla132112413[[#This Row],[PRIMER TRIMESTRE]:[CUARTO TRIMESTRE]])</f>
        <v>0</v>
      </c>
      <c r="I673" s="17">
        <v>600</v>
      </c>
      <c r="J673" s="17">
        <f t="shared" si="18"/>
        <v>0</v>
      </c>
      <c r="K673" s="17"/>
      <c r="L673" s="16" t="s">
        <v>18</v>
      </c>
      <c r="M673" s="16" t="s">
        <v>22</v>
      </c>
      <c r="N673" s="39"/>
    </row>
    <row r="674" spans="1:14" s="12" customFormat="1" ht="30">
      <c r="A674" s="178" t="s">
        <v>96</v>
      </c>
      <c r="B674" s="75" t="s">
        <v>883</v>
      </c>
      <c r="C674" s="39" t="s">
        <v>17</v>
      </c>
      <c r="D674" s="236"/>
      <c r="E674" s="236"/>
      <c r="F674" s="236"/>
      <c r="G674" s="236"/>
      <c r="H674" s="40">
        <f>SUM(Tabla132112413[[#This Row],[PRIMER TRIMESTRE]:[CUARTO TRIMESTRE]])</f>
        <v>0</v>
      </c>
      <c r="I674" s="17">
        <v>350</v>
      </c>
      <c r="J674" s="17">
        <f t="shared" si="18"/>
        <v>0</v>
      </c>
      <c r="K674" s="17"/>
      <c r="L674" s="16" t="s">
        <v>18</v>
      </c>
      <c r="M674" s="16" t="s">
        <v>22</v>
      </c>
      <c r="N674" s="39"/>
    </row>
    <row r="675" spans="1:14" s="12" customFormat="1" ht="30">
      <c r="A675" s="178" t="s">
        <v>96</v>
      </c>
      <c r="B675" s="75" t="s">
        <v>884</v>
      </c>
      <c r="C675" s="39" t="s">
        <v>17</v>
      </c>
      <c r="D675" s="236"/>
      <c r="E675" s="236"/>
      <c r="F675" s="236"/>
      <c r="G675" s="236"/>
      <c r="H675" s="40">
        <f>SUM(Tabla132112413[[#This Row],[PRIMER TRIMESTRE]:[CUARTO TRIMESTRE]])</f>
        <v>0</v>
      </c>
      <c r="I675" s="17">
        <v>450</v>
      </c>
      <c r="J675" s="17">
        <f t="shared" si="18"/>
        <v>0</v>
      </c>
      <c r="K675" s="17"/>
      <c r="L675" s="16" t="s">
        <v>18</v>
      </c>
      <c r="M675" s="16" t="s">
        <v>22</v>
      </c>
      <c r="N675" s="39"/>
    </row>
    <row r="676" spans="1:14" s="12" customFormat="1" ht="30">
      <c r="A676" s="178" t="s">
        <v>96</v>
      </c>
      <c r="B676" s="75" t="s">
        <v>885</v>
      </c>
      <c r="C676" s="39" t="s">
        <v>344</v>
      </c>
      <c r="D676" s="236"/>
      <c r="E676" s="236"/>
      <c r="F676" s="236"/>
      <c r="G676" s="236"/>
      <c r="H676" s="40">
        <f>SUM(Tabla132112413[[#This Row],[PRIMER TRIMESTRE]:[CUARTO TRIMESTRE]])</f>
        <v>0</v>
      </c>
      <c r="I676" s="17">
        <v>3650</v>
      </c>
      <c r="J676" s="17">
        <f t="shared" si="18"/>
        <v>0</v>
      </c>
      <c r="K676" s="17"/>
      <c r="L676" s="16" t="s">
        <v>18</v>
      </c>
      <c r="M676" s="16" t="s">
        <v>22</v>
      </c>
      <c r="N676" s="39"/>
    </row>
    <row r="677" spans="1:14" s="12" customFormat="1" ht="30">
      <c r="A677" s="178" t="s">
        <v>96</v>
      </c>
      <c r="B677" s="75" t="s">
        <v>886</v>
      </c>
      <c r="C677" s="39" t="s">
        <v>344</v>
      </c>
      <c r="D677" s="236"/>
      <c r="E677" s="236"/>
      <c r="F677" s="236"/>
      <c r="G677" s="236"/>
      <c r="H677" s="40">
        <f>SUM(Tabla132112413[[#This Row],[PRIMER TRIMESTRE]:[CUARTO TRIMESTRE]])</f>
        <v>0</v>
      </c>
      <c r="I677" s="17">
        <v>3650</v>
      </c>
      <c r="J677" s="17">
        <f t="shared" si="18"/>
        <v>0</v>
      </c>
      <c r="K677" s="17"/>
      <c r="L677" s="16" t="s">
        <v>18</v>
      </c>
      <c r="M677" s="16" t="s">
        <v>22</v>
      </c>
      <c r="N677" s="39"/>
    </row>
    <row r="678" spans="1:14" s="12" customFormat="1" ht="30">
      <c r="A678" s="178" t="s">
        <v>96</v>
      </c>
      <c r="B678" s="75" t="s">
        <v>887</v>
      </c>
      <c r="C678" s="39" t="s">
        <v>344</v>
      </c>
      <c r="D678" s="236"/>
      <c r="E678" s="236"/>
      <c r="F678" s="236"/>
      <c r="G678" s="236"/>
      <c r="H678" s="40">
        <f>SUM(Tabla132112413[[#This Row],[PRIMER TRIMESTRE]:[CUARTO TRIMESTRE]])</f>
        <v>0</v>
      </c>
      <c r="I678" s="17">
        <v>3650</v>
      </c>
      <c r="J678" s="17">
        <f t="shared" si="18"/>
        <v>0</v>
      </c>
      <c r="K678" s="17"/>
      <c r="L678" s="16" t="s">
        <v>18</v>
      </c>
      <c r="M678" s="16" t="s">
        <v>22</v>
      </c>
      <c r="N678" s="39"/>
    </row>
    <row r="679" spans="1:14" s="12" customFormat="1" ht="30">
      <c r="A679" s="178" t="s">
        <v>96</v>
      </c>
      <c r="B679" s="75" t="s">
        <v>888</v>
      </c>
      <c r="C679" s="39" t="s">
        <v>344</v>
      </c>
      <c r="D679" s="236"/>
      <c r="E679" s="236"/>
      <c r="F679" s="236"/>
      <c r="G679" s="236"/>
      <c r="H679" s="40">
        <f>SUM(Tabla132112413[[#This Row],[PRIMER TRIMESTRE]:[CUARTO TRIMESTRE]])</f>
        <v>0</v>
      </c>
      <c r="I679" s="17">
        <v>3650</v>
      </c>
      <c r="J679" s="17">
        <f t="shared" si="18"/>
        <v>0</v>
      </c>
      <c r="K679" s="17"/>
      <c r="L679" s="16" t="s">
        <v>18</v>
      </c>
      <c r="M679" s="16" t="s">
        <v>22</v>
      </c>
      <c r="N679" s="39"/>
    </row>
    <row r="680" spans="1:14" s="12" customFormat="1" ht="30">
      <c r="A680" s="178" t="s">
        <v>96</v>
      </c>
      <c r="B680" s="75" t="s">
        <v>815</v>
      </c>
      <c r="C680" s="39" t="s">
        <v>17</v>
      </c>
      <c r="D680" s="236"/>
      <c r="E680" s="236"/>
      <c r="F680" s="236"/>
      <c r="G680" s="236"/>
      <c r="H680" s="40">
        <f>SUM(Tabla132112413[[#This Row],[PRIMER TRIMESTRE]:[CUARTO TRIMESTRE]])</f>
        <v>0</v>
      </c>
      <c r="I680" s="17">
        <v>4625.12</v>
      </c>
      <c r="J680" s="17">
        <f t="shared" si="18"/>
        <v>0</v>
      </c>
      <c r="K680" s="17"/>
      <c r="L680" s="17" t="s">
        <v>18</v>
      </c>
      <c r="M680" s="16" t="s">
        <v>22</v>
      </c>
      <c r="N680" s="39"/>
    </row>
    <row r="681" spans="1:14" s="12" customFormat="1" ht="30">
      <c r="A681" s="178" t="s">
        <v>96</v>
      </c>
      <c r="B681" s="75" t="s">
        <v>913</v>
      </c>
      <c r="C681" s="39" t="s">
        <v>343</v>
      </c>
      <c r="D681" s="236"/>
      <c r="E681" s="236"/>
      <c r="F681" s="236"/>
      <c r="G681" s="236"/>
      <c r="H681" s="40">
        <f>SUM(Tabla132112413[[#This Row],[PRIMER TRIMESTRE]:[CUARTO TRIMESTRE]])</f>
        <v>0</v>
      </c>
      <c r="I681" s="72">
        <v>80</v>
      </c>
      <c r="J681" s="17">
        <f t="shared" si="18"/>
        <v>0</v>
      </c>
      <c r="K681" s="17"/>
      <c r="L681" s="16" t="s">
        <v>18</v>
      </c>
      <c r="M681" s="16" t="s">
        <v>22</v>
      </c>
      <c r="N681" s="39"/>
    </row>
    <row r="682" spans="1:14" s="12" customFormat="1" ht="30">
      <c r="A682" s="178" t="s">
        <v>96</v>
      </c>
      <c r="B682" s="75" t="s">
        <v>914</v>
      </c>
      <c r="C682" s="39" t="s">
        <v>343</v>
      </c>
      <c r="D682" s="236"/>
      <c r="E682" s="236"/>
      <c r="F682" s="236"/>
      <c r="G682" s="236"/>
      <c r="H682" s="40">
        <f>SUM(Tabla132112413[[#This Row],[PRIMER TRIMESTRE]:[CUARTO TRIMESTRE]])</f>
        <v>0</v>
      </c>
      <c r="I682" s="17">
        <v>112</v>
      </c>
      <c r="J682" s="17">
        <f t="shared" si="18"/>
        <v>0</v>
      </c>
      <c r="K682" s="17"/>
      <c r="L682" s="16" t="s">
        <v>18</v>
      </c>
      <c r="M682" s="16" t="s">
        <v>22</v>
      </c>
      <c r="N682" s="39"/>
    </row>
    <row r="683" spans="1:14" s="12" customFormat="1" ht="30">
      <c r="A683" s="178" t="s">
        <v>96</v>
      </c>
      <c r="B683" s="75" t="s">
        <v>915</v>
      </c>
      <c r="C683" s="39" t="s">
        <v>343</v>
      </c>
      <c r="D683" s="236"/>
      <c r="E683" s="236"/>
      <c r="F683" s="236"/>
      <c r="G683" s="236"/>
      <c r="H683" s="40">
        <f>SUM(Tabla132112413[[#This Row],[PRIMER TRIMESTRE]:[CUARTO TRIMESTRE]])</f>
        <v>0</v>
      </c>
      <c r="I683" s="17">
        <v>150</v>
      </c>
      <c r="J683" s="17">
        <f t="shared" si="18"/>
        <v>0</v>
      </c>
      <c r="K683" s="17"/>
      <c r="L683" s="16" t="s">
        <v>18</v>
      </c>
      <c r="M683" s="16" t="s">
        <v>22</v>
      </c>
      <c r="N683" s="39"/>
    </row>
    <row r="684" spans="1:14" s="12" customFormat="1" ht="30">
      <c r="A684" s="178" t="s">
        <v>96</v>
      </c>
      <c r="B684" s="75" t="s">
        <v>916</v>
      </c>
      <c r="C684" s="39" t="s">
        <v>343</v>
      </c>
      <c r="D684" s="236"/>
      <c r="E684" s="236"/>
      <c r="F684" s="236"/>
      <c r="G684" s="236"/>
      <c r="H684" s="40">
        <f>SUM(Tabla132112413[[#This Row],[PRIMER TRIMESTRE]:[CUARTO TRIMESTRE]])</f>
        <v>0</v>
      </c>
      <c r="I684" s="17">
        <v>188</v>
      </c>
      <c r="J684" s="17">
        <f t="shared" si="18"/>
        <v>0</v>
      </c>
      <c r="K684" s="17"/>
      <c r="L684" s="16" t="s">
        <v>18</v>
      </c>
      <c r="M684" s="16" t="s">
        <v>22</v>
      </c>
      <c r="N684" s="39"/>
    </row>
    <row r="685" spans="1:14" s="12" customFormat="1" ht="30">
      <c r="A685" s="178" t="s">
        <v>96</v>
      </c>
      <c r="B685" s="75" t="s">
        <v>917</v>
      </c>
      <c r="C685" s="39" t="s">
        <v>343</v>
      </c>
      <c r="D685" s="236"/>
      <c r="E685" s="236"/>
      <c r="F685" s="236"/>
      <c r="G685" s="236"/>
      <c r="H685" s="40">
        <f>SUM(Tabla132112413[[#This Row],[PRIMER TRIMESTRE]:[CUARTO TRIMESTRE]])</f>
        <v>0</v>
      </c>
      <c r="I685" s="17">
        <v>225</v>
      </c>
      <c r="J685" s="17">
        <f t="shared" si="18"/>
        <v>0</v>
      </c>
      <c r="K685" s="17"/>
      <c r="L685" s="16" t="s">
        <v>18</v>
      </c>
      <c r="M685" s="16" t="s">
        <v>22</v>
      </c>
      <c r="N685" s="39"/>
    </row>
    <row r="686" spans="1:14" s="12" customFormat="1" ht="30">
      <c r="A686" s="178" t="s">
        <v>96</v>
      </c>
      <c r="B686" s="75" t="s">
        <v>918</v>
      </c>
      <c r="C686" s="39" t="s">
        <v>343</v>
      </c>
      <c r="D686" s="236"/>
      <c r="E686" s="236"/>
      <c r="F686" s="236"/>
      <c r="G686" s="236"/>
      <c r="H686" s="40">
        <f>SUM(Tabla132112413[[#This Row],[PRIMER TRIMESTRE]:[CUARTO TRIMESTRE]])</f>
        <v>0</v>
      </c>
      <c r="I686" s="17">
        <v>135</v>
      </c>
      <c r="J686" s="17">
        <f t="shared" si="18"/>
        <v>0</v>
      </c>
      <c r="K686" s="17"/>
      <c r="L686" s="16" t="s">
        <v>18</v>
      </c>
      <c r="M686" s="16" t="s">
        <v>22</v>
      </c>
      <c r="N686" s="39"/>
    </row>
    <row r="687" spans="1:14" s="12" customFormat="1" ht="30">
      <c r="A687" s="178" t="s">
        <v>96</v>
      </c>
      <c r="B687" s="75" t="s">
        <v>1220</v>
      </c>
      <c r="C687" s="39" t="s">
        <v>17</v>
      </c>
      <c r="D687" s="236"/>
      <c r="E687" s="236"/>
      <c r="F687" s="236"/>
      <c r="G687" s="236"/>
      <c r="H687" s="40">
        <f>SUM(Tabla132112413[[#This Row],[PRIMER TRIMESTRE]:[CUARTO TRIMESTRE]])</f>
        <v>0</v>
      </c>
      <c r="I687" s="17">
        <v>12000</v>
      </c>
      <c r="J687" s="17">
        <f t="shared" si="18"/>
        <v>0</v>
      </c>
      <c r="K687" s="17"/>
      <c r="L687" s="16" t="s">
        <v>18</v>
      </c>
      <c r="M687" s="16" t="s">
        <v>22</v>
      </c>
      <c r="N687" s="39"/>
    </row>
    <row r="688" spans="1:14" s="12" customFormat="1" ht="30">
      <c r="A688" s="178" t="s">
        <v>96</v>
      </c>
      <c r="B688" s="75" t="s">
        <v>1221</v>
      </c>
      <c r="C688" s="39" t="s">
        <v>17</v>
      </c>
      <c r="D688" s="236"/>
      <c r="E688" s="236"/>
      <c r="F688" s="236"/>
      <c r="G688" s="236"/>
      <c r="H688" s="40">
        <f>SUM(Tabla132112413[[#This Row],[PRIMER TRIMESTRE]:[CUARTO TRIMESTRE]])</f>
        <v>0</v>
      </c>
      <c r="I688" s="17">
        <v>16000</v>
      </c>
      <c r="J688" s="17">
        <f t="shared" si="18"/>
        <v>0</v>
      </c>
      <c r="K688" s="17"/>
      <c r="L688" s="16" t="s">
        <v>18</v>
      </c>
      <c r="M688" s="16" t="s">
        <v>22</v>
      </c>
      <c r="N688" s="39"/>
    </row>
    <row r="689" spans="1:14" s="12" customFormat="1" ht="30">
      <c r="A689" s="178" t="s">
        <v>96</v>
      </c>
      <c r="B689" s="75" t="s">
        <v>1222</v>
      </c>
      <c r="C689" s="39" t="s">
        <v>17</v>
      </c>
      <c r="D689" s="236"/>
      <c r="E689" s="236"/>
      <c r="F689" s="236"/>
      <c r="G689" s="236"/>
      <c r="H689" s="40">
        <f>SUM(Tabla132112413[[#This Row],[PRIMER TRIMESTRE]:[CUARTO TRIMESTRE]])</f>
        <v>0</v>
      </c>
      <c r="I689" s="17">
        <v>17000</v>
      </c>
      <c r="J689" s="17">
        <f t="shared" si="18"/>
        <v>0</v>
      </c>
      <c r="K689" s="17"/>
      <c r="L689" s="16" t="s">
        <v>18</v>
      </c>
      <c r="M689" s="16" t="s">
        <v>22</v>
      </c>
      <c r="N689" s="39"/>
    </row>
    <row r="690" spans="1:14" s="12" customFormat="1" ht="30">
      <c r="A690" s="178" t="s">
        <v>96</v>
      </c>
      <c r="B690" s="75" t="s">
        <v>1223</v>
      </c>
      <c r="C690" s="39" t="s">
        <v>17</v>
      </c>
      <c r="D690" s="236"/>
      <c r="E690" s="236"/>
      <c r="F690" s="236"/>
      <c r="G690" s="236"/>
      <c r="H690" s="40">
        <f>SUM(Tabla132112413[[#This Row],[PRIMER TRIMESTRE]:[CUARTO TRIMESTRE]])</f>
        <v>0</v>
      </c>
      <c r="I690" s="17">
        <v>19000</v>
      </c>
      <c r="J690" s="17">
        <f t="shared" si="18"/>
        <v>0</v>
      </c>
      <c r="K690" s="17"/>
      <c r="L690" s="16" t="s">
        <v>18</v>
      </c>
      <c r="M690" s="16" t="s">
        <v>22</v>
      </c>
      <c r="N690" s="39"/>
    </row>
    <row r="691" spans="1:14" s="12" customFormat="1" ht="30">
      <c r="A691" s="178" t="s">
        <v>96</v>
      </c>
      <c r="B691" s="75" t="s">
        <v>1224</v>
      </c>
      <c r="C691" s="39" t="s">
        <v>17</v>
      </c>
      <c r="D691" s="236"/>
      <c r="E691" s="236"/>
      <c r="F691" s="236"/>
      <c r="G691" s="236"/>
      <c r="H691" s="40">
        <f>SUM(Tabla132112413[[#This Row],[PRIMER TRIMESTRE]:[CUARTO TRIMESTRE]])</f>
        <v>0</v>
      </c>
      <c r="I691" s="17">
        <v>23000</v>
      </c>
      <c r="J691" s="17">
        <f t="shared" si="18"/>
        <v>0</v>
      </c>
      <c r="K691" s="17"/>
      <c r="L691" s="16" t="s">
        <v>18</v>
      </c>
      <c r="M691" s="16" t="s">
        <v>22</v>
      </c>
      <c r="N691" s="39"/>
    </row>
    <row r="692" spans="1:14" s="12" customFormat="1" ht="30">
      <c r="A692" s="178" t="s">
        <v>96</v>
      </c>
      <c r="B692" s="75" t="s">
        <v>1225</v>
      </c>
      <c r="C692" s="39" t="s">
        <v>17</v>
      </c>
      <c r="D692" s="236"/>
      <c r="E692" s="236"/>
      <c r="F692" s="236"/>
      <c r="G692" s="236"/>
      <c r="H692" s="40">
        <f>SUM(Tabla132112413[[#This Row],[PRIMER TRIMESTRE]:[CUARTO TRIMESTRE]])</f>
        <v>0</v>
      </c>
      <c r="I692" s="17">
        <v>30000</v>
      </c>
      <c r="J692" s="17">
        <f t="shared" si="18"/>
        <v>0</v>
      </c>
      <c r="K692" s="17"/>
      <c r="L692" s="16" t="s">
        <v>18</v>
      </c>
      <c r="M692" s="16" t="s">
        <v>22</v>
      </c>
      <c r="N692" s="39"/>
    </row>
    <row r="693" spans="1:14" s="12" customFormat="1" ht="30">
      <c r="A693" s="178" t="s">
        <v>96</v>
      </c>
      <c r="B693" s="75" t="s">
        <v>1226</v>
      </c>
      <c r="C693" s="39" t="s">
        <v>17</v>
      </c>
      <c r="D693" s="236"/>
      <c r="E693" s="236"/>
      <c r="F693" s="236"/>
      <c r="G693" s="236"/>
      <c r="H693" s="40">
        <f>SUM(Tabla132112413[[#This Row],[PRIMER TRIMESTRE]:[CUARTO TRIMESTRE]])</f>
        <v>0</v>
      </c>
      <c r="I693" s="17">
        <v>42345.120000000003</v>
      </c>
      <c r="J693" s="17">
        <f t="shared" ref="J693:J709" si="19">+H693*I693</f>
        <v>0</v>
      </c>
      <c r="K693" s="17"/>
      <c r="L693" s="16" t="s">
        <v>18</v>
      </c>
      <c r="M693" s="16" t="s">
        <v>22</v>
      </c>
      <c r="N693" s="39"/>
    </row>
    <row r="694" spans="1:14" s="12" customFormat="1" ht="30">
      <c r="A694" s="178" t="s">
        <v>96</v>
      </c>
      <c r="B694" s="75" t="s">
        <v>773</v>
      </c>
      <c r="C694" s="39" t="s">
        <v>17</v>
      </c>
      <c r="D694" s="236"/>
      <c r="E694" s="236"/>
      <c r="F694" s="236"/>
      <c r="G694" s="236"/>
      <c r="H694" s="40">
        <f>SUM(Tabla132112413[[#This Row],[PRIMER TRIMESTRE]:[CUARTO TRIMESTRE]])</f>
        <v>0</v>
      </c>
      <c r="I694" s="72">
        <v>500</v>
      </c>
      <c r="J694" s="17">
        <f t="shared" si="19"/>
        <v>0</v>
      </c>
      <c r="K694" s="17"/>
      <c r="L694" s="16" t="s">
        <v>18</v>
      </c>
      <c r="M694" s="16" t="s">
        <v>22</v>
      </c>
      <c r="N694" s="39" t="s">
        <v>418</v>
      </c>
    </row>
    <row r="695" spans="1:14" s="12" customFormat="1" ht="30">
      <c r="A695" s="178" t="s">
        <v>96</v>
      </c>
      <c r="B695" s="75" t="s">
        <v>774</v>
      </c>
      <c r="C695" s="39" t="s">
        <v>17</v>
      </c>
      <c r="D695" s="236"/>
      <c r="E695" s="236"/>
      <c r="F695" s="236"/>
      <c r="G695" s="236"/>
      <c r="H695" s="40">
        <f>SUM(Tabla132112413[[#This Row],[PRIMER TRIMESTRE]:[CUARTO TRIMESTRE]])</f>
        <v>0</v>
      </c>
      <c r="I695" s="72">
        <v>1380</v>
      </c>
      <c r="J695" s="17">
        <f t="shared" si="19"/>
        <v>0</v>
      </c>
      <c r="K695" s="17"/>
      <c r="L695" s="16" t="s">
        <v>18</v>
      </c>
      <c r="M695" s="16" t="s">
        <v>22</v>
      </c>
      <c r="N695" s="39" t="s">
        <v>418</v>
      </c>
    </row>
    <row r="696" spans="1:14" s="12" customFormat="1" ht="30">
      <c r="A696" s="178" t="s">
        <v>96</v>
      </c>
      <c r="B696" s="75" t="s">
        <v>775</v>
      </c>
      <c r="C696" s="39" t="s">
        <v>17</v>
      </c>
      <c r="D696" s="236"/>
      <c r="E696" s="236"/>
      <c r="F696" s="236"/>
      <c r="G696" s="236"/>
      <c r="H696" s="40">
        <f>SUM(Tabla132112413[[#This Row],[PRIMER TRIMESTRE]:[CUARTO TRIMESTRE]])</f>
        <v>0</v>
      </c>
      <c r="I696" s="72">
        <v>3200</v>
      </c>
      <c r="J696" s="17">
        <f t="shared" si="19"/>
        <v>0</v>
      </c>
      <c r="K696" s="17"/>
      <c r="L696" s="16" t="s">
        <v>18</v>
      </c>
      <c r="M696" s="16" t="s">
        <v>22</v>
      </c>
      <c r="N696" s="39" t="s">
        <v>418</v>
      </c>
    </row>
    <row r="697" spans="1:14" s="12" customFormat="1" ht="51">
      <c r="A697" s="178" t="s">
        <v>96</v>
      </c>
      <c r="B697" s="75" t="s">
        <v>1717</v>
      </c>
      <c r="C697" s="39" t="s">
        <v>17</v>
      </c>
      <c r="D697" s="236"/>
      <c r="E697" s="236"/>
      <c r="F697" s="236"/>
      <c r="G697" s="236"/>
      <c r="H697" s="40">
        <v>0</v>
      </c>
      <c r="I697" s="72">
        <v>0</v>
      </c>
      <c r="J697" s="17">
        <v>0</v>
      </c>
      <c r="K697" s="17"/>
      <c r="L697" s="16" t="s">
        <v>18</v>
      </c>
      <c r="M697" s="16" t="s">
        <v>19</v>
      </c>
      <c r="N697" s="39"/>
    </row>
    <row r="698" spans="1:14" s="12" customFormat="1" ht="51">
      <c r="A698" s="178" t="s">
        <v>96</v>
      </c>
      <c r="B698" s="75" t="s">
        <v>1678</v>
      </c>
      <c r="C698" s="39" t="s">
        <v>17</v>
      </c>
      <c r="D698" s="236"/>
      <c r="E698" s="236"/>
      <c r="F698" s="236"/>
      <c r="G698" s="236"/>
      <c r="H698" s="40">
        <v>0</v>
      </c>
      <c r="I698" s="72">
        <v>0</v>
      </c>
      <c r="J698" s="17">
        <v>0</v>
      </c>
      <c r="K698" s="17"/>
      <c r="L698" s="16" t="s">
        <v>18</v>
      </c>
      <c r="M698" s="16" t="s">
        <v>19</v>
      </c>
      <c r="N698" s="39"/>
    </row>
    <row r="699" spans="1:14" s="12" customFormat="1" ht="38.25">
      <c r="A699" s="178" t="s">
        <v>96</v>
      </c>
      <c r="B699" s="75" t="s">
        <v>1715</v>
      </c>
      <c r="C699" s="39" t="s">
        <v>17</v>
      </c>
      <c r="D699" s="236"/>
      <c r="E699" s="236"/>
      <c r="F699" s="236"/>
      <c r="G699" s="236"/>
      <c r="H699" s="40">
        <v>0</v>
      </c>
      <c r="I699" s="72">
        <v>0</v>
      </c>
      <c r="J699" s="17">
        <v>0</v>
      </c>
      <c r="K699" s="17"/>
      <c r="L699" s="16" t="s">
        <v>18</v>
      </c>
      <c r="M699" s="16" t="s">
        <v>19</v>
      </c>
      <c r="N699" s="39"/>
    </row>
    <row r="700" spans="1:14" s="12" customFormat="1" ht="38.25">
      <c r="A700" s="178" t="s">
        <v>96</v>
      </c>
      <c r="B700" s="75" t="s">
        <v>1719</v>
      </c>
      <c r="C700" s="39" t="s">
        <v>17</v>
      </c>
      <c r="D700" s="236"/>
      <c r="E700" s="236"/>
      <c r="F700" s="236"/>
      <c r="G700" s="236"/>
      <c r="H700" s="40">
        <v>0</v>
      </c>
      <c r="I700" s="72">
        <v>0</v>
      </c>
      <c r="J700" s="17">
        <v>0</v>
      </c>
      <c r="K700" s="17"/>
      <c r="L700" s="16" t="s">
        <v>18</v>
      </c>
      <c r="M700" s="16" t="s">
        <v>19</v>
      </c>
      <c r="N700" s="39"/>
    </row>
    <row r="701" spans="1:14" s="12" customFormat="1" ht="38.25">
      <c r="A701" s="178" t="s">
        <v>96</v>
      </c>
      <c r="B701" s="75" t="s">
        <v>816</v>
      </c>
      <c r="C701" s="39" t="s">
        <v>17</v>
      </c>
      <c r="D701" s="236"/>
      <c r="E701" s="210"/>
      <c r="F701" s="236"/>
      <c r="G701" s="236"/>
      <c r="H701" s="40">
        <f>SUM(Tabla132112413[[#This Row],[PRIMER TRIMESTRE]:[CUARTO TRIMESTRE]])</f>
        <v>0</v>
      </c>
      <c r="I701" s="72">
        <v>565000</v>
      </c>
      <c r="J701" s="17">
        <f t="shared" si="19"/>
        <v>0</v>
      </c>
      <c r="K701" s="17"/>
      <c r="L701" s="16" t="s">
        <v>18</v>
      </c>
      <c r="M701" s="16" t="s">
        <v>19</v>
      </c>
      <c r="N701" s="39"/>
    </row>
    <row r="702" spans="1:14" s="12" customFormat="1" ht="38.25">
      <c r="A702" s="178" t="s">
        <v>96</v>
      </c>
      <c r="B702" s="75" t="s">
        <v>817</v>
      </c>
      <c r="C702" s="39" t="s">
        <v>17</v>
      </c>
      <c r="D702" s="236"/>
      <c r="E702" s="210"/>
      <c r="F702" s="236"/>
      <c r="G702" s="236"/>
      <c r="H702" s="40">
        <f>SUM(Tabla132112413[[#This Row],[PRIMER TRIMESTRE]:[CUARTO TRIMESTRE]])</f>
        <v>0</v>
      </c>
      <c r="I702" s="17">
        <v>699235.41</v>
      </c>
      <c r="J702" s="17">
        <f t="shared" si="19"/>
        <v>0</v>
      </c>
      <c r="K702" s="17"/>
      <c r="L702" s="16" t="s">
        <v>18</v>
      </c>
      <c r="M702" s="16" t="s">
        <v>19</v>
      </c>
      <c r="N702" s="39"/>
    </row>
    <row r="703" spans="1:14" s="12" customFormat="1" ht="38.25">
      <c r="A703" s="178" t="s">
        <v>96</v>
      </c>
      <c r="B703" s="75" t="s">
        <v>818</v>
      </c>
      <c r="C703" s="39" t="s">
        <v>17</v>
      </c>
      <c r="D703" s="236"/>
      <c r="E703" s="210"/>
      <c r="F703" s="236"/>
      <c r="G703" s="236"/>
      <c r="H703" s="40">
        <f>SUM(Tabla132112413[[#This Row],[PRIMER TRIMESTRE]:[CUARTO TRIMESTRE]])</f>
        <v>0</v>
      </c>
      <c r="I703" s="17">
        <v>350000</v>
      </c>
      <c r="J703" s="17">
        <f t="shared" si="19"/>
        <v>0</v>
      </c>
      <c r="K703" s="17"/>
      <c r="L703" s="16" t="s">
        <v>18</v>
      </c>
      <c r="M703" s="16" t="s">
        <v>19</v>
      </c>
      <c r="N703" s="39"/>
    </row>
    <row r="704" spans="1:14" s="12" customFormat="1" ht="38.25">
      <c r="A704" s="178" t="s">
        <v>96</v>
      </c>
      <c r="B704" s="75" t="s">
        <v>819</v>
      </c>
      <c r="C704" s="39" t="s">
        <v>17</v>
      </c>
      <c r="D704" s="236"/>
      <c r="E704" s="210"/>
      <c r="F704" s="236"/>
      <c r="G704" s="236"/>
      <c r="H704" s="40">
        <f>SUM(Tabla132112413[[#This Row],[PRIMER TRIMESTRE]:[CUARTO TRIMESTRE]])</f>
        <v>0</v>
      </c>
      <c r="I704" s="17">
        <v>198000</v>
      </c>
      <c r="J704" s="17">
        <f t="shared" si="19"/>
        <v>0</v>
      </c>
      <c r="K704" s="17"/>
      <c r="L704" s="16" t="s">
        <v>18</v>
      </c>
      <c r="M704" s="16" t="s">
        <v>19</v>
      </c>
      <c r="N704" s="39"/>
    </row>
    <row r="705" spans="1:14" s="12" customFormat="1" ht="38.25">
      <c r="A705" s="178" t="s">
        <v>96</v>
      </c>
      <c r="B705" s="75" t="s">
        <v>820</v>
      </c>
      <c r="C705" s="39" t="s">
        <v>17</v>
      </c>
      <c r="D705" s="236"/>
      <c r="E705" s="210"/>
      <c r="F705" s="236"/>
      <c r="G705" s="236"/>
      <c r="H705" s="40">
        <f>SUM(Tabla132112413[[#This Row],[PRIMER TRIMESTRE]:[CUARTO TRIMESTRE]])</f>
        <v>0</v>
      </c>
      <c r="I705" s="17">
        <v>117000</v>
      </c>
      <c r="J705" s="17">
        <f t="shared" si="19"/>
        <v>0</v>
      </c>
      <c r="K705" s="17"/>
      <c r="L705" s="16" t="s">
        <v>18</v>
      </c>
      <c r="M705" s="16" t="s">
        <v>19</v>
      </c>
      <c r="N705" s="39"/>
    </row>
    <row r="706" spans="1:14" s="12" customFormat="1" ht="38.25">
      <c r="A706" s="178" t="s">
        <v>96</v>
      </c>
      <c r="B706" s="75" t="s">
        <v>821</v>
      </c>
      <c r="C706" s="39" t="s">
        <v>17</v>
      </c>
      <c r="D706" s="236"/>
      <c r="E706" s="210"/>
      <c r="F706" s="236"/>
      <c r="G706" s="236"/>
      <c r="H706" s="40">
        <f>SUM(Tabla132112413[[#This Row],[PRIMER TRIMESTRE]:[CUARTO TRIMESTRE]])</f>
        <v>0</v>
      </c>
      <c r="I706" s="17">
        <v>61630.63</v>
      </c>
      <c r="J706" s="17">
        <f t="shared" si="19"/>
        <v>0</v>
      </c>
      <c r="K706" s="17"/>
      <c r="L706" s="16" t="s">
        <v>18</v>
      </c>
      <c r="M706" s="16" t="s">
        <v>19</v>
      </c>
      <c r="N706" s="39"/>
    </row>
    <row r="707" spans="1:14" s="12" customFormat="1" ht="38.25">
      <c r="A707" s="178" t="s">
        <v>96</v>
      </c>
      <c r="B707" s="75" t="s">
        <v>822</v>
      </c>
      <c r="C707" s="39" t="s">
        <v>17</v>
      </c>
      <c r="D707" s="236"/>
      <c r="E707" s="210"/>
      <c r="F707" s="236"/>
      <c r="G707" s="236"/>
      <c r="H707" s="40">
        <f>SUM(Tabla132112413[[#This Row],[PRIMER TRIMESTRE]:[CUARTO TRIMESTRE]])</f>
        <v>0</v>
      </c>
      <c r="I707" s="17">
        <v>54792</v>
      </c>
      <c r="J707" s="17">
        <f t="shared" si="19"/>
        <v>0</v>
      </c>
      <c r="K707" s="17"/>
      <c r="L707" s="16" t="s">
        <v>18</v>
      </c>
      <c r="M707" s="16" t="s">
        <v>19</v>
      </c>
      <c r="N707" s="39"/>
    </row>
    <row r="708" spans="1:14" s="12" customFormat="1" ht="38.25">
      <c r="A708" s="178" t="s">
        <v>96</v>
      </c>
      <c r="B708" s="75" t="s">
        <v>823</v>
      </c>
      <c r="C708" s="39" t="s">
        <v>17</v>
      </c>
      <c r="D708" s="236"/>
      <c r="E708" s="210"/>
      <c r="F708" s="236"/>
      <c r="G708" s="236"/>
      <c r="H708" s="40">
        <f>SUM(Tabla132112413[[#This Row],[PRIMER TRIMESTRE]:[CUARTO TRIMESTRE]])</f>
        <v>0</v>
      </c>
      <c r="I708" s="17">
        <v>49560</v>
      </c>
      <c r="J708" s="17">
        <f t="shared" si="19"/>
        <v>0</v>
      </c>
      <c r="K708" s="17"/>
      <c r="L708" s="16" t="s">
        <v>18</v>
      </c>
      <c r="M708" s="16" t="s">
        <v>19</v>
      </c>
      <c r="N708" s="39"/>
    </row>
    <row r="709" spans="1:14" s="12" customFormat="1" ht="31.5">
      <c r="A709" s="178" t="s">
        <v>96</v>
      </c>
      <c r="B709" s="75" t="s">
        <v>824</v>
      </c>
      <c r="C709" s="39" t="s">
        <v>17</v>
      </c>
      <c r="D709" s="236"/>
      <c r="E709" s="210"/>
      <c r="F709" s="236"/>
      <c r="G709" s="236"/>
      <c r="H709" s="40">
        <f>SUM(Tabla132112413[[#This Row],[PRIMER TRIMESTRE]:[CUARTO TRIMESTRE]])</f>
        <v>0</v>
      </c>
      <c r="I709" s="17">
        <v>46658.86</v>
      </c>
      <c r="J709" s="17">
        <f t="shared" si="19"/>
        <v>0</v>
      </c>
      <c r="K709" s="17"/>
      <c r="L709" s="16" t="s">
        <v>18</v>
      </c>
      <c r="M709" s="16" t="s">
        <v>19</v>
      </c>
      <c r="N709" s="39"/>
    </row>
    <row r="710" spans="1:14" s="12" customFormat="1" ht="31.5">
      <c r="A710" s="178" t="s">
        <v>96</v>
      </c>
      <c r="B710" s="75" t="s">
        <v>1734</v>
      </c>
      <c r="C710" s="39" t="s">
        <v>17</v>
      </c>
      <c r="D710" s="236"/>
      <c r="E710" s="210"/>
      <c r="F710" s="236"/>
      <c r="G710" s="236"/>
      <c r="H710" s="40">
        <v>0</v>
      </c>
      <c r="I710" s="17">
        <v>0</v>
      </c>
      <c r="J710" s="17">
        <v>0</v>
      </c>
      <c r="K710" s="17"/>
      <c r="L710" s="16" t="s">
        <v>18</v>
      </c>
      <c r="M710" s="16" t="s">
        <v>19</v>
      </c>
      <c r="N710" s="39"/>
    </row>
    <row r="711" spans="1:14" s="12" customFormat="1" ht="31.5">
      <c r="A711" s="178" t="s">
        <v>96</v>
      </c>
      <c r="B711" s="75" t="s">
        <v>1733</v>
      </c>
      <c r="C711" s="39" t="s">
        <v>17</v>
      </c>
      <c r="D711" s="236"/>
      <c r="E711" s="210"/>
      <c r="F711" s="236"/>
      <c r="G711" s="236"/>
      <c r="H711" s="40">
        <v>0</v>
      </c>
      <c r="I711" s="17">
        <v>0</v>
      </c>
      <c r="J711" s="17">
        <v>0</v>
      </c>
      <c r="K711" s="17"/>
      <c r="L711" s="16" t="s">
        <v>18</v>
      </c>
      <c r="M711" s="16" t="s">
        <v>19</v>
      </c>
      <c r="N711" s="39"/>
    </row>
    <row r="712" spans="1:14" s="12" customFormat="1" ht="38.25">
      <c r="A712" s="178" t="s">
        <v>96</v>
      </c>
      <c r="B712" s="75" t="s">
        <v>1732</v>
      </c>
      <c r="C712" s="39" t="s">
        <v>17</v>
      </c>
      <c r="D712" s="236"/>
      <c r="E712" s="210"/>
      <c r="F712" s="236"/>
      <c r="G712" s="236"/>
      <c r="H712" s="40">
        <v>0</v>
      </c>
      <c r="I712" s="17">
        <v>0</v>
      </c>
      <c r="J712" s="17">
        <v>0</v>
      </c>
      <c r="K712" s="17"/>
      <c r="L712" s="16" t="s">
        <v>18</v>
      </c>
      <c r="M712" s="16" t="s">
        <v>19</v>
      </c>
      <c r="N712" s="39"/>
    </row>
    <row r="713" spans="1:14" s="12" customFormat="1" ht="31.5">
      <c r="A713" s="178" t="s">
        <v>96</v>
      </c>
      <c r="B713" s="75" t="s">
        <v>825</v>
      </c>
      <c r="C713" s="39" t="s">
        <v>17</v>
      </c>
      <c r="D713" s="236"/>
      <c r="E713" s="210"/>
      <c r="F713" s="236"/>
      <c r="G713" s="236"/>
      <c r="H713" s="40">
        <f>SUM(Tabla132112413[[#This Row],[PRIMER TRIMESTRE]:[CUARTO TRIMESTRE]])</f>
        <v>0</v>
      </c>
      <c r="I713" s="17">
        <v>47216.69</v>
      </c>
      <c r="J713" s="17">
        <v>47216.69</v>
      </c>
      <c r="K713" s="17"/>
      <c r="L713" s="16" t="s">
        <v>18</v>
      </c>
      <c r="M713" s="16" t="s">
        <v>19</v>
      </c>
      <c r="N713" s="39"/>
    </row>
    <row r="714" spans="1:14" s="12" customFormat="1" ht="31.5">
      <c r="A714" s="178" t="s">
        <v>96</v>
      </c>
      <c r="B714" s="75" t="s">
        <v>826</v>
      </c>
      <c r="C714" s="39" t="s">
        <v>17</v>
      </c>
      <c r="D714" s="236"/>
      <c r="E714" s="210"/>
      <c r="F714" s="236"/>
      <c r="G714" s="236"/>
      <c r="H714" s="40">
        <f>SUM(Tabla132112413[[#This Row],[PRIMER TRIMESTRE]:[CUARTO TRIMESTRE]])</f>
        <v>0</v>
      </c>
      <c r="I714" s="17">
        <v>59766.34</v>
      </c>
      <c r="J714" s="17">
        <f t="shared" ref="J714:J777" si="20">+H714*I714</f>
        <v>0</v>
      </c>
      <c r="K714" s="17"/>
      <c r="L714" s="16" t="s">
        <v>18</v>
      </c>
      <c r="M714" s="16" t="s">
        <v>19</v>
      </c>
      <c r="N714" s="39"/>
    </row>
    <row r="715" spans="1:14" s="12" customFormat="1" ht="30">
      <c r="A715" s="178" t="s">
        <v>96</v>
      </c>
      <c r="B715" s="75" t="s">
        <v>1227</v>
      </c>
      <c r="C715" s="39" t="s">
        <v>17</v>
      </c>
      <c r="D715" s="236"/>
      <c r="E715" s="210"/>
      <c r="F715" s="236"/>
      <c r="G715" s="236"/>
      <c r="H715" s="40">
        <f>SUM(Tabla132112413[[#This Row],[PRIMER TRIMESTRE]:[CUARTO TRIMESTRE]])</f>
        <v>0</v>
      </c>
      <c r="I715" s="17">
        <v>56400</v>
      </c>
      <c r="J715" s="17">
        <f t="shared" si="20"/>
        <v>0</v>
      </c>
      <c r="K715" s="17"/>
      <c r="L715" s="16" t="s">
        <v>18</v>
      </c>
      <c r="M715" s="16" t="s">
        <v>22</v>
      </c>
      <c r="N715" s="39"/>
    </row>
    <row r="716" spans="1:14" s="12" customFormat="1" ht="30">
      <c r="A716" s="178" t="s">
        <v>96</v>
      </c>
      <c r="B716" s="75" t="s">
        <v>1228</v>
      </c>
      <c r="C716" s="39" t="s">
        <v>17</v>
      </c>
      <c r="D716" s="236"/>
      <c r="E716" s="210"/>
      <c r="F716" s="236"/>
      <c r="G716" s="236"/>
      <c r="H716" s="40">
        <f>SUM(Tabla132112413[[#This Row],[PRIMER TRIMESTRE]:[CUARTO TRIMESTRE]])</f>
        <v>0</v>
      </c>
      <c r="I716" s="17">
        <v>56400</v>
      </c>
      <c r="J716" s="17">
        <f t="shared" si="20"/>
        <v>0</v>
      </c>
      <c r="K716" s="17"/>
      <c r="L716" s="16" t="s">
        <v>18</v>
      </c>
      <c r="M716" s="16" t="s">
        <v>22</v>
      </c>
      <c r="N716" s="39"/>
    </row>
    <row r="717" spans="1:14" s="12" customFormat="1" ht="30">
      <c r="A717" s="178" t="s">
        <v>96</v>
      </c>
      <c r="B717" s="75" t="s">
        <v>1229</v>
      </c>
      <c r="C717" s="39" t="s">
        <v>17</v>
      </c>
      <c r="D717" s="236"/>
      <c r="E717" s="210"/>
      <c r="F717" s="236"/>
      <c r="G717" s="236"/>
      <c r="H717" s="40">
        <f>SUM(Tabla132112413[[#This Row],[PRIMER TRIMESTRE]:[CUARTO TRIMESTRE]])</f>
        <v>0</v>
      </c>
      <c r="I717" s="17">
        <v>56400</v>
      </c>
      <c r="J717" s="17">
        <f t="shared" si="20"/>
        <v>0</v>
      </c>
      <c r="K717" s="17"/>
      <c r="L717" s="16" t="s">
        <v>18</v>
      </c>
      <c r="M717" s="16" t="s">
        <v>22</v>
      </c>
      <c r="N717" s="39"/>
    </row>
    <row r="718" spans="1:14" s="12" customFormat="1" ht="30">
      <c r="A718" s="178" t="s">
        <v>96</v>
      </c>
      <c r="B718" s="75" t="s">
        <v>827</v>
      </c>
      <c r="C718" s="39" t="s">
        <v>17</v>
      </c>
      <c r="D718" s="236"/>
      <c r="E718" s="210"/>
      <c r="F718" s="236"/>
      <c r="G718" s="236"/>
      <c r="H718" s="40">
        <f>SUM(Tabla132112413[[#This Row],[PRIMER TRIMESTRE]:[CUARTO TRIMESTRE]])</f>
        <v>0</v>
      </c>
      <c r="I718" s="17">
        <v>2415</v>
      </c>
      <c r="J718" s="17">
        <f t="shared" si="20"/>
        <v>0</v>
      </c>
      <c r="K718" s="17"/>
      <c r="L718" s="16" t="s">
        <v>18</v>
      </c>
      <c r="M718" s="16" t="s">
        <v>22</v>
      </c>
      <c r="N718" s="39"/>
    </row>
    <row r="719" spans="1:14" s="12" customFormat="1" ht="30">
      <c r="A719" s="178" t="s">
        <v>96</v>
      </c>
      <c r="B719" s="75" t="s">
        <v>828</v>
      </c>
      <c r="C719" s="39" t="s">
        <v>17</v>
      </c>
      <c r="D719" s="236"/>
      <c r="E719" s="210"/>
      <c r="F719" s="236"/>
      <c r="G719" s="236"/>
      <c r="H719" s="40">
        <f>SUM(Tabla132112413[[#This Row],[PRIMER TRIMESTRE]:[CUARTO TRIMESTRE]])</f>
        <v>0</v>
      </c>
      <c r="I719" s="17">
        <v>3266</v>
      </c>
      <c r="J719" s="17">
        <f t="shared" si="20"/>
        <v>0</v>
      </c>
      <c r="K719" s="17"/>
      <c r="L719" s="16" t="s">
        <v>18</v>
      </c>
      <c r="M719" s="16" t="s">
        <v>22</v>
      </c>
      <c r="N719" s="39"/>
    </row>
    <row r="720" spans="1:14" s="12" customFormat="1" ht="30">
      <c r="A720" s="178" t="s">
        <v>96</v>
      </c>
      <c r="B720" s="75" t="s">
        <v>829</v>
      </c>
      <c r="C720" s="39" t="s">
        <v>17</v>
      </c>
      <c r="D720" s="236"/>
      <c r="E720" s="210"/>
      <c r="F720" s="236"/>
      <c r="G720" s="236"/>
      <c r="H720" s="40">
        <f>SUM(Tabla132112413[[#This Row],[PRIMER TRIMESTRE]:[CUARTO TRIMESTRE]])</f>
        <v>0</v>
      </c>
      <c r="I720" s="17">
        <v>4000</v>
      </c>
      <c r="J720" s="17">
        <f t="shared" si="20"/>
        <v>0</v>
      </c>
      <c r="K720" s="17"/>
      <c r="L720" s="16" t="s">
        <v>18</v>
      </c>
      <c r="M720" s="16" t="s">
        <v>22</v>
      </c>
      <c r="N720" s="39"/>
    </row>
    <row r="721" spans="1:14" s="12" customFormat="1" ht="30">
      <c r="A721" s="178" t="s">
        <v>96</v>
      </c>
      <c r="B721" s="75" t="s">
        <v>830</v>
      </c>
      <c r="C721" s="39" t="s">
        <v>17</v>
      </c>
      <c r="D721" s="236"/>
      <c r="E721" s="210"/>
      <c r="F721" s="236"/>
      <c r="G721" s="236"/>
      <c r="H721" s="40">
        <f>SUM(Tabla132112413[[#This Row],[PRIMER TRIMESTRE]:[CUARTO TRIMESTRE]])</f>
        <v>0</v>
      </c>
      <c r="I721" s="17">
        <v>4957</v>
      </c>
      <c r="J721" s="17">
        <f t="shared" si="20"/>
        <v>0</v>
      </c>
      <c r="K721" s="17"/>
      <c r="L721" s="16" t="s">
        <v>18</v>
      </c>
      <c r="M721" s="16" t="s">
        <v>22</v>
      </c>
      <c r="N721" s="39"/>
    </row>
    <row r="722" spans="1:14" s="12" customFormat="1" ht="30">
      <c r="A722" s="178" t="s">
        <v>96</v>
      </c>
      <c r="B722" s="75" t="s">
        <v>831</v>
      </c>
      <c r="C722" s="39" t="s">
        <v>17</v>
      </c>
      <c r="D722" s="236"/>
      <c r="E722" s="210"/>
      <c r="F722" s="236"/>
      <c r="G722" s="236"/>
      <c r="H722" s="40">
        <f>SUM(Tabla132112413[[#This Row],[PRIMER TRIMESTRE]:[CUARTO TRIMESTRE]])</f>
        <v>0</v>
      </c>
      <c r="I722" s="17">
        <v>5394</v>
      </c>
      <c r="J722" s="17">
        <f t="shared" si="20"/>
        <v>0</v>
      </c>
      <c r="K722" s="17"/>
      <c r="L722" s="16" t="s">
        <v>18</v>
      </c>
      <c r="M722" s="16" t="s">
        <v>22</v>
      </c>
      <c r="N722" s="39"/>
    </row>
    <row r="723" spans="1:14" s="12" customFormat="1" ht="30">
      <c r="A723" s="178" t="s">
        <v>96</v>
      </c>
      <c r="B723" s="75" t="s">
        <v>1511</v>
      </c>
      <c r="C723" s="39" t="s">
        <v>17</v>
      </c>
      <c r="D723" s="236"/>
      <c r="E723" s="236"/>
      <c r="F723" s="236"/>
      <c r="G723" s="236"/>
      <c r="H723" s="236">
        <f>SUM(Tabla132112413[[#This Row],[PRIMER TRIMESTRE]:[CUARTO TRIMESTRE]])</f>
        <v>0</v>
      </c>
      <c r="I723" s="17">
        <v>58148.4</v>
      </c>
      <c r="J723" s="17">
        <f t="shared" si="20"/>
        <v>0</v>
      </c>
      <c r="K723" s="17"/>
      <c r="L723" s="16" t="s">
        <v>18</v>
      </c>
      <c r="M723" s="16" t="s">
        <v>22</v>
      </c>
      <c r="N723" s="39"/>
    </row>
    <row r="724" spans="1:14" s="12" customFormat="1" ht="30">
      <c r="A724" s="178" t="s">
        <v>96</v>
      </c>
      <c r="B724" s="75" t="s">
        <v>1512</v>
      </c>
      <c r="C724" s="236" t="s">
        <v>17</v>
      </c>
      <c r="D724" s="236"/>
      <c r="E724" s="236"/>
      <c r="F724" s="236"/>
      <c r="G724" s="236"/>
      <c r="H724" s="236">
        <f>SUM(Tabla132112413[[#This Row],[PRIMER TRIMESTRE]:[CUARTO TRIMESTRE]])</f>
        <v>0</v>
      </c>
      <c r="I724" s="17">
        <v>3703</v>
      </c>
      <c r="J724" s="17">
        <f t="shared" si="20"/>
        <v>0</v>
      </c>
      <c r="K724" s="17"/>
      <c r="L724" s="16" t="s">
        <v>18</v>
      </c>
      <c r="M724" s="16" t="s">
        <v>22</v>
      </c>
      <c r="N724" s="39"/>
    </row>
    <row r="725" spans="1:14" s="12" customFormat="1" ht="30">
      <c r="A725" s="178" t="s">
        <v>96</v>
      </c>
      <c r="B725" s="75" t="s">
        <v>1513</v>
      </c>
      <c r="C725" s="236" t="s">
        <v>17</v>
      </c>
      <c r="D725" s="236"/>
      <c r="E725" s="236"/>
      <c r="F725" s="236"/>
      <c r="G725" s="236"/>
      <c r="H725" s="236">
        <f>SUM(Tabla132112413[[#This Row],[PRIMER TRIMESTRE]:[CUARTO TRIMESTRE]])</f>
        <v>0</v>
      </c>
      <c r="I725" s="17">
        <v>3703.83</v>
      </c>
      <c r="J725" s="17">
        <f t="shared" si="20"/>
        <v>0</v>
      </c>
      <c r="K725" s="17"/>
      <c r="L725" s="16" t="s">
        <v>18</v>
      </c>
      <c r="M725" s="16" t="s">
        <v>22</v>
      </c>
      <c r="N725" s="39"/>
    </row>
    <row r="726" spans="1:14" s="12" customFormat="1" ht="30">
      <c r="A726" s="178" t="s">
        <v>96</v>
      </c>
      <c r="B726" s="75" t="s">
        <v>1514</v>
      </c>
      <c r="C726" s="236" t="s">
        <v>17</v>
      </c>
      <c r="D726" s="236"/>
      <c r="E726" s="236"/>
      <c r="F726" s="236"/>
      <c r="G726" s="236"/>
      <c r="H726" s="236">
        <f>SUM(Tabla132112413[[#This Row],[PRIMER TRIMESTRE]:[CUARTO TRIMESTRE]])</f>
        <v>0</v>
      </c>
      <c r="I726" s="17">
        <v>4018</v>
      </c>
      <c r="J726" s="17">
        <f t="shared" si="20"/>
        <v>0</v>
      </c>
      <c r="K726" s="17"/>
      <c r="L726" s="16" t="s">
        <v>18</v>
      </c>
      <c r="M726" s="16" t="s">
        <v>22</v>
      </c>
      <c r="N726" s="39"/>
    </row>
    <row r="727" spans="1:14" s="12" customFormat="1" ht="30">
      <c r="A727" s="178" t="s">
        <v>96</v>
      </c>
      <c r="B727" s="75" t="s">
        <v>1721</v>
      </c>
      <c r="C727" s="236" t="s">
        <v>17</v>
      </c>
      <c r="D727" s="236"/>
      <c r="E727" s="236"/>
      <c r="F727" s="236"/>
      <c r="G727" s="236"/>
      <c r="H727" s="40">
        <v>0</v>
      </c>
      <c r="I727" s="17">
        <v>0</v>
      </c>
      <c r="J727" s="17">
        <v>0</v>
      </c>
      <c r="K727" s="17"/>
      <c r="L727" s="16" t="s">
        <v>18</v>
      </c>
      <c r="M727" s="16" t="s">
        <v>22</v>
      </c>
      <c r="N727" s="39"/>
    </row>
    <row r="728" spans="1:14" s="12" customFormat="1" ht="30">
      <c r="A728" s="178" t="s">
        <v>96</v>
      </c>
      <c r="B728" s="75" t="s">
        <v>1515</v>
      </c>
      <c r="C728" s="236" t="s">
        <v>17</v>
      </c>
      <c r="D728" s="236"/>
      <c r="E728" s="236"/>
      <c r="F728" s="236"/>
      <c r="G728" s="236"/>
      <c r="H728" s="236">
        <f>SUM(Tabla132112413[[#This Row],[PRIMER TRIMESTRE]:[CUARTO TRIMESTRE]])</f>
        <v>0</v>
      </c>
      <c r="I728" s="17">
        <v>4500</v>
      </c>
      <c r="J728" s="17">
        <f t="shared" si="20"/>
        <v>0</v>
      </c>
      <c r="K728" s="17"/>
      <c r="L728" s="16" t="s">
        <v>18</v>
      </c>
      <c r="M728" s="16" t="s">
        <v>22</v>
      </c>
      <c r="N728" s="39"/>
    </row>
    <row r="729" spans="1:14" s="12" customFormat="1" ht="30">
      <c r="A729" s="178" t="s">
        <v>96</v>
      </c>
      <c r="B729" s="75" t="s">
        <v>1516</v>
      </c>
      <c r="C729" s="236" t="s">
        <v>17</v>
      </c>
      <c r="D729" s="236"/>
      <c r="E729" s="236"/>
      <c r="F729" s="236"/>
      <c r="G729" s="236"/>
      <c r="H729" s="236">
        <f>SUM(Tabla132112413[[#This Row],[PRIMER TRIMESTRE]:[CUARTO TRIMESTRE]])</f>
        <v>0</v>
      </c>
      <c r="I729" s="17">
        <v>2185</v>
      </c>
      <c r="J729" s="17">
        <f t="shared" si="20"/>
        <v>0</v>
      </c>
      <c r="K729" s="17"/>
      <c r="L729" s="16" t="s">
        <v>18</v>
      </c>
      <c r="M729" s="16" t="s">
        <v>22</v>
      </c>
      <c r="N729" s="39"/>
    </row>
    <row r="730" spans="1:14" s="12" customFormat="1" ht="30">
      <c r="A730" s="178" t="s">
        <v>96</v>
      </c>
      <c r="B730" s="75" t="s">
        <v>1517</v>
      </c>
      <c r="C730" s="236" t="s">
        <v>17</v>
      </c>
      <c r="D730" s="236"/>
      <c r="E730" s="236"/>
      <c r="F730" s="236"/>
      <c r="G730" s="236"/>
      <c r="H730" s="236">
        <f>SUM(Tabla132112413[[#This Row],[PRIMER TRIMESTRE]:[CUARTO TRIMESTRE]])</f>
        <v>0</v>
      </c>
      <c r="I730" s="17">
        <v>2185</v>
      </c>
      <c r="J730" s="17">
        <f t="shared" si="20"/>
        <v>0</v>
      </c>
      <c r="K730" s="17"/>
      <c r="L730" s="16" t="s">
        <v>18</v>
      </c>
      <c r="M730" s="16" t="s">
        <v>22</v>
      </c>
      <c r="N730" s="39"/>
    </row>
    <row r="731" spans="1:14" s="12" customFormat="1" ht="30">
      <c r="A731" s="178" t="s">
        <v>96</v>
      </c>
      <c r="B731" s="75" t="s">
        <v>832</v>
      </c>
      <c r="C731" s="39" t="s">
        <v>17</v>
      </c>
      <c r="D731" s="236"/>
      <c r="E731" s="236"/>
      <c r="F731" s="236"/>
      <c r="G731" s="236"/>
      <c r="H731" s="40">
        <f>SUM(Tabla132112413[[#This Row],[PRIMER TRIMESTRE]:[CUARTO TRIMESTRE]])</f>
        <v>0</v>
      </c>
      <c r="I731" s="17">
        <v>5772</v>
      </c>
      <c r="J731" s="17">
        <f t="shared" si="20"/>
        <v>0</v>
      </c>
      <c r="K731" s="17"/>
      <c r="L731" s="16" t="s">
        <v>18</v>
      </c>
      <c r="M731" s="16" t="s">
        <v>22</v>
      </c>
      <c r="N731" s="39"/>
    </row>
    <row r="732" spans="1:14" s="12" customFormat="1" ht="30">
      <c r="A732" s="178" t="s">
        <v>96</v>
      </c>
      <c r="B732" s="75" t="s">
        <v>833</v>
      </c>
      <c r="C732" s="39" t="s">
        <v>17</v>
      </c>
      <c r="D732" s="236"/>
      <c r="E732" s="236"/>
      <c r="F732" s="236"/>
      <c r="G732" s="236"/>
      <c r="H732" s="40">
        <f>SUM(Tabla132112413[[#This Row],[PRIMER TRIMESTRE]:[CUARTO TRIMESTRE]])</f>
        <v>0</v>
      </c>
      <c r="I732" s="17">
        <v>6168.42</v>
      </c>
      <c r="J732" s="17">
        <f t="shared" si="20"/>
        <v>0</v>
      </c>
      <c r="K732" s="17"/>
      <c r="L732" s="16" t="s">
        <v>18</v>
      </c>
      <c r="M732" s="16" t="s">
        <v>22</v>
      </c>
      <c r="N732" s="39"/>
    </row>
    <row r="733" spans="1:14" s="12" customFormat="1" ht="30">
      <c r="A733" s="178" t="s">
        <v>96</v>
      </c>
      <c r="B733" s="75" t="s">
        <v>834</v>
      </c>
      <c r="C733" s="39" t="s">
        <v>17</v>
      </c>
      <c r="D733" s="236"/>
      <c r="E733" s="236"/>
      <c r="F733" s="236"/>
      <c r="G733" s="236"/>
      <c r="H733" s="40">
        <f>SUM(Tabla132112413[[#This Row],[PRIMER TRIMESTRE]:[CUARTO TRIMESTRE]])</f>
        <v>0</v>
      </c>
      <c r="I733" s="17">
        <v>14000</v>
      </c>
      <c r="J733" s="17">
        <f t="shared" si="20"/>
        <v>0</v>
      </c>
      <c r="K733" s="17"/>
      <c r="L733" s="16" t="s">
        <v>18</v>
      </c>
      <c r="M733" s="16" t="s">
        <v>22</v>
      </c>
      <c r="N733" s="39"/>
    </row>
    <row r="734" spans="1:14" s="12" customFormat="1" ht="30">
      <c r="A734" s="178" t="s">
        <v>96</v>
      </c>
      <c r="B734" s="75" t="s">
        <v>835</v>
      </c>
      <c r="C734" s="39" t="s">
        <v>17</v>
      </c>
      <c r="D734" s="236"/>
      <c r="E734" s="236"/>
      <c r="F734" s="236"/>
      <c r="G734" s="236"/>
      <c r="H734" s="40">
        <f>SUM(Tabla132112413[[#This Row],[PRIMER TRIMESTRE]:[CUARTO TRIMESTRE]])</f>
        <v>0</v>
      </c>
      <c r="I734" s="17">
        <v>15000</v>
      </c>
      <c r="J734" s="17">
        <f t="shared" si="20"/>
        <v>0</v>
      </c>
      <c r="K734" s="17"/>
      <c r="L734" s="16" t="s">
        <v>18</v>
      </c>
      <c r="M734" s="16" t="s">
        <v>22</v>
      </c>
      <c r="N734" s="39"/>
    </row>
    <row r="735" spans="1:14" s="12" customFormat="1" ht="30">
      <c r="A735" s="178" t="s">
        <v>96</v>
      </c>
      <c r="B735" s="75" t="s">
        <v>836</v>
      </c>
      <c r="C735" s="39" t="s">
        <v>17</v>
      </c>
      <c r="D735" s="236"/>
      <c r="E735" s="236"/>
      <c r="F735" s="236"/>
      <c r="G735" s="236"/>
      <c r="H735" s="40">
        <f>SUM(Tabla132112413[[#This Row],[PRIMER TRIMESTRE]:[CUARTO TRIMESTRE]])</f>
        <v>0</v>
      </c>
      <c r="I735" s="17">
        <v>16500</v>
      </c>
      <c r="J735" s="17">
        <f t="shared" si="20"/>
        <v>0</v>
      </c>
      <c r="K735" s="17"/>
      <c r="L735" s="16" t="s">
        <v>18</v>
      </c>
      <c r="M735" s="16" t="s">
        <v>22</v>
      </c>
      <c r="N735" s="39"/>
    </row>
    <row r="736" spans="1:14" s="12" customFormat="1" ht="30">
      <c r="A736" s="178" t="s">
        <v>96</v>
      </c>
      <c r="B736" s="75" t="s">
        <v>1449</v>
      </c>
      <c r="C736" s="39" t="s">
        <v>17</v>
      </c>
      <c r="D736" s="236"/>
      <c r="E736" s="236"/>
      <c r="F736" s="236"/>
      <c r="G736" s="236"/>
      <c r="H736" s="40">
        <f>SUM(Tabla132112413[[#This Row],[PRIMER TRIMESTRE]:[CUARTO TRIMESTRE]])</f>
        <v>0</v>
      </c>
      <c r="I736" s="17">
        <v>20600</v>
      </c>
      <c r="J736" s="17">
        <f t="shared" si="20"/>
        <v>0</v>
      </c>
      <c r="K736" s="17"/>
      <c r="L736" s="16" t="s">
        <v>18</v>
      </c>
      <c r="M736" s="16" t="s">
        <v>22</v>
      </c>
      <c r="N736" s="39"/>
    </row>
    <row r="737" spans="1:14" s="12" customFormat="1" ht="38.25">
      <c r="A737" s="178" t="s">
        <v>96</v>
      </c>
      <c r="B737" s="75" t="s">
        <v>843</v>
      </c>
      <c r="C737" s="39" t="s">
        <v>17</v>
      </c>
      <c r="D737" s="236"/>
      <c r="E737" s="236"/>
      <c r="F737" s="236"/>
      <c r="G737" s="236"/>
      <c r="H737" s="40">
        <f>SUM(Tabla132112413[[#This Row],[PRIMER TRIMESTRE]:[CUARTO TRIMESTRE]])</f>
        <v>0</v>
      </c>
      <c r="I737" s="17">
        <v>4270</v>
      </c>
      <c r="J737" s="17">
        <f t="shared" si="20"/>
        <v>0</v>
      </c>
      <c r="K737" s="17"/>
      <c r="L737" s="16" t="s">
        <v>18</v>
      </c>
      <c r="M737" s="16" t="s">
        <v>22</v>
      </c>
      <c r="N737" s="39"/>
    </row>
    <row r="738" spans="1:14" s="12" customFormat="1" ht="38.25">
      <c r="A738" s="178" t="s">
        <v>96</v>
      </c>
      <c r="B738" s="75" t="s">
        <v>844</v>
      </c>
      <c r="C738" s="39" t="s">
        <v>17</v>
      </c>
      <c r="D738" s="236"/>
      <c r="E738" s="236"/>
      <c r="F738" s="236"/>
      <c r="G738" s="236"/>
      <c r="H738" s="40">
        <f>SUM(Tabla132112413[[#This Row],[PRIMER TRIMESTRE]:[CUARTO TRIMESTRE]])</f>
        <v>0</v>
      </c>
      <c r="I738" s="17">
        <v>4320</v>
      </c>
      <c r="J738" s="17">
        <f t="shared" si="20"/>
        <v>0</v>
      </c>
      <c r="K738" s="17"/>
      <c r="L738" s="16" t="s">
        <v>18</v>
      </c>
      <c r="M738" s="16" t="s">
        <v>22</v>
      </c>
      <c r="N738" s="39"/>
    </row>
    <row r="739" spans="1:14" s="12" customFormat="1" ht="38.25">
      <c r="A739" s="178" t="s">
        <v>96</v>
      </c>
      <c r="B739" s="75" t="s">
        <v>845</v>
      </c>
      <c r="C739" s="39" t="s">
        <v>17</v>
      </c>
      <c r="D739" s="236"/>
      <c r="E739" s="236"/>
      <c r="F739" s="236"/>
      <c r="G739" s="236"/>
      <c r="H739" s="40">
        <f>SUM(Tabla132112413[[#This Row],[PRIMER TRIMESTRE]:[CUARTO TRIMESTRE]])</f>
        <v>0</v>
      </c>
      <c r="I739" s="17">
        <v>4560</v>
      </c>
      <c r="J739" s="17">
        <f t="shared" si="20"/>
        <v>0</v>
      </c>
      <c r="K739" s="17"/>
      <c r="L739" s="16" t="s">
        <v>18</v>
      </c>
      <c r="M739" s="16" t="s">
        <v>22</v>
      </c>
      <c r="N739" s="39"/>
    </row>
    <row r="740" spans="1:14" s="12" customFormat="1" ht="38.25">
      <c r="A740" s="178" t="s">
        <v>96</v>
      </c>
      <c r="B740" s="75" t="s">
        <v>846</v>
      </c>
      <c r="C740" s="39" t="s">
        <v>17</v>
      </c>
      <c r="D740" s="236"/>
      <c r="E740" s="236"/>
      <c r="F740" s="236"/>
      <c r="G740" s="236"/>
      <c r="H740" s="40">
        <f>SUM(Tabla132112413[[#This Row],[PRIMER TRIMESTRE]:[CUARTO TRIMESTRE]])</f>
        <v>0</v>
      </c>
      <c r="I740" s="17">
        <v>5684</v>
      </c>
      <c r="J740" s="17">
        <f t="shared" si="20"/>
        <v>0</v>
      </c>
      <c r="K740" s="17"/>
      <c r="L740" s="16" t="s">
        <v>18</v>
      </c>
      <c r="M740" s="16" t="s">
        <v>22</v>
      </c>
      <c r="N740" s="39"/>
    </row>
    <row r="741" spans="1:14" s="12" customFormat="1" ht="38.25">
      <c r="A741" s="178" t="s">
        <v>96</v>
      </c>
      <c r="B741" s="75" t="s">
        <v>847</v>
      </c>
      <c r="C741" s="39" t="s">
        <v>17</v>
      </c>
      <c r="D741" s="236"/>
      <c r="E741" s="236"/>
      <c r="F741" s="236"/>
      <c r="G741" s="236"/>
      <c r="H741" s="40">
        <f>SUM(Tabla132112413[[#This Row],[PRIMER TRIMESTRE]:[CUARTO TRIMESTRE]])</f>
        <v>0</v>
      </c>
      <c r="I741" s="17">
        <v>5300</v>
      </c>
      <c r="J741" s="17">
        <f t="shared" si="20"/>
        <v>0</v>
      </c>
      <c r="K741" s="17"/>
      <c r="L741" s="16" t="s">
        <v>18</v>
      </c>
      <c r="M741" s="16" t="s">
        <v>22</v>
      </c>
      <c r="N741" s="39"/>
    </row>
    <row r="742" spans="1:14" s="12" customFormat="1" ht="38.25">
      <c r="A742" s="178" t="s">
        <v>96</v>
      </c>
      <c r="B742" s="75" t="s">
        <v>848</v>
      </c>
      <c r="C742" s="39" t="s">
        <v>17</v>
      </c>
      <c r="D742" s="236"/>
      <c r="E742" s="236"/>
      <c r="F742" s="236"/>
      <c r="G742" s="236"/>
      <c r="H742" s="40">
        <f>SUM(Tabla132112413[[#This Row],[PRIMER TRIMESTRE]:[CUARTO TRIMESTRE]])</f>
        <v>0</v>
      </c>
      <c r="I742" s="17">
        <v>4958</v>
      </c>
      <c r="J742" s="17">
        <f t="shared" si="20"/>
        <v>0</v>
      </c>
      <c r="K742" s="17"/>
      <c r="L742" s="16" t="s">
        <v>18</v>
      </c>
      <c r="M742" s="16" t="s">
        <v>22</v>
      </c>
      <c r="N742" s="39"/>
    </row>
    <row r="743" spans="1:14" s="12" customFormat="1" ht="38.25">
      <c r="A743" s="178" t="s">
        <v>96</v>
      </c>
      <c r="B743" s="75" t="s">
        <v>849</v>
      </c>
      <c r="C743" s="39" t="s">
        <v>17</v>
      </c>
      <c r="D743" s="236"/>
      <c r="E743" s="236"/>
      <c r="F743" s="236"/>
      <c r="G743" s="236"/>
      <c r="H743" s="40">
        <f>SUM(Tabla132112413[[#This Row],[PRIMER TRIMESTRE]:[CUARTO TRIMESTRE]])</f>
        <v>0</v>
      </c>
      <c r="I743" s="17">
        <v>6958</v>
      </c>
      <c r="J743" s="17">
        <f t="shared" si="20"/>
        <v>0</v>
      </c>
      <c r="K743" s="17"/>
      <c r="L743" s="16" t="s">
        <v>18</v>
      </c>
      <c r="M743" s="16" t="s">
        <v>22</v>
      </c>
      <c r="N743" s="39"/>
    </row>
    <row r="744" spans="1:14" s="12" customFormat="1" ht="38.25">
      <c r="A744" s="178" t="s">
        <v>96</v>
      </c>
      <c r="B744" s="75" t="s">
        <v>850</v>
      </c>
      <c r="C744" s="39" t="s">
        <v>17</v>
      </c>
      <c r="D744" s="236"/>
      <c r="E744" s="236"/>
      <c r="F744" s="236"/>
      <c r="G744" s="236"/>
      <c r="H744" s="40">
        <f>SUM(Tabla132112413[[#This Row],[PRIMER TRIMESTRE]:[CUARTO TRIMESTRE]])</f>
        <v>0</v>
      </c>
      <c r="I744" s="17">
        <v>7050</v>
      </c>
      <c r="J744" s="17">
        <f t="shared" si="20"/>
        <v>0</v>
      </c>
      <c r="K744" s="17"/>
      <c r="L744" s="16" t="s">
        <v>18</v>
      </c>
      <c r="M744" s="16" t="s">
        <v>22</v>
      </c>
      <c r="N744" s="39"/>
    </row>
    <row r="745" spans="1:14" s="12" customFormat="1" ht="38.25">
      <c r="A745" s="178" t="s">
        <v>96</v>
      </c>
      <c r="B745" s="75" t="s">
        <v>851</v>
      </c>
      <c r="C745" s="39" t="s">
        <v>17</v>
      </c>
      <c r="D745" s="236"/>
      <c r="E745" s="236"/>
      <c r="F745" s="236"/>
      <c r="G745" s="236"/>
      <c r="H745" s="40">
        <f>SUM(Tabla132112413[[#This Row],[PRIMER TRIMESTRE]:[CUARTO TRIMESTRE]])</f>
        <v>0</v>
      </c>
      <c r="I745" s="17">
        <v>7950</v>
      </c>
      <c r="J745" s="17">
        <f t="shared" si="20"/>
        <v>0</v>
      </c>
      <c r="K745" s="17"/>
      <c r="L745" s="16" t="s">
        <v>18</v>
      </c>
      <c r="M745" s="16" t="s">
        <v>22</v>
      </c>
      <c r="N745" s="39"/>
    </row>
    <row r="746" spans="1:14" s="12" customFormat="1" ht="38.25">
      <c r="A746" s="178" t="s">
        <v>96</v>
      </c>
      <c r="B746" s="75" t="s">
        <v>852</v>
      </c>
      <c r="C746" s="39" t="s">
        <v>17</v>
      </c>
      <c r="D746" s="236"/>
      <c r="E746" s="236"/>
      <c r="F746" s="236"/>
      <c r="G746" s="236"/>
      <c r="H746" s="40">
        <f>SUM(Tabla132112413[[#This Row],[PRIMER TRIMESTRE]:[CUARTO TRIMESTRE]])</f>
        <v>0</v>
      </c>
      <c r="I746" s="17">
        <v>8338.15</v>
      </c>
      <c r="J746" s="17">
        <f t="shared" si="20"/>
        <v>0</v>
      </c>
      <c r="K746" s="17"/>
      <c r="L746" s="16" t="s">
        <v>18</v>
      </c>
      <c r="M746" s="16" t="s">
        <v>22</v>
      </c>
      <c r="N746" s="39"/>
    </row>
    <row r="747" spans="1:14" s="12" customFormat="1" ht="38.25">
      <c r="A747" s="178" t="s">
        <v>96</v>
      </c>
      <c r="B747" s="75" t="s">
        <v>853</v>
      </c>
      <c r="C747" s="39" t="s">
        <v>17</v>
      </c>
      <c r="D747" s="236"/>
      <c r="E747" s="236"/>
      <c r="F747" s="236"/>
      <c r="G747" s="236"/>
      <c r="H747" s="40">
        <f>SUM(Tabla132112413[[#This Row],[PRIMER TRIMESTRE]:[CUARTO TRIMESTRE]])</f>
        <v>0</v>
      </c>
      <c r="I747" s="17">
        <v>9900.17</v>
      </c>
      <c r="J747" s="17">
        <f t="shared" si="20"/>
        <v>0</v>
      </c>
      <c r="K747" s="17"/>
      <c r="L747" s="16" t="s">
        <v>18</v>
      </c>
      <c r="M747" s="16" t="s">
        <v>22</v>
      </c>
      <c r="N747" s="39"/>
    </row>
    <row r="748" spans="1:14" s="12" customFormat="1" ht="47.25">
      <c r="A748" s="178" t="s">
        <v>96</v>
      </c>
      <c r="B748" s="16" t="str">
        <f ca="1">+UPPER(Tabla132112413[[#This Row],[DESCRIPCIÓN DE LA COMPRA O CONTRATACIÓN]])</f>
        <v>MONITORES DE FASE A 460 VOLTIOS, CONTRA PÉRDIDA DE FASE E INVERSIÓN DE GIRO CON SU BASE</v>
      </c>
      <c r="C748" s="39" t="s">
        <v>17</v>
      </c>
      <c r="D748" s="236"/>
      <c r="E748" s="236"/>
      <c r="F748" s="236"/>
      <c r="G748" s="236"/>
      <c r="H748" s="40">
        <f>SUM(Tabla132112413[[#This Row],[PRIMER TRIMESTRE]:[CUARTO TRIMESTRE]])</f>
        <v>0</v>
      </c>
      <c r="I748" s="17">
        <v>7500</v>
      </c>
      <c r="J748" s="17">
        <f t="shared" si="20"/>
        <v>0</v>
      </c>
      <c r="K748" s="17"/>
      <c r="L748" s="16" t="s">
        <v>18</v>
      </c>
      <c r="M748" s="16" t="s">
        <v>22</v>
      </c>
      <c r="N748" s="39"/>
    </row>
    <row r="749" spans="1:14" s="12" customFormat="1" ht="47.25">
      <c r="A749" s="178" t="s">
        <v>96</v>
      </c>
      <c r="B749" s="16" t="s">
        <v>1509</v>
      </c>
      <c r="C749" s="39" t="s">
        <v>17</v>
      </c>
      <c r="D749" s="236"/>
      <c r="E749" s="236"/>
      <c r="F749" s="236"/>
      <c r="G749" s="236"/>
      <c r="H749" s="40">
        <f>SUM(Tabla132112413[[#This Row],[PRIMER TRIMESTRE]:[CUARTO TRIMESTRE]])</f>
        <v>0</v>
      </c>
      <c r="I749" s="17">
        <v>5400</v>
      </c>
      <c r="J749" s="17">
        <f t="shared" si="20"/>
        <v>0</v>
      </c>
      <c r="K749" s="17"/>
      <c r="L749" s="16" t="s">
        <v>18</v>
      </c>
      <c r="M749" s="16" t="s">
        <v>22</v>
      </c>
      <c r="N749" s="39"/>
    </row>
    <row r="750" spans="1:14" s="12" customFormat="1" ht="47.25">
      <c r="A750" s="178" t="s">
        <v>96</v>
      </c>
      <c r="B750" s="16" t="str">
        <f ca="1">+UPPER(Tabla132112413[[#This Row],[DESCRIPCIÓN DE LA COMPRA O CONTRATACIÓN]])</f>
        <v>MONITORES DE FASE A 230 VOLTIOS, CONTRA PÉRDIDA DE FASE E INVERSIÓN DE GIRO CON SU BASE</v>
      </c>
      <c r="C750" s="39" t="s">
        <v>17</v>
      </c>
      <c r="D750" s="236"/>
      <c r="E750" s="236"/>
      <c r="F750" s="236"/>
      <c r="G750" s="236"/>
      <c r="H750" s="40">
        <f>SUM(Tabla132112413[[#This Row],[PRIMER TRIMESTRE]:[CUARTO TRIMESTRE]])</f>
        <v>0</v>
      </c>
      <c r="I750" s="17">
        <v>7500</v>
      </c>
      <c r="J750" s="17">
        <f t="shared" si="20"/>
        <v>0</v>
      </c>
      <c r="K750" s="17"/>
      <c r="L750" s="16" t="s">
        <v>18</v>
      </c>
      <c r="M750" s="16" t="s">
        <v>22</v>
      </c>
      <c r="N750" s="39"/>
    </row>
    <row r="751" spans="1:14" s="12" customFormat="1" ht="47.25">
      <c r="A751" s="178" t="s">
        <v>1676</v>
      </c>
      <c r="B751" s="16" t="s">
        <v>1854</v>
      </c>
      <c r="C751" s="39" t="s">
        <v>17</v>
      </c>
      <c r="D751" s="236"/>
      <c r="E751" s="236"/>
      <c r="F751" s="236"/>
      <c r="G751" s="236"/>
      <c r="H751" s="40">
        <v>0</v>
      </c>
      <c r="I751" s="17">
        <v>0</v>
      </c>
      <c r="J751" s="17">
        <v>0</v>
      </c>
      <c r="K751" s="17"/>
      <c r="L751" s="16" t="s">
        <v>18</v>
      </c>
      <c r="M751" s="16" t="s">
        <v>19</v>
      </c>
      <c r="N751" s="39"/>
    </row>
    <row r="752" spans="1:14" s="12" customFormat="1" ht="38.25">
      <c r="A752" s="178" t="s">
        <v>96</v>
      </c>
      <c r="B752" s="75" t="s">
        <v>1695</v>
      </c>
      <c r="C752" s="39" t="s">
        <v>17</v>
      </c>
      <c r="D752" s="236"/>
      <c r="E752" s="236"/>
      <c r="F752" s="236"/>
      <c r="G752" s="236"/>
      <c r="H752" s="40">
        <v>0</v>
      </c>
      <c r="I752" s="17">
        <v>0</v>
      </c>
      <c r="J752" s="17">
        <v>0</v>
      </c>
      <c r="K752" s="17"/>
      <c r="L752" s="16" t="s">
        <v>18</v>
      </c>
      <c r="M752" s="16" t="s">
        <v>19</v>
      </c>
      <c r="N752" s="39"/>
    </row>
    <row r="753" spans="1:14" s="12" customFormat="1" ht="31.5">
      <c r="A753" s="178" t="s">
        <v>96</v>
      </c>
      <c r="B753" s="75" t="s">
        <v>854</v>
      </c>
      <c r="C753" s="39" t="s">
        <v>17</v>
      </c>
      <c r="D753" s="236"/>
      <c r="E753" s="210"/>
      <c r="F753" s="236"/>
      <c r="G753" s="236"/>
      <c r="H753" s="40">
        <f>SUM(Tabla132112413[[#This Row],[PRIMER TRIMESTRE]:[CUARTO TRIMESTRE]])</f>
        <v>0</v>
      </c>
      <c r="I753" s="72">
        <v>16500</v>
      </c>
      <c r="J753" s="17">
        <f t="shared" si="20"/>
        <v>0</v>
      </c>
      <c r="K753" s="17"/>
      <c r="L753" s="16" t="s">
        <v>18</v>
      </c>
      <c r="M753" s="16" t="s">
        <v>19</v>
      </c>
      <c r="N753" s="39"/>
    </row>
    <row r="754" spans="1:14" s="12" customFormat="1" ht="31.5">
      <c r="A754" s="178" t="s">
        <v>96</v>
      </c>
      <c r="B754" s="75" t="s">
        <v>1718</v>
      </c>
      <c r="C754" s="39" t="s">
        <v>17</v>
      </c>
      <c r="D754" s="236"/>
      <c r="E754" s="210"/>
      <c r="F754" s="236"/>
      <c r="G754" s="236"/>
      <c r="H754" s="40">
        <v>0</v>
      </c>
      <c r="I754" s="72">
        <v>0</v>
      </c>
      <c r="J754" s="17">
        <v>0</v>
      </c>
      <c r="K754" s="17"/>
      <c r="L754" s="16" t="s">
        <v>18</v>
      </c>
      <c r="M754" s="16" t="s">
        <v>19</v>
      </c>
      <c r="N754" s="39"/>
    </row>
    <row r="755" spans="1:14" s="12" customFormat="1" ht="31.5">
      <c r="A755" s="178" t="s">
        <v>96</v>
      </c>
      <c r="B755" s="75" t="s">
        <v>855</v>
      </c>
      <c r="C755" s="39" t="s">
        <v>17</v>
      </c>
      <c r="D755" s="236"/>
      <c r="E755" s="236"/>
      <c r="F755" s="236"/>
      <c r="G755" s="236"/>
      <c r="H755" s="40">
        <f>SUM(Tabla132112413[[#This Row],[PRIMER TRIMESTRE]:[CUARTO TRIMESTRE]])</f>
        <v>0</v>
      </c>
      <c r="I755" s="72">
        <v>60000</v>
      </c>
      <c r="J755" s="17">
        <f t="shared" si="20"/>
        <v>0</v>
      </c>
      <c r="K755" s="17"/>
      <c r="L755" s="16" t="s">
        <v>18</v>
      </c>
      <c r="M755" s="16" t="s">
        <v>19</v>
      </c>
      <c r="N755" s="39"/>
    </row>
    <row r="756" spans="1:14" s="12" customFormat="1" ht="47.25">
      <c r="A756" s="178" t="s">
        <v>96</v>
      </c>
      <c r="B756" s="16" t="str">
        <f ca="1">+UPPER(Tabla132112413[[#This Row],[DESCRIPCIÓN DE LA COMPRA O CONTRATACIÓN]])</f>
        <v>MOTORES ELÉCTRICOS SUMERGIBLES, 3Ø, 230 /460 VOLTIOS, 60HZ, 1.15 FS, 3,450 RPM 7.5 HP NEMA 6</v>
      </c>
      <c r="C756" s="39" t="s">
        <v>17</v>
      </c>
      <c r="D756" s="236"/>
      <c r="E756" s="236"/>
      <c r="F756" s="236"/>
      <c r="G756" s="236"/>
      <c r="H756" s="40">
        <f>SUM(Tabla132112413[[#This Row],[PRIMER TRIMESTRE]:[CUARTO TRIMESTRE]])</f>
        <v>0</v>
      </c>
      <c r="I756" s="72">
        <v>81217.84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</row>
    <row r="757" spans="1:14" s="12" customFormat="1" ht="47.25">
      <c r="A757" s="178" t="s">
        <v>96</v>
      </c>
      <c r="B757" s="16" t="str">
        <f ca="1">+UPPER(Tabla132112413[[#This Row],[DESCRIPCIÓN DE LA COMPRA O CONTRATACIÓN]])</f>
        <v>MOTORES ELÉCTRICOS SUMERGIBLES, 3Ø, 230 /460 VOLTIOS, 60HZ, 1.15 FS, 3,450 RPM 20 HP NEMA 6</v>
      </c>
      <c r="C757" s="39" t="s">
        <v>17</v>
      </c>
      <c r="D757" s="236"/>
      <c r="E757" s="210"/>
      <c r="F757" s="236"/>
      <c r="G757" s="210"/>
      <c r="H757" s="40">
        <f>SUM(Tabla132112413[[#This Row],[PRIMER TRIMESTRE]:[CUARTO TRIMESTRE]])</f>
        <v>0</v>
      </c>
      <c r="I757" s="17">
        <v>90520</v>
      </c>
      <c r="J757" s="17">
        <f t="shared" si="20"/>
        <v>0</v>
      </c>
      <c r="K757" s="17"/>
      <c r="L757" s="16" t="s">
        <v>18</v>
      </c>
      <c r="M757" s="16" t="s">
        <v>19</v>
      </c>
      <c r="N757" s="39"/>
    </row>
    <row r="758" spans="1:14" s="12" customFormat="1" ht="31.5">
      <c r="A758" s="178" t="s">
        <v>96</v>
      </c>
      <c r="B758" s="75" t="s">
        <v>856</v>
      </c>
      <c r="C758" s="39" t="s">
        <v>17</v>
      </c>
      <c r="D758" s="236"/>
      <c r="E758" s="236"/>
      <c r="F758" s="236"/>
      <c r="G758" s="236"/>
      <c r="H758" s="40">
        <f>SUM(Tabla132112413[[#This Row],[PRIMER TRIMESTRE]:[CUARTO TRIMESTRE]])</f>
        <v>0</v>
      </c>
      <c r="I758" s="17">
        <v>107544.96000000001</v>
      </c>
      <c r="J758" s="17">
        <f t="shared" si="20"/>
        <v>0</v>
      </c>
      <c r="K758" s="17"/>
      <c r="L758" s="16" t="s">
        <v>18</v>
      </c>
      <c r="M758" s="16" t="s">
        <v>19</v>
      </c>
      <c r="N758" s="39"/>
    </row>
    <row r="759" spans="1:14" s="12" customFormat="1" ht="31.5">
      <c r="A759" s="178" t="s">
        <v>96</v>
      </c>
      <c r="B759" s="75" t="s">
        <v>1684</v>
      </c>
      <c r="C759" s="39" t="s">
        <v>17</v>
      </c>
      <c r="D759" s="236"/>
      <c r="E759" s="236"/>
      <c r="F759" s="236"/>
      <c r="G759" s="236"/>
      <c r="H759" s="40">
        <v>0</v>
      </c>
      <c r="I759" s="17">
        <v>0</v>
      </c>
      <c r="J759" s="17">
        <v>0</v>
      </c>
      <c r="K759" s="17"/>
      <c r="L759" s="16" t="s">
        <v>18</v>
      </c>
      <c r="M759" s="16" t="s">
        <v>19</v>
      </c>
      <c r="N759" s="39"/>
    </row>
    <row r="760" spans="1:14" s="12" customFormat="1" ht="31.5">
      <c r="A760" s="178" t="s">
        <v>96</v>
      </c>
      <c r="B760" s="75" t="s">
        <v>1446</v>
      </c>
      <c r="C760" s="39" t="s">
        <v>17</v>
      </c>
      <c r="D760" s="236"/>
      <c r="E760" s="236"/>
      <c r="F760" s="236"/>
      <c r="G760" s="236"/>
      <c r="H760" s="40">
        <f>SUM(Tabla132112413[[#This Row],[PRIMER TRIMESTRE]:[CUARTO TRIMESTRE]])</f>
        <v>0</v>
      </c>
      <c r="I760" s="17">
        <v>132750</v>
      </c>
      <c r="J760" s="17">
        <f t="shared" si="20"/>
        <v>0</v>
      </c>
      <c r="K760" s="17"/>
      <c r="L760" s="16" t="s">
        <v>18</v>
      </c>
      <c r="M760" s="16" t="s">
        <v>19</v>
      </c>
      <c r="N760" s="39"/>
    </row>
    <row r="761" spans="1:14" s="12" customFormat="1" ht="31.5">
      <c r="A761" s="178" t="s">
        <v>96</v>
      </c>
      <c r="B761" s="75" t="s">
        <v>1447</v>
      </c>
      <c r="C761" s="39" t="s">
        <v>17</v>
      </c>
      <c r="D761" s="236"/>
      <c r="E761" s="236"/>
      <c r="F761" s="236"/>
      <c r="G761" s="236"/>
      <c r="H761" s="40">
        <f>SUM(Tabla132112413[[#This Row],[PRIMER TRIMESTRE]:[CUARTO TRIMESTRE]])</f>
        <v>0</v>
      </c>
      <c r="I761" s="17">
        <v>151330</v>
      </c>
      <c r="J761" s="17">
        <f t="shared" si="20"/>
        <v>0</v>
      </c>
      <c r="K761" s="17"/>
      <c r="L761" s="16" t="s">
        <v>18</v>
      </c>
      <c r="M761" s="16" t="s">
        <v>19</v>
      </c>
      <c r="N761" s="39"/>
    </row>
    <row r="762" spans="1:14" s="12" customFormat="1" ht="31.5">
      <c r="A762" s="178" t="s">
        <v>96</v>
      </c>
      <c r="B762" s="75" t="s">
        <v>857</v>
      </c>
      <c r="C762" s="39" t="s">
        <v>17</v>
      </c>
      <c r="D762" s="236"/>
      <c r="E762" s="236"/>
      <c r="F762" s="236"/>
      <c r="G762" s="236"/>
      <c r="H762" s="40">
        <f>SUM(Tabla132112413[[#This Row],[PRIMER TRIMESTRE]:[CUARTO TRIMESTRE]])</f>
        <v>0</v>
      </c>
      <c r="I762" s="17">
        <v>123744.06</v>
      </c>
      <c r="J762" s="17">
        <f t="shared" si="20"/>
        <v>0</v>
      </c>
      <c r="K762" s="17"/>
      <c r="L762" s="16" t="s">
        <v>18</v>
      </c>
      <c r="M762" s="16" t="s">
        <v>19</v>
      </c>
      <c r="N762" s="39"/>
    </row>
    <row r="763" spans="1:14" s="12" customFormat="1" ht="31.5">
      <c r="A763" s="178" t="s">
        <v>96</v>
      </c>
      <c r="B763" s="75" t="s">
        <v>858</v>
      </c>
      <c r="C763" s="39" t="s">
        <v>17</v>
      </c>
      <c r="D763" s="236"/>
      <c r="E763" s="210"/>
      <c r="F763" s="236"/>
      <c r="G763" s="236"/>
      <c r="H763" s="40">
        <f>SUM(Tabla132112413[[#This Row],[PRIMER TRIMESTRE]:[CUARTO TRIMESTRE]])</f>
        <v>0</v>
      </c>
      <c r="I763" s="17">
        <v>135450.07</v>
      </c>
      <c r="J763" s="17">
        <f t="shared" si="20"/>
        <v>0</v>
      </c>
      <c r="K763" s="17"/>
      <c r="L763" s="16" t="s">
        <v>18</v>
      </c>
      <c r="M763" s="16" t="s">
        <v>19</v>
      </c>
      <c r="N763" s="39"/>
    </row>
    <row r="764" spans="1:14" s="12" customFormat="1" ht="31.5">
      <c r="A764" s="178" t="s">
        <v>96</v>
      </c>
      <c r="B764" s="75" t="s">
        <v>859</v>
      </c>
      <c r="C764" s="39" t="s">
        <v>17</v>
      </c>
      <c r="D764" s="236"/>
      <c r="E764" s="210"/>
      <c r="F764" s="236"/>
      <c r="G764" s="236"/>
      <c r="H764" s="40">
        <f>SUM(Tabla132112413[[#This Row],[PRIMER TRIMESTRE]:[CUARTO TRIMESTRE]])</f>
        <v>0</v>
      </c>
      <c r="I764" s="17">
        <v>181838</v>
      </c>
      <c r="J764" s="17">
        <f t="shared" si="20"/>
        <v>0</v>
      </c>
      <c r="K764" s="17"/>
      <c r="L764" s="16" t="s">
        <v>18</v>
      </c>
      <c r="M764" s="16" t="s">
        <v>19</v>
      </c>
      <c r="N764" s="39"/>
    </row>
    <row r="765" spans="1:14" s="12" customFormat="1" ht="31.5">
      <c r="A765" s="178" t="s">
        <v>96</v>
      </c>
      <c r="B765" s="75" t="s">
        <v>860</v>
      </c>
      <c r="C765" s="39" t="s">
        <v>17</v>
      </c>
      <c r="D765" s="236"/>
      <c r="E765" s="210"/>
      <c r="F765" s="236"/>
      <c r="G765" s="236"/>
      <c r="H765" s="40">
        <f>SUM(Tabla132112413[[#This Row],[PRIMER TRIMESTRE]:[CUARTO TRIMESTRE]])</f>
        <v>0</v>
      </c>
      <c r="I765" s="72">
        <v>190640</v>
      </c>
      <c r="J765" s="17">
        <f t="shared" si="20"/>
        <v>0</v>
      </c>
      <c r="K765" s="17"/>
      <c r="L765" s="16" t="s">
        <v>18</v>
      </c>
      <c r="M765" s="16" t="s">
        <v>19</v>
      </c>
      <c r="N765" s="39"/>
    </row>
    <row r="766" spans="1:14" s="12" customFormat="1" ht="31.5">
      <c r="A766" s="178" t="s">
        <v>96</v>
      </c>
      <c r="B766" s="75" t="s">
        <v>861</v>
      </c>
      <c r="C766" s="39" t="s">
        <v>17</v>
      </c>
      <c r="D766" s="236"/>
      <c r="E766" s="210"/>
      <c r="F766" s="236"/>
      <c r="G766" s="236"/>
      <c r="H766" s="40">
        <f>SUM(Tabla132112413[[#This Row],[PRIMER TRIMESTRE]:[CUARTO TRIMESTRE]])</f>
        <v>0</v>
      </c>
      <c r="I766" s="17">
        <v>190640.56</v>
      </c>
      <c r="J766" s="17">
        <f t="shared" si="20"/>
        <v>0</v>
      </c>
      <c r="K766" s="17"/>
      <c r="L766" s="16" t="s">
        <v>18</v>
      </c>
      <c r="M766" s="16" t="s">
        <v>19</v>
      </c>
      <c r="N766" s="39"/>
    </row>
    <row r="767" spans="1:14" s="12" customFormat="1" ht="31.5">
      <c r="A767" s="178" t="s">
        <v>96</v>
      </c>
      <c r="B767" s="75" t="s">
        <v>862</v>
      </c>
      <c r="C767" s="39" t="s">
        <v>17</v>
      </c>
      <c r="D767" s="236"/>
      <c r="E767" s="210"/>
      <c r="F767" s="236"/>
      <c r="G767" s="236"/>
      <c r="H767" s="40">
        <f>SUM(Tabla132112413[[#This Row],[PRIMER TRIMESTRE]:[CUARTO TRIMESTRE]])</f>
        <v>0</v>
      </c>
      <c r="I767" s="17">
        <v>327450</v>
      </c>
      <c r="J767" s="17">
        <f t="shared" si="20"/>
        <v>0</v>
      </c>
      <c r="K767" s="17"/>
      <c r="L767" s="16" t="s">
        <v>18</v>
      </c>
      <c r="M767" s="16" t="s">
        <v>19</v>
      </c>
      <c r="N767" s="39"/>
    </row>
    <row r="768" spans="1:14" s="12" customFormat="1" ht="47.25">
      <c r="A768" s="178" t="s">
        <v>96</v>
      </c>
      <c r="B768" s="16" t="str">
        <f ca="1">+UPPER(Tabla132112413[[#This Row],[DESCRIPCIÓN DE LA COMPRA O CONTRATACIÓN]])</f>
        <v xml:space="preserve">MOTORES ELÉCTRICOS MONOFASICO SUMERGIBLES, 230 VOLTIOS, 3,450 RPM  3 HP CON CAJA DE CONTROLS </v>
      </c>
      <c r="C768" s="39" t="s">
        <v>17</v>
      </c>
      <c r="D768" s="236"/>
      <c r="E768" s="210"/>
      <c r="F768" s="236"/>
      <c r="G768" s="236"/>
      <c r="H768" s="40">
        <f>SUM(Tabla132112413[[#This Row],[PRIMER TRIMESTRE]:[CUARTO TRIMESTRE]])</f>
        <v>0</v>
      </c>
      <c r="I768" s="17">
        <v>36114.370000000003</v>
      </c>
      <c r="J768" s="17">
        <f t="shared" si="20"/>
        <v>0</v>
      </c>
      <c r="K768" s="17"/>
      <c r="L768" s="16" t="s">
        <v>18</v>
      </c>
      <c r="M768" s="16" t="s">
        <v>19</v>
      </c>
      <c r="N768" s="39"/>
    </row>
    <row r="769" spans="1:14" s="12" customFormat="1" ht="47.25">
      <c r="A769" s="178" t="s">
        <v>96</v>
      </c>
      <c r="B769" s="16" t="str">
        <f ca="1">+UPPER(Tabla132112413[[#This Row],[DESCRIPCIÓN DE LA COMPRA O CONTRATACIÓN]])</f>
        <v xml:space="preserve">MOTORES ELÉCTRICOS MONOFASICO SUMERGIBLES, 230 VOLTIOS, 3,450 RPM  5 HP CON CAJA DE CONTROLS </v>
      </c>
      <c r="C769" s="39" t="s">
        <v>17</v>
      </c>
      <c r="D769" s="236"/>
      <c r="E769" s="210"/>
      <c r="F769" s="236"/>
      <c r="G769" s="236"/>
      <c r="H769" s="40">
        <f>SUM(Tabla132112413[[#This Row],[PRIMER TRIMESTRE]:[CUARTO TRIMESTRE]])</f>
        <v>0</v>
      </c>
      <c r="I769" s="17">
        <v>38000</v>
      </c>
      <c r="J769" s="17">
        <f t="shared" si="20"/>
        <v>0</v>
      </c>
      <c r="K769" s="17"/>
      <c r="L769" s="16" t="s">
        <v>18</v>
      </c>
      <c r="M769" s="16" t="s">
        <v>19</v>
      </c>
      <c r="N769" s="39"/>
    </row>
    <row r="770" spans="1:14" s="12" customFormat="1" ht="47.25">
      <c r="A770" s="178" t="s">
        <v>96</v>
      </c>
      <c r="B770" s="16" t="str">
        <f ca="1">+UPPER(Tabla132112413[[#This Row],[DESCRIPCIÓN DE LA COMPRA O CONTRATACIÓN]])</f>
        <v xml:space="preserve">MOTORES ELÉCTRICOS MONOFASICO SUMERGIBLES, 230 VOLTIOS, 3,450 RPM  7.5 HP CON CAJA DE CONTROLS </v>
      </c>
      <c r="C770" s="39" t="s">
        <v>17</v>
      </c>
      <c r="D770" s="236"/>
      <c r="E770" s="210"/>
      <c r="F770" s="236"/>
      <c r="G770" s="236"/>
      <c r="H770" s="40">
        <f>SUM(Tabla132112413[[#This Row],[PRIMER TRIMESTRE]:[CUARTO TRIMESTRE]])</f>
        <v>0</v>
      </c>
      <c r="I770" s="17">
        <v>50164</v>
      </c>
      <c r="J770" s="17">
        <f t="shared" si="20"/>
        <v>0</v>
      </c>
      <c r="K770" s="17"/>
      <c r="L770" s="16" t="s">
        <v>18</v>
      </c>
      <c r="M770" s="16" t="s">
        <v>19</v>
      </c>
      <c r="N770" s="39"/>
    </row>
    <row r="771" spans="1:14" s="12" customFormat="1" ht="47.25">
      <c r="A771" s="178" t="s">
        <v>96</v>
      </c>
      <c r="B771" s="16" t="str">
        <f ca="1">+UPPER(Tabla132112413[[#This Row],[DESCRIPCIÓN DE LA COMPRA O CONTRATACIÓN]])</f>
        <v>ELECTROBOMBAS HORIZONTAL, 0.75HP, 1Ø, 115/230V, TIPO MONOBLOCK,3500 RPM, 20 GPM VS 100 PIES TDH</v>
      </c>
      <c r="C771" s="39" t="s">
        <v>17</v>
      </c>
      <c r="D771" s="236"/>
      <c r="E771" s="236"/>
      <c r="F771" s="236"/>
      <c r="G771" s="236"/>
      <c r="H771" s="40">
        <f>SUM(Tabla132112413[[#This Row],[PRIMER TRIMESTRE]:[CUARTO TRIMESTRE]])</f>
        <v>0</v>
      </c>
      <c r="I771" s="17">
        <v>23570</v>
      </c>
      <c r="J771" s="17">
        <f t="shared" si="20"/>
        <v>0</v>
      </c>
      <c r="K771" s="17"/>
      <c r="L771" s="16" t="s">
        <v>18</v>
      </c>
      <c r="M771" s="16" t="s">
        <v>19</v>
      </c>
      <c r="N771" s="39"/>
    </row>
    <row r="772" spans="1:14" s="12" customFormat="1" ht="31.5">
      <c r="A772" s="178" t="s">
        <v>96</v>
      </c>
      <c r="B772" s="16" t="str">
        <f ca="1">+UPPER(Tabla132112413[[#This Row],[DESCRIPCIÓN DE LA COMPRA O CONTRATACIÓN]])</f>
        <v>ELECTROBOMBAS SUMERGIBLE, 1.00HP, 230V, 1Ø, 60HZ, CON SU CAJA DE CONTROL, 3500 RPM</v>
      </c>
      <c r="C772" s="39" t="s">
        <v>17</v>
      </c>
      <c r="D772" s="236"/>
      <c r="E772" s="236"/>
      <c r="F772" s="236"/>
      <c r="G772" s="236"/>
      <c r="H772" s="40">
        <f>SUM(Tabla132112413[[#This Row],[PRIMER TRIMESTRE]:[CUARTO TRIMESTRE]])</f>
        <v>0</v>
      </c>
      <c r="I772" s="17">
        <v>32670</v>
      </c>
      <c r="J772" s="17">
        <f t="shared" si="20"/>
        <v>0</v>
      </c>
      <c r="K772" s="17"/>
      <c r="L772" s="16" t="s">
        <v>18</v>
      </c>
      <c r="M772" s="16" t="s">
        <v>19</v>
      </c>
      <c r="N772" s="39"/>
    </row>
    <row r="773" spans="1:14" s="12" customFormat="1" ht="30">
      <c r="A773" s="178" t="s">
        <v>96</v>
      </c>
      <c r="B773" s="75" t="s">
        <v>1688</v>
      </c>
      <c r="C773" s="39" t="s">
        <v>17</v>
      </c>
      <c r="D773" s="236"/>
      <c r="E773" s="236"/>
      <c r="F773" s="236"/>
      <c r="G773" s="236"/>
      <c r="H773" s="40">
        <v>0</v>
      </c>
      <c r="I773" s="17">
        <v>0</v>
      </c>
      <c r="J773" s="17">
        <v>0</v>
      </c>
      <c r="K773" s="17"/>
      <c r="L773" s="16" t="s">
        <v>18</v>
      </c>
      <c r="M773" s="16" t="s">
        <v>22</v>
      </c>
      <c r="N773" s="39"/>
    </row>
    <row r="774" spans="1:14" s="12" customFormat="1" ht="30">
      <c r="A774" s="178" t="s">
        <v>96</v>
      </c>
      <c r="B774" s="75" t="s">
        <v>1230</v>
      </c>
      <c r="C774" s="39" t="s">
        <v>17</v>
      </c>
      <c r="D774" s="236"/>
      <c r="E774" s="236"/>
      <c r="F774" s="236"/>
      <c r="G774" s="236"/>
      <c r="H774" s="40">
        <f>SUM(Tabla132112413[[#This Row],[PRIMER TRIMESTRE]:[CUARTO TRIMESTRE]])</f>
        <v>0</v>
      </c>
      <c r="I774" s="17">
        <v>45000</v>
      </c>
      <c r="J774" s="17">
        <f t="shared" si="20"/>
        <v>0</v>
      </c>
      <c r="K774" s="17"/>
      <c r="L774" s="16" t="s">
        <v>18</v>
      </c>
      <c r="M774" s="16" t="s">
        <v>22</v>
      </c>
      <c r="N774" s="39"/>
    </row>
    <row r="775" spans="1:14" s="12" customFormat="1" ht="30">
      <c r="A775" s="178" t="s">
        <v>96</v>
      </c>
      <c r="B775" s="75" t="s">
        <v>1231</v>
      </c>
      <c r="C775" s="39" t="s">
        <v>17</v>
      </c>
      <c r="D775" s="236"/>
      <c r="E775" s="236"/>
      <c r="F775" s="236"/>
      <c r="G775" s="236"/>
      <c r="H775" s="40">
        <f>SUM(Tabla132112413[[#This Row],[PRIMER TRIMESTRE]:[CUARTO TRIMESTRE]])</f>
        <v>0</v>
      </c>
      <c r="I775" s="17">
        <v>48231.23</v>
      </c>
      <c r="J775" s="17">
        <f t="shared" si="20"/>
        <v>0</v>
      </c>
      <c r="K775" s="17"/>
      <c r="L775" s="16" t="s">
        <v>18</v>
      </c>
      <c r="M775" s="16" t="s">
        <v>22</v>
      </c>
      <c r="N775" s="39"/>
    </row>
    <row r="776" spans="1:14" s="12" customFormat="1" ht="30">
      <c r="A776" s="178" t="s">
        <v>96</v>
      </c>
      <c r="B776" s="75" t="s">
        <v>1232</v>
      </c>
      <c r="C776" s="39" t="s">
        <v>17</v>
      </c>
      <c r="D776" s="236"/>
      <c r="E776" s="236"/>
      <c r="F776" s="236"/>
      <c r="G776" s="236"/>
      <c r="H776" s="40">
        <f>SUM(Tabla132112413[[#This Row],[PRIMER TRIMESTRE]:[CUARTO TRIMESTRE]])</f>
        <v>0</v>
      </c>
      <c r="I776" s="17">
        <v>52738.12</v>
      </c>
      <c r="J776" s="17">
        <f t="shared" si="20"/>
        <v>0</v>
      </c>
      <c r="K776" s="17"/>
      <c r="L776" s="16" t="s">
        <v>18</v>
      </c>
      <c r="M776" s="16" t="s">
        <v>22</v>
      </c>
      <c r="N776" s="39"/>
    </row>
    <row r="777" spans="1:14" s="12" customFormat="1" ht="30">
      <c r="A777" s="178" t="s">
        <v>96</v>
      </c>
      <c r="B777" s="75" t="s">
        <v>1233</v>
      </c>
      <c r="C777" s="39" t="s">
        <v>17</v>
      </c>
      <c r="D777" s="236"/>
      <c r="E777" s="236"/>
      <c r="F777" s="236"/>
      <c r="G777" s="236"/>
      <c r="H777" s="40">
        <f>SUM(Tabla132112413[[#This Row],[PRIMER TRIMESTRE]:[CUARTO TRIMESTRE]])</f>
        <v>0</v>
      </c>
      <c r="I777" s="17">
        <v>14726</v>
      </c>
      <c r="J777" s="17">
        <f t="shared" si="20"/>
        <v>0</v>
      </c>
      <c r="K777" s="17"/>
      <c r="L777" s="16" t="s">
        <v>18</v>
      </c>
      <c r="M777" s="16" t="s">
        <v>22</v>
      </c>
      <c r="N777" s="39"/>
    </row>
    <row r="778" spans="1:14" s="12" customFormat="1" ht="30">
      <c r="A778" s="178" t="s">
        <v>96</v>
      </c>
      <c r="B778" s="75" t="s">
        <v>1234</v>
      </c>
      <c r="C778" s="39" t="s">
        <v>17</v>
      </c>
      <c r="D778" s="236"/>
      <c r="E778" s="236"/>
      <c r="F778" s="236"/>
      <c r="G778" s="236"/>
      <c r="H778" s="40">
        <f>SUM(Tabla132112413[[#This Row],[PRIMER TRIMESTRE]:[CUARTO TRIMESTRE]])</f>
        <v>0</v>
      </c>
      <c r="I778" s="17">
        <v>60000</v>
      </c>
      <c r="J778" s="17">
        <f t="shared" ref="J778:J807" si="21">+H778*I778</f>
        <v>0</v>
      </c>
      <c r="K778" s="17"/>
      <c r="L778" s="16" t="s">
        <v>18</v>
      </c>
      <c r="M778" s="16" t="s">
        <v>22</v>
      </c>
      <c r="N778" s="39"/>
    </row>
    <row r="779" spans="1:14" s="12" customFormat="1" ht="38.25">
      <c r="A779" s="178" t="s">
        <v>96</v>
      </c>
      <c r="B779" s="75" t="s">
        <v>1686</v>
      </c>
      <c r="C779" s="39" t="s">
        <v>17</v>
      </c>
      <c r="D779" s="236"/>
      <c r="E779" s="236"/>
      <c r="F779" s="236"/>
      <c r="G779" s="236"/>
      <c r="H779" s="40">
        <v>0</v>
      </c>
      <c r="I779" s="17">
        <v>0</v>
      </c>
      <c r="J779" s="17">
        <v>0</v>
      </c>
      <c r="K779" s="17"/>
      <c r="L779" s="16" t="s">
        <v>18</v>
      </c>
      <c r="M779" s="16" t="s">
        <v>22</v>
      </c>
      <c r="N779" s="39"/>
    </row>
    <row r="780" spans="1:14" s="12" customFormat="1" ht="30">
      <c r="A780" s="178" t="s">
        <v>96</v>
      </c>
      <c r="B780" s="75" t="s">
        <v>1685</v>
      </c>
      <c r="C780" s="39" t="s">
        <v>17</v>
      </c>
      <c r="D780" s="236"/>
      <c r="E780" s="236"/>
      <c r="F780" s="236"/>
      <c r="G780" s="236"/>
      <c r="H780" s="40">
        <v>0</v>
      </c>
      <c r="I780" s="17">
        <v>0</v>
      </c>
      <c r="J780" s="17">
        <v>0</v>
      </c>
      <c r="K780" s="17"/>
      <c r="L780" s="16" t="s">
        <v>18</v>
      </c>
      <c r="M780" s="16" t="s">
        <v>22</v>
      </c>
      <c r="N780" s="39"/>
    </row>
    <row r="781" spans="1:14" s="12" customFormat="1" ht="47.25">
      <c r="A781" s="178" t="s">
        <v>96</v>
      </c>
      <c r="B781" s="16" t="s">
        <v>1689</v>
      </c>
      <c r="C781" s="39" t="s">
        <v>17</v>
      </c>
      <c r="D781" s="236"/>
      <c r="E781" s="236"/>
      <c r="F781" s="236"/>
      <c r="G781" s="236"/>
      <c r="H781" s="40">
        <v>0</v>
      </c>
      <c r="I781" s="17">
        <v>0</v>
      </c>
      <c r="J781" s="17">
        <v>0</v>
      </c>
      <c r="K781" s="17"/>
      <c r="L781" s="16" t="s">
        <v>18</v>
      </c>
      <c r="M781" s="16" t="s">
        <v>22</v>
      </c>
      <c r="N781" s="39"/>
    </row>
    <row r="782" spans="1:14" s="12" customFormat="1" ht="47.25">
      <c r="A782" s="178" t="s">
        <v>96</v>
      </c>
      <c r="B782" s="16" t="s">
        <v>863</v>
      </c>
      <c r="C782" s="39" t="s">
        <v>17</v>
      </c>
      <c r="D782" s="236"/>
      <c r="E782" s="236"/>
      <c r="F782" s="236"/>
      <c r="G782" s="236"/>
      <c r="H782" s="40">
        <f>SUM(Tabla132112413[[#This Row],[PRIMER TRIMESTRE]:[CUARTO TRIMESTRE]])</f>
        <v>0</v>
      </c>
      <c r="I782" s="17">
        <v>24051.94</v>
      </c>
      <c r="J782" s="17">
        <f t="shared" si="21"/>
        <v>0</v>
      </c>
      <c r="K782" s="17"/>
      <c r="L782" s="16" t="s">
        <v>18</v>
      </c>
      <c r="M782" s="16" t="s">
        <v>22</v>
      </c>
      <c r="N782" s="39"/>
    </row>
    <row r="783" spans="1:14" s="12" customFormat="1" ht="47.25">
      <c r="A783" s="178" t="s">
        <v>96</v>
      </c>
      <c r="B783" s="16" t="str">
        <f ca="1">+UPPER(Tabla132112413[[#This Row],[DESCRIPCIÓN DE LA COMPRA O CONTRATACIÓN]])</f>
        <v>TRANSFORMADORES 1Ø, 60HZ, SUMERGIDOS EN ACEITE, 7.2/12.47 KV, 120/240V, TIPO POSTE, HOMOLGADOS CON IDÉNTICA IMPEDANCIA 25 KVA</v>
      </c>
      <c r="C783" s="39" t="s">
        <v>17</v>
      </c>
      <c r="D783" s="236"/>
      <c r="E783" s="236"/>
      <c r="F783" s="236"/>
      <c r="G783" s="236"/>
      <c r="H783" s="40">
        <f>SUM(Tabla132112413[[#This Row],[PRIMER TRIMESTRE]:[CUARTO TRIMESTRE]])</f>
        <v>0</v>
      </c>
      <c r="I783" s="17">
        <v>34220</v>
      </c>
      <c r="J783" s="17">
        <f t="shared" si="21"/>
        <v>0</v>
      </c>
      <c r="K783" s="17"/>
      <c r="L783" s="16" t="s">
        <v>18</v>
      </c>
      <c r="M783" s="16" t="s">
        <v>22</v>
      </c>
      <c r="N783" s="39"/>
    </row>
    <row r="784" spans="1:14" s="12" customFormat="1" ht="63">
      <c r="A784" s="178" t="s">
        <v>96</v>
      </c>
      <c r="B784" s="16" t="str">
        <f ca="1">+UPPER(Tabla132112413[[#This Row],[DESCRIPCIÓN DE LA COMPRA O CONTRATACIÓN]])</f>
        <v>TRANSFORMADORES 1Ø, 60HZ, SUMERGIDOS EN ACEITE, 7.2/12.47 KV, 120/240V, TIPO POSTE, HOMOLGADOS CON IDÉNTICA IMPEDANCIA 37.5 KVA</v>
      </c>
      <c r="C784" s="39" t="s">
        <v>17</v>
      </c>
      <c r="D784" s="236"/>
      <c r="E784" s="236"/>
      <c r="F784" s="236"/>
      <c r="G784" s="236"/>
      <c r="H784" s="40">
        <f>SUM(Tabla132112413[[#This Row],[PRIMER TRIMESTRE]:[CUARTO TRIMESTRE]])</f>
        <v>0</v>
      </c>
      <c r="I784" s="17">
        <v>58875.22</v>
      </c>
      <c r="J784" s="17">
        <f t="shared" si="21"/>
        <v>0</v>
      </c>
      <c r="K784" s="17"/>
      <c r="L784" s="16" t="s">
        <v>18</v>
      </c>
      <c r="M784" s="16" t="s">
        <v>22</v>
      </c>
      <c r="N784" s="39"/>
    </row>
    <row r="785" spans="1:14" s="12" customFormat="1" ht="47.25">
      <c r="A785" s="178" t="s">
        <v>96</v>
      </c>
      <c r="B785" s="73" t="str">
        <f ca="1">+UPPER(Tabla132112413[[#This Row],[DESCRIPCIÓN DE LA COMPRA O CONTRATACIÓN]])</f>
        <v>TRANSFORMADORES 1Ø, 60HZ, SUMERGIDOS EN ACEITE, 7.2/12.47 KV, 240/480V, TIPO POSTE HOMOLGADOS CON IDÉNTICA IMPEDANCIA 15 KVA</v>
      </c>
      <c r="C785" s="39" t="s">
        <v>17</v>
      </c>
      <c r="D785" s="236"/>
      <c r="E785" s="236"/>
      <c r="F785" s="236"/>
      <c r="G785" s="236"/>
      <c r="H785" s="40">
        <f>SUM(Tabla132112413[[#This Row],[PRIMER TRIMESTRE]:[CUARTO TRIMESTRE]])</f>
        <v>0</v>
      </c>
      <c r="I785" s="17">
        <v>25498.09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</row>
    <row r="786" spans="1:14" s="12" customFormat="1" ht="47.25">
      <c r="A786" s="178" t="s">
        <v>96</v>
      </c>
      <c r="B786" s="73" t="str">
        <f ca="1">+UPPER(Tabla132112413[[#This Row],[DESCRIPCIÓN DE LA COMPRA O CONTRATACIÓN]])</f>
        <v>TRANSFORMADORES 1Ø, 60HZ, SUMERGIDOS EN ACEITE, 7.2/12.47 KV, 240/480V, TIPO POSTE HOMOLGADOS CON IDÉNTICA IMPEDANCIA 25 KVA</v>
      </c>
      <c r="C786" s="39" t="s">
        <v>17</v>
      </c>
      <c r="D786" s="236"/>
      <c r="E786" s="236"/>
      <c r="F786" s="236"/>
      <c r="G786" s="236"/>
      <c r="H786" s="40">
        <f>SUM(Tabla132112413[[#This Row],[PRIMER TRIMESTRE]:[CUARTO TRIMESTRE]])</f>
        <v>0</v>
      </c>
      <c r="I786" s="17">
        <v>37186.82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</row>
    <row r="787" spans="1:14" s="12" customFormat="1" ht="38.25">
      <c r="A787" s="178" t="s">
        <v>96</v>
      </c>
      <c r="B787" s="77" t="s">
        <v>864</v>
      </c>
      <c r="C787" s="39" t="s">
        <v>17</v>
      </c>
      <c r="D787" s="236"/>
      <c r="E787" s="236"/>
      <c r="F787" s="236"/>
      <c r="G787" s="236"/>
      <c r="H787" s="40">
        <f>SUM(Tabla132112413[[#This Row],[PRIMER TRIMESTRE]:[CUARTO TRIMESTRE]])</f>
        <v>0</v>
      </c>
      <c r="I787" s="17">
        <v>44076.54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</row>
    <row r="788" spans="1:14" s="12" customFormat="1" ht="38.25">
      <c r="A788" s="178" t="s">
        <v>96</v>
      </c>
      <c r="B788" s="75" t="s">
        <v>865</v>
      </c>
      <c r="C788" s="39" t="s">
        <v>17</v>
      </c>
      <c r="D788" s="236"/>
      <c r="E788" s="236"/>
      <c r="F788" s="236"/>
      <c r="G788" s="236"/>
      <c r="H788" s="40">
        <f>SUM(Tabla132112413[[#This Row],[PRIMER TRIMESTRE]:[CUARTO TRIMESTRE]])</f>
        <v>0</v>
      </c>
      <c r="I788" s="17">
        <v>54061.7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</row>
    <row r="789" spans="1:14" s="12" customFormat="1" ht="38.25">
      <c r="A789" s="178" t="s">
        <v>96</v>
      </c>
      <c r="B789" s="75" t="s">
        <v>866</v>
      </c>
      <c r="C789" s="39" t="s">
        <v>17</v>
      </c>
      <c r="D789" s="236"/>
      <c r="E789" s="236"/>
      <c r="F789" s="236"/>
      <c r="G789" s="236"/>
      <c r="H789" s="40">
        <f>SUM(Tabla132112413[[#This Row],[PRIMER TRIMESTRE]:[CUARTO TRIMESTRE]])</f>
        <v>0</v>
      </c>
      <c r="I789" s="17">
        <v>81423.539999999994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</row>
    <row r="790" spans="1:14" s="12" customFormat="1" ht="63">
      <c r="A790" s="178" t="s">
        <v>96</v>
      </c>
      <c r="B790" s="16" t="str">
        <f ca="1">+UPPER(Tabla132112413[[#This Row],[DESCRIPCIÓN DE LA COMPRA O CONTRATACIÓN]])</f>
        <v>TRANSFORMADORES 1Ø, 60HZ, SUMERGIDOS EN ACEITE, 7.2/12.47 KV, 240/480V, TIPO POSTE HOMOLGADOS CON IDÉNTICA IMPEDANCIA 100 KVA</v>
      </c>
      <c r="C790" s="39" t="s">
        <v>17</v>
      </c>
      <c r="D790" s="236"/>
      <c r="E790" s="236"/>
      <c r="F790" s="236"/>
      <c r="G790" s="236"/>
      <c r="H790" s="40">
        <f>SUM(Tabla132112413[[#This Row],[PRIMER TRIMESTRE]:[CUARTO TRIMESTRE]])</f>
        <v>0</v>
      </c>
      <c r="I790" s="17">
        <v>108938.74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</row>
    <row r="791" spans="1:14" s="12" customFormat="1" ht="38.25">
      <c r="A791" s="178" t="s">
        <v>96</v>
      </c>
      <c r="B791" s="75" t="s">
        <v>867</v>
      </c>
      <c r="C791" s="39" t="s">
        <v>17</v>
      </c>
      <c r="D791" s="236"/>
      <c r="E791" s="236"/>
      <c r="F791" s="236"/>
      <c r="G791" s="236"/>
      <c r="H791" s="40">
        <f>SUM(Tabla132112413[[#This Row],[PRIMER TRIMESTRE]:[CUARTO TRIMESTRE]])</f>
        <v>0</v>
      </c>
      <c r="I791" s="17">
        <v>160529.56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</row>
    <row r="792" spans="1:14" s="12" customFormat="1" ht="38.25">
      <c r="A792" s="178" t="s">
        <v>96</v>
      </c>
      <c r="B792" s="75" t="s">
        <v>871</v>
      </c>
      <c r="C792" s="39" t="s">
        <v>17</v>
      </c>
      <c r="D792" s="236"/>
      <c r="E792" s="236"/>
      <c r="F792" s="236"/>
      <c r="G792" s="236"/>
      <c r="H792" s="40">
        <f>SUM(Tabla132112413[[#This Row],[PRIMER TRIMESTRE]:[CUARTO TRIMESTRE]])</f>
        <v>0</v>
      </c>
      <c r="I792" s="17">
        <v>2995.96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</row>
    <row r="793" spans="1:14" s="12" customFormat="1" ht="38.25">
      <c r="A793" s="178" t="s">
        <v>96</v>
      </c>
      <c r="B793" s="75" t="s">
        <v>872</v>
      </c>
      <c r="C793" s="39" t="s">
        <v>17</v>
      </c>
      <c r="D793" s="236"/>
      <c r="E793" s="236"/>
      <c r="F793" s="236"/>
      <c r="G793" s="236"/>
      <c r="H793" s="40">
        <f>SUM(Tabla132112413[[#This Row],[PRIMER TRIMESTRE]:[CUARTO TRIMESTRE]])</f>
        <v>0</v>
      </c>
      <c r="I793" s="17">
        <v>3986.24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</row>
    <row r="794" spans="1:14" s="12" customFormat="1" ht="38.25">
      <c r="A794" s="178" t="s">
        <v>96</v>
      </c>
      <c r="B794" s="75" t="s">
        <v>873</v>
      </c>
      <c r="C794" s="39" t="s">
        <v>17</v>
      </c>
      <c r="D794" s="236"/>
      <c r="E794" s="236"/>
      <c r="F794" s="236"/>
      <c r="G794" s="236"/>
      <c r="H794" s="40">
        <f>SUM(Tabla132112413[[#This Row],[PRIMER TRIMESTRE]:[CUARTO TRIMESTRE]])</f>
        <v>0</v>
      </c>
      <c r="I794" s="17">
        <v>6982.2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</row>
    <row r="795" spans="1:14" s="12" customFormat="1" ht="30">
      <c r="A795" s="178" t="s">
        <v>96</v>
      </c>
      <c r="B795" s="75" t="s">
        <v>1437</v>
      </c>
      <c r="C795" s="39" t="s">
        <v>1438</v>
      </c>
      <c r="D795" s="236"/>
      <c r="E795" s="236"/>
      <c r="F795" s="236"/>
      <c r="G795" s="236"/>
      <c r="H795" s="40">
        <f>SUM(Tabla132112413[[#This Row],[PRIMER TRIMESTRE]:[CUARTO TRIMESTRE]])</f>
        <v>0</v>
      </c>
      <c r="I795" s="17">
        <v>554145.56999999995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</row>
    <row r="796" spans="1:14" s="12" customFormat="1" ht="30">
      <c r="A796" s="178" t="s">
        <v>96</v>
      </c>
      <c r="B796" s="75" t="s">
        <v>1450</v>
      </c>
      <c r="C796" s="39" t="s">
        <v>17</v>
      </c>
      <c r="D796" s="236"/>
      <c r="E796" s="236"/>
      <c r="F796" s="236"/>
      <c r="G796" s="236"/>
      <c r="H796" s="40">
        <f>SUM(Tabla132112413[[#This Row],[PRIMER TRIMESTRE]:[CUARTO TRIMESTRE]])</f>
        <v>0</v>
      </c>
      <c r="I796" s="17">
        <v>6950.29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</row>
    <row r="797" spans="1:14" s="12" customFormat="1" ht="30">
      <c r="A797" s="178" t="s">
        <v>96</v>
      </c>
      <c r="B797" s="75" t="s">
        <v>1524</v>
      </c>
      <c r="C797" s="39" t="s">
        <v>17</v>
      </c>
      <c r="D797" s="236"/>
      <c r="E797" s="236"/>
      <c r="F797" s="236"/>
      <c r="G797" s="236"/>
      <c r="H797" s="236">
        <f>SUM(Tabla132112413[[#This Row],[PRIMER TRIMESTRE]:[CUARTO TRIMESTRE]])</f>
        <v>0</v>
      </c>
      <c r="I797" s="17">
        <v>38300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</row>
    <row r="798" spans="1:14" s="12" customFormat="1" ht="30">
      <c r="A798" s="178" t="s">
        <v>96</v>
      </c>
      <c r="B798" s="75" t="s">
        <v>1728</v>
      </c>
      <c r="C798" s="39" t="s">
        <v>17</v>
      </c>
      <c r="D798" s="236"/>
      <c r="E798" s="236"/>
      <c r="F798" s="236"/>
      <c r="G798" s="236"/>
      <c r="H798" s="40">
        <v>0</v>
      </c>
      <c r="I798" s="17">
        <v>0</v>
      </c>
      <c r="J798" s="17">
        <v>0</v>
      </c>
      <c r="K798" s="17"/>
      <c r="L798" s="16" t="s">
        <v>18</v>
      </c>
      <c r="M798" s="16" t="s">
        <v>22</v>
      </c>
      <c r="N798" s="39"/>
    </row>
    <row r="799" spans="1:14" s="12" customFormat="1" ht="51">
      <c r="A799" s="178" t="s">
        <v>96</v>
      </c>
      <c r="B799" s="75" t="s">
        <v>1525</v>
      </c>
      <c r="C799" s="39" t="s">
        <v>17</v>
      </c>
      <c r="D799" s="236"/>
      <c r="E799" s="236"/>
      <c r="F799" s="236"/>
      <c r="G799" s="236"/>
      <c r="H799" s="236">
        <f>SUM(Tabla132112413[[#This Row],[PRIMER TRIMESTRE]:[CUARTO TRIMESTRE]])</f>
        <v>0</v>
      </c>
      <c r="I799" s="17">
        <v>251461</v>
      </c>
      <c r="J799" s="17">
        <f t="shared" si="21"/>
        <v>0</v>
      </c>
      <c r="K799" s="17"/>
      <c r="L799" s="16" t="s">
        <v>18</v>
      </c>
      <c r="M799" s="16" t="s">
        <v>22</v>
      </c>
      <c r="N799" s="39"/>
    </row>
    <row r="800" spans="1:14" s="12" customFormat="1" ht="30">
      <c r="A800" s="178" t="s">
        <v>96</v>
      </c>
      <c r="B800" s="75" t="s">
        <v>1523</v>
      </c>
      <c r="C800" s="39" t="s">
        <v>17</v>
      </c>
      <c r="D800" s="236"/>
      <c r="E800" s="236"/>
      <c r="F800" s="236"/>
      <c r="G800" s="236"/>
      <c r="H800" s="236">
        <f>SUM(Tabla132112413[[#This Row],[PRIMER TRIMESTRE]:[CUARTO TRIMESTRE]])</f>
        <v>0</v>
      </c>
      <c r="I800" s="17">
        <v>11200</v>
      </c>
      <c r="J800" s="17">
        <f t="shared" si="21"/>
        <v>0</v>
      </c>
      <c r="K800" s="17"/>
      <c r="L800" s="16" t="s">
        <v>18</v>
      </c>
      <c r="M800" s="16" t="s">
        <v>22</v>
      </c>
      <c r="N800" s="39"/>
    </row>
    <row r="801" spans="1:14" s="12" customFormat="1" ht="30">
      <c r="A801" s="178" t="s">
        <v>96</v>
      </c>
      <c r="B801" s="75" t="s">
        <v>1758</v>
      </c>
      <c r="C801" s="39" t="s">
        <v>17</v>
      </c>
      <c r="D801" s="236"/>
      <c r="E801" s="236"/>
      <c r="F801" s="236"/>
      <c r="G801" s="236"/>
      <c r="H801" s="40">
        <v>0</v>
      </c>
      <c r="I801" s="17">
        <v>0</v>
      </c>
      <c r="J801" s="17">
        <v>0</v>
      </c>
      <c r="K801" s="17"/>
      <c r="L801" s="16" t="s">
        <v>18</v>
      </c>
      <c r="M801" s="16" t="s">
        <v>22</v>
      </c>
      <c r="N801" s="39"/>
    </row>
    <row r="802" spans="1:14" s="12" customFormat="1" ht="30">
      <c r="A802" s="178" t="s">
        <v>96</v>
      </c>
      <c r="B802" s="75" t="s">
        <v>1510</v>
      </c>
      <c r="C802" s="39" t="s">
        <v>17</v>
      </c>
      <c r="D802" s="236"/>
      <c r="E802" s="236"/>
      <c r="F802" s="236"/>
      <c r="G802" s="236"/>
      <c r="H802" s="236">
        <f>SUM(Tabla132112413[[#This Row],[PRIMER TRIMESTRE]:[CUARTO TRIMESTRE]])</f>
        <v>0</v>
      </c>
      <c r="I802" s="17">
        <v>250</v>
      </c>
      <c r="J802" s="17">
        <f t="shared" si="21"/>
        <v>0</v>
      </c>
      <c r="K802" s="17"/>
      <c r="L802" s="16" t="s">
        <v>18</v>
      </c>
      <c r="M802" s="16" t="s">
        <v>22</v>
      </c>
      <c r="N802" s="39"/>
    </row>
    <row r="803" spans="1:14" s="12" customFormat="1" ht="30">
      <c r="A803" s="178" t="s">
        <v>96</v>
      </c>
      <c r="B803" s="75" t="s">
        <v>1611</v>
      </c>
      <c r="C803" s="39" t="s">
        <v>17</v>
      </c>
      <c r="D803" s="236"/>
      <c r="E803" s="236"/>
      <c r="F803" s="236"/>
      <c r="G803" s="236"/>
      <c r="H803" s="236">
        <f>SUM(Tabla132112413[[#This Row],[PRIMER TRIMESTRE]:[CUARTO TRIMESTRE]])</f>
        <v>0</v>
      </c>
      <c r="I803" s="17">
        <v>36000</v>
      </c>
      <c r="J803" s="17">
        <f t="shared" si="21"/>
        <v>0</v>
      </c>
      <c r="K803" s="17"/>
      <c r="L803" s="16" t="s">
        <v>18</v>
      </c>
      <c r="M803" s="16" t="s">
        <v>22</v>
      </c>
      <c r="N803" s="39"/>
    </row>
    <row r="804" spans="1:14" s="12" customFormat="1" ht="30">
      <c r="A804" s="178" t="s">
        <v>96</v>
      </c>
      <c r="B804" s="75" t="s">
        <v>1714</v>
      </c>
      <c r="C804" s="39" t="s">
        <v>17</v>
      </c>
      <c r="D804" s="236"/>
      <c r="E804" s="236"/>
      <c r="F804" s="236"/>
      <c r="G804" s="236"/>
      <c r="H804" s="40">
        <v>0</v>
      </c>
      <c r="I804" s="17">
        <v>0</v>
      </c>
      <c r="J804" s="17">
        <v>0</v>
      </c>
      <c r="K804" s="17"/>
      <c r="L804" s="16" t="s">
        <v>18</v>
      </c>
      <c r="M804" s="16" t="s">
        <v>22</v>
      </c>
      <c r="N804" s="39"/>
    </row>
    <row r="805" spans="1:14" s="12" customFormat="1" ht="30">
      <c r="A805" s="178" t="s">
        <v>96</v>
      </c>
      <c r="B805" s="75" t="s">
        <v>1744</v>
      </c>
      <c r="C805" s="39" t="s">
        <v>17</v>
      </c>
      <c r="D805" s="236"/>
      <c r="E805" s="236"/>
      <c r="F805" s="236"/>
      <c r="G805" s="236"/>
      <c r="H805" s="40">
        <v>0</v>
      </c>
      <c r="I805" s="17">
        <v>6950</v>
      </c>
      <c r="J805" s="17">
        <f>Tabla132112413[[#This Row],[PRECIO UNITARIO ESTIMADO]]*Tabla132112413[[#This Row],[CANTIDAD TOTAL]]</f>
        <v>0</v>
      </c>
      <c r="K805" s="17"/>
      <c r="L805" s="16" t="s">
        <v>18</v>
      </c>
      <c r="M805" s="16" t="s">
        <v>22</v>
      </c>
      <c r="N805" s="39"/>
    </row>
    <row r="806" spans="1:14" s="26" customFormat="1" ht="30">
      <c r="A806" s="178" t="s">
        <v>96</v>
      </c>
      <c r="B806" s="75" t="s">
        <v>1521</v>
      </c>
      <c r="C806" s="39" t="s">
        <v>17</v>
      </c>
      <c r="D806" s="236"/>
      <c r="E806" s="236"/>
      <c r="F806" s="236"/>
      <c r="G806" s="236"/>
      <c r="H806" s="236">
        <f>SUM(Tabla132112413[[#This Row],[PRIMER TRIMESTRE]:[CUARTO TRIMESTRE]])</f>
        <v>0</v>
      </c>
      <c r="I806" s="17">
        <v>109000</v>
      </c>
      <c r="J806" s="17">
        <f t="shared" si="21"/>
        <v>0</v>
      </c>
      <c r="K806" s="17"/>
      <c r="L806" s="16" t="s">
        <v>18</v>
      </c>
      <c r="M806" s="16" t="s">
        <v>22</v>
      </c>
      <c r="N806" s="39"/>
    </row>
    <row r="807" spans="1:14" s="12" customFormat="1" ht="30">
      <c r="A807" s="178" t="s">
        <v>96</v>
      </c>
      <c r="B807" s="75" t="s">
        <v>1522</v>
      </c>
      <c r="C807" s="39" t="s">
        <v>17</v>
      </c>
      <c r="D807" s="236"/>
      <c r="E807" s="236"/>
      <c r="F807" s="236"/>
      <c r="G807" s="236"/>
      <c r="H807" s="236">
        <f>SUM(Tabla132112413[[#This Row],[PRIMER TRIMESTRE]:[CUARTO TRIMESTRE]])</f>
        <v>0</v>
      </c>
      <c r="I807" s="17">
        <v>2760</v>
      </c>
      <c r="J807" s="17">
        <f t="shared" si="21"/>
        <v>0</v>
      </c>
      <c r="K807" s="17"/>
      <c r="L807" s="16" t="s">
        <v>18</v>
      </c>
      <c r="M807" s="16" t="s">
        <v>22</v>
      </c>
      <c r="N807" s="39"/>
    </row>
    <row r="808" spans="1:14" s="12" customFormat="1" ht="31.5">
      <c r="A808" s="287" t="s">
        <v>96</v>
      </c>
      <c r="B808" s="76"/>
      <c r="C808" s="42"/>
      <c r="D808" s="237"/>
      <c r="E808" s="237"/>
      <c r="F808" s="237"/>
      <c r="G808" s="237"/>
      <c r="H808" s="43"/>
      <c r="I808" s="24"/>
      <c r="J808" s="24"/>
      <c r="K808" s="25">
        <f>SUM(J605:J807)</f>
        <v>47216.69</v>
      </c>
      <c r="L808" s="23"/>
      <c r="M808" s="23"/>
      <c r="N808" s="42"/>
    </row>
    <row r="809" spans="1:14" s="12" customFormat="1" ht="18">
      <c r="A809" s="178" t="s">
        <v>97</v>
      </c>
      <c r="B809" s="75" t="s">
        <v>1855</v>
      </c>
      <c r="C809" s="412" t="s">
        <v>17</v>
      </c>
      <c r="D809" s="412"/>
      <c r="E809" s="412"/>
      <c r="F809" s="412"/>
      <c r="G809" s="412"/>
      <c r="H809" s="412">
        <v>0</v>
      </c>
      <c r="I809" s="17">
        <v>0</v>
      </c>
      <c r="J809" s="17">
        <v>0</v>
      </c>
      <c r="K809" s="286"/>
      <c r="L809" s="16" t="s">
        <v>18</v>
      </c>
      <c r="M809" s="16" t="s">
        <v>22</v>
      </c>
      <c r="N809" s="39"/>
    </row>
    <row r="810" spans="1:14" s="12" customFormat="1" ht="25.5">
      <c r="A810" s="178" t="s">
        <v>97</v>
      </c>
      <c r="B810" s="75" t="s">
        <v>1681</v>
      </c>
      <c r="C810" s="39" t="s">
        <v>17</v>
      </c>
      <c r="D810" s="236"/>
      <c r="E810" s="236"/>
      <c r="F810" s="236"/>
      <c r="G810" s="236"/>
      <c r="H810" s="40">
        <v>0</v>
      </c>
      <c r="I810" s="17">
        <v>0</v>
      </c>
      <c r="J810" s="17">
        <v>0</v>
      </c>
      <c r="K810" s="17"/>
      <c r="L810" s="16" t="s">
        <v>18</v>
      </c>
      <c r="M810" s="16" t="s">
        <v>22</v>
      </c>
      <c r="N810" s="39"/>
    </row>
    <row r="811" spans="1:14" s="12" customFormat="1" ht="18">
      <c r="A811" s="178" t="s">
        <v>97</v>
      </c>
      <c r="B811" s="75" t="s">
        <v>227</v>
      </c>
      <c r="C811" s="39" t="s">
        <v>17</v>
      </c>
      <c r="D811" s="236"/>
      <c r="E811" s="236"/>
      <c r="F811" s="236"/>
      <c r="G811" s="236"/>
      <c r="H811" s="40">
        <f>SUM(Tabla132112413[[#This Row],[PRIMER TRIMESTRE]:[CUARTO TRIMESTRE]])</f>
        <v>0</v>
      </c>
      <c r="I811" s="17">
        <v>110.2</v>
      </c>
      <c r="J811" s="17">
        <f>+Tabla132112413[[#This Row],[CANTIDAD TOTAL]]*Tabla132112413[[#This Row],[PRECIO UNITARIO ESTIMADO]]</f>
        <v>0</v>
      </c>
      <c r="K811" s="17"/>
      <c r="L811" s="16" t="s">
        <v>18</v>
      </c>
      <c r="M811" s="16" t="s">
        <v>22</v>
      </c>
      <c r="N811" s="39"/>
    </row>
    <row r="812" spans="1:14" s="12" customFormat="1" ht="18">
      <c r="A812" s="178" t="s">
        <v>97</v>
      </c>
      <c r="B812" s="75" t="s">
        <v>1235</v>
      </c>
      <c r="C812" s="39" t="s">
        <v>17</v>
      </c>
      <c r="D812" s="236"/>
      <c r="E812" s="236"/>
      <c r="F812" s="236"/>
      <c r="G812" s="236"/>
      <c r="H812" s="40">
        <f>SUM(Tabla132112413[[#This Row],[PRIMER TRIMESTRE]:[CUARTO TRIMESTRE]])</f>
        <v>0</v>
      </c>
      <c r="I812" s="17">
        <v>156.5</v>
      </c>
      <c r="J812" s="17">
        <f t="shared" ref="J812:J819" si="22">+H812*I812</f>
        <v>0</v>
      </c>
      <c r="K812" s="17"/>
      <c r="L812" s="16" t="s">
        <v>18</v>
      </c>
      <c r="M812" s="16" t="s">
        <v>22</v>
      </c>
      <c r="N812" s="39"/>
    </row>
    <row r="813" spans="1:14" s="12" customFormat="1" ht="18">
      <c r="A813" s="178" t="s">
        <v>97</v>
      </c>
      <c r="B813" s="75" t="s">
        <v>1236</v>
      </c>
      <c r="C813" s="39" t="s">
        <v>17</v>
      </c>
      <c r="D813" s="236"/>
      <c r="E813" s="236"/>
      <c r="F813" s="236"/>
      <c r="G813" s="236"/>
      <c r="H813" s="40">
        <f>SUM(Tabla132112413[[#This Row],[PRIMER TRIMESTRE]:[CUARTO TRIMESTRE]])</f>
        <v>0</v>
      </c>
      <c r="I813" s="17">
        <v>156.5</v>
      </c>
      <c r="J813" s="17">
        <f t="shared" si="22"/>
        <v>0</v>
      </c>
      <c r="K813" s="17"/>
      <c r="L813" s="16" t="s">
        <v>18</v>
      </c>
      <c r="M813" s="16" t="s">
        <v>22</v>
      </c>
      <c r="N813" s="39"/>
    </row>
    <row r="814" spans="1:14" s="12" customFormat="1" ht="18">
      <c r="A814" s="178" t="s">
        <v>97</v>
      </c>
      <c r="B814" s="75" t="s">
        <v>1334</v>
      </c>
      <c r="C814" s="39" t="s">
        <v>17</v>
      </c>
      <c r="D814" s="236"/>
      <c r="E814" s="236"/>
      <c r="F814" s="236"/>
      <c r="G814" s="236"/>
      <c r="H814" s="40">
        <f>SUM(Tabla132112413[[#This Row],[PRIMER TRIMESTRE]:[CUARTO TRIMESTRE]])</f>
        <v>0</v>
      </c>
      <c r="I814" s="17">
        <v>387.04</v>
      </c>
      <c r="J814" s="17">
        <f t="shared" si="22"/>
        <v>0</v>
      </c>
      <c r="K814" s="17"/>
      <c r="L814" s="16" t="s">
        <v>18</v>
      </c>
      <c r="M814" s="16" t="s">
        <v>22</v>
      </c>
      <c r="N814" s="39"/>
    </row>
    <row r="815" spans="1:14" s="12" customFormat="1" ht="18">
      <c r="A815" s="178" t="s">
        <v>97</v>
      </c>
      <c r="B815" s="75" t="s">
        <v>1237</v>
      </c>
      <c r="C815" s="39" t="s">
        <v>17</v>
      </c>
      <c r="D815" s="236"/>
      <c r="E815" s="236"/>
      <c r="F815" s="236"/>
      <c r="G815" s="236"/>
      <c r="H815" s="40">
        <f>SUM(Tabla132112413[[#This Row],[PRIMER TRIMESTRE]:[CUARTO TRIMESTRE]])</f>
        <v>0</v>
      </c>
      <c r="I815" s="17">
        <v>35000</v>
      </c>
      <c r="J815" s="17">
        <f t="shared" si="22"/>
        <v>0</v>
      </c>
      <c r="K815" s="17"/>
      <c r="L815" s="16" t="s">
        <v>18</v>
      </c>
      <c r="M815" s="16" t="s">
        <v>22</v>
      </c>
      <c r="N815" s="39"/>
    </row>
    <row r="816" spans="1:14" s="12" customFormat="1" ht="18">
      <c r="A816" s="178" t="s">
        <v>97</v>
      </c>
      <c r="B816" s="75" t="s">
        <v>1713</v>
      </c>
      <c r="C816" s="39" t="s">
        <v>17</v>
      </c>
      <c r="D816" s="236"/>
      <c r="E816" s="236"/>
      <c r="F816" s="236"/>
      <c r="G816" s="236"/>
      <c r="H816" s="40">
        <v>0</v>
      </c>
      <c r="I816" s="17">
        <v>0</v>
      </c>
      <c r="J816" s="17">
        <v>0</v>
      </c>
      <c r="K816" s="17"/>
      <c r="L816" s="16" t="s">
        <v>18</v>
      </c>
      <c r="M816" s="16" t="s">
        <v>22</v>
      </c>
      <c r="N816" s="39"/>
    </row>
    <row r="817" spans="1:14" s="12" customFormat="1" ht="18">
      <c r="A817" s="178" t="s">
        <v>97</v>
      </c>
      <c r="B817" s="75" t="s">
        <v>572</v>
      </c>
      <c r="C817" s="39" t="s">
        <v>17</v>
      </c>
      <c r="D817" s="236"/>
      <c r="E817" s="236"/>
      <c r="F817" s="236"/>
      <c r="G817" s="236"/>
      <c r="H817" s="40">
        <f>SUM(Tabla132112413[[#This Row],[PRIMER TRIMESTRE]:[CUARTO TRIMESTRE]])</f>
        <v>0</v>
      </c>
      <c r="I817" s="17">
        <v>25000</v>
      </c>
      <c r="J817" s="17">
        <f t="shared" si="22"/>
        <v>0</v>
      </c>
      <c r="K817" s="17"/>
      <c r="L817" s="16" t="s">
        <v>18</v>
      </c>
      <c r="M817" s="16" t="s">
        <v>22</v>
      </c>
      <c r="N817" s="39"/>
    </row>
    <row r="818" spans="1:14" s="12" customFormat="1" ht="18">
      <c r="A818" s="178" t="s">
        <v>97</v>
      </c>
      <c r="B818" s="75" t="s">
        <v>1238</v>
      </c>
      <c r="C818" s="39" t="s">
        <v>17</v>
      </c>
      <c r="D818" s="236"/>
      <c r="E818" s="236"/>
      <c r="F818" s="236"/>
      <c r="G818" s="236"/>
      <c r="H818" s="40">
        <f>SUM(Tabla132112413[[#This Row],[PRIMER TRIMESTRE]:[CUARTO TRIMESTRE]])</f>
        <v>0</v>
      </c>
      <c r="I818" s="17">
        <v>25000</v>
      </c>
      <c r="J818" s="17">
        <f t="shared" si="22"/>
        <v>0</v>
      </c>
      <c r="K818" s="17"/>
      <c r="L818" s="16" t="s">
        <v>18</v>
      </c>
      <c r="M818" s="16" t="s">
        <v>22</v>
      </c>
      <c r="N818" s="39"/>
    </row>
    <row r="819" spans="1:14" s="12" customFormat="1" ht="18">
      <c r="A819" s="178" t="s">
        <v>97</v>
      </c>
      <c r="B819" s="75" t="s">
        <v>1239</v>
      </c>
      <c r="C819" s="39" t="s">
        <v>17</v>
      </c>
      <c r="D819" s="236"/>
      <c r="E819" s="236"/>
      <c r="F819" s="236"/>
      <c r="G819" s="236"/>
      <c r="H819" s="40">
        <f>SUM(Tabla132112413[[#This Row],[PRIMER TRIMESTRE]:[CUARTO TRIMESTRE]])</f>
        <v>0</v>
      </c>
      <c r="I819" s="17">
        <v>25000</v>
      </c>
      <c r="J819" s="17">
        <f t="shared" si="22"/>
        <v>0</v>
      </c>
      <c r="K819" s="17"/>
      <c r="L819" s="16" t="s">
        <v>18</v>
      </c>
      <c r="M819" s="16" t="s">
        <v>22</v>
      </c>
      <c r="N819" s="39"/>
    </row>
    <row r="820" spans="1:14" s="12" customFormat="1" ht="18">
      <c r="A820" s="178" t="s">
        <v>97</v>
      </c>
      <c r="B820" s="75" t="s">
        <v>220</v>
      </c>
      <c r="C820" s="39" t="s">
        <v>17</v>
      </c>
      <c r="D820" s="236"/>
      <c r="E820" s="236"/>
      <c r="F820" s="236"/>
      <c r="G820" s="236"/>
      <c r="H820" s="40">
        <f>SUM(Tabla132112413[[#This Row],[PRIMER TRIMESTRE]:[CUARTO TRIMESTRE]])</f>
        <v>0</v>
      </c>
      <c r="I820" s="17">
        <v>40165</v>
      </c>
      <c r="J820" s="17">
        <f>+Tabla132112413[[#This Row],[CANTIDAD TOTAL]]*Tabla132112413[[#This Row],[PRECIO UNITARIO ESTIMADO]]</f>
        <v>0</v>
      </c>
      <c r="K820" s="17"/>
      <c r="L820" s="16" t="s">
        <v>18</v>
      </c>
      <c r="M820" s="16" t="s">
        <v>22</v>
      </c>
      <c r="N820" s="39"/>
    </row>
    <row r="821" spans="1:14" s="12" customFormat="1" ht="18">
      <c r="A821" s="178" t="s">
        <v>97</v>
      </c>
      <c r="B821" s="75" t="s">
        <v>213</v>
      </c>
      <c r="C821" s="39" t="s">
        <v>17</v>
      </c>
      <c r="D821" s="236"/>
      <c r="E821" s="236"/>
      <c r="F821" s="236"/>
      <c r="G821" s="236"/>
      <c r="H821" s="40">
        <f>SUM(Tabla132112413[[#This Row],[PRIMER TRIMESTRE]:[CUARTO TRIMESTRE]])</f>
        <v>0</v>
      </c>
      <c r="I821" s="17">
        <v>30999.38</v>
      </c>
      <c r="J821" s="17">
        <f>+Tabla132112413[[#This Row],[CANTIDAD TOTAL]]*Tabla132112413[[#This Row],[PRECIO UNITARIO ESTIMADO]]</f>
        <v>0</v>
      </c>
      <c r="K821" s="17"/>
      <c r="L821" s="16" t="s">
        <v>18</v>
      </c>
      <c r="M821" s="16" t="s">
        <v>22</v>
      </c>
      <c r="N821" s="39"/>
    </row>
    <row r="822" spans="1:14" s="12" customFormat="1" ht="18">
      <c r="A822" s="178" t="s">
        <v>97</v>
      </c>
      <c r="B822" s="75" t="s">
        <v>226</v>
      </c>
      <c r="C822" s="39" t="s">
        <v>17</v>
      </c>
      <c r="D822" s="236"/>
      <c r="E822" s="236"/>
      <c r="F822" s="236"/>
      <c r="G822" s="236"/>
      <c r="H822" s="40">
        <f>SUM(Tabla132112413[[#This Row],[PRIMER TRIMESTRE]:[CUARTO TRIMESTRE]])</f>
        <v>0</v>
      </c>
      <c r="I822" s="17">
        <v>14929.2</v>
      </c>
      <c r="J822" s="17">
        <f>+Tabla132112413[[#This Row],[CANTIDAD TOTAL]]*Tabla132112413[[#This Row],[PRECIO UNITARIO ESTIMADO]]</f>
        <v>0</v>
      </c>
      <c r="K822" s="17"/>
      <c r="L822" s="16" t="s">
        <v>18</v>
      </c>
      <c r="M822" s="16" t="s">
        <v>22</v>
      </c>
      <c r="N822" s="39"/>
    </row>
    <row r="823" spans="1:14" s="12" customFormat="1" ht="25.5">
      <c r="A823" s="178" t="s">
        <v>97</v>
      </c>
      <c r="B823" s="75" t="s">
        <v>1696</v>
      </c>
      <c r="C823" s="39" t="s">
        <v>17</v>
      </c>
      <c r="D823" s="236"/>
      <c r="E823" s="236"/>
      <c r="F823" s="236"/>
      <c r="G823" s="236"/>
      <c r="H823" s="40">
        <v>0</v>
      </c>
      <c r="I823" s="17">
        <v>0</v>
      </c>
      <c r="J823" s="17">
        <v>0</v>
      </c>
      <c r="K823" s="17"/>
      <c r="L823" s="16" t="s">
        <v>18</v>
      </c>
      <c r="M823" s="16" t="s">
        <v>22</v>
      </c>
      <c r="N823" s="39"/>
    </row>
    <row r="824" spans="1:14" s="12" customFormat="1" ht="38.25">
      <c r="A824" s="178" t="s">
        <v>97</v>
      </c>
      <c r="B824" s="75" t="s">
        <v>1697</v>
      </c>
      <c r="C824" s="39" t="s">
        <v>17</v>
      </c>
      <c r="D824" s="236"/>
      <c r="E824" s="236"/>
      <c r="F824" s="236"/>
      <c r="G824" s="236"/>
      <c r="H824" s="40">
        <v>0</v>
      </c>
      <c r="I824" s="17">
        <v>0</v>
      </c>
      <c r="J824" s="17">
        <v>0</v>
      </c>
      <c r="K824" s="17"/>
      <c r="L824" s="16" t="s">
        <v>18</v>
      </c>
      <c r="M824" s="16" t="s">
        <v>22</v>
      </c>
      <c r="N824" s="39"/>
    </row>
    <row r="825" spans="1:14" s="12" customFormat="1" ht="38.25">
      <c r="A825" s="178" t="s">
        <v>97</v>
      </c>
      <c r="B825" s="75" t="s">
        <v>1698</v>
      </c>
      <c r="C825" s="39" t="s">
        <v>17</v>
      </c>
      <c r="D825" s="236"/>
      <c r="E825" s="236"/>
      <c r="F825" s="236"/>
      <c r="G825" s="236"/>
      <c r="H825" s="40">
        <v>0</v>
      </c>
      <c r="I825" s="17">
        <v>0</v>
      </c>
      <c r="J825" s="17">
        <v>0</v>
      </c>
      <c r="K825" s="17"/>
      <c r="L825" s="16" t="s">
        <v>18</v>
      </c>
      <c r="M825" s="16" t="s">
        <v>22</v>
      </c>
      <c r="N825" s="39"/>
    </row>
    <row r="826" spans="1:14" s="12" customFormat="1" ht="18">
      <c r="A826" s="178" t="s">
        <v>97</v>
      </c>
      <c r="B826" s="75" t="s">
        <v>212</v>
      </c>
      <c r="C826" s="39" t="s">
        <v>17</v>
      </c>
      <c r="D826" s="236"/>
      <c r="E826" s="236"/>
      <c r="F826" s="236"/>
      <c r="G826" s="236"/>
      <c r="H826" s="40">
        <f>SUM(Tabla132112413[[#This Row],[PRIMER TRIMESTRE]:[CUARTO TRIMESTRE]])</f>
        <v>0</v>
      </c>
      <c r="I826" s="17">
        <v>280500</v>
      </c>
      <c r="J826" s="17">
        <f>+Tabla132112413[[#This Row],[CANTIDAD TOTAL]]*Tabla132112413[[#This Row],[PRECIO UNITARIO ESTIMADO]]</f>
        <v>0</v>
      </c>
      <c r="K826" s="17"/>
      <c r="L826" s="16" t="s">
        <v>18</v>
      </c>
      <c r="M826" s="16" t="s">
        <v>22</v>
      </c>
      <c r="N826" s="39"/>
    </row>
    <row r="827" spans="1:14" s="12" customFormat="1" ht="18">
      <c r="A827" s="178" t="s">
        <v>97</v>
      </c>
      <c r="B827" s="75" t="s">
        <v>214</v>
      </c>
      <c r="C827" s="39" t="s">
        <v>17</v>
      </c>
      <c r="D827" s="236"/>
      <c r="E827" s="236"/>
      <c r="F827" s="236"/>
      <c r="G827" s="236"/>
      <c r="H827" s="40">
        <f>SUM(Tabla132112413[[#This Row],[PRIMER TRIMESTRE]:[CUARTO TRIMESTRE]])</f>
        <v>0</v>
      </c>
      <c r="I827" s="17">
        <v>62762.6</v>
      </c>
      <c r="J827" s="17">
        <f>+Tabla132112413[[#This Row],[CANTIDAD TOTAL]]*Tabla132112413[[#This Row],[PRECIO UNITARIO ESTIMADO]]</f>
        <v>0</v>
      </c>
      <c r="K827" s="17"/>
      <c r="L827" s="16" t="s">
        <v>18</v>
      </c>
      <c r="M827" s="16" t="s">
        <v>22</v>
      </c>
      <c r="N827" s="39"/>
    </row>
    <row r="828" spans="1:14" s="12" customFormat="1" ht="18">
      <c r="A828" s="178" t="s">
        <v>97</v>
      </c>
      <c r="B828" s="75" t="s">
        <v>215</v>
      </c>
      <c r="C828" s="39" t="s">
        <v>17</v>
      </c>
      <c r="D828" s="236"/>
      <c r="E828" s="236"/>
      <c r="F828" s="236"/>
      <c r="G828" s="236"/>
      <c r="H828" s="40">
        <f>SUM(Tabla132112413[[#This Row],[PRIMER TRIMESTRE]:[CUARTO TRIMESTRE]])</f>
        <v>0</v>
      </c>
      <c r="I828" s="17">
        <v>14453.6</v>
      </c>
      <c r="J828" s="17">
        <f>+Tabla132112413[[#This Row],[CANTIDAD TOTAL]]*Tabla132112413[[#This Row],[PRECIO UNITARIO ESTIMADO]]</f>
        <v>0</v>
      </c>
      <c r="K828" s="17"/>
      <c r="L828" s="16" t="s">
        <v>18</v>
      </c>
      <c r="M828" s="16" t="s">
        <v>22</v>
      </c>
      <c r="N828" s="39"/>
    </row>
    <row r="829" spans="1:14" s="12" customFormat="1" ht="18">
      <c r="A829" s="178" t="s">
        <v>97</v>
      </c>
      <c r="B829" s="75" t="s">
        <v>216</v>
      </c>
      <c r="C829" s="39" t="s">
        <v>17</v>
      </c>
      <c r="D829" s="236"/>
      <c r="E829" s="236"/>
      <c r="F829" s="236"/>
      <c r="G829" s="236"/>
      <c r="H829" s="40">
        <f>SUM(Tabla132112413[[#This Row],[PRIMER TRIMESTRE]:[CUARTO TRIMESTRE]])</f>
        <v>0</v>
      </c>
      <c r="I829" s="17">
        <v>58701.8</v>
      </c>
      <c r="J829" s="17">
        <f>+Tabla132112413[[#This Row],[CANTIDAD TOTAL]]*Tabla132112413[[#This Row],[PRECIO UNITARIO ESTIMADO]]</f>
        <v>0</v>
      </c>
      <c r="K829" s="17"/>
      <c r="L829" s="16" t="s">
        <v>18</v>
      </c>
      <c r="M829" s="16" t="s">
        <v>22</v>
      </c>
      <c r="N829" s="39"/>
    </row>
    <row r="830" spans="1:14" s="12" customFormat="1" ht="25.5">
      <c r="A830" s="178" t="s">
        <v>97</v>
      </c>
      <c r="B830" s="75" t="s">
        <v>217</v>
      </c>
      <c r="C830" s="39" t="s">
        <v>17</v>
      </c>
      <c r="D830" s="236"/>
      <c r="E830" s="236"/>
      <c r="F830" s="236"/>
      <c r="G830" s="236"/>
      <c r="H830" s="40">
        <f>SUM(Tabla132112413[[#This Row],[PRIMER TRIMESTRE]:[CUARTO TRIMESTRE]])</f>
        <v>0</v>
      </c>
      <c r="I830" s="17">
        <v>36540</v>
      </c>
      <c r="J830" s="17">
        <f>+Tabla132112413[[#This Row],[CANTIDAD TOTAL]]*Tabla132112413[[#This Row],[PRECIO UNITARIO ESTIMADO]]</f>
        <v>0</v>
      </c>
      <c r="K830" s="17"/>
      <c r="L830" s="16" t="s">
        <v>18</v>
      </c>
      <c r="M830" s="16" t="s">
        <v>22</v>
      </c>
      <c r="N830" s="39"/>
    </row>
    <row r="831" spans="1:14" s="12" customFormat="1" ht="25.5">
      <c r="A831" s="178" t="s">
        <v>97</v>
      </c>
      <c r="B831" s="75" t="s">
        <v>218</v>
      </c>
      <c r="C831" s="39" t="s">
        <v>17</v>
      </c>
      <c r="D831" s="236"/>
      <c r="E831" s="236"/>
      <c r="F831" s="236"/>
      <c r="G831" s="236"/>
      <c r="H831" s="40">
        <f>SUM(Tabla132112413[[#This Row],[PRIMER TRIMESTRE]:[CUARTO TRIMESTRE]])</f>
        <v>0</v>
      </c>
      <c r="I831" s="17">
        <v>60262</v>
      </c>
      <c r="J831" s="17">
        <f>+Tabla132112413[[#This Row],[CANTIDAD TOTAL]]*Tabla132112413[[#This Row],[PRECIO UNITARIO ESTIMADO]]</f>
        <v>0</v>
      </c>
      <c r="K831" s="17"/>
      <c r="L831" s="16" t="s">
        <v>18</v>
      </c>
      <c r="M831" s="16" t="s">
        <v>22</v>
      </c>
      <c r="N831" s="39"/>
    </row>
    <row r="832" spans="1:14" s="12" customFormat="1" ht="25.5">
      <c r="A832" s="178" t="s">
        <v>97</v>
      </c>
      <c r="B832" s="75" t="s">
        <v>219</v>
      </c>
      <c r="C832" s="39" t="s">
        <v>17</v>
      </c>
      <c r="D832" s="236"/>
      <c r="E832" s="236"/>
      <c r="F832" s="236"/>
      <c r="G832" s="236"/>
      <c r="H832" s="40">
        <f>SUM(Tabla132112413[[#This Row],[PRIMER TRIMESTRE]:[CUARTO TRIMESTRE]])</f>
        <v>0</v>
      </c>
      <c r="I832" s="17">
        <v>59757.4</v>
      </c>
      <c r="J832" s="17">
        <f>+Tabla132112413[[#This Row],[CANTIDAD TOTAL]]*Tabla132112413[[#This Row],[PRECIO UNITARIO ESTIMADO]]</f>
        <v>0</v>
      </c>
      <c r="K832" s="17"/>
      <c r="L832" s="16" t="s">
        <v>18</v>
      </c>
      <c r="M832" s="16" t="s">
        <v>22</v>
      </c>
      <c r="N832" s="39"/>
    </row>
    <row r="833" spans="1:14" s="12" customFormat="1" ht="51">
      <c r="A833" s="178" t="s">
        <v>97</v>
      </c>
      <c r="B833" s="75" t="s">
        <v>1765</v>
      </c>
      <c r="C833" s="39" t="s">
        <v>17</v>
      </c>
      <c r="D833" s="236"/>
      <c r="E833" s="236"/>
      <c r="F833" s="236"/>
      <c r="G833" s="236"/>
      <c r="H833" s="40">
        <v>0</v>
      </c>
      <c r="I833" s="17">
        <v>0</v>
      </c>
      <c r="J833" s="17">
        <v>0</v>
      </c>
      <c r="K833" s="17"/>
      <c r="L833" s="16" t="s">
        <v>18</v>
      </c>
      <c r="M833" s="16" t="s">
        <v>22</v>
      </c>
      <c r="N833" s="39"/>
    </row>
    <row r="834" spans="1:14" s="12" customFormat="1" ht="51">
      <c r="A834" s="178" t="s">
        <v>97</v>
      </c>
      <c r="B834" s="75" t="s">
        <v>1766</v>
      </c>
      <c r="C834" s="39" t="s">
        <v>17</v>
      </c>
      <c r="D834" s="236"/>
      <c r="E834" s="236"/>
      <c r="F834" s="236"/>
      <c r="G834" s="236"/>
      <c r="H834" s="40">
        <v>0</v>
      </c>
      <c r="I834" s="17">
        <v>0</v>
      </c>
      <c r="J834" s="17">
        <v>0</v>
      </c>
      <c r="K834" s="17"/>
      <c r="L834" s="16" t="s">
        <v>18</v>
      </c>
      <c r="M834" s="16" t="s">
        <v>22</v>
      </c>
      <c r="N834" s="39"/>
    </row>
    <row r="835" spans="1:14" s="12" customFormat="1" ht="18">
      <c r="A835" s="178" t="s">
        <v>97</v>
      </c>
      <c r="B835" s="75" t="s">
        <v>317</v>
      </c>
      <c r="C835" s="39" t="s">
        <v>17</v>
      </c>
      <c r="D835" s="236"/>
      <c r="E835" s="236"/>
      <c r="F835" s="236"/>
      <c r="G835" s="236"/>
      <c r="H835" s="40">
        <f>SUM(Tabla132112413[[#This Row],[PRIMER TRIMESTRE]:[CUARTO TRIMESTRE]])</f>
        <v>0</v>
      </c>
      <c r="I835" s="17">
        <f>1252664.4/5</f>
        <v>250532.87999999998</v>
      </c>
      <c r="J835" s="17">
        <f>+Tabla132112413[[#This Row],[CANTIDAD TOTAL]]*Tabla132112413[[#This Row],[PRECIO UNITARIO ESTIMADO]]</f>
        <v>0</v>
      </c>
      <c r="K835" s="17"/>
      <c r="L835" s="16" t="s">
        <v>18</v>
      </c>
      <c r="M835" s="16" t="s">
        <v>22</v>
      </c>
      <c r="N835" s="39"/>
    </row>
    <row r="836" spans="1:14" s="12" customFormat="1" ht="18">
      <c r="A836" s="178" t="s">
        <v>97</v>
      </c>
      <c r="B836" s="75" t="s">
        <v>1462</v>
      </c>
      <c r="C836" s="39" t="s">
        <v>17</v>
      </c>
      <c r="D836" s="236"/>
      <c r="E836" s="236"/>
      <c r="F836" s="236"/>
      <c r="G836" s="236"/>
      <c r="H836" s="40">
        <f>SUM(Tabla132112413[[#This Row],[PRIMER TRIMESTRE]:[CUARTO TRIMESTRE]])</f>
        <v>0</v>
      </c>
      <c r="I836" s="17">
        <v>250532.68</v>
      </c>
      <c r="J836" s="17">
        <f t="shared" ref="J836:J865" si="23">+H836*I836</f>
        <v>0</v>
      </c>
      <c r="K836" s="17"/>
      <c r="L836" s="16" t="s">
        <v>15</v>
      </c>
      <c r="M836" s="16" t="s">
        <v>22</v>
      </c>
      <c r="N836" s="39"/>
    </row>
    <row r="837" spans="1:14" s="12" customFormat="1" ht="18">
      <c r="A837" s="178" t="s">
        <v>97</v>
      </c>
      <c r="B837" s="75" t="s">
        <v>1240</v>
      </c>
      <c r="C837" s="39" t="s">
        <v>17</v>
      </c>
      <c r="D837" s="236"/>
      <c r="E837" s="236"/>
      <c r="F837" s="236"/>
      <c r="G837" s="236"/>
      <c r="H837" s="40">
        <f>SUM(Tabla132112413[[#This Row],[PRIMER TRIMESTRE]:[CUARTO TRIMESTRE]])</f>
        <v>0</v>
      </c>
      <c r="I837" s="17">
        <v>2300000</v>
      </c>
      <c r="J837" s="17">
        <f t="shared" si="23"/>
        <v>0</v>
      </c>
      <c r="K837" s="17"/>
      <c r="L837" s="16" t="s">
        <v>18</v>
      </c>
      <c r="M837" s="16" t="s">
        <v>22</v>
      </c>
      <c r="N837" s="39"/>
    </row>
    <row r="838" spans="1:14" s="12" customFormat="1" ht="18">
      <c r="A838" s="178" t="s">
        <v>97</v>
      </c>
      <c r="B838" s="75" t="s">
        <v>1241</v>
      </c>
      <c r="C838" s="39" t="s">
        <v>17</v>
      </c>
      <c r="D838" s="236"/>
      <c r="E838" s="236"/>
      <c r="F838" s="236"/>
      <c r="G838" s="236"/>
      <c r="H838" s="40">
        <f>SUM(Tabla132112413[[#This Row],[PRIMER TRIMESTRE]:[CUARTO TRIMESTRE]])</f>
        <v>0</v>
      </c>
      <c r="I838" s="17">
        <v>950000</v>
      </c>
      <c r="J838" s="17">
        <f t="shared" si="23"/>
        <v>0</v>
      </c>
      <c r="K838" s="17"/>
      <c r="L838" s="16" t="s">
        <v>18</v>
      </c>
      <c r="M838" s="16" t="s">
        <v>22</v>
      </c>
      <c r="N838" s="39"/>
    </row>
    <row r="839" spans="1:14" s="12" customFormat="1" ht="18">
      <c r="A839" s="178" t="s">
        <v>97</v>
      </c>
      <c r="B839" s="75" t="s">
        <v>1242</v>
      </c>
      <c r="C839" s="39" t="s">
        <v>17</v>
      </c>
      <c r="D839" s="236"/>
      <c r="E839" s="236"/>
      <c r="F839" s="236"/>
      <c r="G839" s="236"/>
      <c r="H839" s="40">
        <f>SUM(Tabla132112413[[#This Row],[PRIMER TRIMESTRE]:[CUARTO TRIMESTRE]])</f>
        <v>0</v>
      </c>
      <c r="I839" s="17">
        <v>1800000</v>
      </c>
      <c r="J839" s="17">
        <f t="shared" si="23"/>
        <v>0</v>
      </c>
      <c r="K839" s="17"/>
      <c r="L839" s="16" t="s">
        <v>18</v>
      </c>
      <c r="M839" s="16" t="s">
        <v>22</v>
      </c>
      <c r="N839" s="39"/>
    </row>
    <row r="840" spans="1:14" s="12" customFormat="1" ht="18">
      <c r="A840" s="178" t="s">
        <v>97</v>
      </c>
      <c r="B840" s="75" t="s">
        <v>1243</v>
      </c>
      <c r="C840" s="39" t="s">
        <v>17</v>
      </c>
      <c r="D840" s="236"/>
      <c r="E840" s="236"/>
      <c r="F840" s="236"/>
      <c r="G840" s="236"/>
      <c r="H840" s="40">
        <f>SUM(Tabla132112413[[#This Row],[PRIMER TRIMESTRE]:[CUARTO TRIMESTRE]])</f>
        <v>0</v>
      </c>
      <c r="I840" s="17">
        <v>270000</v>
      </c>
      <c r="J840" s="17">
        <f t="shared" si="23"/>
        <v>0</v>
      </c>
      <c r="K840" s="17"/>
      <c r="L840" s="16" t="s">
        <v>18</v>
      </c>
      <c r="M840" s="16" t="s">
        <v>22</v>
      </c>
      <c r="N840" s="39"/>
    </row>
    <row r="841" spans="1:14" s="12" customFormat="1" ht="18">
      <c r="A841" s="178" t="s">
        <v>97</v>
      </c>
      <c r="B841" s="75" t="s">
        <v>1244</v>
      </c>
      <c r="C841" s="39" t="s">
        <v>17</v>
      </c>
      <c r="D841" s="236"/>
      <c r="E841" s="236"/>
      <c r="F841" s="236"/>
      <c r="G841" s="236"/>
      <c r="H841" s="40">
        <f>SUM(Tabla132112413[[#This Row],[PRIMER TRIMESTRE]:[CUARTO TRIMESTRE]])</f>
        <v>0</v>
      </c>
      <c r="I841" s="17">
        <v>398000</v>
      </c>
      <c r="J841" s="17">
        <f t="shared" si="23"/>
        <v>0</v>
      </c>
      <c r="K841" s="17"/>
      <c r="L841" s="16" t="s">
        <v>18</v>
      </c>
      <c r="M841" s="16" t="s">
        <v>22</v>
      </c>
      <c r="N841" s="39"/>
    </row>
    <row r="842" spans="1:14" s="12" customFormat="1" ht="18">
      <c r="A842" s="178" t="s">
        <v>97</v>
      </c>
      <c r="B842" s="75" t="s">
        <v>1245</v>
      </c>
      <c r="C842" s="39" t="s">
        <v>17</v>
      </c>
      <c r="D842" s="236"/>
      <c r="E842" s="236"/>
      <c r="F842" s="236"/>
      <c r="G842" s="236"/>
      <c r="H842" s="40">
        <f>SUM(Tabla132112413[[#This Row],[PRIMER TRIMESTRE]:[CUARTO TRIMESTRE]])</f>
        <v>0</v>
      </c>
      <c r="I842" s="17">
        <v>395000</v>
      </c>
      <c r="J842" s="17">
        <f t="shared" si="23"/>
        <v>0</v>
      </c>
      <c r="K842" s="17"/>
      <c r="L842" s="16" t="s">
        <v>18</v>
      </c>
      <c r="M842" s="16" t="s">
        <v>22</v>
      </c>
      <c r="N842" s="39"/>
    </row>
    <row r="843" spans="1:14" s="12" customFormat="1" ht="18">
      <c r="A843" s="178" t="s">
        <v>97</v>
      </c>
      <c r="B843" s="75" t="s">
        <v>1246</v>
      </c>
      <c r="C843" s="39" t="s">
        <v>17</v>
      </c>
      <c r="D843" s="236"/>
      <c r="E843" s="236"/>
      <c r="F843" s="236"/>
      <c r="G843" s="236"/>
      <c r="H843" s="40">
        <f>SUM(Tabla132112413[[#This Row],[PRIMER TRIMESTRE]:[CUARTO TRIMESTRE]])</f>
        <v>0</v>
      </c>
      <c r="I843" s="17">
        <v>390000</v>
      </c>
      <c r="J843" s="17">
        <f t="shared" si="23"/>
        <v>0</v>
      </c>
      <c r="K843" s="17"/>
      <c r="L843" s="16" t="s">
        <v>18</v>
      </c>
      <c r="M843" s="16" t="s">
        <v>22</v>
      </c>
      <c r="N843" s="39"/>
    </row>
    <row r="844" spans="1:14" s="12" customFormat="1" ht="18">
      <c r="A844" s="178" t="s">
        <v>97</v>
      </c>
      <c r="B844" s="75" t="s">
        <v>1247</v>
      </c>
      <c r="C844" s="39" t="s">
        <v>17</v>
      </c>
      <c r="D844" s="236"/>
      <c r="E844" s="236"/>
      <c r="F844" s="236"/>
      <c r="G844" s="236"/>
      <c r="H844" s="40">
        <f>SUM(Tabla132112413[[#This Row],[PRIMER TRIMESTRE]:[CUARTO TRIMESTRE]])</f>
        <v>0</v>
      </c>
      <c r="I844" s="17">
        <v>385000</v>
      </c>
      <c r="J844" s="17">
        <f t="shared" si="23"/>
        <v>0</v>
      </c>
      <c r="K844" s="17"/>
      <c r="L844" s="16" t="s">
        <v>18</v>
      </c>
      <c r="M844" s="16" t="s">
        <v>22</v>
      </c>
      <c r="N844" s="39"/>
    </row>
    <row r="845" spans="1:14" s="12" customFormat="1" ht="18">
      <c r="A845" s="178" t="s">
        <v>97</v>
      </c>
      <c r="B845" s="75" t="s">
        <v>1248</v>
      </c>
      <c r="C845" s="39" t="s">
        <v>17</v>
      </c>
      <c r="D845" s="236"/>
      <c r="E845" s="236"/>
      <c r="F845" s="236"/>
      <c r="G845" s="236"/>
      <c r="H845" s="40">
        <f>SUM(Tabla132112413[[#This Row],[PRIMER TRIMESTRE]:[CUARTO TRIMESTRE]])</f>
        <v>0</v>
      </c>
      <c r="I845" s="17">
        <v>290400</v>
      </c>
      <c r="J845" s="17">
        <f t="shared" si="23"/>
        <v>0</v>
      </c>
      <c r="K845" s="17"/>
      <c r="L845" s="16" t="s">
        <v>18</v>
      </c>
      <c r="M845" s="16" t="s">
        <v>22</v>
      </c>
      <c r="N845" s="39"/>
    </row>
    <row r="846" spans="1:14" s="12" customFormat="1" ht="18">
      <c r="A846" s="178" t="s">
        <v>97</v>
      </c>
      <c r="B846" s="75" t="s">
        <v>1249</v>
      </c>
      <c r="C846" s="39" t="s">
        <v>17</v>
      </c>
      <c r="D846" s="236"/>
      <c r="E846" s="236"/>
      <c r="F846" s="236"/>
      <c r="G846" s="236"/>
      <c r="H846" s="40">
        <f>SUM(Tabla132112413[[#This Row],[PRIMER TRIMESTRE]:[CUARTO TRIMESTRE]])</f>
        <v>0</v>
      </c>
      <c r="I846" s="17">
        <v>230000</v>
      </c>
      <c r="J846" s="17">
        <f t="shared" si="23"/>
        <v>0</v>
      </c>
      <c r="K846" s="17"/>
      <c r="L846" s="16" t="s">
        <v>18</v>
      </c>
      <c r="M846" s="16" t="s">
        <v>22</v>
      </c>
      <c r="N846" s="39"/>
    </row>
    <row r="847" spans="1:14" s="12" customFormat="1" ht="18">
      <c r="A847" s="178" t="s">
        <v>97</v>
      </c>
      <c r="B847" s="75" t="s">
        <v>1250</v>
      </c>
      <c r="C847" s="39" t="s">
        <v>17</v>
      </c>
      <c r="D847" s="236"/>
      <c r="E847" s="236"/>
      <c r="F847" s="236"/>
      <c r="G847" s="236"/>
      <c r="H847" s="40">
        <f>SUM(Tabla132112413[[#This Row],[PRIMER TRIMESTRE]:[CUARTO TRIMESTRE]])</f>
        <v>0</v>
      </c>
      <c r="I847" s="17">
        <v>13700</v>
      </c>
      <c r="J847" s="17">
        <f t="shared" si="23"/>
        <v>0</v>
      </c>
      <c r="K847" s="17"/>
      <c r="L847" s="16" t="s">
        <v>18</v>
      </c>
      <c r="M847" s="16" t="s">
        <v>22</v>
      </c>
      <c r="N847" s="39"/>
    </row>
    <row r="848" spans="1:14" s="12" customFormat="1" ht="18">
      <c r="A848" s="178" t="s">
        <v>97</v>
      </c>
      <c r="B848" s="75" t="s">
        <v>1251</v>
      </c>
      <c r="C848" s="39" t="s">
        <v>17</v>
      </c>
      <c r="D848" s="236"/>
      <c r="E848" s="236"/>
      <c r="F848" s="236"/>
      <c r="G848" s="236"/>
      <c r="H848" s="40">
        <f>SUM(Tabla132112413[[#This Row],[PRIMER TRIMESTRE]:[CUARTO TRIMESTRE]])</f>
        <v>0</v>
      </c>
      <c r="I848" s="17">
        <v>205000</v>
      </c>
      <c r="J848" s="17">
        <f t="shared" si="23"/>
        <v>0</v>
      </c>
      <c r="K848" s="17"/>
      <c r="L848" s="16" t="s">
        <v>18</v>
      </c>
      <c r="M848" s="16" t="s">
        <v>22</v>
      </c>
      <c r="N848" s="39"/>
    </row>
    <row r="849" spans="1:14" s="12" customFormat="1" ht="18">
      <c r="A849" s="178" t="s">
        <v>97</v>
      </c>
      <c r="B849" s="75" t="s">
        <v>1252</v>
      </c>
      <c r="C849" s="39" t="s">
        <v>17</v>
      </c>
      <c r="D849" s="236"/>
      <c r="E849" s="236"/>
      <c r="F849" s="236"/>
      <c r="G849" s="236"/>
      <c r="H849" s="40">
        <f>SUM(Tabla132112413[[#This Row],[PRIMER TRIMESTRE]:[CUARTO TRIMESTRE]])</f>
        <v>0</v>
      </c>
      <c r="I849" s="17">
        <v>170000</v>
      </c>
      <c r="J849" s="17">
        <f t="shared" si="23"/>
        <v>0</v>
      </c>
      <c r="K849" s="17"/>
      <c r="L849" s="16" t="s">
        <v>18</v>
      </c>
      <c r="M849" s="16" t="s">
        <v>22</v>
      </c>
      <c r="N849" s="39"/>
    </row>
    <row r="850" spans="1:14" s="12" customFormat="1" ht="18">
      <c r="A850" s="178" t="s">
        <v>97</v>
      </c>
      <c r="B850" s="75" t="s">
        <v>1253</v>
      </c>
      <c r="C850" s="39" t="s">
        <v>17</v>
      </c>
      <c r="D850" s="236"/>
      <c r="E850" s="236"/>
      <c r="F850" s="236"/>
      <c r="G850" s="236"/>
      <c r="H850" s="40">
        <f>SUM(Tabla132112413[[#This Row],[PRIMER TRIMESTRE]:[CUARTO TRIMESTRE]])</f>
        <v>0</v>
      </c>
      <c r="I850" s="17">
        <v>155000</v>
      </c>
      <c r="J850" s="17">
        <f t="shared" si="23"/>
        <v>0</v>
      </c>
      <c r="K850" s="17"/>
      <c r="L850" s="16" t="s">
        <v>18</v>
      </c>
      <c r="M850" s="16" t="s">
        <v>22</v>
      </c>
      <c r="N850" s="39"/>
    </row>
    <row r="851" spans="1:14" s="12" customFormat="1" ht="18">
      <c r="A851" s="178" t="s">
        <v>97</v>
      </c>
      <c r="B851" s="75" t="s">
        <v>1254</v>
      </c>
      <c r="C851" s="39" t="s">
        <v>17</v>
      </c>
      <c r="D851" s="236"/>
      <c r="E851" s="236"/>
      <c r="F851" s="236"/>
      <c r="G851" s="236"/>
      <c r="H851" s="40">
        <f>SUM(Tabla132112413[[#This Row],[PRIMER TRIMESTRE]:[CUARTO TRIMESTRE]])</f>
        <v>0</v>
      </c>
      <c r="I851" s="17">
        <v>140000</v>
      </c>
      <c r="J851" s="17">
        <f t="shared" si="23"/>
        <v>0</v>
      </c>
      <c r="K851" s="17"/>
      <c r="L851" s="16" t="s">
        <v>18</v>
      </c>
      <c r="M851" s="16" t="s">
        <v>22</v>
      </c>
      <c r="N851" s="39"/>
    </row>
    <row r="852" spans="1:14" s="12" customFormat="1" ht="18">
      <c r="A852" s="178" t="s">
        <v>97</v>
      </c>
      <c r="B852" s="75" t="s">
        <v>1255</v>
      </c>
      <c r="C852" s="39" t="s">
        <v>17</v>
      </c>
      <c r="D852" s="236"/>
      <c r="E852" s="236"/>
      <c r="F852" s="236"/>
      <c r="G852" s="236"/>
      <c r="H852" s="40">
        <f>SUM(Tabla132112413[[#This Row],[PRIMER TRIMESTRE]:[CUARTO TRIMESTRE]])</f>
        <v>0</v>
      </c>
      <c r="I852" s="17">
        <v>115000</v>
      </c>
      <c r="J852" s="17">
        <f t="shared" si="23"/>
        <v>0</v>
      </c>
      <c r="K852" s="17"/>
      <c r="L852" s="16" t="s">
        <v>18</v>
      </c>
      <c r="M852" s="16" t="s">
        <v>22</v>
      </c>
      <c r="N852" s="39"/>
    </row>
    <row r="853" spans="1:14" s="12" customFormat="1" ht="18">
      <c r="A853" s="178" t="s">
        <v>97</v>
      </c>
      <c r="B853" s="75" t="s">
        <v>1256</v>
      </c>
      <c r="C853" s="39" t="s">
        <v>17</v>
      </c>
      <c r="D853" s="236"/>
      <c r="E853" s="236"/>
      <c r="F853" s="236"/>
      <c r="G853" s="236"/>
      <c r="H853" s="40">
        <f>SUM(Tabla132112413[[#This Row],[PRIMER TRIMESTRE]:[CUARTO TRIMESTRE]])</f>
        <v>0</v>
      </c>
      <c r="I853" s="17">
        <v>100000</v>
      </c>
      <c r="J853" s="17">
        <f t="shared" si="23"/>
        <v>0</v>
      </c>
      <c r="K853" s="17"/>
      <c r="L853" s="16" t="s">
        <v>18</v>
      </c>
      <c r="M853" s="16" t="s">
        <v>22</v>
      </c>
      <c r="N853" s="39"/>
    </row>
    <row r="854" spans="1:14" s="12" customFormat="1" ht="18">
      <c r="A854" s="178" t="s">
        <v>97</v>
      </c>
      <c r="B854" s="75" t="s">
        <v>1257</v>
      </c>
      <c r="C854" s="39" t="s">
        <v>17</v>
      </c>
      <c r="D854" s="236"/>
      <c r="E854" s="236"/>
      <c r="F854" s="236"/>
      <c r="G854" s="236"/>
      <c r="H854" s="40">
        <f>SUM(Tabla132112413[[#This Row],[PRIMER TRIMESTRE]:[CUARTO TRIMESTRE]])</f>
        <v>0</v>
      </c>
      <c r="I854" s="17">
        <v>80000</v>
      </c>
      <c r="J854" s="17">
        <f t="shared" si="23"/>
        <v>0</v>
      </c>
      <c r="K854" s="17"/>
      <c r="L854" s="16" t="s">
        <v>18</v>
      </c>
      <c r="M854" s="16" t="s">
        <v>22</v>
      </c>
      <c r="N854" s="39"/>
    </row>
    <row r="855" spans="1:14" s="12" customFormat="1" ht="18">
      <c r="A855" s="178" t="s">
        <v>97</v>
      </c>
      <c r="B855" s="75" t="s">
        <v>1258</v>
      </c>
      <c r="C855" s="39" t="s">
        <v>17</v>
      </c>
      <c r="D855" s="236"/>
      <c r="E855" s="236"/>
      <c r="F855" s="236"/>
      <c r="G855" s="236"/>
      <c r="H855" s="40">
        <f>SUM(Tabla132112413[[#This Row],[PRIMER TRIMESTRE]:[CUARTO TRIMESTRE]])</f>
        <v>0</v>
      </c>
      <c r="I855" s="17">
        <v>65000</v>
      </c>
      <c r="J855" s="17">
        <f t="shared" si="23"/>
        <v>0</v>
      </c>
      <c r="K855" s="17"/>
      <c r="L855" s="16" t="s">
        <v>18</v>
      </c>
      <c r="M855" s="16" t="s">
        <v>22</v>
      </c>
      <c r="N855" s="39"/>
    </row>
    <row r="856" spans="1:14" s="12" customFormat="1" ht="18">
      <c r="A856" s="178" t="s">
        <v>97</v>
      </c>
      <c r="B856" s="75" t="s">
        <v>1259</v>
      </c>
      <c r="C856" s="39" t="s">
        <v>17</v>
      </c>
      <c r="D856" s="236"/>
      <c r="E856" s="236"/>
      <c r="F856" s="236"/>
      <c r="G856" s="236"/>
      <c r="H856" s="40">
        <f>SUM(Tabla132112413[[#This Row],[PRIMER TRIMESTRE]:[CUARTO TRIMESTRE]])</f>
        <v>0</v>
      </c>
      <c r="I856" s="17">
        <v>50000</v>
      </c>
      <c r="J856" s="17">
        <f t="shared" si="23"/>
        <v>0</v>
      </c>
      <c r="K856" s="17"/>
      <c r="L856" s="16" t="s">
        <v>18</v>
      </c>
      <c r="M856" s="16" t="s">
        <v>22</v>
      </c>
      <c r="N856" s="39"/>
    </row>
    <row r="857" spans="1:14" s="12" customFormat="1" ht="18">
      <c r="A857" s="178" t="s">
        <v>97</v>
      </c>
      <c r="B857" s="75" t="s">
        <v>1260</v>
      </c>
      <c r="C857" s="39" t="s">
        <v>17</v>
      </c>
      <c r="D857" s="236"/>
      <c r="E857" s="236"/>
      <c r="F857" s="236"/>
      <c r="G857" s="236"/>
      <c r="H857" s="40">
        <f>SUM(Tabla132112413[[#This Row],[PRIMER TRIMESTRE]:[CUARTO TRIMESTRE]])</f>
        <v>0</v>
      </c>
      <c r="I857" s="17">
        <v>45000</v>
      </c>
      <c r="J857" s="17">
        <f t="shared" si="23"/>
        <v>0</v>
      </c>
      <c r="K857" s="17"/>
      <c r="L857" s="16" t="s">
        <v>18</v>
      </c>
      <c r="M857" s="16" t="s">
        <v>22</v>
      </c>
      <c r="N857" s="39"/>
    </row>
    <row r="858" spans="1:14" s="12" customFormat="1" ht="18">
      <c r="A858" s="178" t="s">
        <v>97</v>
      </c>
      <c r="B858" s="75" t="s">
        <v>1261</v>
      </c>
      <c r="C858" s="39" t="s">
        <v>17</v>
      </c>
      <c r="D858" s="236"/>
      <c r="E858" s="236"/>
      <c r="F858" s="236"/>
      <c r="G858" s="236"/>
      <c r="H858" s="40">
        <f>SUM(Tabla132112413[[#This Row],[PRIMER TRIMESTRE]:[CUARTO TRIMESTRE]])</f>
        <v>0</v>
      </c>
      <c r="I858" s="17">
        <v>40000</v>
      </c>
      <c r="J858" s="17">
        <f t="shared" si="23"/>
        <v>0</v>
      </c>
      <c r="K858" s="17"/>
      <c r="L858" s="16" t="s">
        <v>18</v>
      </c>
      <c r="M858" s="16" t="s">
        <v>22</v>
      </c>
      <c r="N858" s="39"/>
    </row>
    <row r="859" spans="1:14" s="12" customFormat="1" ht="18">
      <c r="A859" s="178" t="s">
        <v>97</v>
      </c>
      <c r="B859" s="75" t="s">
        <v>1262</v>
      </c>
      <c r="C859" s="39" t="s">
        <v>17</v>
      </c>
      <c r="D859" s="236"/>
      <c r="E859" s="236"/>
      <c r="F859" s="236"/>
      <c r="G859" s="236"/>
      <c r="H859" s="40">
        <f>SUM(Tabla132112413[[#This Row],[PRIMER TRIMESTRE]:[CUARTO TRIMESTRE]])</f>
        <v>0</v>
      </c>
      <c r="I859" s="17">
        <v>30000</v>
      </c>
      <c r="J859" s="17">
        <f t="shared" si="23"/>
        <v>0</v>
      </c>
      <c r="K859" s="17"/>
      <c r="L859" s="16" t="s">
        <v>18</v>
      </c>
      <c r="M859" s="16" t="s">
        <v>22</v>
      </c>
      <c r="N859" s="39"/>
    </row>
    <row r="860" spans="1:14" s="12" customFormat="1" ht="18">
      <c r="A860" s="178" t="s">
        <v>97</v>
      </c>
      <c r="B860" s="75" t="s">
        <v>1263</v>
      </c>
      <c r="C860" s="39" t="s">
        <v>17</v>
      </c>
      <c r="D860" s="236"/>
      <c r="E860" s="236"/>
      <c r="F860" s="236"/>
      <c r="G860" s="236"/>
      <c r="H860" s="40">
        <f>SUM(Tabla132112413[[#This Row],[PRIMER TRIMESTRE]:[CUARTO TRIMESTRE]])</f>
        <v>0</v>
      </c>
      <c r="I860" s="17">
        <v>26000</v>
      </c>
      <c r="J860" s="17">
        <f t="shared" si="23"/>
        <v>0</v>
      </c>
      <c r="K860" s="17"/>
      <c r="L860" s="16" t="s">
        <v>18</v>
      </c>
      <c r="M860" s="16" t="s">
        <v>22</v>
      </c>
      <c r="N860" s="39"/>
    </row>
    <row r="861" spans="1:14" s="12" customFormat="1" ht="18">
      <c r="A861" s="178" t="s">
        <v>97</v>
      </c>
      <c r="B861" s="75" t="s">
        <v>1264</v>
      </c>
      <c r="C861" s="39" t="s">
        <v>17</v>
      </c>
      <c r="D861" s="236"/>
      <c r="E861" s="236"/>
      <c r="F861" s="236"/>
      <c r="G861" s="236"/>
      <c r="H861" s="40">
        <f>SUM(Tabla132112413[[#This Row],[PRIMER TRIMESTRE]:[CUARTO TRIMESTRE]])</f>
        <v>0</v>
      </c>
      <c r="I861" s="17">
        <v>24000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</row>
    <row r="862" spans="1:14" s="12" customFormat="1" ht="18">
      <c r="A862" s="178" t="s">
        <v>97</v>
      </c>
      <c r="B862" s="75" t="s">
        <v>1265</v>
      </c>
      <c r="C862" s="39" t="s">
        <v>17</v>
      </c>
      <c r="D862" s="236"/>
      <c r="E862" s="236"/>
      <c r="F862" s="236"/>
      <c r="G862" s="236"/>
      <c r="H862" s="40">
        <f>SUM(Tabla132112413[[#This Row],[PRIMER TRIMESTRE]:[CUARTO TRIMESTRE]])</f>
        <v>0</v>
      </c>
      <c r="I862" s="17">
        <v>20000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</row>
    <row r="863" spans="1:14" s="12" customFormat="1" ht="18">
      <c r="A863" s="178" t="s">
        <v>97</v>
      </c>
      <c r="B863" s="75" t="s">
        <v>1266</v>
      </c>
      <c r="C863" s="39" t="s">
        <v>17</v>
      </c>
      <c r="D863" s="236"/>
      <c r="E863" s="236"/>
      <c r="F863" s="236"/>
      <c r="G863" s="236"/>
      <c r="H863" s="40">
        <f>SUM(Tabla132112413[[#This Row],[PRIMER TRIMESTRE]:[CUARTO TRIMESTRE]])</f>
        <v>0</v>
      </c>
      <c r="I863" s="17">
        <v>18000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</row>
    <row r="864" spans="1:14" s="12" customFormat="1" ht="18">
      <c r="A864" s="178" t="s">
        <v>97</v>
      </c>
      <c r="B864" s="75" t="s">
        <v>1267</v>
      </c>
      <c r="C864" s="39" t="s">
        <v>17</v>
      </c>
      <c r="D864" s="236"/>
      <c r="E864" s="236"/>
      <c r="F864" s="236"/>
      <c r="G864" s="236"/>
      <c r="H864" s="40">
        <f>SUM(Tabla132112413[[#This Row],[PRIMER TRIMESTRE]:[CUARTO TRIMESTRE]])</f>
        <v>0</v>
      </c>
      <c r="I864" s="17">
        <v>15000</v>
      </c>
      <c r="J864" s="17">
        <f t="shared" si="23"/>
        <v>0</v>
      </c>
      <c r="K864" s="17"/>
      <c r="L864" s="16" t="s">
        <v>18</v>
      </c>
      <c r="M864" s="16" t="s">
        <v>22</v>
      </c>
      <c r="N864" s="39"/>
    </row>
    <row r="865" spans="1:14" s="12" customFormat="1" ht="30.75" customHeight="1">
      <c r="A865" s="178" t="s">
        <v>97</v>
      </c>
      <c r="B865" s="75" t="s">
        <v>1268</v>
      </c>
      <c r="C865" s="39" t="s">
        <v>17</v>
      </c>
      <c r="D865" s="236"/>
      <c r="E865" s="236"/>
      <c r="F865" s="236"/>
      <c r="G865" s="236"/>
      <c r="H865" s="40">
        <f>SUM(Tabla132112413[[#This Row],[PRIMER TRIMESTRE]:[CUARTO TRIMESTRE]])</f>
        <v>0</v>
      </c>
      <c r="I865" s="17">
        <v>61000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</row>
    <row r="866" spans="1:14" s="12" customFormat="1" ht="30.75" customHeight="1">
      <c r="A866" s="178" t="s">
        <v>97</v>
      </c>
      <c r="B866" s="75" t="s">
        <v>221</v>
      </c>
      <c r="C866" s="39" t="s">
        <v>17</v>
      </c>
      <c r="D866" s="236"/>
      <c r="E866" s="236"/>
      <c r="F866" s="236"/>
      <c r="G866" s="236"/>
      <c r="H866" s="40">
        <f>SUM(Tabla132112413[[#This Row],[PRIMER TRIMESTRE]:[CUARTO TRIMESTRE]])</f>
        <v>0</v>
      </c>
      <c r="I866" s="17">
        <v>100060.44</v>
      </c>
      <c r="J866" s="17">
        <f>+Tabla132112413[[#This Row],[CANTIDAD TOTAL]]*Tabla132112413[[#This Row],[PRECIO UNITARIO ESTIMADO]]</f>
        <v>0</v>
      </c>
      <c r="K866" s="17"/>
      <c r="L866" s="16" t="s">
        <v>18</v>
      </c>
      <c r="M866" s="16" t="s">
        <v>22</v>
      </c>
      <c r="N866" s="39"/>
    </row>
    <row r="867" spans="1:14" s="12" customFormat="1" ht="30.75" customHeight="1">
      <c r="A867" s="178" t="s">
        <v>97</v>
      </c>
      <c r="B867" s="75" t="s">
        <v>222</v>
      </c>
      <c r="C867" s="39" t="s">
        <v>17</v>
      </c>
      <c r="D867" s="236"/>
      <c r="E867" s="236"/>
      <c r="F867" s="236"/>
      <c r="G867" s="236"/>
      <c r="H867" s="40">
        <f>SUM(Tabla132112413[[#This Row],[PRIMER TRIMESTRE]:[CUARTO TRIMESTRE]])</f>
        <v>0</v>
      </c>
      <c r="I867" s="17">
        <v>327948.84999999998</v>
      </c>
      <c r="J867" s="17">
        <f>+Tabla132112413[[#This Row],[CANTIDAD TOTAL]]*Tabla132112413[[#This Row],[PRECIO UNITARIO ESTIMADO]]</f>
        <v>0</v>
      </c>
      <c r="K867" s="17"/>
      <c r="L867" s="16" t="s">
        <v>18</v>
      </c>
      <c r="M867" s="16" t="s">
        <v>22</v>
      </c>
      <c r="N867" s="39"/>
    </row>
    <row r="868" spans="1:14" s="12" customFormat="1" ht="30.75" customHeight="1">
      <c r="A868" s="178" t="s">
        <v>97</v>
      </c>
      <c r="B868" s="75" t="s">
        <v>223</v>
      </c>
      <c r="C868" s="39" t="s">
        <v>17</v>
      </c>
      <c r="D868" s="236"/>
      <c r="E868" s="236"/>
      <c r="F868" s="236"/>
      <c r="G868" s="236"/>
      <c r="H868" s="40">
        <f>SUM(Tabla132112413[[#This Row],[PRIMER TRIMESTRE]:[CUARTO TRIMESTRE]])</f>
        <v>0</v>
      </c>
      <c r="I868" s="17">
        <v>16744.599999999999</v>
      </c>
      <c r="J868" s="17">
        <f>+Tabla132112413[[#This Row],[CANTIDAD TOTAL]]*Tabla132112413[[#This Row],[PRECIO UNITARIO ESTIMADO]]</f>
        <v>0</v>
      </c>
      <c r="K868" s="17"/>
      <c r="L868" s="16" t="s">
        <v>18</v>
      </c>
      <c r="M868" s="16" t="s">
        <v>22</v>
      </c>
      <c r="N868" s="39"/>
    </row>
    <row r="869" spans="1:14" s="26" customFormat="1" ht="30.75" customHeight="1">
      <c r="A869" s="178" t="s">
        <v>97</v>
      </c>
      <c r="B869" s="75" t="s">
        <v>224</v>
      </c>
      <c r="C869" s="39" t="s">
        <v>17</v>
      </c>
      <c r="D869" s="236"/>
      <c r="E869" s="236"/>
      <c r="F869" s="236"/>
      <c r="G869" s="236"/>
      <c r="H869" s="40">
        <f>SUM(Tabla132112413[[#This Row],[PRIMER TRIMESTRE]:[CUARTO TRIMESTRE]])</f>
        <v>0</v>
      </c>
      <c r="I869" s="17">
        <v>52380.2</v>
      </c>
      <c r="J869" s="17">
        <f>+Tabla132112413[[#This Row],[CANTIDAD TOTAL]]*Tabla132112413[[#This Row],[PRECIO UNITARIO ESTIMADO]]</f>
        <v>0</v>
      </c>
      <c r="K869" s="17"/>
      <c r="L869" s="16" t="s">
        <v>18</v>
      </c>
      <c r="M869" s="16" t="s">
        <v>22</v>
      </c>
      <c r="N869" s="39"/>
    </row>
    <row r="870" spans="1:14" s="26" customFormat="1" ht="30.75" customHeight="1">
      <c r="A870" s="178" t="s">
        <v>97</v>
      </c>
      <c r="B870" s="75" t="s">
        <v>225</v>
      </c>
      <c r="C870" s="39" t="s">
        <v>17</v>
      </c>
      <c r="D870" s="236"/>
      <c r="E870" s="236"/>
      <c r="F870" s="236"/>
      <c r="G870" s="236"/>
      <c r="H870" s="40">
        <f>SUM(Tabla132112413[[#This Row],[PRIMER TRIMESTRE]:[CUARTO TRIMESTRE]])</f>
        <v>0</v>
      </c>
      <c r="I870" s="17">
        <v>99342.399999999994</v>
      </c>
      <c r="J870" s="17">
        <f>+Tabla132112413[[#This Row],[CANTIDAD TOTAL]]*Tabla132112413[[#This Row],[PRECIO UNITARIO ESTIMADO]]</f>
        <v>0</v>
      </c>
      <c r="K870" s="17"/>
      <c r="L870" s="16" t="s">
        <v>18</v>
      </c>
      <c r="M870" s="16" t="s">
        <v>22</v>
      </c>
      <c r="N870" s="39"/>
    </row>
    <row r="871" spans="1:14" s="26" customFormat="1" ht="30.75" customHeight="1">
      <c r="A871" s="179" t="s">
        <v>97</v>
      </c>
      <c r="B871" s="76"/>
      <c r="C871" s="42"/>
      <c r="D871" s="237"/>
      <c r="E871" s="237"/>
      <c r="F871" s="237"/>
      <c r="G871" s="237"/>
      <c r="H871" s="43"/>
      <c r="I871" s="24"/>
      <c r="J871" s="24"/>
      <c r="K871" s="25">
        <f>SUM(J811:J870)</f>
        <v>0</v>
      </c>
      <c r="L871" s="23"/>
      <c r="M871" s="23"/>
      <c r="N871" s="42"/>
    </row>
    <row r="872" spans="1:14" s="26" customFormat="1" ht="30.75" customHeight="1">
      <c r="A872" s="178" t="s">
        <v>948</v>
      </c>
      <c r="B872" s="75" t="s">
        <v>949</v>
      </c>
      <c r="C872" s="39" t="s">
        <v>17</v>
      </c>
      <c r="D872" s="236"/>
      <c r="E872" s="236"/>
      <c r="F872" s="236"/>
      <c r="G872" s="236"/>
      <c r="H872" s="40">
        <f>SUM(Tabla132112413[[#This Row],[PRIMER TRIMESTRE]:[CUARTO TRIMESTRE]])</f>
        <v>0</v>
      </c>
      <c r="I872" s="17">
        <v>227000</v>
      </c>
      <c r="J872" s="17">
        <f t="shared" ref="J872:J883" si="24">+H872*I872</f>
        <v>0</v>
      </c>
      <c r="K872" s="17"/>
      <c r="L872" s="16" t="s">
        <v>18</v>
      </c>
      <c r="M872" s="16" t="s">
        <v>22</v>
      </c>
      <c r="N872" s="16"/>
    </row>
    <row r="873" spans="1:14" s="26" customFormat="1" ht="30.75" customHeight="1">
      <c r="A873" s="178" t="s">
        <v>948</v>
      </c>
      <c r="B873" s="75" t="s">
        <v>950</v>
      </c>
      <c r="C873" s="39" t="s">
        <v>17</v>
      </c>
      <c r="D873" s="236"/>
      <c r="E873" s="236"/>
      <c r="F873" s="236"/>
      <c r="G873" s="236"/>
      <c r="H873" s="40">
        <f>SUM(Tabla132112413[[#This Row],[PRIMER TRIMESTRE]:[CUARTO TRIMESTRE]])</f>
        <v>0</v>
      </c>
      <c r="I873" s="17">
        <v>1118000</v>
      </c>
      <c r="J873" s="17">
        <f t="shared" si="24"/>
        <v>0</v>
      </c>
      <c r="K873" s="17"/>
      <c r="L873" s="16" t="s">
        <v>18</v>
      </c>
      <c r="M873" s="16" t="s">
        <v>22</v>
      </c>
      <c r="N873" s="16"/>
    </row>
    <row r="874" spans="1:14" s="26" customFormat="1" ht="30.75" customHeight="1">
      <c r="A874" s="178" t="s">
        <v>948</v>
      </c>
      <c r="B874" s="75" t="s">
        <v>952</v>
      </c>
      <c r="C874" s="39" t="s">
        <v>17</v>
      </c>
      <c r="D874" s="236"/>
      <c r="E874" s="236"/>
      <c r="F874" s="236"/>
      <c r="G874" s="236"/>
      <c r="H874" s="40">
        <f>SUM(Tabla132112413[[#This Row],[PRIMER TRIMESTRE]:[CUARTO TRIMESTRE]])</f>
        <v>0</v>
      </c>
      <c r="I874" s="17">
        <v>3200</v>
      </c>
      <c r="J874" s="17">
        <f t="shared" si="24"/>
        <v>0</v>
      </c>
      <c r="K874" s="17"/>
      <c r="L874" s="16" t="s">
        <v>18</v>
      </c>
      <c r="M874" s="16" t="s">
        <v>22</v>
      </c>
      <c r="N874" s="39"/>
    </row>
    <row r="875" spans="1:14" s="26" customFormat="1" ht="30.75" customHeight="1">
      <c r="A875" s="178" t="s">
        <v>948</v>
      </c>
      <c r="B875" s="75" t="s">
        <v>953</v>
      </c>
      <c r="C875" s="39" t="s">
        <v>17</v>
      </c>
      <c r="D875" s="236"/>
      <c r="E875" s="236"/>
      <c r="F875" s="236"/>
      <c r="G875" s="236"/>
      <c r="H875" s="40">
        <f>SUM(Tabla132112413[[#This Row],[PRIMER TRIMESTRE]:[CUARTO TRIMESTRE]])</f>
        <v>0</v>
      </c>
      <c r="I875" s="17">
        <v>96.7</v>
      </c>
      <c r="J875" s="17">
        <f t="shared" si="24"/>
        <v>0</v>
      </c>
      <c r="K875" s="17"/>
      <c r="L875" s="16" t="s">
        <v>18</v>
      </c>
      <c r="M875" s="16" t="s">
        <v>22</v>
      </c>
      <c r="N875" s="39"/>
    </row>
    <row r="876" spans="1:14" s="26" customFormat="1" ht="30.75" customHeight="1">
      <c r="A876" s="178" t="s">
        <v>948</v>
      </c>
      <c r="B876" s="75" t="s">
        <v>954</v>
      </c>
      <c r="C876" s="39" t="s">
        <v>17</v>
      </c>
      <c r="D876" s="236"/>
      <c r="E876" s="236"/>
      <c r="F876" s="236"/>
      <c r="G876" s="236"/>
      <c r="H876" s="40">
        <f>SUM(Tabla132112413[[#This Row],[PRIMER TRIMESTRE]:[CUARTO TRIMESTRE]])</f>
        <v>0</v>
      </c>
      <c r="I876" s="17">
        <v>113850</v>
      </c>
      <c r="J876" s="17">
        <f t="shared" si="24"/>
        <v>0</v>
      </c>
      <c r="K876" s="17"/>
      <c r="L876" s="16" t="s">
        <v>18</v>
      </c>
      <c r="M876" s="16" t="s">
        <v>22</v>
      </c>
      <c r="N876" s="39"/>
    </row>
    <row r="877" spans="1:14" s="26" customFormat="1" ht="30.75" customHeight="1">
      <c r="A877" s="178" t="s">
        <v>948</v>
      </c>
      <c r="B877" s="75" t="s">
        <v>955</v>
      </c>
      <c r="C877" s="39" t="s">
        <v>17</v>
      </c>
      <c r="D877" s="236"/>
      <c r="E877" s="236"/>
      <c r="F877" s="236"/>
      <c r="G877" s="236"/>
      <c r="H877" s="40">
        <f>SUM(Tabla132112413[[#This Row],[PRIMER TRIMESTRE]:[CUARTO TRIMESTRE]])</f>
        <v>0</v>
      </c>
      <c r="I877" s="17">
        <v>57914</v>
      </c>
      <c r="J877" s="17">
        <f t="shared" si="24"/>
        <v>0</v>
      </c>
      <c r="K877" s="17"/>
      <c r="L877" s="16" t="s">
        <v>18</v>
      </c>
      <c r="M877" s="16" t="s">
        <v>22</v>
      </c>
      <c r="N877" s="39"/>
    </row>
    <row r="878" spans="1:14" s="26" customFormat="1" ht="30.75" customHeight="1">
      <c r="A878" s="178" t="s">
        <v>948</v>
      </c>
      <c r="B878" s="75" t="s">
        <v>956</v>
      </c>
      <c r="C878" s="39" t="s">
        <v>17</v>
      </c>
      <c r="D878" s="236"/>
      <c r="E878" s="236"/>
      <c r="F878" s="236"/>
      <c r="G878" s="236"/>
      <c r="H878" s="40">
        <f>SUM(Tabla132112413[[#This Row],[PRIMER TRIMESTRE]:[CUARTO TRIMESTRE]])</f>
        <v>0</v>
      </c>
      <c r="I878" s="17">
        <v>908000</v>
      </c>
      <c r="J878" s="17">
        <f t="shared" si="24"/>
        <v>0</v>
      </c>
      <c r="K878" s="17"/>
      <c r="L878" s="16" t="s">
        <v>18</v>
      </c>
      <c r="M878" s="16" t="s">
        <v>22</v>
      </c>
      <c r="N878" s="39"/>
    </row>
    <row r="879" spans="1:14" s="26" customFormat="1" ht="30.75" customHeight="1">
      <c r="A879" s="178" t="s">
        <v>948</v>
      </c>
      <c r="B879" s="75" t="s">
        <v>957</v>
      </c>
      <c r="C879" s="39" t="s">
        <v>17</v>
      </c>
      <c r="D879" s="236"/>
      <c r="E879" s="236"/>
      <c r="F879" s="236"/>
      <c r="G879" s="236"/>
      <c r="H879" s="40">
        <f>SUM(Tabla132112413[[#This Row],[PRIMER TRIMESTRE]:[CUARTO TRIMESTRE]])</f>
        <v>0</v>
      </c>
      <c r="I879" s="17">
        <v>10000</v>
      </c>
      <c r="J879" s="17">
        <f t="shared" si="24"/>
        <v>0</v>
      </c>
      <c r="K879" s="17"/>
      <c r="L879" s="16" t="s">
        <v>18</v>
      </c>
      <c r="M879" s="16" t="s">
        <v>22</v>
      </c>
      <c r="N879" s="39"/>
    </row>
    <row r="880" spans="1:14" s="26" customFormat="1" ht="30.75" customHeight="1">
      <c r="A880" s="178" t="s">
        <v>948</v>
      </c>
      <c r="B880" s="75" t="s">
        <v>958</v>
      </c>
      <c r="C880" s="39" t="s">
        <v>17</v>
      </c>
      <c r="D880" s="236"/>
      <c r="E880" s="236"/>
      <c r="F880" s="236"/>
      <c r="G880" s="236"/>
      <c r="H880" s="40">
        <f>SUM(Tabla132112413[[#This Row],[PRIMER TRIMESTRE]:[CUARTO TRIMESTRE]])</f>
        <v>0</v>
      </c>
      <c r="I880" s="17">
        <v>37500</v>
      </c>
      <c r="J880" s="17">
        <f t="shared" si="24"/>
        <v>0</v>
      </c>
      <c r="K880" s="17"/>
      <c r="L880" s="16" t="s">
        <v>18</v>
      </c>
      <c r="M880" s="16" t="s">
        <v>22</v>
      </c>
      <c r="N880" s="39"/>
    </row>
    <row r="881" spans="1:14" s="26" customFormat="1" ht="30.75" customHeight="1">
      <c r="A881" s="178" t="s">
        <v>948</v>
      </c>
      <c r="B881" s="75" t="s">
        <v>951</v>
      </c>
      <c r="C881" s="39" t="s">
        <v>17</v>
      </c>
      <c r="D881" s="236"/>
      <c r="E881" s="236"/>
      <c r="F881" s="236"/>
      <c r="G881" s="236"/>
      <c r="H881" s="40">
        <f>SUM(Tabla132112413[[#This Row],[PRIMER TRIMESTRE]:[CUARTO TRIMESTRE]])</f>
        <v>0</v>
      </c>
      <c r="I881" s="17">
        <v>120</v>
      </c>
      <c r="J881" s="17">
        <f t="shared" si="24"/>
        <v>0</v>
      </c>
      <c r="K881" s="17"/>
      <c r="L881" s="16" t="s">
        <v>18</v>
      </c>
      <c r="M881" s="16" t="s">
        <v>22</v>
      </c>
      <c r="N881" s="39"/>
    </row>
    <row r="882" spans="1:14" s="26" customFormat="1" ht="30.75" customHeight="1">
      <c r="A882" s="178" t="s">
        <v>948</v>
      </c>
      <c r="B882" s="75" t="s">
        <v>959</v>
      </c>
      <c r="C882" s="39" t="s">
        <v>17</v>
      </c>
      <c r="D882" s="236"/>
      <c r="E882" s="236"/>
      <c r="F882" s="236"/>
      <c r="G882" s="236"/>
      <c r="H882" s="40">
        <f>SUM(Tabla132112413[[#This Row],[PRIMER TRIMESTRE]:[CUARTO TRIMESTRE]])</f>
        <v>0</v>
      </c>
      <c r="I882" s="17">
        <v>2627</v>
      </c>
      <c r="J882" s="17">
        <f t="shared" si="24"/>
        <v>0</v>
      </c>
      <c r="K882" s="17"/>
      <c r="L882" s="16" t="s">
        <v>18</v>
      </c>
      <c r="M882" s="16" t="s">
        <v>22</v>
      </c>
      <c r="N882" s="39"/>
    </row>
    <row r="883" spans="1:14" s="12" customFormat="1" ht="30.75" customHeight="1">
      <c r="A883" s="178" t="s">
        <v>948</v>
      </c>
      <c r="B883" s="75" t="s">
        <v>963</v>
      </c>
      <c r="C883" s="39" t="s">
        <v>17</v>
      </c>
      <c r="D883" s="236"/>
      <c r="E883" s="236"/>
      <c r="F883" s="236"/>
      <c r="G883" s="236"/>
      <c r="H883" s="40">
        <f>SUM(Tabla132112413[[#This Row],[PRIMER TRIMESTRE]:[CUARTO TRIMESTRE]])</f>
        <v>0</v>
      </c>
      <c r="I883" s="17">
        <v>2552.54</v>
      </c>
      <c r="J883" s="17">
        <f t="shared" si="24"/>
        <v>0</v>
      </c>
      <c r="K883" s="17"/>
      <c r="L883" s="16" t="s">
        <v>18</v>
      </c>
      <c r="M883" s="16" t="s">
        <v>22</v>
      </c>
      <c r="N883" s="39"/>
    </row>
    <row r="884" spans="1:14" s="12" customFormat="1" ht="30.75" customHeight="1">
      <c r="A884" s="179" t="s">
        <v>948</v>
      </c>
      <c r="B884" s="76"/>
      <c r="C884" s="42"/>
      <c r="D884" s="237"/>
      <c r="E884" s="237"/>
      <c r="F884" s="237"/>
      <c r="G884" s="237"/>
      <c r="H884" s="42"/>
      <c r="I884" s="42"/>
      <c r="J884" s="42"/>
      <c r="K884" s="25">
        <f>SUM(J872:J883)</f>
        <v>0</v>
      </c>
      <c r="L884" s="23"/>
      <c r="M884" s="23"/>
      <c r="N884" s="42"/>
    </row>
    <row r="885" spans="1:14" s="12" customFormat="1" ht="30.75" customHeight="1">
      <c r="A885" s="178" t="s">
        <v>99</v>
      </c>
      <c r="B885" s="75" t="s">
        <v>1856</v>
      </c>
      <c r="C885" s="176" t="s">
        <v>17</v>
      </c>
      <c r="D885" s="75"/>
      <c r="E885" s="75"/>
      <c r="F885" s="75"/>
      <c r="G885" s="75"/>
      <c r="H885" s="75">
        <v>0</v>
      </c>
      <c r="I885" s="75">
        <v>0</v>
      </c>
      <c r="J885" s="75">
        <v>0</v>
      </c>
      <c r="K885" s="75"/>
      <c r="L885" s="16" t="s">
        <v>18</v>
      </c>
      <c r="M885" s="16" t="s">
        <v>22</v>
      </c>
      <c r="N885" s="39" t="s">
        <v>418</v>
      </c>
    </row>
    <row r="886" spans="1:14" s="12" customFormat="1" ht="37.5" customHeight="1">
      <c r="A886" s="178" t="s">
        <v>99</v>
      </c>
      <c r="B886" s="75" t="s">
        <v>1857</v>
      </c>
      <c r="C886" s="176" t="s">
        <v>17</v>
      </c>
      <c r="D886" s="178"/>
      <c r="E886" s="178"/>
      <c r="F886" s="178"/>
      <c r="G886" s="178"/>
      <c r="H886" s="178">
        <v>0</v>
      </c>
      <c r="I886" s="178">
        <v>0</v>
      </c>
      <c r="J886" s="178">
        <v>0</v>
      </c>
      <c r="K886" s="178"/>
      <c r="L886" s="16" t="s">
        <v>18</v>
      </c>
      <c r="M886" s="16" t="s">
        <v>22</v>
      </c>
      <c r="N886" s="39" t="s">
        <v>418</v>
      </c>
    </row>
    <row r="887" spans="1:14" s="12" customFormat="1" ht="30.75" customHeight="1">
      <c r="A887" s="178" t="s">
        <v>99</v>
      </c>
      <c r="B887" s="75" t="s">
        <v>1858</v>
      </c>
      <c r="C887" s="176" t="s">
        <v>17</v>
      </c>
      <c r="D887" s="75"/>
      <c r="E887" s="75"/>
      <c r="F887" s="75"/>
      <c r="G887" s="75"/>
      <c r="H887" s="75">
        <v>0</v>
      </c>
      <c r="I887" s="75">
        <v>0</v>
      </c>
      <c r="J887" s="75">
        <v>0</v>
      </c>
      <c r="K887" s="75"/>
      <c r="L887" s="16" t="s">
        <v>18</v>
      </c>
      <c r="M887" s="16" t="s">
        <v>22</v>
      </c>
      <c r="N887" s="39" t="s">
        <v>418</v>
      </c>
    </row>
    <row r="888" spans="1:14" s="12" customFormat="1" ht="30.75" customHeight="1">
      <c r="A888" s="178" t="s">
        <v>99</v>
      </c>
      <c r="B888" s="75" t="s">
        <v>1859</v>
      </c>
      <c r="C888" s="176" t="s">
        <v>290</v>
      </c>
      <c r="D888" s="75"/>
      <c r="E888" s="75"/>
      <c r="F888" s="75"/>
      <c r="G888" s="75"/>
      <c r="H888" s="75">
        <v>0</v>
      </c>
      <c r="I888" s="75">
        <v>0</v>
      </c>
      <c r="J888" s="75">
        <v>0</v>
      </c>
      <c r="K888" s="75"/>
      <c r="L888" s="16" t="s">
        <v>18</v>
      </c>
      <c r="M888" s="16" t="s">
        <v>22</v>
      </c>
      <c r="N888" s="39" t="s">
        <v>418</v>
      </c>
    </row>
    <row r="889" spans="1:14" s="12" customFormat="1" ht="30.75" customHeight="1">
      <c r="A889" s="178" t="s">
        <v>99</v>
      </c>
      <c r="B889" s="75" t="s">
        <v>1650</v>
      </c>
      <c r="C889" s="176" t="s">
        <v>290</v>
      </c>
      <c r="D889" s="75"/>
      <c r="E889" s="75"/>
      <c r="F889" s="75"/>
      <c r="G889" s="75"/>
      <c r="H889" s="75">
        <v>0</v>
      </c>
      <c r="I889" s="75">
        <v>0</v>
      </c>
      <c r="J889" s="75">
        <v>0</v>
      </c>
      <c r="K889" s="75"/>
      <c r="L889" s="16" t="s">
        <v>18</v>
      </c>
      <c r="M889" s="16" t="s">
        <v>22</v>
      </c>
      <c r="N889" s="39" t="s">
        <v>418</v>
      </c>
    </row>
    <row r="890" spans="1:14" s="12" customFormat="1" ht="30.75" customHeight="1">
      <c r="A890" s="178" t="s">
        <v>99</v>
      </c>
      <c r="B890" s="75" t="s">
        <v>306</v>
      </c>
      <c r="C890" s="39" t="s">
        <v>33</v>
      </c>
      <c r="D890" s="236"/>
      <c r="E890" s="236"/>
      <c r="F890" s="236"/>
      <c r="G890" s="236"/>
      <c r="H890" s="40">
        <f>SUM(Tabla132112413[[#This Row],[PRIMER TRIMESTRE]:[CUARTO TRIMESTRE]])</f>
        <v>0</v>
      </c>
      <c r="I890" s="17">
        <v>260</v>
      </c>
      <c r="J890" s="17">
        <f>+Tabla132112413[[#This Row],[CANTIDAD TOTAL]]*Tabla132112413[[#This Row],[PRECIO UNITARIO ESTIMADO]]</f>
        <v>0</v>
      </c>
      <c r="K890" s="17"/>
      <c r="L890" s="16" t="s">
        <v>18</v>
      </c>
      <c r="M890" s="16" t="s">
        <v>22</v>
      </c>
      <c r="N890" s="39" t="s">
        <v>418</v>
      </c>
    </row>
    <row r="891" spans="1:14" s="12" customFormat="1" ht="30.75" customHeight="1">
      <c r="A891" s="178" t="s">
        <v>99</v>
      </c>
      <c r="B891" s="75" t="s">
        <v>307</v>
      </c>
      <c r="C891" s="39" t="s">
        <v>308</v>
      </c>
      <c r="D891" s="236"/>
      <c r="E891" s="236"/>
      <c r="F891" s="236"/>
      <c r="G891" s="236"/>
      <c r="H891" s="40">
        <f>SUM(Tabla132112413[[#This Row],[PRIMER TRIMESTRE]:[CUARTO TRIMESTRE]])</f>
        <v>0</v>
      </c>
      <c r="I891" s="17">
        <v>1237.82</v>
      </c>
      <c r="J891" s="17">
        <f>+Tabla132112413[[#This Row],[CANTIDAD TOTAL]]*Tabla132112413[[#This Row],[PRECIO UNITARIO ESTIMADO]]</f>
        <v>0</v>
      </c>
      <c r="K891" s="17"/>
      <c r="L891" s="16" t="s">
        <v>18</v>
      </c>
      <c r="M891" s="16" t="s">
        <v>22</v>
      </c>
      <c r="N891" s="39" t="s">
        <v>418</v>
      </c>
    </row>
    <row r="892" spans="1:14" s="12" customFormat="1" ht="30.75" customHeight="1">
      <c r="A892" s="178" t="s">
        <v>99</v>
      </c>
      <c r="B892" s="75" t="s">
        <v>309</v>
      </c>
      <c r="C892" s="39" t="s">
        <v>308</v>
      </c>
      <c r="D892" s="236"/>
      <c r="E892" s="236"/>
      <c r="F892" s="236"/>
      <c r="G892" s="236"/>
      <c r="H892" s="40">
        <f>SUM(Tabla132112413[[#This Row],[PRIMER TRIMESTRE]:[CUARTO TRIMESTRE]])</f>
        <v>0</v>
      </c>
      <c r="I892" s="17">
        <v>1770</v>
      </c>
      <c r="J892" s="17">
        <f>+Tabla132112413[[#This Row],[CANTIDAD TOTAL]]*Tabla132112413[[#This Row],[PRECIO UNITARIO ESTIMADO]]</f>
        <v>0</v>
      </c>
      <c r="K892" s="17"/>
      <c r="L892" s="16" t="s">
        <v>18</v>
      </c>
      <c r="M892" s="16" t="s">
        <v>22</v>
      </c>
      <c r="N892" s="39" t="s">
        <v>418</v>
      </c>
    </row>
    <row r="893" spans="1:14" s="12" customFormat="1" ht="30.75" customHeight="1">
      <c r="A893" s="178" t="s">
        <v>99</v>
      </c>
      <c r="B893" s="75" t="s">
        <v>230</v>
      </c>
      <c r="C893" s="39" t="s">
        <v>17</v>
      </c>
      <c r="D893" s="236"/>
      <c r="E893" s="236"/>
      <c r="F893" s="236"/>
      <c r="G893" s="236"/>
      <c r="H893" s="40">
        <f>SUM(Tabla132112413[[#This Row],[PRIMER TRIMESTRE]:[CUARTO TRIMESTRE]])</f>
        <v>0</v>
      </c>
      <c r="I893" s="17">
        <v>1740</v>
      </c>
      <c r="J893" s="17">
        <f>+Tabla132112413[[#This Row],[CANTIDAD TOTAL]]*Tabla132112413[[#This Row],[PRECIO UNITARIO ESTIMADO]]</f>
        <v>0</v>
      </c>
      <c r="K893" s="17"/>
      <c r="L893" s="16" t="s">
        <v>18</v>
      </c>
      <c r="M893" s="16" t="s">
        <v>22</v>
      </c>
      <c r="N893" s="39" t="s">
        <v>418</v>
      </c>
    </row>
    <row r="894" spans="1:14" s="12" customFormat="1" ht="30.75" customHeight="1">
      <c r="A894" s="178" t="s">
        <v>99</v>
      </c>
      <c r="B894" s="75" t="s">
        <v>310</v>
      </c>
      <c r="C894" s="39" t="s">
        <v>308</v>
      </c>
      <c r="D894" s="236"/>
      <c r="E894" s="236"/>
      <c r="F894" s="236"/>
      <c r="G894" s="236"/>
      <c r="H894" s="40">
        <f>SUM(Tabla132112413[[#This Row],[PRIMER TRIMESTRE]:[CUARTO TRIMESTRE]])</f>
        <v>0</v>
      </c>
      <c r="I894" s="17">
        <v>1298</v>
      </c>
      <c r="J894" s="17">
        <f>+Tabla132112413[[#This Row],[CANTIDAD TOTAL]]*Tabla132112413[[#This Row],[PRECIO UNITARIO ESTIMADO]]</f>
        <v>0</v>
      </c>
      <c r="K894" s="17"/>
      <c r="L894" s="16" t="s">
        <v>18</v>
      </c>
      <c r="M894" s="16" t="s">
        <v>22</v>
      </c>
      <c r="N894" s="39" t="s">
        <v>418</v>
      </c>
    </row>
    <row r="895" spans="1:14" s="12" customFormat="1" ht="30.75" customHeight="1">
      <c r="A895" s="178" t="s">
        <v>99</v>
      </c>
      <c r="B895" s="75" t="s">
        <v>311</v>
      </c>
      <c r="C895" s="39" t="s">
        <v>312</v>
      </c>
      <c r="D895" s="236"/>
      <c r="E895" s="236"/>
      <c r="F895" s="236"/>
      <c r="G895" s="236"/>
      <c r="H895" s="40">
        <f>SUM(Tabla132112413[[#This Row],[PRIMER TRIMESTRE]:[CUARTO TRIMESTRE]])</f>
        <v>0</v>
      </c>
      <c r="I895" s="17">
        <v>3418.58</v>
      </c>
      <c r="J895" s="17">
        <f>+Tabla132112413[[#This Row],[CANTIDAD TOTAL]]*Tabla132112413[[#This Row],[PRECIO UNITARIO ESTIMADO]]</f>
        <v>0</v>
      </c>
      <c r="K895" s="17"/>
      <c r="L895" s="16" t="s">
        <v>18</v>
      </c>
      <c r="M895" s="16" t="s">
        <v>22</v>
      </c>
      <c r="N895" s="39" t="s">
        <v>418</v>
      </c>
    </row>
    <row r="896" spans="1:14" s="12" customFormat="1" ht="30.75" customHeight="1">
      <c r="A896" s="178" t="s">
        <v>99</v>
      </c>
      <c r="B896" s="75" t="s">
        <v>314</v>
      </c>
      <c r="C896" s="39" t="s">
        <v>315</v>
      </c>
      <c r="D896" s="236"/>
      <c r="E896" s="236"/>
      <c r="F896" s="236"/>
      <c r="G896" s="236"/>
      <c r="H896" s="40">
        <f>SUM(Tabla132112413[[#This Row],[PRIMER TRIMESTRE]:[CUARTO TRIMESTRE]])</f>
        <v>0</v>
      </c>
      <c r="I896" s="17">
        <v>1569.4</v>
      </c>
      <c r="J896" s="17">
        <f>+Tabla132112413[[#This Row],[CANTIDAD TOTAL]]*Tabla132112413[[#This Row],[PRECIO UNITARIO ESTIMADO]]</f>
        <v>0</v>
      </c>
      <c r="K896" s="17"/>
      <c r="L896" s="16" t="s">
        <v>18</v>
      </c>
      <c r="M896" s="16" t="s">
        <v>22</v>
      </c>
      <c r="N896" s="39" t="s">
        <v>418</v>
      </c>
    </row>
    <row r="897" spans="1:14" s="12" customFormat="1" ht="30">
      <c r="A897" s="178" t="s">
        <v>99</v>
      </c>
      <c r="B897" s="75" t="s">
        <v>313</v>
      </c>
      <c r="C897" s="39" t="s">
        <v>308</v>
      </c>
      <c r="D897" s="236"/>
      <c r="E897" s="236"/>
      <c r="F897" s="236"/>
      <c r="G897" s="236"/>
      <c r="H897" s="40">
        <f>SUM(Tabla132112413[[#This Row],[PRIMER TRIMESTRE]:[CUARTO TRIMESTRE]])</f>
        <v>0</v>
      </c>
      <c r="I897" s="17">
        <v>3651.69</v>
      </c>
      <c r="J897" s="17">
        <f>+Tabla132112413[[#This Row],[CANTIDAD TOTAL]]*Tabla132112413[[#This Row],[PRECIO UNITARIO ESTIMADO]]</f>
        <v>0</v>
      </c>
      <c r="K897" s="17"/>
      <c r="L897" s="16" t="s">
        <v>18</v>
      </c>
      <c r="M897" s="16" t="s">
        <v>22</v>
      </c>
      <c r="N897" s="39" t="s">
        <v>418</v>
      </c>
    </row>
    <row r="898" spans="1:14" s="12" customFormat="1" ht="30">
      <c r="A898" s="178" t="s">
        <v>99</v>
      </c>
      <c r="B898" s="75" t="s">
        <v>231</v>
      </c>
      <c r="C898" s="39" t="s">
        <v>17</v>
      </c>
      <c r="D898" s="236"/>
      <c r="E898" s="236"/>
      <c r="F898" s="236"/>
      <c r="G898" s="236"/>
      <c r="H898" s="40">
        <f>SUM(Tabla132112413[[#This Row],[PRIMER TRIMESTRE]:[CUARTO TRIMESTRE]])</f>
        <v>0</v>
      </c>
      <c r="I898" s="17">
        <v>574.20000000000005</v>
      </c>
      <c r="J898" s="17">
        <f>+Tabla132112413[[#This Row],[CANTIDAD TOTAL]]*Tabla132112413[[#This Row],[PRECIO UNITARIO ESTIMADO]]</f>
        <v>0</v>
      </c>
      <c r="K898" s="17"/>
      <c r="L898" s="16" t="s">
        <v>18</v>
      </c>
      <c r="M898" s="16" t="s">
        <v>22</v>
      </c>
      <c r="N898" s="39" t="s">
        <v>418</v>
      </c>
    </row>
    <row r="899" spans="1:14" s="12" customFormat="1" ht="30">
      <c r="A899" s="178" t="s">
        <v>99</v>
      </c>
      <c r="B899" s="75" t="s">
        <v>232</v>
      </c>
      <c r="C899" s="39" t="s">
        <v>17</v>
      </c>
      <c r="D899" s="236"/>
      <c r="E899" s="236"/>
      <c r="F899" s="236"/>
      <c r="G899" s="236"/>
      <c r="H899" s="40">
        <f>SUM(Tabla132112413[[#This Row],[PRIMER TRIMESTRE]:[CUARTO TRIMESTRE]])</f>
        <v>0</v>
      </c>
      <c r="I899" s="17">
        <v>1035</v>
      </c>
      <c r="J899" s="17">
        <f>+Tabla132112413[[#This Row],[CANTIDAD TOTAL]]*Tabla132112413[[#This Row],[PRECIO UNITARIO ESTIMADO]]</f>
        <v>0</v>
      </c>
      <c r="K899" s="17"/>
      <c r="L899" s="16" t="s">
        <v>18</v>
      </c>
      <c r="M899" s="16" t="s">
        <v>22</v>
      </c>
      <c r="N899" s="39" t="s">
        <v>418</v>
      </c>
    </row>
    <row r="900" spans="1:14" s="12" customFormat="1" ht="30">
      <c r="A900" s="178" t="s">
        <v>99</v>
      </c>
      <c r="B900" s="75" t="s">
        <v>1031</v>
      </c>
      <c r="C900" s="39" t="s">
        <v>1037</v>
      </c>
      <c r="D900" s="236"/>
      <c r="E900" s="236"/>
      <c r="F900" s="236"/>
      <c r="G900" s="236"/>
      <c r="H900" s="40">
        <f>SUM(Tabla132112413[[#This Row],[PRIMER TRIMESTRE]:[CUARTO TRIMESTRE]])</f>
        <v>0</v>
      </c>
      <c r="I900" s="17">
        <v>3800</v>
      </c>
      <c r="J900" s="17">
        <f t="shared" ref="J900:J963" si="25">+H900*I900</f>
        <v>0</v>
      </c>
      <c r="K900" s="17"/>
      <c r="L900" s="16" t="s">
        <v>18</v>
      </c>
      <c r="M900" s="16" t="s">
        <v>22</v>
      </c>
      <c r="N900" s="39" t="s">
        <v>418</v>
      </c>
    </row>
    <row r="901" spans="1:14" s="12" customFormat="1" ht="30">
      <c r="A901" s="178" t="s">
        <v>99</v>
      </c>
      <c r="B901" s="75" t="s">
        <v>1032</v>
      </c>
      <c r="C901" s="39" t="s">
        <v>1037</v>
      </c>
      <c r="D901" s="236"/>
      <c r="E901" s="236"/>
      <c r="F901" s="236"/>
      <c r="G901" s="236"/>
      <c r="H901" s="40">
        <f>SUM(Tabla132112413[[#This Row],[PRIMER TRIMESTRE]:[CUARTO TRIMESTRE]])</f>
        <v>0</v>
      </c>
      <c r="I901" s="17">
        <v>11200</v>
      </c>
      <c r="J901" s="17">
        <f t="shared" si="25"/>
        <v>0</v>
      </c>
      <c r="K901" s="17"/>
      <c r="L901" s="16" t="s">
        <v>18</v>
      </c>
      <c r="M901" s="16" t="s">
        <v>22</v>
      </c>
      <c r="N901" s="39" t="s">
        <v>418</v>
      </c>
    </row>
    <row r="902" spans="1:14" s="12" customFormat="1" ht="30">
      <c r="A902" s="178" t="s">
        <v>99</v>
      </c>
      <c r="B902" s="75" t="s">
        <v>1033</v>
      </c>
      <c r="C902" s="39" t="s">
        <v>1037</v>
      </c>
      <c r="D902" s="236"/>
      <c r="E902" s="236"/>
      <c r="F902" s="236"/>
      <c r="G902" s="236"/>
      <c r="H902" s="40">
        <f>SUM(Tabla132112413[[#This Row],[PRIMER TRIMESTRE]:[CUARTO TRIMESTRE]])</f>
        <v>0</v>
      </c>
      <c r="I902" s="17">
        <v>3700</v>
      </c>
      <c r="J902" s="17">
        <f t="shared" si="25"/>
        <v>0</v>
      </c>
      <c r="K902" s="17"/>
      <c r="L902" s="16" t="s">
        <v>18</v>
      </c>
      <c r="M902" s="16" t="s">
        <v>22</v>
      </c>
      <c r="N902" s="39" t="s">
        <v>418</v>
      </c>
    </row>
    <row r="903" spans="1:14" s="12" customFormat="1" ht="30">
      <c r="A903" s="178" t="s">
        <v>99</v>
      </c>
      <c r="B903" s="75" t="s">
        <v>1034</v>
      </c>
      <c r="C903" s="39" t="s">
        <v>1037</v>
      </c>
      <c r="D903" s="236"/>
      <c r="E903" s="236"/>
      <c r="F903" s="236"/>
      <c r="G903" s="236"/>
      <c r="H903" s="40">
        <f>SUM(Tabla132112413[[#This Row],[PRIMER TRIMESTRE]:[CUARTO TRIMESTRE]])</f>
        <v>0</v>
      </c>
      <c r="I903" s="17">
        <v>4500</v>
      </c>
      <c r="J903" s="17">
        <f t="shared" si="25"/>
        <v>0</v>
      </c>
      <c r="K903" s="17"/>
      <c r="L903" s="16" t="s">
        <v>15</v>
      </c>
      <c r="M903" s="16" t="s">
        <v>22</v>
      </c>
      <c r="N903" s="39" t="s">
        <v>418</v>
      </c>
    </row>
    <row r="904" spans="1:14" s="12" customFormat="1" ht="30">
      <c r="A904" s="178" t="s">
        <v>99</v>
      </c>
      <c r="B904" s="75" t="s">
        <v>1035</v>
      </c>
      <c r="C904" s="39" t="s">
        <v>1037</v>
      </c>
      <c r="D904" s="236"/>
      <c r="E904" s="236"/>
      <c r="F904" s="236"/>
      <c r="G904" s="236"/>
      <c r="H904" s="40">
        <f>SUM(Tabla132112413[[#This Row],[PRIMER TRIMESTRE]:[CUARTO TRIMESTRE]])</f>
        <v>0</v>
      </c>
      <c r="I904" s="17">
        <v>2800</v>
      </c>
      <c r="J904" s="17">
        <f t="shared" si="25"/>
        <v>0</v>
      </c>
      <c r="K904" s="17"/>
      <c r="L904" s="16" t="s">
        <v>15</v>
      </c>
      <c r="M904" s="16" t="s">
        <v>22</v>
      </c>
      <c r="N904" s="39" t="s">
        <v>418</v>
      </c>
    </row>
    <row r="905" spans="1:14" s="12" customFormat="1" ht="30">
      <c r="A905" s="178" t="s">
        <v>99</v>
      </c>
      <c r="B905" s="75" t="s">
        <v>1036</v>
      </c>
      <c r="C905" s="39" t="s">
        <v>1037</v>
      </c>
      <c r="D905" s="236"/>
      <c r="E905" s="236"/>
      <c r="F905" s="236"/>
      <c r="G905" s="236"/>
      <c r="H905" s="40">
        <f>SUM(Tabla132112413[[#This Row],[PRIMER TRIMESTRE]:[CUARTO TRIMESTRE]])</f>
        <v>0</v>
      </c>
      <c r="I905" s="17">
        <v>3500</v>
      </c>
      <c r="J905" s="17">
        <f t="shared" si="25"/>
        <v>0</v>
      </c>
      <c r="K905" s="17"/>
      <c r="L905" s="16" t="s">
        <v>18</v>
      </c>
      <c r="M905" s="16" t="s">
        <v>22</v>
      </c>
      <c r="N905" s="39" t="s">
        <v>418</v>
      </c>
    </row>
    <row r="906" spans="1:14" s="12" customFormat="1" ht="30">
      <c r="A906" s="178" t="s">
        <v>99</v>
      </c>
      <c r="B906" s="75" t="s">
        <v>1038</v>
      </c>
      <c r="C906" s="39" t="s">
        <v>1037</v>
      </c>
      <c r="D906" s="236"/>
      <c r="E906" s="236"/>
      <c r="F906" s="236"/>
      <c r="G906" s="236"/>
      <c r="H906" s="40">
        <f>SUM(Tabla132112413[[#This Row],[PRIMER TRIMESTRE]:[CUARTO TRIMESTRE]])</f>
        <v>0</v>
      </c>
      <c r="I906" s="17">
        <v>2500</v>
      </c>
      <c r="J906" s="17">
        <f t="shared" si="25"/>
        <v>0</v>
      </c>
      <c r="K906" s="17"/>
      <c r="L906" s="16" t="s">
        <v>18</v>
      </c>
      <c r="M906" s="16" t="s">
        <v>22</v>
      </c>
      <c r="N906" s="39" t="s">
        <v>418</v>
      </c>
    </row>
    <row r="907" spans="1:14" s="12" customFormat="1" ht="30">
      <c r="A907" s="178" t="s">
        <v>99</v>
      </c>
      <c r="B907" s="75" t="s">
        <v>1039</v>
      </c>
      <c r="C907" s="39" t="s">
        <v>1037</v>
      </c>
      <c r="D907" s="236"/>
      <c r="E907" s="236"/>
      <c r="F907" s="236"/>
      <c r="G907" s="236"/>
      <c r="H907" s="40">
        <f>SUM(Tabla132112413[[#This Row],[PRIMER TRIMESTRE]:[CUARTO TRIMESTRE]])</f>
        <v>0</v>
      </c>
      <c r="I907" s="17">
        <v>3000</v>
      </c>
      <c r="J907" s="17">
        <f t="shared" si="25"/>
        <v>0</v>
      </c>
      <c r="K907" s="17"/>
      <c r="L907" s="16" t="s">
        <v>18</v>
      </c>
      <c r="M907" s="16" t="s">
        <v>22</v>
      </c>
      <c r="N907" s="39" t="s">
        <v>418</v>
      </c>
    </row>
    <row r="908" spans="1:14" s="12" customFormat="1" ht="30">
      <c r="A908" s="178" t="s">
        <v>99</v>
      </c>
      <c r="B908" s="75" t="s">
        <v>1040</v>
      </c>
      <c r="C908" s="39" t="s">
        <v>1037</v>
      </c>
      <c r="D908" s="236"/>
      <c r="E908" s="236"/>
      <c r="F908" s="236"/>
      <c r="G908" s="236"/>
      <c r="H908" s="40">
        <f>SUM(Tabla132112413[[#This Row],[PRIMER TRIMESTRE]:[CUARTO TRIMESTRE]])</f>
        <v>0</v>
      </c>
      <c r="I908" s="17">
        <v>3500</v>
      </c>
      <c r="J908" s="17">
        <f t="shared" si="25"/>
        <v>0</v>
      </c>
      <c r="K908" s="17"/>
      <c r="L908" s="16" t="s">
        <v>18</v>
      </c>
      <c r="M908" s="16" t="s">
        <v>22</v>
      </c>
      <c r="N908" s="39" t="s">
        <v>418</v>
      </c>
    </row>
    <row r="909" spans="1:14" s="12" customFormat="1" ht="30">
      <c r="A909" s="178" t="s">
        <v>99</v>
      </c>
      <c r="B909" s="75" t="s">
        <v>1041</v>
      </c>
      <c r="C909" s="39" t="s">
        <v>1037</v>
      </c>
      <c r="D909" s="236"/>
      <c r="E909" s="236"/>
      <c r="F909" s="236"/>
      <c r="G909" s="236"/>
      <c r="H909" s="40">
        <f>SUM(Tabla132112413[[#This Row],[PRIMER TRIMESTRE]:[CUARTO TRIMESTRE]])</f>
        <v>0</v>
      </c>
      <c r="I909" s="17">
        <v>4000</v>
      </c>
      <c r="J909" s="17">
        <f t="shared" si="25"/>
        <v>0</v>
      </c>
      <c r="K909" s="17"/>
      <c r="L909" s="16" t="s">
        <v>18</v>
      </c>
      <c r="M909" s="16" t="s">
        <v>22</v>
      </c>
      <c r="N909" s="39" t="s">
        <v>418</v>
      </c>
    </row>
    <row r="910" spans="1:14" s="12" customFormat="1" ht="30">
      <c r="A910" s="178" t="s">
        <v>99</v>
      </c>
      <c r="B910" s="75" t="s">
        <v>1042</v>
      </c>
      <c r="C910" s="39" t="s">
        <v>1037</v>
      </c>
      <c r="D910" s="236"/>
      <c r="E910" s="236"/>
      <c r="F910" s="236"/>
      <c r="G910" s="236"/>
      <c r="H910" s="40">
        <f>SUM(Tabla132112413[[#This Row],[PRIMER TRIMESTRE]:[CUARTO TRIMESTRE]])</f>
        <v>0</v>
      </c>
      <c r="I910" s="17">
        <v>6000</v>
      </c>
      <c r="J910" s="17">
        <f t="shared" si="25"/>
        <v>0</v>
      </c>
      <c r="K910" s="17"/>
      <c r="L910" s="16" t="s">
        <v>18</v>
      </c>
      <c r="M910" s="16" t="s">
        <v>22</v>
      </c>
      <c r="N910" s="39" t="s">
        <v>418</v>
      </c>
    </row>
    <row r="911" spans="1:14" s="12" customFormat="1" ht="30">
      <c r="A911" s="178" t="s">
        <v>99</v>
      </c>
      <c r="B911" s="75" t="s">
        <v>1043</v>
      </c>
      <c r="C911" s="39" t="s">
        <v>1037</v>
      </c>
      <c r="D911" s="236"/>
      <c r="E911" s="236"/>
      <c r="F911" s="236"/>
      <c r="G911" s="236"/>
      <c r="H911" s="40">
        <f>SUM(Tabla132112413[[#This Row],[PRIMER TRIMESTRE]:[CUARTO TRIMESTRE]])</f>
        <v>0</v>
      </c>
      <c r="I911" s="17">
        <v>3500</v>
      </c>
      <c r="J911" s="17">
        <f t="shared" si="25"/>
        <v>0</v>
      </c>
      <c r="K911" s="17"/>
      <c r="L911" s="16" t="s">
        <v>18</v>
      </c>
      <c r="M911" s="16" t="s">
        <v>22</v>
      </c>
      <c r="N911" s="39" t="s">
        <v>418</v>
      </c>
    </row>
    <row r="912" spans="1:14" s="12" customFormat="1" ht="30">
      <c r="A912" s="178" t="s">
        <v>99</v>
      </c>
      <c r="B912" s="75" t="s">
        <v>1044</v>
      </c>
      <c r="C912" s="39" t="s">
        <v>1037</v>
      </c>
      <c r="D912" s="236"/>
      <c r="E912" s="236"/>
      <c r="F912" s="236"/>
      <c r="G912" s="236"/>
      <c r="H912" s="40">
        <f>SUM(Tabla132112413[[#This Row],[PRIMER TRIMESTRE]:[CUARTO TRIMESTRE]])</f>
        <v>0</v>
      </c>
      <c r="I912" s="17">
        <v>2500</v>
      </c>
      <c r="J912" s="17">
        <f t="shared" si="25"/>
        <v>0</v>
      </c>
      <c r="K912" s="17"/>
      <c r="L912" s="16" t="s">
        <v>18</v>
      </c>
      <c r="M912" s="16" t="s">
        <v>22</v>
      </c>
      <c r="N912" s="39" t="s">
        <v>418</v>
      </c>
    </row>
    <row r="913" spans="1:14" s="12" customFormat="1" ht="30">
      <c r="A913" s="178" t="s">
        <v>99</v>
      </c>
      <c r="B913" s="75" t="s">
        <v>1045</v>
      </c>
      <c r="C913" s="39" t="s">
        <v>1037</v>
      </c>
      <c r="D913" s="236"/>
      <c r="E913" s="236"/>
      <c r="F913" s="236"/>
      <c r="G913" s="236"/>
      <c r="H913" s="40">
        <f>SUM(Tabla132112413[[#This Row],[PRIMER TRIMESTRE]:[CUARTO TRIMESTRE]])</f>
        <v>0</v>
      </c>
      <c r="I913" s="17">
        <v>2000</v>
      </c>
      <c r="J913" s="17">
        <f t="shared" si="25"/>
        <v>0</v>
      </c>
      <c r="K913" s="17"/>
      <c r="L913" s="16" t="s">
        <v>18</v>
      </c>
      <c r="M913" s="16" t="s">
        <v>22</v>
      </c>
      <c r="N913" s="39" t="s">
        <v>418</v>
      </c>
    </row>
    <row r="914" spans="1:14" s="12" customFormat="1" ht="30">
      <c r="A914" s="178" t="s">
        <v>99</v>
      </c>
      <c r="B914" s="75" t="s">
        <v>1046</v>
      </c>
      <c r="C914" s="39" t="s">
        <v>1037</v>
      </c>
      <c r="D914" s="236"/>
      <c r="E914" s="236"/>
      <c r="F914" s="236"/>
      <c r="G914" s="236"/>
      <c r="H914" s="40">
        <f>SUM(Tabla132112413[[#This Row],[PRIMER TRIMESTRE]:[CUARTO TRIMESTRE]])</f>
        <v>0</v>
      </c>
      <c r="I914" s="17">
        <v>3000</v>
      </c>
      <c r="J914" s="17">
        <f t="shared" si="25"/>
        <v>0</v>
      </c>
      <c r="K914" s="17"/>
      <c r="L914" s="16" t="s">
        <v>18</v>
      </c>
      <c r="M914" s="16" t="s">
        <v>22</v>
      </c>
      <c r="N914" s="39" t="s">
        <v>418</v>
      </c>
    </row>
    <row r="915" spans="1:14" s="12" customFormat="1" ht="30">
      <c r="A915" s="178" t="s">
        <v>99</v>
      </c>
      <c r="B915" s="75" t="s">
        <v>1047</v>
      </c>
      <c r="C915" s="39" t="s">
        <v>1037</v>
      </c>
      <c r="D915" s="236"/>
      <c r="E915" s="236"/>
      <c r="F915" s="236"/>
      <c r="G915" s="236"/>
      <c r="H915" s="40">
        <f>SUM(Tabla132112413[[#This Row],[PRIMER TRIMESTRE]:[CUARTO TRIMESTRE]])</f>
        <v>0</v>
      </c>
      <c r="I915" s="17">
        <v>3500</v>
      </c>
      <c r="J915" s="17">
        <f t="shared" si="25"/>
        <v>0</v>
      </c>
      <c r="K915" s="17"/>
      <c r="L915" s="16" t="s">
        <v>18</v>
      </c>
      <c r="M915" s="16" t="s">
        <v>22</v>
      </c>
      <c r="N915" s="39" t="s">
        <v>418</v>
      </c>
    </row>
    <row r="916" spans="1:14" s="12" customFormat="1" ht="38.25">
      <c r="A916" s="178" t="s">
        <v>99</v>
      </c>
      <c r="B916" s="75" t="s">
        <v>1048</v>
      </c>
      <c r="C916" s="39" t="s">
        <v>1063</v>
      </c>
      <c r="D916" s="236"/>
      <c r="E916" s="236"/>
      <c r="F916" s="236"/>
      <c r="G916" s="236"/>
      <c r="H916" s="40">
        <f>SUM(Tabla132112413[[#This Row],[PRIMER TRIMESTRE]:[CUARTO TRIMESTRE]])</f>
        <v>0</v>
      </c>
      <c r="I916" s="17">
        <v>3500</v>
      </c>
      <c r="J916" s="17">
        <f t="shared" si="25"/>
        <v>0</v>
      </c>
      <c r="K916" s="17"/>
      <c r="L916" s="16" t="s">
        <v>18</v>
      </c>
      <c r="M916" s="16" t="s">
        <v>22</v>
      </c>
      <c r="N916" s="39" t="s">
        <v>418</v>
      </c>
    </row>
    <row r="917" spans="1:14" s="12" customFormat="1" ht="30">
      <c r="A917" s="178" t="s">
        <v>99</v>
      </c>
      <c r="B917" s="75" t="s">
        <v>1049</v>
      </c>
      <c r="C917" s="39" t="s">
        <v>1063</v>
      </c>
      <c r="D917" s="236"/>
      <c r="E917" s="236"/>
      <c r="F917" s="236"/>
      <c r="G917" s="236"/>
      <c r="H917" s="40">
        <f>SUM(Tabla132112413[[#This Row],[PRIMER TRIMESTRE]:[CUARTO TRIMESTRE]])</f>
        <v>0</v>
      </c>
      <c r="I917" s="17">
        <v>2500</v>
      </c>
      <c r="J917" s="17">
        <f t="shared" si="25"/>
        <v>0</v>
      </c>
      <c r="K917" s="17"/>
      <c r="L917" s="16" t="s">
        <v>15</v>
      </c>
      <c r="M917" s="16" t="s">
        <v>22</v>
      </c>
      <c r="N917" s="39" t="s">
        <v>418</v>
      </c>
    </row>
    <row r="918" spans="1:14" s="12" customFormat="1" ht="30">
      <c r="A918" s="178" t="s">
        <v>99</v>
      </c>
      <c r="B918" s="75" t="s">
        <v>1050</v>
      </c>
      <c r="C918" s="39" t="s">
        <v>1063</v>
      </c>
      <c r="D918" s="236"/>
      <c r="E918" s="236"/>
      <c r="F918" s="236"/>
      <c r="G918" s="236"/>
      <c r="H918" s="40">
        <f>SUM(Tabla132112413[[#This Row],[PRIMER TRIMESTRE]:[CUARTO TRIMESTRE]])</f>
        <v>0</v>
      </c>
      <c r="I918" s="17">
        <v>2500</v>
      </c>
      <c r="J918" s="17">
        <f t="shared" si="25"/>
        <v>0</v>
      </c>
      <c r="K918" s="17"/>
      <c r="L918" s="16" t="s">
        <v>18</v>
      </c>
      <c r="M918" s="16" t="s">
        <v>22</v>
      </c>
      <c r="N918" s="39" t="s">
        <v>418</v>
      </c>
    </row>
    <row r="919" spans="1:14" s="12" customFormat="1" ht="30">
      <c r="A919" s="178" t="s">
        <v>99</v>
      </c>
      <c r="B919" s="75" t="s">
        <v>1051</v>
      </c>
      <c r="C919" s="39" t="s">
        <v>1037</v>
      </c>
      <c r="D919" s="236"/>
      <c r="E919" s="236"/>
      <c r="F919" s="236"/>
      <c r="G919" s="236"/>
      <c r="H919" s="40">
        <f>SUM(Tabla132112413[[#This Row],[PRIMER TRIMESTRE]:[CUARTO TRIMESTRE]])</f>
        <v>0</v>
      </c>
      <c r="I919" s="17">
        <v>3000</v>
      </c>
      <c r="J919" s="17">
        <f t="shared" si="25"/>
        <v>0</v>
      </c>
      <c r="K919" s="17"/>
      <c r="L919" s="16" t="s">
        <v>18</v>
      </c>
      <c r="M919" s="16" t="s">
        <v>22</v>
      </c>
      <c r="N919" s="39" t="s">
        <v>418</v>
      </c>
    </row>
    <row r="920" spans="1:14" s="12" customFormat="1" ht="30">
      <c r="A920" s="178" t="s">
        <v>99</v>
      </c>
      <c r="B920" s="75" t="s">
        <v>1052</v>
      </c>
      <c r="C920" s="39" t="s">
        <v>1064</v>
      </c>
      <c r="D920" s="236"/>
      <c r="E920" s="236"/>
      <c r="F920" s="236"/>
      <c r="G920" s="236"/>
      <c r="H920" s="40">
        <f>SUM(Tabla132112413[[#This Row],[PRIMER TRIMESTRE]:[CUARTO TRIMESTRE]])</f>
        <v>0</v>
      </c>
      <c r="I920" s="17">
        <v>2500</v>
      </c>
      <c r="J920" s="17">
        <f t="shared" si="25"/>
        <v>0</v>
      </c>
      <c r="K920" s="17"/>
      <c r="L920" s="16" t="s">
        <v>18</v>
      </c>
      <c r="M920" s="16" t="s">
        <v>22</v>
      </c>
      <c r="N920" s="39" t="s">
        <v>418</v>
      </c>
    </row>
    <row r="921" spans="1:14" s="12" customFormat="1" ht="30">
      <c r="A921" s="178" t="s">
        <v>99</v>
      </c>
      <c r="B921" s="75" t="s">
        <v>1053</v>
      </c>
      <c r="C921" s="39" t="s">
        <v>1064</v>
      </c>
      <c r="D921" s="236"/>
      <c r="E921" s="236"/>
      <c r="F921" s="236"/>
      <c r="G921" s="236"/>
      <c r="H921" s="40">
        <f>SUM(Tabla132112413[[#This Row],[PRIMER TRIMESTRE]:[CUARTO TRIMESTRE]])</f>
        <v>0</v>
      </c>
      <c r="I921" s="17">
        <v>2500</v>
      </c>
      <c r="J921" s="17">
        <f t="shared" si="25"/>
        <v>0</v>
      </c>
      <c r="K921" s="17"/>
      <c r="L921" s="16" t="s">
        <v>18</v>
      </c>
      <c r="M921" s="16" t="s">
        <v>22</v>
      </c>
      <c r="N921" s="39" t="s">
        <v>418</v>
      </c>
    </row>
    <row r="922" spans="1:14" s="12" customFormat="1" ht="30">
      <c r="A922" s="178" t="s">
        <v>99</v>
      </c>
      <c r="B922" s="75" t="s">
        <v>1054</v>
      </c>
      <c r="C922" s="39" t="s">
        <v>1064</v>
      </c>
      <c r="D922" s="236"/>
      <c r="E922" s="236"/>
      <c r="F922" s="236"/>
      <c r="G922" s="236"/>
      <c r="H922" s="40">
        <f>SUM(Tabla132112413[[#This Row],[PRIMER TRIMESTRE]:[CUARTO TRIMESTRE]])</f>
        <v>0</v>
      </c>
      <c r="I922" s="17">
        <v>2000</v>
      </c>
      <c r="J922" s="17">
        <f t="shared" si="25"/>
        <v>0</v>
      </c>
      <c r="K922" s="17"/>
      <c r="L922" s="16" t="s">
        <v>18</v>
      </c>
      <c r="M922" s="16" t="s">
        <v>22</v>
      </c>
      <c r="N922" s="39" t="s">
        <v>418</v>
      </c>
    </row>
    <row r="923" spans="1:14" s="12" customFormat="1" ht="30">
      <c r="A923" s="178" t="s">
        <v>99</v>
      </c>
      <c r="B923" s="75" t="s">
        <v>1055</v>
      </c>
      <c r="C923" s="39" t="s">
        <v>1065</v>
      </c>
      <c r="D923" s="236"/>
      <c r="E923" s="236"/>
      <c r="F923" s="236"/>
      <c r="G923" s="236"/>
      <c r="H923" s="40">
        <f>SUM(Tabla132112413[[#This Row],[PRIMER TRIMESTRE]:[CUARTO TRIMESTRE]])</f>
        <v>0</v>
      </c>
      <c r="I923" s="17">
        <v>2000</v>
      </c>
      <c r="J923" s="17">
        <f t="shared" si="25"/>
        <v>0</v>
      </c>
      <c r="K923" s="17"/>
      <c r="L923" s="16" t="s">
        <v>18</v>
      </c>
      <c r="M923" s="16" t="s">
        <v>22</v>
      </c>
      <c r="N923" s="39" t="s">
        <v>418</v>
      </c>
    </row>
    <row r="924" spans="1:14" s="12" customFormat="1" ht="30">
      <c r="A924" s="178" t="s">
        <v>99</v>
      </c>
      <c r="B924" s="75" t="s">
        <v>1056</v>
      </c>
      <c r="C924" s="39" t="s">
        <v>1065</v>
      </c>
      <c r="D924" s="236"/>
      <c r="E924" s="236"/>
      <c r="F924" s="236"/>
      <c r="G924" s="236"/>
      <c r="H924" s="40">
        <f>SUM(Tabla132112413[[#This Row],[PRIMER TRIMESTRE]:[CUARTO TRIMESTRE]])</f>
        <v>0</v>
      </c>
      <c r="I924" s="17">
        <v>2100</v>
      </c>
      <c r="J924" s="17">
        <f t="shared" si="25"/>
        <v>0</v>
      </c>
      <c r="K924" s="17"/>
      <c r="L924" s="16" t="s">
        <v>18</v>
      </c>
      <c r="M924" s="16" t="s">
        <v>22</v>
      </c>
      <c r="N924" s="39" t="s">
        <v>418</v>
      </c>
    </row>
    <row r="925" spans="1:14" s="12" customFormat="1" ht="30">
      <c r="A925" s="178" t="s">
        <v>99</v>
      </c>
      <c r="B925" s="75" t="s">
        <v>1057</v>
      </c>
      <c r="C925" s="39" t="s">
        <v>1065</v>
      </c>
      <c r="D925" s="236"/>
      <c r="E925" s="236"/>
      <c r="F925" s="236"/>
      <c r="G925" s="236"/>
      <c r="H925" s="40">
        <f>SUM(Tabla132112413[[#This Row],[PRIMER TRIMESTRE]:[CUARTO TRIMESTRE]])</f>
        <v>0</v>
      </c>
      <c r="I925" s="17">
        <v>2500</v>
      </c>
      <c r="J925" s="17">
        <f t="shared" si="25"/>
        <v>0</v>
      </c>
      <c r="K925" s="17"/>
      <c r="L925" s="16" t="s">
        <v>18</v>
      </c>
      <c r="M925" s="16" t="s">
        <v>22</v>
      </c>
      <c r="N925" s="39" t="s">
        <v>418</v>
      </c>
    </row>
    <row r="926" spans="1:14" s="12" customFormat="1" ht="30">
      <c r="A926" s="178" t="s">
        <v>99</v>
      </c>
      <c r="B926" s="75" t="s">
        <v>1058</v>
      </c>
      <c r="C926" s="39" t="s">
        <v>1065</v>
      </c>
      <c r="D926" s="236"/>
      <c r="E926" s="236"/>
      <c r="F926" s="236"/>
      <c r="G926" s="236"/>
      <c r="H926" s="40">
        <f>SUM(Tabla132112413[[#This Row],[PRIMER TRIMESTRE]:[CUARTO TRIMESTRE]])</f>
        <v>0</v>
      </c>
      <c r="I926" s="17">
        <v>2500</v>
      </c>
      <c r="J926" s="17">
        <f t="shared" si="25"/>
        <v>0</v>
      </c>
      <c r="K926" s="17"/>
      <c r="L926" s="16" t="s">
        <v>18</v>
      </c>
      <c r="M926" s="16" t="s">
        <v>22</v>
      </c>
      <c r="N926" s="39" t="s">
        <v>418</v>
      </c>
    </row>
    <row r="927" spans="1:14" s="12" customFormat="1" ht="30">
      <c r="A927" s="178" t="s">
        <v>99</v>
      </c>
      <c r="B927" s="75" t="s">
        <v>1059</v>
      </c>
      <c r="C927" s="39" t="s">
        <v>1065</v>
      </c>
      <c r="D927" s="236"/>
      <c r="E927" s="236"/>
      <c r="F927" s="236"/>
      <c r="G927" s="236"/>
      <c r="H927" s="40">
        <f>SUM(Tabla132112413[[#This Row],[PRIMER TRIMESTRE]:[CUARTO TRIMESTRE]])</f>
        <v>0</v>
      </c>
      <c r="I927" s="17">
        <v>2500</v>
      </c>
      <c r="J927" s="17">
        <f t="shared" si="25"/>
        <v>0</v>
      </c>
      <c r="K927" s="17"/>
      <c r="L927" s="16" t="s">
        <v>18</v>
      </c>
      <c r="M927" s="16" t="s">
        <v>22</v>
      </c>
      <c r="N927" s="39" t="s">
        <v>418</v>
      </c>
    </row>
    <row r="928" spans="1:14" s="12" customFormat="1" ht="30">
      <c r="A928" s="178" t="s">
        <v>99</v>
      </c>
      <c r="B928" s="75" t="s">
        <v>1060</v>
      </c>
      <c r="C928" s="39" t="s">
        <v>1065</v>
      </c>
      <c r="D928" s="236"/>
      <c r="E928" s="236"/>
      <c r="F928" s="236"/>
      <c r="G928" s="236"/>
      <c r="H928" s="40">
        <f>SUM(Tabla132112413[[#This Row],[PRIMER TRIMESTRE]:[CUARTO TRIMESTRE]])</f>
        <v>0</v>
      </c>
      <c r="I928" s="17">
        <v>4000</v>
      </c>
      <c r="J928" s="17">
        <f t="shared" si="25"/>
        <v>0</v>
      </c>
      <c r="K928" s="17"/>
      <c r="L928" s="16" t="s">
        <v>18</v>
      </c>
      <c r="M928" s="16" t="s">
        <v>22</v>
      </c>
      <c r="N928" s="39" t="s">
        <v>418</v>
      </c>
    </row>
    <row r="929" spans="1:14" s="12" customFormat="1" ht="30">
      <c r="A929" s="178" t="s">
        <v>99</v>
      </c>
      <c r="B929" s="75" t="s">
        <v>1061</v>
      </c>
      <c r="C929" s="39" t="s">
        <v>1064</v>
      </c>
      <c r="D929" s="236"/>
      <c r="E929" s="236"/>
      <c r="F929" s="236"/>
      <c r="G929" s="236"/>
      <c r="H929" s="40">
        <f>SUM(Tabla132112413[[#This Row],[PRIMER TRIMESTRE]:[CUARTO TRIMESTRE]])</f>
        <v>0</v>
      </c>
      <c r="I929" s="17">
        <v>3000</v>
      </c>
      <c r="J929" s="17">
        <f t="shared" si="25"/>
        <v>0</v>
      </c>
      <c r="K929" s="17"/>
      <c r="L929" s="16" t="s">
        <v>18</v>
      </c>
      <c r="M929" s="16" t="s">
        <v>22</v>
      </c>
      <c r="N929" s="39" t="s">
        <v>418</v>
      </c>
    </row>
    <row r="930" spans="1:14" s="12" customFormat="1" ht="30">
      <c r="A930" s="178" t="s">
        <v>99</v>
      </c>
      <c r="B930" s="75" t="s">
        <v>1062</v>
      </c>
      <c r="C930" s="39" t="s">
        <v>290</v>
      </c>
      <c r="D930" s="236"/>
      <c r="E930" s="236"/>
      <c r="F930" s="236"/>
      <c r="G930" s="236"/>
      <c r="H930" s="40">
        <f>SUM(Tabla132112413[[#This Row],[PRIMER TRIMESTRE]:[CUARTO TRIMESTRE]])</f>
        <v>0</v>
      </c>
      <c r="I930" s="17">
        <v>1200</v>
      </c>
      <c r="J930" s="17">
        <f t="shared" si="25"/>
        <v>0</v>
      </c>
      <c r="K930" s="17"/>
      <c r="L930" s="16" t="s">
        <v>18</v>
      </c>
      <c r="M930" s="16" t="s">
        <v>22</v>
      </c>
      <c r="N930" s="39" t="s">
        <v>418</v>
      </c>
    </row>
    <row r="931" spans="1:14" s="12" customFormat="1" ht="30">
      <c r="A931" s="178" t="s">
        <v>99</v>
      </c>
      <c r="B931" s="75" t="s">
        <v>1066</v>
      </c>
      <c r="C931" s="39" t="s">
        <v>1067</v>
      </c>
      <c r="D931" s="236"/>
      <c r="E931" s="236"/>
      <c r="F931" s="236"/>
      <c r="G931" s="236"/>
      <c r="H931" s="40">
        <f>SUM(Tabla132112413[[#This Row],[PRIMER TRIMESTRE]:[CUARTO TRIMESTRE]])</f>
        <v>0</v>
      </c>
      <c r="I931" s="17">
        <v>10000</v>
      </c>
      <c r="J931" s="17">
        <f t="shared" si="25"/>
        <v>0</v>
      </c>
      <c r="K931" s="17"/>
      <c r="L931" s="16" t="s">
        <v>18</v>
      </c>
      <c r="M931" s="16" t="s">
        <v>22</v>
      </c>
      <c r="N931" s="39" t="s">
        <v>418</v>
      </c>
    </row>
    <row r="932" spans="1:14" s="12" customFormat="1" ht="30">
      <c r="A932" s="178" t="s">
        <v>99</v>
      </c>
      <c r="B932" s="75" t="s">
        <v>1068</v>
      </c>
      <c r="C932" s="39" t="s">
        <v>1067</v>
      </c>
      <c r="D932" s="236"/>
      <c r="E932" s="236"/>
      <c r="F932" s="236"/>
      <c r="G932" s="236"/>
      <c r="H932" s="40">
        <f>SUM(Tabla132112413[[#This Row],[PRIMER TRIMESTRE]:[CUARTO TRIMESTRE]])</f>
        <v>0</v>
      </c>
      <c r="I932" s="17">
        <v>10000</v>
      </c>
      <c r="J932" s="17">
        <f t="shared" si="25"/>
        <v>0</v>
      </c>
      <c r="K932" s="17"/>
      <c r="L932" s="16" t="s">
        <v>18</v>
      </c>
      <c r="M932" s="16" t="s">
        <v>22</v>
      </c>
      <c r="N932" s="39" t="s">
        <v>418</v>
      </c>
    </row>
    <row r="933" spans="1:14" s="12" customFormat="1" ht="30">
      <c r="A933" s="178" t="s">
        <v>99</v>
      </c>
      <c r="B933" s="75" t="s">
        <v>1069</v>
      </c>
      <c r="C933" s="39" t="s">
        <v>718</v>
      </c>
      <c r="D933" s="236"/>
      <c r="E933" s="236"/>
      <c r="F933" s="236"/>
      <c r="G933" s="236"/>
      <c r="H933" s="40">
        <f>SUM(Tabla132112413[[#This Row],[PRIMER TRIMESTRE]:[CUARTO TRIMESTRE]])</f>
        <v>0</v>
      </c>
      <c r="I933" s="17">
        <v>10000</v>
      </c>
      <c r="J933" s="17">
        <f t="shared" si="25"/>
        <v>0</v>
      </c>
      <c r="K933" s="17"/>
      <c r="L933" s="16" t="s">
        <v>18</v>
      </c>
      <c r="M933" s="16" t="s">
        <v>22</v>
      </c>
      <c r="N933" s="39" t="s">
        <v>418</v>
      </c>
    </row>
    <row r="934" spans="1:14" s="12" customFormat="1" ht="38.25">
      <c r="A934" s="178" t="s">
        <v>99</v>
      </c>
      <c r="B934" s="75" t="s">
        <v>1070</v>
      </c>
      <c r="C934" s="39" t="s">
        <v>208</v>
      </c>
      <c r="D934" s="236"/>
      <c r="E934" s="236"/>
      <c r="F934" s="236"/>
      <c r="G934" s="236"/>
      <c r="H934" s="40">
        <f>SUM(Tabla132112413[[#This Row],[PRIMER TRIMESTRE]:[CUARTO TRIMESTRE]])</f>
        <v>0</v>
      </c>
      <c r="I934" s="17">
        <v>10000</v>
      </c>
      <c r="J934" s="17">
        <f t="shared" si="25"/>
        <v>0</v>
      </c>
      <c r="K934" s="17"/>
      <c r="L934" s="16" t="s">
        <v>18</v>
      </c>
      <c r="M934" s="16" t="s">
        <v>22</v>
      </c>
      <c r="N934" s="39" t="s">
        <v>418</v>
      </c>
    </row>
    <row r="935" spans="1:14" s="12" customFormat="1" ht="30">
      <c r="A935" s="178" t="s">
        <v>99</v>
      </c>
      <c r="B935" s="75" t="s">
        <v>1071</v>
      </c>
      <c r="C935" s="39" t="s">
        <v>1065</v>
      </c>
      <c r="D935" s="236"/>
      <c r="E935" s="236"/>
      <c r="F935" s="236"/>
      <c r="G935" s="236"/>
      <c r="H935" s="40">
        <f>SUM(Tabla132112413[[#This Row],[PRIMER TRIMESTRE]:[CUARTO TRIMESTRE]])</f>
        <v>0</v>
      </c>
      <c r="I935" s="17">
        <v>800</v>
      </c>
      <c r="J935" s="17">
        <f t="shared" si="25"/>
        <v>0</v>
      </c>
      <c r="K935" s="17"/>
      <c r="L935" s="16" t="s">
        <v>18</v>
      </c>
      <c r="M935" s="16" t="s">
        <v>22</v>
      </c>
      <c r="N935" s="39" t="s">
        <v>418</v>
      </c>
    </row>
    <row r="936" spans="1:14" s="12" customFormat="1" ht="30">
      <c r="A936" s="178" t="s">
        <v>99</v>
      </c>
      <c r="B936" s="75" t="s">
        <v>1072</v>
      </c>
      <c r="C936" s="39" t="s">
        <v>1073</v>
      </c>
      <c r="D936" s="236"/>
      <c r="E936" s="236"/>
      <c r="F936" s="236"/>
      <c r="G936" s="236"/>
      <c r="H936" s="40">
        <f>SUM(Tabla132112413[[#This Row],[PRIMER TRIMESTRE]:[CUARTO TRIMESTRE]])</f>
        <v>0</v>
      </c>
      <c r="I936" s="17">
        <v>7500</v>
      </c>
      <c r="J936" s="17">
        <f t="shared" si="25"/>
        <v>0</v>
      </c>
      <c r="K936" s="17"/>
      <c r="L936" s="16" t="s">
        <v>18</v>
      </c>
      <c r="M936" s="16" t="s">
        <v>22</v>
      </c>
      <c r="N936" s="39" t="s">
        <v>418</v>
      </c>
    </row>
    <row r="937" spans="1:14" s="12" customFormat="1" ht="30">
      <c r="A937" s="178" t="s">
        <v>99</v>
      </c>
      <c r="B937" s="75" t="s">
        <v>1074</v>
      </c>
      <c r="C937" s="39" t="s">
        <v>1067</v>
      </c>
      <c r="D937" s="236"/>
      <c r="E937" s="236"/>
      <c r="F937" s="236"/>
      <c r="G937" s="236"/>
      <c r="H937" s="40">
        <f>SUM(Tabla132112413[[#This Row],[PRIMER TRIMESTRE]:[CUARTO TRIMESTRE]])</f>
        <v>0</v>
      </c>
      <c r="I937" s="17">
        <v>1000</v>
      </c>
      <c r="J937" s="17">
        <f t="shared" si="25"/>
        <v>0</v>
      </c>
      <c r="K937" s="17"/>
      <c r="L937" s="16" t="s">
        <v>18</v>
      </c>
      <c r="M937" s="16" t="s">
        <v>22</v>
      </c>
      <c r="N937" s="39" t="s">
        <v>418</v>
      </c>
    </row>
    <row r="938" spans="1:14" s="12" customFormat="1" ht="30">
      <c r="A938" s="178" t="s">
        <v>99</v>
      </c>
      <c r="B938" s="75" t="s">
        <v>1075</v>
      </c>
      <c r="C938" s="39" t="s">
        <v>1067</v>
      </c>
      <c r="D938" s="236"/>
      <c r="E938" s="236"/>
      <c r="F938" s="236"/>
      <c r="G938" s="236"/>
      <c r="H938" s="40">
        <f>SUM(Tabla132112413[[#This Row],[PRIMER TRIMESTRE]:[CUARTO TRIMESTRE]])</f>
        <v>0</v>
      </c>
      <c r="I938" s="17">
        <v>2500</v>
      </c>
      <c r="J938" s="17">
        <f t="shared" si="25"/>
        <v>0</v>
      </c>
      <c r="K938" s="17"/>
      <c r="L938" s="16" t="s">
        <v>18</v>
      </c>
      <c r="M938" s="16" t="s">
        <v>22</v>
      </c>
      <c r="N938" s="39" t="s">
        <v>418</v>
      </c>
    </row>
    <row r="939" spans="1:14" s="12" customFormat="1" ht="30">
      <c r="A939" s="178" t="s">
        <v>99</v>
      </c>
      <c r="B939" s="75" t="s">
        <v>1076</v>
      </c>
      <c r="C939" s="39" t="s">
        <v>1067</v>
      </c>
      <c r="D939" s="236"/>
      <c r="E939" s="236"/>
      <c r="F939" s="236"/>
      <c r="G939" s="236"/>
      <c r="H939" s="40">
        <f>SUM(Tabla132112413[[#This Row],[PRIMER TRIMESTRE]:[CUARTO TRIMESTRE]])</f>
        <v>0</v>
      </c>
      <c r="I939" s="17">
        <v>10000</v>
      </c>
      <c r="J939" s="17">
        <f t="shared" si="25"/>
        <v>0</v>
      </c>
      <c r="K939" s="17"/>
      <c r="L939" s="16" t="s">
        <v>18</v>
      </c>
      <c r="M939" s="16" t="s">
        <v>22</v>
      </c>
      <c r="N939" s="39" t="s">
        <v>418</v>
      </c>
    </row>
    <row r="940" spans="1:14" s="12" customFormat="1" ht="30">
      <c r="A940" s="178" t="s">
        <v>99</v>
      </c>
      <c r="B940" s="75" t="s">
        <v>1077</v>
      </c>
      <c r="C940" s="39" t="s">
        <v>718</v>
      </c>
      <c r="D940" s="236"/>
      <c r="E940" s="236"/>
      <c r="F940" s="236"/>
      <c r="G940" s="236"/>
      <c r="H940" s="40">
        <f>SUM(Tabla132112413[[#This Row],[PRIMER TRIMESTRE]:[CUARTO TRIMESTRE]])</f>
        <v>0</v>
      </c>
      <c r="I940" s="17">
        <v>10000</v>
      </c>
      <c r="J940" s="17">
        <f t="shared" si="25"/>
        <v>0</v>
      </c>
      <c r="K940" s="17"/>
      <c r="L940" s="16" t="s">
        <v>18</v>
      </c>
      <c r="M940" s="16" t="s">
        <v>22</v>
      </c>
      <c r="N940" s="39" t="s">
        <v>418</v>
      </c>
    </row>
    <row r="941" spans="1:14" s="12" customFormat="1" ht="38.25">
      <c r="A941" s="178" t="s">
        <v>99</v>
      </c>
      <c r="B941" s="75" t="s">
        <v>1078</v>
      </c>
      <c r="C941" s="39" t="s">
        <v>1067</v>
      </c>
      <c r="D941" s="236"/>
      <c r="E941" s="236"/>
      <c r="F941" s="236"/>
      <c r="G941" s="236"/>
      <c r="H941" s="40">
        <f>SUM(Tabla132112413[[#This Row],[PRIMER TRIMESTRE]:[CUARTO TRIMESTRE]])</f>
        <v>0</v>
      </c>
      <c r="I941" s="17">
        <v>1000</v>
      </c>
      <c r="J941" s="17">
        <f t="shared" si="25"/>
        <v>0</v>
      </c>
      <c r="K941" s="17"/>
      <c r="L941" s="16" t="s">
        <v>18</v>
      </c>
      <c r="M941" s="16" t="s">
        <v>22</v>
      </c>
      <c r="N941" s="39" t="s">
        <v>418</v>
      </c>
    </row>
    <row r="942" spans="1:14" s="12" customFormat="1" ht="30">
      <c r="A942" s="178" t="s">
        <v>99</v>
      </c>
      <c r="B942" s="75" t="s">
        <v>1079</v>
      </c>
      <c r="C942" s="39" t="s">
        <v>208</v>
      </c>
      <c r="D942" s="236"/>
      <c r="E942" s="236"/>
      <c r="F942" s="236"/>
      <c r="G942" s="236"/>
      <c r="H942" s="40">
        <f>SUM(Tabla132112413[[#This Row],[PRIMER TRIMESTRE]:[CUARTO TRIMESTRE]])</f>
        <v>0</v>
      </c>
      <c r="I942" s="17">
        <v>250</v>
      </c>
      <c r="J942" s="17">
        <f t="shared" si="25"/>
        <v>0</v>
      </c>
      <c r="K942" s="17"/>
      <c r="L942" s="16" t="s">
        <v>18</v>
      </c>
      <c r="M942" s="16" t="s">
        <v>22</v>
      </c>
      <c r="N942" s="39" t="s">
        <v>418</v>
      </c>
    </row>
    <row r="943" spans="1:14" s="12" customFormat="1" ht="38.25">
      <c r="A943" s="178" t="s">
        <v>99</v>
      </c>
      <c r="B943" s="75" t="s">
        <v>1080</v>
      </c>
      <c r="C943" s="39" t="s">
        <v>1067</v>
      </c>
      <c r="D943" s="236"/>
      <c r="E943" s="236"/>
      <c r="F943" s="236"/>
      <c r="G943" s="236"/>
      <c r="H943" s="40">
        <f>SUM(Tabla132112413[[#This Row],[PRIMER TRIMESTRE]:[CUARTO TRIMESTRE]])</f>
        <v>0</v>
      </c>
      <c r="I943" s="17">
        <v>1000</v>
      </c>
      <c r="J943" s="17">
        <f t="shared" si="25"/>
        <v>0</v>
      </c>
      <c r="K943" s="17"/>
      <c r="L943" s="16" t="s">
        <v>18</v>
      </c>
      <c r="M943" s="16" t="s">
        <v>22</v>
      </c>
      <c r="N943" s="39" t="s">
        <v>418</v>
      </c>
    </row>
    <row r="944" spans="1:14" s="12" customFormat="1" ht="38.25">
      <c r="A944" s="178" t="s">
        <v>99</v>
      </c>
      <c r="B944" s="75" t="s">
        <v>1081</v>
      </c>
      <c r="C944" s="39" t="s">
        <v>1067</v>
      </c>
      <c r="D944" s="236"/>
      <c r="E944" s="236"/>
      <c r="F944" s="236"/>
      <c r="G944" s="236"/>
      <c r="H944" s="40">
        <f>SUM(Tabla132112413[[#This Row],[PRIMER TRIMESTRE]:[CUARTO TRIMESTRE]])</f>
        <v>0</v>
      </c>
      <c r="I944" s="17">
        <v>1000</v>
      </c>
      <c r="J944" s="17">
        <f t="shared" si="25"/>
        <v>0</v>
      </c>
      <c r="K944" s="17"/>
      <c r="L944" s="16" t="s">
        <v>18</v>
      </c>
      <c r="M944" s="16" t="s">
        <v>22</v>
      </c>
      <c r="N944" s="39" t="s">
        <v>418</v>
      </c>
    </row>
    <row r="945" spans="1:14" s="12" customFormat="1" ht="38.25">
      <c r="A945" s="178" t="s">
        <v>99</v>
      </c>
      <c r="B945" s="75" t="s">
        <v>1082</v>
      </c>
      <c r="C945" s="39" t="s">
        <v>1067</v>
      </c>
      <c r="D945" s="236"/>
      <c r="E945" s="236"/>
      <c r="F945" s="236"/>
      <c r="G945" s="236"/>
      <c r="H945" s="40">
        <f>SUM(Tabla132112413[[#This Row],[PRIMER TRIMESTRE]:[CUARTO TRIMESTRE]])</f>
        <v>0</v>
      </c>
      <c r="I945" s="17">
        <v>1000</v>
      </c>
      <c r="J945" s="17">
        <f t="shared" si="25"/>
        <v>0</v>
      </c>
      <c r="K945" s="17"/>
      <c r="L945" s="16" t="s">
        <v>18</v>
      </c>
      <c r="M945" s="16" t="s">
        <v>22</v>
      </c>
      <c r="N945" s="39" t="s">
        <v>418</v>
      </c>
    </row>
    <row r="946" spans="1:14" s="12" customFormat="1" ht="30">
      <c r="A946" s="178" t="s">
        <v>99</v>
      </c>
      <c r="B946" s="75" t="s">
        <v>1083</v>
      </c>
      <c r="C946" s="39" t="s">
        <v>1067</v>
      </c>
      <c r="D946" s="236"/>
      <c r="E946" s="236"/>
      <c r="F946" s="236"/>
      <c r="G946" s="236"/>
      <c r="H946" s="40">
        <f>SUM(Tabla132112413[[#This Row],[PRIMER TRIMESTRE]:[CUARTO TRIMESTRE]])</f>
        <v>0</v>
      </c>
      <c r="I946" s="17">
        <v>300</v>
      </c>
      <c r="J946" s="17">
        <f t="shared" si="25"/>
        <v>0</v>
      </c>
      <c r="K946" s="17"/>
      <c r="L946" s="16" t="s">
        <v>18</v>
      </c>
      <c r="M946" s="16" t="s">
        <v>22</v>
      </c>
      <c r="N946" s="39" t="s">
        <v>418</v>
      </c>
    </row>
    <row r="947" spans="1:14" s="12" customFormat="1" ht="30">
      <c r="A947" s="178" t="s">
        <v>99</v>
      </c>
      <c r="B947" s="75" t="s">
        <v>1084</v>
      </c>
      <c r="C947" s="39" t="s">
        <v>1067</v>
      </c>
      <c r="D947" s="236"/>
      <c r="E947" s="236"/>
      <c r="F947" s="236"/>
      <c r="G947" s="236"/>
      <c r="H947" s="40">
        <f>SUM(Tabla132112413[[#This Row],[PRIMER TRIMESTRE]:[CUARTO TRIMESTRE]])</f>
        <v>0</v>
      </c>
      <c r="I947" s="17">
        <v>1500</v>
      </c>
      <c r="J947" s="17">
        <f t="shared" si="25"/>
        <v>0</v>
      </c>
      <c r="K947" s="17"/>
      <c r="L947" s="16" t="s">
        <v>18</v>
      </c>
      <c r="M947" s="16" t="s">
        <v>22</v>
      </c>
      <c r="N947" s="39" t="s">
        <v>418</v>
      </c>
    </row>
    <row r="948" spans="1:14" s="12" customFormat="1" ht="30">
      <c r="A948" s="178" t="s">
        <v>99</v>
      </c>
      <c r="B948" s="75" t="s">
        <v>1085</v>
      </c>
      <c r="C948" s="39" t="s">
        <v>1067</v>
      </c>
      <c r="D948" s="236"/>
      <c r="E948" s="236"/>
      <c r="F948" s="236"/>
      <c r="G948" s="236"/>
      <c r="H948" s="40">
        <f>SUM(Tabla132112413[[#This Row],[PRIMER TRIMESTRE]:[CUARTO TRIMESTRE]])</f>
        <v>0</v>
      </c>
      <c r="I948" s="17">
        <v>700</v>
      </c>
      <c r="J948" s="17">
        <f t="shared" si="25"/>
        <v>0</v>
      </c>
      <c r="K948" s="17"/>
      <c r="L948" s="16" t="s">
        <v>18</v>
      </c>
      <c r="M948" s="16" t="s">
        <v>22</v>
      </c>
      <c r="N948" s="39" t="s">
        <v>418</v>
      </c>
    </row>
    <row r="949" spans="1:14" s="12" customFormat="1" ht="30">
      <c r="A949" s="178" t="s">
        <v>99</v>
      </c>
      <c r="B949" s="75" t="s">
        <v>1086</v>
      </c>
      <c r="C949" s="39" t="s">
        <v>1067</v>
      </c>
      <c r="D949" s="236"/>
      <c r="E949" s="236"/>
      <c r="F949" s="236"/>
      <c r="G949" s="236"/>
      <c r="H949" s="40">
        <f>SUM(Tabla132112413[[#This Row],[PRIMER TRIMESTRE]:[CUARTO TRIMESTRE]])</f>
        <v>0</v>
      </c>
      <c r="I949" s="17">
        <v>1500</v>
      </c>
      <c r="J949" s="17">
        <f t="shared" si="25"/>
        <v>0</v>
      </c>
      <c r="K949" s="17"/>
      <c r="L949" s="16" t="s">
        <v>18</v>
      </c>
      <c r="M949" s="16" t="s">
        <v>22</v>
      </c>
      <c r="N949" s="39" t="s">
        <v>418</v>
      </c>
    </row>
    <row r="950" spans="1:14" s="12" customFormat="1" ht="30">
      <c r="A950" s="178" t="s">
        <v>99</v>
      </c>
      <c r="B950" s="75" t="s">
        <v>1087</v>
      </c>
      <c r="C950" s="39" t="s">
        <v>208</v>
      </c>
      <c r="D950" s="236"/>
      <c r="E950" s="236"/>
      <c r="F950" s="236"/>
      <c r="G950" s="236"/>
      <c r="H950" s="40">
        <f>SUM(Tabla132112413[[#This Row],[PRIMER TRIMESTRE]:[CUARTO TRIMESTRE]])</f>
        <v>0</v>
      </c>
      <c r="I950" s="17">
        <v>500</v>
      </c>
      <c r="J950" s="17">
        <f t="shared" si="25"/>
        <v>0</v>
      </c>
      <c r="K950" s="17"/>
      <c r="L950" s="16" t="s">
        <v>18</v>
      </c>
      <c r="M950" s="16" t="s">
        <v>22</v>
      </c>
      <c r="N950" s="39" t="s">
        <v>418</v>
      </c>
    </row>
    <row r="951" spans="1:14" s="12" customFormat="1" ht="51">
      <c r="A951" s="178" t="s">
        <v>99</v>
      </c>
      <c r="B951" s="75" t="s">
        <v>1088</v>
      </c>
      <c r="C951" s="39" t="s">
        <v>1067</v>
      </c>
      <c r="D951" s="236"/>
      <c r="E951" s="236"/>
      <c r="F951" s="236"/>
      <c r="G951" s="236"/>
      <c r="H951" s="40">
        <f>SUM(Tabla132112413[[#This Row],[PRIMER TRIMESTRE]:[CUARTO TRIMESTRE]])</f>
        <v>0</v>
      </c>
      <c r="I951" s="17">
        <v>15000</v>
      </c>
      <c r="J951" s="17">
        <f t="shared" si="25"/>
        <v>0</v>
      </c>
      <c r="K951" s="17"/>
      <c r="L951" s="16" t="s">
        <v>18</v>
      </c>
      <c r="M951" s="16" t="s">
        <v>22</v>
      </c>
      <c r="N951" s="39" t="s">
        <v>418</v>
      </c>
    </row>
    <row r="952" spans="1:14" s="12" customFormat="1" ht="30">
      <c r="A952" s="178" t="s">
        <v>99</v>
      </c>
      <c r="B952" s="75" t="s">
        <v>1089</v>
      </c>
      <c r="C952" s="39" t="s">
        <v>1090</v>
      </c>
      <c r="D952" s="236"/>
      <c r="E952" s="236"/>
      <c r="F952" s="236"/>
      <c r="G952" s="236"/>
      <c r="H952" s="40">
        <f>SUM(Tabla132112413[[#This Row],[PRIMER TRIMESTRE]:[CUARTO TRIMESTRE]])</f>
        <v>0</v>
      </c>
      <c r="I952" s="17">
        <v>50</v>
      </c>
      <c r="J952" s="17">
        <f t="shared" si="25"/>
        <v>0</v>
      </c>
      <c r="K952" s="17"/>
      <c r="L952" s="16" t="s">
        <v>18</v>
      </c>
      <c r="M952" s="16" t="s">
        <v>22</v>
      </c>
      <c r="N952" s="39" t="s">
        <v>418</v>
      </c>
    </row>
    <row r="953" spans="1:14" s="12" customFormat="1" ht="30">
      <c r="A953" s="178" t="s">
        <v>99</v>
      </c>
      <c r="B953" s="75" t="s">
        <v>1091</v>
      </c>
      <c r="C953" s="39" t="s">
        <v>718</v>
      </c>
      <c r="D953" s="236"/>
      <c r="E953" s="236"/>
      <c r="F953" s="236"/>
      <c r="G953" s="236"/>
      <c r="H953" s="40">
        <f>SUM(Tabla132112413[[#This Row],[PRIMER TRIMESTRE]:[CUARTO TRIMESTRE]])</f>
        <v>0</v>
      </c>
      <c r="I953" s="17">
        <v>2000</v>
      </c>
      <c r="J953" s="17">
        <f t="shared" si="25"/>
        <v>0</v>
      </c>
      <c r="K953" s="17"/>
      <c r="L953" s="16" t="s">
        <v>18</v>
      </c>
      <c r="M953" s="16" t="s">
        <v>22</v>
      </c>
      <c r="N953" s="39" t="s">
        <v>418</v>
      </c>
    </row>
    <row r="954" spans="1:14" s="12" customFormat="1" ht="30">
      <c r="A954" s="178" t="s">
        <v>99</v>
      </c>
      <c r="B954" s="75" t="s">
        <v>1092</v>
      </c>
      <c r="C954" s="39" t="s">
        <v>1067</v>
      </c>
      <c r="D954" s="236"/>
      <c r="E954" s="236"/>
      <c r="F954" s="236"/>
      <c r="G954" s="236"/>
      <c r="H954" s="40">
        <f>SUM(Tabla132112413[[#This Row],[PRIMER TRIMESTRE]:[CUARTO TRIMESTRE]])</f>
        <v>0</v>
      </c>
      <c r="I954" s="17">
        <v>200</v>
      </c>
      <c r="J954" s="17">
        <f t="shared" si="25"/>
        <v>0</v>
      </c>
      <c r="K954" s="17"/>
      <c r="L954" s="16" t="s">
        <v>27</v>
      </c>
      <c r="M954" s="16" t="s">
        <v>22</v>
      </c>
      <c r="N954" s="39" t="s">
        <v>418</v>
      </c>
    </row>
    <row r="955" spans="1:14" s="12" customFormat="1" ht="30">
      <c r="A955" s="178" t="s">
        <v>99</v>
      </c>
      <c r="B955" s="75" t="s">
        <v>1093</v>
      </c>
      <c r="C955" s="39" t="s">
        <v>1067</v>
      </c>
      <c r="D955" s="236"/>
      <c r="E955" s="236"/>
      <c r="F955" s="236"/>
      <c r="G955" s="236"/>
      <c r="H955" s="40">
        <f>SUM(Tabla132112413[[#This Row],[PRIMER TRIMESTRE]:[CUARTO TRIMESTRE]])</f>
        <v>0</v>
      </c>
      <c r="I955" s="17">
        <v>100</v>
      </c>
      <c r="J955" s="17">
        <f t="shared" si="25"/>
        <v>0</v>
      </c>
      <c r="K955" s="17"/>
      <c r="L955" s="16" t="s">
        <v>18</v>
      </c>
      <c r="M955" s="16" t="s">
        <v>22</v>
      </c>
      <c r="N955" s="39" t="s">
        <v>418</v>
      </c>
    </row>
    <row r="956" spans="1:14" s="12" customFormat="1" ht="30">
      <c r="A956" s="178" t="s">
        <v>99</v>
      </c>
      <c r="B956" s="75" t="s">
        <v>1094</v>
      </c>
      <c r="C956" s="39" t="s">
        <v>208</v>
      </c>
      <c r="D956" s="236"/>
      <c r="E956" s="236"/>
      <c r="F956" s="236"/>
      <c r="G956" s="236"/>
      <c r="H956" s="40">
        <f>SUM(Tabla132112413[[#This Row],[PRIMER TRIMESTRE]:[CUARTO TRIMESTRE]])</f>
        <v>0</v>
      </c>
      <c r="I956" s="17">
        <v>200</v>
      </c>
      <c r="J956" s="17">
        <f t="shared" si="25"/>
        <v>0</v>
      </c>
      <c r="K956" s="17"/>
      <c r="L956" s="16" t="s">
        <v>18</v>
      </c>
      <c r="M956" s="16" t="s">
        <v>22</v>
      </c>
      <c r="N956" s="39" t="s">
        <v>418</v>
      </c>
    </row>
    <row r="957" spans="1:14" s="12" customFormat="1" ht="30">
      <c r="A957" s="178" t="s">
        <v>99</v>
      </c>
      <c r="B957" s="75" t="s">
        <v>1095</v>
      </c>
      <c r="C957" s="39" t="s">
        <v>208</v>
      </c>
      <c r="D957" s="236"/>
      <c r="E957" s="236"/>
      <c r="F957" s="236"/>
      <c r="G957" s="236"/>
      <c r="H957" s="40">
        <f>SUM(Tabla132112413[[#This Row],[PRIMER TRIMESTRE]:[CUARTO TRIMESTRE]])</f>
        <v>0</v>
      </c>
      <c r="I957" s="17">
        <v>200</v>
      </c>
      <c r="J957" s="17">
        <f t="shared" si="25"/>
        <v>0</v>
      </c>
      <c r="K957" s="17"/>
      <c r="L957" s="16" t="s">
        <v>18</v>
      </c>
      <c r="M957" s="16" t="s">
        <v>22</v>
      </c>
      <c r="N957" s="39" t="s">
        <v>418</v>
      </c>
    </row>
    <row r="958" spans="1:14" s="12" customFormat="1" ht="30">
      <c r="A958" s="178" t="s">
        <v>99</v>
      </c>
      <c r="B958" s="75" t="s">
        <v>1096</v>
      </c>
      <c r="C958" s="39" t="s">
        <v>208</v>
      </c>
      <c r="D958" s="236"/>
      <c r="E958" s="236"/>
      <c r="F958" s="236"/>
      <c r="G958" s="236"/>
      <c r="H958" s="40">
        <f>SUM(Tabla132112413[[#This Row],[PRIMER TRIMESTRE]:[CUARTO TRIMESTRE]])</f>
        <v>0</v>
      </c>
      <c r="I958" s="17">
        <v>500</v>
      </c>
      <c r="J958" s="17">
        <f t="shared" si="25"/>
        <v>0</v>
      </c>
      <c r="K958" s="17"/>
      <c r="L958" s="16" t="s">
        <v>18</v>
      </c>
      <c r="M958" s="16" t="s">
        <v>22</v>
      </c>
      <c r="N958" s="39" t="s">
        <v>418</v>
      </c>
    </row>
    <row r="959" spans="1:14" s="12" customFormat="1" ht="30">
      <c r="A959" s="178" t="s">
        <v>99</v>
      </c>
      <c r="B959" s="75" t="s">
        <v>1098</v>
      </c>
      <c r="C959" s="39" t="s">
        <v>1099</v>
      </c>
      <c r="D959" s="236"/>
      <c r="E959" s="236"/>
      <c r="F959" s="236"/>
      <c r="G959" s="236"/>
      <c r="H959" s="40">
        <f>SUM(Tabla132112413[[#This Row],[PRIMER TRIMESTRE]:[CUARTO TRIMESTRE]])</f>
        <v>0</v>
      </c>
      <c r="I959" s="17">
        <v>115</v>
      </c>
      <c r="J959" s="17">
        <f t="shared" si="25"/>
        <v>0</v>
      </c>
      <c r="K959" s="17"/>
      <c r="L959" s="16" t="s">
        <v>18</v>
      </c>
      <c r="M959" s="16" t="s">
        <v>22</v>
      </c>
      <c r="N959" s="39" t="s">
        <v>418</v>
      </c>
    </row>
    <row r="960" spans="1:14" s="12" customFormat="1" ht="30">
      <c r="A960" s="178" t="s">
        <v>99</v>
      </c>
      <c r="B960" s="75" t="s">
        <v>1100</v>
      </c>
      <c r="C960" s="39" t="s">
        <v>1067</v>
      </c>
      <c r="D960" s="236"/>
      <c r="E960" s="236"/>
      <c r="F960" s="236"/>
      <c r="G960" s="236"/>
      <c r="H960" s="40">
        <f>SUM(Tabla132112413[[#This Row],[PRIMER TRIMESTRE]:[CUARTO TRIMESTRE]])</f>
        <v>0</v>
      </c>
      <c r="I960" s="17">
        <v>50</v>
      </c>
      <c r="J960" s="17">
        <f t="shared" si="25"/>
        <v>0</v>
      </c>
      <c r="K960" s="17"/>
      <c r="L960" s="16" t="s">
        <v>18</v>
      </c>
      <c r="M960" s="16" t="s">
        <v>22</v>
      </c>
      <c r="N960" s="39" t="s">
        <v>418</v>
      </c>
    </row>
    <row r="961" spans="1:14" s="12" customFormat="1" ht="30">
      <c r="A961" s="178" t="s">
        <v>99</v>
      </c>
      <c r="B961" s="75" t="s">
        <v>1101</v>
      </c>
      <c r="C961" s="39" t="s">
        <v>35</v>
      </c>
      <c r="D961" s="236"/>
      <c r="E961" s="236"/>
      <c r="F961" s="236"/>
      <c r="G961" s="236"/>
      <c r="H961" s="40">
        <f>SUM(Tabla132112413[[#This Row],[PRIMER TRIMESTRE]:[CUARTO TRIMESTRE]])</f>
        <v>0</v>
      </c>
      <c r="I961" s="17">
        <v>2000</v>
      </c>
      <c r="J961" s="17">
        <f t="shared" si="25"/>
        <v>0</v>
      </c>
      <c r="K961" s="17"/>
      <c r="L961" s="16" t="s">
        <v>18</v>
      </c>
      <c r="M961" s="16" t="s">
        <v>22</v>
      </c>
      <c r="N961" s="39" t="s">
        <v>418</v>
      </c>
    </row>
    <row r="962" spans="1:14" s="12" customFormat="1" ht="30">
      <c r="A962" s="178" t="s">
        <v>99</v>
      </c>
      <c r="B962" s="75" t="s">
        <v>1626</v>
      </c>
      <c r="C962" s="39" t="s">
        <v>35</v>
      </c>
      <c r="D962" s="236"/>
      <c r="E962" s="236"/>
      <c r="F962" s="236"/>
      <c r="G962" s="236"/>
      <c r="H962" s="236">
        <f>SUM(Tabla132112413[[#This Row],[PRIMER TRIMESTRE]:[CUARTO TRIMESTRE]])</f>
        <v>0</v>
      </c>
      <c r="I962" s="17">
        <v>2850</v>
      </c>
      <c r="J962" s="17">
        <f t="shared" si="25"/>
        <v>0</v>
      </c>
      <c r="K962" s="17"/>
      <c r="L962" s="16" t="s">
        <v>18</v>
      </c>
      <c r="M962" s="16" t="s">
        <v>22</v>
      </c>
      <c r="N962" s="39" t="s">
        <v>418</v>
      </c>
    </row>
    <row r="963" spans="1:14" s="12" customFormat="1" ht="30">
      <c r="A963" s="178" t="s">
        <v>99</v>
      </c>
      <c r="B963" s="75" t="s">
        <v>1102</v>
      </c>
      <c r="C963" s="39" t="s">
        <v>1065</v>
      </c>
      <c r="D963" s="236"/>
      <c r="E963" s="236"/>
      <c r="F963" s="236"/>
      <c r="G963" s="236"/>
      <c r="H963" s="40">
        <f>SUM(Tabla132112413[[#This Row],[PRIMER TRIMESTRE]:[CUARTO TRIMESTRE]])</f>
        <v>0</v>
      </c>
      <c r="I963" s="17">
        <v>100</v>
      </c>
      <c r="J963" s="17">
        <f t="shared" si="25"/>
        <v>0</v>
      </c>
      <c r="K963" s="17"/>
      <c r="L963" s="16" t="s">
        <v>18</v>
      </c>
      <c r="M963" s="16" t="s">
        <v>22</v>
      </c>
      <c r="N963" s="39" t="s">
        <v>418</v>
      </c>
    </row>
    <row r="964" spans="1:14" s="12" customFormat="1" ht="30">
      <c r="A964" s="178" t="s">
        <v>99</v>
      </c>
      <c r="B964" s="75" t="s">
        <v>1103</v>
      </c>
      <c r="C964" s="39" t="s">
        <v>1065</v>
      </c>
      <c r="D964" s="236"/>
      <c r="E964" s="236"/>
      <c r="F964" s="236"/>
      <c r="G964" s="236"/>
      <c r="H964" s="40">
        <f>SUM(Tabla132112413[[#This Row],[PRIMER TRIMESTRE]:[CUARTO TRIMESTRE]])</f>
        <v>0</v>
      </c>
      <c r="I964" s="17">
        <v>100</v>
      </c>
      <c r="J964" s="17">
        <f t="shared" ref="J964:J1020" si="26">+H964*I964</f>
        <v>0</v>
      </c>
      <c r="K964" s="17"/>
      <c r="L964" s="16" t="s">
        <v>18</v>
      </c>
      <c r="M964" s="16" t="s">
        <v>22</v>
      </c>
      <c r="N964" s="39" t="s">
        <v>418</v>
      </c>
    </row>
    <row r="965" spans="1:14" s="12" customFormat="1" ht="30">
      <c r="A965" s="178" t="s">
        <v>99</v>
      </c>
      <c r="B965" s="75" t="s">
        <v>1104</v>
      </c>
      <c r="C965" s="39" t="s">
        <v>102</v>
      </c>
      <c r="D965" s="236"/>
      <c r="E965" s="236"/>
      <c r="F965" s="236"/>
      <c r="G965" s="236"/>
      <c r="H965" s="40">
        <f>SUM(Tabla132112413[[#This Row],[PRIMER TRIMESTRE]:[CUARTO TRIMESTRE]])</f>
        <v>0</v>
      </c>
      <c r="I965" s="17">
        <v>600</v>
      </c>
      <c r="J965" s="17">
        <f t="shared" si="26"/>
        <v>0</v>
      </c>
      <c r="K965" s="17"/>
      <c r="L965" s="16" t="s">
        <v>18</v>
      </c>
      <c r="M965" s="16" t="s">
        <v>22</v>
      </c>
      <c r="N965" s="39" t="s">
        <v>418</v>
      </c>
    </row>
    <row r="966" spans="1:14" s="12" customFormat="1" ht="30">
      <c r="A966" s="178" t="s">
        <v>99</v>
      </c>
      <c r="B966" s="75" t="s">
        <v>1106</v>
      </c>
      <c r="C966" s="39" t="s">
        <v>149</v>
      </c>
      <c r="D966" s="236"/>
      <c r="E966" s="236"/>
      <c r="F966" s="236"/>
      <c r="G966" s="236"/>
      <c r="H966" s="40">
        <f>SUM(Tabla132112413[[#This Row],[PRIMER TRIMESTRE]:[CUARTO TRIMESTRE]])</f>
        <v>0</v>
      </c>
      <c r="I966" s="17">
        <v>80</v>
      </c>
      <c r="J966" s="17">
        <f t="shared" si="26"/>
        <v>0</v>
      </c>
      <c r="K966" s="17"/>
      <c r="L966" s="16" t="s">
        <v>18</v>
      </c>
      <c r="M966" s="16" t="s">
        <v>22</v>
      </c>
      <c r="N966" s="39" t="s">
        <v>418</v>
      </c>
    </row>
    <row r="967" spans="1:14" s="12" customFormat="1" ht="30">
      <c r="A967" s="178" t="s">
        <v>99</v>
      </c>
      <c r="B967" s="75" t="s">
        <v>1107</v>
      </c>
      <c r="C967" s="39" t="s">
        <v>149</v>
      </c>
      <c r="D967" s="236"/>
      <c r="E967" s="236"/>
      <c r="F967" s="236"/>
      <c r="G967" s="236"/>
      <c r="H967" s="40">
        <f>SUM(Tabla132112413[[#This Row],[PRIMER TRIMESTRE]:[CUARTO TRIMESTRE]])</f>
        <v>0</v>
      </c>
      <c r="I967" s="17">
        <v>80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</row>
    <row r="968" spans="1:14" s="12" customFormat="1" ht="30">
      <c r="A968" s="178" t="s">
        <v>99</v>
      </c>
      <c r="B968" s="75" t="s">
        <v>306</v>
      </c>
      <c r="C968" s="39" t="s">
        <v>290</v>
      </c>
      <c r="D968" s="236"/>
      <c r="E968" s="236"/>
      <c r="F968" s="236"/>
      <c r="G968" s="236"/>
      <c r="H968" s="40">
        <f>SUM(Tabla132112413[[#This Row],[PRIMER TRIMESTRE]:[CUARTO TRIMESTRE]])</f>
        <v>0</v>
      </c>
      <c r="I968" s="17">
        <v>200</v>
      </c>
      <c r="J968" s="17">
        <f t="shared" si="26"/>
        <v>0</v>
      </c>
      <c r="K968" s="17"/>
      <c r="L968" s="16" t="s">
        <v>18</v>
      </c>
      <c r="M968" s="16" t="s">
        <v>22</v>
      </c>
      <c r="N968" s="39" t="s">
        <v>418</v>
      </c>
    </row>
    <row r="969" spans="1:14" s="12" customFormat="1" ht="76.5">
      <c r="A969" s="178" t="s">
        <v>99</v>
      </c>
      <c r="B969" s="75" t="s">
        <v>1108</v>
      </c>
      <c r="C969" s="39" t="s">
        <v>1067</v>
      </c>
      <c r="D969" s="236"/>
      <c r="E969" s="236"/>
      <c r="F969" s="236"/>
      <c r="G969" s="236"/>
      <c r="H969" s="40">
        <f>SUM(Tabla132112413[[#This Row],[PRIMER TRIMESTRE]:[CUARTO TRIMESTRE]])</f>
        <v>0</v>
      </c>
      <c r="I969" s="17">
        <v>3000</v>
      </c>
      <c r="J969" s="17">
        <f t="shared" si="26"/>
        <v>0</v>
      </c>
      <c r="K969" s="17"/>
      <c r="L969" s="16" t="s">
        <v>18</v>
      </c>
      <c r="M969" s="16" t="s">
        <v>22</v>
      </c>
      <c r="N969" s="39" t="s">
        <v>418</v>
      </c>
    </row>
    <row r="970" spans="1:14" s="12" customFormat="1" ht="51">
      <c r="A970" s="178" t="s">
        <v>99</v>
      </c>
      <c r="B970" s="75" t="s">
        <v>1109</v>
      </c>
      <c r="C970" s="39" t="s">
        <v>1067</v>
      </c>
      <c r="D970" s="236"/>
      <c r="E970" s="236"/>
      <c r="F970" s="236"/>
      <c r="G970" s="236"/>
      <c r="H970" s="40">
        <f>SUM(Tabla132112413[[#This Row],[PRIMER TRIMESTRE]:[CUARTO TRIMESTRE]])</f>
        <v>0</v>
      </c>
      <c r="I970" s="17">
        <v>2000</v>
      </c>
      <c r="J970" s="17">
        <f t="shared" si="26"/>
        <v>0</v>
      </c>
      <c r="K970" s="17"/>
      <c r="L970" s="16" t="s">
        <v>18</v>
      </c>
      <c r="M970" s="16" t="s">
        <v>22</v>
      </c>
      <c r="N970" s="39" t="s">
        <v>418</v>
      </c>
    </row>
    <row r="971" spans="1:14" s="12" customFormat="1" ht="51">
      <c r="A971" s="178" t="s">
        <v>99</v>
      </c>
      <c r="B971" s="75" t="s">
        <v>1110</v>
      </c>
      <c r="C971" s="39" t="s">
        <v>1067</v>
      </c>
      <c r="D971" s="236"/>
      <c r="E971" s="236"/>
      <c r="F971" s="236"/>
      <c r="G971" s="236"/>
      <c r="H971" s="40">
        <f>SUM(Tabla132112413[[#This Row],[PRIMER TRIMESTRE]:[CUARTO TRIMESTRE]])</f>
        <v>0</v>
      </c>
      <c r="I971" s="17">
        <v>2000</v>
      </c>
      <c r="J971" s="17">
        <f t="shared" si="26"/>
        <v>0</v>
      </c>
      <c r="K971" s="17"/>
      <c r="L971" s="16" t="s">
        <v>18</v>
      </c>
      <c r="M971" s="16" t="s">
        <v>22</v>
      </c>
      <c r="N971" s="39" t="s">
        <v>418</v>
      </c>
    </row>
    <row r="972" spans="1:14" s="12" customFormat="1" ht="51">
      <c r="A972" s="178" t="s">
        <v>99</v>
      </c>
      <c r="B972" s="75" t="s">
        <v>1111</v>
      </c>
      <c r="C972" s="39" t="s">
        <v>1067</v>
      </c>
      <c r="D972" s="236"/>
      <c r="E972" s="236"/>
      <c r="F972" s="236"/>
      <c r="G972" s="236"/>
      <c r="H972" s="40">
        <f>SUM(Tabla132112413[[#This Row],[PRIMER TRIMESTRE]:[CUARTO TRIMESTRE]])</f>
        <v>0</v>
      </c>
      <c r="I972" s="17">
        <v>2000</v>
      </c>
      <c r="J972" s="17">
        <f t="shared" si="26"/>
        <v>0</v>
      </c>
      <c r="K972" s="17"/>
      <c r="L972" s="16" t="s">
        <v>18</v>
      </c>
      <c r="M972" s="16" t="s">
        <v>22</v>
      </c>
      <c r="N972" s="39" t="s">
        <v>418</v>
      </c>
    </row>
    <row r="973" spans="1:14" s="12" customFormat="1" ht="38.25">
      <c r="A973" s="178" t="s">
        <v>99</v>
      </c>
      <c r="B973" s="75" t="s">
        <v>1112</v>
      </c>
      <c r="C973" s="39" t="s">
        <v>1067</v>
      </c>
      <c r="D973" s="236"/>
      <c r="E973" s="236"/>
      <c r="F973" s="236"/>
      <c r="G973" s="236"/>
      <c r="H973" s="40">
        <f>SUM(Tabla132112413[[#This Row],[PRIMER TRIMESTRE]:[CUARTO TRIMESTRE]])</f>
        <v>0</v>
      </c>
      <c r="I973" s="17">
        <v>20000</v>
      </c>
      <c r="J973" s="17">
        <f t="shared" si="26"/>
        <v>0</v>
      </c>
      <c r="K973" s="17"/>
      <c r="L973" s="16" t="s">
        <v>18</v>
      </c>
      <c r="M973" s="16" t="s">
        <v>22</v>
      </c>
      <c r="N973" s="39" t="s">
        <v>418</v>
      </c>
    </row>
    <row r="974" spans="1:14" s="12" customFormat="1" ht="38.25">
      <c r="A974" s="178" t="s">
        <v>99</v>
      </c>
      <c r="B974" s="75" t="s">
        <v>1113</v>
      </c>
      <c r="C974" s="39" t="s">
        <v>1067</v>
      </c>
      <c r="D974" s="236"/>
      <c r="E974" s="236"/>
      <c r="F974" s="236"/>
      <c r="G974" s="236"/>
      <c r="H974" s="40">
        <f>SUM(Tabla132112413[[#This Row],[PRIMER TRIMESTRE]:[CUARTO TRIMESTRE]])</f>
        <v>0</v>
      </c>
      <c r="I974" s="17">
        <v>5000</v>
      </c>
      <c r="J974" s="17">
        <f t="shared" si="26"/>
        <v>0</v>
      </c>
      <c r="K974" s="17"/>
      <c r="L974" s="16" t="s">
        <v>18</v>
      </c>
      <c r="M974" s="16" t="s">
        <v>22</v>
      </c>
      <c r="N974" s="39" t="s">
        <v>418</v>
      </c>
    </row>
    <row r="975" spans="1:14" s="12" customFormat="1" ht="38.25">
      <c r="A975" s="178" t="s">
        <v>99</v>
      </c>
      <c r="B975" s="75" t="s">
        <v>1114</v>
      </c>
      <c r="C975" s="39" t="s">
        <v>1067</v>
      </c>
      <c r="D975" s="236"/>
      <c r="E975" s="236"/>
      <c r="F975" s="236"/>
      <c r="G975" s="236"/>
      <c r="H975" s="40">
        <f>SUM(Tabla132112413[[#This Row],[PRIMER TRIMESTRE]:[CUARTO TRIMESTRE]])</f>
        <v>0</v>
      </c>
      <c r="I975" s="17">
        <v>80000</v>
      </c>
      <c r="J975" s="17">
        <f t="shared" si="26"/>
        <v>0</v>
      </c>
      <c r="K975" s="17"/>
      <c r="L975" s="16" t="s">
        <v>18</v>
      </c>
      <c r="M975" s="16" t="s">
        <v>22</v>
      </c>
      <c r="N975" s="39" t="s">
        <v>418</v>
      </c>
    </row>
    <row r="976" spans="1:14" s="12" customFormat="1" ht="38.25">
      <c r="A976" s="178" t="s">
        <v>99</v>
      </c>
      <c r="B976" s="75" t="s">
        <v>1115</v>
      </c>
      <c r="C976" s="39" t="s">
        <v>1067</v>
      </c>
      <c r="D976" s="236"/>
      <c r="E976" s="236"/>
      <c r="F976" s="236"/>
      <c r="G976" s="236"/>
      <c r="H976" s="40">
        <f>SUM(Tabla132112413[[#This Row],[PRIMER TRIMESTRE]:[CUARTO TRIMESTRE]])</f>
        <v>0</v>
      </c>
      <c r="I976" s="17">
        <v>38000</v>
      </c>
      <c r="J976" s="17">
        <f t="shared" si="26"/>
        <v>0</v>
      </c>
      <c r="K976" s="17"/>
      <c r="L976" s="16" t="s">
        <v>18</v>
      </c>
      <c r="M976" s="16" t="s">
        <v>22</v>
      </c>
      <c r="N976" s="39" t="s">
        <v>418</v>
      </c>
    </row>
    <row r="977" spans="1:14" s="12" customFormat="1" ht="30">
      <c r="A977" s="178" t="s">
        <v>99</v>
      </c>
      <c r="B977" s="75" t="s">
        <v>1116</v>
      </c>
      <c r="C977" s="39" t="s">
        <v>1067</v>
      </c>
      <c r="D977" s="236"/>
      <c r="E977" s="236"/>
      <c r="F977" s="236"/>
      <c r="G977" s="236"/>
      <c r="H977" s="40">
        <f>SUM(Tabla132112413[[#This Row],[PRIMER TRIMESTRE]:[CUARTO TRIMESTRE]])</f>
        <v>0</v>
      </c>
      <c r="I977" s="17">
        <v>52000</v>
      </c>
      <c r="J977" s="17">
        <f t="shared" si="26"/>
        <v>0</v>
      </c>
      <c r="K977" s="17"/>
      <c r="L977" s="16" t="s">
        <v>18</v>
      </c>
      <c r="M977" s="16" t="s">
        <v>22</v>
      </c>
      <c r="N977" s="39" t="s">
        <v>418</v>
      </c>
    </row>
    <row r="978" spans="1:14" s="12" customFormat="1" ht="30">
      <c r="A978" s="178" t="s">
        <v>99</v>
      </c>
      <c r="B978" s="75" t="s">
        <v>1117</v>
      </c>
      <c r="C978" s="39" t="s">
        <v>1067</v>
      </c>
      <c r="D978" s="236"/>
      <c r="E978" s="236"/>
      <c r="F978" s="236"/>
      <c r="G978" s="236"/>
      <c r="H978" s="40">
        <f>SUM(Tabla132112413[[#This Row],[PRIMER TRIMESTRE]:[CUARTO TRIMESTRE]])</f>
        <v>0</v>
      </c>
      <c r="I978" s="17">
        <v>4000</v>
      </c>
      <c r="J978" s="17">
        <f t="shared" si="26"/>
        <v>0</v>
      </c>
      <c r="K978" s="17"/>
      <c r="L978" s="16" t="s">
        <v>18</v>
      </c>
      <c r="M978" s="16" t="s">
        <v>22</v>
      </c>
      <c r="N978" s="39" t="s">
        <v>418</v>
      </c>
    </row>
    <row r="979" spans="1:14" s="12" customFormat="1" ht="30">
      <c r="A979" s="178" t="s">
        <v>99</v>
      </c>
      <c r="B979" s="75" t="s">
        <v>1118</v>
      </c>
      <c r="C979" s="39" t="s">
        <v>1067</v>
      </c>
      <c r="D979" s="236"/>
      <c r="E979" s="236"/>
      <c r="F979" s="236"/>
      <c r="G979" s="236"/>
      <c r="H979" s="40">
        <f>SUM(Tabla132112413[[#This Row],[PRIMER TRIMESTRE]:[CUARTO TRIMESTRE]])</f>
        <v>0</v>
      </c>
      <c r="I979" s="17">
        <v>8000</v>
      </c>
      <c r="J979" s="17">
        <f t="shared" si="26"/>
        <v>0</v>
      </c>
      <c r="K979" s="17"/>
      <c r="L979" s="16" t="s">
        <v>18</v>
      </c>
      <c r="M979" s="16" t="s">
        <v>22</v>
      </c>
      <c r="N979" s="39" t="s">
        <v>418</v>
      </c>
    </row>
    <row r="980" spans="1:14" s="12" customFormat="1" ht="30">
      <c r="A980" s="178" t="s">
        <v>99</v>
      </c>
      <c r="B980" s="75" t="s">
        <v>1119</v>
      </c>
      <c r="C980" s="39" t="s">
        <v>1067</v>
      </c>
      <c r="D980" s="236"/>
      <c r="E980" s="236"/>
      <c r="F980" s="236"/>
      <c r="G980" s="236"/>
      <c r="H980" s="40">
        <f>SUM(Tabla132112413[[#This Row],[PRIMER TRIMESTRE]:[CUARTO TRIMESTRE]])</f>
        <v>0</v>
      </c>
      <c r="I980" s="17">
        <v>350000</v>
      </c>
      <c r="J980" s="17">
        <f t="shared" si="26"/>
        <v>0</v>
      </c>
      <c r="K980" s="17"/>
      <c r="L980" s="16" t="s">
        <v>18</v>
      </c>
      <c r="M980" s="16" t="s">
        <v>22</v>
      </c>
      <c r="N980" s="39" t="s">
        <v>418</v>
      </c>
    </row>
    <row r="981" spans="1:14" s="12" customFormat="1" ht="30">
      <c r="A981" s="178" t="s">
        <v>99</v>
      </c>
      <c r="B981" s="75" t="s">
        <v>1120</v>
      </c>
      <c r="C981" s="39" t="s">
        <v>1067</v>
      </c>
      <c r="D981" s="236"/>
      <c r="E981" s="236"/>
      <c r="F981" s="236"/>
      <c r="G981" s="236"/>
      <c r="H981" s="40">
        <f>SUM(Tabla132112413[[#This Row],[PRIMER TRIMESTRE]:[CUARTO TRIMESTRE]])</f>
        <v>0</v>
      </c>
      <c r="I981" s="17">
        <v>21000</v>
      </c>
      <c r="J981" s="17">
        <f t="shared" si="26"/>
        <v>0</v>
      </c>
      <c r="K981" s="17"/>
      <c r="L981" s="16" t="s">
        <v>18</v>
      </c>
      <c r="M981" s="16" t="s">
        <v>22</v>
      </c>
      <c r="N981" s="39" t="s">
        <v>418</v>
      </c>
    </row>
    <row r="982" spans="1:14" s="12" customFormat="1" ht="89.25">
      <c r="A982" s="178" t="s">
        <v>99</v>
      </c>
      <c r="B982" s="75" t="s">
        <v>1121</v>
      </c>
      <c r="C982" s="39" t="s">
        <v>1067</v>
      </c>
      <c r="D982" s="236"/>
      <c r="E982" s="236"/>
      <c r="F982" s="236"/>
      <c r="G982" s="236"/>
      <c r="H982" s="40">
        <f>SUM(Tabla132112413[[#This Row],[PRIMER TRIMESTRE]:[CUARTO TRIMESTRE]])</f>
        <v>0</v>
      </c>
      <c r="I982" s="17">
        <v>300000</v>
      </c>
      <c r="J982" s="17">
        <f t="shared" si="26"/>
        <v>0</v>
      </c>
      <c r="K982" s="17"/>
      <c r="L982" s="16" t="s">
        <v>18</v>
      </c>
      <c r="M982" s="16" t="s">
        <v>22</v>
      </c>
      <c r="N982" s="39" t="s">
        <v>418</v>
      </c>
    </row>
    <row r="983" spans="1:14" s="12" customFormat="1" ht="30">
      <c r="A983" s="178" t="s">
        <v>99</v>
      </c>
      <c r="B983" s="75" t="s">
        <v>1122</v>
      </c>
      <c r="C983" s="39" t="s">
        <v>1067</v>
      </c>
      <c r="D983" s="236"/>
      <c r="E983" s="236"/>
      <c r="F983" s="236"/>
      <c r="G983" s="236"/>
      <c r="H983" s="40">
        <f>SUM(Tabla132112413[[#This Row],[PRIMER TRIMESTRE]:[CUARTO TRIMESTRE]])</f>
        <v>0</v>
      </c>
      <c r="I983" s="17">
        <v>12000</v>
      </c>
      <c r="J983" s="17">
        <f t="shared" si="26"/>
        <v>0</v>
      </c>
      <c r="K983" s="17"/>
      <c r="L983" s="16" t="s">
        <v>18</v>
      </c>
      <c r="M983" s="16" t="s">
        <v>22</v>
      </c>
      <c r="N983" s="39" t="s">
        <v>418</v>
      </c>
    </row>
    <row r="984" spans="1:14" s="12" customFormat="1" ht="30">
      <c r="A984" s="178" t="s">
        <v>99</v>
      </c>
      <c r="B984" s="75" t="s">
        <v>1123</v>
      </c>
      <c r="C984" s="39" t="s">
        <v>1067</v>
      </c>
      <c r="D984" s="236"/>
      <c r="E984" s="236"/>
      <c r="F984" s="236"/>
      <c r="G984" s="236"/>
      <c r="H984" s="40">
        <f>SUM(Tabla132112413[[#This Row],[PRIMER TRIMESTRE]:[CUARTO TRIMESTRE]])</f>
        <v>0</v>
      </c>
      <c r="I984" s="17">
        <v>10000</v>
      </c>
      <c r="J984" s="17">
        <f t="shared" si="26"/>
        <v>0</v>
      </c>
      <c r="K984" s="17"/>
      <c r="L984" s="16" t="s">
        <v>18</v>
      </c>
      <c r="M984" s="16" t="s">
        <v>22</v>
      </c>
      <c r="N984" s="39" t="s">
        <v>418</v>
      </c>
    </row>
    <row r="985" spans="1:14" s="12" customFormat="1" ht="30">
      <c r="A985" s="178" t="s">
        <v>99</v>
      </c>
      <c r="B985" s="75" t="s">
        <v>1124</v>
      </c>
      <c r="C985" s="39" t="s">
        <v>1067</v>
      </c>
      <c r="D985" s="236"/>
      <c r="E985" s="236"/>
      <c r="F985" s="236"/>
      <c r="G985" s="236"/>
      <c r="H985" s="40">
        <f>SUM(Tabla132112413[[#This Row],[PRIMER TRIMESTRE]:[CUARTO TRIMESTRE]])</f>
        <v>0</v>
      </c>
      <c r="I985" s="17">
        <v>5000</v>
      </c>
      <c r="J985" s="17">
        <f t="shared" si="26"/>
        <v>0</v>
      </c>
      <c r="K985" s="17"/>
      <c r="L985" s="16" t="s">
        <v>18</v>
      </c>
      <c r="M985" s="16" t="s">
        <v>22</v>
      </c>
      <c r="N985" s="39" t="s">
        <v>418</v>
      </c>
    </row>
    <row r="986" spans="1:14" s="12" customFormat="1" ht="30">
      <c r="A986" s="178" t="s">
        <v>99</v>
      </c>
      <c r="B986" s="75" t="s">
        <v>1125</v>
      </c>
      <c r="C986" s="39" t="s">
        <v>1067</v>
      </c>
      <c r="D986" s="236"/>
      <c r="E986" s="236"/>
      <c r="F986" s="236"/>
      <c r="G986" s="236"/>
      <c r="H986" s="40">
        <f>SUM(Tabla132112413[[#This Row],[PRIMER TRIMESTRE]:[CUARTO TRIMESTRE]])</f>
        <v>0</v>
      </c>
      <c r="I986" s="17">
        <v>5000</v>
      </c>
      <c r="J986" s="17">
        <f t="shared" si="26"/>
        <v>0</v>
      </c>
      <c r="K986" s="17"/>
      <c r="L986" s="16" t="s">
        <v>18</v>
      </c>
      <c r="M986" s="16" t="s">
        <v>22</v>
      </c>
      <c r="N986" s="39" t="s">
        <v>418</v>
      </c>
    </row>
    <row r="987" spans="1:14" s="12" customFormat="1" ht="30">
      <c r="A987" s="178" t="s">
        <v>99</v>
      </c>
      <c r="B987" s="75" t="s">
        <v>1126</v>
      </c>
      <c r="C987" s="39" t="s">
        <v>1067</v>
      </c>
      <c r="D987" s="236"/>
      <c r="E987" s="236"/>
      <c r="F987" s="236"/>
      <c r="G987" s="236"/>
      <c r="H987" s="40">
        <f>SUM(Tabla132112413[[#This Row],[PRIMER TRIMESTRE]:[CUARTO TRIMESTRE]])</f>
        <v>0</v>
      </c>
      <c r="I987" s="17">
        <v>3000</v>
      </c>
      <c r="J987" s="17">
        <f t="shared" si="26"/>
        <v>0</v>
      </c>
      <c r="K987" s="17"/>
      <c r="L987" s="16" t="s">
        <v>18</v>
      </c>
      <c r="M987" s="16" t="s">
        <v>22</v>
      </c>
      <c r="N987" s="39" t="s">
        <v>418</v>
      </c>
    </row>
    <row r="988" spans="1:14" s="12" customFormat="1" ht="30">
      <c r="A988" s="178" t="s">
        <v>99</v>
      </c>
      <c r="B988" s="75" t="s">
        <v>1093</v>
      </c>
      <c r="C988" s="39" t="s">
        <v>1067</v>
      </c>
      <c r="D988" s="236"/>
      <c r="E988" s="236"/>
      <c r="F988" s="236"/>
      <c r="G988" s="236"/>
      <c r="H988" s="40">
        <f>SUM(Tabla132112413[[#This Row],[PRIMER TRIMESTRE]:[CUARTO TRIMESTRE]])</f>
        <v>0</v>
      </c>
      <c r="I988" s="17">
        <v>250</v>
      </c>
      <c r="J988" s="17">
        <f t="shared" si="26"/>
        <v>0</v>
      </c>
      <c r="K988" s="17"/>
      <c r="L988" s="16" t="s">
        <v>18</v>
      </c>
      <c r="M988" s="16" t="s">
        <v>22</v>
      </c>
      <c r="N988" s="39" t="s">
        <v>418</v>
      </c>
    </row>
    <row r="989" spans="1:14" s="12" customFormat="1" ht="30">
      <c r="A989" s="178" t="s">
        <v>99</v>
      </c>
      <c r="B989" s="75" t="s">
        <v>1127</v>
      </c>
      <c r="C989" s="39" t="s">
        <v>1067</v>
      </c>
      <c r="D989" s="236"/>
      <c r="E989" s="236"/>
      <c r="F989" s="236"/>
      <c r="G989" s="236"/>
      <c r="H989" s="40">
        <f>SUM(Tabla132112413[[#This Row],[PRIMER TRIMESTRE]:[CUARTO TRIMESTRE]])</f>
        <v>0</v>
      </c>
      <c r="I989" s="17">
        <v>80000</v>
      </c>
      <c r="J989" s="17">
        <f t="shared" si="26"/>
        <v>0</v>
      </c>
      <c r="K989" s="17"/>
      <c r="L989" s="16" t="s">
        <v>18</v>
      </c>
      <c r="M989" s="16" t="s">
        <v>22</v>
      </c>
      <c r="N989" s="39" t="s">
        <v>418</v>
      </c>
    </row>
    <row r="990" spans="1:14" s="12" customFormat="1" ht="30">
      <c r="A990" s="178" t="s">
        <v>99</v>
      </c>
      <c r="B990" s="75" t="s">
        <v>1128</v>
      </c>
      <c r="C990" s="39" t="s">
        <v>1067</v>
      </c>
      <c r="D990" s="236"/>
      <c r="E990" s="236"/>
      <c r="F990" s="236"/>
      <c r="G990" s="236"/>
      <c r="H990" s="40">
        <f>SUM(Tabla132112413[[#This Row],[PRIMER TRIMESTRE]:[CUARTO TRIMESTRE]])</f>
        <v>0</v>
      </c>
      <c r="I990" s="17">
        <v>1500</v>
      </c>
      <c r="J990" s="17">
        <f t="shared" si="26"/>
        <v>0</v>
      </c>
      <c r="K990" s="17"/>
      <c r="L990" s="16" t="s">
        <v>18</v>
      </c>
      <c r="M990" s="16" t="s">
        <v>22</v>
      </c>
      <c r="N990" s="39" t="s">
        <v>418</v>
      </c>
    </row>
    <row r="991" spans="1:14" s="12" customFormat="1" ht="30">
      <c r="A991" s="178" t="s">
        <v>99</v>
      </c>
      <c r="B991" s="75" t="s">
        <v>1129</v>
      </c>
      <c r="C991" s="39" t="s">
        <v>1067</v>
      </c>
      <c r="D991" s="236"/>
      <c r="E991" s="236"/>
      <c r="F991" s="236"/>
      <c r="G991" s="236"/>
      <c r="H991" s="40">
        <f>SUM(Tabla132112413[[#This Row],[PRIMER TRIMESTRE]:[CUARTO TRIMESTRE]])</f>
        <v>0</v>
      </c>
      <c r="I991" s="17">
        <v>1000</v>
      </c>
      <c r="J991" s="17">
        <f t="shared" si="26"/>
        <v>0</v>
      </c>
      <c r="K991" s="17"/>
      <c r="L991" s="16" t="s">
        <v>18</v>
      </c>
      <c r="M991" s="16" t="s">
        <v>22</v>
      </c>
      <c r="N991" s="39" t="s">
        <v>418</v>
      </c>
    </row>
    <row r="992" spans="1:14" s="12" customFormat="1" ht="30">
      <c r="A992" s="178" t="s">
        <v>99</v>
      </c>
      <c r="B992" s="75" t="s">
        <v>1130</v>
      </c>
      <c r="C992" s="39" t="s">
        <v>1067</v>
      </c>
      <c r="D992" s="236"/>
      <c r="E992" s="236"/>
      <c r="F992" s="236"/>
      <c r="G992" s="236"/>
      <c r="H992" s="40">
        <f>SUM(Tabla132112413[[#This Row],[PRIMER TRIMESTRE]:[CUARTO TRIMESTRE]])</f>
        <v>0</v>
      </c>
      <c r="I992" s="17">
        <v>2000</v>
      </c>
      <c r="J992" s="17">
        <f t="shared" si="26"/>
        <v>0</v>
      </c>
      <c r="K992" s="17"/>
      <c r="L992" s="16" t="s">
        <v>18</v>
      </c>
      <c r="M992" s="16" t="s">
        <v>22</v>
      </c>
      <c r="N992" s="39" t="s">
        <v>418</v>
      </c>
    </row>
    <row r="993" spans="1:14" s="12" customFormat="1" ht="30">
      <c r="A993" s="178" t="s">
        <v>99</v>
      </c>
      <c r="B993" s="75" t="s">
        <v>1131</v>
      </c>
      <c r="C993" s="39" t="s">
        <v>1067</v>
      </c>
      <c r="D993" s="236"/>
      <c r="E993" s="236"/>
      <c r="F993" s="236"/>
      <c r="G993" s="236"/>
      <c r="H993" s="40">
        <f>SUM(Tabla132112413[[#This Row],[PRIMER TRIMESTRE]:[CUARTO TRIMESTRE]])</f>
        <v>0</v>
      </c>
      <c r="I993" s="17">
        <v>300</v>
      </c>
      <c r="J993" s="17">
        <f t="shared" si="26"/>
        <v>0</v>
      </c>
      <c r="K993" s="17"/>
      <c r="L993" s="16" t="s">
        <v>18</v>
      </c>
      <c r="M993" s="16" t="s">
        <v>22</v>
      </c>
      <c r="N993" s="39" t="s">
        <v>418</v>
      </c>
    </row>
    <row r="994" spans="1:14" s="12" customFormat="1" ht="30">
      <c r="A994" s="178" t="s">
        <v>99</v>
      </c>
      <c r="B994" s="75" t="s">
        <v>1508</v>
      </c>
      <c r="C994" s="39" t="s">
        <v>1067</v>
      </c>
      <c r="D994" s="236"/>
      <c r="E994" s="236"/>
      <c r="F994" s="236"/>
      <c r="G994" s="236"/>
      <c r="H994" s="236">
        <f>SUM(Tabla132112413[[#This Row],[PRIMER TRIMESTRE]:[CUARTO TRIMESTRE]])</f>
        <v>0</v>
      </c>
      <c r="I994" s="17">
        <v>392</v>
      </c>
      <c r="J994" s="17">
        <f t="shared" si="26"/>
        <v>0</v>
      </c>
      <c r="K994" s="17"/>
      <c r="L994" s="16" t="s">
        <v>27</v>
      </c>
      <c r="M994" s="16" t="s">
        <v>22</v>
      </c>
      <c r="N994" s="39" t="s">
        <v>418</v>
      </c>
    </row>
    <row r="995" spans="1:14" s="12" customFormat="1" ht="30">
      <c r="A995" s="178" t="s">
        <v>99</v>
      </c>
      <c r="B995" s="75" t="s">
        <v>1132</v>
      </c>
      <c r="C995" s="39" t="s">
        <v>1067</v>
      </c>
      <c r="D995" s="236"/>
      <c r="E995" s="236"/>
      <c r="F995" s="236"/>
      <c r="G995" s="236"/>
      <c r="H995" s="40">
        <f>SUM(Tabla132112413[[#This Row],[PRIMER TRIMESTRE]:[CUARTO TRIMESTRE]])</f>
        <v>0</v>
      </c>
      <c r="I995" s="17">
        <v>60000</v>
      </c>
      <c r="J995" s="17">
        <f t="shared" si="26"/>
        <v>0</v>
      </c>
      <c r="K995" s="17"/>
      <c r="L995" s="16" t="s">
        <v>18</v>
      </c>
      <c r="M995" s="16" t="s">
        <v>22</v>
      </c>
      <c r="N995" s="39" t="s">
        <v>418</v>
      </c>
    </row>
    <row r="996" spans="1:14" s="12" customFormat="1" ht="63.75">
      <c r="A996" s="178" t="s">
        <v>99</v>
      </c>
      <c r="B996" s="75" t="s">
        <v>1133</v>
      </c>
      <c r="C996" s="39" t="s">
        <v>1067</v>
      </c>
      <c r="D996" s="236"/>
      <c r="E996" s="236"/>
      <c r="F996" s="236"/>
      <c r="G996" s="236"/>
      <c r="H996" s="40">
        <f>SUM(Tabla132112413[[#This Row],[PRIMER TRIMESTRE]:[CUARTO TRIMESTRE]])</f>
        <v>0</v>
      </c>
      <c r="I996" s="17">
        <v>3500</v>
      </c>
      <c r="J996" s="17">
        <f t="shared" si="26"/>
        <v>0</v>
      </c>
      <c r="K996" s="17"/>
      <c r="L996" s="16" t="s">
        <v>18</v>
      </c>
      <c r="M996" s="16" t="s">
        <v>22</v>
      </c>
      <c r="N996" s="39" t="s">
        <v>418</v>
      </c>
    </row>
    <row r="997" spans="1:14" s="12" customFormat="1" ht="30">
      <c r="A997" s="178" t="s">
        <v>99</v>
      </c>
      <c r="B997" s="75" t="s">
        <v>1873</v>
      </c>
      <c r="C997" s="39" t="s">
        <v>1067</v>
      </c>
      <c r="D997" s="236"/>
      <c r="E997" s="236"/>
      <c r="F997" s="236"/>
      <c r="G997" s="236"/>
      <c r="H997" s="40">
        <f>SUM(Tabla132112413[[#This Row],[PRIMER TRIMESTRE]:[CUARTO TRIMESTRE]])</f>
        <v>0</v>
      </c>
      <c r="I997" s="17">
        <v>1150</v>
      </c>
      <c r="J997" s="17">
        <f>Tabla132112413[[#This Row],[PRECIO UNITARIO ESTIMADO]]*Tabla132112413[[#This Row],[CANTIDAD TOTAL]]</f>
        <v>0</v>
      </c>
      <c r="K997" s="17"/>
      <c r="L997" s="16" t="s">
        <v>18</v>
      </c>
      <c r="M997" s="16" t="s">
        <v>22</v>
      </c>
      <c r="N997" s="39" t="s">
        <v>418</v>
      </c>
    </row>
    <row r="998" spans="1:14" s="12" customFormat="1" ht="51">
      <c r="A998" s="178" t="s">
        <v>99</v>
      </c>
      <c r="B998" s="75" t="s">
        <v>1134</v>
      </c>
      <c r="C998" s="39" t="s">
        <v>1067</v>
      </c>
      <c r="D998" s="236"/>
      <c r="E998" s="236"/>
      <c r="F998" s="236"/>
      <c r="G998" s="236"/>
      <c r="H998" s="40">
        <f>SUM(Tabla132112413[[#This Row],[PRIMER TRIMESTRE]:[CUARTO TRIMESTRE]])</f>
        <v>0</v>
      </c>
      <c r="I998" s="17">
        <v>450000</v>
      </c>
      <c r="J998" s="17">
        <f t="shared" si="26"/>
        <v>0</v>
      </c>
      <c r="K998" s="17"/>
      <c r="L998" s="16" t="s">
        <v>18</v>
      </c>
      <c r="M998" s="16" t="s">
        <v>22</v>
      </c>
      <c r="N998" s="39" t="s">
        <v>418</v>
      </c>
    </row>
    <row r="999" spans="1:14" s="12" customFormat="1" ht="51">
      <c r="A999" s="178" t="s">
        <v>99</v>
      </c>
      <c r="B999" s="75" t="s">
        <v>1135</v>
      </c>
      <c r="C999" s="39" t="s">
        <v>1067</v>
      </c>
      <c r="D999" s="236"/>
      <c r="E999" s="236"/>
      <c r="F999" s="236"/>
      <c r="G999" s="236"/>
      <c r="H999" s="40">
        <f>SUM(Tabla132112413[[#This Row],[PRIMER TRIMESTRE]:[CUARTO TRIMESTRE]])</f>
        <v>0</v>
      </c>
      <c r="I999" s="17">
        <v>200000</v>
      </c>
      <c r="J999" s="17">
        <f t="shared" si="26"/>
        <v>0</v>
      </c>
      <c r="K999" s="17"/>
      <c r="L999" s="16" t="s">
        <v>18</v>
      </c>
      <c r="M999" s="16" t="s">
        <v>22</v>
      </c>
      <c r="N999" s="39" t="s">
        <v>418</v>
      </c>
    </row>
    <row r="1000" spans="1:14" s="12" customFormat="1" ht="38.25">
      <c r="A1000" s="178" t="s">
        <v>99</v>
      </c>
      <c r="B1000" s="75" t="s">
        <v>1136</v>
      </c>
      <c r="C1000" s="39" t="s">
        <v>1067</v>
      </c>
      <c r="D1000" s="236"/>
      <c r="E1000" s="236"/>
      <c r="F1000" s="236"/>
      <c r="G1000" s="236"/>
      <c r="H1000" s="40">
        <f>SUM(Tabla132112413[[#This Row],[PRIMER TRIMESTRE]:[CUARTO TRIMESTRE]])</f>
        <v>0</v>
      </c>
      <c r="I1000" s="17">
        <v>70000</v>
      </c>
      <c r="J1000" s="17">
        <f t="shared" si="26"/>
        <v>0</v>
      </c>
      <c r="K1000" s="17"/>
      <c r="L1000" s="16" t="s">
        <v>18</v>
      </c>
      <c r="M1000" s="16" t="s">
        <v>22</v>
      </c>
      <c r="N1000" s="39" t="s">
        <v>418</v>
      </c>
    </row>
    <row r="1001" spans="1:14" s="12" customFormat="1" ht="30">
      <c r="A1001" s="178" t="s">
        <v>99</v>
      </c>
      <c r="B1001" s="75" t="s">
        <v>1137</v>
      </c>
      <c r="C1001" s="39" t="s">
        <v>1067</v>
      </c>
      <c r="D1001" s="236"/>
      <c r="E1001" s="236"/>
      <c r="F1001" s="236"/>
      <c r="G1001" s="236"/>
      <c r="H1001" s="40">
        <f>SUM(Tabla132112413[[#This Row],[PRIMER TRIMESTRE]:[CUARTO TRIMESTRE]])</f>
        <v>0</v>
      </c>
      <c r="I1001" s="17">
        <v>20000</v>
      </c>
      <c r="J1001" s="17">
        <f t="shared" si="26"/>
        <v>0</v>
      </c>
      <c r="K1001" s="17"/>
      <c r="L1001" s="16" t="s">
        <v>18</v>
      </c>
      <c r="M1001" s="16" t="s">
        <v>22</v>
      </c>
      <c r="N1001" s="39" t="s">
        <v>418</v>
      </c>
    </row>
    <row r="1002" spans="1:14" s="12" customFormat="1" ht="30">
      <c r="A1002" s="178" t="s">
        <v>99</v>
      </c>
      <c r="B1002" s="75" t="s">
        <v>1148</v>
      </c>
      <c r="C1002" s="39" t="s">
        <v>1067</v>
      </c>
      <c r="D1002" s="236"/>
      <c r="E1002" s="236"/>
      <c r="F1002" s="236"/>
      <c r="G1002" s="236"/>
      <c r="H1002" s="40">
        <f>SUM(Tabla132112413[[#This Row],[PRIMER TRIMESTRE]:[CUARTO TRIMESTRE]])</f>
        <v>0</v>
      </c>
      <c r="I1002" s="17">
        <v>70</v>
      </c>
      <c r="J1002" s="17">
        <f t="shared" si="26"/>
        <v>0</v>
      </c>
      <c r="K1002" s="17"/>
      <c r="L1002" s="16" t="s">
        <v>18</v>
      </c>
      <c r="M1002" s="16" t="s">
        <v>22</v>
      </c>
      <c r="N1002" s="39" t="s">
        <v>418</v>
      </c>
    </row>
    <row r="1003" spans="1:14" s="12" customFormat="1" ht="30">
      <c r="A1003" s="178" t="s">
        <v>99</v>
      </c>
      <c r="B1003" s="75" t="s">
        <v>1139</v>
      </c>
      <c r="C1003" s="39" t="s">
        <v>1067</v>
      </c>
      <c r="D1003" s="236"/>
      <c r="E1003" s="236"/>
      <c r="F1003" s="236"/>
      <c r="G1003" s="236"/>
      <c r="H1003" s="40">
        <f>SUM(Tabla132112413[[#This Row],[PRIMER TRIMESTRE]:[CUARTO TRIMESTRE]])</f>
        <v>0</v>
      </c>
      <c r="I1003" s="17">
        <v>10000</v>
      </c>
      <c r="J1003" s="17">
        <f t="shared" si="26"/>
        <v>0</v>
      </c>
      <c r="K1003" s="17"/>
      <c r="L1003" s="16" t="s">
        <v>18</v>
      </c>
      <c r="M1003" s="16" t="s">
        <v>22</v>
      </c>
      <c r="N1003" s="39" t="s">
        <v>418</v>
      </c>
    </row>
    <row r="1004" spans="1:14" s="12" customFormat="1" ht="76.5">
      <c r="A1004" s="178" t="s">
        <v>99</v>
      </c>
      <c r="B1004" s="75" t="s">
        <v>1140</v>
      </c>
      <c r="C1004" s="39" t="s">
        <v>1067</v>
      </c>
      <c r="D1004" s="236"/>
      <c r="E1004" s="236"/>
      <c r="F1004" s="236"/>
      <c r="G1004" s="236"/>
      <c r="H1004" s="40">
        <f>SUM(Tabla132112413[[#This Row],[PRIMER TRIMESTRE]:[CUARTO TRIMESTRE]])</f>
        <v>0</v>
      </c>
      <c r="I1004" s="17">
        <v>60000</v>
      </c>
      <c r="J1004" s="17">
        <f t="shared" si="26"/>
        <v>0</v>
      </c>
      <c r="K1004" s="17"/>
      <c r="L1004" s="16" t="s">
        <v>18</v>
      </c>
      <c r="M1004" s="16" t="s">
        <v>22</v>
      </c>
      <c r="N1004" s="39" t="s">
        <v>418</v>
      </c>
    </row>
    <row r="1005" spans="1:14" s="12" customFormat="1" ht="30">
      <c r="A1005" s="178" t="s">
        <v>99</v>
      </c>
      <c r="B1005" s="75" t="s">
        <v>1141</v>
      </c>
      <c r="C1005" s="39" t="s">
        <v>718</v>
      </c>
      <c r="D1005" s="236"/>
      <c r="E1005" s="236"/>
      <c r="F1005" s="236"/>
      <c r="G1005" s="236"/>
      <c r="H1005" s="40">
        <f>SUM(Tabla132112413[[#This Row],[PRIMER TRIMESTRE]:[CUARTO TRIMESTRE]])</f>
        <v>0</v>
      </c>
      <c r="I1005" s="17">
        <v>4000</v>
      </c>
      <c r="J1005" s="17">
        <f t="shared" si="26"/>
        <v>0</v>
      </c>
      <c r="K1005" s="17"/>
      <c r="L1005" s="16" t="s">
        <v>18</v>
      </c>
      <c r="M1005" s="16" t="s">
        <v>22</v>
      </c>
      <c r="N1005" s="39" t="s">
        <v>418</v>
      </c>
    </row>
    <row r="1006" spans="1:14" s="12" customFormat="1" ht="30">
      <c r="A1006" s="178" t="s">
        <v>99</v>
      </c>
      <c r="B1006" s="75" t="s">
        <v>1142</v>
      </c>
      <c r="C1006" s="39" t="s">
        <v>718</v>
      </c>
      <c r="D1006" s="236"/>
      <c r="E1006" s="236"/>
      <c r="F1006" s="236"/>
      <c r="G1006" s="236"/>
      <c r="H1006" s="40">
        <f>SUM(Tabla132112413[[#This Row],[PRIMER TRIMESTRE]:[CUARTO TRIMESTRE]])</f>
        <v>0</v>
      </c>
      <c r="I1006" s="17">
        <v>3000</v>
      </c>
      <c r="J1006" s="17">
        <f t="shared" si="26"/>
        <v>0</v>
      </c>
      <c r="K1006" s="17"/>
      <c r="L1006" s="16" t="s">
        <v>18</v>
      </c>
      <c r="M1006" s="16" t="s">
        <v>22</v>
      </c>
      <c r="N1006" s="39" t="s">
        <v>418</v>
      </c>
    </row>
    <row r="1007" spans="1:14" s="12" customFormat="1" ht="30">
      <c r="A1007" s="178" t="s">
        <v>99</v>
      </c>
      <c r="B1007" s="75" t="s">
        <v>1143</v>
      </c>
      <c r="C1007" s="39" t="s">
        <v>1065</v>
      </c>
      <c r="D1007" s="236"/>
      <c r="E1007" s="236"/>
      <c r="F1007" s="236"/>
      <c r="G1007" s="236"/>
      <c r="H1007" s="40">
        <f>SUM(Tabla132112413[[#This Row],[PRIMER TRIMESTRE]:[CUARTO TRIMESTRE]])</f>
        <v>0</v>
      </c>
      <c r="I1007" s="17">
        <v>4500</v>
      </c>
      <c r="J1007" s="17">
        <f t="shared" si="26"/>
        <v>0</v>
      </c>
      <c r="K1007" s="17"/>
      <c r="L1007" s="16" t="s">
        <v>18</v>
      </c>
      <c r="M1007" s="16" t="s">
        <v>22</v>
      </c>
      <c r="N1007" s="39" t="s">
        <v>418</v>
      </c>
    </row>
    <row r="1008" spans="1:14" s="12" customFormat="1" ht="30">
      <c r="A1008" s="178" t="s">
        <v>99</v>
      </c>
      <c r="B1008" s="75" t="s">
        <v>1144</v>
      </c>
      <c r="C1008" s="39" t="s">
        <v>102</v>
      </c>
      <c r="D1008" s="236"/>
      <c r="E1008" s="236"/>
      <c r="F1008" s="236"/>
      <c r="G1008" s="236"/>
      <c r="H1008" s="40">
        <f>SUM(Tabla132112413[[#This Row],[PRIMER TRIMESTRE]:[CUARTO TRIMESTRE]])</f>
        <v>0</v>
      </c>
      <c r="I1008" s="17">
        <v>1000</v>
      </c>
      <c r="J1008" s="17">
        <f t="shared" si="26"/>
        <v>0</v>
      </c>
      <c r="K1008" s="17"/>
      <c r="L1008" s="16" t="s">
        <v>18</v>
      </c>
      <c r="M1008" s="16" t="s">
        <v>22</v>
      </c>
      <c r="N1008" s="39" t="s">
        <v>418</v>
      </c>
    </row>
    <row r="1009" spans="1:14" s="12" customFormat="1" ht="30.75" customHeight="1">
      <c r="A1009" s="178" t="s">
        <v>99</v>
      </c>
      <c r="B1009" s="75" t="s">
        <v>1145</v>
      </c>
      <c r="C1009" s="39" t="s">
        <v>1067</v>
      </c>
      <c r="D1009" s="236"/>
      <c r="E1009" s="236"/>
      <c r="F1009" s="236"/>
      <c r="G1009" s="236"/>
      <c r="H1009" s="40">
        <f>SUM(Tabla132112413[[#This Row],[PRIMER TRIMESTRE]:[CUARTO TRIMESTRE]])</f>
        <v>0</v>
      </c>
      <c r="I1009" s="17">
        <v>184000</v>
      </c>
      <c r="J1009" s="17">
        <f t="shared" si="26"/>
        <v>0</v>
      </c>
      <c r="K1009" s="17"/>
      <c r="L1009" s="16" t="s">
        <v>18</v>
      </c>
      <c r="M1009" s="16" t="s">
        <v>22</v>
      </c>
      <c r="N1009" s="39" t="s">
        <v>418</v>
      </c>
    </row>
    <row r="1010" spans="1:14" s="26" customFormat="1" ht="30.75" customHeight="1">
      <c r="A1010" s="178" t="s">
        <v>99</v>
      </c>
      <c r="B1010" s="75" t="s">
        <v>1146</v>
      </c>
      <c r="C1010" s="39" t="s">
        <v>1067</v>
      </c>
      <c r="D1010" s="236"/>
      <c r="E1010" s="236"/>
      <c r="F1010" s="236"/>
      <c r="G1010" s="236"/>
      <c r="H1010" s="40">
        <f>SUM(Tabla132112413[[#This Row],[PRIMER TRIMESTRE]:[CUARTO TRIMESTRE]])</f>
        <v>0</v>
      </c>
      <c r="I1010" s="17">
        <v>85000</v>
      </c>
      <c r="J1010" s="17">
        <f t="shared" si="26"/>
        <v>0</v>
      </c>
      <c r="K1010" s="17"/>
      <c r="L1010" s="16" t="s">
        <v>18</v>
      </c>
      <c r="M1010" s="16" t="s">
        <v>22</v>
      </c>
      <c r="N1010" s="39" t="s">
        <v>418</v>
      </c>
    </row>
    <row r="1011" spans="1:14" s="12" customFormat="1" ht="30.75" customHeight="1">
      <c r="A1011" s="178" t="s">
        <v>99</v>
      </c>
      <c r="B1011" s="75" t="s">
        <v>1147</v>
      </c>
      <c r="C1011" s="39" t="s">
        <v>1067</v>
      </c>
      <c r="D1011" s="236"/>
      <c r="E1011" s="236"/>
      <c r="F1011" s="236"/>
      <c r="G1011" s="236"/>
      <c r="H1011" s="40">
        <f>SUM(Tabla132112413[[#This Row],[PRIMER TRIMESTRE]:[CUARTO TRIMESTRE]])</f>
        <v>0</v>
      </c>
      <c r="I1011" s="17">
        <v>10000</v>
      </c>
      <c r="J1011" s="17">
        <f t="shared" si="26"/>
        <v>0</v>
      </c>
      <c r="K1011" s="17"/>
      <c r="L1011" s="16" t="s">
        <v>18</v>
      </c>
      <c r="M1011" s="16" t="s">
        <v>22</v>
      </c>
      <c r="N1011" s="39" t="s">
        <v>418</v>
      </c>
    </row>
    <row r="1012" spans="1:14" s="12" customFormat="1" ht="30.75" customHeight="1">
      <c r="A1012" s="178" t="s">
        <v>99</v>
      </c>
      <c r="B1012" s="75" t="s">
        <v>1452</v>
      </c>
      <c r="C1012" s="39" t="s">
        <v>17</v>
      </c>
      <c r="D1012" s="236"/>
      <c r="E1012" s="236"/>
      <c r="F1012" s="236"/>
      <c r="G1012" s="236"/>
      <c r="H1012" s="236">
        <f>SUM(Tabla132112413[[#This Row],[PRIMER TRIMESTRE]:[CUARTO TRIMESTRE]])</f>
        <v>0</v>
      </c>
      <c r="I1012" s="17">
        <v>5589.05</v>
      </c>
      <c r="J1012" s="17">
        <f t="shared" si="26"/>
        <v>0</v>
      </c>
      <c r="K1012" s="17"/>
      <c r="L1012" s="16" t="s">
        <v>27</v>
      </c>
      <c r="M1012" s="16" t="s">
        <v>19</v>
      </c>
      <c r="N1012" s="39" t="s">
        <v>342</v>
      </c>
    </row>
    <row r="1013" spans="1:14" s="12" customFormat="1" ht="30.75" customHeight="1">
      <c r="A1013" s="178" t="s">
        <v>99</v>
      </c>
      <c r="B1013" s="75" t="s">
        <v>1453</v>
      </c>
      <c r="C1013" s="39" t="s">
        <v>17</v>
      </c>
      <c r="D1013" s="236"/>
      <c r="E1013" s="236"/>
      <c r="F1013" s="236"/>
      <c r="G1013" s="236"/>
      <c r="H1013" s="236">
        <f>SUM(Tabla132112413[[#This Row],[PRIMER TRIMESTRE]:[CUARTO TRIMESTRE]])</f>
        <v>0</v>
      </c>
      <c r="I1013" s="17">
        <v>15710.6</v>
      </c>
      <c r="J1013" s="17">
        <f t="shared" si="26"/>
        <v>0</v>
      </c>
      <c r="K1013" s="17"/>
      <c r="L1013" s="16" t="s">
        <v>27</v>
      </c>
      <c r="M1013" s="16" t="s">
        <v>19</v>
      </c>
      <c r="N1013" s="39" t="s">
        <v>342</v>
      </c>
    </row>
    <row r="1014" spans="1:14" s="12" customFormat="1" ht="30.75" customHeight="1">
      <c r="A1014" s="178" t="s">
        <v>99</v>
      </c>
      <c r="B1014" s="75" t="s">
        <v>1454</v>
      </c>
      <c r="C1014" s="39" t="s">
        <v>17</v>
      </c>
      <c r="D1014" s="236"/>
      <c r="E1014" s="236"/>
      <c r="F1014" s="236"/>
      <c r="G1014" s="236"/>
      <c r="H1014" s="236">
        <f>SUM(Tabla132112413[[#This Row],[PRIMER TRIMESTRE]:[CUARTO TRIMESTRE]])</f>
        <v>0</v>
      </c>
      <c r="I1014" s="17">
        <v>5347.87</v>
      </c>
      <c r="J1014" s="17">
        <f t="shared" si="26"/>
        <v>0</v>
      </c>
      <c r="K1014" s="17"/>
      <c r="L1014" s="16" t="s">
        <v>27</v>
      </c>
      <c r="M1014" s="16" t="s">
        <v>19</v>
      </c>
      <c r="N1014" s="39" t="s">
        <v>342</v>
      </c>
    </row>
    <row r="1015" spans="1:14" s="12" customFormat="1" ht="30.75" customHeight="1">
      <c r="A1015" s="178" t="s">
        <v>99</v>
      </c>
      <c r="B1015" s="75" t="s">
        <v>1455</v>
      </c>
      <c r="C1015" s="39" t="s">
        <v>17</v>
      </c>
      <c r="D1015" s="236"/>
      <c r="E1015" s="236"/>
      <c r="F1015" s="236"/>
      <c r="G1015" s="236"/>
      <c r="H1015" s="236">
        <f>SUM(Tabla132112413[[#This Row],[PRIMER TRIMESTRE]:[CUARTO TRIMESTRE]])</f>
        <v>0</v>
      </c>
      <c r="I1015" s="17">
        <v>213.48</v>
      </c>
      <c r="J1015" s="17">
        <f t="shared" si="26"/>
        <v>0</v>
      </c>
      <c r="K1015" s="17"/>
      <c r="L1015" s="16" t="s">
        <v>27</v>
      </c>
      <c r="M1015" s="16" t="s">
        <v>19</v>
      </c>
      <c r="N1015" s="39" t="s">
        <v>342</v>
      </c>
    </row>
    <row r="1016" spans="1:14" s="12" customFormat="1" ht="30.75" customHeight="1">
      <c r="A1016" s="178" t="s">
        <v>99</v>
      </c>
      <c r="B1016" s="75" t="s">
        <v>1456</v>
      </c>
      <c r="C1016" s="39" t="s">
        <v>17</v>
      </c>
      <c r="D1016" s="236"/>
      <c r="E1016" s="236"/>
      <c r="F1016" s="236"/>
      <c r="G1016" s="236"/>
      <c r="H1016" s="236">
        <f>SUM(Tabla132112413[[#This Row],[PRIMER TRIMESTRE]:[CUARTO TRIMESTRE]])</f>
        <v>0</v>
      </c>
      <c r="I1016" s="17">
        <v>719</v>
      </c>
      <c r="J1016" s="17">
        <f t="shared" si="26"/>
        <v>0</v>
      </c>
      <c r="K1016" s="17"/>
      <c r="L1016" s="16" t="s">
        <v>27</v>
      </c>
      <c r="M1016" s="16" t="s">
        <v>19</v>
      </c>
      <c r="N1016" s="39" t="s">
        <v>342</v>
      </c>
    </row>
    <row r="1017" spans="1:14" s="12" customFormat="1" ht="30.75" customHeight="1">
      <c r="A1017" s="178" t="s">
        <v>99</v>
      </c>
      <c r="B1017" s="75" t="s">
        <v>1457</v>
      </c>
      <c r="C1017" s="39" t="s">
        <v>17</v>
      </c>
      <c r="D1017" s="236"/>
      <c r="E1017" s="236"/>
      <c r="F1017" s="236"/>
      <c r="G1017" s="236"/>
      <c r="H1017" s="236">
        <f>SUM(Tabla132112413[[#This Row],[PRIMER TRIMESTRE]:[CUARTO TRIMESTRE]])</f>
        <v>0</v>
      </c>
      <c r="I1017" s="17">
        <v>213.48</v>
      </c>
      <c r="J1017" s="17">
        <f t="shared" si="26"/>
        <v>0</v>
      </c>
      <c r="K1017" s="17"/>
      <c r="L1017" s="16" t="s">
        <v>27</v>
      </c>
      <c r="M1017" s="16" t="s">
        <v>19</v>
      </c>
      <c r="N1017" s="39" t="s">
        <v>342</v>
      </c>
    </row>
    <row r="1018" spans="1:14" s="12" customFormat="1" ht="30.75" customHeight="1">
      <c r="A1018" s="178" t="s">
        <v>99</v>
      </c>
      <c r="B1018" s="75" t="s">
        <v>1458</v>
      </c>
      <c r="C1018" s="39" t="s">
        <v>17</v>
      </c>
      <c r="D1018" s="236"/>
      <c r="E1018" s="236"/>
      <c r="F1018" s="236"/>
      <c r="G1018" s="236"/>
      <c r="H1018" s="236">
        <f>SUM(Tabla132112413[[#This Row],[PRIMER TRIMESTRE]:[CUARTO TRIMESTRE]])</f>
        <v>0</v>
      </c>
      <c r="I1018" s="17">
        <v>1100</v>
      </c>
      <c r="J1018" s="17">
        <f t="shared" si="26"/>
        <v>0</v>
      </c>
      <c r="K1018" s="17"/>
      <c r="L1018" s="16" t="s">
        <v>27</v>
      </c>
      <c r="M1018" s="16" t="s">
        <v>19</v>
      </c>
      <c r="N1018" s="39" t="s">
        <v>342</v>
      </c>
    </row>
    <row r="1019" spans="1:14" s="26" customFormat="1" ht="30.75" customHeight="1">
      <c r="A1019" s="178" t="s">
        <v>99</v>
      </c>
      <c r="B1019" s="75" t="s">
        <v>1459</v>
      </c>
      <c r="C1019" s="39" t="s">
        <v>33</v>
      </c>
      <c r="D1019" s="236"/>
      <c r="E1019" s="236"/>
      <c r="F1019" s="236"/>
      <c r="G1019" s="236"/>
      <c r="H1019" s="236">
        <f>SUM(Tabla132112413[[#This Row],[PRIMER TRIMESTRE]:[CUARTO TRIMESTRE]])</f>
        <v>0</v>
      </c>
      <c r="I1019" s="17">
        <v>250</v>
      </c>
      <c r="J1019" s="17">
        <f t="shared" si="26"/>
        <v>0</v>
      </c>
      <c r="K1019" s="17"/>
      <c r="L1019" s="16" t="s">
        <v>27</v>
      </c>
      <c r="M1019" s="16" t="s">
        <v>19</v>
      </c>
      <c r="N1019" s="39" t="s">
        <v>342</v>
      </c>
    </row>
    <row r="1020" spans="1:14" s="12" customFormat="1" ht="30.75" customHeight="1">
      <c r="A1020" s="178" t="s">
        <v>99</v>
      </c>
      <c r="B1020" s="75" t="s">
        <v>1460</v>
      </c>
      <c r="C1020" s="39" t="s">
        <v>208</v>
      </c>
      <c r="D1020" s="236"/>
      <c r="E1020" s="236"/>
      <c r="F1020" s="236"/>
      <c r="G1020" s="236"/>
      <c r="H1020" s="236">
        <f>SUM(Tabla132112413[[#This Row],[PRIMER TRIMESTRE]:[CUARTO TRIMESTRE]])</f>
        <v>0</v>
      </c>
      <c r="I1020" s="17">
        <v>1130</v>
      </c>
      <c r="J1020" s="17">
        <f t="shared" si="26"/>
        <v>0</v>
      </c>
      <c r="K1020" s="17"/>
      <c r="L1020" s="16" t="s">
        <v>27</v>
      </c>
      <c r="M1020" s="16" t="s">
        <v>19</v>
      </c>
      <c r="N1020" s="39" t="s">
        <v>342</v>
      </c>
    </row>
    <row r="1021" spans="1:14" s="12" customFormat="1" ht="30.75" customHeight="1">
      <c r="A1021" s="179" t="s">
        <v>99</v>
      </c>
      <c r="B1021" s="76"/>
      <c r="C1021" s="42"/>
      <c r="D1021" s="237"/>
      <c r="E1021" s="237"/>
      <c r="F1021" s="237"/>
      <c r="G1021" s="237"/>
      <c r="H1021" s="43"/>
      <c r="I1021" s="24"/>
      <c r="J1021" s="24"/>
      <c r="K1021" s="25">
        <f>SUM(J890:J1020)</f>
        <v>0</v>
      </c>
      <c r="L1021" s="23"/>
      <c r="M1021" s="23"/>
      <c r="N1021" s="42"/>
    </row>
    <row r="1022" spans="1:14" s="12" customFormat="1" ht="30.75" customHeight="1">
      <c r="A1022" s="178" t="s">
        <v>113</v>
      </c>
      <c r="B1022" s="75" t="s">
        <v>236</v>
      </c>
      <c r="C1022" s="39" t="s">
        <v>17</v>
      </c>
      <c r="D1022" s="236"/>
      <c r="E1022" s="236"/>
      <c r="F1022" s="236"/>
      <c r="G1022" s="236"/>
      <c r="H1022" s="40">
        <f>SUM(Tabla132112413[[#This Row],[PRIMER TRIMESTRE]:[CUARTO TRIMESTRE]])</f>
        <v>0</v>
      </c>
      <c r="I1022" s="17">
        <v>806.2</v>
      </c>
      <c r="J1022" s="17">
        <f>+Tabla132112413[[#This Row],[CANTIDAD TOTAL]]*Tabla132112413[[#This Row],[PRECIO UNITARIO ESTIMADO]]</f>
        <v>0</v>
      </c>
      <c r="K1022" s="17"/>
      <c r="L1022" s="16" t="s">
        <v>15</v>
      </c>
      <c r="M1022" s="16" t="s">
        <v>22</v>
      </c>
      <c r="N1022" s="39" t="s">
        <v>418</v>
      </c>
    </row>
    <row r="1023" spans="1:14" s="12" customFormat="1" ht="30.75" customHeight="1">
      <c r="A1023" s="178" t="s">
        <v>113</v>
      </c>
      <c r="B1023" s="75" t="s">
        <v>233</v>
      </c>
      <c r="C1023" s="39" t="s">
        <v>234</v>
      </c>
      <c r="D1023" s="236"/>
      <c r="E1023" s="236"/>
      <c r="F1023" s="236"/>
      <c r="G1023" s="236"/>
      <c r="H1023" s="40">
        <f>SUM(Tabla132112413[[#This Row],[PRIMER TRIMESTRE]:[CUARTO TRIMESTRE]])</f>
        <v>0</v>
      </c>
      <c r="I1023" s="17">
        <v>7099.2</v>
      </c>
      <c r="J1023" s="17">
        <f>+Tabla132112413[[#This Row],[CANTIDAD TOTAL]]*Tabla132112413[[#This Row],[PRECIO UNITARIO ESTIMADO]]</f>
        <v>0</v>
      </c>
      <c r="K1023" s="17"/>
      <c r="L1023" s="16" t="s">
        <v>27</v>
      </c>
      <c r="M1023" s="16" t="s">
        <v>22</v>
      </c>
      <c r="N1023" s="39" t="s">
        <v>418</v>
      </c>
    </row>
    <row r="1024" spans="1:14" s="12" customFormat="1" ht="30.75" customHeight="1">
      <c r="A1024" s="178" t="s">
        <v>113</v>
      </c>
      <c r="B1024" s="75" t="s">
        <v>235</v>
      </c>
      <c r="C1024" s="39" t="s">
        <v>69</v>
      </c>
      <c r="D1024" s="236">
        <v>2</v>
      </c>
      <c r="E1024" s="236"/>
      <c r="F1024" s="236"/>
      <c r="G1024" s="236"/>
      <c r="H1024" s="40">
        <f>SUM(Tabla132112413[[#This Row],[PRIMER TRIMESTRE]:[CUARTO TRIMESTRE]])</f>
        <v>2</v>
      </c>
      <c r="I1024" s="17">
        <v>52.2</v>
      </c>
      <c r="J1024" s="17">
        <f>+Tabla132112413[[#This Row],[CANTIDAD TOTAL]]*Tabla132112413[[#This Row],[PRECIO UNITARIO ESTIMADO]]</f>
        <v>104.4</v>
      </c>
      <c r="K1024" s="17"/>
      <c r="L1024" s="16" t="s">
        <v>27</v>
      </c>
      <c r="M1024" s="16" t="s">
        <v>22</v>
      </c>
      <c r="N1024" s="39" t="s">
        <v>418</v>
      </c>
    </row>
    <row r="1025" spans="1:14" s="12" customFormat="1" ht="30">
      <c r="A1025" s="178" t="s">
        <v>113</v>
      </c>
      <c r="B1025" s="75" t="s">
        <v>320</v>
      </c>
      <c r="C1025" s="39" t="s">
        <v>17</v>
      </c>
      <c r="D1025" s="236"/>
      <c r="E1025" s="236"/>
      <c r="F1025" s="236"/>
      <c r="G1025" s="236"/>
      <c r="H1025" s="40">
        <f>SUM(Tabla132112413[[#This Row],[PRIMER TRIMESTRE]:[CUARTO TRIMESTRE]])</f>
        <v>0</v>
      </c>
      <c r="I1025" s="17">
        <f>41960.8/121</f>
        <v>346.7834710743802</v>
      </c>
      <c r="J1025" s="17">
        <f>+Tabla132112413[[#This Row],[CANTIDAD TOTAL]]*Tabla132112413[[#This Row],[PRECIO UNITARIO ESTIMADO]]</f>
        <v>0</v>
      </c>
      <c r="K1025" s="17"/>
      <c r="L1025" s="16" t="s">
        <v>15</v>
      </c>
      <c r="M1025" s="16" t="s">
        <v>22</v>
      </c>
      <c r="N1025" s="39" t="s">
        <v>418</v>
      </c>
    </row>
    <row r="1026" spans="1:14" s="26" customFormat="1" ht="30">
      <c r="A1026" s="178" t="s">
        <v>113</v>
      </c>
      <c r="B1026" s="75" t="s">
        <v>237</v>
      </c>
      <c r="C1026" s="39" t="s">
        <v>17</v>
      </c>
      <c r="D1026" s="236">
        <v>1</v>
      </c>
      <c r="E1026" s="236"/>
      <c r="F1026" s="236"/>
      <c r="G1026" s="236"/>
      <c r="H1026" s="40">
        <f>SUM(Tabla132112413[[#This Row],[PRIMER TRIMESTRE]:[CUARTO TRIMESTRE]])</f>
        <v>1</v>
      </c>
      <c r="I1026" s="17">
        <v>668</v>
      </c>
      <c r="J1026" s="17">
        <f>+Tabla132112413[[#This Row],[CANTIDAD TOTAL]]*Tabla132112413[[#This Row],[PRECIO UNITARIO ESTIMADO]]</f>
        <v>668</v>
      </c>
      <c r="K1026" s="17"/>
      <c r="L1026" s="16" t="s">
        <v>15</v>
      </c>
      <c r="M1026" s="16" t="s">
        <v>22</v>
      </c>
      <c r="N1026" s="39" t="s">
        <v>418</v>
      </c>
    </row>
    <row r="1027" spans="1:14" s="169" customFormat="1" ht="30">
      <c r="A1027" s="178" t="s">
        <v>113</v>
      </c>
      <c r="B1027" s="75" t="s">
        <v>238</v>
      </c>
      <c r="C1027" s="39" t="s">
        <v>208</v>
      </c>
      <c r="D1027" s="236"/>
      <c r="E1027" s="236"/>
      <c r="F1027" s="236"/>
      <c r="G1027" s="236"/>
      <c r="H1027" s="40">
        <f>SUM(Tabla132112413[[#This Row],[PRIMER TRIMESTRE]:[CUARTO TRIMESTRE]])</f>
        <v>0</v>
      </c>
      <c r="I1027" s="17">
        <v>754</v>
      </c>
      <c r="J1027" s="17">
        <f>+Tabla132112413[[#This Row],[CANTIDAD TOTAL]]*Tabla132112413[[#This Row],[PRECIO UNITARIO ESTIMADO]]</f>
        <v>0</v>
      </c>
      <c r="K1027" s="17"/>
      <c r="L1027" s="16" t="s">
        <v>27</v>
      </c>
      <c r="M1027" s="16" t="s">
        <v>22</v>
      </c>
      <c r="N1027" s="39" t="s">
        <v>418</v>
      </c>
    </row>
    <row r="1028" spans="1:14" s="12" customFormat="1" ht="31.5">
      <c r="A1028" s="179" t="s">
        <v>113</v>
      </c>
      <c r="B1028" s="76"/>
      <c r="C1028" s="42"/>
      <c r="D1028" s="237"/>
      <c r="E1028" s="237"/>
      <c r="F1028" s="237"/>
      <c r="G1028" s="237"/>
      <c r="H1028" s="43"/>
      <c r="I1028" s="24"/>
      <c r="J1028" s="24"/>
      <c r="K1028" s="25">
        <f>SUM(J1022:J1027)</f>
        <v>772.4</v>
      </c>
      <c r="L1028" s="23"/>
      <c r="M1028" s="23"/>
      <c r="N1028" s="42"/>
    </row>
    <row r="1029" spans="1:14" s="12" customFormat="1" ht="18">
      <c r="A1029" s="180" t="s">
        <v>115</v>
      </c>
      <c r="B1029" s="77" t="s">
        <v>319</v>
      </c>
      <c r="C1029" s="70" t="s">
        <v>17</v>
      </c>
      <c r="D1029" s="210">
        <v>1</v>
      </c>
      <c r="E1029" s="210"/>
      <c r="F1029" s="210"/>
      <c r="G1029" s="210"/>
      <c r="H1029" s="406">
        <f>SUM(Tabla132112413[[#This Row],[PRIMER TRIMESTRE]:[CUARTO TRIMESTRE]])</f>
        <v>1</v>
      </c>
      <c r="I1029" s="72">
        <f>544724/8</f>
        <v>68090.5</v>
      </c>
      <c r="J1029" s="72">
        <f>+Tabla132112413[[#This Row],[CANTIDAD TOTAL]]*Tabla132112413[[#This Row],[PRECIO UNITARIO ESTIMADO]]</f>
        <v>68090.5</v>
      </c>
      <c r="K1029" s="72"/>
      <c r="L1029" s="73" t="s">
        <v>18</v>
      </c>
      <c r="M1029" s="73" t="s">
        <v>22</v>
      </c>
      <c r="N1029" s="70" t="s">
        <v>418</v>
      </c>
    </row>
    <row r="1030" spans="1:14" s="12" customFormat="1" ht="18">
      <c r="A1030" s="178" t="s">
        <v>115</v>
      </c>
      <c r="B1030" s="75" t="s">
        <v>428</v>
      </c>
      <c r="C1030" s="39" t="s">
        <v>17</v>
      </c>
      <c r="D1030" s="236"/>
      <c r="E1030" s="236"/>
      <c r="F1030" s="236"/>
      <c r="G1030" s="236"/>
      <c r="H1030" s="40">
        <f>SUM(Tabla132112413[[#This Row],[PRIMER TRIMESTRE]:[CUARTO TRIMESTRE]])</f>
        <v>0</v>
      </c>
      <c r="I1030" s="17">
        <v>3074</v>
      </c>
      <c r="J1030" s="17">
        <f>+Tabla132112413[[#This Row],[CANTIDAD TOTAL]]*Tabla132112413[[#This Row],[PRECIO UNITARIO ESTIMADO]]</f>
        <v>0</v>
      </c>
      <c r="K1030" s="17"/>
      <c r="L1030" s="73" t="s">
        <v>18</v>
      </c>
      <c r="M1030" s="16" t="s">
        <v>22</v>
      </c>
      <c r="N1030" s="39" t="s">
        <v>418</v>
      </c>
    </row>
    <row r="1031" spans="1:14" s="12" customFormat="1" ht="18">
      <c r="A1031" s="178" t="s">
        <v>115</v>
      </c>
      <c r="B1031" s="75" t="s">
        <v>244</v>
      </c>
      <c r="C1031" s="39" t="s">
        <v>17</v>
      </c>
      <c r="D1031" s="236"/>
      <c r="E1031" s="236"/>
      <c r="F1031" s="236"/>
      <c r="G1031" s="236"/>
      <c r="H1031" s="40">
        <f>SUM(Tabla132112413[[#This Row],[PRIMER TRIMESTRE]:[CUARTO TRIMESTRE]])</f>
        <v>0</v>
      </c>
      <c r="I1031" s="17">
        <v>24940</v>
      </c>
      <c r="J1031" s="17">
        <f>+Tabla132112413[[#This Row],[CANTIDAD TOTAL]]*Tabla132112413[[#This Row],[PRECIO UNITARIO ESTIMADO]]</f>
        <v>0</v>
      </c>
      <c r="K1031" s="17"/>
      <c r="L1031" s="73" t="s">
        <v>18</v>
      </c>
      <c r="M1031" s="16" t="s">
        <v>22</v>
      </c>
      <c r="N1031" s="39" t="s">
        <v>418</v>
      </c>
    </row>
    <row r="1032" spans="1:14" s="169" customFormat="1" ht="18">
      <c r="A1032" s="178" t="s">
        <v>115</v>
      </c>
      <c r="B1032" s="75" t="s">
        <v>429</v>
      </c>
      <c r="C1032" s="39" t="s">
        <v>17</v>
      </c>
      <c r="D1032" s="236"/>
      <c r="E1032" s="236"/>
      <c r="F1032" s="236"/>
      <c r="G1032" s="236"/>
      <c r="H1032" s="40">
        <f>SUM(Tabla132112413[[#This Row],[PRIMER TRIMESTRE]:[CUARTO TRIMESTRE]])</f>
        <v>0</v>
      </c>
      <c r="I1032" s="17">
        <v>77185.240000000005</v>
      </c>
      <c r="J1032" s="17">
        <f>+Tabla132112413[[#This Row],[CANTIDAD TOTAL]]*Tabla132112413[[#This Row],[PRECIO UNITARIO ESTIMADO]]</f>
        <v>0</v>
      </c>
      <c r="K1032" s="17"/>
      <c r="L1032" s="73" t="s">
        <v>18</v>
      </c>
      <c r="M1032" s="16" t="s">
        <v>22</v>
      </c>
      <c r="N1032" s="39" t="s">
        <v>418</v>
      </c>
    </row>
    <row r="1033" spans="1:14" s="169" customFormat="1" ht="18">
      <c r="A1033" s="178" t="s">
        <v>115</v>
      </c>
      <c r="B1033" s="75" t="s">
        <v>321</v>
      </c>
      <c r="C1033" s="39" t="s">
        <v>17</v>
      </c>
      <c r="D1033" s="236"/>
      <c r="E1033" s="236"/>
      <c r="F1033" s="236"/>
      <c r="G1033" s="236"/>
      <c r="H1033" s="40">
        <f>SUM(Tabla132112413[[#This Row],[PRIMER TRIMESTRE]:[CUARTO TRIMESTRE]])</f>
        <v>0</v>
      </c>
      <c r="I1033" s="17">
        <f>31243.78/16</f>
        <v>1952.7362499999999</v>
      </c>
      <c r="J1033" s="17">
        <f>+Tabla132112413[[#This Row],[CANTIDAD TOTAL]]*Tabla132112413[[#This Row],[PRECIO UNITARIO ESTIMADO]]</f>
        <v>0</v>
      </c>
      <c r="K1033" s="17"/>
      <c r="L1033" s="73" t="s">
        <v>18</v>
      </c>
      <c r="M1033" s="16" t="s">
        <v>22</v>
      </c>
      <c r="N1033" s="39" t="s">
        <v>418</v>
      </c>
    </row>
    <row r="1034" spans="1:14" s="169" customFormat="1" ht="38.25">
      <c r="A1034" s="180" t="s">
        <v>115</v>
      </c>
      <c r="B1034" s="77" t="s">
        <v>892</v>
      </c>
      <c r="C1034" s="70" t="s">
        <v>17</v>
      </c>
      <c r="D1034" s="210"/>
      <c r="E1034" s="210"/>
      <c r="F1034" s="210"/>
      <c r="G1034" s="210"/>
      <c r="H1034" s="406">
        <f>SUM(Tabla132112413[[#This Row],[PRIMER TRIMESTRE]:[CUARTO TRIMESTRE]])</f>
        <v>0</v>
      </c>
      <c r="I1034" s="72">
        <v>3519</v>
      </c>
      <c r="J1034" s="72">
        <f t="shared" ref="J1034:J1062" si="27">+H1034*I1034</f>
        <v>0</v>
      </c>
      <c r="K1034" s="72"/>
      <c r="L1034" s="73" t="s">
        <v>18</v>
      </c>
      <c r="M1034" s="16" t="s">
        <v>22</v>
      </c>
      <c r="N1034" s="39" t="s">
        <v>418</v>
      </c>
    </row>
    <row r="1035" spans="1:14" s="169" customFormat="1" ht="25.5">
      <c r="A1035" s="180" t="s">
        <v>115</v>
      </c>
      <c r="B1035" s="77" t="s">
        <v>932</v>
      </c>
      <c r="C1035" s="70" t="s">
        <v>17</v>
      </c>
      <c r="D1035" s="210"/>
      <c r="E1035" s="210"/>
      <c r="F1035" s="210"/>
      <c r="G1035" s="210"/>
      <c r="H1035" s="406">
        <f>SUM(Tabla132112413[[#This Row],[PRIMER TRIMESTRE]:[CUARTO TRIMESTRE]])</f>
        <v>0</v>
      </c>
      <c r="I1035" s="72">
        <v>1500</v>
      </c>
      <c r="J1035" s="72">
        <f t="shared" si="27"/>
        <v>0</v>
      </c>
      <c r="K1035" s="72"/>
      <c r="L1035" s="73" t="s">
        <v>18</v>
      </c>
      <c r="M1035" s="16" t="s">
        <v>22</v>
      </c>
      <c r="N1035" s="39" t="s">
        <v>418</v>
      </c>
    </row>
    <row r="1036" spans="1:14" s="169" customFormat="1" ht="25.5">
      <c r="A1036" s="180" t="s">
        <v>115</v>
      </c>
      <c r="B1036" s="77" t="s">
        <v>894</v>
      </c>
      <c r="C1036" s="70" t="s">
        <v>17</v>
      </c>
      <c r="D1036" s="210">
        <v>2</v>
      </c>
      <c r="E1036" s="210"/>
      <c r="F1036" s="210"/>
      <c r="G1036" s="210"/>
      <c r="H1036" s="406">
        <f>SUM(Tabla132112413[[#This Row],[PRIMER TRIMESTRE]:[CUARTO TRIMESTRE]])</f>
        <v>2</v>
      </c>
      <c r="I1036" s="72">
        <v>600</v>
      </c>
      <c r="J1036" s="72">
        <f t="shared" si="27"/>
        <v>1200</v>
      </c>
      <c r="K1036" s="72"/>
      <c r="L1036" s="73" t="s">
        <v>18</v>
      </c>
      <c r="M1036" s="16" t="s">
        <v>22</v>
      </c>
      <c r="N1036" s="39" t="s">
        <v>418</v>
      </c>
    </row>
    <row r="1037" spans="1:14" s="169" customFormat="1" ht="25.5">
      <c r="A1037" s="180" t="s">
        <v>115</v>
      </c>
      <c r="B1037" s="77" t="s">
        <v>895</v>
      </c>
      <c r="C1037" s="70" t="s">
        <v>17</v>
      </c>
      <c r="D1037" s="210">
        <v>2</v>
      </c>
      <c r="E1037" s="210"/>
      <c r="F1037" s="210"/>
      <c r="G1037" s="210"/>
      <c r="H1037" s="406">
        <f>SUM(Tabla132112413[[#This Row],[PRIMER TRIMESTRE]:[CUARTO TRIMESTRE]])</f>
        <v>2</v>
      </c>
      <c r="I1037" s="72">
        <v>450</v>
      </c>
      <c r="J1037" s="72">
        <f t="shared" si="27"/>
        <v>900</v>
      </c>
      <c r="K1037" s="72"/>
      <c r="L1037" s="73" t="s">
        <v>18</v>
      </c>
      <c r="M1037" s="16" t="s">
        <v>22</v>
      </c>
      <c r="N1037" s="39" t="s">
        <v>418</v>
      </c>
    </row>
    <row r="1038" spans="1:14" s="169" customFormat="1" ht="18">
      <c r="A1038" s="180" t="s">
        <v>115</v>
      </c>
      <c r="B1038" s="77" t="s">
        <v>897</v>
      </c>
      <c r="C1038" s="70" t="s">
        <v>17</v>
      </c>
      <c r="D1038" s="210">
        <v>1</v>
      </c>
      <c r="E1038" s="210"/>
      <c r="F1038" s="210"/>
      <c r="G1038" s="210"/>
      <c r="H1038" s="406">
        <f>SUM(Tabla132112413[[#This Row],[PRIMER TRIMESTRE]:[CUARTO TRIMESTRE]])</f>
        <v>1</v>
      </c>
      <c r="I1038" s="72">
        <v>85000</v>
      </c>
      <c r="J1038" s="72">
        <f t="shared" si="27"/>
        <v>85000</v>
      </c>
      <c r="K1038" s="72"/>
      <c r="L1038" s="73" t="s">
        <v>18</v>
      </c>
      <c r="M1038" s="16" t="s">
        <v>22</v>
      </c>
      <c r="N1038" s="39" t="s">
        <v>418</v>
      </c>
    </row>
    <row r="1039" spans="1:14" s="169" customFormat="1" ht="25.5">
      <c r="A1039" s="180" t="s">
        <v>115</v>
      </c>
      <c r="B1039" s="77" t="s">
        <v>898</v>
      </c>
      <c r="C1039" s="70" t="s">
        <v>17</v>
      </c>
      <c r="D1039" s="210">
        <v>4</v>
      </c>
      <c r="E1039" s="210"/>
      <c r="F1039" s="210"/>
      <c r="G1039" s="210"/>
      <c r="H1039" s="406">
        <f>SUM(Tabla132112413[[#This Row],[PRIMER TRIMESTRE]:[CUARTO TRIMESTRE]])</f>
        <v>4</v>
      </c>
      <c r="I1039" s="72">
        <v>2500</v>
      </c>
      <c r="J1039" s="72">
        <f t="shared" si="27"/>
        <v>10000</v>
      </c>
      <c r="K1039" s="72"/>
      <c r="L1039" s="73" t="s">
        <v>18</v>
      </c>
      <c r="M1039" s="16" t="s">
        <v>22</v>
      </c>
      <c r="N1039" s="39" t="s">
        <v>418</v>
      </c>
    </row>
    <row r="1040" spans="1:14" s="169" customFormat="1" ht="38.25">
      <c r="A1040" s="180" t="s">
        <v>115</v>
      </c>
      <c r="B1040" s="77" t="s">
        <v>933</v>
      </c>
      <c r="C1040" s="70" t="s">
        <v>17</v>
      </c>
      <c r="D1040" s="210"/>
      <c r="E1040" s="210"/>
      <c r="F1040" s="210"/>
      <c r="G1040" s="210"/>
      <c r="H1040" s="406">
        <f>SUM(Tabla132112413[[#This Row],[PRIMER TRIMESTRE]:[CUARTO TRIMESTRE]])</f>
        <v>0</v>
      </c>
      <c r="I1040" s="72">
        <v>420</v>
      </c>
      <c r="J1040" s="72">
        <f t="shared" si="27"/>
        <v>0</v>
      </c>
      <c r="K1040" s="72"/>
      <c r="L1040" s="73" t="s">
        <v>18</v>
      </c>
      <c r="M1040" s="16" t="s">
        <v>22</v>
      </c>
      <c r="N1040" s="39" t="s">
        <v>418</v>
      </c>
    </row>
    <row r="1041" spans="1:14" s="169" customFormat="1" ht="38.25">
      <c r="A1041" s="180" t="s">
        <v>115</v>
      </c>
      <c r="B1041" s="77" t="s">
        <v>902</v>
      </c>
      <c r="C1041" s="70" t="s">
        <v>17</v>
      </c>
      <c r="D1041" s="210"/>
      <c r="E1041" s="210"/>
      <c r="F1041" s="210"/>
      <c r="G1041" s="210"/>
      <c r="H1041" s="406">
        <f>SUM(Tabla132112413[[#This Row],[PRIMER TRIMESTRE]:[CUARTO TRIMESTRE]])</f>
        <v>0</v>
      </c>
      <c r="I1041" s="72">
        <v>450</v>
      </c>
      <c r="J1041" s="72">
        <f t="shared" si="27"/>
        <v>0</v>
      </c>
      <c r="K1041" s="72"/>
      <c r="L1041" s="73" t="s">
        <v>18</v>
      </c>
      <c r="M1041" s="16" t="s">
        <v>22</v>
      </c>
      <c r="N1041" s="39" t="s">
        <v>418</v>
      </c>
    </row>
    <row r="1042" spans="1:14" s="169" customFormat="1" ht="18">
      <c r="A1042" s="180" t="s">
        <v>115</v>
      </c>
      <c r="B1042" s="77" t="s">
        <v>934</v>
      </c>
      <c r="C1042" s="70" t="s">
        <v>17</v>
      </c>
      <c r="D1042" s="210"/>
      <c r="E1042" s="210"/>
      <c r="F1042" s="210"/>
      <c r="G1042" s="210"/>
      <c r="H1042" s="406">
        <f>SUM(Tabla132112413[[#This Row],[PRIMER TRIMESTRE]:[CUARTO TRIMESTRE]])</f>
        <v>0</v>
      </c>
      <c r="I1042" s="72">
        <v>125</v>
      </c>
      <c r="J1042" s="72">
        <f t="shared" si="27"/>
        <v>0</v>
      </c>
      <c r="K1042" s="72"/>
      <c r="L1042" s="73" t="s">
        <v>18</v>
      </c>
      <c r="M1042" s="16" t="s">
        <v>22</v>
      </c>
      <c r="N1042" s="39" t="s">
        <v>418</v>
      </c>
    </row>
    <row r="1043" spans="1:14" s="169" customFormat="1" ht="18">
      <c r="A1043" s="180" t="s">
        <v>115</v>
      </c>
      <c r="B1043" s="77" t="s">
        <v>935</v>
      </c>
      <c r="C1043" s="70" t="s">
        <v>208</v>
      </c>
      <c r="D1043" s="210"/>
      <c r="E1043" s="210"/>
      <c r="F1043" s="210"/>
      <c r="G1043" s="210"/>
      <c r="H1043" s="406">
        <f>SUM(Tabla132112413[[#This Row],[PRIMER TRIMESTRE]:[CUARTO TRIMESTRE]])</f>
        <v>0</v>
      </c>
      <c r="I1043" s="72">
        <v>4300</v>
      </c>
      <c r="J1043" s="72">
        <f t="shared" si="27"/>
        <v>0</v>
      </c>
      <c r="K1043" s="72"/>
      <c r="L1043" s="73" t="s">
        <v>18</v>
      </c>
      <c r="M1043" s="16" t="s">
        <v>22</v>
      </c>
      <c r="N1043" s="39" t="s">
        <v>418</v>
      </c>
    </row>
    <row r="1044" spans="1:14" s="169" customFormat="1" ht="25.5">
      <c r="A1044" s="180" t="s">
        <v>115</v>
      </c>
      <c r="B1044" s="77" t="s">
        <v>936</v>
      </c>
      <c r="C1044" s="70" t="s">
        <v>17</v>
      </c>
      <c r="D1044" s="210"/>
      <c r="E1044" s="210"/>
      <c r="F1044" s="210"/>
      <c r="G1044" s="210"/>
      <c r="H1044" s="406">
        <f>SUM(Tabla132112413[[#This Row],[PRIMER TRIMESTRE]:[CUARTO TRIMESTRE]])</f>
        <v>0</v>
      </c>
      <c r="I1044" s="72">
        <v>7300</v>
      </c>
      <c r="J1044" s="72">
        <f t="shared" si="27"/>
        <v>0</v>
      </c>
      <c r="K1044" s="72"/>
      <c r="L1044" s="16" t="s">
        <v>18</v>
      </c>
      <c r="M1044" s="16" t="s">
        <v>22</v>
      </c>
      <c r="N1044" s="39" t="s">
        <v>418</v>
      </c>
    </row>
    <row r="1045" spans="1:14" s="169" customFormat="1" ht="25.5">
      <c r="A1045" s="180" t="s">
        <v>115</v>
      </c>
      <c r="B1045" s="77" t="s">
        <v>937</v>
      </c>
      <c r="C1045" s="70" t="s">
        <v>17</v>
      </c>
      <c r="D1045" s="210"/>
      <c r="E1045" s="210"/>
      <c r="F1045" s="210"/>
      <c r="G1045" s="210"/>
      <c r="H1045" s="406">
        <f>SUM(Tabla132112413[[#This Row],[PRIMER TRIMESTRE]:[CUARTO TRIMESTRE]])</f>
        <v>0</v>
      </c>
      <c r="I1045" s="72">
        <v>14671</v>
      </c>
      <c r="J1045" s="72">
        <f t="shared" si="27"/>
        <v>0</v>
      </c>
      <c r="K1045" s="72"/>
      <c r="L1045" s="73" t="s">
        <v>18</v>
      </c>
      <c r="M1045" s="16" t="s">
        <v>22</v>
      </c>
      <c r="N1045" s="39" t="s">
        <v>418</v>
      </c>
    </row>
    <row r="1046" spans="1:14" s="169" customFormat="1" ht="25.5">
      <c r="A1046" s="180" t="s">
        <v>115</v>
      </c>
      <c r="B1046" s="77" t="s">
        <v>938</v>
      </c>
      <c r="C1046" s="70" t="s">
        <v>17</v>
      </c>
      <c r="D1046" s="210"/>
      <c r="E1046" s="210"/>
      <c r="F1046" s="210"/>
      <c r="G1046" s="210"/>
      <c r="H1046" s="406">
        <f>SUM(Tabla132112413[[#This Row],[PRIMER TRIMESTRE]:[CUARTO TRIMESTRE]])</f>
        <v>0</v>
      </c>
      <c r="I1046" s="72">
        <v>34000</v>
      </c>
      <c r="J1046" s="72">
        <f t="shared" si="27"/>
        <v>0</v>
      </c>
      <c r="K1046" s="72"/>
      <c r="L1046" s="73" t="s">
        <v>18</v>
      </c>
      <c r="M1046" s="16" t="s">
        <v>22</v>
      </c>
      <c r="N1046" s="39" t="s">
        <v>418</v>
      </c>
    </row>
    <row r="1047" spans="1:14" s="169" customFormat="1" ht="18">
      <c r="A1047" s="180" t="s">
        <v>115</v>
      </c>
      <c r="B1047" s="77" t="s">
        <v>1628</v>
      </c>
      <c r="C1047" s="70" t="s">
        <v>17</v>
      </c>
      <c r="D1047" s="210"/>
      <c r="E1047" s="210"/>
      <c r="F1047" s="406"/>
      <c r="G1047" s="406"/>
      <c r="H1047" s="406">
        <f>SUM(Tabla132112413[[#This Row],[PRIMER TRIMESTRE]:[CUARTO TRIMESTRE]])</f>
        <v>0</v>
      </c>
      <c r="I1047" s="72">
        <v>3500</v>
      </c>
      <c r="J1047" s="72">
        <f t="shared" si="27"/>
        <v>0</v>
      </c>
      <c r="K1047" s="72"/>
      <c r="L1047" s="73" t="s">
        <v>18</v>
      </c>
      <c r="M1047" s="16" t="s">
        <v>22</v>
      </c>
      <c r="N1047" s="39" t="s">
        <v>418</v>
      </c>
    </row>
    <row r="1048" spans="1:14" s="169" customFormat="1" ht="18">
      <c r="A1048" s="180" t="s">
        <v>115</v>
      </c>
      <c r="B1048" s="77" t="s">
        <v>1629</v>
      </c>
      <c r="C1048" s="70" t="s">
        <v>17</v>
      </c>
      <c r="D1048" s="210"/>
      <c r="E1048" s="210"/>
      <c r="F1048" s="249"/>
      <c r="G1048" s="249"/>
      <c r="H1048" s="406">
        <f>SUM(Tabla132112413[[#This Row],[PRIMER TRIMESTRE]:[CUARTO TRIMESTRE]])</f>
        <v>0</v>
      </c>
      <c r="I1048" s="72">
        <v>14000</v>
      </c>
      <c r="J1048" s="72">
        <f t="shared" si="27"/>
        <v>0</v>
      </c>
      <c r="K1048" s="72"/>
      <c r="L1048" s="16" t="s">
        <v>18</v>
      </c>
      <c r="M1048" s="16" t="s">
        <v>22</v>
      </c>
      <c r="N1048" s="39" t="s">
        <v>418</v>
      </c>
    </row>
    <row r="1049" spans="1:14" s="169" customFormat="1" ht="25.5">
      <c r="A1049" s="180" t="s">
        <v>115</v>
      </c>
      <c r="B1049" s="77" t="s">
        <v>939</v>
      </c>
      <c r="C1049" s="70" t="s">
        <v>17</v>
      </c>
      <c r="D1049" s="210"/>
      <c r="E1049" s="210"/>
      <c r="F1049" s="210"/>
      <c r="G1049" s="210"/>
      <c r="H1049" s="406">
        <f>SUM(Tabla132112413[[#This Row],[PRIMER TRIMESTRE]:[CUARTO TRIMESTRE]])</f>
        <v>0</v>
      </c>
      <c r="I1049" s="72">
        <v>34000</v>
      </c>
      <c r="J1049" s="72">
        <f t="shared" si="27"/>
        <v>0</v>
      </c>
      <c r="K1049" s="72"/>
      <c r="L1049" s="16" t="s">
        <v>18</v>
      </c>
      <c r="M1049" s="16" t="s">
        <v>22</v>
      </c>
      <c r="N1049" s="39" t="s">
        <v>418</v>
      </c>
    </row>
    <row r="1050" spans="1:14" s="169" customFormat="1" ht="18">
      <c r="A1050" s="180" t="s">
        <v>115</v>
      </c>
      <c r="B1050" s="77" t="s">
        <v>1630</v>
      </c>
      <c r="C1050" s="70" t="s">
        <v>17</v>
      </c>
      <c r="D1050" s="210"/>
      <c r="E1050" s="210"/>
      <c r="F1050" s="210"/>
      <c r="G1050" s="210"/>
      <c r="H1050" s="406">
        <f>SUM(Tabla132112413[[#This Row],[PRIMER TRIMESTRE]:[CUARTO TRIMESTRE]])</f>
        <v>0</v>
      </c>
      <c r="I1050" s="72">
        <v>4000</v>
      </c>
      <c r="J1050" s="72">
        <f t="shared" si="27"/>
        <v>0</v>
      </c>
      <c r="K1050" s="72"/>
      <c r="L1050" s="16" t="s">
        <v>18</v>
      </c>
      <c r="M1050" s="16" t="s">
        <v>22</v>
      </c>
      <c r="N1050" s="39" t="s">
        <v>418</v>
      </c>
    </row>
    <row r="1051" spans="1:14" s="169" customFormat="1" ht="18">
      <c r="A1051" s="180" t="s">
        <v>115</v>
      </c>
      <c r="B1051" s="77" t="s">
        <v>1631</v>
      </c>
      <c r="C1051" s="70" t="s">
        <v>17</v>
      </c>
      <c r="D1051" s="210"/>
      <c r="E1051" s="210"/>
      <c r="F1051" s="210"/>
      <c r="G1051" s="210"/>
      <c r="H1051" s="406">
        <f>SUM(Tabla132112413[[#This Row],[PRIMER TRIMESTRE]:[CUARTO TRIMESTRE]])</f>
        <v>0</v>
      </c>
      <c r="I1051" s="72">
        <v>20000</v>
      </c>
      <c r="J1051" s="72">
        <f t="shared" si="27"/>
        <v>0</v>
      </c>
      <c r="K1051" s="72"/>
      <c r="L1051" s="16" t="s">
        <v>18</v>
      </c>
      <c r="M1051" s="16" t="s">
        <v>22</v>
      </c>
      <c r="N1051" s="39" t="s">
        <v>418</v>
      </c>
    </row>
    <row r="1052" spans="1:14" s="169" customFormat="1" ht="18">
      <c r="A1052" s="180" t="s">
        <v>115</v>
      </c>
      <c r="B1052" s="77" t="s">
        <v>1632</v>
      </c>
      <c r="C1052" s="70" t="s">
        <v>17</v>
      </c>
      <c r="D1052" s="210"/>
      <c r="E1052" s="210"/>
      <c r="F1052" s="210"/>
      <c r="G1052" s="210"/>
      <c r="H1052" s="406">
        <f>SUM(Tabla132112413[[#This Row],[PRIMER TRIMESTRE]:[CUARTO TRIMESTRE]])</f>
        <v>0</v>
      </c>
      <c r="I1052" s="72">
        <v>300000</v>
      </c>
      <c r="J1052" s="72">
        <f t="shared" si="27"/>
        <v>0</v>
      </c>
      <c r="K1052" s="72"/>
      <c r="L1052" s="73" t="s">
        <v>18</v>
      </c>
      <c r="M1052" s="16" t="s">
        <v>22</v>
      </c>
      <c r="N1052" s="39" t="s">
        <v>418</v>
      </c>
    </row>
    <row r="1053" spans="1:14" s="12" customFormat="1" ht="25.5">
      <c r="A1053" s="180" t="s">
        <v>115</v>
      </c>
      <c r="B1053" s="77" t="s">
        <v>940</v>
      </c>
      <c r="C1053" s="70" t="s">
        <v>17</v>
      </c>
      <c r="D1053" s="210"/>
      <c r="E1053" s="210"/>
      <c r="F1053" s="210"/>
      <c r="G1053" s="210"/>
      <c r="H1053" s="406">
        <f>SUM(Tabla132112413[[#This Row],[PRIMER TRIMESTRE]:[CUARTO TRIMESTRE]])</f>
        <v>0</v>
      </c>
      <c r="I1053" s="72">
        <v>210000</v>
      </c>
      <c r="J1053" s="72">
        <f t="shared" si="27"/>
        <v>0</v>
      </c>
      <c r="K1053" s="72"/>
      <c r="L1053" s="16" t="s">
        <v>18</v>
      </c>
      <c r="M1053" s="16" t="s">
        <v>22</v>
      </c>
      <c r="N1053" s="39" t="s">
        <v>418</v>
      </c>
    </row>
    <row r="1054" spans="1:14" s="12" customFormat="1" ht="25.5">
      <c r="A1054" s="180" t="s">
        <v>115</v>
      </c>
      <c r="B1054" s="77" t="s">
        <v>1887</v>
      </c>
      <c r="C1054" s="70" t="s">
        <v>17</v>
      </c>
      <c r="D1054" s="210">
        <v>6</v>
      </c>
      <c r="E1054" s="210"/>
      <c r="F1054" s="210"/>
      <c r="G1054" s="210"/>
      <c r="H1054" s="406">
        <f>SUM(Tabla132112413[[#This Row],[PRIMER TRIMESTRE]:[CUARTO TRIMESTRE]])</f>
        <v>6</v>
      </c>
      <c r="I1054" s="72">
        <v>35000</v>
      </c>
      <c r="J1054" s="72">
        <f t="shared" si="27"/>
        <v>210000</v>
      </c>
      <c r="K1054" s="72"/>
      <c r="L1054" s="16" t="s">
        <v>18</v>
      </c>
      <c r="M1054" s="16" t="s">
        <v>22</v>
      </c>
      <c r="N1054" s="39" t="s">
        <v>418</v>
      </c>
    </row>
    <row r="1055" spans="1:14" s="12" customFormat="1" ht="25.5">
      <c r="A1055" s="178" t="s">
        <v>115</v>
      </c>
      <c r="B1055" s="75" t="s">
        <v>1752</v>
      </c>
      <c r="C1055" s="39" t="s">
        <v>17</v>
      </c>
      <c r="D1055" s="210"/>
      <c r="E1055" s="210"/>
      <c r="F1055" s="210"/>
      <c r="G1055" s="210"/>
      <c r="H1055" s="406">
        <v>0</v>
      </c>
      <c r="I1055" s="72">
        <v>0</v>
      </c>
      <c r="J1055" s="72">
        <v>0</v>
      </c>
      <c r="K1055" s="72"/>
      <c r="L1055" s="73" t="s">
        <v>18</v>
      </c>
      <c r="M1055" s="16" t="s">
        <v>22</v>
      </c>
      <c r="N1055" s="39" t="s">
        <v>418</v>
      </c>
    </row>
    <row r="1056" spans="1:14" s="12" customFormat="1" ht="18">
      <c r="A1056" s="178" t="s">
        <v>115</v>
      </c>
      <c r="B1056" s="75" t="s">
        <v>1888</v>
      </c>
      <c r="C1056" s="39" t="s">
        <v>17</v>
      </c>
      <c r="D1056" s="210"/>
      <c r="E1056" s="210"/>
      <c r="F1056" s="210"/>
      <c r="G1056" s="210"/>
      <c r="H1056" s="406">
        <v>0</v>
      </c>
      <c r="I1056" s="72">
        <v>0</v>
      </c>
      <c r="J1056" s="72">
        <v>0</v>
      </c>
      <c r="K1056" s="72"/>
      <c r="L1056" s="73" t="s">
        <v>18</v>
      </c>
      <c r="M1056" s="16" t="s">
        <v>22</v>
      </c>
      <c r="N1056" s="39" t="s">
        <v>418</v>
      </c>
    </row>
    <row r="1057" spans="1:14" s="12" customFormat="1" ht="30.75" customHeight="1">
      <c r="A1057" s="178" t="s">
        <v>115</v>
      </c>
      <c r="B1057" s="75" t="s">
        <v>945</v>
      </c>
      <c r="C1057" s="39" t="s">
        <v>17</v>
      </c>
      <c r="D1057" s="236">
        <v>2</v>
      </c>
      <c r="E1057" s="236"/>
      <c r="F1057" s="236"/>
      <c r="G1057" s="236"/>
      <c r="H1057" s="40">
        <f>SUM(Tabla132112413[[#This Row],[PRIMER TRIMESTRE]:[CUARTO TRIMESTRE]])</f>
        <v>2</v>
      </c>
      <c r="I1057" s="17">
        <v>7498</v>
      </c>
      <c r="J1057" s="17">
        <f t="shared" si="27"/>
        <v>14996</v>
      </c>
      <c r="K1057" s="17"/>
      <c r="L1057" s="73" t="s">
        <v>18</v>
      </c>
      <c r="M1057" s="16" t="s">
        <v>22</v>
      </c>
      <c r="N1057" s="39" t="s">
        <v>418</v>
      </c>
    </row>
    <row r="1058" spans="1:14" s="12" customFormat="1" ht="30.75" customHeight="1">
      <c r="A1058" s="178" t="s">
        <v>115</v>
      </c>
      <c r="B1058" s="75" t="s">
        <v>946</v>
      </c>
      <c r="C1058" s="39" t="s">
        <v>17</v>
      </c>
      <c r="D1058" s="236"/>
      <c r="E1058" s="236"/>
      <c r="F1058" s="236"/>
      <c r="G1058" s="236"/>
      <c r="H1058" s="40">
        <f>SUM(Tabla132112413[[#This Row],[PRIMER TRIMESTRE]:[CUARTO TRIMESTRE]])</f>
        <v>0</v>
      </c>
      <c r="I1058" s="17">
        <v>4600</v>
      </c>
      <c r="J1058" s="17">
        <f t="shared" si="27"/>
        <v>0</v>
      </c>
      <c r="K1058" s="17"/>
      <c r="L1058" s="73" t="s">
        <v>18</v>
      </c>
      <c r="M1058" s="16" t="s">
        <v>22</v>
      </c>
      <c r="N1058" s="39" t="s">
        <v>418</v>
      </c>
    </row>
    <row r="1059" spans="1:14" s="12" customFormat="1" ht="30.75" customHeight="1">
      <c r="A1059" s="178" t="s">
        <v>115</v>
      </c>
      <c r="B1059" s="75" t="s">
        <v>947</v>
      </c>
      <c r="C1059" s="39" t="s">
        <v>17</v>
      </c>
      <c r="D1059" s="236"/>
      <c r="E1059" s="236"/>
      <c r="F1059" s="236"/>
      <c r="G1059" s="236"/>
      <c r="H1059" s="40">
        <f>SUM(Tabla132112413[[#This Row],[PRIMER TRIMESTRE]:[CUARTO TRIMESTRE]])</f>
        <v>0</v>
      </c>
      <c r="I1059" s="17">
        <v>3496</v>
      </c>
      <c r="J1059" s="17">
        <f t="shared" si="27"/>
        <v>0</v>
      </c>
      <c r="K1059" s="17"/>
      <c r="L1059" s="73" t="s">
        <v>18</v>
      </c>
      <c r="M1059" s="16" t="s">
        <v>22</v>
      </c>
      <c r="N1059" s="39" t="s">
        <v>418</v>
      </c>
    </row>
    <row r="1060" spans="1:14" s="12" customFormat="1" ht="30.75" customHeight="1">
      <c r="A1060" s="178" t="s">
        <v>115</v>
      </c>
      <c r="B1060" s="75" t="s">
        <v>1440</v>
      </c>
      <c r="C1060" s="39" t="s">
        <v>17</v>
      </c>
      <c r="D1060" s="236"/>
      <c r="E1060" s="236"/>
      <c r="F1060" s="236"/>
      <c r="G1060" s="236"/>
      <c r="H1060" s="40">
        <f>SUM(Tabla132112413[[#This Row],[PRIMER TRIMESTRE]:[CUARTO TRIMESTRE]])</f>
        <v>0</v>
      </c>
      <c r="I1060" s="17">
        <v>5310</v>
      </c>
      <c r="J1060" s="17">
        <f t="shared" si="27"/>
        <v>0</v>
      </c>
      <c r="K1060" s="17"/>
      <c r="L1060" s="73" t="s">
        <v>15</v>
      </c>
      <c r="M1060" s="16" t="s">
        <v>22</v>
      </c>
      <c r="N1060" s="39" t="s">
        <v>418</v>
      </c>
    </row>
    <row r="1061" spans="1:14" s="26" customFormat="1" ht="30.75" customHeight="1">
      <c r="A1061" s="178" t="s">
        <v>115</v>
      </c>
      <c r="B1061" s="75" t="s">
        <v>1441</v>
      </c>
      <c r="C1061" s="39" t="s">
        <v>17</v>
      </c>
      <c r="D1061" s="236"/>
      <c r="E1061" s="236"/>
      <c r="F1061" s="236"/>
      <c r="G1061" s="236"/>
      <c r="H1061" s="40">
        <f>SUM(Tabla132112413[[#This Row],[PRIMER TRIMESTRE]:[CUARTO TRIMESTRE]])</f>
        <v>0</v>
      </c>
      <c r="I1061" s="17">
        <v>5310</v>
      </c>
      <c r="J1061" s="17">
        <f t="shared" si="27"/>
        <v>0</v>
      </c>
      <c r="K1061" s="17"/>
      <c r="L1061" s="73" t="s">
        <v>15</v>
      </c>
      <c r="M1061" s="16" t="s">
        <v>22</v>
      </c>
      <c r="N1061" s="39" t="s">
        <v>418</v>
      </c>
    </row>
    <row r="1062" spans="1:14" s="12" customFormat="1" ht="30.75" customHeight="1">
      <c r="A1062" s="178" t="s">
        <v>115</v>
      </c>
      <c r="B1062" s="75" t="s">
        <v>1442</v>
      </c>
      <c r="C1062" s="39" t="s">
        <v>17</v>
      </c>
      <c r="D1062" s="236"/>
      <c r="E1062" s="236"/>
      <c r="F1062" s="236"/>
      <c r="G1062" s="236"/>
      <c r="H1062" s="40">
        <f>SUM(Tabla132112413[[#This Row],[PRIMER TRIMESTRE]:[CUARTO TRIMESTRE]])</f>
        <v>0</v>
      </c>
      <c r="I1062" s="17">
        <v>5310</v>
      </c>
      <c r="J1062" s="17">
        <f t="shared" si="27"/>
        <v>0</v>
      </c>
      <c r="K1062" s="17"/>
      <c r="L1062" s="73" t="s">
        <v>15</v>
      </c>
      <c r="M1062" s="16" t="s">
        <v>22</v>
      </c>
      <c r="N1062" s="39" t="s">
        <v>418</v>
      </c>
    </row>
    <row r="1063" spans="1:14" s="12" customFormat="1" ht="30.75" customHeight="1">
      <c r="A1063" s="179" t="s">
        <v>115</v>
      </c>
      <c r="B1063" s="76"/>
      <c r="C1063" s="42"/>
      <c r="D1063" s="237"/>
      <c r="E1063" s="237"/>
      <c r="F1063" s="237"/>
      <c r="G1063" s="237"/>
      <c r="H1063" s="43"/>
      <c r="I1063" s="24"/>
      <c r="J1063" s="24"/>
      <c r="K1063" s="25">
        <f>SUM(J1029:J1062)</f>
        <v>390186.5</v>
      </c>
      <c r="L1063" s="23"/>
      <c r="M1063" s="23"/>
      <c r="N1063" s="42"/>
    </row>
    <row r="1064" spans="1:14" s="12" customFormat="1" ht="30.75" customHeight="1">
      <c r="A1064" s="178" t="s">
        <v>117</v>
      </c>
      <c r="B1064" s="75" t="s">
        <v>941</v>
      </c>
      <c r="C1064" s="39" t="s">
        <v>17</v>
      </c>
      <c r="D1064" s="236"/>
      <c r="E1064" s="236"/>
      <c r="F1064" s="236"/>
      <c r="G1064" s="236"/>
      <c r="H1064" s="40">
        <f>SUM(Tabla132112413[[#This Row],[PRIMER TRIMESTRE]:[CUARTO TRIMESTRE]])</f>
        <v>0</v>
      </c>
      <c r="I1064" s="17">
        <v>900</v>
      </c>
      <c r="J1064" s="17">
        <f>+H1064*I1064</f>
        <v>0</v>
      </c>
      <c r="K1064" s="17"/>
      <c r="L1064" s="73" t="s">
        <v>18</v>
      </c>
      <c r="M1064" s="16" t="s">
        <v>22</v>
      </c>
      <c r="N1064" s="39"/>
    </row>
    <row r="1065" spans="1:14" s="12" customFormat="1" ht="30.75" customHeight="1">
      <c r="A1065" s="178" t="s">
        <v>117</v>
      </c>
      <c r="B1065" s="75" t="s">
        <v>942</v>
      </c>
      <c r="C1065" s="39" t="s">
        <v>17</v>
      </c>
      <c r="D1065" s="236"/>
      <c r="E1065" s="236"/>
      <c r="F1065" s="236"/>
      <c r="G1065" s="236"/>
      <c r="H1065" s="40">
        <f>SUM(Tabla132112413[[#This Row],[PRIMER TRIMESTRE]:[CUARTO TRIMESTRE]])</f>
        <v>0</v>
      </c>
      <c r="I1065" s="17">
        <v>900</v>
      </c>
      <c r="J1065" s="17">
        <f>+H1065*I1065</f>
        <v>0</v>
      </c>
      <c r="K1065" s="17"/>
      <c r="L1065" s="73" t="s">
        <v>18</v>
      </c>
      <c r="M1065" s="16" t="s">
        <v>22</v>
      </c>
      <c r="N1065" s="39" t="s">
        <v>418</v>
      </c>
    </row>
    <row r="1066" spans="1:14" s="12" customFormat="1" ht="30.75" customHeight="1">
      <c r="A1066" s="178" t="s">
        <v>117</v>
      </c>
      <c r="B1066" s="75" t="s">
        <v>943</v>
      </c>
      <c r="C1066" s="39" t="s">
        <v>17</v>
      </c>
      <c r="D1066" s="236"/>
      <c r="E1066" s="236"/>
      <c r="F1066" s="236"/>
      <c r="G1066" s="236"/>
      <c r="H1066" s="40">
        <f>SUM(Tabla132112413[[#This Row],[PRIMER TRIMESTRE]:[CUARTO TRIMESTRE]])</f>
        <v>0</v>
      </c>
      <c r="I1066" s="17">
        <v>800000</v>
      </c>
      <c r="J1066" s="17">
        <f>+H1066*I1066</f>
        <v>0</v>
      </c>
      <c r="K1066" s="17"/>
      <c r="L1066" s="16" t="s">
        <v>18</v>
      </c>
      <c r="M1066" s="16" t="s">
        <v>22</v>
      </c>
      <c r="N1066" s="39" t="s">
        <v>418</v>
      </c>
    </row>
    <row r="1067" spans="1:14" s="12" customFormat="1" ht="30.75" customHeight="1">
      <c r="A1067" s="178" t="s">
        <v>117</v>
      </c>
      <c r="B1067" s="75" t="s">
        <v>1402</v>
      </c>
      <c r="C1067" s="39" t="s">
        <v>17</v>
      </c>
      <c r="D1067" s="236"/>
      <c r="E1067" s="236"/>
      <c r="F1067" s="236"/>
      <c r="G1067" s="236"/>
      <c r="H1067" s="40">
        <f>SUM(Tabla132112413[[#This Row],[PRIMER TRIMESTRE]:[CUARTO TRIMESTRE]])</f>
        <v>0</v>
      </c>
      <c r="I1067" s="17">
        <v>758</v>
      </c>
      <c r="J1067" s="17">
        <f>+Tabla132112413[[#This Row],[CANTIDAD TOTAL]]*Tabla132112413[[#This Row],[PRECIO UNITARIO ESTIMADO]]</f>
        <v>0</v>
      </c>
      <c r="K1067" s="17"/>
      <c r="L1067" s="73" t="s">
        <v>18</v>
      </c>
      <c r="M1067" s="16" t="s">
        <v>22</v>
      </c>
      <c r="N1067" s="39" t="s">
        <v>418</v>
      </c>
    </row>
    <row r="1068" spans="1:14" s="12" customFormat="1" ht="30.75" customHeight="1">
      <c r="A1068" s="178" t="s">
        <v>117</v>
      </c>
      <c r="B1068" s="75" t="s">
        <v>944</v>
      </c>
      <c r="C1068" s="39" t="s">
        <v>17</v>
      </c>
      <c r="D1068" s="236"/>
      <c r="E1068" s="236"/>
      <c r="F1068" s="236"/>
      <c r="G1068" s="236"/>
      <c r="H1068" s="40">
        <f>SUM(Tabla132112413[[#This Row],[PRIMER TRIMESTRE]:[CUARTO TRIMESTRE]])</f>
        <v>0</v>
      </c>
      <c r="I1068" s="17">
        <v>12000</v>
      </c>
      <c r="J1068" s="17">
        <f t="shared" ref="J1068:J1077" si="28">+H1068*I1068</f>
        <v>0</v>
      </c>
      <c r="K1068" s="17"/>
      <c r="L1068" s="73" t="s">
        <v>18</v>
      </c>
      <c r="M1068" s="16" t="s">
        <v>22</v>
      </c>
      <c r="N1068" s="39" t="s">
        <v>418</v>
      </c>
    </row>
    <row r="1069" spans="1:14" s="12" customFormat="1" ht="30.75" customHeight="1">
      <c r="A1069" s="178" t="s">
        <v>117</v>
      </c>
      <c r="B1069" s="75" t="s">
        <v>1755</v>
      </c>
      <c r="C1069" s="39" t="s">
        <v>17</v>
      </c>
      <c r="D1069" s="236"/>
      <c r="E1069" s="236"/>
      <c r="F1069" s="236"/>
      <c r="G1069" s="236"/>
      <c r="H1069" s="40">
        <v>0</v>
      </c>
      <c r="I1069" s="17">
        <v>0</v>
      </c>
      <c r="J1069" s="17">
        <v>0</v>
      </c>
      <c r="K1069" s="17"/>
      <c r="L1069" s="73" t="s">
        <v>18</v>
      </c>
      <c r="M1069" s="16" t="s">
        <v>22</v>
      </c>
      <c r="N1069" s="39" t="s">
        <v>418</v>
      </c>
    </row>
    <row r="1070" spans="1:14" s="12" customFormat="1" ht="30.75" customHeight="1">
      <c r="A1070" s="178" t="s">
        <v>117</v>
      </c>
      <c r="B1070" s="75" t="s">
        <v>1756</v>
      </c>
      <c r="C1070" s="39" t="s">
        <v>17</v>
      </c>
      <c r="D1070" s="236"/>
      <c r="E1070" s="236"/>
      <c r="F1070" s="236"/>
      <c r="G1070" s="236"/>
      <c r="H1070" s="40">
        <v>0</v>
      </c>
      <c r="I1070" s="17">
        <v>0</v>
      </c>
      <c r="J1070" s="17">
        <v>0</v>
      </c>
      <c r="K1070" s="17"/>
      <c r="L1070" s="73" t="s">
        <v>18</v>
      </c>
      <c r="M1070" s="16" t="s">
        <v>22</v>
      </c>
      <c r="N1070" s="39" t="s">
        <v>418</v>
      </c>
    </row>
    <row r="1071" spans="1:14" s="12" customFormat="1" ht="30.75" customHeight="1">
      <c r="A1071" s="178" t="s">
        <v>117</v>
      </c>
      <c r="B1071" s="75" t="s">
        <v>1403</v>
      </c>
      <c r="C1071" s="39" t="s">
        <v>17</v>
      </c>
      <c r="D1071" s="236"/>
      <c r="E1071" s="236"/>
      <c r="F1071" s="236"/>
      <c r="G1071" s="236"/>
      <c r="H1071" s="40">
        <f>SUM(Tabla132112413[[#This Row],[PRIMER TRIMESTRE]:[CUARTO TRIMESTRE]])</f>
        <v>0</v>
      </c>
      <c r="I1071" s="17">
        <v>250000</v>
      </c>
      <c r="J1071" s="17">
        <f t="shared" si="28"/>
        <v>0</v>
      </c>
      <c r="K1071" s="17"/>
      <c r="L1071" s="73" t="s">
        <v>18</v>
      </c>
      <c r="M1071" s="16" t="s">
        <v>22</v>
      </c>
      <c r="N1071" s="39" t="s">
        <v>418</v>
      </c>
    </row>
    <row r="1072" spans="1:14" s="12" customFormat="1" ht="30.75" customHeight="1">
      <c r="A1072" s="178" t="s">
        <v>117</v>
      </c>
      <c r="B1072" s="75" t="s">
        <v>1420</v>
      </c>
      <c r="C1072" s="39" t="s">
        <v>17</v>
      </c>
      <c r="D1072" s="236"/>
      <c r="E1072" s="236"/>
      <c r="F1072" s="236"/>
      <c r="G1072" s="236"/>
      <c r="H1072" s="40">
        <f>SUM(Tabla132112413[[#This Row],[PRIMER TRIMESTRE]:[CUARTO TRIMESTRE]])</f>
        <v>0</v>
      </c>
      <c r="I1072" s="17">
        <v>25000000</v>
      </c>
      <c r="J1072" s="17">
        <f t="shared" si="28"/>
        <v>0</v>
      </c>
      <c r="K1072" s="17"/>
      <c r="L1072" s="16" t="s">
        <v>18</v>
      </c>
      <c r="M1072" s="16" t="s">
        <v>22</v>
      </c>
      <c r="N1072" s="39" t="s">
        <v>418</v>
      </c>
    </row>
    <row r="1073" spans="1:14" s="12" customFormat="1" ht="30.75" customHeight="1">
      <c r="A1073" s="178" t="s">
        <v>117</v>
      </c>
      <c r="B1073" s="75" t="s">
        <v>1404</v>
      </c>
      <c r="C1073" s="39" t="s">
        <v>17</v>
      </c>
      <c r="D1073" s="236"/>
      <c r="E1073" s="236"/>
      <c r="F1073" s="236"/>
      <c r="G1073" s="236"/>
      <c r="H1073" s="40">
        <f>SUM(Tabla132112413[[#This Row],[PRIMER TRIMESTRE]:[CUARTO TRIMESTRE]])</f>
        <v>0</v>
      </c>
      <c r="I1073" s="17">
        <v>327618.2</v>
      </c>
      <c r="J1073" s="17">
        <f t="shared" si="28"/>
        <v>0</v>
      </c>
      <c r="K1073" s="17"/>
      <c r="L1073" s="73" t="s">
        <v>18</v>
      </c>
      <c r="M1073" s="16" t="s">
        <v>22</v>
      </c>
      <c r="N1073" s="39" t="s">
        <v>418</v>
      </c>
    </row>
    <row r="1074" spans="1:14" s="12" customFormat="1" ht="30.75" customHeight="1">
      <c r="A1074" s="178" t="s">
        <v>117</v>
      </c>
      <c r="B1074" s="75" t="s">
        <v>1405</v>
      </c>
      <c r="C1074" s="39" t="s">
        <v>17</v>
      </c>
      <c r="D1074" s="236"/>
      <c r="E1074" s="236"/>
      <c r="F1074" s="236"/>
      <c r="G1074" s="236"/>
      <c r="H1074" s="40">
        <f>SUM(Tabla132112413[[#This Row],[PRIMER TRIMESTRE]:[CUARTO TRIMESTRE]])</f>
        <v>0</v>
      </c>
      <c r="I1074" s="17">
        <v>815223.95</v>
      </c>
      <c r="J1074" s="17">
        <f t="shared" si="28"/>
        <v>0</v>
      </c>
      <c r="K1074" s="17"/>
      <c r="L1074" s="16" t="s">
        <v>18</v>
      </c>
      <c r="M1074" s="16" t="s">
        <v>22</v>
      </c>
      <c r="N1074" s="39" t="s">
        <v>418</v>
      </c>
    </row>
    <row r="1075" spans="1:14" s="12" customFormat="1" ht="30.75" customHeight="1">
      <c r="A1075" s="178" t="s">
        <v>117</v>
      </c>
      <c r="B1075" s="75" t="s">
        <v>1406</v>
      </c>
      <c r="C1075" s="39" t="s">
        <v>17</v>
      </c>
      <c r="D1075" s="236"/>
      <c r="E1075" s="236"/>
      <c r="F1075" s="236"/>
      <c r="G1075" s="236"/>
      <c r="H1075" s="40">
        <f>SUM(Tabla132112413[[#This Row],[PRIMER TRIMESTRE]:[CUARTO TRIMESTRE]])</f>
        <v>0</v>
      </c>
      <c r="I1075" s="17">
        <v>341286.40000000002</v>
      </c>
      <c r="J1075" s="17">
        <f t="shared" si="28"/>
        <v>0</v>
      </c>
      <c r="K1075" s="17"/>
      <c r="L1075" s="73" t="s">
        <v>18</v>
      </c>
      <c r="M1075" s="16" t="s">
        <v>22</v>
      </c>
      <c r="N1075" s="39" t="s">
        <v>418</v>
      </c>
    </row>
    <row r="1076" spans="1:14" s="26" customFormat="1" ht="30.75" customHeight="1">
      <c r="A1076" s="178" t="s">
        <v>117</v>
      </c>
      <c r="B1076" s="75" t="s">
        <v>1407</v>
      </c>
      <c r="C1076" s="39" t="s">
        <v>17</v>
      </c>
      <c r="D1076" s="236"/>
      <c r="E1076" s="236"/>
      <c r="F1076" s="236"/>
      <c r="G1076" s="236"/>
      <c r="H1076" s="40">
        <f>SUM(Tabla132112413[[#This Row],[PRIMER TRIMESTRE]:[CUARTO TRIMESTRE]])</f>
        <v>0</v>
      </c>
      <c r="I1076" s="17">
        <v>498739.15</v>
      </c>
      <c r="J1076" s="17">
        <f t="shared" si="28"/>
        <v>0</v>
      </c>
      <c r="K1076" s="17"/>
      <c r="L1076" s="73" t="s">
        <v>18</v>
      </c>
      <c r="M1076" s="16" t="s">
        <v>22</v>
      </c>
      <c r="N1076" s="39" t="s">
        <v>418</v>
      </c>
    </row>
    <row r="1077" spans="1:14" s="12" customFormat="1" ht="30.75" customHeight="1">
      <c r="A1077" s="178" t="s">
        <v>117</v>
      </c>
      <c r="B1077" s="75" t="s">
        <v>1408</v>
      </c>
      <c r="C1077" s="39" t="s">
        <v>17</v>
      </c>
      <c r="D1077" s="236"/>
      <c r="E1077" s="236"/>
      <c r="F1077" s="236"/>
      <c r="G1077" s="236"/>
      <c r="H1077" s="40">
        <f>SUM(Tabla132112413[[#This Row],[PRIMER TRIMESTRE]:[CUARTO TRIMESTRE]])</f>
        <v>0</v>
      </c>
      <c r="I1077" s="17">
        <v>48163257.060000002</v>
      </c>
      <c r="J1077" s="17">
        <f t="shared" si="28"/>
        <v>0</v>
      </c>
      <c r="K1077" s="17"/>
      <c r="L1077" s="16" t="s">
        <v>18</v>
      </c>
      <c r="M1077" s="16" t="s">
        <v>22</v>
      </c>
      <c r="N1077" s="39" t="s">
        <v>418</v>
      </c>
    </row>
    <row r="1078" spans="1:14" s="12" customFormat="1" ht="30.75" customHeight="1">
      <c r="A1078" s="179" t="s">
        <v>117</v>
      </c>
      <c r="B1078" s="76" t="s">
        <v>891</v>
      </c>
      <c r="C1078" s="42"/>
      <c r="D1078" s="237"/>
      <c r="E1078" s="237"/>
      <c r="F1078" s="237"/>
      <c r="G1078" s="237"/>
      <c r="H1078" s="43"/>
      <c r="I1078" s="24"/>
      <c r="J1078" s="24"/>
      <c r="K1078" s="25">
        <f>SUM(J1064:J1077)</f>
        <v>0</v>
      </c>
      <c r="L1078" s="23"/>
      <c r="M1078" s="23"/>
      <c r="N1078" s="42"/>
    </row>
    <row r="1079" spans="1:14" s="12" customFormat="1" ht="30.75" customHeight="1">
      <c r="A1079" s="178" t="s">
        <v>118</v>
      </c>
      <c r="B1079" s="75" t="s">
        <v>241</v>
      </c>
      <c r="C1079" s="39" t="s">
        <v>17</v>
      </c>
      <c r="D1079" s="236">
        <v>3</v>
      </c>
      <c r="E1079" s="236"/>
      <c r="F1079" s="236"/>
      <c r="G1079" s="236"/>
      <c r="H1079" s="40">
        <f>SUM(Tabla132112413[[#This Row],[PRIMER TRIMESTRE]:[CUARTO TRIMESTRE]])</f>
        <v>3</v>
      </c>
      <c r="I1079" s="17">
        <v>7544.8</v>
      </c>
      <c r="J1079" s="17">
        <f>+Tabla132112413[[#This Row],[CANTIDAD TOTAL]]*Tabla132112413[[#This Row],[PRECIO UNITARIO ESTIMADO]]</f>
        <v>22634.400000000001</v>
      </c>
      <c r="K1079" s="17"/>
      <c r="L1079" s="73" t="s">
        <v>27</v>
      </c>
      <c r="M1079" s="16" t="s">
        <v>22</v>
      </c>
      <c r="N1079" s="39" t="s">
        <v>418</v>
      </c>
    </row>
    <row r="1080" spans="1:14" s="12" customFormat="1" ht="30.75" customHeight="1">
      <c r="A1080" s="178" t="s">
        <v>118</v>
      </c>
      <c r="B1080" s="75" t="s">
        <v>242</v>
      </c>
      <c r="C1080" s="39" t="s">
        <v>17</v>
      </c>
      <c r="D1080" s="236"/>
      <c r="E1080" s="236"/>
      <c r="F1080" s="236"/>
      <c r="G1080" s="236"/>
      <c r="H1080" s="40">
        <f>SUM(Tabla132112413[[#This Row],[PRIMER TRIMESTRE]:[CUARTO TRIMESTRE]])</f>
        <v>0</v>
      </c>
      <c r="I1080" s="17">
        <v>4756</v>
      </c>
      <c r="J1080" s="17">
        <f>+Tabla132112413[[#This Row],[CANTIDAD TOTAL]]*Tabla132112413[[#This Row],[PRECIO UNITARIO ESTIMADO]]</f>
        <v>0</v>
      </c>
      <c r="K1080" s="17"/>
      <c r="L1080" s="73" t="s">
        <v>27</v>
      </c>
      <c r="M1080" s="16" t="s">
        <v>22</v>
      </c>
      <c r="N1080" s="39" t="s">
        <v>418</v>
      </c>
    </row>
    <row r="1081" spans="1:14" s="12" customFormat="1" ht="30.75" customHeight="1">
      <c r="A1081" s="178" t="s">
        <v>118</v>
      </c>
      <c r="B1081" s="75" t="s">
        <v>243</v>
      </c>
      <c r="C1081" s="39" t="s">
        <v>17</v>
      </c>
      <c r="D1081" s="236">
        <v>1</v>
      </c>
      <c r="E1081" s="236"/>
      <c r="F1081" s="236"/>
      <c r="G1081" s="236"/>
      <c r="H1081" s="40">
        <f>SUM(Tabla132112413[[#This Row],[PRIMER TRIMESTRE]:[CUARTO TRIMESTRE]])</f>
        <v>1</v>
      </c>
      <c r="I1081" s="17">
        <v>4610.34</v>
      </c>
      <c r="J1081" s="17">
        <f>+Tabla132112413[[#This Row],[CANTIDAD TOTAL]]*Tabla132112413[[#This Row],[PRECIO UNITARIO ESTIMADO]]</f>
        <v>4610.34</v>
      </c>
      <c r="K1081" s="17"/>
      <c r="L1081" s="73" t="s">
        <v>27</v>
      </c>
      <c r="M1081" s="16" t="s">
        <v>22</v>
      </c>
      <c r="N1081" s="39" t="s">
        <v>418</v>
      </c>
    </row>
    <row r="1082" spans="1:14" s="12" customFormat="1" ht="30.75" customHeight="1">
      <c r="A1082" s="178" t="s">
        <v>118</v>
      </c>
      <c r="B1082" s="75" t="s">
        <v>336</v>
      </c>
      <c r="C1082" s="39" t="s">
        <v>17</v>
      </c>
      <c r="D1082" s="236"/>
      <c r="E1082" s="236"/>
      <c r="F1082" s="236"/>
      <c r="G1082" s="236"/>
      <c r="H1082" s="40">
        <f>SUM(Tabla132112413[[#This Row],[PRIMER TRIMESTRE]:[CUARTO TRIMESTRE]])</f>
        <v>0</v>
      </c>
      <c r="I1082" s="17">
        <v>10115</v>
      </c>
      <c r="J1082" s="17">
        <f>+Tabla132112413[[#This Row],[CANTIDAD TOTAL]]*Tabla132112413[[#This Row],[PRECIO UNITARIO ESTIMADO]]</f>
        <v>0</v>
      </c>
      <c r="K1082" s="17"/>
      <c r="L1082" s="73" t="s">
        <v>27</v>
      </c>
      <c r="M1082" s="16" t="s">
        <v>22</v>
      </c>
      <c r="N1082" s="39" t="s">
        <v>418</v>
      </c>
    </row>
    <row r="1083" spans="1:14" s="12" customFormat="1" ht="30.75" customHeight="1">
      <c r="A1083" s="178" t="s">
        <v>118</v>
      </c>
      <c r="B1083" s="75" t="s">
        <v>1322</v>
      </c>
      <c r="C1083" s="39" t="s">
        <v>17</v>
      </c>
      <c r="D1083" s="236"/>
      <c r="E1083" s="236"/>
      <c r="F1083" s="236"/>
      <c r="G1083" s="236"/>
      <c r="H1083" s="40">
        <f>SUM(Tabla132112413[[#This Row],[PRIMER TRIMESTRE]:[CUARTO TRIMESTRE]])</f>
        <v>0</v>
      </c>
      <c r="I1083" s="17">
        <f>+(5938.35+4838)/2</f>
        <v>5388.1750000000002</v>
      </c>
      <c r="J1083" s="17">
        <f>+Tabla132112413[[#This Row],[CANTIDAD TOTAL]]*Tabla132112413[[#This Row],[PRECIO UNITARIO ESTIMADO]]</f>
        <v>0</v>
      </c>
      <c r="K1083" s="17"/>
      <c r="L1083" s="73" t="s">
        <v>27</v>
      </c>
      <c r="M1083" s="16" t="s">
        <v>22</v>
      </c>
      <c r="N1083" s="39" t="s">
        <v>418</v>
      </c>
    </row>
    <row r="1084" spans="1:14" s="12" customFormat="1" ht="30.75" customHeight="1">
      <c r="A1084" s="178" t="s">
        <v>118</v>
      </c>
      <c r="B1084" s="75" t="s">
        <v>334</v>
      </c>
      <c r="C1084" s="39" t="s">
        <v>17</v>
      </c>
      <c r="D1084" s="236"/>
      <c r="E1084" s="236"/>
      <c r="F1084" s="236"/>
      <c r="G1084" s="236"/>
      <c r="H1084" s="40">
        <f>SUM(Tabla132112413[[#This Row],[PRIMER TRIMESTRE]:[CUARTO TRIMESTRE]])</f>
        <v>0</v>
      </c>
      <c r="I1084" s="17">
        <v>7080</v>
      </c>
      <c r="J1084" s="17">
        <f>+Tabla132112413[[#This Row],[CANTIDAD TOTAL]]*Tabla132112413[[#This Row],[PRECIO UNITARIO ESTIMADO]]</f>
        <v>0</v>
      </c>
      <c r="K1084" s="17"/>
      <c r="L1084" s="73" t="s">
        <v>27</v>
      </c>
      <c r="M1084" s="16" t="s">
        <v>22</v>
      </c>
      <c r="N1084" s="39" t="s">
        <v>418</v>
      </c>
    </row>
    <row r="1085" spans="1:14" s="12" customFormat="1" ht="30.75" customHeight="1">
      <c r="A1085" s="178" t="s">
        <v>118</v>
      </c>
      <c r="B1085" s="75" t="s">
        <v>340</v>
      </c>
      <c r="C1085" s="39" t="s">
        <v>17</v>
      </c>
      <c r="D1085" s="236"/>
      <c r="E1085" s="236"/>
      <c r="F1085" s="236"/>
      <c r="G1085" s="236"/>
      <c r="H1085" s="40">
        <f>SUM(Tabla132112413[[#This Row],[PRIMER TRIMESTRE]:[CUARTO TRIMESTRE]])</f>
        <v>0</v>
      </c>
      <c r="I1085" s="17">
        <v>13684.27</v>
      </c>
      <c r="J1085" s="17">
        <f>+Tabla132112413[[#This Row],[CANTIDAD TOTAL]]*Tabla132112413[[#This Row],[PRECIO UNITARIO ESTIMADO]]</f>
        <v>0</v>
      </c>
      <c r="K1085" s="17"/>
      <c r="L1085" s="73" t="s">
        <v>15</v>
      </c>
      <c r="M1085" s="16" t="s">
        <v>22</v>
      </c>
      <c r="N1085" s="39" t="s">
        <v>418</v>
      </c>
    </row>
    <row r="1086" spans="1:14" s="12" customFormat="1" ht="30.75" customHeight="1">
      <c r="A1086" s="178" t="s">
        <v>118</v>
      </c>
      <c r="B1086" s="75" t="s">
        <v>1138</v>
      </c>
      <c r="C1086" s="39" t="s">
        <v>1067</v>
      </c>
      <c r="D1086" s="236"/>
      <c r="E1086" s="236"/>
      <c r="F1086" s="236"/>
      <c r="G1086" s="236"/>
      <c r="H1086" s="40">
        <f>SUM(Tabla132112413[[#This Row],[PRIMER TRIMESTRE]:[CUARTO TRIMESTRE]])</f>
        <v>0</v>
      </c>
      <c r="I1086" s="17">
        <v>3000</v>
      </c>
      <c r="J1086" s="17">
        <f>+H1086*I1086</f>
        <v>0</v>
      </c>
      <c r="K1086" s="17"/>
      <c r="L1086" s="73" t="s">
        <v>15</v>
      </c>
      <c r="M1086" s="16" t="s">
        <v>22</v>
      </c>
      <c r="N1086" s="39" t="s">
        <v>418</v>
      </c>
    </row>
    <row r="1087" spans="1:14" s="12" customFormat="1" ht="30.75" customHeight="1">
      <c r="A1087" s="178" t="s">
        <v>118</v>
      </c>
      <c r="B1087" s="75" t="s">
        <v>245</v>
      </c>
      <c r="C1087" s="39" t="s">
        <v>17</v>
      </c>
      <c r="D1087" s="236"/>
      <c r="E1087" s="236"/>
      <c r="F1087" s="236"/>
      <c r="G1087" s="236"/>
      <c r="H1087" s="40">
        <f>SUM(Tabla132112413[[#This Row],[PRIMER TRIMESTRE]:[CUARTO TRIMESTRE]])</f>
        <v>0</v>
      </c>
      <c r="I1087" s="17">
        <v>10788</v>
      </c>
      <c r="J1087" s="17">
        <f>+Tabla132112413[[#This Row],[CANTIDAD TOTAL]]*Tabla132112413[[#This Row],[PRECIO UNITARIO ESTIMADO]]</f>
        <v>0</v>
      </c>
      <c r="K1087" s="17"/>
      <c r="L1087" s="73" t="s">
        <v>15</v>
      </c>
      <c r="M1087" s="16" t="s">
        <v>22</v>
      </c>
      <c r="N1087" s="39" t="s">
        <v>418</v>
      </c>
    </row>
    <row r="1088" spans="1:14" s="12" customFormat="1" ht="30.75" customHeight="1">
      <c r="A1088" s="178" t="s">
        <v>118</v>
      </c>
      <c r="B1088" s="75" t="s">
        <v>246</v>
      </c>
      <c r="C1088" s="39" t="s">
        <v>17</v>
      </c>
      <c r="D1088" s="236">
        <v>2</v>
      </c>
      <c r="E1088" s="236"/>
      <c r="F1088" s="236"/>
      <c r="G1088" s="236"/>
      <c r="H1088" s="40">
        <f>SUM(Tabla132112413[[#This Row],[PRIMER TRIMESTRE]:[CUARTO TRIMESTRE]])</f>
        <v>2</v>
      </c>
      <c r="I1088" s="17">
        <v>2467.71</v>
      </c>
      <c r="J1088" s="17">
        <f>+Tabla132112413[[#This Row],[CANTIDAD TOTAL]]*Tabla132112413[[#This Row],[PRECIO UNITARIO ESTIMADO]]</f>
        <v>4935.42</v>
      </c>
      <c r="K1088" s="17"/>
      <c r="L1088" s="73" t="s">
        <v>27</v>
      </c>
      <c r="M1088" s="16" t="s">
        <v>22</v>
      </c>
      <c r="N1088" s="39" t="s">
        <v>418</v>
      </c>
    </row>
    <row r="1089" spans="1:14" s="12" customFormat="1" ht="30.75" customHeight="1">
      <c r="A1089" s="178" t="s">
        <v>118</v>
      </c>
      <c r="B1089" s="75" t="s">
        <v>247</v>
      </c>
      <c r="C1089" s="39" t="s">
        <v>17</v>
      </c>
      <c r="D1089" s="236"/>
      <c r="E1089" s="236"/>
      <c r="F1089" s="236"/>
      <c r="G1089" s="236"/>
      <c r="H1089" s="40">
        <f>SUM(Tabla132112413[[#This Row],[PRIMER TRIMESTRE]:[CUARTO TRIMESTRE]])</f>
        <v>0</v>
      </c>
      <c r="I1089" s="17">
        <v>14434.48</v>
      </c>
      <c r="J1089" s="17">
        <f>+Tabla132112413[[#This Row],[CANTIDAD TOTAL]]*Tabla132112413[[#This Row],[PRECIO UNITARIO ESTIMADO]]</f>
        <v>0</v>
      </c>
      <c r="K1089" s="17"/>
      <c r="L1089" s="73" t="s">
        <v>15</v>
      </c>
      <c r="M1089" s="16" t="s">
        <v>22</v>
      </c>
      <c r="N1089" s="39" t="s">
        <v>418</v>
      </c>
    </row>
    <row r="1090" spans="1:14" s="12" customFormat="1" ht="30.75" customHeight="1">
      <c r="A1090" s="178" t="s">
        <v>118</v>
      </c>
      <c r="B1090" s="75" t="s">
        <v>1604</v>
      </c>
      <c r="C1090" s="39" t="s">
        <v>17</v>
      </c>
      <c r="D1090" s="236">
        <v>8</v>
      </c>
      <c r="E1090" s="236"/>
      <c r="F1090" s="236"/>
      <c r="G1090" s="236"/>
      <c r="H1090" s="40">
        <f>SUM(Tabla132112413[[#This Row],[PRIMER TRIMESTRE]:[CUARTO TRIMESTRE]])</f>
        <v>8</v>
      </c>
      <c r="I1090" s="17">
        <v>4800</v>
      </c>
      <c r="J1090" s="17">
        <f>+H1090*I1090</f>
        <v>38400</v>
      </c>
      <c r="K1090" s="17"/>
      <c r="L1090" s="73" t="s">
        <v>27</v>
      </c>
      <c r="M1090" s="16" t="s">
        <v>22</v>
      </c>
      <c r="N1090" s="39" t="s">
        <v>418</v>
      </c>
    </row>
    <row r="1091" spans="1:14" s="12" customFormat="1" ht="30.75" customHeight="1">
      <c r="A1091" s="178" t="s">
        <v>118</v>
      </c>
      <c r="B1091" s="75" t="s">
        <v>339</v>
      </c>
      <c r="C1091" s="39" t="s">
        <v>17</v>
      </c>
      <c r="D1091" s="236"/>
      <c r="E1091" s="236"/>
      <c r="F1091" s="236"/>
      <c r="G1091" s="236"/>
      <c r="H1091" s="40">
        <f>SUM(Tabla132112413[[#This Row],[PRIMER TRIMESTRE]:[CUARTO TRIMESTRE]])</f>
        <v>0</v>
      </c>
      <c r="I1091" s="17">
        <f>115079.5/24</f>
        <v>4794.979166666667</v>
      </c>
      <c r="J1091" s="17">
        <f>+Tabla132112413[[#This Row],[CANTIDAD TOTAL]]*Tabla132112413[[#This Row],[PRECIO UNITARIO ESTIMADO]]</f>
        <v>0</v>
      </c>
      <c r="K1091" s="17"/>
      <c r="L1091" s="73" t="s">
        <v>15</v>
      </c>
      <c r="M1091" s="16" t="s">
        <v>22</v>
      </c>
      <c r="N1091" s="39" t="s">
        <v>418</v>
      </c>
    </row>
    <row r="1092" spans="1:14" s="12" customFormat="1" ht="30.75" customHeight="1">
      <c r="A1092" s="178" t="s">
        <v>118</v>
      </c>
      <c r="B1092" s="75" t="s">
        <v>248</v>
      </c>
      <c r="C1092" s="39" t="s">
        <v>17</v>
      </c>
      <c r="D1092" s="236"/>
      <c r="E1092" s="236"/>
      <c r="F1092" s="236"/>
      <c r="G1092" s="236"/>
      <c r="H1092" s="40">
        <f>SUM(Tabla132112413[[#This Row],[PRIMER TRIMESTRE]:[CUARTO TRIMESTRE]])</f>
        <v>0</v>
      </c>
      <c r="I1092" s="17">
        <v>2262</v>
      </c>
      <c r="J1092" s="17">
        <f>+Tabla132112413[[#This Row],[CANTIDAD TOTAL]]*Tabla132112413[[#This Row],[PRECIO UNITARIO ESTIMADO]]</f>
        <v>0</v>
      </c>
      <c r="K1092" s="17"/>
      <c r="L1092" s="73" t="s">
        <v>15</v>
      </c>
      <c r="M1092" s="16" t="s">
        <v>22</v>
      </c>
      <c r="N1092" s="39" t="s">
        <v>418</v>
      </c>
    </row>
    <row r="1093" spans="1:14" s="12" customFormat="1" ht="30.75" customHeight="1">
      <c r="A1093" s="178" t="s">
        <v>118</v>
      </c>
      <c r="B1093" s="75" t="s">
        <v>249</v>
      </c>
      <c r="C1093" s="39" t="s">
        <v>17</v>
      </c>
      <c r="D1093" s="236">
        <v>10</v>
      </c>
      <c r="E1093" s="236"/>
      <c r="F1093" s="236"/>
      <c r="G1093" s="236"/>
      <c r="H1093" s="40">
        <f>SUM(Tabla132112413[[#This Row],[PRIMER TRIMESTRE]:[CUARTO TRIMESTRE]])</f>
        <v>10</v>
      </c>
      <c r="I1093" s="17">
        <v>3250</v>
      </c>
      <c r="J1093" s="17">
        <f>+Tabla132112413[[#This Row],[CANTIDAD TOTAL]]*Tabla132112413[[#This Row],[PRECIO UNITARIO ESTIMADO]]</f>
        <v>32500</v>
      </c>
      <c r="K1093" s="17"/>
      <c r="L1093" s="73" t="s">
        <v>27</v>
      </c>
      <c r="M1093" s="16" t="s">
        <v>22</v>
      </c>
      <c r="N1093" s="39" t="s">
        <v>418</v>
      </c>
    </row>
    <row r="1094" spans="1:14" s="26" customFormat="1" ht="30.75" customHeight="1">
      <c r="A1094" s="178" t="s">
        <v>118</v>
      </c>
      <c r="B1094" s="75" t="s">
        <v>250</v>
      </c>
      <c r="C1094" s="39" t="s">
        <v>17</v>
      </c>
      <c r="D1094" s="236">
        <v>8</v>
      </c>
      <c r="E1094" s="236"/>
      <c r="F1094" s="236"/>
      <c r="G1094" s="236"/>
      <c r="H1094" s="40">
        <f>SUM(Tabla132112413[[#This Row],[PRIMER TRIMESTRE]:[CUARTO TRIMESTRE]])</f>
        <v>8</v>
      </c>
      <c r="I1094" s="17">
        <v>3959.88</v>
      </c>
      <c r="J1094" s="17">
        <f>+Tabla132112413[[#This Row],[CANTIDAD TOTAL]]*Tabla132112413[[#This Row],[PRECIO UNITARIO ESTIMADO]]</f>
        <v>31679.040000000001</v>
      </c>
      <c r="K1094" s="17"/>
      <c r="L1094" s="73" t="s">
        <v>27</v>
      </c>
      <c r="M1094" s="16" t="s">
        <v>22</v>
      </c>
      <c r="N1094" s="39" t="s">
        <v>418</v>
      </c>
    </row>
    <row r="1095" spans="1:14" s="12" customFormat="1" ht="30.75" customHeight="1">
      <c r="A1095" s="178" t="s">
        <v>118</v>
      </c>
      <c r="B1095" s="75" t="s">
        <v>323</v>
      </c>
      <c r="C1095" s="39" t="s">
        <v>17</v>
      </c>
      <c r="D1095" s="236"/>
      <c r="E1095" s="236"/>
      <c r="F1095" s="236"/>
      <c r="G1095" s="236"/>
      <c r="H1095" s="40">
        <f>SUM(Tabla132112413[[#This Row],[PRIMER TRIMESTRE]:[CUARTO TRIMESTRE]])</f>
        <v>0</v>
      </c>
      <c r="I1095" s="17">
        <f>16086.57/3</f>
        <v>5362.19</v>
      </c>
      <c r="J1095" s="17">
        <f>+Tabla132112413[[#This Row],[CANTIDAD TOTAL]]*Tabla132112413[[#This Row],[PRECIO UNITARIO ESTIMADO]]</f>
        <v>0</v>
      </c>
      <c r="K1095" s="17"/>
      <c r="L1095" s="73" t="s">
        <v>15</v>
      </c>
      <c r="M1095" s="16" t="s">
        <v>22</v>
      </c>
      <c r="N1095" s="39" t="s">
        <v>418</v>
      </c>
    </row>
    <row r="1096" spans="1:14" s="12" customFormat="1" ht="30.75" customHeight="1">
      <c r="A1096" s="179" t="s">
        <v>118</v>
      </c>
      <c r="B1096" s="76"/>
      <c r="C1096" s="42"/>
      <c r="D1096" s="237"/>
      <c r="E1096" s="237"/>
      <c r="F1096" s="237"/>
      <c r="G1096" s="237"/>
      <c r="H1096" s="43"/>
      <c r="I1096" s="24"/>
      <c r="J1096" s="24"/>
      <c r="K1096" s="25">
        <f>SUM(J1079:J1095)</f>
        <v>134759.20000000001</v>
      </c>
      <c r="L1096" s="23"/>
      <c r="M1096" s="23"/>
      <c r="N1096" s="42"/>
    </row>
    <row r="1097" spans="1:14" s="12" customFormat="1" ht="30.75" customHeight="1">
      <c r="A1097" s="178" t="s">
        <v>119</v>
      </c>
      <c r="B1097" s="75" t="s">
        <v>341</v>
      </c>
      <c r="C1097" s="39" t="s">
        <v>17</v>
      </c>
      <c r="D1097" s="236"/>
      <c r="E1097" s="236"/>
      <c r="F1097" s="236"/>
      <c r="G1097" s="236"/>
      <c r="H1097" s="40">
        <f>SUM(Tabla132112413[[#This Row],[PRIMER TRIMESTRE]:[CUARTO TRIMESTRE]])</f>
        <v>0</v>
      </c>
      <c r="I1097" s="17">
        <f>2160.9+22288+501.5+6355.8+18041.9+5084.64+8389.8+3050.76+2466.06+1983.5+6203.28</f>
        <v>76526.14</v>
      </c>
      <c r="J1097" s="17">
        <f>+Tabla132112413[[#This Row],[CANTIDAD TOTAL]]*Tabla132112413[[#This Row],[PRECIO UNITARIO ESTIMADO]]</f>
        <v>0</v>
      </c>
      <c r="K1097" s="17"/>
      <c r="L1097" s="16" t="s">
        <v>15</v>
      </c>
      <c r="M1097" s="16" t="s">
        <v>22</v>
      </c>
      <c r="N1097" s="39" t="s">
        <v>418</v>
      </c>
    </row>
    <row r="1098" spans="1:14" s="12" customFormat="1" ht="30.75" customHeight="1">
      <c r="A1098" s="178" t="s">
        <v>119</v>
      </c>
      <c r="B1098" s="75" t="s">
        <v>252</v>
      </c>
      <c r="C1098" s="39" t="s">
        <v>17</v>
      </c>
      <c r="D1098" s="236">
        <v>24</v>
      </c>
      <c r="E1098" s="236"/>
      <c r="F1098" s="236"/>
      <c r="G1098" s="236"/>
      <c r="H1098" s="40">
        <f>SUM(Tabla132112413[[#This Row],[PRIMER TRIMESTRE]:[CUARTO TRIMESTRE]])</f>
        <v>24</v>
      </c>
      <c r="I1098" s="17">
        <v>26.45</v>
      </c>
      <c r="J1098" s="17">
        <f>+Tabla132112413[[#This Row],[CANTIDAD TOTAL]]*Tabla132112413[[#This Row],[PRECIO UNITARIO ESTIMADO]]</f>
        <v>634.79999999999995</v>
      </c>
      <c r="K1098" s="17"/>
      <c r="L1098" s="16" t="s">
        <v>15</v>
      </c>
      <c r="M1098" s="16" t="s">
        <v>22</v>
      </c>
      <c r="N1098" s="39" t="s">
        <v>418</v>
      </c>
    </row>
    <row r="1099" spans="1:14" s="12" customFormat="1" ht="30.75" customHeight="1">
      <c r="A1099" s="178" t="s">
        <v>119</v>
      </c>
      <c r="B1099" s="75" t="s">
        <v>1606</v>
      </c>
      <c r="C1099" s="39" t="s">
        <v>17</v>
      </c>
      <c r="D1099" s="236">
        <v>4</v>
      </c>
      <c r="E1099" s="236"/>
      <c r="F1099" s="236"/>
      <c r="G1099" s="236"/>
      <c r="H1099" s="40">
        <f>SUM(Tabla132112413[[#This Row],[PRIMER TRIMESTRE]:[CUARTO TRIMESTRE]])</f>
        <v>4</v>
      </c>
      <c r="I1099" s="17">
        <v>8000</v>
      </c>
      <c r="J1099" s="17">
        <f>+H1099*I1099</f>
        <v>32000</v>
      </c>
      <c r="K1099" s="17"/>
      <c r="L1099" s="16" t="s">
        <v>15</v>
      </c>
      <c r="M1099" s="16" t="s">
        <v>22</v>
      </c>
      <c r="N1099" s="39" t="s">
        <v>418</v>
      </c>
    </row>
    <row r="1100" spans="1:14" s="12" customFormat="1" ht="30.75" customHeight="1">
      <c r="A1100" s="178" t="s">
        <v>119</v>
      </c>
      <c r="B1100" s="75" t="s">
        <v>1605</v>
      </c>
      <c r="C1100" s="39" t="s">
        <v>17</v>
      </c>
      <c r="D1100" s="236">
        <v>2</v>
      </c>
      <c r="E1100" s="236"/>
      <c r="F1100" s="236"/>
      <c r="G1100" s="236"/>
      <c r="H1100" s="40">
        <f>SUM(Tabla132112413[[#This Row],[PRIMER TRIMESTRE]:[CUARTO TRIMESTRE]])</f>
        <v>2</v>
      </c>
      <c r="I1100" s="17">
        <v>12500</v>
      </c>
      <c r="J1100" s="17">
        <f>+H1100*I1100</f>
        <v>25000</v>
      </c>
      <c r="K1100" s="17"/>
      <c r="L1100" s="16" t="s">
        <v>15</v>
      </c>
      <c r="M1100" s="16" t="s">
        <v>22</v>
      </c>
      <c r="N1100" s="39" t="s">
        <v>418</v>
      </c>
    </row>
    <row r="1101" spans="1:14" s="12" customFormat="1" ht="30.75" customHeight="1">
      <c r="A1101" s="178" t="s">
        <v>119</v>
      </c>
      <c r="B1101" s="75" t="s">
        <v>256</v>
      </c>
      <c r="C1101" s="39" t="s">
        <v>17</v>
      </c>
      <c r="D1101" s="236">
        <v>4</v>
      </c>
      <c r="E1101" s="236"/>
      <c r="F1101" s="236"/>
      <c r="G1101" s="236"/>
      <c r="H1101" s="40">
        <f>SUM(Tabla132112413[[#This Row],[PRIMER TRIMESTRE]:[CUARTO TRIMESTRE]])</f>
        <v>4</v>
      </c>
      <c r="I1101" s="17">
        <v>434.24</v>
      </c>
      <c r="J1101" s="17">
        <f>+Tabla132112413[[#This Row],[CANTIDAD TOTAL]]*Tabla132112413[[#This Row],[PRECIO UNITARIO ESTIMADO]]</f>
        <v>1736.96</v>
      </c>
      <c r="K1101" s="17"/>
      <c r="L1101" s="16" t="s">
        <v>15</v>
      </c>
      <c r="M1101" s="16" t="s">
        <v>22</v>
      </c>
      <c r="N1101" s="39" t="s">
        <v>418</v>
      </c>
    </row>
    <row r="1102" spans="1:14" s="26" customFormat="1" ht="30.75" customHeight="1">
      <c r="A1102" s="178" t="s">
        <v>119</v>
      </c>
      <c r="B1102" s="75" t="s">
        <v>324</v>
      </c>
      <c r="C1102" s="39" t="s">
        <v>17</v>
      </c>
      <c r="D1102" s="236">
        <v>1</v>
      </c>
      <c r="E1102" s="236"/>
      <c r="F1102" s="236"/>
      <c r="G1102" s="236"/>
      <c r="H1102" s="40">
        <f>SUM(Tabla132112413[[#This Row],[PRIMER TRIMESTRE]:[CUARTO TRIMESTRE]])</f>
        <v>1</v>
      </c>
      <c r="I1102" s="17">
        <f>3536.75/2</f>
        <v>1768.375</v>
      </c>
      <c r="J1102" s="17">
        <f>+Tabla132112413[[#This Row],[CANTIDAD TOTAL]]*Tabla132112413[[#This Row],[PRECIO UNITARIO ESTIMADO]]</f>
        <v>1768.375</v>
      </c>
      <c r="K1102" s="17"/>
      <c r="L1102" s="16" t="s">
        <v>15</v>
      </c>
      <c r="M1102" s="16" t="s">
        <v>22</v>
      </c>
      <c r="N1102" s="39" t="s">
        <v>418</v>
      </c>
    </row>
    <row r="1103" spans="1:14" s="12" customFormat="1" ht="30.75" customHeight="1">
      <c r="A1103" s="178" t="s">
        <v>119</v>
      </c>
      <c r="B1103" s="75" t="s">
        <v>257</v>
      </c>
      <c r="C1103" s="39" t="s">
        <v>17</v>
      </c>
      <c r="D1103" s="236"/>
      <c r="E1103" s="236"/>
      <c r="F1103" s="236"/>
      <c r="G1103" s="236"/>
      <c r="H1103" s="40">
        <f>SUM(Tabla132112413[[#This Row],[PRIMER TRIMESTRE]:[CUARTO TRIMESTRE]])</f>
        <v>0</v>
      </c>
      <c r="I1103" s="17">
        <v>522</v>
      </c>
      <c r="J1103" s="17">
        <f>+Tabla132112413[[#This Row],[CANTIDAD TOTAL]]*Tabla132112413[[#This Row],[PRECIO UNITARIO ESTIMADO]]</f>
        <v>0</v>
      </c>
      <c r="K1103" s="17"/>
      <c r="L1103" s="16" t="s">
        <v>15</v>
      </c>
      <c r="M1103" s="16" t="s">
        <v>22</v>
      </c>
      <c r="N1103" s="39" t="s">
        <v>418</v>
      </c>
    </row>
    <row r="1104" spans="1:14" s="12" customFormat="1" ht="30.75" customHeight="1">
      <c r="A1104" s="179" t="s">
        <v>119</v>
      </c>
      <c r="B1104" s="76"/>
      <c r="C1104" s="42"/>
      <c r="D1104" s="237"/>
      <c r="E1104" s="237"/>
      <c r="F1104" s="237"/>
      <c r="G1104" s="237"/>
      <c r="H1104" s="43"/>
      <c r="I1104" s="24"/>
      <c r="J1104" s="24"/>
      <c r="K1104" s="25">
        <f>SUM(J1097:J1103)</f>
        <v>61140.135000000002</v>
      </c>
      <c r="L1104" s="23"/>
      <c r="M1104" s="23"/>
      <c r="N1104" s="42"/>
    </row>
    <row r="1105" spans="1:14" s="12" customFormat="1" ht="18">
      <c r="A1105" s="178" t="s">
        <v>120</v>
      </c>
      <c r="B1105" s="75" t="s">
        <v>392</v>
      </c>
      <c r="C1105" s="39" t="s">
        <v>208</v>
      </c>
      <c r="D1105" s="236">
        <v>10</v>
      </c>
      <c r="E1105" s="236"/>
      <c r="F1105" s="236"/>
      <c r="G1105" s="236"/>
      <c r="H1105" s="41">
        <f>SUM(Tabla132112413[[#This Row],[PRIMER TRIMESTRE]:[CUARTO TRIMESTRE]])</f>
        <v>10</v>
      </c>
      <c r="I1105" s="17">
        <v>48.12</v>
      </c>
      <c r="J1105" s="17">
        <f>+H1105*I1105</f>
        <v>481.2</v>
      </c>
      <c r="K1105" s="17"/>
      <c r="L1105" s="16" t="s">
        <v>18</v>
      </c>
      <c r="M1105" s="16" t="s">
        <v>22</v>
      </c>
      <c r="N1105" s="39" t="s">
        <v>418</v>
      </c>
    </row>
    <row r="1106" spans="1:14" s="12" customFormat="1" ht="18">
      <c r="A1106" s="178" t="s">
        <v>120</v>
      </c>
      <c r="B1106" s="75" t="s">
        <v>393</v>
      </c>
      <c r="C1106" s="39" t="s">
        <v>208</v>
      </c>
      <c r="D1106" s="236">
        <v>8</v>
      </c>
      <c r="E1106" s="236"/>
      <c r="F1106" s="236"/>
      <c r="G1106" s="236"/>
      <c r="H1106" s="41">
        <f>SUM(Tabla132112413[[#This Row],[PRIMER TRIMESTRE]:[CUARTO TRIMESTRE]])</f>
        <v>8</v>
      </c>
      <c r="I1106" s="17">
        <v>41.28</v>
      </c>
      <c r="J1106" s="17">
        <f>+H1106*I1106</f>
        <v>330.24</v>
      </c>
      <c r="K1106" s="17"/>
      <c r="L1106" s="16" t="s">
        <v>18</v>
      </c>
      <c r="M1106" s="16" t="s">
        <v>22</v>
      </c>
      <c r="N1106" s="39" t="s">
        <v>418</v>
      </c>
    </row>
    <row r="1107" spans="1:14" s="12" customFormat="1" ht="18">
      <c r="A1107" s="178" t="s">
        <v>120</v>
      </c>
      <c r="B1107" s="75" t="s">
        <v>743</v>
      </c>
      <c r="C1107" s="39" t="s">
        <v>208</v>
      </c>
      <c r="D1107" s="236">
        <v>8</v>
      </c>
      <c r="E1107" s="236"/>
      <c r="F1107" s="236"/>
      <c r="G1107" s="236"/>
      <c r="H1107" s="41">
        <f>SUM(Tabla132112413[[#This Row],[PRIMER TRIMESTRE]:[CUARTO TRIMESTRE]])</f>
        <v>8</v>
      </c>
      <c r="I1107" s="17">
        <f>4.42*12</f>
        <v>53.04</v>
      </c>
      <c r="J1107" s="17">
        <f>+H1107*I1107</f>
        <v>424.32</v>
      </c>
      <c r="K1107" s="17"/>
      <c r="L1107" s="16" t="s">
        <v>18</v>
      </c>
      <c r="M1107" s="16" t="s">
        <v>22</v>
      </c>
      <c r="N1107" s="39" t="s">
        <v>418</v>
      </c>
    </row>
    <row r="1108" spans="1:14" s="12" customFormat="1" ht="18">
      <c r="A1108" s="178" t="s">
        <v>120</v>
      </c>
      <c r="B1108" s="75" t="s">
        <v>398</v>
      </c>
      <c r="C1108" s="39" t="s">
        <v>208</v>
      </c>
      <c r="D1108" s="236">
        <v>10</v>
      </c>
      <c r="E1108" s="236"/>
      <c r="F1108" s="236"/>
      <c r="G1108" s="236"/>
      <c r="H1108" s="41">
        <f>SUM(Tabla132112413[[#This Row],[PRIMER TRIMESTRE]:[CUARTO TRIMESTRE]])</f>
        <v>10</v>
      </c>
      <c r="I1108" s="17">
        <v>22.42</v>
      </c>
      <c r="J1108" s="17">
        <f>+H1108*I1108</f>
        <v>224.20000000000002</v>
      </c>
      <c r="K1108" s="17"/>
      <c r="L1108" s="16" t="s">
        <v>18</v>
      </c>
      <c r="M1108" s="16" t="s">
        <v>22</v>
      </c>
      <c r="N1108" s="39" t="s">
        <v>418</v>
      </c>
    </row>
    <row r="1109" spans="1:14" s="12" customFormat="1" ht="18">
      <c r="A1109" s="178" t="s">
        <v>120</v>
      </c>
      <c r="B1109" s="75" t="s">
        <v>253</v>
      </c>
      <c r="C1109" s="39" t="s">
        <v>208</v>
      </c>
      <c r="D1109" s="236">
        <v>15</v>
      </c>
      <c r="E1109" s="236"/>
      <c r="F1109" s="236"/>
      <c r="G1109" s="236"/>
      <c r="H1109" s="41">
        <f>SUM(Tabla132112413[[#This Row],[PRIMER TRIMESTRE]:[CUARTO TRIMESTRE]])</f>
        <v>15</v>
      </c>
      <c r="I1109" s="17">
        <v>52.28</v>
      </c>
      <c r="J1109" s="17">
        <f>+Tabla132112413[[#This Row],[CANTIDAD TOTAL]]*Tabla132112413[[#This Row],[PRECIO UNITARIO ESTIMADO]]</f>
        <v>784.2</v>
      </c>
      <c r="K1109" s="17"/>
      <c r="L1109" s="16" t="s">
        <v>18</v>
      </c>
      <c r="M1109" s="16" t="s">
        <v>22</v>
      </c>
      <c r="N1109" s="39" t="s">
        <v>418</v>
      </c>
    </row>
    <row r="1110" spans="1:14" s="169" customFormat="1" ht="18">
      <c r="A1110" s="178" t="s">
        <v>120</v>
      </c>
      <c r="B1110" s="75" t="s">
        <v>402</v>
      </c>
      <c r="C1110" s="39" t="s">
        <v>17</v>
      </c>
      <c r="D1110" s="236">
        <v>12</v>
      </c>
      <c r="E1110" s="236"/>
      <c r="F1110" s="236"/>
      <c r="G1110" s="236"/>
      <c r="H1110" s="41">
        <f>SUM(Tabla132112413[[#This Row],[PRIMER TRIMESTRE]:[CUARTO TRIMESTRE]])</f>
        <v>12</v>
      </c>
      <c r="I1110" s="17">
        <v>182.9</v>
      </c>
      <c r="J1110" s="17">
        <f>+H1110*I1110</f>
        <v>2194.8000000000002</v>
      </c>
      <c r="K1110" s="17"/>
      <c r="L1110" s="16" t="s">
        <v>18</v>
      </c>
      <c r="M1110" s="16" t="s">
        <v>22</v>
      </c>
      <c r="N1110" s="39" t="s">
        <v>418</v>
      </c>
    </row>
    <row r="1111" spans="1:14" s="12" customFormat="1" ht="18">
      <c r="A1111" s="178" t="s">
        <v>120</v>
      </c>
      <c r="B1111" s="75" t="s">
        <v>260</v>
      </c>
      <c r="C1111" s="39" t="s">
        <v>17</v>
      </c>
      <c r="D1111" s="236">
        <v>6</v>
      </c>
      <c r="E1111" s="236"/>
      <c r="F1111" s="236"/>
      <c r="G1111" s="236"/>
      <c r="H1111" s="41">
        <f>SUM(Tabla132112413[[#This Row],[PRIMER TRIMESTRE]:[CUARTO TRIMESTRE]])</f>
        <v>6</v>
      </c>
      <c r="I1111" s="17">
        <v>29.28</v>
      </c>
      <c r="J1111" s="17">
        <f>+Tabla132112413[[#This Row],[CANTIDAD TOTAL]]*Tabla132112413[[#This Row],[PRECIO UNITARIO ESTIMADO]]</f>
        <v>175.68</v>
      </c>
      <c r="K1111" s="17"/>
      <c r="L1111" s="16" t="s">
        <v>18</v>
      </c>
      <c r="M1111" s="16" t="s">
        <v>22</v>
      </c>
      <c r="N1111" s="39" t="s">
        <v>418</v>
      </c>
    </row>
    <row r="1112" spans="1:14" s="169" customFormat="1" ht="18">
      <c r="A1112" s="180" t="s">
        <v>120</v>
      </c>
      <c r="B1112" s="75" t="s">
        <v>239</v>
      </c>
      <c r="C1112" s="70" t="s">
        <v>208</v>
      </c>
      <c r="D1112" s="415">
        <v>3</v>
      </c>
      <c r="E1112" s="210"/>
      <c r="F1112" s="210"/>
      <c r="G1112" s="210"/>
      <c r="H1112" s="41">
        <f>SUM(Tabla132112413[[#This Row],[PRIMER TRIMESTRE]:[CUARTO TRIMESTRE]])</f>
        <v>3</v>
      </c>
      <c r="I1112" s="72">
        <v>232</v>
      </c>
      <c r="J1112" s="72">
        <f>+Tabla132112413[[#This Row],[CANTIDAD TOTAL]]*Tabla132112413[[#This Row],[PRECIO UNITARIO ESTIMADO]]</f>
        <v>696</v>
      </c>
      <c r="K1112" s="72"/>
      <c r="L1112" s="16" t="s">
        <v>18</v>
      </c>
      <c r="M1112" s="73" t="s">
        <v>22</v>
      </c>
      <c r="N1112" s="70" t="s">
        <v>418</v>
      </c>
    </row>
    <row r="1113" spans="1:14" s="12" customFormat="1" ht="18">
      <c r="A1113" s="178" t="s">
        <v>120</v>
      </c>
      <c r="B1113" s="75" t="s">
        <v>414</v>
      </c>
      <c r="C1113" s="39" t="s">
        <v>417</v>
      </c>
      <c r="D1113" s="236">
        <v>24</v>
      </c>
      <c r="E1113" s="236"/>
      <c r="F1113" s="236"/>
      <c r="G1113" s="236"/>
      <c r="H1113" s="41">
        <f>SUM(Tabla132112413[[#This Row],[PRIMER TRIMESTRE]:[CUARTO TRIMESTRE]])</f>
        <v>24</v>
      </c>
      <c r="I1113" s="17">
        <v>13.57</v>
      </c>
      <c r="J1113" s="17">
        <f>+H1113*I1113</f>
        <v>325.68</v>
      </c>
      <c r="K1113" s="17"/>
      <c r="L1113" s="16" t="s">
        <v>18</v>
      </c>
      <c r="M1113" s="16" t="s">
        <v>22</v>
      </c>
      <c r="N1113" s="39" t="s">
        <v>418</v>
      </c>
    </row>
    <row r="1114" spans="1:14" s="12" customFormat="1" ht="18">
      <c r="A1114" s="180" t="s">
        <v>120</v>
      </c>
      <c r="B1114" s="75" t="s">
        <v>240</v>
      </c>
      <c r="C1114" s="70" t="s">
        <v>208</v>
      </c>
      <c r="D1114" s="415">
        <v>3</v>
      </c>
      <c r="E1114" s="210"/>
      <c r="F1114" s="210"/>
      <c r="G1114" s="210"/>
      <c r="H1114" s="41">
        <f>SUM(Tabla132112413[[#This Row],[PRIMER TRIMESTRE]:[CUARTO TRIMESTRE]])</f>
        <v>3</v>
      </c>
      <c r="I1114" s="72">
        <v>5341.57</v>
      </c>
      <c r="J1114" s="72">
        <f>+Tabla132112413[[#This Row],[CANTIDAD TOTAL]]*Tabla132112413[[#This Row],[PRECIO UNITARIO ESTIMADO]]</f>
        <v>16024.71</v>
      </c>
      <c r="K1114" s="72"/>
      <c r="L1114" s="16" t="s">
        <v>18</v>
      </c>
      <c r="M1114" s="73" t="s">
        <v>22</v>
      </c>
      <c r="N1114" s="70" t="s">
        <v>418</v>
      </c>
    </row>
    <row r="1115" spans="1:14" s="12" customFormat="1" ht="18">
      <c r="A1115" s="178" t="s">
        <v>120</v>
      </c>
      <c r="B1115" s="75" t="s">
        <v>748</v>
      </c>
      <c r="C1115" s="39" t="s">
        <v>17</v>
      </c>
      <c r="D1115" s="236">
        <v>20</v>
      </c>
      <c r="E1115" s="236"/>
      <c r="F1115" s="236"/>
      <c r="G1115" s="236"/>
      <c r="H1115" s="41">
        <f>SUM(Tabla132112413[[#This Row],[PRIMER TRIMESTRE]:[CUARTO TRIMESTRE]])</f>
        <v>20</v>
      </c>
      <c r="I1115" s="17">
        <v>463.74</v>
      </c>
      <c r="J1115" s="17">
        <f>+H1115*I1115</f>
        <v>9274.7999999999993</v>
      </c>
      <c r="K1115" s="17"/>
      <c r="L1115" s="16" t="s">
        <v>18</v>
      </c>
      <c r="M1115" s="16" t="s">
        <v>22</v>
      </c>
      <c r="N1115" s="39" t="s">
        <v>418</v>
      </c>
    </row>
    <row r="1116" spans="1:14" s="12" customFormat="1" ht="18">
      <c r="A1116" s="178" t="s">
        <v>120</v>
      </c>
      <c r="B1116" s="75" t="s">
        <v>263</v>
      </c>
      <c r="C1116" s="39" t="s">
        <v>17</v>
      </c>
      <c r="D1116" s="236">
        <v>15</v>
      </c>
      <c r="E1116" s="236"/>
      <c r="F1116" s="236"/>
      <c r="G1116" s="236"/>
      <c r="H1116" s="41">
        <f>SUM(Tabla132112413[[#This Row],[PRIMER TRIMESTRE]:[CUARTO TRIMESTRE]])</f>
        <v>15</v>
      </c>
      <c r="I1116" s="17">
        <v>217.02</v>
      </c>
      <c r="J1116" s="17">
        <f>+Tabla132112413[[#This Row],[CANTIDAD TOTAL]]*Tabla132112413[[#This Row],[PRECIO UNITARIO ESTIMADO]]</f>
        <v>3255.3</v>
      </c>
      <c r="K1116" s="17"/>
      <c r="L1116" s="16" t="s">
        <v>18</v>
      </c>
      <c r="M1116" s="16" t="s">
        <v>22</v>
      </c>
      <c r="N1116" s="39" t="s">
        <v>418</v>
      </c>
    </row>
    <row r="1117" spans="1:14" s="12" customFormat="1" ht="18">
      <c r="A1117" s="178" t="s">
        <v>120</v>
      </c>
      <c r="B1117" s="75" t="s">
        <v>749</v>
      </c>
      <c r="C1117" s="39" t="s">
        <v>17</v>
      </c>
      <c r="D1117" s="236">
        <v>5</v>
      </c>
      <c r="E1117" s="236"/>
      <c r="F1117" s="236"/>
      <c r="G1117" s="236"/>
      <c r="H1117" s="41">
        <f>SUM(Tabla132112413[[#This Row],[PRIMER TRIMESTRE]:[CUARTO TRIMESTRE]])</f>
        <v>5</v>
      </c>
      <c r="I1117" s="17">
        <v>186.44</v>
      </c>
      <c r="J1117" s="17">
        <f>+H1117*I1117</f>
        <v>932.2</v>
      </c>
      <c r="K1117" s="17"/>
      <c r="L1117" s="16" t="s">
        <v>18</v>
      </c>
      <c r="M1117" s="16" t="s">
        <v>22</v>
      </c>
      <c r="N1117" s="39" t="s">
        <v>418</v>
      </c>
    </row>
    <row r="1118" spans="1:14" s="12" customFormat="1" ht="18">
      <c r="A1118" s="178" t="s">
        <v>120</v>
      </c>
      <c r="B1118" s="75" t="s">
        <v>750</v>
      </c>
      <c r="C1118" s="39" t="s">
        <v>17</v>
      </c>
      <c r="D1118" s="236">
        <v>5</v>
      </c>
      <c r="E1118" s="236"/>
      <c r="F1118" s="236"/>
      <c r="G1118" s="236"/>
      <c r="H1118" s="41">
        <f>SUM(Tabla132112413[[#This Row],[PRIMER TRIMESTRE]:[CUARTO TRIMESTRE]])</f>
        <v>5</v>
      </c>
      <c r="I1118" s="17">
        <v>129.80000000000001</v>
      </c>
      <c r="J1118" s="17">
        <f>+H1118*I1118</f>
        <v>649</v>
      </c>
      <c r="K1118" s="17"/>
      <c r="L1118" s="16" t="s">
        <v>18</v>
      </c>
      <c r="M1118" s="16" t="s">
        <v>22</v>
      </c>
      <c r="N1118" s="39" t="s">
        <v>418</v>
      </c>
    </row>
    <row r="1119" spans="1:14" s="12" customFormat="1" ht="18">
      <c r="A1119" s="178" t="s">
        <v>120</v>
      </c>
      <c r="B1119" s="75" t="s">
        <v>403</v>
      </c>
      <c r="C1119" s="39" t="s">
        <v>416</v>
      </c>
      <c r="D1119" s="236">
        <v>15</v>
      </c>
      <c r="E1119" s="236"/>
      <c r="F1119" s="236"/>
      <c r="G1119" s="236"/>
      <c r="H1119" s="41">
        <f>SUM(Tabla132112413[[#This Row],[PRIMER TRIMESTRE]:[CUARTO TRIMESTRE]])</f>
        <v>15</v>
      </c>
      <c r="I1119" s="17">
        <v>75</v>
      </c>
      <c r="J1119" s="17">
        <f>+H1119*I1119</f>
        <v>1125</v>
      </c>
      <c r="K1119" s="17"/>
      <c r="L1119" s="16" t="s">
        <v>18</v>
      </c>
      <c r="M1119" s="16" t="s">
        <v>22</v>
      </c>
      <c r="N1119" s="39" t="s">
        <v>418</v>
      </c>
    </row>
    <row r="1120" spans="1:14" s="12" customFormat="1" ht="18">
      <c r="A1120" s="178" t="s">
        <v>120</v>
      </c>
      <c r="B1120" s="75" t="s">
        <v>744</v>
      </c>
      <c r="C1120" s="39" t="s">
        <v>17</v>
      </c>
      <c r="D1120" s="236">
        <v>5</v>
      </c>
      <c r="E1120" s="236"/>
      <c r="F1120" s="236"/>
      <c r="G1120" s="236"/>
      <c r="H1120" s="41">
        <f>SUM(Tabla132112413[[#This Row],[PRIMER TRIMESTRE]:[CUARTO TRIMESTRE]])</f>
        <v>5</v>
      </c>
      <c r="I1120" s="17">
        <v>43.66</v>
      </c>
      <c r="J1120" s="17">
        <f>+H1120*I1120</f>
        <v>218.29999999999998</v>
      </c>
      <c r="K1120" s="17"/>
      <c r="L1120" s="16" t="s">
        <v>18</v>
      </c>
      <c r="M1120" s="16" t="s">
        <v>22</v>
      </c>
      <c r="N1120" s="39" t="s">
        <v>418</v>
      </c>
    </row>
    <row r="1121" spans="1:14" s="12" customFormat="1" ht="18">
      <c r="A1121" s="178" t="s">
        <v>120</v>
      </c>
      <c r="B1121" s="75" t="s">
        <v>264</v>
      </c>
      <c r="C1121" s="39" t="s">
        <v>17</v>
      </c>
      <c r="D1121" s="236"/>
      <c r="E1121" s="236"/>
      <c r="F1121" s="236"/>
      <c r="G1121" s="236"/>
      <c r="H1121" s="41">
        <f>SUM(Tabla132112413[[#This Row],[PRIMER TRIMESTRE]:[CUARTO TRIMESTRE]])</f>
        <v>0</v>
      </c>
      <c r="I1121" s="17">
        <v>185</v>
      </c>
      <c r="J1121" s="17">
        <f>+Tabla132112413[[#This Row],[CANTIDAD TOTAL]]*Tabla132112413[[#This Row],[PRECIO UNITARIO ESTIMADO]]</f>
        <v>0</v>
      </c>
      <c r="K1121" s="17"/>
      <c r="L1121" s="16" t="s">
        <v>18</v>
      </c>
      <c r="M1121" s="16" t="s">
        <v>22</v>
      </c>
      <c r="N1121" s="39" t="s">
        <v>418</v>
      </c>
    </row>
    <row r="1122" spans="1:14" s="12" customFormat="1" ht="18">
      <c r="A1122" s="178" t="s">
        <v>120</v>
      </c>
      <c r="B1122" s="75" t="s">
        <v>745</v>
      </c>
      <c r="C1122" s="39" t="s">
        <v>208</v>
      </c>
      <c r="D1122" s="236">
        <v>4</v>
      </c>
      <c r="E1122" s="236"/>
      <c r="F1122" s="236"/>
      <c r="G1122" s="236"/>
      <c r="H1122" s="41">
        <f>SUM(Tabla132112413[[#This Row],[PRIMER TRIMESTRE]:[CUARTO TRIMESTRE]])</f>
        <v>4</v>
      </c>
      <c r="I1122" s="17">
        <v>43.66</v>
      </c>
      <c r="J1122" s="17">
        <f t="shared" ref="J1122:J1136" si="29">+H1122*I1122</f>
        <v>174.64</v>
      </c>
      <c r="K1122" s="17"/>
      <c r="L1122" s="16" t="s">
        <v>18</v>
      </c>
      <c r="M1122" s="16" t="s">
        <v>22</v>
      </c>
      <c r="N1122" s="39" t="s">
        <v>418</v>
      </c>
    </row>
    <row r="1123" spans="1:14" s="12" customFormat="1" ht="18">
      <c r="A1123" s="178" t="s">
        <v>120</v>
      </c>
      <c r="B1123" s="75" t="s">
        <v>760</v>
      </c>
      <c r="C1123" s="39" t="s">
        <v>208</v>
      </c>
      <c r="D1123" s="236">
        <v>12</v>
      </c>
      <c r="E1123" s="236"/>
      <c r="F1123" s="236"/>
      <c r="G1123" s="236"/>
      <c r="H1123" s="41">
        <f>SUM(Tabla132112413[[#This Row],[PRIMER TRIMESTRE]:[CUARTO TRIMESTRE]])</f>
        <v>12</v>
      </c>
      <c r="I1123" s="17">
        <v>43.66</v>
      </c>
      <c r="J1123" s="17">
        <f t="shared" si="29"/>
        <v>523.91999999999996</v>
      </c>
      <c r="K1123" s="17"/>
      <c r="L1123" s="16" t="s">
        <v>18</v>
      </c>
      <c r="M1123" s="16" t="s">
        <v>22</v>
      </c>
      <c r="N1123" s="39" t="s">
        <v>418</v>
      </c>
    </row>
    <row r="1124" spans="1:14" s="12" customFormat="1" ht="18">
      <c r="A1124" s="178" t="s">
        <v>120</v>
      </c>
      <c r="B1124" s="75" t="s">
        <v>761</v>
      </c>
      <c r="C1124" s="39" t="s">
        <v>208</v>
      </c>
      <c r="D1124" s="236">
        <v>12</v>
      </c>
      <c r="E1124" s="236"/>
      <c r="F1124" s="236"/>
      <c r="G1124" s="236"/>
      <c r="H1124" s="41">
        <f>SUM(Tabla132112413[[#This Row],[PRIMER TRIMESTRE]:[CUARTO TRIMESTRE]])</f>
        <v>12</v>
      </c>
      <c r="I1124" s="17">
        <v>12.98</v>
      </c>
      <c r="J1124" s="17">
        <f t="shared" si="29"/>
        <v>155.76</v>
      </c>
      <c r="K1124" s="17"/>
      <c r="L1124" s="16" t="s">
        <v>18</v>
      </c>
      <c r="M1124" s="16" t="s">
        <v>22</v>
      </c>
      <c r="N1124" s="39" t="s">
        <v>418</v>
      </c>
    </row>
    <row r="1125" spans="1:14" s="12" customFormat="1" ht="18">
      <c r="A1125" s="178" t="s">
        <v>120</v>
      </c>
      <c r="B1125" s="75" t="s">
        <v>399</v>
      </c>
      <c r="C1125" s="39" t="s">
        <v>208</v>
      </c>
      <c r="D1125" s="236">
        <v>12</v>
      </c>
      <c r="E1125" s="236"/>
      <c r="F1125" s="236"/>
      <c r="G1125" s="236"/>
      <c r="H1125" s="41">
        <f>SUM(Tabla132112413[[#This Row],[PRIMER TRIMESTRE]:[CUARTO TRIMESTRE]])</f>
        <v>12</v>
      </c>
      <c r="I1125" s="17">
        <v>86.81</v>
      </c>
      <c r="J1125" s="17">
        <f t="shared" si="29"/>
        <v>1041.72</v>
      </c>
      <c r="K1125" s="17"/>
      <c r="L1125" s="16" t="s">
        <v>18</v>
      </c>
      <c r="M1125" s="16" t="s">
        <v>22</v>
      </c>
      <c r="N1125" s="39" t="s">
        <v>418</v>
      </c>
    </row>
    <row r="1126" spans="1:14" s="12" customFormat="1" ht="18">
      <c r="A1126" s="178" t="s">
        <v>120</v>
      </c>
      <c r="B1126" s="75" t="s">
        <v>400</v>
      </c>
      <c r="C1126" s="39" t="s">
        <v>208</v>
      </c>
      <c r="D1126" s="236">
        <v>12</v>
      </c>
      <c r="E1126" s="236"/>
      <c r="F1126" s="236"/>
      <c r="G1126" s="236"/>
      <c r="H1126" s="41">
        <f>SUM(Tabla132112413[[#This Row],[PRIMER TRIMESTRE]:[CUARTO TRIMESTRE]])</f>
        <v>12</v>
      </c>
      <c r="I1126" s="17">
        <v>25.4</v>
      </c>
      <c r="J1126" s="17">
        <f t="shared" si="29"/>
        <v>304.79999999999995</v>
      </c>
      <c r="K1126" s="17"/>
      <c r="L1126" s="16" t="s">
        <v>18</v>
      </c>
      <c r="M1126" s="16" t="s">
        <v>22</v>
      </c>
      <c r="N1126" s="39" t="s">
        <v>418</v>
      </c>
    </row>
    <row r="1127" spans="1:14" s="12" customFormat="1" ht="25.5">
      <c r="A1127" s="178" t="s">
        <v>120</v>
      </c>
      <c r="B1127" s="75" t="s">
        <v>395</v>
      </c>
      <c r="C1127" s="39" t="s">
        <v>208</v>
      </c>
      <c r="D1127" s="236">
        <v>6</v>
      </c>
      <c r="E1127" s="236"/>
      <c r="F1127" s="236"/>
      <c r="G1127" s="236"/>
      <c r="H1127" s="41">
        <f>SUM(Tabla132112413[[#This Row],[PRIMER TRIMESTRE]:[CUARTO TRIMESTRE]])</f>
        <v>6</v>
      </c>
      <c r="I1127" s="17">
        <v>235.20000000000002</v>
      </c>
      <c r="J1127" s="17">
        <f t="shared" si="29"/>
        <v>1411.2</v>
      </c>
      <c r="K1127" s="17"/>
      <c r="L1127" s="16" t="s">
        <v>18</v>
      </c>
      <c r="M1127" s="16" t="s">
        <v>22</v>
      </c>
      <c r="N1127" s="39" t="s">
        <v>418</v>
      </c>
    </row>
    <row r="1128" spans="1:14" s="12" customFormat="1" ht="18">
      <c r="A1128" s="178" t="s">
        <v>120</v>
      </c>
      <c r="B1128" s="75" t="s">
        <v>746</v>
      </c>
      <c r="C1128" s="39" t="s">
        <v>17</v>
      </c>
      <c r="D1128" s="236">
        <v>24</v>
      </c>
      <c r="E1128" s="236"/>
      <c r="F1128" s="236"/>
      <c r="G1128" s="236"/>
      <c r="H1128" s="41">
        <f>SUM(Tabla132112413[[#This Row],[PRIMER TRIMESTRE]:[CUARTO TRIMESTRE]])</f>
        <v>24</v>
      </c>
      <c r="I1128" s="17">
        <v>23.32</v>
      </c>
      <c r="J1128" s="17">
        <f t="shared" si="29"/>
        <v>559.68000000000006</v>
      </c>
      <c r="K1128" s="17"/>
      <c r="L1128" s="16" t="s">
        <v>18</v>
      </c>
      <c r="M1128" s="16" t="s">
        <v>22</v>
      </c>
      <c r="N1128" s="39" t="s">
        <v>418</v>
      </c>
    </row>
    <row r="1129" spans="1:14" s="12" customFormat="1" ht="18">
      <c r="A1129" s="178" t="s">
        <v>120</v>
      </c>
      <c r="B1129" s="75" t="s">
        <v>747</v>
      </c>
      <c r="C1129" s="39" t="s">
        <v>17</v>
      </c>
      <c r="D1129" s="236">
        <v>24</v>
      </c>
      <c r="E1129" s="236"/>
      <c r="F1129" s="236"/>
      <c r="G1129" s="236"/>
      <c r="H1129" s="41">
        <f>SUM(Tabla132112413[[#This Row],[PRIMER TRIMESTRE]:[CUARTO TRIMESTRE]])</f>
        <v>24</v>
      </c>
      <c r="I1129" s="17">
        <v>23.32</v>
      </c>
      <c r="J1129" s="17">
        <f t="shared" si="29"/>
        <v>559.68000000000006</v>
      </c>
      <c r="K1129" s="17"/>
      <c r="L1129" s="16" t="s">
        <v>18</v>
      </c>
      <c r="M1129" s="16" t="s">
        <v>22</v>
      </c>
      <c r="N1129" s="39" t="s">
        <v>418</v>
      </c>
    </row>
    <row r="1130" spans="1:14" s="12" customFormat="1" ht="18">
      <c r="A1130" s="178" t="s">
        <v>120</v>
      </c>
      <c r="B1130" s="75" t="s">
        <v>396</v>
      </c>
      <c r="C1130" s="39" t="s">
        <v>208</v>
      </c>
      <c r="D1130" s="236">
        <v>10</v>
      </c>
      <c r="E1130" s="236"/>
      <c r="F1130" s="236"/>
      <c r="G1130" s="236"/>
      <c r="H1130" s="41">
        <f>SUM(Tabla132112413[[#This Row],[PRIMER TRIMESTRE]:[CUARTO TRIMESTRE]])</f>
        <v>10</v>
      </c>
      <c r="I1130" s="17">
        <v>194.7</v>
      </c>
      <c r="J1130" s="17">
        <f t="shared" si="29"/>
        <v>1947</v>
      </c>
      <c r="K1130" s="17"/>
      <c r="L1130" s="16" t="s">
        <v>18</v>
      </c>
      <c r="M1130" s="16" t="s">
        <v>22</v>
      </c>
      <c r="N1130" s="39" t="s">
        <v>418</v>
      </c>
    </row>
    <row r="1131" spans="1:14" s="12" customFormat="1" ht="18">
      <c r="A1131" s="178" t="s">
        <v>120</v>
      </c>
      <c r="B1131" s="75" t="s">
        <v>397</v>
      </c>
      <c r="C1131" s="39" t="s">
        <v>208</v>
      </c>
      <c r="D1131" s="236">
        <v>10</v>
      </c>
      <c r="E1131" s="236"/>
      <c r="F1131" s="236"/>
      <c r="G1131" s="236"/>
      <c r="H1131" s="41">
        <f>SUM(Tabla132112413[[#This Row],[PRIMER TRIMESTRE]:[CUARTO TRIMESTRE]])</f>
        <v>10</v>
      </c>
      <c r="I1131" s="17">
        <v>309.14</v>
      </c>
      <c r="J1131" s="17">
        <f t="shared" si="29"/>
        <v>3091.3999999999996</v>
      </c>
      <c r="K1131" s="17"/>
      <c r="L1131" s="16" t="s">
        <v>18</v>
      </c>
      <c r="M1131" s="16" t="s">
        <v>22</v>
      </c>
      <c r="N1131" s="39" t="s">
        <v>418</v>
      </c>
    </row>
    <row r="1132" spans="1:14" s="12" customFormat="1" ht="18">
      <c r="A1132" s="178" t="s">
        <v>120</v>
      </c>
      <c r="B1132" s="75" t="s">
        <v>404</v>
      </c>
      <c r="C1132" s="39" t="s">
        <v>255</v>
      </c>
      <c r="D1132" s="236">
        <v>20</v>
      </c>
      <c r="E1132" s="236"/>
      <c r="F1132" s="236"/>
      <c r="G1132" s="236"/>
      <c r="H1132" s="41">
        <f>SUM(Tabla132112413[[#This Row],[PRIMER TRIMESTRE]:[CUARTO TRIMESTRE]])</f>
        <v>20</v>
      </c>
      <c r="I1132" s="17">
        <v>29.5</v>
      </c>
      <c r="J1132" s="17">
        <f t="shared" si="29"/>
        <v>590</v>
      </c>
      <c r="K1132" s="17"/>
      <c r="L1132" s="16" t="s">
        <v>18</v>
      </c>
      <c r="M1132" s="16" t="s">
        <v>22</v>
      </c>
      <c r="N1132" s="39" t="s">
        <v>418</v>
      </c>
    </row>
    <row r="1133" spans="1:14" s="12" customFormat="1" ht="18">
      <c r="A1133" s="178" t="s">
        <v>120</v>
      </c>
      <c r="B1133" s="75" t="s">
        <v>254</v>
      </c>
      <c r="C1133" s="39" t="s">
        <v>417</v>
      </c>
      <c r="D1133" s="236">
        <v>20</v>
      </c>
      <c r="E1133" s="236"/>
      <c r="F1133" s="236"/>
      <c r="G1133" s="236"/>
      <c r="H1133" s="41">
        <f>SUM(Tabla132112413[[#This Row],[PRIMER TRIMESTRE]:[CUARTO TRIMESTRE]])</f>
        <v>20</v>
      </c>
      <c r="I1133" s="17">
        <v>12</v>
      </c>
      <c r="J1133" s="17">
        <f t="shared" si="29"/>
        <v>240</v>
      </c>
      <c r="K1133" s="17"/>
      <c r="L1133" s="16" t="s">
        <v>18</v>
      </c>
      <c r="M1133" s="16" t="s">
        <v>22</v>
      </c>
      <c r="N1133" s="39" t="s">
        <v>418</v>
      </c>
    </row>
    <row r="1134" spans="1:14" s="12" customFormat="1" ht="18">
      <c r="A1134" s="178" t="s">
        <v>120</v>
      </c>
      <c r="B1134" s="75" t="s">
        <v>394</v>
      </c>
      <c r="C1134" s="39" t="s">
        <v>208</v>
      </c>
      <c r="D1134" s="236">
        <v>12</v>
      </c>
      <c r="E1134" s="236"/>
      <c r="F1134" s="236"/>
      <c r="G1134" s="236"/>
      <c r="H1134" s="41">
        <f>SUM(Tabla132112413[[#This Row],[PRIMER TRIMESTRE]:[CUARTO TRIMESTRE]])</f>
        <v>12</v>
      </c>
      <c r="I1134" s="17">
        <v>69.599999999999994</v>
      </c>
      <c r="J1134" s="17">
        <f t="shared" si="29"/>
        <v>835.19999999999993</v>
      </c>
      <c r="K1134" s="17"/>
      <c r="L1134" s="16" t="s">
        <v>18</v>
      </c>
      <c r="M1134" s="16" t="s">
        <v>22</v>
      </c>
      <c r="N1134" s="39" t="s">
        <v>418</v>
      </c>
    </row>
    <row r="1135" spans="1:14" s="12" customFormat="1" ht="18">
      <c r="A1135" s="178" t="s">
        <v>120</v>
      </c>
      <c r="B1135" s="75" t="s">
        <v>408</v>
      </c>
      <c r="C1135" s="39" t="s">
        <v>417</v>
      </c>
      <c r="D1135" s="236">
        <v>30</v>
      </c>
      <c r="E1135" s="236"/>
      <c r="F1135" s="236"/>
      <c r="G1135" s="236"/>
      <c r="H1135" s="41">
        <f>SUM(Tabla132112413[[#This Row],[PRIMER TRIMESTRE]:[CUARTO TRIMESTRE]])</f>
        <v>30</v>
      </c>
      <c r="I1135" s="17">
        <v>43.7</v>
      </c>
      <c r="J1135" s="17">
        <f t="shared" si="29"/>
        <v>1311</v>
      </c>
      <c r="K1135" s="17"/>
      <c r="L1135" s="16" t="s">
        <v>18</v>
      </c>
      <c r="M1135" s="16" t="s">
        <v>22</v>
      </c>
      <c r="N1135" s="39" t="s">
        <v>418</v>
      </c>
    </row>
    <row r="1136" spans="1:14" s="12" customFormat="1" ht="18">
      <c r="A1136" s="178" t="s">
        <v>120</v>
      </c>
      <c r="B1136" s="75" t="s">
        <v>409</v>
      </c>
      <c r="C1136" s="39" t="s">
        <v>417</v>
      </c>
      <c r="D1136" s="236">
        <v>30</v>
      </c>
      <c r="E1136" s="236"/>
      <c r="F1136" s="236"/>
      <c r="G1136" s="236"/>
      <c r="H1136" s="41">
        <f>SUM(Tabla132112413[[#This Row],[PRIMER TRIMESTRE]:[CUARTO TRIMESTRE]])</f>
        <v>30</v>
      </c>
      <c r="I1136" s="17">
        <v>15.21</v>
      </c>
      <c r="J1136" s="17">
        <f t="shared" si="29"/>
        <v>456.3</v>
      </c>
      <c r="K1136" s="17"/>
      <c r="L1136" s="16" t="s">
        <v>18</v>
      </c>
      <c r="M1136" s="16" t="s">
        <v>22</v>
      </c>
      <c r="N1136" s="39" t="s">
        <v>418</v>
      </c>
    </row>
    <row r="1137" spans="1:14" s="12" customFormat="1" ht="18">
      <c r="A1137" s="178" t="s">
        <v>120</v>
      </c>
      <c r="B1137" s="75" t="s">
        <v>265</v>
      </c>
      <c r="C1137" s="39" t="s">
        <v>17</v>
      </c>
      <c r="D1137" s="236">
        <v>6</v>
      </c>
      <c r="E1137" s="236"/>
      <c r="F1137" s="236"/>
      <c r="G1137" s="236"/>
      <c r="H1137" s="41">
        <f>SUM(Tabla132112413[[#This Row],[PRIMER TRIMESTRE]:[CUARTO TRIMESTRE]])</f>
        <v>6</v>
      </c>
      <c r="I1137" s="17">
        <v>185.6</v>
      </c>
      <c r="J1137" s="17">
        <f>+Tabla132112413[[#This Row],[CANTIDAD TOTAL]]*Tabla132112413[[#This Row],[PRECIO UNITARIO ESTIMADO]]</f>
        <v>1113.5999999999999</v>
      </c>
      <c r="K1137" s="17"/>
      <c r="L1137" s="16" t="s">
        <v>18</v>
      </c>
      <c r="M1137" s="16" t="s">
        <v>22</v>
      </c>
      <c r="N1137" s="39" t="s">
        <v>418</v>
      </c>
    </row>
    <row r="1138" spans="1:14" s="12" customFormat="1" ht="18">
      <c r="A1138" s="178" t="s">
        <v>120</v>
      </c>
      <c r="B1138" s="75" t="s">
        <v>261</v>
      </c>
      <c r="C1138" s="39" t="s">
        <v>17</v>
      </c>
      <c r="D1138" s="236"/>
      <c r="E1138" s="236"/>
      <c r="F1138" s="236"/>
      <c r="G1138" s="236"/>
      <c r="H1138" s="41">
        <f>SUM(Tabla132112413[[#This Row],[PRIMER TRIMESTRE]:[CUARTO TRIMESTRE]])</f>
        <v>0</v>
      </c>
      <c r="I1138" s="17">
        <v>148</v>
      </c>
      <c r="J1138" s="17">
        <f>+Tabla132112413[[#This Row],[CANTIDAD TOTAL]]*Tabla132112413[[#This Row],[PRECIO UNITARIO ESTIMADO]]</f>
        <v>0</v>
      </c>
      <c r="K1138" s="17"/>
      <c r="L1138" s="16" t="s">
        <v>18</v>
      </c>
      <c r="M1138" s="16" t="s">
        <v>22</v>
      </c>
      <c r="N1138" s="39" t="s">
        <v>418</v>
      </c>
    </row>
    <row r="1139" spans="1:14" s="12" customFormat="1" ht="18">
      <c r="A1139" s="178" t="s">
        <v>120</v>
      </c>
      <c r="B1139" s="75" t="s">
        <v>751</v>
      </c>
      <c r="C1139" s="39" t="s">
        <v>17</v>
      </c>
      <c r="D1139" s="236">
        <v>10</v>
      </c>
      <c r="E1139" s="236"/>
      <c r="F1139" s="236"/>
      <c r="G1139" s="236"/>
      <c r="H1139" s="41">
        <f>SUM(Tabla132112413[[#This Row],[PRIMER TRIMESTRE]:[CUARTO TRIMESTRE]])</f>
        <v>10</v>
      </c>
      <c r="I1139" s="17">
        <v>15.54</v>
      </c>
      <c r="J1139" s="17">
        <f>+H1139*I1139</f>
        <v>155.39999999999998</v>
      </c>
      <c r="K1139" s="17"/>
      <c r="L1139" s="16" t="s">
        <v>18</v>
      </c>
      <c r="M1139" s="16" t="s">
        <v>22</v>
      </c>
      <c r="N1139" s="39" t="s">
        <v>418</v>
      </c>
    </row>
    <row r="1140" spans="1:14" s="12" customFormat="1" ht="18">
      <c r="A1140" s="178" t="s">
        <v>120</v>
      </c>
      <c r="B1140" s="75" t="s">
        <v>754</v>
      </c>
      <c r="C1140" s="39" t="s">
        <v>17</v>
      </c>
      <c r="D1140" s="236">
        <v>10</v>
      </c>
      <c r="E1140" s="236"/>
      <c r="F1140" s="236"/>
      <c r="G1140" s="236"/>
      <c r="H1140" s="41">
        <f>SUM(Tabla132112413[[#This Row],[PRIMER TRIMESTRE]:[CUARTO TRIMESTRE]])</f>
        <v>10</v>
      </c>
      <c r="I1140" s="17">
        <v>15.54</v>
      </c>
      <c r="J1140" s="17">
        <f>+H1140*I1140</f>
        <v>155.39999999999998</v>
      </c>
      <c r="K1140" s="17"/>
      <c r="L1140" s="16" t="s">
        <v>18</v>
      </c>
      <c r="M1140" s="16" t="s">
        <v>22</v>
      </c>
      <c r="N1140" s="39" t="s">
        <v>418</v>
      </c>
    </row>
    <row r="1141" spans="1:14" s="12" customFormat="1" ht="18">
      <c r="A1141" s="178" t="s">
        <v>120</v>
      </c>
      <c r="B1141" s="75" t="s">
        <v>755</v>
      </c>
      <c r="C1141" s="39" t="s">
        <v>17</v>
      </c>
      <c r="D1141" s="236">
        <v>10</v>
      </c>
      <c r="E1141" s="236"/>
      <c r="F1141" s="236"/>
      <c r="G1141" s="236"/>
      <c r="H1141" s="41">
        <f>SUM(Tabla132112413[[#This Row],[PRIMER TRIMESTRE]:[CUARTO TRIMESTRE]])</f>
        <v>10</v>
      </c>
      <c r="I1141" s="17">
        <v>15.54</v>
      </c>
      <c r="J1141" s="17">
        <f>+H1141*I1141</f>
        <v>155.39999999999998</v>
      </c>
      <c r="K1141" s="17"/>
      <c r="L1141" s="16" t="s">
        <v>18</v>
      </c>
      <c r="M1141" s="16" t="s">
        <v>22</v>
      </c>
      <c r="N1141" s="39" t="s">
        <v>418</v>
      </c>
    </row>
    <row r="1142" spans="1:14" s="12" customFormat="1" ht="18">
      <c r="A1142" s="178" t="s">
        <v>752</v>
      </c>
      <c r="B1142" s="75" t="s">
        <v>390</v>
      </c>
      <c r="C1142" s="39" t="s">
        <v>266</v>
      </c>
      <c r="D1142" s="236">
        <v>24</v>
      </c>
      <c r="E1142" s="236"/>
      <c r="F1142" s="236"/>
      <c r="G1142" s="236"/>
      <c r="H1142" s="41">
        <f>SUM(Tabla132112413[[#This Row],[PRIMER TRIMESTRE]:[CUARTO TRIMESTRE]])</f>
        <v>24</v>
      </c>
      <c r="I1142" s="17">
        <v>145.13999999999999</v>
      </c>
      <c r="J1142" s="17">
        <f>+H1142*I1142</f>
        <v>3483.3599999999997</v>
      </c>
      <c r="K1142" s="21"/>
      <c r="L1142" s="16" t="s">
        <v>18</v>
      </c>
      <c r="M1142" s="16" t="s">
        <v>22</v>
      </c>
      <c r="N1142" s="39" t="s">
        <v>418</v>
      </c>
    </row>
    <row r="1143" spans="1:14" s="12" customFormat="1" ht="18">
      <c r="A1143" s="178" t="s">
        <v>120</v>
      </c>
      <c r="B1143" s="75" t="s">
        <v>391</v>
      </c>
      <c r="C1143" s="39" t="s">
        <v>415</v>
      </c>
      <c r="D1143" s="236">
        <v>24</v>
      </c>
      <c r="E1143" s="236"/>
      <c r="F1143" s="236"/>
      <c r="G1143" s="236"/>
      <c r="H1143" s="41">
        <f>SUM(Tabla132112413[[#This Row],[PRIMER TRIMESTRE]:[CUARTO TRIMESTRE]])</f>
        <v>24</v>
      </c>
      <c r="I1143" s="17">
        <v>214.76</v>
      </c>
      <c r="J1143" s="17">
        <f>+H1143*I1143</f>
        <v>5154.24</v>
      </c>
      <c r="K1143" s="17"/>
      <c r="L1143" s="16" t="s">
        <v>18</v>
      </c>
      <c r="M1143" s="16" t="s">
        <v>22</v>
      </c>
      <c r="N1143" s="39" t="s">
        <v>418</v>
      </c>
    </row>
    <row r="1144" spans="1:14" s="12" customFormat="1" ht="18">
      <c r="A1144" s="178" t="s">
        <v>120</v>
      </c>
      <c r="B1144" s="75" t="s">
        <v>267</v>
      </c>
      <c r="C1144" s="39" t="s">
        <v>102</v>
      </c>
      <c r="D1144" s="236"/>
      <c r="E1144" s="236"/>
      <c r="F1144" s="236"/>
      <c r="G1144" s="236"/>
      <c r="H1144" s="41">
        <f>SUM(Tabla132112413[[#This Row],[PRIMER TRIMESTRE]:[CUARTO TRIMESTRE]])</f>
        <v>0</v>
      </c>
      <c r="I1144" s="17">
        <v>1063.19</v>
      </c>
      <c r="J1144" s="17">
        <f>+Tabla132112413[[#This Row],[CANTIDAD TOTAL]]*Tabla132112413[[#This Row],[PRECIO UNITARIO ESTIMADO]]</f>
        <v>0</v>
      </c>
      <c r="K1144" s="17"/>
      <c r="L1144" s="16" t="s">
        <v>18</v>
      </c>
      <c r="M1144" s="16" t="s">
        <v>22</v>
      </c>
      <c r="N1144" s="39" t="s">
        <v>418</v>
      </c>
    </row>
    <row r="1145" spans="1:14" s="12" customFormat="1" ht="18">
      <c r="A1145" s="178" t="s">
        <v>120</v>
      </c>
      <c r="B1145" s="75" t="s">
        <v>759</v>
      </c>
      <c r="C1145" s="39" t="s">
        <v>208</v>
      </c>
      <c r="D1145" s="236">
        <v>5</v>
      </c>
      <c r="E1145" s="236"/>
      <c r="F1145" s="236"/>
      <c r="G1145" s="236"/>
      <c r="H1145" s="41">
        <f>SUM(Tabla132112413[[#This Row],[PRIMER TRIMESTRE]:[CUARTO TRIMESTRE]])</f>
        <v>5</v>
      </c>
      <c r="I1145" s="17">
        <v>161.66</v>
      </c>
      <c r="J1145" s="17">
        <f>+H1145*I1145</f>
        <v>808.3</v>
      </c>
      <c r="K1145" s="17"/>
      <c r="L1145" s="16" t="s">
        <v>18</v>
      </c>
      <c r="M1145" s="16" t="s">
        <v>22</v>
      </c>
      <c r="N1145" s="39" t="s">
        <v>418</v>
      </c>
    </row>
    <row r="1146" spans="1:14" s="12" customFormat="1" ht="18">
      <c r="A1146" s="178" t="s">
        <v>120</v>
      </c>
      <c r="B1146" s="75" t="s">
        <v>268</v>
      </c>
      <c r="C1146" s="39" t="s">
        <v>208</v>
      </c>
      <c r="D1146" s="236"/>
      <c r="E1146" s="236"/>
      <c r="F1146" s="236"/>
      <c r="G1146" s="236"/>
      <c r="H1146" s="41">
        <f>SUM(Tabla132112413[[#This Row],[PRIMER TRIMESTRE]:[CUARTO TRIMESTRE]])</f>
        <v>0</v>
      </c>
      <c r="I1146" s="17">
        <v>1450</v>
      </c>
      <c r="J1146" s="17">
        <f>+Tabla132112413[[#This Row],[CANTIDAD TOTAL]]*Tabla132112413[[#This Row],[PRECIO UNITARIO ESTIMADO]]</f>
        <v>0</v>
      </c>
      <c r="K1146" s="17"/>
      <c r="L1146" s="16" t="s">
        <v>18</v>
      </c>
      <c r="M1146" s="16" t="s">
        <v>22</v>
      </c>
      <c r="N1146" s="39" t="s">
        <v>418</v>
      </c>
    </row>
    <row r="1147" spans="1:14" s="12" customFormat="1" ht="18">
      <c r="A1147" s="178" t="s">
        <v>120</v>
      </c>
      <c r="B1147" s="75" t="s">
        <v>269</v>
      </c>
      <c r="C1147" s="39" t="s">
        <v>266</v>
      </c>
      <c r="D1147" s="236">
        <v>8</v>
      </c>
      <c r="E1147" s="236"/>
      <c r="F1147" s="236"/>
      <c r="G1147" s="236"/>
      <c r="H1147" s="41">
        <f>SUM(Tabla132112413[[#This Row],[PRIMER TRIMESTRE]:[CUARTO TRIMESTRE]])</f>
        <v>8</v>
      </c>
      <c r="I1147" s="17">
        <v>2552</v>
      </c>
      <c r="J1147" s="17">
        <f>+Tabla132112413[[#This Row],[CANTIDAD TOTAL]]*Tabla132112413[[#This Row],[PRECIO UNITARIO ESTIMADO]]</f>
        <v>20416</v>
      </c>
      <c r="K1147" s="17"/>
      <c r="L1147" s="16" t="s">
        <v>18</v>
      </c>
      <c r="M1147" s="16" t="s">
        <v>22</v>
      </c>
      <c r="N1147" s="39" t="s">
        <v>418</v>
      </c>
    </row>
    <row r="1148" spans="1:14" s="12" customFormat="1" ht="18">
      <c r="A1148" s="178" t="s">
        <v>120</v>
      </c>
      <c r="B1148" s="75" t="s">
        <v>756</v>
      </c>
      <c r="C1148" s="39" t="s">
        <v>234</v>
      </c>
      <c r="D1148" s="236">
        <v>24</v>
      </c>
      <c r="E1148" s="236"/>
      <c r="F1148" s="236"/>
      <c r="G1148" s="236"/>
      <c r="H1148" s="41">
        <f>SUM(Tabla132112413[[#This Row],[PRIMER TRIMESTRE]:[CUARTO TRIMESTRE]])</f>
        <v>24</v>
      </c>
      <c r="I1148" s="17">
        <v>24.78</v>
      </c>
      <c r="J1148" s="17">
        <f t="shared" ref="J1148:J1154" si="30">+H1148*I1148</f>
        <v>594.72</v>
      </c>
      <c r="K1148" s="17"/>
      <c r="L1148" s="16" t="s">
        <v>18</v>
      </c>
      <c r="M1148" s="16" t="s">
        <v>22</v>
      </c>
      <c r="N1148" s="39" t="s">
        <v>418</v>
      </c>
    </row>
    <row r="1149" spans="1:14" s="12" customFormat="1" ht="18">
      <c r="A1149" s="178" t="s">
        <v>120</v>
      </c>
      <c r="B1149" s="75" t="s">
        <v>763</v>
      </c>
      <c r="C1149" s="39" t="s">
        <v>17</v>
      </c>
      <c r="D1149" s="236">
        <v>8</v>
      </c>
      <c r="E1149" s="236"/>
      <c r="F1149" s="236"/>
      <c r="G1149" s="236"/>
      <c r="H1149" s="41">
        <f>SUM(Tabla132112413[[#This Row],[PRIMER TRIMESTRE]:[CUARTO TRIMESTRE]])</f>
        <v>8</v>
      </c>
      <c r="I1149" s="17">
        <v>186.44</v>
      </c>
      <c r="J1149" s="17">
        <f t="shared" si="30"/>
        <v>1491.52</v>
      </c>
      <c r="K1149" s="17"/>
      <c r="L1149" s="16" t="s">
        <v>18</v>
      </c>
      <c r="M1149" s="16" t="s">
        <v>22</v>
      </c>
      <c r="N1149" s="39" t="s">
        <v>418</v>
      </c>
    </row>
    <row r="1150" spans="1:14" s="12" customFormat="1" ht="18">
      <c r="A1150" s="178" t="s">
        <v>120</v>
      </c>
      <c r="B1150" s="75" t="s">
        <v>410</v>
      </c>
      <c r="C1150" s="39" t="s">
        <v>417</v>
      </c>
      <c r="D1150" s="236">
        <v>24</v>
      </c>
      <c r="E1150" s="236"/>
      <c r="F1150" s="236"/>
      <c r="G1150" s="236"/>
      <c r="H1150" s="41">
        <f>SUM(Tabla132112413[[#This Row],[PRIMER TRIMESTRE]:[CUARTO TRIMESTRE]])</f>
        <v>24</v>
      </c>
      <c r="I1150" s="17">
        <v>10</v>
      </c>
      <c r="J1150" s="17">
        <f t="shared" si="30"/>
        <v>240</v>
      </c>
      <c r="K1150" s="17"/>
      <c r="L1150" s="16" t="s">
        <v>18</v>
      </c>
      <c r="M1150" s="16" t="s">
        <v>22</v>
      </c>
      <c r="N1150" s="39" t="s">
        <v>418</v>
      </c>
    </row>
    <row r="1151" spans="1:14" s="12" customFormat="1" ht="18">
      <c r="A1151" s="178" t="s">
        <v>120</v>
      </c>
      <c r="B1151" s="75" t="s">
        <v>411</v>
      </c>
      <c r="C1151" s="39" t="s">
        <v>417</v>
      </c>
      <c r="D1151" s="236">
        <v>24</v>
      </c>
      <c r="E1151" s="236"/>
      <c r="F1151" s="236"/>
      <c r="G1151" s="236"/>
      <c r="H1151" s="41">
        <f>SUM(Tabla132112413[[#This Row],[PRIMER TRIMESTRE]:[CUARTO TRIMESTRE]])</f>
        <v>24</v>
      </c>
      <c r="I1151" s="17">
        <v>14.37</v>
      </c>
      <c r="J1151" s="17">
        <f t="shared" si="30"/>
        <v>344.88</v>
      </c>
      <c r="K1151" s="17"/>
      <c r="L1151" s="16" t="s">
        <v>18</v>
      </c>
      <c r="M1151" s="16" t="s">
        <v>22</v>
      </c>
      <c r="N1151" s="39" t="s">
        <v>418</v>
      </c>
    </row>
    <row r="1152" spans="1:14" s="12" customFormat="1" ht="18">
      <c r="A1152" s="178" t="s">
        <v>120</v>
      </c>
      <c r="B1152" s="75" t="s">
        <v>412</v>
      </c>
      <c r="C1152" s="39" t="s">
        <v>417</v>
      </c>
      <c r="D1152" s="236">
        <v>24</v>
      </c>
      <c r="E1152" s="236"/>
      <c r="F1152" s="236"/>
      <c r="G1152" s="236"/>
      <c r="H1152" s="41">
        <f>SUM(Tabla132112413[[#This Row],[PRIMER TRIMESTRE]:[CUARTO TRIMESTRE]])</f>
        <v>24</v>
      </c>
      <c r="I1152" s="17">
        <v>24.79</v>
      </c>
      <c r="J1152" s="17">
        <f t="shared" si="30"/>
        <v>594.96</v>
      </c>
      <c r="K1152" s="17"/>
      <c r="L1152" s="16" t="s">
        <v>18</v>
      </c>
      <c r="M1152" s="16" t="s">
        <v>22</v>
      </c>
      <c r="N1152" s="39" t="s">
        <v>418</v>
      </c>
    </row>
    <row r="1153" spans="1:14" s="12" customFormat="1" ht="18">
      <c r="A1153" s="178" t="s">
        <v>120</v>
      </c>
      <c r="B1153" s="75" t="s">
        <v>413</v>
      </c>
      <c r="C1153" s="39" t="s">
        <v>208</v>
      </c>
      <c r="D1153" s="236">
        <v>5</v>
      </c>
      <c r="E1153" s="236"/>
      <c r="F1153" s="236"/>
      <c r="G1153" s="236"/>
      <c r="H1153" s="41">
        <f>SUM(Tabla132112413[[#This Row],[PRIMER TRIMESTRE]:[CUARTO TRIMESTRE]])</f>
        <v>5</v>
      </c>
      <c r="I1153" s="17">
        <v>371.09</v>
      </c>
      <c r="J1153" s="17">
        <f t="shared" si="30"/>
        <v>1855.4499999999998</v>
      </c>
      <c r="K1153" s="17"/>
      <c r="L1153" s="16" t="s">
        <v>18</v>
      </c>
      <c r="M1153" s="16" t="s">
        <v>22</v>
      </c>
      <c r="N1153" s="39" t="s">
        <v>418</v>
      </c>
    </row>
    <row r="1154" spans="1:14" s="12" customFormat="1" ht="18">
      <c r="A1154" s="178" t="s">
        <v>120</v>
      </c>
      <c r="B1154" s="75" t="s">
        <v>762</v>
      </c>
      <c r="C1154" s="39" t="s">
        <v>208</v>
      </c>
      <c r="D1154" s="236">
        <v>5</v>
      </c>
      <c r="E1154" s="236"/>
      <c r="F1154" s="236"/>
      <c r="G1154" s="236"/>
      <c r="H1154" s="41">
        <f>SUM(Tabla132112413[[#This Row],[PRIMER TRIMESTRE]:[CUARTO TRIMESTRE]])</f>
        <v>5</v>
      </c>
      <c r="I1154" s="17">
        <v>433.06</v>
      </c>
      <c r="J1154" s="17">
        <f t="shared" si="30"/>
        <v>2165.3000000000002</v>
      </c>
      <c r="K1154" s="17"/>
      <c r="L1154" s="16" t="s">
        <v>18</v>
      </c>
      <c r="M1154" s="16" t="s">
        <v>22</v>
      </c>
      <c r="N1154" s="39" t="s">
        <v>418</v>
      </c>
    </row>
    <row r="1155" spans="1:14" s="12" customFormat="1" ht="18">
      <c r="A1155" s="178" t="s">
        <v>120</v>
      </c>
      <c r="B1155" s="75" t="s">
        <v>270</v>
      </c>
      <c r="C1155" s="39" t="s">
        <v>17</v>
      </c>
      <c r="D1155" s="236">
        <v>8</v>
      </c>
      <c r="E1155" s="236"/>
      <c r="F1155" s="236"/>
      <c r="G1155" s="236"/>
      <c r="H1155" s="41">
        <f>SUM(Tabla132112413[[#This Row],[PRIMER TRIMESTRE]:[CUARTO TRIMESTRE]])</f>
        <v>8</v>
      </c>
      <c r="I1155" s="17">
        <v>9.2799999999999994</v>
      </c>
      <c r="J1155" s="17">
        <f>+Tabla132112413[[#This Row],[CANTIDAD TOTAL]]*Tabla132112413[[#This Row],[PRECIO UNITARIO ESTIMADO]]</f>
        <v>74.239999999999995</v>
      </c>
      <c r="K1155" s="17"/>
      <c r="L1155" s="16" t="s">
        <v>18</v>
      </c>
      <c r="M1155" s="16" t="s">
        <v>22</v>
      </c>
      <c r="N1155" s="39" t="s">
        <v>418</v>
      </c>
    </row>
    <row r="1156" spans="1:14" s="12" customFormat="1" ht="18">
      <c r="A1156" s="178" t="s">
        <v>120</v>
      </c>
      <c r="B1156" s="75" t="s">
        <v>405</v>
      </c>
      <c r="C1156" s="39" t="s">
        <v>17</v>
      </c>
      <c r="D1156" s="236">
        <v>12</v>
      </c>
      <c r="E1156" s="236"/>
      <c r="F1156" s="236"/>
      <c r="G1156" s="236"/>
      <c r="H1156" s="41">
        <f>SUM(Tabla132112413[[#This Row],[PRIMER TRIMESTRE]:[CUARTO TRIMESTRE]])</f>
        <v>12</v>
      </c>
      <c r="I1156" s="17">
        <v>11.21</v>
      </c>
      <c r="J1156" s="17">
        <f>+H1156*I1156</f>
        <v>134.52000000000001</v>
      </c>
      <c r="K1156" s="17"/>
      <c r="L1156" s="16" t="s">
        <v>18</v>
      </c>
      <c r="M1156" s="16" t="s">
        <v>22</v>
      </c>
      <c r="N1156" s="39" t="s">
        <v>418</v>
      </c>
    </row>
    <row r="1157" spans="1:14" s="12" customFormat="1" ht="18">
      <c r="A1157" s="178" t="s">
        <v>120</v>
      </c>
      <c r="B1157" s="75" t="s">
        <v>406</v>
      </c>
      <c r="C1157" s="39" t="s">
        <v>17</v>
      </c>
      <c r="D1157" s="236">
        <v>12</v>
      </c>
      <c r="E1157" s="236"/>
      <c r="F1157" s="236"/>
      <c r="G1157" s="236"/>
      <c r="H1157" s="41">
        <f>SUM(Tabla132112413[[#This Row],[PRIMER TRIMESTRE]:[CUARTO TRIMESTRE]])</f>
        <v>12</v>
      </c>
      <c r="I1157" s="17">
        <v>10.56</v>
      </c>
      <c r="J1157" s="17">
        <f>+H1157*I1157</f>
        <v>126.72</v>
      </c>
      <c r="K1157" s="17"/>
      <c r="L1157" s="16" t="s">
        <v>18</v>
      </c>
      <c r="M1157" s="16" t="s">
        <v>22</v>
      </c>
      <c r="N1157" s="39" t="s">
        <v>418</v>
      </c>
    </row>
    <row r="1158" spans="1:14" s="12" customFormat="1" ht="18">
      <c r="A1158" s="178" t="s">
        <v>120</v>
      </c>
      <c r="B1158" s="75" t="s">
        <v>407</v>
      </c>
      <c r="C1158" s="39" t="s">
        <v>17</v>
      </c>
      <c r="D1158" s="236">
        <v>12</v>
      </c>
      <c r="E1158" s="236"/>
      <c r="F1158" s="236"/>
      <c r="G1158" s="236"/>
      <c r="H1158" s="41">
        <f>SUM(Tabla132112413[[#This Row],[PRIMER TRIMESTRE]:[CUARTO TRIMESTRE]])</f>
        <v>12</v>
      </c>
      <c r="I1158" s="17">
        <v>11.21</v>
      </c>
      <c r="J1158" s="17">
        <f>+H1158*I1158</f>
        <v>134.52000000000001</v>
      </c>
      <c r="K1158" s="17"/>
      <c r="L1158" s="16" t="s">
        <v>18</v>
      </c>
      <c r="M1158" s="16" t="s">
        <v>22</v>
      </c>
      <c r="N1158" s="39" t="s">
        <v>418</v>
      </c>
    </row>
    <row r="1159" spans="1:14" s="12" customFormat="1" ht="18">
      <c r="A1159" s="178" t="s">
        <v>120</v>
      </c>
      <c r="B1159" s="75" t="s">
        <v>742</v>
      </c>
      <c r="C1159" s="39" t="s">
        <v>17</v>
      </c>
      <c r="D1159" s="236">
        <v>24</v>
      </c>
      <c r="E1159" s="236"/>
      <c r="F1159" s="236"/>
      <c r="G1159" s="236"/>
      <c r="H1159" s="41">
        <f>SUM(Tabla132112413[[#This Row],[PRIMER TRIMESTRE]:[CUARTO TRIMESTRE]])</f>
        <v>24</v>
      </c>
      <c r="I1159" s="17">
        <v>53.1</v>
      </c>
      <c r="J1159" s="17">
        <f>+Tabla132112413[[#This Row],[CANTIDAD TOTAL]]*Tabla132112413[[#This Row],[PRECIO UNITARIO ESTIMADO]]</f>
        <v>1274.4000000000001</v>
      </c>
      <c r="K1159" s="17"/>
      <c r="L1159" s="16" t="s">
        <v>18</v>
      </c>
      <c r="M1159" s="16" t="s">
        <v>22</v>
      </c>
      <c r="N1159" s="39" t="s">
        <v>418</v>
      </c>
    </row>
    <row r="1160" spans="1:14" s="12" customFormat="1" ht="18">
      <c r="A1160" s="178" t="s">
        <v>120</v>
      </c>
      <c r="B1160" s="75" t="s">
        <v>271</v>
      </c>
      <c r="C1160" s="39" t="s">
        <v>17</v>
      </c>
      <c r="D1160" s="236">
        <v>10</v>
      </c>
      <c r="E1160" s="236"/>
      <c r="F1160" s="236"/>
      <c r="G1160" s="236"/>
      <c r="H1160" s="41">
        <f>SUM(Tabla132112413[[#This Row],[PRIMER TRIMESTRE]:[CUARTO TRIMESTRE]])</f>
        <v>10</v>
      </c>
      <c r="I1160" s="17">
        <v>18.399999999999999</v>
      </c>
      <c r="J1160" s="17">
        <f>+H1160*I1160</f>
        <v>184</v>
      </c>
      <c r="K1160" s="17"/>
      <c r="L1160" s="16" t="s">
        <v>18</v>
      </c>
      <c r="M1160" s="16" t="s">
        <v>22</v>
      </c>
      <c r="N1160" s="39" t="s">
        <v>418</v>
      </c>
    </row>
    <row r="1161" spans="1:14" s="12" customFormat="1" ht="18">
      <c r="A1161" s="178" t="s">
        <v>120</v>
      </c>
      <c r="B1161" s="75" t="s">
        <v>757</v>
      </c>
      <c r="C1161" s="39" t="s">
        <v>17</v>
      </c>
      <c r="D1161" s="236">
        <v>8</v>
      </c>
      <c r="E1161" s="236"/>
      <c r="F1161" s="236"/>
      <c r="G1161" s="236"/>
      <c r="H1161" s="41">
        <f>SUM(Tabla132112413[[#This Row],[PRIMER TRIMESTRE]:[CUARTO TRIMESTRE]])</f>
        <v>8</v>
      </c>
      <c r="I1161" s="17">
        <v>12.92</v>
      </c>
      <c r="J1161" s="17">
        <f>+H1161*I1161</f>
        <v>103.36</v>
      </c>
      <c r="K1161" s="17"/>
      <c r="L1161" s="16" t="s">
        <v>18</v>
      </c>
      <c r="M1161" s="16" t="s">
        <v>22</v>
      </c>
      <c r="N1161" s="39" t="s">
        <v>418</v>
      </c>
    </row>
    <row r="1162" spans="1:14" s="12" customFormat="1" ht="18">
      <c r="A1162" s="178" t="s">
        <v>120</v>
      </c>
      <c r="B1162" s="75" t="s">
        <v>325</v>
      </c>
      <c r="C1162" s="39" t="s">
        <v>17</v>
      </c>
      <c r="D1162" s="236">
        <v>24</v>
      </c>
      <c r="E1162" s="236"/>
      <c r="F1162" s="236"/>
      <c r="G1162" s="236"/>
      <c r="H1162" s="41">
        <f>SUM(Tabla132112413[[#This Row],[PRIMER TRIMESTRE]:[CUARTO TRIMESTRE]])</f>
        <v>24</v>
      </c>
      <c r="I1162" s="17">
        <f>337351.26/1251</f>
        <v>269.66527577937649</v>
      </c>
      <c r="J1162" s="17">
        <f>+Tabla132112413[[#This Row],[CANTIDAD TOTAL]]*Tabla132112413[[#This Row],[PRECIO UNITARIO ESTIMADO]]</f>
        <v>6471.9666187050352</v>
      </c>
      <c r="K1162" s="17"/>
      <c r="L1162" s="16" t="s">
        <v>18</v>
      </c>
      <c r="M1162" s="16" t="s">
        <v>22</v>
      </c>
      <c r="N1162" s="39" t="s">
        <v>418</v>
      </c>
    </row>
    <row r="1163" spans="1:14" s="12" customFormat="1" ht="18">
      <c r="A1163" s="178" t="s">
        <v>120</v>
      </c>
      <c r="B1163" s="75" t="s">
        <v>784</v>
      </c>
      <c r="C1163" s="39" t="s">
        <v>17</v>
      </c>
      <c r="D1163" s="236">
        <v>30</v>
      </c>
      <c r="E1163" s="236"/>
      <c r="F1163" s="236"/>
      <c r="G1163" s="236"/>
      <c r="H1163" s="41">
        <f>SUM(Tabla132112413[[#This Row],[PRIMER TRIMESTRE]:[CUARTO TRIMESTRE]])</f>
        <v>30</v>
      </c>
      <c r="I1163" s="72">
        <f>20*1.18</f>
        <v>23.599999999999998</v>
      </c>
      <c r="J1163" s="17">
        <f>+H1163*I1163</f>
        <v>707.99999999999989</v>
      </c>
      <c r="K1163" s="17"/>
      <c r="L1163" s="16" t="s">
        <v>18</v>
      </c>
      <c r="M1163" s="16" t="s">
        <v>22</v>
      </c>
      <c r="N1163" s="39" t="s">
        <v>418</v>
      </c>
    </row>
    <row r="1164" spans="1:14" s="12" customFormat="1" ht="18">
      <c r="A1164" s="178" t="s">
        <v>120</v>
      </c>
      <c r="B1164" s="75" t="s">
        <v>785</v>
      </c>
      <c r="C1164" s="39" t="s">
        <v>17</v>
      </c>
      <c r="D1164" s="236">
        <v>30</v>
      </c>
      <c r="E1164" s="236"/>
      <c r="F1164" s="236"/>
      <c r="G1164" s="236"/>
      <c r="H1164" s="41">
        <f>SUM(Tabla132112413[[#This Row],[PRIMER TRIMESTRE]:[CUARTO TRIMESTRE]])</f>
        <v>30</v>
      </c>
      <c r="I1164" s="72">
        <f>4*1.18</f>
        <v>4.72</v>
      </c>
      <c r="J1164" s="17">
        <f>+H1164*I1164</f>
        <v>141.6</v>
      </c>
      <c r="K1164" s="17"/>
      <c r="L1164" s="16" t="s">
        <v>18</v>
      </c>
      <c r="M1164" s="16" t="s">
        <v>22</v>
      </c>
      <c r="N1164" s="39" t="s">
        <v>418</v>
      </c>
    </row>
    <row r="1165" spans="1:14" s="12" customFormat="1" ht="18">
      <c r="A1165" s="178" t="s">
        <v>120</v>
      </c>
      <c r="B1165" s="75" t="s">
        <v>272</v>
      </c>
      <c r="C1165" s="39" t="s">
        <v>17</v>
      </c>
      <c r="D1165" s="236"/>
      <c r="E1165" s="236"/>
      <c r="F1165" s="236"/>
      <c r="G1165" s="236"/>
      <c r="H1165" s="41">
        <f>SUM(Tabla132112413[[#This Row],[PRIMER TRIMESTRE]:[CUARTO TRIMESTRE]])</f>
        <v>0</v>
      </c>
      <c r="I1165" s="17">
        <v>348</v>
      </c>
      <c r="J1165" s="17">
        <f>+Tabla132112413[[#This Row],[CANTIDAD TOTAL]]*Tabla132112413[[#This Row],[PRECIO UNITARIO ESTIMADO]]</f>
        <v>0</v>
      </c>
      <c r="K1165" s="17"/>
      <c r="L1165" s="16" t="s">
        <v>18</v>
      </c>
      <c r="M1165" s="16" t="s">
        <v>22</v>
      </c>
      <c r="N1165" s="39" t="s">
        <v>418</v>
      </c>
    </row>
    <row r="1166" spans="1:14" s="12" customFormat="1" ht="18">
      <c r="A1166" s="178" t="s">
        <v>120</v>
      </c>
      <c r="B1166" s="75" t="s">
        <v>758</v>
      </c>
      <c r="C1166" s="39" t="s">
        <v>17</v>
      </c>
      <c r="D1166" s="236">
        <v>2</v>
      </c>
      <c r="E1166" s="236"/>
      <c r="F1166" s="236"/>
      <c r="G1166" s="236"/>
      <c r="H1166" s="41">
        <f>SUM(Tabla132112413[[#This Row],[PRIMER TRIMESTRE]:[CUARTO TRIMESTRE]])</f>
        <v>2</v>
      </c>
      <c r="I1166" s="17">
        <v>61.95</v>
      </c>
      <c r="J1166" s="17">
        <f t="shared" ref="J1166:J1229" si="31">+H1166*I1166</f>
        <v>123.9</v>
      </c>
      <c r="K1166" s="17"/>
      <c r="L1166" s="16" t="s">
        <v>18</v>
      </c>
      <c r="M1166" s="16" t="s">
        <v>22</v>
      </c>
      <c r="N1166" s="39" t="s">
        <v>418</v>
      </c>
    </row>
    <row r="1167" spans="1:14" s="12" customFormat="1" ht="18">
      <c r="A1167" s="178" t="s">
        <v>120</v>
      </c>
      <c r="B1167" s="75" t="s">
        <v>1767</v>
      </c>
      <c r="C1167" s="39" t="s">
        <v>417</v>
      </c>
      <c r="D1167" s="236"/>
      <c r="E1167" s="236"/>
      <c r="F1167" s="236"/>
      <c r="G1167" s="236"/>
      <c r="H1167" s="46">
        <v>0</v>
      </c>
      <c r="I1167" s="17">
        <v>0</v>
      </c>
      <c r="J1167" s="17">
        <v>0</v>
      </c>
      <c r="K1167" s="17"/>
      <c r="L1167" s="16" t="s">
        <v>18</v>
      </c>
      <c r="M1167" s="16" t="s">
        <v>22</v>
      </c>
      <c r="N1167" s="39" t="s">
        <v>418</v>
      </c>
    </row>
    <row r="1168" spans="1:14" s="12" customFormat="1" ht="18">
      <c r="A1168" s="178" t="s">
        <v>120</v>
      </c>
      <c r="B1168" s="184" t="s">
        <v>477</v>
      </c>
      <c r="C1168" s="39" t="s">
        <v>417</v>
      </c>
      <c r="D1168" s="236"/>
      <c r="E1168" s="236"/>
      <c r="F1168" s="236"/>
      <c r="G1168" s="236"/>
      <c r="H1168" s="41">
        <f>SUM(Tabla132112413[[#This Row],[PRIMER TRIMESTRE]:[CUARTO TRIMESTRE]])</f>
        <v>0</v>
      </c>
      <c r="I1168" s="17">
        <v>650</v>
      </c>
      <c r="J1168" s="17">
        <f t="shared" si="31"/>
        <v>0</v>
      </c>
      <c r="K1168" s="17"/>
      <c r="L1168" s="16" t="s">
        <v>18</v>
      </c>
      <c r="M1168" s="16" t="s">
        <v>22</v>
      </c>
      <c r="N1168" s="39" t="s">
        <v>418</v>
      </c>
    </row>
    <row r="1169" spans="1:14" s="12" customFormat="1" ht="18">
      <c r="A1169" s="178" t="s">
        <v>120</v>
      </c>
      <c r="B1169" s="184" t="s">
        <v>478</v>
      </c>
      <c r="C1169" s="39" t="s">
        <v>417</v>
      </c>
      <c r="D1169" s="236"/>
      <c r="E1169" s="236"/>
      <c r="F1169" s="236"/>
      <c r="G1169" s="236"/>
      <c r="H1169" s="41">
        <f>SUM(Tabla132112413[[#This Row],[PRIMER TRIMESTRE]:[CUARTO TRIMESTRE]])</f>
        <v>0</v>
      </c>
      <c r="I1169" s="17">
        <v>950</v>
      </c>
      <c r="J1169" s="17">
        <f t="shared" si="31"/>
        <v>0</v>
      </c>
      <c r="K1169" s="17"/>
      <c r="L1169" s="16" t="s">
        <v>18</v>
      </c>
      <c r="M1169" s="16" t="s">
        <v>22</v>
      </c>
      <c r="N1169" s="39" t="s">
        <v>418</v>
      </c>
    </row>
    <row r="1170" spans="1:14" s="12" customFormat="1" ht="18">
      <c r="A1170" s="178" t="s">
        <v>120</v>
      </c>
      <c r="B1170" s="185" t="s">
        <v>479</v>
      </c>
      <c r="C1170" s="39" t="s">
        <v>417</v>
      </c>
      <c r="D1170" s="236"/>
      <c r="E1170" s="236"/>
      <c r="F1170" s="236"/>
      <c r="G1170" s="236"/>
      <c r="H1170" s="41">
        <f>SUM(Tabla132112413[[#This Row],[PRIMER TRIMESTRE]:[CUARTO TRIMESTRE]])</f>
        <v>0</v>
      </c>
      <c r="I1170" s="17">
        <v>650</v>
      </c>
      <c r="J1170" s="17">
        <f t="shared" si="31"/>
        <v>0</v>
      </c>
      <c r="K1170" s="17"/>
      <c r="L1170" s="16" t="s">
        <v>18</v>
      </c>
      <c r="M1170" s="16" t="s">
        <v>22</v>
      </c>
      <c r="N1170" s="39" t="s">
        <v>418</v>
      </c>
    </row>
    <row r="1171" spans="1:14" s="12" customFormat="1" ht="18">
      <c r="A1171" s="178" t="s">
        <v>120</v>
      </c>
      <c r="B1171" s="184" t="s">
        <v>480</v>
      </c>
      <c r="C1171" s="39" t="s">
        <v>417</v>
      </c>
      <c r="D1171" s="236"/>
      <c r="E1171" s="236"/>
      <c r="F1171" s="236"/>
      <c r="G1171" s="236"/>
      <c r="H1171" s="41">
        <f>SUM(Tabla132112413[[#This Row],[PRIMER TRIMESTRE]:[CUARTO TRIMESTRE]])</f>
        <v>0</v>
      </c>
      <c r="I1171" s="17">
        <v>800</v>
      </c>
      <c r="J1171" s="17">
        <f t="shared" si="31"/>
        <v>0</v>
      </c>
      <c r="K1171" s="17"/>
      <c r="L1171" s="16" t="s">
        <v>18</v>
      </c>
      <c r="M1171" s="16" t="s">
        <v>22</v>
      </c>
      <c r="N1171" s="39" t="s">
        <v>418</v>
      </c>
    </row>
    <row r="1172" spans="1:14" s="12" customFormat="1" ht="18">
      <c r="A1172" s="178" t="s">
        <v>120</v>
      </c>
      <c r="B1172" s="184" t="s">
        <v>481</v>
      </c>
      <c r="C1172" s="39" t="s">
        <v>417</v>
      </c>
      <c r="D1172" s="236"/>
      <c r="E1172" s="236"/>
      <c r="F1172" s="236"/>
      <c r="G1172" s="236"/>
      <c r="H1172" s="41">
        <f>SUM(Tabla132112413[[#This Row],[PRIMER TRIMESTRE]:[CUARTO TRIMESTRE]])</f>
        <v>0</v>
      </c>
      <c r="I1172" s="17">
        <v>1190</v>
      </c>
      <c r="J1172" s="17">
        <f t="shared" si="31"/>
        <v>0</v>
      </c>
      <c r="K1172" s="17"/>
      <c r="L1172" s="16" t="s">
        <v>18</v>
      </c>
      <c r="M1172" s="16" t="s">
        <v>22</v>
      </c>
      <c r="N1172" s="39" t="s">
        <v>418</v>
      </c>
    </row>
    <row r="1173" spans="1:14" s="12" customFormat="1" ht="18">
      <c r="A1173" s="178" t="s">
        <v>120</v>
      </c>
      <c r="B1173" s="184" t="s">
        <v>482</v>
      </c>
      <c r="C1173" s="39" t="s">
        <v>417</v>
      </c>
      <c r="D1173" s="236"/>
      <c r="E1173" s="236"/>
      <c r="F1173" s="236"/>
      <c r="G1173" s="236"/>
      <c r="H1173" s="41">
        <f>SUM(Tabla132112413[[#This Row],[PRIMER TRIMESTRE]:[CUARTO TRIMESTRE]])</f>
        <v>0</v>
      </c>
      <c r="I1173" s="17">
        <v>1050</v>
      </c>
      <c r="J1173" s="17">
        <f t="shared" si="31"/>
        <v>0</v>
      </c>
      <c r="K1173" s="17"/>
      <c r="L1173" s="16" t="s">
        <v>18</v>
      </c>
      <c r="M1173" s="16" t="s">
        <v>22</v>
      </c>
      <c r="N1173" s="39" t="s">
        <v>418</v>
      </c>
    </row>
    <row r="1174" spans="1:14" s="12" customFormat="1" ht="18">
      <c r="A1174" s="178" t="s">
        <v>120</v>
      </c>
      <c r="B1174" s="184" t="s">
        <v>483</v>
      </c>
      <c r="C1174" s="39" t="s">
        <v>417</v>
      </c>
      <c r="D1174" s="236"/>
      <c r="E1174" s="236"/>
      <c r="F1174" s="236"/>
      <c r="G1174" s="236"/>
      <c r="H1174" s="41">
        <f>SUM(Tabla132112413[[#This Row],[PRIMER TRIMESTRE]:[CUARTO TRIMESTRE]])</f>
        <v>0</v>
      </c>
      <c r="I1174" s="17">
        <v>990</v>
      </c>
      <c r="J1174" s="17">
        <f t="shared" si="31"/>
        <v>0</v>
      </c>
      <c r="K1174" s="17"/>
      <c r="L1174" s="16" t="s">
        <v>18</v>
      </c>
      <c r="M1174" s="16" t="s">
        <v>22</v>
      </c>
      <c r="N1174" s="39" t="s">
        <v>418</v>
      </c>
    </row>
    <row r="1175" spans="1:14" s="12" customFormat="1" ht="18">
      <c r="A1175" s="178" t="s">
        <v>120</v>
      </c>
      <c r="B1175" s="184" t="s">
        <v>484</v>
      </c>
      <c r="C1175" s="39" t="s">
        <v>417</v>
      </c>
      <c r="D1175" s="236"/>
      <c r="E1175" s="236"/>
      <c r="F1175" s="236"/>
      <c r="G1175" s="236"/>
      <c r="H1175" s="41">
        <f>SUM(Tabla132112413[[#This Row],[PRIMER TRIMESTRE]:[CUARTO TRIMESTRE]])</f>
        <v>0</v>
      </c>
      <c r="I1175" s="17">
        <v>450</v>
      </c>
      <c r="J1175" s="17">
        <f t="shared" si="31"/>
        <v>0</v>
      </c>
      <c r="K1175" s="17"/>
      <c r="L1175" s="16" t="s">
        <v>18</v>
      </c>
      <c r="M1175" s="16" t="s">
        <v>22</v>
      </c>
      <c r="N1175" s="39" t="s">
        <v>418</v>
      </c>
    </row>
    <row r="1176" spans="1:14" s="12" customFormat="1" ht="18">
      <c r="A1176" s="178" t="s">
        <v>120</v>
      </c>
      <c r="B1176" s="184" t="s">
        <v>485</v>
      </c>
      <c r="C1176" s="39" t="s">
        <v>417</v>
      </c>
      <c r="D1176" s="236"/>
      <c r="E1176" s="236"/>
      <c r="F1176" s="236"/>
      <c r="G1176" s="236"/>
      <c r="H1176" s="41">
        <f>SUM(Tabla132112413[[#This Row],[PRIMER TRIMESTRE]:[CUARTO TRIMESTRE]])</f>
        <v>0</v>
      </c>
      <c r="I1176" s="17">
        <v>550</v>
      </c>
      <c r="J1176" s="17">
        <f t="shared" si="31"/>
        <v>0</v>
      </c>
      <c r="K1176" s="17"/>
      <c r="L1176" s="16" t="s">
        <v>18</v>
      </c>
      <c r="M1176" s="16" t="s">
        <v>22</v>
      </c>
      <c r="N1176" s="39" t="s">
        <v>418</v>
      </c>
    </row>
    <row r="1177" spans="1:14" s="12" customFormat="1" ht="18">
      <c r="A1177" s="178" t="s">
        <v>120</v>
      </c>
      <c r="B1177" s="184" t="s">
        <v>486</v>
      </c>
      <c r="C1177" s="39" t="s">
        <v>417</v>
      </c>
      <c r="D1177" s="236"/>
      <c r="E1177" s="236"/>
      <c r="F1177" s="236"/>
      <c r="G1177" s="236"/>
      <c r="H1177" s="41">
        <f>SUM(Tabla132112413[[#This Row],[PRIMER TRIMESTRE]:[CUARTO TRIMESTRE]])</f>
        <v>0</v>
      </c>
      <c r="I1177" s="17">
        <v>1000</v>
      </c>
      <c r="J1177" s="17">
        <f t="shared" si="31"/>
        <v>0</v>
      </c>
      <c r="K1177" s="17"/>
      <c r="L1177" s="16" t="s">
        <v>18</v>
      </c>
      <c r="M1177" s="16" t="s">
        <v>22</v>
      </c>
      <c r="N1177" s="39" t="s">
        <v>418</v>
      </c>
    </row>
    <row r="1178" spans="1:14" s="12" customFormat="1" ht="18">
      <c r="A1178" s="178" t="s">
        <v>120</v>
      </c>
      <c r="B1178" s="184" t="s">
        <v>487</v>
      </c>
      <c r="C1178" s="39" t="s">
        <v>417</v>
      </c>
      <c r="D1178" s="236"/>
      <c r="E1178" s="236"/>
      <c r="F1178" s="236"/>
      <c r="G1178" s="236"/>
      <c r="H1178" s="41">
        <f>SUM(Tabla132112413[[#This Row],[PRIMER TRIMESTRE]:[CUARTO TRIMESTRE]])</f>
        <v>0</v>
      </c>
      <c r="I1178" s="17">
        <v>850</v>
      </c>
      <c r="J1178" s="17">
        <f t="shared" si="31"/>
        <v>0</v>
      </c>
      <c r="K1178" s="17"/>
      <c r="L1178" s="16" t="s">
        <v>18</v>
      </c>
      <c r="M1178" s="16" t="s">
        <v>22</v>
      </c>
      <c r="N1178" s="39" t="s">
        <v>418</v>
      </c>
    </row>
    <row r="1179" spans="1:14" s="12" customFormat="1" ht="18">
      <c r="A1179" s="178" t="s">
        <v>120</v>
      </c>
      <c r="B1179" s="184" t="s">
        <v>488</v>
      </c>
      <c r="C1179" s="39" t="s">
        <v>417</v>
      </c>
      <c r="D1179" s="236"/>
      <c r="E1179" s="236"/>
      <c r="F1179" s="236"/>
      <c r="G1179" s="236"/>
      <c r="H1179" s="41">
        <f>SUM(Tabla132112413[[#This Row],[PRIMER TRIMESTRE]:[CUARTO TRIMESTRE]])</f>
        <v>0</v>
      </c>
      <c r="I1179" s="17">
        <v>850</v>
      </c>
      <c r="J1179" s="17">
        <f t="shared" si="31"/>
        <v>0</v>
      </c>
      <c r="K1179" s="17"/>
      <c r="L1179" s="16" t="s">
        <v>18</v>
      </c>
      <c r="M1179" s="16" t="s">
        <v>22</v>
      </c>
      <c r="N1179" s="39" t="s">
        <v>418</v>
      </c>
    </row>
    <row r="1180" spans="1:14" s="12" customFormat="1" ht="18">
      <c r="A1180" s="178" t="s">
        <v>120</v>
      </c>
      <c r="B1180" s="184" t="s">
        <v>489</v>
      </c>
      <c r="C1180" s="39" t="s">
        <v>417</v>
      </c>
      <c r="D1180" s="236"/>
      <c r="E1180" s="236"/>
      <c r="F1180" s="236"/>
      <c r="G1180" s="236"/>
      <c r="H1180" s="41">
        <f>SUM(Tabla132112413[[#This Row],[PRIMER TRIMESTRE]:[CUARTO TRIMESTRE]])</f>
        <v>0</v>
      </c>
      <c r="I1180" s="17">
        <v>650</v>
      </c>
      <c r="J1180" s="17">
        <f t="shared" si="31"/>
        <v>0</v>
      </c>
      <c r="K1180" s="17"/>
      <c r="L1180" s="16" t="s">
        <v>18</v>
      </c>
      <c r="M1180" s="16" t="s">
        <v>22</v>
      </c>
      <c r="N1180" s="39" t="s">
        <v>418</v>
      </c>
    </row>
    <row r="1181" spans="1:14" s="12" customFormat="1" ht="18">
      <c r="A1181" s="178" t="s">
        <v>120</v>
      </c>
      <c r="B1181" s="184" t="s">
        <v>490</v>
      </c>
      <c r="C1181" s="39" t="s">
        <v>417</v>
      </c>
      <c r="D1181" s="236"/>
      <c r="E1181" s="236"/>
      <c r="F1181" s="236"/>
      <c r="G1181" s="236"/>
      <c r="H1181" s="41">
        <f>SUM(Tabla132112413[[#This Row],[PRIMER TRIMESTRE]:[CUARTO TRIMESTRE]])</f>
        <v>0</v>
      </c>
      <c r="I1181" s="17">
        <v>1100</v>
      </c>
      <c r="J1181" s="17">
        <f t="shared" si="31"/>
        <v>0</v>
      </c>
      <c r="K1181" s="17"/>
      <c r="L1181" s="16" t="s">
        <v>18</v>
      </c>
      <c r="M1181" s="16" t="s">
        <v>22</v>
      </c>
      <c r="N1181" s="39" t="s">
        <v>418</v>
      </c>
    </row>
    <row r="1182" spans="1:14" s="12" customFormat="1" ht="18">
      <c r="A1182" s="178" t="s">
        <v>120</v>
      </c>
      <c r="B1182" s="184" t="s">
        <v>491</v>
      </c>
      <c r="C1182" s="39" t="s">
        <v>417</v>
      </c>
      <c r="D1182" s="236"/>
      <c r="E1182" s="236"/>
      <c r="F1182" s="236"/>
      <c r="G1182" s="236"/>
      <c r="H1182" s="41">
        <f>SUM(Tabla132112413[[#This Row],[PRIMER TRIMESTRE]:[CUARTO TRIMESTRE]])</f>
        <v>0</v>
      </c>
      <c r="I1182" s="17">
        <v>1100</v>
      </c>
      <c r="J1182" s="17">
        <f t="shared" si="31"/>
        <v>0</v>
      </c>
      <c r="K1182" s="17"/>
      <c r="L1182" s="16" t="s">
        <v>18</v>
      </c>
      <c r="M1182" s="16" t="s">
        <v>22</v>
      </c>
      <c r="N1182" s="39" t="s">
        <v>418</v>
      </c>
    </row>
    <row r="1183" spans="1:14" s="12" customFormat="1" ht="18">
      <c r="A1183" s="178" t="s">
        <v>120</v>
      </c>
      <c r="B1183" s="184" t="s">
        <v>492</v>
      </c>
      <c r="C1183" s="39" t="s">
        <v>417</v>
      </c>
      <c r="D1183" s="236"/>
      <c r="E1183" s="236"/>
      <c r="F1183" s="236"/>
      <c r="G1183" s="236"/>
      <c r="H1183" s="41">
        <f>SUM(Tabla132112413[[#This Row],[PRIMER TRIMESTRE]:[CUARTO TRIMESTRE]])</f>
        <v>0</v>
      </c>
      <c r="I1183" s="17">
        <v>1500</v>
      </c>
      <c r="J1183" s="17">
        <f t="shared" si="31"/>
        <v>0</v>
      </c>
      <c r="K1183" s="17"/>
      <c r="L1183" s="16" t="s">
        <v>18</v>
      </c>
      <c r="M1183" s="16" t="s">
        <v>22</v>
      </c>
      <c r="N1183" s="39" t="s">
        <v>418</v>
      </c>
    </row>
    <row r="1184" spans="1:14" s="12" customFormat="1" ht="18">
      <c r="A1184" s="178" t="s">
        <v>120</v>
      </c>
      <c r="B1184" s="184" t="s">
        <v>493</v>
      </c>
      <c r="C1184" s="39" t="s">
        <v>417</v>
      </c>
      <c r="D1184" s="236"/>
      <c r="E1184" s="236"/>
      <c r="F1184" s="236"/>
      <c r="G1184" s="236"/>
      <c r="H1184" s="41">
        <f>SUM(Tabla132112413[[#This Row],[PRIMER TRIMESTRE]:[CUARTO TRIMESTRE]])</f>
        <v>0</v>
      </c>
      <c r="I1184" s="17">
        <v>1650</v>
      </c>
      <c r="J1184" s="17">
        <f t="shared" si="31"/>
        <v>0</v>
      </c>
      <c r="K1184" s="17"/>
      <c r="L1184" s="16" t="s">
        <v>18</v>
      </c>
      <c r="M1184" s="16" t="s">
        <v>22</v>
      </c>
      <c r="N1184" s="39" t="s">
        <v>418</v>
      </c>
    </row>
    <row r="1185" spans="1:14" s="12" customFormat="1" ht="18">
      <c r="A1185" s="178" t="s">
        <v>120</v>
      </c>
      <c r="B1185" s="184" t="s">
        <v>494</v>
      </c>
      <c r="C1185" s="39" t="s">
        <v>417</v>
      </c>
      <c r="D1185" s="236"/>
      <c r="E1185" s="236"/>
      <c r="F1185" s="236"/>
      <c r="G1185" s="236"/>
      <c r="H1185" s="41">
        <f>SUM(Tabla132112413[[#This Row],[PRIMER TRIMESTRE]:[CUARTO TRIMESTRE]])</f>
        <v>0</v>
      </c>
      <c r="I1185" s="17">
        <v>1250</v>
      </c>
      <c r="J1185" s="17">
        <f t="shared" si="31"/>
        <v>0</v>
      </c>
      <c r="K1185" s="17"/>
      <c r="L1185" s="16" t="s">
        <v>18</v>
      </c>
      <c r="M1185" s="16" t="s">
        <v>22</v>
      </c>
      <c r="N1185" s="39" t="s">
        <v>418</v>
      </c>
    </row>
    <row r="1186" spans="1:14" s="12" customFormat="1" ht="18">
      <c r="A1186" s="178" t="s">
        <v>120</v>
      </c>
      <c r="B1186" s="185" t="s">
        <v>495</v>
      </c>
      <c r="C1186" s="39" t="s">
        <v>417</v>
      </c>
      <c r="D1186" s="236"/>
      <c r="E1186" s="236"/>
      <c r="F1186" s="236"/>
      <c r="G1186" s="236"/>
      <c r="H1186" s="41">
        <f>SUM(Tabla132112413[[#This Row],[PRIMER TRIMESTRE]:[CUARTO TRIMESTRE]])</f>
        <v>0</v>
      </c>
      <c r="I1186" s="17">
        <v>1672</v>
      </c>
      <c r="J1186" s="17">
        <f t="shared" si="31"/>
        <v>0</v>
      </c>
      <c r="K1186" s="17"/>
      <c r="L1186" s="16" t="s">
        <v>18</v>
      </c>
      <c r="M1186" s="16" t="s">
        <v>22</v>
      </c>
      <c r="N1186" s="39" t="s">
        <v>418</v>
      </c>
    </row>
    <row r="1187" spans="1:14" s="12" customFormat="1" ht="25.5">
      <c r="A1187" s="178" t="s">
        <v>120</v>
      </c>
      <c r="B1187" s="185" t="s">
        <v>533</v>
      </c>
      <c r="C1187" s="39" t="s">
        <v>417</v>
      </c>
      <c r="D1187" s="236"/>
      <c r="E1187" s="236"/>
      <c r="F1187" s="236"/>
      <c r="G1187" s="236"/>
      <c r="H1187" s="41">
        <f>SUM(Tabla132112413[[#This Row],[PRIMER TRIMESTRE]:[CUARTO TRIMESTRE]])</f>
        <v>0</v>
      </c>
      <c r="I1187" s="17">
        <v>720</v>
      </c>
      <c r="J1187" s="17">
        <f t="shared" si="31"/>
        <v>0</v>
      </c>
      <c r="K1187" s="17"/>
      <c r="L1187" s="16" t="s">
        <v>18</v>
      </c>
      <c r="M1187" s="16" t="s">
        <v>22</v>
      </c>
      <c r="N1187" s="39" t="s">
        <v>418</v>
      </c>
    </row>
    <row r="1188" spans="1:14" s="12" customFormat="1" ht="25.5">
      <c r="A1188" s="178" t="s">
        <v>120</v>
      </c>
      <c r="B1188" s="185" t="s">
        <v>534</v>
      </c>
      <c r="C1188" s="39" t="s">
        <v>417</v>
      </c>
      <c r="D1188" s="236"/>
      <c r="E1188" s="236"/>
      <c r="F1188" s="236"/>
      <c r="G1188" s="236"/>
      <c r="H1188" s="41">
        <f>SUM(Tabla132112413[[#This Row],[PRIMER TRIMESTRE]:[CUARTO TRIMESTRE]])</f>
        <v>0</v>
      </c>
      <c r="I1188" s="17">
        <v>1280</v>
      </c>
      <c r="J1188" s="17">
        <f t="shared" si="31"/>
        <v>0</v>
      </c>
      <c r="K1188" s="17"/>
      <c r="L1188" s="16" t="s">
        <v>18</v>
      </c>
      <c r="M1188" s="16" t="s">
        <v>22</v>
      </c>
      <c r="N1188" s="39" t="s">
        <v>418</v>
      </c>
    </row>
    <row r="1189" spans="1:14" s="12" customFormat="1" ht="18">
      <c r="A1189" s="178" t="s">
        <v>120</v>
      </c>
      <c r="B1189" s="185" t="s">
        <v>1443</v>
      </c>
      <c r="C1189" s="39" t="s">
        <v>417</v>
      </c>
      <c r="D1189" s="236"/>
      <c r="E1189" s="236"/>
      <c r="F1189" s="236"/>
      <c r="G1189" s="236"/>
      <c r="H1189" s="41">
        <f>SUM(Tabla132112413[[#This Row],[PRIMER TRIMESTRE]:[CUARTO TRIMESTRE]])</f>
        <v>0</v>
      </c>
      <c r="I1189" s="17">
        <v>4159.5</v>
      </c>
      <c r="J1189" s="17">
        <f t="shared" si="31"/>
        <v>0</v>
      </c>
      <c r="K1189" s="17"/>
      <c r="L1189" s="16" t="s">
        <v>15</v>
      </c>
      <c r="M1189" s="16" t="s">
        <v>22</v>
      </c>
      <c r="N1189" s="39" t="s">
        <v>418</v>
      </c>
    </row>
    <row r="1190" spans="1:14" s="12" customFormat="1" ht="18">
      <c r="A1190" s="178" t="s">
        <v>120</v>
      </c>
      <c r="B1190" s="185" t="s">
        <v>1444</v>
      </c>
      <c r="C1190" s="39" t="s">
        <v>417</v>
      </c>
      <c r="D1190" s="236"/>
      <c r="E1190" s="236"/>
      <c r="F1190" s="236"/>
      <c r="G1190" s="236"/>
      <c r="H1190" s="41">
        <f>SUM(Tabla132112413[[#This Row],[PRIMER TRIMESTRE]:[CUARTO TRIMESTRE]])</f>
        <v>0</v>
      </c>
      <c r="I1190" s="17">
        <v>4159.5</v>
      </c>
      <c r="J1190" s="17">
        <f t="shared" si="31"/>
        <v>0</v>
      </c>
      <c r="K1190" s="17"/>
      <c r="L1190" s="16" t="s">
        <v>15</v>
      </c>
      <c r="M1190" s="16" t="s">
        <v>22</v>
      </c>
      <c r="N1190" s="39" t="s">
        <v>418</v>
      </c>
    </row>
    <row r="1191" spans="1:14" s="12" customFormat="1" ht="18">
      <c r="A1191" s="178" t="s">
        <v>120</v>
      </c>
      <c r="B1191" s="185" t="s">
        <v>1445</v>
      </c>
      <c r="C1191" s="39" t="s">
        <v>417</v>
      </c>
      <c r="D1191" s="236"/>
      <c r="E1191" s="236"/>
      <c r="F1191" s="236"/>
      <c r="G1191" s="236"/>
      <c r="H1191" s="41">
        <f>SUM(Tabla132112413[[#This Row],[PRIMER TRIMESTRE]:[CUARTO TRIMESTRE]])</f>
        <v>0</v>
      </c>
      <c r="I1191" s="17">
        <v>4159.5</v>
      </c>
      <c r="J1191" s="17">
        <f t="shared" si="31"/>
        <v>0</v>
      </c>
      <c r="K1191" s="17"/>
      <c r="L1191" s="16" t="s">
        <v>15</v>
      </c>
      <c r="M1191" s="16" t="s">
        <v>22</v>
      </c>
      <c r="N1191" s="39" t="s">
        <v>418</v>
      </c>
    </row>
    <row r="1192" spans="1:14" s="12" customFormat="1" ht="18">
      <c r="A1192" s="178" t="s">
        <v>120</v>
      </c>
      <c r="B1192" s="185" t="s">
        <v>474</v>
      </c>
      <c r="C1192" s="39" t="s">
        <v>417</v>
      </c>
      <c r="D1192" s="236"/>
      <c r="E1192" s="236"/>
      <c r="F1192" s="236"/>
      <c r="G1192" s="236"/>
      <c r="H1192" s="41">
        <f>SUM(Tabla132112413[[#This Row],[PRIMER TRIMESTRE]:[CUARTO TRIMESTRE]])</f>
        <v>0</v>
      </c>
      <c r="I1192" s="17">
        <v>2900</v>
      </c>
      <c r="J1192" s="17">
        <f t="shared" si="31"/>
        <v>0</v>
      </c>
      <c r="K1192" s="17"/>
      <c r="L1192" s="16" t="s">
        <v>18</v>
      </c>
      <c r="M1192" s="16" t="s">
        <v>22</v>
      </c>
      <c r="N1192" s="39" t="s">
        <v>418</v>
      </c>
    </row>
    <row r="1193" spans="1:14" s="12" customFormat="1" ht="18">
      <c r="A1193" s="178" t="s">
        <v>120</v>
      </c>
      <c r="B1193" s="184" t="s">
        <v>475</v>
      </c>
      <c r="C1193" s="39" t="s">
        <v>417</v>
      </c>
      <c r="D1193" s="236"/>
      <c r="E1193" s="236"/>
      <c r="F1193" s="236"/>
      <c r="G1193" s="236"/>
      <c r="H1193" s="41">
        <f>SUM(Tabla132112413[[#This Row],[PRIMER TRIMESTRE]:[CUARTO TRIMESTRE]])</f>
        <v>0</v>
      </c>
      <c r="I1193" s="17">
        <v>2350</v>
      </c>
      <c r="J1193" s="17">
        <f t="shared" si="31"/>
        <v>0</v>
      </c>
      <c r="K1193" s="17"/>
      <c r="L1193" s="16" t="s">
        <v>18</v>
      </c>
      <c r="M1193" s="16" t="s">
        <v>22</v>
      </c>
      <c r="N1193" s="39" t="s">
        <v>418</v>
      </c>
    </row>
    <row r="1194" spans="1:14" s="12" customFormat="1" ht="18">
      <c r="A1194" s="178" t="s">
        <v>120</v>
      </c>
      <c r="B1194" s="184" t="s">
        <v>476</v>
      </c>
      <c r="C1194" s="39" t="s">
        <v>417</v>
      </c>
      <c r="D1194" s="236"/>
      <c r="E1194" s="236"/>
      <c r="F1194" s="236"/>
      <c r="G1194" s="236"/>
      <c r="H1194" s="41">
        <f>SUM(Tabla132112413[[#This Row],[PRIMER TRIMESTRE]:[CUARTO TRIMESTRE]])</f>
        <v>0</v>
      </c>
      <c r="I1194" s="17">
        <v>3990</v>
      </c>
      <c r="J1194" s="17">
        <f t="shared" si="31"/>
        <v>0</v>
      </c>
      <c r="K1194" s="17"/>
      <c r="L1194" s="16" t="s">
        <v>18</v>
      </c>
      <c r="M1194" s="16" t="s">
        <v>22</v>
      </c>
      <c r="N1194" s="39" t="s">
        <v>418</v>
      </c>
    </row>
    <row r="1195" spans="1:14" s="12" customFormat="1" ht="18">
      <c r="A1195" s="178" t="s">
        <v>120</v>
      </c>
      <c r="B1195" s="185" t="s">
        <v>496</v>
      </c>
      <c r="C1195" s="39" t="s">
        <v>417</v>
      </c>
      <c r="D1195" s="236"/>
      <c r="E1195" s="236"/>
      <c r="F1195" s="236"/>
      <c r="G1195" s="236"/>
      <c r="H1195" s="41">
        <f>SUM(Tabla132112413[[#This Row],[PRIMER TRIMESTRE]:[CUARTO TRIMESTRE]])</f>
        <v>0</v>
      </c>
      <c r="I1195" s="17">
        <v>4200</v>
      </c>
      <c r="J1195" s="17">
        <f t="shared" si="31"/>
        <v>0</v>
      </c>
      <c r="K1195" s="17"/>
      <c r="L1195" s="16" t="s">
        <v>18</v>
      </c>
      <c r="M1195" s="16" t="s">
        <v>22</v>
      </c>
      <c r="N1195" s="39" t="s">
        <v>418</v>
      </c>
    </row>
    <row r="1196" spans="1:14" s="12" customFormat="1" ht="18">
      <c r="A1196" s="178" t="s">
        <v>120</v>
      </c>
      <c r="B1196" s="184" t="s">
        <v>497</v>
      </c>
      <c r="C1196" s="39" t="s">
        <v>417</v>
      </c>
      <c r="D1196" s="236"/>
      <c r="E1196" s="236"/>
      <c r="F1196" s="236"/>
      <c r="G1196" s="236"/>
      <c r="H1196" s="41">
        <f>SUM(Tabla132112413[[#This Row],[PRIMER TRIMESTRE]:[CUARTO TRIMESTRE]])</f>
        <v>0</v>
      </c>
      <c r="I1196" s="17">
        <v>4200</v>
      </c>
      <c r="J1196" s="17">
        <f t="shared" si="31"/>
        <v>0</v>
      </c>
      <c r="K1196" s="17"/>
      <c r="L1196" s="16" t="s">
        <v>18</v>
      </c>
      <c r="M1196" s="16" t="s">
        <v>22</v>
      </c>
      <c r="N1196" s="39" t="s">
        <v>418</v>
      </c>
    </row>
    <row r="1197" spans="1:14" s="12" customFormat="1" ht="18">
      <c r="A1197" s="178" t="s">
        <v>120</v>
      </c>
      <c r="B1197" s="184" t="s">
        <v>498</v>
      </c>
      <c r="C1197" s="39" t="s">
        <v>417</v>
      </c>
      <c r="D1197" s="236"/>
      <c r="E1197" s="236"/>
      <c r="F1197" s="236"/>
      <c r="G1197" s="236"/>
      <c r="H1197" s="41">
        <f>SUM(Tabla132112413[[#This Row],[PRIMER TRIMESTRE]:[CUARTO TRIMESTRE]])</f>
        <v>0</v>
      </c>
      <c r="I1197" s="17">
        <v>4200</v>
      </c>
      <c r="J1197" s="17">
        <f t="shared" si="31"/>
        <v>0</v>
      </c>
      <c r="K1197" s="17"/>
      <c r="L1197" s="16" t="s">
        <v>18</v>
      </c>
      <c r="M1197" s="16" t="s">
        <v>22</v>
      </c>
      <c r="N1197" s="39" t="s">
        <v>418</v>
      </c>
    </row>
    <row r="1198" spans="1:14" s="12" customFormat="1" ht="18">
      <c r="A1198" s="178" t="s">
        <v>120</v>
      </c>
      <c r="B1198" s="184" t="s">
        <v>499</v>
      </c>
      <c r="C1198" s="39" t="s">
        <v>417</v>
      </c>
      <c r="D1198" s="236"/>
      <c r="E1198" s="236"/>
      <c r="F1198" s="236"/>
      <c r="G1198" s="236"/>
      <c r="H1198" s="41">
        <f>SUM(Tabla132112413[[#This Row],[PRIMER TRIMESTRE]:[CUARTO TRIMESTRE]])</f>
        <v>0</v>
      </c>
      <c r="I1198" s="17">
        <v>4200</v>
      </c>
      <c r="J1198" s="17">
        <f t="shared" si="31"/>
        <v>0</v>
      </c>
      <c r="K1198" s="17"/>
      <c r="L1198" s="16" t="s">
        <v>18</v>
      </c>
      <c r="M1198" s="16" t="s">
        <v>22</v>
      </c>
      <c r="N1198" s="39" t="s">
        <v>418</v>
      </c>
    </row>
    <row r="1199" spans="1:14" s="12" customFormat="1" ht="18">
      <c r="A1199" s="178" t="s">
        <v>120</v>
      </c>
      <c r="B1199" s="185" t="s">
        <v>500</v>
      </c>
      <c r="C1199" s="39" t="s">
        <v>417</v>
      </c>
      <c r="D1199" s="236"/>
      <c r="E1199" s="236"/>
      <c r="F1199" s="236"/>
      <c r="G1199" s="236"/>
      <c r="H1199" s="41">
        <f>SUM(Tabla132112413[[#This Row],[PRIMER TRIMESTRE]:[CUARTO TRIMESTRE]])</f>
        <v>0</v>
      </c>
      <c r="I1199" s="17">
        <v>8210.5</v>
      </c>
      <c r="J1199" s="17">
        <f t="shared" si="31"/>
        <v>0</v>
      </c>
      <c r="K1199" s="17"/>
      <c r="L1199" s="16" t="s">
        <v>18</v>
      </c>
      <c r="M1199" s="16" t="s">
        <v>22</v>
      </c>
      <c r="N1199" s="39" t="s">
        <v>418</v>
      </c>
    </row>
    <row r="1200" spans="1:14" s="12" customFormat="1" ht="18">
      <c r="A1200" s="178" t="s">
        <v>120</v>
      </c>
      <c r="B1200" s="185" t="s">
        <v>501</v>
      </c>
      <c r="C1200" s="39" t="s">
        <v>417</v>
      </c>
      <c r="D1200" s="236"/>
      <c r="E1200" s="236"/>
      <c r="F1200" s="236"/>
      <c r="G1200" s="236"/>
      <c r="H1200" s="41">
        <f>SUM(Tabla132112413[[#This Row],[PRIMER TRIMESTRE]:[CUARTO TRIMESTRE]])</f>
        <v>0</v>
      </c>
      <c r="I1200" s="17">
        <v>3250</v>
      </c>
      <c r="J1200" s="17">
        <f t="shared" si="31"/>
        <v>0</v>
      </c>
      <c r="K1200" s="17"/>
      <c r="L1200" s="16" t="s">
        <v>18</v>
      </c>
      <c r="M1200" s="16" t="s">
        <v>22</v>
      </c>
      <c r="N1200" s="39" t="s">
        <v>418</v>
      </c>
    </row>
    <row r="1201" spans="1:14" s="12" customFormat="1" ht="18">
      <c r="A1201" s="178" t="s">
        <v>120</v>
      </c>
      <c r="B1201" s="184" t="s">
        <v>502</v>
      </c>
      <c r="C1201" s="39" t="s">
        <v>417</v>
      </c>
      <c r="D1201" s="236"/>
      <c r="E1201" s="236"/>
      <c r="F1201" s="236"/>
      <c r="G1201" s="236"/>
      <c r="H1201" s="41">
        <f>SUM(Tabla132112413[[#This Row],[PRIMER TRIMESTRE]:[CUARTO TRIMESTRE]])</f>
        <v>0</v>
      </c>
      <c r="I1201" s="17">
        <v>450</v>
      </c>
      <c r="J1201" s="17">
        <f t="shared" si="31"/>
        <v>0</v>
      </c>
      <c r="K1201" s="17"/>
      <c r="L1201" s="16" t="s">
        <v>18</v>
      </c>
      <c r="M1201" s="16" t="s">
        <v>22</v>
      </c>
      <c r="N1201" s="39" t="s">
        <v>418</v>
      </c>
    </row>
    <row r="1202" spans="1:14" s="12" customFormat="1" ht="18">
      <c r="A1202" s="178" t="s">
        <v>120</v>
      </c>
      <c r="B1202" s="184" t="s">
        <v>503</v>
      </c>
      <c r="C1202" s="39" t="s">
        <v>417</v>
      </c>
      <c r="D1202" s="236"/>
      <c r="E1202" s="236"/>
      <c r="F1202" s="236"/>
      <c r="G1202" s="236"/>
      <c r="H1202" s="41">
        <f>SUM(Tabla132112413[[#This Row],[PRIMER TRIMESTRE]:[CUARTO TRIMESTRE]])</f>
        <v>0</v>
      </c>
      <c r="I1202" s="17">
        <v>450</v>
      </c>
      <c r="J1202" s="17">
        <f t="shared" si="31"/>
        <v>0</v>
      </c>
      <c r="K1202" s="17"/>
      <c r="L1202" s="16" t="s">
        <v>18</v>
      </c>
      <c r="M1202" s="16" t="s">
        <v>22</v>
      </c>
      <c r="N1202" s="39" t="s">
        <v>418</v>
      </c>
    </row>
    <row r="1203" spans="1:14" s="12" customFormat="1" ht="18">
      <c r="A1203" s="178" t="s">
        <v>120</v>
      </c>
      <c r="B1203" s="184" t="s">
        <v>504</v>
      </c>
      <c r="C1203" s="39" t="s">
        <v>417</v>
      </c>
      <c r="D1203" s="236"/>
      <c r="E1203" s="236"/>
      <c r="F1203" s="236"/>
      <c r="G1203" s="236"/>
      <c r="H1203" s="41">
        <f>SUM(Tabla132112413[[#This Row],[PRIMER TRIMESTRE]:[CUARTO TRIMESTRE]])</f>
        <v>0</v>
      </c>
      <c r="I1203" s="17">
        <v>450</v>
      </c>
      <c r="J1203" s="17">
        <f t="shared" si="31"/>
        <v>0</v>
      </c>
      <c r="K1203" s="17"/>
      <c r="L1203" s="16" t="s">
        <v>18</v>
      </c>
      <c r="M1203" s="16" t="s">
        <v>22</v>
      </c>
      <c r="N1203" s="39" t="s">
        <v>418</v>
      </c>
    </row>
    <row r="1204" spans="1:14" s="12" customFormat="1" ht="18">
      <c r="A1204" s="178" t="s">
        <v>120</v>
      </c>
      <c r="B1204" s="184" t="s">
        <v>505</v>
      </c>
      <c r="C1204" s="39" t="s">
        <v>417</v>
      </c>
      <c r="D1204" s="236"/>
      <c r="E1204" s="236"/>
      <c r="F1204" s="236"/>
      <c r="G1204" s="236"/>
      <c r="H1204" s="41">
        <f>SUM(Tabla132112413[[#This Row],[PRIMER TRIMESTRE]:[CUARTO TRIMESTRE]])</f>
        <v>0</v>
      </c>
      <c r="I1204" s="17">
        <v>450</v>
      </c>
      <c r="J1204" s="17">
        <f t="shared" si="31"/>
        <v>0</v>
      </c>
      <c r="K1204" s="17"/>
      <c r="L1204" s="16" t="s">
        <v>18</v>
      </c>
      <c r="M1204" s="16" t="s">
        <v>22</v>
      </c>
      <c r="N1204" s="39" t="s">
        <v>418</v>
      </c>
    </row>
    <row r="1205" spans="1:14" s="12" customFormat="1" ht="18">
      <c r="A1205" s="178" t="s">
        <v>120</v>
      </c>
      <c r="B1205" s="184" t="s">
        <v>506</v>
      </c>
      <c r="C1205" s="39" t="s">
        <v>417</v>
      </c>
      <c r="D1205" s="236"/>
      <c r="E1205" s="236"/>
      <c r="F1205" s="236"/>
      <c r="G1205" s="236"/>
      <c r="H1205" s="41">
        <f>SUM(Tabla132112413[[#This Row],[PRIMER TRIMESTRE]:[CUARTO TRIMESTRE]])</f>
        <v>0</v>
      </c>
      <c r="I1205" s="17">
        <v>5800</v>
      </c>
      <c r="J1205" s="17">
        <f t="shared" si="31"/>
        <v>0</v>
      </c>
      <c r="K1205" s="17"/>
      <c r="L1205" s="16" t="s">
        <v>18</v>
      </c>
      <c r="M1205" s="16" t="s">
        <v>22</v>
      </c>
      <c r="N1205" s="39" t="s">
        <v>418</v>
      </c>
    </row>
    <row r="1206" spans="1:14" s="12" customFormat="1" ht="18">
      <c r="A1206" s="178" t="s">
        <v>120</v>
      </c>
      <c r="B1206" s="184" t="s">
        <v>507</v>
      </c>
      <c r="C1206" s="39" t="s">
        <v>417</v>
      </c>
      <c r="D1206" s="236"/>
      <c r="E1206" s="236"/>
      <c r="F1206" s="236"/>
      <c r="G1206" s="236"/>
      <c r="H1206" s="41">
        <f>SUM(Tabla132112413[[#This Row],[PRIMER TRIMESTRE]:[CUARTO TRIMESTRE]])</f>
        <v>0</v>
      </c>
      <c r="I1206" s="17">
        <v>2800</v>
      </c>
      <c r="J1206" s="17">
        <f t="shared" si="31"/>
        <v>0</v>
      </c>
      <c r="K1206" s="17"/>
      <c r="L1206" s="16" t="s">
        <v>18</v>
      </c>
      <c r="M1206" s="16" t="s">
        <v>22</v>
      </c>
      <c r="N1206" s="39" t="s">
        <v>418</v>
      </c>
    </row>
    <row r="1207" spans="1:14" s="12" customFormat="1" ht="18">
      <c r="A1207" s="178" t="s">
        <v>120</v>
      </c>
      <c r="B1207" s="184" t="s">
        <v>508</v>
      </c>
      <c r="C1207" s="39" t="s">
        <v>417</v>
      </c>
      <c r="D1207" s="236"/>
      <c r="E1207" s="236"/>
      <c r="F1207" s="236"/>
      <c r="G1207" s="236"/>
      <c r="H1207" s="41">
        <f>SUM(Tabla132112413[[#This Row],[PRIMER TRIMESTRE]:[CUARTO TRIMESTRE]])</f>
        <v>0</v>
      </c>
      <c r="I1207" s="17">
        <v>5100</v>
      </c>
      <c r="J1207" s="17">
        <f t="shared" si="31"/>
        <v>0</v>
      </c>
      <c r="K1207" s="17"/>
      <c r="L1207" s="16" t="s">
        <v>18</v>
      </c>
      <c r="M1207" s="16" t="s">
        <v>22</v>
      </c>
      <c r="N1207" s="39" t="s">
        <v>418</v>
      </c>
    </row>
    <row r="1208" spans="1:14" s="12" customFormat="1" ht="18">
      <c r="A1208" s="178" t="s">
        <v>120</v>
      </c>
      <c r="B1208" s="184" t="s">
        <v>509</v>
      </c>
      <c r="C1208" s="39" t="s">
        <v>417</v>
      </c>
      <c r="D1208" s="236"/>
      <c r="E1208" s="236"/>
      <c r="F1208" s="236"/>
      <c r="G1208" s="236"/>
      <c r="H1208" s="41">
        <f>SUM(Tabla132112413[[#This Row],[PRIMER TRIMESTRE]:[CUARTO TRIMESTRE]])</f>
        <v>0</v>
      </c>
      <c r="I1208" s="17">
        <v>5100</v>
      </c>
      <c r="J1208" s="17">
        <f t="shared" si="31"/>
        <v>0</v>
      </c>
      <c r="K1208" s="17"/>
      <c r="L1208" s="16" t="s">
        <v>18</v>
      </c>
      <c r="M1208" s="16" t="s">
        <v>22</v>
      </c>
      <c r="N1208" s="39" t="s">
        <v>418</v>
      </c>
    </row>
    <row r="1209" spans="1:14" s="12" customFormat="1" ht="18">
      <c r="A1209" s="178" t="s">
        <v>120</v>
      </c>
      <c r="B1209" s="184" t="s">
        <v>510</v>
      </c>
      <c r="C1209" s="39" t="s">
        <v>417</v>
      </c>
      <c r="D1209" s="236"/>
      <c r="E1209" s="236"/>
      <c r="F1209" s="236"/>
      <c r="G1209" s="236"/>
      <c r="H1209" s="41">
        <f>SUM(Tabla132112413[[#This Row],[PRIMER TRIMESTRE]:[CUARTO TRIMESTRE]])</f>
        <v>0</v>
      </c>
      <c r="I1209" s="17">
        <v>5100</v>
      </c>
      <c r="J1209" s="17">
        <f t="shared" si="31"/>
        <v>0</v>
      </c>
      <c r="K1209" s="17"/>
      <c r="L1209" s="16" t="s">
        <v>18</v>
      </c>
      <c r="M1209" s="16" t="s">
        <v>22</v>
      </c>
      <c r="N1209" s="39" t="s">
        <v>418</v>
      </c>
    </row>
    <row r="1210" spans="1:14" s="12" customFormat="1" ht="18">
      <c r="A1210" s="178" t="s">
        <v>120</v>
      </c>
      <c r="B1210" s="184" t="s">
        <v>511</v>
      </c>
      <c r="C1210" s="39" t="s">
        <v>417</v>
      </c>
      <c r="D1210" s="236"/>
      <c r="E1210" s="236"/>
      <c r="F1210" s="236"/>
      <c r="G1210" s="236"/>
      <c r="H1210" s="41">
        <f>SUM(Tabla132112413[[#This Row],[PRIMER TRIMESTRE]:[CUARTO TRIMESTRE]])</f>
        <v>0</v>
      </c>
      <c r="I1210" s="17">
        <v>5100</v>
      </c>
      <c r="J1210" s="17">
        <f t="shared" si="31"/>
        <v>0</v>
      </c>
      <c r="K1210" s="17"/>
      <c r="L1210" s="16" t="s">
        <v>18</v>
      </c>
      <c r="M1210" s="16" t="s">
        <v>22</v>
      </c>
      <c r="N1210" s="39" t="s">
        <v>418</v>
      </c>
    </row>
    <row r="1211" spans="1:14" s="12" customFormat="1" ht="18">
      <c r="A1211" s="178" t="s">
        <v>120</v>
      </c>
      <c r="B1211" s="184" t="s">
        <v>512</v>
      </c>
      <c r="C1211" s="39" t="s">
        <v>417</v>
      </c>
      <c r="D1211" s="236">
        <v>6</v>
      </c>
      <c r="E1211" s="236"/>
      <c r="F1211" s="236"/>
      <c r="G1211" s="236"/>
      <c r="H1211" s="41">
        <f>SUM(Tabla132112413[[#This Row],[PRIMER TRIMESTRE]:[CUARTO TRIMESTRE]])</f>
        <v>6</v>
      </c>
      <c r="I1211" s="17">
        <v>2000</v>
      </c>
      <c r="J1211" s="17">
        <f t="shared" si="31"/>
        <v>12000</v>
      </c>
      <c r="K1211" s="17"/>
      <c r="L1211" s="16" t="s">
        <v>18</v>
      </c>
      <c r="M1211" s="16" t="s">
        <v>22</v>
      </c>
      <c r="N1211" s="39" t="s">
        <v>418</v>
      </c>
    </row>
    <row r="1212" spans="1:14" s="12" customFormat="1" ht="18">
      <c r="A1212" s="178" t="s">
        <v>120</v>
      </c>
      <c r="B1212" s="184" t="s">
        <v>513</v>
      </c>
      <c r="C1212" s="39" t="s">
        <v>417</v>
      </c>
      <c r="D1212" s="236">
        <v>6</v>
      </c>
      <c r="E1212" s="236"/>
      <c r="F1212" s="236"/>
      <c r="G1212" s="236"/>
      <c r="H1212" s="41">
        <f>SUM(Tabla132112413[[#This Row],[PRIMER TRIMESTRE]:[CUARTO TRIMESTRE]])</f>
        <v>6</v>
      </c>
      <c r="I1212" s="17">
        <v>2500</v>
      </c>
      <c r="J1212" s="17">
        <f t="shared" si="31"/>
        <v>15000</v>
      </c>
      <c r="K1212" s="17"/>
      <c r="L1212" s="16" t="s">
        <v>18</v>
      </c>
      <c r="M1212" s="16" t="s">
        <v>22</v>
      </c>
      <c r="N1212" s="39" t="s">
        <v>418</v>
      </c>
    </row>
    <row r="1213" spans="1:14" s="12" customFormat="1" ht="18">
      <c r="A1213" s="178" t="s">
        <v>120</v>
      </c>
      <c r="B1213" s="184" t="s">
        <v>514</v>
      </c>
      <c r="C1213" s="39" t="s">
        <v>417</v>
      </c>
      <c r="D1213" s="236">
        <v>6</v>
      </c>
      <c r="E1213" s="236"/>
      <c r="F1213" s="236"/>
      <c r="G1213" s="236"/>
      <c r="H1213" s="41">
        <f>SUM(Tabla132112413[[#This Row],[PRIMER TRIMESTRE]:[CUARTO TRIMESTRE]])</f>
        <v>6</v>
      </c>
      <c r="I1213" s="17">
        <v>2500</v>
      </c>
      <c r="J1213" s="17">
        <f t="shared" si="31"/>
        <v>15000</v>
      </c>
      <c r="K1213" s="17"/>
      <c r="L1213" s="16" t="s">
        <v>18</v>
      </c>
      <c r="M1213" s="16" t="s">
        <v>22</v>
      </c>
      <c r="N1213" s="39" t="s">
        <v>418</v>
      </c>
    </row>
    <row r="1214" spans="1:14" s="12" customFormat="1" ht="18">
      <c r="A1214" s="178" t="s">
        <v>120</v>
      </c>
      <c r="B1214" s="184" t="s">
        <v>515</v>
      </c>
      <c r="C1214" s="39" t="s">
        <v>417</v>
      </c>
      <c r="D1214" s="236">
        <v>6</v>
      </c>
      <c r="E1214" s="236"/>
      <c r="F1214" s="236"/>
      <c r="G1214" s="236"/>
      <c r="H1214" s="41">
        <f>SUM(Tabla132112413[[#This Row],[PRIMER TRIMESTRE]:[CUARTO TRIMESTRE]])</f>
        <v>6</v>
      </c>
      <c r="I1214" s="17">
        <v>2500</v>
      </c>
      <c r="J1214" s="17">
        <f t="shared" si="31"/>
        <v>15000</v>
      </c>
      <c r="K1214" s="17"/>
      <c r="L1214" s="16" t="s">
        <v>18</v>
      </c>
      <c r="M1214" s="16" t="s">
        <v>22</v>
      </c>
      <c r="N1214" s="39" t="s">
        <v>418</v>
      </c>
    </row>
    <row r="1215" spans="1:14" s="12" customFormat="1" ht="18">
      <c r="A1215" s="178" t="s">
        <v>120</v>
      </c>
      <c r="B1215" s="184" t="s">
        <v>516</v>
      </c>
      <c r="C1215" s="39" t="s">
        <v>417</v>
      </c>
      <c r="D1215" s="236">
        <v>6</v>
      </c>
      <c r="E1215" s="236"/>
      <c r="F1215" s="236"/>
      <c r="G1215" s="236"/>
      <c r="H1215" s="41">
        <f>SUM(Tabla132112413[[#This Row],[PRIMER TRIMESTRE]:[CUARTO TRIMESTRE]])</f>
        <v>6</v>
      </c>
      <c r="I1215" s="17">
        <v>2500</v>
      </c>
      <c r="J1215" s="17">
        <f t="shared" si="31"/>
        <v>15000</v>
      </c>
      <c r="K1215" s="17"/>
      <c r="L1215" s="16" t="s">
        <v>18</v>
      </c>
      <c r="M1215" s="16" t="s">
        <v>22</v>
      </c>
      <c r="N1215" s="39" t="s">
        <v>418</v>
      </c>
    </row>
    <row r="1216" spans="1:14" s="12" customFormat="1" ht="18">
      <c r="A1216" s="178" t="s">
        <v>120</v>
      </c>
      <c r="B1216" s="184" t="s">
        <v>517</v>
      </c>
      <c r="C1216" s="39" t="s">
        <v>417</v>
      </c>
      <c r="D1216" s="236">
        <v>6</v>
      </c>
      <c r="E1216" s="236"/>
      <c r="F1216" s="236"/>
      <c r="G1216" s="236"/>
      <c r="H1216" s="41">
        <f>SUM(Tabla132112413[[#This Row],[PRIMER TRIMESTRE]:[CUARTO TRIMESTRE]])</f>
        <v>6</v>
      </c>
      <c r="I1216" s="17">
        <v>4100</v>
      </c>
      <c r="J1216" s="17">
        <f t="shared" si="31"/>
        <v>24600</v>
      </c>
      <c r="K1216" s="17"/>
      <c r="L1216" s="16" t="s">
        <v>18</v>
      </c>
      <c r="M1216" s="16" t="s">
        <v>22</v>
      </c>
      <c r="N1216" s="39" t="s">
        <v>418</v>
      </c>
    </row>
    <row r="1217" spans="1:14" s="12" customFormat="1" ht="18">
      <c r="A1217" s="178" t="s">
        <v>120</v>
      </c>
      <c r="B1217" s="184" t="s">
        <v>518</v>
      </c>
      <c r="C1217" s="39" t="s">
        <v>417</v>
      </c>
      <c r="D1217" s="236">
        <v>6</v>
      </c>
      <c r="E1217" s="236"/>
      <c r="F1217" s="236"/>
      <c r="G1217" s="236"/>
      <c r="H1217" s="41">
        <f>SUM(Tabla132112413[[#This Row],[PRIMER TRIMESTRE]:[CUARTO TRIMESTRE]])</f>
        <v>6</v>
      </c>
      <c r="I1217" s="17">
        <v>3800</v>
      </c>
      <c r="J1217" s="17">
        <f t="shared" si="31"/>
        <v>22800</v>
      </c>
      <c r="K1217" s="17"/>
      <c r="L1217" s="16" t="s">
        <v>18</v>
      </c>
      <c r="M1217" s="16" t="s">
        <v>22</v>
      </c>
      <c r="N1217" s="39" t="s">
        <v>418</v>
      </c>
    </row>
    <row r="1218" spans="1:14" s="12" customFormat="1" ht="18">
      <c r="A1218" s="178" t="s">
        <v>120</v>
      </c>
      <c r="B1218" s="184" t="s">
        <v>519</v>
      </c>
      <c r="C1218" s="39" t="s">
        <v>417</v>
      </c>
      <c r="D1218" s="236">
        <v>6</v>
      </c>
      <c r="E1218" s="236"/>
      <c r="F1218" s="236"/>
      <c r="G1218" s="236"/>
      <c r="H1218" s="41">
        <f>SUM(Tabla132112413[[#This Row],[PRIMER TRIMESTRE]:[CUARTO TRIMESTRE]])</f>
        <v>6</v>
      </c>
      <c r="I1218" s="17">
        <v>5400</v>
      </c>
      <c r="J1218" s="17">
        <f t="shared" si="31"/>
        <v>32400</v>
      </c>
      <c r="K1218" s="17"/>
      <c r="L1218" s="16" t="s">
        <v>18</v>
      </c>
      <c r="M1218" s="16" t="s">
        <v>22</v>
      </c>
      <c r="N1218" s="39" t="s">
        <v>418</v>
      </c>
    </row>
    <row r="1219" spans="1:14" s="12" customFormat="1" ht="18">
      <c r="A1219" s="178" t="s">
        <v>120</v>
      </c>
      <c r="B1219" s="184" t="s">
        <v>520</v>
      </c>
      <c r="C1219" s="39" t="s">
        <v>417</v>
      </c>
      <c r="D1219" s="236">
        <v>6</v>
      </c>
      <c r="E1219" s="236"/>
      <c r="F1219" s="236"/>
      <c r="G1219" s="236"/>
      <c r="H1219" s="41">
        <f>SUM(Tabla132112413[[#This Row],[PRIMER TRIMESTRE]:[CUARTO TRIMESTRE]])</f>
        <v>6</v>
      </c>
      <c r="I1219" s="17">
        <v>5400</v>
      </c>
      <c r="J1219" s="17">
        <f t="shared" si="31"/>
        <v>32400</v>
      </c>
      <c r="K1219" s="17"/>
      <c r="L1219" s="16" t="s">
        <v>18</v>
      </c>
      <c r="M1219" s="16" t="s">
        <v>22</v>
      </c>
      <c r="N1219" s="39" t="s">
        <v>418</v>
      </c>
    </row>
    <row r="1220" spans="1:14" s="12" customFormat="1" ht="18">
      <c r="A1220" s="178" t="s">
        <v>120</v>
      </c>
      <c r="B1220" s="184" t="s">
        <v>521</v>
      </c>
      <c r="C1220" s="39" t="s">
        <v>417</v>
      </c>
      <c r="D1220" s="236">
        <v>6</v>
      </c>
      <c r="E1220" s="236"/>
      <c r="F1220" s="236"/>
      <c r="G1220" s="236"/>
      <c r="H1220" s="41">
        <f>SUM(Tabla132112413[[#This Row],[PRIMER TRIMESTRE]:[CUARTO TRIMESTRE]])</f>
        <v>6</v>
      </c>
      <c r="I1220" s="17">
        <v>5400</v>
      </c>
      <c r="J1220" s="17">
        <f t="shared" si="31"/>
        <v>32400</v>
      </c>
      <c r="K1220" s="17"/>
      <c r="L1220" s="16" t="s">
        <v>18</v>
      </c>
      <c r="M1220" s="16" t="s">
        <v>22</v>
      </c>
      <c r="N1220" s="39" t="s">
        <v>418</v>
      </c>
    </row>
    <row r="1221" spans="1:14" s="12" customFormat="1" ht="18">
      <c r="A1221" s="178" t="s">
        <v>120</v>
      </c>
      <c r="B1221" s="184" t="s">
        <v>522</v>
      </c>
      <c r="C1221" s="39" t="s">
        <v>417</v>
      </c>
      <c r="D1221" s="236"/>
      <c r="E1221" s="236"/>
      <c r="F1221" s="236"/>
      <c r="G1221" s="236"/>
      <c r="H1221" s="41">
        <f>SUM(Tabla132112413[[#This Row],[PRIMER TRIMESTRE]:[CUARTO TRIMESTRE]])</f>
        <v>0</v>
      </c>
      <c r="I1221" s="17">
        <v>3100</v>
      </c>
      <c r="J1221" s="17">
        <f t="shared" si="31"/>
        <v>0</v>
      </c>
      <c r="K1221" s="17"/>
      <c r="L1221" s="16" t="s">
        <v>18</v>
      </c>
      <c r="M1221" s="16" t="s">
        <v>22</v>
      </c>
      <c r="N1221" s="39" t="s">
        <v>418</v>
      </c>
    </row>
    <row r="1222" spans="1:14" s="12" customFormat="1" ht="18">
      <c r="A1222" s="178" t="s">
        <v>120</v>
      </c>
      <c r="B1222" s="184" t="s">
        <v>523</v>
      </c>
      <c r="C1222" s="39" t="s">
        <v>417</v>
      </c>
      <c r="D1222" s="236"/>
      <c r="E1222" s="236"/>
      <c r="F1222" s="236"/>
      <c r="G1222" s="236"/>
      <c r="H1222" s="41">
        <f>SUM(Tabla132112413[[#This Row],[PRIMER TRIMESTRE]:[CUARTO TRIMESTRE]])</f>
        <v>0</v>
      </c>
      <c r="I1222" s="17">
        <v>5100</v>
      </c>
      <c r="J1222" s="17">
        <f t="shared" si="31"/>
        <v>0</v>
      </c>
      <c r="K1222" s="17"/>
      <c r="L1222" s="16" t="s">
        <v>18</v>
      </c>
      <c r="M1222" s="16" t="s">
        <v>22</v>
      </c>
      <c r="N1222" s="39" t="s">
        <v>418</v>
      </c>
    </row>
    <row r="1223" spans="1:14" s="12" customFormat="1" ht="18">
      <c r="A1223" s="178" t="s">
        <v>120</v>
      </c>
      <c r="B1223" s="184" t="s">
        <v>524</v>
      </c>
      <c r="C1223" s="39" t="s">
        <v>417</v>
      </c>
      <c r="D1223" s="236"/>
      <c r="E1223" s="236"/>
      <c r="F1223" s="236"/>
      <c r="G1223" s="236"/>
      <c r="H1223" s="41">
        <f>SUM(Tabla132112413[[#This Row],[PRIMER TRIMESTRE]:[CUARTO TRIMESTRE]])</f>
        <v>0</v>
      </c>
      <c r="I1223" s="17">
        <v>3000</v>
      </c>
      <c r="J1223" s="17">
        <f t="shared" si="31"/>
        <v>0</v>
      </c>
      <c r="K1223" s="17"/>
      <c r="L1223" s="16" t="s">
        <v>18</v>
      </c>
      <c r="M1223" s="16" t="s">
        <v>22</v>
      </c>
      <c r="N1223" s="39" t="s">
        <v>418</v>
      </c>
    </row>
    <row r="1224" spans="1:14" s="12" customFormat="1" ht="18">
      <c r="A1224" s="178" t="s">
        <v>120</v>
      </c>
      <c r="B1224" s="184" t="s">
        <v>525</v>
      </c>
      <c r="C1224" s="39" t="s">
        <v>417</v>
      </c>
      <c r="D1224" s="236"/>
      <c r="E1224" s="236"/>
      <c r="F1224" s="236"/>
      <c r="G1224" s="236"/>
      <c r="H1224" s="41">
        <f>SUM(Tabla132112413[[#This Row],[PRIMER TRIMESTRE]:[CUARTO TRIMESTRE]])</f>
        <v>0</v>
      </c>
      <c r="I1224" s="17">
        <v>3800</v>
      </c>
      <c r="J1224" s="17">
        <f t="shared" si="31"/>
        <v>0</v>
      </c>
      <c r="K1224" s="17"/>
      <c r="L1224" s="16" t="s">
        <v>18</v>
      </c>
      <c r="M1224" s="16" t="s">
        <v>22</v>
      </c>
      <c r="N1224" s="39" t="s">
        <v>418</v>
      </c>
    </row>
    <row r="1225" spans="1:14" s="12" customFormat="1" ht="18">
      <c r="A1225" s="178" t="s">
        <v>120</v>
      </c>
      <c r="B1225" s="184" t="s">
        <v>526</v>
      </c>
      <c r="C1225" s="39" t="s">
        <v>417</v>
      </c>
      <c r="D1225" s="236"/>
      <c r="E1225" s="236"/>
      <c r="F1225" s="236"/>
      <c r="G1225" s="236"/>
      <c r="H1225" s="41">
        <f>SUM(Tabla132112413[[#This Row],[PRIMER TRIMESTRE]:[CUARTO TRIMESTRE]])</f>
        <v>0</v>
      </c>
      <c r="I1225" s="17">
        <v>3800</v>
      </c>
      <c r="J1225" s="17">
        <f t="shared" si="31"/>
        <v>0</v>
      </c>
      <c r="K1225" s="17"/>
      <c r="L1225" s="16" t="s">
        <v>18</v>
      </c>
      <c r="M1225" s="16" t="s">
        <v>22</v>
      </c>
      <c r="N1225" s="39" t="s">
        <v>418</v>
      </c>
    </row>
    <row r="1226" spans="1:14" s="12" customFormat="1" ht="18">
      <c r="A1226" s="178" t="s">
        <v>120</v>
      </c>
      <c r="B1226" s="184" t="s">
        <v>527</v>
      </c>
      <c r="C1226" s="39" t="s">
        <v>417</v>
      </c>
      <c r="D1226" s="236"/>
      <c r="E1226" s="236"/>
      <c r="F1226" s="236"/>
      <c r="G1226" s="236"/>
      <c r="H1226" s="41">
        <f>SUM(Tabla132112413[[#This Row],[PRIMER TRIMESTRE]:[CUARTO TRIMESTRE]])</f>
        <v>0</v>
      </c>
      <c r="I1226" s="17">
        <v>3800</v>
      </c>
      <c r="J1226" s="17">
        <f t="shared" si="31"/>
        <v>0</v>
      </c>
      <c r="K1226" s="17"/>
      <c r="L1226" s="16" t="s">
        <v>18</v>
      </c>
      <c r="M1226" s="16" t="s">
        <v>22</v>
      </c>
      <c r="N1226" s="39" t="s">
        <v>418</v>
      </c>
    </row>
    <row r="1227" spans="1:14" s="12" customFormat="1" ht="18">
      <c r="A1227" s="178" t="s">
        <v>120</v>
      </c>
      <c r="B1227" s="184" t="s">
        <v>528</v>
      </c>
      <c r="C1227" s="39" t="s">
        <v>417</v>
      </c>
      <c r="D1227" s="236"/>
      <c r="E1227" s="236"/>
      <c r="F1227" s="236"/>
      <c r="G1227" s="236"/>
      <c r="H1227" s="41">
        <f>SUM(Tabla132112413[[#This Row],[PRIMER TRIMESTRE]:[CUARTO TRIMESTRE]])</f>
        <v>0</v>
      </c>
      <c r="I1227" s="17">
        <v>6400</v>
      </c>
      <c r="J1227" s="17">
        <f t="shared" si="31"/>
        <v>0</v>
      </c>
      <c r="K1227" s="17"/>
      <c r="L1227" s="16" t="s">
        <v>18</v>
      </c>
      <c r="M1227" s="16" t="s">
        <v>22</v>
      </c>
      <c r="N1227" s="39" t="s">
        <v>418</v>
      </c>
    </row>
    <row r="1228" spans="1:14" s="12" customFormat="1" ht="18">
      <c r="A1228" s="178" t="s">
        <v>120</v>
      </c>
      <c r="B1228" s="185" t="s">
        <v>529</v>
      </c>
      <c r="C1228" s="39" t="s">
        <v>417</v>
      </c>
      <c r="D1228" s="236"/>
      <c r="E1228" s="210"/>
      <c r="F1228" s="210"/>
      <c r="G1228" s="210"/>
      <c r="H1228" s="71">
        <f>SUM(Tabla132112413[[#This Row],[PRIMER TRIMESTRE]:[CUARTO TRIMESTRE]])</f>
        <v>0</v>
      </c>
      <c r="I1228" s="17">
        <f>9750*1.18</f>
        <v>11505</v>
      </c>
      <c r="J1228" s="17">
        <f t="shared" si="31"/>
        <v>0</v>
      </c>
      <c r="K1228" s="17"/>
      <c r="L1228" s="16" t="s">
        <v>18</v>
      </c>
      <c r="M1228" s="16" t="s">
        <v>22</v>
      </c>
      <c r="N1228" s="39" t="s">
        <v>418</v>
      </c>
    </row>
    <row r="1229" spans="1:14" s="12" customFormat="1" ht="18">
      <c r="A1229" s="178" t="s">
        <v>120</v>
      </c>
      <c r="B1229" s="185" t="s">
        <v>530</v>
      </c>
      <c r="C1229" s="39" t="s">
        <v>417</v>
      </c>
      <c r="D1229" s="236"/>
      <c r="E1229" s="210"/>
      <c r="F1229" s="210"/>
      <c r="G1229" s="210"/>
      <c r="H1229" s="41">
        <f>SUM(Tabla132112413[[#This Row],[PRIMER TRIMESTRE]:[CUARTO TRIMESTRE]])</f>
        <v>0</v>
      </c>
      <c r="I1229" s="17">
        <v>11505</v>
      </c>
      <c r="J1229" s="17">
        <f t="shared" si="31"/>
        <v>0</v>
      </c>
      <c r="K1229" s="17"/>
      <c r="L1229" s="16" t="s">
        <v>18</v>
      </c>
      <c r="M1229" s="16" t="s">
        <v>22</v>
      </c>
      <c r="N1229" s="39" t="s">
        <v>418</v>
      </c>
    </row>
    <row r="1230" spans="1:14" s="12" customFormat="1" ht="18">
      <c r="A1230" s="178" t="s">
        <v>120</v>
      </c>
      <c r="B1230" s="185" t="s">
        <v>531</v>
      </c>
      <c r="C1230" s="39" t="s">
        <v>417</v>
      </c>
      <c r="D1230" s="236"/>
      <c r="E1230" s="210"/>
      <c r="F1230" s="210"/>
      <c r="G1230" s="210"/>
      <c r="H1230" s="41">
        <f>SUM(Tabla132112413[[#This Row],[PRIMER TRIMESTRE]:[CUARTO TRIMESTRE]])</f>
        <v>0</v>
      </c>
      <c r="I1230" s="17">
        <v>11505</v>
      </c>
      <c r="J1230" s="17">
        <f t="shared" ref="J1230:J1243" si="32">+H1230*I1230</f>
        <v>0</v>
      </c>
      <c r="K1230" s="17"/>
      <c r="L1230" s="16" t="s">
        <v>18</v>
      </c>
      <c r="M1230" s="16" t="s">
        <v>22</v>
      </c>
      <c r="N1230" s="39" t="s">
        <v>418</v>
      </c>
    </row>
    <row r="1231" spans="1:14" s="12" customFormat="1" ht="18">
      <c r="A1231" s="178" t="s">
        <v>120</v>
      </c>
      <c r="B1231" s="185" t="s">
        <v>532</v>
      </c>
      <c r="C1231" s="39" t="s">
        <v>417</v>
      </c>
      <c r="D1231" s="236"/>
      <c r="E1231" s="210"/>
      <c r="F1231" s="210"/>
      <c r="G1231" s="210"/>
      <c r="H1231" s="41">
        <f>SUM(Tabla132112413[[#This Row],[PRIMER TRIMESTRE]:[CUARTO TRIMESTRE]])</f>
        <v>0</v>
      </c>
      <c r="I1231" s="17">
        <v>11505</v>
      </c>
      <c r="J1231" s="17">
        <f t="shared" si="32"/>
        <v>0</v>
      </c>
      <c r="K1231" s="17"/>
      <c r="L1231" s="16" t="s">
        <v>18</v>
      </c>
      <c r="M1231" s="16" t="s">
        <v>22</v>
      </c>
      <c r="N1231" s="39" t="s">
        <v>418</v>
      </c>
    </row>
    <row r="1232" spans="1:14" s="12" customFormat="1" ht="18">
      <c r="A1232" s="178" t="s">
        <v>120</v>
      </c>
      <c r="B1232" s="80" t="s">
        <v>790</v>
      </c>
      <c r="C1232" s="39" t="s">
        <v>417</v>
      </c>
      <c r="D1232" s="236"/>
      <c r="E1232" s="210"/>
      <c r="F1232" s="210"/>
      <c r="G1232" s="210"/>
      <c r="H1232" s="41">
        <f>SUM(Tabla132112413[[#This Row],[PRIMER TRIMESTRE]:[CUARTO TRIMESTRE]])</f>
        <v>0</v>
      </c>
      <c r="I1232" s="72">
        <v>3760.11</v>
      </c>
      <c r="J1232" s="17">
        <f t="shared" si="32"/>
        <v>0</v>
      </c>
      <c r="K1232" s="17"/>
      <c r="L1232" s="16" t="s">
        <v>18</v>
      </c>
      <c r="M1232" s="16" t="s">
        <v>22</v>
      </c>
      <c r="N1232" s="39" t="s">
        <v>418</v>
      </c>
    </row>
    <row r="1233" spans="1:14" s="12" customFormat="1" ht="30.75" customHeight="1">
      <c r="A1233" s="178" t="s">
        <v>120</v>
      </c>
      <c r="B1233" s="80" t="s">
        <v>791</v>
      </c>
      <c r="C1233" s="39" t="s">
        <v>417</v>
      </c>
      <c r="D1233" s="236"/>
      <c r="E1233" s="210"/>
      <c r="F1233" s="210"/>
      <c r="G1233" s="210"/>
      <c r="H1233" s="41">
        <f>SUM(Tabla132112413[[#This Row],[PRIMER TRIMESTRE]:[CUARTO TRIMESTRE]])</f>
        <v>0</v>
      </c>
      <c r="I1233" s="72">
        <v>3914.09</v>
      </c>
      <c r="J1233" s="17">
        <f t="shared" si="32"/>
        <v>0</v>
      </c>
      <c r="K1233" s="17"/>
      <c r="L1233" s="16" t="s">
        <v>18</v>
      </c>
      <c r="M1233" s="16" t="s">
        <v>22</v>
      </c>
      <c r="N1233" s="39" t="s">
        <v>418</v>
      </c>
    </row>
    <row r="1234" spans="1:14" s="12" customFormat="1" ht="30.75" customHeight="1">
      <c r="A1234" s="178" t="s">
        <v>120</v>
      </c>
      <c r="B1234" s="80" t="s">
        <v>792</v>
      </c>
      <c r="C1234" s="39" t="s">
        <v>417</v>
      </c>
      <c r="D1234" s="236"/>
      <c r="E1234" s="210"/>
      <c r="F1234" s="210"/>
      <c r="G1234" s="210"/>
      <c r="H1234" s="41">
        <f>SUM(Tabla132112413[[#This Row],[PRIMER TRIMESTRE]:[CUARTO TRIMESTRE]])</f>
        <v>0</v>
      </c>
      <c r="I1234" s="72">
        <v>4257.1899999999996</v>
      </c>
      <c r="J1234" s="17">
        <f t="shared" si="32"/>
        <v>0</v>
      </c>
      <c r="K1234" s="17"/>
      <c r="L1234" s="16" t="s">
        <v>18</v>
      </c>
      <c r="M1234" s="16" t="s">
        <v>22</v>
      </c>
      <c r="N1234" s="39" t="s">
        <v>418</v>
      </c>
    </row>
    <row r="1235" spans="1:14" s="12" customFormat="1" ht="30.75" customHeight="1">
      <c r="A1235" s="178" t="s">
        <v>120</v>
      </c>
      <c r="B1235" s="80" t="s">
        <v>793</v>
      </c>
      <c r="C1235" s="39" t="s">
        <v>417</v>
      </c>
      <c r="D1235" s="236"/>
      <c r="E1235" s="210"/>
      <c r="F1235" s="210"/>
      <c r="G1235" s="210"/>
      <c r="H1235" s="41">
        <f>SUM(Tabla132112413[[#This Row],[PRIMER TRIMESTRE]:[CUARTO TRIMESTRE]])</f>
        <v>0</v>
      </c>
      <c r="I1235" s="72">
        <v>4257.1899999999996</v>
      </c>
      <c r="J1235" s="17">
        <f t="shared" si="32"/>
        <v>0</v>
      </c>
      <c r="K1235" s="17"/>
      <c r="L1235" s="16" t="s">
        <v>18</v>
      </c>
      <c r="M1235" s="16" t="s">
        <v>22</v>
      </c>
      <c r="N1235" s="39" t="s">
        <v>418</v>
      </c>
    </row>
    <row r="1236" spans="1:14" s="12" customFormat="1" ht="30.75" customHeight="1">
      <c r="A1236" s="178" t="s">
        <v>120</v>
      </c>
      <c r="B1236" s="80" t="s">
        <v>794</v>
      </c>
      <c r="C1236" s="39" t="s">
        <v>417</v>
      </c>
      <c r="D1236" s="236"/>
      <c r="E1236" s="210"/>
      <c r="F1236" s="210"/>
      <c r="G1236" s="210"/>
      <c r="H1236" s="41">
        <f>SUM(Tabla132112413[[#This Row],[PRIMER TRIMESTRE]:[CUARTO TRIMESTRE]])</f>
        <v>0</v>
      </c>
      <c r="I1236" s="72">
        <v>4257.8999999999996</v>
      </c>
      <c r="J1236" s="17">
        <f t="shared" si="32"/>
        <v>0</v>
      </c>
      <c r="K1236" s="17"/>
      <c r="L1236" s="16" t="s">
        <v>18</v>
      </c>
      <c r="M1236" s="16" t="s">
        <v>22</v>
      </c>
      <c r="N1236" s="39" t="s">
        <v>418</v>
      </c>
    </row>
    <row r="1237" spans="1:14" s="12" customFormat="1" ht="30.75" customHeight="1">
      <c r="A1237" s="178" t="s">
        <v>120</v>
      </c>
      <c r="B1237" s="80" t="s">
        <v>795</v>
      </c>
      <c r="C1237" s="39" t="s">
        <v>417</v>
      </c>
      <c r="D1237" s="236"/>
      <c r="E1237" s="210"/>
      <c r="F1237" s="210"/>
      <c r="G1237" s="210"/>
      <c r="H1237" s="41">
        <f>SUM(Tabla132112413[[#This Row],[PRIMER TRIMESTRE]:[CUARTO TRIMESTRE]])</f>
        <v>0</v>
      </c>
      <c r="I1237" s="72">
        <v>4238.76</v>
      </c>
      <c r="J1237" s="17">
        <f t="shared" si="32"/>
        <v>0</v>
      </c>
      <c r="K1237" s="17"/>
      <c r="L1237" s="16" t="s">
        <v>18</v>
      </c>
      <c r="M1237" s="16" t="s">
        <v>22</v>
      </c>
      <c r="N1237" s="39" t="s">
        <v>418</v>
      </c>
    </row>
    <row r="1238" spans="1:14" s="12" customFormat="1" ht="30.75" customHeight="1">
      <c r="A1238" s="178" t="s">
        <v>120</v>
      </c>
      <c r="B1238" s="80" t="s">
        <v>796</v>
      </c>
      <c r="C1238" s="39" t="s">
        <v>417</v>
      </c>
      <c r="D1238" s="236"/>
      <c r="E1238" s="210"/>
      <c r="F1238" s="210"/>
      <c r="G1238" s="210"/>
      <c r="H1238" s="41">
        <f>SUM(Tabla132112413[[#This Row],[PRIMER TRIMESTRE]:[CUARTO TRIMESTRE]])</f>
        <v>0</v>
      </c>
      <c r="I1238" s="72">
        <v>3199.82</v>
      </c>
      <c r="J1238" s="17">
        <f t="shared" si="32"/>
        <v>0</v>
      </c>
      <c r="K1238" s="17"/>
      <c r="L1238" s="16" t="s">
        <v>18</v>
      </c>
      <c r="M1238" s="16" t="s">
        <v>22</v>
      </c>
      <c r="N1238" s="39" t="s">
        <v>418</v>
      </c>
    </row>
    <row r="1239" spans="1:14" s="12" customFormat="1" ht="30.75" customHeight="1">
      <c r="A1239" s="178" t="s">
        <v>120</v>
      </c>
      <c r="B1239" s="80" t="s">
        <v>797</v>
      </c>
      <c r="C1239" s="39" t="s">
        <v>417</v>
      </c>
      <c r="D1239" s="236"/>
      <c r="E1239" s="210"/>
      <c r="F1239" s="210"/>
      <c r="G1239" s="210"/>
      <c r="H1239" s="41">
        <f>SUM(Tabla132112413[[#This Row],[PRIMER TRIMESTRE]:[CUARTO TRIMESTRE]])</f>
        <v>0</v>
      </c>
      <c r="I1239" s="72">
        <v>3679.8</v>
      </c>
      <c r="J1239" s="17">
        <f t="shared" si="32"/>
        <v>0</v>
      </c>
      <c r="K1239" s="17"/>
      <c r="L1239" s="16" t="s">
        <v>18</v>
      </c>
      <c r="M1239" s="16" t="s">
        <v>22</v>
      </c>
      <c r="N1239" s="39" t="s">
        <v>418</v>
      </c>
    </row>
    <row r="1240" spans="1:14" s="12" customFormat="1" ht="30.75" customHeight="1">
      <c r="A1240" s="178" t="s">
        <v>120</v>
      </c>
      <c r="B1240" s="80" t="s">
        <v>798</v>
      </c>
      <c r="C1240" s="39" t="s">
        <v>417</v>
      </c>
      <c r="D1240" s="236"/>
      <c r="E1240" s="210"/>
      <c r="F1240" s="210"/>
      <c r="G1240" s="210"/>
      <c r="H1240" s="41">
        <f>SUM(Tabla132112413[[#This Row],[PRIMER TRIMESTRE]:[CUARTO TRIMESTRE]])</f>
        <v>0</v>
      </c>
      <c r="I1240" s="72">
        <v>3304</v>
      </c>
      <c r="J1240" s="17">
        <f t="shared" si="32"/>
        <v>0</v>
      </c>
      <c r="K1240" s="17"/>
      <c r="L1240" s="16" t="s">
        <v>18</v>
      </c>
      <c r="M1240" s="16" t="s">
        <v>22</v>
      </c>
      <c r="N1240" s="39" t="s">
        <v>418</v>
      </c>
    </row>
    <row r="1241" spans="1:14" s="12" customFormat="1" ht="30.75" customHeight="1">
      <c r="A1241" s="178" t="s">
        <v>120</v>
      </c>
      <c r="B1241" s="80" t="s">
        <v>1409</v>
      </c>
      <c r="C1241" s="39" t="s">
        <v>417</v>
      </c>
      <c r="D1241" s="236"/>
      <c r="E1241" s="210"/>
      <c r="F1241" s="210"/>
      <c r="G1241" s="210"/>
      <c r="H1241" s="41">
        <f>SUM(Tabla132112413[[#This Row],[PRIMER TRIMESTRE]:[CUARTO TRIMESTRE]])</f>
        <v>0</v>
      </c>
      <c r="I1241" s="72">
        <v>5700</v>
      </c>
      <c r="J1241" s="17">
        <f t="shared" si="32"/>
        <v>0</v>
      </c>
      <c r="K1241" s="17"/>
      <c r="L1241" s="16" t="s">
        <v>18</v>
      </c>
      <c r="M1241" s="16" t="s">
        <v>22</v>
      </c>
      <c r="N1241" s="39" t="s">
        <v>418</v>
      </c>
    </row>
    <row r="1242" spans="1:14" s="26" customFormat="1" ht="30.75" customHeight="1">
      <c r="A1242" s="178" t="s">
        <v>120</v>
      </c>
      <c r="B1242" s="80" t="s">
        <v>1410</v>
      </c>
      <c r="C1242" s="39" t="s">
        <v>417</v>
      </c>
      <c r="D1242" s="236"/>
      <c r="E1242" s="210"/>
      <c r="F1242" s="210"/>
      <c r="G1242" s="210"/>
      <c r="H1242" s="41">
        <f>SUM(Tabla132112413[[#This Row],[PRIMER TRIMESTRE]:[CUARTO TRIMESTRE]])</f>
        <v>0</v>
      </c>
      <c r="I1242" s="72">
        <v>8500</v>
      </c>
      <c r="J1242" s="17">
        <f t="shared" si="32"/>
        <v>0</v>
      </c>
      <c r="K1242" s="17"/>
      <c r="L1242" s="16" t="s">
        <v>18</v>
      </c>
      <c r="M1242" s="16" t="s">
        <v>22</v>
      </c>
      <c r="N1242" s="39" t="s">
        <v>418</v>
      </c>
    </row>
    <row r="1243" spans="1:14" s="12" customFormat="1" ht="30.75" customHeight="1">
      <c r="A1243" s="178" t="s">
        <v>120</v>
      </c>
      <c r="B1243" s="80" t="s">
        <v>1421</v>
      </c>
      <c r="C1243" s="39" t="s">
        <v>417</v>
      </c>
      <c r="D1243" s="236"/>
      <c r="E1243" s="210"/>
      <c r="F1243" s="210"/>
      <c r="G1243" s="210"/>
      <c r="H1243" s="41">
        <f>SUM(Tabla132112413[[#This Row],[PRIMER TRIMESTRE]:[CUARTO TRIMESTRE]])</f>
        <v>0</v>
      </c>
      <c r="I1243" s="72">
        <v>3500</v>
      </c>
      <c r="J1243" s="17">
        <f t="shared" si="32"/>
        <v>0</v>
      </c>
      <c r="K1243" s="17"/>
      <c r="L1243" s="16" t="s">
        <v>18</v>
      </c>
      <c r="M1243" s="16" t="s">
        <v>22</v>
      </c>
      <c r="N1243" s="39" t="s">
        <v>418</v>
      </c>
    </row>
    <row r="1244" spans="1:14" s="12" customFormat="1" ht="30.75" customHeight="1">
      <c r="A1244" s="179" t="s">
        <v>120</v>
      </c>
      <c r="B1244" s="76"/>
      <c r="C1244" s="42"/>
      <c r="D1244" s="237"/>
      <c r="E1244" s="237"/>
      <c r="F1244" s="237"/>
      <c r="G1244" s="237"/>
      <c r="H1244" s="237"/>
      <c r="I1244" s="24"/>
      <c r="J1244" s="24"/>
      <c r="K1244" s="25">
        <f>SUM(J1105:J1243)</f>
        <v>315123.68661870505</v>
      </c>
      <c r="L1244" s="23"/>
      <c r="M1244" s="23"/>
      <c r="N1244" s="42"/>
    </row>
    <row r="1245" spans="1:14" s="12" customFormat="1" ht="30.75" customHeight="1">
      <c r="A1245" s="178" t="s">
        <v>121</v>
      </c>
      <c r="B1245" s="75" t="s">
        <v>273</v>
      </c>
      <c r="C1245" s="39" t="s">
        <v>17</v>
      </c>
      <c r="D1245" s="236"/>
      <c r="E1245" s="210"/>
      <c r="F1245" s="210"/>
      <c r="G1245" s="210"/>
      <c r="H1245" s="40">
        <f>SUM(Tabla132112413[[#This Row],[PRIMER TRIMESTRE]:[CUARTO TRIMESTRE]])</f>
        <v>0</v>
      </c>
      <c r="I1245" s="17">
        <v>5684</v>
      </c>
      <c r="J1245" s="17">
        <f>+Tabla132112413[[#This Row],[CANTIDAD TOTAL]]*Tabla132112413[[#This Row],[PRECIO UNITARIO ESTIMADO]]</f>
        <v>0</v>
      </c>
      <c r="K1245" s="17"/>
      <c r="L1245" s="16" t="s">
        <v>18</v>
      </c>
      <c r="M1245" s="16" t="s">
        <v>22</v>
      </c>
      <c r="N1245" s="39" t="s">
        <v>418</v>
      </c>
    </row>
    <row r="1246" spans="1:14" s="12" customFormat="1" ht="30.75" customHeight="1">
      <c r="A1246" s="178" t="s">
        <v>121</v>
      </c>
      <c r="B1246" s="75" t="s">
        <v>1757</v>
      </c>
      <c r="C1246" s="39">
        <v>5</v>
      </c>
      <c r="D1246" s="236"/>
      <c r="E1246" s="210"/>
      <c r="F1246" s="210"/>
      <c r="G1246" s="210"/>
      <c r="H1246" s="40">
        <f>Tabla132112413[[#This Row],[CUARTO TRIMESTRE]]+Tabla132112413[[#This Row],[TERCER TRIMESTRE]]+Tabla132112413[[#This Row],[SEGUNDO TRIMESTRE]]+Tabla132112413[[#This Row],[PRIMER TRIMESTRE]]</f>
        <v>0</v>
      </c>
      <c r="I1246" s="17">
        <v>0</v>
      </c>
      <c r="J1246" s="17">
        <v>0</v>
      </c>
      <c r="K1246" s="17"/>
      <c r="L1246" s="16"/>
      <c r="M1246" s="16"/>
      <c r="N1246" s="39"/>
    </row>
    <row r="1247" spans="1:14" s="12" customFormat="1" ht="30.75" customHeight="1">
      <c r="A1247" s="178" t="s">
        <v>121</v>
      </c>
      <c r="B1247" s="75" t="s">
        <v>1282</v>
      </c>
      <c r="C1247" s="39" t="s">
        <v>17</v>
      </c>
      <c r="D1247" s="236"/>
      <c r="E1247" s="210"/>
      <c r="F1247" s="210"/>
      <c r="G1247" s="210"/>
      <c r="H1247" s="406">
        <f>SUM(Tabla132112413[[#This Row],[PRIMER TRIMESTRE]:[CUARTO TRIMESTRE]])</f>
        <v>0</v>
      </c>
      <c r="I1247" s="17">
        <v>25000</v>
      </c>
      <c r="J1247" s="17">
        <f>+H1247*I1247</f>
        <v>0</v>
      </c>
      <c r="K1247" s="17"/>
      <c r="L1247" s="16" t="s">
        <v>18</v>
      </c>
      <c r="M1247" s="16" t="s">
        <v>22</v>
      </c>
      <c r="N1247" s="39" t="s">
        <v>418</v>
      </c>
    </row>
    <row r="1248" spans="1:14" s="26" customFormat="1" ht="30.75" customHeight="1">
      <c r="A1248" s="178" t="s">
        <v>121</v>
      </c>
      <c r="B1248" s="75" t="s">
        <v>1283</v>
      </c>
      <c r="C1248" s="39" t="s">
        <v>17</v>
      </c>
      <c r="D1248" s="236"/>
      <c r="E1248" s="210"/>
      <c r="F1248" s="210"/>
      <c r="G1248" s="210"/>
      <c r="H1248" s="406">
        <f>SUM(Tabla132112413[[#This Row],[PRIMER TRIMESTRE]:[CUARTO TRIMESTRE]])</f>
        <v>0</v>
      </c>
      <c r="I1248" s="17">
        <f>16685940/4</f>
        <v>4171485</v>
      </c>
      <c r="J1248" s="17">
        <f>+H1248*I1248</f>
        <v>0</v>
      </c>
      <c r="K1248" s="17"/>
      <c r="L1248" s="16" t="s">
        <v>18</v>
      </c>
      <c r="M1248" s="16" t="s">
        <v>22</v>
      </c>
      <c r="N1248" s="39" t="s">
        <v>418</v>
      </c>
    </row>
    <row r="1249" spans="1:14" s="12" customFormat="1" ht="30.75" customHeight="1">
      <c r="A1249" s="178" t="s">
        <v>121</v>
      </c>
      <c r="B1249" s="75" t="s">
        <v>1284</v>
      </c>
      <c r="C1249" s="39" t="s">
        <v>17</v>
      </c>
      <c r="D1249" s="236"/>
      <c r="E1249" s="210"/>
      <c r="F1249" s="210"/>
      <c r="G1249" s="210"/>
      <c r="H1249" s="406">
        <f>SUM(Tabla132112413[[#This Row],[PRIMER TRIMESTRE]:[CUARTO TRIMESTRE]])</f>
        <v>0</v>
      </c>
      <c r="I1249" s="17">
        <v>3500</v>
      </c>
      <c r="J1249" s="17">
        <f>+H1249*I1249</f>
        <v>0</v>
      </c>
      <c r="K1249" s="17"/>
      <c r="L1249" s="16" t="s">
        <v>18</v>
      </c>
      <c r="M1249" s="16" t="s">
        <v>22</v>
      </c>
      <c r="N1249" s="39" t="s">
        <v>418</v>
      </c>
    </row>
    <row r="1250" spans="1:14" s="12" customFormat="1" ht="30.75" customHeight="1">
      <c r="A1250" s="179" t="s">
        <v>121</v>
      </c>
      <c r="B1250" s="76"/>
      <c r="C1250" s="42"/>
      <c r="D1250" s="237"/>
      <c r="E1250" s="237"/>
      <c r="F1250" s="237"/>
      <c r="G1250" s="237"/>
      <c r="H1250" s="43"/>
      <c r="I1250" s="24"/>
      <c r="J1250" s="24"/>
      <c r="K1250" s="25">
        <f>SUM(J1245:J1249)</f>
        <v>0</v>
      </c>
      <c r="L1250" s="23"/>
      <c r="M1250" s="23"/>
      <c r="N1250" s="42"/>
    </row>
    <row r="1251" spans="1:14" s="12" customFormat="1" ht="30.75" customHeight="1">
      <c r="A1251" s="180" t="s">
        <v>122</v>
      </c>
      <c r="B1251" s="77" t="s">
        <v>274</v>
      </c>
      <c r="C1251" s="70" t="s">
        <v>17</v>
      </c>
      <c r="D1251" s="210"/>
      <c r="E1251" s="210"/>
      <c r="F1251" s="210"/>
      <c r="G1251" s="210"/>
      <c r="H1251" s="406">
        <f>SUM(Tabla132112413[[#This Row],[PRIMER TRIMESTRE]:[CUARTO TRIMESTRE]])</f>
        <v>0</v>
      </c>
      <c r="I1251" s="17">
        <v>133.47</v>
      </c>
      <c r="J1251" s="17">
        <f>+Tabla132112413[[#This Row],[CANTIDAD TOTAL]]*Tabla132112413[[#This Row],[PRECIO UNITARIO ESTIMADO]]</f>
        <v>0</v>
      </c>
      <c r="K1251" s="17"/>
      <c r="L1251" s="16" t="s">
        <v>27</v>
      </c>
      <c r="M1251" s="16" t="s">
        <v>22</v>
      </c>
      <c r="N1251" s="39" t="s">
        <v>418</v>
      </c>
    </row>
    <row r="1252" spans="1:14" s="12" customFormat="1" ht="30.75" customHeight="1">
      <c r="A1252" s="180" t="s">
        <v>122</v>
      </c>
      <c r="B1252" s="77" t="s">
        <v>275</v>
      </c>
      <c r="C1252" s="70" t="s">
        <v>17</v>
      </c>
      <c r="D1252" s="210"/>
      <c r="E1252" s="210"/>
      <c r="F1252" s="210"/>
      <c r="G1252" s="210"/>
      <c r="H1252" s="406">
        <f>SUM(Tabla132112413[[#This Row],[PRIMER TRIMESTRE]:[CUARTO TRIMESTRE]])</f>
        <v>0</v>
      </c>
      <c r="I1252" s="17">
        <v>115.24</v>
      </c>
      <c r="J1252" s="17">
        <f>+Tabla132112413[[#This Row],[CANTIDAD TOTAL]]*Tabla132112413[[#This Row],[PRECIO UNITARIO ESTIMADO]]</f>
        <v>0</v>
      </c>
      <c r="K1252" s="17"/>
      <c r="L1252" s="16" t="s">
        <v>27</v>
      </c>
      <c r="M1252" s="16" t="s">
        <v>22</v>
      </c>
      <c r="N1252" s="39" t="s">
        <v>418</v>
      </c>
    </row>
    <row r="1253" spans="1:14" s="12" customFormat="1" ht="30.75" customHeight="1">
      <c r="A1253" s="180" t="s">
        <v>122</v>
      </c>
      <c r="B1253" s="77" t="s">
        <v>125</v>
      </c>
      <c r="C1253" s="70" t="s">
        <v>17</v>
      </c>
      <c r="D1253" s="210"/>
      <c r="E1253" s="210"/>
      <c r="F1253" s="210"/>
      <c r="G1253" s="210"/>
      <c r="H1253" s="406">
        <f>SUM(Tabla132112413[[#This Row],[PRIMER TRIMESTRE]:[CUARTO TRIMESTRE]])</f>
        <v>0</v>
      </c>
      <c r="I1253" s="17">
        <v>1624</v>
      </c>
      <c r="J1253" s="17">
        <f>+Tabla132112413[[#This Row],[CANTIDAD TOTAL]]*Tabla132112413[[#This Row],[PRECIO UNITARIO ESTIMADO]]</f>
        <v>0</v>
      </c>
      <c r="K1253" s="17"/>
      <c r="L1253" s="16" t="s">
        <v>27</v>
      </c>
      <c r="M1253" s="16" t="s">
        <v>22</v>
      </c>
      <c r="N1253" s="39" t="s">
        <v>418</v>
      </c>
    </row>
    <row r="1254" spans="1:14" s="12" customFormat="1" ht="30.75" customHeight="1">
      <c r="A1254" s="180" t="s">
        <v>1588</v>
      </c>
      <c r="B1254" s="77" t="s">
        <v>1587</v>
      </c>
      <c r="C1254" s="70" t="s">
        <v>17</v>
      </c>
      <c r="D1254" s="210"/>
      <c r="E1254" s="210"/>
      <c r="F1254" s="210"/>
      <c r="G1254" s="210"/>
      <c r="H1254" s="210">
        <f>SUM(Tabla132112413[[#This Row],[PRIMER TRIMESTRE]:[CUARTO TRIMESTRE]])</f>
        <v>0</v>
      </c>
      <c r="I1254" s="17">
        <v>3500</v>
      </c>
      <c r="J1254" s="17">
        <f>+H1254*I1254</f>
        <v>0</v>
      </c>
      <c r="K1254" s="17"/>
      <c r="L1254" s="16" t="s">
        <v>15</v>
      </c>
      <c r="M1254" s="16" t="s">
        <v>22</v>
      </c>
      <c r="N1254" s="39" t="s">
        <v>418</v>
      </c>
    </row>
    <row r="1255" spans="1:14" s="12" customFormat="1" ht="30.75" customHeight="1">
      <c r="A1255" s="180" t="s">
        <v>122</v>
      </c>
      <c r="B1255" s="77" t="s">
        <v>276</v>
      </c>
      <c r="C1255" s="70" t="s">
        <v>17</v>
      </c>
      <c r="D1255" s="210"/>
      <c r="E1255" s="210"/>
      <c r="F1255" s="210"/>
      <c r="G1255" s="210"/>
      <c r="H1255" s="406">
        <f>SUM(Tabla132112413[[#This Row],[PRIMER TRIMESTRE]:[CUARTO TRIMESTRE]])</f>
        <v>0</v>
      </c>
      <c r="I1255" s="17">
        <v>101.68</v>
      </c>
      <c r="J1255" s="17">
        <f>+Tabla132112413[[#This Row],[CANTIDAD TOTAL]]*Tabla132112413[[#This Row],[PRECIO UNITARIO ESTIMADO]]</f>
        <v>0</v>
      </c>
      <c r="K1255" s="17"/>
      <c r="L1255" s="16" t="s">
        <v>27</v>
      </c>
      <c r="M1255" s="16" t="s">
        <v>22</v>
      </c>
      <c r="N1255" s="39" t="s">
        <v>418</v>
      </c>
    </row>
    <row r="1256" spans="1:14" s="12" customFormat="1" ht="30.75" customHeight="1">
      <c r="A1256" s="180" t="s">
        <v>122</v>
      </c>
      <c r="B1256" s="77" t="s">
        <v>277</v>
      </c>
      <c r="C1256" s="70" t="s">
        <v>17</v>
      </c>
      <c r="D1256" s="210"/>
      <c r="E1256" s="210"/>
      <c r="F1256" s="210"/>
      <c r="G1256" s="210"/>
      <c r="H1256" s="406">
        <f>SUM(Tabla132112413[[#This Row],[PRIMER TRIMESTRE]:[CUARTO TRIMESTRE]])</f>
        <v>0</v>
      </c>
      <c r="I1256" s="17">
        <v>27.14</v>
      </c>
      <c r="J1256" s="17">
        <f>+Tabla132112413[[#This Row],[CANTIDAD TOTAL]]*Tabla132112413[[#This Row],[PRECIO UNITARIO ESTIMADO]]</f>
        <v>0</v>
      </c>
      <c r="K1256" s="17"/>
      <c r="L1256" s="16" t="s">
        <v>27</v>
      </c>
      <c r="M1256" s="16" t="s">
        <v>22</v>
      </c>
      <c r="N1256" s="39" t="s">
        <v>418</v>
      </c>
    </row>
    <row r="1257" spans="1:14" s="12" customFormat="1" ht="30.75" customHeight="1">
      <c r="A1257" s="180" t="s">
        <v>122</v>
      </c>
      <c r="B1257" s="77" t="s">
        <v>327</v>
      </c>
      <c r="C1257" s="70" t="s">
        <v>102</v>
      </c>
      <c r="D1257" s="210"/>
      <c r="E1257" s="210"/>
      <c r="F1257" s="210"/>
      <c r="G1257" s="210"/>
      <c r="H1257" s="406">
        <f>SUM(Tabla132112413[[#This Row],[PRIMER TRIMESTRE]:[CUARTO TRIMESTRE]])</f>
        <v>0</v>
      </c>
      <c r="I1257" s="17">
        <f>43660/209</f>
        <v>208.89952153110048</v>
      </c>
      <c r="J1257" s="17">
        <f>+Tabla132112413[[#This Row],[CANTIDAD TOTAL]]*Tabla132112413[[#This Row],[PRECIO UNITARIO ESTIMADO]]</f>
        <v>0</v>
      </c>
      <c r="K1257" s="17"/>
      <c r="L1257" s="16" t="s">
        <v>27</v>
      </c>
      <c r="M1257" s="16" t="s">
        <v>22</v>
      </c>
      <c r="N1257" s="39" t="s">
        <v>418</v>
      </c>
    </row>
    <row r="1258" spans="1:14" s="12" customFormat="1" ht="30.75" customHeight="1">
      <c r="A1258" s="180" t="s">
        <v>122</v>
      </c>
      <c r="B1258" s="77" t="s">
        <v>1269</v>
      </c>
      <c r="C1258" s="70" t="s">
        <v>17</v>
      </c>
      <c r="D1258" s="210"/>
      <c r="E1258" s="210"/>
      <c r="F1258" s="210"/>
      <c r="G1258" s="210"/>
      <c r="H1258" s="406">
        <f>SUM(Tabla132112413[[#This Row],[PRIMER TRIMESTRE]:[CUARTO TRIMESTRE]])</f>
        <v>0</v>
      </c>
      <c r="I1258" s="17">
        <v>350</v>
      </c>
      <c r="J1258" s="17">
        <f>+H1258*I1258</f>
        <v>0</v>
      </c>
      <c r="K1258" s="17"/>
      <c r="L1258" s="16" t="s">
        <v>27</v>
      </c>
      <c r="M1258" s="16" t="s">
        <v>22</v>
      </c>
      <c r="N1258" s="39" t="s">
        <v>418</v>
      </c>
    </row>
    <row r="1259" spans="1:14" s="12" customFormat="1" ht="30.75" customHeight="1">
      <c r="A1259" s="180" t="s">
        <v>122</v>
      </c>
      <c r="B1259" s="77" t="s">
        <v>328</v>
      </c>
      <c r="C1259" s="70" t="s">
        <v>17</v>
      </c>
      <c r="D1259" s="210"/>
      <c r="E1259" s="210"/>
      <c r="F1259" s="210"/>
      <c r="G1259" s="210"/>
      <c r="H1259" s="406">
        <f>SUM(Tabla132112413[[#This Row],[PRIMER TRIMESTRE]:[CUARTO TRIMESTRE]])</f>
        <v>0</v>
      </c>
      <c r="I1259" s="17">
        <v>12626</v>
      </c>
      <c r="J1259" s="17">
        <f>+Tabla132112413[[#This Row],[CANTIDAD TOTAL]]*Tabla132112413[[#This Row],[PRECIO UNITARIO ESTIMADO]]</f>
        <v>0</v>
      </c>
      <c r="K1259" s="17"/>
      <c r="L1259" s="16" t="s">
        <v>27</v>
      </c>
      <c r="M1259" s="16" t="s">
        <v>22</v>
      </c>
      <c r="N1259" s="39" t="s">
        <v>418</v>
      </c>
    </row>
    <row r="1260" spans="1:14" s="26" customFormat="1" ht="30.75" customHeight="1">
      <c r="A1260" s="180" t="s">
        <v>122</v>
      </c>
      <c r="B1260" s="77" t="s">
        <v>329</v>
      </c>
      <c r="C1260" s="70" t="s">
        <v>17</v>
      </c>
      <c r="D1260" s="210"/>
      <c r="E1260" s="210"/>
      <c r="F1260" s="210"/>
      <c r="G1260" s="210"/>
      <c r="H1260" s="406">
        <f>SUM(Tabla132112413[[#This Row],[PRIMER TRIMESTRE]:[CUARTO TRIMESTRE]])</f>
        <v>0</v>
      </c>
      <c r="I1260" s="17">
        <f>1382216.68/118</f>
        <v>11713.700677966101</v>
      </c>
      <c r="J1260" s="17">
        <f>+Tabla132112413[[#This Row],[CANTIDAD TOTAL]]*Tabla132112413[[#This Row],[PRECIO UNITARIO ESTIMADO]]</f>
        <v>0</v>
      </c>
      <c r="K1260" s="17"/>
      <c r="L1260" s="16" t="s">
        <v>27</v>
      </c>
      <c r="M1260" s="16" t="s">
        <v>22</v>
      </c>
      <c r="N1260" s="39" t="s">
        <v>418</v>
      </c>
    </row>
    <row r="1261" spans="1:14" s="12" customFormat="1" ht="30.75" customHeight="1">
      <c r="A1261" s="180" t="s">
        <v>122</v>
      </c>
      <c r="B1261" s="77" t="s">
        <v>330</v>
      </c>
      <c r="C1261" s="70" t="s">
        <v>17</v>
      </c>
      <c r="D1261" s="210"/>
      <c r="E1261" s="210"/>
      <c r="F1261" s="210"/>
      <c r="G1261" s="210"/>
      <c r="H1261" s="406">
        <f>SUM(Tabla132112413[[#This Row],[PRIMER TRIMESTRE]:[CUARTO TRIMESTRE]])</f>
        <v>0</v>
      </c>
      <c r="I1261" s="17">
        <v>413</v>
      </c>
      <c r="J1261" s="17">
        <f>+Tabla132112413[[#This Row],[CANTIDAD TOTAL]]*Tabla132112413[[#This Row],[PRECIO UNITARIO ESTIMADO]]</f>
        <v>0</v>
      </c>
      <c r="K1261" s="17"/>
      <c r="L1261" s="16" t="s">
        <v>27</v>
      </c>
      <c r="M1261" s="16" t="s">
        <v>22</v>
      </c>
      <c r="N1261" s="39" t="s">
        <v>418</v>
      </c>
    </row>
    <row r="1262" spans="1:14" s="12" customFormat="1" ht="30.75" customHeight="1">
      <c r="A1262" s="179" t="s">
        <v>122</v>
      </c>
      <c r="B1262" s="76"/>
      <c r="C1262" s="42"/>
      <c r="D1262" s="237"/>
      <c r="E1262" s="237"/>
      <c r="F1262" s="237"/>
      <c r="G1262" s="237"/>
      <c r="H1262" s="43"/>
      <c r="I1262" s="24"/>
      <c r="J1262" s="24"/>
      <c r="K1262" s="25">
        <f>SUM(J1251:J1261)</f>
        <v>0</v>
      </c>
      <c r="L1262" s="23"/>
      <c r="M1262" s="23"/>
      <c r="N1262" s="42"/>
    </row>
    <row r="1263" spans="1:14" s="12" customFormat="1" ht="30.75" customHeight="1">
      <c r="A1263" s="178" t="s">
        <v>278</v>
      </c>
      <c r="B1263" s="75" t="s">
        <v>279</v>
      </c>
      <c r="C1263" s="39" t="s">
        <v>17</v>
      </c>
      <c r="D1263" s="236">
        <v>4</v>
      </c>
      <c r="E1263" s="236"/>
      <c r="F1263" s="236"/>
      <c r="G1263" s="236"/>
      <c r="H1263" s="40">
        <f>SUM(Tabla132112413[[#This Row],[PRIMER TRIMESTRE]:[CUARTO TRIMESTRE]])</f>
        <v>4</v>
      </c>
      <c r="I1263" s="17">
        <v>259.68</v>
      </c>
      <c r="J1263" s="17">
        <f>+Tabla132112413[[#This Row],[CANTIDAD TOTAL]]*Tabla132112413[[#This Row],[PRECIO UNITARIO ESTIMADO]]</f>
        <v>1038.72</v>
      </c>
      <c r="K1263" s="17"/>
      <c r="L1263" s="16" t="s">
        <v>27</v>
      </c>
      <c r="M1263" s="16" t="s">
        <v>22</v>
      </c>
      <c r="N1263" s="39" t="s">
        <v>342</v>
      </c>
    </row>
    <row r="1264" spans="1:14" s="12" customFormat="1" ht="30.75" customHeight="1">
      <c r="A1264" s="178" t="s">
        <v>278</v>
      </c>
      <c r="B1264" s="75" t="s">
        <v>137</v>
      </c>
      <c r="C1264" s="39" t="s">
        <v>17</v>
      </c>
      <c r="D1264" s="236"/>
      <c r="E1264" s="236"/>
      <c r="F1264" s="236"/>
      <c r="G1264" s="236"/>
      <c r="H1264" s="40">
        <f>SUM(Tabla132112413[[#This Row],[PRIMER TRIMESTRE]:[CUARTO TRIMESTRE]])</f>
        <v>0</v>
      </c>
      <c r="I1264" s="17">
        <v>220.12</v>
      </c>
      <c r="J1264" s="17">
        <f>+Tabla132112413[[#This Row],[CANTIDAD TOTAL]]*Tabla132112413[[#This Row],[PRECIO UNITARIO ESTIMADO]]</f>
        <v>0</v>
      </c>
      <c r="K1264" s="17"/>
      <c r="L1264" s="16" t="s">
        <v>27</v>
      </c>
      <c r="M1264" s="16" t="s">
        <v>22</v>
      </c>
      <c r="N1264" s="39" t="s">
        <v>418</v>
      </c>
    </row>
    <row r="1265" spans="1:14" s="12" customFormat="1" ht="30.75" customHeight="1">
      <c r="A1265" s="178" t="s">
        <v>278</v>
      </c>
      <c r="B1265" s="75" t="s">
        <v>280</v>
      </c>
      <c r="C1265" s="39" t="s">
        <v>17</v>
      </c>
      <c r="D1265" s="236">
        <v>6</v>
      </c>
      <c r="E1265" s="236"/>
      <c r="F1265" s="236"/>
      <c r="G1265" s="236"/>
      <c r="H1265" s="40">
        <f>SUM(Tabla132112413[[#This Row],[PRIMER TRIMESTRE]:[CUARTO TRIMESTRE]])</f>
        <v>6</v>
      </c>
      <c r="I1265" s="17">
        <v>150</v>
      </c>
      <c r="J1265" s="17">
        <f>+Tabla132112413[[#This Row],[CANTIDAD TOTAL]]*Tabla132112413[[#This Row],[PRECIO UNITARIO ESTIMADO]]</f>
        <v>900</v>
      </c>
      <c r="K1265" s="17"/>
      <c r="L1265" s="16" t="s">
        <v>27</v>
      </c>
      <c r="M1265" s="16" t="s">
        <v>22</v>
      </c>
      <c r="N1265" s="39" t="s">
        <v>342</v>
      </c>
    </row>
    <row r="1266" spans="1:14" s="26" customFormat="1" ht="30.75" customHeight="1">
      <c r="A1266" s="178" t="s">
        <v>278</v>
      </c>
      <c r="B1266" s="75" t="s">
        <v>566</v>
      </c>
      <c r="C1266" s="39" t="s">
        <v>17</v>
      </c>
      <c r="D1266" s="236">
        <v>3</v>
      </c>
      <c r="E1266" s="236"/>
      <c r="F1266" s="236"/>
      <c r="G1266" s="236"/>
      <c r="H1266" s="40">
        <f>SUM(Tabla132112413[[#This Row],[PRIMER TRIMESTRE]:[CUARTO TRIMESTRE]])</f>
        <v>3</v>
      </c>
      <c r="I1266" s="17">
        <v>140</v>
      </c>
      <c r="J1266" s="17">
        <f>+Tabla132112413[[#This Row],[CANTIDAD TOTAL]]*Tabla132112413[[#This Row],[PRECIO UNITARIO ESTIMADO]]</f>
        <v>420</v>
      </c>
      <c r="K1266" s="17"/>
      <c r="L1266" s="16" t="s">
        <v>27</v>
      </c>
      <c r="M1266" s="16" t="s">
        <v>22</v>
      </c>
      <c r="N1266" s="39" t="s">
        <v>342</v>
      </c>
    </row>
    <row r="1267" spans="1:14" s="12" customFormat="1" ht="30.75" customHeight="1">
      <c r="A1267" s="178" t="s">
        <v>278</v>
      </c>
      <c r="B1267" s="75" t="s">
        <v>922</v>
      </c>
      <c r="C1267" s="39" t="s">
        <v>17</v>
      </c>
      <c r="D1267" s="236"/>
      <c r="E1267" s="236"/>
      <c r="F1267" s="236"/>
      <c r="G1267" s="236"/>
      <c r="H1267" s="40">
        <f>SUM(Tabla132112413[[#This Row],[PRIMER TRIMESTRE]:[CUARTO TRIMESTRE]])</f>
        <v>0</v>
      </c>
      <c r="I1267" s="17">
        <v>21895</v>
      </c>
      <c r="J1267" s="17">
        <f>+H1267*I1267</f>
        <v>0</v>
      </c>
      <c r="K1267" s="17"/>
      <c r="L1267" s="16" t="s">
        <v>27</v>
      </c>
      <c r="M1267" s="16" t="s">
        <v>22</v>
      </c>
      <c r="N1267" s="39" t="s">
        <v>342</v>
      </c>
    </row>
    <row r="1268" spans="1:14" s="12" customFormat="1" ht="30.75" customHeight="1">
      <c r="A1268" s="179" t="s">
        <v>278</v>
      </c>
      <c r="B1268" s="76"/>
      <c r="C1268" s="42"/>
      <c r="D1268" s="237"/>
      <c r="E1268" s="237"/>
      <c r="F1268" s="237"/>
      <c r="G1268" s="237"/>
      <c r="H1268" s="43"/>
      <c r="I1268" s="24"/>
      <c r="J1268" s="24"/>
      <c r="K1268" s="25">
        <f>SUM(J1263:J1267)</f>
        <v>2358.7200000000003</v>
      </c>
      <c r="L1268" s="23" t="s">
        <v>27</v>
      </c>
      <c r="M1268" s="23"/>
      <c r="N1268" s="42"/>
    </row>
    <row r="1269" spans="1:14" s="12" customFormat="1" ht="30.75" customHeight="1">
      <c r="A1269" s="178" t="s">
        <v>124</v>
      </c>
      <c r="B1269" s="75" t="s">
        <v>281</v>
      </c>
      <c r="C1269" s="39" t="s">
        <v>102</v>
      </c>
      <c r="D1269" s="236"/>
      <c r="E1269" s="236"/>
      <c r="F1269" s="236"/>
      <c r="G1269" s="236"/>
      <c r="H1269" s="40">
        <f>SUM(Tabla132112413[[#This Row],[PRIMER TRIMESTRE]:[CUARTO TRIMESTRE]])</f>
        <v>0</v>
      </c>
      <c r="I1269" s="17">
        <v>191.84</v>
      </c>
      <c r="J1269" s="17">
        <f>+Tabla132112413[[#This Row],[CANTIDAD TOTAL]]*Tabla132112413[[#This Row],[PRECIO UNITARIO ESTIMADO]]</f>
        <v>0</v>
      </c>
      <c r="K1269" s="17"/>
      <c r="L1269" s="16" t="s">
        <v>27</v>
      </c>
      <c r="M1269" s="16" t="s">
        <v>22</v>
      </c>
      <c r="N1269" s="39" t="s">
        <v>342</v>
      </c>
    </row>
    <row r="1270" spans="1:14" s="12" customFormat="1" ht="30.75" customHeight="1">
      <c r="A1270" s="178" t="s">
        <v>124</v>
      </c>
      <c r="B1270" s="75" t="s">
        <v>282</v>
      </c>
      <c r="C1270" s="39" t="s">
        <v>69</v>
      </c>
      <c r="D1270" s="236"/>
      <c r="E1270" s="236"/>
      <c r="F1270" s="236"/>
      <c r="G1270" s="236"/>
      <c r="H1270" s="40">
        <f>SUM(Tabla132112413[[#This Row],[PRIMER TRIMESTRE]:[CUARTO TRIMESTRE]])</f>
        <v>0</v>
      </c>
      <c r="I1270" s="17">
        <v>83.78</v>
      </c>
      <c r="J1270" s="17">
        <f>+Tabla132112413[[#This Row],[CANTIDAD TOTAL]]*Tabla132112413[[#This Row],[PRECIO UNITARIO ESTIMADO]]</f>
        <v>0</v>
      </c>
      <c r="K1270" s="17"/>
      <c r="L1270" s="16" t="s">
        <v>27</v>
      </c>
      <c r="M1270" s="16" t="s">
        <v>22</v>
      </c>
      <c r="N1270" s="39" t="s">
        <v>342</v>
      </c>
    </row>
    <row r="1271" spans="1:14" s="12" customFormat="1" ht="30.75" customHeight="1">
      <c r="A1271" s="178" t="s">
        <v>124</v>
      </c>
      <c r="B1271" s="75" t="s">
        <v>283</v>
      </c>
      <c r="C1271" s="39" t="s">
        <v>17</v>
      </c>
      <c r="D1271" s="236"/>
      <c r="E1271" s="236"/>
      <c r="F1271" s="236"/>
      <c r="G1271" s="236"/>
      <c r="H1271" s="40">
        <f>SUM(Tabla132112413[[#This Row],[PRIMER TRIMESTRE]:[CUARTO TRIMESTRE]])</f>
        <v>0</v>
      </c>
      <c r="I1271" s="17">
        <v>82.94</v>
      </c>
      <c r="J1271" s="17">
        <f>+Tabla132112413[[#This Row],[CANTIDAD TOTAL]]*Tabla132112413[[#This Row],[PRECIO UNITARIO ESTIMADO]]</f>
        <v>0</v>
      </c>
      <c r="K1271" s="17"/>
      <c r="L1271" s="16" t="s">
        <v>27</v>
      </c>
      <c r="M1271" s="16" t="s">
        <v>22</v>
      </c>
      <c r="N1271" s="39" t="s">
        <v>342</v>
      </c>
    </row>
    <row r="1272" spans="1:14" s="12" customFormat="1" ht="30.75" customHeight="1">
      <c r="A1272" s="178" t="s">
        <v>124</v>
      </c>
      <c r="B1272" s="75" t="s">
        <v>284</v>
      </c>
      <c r="C1272" s="39" t="s">
        <v>17</v>
      </c>
      <c r="D1272" s="236">
        <v>10</v>
      </c>
      <c r="E1272" s="236"/>
      <c r="F1272" s="236"/>
      <c r="G1272" s="236"/>
      <c r="H1272" s="40">
        <f>SUM(Tabla132112413[[#This Row],[PRIMER TRIMESTRE]:[CUARTO TRIMESTRE]])</f>
        <v>10</v>
      </c>
      <c r="I1272" s="17">
        <v>26.67</v>
      </c>
      <c r="J1272" s="17">
        <f>+Tabla132112413[[#This Row],[CANTIDAD TOTAL]]*Tabla132112413[[#This Row],[PRECIO UNITARIO ESTIMADO]]</f>
        <v>266.70000000000005</v>
      </c>
      <c r="K1272" s="17"/>
      <c r="L1272" s="16" t="s">
        <v>27</v>
      </c>
      <c r="M1272" s="16" t="s">
        <v>22</v>
      </c>
      <c r="N1272" s="39" t="s">
        <v>342</v>
      </c>
    </row>
    <row r="1273" spans="1:14" s="12" customFormat="1" ht="30.75" customHeight="1">
      <c r="A1273" s="178" t="s">
        <v>124</v>
      </c>
      <c r="B1273" s="75" t="s">
        <v>726</v>
      </c>
      <c r="C1273" s="39" t="s">
        <v>17</v>
      </c>
      <c r="D1273" s="236"/>
      <c r="E1273" s="236"/>
      <c r="F1273" s="236"/>
      <c r="G1273" s="236"/>
      <c r="H1273" s="40">
        <f>SUM(Tabla132112413[[#This Row],[PRIMER TRIMESTRE]:[CUARTO TRIMESTRE]])</f>
        <v>0</v>
      </c>
      <c r="I1273" s="72">
        <v>50</v>
      </c>
      <c r="J1273" s="17">
        <f>+H1273*I1273</f>
        <v>0</v>
      </c>
      <c r="K1273" s="17"/>
      <c r="L1273" s="16" t="s">
        <v>27</v>
      </c>
      <c r="M1273" s="16" t="s">
        <v>22</v>
      </c>
      <c r="N1273" s="39" t="s">
        <v>342</v>
      </c>
    </row>
    <row r="1274" spans="1:14" s="12" customFormat="1" ht="30.75" customHeight="1">
      <c r="A1274" s="178" t="s">
        <v>124</v>
      </c>
      <c r="B1274" s="75" t="s">
        <v>285</v>
      </c>
      <c r="C1274" s="39" t="s">
        <v>33</v>
      </c>
      <c r="D1274" s="236">
        <v>5</v>
      </c>
      <c r="E1274" s="236"/>
      <c r="F1274" s="236"/>
      <c r="G1274" s="236"/>
      <c r="H1274" s="40">
        <f>SUM(Tabla132112413[[#This Row],[PRIMER TRIMESTRE]:[CUARTO TRIMESTRE]])</f>
        <v>5</v>
      </c>
      <c r="I1274" s="17">
        <v>115.94</v>
      </c>
      <c r="J1274" s="17">
        <f>+Tabla132112413[[#This Row],[CANTIDAD TOTAL]]*Tabla132112413[[#This Row],[PRECIO UNITARIO ESTIMADO]]</f>
        <v>579.70000000000005</v>
      </c>
      <c r="K1274" s="17"/>
      <c r="L1274" s="16" t="s">
        <v>27</v>
      </c>
      <c r="M1274" s="16" t="s">
        <v>22</v>
      </c>
      <c r="N1274" s="39" t="s">
        <v>342</v>
      </c>
    </row>
    <row r="1275" spans="1:14" s="12" customFormat="1" ht="30.75" customHeight="1">
      <c r="A1275" s="178" t="s">
        <v>124</v>
      </c>
      <c r="B1275" s="75" t="s">
        <v>287</v>
      </c>
      <c r="C1275" s="39" t="s">
        <v>288</v>
      </c>
      <c r="D1275" s="236">
        <v>5</v>
      </c>
      <c r="E1275" s="236"/>
      <c r="F1275" s="236"/>
      <c r="G1275" s="236"/>
      <c r="H1275" s="40">
        <f>SUM(Tabla132112413[[#This Row],[PRIMER TRIMESTRE]:[CUARTO TRIMESTRE]])</f>
        <v>5</v>
      </c>
      <c r="I1275" s="17">
        <v>255.31</v>
      </c>
      <c r="J1275" s="17">
        <f>+Tabla132112413[[#This Row],[CANTIDAD TOTAL]]*Tabla132112413[[#This Row],[PRECIO UNITARIO ESTIMADO]]</f>
        <v>1276.55</v>
      </c>
      <c r="K1275" s="17"/>
      <c r="L1275" s="16" t="s">
        <v>27</v>
      </c>
      <c r="M1275" s="16" t="s">
        <v>22</v>
      </c>
      <c r="N1275" s="39" t="s">
        <v>342</v>
      </c>
    </row>
    <row r="1276" spans="1:14" s="12" customFormat="1" ht="30.75" customHeight="1">
      <c r="A1276" s="178" t="s">
        <v>124</v>
      </c>
      <c r="B1276" s="75" t="s">
        <v>293</v>
      </c>
      <c r="C1276" s="39" t="s">
        <v>290</v>
      </c>
      <c r="D1276" s="236">
        <v>8</v>
      </c>
      <c r="E1276" s="236"/>
      <c r="F1276" s="236"/>
      <c r="G1276" s="236"/>
      <c r="H1276" s="40">
        <f>SUM(Tabla132112413[[#This Row],[PRIMER TRIMESTRE]:[CUARTO TRIMESTRE]])</f>
        <v>8</v>
      </c>
      <c r="I1276" s="17">
        <v>160</v>
      </c>
      <c r="J1276" s="17">
        <f t="shared" ref="J1276:J1284" si="33">+H1276*I1276</f>
        <v>1280</v>
      </c>
      <c r="K1276" s="17"/>
      <c r="L1276" s="16" t="s">
        <v>27</v>
      </c>
      <c r="M1276" s="16" t="s">
        <v>22</v>
      </c>
      <c r="N1276" s="39" t="s">
        <v>342</v>
      </c>
    </row>
    <row r="1277" spans="1:14" s="12" customFormat="1" ht="30.75" customHeight="1">
      <c r="A1277" s="178" t="s">
        <v>124</v>
      </c>
      <c r="B1277" s="75" t="s">
        <v>1411</v>
      </c>
      <c r="C1277" s="39" t="s">
        <v>290</v>
      </c>
      <c r="D1277" s="236">
        <v>2</v>
      </c>
      <c r="E1277" s="236"/>
      <c r="F1277" s="236"/>
      <c r="G1277" s="236"/>
      <c r="H1277" s="40">
        <f>SUM(Tabla132112413[[#This Row],[PRIMER TRIMESTRE]:[CUARTO TRIMESTRE]])</f>
        <v>2</v>
      </c>
      <c r="I1277" s="17">
        <v>450</v>
      </c>
      <c r="J1277" s="17">
        <f t="shared" si="33"/>
        <v>900</v>
      </c>
      <c r="K1277" s="17"/>
      <c r="L1277" s="16" t="s">
        <v>27</v>
      </c>
      <c r="M1277" s="16" t="s">
        <v>22</v>
      </c>
      <c r="N1277" s="39" t="s">
        <v>342</v>
      </c>
    </row>
    <row r="1278" spans="1:14" s="12" customFormat="1" ht="30.75" customHeight="1">
      <c r="A1278" s="178" t="s">
        <v>124</v>
      </c>
      <c r="B1278" s="75" t="s">
        <v>1451</v>
      </c>
      <c r="C1278" s="39" t="s">
        <v>17</v>
      </c>
      <c r="D1278" s="236"/>
      <c r="E1278" s="236"/>
      <c r="F1278" s="236"/>
      <c r="G1278" s="236"/>
      <c r="H1278" s="40">
        <f>SUM(Tabla132112413[[#This Row],[PRIMER TRIMESTRE]:[CUARTO TRIMESTRE]])</f>
        <v>0</v>
      </c>
      <c r="I1278" s="17">
        <v>469</v>
      </c>
      <c r="J1278" s="17">
        <f t="shared" si="33"/>
        <v>0</v>
      </c>
      <c r="K1278" s="17"/>
      <c r="L1278" s="16" t="s">
        <v>15</v>
      </c>
      <c r="M1278" s="16" t="s">
        <v>22</v>
      </c>
      <c r="N1278" s="39" t="s">
        <v>342</v>
      </c>
    </row>
    <row r="1279" spans="1:14" s="12" customFormat="1" ht="30.75" customHeight="1">
      <c r="A1279" s="178" t="s">
        <v>124</v>
      </c>
      <c r="B1279" s="75" t="s">
        <v>1906</v>
      </c>
      <c r="C1279" s="39" t="s">
        <v>17</v>
      </c>
      <c r="D1279" s="236"/>
      <c r="E1279" s="236"/>
      <c r="F1279" s="236"/>
      <c r="G1279" s="236"/>
      <c r="H1279" s="40">
        <v>0</v>
      </c>
      <c r="I1279" s="17">
        <v>250</v>
      </c>
      <c r="J1279" s="17">
        <f t="shared" si="33"/>
        <v>0</v>
      </c>
      <c r="K1279" s="17"/>
      <c r="L1279" s="16" t="s">
        <v>27</v>
      </c>
      <c r="M1279" s="16" t="s">
        <v>22</v>
      </c>
      <c r="N1279" s="39" t="s">
        <v>342</v>
      </c>
    </row>
    <row r="1280" spans="1:14" s="12" customFormat="1" ht="30.75" customHeight="1">
      <c r="A1280" s="178" t="s">
        <v>124</v>
      </c>
      <c r="B1280" s="75" t="s">
        <v>1907</v>
      </c>
      <c r="C1280" s="39" t="s">
        <v>17</v>
      </c>
      <c r="D1280" s="236"/>
      <c r="E1280" s="236"/>
      <c r="F1280" s="236"/>
      <c r="G1280" s="236"/>
      <c r="H1280" s="40">
        <v>0</v>
      </c>
      <c r="I1280" s="17">
        <v>0</v>
      </c>
      <c r="J1280" s="17">
        <v>0</v>
      </c>
      <c r="K1280" s="17"/>
      <c r="L1280" s="16" t="s">
        <v>27</v>
      </c>
      <c r="M1280" s="16" t="s">
        <v>22</v>
      </c>
      <c r="N1280" s="39" t="s">
        <v>342</v>
      </c>
    </row>
    <row r="1281" spans="1:14" s="12" customFormat="1" ht="30.75" customHeight="1">
      <c r="A1281" s="178" t="s">
        <v>124</v>
      </c>
      <c r="B1281" s="75" t="s">
        <v>1412</v>
      </c>
      <c r="C1281" s="39" t="s">
        <v>17</v>
      </c>
      <c r="D1281" s="236"/>
      <c r="E1281" s="236"/>
      <c r="F1281" s="236"/>
      <c r="G1281" s="236"/>
      <c r="H1281" s="40">
        <f>SUM(Tabla132112413[[#This Row],[PRIMER TRIMESTRE]:[CUARTO TRIMESTRE]])</f>
        <v>0</v>
      </c>
      <c r="I1281" s="17">
        <v>250</v>
      </c>
      <c r="J1281" s="17">
        <f t="shared" si="33"/>
        <v>0</v>
      </c>
      <c r="K1281" s="17"/>
      <c r="L1281" s="16" t="s">
        <v>27</v>
      </c>
      <c r="M1281" s="16" t="s">
        <v>22</v>
      </c>
      <c r="N1281" s="39" t="s">
        <v>342</v>
      </c>
    </row>
    <row r="1282" spans="1:14" s="12" customFormat="1" ht="30.75" customHeight="1">
      <c r="A1282" s="178" t="s">
        <v>124</v>
      </c>
      <c r="B1282" s="75" t="s">
        <v>1105</v>
      </c>
      <c r="C1282" s="39" t="s">
        <v>290</v>
      </c>
      <c r="D1282" s="236"/>
      <c r="E1282" s="236"/>
      <c r="F1282" s="236"/>
      <c r="G1282" s="236"/>
      <c r="H1282" s="40">
        <f>SUM(Tabla132112413[[#This Row],[PRIMER TRIMESTRE]:[CUARTO TRIMESTRE]])</f>
        <v>0</v>
      </c>
      <c r="I1282" s="17">
        <v>250</v>
      </c>
      <c r="J1282" s="17">
        <f t="shared" si="33"/>
        <v>0</v>
      </c>
      <c r="K1282" s="17"/>
      <c r="L1282" s="16" t="s">
        <v>27</v>
      </c>
      <c r="M1282" s="16" t="s">
        <v>22</v>
      </c>
      <c r="N1282" s="39" t="s">
        <v>342</v>
      </c>
    </row>
    <row r="1283" spans="1:14" s="12" customFormat="1" ht="30.75" customHeight="1">
      <c r="A1283" s="178" t="s">
        <v>124</v>
      </c>
      <c r="B1283" s="75" t="s">
        <v>1097</v>
      </c>
      <c r="C1283" s="39" t="s">
        <v>1067</v>
      </c>
      <c r="D1283" s="236">
        <v>12</v>
      </c>
      <c r="E1283" s="236"/>
      <c r="F1283" s="236"/>
      <c r="G1283" s="236"/>
      <c r="H1283" s="40">
        <f>SUM(Tabla132112413[[#This Row],[PRIMER TRIMESTRE]:[CUARTO TRIMESTRE]])</f>
        <v>12</v>
      </c>
      <c r="I1283" s="17">
        <v>53</v>
      </c>
      <c r="J1283" s="17">
        <f t="shared" si="33"/>
        <v>636</v>
      </c>
      <c r="K1283" s="17"/>
      <c r="L1283" s="16" t="s">
        <v>27</v>
      </c>
      <c r="M1283" s="16" t="s">
        <v>22</v>
      </c>
      <c r="N1283" s="39" t="s">
        <v>342</v>
      </c>
    </row>
    <row r="1284" spans="1:14" s="12" customFormat="1" ht="30.75" customHeight="1">
      <c r="A1284" s="178" t="s">
        <v>124</v>
      </c>
      <c r="B1284" s="75" t="s">
        <v>1413</v>
      </c>
      <c r="C1284" s="39" t="s">
        <v>1414</v>
      </c>
      <c r="D1284" s="236">
        <v>2</v>
      </c>
      <c r="E1284" s="236"/>
      <c r="F1284" s="236"/>
      <c r="G1284" s="236"/>
      <c r="H1284" s="40">
        <f>SUM(Tabla132112413[[#This Row],[PRIMER TRIMESTRE]:[CUARTO TRIMESTRE]])</f>
        <v>2</v>
      </c>
      <c r="I1284" s="17">
        <v>450</v>
      </c>
      <c r="J1284" s="17">
        <f t="shared" si="33"/>
        <v>900</v>
      </c>
      <c r="K1284" s="17"/>
      <c r="L1284" s="16" t="s">
        <v>27</v>
      </c>
      <c r="M1284" s="16" t="s">
        <v>22</v>
      </c>
      <c r="N1284" s="39" t="s">
        <v>342</v>
      </c>
    </row>
    <row r="1285" spans="1:14" s="12" customFormat="1" ht="30.75" customHeight="1">
      <c r="A1285" s="178" t="s">
        <v>124</v>
      </c>
      <c r="B1285" s="75" t="s">
        <v>291</v>
      </c>
      <c r="C1285" s="39" t="s">
        <v>290</v>
      </c>
      <c r="D1285" s="236">
        <v>6</v>
      </c>
      <c r="E1285" s="236"/>
      <c r="F1285" s="236"/>
      <c r="G1285" s="236"/>
      <c r="H1285" s="40">
        <f>SUM(Tabla132112413[[#This Row],[PRIMER TRIMESTRE]:[CUARTO TRIMESTRE]])</f>
        <v>6</v>
      </c>
      <c r="I1285" s="17">
        <v>121.8</v>
      </c>
      <c r="J1285" s="17">
        <f>+Tabla132112413[[#This Row],[CANTIDAD TOTAL]]*Tabla132112413[[#This Row],[PRECIO UNITARIO ESTIMADO]]</f>
        <v>730.8</v>
      </c>
      <c r="K1285" s="17"/>
      <c r="L1285" s="16" t="s">
        <v>27</v>
      </c>
      <c r="M1285" s="16" t="s">
        <v>22</v>
      </c>
      <c r="N1285" s="39" t="s">
        <v>342</v>
      </c>
    </row>
    <row r="1286" spans="1:14" s="12" customFormat="1" ht="30.75" customHeight="1">
      <c r="A1286" s="178" t="s">
        <v>124</v>
      </c>
      <c r="B1286" s="75" t="s">
        <v>469</v>
      </c>
      <c r="C1286" s="39" t="s">
        <v>17</v>
      </c>
      <c r="D1286" s="236">
        <v>3</v>
      </c>
      <c r="E1286" s="236"/>
      <c r="F1286" s="236"/>
      <c r="G1286" s="236"/>
      <c r="H1286" s="40">
        <f>SUM(Tabla132112413[[#This Row],[PRIMER TRIMESTRE]:[CUARTO TRIMESTRE]])</f>
        <v>3</v>
      </c>
      <c r="I1286" s="17">
        <v>217.18</v>
      </c>
      <c r="J1286" s="17">
        <f>+H1286*I1286</f>
        <v>651.54</v>
      </c>
      <c r="K1286" s="17"/>
      <c r="L1286" s="16" t="s">
        <v>27</v>
      </c>
      <c r="M1286" s="16" t="s">
        <v>22</v>
      </c>
      <c r="N1286" s="39" t="s">
        <v>342</v>
      </c>
    </row>
    <row r="1287" spans="1:14" s="12" customFormat="1" ht="30.75" customHeight="1">
      <c r="A1287" s="178" t="s">
        <v>124</v>
      </c>
      <c r="B1287" s="75" t="s">
        <v>741</v>
      </c>
      <c r="C1287" s="39" t="s">
        <v>17</v>
      </c>
      <c r="D1287" s="236">
        <v>6</v>
      </c>
      <c r="E1287" s="236"/>
      <c r="F1287" s="236"/>
      <c r="G1287" s="236"/>
      <c r="H1287" s="40">
        <f>SUM(Tabla132112413[[#This Row],[PRIMER TRIMESTRE]:[CUARTO TRIMESTRE]])</f>
        <v>6</v>
      </c>
      <c r="I1287" s="17">
        <v>217.18</v>
      </c>
      <c r="J1287" s="17">
        <f>+Tabla132112413[[#This Row],[CANTIDAD TOTAL]]*Tabla132112413[[#This Row],[PRECIO UNITARIO ESTIMADO]]</f>
        <v>1303.08</v>
      </c>
      <c r="K1287" s="17"/>
      <c r="L1287" s="16" t="s">
        <v>27</v>
      </c>
      <c r="M1287" s="16" t="s">
        <v>22</v>
      </c>
      <c r="N1287" s="39" t="s">
        <v>342</v>
      </c>
    </row>
    <row r="1288" spans="1:14" s="12" customFormat="1" ht="30.75" customHeight="1">
      <c r="A1288" s="178" t="s">
        <v>124</v>
      </c>
      <c r="B1288" s="75" t="s">
        <v>292</v>
      </c>
      <c r="C1288" s="39" t="s">
        <v>17</v>
      </c>
      <c r="D1288" s="236"/>
      <c r="E1288" s="236"/>
      <c r="F1288" s="236"/>
      <c r="G1288" s="236"/>
      <c r="H1288" s="40">
        <f>SUM(Tabla132112413[[#This Row],[PRIMER TRIMESTRE]:[CUARTO TRIMESTRE]])</f>
        <v>0</v>
      </c>
      <c r="I1288" s="17">
        <v>377.54</v>
      </c>
      <c r="J1288" s="17">
        <f>+Tabla132112413[[#This Row],[CANTIDAD TOTAL]]*Tabla132112413[[#This Row],[PRECIO UNITARIO ESTIMADO]]</f>
        <v>0</v>
      </c>
      <c r="K1288" s="17"/>
      <c r="L1288" s="16" t="s">
        <v>27</v>
      </c>
      <c r="M1288" s="16" t="s">
        <v>22</v>
      </c>
      <c r="N1288" s="39" t="s">
        <v>342</v>
      </c>
    </row>
    <row r="1289" spans="1:14" s="12" customFormat="1" ht="30.75" customHeight="1">
      <c r="A1289" s="178" t="s">
        <v>124</v>
      </c>
      <c r="B1289" s="75" t="s">
        <v>725</v>
      </c>
      <c r="C1289" s="39" t="s">
        <v>17</v>
      </c>
      <c r="D1289" s="236">
        <v>4</v>
      </c>
      <c r="E1289" s="236"/>
      <c r="F1289" s="236"/>
      <c r="G1289" s="236"/>
      <c r="H1289" s="40">
        <f>SUM(Tabla132112413[[#This Row],[PRIMER TRIMESTRE]:[CUARTO TRIMESTRE]])</f>
        <v>4</v>
      </c>
      <c r="I1289" s="17">
        <v>90</v>
      </c>
      <c r="J1289" s="17">
        <f>+H1289*I1289</f>
        <v>360</v>
      </c>
      <c r="K1289" s="17"/>
      <c r="L1289" s="16" t="s">
        <v>27</v>
      </c>
      <c r="M1289" s="16" t="s">
        <v>22</v>
      </c>
      <c r="N1289" s="39" t="s">
        <v>342</v>
      </c>
    </row>
    <row r="1290" spans="1:14" s="12" customFormat="1" ht="30.75" customHeight="1">
      <c r="A1290" s="178" t="s">
        <v>124</v>
      </c>
      <c r="B1290" s="75" t="s">
        <v>294</v>
      </c>
      <c r="C1290" s="39" t="s">
        <v>17</v>
      </c>
      <c r="D1290" s="236"/>
      <c r="E1290" s="210"/>
      <c r="F1290" s="210"/>
      <c r="G1290" s="210"/>
      <c r="H1290" s="40">
        <f>SUM(Tabla132112413[[#This Row],[PRIMER TRIMESTRE]:[CUARTO TRIMESTRE]])</f>
        <v>0</v>
      </c>
      <c r="I1290" s="17">
        <v>424.95</v>
      </c>
      <c r="J1290" s="17">
        <f>+Tabla132112413[[#This Row],[CANTIDAD TOTAL]]*Tabla132112413[[#This Row],[PRECIO UNITARIO ESTIMADO]]</f>
        <v>0</v>
      </c>
      <c r="K1290" s="17"/>
      <c r="L1290" s="16" t="s">
        <v>27</v>
      </c>
      <c r="M1290" s="16" t="s">
        <v>22</v>
      </c>
      <c r="N1290" s="39" t="s">
        <v>342</v>
      </c>
    </row>
    <row r="1291" spans="1:14" s="12" customFormat="1" ht="30.75" customHeight="1">
      <c r="A1291" s="178" t="s">
        <v>124</v>
      </c>
      <c r="B1291" s="75" t="s">
        <v>331</v>
      </c>
      <c r="C1291" s="39" t="s">
        <v>33</v>
      </c>
      <c r="D1291" s="236"/>
      <c r="E1291" s="236"/>
      <c r="F1291" s="236"/>
      <c r="G1291" s="236"/>
      <c r="H1291" s="40">
        <f>SUM(Tabla132112413[[#This Row],[PRIMER TRIMESTRE]:[CUARTO TRIMESTRE]])</f>
        <v>0</v>
      </c>
      <c r="I1291" s="17">
        <v>404.45</v>
      </c>
      <c r="J1291" s="17">
        <f>+Tabla132112413[[#This Row],[CANTIDAD TOTAL]]*Tabla132112413[[#This Row],[PRECIO UNITARIO ESTIMADO]]</f>
        <v>0</v>
      </c>
      <c r="K1291" s="17"/>
      <c r="L1291" s="16" t="s">
        <v>27</v>
      </c>
      <c r="M1291" s="16" t="s">
        <v>22</v>
      </c>
      <c r="N1291" s="39" t="s">
        <v>342</v>
      </c>
    </row>
    <row r="1292" spans="1:14" s="12" customFormat="1" ht="30.75" customHeight="1">
      <c r="A1292" s="178" t="s">
        <v>124</v>
      </c>
      <c r="B1292" s="75" t="s">
        <v>724</v>
      </c>
      <c r="C1292" s="39" t="s">
        <v>17</v>
      </c>
      <c r="D1292" s="236">
        <v>3</v>
      </c>
      <c r="E1292" s="236"/>
      <c r="F1292" s="236"/>
      <c r="G1292" s="236"/>
      <c r="H1292" s="40">
        <f>SUM(Tabla132112413[[#This Row],[PRIMER TRIMESTRE]:[CUARTO TRIMESTRE]])</f>
        <v>3</v>
      </c>
      <c r="I1292" s="17">
        <v>140</v>
      </c>
      <c r="J1292" s="17">
        <f>+H1292*I1292</f>
        <v>420</v>
      </c>
      <c r="K1292" s="17"/>
      <c r="L1292" s="16" t="s">
        <v>27</v>
      </c>
      <c r="M1292" s="16" t="s">
        <v>22</v>
      </c>
      <c r="N1292" s="39" t="s">
        <v>342</v>
      </c>
    </row>
    <row r="1293" spans="1:14" s="12" customFormat="1" ht="30.75" customHeight="1">
      <c r="A1293" s="178" t="s">
        <v>124</v>
      </c>
      <c r="B1293" s="75" t="s">
        <v>1415</v>
      </c>
      <c r="C1293" s="39" t="s">
        <v>1461</v>
      </c>
      <c r="D1293" s="236">
        <v>1</v>
      </c>
      <c r="E1293" s="236"/>
      <c r="F1293" s="236"/>
      <c r="G1293" s="236"/>
      <c r="H1293" s="40">
        <f>SUM(Tabla132112413[[#This Row],[PRIMER TRIMESTRE]:[CUARTO TRIMESTRE]])</f>
        <v>1</v>
      </c>
      <c r="I1293" s="17">
        <v>55</v>
      </c>
      <c r="J1293" s="17">
        <f>+H1293*I1293</f>
        <v>55</v>
      </c>
      <c r="K1293" s="17"/>
      <c r="L1293" s="16" t="s">
        <v>27</v>
      </c>
      <c r="M1293" s="16" t="s">
        <v>22</v>
      </c>
      <c r="N1293" s="39" t="s">
        <v>342</v>
      </c>
    </row>
    <row r="1294" spans="1:14" s="26" customFormat="1" ht="30.75" customHeight="1">
      <c r="A1294" s="178" t="s">
        <v>124</v>
      </c>
      <c r="B1294" s="75" t="s">
        <v>1735</v>
      </c>
      <c r="C1294" s="39" t="s">
        <v>1461</v>
      </c>
      <c r="D1294" s="236">
        <v>1</v>
      </c>
      <c r="E1294" s="236"/>
      <c r="F1294" s="236"/>
      <c r="G1294" s="236"/>
      <c r="H1294" s="40">
        <v>0</v>
      </c>
      <c r="I1294" s="17">
        <v>0</v>
      </c>
      <c r="J1294" s="17">
        <v>0</v>
      </c>
      <c r="K1294" s="17"/>
      <c r="L1294" s="16" t="s">
        <v>27</v>
      </c>
      <c r="M1294" s="16" t="s">
        <v>22</v>
      </c>
      <c r="N1294" s="39" t="s">
        <v>342</v>
      </c>
    </row>
    <row r="1295" spans="1:14" s="12" customFormat="1" ht="30.75" customHeight="1">
      <c r="A1295" s="178" t="s">
        <v>124</v>
      </c>
      <c r="B1295" s="75" t="s">
        <v>1416</v>
      </c>
      <c r="C1295" s="39" t="s">
        <v>1461</v>
      </c>
      <c r="D1295" s="236">
        <v>1</v>
      </c>
      <c r="E1295" s="236"/>
      <c r="F1295" s="236"/>
      <c r="G1295" s="236"/>
      <c r="H1295" s="40">
        <f>SUM(Tabla132112413[[#This Row],[PRIMER TRIMESTRE]:[CUARTO TRIMESTRE]])</f>
        <v>1</v>
      </c>
      <c r="I1295" s="17">
        <v>100</v>
      </c>
      <c r="J1295" s="17">
        <f>+H1295*I1295</f>
        <v>100</v>
      </c>
      <c r="K1295" s="17"/>
      <c r="L1295" s="16" t="s">
        <v>27</v>
      </c>
      <c r="M1295" s="16" t="s">
        <v>22</v>
      </c>
      <c r="N1295" s="39" t="s">
        <v>342</v>
      </c>
    </row>
    <row r="1296" spans="1:14" s="12" customFormat="1" ht="30.75" customHeight="1">
      <c r="A1296" s="179" t="s">
        <v>124</v>
      </c>
      <c r="B1296" s="76"/>
      <c r="C1296" s="42"/>
      <c r="D1296" s="237"/>
      <c r="E1296" s="237"/>
      <c r="F1296" s="237"/>
      <c r="G1296" s="237"/>
      <c r="H1296" s="43"/>
      <c r="I1296" s="24"/>
      <c r="J1296" s="24"/>
      <c r="K1296" s="25">
        <f>SUM(J1269:J1295)</f>
        <v>9459.369999999999</v>
      </c>
      <c r="L1296" s="23"/>
      <c r="M1296" s="23"/>
      <c r="N1296" s="42"/>
    </row>
    <row r="1297" spans="1:14" s="12" customFormat="1" ht="30.75" customHeight="1">
      <c r="A1297" s="178" t="s">
        <v>295</v>
      </c>
      <c r="B1297" s="75" t="s">
        <v>296</v>
      </c>
      <c r="C1297" s="39" t="s">
        <v>17</v>
      </c>
      <c r="D1297" s="236"/>
      <c r="E1297" s="236"/>
      <c r="F1297" s="236"/>
      <c r="G1297" s="236"/>
      <c r="H1297" s="40">
        <f>SUM(Tabla132112413[[#This Row],[PRIMER TRIMESTRE]:[CUARTO TRIMESTRE]])</f>
        <v>0</v>
      </c>
      <c r="I1297" s="17">
        <v>5300.02</v>
      </c>
      <c r="J1297" s="17">
        <f>+Tabla132112413[[#This Row],[CANTIDAD TOTAL]]*Tabla132112413[[#This Row],[PRECIO UNITARIO ESTIMADO]]</f>
        <v>0</v>
      </c>
      <c r="K1297" s="17"/>
      <c r="L1297" s="16" t="s">
        <v>27</v>
      </c>
      <c r="M1297" s="16" t="s">
        <v>22</v>
      </c>
      <c r="N1297" s="39" t="s">
        <v>342</v>
      </c>
    </row>
    <row r="1298" spans="1:14" s="12" customFormat="1" ht="30.75" customHeight="1">
      <c r="A1298" s="178" t="s">
        <v>295</v>
      </c>
      <c r="B1298" s="75" t="s">
        <v>297</v>
      </c>
      <c r="C1298" s="39" t="s">
        <v>17</v>
      </c>
      <c r="D1298" s="236"/>
      <c r="E1298" s="236"/>
      <c r="F1298" s="236"/>
      <c r="G1298" s="236"/>
      <c r="H1298" s="40">
        <f>SUM(Tabla132112413[[#This Row],[PRIMER TRIMESTRE]:[CUARTO TRIMESTRE]])</f>
        <v>0</v>
      </c>
      <c r="I1298" s="17">
        <v>11775.77</v>
      </c>
      <c r="J1298" s="17">
        <f>+Tabla132112413[[#This Row],[CANTIDAD TOTAL]]*Tabla132112413[[#This Row],[PRECIO UNITARIO ESTIMADO]]</f>
        <v>0</v>
      </c>
      <c r="K1298" s="17"/>
      <c r="L1298" s="16" t="s">
        <v>27</v>
      </c>
      <c r="M1298" s="16" t="s">
        <v>22</v>
      </c>
      <c r="N1298" s="39" t="s">
        <v>342</v>
      </c>
    </row>
    <row r="1299" spans="1:14" s="12" customFormat="1" ht="30.75" customHeight="1">
      <c r="A1299" s="178" t="s">
        <v>295</v>
      </c>
      <c r="B1299" s="75" t="s">
        <v>298</v>
      </c>
      <c r="C1299" s="39" t="s">
        <v>17</v>
      </c>
      <c r="D1299" s="236"/>
      <c r="E1299" s="236"/>
      <c r="F1299" s="236"/>
      <c r="G1299" s="236"/>
      <c r="H1299" s="40">
        <f>SUM(Tabla132112413[[#This Row],[PRIMER TRIMESTRE]:[CUARTO TRIMESTRE]])</f>
        <v>0</v>
      </c>
      <c r="I1299" s="17">
        <v>18999.439999999999</v>
      </c>
      <c r="J1299" s="17">
        <f>+Tabla132112413[[#This Row],[CANTIDAD TOTAL]]*Tabla132112413[[#This Row],[PRECIO UNITARIO ESTIMADO]]</f>
        <v>0</v>
      </c>
      <c r="K1299" s="17"/>
      <c r="L1299" s="16" t="s">
        <v>27</v>
      </c>
      <c r="M1299" s="16" t="s">
        <v>22</v>
      </c>
      <c r="N1299" s="39" t="s">
        <v>342</v>
      </c>
    </row>
    <row r="1300" spans="1:14" s="12" customFormat="1" ht="30.75" customHeight="1">
      <c r="A1300" s="178" t="s">
        <v>295</v>
      </c>
      <c r="B1300" s="75" t="s">
        <v>299</v>
      </c>
      <c r="C1300" s="39" t="s">
        <v>17</v>
      </c>
      <c r="D1300" s="236">
        <v>1</v>
      </c>
      <c r="E1300" s="236"/>
      <c r="F1300" s="236"/>
      <c r="G1300" s="236"/>
      <c r="H1300" s="40">
        <f>SUM(Tabla132112413[[#This Row],[PRIMER TRIMESTRE]:[CUARTO TRIMESTRE]])</f>
        <v>1</v>
      </c>
      <c r="I1300" s="17">
        <v>784</v>
      </c>
      <c r="J1300" s="17">
        <f>+Tabla132112413[[#This Row],[CANTIDAD TOTAL]]*Tabla132112413[[#This Row],[PRECIO UNITARIO ESTIMADO]]</f>
        <v>784</v>
      </c>
      <c r="K1300" s="17"/>
      <c r="L1300" s="16" t="s">
        <v>27</v>
      </c>
      <c r="M1300" s="16" t="s">
        <v>22</v>
      </c>
      <c r="N1300" s="39" t="s">
        <v>342</v>
      </c>
    </row>
    <row r="1301" spans="1:14" s="12" customFormat="1" ht="30.75" customHeight="1">
      <c r="A1301" s="178" t="s">
        <v>295</v>
      </c>
      <c r="B1301" s="75" t="s">
        <v>300</v>
      </c>
      <c r="C1301" s="39" t="s">
        <v>17</v>
      </c>
      <c r="D1301" s="236">
        <v>1</v>
      </c>
      <c r="E1301" s="236"/>
      <c r="F1301" s="236"/>
      <c r="G1301" s="236"/>
      <c r="H1301" s="40">
        <f>SUM(Tabla132112413[[#This Row],[PRIMER TRIMESTRE]:[CUARTO TRIMESTRE]])</f>
        <v>1</v>
      </c>
      <c r="I1301" s="17">
        <v>21495</v>
      </c>
      <c r="J1301" s="17">
        <f>+Tabla132112413[[#This Row],[CANTIDAD TOTAL]]*Tabla132112413[[#This Row],[PRECIO UNITARIO ESTIMADO]]</f>
        <v>21495</v>
      </c>
      <c r="K1301" s="17"/>
      <c r="L1301" s="16" t="s">
        <v>27</v>
      </c>
      <c r="M1301" s="16" t="s">
        <v>22</v>
      </c>
      <c r="N1301" s="39" t="s">
        <v>342</v>
      </c>
    </row>
    <row r="1302" spans="1:14" s="12" customFormat="1" ht="30.75" customHeight="1">
      <c r="A1302" s="178" t="s">
        <v>295</v>
      </c>
      <c r="B1302" s="75" t="s">
        <v>337</v>
      </c>
      <c r="C1302" s="39" t="s">
        <v>17</v>
      </c>
      <c r="D1302" s="236"/>
      <c r="E1302" s="236"/>
      <c r="F1302" s="236"/>
      <c r="G1302" s="236"/>
      <c r="H1302" s="40">
        <f>SUM(Tabla132112413[[#This Row],[PRIMER TRIMESTRE]:[CUARTO TRIMESTRE]])</f>
        <v>0</v>
      </c>
      <c r="I1302" s="17">
        <v>3225.3333333333335</v>
      </c>
      <c r="J1302" s="17">
        <f>+Tabla132112413[[#This Row],[CANTIDAD TOTAL]]*Tabla132112413[[#This Row],[PRECIO UNITARIO ESTIMADO]]</f>
        <v>0</v>
      </c>
      <c r="K1302" s="17"/>
      <c r="L1302" s="16" t="s">
        <v>27</v>
      </c>
      <c r="M1302" s="16" t="s">
        <v>22</v>
      </c>
      <c r="N1302" s="39" t="s">
        <v>418</v>
      </c>
    </row>
    <row r="1303" spans="1:14" s="12" customFormat="1" ht="30.75" customHeight="1">
      <c r="A1303" s="178" t="s">
        <v>295</v>
      </c>
      <c r="B1303" s="75" t="s">
        <v>441</v>
      </c>
      <c r="C1303" s="39" t="s">
        <v>17</v>
      </c>
      <c r="D1303" s="236"/>
      <c r="E1303" s="236"/>
      <c r="F1303" s="236"/>
      <c r="G1303" s="236"/>
      <c r="H1303" s="40">
        <f>SUM(Tabla132112413[[#This Row],[PRIMER TRIMESTRE]:[CUARTO TRIMESTRE]])</f>
        <v>0</v>
      </c>
      <c r="I1303" s="17">
        <v>9000</v>
      </c>
      <c r="J1303" s="17">
        <f>+H1303*I1303</f>
        <v>0</v>
      </c>
      <c r="K1303" s="17"/>
      <c r="L1303" s="16" t="s">
        <v>27</v>
      </c>
      <c r="M1303" s="16" t="s">
        <v>22</v>
      </c>
      <c r="N1303" s="39" t="s">
        <v>342</v>
      </c>
    </row>
    <row r="1304" spans="1:14" s="12" customFormat="1" ht="30.75" customHeight="1">
      <c r="A1304" s="178" t="s">
        <v>295</v>
      </c>
      <c r="B1304" s="75" t="s">
        <v>301</v>
      </c>
      <c r="C1304" s="39" t="s">
        <v>17</v>
      </c>
      <c r="D1304" s="236">
        <v>1</v>
      </c>
      <c r="E1304" s="236"/>
      <c r="F1304" s="236"/>
      <c r="G1304" s="236"/>
      <c r="H1304" s="40">
        <f>SUM(Tabla132112413[[#This Row],[PRIMER TRIMESTRE]:[CUARTO TRIMESTRE]])</f>
        <v>1</v>
      </c>
      <c r="I1304" s="17">
        <v>8004</v>
      </c>
      <c r="J1304" s="17">
        <f>+Tabla132112413[[#This Row],[CANTIDAD TOTAL]]*Tabla132112413[[#This Row],[PRECIO UNITARIO ESTIMADO]]</f>
        <v>8004</v>
      </c>
      <c r="K1304" s="17"/>
      <c r="L1304" s="16" t="s">
        <v>27</v>
      </c>
      <c r="M1304" s="16" t="s">
        <v>22</v>
      </c>
      <c r="N1304" s="39" t="s">
        <v>342</v>
      </c>
    </row>
    <row r="1305" spans="1:14" s="12" customFormat="1" ht="30.75" customHeight="1">
      <c r="A1305" s="178" t="s">
        <v>295</v>
      </c>
      <c r="B1305" s="75" t="s">
        <v>316</v>
      </c>
      <c r="C1305" s="39" t="s">
        <v>17</v>
      </c>
      <c r="D1305" s="236"/>
      <c r="E1305" s="236"/>
      <c r="F1305" s="236"/>
      <c r="G1305" s="236"/>
      <c r="H1305" s="40">
        <f>SUM(Tabla132112413[[#This Row],[PRIMER TRIMESTRE]:[CUARTO TRIMESTRE]])</f>
        <v>0</v>
      </c>
      <c r="I1305" s="17">
        <v>8802.7999999999993</v>
      </c>
      <c r="J1305" s="17">
        <f>+Tabla132112413[[#This Row],[CANTIDAD TOTAL]]*Tabla132112413[[#This Row],[PRECIO UNITARIO ESTIMADO]]</f>
        <v>0</v>
      </c>
      <c r="K1305" s="17"/>
      <c r="L1305" s="16" t="s">
        <v>27</v>
      </c>
      <c r="M1305" s="16" t="s">
        <v>22</v>
      </c>
      <c r="N1305" s="39" t="s">
        <v>342</v>
      </c>
    </row>
    <row r="1306" spans="1:14" s="26" customFormat="1" ht="30.75" customHeight="1">
      <c r="A1306" s="178" t="s">
        <v>295</v>
      </c>
      <c r="B1306" s="75" t="s">
        <v>322</v>
      </c>
      <c r="C1306" s="39" t="s">
        <v>17</v>
      </c>
      <c r="D1306" s="236"/>
      <c r="E1306" s="236"/>
      <c r="F1306" s="236"/>
      <c r="G1306" s="236"/>
      <c r="H1306" s="40">
        <f>SUM(Tabla132112413[[#This Row],[PRIMER TRIMESTRE]:[CUARTO TRIMESTRE]])</f>
        <v>0</v>
      </c>
      <c r="I1306" s="17">
        <v>64546</v>
      </c>
      <c r="J1306" s="17">
        <f>+Tabla132112413[[#This Row],[CANTIDAD TOTAL]]*Tabla132112413[[#This Row],[PRECIO UNITARIO ESTIMADO]]</f>
        <v>0</v>
      </c>
      <c r="K1306" s="17"/>
      <c r="L1306" s="16" t="s">
        <v>27</v>
      </c>
      <c r="M1306" s="16" t="s">
        <v>22</v>
      </c>
      <c r="N1306" s="39" t="s">
        <v>342</v>
      </c>
    </row>
    <row r="1307" spans="1:14" s="12" customFormat="1" ht="30.75" customHeight="1">
      <c r="A1307" s="178" t="s">
        <v>295</v>
      </c>
      <c r="B1307" s="75" t="s">
        <v>1423</v>
      </c>
      <c r="C1307" s="39" t="s">
        <v>17</v>
      </c>
      <c r="D1307" s="236">
        <v>1</v>
      </c>
      <c r="E1307" s="236"/>
      <c r="F1307" s="236"/>
      <c r="G1307" s="236"/>
      <c r="H1307" s="40">
        <f>SUM(Tabla132112413[[#This Row],[PRIMER TRIMESTRE]:[CUARTO TRIMESTRE]])</f>
        <v>1</v>
      </c>
      <c r="I1307" s="17">
        <v>24978.240000000002</v>
      </c>
      <c r="J1307" s="17">
        <f>+H1307*I1307</f>
        <v>24978.240000000002</v>
      </c>
      <c r="K1307" s="17"/>
      <c r="L1307" s="16" t="s">
        <v>15</v>
      </c>
      <c r="M1307" s="16" t="s">
        <v>22</v>
      </c>
      <c r="N1307" s="39" t="s">
        <v>342</v>
      </c>
    </row>
    <row r="1308" spans="1:14" s="12" customFormat="1" ht="30.75" customHeight="1">
      <c r="A1308" s="179" t="s">
        <v>295</v>
      </c>
      <c r="B1308" s="76"/>
      <c r="C1308" s="42"/>
      <c r="D1308" s="237"/>
      <c r="E1308" s="237"/>
      <c r="F1308" s="237"/>
      <c r="G1308" s="237"/>
      <c r="H1308" s="43"/>
      <c r="I1308" s="24"/>
      <c r="J1308" s="24"/>
      <c r="K1308" s="25">
        <f>SUM(J1297:J1307)</f>
        <v>55261.240000000005</v>
      </c>
      <c r="L1308" s="23"/>
      <c r="M1308" s="23"/>
      <c r="N1308" s="42"/>
    </row>
    <row r="1309" spans="1:14" s="12" customFormat="1" ht="30.75" customHeight="1">
      <c r="A1309" s="178" t="s">
        <v>147</v>
      </c>
      <c r="B1309" s="75" t="s">
        <v>302</v>
      </c>
      <c r="C1309" s="39" t="s">
        <v>17</v>
      </c>
      <c r="D1309" s="236">
        <v>100</v>
      </c>
      <c r="E1309" s="236"/>
      <c r="F1309" s="236"/>
      <c r="G1309" s="236"/>
      <c r="H1309" s="40">
        <f>SUM(Tabla132112413[[#This Row],[PRIMER TRIMESTRE]:[CUARTO TRIMESTRE]])</f>
        <v>100</v>
      </c>
      <c r="I1309" s="17">
        <v>452.4</v>
      </c>
      <c r="J1309" s="17">
        <f>+Tabla132112413[[#This Row],[CANTIDAD TOTAL]]*Tabla132112413[[#This Row],[PRECIO UNITARIO ESTIMADO]]</f>
        <v>45240</v>
      </c>
      <c r="K1309" s="17"/>
      <c r="L1309" s="16" t="s">
        <v>27</v>
      </c>
      <c r="M1309" s="16" t="s">
        <v>22</v>
      </c>
      <c r="N1309" s="39" t="s">
        <v>342</v>
      </c>
    </row>
    <row r="1310" spans="1:14" s="12" customFormat="1" ht="30.75" customHeight="1">
      <c r="A1310" s="178" t="s">
        <v>147</v>
      </c>
      <c r="B1310" s="75" t="s">
        <v>326</v>
      </c>
      <c r="C1310" s="39" t="s">
        <v>17</v>
      </c>
      <c r="D1310" s="236"/>
      <c r="E1310" s="236"/>
      <c r="F1310" s="236"/>
      <c r="G1310" s="236"/>
      <c r="H1310" s="40">
        <f>SUM(Tabla132112413[[#This Row],[PRIMER TRIMESTRE]:[CUARTO TRIMESTRE]])</f>
        <v>0</v>
      </c>
      <c r="I1310" s="17">
        <v>2596</v>
      </c>
      <c r="J1310" s="17">
        <f>+Tabla132112413[[#This Row],[CANTIDAD TOTAL]]*Tabla132112413[[#This Row],[PRECIO UNITARIO ESTIMADO]]</f>
        <v>0</v>
      </c>
      <c r="K1310" s="17"/>
      <c r="L1310" s="16" t="s">
        <v>27</v>
      </c>
      <c r="M1310" s="16" t="s">
        <v>22</v>
      </c>
      <c r="N1310" s="39" t="s">
        <v>342</v>
      </c>
    </row>
    <row r="1311" spans="1:14" s="12" customFormat="1" ht="30.75" customHeight="1">
      <c r="A1311" s="180" t="s">
        <v>147</v>
      </c>
      <c r="B1311" s="77" t="s">
        <v>332</v>
      </c>
      <c r="C1311" s="70" t="s">
        <v>17</v>
      </c>
      <c r="D1311" s="210"/>
      <c r="E1311" s="210"/>
      <c r="F1311" s="210"/>
      <c r="G1311" s="210"/>
      <c r="H1311" s="406">
        <f>SUM(Tabla132112413[[#This Row],[PRIMER TRIMESTRE]:[CUARTO TRIMESTRE]])</f>
        <v>0</v>
      </c>
      <c r="I1311" s="17">
        <v>460.2</v>
      </c>
      <c r="J1311" s="17">
        <f>+Tabla132112413[[#This Row],[CANTIDAD TOTAL]]*Tabla132112413[[#This Row],[PRECIO UNITARIO ESTIMADO]]</f>
        <v>0</v>
      </c>
      <c r="K1311" s="17"/>
      <c r="L1311" s="16" t="s">
        <v>27</v>
      </c>
      <c r="M1311" s="16" t="s">
        <v>22</v>
      </c>
      <c r="N1311" s="39" t="s">
        <v>342</v>
      </c>
    </row>
    <row r="1312" spans="1:14" s="12" customFormat="1" ht="30.75" customHeight="1">
      <c r="A1312" s="178" t="s">
        <v>147</v>
      </c>
      <c r="B1312" s="75" t="s">
        <v>333</v>
      </c>
      <c r="C1312" s="39" t="s">
        <v>17</v>
      </c>
      <c r="D1312" s="236">
        <v>100</v>
      </c>
      <c r="E1312" s="236"/>
      <c r="F1312" s="236"/>
      <c r="G1312" s="236"/>
      <c r="H1312" s="40">
        <f>SUM(Tabla132112413[[#This Row],[PRIMER TRIMESTRE]:[CUARTO TRIMESTRE]])</f>
        <v>100</v>
      </c>
      <c r="I1312" s="17">
        <f>76995/450</f>
        <v>171.1</v>
      </c>
      <c r="J1312" s="17">
        <f>+Tabla132112413[[#This Row],[CANTIDAD TOTAL]]*Tabla132112413[[#This Row],[PRECIO UNITARIO ESTIMADO]]</f>
        <v>17110</v>
      </c>
      <c r="K1312" s="17"/>
      <c r="L1312" s="16" t="s">
        <v>27</v>
      </c>
      <c r="M1312" s="16" t="s">
        <v>22</v>
      </c>
      <c r="N1312" s="39" t="s">
        <v>342</v>
      </c>
    </row>
    <row r="1313" spans="1:14" s="12" customFormat="1" ht="30.75" customHeight="1">
      <c r="A1313" s="178" t="s">
        <v>147</v>
      </c>
      <c r="B1313" s="75" t="s">
        <v>1580</v>
      </c>
      <c r="C1313" s="39" t="s">
        <v>149</v>
      </c>
      <c r="D1313" s="236"/>
      <c r="E1313" s="236"/>
      <c r="F1313" s="236"/>
      <c r="G1313" s="236"/>
      <c r="H1313" s="236">
        <f>SUM(Tabla132112413[[#This Row],[PRIMER TRIMESTRE]:[CUARTO TRIMESTRE]])</f>
        <v>0</v>
      </c>
      <c r="I1313" s="17">
        <v>3250</v>
      </c>
      <c r="J1313" s="17">
        <f>+H1313*I1313</f>
        <v>0</v>
      </c>
      <c r="K1313" s="17"/>
      <c r="L1313" s="16" t="s">
        <v>27</v>
      </c>
      <c r="M1313" s="16" t="s">
        <v>22</v>
      </c>
      <c r="N1313" s="39" t="s">
        <v>342</v>
      </c>
    </row>
    <row r="1314" spans="1:14" s="12" customFormat="1" ht="30.75" customHeight="1">
      <c r="A1314" s="178" t="s">
        <v>147</v>
      </c>
      <c r="B1314" s="75" t="s">
        <v>1581</v>
      </c>
      <c r="C1314" s="39" t="s">
        <v>149</v>
      </c>
      <c r="D1314" s="236"/>
      <c r="E1314" s="236"/>
      <c r="F1314" s="236"/>
      <c r="G1314" s="236"/>
      <c r="H1314" s="236">
        <f>SUM(Tabla132112413[[#This Row],[PRIMER TRIMESTRE]:[CUARTO TRIMESTRE]])</f>
        <v>0</v>
      </c>
      <c r="I1314" s="17">
        <v>3250</v>
      </c>
      <c r="J1314" s="17">
        <f>+H1314*I1314</f>
        <v>0</v>
      </c>
      <c r="K1314" s="17"/>
      <c r="L1314" s="16" t="s">
        <v>27</v>
      </c>
      <c r="M1314" s="16" t="s">
        <v>22</v>
      </c>
      <c r="N1314" s="39" t="s">
        <v>342</v>
      </c>
    </row>
    <row r="1315" spans="1:14" s="12" customFormat="1" ht="30.75" customHeight="1">
      <c r="A1315" s="178" t="s">
        <v>147</v>
      </c>
      <c r="B1315" s="75" t="s">
        <v>1579</v>
      </c>
      <c r="C1315" s="39" t="s">
        <v>149</v>
      </c>
      <c r="D1315" s="236"/>
      <c r="E1315" s="236"/>
      <c r="F1315" s="236"/>
      <c r="G1315" s="236"/>
      <c r="H1315" s="236">
        <f>SUM(Tabla132112413[[#This Row],[PRIMER TRIMESTRE]:[CUARTO TRIMESTRE]])</f>
        <v>0</v>
      </c>
      <c r="I1315" s="17">
        <v>3250</v>
      </c>
      <c r="J1315" s="17">
        <f>+H1315*I1315</f>
        <v>0</v>
      </c>
      <c r="K1315" s="17"/>
      <c r="L1315" s="16" t="s">
        <v>27</v>
      </c>
      <c r="M1315" s="16" t="s">
        <v>22</v>
      </c>
      <c r="N1315" s="39" t="s">
        <v>342</v>
      </c>
    </row>
    <row r="1316" spans="1:14" s="12" customFormat="1" ht="30.75" customHeight="1">
      <c r="A1316" s="178" t="s">
        <v>147</v>
      </c>
      <c r="B1316" s="75" t="s">
        <v>303</v>
      </c>
      <c r="C1316" s="39" t="s">
        <v>149</v>
      </c>
      <c r="D1316" s="236"/>
      <c r="E1316" s="236"/>
      <c r="F1316" s="236"/>
      <c r="G1316" s="236"/>
      <c r="H1316" s="236">
        <f>SUM(Tabla132112413[[#This Row],[PRIMER TRIMESTRE]:[CUARTO TRIMESTRE]])</f>
        <v>0</v>
      </c>
      <c r="I1316" s="17">
        <v>1856</v>
      </c>
      <c r="J1316" s="17">
        <f>+Tabla132112413[[#This Row],[CANTIDAD TOTAL]]*Tabla132112413[[#This Row],[PRECIO UNITARIO ESTIMADO]]</f>
        <v>0</v>
      </c>
      <c r="K1316" s="17"/>
      <c r="L1316" s="16" t="s">
        <v>27</v>
      </c>
      <c r="M1316" s="16" t="s">
        <v>22</v>
      </c>
      <c r="N1316" s="39" t="s">
        <v>342</v>
      </c>
    </row>
    <row r="1317" spans="1:14" s="12" customFormat="1" ht="30.75" customHeight="1">
      <c r="A1317" s="178" t="s">
        <v>147</v>
      </c>
      <c r="B1317" s="75" t="s">
        <v>1582</v>
      </c>
      <c r="C1317" s="39" t="s">
        <v>149</v>
      </c>
      <c r="D1317" s="236"/>
      <c r="E1317" s="236"/>
      <c r="F1317" s="236"/>
      <c r="G1317" s="236"/>
      <c r="H1317" s="236">
        <f>SUM(Tabla132112413[[#This Row],[PRIMER TRIMESTRE]:[CUARTO TRIMESTRE]])</f>
        <v>0</v>
      </c>
      <c r="I1317" s="17">
        <v>1680</v>
      </c>
      <c r="J1317" s="17">
        <f>+H1317*I1317</f>
        <v>0</v>
      </c>
      <c r="K1317" s="17"/>
      <c r="L1317" s="16" t="s">
        <v>27</v>
      </c>
      <c r="M1317" s="16" t="s">
        <v>22</v>
      </c>
      <c r="N1317" s="39" t="s">
        <v>342</v>
      </c>
    </row>
    <row r="1318" spans="1:14" s="12" customFormat="1" ht="30.75" customHeight="1">
      <c r="A1318" s="178" t="s">
        <v>147</v>
      </c>
      <c r="B1318" s="75" t="s">
        <v>1583</v>
      </c>
      <c r="C1318" s="39" t="s">
        <v>149</v>
      </c>
      <c r="D1318" s="236"/>
      <c r="E1318" s="236"/>
      <c r="F1318" s="236"/>
      <c r="G1318" s="236"/>
      <c r="H1318" s="236">
        <f>SUM(Tabla132112413[[#This Row],[PRIMER TRIMESTRE]:[CUARTO TRIMESTRE]])</f>
        <v>0</v>
      </c>
      <c r="I1318" s="17">
        <v>1615</v>
      </c>
      <c r="J1318" s="17">
        <f>+H1318*I1318</f>
        <v>0</v>
      </c>
      <c r="K1318" s="17"/>
      <c r="L1318" s="16" t="s">
        <v>27</v>
      </c>
      <c r="M1318" s="16" t="s">
        <v>22</v>
      </c>
      <c r="N1318" s="39" t="s">
        <v>342</v>
      </c>
    </row>
    <row r="1319" spans="1:14" s="12" customFormat="1" ht="30.75" customHeight="1">
      <c r="A1319" s="178" t="s">
        <v>147</v>
      </c>
      <c r="B1319" s="75" t="s">
        <v>1584</v>
      </c>
      <c r="C1319" s="39" t="s">
        <v>149</v>
      </c>
      <c r="D1319" s="236"/>
      <c r="E1319" s="236"/>
      <c r="F1319" s="236"/>
      <c r="G1319" s="236"/>
      <c r="H1319" s="236">
        <f>SUM(Tabla132112413[[#This Row],[PRIMER TRIMESTRE]:[CUARTO TRIMESTRE]])</f>
        <v>0</v>
      </c>
      <c r="I1319" s="17">
        <v>1615</v>
      </c>
      <c r="J1319" s="17">
        <f>+H1319*I1319</f>
        <v>0</v>
      </c>
      <c r="K1319" s="17"/>
      <c r="L1319" s="16" t="s">
        <v>27</v>
      </c>
      <c r="M1319" s="16" t="s">
        <v>22</v>
      </c>
      <c r="N1319" s="39" t="s">
        <v>342</v>
      </c>
    </row>
    <row r="1320" spans="1:14" s="12" customFormat="1" ht="30.75" customHeight="1">
      <c r="A1320" s="178" t="s">
        <v>147</v>
      </c>
      <c r="B1320" s="75" t="s">
        <v>1585</v>
      </c>
      <c r="C1320" s="39" t="s">
        <v>149</v>
      </c>
      <c r="D1320" s="236"/>
      <c r="E1320" s="236"/>
      <c r="F1320" s="236"/>
      <c r="G1320" s="236"/>
      <c r="H1320" s="236">
        <f>SUM(Tabla132112413[[#This Row],[PRIMER TRIMESTRE]:[CUARTO TRIMESTRE]])</f>
        <v>0</v>
      </c>
      <c r="I1320" s="17">
        <v>1615</v>
      </c>
      <c r="J1320" s="17">
        <f>+H1320*I1320</f>
        <v>0</v>
      </c>
      <c r="K1320" s="17"/>
      <c r="L1320" s="16" t="s">
        <v>27</v>
      </c>
      <c r="M1320" s="16" t="s">
        <v>22</v>
      </c>
      <c r="N1320" s="39" t="s">
        <v>342</v>
      </c>
    </row>
    <row r="1321" spans="1:14" s="12" customFormat="1" ht="30.75" customHeight="1">
      <c r="A1321" s="178" t="s">
        <v>147</v>
      </c>
      <c r="B1321" s="75" t="s">
        <v>1586</v>
      </c>
      <c r="C1321" s="39" t="s">
        <v>149</v>
      </c>
      <c r="D1321" s="236"/>
      <c r="E1321" s="236"/>
      <c r="F1321" s="236"/>
      <c r="G1321" s="236"/>
      <c r="H1321" s="236">
        <f>SUM(Tabla132112413[[#This Row],[PRIMER TRIMESTRE]:[CUARTO TRIMESTRE]])</f>
        <v>0</v>
      </c>
      <c r="I1321" s="17">
        <v>1615</v>
      </c>
      <c r="J1321" s="17">
        <f>+H1321*I1321</f>
        <v>0</v>
      </c>
      <c r="K1321" s="17"/>
      <c r="L1321" s="16" t="s">
        <v>27</v>
      </c>
      <c r="M1321" s="16" t="s">
        <v>22</v>
      </c>
      <c r="N1321" s="39" t="s">
        <v>342</v>
      </c>
    </row>
    <row r="1322" spans="1:14" s="12" customFormat="1" ht="30.75" customHeight="1">
      <c r="A1322" s="178" t="s">
        <v>147</v>
      </c>
      <c r="B1322" s="75" t="s">
        <v>1272</v>
      </c>
      <c r="C1322" s="39" t="s">
        <v>149</v>
      </c>
      <c r="D1322" s="236"/>
      <c r="E1322" s="236"/>
      <c r="F1322" s="236"/>
      <c r="G1322" s="236"/>
      <c r="H1322" s="40">
        <f>SUM(Tabla132112413[[#This Row],[PRIMER TRIMESTRE]:[CUARTO TRIMESTRE]])</f>
        <v>0</v>
      </c>
      <c r="I1322" s="17">
        <v>488.31</v>
      </c>
      <c r="J1322" s="17">
        <f>+Tabla132112413[[#This Row],[CANTIDAD TOTAL]]*Tabla132112413[[#This Row],[PRECIO UNITARIO ESTIMADO]]</f>
        <v>0</v>
      </c>
      <c r="K1322" s="17"/>
      <c r="L1322" s="16" t="s">
        <v>27</v>
      </c>
      <c r="M1322" s="16" t="s">
        <v>22</v>
      </c>
      <c r="N1322" s="39" t="s">
        <v>342</v>
      </c>
    </row>
    <row r="1323" spans="1:14" s="12" customFormat="1" ht="30.75" customHeight="1">
      <c r="A1323" s="178" t="s">
        <v>147</v>
      </c>
      <c r="B1323" s="75" t="s">
        <v>1273</v>
      </c>
      <c r="C1323" s="39" t="s">
        <v>149</v>
      </c>
      <c r="D1323" s="236"/>
      <c r="E1323" s="241"/>
      <c r="F1323" s="236"/>
      <c r="G1323" s="236"/>
      <c r="H1323" s="40">
        <f>SUM(Tabla132112413[[#This Row],[PRIMER TRIMESTRE]:[CUARTO TRIMESTRE]])</f>
        <v>0</v>
      </c>
      <c r="I1323" s="17">
        <v>550.4</v>
      </c>
      <c r="J1323" s="17">
        <f>+H1323*I1323</f>
        <v>0</v>
      </c>
      <c r="K1323" s="17"/>
      <c r="L1323" s="16" t="s">
        <v>27</v>
      </c>
      <c r="M1323" s="16" t="s">
        <v>22</v>
      </c>
      <c r="N1323" s="39" t="s">
        <v>342</v>
      </c>
    </row>
    <row r="1324" spans="1:14" s="12" customFormat="1" ht="30.75" customHeight="1">
      <c r="A1324" s="178" t="s">
        <v>147</v>
      </c>
      <c r="B1324" s="75" t="s">
        <v>1274</v>
      </c>
      <c r="C1324" s="39" t="s">
        <v>17</v>
      </c>
      <c r="D1324" s="236"/>
      <c r="E1324" s="236"/>
      <c r="F1324" s="236"/>
      <c r="G1324" s="236"/>
      <c r="H1324" s="40">
        <f>SUM(Tabla132112413[[#This Row],[PRIMER TRIMESTRE]:[CUARTO TRIMESTRE]])</f>
        <v>0</v>
      </c>
      <c r="I1324" s="17">
        <v>450</v>
      </c>
      <c r="J1324" s="17">
        <f>+H1324*I1324</f>
        <v>0</v>
      </c>
      <c r="K1324" s="17"/>
      <c r="L1324" s="16" t="s">
        <v>27</v>
      </c>
      <c r="M1324" s="16" t="s">
        <v>22</v>
      </c>
      <c r="N1324" s="39" t="s">
        <v>342</v>
      </c>
    </row>
    <row r="1325" spans="1:14" s="26" customFormat="1" ht="30.75" customHeight="1">
      <c r="A1325" s="178" t="s">
        <v>147</v>
      </c>
      <c r="B1325" s="75" t="s">
        <v>1270</v>
      </c>
      <c r="C1325" s="39" t="s">
        <v>17</v>
      </c>
      <c r="D1325" s="236"/>
      <c r="E1325" s="236"/>
      <c r="F1325" s="236"/>
      <c r="G1325" s="236"/>
      <c r="H1325" s="40">
        <f>SUM(Tabla132112413[[#This Row],[PRIMER TRIMESTRE]:[CUARTO TRIMESTRE]])</f>
        <v>0</v>
      </c>
      <c r="I1325" s="17">
        <v>850</v>
      </c>
      <c r="J1325" s="17">
        <f>+H1325*I1325</f>
        <v>0</v>
      </c>
      <c r="K1325" s="17"/>
      <c r="L1325" s="16" t="s">
        <v>27</v>
      </c>
      <c r="M1325" s="16" t="s">
        <v>22</v>
      </c>
      <c r="N1325" s="39" t="s">
        <v>342</v>
      </c>
    </row>
    <row r="1326" spans="1:14" s="12" customFormat="1" ht="30.75" customHeight="1">
      <c r="A1326" s="178" t="s">
        <v>147</v>
      </c>
      <c r="B1326" s="75" t="s">
        <v>1271</v>
      </c>
      <c r="C1326" s="39" t="s">
        <v>17</v>
      </c>
      <c r="D1326" s="236"/>
      <c r="E1326" s="236"/>
      <c r="F1326" s="236"/>
      <c r="G1326" s="236"/>
      <c r="H1326" s="40">
        <f>SUM(Tabla132112413[[#This Row],[PRIMER TRIMESTRE]:[CUARTO TRIMESTRE]])</f>
        <v>0</v>
      </c>
      <c r="I1326" s="17">
        <v>250</v>
      </c>
      <c r="J1326" s="17">
        <f>+H1326*I1326</f>
        <v>0</v>
      </c>
      <c r="K1326" s="17"/>
      <c r="L1326" s="16" t="s">
        <v>27</v>
      </c>
      <c r="M1326" s="16" t="s">
        <v>22</v>
      </c>
      <c r="N1326" s="39" t="s">
        <v>342</v>
      </c>
    </row>
    <row r="1327" spans="1:14" s="12" customFormat="1" ht="30.75" customHeight="1">
      <c r="A1327" s="179" t="s">
        <v>147</v>
      </c>
      <c r="B1327" s="76"/>
      <c r="C1327" s="42"/>
      <c r="D1327" s="237"/>
      <c r="E1327" s="237"/>
      <c r="F1327" s="237"/>
      <c r="G1327" s="237"/>
      <c r="H1327" s="43"/>
      <c r="I1327" s="24"/>
      <c r="J1327" s="24"/>
      <c r="K1327" s="25">
        <f>SUM(J1309:J1326)</f>
        <v>62350</v>
      </c>
      <c r="L1327" s="23"/>
      <c r="M1327" s="23"/>
      <c r="N1327" s="42"/>
    </row>
    <row r="1328" spans="1:14" s="12" customFormat="1" ht="30.75" customHeight="1">
      <c r="A1328" s="178" t="s">
        <v>153</v>
      </c>
      <c r="B1328" s="75" t="s">
        <v>1908</v>
      </c>
      <c r="C1328" s="412" t="s">
        <v>17</v>
      </c>
      <c r="D1328" s="236"/>
      <c r="E1328" s="236"/>
      <c r="F1328" s="236"/>
      <c r="G1328" s="236"/>
      <c r="H1328" s="244">
        <f>SUM(Tabla132112413[[#This Row],[PRIMER TRIMESTRE]:[CUARTO TRIMESTRE]])</f>
        <v>0</v>
      </c>
      <c r="I1328" s="17">
        <v>0</v>
      </c>
      <c r="J1328" s="286"/>
      <c r="K1328" s="286"/>
      <c r="L1328" s="16" t="s">
        <v>15</v>
      </c>
      <c r="M1328" s="16" t="s">
        <v>22</v>
      </c>
      <c r="N1328" s="39" t="s">
        <v>342</v>
      </c>
    </row>
    <row r="1329" spans="1:14" s="12" customFormat="1" ht="30.75" customHeight="1">
      <c r="A1329" s="178" t="s">
        <v>1909</v>
      </c>
      <c r="B1329" s="75" t="s">
        <v>1910</v>
      </c>
      <c r="C1329" s="412" t="s">
        <v>17</v>
      </c>
      <c r="D1329" s="236"/>
      <c r="E1329" s="236"/>
      <c r="F1329" s="236"/>
      <c r="G1329" s="236"/>
      <c r="H1329" s="244">
        <v>0</v>
      </c>
      <c r="I1329" s="17">
        <v>0</v>
      </c>
      <c r="J1329" s="286"/>
      <c r="K1329" s="286"/>
      <c r="L1329" s="16" t="s">
        <v>15</v>
      </c>
      <c r="M1329" s="16" t="s">
        <v>22</v>
      </c>
      <c r="N1329" s="39" t="s">
        <v>342</v>
      </c>
    </row>
    <row r="1330" spans="1:14" s="12" customFormat="1" ht="30.75" customHeight="1">
      <c r="A1330" s="178" t="s">
        <v>1909</v>
      </c>
      <c r="B1330" s="75" t="s">
        <v>1911</v>
      </c>
      <c r="C1330" s="412" t="s">
        <v>17</v>
      </c>
      <c r="D1330" s="236"/>
      <c r="E1330" s="236"/>
      <c r="F1330" s="236"/>
      <c r="G1330" s="236"/>
      <c r="H1330" s="244">
        <f>SUM(Tabla132112413[[#This Row],[PRIMER TRIMESTRE]:[CUARTO TRIMESTRE]])</f>
        <v>0</v>
      </c>
      <c r="I1330" s="17">
        <v>1</v>
      </c>
      <c r="J1330" s="17"/>
      <c r="K1330" s="17"/>
      <c r="L1330" s="16" t="s">
        <v>15</v>
      </c>
      <c r="M1330" s="16" t="s">
        <v>22</v>
      </c>
      <c r="N1330" s="39" t="s">
        <v>342</v>
      </c>
    </row>
    <row r="1331" spans="1:14" s="12" customFormat="1" ht="30.75" customHeight="1">
      <c r="A1331" s="178" t="s">
        <v>153</v>
      </c>
      <c r="B1331" s="75" t="s">
        <v>1664</v>
      </c>
      <c r="C1331" s="412" t="s">
        <v>17</v>
      </c>
      <c r="D1331" s="236"/>
      <c r="E1331" s="236"/>
      <c r="F1331" s="236"/>
      <c r="G1331" s="236"/>
      <c r="H1331" s="244">
        <f>SUM(Tabla132112413[[#This Row],[PRIMER TRIMESTRE]:[CUARTO TRIMESTRE]])</f>
        <v>0</v>
      </c>
      <c r="I1331" s="17">
        <v>1</v>
      </c>
      <c r="J1331" s="17"/>
      <c r="K1331" s="17"/>
      <c r="L1331" s="16" t="s">
        <v>15</v>
      </c>
      <c r="M1331" s="16" t="s">
        <v>22</v>
      </c>
      <c r="N1331" s="39" t="s">
        <v>342</v>
      </c>
    </row>
    <row r="1332" spans="1:14" s="12" customFormat="1" ht="30.75" customHeight="1">
      <c r="A1332" s="178" t="s">
        <v>153</v>
      </c>
      <c r="B1332" s="75" t="s">
        <v>1665</v>
      </c>
      <c r="C1332" s="412" t="s">
        <v>17</v>
      </c>
      <c r="D1332" s="236"/>
      <c r="E1332" s="236"/>
      <c r="F1332" s="236"/>
      <c r="G1332" s="236"/>
      <c r="H1332" s="244">
        <f>SUM(Tabla132112413[[#This Row],[PRIMER TRIMESTRE]:[CUARTO TRIMESTRE]])</f>
        <v>0</v>
      </c>
      <c r="I1332" s="17">
        <v>0</v>
      </c>
      <c r="J1332" s="286"/>
      <c r="K1332" s="286"/>
      <c r="L1332" s="16" t="s">
        <v>15</v>
      </c>
      <c r="M1332" s="16" t="s">
        <v>22</v>
      </c>
      <c r="N1332" s="39" t="s">
        <v>342</v>
      </c>
    </row>
    <row r="1333" spans="1:14" s="12" customFormat="1" ht="30.75" customHeight="1">
      <c r="A1333" s="178" t="s">
        <v>153</v>
      </c>
      <c r="B1333" s="75" t="s">
        <v>768</v>
      </c>
      <c r="C1333" s="39" t="s">
        <v>17</v>
      </c>
      <c r="D1333" s="236"/>
      <c r="E1333" s="236"/>
      <c r="F1333" s="236"/>
      <c r="G1333" s="236"/>
      <c r="H1333" s="244">
        <f>SUM(Tabla132112413[[#This Row],[PRIMER TRIMESTRE]:[CUARTO TRIMESTRE]])</f>
        <v>0</v>
      </c>
      <c r="I1333" s="17">
        <v>48.75</v>
      </c>
      <c r="J1333" s="17">
        <f>+H1333*I1333</f>
        <v>0</v>
      </c>
      <c r="K1333" s="17"/>
      <c r="L1333" s="16" t="s">
        <v>15</v>
      </c>
      <c r="M1333" s="16" t="s">
        <v>22</v>
      </c>
      <c r="N1333" s="39" t="s">
        <v>342</v>
      </c>
    </row>
    <row r="1334" spans="1:14" s="12" customFormat="1" ht="30.75" customHeight="1">
      <c r="A1334" s="178" t="s">
        <v>153</v>
      </c>
      <c r="B1334" s="75" t="s">
        <v>1417</v>
      </c>
      <c r="C1334" s="39" t="s">
        <v>17</v>
      </c>
      <c r="D1334" s="236"/>
      <c r="E1334" s="236"/>
      <c r="F1334" s="236"/>
      <c r="G1334" s="236"/>
      <c r="H1334" s="236">
        <f>SUM(Tabla132112413[[#This Row],[PRIMER TRIMESTRE]:[CUARTO TRIMESTRE]])</f>
        <v>0</v>
      </c>
      <c r="I1334" s="17">
        <v>9</v>
      </c>
      <c r="J1334" s="17">
        <f>+H1334*I1334</f>
        <v>0</v>
      </c>
      <c r="K1334" s="17"/>
      <c r="L1334" s="16" t="s">
        <v>18</v>
      </c>
      <c r="M1334" s="16" t="s">
        <v>22</v>
      </c>
      <c r="N1334" s="39" t="s">
        <v>342</v>
      </c>
    </row>
    <row r="1335" spans="1:14" s="26" customFormat="1" ht="30.75" customHeight="1">
      <c r="A1335" s="178" t="s">
        <v>153</v>
      </c>
      <c r="B1335" s="75" t="s">
        <v>1627</v>
      </c>
      <c r="C1335" s="39" t="s">
        <v>17</v>
      </c>
      <c r="D1335" s="236"/>
      <c r="E1335" s="236"/>
      <c r="F1335" s="236"/>
      <c r="G1335" s="236"/>
      <c r="H1335" s="236">
        <f>SUM(Tabla132112413[[#This Row],[PRIMER TRIMESTRE]:[CUARTO TRIMESTRE]])</f>
        <v>0</v>
      </c>
      <c r="I1335" s="17">
        <v>30</v>
      </c>
      <c r="J1335" s="17">
        <f>+H1335*I1335</f>
        <v>0</v>
      </c>
      <c r="K1335" s="178"/>
      <c r="L1335" s="16" t="s">
        <v>18</v>
      </c>
      <c r="M1335" s="16" t="s">
        <v>22</v>
      </c>
      <c r="N1335" s="39" t="s">
        <v>342</v>
      </c>
    </row>
    <row r="1336" spans="1:14" s="169" customFormat="1" ht="30.75" customHeight="1">
      <c r="A1336" s="178" t="s">
        <v>153</v>
      </c>
      <c r="B1336" s="75" t="s">
        <v>1466</v>
      </c>
      <c r="C1336" s="39" t="s">
        <v>17</v>
      </c>
      <c r="D1336" s="236"/>
      <c r="E1336" s="236"/>
      <c r="F1336" s="236"/>
      <c r="G1336" s="236"/>
      <c r="H1336" s="244">
        <f>SUM(Tabla132112413[[#This Row],[PRIMER TRIMESTRE]:[CUARTO TRIMESTRE]])</f>
        <v>0</v>
      </c>
      <c r="I1336" s="17">
        <v>2200</v>
      </c>
      <c r="J1336" s="17">
        <f>+H1336*I1336</f>
        <v>0</v>
      </c>
      <c r="K1336" s="17"/>
      <c r="L1336" s="16" t="s">
        <v>18</v>
      </c>
      <c r="M1336" s="16" t="s">
        <v>22</v>
      </c>
      <c r="N1336" s="39" t="s">
        <v>342</v>
      </c>
    </row>
    <row r="1337" spans="1:14" s="169" customFormat="1" ht="49.5" customHeight="1">
      <c r="A1337" s="179" t="s">
        <v>153</v>
      </c>
      <c r="B1337" s="76"/>
      <c r="C1337" s="42"/>
      <c r="D1337" s="237"/>
      <c r="E1337" s="237"/>
      <c r="F1337" s="237"/>
      <c r="G1337" s="237"/>
      <c r="H1337" s="43"/>
      <c r="I1337" s="24"/>
      <c r="J1337" s="24"/>
      <c r="K1337" s="25">
        <f>SUM(J1333:J1336)</f>
        <v>0</v>
      </c>
      <c r="L1337" s="23"/>
      <c r="M1337" s="23"/>
      <c r="N1337" s="42"/>
    </row>
    <row r="1338" spans="1:14" s="169" customFormat="1" ht="51.75" customHeight="1">
      <c r="A1338" s="180" t="s">
        <v>1024</v>
      </c>
      <c r="B1338" s="77" t="s">
        <v>1025</v>
      </c>
      <c r="C1338" s="70" t="s">
        <v>17</v>
      </c>
      <c r="D1338" s="210"/>
      <c r="E1338" s="210"/>
      <c r="F1338" s="210"/>
      <c r="G1338" s="210"/>
      <c r="H1338" s="406">
        <f>SUM(Tabla132112413[[#This Row],[PRIMER TRIMESTRE]:[CUARTO TRIMESTRE]])</f>
        <v>0</v>
      </c>
      <c r="I1338" s="72">
        <v>2465459.7599999998</v>
      </c>
      <c r="J1338" s="72">
        <f t="shared" ref="J1338:J1343" si="34">+H1338*I1338</f>
        <v>0</v>
      </c>
      <c r="K1338" s="72"/>
      <c r="L1338" s="73" t="s">
        <v>18</v>
      </c>
      <c r="M1338" s="73" t="s">
        <v>19</v>
      </c>
      <c r="N1338" s="70"/>
    </row>
    <row r="1339" spans="1:14" s="169" customFormat="1" ht="54" customHeight="1">
      <c r="A1339" s="180" t="s">
        <v>1024</v>
      </c>
      <c r="B1339" s="77" t="s">
        <v>1026</v>
      </c>
      <c r="C1339" s="70" t="s">
        <v>17</v>
      </c>
      <c r="D1339" s="210"/>
      <c r="E1339" s="210"/>
      <c r="F1339" s="210"/>
      <c r="G1339" s="210"/>
      <c r="H1339" s="406">
        <f>SUM(Tabla132112413[[#This Row],[PRIMER TRIMESTRE]:[CUARTO TRIMESTRE]])</f>
        <v>0</v>
      </c>
      <c r="I1339" s="72">
        <v>485677.62</v>
      </c>
      <c r="J1339" s="72">
        <f t="shared" si="34"/>
        <v>0</v>
      </c>
      <c r="K1339" s="72"/>
      <c r="L1339" s="73" t="s">
        <v>18</v>
      </c>
      <c r="M1339" s="73" t="s">
        <v>19</v>
      </c>
      <c r="N1339" s="70" t="s">
        <v>342</v>
      </c>
    </row>
    <row r="1340" spans="1:14" s="169" customFormat="1" ht="48.75" customHeight="1">
      <c r="A1340" s="180" t="s">
        <v>1024</v>
      </c>
      <c r="B1340" s="77" t="s">
        <v>1027</v>
      </c>
      <c r="C1340" s="70" t="s">
        <v>17</v>
      </c>
      <c r="D1340" s="210"/>
      <c r="E1340" s="210"/>
      <c r="F1340" s="210"/>
      <c r="G1340" s="210"/>
      <c r="H1340" s="406">
        <f>SUM(Tabla132112413[[#This Row],[PRIMER TRIMESTRE]:[CUARTO TRIMESTRE]])</f>
        <v>0</v>
      </c>
      <c r="I1340" s="72">
        <v>7126452.3600000003</v>
      </c>
      <c r="J1340" s="72">
        <f t="shared" si="34"/>
        <v>0</v>
      </c>
      <c r="K1340" s="72"/>
      <c r="L1340" s="73" t="s">
        <v>18</v>
      </c>
      <c r="M1340" s="73" t="s">
        <v>19</v>
      </c>
      <c r="N1340" s="70"/>
    </row>
    <row r="1341" spans="1:14" s="169" customFormat="1" ht="51" customHeight="1">
      <c r="A1341" s="180" t="s">
        <v>1024</v>
      </c>
      <c r="B1341" s="77" t="s">
        <v>1028</v>
      </c>
      <c r="C1341" s="70" t="s">
        <v>17</v>
      </c>
      <c r="D1341" s="210"/>
      <c r="E1341" s="210"/>
      <c r="F1341" s="210"/>
      <c r="G1341" s="210"/>
      <c r="H1341" s="406">
        <f>SUM(Tabla132112413[[#This Row],[PRIMER TRIMESTRE]:[CUARTO TRIMESTRE]])</f>
        <v>0</v>
      </c>
      <c r="I1341" s="72">
        <v>52892.2</v>
      </c>
      <c r="J1341" s="72">
        <f t="shared" si="34"/>
        <v>0</v>
      </c>
      <c r="K1341" s="72"/>
      <c r="L1341" s="73" t="s">
        <v>18</v>
      </c>
      <c r="M1341" s="73" t="s">
        <v>19</v>
      </c>
      <c r="N1341" s="70" t="s">
        <v>342</v>
      </c>
    </row>
    <row r="1342" spans="1:14" s="169" customFormat="1" ht="48.75" customHeight="1">
      <c r="A1342" s="180" t="s">
        <v>1024</v>
      </c>
      <c r="B1342" s="77" t="s">
        <v>1029</v>
      </c>
      <c r="C1342" s="70" t="s">
        <v>17</v>
      </c>
      <c r="D1342" s="210"/>
      <c r="E1342" s="210"/>
      <c r="F1342" s="210"/>
      <c r="G1342" s="210"/>
      <c r="H1342" s="406">
        <f>SUM(Tabla132112413[[#This Row],[PRIMER TRIMESTRE]:[CUARTO TRIMESTRE]])</f>
        <v>0</v>
      </c>
      <c r="I1342" s="72">
        <v>134185.97999999998</v>
      </c>
      <c r="J1342" s="72">
        <f t="shared" si="34"/>
        <v>0</v>
      </c>
      <c r="K1342" s="72"/>
      <c r="L1342" s="73" t="s">
        <v>18</v>
      </c>
      <c r="M1342" s="73" t="s">
        <v>19</v>
      </c>
      <c r="N1342" s="70"/>
    </row>
    <row r="1343" spans="1:14" s="12" customFormat="1" ht="30.75" customHeight="1">
      <c r="A1343" s="180" t="s">
        <v>1024</v>
      </c>
      <c r="B1343" s="77" t="s">
        <v>1030</v>
      </c>
      <c r="C1343" s="70" t="s">
        <v>17</v>
      </c>
      <c r="D1343" s="210"/>
      <c r="E1343" s="210"/>
      <c r="F1343" s="210"/>
      <c r="G1343" s="210"/>
      <c r="H1343" s="406">
        <f>SUM(Tabla132112413[[#This Row],[PRIMER TRIMESTRE]:[CUARTO TRIMESTRE]])</f>
        <v>0</v>
      </c>
      <c r="I1343" s="72">
        <v>624559.46</v>
      </c>
      <c r="J1343" s="72">
        <f t="shared" si="34"/>
        <v>0</v>
      </c>
      <c r="K1343" s="72"/>
      <c r="L1343" s="73" t="s">
        <v>18</v>
      </c>
      <c r="M1343" s="73" t="s">
        <v>19</v>
      </c>
      <c r="N1343" s="70"/>
    </row>
    <row r="1344" spans="1:14" s="169" customFormat="1" ht="30.75" customHeight="1">
      <c r="A1344" s="179" t="s">
        <v>1024</v>
      </c>
      <c r="B1344" s="76"/>
      <c r="C1344" s="42"/>
      <c r="D1344" s="237"/>
      <c r="E1344" s="237"/>
      <c r="F1344" s="237"/>
      <c r="G1344" s="237"/>
      <c r="H1344" s="43"/>
      <c r="I1344" s="24"/>
      <c r="J1344" s="24"/>
      <c r="K1344" s="25">
        <f>SUM(J1338:J1343)</f>
        <v>0</v>
      </c>
      <c r="L1344" s="23"/>
      <c r="M1344" s="23"/>
      <c r="N1344" s="42"/>
    </row>
    <row r="1345" spans="1:14" s="169" customFormat="1" ht="30.75" customHeight="1">
      <c r="A1345" s="180" t="s">
        <v>167</v>
      </c>
      <c r="B1345" s="77" t="s">
        <v>964</v>
      </c>
      <c r="C1345" s="70" t="s">
        <v>17</v>
      </c>
      <c r="D1345" s="210"/>
      <c r="E1345" s="210"/>
      <c r="F1345" s="210"/>
      <c r="G1345" s="210"/>
      <c r="H1345" s="406">
        <f>SUM(Tabla132112413[[#This Row],[PRIMER TRIMESTRE]:[CUARTO TRIMESTRE]])</f>
        <v>0</v>
      </c>
      <c r="I1345" s="72">
        <v>84508.178</v>
      </c>
      <c r="J1345" s="72">
        <f t="shared" ref="J1345:J1407" si="35">+H1345*I1345</f>
        <v>0</v>
      </c>
      <c r="K1345" s="72"/>
      <c r="L1345" s="73" t="s">
        <v>18</v>
      </c>
      <c r="M1345" s="73" t="s">
        <v>19</v>
      </c>
      <c r="N1345" s="70" t="s">
        <v>342</v>
      </c>
    </row>
    <row r="1346" spans="1:14" s="169" customFormat="1" ht="30.75" customHeight="1">
      <c r="A1346" s="180" t="s">
        <v>167</v>
      </c>
      <c r="B1346" s="77" t="s">
        <v>965</v>
      </c>
      <c r="C1346" s="70" t="s">
        <v>17</v>
      </c>
      <c r="D1346" s="210"/>
      <c r="E1346" s="210"/>
      <c r="F1346" s="210"/>
      <c r="G1346" s="210"/>
      <c r="H1346" s="406">
        <f>SUM(Tabla132112413[[#This Row],[PRIMER TRIMESTRE]:[CUARTO TRIMESTRE]])</f>
        <v>0</v>
      </c>
      <c r="I1346" s="72">
        <v>55372.68</v>
      </c>
      <c r="J1346" s="72">
        <f t="shared" si="35"/>
        <v>0</v>
      </c>
      <c r="K1346" s="72"/>
      <c r="L1346" s="73" t="s">
        <v>18</v>
      </c>
      <c r="M1346" s="73" t="s">
        <v>19</v>
      </c>
      <c r="N1346" s="70"/>
    </row>
    <row r="1347" spans="1:14" s="169" customFormat="1" ht="30.75" customHeight="1">
      <c r="A1347" s="180" t="s">
        <v>167</v>
      </c>
      <c r="B1347" s="77" t="s">
        <v>966</v>
      </c>
      <c r="C1347" s="70" t="s">
        <v>17</v>
      </c>
      <c r="D1347" s="210"/>
      <c r="E1347" s="210"/>
      <c r="F1347" s="210"/>
      <c r="G1347" s="210"/>
      <c r="H1347" s="406">
        <f>SUM(Tabla132112413[[#This Row],[PRIMER TRIMESTRE]:[CUARTO TRIMESTRE]])</f>
        <v>0</v>
      </c>
      <c r="I1347" s="72">
        <v>467752</v>
      </c>
      <c r="J1347" s="72">
        <f t="shared" si="35"/>
        <v>0</v>
      </c>
      <c r="K1347" s="72"/>
      <c r="L1347" s="73" t="s">
        <v>18</v>
      </c>
      <c r="M1347" s="73" t="s">
        <v>19</v>
      </c>
      <c r="N1347" s="70"/>
    </row>
    <row r="1348" spans="1:14" s="169" customFormat="1" ht="30.75" customHeight="1">
      <c r="A1348" s="180" t="s">
        <v>167</v>
      </c>
      <c r="B1348" s="77" t="s">
        <v>967</v>
      </c>
      <c r="C1348" s="70" t="s">
        <v>17</v>
      </c>
      <c r="D1348" s="210"/>
      <c r="E1348" s="210"/>
      <c r="F1348" s="210"/>
      <c r="G1348" s="210"/>
      <c r="H1348" s="406">
        <f>SUM(Tabla132112413[[#This Row],[PRIMER TRIMESTRE]:[CUARTO TRIMESTRE]])</f>
        <v>0</v>
      </c>
      <c r="I1348" s="72">
        <v>804524</v>
      </c>
      <c r="J1348" s="72">
        <f t="shared" si="35"/>
        <v>0</v>
      </c>
      <c r="K1348" s="72"/>
      <c r="L1348" s="73" t="s">
        <v>18</v>
      </c>
      <c r="M1348" s="73" t="s">
        <v>19</v>
      </c>
      <c r="N1348" s="70"/>
    </row>
    <row r="1349" spans="1:14" s="169" customFormat="1" ht="30.75" customHeight="1">
      <c r="A1349" s="180" t="s">
        <v>167</v>
      </c>
      <c r="B1349" s="77" t="s">
        <v>968</v>
      </c>
      <c r="C1349" s="70" t="s">
        <v>17</v>
      </c>
      <c r="D1349" s="210"/>
      <c r="E1349" s="210"/>
      <c r="F1349" s="210"/>
      <c r="G1349" s="210"/>
      <c r="H1349" s="406">
        <f>SUM(Tabla132112413[[#This Row],[PRIMER TRIMESTRE]:[CUARTO TRIMESTRE]])</f>
        <v>0</v>
      </c>
      <c r="I1349" s="72">
        <v>223315</v>
      </c>
      <c r="J1349" s="72">
        <f t="shared" si="35"/>
        <v>0</v>
      </c>
      <c r="K1349" s="72"/>
      <c r="L1349" s="73" t="s">
        <v>18</v>
      </c>
      <c r="M1349" s="73" t="s">
        <v>19</v>
      </c>
      <c r="N1349" s="70" t="s">
        <v>342</v>
      </c>
    </row>
    <row r="1350" spans="1:14" s="169" customFormat="1" ht="30.75" customHeight="1">
      <c r="A1350" s="180" t="s">
        <v>167</v>
      </c>
      <c r="B1350" s="77" t="s">
        <v>969</v>
      </c>
      <c r="C1350" s="70" t="s">
        <v>17</v>
      </c>
      <c r="D1350" s="210"/>
      <c r="E1350" s="210"/>
      <c r="F1350" s="210"/>
      <c r="G1350" s="210"/>
      <c r="H1350" s="406">
        <f>SUM(Tabla132112413[[#This Row],[PRIMER TRIMESTRE]:[CUARTO TRIMESTRE]])</f>
        <v>0</v>
      </c>
      <c r="I1350" s="72">
        <v>73588.34</v>
      </c>
      <c r="J1350" s="72">
        <f t="shared" si="35"/>
        <v>0</v>
      </c>
      <c r="K1350" s="72"/>
      <c r="L1350" s="73" t="s">
        <v>18</v>
      </c>
      <c r="M1350" s="73" t="s">
        <v>19</v>
      </c>
      <c r="N1350" s="70" t="s">
        <v>342</v>
      </c>
    </row>
    <row r="1351" spans="1:14" s="169" customFormat="1" ht="30.75" customHeight="1">
      <c r="A1351" s="180" t="s">
        <v>167</v>
      </c>
      <c r="B1351" s="77" t="s">
        <v>970</v>
      </c>
      <c r="C1351" s="70" t="s">
        <v>17</v>
      </c>
      <c r="D1351" s="210"/>
      <c r="E1351" s="210"/>
      <c r="F1351" s="210"/>
      <c r="G1351" s="210"/>
      <c r="H1351" s="406">
        <f>SUM(Tabla132112413[[#This Row],[PRIMER TRIMESTRE]:[CUARTO TRIMESTRE]])</f>
        <v>0</v>
      </c>
      <c r="I1351" s="72">
        <v>170392</v>
      </c>
      <c r="J1351" s="72">
        <f t="shared" si="35"/>
        <v>0</v>
      </c>
      <c r="K1351" s="72"/>
      <c r="L1351" s="73" t="s">
        <v>18</v>
      </c>
      <c r="M1351" s="73" t="s">
        <v>19</v>
      </c>
      <c r="N1351" s="70" t="s">
        <v>342</v>
      </c>
    </row>
    <row r="1352" spans="1:14" s="169" customFormat="1" ht="30.75" customHeight="1">
      <c r="A1352" s="180" t="s">
        <v>167</v>
      </c>
      <c r="B1352" s="77" t="s">
        <v>971</v>
      </c>
      <c r="C1352" s="70" t="s">
        <v>17</v>
      </c>
      <c r="D1352" s="210"/>
      <c r="E1352" s="210"/>
      <c r="F1352" s="210"/>
      <c r="G1352" s="210"/>
      <c r="H1352" s="406">
        <f>SUM(Tabla132112413[[#This Row],[PRIMER TRIMESTRE]:[CUARTO TRIMESTRE]])</f>
        <v>0</v>
      </c>
      <c r="I1352" s="72">
        <v>274350</v>
      </c>
      <c r="J1352" s="72">
        <f t="shared" si="35"/>
        <v>0</v>
      </c>
      <c r="K1352" s="72"/>
      <c r="L1352" s="73" t="s">
        <v>18</v>
      </c>
      <c r="M1352" s="73" t="s">
        <v>19</v>
      </c>
      <c r="N1352" s="70" t="s">
        <v>342</v>
      </c>
    </row>
    <row r="1353" spans="1:14" s="169" customFormat="1" ht="30.75" customHeight="1">
      <c r="A1353" s="180" t="s">
        <v>167</v>
      </c>
      <c r="B1353" s="77" t="s">
        <v>972</v>
      </c>
      <c r="C1353" s="70" t="s">
        <v>17</v>
      </c>
      <c r="D1353" s="210"/>
      <c r="E1353" s="210"/>
      <c r="F1353" s="210"/>
      <c r="G1353" s="210"/>
      <c r="H1353" s="406">
        <f>SUM(Tabla132112413[[#This Row],[PRIMER TRIMESTRE]:[CUARTO TRIMESTRE]])</f>
        <v>0</v>
      </c>
      <c r="I1353" s="72">
        <v>55460</v>
      </c>
      <c r="J1353" s="72">
        <f t="shared" si="35"/>
        <v>0</v>
      </c>
      <c r="K1353" s="72"/>
      <c r="L1353" s="73" t="s">
        <v>18</v>
      </c>
      <c r="M1353" s="73" t="s">
        <v>19</v>
      </c>
      <c r="N1353" s="70" t="s">
        <v>342</v>
      </c>
    </row>
    <row r="1354" spans="1:14" s="169" customFormat="1" ht="30.75" customHeight="1">
      <c r="A1354" s="180" t="s">
        <v>167</v>
      </c>
      <c r="B1354" s="77" t="s">
        <v>973</v>
      </c>
      <c r="C1354" s="70" t="s">
        <v>17</v>
      </c>
      <c r="D1354" s="210"/>
      <c r="E1354" s="210"/>
      <c r="F1354" s="210"/>
      <c r="G1354" s="210"/>
      <c r="H1354" s="406">
        <f>SUM(Tabla132112413[[#This Row],[PRIMER TRIMESTRE]:[CUARTO TRIMESTRE]])</f>
        <v>0</v>
      </c>
      <c r="I1354" s="72">
        <v>59000</v>
      </c>
      <c r="J1354" s="72">
        <f t="shared" si="35"/>
        <v>0</v>
      </c>
      <c r="K1354" s="72"/>
      <c r="L1354" s="73" t="s">
        <v>18</v>
      </c>
      <c r="M1354" s="73" t="s">
        <v>19</v>
      </c>
      <c r="N1354" s="70" t="s">
        <v>342</v>
      </c>
    </row>
    <row r="1355" spans="1:14" s="169" customFormat="1" ht="30.75" customHeight="1">
      <c r="A1355" s="180" t="s">
        <v>167</v>
      </c>
      <c r="B1355" s="77" t="s">
        <v>974</v>
      </c>
      <c r="C1355" s="70" t="s">
        <v>17</v>
      </c>
      <c r="D1355" s="210"/>
      <c r="E1355" s="210"/>
      <c r="F1355" s="210"/>
      <c r="G1355" s="210"/>
      <c r="H1355" s="406">
        <f>SUM(Tabla132112413[[#This Row],[PRIMER TRIMESTRE]:[CUARTO TRIMESTRE]])</f>
        <v>0</v>
      </c>
      <c r="I1355" s="72">
        <v>17700</v>
      </c>
      <c r="J1355" s="72">
        <f t="shared" si="35"/>
        <v>0</v>
      </c>
      <c r="K1355" s="72"/>
      <c r="L1355" s="73" t="s">
        <v>18</v>
      </c>
      <c r="M1355" s="73" t="s">
        <v>19</v>
      </c>
      <c r="N1355" s="70" t="s">
        <v>342</v>
      </c>
    </row>
    <row r="1356" spans="1:14" s="169" customFormat="1" ht="30.75" customHeight="1">
      <c r="A1356" s="180" t="s">
        <v>167</v>
      </c>
      <c r="B1356" s="77" t="s">
        <v>975</v>
      </c>
      <c r="C1356" s="70" t="s">
        <v>17</v>
      </c>
      <c r="D1356" s="210"/>
      <c r="E1356" s="210"/>
      <c r="F1356" s="210"/>
      <c r="G1356" s="210"/>
      <c r="H1356" s="406">
        <f>SUM(Tabla132112413[[#This Row],[PRIMER TRIMESTRE]:[CUARTO TRIMESTRE]])</f>
        <v>0</v>
      </c>
      <c r="I1356" s="72">
        <v>843572.93759999995</v>
      </c>
      <c r="J1356" s="72">
        <f t="shared" si="35"/>
        <v>0</v>
      </c>
      <c r="K1356" s="72"/>
      <c r="L1356" s="73" t="s">
        <v>18</v>
      </c>
      <c r="M1356" s="73" t="s">
        <v>19</v>
      </c>
      <c r="N1356" s="70" t="s">
        <v>342</v>
      </c>
    </row>
    <row r="1357" spans="1:14" s="169" customFormat="1" ht="30.75" customHeight="1">
      <c r="A1357" s="180" t="s">
        <v>167</v>
      </c>
      <c r="B1357" s="77" t="s">
        <v>976</v>
      </c>
      <c r="C1357" s="70" t="s">
        <v>17</v>
      </c>
      <c r="D1357" s="210"/>
      <c r="E1357" s="210"/>
      <c r="F1357" s="210"/>
      <c r="G1357" s="210"/>
      <c r="H1357" s="406">
        <f>SUM(Tabla132112413[[#This Row],[PRIMER TRIMESTRE]:[CUARTO TRIMESTRE]])</f>
        <v>0</v>
      </c>
      <c r="I1357" s="72">
        <v>46936.765599999999</v>
      </c>
      <c r="J1357" s="72">
        <f t="shared" si="35"/>
        <v>0</v>
      </c>
      <c r="K1357" s="72"/>
      <c r="L1357" s="73" t="s">
        <v>18</v>
      </c>
      <c r="M1357" s="73" t="s">
        <v>19</v>
      </c>
      <c r="N1357" s="70" t="s">
        <v>342</v>
      </c>
    </row>
    <row r="1358" spans="1:14" s="169" customFormat="1" ht="42.75" customHeight="1">
      <c r="A1358" s="180" t="s">
        <v>167</v>
      </c>
      <c r="B1358" s="77" t="s">
        <v>977</v>
      </c>
      <c r="C1358" s="70" t="s">
        <v>17</v>
      </c>
      <c r="D1358" s="210"/>
      <c r="E1358" s="210"/>
      <c r="F1358" s="210"/>
      <c r="G1358" s="210"/>
      <c r="H1358" s="406">
        <f>SUM(Tabla132112413[[#This Row],[PRIMER TRIMESTRE]:[CUARTO TRIMESTRE]])</f>
        <v>0</v>
      </c>
      <c r="I1358" s="72">
        <v>121535.63399999999</v>
      </c>
      <c r="J1358" s="72">
        <f t="shared" si="35"/>
        <v>0</v>
      </c>
      <c r="K1358" s="72"/>
      <c r="L1358" s="73" t="s">
        <v>18</v>
      </c>
      <c r="M1358" s="73" t="s">
        <v>19</v>
      </c>
      <c r="N1358" s="70" t="s">
        <v>342</v>
      </c>
    </row>
    <row r="1359" spans="1:14" s="169" customFormat="1" ht="30.75" customHeight="1">
      <c r="A1359" s="180" t="s">
        <v>167</v>
      </c>
      <c r="B1359" s="77" t="s">
        <v>978</v>
      </c>
      <c r="C1359" s="70" t="s">
        <v>17</v>
      </c>
      <c r="D1359" s="210"/>
      <c r="E1359" s="210"/>
      <c r="F1359" s="210"/>
      <c r="G1359" s="210"/>
      <c r="H1359" s="406">
        <f>SUM(Tabla132112413[[#This Row],[PRIMER TRIMESTRE]:[CUARTO TRIMESTRE]])</f>
        <v>0</v>
      </c>
      <c r="I1359" s="72">
        <v>1558708.1733999997</v>
      </c>
      <c r="J1359" s="72">
        <f t="shared" si="35"/>
        <v>0</v>
      </c>
      <c r="K1359" s="72"/>
      <c r="L1359" s="73" t="s">
        <v>18</v>
      </c>
      <c r="M1359" s="73" t="s">
        <v>19</v>
      </c>
      <c r="N1359" s="70" t="s">
        <v>342</v>
      </c>
    </row>
    <row r="1360" spans="1:14" s="169" customFormat="1" ht="30.75" customHeight="1">
      <c r="A1360" s="180" t="s">
        <v>167</v>
      </c>
      <c r="B1360" s="77" t="s">
        <v>979</v>
      </c>
      <c r="C1360" s="70" t="s">
        <v>17</v>
      </c>
      <c r="D1360" s="210"/>
      <c r="E1360" s="210"/>
      <c r="F1360" s="210"/>
      <c r="G1360" s="210"/>
      <c r="H1360" s="406">
        <f>SUM(Tabla132112413[[#This Row],[PRIMER TRIMESTRE]:[CUARTO TRIMESTRE]])</f>
        <v>0</v>
      </c>
      <c r="I1360" s="72">
        <v>125316</v>
      </c>
      <c r="J1360" s="72">
        <f t="shared" si="35"/>
        <v>0</v>
      </c>
      <c r="K1360" s="72"/>
      <c r="L1360" s="73" t="s">
        <v>18</v>
      </c>
      <c r="M1360" s="73" t="s">
        <v>19</v>
      </c>
      <c r="N1360" s="70" t="s">
        <v>342</v>
      </c>
    </row>
    <row r="1361" spans="1:14" s="169" customFormat="1" ht="30.75" customHeight="1">
      <c r="A1361" s="180" t="s">
        <v>167</v>
      </c>
      <c r="B1361" s="77" t="s">
        <v>980</v>
      </c>
      <c r="C1361" s="70" t="s">
        <v>17</v>
      </c>
      <c r="D1361" s="210"/>
      <c r="E1361" s="210"/>
      <c r="F1361" s="210"/>
      <c r="G1361" s="210"/>
      <c r="H1361" s="406">
        <f>SUM(Tabla132112413[[#This Row],[PRIMER TRIMESTRE]:[CUARTO TRIMESTRE]])</f>
        <v>0</v>
      </c>
      <c r="I1361" s="72">
        <v>953817.59999999998</v>
      </c>
      <c r="J1361" s="72">
        <f t="shared" si="35"/>
        <v>0</v>
      </c>
      <c r="K1361" s="72"/>
      <c r="L1361" s="73" t="s">
        <v>18</v>
      </c>
      <c r="M1361" s="73" t="s">
        <v>19</v>
      </c>
      <c r="N1361" s="70"/>
    </row>
    <row r="1362" spans="1:14" s="169" customFormat="1" ht="30.75" customHeight="1">
      <c r="A1362" s="180" t="s">
        <v>167</v>
      </c>
      <c r="B1362" s="77" t="s">
        <v>981</v>
      </c>
      <c r="C1362" s="70" t="s">
        <v>17</v>
      </c>
      <c r="D1362" s="210"/>
      <c r="E1362" s="210"/>
      <c r="F1362" s="210"/>
      <c r="G1362" s="210"/>
      <c r="H1362" s="406">
        <f>SUM(Tabla132112413[[#This Row],[PRIMER TRIMESTRE]:[CUARTO TRIMESTRE]])</f>
        <v>0</v>
      </c>
      <c r="I1362" s="72">
        <v>443739</v>
      </c>
      <c r="J1362" s="72">
        <f t="shared" si="35"/>
        <v>0</v>
      </c>
      <c r="K1362" s="72"/>
      <c r="L1362" s="73" t="s">
        <v>18</v>
      </c>
      <c r="M1362" s="73" t="s">
        <v>19</v>
      </c>
      <c r="N1362" s="70" t="s">
        <v>342</v>
      </c>
    </row>
    <row r="1363" spans="1:14" s="169" customFormat="1" ht="30.75" customHeight="1">
      <c r="A1363" s="180" t="s">
        <v>167</v>
      </c>
      <c r="B1363" s="77" t="s">
        <v>982</v>
      </c>
      <c r="C1363" s="70" t="s">
        <v>17</v>
      </c>
      <c r="D1363" s="210"/>
      <c r="E1363" s="210"/>
      <c r="F1363" s="210"/>
      <c r="G1363" s="210"/>
      <c r="H1363" s="406">
        <f>SUM(Tabla132112413[[#This Row],[PRIMER TRIMESTRE]:[CUARTO TRIMESTRE]])</f>
        <v>0</v>
      </c>
      <c r="I1363" s="72">
        <v>399194</v>
      </c>
      <c r="J1363" s="72">
        <f t="shared" si="35"/>
        <v>0</v>
      </c>
      <c r="K1363" s="72"/>
      <c r="L1363" s="73" t="s">
        <v>18</v>
      </c>
      <c r="M1363" s="73" t="s">
        <v>19</v>
      </c>
      <c r="N1363" s="70"/>
    </row>
    <row r="1364" spans="1:14" s="169" customFormat="1" ht="30.75" customHeight="1">
      <c r="A1364" s="180" t="s">
        <v>167</v>
      </c>
      <c r="B1364" s="77" t="s">
        <v>983</v>
      </c>
      <c r="C1364" s="70" t="s">
        <v>17</v>
      </c>
      <c r="D1364" s="210"/>
      <c r="E1364" s="210"/>
      <c r="F1364" s="210"/>
      <c r="G1364" s="210"/>
      <c r="H1364" s="406">
        <f>SUM(Tabla132112413[[#This Row],[PRIMER TRIMESTRE]:[CUARTO TRIMESTRE]])</f>
        <v>0</v>
      </c>
      <c r="I1364" s="72">
        <v>5763120</v>
      </c>
      <c r="J1364" s="72">
        <f t="shared" si="35"/>
        <v>0</v>
      </c>
      <c r="K1364" s="72"/>
      <c r="L1364" s="73" t="s">
        <v>18</v>
      </c>
      <c r="M1364" s="73" t="s">
        <v>19</v>
      </c>
      <c r="N1364" s="70"/>
    </row>
    <row r="1365" spans="1:14" s="169" customFormat="1" ht="30.75" customHeight="1">
      <c r="A1365" s="180" t="s">
        <v>167</v>
      </c>
      <c r="B1365" s="77" t="s">
        <v>984</v>
      </c>
      <c r="C1365" s="70" t="s">
        <v>17</v>
      </c>
      <c r="D1365" s="210"/>
      <c r="E1365" s="210"/>
      <c r="F1365" s="210"/>
      <c r="G1365" s="210"/>
      <c r="H1365" s="406">
        <f>SUM(Tabla132112413[[#This Row],[PRIMER TRIMESTRE]:[CUARTO TRIMESTRE]])</f>
        <v>0</v>
      </c>
      <c r="I1365" s="72">
        <v>399194</v>
      </c>
      <c r="J1365" s="72">
        <f t="shared" si="35"/>
        <v>0</v>
      </c>
      <c r="K1365" s="72"/>
      <c r="L1365" s="73" t="s">
        <v>18</v>
      </c>
      <c r="M1365" s="73" t="s">
        <v>19</v>
      </c>
      <c r="N1365" s="70" t="s">
        <v>342</v>
      </c>
    </row>
    <row r="1366" spans="1:14" s="169" customFormat="1" ht="30.75" customHeight="1">
      <c r="A1366" s="180" t="s">
        <v>167</v>
      </c>
      <c r="B1366" s="77" t="s">
        <v>985</v>
      </c>
      <c r="C1366" s="70" t="s">
        <v>17</v>
      </c>
      <c r="D1366" s="210"/>
      <c r="E1366" s="210"/>
      <c r="F1366" s="210"/>
      <c r="G1366" s="210"/>
      <c r="H1366" s="406">
        <f>SUM(Tabla132112413[[#This Row],[PRIMER TRIMESTRE]:[CUARTO TRIMESTRE]])</f>
        <v>0</v>
      </c>
      <c r="I1366" s="72">
        <v>130224.79999999999</v>
      </c>
      <c r="J1366" s="72">
        <f t="shared" si="35"/>
        <v>0</v>
      </c>
      <c r="K1366" s="72"/>
      <c r="L1366" s="73" t="s">
        <v>18</v>
      </c>
      <c r="M1366" s="73" t="s">
        <v>19</v>
      </c>
      <c r="N1366" s="70" t="s">
        <v>342</v>
      </c>
    </row>
    <row r="1367" spans="1:14" s="169" customFormat="1" ht="30.75" customHeight="1">
      <c r="A1367" s="180" t="s">
        <v>167</v>
      </c>
      <c r="B1367" s="77" t="s">
        <v>986</v>
      </c>
      <c r="C1367" s="70" t="s">
        <v>17</v>
      </c>
      <c r="D1367" s="210"/>
      <c r="E1367" s="210"/>
      <c r="F1367" s="210"/>
      <c r="G1367" s="210"/>
      <c r="H1367" s="406">
        <f>SUM(Tabla132112413[[#This Row],[PRIMER TRIMESTRE]:[CUARTO TRIMESTRE]])</f>
        <v>0</v>
      </c>
      <c r="I1367" s="72">
        <v>394438.6</v>
      </c>
      <c r="J1367" s="72">
        <f t="shared" si="35"/>
        <v>0</v>
      </c>
      <c r="K1367" s="72"/>
      <c r="L1367" s="73" t="s">
        <v>18</v>
      </c>
      <c r="M1367" s="73" t="s">
        <v>19</v>
      </c>
      <c r="N1367" s="70"/>
    </row>
    <row r="1368" spans="1:14" s="169" customFormat="1" ht="30.75" customHeight="1">
      <c r="A1368" s="180" t="s">
        <v>167</v>
      </c>
      <c r="B1368" s="77" t="s">
        <v>987</v>
      </c>
      <c r="C1368" s="70" t="s">
        <v>17</v>
      </c>
      <c r="D1368" s="210"/>
      <c r="E1368" s="210"/>
      <c r="F1368" s="210"/>
      <c r="G1368" s="210"/>
      <c r="H1368" s="406">
        <f>SUM(Tabla132112413[[#This Row],[PRIMER TRIMESTRE]:[CUARTO TRIMESTRE]])</f>
        <v>0</v>
      </c>
      <c r="I1368" s="72">
        <v>554027.69999999995</v>
      </c>
      <c r="J1368" s="72">
        <f t="shared" si="35"/>
        <v>0</v>
      </c>
      <c r="K1368" s="72"/>
      <c r="L1368" s="73" t="s">
        <v>18</v>
      </c>
      <c r="M1368" s="73" t="s">
        <v>19</v>
      </c>
      <c r="N1368" s="70"/>
    </row>
    <row r="1369" spans="1:14" s="169" customFormat="1" ht="30.75" customHeight="1">
      <c r="A1369" s="180" t="s">
        <v>167</v>
      </c>
      <c r="B1369" s="77" t="s">
        <v>988</v>
      </c>
      <c r="C1369" s="70" t="s">
        <v>17</v>
      </c>
      <c r="D1369" s="210"/>
      <c r="E1369" s="210"/>
      <c r="F1369" s="210"/>
      <c r="G1369" s="210"/>
      <c r="H1369" s="406">
        <f>SUM(Tabla132112413[[#This Row],[PRIMER TRIMESTRE]:[CUARTO TRIMESTRE]])</f>
        <v>0</v>
      </c>
      <c r="I1369" s="72">
        <v>406250.39999999997</v>
      </c>
      <c r="J1369" s="72">
        <f t="shared" si="35"/>
        <v>0</v>
      </c>
      <c r="K1369" s="72"/>
      <c r="L1369" s="73" t="s">
        <v>18</v>
      </c>
      <c r="M1369" s="73" t="s">
        <v>19</v>
      </c>
      <c r="N1369" s="70" t="s">
        <v>342</v>
      </c>
    </row>
    <row r="1370" spans="1:14" s="169" customFormat="1" ht="53.25" customHeight="1">
      <c r="A1370" s="180" t="s">
        <v>167</v>
      </c>
      <c r="B1370" s="77" t="s">
        <v>989</v>
      </c>
      <c r="C1370" s="70" t="s">
        <v>17</v>
      </c>
      <c r="D1370" s="210"/>
      <c r="E1370" s="210"/>
      <c r="F1370" s="210"/>
      <c r="G1370" s="210"/>
      <c r="H1370" s="406">
        <f>SUM(Tabla132112413[[#This Row],[PRIMER TRIMESTRE]:[CUARTO TRIMESTRE]])</f>
        <v>0</v>
      </c>
      <c r="I1370" s="72">
        <v>71148.099999999991</v>
      </c>
      <c r="J1370" s="72">
        <f t="shared" si="35"/>
        <v>0</v>
      </c>
      <c r="K1370" s="72"/>
      <c r="L1370" s="73" t="s">
        <v>18</v>
      </c>
      <c r="M1370" s="73" t="s">
        <v>19</v>
      </c>
      <c r="N1370" s="70"/>
    </row>
    <row r="1371" spans="1:14" s="169" customFormat="1" ht="30.75" customHeight="1">
      <c r="A1371" s="180" t="s">
        <v>167</v>
      </c>
      <c r="B1371" s="77" t="s">
        <v>990</v>
      </c>
      <c r="C1371" s="70" t="s">
        <v>17</v>
      </c>
      <c r="D1371" s="210"/>
      <c r="E1371" s="210"/>
      <c r="F1371" s="210"/>
      <c r="G1371" s="210"/>
      <c r="H1371" s="406">
        <f>SUM(Tabla132112413[[#This Row],[PRIMER TRIMESTRE]:[CUARTO TRIMESTRE]])</f>
        <v>0</v>
      </c>
      <c r="I1371" s="72">
        <v>283158.7</v>
      </c>
      <c r="J1371" s="72">
        <f t="shared" si="35"/>
        <v>0</v>
      </c>
      <c r="K1371" s="72"/>
      <c r="L1371" s="73" t="s">
        <v>18</v>
      </c>
      <c r="M1371" s="73" t="s">
        <v>19</v>
      </c>
      <c r="N1371" s="70" t="s">
        <v>342</v>
      </c>
    </row>
    <row r="1372" spans="1:14" s="169" customFormat="1" ht="30.75" customHeight="1">
      <c r="A1372" s="180" t="s">
        <v>167</v>
      </c>
      <c r="B1372" s="77" t="s">
        <v>991</v>
      </c>
      <c r="C1372" s="70" t="s">
        <v>17</v>
      </c>
      <c r="D1372" s="210"/>
      <c r="E1372" s="210"/>
      <c r="F1372" s="210"/>
      <c r="G1372" s="210"/>
      <c r="H1372" s="406">
        <f>SUM(Tabla132112413[[#This Row],[PRIMER TRIMESTRE]:[CUARTO TRIMESTRE]])</f>
        <v>0</v>
      </c>
      <c r="I1372" s="72">
        <v>4687668</v>
      </c>
      <c r="J1372" s="72">
        <f t="shared" si="35"/>
        <v>0</v>
      </c>
      <c r="K1372" s="72"/>
      <c r="L1372" s="73" t="s">
        <v>18</v>
      </c>
      <c r="M1372" s="73" t="s">
        <v>19</v>
      </c>
      <c r="N1372" s="70"/>
    </row>
    <row r="1373" spans="1:14" s="169" customFormat="1" ht="39.75" customHeight="1">
      <c r="A1373" s="180" t="s">
        <v>167</v>
      </c>
      <c r="B1373" s="77" t="s">
        <v>992</v>
      </c>
      <c r="C1373" s="70" t="s">
        <v>17</v>
      </c>
      <c r="D1373" s="210"/>
      <c r="E1373" s="210"/>
      <c r="F1373" s="210"/>
      <c r="G1373" s="210"/>
      <c r="H1373" s="406">
        <f>SUM(Tabla132112413[[#This Row],[PRIMER TRIMESTRE]:[CUARTO TRIMESTRE]])</f>
        <v>0</v>
      </c>
      <c r="I1373" s="72">
        <v>140862.5</v>
      </c>
      <c r="J1373" s="72">
        <f t="shared" si="35"/>
        <v>0</v>
      </c>
      <c r="K1373" s="72"/>
      <c r="L1373" s="73" t="s">
        <v>18</v>
      </c>
      <c r="M1373" s="73" t="s">
        <v>19</v>
      </c>
      <c r="N1373" s="70" t="s">
        <v>342</v>
      </c>
    </row>
    <row r="1374" spans="1:14" s="169" customFormat="1" ht="30.75" customHeight="1">
      <c r="A1374" s="180" t="s">
        <v>167</v>
      </c>
      <c r="B1374" s="77" t="s">
        <v>993</v>
      </c>
      <c r="C1374" s="70" t="s">
        <v>17</v>
      </c>
      <c r="D1374" s="210"/>
      <c r="E1374" s="210"/>
      <c r="F1374" s="210"/>
      <c r="G1374" s="210"/>
      <c r="H1374" s="406">
        <f>SUM(Tabla132112413[[#This Row],[PRIMER TRIMESTRE]:[CUARTO TRIMESTRE]])</f>
        <v>0</v>
      </c>
      <c r="I1374" s="72">
        <v>109622</v>
      </c>
      <c r="J1374" s="72">
        <f t="shared" si="35"/>
        <v>0</v>
      </c>
      <c r="K1374" s="72"/>
      <c r="L1374" s="73" t="s">
        <v>18</v>
      </c>
      <c r="M1374" s="73" t="s">
        <v>19</v>
      </c>
      <c r="N1374" s="70" t="s">
        <v>342</v>
      </c>
    </row>
    <row r="1375" spans="1:14" s="169" customFormat="1" ht="30.75" customHeight="1">
      <c r="A1375" s="180" t="s">
        <v>167</v>
      </c>
      <c r="B1375" s="77" t="s">
        <v>994</v>
      </c>
      <c r="C1375" s="70" t="s">
        <v>17</v>
      </c>
      <c r="D1375" s="210"/>
      <c r="E1375" s="210"/>
      <c r="F1375" s="210"/>
      <c r="G1375" s="210"/>
      <c r="H1375" s="406">
        <f>SUM(Tabla132112413[[#This Row],[PRIMER TRIMESTRE]:[CUARTO TRIMESTRE]])</f>
        <v>0</v>
      </c>
      <c r="I1375" s="72">
        <v>567462</v>
      </c>
      <c r="J1375" s="72">
        <f t="shared" si="35"/>
        <v>0</v>
      </c>
      <c r="K1375" s="72"/>
      <c r="L1375" s="73" t="s">
        <v>18</v>
      </c>
      <c r="M1375" s="73" t="s">
        <v>19</v>
      </c>
      <c r="N1375" s="70" t="s">
        <v>342</v>
      </c>
    </row>
    <row r="1376" spans="1:14" s="169" customFormat="1" ht="30.75" customHeight="1">
      <c r="A1376" s="180" t="s">
        <v>167</v>
      </c>
      <c r="B1376" s="77" t="s">
        <v>995</v>
      </c>
      <c r="C1376" s="70" t="s">
        <v>17</v>
      </c>
      <c r="D1376" s="210"/>
      <c r="E1376" s="210"/>
      <c r="F1376" s="210"/>
      <c r="G1376" s="210"/>
      <c r="H1376" s="406">
        <f>SUM(Tabla132112413[[#This Row],[PRIMER TRIMESTRE]:[CUARTO TRIMESTRE]])</f>
        <v>0</v>
      </c>
      <c r="I1376" s="72">
        <v>36580</v>
      </c>
      <c r="J1376" s="72">
        <f t="shared" si="35"/>
        <v>0</v>
      </c>
      <c r="K1376" s="72"/>
      <c r="L1376" s="73" t="s">
        <v>18</v>
      </c>
      <c r="M1376" s="73" t="s">
        <v>19</v>
      </c>
      <c r="N1376" s="70"/>
    </row>
    <row r="1377" spans="1:14" s="169" customFormat="1" ht="30.75" customHeight="1">
      <c r="A1377" s="180" t="s">
        <v>167</v>
      </c>
      <c r="B1377" s="77" t="s">
        <v>996</v>
      </c>
      <c r="C1377" s="70" t="s">
        <v>17</v>
      </c>
      <c r="D1377" s="210"/>
      <c r="E1377" s="210"/>
      <c r="F1377" s="210"/>
      <c r="G1377" s="210"/>
      <c r="H1377" s="406">
        <f>SUM(Tabla132112413[[#This Row],[PRIMER TRIMESTRE]:[CUARTO TRIMESTRE]])</f>
        <v>0</v>
      </c>
      <c r="I1377" s="72">
        <v>160775</v>
      </c>
      <c r="J1377" s="72">
        <f t="shared" si="35"/>
        <v>0</v>
      </c>
      <c r="K1377" s="72"/>
      <c r="L1377" s="73" t="s">
        <v>18</v>
      </c>
      <c r="M1377" s="73" t="s">
        <v>19</v>
      </c>
      <c r="N1377" s="70" t="s">
        <v>342</v>
      </c>
    </row>
    <row r="1378" spans="1:14" s="169" customFormat="1" ht="30.75" customHeight="1">
      <c r="A1378" s="180" t="s">
        <v>167</v>
      </c>
      <c r="B1378" s="77" t="s">
        <v>997</v>
      </c>
      <c r="C1378" s="70" t="s">
        <v>17</v>
      </c>
      <c r="D1378" s="210"/>
      <c r="E1378" s="210"/>
      <c r="F1378" s="210"/>
      <c r="G1378" s="210"/>
      <c r="H1378" s="406">
        <f>SUM(Tabla132112413[[#This Row],[PRIMER TRIMESTRE]:[CUARTO TRIMESTRE]])</f>
        <v>0</v>
      </c>
      <c r="I1378" s="72">
        <v>216608.47</v>
      </c>
      <c r="J1378" s="72">
        <f t="shared" si="35"/>
        <v>0</v>
      </c>
      <c r="K1378" s="72"/>
      <c r="L1378" s="73" t="s">
        <v>18</v>
      </c>
      <c r="M1378" s="73" t="s">
        <v>19</v>
      </c>
      <c r="N1378" s="70" t="s">
        <v>342</v>
      </c>
    </row>
    <row r="1379" spans="1:14" s="169" customFormat="1" ht="30.75" customHeight="1">
      <c r="A1379" s="180" t="s">
        <v>167</v>
      </c>
      <c r="B1379" s="77" t="s">
        <v>998</v>
      </c>
      <c r="C1379" s="70" t="s">
        <v>17</v>
      </c>
      <c r="D1379" s="210"/>
      <c r="E1379" s="210"/>
      <c r="F1379" s="210"/>
      <c r="G1379" s="210"/>
      <c r="H1379" s="406">
        <f>SUM(Tabla132112413[[#This Row],[PRIMER TRIMESTRE]:[CUARTO TRIMESTRE]])</f>
        <v>0</v>
      </c>
      <c r="I1379" s="72">
        <v>294752.2</v>
      </c>
      <c r="J1379" s="72">
        <f t="shared" si="35"/>
        <v>0</v>
      </c>
      <c r="K1379" s="72"/>
      <c r="L1379" s="73" t="s">
        <v>18</v>
      </c>
      <c r="M1379" s="73" t="s">
        <v>19</v>
      </c>
      <c r="N1379" s="70" t="s">
        <v>342</v>
      </c>
    </row>
    <row r="1380" spans="1:14" s="169" customFormat="1" ht="30.75" customHeight="1">
      <c r="A1380" s="180" t="s">
        <v>167</v>
      </c>
      <c r="B1380" s="77" t="s">
        <v>999</v>
      </c>
      <c r="C1380" s="70" t="s">
        <v>17</v>
      </c>
      <c r="D1380" s="210"/>
      <c r="E1380" s="210"/>
      <c r="F1380" s="210"/>
      <c r="G1380" s="210"/>
      <c r="H1380" s="406">
        <f>SUM(Tabla132112413[[#This Row],[PRIMER TRIMESTRE]:[CUARTO TRIMESTRE]])</f>
        <v>0</v>
      </c>
      <c r="I1380" s="72">
        <v>230554.3</v>
      </c>
      <c r="J1380" s="72">
        <f t="shared" si="35"/>
        <v>0</v>
      </c>
      <c r="K1380" s="72"/>
      <c r="L1380" s="73" t="s">
        <v>18</v>
      </c>
      <c r="M1380" s="73" t="s">
        <v>19</v>
      </c>
      <c r="N1380" s="70" t="s">
        <v>342</v>
      </c>
    </row>
    <row r="1381" spans="1:14" s="169" customFormat="1" ht="30.75" customHeight="1">
      <c r="A1381" s="180" t="s">
        <v>167</v>
      </c>
      <c r="B1381" s="77" t="s">
        <v>1000</v>
      </c>
      <c r="C1381" s="70" t="s">
        <v>17</v>
      </c>
      <c r="D1381" s="210"/>
      <c r="E1381" s="210"/>
      <c r="F1381" s="210"/>
      <c r="G1381" s="210"/>
      <c r="H1381" s="406">
        <f>SUM(Tabla132112413[[#This Row],[PRIMER TRIMESTRE]:[CUARTO TRIMESTRE]])</f>
        <v>0</v>
      </c>
      <c r="I1381" s="72">
        <v>494992.3</v>
      </c>
      <c r="J1381" s="72">
        <f t="shared" si="35"/>
        <v>0</v>
      </c>
      <c r="K1381" s="72"/>
      <c r="L1381" s="73" t="s">
        <v>18</v>
      </c>
      <c r="M1381" s="73" t="s">
        <v>19</v>
      </c>
      <c r="N1381" s="70" t="s">
        <v>342</v>
      </c>
    </row>
    <row r="1382" spans="1:14" s="169" customFormat="1" ht="30.75" customHeight="1">
      <c r="A1382" s="180" t="s">
        <v>167</v>
      </c>
      <c r="B1382" s="77" t="s">
        <v>1001</v>
      </c>
      <c r="C1382" s="70" t="s">
        <v>17</v>
      </c>
      <c r="D1382" s="210"/>
      <c r="E1382" s="210"/>
      <c r="F1382" s="210"/>
      <c r="G1382" s="210"/>
      <c r="H1382" s="406">
        <f>SUM(Tabla132112413[[#This Row],[PRIMER TRIMESTRE]:[CUARTO TRIMESTRE]])</f>
        <v>0</v>
      </c>
      <c r="I1382" s="72">
        <v>211166.9</v>
      </c>
      <c r="J1382" s="72">
        <f t="shared" si="35"/>
        <v>0</v>
      </c>
      <c r="K1382" s="72"/>
      <c r="L1382" s="73" t="s">
        <v>18</v>
      </c>
      <c r="M1382" s="73" t="s">
        <v>19</v>
      </c>
      <c r="N1382" s="70" t="s">
        <v>342</v>
      </c>
    </row>
    <row r="1383" spans="1:14" s="169" customFormat="1" ht="30.75" customHeight="1">
      <c r="A1383" s="180" t="s">
        <v>167</v>
      </c>
      <c r="B1383" s="77" t="s">
        <v>1002</v>
      </c>
      <c r="C1383" s="70" t="s">
        <v>17</v>
      </c>
      <c r="D1383" s="210"/>
      <c r="E1383" s="210"/>
      <c r="F1383" s="210"/>
      <c r="G1383" s="210"/>
      <c r="H1383" s="406">
        <f>SUM(Tabla132112413[[#This Row],[PRIMER TRIMESTRE]:[CUARTO TRIMESTRE]])</f>
        <v>0</v>
      </c>
      <c r="I1383" s="72">
        <v>62368.899999999994</v>
      </c>
      <c r="J1383" s="72">
        <f t="shared" si="35"/>
        <v>0</v>
      </c>
      <c r="K1383" s="72"/>
      <c r="L1383" s="73" t="s">
        <v>18</v>
      </c>
      <c r="M1383" s="73" t="s">
        <v>19</v>
      </c>
      <c r="N1383" s="70" t="s">
        <v>342</v>
      </c>
    </row>
    <row r="1384" spans="1:14" s="169" customFormat="1" ht="30.75" customHeight="1">
      <c r="A1384" s="180" t="s">
        <v>167</v>
      </c>
      <c r="B1384" s="77" t="s">
        <v>1003</v>
      </c>
      <c r="C1384" s="70" t="s">
        <v>17</v>
      </c>
      <c r="D1384" s="210"/>
      <c r="E1384" s="210"/>
      <c r="F1384" s="210"/>
      <c r="G1384" s="210"/>
      <c r="H1384" s="406">
        <f>SUM(Tabla132112413[[#This Row],[PRIMER TRIMESTRE]:[CUARTO TRIMESTRE]])</f>
        <v>0</v>
      </c>
      <c r="I1384" s="72">
        <v>105533.29999999999</v>
      </c>
      <c r="J1384" s="72">
        <f t="shared" si="35"/>
        <v>0</v>
      </c>
      <c r="K1384" s="72"/>
      <c r="L1384" s="73" t="s">
        <v>18</v>
      </c>
      <c r="M1384" s="73" t="s">
        <v>19</v>
      </c>
      <c r="N1384" s="70" t="s">
        <v>342</v>
      </c>
    </row>
    <row r="1385" spans="1:14" s="169" customFormat="1" ht="30.75" customHeight="1">
      <c r="A1385" s="180" t="s">
        <v>167</v>
      </c>
      <c r="B1385" s="77" t="s">
        <v>1004</v>
      </c>
      <c r="C1385" s="70" t="s">
        <v>17</v>
      </c>
      <c r="D1385" s="210"/>
      <c r="E1385" s="210"/>
      <c r="F1385" s="210"/>
      <c r="G1385" s="210"/>
      <c r="H1385" s="406">
        <f>SUM(Tabla132112413[[#This Row],[PRIMER TRIMESTRE]:[CUARTO TRIMESTRE]])</f>
        <v>0</v>
      </c>
      <c r="I1385" s="72">
        <v>98618.5</v>
      </c>
      <c r="J1385" s="72">
        <f t="shared" si="35"/>
        <v>0</v>
      </c>
      <c r="K1385" s="72"/>
      <c r="L1385" s="73" t="s">
        <v>18</v>
      </c>
      <c r="M1385" s="73" t="s">
        <v>19</v>
      </c>
      <c r="N1385" s="70"/>
    </row>
    <row r="1386" spans="1:14" s="169" customFormat="1" ht="30.75" customHeight="1">
      <c r="A1386" s="180" t="s">
        <v>167</v>
      </c>
      <c r="B1386" s="77" t="s">
        <v>1005</v>
      </c>
      <c r="C1386" s="70" t="s">
        <v>17</v>
      </c>
      <c r="D1386" s="210"/>
      <c r="E1386" s="210"/>
      <c r="F1386" s="210"/>
      <c r="G1386" s="210"/>
      <c r="H1386" s="406">
        <f>SUM(Tabla132112413[[#This Row],[PRIMER TRIMESTRE]:[CUARTO TRIMESTRE]])</f>
        <v>0</v>
      </c>
      <c r="I1386" s="72">
        <v>135818</v>
      </c>
      <c r="J1386" s="72">
        <f t="shared" si="35"/>
        <v>0</v>
      </c>
      <c r="K1386" s="72"/>
      <c r="L1386" s="73" t="s">
        <v>18</v>
      </c>
      <c r="M1386" s="73" t="s">
        <v>19</v>
      </c>
      <c r="N1386" s="70" t="s">
        <v>342</v>
      </c>
    </row>
    <row r="1387" spans="1:14" s="169" customFormat="1" ht="30.75" customHeight="1">
      <c r="A1387" s="180" t="s">
        <v>167</v>
      </c>
      <c r="B1387" s="77" t="s">
        <v>1006</v>
      </c>
      <c r="C1387" s="70" t="s">
        <v>17</v>
      </c>
      <c r="D1387" s="210"/>
      <c r="E1387" s="210"/>
      <c r="F1387" s="210"/>
      <c r="G1387" s="210"/>
      <c r="H1387" s="406">
        <f>SUM(Tabla132112413[[#This Row],[PRIMER TRIMESTRE]:[CUARTO TRIMESTRE]])</f>
        <v>0</v>
      </c>
      <c r="I1387" s="72">
        <v>114460</v>
      </c>
      <c r="J1387" s="72">
        <f t="shared" si="35"/>
        <v>0</v>
      </c>
      <c r="K1387" s="72"/>
      <c r="L1387" s="73" t="s">
        <v>18</v>
      </c>
      <c r="M1387" s="73" t="s">
        <v>19</v>
      </c>
      <c r="N1387" s="70" t="s">
        <v>342</v>
      </c>
    </row>
    <row r="1388" spans="1:14" s="169" customFormat="1" ht="30.75" customHeight="1">
      <c r="A1388" s="180" t="s">
        <v>167</v>
      </c>
      <c r="B1388" s="77" t="s">
        <v>1007</v>
      </c>
      <c r="C1388" s="70" t="s">
        <v>17</v>
      </c>
      <c r="D1388" s="210"/>
      <c r="E1388" s="210"/>
      <c r="F1388" s="210"/>
      <c r="G1388" s="210"/>
      <c r="H1388" s="406">
        <f>SUM(Tabla132112413[[#This Row],[PRIMER TRIMESTRE]:[CUARTO TRIMESTRE]])</f>
        <v>0</v>
      </c>
      <c r="I1388" s="72">
        <v>164374</v>
      </c>
      <c r="J1388" s="72">
        <f t="shared" si="35"/>
        <v>0</v>
      </c>
      <c r="K1388" s="72"/>
      <c r="L1388" s="73" t="s">
        <v>18</v>
      </c>
      <c r="M1388" s="73" t="s">
        <v>19</v>
      </c>
      <c r="N1388" s="70" t="s">
        <v>342</v>
      </c>
    </row>
    <row r="1389" spans="1:14" s="169" customFormat="1" ht="30.75" customHeight="1">
      <c r="A1389" s="180" t="s">
        <v>167</v>
      </c>
      <c r="B1389" s="77" t="s">
        <v>1008</v>
      </c>
      <c r="C1389" s="70" t="s">
        <v>17</v>
      </c>
      <c r="D1389" s="210"/>
      <c r="E1389" s="210"/>
      <c r="F1389" s="210"/>
      <c r="G1389" s="210"/>
      <c r="H1389" s="406">
        <f>SUM(Tabla132112413[[#This Row],[PRIMER TRIMESTRE]:[CUARTO TRIMESTRE]])</f>
        <v>0</v>
      </c>
      <c r="I1389" s="72">
        <v>24691.5</v>
      </c>
      <c r="J1389" s="72">
        <f t="shared" si="35"/>
        <v>0</v>
      </c>
      <c r="K1389" s="72"/>
      <c r="L1389" s="73" t="s">
        <v>18</v>
      </c>
      <c r="M1389" s="73" t="s">
        <v>19</v>
      </c>
      <c r="N1389" s="70"/>
    </row>
    <row r="1390" spans="1:14" s="169" customFormat="1" ht="30.75" customHeight="1">
      <c r="A1390" s="180" t="s">
        <v>167</v>
      </c>
      <c r="B1390" s="77" t="s">
        <v>1009</v>
      </c>
      <c r="C1390" s="70" t="s">
        <v>17</v>
      </c>
      <c r="D1390" s="210"/>
      <c r="E1390" s="210"/>
      <c r="F1390" s="210"/>
      <c r="G1390" s="210"/>
      <c r="H1390" s="406">
        <f>SUM(Tabla132112413[[#This Row],[PRIMER TRIMESTRE]:[CUARTO TRIMESTRE]])</f>
        <v>0</v>
      </c>
      <c r="I1390" s="72">
        <v>192045</v>
      </c>
      <c r="J1390" s="72">
        <f t="shared" si="35"/>
        <v>0</v>
      </c>
      <c r="K1390" s="72"/>
      <c r="L1390" s="73" t="s">
        <v>18</v>
      </c>
      <c r="M1390" s="73" t="s">
        <v>19</v>
      </c>
      <c r="N1390" s="70" t="s">
        <v>342</v>
      </c>
    </row>
    <row r="1391" spans="1:14" s="169" customFormat="1" ht="30.75" customHeight="1">
      <c r="A1391" s="180" t="s">
        <v>167</v>
      </c>
      <c r="B1391" s="77" t="s">
        <v>1010</v>
      </c>
      <c r="C1391" s="70" t="s">
        <v>17</v>
      </c>
      <c r="D1391" s="210"/>
      <c r="E1391" s="210"/>
      <c r="F1391" s="210"/>
      <c r="G1391" s="210"/>
      <c r="H1391" s="406">
        <f>SUM(Tabla132112413[[#This Row],[PRIMER TRIMESTRE]:[CUARTO TRIMESTRE]])</f>
        <v>0</v>
      </c>
      <c r="I1391" s="72">
        <v>164374</v>
      </c>
      <c r="J1391" s="72">
        <f t="shared" si="35"/>
        <v>0</v>
      </c>
      <c r="K1391" s="72"/>
      <c r="L1391" s="73" t="s">
        <v>18</v>
      </c>
      <c r="M1391" s="73" t="s">
        <v>19</v>
      </c>
      <c r="N1391" s="70" t="s">
        <v>342</v>
      </c>
    </row>
    <row r="1392" spans="1:14" s="169" customFormat="1" ht="30.75" customHeight="1">
      <c r="A1392" s="180" t="s">
        <v>167</v>
      </c>
      <c r="B1392" s="77" t="s">
        <v>1011</v>
      </c>
      <c r="C1392" s="70" t="s">
        <v>17</v>
      </c>
      <c r="D1392" s="210"/>
      <c r="E1392" s="210"/>
      <c r="F1392" s="210"/>
      <c r="G1392" s="210"/>
      <c r="H1392" s="406">
        <f>SUM(Tabla132112413[[#This Row],[PRIMER TRIMESTRE]:[CUARTO TRIMESTRE]])</f>
        <v>0</v>
      </c>
      <c r="I1392" s="72">
        <v>35145.119999999995</v>
      </c>
      <c r="J1392" s="72">
        <f t="shared" si="35"/>
        <v>0</v>
      </c>
      <c r="K1392" s="72"/>
      <c r="L1392" s="73" t="s">
        <v>18</v>
      </c>
      <c r="M1392" s="73" t="s">
        <v>19</v>
      </c>
      <c r="N1392" s="70"/>
    </row>
    <row r="1393" spans="1:14" s="169" customFormat="1" ht="30.75" customHeight="1">
      <c r="A1393" s="180" t="s">
        <v>167</v>
      </c>
      <c r="B1393" s="77" t="s">
        <v>1012</v>
      </c>
      <c r="C1393" s="70" t="s">
        <v>17</v>
      </c>
      <c r="D1393" s="210"/>
      <c r="E1393" s="210"/>
      <c r="F1393" s="210"/>
      <c r="G1393" s="210"/>
      <c r="H1393" s="406">
        <f>SUM(Tabla132112413[[#This Row],[PRIMER TRIMESTRE]:[CUARTO TRIMESTRE]])</f>
        <v>0</v>
      </c>
      <c r="I1393" s="72">
        <v>926960.79999999993</v>
      </c>
      <c r="J1393" s="72">
        <f t="shared" si="35"/>
        <v>0</v>
      </c>
      <c r="K1393" s="72"/>
      <c r="L1393" s="73" t="s">
        <v>18</v>
      </c>
      <c r="M1393" s="73" t="s">
        <v>19</v>
      </c>
      <c r="N1393" s="70" t="s">
        <v>342</v>
      </c>
    </row>
    <row r="1394" spans="1:14" s="169" customFormat="1" ht="30.75" customHeight="1">
      <c r="A1394" s="180" t="s">
        <v>167</v>
      </c>
      <c r="B1394" s="77" t="s">
        <v>1013</v>
      </c>
      <c r="C1394" s="70" t="s">
        <v>17</v>
      </c>
      <c r="D1394" s="210"/>
      <c r="E1394" s="210"/>
      <c r="F1394" s="210"/>
      <c r="G1394" s="210"/>
      <c r="H1394" s="406">
        <f>SUM(Tabla132112413[[#This Row],[PRIMER TRIMESTRE]:[CUARTO TRIMESTRE]])</f>
        <v>0</v>
      </c>
      <c r="I1394" s="72">
        <v>266798</v>
      </c>
      <c r="J1394" s="72">
        <f t="shared" si="35"/>
        <v>0</v>
      </c>
      <c r="K1394" s="72"/>
      <c r="L1394" s="73" t="s">
        <v>18</v>
      </c>
      <c r="M1394" s="73" t="s">
        <v>19</v>
      </c>
      <c r="N1394" s="70" t="s">
        <v>342</v>
      </c>
    </row>
    <row r="1395" spans="1:14" s="169" customFormat="1" ht="30.75" customHeight="1">
      <c r="A1395" s="180" t="s">
        <v>167</v>
      </c>
      <c r="B1395" s="77" t="s">
        <v>1014</v>
      </c>
      <c r="C1395" s="70" t="s">
        <v>17</v>
      </c>
      <c r="D1395" s="210"/>
      <c r="E1395" s="210"/>
      <c r="F1395" s="210"/>
      <c r="G1395" s="210"/>
      <c r="H1395" s="406">
        <f>SUM(Tabla132112413[[#This Row],[PRIMER TRIMESTRE]:[CUARTO TRIMESTRE]])</f>
        <v>0</v>
      </c>
      <c r="I1395" s="72">
        <v>77555.5</v>
      </c>
      <c r="J1395" s="72">
        <f t="shared" si="35"/>
        <v>0</v>
      </c>
      <c r="K1395" s="72"/>
      <c r="L1395" s="73" t="s">
        <v>18</v>
      </c>
      <c r="M1395" s="73" t="s">
        <v>19</v>
      </c>
      <c r="N1395" s="70"/>
    </row>
    <row r="1396" spans="1:14" s="169" customFormat="1" ht="30.75" customHeight="1">
      <c r="A1396" s="180" t="s">
        <v>167</v>
      </c>
      <c r="B1396" s="77" t="s">
        <v>1015</v>
      </c>
      <c r="C1396" s="70" t="s">
        <v>17</v>
      </c>
      <c r="D1396" s="210"/>
      <c r="E1396" s="210"/>
      <c r="F1396" s="210"/>
      <c r="G1396" s="210"/>
      <c r="H1396" s="406">
        <f>SUM(Tabla132112413[[#This Row],[PRIMER TRIMESTRE]:[CUARTO TRIMESTRE]])</f>
        <v>0</v>
      </c>
      <c r="I1396" s="72">
        <v>100595</v>
      </c>
      <c r="J1396" s="72">
        <f t="shared" si="35"/>
        <v>0</v>
      </c>
      <c r="K1396" s="72"/>
      <c r="L1396" s="73" t="s">
        <v>18</v>
      </c>
      <c r="M1396" s="73" t="s">
        <v>19</v>
      </c>
      <c r="N1396" s="70" t="s">
        <v>342</v>
      </c>
    </row>
    <row r="1397" spans="1:14" s="169" customFormat="1" ht="30.75" customHeight="1">
      <c r="A1397" s="180" t="s">
        <v>167</v>
      </c>
      <c r="B1397" s="77" t="s">
        <v>1016</v>
      </c>
      <c r="C1397" s="70" t="s">
        <v>17</v>
      </c>
      <c r="D1397" s="210"/>
      <c r="E1397" s="210"/>
      <c r="F1397" s="210"/>
      <c r="G1397" s="210"/>
      <c r="H1397" s="406">
        <f>SUM(Tabla132112413[[#This Row],[PRIMER TRIMESTRE]:[CUARTO TRIMESTRE]])</f>
        <v>0</v>
      </c>
      <c r="I1397" s="72">
        <v>106173.45</v>
      </c>
      <c r="J1397" s="72">
        <f t="shared" si="35"/>
        <v>0</v>
      </c>
      <c r="K1397" s="72"/>
      <c r="L1397" s="73" t="s">
        <v>18</v>
      </c>
      <c r="M1397" s="73" t="s">
        <v>19</v>
      </c>
      <c r="N1397" s="70" t="s">
        <v>342</v>
      </c>
    </row>
    <row r="1398" spans="1:14" s="169" customFormat="1" ht="30.75" customHeight="1">
      <c r="A1398" s="180" t="s">
        <v>167</v>
      </c>
      <c r="B1398" s="77" t="s">
        <v>1017</v>
      </c>
      <c r="C1398" s="70" t="s">
        <v>17</v>
      </c>
      <c r="D1398" s="210"/>
      <c r="E1398" s="210"/>
      <c r="F1398" s="210"/>
      <c r="G1398" s="210"/>
      <c r="H1398" s="406">
        <f>SUM(Tabla132112413[[#This Row],[PRIMER TRIMESTRE]:[CUARTO TRIMESTRE]])</f>
        <v>0</v>
      </c>
      <c r="I1398" s="72">
        <v>111156</v>
      </c>
      <c r="J1398" s="72">
        <f t="shared" si="35"/>
        <v>0</v>
      </c>
      <c r="K1398" s="72"/>
      <c r="L1398" s="73" t="s">
        <v>18</v>
      </c>
      <c r="M1398" s="73" t="s">
        <v>19</v>
      </c>
      <c r="N1398" s="70" t="s">
        <v>342</v>
      </c>
    </row>
    <row r="1399" spans="1:14" s="169" customFormat="1" ht="44.25" customHeight="1">
      <c r="A1399" s="180" t="s">
        <v>167</v>
      </c>
      <c r="B1399" s="77" t="s">
        <v>1018</v>
      </c>
      <c r="C1399" s="70" t="s">
        <v>17</v>
      </c>
      <c r="D1399" s="210"/>
      <c r="E1399" s="210"/>
      <c r="F1399" s="210"/>
      <c r="G1399" s="210"/>
      <c r="H1399" s="406">
        <f>SUM(Tabla132112413[[#This Row],[PRIMER TRIMESTRE]:[CUARTO TRIMESTRE]])</f>
        <v>0</v>
      </c>
      <c r="I1399" s="72">
        <v>62186</v>
      </c>
      <c r="J1399" s="72">
        <f t="shared" si="35"/>
        <v>0</v>
      </c>
      <c r="K1399" s="72"/>
      <c r="L1399" s="73" t="s">
        <v>18</v>
      </c>
      <c r="M1399" s="73" t="s">
        <v>19</v>
      </c>
      <c r="N1399" s="70" t="s">
        <v>342</v>
      </c>
    </row>
    <row r="1400" spans="1:14" s="169" customFormat="1" ht="30.75" customHeight="1">
      <c r="A1400" s="180" t="s">
        <v>167</v>
      </c>
      <c r="B1400" s="77" t="s">
        <v>1019</v>
      </c>
      <c r="C1400" s="70" t="s">
        <v>17</v>
      </c>
      <c r="D1400" s="210"/>
      <c r="E1400" s="210"/>
      <c r="F1400" s="210"/>
      <c r="G1400" s="210"/>
      <c r="H1400" s="406">
        <f>SUM(Tabla132112413[[#This Row],[PRIMER TRIMESTRE]:[CUARTO TRIMESTRE]])</f>
        <v>0</v>
      </c>
      <c r="I1400" s="72">
        <v>306800</v>
      </c>
      <c r="J1400" s="72">
        <f t="shared" si="35"/>
        <v>0</v>
      </c>
      <c r="K1400" s="72"/>
      <c r="L1400" s="73" t="s">
        <v>18</v>
      </c>
      <c r="M1400" s="73" t="s">
        <v>19</v>
      </c>
      <c r="N1400" s="70" t="s">
        <v>342</v>
      </c>
    </row>
    <row r="1401" spans="1:14" s="169" customFormat="1" ht="52.5" customHeight="1">
      <c r="A1401" s="180" t="s">
        <v>167</v>
      </c>
      <c r="B1401" s="77" t="s">
        <v>1020</v>
      </c>
      <c r="C1401" s="70" t="s">
        <v>17</v>
      </c>
      <c r="D1401" s="210"/>
      <c r="E1401" s="210"/>
      <c r="F1401" s="210"/>
      <c r="G1401" s="210"/>
      <c r="H1401" s="406">
        <f>SUM(Tabla132112413[[#This Row],[PRIMER TRIMESTRE]:[CUARTO TRIMESTRE]])</f>
        <v>0</v>
      </c>
      <c r="I1401" s="72">
        <v>31093</v>
      </c>
      <c r="J1401" s="72">
        <f t="shared" si="35"/>
        <v>0</v>
      </c>
      <c r="K1401" s="72"/>
      <c r="L1401" s="73" t="s">
        <v>18</v>
      </c>
      <c r="M1401" s="73" t="s">
        <v>19</v>
      </c>
      <c r="N1401" s="70" t="s">
        <v>342</v>
      </c>
    </row>
    <row r="1402" spans="1:14" s="169" customFormat="1" ht="90" customHeight="1">
      <c r="A1402" s="180" t="s">
        <v>167</v>
      </c>
      <c r="B1402" s="77" t="s">
        <v>1021</v>
      </c>
      <c r="C1402" s="70" t="s">
        <v>17</v>
      </c>
      <c r="D1402" s="210"/>
      <c r="E1402" s="210"/>
      <c r="F1402" s="210"/>
      <c r="G1402" s="210"/>
      <c r="H1402" s="406">
        <f>SUM(Tabla132112413[[#This Row],[PRIMER TRIMESTRE]:[CUARTO TRIMESTRE]])</f>
        <v>0</v>
      </c>
      <c r="I1402" s="72">
        <v>329220</v>
      </c>
      <c r="J1402" s="72">
        <f t="shared" si="35"/>
        <v>0</v>
      </c>
      <c r="K1402" s="72"/>
      <c r="L1402" s="73" t="s">
        <v>18</v>
      </c>
      <c r="M1402" s="73" t="s">
        <v>19</v>
      </c>
      <c r="N1402" s="70" t="s">
        <v>342</v>
      </c>
    </row>
    <row r="1403" spans="1:14" s="169" customFormat="1" ht="103.5" customHeight="1">
      <c r="A1403" s="180" t="s">
        <v>167</v>
      </c>
      <c r="B1403" s="77" t="s">
        <v>1700</v>
      </c>
      <c r="C1403" s="70" t="s">
        <v>17</v>
      </c>
      <c r="D1403" s="210"/>
      <c r="E1403" s="210"/>
      <c r="F1403" s="210"/>
      <c r="G1403" s="210"/>
      <c r="H1403" s="406">
        <v>0</v>
      </c>
      <c r="I1403" s="72">
        <v>0</v>
      </c>
      <c r="J1403" s="72">
        <v>0</v>
      </c>
      <c r="K1403" s="72"/>
      <c r="L1403" s="73" t="s">
        <v>18</v>
      </c>
      <c r="M1403" s="73" t="s">
        <v>19</v>
      </c>
      <c r="N1403" s="70" t="s">
        <v>342</v>
      </c>
    </row>
    <row r="1404" spans="1:14" s="169" customFormat="1" ht="103.5" customHeight="1">
      <c r="A1404" s="180" t="s">
        <v>167</v>
      </c>
      <c r="B1404" s="77" t="s">
        <v>1762</v>
      </c>
      <c r="C1404" s="70" t="s">
        <v>17</v>
      </c>
      <c r="D1404" s="210"/>
      <c r="E1404" s="210"/>
      <c r="F1404" s="210"/>
      <c r="G1404" s="210"/>
      <c r="H1404" s="406">
        <v>0</v>
      </c>
      <c r="I1404" s="72">
        <v>0</v>
      </c>
      <c r="J1404" s="72">
        <v>0</v>
      </c>
      <c r="K1404" s="72"/>
      <c r="L1404" s="73" t="s">
        <v>18</v>
      </c>
      <c r="M1404" s="73" t="s">
        <v>19</v>
      </c>
      <c r="N1404" s="70"/>
    </row>
    <row r="1405" spans="1:14" s="169" customFormat="1" ht="71.25" customHeight="1">
      <c r="A1405" s="180" t="s">
        <v>167</v>
      </c>
      <c r="B1405" s="77" t="s">
        <v>1022</v>
      </c>
      <c r="C1405" s="70" t="s">
        <v>17</v>
      </c>
      <c r="D1405" s="210"/>
      <c r="E1405" s="210"/>
      <c r="F1405" s="210"/>
      <c r="G1405" s="210"/>
      <c r="H1405" s="406">
        <f>SUM(Tabla132112413[[#This Row],[PRIMER TRIMESTRE]:[CUARTO TRIMESTRE]])</f>
        <v>0</v>
      </c>
      <c r="I1405" s="72">
        <v>235000</v>
      </c>
      <c r="J1405" s="72">
        <f t="shared" si="35"/>
        <v>0</v>
      </c>
      <c r="K1405" s="72"/>
      <c r="L1405" s="73" t="s">
        <v>18</v>
      </c>
      <c r="M1405" s="73" t="s">
        <v>19</v>
      </c>
      <c r="N1405" s="70"/>
    </row>
    <row r="1406" spans="1:14" s="169" customFormat="1" ht="63.75">
      <c r="A1406" s="180" t="s">
        <v>167</v>
      </c>
      <c r="B1406" s="77" t="s">
        <v>1023</v>
      </c>
      <c r="C1406" s="70" t="s">
        <v>17</v>
      </c>
      <c r="D1406" s="210"/>
      <c r="E1406" s="210"/>
      <c r="F1406" s="210"/>
      <c r="G1406" s="210"/>
      <c r="H1406" s="406">
        <f>SUM(Tabla132112413[[#This Row],[PRIMER TRIMESTRE]:[CUARTO TRIMESTRE]])</f>
        <v>0</v>
      </c>
      <c r="I1406" s="72">
        <v>803877.81</v>
      </c>
      <c r="J1406" s="72">
        <f t="shared" si="35"/>
        <v>0</v>
      </c>
      <c r="K1406" s="72"/>
      <c r="L1406" s="73" t="s">
        <v>18</v>
      </c>
      <c r="M1406" s="73" t="s">
        <v>19</v>
      </c>
      <c r="N1406" s="70" t="s">
        <v>342</v>
      </c>
    </row>
    <row r="1407" spans="1:14" s="55" customFormat="1" ht="30.75" customHeight="1">
      <c r="A1407" s="180" t="s">
        <v>167</v>
      </c>
      <c r="B1407" s="77" t="s">
        <v>1418</v>
      </c>
      <c r="C1407" s="70" t="s">
        <v>17</v>
      </c>
      <c r="D1407" s="210"/>
      <c r="E1407" s="210"/>
      <c r="F1407" s="210"/>
      <c r="G1407" s="210"/>
      <c r="H1407" s="406">
        <f>SUM(Tabla132112413[[#This Row],[PRIMER TRIMESTRE]:[CUARTO TRIMESTRE]])</f>
        <v>0</v>
      </c>
      <c r="I1407" s="72">
        <v>265000</v>
      </c>
      <c r="J1407" s="72">
        <f t="shared" si="35"/>
        <v>0</v>
      </c>
      <c r="K1407" s="72"/>
      <c r="L1407" s="73" t="s">
        <v>18</v>
      </c>
      <c r="M1407" s="73" t="s">
        <v>19</v>
      </c>
      <c r="N1407" s="70" t="s">
        <v>342</v>
      </c>
    </row>
    <row r="1408" spans="1:14" s="55" customFormat="1" ht="30.75" customHeight="1">
      <c r="A1408" s="179" t="s">
        <v>167</v>
      </c>
      <c r="B1408" s="76" t="s">
        <v>891</v>
      </c>
      <c r="C1408" s="42"/>
      <c r="D1408" s="237"/>
      <c r="E1408" s="237"/>
      <c r="F1408" s="237"/>
      <c r="G1408" s="237"/>
      <c r="H1408" s="43"/>
      <c r="I1408" s="24"/>
      <c r="J1408" s="24"/>
      <c r="K1408" s="25">
        <f>SUM(J1345:J1407)</f>
        <v>0</v>
      </c>
      <c r="L1408" s="23"/>
      <c r="M1408" s="23"/>
      <c r="N1408" s="42"/>
    </row>
    <row r="1409" spans="1:14" s="55" customFormat="1" ht="18">
      <c r="A1409" s="178" t="s">
        <v>573</v>
      </c>
      <c r="B1409" s="75" t="s">
        <v>574</v>
      </c>
      <c r="C1409" s="39" t="s">
        <v>17</v>
      </c>
      <c r="D1409" s="410"/>
      <c r="E1409" s="410"/>
      <c r="F1409" s="410"/>
      <c r="G1409" s="241"/>
      <c r="H1409" s="51">
        <f>SUM(Tabla132112413[[#This Row],[PRIMER TRIMESTRE]:[CUARTO TRIMESTRE]])</f>
        <v>0</v>
      </c>
      <c r="I1409" s="52">
        <v>500</v>
      </c>
      <c r="J1409" s="52">
        <f>+Tabla132112413[[#This Row],[CANTIDAD TOTAL]]*Tabla132112413[[#This Row],[PRECIO UNITARIO ESTIMADO]]</f>
        <v>0</v>
      </c>
      <c r="K1409" s="50"/>
      <c r="L1409" s="411" t="s">
        <v>18</v>
      </c>
      <c r="M1409" s="411" t="s">
        <v>22</v>
      </c>
      <c r="N1409" s="53"/>
    </row>
    <row r="1410" spans="1:14" s="12" customFormat="1" ht="18">
      <c r="A1410" s="178" t="s">
        <v>573</v>
      </c>
      <c r="B1410" s="75" t="s">
        <v>575</v>
      </c>
      <c r="C1410" s="39" t="s">
        <v>17</v>
      </c>
      <c r="D1410" s="410"/>
      <c r="E1410" s="410"/>
      <c r="F1410" s="410"/>
      <c r="G1410" s="241"/>
      <c r="H1410" s="51">
        <f>SUM(Tabla132112413[[#This Row],[PRIMER TRIMESTRE]:[CUARTO TRIMESTRE]])</f>
        <v>0</v>
      </c>
      <c r="I1410" s="52">
        <v>1000</v>
      </c>
      <c r="J1410" s="52">
        <f>+Tabla132112413[[#This Row],[CANTIDAD TOTAL]]*Tabla132112413[[#This Row],[PRECIO UNITARIO ESTIMADO]]</f>
        <v>0</v>
      </c>
      <c r="K1410" s="50"/>
      <c r="L1410" s="411" t="s">
        <v>18</v>
      </c>
      <c r="M1410" s="411" t="s">
        <v>22</v>
      </c>
      <c r="N1410" s="53"/>
    </row>
    <row r="1411" spans="1:14" s="12" customFormat="1" ht="18">
      <c r="A1411" s="178" t="s">
        <v>573</v>
      </c>
      <c r="B1411" s="75" t="s">
        <v>576</v>
      </c>
      <c r="C1411" s="39" t="s">
        <v>17</v>
      </c>
      <c r="D1411" s="410"/>
      <c r="E1411" s="410"/>
      <c r="F1411" s="410"/>
      <c r="G1411" s="241"/>
      <c r="H1411" s="51">
        <f>SUM(Tabla132112413[[#This Row],[PRIMER TRIMESTRE]:[CUARTO TRIMESTRE]])</f>
        <v>0</v>
      </c>
      <c r="I1411" s="52">
        <v>2000</v>
      </c>
      <c r="J1411" s="52">
        <f>+Tabla132112413[[#This Row],[CANTIDAD TOTAL]]*Tabla132112413[[#This Row],[PRECIO UNITARIO ESTIMADO]]</f>
        <v>0</v>
      </c>
      <c r="K1411" s="50"/>
      <c r="L1411" s="16" t="s">
        <v>18</v>
      </c>
      <c r="M1411" s="411" t="s">
        <v>22</v>
      </c>
      <c r="N1411" s="53"/>
    </row>
    <row r="1412" spans="1:14" s="12" customFormat="1" ht="18">
      <c r="A1412" s="178" t="s">
        <v>573</v>
      </c>
      <c r="B1412" s="75" t="s">
        <v>1331</v>
      </c>
      <c r="C1412" s="39" t="s">
        <v>17</v>
      </c>
      <c r="D1412" s="236"/>
      <c r="E1412" s="236"/>
      <c r="F1412" s="236"/>
      <c r="G1412" s="236"/>
      <c r="H1412" s="417">
        <f>SUM(Tabla132112413[[#This Row],[PRIMER TRIMESTRE]:[CUARTO TRIMESTRE]])</f>
        <v>0</v>
      </c>
      <c r="I1412" s="17">
        <v>40000</v>
      </c>
      <c r="J1412" s="17">
        <f t="shared" ref="J1412:J1421" si="36">+H1412*I1412</f>
        <v>0</v>
      </c>
      <c r="K1412" s="17"/>
      <c r="L1412" s="411" t="s">
        <v>18</v>
      </c>
      <c r="M1412" s="411" t="s">
        <v>22</v>
      </c>
      <c r="N1412" s="39"/>
    </row>
    <row r="1413" spans="1:14" s="12" customFormat="1" ht="18">
      <c r="A1413" s="178" t="s">
        <v>573</v>
      </c>
      <c r="B1413" s="75" t="s">
        <v>1751</v>
      </c>
      <c r="C1413" s="39" t="s">
        <v>17</v>
      </c>
      <c r="D1413" s="236"/>
      <c r="E1413" s="236"/>
      <c r="F1413" s="236"/>
      <c r="G1413" s="236"/>
      <c r="H1413" s="417">
        <v>0</v>
      </c>
      <c r="I1413" s="17"/>
      <c r="J1413" s="17"/>
      <c r="K1413" s="17"/>
      <c r="L1413" s="411" t="s">
        <v>18</v>
      </c>
      <c r="M1413" s="411" t="s">
        <v>22</v>
      </c>
      <c r="N1413" s="39"/>
    </row>
    <row r="1414" spans="1:14" s="12" customFormat="1" ht="18">
      <c r="A1414" s="178" t="s">
        <v>573</v>
      </c>
      <c r="B1414" s="75" t="s">
        <v>1747</v>
      </c>
      <c r="C1414" s="39" t="s">
        <v>17</v>
      </c>
      <c r="D1414" s="236"/>
      <c r="E1414" s="236"/>
      <c r="F1414" s="236"/>
      <c r="G1414" s="236"/>
      <c r="H1414" s="417">
        <v>0</v>
      </c>
      <c r="I1414" s="17"/>
      <c r="J1414" s="17"/>
      <c r="K1414" s="17"/>
      <c r="L1414" s="411" t="s">
        <v>18</v>
      </c>
      <c r="M1414" s="411" t="s">
        <v>22</v>
      </c>
      <c r="N1414" s="39"/>
    </row>
    <row r="1415" spans="1:14" s="12" customFormat="1" ht="18">
      <c r="A1415" s="178" t="s">
        <v>573</v>
      </c>
      <c r="B1415" s="75" t="s">
        <v>1332</v>
      </c>
      <c r="C1415" s="39" t="s">
        <v>17</v>
      </c>
      <c r="D1415" s="236"/>
      <c r="E1415" s="236"/>
      <c r="F1415" s="236"/>
      <c r="G1415" s="236"/>
      <c r="H1415" s="51">
        <f>SUM(Tabla132112413[[#This Row],[PRIMER TRIMESTRE]:[CUARTO TRIMESTRE]])</f>
        <v>0</v>
      </c>
      <c r="I1415" s="17">
        <v>30000</v>
      </c>
      <c r="J1415" s="17">
        <f t="shared" si="36"/>
        <v>0</v>
      </c>
      <c r="K1415" s="17"/>
      <c r="L1415" s="411" t="s">
        <v>18</v>
      </c>
      <c r="M1415" s="411" t="s">
        <v>22</v>
      </c>
      <c r="N1415" s="39"/>
    </row>
    <row r="1416" spans="1:14" s="12" customFormat="1" ht="18">
      <c r="A1416" s="178" t="s">
        <v>573</v>
      </c>
      <c r="B1416" s="75" t="s">
        <v>1749</v>
      </c>
      <c r="C1416" s="39" t="s">
        <v>17</v>
      </c>
      <c r="D1416" s="236"/>
      <c r="E1416" s="236"/>
      <c r="F1416" s="236"/>
      <c r="G1416" s="236"/>
      <c r="H1416" s="416">
        <f>Tabla132112413[[#This Row],[CUARTO TRIMESTRE]]+Tabla132112413[[#This Row],[TERCER TRIMESTRE]]+Tabla132112413[[#This Row],[SEGUNDO TRIMESTRE]]+Tabla132112413[[#This Row],[PRIMER TRIMESTRE]]</f>
        <v>0</v>
      </c>
      <c r="I1416" s="17">
        <v>75000</v>
      </c>
      <c r="J1416" s="17">
        <f>Tabla132112413[[#This Row],[PRECIO UNITARIO ESTIMADO]]*Tabla132112413[[#This Row],[CANTIDAD TOTAL]]</f>
        <v>0</v>
      </c>
      <c r="K1416" s="17"/>
      <c r="L1416" s="16" t="s">
        <v>18</v>
      </c>
      <c r="M1416" s="16" t="s">
        <v>22</v>
      </c>
      <c r="N1416" s="39"/>
    </row>
    <row r="1417" spans="1:14" s="12" customFormat="1" ht="18">
      <c r="A1417" s="178" t="s">
        <v>573</v>
      </c>
      <c r="B1417" s="75" t="s">
        <v>1333</v>
      </c>
      <c r="C1417" s="39" t="s">
        <v>17</v>
      </c>
      <c r="D1417" s="236"/>
      <c r="E1417" s="236"/>
      <c r="F1417" s="236"/>
      <c r="G1417" s="236"/>
      <c r="H1417" s="51">
        <f>SUM(Tabla132112413[[#This Row],[PRIMER TRIMESTRE]:[CUARTO TRIMESTRE]])</f>
        <v>0</v>
      </c>
      <c r="I1417" s="17">
        <v>1500000</v>
      </c>
      <c r="J1417" s="17">
        <f>+H1417*I1417</f>
        <v>0</v>
      </c>
      <c r="K1417" s="17"/>
      <c r="L1417" s="16" t="s">
        <v>18</v>
      </c>
      <c r="M1417" s="411" t="s">
        <v>22</v>
      </c>
      <c r="N1417" s="39"/>
    </row>
    <row r="1418" spans="1:14" s="12" customFormat="1" ht="18">
      <c r="A1418" s="178" t="s">
        <v>573</v>
      </c>
      <c r="B1418" s="75" t="s">
        <v>1750</v>
      </c>
      <c r="C1418" s="39" t="s">
        <v>17</v>
      </c>
      <c r="D1418" s="236"/>
      <c r="E1418" s="236"/>
      <c r="F1418" s="236"/>
      <c r="G1418" s="236"/>
      <c r="H1418" s="416">
        <v>0</v>
      </c>
      <c r="I1418" s="17"/>
      <c r="J1418" s="17">
        <f>Tabla132112413[[#This Row],[PRECIO UNITARIO ESTIMADO]]*Tabla132112413[[#This Row],[CANTIDAD TOTAL]]</f>
        <v>0</v>
      </c>
      <c r="K1418" s="17"/>
      <c r="L1418" s="16" t="s">
        <v>18</v>
      </c>
      <c r="M1418" s="411" t="s">
        <v>22</v>
      </c>
      <c r="N1418" s="39"/>
    </row>
    <row r="1419" spans="1:14" s="12" customFormat="1" ht="18">
      <c r="A1419" s="178" t="s">
        <v>573</v>
      </c>
      <c r="B1419" s="75" t="s">
        <v>1464</v>
      </c>
      <c r="C1419" s="39" t="s">
        <v>17</v>
      </c>
      <c r="D1419" s="236"/>
      <c r="E1419" s="236"/>
      <c r="F1419" s="236"/>
      <c r="G1419" s="236"/>
      <c r="H1419" s="51">
        <f>SUM(Tabla132112413[[#This Row],[PRIMER TRIMESTRE]:[CUARTO TRIMESTRE]])</f>
        <v>0</v>
      </c>
      <c r="I1419" s="17">
        <v>87000</v>
      </c>
      <c r="J1419" s="17">
        <f t="shared" si="36"/>
        <v>0</v>
      </c>
      <c r="K1419" s="17"/>
      <c r="L1419" s="16" t="s">
        <v>18</v>
      </c>
      <c r="M1419" s="411" t="s">
        <v>22</v>
      </c>
      <c r="N1419" s="39"/>
    </row>
    <row r="1420" spans="1:14" s="64" customFormat="1" ht="18">
      <c r="A1420" s="178" t="s">
        <v>573</v>
      </c>
      <c r="B1420" s="75" t="s">
        <v>1465</v>
      </c>
      <c r="C1420" s="39" t="s">
        <v>17</v>
      </c>
      <c r="D1420" s="236"/>
      <c r="E1420" s="236"/>
      <c r="F1420" s="236"/>
      <c r="G1420" s="236"/>
      <c r="H1420" s="51">
        <f>SUM(Tabla132112413[[#This Row],[PRIMER TRIMESTRE]:[CUARTO TRIMESTRE]])</f>
        <v>0</v>
      </c>
      <c r="I1420" s="17">
        <v>15</v>
      </c>
      <c r="J1420" s="17">
        <f t="shared" si="36"/>
        <v>0</v>
      </c>
      <c r="K1420" s="17"/>
      <c r="L1420" s="16" t="s">
        <v>18</v>
      </c>
      <c r="M1420" s="411" t="s">
        <v>22</v>
      </c>
      <c r="N1420" s="39"/>
    </row>
    <row r="1421" spans="1:14" s="34" customFormat="1" ht="24" thickBot="1">
      <c r="A1421" s="178" t="s">
        <v>573</v>
      </c>
      <c r="B1421" s="75" t="s">
        <v>1419</v>
      </c>
      <c r="C1421" s="39" t="s">
        <v>17</v>
      </c>
      <c r="D1421" s="236"/>
      <c r="E1421" s="236"/>
      <c r="F1421" s="236"/>
      <c r="G1421" s="236"/>
      <c r="H1421" s="51">
        <f>SUM(Tabla132112413[[#This Row],[PRIMER TRIMESTRE]:[CUARTO TRIMESTRE]])</f>
        <v>0</v>
      </c>
      <c r="I1421" s="17">
        <v>6000000</v>
      </c>
      <c r="J1421" s="17">
        <f t="shared" si="36"/>
        <v>0</v>
      </c>
      <c r="K1421" s="17"/>
      <c r="L1421" s="16" t="s">
        <v>18</v>
      </c>
      <c r="M1421" s="411" t="s">
        <v>22</v>
      </c>
      <c r="N1421" s="39"/>
    </row>
    <row r="1422" spans="1:14" ht="30.75" customHeight="1">
      <c r="A1422" s="181" t="s">
        <v>573</v>
      </c>
      <c r="B1422" s="76"/>
      <c r="C1422" s="62"/>
      <c r="D1422" s="418"/>
      <c r="E1422" s="418"/>
      <c r="F1422" s="418"/>
      <c r="G1422" s="418"/>
      <c r="H1422" s="59"/>
      <c r="I1422" s="288"/>
      <c r="J1422" s="419"/>
      <c r="K1422" s="25">
        <f>+SUM($J$1409:$J$1421)</f>
        <v>0</v>
      </c>
      <c r="L1422" s="61"/>
      <c r="M1422" s="61"/>
      <c r="N1422" s="62"/>
    </row>
    <row r="1423" spans="1:14" ht="30.75" customHeight="1" thickBot="1">
      <c r="A1423" s="182"/>
      <c r="B1423" s="83" t="s">
        <v>1912</v>
      </c>
      <c r="C1423" s="47"/>
      <c r="D1423" s="242"/>
      <c r="E1423" s="242"/>
      <c r="F1423" s="242"/>
      <c r="G1423" s="242"/>
      <c r="H1423" s="48"/>
      <c r="I1423" s="35"/>
      <c r="J1423" s="183">
        <f>SUM(J13:J1422)</f>
        <v>3486752.7416187059</v>
      </c>
      <c r="K1423" s="183">
        <f>SUM(K13:K1422)</f>
        <v>3486752.7416187054</v>
      </c>
      <c r="L1423" s="34"/>
      <c r="M1423" s="34"/>
      <c r="N1423" s="47"/>
    </row>
    <row r="1426" spans="3:14" ht="18">
      <c r="K1426" s="250"/>
    </row>
    <row r="1430" spans="3:14" ht="18">
      <c r="C1430" s="400"/>
      <c r="D1430" s="400"/>
      <c r="E1430" s="400"/>
      <c r="F1430" s="400"/>
      <c r="G1430" s="400"/>
      <c r="H1430" s="400"/>
      <c r="N1430" s="400"/>
    </row>
    <row r="1431" spans="3:14" ht="18">
      <c r="C1431" s="400"/>
      <c r="D1431" s="400"/>
      <c r="E1431" s="400"/>
      <c r="F1431" s="400"/>
      <c r="G1431" s="400"/>
      <c r="H1431" s="400"/>
      <c r="N1431" s="400"/>
    </row>
    <row r="1432" spans="3:14" ht="18">
      <c r="C1432" s="400"/>
      <c r="D1432" s="400"/>
      <c r="E1432" s="400"/>
      <c r="F1432" s="400"/>
      <c r="G1432" s="400"/>
      <c r="H1432" s="400"/>
      <c r="N1432" s="400"/>
    </row>
    <row r="1433" spans="3:14" ht="18">
      <c r="C1433" s="400"/>
      <c r="D1433" s="400"/>
      <c r="E1433" s="400"/>
      <c r="F1433" s="400"/>
      <c r="G1433" s="400"/>
      <c r="H1433" s="400"/>
      <c r="N1433" s="400"/>
    </row>
    <row r="1434" spans="3:14" ht="18">
      <c r="C1434" s="400"/>
      <c r="D1434" s="400"/>
      <c r="E1434" s="400"/>
      <c r="F1434" s="400"/>
      <c r="G1434" s="400"/>
      <c r="H1434" s="400"/>
      <c r="N1434" s="400"/>
    </row>
    <row r="1435" spans="3:14" ht="18">
      <c r="C1435" s="400"/>
      <c r="D1435" s="400"/>
      <c r="E1435" s="400"/>
      <c r="F1435" s="400"/>
      <c r="G1435" s="400"/>
      <c r="H1435" s="400"/>
      <c r="N1435" s="400"/>
    </row>
    <row r="1436" spans="3:14" ht="18">
      <c r="C1436" s="400"/>
      <c r="D1436" s="400"/>
      <c r="E1436" s="400"/>
      <c r="F1436" s="400"/>
      <c r="G1436" s="400"/>
      <c r="H1436" s="400"/>
      <c r="N1436" s="400"/>
    </row>
    <row r="1437" spans="3:14" ht="18">
      <c r="C1437" s="400"/>
      <c r="D1437" s="400"/>
      <c r="E1437" s="400"/>
      <c r="F1437" s="400"/>
      <c r="G1437" s="400"/>
      <c r="H1437" s="400"/>
      <c r="N1437" s="400"/>
    </row>
    <row r="1438" spans="3:14" ht="18">
      <c r="C1438" s="400"/>
      <c r="D1438" s="400"/>
      <c r="E1438" s="400"/>
      <c r="F1438" s="400"/>
      <c r="G1438" s="400"/>
      <c r="H1438" s="400"/>
      <c r="N1438" s="400"/>
    </row>
    <row r="1439" spans="3:14" ht="18"/>
  </sheetData>
  <mergeCells count="4">
    <mergeCell ref="A3:A5"/>
    <mergeCell ref="A6:N6"/>
    <mergeCell ref="A7:B7"/>
    <mergeCell ref="D9:G9"/>
  </mergeCells>
  <dataValidations count="12">
    <dataValidation type="list" allowBlank="1" showInputMessage="1" showErrorMessage="1" promptTitle="PACC" prompt="Seleccione el procedimiento de selección." sqref="M585 M605:M630 K1362:K1365 K1448:K1450 L683:L701 L604 L1451:L1457 L629:L673 L586:L602 L13:L43 L45:L584 L703:L1447">
      <formula1>#REF!</formula1>
    </dataValidation>
    <dataValidation type="list" allowBlank="1" showInputMessage="1" showErrorMessage="1" promptTitle="PACC" prompt="Seleccione el Código de Bienes y Servicios._x000a_" sqref="A59:A76 A13:A45 A78:A1440 A1448:A1457 C1328:C1332 J1328:K1332">
      <formula1>#REF!</formula1>
    </dataValidation>
    <dataValidation allowBlank="1" showInputMessage="1" showErrorMessage="1" promptTitle="PACC" prompt="Digite la cantidad requerida en este período._x000a_" sqref="F673:G676 D1412:G1421 F814:G821 E703:E761 E407:F407 F774:G776 F661:G671 F830:G830 D124:G126 E129:G139 D203:G203 E149:G149 D1264:E1264 D1292:G1295 D414:E414 F1101:G1101 E1161:E1248 E835:E871 D628:G628 D633:G633 F835:G843 E101:G101 F875:F916 F873:G873 D832:G834 D201:E202 E702:G702 E629:G632 F222:G224 D872:G872 E873:E906 E217:F221 F719:G730 F144:G148 E1409:G1411 E351:G353 D15:F15 D1098:E1102 E537:G558 F349:G350 E1263 E688:G690 D1132:G1138 E14:F14 D150:E159 D1249:E1252 E1266:G1267 F235:G241 E829:E831 D1150:E1150 F140:G140 E763:E776 D1078:D1092 D1447:E1447 G1440:G1441 E1440:E1446 F1442:G1447 D1255:E1262 H1382 H1369 F1440 E785:E827 F1110:G1113 E661:E687 D1110:E1112 D408:D413 D1148:E1148 E762:G762 F1251:F1263 E1424:G1439 F488:F536 F1366:G1371 D1105:E1106 D1053:G1056 D1369:E1371 F175:G188 E160:F174 F559:F589 F605:G627 F408:F413 D1448:G1457 F204:F216 D1423:G1423 F1091 F845:G871 F1098:F1100 D36:G43 G1021:G1034 F1104:G1108 F1161:F1249 F354:F401 H1244 D474:D477 D1095:D1097 D875:D878 D176:D195 E242:F330 D880:D889 F402:G402 F463:F482 F1057:G1077 F418:G457 F1035:G1052 D1284:E1284 F1265:G1265 D22:G22 E1082:E1097 E347:E348 E1253:E1254 E478:E483 E1366:E1368 E782 E1113:E1131 E1107:E1109 E1040:E1052 E1103:E1104 E331:E333 E691:E701 E354:E373 E1035 E1038 E1058:E1078 D828:G828 D1268:G1283 D1285:G1287 E415:G416 E418:E473 E394:E403 D1372:G1408 E1422:G1422 D1338:G1365 E104:G121 E1296:G1337 D196:G200 E634:G659 E225:G234 E563:E627 E175:E195 E1151:G1159 E1149:G1149 E1139:G1143 D1144:G1145 E1288:G1291 E1146:G1147 E95:G98 E141:G143 F683:G685 G672 G677:G682 G831 G686:G687 G1284 G844 G1102:G1103 G13:G15 G347:G348 G478:G483 G559:G604 G763:G773 G458:G473 G731:G761 G204:G221 G703:G718 G829 G691:G701 G822:G827 G150:G159 G403:G414 G1161:G1264 G782 G1109 G1114:G1131 G1148 G1150 G189:G195 G201:G202 G381 G242:G333 G394:G397 G1078:G1100 G785:G813 G874:G1011 D907:E1011 D1021:E1034 D1012:G1020 D17:G20 D1424:D1441"/>
    <dataValidation allowBlank="1" showInputMessage="1" showErrorMessage="1" promptTitle="PACC" prompt="La cantidad total resultará de la suma de las cantidades requeridas en cada trimestre. " sqref="G382:G393 I621:I627 F458:F462 H1370:H1381 I581:I589 I605:I619 H45:H1243 G398:G401 G354:G380 H1245:H1368 H13:H43 H1383:H1457"/>
    <dataValidation allowBlank="1" showInputMessage="1" showErrorMessage="1" promptTitle="PACC" prompt="Este valor se calculará automáticamente, resultado de la multiplicación de la cantidad total por el precio unitario estimado." sqref="J408:J413 J283:J299 J176:J177 J414:K414 I1362:I1364 K22:K23 J830:K830 J629:K633 J201:K234 J719:K721 J1453:K1457 J831:J834 J354:J399 J400:K407 J242:K282 J235:J241 I1365:J1365 I1441:K1441 J1442:J1447 I1448:J1450 J1146 J1132:J1143 J1144:K1145 J1109:K1131 J1147:K1148 J1150:K1150 J1149 J124:J126 J722:J829 J1451:J1452 J1054:J1063 J1151:J1244 K56:K58 K581:K589 K605:K627 J428:K457 J1105:J1108 J178:K195 J59:K123 J196:J200 J1345:K1361 J127:K175 K27:K35 K45 J1333:J1344 J415:J427 J1064:K1104 J1423:J1440 J300:K353 J1366:J1419 J1421 K640:K670 J634:J718 J45:J58 J458:J628 J835:K1053 J13:K21 J1297:J1327 J22:J43 J1245:K1296 I1279:I1280"/>
    <dataValidation allowBlank="1" showInputMessage="1" showErrorMessage="1" promptTitle="PACC" prompt="Digite el precio unitario estimado._x000a_" sqref="I1440 I1447 I1366:I1382 I1451:I1457 I590:I604 I1422:J1422 I1345:I1361 I1409:I1411 I45:I195 I201:I580 I13:I35 I628:I1278 I1281:I1337"/>
    <dataValidation allowBlank="1" showInputMessage="1" showErrorMessage="1" promptTitle="PACC" prompt="Digite la fuente de financiamiento del procedimiento de referencia." sqref="N1363:N1364 N1448:N1450 M1451:M1457 M1366:M1447 N605:N627 M586:M604 N587 N585 M13:M584 M631:M1361"/>
    <dataValidation allowBlank="1" showInputMessage="1" showErrorMessage="1" promptTitle="PACC" prompt="Este valor se calculará sumando los costos totales que posean el mismo Código de Catálogo de Bienes y Servicios." sqref="K24:K26 J1362:J1364 K408:K413 K283:K299 K176:K177 K628:L628 K46:K55 K831:K834 K634:K639 L702 K354:K399 K458:K580 K235:K241 K1146 K1442:K1447 I1442:I1446 K1132:K1143 K1149 K124:K126 K1451:K1452 L585 K590:K604 K1105:K1108 K1054:K1063 K196:K200 I196:I200 K1333:K1344 I36:I43 I1338:I1344 I1383:I1408 K415:K427 K671:K718 K1151:K1244 J1420 L674:L682 I1423:I1439 K722:K829 L605:L627 K36:K43 L603 K1297:K1327 K1366:K1440 I1412:I1421"/>
    <dataValidation allowBlank="1" showInputMessage="1" showErrorMessage="1" promptTitle="PACC" prompt="Digite las observaciones que considere." sqref="N1451:N1457 N588:N604 N586 N45:N584 N13:N43 N1365:N1447 N628:N1362"/>
    <dataValidation allowBlank="1" showInputMessage="1" showErrorMessage="1" promptTitle="PACC" prompt="Digite la unidad de medida._x000a__x000a_" sqref="E559:E562 C586:C604 C628:C1327 C1333:C1457 C13:C561"/>
    <dataValidation allowBlank="1" showInputMessage="1" showErrorMessage="1" promptTitle="PACC" prompt="Digite la descripción de la compra o contratación." sqref="B1440:B1457 B1422 B1345:B1382 B1409:B1411 B44:B195 B13:B35 A77 B201:B1337"/>
    <dataValidation type="list" allowBlank="1" showInputMessage="1" showErrorMessage="1" promptTitle="PACC" prompt="Seleccione el Código de Bienes y Servicios._x000a_" sqref="A46:A58">
      <formula1>#REF!</formula1>
    </dataValidation>
  </dataValidations>
  <pageMargins left="0.7" right="0.7" top="0.75" bottom="0.75" header="0.3" footer="0.3"/>
  <drawing r:id="rId1"/>
  <legacyDrawing r:id="rId2"/>
  <tableParts count="1">
    <tablePart r:id="rId3"/>
  </tablePar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C000"/>
  </sheetPr>
  <dimension ref="A1:N1439"/>
  <sheetViews>
    <sheetView topLeftCell="B31" zoomScale="70" zoomScaleNormal="70" workbookViewId="0">
      <selection activeCell="E1426" sqref="E1426"/>
    </sheetView>
  </sheetViews>
  <sheetFormatPr baseColWidth="10" defaultColWidth="11.42578125" defaultRowHeight="30.75" customHeight="1"/>
  <cols>
    <col min="1" max="1" width="47.140625" style="400" customWidth="1"/>
    <col min="2" max="2" width="48.42578125" style="400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400" customWidth="1"/>
    <col min="10" max="10" width="22" style="400" customWidth="1"/>
    <col min="11" max="11" width="32.42578125" style="400" customWidth="1"/>
    <col min="12" max="12" width="32.140625" style="400" customWidth="1"/>
    <col min="13" max="13" width="25.85546875" style="400" customWidth="1"/>
    <col min="14" max="14" width="12.5703125" style="37" customWidth="1"/>
    <col min="15" max="16384" width="11.42578125" style="400"/>
  </cols>
  <sheetData>
    <row r="1" spans="1:14" ht="18.75" thickBot="1"/>
    <row r="2" spans="1:14" ht="18">
      <c r="A2" s="7" t="s">
        <v>0</v>
      </c>
      <c r="N2" s="8">
        <v>42332</v>
      </c>
    </row>
    <row r="3" spans="1:14" ht="18">
      <c r="A3" s="554"/>
      <c r="N3" s="9"/>
    </row>
    <row r="4" spans="1:14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14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14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172" customFormat="1" ht="15.75">
      <c r="A7" s="556" t="s">
        <v>1281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14" ht="18.75" thickBot="1"/>
    <row r="9" spans="1:14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14" s="14" customFormat="1" ht="18"/>
    <row r="11" spans="1:14" s="12" customFormat="1" ht="18.75" customHeight="1" thickBot="1"/>
    <row r="12" spans="1:14" s="12" customFormat="1" ht="78">
      <c r="A12" s="2" t="s">
        <v>3</v>
      </c>
      <c r="B12" s="3" t="s">
        <v>4</v>
      </c>
      <c r="C12" s="3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3" t="s">
        <v>10</v>
      </c>
      <c r="I12" s="3" t="s">
        <v>11</v>
      </c>
      <c r="J12" s="3" t="s">
        <v>12</v>
      </c>
      <c r="K12" s="3" t="s">
        <v>442</v>
      </c>
      <c r="L12" s="3" t="s">
        <v>13</v>
      </c>
      <c r="M12" s="3" t="s">
        <v>14</v>
      </c>
      <c r="N12" s="3" t="s">
        <v>305</v>
      </c>
    </row>
    <row r="13" spans="1:14" s="12" customFormat="1" ht="31.5">
      <c r="A13" s="178" t="s">
        <v>16</v>
      </c>
      <c r="B13" s="75" t="s">
        <v>427</v>
      </c>
      <c r="C13" s="39" t="s">
        <v>17</v>
      </c>
      <c r="D13" s="236"/>
      <c r="E13" s="236"/>
      <c r="F13" s="236"/>
      <c r="G13" s="236"/>
      <c r="H13" s="236">
        <f>SUM(Tabla132112414[[#This Row],[PRIMER TRIMESTRE]:[CUARTO TRIMESTRE]])</f>
        <v>0</v>
      </c>
      <c r="I13" s="17">
        <v>4568.04</v>
      </c>
      <c r="J13" s="17">
        <f>+Tabla132112414[[#This Row],[CANTIDAD TOTAL]]*Tabla132112414[[#This Row],[PRECIO UNITARIO ESTIMADO]]</f>
        <v>0</v>
      </c>
      <c r="K13" s="21"/>
      <c r="L13" s="16" t="s">
        <v>18</v>
      </c>
      <c r="M13" s="16" t="s">
        <v>19</v>
      </c>
      <c r="N13" s="39"/>
    </row>
    <row r="14" spans="1:14" s="12" customFormat="1" ht="31.5">
      <c r="A14" s="178" t="s">
        <v>16</v>
      </c>
      <c r="B14" s="75" t="s">
        <v>426</v>
      </c>
      <c r="C14" s="39" t="s">
        <v>17</v>
      </c>
      <c r="D14" s="236"/>
      <c r="E14" s="236"/>
      <c r="F14" s="236"/>
      <c r="G14" s="236"/>
      <c r="H14" s="236">
        <f>SUM(Tabla132112414[[#This Row],[PRIMER TRIMESTRE]:[CUARTO TRIMESTRE]])</f>
        <v>0</v>
      </c>
      <c r="I14" s="17">
        <v>33696</v>
      </c>
      <c r="J14" s="17">
        <f>+Tabla132112414[[#This Row],[CANTIDAD TOTAL]]*Tabla132112414[[#This Row],[PRECIO UNITARIO ESTIMADO]]</f>
        <v>0</v>
      </c>
      <c r="K14" s="17"/>
      <c r="L14" s="16" t="s">
        <v>18</v>
      </c>
      <c r="M14" s="16" t="s">
        <v>19</v>
      </c>
      <c r="N14" s="39"/>
    </row>
    <row r="15" spans="1:14" s="12" customFormat="1" ht="31.5">
      <c r="A15" s="178" t="s">
        <v>16</v>
      </c>
      <c r="B15" s="75" t="s">
        <v>24</v>
      </c>
      <c r="C15" s="39" t="s">
        <v>25</v>
      </c>
      <c r="D15" s="210"/>
      <c r="E15" s="210"/>
      <c r="F15" s="210"/>
      <c r="G15" s="210"/>
      <c r="H15" s="236">
        <f>SUM(Tabla132112414[[#This Row],[PRIMER TRIMESTRE]:[CUARTO TRIMESTRE]])</f>
        <v>0</v>
      </c>
      <c r="I15" s="17">
        <v>3628</v>
      </c>
      <c r="J15" s="17">
        <f>+Tabla132112414[[#This Row],[CANTIDAD TOTAL]]*Tabla132112414[[#This Row],[PRECIO UNITARIO ESTIMADO]]</f>
        <v>0</v>
      </c>
      <c r="K15" s="17"/>
      <c r="L15" s="16" t="s">
        <v>18</v>
      </c>
      <c r="M15" s="16" t="s">
        <v>19</v>
      </c>
      <c r="N15" s="39"/>
    </row>
    <row r="16" spans="1:14" s="12" customFormat="1" ht="31.5">
      <c r="A16" s="178" t="s">
        <v>16</v>
      </c>
      <c r="B16" s="75" t="s">
        <v>1385</v>
      </c>
      <c r="C16" s="39" t="s">
        <v>23</v>
      </c>
      <c r="D16" s="210"/>
      <c r="E16" s="210"/>
      <c r="F16" s="210"/>
      <c r="G16" s="210"/>
      <c r="H16" s="236">
        <f>SUM(Tabla132112414[[#This Row],[PRIMER TRIMESTRE]:[CUARTO TRIMESTRE]])</f>
        <v>0</v>
      </c>
      <c r="I16" s="17">
        <v>28440</v>
      </c>
      <c r="J16" s="17">
        <f>+Tabla132112414[[#This Row],[CANTIDAD TOTAL]]*Tabla132112414[[#This Row],[PRECIO UNITARIO ESTIMADO]]</f>
        <v>0</v>
      </c>
      <c r="K16" s="17"/>
      <c r="L16" s="16" t="s">
        <v>15</v>
      </c>
      <c r="M16" s="16" t="s">
        <v>19</v>
      </c>
      <c r="N16" s="39" t="s">
        <v>342</v>
      </c>
    </row>
    <row r="17" spans="1:14" s="12" customFormat="1" ht="31.5">
      <c r="A17" s="178" t="s">
        <v>16</v>
      </c>
      <c r="B17" s="75" t="s">
        <v>29</v>
      </c>
      <c r="C17" s="39" t="s">
        <v>30</v>
      </c>
      <c r="D17" s="236"/>
      <c r="E17" s="236"/>
      <c r="F17" s="236"/>
      <c r="G17" s="236"/>
      <c r="H17" s="236">
        <f>SUM(Tabla132112414[[#This Row],[PRIMER TRIMESTRE]:[CUARTO TRIMESTRE]])</f>
        <v>0</v>
      </c>
      <c r="I17" s="17">
        <v>862.27</v>
      </c>
      <c r="J17" s="17">
        <f>+Tabla132112414[[#This Row],[CANTIDAD TOTAL]]*Tabla132112414[[#This Row],[PRECIO UNITARIO ESTIMADO]]</f>
        <v>0</v>
      </c>
      <c r="K17" s="17"/>
      <c r="L17" s="16" t="s">
        <v>18</v>
      </c>
      <c r="M17" s="16" t="s">
        <v>19</v>
      </c>
      <c r="N17" s="39"/>
    </row>
    <row r="18" spans="1:14" s="12" customFormat="1" ht="31.5">
      <c r="A18" s="178" t="s">
        <v>16</v>
      </c>
      <c r="B18" s="75" t="s">
        <v>1842</v>
      </c>
      <c r="C18" s="39" t="s">
        <v>30</v>
      </c>
      <c r="D18" s="236"/>
      <c r="E18" s="236"/>
      <c r="F18" s="236"/>
      <c r="G18" s="236"/>
      <c r="H18" s="236">
        <f>SUM(Tabla132112414[[#This Row],[PRIMER TRIMESTRE]:[CUARTO TRIMESTRE]])</f>
        <v>0</v>
      </c>
      <c r="I18" s="17">
        <v>24.68</v>
      </c>
      <c r="J18" s="17">
        <f>+H18*I18</f>
        <v>0</v>
      </c>
      <c r="K18" s="17"/>
      <c r="L18" s="16" t="s">
        <v>18</v>
      </c>
      <c r="M18" s="16" t="s">
        <v>19</v>
      </c>
      <c r="N18" s="39"/>
    </row>
    <row r="19" spans="1:14" s="169" customFormat="1" ht="31.5">
      <c r="A19" s="178" t="s">
        <v>16</v>
      </c>
      <c r="B19" s="75" t="s">
        <v>1843</v>
      </c>
      <c r="C19" s="39" t="s">
        <v>17</v>
      </c>
      <c r="D19" s="236"/>
      <c r="E19" s="236"/>
      <c r="F19" s="236"/>
      <c r="G19" s="236"/>
      <c r="H19" s="236">
        <f>SUM(Tabla132112414[[#This Row],[PRIMER TRIMESTRE]:[CUARTO TRIMESTRE]])</f>
        <v>0</v>
      </c>
      <c r="I19" s="17">
        <v>15000</v>
      </c>
      <c r="J19" s="17">
        <f>+H19*I19</f>
        <v>0</v>
      </c>
      <c r="K19" s="17"/>
      <c r="L19" s="16" t="s">
        <v>27</v>
      </c>
      <c r="M19" s="16" t="s">
        <v>19</v>
      </c>
      <c r="N19" s="39"/>
    </row>
    <row r="20" spans="1:14" s="169" customFormat="1" ht="18">
      <c r="A20" s="179" t="s">
        <v>16</v>
      </c>
      <c r="B20" s="405" t="s">
        <v>443</v>
      </c>
      <c r="C20" s="42"/>
      <c r="D20" s="237"/>
      <c r="E20" s="237"/>
      <c r="F20" s="237"/>
      <c r="G20" s="237"/>
      <c r="H20" s="43"/>
      <c r="I20" s="24"/>
      <c r="J20" s="24"/>
      <c r="K20" s="25">
        <f>SUM(J13:J19)</f>
        <v>0</v>
      </c>
      <c r="L20" s="23"/>
      <c r="M20" s="23"/>
      <c r="N20" s="42"/>
    </row>
    <row r="21" spans="1:14" s="169" customFormat="1" ht="30">
      <c r="A21" s="180" t="s">
        <v>34</v>
      </c>
      <c r="B21" s="77" t="s">
        <v>717</v>
      </c>
      <c r="C21" s="70" t="s">
        <v>35</v>
      </c>
      <c r="D21" s="210"/>
      <c r="E21" s="210"/>
      <c r="F21" s="210"/>
      <c r="G21" s="210"/>
      <c r="H21" s="406">
        <f>SUM(Tabla132112414[[#This Row],[PRIMER TRIMESTRE]:[CUARTO TRIMESTRE]])</f>
        <v>0</v>
      </c>
      <c r="I21" s="72">
        <v>31896.55</v>
      </c>
      <c r="J21" s="72">
        <f>+Tabla132112414[[#This Row],[CANTIDAD TOTAL]]*Tabla132112414[[#This Row],[PRECIO UNITARIO ESTIMADO]]</f>
        <v>0</v>
      </c>
      <c r="K21" s="72"/>
      <c r="L21" s="77" t="s">
        <v>27</v>
      </c>
      <c r="M21" s="73" t="s">
        <v>22</v>
      </c>
      <c r="N21" s="70" t="s">
        <v>418</v>
      </c>
    </row>
    <row r="22" spans="1:14" s="169" customFormat="1" ht="30">
      <c r="A22" s="180" t="s">
        <v>34</v>
      </c>
      <c r="B22" s="77" t="s">
        <v>714</v>
      </c>
      <c r="C22" s="70" t="s">
        <v>35</v>
      </c>
      <c r="D22" s="210"/>
      <c r="E22" s="210"/>
      <c r="F22" s="210"/>
      <c r="G22" s="210"/>
      <c r="H22" s="406">
        <f>SUM(Tabla132112414[[#This Row],[PRIMER TRIMESTRE]:[CUARTO TRIMESTRE]])</f>
        <v>0</v>
      </c>
      <c r="I22" s="72">
        <v>28017.24</v>
      </c>
      <c r="J22" s="72">
        <f>+H22*I22</f>
        <v>0</v>
      </c>
      <c r="K22" s="171"/>
      <c r="L22" s="77" t="s">
        <v>27</v>
      </c>
      <c r="M22" s="73" t="s">
        <v>22</v>
      </c>
      <c r="N22" s="70" t="s">
        <v>418</v>
      </c>
    </row>
    <row r="23" spans="1:14" s="169" customFormat="1" ht="30">
      <c r="A23" s="180" t="s">
        <v>34</v>
      </c>
      <c r="B23" s="77" t="s">
        <v>715</v>
      </c>
      <c r="C23" s="70" t="s">
        <v>35</v>
      </c>
      <c r="D23" s="210"/>
      <c r="E23" s="210"/>
      <c r="F23" s="210"/>
      <c r="G23" s="210"/>
      <c r="H23" s="406">
        <f>SUM(Tabla132112414[[#This Row],[PRIMER TRIMESTRE]:[CUARTO TRIMESTRE]])</f>
        <v>0</v>
      </c>
      <c r="I23" s="72">
        <v>23612</v>
      </c>
      <c r="J23" s="72">
        <f>+H23*I23</f>
        <v>0</v>
      </c>
      <c r="K23" s="72"/>
      <c r="L23" s="77" t="s">
        <v>27</v>
      </c>
      <c r="M23" s="73" t="s">
        <v>22</v>
      </c>
      <c r="N23" s="70" t="s">
        <v>418</v>
      </c>
    </row>
    <row r="24" spans="1:14" s="169" customFormat="1" ht="30">
      <c r="A24" s="180" t="s">
        <v>34</v>
      </c>
      <c r="B24" s="77" t="s">
        <v>716</v>
      </c>
      <c r="C24" s="70" t="s">
        <v>35</v>
      </c>
      <c r="D24" s="210"/>
      <c r="E24" s="210"/>
      <c r="F24" s="210"/>
      <c r="G24" s="210"/>
      <c r="H24" s="406">
        <f>SUM(Tabla132112414[[#This Row],[PRIMER TRIMESTRE]:[CUARTO TRIMESTRE]])</f>
        <v>0</v>
      </c>
      <c r="I24" s="72">
        <v>23112.13</v>
      </c>
      <c r="J24" s="72">
        <f>+H24*I24</f>
        <v>0</v>
      </c>
      <c r="K24" s="72"/>
      <c r="L24" s="77" t="s">
        <v>27</v>
      </c>
      <c r="M24" s="73" t="s">
        <v>22</v>
      </c>
      <c r="N24" s="70" t="s">
        <v>418</v>
      </c>
    </row>
    <row r="25" spans="1:14" s="169" customFormat="1" ht="30">
      <c r="A25" s="180" t="s">
        <v>34</v>
      </c>
      <c r="B25" s="77" t="s">
        <v>787</v>
      </c>
      <c r="C25" s="70" t="s">
        <v>35</v>
      </c>
      <c r="D25" s="210"/>
      <c r="E25" s="210"/>
      <c r="F25" s="210"/>
      <c r="G25" s="210"/>
      <c r="H25" s="406">
        <f>SUM(Tabla132112414[[#This Row],[PRIMER TRIMESTRE]:[CUARTO TRIMESTRE]])</f>
        <v>0</v>
      </c>
      <c r="I25" s="72">
        <v>24630.67</v>
      </c>
      <c r="J25" s="72">
        <f>+Tabla132112414[[#This Row],[CANTIDAD TOTAL]]*Tabla132112414[[#This Row],[PRECIO UNITARIO ESTIMADO]]</f>
        <v>0</v>
      </c>
      <c r="K25" s="72"/>
      <c r="L25" s="77" t="s">
        <v>27</v>
      </c>
      <c r="M25" s="73" t="s">
        <v>22</v>
      </c>
      <c r="N25" s="70" t="s">
        <v>418</v>
      </c>
    </row>
    <row r="26" spans="1:14" s="169" customFormat="1" ht="30">
      <c r="A26" s="180" t="s">
        <v>34</v>
      </c>
      <c r="B26" s="77" t="s">
        <v>786</v>
      </c>
      <c r="C26" s="70" t="s">
        <v>35</v>
      </c>
      <c r="D26" s="210"/>
      <c r="E26" s="210"/>
      <c r="F26" s="210"/>
      <c r="G26" s="210"/>
      <c r="H26" s="406">
        <f>SUM(Tabla132112414[[#This Row],[PRIMER TRIMESTRE]:[CUARTO TRIMESTRE]])</f>
        <v>0</v>
      </c>
      <c r="I26" s="72">
        <f>+I25*1.05</f>
        <v>25862.2035</v>
      </c>
      <c r="J26" s="72">
        <f>+H26*I26</f>
        <v>0</v>
      </c>
      <c r="K26" s="72"/>
      <c r="L26" s="77" t="s">
        <v>27</v>
      </c>
      <c r="M26" s="73" t="s">
        <v>22</v>
      </c>
      <c r="N26" s="70" t="s">
        <v>418</v>
      </c>
    </row>
    <row r="27" spans="1:14" s="26" customFormat="1" ht="30">
      <c r="A27" s="180" t="s">
        <v>34</v>
      </c>
      <c r="B27" s="77" t="s">
        <v>720</v>
      </c>
      <c r="C27" s="70" t="s">
        <v>721</v>
      </c>
      <c r="D27" s="210"/>
      <c r="E27" s="210"/>
      <c r="F27" s="210"/>
      <c r="G27" s="210"/>
      <c r="H27" s="406">
        <f>SUM(Tabla132112414[[#This Row],[PRIMER TRIMESTRE]:[CUARTO TRIMESTRE]])</f>
        <v>0</v>
      </c>
      <c r="I27" s="72">
        <v>3700</v>
      </c>
      <c r="J27" s="72">
        <f>+Tabla132112414[[#This Row],[CANTIDAD TOTAL]]*Tabla132112414[[#This Row],[PRECIO UNITARIO ESTIMADO]]</f>
        <v>0</v>
      </c>
      <c r="K27" s="72"/>
      <c r="L27" s="77" t="s">
        <v>27</v>
      </c>
      <c r="M27" s="73" t="s">
        <v>22</v>
      </c>
      <c r="N27" s="70" t="s">
        <v>418</v>
      </c>
    </row>
    <row r="28" spans="1:14" s="169" customFormat="1" ht="30">
      <c r="A28" s="180" t="s">
        <v>34</v>
      </c>
      <c r="B28" s="77" t="s">
        <v>719</v>
      </c>
      <c r="C28" s="70" t="s">
        <v>718</v>
      </c>
      <c r="D28" s="210"/>
      <c r="E28" s="210"/>
      <c r="F28" s="210"/>
      <c r="G28" s="210"/>
      <c r="H28" s="406">
        <f>SUM(Tabla132112414[[#This Row],[PRIMER TRIMESTRE]:[CUARTO TRIMESTRE]])</f>
        <v>0</v>
      </c>
      <c r="I28" s="72">
        <v>800</v>
      </c>
      <c r="J28" s="72">
        <f>+Tabla132112414[[#This Row],[CANTIDAD TOTAL]]*Tabla132112414[[#This Row],[PRECIO UNITARIO ESTIMADO]]</f>
        <v>0</v>
      </c>
      <c r="K28" s="72"/>
      <c r="L28" s="77" t="s">
        <v>27</v>
      </c>
      <c r="M28" s="73" t="s">
        <v>22</v>
      </c>
      <c r="N28" s="70" t="s">
        <v>418</v>
      </c>
    </row>
    <row r="29" spans="1:14" s="169" customFormat="1" ht="31.5">
      <c r="A29" s="179" t="s">
        <v>34</v>
      </c>
      <c r="B29" s="76" t="s">
        <v>444</v>
      </c>
      <c r="C29" s="42"/>
      <c r="D29" s="237"/>
      <c r="E29" s="237"/>
      <c r="F29" s="237"/>
      <c r="G29" s="237"/>
      <c r="H29" s="43"/>
      <c r="I29" s="24"/>
      <c r="J29" s="24"/>
      <c r="K29" s="25">
        <f>SUBTOTAL(109,J21:J28)</f>
        <v>0</v>
      </c>
      <c r="L29" s="23"/>
      <c r="M29" s="23"/>
      <c r="N29" s="42"/>
    </row>
    <row r="30" spans="1:14" s="26" customFormat="1" ht="31.5">
      <c r="A30" s="180" t="s">
        <v>1288</v>
      </c>
      <c r="B30" s="77" t="s">
        <v>1290</v>
      </c>
      <c r="C30" s="70" t="s">
        <v>33</v>
      </c>
      <c r="D30" s="210"/>
      <c r="E30" s="210"/>
      <c r="F30" s="210"/>
      <c r="G30" s="210"/>
      <c r="H30" s="406">
        <f>SUM(Tabla132112414[[#This Row],[PRIMER TRIMESTRE]:[CUARTO TRIMESTRE]])</f>
        <v>0</v>
      </c>
      <c r="I30" s="72">
        <v>144.9</v>
      </c>
      <c r="J30" s="72">
        <f>+H30*I30</f>
        <v>0</v>
      </c>
      <c r="K30" s="72"/>
      <c r="L30" s="16" t="s">
        <v>18</v>
      </c>
      <c r="M30" s="73" t="s">
        <v>19</v>
      </c>
      <c r="N30" s="70"/>
    </row>
    <row r="31" spans="1:14" s="12" customFormat="1" ht="31.5">
      <c r="A31" s="180" t="s">
        <v>1288</v>
      </c>
      <c r="B31" s="77" t="s">
        <v>1289</v>
      </c>
      <c r="C31" s="70" t="s">
        <v>33</v>
      </c>
      <c r="D31" s="210"/>
      <c r="E31" s="210"/>
      <c r="F31" s="210"/>
      <c r="G31" s="210"/>
      <c r="H31" s="406">
        <f>SUM(Tabla132112414[[#This Row],[PRIMER TRIMESTRE]:[CUARTO TRIMESTRE]])</f>
        <v>0</v>
      </c>
      <c r="I31" s="72">
        <v>144.9</v>
      </c>
      <c r="J31" s="72">
        <f>+H31*I31</f>
        <v>0</v>
      </c>
      <c r="K31" s="72"/>
      <c r="L31" s="16" t="s">
        <v>18</v>
      </c>
      <c r="M31" s="73" t="s">
        <v>19</v>
      </c>
      <c r="N31" s="70"/>
    </row>
    <row r="32" spans="1:14" s="12" customFormat="1" ht="18">
      <c r="A32" s="179" t="s">
        <v>1288</v>
      </c>
      <c r="B32" s="76"/>
      <c r="C32" s="42"/>
      <c r="D32" s="237"/>
      <c r="E32" s="237"/>
      <c r="F32" s="237"/>
      <c r="G32" s="237"/>
      <c r="H32" s="43"/>
      <c r="I32" s="24"/>
      <c r="J32" s="24"/>
      <c r="K32" s="25">
        <f>SUBTOTAL(109,J30:J31)</f>
        <v>0</v>
      </c>
      <c r="L32" s="23"/>
      <c r="M32" s="23"/>
      <c r="N32" s="42"/>
    </row>
    <row r="33" spans="1:14" s="26" customFormat="1" ht="30">
      <c r="A33" s="180" t="s">
        <v>41</v>
      </c>
      <c r="B33" s="77" t="s">
        <v>42</v>
      </c>
      <c r="C33" s="70" t="s">
        <v>17</v>
      </c>
      <c r="D33" s="210"/>
      <c r="E33" s="210"/>
      <c r="F33" s="210"/>
      <c r="G33" s="210"/>
      <c r="H33" s="40">
        <f>SUM(Tabla132112414[[#This Row],[PRIMER TRIMESTRE]:[CUARTO TRIMESTRE]])</f>
        <v>0</v>
      </c>
      <c r="I33" s="17">
        <v>26999</v>
      </c>
      <c r="J33" s="17">
        <f>+Tabla132112414[[#This Row],[CANTIDAD TOTAL]]*Tabla132112414[[#This Row],[PRECIO UNITARIO ESTIMADO]]</f>
        <v>0</v>
      </c>
      <c r="K33" s="17"/>
      <c r="L33" s="16" t="s">
        <v>15</v>
      </c>
      <c r="M33" s="16" t="s">
        <v>22</v>
      </c>
      <c r="N33" s="39" t="s">
        <v>418</v>
      </c>
    </row>
    <row r="34" spans="1:14" s="55" customFormat="1" ht="30">
      <c r="A34" s="180" t="s">
        <v>41</v>
      </c>
      <c r="B34" s="77" t="s">
        <v>44</v>
      </c>
      <c r="C34" s="70" t="s">
        <v>17</v>
      </c>
      <c r="D34" s="210"/>
      <c r="E34" s="210"/>
      <c r="F34" s="210"/>
      <c r="G34" s="210"/>
      <c r="H34" s="40">
        <f>SUM(Tabla132112414[[#This Row],[PRIMER TRIMESTRE]:[CUARTO TRIMESTRE]])</f>
        <v>0</v>
      </c>
      <c r="I34" s="17">
        <v>90854.41</v>
      </c>
      <c r="J34" s="17">
        <f>+Tabla132112414[[#This Row],[CANTIDAD TOTAL]]*Tabla132112414[[#This Row],[PRECIO UNITARIO ESTIMADO]]</f>
        <v>0</v>
      </c>
      <c r="K34" s="17"/>
      <c r="L34" s="16" t="s">
        <v>15</v>
      </c>
      <c r="M34" s="16" t="s">
        <v>22</v>
      </c>
      <c r="N34" s="39" t="s">
        <v>418</v>
      </c>
    </row>
    <row r="35" spans="1:14" s="55" customFormat="1" ht="31.5">
      <c r="A35" s="179" t="s">
        <v>41</v>
      </c>
      <c r="B35" s="76"/>
      <c r="C35" s="42"/>
      <c r="D35" s="237"/>
      <c r="E35" s="237"/>
      <c r="F35" s="237"/>
      <c r="G35" s="237"/>
      <c r="H35" s="43"/>
      <c r="I35" s="24"/>
      <c r="J35" s="24"/>
      <c r="K35" s="25">
        <f>SUBTOTAL(109,J33:J34)</f>
        <v>0</v>
      </c>
      <c r="L35" s="23"/>
      <c r="M35" s="23"/>
      <c r="N35" s="42"/>
    </row>
    <row r="36" spans="1:14" s="55" customFormat="1" ht="30">
      <c r="A36" s="178" t="s">
        <v>1386</v>
      </c>
      <c r="B36" s="75" t="s">
        <v>1387</v>
      </c>
      <c r="C36" s="53" t="s">
        <v>1388</v>
      </c>
      <c r="D36" s="241"/>
      <c r="E36" s="241"/>
      <c r="F36" s="241"/>
      <c r="G36" s="241"/>
      <c r="H36" s="244">
        <f>SUM(Tabla132112414[[#This Row],[PRIMER TRIMESTRE]:[CUARTO TRIMESTRE]])</f>
        <v>0</v>
      </c>
      <c r="I36" s="245">
        <v>2500</v>
      </c>
      <c r="J36" s="245">
        <f>+H36*I36</f>
        <v>0</v>
      </c>
      <c r="K36" s="50"/>
      <c r="L36" s="77" t="s">
        <v>27</v>
      </c>
      <c r="M36" s="77" t="s">
        <v>22</v>
      </c>
      <c r="N36" s="53"/>
    </row>
    <row r="37" spans="1:14" s="55" customFormat="1" ht="31.5">
      <c r="A37" s="16" t="s">
        <v>1386</v>
      </c>
      <c r="B37" s="75" t="s">
        <v>1551</v>
      </c>
      <c r="C37" s="176" t="s">
        <v>35</v>
      </c>
      <c r="D37" s="244"/>
      <c r="E37" s="244"/>
      <c r="F37" s="244"/>
      <c r="G37" s="244"/>
      <c r="H37" s="244">
        <f>SUM(Tabla132112414[[#This Row],[PRIMER TRIMESTRE]:[CUARTO TRIMESTRE]])</f>
        <v>0</v>
      </c>
      <c r="I37" s="245">
        <v>29000</v>
      </c>
      <c r="J37" s="245">
        <f>+H37*I37</f>
        <v>0</v>
      </c>
      <c r="K37" s="17"/>
      <c r="L37" s="16" t="s">
        <v>15</v>
      </c>
      <c r="M37" s="16" t="s">
        <v>22</v>
      </c>
      <c r="N37" s="39" t="s">
        <v>418</v>
      </c>
    </row>
    <row r="38" spans="1:14" s="55" customFormat="1" ht="31.5">
      <c r="A38" s="16" t="s">
        <v>1386</v>
      </c>
      <c r="B38" s="75" t="s">
        <v>1844</v>
      </c>
      <c r="C38" s="53" t="s">
        <v>17</v>
      </c>
      <c r="D38" s="299"/>
      <c r="E38" s="299"/>
      <c r="F38" s="299"/>
      <c r="G38" s="299"/>
      <c r="H38" s="244">
        <f>SUM(Tabla132112414[[#This Row],[PRIMER TRIMESTRE]:[CUARTO TRIMESTRE]])</f>
        <v>0</v>
      </c>
      <c r="I38" s="248">
        <v>4000000</v>
      </c>
      <c r="J38" s="245">
        <f>+H38*I38</f>
        <v>0</v>
      </c>
      <c r="K38" s="17"/>
      <c r="L38" s="16" t="s">
        <v>18</v>
      </c>
      <c r="M38" s="16" t="s">
        <v>22</v>
      </c>
      <c r="N38" s="39"/>
    </row>
    <row r="39" spans="1:14" s="55" customFormat="1" ht="30">
      <c r="A39" s="178" t="s">
        <v>1386</v>
      </c>
      <c r="B39" s="75" t="s">
        <v>1699</v>
      </c>
      <c r="C39" s="53" t="s">
        <v>17</v>
      </c>
      <c r="D39" s="299"/>
      <c r="E39" s="299"/>
      <c r="F39" s="299"/>
      <c r="G39" s="299"/>
      <c r="H39" s="46">
        <v>0</v>
      </c>
      <c r="I39" s="248">
        <v>0</v>
      </c>
      <c r="J39" s="248">
        <v>0</v>
      </c>
      <c r="K39" s="17"/>
      <c r="L39" s="16" t="s">
        <v>18</v>
      </c>
      <c r="M39" s="16" t="s">
        <v>22</v>
      </c>
      <c r="N39" s="39"/>
    </row>
    <row r="40" spans="1:14" s="26" customFormat="1" ht="30">
      <c r="A40" s="178" t="s">
        <v>1386</v>
      </c>
      <c r="B40" s="75" t="s">
        <v>1701</v>
      </c>
      <c r="C40" s="53" t="s">
        <v>17</v>
      </c>
      <c r="D40" s="299"/>
      <c r="E40" s="299"/>
      <c r="F40" s="299"/>
      <c r="G40" s="299"/>
      <c r="H40" s="46">
        <v>0</v>
      </c>
      <c r="I40" s="248">
        <v>0</v>
      </c>
      <c r="J40" s="248">
        <v>0</v>
      </c>
      <c r="K40" s="17"/>
      <c r="L40" s="16" t="s">
        <v>18</v>
      </c>
      <c r="M40" s="77" t="s">
        <v>22</v>
      </c>
      <c r="N40" s="39"/>
    </row>
    <row r="41" spans="1:14" s="26" customFormat="1" ht="30">
      <c r="A41" s="178" t="s">
        <v>1386</v>
      </c>
      <c r="B41" s="75" t="s">
        <v>1764</v>
      </c>
      <c r="C41" s="53" t="s">
        <v>17</v>
      </c>
      <c r="D41" s="299"/>
      <c r="E41" s="299"/>
      <c r="F41" s="299"/>
      <c r="G41" s="299"/>
      <c r="H41" s="46">
        <v>0</v>
      </c>
      <c r="I41" s="248">
        <v>0</v>
      </c>
      <c r="J41" s="248">
        <v>0</v>
      </c>
      <c r="K41" s="17"/>
      <c r="L41" s="77" t="s">
        <v>27</v>
      </c>
      <c r="M41" s="77" t="s">
        <v>22</v>
      </c>
      <c r="N41" s="39"/>
    </row>
    <row r="42" spans="1:14" s="111" customFormat="1" ht="30">
      <c r="A42" s="178" t="s">
        <v>1386</v>
      </c>
      <c r="B42" s="75" t="s">
        <v>1389</v>
      </c>
      <c r="C42" s="53" t="s">
        <v>1390</v>
      </c>
      <c r="D42" s="241"/>
      <c r="E42" s="241"/>
      <c r="F42" s="241"/>
      <c r="G42" s="241"/>
      <c r="H42" s="244">
        <f>SUM(Tabla132112414[[#This Row],[PRIMER TRIMESTRE]:[CUARTO TRIMESTRE]])</f>
        <v>0</v>
      </c>
      <c r="I42" s="245">
        <v>277</v>
      </c>
      <c r="J42" s="245">
        <f>+H42*I42</f>
        <v>0</v>
      </c>
      <c r="K42" s="50"/>
      <c r="L42" s="77" t="s">
        <v>27</v>
      </c>
      <c r="M42" s="77" t="s">
        <v>22</v>
      </c>
      <c r="N42" s="53"/>
    </row>
    <row r="43" spans="1:14" s="111" customFormat="1" ht="31.5">
      <c r="A43" s="179" t="s">
        <v>1386</v>
      </c>
      <c r="B43" s="76"/>
      <c r="C43" s="42"/>
      <c r="D43" s="237"/>
      <c r="E43" s="237"/>
      <c r="F43" s="237"/>
      <c r="G43" s="237"/>
      <c r="H43" s="43"/>
      <c r="I43" s="24"/>
      <c r="J43" s="24"/>
      <c r="K43" s="25">
        <f>SUM(J36:J42)</f>
        <v>0</v>
      </c>
      <c r="L43" s="23"/>
      <c r="M43" s="23"/>
      <c r="N43" s="42"/>
    </row>
    <row r="44" spans="1:14" s="111" customFormat="1" ht="18">
      <c r="A44" s="180" t="s">
        <v>1672</v>
      </c>
      <c r="B44" s="77" t="s">
        <v>1845</v>
      </c>
      <c r="C44" s="244" t="s">
        <v>17</v>
      </c>
      <c r="D44" s="244"/>
      <c r="E44" s="244"/>
      <c r="F44" s="244"/>
      <c r="G44" s="244"/>
      <c r="H44" s="244">
        <v>0</v>
      </c>
      <c r="I44" s="244">
        <v>0</v>
      </c>
      <c r="J44" s="244">
        <v>0</v>
      </c>
      <c r="K44" s="244"/>
      <c r="L44" s="244" t="s">
        <v>1663</v>
      </c>
      <c r="M44" s="16" t="s">
        <v>22</v>
      </c>
      <c r="N44" s="244"/>
    </row>
    <row r="45" spans="1:14" s="111" customFormat="1" ht="18">
      <c r="A45" s="180" t="s">
        <v>46</v>
      </c>
      <c r="B45" s="77" t="s">
        <v>1391</v>
      </c>
      <c r="C45" s="244" t="s">
        <v>17</v>
      </c>
      <c r="D45" s="244"/>
      <c r="E45" s="244"/>
      <c r="F45" s="244"/>
      <c r="G45" s="244"/>
      <c r="H45" s="244">
        <f>SUM(Tabla132112414[[#This Row],[PRIMER TRIMESTRE]:[CUARTO TRIMESTRE]])</f>
        <v>0</v>
      </c>
      <c r="I45" s="246">
        <v>1136476.48</v>
      </c>
      <c r="J45" s="246">
        <f t="shared" ref="J45:J76" si="0">+H45*I45</f>
        <v>0</v>
      </c>
      <c r="K45" s="77"/>
      <c r="L45" s="16" t="s">
        <v>18</v>
      </c>
      <c r="M45" s="16" t="s">
        <v>22</v>
      </c>
      <c r="N45" s="77"/>
    </row>
    <row r="46" spans="1:14" s="111" customFormat="1" ht="18">
      <c r="A46" s="180" t="s">
        <v>46</v>
      </c>
      <c r="B46" s="77" t="s">
        <v>1392</v>
      </c>
      <c r="C46" s="177" t="s">
        <v>17</v>
      </c>
      <c r="D46" s="177"/>
      <c r="E46" s="177"/>
      <c r="F46" s="177"/>
      <c r="G46" s="177"/>
      <c r="H46" s="177">
        <f>SUM(Tabla132112414[[#This Row],[PRIMER TRIMESTRE]:[CUARTO TRIMESTRE]])</f>
        <v>0</v>
      </c>
      <c r="I46" s="246">
        <v>2600000</v>
      </c>
      <c r="J46" s="246">
        <f t="shared" si="0"/>
        <v>0</v>
      </c>
      <c r="K46" s="77"/>
      <c r="L46" s="16" t="s">
        <v>18</v>
      </c>
      <c r="M46" s="16" t="s">
        <v>22</v>
      </c>
      <c r="N46" s="77"/>
    </row>
    <row r="47" spans="1:14" s="111" customFormat="1" ht="18">
      <c r="A47" s="180" t="s">
        <v>1666</v>
      </c>
      <c r="B47" s="77" t="s">
        <v>1669</v>
      </c>
      <c r="C47" s="177" t="s">
        <v>17</v>
      </c>
      <c r="D47" s="210"/>
      <c r="E47" s="210"/>
      <c r="F47" s="210"/>
      <c r="G47" s="210"/>
      <c r="H47" s="406">
        <v>0</v>
      </c>
      <c r="I47" s="247">
        <v>0</v>
      </c>
      <c r="J47" s="247">
        <v>0</v>
      </c>
      <c r="K47" s="72"/>
      <c r="L47" s="16" t="s">
        <v>18</v>
      </c>
      <c r="M47" s="16" t="s">
        <v>22</v>
      </c>
      <c r="N47" s="70"/>
    </row>
    <row r="48" spans="1:14" s="111" customFormat="1" ht="18">
      <c r="A48" s="180" t="s">
        <v>1667</v>
      </c>
      <c r="B48" s="77" t="s">
        <v>1670</v>
      </c>
      <c r="C48" s="177" t="s">
        <v>17</v>
      </c>
      <c r="D48" s="210"/>
      <c r="E48" s="210"/>
      <c r="F48" s="210"/>
      <c r="G48" s="210"/>
      <c r="H48" s="406">
        <v>0</v>
      </c>
      <c r="I48" s="247">
        <v>0</v>
      </c>
      <c r="J48" s="247">
        <v>0</v>
      </c>
      <c r="K48" s="72"/>
      <c r="L48" s="16" t="s">
        <v>18</v>
      </c>
      <c r="M48" s="16" t="s">
        <v>22</v>
      </c>
      <c r="N48" s="70"/>
    </row>
    <row r="49" spans="1:14" s="111" customFormat="1" ht="18">
      <c r="A49" s="180" t="s">
        <v>1668</v>
      </c>
      <c r="B49" s="77" t="s">
        <v>1846</v>
      </c>
      <c r="C49" s="177" t="s">
        <v>17</v>
      </c>
      <c r="D49" s="210"/>
      <c r="E49" s="210"/>
      <c r="F49" s="210"/>
      <c r="G49" s="210"/>
      <c r="H49" s="406">
        <v>0</v>
      </c>
      <c r="I49" s="247">
        <v>0</v>
      </c>
      <c r="J49" s="247">
        <v>0</v>
      </c>
      <c r="K49" s="72"/>
      <c r="L49" s="16" t="s">
        <v>18</v>
      </c>
      <c r="M49" s="16" t="s">
        <v>22</v>
      </c>
      <c r="N49" s="70"/>
    </row>
    <row r="50" spans="1:14" s="111" customFormat="1" ht="18">
      <c r="A50" s="180" t="s">
        <v>1668</v>
      </c>
      <c r="B50" s="77" t="s">
        <v>1847</v>
      </c>
      <c r="C50" s="177" t="s">
        <v>17</v>
      </c>
      <c r="D50" s="210"/>
      <c r="E50" s="210"/>
      <c r="F50" s="210"/>
      <c r="G50" s="210"/>
      <c r="H50" s="406">
        <v>0</v>
      </c>
      <c r="I50" s="247">
        <v>0</v>
      </c>
      <c r="J50" s="247">
        <v>0</v>
      </c>
      <c r="K50" s="72"/>
      <c r="L50" s="16" t="s">
        <v>18</v>
      </c>
      <c r="M50" s="16" t="s">
        <v>22</v>
      </c>
      <c r="N50" s="70"/>
    </row>
    <row r="51" spans="1:14" s="111" customFormat="1" ht="25.5">
      <c r="A51" s="180" t="s">
        <v>46</v>
      </c>
      <c r="B51" s="77" t="s">
        <v>1693</v>
      </c>
      <c r="C51" s="70" t="s">
        <v>17</v>
      </c>
      <c r="D51" s="210"/>
      <c r="E51" s="210"/>
      <c r="F51" s="210"/>
      <c r="G51" s="210"/>
      <c r="H51" s="406">
        <v>0</v>
      </c>
      <c r="I51" s="247">
        <v>0</v>
      </c>
      <c r="J51" s="247">
        <v>0</v>
      </c>
      <c r="K51" s="72"/>
      <c r="L51" s="16" t="s">
        <v>18</v>
      </c>
      <c r="M51" s="16" t="s">
        <v>22</v>
      </c>
      <c r="N51" s="70"/>
    </row>
    <row r="52" spans="1:14" s="111" customFormat="1" ht="25.5">
      <c r="A52" s="180" t="s">
        <v>46</v>
      </c>
      <c r="B52" s="77" t="s">
        <v>1694</v>
      </c>
      <c r="C52" s="177" t="s">
        <v>17</v>
      </c>
      <c r="D52" s="210"/>
      <c r="E52" s="210"/>
      <c r="F52" s="210"/>
      <c r="G52" s="210"/>
      <c r="H52" s="406">
        <v>0</v>
      </c>
      <c r="I52" s="247">
        <v>0</v>
      </c>
      <c r="J52" s="247">
        <v>0</v>
      </c>
      <c r="K52" s="72"/>
      <c r="L52" s="16" t="s">
        <v>18</v>
      </c>
      <c r="M52" s="16" t="s">
        <v>22</v>
      </c>
      <c r="N52" s="70"/>
    </row>
    <row r="53" spans="1:14" s="111" customFormat="1" ht="18">
      <c r="A53" s="180" t="s">
        <v>46</v>
      </c>
      <c r="B53" s="77" t="s">
        <v>1393</v>
      </c>
      <c r="C53" s="177" t="s">
        <v>17</v>
      </c>
      <c r="D53" s="77"/>
      <c r="E53" s="177"/>
      <c r="F53" s="177"/>
      <c r="G53" s="177"/>
      <c r="H53" s="177">
        <f>SUM(Tabla132112414[[#This Row],[PRIMER TRIMESTRE]:[CUARTO TRIMESTRE]])</f>
        <v>0</v>
      </c>
      <c r="I53" s="246">
        <v>1800000</v>
      </c>
      <c r="J53" s="246">
        <f t="shared" si="0"/>
        <v>0</v>
      </c>
      <c r="K53" s="77"/>
      <c r="L53" s="16" t="s">
        <v>18</v>
      </c>
      <c r="M53" s="16" t="s">
        <v>22</v>
      </c>
      <c r="N53" s="77"/>
    </row>
    <row r="54" spans="1:14" s="111" customFormat="1" ht="18">
      <c r="A54" s="180" t="s">
        <v>46</v>
      </c>
      <c r="B54" s="77" t="s">
        <v>1394</v>
      </c>
      <c r="C54" s="177" t="s">
        <v>17</v>
      </c>
      <c r="D54" s="77"/>
      <c r="E54" s="177"/>
      <c r="F54" s="177"/>
      <c r="G54" s="177"/>
      <c r="H54" s="177">
        <f>SUM(Tabla132112414[[#This Row],[PRIMER TRIMESTRE]:[CUARTO TRIMESTRE]])</f>
        <v>0</v>
      </c>
      <c r="I54" s="246">
        <v>1800000</v>
      </c>
      <c r="J54" s="246">
        <f t="shared" si="0"/>
        <v>0</v>
      </c>
      <c r="K54" s="77"/>
      <c r="L54" s="16" t="s">
        <v>18</v>
      </c>
      <c r="M54" s="16" t="s">
        <v>22</v>
      </c>
      <c r="N54" s="77"/>
    </row>
    <row r="55" spans="1:14" s="111" customFormat="1" ht="18">
      <c r="A55" s="180" t="s">
        <v>46</v>
      </c>
      <c r="B55" s="77" t="s">
        <v>1395</v>
      </c>
      <c r="C55" s="177" t="s">
        <v>17</v>
      </c>
      <c r="D55" s="77"/>
      <c r="E55" s="177"/>
      <c r="F55" s="177"/>
      <c r="G55" s="177"/>
      <c r="H55" s="177">
        <f>SUM(Tabla132112414[[#This Row],[PRIMER TRIMESTRE]:[CUARTO TRIMESTRE]])</f>
        <v>0</v>
      </c>
      <c r="I55" s="246">
        <v>11500000</v>
      </c>
      <c r="J55" s="246">
        <f t="shared" si="0"/>
        <v>0</v>
      </c>
      <c r="K55" s="77"/>
      <c r="L55" s="16" t="s">
        <v>18</v>
      </c>
      <c r="M55" s="16" t="s">
        <v>22</v>
      </c>
      <c r="N55" s="77"/>
    </row>
    <row r="56" spans="1:14" s="111" customFormat="1" ht="18">
      <c r="A56" s="180" t="s">
        <v>46</v>
      </c>
      <c r="B56" s="77" t="s">
        <v>1396</v>
      </c>
      <c r="C56" s="177" t="s">
        <v>17</v>
      </c>
      <c r="D56" s="77"/>
      <c r="E56" s="177"/>
      <c r="F56" s="177"/>
      <c r="G56" s="177"/>
      <c r="H56" s="177">
        <f>SUM(Tabla132112414[[#This Row],[PRIMER TRIMESTRE]:[CUARTO TRIMESTRE]])</f>
        <v>0</v>
      </c>
      <c r="I56" s="246">
        <v>8120000</v>
      </c>
      <c r="J56" s="246">
        <f t="shared" si="0"/>
        <v>0</v>
      </c>
      <c r="K56" s="77"/>
      <c r="L56" s="16" t="s">
        <v>18</v>
      </c>
      <c r="M56" s="16" t="s">
        <v>22</v>
      </c>
      <c r="N56" s="77"/>
    </row>
    <row r="57" spans="1:14" s="169" customFormat="1" ht="18">
      <c r="A57" s="180" t="s">
        <v>46</v>
      </c>
      <c r="B57" s="77" t="s">
        <v>1622</v>
      </c>
      <c r="C57" s="177" t="s">
        <v>17</v>
      </c>
      <c r="D57" s="210"/>
      <c r="E57" s="177"/>
      <c r="F57" s="177"/>
      <c r="G57" s="210"/>
      <c r="H57" s="177">
        <f>SUM(Tabla132112414[[#This Row],[PRIMER TRIMESTRE]:[CUARTO TRIMESTRE]])</f>
        <v>0</v>
      </c>
      <c r="I57" s="247">
        <v>58223</v>
      </c>
      <c r="J57" s="247">
        <f t="shared" si="0"/>
        <v>0</v>
      </c>
      <c r="K57" s="72"/>
      <c r="L57" s="16" t="s">
        <v>18</v>
      </c>
      <c r="M57" s="16" t="s">
        <v>22</v>
      </c>
      <c r="N57" s="39" t="s">
        <v>418</v>
      </c>
    </row>
    <row r="58" spans="1:14" s="169" customFormat="1" ht="18">
      <c r="A58" s="180" t="s">
        <v>46</v>
      </c>
      <c r="B58" s="77" t="s">
        <v>1397</v>
      </c>
      <c r="C58" s="177" t="s">
        <v>17</v>
      </c>
      <c r="D58" s="77"/>
      <c r="E58" s="177"/>
      <c r="F58" s="177"/>
      <c r="G58" s="177"/>
      <c r="H58" s="177">
        <f>SUM(Tabla132112414[[#This Row],[PRIMER TRIMESTRE]:[CUARTO TRIMESTRE]])</f>
        <v>0</v>
      </c>
      <c r="I58" s="246">
        <v>55000</v>
      </c>
      <c r="J58" s="246">
        <f t="shared" si="0"/>
        <v>0</v>
      </c>
      <c r="K58" s="77"/>
      <c r="L58" s="16" t="s">
        <v>18</v>
      </c>
      <c r="M58" s="16" t="s">
        <v>22</v>
      </c>
      <c r="N58" s="39" t="s">
        <v>418</v>
      </c>
    </row>
    <row r="59" spans="1:14" s="169" customFormat="1" ht="18">
      <c r="A59" s="180" t="s">
        <v>46</v>
      </c>
      <c r="B59" s="77" t="s">
        <v>550</v>
      </c>
      <c r="C59" s="70" t="s">
        <v>17</v>
      </c>
      <c r="D59" s="210"/>
      <c r="E59" s="210"/>
      <c r="F59" s="210"/>
      <c r="G59" s="210"/>
      <c r="H59" s="406">
        <f>SUM(Tabla132112414[[#This Row],[PRIMER TRIMESTRE]:[CUARTO TRIMESTRE]])</f>
        <v>0</v>
      </c>
      <c r="I59" s="72">
        <v>9480</v>
      </c>
      <c r="J59" s="72">
        <f t="shared" si="0"/>
        <v>0</v>
      </c>
      <c r="K59" s="72"/>
      <c r="L59" s="16" t="s">
        <v>18</v>
      </c>
      <c r="M59" s="73" t="s">
        <v>22</v>
      </c>
      <c r="N59" s="70" t="s">
        <v>418</v>
      </c>
    </row>
    <row r="60" spans="1:14" s="169" customFormat="1" ht="18">
      <c r="A60" s="180" t="s">
        <v>46</v>
      </c>
      <c r="B60" s="77" t="s">
        <v>551</v>
      </c>
      <c r="C60" s="70" t="s">
        <v>17</v>
      </c>
      <c r="D60" s="210"/>
      <c r="E60" s="210"/>
      <c r="F60" s="210"/>
      <c r="G60" s="210"/>
      <c r="H60" s="406">
        <f>SUM(Tabla132112414[[#This Row],[PRIMER TRIMESTRE]:[CUARTO TRIMESTRE]])</f>
        <v>0</v>
      </c>
      <c r="I60" s="72">
        <v>31680</v>
      </c>
      <c r="J60" s="72">
        <f t="shared" si="0"/>
        <v>0</v>
      </c>
      <c r="K60" s="72"/>
      <c r="L60" s="16" t="s">
        <v>18</v>
      </c>
      <c r="M60" s="73" t="s">
        <v>22</v>
      </c>
      <c r="N60" s="70" t="s">
        <v>418</v>
      </c>
    </row>
    <row r="61" spans="1:14" s="169" customFormat="1" ht="18">
      <c r="A61" s="180" t="s">
        <v>46</v>
      </c>
      <c r="B61" s="77" t="s">
        <v>552</v>
      </c>
      <c r="C61" s="70" t="s">
        <v>17</v>
      </c>
      <c r="D61" s="210"/>
      <c r="E61" s="210"/>
      <c r="F61" s="210"/>
      <c r="G61" s="210"/>
      <c r="H61" s="406">
        <f>SUM(Tabla132112414[[#This Row],[PRIMER TRIMESTRE]:[CUARTO TRIMESTRE]])</f>
        <v>0</v>
      </c>
      <c r="I61" s="72">
        <v>9279.9</v>
      </c>
      <c r="J61" s="72">
        <f t="shared" si="0"/>
        <v>0</v>
      </c>
      <c r="K61" s="72"/>
      <c r="L61" s="16" t="s">
        <v>18</v>
      </c>
      <c r="M61" s="73" t="s">
        <v>22</v>
      </c>
      <c r="N61" s="70" t="s">
        <v>418</v>
      </c>
    </row>
    <row r="62" spans="1:14" s="169" customFormat="1" ht="18">
      <c r="A62" s="180" t="s">
        <v>46</v>
      </c>
      <c r="B62" s="77" t="s">
        <v>54</v>
      </c>
      <c r="C62" s="70" t="s">
        <v>17</v>
      </c>
      <c r="D62" s="210"/>
      <c r="E62" s="210"/>
      <c r="F62" s="210"/>
      <c r="G62" s="210"/>
      <c r="H62" s="406">
        <f>SUM(Tabla132112414[[#This Row],[PRIMER TRIMESTRE]:[CUARTO TRIMESTRE]])</f>
        <v>0</v>
      </c>
      <c r="I62" s="72">
        <v>9079.9</v>
      </c>
      <c r="J62" s="72">
        <f t="shared" si="0"/>
        <v>0</v>
      </c>
      <c r="K62" s="72"/>
      <c r="L62" s="16" t="s">
        <v>18</v>
      </c>
      <c r="M62" s="73" t="s">
        <v>22</v>
      </c>
      <c r="N62" s="70" t="s">
        <v>418</v>
      </c>
    </row>
    <row r="63" spans="1:14" s="169" customFormat="1" ht="18">
      <c r="A63" s="180" t="s">
        <v>46</v>
      </c>
      <c r="B63" s="77" t="s">
        <v>53</v>
      </c>
      <c r="C63" s="70" t="s">
        <v>17</v>
      </c>
      <c r="D63" s="210"/>
      <c r="E63" s="210"/>
      <c r="F63" s="210"/>
      <c r="G63" s="210"/>
      <c r="H63" s="406">
        <f>SUM(Tabla132112414[[#This Row],[PRIMER TRIMESTRE]:[CUARTO TRIMESTRE]])</f>
        <v>0</v>
      </c>
      <c r="I63" s="72">
        <v>9048</v>
      </c>
      <c r="J63" s="72">
        <f t="shared" si="0"/>
        <v>0</v>
      </c>
      <c r="K63" s="72"/>
      <c r="L63" s="16" t="s">
        <v>18</v>
      </c>
      <c r="M63" s="73" t="s">
        <v>22</v>
      </c>
      <c r="N63" s="70" t="s">
        <v>418</v>
      </c>
    </row>
    <row r="64" spans="1:14" s="169" customFormat="1" ht="18">
      <c r="A64" s="180" t="s">
        <v>46</v>
      </c>
      <c r="B64" s="77" t="s">
        <v>553</v>
      </c>
      <c r="C64" s="70" t="s">
        <v>17</v>
      </c>
      <c r="D64" s="210"/>
      <c r="E64" s="210"/>
      <c r="F64" s="210"/>
      <c r="G64" s="210"/>
      <c r="H64" s="406">
        <f>SUM(Tabla132112414[[#This Row],[PRIMER TRIMESTRE]:[CUARTO TRIMESTRE]])</f>
        <v>0</v>
      </c>
      <c r="I64" s="72">
        <v>7043.16</v>
      </c>
      <c r="J64" s="72">
        <f t="shared" si="0"/>
        <v>0</v>
      </c>
      <c r="K64" s="72"/>
      <c r="L64" s="16" t="s">
        <v>18</v>
      </c>
      <c r="M64" s="73" t="s">
        <v>22</v>
      </c>
      <c r="N64" s="70" t="s">
        <v>418</v>
      </c>
    </row>
    <row r="65" spans="1:14" s="169" customFormat="1" ht="18">
      <c r="A65" s="180" t="s">
        <v>46</v>
      </c>
      <c r="B65" s="77" t="s">
        <v>554</v>
      </c>
      <c r="C65" s="70" t="s">
        <v>17</v>
      </c>
      <c r="D65" s="210"/>
      <c r="E65" s="210"/>
      <c r="F65" s="210"/>
      <c r="G65" s="210"/>
      <c r="H65" s="406">
        <f>SUM(Tabla132112414[[#This Row],[PRIMER TRIMESTRE]:[CUARTO TRIMESTRE]])</f>
        <v>0</v>
      </c>
      <c r="I65" s="72">
        <v>12210</v>
      </c>
      <c r="J65" s="72">
        <f t="shared" si="0"/>
        <v>0</v>
      </c>
      <c r="K65" s="72"/>
      <c r="L65" s="16" t="s">
        <v>18</v>
      </c>
      <c r="M65" s="73" t="s">
        <v>22</v>
      </c>
      <c r="N65" s="70" t="s">
        <v>418</v>
      </c>
    </row>
    <row r="66" spans="1:14" s="169" customFormat="1" ht="18">
      <c r="A66" s="180" t="s">
        <v>46</v>
      </c>
      <c r="B66" s="77" t="s">
        <v>555</v>
      </c>
      <c r="C66" s="70" t="s">
        <v>17</v>
      </c>
      <c r="D66" s="210"/>
      <c r="E66" s="210"/>
      <c r="F66" s="210"/>
      <c r="G66" s="210"/>
      <c r="H66" s="406">
        <f>SUM(Tabla132112414[[#This Row],[PRIMER TRIMESTRE]:[CUARTO TRIMESTRE]])</f>
        <v>0</v>
      </c>
      <c r="I66" s="72">
        <v>4029.25</v>
      </c>
      <c r="J66" s="72">
        <f t="shared" si="0"/>
        <v>0</v>
      </c>
      <c r="K66" s="72"/>
      <c r="L66" s="16" t="s">
        <v>18</v>
      </c>
      <c r="M66" s="73" t="s">
        <v>22</v>
      </c>
      <c r="N66" s="70" t="s">
        <v>418</v>
      </c>
    </row>
    <row r="67" spans="1:14" s="169" customFormat="1" ht="18">
      <c r="A67" s="407"/>
      <c r="B67" s="77"/>
      <c r="C67" s="70"/>
      <c r="D67" s="210"/>
      <c r="E67" s="210"/>
      <c r="F67" s="210"/>
      <c r="G67" s="210"/>
      <c r="H67" s="406"/>
      <c r="I67" s="72"/>
      <c r="J67" s="72"/>
      <c r="K67" s="72"/>
      <c r="L67" s="16"/>
      <c r="M67" s="73"/>
      <c r="N67" s="70"/>
    </row>
    <row r="68" spans="1:14" s="169" customFormat="1" ht="18">
      <c r="A68" s="180" t="s">
        <v>46</v>
      </c>
      <c r="B68" s="77" t="s">
        <v>556</v>
      </c>
      <c r="C68" s="70" t="s">
        <v>17</v>
      </c>
      <c r="D68" s="210"/>
      <c r="E68" s="210"/>
      <c r="F68" s="210"/>
      <c r="G68" s="210"/>
      <c r="H68" s="406">
        <f>SUM(Tabla132112414[[#This Row],[PRIMER TRIMESTRE]:[CUARTO TRIMESTRE]])</f>
        <v>0</v>
      </c>
      <c r="I68" s="72">
        <v>33660</v>
      </c>
      <c r="J68" s="72">
        <f t="shared" si="0"/>
        <v>0</v>
      </c>
      <c r="K68" s="72"/>
      <c r="L68" s="16" t="s">
        <v>18</v>
      </c>
      <c r="M68" s="73" t="s">
        <v>22</v>
      </c>
      <c r="N68" s="70" t="s">
        <v>418</v>
      </c>
    </row>
    <row r="69" spans="1:14" s="243" customFormat="1" ht="18">
      <c r="A69" s="180" t="s">
        <v>46</v>
      </c>
      <c r="B69" s="77" t="s">
        <v>557</v>
      </c>
      <c r="C69" s="70" t="s">
        <v>17</v>
      </c>
      <c r="D69" s="210"/>
      <c r="E69" s="210"/>
      <c r="F69" s="210"/>
      <c r="G69" s="210"/>
      <c r="H69" s="406">
        <f>SUM(Tabla132112414[[#This Row],[PRIMER TRIMESTRE]:[CUARTO TRIMESTRE]])</f>
        <v>0</v>
      </c>
      <c r="I69" s="72">
        <v>27205.48</v>
      </c>
      <c r="J69" s="72">
        <f t="shared" si="0"/>
        <v>0</v>
      </c>
      <c r="K69" s="72"/>
      <c r="L69" s="16" t="s">
        <v>18</v>
      </c>
      <c r="M69" s="73" t="s">
        <v>22</v>
      </c>
      <c r="N69" s="70" t="s">
        <v>418</v>
      </c>
    </row>
    <row r="70" spans="1:14" s="169" customFormat="1" ht="18">
      <c r="A70" s="180" t="s">
        <v>46</v>
      </c>
      <c r="B70" s="77" t="s">
        <v>558</v>
      </c>
      <c r="C70" s="70" t="s">
        <v>17</v>
      </c>
      <c r="D70" s="210"/>
      <c r="E70" s="210"/>
      <c r="F70" s="210"/>
      <c r="G70" s="210"/>
      <c r="H70" s="406">
        <f>SUM(Tabla132112414[[#This Row],[PRIMER TRIMESTRE]:[CUARTO TRIMESTRE]])</f>
        <v>0</v>
      </c>
      <c r="I70" s="72">
        <v>14272.5</v>
      </c>
      <c r="J70" s="72">
        <f t="shared" si="0"/>
        <v>0</v>
      </c>
      <c r="K70" s="72"/>
      <c r="L70" s="16" t="s">
        <v>18</v>
      </c>
      <c r="M70" s="73" t="s">
        <v>22</v>
      </c>
      <c r="N70" s="70" t="s">
        <v>418</v>
      </c>
    </row>
    <row r="71" spans="1:14" s="169" customFormat="1" ht="18">
      <c r="A71" s="180" t="s">
        <v>46</v>
      </c>
      <c r="B71" s="77" t="s">
        <v>1398</v>
      </c>
      <c r="C71" s="70" t="s">
        <v>17</v>
      </c>
      <c r="D71" s="70"/>
      <c r="E71" s="70"/>
      <c r="F71" s="70"/>
      <c r="G71" s="70"/>
      <c r="H71" s="70">
        <f>SUM(Tabla132112414[[#This Row],[PRIMER TRIMESTRE]:[CUARTO TRIMESTRE]])</f>
        <v>0</v>
      </c>
      <c r="I71" s="72">
        <v>9279.9</v>
      </c>
      <c r="J71" s="72">
        <f t="shared" si="0"/>
        <v>0</v>
      </c>
      <c r="K71" s="72"/>
      <c r="L71" s="16" t="s">
        <v>18</v>
      </c>
      <c r="M71" s="73" t="s">
        <v>22</v>
      </c>
      <c r="N71" s="70" t="s">
        <v>418</v>
      </c>
    </row>
    <row r="72" spans="1:14" s="169" customFormat="1" ht="18">
      <c r="A72" s="180" t="s">
        <v>46</v>
      </c>
      <c r="B72" s="77" t="s">
        <v>560</v>
      </c>
      <c r="C72" s="70" t="s">
        <v>17</v>
      </c>
      <c r="D72" s="210"/>
      <c r="E72" s="210"/>
      <c r="F72" s="210"/>
      <c r="G72" s="210"/>
      <c r="H72" s="406">
        <f>SUM(Tabla132112414[[#This Row],[PRIMER TRIMESTRE]:[CUARTO TRIMESTRE]])</f>
        <v>0</v>
      </c>
      <c r="I72" s="72">
        <v>14190</v>
      </c>
      <c r="J72" s="72">
        <f t="shared" si="0"/>
        <v>0</v>
      </c>
      <c r="K72" s="72"/>
      <c r="L72" s="16" t="s">
        <v>18</v>
      </c>
      <c r="M72" s="73" t="s">
        <v>22</v>
      </c>
      <c r="N72" s="70" t="s">
        <v>418</v>
      </c>
    </row>
    <row r="73" spans="1:14" s="169" customFormat="1" ht="18">
      <c r="A73" s="180" t="s">
        <v>46</v>
      </c>
      <c r="B73" s="77" t="s">
        <v>561</v>
      </c>
      <c r="C73" s="70" t="s">
        <v>17</v>
      </c>
      <c r="D73" s="210"/>
      <c r="E73" s="210"/>
      <c r="F73" s="210"/>
      <c r="G73" s="210"/>
      <c r="H73" s="406">
        <f>SUM(Tabla132112414[[#This Row],[PRIMER TRIMESTRE]:[CUARTO TRIMESTRE]])</f>
        <v>0</v>
      </c>
      <c r="I73" s="72">
        <v>4200</v>
      </c>
      <c r="J73" s="72">
        <f t="shared" si="0"/>
        <v>0</v>
      </c>
      <c r="K73" s="72"/>
      <c r="L73" s="16" t="s">
        <v>18</v>
      </c>
      <c r="M73" s="73" t="s">
        <v>22</v>
      </c>
      <c r="N73" s="70" t="s">
        <v>418</v>
      </c>
    </row>
    <row r="74" spans="1:14" s="169" customFormat="1" ht="18">
      <c r="A74" s="180" t="s">
        <v>46</v>
      </c>
      <c r="B74" s="77" t="s">
        <v>764</v>
      </c>
      <c r="C74" s="70" t="s">
        <v>17</v>
      </c>
      <c r="D74" s="210"/>
      <c r="E74" s="210"/>
      <c r="F74" s="210"/>
      <c r="G74" s="210"/>
      <c r="H74" s="406">
        <f>SUM(Tabla132112414[[#This Row],[PRIMER TRIMESTRE]:[CUARTO TRIMESTRE]])</f>
        <v>0</v>
      </c>
      <c r="I74" s="72">
        <v>12650</v>
      </c>
      <c r="J74" s="72">
        <f t="shared" si="0"/>
        <v>0</v>
      </c>
      <c r="K74" s="72"/>
      <c r="L74" s="16" t="s">
        <v>18</v>
      </c>
      <c r="M74" s="73" t="s">
        <v>22</v>
      </c>
      <c r="N74" s="70" t="s">
        <v>418</v>
      </c>
    </row>
    <row r="75" spans="1:14" s="26" customFormat="1" ht="18">
      <c r="A75" s="180" t="s">
        <v>46</v>
      </c>
      <c r="B75" s="77" t="s">
        <v>1399</v>
      </c>
      <c r="C75" s="70" t="s">
        <v>17</v>
      </c>
      <c r="D75" s="210"/>
      <c r="E75" s="210"/>
      <c r="F75" s="210"/>
      <c r="G75" s="210"/>
      <c r="H75" s="406">
        <f>SUM(Tabla132112414[[#This Row],[PRIMER TRIMESTRE]:[CUARTO TRIMESTRE]])</f>
        <v>0</v>
      </c>
      <c r="I75" s="72">
        <v>8500</v>
      </c>
      <c r="J75" s="72">
        <f t="shared" si="0"/>
        <v>0</v>
      </c>
      <c r="K75" s="72"/>
      <c r="L75" s="16" t="s">
        <v>18</v>
      </c>
      <c r="M75" s="73" t="s">
        <v>22</v>
      </c>
      <c r="N75" s="70" t="s">
        <v>418</v>
      </c>
    </row>
    <row r="76" spans="1:14" s="169" customFormat="1" ht="18">
      <c r="A76" s="180" t="s">
        <v>46</v>
      </c>
      <c r="B76" s="77" t="s">
        <v>1400</v>
      </c>
      <c r="C76" s="70" t="s">
        <v>17</v>
      </c>
      <c r="D76" s="210"/>
      <c r="E76" s="210"/>
      <c r="F76" s="210"/>
      <c r="G76" s="210"/>
      <c r="H76" s="406">
        <f>SUM(Tabla132112414[[#This Row],[PRIMER TRIMESTRE]:[CUARTO TRIMESTRE]])</f>
        <v>0</v>
      </c>
      <c r="I76" s="72">
        <v>9500</v>
      </c>
      <c r="J76" s="72">
        <f t="shared" si="0"/>
        <v>0</v>
      </c>
      <c r="K76" s="72"/>
      <c r="L76" s="16" t="s">
        <v>18</v>
      </c>
      <c r="M76" s="73" t="s">
        <v>22</v>
      </c>
      <c r="N76" s="70" t="s">
        <v>418</v>
      </c>
    </row>
    <row r="77" spans="1:14" s="169" customFormat="1" ht="18">
      <c r="A77" s="409" t="s">
        <v>46</v>
      </c>
      <c r="B77" s="43"/>
      <c r="C77" s="43"/>
      <c r="D77" s="238"/>
      <c r="E77" s="238"/>
      <c r="F77" s="238"/>
      <c r="G77" s="238"/>
      <c r="H77" s="43"/>
      <c r="I77" s="24"/>
      <c r="J77" s="24"/>
      <c r="K77" s="25">
        <f>SUBTOTAL(109,J45:J76)</f>
        <v>0</v>
      </c>
      <c r="L77" s="23"/>
      <c r="M77" s="23"/>
      <c r="N77" s="42"/>
    </row>
    <row r="78" spans="1:14" s="169" customFormat="1" ht="30">
      <c r="A78" s="180" t="s">
        <v>56</v>
      </c>
      <c r="B78" s="77" t="s">
        <v>563</v>
      </c>
      <c r="C78" s="70" t="s">
        <v>17</v>
      </c>
      <c r="D78" s="210"/>
      <c r="E78" s="210"/>
      <c r="F78" s="210"/>
      <c r="G78" s="210"/>
      <c r="H78" s="406">
        <f>SUM(Tabla132112414[[#This Row],[PRIMER TRIMESTRE]:[CUARTO TRIMESTRE]])</f>
        <v>0</v>
      </c>
      <c r="I78" s="72">
        <v>4500</v>
      </c>
      <c r="J78" s="72">
        <f>+H78*I78</f>
        <v>0</v>
      </c>
      <c r="K78" s="72"/>
      <c r="L78" s="73" t="s">
        <v>27</v>
      </c>
      <c r="M78" s="73" t="s">
        <v>22</v>
      </c>
      <c r="N78" s="70" t="s">
        <v>418</v>
      </c>
    </row>
    <row r="79" spans="1:14" s="169" customFormat="1" ht="30">
      <c r="A79" s="180" t="s">
        <v>56</v>
      </c>
      <c r="B79" s="77" t="s">
        <v>562</v>
      </c>
      <c r="C79" s="70" t="s">
        <v>17</v>
      </c>
      <c r="D79" s="210"/>
      <c r="E79" s="210"/>
      <c r="F79" s="210"/>
      <c r="G79" s="210"/>
      <c r="H79" s="406">
        <f>SUM(Tabla132112414[[#This Row],[PRIMER TRIMESTRE]:[CUARTO TRIMESTRE]])</f>
        <v>0</v>
      </c>
      <c r="I79" s="72">
        <v>6800</v>
      </c>
      <c r="J79" s="72">
        <f>+H79*I79</f>
        <v>0</v>
      </c>
      <c r="K79" s="72"/>
      <c r="L79" s="73" t="s">
        <v>27</v>
      </c>
      <c r="M79" s="73" t="s">
        <v>22</v>
      </c>
      <c r="N79" s="70" t="s">
        <v>418</v>
      </c>
    </row>
    <row r="80" spans="1:14" s="169" customFormat="1" ht="30">
      <c r="A80" s="180" t="s">
        <v>56</v>
      </c>
      <c r="B80" s="77" t="s">
        <v>61</v>
      </c>
      <c r="C80" s="70" t="s">
        <v>17</v>
      </c>
      <c r="D80" s="210"/>
      <c r="E80" s="210"/>
      <c r="F80" s="210"/>
      <c r="G80" s="210"/>
      <c r="H80" s="406">
        <f>SUM(Tabla132112414[[#This Row],[PRIMER TRIMESTRE]:[CUARTO TRIMESTRE]])</f>
        <v>0</v>
      </c>
      <c r="I80" s="72">
        <f>3600*1.2</f>
        <v>4320</v>
      </c>
      <c r="J80" s="72">
        <f>+Tabla132112414[[#This Row],[CANTIDAD TOTAL]]*Tabla132112414[[#This Row],[PRECIO UNITARIO ESTIMADO]]</f>
        <v>0</v>
      </c>
      <c r="K80" s="72"/>
      <c r="L80" s="73" t="s">
        <v>27</v>
      </c>
      <c r="M80" s="73" t="s">
        <v>22</v>
      </c>
      <c r="N80" s="70" t="s">
        <v>418</v>
      </c>
    </row>
    <row r="81" spans="1:14" s="169" customFormat="1" ht="30">
      <c r="A81" s="180" t="s">
        <v>56</v>
      </c>
      <c r="B81" s="77" t="s">
        <v>63</v>
      </c>
      <c r="C81" s="70" t="s">
        <v>17</v>
      </c>
      <c r="D81" s="210"/>
      <c r="E81" s="210"/>
      <c r="F81" s="210"/>
      <c r="G81" s="210"/>
      <c r="H81" s="406">
        <f>SUM(Tabla132112414[[#This Row],[PRIMER TRIMESTRE]:[CUARTO TRIMESTRE]])</f>
        <v>0</v>
      </c>
      <c r="I81" s="72">
        <v>6409</v>
      </c>
      <c r="J81" s="72">
        <f>+Tabla132112414[[#This Row],[CANTIDAD TOTAL]]*Tabla132112414[[#This Row],[PRECIO UNITARIO ESTIMADO]]</f>
        <v>0</v>
      </c>
      <c r="K81" s="72"/>
      <c r="L81" s="73" t="s">
        <v>27</v>
      </c>
      <c r="M81" s="73" t="s">
        <v>22</v>
      </c>
      <c r="N81" s="70" t="s">
        <v>418</v>
      </c>
    </row>
    <row r="82" spans="1:14" s="169" customFormat="1" ht="30">
      <c r="A82" s="180" t="s">
        <v>56</v>
      </c>
      <c r="B82" s="77" t="s">
        <v>64</v>
      </c>
      <c r="C82" s="70" t="s">
        <v>17</v>
      </c>
      <c r="D82" s="210"/>
      <c r="E82" s="210"/>
      <c r="F82" s="210"/>
      <c r="G82" s="210"/>
      <c r="H82" s="406">
        <f>SUM(Tabla132112414[[#This Row],[PRIMER TRIMESTRE]:[CUARTO TRIMESTRE]])</f>
        <v>0</v>
      </c>
      <c r="I82" s="72">
        <v>6500</v>
      </c>
      <c r="J82" s="72">
        <f>+Tabla132112414[[#This Row],[CANTIDAD TOTAL]]*Tabla132112414[[#This Row],[PRECIO UNITARIO ESTIMADO]]</f>
        <v>0</v>
      </c>
      <c r="K82" s="72"/>
      <c r="L82" s="73" t="s">
        <v>27</v>
      </c>
      <c r="M82" s="73" t="s">
        <v>22</v>
      </c>
      <c r="N82" s="70" t="s">
        <v>418</v>
      </c>
    </row>
    <row r="83" spans="1:14" s="169" customFormat="1" ht="30">
      <c r="A83" s="180" t="s">
        <v>56</v>
      </c>
      <c r="B83" s="77" t="s">
        <v>65</v>
      </c>
      <c r="C83" s="70" t="s">
        <v>17</v>
      </c>
      <c r="D83" s="210"/>
      <c r="E83" s="210"/>
      <c r="F83" s="210"/>
      <c r="G83" s="210"/>
      <c r="H83" s="406">
        <f>SUM(Tabla132112414[[#This Row],[PRIMER TRIMESTRE]:[CUARTO TRIMESTRE]])</f>
        <v>0</v>
      </c>
      <c r="I83" s="72">
        <v>6500</v>
      </c>
      <c r="J83" s="72">
        <f>+H83*I83</f>
        <v>0</v>
      </c>
      <c r="K83" s="72"/>
      <c r="L83" s="73" t="s">
        <v>27</v>
      </c>
      <c r="M83" s="73" t="s">
        <v>22</v>
      </c>
      <c r="N83" s="70" t="s">
        <v>418</v>
      </c>
    </row>
    <row r="84" spans="1:14" s="169" customFormat="1" ht="30">
      <c r="A84" s="180" t="s">
        <v>56</v>
      </c>
      <c r="B84" s="77" t="s">
        <v>1422</v>
      </c>
      <c r="C84" s="70" t="s">
        <v>17</v>
      </c>
      <c r="D84" s="210"/>
      <c r="E84" s="210"/>
      <c r="F84" s="210"/>
      <c r="G84" s="210"/>
      <c r="H84" s="406">
        <f>SUM(Tabla132112414[[#This Row],[PRIMER TRIMESTRE]:[CUARTO TRIMESTRE]])</f>
        <v>0</v>
      </c>
      <c r="I84" s="72">
        <v>7965.33</v>
      </c>
      <c r="J84" s="72">
        <f>+Tabla132112414[[#This Row],[CANTIDAD TOTAL]]*Tabla132112414[[#This Row],[PRECIO UNITARIO ESTIMADO]]</f>
        <v>0</v>
      </c>
      <c r="K84" s="72"/>
      <c r="L84" s="73" t="s">
        <v>27</v>
      </c>
      <c r="M84" s="73" t="s">
        <v>22</v>
      </c>
      <c r="N84" s="70" t="s">
        <v>418</v>
      </c>
    </row>
    <row r="85" spans="1:14" s="111" customFormat="1" ht="30">
      <c r="A85" s="180" t="s">
        <v>56</v>
      </c>
      <c r="B85" s="77" t="s">
        <v>66</v>
      </c>
      <c r="C85" s="70" t="s">
        <v>17</v>
      </c>
      <c r="D85" s="210"/>
      <c r="E85" s="210"/>
      <c r="F85" s="210"/>
      <c r="G85" s="210"/>
      <c r="H85" s="406">
        <f>SUM(Tabla132112414[[#This Row],[PRIMER TRIMESTRE]:[CUARTO TRIMESTRE]])</f>
        <v>0</v>
      </c>
      <c r="I85" s="72">
        <v>9976</v>
      </c>
      <c r="J85" s="72">
        <f>+Tabla132112414[[#This Row],[CANTIDAD TOTAL]]*Tabla132112414[[#This Row],[PRECIO UNITARIO ESTIMADO]]</f>
        <v>0</v>
      </c>
      <c r="K85" s="72"/>
      <c r="L85" s="73" t="s">
        <v>27</v>
      </c>
      <c r="M85" s="73" t="s">
        <v>22</v>
      </c>
      <c r="N85" s="70" t="s">
        <v>418</v>
      </c>
    </row>
    <row r="86" spans="1:14" s="111" customFormat="1" ht="30">
      <c r="A86" s="180" t="s">
        <v>56</v>
      </c>
      <c r="B86" s="77" t="s">
        <v>1848</v>
      </c>
      <c r="C86" s="70" t="s">
        <v>17</v>
      </c>
      <c r="D86" s="210"/>
      <c r="E86" s="210"/>
      <c r="F86" s="210"/>
      <c r="G86" s="210"/>
      <c r="H86" s="406">
        <v>0</v>
      </c>
      <c r="I86" s="72">
        <v>0</v>
      </c>
      <c r="J86" s="72">
        <v>0</v>
      </c>
      <c r="K86" s="72"/>
      <c r="L86" s="73" t="s">
        <v>27</v>
      </c>
      <c r="M86" s="73" t="s">
        <v>22</v>
      </c>
      <c r="N86" s="70" t="s">
        <v>418</v>
      </c>
    </row>
    <row r="87" spans="1:14" s="26" customFormat="1" ht="30">
      <c r="A87" s="180" t="s">
        <v>56</v>
      </c>
      <c r="B87" s="77" t="s">
        <v>765</v>
      </c>
      <c r="C87" s="70" t="s">
        <v>17</v>
      </c>
      <c r="D87" s="210"/>
      <c r="E87" s="210"/>
      <c r="F87" s="210"/>
      <c r="G87" s="210"/>
      <c r="H87" s="406">
        <f>SUM(Tabla132112414[[#This Row],[PRIMER TRIMESTRE]:[CUARTO TRIMESTRE]])</f>
        <v>0</v>
      </c>
      <c r="I87" s="72">
        <v>11500</v>
      </c>
      <c r="J87" s="72">
        <f>+H87*I87</f>
        <v>0</v>
      </c>
      <c r="K87" s="72"/>
      <c r="L87" s="73" t="s">
        <v>27</v>
      </c>
      <c r="M87" s="73" t="s">
        <v>22</v>
      </c>
      <c r="N87" s="70" t="s">
        <v>418</v>
      </c>
    </row>
    <row r="88" spans="1:14" s="12" customFormat="1" ht="18">
      <c r="A88" s="70" t="s">
        <v>56</v>
      </c>
      <c r="B88" s="77" t="s">
        <v>1401</v>
      </c>
      <c r="C88" s="70" t="s">
        <v>17</v>
      </c>
      <c r="D88" s="70"/>
      <c r="E88" s="70"/>
      <c r="F88" s="70"/>
      <c r="G88" s="70"/>
      <c r="H88" s="70">
        <f>SUM(Tabla132112414[[#This Row],[PRIMER TRIMESTRE]:[CUARTO TRIMESTRE]])</f>
        <v>0</v>
      </c>
      <c r="I88" s="72">
        <v>250</v>
      </c>
      <c r="J88" s="72">
        <f>+H88*I88</f>
        <v>0</v>
      </c>
      <c r="K88" s="72"/>
      <c r="L88" s="73" t="s">
        <v>27</v>
      </c>
      <c r="M88" s="73" t="s">
        <v>22</v>
      </c>
      <c r="N88" s="70" t="s">
        <v>418</v>
      </c>
    </row>
    <row r="89" spans="1:14" s="12" customFormat="1" ht="31.5">
      <c r="A89" s="179" t="s">
        <v>56</v>
      </c>
      <c r="B89" s="76"/>
      <c r="C89" s="42"/>
      <c r="D89" s="237"/>
      <c r="E89" s="237"/>
      <c r="F89" s="237"/>
      <c r="G89" s="237"/>
      <c r="H89" s="43"/>
      <c r="I89" s="24"/>
      <c r="J89" s="24"/>
      <c r="K89" s="25">
        <f>SUM(J78:J88)</f>
        <v>0</v>
      </c>
      <c r="L89" s="23"/>
      <c r="M89" s="23"/>
      <c r="N89" s="42"/>
    </row>
    <row r="90" spans="1:14" s="12" customFormat="1" ht="18">
      <c r="A90" s="180" t="s">
        <v>62</v>
      </c>
      <c r="B90" s="77" t="s">
        <v>68</v>
      </c>
      <c r="C90" s="70" t="s">
        <v>69</v>
      </c>
      <c r="D90" s="210"/>
      <c r="E90" s="210"/>
      <c r="F90" s="210"/>
      <c r="G90" s="210"/>
      <c r="H90" s="406">
        <f>SUM(Tabla132112414[[#This Row],[PRIMER TRIMESTRE]:[CUARTO TRIMESTRE]])</f>
        <v>0</v>
      </c>
      <c r="I90" s="17">
        <v>320.89999999999998</v>
      </c>
      <c r="J90" s="17">
        <f>+Tabla132112414[[#This Row],[CANTIDAD TOTAL]]*Tabla132112414[[#This Row],[PRECIO UNITARIO ESTIMADO]]</f>
        <v>0</v>
      </c>
      <c r="K90" s="17"/>
      <c r="L90" s="16" t="s">
        <v>27</v>
      </c>
      <c r="M90" s="16" t="s">
        <v>22</v>
      </c>
      <c r="N90" s="39" t="s">
        <v>418</v>
      </c>
    </row>
    <row r="91" spans="1:14" s="12" customFormat="1" ht="18">
      <c r="A91" s="180" t="s">
        <v>62</v>
      </c>
      <c r="B91" s="77" t="s">
        <v>461</v>
      </c>
      <c r="C91" s="70" t="s">
        <v>69</v>
      </c>
      <c r="D91" s="210"/>
      <c r="E91" s="210"/>
      <c r="F91" s="210"/>
      <c r="G91" s="210"/>
      <c r="H91" s="406">
        <f>SUM(Tabla132112414[[#This Row],[PRIMER TRIMESTRE]:[CUARTO TRIMESTRE]])</f>
        <v>0</v>
      </c>
      <c r="I91" s="17">
        <v>561.17999999999995</v>
      </c>
      <c r="J91" s="17">
        <f>+H91*I91</f>
        <v>0</v>
      </c>
      <c r="K91" s="17"/>
      <c r="L91" s="16" t="s">
        <v>27</v>
      </c>
      <c r="M91" s="16" t="s">
        <v>22</v>
      </c>
      <c r="N91" s="39" t="s">
        <v>418</v>
      </c>
    </row>
    <row r="92" spans="1:14" s="12" customFormat="1" ht="18">
      <c r="A92" s="180" t="s">
        <v>62</v>
      </c>
      <c r="B92" s="77" t="s">
        <v>1149</v>
      </c>
      <c r="C92" s="70" t="s">
        <v>69</v>
      </c>
      <c r="D92" s="210"/>
      <c r="E92" s="210"/>
      <c r="F92" s="210"/>
      <c r="G92" s="210"/>
      <c r="H92" s="406">
        <f>SUM(Tabla132112414[[#This Row],[PRIMER TRIMESTRE]:[CUARTO TRIMESTRE]])</f>
        <v>0</v>
      </c>
      <c r="I92" s="17">
        <v>1900</v>
      </c>
      <c r="J92" s="17">
        <f>+H92*I92</f>
        <v>0</v>
      </c>
      <c r="K92" s="17"/>
      <c r="L92" s="16" t="s">
        <v>27</v>
      </c>
      <c r="M92" s="16" t="s">
        <v>22</v>
      </c>
      <c r="N92" s="39" t="s">
        <v>418</v>
      </c>
    </row>
    <row r="93" spans="1:14" s="12" customFormat="1" ht="18">
      <c r="A93" s="180" t="s">
        <v>62</v>
      </c>
      <c r="B93" s="77" t="s">
        <v>567</v>
      </c>
      <c r="C93" s="70" t="s">
        <v>17</v>
      </c>
      <c r="D93" s="210"/>
      <c r="E93" s="210"/>
      <c r="F93" s="210"/>
      <c r="G93" s="210"/>
      <c r="H93" s="406">
        <f>SUM(Tabla132112414[[#This Row],[PRIMER TRIMESTRE]:[CUARTO TRIMESTRE]])</f>
        <v>0</v>
      </c>
      <c r="I93" s="17">
        <v>350</v>
      </c>
      <c r="J93" s="17">
        <f>+Tabla132112414[[#This Row],[CANTIDAD TOTAL]]*Tabla132112414[[#This Row],[PRECIO UNITARIO ESTIMADO]]</f>
        <v>0</v>
      </c>
      <c r="K93" s="17"/>
      <c r="L93" s="16" t="s">
        <v>27</v>
      </c>
      <c r="M93" s="16" t="s">
        <v>22</v>
      </c>
      <c r="N93" s="39" t="s">
        <v>418</v>
      </c>
    </row>
    <row r="94" spans="1:14" s="12" customFormat="1" ht="18">
      <c r="A94" s="180" t="s">
        <v>62</v>
      </c>
      <c r="B94" s="77" t="s">
        <v>472</v>
      </c>
      <c r="C94" s="70" t="s">
        <v>17</v>
      </c>
      <c r="D94" s="210"/>
      <c r="E94" s="210"/>
      <c r="F94" s="210"/>
      <c r="G94" s="210"/>
      <c r="H94" s="406">
        <f>SUM(Tabla132112414[[#This Row],[PRIMER TRIMESTRE]:[CUARTO TRIMESTRE]])</f>
        <v>0</v>
      </c>
      <c r="I94" s="17">
        <v>450.4</v>
      </c>
      <c r="J94" s="17">
        <f>+H94*I94</f>
        <v>0</v>
      </c>
      <c r="K94" s="17"/>
      <c r="L94" s="16" t="s">
        <v>27</v>
      </c>
      <c r="M94" s="16" t="s">
        <v>22</v>
      </c>
      <c r="N94" s="39" t="s">
        <v>418</v>
      </c>
    </row>
    <row r="95" spans="1:14" s="12" customFormat="1" ht="18">
      <c r="A95" s="180" t="s">
        <v>62</v>
      </c>
      <c r="B95" s="77" t="s">
        <v>1150</v>
      </c>
      <c r="C95" s="70" t="s">
        <v>17</v>
      </c>
      <c r="D95" s="210"/>
      <c r="E95" s="210"/>
      <c r="F95" s="210"/>
      <c r="G95" s="210"/>
      <c r="H95" s="406">
        <f>SUM(Tabla132112414[[#This Row],[PRIMER TRIMESTRE]:[CUARTO TRIMESTRE]])</f>
        <v>0</v>
      </c>
      <c r="I95" s="17">
        <v>450.4</v>
      </c>
      <c r="J95" s="17">
        <f>+H95*I95</f>
        <v>0</v>
      </c>
      <c r="K95" s="17"/>
      <c r="L95" s="16" t="s">
        <v>27</v>
      </c>
      <c r="M95" s="16" t="s">
        <v>22</v>
      </c>
      <c r="N95" s="39" t="s">
        <v>418</v>
      </c>
    </row>
    <row r="96" spans="1:14" s="12" customFormat="1" ht="18">
      <c r="A96" s="180" t="s">
        <v>62</v>
      </c>
      <c r="B96" s="77" t="s">
        <v>440</v>
      </c>
      <c r="C96" s="70" t="s">
        <v>17</v>
      </c>
      <c r="D96" s="210"/>
      <c r="E96" s="210"/>
      <c r="F96" s="210"/>
      <c r="G96" s="210"/>
      <c r="H96" s="406">
        <f>SUM(Tabla132112414[[#This Row],[PRIMER TRIMESTRE]:[CUARTO TRIMESTRE]])</f>
        <v>0</v>
      </c>
      <c r="I96" s="17">
        <v>7000</v>
      </c>
      <c r="J96" s="17">
        <f>+H96*I96</f>
        <v>0</v>
      </c>
      <c r="K96" s="17"/>
      <c r="L96" s="16" t="s">
        <v>27</v>
      </c>
      <c r="M96" s="16" t="s">
        <v>22</v>
      </c>
      <c r="N96" s="39" t="s">
        <v>418</v>
      </c>
    </row>
    <row r="97" spans="1:14" s="12" customFormat="1" ht="18">
      <c r="A97" s="180" t="s">
        <v>62</v>
      </c>
      <c r="B97" s="77" t="s">
        <v>435</v>
      </c>
      <c r="C97" s="70" t="s">
        <v>17</v>
      </c>
      <c r="D97" s="210"/>
      <c r="E97" s="210"/>
      <c r="F97" s="210"/>
      <c r="G97" s="210"/>
      <c r="H97" s="406">
        <f>SUM(Tabla132112414[[#This Row],[PRIMER TRIMESTRE]:[CUARTO TRIMESTRE]])</f>
        <v>0</v>
      </c>
      <c r="I97" s="17">
        <v>110</v>
      </c>
      <c r="J97" s="17">
        <f>+Tabla132112414[[#This Row],[CANTIDAD TOTAL]]*Tabla132112414[[#This Row],[PRECIO UNITARIO ESTIMADO]]</f>
        <v>0</v>
      </c>
      <c r="K97" s="17"/>
      <c r="L97" s="16" t="s">
        <v>27</v>
      </c>
      <c r="M97" s="16" t="s">
        <v>22</v>
      </c>
      <c r="N97" s="39" t="s">
        <v>418</v>
      </c>
    </row>
    <row r="98" spans="1:14" s="12" customFormat="1" ht="18">
      <c r="A98" s="180" t="s">
        <v>62</v>
      </c>
      <c r="B98" s="77" t="s">
        <v>729</v>
      </c>
      <c r="C98" s="70" t="s">
        <v>17</v>
      </c>
      <c r="D98" s="210"/>
      <c r="E98" s="210"/>
      <c r="F98" s="210"/>
      <c r="G98" s="210"/>
      <c r="H98" s="406">
        <f>SUM(Tabla132112414[[#This Row],[PRIMER TRIMESTRE]:[CUARTO TRIMESTRE]])</f>
        <v>0</v>
      </c>
      <c r="I98" s="17">
        <v>260</v>
      </c>
      <c r="J98" s="17">
        <f>+Tabla132112414[[#This Row],[CANTIDAD TOTAL]]*Tabla132112414[[#This Row],[PRECIO UNITARIO ESTIMADO]]</f>
        <v>0</v>
      </c>
      <c r="K98" s="17"/>
      <c r="L98" s="16" t="s">
        <v>27</v>
      </c>
      <c r="M98" s="16" t="s">
        <v>22</v>
      </c>
      <c r="N98" s="39" t="s">
        <v>418</v>
      </c>
    </row>
    <row r="99" spans="1:14" s="12" customFormat="1" ht="18">
      <c r="A99" s="180" t="s">
        <v>62</v>
      </c>
      <c r="B99" s="77" t="s">
        <v>731</v>
      </c>
      <c r="C99" s="70" t="s">
        <v>17</v>
      </c>
      <c r="D99" s="210"/>
      <c r="E99" s="210"/>
      <c r="F99" s="210"/>
      <c r="G99" s="210"/>
      <c r="H99" s="406">
        <f>SUM(Tabla132112414[[#This Row],[PRIMER TRIMESTRE]:[CUARTO TRIMESTRE]])</f>
        <v>0</v>
      </c>
      <c r="I99" s="17">
        <v>375</v>
      </c>
      <c r="J99" s="17">
        <f>+Tabla132112414[[#This Row],[CANTIDAD TOTAL]]*Tabla132112414[[#This Row],[PRECIO UNITARIO ESTIMADO]]</f>
        <v>0</v>
      </c>
      <c r="K99" s="17"/>
      <c r="L99" s="16" t="s">
        <v>27</v>
      </c>
      <c r="M99" s="16" t="s">
        <v>22</v>
      </c>
      <c r="N99" s="39" t="s">
        <v>418</v>
      </c>
    </row>
    <row r="100" spans="1:14" s="12" customFormat="1" ht="18">
      <c r="A100" s="180" t="s">
        <v>62</v>
      </c>
      <c r="B100" s="17" t="s">
        <v>1589</v>
      </c>
      <c r="C100" s="248" t="s">
        <v>17</v>
      </c>
      <c r="D100" s="210"/>
      <c r="E100" s="17"/>
      <c r="F100" s="17"/>
      <c r="G100" s="17"/>
      <c r="H100" s="406">
        <f>SUM(Tabla132112414[[#This Row],[PRIMER TRIMESTRE]:[CUARTO TRIMESTRE]])</f>
        <v>0</v>
      </c>
      <c r="I100" s="17">
        <v>425</v>
      </c>
      <c r="J100" s="17">
        <f>+H100*I100</f>
        <v>0</v>
      </c>
      <c r="K100" s="17"/>
      <c r="L100" s="16" t="s">
        <v>27</v>
      </c>
      <c r="M100" s="16" t="s">
        <v>22</v>
      </c>
      <c r="N100" s="39" t="s">
        <v>418</v>
      </c>
    </row>
    <row r="101" spans="1:14" s="12" customFormat="1" ht="18">
      <c r="A101" s="180" t="s">
        <v>62</v>
      </c>
      <c r="B101" s="77" t="s">
        <v>72</v>
      </c>
      <c r="C101" s="70" t="s">
        <v>17</v>
      </c>
      <c r="D101" s="210"/>
      <c r="E101" s="210"/>
      <c r="F101" s="210"/>
      <c r="G101" s="210"/>
      <c r="H101" s="406">
        <f>SUM(Tabla132112414[[#This Row],[PRIMER TRIMESTRE]:[CUARTO TRIMESTRE]])</f>
        <v>0</v>
      </c>
      <c r="I101" s="72">
        <v>295</v>
      </c>
      <c r="J101" s="17">
        <f>+Tabla132112414[[#This Row],[CANTIDAD TOTAL]]*Tabla132112414[[#This Row],[PRECIO UNITARIO ESTIMADO]]</f>
        <v>0</v>
      </c>
      <c r="K101" s="17"/>
      <c r="L101" s="16" t="s">
        <v>27</v>
      </c>
      <c r="M101" s="16" t="s">
        <v>22</v>
      </c>
      <c r="N101" s="39" t="s">
        <v>418</v>
      </c>
    </row>
    <row r="102" spans="1:14" s="12" customFormat="1" ht="18">
      <c r="A102" s="180" t="s">
        <v>62</v>
      </c>
      <c r="B102" s="77" t="s">
        <v>467</v>
      </c>
      <c r="C102" s="70" t="s">
        <v>17</v>
      </c>
      <c r="D102" s="210"/>
      <c r="E102" s="210"/>
      <c r="F102" s="210"/>
      <c r="G102" s="210"/>
      <c r="H102" s="406">
        <f>SUM(Tabla132112414[[#This Row],[PRIMER TRIMESTRE]:[CUARTO TRIMESTRE]])</f>
        <v>0</v>
      </c>
      <c r="I102" s="72">
        <v>852.71</v>
      </c>
      <c r="J102" s="17">
        <f t="shared" ref="J102:J118" si="1">+H102*I102</f>
        <v>0</v>
      </c>
      <c r="K102" s="17"/>
      <c r="L102" s="16" t="s">
        <v>27</v>
      </c>
      <c r="M102" s="16" t="s">
        <v>22</v>
      </c>
      <c r="N102" s="39" t="s">
        <v>418</v>
      </c>
    </row>
    <row r="103" spans="1:14" s="12" customFormat="1" ht="18">
      <c r="A103" s="180" t="s">
        <v>62</v>
      </c>
      <c r="B103" s="75" t="s">
        <v>1155</v>
      </c>
      <c r="C103" s="39" t="s">
        <v>17</v>
      </c>
      <c r="D103" s="236"/>
      <c r="E103" s="236"/>
      <c r="F103" s="236"/>
      <c r="G103" s="236"/>
      <c r="H103" s="40">
        <f>SUM(Tabla132112414[[#This Row],[PRIMER TRIMESTRE]:[CUARTO TRIMESTRE]])</f>
        <v>0</v>
      </c>
      <c r="I103" s="72">
        <v>600</v>
      </c>
      <c r="J103" s="17">
        <f t="shared" si="1"/>
        <v>0</v>
      </c>
      <c r="K103" s="17"/>
      <c r="L103" s="16" t="s">
        <v>27</v>
      </c>
      <c r="M103" s="16" t="s">
        <v>22</v>
      </c>
      <c r="N103" s="39" t="s">
        <v>418</v>
      </c>
    </row>
    <row r="104" spans="1:14" s="12" customFormat="1" ht="18">
      <c r="A104" s="180" t="s">
        <v>62</v>
      </c>
      <c r="B104" s="75" t="s">
        <v>1156</v>
      </c>
      <c r="C104" s="39" t="s">
        <v>17</v>
      </c>
      <c r="D104" s="39"/>
      <c r="E104" s="39"/>
      <c r="F104" s="39"/>
      <c r="G104" s="39"/>
      <c r="H104" s="39">
        <f>SUM(Tabla132112414[[#This Row],[PRIMER TRIMESTRE]:[CUARTO TRIMESTRE]])</f>
        <v>0</v>
      </c>
      <c r="I104" s="72">
        <v>700</v>
      </c>
      <c r="J104" s="17">
        <f t="shared" si="1"/>
        <v>0</v>
      </c>
      <c r="K104" s="17"/>
      <c r="L104" s="16" t="s">
        <v>27</v>
      </c>
      <c r="M104" s="16" t="s">
        <v>22</v>
      </c>
      <c r="N104" s="39" t="s">
        <v>418</v>
      </c>
    </row>
    <row r="105" spans="1:14" s="12" customFormat="1" ht="18">
      <c r="A105" s="180" t="s">
        <v>62</v>
      </c>
      <c r="B105" s="75" t="s">
        <v>1612</v>
      </c>
      <c r="C105" s="39" t="s">
        <v>17</v>
      </c>
      <c r="D105" s="39"/>
      <c r="E105" s="39"/>
      <c r="F105" s="39"/>
      <c r="G105" s="39"/>
      <c r="H105" s="39">
        <f>SUM(Tabla132112414[[#This Row],[PRIMER TRIMESTRE]:[CUARTO TRIMESTRE]])</f>
        <v>0</v>
      </c>
      <c r="I105" s="72">
        <v>835</v>
      </c>
      <c r="J105" s="17">
        <f t="shared" si="1"/>
        <v>0</v>
      </c>
      <c r="K105" s="17"/>
      <c r="L105" s="16" t="s">
        <v>27</v>
      </c>
      <c r="M105" s="16" t="s">
        <v>22</v>
      </c>
      <c r="N105" s="39" t="s">
        <v>418</v>
      </c>
    </row>
    <row r="106" spans="1:14" s="12" customFormat="1" ht="18">
      <c r="A106" s="180" t="s">
        <v>62</v>
      </c>
      <c r="B106" s="75" t="s">
        <v>1613</v>
      </c>
      <c r="C106" s="39" t="s">
        <v>17</v>
      </c>
      <c r="D106" s="39"/>
      <c r="E106" s="39"/>
      <c r="F106" s="39"/>
      <c r="G106" s="39"/>
      <c r="H106" s="39">
        <f>SUM(Tabla132112414[[#This Row],[PRIMER TRIMESTRE]:[CUARTO TRIMESTRE]])</f>
        <v>0</v>
      </c>
      <c r="I106" s="72">
        <v>618</v>
      </c>
      <c r="J106" s="17">
        <f t="shared" si="1"/>
        <v>0</v>
      </c>
      <c r="K106" s="17"/>
      <c r="L106" s="16" t="s">
        <v>27</v>
      </c>
      <c r="M106" s="16" t="s">
        <v>22</v>
      </c>
      <c r="N106" s="39" t="s">
        <v>418</v>
      </c>
    </row>
    <row r="107" spans="1:14" s="12" customFormat="1" ht="18">
      <c r="A107" s="180" t="s">
        <v>62</v>
      </c>
      <c r="B107" s="75" t="s">
        <v>1706</v>
      </c>
      <c r="C107" s="39" t="s">
        <v>17</v>
      </c>
      <c r="D107" s="236"/>
      <c r="E107" s="236"/>
      <c r="F107" s="236"/>
      <c r="G107" s="236"/>
      <c r="H107" s="40">
        <v>0</v>
      </c>
      <c r="I107" s="72">
        <v>0</v>
      </c>
      <c r="J107" s="17">
        <v>0</v>
      </c>
      <c r="K107" s="17"/>
      <c r="L107" s="16" t="s">
        <v>27</v>
      </c>
      <c r="M107" s="16" t="s">
        <v>22</v>
      </c>
      <c r="N107" s="39" t="s">
        <v>418</v>
      </c>
    </row>
    <row r="108" spans="1:14" s="12" customFormat="1" ht="18">
      <c r="A108" s="180" t="s">
        <v>62</v>
      </c>
      <c r="B108" s="75" t="s">
        <v>1614</v>
      </c>
      <c r="C108" s="39" t="s">
        <v>17</v>
      </c>
      <c r="D108" s="39"/>
      <c r="E108" s="39"/>
      <c r="F108" s="39"/>
      <c r="G108" s="39"/>
      <c r="H108" s="39">
        <f>SUM(Tabla132112414[[#This Row],[PRIMER TRIMESTRE]:[CUARTO TRIMESTRE]])</f>
        <v>0</v>
      </c>
      <c r="I108" s="72">
        <v>280</v>
      </c>
      <c r="J108" s="17">
        <f t="shared" si="1"/>
        <v>0</v>
      </c>
      <c r="K108" s="17"/>
      <c r="L108" s="16" t="s">
        <v>27</v>
      </c>
      <c r="M108" s="16" t="s">
        <v>22</v>
      </c>
      <c r="N108" s="39" t="s">
        <v>418</v>
      </c>
    </row>
    <row r="109" spans="1:14" s="12" customFormat="1" ht="18">
      <c r="A109" s="180" t="s">
        <v>62</v>
      </c>
      <c r="B109" s="75" t="s">
        <v>1615</v>
      </c>
      <c r="C109" s="39" t="s">
        <v>17</v>
      </c>
      <c r="D109" s="39"/>
      <c r="E109" s="39"/>
      <c r="F109" s="39"/>
      <c r="G109" s="39"/>
      <c r="H109" s="39">
        <f>SUM(Tabla132112414[[#This Row],[PRIMER TRIMESTRE]:[CUARTO TRIMESTRE]])</f>
        <v>0</v>
      </c>
      <c r="I109" s="72">
        <v>447.46</v>
      </c>
      <c r="J109" s="17">
        <f t="shared" si="1"/>
        <v>0</v>
      </c>
      <c r="K109" s="17"/>
      <c r="L109" s="16" t="s">
        <v>27</v>
      </c>
      <c r="M109" s="16" t="s">
        <v>22</v>
      </c>
      <c r="N109" s="39" t="s">
        <v>418</v>
      </c>
    </row>
    <row r="110" spans="1:14" s="12" customFormat="1" ht="18">
      <c r="A110" s="180" t="s">
        <v>62</v>
      </c>
      <c r="B110" s="75" t="s">
        <v>1616</v>
      </c>
      <c r="C110" s="39" t="s">
        <v>718</v>
      </c>
      <c r="D110" s="39"/>
      <c r="E110" s="39"/>
      <c r="F110" s="39"/>
      <c r="G110" s="39"/>
      <c r="H110" s="39">
        <f>SUM(Tabla132112414[[#This Row],[PRIMER TRIMESTRE]:[CUARTO TRIMESTRE]])</f>
        <v>0</v>
      </c>
      <c r="I110" s="72">
        <v>452.8</v>
      </c>
      <c r="J110" s="17">
        <f t="shared" si="1"/>
        <v>0</v>
      </c>
      <c r="K110" s="17"/>
      <c r="L110" s="16" t="s">
        <v>27</v>
      </c>
      <c r="M110" s="16" t="s">
        <v>22</v>
      </c>
      <c r="N110" s="39" t="s">
        <v>418</v>
      </c>
    </row>
    <row r="111" spans="1:14" s="12" customFormat="1" ht="18">
      <c r="A111" s="180" t="s">
        <v>62</v>
      </c>
      <c r="B111" s="75" t="s">
        <v>1617</v>
      </c>
      <c r="C111" s="39" t="s">
        <v>718</v>
      </c>
      <c r="D111" s="39"/>
      <c r="E111" s="39"/>
      <c r="F111" s="39"/>
      <c r="G111" s="39"/>
      <c r="H111" s="39">
        <f>SUM(Tabla132112414[[#This Row],[PRIMER TRIMESTRE]:[CUARTO TRIMESTRE]])</f>
        <v>0</v>
      </c>
      <c r="I111" s="72">
        <v>431</v>
      </c>
      <c r="J111" s="17">
        <f t="shared" si="1"/>
        <v>0</v>
      </c>
      <c r="K111" s="17"/>
      <c r="L111" s="16" t="s">
        <v>27</v>
      </c>
      <c r="M111" s="16" t="s">
        <v>22</v>
      </c>
      <c r="N111" s="39" t="s">
        <v>418</v>
      </c>
    </row>
    <row r="112" spans="1:14" s="12" customFormat="1" ht="18">
      <c r="A112" s="180" t="s">
        <v>62</v>
      </c>
      <c r="B112" s="75" t="s">
        <v>1618</v>
      </c>
      <c r="C112" s="39" t="s">
        <v>718</v>
      </c>
      <c r="D112" s="39"/>
      <c r="E112" s="39"/>
      <c r="F112" s="39"/>
      <c r="G112" s="39"/>
      <c r="H112" s="39">
        <f>SUM(Tabla132112414[[#This Row],[PRIMER TRIMESTRE]:[CUARTO TRIMESTRE]])</f>
        <v>0</v>
      </c>
      <c r="I112" s="72">
        <v>145.30000000000001</v>
      </c>
      <c r="J112" s="17">
        <f t="shared" si="1"/>
        <v>0</v>
      </c>
      <c r="K112" s="17"/>
      <c r="L112" s="16" t="s">
        <v>27</v>
      </c>
      <c r="M112" s="16" t="s">
        <v>22</v>
      </c>
      <c r="N112" s="39" t="s">
        <v>418</v>
      </c>
    </row>
    <row r="113" spans="1:14" s="12" customFormat="1" ht="18">
      <c r="A113" s="180" t="s">
        <v>62</v>
      </c>
      <c r="B113" s="75" t="s">
        <v>1157</v>
      </c>
      <c r="C113" s="39" t="s">
        <v>17</v>
      </c>
      <c r="D113" s="236"/>
      <c r="E113" s="236"/>
      <c r="F113" s="236"/>
      <c r="G113" s="236"/>
      <c r="H113" s="40">
        <f>SUM(Tabla132112414[[#This Row],[PRIMER TRIMESTRE]:[CUARTO TRIMESTRE]])</f>
        <v>0</v>
      </c>
      <c r="I113" s="72">
        <v>800</v>
      </c>
      <c r="J113" s="17">
        <f t="shared" si="1"/>
        <v>0</v>
      </c>
      <c r="K113" s="17"/>
      <c r="L113" s="16" t="s">
        <v>27</v>
      </c>
      <c r="M113" s="16" t="s">
        <v>22</v>
      </c>
      <c r="N113" s="39" t="s">
        <v>418</v>
      </c>
    </row>
    <row r="114" spans="1:14" s="12" customFormat="1" ht="18">
      <c r="A114" s="180" t="s">
        <v>62</v>
      </c>
      <c r="B114" s="75" t="s">
        <v>1158</v>
      </c>
      <c r="C114" s="39" t="s">
        <v>17</v>
      </c>
      <c r="D114" s="236"/>
      <c r="E114" s="236"/>
      <c r="F114" s="236"/>
      <c r="G114" s="236"/>
      <c r="H114" s="40">
        <f>SUM(Tabla132112414[[#This Row],[PRIMER TRIMESTRE]:[CUARTO TRIMESTRE]])</f>
        <v>0</v>
      </c>
      <c r="I114" s="72">
        <v>900</v>
      </c>
      <c r="J114" s="17">
        <f t="shared" si="1"/>
        <v>0</v>
      </c>
      <c r="K114" s="17"/>
      <c r="L114" s="16" t="s">
        <v>27</v>
      </c>
      <c r="M114" s="16" t="s">
        <v>22</v>
      </c>
      <c r="N114" s="39" t="s">
        <v>418</v>
      </c>
    </row>
    <row r="115" spans="1:14" s="12" customFormat="1" ht="18">
      <c r="A115" s="180" t="s">
        <v>62</v>
      </c>
      <c r="B115" s="75" t="s">
        <v>1151</v>
      </c>
      <c r="C115" s="39" t="s">
        <v>17</v>
      </c>
      <c r="D115" s="236"/>
      <c r="E115" s="236"/>
      <c r="F115" s="236"/>
      <c r="G115" s="236"/>
      <c r="H115" s="40">
        <f>SUM(Tabla132112414[[#This Row],[PRIMER TRIMESTRE]:[CUARTO TRIMESTRE]])</f>
        <v>0</v>
      </c>
      <c r="I115" s="72">
        <v>375</v>
      </c>
      <c r="J115" s="17">
        <f t="shared" si="1"/>
        <v>0</v>
      </c>
      <c r="K115" s="17"/>
      <c r="L115" s="16" t="s">
        <v>27</v>
      </c>
      <c r="M115" s="16" t="s">
        <v>22</v>
      </c>
      <c r="N115" s="39" t="s">
        <v>418</v>
      </c>
    </row>
    <row r="116" spans="1:14" s="12" customFormat="1" ht="18">
      <c r="A116" s="180" t="s">
        <v>62</v>
      </c>
      <c r="B116" s="75" t="s">
        <v>1152</v>
      </c>
      <c r="C116" s="39" t="s">
        <v>17</v>
      </c>
      <c r="D116" s="236"/>
      <c r="E116" s="236"/>
      <c r="F116" s="236"/>
      <c r="G116" s="236"/>
      <c r="H116" s="40">
        <f>SUM(Tabla132112414[[#This Row],[PRIMER TRIMESTRE]:[CUARTO TRIMESTRE]])</f>
        <v>0</v>
      </c>
      <c r="I116" s="72">
        <v>1300</v>
      </c>
      <c r="J116" s="17">
        <f t="shared" si="1"/>
        <v>0</v>
      </c>
      <c r="K116" s="17"/>
      <c r="L116" s="16" t="s">
        <v>27</v>
      </c>
      <c r="M116" s="16" t="s">
        <v>22</v>
      </c>
      <c r="N116" s="39" t="s">
        <v>418</v>
      </c>
    </row>
    <row r="117" spans="1:14" s="12" customFormat="1" ht="18">
      <c r="A117" s="180" t="s">
        <v>62</v>
      </c>
      <c r="B117" s="75" t="s">
        <v>1153</v>
      </c>
      <c r="C117" s="39" t="s">
        <v>17</v>
      </c>
      <c r="D117" s="236"/>
      <c r="E117" s="236"/>
      <c r="F117" s="236"/>
      <c r="G117" s="236"/>
      <c r="H117" s="40">
        <f>SUM(Tabla132112414[[#This Row],[PRIMER TRIMESTRE]:[CUARTO TRIMESTRE]])</f>
        <v>0</v>
      </c>
      <c r="I117" s="72">
        <v>900</v>
      </c>
      <c r="J117" s="17">
        <f t="shared" si="1"/>
        <v>0</v>
      </c>
      <c r="K117" s="17"/>
      <c r="L117" s="16" t="s">
        <v>27</v>
      </c>
      <c r="M117" s="16" t="s">
        <v>22</v>
      </c>
      <c r="N117" s="39" t="s">
        <v>418</v>
      </c>
    </row>
    <row r="118" spans="1:14" s="12" customFormat="1" ht="18">
      <c r="A118" s="180" t="s">
        <v>62</v>
      </c>
      <c r="B118" s="75" t="s">
        <v>1154</v>
      </c>
      <c r="C118" s="39" t="s">
        <v>17</v>
      </c>
      <c r="D118" s="236"/>
      <c r="E118" s="236"/>
      <c r="F118" s="236"/>
      <c r="G118" s="236"/>
      <c r="H118" s="40">
        <f>SUM(Tabla132112414[[#This Row],[PRIMER TRIMESTRE]:[CUARTO TRIMESTRE]])</f>
        <v>0</v>
      </c>
      <c r="I118" s="72">
        <v>1800</v>
      </c>
      <c r="J118" s="17">
        <f t="shared" si="1"/>
        <v>0</v>
      </c>
      <c r="K118" s="17"/>
      <c r="L118" s="16" t="s">
        <v>27</v>
      </c>
      <c r="M118" s="16" t="s">
        <v>22</v>
      </c>
      <c r="N118" s="39" t="s">
        <v>418</v>
      </c>
    </row>
    <row r="119" spans="1:14" s="12" customFormat="1" ht="18">
      <c r="A119" s="180" t="s">
        <v>62</v>
      </c>
      <c r="B119" s="75" t="s">
        <v>1709</v>
      </c>
      <c r="C119" s="70" t="s">
        <v>17</v>
      </c>
      <c r="D119" s="236"/>
      <c r="E119" s="236"/>
      <c r="F119" s="236"/>
      <c r="G119" s="236"/>
      <c r="H119" s="40">
        <v>0</v>
      </c>
      <c r="I119" s="72">
        <v>0</v>
      </c>
      <c r="J119" s="17">
        <v>0</v>
      </c>
      <c r="K119" s="17"/>
      <c r="L119" s="16" t="s">
        <v>27</v>
      </c>
      <c r="M119" s="16" t="s">
        <v>22</v>
      </c>
      <c r="N119" s="39" t="s">
        <v>418</v>
      </c>
    </row>
    <row r="120" spans="1:14" s="26" customFormat="1" ht="18">
      <c r="A120" s="180" t="s">
        <v>62</v>
      </c>
      <c r="B120" s="77" t="s">
        <v>432</v>
      </c>
      <c r="C120" s="70" t="s">
        <v>17</v>
      </c>
      <c r="D120" s="210"/>
      <c r="E120" s="210"/>
      <c r="F120" s="210"/>
      <c r="G120" s="210"/>
      <c r="H120" s="406">
        <f>SUM(Tabla132112414[[#This Row],[PRIMER TRIMESTRE]:[CUARTO TRIMESTRE]])</f>
        <v>0</v>
      </c>
      <c r="I120" s="72">
        <v>350</v>
      </c>
      <c r="J120" s="17">
        <f>+Tabla132112414[[#This Row],[CANTIDAD TOTAL]]*Tabla132112414[[#This Row],[PRECIO UNITARIO ESTIMADO]]</f>
        <v>0</v>
      </c>
      <c r="K120" s="17"/>
      <c r="L120" s="16" t="s">
        <v>27</v>
      </c>
      <c r="M120" s="16" t="s">
        <v>22</v>
      </c>
      <c r="N120" s="39" t="s">
        <v>418</v>
      </c>
    </row>
    <row r="121" spans="1:14" s="26" customFormat="1" ht="18">
      <c r="A121" s="180" t="s">
        <v>62</v>
      </c>
      <c r="B121" s="77" t="s">
        <v>431</v>
      </c>
      <c r="C121" s="70" t="s">
        <v>17</v>
      </c>
      <c r="D121" s="210"/>
      <c r="E121" s="210"/>
      <c r="F121" s="210"/>
      <c r="G121" s="210"/>
      <c r="H121" s="406">
        <f>SUM(Tabla132112414[[#This Row],[PRIMER TRIMESTRE]:[CUARTO TRIMESTRE]])</f>
        <v>0</v>
      </c>
      <c r="I121" s="72">
        <v>397.45</v>
      </c>
      <c r="J121" s="17">
        <f>+Tabla132112414[[#This Row],[CANTIDAD TOTAL]]*Tabla132112414[[#This Row],[PRECIO UNITARIO ESTIMADO]]</f>
        <v>0</v>
      </c>
      <c r="K121" s="17"/>
      <c r="L121" s="16" t="s">
        <v>27</v>
      </c>
      <c r="M121" s="16" t="s">
        <v>22</v>
      </c>
      <c r="N121" s="39" t="s">
        <v>418</v>
      </c>
    </row>
    <row r="122" spans="1:14" s="26" customFormat="1" ht="18">
      <c r="A122" s="180" t="s">
        <v>62</v>
      </c>
      <c r="B122" s="75" t="s">
        <v>960</v>
      </c>
      <c r="C122" s="39" t="s">
        <v>17</v>
      </c>
      <c r="D122" s="236"/>
      <c r="E122" s="236"/>
      <c r="F122" s="236"/>
      <c r="G122" s="236"/>
      <c r="H122" s="40">
        <f>SUM(Tabla132112414[[#This Row],[PRIMER TRIMESTRE]:[CUARTO TRIMESTRE]])</f>
        <v>0</v>
      </c>
      <c r="I122" s="17">
        <v>400.75</v>
      </c>
      <c r="J122" s="17">
        <f>+H122*I122</f>
        <v>0</v>
      </c>
      <c r="K122" s="17"/>
      <c r="L122" s="16" t="s">
        <v>27</v>
      </c>
      <c r="M122" s="16" t="s">
        <v>22</v>
      </c>
      <c r="N122" s="39" t="s">
        <v>418</v>
      </c>
    </row>
    <row r="123" spans="1:14" s="12" customFormat="1" ht="18">
      <c r="A123" s="180" t="s">
        <v>62</v>
      </c>
      <c r="B123" s="75" t="s">
        <v>961</v>
      </c>
      <c r="C123" s="39" t="s">
        <v>17</v>
      </c>
      <c r="D123" s="236"/>
      <c r="E123" s="236"/>
      <c r="F123" s="236"/>
      <c r="G123" s="236"/>
      <c r="H123" s="40">
        <f>SUM(Tabla132112414[[#This Row],[PRIMER TRIMESTRE]:[CUARTO TRIMESTRE]])</f>
        <v>0</v>
      </c>
      <c r="I123" s="17">
        <v>216</v>
      </c>
      <c r="J123" s="17">
        <f>+H123*I123</f>
        <v>0</v>
      </c>
      <c r="K123" s="17"/>
      <c r="L123" s="16" t="s">
        <v>27</v>
      </c>
      <c r="M123" s="16" t="s">
        <v>22</v>
      </c>
      <c r="N123" s="39" t="s">
        <v>418</v>
      </c>
    </row>
    <row r="124" spans="1:14" s="12" customFormat="1" ht="18">
      <c r="A124" s="180" t="s">
        <v>62</v>
      </c>
      <c r="B124" s="75" t="s">
        <v>962</v>
      </c>
      <c r="C124" s="39" t="s">
        <v>17</v>
      </c>
      <c r="D124" s="236"/>
      <c r="E124" s="236"/>
      <c r="F124" s="236"/>
      <c r="G124" s="236"/>
      <c r="H124" s="40">
        <f>SUM(Tabla132112414[[#This Row],[PRIMER TRIMESTRE]:[CUARTO TRIMESTRE]])</f>
        <v>0</v>
      </c>
      <c r="I124" s="17">
        <v>249.67</v>
      </c>
      <c r="J124" s="17">
        <f>+H124*I124</f>
        <v>0</v>
      </c>
      <c r="K124" s="17"/>
      <c r="L124" s="16" t="s">
        <v>27</v>
      </c>
      <c r="M124" s="16" t="s">
        <v>22</v>
      </c>
      <c r="N124" s="39" t="s">
        <v>418</v>
      </c>
    </row>
    <row r="125" spans="1:14" s="12" customFormat="1" ht="18">
      <c r="A125" s="180" t="s">
        <v>62</v>
      </c>
      <c r="B125" s="77" t="s">
        <v>434</v>
      </c>
      <c r="C125" s="70" t="s">
        <v>17</v>
      </c>
      <c r="D125" s="210"/>
      <c r="E125" s="210"/>
      <c r="F125" s="210"/>
      <c r="G125" s="210"/>
      <c r="H125" s="406">
        <f>SUM(Tabla132112414[[#This Row],[PRIMER TRIMESTRE]:[CUARTO TRIMESTRE]])</f>
        <v>0</v>
      </c>
      <c r="I125" s="72">
        <v>1120.9100000000001</v>
      </c>
      <c r="J125" s="17">
        <f>+Tabla132112414[[#This Row],[CANTIDAD TOTAL]]*Tabla132112414[[#This Row],[PRECIO UNITARIO ESTIMADO]]</f>
        <v>0</v>
      </c>
      <c r="K125" s="17"/>
      <c r="L125" s="16" t="s">
        <v>27</v>
      </c>
      <c r="M125" s="16" t="s">
        <v>22</v>
      </c>
      <c r="N125" s="39" t="s">
        <v>418</v>
      </c>
    </row>
    <row r="126" spans="1:14" s="12" customFormat="1" ht="18">
      <c r="A126" s="180" t="s">
        <v>62</v>
      </c>
      <c r="B126" s="77" t="s">
        <v>76</v>
      </c>
      <c r="C126" s="70" t="s">
        <v>17</v>
      </c>
      <c r="D126" s="210"/>
      <c r="E126" s="210"/>
      <c r="F126" s="210"/>
      <c r="G126" s="210"/>
      <c r="H126" s="406">
        <f>SUM(Tabla132112414[[#This Row],[PRIMER TRIMESTRE]:[CUARTO TRIMESTRE]])</f>
        <v>0</v>
      </c>
      <c r="I126" s="17">
        <v>100.57</v>
      </c>
      <c r="J126" s="17">
        <f>+Tabla132112414[[#This Row],[CANTIDAD TOTAL]]*Tabla132112414[[#This Row],[PRECIO UNITARIO ESTIMADO]]</f>
        <v>0</v>
      </c>
      <c r="K126" s="17"/>
      <c r="L126" s="16" t="s">
        <v>27</v>
      </c>
      <c r="M126" s="16" t="s">
        <v>22</v>
      </c>
      <c r="N126" s="39" t="s">
        <v>418</v>
      </c>
    </row>
    <row r="127" spans="1:14" s="12" customFormat="1" ht="18">
      <c r="A127" s="180" t="s">
        <v>62</v>
      </c>
      <c r="B127" s="77" t="s">
        <v>433</v>
      </c>
      <c r="C127" s="70" t="s">
        <v>17</v>
      </c>
      <c r="D127" s="210"/>
      <c r="E127" s="210"/>
      <c r="F127" s="210"/>
      <c r="G127" s="210"/>
      <c r="H127" s="406">
        <f>SUM(Tabla132112414[[#This Row],[PRIMER TRIMESTRE]:[CUARTO TRIMESTRE]])</f>
        <v>0</v>
      </c>
      <c r="I127" s="17">
        <v>1144.23</v>
      </c>
      <c r="J127" s="17">
        <f>+Tabla132112414[[#This Row],[CANTIDAD TOTAL]]*Tabla132112414[[#This Row],[PRECIO UNITARIO ESTIMADO]]</f>
        <v>0</v>
      </c>
      <c r="K127" s="17"/>
      <c r="L127" s="16" t="s">
        <v>27</v>
      </c>
      <c r="M127" s="16" t="s">
        <v>22</v>
      </c>
      <c r="N127" s="39" t="s">
        <v>418</v>
      </c>
    </row>
    <row r="128" spans="1:14" s="12" customFormat="1" ht="18">
      <c r="A128" s="180" t="s">
        <v>62</v>
      </c>
      <c r="B128" s="77" t="s">
        <v>433</v>
      </c>
      <c r="C128" s="70" t="s">
        <v>17</v>
      </c>
      <c r="D128" s="210"/>
      <c r="E128" s="210"/>
      <c r="F128" s="210"/>
      <c r="G128" s="210"/>
      <c r="H128" s="210">
        <f>SUM(Tabla132112414[[#This Row],[PRIMER TRIMESTRE]:[CUARTO TRIMESTRE]])</f>
        <v>0</v>
      </c>
      <c r="I128" s="17">
        <v>280</v>
      </c>
      <c r="J128" s="17">
        <f>+H128*I128</f>
        <v>0</v>
      </c>
      <c r="K128" s="17"/>
      <c r="L128" s="16" t="s">
        <v>27</v>
      </c>
      <c r="M128" s="16" t="s">
        <v>22</v>
      </c>
      <c r="N128" s="39" t="s">
        <v>418</v>
      </c>
    </row>
    <row r="129" spans="1:14" s="12" customFormat="1" ht="18">
      <c r="A129" s="180" t="s">
        <v>62</v>
      </c>
      <c r="B129" s="77" t="s">
        <v>1159</v>
      </c>
      <c r="C129" s="70" t="s">
        <v>17</v>
      </c>
      <c r="D129" s="210"/>
      <c r="E129" s="210"/>
      <c r="F129" s="210"/>
      <c r="G129" s="210"/>
      <c r="H129" s="406">
        <f>SUM(Tabla132112414[[#This Row],[PRIMER TRIMESTRE]:[CUARTO TRIMESTRE]])</f>
        <v>0</v>
      </c>
      <c r="I129" s="17">
        <v>377</v>
      </c>
      <c r="J129" s="17">
        <f>+H129*I129</f>
        <v>0</v>
      </c>
      <c r="K129" s="17"/>
      <c r="L129" s="16" t="s">
        <v>27</v>
      </c>
      <c r="M129" s="16" t="s">
        <v>22</v>
      </c>
      <c r="N129" s="39" t="s">
        <v>418</v>
      </c>
    </row>
    <row r="130" spans="1:14" s="12" customFormat="1" ht="18">
      <c r="A130" s="180" t="s">
        <v>62</v>
      </c>
      <c r="B130" s="75" t="s">
        <v>78</v>
      </c>
      <c r="C130" s="39" t="s">
        <v>17</v>
      </c>
      <c r="D130" s="236"/>
      <c r="E130" s="236"/>
      <c r="F130" s="236"/>
      <c r="G130" s="236"/>
      <c r="H130" s="40">
        <f>SUM(Tabla132112414[[#This Row],[PRIMER TRIMESTRE]:[CUARTO TRIMESTRE]])</f>
        <v>0</v>
      </c>
      <c r="I130" s="17">
        <v>377</v>
      </c>
      <c r="J130" s="17">
        <f>+Tabla132112414[[#This Row],[CANTIDAD TOTAL]]*Tabla132112414[[#This Row],[PRECIO UNITARIO ESTIMADO]]</f>
        <v>0</v>
      </c>
      <c r="K130" s="17"/>
      <c r="L130" s="16" t="s">
        <v>27</v>
      </c>
      <c r="M130" s="16" t="s">
        <v>22</v>
      </c>
      <c r="N130" s="39" t="s">
        <v>418</v>
      </c>
    </row>
    <row r="131" spans="1:14" s="12" customFormat="1" ht="18">
      <c r="A131" s="180" t="s">
        <v>62</v>
      </c>
      <c r="B131" s="75" t="s">
        <v>1179</v>
      </c>
      <c r="C131" s="39" t="s">
        <v>17</v>
      </c>
      <c r="D131" s="236"/>
      <c r="E131" s="236"/>
      <c r="F131" s="236"/>
      <c r="G131" s="236"/>
      <c r="H131" s="40">
        <f>SUM(Tabla132112414[[#This Row],[PRIMER TRIMESTRE]:[CUARTO TRIMESTRE]])</f>
        <v>0</v>
      </c>
      <c r="I131" s="17">
        <v>350</v>
      </c>
      <c r="J131" s="17">
        <f t="shared" ref="J131:J138" si="2">+H131*I131</f>
        <v>0</v>
      </c>
      <c r="K131" s="17"/>
      <c r="L131" s="16" t="s">
        <v>27</v>
      </c>
      <c r="M131" s="16" t="s">
        <v>22</v>
      </c>
      <c r="N131" s="39" t="s">
        <v>418</v>
      </c>
    </row>
    <row r="132" spans="1:14" s="12" customFormat="1" ht="18">
      <c r="A132" s="180" t="s">
        <v>62</v>
      </c>
      <c r="B132" s="75" t="s">
        <v>1180</v>
      </c>
      <c r="C132" s="39" t="s">
        <v>17</v>
      </c>
      <c r="D132" s="236"/>
      <c r="E132" s="236"/>
      <c r="F132" s="236"/>
      <c r="G132" s="236"/>
      <c r="H132" s="40">
        <f>SUM(Tabla132112414[[#This Row],[PRIMER TRIMESTRE]:[CUARTO TRIMESTRE]])</f>
        <v>0</v>
      </c>
      <c r="I132" s="17">
        <v>350</v>
      </c>
      <c r="J132" s="17">
        <f t="shared" si="2"/>
        <v>0</v>
      </c>
      <c r="K132" s="17"/>
      <c r="L132" s="16" t="s">
        <v>27</v>
      </c>
      <c r="M132" s="16" t="s">
        <v>22</v>
      </c>
      <c r="N132" s="39" t="s">
        <v>418</v>
      </c>
    </row>
    <row r="133" spans="1:14" s="12" customFormat="1" ht="18">
      <c r="A133" s="180" t="s">
        <v>62</v>
      </c>
      <c r="B133" s="75" t="s">
        <v>1557</v>
      </c>
      <c r="C133" s="39" t="s">
        <v>17</v>
      </c>
      <c r="D133" s="236"/>
      <c r="E133" s="236"/>
      <c r="F133" s="236"/>
      <c r="G133" s="236"/>
      <c r="H133" s="40">
        <f>SUM(Tabla132112414[[#This Row],[PRIMER TRIMESTRE]:[CUARTO TRIMESTRE]])</f>
        <v>0</v>
      </c>
      <c r="I133" s="17">
        <v>220.66</v>
      </c>
      <c r="J133" s="17">
        <f t="shared" si="2"/>
        <v>0</v>
      </c>
      <c r="K133" s="17"/>
      <c r="L133" s="16" t="s">
        <v>27</v>
      </c>
      <c r="M133" s="16" t="s">
        <v>22</v>
      </c>
      <c r="N133" s="39" t="s">
        <v>418</v>
      </c>
    </row>
    <row r="134" spans="1:14" s="12" customFormat="1" ht="18">
      <c r="A134" s="180" t="s">
        <v>62</v>
      </c>
      <c r="B134" s="75" t="s">
        <v>1558</v>
      </c>
      <c r="C134" s="39" t="s">
        <v>17</v>
      </c>
      <c r="D134" s="236"/>
      <c r="E134" s="236"/>
      <c r="F134" s="236"/>
      <c r="G134" s="236"/>
      <c r="H134" s="40">
        <f>SUM(Tabla132112414[[#This Row],[PRIMER TRIMESTRE]:[CUARTO TRIMESTRE]])</f>
        <v>0</v>
      </c>
      <c r="I134" s="17">
        <v>353.52</v>
      </c>
      <c r="J134" s="17">
        <f t="shared" si="2"/>
        <v>0</v>
      </c>
      <c r="K134" s="17"/>
      <c r="L134" s="16" t="s">
        <v>27</v>
      </c>
      <c r="M134" s="16" t="s">
        <v>22</v>
      </c>
      <c r="N134" s="39" t="s">
        <v>418</v>
      </c>
    </row>
    <row r="135" spans="1:14" s="12" customFormat="1" ht="18">
      <c r="A135" s="180" t="s">
        <v>62</v>
      </c>
      <c r="B135" s="75" t="s">
        <v>1560</v>
      </c>
      <c r="C135" s="39" t="s">
        <v>17</v>
      </c>
      <c r="D135" s="236"/>
      <c r="E135" s="236"/>
      <c r="F135" s="236"/>
      <c r="G135" s="236"/>
      <c r="H135" s="40">
        <f>SUM(Tabla132112414[[#This Row],[PRIMER TRIMESTRE]:[CUARTO TRIMESTRE]])</f>
        <v>0</v>
      </c>
      <c r="I135" s="17">
        <v>147.30000000000001</v>
      </c>
      <c r="J135" s="17">
        <f t="shared" si="2"/>
        <v>0</v>
      </c>
      <c r="K135" s="17"/>
      <c r="L135" s="16" t="s">
        <v>27</v>
      </c>
      <c r="M135" s="16" t="s">
        <v>22</v>
      </c>
      <c r="N135" s="39" t="s">
        <v>418</v>
      </c>
    </row>
    <row r="136" spans="1:14" s="12" customFormat="1" ht="18">
      <c r="A136" s="180" t="s">
        <v>62</v>
      </c>
      <c r="B136" s="75" t="s">
        <v>1559</v>
      </c>
      <c r="C136" s="39" t="s">
        <v>17</v>
      </c>
      <c r="D136" s="236"/>
      <c r="E136" s="236"/>
      <c r="F136" s="236"/>
      <c r="G136" s="236"/>
      <c r="H136" s="40">
        <f>SUM(Tabla132112414[[#This Row],[PRIMER TRIMESTRE]:[CUARTO TRIMESTRE]])</f>
        <v>0</v>
      </c>
      <c r="I136" s="17">
        <v>6490.63</v>
      </c>
      <c r="J136" s="17">
        <f t="shared" si="2"/>
        <v>0</v>
      </c>
      <c r="K136" s="17"/>
      <c r="L136" s="16" t="s">
        <v>27</v>
      </c>
      <c r="M136" s="16" t="s">
        <v>22</v>
      </c>
      <c r="N136" s="39" t="s">
        <v>418</v>
      </c>
    </row>
    <row r="137" spans="1:14" s="12" customFormat="1" ht="18">
      <c r="A137" s="180" t="s">
        <v>62</v>
      </c>
      <c r="B137" s="75" t="s">
        <v>1554</v>
      </c>
      <c r="C137" s="39" t="s">
        <v>17</v>
      </c>
      <c r="D137" s="236"/>
      <c r="E137" s="236"/>
      <c r="F137" s="236"/>
      <c r="G137" s="236"/>
      <c r="H137" s="40">
        <f>SUM(Tabla132112414[[#This Row],[PRIMER TRIMESTRE]:[CUARTO TRIMESTRE]])</f>
        <v>0</v>
      </c>
      <c r="I137" s="17">
        <v>597.1</v>
      </c>
      <c r="J137" s="17">
        <f t="shared" si="2"/>
        <v>0</v>
      </c>
      <c r="K137" s="17"/>
      <c r="L137" s="16" t="s">
        <v>27</v>
      </c>
      <c r="M137" s="16" t="s">
        <v>22</v>
      </c>
      <c r="N137" s="39" t="s">
        <v>418</v>
      </c>
    </row>
    <row r="138" spans="1:14" s="12" customFormat="1" ht="18">
      <c r="A138" s="180" t="s">
        <v>62</v>
      </c>
      <c r="B138" s="75" t="s">
        <v>923</v>
      </c>
      <c r="C138" s="39" t="s">
        <v>17</v>
      </c>
      <c r="D138" s="236"/>
      <c r="E138" s="236"/>
      <c r="F138" s="236"/>
      <c r="G138" s="236"/>
      <c r="H138" s="40">
        <f>SUM(Tabla132112414[[#This Row],[PRIMER TRIMESTRE]:[CUARTO TRIMESTRE]])</f>
        <v>0</v>
      </c>
      <c r="I138" s="17">
        <v>5000</v>
      </c>
      <c r="J138" s="17">
        <f t="shared" si="2"/>
        <v>0</v>
      </c>
      <c r="K138" s="17"/>
      <c r="L138" s="16" t="s">
        <v>27</v>
      </c>
      <c r="M138" s="16" t="s">
        <v>22</v>
      </c>
      <c r="N138" s="39" t="s">
        <v>418</v>
      </c>
    </row>
    <row r="139" spans="1:14" s="12" customFormat="1" ht="18">
      <c r="A139" s="180" t="s">
        <v>62</v>
      </c>
      <c r="B139" s="77" t="s">
        <v>437</v>
      </c>
      <c r="C139" s="70" t="s">
        <v>17</v>
      </c>
      <c r="D139" s="210"/>
      <c r="E139" s="210"/>
      <c r="F139" s="210"/>
      <c r="G139" s="210"/>
      <c r="H139" s="406">
        <f>SUM(Tabla132112414[[#This Row],[PRIMER TRIMESTRE]:[CUARTO TRIMESTRE]])</f>
        <v>0</v>
      </c>
      <c r="I139" s="17">
        <v>125</v>
      </c>
      <c r="J139" s="17">
        <f>+Tabla132112414[[#This Row],[CANTIDAD TOTAL]]*Tabla132112414[[#This Row],[PRECIO UNITARIO ESTIMADO]]</f>
        <v>0</v>
      </c>
      <c r="K139" s="17"/>
      <c r="L139" s="16" t="s">
        <v>27</v>
      </c>
      <c r="M139" s="16" t="s">
        <v>22</v>
      </c>
      <c r="N139" s="39" t="s">
        <v>418</v>
      </c>
    </row>
    <row r="140" spans="1:14" s="12" customFormat="1" ht="18">
      <c r="A140" s="180" t="s">
        <v>62</v>
      </c>
      <c r="B140" s="77" t="s">
        <v>438</v>
      </c>
      <c r="C140" s="70" t="s">
        <v>17</v>
      </c>
      <c r="D140" s="210"/>
      <c r="E140" s="210"/>
      <c r="F140" s="210"/>
      <c r="G140" s="210"/>
      <c r="H140" s="406">
        <f>SUM(Tabla132112414[[#This Row],[PRIMER TRIMESTRE]:[CUARTO TRIMESTRE]])</f>
        <v>0</v>
      </c>
      <c r="I140" s="17">
        <v>80</v>
      </c>
      <c r="J140" s="17">
        <f>+Tabla132112414[[#This Row],[CANTIDAD TOTAL]]*Tabla132112414[[#This Row],[PRECIO UNITARIO ESTIMADO]]</f>
        <v>0</v>
      </c>
      <c r="K140" s="17"/>
      <c r="L140" s="16" t="s">
        <v>27</v>
      </c>
      <c r="M140" s="16" t="s">
        <v>22</v>
      </c>
      <c r="N140" s="39" t="s">
        <v>418</v>
      </c>
    </row>
    <row r="141" spans="1:14" s="12" customFormat="1" ht="18">
      <c r="A141" s="180" t="s">
        <v>62</v>
      </c>
      <c r="B141" s="77" t="s">
        <v>430</v>
      </c>
      <c r="C141" s="70" t="s">
        <v>17</v>
      </c>
      <c r="D141" s="210"/>
      <c r="E141" s="210"/>
      <c r="F141" s="210"/>
      <c r="G141" s="210"/>
      <c r="H141" s="406">
        <f>SUM(Tabla132112414[[#This Row],[PRIMER TRIMESTRE]:[CUARTO TRIMESTRE]])</f>
        <v>0</v>
      </c>
      <c r="I141" s="17">
        <v>46.8</v>
      </c>
      <c r="J141" s="17">
        <f>+Tabla132112414[[#This Row],[CANTIDAD TOTAL]]*Tabla132112414[[#This Row],[PRECIO UNITARIO ESTIMADO]]</f>
        <v>0</v>
      </c>
      <c r="K141" s="17"/>
      <c r="L141" s="16" t="s">
        <v>27</v>
      </c>
      <c r="M141" s="16" t="s">
        <v>22</v>
      </c>
      <c r="N141" s="39" t="s">
        <v>418</v>
      </c>
    </row>
    <row r="142" spans="1:14" s="12" customFormat="1" ht="18">
      <c r="A142" s="180" t="s">
        <v>62</v>
      </c>
      <c r="B142" s="77" t="s">
        <v>139</v>
      </c>
      <c r="C142" s="70" t="s">
        <v>17</v>
      </c>
      <c r="D142" s="210"/>
      <c r="E142" s="210"/>
      <c r="F142" s="210"/>
      <c r="G142" s="210"/>
      <c r="H142" s="406">
        <f>SUM(Tabla132112414[[#This Row],[PRIMER TRIMESTRE]:[CUARTO TRIMESTRE]])</f>
        <v>0</v>
      </c>
      <c r="I142" s="17">
        <v>180</v>
      </c>
      <c r="J142" s="17">
        <f>+Tabla132112414[[#This Row],[CANTIDAD TOTAL]]*Tabla132112414[[#This Row],[PRECIO UNITARIO ESTIMADO]]</f>
        <v>0</v>
      </c>
      <c r="K142" s="17"/>
      <c r="L142" s="16" t="s">
        <v>27</v>
      </c>
      <c r="M142" s="16" t="s">
        <v>22</v>
      </c>
      <c r="N142" s="39" t="s">
        <v>418</v>
      </c>
    </row>
    <row r="143" spans="1:14" s="12" customFormat="1" ht="18">
      <c r="A143" s="180" t="s">
        <v>62</v>
      </c>
      <c r="B143" s="75" t="s">
        <v>1170</v>
      </c>
      <c r="C143" s="39" t="s">
        <v>1162</v>
      </c>
      <c r="D143" s="236"/>
      <c r="E143" s="236"/>
      <c r="F143" s="236"/>
      <c r="G143" s="236"/>
      <c r="H143" s="40">
        <f>SUM(Tabla132112414[[#This Row],[PRIMER TRIMESTRE]:[CUARTO TRIMESTRE]])</f>
        <v>0</v>
      </c>
      <c r="I143" s="17">
        <v>11000</v>
      </c>
      <c r="J143" s="17">
        <f>+H143*I143</f>
        <v>0</v>
      </c>
      <c r="K143" s="17"/>
      <c r="L143" s="16" t="s">
        <v>27</v>
      </c>
      <c r="M143" s="16" t="s">
        <v>22</v>
      </c>
      <c r="N143" s="39" t="s">
        <v>418</v>
      </c>
    </row>
    <row r="144" spans="1:14" s="169" customFormat="1" ht="18">
      <c r="A144" s="180" t="s">
        <v>62</v>
      </c>
      <c r="B144" s="75" t="s">
        <v>1171</v>
      </c>
      <c r="C144" s="39" t="s">
        <v>1162</v>
      </c>
      <c r="D144" s="236"/>
      <c r="E144" s="236"/>
      <c r="F144" s="236"/>
      <c r="G144" s="236"/>
      <c r="H144" s="40">
        <f>SUM(Tabla132112414[[#This Row],[PRIMER TRIMESTRE]:[CUARTO TRIMESTRE]])</f>
        <v>0</v>
      </c>
      <c r="I144" s="17">
        <v>11000</v>
      </c>
      <c r="J144" s="17">
        <f>+H144*I144</f>
        <v>0</v>
      </c>
      <c r="K144" s="17"/>
      <c r="L144" s="16" t="s">
        <v>27</v>
      </c>
      <c r="M144" s="16" t="s">
        <v>22</v>
      </c>
      <c r="N144" s="39" t="s">
        <v>418</v>
      </c>
    </row>
    <row r="145" spans="1:14" s="169" customFormat="1" ht="18">
      <c r="A145" s="180" t="s">
        <v>62</v>
      </c>
      <c r="B145" s="75" t="s">
        <v>1344</v>
      </c>
      <c r="C145" s="70" t="s">
        <v>17</v>
      </c>
      <c r="D145" s="236"/>
      <c r="E145" s="236"/>
      <c r="F145" s="236"/>
      <c r="G145" s="236"/>
      <c r="H145" s="40">
        <f>SUM(Tabla132112414[[#This Row],[PRIMER TRIMESTRE]:[CUARTO TRIMESTRE]])</f>
        <v>0</v>
      </c>
      <c r="I145" s="17">
        <v>29.5</v>
      </c>
      <c r="J145" s="17">
        <f>+H145*I145</f>
        <v>0</v>
      </c>
      <c r="K145" s="17"/>
      <c r="L145" s="16" t="s">
        <v>27</v>
      </c>
      <c r="M145" s="16" t="s">
        <v>22</v>
      </c>
      <c r="N145" s="39" t="s">
        <v>418</v>
      </c>
    </row>
    <row r="146" spans="1:14" s="12" customFormat="1" ht="18">
      <c r="A146" s="180" t="s">
        <v>62</v>
      </c>
      <c r="B146" s="75" t="s">
        <v>1710</v>
      </c>
      <c r="C146" s="70" t="s">
        <v>17</v>
      </c>
      <c r="D146" s="236"/>
      <c r="E146" s="236"/>
      <c r="F146" s="236"/>
      <c r="G146" s="236"/>
      <c r="H146" s="40">
        <v>0</v>
      </c>
      <c r="I146" s="17">
        <v>0</v>
      </c>
      <c r="J146" s="17">
        <v>0</v>
      </c>
      <c r="K146" s="17"/>
      <c r="L146" s="16" t="s">
        <v>27</v>
      </c>
      <c r="M146" s="16" t="s">
        <v>22</v>
      </c>
      <c r="N146" s="70" t="s">
        <v>418</v>
      </c>
    </row>
    <row r="147" spans="1:14" s="12" customFormat="1" ht="18">
      <c r="A147" s="180" t="s">
        <v>62</v>
      </c>
      <c r="B147" s="77" t="s">
        <v>107</v>
      </c>
      <c r="C147" s="70" t="s">
        <v>17</v>
      </c>
      <c r="D147" s="210"/>
      <c r="E147" s="210"/>
      <c r="F147" s="210"/>
      <c r="G147" s="210"/>
      <c r="H147" s="406">
        <f>SUM(Tabla132112414[[#This Row],[PRIMER TRIMESTRE]:[CUARTO TRIMESTRE]])</f>
        <v>0</v>
      </c>
      <c r="I147" s="72">
        <v>86.24</v>
      </c>
      <c r="J147" s="72">
        <f>+Tabla132112414[[#This Row],[CANTIDAD TOTAL]]*Tabla132112414[[#This Row],[PRECIO UNITARIO ESTIMADO]]</f>
        <v>0</v>
      </c>
      <c r="K147" s="72"/>
      <c r="L147" s="16" t="s">
        <v>27</v>
      </c>
      <c r="M147" s="16" t="s">
        <v>22</v>
      </c>
      <c r="N147" s="70" t="s">
        <v>418</v>
      </c>
    </row>
    <row r="148" spans="1:14" s="12" customFormat="1" ht="18">
      <c r="A148" s="180" t="s">
        <v>62</v>
      </c>
      <c r="B148" s="77" t="s">
        <v>598</v>
      </c>
      <c r="C148" s="70" t="s">
        <v>17</v>
      </c>
      <c r="D148" s="210"/>
      <c r="E148" s="210"/>
      <c r="F148" s="210"/>
      <c r="G148" s="210"/>
      <c r="H148" s="406">
        <f>SUM(Tabla132112414[[#This Row],[PRIMER TRIMESTRE]:[CUARTO TRIMESTRE]])</f>
        <v>0</v>
      </c>
      <c r="I148" s="17">
        <v>153.05000000000001</v>
      </c>
      <c r="J148" s="17">
        <f>+Tabla132112414[[#This Row],[CANTIDAD TOTAL]]*Tabla132112414[[#This Row],[PRECIO UNITARIO ESTIMADO]]</f>
        <v>0</v>
      </c>
      <c r="K148" s="17"/>
      <c r="L148" s="16" t="s">
        <v>27</v>
      </c>
      <c r="M148" s="16" t="s">
        <v>22</v>
      </c>
      <c r="N148" s="39" t="s">
        <v>418</v>
      </c>
    </row>
    <row r="149" spans="1:14" s="12" customFormat="1" ht="18">
      <c r="A149" s="180" t="s">
        <v>62</v>
      </c>
      <c r="B149" s="77" t="s">
        <v>599</v>
      </c>
      <c r="C149" s="70" t="s">
        <v>17</v>
      </c>
      <c r="D149" s="210"/>
      <c r="E149" s="210"/>
      <c r="F149" s="210"/>
      <c r="G149" s="210"/>
      <c r="H149" s="406">
        <f>SUM(Tabla132112414[[#This Row],[PRIMER TRIMESTRE]:[CUARTO TRIMESTRE]])</f>
        <v>0</v>
      </c>
      <c r="I149" s="17">
        <v>72.88</v>
      </c>
      <c r="J149" s="17">
        <f>+H149*I149</f>
        <v>0</v>
      </c>
      <c r="K149" s="17"/>
      <c r="L149" s="16" t="s">
        <v>27</v>
      </c>
      <c r="M149" s="16" t="s">
        <v>22</v>
      </c>
      <c r="N149" s="39" t="s">
        <v>418</v>
      </c>
    </row>
    <row r="150" spans="1:14" s="12" customFormat="1" ht="18">
      <c r="A150" s="180" t="s">
        <v>62</v>
      </c>
      <c r="B150" s="77" t="s">
        <v>600</v>
      </c>
      <c r="C150" s="70" t="s">
        <v>17</v>
      </c>
      <c r="D150" s="210"/>
      <c r="E150" s="210"/>
      <c r="F150" s="210"/>
      <c r="G150" s="210"/>
      <c r="H150" s="406">
        <f>SUM(Tabla132112414[[#This Row],[PRIMER TRIMESTRE]:[CUARTO TRIMESTRE]])</f>
        <v>0</v>
      </c>
      <c r="I150" s="17">
        <v>86</v>
      </c>
      <c r="J150" s="17">
        <f>+Tabla132112414[[#This Row],[CANTIDAD TOTAL]]*Tabla132112414[[#This Row],[PRECIO UNITARIO ESTIMADO]]</f>
        <v>0</v>
      </c>
      <c r="K150" s="17"/>
      <c r="L150" s="16" t="s">
        <v>27</v>
      </c>
      <c r="M150" s="16" t="s">
        <v>22</v>
      </c>
      <c r="N150" s="39" t="s">
        <v>418</v>
      </c>
    </row>
    <row r="151" spans="1:14" s="12" customFormat="1" ht="18">
      <c r="A151" s="180" t="s">
        <v>62</v>
      </c>
      <c r="B151" s="77" t="s">
        <v>601</v>
      </c>
      <c r="C151" s="70" t="s">
        <v>17</v>
      </c>
      <c r="D151" s="210"/>
      <c r="E151" s="210"/>
      <c r="F151" s="210"/>
      <c r="G151" s="210"/>
      <c r="H151" s="406">
        <f>SUM(Tabla132112414[[#This Row],[PRIMER TRIMESTRE]:[CUARTO TRIMESTRE]])</f>
        <v>0</v>
      </c>
      <c r="I151" s="17">
        <v>158.88</v>
      </c>
      <c r="J151" s="17">
        <f>+H151*I151</f>
        <v>0</v>
      </c>
      <c r="K151" s="17"/>
      <c r="L151" s="16" t="s">
        <v>27</v>
      </c>
      <c r="M151" s="16" t="s">
        <v>22</v>
      </c>
      <c r="N151" s="39" t="s">
        <v>418</v>
      </c>
    </row>
    <row r="152" spans="1:14" s="12" customFormat="1" ht="18">
      <c r="A152" s="180" t="s">
        <v>62</v>
      </c>
      <c r="B152" s="75" t="s">
        <v>1160</v>
      </c>
      <c r="C152" s="39" t="s">
        <v>1162</v>
      </c>
      <c r="D152" s="236"/>
      <c r="E152" s="236"/>
      <c r="F152" s="236"/>
      <c r="G152" s="236"/>
      <c r="H152" s="40">
        <f>SUM(Tabla132112414[[#This Row],[PRIMER TRIMESTRE]:[CUARTO TRIMESTRE]])</f>
        <v>0</v>
      </c>
      <c r="I152" s="17">
        <v>2000</v>
      </c>
      <c r="J152" s="17">
        <f>+H152*I152</f>
        <v>0</v>
      </c>
      <c r="K152" s="17"/>
      <c r="L152" s="16" t="s">
        <v>27</v>
      </c>
      <c r="M152" s="16" t="s">
        <v>22</v>
      </c>
      <c r="N152" s="39" t="s">
        <v>418</v>
      </c>
    </row>
    <row r="153" spans="1:14" s="12" customFormat="1" ht="18">
      <c r="A153" s="180" t="s">
        <v>62</v>
      </c>
      <c r="B153" s="75" t="s">
        <v>1161</v>
      </c>
      <c r="C153" s="39" t="s">
        <v>1162</v>
      </c>
      <c r="D153" s="236"/>
      <c r="E153" s="236"/>
      <c r="F153" s="236"/>
      <c r="G153" s="236"/>
      <c r="H153" s="40">
        <f>SUM(Tabla132112414[[#This Row],[PRIMER TRIMESTRE]:[CUARTO TRIMESTRE]])</f>
        <v>0</v>
      </c>
      <c r="I153" s="17">
        <v>2000</v>
      </c>
      <c r="J153" s="17">
        <f>+H153*I153</f>
        <v>0</v>
      </c>
      <c r="K153" s="17"/>
      <c r="L153" s="16" t="s">
        <v>27</v>
      </c>
      <c r="M153" s="16" t="s">
        <v>22</v>
      </c>
      <c r="N153" s="39" t="s">
        <v>418</v>
      </c>
    </row>
    <row r="154" spans="1:14" s="12" customFormat="1" ht="18">
      <c r="A154" s="180" t="s">
        <v>62</v>
      </c>
      <c r="B154" s="75" t="s">
        <v>1849</v>
      </c>
      <c r="C154" s="39" t="s">
        <v>17</v>
      </c>
      <c r="D154" s="236"/>
      <c r="E154" s="236"/>
      <c r="F154" s="236"/>
      <c r="G154" s="236"/>
      <c r="H154" s="40">
        <v>0</v>
      </c>
      <c r="I154" s="17">
        <v>0</v>
      </c>
      <c r="J154" s="17">
        <v>0</v>
      </c>
      <c r="K154" s="17"/>
      <c r="L154" s="16" t="s">
        <v>27</v>
      </c>
      <c r="M154" s="16" t="s">
        <v>22</v>
      </c>
      <c r="N154" s="39" t="s">
        <v>418</v>
      </c>
    </row>
    <row r="155" spans="1:14" s="12" customFormat="1" ht="18">
      <c r="A155" s="180" t="s">
        <v>62</v>
      </c>
      <c r="B155" s="77" t="s">
        <v>1705</v>
      </c>
      <c r="C155" s="70" t="s">
        <v>17</v>
      </c>
      <c r="D155" s="236"/>
      <c r="E155" s="236"/>
      <c r="F155" s="236"/>
      <c r="G155" s="236"/>
      <c r="H155" s="40">
        <v>0</v>
      </c>
      <c r="I155" s="17">
        <v>0</v>
      </c>
      <c r="J155" s="17">
        <v>0</v>
      </c>
      <c r="K155" s="17"/>
      <c r="L155" s="16" t="s">
        <v>27</v>
      </c>
      <c r="M155" s="16" t="s">
        <v>22</v>
      </c>
      <c r="N155" s="39" t="s">
        <v>418</v>
      </c>
    </row>
    <row r="156" spans="1:14" s="12" customFormat="1" ht="18">
      <c r="A156" s="180" t="s">
        <v>62</v>
      </c>
      <c r="B156" s="77" t="s">
        <v>144</v>
      </c>
      <c r="C156" s="70" t="s">
        <v>17</v>
      </c>
      <c r="D156" s="210"/>
      <c r="E156" s="210"/>
      <c r="F156" s="210"/>
      <c r="G156" s="210"/>
      <c r="H156" s="406">
        <f>SUM(Tabla132112414[[#This Row],[PRIMER TRIMESTRE]:[CUARTO TRIMESTRE]])</f>
        <v>0</v>
      </c>
      <c r="I156" s="17">
        <v>62.87</v>
      </c>
      <c r="J156" s="17">
        <f>+Tabla132112414[[#This Row],[CANTIDAD TOTAL]]*Tabla132112414[[#This Row],[PRECIO UNITARIO ESTIMADO]]</f>
        <v>0</v>
      </c>
      <c r="K156" s="17"/>
      <c r="L156" s="16" t="s">
        <v>27</v>
      </c>
      <c r="M156" s="16" t="s">
        <v>22</v>
      </c>
      <c r="N156" s="39" t="s">
        <v>418</v>
      </c>
    </row>
    <row r="157" spans="1:14" s="12" customFormat="1" ht="18">
      <c r="A157" s="180" t="s">
        <v>62</v>
      </c>
      <c r="B157" s="77" t="s">
        <v>1707</v>
      </c>
      <c r="C157" s="70" t="s">
        <v>17</v>
      </c>
      <c r="D157" s="210"/>
      <c r="E157" s="210"/>
      <c r="F157" s="210"/>
      <c r="G157" s="210"/>
      <c r="H157" s="406">
        <v>0</v>
      </c>
      <c r="I157" s="17">
        <v>0</v>
      </c>
      <c r="J157" s="17">
        <v>0</v>
      </c>
      <c r="K157" s="17"/>
      <c r="L157" s="16" t="s">
        <v>27</v>
      </c>
      <c r="M157" s="16" t="s">
        <v>22</v>
      </c>
      <c r="N157" s="39" t="s">
        <v>418</v>
      </c>
    </row>
    <row r="158" spans="1:14" s="12" customFormat="1" ht="18">
      <c r="A158" s="180" t="s">
        <v>62</v>
      </c>
      <c r="B158" s="77" t="s">
        <v>1708</v>
      </c>
      <c r="C158" s="70" t="s">
        <v>17</v>
      </c>
      <c r="D158" s="210"/>
      <c r="E158" s="210"/>
      <c r="F158" s="210"/>
      <c r="G158" s="210"/>
      <c r="H158" s="406">
        <v>0</v>
      </c>
      <c r="I158" s="17">
        <v>0</v>
      </c>
      <c r="J158" s="17">
        <v>0</v>
      </c>
      <c r="K158" s="17"/>
      <c r="L158" s="16" t="s">
        <v>27</v>
      </c>
      <c r="M158" s="16" t="s">
        <v>22</v>
      </c>
      <c r="N158" s="39" t="s">
        <v>418</v>
      </c>
    </row>
    <row r="159" spans="1:14" s="12" customFormat="1" ht="18">
      <c r="A159" s="180" t="s">
        <v>62</v>
      </c>
      <c r="B159" s="75" t="s">
        <v>1172</v>
      </c>
      <c r="C159" s="39" t="s">
        <v>1162</v>
      </c>
      <c r="D159" s="236"/>
      <c r="E159" s="236"/>
      <c r="F159" s="236"/>
      <c r="G159" s="236"/>
      <c r="H159" s="40">
        <f>SUM(Tabla132112414[[#This Row],[PRIMER TRIMESTRE]:[CUARTO TRIMESTRE]])</f>
        <v>0</v>
      </c>
      <c r="I159" s="17">
        <v>7800</v>
      </c>
      <c r="J159" s="17">
        <f t="shared" ref="J159:J168" si="3">+H159*I159</f>
        <v>0</v>
      </c>
      <c r="K159" s="17"/>
      <c r="L159" s="16" t="s">
        <v>27</v>
      </c>
      <c r="M159" s="16" t="s">
        <v>22</v>
      </c>
      <c r="N159" s="39" t="s">
        <v>418</v>
      </c>
    </row>
    <row r="160" spans="1:14" s="12" customFormat="1" ht="18">
      <c r="A160" s="180" t="s">
        <v>62</v>
      </c>
      <c r="B160" s="75" t="s">
        <v>1173</v>
      </c>
      <c r="C160" s="39" t="s">
        <v>1162</v>
      </c>
      <c r="D160" s="236"/>
      <c r="E160" s="236"/>
      <c r="F160" s="236"/>
      <c r="G160" s="236"/>
      <c r="H160" s="40">
        <f>SUM(Tabla132112414[[#This Row],[PRIMER TRIMESTRE]:[CUARTO TRIMESTRE]])</f>
        <v>0</v>
      </c>
      <c r="I160" s="17">
        <v>7800</v>
      </c>
      <c r="J160" s="17">
        <f t="shared" si="3"/>
        <v>0</v>
      </c>
      <c r="K160" s="17"/>
      <c r="L160" s="16" t="s">
        <v>27</v>
      </c>
      <c r="M160" s="16" t="s">
        <v>22</v>
      </c>
      <c r="N160" s="39" t="s">
        <v>418</v>
      </c>
    </row>
    <row r="161" spans="1:14" s="12" customFormat="1" ht="18">
      <c r="A161" s="180" t="s">
        <v>62</v>
      </c>
      <c r="B161" s="75" t="s">
        <v>1174</v>
      </c>
      <c r="C161" s="39" t="s">
        <v>17</v>
      </c>
      <c r="D161" s="236"/>
      <c r="E161" s="236"/>
      <c r="F161" s="236"/>
      <c r="G161" s="236"/>
      <c r="H161" s="40">
        <f>SUM(Tabla132112414[[#This Row],[PRIMER TRIMESTRE]:[CUARTO TRIMESTRE]])</f>
        <v>0</v>
      </c>
      <c r="I161" s="17">
        <v>5500</v>
      </c>
      <c r="J161" s="17">
        <f t="shared" si="3"/>
        <v>0</v>
      </c>
      <c r="K161" s="17"/>
      <c r="L161" s="16" t="s">
        <v>27</v>
      </c>
      <c r="M161" s="16" t="s">
        <v>22</v>
      </c>
      <c r="N161" s="39" t="s">
        <v>418</v>
      </c>
    </row>
    <row r="162" spans="1:14" s="12" customFormat="1" ht="18">
      <c r="A162" s="180" t="s">
        <v>62</v>
      </c>
      <c r="B162" s="75" t="s">
        <v>1175</v>
      </c>
      <c r="C162" s="39" t="s">
        <v>17</v>
      </c>
      <c r="D162" s="236"/>
      <c r="E162" s="236"/>
      <c r="F162" s="236"/>
      <c r="G162" s="236"/>
      <c r="H162" s="40">
        <f>SUM(Tabla132112414[[#This Row],[PRIMER TRIMESTRE]:[CUARTO TRIMESTRE]])</f>
        <v>0</v>
      </c>
      <c r="I162" s="17">
        <v>7000</v>
      </c>
      <c r="J162" s="17">
        <f t="shared" si="3"/>
        <v>0</v>
      </c>
      <c r="K162" s="17"/>
      <c r="L162" s="16" t="s">
        <v>27</v>
      </c>
      <c r="M162" s="16" t="s">
        <v>22</v>
      </c>
      <c r="N162" s="39" t="s">
        <v>418</v>
      </c>
    </row>
    <row r="163" spans="1:14" s="12" customFormat="1" ht="18">
      <c r="A163" s="180" t="s">
        <v>62</v>
      </c>
      <c r="B163" s="75" t="s">
        <v>1176</v>
      </c>
      <c r="C163" s="39" t="s">
        <v>17</v>
      </c>
      <c r="D163" s="236"/>
      <c r="E163" s="236"/>
      <c r="F163" s="236"/>
      <c r="G163" s="236"/>
      <c r="H163" s="40">
        <f>SUM(Tabla132112414[[#This Row],[PRIMER TRIMESTRE]:[CUARTO TRIMESTRE]])</f>
        <v>0</v>
      </c>
      <c r="I163" s="17">
        <v>9000</v>
      </c>
      <c r="J163" s="17">
        <f t="shared" si="3"/>
        <v>0</v>
      </c>
      <c r="K163" s="17"/>
      <c r="L163" s="16" t="s">
        <v>27</v>
      </c>
      <c r="M163" s="16" t="s">
        <v>22</v>
      </c>
      <c r="N163" s="39" t="s">
        <v>418</v>
      </c>
    </row>
    <row r="164" spans="1:14" s="12" customFormat="1" ht="18">
      <c r="A164" s="180" t="s">
        <v>62</v>
      </c>
      <c r="B164" s="75" t="s">
        <v>1177</v>
      </c>
      <c r="C164" s="39" t="s">
        <v>17</v>
      </c>
      <c r="D164" s="236"/>
      <c r="E164" s="236"/>
      <c r="F164" s="236"/>
      <c r="G164" s="236"/>
      <c r="H164" s="40">
        <f>SUM(Tabla132112414[[#This Row],[PRIMER TRIMESTRE]:[CUARTO TRIMESTRE]])</f>
        <v>0</v>
      </c>
      <c r="I164" s="17">
        <v>11600</v>
      </c>
      <c r="J164" s="17">
        <f t="shared" si="3"/>
        <v>0</v>
      </c>
      <c r="K164" s="17"/>
      <c r="L164" s="16" t="s">
        <v>27</v>
      </c>
      <c r="M164" s="16" t="s">
        <v>22</v>
      </c>
      <c r="N164" s="39" t="s">
        <v>418</v>
      </c>
    </row>
    <row r="165" spans="1:14" s="12" customFormat="1" ht="18">
      <c r="A165" s="180" t="s">
        <v>62</v>
      </c>
      <c r="B165" s="75" t="s">
        <v>1178</v>
      </c>
      <c r="C165" s="39" t="s">
        <v>17</v>
      </c>
      <c r="D165" s="236"/>
      <c r="E165" s="236"/>
      <c r="F165" s="236"/>
      <c r="G165" s="236"/>
      <c r="H165" s="40">
        <f>SUM(Tabla132112414[[#This Row],[PRIMER TRIMESTRE]:[CUARTO TRIMESTRE]])</f>
        <v>0</v>
      </c>
      <c r="I165" s="17">
        <v>11600</v>
      </c>
      <c r="J165" s="17">
        <f t="shared" si="3"/>
        <v>0</v>
      </c>
      <c r="K165" s="17"/>
      <c r="L165" s="16" t="s">
        <v>27</v>
      </c>
      <c r="M165" s="16" t="s">
        <v>22</v>
      </c>
      <c r="N165" s="39" t="s">
        <v>418</v>
      </c>
    </row>
    <row r="166" spans="1:14" s="12" customFormat="1" ht="18">
      <c r="A166" s="180" t="s">
        <v>62</v>
      </c>
      <c r="B166" s="75" t="s">
        <v>1163</v>
      </c>
      <c r="C166" s="39" t="s">
        <v>17</v>
      </c>
      <c r="D166" s="236"/>
      <c r="E166" s="236"/>
      <c r="F166" s="236"/>
      <c r="G166" s="236"/>
      <c r="H166" s="40">
        <f>SUM(Tabla132112414[[#This Row],[PRIMER TRIMESTRE]:[CUARTO TRIMESTRE]])</f>
        <v>0</v>
      </c>
      <c r="I166" s="17">
        <v>400</v>
      </c>
      <c r="J166" s="17">
        <f t="shared" si="3"/>
        <v>0</v>
      </c>
      <c r="K166" s="17"/>
      <c r="L166" s="16" t="s">
        <v>27</v>
      </c>
      <c r="M166" s="16" t="s">
        <v>22</v>
      </c>
      <c r="N166" s="39" t="s">
        <v>418</v>
      </c>
    </row>
    <row r="167" spans="1:14" s="12" customFormat="1" ht="18">
      <c r="A167" s="180" t="s">
        <v>62</v>
      </c>
      <c r="B167" s="75" t="s">
        <v>1164</v>
      </c>
      <c r="C167" s="39" t="s">
        <v>17</v>
      </c>
      <c r="D167" s="236"/>
      <c r="E167" s="236"/>
      <c r="F167" s="236"/>
      <c r="G167" s="236"/>
      <c r="H167" s="40">
        <f>SUM(Tabla132112414[[#This Row],[PRIMER TRIMESTRE]:[CUARTO TRIMESTRE]])</f>
        <v>0</v>
      </c>
      <c r="I167" s="17">
        <v>650</v>
      </c>
      <c r="J167" s="17">
        <f t="shared" si="3"/>
        <v>0</v>
      </c>
      <c r="K167" s="17"/>
      <c r="L167" s="16" t="s">
        <v>27</v>
      </c>
      <c r="M167" s="16" t="s">
        <v>22</v>
      </c>
      <c r="N167" s="39" t="s">
        <v>418</v>
      </c>
    </row>
    <row r="168" spans="1:14" s="12" customFormat="1" ht="18">
      <c r="A168" s="180" t="s">
        <v>62</v>
      </c>
      <c r="B168" s="75" t="s">
        <v>1165</v>
      </c>
      <c r="C168" s="39" t="s">
        <v>17</v>
      </c>
      <c r="D168" s="236"/>
      <c r="E168" s="236"/>
      <c r="F168" s="236"/>
      <c r="G168" s="236"/>
      <c r="H168" s="40">
        <f>SUM(Tabla132112414[[#This Row],[PRIMER TRIMESTRE]:[CUARTO TRIMESTRE]])</f>
        <v>0</v>
      </c>
      <c r="I168" s="17">
        <v>1300</v>
      </c>
      <c r="J168" s="17">
        <f t="shared" si="3"/>
        <v>0</v>
      </c>
      <c r="K168" s="17"/>
      <c r="L168" s="16" t="s">
        <v>27</v>
      </c>
      <c r="M168" s="16" t="s">
        <v>22</v>
      </c>
      <c r="N168" s="39" t="s">
        <v>418</v>
      </c>
    </row>
    <row r="169" spans="1:14" s="12" customFormat="1" ht="18">
      <c r="A169" s="180" t="s">
        <v>62</v>
      </c>
      <c r="B169" s="77" t="s">
        <v>158</v>
      </c>
      <c r="C169" s="70" t="s">
        <v>17</v>
      </c>
      <c r="D169" s="210"/>
      <c r="E169" s="210"/>
      <c r="F169" s="210"/>
      <c r="G169" s="210"/>
      <c r="H169" s="406">
        <f>SUM(Tabla132112414[[#This Row],[PRIMER TRIMESTRE]:[CUARTO TRIMESTRE]])</f>
        <v>0</v>
      </c>
      <c r="I169" s="17">
        <v>1120</v>
      </c>
      <c r="J169" s="17">
        <f>+Tabla132112414[[#This Row],[CANTIDAD TOTAL]]*Tabla132112414[[#This Row],[PRECIO UNITARIO ESTIMADO]]</f>
        <v>0</v>
      </c>
      <c r="K169" s="17"/>
      <c r="L169" s="16" t="s">
        <v>27</v>
      </c>
      <c r="M169" s="16" t="s">
        <v>22</v>
      </c>
      <c r="N169" s="39" t="s">
        <v>418</v>
      </c>
    </row>
    <row r="170" spans="1:14" s="12" customFormat="1" ht="18">
      <c r="A170" s="180" t="s">
        <v>62</v>
      </c>
      <c r="B170" s="77" t="s">
        <v>1287</v>
      </c>
      <c r="C170" s="70" t="s">
        <v>17</v>
      </c>
      <c r="D170" s="210"/>
      <c r="E170" s="210"/>
      <c r="F170" s="210"/>
      <c r="G170" s="210"/>
      <c r="H170" s="406">
        <f>SUM(Tabla132112414[[#This Row],[PRIMER TRIMESTRE]:[CUARTO TRIMESTRE]])</f>
        <v>0</v>
      </c>
      <c r="I170" s="17">
        <v>2700</v>
      </c>
      <c r="J170" s="17">
        <f>+H170*I170</f>
        <v>0</v>
      </c>
      <c r="K170" s="17"/>
      <c r="L170" s="16" t="s">
        <v>27</v>
      </c>
      <c r="M170" s="16" t="s">
        <v>22</v>
      </c>
      <c r="N170" s="39" t="s">
        <v>418</v>
      </c>
    </row>
    <row r="171" spans="1:14" s="12" customFormat="1" ht="18">
      <c r="A171" s="180" t="s">
        <v>62</v>
      </c>
      <c r="B171" s="77" t="s">
        <v>160</v>
      </c>
      <c r="C171" s="70" t="s">
        <v>17</v>
      </c>
      <c r="D171" s="210"/>
      <c r="E171" s="210"/>
      <c r="F171" s="210"/>
      <c r="G171" s="210"/>
      <c r="H171" s="406">
        <f>SUM(Tabla132112414[[#This Row],[PRIMER TRIMESTRE]:[CUARTO TRIMESTRE]])</f>
        <v>0</v>
      </c>
      <c r="I171" s="17">
        <v>1908</v>
      </c>
      <c r="J171" s="17">
        <f>+Tabla132112414[[#This Row],[CANTIDAD TOTAL]]*Tabla132112414[[#This Row],[PRECIO UNITARIO ESTIMADO]]</f>
        <v>0</v>
      </c>
      <c r="K171" s="17"/>
      <c r="L171" s="16" t="s">
        <v>27</v>
      </c>
      <c r="M171" s="16" t="s">
        <v>22</v>
      </c>
      <c r="N171" s="39" t="s">
        <v>418</v>
      </c>
    </row>
    <row r="172" spans="1:14" s="12" customFormat="1" ht="18">
      <c r="A172" s="180" t="s">
        <v>62</v>
      </c>
      <c r="B172" s="77" t="s">
        <v>1545</v>
      </c>
      <c r="C172" s="70" t="s">
        <v>17</v>
      </c>
      <c r="D172" s="210"/>
      <c r="E172" s="210"/>
      <c r="F172" s="210"/>
      <c r="G172" s="210"/>
      <c r="H172" s="406">
        <f>SUM(Tabla132112414[[#This Row],[PRIMER TRIMESTRE]:[CUARTO TRIMESTRE]])</f>
        <v>0</v>
      </c>
      <c r="I172" s="17">
        <v>506.75</v>
      </c>
      <c r="J172" s="17">
        <f>+H172*I172</f>
        <v>0</v>
      </c>
      <c r="K172" s="17"/>
      <c r="L172" s="16" t="s">
        <v>27</v>
      </c>
      <c r="M172" s="16" t="s">
        <v>22</v>
      </c>
      <c r="N172" s="39" t="s">
        <v>418</v>
      </c>
    </row>
    <row r="173" spans="1:14" s="12" customFormat="1" ht="18">
      <c r="A173" s="180" t="s">
        <v>62</v>
      </c>
      <c r="B173" s="77" t="s">
        <v>162</v>
      </c>
      <c r="C173" s="70" t="s">
        <v>17</v>
      </c>
      <c r="D173" s="210"/>
      <c r="E173" s="210"/>
      <c r="F173" s="210"/>
      <c r="G173" s="210"/>
      <c r="H173" s="406">
        <f>SUM(Tabla132112414[[#This Row],[PRIMER TRIMESTRE]:[CUARTO TRIMESTRE]])</f>
        <v>0</v>
      </c>
      <c r="I173" s="17">
        <v>29</v>
      </c>
      <c r="J173" s="17">
        <f>+Tabla132112414[[#This Row],[CANTIDAD TOTAL]]*Tabla132112414[[#This Row],[PRECIO UNITARIO ESTIMADO]]</f>
        <v>0</v>
      </c>
      <c r="K173" s="17"/>
      <c r="L173" s="16" t="s">
        <v>27</v>
      </c>
      <c r="M173" s="16" t="s">
        <v>22</v>
      </c>
      <c r="N173" s="39" t="s">
        <v>418</v>
      </c>
    </row>
    <row r="174" spans="1:14" s="12" customFormat="1" ht="18">
      <c r="A174" s="180" t="s">
        <v>62</v>
      </c>
      <c r="B174" s="77" t="s">
        <v>368</v>
      </c>
      <c r="C174" s="70" t="s">
        <v>17</v>
      </c>
      <c r="D174" s="210"/>
      <c r="E174" s="210"/>
      <c r="F174" s="210"/>
      <c r="G174" s="210"/>
      <c r="H174" s="406">
        <f>SUM(Tabla132112414[[#This Row],[PRIMER TRIMESTRE]:[CUARTO TRIMESTRE]])</f>
        <v>0</v>
      </c>
      <c r="I174" s="17">
        <v>75.400000000000006</v>
      </c>
      <c r="J174" s="17">
        <f>+H174*I174</f>
        <v>0</v>
      </c>
      <c r="K174" s="17"/>
      <c r="L174" s="16" t="s">
        <v>27</v>
      </c>
      <c r="M174" s="16" t="s">
        <v>22</v>
      </c>
      <c r="N174" s="39" t="s">
        <v>418</v>
      </c>
    </row>
    <row r="175" spans="1:14" s="12" customFormat="1" ht="18">
      <c r="A175" s="180" t="s">
        <v>62</v>
      </c>
      <c r="B175" s="77" t="s">
        <v>602</v>
      </c>
      <c r="C175" s="70" t="s">
        <v>17</v>
      </c>
      <c r="D175" s="210"/>
      <c r="E175" s="210"/>
      <c r="F175" s="210"/>
      <c r="G175" s="210"/>
      <c r="H175" s="406">
        <f>SUM(Tabla132112414[[#This Row],[PRIMER TRIMESTRE]:[CUARTO TRIMESTRE]])</f>
        <v>0</v>
      </c>
      <c r="I175" s="17">
        <v>90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</row>
    <row r="176" spans="1:14" s="12" customFormat="1" ht="18">
      <c r="A176" s="180" t="s">
        <v>62</v>
      </c>
      <c r="B176" s="77" t="s">
        <v>164</v>
      </c>
      <c r="C176" s="70" t="s">
        <v>17</v>
      </c>
      <c r="D176" s="210"/>
      <c r="E176" s="210"/>
      <c r="F176" s="210"/>
      <c r="G176" s="210"/>
      <c r="H176" s="406">
        <f>SUM(Tabla132112414[[#This Row],[PRIMER TRIMESTRE]:[CUARTO TRIMESTRE]])</f>
        <v>0</v>
      </c>
      <c r="I176" s="17">
        <v>3419.05</v>
      </c>
      <c r="J176" s="17">
        <f>+Tabla132112414[[#This Row],[CANTIDAD TOTAL]]*Tabla132112414[[#This Row],[PRECIO UNITARIO ESTIMADO]]</f>
        <v>0</v>
      </c>
      <c r="K176" s="17"/>
      <c r="L176" s="16" t="s">
        <v>27</v>
      </c>
      <c r="M176" s="16" t="s">
        <v>22</v>
      </c>
      <c r="N176" s="39" t="s">
        <v>418</v>
      </c>
    </row>
    <row r="177" spans="1:14" s="12" customFormat="1" ht="18">
      <c r="A177" s="180" t="s">
        <v>62</v>
      </c>
      <c r="B177" s="75" t="s">
        <v>1166</v>
      </c>
      <c r="C177" s="39" t="s">
        <v>17</v>
      </c>
      <c r="D177" s="236"/>
      <c r="E177" s="236"/>
      <c r="F177" s="236"/>
      <c r="G177" s="236"/>
      <c r="H177" s="40">
        <f>SUM(Tabla132112414[[#This Row],[PRIMER TRIMESTRE]:[CUARTO TRIMESTRE]])</f>
        <v>0</v>
      </c>
      <c r="I177" s="17">
        <v>400</v>
      </c>
      <c r="J177" s="17">
        <f>+H177*I177</f>
        <v>0</v>
      </c>
      <c r="K177" s="17"/>
      <c r="L177" s="16" t="s">
        <v>27</v>
      </c>
      <c r="M177" s="16" t="s">
        <v>22</v>
      </c>
      <c r="N177" s="39" t="s">
        <v>418</v>
      </c>
    </row>
    <row r="178" spans="1:14" s="12" customFormat="1" ht="18">
      <c r="A178" s="180" t="s">
        <v>62</v>
      </c>
      <c r="B178" s="75" t="s">
        <v>1167</v>
      </c>
      <c r="C178" s="39" t="s">
        <v>17</v>
      </c>
      <c r="D178" s="236"/>
      <c r="E178" s="236"/>
      <c r="F178" s="236"/>
      <c r="G178" s="236"/>
      <c r="H178" s="40">
        <f>SUM(Tabla132112414[[#This Row],[PRIMER TRIMESTRE]:[CUARTO TRIMESTRE]])</f>
        <v>0</v>
      </c>
      <c r="I178" s="17">
        <v>1300</v>
      </c>
      <c r="J178" s="17">
        <f>+H178*I178</f>
        <v>0</v>
      </c>
      <c r="K178" s="17"/>
      <c r="L178" s="16" t="s">
        <v>27</v>
      </c>
      <c r="M178" s="16" t="s">
        <v>22</v>
      </c>
      <c r="N178" s="39" t="s">
        <v>418</v>
      </c>
    </row>
    <row r="179" spans="1:14" s="12" customFormat="1" ht="18">
      <c r="A179" s="180" t="s">
        <v>62</v>
      </c>
      <c r="B179" s="77" t="s">
        <v>462</v>
      </c>
      <c r="C179" s="70" t="s">
        <v>17</v>
      </c>
      <c r="D179" s="210"/>
      <c r="E179" s="210"/>
      <c r="F179" s="210"/>
      <c r="G179" s="210"/>
      <c r="H179" s="406">
        <f>SUM(Tabla132112414[[#This Row],[PRIMER TRIMESTRE]:[CUARTO TRIMESTRE]])</f>
        <v>0</v>
      </c>
      <c r="I179" s="17">
        <v>1896.06</v>
      </c>
      <c r="J179" s="17">
        <f>+H179*I179</f>
        <v>0</v>
      </c>
      <c r="K179" s="17"/>
      <c r="L179" s="16" t="s">
        <v>27</v>
      </c>
      <c r="M179" s="16" t="s">
        <v>22</v>
      </c>
      <c r="N179" s="39" t="s">
        <v>418</v>
      </c>
    </row>
    <row r="180" spans="1:14" s="12" customFormat="1" ht="18">
      <c r="A180" s="180" t="s">
        <v>62</v>
      </c>
      <c r="B180" s="77" t="s">
        <v>463</v>
      </c>
      <c r="C180" s="70" t="s">
        <v>17</v>
      </c>
      <c r="D180" s="210"/>
      <c r="E180" s="210"/>
      <c r="F180" s="210"/>
      <c r="G180" s="210"/>
      <c r="H180" s="406">
        <f>SUM(Tabla132112414[[#This Row],[PRIMER TRIMESTRE]:[CUARTO TRIMESTRE]])</f>
        <v>0</v>
      </c>
      <c r="I180" s="17">
        <v>2320</v>
      </c>
      <c r="J180" s="17">
        <f>+Tabla132112414[[#This Row],[CANTIDAD TOTAL]]*Tabla132112414[[#This Row],[PRECIO UNITARIO ESTIMADO]]</f>
        <v>0</v>
      </c>
      <c r="K180" s="17"/>
      <c r="L180" s="16" t="s">
        <v>27</v>
      </c>
      <c r="M180" s="16" t="s">
        <v>22</v>
      </c>
      <c r="N180" s="39" t="s">
        <v>418</v>
      </c>
    </row>
    <row r="181" spans="1:14" s="12" customFormat="1" ht="18">
      <c r="A181" s="180" t="s">
        <v>62</v>
      </c>
      <c r="B181" s="77" t="s">
        <v>465</v>
      </c>
      <c r="C181" s="70" t="s">
        <v>17</v>
      </c>
      <c r="D181" s="210"/>
      <c r="E181" s="210"/>
      <c r="F181" s="210"/>
      <c r="G181" s="210"/>
      <c r="H181" s="406">
        <f>SUM(Tabla132112414[[#This Row],[PRIMER TRIMESTRE]:[CUARTO TRIMESTRE]])</f>
        <v>0</v>
      </c>
      <c r="I181" s="17">
        <v>2682</v>
      </c>
      <c r="J181" s="17">
        <f>+Tabla132112414[[#This Row],[CANTIDAD TOTAL]]*Tabla132112414[[#This Row],[PRECIO UNITARIO ESTIMADO]]</f>
        <v>0</v>
      </c>
      <c r="K181" s="17"/>
      <c r="L181" s="16" t="s">
        <v>27</v>
      </c>
      <c r="M181" s="16" t="s">
        <v>22</v>
      </c>
      <c r="N181" s="39" t="s">
        <v>418</v>
      </c>
    </row>
    <row r="182" spans="1:14" s="12" customFormat="1" ht="18">
      <c r="A182" s="180" t="s">
        <v>62</v>
      </c>
      <c r="B182" s="77" t="s">
        <v>464</v>
      </c>
      <c r="C182" s="70" t="s">
        <v>17</v>
      </c>
      <c r="D182" s="210"/>
      <c r="E182" s="210"/>
      <c r="F182" s="210"/>
      <c r="G182" s="210"/>
      <c r="H182" s="406">
        <f>SUM(Tabla132112414[[#This Row],[PRIMER TRIMESTRE]:[CUARTO TRIMESTRE]])</f>
        <v>0</v>
      </c>
      <c r="I182" s="17">
        <v>50</v>
      </c>
      <c r="J182" s="17">
        <f>+Tabla132112414[[#This Row],[CANTIDAD TOTAL]]*Tabla132112414[[#This Row],[PRECIO UNITARIO ESTIMADO]]</f>
        <v>0</v>
      </c>
      <c r="K182" s="17"/>
      <c r="L182" s="16" t="s">
        <v>27</v>
      </c>
      <c r="M182" s="16" t="s">
        <v>22</v>
      </c>
      <c r="N182" s="39" t="s">
        <v>418</v>
      </c>
    </row>
    <row r="183" spans="1:14" s="12" customFormat="1" ht="18">
      <c r="A183" s="180" t="s">
        <v>62</v>
      </c>
      <c r="B183" s="77" t="s">
        <v>466</v>
      </c>
      <c r="C183" s="70" t="s">
        <v>17</v>
      </c>
      <c r="D183" s="210"/>
      <c r="E183" s="210"/>
      <c r="F183" s="210"/>
      <c r="G183" s="210"/>
      <c r="H183" s="406">
        <f>SUM(Tabla132112414[[#This Row],[PRIMER TRIMESTRE]:[CUARTO TRIMESTRE]])</f>
        <v>0</v>
      </c>
      <c r="I183" s="17">
        <v>1746.26</v>
      </c>
      <c r="J183" s="17">
        <f>+Tabla132112414[[#This Row],[CANTIDAD TOTAL]]*Tabla132112414[[#This Row],[PRECIO UNITARIO ESTIMADO]]</f>
        <v>0</v>
      </c>
      <c r="K183" s="17"/>
      <c r="L183" s="16" t="s">
        <v>27</v>
      </c>
      <c r="M183" s="16" t="s">
        <v>22</v>
      </c>
      <c r="N183" s="39" t="s">
        <v>418</v>
      </c>
    </row>
    <row r="184" spans="1:14" s="12" customFormat="1" ht="18">
      <c r="A184" s="180" t="s">
        <v>62</v>
      </c>
      <c r="B184" s="77" t="s">
        <v>1168</v>
      </c>
      <c r="C184" s="70" t="s">
        <v>17</v>
      </c>
      <c r="D184" s="210"/>
      <c r="E184" s="210"/>
      <c r="F184" s="210"/>
      <c r="G184" s="210"/>
      <c r="H184" s="406">
        <f>SUM(Tabla132112414[[#This Row],[PRIMER TRIMESTRE]:[CUARTO TRIMESTRE]])</f>
        <v>0</v>
      </c>
      <c r="I184" s="17">
        <v>6800</v>
      </c>
      <c r="J184" s="17">
        <f>+H184*I184</f>
        <v>0</v>
      </c>
      <c r="K184" s="17"/>
      <c r="L184" s="16" t="s">
        <v>27</v>
      </c>
      <c r="M184" s="16" t="s">
        <v>22</v>
      </c>
      <c r="N184" s="39" t="s">
        <v>418</v>
      </c>
    </row>
    <row r="185" spans="1:14" s="12" customFormat="1" ht="18">
      <c r="A185" s="180" t="s">
        <v>62</v>
      </c>
      <c r="B185" s="77" t="s">
        <v>170</v>
      </c>
      <c r="C185" s="70" t="s">
        <v>17</v>
      </c>
      <c r="D185" s="210"/>
      <c r="E185" s="210"/>
      <c r="F185" s="210"/>
      <c r="G185" s="210"/>
      <c r="H185" s="406">
        <f>SUM(Tabla132112414[[#This Row],[PRIMER TRIMESTRE]:[CUARTO TRIMESTRE]])</f>
        <v>0</v>
      </c>
      <c r="I185" s="17">
        <v>458.2</v>
      </c>
      <c r="J185" s="17">
        <f>+Tabla132112414[[#This Row],[CANTIDAD TOTAL]]*Tabla132112414[[#This Row],[PRECIO UNITARIO ESTIMADO]]</f>
        <v>0</v>
      </c>
      <c r="K185" s="17"/>
      <c r="L185" s="16" t="s">
        <v>27</v>
      </c>
      <c r="M185" s="16" t="s">
        <v>22</v>
      </c>
      <c r="N185" s="39" t="s">
        <v>418</v>
      </c>
    </row>
    <row r="186" spans="1:14" s="12" customFormat="1" ht="18">
      <c r="A186" s="180" t="s">
        <v>62</v>
      </c>
      <c r="B186" s="77" t="s">
        <v>172</v>
      </c>
      <c r="C186" s="70" t="s">
        <v>17</v>
      </c>
      <c r="D186" s="210"/>
      <c r="E186" s="210"/>
      <c r="F186" s="210"/>
      <c r="G186" s="210"/>
      <c r="H186" s="406">
        <f>SUM(Tabla132112414[[#This Row],[PRIMER TRIMESTRE]:[CUARTO TRIMESTRE]])</f>
        <v>0</v>
      </c>
      <c r="I186" s="17">
        <v>90</v>
      </c>
      <c r="J186" s="17">
        <f>+Tabla132112414[[#This Row],[CANTIDAD TOTAL]]*Tabla132112414[[#This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</row>
    <row r="187" spans="1:14" s="12" customFormat="1" ht="18">
      <c r="A187" s="180" t="s">
        <v>62</v>
      </c>
      <c r="B187" s="77" t="s">
        <v>732</v>
      </c>
      <c r="C187" s="70" t="s">
        <v>17</v>
      </c>
      <c r="D187" s="210"/>
      <c r="E187" s="210"/>
      <c r="F187" s="210"/>
      <c r="G187" s="210"/>
      <c r="H187" s="406">
        <f>SUM(Tabla132112414[[#This Row],[PRIMER TRIMESTRE]:[CUARTO TRIMESTRE]])</f>
        <v>0</v>
      </c>
      <c r="I187" s="72">
        <v>142.85</v>
      </c>
      <c r="J187" s="17">
        <f t="shared" ref="J187:J194" si="4">+H187*I187</f>
        <v>0</v>
      </c>
      <c r="K187" s="17"/>
      <c r="L187" s="16" t="s">
        <v>27</v>
      </c>
      <c r="M187" s="16" t="s">
        <v>22</v>
      </c>
      <c r="N187" s="39" t="s">
        <v>418</v>
      </c>
    </row>
    <row r="188" spans="1:14" s="12" customFormat="1" ht="18">
      <c r="A188" s="180" t="s">
        <v>62</v>
      </c>
      <c r="B188" s="77" t="s">
        <v>733</v>
      </c>
      <c r="C188" s="70" t="s">
        <v>17</v>
      </c>
      <c r="D188" s="210"/>
      <c r="E188" s="210"/>
      <c r="F188" s="210"/>
      <c r="G188" s="210"/>
      <c r="H188" s="406">
        <f>SUM(Tabla132112414[[#This Row],[PRIMER TRIMESTRE]:[CUARTO TRIMESTRE]])</f>
        <v>0</v>
      </c>
      <c r="I188" s="17">
        <v>39.56</v>
      </c>
      <c r="J188" s="17">
        <f t="shared" si="4"/>
        <v>0</v>
      </c>
      <c r="K188" s="17"/>
      <c r="L188" s="16" t="s">
        <v>27</v>
      </c>
      <c r="M188" s="16" t="s">
        <v>22</v>
      </c>
      <c r="N188" s="39" t="s">
        <v>418</v>
      </c>
    </row>
    <row r="189" spans="1:14" s="12" customFormat="1" ht="18">
      <c r="A189" s="180" t="s">
        <v>62</v>
      </c>
      <c r="B189" s="77" t="s">
        <v>734</v>
      </c>
      <c r="C189" s="70" t="s">
        <v>17</v>
      </c>
      <c r="D189" s="210"/>
      <c r="E189" s="210"/>
      <c r="F189" s="210"/>
      <c r="G189" s="210"/>
      <c r="H189" s="406">
        <f>SUM(Tabla132112414[[#This Row],[PRIMER TRIMESTRE]:[CUARTO TRIMESTRE]])</f>
        <v>0</v>
      </c>
      <c r="I189" s="17">
        <v>41.8</v>
      </c>
      <c r="J189" s="17">
        <f t="shared" si="4"/>
        <v>0</v>
      </c>
      <c r="K189" s="17"/>
      <c r="L189" s="16" t="s">
        <v>27</v>
      </c>
      <c r="M189" s="16" t="s">
        <v>22</v>
      </c>
      <c r="N189" s="39" t="s">
        <v>418</v>
      </c>
    </row>
    <row r="190" spans="1:14" s="12" customFormat="1" ht="18">
      <c r="A190" s="180" t="s">
        <v>62</v>
      </c>
      <c r="B190" s="77" t="s">
        <v>735</v>
      </c>
      <c r="C190" s="70" t="s">
        <v>17</v>
      </c>
      <c r="D190" s="210"/>
      <c r="E190" s="210"/>
      <c r="F190" s="210"/>
      <c r="G190" s="210"/>
      <c r="H190" s="406">
        <f>SUM(Tabla132112414[[#This Row],[PRIMER TRIMESTRE]:[CUARTO TRIMESTRE]])</f>
        <v>0</v>
      </c>
      <c r="I190" s="17">
        <v>50.27</v>
      </c>
      <c r="J190" s="17">
        <f t="shared" si="4"/>
        <v>0</v>
      </c>
      <c r="K190" s="17"/>
      <c r="L190" s="16" t="s">
        <v>27</v>
      </c>
      <c r="M190" s="16" t="s">
        <v>22</v>
      </c>
      <c r="N190" s="39" t="s">
        <v>418</v>
      </c>
    </row>
    <row r="191" spans="1:14" s="12" customFormat="1" ht="18">
      <c r="A191" s="180" t="s">
        <v>62</v>
      </c>
      <c r="B191" s="77" t="s">
        <v>736</v>
      </c>
      <c r="C191" s="70" t="s">
        <v>17</v>
      </c>
      <c r="D191" s="210"/>
      <c r="E191" s="210"/>
      <c r="F191" s="210"/>
      <c r="G191" s="210"/>
      <c r="H191" s="406">
        <f>SUM(Tabla132112414[[#This Row],[PRIMER TRIMESTRE]:[CUARTO TRIMESTRE]])</f>
        <v>0</v>
      </c>
      <c r="I191" s="17">
        <v>60.89</v>
      </c>
      <c r="J191" s="17">
        <f t="shared" si="4"/>
        <v>0</v>
      </c>
      <c r="K191" s="17"/>
      <c r="L191" s="16" t="s">
        <v>27</v>
      </c>
      <c r="M191" s="16" t="s">
        <v>22</v>
      </c>
      <c r="N191" s="39" t="s">
        <v>418</v>
      </c>
    </row>
    <row r="192" spans="1:14" s="12" customFormat="1" ht="18">
      <c r="A192" s="180" t="s">
        <v>62</v>
      </c>
      <c r="B192" s="77" t="s">
        <v>737</v>
      </c>
      <c r="C192" s="70" t="s">
        <v>17</v>
      </c>
      <c r="D192" s="210"/>
      <c r="E192" s="210"/>
      <c r="F192" s="210"/>
      <c r="G192" s="210"/>
      <c r="H192" s="406">
        <f>SUM(Tabla132112414[[#This Row],[PRIMER TRIMESTRE]:[CUARTO TRIMESTRE]])</f>
        <v>0</v>
      </c>
      <c r="I192" s="17">
        <v>65.36</v>
      </c>
      <c r="J192" s="17">
        <f t="shared" si="4"/>
        <v>0</v>
      </c>
      <c r="K192" s="17"/>
      <c r="L192" s="16" t="s">
        <v>27</v>
      </c>
      <c r="M192" s="16" t="s">
        <v>22</v>
      </c>
      <c r="N192" s="39" t="s">
        <v>418</v>
      </c>
    </row>
    <row r="193" spans="1:14" s="26" customFormat="1" ht="18">
      <c r="A193" s="180" t="s">
        <v>62</v>
      </c>
      <c r="B193" s="77" t="s">
        <v>738</v>
      </c>
      <c r="C193" s="70" t="s">
        <v>17</v>
      </c>
      <c r="D193" s="210"/>
      <c r="E193" s="210"/>
      <c r="F193" s="210"/>
      <c r="G193" s="210"/>
      <c r="H193" s="406">
        <f>SUM(Tabla132112414[[#This Row],[PRIMER TRIMESTRE]:[CUARTO TRIMESTRE]])</f>
        <v>0</v>
      </c>
      <c r="I193" s="17">
        <v>352.74</v>
      </c>
      <c r="J193" s="17">
        <f t="shared" si="4"/>
        <v>0</v>
      </c>
      <c r="K193" s="17"/>
      <c r="L193" s="16" t="s">
        <v>27</v>
      </c>
      <c r="M193" s="16" t="s">
        <v>22</v>
      </c>
      <c r="N193" s="39" t="s">
        <v>418</v>
      </c>
    </row>
    <row r="194" spans="1:14" s="55" customFormat="1" ht="18">
      <c r="A194" s="180" t="s">
        <v>62</v>
      </c>
      <c r="B194" s="75" t="s">
        <v>1169</v>
      </c>
      <c r="C194" s="39" t="s">
        <v>1162</v>
      </c>
      <c r="D194" s="236"/>
      <c r="E194" s="236"/>
      <c r="F194" s="236"/>
      <c r="G194" s="236"/>
      <c r="H194" s="40">
        <f>SUM(Tabla132112414[[#This Row],[PRIMER TRIMESTRE]:[CUARTO TRIMESTRE]])</f>
        <v>0</v>
      </c>
      <c r="I194" s="17">
        <v>2300</v>
      </c>
      <c r="J194" s="17">
        <f t="shared" si="4"/>
        <v>0</v>
      </c>
      <c r="K194" s="17"/>
      <c r="L194" s="16" t="s">
        <v>27</v>
      </c>
      <c r="M194" s="16" t="s">
        <v>22</v>
      </c>
      <c r="N194" s="39" t="s">
        <v>418</v>
      </c>
    </row>
    <row r="195" spans="1:14" s="55" customFormat="1" ht="18">
      <c r="A195" s="179" t="s">
        <v>62</v>
      </c>
      <c r="B195" s="76"/>
      <c r="C195" s="42"/>
      <c r="D195" s="237"/>
      <c r="E195" s="237"/>
      <c r="F195" s="237"/>
      <c r="G195" s="237"/>
      <c r="H195" s="43"/>
      <c r="I195" s="24"/>
      <c r="J195" s="24"/>
      <c r="K195" s="25">
        <f>SUM(J90:J194)</f>
        <v>0</v>
      </c>
      <c r="L195" s="23"/>
      <c r="M195" s="23"/>
      <c r="N195" s="42"/>
    </row>
    <row r="196" spans="1:14" s="55" customFormat="1" ht="30">
      <c r="A196" s="178" t="s">
        <v>73</v>
      </c>
      <c r="B196" s="75" t="s">
        <v>1275</v>
      </c>
      <c r="C196" s="53" t="s">
        <v>17</v>
      </c>
      <c r="D196" s="410"/>
      <c r="E196" s="410"/>
      <c r="F196" s="410"/>
      <c r="G196" s="410"/>
      <c r="H196" s="51">
        <f>SUM(Tabla132112414[[#This Row],[PRIMER TRIMESTRE]:[CUARTO TRIMESTRE]])</f>
        <v>0</v>
      </c>
      <c r="I196" s="52">
        <v>239750</v>
      </c>
      <c r="J196" s="52">
        <f>+H196*I196</f>
        <v>0</v>
      </c>
      <c r="K196" s="50"/>
      <c r="L196" s="16" t="s">
        <v>18</v>
      </c>
      <c r="M196" s="411" t="s">
        <v>22</v>
      </c>
      <c r="N196" s="39" t="s">
        <v>418</v>
      </c>
    </row>
    <row r="197" spans="1:14" s="55" customFormat="1" ht="30">
      <c r="A197" s="178" t="s">
        <v>73</v>
      </c>
      <c r="B197" s="75" t="s">
        <v>1276</v>
      </c>
      <c r="C197" s="53" t="s">
        <v>17</v>
      </c>
      <c r="D197" s="410"/>
      <c r="E197" s="410"/>
      <c r="F197" s="410"/>
      <c r="G197" s="410"/>
      <c r="H197" s="51">
        <f>SUM(Tabla132112414[[#This Row],[PRIMER TRIMESTRE]:[CUARTO TRIMESTRE]])</f>
        <v>0</v>
      </c>
      <c r="I197" s="52">
        <v>37500</v>
      </c>
      <c r="J197" s="52">
        <f>+H197*I197</f>
        <v>0</v>
      </c>
      <c r="K197" s="50"/>
      <c r="L197" s="16" t="s">
        <v>18</v>
      </c>
      <c r="M197" s="411" t="s">
        <v>22</v>
      </c>
      <c r="N197" s="39" t="s">
        <v>418</v>
      </c>
    </row>
    <row r="198" spans="1:14" s="26" customFormat="1" ht="30">
      <c r="A198" s="178" t="s">
        <v>73</v>
      </c>
      <c r="B198" s="75" t="s">
        <v>1277</v>
      </c>
      <c r="C198" s="53" t="s">
        <v>17</v>
      </c>
      <c r="D198" s="410"/>
      <c r="E198" s="410"/>
      <c r="F198" s="410"/>
      <c r="G198" s="410"/>
      <c r="H198" s="51">
        <f>SUM(Tabla132112414[[#This Row],[PRIMER TRIMESTRE]:[CUARTO TRIMESTRE]])</f>
        <v>0</v>
      </c>
      <c r="I198" s="52">
        <v>301000</v>
      </c>
      <c r="J198" s="52">
        <f>+H198*I198</f>
        <v>0</v>
      </c>
      <c r="K198" s="50"/>
      <c r="L198" s="16" t="s">
        <v>18</v>
      </c>
      <c r="M198" s="411" t="s">
        <v>22</v>
      </c>
      <c r="N198" s="39" t="s">
        <v>418</v>
      </c>
    </row>
    <row r="199" spans="1:14" s="12" customFormat="1" ht="30">
      <c r="A199" s="178" t="s">
        <v>73</v>
      </c>
      <c r="B199" s="75" t="s">
        <v>1278</v>
      </c>
      <c r="C199" s="53" t="s">
        <v>17</v>
      </c>
      <c r="D199" s="410"/>
      <c r="E199" s="410"/>
      <c r="F199" s="410"/>
      <c r="G199" s="410"/>
      <c r="H199" s="51">
        <f>SUM(Tabla132112414[[#This Row],[PRIMER TRIMESTRE]:[CUARTO TRIMESTRE]])</f>
        <v>0</v>
      </c>
      <c r="I199" s="52">
        <v>350000</v>
      </c>
      <c r="J199" s="52">
        <f>+H199*I199</f>
        <v>0</v>
      </c>
      <c r="K199" s="50"/>
      <c r="L199" s="16" t="s">
        <v>18</v>
      </c>
      <c r="M199" s="411" t="s">
        <v>22</v>
      </c>
      <c r="N199" s="39" t="s">
        <v>418</v>
      </c>
    </row>
    <row r="200" spans="1:14" s="12" customFormat="1" ht="31.5">
      <c r="A200" s="179" t="s">
        <v>73</v>
      </c>
      <c r="B200" s="76"/>
      <c r="C200" s="42"/>
      <c r="D200" s="237"/>
      <c r="E200" s="237"/>
      <c r="F200" s="237"/>
      <c r="G200" s="237"/>
      <c r="H200" s="43"/>
      <c r="I200" s="24"/>
      <c r="J200" s="24"/>
      <c r="K200" s="25">
        <f>SUM(J196:J199)</f>
        <v>0</v>
      </c>
      <c r="L200" s="23"/>
      <c r="M200" s="23"/>
      <c r="N200" s="42"/>
    </row>
    <row r="201" spans="1:14" s="12" customFormat="1" ht="18">
      <c r="A201" s="178" t="s">
        <v>80</v>
      </c>
      <c r="B201" s="75" t="s">
        <v>788</v>
      </c>
      <c r="C201" s="39" t="s">
        <v>69</v>
      </c>
      <c r="D201" s="236"/>
      <c r="E201" s="236"/>
      <c r="F201" s="236"/>
      <c r="G201" s="236"/>
      <c r="H201" s="40">
        <f>SUM(Tabla132112414[[#This Row],[PRIMER TRIMESTRE]:[CUARTO TRIMESTRE]])</f>
        <v>0</v>
      </c>
      <c r="I201" s="17">
        <v>5.46</v>
      </c>
      <c r="J201" s="17">
        <f>+Tabla132112414[[#This Row],[CANTIDAD TOTAL]]*Tabla132112414[[#This Row],[PRECIO UNITARIO ESTIMADO]]</f>
        <v>0</v>
      </c>
      <c r="K201" s="17"/>
      <c r="L201" s="16" t="s">
        <v>18</v>
      </c>
      <c r="M201" s="16" t="s">
        <v>22</v>
      </c>
      <c r="N201" s="39" t="s">
        <v>418</v>
      </c>
    </row>
    <row r="202" spans="1:14" s="12" customFormat="1" ht="18">
      <c r="A202" s="178" t="s">
        <v>80</v>
      </c>
      <c r="B202" s="75" t="s">
        <v>1346</v>
      </c>
      <c r="C202" s="39" t="s">
        <v>208</v>
      </c>
      <c r="D202" s="236"/>
      <c r="E202" s="236"/>
      <c r="F202" s="236"/>
      <c r="G202" s="236"/>
      <c r="H202" s="40">
        <f>SUM(Tabla132112414[[#This Row],[PRIMER TRIMESTRE]:[CUARTO TRIMESTRE]])</f>
        <v>0</v>
      </c>
      <c r="I202" s="17">
        <v>8</v>
      </c>
      <c r="J202" s="17">
        <f>+Tabla132112414[[#This Row],[CANTIDAD TOTAL]]*Tabla132112414[[#This Row],[PRECIO UNITARIO ESTIMADO]]</f>
        <v>0</v>
      </c>
      <c r="K202" s="17"/>
      <c r="L202" s="16" t="s">
        <v>18</v>
      </c>
      <c r="M202" s="16" t="s">
        <v>22</v>
      </c>
      <c r="N202" s="39" t="s">
        <v>418</v>
      </c>
    </row>
    <row r="203" spans="1:14" s="12" customFormat="1" ht="18">
      <c r="A203" s="178" t="s">
        <v>80</v>
      </c>
      <c r="B203" s="75" t="s">
        <v>789</v>
      </c>
      <c r="C203" s="39" t="s">
        <v>208</v>
      </c>
      <c r="D203" s="236"/>
      <c r="E203" s="236"/>
      <c r="F203" s="236"/>
      <c r="G203" s="236"/>
      <c r="H203" s="40">
        <f>SUM(Tabla132112414[[#This Row],[PRIMER TRIMESTRE]:[CUARTO TRIMESTRE]])</f>
        <v>0</v>
      </c>
      <c r="I203" s="17">
        <v>6.4</v>
      </c>
      <c r="J203" s="17">
        <f>+Tabla132112414[[#This Row],[CANTIDAD TOTAL]]*Tabla132112414[[#This Row],[PRECIO UNITARIO ESTIMADO]]</f>
        <v>0</v>
      </c>
      <c r="K203" s="17"/>
      <c r="L203" s="16" t="s">
        <v>18</v>
      </c>
      <c r="M203" s="16" t="s">
        <v>22</v>
      </c>
      <c r="N203" s="39" t="s">
        <v>418</v>
      </c>
    </row>
    <row r="204" spans="1:14" s="12" customFormat="1" ht="18">
      <c r="A204" s="178" t="s">
        <v>80</v>
      </c>
      <c r="B204" s="75" t="s">
        <v>83</v>
      </c>
      <c r="C204" s="39" t="s">
        <v>69</v>
      </c>
      <c r="D204" s="236"/>
      <c r="E204" s="236"/>
      <c r="F204" s="236"/>
      <c r="G204" s="236"/>
      <c r="H204" s="40">
        <f>SUM(Tabla132112414[[#This Row],[PRIMER TRIMESTRE]:[CUARTO TRIMESTRE]])</f>
        <v>0</v>
      </c>
      <c r="I204" s="17">
        <v>290</v>
      </c>
      <c r="J204" s="17">
        <f>+Tabla132112414[[#This Row],[CANTIDAD TOTAL]]*Tabla132112414[[#This Row],[PRECIO UNITARIO ESTIMADO]]</f>
        <v>0</v>
      </c>
      <c r="K204" s="17"/>
      <c r="L204" s="16" t="s">
        <v>18</v>
      </c>
      <c r="M204" s="16" t="s">
        <v>22</v>
      </c>
      <c r="N204" s="39" t="s">
        <v>418</v>
      </c>
    </row>
    <row r="205" spans="1:14" s="12" customFormat="1" ht="18">
      <c r="A205" s="178" t="s">
        <v>80</v>
      </c>
      <c r="B205" s="75" t="s">
        <v>1561</v>
      </c>
      <c r="C205" s="39" t="s">
        <v>69</v>
      </c>
      <c r="D205" s="39"/>
      <c r="E205" s="236"/>
      <c r="F205" s="236"/>
      <c r="G205" s="236"/>
      <c r="H205" s="40">
        <f>SUM(Tabla132112414[[#This Row],[PRIMER TRIMESTRE]:[CUARTO TRIMESTRE]])</f>
        <v>0</v>
      </c>
      <c r="I205" s="17">
        <v>3200</v>
      </c>
      <c r="J205" s="17">
        <f>+H205*I205</f>
        <v>0</v>
      </c>
      <c r="K205" s="17"/>
      <c r="L205" s="16" t="s">
        <v>18</v>
      </c>
      <c r="M205" s="16" t="s">
        <v>22</v>
      </c>
      <c r="N205" s="39" t="s">
        <v>418</v>
      </c>
    </row>
    <row r="206" spans="1:14" s="12" customFormat="1" ht="18">
      <c r="A206" s="178" t="s">
        <v>80</v>
      </c>
      <c r="B206" s="75" t="s">
        <v>85</v>
      </c>
      <c r="C206" s="39" t="s">
        <v>69</v>
      </c>
      <c r="D206" s="236"/>
      <c r="E206" s="236"/>
      <c r="F206" s="236"/>
      <c r="G206" s="236"/>
      <c r="H206" s="40">
        <f>SUM(Tabla132112414[[#This Row],[PRIMER TRIMESTRE]:[CUARTO TRIMESTRE]])</f>
        <v>0</v>
      </c>
      <c r="I206" s="17">
        <v>4.0599999999999996</v>
      </c>
      <c r="J206" s="17">
        <f>+Tabla132112414[[#This Row],[CANTIDAD TOTAL]]*Tabla132112414[[#This Row],[PRECIO UNITARIO ESTIMADO]]</f>
        <v>0</v>
      </c>
      <c r="K206" s="17"/>
      <c r="L206" s="16" t="s">
        <v>18</v>
      </c>
      <c r="M206" s="16" t="s">
        <v>22</v>
      </c>
      <c r="N206" s="39" t="s">
        <v>418</v>
      </c>
    </row>
    <row r="207" spans="1:14" s="12" customFormat="1" ht="18">
      <c r="A207" s="178" t="s">
        <v>80</v>
      </c>
      <c r="B207" s="75" t="s">
        <v>87</v>
      </c>
      <c r="C207" s="39" t="s">
        <v>69</v>
      </c>
      <c r="D207" s="236"/>
      <c r="E207" s="236"/>
      <c r="F207" s="236"/>
      <c r="G207" s="236"/>
      <c r="H207" s="40">
        <f>SUM(Tabla132112414[[#This Row],[PRIMER TRIMESTRE]:[CUARTO TRIMESTRE]])</f>
        <v>0</v>
      </c>
      <c r="I207" s="17">
        <v>3.71</v>
      </c>
      <c r="J207" s="17">
        <f>+Tabla132112414[[#This Row],[CANTIDAD TOTAL]]*Tabla132112414[[#This Row],[PRECIO UNITARIO ESTIMADO]]</f>
        <v>0</v>
      </c>
      <c r="K207" s="17"/>
      <c r="L207" s="16" t="s">
        <v>18</v>
      </c>
      <c r="M207" s="16" t="s">
        <v>22</v>
      </c>
      <c r="N207" s="39" t="s">
        <v>418</v>
      </c>
    </row>
    <row r="208" spans="1:14" s="12" customFormat="1" ht="18">
      <c r="A208" s="178" t="s">
        <v>80</v>
      </c>
      <c r="B208" s="75" t="s">
        <v>1436</v>
      </c>
      <c r="C208" s="39" t="s">
        <v>69</v>
      </c>
      <c r="D208" s="236"/>
      <c r="E208" s="236"/>
      <c r="F208" s="236"/>
      <c r="G208" s="236"/>
      <c r="H208" s="40">
        <f>SUM(Tabla132112414[[#This Row],[PRIMER TRIMESTRE]:[CUARTO TRIMESTRE]])</f>
        <v>0</v>
      </c>
      <c r="I208" s="17">
        <v>125</v>
      </c>
      <c r="J208" s="17">
        <f>+H208*I208</f>
        <v>0</v>
      </c>
      <c r="K208" s="17"/>
      <c r="L208" s="16" t="s">
        <v>18</v>
      </c>
      <c r="M208" s="16" t="s">
        <v>22</v>
      </c>
      <c r="N208" s="39" t="s">
        <v>418</v>
      </c>
    </row>
    <row r="209" spans="1:14" s="12" customFormat="1" ht="18">
      <c r="A209" s="178" t="s">
        <v>80</v>
      </c>
      <c r="B209" s="75" t="s">
        <v>89</v>
      </c>
      <c r="C209" s="39" t="s">
        <v>208</v>
      </c>
      <c r="D209" s="236"/>
      <c r="E209" s="236"/>
      <c r="F209" s="236"/>
      <c r="G209" s="236"/>
      <c r="H209" s="40">
        <f>SUM(Tabla132112414[[#This Row],[PRIMER TRIMESTRE]:[CUARTO TRIMESTRE]])</f>
        <v>0</v>
      </c>
      <c r="I209" s="17">
        <v>7.3</v>
      </c>
      <c r="J209" s="17">
        <f>+Tabla132112414[[#This Row],[CANTIDAD TOTAL]]*Tabla132112414[[#This Row],[PRECIO UNITARIO ESTIMADO]]</f>
        <v>0</v>
      </c>
      <c r="K209" s="17"/>
      <c r="L209" s="16" t="s">
        <v>18</v>
      </c>
      <c r="M209" s="16" t="s">
        <v>22</v>
      </c>
      <c r="N209" s="39" t="s">
        <v>418</v>
      </c>
    </row>
    <row r="210" spans="1:14" s="12" customFormat="1" ht="18">
      <c r="A210" s="178" t="s">
        <v>80</v>
      </c>
      <c r="B210" s="75" t="s">
        <v>98</v>
      </c>
      <c r="C210" s="39" t="s">
        <v>93</v>
      </c>
      <c r="D210" s="236"/>
      <c r="E210" s="236"/>
      <c r="F210" s="236"/>
      <c r="G210" s="236"/>
      <c r="H210" s="40">
        <f>SUM(Tabla132112414[[#This Row],[PRIMER TRIMESTRE]:[CUARTO TRIMESTRE]])</f>
        <v>0</v>
      </c>
      <c r="I210" s="17">
        <v>272.60000000000002</v>
      </c>
      <c r="J210" s="17">
        <f>+Tabla132112414[[#This Row],[CANTIDAD TOTAL]]*Tabla132112414[[#This Row],[PRECIO UNITARIO ESTIMADO]]</f>
        <v>0</v>
      </c>
      <c r="K210" s="17"/>
      <c r="L210" s="16" t="s">
        <v>18</v>
      </c>
      <c r="M210" s="16" t="s">
        <v>22</v>
      </c>
      <c r="N210" s="39" t="s">
        <v>418</v>
      </c>
    </row>
    <row r="211" spans="1:14" s="12" customFormat="1" ht="18">
      <c r="A211" s="178" t="s">
        <v>80</v>
      </c>
      <c r="B211" s="75" t="s">
        <v>1601</v>
      </c>
      <c r="C211" s="39" t="s">
        <v>93</v>
      </c>
      <c r="D211" s="39"/>
      <c r="E211" s="39"/>
      <c r="F211" s="39"/>
      <c r="G211" s="39"/>
      <c r="H211" s="39">
        <f>SUM(Tabla132112414[[#This Row],[PRIMER TRIMESTRE]:[CUARTO TRIMESTRE]])</f>
        <v>0</v>
      </c>
      <c r="I211" s="17">
        <v>57</v>
      </c>
      <c r="J211" s="17">
        <f>+H211*I211</f>
        <v>0</v>
      </c>
      <c r="K211" s="17"/>
      <c r="L211" s="16" t="s">
        <v>18</v>
      </c>
      <c r="M211" s="16" t="s">
        <v>22</v>
      </c>
      <c r="N211" s="39" t="s">
        <v>418</v>
      </c>
    </row>
    <row r="212" spans="1:14" s="12" customFormat="1" ht="18">
      <c r="A212" s="178" t="s">
        <v>80</v>
      </c>
      <c r="B212" s="75" t="s">
        <v>100</v>
      </c>
      <c r="C212" s="39" t="s">
        <v>93</v>
      </c>
      <c r="D212" s="236"/>
      <c r="E212" s="236"/>
      <c r="F212" s="236"/>
      <c r="G212" s="236"/>
      <c r="H212" s="40">
        <f>SUM(Tabla132112414[[#This Row],[PRIMER TRIMESTRE]:[CUARTO TRIMESTRE]])</f>
        <v>0</v>
      </c>
      <c r="I212" s="17">
        <v>30.16</v>
      </c>
      <c r="J212" s="17">
        <f>+Tabla132112414[[#This Row],[CANTIDAD TOTAL]]*Tabla132112414[[#This Row],[PRECIO UNITARIO ESTIMADO]]</f>
        <v>0</v>
      </c>
      <c r="K212" s="17"/>
      <c r="L212" s="16" t="s">
        <v>18</v>
      </c>
      <c r="M212" s="16" t="s">
        <v>22</v>
      </c>
      <c r="N212" s="39" t="s">
        <v>418</v>
      </c>
    </row>
    <row r="213" spans="1:14" s="12" customFormat="1" ht="25.5">
      <c r="A213" s="178" t="s">
        <v>80</v>
      </c>
      <c r="B213" s="75" t="s">
        <v>1729</v>
      </c>
      <c r="C213" s="39" t="s">
        <v>17</v>
      </c>
      <c r="D213" s="236"/>
      <c r="E213" s="236"/>
      <c r="F213" s="236"/>
      <c r="G213" s="236"/>
      <c r="H213" s="40">
        <v>0</v>
      </c>
      <c r="I213" s="17">
        <v>0</v>
      </c>
      <c r="J213" s="17">
        <v>0</v>
      </c>
      <c r="K213" s="17"/>
      <c r="L213" s="16" t="s">
        <v>18</v>
      </c>
      <c r="M213" s="16" t="s">
        <v>22</v>
      </c>
      <c r="N213" s="39" t="s">
        <v>418</v>
      </c>
    </row>
    <row r="214" spans="1:14" s="12" customFormat="1" ht="25.5">
      <c r="A214" s="178" t="s">
        <v>80</v>
      </c>
      <c r="B214" s="75" t="s">
        <v>1730</v>
      </c>
      <c r="C214" s="39" t="s">
        <v>17</v>
      </c>
      <c r="D214" s="236"/>
      <c r="E214" s="236"/>
      <c r="F214" s="236"/>
      <c r="G214" s="236"/>
      <c r="H214" s="40">
        <v>0</v>
      </c>
      <c r="I214" s="17">
        <v>0</v>
      </c>
      <c r="J214" s="17">
        <v>0</v>
      </c>
      <c r="K214" s="17"/>
      <c r="L214" s="16" t="s">
        <v>18</v>
      </c>
      <c r="M214" s="16" t="s">
        <v>22</v>
      </c>
      <c r="N214" s="39" t="s">
        <v>418</v>
      </c>
    </row>
    <row r="215" spans="1:14" s="12" customFormat="1" ht="18">
      <c r="A215" s="178" t="s">
        <v>80</v>
      </c>
      <c r="B215" s="75" t="s">
        <v>105</v>
      </c>
      <c r="C215" s="39" t="s">
        <v>17</v>
      </c>
      <c r="D215" s="236"/>
      <c r="E215" s="236"/>
      <c r="F215" s="236"/>
      <c r="G215" s="236"/>
      <c r="H215" s="40">
        <f>SUM(Tabla132112414[[#This Row],[PRIMER TRIMESTRE]:[CUARTO TRIMESTRE]])</f>
        <v>0</v>
      </c>
      <c r="I215" s="17">
        <v>33.64</v>
      </c>
      <c r="J215" s="17">
        <f>+Tabla132112414[[#This Row],[CANTIDAD TOTAL]]*Tabla132112414[[#This Row],[PRECIO UNITARIO ESTIMADO]]</f>
        <v>0</v>
      </c>
      <c r="K215" s="17"/>
      <c r="L215" s="16" t="s">
        <v>18</v>
      </c>
      <c r="M215" s="16" t="s">
        <v>22</v>
      </c>
      <c r="N215" s="39" t="s">
        <v>418</v>
      </c>
    </row>
    <row r="216" spans="1:14" s="12" customFormat="1" ht="18">
      <c r="A216" s="178" t="s">
        <v>80</v>
      </c>
      <c r="B216" s="75" t="s">
        <v>1725</v>
      </c>
      <c r="C216" s="70" t="s">
        <v>17</v>
      </c>
      <c r="D216" s="236"/>
      <c r="E216" s="236"/>
      <c r="F216" s="236"/>
      <c r="G216" s="236"/>
      <c r="H216" s="40">
        <v>0</v>
      </c>
      <c r="I216" s="17">
        <v>0</v>
      </c>
      <c r="J216" s="17">
        <v>0</v>
      </c>
      <c r="K216" s="17"/>
      <c r="L216" s="16" t="s">
        <v>18</v>
      </c>
      <c r="M216" s="16" t="s">
        <v>22</v>
      </c>
      <c r="N216" s="39" t="s">
        <v>418</v>
      </c>
    </row>
    <row r="217" spans="1:14" s="12" customFormat="1" ht="18">
      <c r="A217" s="178" t="s">
        <v>80</v>
      </c>
      <c r="B217" s="75" t="s">
        <v>110</v>
      </c>
      <c r="C217" s="70" t="s">
        <v>17</v>
      </c>
      <c r="D217" s="236"/>
      <c r="E217" s="236"/>
      <c r="F217" s="210"/>
      <c r="G217" s="210"/>
      <c r="H217" s="40">
        <f>SUM(Tabla132112414[[#This Row],[PRIMER TRIMESTRE]:[CUARTO TRIMESTRE]])</f>
        <v>0</v>
      </c>
      <c r="I217" s="17">
        <v>5823.23</v>
      </c>
      <c r="J217" s="17">
        <f>+Tabla132112414[[#This Row],[CANTIDAD TOTAL]]*Tabla132112414[[#This Row],[PRECIO UNITARIO ESTIMADO]]</f>
        <v>0</v>
      </c>
      <c r="K217" s="17"/>
      <c r="L217" s="16" t="s">
        <v>18</v>
      </c>
      <c r="M217" s="16" t="s">
        <v>22</v>
      </c>
      <c r="N217" s="39" t="s">
        <v>418</v>
      </c>
    </row>
    <row r="218" spans="1:14" s="12" customFormat="1" ht="18">
      <c r="A218" s="178" t="s">
        <v>80</v>
      </c>
      <c r="B218" s="77" t="s">
        <v>112</v>
      </c>
      <c r="C218" s="70" t="s">
        <v>288</v>
      </c>
      <c r="D218" s="236"/>
      <c r="E218" s="210"/>
      <c r="F218" s="210"/>
      <c r="G218" s="210"/>
      <c r="H218" s="40">
        <f>SUM(Tabla132112414[[#This Row],[PRIMER TRIMESTRE]:[CUARTO TRIMESTRE]])</f>
        <v>0</v>
      </c>
      <c r="I218" s="17">
        <v>1624</v>
      </c>
      <c r="J218" s="17">
        <f>+Tabla132112414[[#This Row],[CANTIDAD TOTAL]]*Tabla132112414[[#This Row],[PRECIO UNITARIO ESTIMADO]]</f>
        <v>0</v>
      </c>
      <c r="K218" s="17"/>
      <c r="L218" s="16" t="s">
        <v>18</v>
      </c>
      <c r="M218" s="16" t="s">
        <v>22</v>
      </c>
      <c r="N218" s="39" t="s">
        <v>418</v>
      </c>
    </row>
    <row r="219" spans="1:14" s="12" customFormat="1" ht="18">
      <c r="A219" s="178" t="s">
        <v>80</v>
      </c>
      <c r="B219" s="77" t="s">
        <v>766</v>
      </c>
      <c r="C219" s="70" t="s">
        <v>767</v>
      </c>
      <c r="D219" s="236"/>
      <c r="E219" s="210"/>
      <c r="F219" s="210"/>
      <c r="G219" s="210"/>
      <c r="H219" s="40">
        <f>SUM(Tabla132112414[[#This Row],[PRIMER TRIMESTRE]:[CUARTO TRIMESTRE]])</f>
        <v>0</v>
      </c>
      <c r="I219" s="17">
        <v>470</v>
      </c>
      <c r="J219" s="17">
        <f>+Tabla132112414[[#This Row],[CANTIDAD TOTAL]]*Tabla132112414[[#This Row],[PRECIO UNITARIO ESTIMADO]]</f>
        <v>0</v>
      </c>
      <c r="K219" s="17"/>
      <c r="L219" s="16" t="s">
        <v>18</v>
      </c>
      <c r="M219" s="16" t="s">
        <v>22</v>
      </c>
      <c r="N219" s="39" t="s">
        <v>418</v>
      </c>
    </row>
    <row r="220" spans="1:14" s="12" customFormat="1" ht="18">
      <c r="A220" s="178" t="s">
        <v>80</v>
      </c>
      <c r="B220" s="77" t="s">
        <v>1623</v>
      </c>
      <c r="C220" s="70" t="s">
        <v>17</v>
      </c>
      <c r="D220" s="236"/>
      <c r="E220" s="210"/>
      <c r="F220" s="210"/>
      <c r="G220" s="210"/>
      <c r="H220" s="40">
        <f>SUM(Tabla132112414[[#This Row],[PRIMER TRIMESTRE]:[CUARTO TRIMESTRE]])</f>
        <v>0</v>
      </c>
      <c r="I220" s="17">
        <v>1784.1</v>
      </c>
      <c r="J220" s="17">
        <f t="shared" ref="J220:J283" si="5">+H220*I220</f>
        <v>0</v>
      </c>
      <c r="K220" s="17"/>
      <c r="L220" s="16" t="s">
        <v>18</v>
      </c>
      <c r="M220" s="16" t="s">
        <v>22</v>
      </c>
      <c r="N220" s="39" t="s">
        <v>418</v>
      </c>
    </row>
    <row r="221" spans="1:14" s="12" customFormat="1" ht="18">
      <c r="A221" s="178" t="s">
        <v>80</v>
      </c>
      <c r="B221" s="77" t="s">
        <v>1431</v>
      </c>
      <c r="C221" s="70" t="s">
        <v>288</v>
      </c>
      <c r="D221" s="236"/>
      <c r="E221" s="210"/>
      <c r="F221" s="210"/>
      <c r="G221" s="210"/>
      <c r="H221" s="40">
        <f>SUM(Tabla132112414[[#This Row],[PRIMER TRIMESTRE]:[CUARTO TRIMESTRE]])</f>
        <v>0</v>
      </c>
      <c r="I221" s="17">
        <v>1395</v>
      </c>
      <c r="J221" s="17">
        <f t="shared" si="5"/>
        <v>0</v>
      </c>
      <c r="K221" s="17"/>
      <c r="L221" s="16" t="s">
        <v>18</v>
      </c>
      <c r="M221" s="16" t="s">
        <v>22</v>
      </c>
      <c r="N221" s="39" t="s">
        <v>418</v>
      </c>
    </row>
    <row r="222" spans="1:14" s="12" customFormat="1" ht="18">
      <c r="A222" s="178" t="s">
        <v>80</v>
      </c>
      <c r="B222" s="77" t="s">
        <v>921</v>
      </c>
      <c r="C222" s="70" t="s">
        <v>17</v>
      </c>
      <c r="D222" s="236"/>
      <c r="E222" s="210"/>
      <c r="F222" s="210"/>
      <c r="G222" s="210"/>
      <c r="H222" s="40">
        <f>SUM(Tabla132112414[[#This Row],[PRIMER TRIMESTRE]:[CUARTO TRIMESTRE]])</f>
        <v>0</v>
      </c>
      <c r="I222" s="17">
        <v>94</v>
      </c>
      <c r="J222" s="17">
        <f t="shared" si="5"/>
        <v>0</v>
      </c>
      <c r="K222" s="17"/>
      <c r="L222" s="16" t="s">
        <v>18</v>
      </c>
      <c r="M222" s="16" t="s">
        <v>22</v>
      </c>
      <c r="N222" s="39" t="s">
        <v>418</v>
      </c>
    </row>
    <row r="223" spans="1:14" s="12" customFormat="1" ht="25.5">
      <c r="A223" s="178" t="s">
        <v>80</v>
      </c>
      <c r="B223" s="77" t="s">
        <v>1610</v>
      </c>
      <c r="C223" s="70" t="s">
        <v>17</v>
      </c>
      <c r="D223" s="70"/>
      <c r="E223" s="70"/>
      <c r="F223" s="70"/>
      <c r="G223" s="70"/>
      <c r="H223" s="70">
        <f>SUM(Tabla132112414[[#This Row],[PRIMER TRIMESTRE]:[CUARTO TRIMESTRE]])</f>
        <v>0</v>
      </c>
      <c r="I223" s="17">
        <v>573.88</v>
      </c>
      <c r="J223" s="17">
        <f t="shared" si="5"/>
        <v>0</v>
      </c>
      <c r="K223" s="17"/>
      <c r="L223" s="16" t="s">
        <v>18</v>
      </c>
      <c r="M223" s="16" t="s">
        <v>22</v>
      </c>
      <c r="N223" s="39" t="s">
        <v>418</v>
      </c>
    </row>
    <row r="224" spans="1:14" s="12" customFormat="1" ht="38.25">
      <c r="A224" s="178" t="s">
        <v>80</v>
      </c>
      <c r="B224" s="77" t="s">
        <v>1609</v>
      </c>
      <c r="C224" s="70" t="s">
        <v>17</v>
      </c>
      <c r="D224" s="70"/>
      <c r="E224" s="70"/>
      <c r="F224" s="70"/>
      <c r="G224" s="70"/>
      <c r="H224" s="70">
        <f>SUM(Tabla132112414[[#This Row],[PRIMER TRIMESTRE]:[CUARTO TRIMESTRE]])</f>
        <v>0</v>
      </c>
      <c r="I224" s="17">
        <v>223.86</v>
      </c>
      <c r="J224" s="17">
        <f t="shared" si="5"/>
        <v>0</v>
      </c>
      <c r="K224" s="17"/>
      <c r="L224" s="16" t="s">
        <v>18</v>
      </c>
      <c r="M224" s="16" t="s">
        <v>22</v>
      </c>
      <c r="N224" s="39" t="s">
        <v>418</v>
      </c>
    </row>
    <row r="225" spans="1:14" s="12" customFormat="1" ht="18">
      <c r="A225" s="178" t="s">
        <v>80</v>
      </c>
      <c r="B225" s="77" t="s">
        <v>1181</v>
      </c>
      <c r="C225" s="70" t="s">
        <v>17</v>
      </c>
      <c r="D225" s="236"/>
      <c r="E225" s="210"/>
      <c r="F225" s="210"/>
      <c r="G225" s="210"/>
      <c r="H225" s="40">
        <f>SUM(Tabla132112414[[#This Row],[PRIMER TRIMESTRE]:[CUARTO TRIMESTRE]])</f>
        <v>0</v>
      </c>
      <c r="I225" s="17">
        <v>175</v>
      </c>
      <c r="J225" s="17">
        <f t="shared" si="5"/>
        <v>0</v>
      </c>
      <c r="K225" s="17"/>
      <c r="L225" s="16" t="s">
        <v>18</v>
      </c>
      <c r="M225" s="16" t="s">
        <v>22</v>
      </c>
      <c r="N225" s="39" t="s">
        <v>418</v>
      </c>
    </row>
    <row r="226" spans="1:14" s="12" customFormat="1" ht="18">
      <c r="A226" s="178" t="s">
        <v>80</v>
      </c>
      <c r="B226" s="75" t="s">
        <v>730</v>
      </c>
      <c r="C226" s="70" t="s">
        <v>17</v>
      </c>
      <c r="D226" s="236"/>
      <c r="E226" s="210"/>
      <c r="F226" s="210"/>
      <c r="G226" s="210"/>
      <c r="H226" s="40">
        <f>SUM(Tabla132112414[[#This Row],[PRIMER TRIMESTRE]:[CUARTO TRIMESTRE]])</f>
        <v>0</v>
      </c>
      <c r="I226" s="17">
        <v>246.34</v>
      </c>
      <c r="J226" s="17">
        <f t="shared" si="5"/>
        <v>0</v>
      </c>
      <c r="K226" s="17"/>
      <c r="L226" s="16" t="s">
        <v>18</v>
      </c>
      <c r="M226" s="16" t="s">
        <v>22</v>
      </c>
      <c r="N226" s="39" t="s">
        <v>418</v>
      </c>
    </row>
    <row r="227" spans="1:14" s="12" customFormat="1" ht="18">
      <c r="A227" s="178" t="s">
        <v>80</v>
      </c>
      <c r="B227" s="75" t="s">
        <v>570</v>
      </c>
      <c r="C227" s="70" t="s">
        <v>17</v>
      </c>
      <c r="D227" s="236"/>
      <c r="E227" s="210"/>
      <c r="F227" s="210"/>
      <c r="G227" s="210"/>
      <c r="H227" s="40">
        <f>SUM(Tabla132112414[[#This Row],[PRIMER TRIMESTRE]:[CUARTO TRIMESTRE]])</f>
        <v>0</v>
      </c>
      <c r="I227" s="17">
        <v>4100</v>
      </c>
      <c r="J227" s="17">
        <f t="shared" si="5"/>
        <v>0</v>
      </c>
      <c r="K227" s="17"/>
      <c r="L227" s="16" t="s">
        <v>18</v>
      </c>
      <c r="M227" s="16" t="s">
        <v>22</v>
      </c>
      <c r="N227" s="39" t="s">
        <v>418</v>
      </c>
    </row>
    <row r="228" spans="1:14" s="12" customFormat="1" ht="18">
      <c r="A228" s="178" t="s">
        <v>80</v>
      </c>
      <c r="B228" s="75" t="s">
        <v>919</v>
      </c>
      <c r="C228" s="70" t="s">
        <v>17</v>
      </c>
      <c r="D228" s="236"/>
      <c r="E228" s="210"/>
      <c r="F228" s="210"/>
      <c r="G228" s="210"/>
      <c r="H228" s="40">
        <f>SUM(Tabla132112414[[#This Row],[PRIMER TRIMESTRE]:[CUARTO TRIMESTRE]])</f>
        <v>0</v>
      </c>
      <c r="I228" s="17">
        <v>31500</v>
      </c>
      <c r="J228" s="17">
        <f t="shared" si="5"/>
        <v>0</v>
      </c>
      <c r="K228" s="17"/>
      <c r="L228" s="16" t="s">
        <v>18</v>
      </c>
      <c r="M228" s="16" t="s">
        <v>22</v>
      </c>
      <c r="N228" s="39"/>
    </row>
    <row r="229" spans="1:14" s="12" customFormat="1" ht="18">
      <c r="A229" s="178" t="s">
        <v>80</v>
      </c>
      <c r="B229" s="75" t="s">
        <v>1555</v>
      </c>
      <c r="C229" s="70" t="s">
        <v>17</v>
      </c>
      <c r="D229" s="236"/>
      <c r="E229" s="236"/>
      <c r="F229" s="236"/>
      <c r="G229" s="236"/>
      <c r="H229" s="236">
        <f>SUM(Tabla132112414[[#This Row],[PRIMER TRIMESTRE]:[CUARTO TRIMESTRE]])</f>
        <v>0</v>
      </c>
      <c r="I229" s="17">
        <v>324</v>
      </c>
      <c r="J229" s="17">
        <f t="shared" si="5"/>
        <v>0</v>
      </c>
      <c r="K229" s="17"/>
      <c r="L229" s="16" t="s">
        <v>18</v>
      </c>
      <c r="M229" s="16" t="s">
        <v>22</v>
      </c>
      <c r="N229" s="39"/>
    </row>
    <row r="230" spans="1:14" s="12" customFormat="1" ht="18">
      <c r="A230" s="178" t="s">
        <v>80</v>
      </c>
      <c r="B230" s="75" t="s">
        <v>1590</v>
      </c>
      <c r="C230" s="176" t="s">
        <v>17</v>
      </c>
      <c r="D230" s="236"/>
      <c r="E230" s="236"/>
      <c r="F230" s="236"/>
      <c r="G230" s="236"/>
      <c r="H230" s="236">
        <f>SUM(Tabla132112414[[#This Row],[PRIMER TRIMESTRE]:[CUARTO TRIMESTRE]])</f>
        <v>0</v>
      </c>
      <c r="I230" s="17">
        <v>196.4</v>
      </c>
      <c r="J230" s="17">
        <f t="shared" si="5"/>
        <v>0</v>
      </c>
      <c r="K230" s="17"/>
      <c r="L230" s="16" t="s">
        <v>18</v>
      </c>
      <c r="M230" s="16" t="s">
        <v>22</v>
      </c>
      <c r="N230" s="39"/>
    </row>
    <row r="231" spans="1:14" s="12" customFormat="1" ht="18">
      <c r="A231" s="178" t="s">
        <v>80</v>
      </c>
      <c r="B231" s="75" t="s">
        <v>1556</v>
      </c>
      <c r="C231" s="176" t="s">
        <v>17</v>
      </c>
      <c r="D231" s="236"/>
      <c r="E231" s="236"/>
      <c r="F231" s="236"/>
      <c r="G231" s="236"/>
      <c r="H231" s="236">
        <f>SUM(Tabla132112414[[#This Row],[PRIMER TRIMESTRE]:[CUARTO TRIMESTRE]])</f>
        <v>0</v>
      </c>
      <c r="I231" s="17">
        <v>390</v>
      </c>
      <c r="J231" s="17">
        <f t="shared" si="5"/>
        <v>0</v>
      </c>
      <c r="K231" s="17"/>
      <c r="L231" s="16" t="s">
        <v>18</v>
      </c>
      <c r="M231" s="16" t="s">
        <v>22</v>
      </c>
      <c r="N231" s="39"/>
    </row>
    <row r="232" spans="1:14" s="12" customFormat="1" ht="25.5">
      <c r="A232" s="178" t="s">
        <v>80</v>
      </c>
      <c r="B232" s="77" t="s">
        <v>925</v>
      </c>
      <c r="C232" s="39" t="s">
        <v>93</v>
      </c>
      <c r="D232" s="236"/>
      <c r="E232" s="236"/>
      <c r="F232" s="236"/>
      <c r="G232" s="236"/>
      <c r="H232" s="40">
        <f>SUM(Tabla132112414[[#This Row],[PRIMER TRIMESTRE]:[CUARTO TRIMESTRE]])</f>
        <v>0</v>
      </c>
      <c r="I232" s="17">
        <v>125</v>
      </c>
      <c r="J232" s="17">
        <f t="shared" si="5"/>
        <v>0</v>
      </c>
      <c r="K232" s="17"/>
      <c r="L232" s="16" t="s">
        <v>18</v>
      </c>
      <c r="M232" s="16" t="s">
        <v>22</v>
      </c>
      <c r="N232" s="39"/>
    </row>
    <row r="233" spans="1:14" s="12" customFormat="1" ht="25.5">
      <c r="A233" s="178" t="s">
        <v>80</v>
      </c>
      <c r="B233" s="77" t="s">
        <v>926</v>
      </c>
      <c r="C233" s="39" t="s">
        <v>93</v>
      </c>
      <c r="D233" s="236"/>
      <c r="E233" s="236"/>
      <c r="F233" s="236"/>
      <c r="G233" s="236"/>
      <c r="H233" s="40">
        <f>SUM(Tabla132112414[[#This Row],[PRIMER TRIMESTRE]:[CUARTO TRIMESTRE]])</f>
        <v>0</v>
      </c>
      <c r="I233" s="17">
        <v>150</v>
      </c>
      <c r="J233" s="17">
        <f t="shared" si="5"/>
        <v>0</v>
      </c>
      <c r="K233" s="17"/>
      <c r="L233" s="16" t="s">
        <v>18</v>
      </c>
      <c r="M233" s="16" t="s">
        <v>22</v>
      </c>
      <c r="N233" s="39"/>
    </row>
    <row r="234" spans="1:14" s="12" customFormat="1" ht="18">
      <c r="A234" s="178" t="s">
        <v>80</v>
      </c>
      <c r="B234" s="77" t="s">
        <v>927</v>
      </c>
      <c r="C234" s="39" t="s">
        <v>17</v>
      </c>
      <c r="D234" s="236"/>
      <c r="E234" s="236"/>
      <c r="F234" s="236"/>
      <c r="G234" s="236"/>
      <c r="H234" s="40">
        <f>SUM(Tabla132112414[[#This Row],[PRIMER TRIMESTRE]:[CUARTO TRIMESTRE]])</f>
        <v>0</v>
      </c>
      <c r="I234" s="17">
        <v>25000</v>
      </c>
      <c r="J234" s="17">
        <f t="shared" si="5"/>
        <v>0</v>
      </c>
      <c r="K234" s="17"/>
      <c r="L234" s="16" t="s">
        <v>18</v>
      </c>
      <c r="M234" s="16" t="s">
        <v>22</v>
      </c>
      <c r="N234" s="39"/>
    </row>
    <row r="235" spans="1:14" s="12" customFormat="1" ht="18">
      <c r="A235" s="178" t="s">
        <v>80</v>
      </c>
      <c r="B235" s="77" t="s">
        <v>928</v>
      </c>
      <c r="C235" s="39" t="s">
        <v>17</v>
      </c>
      <c r="D235" s="236"/>
      <c r="E235" s="236"/>
      <c r="F235" s="236"/>
      <c r="G235" s="236"/>
      <c r="H235" s="40">
        <f>SUM(Tabla132112414[[#This Row],[PRIMER TRIMESTRE]:[CUARTO TRIMESTRE]])</f>
        <v>0</v>
      </c>
      <c r="I235" s="17">
        <v>10000</v>
      </c>
      <c r="J235" s="17">
        <f t="shared" si="5"/>
        <v>0</v>
      </c>
      <c r="K235" s="17"/>
      <c r="L235" s="16" t="s">
        <v>18</v>
      </c>
      <c r="M235" s="16" t="s">
        <v>22</v>
      </c>
      <c r="N235" s="39"/>
    </row>
    <row r="236" spans="1:14" s="12" customFormat="1" ht="18">
      <c r="A236" s="178" t="s">
        <v>80</v>
      </c>
      <c r="B236" s="77" t="s">
        <v>929</v>
      </c>
      <c r="C236" s="39" t="s">
        <v>17</v>
      </c>
      <c r="D236" s="236"/>
      <c r="E236" s="236"/>
      <c r="F236" s="236"/>
      <c r="G236" s="236"/>
      <c r="H236" s="40">
        <f>SUM(Tabla132112414[[#This Row],[PRIMER TRIMESTRE]:[CUARTO TRIMESTRE]])</f>
        <v>0</v>
      </c>
      <c r="I236" s="17">
        <v>1000</v>
      </c>
      <c r="J236" s="17">
        <f t="shared" si="5"/>
        <v>0</v>
      </c>
      <c r="K236" s="17"/>
      <c r="L236" s="16" t="s">
        <v>18</v>
      </c>
      <c r="M236" s="16" t="s">
        <v>22</v>
      </c>
      <c r="N236" s="39"/>
    </row>
    <row r="237" spans="1:14" s="12" customFormat="1" ht="18">
      <c r="A237" s="178" t="s">
        <v>80</v>
      </c>
      <c r="B237" s="77" t="s">
        <v>930</v>
      </c>
      <c r="C237" s="39" t="s">
        <v>17</v>
      </c>
      <c r="D237" s="236"/>
      <c r="E237" s="236"/>
      <c r="F237" s="236"/>
      <c r="G237" s="236"/>
      <c r="H237" s="40">
        <f>SUM(Tabla132112414[[#This Row],[PRIMER TRIMESTRE]:[CUARTO TRIMESTRE]])</f>
        <v>0</v>
      </c>
      <c r="I237" s="17">
        <v>2500</v>
      </c>
      <c r="J237" s="17">
        <f t="shared" si="5"/>
        <v>0</v>
      </c>
      <c r="K237" s="17"/>
      <c r="L237" s="16" t="s">
        <v>18</v>
      </c>
      <c r="M237" s="16" t="s">
        <v>22</v>
      </c>
      <c r="N237" s="39"/>
    </row>
    <row r="238" spans="1:14" s="12" customFormat="1" ht="18">
      <c r="A238" s="178" t="s">
        <v>80</v>
      </c>
      <c r="B238" s="77" t="s">
        <v>931</v>
      </c>
      <c r="C238" s="39" t="s">
        <v>17</v>
      </c>
      <c r="D238" s="236"/>
      <c r="E238" s="236"/>
      <c r="F238" s="236"/>
      <c r="G238" s="236"/>
      <c r="H238" s="40">
        <f>SUM(Tabla132112414[[#This Row],[PRIMER TRIMESTRE]:[CUARTO TRIMESTRE]])</f>
        <v>0</v>
      </c>
      <c r="I238" s="17">
        <v>5000</v>
      </c>
      <c r="J238" s="17">
        <f t="shared" si="5"/>
        <v>0</v>
      </c>
      <c r="K238" s="17"/>
      <c r="L238" s="16" t="s">
        <v>18</v>
      </c>
      <c r="M238" s="16" t="s">
        <v>22</v>
      </c>
      <c r="N238" s="39"/>
    </row>
    <row r="239" spans="1:14" s="12" customFormat="1" ht="18">
      <c r="A239" s="178" t="s">
        <v>80</v>
      </c>
      <c r="B239" s="75" t="s">
        <v>694</v>
      </c>
      <c r="C239" s="70" t="s">
        <v>17</v>
      </c>
      <c r="D239" s="236"/>
      <c r="E239" s="210"/>
      <c r="F239" s="210"/>
      <c r="G239" s="210"/>
      <c r="H239" s="40">
        <f>SUM(Tabla132112414[[#This Row],[PRIMER TRIMESTRE]:[CUARTO TRIMESTRE]])</f>
        <v>0</v>
      </c>
      <c r="I239" s="72">
        <v>850</v>
      </c>
      <c r="J239" s="17">
        <f t="shared" si="5"/>
        <v>0</v>
      </c>
      <c r="K239" s="17"/>
      <c r="L239" s="16" t="s">
        <v>18</v>
      </c>
      <c r="M239" s="16" t="s">
        <v>22</v>
      </c>
      <c r="N239" s="39" t="s">
        <v>418</v>
      </c>
    </row>
    <row r="240" spans="1:14" s="12" customFormat="1" ht="18">
      <c r="A240" s="178" t="s">
        <v>80</v>
      </c>
      <c r="B240" s="75" t="s">
        <v>695</v>
      </c>
      <c r="C240" s="70" t="s">
        <v>17</v>
      </c>
      <c r="D240" s="236"/>
      <c r="E240" s="210"/>
      <c r="F240" s="210"/>
      <c r="G240" s="210"/>
      <c r="H240" s="40">
        <f>SUM(Tabla132112414[[#This Row],[PRIMER TRIMESTRE]:[CUARTO TRIMESTRE]])</f>
        <v>0</v>
      </c>
      <c r="I240" s="72">
        <v>850</v>
      </c>
      <c r="J240" s="17">
        <f t="shared" si="5"/>
        <v>0</v>
      </c>
      <c r="K240" s="17"/>
      <c r="L240" s="16" t="s">
        <v>18</v>
      </c>
      <c r="M240" s="16" t="s">
        <v>22</v>
      </c>
      <c r="N240" s="39" t="s">
        <v>418</v>
      </c>
    </row>
    <row r="241" spans="1:14" s="12" customFormat="1" ht="18">
      <c r="A241" s="178" t="s">
        <v>80</v>
      </c>
      <c r="B241" s="75" t="s">
        <v>1182</v>
      </c>
      <c r="C241" s="70" t="s">
        <v>17</v>
      </c>
      <c r="D241" s="236"/>
      <c r="E241" s="210"/>
      <c r="F241" s="210"/>
      <c r="G241" s="210"/>
      <c r="H241" s="40">
        <f>SUM(Tabla132112414[[#This Row],[PRIMER TRIMESTRE]:[CUARTO TRIMESTRE]])</f>
        <v>0</v>
      </c>
      <c r="I241" s="72">
        <v>850</v>
      </c>
      <c r="J241" s="17">
        <f t="shared" si="5"/>
        <v>0</v>
      </c>
      <c r="K241" s="17"/>
      <c r="L241" s="16" t="s">
        <v>18</v>
      </c>
      <c r="M241" s="16" t="s">
        <v>22</v>
      </c>
      <c r="N241" s="39" t="s">
        <v>418</v>
      </c>
    </row>
    <row r="242" spans="1:14" s="12" customFormat="1" ht="18">
      <c r="A242" s="178" t="s">
        <v>80</v>
      </c>
      <c r="B242" s="75" t="s">
        <v>1183</v>
      </c>
      <c r="C242" s="70" t="s">
        <v>17</v>
      </c>
      <c r="D242" s="236"/>
      <c r="E242" s="210"/>
      <c r="F242" s="210"/>
      <c r="G242" s="210"/>
      <c r="H242" s="40">
        <f>SUM(Tabla132112414[[#This Row],[PRIMER TRIMESTRE]:[CUARTO TRIMESTRE]])</f>
        <v>0</v>
      </c>
      <c r="I242" s="72">
        <v>850</v>
      </c>
      <c r="J242" s="17">
        <f t="shared" si="5"/>
        <v>0</v>
      </c>
      <c r="K242" s="17"/>
      <c r="L242" s="16" t="s">
        <v>18</v>
      </c>
      <c r="M242" s="16" t="s">
        <v>22</v>
      </c>
      <c r="N242" s="39" t="s">
        <v>418</v>
      </c>
    </row>
    <row r="243" spans="1:14" s="12" customFormat="1" ht="18">
      <c r="A243" s="178" t="s">
        <v>80</v>
      </c>
      <c r="B243" s="75" t="s">
        <v>1184</v>
      </c>
      <c r="C243" s="70" t="s">
        <v>17</v>
      </c>
      <c r="D243" s="236"/>
      <c r="E243" s="210"/>
      <c r="F243" s="210"/>
      <c r="G243" s="210"/>
      <c r="H243" s="40">
        <f>SUM(Tabla132112414[[#This Row],[PRIMER TRIMESTRE]:[CUARTO TRIMESTRE]])</f>
        <v>0</v>
      </c>
      <c r="I243" s="72">
        <v>850</v>
      </c>
      <c r="J243" s="17">
        <f t="shared" si="5"/>
        <v>0</v>
      </c>
      <c r="K243" s="17"/>
      <c r="L243" s="16" t="s">
        <v>18</v>
      </c>
      <c r="M243" s="16" t="s">
        <v>22</v>
      </c>
      <c r="N243" s="39" t="s">
        <v>418</v>
      </c>
    </row>
    <row r="244" spans="1:14" s="12" customFormat="1" ht="18">
      <c r="A244" s="178" t="s">
        <v>80</v>
      </c>
      <c r="B244" s="75" t="s">
        <v>1185</v>
      </c>
      <c r="C244" s="70" t="s">
        <v>17</v>
      </c>
      <c r="D244" s="236"/>
      <c r="E244" s="210"/>
      <c r="F244" s="210"/>
      <c r="G244" s="210"/>
      <c r="H244" s="40">
        <f>SUM(Tabla132112414[[#This Row],[PRIMER TRIMESTRE]:[CUARTO TRIMESTRE]])</f>
        <v>0</v>
      </c>
      <c r="I244" s="72">
        <v>850</v>
      </c>
      <c r="J244" s="17">
        <f t="shared" si="5"/>
        <v>0</v>
      </c>
      <c r="K244" s="17"/>
      <c r="L244" s="16" t="s">
        <v>18</v>
      </c>
      <c r="M244" s="16" t="s">
        <v>22</v>
      </c>
      <c r="N244" s="39" t="s">
        <v>418</v>
      </c>
    </row>
    <row r="245" spans="1:14" s="12" customFormat="1" ht="18">
      <c r="A245" s="178" t="s">
        <v>80</v>
      </c>
      <c r="B245" s="75" t="s">
        <v>696</v>
      </c>
      <c r="C245" s="70" t="s">
        <v>17</v>
      </c>
      <c r="D245" s="236"/>
      <c r="E245" s="210"/>
      <c r="F245" s="210"/>
      <c r="G245" s="210"/>
      <c r="H245" s="40">
        <f>SUM(Tabla132112414[[#This Row],[PRIMER TRIMESTRE]:[CUARTO TRIMESTRE]])</f>
        <v>0</v>
      </c>
      <c r="I245" s="72">
        <v>970</v>
      </c>
      <c r="J245" s="17">
        <f t="shared" si="5"/>
        <v>0</v>
      </c>
      <c r="K245" s="17"/>
      <c r="L245" s="16" t="s">
        <v>18</v>
      </c>
      <c r="M245" s="16" t="s">
        <v>22</v>
      </c>
      <c r="N245" s="39" t="s">
        <v>418</v>
      </c>
    </row>
    <row r="246" spans="1:14" s="12" customFormat="1" ht="18">
      <c r="A246" s="178" t="s">
        <v>80</v>
      </c>
      <c r="B246" s="75" t="s">
        <v>1186</v>
      </c>
      <c r="C246" s="70" t="s">
        <v>17</v>
      </c>
      <c r="D246" s="236"/>
      <c r="E246" s="210"/>
      <c r="F246" s="210"/>
      <c r="G246" s="210"/>
      <c r="H246" s="40">
        <f>SUM(Tabla132112414[[#This Row],[PRIMER TRIMESTRE]:[CUARTO TRIMESTRE]])</f>
        <v>0</v>
      </c>
      <c r="I246" s="72">
        <v>850</v>
      </c>
      <c r="J246" s="17">
        <f t="shared" si="5"/>
        <v>0</v>
      </c>
      <c r="K246" s="17"/>
      <c r="L246" s="16" t="s">
        <v>18</v>
      </c>
      <c r="M246" s="16" t="s">
        <v>22</v>
      </c>
      <c r="N246" s="39" t="s">
        <v>418</v>
      </c>
    </row>
    <row r="247" spans="1:14" s="12" customFormat="1" ht="18">
      <c r="A247" s="178" t="s">
        <v>80</v>
      </c>
      <c r="B247" s="75" t="s">
        <v>1187</v>
      </c>
      <c r="C247" s="70" t="s">
        <v>17</v>
      </c>
      <c r="D247" s="236"/>
      <c r="E247" s="210"/>
      <c r="F247" s="210"/>
      <c r="G247" s="210"/>
      <c r="H247" s="40">
        <f>SUM(Tabla132112414[[#This Row],[PRIMER TRIMESTRE]:[CUARTO TRIMESTRE]])</f>
        <v>0</v>
      </c>
      <c r="I247" s="72">
        <v>850</v>
      </c>
      <c r="J247" s="17">
        <f t="shared" si="5"/>
        <v>0</v>
      </c>
      <c r="K247" s="17"/>
      <c r="L247" s="16" t="s">
        <v>18</v>
      </c>
      <c r="M247" s="16" t="s">
        <v>22</v>
      </c>
      <c r="N247" s="39" t="s">
        <v>418</v>
      </c>
    </row>
    <row r="248" spans="1:14" s="12" customFormat="1" ht="18">
      <c r="A248" s="178" t="s">
        <v>80</v>
      </c>
      <c r="B248" s="75" t="s">
        <v>1188</v>
      </c>
      <c r="C248" s="70" t="s">
        <v>17</v>
      </c>
      <c r="D248" s="236"/>
      <c r="E248" s="210"/>
      <c r="F248" s="210"/>
      <c r="G248" s="210"/>
      <c r="H248" s="40">
        <f>SUM(Tabla132112414[[#This Row],[PRIMER TRIMESTRE]:[CUARTO TRIMESTRE]])</f>
        <v>0</v>
      </c>
      <c r="I248" s="72">
        <v>850</v>
      </c>
      <c r="J248" s="17">
        <f t="shared" si="5"/>
        <v>0</v>
      </c>
      <c r="K248" s="17"/>
      <c r="L248" s="16" t="s">
        <v>18</v>
      </c>
      <c r="M248" s="16" t="s">
        <v>22</v>
      </c>
      <c r="N248" s="39" t="s">
        <v>418</v>
      </c>
    </row>
    <row r="249" spans="1:14" s="12" customFormat="1" ht="18">
      <c r="A249" s="178" t="s">
        <v>80</v>
      </c>
      <c r="B249" s="75" t="s">
        <v>1189</v>
      </c>
      <c r="C249" s="70" t="s">
        <v>17</v>
      </c>
      <c r="D249" s="236"/>
      <c r="E249" s="210"/>
      <c r="F249" s="210"/>
      <c r="G249" s="210"/>
      <c r="H249" s="40">
        <f>SUM(Tabla132112414[[#This Row],[PRIMER TRIMESTRE]:[CUARTO TRIMESTRE]])</f>
        <v>0</v>
      </c>
      <c r="I249" s="72">
        <v>850</v>
      </c>
      <c r="J249" s="17">
        <f t="shared" si="5"/>
        <v>0</v>
      </c>
      <c r="K249" s="17"/>
      <c r="L249" s="16" t="s">
        <v>18</v>
      </c>
      <c r="M249" s="16" t="s">
        <v>22</v>
      </c>
      <c r="N249" s="39" t="s">
        <v>418</v>
      </c>
    </row>
    <row r="250" spans="1:14" s="12" customFormat="1" ht="18">
      <c r="A250" s="178" t="s">
        <v>80</v>
      </c>
      <c r="B250" s="75" t="s">
        <v>1190</v>
      </c>
      <c r="C250" s="70" t="s">
        <v>17</v>
      </c>
      <c r="D250" s="236"/>
      <c r="E250" s="210"/>
      <c r="F250" s="210"/>
      <c r="G250" s="210"/>
      <c r="H250" s="40">
        <f>SUM(Tabla132112414[[#This Row],[PRIMER TRIMESTRE]:[CUARTO TRIMESTRE]])</f>
        <v>0</v>
      </c>
      <c r="I250" s="72">
        <v>970</v>
      </c>
      <c r="J250" s="17">
        <f t="shared" si="5"/>
        <v>0</v>
      </c>
      <c r="K250" s="17"/>
      <c r="L250" s="16" t="s">
        <v>18</v>
      </c>
      <c r="M250" s="16" t="s">
        <v>22</v>
      </c>
      <c r="N250" s="39" t="s">
        <v>418</v>
      </c>
    </row>
    <row r="251" spans="1:14" s="12" customFormat="1" ht="18">
      <c r="A251" s="178" t="s">
        <v>80</v>
      </c>
      <c r="B251" s="75" t="s">
        <v>1191</v>
      </c>
      <c r="C251" s="70" t="s">
        <v>17</v>
      </c>
      <c r="D251" s="236"/>
      <c r="E251" s="210"/>
      <c r="F251" s="210"/>
      <c r="G251" s="210"/>
      <c r="H251" s="40">
        <f>SUM(Tabla132112414[[#This Row],[PRIMER TRIMESTRE]:[CUARTO TRIMESTRE]])</f>
        <v>0</v>
      </c>
      <c r="I251" s="72">
        <v>970</v>
      </c>
      <c r="J251" s="17">
        <f t="shared" si="5"/>
        <v>0</v>
      </c>
      <c r="K251" s="17"/>
      <c r="L251" s="16" t="s">
        <v>18</v>
      </c>
      <c r="M251" s="16" t="s">
        <v>22</v>
      </c>
      <c r="N251" s="39" t="s">
        <v>418</v>
      </c>
    </row>
    <row r="252" spans="1:14" s="12" customFormat="1" ht="18">
      <c r="A252" s="178" t="s">
        <v>80</v>
      </c>
      <c r="B252" s="75" t="s">
        <v>1192</v>
      </c>
      <c r="C252" s="70" t="s">
        <v>17</v>
      </c>
      <c r="D252" s="236"/>
      <c r="E252" s="210"/>
      <c r="F252" s="210"/>
      <c r="G252" s="210"/>
      <c r="H252" s="40">
        <f>SUM(Tabla132112414[[#This Row],[PRIMER TRIMESTRE]:[CUARTO TRIMESTRE]])</f>
        <v>0</v>
      </c>
      <c r="I252" s="72">
        <v>970</v>
      </c>
      <c r="J252" s="17">
        <f t="shared" si="5"/>
        <v>0</v>
      </c>
      <c r="K252" s="17"/>
      <c r="L252" s="16" t="s">
        <v>18</v>
      </c>
      <c r="M252" s="16" t="s">
        <v>22</v>
      </c>
      <c r="N252" s="39" t="s">
        <v>418</v>
      </c>
    </row>
    <row r="253" spans="1:14" s="12" customFormat="1" ht="18">
      <c r="A253" s="178" t="s">
        <v>80</v>
      </c>
      <c r="B253" s="75" t="s">
        <v>1193</v>
      </c>
      <c r="C253" s="70" t="s">
        <v>17</v>
      </c>
      <c r="D253" s="236"/>
      <c r="E253" s="210"/>
      <c r="F253" s="210"/>
      <c r="G253" s="210"/>
      <c r="H253" s="40">
        <f>SUM(Tabla132112414[[#This Row],[PRIMER TRIMESTRE]:[CUARTO TRIMESTRE]])</f>
        <v>0</v>
      </c>
      <c r="I253" s="72">
        <v>970</v>
      </c>
      <c r="J253" s="17">
        <f t="shared" si="5"/>
        <v>0</v>
      </c>
      <c r="K253" s="17"/>
      <c r="L253" s="16" t="s">
        <v>18</v>
      </c>
      <c r="M253" s="16" t="s">
        <v>22</v>
      </c>
      <c r="N253" s="39" t="s">
        <v>418</v>
      </c>
    </row>
    <row r="254" spans="1:14" s="12" customFormat="1" ht="18">
      <c r="A254" s="178" t="s">
        <v>80</v>
      </c>
      <c r="B254" s="75" t="s">
        <v>1194</v>
      </c>
      <c r="C254" s="70" t="s">
        <v>17</v>
      </c>
      <c r="D254" s="236"/>
      <c r="E254" s="210"/>
      <c r="F254" s="210"/>
      <c r="G254" s="210"/>
      <c r="H254" s="40">
        <f>SUM(Tabla132112414[[#This Row],[PRIMER TRIMESTRE]:[CUARTO TRIMESTRE]])</f>
        <v>0</v>
      </c>
      <c r="I254" s="72">
        <v>970</v>
      </c>
      <c r="J254" s="17">
        <f t="shared" si="5"/>
        <v>0</v>
      </c>
      <c r="K254" s="17"/>
      <c r="L254" s="16" t="s">
        <v>18</v>
      </c>
      <c r="M254" s="16" t="s">
        <v>22</v>
      </c>
      <c r="N254" s="39" t="s">
        <v>418</v>
      </c>
    </row>
    <row r="255" spans="1:14" s="12" customFormat="1" ht="18">
      <c r="A255" s="178" t="s">
        <v>80</v>
      </c>
      <c r="B255" s="75" t="s">
        <v>1195</v>
      </c>
      <c r="C255" s="70" t="s">
        <v>17</v>
      </c>
      <c r="D255" s="236"/>
      <c r="E255" s="210"/>
      <c r="F255" s="210"/>
      <c r="G255" s="210"/>
      <c r="H255" s="40">
        <f>SUM(Tabla132112414[[#This Row],[PRIMER TRIMESTRE]:[CUARTO TRIMESTRE]])</f>
        <v>0</v>
      </c>
      <c r="I255" s="72">
        <v>1870</v>
      </c>
      <c r="J255" s="17">
        <f t="shared" si="5"/>
        <v>0</v>
      </c>
      <c r="K255" s="17"/>
      <c r="L255" s="16" t="s">
        <v>18</v>
      </c>
      <c r="M255" s="16" t="s">
        <v>22</v>
      </c>
      <c r="N255" s="39" t="s">
        <v>418</v>
      </c>
    </row>
    <row r="256" spans="1:14" s="12" customFormat="1" ht="18">
      <c r="A256" s="178" t="s">
        <v>80</v>
      </c>
      <c r="B256" s="75" t="s">
        <v>1196</v>
      </c>
      <c r="C256" s="70" t="s">
        <v>17</v>
      </c>
      <c r="D256" s="236"/>
      <c r="E256" s="210"/>
      <c r="F256" s="210"/>
      <c r="G256" s="210"/>
      <c r="H256" s="40">
        <f>SUM(Tabla132112414[[#This Row],[PRIMER TRIMESTRE]:[CUARTO TRIMESTRE]])</f>
        <v>0</v>
      </c>
      <c r="I256" s="72">
        <v>2150</v>
      </c>
      <c r="J256" s="17">
        <f t="shared" si="5"/>
        <v>0</v>
      </c>
      <c r="K256" s="17"/>
      <c r="L256" s="16" t="s">
        <v>18</v>
      </c>
      <c r="M256" s="16" t="s">
        <v>22</v>
      </c>
      <c r="N256" s="39" t="s">
        <v>418</v>
      </c>
    </row>
    <row r="257" spans="1:14" s="12" customFormat="1" ht="18">
      <c r="A257" s="178" t="s">
        <v>80</v>
      </c>
      <c r="B257" s="75" t="s">
        <v>1197</v>
      </c>
      <c r="C257" s="70" t="s">
        <v>17</v>
      </c>
      <c r="D257" s="236"/>
      <c r="E257" s="210"/>
      <c r="F257" s="210"/>
      <c r="G257" s="210"/>
      <c r="H257" s="40">
        <f>SUM(Tabla132112414[[#This Row],[PRIMER TRIMESTRE]:[CUARTO TRIMESTRE]])</f>
        <v>0</v>
      </c>
      <c r="I257" s="72">
        <v>2860</v>
      </c>
      <c r="J257" s="17">
        <f t="shared" si="5"/>
        <v>0</v>
      </c>
      <c r="K257" s="17"/>
      <c r="L257" s="16" t="s">
        <v>18</v>
      </c>
      <c r="M257" s="16" t="s">
        <v>22</v>
      </c>
      <c r="N257" s="39" t="s">
        <v>418</v>
      </c>
    </row>
    <row r="258" spans="1:14" s="12" customFormat="1" ht="18">
      <c r="A258" s="178" t="s">
        <v>80</v>
      </c>
      <c r="B258" s="75" t="s">
        <v>1198</v>
      </c>
      <c r="C258" s="70" t="s">
        <v>17</v>
      </c>
      <c r="D258" s="236"/>
      <c r="E258" s="210"/>
      <c r="F258" s="210"/>
      <c r="G258" s="210"/>
      <c r="H258" s="40">
        <f>SUM(Tabla132112414[[#This Row],[PRIMER TRIMESTRE]:[CUARTO TRIMESTRE]])</f>
        <v>0</v>
      </c>
      <c r="I258" s="72">
        <v>2860</v>
      </c>
      <c r="J258" s="17">
        <f t="shared" si="5"/>
        <v>0</v>
      </c>
      <c r="K258" s="17"/>
      <c r="L258" s="16" t="s">
        <v>18</v>
      </c>
      <c r="M258" s="16" t="s">
        <v>22</v>
      </c>
      <c r="N258" s="39" t="s">
        <v>418</v>
      </c>
    </row>
    <row r="259" spans="1:14" s="12" customFormat="1" ht="18">
      <c r="A259" s="178" t="s">
        <v>80</v>
      </c>
      <c r="B259" s="75" t="s">
        <v>1199</v>
      </c>
      <c r="C259" s="70" t="s">
        <v>17</v>
      </c>
      <c r="D259" s="236"/>
      <c r="E259" s="210"/>
      <c r="F259" s="210"/>
      <c r="G259" s="210"/>
      <c r="H259" s="40">
        <f>SUM(Tabla132112414[[#This Row],[PRIMER TRIMESTRE]:[CUARTO TRIMESTRE]])</f>
        <v>0</v>
      </c>
      <c r="I259" s="72">
        <v>2860</v>
      </c>
      <c r="J259" s="17">
        <f t="shared" si="5"/>
        <v>0</v>
      </c>
      <c r="K259" s="17"/>
      <c r="L259" s="16" t="s">
        <v>18</v>
      </c>
      <c r="M259" s="16" t="s">
        <v>22</v>
      </c>
      <c r="N259" s="39" t="s">
        <v>418</v>
      </c>
    </row>
    <row r="260" spans="1:14" s="12" customFormat="1" ht="18">
      <c r="A260" s="178" t="s">
        <v>80</v>
      </c>
      <c r="B260" s="75" t="s">
        <v>1200</v>
      </c>
      <c r="C260" s="70" t="s">
        <v>17</v>
      </c>
      <c r="D260" s="236"/>
      <c r="E260" s="210"/>
      <c r="F260" s="210"/>
      <c r="G260" s="210"/>
      <c r="H260" s="40">
        <f>SUM(Tabla132112414[[#This Row],[PRIMER TRIMESTRE]:[CUARTO TRIMESTRE]])</f>
        <v>0</v>
      </c>
      <c r="I260" s="72">
        <v>2860</v>
      </c>
      <c r="J260" s="17">
        <f t="shared" si="5"/>
        <v>0</v>
      </c>
      <c r="K260" s="17"/>
      <c r="L260" s="16" t="s">
        <v>18</v>
      </c>
      <c r="M260" s="16" t="s">
        <v>22</v>
      </c>
      <c r="N260" s="39" t="s">
        <v>418</v>
      </c>
    </row>
    <row r="261" spans="1:14" s="12" customFormat="1" ht="18">
      <c r="A261" s="178" t="s">
        <v>80</v>
      </c>
      <c r="B261" s="75" t="s">
        <v>697</v>
      </c>
      <c r="C261" s="70" t="s">
        <v>17</v>
      </c>
      <c r="D261" s="236"/>
      <c r="E261" s="210"/>
      <c r="F261" s="210"/>
      <c r="G261" s="210"/>
      <c r="H261" s="40">
        <f>SUM(Tabla132112414[[#This Row],[PRIMER TRIMESTRE]:[CUARTO TRIMESTRE]])</f>
        <v>0</v>
      </c>
      <c r="I261" s="72">
        <v>1870</v>
      </c>
      <c r="J261" s="17">
        <f t="shared" si="5"/>
        <v>0</v>
      </c>
      <c r="K261" s="17"/>
      <c r="L261" s="16" t="s">
        <v>18</v>
      </c>
      <c r="M261" s="16" t="s">
        <v>22</v>
      </c>
      <c r="N261" s="39" t="s">
        <v>418</v>
      </c>
    </row>
    <row r="262" spans="1:14" s="12" customFormat="1" ht="18">
      <c r="A262" s="178" t="s">
        <v>80</v>
      </c>
      <c r="B262" s="75" t="s">
        <v>698</v>
      </c>
      <c r="C262" s="39" t="s">
        <v>17</v>
      </c>
      <c r="D262" s="236"/>
      <c r="E262" s="236"/>
      <c r="F262" s="236"/>
      <c r="G262" s="236"/>
      <c r="H262" s="40">
        <f>SUM(Tabla132112414[[#This Row],[PRIMER TRIMESTRE]:[CUARTO TRIMESTRE]])</f>
        <v>0</v>
      </c>
      <c r="I262" s="72">
        <v>2150</v>
      </c>
      <c r="J262" s="17">
        <f t="shared" si="5"/>
        <v>0</v>
      </c>
      <c r="K262" s="17"/>
      <c r="L262" s="16" t="s">
        <v>18</v>
      </c>
      <c r="M262" s="16" t="s">
        <v>22</v>
      </c>
      <c r="N262" s="39" t="s">
        <v>418</v>
      </c>
    </row>
    <row r="263" spans="1:14" s="12" customFormat="1" ht="18">
      <c r="A263" s="178" t="s">
        <v>80</v>
      </c>
      <c r="B263" s="75" t="s">
        <v>699</v>
      </c>
      <c r="C263" s="39" t="s">
        <v>17</v>
      </c>
      <c r="D263" s="236"/>
      <c r="E263" s="236"/>
      <c r="F263" s="236"/>
      <c r="G263" s="236"/>
      <c r="H263" s="40">
        <f>SUM(Tabla132112414[[#This Row],[PRIMER TRIMESTRE]:[CUARTO TRIMESTRE]])</f>
        <v>0</v>
      </c>
      <c r="I263" s="72">
        <v>2860</v>
      </c>
      <c r="J263" s="17">
        <f t="shared" si="5"/>
        <v>0</v>
      </c>
      <c r="K263" s="17"/>
      <c r="L263" s="16" t="s">
        <v>18</v>
      </c>
      <c r="M263" s="16" t="s">
        <v>22</v>
      </c>
      <c r="N263" s="39" t="s">
        <v>418</v>
      </c>
    </row>
    <row r="264" spans="1:14" s="12" customFormat="1" ht="18">
      <c r="A264" s="178" t="s">
        <v>80</v>
      </c>
      <c r="B264" s="75" t="s">
        <v>1201</v>
      </c>
      <c r="C264" s="39" t="s">
        <v>17</v>
      </c>
      <c r="D264" s="236"/>
      <c r="E264" s="236"/>
      <c r="F264" s="236"/>
      <c r="G264" s="236"/>
      <c r="H264" s="40">
        <f>SUM(Tabla132112414[[#This Row],[PRIMER TRIMESTRE]:[CUARTO TRIMESTRE]])</f>
        <v>0</v>
      </c>
      <c r="I264" s="72">
        <v>250</v>
      </c>
      <c r="J264" s="17">
        <f t="shared" si="5"/>
        <v>0</v>
      </c>
      <c r="K264" s="17"/>
      <c r="L264" s="16" t="s">
        <v>18</v>
      </c>
      <c r="M264" s="16" t="s">
        <v>22</v>
      </c>
      <c r="N264" s="39" t="s">
        <v>418</v>
      </c>
    </row>
    <row r="265" spans="1:14" s="12" customFormat="1" ht="18">
      <c r="A265" s="178" t="s">
        <v>80</v>
      </c>
      <c r="B265" s="75" t="s">
        <v>1202</v>
      </c>
      <c r="C265" s="39" t="s">
        <v>17</v>
      </c>
      <c r="D265" s="236"/>
      <c r="E265" s="236"/>
      <c r="F265" s="236"/>
      <c r="G265" s="236"/>
      <c r="H265" s="40">
        <f>SUM(Tabla132112414[[#This Row],[PRIMER TRIMESTRE]:[CUARTO TRIMESTRE]])</f>
        <v>0</v>
      </c>
      <c r="I265" s="72">
        <v>275</v>
      </c>
      <c r="J265" s="17">
        <f t="shared" si="5"/>
        <v>0</v>
      </c>
      <c r="K265" s="17"/>
      <c r="L265" s="16" t="s">
        <v>18</v>
      </c>
      <c r="M265" s="16" t="s">
        <v>22</v>
      </c>
      <c r="N265" s="39" t="s">
        <v>418</v>
      </c>
    </row>
    <row r="266" spans="1:14" s="12" customFormat="1" ht="18">
      <c r="A266" s="178" t="s">
        <v>80</v>
      </c>
      <c r="B266" s="75" t="s">
        <v>1203</v>
      </c>
      <c r="C266" s="39" t="s">
        <v>17</v>
      </c>
      <c r="D266" s="236"/>
      <c r="E266" s="236"/>
      <c r="F266" s="236"/>
      <c r="G266" s="236"/>
      <c r="H266" s="40">
        <f>SUM(Tabla132112414[[#This Row],[PRIMER TRIMESTRE]:[CUARTO TRIMESTRE]])</f>
        <v>0</v>
      </c>
      <c r="I266" s="72">
        <v>300</v>
      </c>
      <c r="J266" s="17">
        <f t="shared" si="5"/>
        <v>0</v>
      </c>
      <c r="K266" s="17"/>
      <c r="L266" s="16" t="s">
        <v>18</v>
      </c>
      <c r="M266" s="16" t="s">
        <v>22</v>
      </c>
      <c r="N266" s="39" t="s">
        <v>418</v>
      </c>
    </row>
    <row r="267" spans="1:14" s="12" customFormat="1" ht="18">
      <c r="A267" s="178" t="s">
        <v>80</v>
      </c>
      <c r="B267" s="75" t="s">
        <v>1204</v>
      </c>
      <c r="C267" s="39" t="s">
        <v>17</v>
      </c>
      <c r="D267" s="236"/>
      <c r="E267" s="236"/>
      <c r="F267" s="236"/>
      <c r="G267" s="236"/>
      <c r="H267" s="40">
        <f>SUM(Tabla132112414[[#This Row],[PRIMER TRIMESTRE]:[CUARTO TRIMESTRE]])</f>
        <v>0</v>
      </c>
      <c r="I267" s="72">
        <v>400</v>
      </c>
      <c r="J267" s="17">
        <f t="shared" si="5"/>
        <v>0</v>
      </c>
      <c r="K267" s="17"/>
      <c r="L267" s="16" t="s">
        <v>18</v>
      </c>
      <c r="M267" s="16" t="s">
        <v>22</v>
      </c>
      <c r="N267" s="39" t="s">
        <v>418</v>
      </c>
    </row>
    <row r="268" spans="1:14" s="12" customFormat="1" ht="18">
      <c r="A268" s="178" t="s">
        <v>80</v>
      </c>
      <c r="B268" s="75" t="s">
        <v>1205</v>
      </c>
      <c r="C268" s="39" t="s">
        <v>17</v>
      </c>
      <c r="D268" s="236"/>
      <c r="E268" s="236"/>
      <c r="F268" s="236"/>
      <c r="G268" s="236"/>
      <c r="H268" s="40">
        <f>SUM(Tabla132112414[[#This Row],[PRIMER TRIMESTRE]:[CUARTO TRIMESTRE]])</f>
        <v>0</v>
      </c>
      <c r="I268" s="72">
        <v>600</v>
      </c>
      <c r="J268" s="17">
        <f t="shared" si="5"/>
        <v>0</v>
      </c>
      <c r="K268" s="17"/>
      <c r="L268" s="16" t="s">
        <v>18</v>
      </c>
      <c r="M268" s="16" t="s">
        <v>22</v>
      </c>
      <c r="N268" s="39" t="s">
        <v>418</v>
      </c>
    </row>
    <row r="269" spans="1:14" s="12" customFormat="1" ht="18">
      <c r="A269" s="178" t="s">
        <v>80</v>
      </c>
      <c r="B269" s="75" t="s">
        <v>1206</v>
      </c>
      <c r="C269" s="39" t="s">
        <v>17</v>
      </c>
      <c r="D269" s="236"/>
      <c r="E269" s="236"/>
      <c r="F269" s="236"/>
      <c r="G269" s="236"/>
      <c r="H269" s="40">
        <f>SUM(Tabla132112414[[#This Row],[PRIMER TRIMESTRE]:[CUARTO TRIMESTRE]])</f>
        <v>0</v>
      </c>
      <c r="I269" s="72">
        <v>800</v>
      </c>
      <c r="J269" s="17">
        <f t="shared" si="5"/>
        <v>0</v>
      </c>
      <c r="K269" s="17"/>
      <c r="L269" s="16" t="s">
        <v>18</v>
      </c>
      <c r="M269" s="16" t="s">
        <v>22</v>
      </c>
      <c r="N269" s="39" t="s">
        <v>418</v>
      </c>
    </row>
    <row r="270" spans="1:14" s="12" customFormat="1" ht="18">
      <c r="A270" s="178" t="s">
        <v>80</v>
      </c>
      <c r="B270" s="75" t="s">
        <v>1207</v>
      </c>
      <c r="C270" s="39" t="s">
        <v>17</v>
      </c>
      <c r="D270" s="236"/>
      <c r="E270" s="236"/>
      <c r="F270" s="236"/>
      <c r="G270" s="236"/>
      <c r="H270" s="40">
        <f>SUM(Tabla132112414[[#This Row],[PRIMER TRIMESTRE]:[CUARTO TRIMESTRE]])</f>
        <v>0</v>
      </c>
      <c r="I270" s="72">
        <v>1200</v>
      </c>
      <c r="J270" s="17">
        <f t="shared" si="5"/>
        <v>0</v>
      </c>
      <c r="K270" s="17"/>
      <c r="L270" s="16" t="s">
        <v>18</v>
      </c>
      <c r="M270" s="16" t="s">
        <v>22</v>
      </c>
      <c r="N270" s="39" t="s">
        <v>418</v>
      </c>
    </row>
    <row r="271" spans="1:14" s="12" customFormat="1" ht="18">
      <c r="A271" s="178" t="s">
        <v>80</v>
      </c>
      <c r="B271" s="75" t="s">
        <v>1208</v>
      </c>
      <c r="C271" s="39" t="s">
        <v>17</v>
      </c>
      <c r="D271" s="236"/>
      <c r="E271" s="236"/>
      <c r="F271" s="236"/>
      <c r="G271" s="236"/>
      <c r="H271" s="40">
        <f>SUM(Tabla132112414[[#This Row],[PRIMER TRIMESTRE]:[CUARTO TRIMESTRE]])</f>
        <v>0</v>
      </c>
      <c r="I271" s="72">
        <v>1600</v>
      </c>
      <c r="J271" s="17">
        <f t="shared" si="5"/>
        <v>0</v>
      </c>
      <c r="K271" s="17"/>
      <c r="L271" s="16" t="s">
        <v>18</v>
      </c>
      <c r="M271" s="16" t="s">
        <v>22</v>
      </c>
      <c r="N271" s="39" t="s">
        <v>418</v>
      </c>
    </row>
    <row r="272" spans="1:14" s="12" customFormat="1" ht="18">
      <c r="A272" s="178" t="s">
        <v>80</v>
      </c>
      <c r="B272" s="75" t="s">
        <v>1209</v>
      </c>
      <c r="C272" s="39" t="s">
        <v>17</v>
      </c>
      <c r="D272" s="236"/>
      <c r="E272" s="236"/>
      <c r="F272" s="236"/>
      <c r="G272" s="236"/>
      <c r="H272" s="40">
        <f>SUM(Tabla132112414[[#This Row],[PRIMER TRIMESTRE]:[CUARTO TRIMESTRE]])</f>
        <v>0</v>
      </c>
      <c r="I272" s="72">
        <v>1800</v>
      </c>
      <c r="J272" s="17">
        <f t="shared" si="5"/>
        <v>0</v>
      </c>
      <c r="K272" s="17"/>
      <c r="L272" s="16" t="s">
        <v>18</v>
      </c>
      <c r="M272" s="16" t="s">
        <v>22</v>
      </c>
      <c r="N272" s="39" t="s">
        <v>418</v>
      </c>
    </row>
    <row r="273" spans="1:14" s="12" customFormat="1" ht="18">
      <c r="A273" s="178" t="s">
        <v>80</v>
      </c>
      <c r="B273" s="75" t="s">
        <v>1210</v>
      </c>
      <c r="C273" s="39" t="s">
        <v>17</v>
      </c>
      <c r="D273" s="236"/>
      <c r="E273" s="236"/>
      <c r="F273" s="236"/>
      <c r="G273" s="236"/>
      <c r="H273" s="40">
        <f>SUM(Tabla132112414[[#This Row],[PRIMER TRIMESTRE]:[CUARTO TRIMESTRE]])</f>
        <v>0</v>
      </c>
      <c r="I273" s="72">
        <v>2000</v>
      </c>
      <c r="J273" s="17">
        <f t="shared" si="5"/>
        <v>0</v>
      </c>
      <c r="K273" s="17"/>
      <c r="L273" s="16" t="s">
        <v>18</v>
      </c>
      <c r="M273" s="16" t="s">
        <v>22</v>
      </c>
      <c r="N273" s="39" t="s">
        <v>418</v>
      </c>
    </row>
    <row r="274" spans="1:14" s="12" customFormat="1" ht="18">
      <c r="A274" s="178" t="s">
        <v>80</v>
      </c>
      <c r="B274" s="75" t="s">
        <v>1211</v>
      </c>
      <c r="C274" s="39" t="s">
        <v>17</v>
      </c>
      <c r="D274" s="236"/>
      <c r="E274" s="236"/>
      <c r="F274" s="236"/>
      <c r="G274" s="236"/>
      <c r="H274" s="40">
        <f>SUM(Tabla132112414[[#This Row],[PRIMER TRIMESTRE]:[CUARTO TRIMESTRE]])</f>
        <v>0</v>
      </c>
      <c r="I274" s="72">
        <v>3200</v>
      </c>
      <c r="J274" s="17">
        <f t="shared" si="5"/>
        <v>0</v>
      </c>
      <c r="K274" s="17"/>
      <c r="L274" s="16" t="s">
        <v>18</v>
      </c>
      <c r="M274" s="16" t="s">
        <v>22</v>
      </c>
      <c r="N274" s="39" t="s">
        <v>418</v>
      </c>
    </row>
    <row r="275" spans="1:14" s="12" customFormat="1" ht="18">
      <c r="A275" s="178" t="s">
        <v>80</v>
      </c>
      <c r="B275" s="75" t="s">
        <v>1212</v>
      </c>
      <c r="C275" s="39" t="s">
        <v>17</v>
      </c>
      <c r="D275" s="236"/>
      <c r="E275" s="236"/>
      <c r="F275" s="236"/>
      <c r="G275" s="236"/>
      <c r="H275" s="40">
        <f>SUM(Tabla132112414[[#This Row],[PRIMER TRIMESTRE]:[CUARTO TRIMESTRE]])</f>
        <v>0</v>
      </c>
      <c r="I275" s="72">
        <v>3800</v>
      </c>
      <c r="J275" s="17">
        <f t="shared" si="5"/>
        <v>0</v>
      </c>
      <c r="K275" s="17"/>
      <c r="L275" s="16" t="s">
        <v>18</v>
      </c>
      <c r="M275" s="16" t="s">
        <v>22</v>
      </c>
      <c r="N275" s="39" t="s">
        <v>418</v>
      </c>
    </row>
    <row r="276" spans="1:14" s="12" customFormat="1" ht="18">
      <c r="A276" s="178" t="s">
        <v>80</v>
      </c>
      <c r="B276" s="75" t="s">
        <v>580</v>
      </c>
      <c r="C276" s="39" t="s">
        <v>17</v>
      </c>
      <c r="D276" s="236"/>
      <c r="E276" s="236"/>
      <c r="F276" s="236"/>
      <c r="G276" s="236"/>
      <c r="H276" s="40">
        <f>SUM(Tabla132112414[[#This Row],[PRIMER TRIMESTRE]:[CUARTO TRIMESTRE]])</f>
        <v>0</v>
      </c>
      <c r="I276" s="17">
        <v>29</v>
      </c>
      <c r="J276" s="17">
        <f t="shared" si="5"/>
        <v>0</v>
      </c>
      <c r="K276" s="17"/>
      <c r="L276" s="16" t="s">
        <v>18</v>
      </c>
      <c r="M276" s="16" t="s">
        <v>22</v>
      </c>
      <c r="N276" s="39" t="s">
        <v>418</v>
      </c>
    </row>
    <row r="277" spans="1:14" s="12" customFormat="1" ht="18">
      <c r="A277" s="178" t="s">
        <v>80</v>
      </c>
      <c r="B277" s="75" t="s">
        <v>579</v>
      </c>
      <c r="C277" s="39" t="s">
        <v>17</v>
      </c>
      <c r="D277" s="236"/>
      <c r="E277" s="236"/>
      <c r="F277" s="236"/>
      <c r="G277" s="236"/>
      <c r="H277" s="40">
        <f>SUM(Tabla132112414[[#This Row],[PRIMER TRIMESTRE]:[CUARTO TRIMESTRE]])</f>
        <v>0</v>
      </c>
      <c r="I277" s="17">
        <v>31.16</v>
      </c>
      <c r="J277" s="17">
        <f t="shared" si="5"/>
        <v>0</v>
      </c>
      <c r="K277" s="17"/>
      <c r="L277" s="16" t="s">
        <v>18</v>
      </c>
      <c r="M277" s="16" t="s">
        <v>22</v>
      </c>
      <c r="N277" s="39" t="s">
        <v>418</v>
      </c>
    </row>
    <row r="278" spans="1:14" s="12" customFormat="1" ht="18">
      <c r="A278" s="178" t="s">
        <v>80</v>
      </c>
      <c r="B278" s="75" t="s">
        <v>581</v>
      </c>
      <c r="C278" s="39" t="s">
        <v>17</v>
      </c>
      <c r="D278" s="236"/>
      <c r="E278" s="236"/>
      <c r="F278" s="236"/>
      <c r="G278" s="236"/>
      <c r="H278" s="40">
        <f>SUM(Tabla132112414[[#This Row],[PRIMER TRIMESTRE]:[CUARTO TRIMESTRE]])</f>
        <v>0</v>
      </c>
      <c r="I278" s="17">
        <v>54.52</v>
      </c>
      <c r="J278" s="17">
        <f t="shared" si="5"/>
        <v>0</v>
      </c>
      <c r="K278" s="17"/>
      <c r="L278" s="16" t="s">
        <v>18</v>
      </c>
      <c r="M278" s="16" t="s">
        <v>22</v>
      </c>
      <c r="N278" s="39" t="s">
        <v>418</v>
      </c>
    </row>
    <row r="279" spans="1:14" s="12" customFormat="1" ht="18">
      <c r="A279" s="178" t="s">
        <v>80</v>
      </c>
      <c r="B279" s="75" t="s">
        <v>582</v>
      </c>
      <c r="C279" s="39" t="s">
        <v>17</v>
      </c>
      <c r="D279" s="236"/>
      <c r="E279" s="236"/>
      <c r="F279" s="236"/>
      <c r="G279" s="236"/>
      <c r="H279" s="40">
        <f>SUM(Tabla132112414[[#This Row],[PRIMER TRIMESTRE]:[CUARTO TRIMESTRE]])</f>
        <v>0</v>
      </c>
      <c r="I279" s="17">
        <v>55.84</v>
      </c>
      <c r="J279" s="17">
        <f t="shared" si="5"/>
        <v>0</v>
      </c>
      <c r="K279" s="17"/>
      <c r="L279" s="16" t="s">
        <v>18</v>
      </c>
      <c r="M279" s="16" t="s">
        <v>22</v>
      </c>
      <c r="N279" s="39" t="s">
        <v>418</v>
      </c>
    </row>
    <row r="280" spans="1:14" s="12" customFormat="1" ht="18">
      <c r="A280" s="178" t="s">
        <v>80</v>
      </c>
      <c r="B280" s="75" t="s">
        <v>583</v>
      </c>
      <c r="C280" s="39" t="s">
        <v>17</v>
      </c>
      <c r="D280" s="236"/>
      <c r="E280" s="236"/>
      <c r="F280" s="236"/>
      <c r="G280" s="236"/>
      <c r="H280" s="40">
        <f>SUM(Tabla132112414[[#This Row],[PRIMER TRIMESTRE]:[CUARTO TRIMESTRE]])</f>
        <v>0</v>
      </c>
      <c r="I280" s="17">
        <v>67.28</v>
      </c>
      <c r="J280" s="17">
        <f t="shared" si="5"/>
        <v>0</v>
      </c>
      <c r="K280" s="17"/>
      <c r="L280" s="16" t="s">
        <v>18</v>
      </c>
      <c r="M280" s="16" t="s">
        <v>22</v>
      </c>
      <c r="N280" s="39" t="s">
        <v>418</v>
      </c>
    </row>
    <row r="281" spans="1:14" s="12" customFormat="1" ht="18">
      <c r="A281" s="178" t="s">
        <v>80</v>
      </c>
      <c r="B281" s="75" t="s">
        <v>584</v>
      </c>
      <c r="C281" s="39" t="s">
        <v>17</v>
      </c>
      <c r="D281" s="236"/>
      <c r="E281" s="236"/>
      <c r="F281" s="236"/>
      <c r="G281" s="236"/>
      <c r="H281" s="40">
        <f>SUM(Tabla132112414[[#This Row],[PRIMER TRIMESTRE]:[CUARTO TRIMESTRE]])</f>
        <v>0</v>
      </c>
      <c r="I281" s="17">
        <v>68.28</v>
      </c>
      <c r="J281" s="17">
        <f t="shared" si="5"/>
        <v>0</v>
      </c>
      <c r="K281" s="17"/>
      <c r="L281" s="16" t="s">
        <v>18</v>
      </c>
      <c r="M281" s="16" t="s">
        <v>22</v>
      </c>
      <c r="N281" s="39" t="s">
        <v>418</v>
      </c>
    </row>
    <row r="282" spans="1:14" s="12" customFormat="1" ht="18">
      <c r="A282" s="178" t="s">
        <v>80</v>
      </c>
      <c r="B282" s="75" t="s">
        <v>585</v>
      </c>
      <c r="C282" s="39" t="s">
        <v>17</v>
      </c>
      <c r="D282" s="236"/>
      <c r="E282" s="236"/>
      <c r="F282" s="236"/>
      <c r="G282" s="236"/>
      <c r="H282" s="40">
        <f>SUM(Tabla132112414[[#This Row],[PRIMER TRIMESTRE]:[CUARTO TRIMESTRE]])</f>
        <v>0</v>
      </c>
      <c r="I282" s="17">
        <v>80</v>
      </c>
      <c r="J282" s="17">
        <f t="shared" si="5"/>
        <v>0</v>
      </c>
      <c r="K282" s="17"/>
      <c r="L282" s="16" t="s">
        <v>18</v>
      </c>
      <c r="M282" s="16" t="s">
        <v>22</v>
      </c>
      <c r="N282" s="39" t="s">
        <v>418</v>
      </c>
    </row>
    <row r="283" spans="1:14" s="12" customFormat="1" ht="18">
      <c r="A283" s="178" t="s">
        <v>80</v>
      </c>
      <c r="B283" s="75" t="s">
        <v>586</v>
      </c>
      <c r="C283" s="39" t="s">
        <v>17</v>
      </c>
      <c r="D283" s="236"/>
      <c r="E283" s="236"/>
      <c r="F283" s="236"/>
      <c r="G283" s="236"/>
      <c r="H283" s="40">
        <f>SUM(Tabla132112414[[#This Row],[PRIMER TRIMESTRE]:[CUARTO TRIMESTRE]])</f>
        <v>0</v>
      </c>
      <c r="I283" s="72">
        <v>85</v>
      </c>
      <c r="J283" s="17">
        <f t="shared" si="5"/>
        <v>0</v>
      </c>
      <c r="K283" s="17"/>
      <c r="L283" s="16" t="s">
        <v>18</v>
      </c>
      <c r="M283" s="16" t="s">
        <v>22</v>
      </c>
      <c r="N283" s="39" t="s">
        <v>418</v>
      </c>
    </row>
    <row r="284" spans="1:14" s="12" customFormat="1" ht="18">
      <c r="A284" s="178" t="s">
        <v>80</v>
      </c>
      <c r="B284" s="75" t="s">
        <v>587</v>
      </c>
      <c r="C284" s="39" t="s">
        <v>17</v>
      </c>
      <c r="D284" s="236"/>
      <c r="E284" s="236"/>
      <c r="F284" s="236"/>
      <c r="G284" s="236"/>
      <c r="H284" s="40">
        <f>SUM(Tabla132112414[[#This Row],[PRIMER TRIMESTRE]:[CUARTO TRIMESTRE]])</f>
        <v>0</v>
      </c>
      <c r="I284" s="72">
        <v>1044.3</v>
      </c>
      <c r="J284" s="17">
        <f t="shared" ref="J284:J291" si="6">+H284*I284</f>
        <v>0</v>
      </c>
      <c r="K284" s="17"/>
      <c r="L284" s="16" t="s">
        <v>18</v>
      </c>
      <c r="M284" s="16" t="s">
        <v>22</v>
      </c>
      <c r="N284" s="39" t="s">
        <v>418</v>
      </c>
    </row>
    <row r="285" spans="1:14" s="12" customFormat="1" ht="18">
      <c r="A285" s="178" t="s">
        <v>80</v>
      </c>
      <c r="B285" s="75" t="s">
        <v>588</v>
      </c>
      <c r="C285" s="39" t="s">
        <v>17</v>
      </c>
      <c r="D285" s="236"/>
      <c r="E285" s="236"/>
      <c r="F285" s="236"/>
      <c r="G285" s="236"/>
      <c r="H285" s="40">
        <f>SUM(Tabla132112414[[#This Row],[PRIMER TRIMESTRE]:[CUARTO TRIMESTRE]])</f>
        <v>0</v>
      </c>
      <c r="I285" s="17">
        <v>1000</v>
      </c>
      <c r="J285" s="17">
        <f t="shared" si="6"/>
        <v>0</v>
      </c>
      <c r="K285" s="17"/>
      <c r="L285" s="16" t="s">
        <v>18</v>
      </c>
      <c r="M285" s="16" t="s">
        <v>22</v>
      </c>
      <c r="N285" s="39" t="s">
        <v>418</v>
      </c>
    </row>
    <row r="286" spans="1:14" s="12" customFormat="1" ht="18">
      <c r="A286" s="178" t="s">
        <v>80</v>
      </c>
      <c r="B286" s="75" t="s">
        <v>589</v>
      </c>
      <c r="C286" s="39" t="s">
        <v>17</v>
      </c>
      <c r="D286" s="236"/>
      <c r="E286" s="236"/>
      <c r="F286" s="236"/>
      <c r="G286" s="236"/>
      <c r="H286" s="40">
        <f>SUM(Tabla132112414[[#This Row],[PRIMER TRIMESTRE]:[CUARTO TRIMESTRE]])</f>
        <v>0</v>
      </c>
      <c r="I286" s="72">
        <v>1144.5999999999999</v>
      </c>
      <c r="J286" s="17">
        <f t="shared" si="6"/>
        <v>0</v>
      </c>
      <c r="K286" s="17"/>
      <c r="L286" s="16" t="s">
        <v>18</v>
      </c>
      <c r="M286" s="16" t="s">
        <v>22</v>
      </c>
      <c r="N286" s="39" t="s">
        <v>418</v>
      </c>
    </row>
    <row r="287" spans="1:14" s="12" customFormat="1" ht="18">
      <c r="A287" s="178" t="s">
        <v>80</v>
      </c>
      <c r="B287" s="75" t="s">
        <v>590</v>
      </c>
      <c r="C287" s="39" t="s">
        <v>17</v>
      </c>
      <c r="D287" s="236"/>
      <c r="E287" s="236"/>
      <c r="F287" s="236"/>
      <c r="G287" s="236"/>
      <c r="H287" s="40">
        <f>SUM(Tabla132112414[[#This Row],[PRIMER TRIMESTRE]:[CUARTO TRIMESTRE]])</f>
        <v>0</v>
      </c>
      <c r="I287" s="72">
        <v>1534</v>
      </c>
      <c r="J287" s="17">
        <f t="shared" si="6"/>
        <v>0</v>
      </c>
      <c r="K287" s="17"/>
      <c r="L287" s="16" t="s">
        <v>18</v>
      </c>
      <c r="M287" s="16" t="s">
        <v>22</v>
      </c>
      <c r="N287" s="39" t="s">
        <v>418</v>
      </c>
    </row>
    <row r="288" spans="1:14" s="12" customFormat="1" ht="18">
      <c r="A288" s="178" t="s">
        <v>80</v>
      </c>
      <c r="B288" s="75" t="s">
        <v>1546</v>
      </c>
      <c r="C288" s="39" t="s">
        <v>17</v>
      </c>
      <c r="D288" s="236"/>
      <c r="E288" s="236"/>
      <c r="F288" s="236"/>
      <c r="G288" s="236"/>
      <c r="H288" s="236">
        <f>SUM(Tabla132112414[[#This Row],[PRIMER TRIMESTRE]:[CUARTO TRIMESTRE]])</f>
        <v>0</v>
      </c>
      <c r="I288" s="72">
        <v>910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</row>
    <row r="289" spans="1:14" s="12" customFormat="1" ht="18">
      <c r="A289" s="178" t="s">
        <v>80</v>
      </c>
      <c r="B289" s="75" t="s">
        <v>594</v>
      </c>
      <c r="C289" s="39" t="s">
        <v>17</v>
      </c>
      <c r="D289" s="236"/>
      <c r="E289" s="236"/>
      <c r="F289" s="236"/>
      <c r="G289" s="236"/>
      <c r="H289" s="40">
        <f>SUM(Tabla132112414[[#This Row],[PRIMER TRIMESTRE]:[CUARTO TRIMESTRE]])</f>
        <v>0</v>
      </c>
      <c r="I289" s="17">
        <v>6.37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</row>
    <row r="290" spans="1:14" s="12" customFormat="1" ht="18">
      <c r="A290" s="178" t="s">
        <v>80</v>
      </c>
      <c r="B290" s="75" t="s">
        <v>595</v>
      </c>
      <c r="C290" s="39" t="s">
        <v>17</v>
      </c>
      <c r="D290" s="236"/>
      <c r="E290" s="236"/>
      <c r="F290" s="236"/>
      <c r="G290" s="236"/>
      <c r="H290" s="40">
        <f>SUM(Tabla132112414[[#This Row],[PRIMER TRIMESTRE]:[CUARTO TRIMESTRE]])</f>
        <v>0</v>
      </c>
      <c r="I290" s="17">
        <v>11.82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</row>
    <row r="291" spans="1:14" s="12" customFormat="1" ht="18">
      <c r="A291" s="178" t="s">
        <v>80</v>
      </c>
      <c r="B291" s="75" t="s">
        <v>596</v>
      </c>
      <c r="C291" s="39" t="s">
        <v>17</v>
      </c>
      <c r="D291" s="236"/>
      <c r="E291" s="236"/>
      <c r="F291" s="236"/>
      <c r="G291" s="236"/>
      <c r="H291" s="40">
        <f>SUM(Tabla132112414[[#This Row],[PRIMER TRIMESTRE]:[CUARTO TRIMESTRE]])</f>
        <v>0</v>
      </c>
      <c r="I291" s="17">
        <v>15.46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</row>
    <row r="292" spans="1:14" s="12" customFormat="1" ht="18">
      <c r="A292" s="178" t="s">
        <v>80</v>
      </c>
      <c r="B292" s="75" t="s">
        <v>592</v>
      </c>
      <c r="C292" s="39" t="s">
        <v>17</v>
      </c>
      <c r="D292" s="236"/>
      <c r="E292" s="236"/>
      <c r="F292" s="236"/>
      <c r="G292" s="236"/>
      <c r="H292" s="40">
        <f>SUM(Tabla132112414[[#This Row],[PRIMER TRIMESTRE]:[CUARTO TRIMESTRE]])</f>
        <v>0</v>
      </c>
      <c r="I292" s="17">
        <v>103.84</v>
      </c>
      <c r="J292" s="17">
        <f>+Tabla132112414[[#This Row],[CANTIDAD TOTAL]]*Tabla132112414[[#This Row],[PRECIO UNITARIO ESTIMADO]]</f>
        <v>0</v>
      </c>
      <c r="K292" s="17"/>
      <c r="L292" s="16" t="s">
        <v>18</v>
      </c>
      <c r="M292" s="16" t="s">
        <v>22</v>
      </c>
      <c r="N292" s="39" t="s">
        <v>418</v>
      </c>
    </row>
    <row r="293" spans="1:14" s="12" customFormat="1" ht="18">
      <c r="A293" s="178" t="s">
        <v>80</v>
      </c>
      <c r="B293" s="75" t="s">
        <v>593</v>
      </c>
      <c r="C293" s="39" t="s">
        <v>17</v>
      </c>
      <c r="D293" s="236"/>
      <c r="E293" s="236"/>
      <c r="F293" s="236"/>
      <c r="G293" s="236"/>
      <c r="H293" s="40">
        <f>SUM(Tabla132112414[[#This Row],[PRIMER TRIMESTRE]:[CUARTO TRIMESTRE]])</f>
        <v>0</v>
      </c>
      <c r="I293" s="17">
        <v>22.42</v>
      </c>
      <c r="J293" s="17">
        <f>+Tabla132112414[[#This Row],[CANTIDAD TOTAL]]*Tabla132112414[[#This Row],[PRECIO UNITARIO ESTIMADO]]</f>
        <v>0</v>
      </c>
      <c r="K293" s="17"/>
      <c r="L293" s="16" t="s">
        <v>18</v>
      </c>
      <c r="M293" s="16" t="s">
        <v>22</v>
      </c>
      <c r="N293" s="39" t="s">
        <v>418</v>
      </c>
    </row>
    <row r="294" spans="1:14" s="12" customFormat="1" ht="18">
      <c r="A294" s="178" t="s">
        <v>80</v>
      </c>
      <c r="B294" s="75" t="s">
        <v>591</v>
      </c>
      <c r="C294" s="39" t="s">
        <v>17</v>
      </c>
      <c r="D294" s="236"/>
      <c r="E294" s="236"/>
      <c r="F294" s="236"/>
      <c r="G294" s="236"/>
      <c r="H294" s="236">
        <f>SUM(Tabla132112414[[#This Row],[PRIMER TRIMESTRE]:[CUARTO TRIMESTRE]])</f>
        <v>0</v>
      </c>
      <c r="I294" s="17">
        <v>489.7</v>
      </c>
      <c r="J294" s="17">
        <f>+Tabla132112414[[#This Row],[CANTIDAD TOTAL]]*Tabla132112414[[#This Row],[PRECIO UNITARIO ESTIMADO]]</f>
        <v>0</v>
      </c>
      <c r="K294" s="17"/>
      <c r="L294" s="16" t="s">
        <v>18</v>
      </c>
      <c r="M294" s="16" t="s">
        <v>22</v>
      </c>
      <c r="N294" s="39" t="s">
        <v>418</v>
      </c>
    </row>
    <row r="295" spans="1:14" s="12" customFormat="1" ht="18">
      <c r="A295" s="178" t="s">
        <v>80</v>
      </c>
      <c r="B295" s="75" t="s">
        <v>1531</v>
      </c>
      <c r="C295" s="176" t="s">
        <v>17</v>
      </c>
      <c r="D295" s="236"/>
      <c r="E295" s="236"/>
      <c r="F295" s="236"/>
      <c r="G295" s="236"/>
      <c r="H295" s="236">
        <f>SUM(Tabla132112414[[#This Row],[PRIMER TRIMESTRE]:[CUARTO TRIMESTRE]])</f>
        <v>0</v>
      </c>
      <c r="I295" s="17">
        <v>486.29</v>
      </c>
      <c r="J295" s="17">
        <f>+H295*I295</f>
        <v>0</v>
      </c>
      <c r="K295" s="17"/>
      <c r="L295" s="16" t="s">
        <v>18</v>
      </c>
      <c r="M295" s="16" t="s">
        <v>22</v>
      </c>
      <c r="N295" s="39" t="s">
        <v>418</v>
      </c>
    </row>
    <row r="296" spans="1:14" s="12" customFormat="1" ht="18">
      <c r="A296" s="178" t="s">
        <v>80</v>
      </c>
      <c r="B296" s="75" t="s">
        <v>616</v>
      </c>
      <c r="C296" s="39" t="s">
        <v>17</v>
      </c>
      <c r="D296" s="236"/>
      <c r="E296" s="236"/>
      <c r="F296" s="236"/>
      <c r="G296" s="236"/>
      <c r="H296" s="40">
        <f>SUM(Tabla132112414[[#This Row],[PRIMER TRIMESTRE]:[CUARTO TRIMESTRE]])</f>
        <v>0</v>
      </c>
      <c r="I296" s="17">
        <v>767</v>
      </c>
      <c r="J296" s="17">
        <f>+Tabla132112414[[#This Row],[CANTIDAD TOTAL]]*Tabla132112414[[#This Row],[PRECIO UNITARIO ESTIMADO]]</f>
        <v>0</v>
      </c>
      <c r="K296" s="17"/>
      <c r="L296" s="16" t="s">
        <v>18</v>
      </c>
      <c r="M296" s="16" t="s">
        <v>22</v>
      </c>
      <c r="N296" s="39" t="s">
        <v>418</v>
      </c>
    </row>
    <row r="297" spans="1:14" s="12" customFormat="1" ht="18">
      <c r="A297" s="178" t="s">
        <v>80</v>
      </c>
      <c r="B297" s="75" t="s">
        <v>617</v>
      </c>
      <c r="C297" s="39" t="s">
        <v>17</v>
      </c>
      <c r="D297" s="236"/>
      <c r="E297" s="236"/>
      <c r="F297" s="236"/>
      <c r="G297" s="236"/>
      <c r="H297" s="40">
        <f>SUM(Tabla132112414[[#This Row],[PRIMER TRIMESTRE]:[CUARTO TRIMESTRE]])</f>
        <v>0</v>
      </c>
      <c r="I297" s="17">
        <v>1003</v>
      </c>
      <c r="J297" s="17">
        <f t="shared" ref="J297:J313" si="7">+H297*I297</f>
        <v>0</v>
      </c>
      <c r="K297" s="17"/>
      <c r="L297" s="16" t="s">
        <v>18</v>
      </c>
      <c r="M297" s="16" t="s">
        <v>22</v>
      </c>
      <c r="N297" s="39" t="s">
        <v>418</v>
      </c>
    </row>
    <row r="298" spans="1:14" s="12" customFormat="1" ht="18">
      <c r="A298" s="178" t="s">
        <v>80</v>
      </c>
      <c r="B298" s="75" t="s">
        <v>618</v>
      </c>
      <c r="C298" s="39" t="s">
        <v>17</v>
      </c>
      <c r="D298" s="236"/>
      <c r="E298" s="236"/>
      <c r="F298" s="236"/>
      <c r="G298" s="236"/>
      <c r="H298" s="40">
        <f>SUM(Tabla132112414[[#This Row],[PRIMER TRIMESTRE]:[CUARTO TRIMESTRE]])</f>
        <v>0</v>
      </c>
      <c r="I298" s="17">
        <v>1357</v>
      </c>
      <c r="J298" s="17">
        <f t="shared" si="7"/>
        <v>0</v>
      </c>
      <c r="K298" s="17"/>
      <c r="L298" s="16" t="s">
        <v>18</v>
      </c>
      <c r="M298" s="16" t="s">
        <v>22</v>
      </c>
      <c r="N298" s="39" t="s">
        <v>418</v>
      </c>
    </row>
    <row r="299" spans="1:14" s="12" customFormat="1" ht="18">
      <c r="A299" s="178" t="s">
        <v>80</v>
      </c>
      <c r="B299" s="75" t="s">
        <v>619</v>
      </c>
      <c r="C299" s="39" t="s">
        <v>17</v>
      </c>
      <c r="D299" s="236"/>
      <c r="E299" s="236"/>
      <c r="F299" s="236"/>
      <c r="G299" s="236"/>
      <c r="H299" s="40">
        <f>SUM(Tabla132112414[[#This Row],[PRIMER TRIMESTRE]:[CUARTO TRIMESTRE]])</f>
        <v>0</v>
      </c>
      <c r="I299" s="17">
        <v>2950</v>
      </c>
      <c r="J299" s="17">
        <f t="shared" si="7"/>
        <v>0</v>
      </c>
      <c r="K299" s="17"/>
      <c r="L299" s="16" t="s">
        <v>18</v>
      </c>
      <c r="M299" s="16" t="s">
        <v>22</v>
      </c>
      <c r="N299" s="39" t="s">
        <v>418</v>
      </c>
    </row>
    <row r="300" spans="1:14" s="12" customFormat="1" ht="18">
      <c r="A300" s="178" t="s">
        <v>80</v>
      </c>
      <c r="B300" s="75" t="s">
        <v>620</v>
      </c>
      <c r="C300" s="39" t="s">
        <v>17</v>
      </c>
      <c r="D300" s="236"/>
      <c r="E300" s="236"/>
      <c r="F300" s="236"/>
      <c r="G300" s="236"/>
      <c r="H300" s="40">
        <f>SUM(Tabla132112414[[#This Row],[PRIMER TRIMESTRE]:[CUARTO TRIMESTRE]])</f>
        <v>0</v>
      </c>
      <c r="I300" s="17">
        <v>4484</v>
      </c>
      <c r="J300" s="17">
        <f t="shared" si="7"/>
        <v>0</v>
      </c>
      <c r="K300" s="17"/>
      <c r="L300" s="16" t="s">
        <v>18</v>
      </c>
      <c r="M300" s="16" t="s">
        <v>22</v>
      </c>
      <c r="N300" s="39" t="s">
        <v>418</v>
      </c>
    </row>
    <row r="301" spans="1:14" s="12" customFormat="1" ht="18">
      <c r="A301" s="178" t="s">
        <v>80</v>
      </c>
      <c r="B301" s="75" t="s">
        <v>621</v>
      </c>
      <c r="C301" s="39" t="s">
        <v>17</v>
      </c>
      <c r="D301" s="236"/>
      <c r="E301" s="236"/>
      <c r="F301" s="236"/>
      <c r="G301" s="236"/>
      <c r="H301" s="40">
        <f>SUM(Tabla132112414[[#This Row],[PRIMER TRIMESTRE]:[CUARTO TRIMESTRE]])</f>
        <v>0</v>
      </c>
      <c r="I301" s="17">
        <v>6372</v>
      </c>
      <c r="J301" s="17">
        <f t="shared" si="7"/>
        <v>0</v>
      </c>
      <c r="K301" s="17"/>
      <c r="L301" s="16" t="s">
        <v>18</v>
      </c>
      <c r="M301" s="16" t="s">
        <v>22</v>
      </c>
      <c r="N301" s="39" t="s">
        <v>418</v>
      </c>
    </row>
    <row r="302" spans="1:14" s="12" customFormat="1" ht="18">
      <c r="A302" s="178" t="s">
        <v>80</v>
      </c>
      <c r="B302" s="75" t="s">
        <v>622</v>
      </c>
      <c r="C302" s="39" t="s">
        <v>17</v>
      </c>
      <c r="D302" s="236"/>
      <c r="E302" s="236"/>
      <c r="F302" s="236"/>
      <c r="G302" s="236"/>
      <c r="H302" s="40">
        <f>SUM(Tabla132112414[[#This Row],[PRIMER TRIMESTRE]:[CUARTO TRIMESTRE]])</f>
        <v>0</v>
      </c>
      <c r="I302" s="17">
        <v>11092</v>
      </c>
      <c r="J302" s="17">
        <f t="shared" si="7"/>
        <v>0</v>
      </c>
      <c r="K302" s="17"/>
      <c r="L302" s="16" t="s">
        <v>18</v>
      </c>
      <c r="M302" s="16" t="s">
        <v>22</v>
      </c>
      <c r="N302" s="39" t="s">
        <v>418</v>
      </c>
    </row>
    <row r="303" spans="1:14" s="12" customFormat="1" ht="18">
      <c r="A303" s="178" t="s">
        <v>80</v>
      </c>
      <c r="B303" s="75" t="s">
        <v>623</v>
      </c>
      <c r="C303" s="39" t="s">
        <v>17</v>
      </c>
      <c r="D303" s="236"/>
      <c r="E303" s="236"/>
      <c r="F303" s="236"/>
      <c r="G303" s="236"/>
      <c r="H303" s="40">
        <f>SUM(Tabla132112414[[#This Row],[PRIMER TRIMESTRE]:[CUARTO TRIMESTRE]])</f>
        <v>0</v>
      </c>
      <c r="I303" s="17">
        <v>13924</v>
      </c>
      <c r="J303" s="17">
        <f t="shared" si="7"/>
        <v>0</v>
      </c>
      <c r="K303" s="17"/>
      <c r="L303" s="16" t="s">
        <v>18</v>
      </c>
      <c r="M303" s="16" t="s">
        <v>22</v>
      </c>
      <c r="N303" s="39" t="s">
        <v>418</v>
      </c>
    </row>
    <row r="304" spans="1:14" s="12" customFormat="1" ht="18">
      <c r="A304" s="178" t="s">
        <v>80</v>
      </c>
      <c r="B304" s="75" t="s">
        <v>624</v>
      </c>
      <c r="C304" s="39" t="s">
        <v>17</v>
      </c>
      <c r="D304" s="236"/>
      <c r="E304" s="236"/>
      <c r="F304" s="236"/>
      <c r="G304" s="236"/>
      <c r="H304" s="40">
        <f>SUM(Tabla132112414[[#This Row],[PRIMER TRIMESTRE]:[CUARTO TRIMESTRE]])</f>
        <v>0</v>
      </c>
      <c r="I304" s="17">
        <v>20886</v>
      </c>
      <c r="J304" s="17">
        <f t="shared" si="7"/>
        <v>0</v>
      </c>
      <c r="K304" s="17"/>
      <c r="L304" s="16" t="s">
        <v>18</v>
      </c>
      <c r="M304" s="16" t="s">
        <v>22</v>
      </c>
      <c r="N304" s="39" t="s">
        <v>418</v>
      </c>
    </row>
    <row r="305" spans="1:14" s="12" customFormat="1" ht="18">
      <c r="A305" s="178" t="s">
        <v>80</v>
      </c>
      <c r="B305" s="75" t="s">
        <v>625</v>
      </c>
      <c r="C305" s="39" t="s">
        <v>17</v>
      </c>
      <c r="D305" s="236"/>
      <c r="E305" s="236"/>
      <c r="F305" s="236"/>
      <c r="G305" s="236"/>
      <c r="H305" s="40">
        <f>SUM(Tabla132112414[[#This Row],[PRIMER TRIMESTRE]:[CUARTO TRIMESTRE]])</f>
        <v>0</v>
      </c>
      <c r="I305" s="17">
        <v>1121</v>
      </c>
      <c r="J305" s="17">
        <f t="shared" si="7"/>
        <v>0</v>
      </c>
      <c r="K305" s="17"/>
      <c r="L305" s="16" t="s">
        <v>18</v>
      </c>
      <c r="M305" s="16" t="s">
        <v>22</v>
      </c>
      <c r="N305" s="39" t="s">
        <v>418</v>
      </c>
    </row>
    <row r="306" spans="1:14" s="12" customFormat="1" ht="18">
      <c r="A306" s="178" t="s">
        <v>80</v>
      </c>
      <c r="B306" s="75" t="s">
        <v>626</v>
      </c>
      <c r="C306" s="39" t="s">
        <v>17</v>
      </c>
      <c r="D306" s="236"/>
      <c r="E306" s="236"/>
      <c r="F306" s="236"/>
      <c r="G306" s="236"/>
      <c r="H306" s="40">
        <f>SUM(Tabla132112414[[#This Row],[PRIMER TRIMESTRE]:[CUARTO TRIMESTRE]])</f>
        <v>0</v>
      </c>
      <c r="I306" s="17">
        <v>1239</v>
      </c>
      <c r="J306" s="17">
        <f t="shared" si="7"/>
        <v>0</v>
      </c>
      <c r="K306" s="17"/>
      <c r="L306" s="16" t="s">
        <v>18</v>
      </c>
      <c r="M306" s="16" t="s">
        <v>22</v>
      </c>
      <c r="N306" s="39" t="s">
        <v>418</v>
      </c>
    </row>
    <row r="307" spans="1:14" s="12" customFormat="1" ht="18">
      <c r="A307" s="178" t="s">
        <v>80</v>
      </c>
      <c r="B307" s="75" t="s">
        <v>627</v>
      </c>
      <c r="C307" s="39" t="s">
        <v>17</v>
      </c>
      <c r="D307" s="236"/>
      <c r="E307" s="236"/>
      <c r="F307" s="236"/>
      <c r="G307" s="236"/>
      <c r="H307" s="40">
        <f>SUM(Tabla132112414[[#This Row],[PRIMER TRIMESTRE]:[CUARTO TRIMESTRE]])</f>
        <v>0</v>
      </c>
      <c r="I307" s="17">
        <v>1593</v>
      </c>
      <c r="J307" s="17">
        <f t="shared" si="7"/>
        <v>0</v>
      </c>
      <c r="K307" s="17"/>
      <c r="L307" s="16" t="s">
        <v>18</v>
      </c>
      <c r="M307" s="16" t="s">
        <v>22</v>
      </c>
      <c r="N307" s="39" t="s">
        <v>418</v>
      </c>
    </row>
    <row r="308" spans="1:14" s="12" customFormat="1" ht="18">
      <c r="A308" s="178" t="s">
        <v>80</v>
      </c>
      <c r="B308" s="75" t="s">
        <v>628</v>
      </c>
      <c r="C308" s="39" t="s">
        <v>17</v>
      </c>
      <c r="D308" s="236"/>
      <c r="E308" s="236"/>
      <c r="F308" s="236"/>
      <c r="G308" s="236"/>
      <c r="H308" s="40">
        <f>SUM(Tabla132112414[[#This Row],[PRIMER TRIMESTRE]:[CUARTO TRIMESTRE]])</f>
        <v>0</v>
      </c>
      <c r="I308" s="17">
        <v>3717</v>
      </c>
      <c r="J308" s="17">
        <f t="shared" si="7"/>
        <v>0</v>
      </c>
      <c r="K308" s="17"/>
      <c r="L308" s="16" t="s">
        <v>18</v>
      </c>
      <c r="M308" s="16" t="s">
        <v>22</v>
      </c>
      <c r="N308" s="39" t="s">
        <v>418</v>
      </c>
    </row>
    <row r="309" spans="1:14" s="12" customFormat="1" ht="18">
      <c r="A309" s="178" t="s">
        <v>80</v>
      </c>
      <c r="B309" s="75" t="s">
        <v>629</v>
      </c>
      <c r="C309" s="39" t="s">
        <v>17</v>
      </c>
      <c r="D309" s="236"/>
      <c r="E309" s="236"/>
      <c r="F309" s="236"/>
      <c r="G309" s="236"/>
      <c r="H309" s="40">
        <f>SUM(Tabla132112414[[#This Row],[PRIMER TRIMESTRE]:[CUARTO TRIMESTRE]])</f>
        <v>0</v>
      </c>
      <c r="I309" s="17">
        <v>5133</v>
      </c>
      <c r="J309" s="17">
        <f t="shared" si="7"/>
        <v>0</v>
      </c>
      <c r="K309" s="17"/>
      <c r="L309" s="16" t="s">
        <v>18</v>
      </c>
      <c r="M309" s="16" t="s">
        <v>22</v>
      </c>
      <c r="N309" s="39" t="s">
        <v>418</v>
      </c>
    </row>
    <row r="310" spans="1:14" s="12" customFormat="1" ht="18">
      <c r="A310" s="178" t="s">
        <v>80</v>
      </c>
      <c r="B310" s="75" t="s">
        <v>630</v>
      </c>
      <c r="C310" s="39" t="s">
        <v>17</v>
      </c>
      <c r="D310" s="236"/>
      <c r="E310" s="236"/>
      <c r="F310" s="236"/>
      <c r="G310" s="236"/>
      <c r="H310" s="40">
        <f>SUM(Tabla132112414[[#This Row],[PRIMER TRIMESTRE]:[CUARTO TRIMESTRE]])</f>
        <v>0</v>
      </c>
      <c r="I310" s="17">
        <v>7127</v>
      </c>
      <c r="J310" s="17">
        <f t="shared" si="7"/>
        <v>0</v>
      </c>
      <c r="K310" s="17"/>
      <c r="L310" s="16" t="s">
        <v>18</v>
      </c>
      <c r="M310" s="16" t="s">
        <v>22</v>
      </c>
      <c r="N310" s="39" t="s">
        <v>418</v>
      </c>
    </row>
    <row r="311" spans="1:14" s="12" customFormat="1" ht="18">
      <c r="A311" s="178" t="s">
        <v>80</v>
      </c>
      <c r="B311" s="75" t="s">
        <v>631</v>
      </c>
      <c r="C311" s="39" t="s">
        <v>17</v>
      </c>
      <c r="D311" s="236"/>
      <c r="E311" s="236"/>
      <c r="F311" s="236"/>
      <c r="G311" s="236"/>
      <c r="H311" s="40">
        <f>SUM(Tabla132112414[[#This Row],[PRIMER TRIMESTRE]:[CUARTO TRIMESTRE]])</f>
        <v>0</v>
      </c>
      <c r="I311" s="17">
        <v>12580</v>
      </c>
      <c r="J311" s="17">
        <f t="shared" si="7"/>
        <v>0</v>
      </c>
      <c r="K311" s="17"/>
      <c r="L311" s="16" t="s">
        <v>18</v>
      </c>
      <c r="M311" s="16" t="s">
        <v>22</v>
      </c>
      <c r="N311" s="39" t="s">
        <v>418</v>
      </c>
    </row>
    <row r="312" spans="1:14" s="12" customFormat="1" ht="18">
      <c r="A312" s="178" t="s">
        <v>80</v>
      </c>
      <c r="B312" s="75" t="s">
        <v>632</v>
      </c>
      <c r="C312" s="39" t="s">
        <v>17</v>
      </c>
      <c r="D312" s="236"/>
      <c r="E312" s="236"/>
      <c r="F312" s="236"/>
      <c r="G312" s="236"/>
      <c r="H312" s="40">
        <f>SUM(Tabla132112414[[#This Row],[PRIMER TRIMESTRE]:[CUARTO TRIMESTRE]])</f>
        <v>0</v>
      </c>
      <c r="I312" s="17">
        <v>15045</v>
      </c>
      <c r="J312" s="17">
        <f t="shared" si="7"/>
        <v>0</v>
      </c>
      <c r="K312" s="17"/>
      <c r="L312" s="16" t="s">
        <v>18</v>
      </c>
      <c r="M312" s="16" t="s">
        <v>22</v>
      </c>
      <c r="N312" s="39" t="s">
        <v>418</v>
      </c>
    </row>
    <row r="313" spans="1:14" s="12" customFormat="1" ht="18">
      <c r="A313" s="178" t="s">
        <v>80</v>
      </c>
      <c r="B313" s="75" t="s">
        <v>633</v>
      </c>
      <c r="C313" s="39" t="s">
        <v>17</v>
      </c>
      <c r="D313" s="236"/>
      <c r="E313" s="236"/>
      <c r="F313" s="236"/>
      <c r="G313" s="236"/>
      <c r="H313" s="40">
        <f>SUM(Tabla132112414[[#This Row],[PRIMER TRIMESTRE]:[CUARTO TRIMESTRE]])</f>
        <v>0</v>
      </c>
      <c r="I313" s="17">
        <v>22396.400000000001</v>
      </c>
      <c r="J313" s="17">
        <f t="shared" si="7"/>
        <v>0</v>
      </c>
      <c r="K313" s="17"/>
      <c r="L313" s="16" t="s">
        <v>18</v>
      </c>
      <c r="M313" s="16" t="s">
        <v>22</v>
      </c>
      <c r="N313" s="39" t="s">
        <v>418</v>
      </c>
    </row>
    <row r="314" spans="1:14" s="12" customFormat="1" ht="18">
      <c r="A314" s="178" t="s">
        <v>80</v>
      </c>
      <c r="B314" s="75" t="s">
        <v>129</v>
      </c>
      <c r="C314" s="39" t="s">
        <v>17</v>
      </c>
      <c r="D314" s="236"/>
      <c r="E314" s="236"/>
      <c r="F314" s="236"/>
      <c r="G314" s="236"/>
      <c r="H314" s="40">
        <f>SUM(Tabla132112414[[#This Row],[PRIMER TRIMESTRE]:[CUARTO TRIMESTRE]])</f>
        <v>0</v>
      </c>
      <c r="I314" s="17">
        <v>3.52</v>
      </c>
      <c r="J314" s="17">
        <f>+Tabla132112414[[#This Row],[CANTIDAD TOTAL]]*Tabla132112414[[#This Row],[PRECIO UNITARIO ESTIMADO]]</f>
        <v>0</v>
      </c>
      <c r="K314" s="17"/>
      <c r="L314" s="16" t="s">
        <v>18</v>
      </c>
      <c r="M314" s="16" t="s">
        <v>22</v>
      </c>
      <c r="N314" s="39" t="s">
        <v>418</v>
      </c>
    </row>
    <row r="315" spans="1:14" s="12" customFormat="1" ht="18">
      <c r="A315" s="178" t="s">
        <v>80</v>
      </c>
      <c r="B315" s="75" t="s">
        <v>131</v>
      </c>
      <c r="C315" s="39" t="s">
        <v>17</v>
      </c>
      <c r="D315" s="236"/>
      <c r="E315" s="236"/>
      <c r="F315" s="236"/>
      <c r="G315" s="236"/>
      <c r="H315" s="40">
        <f>SUM(Tabla132112414[[#This Row],[PRIMER TRIMESTRE]:[CUARTO TRIMESTRE]])</f>
        <v>0</v>
      </c>
      <c r="I315" s="17">
        <v>5.86</v>
      </c>
      <c r="J315" s="17">
        <f>+Tabla132112414[[#This Row],[CANTIDAD TOTAL]]*Tabla132112414[[#This Row],[PRECIO UNITARIO ESTIMADO]]</f>
        <v>0</v>
      </c>
      <c r="K315" s="17"/>
      <c r="L315" s="16" t="s">
        <v>18</v>
      </c>
      <c r="M315" s="16" t="s">
        <v>22</v>
      </c>
      <c r="N315" s="39" t="s">
        <v>418</v>
      </c>
    </row>
    <row r="316" spans="1:14" s="12" customFormat="1" ht="18">
      <c r="A316" s="178" t="s">
        <v>80</v>
      </c>
      <c r="B316" s="75" t="s">
        <v>473</v>
      </c>
      <c r="C316" s="39" t="s">
        <v>17</v>
      </c>
      <c r="D316" s="236"/>
      <c r="E316" s="236"/>
      <c r="F316" s="236"/>
      <c r="G316" s="236"/>
      <c r="H316" s="40">
        <f>SUM(Tabla132112414[[#This Row],[PRIMER TRIMESTRE]:[CUARTO TRIMESTRE]])</f>
        <v>0</v>
      </c>
      <c r="I316" s="17">
        <v>15.46</v>
      </c>
      <c r="J316" s="17">
        <f>+H316*I316</f>
        <v>0</v>
      </c>
      <c r="K316" s="17"/>
      <c r="L316" s="16" t="s">
        <v>18</v>
      </c>
      <c r="M316" s="16" t="s">
        <v>22</v>
      </c>
      <c r="N316" s="39" t="s">
        <v>418</v>
      </c>
    </row>
    <row r="317" spans="1:14" s="12" customFormat="1" ht="18">
      <c r="A317" s="178" t="s">
        <v>80</v>
      </c>
      <c r="B317" s="75" t="s">
        <v>661</v>
      </c>
      <c r="C317" s="39" t="s">
        <v>17</v>
      </c>
      <c r="D317" s="236"/>
      <c r="E317" s="236"/>
      <c r="F317" s="236"/>
      <c r="G317" s="236"/>
      <c r="H317" s="40">
        <f>SUM(Tabla132112414[[#This Row],[PRIMER TRIMESTRE]:[CUARTO TRIMESTRE]])</f>
        <v>0</v>
      </c>
      <c r="I317" s="72">
        <v>15.46</v>
      </c>
      <c r="J317" s="17">
        <f>+H317*I317</f>
        <v>0</v>
      </c>
      <c r="K317" s="17"/>
      <c r="L317" s="16" t="s">
        <v>18</v>
      </c>
      <c r="M317" s="16" t="s">
        <v>22</v>
      </c>
      <c r="N317" s="39" t="s">
        <v>418</v>
      </c>
    </row>
    <row r="318" spans="1:14" s="12" customFormat="1" ht="18">
      <c r="A318" s="178" t="s">
        <v>80</v>
      </c>
      <c r="B318" s="75" t="s">
        <v>133</v>
      </c>
      <c r="C318" s="39" t="s">
        <v>17</v>
      </c>
      <c r="D318" s="236"/>
      <c r="E318" s="236"/>
      <c r="F318" s="236"/>
      <c r="G318" s="236"/>
      <c r="H318" s="40">
        <f>SUM(Tabla132112414[[#This Row],[PRIMER TRIMESTRE]:[CUARTO TRIMESTRE]])</f>
        <v>0</v>
      </c>
      <c r="I318" s="17">
        <v>40.17</v>
      </c>
      <c r="J318" s="17">
        <f>+Tabla132112414[[#This Row],[CANTIDAD TOTAL]]*Tabla132112414[[#This Row],[PRECIO UNITARIO ESTIMADO]]</f>
        <v>0</v>
      </c>
      <c r="K318" s="17"/>
      <c r="L318" s="16" t="s">
        <v>18</v>
      </c>
      <c r="M318" s="16" t="s">
        <v>22</v>
      </c>
      <c r="N318" s="39" t="s">
        <v>418</v>
      </c>
    </row>
    <row r="319" spans="1:14" s="12" customFormat="1" ht="18">
      <c r="A319" s="178" t="s">
        <v>80</v>
      </c>
      <c r="B319" s="75" t="s">
        <v>135</v>
      </c>
      <c r="C319" s="39" t="s">
        <v>17</v>
      </c>
      <c r="D319" s="236"/>
      <c r="E319" s="236"/>
      <c r="F319" s="236"/>
      <c r="G319" s="236"/>
      <c r="H319" s="40">
        <f>SUM(Tabla132112414[[#This Row],[PRIMER TRIMESTRE]:[CUARTO TRIMESTRE]])</f>
        <v>0</v>
      </c>
      <c r="I319" s="17">
        <v>116.85</v>
      </c>
      <c r="J319" s="17">
        <f>+Tabla132112414[[#This Row],[CANTIDAD TOTAL]]*Tabla132112414[[#This Row],[PRECIO UNITARIO ESTIMADO]]</f>
        <v>0</v>
      </c>
      <c r="K319" s="17"/>
      <c r="L319" s="16" t="s">
        <v>18</v>
      </c>
      <c r="M319" s="16" t="s">
        <v>22</v>
      </c>
      <c r="N319" s="39" t="s">
        <v>418</v>
      </c>
    </row>
    <row r="320" spans="1:14" s="12" customFormat="1" ht="18">
      <c r="A320" s="178" t="s">
        <v>80</v>
      </c>
      <c r="B320" s="75" t="s">
        <v>597</v>
      </c>
      <c r="C320" s="39" t="s">
        <v>17</v>
      </c>
      <c r="D320" s="236"/>
      <c r="E320" s="236"/>
      <c r="F320" s="236"/>
      <c r="G320" s="236"/>
      <c r="H320" s="40">
        <f>SUM(Tabla132112414[[#This Row],[PRIMER TRIMESTRE]:[CUARTO TRIMESTRE]])</f>
        <v>0</v>
      </c>
      <c r="I320" s="72">
        <v>107.31</v>
      </c>
      <c r="J320" s="17">
        <f t="shared" ref="J320:J330" si="8">+H320*I320</f>
        <v>0</v>
      </c>
      <c r="K320" s="17"/>
      <c r="L320" s="16" t="s">
        <v>18</v>
      </c>
      <c r="M320" s="16" t="s">
        <v>22</v>
      </c>
      <c r="N320" s="39" t="s">
        <v>418</v>
      </c>
    </row>
    <row r="321" spans="1:14" s="12" customFormat="1" ht="18">
      <c r="A321" s="178" t="s">
        <v>80</v>
      </c>
      <c r="B321" s="75" t="s">
        <v>1532</v>
      </c>
      <c r="C321" s="176" t="s">
        <v>17</v>
      </c>
      <c r="D321" s="236"/>
      <c r="E321" s="236"/>
      <c r="F321" s="236"/>
      <c r="G321" s="236"/>
      <c r="H321" s="236">
        <f>SUM(Tabla132112414[[#This Row],[PRIMER TRIMESTRE]:[CUARTO TRIMESTRE]])</f>
        <v>0</v>
      </c>
      <c r="I321" s="72">
        <v>300</v>
      </c>
      <c r="J321" s="72">
        <f t="shared" si="8"/>
        <v>0</v>
      </c>
      <c r="K321" s="17"/>
      <c r="L321" s="16" t="s">
        <v>18</v>
      </c>
      <c r="M321" s="16" t="s">
        <v>22</v>
      </c>
      <c r="N321" s="39" t="s">
        <v>418</v>
      </c>
    </row>
    <row r="322" spans="1:14" s="12" customFormat="1" ht="18">
      <c r="A322" s="178" t="s">
        <v>80</v>
      </c>
      <c r="B322" s="75" t="s">
        <v>1533</v>
      </c>
      <c r="C322" s="176" t="s">
        <v>17</v>
      </c>
      <c r="D322" s="236"/>
      <c r="E322" s="236"/>
      <c r="F322" s="236"/>
      <c r="G322" s="236"/>
      <c r="H322" s="236">
        <f>SUM(Tabla132112414[[#This Row],[PRIMER TRIMESTRE]:[CUARTO TRIMESTRE]])</f>
        <v>0</v>
      </c>
      <c r="I322" s="72">
        <v>845.5</v>
      </c>
      <c r="J322" s="72">
        <f t="shared" si="8"/>
        <v>0</v>
      </c>
      <c r="K322" s="17"/>
      <c r="L322" s="16" t="s">
        <v>18</v>
      </c>
      <c r="M322" s="16" t="s">
        <v>22</v>
      </c>
      <c r="N322" s="39" t="s">
        <v>418</v>
      </c>
    </row>
    <row r="323" spans="1:14" s="12" customFormat="1" ht="18">
      <c r="A323" s="178" t="s">
        <v>80</v>
      </c>
      <c r="B323" s="75" t="s">
        <v>1535</v>
      </c>
      <c r="C323" s="176" t="s">
        <v>17</v>
      </c>
      <c r="D323" s="236"/>
      <c r="E323" s="236"/>
      <c r="F323" s="236"/>
      <c r="G323" s="236"/>
      <c r="H323" s="236">
        <f>SUM(Tabla132112414[[#This Row],[PRIMER TRIMESTRE]:[CUARTO TRIMESTRE]])</f>
        <v>0</v>
      </c>
      <c r="I323" s="72">
        <v>3192.99</v>
      </c>
      <c r="J323" s="72">
        <f t="shared" si="8"/>
        <v>0</v>
      </c>
      <c r="K323" s="17"/>
      <c r="L323" s="16" t="s">
        <v>18</v>
      </c>
      <c r="M323" s="16" t="s">
        <v>22</v>
      </c>
      <c r="N323" s="39" t="s">
        <v>418</v>
      </c>
    </row>
    <row r="324" spans="1:14" s="12" customFormat="1" ht="18">
      <c r="A324" s="178" t="s">
        <v>80</v>
      </c>
      <c r="B324" s="75" t="s">
        <v>1724</v>
      </c>
      <c r="C324" s="176" t="s">
        <v>17</v>
      </c>
      <c r="D324" s="236"/>
      <c r="E324" s="236"/>
      <c r="F324" s="236"/>
      <c r="G324" s="236"/>
      <c r="H324" s="40">
        <v>0</v>
      </c>
      <c r="I324" s="72">
        <v>0</v>
      </c>
      <c r="J324" s="72">
        <v>0</v>
      </c>
      <c r="K324" s="17"/>
      <c r="L324" s="16" t="s">
        <v>18</v>
      </c>
      <c r="M324" s="16" t="s">
        <v>22</v>
      </c>
      <c r="N324" s="39" t="s">
        <v>418</v>
      </c>
    </row>
    <row r="325" spans="1:14" s="12" customFormat="1" ht="51">
      <c r="A325" s="178" t="s">
        <v>80</v>
      </c>
      <c r="B325" s="75" t="s">
        <v>1536</v>
      </c>
      <c r="C325" s="176" t="s">
        <v>17</v>
      </c>
      <c r="D325" s="236"/>
      <c r="E325" s="236"/>
      <c r="F325" s="236"/>
      <c r="G325" s="236"/>
      <c r="H325" s="236">
        <f>SUM(Tabla132112414[[#This Row],[PRIMER TRIMESTRE]:[CUARTO TRIMESTRE]])</f>
        <v>0</v>
      </c>
      <c r="I325" s="72">
        <v>45017.279999999999</v>
      </c>
      <c r="J325" s="72">
        <f t="shared" si="8"/>
        <v>0</v>
      </c>
      <c r="K325" s="17"/>
      <c r="L325" s="16" t="s">
        <v>18</v>
      </c>
      <c r="M325" s="16" t="s">
        <v>22</v>
      </c>
      <c r="N325" s="39" t="s">
        <v>418</v>
      </c>
    </row>
    <row r="326" spans="1:14" s="12" customFormat="1" ht="18">
      <c r="A326" s="178" t="s">
        <v>80</v>
      </c>
      <c r="B326" s="75" t="s">
        <v>1340</v>
      </c>
      <c r="C326" s="39" t="s">
        <v>17</v>
      </c>
      <c r="D326" s="236"/>
      <c r="E326" s="236"/>
      <c r="F326" s="236"/>
      <c r="G326" s="236"/>
      <c r="H326" s="40">
        <f>SUM(Tabla132112414[[#This Row],[PRIMER TRIMESTRE]:[CUARTO TRIMESTRE]])</f>
        <v>0</v>
      </c>
      <c r="I326" s="72">
        <v>348.1</v>
      </c>
      <c r="J326" s="17">
        <f t="shared" si="8"/>
        <v>0</v>
      </c>
      <c r="K326" s="17"/>
      <c r="L326" s="16" t="s">
        <v>18</v>
      </c>
      <c r="M326" s="16" t="s">
        <v>22</v>
      </c>
      <c r="N326" s="39" t="s">
        <v>418</v>
      </c>
    </row>
    <row r="327" spans="1:14" s="12" customFormat="1" ht="18">
      <c r="A327" s="178" t="s">
        <v>80</v>
      </c>
      <c r="B327" s="75" t="s">
        <v>1537</v>
      </c>
      <c r="C327" s="39" t="s">
        <v>17</v>
      </c>
      <c r="D327" s="236"/>
      <c r="E327" s="236"/>
      <c r="F327" s="236"/>
      <c r="G327" s="236"/>
      <c r="H327" s="236">
        <f>SUM(Tabla132112414[[#This Row],[PRIMER TRIMESTRE]:[CUARTO TRIMESTRE]])</f>
        <v>0</v>
      </c>
      <c r="I327" s="72">
        <v>7623.81</v>
      </c>
      <c r="J327" s="72">
        <f t="shared" si="8"/>
        <v>0</v>
      </c>
      <c r="K327" s="17"/>
      <c r="L327" s="16" t="s">
        <v>18</v>
      </c>
      <c r="M327" s="16" t="s">
        <v>22</v>
      </c>
      <c r="N327" s="39" t="s">
        <v>418</v>
      </c>
    </row>
    <row r="328" spans="1:14" s="12" customFormat="1" ht="18">
      <c r="A328" s="178" t="s">
        <v>80</v>
      </c>
      <c r="B328" s="75" t="s">
        <v>1341</v>
      </c>
      <c r="C328" s="39" t="s">
        <v>17</v>
      </c>
      <c r="D328" s="236"/>
      <c r="E328" s="236"/>
      <c r="F328" s="236"/>
      <c r="G328" s="236"/>
      <c r="H328" s="40">
        <f>SUM(Tabla132112414[[#This Row],[PRIMER TRIMESTRE]:[CUARTO TRIMESTRE]])</f>
        <v>0</v>
      </c>
      <c r="I328" s="72">
        <v>88.5</v>
      </c>
      <c r="J328" s="17">
        <f t="shared" si="8"/>
        <v>0</v>
      </c>
      <c r="K328" s="17"/>
      <c r="L328" s="16" t="s">
        <v>18</v>
      </c>
      <c r="M328" s="16" t="s">
        <v>22</v>
      </c>
      <c r="N328" s="39" t="s">
        <v>418</v>
      </c>
    </row>
    <row r="329" spans="1:14" s="12" customFormat="1" ht="18">
      <c r="A329" s="178" t="s">
        <v>80</v>
      </c>
      <c r="B329" s="75" t="s">
        <v>1342</v>
      </c>
      <c r="C329" s="39" t="s">
        <v>17</v>
      </c>
      <c r="D329" s="236"/>
      <c r="E329" s="236"/>
      <c r="F329" s="236"/>
      <c r="G329" s="236"/>
      <c r="H329" s="40">
        <f>SUM(Tabla132112414[[#This Row],[PRIMER TRIMESTRE]:[CUARTO TRIMESTRE]])</f>
        <v>0</v>
      </c>
      <c r="I329" s="72">
        <v>165.2</v>
      </c>
      <c r="J329" s="17">
        <f t="shared" si="8"/>
        <v>0</v>
      </c>
      <c r="K329" s="17"/>
      <c r="L329" s="16" t="s">
        <v>18</v>
      </c>
      <c r="M329" s="16" t="s">
        <v>22</v>
      </c>
      <c r="N329" s="39" t="s">
        <v>418</v>
      </c>
    </row>
    <row r="330" spans="1:14" s="12" customFormat="1" ht="18">
      <c r="A330" s="178" t="s">
        <v>80</v>
      </c>
      <c r="B330" s="75" t="s">
        <v>1343</v>
      </c>
      <c r="C330" s="39" t="s">
        <v>17</v>
      </c>
      <c r="D330" s="236"/>
      <c r="E330" s="236"/>
      <c r="F330" s="236"/>
      <c r="G330" s="236"/>
      <c r="H330" s="40">
        <f>SUM(Tabla132112414[[#This Row],[PRIMER TRIMESTRE]:[CUARTO TRIMESTRE]])</f>
        <v>0</v>
      </c>
      <c r="I330" s="72">
        <v>855.5</v>
      </c>
      <c r="J330" s="17">
        <f t="shared" si="8"/>
        <v>0</v>
      </c>
      <c r="K330" s="17"/>
      <c r="L330" s="16" t="s">
        <v>18</v>
      </c>
      <c r="M330" s="16" t="s">
        <v>22</v>
      </c>
      <c r="N330" s="39" t="s">
        <v>418</v>
      </c>
    </row>
    <row r="331" spans="1:14" s="12" customFormat="1" ht="18">
      <c r="A331" s="178" t="s">
        <v>80</v>
      </c>
      <c r="B331" s="75" t="s">
        <v>571</v>
      </c>
      <c r="C331" s="39" t="s">
        <v>17</v>
      </c>
      <c r="D331" s="236"/>
      <c r="E331" s="236"/>
      <c r="F331" s="236"/>
      <c r="G331" s="236"/>
      <c r="H331" s="40">
        <f>SUM(Tabla132112414[[#This Row],[PRIMER TRIMESTRE]:[CUARTO TRIMESTRE]])</f>
        <v>0</v>
      </c>
      <c r="I331" s="17">
        <v>12159.7</v>
      </c>
      <c r="J331" s="17">
        <f>+Tabla132112414[[#This Row],[CANTIDAD TOTAL]]*Tabla132112414[[#This Row],[PRECIO UNITARIO ESTIMADO]]</f>
        <v>0</v>
      </c>
      <c r="K331" s="17"/>
      <c r="L331" s="16" t="s">
        <v>18</v>
      </c>
      <c r="M331" s="16" t="s">
        <v>22</v>
      </c>
      <c r="N331" s="39" t="s">
        <v>418</v>
      </c>
    </row>
    <row r="332" spans="1:14" s="12" customFormat="1" ht="18">
      <c r="A332" s="178" t="s">
        <v>80</v>
      </c>
      <c r="B332" s="75" t="s">
        <v>186</v>
      </c>
      <c r="C332" s="39" t="s">
        <v>17</v>
      </c>
      <c r="D332" s="236"/>
      <c r="E332" s="236"/>
      <c r="F332" s="236"/>
      <c r="G332" s="236"/>
      <c r="H332" s="40">
        <f>SUM(Tabla132112414[[#This Row],[PRIMER TRIMESTRE]:[CUARTO TRIMESTRE]])</f>
        <v>0</v>
      </c>
      <c r="I332" s="17">
        <v>2600</v>
      </c>
      <c r="J332" s="17">
        <f>+Tabla132112414[[#This Row],[CANTIDAD TOTAL]]*Tabla132112414[[#This Row],[PRECIO UNITARIO ESTIMADO]]</f>
        <v>0</v>
      </c>
      <c r="K332" s="17"/>
      <c r="L332" s="16" t="s">
        <v>18</v>
      </c>
      <c r="M332" s="16" t="s">
        <v>22</v>
      </c>
      <c r="N332" s="39" t="s">
        <v>418</v>
      </c>
    </row>
    <row r="333" spans="1:14" s="12" customFormat="1" ht="18">
      <c r="A333" s="178" t="s">
        <v>80</v>
      </c>
      <c r="B333" s="75" t="s">
        <v>1550</v>
      </c>
      <c r="C333" s="39" t="s">
        <v>17</v>
      </c>
      <c r="D333" s="236"/>
      <c r="E333" s="236"/>
      <c r="F333" s="236"/>
      <c r="G333" s="236"/>
      <c r="H333" s="236">
        <f>SUM(Tabla132112414[[#This Row],[PRIMER TRIMESTRE]:[CUARTO TRIMESTRE]])</f>
        <v>0</v>
      </c>
      <c r="I333" s="17">
        <v>317.27</v>
      </c>
      <c r="J333" s="17">
        <f>+H333*I333</f>
        <v>0</v>
      </c>
      <c r="K333" s="17"/>
      <c r="L333" s="16" t="s">
        <v>18</v>
      </c>
      <c r="M333" s="16" t="s">
        <v>22</v>
      </c>
      <c r="N333" s="39" t="s">
        <v>418</v>
      </c>
    </row>
    <row r="334" spans="1:14" s="12" customFormat="1" ht="18">
      <c r="A334" s="178" t="s">
        <v>80</v>
      </c>
      <c r="B334" s="75" t="s">
        <v>148</v>
      </c>
      <c r="C334" s="39" t="s">
        <v>149</v>
      </c>
      <c r="D334" s="236"/>
      <c r="E334" s="236"/>
      <c r="F334" s="236"/>
      <c r="G334" s="236"/>
      <c r="H334" s="40">
        <f>SUM(Tabla132112414[[#This Row],[PRIMER TRIMESTRE]:[CUARTO TRIMESTRE]])</f>
        <v>0</v>
      </c>
      <c r="I334" s="17">
        <v>127.6</v>
      </c>
      <c r="J334" s="17">
        <f>+Tabla132112414[[#This Row],[CANTIDAD TOTAL]]*Tabla132112414[[#This Row],[PRECIO UNITARIO ESTIMADO]]</f>
        <v>0</v>
      </c>
      <c r="K334" s="17"/>
      <c r="L334" s="16" t="s">
        <v>18</v>
      </c>
      <c r="M334" s="16" t="s">
        <v>22</v>
      </c>
      <c r="N334" s="39" t="s">
        <v>418</v>
      </c>
    </row>
    <row r="335" spans="1:14" s="12" customFormat="1" ht="18">
      <c r="A335" s="178" t="s">
        <v>80</v>
      </c>
      <c r="B335" s="75" t="s">
        <v>1430</v>
      </c>
      <c r="C335" s="39" t="s">
        <v>290</v>
      </c>
      <c r="D335" s="236"/>
      <c r="E335" s="236"/>
      <c r="F335" s="236"/>
      <c r="G335" s="236"/>
      <c r="H335" s="40">
        <f>SUM(Tabla132112414[[#This Row],[PRIMER TRIMESTRE]:[CUARTO TRIMESTRE]])</f>
        <v>0</v>
      </c>
      <c r="I335" s="17">
        <v>793.52</v>
      </c>
      <c r="J335" s="17">
        <f>+Tabla132112414[[#This Row],[CANTIDAD TOTAL]]*Tabla132112414[[#This Row],[PRECIO UNITARIO ESTIMADO]]</f>
        <v>0</v>
      </c>
      <c r="K335" s="17"/>
      <c r="L335" s="16" t="s">
        <v>18</v>
      </c>
      <c r="M335" s="16" t="s">
        <v>22</v>
      </c>
      <c r="N335" s="39" t="s">
        <v>418</v>
      </c>
    </row>
    <row r="336" spans="1:14" s="12" customFormat="1" ht="18">
      <c r="A336" s="178" t="s">
        <v>80</v>
      </c>
      <c r="B336" s="75" t="s">
        <v>439</v>
      </c>
      <c r="C336" s="39" t="s">
        <v>149</v>
      </c>
      <c r="D336" s="236"/>
      <c r="E336" s="236"/>
      <c r="F336" s="236"/>
      <c r="G336" s="236"/>
      <c r="H336" s="40">
        <f>SUM(Tabla132112414[[#This Row],[PRIMER TRIMESTRE]:[CUARTO TRIMESTRE]])</f>
        <v>0</v>
      </c>
      <c r="I336" s="17">
        <v>123.91</v>
      </c>
      <c r="J336" s="17">
        <f>+Tabla132112414[[#This Row],[CANTIDAD TOTAL]]*Tabla132112414[[#This Row],[PRECIO UNITARIO ESTIMADO]]</f>
        <v>0</v>
      </c>
      <c r="K336" s="17"/>
      <c r="L336" s="16" t="s">
        <v>18</v>
      </c>
      <c r="M336" s="16" t="s">
        <v>22</v>
      </c>
      <c r="N336" s="39" t="s">
        <v>418</v>
      </c>
    </row>
    <row r="337" spans="1:14" s="12" customFormat="1" ht="18">
      <c r="A337" s="178" t="s">
        <v>80</v>
      </c>
      <c r="B337" s="75" t="s">
        <v>1553</v>
      </c>
      <c r="C337" s="39" t="s">
        <v>17</v>
      </c>
      <c r="D337" s="236"/>
      <c r="E337" s="236"/>
      <c r="F337" s="236"/>
      <c r="G337" s="236"/>
      <c r="H337" s="236">
        <f>SUM(Tabla132112414[[#This Row],[PRIMER TRIMESTRE]:[CUARTO TRIMESTRE]])</f>
        <v>0</v>
      </c>
      <c r="I337" s="17">
        <v>536.16999999999996</v>
      </c>
      <c r="J337" s="17">
        <f>+H337*I337</f>
        <v>0</v>
      </c>
      <c r="K337" s="17"/>
      <c r="L337" s="16" t="s">
        <v>18</v>
      </c>
      <c r="M337" s="16" t="s">
        <v>22</v>
      </c>
      <c r="N337" s="39" t="s">
        <v>418</v>
      </c>
    </row>
    <row r="338" spans="1:14" s="12" customFormat="1" ht="25.5">
      <c r="A338" s="178" t="s">
        <v>80</v>
      </c>
      <c r="B338" s="75" t="s">
        <v>1538</v>
      </c>
      <c r="C338" s="39" t="s">
        <v>149</v>
      </c>
      <c r="D338" s="236"/>
      <c r="E338" s="236"/>
      <c r="F338" s="236"/>
      <c r="G338" s="236"/>
      <c r="H338" s="236">
        <f>SUM(Tabla132112414[[#This Row],[PRIMER TRIMESTRE]:[CUARTO TRIMESTRE]])</f>
        <v>0</v>
      </c>
      <c r="I338" s="17">
        <v>560</v>
      </c>
      <c r="J338" s="17">
        <f>+H338*I338</f>
        <v>0</v>
      </c>
      <c r="K338" s="17"/>
      <c r="L338" s="16" t="s">
        <v>18</v>
      </c>
      <c r="M338" s="16" t="s">
        <v>22</v>
      </c>
      <c r="N338" s="39" t="s">
        <v>418</v>
      </c>
    </row>
    <row r="339" spans="1:14" s="12" customFormat="1" ht="18">
      <c r="A339" s="178" t="s">
        <v>80</v>
      </c>
      <c r="B339" s="75" t="s">
        <v>471</v>
      </c>
      <c r="C339" s="39" t="s">
        <v>17</v>
      </c>
      <c r="D339" s="236"/>
      <c r="E339" s="210"/>
      <c r="F339" s="236"/>
      <c r="G339" s="236"/>
      <c r="H339" s="40">
        <f>SUM(Tabla132112414[[#This Row],[PRIMER TRIMESTRE]:[CUARTO TRIMESTRE]])</f>
        <v>0</v>
      </c>
      <c r="I339" s="17">
        <v>55.38</v>
      </c>
      <c r="J339" s="17">
        <f>+Tabla132112414[[#This Row],[CANTIDAD TOTAL]]*Tabla132112414[[#This Row],[PRECIO UNITARIO ESTIMADO]]</f>
        <v>0</v>
      </c>
      <c r="K339" s="17"/>
      <c r="L339" s="16" t="s">
        <v>18</v>
      </c>
      <c r="M339" s="16" t="s">
        <v>22</v>
      </c>
      <c r="N339" s="39" t="s">
        <v>418</v>
      </c>
    </row>
    <row r="340" spans="1:14" s="12" customFormat="1" ht="18">
      <c r="A340" s="178" t="s">
        <v>80</v>
      </c>
      <c r="B340" s="75" t="s">
        <v>1348</v>
      </c>
      <c r="C340" s="39" t="s">
        <v>17</v>
      </c>
      <c r="D340" s="236"/>
      <c r="E340" s="210"/>
      <c r="F340" s="236"/>
      <c r="G340" s="236"/>
      <c r="H340" s="40">
        <f>SUM(Tabla132112414[[#This Row],[PRIMER TRIMESTRE]:[CUARTO TRIMESTRE]])</f>
        <v>0</v>
      </c>
      <c r="I340" s="17">
        <v>85</v>
      </c>
      <c r="J340" s="17">
        <f t="shared" ref="J340:J375" si="9">+H340*I340</f>
        <v>0</v>
      </c>
      <c r="K340" s="17"/>
      <c r="L340" s="16" t="s">
        <v>18</v>
      </c>
      <c r="M340" s="16" t="s">
        <v>22</v>
      </c>
      <c r="N340" s="39" t="s">
        <v>418</v>
      </c>
    </row>
    <row r="341" spans="1:14" s="12" customFormat="1" ht="18">
      <c r="A341" s="178" t="s">
        <v>80</v>
      </c>
      <c r="B341" s="75" t="s">
        <v>1591</v>
      </c>
      <c r="C341" s="39" t="s">
        <v>17</v>
      </c>
      <c r="D341" s="236"/>
      <c r="E341" s="210"/>
      <c r="F341" s="236"/>
      <c r="G341" s="236"/>
      <c r="H341" s="40">
        <f>SUM(Tabla132112414[[#This Row],[PRIMER TRIMESTRE]:[CUARTO TRIMESTRE]])</f>
        <v>0</v>
      </c>
      <c r="I341" s="17">
        <v>196.4</v>
      </c>
      <c r="J341" s="17">
        <f t="shared" si="9"/>
        <v>0</v>
      </c>
      <c r="K341" s="17"/>
      <c r="L341" s="16" t="s">
        <v>18</v>
      </c>
      <c r="M341" s="16" t="s">
        <v>22</v>
      </c>
      <c r="N341" s="39" t="s">
        <v>418</v>
      </c>
    </row>
    <row r="342" spans="1:14" s="12" customFormat="1" ht="18">
      <c r="A342" s="178" t="s">
        <v>80</v>
      </c>
      <c r="B342" s="75" t="s">
        <v>1349</v>
      </c>
      <c r="C342" s="39" t="s">
        <v>17</v>
      </c>
      <c r="D342" s="236"/>
      <c r="E342" s="210"/>
      <c r="F342" s="236"/>
      <c r="G342" s="236"/>
      <c r="H342" s="40">
        <f>SUM(Tabla132112414[[#This Row],[PRIMER TRIMESTRE]:[CUARTO TRIMESTRE]])</f>
        <v>0</v>
      </c>
      <c r="I342" s="17">
        <v>55</v>
      </c>
      <c r="J342" s="17">
        <f t="shared" si="9"/>
        <v>0</v>
      </c>
      <c r="K342" s="17"/>
      <c r="L342" s="16" t="s">
        <v>18</v>
      </c>
      <c r="M342" s="16" t="s">
        <v>22</v>
      </c>
      <c r="N342" s="39" t="s">
        <v>418</v>
      </c>
    </row>
    <row r="343" spans="1:14" s="12" customFormat="1" ht="18">
      <c r="A343" s="178" t="s">
        <v>80</v>
      </c>
      <c r="B343" s="75" t="s">
        <v>1711</v>
      </c>
      <c r="C343" s="39" t="s">
        <v>17</v>
      </c>
      <c r="D343" s="236"/>
      <c r="E343" s="210"/>
      <c r="F343" s="236"/>
      <c r="G343" s="236"/>
      <c r="H343" s="40">
        <v>0</v>
      </c>
      <c r="I343" s="17">
        <v>0</v>
      </c>
      <c r="J343" s="17">
        <v>0</v>
      </c>
      <c r="K343" s="17"/>
      <c r="L343" s="16" t="s">
        <v>18</v>
      </c>
      <c r="M343" s="16" t="s">
        <v>22</v>
      </c>
      <c r="N343" s="39" t="s">
        <v>418</v>
      </c>
    </row>
    <row r="344" spans="1:14" s="12" customFormat="1" ht="18">
      <c r="A344" s="178" t="s">
        <v>80</v>
      </c>
      <c r="B344" s="75" t="s">
        <v>1563</v>
      </c>
      <c r="C344" s="39" t="s">
        <v>17</v>
      </c>
      <c r="D344" s="236"/>
      <c r="E344" s="236"/>
      <c r="F344" s="236"/>
      <c r="G344" s="236"/>
      <c r="H344" s="236">
        <f>SUM(Tabla132112414[[#This Row],[PRIMER TRIMESTRE]:[CUARTO TRIMESTRE]])</f>
        <v>0</v>
      </c>
      <c r="I344" s="17">
        <v>108.41</v>
      </c>
      <c r="J344" s="17">
        <f t="shared" si="9"/>
        <v>0</v>
      </c>
      <c r="K344" s="17"/>
      <c r="L344" s="16" t="s">
        <v>18</v>
      </c>
      <c r="M344" s="16" t="s">
        <v>22</v>
      </c>
      <c r="N344" s="39" t="s">
        <v>418</v>
      </c>
    </row>
    <row r="345" spans="1:14" s="12" customFormat="1" ht="18">
      <c r="A345" s="178" t="s">
        <v>80</v>
      </c>
      <c r="B345" s="75" t="s">
        <v>1562</v>
      </c>
      <c r="C345" s="39" t="s">
        <v>17</v>
      </c>
      <c r="D345" s="236"/>
      <c r="E345" s="236"/>
      <c r="F345" s="236"/>
      <c r="G345" s="236"/>
      <c r="H345" s="236">
        <f>SUM(Tabla132112414[[#This Row],[PRIMER TRIMESTRE]:[CUARTO TRIMESTRE]])</f>
        <v>0</v>
      </c>
      <c r="I345" s="17">
        <v>23.1</v>
      </c>
      <c r="J345" s="17">
        <f t="shared" si="9"/>
        <v>0</v>
      </c>
      <c r="K345" s="17"/>
      <c r="L345" s="16" t="s">
        <v>18</v>
      </c>
      <c r="M345" s="16" t="s">
        <v>22</v>
      </c>
      <c r="N345" s="39" t="s">
        <v>418</v>
      </c>
    </row>
    <row r="346" spans="1:14" s="12" customFormat="1" ht="18">
      <c r="A346" s="178" t="s">
        <v>80</v>
      </c>
      <c r="B346" s="75" t="s">
        <v>1350</v>
      </c>
      <c r="C346" s="39" t="s">
        <v>17</v>
      </c>
      <c r="D346" s="236"/>
      <c r="E346" s="210"/>
      <c r="F346" s="236"/>
      <c r="G346" s="236"/>
      <c r="H346" s="40">
        <f>SUM(Tabla132112414[[#This Row],[PRIMER TRIMESTRE]:[CUARTO TRIMESTRE]])</f>
        <v>0</v>
      </c>
      <c r="I346" s="17">
        <v>210</v>
      </c>
      <c r="J346" s="17">
        <f t="shared" si="9"/>
        <v>0</v>
      </c>
      <c r="K346" s="17"/>
      <c r="L346" s="16" t="s">
        <v>18</v>
      </c>
      <c r="M346" s="16" t="s">
        <v>22</v>
      </c>
      <c r="N346" s="39" t="s">
        <v>418</v>
      </c>
    </row>
    <row r="347" spans="1:14" s="12" customFormat="1" ht="18">
      <c r="A347" s="178" t="s">
        <v>80</v>
      </c>
      <c r="B347" s="75" t="s">
        <v>644</v>
      </c>
      <c r="C347" s="39" t="s">
        <v>17</v>
      </c>
      <c r="D347" s="236"/>
      <c r="E347" s="236"/>
      <c r="F347" s="236"/>
      <c r="G347" s="240"/>
      <c r="H347" s="40">
        <f>SUM(Tabla132112414[[#This Row],[PRIMER TRIMESTRE]:[CUARTO TRIMESTRE]])</f>
        <v>0</v>
      </c>
      <c r="I347" s="17">
        <v>731.35</v>
      </c>
      <c r="J347" s="17">
        <f t="shared" si="9"/>
        <v>0</v>
      </c>
      <c r="K347" s="17"/>
      <c r="L347" s="16" t="s">
        <v>18</v>
      </c>
      <c r="M347" s="16" t="s">
        <v>22</v>
      </c>
      <c r="N347" s="39" t="s">
        <v>418</v>
      </c>
    </row>
    <row r="348" spans="1:14" s="12" customFormat="1" ht="18">
      <c r="A348" s="178" t="s">
        <v>80</v>
      </c>
      <c r="B348" s="75" t="s">
        <v>645</v>
      </c>
      <c r="C348" s="39" t="s">
        <v>17</v>
      </c>
      <c r="D348" s="236"/>
      <c r="E348" s="236"/>
      <c r="F348" s="236"/>
      <c r="G348" s="240"/>
      <c r="H348" s="40">
        <f>SUM(Tabla132112414[[#This Row],[PRIMER TRIMESTRE]:[CUARTO TRIMESTRE]])</f>
        <v>0</v>
      </c>
      <c r="I348" s="17">
        <v>1013.28</v>
      </c>
      <c r="J348" s="17">
        <f t="shared" si="9"/>
        <v>0</v>
      </c>
      <c r="K348" s="17"/>
      <c r="L348" s="16" t="s">
        <v>18</v>
      </c>
      <c r="M348" s="16" t="s">
        <v>22</v>
      </c>
      <c r="N348" s="39" t="s">
        <v>418</v>
      </c>
    </row>
    <row r="349" spans="1:14" s="12" customFormat="1" ht="18">
      <c r="A349" s="178" t="s">
        <v>80</v>
      </c>
      <c r="B349" s="75" t="s">
        <v>646</v>
      </c>
      <c r="C349" s="39" t="s">
        <v>17</v>
      </c>
      <c r="D349" s="236"/>
      <c r="E349" s="236"/>
      <c r="F349" s="236"/>
      <c r="G349" s="240"/>
      <c r="H349" s="40">
        <f>SUM(Tabla132112414[[#This Row],[PRIMER TRIMESTRE]:[CUARTO TRIMESTRE]])</f>
        <v>0</v>
      </c>
      <c r="I349" s="17">
        <v>1196.97</v>
      </c>
      <c r="J349" s="17">
        <f t="shared" si="9"/>
        <v>0</v>
      </c>
      <c r="K349" s="17"/>
      <c r="L349" s="16" t="s">
        <v>18</v>
      </c>
      <c r="M349" s="16" t="s">
        <v>22</v>
      </c>
      <c r="N349" s="39" t="s">
        <v>418</v>
      </c>
    </row>
    <row r="350" spans="1:14" s="12" customFormat="1" ht="18">
      <c r="A350" s="178" t="s">
        <v>80</v>
      </c>
      <c r="B350" s="75" t="s">
        <v>647</v>
      </c>
      <c r="C350" s="39" t="s">
        <v>17</v>
      </c>
      <c r="D350" s="236"/>
      <c r="E350" s="236"/>
      <c r="F350" s="236"/>
      <c r="G350" s="240"/>
      <c r="H350" s="40">
        <f>SUM(Tabla132112414[[#This Row],[PRIMER TRIMESTRE]:[CUARTO TRIMESTRE]])</f>
        <v>0</v>
      </c>
      <c r="I350" s="17">
        <v>1882.41</v>
      </c>
      <c r="J350" s="17">
        <f t="shared" si="9"/>
        <v>0</v>
      </c>
      <c r="K350" s="17"/>
      <c r="L350" s="16" t="s">
        <v>18</v>
      </c>
      <c r="M350" s="16" t="s">
        <v>22</v>
      </c>
      <c r="N350" s="39" t="s">
        <v>418</v>
      </c>
    </row>
    <row r="351" spans="1:14" s="12" customFormat="1" ht="18">
      <c r="A351" s="178" t="s">
        <v>80</v>
      </c>
      <c r="B351" s="75" t="s">
        <v>648</v>
      </c>
      <c r="C351" s="39" t="s">
        <v>17</v>
      </c>
      <c r="D351" s="236"/>
      <c r="E351" s="236"/>
      <c r="F351" s="236"/>
      <c r="G351" s="240"/>
      <c r="H351" s="40">
        <f>SUM(Tabla132112414[[#This Row],[PRIMER TRIMESTRE]:[CUARTO TRIMESTRE]])</f>
        <v>0</v>
      </c>
      <c r="I351" s="17">
        <v>2110.4699999999998</v>
      </c>
      <c r="J351" s="17">
        <f t="shared" si="9"/>
        <v>0</v>
      </c>
      <c r="K351" s="17"/>
      <c r="L351" s="16" t="s">
        <v>18</v>
      </c>
      <c r="M351" s="16" t="s">
        <v>22</v>
      </c>
      <c r="N351" s="39" t="s">
        <v>418</v>
      </c>
    </row>
    <row r="352" spans="1:14" s="12" customFormat="1" ht="18">
      <c r="A352" s="178" t="s">
        <v>80</v>
      </c>
      <c r="B352" s="75" t="s">
        <v>649</v>
      </c>
      <c r="C352" s="39" t="s">
        <v>17</v>
      </c>
      <c r="D352" s="236"/>
      <c r="E352" s="236"/>
      <c r="F352" s="236"/>
      <c r="G352" s="240"/>
      <c r="H352" s="40">
        <f>SUM(Tabla132112414[[#This Row],[PRIMER TRIMESTRE]:[CUARTO TRIMESTRE]])</f>
        <v>0</v>
      </c>
      <c r="I352" s="17">
        <v>2920.5</v>
      </c>
      <c r="J352" s="17">
        <f t="shared" si="9"/>
        <v>0</v>
      </c>
      <c r="K352" s="17"/>
      <c r="L352" s="16" t="s">
        <v>18</v>
      </c>
      <c r="M352" s="16" t="s">
        <v>22</v>
      </c>
      <c r="N352" s="39" t="s">
        <v>418</v>
      </c>
    </row>
    <row r="353" spans="1:14" s="12" customFormat="1" ht="18">
      <c r="A353" s="178" t="s">
        <v>80</v>
      </c>
      <c r="B353" s="75" t="s">
        <v>650</v>
      </c>
      <c r="C353" s="39" t="s">
        <v>17</v>
      </c>
      <c r="D353" s="236"/>
      <c r="E353" s="236"/>
      <c r="F353" s="236"/>
      <c r="G353" s="240"/>
      <c r="H353" s="40">
        <f>SUM(Tabla132112414[[#This Row],[PRIMER TRIMESTRE]:[CUARTO TRIMESTRE]])</f>
        <v>0</v>
      </c>
      <c r="I353" s="17">
        <v>2919.76</v>
      </c>
      <c r="J353" s="17">
        <f t="shared" si="9"/>
        <v>0</v>
      </c>
      <c r="K353" s="17"/>
      <c r="L353" s="16" t="s">
        <v>18</v>
      </c>
      <c r="M353" s="16" t="s">
        <v>22</v>
      </c>
      <c r="N353" s="39" t="s">
        <v>418</v>
      </c>
    </row>
    <row r="354" spans="1:14" s="12" customFormat="1" ht="18">
      <c r="A354" s="178" t="s">
        <v>80</v>
      </c>
      <c r="B354" s="75" t="s">
        <v>651</v>
      </c>
      <c r="C354" s="39" t="s">
        <v>17</v>
      </c>
      <c r="D354" s="236"/>
      <c r="E354" s="236"/>
      <c r="F354" s="236"/>
      <c r="G354" s="240"/>
      <c r="H354" s="40">
        <f>SUM(Tabla132112414[[#This Row],[PRIMER TRIMESTRE]:[CUARTO TRIMESTRE]])</f>
        <v>0</v>
      </c>
      <c r="I354" s="17">
        <v>5347.76</v>
      </c>
      <c r="J354" s="17">
        <f t="shared" si="9"/>
        <v>0</v>
      </c>
      <c r="K354" s="17"/>
      <c r="L354" s="16" t="s">
        <v>18</v>
      </c>
      <c r="M354" s="16" t="s">
        <v>22</v>
      </c>
      <c r="N354" s="39" t="s">
        <v>418</v>
      </c>
    </row>
    <row r="355" spans="1:14" s="12" customFormat="1" ht="18">
      <c r="A355" s="178" t="s">
        <v>80</v>
      </c>
      <c r="B355" s="75" t="s">
        <v>652</v>
      </c>
      <c r="C355" s="39" t="s">
        <v>17</v>
      </c>
      <c r="D355" s="236"/>
      <c r="E355" s="236"/>
      <c r="F355" s="236"/>
      <c r="G355" s="240"/>
      <c r="H355" s="40">
        <f>SUM(Tabla132112414[[#This Row],[PRIMER TRIMESTRE]:[CUARTO TRIMESTRE]])</f>
        <v>0</v>
      </c>
      <c r="I355" s="17">
        <v>9696.06</v>
      </c>
      <c r="J355" s="17">
        <f t="shared" si="9"/>
        <v>0</v>
      </c>
      <c r="K355" s="17"/>
      <c r="L355" s="16" t="s">
        <v>18</v>
      </c>
      <c r="M355" s="16" t="s">
        <v>22</v>
      </c>
      <c r="N355" s="39" t="s">
        <v>418</v>
      </c>
    </row>
    <row r="356" spans="1:14" s="12" customFormat="1" ht="18">
      <c r="A356" s="178" t="s">
        <v>80</v>
      </c>
      <c r="B356" s="75" t="s">
        <v>653</v>
      </c>
      <c r="C356" s="39" t="s">
        <v>17</v>
      </c>
      <c r="D356" s="236"/>
      <c r="E356" s="236"/>
      <c r="F356" s="236"/>
      <c r="G356" s="240"/>
      <c r="H356" s="40">
        <f>SUM(Tabla132112414[[#This Row],[PRIMER TRIMESTRE]:[CUARTO TRIMESTRE]])</f>
        <v>0</v>
      </c>
      <c r="I356" s="17">
        <v>13263.2</v>
      </c>
      <c r="J356" s="17">
        <f t="shared" si="9"/>
        <v>0</v>
      </c>
      <c r="K356" s="17"/>
      <c r="L356" s="16" t="s">
        <v>18</v>
      </c>
      <c r="M356" s="16" t="s">
        <v>22</v>
      </c>
      <c r="N356" s="39" t="s">
        <v>418</v>
      </c>
    </row>
    <row r="357" spans="1:14" s="12" customFormat="1" ht="18">
      <c r="A357" s="178" t="s">
        <v>80</v>
      </c>
      <c r="B357" s="75" t="s">
        <v>351</v>
      </c>
      <c r="C357" s="39" t="s">
        <v>17</v>
      </c>
      <c r="D357" s="236"/>
      <c r="E357" s="236"/>
      <c r="F357" s="236"/>
      <c r="G357" s="240"/>
      <c r="H357" s="40">
        <f>SUM(Tabla132112414[[#This Row],[PRIMER TRIMESTRE]:[CUARTO TRIMESTRE]])</f>
        <v>0</v>
      </c>
      <c r="I357" s="17">
        <v>1800</v>
      </c>
      <c r="J357" s="17">
        <f t="shared" si="9"/>
        <v>0</v>
      </c>
      <c r="K357" s="17"/>
      <c r="L357" s="16" t="s">
        <v>18</v>
      </c>
      <c r="M357" s="16" t="s">
        <v>22</v>
      </c>
      <c r="N357" s="39" t="s">
        <v>418</v>
      </c>
    </row>
    <row r="358" spans="1:14" s="12" customFormat="1" ht="18">
      <c r="A358" s="178" t="s">
        <v>80</v>
      </c>
      <c r="B358" s="75" t="s">
        <v>352</v>
      </c>
      <c r="C358" s="39" t="s">
        <v>17</v>
      </c>
      <c r="D358" s="236"/>
      <c r="E358" s="236"/>
      <c r="F358" s="236"/>
      <c r="G358" s="240"/>
      <c r="H358" s="40">
        <f>SUM(Tabla132112414[[#This Row],[PRIMER TRIMESTRE]:[CUARTO TRIMESTRE]])</f>
        <v>0</v>
      </c>
      <c r="I358" s="17">
        <v>2000</v>
      </c>
      <c r="J358" s="17">
        <f t="shared" si="9"/>
        <v>0</v>
      </c>
      <c r="K358" s="17"/>
      <c r="L358" s="16" t="s">
        <v>18</v>
      </c>
      <c r="M358" s="16" t="s">
        <v>22</v>
      </c>
      <c r="N358" s="39" t="s">
        <v>418</v>
      </c>
    </row>
    <row r="359" spans="1:14" s="12" customFormat="1" ht="18">
      <c r="A359" s="178" t="s">
        <v>80</v>
      </c>
      <c r="B359" s="75" t="s">
        <v>345</v>
      </c>
      <c r="C359" s="39" t="s">
        <v>17</v>
      </c>
      <c r="D359" s="236"/>
      <c r="E359" s="236"/>
      <c r="F359" s="236"/>
      <c r="G359" s="240"/>
      <c r="H359" s="40">
        <f>SUM(Tabla132112414[[#This Row],[PRIMER TRIMESTRE]:[CUARTO TRIMESTRE]])</f>
        <v>0</v>
      </c>
      <c r="I359" s="17">
        <v>2500</v>
      </c>
      <c r="J359" s="17">
        <f t="shared" si="9"/>
        <v>0</v>
      </c>
      <c r="K359" s="17"/>
      <c r="L359" s="16" t="s">
        <v>18</v>
      </c>
      <c r="M359" s="16" t="s">
        <v>22</v>
      </c>
      <c r="N359" s="39" t="s">
        <v>418</v>
      </c>
    </row>
    <row r="360" spans="1:14" s="12" customFormat="1" ht="18">
      <c r="A360" s="178" t="s">
        <v>80</v>
      </c>
      <c r="B360" s="75" t="s">
        <v>346</v>
      </c>
      <c r="C360" s="39" t="s">
        <v>17</v>
      </c>
      <c r="D360" s="236"/>
      <c r="E360" s="236"/>
      <c r="F360" s="236"/>
      <c r="G360" s="240"/>
      <c r="H360" s="40">
        <f>SUM(Tabla132112414[[#This Row],[PRIMER TRIMESTRE]:[CUARTO TRIMESTRE]])</f>
        <v>0</v>
      </c>
      <c r="I360" s="17">
        <v>3100</v>
      </c>
      <c r="J360" s="17">
        <f t="shared" si="9"/>
        <v>0</v>
      </c>
      <c r="K360" s="17"/>
      <c r="L360" s="16" t="s">
        <v>18</v>
      </c>
      <c r="M360" s="16" t="s">
        <v>22</v>
      </c>
      <c r="N360" s="39" t="s">
        <v>418</v>
      </c>
    </row>
    <row r="361" spans="1:14" s="12" customFormat="1" ht="18">
      <c r="A361" s="178" t="s">
        <v>80</v>
      </c>
      <c r="B361" s="75" t="s">
        <v>347</v>
      </c>
      <c r="C361" s="39" t="s">
        <v>17</v>
      </c>
      <c r="D361" s="236"/>
      <c r="E361" s="236"/>
      <c r="F361" s="236"/>
      <c r="G361" s="240"/>
      <c r="H361" s="40">
        <f>SUM(Tabla132112414[[#This Row],[PRIMER TRIMESTRE]:[CUARTO TRIMESTRE]])</f>
        <v>0</v>
      </c>
      <c r="I361" s="17">
        <v>4100</v>
      </c>
      <c r="J361" s="17">
        <f t="shared" si="9"/>
        <v>0</v>
      </c>
      <c r="K361" s="17"/>
      <c r="L361" s="16" t="s">
        <v>18</v>
      </c>
      <c r="M361" s="16" t="s">
        <v>22</v>
      </c>
      <c r="N361" s="39" t="s">
        <v>418</v>
      </c>
    </row>
    <row r="362" spans="1:14" s="12" customFormat="1" ht="18">
      <c r="A362" s="178" t="s">
        <v>80</v>
      </c>
      <c r="B362" s="75" t="s">
        <v>1213</v>
      </c>
      <c r="C362" s="39" t="s">
        <v>17</v>
      </c>
      <c r="D362" s="236"/>
      <c r="E362" s="236"/>
      <c r="F362" s="236"/>
      <c r="G362" s="240"/>
      <c r="H362" s="40">
        <f>SUM(Tabla132112414[[#This Row],[PRIMER TRIMESTRE]:[CUARTO TRIMESTRE]])</f>
        <v>0</v>
      </c>
      <c r="I362" s="17">
        <v>8660</v>
      </c>
      <c r="J362" s="17">
        <f t="shared" si="9"/>
        <v>0</v>
      </c>
      <c r="K362" s="17"/>
      <c r="L362" s="16" t="s">
        <v>18</v>
      </c>
      <c r="M362" s="16" t="s">
        <v>22</v>
      </c>
      <c r="N362" s="39" t="s">
        <v>418</v>
      </c>
    </row>
    <row r="363" spans="1:14" s="12" customFormat="1" ht="18">
      <c r="A363" s="178" t="s">
        <v>80</v>
      </c>
      <c r="B363" s="75" t="s">
        <v>359</v>
      </c>
      <c r="C363" s="39" t="s">
        <v>17</v>
      </c>
      <c r="D363" s="236"/>
      <c r="E363" s="236"/>
      <c r="F363" s="236"/>
      <c r="G363" s="240"/>
      <c r="H363" s="40">
        <f>SUM(Tabla132112414[[#This Row],[PRIMER TRIMESTRE]:[CUARTO TRIMESTRE]])</f>
        <v>0</v>
      </c>
      <c r="I363" s="17">
        <v>1800</v>
      </c>
      <c r="J363" s="17">
        <f t="shared" si="9"/>
        <v>0</v>
      </c>
      <c r="K363" s="17"/>
      <c r="L363" s="16" t="s">
        <v>18</v>
      </c>
      <c r="M363" s="16" t="s">
        <v>22</v>
      </c>
      <c r="N363" s="39" t="s">
        <v>418</v>
      </c>
    </row>
    <row r="364" spans="1:14" s="12" customFormat="1" ht="18">
      <c r="A364" s="178" t="s">
        <v>80</v>
      </c>
      <c r="B364" s="75" t="s">
        <v>360</v>
      </c>
      <c r="C364" s="39" t="s">
        <v>17</v>
      </c>
      <c r="D364" s="236"/>
      <c r="E364" s="236"/>
      <c r="F364" s="236"/>
      <c r="G364" s="240"/>
      <c r="H364" s="40">
        <f>SUM(Tabla132112414[[#This Row],[PRIMER TRIMESTRE]:[CUARTO TRIMESTRE]])</f>
        <v>0</v>
      </c>
      <c r="I364" s="17">
        <v>2000</v>
      </c>
      <c r="J364" s="17">
        <f t="shared" si="9"/>
        <v>0</v>
      </c>
      <c r="K364" s="17"/>
      <c r="L364" s="16" t="s">
        <v>18</v>
      </c>
      <c r="M364" s="16" t="s">
        <v>22</v>
      </c>
      <c r="N364" s="39" t="s">
        <v>418</v>
      </c>
    </row>
    <row r="365" spans="1:14" s="12" customFormat="1" ht="18">
      <c r="A365" s="178" t="s">
        <v>80</v>
      </c>
      <c r="B365" s="75" t="s">
        <v>353</v>
      </c>
      <c r="C365" s="39" t="s">
        <v>17</v>
      </c>
      <c r="D365" s="236"/>
      <c r="E365" s="236"/>
      <c r="F365" s="236"/>
      <c r="G365" s="240"/>
      <c r="H365" s="40">
        <f>SUM(Tabla132112414[[#This Row],[PRIMER TRIMESTRE]:[CUARTO TRIMESTRE]])</f>
        <v>0</v>
      </c>
      <c r="I365" s="17">
        <v>2500</v>
      </c>
      <c r="J365" s="17">
        <f t="shared" si="9"/>
        <v>0</v>
      </c>
      <c r="K365" s="17"/>
      <c r="L365" s="16" t="s">
        <v>18</v>
      </c>
      <c r="M365" s="16" t="s">
        <v>22</v>
      </c>
      <c r="N365" s="39" t="s">
        <v>418</v>
      </c>
    </row>
    <row r="366" spans="1:14" s="12" customFormat="1" ht="18">
      <c r="A366" s="178" t="s">
        <v>80</v>
      </c>
      <c r="B366" s="75" t="s">
        <v>354</v>
      </c>
      <c r="C366" s="39" t="s">
        <v>17</v>
      </c>
      <c r="D366" s="236"/>
      <c r="E366" s="236"/>
      <c r="F366" s="236"/>
      <c r="G366" s="240"/>
      <c r="H366" s="40">
        <f>SUM(Tabla132112414[[#This Row],[PRIMER TRIMESTRE]:[CUARTO TRIMESTRE]])</f>
        <v>0</v>
      </c>
      <c r="I366" s="17">
        <v>8502.7999999999993</v>
      </c>
      <c r="J366" s="17">
        <f t="shared" si="9"/>
        <v>0</v>
      </c>
      <c r="K366" s="17"/>
      <c r="L366" s="16" t="s">
        <v>18</v>
      </c>
      <c r="M366" s="16" t="s">
        <v>22</v>
      </c>
      <c r="N366" s="39" t="s">
        <v>418</v>
      </c>
    </row>
    <row r="367" spans="1:14" s="12" customFormat="1" ht="18">
      <c r="A367" s="178" t="s">
        <v>80</v>
      </c>
      <c r="B367" s="75" t="s">
        <v>355</v>
      </c>
      <c r="C367" s="39" t="s">
        <v>17</v>
      </c>
      <c r="D367" s="236"/>
      <c r="E367" s="236"/>
      <c r="F367" s="236"/>
      <c r="G367" s="240"/>
      <c r="H367" s="40">
        <f>SUM(Tabla132112414[[#This Row],[PRIMER TRIMESTRE]:[CUARTO TRIMESTRE]])</f>
        <v>0</v>
      </c>
      <c r="I367" s="17">
        <v>12180</v>
      </c>
      <c r="J367" s="17">
        <f t="shared" si="9"/>
        <v>0</v>
      </c>
      <c r="K367" s="17"/>
      <c r="L367" s="16" t="s">
        <v>18</v>
      </c>
      <c r="M367" s="16" t="s">
        <v>22</v>
      </c>
      <c r="N367" s="39" t="s">
        <v>418</v>
      </c>
    </row>
    <row r="368" spans="1:14" s="12" customFormat="1" ht="18">
      <c r="A368" s="178" t="s">
        <v>80</v>
      </c>
      <c r="B368" s="75" t="s">
        <v>1214</v>
      </c>
      <c r="C368" s="39" t="s">
        <v>17</v>
      </c>
      <c r="D368" s="236"/>
      <c r="E368" s="236"/>
      <c r="F368" s="236"/>
      <c r="G368" s="240"/>
      <c r="H368" s="40">
        <f>SUM(Tabla132112414[[#This Row],[PRIMER TRIMESTRE]:[CUARTO TRIMESTRE]])</f>
        <v>0</v>
      </c>
      <c r="I368" s="17">
        <v>12180</v>
      </c>
      <c r="J368" s="17">
        <f t="shared" si="9"/>
        <v>0</v>
      </c>
      <c r="K368" s="17"/>
      <c r="L368" s="16" t="s">
        <v>18</v>
      </c>
      <c r="M368" s="16" t="s">
        <v>22</v>
      </c>
      <c r="N368" s="39" t="s">
        <v>418</v>
      </c>
    </row>
    <row r="369" spans="1:14" s="12" customFormat="1" ht="18">
      <c r="A369" s="178" t="s">
        <v>80</v>
      </c>
      <c r="B369" s="75" t="s">
        <v>366</v>
      </c>
      <c r="C369" s="39" t="s">
        <v>17</v>
      </c>
      <c r="D369" s="236"/>
      <c r="E369" s="236"/>
      <c r="F369" s="236"/>
      <c r="G369" s="240"/>
      <c r="H369" s="40">
        <f>SUM(Tabla132112414[[#This Row],[PRIMER TRIMESTRE]:[CUARTO TRIMESTRE]])</f>
        <v>0</v>
      </c>
      <c r="I369" s="17">
        <v>1800</v>
      </c>
      <c r="J369" s="17">
        <f t="shared" si="9"/>
        <v>0</v>
      </c>
      <c r="K369" s="17"/>
      <c r="L369" s="16" t="s">
        <v>18</v>
      </c>
      <c r="M369" s="16" t="s">
        <v>22</v>
      </c>
      <c r="N369" s="39" t="s">
        <v>418</v>
      </c>
    </row>
    <row r="370" spans="1:14" s="12" customFormat="1" ht="18">
      <c r="A370" s="178" t="s">
        <v>80</v>
      </c>
      <c r="B370" s="75" t="s">
        <v>367</v>
      </c>
      <c r="C370" s="39" t="s">
        <v>17</v>
      </c>
      <c r="D370" s="236"/>
      <c r="E370" s="236"/>
      <c r="F370" s="236"/>
      <c r="G370" s="240"/>
      <c r="H370" s="40">
        <f>SUM(Tabla132112414[[#This Row],[PRIMER TRIMESTRE]:[CUARTO TRIMESTRE]])</f>
        <v>0</v>
      </c>
      <c r="I370" s="17">
        <v>2000</v>
      </c>
      <c r="J370" s="17">
        <f t="shared" si="9"/>
        <v>0</v>
      </c>
      <c r="K370" s="17"/>
      <c r="L370" s="16" t="s">
        <v>18</v>
      </c>
      <c r="M370" s="16" t="s">
        <v>22</v>
      </c>
      <c r="N370" s="39" t="s">
        <v>418</v>
      </c>
    </row>
    <row r="371" spans="1:14" s="12" customFormat="1" ht="18">
      <c r="A371" s="178" t="s">
        <v>80</v>
      </c>
      <c r="B371" s="75" t="s">
        <v>361</v>
      </c>
      <c r="C371" s="39" t="s">
        <v>17</v>
      </c>
      <c r="D371" s="236"/>
      <c r="E371" s="236"/>
      <c r="F371" s="236"/>
      <c r="G371" s="240"/>
      <c r="H371" s="40">
        <f>SUM(Tabla132112414[[#This Row],[PRIMER TRIMESTRE]:[CUARTO TRIMESTRE]])</f>
        <v>0</v>
      </c>
      <c r="I371" s="17">
        <v>2500</v>
      </c>
      <c r="J371" s="17">
        <f t="shared" si="9"/>
        <v>0</v>
      </c>
      <c r="K371" s="17"/>
      <c r="L371" s="16" t="s">
        <v>18</v>
      </c>
      <c r="M371" s="16" t="s">
        <v>22</v>
      </c>
      <c r="N371" s="39" t="s">
        <v>418</v>
      </c>
    </row>
    <row r="372" spans="1:14" s="12" customFormat="1" ht="18">
      <c r="A372" s="178" t="s">
        <v>80</v>
      </c>
      <c r="B372" s="75" t="s">
        <v>362</v>
      </c>
      <c r="C372" s="39" t="s">
        <v>17</v>
      </c>
      <c r="D372" s="236"/>
      <c r="E372" s="236"/>
      <c r="F372" s="236"/>
      <c r="G372" s="240"/>
      <c r="H372" s="40">
        <f>SUM(Tabla132112414[[#This Row],[PRIMER TRIMESTRE]:[CUARTO TRIMESTRE]])</f>
        <v>0</v>
      </c>
      <c r="I372" s="17">
        <v>3100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</row>
    <row r="373" spans="1:14" s="12" customFormat="1" ht="18">
      <c r="A373" s="178" t="s">
        <v>80</v>
      </c>
      <c r="B373" s="75" t="s">
        <v>1439</v>
      </c>
      <c r="C373" s="39" t="s">
        <v>17</v>
      </c>
      <c r="D373" s="236"/>
      <c r="E373" s="236"/>
      <c r="F373" s="236"/>
      <c r="G373" s="240"/>
      <c r="H373" s="40">
        <f>SUM(Tabla132112414[[#This Row],[PRIMER TRIMESTRE]:[CUARTO TRIMESTRE]])</f>
        <v>0</v>
      </c>
      <c r="I373" s="17">
        <v>4100</v>
      </c>
      <c r="J373" s="17">
        <f t="shared" si="9"/>
        <v>0</v>
      </c>
      <c r="K373" s="17"/>
      <c r="L373" s="16" t="s">
        <v>18</v>
      </c>
      <c r="M373" s="16" t="s">
        <v>22</v>
      </c>
      <c r="N373" s="39" t="s">
        <v>418</v>
      </c>
    </row>
    <row r="374" spans="1:14" s="12" customFormat="1" ht="18">
      <c r="A374" s="178" t="s">
        <v>80</v>
      </c>
      <c r="B374" s="75" t="s">
        <v>920</v>
      </c>
      <c r="C374" s="39" t="s">
        <v>17</v>
      </c>
      <c r="D374" s="236"/>
      <c r="E374" s="236"/>
      <c r="F374" s="236"/>
      <c r="G374" s="240"/>
      <c r="H374" s="40">
        <f>SUM(Tabla132112414[[#This Row],[PRIMER TRIMESTRE]:[CUARTO TRIMESTRE]])</f>
        <v>0</v>
      </c>
      <c r="I374" s="17">
        <v>140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</row>
    <row r="375" spans="1:14" s="12" customFormat="1" ht="18">
      <c r="A375" s="178" t="s">
        <v>80</v>
      </c>
      <c r="B375" s="75" t="s">
        <v>1578</v>
      </c>
      <c r="C375" s="39" t="s">
        <v>17</v>
      </c>
      <c r="D375" s="236"/>
      <c r="E375" s="236"/>
      <c r="F375" s="236"/>
      <c r="G375" s="236"/>
      <c r="H375" s="236">
        <f>SUM(Tabla132112414[[#This Row],[PRIMER TRIMESTRE]:[CUARTO TRIMESTRE]])</f>
        <v>0</v>
      </c>
      <c r="I375" s="17">
        <v>397.8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</row>
    <row r="376" spans="1:14" s="12" customFormat="1" ht="18">
      <c r="A376" s="178" t="s">
        <v>80</v>
      </c>
      <c r="B376" s="75" t="s">
        <v>154</v>
      </c>
      <c r="C376" s="39" t="s">
        <v>470</v>
      </c>
      <c r="D376" s="236"/>
      <c r="E376" s="236"/>
      <c r="F376" s="236"/>
      <c r="G376" s="236"/>
      <c r="H376" s="40">
        <f>SUM(Tabla132112414[[#This Row],[PRIMER TRIMESTRE]:[CUARTO TRIMESTRE]])</f>
        <v>0</v>
      </c>
      <c r="I376" s="17">
        <v>100</v>
      </c>
      <c r="J376" s="17">
        <f>+Tabla132112414[[#This Row],[CANTIDAD TOTAL]]*Tabla132112414[[#This Row],[PRECIO UNITARIO ESTIMADO]]</f>
        <v>0</v>
      </c>
      <c r="K376" s="17"/>
      <c r="L376" s="16" t="s">
        <v>18</v>
      </c>
      <c r="M376" s="16" t="s">
        <v>22</v>
      </c>
      <c r="N376" s="39" t="s">
        <v>418</v>
      </c>
    </row>
    <row r="377" spans="1:14" s="12" customFormat="1" ht="18">
      <c r="A377" s="178" t="s">
        <v>80</v>
      </c>
      <c r="B377" s="75" t="s">
        <v>177</v>
      </c>
      <c r="C377" s="39" t="s">
        <v>93</v>
      </c>
      <c r="D377" s="236"/>
      <c r="E377" s="236"/>
      <c r="F377" s="236"/>
      <c r="G377" s="236"/>
      <c r="H377" s="40">
        <f>SUM(Tabla132112414[[#This Row],[PRIMER TRIMESTRE]:[CUARTO TRIMESTRE]])</f>
        <v>0</v>
      </c>
      <c r="I377" s="17">
        <v>226.78</v>
      </c>
      <c r="J377" s="17">
        <f>+Tabla132112414[[#This Row],[CANTIDAD TOTAL]]*Tabla132112414[[#This Row],[PRECIO UNITARIO ESTIMADO]]</f>
        <v>0</v>
      </c>
      <c r="K377" s="17"/>
      <c r="L377" s="16" t="s">
        <v>18</v>
      </c>
      <c r="M377" s="16" t="s">
        <v>22</v>
      </c>
      <c r="N377" s="39" t="s">
        <v>418</v>
      </c>
    </row>
    <row r="378" spans="1:14" s="12" customFormat="1" ht="18">
      <c r="A378" s="178" t="s">
        <v>80</v>
      </c>
      <c r="B378" s="75" t="s">
        <v>460</v>
      </c>
      <c r="C378" s="39" t="s">
        <v>93</v>
      </c>
      <c r="D378" s="236"/>
      <c r="E378" s="236"/>
      <c r="F378" s="236"/>
      <c r="G378" s="236"/>
      <c r="H378" s="40">
        <f>SUM(Tabla132112414[[#This Row],[PRIMER TRIMESTRE]:[CUARTO TRIMESTRE]])</f>
        <v>0</v>
      </c>
      <c r="I378" s="17">
        <v>2055.4</v>
      </c>
      <c r="J378" s="17">
        <f>+H378*I378</f>
        <v>0</v>
      </c>
      <c r="K378" s="17"/>
      <c r="L378" s="16" t="s">
        <v>18</v>
      </c>
      <c r="M378" s="16" t="s">
        <v>22</v>
      </c>
      <c r="N378" s="39" t="s">
        <v>418</v>
      </c>
    </row>
    <row r="379" spans="1:14" s="12" customFormat="1" ht="18">
      <c r="A379" s="178" t="s">
        <v>80</v>
      </c>
      <c r="B379" s="75" t="s">
        <v>179</v>
      </c>
      <c r="C379" s="39" t="s">
        <v>93</v>
      </c>
      <c r="D379" s="236"/>
      <c r="E379" s="236"/>
      <c r="F379" s="236"/>
      <c r="G379" s="236"/>
      <c r="H379" s="40">
        <f>SUM(Tabla132112414[[#This Row],[PRIMER TRIMESTRE]:[CUARTO TRIMESTRE]])</f>
        <v>0</v>
      </c>
      <c r="I379" s="17">
        <v>222.14</v>
      </c>
      <c r="J379" s="17">
        <f>+Tabla132112414[[#This Row],[CANTIDAD TOTAL]]*Tabla132112414[[#This Row],[PRECIO UNITARIO ESTIMADO]]</f>
        <v>0</v>
      </c>
      <c r="K379" s="17"/>
      <c r="L379" s="16" t="s">
        <v>18</v>
      </c>
      <c r="M379" s="16" t="s">
        <v>22</v>
      </c>
      <c r="N379" s="39" t="s">
        <v>418</v>
      </c>
    </row>
    <row r="380" spans="1:14" s="12" customFormat="1" ht="18">
      <c r="A380" s="178" t="s">
        <v>80</v>
      </c>
      <c r="B380" s="75" t="s">
        <v>1549</v>
      </c>
      <c r="C380" s="39" t="s">
        <v>17</v>
      </c>
      <c r="D380" s="236"/>
      <c r="E380" s="236"/>
      <c r="F380" s="236"/>
      <c r="G380" s="236"/>
      <c r="H380" s="236">
        <f>SUM(Tabla132112414[[#This Row],[PRIMER TRIMESTRE]:[CUARTO TRIMESTRE]])</f>
        <v>0</v>
      </c>
      <c r="I380" s="17">
        <v>62328</v>
      </c>
      <c r="J380" s="17">
        <f>+H380*I380</f>
        <v>0</v>
      </c>
      <c r="K380" s="17"/>
      <c r="L380" s="16" t="s">
        <v>18</v>
      </c>
      <c r="M380" s="16" t="s">
        <v>22</v>
      </c>
      <c r="N380" s="39" t="s">
        <v>418</v>
      </c>
    </row>
    <row r="381" spans="1:14" s="12" customFormat="1" ht="18">
      <c r="A381" s="178" t="s">
        <v>80</v>
      </c>
      <c r="B381" s="75" t="s">
        <v>181</v>
      </c>
      <c r="C381" s="39" t="s">
        <v>69</v>
      </c>
      <c r="D381" s="210"/>
      <c r="E381" s="210"/>
      <c r="F381" s="210"/>
      <c r="G381" s="210"/>
      <c r="H381" s="40">
        <f>SUM(Tabla132112414[[#This Row],[PRIMER TRIMESTRE]:[CUARTO TRIMESTRE]])</f>
        <v>0</v>
      </c>
      <c r="I381" s="17">
        <v>6206</v>
      </c>
      <c r="J381" s="17">
        <f>+Tabla132112414[[#This Row],[CANTIDAD TOTAL]]*Tabla132112414[[#This Row],[PRECIO UNITARIO ESTIMADO]]</f>
        <v>0</v>
      </c>
      <c r="K381" s="17"/>
      <c r="L381" s="16" t="s">
        <v>18</v>
      </c>
      <c r="M381" s="16" t="s">
        <v>22</v>
      </c>
      <c r="N381" s="39" t="s">
        <v>418</v>
      </c>
    </row>
    <row r="382" spans="1:14" s="12" customFormat="1" ht="25.5">
      <c r="A382" s="178" t="s">
        <v>80</v>
      </c>
      <c r="B382" s="75" t="s">
        <v>468</v>
      </c>
      <c r="C382" s="39" t="s">
        <v>17</v>
      </c>
      <c r="D382" s="236"/>
      <c r="E382" s="236"/>
      <c r="F382" s="236"/>
      <c r="G382" s="236"/>
      <c r="H382" s="40">
        <f>SUM(Tabla132112414[[#This Row],[PRIMER TRIMESTRE]:[CUARTO TRIMESTRE]])</f>
        <v>0</v>
      </c>
      <c r="I382" s="17">
        <v>4827</v>
      </c>
      <c r="J382" s="17">
        <f>+Tabla132112414[[#This Row],[CANTIDAD TOTAL]]*Tabla132112414[[#This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</row>
    <row r="383" spans="1:14" s="12" customFormat="1" ht="18">
      <c r="A383" s="178" t="s">
        <v>80</v>
      </c>
      <c r="B383" s="75" t="s">
        <v>1564</v>
      </c>
      <c r="C383" s="39" t="s">
        <v>17</v>
      </c>
      <c r="D383" s="236"/>
      <c r="E383" s="236"/>
      <c r="F383" s="236"/>
      <c r="G383" s="236"/>
      <c r="H383" s="236">
        <f>SUM(Tabla132112414[[#This Row],[PRIMER TRIMESTRE]:[CUARTO TRIMESTRE]])</f>
        <v>0</v>
      </c>
      <c r="I383" s="17">
        <v>72.37</v>
      </c>
      <c r="J383" s="17">
        <f>+H383*I383</f>
        <v>0</v>
      </c>
      <c r="K383" s="17"/>
      <c r="L383" s="16" t="s">
        <v>18</v>
      </c>
      <c r="M383" s="16" t="s">
        <v>22</v>
      </c>
      <c r="N383" s="39" t="s">
        <v>418</v>
      </c>
    </row>
    <row r="384" spans="1:14" s="12" customFormat="1" ht="18">
      <c r="A384" s="178" t="s">
        <v>80</v>
      </c>
      <c r="B384" s="75" t="s">
        <v>1565</v>
      </c>
      <c r="C384" s="39" t="s">
        <v>17</v>
      </c>
      <c r="D384" s="236"/>
      <c r="E384" s="236"/>
      <c r="F384" s="236"/>
      <c r="G384" s="236"/>
      <c r="H384" s="236">
        <f>SUM(Tabla132112414[[#This Row],[PRIMER TRIMESTRE]:[CUARTO TRIMESTRE]])</f>
        <v>0</v>
      </c>
      <c r="I384" s="17">
        <v>48.05</v>
      </c>
      <c r="J384" s="17">
        <f>+H384*I384</f>
        <v>0</v>
      </c>
      <c r="K384" s="17"/>
      <c r="L384" s="16" t="s">
        <v>18</v>
      </c>
      <c r="M384" s="16" t="s">
        <v>22</v>
      </c>
      <c r="N384" s="39" t="s">
        <v>418</v>
      </c>
    </row>
    <row r="385" spans="1:14" s="12" customFormat="1" ht="18">
      <c r="A385" s="178" t="s">
        <v>80</v>
      </c>
      <c r="B385" s="75" t="s">
        <v>1548</v>
      </c>
      <c r="C385" s="39" t="s">
        <v>17</v>
      </c>
      <c r="D385" s="236"/>
      <c r="E385" s="236"/>
      <c r="F385" s="236"/>
      <c r="G385" s="236"/>
      <c r="H385" s="236">
        <f>SUM(Tabla132112414[[#This Row],[PRIMER TRIMESTRE]:[CUARTO TRIMESTRE]])</f>
        <v>0</v>
      </c>
      <c r="I385" s="17">
        <v>191.1</v>
      </c>
      <c r="J385" s="17">
        <f>+H385*I385</f>
        <v>0</v>
      </c>
      <c r="K385" s="17"/>
      <c r="L385" s="16" t="s">
        <v>18</v>
      </c>
      <c r="M385" s="16" t="s">
        <v>22</v>
      </c>
      <c r="N385" s="39" t="s">
        <v>418</v>
      </c>
    </row>
    <row r="386" spans="1:14" s="12" customFormat="1" ht="18">
      <c r="A386" s="178" t="s">
        <v>80</v>
      </c>
      <c r="B386" s="75" t="s">
        <v>1619</v>
      </c>
      <c r="C386" s="39" t="s">
        <v>17</v>
      </c>
      <c r="D386" s="236"/>
      <c r="E386" s="236"/>
      <c r="F386" s="236"/>
      <c r="G386" s="236"/>
      <c r="H386" s="236">
        <f>SUM(Tabla132112414[[#This Row],[PRIMER TRIMESTRE]:[CUARTO TRIMESTRE]])</f>
        <v>0</v>
      </c>
      <c r="I386" s="17">
        <v>2184.9499999999998</v>
      </c>
      <c r="J386" s="17">
        <f>+H386*I386</f>
        <v>0</v>
      </c>
      <c r="K386" s="17"/>
      <c r="L386" s="16" t="s">
        <v>18</v>
      </c>
      <c r="M386" s="16" t="s">
        <v>22</v>
      </c>
      <c r="N386" s="39" t="s">
        <v>418</v>
      </c>
    </row>
    <row r="387" spans="1:14" s="12" customFormat="1" ht="18">
      <c r="A387" s="178" t="s">
        <v>80</v>
      </c>
      <c r="B387" s="75" t="s">
        <v>1566</v>
      </c>
      <c r="C387" s="39" t="s">
        <v>17</v>
      </c>
      <c r="D387" s="236"/>
      <c r="E387" s="236"/>
      <c r="F387" s="236"/>
      <c r="G387" s="236"/>
      <c r="H387" s="236">
        <f>SUM(Tabla132112414[[#This Row],[PRIMER TRIMESTRE]:[CUARTO TRIMESTRE]])</f>
        <v>0</v>
      </c>
      <c r="I387" s="17">
        <v>2891.99</v>
      </c>
      <c r="J387" s="17">
        <f>+H387*I387</f>
        <v>0</v>
      </c>
      <c r="K387" s="17"/>
      <c r="L387" s="16" t="s">
        <v>18</v>
      </c>
      <c r="M387" s="16" t="s">
        <v>22</v>
      </c>
      <c r="N387" s="39" t="s">
        <v>418</v>
      </c>
    </row>
    <row r="388" spans="1:14" s="12" customFormat="1" ht="18">
      <c r="A388" s="178" t="s">
        <v>80</v>
      </c>
      <c r="B388" s="75" t="s">
        <v>184</v>
      </c>
      <c r="C388" s="39" t="s">
        <v>17</v>
      </c>
      <c r="D388" s="236"/>
      <c r="E388" s="236"/>
      <c r="F388" s="236"/>
      <c r="G388" s="236"/>
      <c r="H388" s="40">
        <f>SUM(Tabla132112414[[#This Row],[PRIMER TRIMESTRE]:[CUARTO TRIMESTRE]])</f>
        <v>0</v>
      </c>
      <c r="I388" s="17">
        <v>1347.46</v>
      </c>
      <c r="J388" s="17">
        <f>+Tabla132112414[[#This Row],[CANTIDAD TOTAL]]*Tabla132112414[[#This Row],[PRECIO UNITARIO ESTIMADO]]</f>
        <v>0</v>
      </c>
      <c r="K388" s="17"/>
      <c r="L388" s="16" t="s">
        <v>18</v>
      </c>
      <c r="M388" s="16" t="s">
        <v>22</v>
      </c>
      <c r="N388" s="39" t="s">
        <v>418</v>
      </c>
    </row>
    <row r="389" spans="1:14" s="12" customFormat="1" ht="18">
      <c r="A389" s="178" t="s">
        <v>80</v>
      </c>
      <c r="B389" s="75" t="s">
        <v>1426</v>
      </c>
      <c r="C389" s="39" t="s">
        <v>17</v>
      </c>
      <c r="D389" s="236"/>
      <c r="E389" s="236"/>
      <c r="F389" s="236"/>
      <c r="G389" s="236"/>
      <c r="H389" s="40">
        <f>SUM(Tabla132112414[[#This Row],[PRIMER TRIMESTRE]:[CUARTO TRIMESTRE]])</f>
        <v>0</v>
      </c>
      <c r="I389" s="17">
        <v>423.61</v>
      </c>
      <c r="J389" s="17">
        <f t="shared" ref="J389:J403" si="10">+H389*I389</f>
        <v>0</v>
      </c>
      <c r="K389" s="17"/>
      <c r="L389" s="16" t="s">
        <v>18</v>
      </c>
      <c r="M389" s="16" t="s">
        <v>22</v>
      </c>
      <c r="N389" s="39" t="s">
        <v>418</v>
      </c>
    </row>
    <row r="390" spans="1:14" s="12" customFormat="1" ht="18">
      <c r="A390" s="178" t="s">
        <v>80</v>
      </c>
      <c r="B390" s="75" t="s">
        <v>1432</v>
      </c>
      <c r="C390" s="39" t="s">
        <v>17</v>
      </c>
      <c r="D390" s="236"/>
      <c r="E390" s="236"/>
      <c r="F390" s="236"/>
      <c r="G390" s="236"/>
      <c r="H390" s="40">
        <f>SUM(Tabla132112414[[#This Row],[PRIMER TRIMESTRE]:[CUARTO TRIMESTRE]])</f>
        <v>0</v>
      </c>
      <c r="I390" s="17">
        <v>705.29</v>
      </c>
      <c r="J390" s="17">
        <f t="shared" si="10"/>
        <v>0</v>
      </c>
      <c r="K390" s="17"/>
      <c r="L390" s="16" t="s">
        <v>18</v>
      </c>
      <c r="M390" s="16" t="s">
        <v>22</v>
      </c>
      <c r="N390" s="39" t="s">
        <v>418</v>
      </c>
    </row>
    <row r="391" spans="1:14" s="12" customFormat="1" ht="18">
      <c r="A391" s="178" t="s">
        <v>80</v>
      </c>
      <c r="B391" s="75" t="s">
        <v>1726</v>
      </c>
      <c r="C391" s="39" t="s">
        <v>17</v>
      </c>
      <c r="D391" s="236"/>
      <c r="E391" s="236"/>
      <c r="F391" s="236"/>
      <c r="G391" s="236"/>
      <c r="H391" s="40">
        <v>0</v>
      </c>
      <c r="I391" s="17">
        <v>0</v>
      </c>
      <c r="J391" s="17">
        <v>0</v>
      </c>
      <c r="K391" s="17"/>
      <c r="L391" s="16" t="s">
        <v>18</v>
      </c>
      <c r="M391" s="16" t="s">
        <v>22</v>
      </c>
      <c r="N391" s="39" t="s">
        <v>418</v>
      </c>
    </row>
    <row r="392" spans="1:14" s="12" customFormat="1" ht="18">
      <c r="A392" s="178" t="s">
        <v>80</v>
      </c>
      <c r="B392" s="75" t="s">
        <v>1608</v>
      </c>
      <c r="C392" s="39" t="s">
        <v>17</v>
      </c>
      <c r="D392" s="236"/>
      <c r="E392" s="236"/>
      <c r="F392" s="236"/>
      <c r="G392" s="236"/>
      <c r="H392" s="236">
        <f>SUM(Tabla132112414[[#This Row],[PRIMER TRIMESTRE]:[CUARTO TRIMESTRE]])</f>
        <v>0</v>
      </c>
      <c r="I392" s="17">
        <v>4776.8500000000004</v>
      </c>
      <c r="J392" s="17">
        <f t="shared" si="10"/>
        <v>0</v>
      </c>
      <c r="K392" s="17"/>
      <c r="L392" s="16" t="s">
        <v>18</v>
      </c>
      <c r="M392" s="16" t="s">
        <v>22</v>
      </c>
      <c r="N392" s="39" t="s">
        <v>418</v>
      </c>
    </row>
    <row r="393" spans="1:14" s="12" customFormat="1" ht="18">
      <c r="A393" s="178" t="s">
        <v>80</v>
      </c>
      <c r="B393" s="75" t="s">
        <v>1607</v>
      </c>
      <c r="C393" s="39" t="s">
        <v>17</v>
      </c>
      <c r="D393" s="236"/>
      <c r="E393" s="236"/>
      <c r="F393" s="236"/>
      <c r="G393" s="236"/>
      <c r="H393" s="236">
        <f>SUM(Tabla132112414[[#This Row],[PRIMER TRIMESTRE]:[CUARTO TRIMESTRE]])</f>
        <v>0</v>
      </c>
      <c r="I393" s="17">
        <v>20971.52</v>
      </c>
      <c r="J393" s="17">
        <f t="shared" si="10"/>
        <v>0</v>
      </c>
      <c r="K393" s="17"/>
      <c r="L393" s="16" t="s">
        <v>18</v>
      </c>
      <c r="M393" s="16" t="s">
        <v>22</v>
      </c>
      <c r="N393" s="39" t="s">
        <v>418</v>
      </c>
    </row>
    <row r="394" spans="1:14" s="12" customFormat="1" ht="18">
      <c r="A394" s="178" t="s">
        <v>80</v>
      </c>
      <c r="B394" s="75" t="s">
        <v>369</v>
      </c>
      <c r="C394" s="39" t="s">
        <v>17</v>
      </c>
      <c r="D394" s="236"/>
      <c r="E394" s="236"/>
      <c r="F394" s="236"/>
      <c r="G394" s="236"/>
      <c r="H394" s="40">
        <f>SUM(Tabla132112414[[#This Row],[PRIMER TRIMESTRE]:[CUARTO TRIMESTRE]])</f>
        <v>0</v>
      </c>
      <c r="I394" s="17">
        <v>4.55</v>
      </c>
      <c r="J394" s="17">
        <f t="shared" si="10"/>
        <v>0</v>
      </c>
      <c r="K394" s="17"/>
      <c r="L394" s="16" t="s">
        <v>18</v>
      </c>
      <c r="M394" s="16" t="s">
        <v>22</v>
      </c>
      <c r="N394" s="39" t="s">
        <v>418</v>
      </c>
    </row>
    <row r="395" spans="1:14" s="12" customFormat="1" ht="18">
      <c r="A395" s="178" t="s">
        <v>80</v>
      </c>
      <c r="B395" s="75" t="s">
        <v>449</v>
      </c>
      <c r="C395" s="39" t="s">
        <v>17</v>
      </c>
      <c r="D395" s="236"/>
      <c r="E395" s="236"/>
      <c r="F395" s="236"/>
      <c r="G395" s="236"/>
      <c r="H395" s="40">
        <f>SUM(Tabla132112414[[#This Row],[PRIMER TRIMESTRE]:[CUARTO TRIMESTRE]])</f>
        <v>0</v>
      </c>
      <c r="I395" s="17">
        <v>4.55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</row>
    <row r="396" spans="1:14" s="12" customFormat="1" ht="18">
      <c r="A396" s="178" t="s">
        <v>80</v>
      </c>
      <c r="B396" s="75" t="s">
        <v>450</v>
      </c>
      <c r="C396" s="39" t="s">
        <v>17</v>
      </c>
      <c r="D396" s="236"/>
      <c r="E396" s="236"/>
      <c r="F396" s="236"/>
      <c r="G396" s="236"/>
      <c r="H396" s="40">
        <f>SUM(Tabla132112414[[#This Row],[PRIMER TRIMESTRE]:[CUARTO TRIMESTRE]])</f>
        <v>0</v>
      </c>
      <c r="I396" s="17">
        <v>4.55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</row>
    <row r="397" spans="1:14" s="12" customFormat="1" ht="18">
      <c r="A397" s="178" t="s">
        <v>80</v>
      </c>
      <c r="B397" s="75" t="s">
        <v>451</v>
      </c>
      <c r="C397" s="39" t="s">
        <v>17</v>
      </c>
      <c r="D397" s="236"/>
      <c r="E397" s="236"/>
      <c r="F397" s="236"/>
      <c r="G397" s="236"/>
      <c r="H397" s="40">
        <f>SUM(Tabla132112414[[#This Row],[PRIMER TRIMESTRE]:[CUARTO TRIMESTRE]])</f>
        <v>0</v>
      </c>
      <c r="I397" s="17">
        <v>4.55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</row>
    <row r="398" spans="1:14" s="12" customFormat="1" ht="18">
      <c r="A398" s="178" t="s">
        <v>80</v>
      </c>
      <c r="B398" s="75" t="s">
        <v>453</v>
      </c>
      <c r="C398" s="39" t="s">
        <v>17</v>
      </c>
      <c r="D398" s="236"/>
      <c r="E398" s="236"/>
      <c r="F398" s="236"/>
      <c r="G398" s="236"/>
      <c r="H398" s="40">
        <f>SUM(Tabla132112414[[#This Row],[PRIMER TRIMESTRE]:[CUARTO TRIMESTRE]])</f>
        <v>0</v>
      </c>
      <c r="I398" s="17">
        <v>4.55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</row>
    <row r="399" spans="1:14" s="12" customFormat="1" ht="18">
      <c r="A399" s="178" t="s">
        <v>80</v>
      </c>
      <c r="B399" s="75" t="s">
        <v>452</v>
      </c>
      <c r="C399" s="39" t="s">
        <v>17</v>
      </c>
      <c r="D399" s="236"/>
      <c r="E399" s="236"/>
      <c r="F399" s="236"/>
      <c r="G399" s="236"/>
      <c r="H399" s="40">
        <f>SUM(Tabla132112414[[#This Row],[PRIMER TRIMESTRE]:[CUARTO TRIMESTRE]])</f>
        <v>0</v>
      </c>
      <c r="I399" s="17">
        <v>4.55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</row>
    <row r="400" spans="1:14" s="12" customFormat="1" ht="18">
      <c r="A400" s="178" t="s">
        <v>80</v>
      </c>
      <c r="B400" s="75" t="s">
        <v>603</v>
      </c>
      <c r="C400" s="39" t="s">
        <v>17</v>
      </c>
      <c r="D400" s="236"/>
      <c r="E400" s="236"/>
      <c r="F400" s="236"/>
      <c r="G400" s="236"/>
      <c r="H400" s="40">
        <f>SUM(Tabla132112414[[#This Row],[PRIMER TRIMESTRE]:[CUARTO TRIMESTRE]])</f>
        <v>0</v>
      </c>
      <c r="I400" s="17">
        <v>737.74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</row>
    <row r="401" spans="1:14" s="12" customFormat="1" ht="18">
      <c r="A401" s="178" t="s">
        <v>80</v>
      </c>
      <c r="B401" s="75" t="s">
        <v>604</v>
      </c>
      <c r="C401" s="39" t="s">
        <v>17</v>
      </c>
      <c r="D401" s="236"/>
      <c r="E401" s="236"/>
      <c r="F401" s="236"/>
      <c r="G401" s="236"/>
      <c r="H401" s="40">
        <f>SUM(Tabla132112414[[#This Row],[PRIMER TRIMESTRE]:[CUARTO TRIMESTRE]])</f>
        <v>0</v>
      </c>
      <c r="I401" s="17">
        <v>2121.4499999999998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</row>
    <row r="402" spans="1:14" s="12" customFormat="1" ht="18">
      <c r="A402" s="178" t="s">
        <v>80</v>
      </c>
      <c r="B402" s="75" t="s">
        <v>605</v>
      </c>
      <c r="C402" s="39" t="s">
        <v>17</v>
      </c>
      <c r="D402" s="236"/>
      <c r="E402" s="236"/>
      <c r="F402" s="236"/>
      <c r="G402" s="236"/>
      <c r="H402" s="40">
        <f>SUM(Tabla132112414[[#This Row],[PRIMER TRIMESTRE]:[CUARTO TRIMESTRE]])</f>
        <v>0</v>
      </c>
      <c r="I402" s="17">
        <v>2121.4499999999998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</row>
    <row r="403" spans="1:14" s="12" customFormat="1" ht="18">
      <c r="A403" s="178" t="s">
        <v>80</v>
      </c>
      <c r="B403" s="75" t="s">
        <v>606</v>
      </c>
      <c r="C403" s="39" t="s">
        <v>17</v>
      </c>
      <c r="D403" s="236"/>
      <c r="E403" s="236"/>
      <c r="F403" s="236"/>
      <c r="G403" s="236"/>
      <c r="H403" s="40">
        <f>SUM(Tabla132112414[[#This Row],[PRIMER TRIMESTRE]:[CUARTO TRIMESTRE]])</f>
        <v>0</v>
      </c>
      <c r="I403" s="17">
        <v>3601.69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</row>
    <row r="404" spans="1:14" s="12" customFormat="1" ht="18">
      <c r="A404" s="178" t="s">
        <v>80</v>
      </c>
      <c r="B404" s="75" t="s">
        <v>188</v>
      </c>
      <c r="C404" s="39" t="s">
        <v>189</v>
      </c>
      <c r="D404" s="236"/>
      <c r="E404" s="236"/>
      <c r="F404" s="236"/>
      <c r="G404" s="236"/>
      <c r="H404" s="40">
        <f>SUM(Tabla132112414[[#This Row],[PRIMER TRIMESTRE]:[CUARTO TRIMESTRE]])</f>
        <v>0</v>
      </c>
      <c r="I404" s="17">
        <v>104.4</v>
      </c>
      <c r="J404" s="17">
        <f>+Tabla132112414[[#This Row],[CANTIDAD TOTAL]]*Tabla132112414[[#This Row],[PRECIO UNITARIO ESTIMADO]]</f>
        <v>0</v>
      </c>
      <c r="K404" s="17"/>
      <c r="L404" s="16" t="s">
        <v>18</v>
      </c>
      <c r="M404" s="16" t="s">
        <v>22</v>
      </c>
      <c r="N404" s="39" t="s">
        <v>418</v>
      </c>
    </row>
    <row r="405" spans="1:14" s="12" customFormat="1" ht="18">
      <c r="A405" s="178" t="s">
        <v>80</v>
      </c>
      <c r="B405" s="75" t="s">
        <v>1760</v>
      </c>
      <c r="C405" s="39" t="s">
        <v>17</v>
      </c>
      <c r="D405" s="236"/>
      <c r="E405" s="236"/>
      <c r="F405" s="236"/>
      <c r="G405" s="236"/>
      <c r="H405" s="40">
        <v>0</v>
      </c>
      <c r="I405" s="17">
        <v>0</v>
      </c>
      <c r="J405" s="17">
        <v>0</v>
      </c>
      <c r="K405" s="17"/>
      <c r="L405" s="16" t="s">
        <v>18</v>
      </c>
      <c r="M405" s="16" t="s">
        <v>22</v>
      </c>
      <c r="N405" s="39" t="s">
        <v>418</v>
      </c>
    </row>
    <row r="406" spans="1:14" s="12" customFormat="1" ht="18">
      <c r="A406" s="178" t="s">
        <v>80</v>
      </c>
      <c r="B406" s="75" t="s">
        <v>1761</v>
      </c>
      <c r="C406" s="39" t="s">
        <v>17</v>
      </c>
      <c r="D406" s="236"/>
      <c r="E406" s="236"/>
      <c r="F406" s="236"/>
      <c r="G406" s="236"/>
      <c r="H406" s="40">
        <v>0</v>
      </c>
      <c r="I406" s="17">
        <v>0</v>
      </c>
      <c r="J406" s="17">
        <v>0</v>
      </c>
      <c r="K406" s="17"/>
      <c r="L406" s="16" t="s">
        <v>18</v>
      </c>
      <c r="M406" s="16" t="s">
        <v>22</v>
      </c>
      <c r="N406" s="39" t="s">
        <v>418</v>
      </c>
    </row>
    <row r="407" spans="1:14" s="12" customFormat="1" ht="18">
      <c r="A407" s="178" t="s">
        <v>80</v>
      </c>
      <c r="B407" s="75" t="s">
        <v>191</v>
      </c>
      <c r="C407" s="39" t="s">
        <v>17</v>
      </c>
      <c r="D407" s="236"/>
      <c r="E407" s="236"/>
      <c r="F407" s="236"/>
      <c r="G407" s="236"/>
      <c r="H407" s="40">
        <f>SUM(Tabla132112414[[#This Row],[PRIMER TRIMESTRE]:[CUARTO TRIMESTRE]])</f>
        <v>0</v>
      </c>
      <c r="I407" s="17">
        <v>754</v>
      </c>
      <c r="J407" s="17">
        <f>+Tabla132112414[[#This Row],[CANTIDAD TOTAL]]*Tabla132112414[[#This Row],[PRECIO UNITARIO ESTIMADO]]</f>
        <v>0</v>
      </c>
      <c r="K407" s="17"/>
      <c r="L407" s="16" t="s">
        <v>18</v>
      </c>
      <c r="M407" s="16" t="s">
        <v>22</v>
      </c>
      <c r="N407" s="39" t="s">
        <v>418</v>
      </c>
    </row>
    <row r="408" spans="1:14" s="12" customFormat="1" ht="18">
      <c r="A408" s="178" t="s">
        <v>80</v>
      </c>
      <c r="B408" s="75" t="s">
        <v>193</v>
      </c>
      <c r="C408" s="39" t="s">
        <v>17</v>
      </c>
      <c r="D408" s="236"/>
      <c r="E408" s="236"/>
      <c r="F408" s="236"/>
      <c r="G408" s="236"/>
      <c r="H408" s="40">
        <f>SUM(Tabla132112414[[#This Row],[PRIMER TRIMESTRE]:[CUARTO TRIMESTRE]])</f>
        <v>0</v>
      </c>
      <c r="I408" s="17">
        <v>222.06</v>
      </c>
      <c r="J408" s="17">
        <f>+Tabla132112414[[#This Row],[CANTIDAD TOTAL]]*Tabla132112414[[#This Row],[PRECIO UNITARIO ESTIMADO]]</f>
        <v>0</v>
      </c>
      <c r="K408" s="17"/>
      <c r="L408" s="16" t="s">
        <v>18</v>
      </c>
      <c r="M408" s="16" t="s">
        <v>22</v>
      </c>
      <c r="N408" s="39" t="s">
        <v>418</v>
      </c>
    </row>
    <row r="409" spans="1:14" s="12" customFormat="1" ht="18">
      <c r="A409" s="178" t="s">
        <v>80</v>
      </c>
      <c r="B409" s="75" t="s">
        <v>1429</v>
      </c>
      <c r="C409" s="39" t="s">
        <v>17</v>
      </c>
      <c r="D409" s="236"/>
      <c r="E409" s="236"/>
      <c r="F409" s="236"/>
      <c r="G409" s="236"/>
      <c r="H409" s="40">
        <f>SUM(Tabla132112414[[#This Row],[PRIMER TRIMESTRE]:[CUARTO TRIMESTRE]])</f>
        <v>0</v>
      </c>
      <c r="I409" s="17">
        <v>1.23</v>
      </c>
      <c r="J409" s="17">
        <f>+H409*I409</f>
        <v>0</v>
      </c>
      <c r="K409" s="17"/>
      <c r="L409" s="16" t="s">
        <v>18</v>
      </c>
      <c r="M409" s="16" t="s">
        <v>22</v>
      </c>
      <c r="N409" s="39" t="s">
        <v>418</v>
      </c>
    </row>
    <row r="410" spans="1:14" s="12" customFormat="1" ht="18">
      <c r="A410" s="178" t="s">
        <v>80</v>
      </c>
      <c r="B410" s="75" t="s">
        <v>654</v>
      </c>
      <c r="C410" s="39" t="s">
        <v>17</v>
      </c>
      <c r="D410" s="236"/>
      <c r="E410" s="236"/>
      <c r="F410" s="236"/>
      <c r="G410" s="236"/>
      <c r="H410" s="40">
        <f>SUM(Tabla132112414[[#This Row],[PRIMER TRIMESTRE]:[CUARTO TRIMESTRE]])</f>
        <v>0</v>
      </c>
      <c r="I410" s="17">
        <v>2.86</v>
      </c>
      <c r="J410" s="17">
        <f>+Tabla132112414[[#This Row],[CANTIDAD TOTAL]]*Tabla132112414[[#This Row],[PRECIO UNITARIO ESTIMADO]]</f>
        <v>0</v>
      </c>
      <c r="K410" s="17"/>
      <c r="L410" s="16" t="s">
        <v>18</v>
      </c>
      <c r="M410" s="16" t="s">
        <v>22</v>
      </c>
      <c r="N410" s="39" t="s">
        <v>418</v>
      </c>
    </row>
    <row r="411" spans="1:14" s="12" customFormat="1" ht="18">
      <c r="A411" s="178" t="s">
        <v>80</v>
      </c>
      <c r="B411" s="75" t="s">
        <v>655</v>
      </c>
      <c r="C411" s="39" t="s">
        <v>17</v>
      </c>
      <c r="D411" s="236"/>
      <c r="E411" s="236"/>
      <c r="F411" s="236"/>
      <c r="G411" s="236"/>
      <c r="H411" s="40">
        <f>SUM(Tabla132112414[[#This Row],[PRIMER TRIMESTRE]:[CUARTO TRIMESTRE]])</f>
        <v>0</v>
      </c>
      <c r="I411" s="17">
        <v>4.09</v>
      </c>
      <c r="J411" s="17">
        <f>+Tabla132112414[[#This Row],[CANTIDAD TOTAL]]*Tabla132112414[[#This Row],[PRECIO UNITARIO ESTIMADO]]</f>
        <v>0</v>
      </c>
      <c r="K411" s="17"/>
      <c r="L411" s="16" t="s">
        <v>18</v>
      </c>
      <c r="M411" s="16" t="s">
        <v>22</v>
      </c>
      <c r="N411" s="39" t="s">
        <v>418</v>
      </c>
    </row>
    <row r="412" spans="1:14" s="12" customFormat="1" ht="18">
      <c r="A412" s="178" t="s">
        <v>80</v>
      </c>
      <c r="B412" s="75" t="s">
        <v>659</v>
      </c>
      <c r="C412" s="39" t="s">
        <v>17</v>
      </c>
      <c r="D412" s="236"/>
      <c r="E412" s="236"/>
      <c r="F412" s="236"/>
      <c r="G412" s="236"/>
      <c r="H412" s="40">
        <f>SUM(Tabla132112414[[#This Row],[PRIMER TRIMESTRE]:[CUARTO TRIMESTRE]])</f>
        <v>0</v>
      </c>
      <c r="I412" s="72">
        <v>11.82</v>
      </c>
      <c r="J412" s="17">
        <f>+H412*I412</f>
        <v>0</v>
      </c>
      <c r="K412" s="17"/>
      <c r="L412" s="16" t="s">
        <v>18</v>
      </c>
      <c r="M412" s="16" t="s">
        <v>22</v>
      </c>
      <c r="N412" s="39" t="s">
        <v>418</v>
      </c>
    </row>
    <row r="413" spans="1:14" s="12" customFormat="1" ht="18">
      <c r="A413" s="178" t="s">
        <v>80</v>
      </c>
      <c r="B413" s="75" t="s">
        <v>660</v>
      </c>
      <c r="C413" s="39" t="s">
        <v>17</v>
      </c>
      <c r="D413" s="236"/>
      <c r="E413" s="236"/>
      <c r="F413" s="236"/>
      <c r="G413" s="236"/>
      <c r="H413" s="40">
        <f>SUM(Tabla132112414[[#This Row],[PRIMER TRIMESTRE]:[CUARTO TRIMESTRE]])</f>
        <v>0</v>
      </c>
      <c r="I413" s="72">
        <v>13.65</v>
      </c>
      <c r="J413" s="17">
        <f>+H413*I413</f>
        <v>0</v>
      </c>
      <c r="K413" s="17"/>
      <c r="L413" s="16" t="s">
        <v>18</v>
      </c>
      <c r="M413" s="16" t="s">
        <v>22</v>
      </c>
      <c r="N413" s="39" t="s">
        <v>418</v>
      </c>
    </row>
    <row r="414" spans="1:14" s="12" customFormat="1" ht="18">
      <c r="A414" s="178" t="s">
        <v>80</v>
      </c>
      <c r="B414" s="75" t="s">
        <v>656</v>
      </c>
      <c r="C414" s="39" t="s">
        <v>17</v>
      </c>
      <c r="D414" s="236"/>
      <c r="E414" s="236"/>
      <c r="F414" s="236"/>
      <c r="G414" s="236"/>
      <c r="H414" s="40">
        <f>SUM(Tabla132112414[[#This Row],[PRIMER TRIMESTRE]:[CUARTO TRIMESTRE]])</f>
        <v>0</v>
      </c>
      <c r="I414" s="17">
        <v>22.39</v>
      </c>
      <c r="J414" s="17">
        <f>+Tabla132112414[[#This Row],[CANTIDAD TOTAL]]*Tabla132112414[[#This Row],[PRECIO UNITARIO ESTIMADO]]</f>
        <v>0</v>
      </c>
      <c r="K414" s="17"/>
      <c r="L414" s="16" t="s">
        <v>18</v>
      </c>
      <c r="M414" s="16" t="s">
        <v>22</v>
      </c>
      <c r="N414" s="39" t="s">
        <v>418</v>
      </c>
    </row>
    <row r="415" spans="1:14" s="12" customFormat="1" ht="18">
      <c r="A415" s="178" t="s">
        <v>80</v>
      </c>
      <c r="B415" s="75" t="s">
        <v>657</v>
      </c>
      <c r="C415" s="39" t="s">
        <v>17</v>
      </c>
      <c r="D415" s="236"/>
      <c r="E415" s="236"/>
      <c r="F415" s="236"/>
      <c r="G415" s="236"/>
      <c r="H415" s="40">
        <f>SUM(Tabla132112414[[#This Row],[PRIMER TRIMESTRE]:[CUARTO TRIMESTRE]])</f>
        <v>0</v>
      </c>
      <c r="I415" s="17">
        <v>59.97</v>
      </c>
      <c r="J415" s="17">
        <f>+Tabla132112414[[#This Row],[CANTIDAD TOTAL]]*Tabla132112414[[#This Row],[PRECIO UNITARIO ESTIMADO]]</f>
        <v>0</v>
      </c>
      <c r="K415" s="17"/>
      <c r="L415" s="16" t="s">
        <v>18</v>
      </c>
      <c r="M415" s="16" t="s">
        <v>22</v>
      </c>
      <c r="N415" s="39" t="s">
        <v>418</v>
      </c>
    </row>
    <row r="416" spans="1:14" s="12" customFormat="1" ht="18">
      <c r="A416" s="178" t="s">
        <v>80</v>
      </c>
      <c r="B416" s="75" t="s">
        <v>658</v>
      </c>
      <c r="C416" s="39" t="s">
        <v>17</v>
      </c>
      <c r="D416" s="236"/>
      <c r="E416" s="236"/>
      <c r="F416" s="236"/>
      <c r="G416" s="236"/>
      <c r="H416" s="40">
        <f>SUM(Tabla132112414[[#This Row],[PRIMER TRIMESTRE]:[CUARTO TRIMESTRE]])</f>
        <v>0</v>
      </c>
      <c r="I416" s="17">
        <v>101.5</v>
      </c>
      <c r="J416" s="17">
        <f>+Tabla132112414[[#This Row],[CANTIDAD TOTAL]]*Tabla132112414[[#This Row],[PRECIO UNITARIO ESTIMADO]]</f>
        <v>0</v>
      </c>
      <c r="K416" s="17"/>
      <c r="L416" s="16" t="s">
        <v>18</v>
      </c>
      <c r="M416" s="16" t="s">
        <v>22</v>
      </c>
      <c r="N416" s="39" t="s">
        <v>418</v>
      </c>
    </row>
    <row r="417" spans="1:14" s="12" customFormat="1" ht="18">
      <c r="A417" s="178" t="s">
        <v>80</v>
      </c>
      <c r="B417" s="75" t="s">
        <v>202</v>
      </c>
      <c r="C417" s="39" t="s">
        <v>17</v>
      </c>
      <c r="D417" s="236"/>
      <c r="E417" s="236"/>
      <c r="F417" s="236"/>
      <c r="G417" s="236"/>
      <c r="H417" s="40">
        <f>SUM(Tabla132112414[[#This Row],[PRIMER TRIMESTRE]:[CUARTO TRIMESTRE]])</f>
        <v>0</v>
      </c>
      <c r="I417" s="17">
        <v>3364</v>
      </c>
      <c r="J417" s="17">
        <f>+Tabla132112414[[#This Row],[CANTIDAD TOTAL]]*Tabla132112414[[#This Row],[PRECIO UNITARIO ESTIMADO]]</f>
        <v>0</v>
      </c>
      <c r="K417" s="17"/>
      <c r="L417" s="16" t="s">
        <v>18</v>
      </c>
      <c r="M417" s="16" t="s">
        <v>22</v>
      </c>
      <c r="N417" s="39" t="s">
        <v>418</v>
      </c>
    </row>
    <row r="418" spans="1:14" s="12" customFormat="1" ht="18">
      <c r="A418" s="178" t="s">
        <v>80</v>
      </c>
      <c r="B418" s="75" t="s">
        <v>776</v>
      </c>
      <c r="C418" s="39" t="s">
        <v>17</v>
      </c>
      <c r="D418" s="236"/>
      <c r="E418" s="236"/>
      <c r="F418" s="236"/>
      <c r="G418" s="236"/>
      <c r="H418" s="40">
        <f>SUM(Tabla132112414[[#This Row],[PRIMER TRIMESTRE]:[CUARTO TRIMESTRE]])</f>
        <v>0</v>
      </c>
      <c r="I418" s="17">
        <v>32.479999999999997</v>
      </c>
      <c r="J418" s="17">
        <f>+Tabla132112414[[#This Row],[CANTIDAD TOTAL]]*Tabla132112414[[#This Row],[PRECIO UNITARIO ESTIMADO]]</f>
        <v>0</v>
      </c>
      <c r="K418" s="17"/>
      <c r="L418" s="16" t="s">
        <v>18</v>
      </c>
      <c r="M418" s="16" t="s">
        <v>22</v>
      </c>
      <c r="N418" s="39" t="s">
        <v>418</v>
      </c>
    </row>
    <row r="419" spans="1:14" s="12" customFormat="1" ht="18">
      <c r="A419" s="178" t="s">
        <v>80</v>
      </c>
      <c r="B419" s="75" t="s">
        <v>205</v>
      </c>
      <c r="C419" s="39" t="s">
        <v>17</v>
      </c>
      <c r="D419" s="236"/>
      <c r="E419" s="236"/>
      <c r="F419" s="236"/>
      <c r="G419" s="236"/>
      <c r="H419" s="40">
        <f>SUM(Tabla132112414[[#This Row],[PRIMER TRIMESTRE]:[CUARTO TRIMESTRE]])</f>
        <v>0</v>
      </c>
      <c r="I419" s="17">
        <v>2.3199999999999998</v>
      </c>
      <c r="J419" s="17">
        <f>+Tabla132112414[[#This Row],[CANTIDAD TOTAL]]*Tabla132112414[[#This Row],[PRECIO UNITARIO ESTIMADO]]</f>
        <v>0</v>
      </c>
      <c r="K419" s="17"/>
      <c r="L419" s="16" t="s">
        <v>18</v>
      </c>
      <c r="M419" s="16" t="s">
        <v>22</v>
      </c>
      <c r="N419" s="39" t="s">
        <v>418</v>
      </c>
    </row>
    <row r="420" spans="1:14" s="12" customFormat="1" ht="18">
      <c r="A420" s="178" t="s">
        <v>80</v>
      </c>
      <c r="B420" s="75" t="s">
        <v>206</v>
      </c>
      <c r="C420" s="39" t="s">
        <v>17</v>
      </c>
      <c r="D420" s="236"/>
      <c r="E420" s="236"/>
      <c r="F420" s="236"/>
      <c r="G420" s="236"/>
      <c r="H420" s="40">
        <f>SUM(Tabla132112414[[#This Row],[PRIMER TRIMESTRE]:[CUARTO TRIMESTRE]])</f>
        <v>0</v>
      </c>
      <c r="I420" s="17">
        <v>3.48</v>
      </c>
      <c r="J420" s="17">
        <f>+Tabla132112414[[#This Row],[CANTIDAD TOTAL]]*Tabla132112414[[#This Row],[PRECIO UNITARIO ESTIMADO]]</f>
        <v>0</v>
      </c>
      <c r="K420" s="17"/>
      <c r="L420" s="16" t="s">
        <v>18</v>
      </c>
      <c r="M420" s="16" t="s">
        <v>22</v>
      </c>
      <c r="N420" s="39" t="s">
        <v>418</v>
      </c>
    </row>
    <row r="421" spans="1:14" s="12" customFormat="1" ht="18">
      <c r="A421" s="178" t="s">
        <v>80</v>
      </c>
      <c r="B421" s="75" t="s">
        <v>1335</v>
      </c>
      <c r="C421" s="39" t="s">
        <v>17</v>
      </c>
      <c r="D421" s="236"/>
      <c r="E421" s="236"/>
      <c r="F421" s="236"/>
      <c r="G421" s="236"/>
      <c r="H421" s="40">
        <f>SUM(Tabla132112414[[#This Row],[PRIMER TRIMESTRE]:[CUARTO TRIMESTRE]])</f>
        <v>0</v>
      </c>
      <c r="I421" s="17">
        <v>9.44</v>
      </c>
      <c r="J421" s="17">
        <f t="shared" ref="J421:J484" si="11">+H421*I421</f>
        <v>0</v>
      </c>
      <c r="K421" s="17"/>
      <c r="L421" s="16" t="s">
        <v>18</v>
      </c>
      <c r="M421" s="16" t="s">
        <v>22</v>
      </c>
      <c r="N421" s="39" t="s">
        <v>418</v>
      </c>
    </row>
    <row r="422" spans="1:14" s="12" customFormat="1" ht="18">
      <c r="A422" s="178" t="s">
        <v>80</v>
      </c>
      <c r="B422" s="75" t="s">
        <v>1336</v>
      </c>
      <c r="C422" s="39" t="s">
        <v>17</v>
      </c>
      <c r="D422" s="236"/>
      <c r="E422" s="236"/>
      <c r="F422" s="236"/>
      <c r="G422" s="236"/>
      <c r="H422" s="40">
        <f>SUM(Tabla132112414[[#This Row],[PRIMER TRIMESTRE]:[CUARTO TRIMESTRE]])</f>
        <v>0</v>
      </c>
      <c r="I422" s="17">
        <v>5.9</v>
      </c>
      <c r="J422" s="17">
        <f t="shared" si="11"/>
        <v>0</v>
      </c>
      <c r="K422" s="17"/>
      <c r="L422" s="16" t="s">
        <v>18</v>
      </c>
      <c r="M422" s="16" t="s">
        <v>22</v>
      </c>
      <c r="N422" s="39" t="s">
        <v>418</v>
      </c>
    </row>
    <row r="423" spans="1:14" s="12" customFormat="1" ht="18">
      <c r="A423" s="178" t="s">
        <v>80</v>
      </c>
      <c r="B423" s="75" t="s">
        <v>1337</v>
      </c>
      <c r="C423" s="39" t="s">
        <v>17</v>
      </c>
      <c r="D423" s="236"/>
      <c r="E423" s="236"/>
      <c r="F423" s="236"/>
      <c r="G423" s="236"/>
      <c r="H423" s="40">
        <f>SUM(Tabla132112414[[#This Row],[PRIMER TRIMESTRE]:[CUARTO TRIMESTRE]])</f>
        <v>0</v>
      </c>
      <c r="I423" s="17">
        <v>3.54</v>
      </c>
      <c r="J423" s="17">
        <f t="shared" si="11"/>
        <v>0</v>
      </c>
      <c r="K423" s="17"/>
      <c r="L423" s="16" t="s">
        <v>18</v>
      </c>
      <c r="M423" s="16" t="s">
        <v>22</v>
      </c>
      <c r="N423" s="39" t="s">
        <v>418</v>
      </c>
    </row>
    <row r="424" spans="1:14" s="12" customFormat="1" ht="18">
      <c r="A424" s="178" t="s">
        <v>80</v>
      </c>
      <c r="B424" s="75" t="s">
        <v>638</v>
      </c>
      <c r="C424" s="39" t="s">
        <v>17</v>
      </c>
      <c r="D424" s="236"/>
      <c r="E424" s="236"/>
      <c r="F424" s="240"/>
      <c r="G424" s="236"/>
      <c r="H424" s="40">
        <f>SUM(Tabla132112414[[#This Row],[PRIMER TRIMESTRE]:[CUARTO TRIMESTRE]])</f>
        <v>0</v>
      </c>
      <c r="I424" s="72">
        <v>7.28</v>
      </c>
      <c r="J424" s="17">
        <f t="shared" si="11"/>
        <v>0</v>
      </c>
      <c r="K424" s="17"/>
      <c r="L424" s="16" t="s">
        <v>18</v>
      </c>
      <c r="M424" s="16" t="s">
        <v>22</v>
      </c>
      <c r="N424" s="39" t="s">
        <v>418</v>
      </c>
    </row>
    <row r="425" spans="1:14" s="12" customFormat="1" ht="18">
      <c r="A425" s="178" t="s">
        <v>80</v>
      </c>
      <c r="B425" s="75" t="s">
        <v>639</v>
      </c>
      <c r="C425" s="39" t="s">
        <v>17</v>
      </c>
      <c r="D425" s="236"/>
      <c r="E425" s="236"/>
      <c r="F425" s="240"/>
      <c r="G425" s="236"/>
      <c r="H425" s="40">
        <f>SUM(Tabla132112414[[#This Row],[PRIMER TRIMESTRE]:[CUARTO TRIMESTRE]])</f>
        <v>0</v>
      </c>
      <c r="I425" s="72">
        <v>11.82</v>
      </c>
      <c r="J425" s="17">
        <f t="shared" si="11"/>
        <v>0</v>
      </c>
      <c r="K425" s="17"/>
      <c r="L425" s="16" t="s">
        <v>18</v>
      </c>
      <c r="M425" s="16" t="s">
        <v>22</v>
      </c>
      <c r="N425" s="39"/>
    </row>
    <row r="426" spans="1:14" s="12" customFormat="1" ht="18">
      <c r="A426" s="178" t="s">
        <v>80</v>
      </c>
      <c r="B426" s="75" t="s">
        <v>642</v>
      </c>
      <c r="C426" s="39" t="s">
        <v>17</v>
      </c>
      <c r="D426" s="236"/>
      <c r="E426" s="236"/>
      <c r="F426" s="240"/>
      <c r="G426" s="236"/>
      <c r="H426" s="40">
        <f>SUM(Tabla132112414[[#This Row],[PRIMER TRIMESTRE]:[CUARTO TRIMESTRE]])</f>
        <v>0</v>
      </c>
      <c r="I426" s="72">
        <v>22.74</v>
      </c>
      <c r="J426" s="17">
        <f t="shared" si="11"/>
        <v>0</v>
      </c>
      <c r="K426" s="17"/>
      <c r="L426" s="16" t="s">
        <v>18</v>
      </c>
      <c r="M426" s="16" t="s">
        <v>22</v>
      </c>
      <c r="N426" s="39"/>
    </row>
    <row r="427" spans="1:14" s="12" customFormat="1" ht="18">
      <c r="A427" s="178" t="s">
        <v>80</v>
      </c>
      <c r="B427" s="75" t="s">
        <v>643</v>
      </c>
      <c r="C427" s="39" t="s">
        <v>17</v>
      </c>
      <c r="D427" s="236"/>
      <c r="E427" s="236"/>
      <c r="F427" s="240"/>
      <c r="G427" s="236"/>
      <c r="H427" s="40">
        <f>SUM(Tabla132112414[[#This Row],[PRIMER TRIMESTRE]:[CUARTO TRIMESTRE]])</f>
        <v>0</v>
      </c>
      <c r="I427" s="72">
        <v>53.66</v>
      </c>
      <c r="J427" s="17">
        <f t="shared" si="11"/>
        <v>0</v>
      </c>
      <c r="K427" s="17"/>
      <c r="L427" s="16" t="s">
        <v>18</v>
      </c>
      <c r="M427" s="16" t="s">
        <v>22</v>
      </c>
      <c r="N427" s="39"/>
    </row>
    <row r="428" spans="1:14" s="12" customFormat="1" ht="18">
      <c r="A428" s="178" t="s">
        <v>80</v>
      </c>
      <c r="B428" s="75" t="s">
        <v>640</v>
      </c>
      <c r="C428" s="39" t="s">
        <v>17</v>
      </c>
      <c r="D428" s="236"/>
      <c r="E428" s="236"/>
      <c r="F428" s="240"/>
      <c r="G428" s="236"/>
      <c r="H428" s="40">
        <f>SUM(Tabla132112414[[#This Row],[PRIMER TRIMESTRE]:[CUARTO TRIMESTRE]])</f>
        <v>0</v>
      </c>
      <c r="I428" s="72">
        <v>90</v>
      </c>
      <c r="J428" s="17">
        <f t="shared" si="11"/>
        <v>0</v>
      </c>
      <c r="K428" s="17"/>
      <c r="L428" s="16" t="s">
        <v>18</v>
      </c>
      <c r="M428" s="16" t="s">
        <v>22</v>
      </c>
      <c r="N428" s="39"/>
    </row>
    <row r="429" spans="1:14" s="12" customFormat="1" ht="18">
      <c r="A429" s="178" t="s">
        <v>80</v>
      </c>
      <c r="B429" s="75" t="s">
        <v>641</v>
      </c>
      <c r="C429" s="39" t="s">
        <v>17</v>
      </c>
      <c r="D429" s="236"/>
      <c r="E429" s="236"/>
      <c r="F429" s="236"/>
      <c r="G429" s="236"/>
      <c r="H429" s="40">
        <f>SUM(Tabla132112414[[#This Row],[PRIMER TRIMESTRE]:[CUARTO TRIMESTRE]])</f>
        <v>0</v>
      </c>
      <c r="I429" s="72">
        <v>1799.03</v>
      </c>
      <c r="J429" s="17">
        <f t="shared" si="11"/>
        <v>0</v>
      </c>
      <c r="K429" s="17"/>
      <c r="L429" s="16" t="s">
        <v>18</v>
      </c>
      <c r="M429" s="16" t="s">
        <v>22</v>
      </c>
      <c r="N429" s="39"/>
    </row>
    <row r="430" spans="1:14" s="12" customFormat="1" ht="18">
      <c r="A430" s="178" t="s">
        <v>80</v>
      </c>
      <c r="B430" s="75" t="s">
        <v>607</v>
      </c>
      <c r="C430" s="39" t="s">
        <v>17</v>
      </c>
      <c r="D430" s="236"/>
      <c r="E430" s="236"/>
      <c r="F430" s="236"/>
      <c r="G430" s="236"/>
      <c r="H430" s="40">
        <f>SUM(Tabla132112414[[#This Row],[PRIMER TRIMESTRE]:[CUARTO TRIMESTRE]])</f>
        <v>0</v>
      </c>
      <c r="I430" s="17">
        <v>3068</v>
      </c>
      <c r="J430" s="17">
        <f t="shared" si="11"/>
        <v>0</v>
      </c>
      <c r="K430" s="17"/>
      <c r="L430" s="16" t="s">
        <v>18</v>
      </c>
      <c r="M430" s="16" t="s">
        <v>22</v>
      </c>
      <c r="N430" s="39"/>
    </row>
    <row r="431" spans="1:14" s="12" customFormat="1" ht="18">
      <c r="A431" s="178" t="s">
        <v>80</v>
      </c>
      <c r="B431" s="75" t="s">
        <v>608</v>
      </c>
      <c r="C431" s="39" t="s">
        <v>17</v>
      </c>
      <c r="D431" s="236"/>
      <c r="E431" s="236"/>
      <c r="F431" s="236"/>
      <c r="G431" s="236"/>
      <c r="H431" s="40">
        <f>SUM(Tabla132112414[[#This Row],[PRIMER TRIMESTRE]:[CUARTO TRIMESTRE]])</f>
        <v>0</v>
      </c>
      <c r="I431" s="17">
        <v>4425</v>
      </c>
      <c r="J431" s="17">
        <f t="shared" si="11"/>
        <v>0</v>
      </c>
      <c r="K431" s="17"/>
      <c r="L431" s="16" t="s">
        <v>18</v>
      </c>
      <c r="M431" s="16" t="s">
        <v>22</v>
      </c>
      <c r="N431" s="39"/>
    </row>
    <row r="432" spans="1:14" s="12" customFormat="1" ht="18">
      <c r="A432" s="178" t="s">
        <v>80</v>
      </c>
      <c r="B432" s="75" t="s">
        <v>609</v>
      </c>
      <c r="C432" s="39" t="s">
        <v>17</v>
      </c>
      <c r="D432" s="236"/>
      <c r="E432" s="236"/>
      <c r="F432" s="236"/>
      <c r="G432" s="236"/>
      <c r="H432" s="40">
        <f>SUM(Tabla132112414[[#This Row],[PRIMER TRIMESTRE]:[CUARTO TRIMESTRE]])</f>
        <v>0</v>
      </c>
      <c r="I432" s="17">
        <v>5074</v>
      </c>
      <c r="J432" s="17">
        <f t="shared" si="11"/>
        <v>0</v>
      </c>
      <c r="K432" s="17"/>
      <c r="L432" s="16" t="s">
        <v>18</v>
      </c>
      <c r="M432" s="16" t="s">
        <v>22</v>
      </c>
      <c r="N432" s="39"/>
    </row>
    <row r="433" spans="1:14" s="12" customFormat="1" ht="18">
      <c r="A433" s="178" t="s">
        <v>80</v>
      </c>
      <c r="B433" s="75" t="s">
        <v>610</v>
      </c>
      <c r="C433" s="39" t="s">
        <v>17</v>
      </c>
      <c r="D433" s="236"/>
      <c r="E433" s="236"/>
      <c r="F433" s="236"/>
      <c r="G433" s="236"/>
      <c r="H433" s="40">
        <f>SUM(Tabla132112414[[#This Row],[PRIMER TRIMESTRE]:[CUARTO TRIMESTRE]])</f>
        <v>0</v>
      </c>
      <c r="I433" s="17">
        <v>6431</v>
      </c>
      <c r="J433" s="17">
        <f t="shared" si="11"/>
        <v>0</v>
      </c>
      <c r="K433" s="17"/>
      <c r="L433" s="16" t="s">
        <v>18</v>
      </c>
      <c r="M433" s="16" t="s">
        <v>22</v>
      </c>
      <c r="N433" s="39"/>
    </row>
    <row r="434" spans="1:14" s="12" customFormat="1" ht="18">
      <c r="A434" s="178" t="s">
        <v>80</v>
      </c>
      <c r="B434" s="75" t="s">
        <v>611</v>
      </c>
      <c r="C434" s="39" t="s">
        <v>17</v>
      </c>
      <c r="D434" s="236"/>
      <c r="E434" s="236"/>
      <c r="F434" s="236"/>
      <c r="G434" s="236"/>
      <c r="H434" s="40">
        <f>SUM(Tabla132112414[[#This Row],[PRIMER TRIMESTRE]:[CUARTO TRIMESTRE]])</f>
        <v>0</v>
      </c>
      <c r="I434" s="17">
        <v>7943</v>
      </c>
      <c r="J434" s="17">
        <f t="shared" si="11"/>
        <v>0</v>
      </c>
      <c r="K434" s="17"/>
      <c r="L434" s="16" t="s">
        <v>18</v>
      </c>
      <c r="M434" s="16" t="s">
        <v>22</v>
      </c>
      <c r="N434" s="39"/>
    </row>
    <row r="435" spans="1:14" s="12" customFormat="1" ht="18">
      <c r="A435" s="178" t="s">
        <v>80</v>
      </c>
      <c r="B435" s="75" t="s">
        <v>612</v>
      </c>
      <c r="C435" s="39" t="s">
        <v>17</v>
      </c>
      <c r="D435" s="236"/>
      <c r="E435" s="236"/>
      <c r="F435" s="236"/>
      <c r="G435" s="236"/>
      <c r="H435" s="40">
        <f>SUM(Tabla132112414[[#This Row],[PRIMER TRIMESTRE]:[CUARTO TRIMESTRE]])</f>
        <v>0</v>
      </c>
      <c r="I435" s="17">
        <v>9145</v>
      </c>
      <c r="J435" s="17">
        <f t="shared" si="11"/>
        <v>0</v>
      </c>
      <c r="K435" s="17"/>
      <c r="L435" s="16" t="s">
        <v>18</v>
      </c>
      <c r="M435" s="16" t="s">
        <v>22</v>
      </c>
      <c r="N435" s="39"/>
    </row>
    <row r="436" spans="1:14" s="12" customFormat="1" ht="18">
      <c r="A436" s="178" t="s">
        <v>80</v>
      </c>
      <c r="B436" s="75" t="s">
        <v>613</v>
      </c>
      <c r="C436" s="39" t="s">
        <v>17</v>
      </c>
      <c r="D436" s="236"/>
      <c r="E436" s="236"/>
      <c r="F436" s="236"/>
      <c r="G436" s="236"/>
      <c r="H436" s="40">
        <f>SUM(Tabla132112414[[#This Row],[PRIMER TRIMESTRE]:[CUARTO TRIMESTRE]])</f>
        <v>0</v>
      </c>
      <c r="I436" s="17">
        <v>10502</v>
      </c>
      <c r="J436" s="17">
        <f t="shared" si="11"/>
        <v>0</v>
      </c>
      <c r="K436" s="17"/>
      <c r="L436" s="16" t="s">
        <v>18</v>
      </c>
      <c r="M436" s="16" t="s">
        <v>22</v>
      </c>
      <c r="N436" s="39"/>
    </row>
    <row r="437" spans="1:14" s="12" customFormat="1" ht="18">
      <c r="A437" s="178" t="s">
        <v>80</v>
      </c>
      <c r="B437" s="75" t="s">
        <v>614</v>
      </c>
      <c r="C437" s="39" t="s">
        <v>17</v>
      </c>
      <c r="D437" s="236"/>
      <c r="E437" s="236"/>
      <c r="F437" s="236"/>
      <c r="G437" s="236"/>
      <c r="H437" s="40">
        <f>SUM(Tabla132112414[[#This Row],[PRIMER TRIMESTRE]:[CUARTO TRIMESTRE]])</f>
        <v>0</v>
      </c>
      <c r="I437" s="17">
        <v>11564</v>
      </c>
      <c r="J437" s="17">
        <f t="shared" si="11"/>
        <v>0</v>
      </c>
      <c r="K437" s="17"/>
      <c r="L437" s="16" t="s">
        <v>18</v>
      </c>
      <c r="M437" s="16" t="s">
        <v>22</v>
      </c>
      <c r="N437" s="39"/>
    </row>
    <row r="438" spans="1:14" s="12" customFormat="1" ht="18">
      <c r="A438" s="178" t="s">
        <v>80</v>
      </c>
      <c r="B438" s="75" t="s">
        <v>615</v>
      </c>
      <c r="C438" s="39" t="s">
        <v>17</v>
      </c>
      <c r="D438" s="236"/>
      <c r="E438" s="236"/>
      <c r="F438" s="236"/>
      <c r="G438" s="236"/>
      <c r="H438" s="40">
        <f>SUM(Tabla132112414[[#This Row],[PRIMER TRIMESTRE]:[CUARTO TRIMESTRE]])</f>
        <v>0</v>
      </c>
      <c r="I438" s="17">
        <v>13747</v>
      </c>
      <c r="J438" s="17">
        <f t="shared" si="11"/>
        <v>0</v>
      </c>
      <c r="K438" s="17"/>
      <c r="L438" s="16" t="s">
        <v>18</v>
      </c>
      <c r="M438" s="16" t="s">
        <v>22</v>
      </c>
      <c r="N438" s="39"/>
    </row>
    <row r="439" spans="1:14" s="12" customFormat="1" ht="18">
      <c r="A439" s="178" t="s">
        <v>80</v>
      </c>
      <c r="B439" s="75" t="s">
        <v>1547</v>
      </c>
      <c r="C439" s="39" t="s">
        <v>17</v>
      </c>
      <c r="D439" s="236"/>
      <c r="E439" s="236"/>
      <c r="F439" s="236"/>
      <c r="G439" s="236"/>
      <c r="H439" s="236">
        <f>SUM(Tabla132112414[[#This Row],[PRIMER TRIMESTRE]:[CUARTO TRIMESTRE]])</f>
        <v>0</v>
      </c>
      <c r="I439" s="17">
        <v>700</v>
      </c>
      <c r="J439" s="17">
        <f t="shared" si="11"/>
        <v>0</v>
      </c>
      <c r="K439" s="17"/>
      <c r="L439" s="16" t="s">
        <v>18</v>
      </c>
      <c r="M439" s="16" t="s">
        <v>22</v>
      </c>
      <c r="N439" s="39"/>
    </row>
    <row r="440" spans="1:14" s="12" customFormat="1" ht="18">
      <c r="A440" s="178" t="s">
        <v>80</v>
      </c>
      <c r="B440" s="75" t="s">
        <v>1577</v>
      </c>
      <c r="C440" s="39" t="s">
        <v>17</v>
      </c>
      <c r="D440" s="236"/>
      <c r="E440" s="236"/>
      <c r="F440" s="236"/>
      <c r="G440" s="236"/>
      <c r="H440" s="236">
        <f>SUM(Tabla132112414[[#This Row],[PRIMER TRIMESTRE]:[CUARTO TRIMESTRE]])</f>
        <v>0</v>
      </c>
      <c r="I440" s="17">
        <v>133.88999999999999</v>
      </c>
      <c r="J440" s="17">
        <f t="shared" si="11"/>
        <v>0</v>
      </c>
      <c r="K440" s="17"/>
      <c r="L440" s="16" t="s">
        <v>18</v>
      </c>
      <c r="M440" s="16" t="s">
        <v>22</v>
      </c>
      <c r="N440" s="39"/>
    </row>
    <row r="441" spans="1:14" s="12" customFormat="1" ht="18">
      <c r="A441" s="178" t="s">
        <v>80</v>
      </c>
      <c r="B441" s="75" t="s">
        <v>1576</v>
      </c>
      <c r="C441" s="39" t="s">
        <v>17</v>
      </c>
      <c r="D441" s="236"/>
      <c r="E441" s="236"/>
      <c r="F441" s="236"/>
      <c r="G441" s="236"/>
      <c r="H441" s="236">
        <f>SUM(Tabla132112414[[#This Row],[PRIMER TRIMESTRE]:[CUARTO TRIMESTRE]])</f>
        <v>0</v>
      </c>
      <c r="I441" s="17">
        <v>21</v>
      </c>
      <c r="J441" s="17">
        <f t="shared" si="11"/>
        <v>0</v>
      </c>
      <c r="K441" s="17"/>
      <c r="L441" s="16" t="s">
        <v>18</v>
      </c>
      <c r="M441" s="16" t="s">
        <v>22</v>
      </c>
      <c r="N441" s="39"/>
    </row>
    <row r="442" spans="1:14" s="12" customFormat="1" ht="18">
      <c r="A442" s="178" t="s">
        <v>80</v>
      </c>
      <c r="B442" s="75" t="s">
        <v>1727</v>
      </c>
      <c r="C442" s="39" t="s">
        <v>17</v>
      </c>
      <c r="D442" s="236"/>
      <c r="E442" s="236"/>
      <c r="F442" s="236"/>
      <c r="G442" s="236"/>
      <c r="H442" s="40">
        <v>0</v>
      </c>
      <c r="I442" s="17">
        <v>0</v>
      </c>
      <c r="J442" s="17">
        <v>0</v>
      </c>
      <c r="K442" s="17"/>
      <c r="L442" s="16" t="s">
        <v>18</v>
      </c>
      <c r="M442" s="16" t="s">
        <v>22</v>
      </c>
      <c r="N442" s="39"/>
    </row>
    <row r="443" spans="1:14" s="12" customFormat="1" ht="18">
      <c r="A443" s="178" t="s">
        <v>80</v>
      </c>
      <c r="B443" s="75" t="s">
        <v>1575</v>
      </c>
      <c r="C443" s="39" t="s">
        <v>17</v>
      </c>
      <c r="D443" s="236"/>
      <c r="E443" s="236"/>
      <c r="F443" s="236"/>
      <c r="G443" s="236"/>
      <c r="H443" s="236">
        <f>SUM(Tabla132112414[[#This Row],[PRIMER TRIMESTRE]:[CUARTO TRIMESTRE]])</f>
        <v>0</v>
      </c>
      <c r="I443" s="17">
        <v>15.21</v>
      </c>
      <c r="J443" s="17">
        <f t="shared" si="11"/>
        <v>0</v>
      </c>
      <c r="K443" s="17"/>
      <c r="L443" s="16" t="s">
        <v>18</v>
      </c>
      <c r="M443" s="16" t="s">
        <v>22</v>
      </c>
      <c r="N443" s="39"/>
    </row>
    <row r="444" spans="1:14" s="12" customFormat="1" ht="18">
      <c r="A444" s="178" t="s">
        <v>80</v>
      </c>
      <c r="B444" s="75" t="s">
        <v>1574</v>
      </c>
      <c r="C444" s="39" t="s">
        <v>17</v>
      </c>
      <c r="D444" s="236"/>
      <c r="E444" s="236"/>
      <c r="F444" s="236"/>
      <c r="G444" s="236"/>
      <c r="H444" s="236">
        <f>SUM(Tabla132112414[[#This Row],[PRIMER TRIMESTRE]:[CUARTO TRIMESTRE]])</f>
        <v>0</v>
      </c>
      <c r="I444" s="17">
        <v>1</v>
      </c>
      <c r="J444" s="17">
        <f t="shared" si="11"/>
        <v>0</v>
      </c>
      <c r="K444" s="17"/>
      <c r="L444" s="16" t="s">
        <v>18</v>
      </c>
      <c r="M444" s="16" t="s">
        <v>22</v>
      </c>
      <c r="N444" s="39"/>
    </row>
    <row r="445" spans="1:14" s="12" customFormat="1" ht="18">
      <c r="A445" s="178" t="s">
        <v>80</v>
      </c>
      <c r="B445" s="75" t="s">
        <v>1338</v>
      </c>
      <c r="C445" s="39" t="s">
        <v>17</v>
      </c>
      <c r="D445" s="236"/>
      <c r="E445" s="236"/>
      <c r="F445" s="236"/>
      <c r="G445" s="236"/>
      <c r="H445" s="40">
        <f>SUM(Tabla132112414[[#This Row],[PRIMER TRIMESTRE]:[CUARTO TRIMESTRE]])</f>
        <v>0</v>
      </c>
      <c r="I445" s="17">
        <v>17.7</v>
      </c>
      <c r="J445" s="17">
        <f t="shared" si="11"/>
        <v>0</v>
      </c>
      <c r="K445" s="17"/>
      <c r="L445" s="16" t="s">
        <v>18</v>
      </c>
      <c r="M445" s="16" t="s">
        <v>22</v>
      </c>
      <c r="N445" s="39"/>
    </row>
    <row r="446" spans="1:14" s="12" customFormat="1" ht="18">
      <c r="A446" s="178" t="s">
        <v>80</v>
      </c>
      <c r="B446" s="75" t="s">
        <v>1573</v>
      </c>
      <c r="C446" s="39" t="s">
        <v>17</v>
      </c>
      <c r="D446" s="236"/>
      <c r="E446" s="236"/>
      <c r="F446" s="236"/>
      <c r="G446" s="236"/>
      <c r="H446" s="40">
        <f>SUM(Tabla132112414[[#This Row],[PRIMER TRIMESTRE]:[CUARTO TRIMESTRE]])</f>
        <v>0</v>
      </c>
      <c r="I446" s="17">
        <v>20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</row>
    <row r="447" spans="1:14" s="12" customFormat="1" ht="18">
      <c r="A447" s="178" t="s">
        <v>80</v>
      </c>
      <c r="B447" s="75" t="s">
        <v>1339</v>
      </c>
      <c r="C447" s="39" t="s">
        <v>17</v>
      </c>
      <c r="D447" s="236"/>
      <c r="E447" s="236"/>
      <c r="F447" s="236"/>
      <c r="G447" s="236"/>
      <c r="H447" s="40">
        <f>SUM(Tabla132112414[[#This Row],[PRIMER TRIMESTRE]:[CUARTO TRIMESTRE]])</f>
        <v>0</v>
      </c>
      <c r="I447" s="17">
        <v>23.6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</row>
    <row r="448" spans="1:14" s="12" customFormat="1" ht="18">
      <c r="A448" s="178" t="s">
        <v>80</v>
      </c>
      <c r="B448" s="75" t="s">
        <v>1703</v>
      </c>
      <c r="C448" s="39" t="s">
        <v>17</v>
      </c>
      <c r="D448" s="236"/>
      <c r="E448" s="236"/>
      <c r="F448" s="236"/>
      <c r="G448" s="236"/>
      <c r="H448" s="40">
        <v>0</v>
      </c>
      <c r="I448" s="17">
        <v>0</v>
      </c>
      <c r="J448" s="17">
        <v>0</v>
      </c>
      <c r="K448" s="17"/>
      <c r="L448" s="16" t="s">
        <v>18</v>
      </c>
      <c r="M448" s="16" t="s">
        <v>22</v>
      </c>
      <c r="N448" s="39"/>
    </row>
    <row r="449" spans="1:14" s="12" customFormat="1" ht="18">
      <c r="A449" s="178" t="s">
        <v>80</v>
      </c>
      <c r="B449" s="75" t="s">
        <v>1572</v>
      </c>
      <c r="C449" s="39" t="s">
        <v>17</v>
      </c>
      <c r="D449" s="236"/>
      <c r="E449" s="236"/>
      <c r="F449" s="236"/>
      <c r="G449" s="236"/>
      <c r="H449" s="40">
        <f>SUM(Tabla132112414[[#This Row],[PRIMER TRIMESTRE]:[CUARTO TRIMESTRE]])</f>
        <v>0</v>
      </c>
      <c r="I449" s="17">
        <v>2</v>
      </c>
      <c r="J449" s="17">
        <f t="shared" si="11"/>
        <v>0</v>
      </c>
      <c r="K449" s="17"/>
      <c r="L449" s="16" t="s">
        <v>18</v>
      </c>
      <c r="M449" s="16" t="s">
        <v>22</v>
      </c>
      <c r="N449" s="39"/>
    </row>
    <row r="450" spans="1:14" s="12" customFormat="1" ht="18">
      <c r="A450" s="178" t="s">
        <v>80</v>
      </c>
      <c r="B450" s="75" t="s">
        <v>1428</v>
      </c>
      <c r="C450" s="39" t="s">
        <v>17</v>
      </c>
      <c r="D450" s="236"/>
      <c r="E450" s="236"/>
      <c r="F450" s="236"/>
      <c r="G450" s="236"/>
      <c r="H450" s="40">
        <f>SUM(Tabla132112414[[#This Row],[PRIMER TRIMESTRE]:[CUARTO TRIMESTRE]])</f>
        <v>0</v>
      </c>
      <c r="I450" s="17">
        <v>0.88</v>
      </c>
      <c r="J450" s="17">
        <f t="shared" si="11"/>
        <v>0</v>
      </c>
      <c r="K450" s="17"/>
      <c r="L450" s="16" t="s">
        <v>18</v>
      </c>
      <c r="M450" s="16" t="s">
        <v>22</v>
      </c>
      <c r="N450" s="39"/>
    </row>
    <row r="451" spans="1:14" s="12" customFormat="1" ht="18">
      <c r="A451" s="178" t="s">
        <v>80</v>
      </c>
      <c r="B451" s="75" t="s">
        <v>1427</v>
      </c>
      <c r="C451" s="39" t="s">
        <v>17</v>
      </c>
      <c r="D451" s="236"/>
      <c r="E451" s="236"/>
      <c r="F451" s="236"/>
      <c r="G451" s="236"/>
      <c r="H451" s="40">
        <f>SUM(Tabla132112414[[#This Row],[PRIMER TRIMESTRE]:[CUARTO TRIMESTRE]])</f>
        <v>0</v>
      </c>
      <c r="I451" s="17">
        <v>1</v>
      </c>
      <c r="J451" s="17">
        <f t="shared" si="11"/>
        <v>0</v>
      </c>
      <c r="K451" s="17"/>
      <c r="L451" s="16" t="s">
        <v>18</v>
      </c>
      <c r="M451" s="16" t="s">
        <v>22</v>
      </c>
      <c r="N451" s="39"/>
    </row>
    <row r="452" spans="1:14" s="12" customFormat="1" ht="18">
      <c r="A452" s="178" t="s">
        <v>80</v>
      </c>
      <c r="B452" s="75" t="s">
        <v>1433</v>
      </c>
      <c r="C452" s="39" t="s">
        <v>208</v>
      </c>
      <c r="D452" s="236"/>
      <c r="E452" s="236"/>
      <c r="F452" s="236"/>
      <c r="G452" s="236"/>
      <c r="H452" s="40">
        <f>SUM(Tabla132112414[[#This Row],[PRIMER TRIMESTRE]:[CUARTO TRIMESTRE]])</f>
        <v>0</v>
      </c>
      <c r="I452" s="17">
        <v>361.44</v>
      </c>
      <c r="J452" s="17">
        <f t="shared" si="11"/>
        <v>0</v>
      </c>
      <c r="K452" s="17"/>
      <c r="L452" s="16" t="s">
        <v>18</v>
      </c>
      <c r="M452" s="16" t="s">
        <v>22</v>
      </c>
      <c r="N452" s="39"/>
    </row>
    <row r="453" spans="1:14" s="12" customFormat="1" ht="18">
      <c r="A453" s="178" t="s">
        <v>80</v>
      </c>
      <c r="B453" s="75" t="s">
        <v>1435</v>
      </c>
      <c r="C453" s="39" t="s">
        <v>17</v>
      </c>
      <c r="D453" s="236"/>
      <c r="E453" s="236"/>
      <c r="F453" s="236"/>
      <c r="G453" s="236"/>
      <c r="H453" s="40">
        <f>SUM(Tabla132112414[[#This Row],[PRIMER TRIMESTRE]:[CUARTO TRIMESTRE]])</f>
        <v>0</v>
      </c>
      <c r="I453" s="17">
        <v>1.1499999999999999</v>
      </c>
      <c r="J453" s="17">
        <f t="shared" si="11"/>
        <v>0</v>
      </c>
      <c r="K453" s="17"/>
      <c r="L453" s="16" t="s">
        <v>18</v>
      </c>
      <c r="M453" s="16" t="s">
        <v>22</v>
      </c>
      <c r="N453" s="39"/>
    </row>
    <row r="454" spans="1:14" s="12" customFormat="1" ht="18">
      <c r="A454" s="178" t="s">
        <v>80</v>
      </c>
      <c r="B454" s="75" t="s">
        <v>1527</v>
      </c>
      <c r="C454" s="39" t="s">
        <v>17</v>
      </c>
      <c r="D454" s="236"/>
      <c r="E454" s="236"/>
      <c r="F454" s="236"/>
      <c r="G454" s="236"/>
      <c r="H454" s="236">
        <f>SUM(Tabla132112414[[#This Row],[PRIMER TRIMESTRE]:[CUARTO TRIMESTRE]])</f>
        <v>0</v>
      </c>
      <c r="I454" s="17">
        <v>12739.27</v>
      </c>
      <c r="J454" s="17">
        <f t="shared" si="11"/>
        <v>0</v>
      </c>
      <c r="K454" s="17"/>
      <c r="L454" s="16" t="s">
        <v>18</v>
      </c>
      <c r="M454" s="16" t="s">
        <v>22</v>
      </c>
      <c r="N454" s="39"/>
    </row>
    <row r="455" spans="1:14" s="12" customFormat="1" ht="18">
      <c r="A455" s="178" t="s">
        <v>80</v>
      </c>
      <c r="B455" s="75" t="s">
        <v>702</v>
      </c>
      <c r="C455" s="39" t="s">
        <v>17</v>
      </c>
      <c r="D455" s="236"/>
      <c r="E455" s="236"/>
      <c r="F455" s="236"/>
      <c r="G455" s="236"/>
      <c r="H455" s="40">
        <f>SUM(Tabla132112414[[#This Row],[PRIMER TRIMESTRE]:[CUARTO TRIMESTRE]])</f>
        <v>0</v>
      </c>
      <c r="I455" s="17">
        <v>1052.51</v>
      </c>
      <c r="J455" s="17">
        <f t="shared" si="11"/>
        <v>0</v>
      </c>
      <c r="K455" s="17"/>
      <c r="L455" s="16" t="s">
        <v>18</v>
      </c>
      <c r="M455" s="16" t="s">
        <v>22</v>
      </c>
      <c r="N455" s="39"/>
    </row>
    <row r="456" spans="1:14" s="12" customFormat="1" ht="18">
      <c r="A456" s="178" t="s">
        <v>80</v>
      </c>
      <c r="B456" s="75" t="s">
        <v>370</v>
      </c>
      <c r="C456" s="39" t="s">
        <v>17</v>
      </c>
      <c r="D456" s="236"/>
      <c r="E456" s="236"/>
      <c r="F456" s="236"/>
      <c r="G456" s="236"/>
      <c r="H456" s="40">
        <f>SUM(Tabla132112414[[#This Row],[PRIMER TRIMESTRE]:[CUARTO TRIMESTRE]])</f>
        <v>0</v>
      </c>
      <c r="I456" s="17">
        <v>3302.0937420000005</v>
      </c>
      <c r="J456" s="17">
        <f t="shared" si="11"/>
        <v>0</v>
      </c>
      <c r="K456" s="17"/>
      <c r="L456" s="16" t="s">
        <v>18</v>
      </c>
      <c r="M456" s="16" t="s">
        <v>22</v>
      </c>
      <c r="N456" s="39"/>
    </row>
    <row r="457" spans="1:14" s="12" customFormat="1" ht="18">
      <c r="A457" s="178" t="s">
        <v>80</v>
      </c>
      <c r="B457" s="75" t="s">
        <v>371</v>
      </c>
      <c r="C457" s="39" t="s">
        <v>17</v>
      </c>
      <c r="D457" s="236"/>
      <c r="E457" s="236"/>
      <c r="F457" s="236"/>
      <c r="G457" s="236"/>
      <c r="H457" s="40">
        <f>SUM(Tabla132112414[[#This Row],[PRIMER TRIMESTRE]:[CUARTO TRIMESTRE]])</f>
        <v>0</v>
      </c>
      <c r="I457" s="17">
        <v>5605.3296870000004</v>
      </c>
      <c r="J457" s="17">
        <f t="shared" si="11"/>
        <v>0</v>
      </c>
      <c r="K457" s="17"/>
      <c r="L457" s="16" t="s">
        <v>18</v>
      </c>
      <c r="M457" s="16" t="s">
        <v>22</v>
      </c>
      <c r="N457" s="39"/>
    </row>
    <row r="458" spans="1:14" s="12" customFormat="1" ht="18">
      <c r="A458" s="178" t="s">
        <v>80</v>
      </c>
      <c r="B458" s="75" t="s">
        <v>799</v>
      </c>
      <c r="C458" s="39" t="s">
        <v>17</v>
      </c>
      <c r="D458" s="236"/>
      <c r="E458" s="236"/>
      <c r="F458" s="236"/>
      <c r="G458" s="236"/>
      <c r="H458" s="40">
        <f>SUM(Tabla132112414[[#This Row],[PRIMER TRIMESTRE]:[CUARTO TRIMESTRE]])</f>
        <v>0</v>
      </c>
      <c r="I458" s="17">
        <v>12700</v>
      </c>
      <c r="J458" s="17">
        <f t="shared" si="11"/>
        <v>0</v>
      </c>
      <c r="K458" s="17"/>
      <c r="L458" s="16" t="s">
        <v>18</v>
      </c>
      <c r="M458" s="16" t="s">
        <v>22</v>
      </c>
      <c r="N458" s="39"/>
    </row>
    <row r="459" spans="1:14" s="12" customFormat="1" ht="18">
      <c r="A459" s="178" t="s">
        <v>80</v>
      </c>
      <c r="B459" s="75" t="s">
        <v>372</v>
      </c>
      <c r="C459" s="39" t="s">
        <v>17</v>
      </c>
      <c r="D459" s="236"/>
      <c r="E459" s="236"/>
      <c r="F459" s="236"/>
      <c r="G459" s="236"/>
      <c r="H459" s="40">
        <f>SUM(Tabla132112414[[#This Row],[PRIMER TRIMESTRE]:[CUARTO TRIMESTRE]])</f>
        <v>0</v>
      </c>
      <c r="I459" s="17">
        <v>256.14999999999998</v>
      </c>
      <c r="J459" s="17">
        <f t="shared" si="11"/>
        <v>0</v>
      </c>
      <c r="K459" s="17"/>
      <c r="L459" s="16" t="s">
        <v>18</v>
      </c>
      <c r="M459" s="16" t="s">
        <v>22</v>
      </c>
      <c r="N459" s="39"/>
    </row>
    <row r="460" spans="1:14" s="12" customFormat="1" ht="18">
      <c r="A460" s="178" t="s">
        <v>80</v>
      </c>
      <c r="B460" s="75" t="s">
        <v>373</v>
      </c>
      <c r="C460" s="39" t="s">
        <v>17</v>
      </c>
      <c r="D460" s="236"/>
      <c r="E460" s="236"/>
      <c r="F460" s="236"/>
      <c r="G460" s="236"/>
      <c r="H460" s="40">
        <f>SUM(Tabla132112414[[#This Row],[PRIMER TRIMESTRE]:[CUARTO TRIMESTRE]])</f>
        <v>0</v>
      </c>
      <c r="I460" s="17">
        <v>260.58531900000003</v>
      </c>
      <c r="J460" s="17">
        <f t="shared" si="11"/>
        <v>0</v>
      </c>
      <c r="K460" s="17"/>
      <c r="L460" s="16" t="s">
        <v>18</v>
      </c>
      <c r="M460" s="16" t="s">
        <v>22</v>
      </c>
      <c r="N460" s="39"/>
    </row>
    <row r="461" spans="1:14" s="12" customFormat="1" ht="18">
      <c r="A461" s="178" t="s">
        <v>80</v>
      </c>
      <c r="B461" s="75" t="s">
        <v>374</v>
      </c>
      <c r="C461" s="39" t="s">
        <v>17</v>
      </c>
      <c r="D461" s="236"/>
      <c r="E461" s="236"/>
      <c r="F461" s="236"/>
      <c r="G461" s="236"/>
      <c r="H461" s="40">
        <f>SUM(Tabla132112414[[#This Row],[PRIMER TRIMESTRE]:[CUARTO TRIMESTRE]])</f>
        <v>0</v>
      </c>
      <c r="I461" s="17">
        <v>383.08377000000007</v>
      </c>
      <c r="J461" s="17">
        <f t="shared" si="11"/>
        <v>0</v>
      </c>
      <c r="K461" s="17"/>
      <c r="L461" s="16" t="s">
        <v>18</v>
      </c>
      <c r="M461" s="16" t="s">
        <v>22</v>
      </c>
      <c r="N461" s="39"/>
    </row>
    <row r="462" spans="1:14" s="12" customFormat="1" ht="18">
      <c r="A462" s="178" t="s">
        <v>80</v>
      </c>
      <c r="B462" s="75" t="s">
        <v>375</v>
      </c>
      <c r="C462" s="39" t="s">
        <v>17</v>
      </c>
      <c r="D462" s="236"/>
      <c r="E462" s="236"/>
      <c r="F462" s="236"/>
      <c r="G462" s="236"/>
      <c r="H462" s="40">
        <f>SUM(Tabla132112414[[#This Row],[PRIMER TRIMESTRE]:[CUARTO TRIMESTRE]])</f>
        <v>0</v>
      </c>
      <c r="I462" s="17">
        <v>450</v>
      </c>
      <c r="J462" s="17">
        <f t="shared" si="11"/>
        <v>0</v>
      </c>
      <c r="K462" s="17"/>
      <c r="L462" s="16" t="s">
        <v>18</v>
      </c>
      <c r="M462" s="16" t="s">
        <v>22</v>
      </c>
      <c r="N462" s="39"/>
    </row>
    <row r="463" spans="1:14" s="12" customFormat="1" ht="18">
      <c r="A463" s="178" t="s">
        <v>80</v>
      </c>
      <c r="B463" s="75" t="s">
        <v>376</v>
      </c>
      <c r="C463" s="39" t="s">
        <v>17</v>
      </c>
      <c r="D463" s="236"/>
      <c r="E463" s="236"/>
      <c r="F463" s="236"/>
      <c r="G463" s="236"/>
      <c r="H463" s="40">
        <f>SUM(Tabla132112414[[#This Row],[PRIMER TRIMESTRE]:[CUARTO TRIMESTRE]])</f>
        <v>0</v>
      </c>
      <c r="I463" s="17">
        <v>667.77</v>
      </c>
      <c r="J463" s="17">
        <f t="shared" si="11"/>
        <v>0</v>
      </c>
      <c r="K463" s="17"/>
      <c r="L463" s="16" t="s">
        <v>18</v>
      </c>
      <c r="M463" s="16" t="s">
        <v>22</v>
      </c>
      <c r="N463" s="39"/>
    </row>
    <row r="464" spans="1:14" s="12" customFormat="1" ht="18">
      <c r="A464" s="178" t="s">
        <v>80</v>
      </c>
      <c r="B464" s="75" t="s">
        <v>377</v>
      </c>
      <c r="C464" s="39" t="s">
        <v>17</v>
      </c>
      <c r="D464" s="236"/>
      <c r="E464" s="236"/>
      <c r="F464" s="236"/>
      <c r="G464" s="236"/>
      <c r="H464" s="40">
        <f>SUM(Tabla132112414[[#This Row],[PRIMER TRIMESTRE]:[CUARTO TRIMESTRE]])</f>
        <v>0</v>
      </c>
      <c r="I464" s="17">
        <v>160.61749500000002</v>
      </c>
      <c r="J464" s="17">
        <f t="shared" si="11"/>
        <v>0</v>
      </c>
      <c r="K464" s="17"/>
      <c r="L464" s="16" t="s">
        <v>18</v>
      </c>
      <c r="M464" s="16" t="s">
        <v>22</v>
      </c>
      <c r="N464" s="39"/>
    </row>
    <row r="465" spans="1:14" s="12" customFormat="1" ht="18">
      <c r="A465" s="178" t="s">
        <v>80</v>
      </c>
      <c r="B465" s="75" t="s">
        <v>378</v>
      </c>
      <c r="C465" s="39" t="s">
        <v>17</v>
      </c>
      <c r="D465" s="236"/>
      <c r="E465" s="236"/>
      <c r="F465" s="236"/>
      <c r="G465" s="236"/>
      <c r="H465" s="40">
        <f>SUM(Tabla132112414[[#This Row],[PRIMER TRIMESTRE]:[CUARTO TRIMESTRE]])</f>
        <v>0</v>
      </c>
      <c r="I465" s="17">
        <v>631.80422099999998</v>
      </c>
      <c r="J465" s="17">
        <f t="shared" si="11"/>
        <v>0</v>
      </c>
      <c r="K465" s="17"/>
      <c r="L465" s="16" t="s">
        <v>18</v>
      </c>
      <c r="M465" s="16" t="s">
        <v>22</v>
      </c>
      <c r="N465" s="39"/>
    </row>
    <row r="466" spans="1:14" s="12" customFormat="1" ht="18">
      <c r="A466" s="178" t="s">
        <v>80</v>
      </c>
      <c r="B466" s="75" t="s">
        <v>1526</v>
      </c>
      <c r="C466" s="176" t="s">
        <v>17</v>
      </c>
      <c r="D466" s="236"/>
      <c r="E466" s="236"/>
      <c r="F466" s="236"/>
      <c r="G466" s="236"/>
      <c r="H466" s="236">
        <f>SUM(Tabla132112414[[#This Row],[PRIMER TRIMESTRE]:[CUARTO TRIMESTRE]])</f>
        <v>0</v>
      </c>
      <c r="I466" s="17">
        <v>631.80422099999998</v>
      </c>
      <c r="J466" s="17">
        <f t="shared" si="11"/>
        <v>0</v>
      </c>
      <c r="K466" s="17"/>
      <c r="L466" s="16" t="s">
        <v>18</v>
      </c>
      <c r="M466" s="16" t="s">
        <v>22</v>
      </c>
      <c r="N466" s="39"/>
    </row>
    <row r="467" spans="1:14" s="12" customFormat="1" ht="18">
      <c r="A467" s="178" t="s">
        <v>80</v>
      </c>
      <c r="B467" s="75" t="s">
        <v>379</v>
      </c>
      <c r="C467" s="39" t="s">
        <v>17</v>
      </c>
      <c r="D467" s="236"/>
      <c r="E467" s="236"/>
      <c r="F467" s="236"/>
      <c r="G467" s="236"/>
      <c r="H467" s="40">
        <f>SUM(Tabla132112414[[#This Row],[PRIMER TRIMESTRE]:[CUARTO TRIMESTRE]])</f>
        <v>0</v>
      </c>
      <c r="I467" s="17">
        <v>1565.22</v>
      </c>
      <c r="J467" s="17">
        <f t="shared" si="11"/>
        <v>0</v>
      </c>
      <c r="K467" s="17"/>
      <c r="L467" s="16" t="s">
        <v>18</v>
      </c>
      <c r="M467" s="16" t="s">
        <v>22</v>
      </c>
      <c r="N467" s="39"/>
    </row>
    <row r="468" spans="1:14" s="12" customFormat="1" ht="18">
      <c r="A468" s="178" t="s">
        <v>80</v>
      </c>
      <c r="B468" s="75" t="s">
        <v>380</v>
      </c>
      <c r="C468" s="39" t="s">
        <v>17</v>
      </c>
      <c r="D468" s="236"/>
      <c r="E468" s="236"/>
      <c r="F468" s="236"/>
      <c r="G468" s="236"/>
      <c r="H468" s="40">
        <f>SUM(Tabla132112414[[#This Row],[PRIMER TRIMESTRE]:[CUARTO TRIMESTRE]])</f>
        <v>0</v>
      </c>
      <c r="I468" s="17">
        <v>2310.9299999999998</v>
      </c>
      <c r="J468" s="17">
        <f t="shared" si="11"/>
        <v>0</v>
      </c>
      <c r="K468" s="17"/>
      <c r="L468" s="16" t="s">
        <v>18</v>
      </c>
      <c r="M468" s="16" t="s">
        <v>22</v>
      </c>
      <c r="N468" s="39"/>
    </row>
    <row r="469" spans="1:14" s="12" customFormat="1" ht="18">
      <c r="A469" s="178" t="s">
        <v>80</v>
      </c>
      <c r="B469" s="75" t="s">
        <v>381</v>
      </c>
      <c r="C469" s="39" t="s">
        <v>17</v>
      </c>
      <c r="D469" s="236"/>
      <c r="E469" s="236"/>
      <c r="F469" s="236"/>
      <c r="G469" s="236"/>
      <c r="H469" s="40">
        <f>SUM(Tabla132112414[[#This Row],[PRIMER TRIMESTRE]:[CUARTO TRIMESTRE]])</f>
        <v>0</v>
      </c>
      <c r="I469" s="17">
        <v>4630.1499999999996</v>
      </c>
      <c r="J469" s="17">
        <f t="shared" si="11"/>
        <v>0</v>
      </c>
      <c r="K469" s="17"/>
      <c r="L469" s="16" t="s">
        <v>18</v>
      </c>
      <c r="M469" s="16" t="s">
        <v>22</v>
      </c>
      <c r="N469" s="39"/>
    </row>
    <row r="470" spans="1:14" s="12" customFormat="1" ht="18">
      <c r="A470" s="178" t="s">
        <v>80</v>
      </c>
      <c r="B470" s="75" t="s">
        <v>382</v>
      </c>
      <c r="C470" s="39" t="s">
        <v>17</v>
      </c>
      <c r="D470" s="236"/>
      <c r="E470" s="236"/>
      <c r="F470" s="236"/>
      <c r="G470" s="236"/>
      <c r="H470" s="40">
        <f>SUM(Tabla132112414[[#This Row],[PRIMER TRIMESTRE]:[CUARTO TRIMESTRE]])</f>
        <v>0</v>
      </c>
      <c r="I470" s="17">
        <v>6410</v>
      </c>
      <c r="J470" s="17">
        <f t="shared" si="11"/>
        <v>0</v>
      </c>
      <c r="K470" s="17"/>
      <c r="L470" s="16" t="s">
        <v>18</v>
      </c>
      <c r="M470" s="16" t="s">
        <v>22</v>
      </c>
      <c r="N470" s="39"/>
    </row>
    <row r="471" spans="1:14" s="12" customFormat="1" ht="18">
      <c r="A471" s="178" t="s">
        <v>80</v>
      </c>
      <c r="B471" s="75" t="s">
        <v>383</v>
      </c>
      <c r="C471" s="39" t="s">
        <v>17</v>
      </c>
      <c r="D471" s="236"/>
      <c r="E471" s="236"/>
      <c r="F471" s="236"/>
      <c r="G471" s="236"/>
      <c r="H471" s="40">
        <f>SUM(Tabla132112414[[#This Row],[PRIMER TRIMESTRE]:[CUARTO TRIMESTRE]])</f>
        <v>0</v>
      </c>
      <c r="I471" s="17">
        <v>10255.09</v>
      </c>
      <c r="J471" s="17">
        <f t="shared" si="11"/>
        <v>0</v>
      </c>
      <c r="K471" s="17"/>
      <c r="L471" s="16" t="s">
        <v>18</v>
      </c>
      <c r="M471" s="16" t="s">
        <v>22</v>
      </c>
      <c r="N471" s="39"/>
    </row>
    <row r="472" spans="1:14" s="12" customFormat="1" ht="18">
      <c r="A472" s="178" t="s">
        <v>80</v>
      </c>
      <c r="B472" s="75" t="s">
        <v>384</v>
      </c>
      <c r="C472" s="39" t="s">
        <v>17</v>
      </c>
      <c r="D472" s="236"/>
      <c r="E472" s="236"/>
      <c r="F472" s="236"/>
      <c r="G472" s="236"/>
      <c r="H472" s="40">
        <f>SUM(Tabla132112414[[#This Row],[PRIMER TRIMESTRE]:[CUARTO TRIMESTRE]])</f>
        <v>0</v>
      </c>
      <c r="I472" s="17">
        <v>14777.68</v>
      </c>
      <c r="J472" s="17">
        <f t="shared" si="11"/>
        <v>0</v>
      </c>
      <c r="K472" s="17"/>
      <c r="L472" s="16" t="s">
        <v>18</v>
      </c>
      <c r="M472" s="16" t="s">
        <v>22</v>
      </c>
      <c r="N472" s="39"/>
    </row>
    <row r="473" spans="1:14" s="12" customFormat="1" ht="18">
      <c r="A473" s="178" t="s">
        <v>80</v>
      </c>
      <c r="B473" s="75" t="s">
        <v>385</v>
      </c>
      <c r="C473" s="39" t="s">
        <v>17</v>
      </c>
      <c r="D473" s="236"/>
      <c r="E473" s="236"/>
      <c r="F473" s="236"/>
      <c r="G473" s="236"/>
      <c r="H473" s="40">
        <f>SUM(Tabla132112414[[#This Row],[PRIMER TRIMESTRE]:[CUARTO TRIMESTRE]])</f>
        <v>0</v>
      </c>
      <c r="I473" s="17">
        <v>24012.400000000001</v>
      </c>
      <c r="J473" s="17">
        <f t="shared" si="11"/>
        <v>0</v>
      </c>
      <c r="K473" s="17"/>
      <c r="L473" s="16" t="s">
        <v>18</v>
      </c>
      <c r="M473" s="16" t="s">
        <v>22</v>
      </c>
      <c r="N473" s="39"/>
    </row>
    <row r="474" spans="1:14" s="12" customFormat="1" ht="18">
      <c r="A474" s="178" t="s">
        <v>80</v>
      </c>
      <c r="B474" s="75" t="s">
        <v>386</v>
      </c>
      <c r="C474" s="39" t="s">
        <v>17</v>
      </c>
      <c r="D474" s="236"/>
      <c r="E474" s="236"/>
      <c r="F474" s="236"/>
      <c r="G474" s="236"/>
      <c r="H474" s="40">
        <f>SUM(Tabla132112414[[#This Row],[PRIMER TRIMESTRE]:[CUARTO TRIMESTRE]])</f>
        <v>0</v>
      </c>
      <c r="I474" s="17">
        <v>37525.1</v>
      </c>
      <c r="J474" s="17">
        <f t="shared" si="11"/>
        <v>0</v>
      </c>
      <c r="K474" s="17"/>
      <c r="L474" s="16" t="s">
        <v>18</v>
      </c>
      <c r="M474" s="16" t="s">
        <v>22</v>
      </c>
      <c r="N474" s="39"/>
    </row>
    <row r="475" spans="1:14" s="12" customFormat="1" ht="18">
      <c r="A475" s="178" t="s">
        <v>80</v>
      </c>
      <c r="B475" s="75" t="s">
        <v>800</v>
      </c>
      <c r="C475" s="39" t="s">
        <v>17</v>
      </c>
      <c r="D475" s="239"/>
      <c r="E475" s="239"/>
      <c r="F475" s="239"/>
      <c r="G475" s="236"/>
      <c r="H475" s="40">
        <f>SUM(Tabla132112414[[#This Row],[PRIMER TRIMESTRE]:[CUARTO TRIMESTRE]])</f>
        <v>0</v>
      </c>
      <c r="I475" s="17">
        <v>4500</v>
      </c>
      <c r="J475" s="17">
        <f t="shared" si="11"/>
        <v>0</v>
      </c>
      <c r="K475" s="17"/>
      <c r="L475" s="16" t="s">
        <v>18</v>
      </c>
      <c r="M475" s="16" t="s">
        <v>22</v>
      </c>
      <c r="N475" s="39"/>
    </row>
    <row r="476" spans="1:14" s="12" customFormat="1" ht="18">
      <c r="A476" s="178" t="s">
        <v>80</v>
      </c>
      <c r="B476" s="75" t="s">
        <v>713</v>
      </c>
      <c r="C476" s="39" t="s">
        <v>17</v>
      </c>
      <c r="D476" s="236"/>
      <c r="E476" s="236"/>
      <c r="F476" s="236"/>
      <c r="G476" s="236"/>
      <c r="H476" s="40">
        <f>SUM(Tabla132112414[[#This Row],[PRIMER TRIMESTRE]:[CUARTO TRIMESTRE]])</f>
        <v>0</v>
      </c>
      <c r="I476" s="72">
        <v>6000</v>
      </c>
      <c r="J476" s="17">
        <f t="shared" si="11"/>
        <v>0</v>
      </c>
      <c r="K476" s="17"/>
      <c r="L476" s="16" t="s">
        <v>18</v>
      </c>
      <c r="M476" s="16" t="s">
        <v>22</v>
      </c>
      <c r="N476" s="39"/>
    </row>
    <row r="477" spans="1:14" s="12" customFormat="1" ht="18">
      <c r="A477" s="178" t="s">
        <v>80</v>
      </c>
      <c r="B477" s="75" t="s">
        <v>712</v>
      </c>
      <c r="C477" s="39" t="s">
        <v>17</v>
      </c>
      <c r="D477" s="236"/>
      <c r="E477" s="236"/>
      <c r="F477" s="236"/>
      <c r="G477" s="236"/>
      <c r="H477" s="40">
        <f>SUM(Tabla132112414[[#This Row],[PRIMER TRIMESTRE]:[CUARTO TRIMESTRE]])</f>
        <v>0</v>
      </c>
      <c r="I477" s="17">
        <v>15544</v>
      </c>
      <c r="J477" s="17">
        <f t="shared" si="11"/>
        <v>0</v>
      </c>
      <c r="K477" s="17"/>
      <c r="L477" s="16" t="s">
        <v>18</v>
      </c>
      <c r="M477" s="16" t="s">
        <v>22</v>
      </c>
      <c r="N477" s="39"/>
    </row>
    <row r="478" spans="1:14" s="12" customFormat="1" ht="18">
      <c r="A478" s="178" t="s">
        <v>80</v>
      </c>
      <c r="B478" s="75" t="s">
        <v>711</v>
      </c>
      <c r="C478" s="39" t="s">
        <v>17</v>
      </c>
      <c r="D478" s="236"/>
      <c r="E478" s="236"/>
      <c r="F478" s="236"/>
      <c r="G478" s="236"/>
      <c r="H478" s="40">
        <f>SUM(Tabla132112414[[#This Row],[PRIMER TRIMESTRE]:[CUARTO TRIMESTRE]])</f>
        <v>0</v>
      </c>
      <c r="I478" s="72">
        <v>20650.03</v>
      </c>
      <c r="J478" s="17">
        <f t="shared" si="11"/>
        <v>0</v>
      </c>
      <c r="K478" s="17"/>
      <c r="L478" s="16" t="s">
        <v>18</v>
      </c>
      <c r="M478" s="16" t="s">
        <v>22</v>
      </c>
      <c r="N478" s="39"/>
    </row>
    <row r="479" spans="1:14" s="12" customFormat="1" ht="18">
      <c r="A479" s="178" t="s">
        <v>80</v>
      </c>
      <c r="B479" s="75" t="s">
        <v>710</v>
      </c>
      <c r="C479" s="39" t="s">
        <v>17</v>
      </c>
      <c r="D479" s="236"/>
      <c r="E479" s="236"/>
      <c r="F479" s="236"/>
      <c r="G479" s="236"/>
      <c r="H479" s="40">
        <f>SUM(Tabla132112414[[#This Row],[PRIMER TRIMESTRE]:[CUARTO TRIMESTRE]])</f>
        <v>0</v>
      </c>
      <c r="I479" s="17">
        <v>39221.919999999998</v>
      </c>
      <c r="J479" s="17">
        <f t="shared" si="11"/>
        <v>0</v>
      </c>
      <c r="K479" s="17"/>
      <c r="L479" s="16" t="s">
        <v>18</v>
      </c>
      <c r="M479" s="16" t="s">
        <v>22</v>
      </c>
      <c r="N479" s="39"/>
    </row>
    <row r="480" spans="1:14" s="12" customFormat="1" ht="18">
      <c r="A480" s="178" t="s">
        <v>80</v>
      </c>
      <c r="B480" s="75" t="s">
        <v>709</v>
      </c>
      <c r="C480" s="39" t="s">
        <v>17</v>
      </c>
      <c r="D480" s="236"/>
      <c r="E480" s="236"/>
      <c r="F480" s="236"/>
      <c r="G480" s="236"/>
      <c r="H480" s="40">
        <f>SUM(Tabla132112414[[#This Row],[PRIMER TRIMESTRE]:[CUARTO TRIMESTRE]])</f>
        <v>0</v>
      </c>
      <c r="I480" s="72">
        <f>17500*1.18</f>
        <v>20650</v>
      </c>
      <c r="J480" s="17">
        <f t="shared" si="11"/>
        <v>0</v>
      </c>
      <c r="K480" s="17"/>
      <c r="L480" s="16" t="s">
        <v>18</v>
      </c>
      <c r="M480" s="16" t="s">
        <v>22</v>
      </c>
      <c r="N480" s="39"/>
    </row>
    <row r="481" spans="1:14" s="12" customFormat="1" ht="18">
      <c r="A481" s="178" t="s">
        <v>80</v>
      </c>
      <c r="B481" s="75" t="s">
        <v>708</v>
      </c>
      <c r="C481" s="39" t="s">
        <v>17</v>
      </c>
      <c r="D481" s="236"/>
      <c r="E481" s="236"/>
      <c r="F481" s="236"/>
      <c r="G481" s="236"/>
      <c r="H481" s="40">
        <f>SUM(Tabla132112414[[#This Row],[PRIMER TRIMESTRE]:[CUARTO TRIMESTRE]])</f>
        <v>0</v>
      </c>
      <c r="I481" s="72">
        <f>25175*1.18</f>
        <v>29706.5</v>
      </c>
      <c r="J481" s="17">
        <f t="shared" si="11"/>
        <v>0</v>
      </c>
      <c r="K481" s="17"/>
      <c r="L481" s="16" t="s">
        <v>18</v>
      </c>
      <c r="M481" s="16" t="s">
        <v>22</v>
      </c>
      <c r="N481" s="39"/>
    </row>
    <row r="482" spans="1:14" s="12" customFormat="1" ht="18">
      <c r="A482" s="178" t="s">
        <v>80</v>
      </c>
      <c r="B482" s="75" t="s">
        <v>707</v>
      </c>
      <c r="C482" s="39" t="s">
        <v>17</v>
      </c>
      <c r="D482" s="236"/>
      <c r="E482" s="236"/>
      <c r="F482" s="236"/>
      <c r="G482" s="236"/>
      <c r="H482" s="40">
        <f>SUM(Tabla132112414[[#This Row],[PRIMER TRIMESTRE]:[CUARTO TRIMESTRE]])</f>
        <v>0</v>
      </c>
      <c r="I482" s="17">
        <f>34500*1.18</f>
        <v>40710</v>
      </c>
      <c r="J482" s="17">
        <f t="shared" si="11"/>
        <v>0</v>
      </c>
      <c r="K482" s="17"/>
      <c r="L482" s="16" t="s">
        <v>18</v>
      </c>
      <c r="M482" s="16" t="s">
        <v>22</v>
      </c>
      <c r="N482" s="39"/>
    </row>
    <row r="483" spans="1:14" s="12" customFormat="1" ht="18">
      <c r="A483" s="178" t="s">
        <v>80</v>
      </c>
      <c r="B483" s="75" t="s">
        <v>706</v>
      </c>
      <c r="C483" s="39" t="s">
        <v>17</v>
      </c>
      <c r="D483" s="236"/>
      <c r="E483" s="236"/>
      <c r="F483" s="236"/>
      <c r="G483" s="236"/>
      <c r="H483" s="40">
        <f>SUM(Tabla132112414[[#This Row],[PRIMER TRIMESTRE]:[CUARTO TRIMESTRE]])</f>
        <v>0</v>
      </c>
      <c r="I483" s="72">
        <v>51330</v>
      </c>
      <c r="J483" s="17">
        <f t="shared" si="11"/>
        <v>0</v>
      </c>
      <c r="K483" s="17"/>
      <c r="L483" s="16" t="s">
        <v>18</v>
      </c>
      <c r="M483" s="16" t="s">
        <v>22</v>
      </c>
      <c r="N483" s="39"/>
    </row>
    <row r="484" spans="1:14" s="12" customFormat="1" ht="18">
      <c r="A484" s="178" t="s">
        <v>80</v>
      </c>
      <c r="B484" s="75" t="s">
        <v>705</v>
      </c>
      <c r="C484" s="39" t="s">
        <v>17</v>
      </c>
      <c r="D484" s="236"/>
      <c r="E484" s="236"/>
      <c r="F484" s="236"/>
      <c r="G484" s="236"/>
      <c r="H484" s="40">
        <f>SUM(Tabla132112414[[#This Row],[PRIMER TRIMESTRE]:[CUARTO TRIMESTRE]])</f>
        <v>0</v>
      </c>
      <c r="I484" s="72">
        <v>61360</v>
      </c>
      <c r="J484" s="17">
        <f t="shared" si="11"/>
        <v>0</v>
      </c>
      <c r="K484" s="17"/>
      <c r="L484" s="16" t="s">
        <v>18</v>
      </c>
      <c r="M484" s="16" t="s">
        <v>22</v>
      </c>
      <c r="N484" s="39"/>
    </row>
    <row r="485" spans="1:14" s="12" customFormat="1" ht="18">
      <c r="A485" s="178" t="s">
        <v>80</v>
      </c>
      <c r="B485" s="75" t="s">
        <v>1687</v>
      </c>
      <c r="C485" s="39" t="s">
        <v>17</v>
      </c>
      <c r="D485" s="236"/>
      <c r="E485" s="236"/>
      <c r="F485" s="236"/>
      <c r="G485" s="236"/>
      <c r="H485" s="40">
        <v>0</v>
      </c>
      <c r="I485" s="72">
        <v>0</v>
      </c>
      <c r="J485" s="17">
        <v>0</v>
      </c>
      <c r="K485" s="17"/>
      <c r="L485" s="16" t="s">
        <v>18</v>
      </c>
      <c r="M485" s="16" t="s">
        <v>22</v>
      </c>
      <c r="N485" s="39"/>
    </row>
    <row r="486" spans="1:14" s="12" customFormat="1" ht="18">
      <c r="A486" s="178" t="s">
        <v>80</v>
      </c>
      <c r="B486" s="75" t="s">
        <v>1528</v>
      </c>
      <c r="C486" s="39" t="s">
        <v>17</v>
      </c>
      <c r="D486" s="236"/>
      <c r="E486" s="236"/>
      <c r="F486" s="236"/>
      <c r="G486" s="236"/>
      <c r="H486" s="236">
        <f>SUM(Tabla132112414[[#This Row],[PRIMER TRIMESTRE]:[CUARTO TRIMESTRE]])</f>
        <v>0</v>
      </c>
      <c r="I486" s="72">
        <v>4973.5</v>
      </c>
      <c r="J486" s="72">
        <f t="shared" ref="J486:J549" si="12">+H486*I486</f>
        <v>0</v>
      </c>
      <c r="K486" s="17"/>
      <c r="L486" s="16" t="s">
        <v>18</v>
      </c>
      <c r="M486" s="16" t="s">
        <v>22</v>
      </c>
      <c r="N486" s="39"/>
    </row>
    <row r="487" spans="1:14" s="12" customFormat="1" ht="18">
      <c r="A487" s="178" t="s">
        <v>80</v>
      </c>
      <c r="B487" s="75" t="s">
        <v>1722</v>
      </c>
      <c r="C487" s="39" t="s">
        <v>17</v>
      </c>
      <c r="D487" s="236"/>
      <c r="E487" s="236"/>
      <c r="F487" s="236"/>
      <c r="G487" s="236"/>
      <c r="H487" s="40">
        <v>0</v>
      </c>
      <c r="I487" s="72">
        <v>0</v>
      </c>
      <c r="J487" s="72">
        <v>0</v>
      </c>
      <c r="K487" s="17"/>
      <c r="L487" s="16" t="s">
        <v>18</v>
      </c>
      <c r="M487" s="16" t="s">
        <v>22</v>
      </c>
      <c r="N487" s="39"/>
    </row>
    <row r="488" spans="1:14" s="12" customFormat="1" ht="18">
      <c r="A488" s="178" t="s">
        <v>80</v>
      </c>
      <c r="B488" s="75" t="s">
        <v>703</v>
      </c>
      <c r="C488" s="39" t="s">
        <v>17</v>
      </c>
      <c r="D488" s="236"/>
      <c r="E488" s="236"/>
      <c r="F488" s="236"/>
      <c r="G488" s="236"/>
      <c r="H488" s="40">
        <f>SUM(Tabla132112414[[#This Row],[PRIMER TRIMESTRE]:[CUARTO TRIMESTRE]])</f>
        <v>0</v>
      </c>
      <c r="I488" s="72">
        <v>1926.1</v>
      </c>
      <c r="J488" s="17">
        <f t="shared" si="12"/>
        <v>0</v>
      </c>
      <c r="K488" s="17"/>
      <c r="L488" s="16" t="s">
        <v>18</v>
      </c>
      <c r="M488" s="16" t="s">
        <v>22</v>
      </c>
      <c r="N488" s="39"/>
    </row>
    <row r="489" spans="1:14" s="12" customFormat="1" ht="18">
      <c r="A489" s="178" t="s">
        <v>80</v>
      </c>
      <c r="B489" s="75" t="s">
        <v>704</v>
      </c>
      <c r="C489" s="39" t="s">
        <v>17</v>
      </c>
      <c r="D489" s="236"/>
      <c r="E489" s="236"/>
      <c r="F489" s="236"/>
      <c r="G489" s="236"/>
      <c r="H489" s="40">
        <f>SUM(Tabla132112414[[#This Row],[PRIMER TRIMESTRE]:[CUARTO TRIMESTRE]])</f>
        <v>0</v>
      </c>
      <c r="I489" s="72">
        <v>3940</v>
      </c>
      <c r="J489" s="17">
        <f t="shared" si="12"/>
        <v>0</v>
      </c>
      <c r="K489" s="17"/>
      <c r="L489" s="16" t="s">
        <v>18</v>
      </c>
      <c r="M489" s="16" t="s">
        <v>22</v>
      </c>
      <c r="N489" s="39"/>
    </row>
    <row r="490" spans="1:14" s="12" customFormat="1" ht="18">
      <c r="A490" s="178" t="s">
        <v>80</v>
      </c>
      <c r="B490" s="75" t="s">
        <v>1216</v>
      </c>
      <c r="C490" s="39" t="s">
        <v>17</v>
      </c>
      <c r="D490" s="236"/>
      <c r="E490" s="236"/>
      <c r="F490" s="236"/>
      <c r="G490" s="236"/>
      <c r="H490" s="40">
        <f>SUM(Tabla132112414[[#This Row],[PRIMER TRIMESTRE]:[CUARTO TRIMESTRE]])</f>
        <v>0</v>
      </c>
      <c r="I490" s="175">
        <v>3940</v>
      </c>
      <c r="J490" s="17">
        <f t="shared" si="12"/>
        <v>0</v>
      </c>
      <c r="K490" s="17"/>
      <c r="L490" s="16" t="s">
        <v>18</v>
      </c>
      <c r="M490" s="16" t="s">
        <v>22</v>
      </c>
      <c r="N490" s="39"/>
    </row>
    <row r="491" spans="1:14" s="12" customFormat="1" ht="18">
      <c r="A491" s="178" t="s">
        <v>80</v>
      </c>
      <c r="B491" s="75" t="s">
        <v>1215</v>
      </c>
      <c r="C491" s="39" t="s">
        <v>17</v>
      </c>
      <c r="D491" s="236"/>
      <c r="E491" s="236"/>
      <c r="F491" s="236"/>
      <c r="G491" s="236"/>
      <c r="H491" s="40">
        <f>SUM(Tabla132112414[[#This Row],[PRIMER TRIMESTRE]:[CUARTO TRIMESTRE]])</f>
        <v>0</v>
      </c>
      <c r="I491" s="72">
        <v>3940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</row>
    <row r="492" spans="1:14" s="12" customFormat="1" ht="18">
      <c r="A492" s="178" t="s">
        <v>80</v>
      </c>
      <c r="B492" s="75" t="s">
        <v>1620</v>
      </c>
      <c r="C492" s="39" t="s">
        <v>17</v>
      </c>
      <c r="D492" s="236"/>
      <c r="E492" s="236"/>
      <c r="F492" s="236"/>
      <c r="G492" s="236"/>
      <c r="H492" s="40">
        <f>SUM(Tabla132112414[[#This Row],[PRIMER TRIMESTRE]:[CUARTO TRIMESTRE]])</f>
        <v>0</v>
      </c>
      <c r="I492" s="72">
        <v>4973.5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</row>
    <row r="493" spans="1:14" s="12" customFormat="1" ht="18">
      <c r="A493" s="178" t="s">
        <v>80</v>
      </c>
      <c r="B493" s="75" t="s">
        <v>1850</v>
      </c>
      <c r="C493" s="39" t="s">
        <v>17</v>
      </c>
      <c r="D493" s="236"/>
      <c r="E493" s="236"/>
      <c r="F493" s="236"/>
      <c r="G493" s="236"/>
      <c r="H493" s="40">
        <v>0</v>
      </c>
      <c r="I493" s="72">
        <v>0</v>
      </c>
      <c r="J493" s="17">
        <v>0</v>
      </c>
      <c r="K493" s="17"/>
      <c r="L493" s="16" t="s">
        <v>18</v>
      </c>
      <c r="M493" s="16" t="s">
        <v>22</v>
      </c>
      <c r="N493" s="39"/>
    </row>
    <row r="494" spans="1:14" s="12" customFormat="1" ht="18">
      <c r="A494" s="178" t="s">
        <v>80</v>
      </c>
      <c r="B494" s="75" t="s">
        <v>1529</v>
      </c>
      <c r="C494" s="39" t="s">
        <v>17</v>
      </c>
      <c r="D494" s="236"/>
      <c r="E494" s="236"/>
      <c r="F494" s="236"/>
      <c r="G494" s="236"/>
      <c r="H494" s="236">
        <f>SUM(Tabla132112414[[#This Row],[PRIMER TRIMESTRE]:[CUARTO TRIMESTRE]])</f>
        <v>0</v>
      </c>
      <c r="I494" s="72">
        <v>4.57</v>
      </c>
      <c r="J494" s="17">
        <f t="shared" si="12"/>
        <v>0</v>
      </c>
      <c r="K494" s="17"/>
      <c r="L494" s="16" t="s">
        <v>18</v>
      </c>
      <c r="M494" s="16" t="s">
        <v>22</v>
      </c>
      <c r="N494" s="39"/>
    </row>
    <row r="495" spans="1:14" s="12" customFormat="1" ht="18">
      <c r="A495" s="178" t="s">
        <v>80</v>
      </c>
      <c r="B495" s="75" t="s">
        <v>1569</v>
      </c>
      <c r="C495" s="39" t="s">
        <v>17</v>
      </c>
      <c r="D495" s="236"/>
      <c r="E495" s="236"/>
      <c r="F495" s="236"/>
      <c r="G495" s="236"/>
      <c r="H495" s="236">
        <f>SUM(Tabla132112414[[#This Row],[PRIMER TRIMESTRE]:[CUARTO TRIMESTRE]])</f>
        <v>0</v>
      </c>
      <c r="I495" s="72">
        <v>85.92</v>
      </c>
      <c r="J495" s="17">
        <f t="shared" si="12"/>
        <v>0</v>
      </c>
      <c r="K495" s="17"/>
      <c r="L495" s="16" t="s">
        <v>18</v>
      </c>
      <c r="M495" s="16" t="s">
        <v>22</v>
      </c>
      <c r="N495" s="39"/>
    </row>
    <row r="496" spans="1:14" s="12" customFormat="1" ht="18">
      <c r="A496" s="178" t="s">
        <v>80</v>
      </c>
      <c r="B496" s="75" t="s">
        <v>1568</v>
      </c>
      <c r="C496" s="39" t="s">
        <v>17</v>
      </c>
      <c r="D496" s="236"/>
      <c r="E496" s="236"/>
      <c r="F496" s="236"/>
      <c r="G496" s="236"/>
      <c r="H496" s="236">
        <f>SUM(Tabla132112414[[#This Row],[PRIMER TRIMESTRE]:[CUARTO TRIMESTRE]])</f>
        <v>0</v>
      </c>
      <c r="I496" s="72">
        <v>26.5</v>
      </c>
      <c r="J496" s="17">
        <f t="shared" si="12"/>
        <v>0</v>
      </c>
      <c r="K496" s="17"/>
      <c r="L496" s="16" t="s">
        <v>18</v>
      </c>
      <c r="M496" s="16" t="s">
        <v>22</v>
      </c>
      <c r="N496" s="39"/>
    </row>
    <row r="497" spans="1:14" s="12" customFormat="1" ht="18">
      <c r="A497" s="178" t="s">
        <v>80</v>
      </c>
      <c r="B497" s="75" t="s">
        <v>1530</v>
      </c>
      <c r="C497" s="39" t="s">
        <v>17</v>
      </c>
      <c r="D497" s="236"/>
      <c r="E497" s="236"/>
      <c r="F497" s="236"/>
      <c r="G497" s="236"/>
      <c r="H497" s="236">
        <f>SUM(Tabla132112414[[#This Row],[PRIMER TRIMESTRE]:[CUARTO TRIMESTRE]])</f>
        <v>0</v>
      </c>
      <c r="I497" s="72">
        <v>6.07</v>
      </c>
      <c r="J497" s="17">
        <f t="shared" si="12"/>
        <v>0</v>
      </c>
      <c r="K497" s="17"/>
      <c r="L497" s="16" t="s">
        <v>18</v>
      </c>
      <c r="M497" s="16" t="s">
        <v>22</v>
      </c>
      <c r="N497" s="39"/>
    </row>
    <row r="498" spans="1:14" s="12" customFormat="1" ht="18">
      <c r="A498" s="178" t="s">
        <v>80</v>
      </c>
      <c r="B498" s="75" t="s">
        <v>387</v>
      </c>
      <c r="C498" s="39" t="s">
        <v>17</v>
      </c>
      <c r="D498" s="236"/>
      <c r="E498" s="236"/>
      <c r="F498" s="236"/>
      <c r="G498" s="236"/>
      <c r="H498" s="40">
        <f>SUM(Tabla132112414[[#This Row],[PRIMER TRIMESTRE]:[CUARTO TRIMESTRE]])</f>
        <v>0</v>
      </c>
      <c r="I498" s="17">
        <v>4.1100000000000003</v>
      </c>
      <c r="J498" s="17">
        <f t="shared" si="12"/>
        <v>0</v>
      </c>
      <c r="K498" s="17"/>
      <c r="L498" s="16" t="s">
        <v>18</v>
      </c>
      <c r="M498" s="16" t="s">
        <v>22</v>
      </c>
      <c r="N498" s="39"/>
    </row>
    <row r="499" spans="1:14" s="12" customFormat="1" ht="18">
      <c r="A499" s="178" t="s">
        <v>80</v>
      </c>
      <c r="B499" s="75" t="s">
        <v>388</v>
      </c>
      <c r="C499" s="39" t="s">
        <v>17</v>
      </c>
      <c r="D499" s="236"/>
      <c r="E499" s="236"/>
      <c r="F499" s="236"/>
      <c r="G499" s="236"/>
      <c r="H499" s="40">
        <f>SUM(Tabla132112414[[#This Row],[PRIMER TRIMESTRE]:[CUARTO TRIMESTRE]])</f>
        <v>0</v>
      </c>
      <c r="I499" s="17">
        <v>5.25</v>
      </c>
      <c r="J499" s="17">
        <f t="shared" si="12"/>
        <v>0</v>
      </c>
      <c r="K499" s="17"/>
      <c r="L499" s="16" t="s">
        <v>18</v>
      </c>
      <c r="M499" s="16" t="s">
        <v>22</v>
      </c>
      <c r="N499" s="39"/>
    </row>
    <row r="500" spans="1:14" s="12" customFormat="1" ht="18">
      <c r="A500" s="178" t="s">
        <v>80</v>
      </c>
      <c r="B500" s="75" t="s">
        <v>1567</v>
      </c>
      <c r="C500" s="39" t="s">
        <v>17</v>
      </c>
      <c r="D500" s="236"/>
      <c r="E500" s="236"/>
      <c r="F500" s="236"/>
      <c r="G500" s="236"/>
      <c r="H500" s="236">
        <f>SUM(Tabla132112414[[#This Row],[PRIMER TRIMESTRE]:[CUARTO TRIMESTRE]])</f>
        <v>0</v>
      </c>
      <c r="I500" s="17">
        <v>15</v>
      </c>
      <c r="J500" s="17">
        <f t="shared" si="12"/>
        <v>0</v>
      </c>
      <c r="K500" s="17"/>
      <c r="L500" s="16" t="s">
        <v>18</v>
      </c>
      <c r="M500" s="16" t="s">
        <v>22</v>
      </c>
      <c r="N500" s="39"/>
    </row>
    <row r="501" spans="1:14" s="12" customFormat="1" ht="18">
      <c r="A501" s="178" t="s">
        <v>80</v>
      </c>
      <c r="B501" s="75" t="s">
        <v>389</v>
      </c>
      <c r="C501" s="39" t="s">
        <v>17</v>
      </c>
      <c r="D501" s="236"/>
      <c r="E501" s="236"/>
      <c r="F501" s="236"/>
      <c r="G501" s="236"/>
      <c r="H501" s="40">
        <f>SUM(Tabla132112414[[#This Row],[PRIMER TRIMESTRE]:[CUARTO TRIMESTRE]])</f>
        <v>0</v>
      </c>
      <c r="I501" s="17">
        <v>11</v>
      </c>
      <c r="J501" s="17">
        <f t="shared" si="12"/>
        <v>0</v>
      </c>
      <c r="K501" s="17"/>
      <c r="L501" s="16" t="s">
        <v>18</v>
      </c>
      <c r="M501" s="16" t="s">
        <v>22</v>
      </c>
      <c r="N501" s="39"/>
    </row>
    <row r="502" spans="1:14" s="12" customFormat="1" ht="18">
      <c r="A502" s="178" t="s">
        <v>80</v>
      </c>
      <c r="B502" s="75" t="s">
        <v>1851</v>
      </c>
      <c r="C502" s="39" t="s">
        <v>17</v>
      </c>
      <c r="D502" s="236"/>
      <c r="E502" s="236"/>
      <c r="F502" s="236"/>
      <c r="G502" s="236"/>
      <c r="H502" s="40">
        <v>0</v>
      </c>
      <c r="I502" s="17">
        <v>0</v>
      </c>
      <c r="J502" s="17">
        <v>0</v>
      </c>
      <c r="K502" s="17"/>
      <c r="L502" s="16" t="s">
        <v>18</v>
      </c>
      <c r="M502" s="16" t="s">
        <v>22</v>
      </c>
      <c r="N502" s="39"/>
    </row>
    <row r="503" spans="1:14" s="12" customFormat="1" ht="25.5">
      <c r="A503" s="178" t="s">
        <v>80</v>
      </c>
      <c r="B503" s="75" t="s">
        <v>1716</v>
      </c>
      <c r="C503" s="39" t="s">
        <v>17</v>
      </c>
      <c r="D503" s="236"/>
      <c r="E503" s="236"/>
      <c r="F503" s="236"/>
      <c r="G503" s="236"/>
      <c r="H503" s="40">
        <v>0</v>
      </c>
      <c r="I503" s="17">
        <v>0</v>
      </c>
      <c r="J503" s="17">
        <v>0</v>
      </c>
      <c r="K503" s="17"/>
      <c r="L503" s="16" t="s">
        <v>18</v>
      </c>
      <c r="M503" s="16" t="s">
        <v>22</v>
      </c>
      <c r="N503" s="39"/>
    </row>
    <row r="504" spans="1:14" s="12" customFormat="1" ht="18">
      <c r="A504" s="178" t="s">
        <v>80</v>
      </c>
      <c r="B504" s="75" t="s">
        <v>1621</v>
      </c>
      <c r="C504" s="39" t="s">
        <v>17</v>
      </c>
      <c r="D504" s="236"/>
      <c r="E504" s="236"/>
      <c r="F504" s="236"/>
      <c r="G504" s="236"/>
      <c r="H504" s="236">
        <f>SUM(Tabla132112414[[#This Row],[PRIMER TRIMESTRE]:[CUARTO TRIMESTRE]])</f>
        <v>0</v>
      </c>
      <c r="I504" s="17">
        <v>6790</v>
      </c>
      <c r="J504" s="17">
        <f t="shared" si="12"/>
        <v>0</v>
      </c>
      <c r="K504" s="17"/>
      <c r="L504" s="16" t="s">
        <v>18</v>
      </c>
      <c r="M504" s="16" t="s">
        <v>22</v>
      </c>
      <c r="N504" s="39"/>
    </row>
    <row r="505" spans="1:14" s="12" customFormat="1" ht="18">
      <c r="A505" s="178" t="s">
        <v>80</v>
      </c>
      <c r="B505" s="75" t="s">
        <v>1482</v>
      </c>
      <c r="C505" s="39" t="s">
        <v>17</v>
      </c>
      <c r="D505" s="236"/>
      <c r="E505" s="236"/>
      <c r="F505" s="236"/>
      <c r="G505" s="236"/>
      <c r="H505" s="236">
        <f>SUM(Tabla132112414[[#This Row],[PRIMER TRIMESTRE]:[CUARTO TRIMESTRE]])</f>
        <v>0</v>
      </c>
      <c r="I505" s="17">
        <v>12500</v>
      </c>
      <c r="J505" s="17">
        <f t="shared" si="12"/>
        <v>0</v>
      </c>
      <c r="K505" s="17"/>
      <c r="L505" s="16" t="s">
        <v>18</v>
      </c>
      <c r="M505" s="16" t="s">
        <v>22</v>
      </c>
      <c r="N505" s="39"/>
    </row>
    <row r="506" spans="1:14" s="12" customFormat="1" ht="18">
      <c r="A506" s="178" t="s">
        <v>80</v>
      </c>
      <c r="B506" s="75" t="s">
        <v>1483</v>
      </c>
      <c r="C506" s="39" t="s">
        <v>17</v>
      </c>
      <c r="D506" s="236"/>
      <c r="E506" s="236"/>
      <c r="F506" s="236"/>
      <c r="G506" s="236"/>
      <c r="H506" s="236">
        <f>SUM(Tabla132112414[[#This Row],[PRIMER TRIMESTRE]:[CUARTO TRIMESTRE]])</f>
        <v>0</v>
      </c>
      <c r="I506" s="17">
        <v>11430</v>
      </c>
      <c r="J506" s="17">
        <f t="shared" si="12"/>
        <v>0</v>
      </c>
      <c r="K506" s="17"/>
      <c r="L506" s="16" t="s">
        <v>18</v>
      </c>
      <c r="M506" s="16" t="s">
        <v>22</v>
      </c>
      <c r="N506" s="39"/>
    </row>
    <row r="507" spans="1:14" s="12" customFormat="1" ht="25.5">
      <c r="A507" s="178" t="s">
        <v>80</v>
      </c>
      <c r="B507" s="75" t="s">
        <v>1484</v>
      </c>
      <c r="C507" s="39" t="s">
        <v>17</v>
      </c>
      <c r="D507" s="236"/>
      <c r="E507" s="236"/>
      <c r="F507" s="236"/>
      <c r="G507" s="236"/>
      <c r="H507" s="236">
        <f>SUM(Tabla132112414[[#This Row],[PRIMER TRIMESTRE]:[CUARTO TRIMESTRE]])</f>
        <v>0</v>
      </c>
      <c r="I507" s="17">
        <v>18242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</row>
    <row r="508" spans="1:14" s="12" customFormat="1" ht="25.5">
      <c r="A508" s="178" t="s">
        <v>80</v>
      </c>
      <c r="B508" s="75" t="s">
        <v>1485</v>
      </c>
      <c r="C508" s="39" t="s">
        <v>17</v>
      </c>
      <c r="D508" s="236"/>
      <c r="E508" s="236"/>
      <c r="F508" s="236"/>
      <c r="G508" s="236"/>
      <c r="H508" s="236">
        <f>SUM(Tabla132112414[[#This Row],[PRIMER TRIMESTRE]:[CUARTO TRIMESTRE]])</f>
        <v>0</v>
      </c>
      <c r="I508" s="17">
        <v>17900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</row>
    <row r="509" spans="1:14" s="12" customFormat="1" ht="18">
      <c r="A509" s="178" t="s">
        <v>80</v>
      </c>
      <c r="B509" s="75" t="s">
        <v>1486</v>
      </c>
      <c r="C509" s="39" t="s">
        <v>17</v>
      </c>
      <c r="D509" s="236"/>
      <c r="E509" s="236"/>
      <c r="F509" s="236"/>
      <c r="G509" s="236"/>
      <c r="H509" s="236">
        <f>SUM(Tabla132112414[[#This Row],[PRIMER TRIMESTRE]:[CUARTO TRIMESTRE]])</f>
        <v>0</v>
      </c>
      <c r="I509" s="17">
        <v>16800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</row>
    <row r="510" spans="1:14" s="12" customFormat="1" ht="25.5">
      <c r="A510" s="178" t="s">
        <v>80</v>
      </c>
      <c r="B510" s="75" t="s">
        <v>1487</v>
      </c>
      <c r="C510" s="39" t="s">
        <v>17</v>
      </c>
      <c r="D510" s="236"/>
      <c r="E510" s="236"/>
      <c r="F510" s="236"/>
      <c r="G510" s="236"/>
      <c r="H510" s="236">
        <f>SUM(Tabla132112414[[#This Row],[PRIMER TRIMESTRE]:[CUARTO TRIMESTRE]])</f>
        <v>0</v>
      </c>
      <c r="I510" s="17">
        <v>12500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</row>
    <row r="511" spans="1:14" s="12" customFormat="1" ht="25.5">
      <c r="A511" s="178" t="s">
        <v>80</v>
      </c>
      <c r="B511" s="75" t="s">
        <v>1488</v>
      </c>
      <c r="C511" s="39" t="s">
        <v>17</v>
      </c>
      <c r="D511" s="236"/>
      <c r="E511" s="236"/>
      <c r="F511" s="236"/>
      <c r="G511" s="236"/>
      <c r="H511" s="236">
        <f>SUM(Tabla132112414[[#This Row],[PRIMER TRIMESTRE]:[CUARTO TRIMESTRE]])</f>
        <v>0</v>
      </c>
      <c r="I511" s="17">
        <v>31500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</row>
    <row r="512" spans="1:14" s="12" customFormat="1" ht="25.5">
      <c r="A512" s="178" t="s">
        <v>1852</v>
      </c>
      <c r="B512" s="75" t="s">
        <v>1489</v>
      </c>
      <c r="C512" s="39" t="s">
        <v>17</v>
      </c>
      <c r="D512" s="236"/>
      <c r="E512" s="236"/>
      <c r="F512" s="236"/>
      <c r="G512" s="236"/>
      <c r="H512" s="40">
        <v>0</v>
      </c>
      <c r="I512" s="17">
        <v>0</v>
      </c>
      <c r="J512" s="17">
        <v>0</v>
      </c>
      <c r="K512" s="17"/>
      <c r="L512" s="16" t="s">
        <v>18</v>
      </c>
      <c r="M512" s="16" t="s">
        <v>22</v>
      </c>
      <c r="N512" s="39"/>
    </row>
    <row r="513" spans="1:14" s="12" customFormat="1" ht="25.5">
      <c r="A513" s="178" t="s">
        <v>80</v>
      </c>
      <c r="B513" s="75" t="s">
        <v>1489</v>
      </c>
      <c r="C513" s="39" t="s">
        <v>17</v>
      </c>
      <c r="D513" s="236"/>
      <c r="E513" s="236"/>
      <c r="F513" s="236"/>
      <c r="G513" s="236"/>
      <c r="H513" s="236">
        <f>SUM(Tabla132112414[[#This Row],[PRIMER TRIMESTRE]:[CUARTO TRIMESTRE]])</f>
        <v>0</v>
      </c>
      <c r="I513" s="17">
        <v>48500</v>
      </c>
      <c r="J513" s="17">
        <f t="shared" si="12"/>
        <v>0</v>
      </c>
      <c r="K513" s="17"/>
      <c r="L513" s="16" t="s">
        <v>18</v>
      </c>
      <c r="M513" s="16" t="s">
        <v>22</v>
      </c>
      <c r="N513" s="39"/>
    </row>
    <row r="514" spans="1:14" s="12" customFormat="1" ht="25.5">
      <c r="A514" s="178" t="s">
        <v>80</v>
      </c>
      <c r="B514" s="75" t="s">
        <v>1490</v>
      </c>
      <c r="C514" s="39" t="s">
        <v>17</v>
      </c>
      <c r="D514" s="236"/>
      <c r="E514" s="236"/>
      <c r="F514" s="236"/>
      <c r="G514" s="236"/>
      <c r="H514" s="236">
        <f>SUM(Tabla132112414[[#This Row],[PRIMER TRIMESTRE]:[CUARTO TRIMESTRE]])</f>
        <v>0</v>
      </c>
      <c r="I514" s="17">
        <v>22260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</row>
    <row r="515" spans="1:14" s="12" customFormat="1" ht="25.5">
      <c r="A515" s="178" t="s">
        <v>80</v>
      </c>
      <c r="B515" s="75" t="s">
        <v>1491</v>
      </c>
      <c r="C515" s="39" t="s">
        <v>17</v>
      </c>
      <c r="D515" s="236"/>
      <c r="E515" s="236"/>
      <c r="F515" s="236"/>
      <c r="G515" s="236"/>
      <c r="H515" s="236">
        <f>SUM(Tabla132112414[[#This Row],[PRIMER TRIMESTRE]:[CUARTO TRIMESTRE]])</f>
        <v>0</v>
      </c>
      <c r="I515" s="17">
        <v>25500</v>
      </c>
      <c r="J515" s="17">
        <f t="shared" si="12"/>
        <v>0</v>
      </c>
      <c r="K515" s="17"/>
      <c r="L515" s="16" t="s">
        <v>18</v>
      </c>
      <c r="M515" s="16" t="s">
        <v>22</v>
      </c>
      <c r="N515" s="39"/>
    </row>
    <row r="516" spans="1:14" s="12" customFormat="1" ht="25.5">
      <c r="A516" s="178" t="s">
        <v>80</v>
      </c>
      <c r="B516" s="75" t="s">
        <v>1492</v>
      </c>
      <c r="C516" s="39" t="s">
        <v>17</v>
      </c>
      <c r="D516" s="236"/>
      <c r="E516" s="236"/>
      <c r="F516" s="236"/>
      <c r="G516" s="236"/>
      <c r="H516" s="236">
        <f>SUM(Tabla132112414[[#This Row],[PRIMER TRIMESTRE]:[CUARTO TRIMESTRE]])</f>
        <v>0</v>
      </c>
      <c r="I516" s="17">
        <v>22600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</row>
    <row r="517" spans="1:14" s="12" customFormat="1" ht="25.5">
      <c r="A517" s="178" t="s">
        <v>80</v>
      </c>
      <c r="B517" s="75" t="s">
        <v>1493</v>
      </c>
      <c r="C517" s="39" t="s">
        <v>17</v>
      </c>
      <c r="D517" s="236"/>
      <c r="E517" s="236"/>
      <c r="F517" s="236"/>
      <c r="G517" s="236"/>
      <c r="H517" s="236">
        <f>SUM(Tabla132112414[[#This Row],[PRIMER TRIMESTRE]:[CUARTO TRIMESTRE]])</f>
        <v>0</v>
      </c>
      <c r="I517" s="17">
        <v>22350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</row>
    <row r="518" spans="1:14" s="12" customFormat="1" ht="38.25">
      <c r="A518" s="178" t="s">
        <v>80</v>
      </c>
      <c r="B518" s="75" t="s">
        <v>1494</v>
      </c>
      <c r="C518" s="39" t="s">
        <v>17</v>
      </c>
      <c r="D518" s="236"/>
      <c r="E518" s="236"/>
      <c r="F518" s="236"/>
      <c r="G518" s="236"/>
      <c r="H518" s="236">
        <f>SUM(Tabla132112414[[#This Row],[PRIMER TRIMESTRE]:[CUARTO TRIMESTRE]])</f>
        <v>0</v>
      </c>
      <c r="I518" s="17">
        <v>49500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</row>
    <row r="519" spans="1:14" s="12" customFormat="1" ht="38.25">
      <c r="A519" s="178" t="s">
        <v>80</v>
      </c>
      <c r="B519" s="75" t="s">
        <v>1495</v>
      </c>
      <c r="C519" s="39" t="s">
        <v>17</v>
      </c>
      <c r="D519" s="236"/>
      <c r="E519" s="236"/>
      <c r="F519" s="236"/>
      <c r="G519" s="236"/>
      <c r="H519" s="236">
        <f>SUM(Tabla132112414[[#This Row],[PRIMER TRIMESTRE]:[CUARTO TRIMESTRE]])</f>
        <v>0</v>
      </c>
      <c r="I519" s="17">
        <v>11200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</row>
    <row r="520" spans="1:14" s="12" customFormat="1" ht="38.25">
      <c r="A520" s="178" t="s">
        <v>80</v>
      </c>
      <c r="B520" s="75" t="s">
        <v>1496</v>
      </c>
      <c r="C520" s="39" t="s">
        <v>17</v>
      </c>
      <c r="D520" s="236"/>
      <c r="E520" s="236"/>
      <c r="F520" s="236"/>
      <c r="G520" s="236"/>
      <c r="H520" s="236">
        <f>SUM(Tabla132112414[[#This Row],[PRIMER TRIMESTRE]:[CUARTO TRIMESTRE]])</f>
        <v>0</v>
      </c>
      <c r="I520" s="17">
        <v>88000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</row>
    <row r="521" spans="1:14" s="12" customFormat="1" ht="25.5">
      <c r="A521" s="178" t="s">
        <v>80</v>
      </c>
      <c r="B521" s="75" t="s">
        <v>1497</v>
      </c>
      <c r="C521" s="39" t="s">
        <v>17</v>
      </c>
      <c r="D521" s="236"/>
      <c r="E521" s="236"/>
      <c r="F521" s="236"/>
      <c r="G521" s="236"/>
      <c r="H521" s="236">
        <f>SUM(Tabla132112414[[#This Row],[PRIMER TRIMESTRE]:[CUARTO TRIMESTRE]])</f>
        <v>0</v>
      </c>
      <c r="I521" s="17">
        <v>26500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</row>
    <row r="522" spans="1:14" s="12" customFormat="1" ht="25.5">
      <c r="A522" s="178" t="s">
        <v>80</v>
      </c>
      <c r="B522" s="75" t="s">
        <v>1498</v>
      </c>
      <c r="C522" s="39" t="s">
        <v>17</v>
      </c>
      <c r="D522" s="236"/>
      <c r="E522" s="236"/>
      <c r="F522" s="236"/>
      <c r="G522" s="236"/>
      <c r="H522" s="236">
        <f>SUM(Tabla132112414[[#This Row],[PRIMER TRIMESTRE]:[CUARTO TRIMESTRE]])</f>
        <v>0</v>
      </c>
      <c r="I522" s="17">
        <v>48500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</row>
    <row r="523" spans="1:14" s="12" customFormat="1" ht="18">
      <c r="A523" s="178" t="s">
        <v>80</v>
      </c>
      <c r="B523" s="75" t="s">
        <v>1499</v>
      </c>
      <c r="C523" s="39" t="s">
        <v>17</v>
      </c>
      <c r="D523" s="236"/>
      <c r="E523" s="236"/>
      <c r="F523" s="236"/>
      <c r="G523" s="236"/>
      <c r="H523" s="236">
        <f>SUM(Tabla132112414[[#This Row],[PRIMER TRIMESTRE]:[CUARTO TRIMESTRE]])</f>
        <v>0</v>
      </c>
      <c r="I523" s="17">
        <v>26500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</row>
    <row r="524" spans="1:14" s="12" customFormat="1" ht="25.5">
      <c r="A524" s="178" t="s">
        <v>80</v>
      </c>
      <c r="B524" s="75" t="s">
        <v>1500</v>
      </c>
      <c r="C524" s="39" t="s">
        <v>17</v>
      </c>
      <c r="D524" s="236"/>
      <c r="E524" s="236"/>
      <c r="F524" s="236"/>
      <c r="G524" s="236"/>
      <c r="H524" s="236">
        <f>SUM(Tabla132112414[[#This Row],[PRIMER TRIMESTRE]:[CUARTO TRIMESTRE]])</f>
        <v>0</v>
      </c>
      <c r="I524" s="17">
        <v>22700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</row>
    <row r="525" spans="1:14" s="12" customFormat="1" ht="25.5">
      <c r="A525" s="178" t="s">
        <v>80</v>
      </c>
      <c r="B525" s="75" t="s">
        <v>1501</v>
      </c>
      <c r="C525" s="39" t="s">
        <v>17</v>
      </c>
      <c r="D525" s="236"/>
      <c r="E525" s="236"/>
      <c r="F525" s="236"/>
      <c r="G525" s="236"/>
      <c r="H525" s="236">
        <f>SUM(Tabla132112414[[#This Row],[PRIMER TRIMESTRE]:[CUARTO TRIMESTRE]])</f>
        <v>0</v>
      </c>
      <c r="I525" s="17">
        <v>3220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</row>
    <row r="526" spans="1:14" s="12" customFormat="1" ht="18">
      <c r="A526" s="178" t="s">
        <v>80</v>
      </c>
      <c r="B526" s="75" t="s">
        <v>1534</v>
      </c>
      <c r="C526" s="39" t="s">
        <v>17</v>
      </c>
      <c r="D526" s="236"/>
      <c r="E526" s="236"/>
      <c r="F526" s="236"/>
      <c r="G526" s="236"/>
      <c r="H526" s="236">
        <f>SUM(Tabla132112414[[#This Row],[PRIMER TRIMESTRE]:[CUARTO TRIMESTRE]])</f>
        <v>0</v>
      </c>
      <c r="I526" s="17">
        <v>2380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</row>
    <row r="527" spans="1:14" s="12" customFormat="1" ht="25.5">
      <c r="A527" s="178" t="s">
        <v>80</v>
      </c>
      <c r="B527" s="75" t="s">
        <v>1682</v>
      </c>
      <c r="C527" s="39" t="s">
        <v>17</v>
      </c>
      <c r="D527" s="236"/>
      <c r="E527" s="236"/>
      <c r="F527" s="236"/>
      <c r="G527" s="236"/>
      <c r="H527" s="40">
        <v>0</v>
      </c>
      <c r="I527" s="17">
        <v>0</v>
      </c>
      <c r="J527" s="17">
        <v>0</v>
      </c>
      <c r="K527" s="17"/>
      <c r="L527" s="16" t="s">
        <v>18</v>
      </c>
      <c r="M527" s="16" t="s">
        <v>22</v>
      </c>
      <c r="N527" s="39"/>
    </row>
    <row r="528" spans="1:14" s="12" customFormat="1" ht="38.25">
      <c r="A528" s="178" t="s">
        <v>80</v>
      </c>
      <c r="B528" s="75" t="s">
        <v>1502</v>
      </c>
      <c r="C528" s="39" t="s">
        <v>17</v>
      </c>
      <c r="D528" s="236"/>
      <c r="E528" s="236"/>
      <c r="F528" s="236"/>
      <c r="G528" s="236"/>
      <c r="H528" s="236">
        <f>SUM(Tabla132112414[[#This Row],[PRIMER TRIMESTRE]:[CUARTO TRIMESTRE]])</f>
        <v>0</v>
      </c>
      <c r="I528" s="17">
        <v>34440</v>
      </c>
      <c r="J528" s="17">
        <f t="shared" si="12"/>
        <v>0</v>
      </c>
      <c r="K528" s="17"/>
      <c r="L528" s="16" t="s">
        <v>18</v>
      </c>
      <c r="M528" s="16" t="s">
        <v>22</v>
      </c>
      <c r="N528" s="39"/>
    </row>
    <row r="529" spans="1:14" s="12" customFormat="1" ht="25.5">
      <c r="A529" s="178" t="s">
        <v>80</v>
      </c>
      <c r="B529" s="75" t="s">
        <v>1503</v>
      </c>
      <c r="C529" s="39" t="s">
        <v>17</v>
      </c>
      <c r="D529" s="236"/>
      <c r="E529" s="236"/>
      <c r="F529" s="236"/>
      <c r="G529" s="236"/>
      <c r="H529" s="236">
        <f>SUM(Tabla132112414[[#This Row],[PRIMER TRIMESTRE]:[CUARTO TRIMESTRE]])</f>
        <v>0</v>
      </c>
      <c r="I529" s="17">
        <v>2600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</row>
    <row r="530" spans="1:14" s="12" customFormat="1" ht="18">
      <c r="A530" s="178" t="s">
        <v>80</v>
      </c>
      <c r="B530" s="75" t="s">
        <v>1504</v>
      </c>
      <c r="C530" s="39" t="s">
        <v>17</v>
      </c>
      <c r="D530" s="236"/>
      <c r="E530" s="236"/>
      <c r="F530" s="236"/>
      <c r="G530" s="236"/>
      <c r="H530" s="236">
        <f>SUM(Tabla132112414[[#This Row],[PRIMER TRIMESTRE]:[CUARTO TRIMESTRE]])</f>
        <v>0</v>
      </c>
      <c r="I530" s="17">
        <v>14280</v>
      </c>
      <c r="J530" s="17">
        <f t="shared" si="12"/>
        <v>0</v>
      </c>
      <c r="K530" s="17"/>
      <c r="L530" s="16" t="s">
        <v>18</v>
      </c>
      <c r="M530" s="16" t="s">
        <v>22</v>
      </c>
      <c r="N530" s="39"/>
    </row>
    <row r="531" spans="1:14" s="12" customFormat="1" ht="25.5">
      <c r="A531" s="178" t="s">
        <v>80</v>
      </c>
      <c r="B531" s="75" t="s">
        <v>1505</v>
      </c>
      <c r="C531" s="39" t="s">
        <v>17</v>
      </c>
      <c r="D531" s="236"/>
      <c r="E531" s="236"/>
      <c r="F531" s="236"/>
      <c r="G531" s="236"/>
      <c r="H531" s="236">
        <f>SUM(Tabla132112414[[#This Row],[PRIMER TRIMESTRE]:[CUARTO TRIMESTRE]])</f>
        <v>0</v>
      </c>
      <c r="I531" s="17">
        <v>15708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</row>
    <row r="532" spans="1:14" s="12" customFormat="1" ht="38.25">
      <c r="A532" s="178" t="s">
        <v>80</v>
      </c>
      <c r="B532" s="75" t="s">
        <v>1506</v>
      </c>
      <c r="C532" s="39" t="s">
        <v>17</v>
      </c>
      <c r="D532" s="236"/>
      <c r="E532" s="236"/>
      <c r="F532" s="236"/>
      <c r="G532" s="236"/>
      <c r="H532" s="236">
        <f>SUM(Tabla132112414[[#This Row],[PRIMER TRIMESTRE]:[CUARTO TRIMESTRE]])</f>
        <v>0</v>
      </c>
      <c r="I532" s="17">
        <v>29481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</row>
    <row r="533" spans="1:14" s="12" customFormat="1" ht="38.25">
      <c r="A533" s="178" t="s">
        <v>80</v>
      </c>
      <c r="B533" s="75" t="s">
        <v>1507</v>
      </c>
      <c r="C533" s="39" t="s">
        <v>17</v>
      </c>
      <c r="D533" s="236"/>
      <c r="E533" s="236"/>
      <c r="F533" s="236"/>
      <c r="G533" s="236"/>
      <c r="H533" s="236">
        <f>SUM(Tabla132112414[[#This Row],[PRIMER TRIMESTRE]:[CUARTO TRIMESTRE]])</f>
        <v>0</v>
      </c>
      <c r="I533" s="17">
        <v>29000</v>
      </c>
      <c r="J533" s="17">
        <f t="shared" si="12"/>
        <v>0</v>
      </c>
      <c r="K533" s="17"/>
      <c r="L533" s="16" t="s">
        <v>18</v>
      </c>
      <c r="M533" s="16" t="s">
        <v>22</v>
      </c>
      <c r="N533" s="39"/>
    </row>
    <row r="534" spans="1:14" s="12" customFormat="1" ht="38.25">
      <c r="A534" s="178" t="s">
        <v>80</v>
      </c>
      <c r="B534" s="75" t="s">
        <v>1592</v>
      </c>
      <c r="C534" s="39" t="s">
        <v>17</v>
      </c>
      <c r="D534" s="236"/>
      <c r="E534" s="236"/>
      <c r="F534" s="236"/>
      <c r="G534" s="236"/>
      <c r="H534" s="236">
        <f>SUM(Tabla132112414[[#This Row],[PRIMER TRIMESTRE]:[CUARTO TRIMESTRE]])</f>
        <v>0</v>
      </c>
      <c r="I534" s="17">
        <v>52242</v>
      </c>
      <c r="J534" s="17">
        <f t="shared" si="12"/>
        <v>0</v>
      </c>
      <c r="K534" s="17"/>
      <c r="L534" s="16" t="s">
        <v>18</v>
      </c>
      <c r="M534" s="16" t="s">
        <v>22</v>
      </c>
      <c r="N534" s="39"/>
    </row>
    <row r="535" spans="1:14" s="12" customFormat="1" ht="18">
      <c r="A535" s="178" t="s">
        <v>80</v>
      </c>
      <c r="B535" s="75" t="s">
        <v>1552</v>
      </c>
      <c r="C535" s="39" t="s">
        <v>17</v>
      </c>
      <c r="D535" s="236"/>
      <c r="E535" s="236"/>
      <c r="F535" s="236"/>
      <c r="G535" s="236"/>
      <c r="H535" s="236">
        <f>SUM(Tabla132112414[[#This Row],[PRIMER TRIMESTRE]:[CUARTO TRIMESTRE]])</f>
        <v>0</v>
      </c>
      <c r="I535" s="17">
        <v>28.8</v>
      </c>
      <c r="J535" s="17">
        <f t="shared" si="12"/>
        <v>0</v>
      </c>
      <c r="K535" s="17"/>
      <c r="L535" s="16" t="s">
        <v>18</v>
      </c>
      <c r="M535" s="16" t="s">
        <v>22</v>
      </c>
      <c r="N535" s="39"/>
    </row>
    <row r="536" spans="1:14" s="12" customFormat="1" ht="25.5">
      <c r="A536" s="178" t="s">
        <v>80</v>
      </c>
      <c r="B536" s="75" t="s">
        <v>663</v>
      </c>
      <c r="C536" s="39" t="s">
        <v>17</v>
      </c>
      <c r="D536" s="236"/>
      <c r="E536" s="236"/>
      <c r="F536" s="236"/>
      <c r="G536" s="236"/>
      <c r="H536" s="40">
        <f>SUM(Tabla132112414[[#This Row],[PRIMER TRIMESTRE]:[CUARTO TRIMESTRE]])</f>
        <v>0</v>
      </c>
      <c r="I536" s="72">
        <v>15930</v>
      </c>
      <c r="J536" s="17">
        <f t="shared" si="12"/>
        <v>0</v>
      </c>
      <c r="K536" s="17"/>
      <c r="L536" s="16" t="s">
        <v>18</v>
      </c>
      <c r="M536" s="16" t="s">
        <v>22</v>
      </c>
      <c r="N536" s="39"/>
    </row>
    <row r="537" spans="1:14" s="12" customFormat="1" ht="25.5">
      <c r="A537" s="178" t="s">
        <v>80</v>
      </c>
      <c r="B537" s="75" t="s">
        <v>662</v>
      </c>
      <c r="C537" s="39" t="s">
        <v>17</v>
      </c>
      <c r="D537" s="236"/>
      <c r="E537" s="236"/>
      <c r="F537" s="236"/>
      <c r="G537" s="236"/>
      <c r="H537" s="40">
        <f>SUM(Tabla132112414[[#This Row],[PRIMER TRIMESTRE]:[CUARTO TRIMESTRE]])</f>
        <v>0</v>
      </c>
      <c r="I537" s="72">
        <f>15500*1.18</f>
        <v>18290</v>
      </c>
      <c r="J537" s="17">
        <f t="shared" si="12"/>
        <v>0</v>
      </c>
      <c r="K537" s="17"/>
      <c r="L537" s="16" t="s">
        <v>18</v>
      </c>
      <c r="M537" s="16" t="s">
        <v>22</v>
      </c>
      <c r="N537" s="39"/>
    </row>
    <row r="538" spans="1:14" s="12" customFormat="1" ht="25.5">
      <c r="A538" s="178" t="s">
        <v>80</v>
      </c>
      <c r="B538" s="75" t="s">
        <v>664</v>
      </c>
      <c r="C538" s="39" t="s">
        <v>17</v>
      </c>
      <c r="D538" s="236"/>
      <c r="E538" s="236"/>
      <c r="F538" s="236"/>
      <c r="G538" s="236"/>
      <c r="H538" s="40">
        <f>SUM(Tabla132112414[[#This Row],[PRIMER TRIMESTRE]:[CUARTO TRIMESTRE]])</f>
        <v>0</v>
      </c>
      <c r="I538" s="72">
        <f>18500*1.18</f>
        <v>21830</v>
      </c>
      <c r="J538" s="17">
        <f t="shared" si="12"/>
        <v>0</v>
      </c>
      <c r="K538" s="17"/>
      <c r="L538" s="16" t="s">
        <v>18</v>
      </c>
      <c r="M538" s="16" t="s">
        <v>22</v>
      </c>
      <c r="N538" s="39"/>
    </row>
    <row r="539" spans="1:14" s="12" customFormat="1" ht="38.25">
      <c r="A539" s="178" t="s">
        <v>80</v>
      </c>
      <c r="B539" s="75" t="s">
        <v>672</v>
      </c>
      <c r="C539" s="39" t="s">
        <v>17</v>
      </c>
      <c r="D539" s="236"/>
      <c r="E539" s="236"/>
      <c r="F539" s="236"/>
      <c r="G539" s="236"/>
      <c r="H539" s="40">
        <f>SUM(Tabla132112414[[#This Row],[PRIMER TRIMESTRE]:[CUARTO TRIMESTRE]])</f>
        <v>0</v>
      </c>
      <c r="I539" s="72">
        <f>13800*1.18</f>
        <v>16284</v>
      </c>
      <c r="J539" s="17">
        <f t="shared" si="12"/>
        <v>0</v>
      </c>
      <c r="K539" s="17"/>
      <c r="L539" s="16" t="s">
        <v>18</v>
      </c>
      <c r="M539" s="16" t="s">
        <v>22</v>
      </c>
      <c r="N539" s="39"/>
    </row>
    <row r="540" spans="1:14" s="12" customFormat="1" ht="38.25">
      <c r="A540" s="178" t="s">
        <v>80</v>
      </c>
      <c r="B540" s="75" t="s">
        <v>665</v>
      </c>
      <c r="C540" s="39" t="s">
        <v>17</v>
      </c>
      <c r="D540" s="236"/>
      <c r="E540" s="236"/>
      <c r="F540" s="236"/>
      <c r="G540" s="236"/>
      <c r="H540" s="40">
        <f>SUM(Tabla132112414[[#This Row],[PRIMER TRIMESTRE]:[CUARTO TRIMESTRE]])</f>
        <v>0</v>
      </c>
      <c r="I540" s="17">
        <f>15950*1.18</f>
        <v>18821</v>
      </c>
      <c r="J540" s="17">
        <f t="shared" si="12"/>
        <v>0</v>
      </c>
      <c r="K540" s="17"/>
      <c r="L540" s="16" t="s">
        <v>18</v>
      </c>
      <c r="M540" s="16" t="s">
        <v>22</v>
      </c>
      <c r="N540" s="39"/>
    </row>
    <row r="541" spans="1:14" s="12" customFormat="1" ht="38.25">
      <c r="A541" s="178" t="s">
        <v>80</v>
      </c>
      <c r="B541" s="75" t="s">
        <v>666</v>
      </c>
      <c r="C541" s="39" t="s">
        <v>17</v>
      </c>
      <c r="D541" s="236"/>
      <c r="E541" s="236"/>
      <c r="F541" s="236"/>
      <c r="G541" s="236"/>
      <c r="H541" s="40">
        <f>SUM(Tabla132112414[[#This Row],[PRIMER TRIMESTRE]:[CUARTO TRIMESTRE]])</f>
        <v>0</v>
      </c>
      <c r="I541" s="17">
        <f>18950*1.18</f>
        <v>22361</v>
      </c>
      <c r="J541" s="17">
        <f t="shared" si="12"/>
        <v>0</v>
      </c>
      <c r="K541" s="17"/>
      <c r="L541" s="16" t="s">
        <v>18</v>
      </c>
      <c r="M541" s="16" t="s">
        <v>22</v>
      </c>
      <c r="N541" s="39"/>
    </row>
    <row r="542" spans="1:14" s="12" customFormat="1" ht="38.25">
      <c r="A542" s="178" t="s">
        <v>80</v>
      </c>
      <c r="B542" s="75" t="s">
        <v>667</v>
      </c>
      <c r="C542" s="39" t="s">
        <v>17</v>
      </c>
      <c r="D542" s="236"/>
      <c r="E542" s="236"/>
      <c r="F542" s="236"/>
      <c r="G542" s="236"/>
      <c r="H542" s="40">
        <f>SUM(Tabla132112414[[#This Row],[PRIMER TRIMESTRE]:[CUARTO TRIMESTRE]])</f>
        <v>0</v>
      </c>
      <c r="I542" s="17">
        <f>23500*1.18</f>
        <v>27730</v>
      </c>
      <c r="J542" s="17">
        <f t="shared" si="12"/>
        <v>0</v>
      </c>
      <c r="K542" s="17"/>
      <c r="L542" s="16" t="s">
        <v>18</v>
      </c>
      <c r="M542" s="16" t="s">
        <v>22</v>
      </c>
      <c r="N542" s="39"/>
    </row>
    <row r="543" spans="1:14" s="12" customFormat="1" ht="38.25">
      <c r="A543" s="178" t="s">
        <v>80</v>
      </c>
      <c r="B543" s="75" t="s">
        <v>668</v>
      </c>
      <c r="C543" s="39" t="s">
        <v>17</v>
      </c>
      <c r="D543" s="236"/>
      <c r="E543" s="236"/>
      <c r="F543" s="236"/>
      <c r="G543" s="236"/>
      <c r="H543" s="40">
        <f>SUM(Tabla132112414[[#This Row],[PRIMER TRIMESTRE]:[CUARTO TRIMESTRE]])</f>
        <v>0</v>
      </c>
      <c r="I543" s="17">
        <f>32800*1.18</f>
        <v>38704</v>
      </c>
      <c r="J543" s="17">
        <f t="shared" si="12"/>
        <v>0</v>
      </c>
      <c r="K543" s="17"/>
      <c r="L543" s="16" t="s">
        <v>18</v>
      </c>
      <c r="M543" s="16" t="s">
        <v>22</v>
      </c>
      <c r="N543" s="39"/>
    </row>
    <row r="544" spans="1:14" s="12" customFormat="1" ht="38.25">
      <c r="A544" s="178" t="s">
        <v>80</v>
      </c>
      <c r="B544" s="75" t="s">
        <v>669</v>
      </c>
      <c r="C544" s="39" t="s">
        <v>17</v>
      </c>
      <c r="D544" s="236"/>
      <c r="E544" s="236"/>
      <c r="F544" s="236"/>
      <c r="G544" s="236"/>
      <c r="H544" s="40">
        <f>SUM(Tabla132112414[[#This Row],[PRIMER TRIMESTRE]:[CUARTO TRIMESTRE]])</f>
        <v>0</v>
      </c>
      <c r="I544" s="17">
        <f>56500*1.18</f>
        <v>66670</v>
      </c>
      <c r="J544" s="17">
        <f t="shared" si="12"/>
        <v>0</v>
      </c>
      <c r="K544" s="17"/>
      <c r="L544" s="16" t="s">
        <v>18</v>
      </c>
      <c r="M544" s="16" t="s">
        <v>22</v>
      </c>
      <c r="N544" s="39"/>
    </row>
    <row r="545" spans="1:14" s="12" customFormat="1" ht="38.25">
      <c r="A545" s="178" t="s">
        <v>80</v>
      </c>
      <c r="B545" s="75" t="s">
        <v>670</v>
      </c>
      <c r="C545" s="39" t="s">
        <v>17</v>
      </c>
      <c r="D545" s="236"/>
      <c r="E545" s="236"/>
      <c r="F545" s="236"/>
      <c r="G545" s="236"/>
      <c r="H545" s="40">
        <f>SUM(Tabla132112414[[#This Row],[PRIMER TRIMESTRE]:[CUARTO TRIMESTRE]])</f>
        <v>0</v>
      </c>
      <c r="I545" s="17">
        <f>74000*1.18</f>
        <v>87320</v>
      </c>
      <c r="J545" s="17">
        <f t="shared" si="12"/>
        <v>0</v>
      </c>
      <c r="K545" s="17"/>
      <c r="L545" s="16" t="s">
        <v>18</v>
      </c>
      <c r="M545" s="16" t="s">
        <v>22</v>
      </c>
      <c r="N545" s="39"/>
    </row>
    <row r="546" spans="1:14" s="12" customFormat="1" ht="38.25">
      <c r="A546" s="178" t="s">
        <v>80</v>
      </c>
      <c r="B546" s="75" t="s">
        <v>671</v>
      </c>
      <c r="C546" s="39" t="s">
        <v>17</v>
      </c>
      <c r="D546" s="236"/>
      <c r="E546" s="236"/>
      <c r="F546" s="236"/>
      <c r="G546" s="236"/>
      <c r="H546" s="40">
        <f>SUM(Tabla132112414[[#This Row],[PRIMER TRIMESTRE]:[CUARTO TRIMESTRE]])</f>
        <v>0</v>
      </c>
      <c r="I546" s="17">
        <f>245000*1.18</f>
        <v>289100</v>
      </c>
      <c r="J546" s="17">
        <f t="shared" si="12"/>
        <v>0</v>
      </c>
      <c r="K546" s="17"/>
      <c r="L546" s="16" t="s">
        <v>18</v>
      </c>
      <c r="M546" s="16" t="s">
        <v>22</v>
      </c>
      <c r="N546" s="39"/>
    </row>
    <row r="547" spans="1:14" s="12" customFormat="1" ht="38.25">
      <c r="A547" s="178" t="s">
        <v>80</v>
      </c>
      <c r="B547" s="75" t="s">
        <v>676</v>
      </c>
      <c r="C547" s="39" t="s">
        <v>17</v>
      </c>
      <c r="D547" s="236"/>
      <c r="E547" s="236"/>
      <c r="F547" s="236"/>
      <c r="G547" s="236"/>
      <c r="H547" s="40">
        <f>SUM(Tabla132112414[[#This Row],[PRIMER TRIMESTRE]:[CUARTO TRIMESTRE]])</f>
        <v>0</v>
      </c>
      <c r="I547" s="17">
        <v>40200</v>
      </c>
      <c r="J547" s="17">
        <f t="shared" si="12"/>
        <v>0</v>
      </c>
      <c r="K547" s="17"/>
      <c r="L547" s="16" t="s">
        <v>18</v>
      </c>
      <c r="M547" s="16" t="s">
        <v>22</v>
      </c>
      <c r="N547" s="39"/>
    </row>
    <row r="548" spans="1:14" s="12" customFormat="1" ht="38.25">
      <c r="A548" s="178" t="s">
        <v>80</v>
      </c>
      <c r="B548" s="75" t="s">
        <v>677</v>
      </c>
      <c r="C548" s="39" t="s">
        <v>17</v>
      </c>
      <c r="D548" s="236"/>
      <c r="E548" s="236"/>
      <c r="F548" s="236"/>
      <c r="G548" s="236"/>
      <c r="H548" s="40">
        <f>SUM(Tabla132112414[[#This Row],[PRIMER TRIMESTRE]:[CUARTO TRIMESTRE]])</f>
        <v>0</v>
      </c>
      <c r="I548" s="17">
        <v>49500</v>
      </c>
      <c r="J548" s="17">
        <f t="shared" si="12"/>
        <v>0</v>
      </c>
      <c r="K548" s="17"/>
      <c r="L548" s="16" t="s">
        <v>18</v>
      </c>
      <c r="M548" s="16" t="s">
        <v>22</v>
      </c>
      <c r="N548" s="39"/>
    </row>
    <row r="549" spans="1:14" s="12" customFormat="1" ht="38.25">
      <c r="A549" s="178" t="s">
        <v>80</v>
      </c>
      <c r="B549" s="75" t="s">
        <v>678</v>
      </c>
      <c r="C549" s="39" t="s">
        <v>17</v>
      </c>
      <c r="D549" s="236"/>
      <c r="E549" s="236"/>
      <c r="F549" s="236"/>
      <c r="G549" s="236"/>
      <c r="H549" s="40">
        <f>SUM(Tabla132112414[[#This Row],[PRIMER TRIMESTRE]:[CUARTO TRIMESTRE]])</f>
        <v>0</v>
      </c>
      <c r="I549" s="17">
        <v>73250</v>
      </c>
      <c r="J549" s="17">
        <f t="shared" si="12"/>
        <v>0</v>
      </c>
      <c r="K549" s="17"/>
      <c r="L549" s="16" t="s">
        <v>18</v>
      </c>
      <c r="M549" s="16" t="s">
        <v>22</v>
      </c>
      <c r="N549" s="39"/>
    </row>
    <row r="550" spans="1:14" s="12" customFormat="1" ht="38.25">
      <c r="A550" s="178" t="s">
        <v>80</v>
      </c>
      <c r="B550" s="75" t="s">
        <v>679</v>
      </c>
      <c r="C550" s="39" t="s">
        <v>17</v>
      </c>
      <c r="D550" s="236"/>
      <c r="E550" s="236"/>
      <c r="F550" s="236"/>
      <c r="G550" s="236"/>
      <c r="H550" s="40">
        <f>SUM(Tabla132112414[[#This Row],[PRIMER TRIMESTRE]:[CUARTO TRIMESTRE]])</f>
        <v>0</v>
      </c>
      <c r="I550" s="72">
        <v>289000</v>
      </c>
      <c r="J550" s="17">
        <f t="shared" ref="J550:J575" si="13">+H550*I550</f>
        <v>0</v>
      </c>
      <c r="K550" s="17"/>
      <c r="L550" s="16" t="s">
        <v>18</v>
      </c>
      <c r="M550" s="16" t="s">
        <v>22</v>
      </c>
      <c r="N550" s="39"/>
    </row>
    <row r="551" spans="1:14" s="12" customFormat="1" ht="51">
      <c r="A551" s="178" t="s">
        <v>80</v>
      </c>
      <c r="B551" s="75" t="s">
        <v>680</v>
      </c>
      <c r="C551" s="39" t="s">
        <v>17</v>
      </c>
      <c r="D551" s="236"/>
      <c r="E551" s="236"/>
      <c r="F551" s="236"/>
      <c r="G551" s="236"/>
      <c r="H551" s="40">
        <f>SUM(Tabla132112414[[#This Row],[PRIMER TRIMESTRE]:[CUARTO TRIMESTRE]])</f>
        <v>0</v>
      </c>
      <c r="I551" s="72">
        <f>26800*1.18</f>
        <v>31624</v>
      </c>
      <c r="J551" s="17">
        <f t="shared" si="13"/>
        <v>0</v>
      </c>
      <c r="K551" s="17"/>
      <c r="L551" s="16" t="s">
        <v>18</v>
      </c>
      <c r="M551" s="16" t="s">
        <v>22</v>
      </c>
      <c r="N551" s="39"/>
    </row>
    <row r="552" spans="1:14" s="12" customFormat="1" ht="51">
      <c r="A552" s="178" t="s">
        <v>80</v>
      </c>
      <c r="B552" s="75" t="s">
        <v>681</v>
      </c>
      <c r="C552" s="39" t="s">
        <v>17</v>
      </c>
      <c r="D552" s="236"/>
      <c r="E552" s="236"/>
      <c r="F552" s="236"/>
      <c r="G552" s="236"/>
      <c r="H552" s="40">
        <f>SUM(Tabla132112414[[#This Row],[PRIMER TRIMESTRE]:[CUARTO TRIMESTRE]])</f>
        <v>0</v>
      </c>
      <c r="I552" s="17">
        <f>39500*1.18</f>
        <v>46610</v>
      </c>
      <c r="J552" s="17">
        <f t="shared" si="13"/>
        <v>0</v>
      </c>
      <c r="K552" s="17"/>
      <c r="L552" s="16" t="s">
        <v>18</v>
      </c>
      <c r="M552" s="16" t="s">
        <v>22</v>
      </c>
      <c r="N552" s="39"/>
    </row>
    <row r="553" spans="1:14" s="12" customFormat="1" ht="51">
      <c r="A553" s="178" t="s">
        <v>80</v>
      </c>
      <c r="B553" s="75" t="s">
        <v>683</v>
      </c>
      <c r="C553" s="39" t="s">
        <v>17</v>
      </c>
      <c r="D553" s="236"/>
      <c r="E553" s="236"/>
      <c r="F553" s="236"/>
      <c r="G553" s="236"/>
      <c r="H553" s="40">
        <f>SUM(Tabla132112414[[#This Row],[PRIMER TRIMESTRE]:[CUARTO TRIMESTRE]])</f>
        <v>0</v>
      </c>
      <c r="I553" s="72">
        <v>68487.199999999997</v>
      </c>
      <c r="J553" s="17">
        <f t="shared" si="13"/>
        <v>0</v>
      </c>
      <c r="K553" s="17"/>
      <c r="L553" s="16" t="s">
        <v>18</v>
      </c>
      <c r="M553" s="16" t="s">
        <v>22</v>
      </c>
      <c r="N553" s="39"/>
    </row>
    <row r="554" spans="1:14" s="12" customFormat="1" ht="51">
      <c r="A554" s="178" t="s">
        <v>80</v>
      </c>
      <c r="B554" s="75" t="s">
        <v>682</v>
      </c>
      <c r="C554" s="39" t="s">
        <v>17</v>
      </c>
      <c r="D554" s="236"/>
      <c r="E554" s="236"/>
      <c r="F554" s="236"/>
      <c r="G554" s="236"/>
      <c r="H554" s="40">
        <f>SUM(Tabla132112414[[#This Row],[PRIMER TRIMESTRE]:[CUARTO TRIMESTRE]])</f>
        <v>0</v>
      </c>
      <c r="I554" s="72">
        <v>304100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</row>
    <row r="555" spans="1:14" s="12" customFormat="1" ht="25.5">
      <c r="A555" s="178" t="s">
        <v>80</v>
      </c>
      <c r="B555" s="75" t="s">
        <v>1720</v>
      </c>
      <c r="C555" s="39" t="s">
        <v>17</v>
      </c>
      <c r="D555" s="236"/>
      <c r="E555" s="236"/>
      <c r="F555" s="236"/>
      <c r="G555" s="236"/>
      <c r="H555" s="40">
        <v>0</v>
      </c>
      <c r="I555" s="72">
        <v>0</v>
      </c>
      <c r="J555" s="17">
        <v>0</v>
      </c>
      <c r="K555" s="17"/>
      <c r="L555" s="16" t="s">
        <v>18</v>
      </c>
      <c r="M555" s="16" t="s">
        <v>22</v>
      </c>
      <c r="N555" s="39"/>
    </row>
    <row r="556" spans="1:14" s="12" customFormat="1" ht="18">
      <c r="A556" s="178" t="s">
        <v>80</v>
      </c>
      <c r="B556" s="75" t="s">
        <v>635</v>
      </c>
      <c r="C556" s="39" t="s">
        <v>17</v>
      </c>
      <c r="D556" s="236"/>
      <c r="E556" s="236"/>
      <c r="F556" s="236"/>
      <c r="G556" s="236"/>
      <c r="H556" s="40">
        <f>SUM(Tabla132112414[[#This Row],[PRIMER TRIMESTRE]:[CUARTO TRIMESTRE]])</f>
        <v>0</v>
      </c>
      <c r="I556" s="17">
        <v>94400</v>
      </c>
      <c r="J556" s="17">
        <f t="shared" si="13"/>
        <v>0</v>
      </c>
      <c r="K556" s="17"/>
      <c r="L556" s="16" t="s">
        <v>18</v>
      </c>
      <c r="M556" s="16" t="s">
        <v>22</v>
      </c>
      <c r="N556" s="39"/>
    </row>
    <row r="557" spans="1:14" s="12" customFormat="1" ht="18">
      <c r="A557" s="178" t="s">
        <v>80</v>
      </c>
      <c r="B557" s="75" t="s">
        <v>636</v>
      </c>
      <c r="C557" s="39" t="s">
        <v>17</v>
      </c>
      <c r="D557" s="236"/>
      <c r="E557" s="236"/>
      <c r="F557" s="236"/>
      <c r="G557" s="236"/>
      <c r="H557" s="40">
        <f>SUM(Tabla132112414[[#This Row],[PRIMER TRIMESTRE]:[CUARTO TRIMESTRE]])</f>
        <v>0</v>
      </c>
      <c r="I557" s="17">
        <v>106200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</row>
    <row r="558" spans="1:14" s="12" customFormat="1" ht="18">
      <c r="A558" s="178" t="s">
        <v>80</v>
      </c>
      <c r="B558" s="75" t="s">
        <v>637</v>
      </c>
      <c r="C558" s="39" t="s">
        <v>17</v>
      </c>
      <c r="D558" s="236"/>
      <c r="E558" s="236"/>
      <c r="F558" s="236"/>
      <c r="G558" s="236"/>
      <c r="H558" s="40">
        <f>SUM(Tabla132112414[[#This Row],[PRIMER TRIMESTRE]:[CUARTO TRIMESTRE]])</f>
        <v>0</v>
      </c>
      <c r="I558" s="17">
        <v>112100</v>
      </c>
      <c r="J558" s="17">
        <f t="shared" si="13"/>
        <v>0</v>
      </c>
      <c r="K558" s="17"/>
      <c r="L558" s="16" t="s">
        <v>18</v>
      </c>
      <c r="M558" s="16" t="s">
        <v>22</v>
      </c>
      <c r="N558" s="39"/>
    </row>
    <row r="559" spans="1:14" s="12" customFormat="1" ht="38.25">
      <c r="A559" s="178" t="s">
        <v>80</v>
      </c>
      <c r="B559" s="75" t="s">
        <v>685</v>
      </c>
      <c r="C559" s="39" t="s">
        <v>17</v>
      </c>
      <c r="D559" s="236"/>
      <c r="E559" s="236"/>
      <c r="F559" s="236"/>
      <c r="G559" s="236"/>
      <c r="H559" s="40">
        <f>SUM(Tabla132112414[[#This Row],[PRIMER TRIMESTRE]:[CUARTO TRIMESTRE]])</f>
        <v>0</v>
      </c>
      <c r="I559" s="17">
        <v>42480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</row>
    <row r="560" spans="1:14" s="12" customFormat="1" ht="38.25">
      <c r="A560" s="178" t="s">
        <v>80</v>
      </c>
      <c r="B560" s="75" t="s">
        <v>686</v>
      </c>
      <c r="C560" s="39" t="s">
        <v>17</v>
      </c>
      <c r="D560" s="236"/>
      <c r="E560" s="236"/>
      <c r="F560" s="236"/>
      <c r="G560" s="236"/>
      <c r="H560" s="40">
        <f>SUM(Tabla132112414[[#This Row],[PRIMER TRIMESTRE]:[CUARTO TRIMESTRE]])</f>
        <v>0</v>
      </c>
      <c r="I560" s="17">
        <v>64900</v>
      </c>
      <c r="J560" s="17">
        <f t="shared" si="13"/>
        <v>0</v>
      </c>
      <c r="K560" s="17"/>
      <c r="L560" s="16" t="s">
        <v>18</v>
      </c>
      <c r="M560" s="16" t="s">
        <v>22</v>
      </c>
      <c r="N560" s="39"/>
    </row>
    <row r="561" spans="1:14" s="12" customFormat="1" ht="38.25">
      <c r="A561" s="178" t="s">
        <v>80</v>
      </c>
      <c r="B561" s="75" t="s">
        <v>687</v>
      </c>
      <c r="C561" s="39" t="s">
        <v>17</v>
      </c>
      <c r="D561" s="236"/>
      <c r="E561" s="236"/>
      <c r="F561" s="236"/>
      <c r="G561" s="236"/>
      <c r="H561" s="40">
        <f>SUM(Tabla132112414[[#This Row],[PRIMER TRIMESTRE]:[CUARTO TRIMESTRE]])</f>
        <v>0</v>
      </c>
      <c r="I561" s="17">
        <v>92040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</row>
    <row r="562" spans="1:14" s="12" customFormat="1" ht="25.5">
      <c r="A562" s="178" t="s">
        <v>80</v>
      </c>
      <c r="B562" s="75" t="s">
        <v>688</v>
      </c>
      <c r="C562" s="39" t="s">
        <v>17</v>
      </c>
      <c r="D562" s="236"/>
      <c r="E562" s="236"/>
      <c r="F562" s="236"/>
      <c r="G562" s="236"/>
      <c r="H562" s="40">
        <f>SUM(Tabla132112414[[#This Row],[PRIMER TRIMESTRE]:[CUARTO TRIMESTRE]])</f>
        <v>0</v>
      </c>
      <c r="I562" s="17">
        <v>6377.7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</row>
    <row r="563" spans="1:14" s="12" customFormat="1" ht="25.5">
      <c r="A563" s="178" t="s">
        <v>80</v>
      </c>
      <c r="B563" s="75" t="s">
        <v>689</v>
      </c>
      <c r="C563" s="39" t="s">
        <v>17</v>
      </c>
      <c r="D563" s="236"/>
      <c r="E563" s="236"/>
      <c r="F563" s="236"/>
      <c r="G563" s="236"/>
      <c r="H563" s="40">
        <f>SUM(Tabla132112414[[#This Row],[PRIMER TRIMESTRE]:[CUARTO TRIMESTRE]])</f>
        <v>0</v>
      </c>
      <c r="I563" s="72">
        <v>6769.1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</row>
    <row r="564" spans="1:14" s="12" customFormat="1" ht="25.5">
      <c r="A564" s="178" t="s">
        <v>80</v>
      </c>
      <c r="B564" s="75" t="s">
        <v>690</v>
      </c>
      <c r="C564" s="39" t="s">
        <v>17</v>
      </c>
      <c r="D564" s="236"/>
      <c r="E564" s="236"/>
      <c r="F564" s="236"/>
      <c r="G564" s="236"/>
      <c r="H564" s="40">
        <f>SUM(Tabla132112414[[#This Row],[PRIMER TRIMESTRE]:[CUARTO TRIMESTRE]])</f>
        <v>0</v>
      </c>
      <c r="I564" s="72">
        <v>6890.2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</row>
    <row r="565" spans="1:14" s="12" customFormat="1" ht="25.5">
      <c r="A565" s="178" t="s">
        <v>80</v>
      </c>
      <c r="B565" s="75" t="s">
        <v>905</v>
      </c>
      <c r="C565" s="39" t="s">
        <v>17</v>
      </c>
      <c r="D565" s="236"/>
      <c r="E565" s="236"/>
      <c r="F565" s="236"/>
      <c r="G565" s="236"/>
      <c r="H565" s="40">
        <f>SUM(Tabla132112414[[#This Row],[PRIMER TRIMESTRE]:[CUARTO TRIMESTRE]])</f>
        <v>0</v>
      </c>
      <c r="I565" s="72">
        <f>+I564*1.15</f>
        <v>7923.73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</row>
    <row r="566" spans="1:14" s="12" customFormat="1" ht="25.5">
      <c r="A566" s="178" t="s">
        <v>80</v>
      </c>
      <c r="B566" s="75" t="s">
        <v>691</v>
      </c>
      <c r="C566" s="39" t="s">
        <v>17</v>
      </c>
      <c r="D566" s="236"/>
      <c r="E566" s="236"/>
      <c r="F566" s="236"/>
      <c r="G566" s="236"/>
      <c r="H566" s="40">
        <f>SUM(Tabla132112414[[#This Row],[PRIMER TRIMESTRE]:[CUARTO TRIMESTRE]])</f>
        <v>0</v>
      </c>
      <c r="I566" s="72">
        <f>2500*1.18</f>
        <v>2950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</row>
    <row r="567" spans="1:14" s="12" customFormat="1" ht="25.5">
      <c r="A567" s="178" t="s">
        <v>80</v>
      </c>
      <c r="B567" s="75" t="s">
        <v>692</v>
      </c>
      <c r="C567" s="39" t="s">
        <v>17</v>
      </c>
      <c r="D567" s="236"/>
      <c r="E567" s="236"/>
      <c r="F567" s="236"/>
      <c r="G567" s="236"/>
      <c r="H567" s="40">
        <f>SUM(Tabla132112414[[#This Row],[PRIMER TRIMESTRE]:[CUARTO TRIMESTRE]])</f>
        <v>0</v>
      </c>
      <c r="I567" s="72">
        <v>20380.96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</row>
    <row r="568" spans="1:14" s="12" customFormat="1" ht="25.5">
      <c r="A568" s="178" t="s">
        <v>80</v>
      </c>
      <c r="B568" s="75" t="s">
        <v>693</v>
      </c>
      <c r="C568" s="39" t="s">
        <v>17</v>
      </c>
      <c r="D568" s="236"/>
      <c r="E568" s="236"/>
      <c r="F568" s="236"/>
      <c r="G568" s="236"/>
      <c r="H568" s="40">
        <f>SUM(Tabla132112414[[#This Row],[PRIMER TRIMESTRE]:[CUARTO TRIMESTRE]])</f>
        <v>0</v>
      </c>
      <c r="I568" s="72">
        <v>29236.86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</row>
    <row r="569" spans="1:14" s="12" customFormat="1" ht="18">
      <c r="A569" s="178" t="s">
        <v>80</v>
      </c>
      <c r="B569" s="75" t="s">
        <v>454</v>
      </c>
      <c r="C569" s="39" t="s">
        <v>17</v>
      </c>
      <c r="D569" s="236"/>
      <c r="E569" s="236"/>
      <c r="F569" s="236"/>
      <c r="G569" s="236"/>
      <c r="H569" s="40">
        <f>SUM(Tabla132112414[[#This Row],[PRIMER TRIMESTRE]:[CUARTO TRIMESTRE]])</f>
        <v>0</v>
      </c>
      <c r="I569" s="72">
        <v>236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</row>
    <row r="570" spans="1:14" s="12" customFormat="1" ht="18">
      <c r="A570" s="178" t="s">
        <v>80</v>
      </c>
      <c r="B570" s="75" t="s">
        <v>455</v>
      </c>
      <c r="C570" s="39" t="s">
        <v>17</v>
      </c>
      <c r="D570" s="236"/>
      <c r="E570" s="236"/>
      <c r="F570" s="236"/>
      <c r="G570" s="236"/>
      <c r="H570" s="40">
        <f>SUM(Tabla132112414[[#This Row],[PRIMER TRIMESTRE]:[CUARTO TRIMESTRE]])</f>
        <v>0</v>
      </c>
      <c r="I570" s="72">
        <v>344.56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</row>
    <row r="571" spans="1:14" s="12" customFormat="1" ht="18">
      <c r="A571" s="178" t="s">
        <v>80</v>
      </c>
      <c r="B571" s="75" t="s">
        <v>456</v>
      </c>
      <c r="C571" s="39" t="s">
        <v>17</v>
      </c>
      <c r="D571" s="236"/>
      <c r="E571" s="236"/>
      <c r="F571" s="236"/>
      <c r="G571" s="236"/>
      <c r="H571" s="40">
        <f>SUM(Tabla132112414[[#This Row],[PRIMER TRIMESTRE]:[CUARTO TRIMESTRE]])</f>
        <v>0</v>
      </c>
      <c r="I571" s="72">
        <v>499.14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</row>
    <row r="572" spans="1:14" s="12" customFormat="1" ht="18">
      <c r="A572" s="178" t="s">
        <v>80</v>
      </c>
      <c r="B572" s="75" t="s">
        <v>457</v>
      </c>
      <c r="C572" s="39" t="s">
        <v>17</v>
      </c>
      <c r="D572" s="236"/>
      <c r="E572" s="236"/>
      <c r="F572" s="236"/>
      <c r="G572" s="236"/>
      <c r="H572" s="40">
        <f>SUM(Tabla132112414[[#This Row],[PRIMER TRIMESTRE]:[CUARTO TRIMESTRE]])</f>
        <v>0</v>
      </c>
      <c r="I572" s="72">
        <v>1598.9</v>
      </c>
      <c r="J572" s="17">
        <f t="shared" si="13"/>
        <v>0</v>
      </c>
      <c r="K572" s="17"/>
      <c r="L572" s="17" t="s">
        <v>18</v>
      </c>
      <c r="M572" s="16" t="s">
        <v>22</v>
      </c>
      <c r="N572" s="39"/>
    </row>
    <row r="573" spans="1:14" s="12" customFormat="1" ht="18">
      <c r="A573" s="178" t="s">
        <v>80</v>
      </c>
      <c r="B573" s="75" t="s">
        <v>458</v>
      </c>
      <c r="C573" s="39" t="s">
        <v>17</v>
      </c>
      <c r="D573" s="236"/>
      <c r="E573" s="236"/>
      <c r="F573" s="236"/>
      <c r="G573" s="236"/>
      <c r="H573" s="40">
        <f>SUM(Tabla132112414[[#This Row],[PRIMER TRIMESTRE]:[CUARTO TRIMESTRE]])</f>
        <v>0</v>
      </c>
      <c r="I573" s="72">
        <v>1849.06</v>
      </c>
      <c r="J573" s="17">
        <f t="shared" si="13"/>
        <v>0</v>
      </c>
      <c r="K573" s="17"/>
      <c r="L573" s="17" t="s">
        <v>18</v>
      </c>
      <c r="M573" s="16" t="s">
        <v>22</v>
      </c>
      <c r="N573" s="39"/>
    </row>
    <row r="574" spans="1:14" s="26" customFormat="1" ht="18">
      <c r="A574" s="178" t="s">
        <v>80</v>
      </c>
      <c r="B574" s="75" t="s">
        <v>801</v>
      </c>
      <c r="C574" s="39" t="s">
        <v>17</v>
      </c>
      <c r="D574" s="236"/>
      <c r="E574" s="236"/>
      <c r="F574" s="236"/>
      <c r="G574" s="236"/>
      <c r="H574" s="40">
        <f>SUM(Tabla132112414[[#This Row],[PRIMER TRIMESTRE]:[CUARTO TRIMESTRE]])</f>
        <v>0</v>
      </c>
      <c r="I574" s="72">
        <v>5444</v>
      </c>
      <c r="J574" s="17">
        <f t="shared" si="13"/>
        <v>0</v>
      </c>
      <c r="K574" s="17"/>
      <c r="L574" s="17" t="s">
        <v>18</v>
      </c>
      <c r="M574" s="16" t="s">
        <v>22</v>
      </c>
      <c r="N574" s="39"/>
    </row>
    <row r="575" spans="1:14" s="12" customFormat="1" ht="18">
      <c r="A575" s="178" t="s">
        <v>80</v>
      </c>
      <c r="B575" s="75" t="s">
        <v>802</v>
      </c>
      <c r="C575" s="39" t="s">
        <v>17</v>
      </c>
      <c r="D575" s="236"/>
      <c r="E575" s="236"/>
      <c r="F575" s="236"/>
      <c r="G575" s="236"/>
      <c r="H575" s="40">
        <f>SUM(Tabla132112414[[#This Row],[PRIMER TRIMESTRE]:[CUARTO TRIMESTRE]])</f>
        <v>0</v>
      </c>
      <c r="I575" s="72">
        <v>6844</v>
      </c>
      <c r="J575" s="17">
        <f t="shared" si="13"/>
        <v>0</v>
      </c>
      <c r="K575" s="17"/>
      <c r="L575" s="17" t="s">
        <v>18</v>
      </c>
      <c r="M575" s="16" t="s">
        <v>22</v>
      </c>
      <c r="N575" s="39"/>
    </row>
    <row r="576" spans="1:14" s="12" customFormat="1" ht="18">
      <c r="A576" s="179" t="s">
        <v>80</v>
      </c>
      <c r="B576" s="76"/>
      <c r="C576" s="42"/>
      <c r="D576" s="237"/>
      <c r="E576" s="237"/>
      <c r="F576" s="237"/>
      <c r="G576" s="237"/>
      <c r="H576" s="43"/>
      <c r="I576" s="24"/>
      <c r="J576" s="24"/>
      <c r="K576" s="25">
        <f>SUM(J201:J575)</f>
        <v>0</v>
      </c>
      <c r="L576" s="23"/>
      <c r="M576" s="23"/>
      <c r="N576" s="42"/>
    </row>
    <row r="577" spans="1:14" s="12" customFormat="1" ht="18">
      <c r="A577" s="178" t="s">
        <v>81</v>
      </c>
      <c r="B577" s="75" t="s">
        <v>207</v>
      </c>
      <c r="C577" s="39" t="s">
        <v>33</v>
      </c>
      <c r="D577" s="236">
        <v>4</v>
      </c>
      <c r="E577" s="236"/>
      <c r="F577" s="236"/>
      <c r="G577" s="236"/>
      <c r="H577" s="40">
        <f>SUM(Tabla132112414[[#This Row],[PRIMER TRIMESTRE]:[CUARTO TRIMESTRE]])</f>
        <v>4</v>
      </c>
      <c r="I577" s="17">
        <v>871.93</v>
      </c>
      <c r="J577" s="17">
        <f>+Tabla132112414[[#This Row],[CANTIDAD TOTAL]]*Tabla132112414[[#This Row],[PRECIO UNITARIO ESTIMADO]]</f>
        <v>3487.72</v>
      </c>
      <c r="K577" s="17"/>
      <c r="L577" s="17" t="s">
        <v>18</v>
      </c>
      <c r="M577" s="16" t="s">
        <v>22</v>
      </c>
      <c r="N577" s="39" t="s">
        <v>418</v>
      </c>
    </row>
    <row r="578" spans="1:14" s="12" customFormat="1" ht="18">
      <c r="A578" s="178" t="s">
        <v>81</v>
      </c>
      <c r="B578" s="75" t="s">
        <v>1279</v>
      </c>
      <c r="C578" s="39" t="s">
        <v>33</v>
      </c>
      <c r="D578" s="236"/>
      <c r="E578" s="236"/>
      <c r="F578" s="236"/>
      <c r="G578" s="236"/>
      <c r="H578" s="40">
        <f>SUM(Tabla132112414[[#This Row],[PRIMER TRIMESTRE]:[CUARTO TRIMESTRE]])</f>
        <v>0</v>
      </c>
      <c r="I578" s="17">
        <v>871.93</v>
      </c>
      <c r="J578" s="17">
        <f t="shared" ref="J578:J584" si="14">+H578*I578</f>
        <v>0</v>
      </c>
      <c r="K578" s="17"/>
      <c r="L578" s="17" t="s">
        <v>18</v>
      </c>
      <c r="M578" s="16" t="s">
        <v>22</v>
      </c>
      <c r="N578" s="39" t="s">
        <v>418</v>
      </c>
    </row>
    <row r="579" spans="1:14" s="12" customFormat="1" ht="18">
      <c r="A579" s="178" t="s">
        <v>81</v>
      </c>
      <c r="B579" s="75" t="s">
        <v>1424</v>
      </c>
      <c r="C579" s="39" t="s">
        <v>33</v>
      </c>
      <c r="D579" s="236"/>
      <c r="E579" s="236"/>
      <c r="F579" s="236"/>
      <c r="G579" s="236"/>
      <c r="H579" s="40">
        <f>SUM(Tabla132112414[[#This Row],[PRIMER TRIMESTRE]:[CUARTO TRIMESTRE]])</f>
        <v>0</v>
      </c>
      <c r="I579" s="17">
        <v>871.93</v>
      </c>
      <c r="J579" s="17">
        <f t="shared" si="14"/>
        <v>0</v>
      </c>
      <c r="K579" s="17"/>
      <c r="L579" s="17" t="s">
        <v>18</v>
      </c>
      <c r="M579" s="16" t="s">
        <v>22</v>
      </c>
      <c r="N579" s="39" t="s">
        <v>418</v>
      </c>
    </row>
    <row r="580" spans="1:14" s="12" customFormat="1" ht="18">
      <c r="A580" s="178" t="s">
        <v>81</v>
      </c>
      <c r="B580" s="75" t="s">
        <v>1347</v>
      </c>
      <c r="C580" s="39" t="s">
        <v>33</v>
      </c>
      <c r="D580" s="236"/>
      <c r="E580" s="236"/>
      <c r="F580" s="236"/>
      <c r="G580" s="236"/>
      <c r="H580" s="40">
        <f>SUM(Tabla132112414[[#This Row],[PRIMER TRIMESTRE]:[CUARTO TRIMESTRE]])</f>
        <v>0</v>
      </c>
      <c r="I580" s="17">
        <v>767</v>
      </c>
      <c r="J580" s="17">
        <f t="shared" si="14"/>
        <v>0</v>
      </c>
      <c r="K580" s="17"/>
      <c r="L580" s="17" t="s">
        <v>18</v>
      </c>
      <c r="M580" s="16" t="s">
        <v>22</v>
      </c>
      <c r="N580" s="39" t="s">
        <v>418</v>
      </c>
    </row>
    <row r="581" spans="1:14" s="12" customFormat="1" ht="18">
      <c r="A581" s="178" t="s">
        <v>81</v>
      </c>
      <c r="B581" s="75" t="s">
        <v>1280</v>
      </c>
      <c r="C581" s="39" t="s">
        <v>33</v>
      </c>
      <c r="D581" s="236"/>
      <c r="E581" s="236"/>
      <c r="F581" s="236"/>
      <c r="G581" s="236"/>
      <c r="H581" s="40">
        <f>SUM(Tabla132112414[[#This Row],[PRIMER TRIMESTRE]:[CUARTO TRIMESTRE]])</f>
        <v>0</v>
      </c>
      <c r="I581" s="17">
        <v>871.93</v>
      </c>
      <c r="J581" s="17">
        <f t="shared" si="14"/>
        <v>0</v>
      </c>
      <c r="K581" s="17"/>
      <c r="L581" s="17" t="s">
        <v>18</v>
      </c>
      <c r="M581" s="16" t="s">
        <v>22</v>
      </c>
      <c r="N581" s="39" t="s">
        <v>418</v>
      </c>
    </row>
    <row r="582" spans="1:14" s="12" customFormat="1" ht="18">
      <c r="A582" s="178" t="s">
        <v>81</v>
      </c>
      <c r="B582" s="75" t="s">
        <v>1345</v>
      </c>
      <c r="C582" s="39" t="s">
        <v>33</v>
      </c>
      <c r="D582" s="236"/>
      <c r="E582" s="236"/>
      <c r="F582" s="236"/>
      <c r="G582" s="236"/>
      <c r="H582" s="40">
        <f>SUM(Tabla132112414[[#This Row],[PRIMER TRIMESTRE]:[CUARTO TRIMESTRE]])</f>
        <v>0</v>
      </c>
      <c r="I582" s="17">
        <v>350</v>
      </c>
      <c r="J582" s="17">
        <f t="shared" si="14"/>
        <v>0</v>
      </c>
      <c r="K582" s="17"/>
      <c r="L582" s="17" t="s">
        <v>18</v>
      </c>
      <c r="M582" s="16" t="s">
        <v>22</v>
      </c>
      <c r="N582" s="39" t="s">
        <v>418</v>
      </c>
    </row>
    <row r="583" spans="1:14" s="26" customFormat="1" ht="18">
      <c r="A583" s="178" t="s">
        <v>81</v>
      </c>
      <c r="B583" s="75" t="s">
        <v>1425</v>
      </c>
      <c r="C583" s="39" t="s">
        <v>33</v>
      </c>
      <c r="D583" s="236"/>
      <c r="E583" s="236"/>
      <c r="F583" s="236"/>
      <c r="G583" s="236"/>
      <c r="H583" s="40">
        <f>SUM(Tabla132112414[[#This Row],[PRIMER TRIMESTRE]:[CUARTO TRIMESTRE]])</f>
        <v>0</v>
      </c>
      <c r="I583" s="17">
        <v>863.54</v>
      </c>
      <c r="J583" s="17">
        <f t="shared" si="14"/>
        <v>0</v>
      </c>
      <c r="K583" s="17"/>
      <c r="L583" s="17" t="s">
        <v>18</v>
      </c>
      <c r="M583" s="16" t="s">
        <v>22</v>
      </c>
      <c r="N583" s="39" t="s">
        <v>418</v>
      </c>
    </row>
    <row r="584" spans="1:14" s="26" customFormat="1" ht="18">
      <c r="A584" s="178" t="s">
        <v>81</v>
      </c>
      <c r="B584" s="75" t="s">
        <v>1434</v>
      </c>
      <c r="C584" s="39" t="s">
        <v>33</v>
      </c>
      <c r="D584" s="236"/>
      <c r="E584" s="236"/>
      <c r="F584" s="236"/>
      <c r="G584" s="236"/>
      <c r="H584" s="40">
        <f>SUM(Tabla132112414[[#This Row],[PRIMER TRIMESTRE]:[CUARTO TRIMESTRE]])</f>
        <v>0</v>
      </c>
      <c r="I584" s="17">
        <v>1165</v>
      </c>
      <c r="J584" s="17">
        <f t="shared" si="14"/>
        <v>0</v>
      </c>
      <c r="K584" s="17"/>
      <c r="L584" s="17" t="s">
        <v>18</v>
      </c>
      <c r="M584" s="16" t="s">
        <v>22</v>
      </c>
      <c r="N584" s="39" t="s">
        <v>418</v>
      </c>
    </row>
    <row r="585" spans="1:14" s="26" customFormat="1" ht="18">
      <c r="A585" s="179" t="s">
        <v>81</v>
      </c>
      <c r="B585" s="76"/>
      <c r="C585" s="42"/>
      <c r="D585" s="237"/>
      <c r="E585" s="237"/>
      <c r="F585" s="237"/>
      <c r="G585" s="237"/>
      <c r="H585" s="43"/>
      <c r="I585" s="24"/>
      <c r="J585" s="24"/>
      <c r="K585" s="25">
        <f>SUM(J577:J584)</f>
        <v>3487.72</v>
      </c>
      <c r="L585" s="23"/>
      <c r="M585" s="23"/>
      <c r="N585" s="42"/>
    </row>
    <row r="586" spans="1:14" s="26" customFormat="1" ht="18">
      <c r="A586" s="178" t="s">
        <v>95</v>
      </c>
      <c r="B586" s="75" t="s">
        <v>1468</v>
      </c>
      <c r="C586" s="39" t="s">
        <v>17</v>
      </c>
      <c r="D586" s="236"/>
      <c r="E586" s="236"/>
      <c r="F586" s="236"/>
      <c r="G586" s="236"/>
      <c r="H586" s="40">
        <f>SUM(Tabla132112414[[#This Row],[PRIMER TRIMESTRE]:[CUARTO TRIMESTRE]])</f>
        <v>0</v>
      </c>
      <c r="I586" s="17">
        <v>3169.99</v>
      </c>
      <c r="J586" s="17">
        <f t="shared" ref="J586:J592" si="15">+H586*I586</f>
        <v>0</v>
      </c>
      <c r="K586" s="17"/>
      <c r="L586" s="16" t="s">
        <v>18</v>
      </c>
      <c r="M586" s="16" t="s">
        <v>22</v>
      </c>
      <c r="N586" s="39" t="s">
        <v>418</v>
      </c>
    </row>
    <row r="587" spans="1:14" s="26" customFormat="1" ht="18">
      <c r="A587" s="178" t="s">
        <v>95</v>
      </c>
      <c r="B587" s="75" t="s">
        <v>1469</v>
      </c>
      <c r="C587" s="39" t="s">
        <v>17</v>
      </c>
      <c r="D587" s="236"/>
      <c r="E587" s="236"/>
      <c r="F587" s="236"/>
      <c r="G587" s="236"/>
      <c r="H587" s="40">
        <f>SUM(Tabla132112414[[#This Row],[PRIMER TRIMESTRE]:[CUARTO TRIMESTRE]])</f>
        <v>0</v>
      </c>
      <c r="I587" s="17">
        <v>4920</v>
      </c>
      <c r="J587" s="17">
        <f t="shared" si="15"/>
        <v>0</v>
      </c>
      <c r="K587" s="17"/>
      <c r="L587" s="16" t="s">
        <v>18</v>
      </c>
      <c r="M587" s="16" t="s">
        <v>22</v>
      </c>
      <c r="N587" s="178"/>
    </row>
    <row r="588" spans="1:14" s="12" customFormat="1" ht="18">
      <c r="A588" s="178" t="s">
        <v>95</v>
      </c>
      <c r="B588" s="75" t="s">
        <v>1470</v>
      </c>
      <c r="C588" s="39" t="s">
        <v>17</v>
      </c>
      <c r="D588" s="236"/>
      <c r="E588" s="236"/>
      <c r="F588" s="236"/>
      <c r="G588" s="236"/>
      <c r="H588" s="40">
        <f>SUM(Tabla132112414[[#This Row],[PRIMER TRIMESTRE]:[CUARTO TRIMESTRE]])</f>
        <v>0</v>
      </c>
      <c r="I588" s="17">
        <v>1521</v>
      </c>
      <c r="J588" s="17">
        <f t="shared" si="15"/>
        <v>0</v>
      </c>
      <c r="K588" s="17"/>
      <c r="L588" s="16" t="s">
        <v>18</v>
      </c>
      <c r="M588" s="16" t="s">
        <v>22</v>
      </c>
      <c r="N588" s="39" t="s">
        <v>418</v>
      </c>
    </row>
    <row r="589" spans="1:14" s="12" customFormat="1" ht="18">
      <c r="A589" s="178" t="s">
        <v>95</v>
      </c>
      <c r="B589" s="75" t="s">
        <v>1471</v>
      </c>
      <c r="C589" s="39" t="s">
        <v>17</v>
      </c>
      <c r="D589" s="236"/>
      <c r="E589" s="236"/>
      <c r="F589" s="236"/>
      <c r="G589" s="236"/>
      <c r="H589" s="40">
        <f>SUM(Tabla132112414[[#This Row],[PRIMER TRIMESTRE]:[CUARTO TRIMESTRE]])</f>
        <v>0</v>
      </c>
      <c r="I589" s="17">
        <v>2028</v>
      </c>
      <c r="J589" s="17">
        <f t="shared" si="15"/>
        <v>0</v>
      </c>
      <c r="K589" s="17"/>
      <c r="L589" s="16" t="s">
        <v>18</v>
      </c>
      <c r="M589" s="16" t="s">
        <v>22</v>
      </c>
      <c r="N589" s="39" t="s">
        <v>418</v>
      </c>
    </row>
    <row r="590" spans="1:14" s="12" customFormat="1" ht="25.5">
      <c r="A590" s="178" t="s">
        <v>95</v>
      </c>
      <c r="B590" s="75" t="str">
        <f ca="1">+UPPER(Tabla132112414[[#This Row],[DESCRIPCIÓN DE LA COMPRA O CONTRATACIÓN]])</f>
        <v>LÁMPARA FLUORESCENTE, DE 2 X 4 PIES, 32 WATTS, COMPLETA</v>
      </c>
      <c r="C590" s="39" t="s">
        <v>17</v>
      </c>
      <c r="D590" s="236"/>
      <c r="E590" s="236"/>
      <c r="F590" s="236"/>
      <c r="G590" s="236"/>
      <c r="H590" s="40">
        <f>SUM(Tabla132112414[[#This Row],[PRIMER TRIMESTRE]:[CUARTO TRIMESTRE]])</f>
        <v>0</v>
      </c>
      <c r="I590" s="17">
        <v>63.44</v>
      </c>
      <c r="J590" s="17">
        <f t="shared" si="15"/>
        <v>0</v>
      </c>
      <c r="K590" s="17"/>
      <c r="L590" s="16" t="s">
        <v>15</v>
      </c>
      <c r="M590" s="16" t="s">
        <v>22</v>
      </c>
      <c r="N590" s="39"/>
    </row>
    <row r="591" spans="1:14" s="12" customFormat="1" ht="18">
      <c r="A591" s="178" t="s">
        <v>95</v>
      </c>
      <c r="B591" s="75" t="s">
        <v>1539</v>
      </c>
      <c r="C591" s="39" t="s">
        <v>17</v>
      </c>
      <c r="D591" s="236"/>
      <c r="E591" s="236"/>
      <c r="F591" s="236"/>
      <c r="G591" s="236"/>
      <c r="H591" s="40">
        <f>SUM(Tabla132112414[[#This Row],[PRIMER TRIMESTRE]:[CUARTO TRIMESTRE]])</f>
        <v>0</v>
      </c>
      <c r="I591" s="17">
        <v>45</v>
      </c>
      <c r="J591" s="17">
        <f t="shared" si="15"/>
        <v>0</v>
      </c>
      <c r="K591" s="17"/>
      <c r="L591" s="16" t="s">
        <v>18</v>
      </c>
      <c r="M591" s="16" t="s">
        <v>22</v>
      </c>
      <c r="N591" s="39" t="s">
        <v>418</v>
      </c>
    </row>
    <row r="592" spans="1:14" s="12" customFormat="1" ht="18">
      <c r="A592" s="178" t="s">
        <v>95</v>
      </c>
      <c r="B592" s="75" t="s">
        <v>1540</v>
      </c>
      <c r="C592" s="39" t="s">
        <v>17</v>
      </c>
      <c r="D592" s="236"/>
      <c r="E592" s="236"/>
      <c r="F592" s="236"/>
      <c r="G592" s="236"/>
      <c r="H592" s="40">
        <f>SUM(Tabla132112414[[#This Row],[PRIMER TRIMESTRE]:[CUARTO TRIMESTRE]])</f>
        <v>0</v>
      </c>
      <c r="I592" s="17">
        <v>45</v>
      </c>
      <c r="J592" s="17">
        <f t="shared" si="15"/>
        <v>0</v>
      </c>
      <c r="K592" s="17"/>
      <c r="L592" s="16" t="s">
        <v>18</v>
      </c>
      <c r="M592" s="16" t="s">
        <v>22</v>
      </c>
      <c r="N592" s="39" t="s">
        <v>418</v>
      </c>
    </row>
    <row r="593" spans="1:14" s="12" customFormat="1" ht="18">
      <c r="A593" s="178" t="s">
        <v>95</v>
      </c>
      <c r="B593" s="75" t="s">
        <v>209</v>
      </c>
      <c r="C593" s="39" t="s">
        <v>17</v>
      </c>
      <c r="D593" s="236"/>
      <c r="E593" s="236"/>
      <c r="F593" s="236"/>
      <c r="G593" s="236"/>
      <c r="H593" s="40">
        <f>SUM(Tabla132112414[[#This Row],[PRIMER TRIMESTRE]:[CUARTO TRIMESTRE]])</f>
        <v>0</v>
      </c>
      <c r="I593" s="17">
        <v>1417.52</v>
      </c>
      <c r="J593" s="17">
        <f>+Tabla132112414[[#This Row],[CANTIDAD TOTAL]]*Tabla132112414[[#This Row],[PRECIO UNITARIO ESTIMADO]]</f>
        <v>0</v>
      </c>
      <c r="K593" s="17"/>
      <c r="L593" s="16" t="s">
        <v>27</v>
      </c>
      <c r="M593" s="16" t="s">
        <v>22</v>
      </c>
      <c r="N593" s="39"/>
    </row>
    <row r="594" spans="1:14" s="12" customFormat="1" ht="18">
      <c r="A594" s="178" t="s">
        <v>95</v>
      </c>
      <c r="B594" s="75" t="s">
        <v>1467</v>
      </c>
      <c r="C594" s="39" t="s">
        <v>17</v>
      </c>
      <c r="D594" s="236"/>
      <c r="E594" s="236"/>
      <c r="F594" s="236"/>
      <c r="G594" s="236"/>
      <c r="H594" s="236">
        <f>SUM(Tabla132112414[[#This Row],[PRIMER TRIMESTRE]:[CUARTO TRIMESTRE]])</f>
        <v>0</v>
      </c>
      <c r="I594" s="17">
        <v>5268.24</v>
      </c>
      <c r="J594" s="17">
        <f t="shared" ref="J594:J603" si="16">+H594*I594</f>
        <v>0</v>
      </c>
      <c r="K594" s="17"/>
      <c r="L594" s="16" t="s">
        <v>18</v>
      </c>
      <c r="M594" s="16" t="s">
        <v>22</v>
      </c>
      <c r="N594" s="39" t="s">
        <v>418</v>
      </c>
    </row>
    <row r="595" spans="1:14" s="12" customFormat="1" ht="25.5">
      <c r="A595" s="178" t="s">
        <v>95</v>
      </c>
      <c r="B595" s="77" t="s">
        <v>881</v>
      </c>
      <c r="C595" s="39" t="s">
        <v>17</v>
      </c>
      <c r="D595" s="236"/>
      <c r="E595" s="236"/>
      <c r="F595" s="236"/>
      <c r="G595" s="236"/>
      <c r="H595" s="40">
        <f>SUM(Tabla132112414[[#This Row],[PRIMER TRIMESTRE]:[CUARTO TRIMESTRE]])</f>
        <v>0</v>
      </c>
      <c r="I595" s="17">
        <v>877.77</v>
      </c>
      <c r="J595" s="17">
        <f t="shared" si="16"/>
        <v>0</v>
      </c>
      <c r="K595" s="17"/>
      <c r="L595" s="16" t="s">
        <v>15</v>
      </c>
      <c r="M595" s="16" t="s">
        <v>22</v>
      </c>
      <c r="N595" s="39"/>
    </row>
    <row r="596" spans="1:14" s="12" customFormat="1" ht="25.5">
      <c r="A596" s="178" t="s">
        <v>95</v>
      </c>
      <c r="B596" s="77" t="s">
        <v>1624</v>
      </c>
      <c r="C596" s="39" t="s">
        <v>17</v>
      </c>
      <c r="D596" s="236"/>
      <c r="E596" s="236"/>
      <c r="F596" s="236"/>
      <c r="G596" s="236"/>
      <c r="H596" s="236">
        <f>SUM(Tabla132112414[[#This Row],[PRIMER TRIMESTRE]:[CUARTO TRIMESTRE]])</f>
        <v>0</v>
      </c>
      <c r="I596" s="17">
        <v>4800</v>
      </c>
      <c r="J596" s="17">
        <f t="shared" si="16"/>
        <v>0</v>
      </c>
      <c r="K596" s="17"/>
      <c r="L596" s="16" t="s">
        <v>18</v>
      </c>
      <c r="M596" s="16" t="s">
        <v>22</v>
      </c>
      <c r="N596" s="39"/>
    </row>
    <row r="597" spans="1:14" s="12" customFormat="1" ht="25.5">
      <c r="A597" s="178" t="s">
        <v>95</v>
      </c>
      <c r="B597" s="77" t="s">
        <v>1593</v>
      </c>
      <c r="C597" s="39" t="s">
        <v>17</v>
      </c>
      <c r="D597" s="236"/>
      <c r="E597" s="236"/>
      <c r="F597" s="236"/>
      <c r="G597" s="236"/>
      <c r="H597" s="236">
        <f>SUM(Tabla132112414[[#This Row],[PRIMER TRIMESTRE]:[CUARTO TRIMESTRE]])</f>
        <v>0</v>
      </c>
      <c r="I597" s="17">
        <v>1980</v>
      </c>
      <c r="J597" s="17">
        <f t="shared" si="16"/>
        <v>0</v>
      </c>
      <c r="K597" s="17"/>
      <c r="L597" s="16" t="s">
        <v>18</v>
      </c>
      <c r="M597" s="16" t="s">
        <v>22</v>
      </c>
      <c r="N597" s="39"/>
    </row>
    <row r="598" spans="1:14" s="12" customFormat="1" ht="18">
      <c r="A598" s="178" t="s">
        <v>95</v>
      </c>
      <c r="B598" s="77" t="s">
        <v>1544</v>
      </c>
      <c r="C598" s="39" t="s">
        <v>17</v>
      </c>
      <c r="D598" s="236"/>
      <c r="E598" s="236"/>
      <c r="F598" s="236"/>
      <c r="G598" s="236"/>
      <c r="H598" s="236">
        <f>SUM(Tabla132112414[[#This Row],[PRIMER TRIMESTRE]:[CUARTO TRIMESTRE]])</f>
        <v>0</v>
      </c>
      <c r="I598" s="17">
        <v>68</v>
      </c>
      <c r="J598" s="17">
        <f t="shared" si="16"/>
        <v>0</v>
      </c>
      <c r="K598" s="17"/>
      <c r="L598" s="16" t="s">
        <v>18</v>
      </c>
      <c r="M598" s="16" t="s">
        <v>22</v>
      </c>
      <c r="N598" s="39"/>
    </row>
    <row r="599" spans="1:14" s="12" customFormat="1" ht="18">
      <c r="A599" s="178" t="s">
        <v>95</v>
      </c>
      <c r="B599" s="77" t="s">
        <v>1543</v>
      </c>
      <c r="C599" s="39" t="s">
        <v>17</v>
      </c>
      <c r="D599" s="236"/>
      <c r="E599" s="236"/>
      <c r="F599" s="236"/>
      <c r="G599" s="236"/>
      <c r="H599" s="236">
        <f>SUM(Tabla132112414[[#This Row],[PRIMER TRIMESTRE]:[CUARTO TRIMESTRE]])</f>
        <v>0</v>
      </c>
      <c r="I599" s="17">
        <v>161.28</v>
      </c>
      <c r="J599" s="17">
        <f t="shared" si="16"/>
        <v>0</v>
      </c>
      <c r="K599" s="17"/>
      <c r="L599" s="16" t="s">
        <v>18</v>
      </c>
      <c r="M599" s="16" t="s">
        <v>22</v>
      </c>
      <c r="N599" s="39"/>
    </row>
    <row r="600" spans="1:14" s="12" customFormat="1" ht="18">
      <c r="A600" s="178" t="s">
        <v>95</v>
      </c>
      <c r="B600" s="77" t="s">
        <v>1625</v>
      </c>
      <c r="C600" s="39" t="s">
        <v>17</v>
      </c>
      <c r="D600" s="236"/>
      <c r="E600" s="236"/>
      <c r="F600" s="236"/>
      <c r="G600" s="236"/>
      <c r="H600" s="236">
        <f>SUM(Tabla132112414[[#This Row],[PRIMER TRIMESTRE]:[CUARTO TRIMESTRE]])</f>
        <v>0</v>
      </c>
      <c r="I600" s="17">
        <v>400</v>
      </c>
      <c r="J600" s="17">
        <f t="shared" si="16"/>
        <v>0</v>
      </c>
      <c r="K600" s="17"/>
      <c r="L600" s="16" t="s">
        <v>18</v>
      </c>
      <c r="M600" s="16" t="s">
        <v>22</v>
      </c>
      <c r="N600" s="39"/>
    </row>
    <row r="601" spans="1:14" s="12" customFormat="1" ht="18">
      <c r="A601" s="178" t="s">
        <v>95</v>
      </c>
      <c r="B601" s="77" t="s">
        <v>1542</v>
      </c>
      <c r="C601" s="39" t="s">
        <v>17</v>
      </c>
      <c r="D601" s="236"/>
      <c r="E601" s="236"/>
      <c r="F601" s="236"/>
      <c r="G601" s="236"/>
      <c r="H601" s="236">
        <f>SUM(Tabla132112414[[#This Row],[PRIMER TRIMESTRE]:[CUARTO TRIMESTRE]])</f>
        <v>0</v>
      </c>
      <c r="I601" s="17">
        <v>40</v>
      </c>
      <c r="J601" s="17">
        <f t="shared" si="16"/>
        <v>0</v>
      </c>
      <c r="K601" s="17"/>
      <c r="L601" s="16" t="s">
        <v>18</v>
      </c>
      <c r="M601" s="16" t="s">
        <v>22</v>
      </c>
      <c r="N601" s="39"/>
    </row>
    <row r="602" spans="1:14" s="26" customFormat="1" ht="18">
      <c r="A602" s="178" t="s">
        <v>95</v>
      </c>
      <c r="B602" s="77" t="s">
        <v>1541</v>
      </c>
      <c r="C602" s="39" t="s">
        <v>17</v>
      </c>
      <c r="D602" s="236"/>
      <c r="E602" s="236"/>
      <c r="F602" s="236"/>
      <c r="G602" s="236"/>
      <c r="H602" s="236">
        <f>SUM(Tabla132112414[[#This Row],[PRIMER TRIMESTRE]:[CUARTO TRIMESTRE]])</f>
        <v>0</v>
      </c>
      <c r="I602" s="17">
        <v>170</v>
      </c>
      <c r="J602" s="17">
        <f t="shared" si="16"/>
        <v>0</v>
      </c>
      <c r="K602" s="17"/>
      <c r="L602" s="16" t="s">
        <v>18</v>
      </c>
      <c r="M602" s="16" t="s">
        <v>22</v>
      </c>
      <c r="N602" s="39"/>
    </row>
    <row r="603" spans="1:14" s="12" customFormat="1" ht="25.5">
      <c r="A603" s="178" t="s">
        <v>95</v>
      </c>
      <c r="B603" s="77" t="s">
        <v>1472</v>
      </c>
      <c r="C603" s="39" t="s">
        <v>17</v>
      </c>
      <c r="D603" s="236"/>
      <c r="E603" s="236"/>
      <c r="F603" s="236"/>
      <c r="G603" s="236"/>
      <c r="H603" s="236">
        <f>SUM(Tabla132112414[[#This Row],[PRIMER TRIMESTRE]:[CUARTO TRIMESTRE]])</f>
        <v>0</v>
      </c>
      <c r="I603" s="17">
        <v>28982</v>
      </c>
      <c r="J603" s="17">
        <f t="shared" si="16"/>
        <v>0</v>
      </c>
      <c r="K603" s="17"/>
      <c r="L603" s="16" t="s">
        <v>18</v>
      </c>
      <c r="M603" s="16" t="s">
        <v>22</v>
      </c>
      <c r="N603" s="39"/>
    </row>
    <row r="604" spans="1:14" s="12" customFormat="1" ht="31.5">
      <c r="A604" s="179" t="s">
        <v>95</v>
      </c>
      <c r="B604" s="76"/>
      <c r="C604" s="42"/>
      <c r="D604" s="237"/>
      <c r="E604" s="237"/>
      <c r="F604" s="237"/>
      <c r="G604" s="237"/>
      <c r="H604" s="43"/>
      <c r="I604" s="24"/>
      <c r="J604" s="24"/>
      <c r="K604" s="25">
        <f>SUM(J586:J603)</f>
        <v>0</v>
      </c>
      <c r="L604" s="23"/>
      <c r="M604" s="23"/>
      <c r="N604" s="42"/>
    </row>
    <row r="605" spans="1:14" s="12" customFormat="1" ht="30">
      <c r="A605" s="178" t="s">
        <v>96</v>
      </c>
      <c r="B605" s="75" t="str">
        <f ca="1">+UPPER(Tabla132112414[[#This Row],[DESCRIPCIÓN DE LA COMPRA O CONTRATACIÓN]])</f>
        <v>CUT-OUTS 15 KV 200 AMPERES</v>
      </c>
      <c r="C605" s="39" t="s">
        <v>17</v>
      </c>
      <c r="D605" s="236"/>
      <c r="E605" s="236"/>
      <c r="F605" s="236"/>
      <c r="G605" s="236"/>
      <c r="H605" s="40">
        <f>SUM(Tabla132112414[[#This Row],[PRIMER TRIMESTRE]:[CUARTO TRIMESTRE]])</f>
        <v>0</v>
      </c>
      <c r="I605" s="17">
        <v>6486.1</v>
      </c>
      <c r="J605" s="17">
        <f t="shared" ref="J605:J612" si="17">+H605*I605</f>
        <v>0</v>
      </c>
      <c r="K605" s="17"/>
      <c r="L605" s="16" t="s">
        <v>18</v>
      </c>
      <c r="M605" s="16" t="s">
        <v>22</v>
      </c>
      <c r="N605" s="39"/>
    </row>
    <row r="606" spans="1:14" s="12" customFormat="1" ht="30">
      <c r="A606" s="178" t="s">
        <v>96</v>
      </c>
      <c r="B606" s="75" t="str">
        <f ca="1">+UPPER(Tabla132112414[[#This Row],[DESCRIPCIÓN DE LA COMPRA O CONTRATACIÓN]])</f>
        <v>CUT-OUTS 15 KV 100 AMPERES</v>
      </c>
      <c r="C606" s="39" t="s">
        <v>17</v>
      </c>
      <c r="D606" s="236"/>
      <c r="E606" s="236"/>
      <c r="F606" s="236"/>
      <c r="G606" s="236"/>
      <c r="H606" s="40">
        <f>SUM(Tabla132112414[[#This Row],[PRIMER TRIMESTRE]:[CUARTO TRIMESTRE]])</f>
        <v>0</v>
      </c>
      <c r="I606" s="17">
        <v>4877.16</v>
      </c>
      <c r="J606" s="17">
        <f t="shared" si="17"/>
        <v>0</v>
      </c>
      <c r="K606" s="17"/>
      <c r="L606" s="16" t="s">
        <v>18</v>
      </c>
      <c r="M606" s="16" t="s">
        <v>22</v>
      </c>
      <c r="N606" s="39"/>
    </row>
    <row r="607" spans="1:14" s="12" customFormat="1" ht="30">
      <c r="A607" s="178" t="s">
        <v>96</v>
      </c>
      <c r="B607" s="75" t="str">
        <f ca="1">+UPPER(Tabla132112414[[#This Row],[DESCRIPCIÓN DE LA COMPRA O CONTRATACIÓN]])</f>
        <v>APARTARRAYOS DE 9KV</v>
      </c>
      <c r="C607" s="39" t="s">
        <v>17</v>
      </c>
      <c r="D607" s="236"/>
      <c r="E607" s="236"/>
      <c r="F607" s="236"/>
      <c r="G607" s="236"/>
      <c r="H607" s="40">
        <f>SUM(Tabla132112414[[#This Row],[PRIMER TRIMESTRE]:[CUARTO TRIMESTRE]])</f>
        <v>0</v>
      </c>
      <c r="I607" s="17">
        <v>2726</v>
      </c>
      <c r="J607" s="17">
        <f t="shared" si="17"/>
        <v>0</v>
      </c>
      <c r="K607" s="17"/>
      <c r="L607" s="16" t="s">
        <v>18</v>
      </c>
      <c r="M607" s="16" t="s">
        <v>22</v>
      </c>
      <c r="N607" s="39"/>
    </row>
    <row r="608" spans="1:14" s="12" customFormat="1" ht="30">
      <c r="A608" s="178" t="s">
        <v>96</v>
      </c>
      <c r="B608" s="75" t="s">
        <v>1217</v>
      </c>
      <c r="C608" s="39" t="s">
        <v>17</v>
      </c>
      <c r="D608" s="236"/>
      <c r="E608" s="236"/>
      <c r="F608" s="236"/>
      <c r="G608" s="236"/>
      <c r="H608" s="40">
        <f>SUM(Tabla132112414[[#This Row],[PRIMER TRIMESTRE]:[CUARTO TRIMESTRE]])</f>
        <v>0</v>
      </c>
      <c r="I608" s="17">
        <v>2438.11</v>
      </c>
      <c r="J608" s="17">
        <f t="shared" si="17"/>
        <v>0</v>
      </c>
      <c r="K608" s="17"/>
      <c r="L608" s="16" t="s">
        <v>18</v>
      </c>
      <c r="M608" s="16" t="s">
        <v>22</v>
      </c>
      <c r="N608" s="39"/>
    </row>
    <row r="609" spans="1:14" s="12" customFormat="1" ht="30">
      <c r="A609" s="178" t="s">
        <v>96</v>
      </c>
      <c r="B609" s="75" t="str">
        <f ca="1">+UPPER(Tabla132112414[[#This Row],[DESCRIPCIÓN DE LA COMPRA O CONTRATACIÓN]])</f>
        <v>APARTARRAYOS DE 220V, SECUNDARIO</v>
      </c>
      <c r="C609" s="39" t="s">
        <v>17</v>
      </c>
      <c r="D609" s="236"/>
      <c r="E609" s="236"/>
      <c r="F609" s="236"/>
      <c r="G609" s="236"/>
      <c r="H609" s="40">
        <f>SUM(Tabla132112414[[#This Row],[PRIMER TRIMESTRE]:[CUARTO TRIMESTRE]])</f>
        <v>0</v>
      </c>
      <c r="I609" s="17">
        <v>6840</v>
      </c>
      <c r="J609" s="17">
        <f t="shared" si="17"/>
        <v>0</v>
      </c>
      <c r="K609" s="17"/>
      <c r="L609" s="16" t="s">
        <v>18</v>
      </c>
      <c r="M609" s="16" t="s">
        <v>22</v>
      </c>
      <c r="N609" s="39"/>
    </row>
    <row r="610" spans="1:14" s="12" customFormat="1" ht="30">
      <c r="A610" s="178" t="s">
        <v>96</v>
      </c>
      <c r="B610" s="75" t="str">
        <f ca="1">+UPPER(Tabla132112414[[#This Row],[DESCRIPCIÓN DE LA COMPRA O CONTRATACIÓN]])</f>
        <v>APARTARRAYOS DE 480V, SECUNDARIO</v>
      </c>
      <c r="C610" s="39" t="s">
        <v>17</v>
      </c>
      <c r="D610" s="236"/>
      <c r="E610" s="236"/>
      <c r="F610" s="236"/>
      <c r="G610" s="236"/>
      <c r="H610" s="40">
        <f>SUM(Tabla132112414[[#This Row],[PRIMER TRIMESTRE]:[CUARTO TRIMESTRE]])</f>
        <v>0</v>
      </c>
      <c r="I610" s="72">
        <v>6900</v>
      </c>
      <c r="J610" s="17">
        <f t="shared" si="17"/>
        <v>0</v>
      </c>
      <c r="K610" s="17"/>
      <c r="L610" s="16" t="s">
        <v>18</v>
      </c>
      <c r="M610" s="16" t="s">
        <v>22</v>
      </c>
      <c r="N610" s="39"/>
    </row>
    <row r="611" spans="1:14" s="12" customFormat="1" ht="30">
      <c r="A611" s="178" t="s">
        <v>96</v>
      </c>
      <c r="B611" s="75" t="s">
        <v>1679</v>
      </c>
      <c r="C611" s="39" t="s">
        <v>17</v>
      </c>
      <c r="D611" s="236"/>
      <c r="E611" s="236"/>
      <c r="F611" s="236"/>
      <c r="G611" s="236"/>
      <c r="H611" s="40">
        <v>0</v>
      </c>
      <c r="I611" s="72">
        <v>0</v>
      </c>
      <c r="J611" s="17">
        <v>0</v>
      </c>
      <c r="K611" s="17"/>
      <c r="L611" s="16" t="s">
        <v>18</v>
      </c>
      <c r="M611" s="16" t="s">
        <v>22</v>
      </c>
      <c r="N611" s="39"/>
    </row>
    <row r="612" spans="1:14" s="12" customFormat="1" ht="30">
      <c r="A612" s="178" t="s">
        <v>96</v>
      </c>
      <c r="B612" s="75" t="s">
        <v>1597</v>
      </c>
      <c r="C612" s="39" t="s">
        <v>17</v>
      </c>
      <c r="D612" s="236"/>
      <c r="E612" s="236"/>
      <c r="F612" s="236"/>
      <c r="G612" s="236"/>
      <c r="H612" s="236">
        <f>SUM(Tabla132112414[[#This Row],[PRIMER TRIMESTRE]:[CUARTO TRIMESTRE]])</f>
        <v>0</v>
      </c>
      <c r="I612" s="72">
        <v>101.53</v>
      </c>
      <c r="J612" s="17">
        <f t="shared" si="17"/>
        <v>0</v>
      </c>
      <c r="K612" s="17"/>
      <c r="L612" s="16" t="s">
        <v>18</v>
      </c>
      <c r="M612" s="16" t="s">
        <v>22</v>
      </c>
      <c r="N612" s="39"/>
    </row>
    <row r="613" spans="1:14" s="12" customFormat="1" ht="30">
      <c r="A613" s="178" t="s">
        <v>96</v>
      </c>
      <c r="B613" s="75" t="s">
        <v>777</v>
      </c>
      <c r="C613" s="39" t="s">
        <v>17</v>
      </c>
      <c r="D613" s="236"/>
      <c r="E613" s="236"/>
      <c r="F613" s="236"/>
      <c r="G613" s="236"/>
      <c r="H613" s="236">
        <f>SUM(Tabla132112414[[#This Row],[PRIMER TRIMESTRE]:[CUARTO TRIMESTRE]])</f>
        <v>0</v>
      </c>
      <c r="I613" s="72">
        <v>13750</v>
      </c>
      <c r="J613" s="17">
        <f>+Tabla132112414[[#This Row],[CANTIDAD TOTAL]]*Tabla132112414[[#This Row],[PRECIO UNITARIO ESTIMADO]]</f>
        <v>0</v>
      </c>
      <c r="K613" s="17"/>
      <c r="L613" s="16" t="s">
        <v>18</v>
      </c>
      <c r="M613" s="16" t="s">
        <v>22</v>
      </c>
      <c r="N613" s="39" t="s">
        <v>418</v>
      </c>
    </row>
    <row r="614" spans="1:14" s="12" customFormat="1" ht="30">
      <c r="A614" s="178" t="s">
        <v>96</v>
      </c>
      <c r="B614" s="75" t="s">
        <v>1599</v>
      </c>
      <c r="C614" s="39" t="s">
        <v>17</v>
      </c>
      <c r="D614" s="236"/>
      <c r="E614" s="236"/>
      <c r="F614" s="236"/>
      <c r="G614" s="236"/>
      <c r="H614" s="236">
        <f>SUM(Tabla132112414[[#This Row],[PRIMER TRIMESTRE]:[CUARTO TRIMESTRE]])</f>
        <v>0</v>
      </c>
      <c r="I614" s="72">
        <v>110</v>
      </c>
      <c r="J614" s="17">
        <f>+H614*I614</f>
        <v>0</v>
      </c>
      <c r="K614" s="17"/>
      <c r="L614" s="16" t="s">
        <v>18</v>
      </c>
      <c r="M614" s="16" t="s">
        <v>22</v>
      </c>
      <c r="N614" s="39"/>
    </row>
    <row r="615" spans="1:14" s="12" customFormat="1" ht="30">
      <c r="A615" s="178" t="s">
        <v>96</v>
      </c>
      <c r="B615" s="75" t="s">
        <v>1600</v>
      </c>
      <c r="C615" s="39" t="s">
        <v>17</v>
      </c>
      <c r="D615" s="236"/>
      <c r="E615" s="236"/>
      <c r="F615" s="236"/>
      <c r="G615" s="236"/>
      <c r="H615" s="236">
        <f>SUM(Tabla132112414[[#This Row],[PRIMER TRIMESTRE]:[CUARTO TRIMESTRE]])</f>
        <v>0</v>
      </c>
      <c r="I615" s="72">
        <v>40</v>
      </c>
      <c r="J615" s="17">
        <f>+H615*I615</f>
        <v>0</v>
      </c>
      <c r="K615" s="17"/>
      <c r="L615" s="16" t="s">
        <v>18</v>
      </c>
      <c r="M615" s="16" t="s">
        <v>22</v>
      </c>
      <c r="N615" s="39"/>
    </row>
    <row r="616" spans="1:14" s="12" customFormat="1" ht="30">
      <c r="A616" s="178" t="s">
        <v>96</v>
      </c>
      <c r="B616" s="75" t="s">
        <v>1598</v>
      </c>
      <c r="C616" s="39" t="s">
        <v>17</v>
      </c>
      <c r="D616" s="236"/>
      <c r="E616" s="236"/>
      <c r="F616" s="236"/>
      <c r="G616" s="236"/>
      <c r="H616" s="236">
        <f>SUM(Tabla132112414[[#This Row],[PRIMER TRIMESTRE]:[CUARTO TRIMESTRE]])</f>
        <v>0</v>
      </c>
      <c r="I616" s="72">
        <v>90</v>
      </c>
      <c r="J616" s="17">
        <f>+H616*I616</f>
        <v>0</v>
      </c>
      <c r="K616" s="17"/>
      <c r="L616" s="16" t="s">
        <v>18</v>
      </c>
      <c r="M616" s="16" t="s">
        <v>22</v>
      </c>
      <c r="N616" s="39"/>
    </row>
    <row r="617" spans="1:14" s="12" customFormat="1" ht="30">
      <c r="A617" s="178" t="s">
        <v>96</v>
      </c>
      <c r="B617" s="75" t="s">
        <v>210</v>
      </c>
      <c r="C617" s="39" t="s">
        <v>17</v>
      </c>
      <c r="D617" s="236"/>
      <c r="E617" s="236"/>
      <c r="F617" s="236"/>
      <c r="G617" s="236"/>
      <c r="H617" s="236">
        <f>SUM(Tabla132112414[[#This Row],[PRIMER TRIMESTRE]:[CUARTO TRIMESTRE]])</f>
        <v>0</v>
      </c>
      <c r="I617" s="72">
        <v>13750</v>
      </c>
      <c r="J617" s="17">
        <f>+Tabla132112414[[#This Row],[CANTIDAD TOTAL]]*Tabla132112414[[#This Row],[PRECIO UNITARIO ESTIMADO]]</f>
        <v>0</v>
      </c>
      <c r="K617" s="17"/>
      <c r="L617" s="16" t="s">
        <v>18</v>
      </c>
      <c r="M617" s="16" t="s">
        <v>22</v>
      </c>
      <c r="N617" s="39" t="s">
        <v>418</v>
      </c>
    </row>
    <row r="618" spans="1:14" s="12" customFormat="1" ht="30">
      <c r="A618" s="178" t="s">
        <v>96</v>
      </c>
      <c r="B618" s="75" t="s">
        <v>1594</v>
      </c>
      <c r="C618" s="39" t="s">
        <v>17</v>
      </c>
      <c r="D618" s="236"/>
      <c r="E618" s="236"/>
      <c r="F618" s="236"/>
      <c r="G618" s="236"/>
      <c r="H618" s="236">
        <f>SUM(Tabla132112414[[#This Row],[PRIMER TRIMESTRE]:[CUARTO TRIMESTRE]])</f>
        <v>0</v>
      </c>
      <c r="I618" s="72">
        <v>95</v>
      </c>
      <c r="J618" s="17">
        <f>+H618*I618</f>
        <v>0</v>
      </c>
      <c r="K618" s="17"/>
      <c r="L618" s="16" t="s">
        <v>18</v>
      </c>
      <c r="M618" s="16" t="s">
        <v>22</v>
      </c>
      <c r="N618" s="39"/>
    </row>
    <row r="619" spans="1:14" s="12" customFormat="1" ht="30">
      <c r="A619" s="178" t="s">
        <v>96</v>
      </c>
      <c r="B619" s="75" t="s">
        <v>1596</v>
      </c>
      <c r="C619" s="39" t="s">
        <v>17</v>
      </c>
      <c r="D619" s="236"/>
      <c r="E619" s="236"/>
      <c r="F619" s="236"/>
      <c r="G619" s="236"/>
      <c r="H619" s="236">
        <f>SUM(Tabla132112414[[#This Row],[PRIMER TRIMESTRE]:[CUARTO TRIMESTRE]])</f>
        <v>0</v>
      </c>
      <c r="I619" s="72">
        <v>95</v>
      </c>
      <c r="J619" s="17">
        <f>+H619*I619</f>
        <v>0</v>
      </c>
      <c r="K619" s="17"/>
      <c r="L619" s="16" t="s">
        <v>18</v>
      </c>
      <c r="M619" s="16" t="s">
        <v>22</v>
      </c>
      <c r="N619" s="39"/>
    </row>
    <row r="620" spans="1:14" s="12" customFormat="1" ht="30">
      <c r="A620" s="178" t="s">
        <v>96</v>
      </c>
      <c r="B620" s="75" t="s">
        <v>211</v>
      </c>
      <c r="C620" s="39" t="s">
        <v>17</v>
      </c>
      <c r="D620" s="236"/>
      <c r="E620" s="236"/>
      <c r="F620" s="236"/>
      <c r="G620" s="236"/>
      <c r="H620" s="40">
        <f>SUM(Tabla132112414[[#This Row],[PRIMER TRIMESTRE]:[CUARTO TRIMESTRE]])</f>
        <v>0</v>
      </c>
      <c r="I620" s="17">
        <v>191</v>
      </c>
      <c r="J620" s="17">
        <f>+Tabla132112414[[#This Row],[CANTIDAD TOTAL]]*Tabla132112414[[#This Row],[PRECIO UNITARIO ESTIMADO]]</f>
        <v>0</v>
      </c>
      <c r="K620" s="17"/>
      <c r="L620" s="16" t="s">
        <v>18</v>
      </c>
      <c r="M620" s="16" t="s">
        <v>22</v>
      </c>
      <c r="N620" s="39" t="s">
        <v>418</v>
      </c>
    </row>
    <row r="621" spans="1:14" s="12" customFormat="1" ht="30">
      <c r="A621" s="178" t="s">
        <v>96</v>
      </c>
      <c r="B621" s="75" t="s">
        <v>772</v>
      </c>
      <c r="C621" s="39" t="s">
        <v>17</v>
      </c>
      <c r="D621" s="236"/>
      <c r="E621" s="236"/>
      <c r="F621" s="236"/>
      <c r="G621" s="236"/>
      <c r="H621" s="40">
        <f>SUM(Tabla132112414[[#This Row],[PRIMER TRIMESTRE]:[CUARTO TRIMESTRE]])</f>
        <v>0</v>
      </c>
      <c r="I621" s="72">
        <v>7700</v>
      </c>
      <c r="J621" s="17">
        <f>+H621*I621</f>
        <v>0</v>
      </c>
      <c r="K621" s="17"/>
      <c r="L621" s="16" t="s">
        <v>18</v>
      </c>
      <c r="M621" s="16" t="s">
        <v>22</v>
      </c>
      <c r="N621" s="39"/>
    </row>
    <row r="622" spans="1:14" s="12" customFormat="1" ht="30">
      <c r="A622" s="178" t="s">
        <v>96</v>
      </c>
      <c r="B622" s="75" t="s">
        <v>1690</v>
      </c>
      <c r="C622" s="39" t="s">
        <v>343</v>
      </c>
      <c r="D622" s="236"/>
      <c r="E622" s="236"/>
      <c r="F622" s="236"/>
      <c r="G622" s="236"/>
      <c r="H622" s="40">
        <v>0</v>
      </c>
      <c r="I622" s="72">
        <v>0</v>
      </c>
      <c r="J622" s="17">
        <v>0</v>
      </c>
      <c r="K622" s="17"/>
      <c r="L622" s="16" t="s">
        <v>18</v>
      </c>
      <c r="M622" s="16" t="s">
        <v>22</v>
      </c>
      <c r="N622" s="39"/>
    </row>
    <row r="623" spans="1:14" s="12" customFormat="1" ht="30">
      <c r="A623" s="178" t="s">
        <v>96</v>
      </c>
      <c r="B623" s="75" t="s">
        <v>229</v>
      </c>
      <c r="C623" s="39" t="s">
        <v>17</v>
      </c>
      <c r="D623" s="236"/>
      <c r="E623" s="236"/>
      <c r="F623" s="236"/>
      <c r="G623" s="236"/>
      <c r="H623" s="40">
        <f>SUM(Tabla132112414[[#This Row],[PRIMER TRIMESTRE]:[CUARTO TRIMESTRE]])</f>
        <v>0</v>
      </c>
      <c r="I623" s="17">
        <v>6460</v>
      </c>
      <c r="J623" s="17">
        <f>+Tabla132112414[[#This Row],[CANTIDAD TOTAL]]*Tabla132112414[[#This Row],[PRECIO UNITARIO ESTIMADO]]</f>
        <v>0</v>
      </c>
      <c r="K623" s="17"/>
      <c r="L623" s="16" t="s">
        <v>18</v>
      </c>
      <c r="M623" s="16" t="s">
        <v>22</v>
      </c>
      <c r="N623" s="39"/>
    </row>
    <row r="624" spans="1:14" s="12" customFormat="1" ht="30">
      <c r="A624" s="178" t="s">
        <v>96</v>
      </c>
      <c r="B624" s="75" t="s">
        <v>1712</v>
      </c>
      <c r="C624" s="39" t="s">
        <v>17</v>
      </c>
      <c r="D624" s="236"/>
      <c r="E624" s="236"/>
      <c r="F624" s="236"/>
      <c r="G624" s="236"/>
      <c r="H624" s="40">
        <v>0</v>
      </c>
      <c r="I624" s="17">
        <v>0</v>
      </c>
      <c r="J624" s="17">
        <v>0</v>
      </c>
      <c r="K624" s="17"/>
      <c r="L624" s="16" t="s">
        <v>18</v>
      </c>
      <c r="M624" s="16" t="s">
        <v>22</v>
      </c>
      <c r="N624" s="39"/>
    </row>
    <row r="625" spans="1:14" s="12" customFormat="1" ht="30">
      <c r="A625" s="178" t="s">
        <v>96</v>
      </c>
      <c r="B625" s="75" t="s">
        <v>1218</v>
      </c>
      <c r="C625" s="39" t="s">
        <v>17</v>
      </c>
      <c r="D625" s="236"/>
      <c r="E625" s="236"/>
      <c r="F625" s="236"/>
      <c r="G625" s="236"/>
      <c r="H625" s="40">
        <f>SUM(Tabla132112414[[#This Row],[PRIMER TRIMESTRE]:[CUARTO TRIMESTRE]])</f>
        <v>0</v>
      </c>
      <c r="I625" s="17">
        <v>6460</v>
      </c>
      <c r="J625" s="17">
        <f>+H625*I625</f>
        <v>0</v>
      </c>
      <c r="K625" s="17"/>
      <c r="L625" s="16" t="s">
        <v>18</v>
      </c>
      <c r="M625" s="16" t="s">
        <v>22</v>
      </c>
      <c r="N625" s="39"/>
    </row>
    <row r="626" spans="1:14" s="12" customFormat="1" ht="30">
      <c r="A626" s="178" t="s">
        <v>96</v>
      </c>
      <c r="B626" s="75" t="s">
        <v>1683</v>
      </c>
      <c r="C626" s="39" t="s">
        <v>17</v>
      </c>
      <c r="D626" s="236"/>
      <c r="E626" s="236"/>
      <c r="F626" s="236"/>
      <c r="G626" s="236"/>
      <c r="H626" s="40">
        <v>0</v>
      </c>
      <c r="I626" s="17">
        <v>0</v>
      </c>
      <c r="J626" s="17">
        <v>0</v>
      </c>
      <c r="K626" s="17"/>
      <c r="L626" s="16" t="s">
        <v>18</v>
      </c>
      <c r="M626" s="16" t="s">
        <v>22</v>
      </c>
      <c r="N626" s="39"/>
    </row>
    <row r="627" spans="1:14" s="12" customFormat="1" ht="30">
      <c r="A627" s="178" t="s">
        <v>96</v>
      </c>
      <c r="B627" s="75" t="s">
        <v>1731</v>
      </c>
      <c r="C627" s="39" t="s">
        <v>17</v>
      </c>
      <c r="D627" s="236"/>
      <c r="E627" s="236"/>
      <c r="F627" s="236"/>
      <c r="G627" s="236"/>
      <c r="H627" s="40">
        <v>0</v>
      </c>
      <c r="I627" s="17">
        <v>0</v>
      </c>
      <c r="J627" s="17">
        <v>0</v>
      </c>
      <c r="K627" s="17"/>
      <c r="L627" s="16" t="s">
        <v>18</v>
      </c>
      <c r="M627" s="16" t="s">
        <v>22</v>
      </c>
      <c r="N627" s="39"/>
    </row>
    <row r="628" spans="1:14" s="12" customFormat="1" ht="30">
      <c r="A628" s="178" t="s">
        <v>96</v>
      </c>
      <c r="B628" s="75" t="s">
        <v>770</v>
      </c>
      <c r="C628" s="39" t="s">
        <v>17</v>
      </c>
      <c r="D628" s="236"/>
      <c r="E628" s="236"/>
      <c r="F628" s="236"/>
      <c r="G628" s="236"/>
      <c r="H628" s="40">
        <f>SUM(Tabla132112414[[#This Row],[PRIMER TRIMESTRE]:[CUARTO TRIMESTRE]])</f>
        <v>0</v>
      </c>
      <c r="I628" s="17">
        <v>12589</v>
      </c>
      <c r="J628" s="17">
        <f>+Tabla132112414[[#This Row],[CANTIDAD TOTAL]]*Tabla132112414[[#This Row],[PRECIO UNITARIO ESTIMADO]]</f>
        <v>0</v>
      </c>
      <c r="K628" s="17"/>
      <c r="L628" s="16" t="s">
        <v>18</v>
      </c>
      <c r="M628" s="16" t="s">
        <v>22</v>
      </c>
      <c r="N628" s="39"/>
    </row>
    <row r="629" spans="1:14" s="12" customFormat="1" ht="30">
      <c r="A629" s="178" t="s">
        <v>96</v>
      </c>
      <c r="B629" s="75" t="s">
        <v>771</v>
      </c>
      <c r="C629" s="39" t="s">
        <v>17</v>
      </c>
      <c r="D629" s="236"/>
      <c r="E629" s="236"/>
      <c r="F629" s="236"/>
      <c r="G629" s="236"/>
      <c r="H629" s="40">
        <f>SUM(Tabla132112414[[#This Row],[PRIMER TRIMESTRE]:[CUARTO TRIMESTRE]])</f>
        <v>0</v>
      </c>
      <c r="I629" s="72">
        <v>14625</v>
      </c>
      <c r="J629" s="17">
        <f t="shared" ref="J629:J692" si="18">+H629*I629</f>
        <v>0</v>
      </c>
      <c r="K629" s="17"/>
      <c r="L629" s="16" t="s">
        <v>18</v>
      </c>
      <c r="M629" s="16" t="s">
        <v>22</v>
      </c>
      <c r="N629" s="39"/>
    </row>
    <row r="630" spans="1:14" s="12" customFormat="1" ht="30">
      <c r="A630" s="178" t="s">
        <v>96</v>
      </c>
      <c r="B630" s="75" t="s">
        <v>1219</v>
      </c>
      <c r="C630" s="39" t="s">
        <v>17</v>
      </c>
      <c r="D630" s="236"/>
      <c r="E630" s="236"/>
      <c r="F630" s="236"/>
      <c r="G630" s="236"/>
      <c r="H630" s="40">
        <f>SUM(Tabla132112414[[#This Row],[PRIMER TRIMESTRE]:[CUARTO TRIMESTRE]])</f>
        <v>0</v>
      </c>
      <c r="I630" s="72">
        <v>28650</v>
      </c>
      <c r="J630" s="17">
        <f t="shared" si="18"/>
        <v>0</v>
      </c>
      <c r="K630" s="17"/>
      <c r="L630" s="17" t="s">
        <v>18</v>
      </c>
      <c r="M630" s="16" t="s">
        <v>22</v>
      </c>
      <c r="N630" s="39"/>
    </row>
    <row r="631" spans="1:14" s="12" customFormat="1" ht="30">
      <c r="A631" s="178" t="s">
        <v>96</v>
      </c>
      <c r="B631" s="75" t="s">
        <v>803</v>
      </c>
      <c r="C631" s="39" t="s">
        <v>343</v>
      </c>
      <c r="D631" s="236"/>
      <c r="E631" s="236"/>
      <c r="F631" s="236"/>
      <c r="G631" s="236"/>
      <c r="H631" s="40">
        <f>SUM(Tabla132112414[[#This Row],[PRIMER TRIMESTRE]:[CUARTO TRIMESTRE]])</f>
        <v>0</v>
      </c>
      <c r="I631" s="72">
        <v>5.64</v>
      </c>
      <c r="J631" s="17">
        <f t="shared" si="18"/>
        <v>0</v>
      </c>
      <c r="K631" s="17"/>
      <c r="L631" s="17" t="s">
        <v>18</v>
      </c>
      <c r="M631" s="16" t="s">
        <v>22</v>
      </c>
      <c r="N631" s="39" t="s">
        <v>418</v>
      </c>
    </row>
    <row r="632" spans="1:14" s="12" customFormat="1" ht="30">
      <c r="A632" s="178" t="s">
        <v>96</v>
      </c>
      <c r="B632" s="75" t="s">
        <v>804</v>
      </c>
      <c r="C632" s="39" t="s">
        <v>343</v>
      </c>
      <c r="D632" s="236"/>
      <c r="E632" s="236"/>
      <c r="F632" s="236"/>
      <c r="G632" s="236"/>
      <c r="H632" s="40">
        <f>SUM(Tabla132112414[[#This Row],[PRIMER TRIMESTRE]:[CUARTO TRIMESTRE]])</f>
        <v>0</v>
      </c>
      <c r="I632" s="17">
        <v>12</v>
      </c>
      <c r="J632" s="17">
        <f t="shared" si="18"/>
        <v>0</v>
      </c>
      <c r="K632" s="17"/>
      <c r="L632" s="17" t="s">
        <v>18</v>
      </c>
      <c r="M632" s="16" t="s">
        <v>22</v>
      </c>
      <c r="N632" s="39" t="s">
        <v>418</v>
      </c>
    </row>
    <row r="633" spans="1:14" s="12" customFormat="1" ht="30">
      <c r="A633" s="178" t="s">
        <v>96</v>
      </c>
      <c r="B633" s="75" t="s">
        <v>805</v>
      </c>
      <c r="C633" s="39" t="s">
        <v>343</v>
      </c>
      <c r="D633" s="236"/>
      <c r="E633" s="236"/>
      <c r="F633" s="236"/>
      <c r="G633" s="236"/>
      <c r="H633" s="40">
        <f>SUM(Tabla132112414[[#This Row],[PRIMER TRIMESTRE]:[CUARTO TRIMESTRE]])</f>
        <v>0</v>
      </c>
      <c r="I633" s="72">
        <v>19</v>
      </c>
      <c r="J633" s="17">
        <f t="shared" si="18"/>
        <v>0</v>
      </c>
      <c r="K633" s="17"/>
      <c r="L633" s="17" t="s">
        <v>18</v>
      </c>
      <c r="M633" s="16" t="s">
        <v>22</v>
      </c>
      <c r="N633" s="39" t="s">
        <v>418</v>
      </c>
    </row>
    <row r="634" spans="1:14" s="12" customFormat="1" ht="30">
      <c r="A634" s="178" t="s">
        <v>96</v>
      </c>
      <c r="B634" s="75" t="s">
        <v>806</v>
      </c>
      <c r="C634" s="39" t="s">
        <v>343</v>
      </c>
      <c r="D634" s="236"/>
      <c r="E634" s="236"/>
      <c r="F634" s="236"/>
      <c r="G634" s="236"/>
      <c r="H634" s="40">
        <f>SUM(Tabla132112414[[#This Row],[PRIMER TRIMESTRE]:[CUARTO TRIMESTRE]])</f>
        <v>0</v>
      </c>
      <c r="I634" s="72">
        <v>22</v>
      </c>
      <c r="J634" s="17">
        <f t="shared" si="18"/>
        <v>0</v>
      </c>
      <c r="K634" s="17"/>
      <c r="L634" s="17" t="s">
        <v>18</v>
      </c>
      <c r="M634" s="16" t="s">
        <v>22</v>
      </c>
      <c r="N634" s="39" t="s">
        <v>418</v>
      </c>
    </row>
    <row r="635" spans="1:14" s="12" customFormat="1" ht="30">
      <c r="A635" s="178" t="s">
        <v>96</v>
      </c>
      <c r="B635" s="75" t="s">
        <v>807</v>
      </c>
      <c r="C635" s="39" t="s">
        <v>343</v>
      </c>
      <c r="D635" s="236"/>
      <c r="E635" s="236"/>
      <c r="F635" s="236"/>
      <c r="G635" s="236"/>
      <c r="H635" s="40">
        <f>SUM(Tabla132112414[[#This Row],[PRIMER TRIMESTRE]:[CUARTO TRIMESTRE]])</f>
        <v>0</v>
      </c>
      <c r="I635" s="72">
        <v>30.5</v>
      </c>
      <c r="J635" s="17">
        <f t="shared" si="18"/>
        <v>0</v>
      </c>
      <c r="K635" s="17"/>
      <c r="L635" s="17" t="s">
        <v>18</v>
      </c>
      <c r="M635" s="16" t="s">
        <v>22</v>
      </c>
      <c r="N635" s="39" t="s">
        <v>418</v>
      </c>
    </row>
    <row r="636" spans="1:14" s="12" customFormat="1" ht="30">
      <c r="A636" s="178" t="s">
        <v>96</v>
      </c>
      <c r="B636" s="75" t="s">
        <v>808</v>
      </c>
      <c r="C636" s="39" t="s">
        <v>343</v>
      </c>
      <c r="D636" s="236"/>
      <c r="E636" s="236"/>
      <c r="F636" s="236"/>
      <c r="G636" s="236"/>
      <c r="H636" s="40">
        <f>SUM(Tabla132112414[[#This Row],[PRIMER TRIMESTRE]:[CUARTO TRIMESTRE]])</f>
        <v>0</v>
      </c>
      <c r="I636" s="72">
        <v>49.27</v>
      </c>
      <c r="J636" s="17">
        <f t="shared" si="18"/>
        <v>0</v>
      </c>
      <c r="K636" s="17"/>
      <c r="L636" s="17" t="s">
        <v>18</v>
      </c>
      <c r="M636" s="16" t="s">
        <v>22</v>
      </c>
      <c r="N636" s="39" t="s">
        <v>418</v>
      </c>
    </row>
    <row r="637" spans="1:14" s="12" customFormat="1" ht="30">
      <c r="A637" s="178" t="s">
        <v>96</v>
      </c>
      <c r="B637" s="75" t="s">
        <v>809</v>
      </c>
      <c r="C637" s="39" t="s">
        <v>343</v>
      </c>
      <c r="D637" s="236"/>
      <c r="E637" s="236"/>
      <c r="F637" s="236"/>
      <c r="G637" s="236"/>
      <c r="H637" s="40">
        <f>SUM(Tabla132112414[[#This Row],[PRIMER TRIMESTRE]:[CUARTO TRIMESTRE]])</f>
        <v>0</v>
      </c>
      <c r="I637" s="72">
        <v>73</v>
      </c>
      <c r="J637" s="17">
        <f t="shared" si="18"/>
        <v>0</v>
      </c>
      <c r="K637" s="17"/>
      <c r="L637" s="17" t="s">
        <v>18</v>
      </c>
      <c r="M637" s="16" t="s">
        <v>22</v>
      </c>
      <c r="N637" s="39" t="s">
        <v>418</v>
      </c>
    </row>
    <row r="638" spans="1:14" s="12" customFormat="1" ht="30">
      <c r="A638" s="178" t="s">
        <v>96</v>
      </c>
      <c r="B638" s="75" t="s">
        <v>810</v>
      </c>
      <c r="C638" s="39" t="s">
        <v>343</v>
      </c>
      <c r="D638" s="236"/>
      <c r="E638" s="236"/>
      <c r="F638" s="236"/>
      <c r="G638" s="236"/>
      <c r="H638" s="40">
        <f>SUM(Tabla132112414[[#This Row],[PRIMER TRIMESTRE]:[CUARTO TRIMESTRE]])</f>
        <v>0</v>
      </c>
      <c r="I638" s="17">
        <v>95</v>
      </c>
      <c r="J638" s="17">
        <f t="shared" si="18"/>
        <v>0</v>
      </c>
      <c r="K638" s="17"/>
      <c r="L638" s="17" t="s">
        <v>18</v>
      </c>
      <c r="M638" s="16" t="s">
        <v>22</v>
      </c>
      <c r="N638" s="39" t="s">
        <v>418</v>
      </c>
    </row>
    <row r="639" spans="1:14" s="12" customFormat="1" ht="30">
      <c r="A639" s="178" t="s">
        <v>96</v>
      </c>
      <c r="B639" s="75" t="s">
        <v>811</v>
      </c>
      <c r="C639" s="39" t="s">
        <v>343</v>
      </c>
      <c r="D639" s="236"/>
      <c r="E639" s="236"/>
      <c r="F639" s="236"/>
      <c r="G639" s="236"/>
      <c r="H639" s="40">
        <f>SUM(Tabla132112414[[#This Row],[PRIMER TRIMESTRE]:[CUARTO TRIMESTRE]])</f>
        <v>0</v>
      </c>
      <c r="I639" s="17">
        <v>121.25</v>
      </c>
      <c r="J639" s="17">
        <f t="shared" si="18"/>
        <v>0</v>
      </c>
      <c r="K639" s="17"/>
      <c r="L639" s="17" t="s">
        <v>18</v>
      </c>
      <c r="M639" s="16" t="s">
        <v>22</v>
      </c>
      <c r="N639" s="39" t="s">
        <v>418</v>
      </c>
    </row>
    <row r="640" spans="1:14" s="12" customFormat="1" ht="30">
      <c r="A640" s="178" t="s">
        <v>96</v>
      </c>
      <c r="B640" s="75" t="s">
        <v>812</v>
      </c>
      <c r="C640" s="39" t="s">
        <v>343</v>
      </c>
      <c r="D640" s="236"/>
      <c r="E640" s="236"/>
      <c r="F640" s="236"/>
      <c r="G640" s="236"/>
      <c r="H640" s="40">
        <f>SUM(Tabla132112414[[#This Row],[PRIMER TRIMESTRE]:[CUARTO TRIMESTRE]])</f>
        <v>0</v>
      </c>
      <c r="I640" s="17">
        <v>163.98</v>
      </c>
      <c r="J640" s="17">
        <f t="shared" si="18"/>
        <v>0</v>
      </c>
      <c r="K640" s="17"/>
      <c r="L640" s="17" t="s">
        <v>18</v>
      </c>
      <c r="M640" s="16" t="s">
        <v>22</v>
      </c>
      <c r="N640" s="39" t="s">
        <v>418</v>
      </c>
    </row>
    <row r="641" spans="1:14" s="12" customFormat="1" ht="30">
      <c r="A641" s="178" t="s">
        <v>96</v>
      </c>
      <c r="B641" s="75" t="s">
        <v>1479</v>
      </c>
      <c r="C641" s="39" t="s">
        <v>343</v>
      </c>
      <c r="D641" s="236"/>
      <c r="E641" s="236"/>
      <c r="F641" s="236"/>
      <c r="G641" s="236"/>
      <c r="H641" s="236">
        <f>SUM(Tabla132112414[[#This Row],[PRIMER TRIMESTRE]:[CUARTO TRIMESTRE]])</f>
        <v>0</v>
      </c>
      <c r="I641" s="17">
        <v>249.9</v>
      </c>
      <c r="J641" s="17">
        <f t="shared" si="18"/>
        <v>0</v>
      </c>
      <c r="K641" s="17"/>
      <c r="L641" s="17" t="s">
        <v>18</v>
      </c>
      <c r="M641" s="16" t="s">
        <v>22</v>
      </c>
      <c r="N641" s="39" t="s">
        <v>418</v>
      </c>
    </row>
    <row r="642" spans="1:14" s="12" customFormat="1" ht="30">
      <c r="A642" s="178" t="s">
        <v>96</v>
      </c>
      <c r="B642" s="75" t="s">
        <v>1463</v>
      </c>
      <c r="C642" s="39" t="s">
        <v>343</v>
      </c>
      <c r="D642" s="236"/>
      <c r="E642" s="236"/>
      <c r="F642" s="236"/>
      <c r="G642" s="236"/>
      <c r="H642" s="40">
        <f>SUM(Tabla132112414[[#This Row],[PRIMER TRIMESTRE]:[CUARTO TRIMESTRE]])</f>
        <v>0</v>
      </c>
      <c r="I642" s="17">
        <v>175</v>
      </c>
      <c r="J642" s="17">
        <f t="shared" si="18"/>
        <v>0</v>
      </c>
      <c r="K642" s="17"/>
      <c r="L642" s="17" t="s">
        <v>18</v>
      </c>
      <c r="M642" s="16" t="s">
        <v>22</v>
      </c>
      <c r="N642" s="39" t="s">
        <v>418</v>
      </c>
    </row>
    <row r="643" spans="1:14" s="12" customFormat="1" ht="30">
      <c r="A643" s="178" t="s">
        <v>96</v>
      </c>
      <c r="B643" s="75" t="s">
        <v>1448</v>
      </c>
      <c r="C643" s="39" t="s">
        <v>343</v>
      </c>
      <c r="D643" s="236"/>
      <c r="E643" s="236"/>
      <c r="F643" s="236"/>
      <c r="G643" s="236"/>
      <c r="H643" s="40">
        <f>SUM(Tabla132112414[[#This Row],[PRIMER TRIMESTRE]:[CUARTO TRIMESTRE]])</f>
        <v>0</v>
      </c>
      <c r="I643" s="17">
        <v>120</v>
      </c>
      <c r="J643" s="17">
        <f t="shared" si="18"/>
        <v>0</v>
      </c>
      <c r="K643" s="17"/>
      <c r="L643" s="17" t="s">
        <v>18</v>
      </c>
      <c r="M643" s="16" t="s">
        <v>22</v>
      </c>
      <c r="N643" s="39" t="s">
        <v>418</v>
      </c>
    </row>
    <row r="644" spans="1:14" s="12" customFormat="1" ht="30">
      <c r="A644" s="178" t="s">
        <v>96</v>
      </c>
      <c r="B644" s="75" t="s">
        <v>1476</v>
      </c>
      <c r="C644" s="39" t="s">
        <v>343</v>
      </c>
      <c r="D644" s="236"/>
      <c r="E644" s="236"/>
      <c r="F644" s="236"/>
      <c r="G644" s="236"/>
      <c r="H644" s="236">
        <f>SUM(Tabla132112414[[#This Row],[PRIMER TRIMESTRE]:[CUARTO TRIMESTRE]])</f>
        <v>0</v>
      </c>
      <c r="I644" s="17">
        <v>48.72</v>
      </c>
      <c r="J644" s="17">
        <f t="shared" si="18"/>
        <v>0</v>
      </c>
      <c r="K644" s="17"/>
      <c r="L644" s="17" t="s">
        <v>18</v>
      </c>
      <c r="M644" s="16" t="s">
        <v>22</v>
      </c>
      <c r="N644" s="39" t="s">
        <v>418</v>
      </c>
    </row>
    <row r="645" spans="1:14" s="12" customFormat="1" ht="30">
      <c r="A645" s="178" t="s">
        <v>96</v>
      </c>
      <c r="B645" s="75" t="s">
        <v>1477</v>
      </c>
      <c r="C645" s="39" t="s">
        <v>343</v>
      </c>
      <c r="D645" s="236"/>
      <c r="E645" s="236"/>
      <c r="F645" s="236"/>
      <c r="G645" s="236"/>
      <c r="H645" s="236">
        <f>SUM(Tabla132112414[[#This Row],[PRIMER TRIMESTRE]:[CUARTO TRIMESTRE]])</f>
        <v>0</v>
      </c>
      <c r="I645" s="17">
        <v>78</v>
      </c>
      <c r="J645" s="17">
        <f t="shared" si="18"/>
        <v>0</v>
      </c>
      <c r="K645" s="17"/>
      <c r="L645" s="17" t="s">
        <v>18</v>
      </c>
      <c r="M645" s="16" t="s">
        <v>22</v>
      </c>
      <c r="N645" s="39" t="s">
        <v>418</v>
      </c>
    </row>
    <row r="646" spans="1:14" s="12" customFormat="1" ht="30">
      <c r="A646" s="178" t="s">
        <v>96</v>
      </c>
      <c r="B646" s="75" t="s">
        <v>1680</v>
      </c>
      <c r="C646" s="39" t="s">
        <v>343</v>
      </c>
      <c r="D646" s="236"/>
      <c r="E646" s="236"/>
      <c r="F646" s="236"/>
      <c r="G646" s="236"/>
      <c r="H646" s="40">
        <v>0</v>
      </c>
      <c r="I646" s="17">
        <v>0</v>
      </c>
      <c r="J646" s="17">
        <v>0</v>
      </c>
      <c r="K646" s="17"/>
      <c r="L646" s="17" t="s">
        <v>18</v>
      </c>
      <c r="M646" s="16" t="s">
        <v>22</v>
      </c>
      <c r="N646" s="39" t="s">
        <v>418</v>
      </c>
    </row>
    <row r="647" spans="1:14" s="12" customFormat="1" ht="30">
      <c r="A647" s="178" t="s">
        <v>96</v>
      </c>
      <c r="B647" s="75" t="s">
        <v>1478</v>
      </c>
      <c r="C647" s="39" t="s">
        <v>343</v>
      </c>
      <c r="D647" s="236"/>
      <c r="E647" s="236"/>
      <c r="F647" s="236"/>
      <c r="G647" s="236"/>
      <c r="H647" s="236">
        <f>SUM(Tabla132112414[[#This Row],[PRIMER TRIMESTRE]:[CUARTO TRIMESTRE]])</f>
        <v>0</v>
      </c>
      <c r="I647" s="17">
        <v>109.2</v>
      </c>
      <c r="J647" s="17">
        <f t="shared" si="18"/>
        <v>0</v>
      </c>
      <c r="K647" s="17"/>
      <c r="L647" s="17" t="s">
        <v>18</v>
      </c>
      <c r="M647" s="16" t="s">
        <v>22</v>
      </c>
      <c r="N647" s="39" t="s">
        <v>418</v>
      </c>
    </row>
    <row r="648" spans="1:14" s="12" customFormat="1" ht="30">
      <c r="A648" s="178" t="s">
        <v>96</v>
      </c>
      <c r="B648" s="75" t="s">
        <v>1473</v>
      </c>
      <c r="C648" s="39" t="s">
        <v>343</v>
      </c>
      <c r="D648" s="236"/>
      <c r="E648" s="236"/>
      <c r="F648" s="236"/>
      <c r="G648" s="236"/>
      <c r="H648" s="236">
        <f>SUM(Tabla132112414[[#This Row],[PRIMER TRIMESTRE]:[CUARTO TRIMESTRE]])</f>
        <v>0</v>
      </c>
      <c r="I648" s="17">
        <v>126</v>
      </c>
      <c r="J648" s="17">
        <f t="shared" si="18"/>
        <v>0</v>
      </c>
      <c r="K648" s="17"/>
      <c r="L648" s="17" t="s">
        <v>18</v>
      </c>
      <c r="M648" s="16" t="s">
        <v>22</v>
      </c>
      <c r="N648" s="39" t="s">
        <v>418</v>
      </c>
    </row>
    <row r="649" spans="1:14" s="12" customFormat="1" ht="30">
      <c r="A649" s="178" t="s">
        <v>96</v>
      </c>
      <c r="B649" s="75" t="s">
        <v>1474</v>
      </c>
      <c r="C649" s="39" t="s">
        <v>343</v>
      </c>
      <c r="D649" s="236"/>
      <c r="E649" s="236"/>
      <c r="F649" s="236"/>
      <c r="G649" s="236"/>
      <c r="H649" s="236">
        <f>SUM(Tabla132112414[[#This Row],[PRIMER TRIMESTRE]:[CUARTO TRIMESTRE]])</f>
        <v>0</v>
      </c>
      <c r="I649" s="17">
        <v>10.8</v>
      </c>
      <c r="J649" s="17">
        <f t="shared" si="18"/>
        <v>0</v>
      </c>
      <c r="K649" s="17"/>
      <c r="L649" s="17" t="s">
        <v>18</v>
      </c>
      <c r="M649" s="16" t="s">
        <v>22</v>
      </c>
      <c r="N649" s="39" t="s">
        <v>418</v>
      </c>
    </row>
    <row r="650" spans="1:14" s="12" customFormat="1" ht="30">
      <c r="A650" s="178" t="s">
        <v>96</v>
      </c>
      <c r="B650" s="75" t="s">
        <v>1475</v>
      </c>
      <c r="C650" s="39" t="s">
        <v>343</v>
      </c>
      <c r="D650" s="236"/>
      <c r="E650" s="236"/>
      <c r="F650" s="236"/>
      <c r="G650" s="236"/>
      <c r="H650" s="236">
        <f>SUM(Tabla132112414[[#This Row],[PRIMER TRIMESTRE]:[CUARTO TRIMESTRE]])</f>
        <v>0</v>
      </c>
      <c r="I650" s="17">
        <v>98.88</v>
      </c>
      <c r="J650" s="17">
        <f t="shared" si="18"/>
        <v>0</v>
      </c>
      <c r="K650" s="17"/>
      <c r="L650" s="17" t="s">
        <v>18</v>
      </c>
      <c r="M650" s="16" t="s">
        <v>22</v>
      </c>
      <c r="N650" s="39" t="s">
        <v>418</v>
      </c>
    </row>
    <row r="651" spans="1:14" s="12" customFormat="1" ht="30">
      <c r="A651" s="178" t="s">
        <v>96</v>
      </c>
      <c r="B651" s="75" t="s">
        <v>1480</v>
      </c>
      <c r="C651" s="39" t="s">
        <v>343</v>
      </c>
      <c r="D651" s="236"/>
      <c r="E651" s="236"/>
      <c r="F651" s="236"/>
      <c r="G651" s="236"/>
      <c r="H651" s="236">
        <f>SUM(Tabla132112414[[#This Row],[PRIMER TRIMESTRE]:[CUARTO TRIMESTRE]])</f>
        <v>0</v>
      </c>
      <c r="I651" s="17">
        <v>169.73</v>
      </c>
      <c r="J651" s="17">
        <f t="shared" si="18"/>
        <v>0</v>
      </c>
      <c r="K651" s="17"/>
      <c r="L651" s="17" t="s">
        <v>18</v>
      </c>
      <c r="M651" s="16" t="s">
        <v>22</v>
      </c>
      <c r="N651" s="39" t="s">
        <v>418</v>
      </c>
    </row>
    <row r="652" spans="1:14" s="12" customFormat="1" ht="30">
      <c r="A652" s="178" t="s">
        <v>96</v>
      </c>
      <c r="B652" s="75" t="s">
        <v>1481</v>
      </c>
      <c r="C652" s="39" t="s">
        <v>343</v>
      </c>
      <c r="D652" s="236"/>
      <c r="E652" s="236"/>
      <c r="F652" s="236"/>
      <c r="G652" s="236"/>
      <c r="H652" s="236">
        <f>SUM(Tabla132112414[[#This Row],[PRIMER TRIMESTRE]:[CUARTO TRIMESTRE]])</f>
        <v>0</v>
      </c>
      <c r="I652" s="17">
        <v>49</v>
      </c>
      <c r="J652" s="17">
        <f t="shared" si="18"/>
        <v>0</v>
      </c>
      <c r="K652" s="17"/>
      <c r="L652" s="17" t="s">
        <v>18</v>
      </c>
      <c r="M652" s="16" t="s">
        <v>22</v>
      </c>
      <c r="N652" s="39" t="s">
        <v>418</v>
      </c>
    </row>
    <row r="653" spans="1:14" s="12" customFormat="1" ht="30">
      <c r="A653" s="178" t="s">
        <v>96</v>
      </c>
      <c r="B653" s="75" t="s">
        <v>1691</v>
      </c>
      <c r="C653" s="39" t="s">
        <v>343</v>
      </c>
      <c r="D653" s="236"/>
      <c r="E653" s="236"/>
      <c r="F653" s="236"/>
      <c r="G653" s="236"/>
      <c r="H653" s="40">
        <v>0</v>
      </c>
      <c r="I653" s="17">
        <v>0</v>
      </c>
      <c r="J653" s="17">
        <v>0</v>
      </c>
      <c r="K653" s="17"/>
      <c r="L653" s="17" t="s">
        <v>18</v>
      </c>
      <c r="M653" s="16" t="s">
        <v>22</v>
      </c>
      <c r="N653" s="39" t="s">
        <v>418</v>
      </c>
    </row>
    <row r="654" spans="1:14" s="12" customFormat="1" ht="30">
      <c r="A654" s="178" t="s">
        <v>96</v>
      </c>
      <c r="B654" s="75" t="s">
        <v>813</v>
      </c>
      <c r="C654" s="39" t="s">
        <v>343</v>
      </c>
      <c r="D654" s="236"/>
      <c r="E654" s="236"/>
      <c r="F654" s="236"/>
      <c r="G654" s="236"/>
      <c r="H654" s="236">
        <f>SUM(Tabla132112414[[#This Row],[PRIMER TRIMESTRE]:[CUARTO TRIMESTRE]])</f>
        <v>0</v>
      </c>
      <c r="I654" s="17">
        <v>309.39999999999998</v>
      </c>
      <c r="J654" s="17">
        <f t="shared" si="18"/>
        <v>0</v>
      </c>
      <c r="K654" s="17"/>
      <c r="L654" s="17" t="s">
        <v>18</v>
      </c>
      <c r="M654" s="16" t="s">
        <v>22</v>
      </c>
      <c r="N654" s="39" t="s">
        <v>418</v>
      </c>
    </row>
    <row r="655" spans="1:14" s="12" customFormat="1" ht="30">
      <c r="A655" s="178" t="s">
        <v>1676</v>
      </c>
      <c r="B655" s="75" t="s">
        <v>1853</v>
      </c>
      <c r="C655" s="39" t="s">
        <v>343</v>
      </c>
      <c r="D655" s="236"/>
      <c r="E655" s="236"/>
      <c r="F655" s="236"/>
      <c r="G655" s="236"/>
      <c r="H655" s="40">
        <v>0</v>
      </c>
      <c r="I655" s="17">
        <v>0</v>
      </c>
      <c r="J655" s="17">
        <v>0</v>
      </c>
      <c r="K655" s="17"/>
      <c r="L655" s="17" t="s">
        <v>18</v>
      </c>
      <c r="M655" s="16" t="s">
        <v>22</v>
      </c>
      <c r="N655" s="39" t="s">
        <v>418</v>
      </c>
    </row>
    <row r="656" spans="1:14" s="12" customFormat="1" ht="30">
      <c r="A656" s="178" t="s">
        <v>96</v>
      </c>
      <c r="B656" s="75" t="s">
        <v>1571</v>
      </c>
      <c r="C656" s="39" t="s">
        <v>17</v>
      </c>
      <c r="D656" s="236"/>
      <c r="E656" s="236"/>
      <c r="F656" s="236"/>
      <c r="G656" s="236"/>
      <c r="H656" s="236">
        <f>SUM(Tabla132112414[[#This Row],[PRIMER TRIMESTRE]:[CUARTO TRIMESTRE]])</f>
        <v>0</v>
      </c>
      <c r="I656" s="17">
        <v>131500</v>
      </c>
      <c r="J656" s="17">
        <f t="shared" si="18"/>
        <v>0</v>
      </c>
      <c r="K656" s="17"/>
      <c r="L656" s="17" t="s">
        <v>18</v>
      </c>
      <c r="M656" s="16" t="s">
        <v>22</v>
      </c>
      <c r="N656" s="39" t="s">
        <v>418</v>
      </c>
    </row>
    <row r="657" spans="1:14" s="12" customFormat="1" ht="30">
      <c r="A657" s="178" t="s">
        <v>96</v>
      </c>
      <c r="B657" s="75" t="s">
        <v>1570</v>
      </c>
      <c r="C657" s="39" t="s">
        <v>343</v>
      </c>
      <c r="D657" s="236"/>
      <c r="E657" s="236"/>
      <c r="F657" s="236"/>
      <c r="G657" s="236"/>
      <c r="H657" s="236">
        <f>SUM(Tabla132112414[[#This Row],[PRIMER TRIMESTRE]:[CUARTO TRIMESTRE]])</f>
        <v>0</v>
      </c>
      <c r="I657" s="17">
        <v>31.11</v>
      </c>
      <c r="J657" s="17">
        <f t="shared" si="18"/>
        <v>0</v>
      </c>
      <c r="K657" s="17"/>
      <c r="L657" s="17" t="s">
        <v>18</v>
      </c>
      <c r="M657" s="16" t="s">
        <v>22</v>
      </c>
      <c r="N657" s="39" t="s">
        <v>418</v>
      </c>
    </row>
    <row r="658" spans="1:14" s="12" customFormat="1" ht="30">
      <c r="A658" s="178" t="s">
        <v>96</v>
      </c>
      <c r="B658" s="75" t="s">
        <v>1603</v>
      </c>
      <c r="C658" s="39" t="s">
        <v>343</v>
      </c>
      <c r="D658" s="236"/>
      <c r="E658" s="236"/>
      <c r="F658" s="236"/>
      <c r="G658" s="236"/>
      <c r="H658" s="236">
        <f>SUM(Tabla132112414[[#This Row],[PRIMER TRIMESTRE]:[CUARTO TRIMESTRE]])</f>
        <v>0</v>
      </c>
      <c r="I658" s="17">
        <v>75.61</v>
      </c>
      <c r="J658" s="17">
        <f t="shared" si="18"/>
        <v>0</v>
      </c>
      <c r="K658" s="17"/>
      <c r="L658" s="17" t="s">
        <v>18</v>
      </c>
      <c r="M658" s="16" t="s">
        <v>22</v>
      </c>
      <c r="N658" s="39" t="s">
        <v>418</v>
      </c>
    </row>
    <row r="659" spans="1:14" s="12" customFormat="1" ht="30">
      <c r="A659" s="178" t="s">
        <v>96</v>
      </c>
      <c r="B659" s="75" t="s">
        <v>1602</v>
      </c>
      <c r="C659" s="39" t="s">
        <v>343</v>
      </c>
      <c r="D659" s="236"/>
      <c r="E659" s="236"/>
      <c r="F659" s="236"/>
      <c r="G659" s="236"/>
      <c r="H659" s="236">
        <f>SUM(Tabla132112414[[#This Row],[PRIMER TRIMESTRE]:[CUARTO TRIMESTRE]])</f>
        <v>0</v>
      </c>
      <c r="I659" s="17">
        <v>77.77</v>
      </c>
      <c r="J659" s="17">
        <f t="shared" si="18"/>
        <v>0</v>
      </c>
      <c r="K659" s="17"/>
      <c r="L659" s="17" t="s">
        <v>18</v>
      </c>
      <c r="M659" s="16" t="s">
        <v>22</v>
      </c>
      <c r="N659" s="39" t="s">
        <v>418</v>
      </c>
    </row>
    <row r="660" spans="1:14" s="12" customFormat="1" ht="30">
      <c r="A660" s="178" t="s">
        <v>96</v>
      </c>
      <c r="B660" s="75" t="s">
        <v>814</v>
      </c>
      <c r="C660" s="39" t="s">
        <v>343</v>
      </c>
      <c r="D660" s="236"/>
      <c r="E660" s="236"/>
      <c r="F660" s="236"/>
      <c r="G660" s="236"/>
      <c r="H660" s="40">
        <f>SUM(Tabla132112414[[#This Row],[PRIMER TRIMESTRE]:[CUARTO TRIMESTRE]])</f>
        <v>0</v>
      </c>
      <c r="I660" s="17">
        <v>380.3</v>
      </c>
      <c r="J660" s="17">
        <f t="shared" si="18"/>
        <v>0</v>
      </c>
      <c r="K660" s="17"/>
      <c r="L660" s="17" t="s">
        <v>18</v>
      </c>
      <c r="M660" s="16" t="s">
        <v>22</v>
      </c>
      <c r="N660" s="39" t="s">
        <v>418</v>
      </c>
    </row>
    <row r="661" spans="1:14" s="12" customFormat="1" ht="30">
      <c r="A661" s="178" t="s">
        <v>96</v>
      </c>
      <c r="B661" s="77" t="s">
        <v>874</v>
      </c>
      <c r="C661" s="39" t="s">
        <v>17</v>
      </c>
      <c r="D661" s="236"/>
      <c r="E661" s="236"/>
      <c r="F661" s="236"/>
      <c r="G661" s="236"/>
      <c r="H661" s="40">
        <f>SUM(Tabla132112414[[#This Row],[PRIMER TRIMESTRE]:[CUARTO TRIMESTRE]])</f>
        <v>0</v>
      </c>
      <c r="I661" s="17">
        <v>110</v>
      </c>
      <c r="J661" s="17">
        <f t="shared" si="18"/>
        <v>0</v>
      </c>
      <c r="K661" s="17"/>
      <c r="L661" s="16" t="s">
        <v>18</v>
      </c>
      <c r="M661" s="16" t="s">
        <v>22</v>
      </c>
      <c r="N661" s="39"/>
    </row>
    <row r="662" spans="1:14" s="12" customFormat="1" ht="30">
      <c r="A662" s="178" t="s">
        <v>96</v>
      </c>
      <c r="B662" s="77" t="s">
        <v>875</v>
      </c>
      <c r="C662" s="39" t="s">
        <v>17</v>
      </c>
      <c r="D662" s="236"/>
      <c r="E662" s="236"/>
      <c r="F662" s="236"/>
      <c r="G662" s="236"/>
      <c r="H662" s="40">
        <f>SUM(Tabla132112414[[#This Row],[PRIMER TRIMESTRE]:[CUARTO TRIMESTRE]])</f>
        <v>0</v>
      </c>
      <c r="I662" s="17">
        <v>125</v>
      </c>
      <c r="J662" s="17">
        <f t="shared" si="18"/>
        <v>0</v>
      </c>
      <c r="K662" s="17"/>
      <c r="L662" s="16" t="s">
        <v>18</v>
      </c>
      <c r="M662" s="16" t="s">
        <v>22</v>
      </c>
      <c r="N662" s="39"/>
    </row>
    <row r="663" spans="1:14" s="12" customFormat="1" ht="30">
      <c r="A663" s="178" t="s">
        <v>96</v>
      </c>
      <c r="B663" s="77" t="s">
        <v>876</v>
      </c>
      <c r="C663" s="39" t="s">
        <v>17</v>
      </c>
      <c r="D663" s="236"/>
      <c r="E663" s="236"/>
      <c r="F663" s="236"/>
      <c r="G663" s="236"/>
      <c r="H663" s="40">
        <f>SUM(Tabla132112414[[#This Row],[PRIMER TRIMESTRE]:[CUARTO TRIMESTRE]])</f>
        <v>0</v>
      </c>
      <c r="I663" s="17">
        <v>135</v>
      </c>
      <c r="J663" s="17">
        <f t="shared" si="18"/>
        <v>0</v>
      </c>
      <c r="K663" s="17"/>
      <c r="L663" s="16" t="s">
        <v>18</v>
      </c>
      <c r="M663" s="16" t="s">
        <v>22</v>
      </c>
      <c r="N663" s="39"/>
    </row>
    <row r="664" spans="1:14" s="12" customFormat="1" ht="30">
      <c r="A664" s="178" t="s">
        <v>96</v>
      </c>
      <c r="B664" s="77" t="s">
        <v>877</v>
      </c>
      <c r="C664" s="39" t="s">
        <v>17</v>
      </c>
      <c r="D664" s="236"/>
      <c r="E664" s="236"/>
      <c r="F664" s="236"/>
      <c r="G664" s="236"/>
      <c r="H664" s="40">
        <f>SUM(Tabla132112414[[#This Row],[PRIMER TRIMESTRE]:[CUARTO TRIMESTRE]])</f>
        <v>0</v>
      </c>
      <c r="I664" s="17">
        <v>175</v>
      </c>
      <c r="J664" s="17">
        <f t="shared" si="18"/>
        <v>0</v>
      </c>
      <c r="K664" s="17"/>
      <c r="L664" s="16" t="s">
        <v>18</v>
      </c>
      <c r="M664" s="16" t="s">
        <v>22</v>
      </c>
      <c r="N664" s="39"/>
    </row>
    <row r="665" spans="1:14" s="12" customFormat="1" ht="30">
      <c r="A665" s="178" t="s">
        <v>96</v>
      </c>
      <c r="B665" s="77" t="s">
        <v>878</v>
      </c>
      <c r="C665" s="39" t="s">
        <v>17</v>
      </c>
      <c r="D665" s="236"/>
      <c r="E665" s="236"/>
      <c r="F665" s="236"/>
      <c r="G665" s="236"/>
      <c r="H665" s="40">
        <f>SUM(Tabla132112414[[#This Row],[PRIMER TRIMESTRE]:[CUARTO TRIMESTRE]])</f>
        <v>0</v>
      </c>
      <c r="I665" s="17">
        <v>191</v>
      </c>
      <c r="J665" s="17">
        <f t="shared" si="18"/>
        <v>0</v>
      </c>
      <c r="K665" s="17"/>
      <c r="L665" s="16" t="s">
        <v>18</v>
      </c>
      <c r="M665" s="16" t="s">
        <v>22</v>
      </c>
      <c r="N665" s="39"/>
    </row>
    <row r="666" spans="1:14" s="12" customFormat="1" ht="30">
      <c r="A666" s="178" t="s">
        <v>96</v>
      </c>
      <c r="B666" s="77" t="s">
        <v>1595</v>
      </c>
      <c r="C666" s="39" t="s">
        <v>17</v>
      </c>
      <c r="D666" s="236"/>
      <c r="E666" s="236"/>
      <c r="F666" s="236"/>
      <c r="G666" s="236"/>
      <c r="H666" s="236">
        <f>SUM(Tabla132112414[[#This Row],[PRIMER TRIMESTRE]:[CUARTO TRIMESTRE]])</f>
        <v>0</v>
      </c>
      <c r="I666" s="17">
        <v>371.2</v>
      </c>
      <c r="J666" s="17">
        <f t="shared" si="18"/>
        <v>0</v>
      </c>
      <c r="K666" s="17"/>
      <c r="L666" s="16" t="s">
        <v>18</v>
      </c>
      <c r="M666" s="16" t="s">
        <v>22</v>
      </c>
      <c r="N666" s="39"/>
    </row>
    <row r="667" spans="1:14" s="12" customFormat="1" ht="30">
      <c r="A667" s="178" t="s">
        <v>96</v>
      </c>
      <c r="B667" s="77" t="s">
        <v>879</v>
      </c>
      <c r="C667" s="39" t="s">
        <v>17</v>
      </c>
      <c r="D667" s="236"/>
      <c r="E667" s="236"/>
      <c r="F667" s="236"/>
      <c r="G667" s="236"/>
      <c r="H667" s="40">
        <f>SUM(Tabla132112414[[#This Row],[PRIMER TRIMESTRE]:[CUARTO TRIMESTRE]])</f>
        <v>0</v>
      </c>
      <c r="I667" s="17">
        <v>23600</v>
      </c>
      <c r="J667" s="17">
        <f t="shared" si="18"/>
        <v>0</v>
      </c>
      <c r="K667" s="17"/>
      <c r="L667" s="16" t="s">
        <v>18</v>
      </c>
      <c r="M667" s="16" t="s">
        <v>22</v>
      </c>
      <c r="N667" s="39"/>
    </row>
    <row r="668" spans="1:14" s="12" customFormat="1" ht="30">
      <c r="A668" s="178" t="s">
        <v>96</v>
      </c>
      <c r="B668" s="77" t="s">
        <v>1518</v>
      </c>
      <c r="C668" s="39" t="s">
        <v>208</v>
      </c>
      <c r="D668" s="236"/>
      <c r="E668" s="236"/>
      <c r="F668" s="236"/>
      <c r="G668" s="236"/>
      <c r="H668" s="236">
        <f>SUM(Tabla132112414[[#This Row],[PRIMER TRIMESTRE]:[CUARTO TRIMESTRE]])</f>
        <v>0</v>
      </c>
      <c r="I668" s="17">
        <v>1500.62</v>
      </c>
      <c r="J668" s="17">
        <f t="shared" si="18"/>
        <v>0</v>
      </c>
      <c r="K668" s="17"/>
      <c r="L668" s="16" t="s">
        <v>18</v>
      </c>
      <c r="M668" s="16" t="s">
        <v>22</v>
      </c>
      <c r="N668" s="39"/>
    </row>
    <row r="669" spans="1:14" s="12" customFormat="1" ht="30">
      <c r="A669" s="178" t="s">
        <v>96</v>
      </c>
      <c r="B669" s="77" t="s">
        <v>1519</v>
      </c>
      <c r="C669" s="39" t="s">
        <v>208</v>
      </c>
      <c r="D669" s="236"/>
      <c r="E669" s="236"/>
      <c r="F669" s="236"/>
      <c r="G669" s="236"/>
      <c r="H669" s="236">
        <f>SUM(Tabla132112414[[#This Row],[PRIMER TRIMESTRE]:[CUARTO TRIMESTRE]])</f>
        <v>0</v>
      </c>
      <c r="I669" s="17">
        <v>942.48</v>
      </c>
      <c r="J669" s="17">
        <f t="shared" si="18"/>
        <v>0</v>
      </c>
      <c r="K669" s="17"/>
      <c r="L669" s="16" t="s">
        <v>18</v>
      </c>
      <c r="M669" s="16" t="s">
        <v>22</v>
      </c>
      <c r="N669" s="39"/>
    </row>
    <row r="670" spans="1:14" s="12" customFormat="1" ht="30">
      <c r="A670" s="178" t="s">
        <v>96</v>
      </c>
      <c r="B670" s="77" t="s">
        <v>1520</v>
      </c>
      <c r="C670" s="39" t="s">
        <v>208</v>
      </c>
      <c r="D670" s="236"/>
      <c r="E670" s="236"/>
      <c r="F670" s="236"/>
      <c r="G670" s="236"/>
      <c r="H670" s="236">
        <f>SUM(Tabla132112414[[#This Row],[PRIMER TRIMESTRE]:[CUARTO TRIMESTRE]])</f>
        <v>0</v>
      </c>
      <c r="I670" s="17">
        <v>942.48</v>
      </c>
      <c r="J670" s="17">
        <f t="shared" si="18"/>
        <v>0</v>
      </c>
      <c r="K670" s="17"/>
      <c r="L670" s="16" t="s">
        <v>18</v>
      </c>
      <c r="M670" s="16" t="s">
        <v>22</v>
      </c>
      <c r="N670" s="39"/>
    </row>
    <row r="671" spans="1:14" s="12" customFormat="1" ht="30">
      <c r="A671" s="178" t="s">
        <v>96</v>
      </c>
      <c r="B671" s="77" t="s">
        <v>880</v>
      </c>
      <c r="C671" s="39" t="s">
        <v>17</v>
      </c>
      <c r="D671" s="236"/>
      <c r="E671" s="236"/>
      <c r="F671" s="236"/>
      <c r="G671" s="236"/>
      <c r="H671" s="40">
        <f>SUM(Tabla132112414[[#This Row],[PRIMER TRIMESTRE]:[CUARTO TRIMESTRE]])</f>
        <v>0</v>
      </c>
      <c r="I671" s="17">
        <v>25850</v>
      </c>
      <c r="J671" s="17">
        <f t="shared" si="18"/>
        <v>0</v>
      </c>
      <c r="K671" s="17"/>
      <c r="L671" s="16" t="s">
        <v>18</v>
      </c>
      <c r="M671" s="16" t="s">
        <v>22</v>
      </c>
      <c r="N671" s="39"/>
    </row>
    <row r="672" spans="1:14" s="12" customFormat="1" ht="38.25">
      <c r="A672" s="178" t="s">
        <v>96</v>
      </c>
      <c r="B672" s="77" t="s">
        <v>924</v>
      </c>
      <c r="C672" s="39" t="s">
        <v>17</v>
      </c>
      <c r="D672" s="236"/>
      <c r="E672" s="236"/>
      <c r="F672" s="236"/>
      <c r="G672" s="236"/>
      <c r="H672" s="40">
        <f>SUM(Tabla132112414[[#This Row],[PRIMER TRIMESTRE]:[CUARTO TRIMESTRE]])</f>
        <v>0</v>
      </c>
      <c r="I672" s="17">
        <v>100000</v>
      </c>
      <c r="J672" s="17">
        <f t="shared" si="18"/>
        <v>0</v>
      </c>
      <c r="K672" s="17"/>
      <c r="L672" s="16" t="s">
        <v>18</v>
      </c>
      <c r="M672" s="16" t="s">
        <v>22</v>
      </c>
      <c r="N672" s="39"/>
    </row>
    <row r="673" spans="1:14" s="12" customFormat="1" ht="30">
      <c r="A673" s="178" t="s">
        <v>96</v>
      </c>
      <c r="B673" s="75" t="s">
        <v>882</v>
      </c>
      <c r="C673" s="39" t="s">
        <v>17</v>
      </c>
      <c r="D673" s="236"/>
      <c r="E673" s="236"/>
      <c r="F673" s="236"/>
      <c r="G673" s="236"/>
      <c r="H673" s="40">
        <f>SUM(Tabla132112414[[#This Row],[PRIMER TRIMESTRE]:[CUARTO TRIMESTRE]])</f>
        <v>0</v>
      </c>
      <c r="I673" s="17">
        <v>600</v>
      </c>
      <c r="J673" s="17">
        <f t="shared" si="18"/>
        <v>0</v>
      </c>
      <c r="K673" s="17"/>
      <c r="L673" s="16" t="s">
        <v>18</v>
      </c>
      <c r="M673" s="16" t="s">
        <v>22</v>
      </c>
      <c r="N673" s="39"/>
    </row>
    <row r="674" spans="1:14" s="12" customFormat="1" ht="30">
      <c r="A674" s="178" t="s">
        <v>96</v>
      </c>
      <c r="B674" s="75" t="s">
        <v>883</v>
      </c>
      <c r="C674" s="39" t="s">
        <v>17</v>
      </c>
      <c r="D674" s="236"/>
      <c r="E674" s="236"/>
      <c r="F674" s="236"/>
      <c r="G674" s="236"/>
      <c r="H674" s="40">
        <f>SUM(Tabla132112414[[#This Row],[PRIMER TRIMESTRE]:[CUARTO TRIMESTRE]])</f>
        <v>0</v>
      </c>
      <c r="I674" s="17">
        <v>350</v>
      </c>
      <c r="J674" s="17">
        <f t="shared" si="18"/>
        <v>0</v>
      </c>
      <c r="K674" s="17"/>
      <c r="L674" s="16" t="s">
        <v>18</v>
      </c>
      <c r="M674" s="16" t="s">
        <v>22</v>
      </c>
      <c r="N674" s="39"/>
    </row>
    <row r="675" spans="1:14" s="12" customFormat="1" ht="30">
      <c r="A675" s="178" t="s">
        <v>96</v>
      </c>
      <c r="B675" s="75" t="s">
        <v>884</v>
      </c>
      <c r="C675" s="39" t="s">
        <v>17</v>
      </c>
      <c r="D675" s="236"/>
      <c r="E675" s="236"/>
      <c r="F675" s="236"/>
      <c r="G675" s="236"/>
      <c r="H675" s="40">
        <f>SUM(Tabla132112414[[#This Row],[PRIMER TRIMESTRE]:[CUARTO TRIMESTRE]])</f>
        <v>0</v>
      </c>
      <c r="I675" s="17">
        <v>450</v>
      </c>
      <c r="J675" s="17">
        <f t="shared" si="18"/>
        <v>0</v>
      </c>
      <c r="K675" s="17"/>
      <c r="L675" s="16" t="s">
        <v>18</v>
      </c>
      <c r="M675" s="16" t="s">
        <v>22</v>
      </c>
      <c r="N675" s="39"/>
    </row>
    <row r="676" spans="1:14" s="12" customFormat="1" ht="30">
      <c r="A676" s="178" t="s">
        <v>96</v>
      </c>
      <c r="B676" s="75" t="s">
        <v>885</v>
      </c>
      <c r="C676" s="39" t="s">
        <v>344</v>
      </c>
      <c r="D676" s="236"/>
      <c r="E676" s="236"/>
      <c r="F676" s="236"/>
      <c r="G676" s="236"/>
      <c r="H676" s="40">
        <f>SUM(Tabla132112414[[#This Row],[PRIMER TRIMESTRE]:[CUARTO TRIMESTRE]])</f>
        <v>0</v>
      </c>
      <c r="I676" s="17">
        <v>3650</v>
      </c>
      <c r="J676" s="17">
        <f t="shared" si="18"/>
        <v>0</v>
      </c>
      <c r="K676" s="17"/>
      <c r="L676" s="16" t="s">
        <v>18</v>
      </c>
      <c r="M676" s="16" t="s">
        <v>22</v>
      </c>
      <c r="N676" s="39"/>
    </row>
    <row r="677" spans="1:14" s="12" customFormat="1" ht="30">
      <c r="A677" s="178" t="s">
        <v>96</v>
      </c>
      <c r="B677" s="75" t="s">
        <v>886</v>
      </c>
      <c r="C677" s="39" t="s">
        <v>344</v>
      </c>
      <c r="D677" s="236"/>
      <c r="E677" s="236"/>
      <c r="F677" s="236"/>
      <c r="G677" s="236"/>
      <c r="H677" s="40">
        <f>SUM(Tabla132112414[[#This Row],[PRIMER TRIMESTRE]:[CUARTO TRIMESTRE]])</f>
        <v>0</v>
      </c>
      <c r="I677" s="17">
        <v>3650</v>
      </c>
      <c r="J677" s="17">
        <f t="shared" si="18"/>
        <v>0</v>
      </c>
      <c r="K677" s="17"/>
      <c r="L677" s="16" t="s">
        <v>18</v>
      </c>
      <c r="M677" s="16" t="s">
        <v>22</v>
      </c>
      <c r="N677" s="39"/>
    </row>
    <row r="678" spans="1:14" s="12" customFormat="1" ht="30">
      <c r="A678" s="178" t="s">
        <v>96</v>
      </c>
      <c r="B678" s="75" t="s">
        <v>887</v>
      </c>
      <c r="C678" s="39" t="s">
        <v>344</v>
      </c>
      <c r="D678" s="236"/>
      <c r="E678" s="236"/>
      <c r="F678" s="236"/>
      <c r="G678" s="236"/>
      <c r="H678" s="40">
        <f>SUM(Tabla132112414[[#This Row],[PRIMER TRIMESTRE]:[CUARTO TRIMESTRE]])</f>
        <v>0</v>
      </c>
      <c r="I678" s="17">
        <v>3650</v>
      </c>
      <c r="J678" s="17">
        <f t="shared" si="18"/>
        <v>0</v>
      </c>
      <c r="K678" s="17"/>
      <c r="L678" s="16" t="s">
        <v>18</v>
      </c>
      <c r="M678" s="16" t="s">
        <v>22</v>
      </c>
      <c r="N678" s="39"/>
    </row>
    <row r="679" spans="1:14" s="12" customFormat="1" ht="30">
      <c r="A679" s="178" t="s">
        <v>96</v>
      </c>
      <c r="B679" s="75" t="s">
        <v>888</v>
      </c>
      <c r="C679" s="39" t="s">
        <v>344</v>
      </c>
      <c r="D679" s="236"/>
      <c r="E679" s="236"/>
      <c r="F679" s="236"/>
      <c r="G679" s="236"/>
      <c r="H679" s="40">
        <f>SUM(Tabla132112414[[#This Row],[PRIMER TRIMESTRE]:[CUARTO TRIMESTRE]])</f>
        <v>0</v>
      </c>
      <c r="I679" s="17">
        <v>3650</v>
      </c>
      <c r="J679" s="17">
        <f t="shared" si="18"/>
        <v>0</v>
      </c>
      <c r="K679" s="17"/>
      <c r="L679" s="16" t="s">
        <v>18</v>
      </c>
      <c r="M679" s="16" t="s">
        <v>22</v>
      </c>
      <c r="N679" s="39"/>
    </row>
    <row r="680" spans="1:14" s="12" customFormat="1" ht="30">
      <c r="A680" s="178" t="s">
        <v>96</v>
      </c>
      <c r="B680" s="75" t="s">
        <v>815</v>
      </c>
      <c r="C680" s="39" t="s">
        <v>17</v>
      </c>
      <c r="D680" s="236"/>
      <c r="E680" s="236"/>
      <c r="F680" s="236"/>
      <c r="G680" s="236"/>
      <c r="H680" s="40">
        <f>SUM(Tabla132112414[[#This Row],[PRIMER TRIMESTRE]:[CUARTO TRIMESTRE]])</f>
        <v>0</v>
      </c>
      <c r="I680" s="17">
        <v>4625.12</v>
      </c>
      <c r="J680" s="17">
        <f t="shared" si="18"/>
        <v>0</v>
      </c>
      <c r="K680" s="17"/>
      <c r="L680" s="17" t="s">
        <v>18</v>
      </c>
      <c r="M680" s="16" t="s">
        <v>22</v>
      </c>
      <c r="N680" s="39"/>
    </row>
    <row r="681" spans="1:14" s="12" customFormat="1" ht="30">
      <c r="A681" s="178" t="s">
        <v>96</v>
      </c>
      <c r="B681" s="75" t="s">
        <v>913</v>
      </c>
      <c r="C681" s="39" t="s">
        <v>343</v>
      </c>
      <c r="D681" s="236"/>
      <c r="E681" s="236"/>
      <c r="F681" s="236"/>
      <c r="G681" s="236"/>
      <c r="H681" s="40">
        <f>SUM(Tabla132112414[[#This Row],[PRIMER TRIMESTRE]:[CUARTO TRIMESTRE]])</f>
        <v>0</v>
      </c>
      <c r="I681" s="72">
        <v>80</v>
      </c>
      <c r="J681" s="17">
        <f t="shared" si="18"/>
        <v>0</v>
      </c>
      <c r="K681" s="17"/>
      <c r="L681" s="16" t="s">
        <v>18</v>
      </c>
      <c r="M681" s="16" t="s">
        <v>22</v>
      </c>
      <c r="N681" s="39"/>
    </row>
    <row r="682" spans="1:14" s="12" customFormat="1" ht="30">
      <c r="A682" s="178" t="s">
        <v>96</v>
      </c>
      <c r="B682" s="75" t="s">
        <v>914</v>
      </c>
      <c r="C682" s="39" t="s">
        <v>343</v>
      </c>
      <c r="D682" s="236"/>
      <c r="E682" s="236"/>
      <c r="F682" s="236"/>
      <c r="G682" s="236"/>
      <c r="H682" s="40">
        <f>SUM(Tabla132112414[[#This Row],[PRIMER TRIMESTRE]:[CUARTO TRIMESTRE]])</f>
        <v>0</v>
      </c>
      <c r="I682" s="17">
        <v>112</v>
      </c>
      <c r="J682" s="17">
        <f t="shared" si="18"/>
        <v>0</v>
      </c>
      <c r="K682" s="17"/>
      <c r="L682" s="16" t="s">
        <v>18</v>
      </c>
      <c r="M682" s="16" t="s">
        <v>22</v>
      </c>
      <c r="N682" s="39"/>
    </row>
    <row r="683" spans="1:14" s="12" customFormat="1" ht="30">
      <c r="A683" s="178" t="s">
        <v>96</v>
      </c>
      <c r="B683" s="75" t="s">
        <v>915</v>
      </c>
      <c r="C683" s="39" t="s">
        <v>343</v>
      </c>
      <c r="D683" s="236"/>
      <c r="E683" s="236"/>
      <c r="F683" s="236"/>
      <c r="G683" s="236"/>
      <c r="H683" s="40">
        <f>SUM(Tabla132112414[[#This Row],[PRIMER TRIMESTRE]:[CUARTO TRIMESTRE]])</f>
        <v>0</v>
      </c>
      <c r="I683" s="17">
        <v>150</v>
      </c>
      <c r="J683" s="17">
        <f t="shared" si="18"/>
        <v>0</v>
      </c>
      <c r="K683" s="17"/>
      <c r="L683" s="16" t="s">
        <v>18</v>
      </c>
      <c r="M683" s="16" t="s">
        <v>22</v>
      </c>
      <c r="N683" s="39"/>
    </row>
    <row r="684" spans="1:14" s="12" customFormat="1" ht="30">
      <c r="A684" s="178" t="s">
        <v>96</v>
      </c>
      <c r="B684" s="75" t="s">
        <v>916</v>
      </c>
      <c r="C684" s="39" t="s">
        <v>343</v>
      </c>
      <c r="D684" s="236"/>
      <c r="E684" s="236"/>
      <c r="F684" s="236"/>
      <c r="G684" s="236"/>
      <c r="H684" s="40">
        <f>SUM(Tabla132112414[[#This Row],[PRIMER TRIMESTRE]:[CUARTO TRIMESTRE]])</f>
        <v>0</v>
      </c>
      <c r="I684" s="17">
        <v>188</v>
      </c>
      <c r="J684" s="17">
        <f t="shared" si="18"/>
        <v>0</v>
      </c>
      <c r="K684" s="17"/>
      <c r="L684" s="16" t="s">
        <v>18</v>
      </c>
      <c r="M684" s="16" t="s">
        <v>22</v>
      </c>
      <c r="N684" s="39"/>
    </row>
    <row r="685" spans="1:14" s="12" customFormat="1" ht="30">
      <c r="A685" s="178" t="s">
        <v>96</v>
      </c>
      <c r="B685" s="75" t="s">
        <v>917</v>
      </c>
      <c r="C685" s="39" t="s">
        <v>343</v>
      </c>
      <c r="D685" s="236"/>
      <c r="E685" s="236"/>
      <c r="F685" s="236"/>
      <c r="G685" s="236"/>
      <c r="H685" s="40">
        <f>SUM(Tabla132112414[[#This Row],[PRIMER TRIMESTRE]:[CUARTO TRIMESTRE]])</f>
        <v>0</v>
      </c>
      <c r="I685" s="17">
        <v>225</v>
      </c>
      <c r="J685" s="17">
        <f t="shared" si="18"/>
        <v>0</v>
      </c>
      <c r="K685" s="17"/>
      <c r="L685" s="16" t="s">
        <v>18</v>
      </c>
      <c r="M685" s="16" t="s">
        <v>22</v>
      </c>
      <c r="N685" s="39"/>
    </row>
    <row r="686" spans="1:14" s="12" customFormat="1" ht="30">
      <c r="A686" s="178" t="s">
        <v>96</v>
      </c>
      <c r="B686" s="75" t="s">
        <v>918</v>
      </c>
      <c r="C686" s="39" t="s">
        <v>343</v>
      </c>
      <c r="D686" s="236"/>
      <c r="E686" s="236"/>
      <c r="F686" s="236"/>
      <c r="G686" s="236"/>
      <c r="H686" s="40">
        <f>SUM(Tabla132112414[[#This Row],[PRIMER TRIMESTRE]:[CUARTO TRIMESTRE]])</f>
        <v>0</v>
      </c>
      <c r="I686" s="17">
        <v>135</v>
      </c>
      <c r="J686" s="17">
        <f t="shared" si="18"/>
        <v>0</v>
      </c>
      <c r="K686" s="17"/>
      <c r="L686" s="16" t="s">
        <v>18</v>
      </c>
      <c r="M686" s="16" t="s">
        <v>22</v>
      </c>
      <c r="N686" s="39"/>
    </row>
    <row r="687" spans="1:14" s="12" customFormat="1" ht="30">
      <c r="A687" s="178" t="s">
        <v>96</v>
      </c>
      <c r="B687" s="75" t="s">
        <v>1220</v>
      </c>
      <c r="C687" s="39" t="s">
        <v>17</v>
      </c>
      <c r="D687" s="236"/>
      <c r="E687" s="236"/>
      <c r="F687" s="236"/>
      <c r="G687" s="236"/>
      <c r="H687" s="40">
        <f>SUM(Tabla132112414[[#This Row],[PRIMER TRIMESTRE]:[CUARTO TRIMESTRE]])</f>
        <v>0</v>
      </c>
      <c r="I687" s="17">
        <v>12000</v>
      </c>
      <c r="J687" s="17">
        <f t="shared" si="18"/>
        <v>0</v>
      </c>
      <c r="K687" s="17"/>
      <c r="L687" s="16" t="s">
        <v>18</v>
      </c>
      <c r="M687" s="16" t="s">
        <v>22</v>
      </c>
      <c r="N687" s="39"/>
    </row>
    <row r="688" spans="1:14" s="12" customFormat="1" ht="30">
      <c r="A688" s="178" t="s">
        <v>96</v>
      </c>
      <c r="B688" s="75" t="s">
        <v>1221</v>
      </c>
      <c r="C688" s="39" t="s">
        <v>17</v>
      </c>
      <c r="D688" s="236"/>
      <c r="E688" s="236"/>
      <c r="F688" s="236"/>
      <c r="G688" s="236"/>
      <c r="H688" s="40">
        <f>SUM(Tabla132112414[[#This Row],[PRIMER TRIMESTRE]:[CUARTO TRIMESTRE]])</f>
        <v>0</v>
      </c>
      <c r="I688" s="17">
        <v>16000</v>
      </c>
      <c r="J688" s="17">
        <f t="shared" si="18"/>
        <v>0</v>
      </c>
      <c r="K688" s="17"/>
      <c r="L688" s="16" t="s">
        <v>18</v>
      </c>
      <c r="M688" s="16" t="s">
        <v>22</v>
      </c>
      <c r="N688" s="39"/>
    </row>
    <row r="689" spans="1:14" s="12" customFormat="1" ht="30">
      <c r="A689" s="178" t="s">
        <v>96</v>
      </c>
      <c r="B689" s="75" t="s">
        <v>1222</v>
      </c>
      <c r="C689" s="39" t="s">
        <v>17</v>
      </c>
      <c r="D689" s="236"/>
      <c r="E689" s="236"/>
      <c r="F689" s="236"/>
      <c r="G689" s="236"/>
      <c r="H689" s="40">
        <f>SUM(Tabla132112414[[#This Row],[PRIMER TRIMESTRE]:[CUARTO TRIMESTRE]])</f>
        <v>0</v>
      </c>
      <c r="I689" s="17">
        <v>17000</v>
      </c>
      <c r="J689" s="17">
        <f t="shared" si="18"/>
        <v>0</v>
      </c>
      <c r="K689" s="17"/>
      <c r="L689" s="16" t="s">
        <v>18</v>
      </c>
      <c r="M689" s="16" t="s">
        <v>22</v>
      </c>
      <c r="N689" s="39"/>
    </row>
    <row r="690" spans="1:14" s="12" customFormat="1" ht="30">
      <c r="A690" s="178" t="s">
        <v>96</v>
      </c>
      <c r="B690" s="75" t="s">
        <v>1223</v>
      </c>
      <c r="C690" s="39" t="s">
        <v>17</v>
      </c>
      <c r="D690" s="236"/>
      <c r="E690" s="236"/>
      <c r="F690" s="236"/>
      <c r="G690" s="236"/>
      <c r="H690" s="40">
        <f>SUM(Tabla132112414[[#This Row],[PRIMER TRIMESTRE]:[CUARTO TRIMESTRE]])</f>
        <v>0</v>
      </c>
      <c r="I690" s="17">
        <v>19000</v>
      </c>
      <c r="J690" s="17">
        <f t="shared" si="18"/>
        <v>0</v>
      </c>
      <c r="K690" s="17"/>
      <c r="L690" s="16" t="s">
        <v>18</v>
      </c>
      <c r="M690" s="16" t="s">
        <v>22</v>
      </c>
      <c r="N690" s="39"/>
    </row>
    <row r="691" spans="1:14" s="12" customFormat="1" ht="30">
      <c r="A691" s="178" t="s">
        <v>96</v>
      </c>
      <c r="B691" s="75" t="s">
        <v>1224</v>
      </c>
      <c r="C691" s="39" t="s">
        <v>17</v>
      </c>
      <c r="D691" s="236"/>
      <c r="E691" s="236"/>
      <c r="F691" s="236"/>
      <c r="G691" s="236"/>
      <c r="H691" s="40">
        <f>SUM(Tabla132112414[[#This Row],[PRIMER TRIMESTRE]:[CUARTO TRIMESTRE]])</f>
        <v>0</v>
      </c>
      <c r="I691" s="17">
        <v>23000</v>
      </c>
      <c r="J691" s="17">
        <f t="shared" si="18"/>
        <v>0</v>
      </c>
      <c r="K691" s="17"/>
      <c r="L691" s="16" t="s">
        <v>18</v>
      </c>
      <c r="M691" s="16" t="s">
        <v>22</v>
      </c>
      <c r="N691" s="39"/>
    </row>
    <row r="692" spans="1:14" s="12" customFormat="1" ht="30">
      <c r="A692" s="178" t="s">
        <v>96</v>
      </c>
      <c r="B692" s="75" t="s">
        <v>1225</v>
      </c>
      <c r="C692" s="39" t="s">
        <v>17</v>
      </c>
      <c r="D692" s="236"/>
      <c r="E692" s="236"/>
      <c r="F692" s="236"/>
      <c r="G692" s="236"/>
      <c r="H692" s="40">
        <f>SUM(Tabla132112414[[#This Row],[PRIMER TRIMESTRE]:[CUARTO TRIMESTRE]])</f>
        <v>0</v>
      </c>
      <c r="I692" s="17">
        <v>30000</v>
      </c>
      <c r="J692" s="17">
        <f t="shared" si="18"/>
        <v>0</v>
      </c>
      <c r="K692" s="17"/>
      <c r="L692" s="16" t="s">
        <v>18</v>
      </c>
      <c r="M692" s="16" t="s">
        <v>22</v>
      </c>
      <c r="N692" s="39"/>
    </row>
    <row r="693" spans="1:14" s="12" customFormat="1" ht="30">
      <c r="A693" s="178" t="s">
        <v>96</v>
      </c>
      <c r="B693" s="75" t="s">
        <v>1226</v>
      </c>
      <c r="C693" s="39" t="s">
        <v>17</v>
      </c>
      <c r="D693" s="236"/>
      <c r="E693" s="236"/>
      <c r="F693" s="236"/>
      <c r="G693" s="236"/>
      <c r="H693" s="40">
        <f>SUM(Tabla132112414[[#This Row],[PRIMER TRIMESTRE]:[CUARTO TRIMESTRE]])</f>
        <v>0</v>
      </c>
      <c r="I693" s="17">
        <v>42345.120000000003</v>
      </c>
      <c r="J693" s="17">
        <f t="shared" ref="J693:J709" si="19">+H693*I693</f>
        <v>0</v>
      </c>
      <c r="K693" s="17"/>
      <c r="L693" s="16" t="s">
        <v>18</v>
      </c>
      <c r="M693" s="16" t="s">
        <v>22</v>
      </c>
      <c r="N693" s="39"/>
    </row>
    <row r="694" spans="1:14" s="12" customFormat="1" ht="30">
      <c r="A694" s="178" t="s">
        <v>96</v>
      </c>
      <c r="B694" s="75" t="s">
        <v>773</v>
      </c>
      <c r="C694" s="39" t="s">
        <v>17</v>
      </c>
      <c r="D694" s="236"/>
      <c r="E694" s="236"/>
      <c r="F694" s="236"/>
      <c r="G694" s="236"/>
      <c r="H694" s="40">
        <f>SUM(Tabla132112414[[#This Row],[PRIMER TRIMESTRE]:[CUARTO TRIMESTRE]])</f>
        <v>0</v>
      </c>
      <c r="I694" s="72">
        <v>500</v>
      </c>
      <c r="J694" s="17">
        <f t="shared" si="19"/>
        <v>0</v>
      </c>
      <c r="K694" s="17"/>
      <c r="L694" s="16" t="s">
        <v>18</v>
      </c>
      <c r="M694" s="16" t="s">
        <v>22</v>
      </c>
      <c r="N694" s="39" t="s">
        <v>418</v>
      </c>
    </row>
    <row r="695" spans="1:14" s="12" customFormat="1" ht="30">
      <c r="A695" s="178" t="s">
        <v>96</v>
      </c>
      <c r="B695" s="75" t="s">
        <v>774</v>
      </c>
      <c r="C695" s="39" t="s">
        <v>17</v>
      </c>
      <c r="D695" s="236"/>
      <c r="E695" s="236"/>
      <c r="F695" s="236"/>
      <c r="G695" s="236"/>
      <c r="H695" s="40">
        <f>SUM(Tabla132112414[[#This Row],[PRIMER TRIMESTRE]:[CUARTO TRIMESTRE]])</f>
        <v>0</v>
      </c>
      <c r="I695" s="72">
        <v>1380</v>
      </c>
      <c r="J695" s="17">
        <f t="shared" si="19"/>
        <v>0</v>
      </c>
      <c r="K695" s="17"/>
      <c r="L695" s="16" t="s">
        <v>18</v>
      </c>
      <c r="M695" s="16" t="s">
        <v>22</v>
      </c>
      <c r="N695" s="39" t="s">
        <v>418</v>
      </c>
    </row>
    <row r="696" spans="1:14" s="12" customFormat="1" ht="30">
      <c r="A696" s="178" t="s">
        <v>96</v>
      </c>
      <c r="B696" s="75" t="s">
        <v>775</v>
      </c>
      <c r="C696" s="39" t="s">
        <v>17</v>
      </c>
      <c r="D696" s="236"/>
      <c r="E696" s="236"/>
      <c r="F696" s="236"/>
      <c r="G696" s="236"/>
      <c r="H696" s="40">
        <f>SUM(Tabla132112414[[#This Row],[PRIMER TRIMESTRE]:[CUARTO TRIMESTRE]])</f>
        <v>0</v>
      </c>
      <c r="I696" s="72">
        <v>3200</v>
      </c>
      <c r="J696" s="17">
        <f t="shared" si="19"/>
        <v>0</v>
      </c>
      <c r="K696" s="17"/>
      <c r="L696" s="16" t="s">
        <v>18</v>
      </c>
      <c r="M696" s="16" t="s">
        <v>22</v>
      </c>
      <c r="N696" s="39" t="s">
        <v>418</v>
      </c>
    </row>
    <row r="697" spans="1:14" s="12" customFormat="1" ht="51">
      <c r="A697" s="178" t="s">
        <v>96</v>
      </c>
      <c r="B697" s="75" t="s">
        <v>1717</v>
      </c>
      <c r="C697" s="39" t="s">
        <v>17</v>
      </c>
      <c r="D697" s="236"/>
      <c r="E697" s="236"/>
      <c r="F697" s="236"/>
      <c r="G697" s="236"/>
      <c r="H697" s="40">
        <v>0</v>
      </c>
      <c r="I697" s="72">
        <v>0</v>
      </c>
      <c r="J697" s="17">
        <v>0</v>
      </c>
      <c r="K697" s="17"/>
      <c r="L697" s="16" t="s">
        <v>18</v>
      </c>
      <c r="M697" s="16" t="s">
        <v>19</v>
      </c>
      <c r="N697" s="39"/>
    </row>
    <row r="698" spans="1:14" s="12" customFormat="1" ht="51">
      <c r="A698" s="178" t="s">
        <v>96</v>
      </c>
      <c r="B698" s="75" t="s">
        <v>1678</v>
      </c>
      <c r="C698" s="39" t="s">
        <v>17</v>
      </c>
      <c r="D698" s="236"/>
      <c r="E698" s="236"/>
      <c r="F698" s="236"/>
      <c r="G698" s="236"/>
      <c r="H698" s="40">
        <v>0</v>
      </c>
      <c r="I698" s="72">
        <v>0</v>
      </c>
      <c r="J698" s="17">
        <v>0</v>
      </c>
      <c r="K698" s="17"/>
      <c r="L698" s="16" t="s">
        <v>18</v>
      </c>
      <c r="M698" s="16" t="s">
        <v>19</v>
      </c>
      <c r="N698" s="39"/>
    </row>
    <row r="699" spans="1:14" s="12" customFormat="1" ht="38.25">
      <c r="A699" s="178" t="s">
        <v>96</v>
      </c>
      <c r="B699" s="75" t="s">
        <v>1715</v>
      </c>
      <c r="C699" s="39" t="s">
        <v>17</v>
      </c>
      <c r="D699" s="236"/>
      <c r="E699" s="236"/>
      <c r="F699" s="236"/>
      <c r="G699" s="236"/>
      <c r="H699" s="40">
        <v>0</v>
      </c>
      <c r="I699" s="72">
        <v>0</v>
      </c>
      <c r="J699" s="17">
        <v>0</v>
      </c>
      <c r="K699" s="17"/>
      <c r="L699" s="16" t="s">
        <v>18</v>
      </c>
      <c r="M699" s="16" t="s">
        <v>19</v>
      </c>
      <c r="N699" s="39"/>
    </row>
    <row r="700" spans="1:14" s="12" customFormat="1" ht="38.25">
      <c r="A700" s="178" t="s">
        <v>96</v>
      </c>
      <c r="B700" s="75" t="s">
        <v>1719</v>
      </c>
      <c r="C700" s="39" t="s">
        <v>17</v>
      </c>
      <c r="D700" s="236"/>
      <c r="E700" s="236"/>
      <c r="F700" s="236"/>
      <c r="G700" s="236"/>
      <c r="H700" s="40">
        <v>0</v>
      </c>
      <c r="I700" s="72">
        <v>0</v>
      </c>
      <c r="J700" s="17">
        <v>0</v>
      </c>
      <c r="K700" s="17"/>
      <c r="L700" s="16" t="s">
        <v>18</v>
      </c>
      <c r="M700" s="16" t="s">
        <v>19</v>
      </c>
      <c r="N700" s="39"/>
    </row>
    <row r="701" spans="1:14" s="12" customFormat="1" ht="38.25">
      <c r="A701" s="178" t="s">
        <v>96</v>
      </c>
      <c r="B701" s="75" t="s">
        <v>816</v>
      </c>
      <c r="C701" s="39" t="s">
        <v>17</v>
      </c>
      <c r="D701" s="236"/>
      <c r="E701" s="210"/>
      <c r="F701" s="236"/>
      <c r="G701" s="236"/>
      <c r="H701" s="40">
        <f>SUM(Tabla132112414[[#This Row],[PRIMER TRIMESTRE]:[CUARTO TRIMESTRE]])</f>
        <v>0</v>
      </c>
      <c r="I701" s="72">
        <v>565000</v>
      </c>
      <c r="J701" s="17">
        <f t="shared" si="19"/>
        <v>0</v>
      </c>
      <c r="K701" s="17"/>
      <c r="L701" s="16" t="s">
        <v>18</v>
      </c>
      <c r="M701" s="16" t="s">
        <v>19</v>
      </c>
      <c r="N701" s="39"/>
    </row>
    <row r="702" spans="1:14" s="12" customFormat="1" ht="38.25">
      <c r="A702" s="178" t="s">
        <v>96</v>
      </c>
      <c r="B702" s="75" t="s">
        <v>817</v>
      </c>
      <c r="C702" s="39" t="s">
        <v>17</v>
      </c>
      <c r="D702" s="236"/>
      <c r="E702" s="210"/>
      <c r="F702" s="236"/>
      <c r="G702" s="236"/>
      <c r="H702" s="40">
        <f>SUM(Tabla132112414[[#This Row],[PRIMER TRIMESTRE]:[CUARTO TRIMESTRE]])</f>
        <v>0</v>
      </c>
      <c r="I702" s="17">
        <v>699235.41</v>
      </c>
      <c r="J702" s="17">
        <f t="shared" si="19"/>
        <v>0</v>
      </c>
      <c r="K702" s="17"/>
      <c r="L702" s="16" t="s">
        <v>18</v>
      </c>
      <c r="M702" s="16" t="s">
        <v>19</v>
      </c>
      <c r="N702" s="39"/>
    </row>
    <row r="703" spans="1:14" s="12" customFormat="1" ht="38.25">
      <c r="A703" s="178" t="s">
        <v>96</v>
      </c>
      <c r="B703" s="75" t="s">
        <v>818</v>
      </c>
      <c r="C703" s="39" t="s">
        <v>17</v>
      </c>
      <c r="D703" s="236"/>
      <c r="E703" s="210"/>
      <c r="F703" s="236"/>
      <c r="G703" s="236"/>
      <c r="H703" s="40">
        <f>SUM(Tabla132112414[[#This Row],[PRIMER TRIMESTRE]:[CUARTO TRIMESTRE]])</f>
        <v>0</v>
      </c>
      <c r="I703" s="17">
        <v>350000</v>
      </c>
      <c r="J703" s="17">
        <f t="shared" si="19"/>
        <v>0</v>
      </c>
      <c r="K703" s="17"/>
      <c r="L703" s="16" t="s">
        <v>18</v>
      </c>
      <c r="M703" s="16" t="s">
        <v>19</v>
      </c>
      <c r="N703" s="39"/>
    </row>
    <row r="704" spans="1:14" s="12" customFormat="1" ht="38.25">
      <c r="A704" s="178" t="s">
        <v>96</v>
      </c>
      <c r="B704" s="75" t="s">
        <v>819</v>
      </c>
      <c r="C704" s="39" t="s">
        <v>17</v>
      </c>
      <c r="D704" s="236"/>
      <c r="E704" s="210"/>
      <c r="F704" s="236"/>
      <c r="G704" s="236"/>
      <c r="H704" s="40">
        <f>SUM(Tabla132112414[[#This Row],[PRIMER TRIMESTRE]:[CUARTO TRIMESTRE]])</f>
        <v>0</v>
      </c>
      <c r="I704" s="17">
        <v>198000</v>
      </c>
      <c r="J704" s="17">
        <f t="shared" si="19"/>
        <v>0</v>
      </c>
      <c r="K704" s="17"/>
      <c r="L704" s="16" t="s">
        <v>18</v>
      </c>
      <c r="M704" s="16" t="s">
        <v>19</v>
      </c>
      <c r="N704" s="39"/>
    </row>
    <row r="705" spans="1:14" s="12" customFormat="1" ht="38.25">
      <c r="A705" s="178" t="s">
        <v>96</v>
      </c>
      <c r="B705" s="75" t="s">
        <v>820</v>
      </c>
      <c r="C705" s="39" t="s">
        <v>17</v>
      </c>
      <c r="D705" s="236"/>
      <c r="E705" s="210"/>
      <c r="F705" s="236"/>
      <c r="G705" s="236"/>
      <c r="H705" s="40">
        <f>SUM(Tabla132112414[[#This Row],[PRIMER TRIMESTRE]:[CUARTO TRIMESTRE]])</f>
        <v>0</v>
      </c>
      <c r="I705" s="17">
        <v>117000</v>
      </c>
      <c r="J705" s="17">
        <f t="shared" si="19"/>
        <v>0</v>
      </c>
      <c r="K705" s="17"/>
      <c r="L705" s="16" t="s">
        <v>18</v>
      </c>
      <c r="M705" s="16" t="s">
        <v>19</v>
      </c>
      <c r="N705" s="39"/>
    </row>
    <row r="706" spans="1:14" s="12" customFormat="1" ht="38.25">
      <c r="A706" s="178" t="s">
        <v>96</v>
      </c>
      <c r="B706" s="75" t="s">
        <v>821</v>
      </c>
      <c r="C706" s="39" t="s">
        <v>17</v>
      </c>
      <c r="D706" s="236"/>
      <c r="E706" s="210"/>
      <c r="F706" s="236"/>
      <c r="G706" s="236"/>
      <c r="H706" s="40">
        <f>SUM(Tabla132112414[[#This Row],[PRIMER TRIMESTRE]:[CUARTO TRIMESTRE]])</f>
        <v>0</v>
      </c>
      <c r="I706" s="17">
        <v>61630.63</v>
      </c>
      <c r="J706" s="17">
        <f t="shared" si="19"/>
        <v>0</v>
      </c>
      <c r="K706" s="17"/>
      <c r="L706" s="16" t="s">
        <v>18</v>
      </c>
      <c r="M706" s="16" t="s">
        <v>19</v>
      </c>
      <c r="N706" s="39"/>
    </row>
    <row r="707" spans="1:14" s="12" customFormat="1" ht="38.25">
      <c r="A707" s="178" t="s">
        <v>96</v>
      </c>
      <c r="B707" s="75" t="s">
        <v>822</v>
      </c>
      <c r="C707" s="39" t="s">
        <v>17</v>
      </c>
      <c r="D707" s="236"/>
      <c r="E707" s="210"/>
      <c r="F707" s="236"/>
      <c r="G707" s="236"/>
      <c r="H707" s="40">
        <f>SUM(Tabla132112414[[#This Row],[PRIMER TRIMESTRE]:[CUARTO TRIMESTRE]])</f>
        <v>0</v>
      </c>
      <c r="I707" s="17">
        <v>54792</v>
      </c>
      <c r="J707" s="17">
        <f t="shared" si="19"/>
        <v>0</v>
      </c>
      <c r="K707" s="17"/>
      <c r="L707" s="16" t="s">
        <v>18</v>
      </c>
      <c r="M707" s="16" t="s">
        <v>19</v>
      </c>
      <c r="N707" s="39"/>
    </row>
    <row r="708" spans="1:14" s="12" customFormat="1" ht="38.25">
      <c r="A708" s="178" t="s">
        <v>96</v>
      </c>
      <c r="B708" s="75" t="s">
        <v>823</v>
      </c>
      <c r="C708" s="39" t="s">
        <v>17</v>
      </c>
      <c r="D708" s="236"/>
      <c r="E708" s="210"/>
      <c r="F708" s="236"/>
      <c r="G708" s="236"/>
      <c r="H708" s="40">
        <f>SUM(Tabla132112414[[#This Row],[PRIMER TRIMESTRE]:[CUARTO TRIMESTRE]])</f>
        <v>0</v>
      </c>
      <c r="I708" s="17">
        <v>49560</v>
      </c>
      <c r="J708" s="17">
        <f t="shared" si="19"/>
        <v>0</v>
      </c>
      <c r="K708" s="17"/>
      <c r="L708" s="16" t="s">
        <v>18</v>
      </c>
      <c r="M708" s="16" t="s">
        <v>19</v>
      </c>
      <c r="N708" s="39"/>
    </row>
    <row r="709" spans="1:14" s="12" customFormat="1" ht="31.5">
      <c r="A709" s="178" t="s">
        <v>96</v>
      </c>
      <c r="B709" s="75" t="s">
        <v>824</v>
      </c>
      <c r="C709" s="39" t="s">
        <v>17</v>
      </c>
      <c r="D709" s="236"/>
      <c r="E709" s="210"/>
      <c r="F709" s="236"/>
      <c r="G709" s="236"/>
      <c r="H709" s="40">
        <f>SUM(Tabla132112414[[#This Row],[PRIMER TRIMESTRE]:[CUARTO TRIMESTRE]])</f>
        <v>0</v>
      </c>
      <c r="I709" s="17">
        <v>46658.86</v>
      </c>
      <c r="J709" s="17">
        <f t="shared" si="19"/>
        <v>0</v>
      </c>
      <c r="K709" s="17"/>
      <c r="L709" s="16" t="s">
        <v>18</v>
      </c>
      <c r="M709" s="16" t="s">
        <v>19</v>
      </c>
      <c r="N709" s="39"/>
    </row>
    <row r="710" spans="1:14" s="12" customFormat="1" ht="31.5">
      <c r="A710" s="178" t="s">
        <v>96</v>
      </c>
      <c r="B710" s="75" t="s">
        <v>1734</v>
      </c>
      <c r="C710" s="39" t="s">
        <v>17</v>
      </c>
      <c r="D710" s="236"/>
      <c r="E710" s="210"/>
      <c r="F710" s="236"/>
      <c r="G710" s="236"/>
      <c r="H710" s="40">
        <v>0</v>
      </c>
      <c r="I710" s="17">
        <v>0</v>
      </c>
      <c r="J710" s="17">
        <v>0</v>
      </c>
      <c r="K710" s="17"/>
      <c r="L710" s="16" t="s">
        <v>18</v>
      </c>
      <c r="M710" s="16" t="s">
        <v>19</v>
      </c>
      <c r="N710" s="39"/>
    </row>
    <row r="711" spans="1:14" s="12" customFormat="1" ht="31.5">
      <c r="A711" s="178" t="s">
        <v>96</v>
      </c>
      <c r="B711" s="75" t="s">
        <v>1733</v>
      </c>
      <c r="C711" s="39" t="s">
        <v>17</v>
      </c>
      <c r="D711" s="236"/>
      <c r="E711" s="210"/>
      <c r="F711" s="236"/>
      <c r="G711" s="236"/>
      <c r="H711" s="40">
        <v>0</v>
      </c>
      <c r="I711" s="17">
        <v>0</v>
      </c>
      <c r="J711" s="17">
        <v>0</v>
      </c>
      <c r="K711" s="17"/>
      <c r="L711" s="16" t="s">
        <v>18</v>
      </c>
      <c r="M711" s="16" t="s">
        <v>19</v>
      </c>
      <c r="N711" s="39"/>
    </row>
    <row r="712" spans="1:14" s="12" customFormat="1" ht="38.25">
      <c r="A712" s="178" t="s">
        <v>96</v>
      </c>
      <c r="B712" s="75" t="s">
        <v>1732</v>
      </c>
      <c r="C712" s="39" t="s">
        <v>17</v>
      </c>
      <c r="D712" s="236"/>
      <c r="E712" s="210"/>
      <c r="F712" s="236"/>
      <c r="G712" s="236"/>
      <c r="H712" s="40">
        <v>0</v>
      </c>
      <c r="I712" s="17">
        <v>0</v>
      </c>
      <c r="J712" s="17">
        <v>0</v>
      </c>
      <c r="K712" s="17"/>
      <c r="L712" s="16" t="s">
        <v>18</v>
      </c>
      <c r="M712" s="16" t="s">
        <v>19</v>
      </c>
      <c r="N712" s="39"/>
    </row>
    <row r="713" spans="1:14" s="12" customFormat="1" ht="31.5">
      <c r="A713" s="178" t="s">
        <v>96</v>
      </c>
      <c r="B713" s="75" t="s">
        <v>825</v>
      </c>
      <c r="C713" s="39" t="s">
        <v>17</v>
      </c>
      <c r="D713" s="236"/>
      <c r="E713" s="210"/>
      <c r="F713" s="236"/>
      <c r="G713" s="236"/>
      <c r="H713" s="40">
        <f>SUM(Tabla132112414[[#This Row],[PRIMER TRIMESTRE]:[CUARTO TRIMESTRE]])</f>
        <v>0</v>
      </c>
      <c r="I713" s="17">
        <v>47216.69</v>
      </c>
      <c r="J713" s="17">
        <v>47216.69</v>
      </c>
      <c r="K713" s="17"/>
      <c r="L713" s="16" t="s">
        <v>18</v>
      </c>
      <c r="M713" s="16" t="s">
        <v>19</v>
      </c>
      <c r="N713" s="39"/>
    </row>
    <row r="714" spans="1:14" s="12" customFormat="1" ht="31.5">
      <c r="A714" s="178" t="s">
        <v>96</v>
      </c>
      <c r="B714" s="75" t="s">
        <v>826</v>
      </c>
      <c r="C714" s="39" t="s">
        <v>17</v>
      </c>
      <c r="D714" s="236"/>
      <c r="E714" s="210"/>
      <c r="F714" s="236"/>
      <c r="G714" s="236"/>
      <c r="H714" s="40">
        <f>SUM(Tabla132112414[[#This Row],[PRIMER TRIMESTRE]:[CUARTO TRIMESTRE]])</f>
        <v>0</v>
      </c>
      <c r="I714" s="17">
        <v>59766.34</v>
      </c>
      <c r="J714" s="17">
        <f t="shared" ref="J714:J777" si="20">+H714*I714</f>
        <v>0</v>
      </c>
      <c r="K714" s="17"/>
      <c r="L714" s="16" t="s">
        <v>18</v>
      </c>
      <c r="M714" s="16" t="s">
        <v>19</v>
      </c>
      <c r="N714" s="39"/>
    </row>
    <row r="715" spans="1:14" s="12" customFormat="1" ht="30">
      <c r="A715" s="178" t="s">
        <v>96</v>
      </c>
      <c r="B715" s="75" t="s">
        <v>1227</v>
      </c>
      <c r="C715" s="39" t="s">
        <v>17</v>
      </c>
      <c r="D715" s="236"/>
      <c r="E715" s="210"/>
      <c r="F715" s="236"/>
      <c r="G715" s="236"/>
      <c r="H715" s="40">
        <f>SUM(Tabla132112414[[#This Row],[PRIMER TRIMESTRE]:[CUARTO TRIMESTRE]])</f>
        <v>0</v>
      </c>
      <c r="I715" s="17">
        <v>56400</v>
      </c>
      <c r="J715" s="17">
        <f t="shared" si="20"/>
        <v>0</v>
      </c>
      <c r="K715" s="17"/>
      <c r="L715" s="16" t="s">
        <v>18</v>
      </c>
      <c r="M715" s="16" t="s">
        <v>22</v>
      </c>
      <c r="N715" s="39"/>
    </row>
    <row r="716" spans="1:14" s="12" customFormat="1" ht="30">
      <c r="A716" s="178" t="s">
        <v>96</v>
      </c>
      <c r="B716" s="75" t="s">
        <v>1228</v>
      </c>
      <c r="C716" s="39" t="s">
        <v>17</v>
      </c>
      <c r="D716" s="236"/>
      <c r="E716" s="210"/>
      <c r="F716" s="236"/>
      <c r="G716" s="236"/>
      <c r="H716" s="40">
        <f>SUM(Tabla132112414[[#This Row],[PRIMER TRIMESTRE]:[CUARTO TRIMESTRE]])</f>
        <v>0</v>
      </c>
      <c r="I716" s="17">
        <v>56400</v>
      </c>
      <c r="J716" s="17">
        <f t="shared" si="20"/>
        <v>0</v>
      </c>
      <c r="K716" s="17"/>
      <c r="L716" s="16" t="s">
        <v>18</v>
      </c>
      <c r="M716" s="16" t="s">
        <v>22</v>
      </c>
      <c r="N716" s="39"/>
    </row>
    <row r="717" spans="1:14" s="12" customFormat="1" ht="30">
      <c r="A717" s="178" t="s">
        <v>96</v>
      </c>
      <c r="B717" s="75" t="s">
        <v>1229</v>
      </c>
      <c r="C717" s="39" t="s">
        <v>17</v>
      </c>
      <c r="D717" s="236"/>
      <c r="E717" s="210"/>
      <c r="F717" s="236"/>
      <c r="G717" s="236"/>
      <c r="H717" s="40">
        <f>SUM(Tabla132112414[[#This Row],[PRIMER TRIMESTRE]:[CUARTO TRIMESTRE]])</f>
        <v>0</v>
      </c>
      <c r="I717" s="17">
        <v>56400</v>
      </c>
      <c r="J717" s="17">
        <f t="shared" si="20"/>
        <v>0</v>
      </c>
      <c r="K717" s="17"/>
      <c r="L717" s="16" t="s">
        <v>18</v>
      </c>
      <c r="M717" s="16" t="s">
        <v>22</v>
      </c>
      <c r="N717" s="39"/>
    </row>
    <row r="718" spans="1:14" s="12" customFormat="1" ht="30">
      <c r="A718" s="178" t="s">
        <v>96</v>
      </c>
      <c r="B718" s="75" t="s">
        <v>827</v>
      </c>
      <c r="C718" s="39" t="s">
        <v>17</v>
      </c>
      <c r="D718" s="236"/>
      <c r="E718" s="210"/>
      <c r="F718" s="236"/>
      <c r="G718" s="236"/>
      <c r="H718" s="40">
        <f>SUM(Tabla132112414[[#This Row],[PRIMER TRIMESTRE]:[CUARTO TRIMESTRE]])</f>
        <v>0</v>
      </c>
      <c r="I718" s="17">
        <v>2415</v>
      </c>
      <c r="J718" s="17">
        <f t="shared" si="20"/>
        <v>0</v>
      </c>
      <c r="K718" s="17"/>
      <c r="L718" s="16" t="s">
        <v>18</v>
      </c>
      <c r="M718" s="16" t="s">
        <v>22</v>
      </c>
      <c r="N718" s="39"/>
    </row>
    <row r="719" spans="1:14" s="12" customFormat="1" ht="30">
      <c r="A719" s="178" t="s">
        <v>96</v>
      </c>
      <c r="B719" s="75" t="s">
        <v>828</v>
      </c>
      <c r="C719" s="39" t="s">
        <v>17</v>
      </c>
      <c r="D719" s="236"/>
      <c r="E719" s="210"/>
      <c r="F719" s="236"/>
      <c r="G719" s="236"/>
      <c r="H719" s="40">
        <f>SUM(Tabla132112414[[#This Row],[PRIMER TRIMESTRE]:[CUARTO TRIMESTRE]])</f>
        <v>0</v>
      </c>
      <c r="I719" s="17">
        <v>3266</v>
      </c>
      <c r="J719" s="17">
        <f t="shared" si="20"/>
        <v>0</v>
      </c>
      <c r="K719" s="17"/>
      <c r="L719" s="16" t="s">
        <v>18</v>
      </c>
      <c r="M719" s="16" t="s">
        <v>22</v>
      </c>
      <c r="N719" s="39"/>
    </row>
    <row r="720" spans="1:14" s="12" customFormat="1" ht="30">
      <c r="A720" s="178" t="s">
        <v>96</v>
      </c>
      <c r="B720" s="75" t="s">
        <v>829</v>
      </c>
      <c r="C720" s="39" t="s">
        <v>17</v>
      </c>
      <c r="D720" s="236"/>
      <c r="E720" s="210"/>
      <c r="F720" s="236"/>
      <c r="G720" s="236"/>
      <c r="H720" s="40">
        <f>SUM(Tabla132112414[[#This Row],[PRIMER TRIMESTRE]:[CUARTO TRIMESTRE]])</f>
        <v>0</v>
      </c>
      <c r="I720" s="17">
        <v>4000</v>
      </c>
      <c r="J720" s="17">
        <f t="shared" si="20"/>
        <v>0</v>
      </c>
      <c r="K720" s="17"/>
      <c r="L720" s="16" t="s">
        <v>18</v>
      </c>
      <c r="M720" s="16" t="s">
        <v>22</v>
      </c>
      <c r="N720" s="39"/>
    </row>
    <row r="721" spans="1:14" s="12" customFormat="1" ht="30">
      <c r="A721" s="178" t="s">
        <v>96</v>
      </c>
      <c r="B721" s="75" t="s">
        <v>830</v>
      </c>
      <c r="C721" s="39" t="s">
        <v>17</v>
      </c>
      <c r="D721" s="236"/>
      <c r="E721" s="210"/>
      <c r="F721" s="236"/>
      <c r="G721" s="236"/>
      <c r="H721" s="40">
        <f>SUM(Tabla132112414[[#This Row],[PRIMER TRIMESTRE]:[CUARTO TRIMESTRE]])</f>
        <v>0</v>
      </c>
      <c r="I721" s="17">
        <v>4957</v>
      </c>
      <c r="J721" s="17">
        <f t="shared" si="20"/>
        <v>0</v>
      </c>
      <c r="K721" s="17"/>
      <c r="L721" s="16" t="s">
        <v>18</v>
      </c>
      <c r="M721" s="16" t="s">
        <v>22</v>
      </c>
      <c r="N721" s="39"/>
    </row>
    <row r="722" spans="1:14" s="12" customFormat="1" ht="30">
      <c r="A722" s="178" t="s">
        <v>96</v>
      </c>
      <c r="B722" s="75" t="s">
        <v>831</v>
      </c>
      <c r="C722" s="39" t="s">
        <v>17</v>
      </c>
      <c r="D722" s="236"/>
      <c r="E722" s="210"/>
      <c r="F722" s="236"/>
      <c r="G722" s="236"/>
      <c r="H722" s="40">
        <f>SUM(Tabla132112414[[#This Row],[PRIMER TRIMESTRE]:[CUARTO TRIMESTRE]])</f>
        <v>0</v>
      </c>
      <c r="I722" s="17">
        <v>5394</v>
      </c>
      <c r="J722" s="17">
        <f t="shared" si="20"/>
        <v>0</v>
      </c>
      <c r="K722" s="17"/>
      <c r="L722" s="16" t="s">
        <v>18</v>
      </c>
      <c r="M722" s="16" t="s">
        <v>22</v>
      </c>
      <c r="N722" s="39"/>
    </row>
    <row r="723" spans="1:14" s="12" customFormat="1" ht="30">
      <c r="A723" s="178" t="s">
        <v>96</v>
      </c>
      <c r="B723" s="75" t="s">
        <v>1511</v>
      </c>
      <c r="C723" s="39" t="s">
        <v>17</v>
      </c>
      <c r="D723" s="236"/>
      <c r="E723" s="236"/>
      <c r="F723" s="236"/>
      <c r="G723" s="236"/>
      <c r="H723" s="236">
        <f>SUM(Tabla132112414[[#This Row],[PRIMER TRIMESTRE]:[CUARTO TRIMESTRE]])</f>
        <v>0</v>
      </c>
      <c r="I723" s="17">
        <v>58148.4</v>
      </c>
      <c r="J723" s="17">
        <f t="shared" si="20"/>
        <v>0</v>
      </c>
      <c r="K723" s="17"/>
      <c r="L723" s="16" t="s">
        <v>18</v>
      </c>
      <c r="M723" s="16" t="s">
        <v>22</v>
      </c>
      <c r="N723" s="39"/>
    </row>
    <row r="724" spans="1:14" s="12" customFormat="1" ht="30">
      <c r="A724" s="178" t="s">
        <v>96</v>
      </c>
      <c r="B724" s="75" t="s">
        <v>1512</v>
      </c>
      <c r="C724" s="236" t="s">
        <v>17</v>
      </c>
      <c r="D724" s="236"/>
      <c r="E724" s="236"/>
      <c r="F724" s="236"/>
      <c r="G724" s="236"/>
      <c r="H724" s="236">
        <f>SUM(Tabla132112414[[#This Row],[PRIMER TRIMESTRE]:[CUARTO TRIMESTRE]])</f>
        <v>0</v>
      </c>
      <c r="I724" s="17">
        <v>3703</v>
      </c>
      <c r="J724" s="17">
        <f t="shared" si="20"/>
        <v>0</v>
      </c>
      <c r="K724" s="17"/>
      <c r="L724" s="16" t="s">
        <v>18</v>
      </c>
      <c r="M724" s="16" t="s">
        <v>22</v>
      </c>
      <c r="N724" s="39"/>
    </row>
    <row r="725" spans="1:14" s="12" customFormat="1" ht="30">
      <c r="A725" s="178" t="s">
        <v>96</v>
      </c>
      <c r="B725" s="75" t="s">
        <v>1513</v>
      </c>
      <c r="C725" s="236" t="s">
        <v>17</v>
      </c>
      <c r="D725" s="236"/>
      <c r="E725" s="236"/>
      <c r="F725" s="236"/>
      <c r="G725" s="236"/>
      <c r="H725" s="236">
        <f>SUM(Tabla132112414[[#This Row],[PRIMER TRIMESTRE]:[CUARTO TRIMESTRE]])</f>
        <v>0</v>
      </c>
      <c r="I725" s="17">
        <v>3703.83</v>
      </c>
      <c r="J725" s="17">
        <f t="shared" si="20"/>
        <v>0</v>
      </c>
      <c r="K725" s="17"/>
      <c r="L725" s="16" t="s">
        <v>18</v>
      </c>
      <c r="M725" s="16" t="s">
        <v>22</v>
      </c>
      <c r="N725" s="39"/>
    </row>
    <row r="726" spans="1:14" s="12" customFormat="1" ht="30">
      <c r="A726" s="178" t="s">
        <v>96</v>
      </c>
      <c r="B726" s="75" t="s">
        <v>1514</v>
      </c>
      <c r="C726" s="236" t="s">
        <v>17</v>
      </c>
      <c r="D726" s="236"/>
      <c r="E726" s="236"/>
      <c r="F726" s="236"/>
      <c r="G726" s="236"/>
      <c r="H726" s="236">
        <f>SUM(Tabla132112414[[#This Row],[PRIMER TRIMESTRE]:[CUARTO TRIMESTRE]])</f>
        <v>0</v>
      </c>
      <c r="I726" s="17">
        <v>4018</v>
      </c>
      <c r="J726" s="17">
        <f t="shared" si="20"/>
        <v>0</v>
      </c>
      <c r="K726" s="17"/>
      <c r="L726" s="16" t="s">
        <v>18</v>
      </c>
      <c r="M726" s="16" t="s">
        <v>22</v>
      </c>
      <c r="N726" s="39"/>
    </row>
    <row r="727" spans="1:14" s="12" customFormat="1" ht="30">
      <c r="A727" s="178" t="s">
        <v>96</v>
      </c>
      <c r="B727" s="75" t="s">
        <v>1721</v>
      </c>
      <c r="C727" s="236" t="s">
        <v>17</v>
      </c>
      <c r="D727" s="236"/>
      <c r="E727" s="236"/>
      <c r="F727" s="236"/>
      <c r="G727" s="236"/>
      <c r="H727" s="40">
        <v>0</v>
      </c>
      <c r="I727" s="17">
        <v>0</v>
      </c>
      <c r="J727" s="17">
        <v>0</v>
      </c>
      <c r="K727" s="17"/>
      <c r="L727" s="16" t="s">
        <v>18</v>
      </c>
      <c r="M727" s="16" t="s">
        <v>22</v>
      </c>
      <c r="N727" s="39"/>
    </row>
    <row r="728" spans="1:14" s="12" customFormat="1" ht="30">
      <c r="A728" s="178" t="s">
        <v>96</v>
      </c>
      <c r="B728" s="75" t="s">
        <v>1515</v>
      </c>
      <c r="C728" s="236" t="s">
        <v>17</v>
      </c>
      <c r="D728" s="236"/>
      <c r="E728" s="236"/>
      <c r="F728" s="236"/>
      <c r="G728" s="236"/>
      <c r="H728" s="236">
        <f>SUM(Tabla132112414[[#This Row],[PRIMER TRIMESTRE]:[CUARTO TRIMESTRE]])</f>
        <v>0</v>
      </c>
      <c r="I728" s="17">
        <v>4500</v>
      </c>
      <c r="J728" s="17">
        <f t="shared" si="20"/>
        <v>0</v>
      </c>
      <c r="K728" s="17"/>
      <c r="L728" s="16" t="s">
        <v>18</v>
      </c>
      <c r="M728" s="16" t="s">
        <v>22</v>
      </c>
      <c r="N728" s="39"/>
    </row>
    <row r="729" spans="1:14" s="12" customFormat="1" ht="30">
      <c r="A729" s="178" t="s">
        <v>96</v>
      </c>
      <c r="B729" s="75" t="s">
        <v>1516</v>
      </c>
      <c r="C729" s="236" t="s">
        <v>17</v>
      </c>
      <c r="D729" s="236"/>
      <c r="E729" s="236"/>
      <c r="F729" s="236"/>
      <c r="G729" s="236"/>
      <c r="H729" s="236">
        <f>SUM(Tabla132112414[[#This Row],[PRIMER TRIMESTRE]:[CUARTO TRIMESTRE]])</f>
        <v>0</v>
      </c>
      <c r="I729" s="17">
        <v>2185</v>
      </c>
      <c r="J729" s="17">
        <f t="shared" si="20"/>
        <v>0</v>
      </c>
      <c r="K729" s="17"/>
      <c r="L729" s="16" t="s">
        <v>18</v>
      </c>
      <c r="M729" s="16" t="s">
        <v>22</v>
      </c>
      <c r="N729" s="39"/>
    </row>
    <row r="730" spans="1:14" s="12" customFormat="1" ht="30">
      <c r="A730" s="178" t="s">
        <v>96</v>
      </c>
      <c r="B730" s="75" t="s">
        <v>1517</v>
      </c>
      <c r="C730" s="236" t="s">
        <v>17</v>
      </c>
      <c r="D730" s="236"/>
      <c r="E730" s="236"/>
      <c r="F730" s="236"/>
      <c r="G730" s="236"/>
      <c r="H730" s="236">
        <f>SUM(Tabla132112414[[#This Row],[PRIMER TRIMESTRE]:[CUARTO TRIMESTRE]])</f>
        <v>0</v>
      </c>
      <c r="I730" s="17">
        <v>2185</v>
      </c>
      <c r="J730" s="17">
        <f t="shared" si="20"/>
        <v>0</v>
      </c>
      <c r="K730" s="17"/>
      <c r="L730" s="16" t="s">
        <v>18</v>
      </c>
      <c r="M730" s="16" t="s">
        <v>22</v>
      </c>
      <c r="N730" s="39"/>
    </row>
    <row r="731" spans="1:14" s="12" customFormat="1" ht="30">
      <c r="A731" s="178" t="s">
        <v>96</v>
      </c>
      <c r="B731" s="75" t="s">
        <v>832</v>
      </c>
      <c r="C731" s="39" t="s">
        <v>17</v>
      </c>
      <c r="D731" s="236"/>
      <c r="E731" s="236"/>
      <c r="F731" s="236"/>
      <c r="G731" s="236"/>
      <c r="H731" s="40">
        <f>SUM(Tabla132112414[[#This Row],[PRIMER TRIMESTRE]:[CUARTO TRIMESTRE]])</f>
        <v>0</v>
      </c>
      <c r="I731" s="17">
        <v>5772</v>
      </c>
      <c r="J731" s="17">
        <f t="shared" si="20"/>
        <v>0</v>
      </c>
      <c r="K731" s="17"/>
      <c r="L731" s="16" t="s">
        <v>18</v>
      </c>
      <c r="M731" s="16" t="s">
        <v>22</v>
      </c>
      <c r="N731" s="39"/>
    </row>
    <row r="732" spans="1:14" s="12" customFormat="1" ht="30">
      <c r="A732" s="178" t="s">
        <v>96</v>
      </c>
      <c r="B732" s="75" t="s">
        <v>833</v>
      </c>
      <c r="C732" s="39" t="s">
        <v>17</v>
      </c>
      <c r="D732" s="236"/>
      <c r="E732" s="236"/>
      <c r="F732" s="236"/>
      <c r="G732" s="236"/>
      <c r="H732" s="40">
        <f>SUM(Tabla132112414[[#This Row],[PRIMER TRIMESTRE]:[CUARTO TRIMESTRE]])</f>
        <v>0</v>
      </c>
      <c r="I732" s="17">
        <v>6168.42</v>
      </c>
      <c r="J732" s="17">
        <f t="shared" si="20"/>
        <v>0</v>
      </c>
      <c r="K732" s="17"/>
      <c r="L732" s="16" t="s">
        <v>18</v>
      </c>
      <c r="M732" s="16" t="s">
        <v>22</v>
      </c>
      <c r="N732" s="39"/>
    </row>
    <row r="733" spans="1:14" s="12" customFormat="1" ht="30">
      <c r="A733" s="178" t="s">
        <v>96</v>
      </c>
      <c r="B733" s="75" t="s">
        <v>834</v>
      </c>
      <c r="C733" s="39" t="s">
        <v>17</v>
      </c>
      <c r="D733" s="236"/>
      <c r="E733" s="236"/>
      <c r="F733" s="236"/>
      <c r="G733" s="236"/>
      <c r="H733" s="40">
        <f>SUM(Tabla132112414[[#This Row],[PRIMER TRIMESTRE]:[CUARTO TRIMESTRE]])</f>
        <v>0</v>
      </c>
      <c r="I733" s="17">
        <v>14000</v>
      </c>
      <c r="J733" s="17">
        <f t="shared" si="20"/>
        <v>0</v>
      </c>
      <c r="K733" s="17"/>
      <c r="L733" s="16" t="s">
        <v>18</v>
      </c>
      <c r="M733" s="16" t="s">
        <v>22</v>
      </c>
      <c r="N733" s="39"/>
    </row>
    <row r="734" spans="1:14" s="12" customFormat="1" ht="30">
      <c r="A734" s="178" t="s">
        <v>96</v>
      </c>
      <c r="B734" s="75" t="s">
        <v>835</v>
      </c>
      <c r="C734" s="39" t="s">
        <v>17</v>
      </c>
      <c r="D734" s="236"/>
      <c r="E734" s="236"/>
      <c r="F734" s="236"/>
      <c r="G734" s="236"/>
      <c r="H734" s="40">
        <f>SUM(Tabla132112414[[#This Row],[PRIMER TRIMESTRE]:[CUARTO TRIMESTRE]])</f>
        <v>0</v>
      </c>
      <c r="I734" s="17">
        <v>15000</v>
      </c>
      <c r="J734" s="17">
        <f t="shared" si="20"/>
        <v>0</v>
      </c>
      <c r="K734" s="17"/>
      <c r="L734" s="16" t="s">
        <v>18</v>
      </c>
      <c r="M734" s="16" t="s">
        <v>22</v>
      </c>
      <c r="N734" s="39"/>
    </row>
    <row r="735" spans="1:14" s="12" customFormat="1" ht="30">
      <c r="A735" s="178" t="s">
        <v>96</v>
      </c>
      <c r="B735" s="75" t="s">
        <v>836</v>
      </c>
      <c r="C735" s="39" t="s">
        <v>17</v>
      </c>
      <c r="D735" s="236"/>
      <c r="E735" s="236"/>
      <c r="F735" s="236"/>
      <c r="G735" s="236"/>
      <c r="H735" s="40">
        <f>SUM(Tabla132112414[[#This Row],[PRIMER TRIMESTRE]:[CUARTO TRIMESTRE]])</f>
        <v>0</v>
      </c>
      <c r="I735" s="17">
        <v>16500</v>
      </c>
      <c r="J735" s="17">
        <f t="shared" si="20"/>
        <v>0</v>
      </c>
      <c r="K735" s="17"/>
      <c r="L735" s="16" t="s">
        <v>18</v>
      </c>
      <c r="M735" s="16" t="s">
        <v>22</v>
      </c>
      <c r="N735" s="39"/>
    </row>
    <row r="736" spans="1:14" s="12" customFormat="1" ht="30">
      <c r="A736" s="178" t="s">
        <v>96</v>
      </c>
      <c r="B736" s="75" t="s">
        <v>1449</v>
      </c>
      <c r="C736" s="39" t="s">
        <v>17</v>
      </c>
      <c r="D736" s="236"/>
      <c r="E736" s="236"/>
      <c r="F736" s="236"/>
      <c r="G736" s="236"/>
      <c r="H736" s="40">
        <f>SUM(Tabla132112414[[#This Row],[PRIMER TRIMESTRE]:[CUARTO TRIMESTRE]])</f>
        <v>0</v>
      </c>
      <c r="I736" s="17">
        <v>20600</v>
      </c>
      <c r="J736" s="17">
        <f t="shared" si="20"/>
        <v>0</v>
      </c>
      <c r="K736" s="17"/>
      <c r="L736" s="16" t="s">
        <v>18</v>
      </c>
      <c r="M736" s="16" t="s">
        <v>22</v>
      </c>
      <c r="N736" s="39"/>
    </row>
    <row r="737" spans="1:14" s="12" customFormat="1" ht="38.25">
      <c r="A737" s="178" t="s">
        <v>96</v>
      </c>
      <c r="B737" s="75" t="s">
        <v>843</v>
      </c>
      <c r="C737" s="39" t="s">
        <v>17</v>
      </c>
      <c r="D737" s="236"/>
      <c r="E737" s="236"/>
      <c r="F737" s="236"/>
      <c r="G737" s="236"/>
      <c r="H737" s="40">
        <f>SUM(Tabla132112414[[#This Row],[PRIMER TRIMESTRE]:[CUARTO TRIMESTRE]])</f>
        <v>0</v>
      </c>
      <c r="I737" s="17">
        <v>4270</v>
      </c>
      <c r="J737" s="17">
        <f t="shared" si="20"/>
        <v>0</v>
      </c>
      <c r="K737" s="17"/>
      <c r="L737" s="16" t="s">
        <v>18</v>
      </c>
      <c r="M737" s="16" t="s">
        <v>22</v>
      </c>
      <c r="N737" s="39"/>
    </row>
    <row r="738" spans="1:14" s="12" customFormat="1" ht="38.25">
      <c r="A738" s="178" t="s">
        <v>96</v>
      </c>
      <c r="B738" s="75" t="s">
        <v>844</v>
      </c>
      <c r="C738" s="39" t="s">
        <v>17</v>
      </c>
      <c r="D738" s="236"/>
      <c r="E738" s="236"/>
      <c r="F738" s="236"/>
      <c r="G738" s="236"/>
      <c r="H738" s="40">
        <f>SUM(Tabla132112414[[#This Row],[PRIMER TRIMESTRE]:[CUARTO TRIMESTRE]])</f>
        <v>0</v>
      </c>
      <c r="I738" s="17">
        <v>4320</v>
      </c>
      <c r="J738" s="17">
        <f t="shared" si="20"/>
        <v>0</v>
      </c>
      <c r="K738" s="17"/>
      <c r="L738" s="16" t="s">
        <v>18</v>
      </c>
      <c r="M738" s="16" t="s">
        <v>22</v>
      </c>
      <c r="N738" s="39"/>
    </row>
    <row r="739" spans="1:14" s="12" customFormat="1" ht="38.25">
      <c r="A739" s="178" t="s">
        <v>96</v>
      </c>
      <c r="B739" s="75" t="s">
        <v>845</v>
      </c>
      <c r="C739" s="39" t="s">
        <v>17</v>
      </c>
      <c r="D739" s="236"/>
      <c r="E739" s="236"/>
      <c r="F739" s="236"/>
      <c r="G739" s="236"/>
      <c r="H739" s="40">
        <f>SUM(Tabla132112414[[#This Row],[PRIMER TRIMESTRE]:[CUARTO TRIMESTRE]])</f>
        <v>0</v>
      </c>
      <c r="I739" s="17">
        <v>4560</v>
      </c>
      <c r="J739" s="17">
        <f t="shared" si="20"/>
        <v>0</v>
      </c>
      <c r="K739" s="17"/>
      <c r="L739" s="16" t="s">
        <v>18</v>
      </c>
      <c r="M739" s="16" t="s">
        <v>22</v>
      </c>
      <c r="N739" s="39"/>
    </row>
    <row r="740" spans="1:14" s="12" customFormat="1" ht="38.25">
      <c r="A740" s="178" t="s">
        <v>96</v>
      </c>
      <c r="B740" s="75" t="s">
        <v>846</v>
      </c>
      <c r="C740" s="39" t="s">
        <v>17</v>
      </c>
      <c r="D740" s="236"/>
      <c r="E740" s="236"/>
      <c r="F740" s="236"/>
      <c r="G740" s="236"/>
      <c r="H740" s="40">
        <f>SUM(Tabla132112414[[#This Row],[PRIMER TRIMESTRE]:[CUARTO TRIMESTRE]])</f>
        <v>0</v>
      </c>
      <c r="I740" s="17">
        <v>5684</v>
      </c>
      <c r="J740" s="17">
        <f t="shared" si="20"/>
        <v>0</v>
      </c>
      <c r="K740" s="17"/>
      <c r="L740" s="16" t="s">
        <v>18</v>
      </c>
      <c r="M740" s="16" t="s">
        <v>22</v>
      </c>
      <c r="N740" s="39"/>
    </row>
    <row r="741" spans="1:14" s="12" customFormat="1" ht="38.25">
      <c r="A741" s="178" t="s">
        <v>96</v>
      </c>
      <c r="B741" s="75" t="s">
        <v>847</v>
      </c>
      <c r="C741" s="39" t="s">
        <v>17</v>
      </c>
      <c r="D741" s="236"/>
      <c r="E741" s="236"/>
      <c r="F741" s="236"/>
      <c r="G741" s="236"/>
      <c r="H741" s="40">
        <f>SUM(Tabla132112414[[#This Row],[PRIMER TRIMESTRE]:[CUARTO TRIMESTRE]])</f>
        <v>0</v>
      </c>
      <c r="I741" s="17">
        <v>5300</v>
      </c>
      <c r="J741" s="17">
        <f t="shared" si="20"/>
        <v>0</v>
      </c>
      <c r="K741" s="17"/>
      <c r="L741" s="16" t="s">
        <v>18</v>
      </c>
      <c r="M741" s="16" t="s">
        <v>22</v>
      </c>
      <c r="N741" s="39"/>
    </row>
    <row r="742" spans="1:14" s="12" customFormat="1" ht="38.25">
      <c r="A742" s="178" t="s">
        <v>96</v>
      </c>
      <c r="B742" s="75" t="s">
        <v>848</v>
      </c>
      <c r="C742" s="39" t="s">
        <v>17</v>
      </c>
      <c r="D742" s="236"/>
      <c r="E742" s="236"/>
      <c r="F742" s="236"/>
      <c r="G742" s="236"/>
      <c r="H742" s="40">
        <f>SUM(Tabla132112414[[#This Row],[PRIMER TRIMESTRE]:[CUARTO TRIMESTRE]])</f>
        <v>0</v>
      </c>
      <c r="I742" s="17">
        <v>4958</v>
      </c>
      <c r="J742" s="17">
        <f t="shared" si="20"/>
        <v>0</v>
      </c>
      <c r="K742" s="17"/>
      <c r="L742" s="16" t="s">
        <v>18</v>
      </c>
      <c r="M742" s="16" t="s">
        <v>22</v>
      </c>
      <c r="N742" s="39"/>
    </row>
    <row r="743" spans="1:14" s="12" customFormat="1" ht="38.25">
      <c r="A743" s="178" t="s">
        <v>96</v>
      </c>
      <c r="B743" s="75" t="s">
        <v>849</v>
      </c>
      <c r="C743" s="39" t="s">
        <v>17</v>
      </c>
      <c r="D743" s="236"/>
      <c r="E743" s="236"/>
      <c r="F743" s="236"/>
      <c r="G743" s="236"/>
      <c r="H743" s="40">
        <f>SUM(Tabla132112414[[#This Row],[PRIMER TRIMESTRE]:[CUARTO TRIMESTRE]])</f>
        <v>0</v>
      </c>
      <c r="I743" s="17">
        <v>6958</v>
      </c>
      <c r="J743" s="17">
        <f t="shared" si="20"/>
        <v>0</v>
      </c>
      <c r="K743" s="17"/>
      <c r="L743" s="16" t="s">
        <v>18</v>
      </c>
      <c r="M743" s="16" t="s">
        <v>22</v>
      </c>
      <c r="N743" s="39"/>
    </row>
    <row r="744" spans="1:14" s="12" customFormat="1" ht="38.25">
      <c r="A744" s="178" t="s">
        <v>96</v>
      </c>
      <c r="B744" s="75" t="s">
        <v>850</v>
      </c>
      <c r="C744" s="39" t="s">
        <v>17</v>
      </c>
      <c r="D744" s="236"/>
      <c r="E744" s="236"/>
      <c r="F744" s="236"/>
      <c r="G744" s="236"/>
      <c r="H744" s="40">
        <f>SUM(Tabla132112414[[#This Row],[PRIMER TRIMESTRE]:[CUARTO TRIMESTRE]])</f>
        <v>0</v>
      </c>
      <c r="I744" s="17">
        <v>7050</v>
      </c>
      <c r="J744" s="17">
        <f t="shared" si="20"/>
        <v>0</v>
      </c>
      <c r="K744" s="17"/>
      <c r="L744" s="16" t="s">
        <v>18</v>
      </c>
      <c r="M744" s="16" t="s">
        <v>22</v>
      </c>
      <c r="N744" s="39"/>
    </row>
    <row r="745" spans="1:14" s="12" customFormat="1" ht="38.25">
      <c r="A745" s="178" t="s">
        <v>96</v>
      </c>
      <c r="B745" s="75" t="s">
        <v>851</v>
      </c>
      <c r="C745" s="39" t="s">
        <v>17</v>
      </c>
      <c r="D745" s="236"/>
      <c r="E745" s="236"/>
      <c r="F745" s="236"/>
      <c r="G745" s="236"/>
      <c r="H745" s="40">
        <f>SUM(Tabla132112414[[#This Row],[PRIMER TRIMESTRE]:[CUARTO TRIMESTRE]])</f>
        <v>0</v>
      </c>
      <c r="I745" s="17">
        <v>7950</v>
      </c>
      <c r="J745" s="17">
        <f t="shared" si="20"/>
        <v>0</v>
      </c>
      <c r="K745" s="17"/>
      <c r="L745" s="16" t="s">
        <v>18</v>
      </c>
      <c r="M745" s="16" t="s">
        <v>22</v>
      </c>
      <c r="N745" s="39"/>
    </row>
    <row r="746" spans="1:14" s="12" customFormat="1" ht="38.25">
      <c r="A746" s="178" t="s">
        <v>96</v>
      </c>
      <c r="B746" s="75" t="s">
        <v>852</v>
      </c>
      <c r="C746" s="39" t="s">
        <v>17</v>
      </c>
      <c r="D746" s="236"/>
      <c r="E746" s="236"/>
      <c r="F746" s="236"/>
      <c r="G746" s="236"/>
      <c r="H746" s="40">
        <f>SUM(Tabla132112414[[#This Row],[PRIMER TRIMESTRE]:[CUARTO TRIMESTRE]])</f>
        <v>0</v>
      </c>
      <c r="I746" s="17">
        <v>8338.15</v>
      </c>
      <c r="J746" s="17">
        <f t="shared" si="20"/>
        <v>0</v>
      </c>
      <c r="K746" s="17"/>
      <c r="L746" s="16" t="s">
        <v>18</v>
      </c>
      <c r="M746" s="16" t="s">
        <v>22</v>
      </c>
      <c r="N746" s="39"/>
    </row>
    <row r="747" spans="1:14" s="12" customFormat="1" ht="38.25">
      <c r="A747" s="178" t="s">
        <v>96</v>
      </c>
      <c r="B747" s="75" t="s">
        <v>853</v>
      </c>
      <c r="C747" s="39" t="s">
        <v>17</v>
      </c>
      <c r="D747" s="236"/>
      <c r="E747" s="236"/>
      <c r="F747" s="236"/>
      <c r="G747" s="236"/>
      <c r="H747" s="40">
        <f>SUM(Tabla132112414[[#This Row],[PRIMER TRIMESTRE]:[CUARTO TRIMESTRE]])</f>
        <v>0</v>
      </c>
      <c r="I747" s="17">
        <v>9900.17</v>
      </c>
      <c r="J747" s="17">
        <f t="shared" si="20"/>
        <v>0</v>
      </c>
      <c r="K747" s="17"/>
      <c r="L747" s="16" t="s">
        <v>18</v>
      </c>
      <c r="M747" s="16" t="s">
        <v>22</v>
      </c>
      <c r="N747" s="39"/>
    </row>
    <row r="748" spans="1:14" s="12" customFormat="1" ht="47.25">
      <c r="A748" s="178" t="s">
        <v>96</v>
      </c>
      <c r="B748" s="16" t="str">
        <f ca="1">+UPPER(Tabla132112414[[#This Row],[DESCRIPCIÓN DE LA COMPRA O CONTRATACIÓN]])</f>
        <v>MONITORES DE FASE A 460 VOLTIOS, CONTRA PÉRDIDA DE FASE E INVERSIÓN DE GIRO CON SU BASE</v>
      </c>
      <c r="C748" s="39" t="s">
        <v>17</v>
      </c>
      <c r="D748" s="236"/>
      <c r="E748" s="236"/>
      <c r="F748" s="236"/>
      <c r="G748" s="236"/>
      <c r="H748" s="40">
        <f>SUM(Tabla132112414[[#This Row],[PRIMER TRIMESTRE]:[CUARTO TRIMESTRE]])</f>
        <v>0</v>
      </c>
      <c r="I748" s="17">
        <v>7500</v>
      </c>
      <c r="J748" s="17">
        <f t="shared" si="20"/>
        <v>0</v>
      </c>
      <c r="K748" s="17"/>
      <c r="L748" s="16" t="s">
        <v>18</v>
      </c>
      <c r="M748" s="16" t="s">
        <v>22</v>
      </c>
      <c r="N748" s="39"/>
    </row>
    <row r="749" spans="1:14" s="12" customFormat="1" ht="47.25">
      <c r="A749" s="178" t="s">
        <v>96</v>
      </c>
      <c r="B749" s="16" t="s">
        <v>1509</v>
      </c>
      <c r="C749" s="39" t="s">
        <v>17</v>
      </c>
      <c r="D749" s="236"/>
      <c r="E749" s="236"/>
      <c r="F749" s="236"/>
      <c r="G749" s="236"/>
      <c r="H749" s="40">
        <f>SUM(Tabla132112414[[#This Row],[PRIMER TRIMESTRE]:[CUARTO TRIMESTRE]])</f>
        <v>0</v>
      </c>
      <c r="I749" s="17">
        <v>5400</v>
      </c>
      <c r="J749" s="17">
        <f t="shared" si="20"/>
        <v>0</v>
      </c>
      <c r="K749" s="17"/>
      <c r="L749" s="16" t="s">
        <v>18</v>
      </c>
      <c r="M749" s="16" t="s">
        <v>22</v>
      </c>
      <c r="N749" s="39"/>
    </row>
    <row r="750" spans="1:14" s="12" customFormat="1" ht="47.25">
      <c r="A750" s="178" t="s">
        <v>96</v>
      </c>
      <c r="B750" s="16" t="str">
        <f ca="1">+UPPER(Tabla132112414[[#This Row],[DESCRIPCIÓN DE LA COMPRA O CONTRATACIÓN]])</f>
        <v>MONITORES DE FASE A 230 VOLTIOS, CONTRA PÉRDIDA DE FASE E INVERSIÓN DE GIRO CON SU BASE</v>
      </c>
      <c r="C750" s="39" t="s">
        <v>17</v>
      </c>
      <c r="D750" s="236"/>
      <c r="E750" s="236"/>
      <c r="F750" s="236"/>
      <c r="G750" s="236"/>
      <c r="H750" s="40">
        <f>SUM(Tabla132112414[[#This Row],[PRIMER TRIMESTRE]:[CUARTO TRIMESTRE]])</f>
        <v>0</v>
      </c>
      <c r="I750" s="17">
        <v>7500</v>
      </c>
      <c r="J750" s="17">
        <f t="shared" si="20"/>
        <v>0</v>
      </c>
      <c r="K750" s="17"/>
      <c r="L750" s="16" t="s">
        <v>18</v>
      </c>
      <c r="M750" s="16" t="s">
        <v>22</v>
      </c>
      <c r="N750" s="39"/>
    </row>
    <row r="751" spans="1:14" s="12" customFormat="1" ht="47.25">
      <c r="A751" s="178" t="s">
        <v>1676</v>
      </c>
      <c r="B751" s="16" t="s">
        <v>1854</v>
      </c>
      <c r="C751" s="39" t="s">
        <v>17</v>
      </c>
      <c r="D751" s="236"/>
      <c r="E751" s="236"/>
      <c r="F751" s="236"/>
      <c r="G751" s="236"/>
      <c r="H751" s="40">
        <v>0</v>
      </c>
      <c r="I751" s="17">
        <v>0</v>
      </c>
      <c r="J751" s="17">
        <v>0</v>
      </c>
      <c r="K751" s="17"/>
      <c r="L751" s="16" t="s">
        <v>18</v>
      </c>
      <c r="M751" s="16" t="s">
        <v>19</v>
      </c>
      <c r="N751" s="39"/>
    </row>
    <row r="752" spans="1:14" s="12" customFormat="1" ht="38.25">
      <c r="A752" s="178" t="s">
        <v>96</v>
      </c>
      <c r="B752" s="75" t="s">
        <v>1695</v>
      </c>
      <c r="C752" s="39" t="s">
        <v>17</v>
      </c>
      <c r="D752" s="236"/>
      <c r="E752" s="236"/>
      <c r="F752" s="236"/>
      <c r="G752" s="236"/>
      <c r="H752" s="40">
        <v>0</v>
      </c>
      <c r="I752" s="17">
        <v>0</v>
      </c>
      <c r="J752" s="17">
        <v>0</v>
      </c>
      <c r="K752" s="17"/>
      <c r="L752" s="16" t="s">
        <v>18</v>
      </c>
      <c r="M752" s="16" t="s">
        <v>19</v>
      </c>
      <c r="N752" s="39"/>
    </row>
    <row r="753" spans="1:14" s="12" customFormat="1" ht="31.5">
      <c r="A753" s="178" t="s">
        <v>96</v>
      </c>
      <c r="B753" s="75" t="s">
        <v>854</v>
      </c>
      <c r="C753" s="39" t="s">
        <v>17</v>
      </c>
      <c r="D753" s="236"/>
      <c r="E753" s="210"/>
      <c r="F753" s="236"/>
      <c r="G753" s="236"/>
      <c r="H753" s="40">
        <f>SUM(Tabla132112414[[#This Row],[PRIMER TRIMESTRE]:[CUARTO TRIMESTRE]])</f>
        <v>0</v>
      </c>
      <c r="I753" s="72">
        <v>16500</v>
      </c>
      <c r="J753" s="17">
        <f t="shared" si="20"/>
        <v>0</v>
      </c>
      <c r="K753" s="17"/>
      <c r="L753" s="16" t="s">
        <v>18</v>
      </c>
      <c r="M753" s="16" t="s">
        <v>19</v>
      </c>
      <c r="N753" s="39"/>
    </row>
    <row r="754" spans="1:14" s="12" customFormat="1" ht="31.5">
      <c r="A754" s="178" t="s">
        <v>96</v>
      </c>
      <c r="B754" s="75" t="s">
        <v>1718</v>
      </c>
      <c r="C754" s="39" t="s">
        <v>17</v>
      </c>
      <c r="D754" s="236"/>
      <c r="E754" s="210"/>
      <c r="F754" s="236"/>
      <c r="G754" s="236"/>
      <c r="H754" s="40">
        <v>0</v>
      </c>
      <c r="I754" s="72">
        <v>0</v>
      </c>
      <c r="J754" s="17">
        <v>0</v>
      </c>
      <c r="K754" s="17"/>
      <c r="L754" s="16" t="s">
        <v>18</v>
      </c>
      <c r="M754" s="16" t="s">
        <v>19</v>
      </c>
      <c r="N754" s="39"/>
    </row>
    <row r="755" spans="1:14" s="12" customFormat="1" ht="31.5">
      <c r="A755" s="178" t="s">
        <v>96</v>
      </c>
      <c r="B755" s="75" t="s">
        <v>855</v>
      </c>
      <c r="C755" s="39" t="s">
        <v>17</v>
      </c>
      <c r="D755" s="236"/>
      <c r="E755" s="236"/>
      <c r="F755" s="236"/>
      <c r="G755" s="236"/>
      <c r="H755" s="40">
        <f>SUM(Tabla132112414[[#This Row],[PRIMER TRIMESTRE]:[CUARTO TRIMESTRE]])</f>
        <v>0</v>
      </c>
      <c r="I755" s="72">
        <v>60000</v>
      </c>
      <c r="J755" s="17">
        <f t="shared" si="20"/>
        <v>0</v>
      </c>
      <c r="K755" s="17"/>
      <c r="L755" s="16" t="s">
        <v>18</v>
      </c>
      <c r="M755" s="16" t="s">
        <v>19</v>
      </c>
      <c r="N755" s="39"/>
    </row>
    <row r="756" spans="1:14" s="12" customFormat="1" ht="47.25">
      <c r="A756" s="178" t="s">
        <v>96</v>
      </c>
      <c r="B756" s="16" t="str">
        <f ca="1">+UPPER(Tabla132112414[[#This Row],[DESCRIPCIÓN DE LA COMPRA O CONTRATACIÓN]])</f>
        <v>MOTORES ELÉCTRICOS SUMERGIBLES, 3Ø, 230 /460 VOLTIOS, 60HZ, 1.15 FS, 3,450 RPM 7.5 HP NEMA 6</v>
      </c>
      <c r="C756" s="39" t="s">
        <v>17</v>
      </c>
      <c r="D756" s="236"/>
      <c r="E756" s="236"/>
      <c r="F756" s="236"/>
      <c r="G756" s="236"/>
      <c r="H756" s="40">
        <f>SUM(Tabla132112414[[#This Row],[PRIMER TRIMESTRE]:[CUARTO TRIMESTRE]])</f>
        <v>0</v>
      </c>
      <c r="I756" s="72">
        <v>81217.84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</row>
    <row r="757" spans="1:14" s="12" customFormat="1" ht="47.25">
      <c r="A757" s="178" t="s">
        <v>96</v>
      </c>
      <c r="B757" s="16" t="str">
        <f ca="1">+UPPER(Tabla132112414[[#This Row],[DESCRIPCIÓN DE LA COMPRA O CONTRATACIÓN]])</f>
        <v>MOTORES ELÉCTRICOS SUMERGIBLES, 3Ø, 230 /460 VOLTIOS, 60HZ, 1.15 FS, 3,450 RPM 20 HP NEMA 6</v>
      </c>
      <c r="C757" s="39" t="s">
        <v>17</v>
      </c>
      <c r="D757" s="236"/>
      <c r="E757" s="210"/>
      <c r="F757" s="236"/>
      <c r="G757" s="210"/>
      <c r="H757" s="40">
        <f>SUM(Tabla132112414[[#This Row],[PRIMER TRIMESTRE]:[CUARTO TRIMESTRE]])</f>
        <v>0</v>
      </c>
      <c r="I757" s="17">
        <v>90520</v>
      </c>
      <c r="J757" s="17">
        <f t="shared" si="20"/>
        <v>0</v>
      </c>
      <c r="K757" s="17"/>
      <c r="L757" s="16" t="s">
        <v>18</v>
      </c>
      <c r="M757" s="16" t="s">
        <v>19</v>
      </c>
      <c r="N757" s="39"/>
    </row>
    <row r="758" spans="1:14" s="12" customFormat="1" ht="31.5">
      <c r="A758" s="178" t="s">
        <v>96</v>
      </c>
      <c r="B758" s="75" t="s">
        <v>856</v>
      </c>
      <c r="C758" s="39" t="s">
        <v>17</v>
      </c>
      <c r="D758" s="236"/>
      <c r="E758" s="236"/>
      <c r="F758" s="236"/>
      <c r="G758" s="236"/>
      <c r="H758" s="40">
        <f>SUM(Tabla132112414[[#This Row],[PRIMER TRIMESTRE]:[CUARTO TRIMESTRE]])</f>
        <v>0</v>
      </c>
      <c r="I758" s="17">
        <v>107544.96000000001</v>
      </c>
      <c r="J758" s="17">
        <f t="shared" si="20"/>
        <v>0</v>
      </c>
      <c r="K758" s="17"/>
      <c r="L758" s="16" t="s">
        <v>18</v>
      </c>
      <c r="M758" s="16" t="s">
        <v>19</v>
      </c>
      <c r="N758" s="39"/>
    </row>
    <row r="759" spans="1:14" s="12" customFormat="1" ht="31.5">
      <c r="A759" s="178" t="s">
        <v>96</v>
      </c>
      <c r="B759" s="75" t="s">
        <v>1684</v>
      </c>
      <c r="C759" s="39" t="s">
        <v>17</v>
      </c>
      <c r="D759" s="236"/>
      <c r="E759" s="236"/>
      <c r="F759" s="236"/>
      <c r="G759" s="236"/>
      <c r="H759" s="40">
        <v>0</v>
      </c>
      <c r="I759" s="17">
        <v>0</v>
      </c>
      <c r="J759" s="17">
        <v>0</v>
      </c>
      <c r="K759" s="17"/>
      <c r="L759" s="16" t="s">
        <v>18</v>
      </c>
      <c r="M759" s="16" t="s">
        <v>19</v>
      </c>
      <c r="N759" s="39"/>
    </row>
    <row r="760" spans="1:14" s="12" customFormat="1" ht="31.5">
      <c r="A760" s="178" t="s">
        <v>96</v>
      </c>
      <c r="B760" s="75" t="s">
        <v>1446</v>
      </c>
      <c r="C760" s="39" t="s">
        <v>17</v>
      </c>
      <c r="D760" s="236"/>
      <c r="E760" s="236"/>
      <c r="F760" s="236"/>
      <c r="G760" s="236"/>
      <c r="H760" s="40">
        <f>SUM(Tabla132112414[[#This Row],[PRIMER TRIMESTRE]:[CUARTO TRIMESTRE]])</f>
        <v>0</v>
      </c>
      <c r="I760" s="17">
        <v>132750</v>
      </c>
      <c r="J760" s="17">
        <f t="shared" si="20"/>
        <v>0</v>
      </c>
      <c r="K760" s="17"/>
      <c r="L760" s="16" t="s">
        <v>18</v>
      </c>
      <c r="M760" s="16" t="s">
        <v>19</v>
      </c>
      <c r="N760" s="39"/>
    </row>
    <row r="761" spans="1:14" s="12" customFormat="1" ht="31.5">
      <c r="A761" s="178" t="s">
        <v>96</v>
      </c>
      <c r="B761" s="75" t="s">
        <v>1447</v>
      </c>
      <c r="C761" s="39" t="s">
        <v>17</v>
      </c>
      <c r="D761" s="236"/>
      <c r="E761" s="236"/>
      <c r="F761" s="236"/>
      <c r="G761" s="236"/>
      <c r="H761" s="40">
        <f>SUM(Tabla132112414[[#This Row],[PRIMER TRIMESTRE]:[CUARTO TRIMESTRE]])</f>
        <v>0</v>
      </c>
      <c r="I761" s="17">
        <v>151330</v>
      </c>
      <c r="J761" s="17">
        <f t="shared" si="20"/>
        <v>0</v>
      </c>
      <c r="K761" s="17"/>
      <c r="L761" s="16" t="s">
        <v>18</v>
      </c>
      <c r="M761" s="16" t="s">
        <v>19</v>
      </c>
      <c r="N761" s="39"/>
    </row>
    <row r="762" spans="1:14" s="12" customFormat="1" ht="31.5">
      <c r="A762" s="178" t="s">
        <v>96</v>
      </c>
      <c r="B762" s="75" t="s">
        <v>857</v>
      </c>
      <c r="C762" s="39" t="s">
        <v>17</v>
      </c>
      <c r="D762" s="236"/>
      <c r="E762" s="236"/>
      <c r="F762" s="236"/>
      <c r="G762" s="236"/>
      <c r="H762" s="40">
        <f>SUM(Tabla132112414[[#This Row],[PRIMER TRIMESTRE]:[CUARTO TRIMESTRE]])</f>
        <v>0</v>
      </c>
      <c r="I762" s="17">
        <v>123744.06</v>
      </c>
      <c r="J762" s="17">
        <f t="shared" si="20"/>
        <v>0</v>
      </c>
      <c r="K762" s="17"/>
      <c r="L762" s="16" t="s">
        <v>18</v>
      </c>
      <c r="M762" s="16" t="s">
        <v>19</v>
      </c>
      <c r="N762" s="39"/>
    </row>
    <row r="763" spans="1:14" s="12" customFormat="1" ht="31.5">
      <c r="A763" s="178" t="s">
        <v>96</v>
      </c>
      <c r="B763" s="75" t="s">
        <v>858</v>
      </c>
      <c r="C763" s="39" t="s">
        <v>17</v>
      </c>
      <c r="D763" s="236"/>
      <c r="E763" s="210"/>
      <c r="F763" s="236"/>
      <c r="G763" s="236"/>
      <c r="H763" s="40">
        <f>SUM(Tabla132112414[[#This Row],[PRIMER TRIMESTRE]:[CUARTO TRIMESTRE]])</f>
        <v>0</v>
      </c>
      <c r="I763" s="17">
        <v>135450.07</v>
      </c>
      <c r="J763" s="17">
        <f t="shared" si="20"/>
        <v>0</v>
      </c>
      <c r="K763" s="17"/>
      <c r="L763" s="16" t="s">
        <v>18</v>
      </c>
      <c r="M763" s="16" t="s">
        <v>19</v>
      </c>
      <c r="N763" s="39"/>
    </row>
    <row r="764" spans="1:14" s="12" customFormat="1" ht="31.5">
      <c r="A764" s="178" t="s">
        <v>96</v>
      </c>
      <c r="B764" s="75" t="s">
        <v>859</v>
      </c>
      <c r="C764" s="39" t="s">
        <v>17</v>
      </c>
      <c r="D764" s="236"/>
      <c r="E764" s="210"/>
      <c r="F764" s="236"/>
      <c r="G764" s="236"/>
      <c r="H764" s="40">
        <f>SUM(Tabla132112414[[#This Row],[PRIMER TRIMESTRE]:[CUARTO TRIMESTRE]])</f>
        <v>0</v>
      </c>
      <c r="I764" s="17">
        <v>181838</v>
      </c>
      <c r="J764" s="17">
        <f t="shared" si="20"/>
        <v>0</v>
      </c>
      <c r="K764" s="17"/>
      <c r="L764" s="16" t="s">
        <v>18</v>
      </c>
      <c r="M764" s="16" t="s">
        <v>19</v>
      </c>
      <c r="N764" s="39"/>
    </row>
    <row r="765" spans="1:14" s="12" customFormat="1" ht="31.5">
      <c r="A765" s="178" t="s">
        <v>96</v>
      </c>
      <c r="B765" s="75" t="s">
        <v>860</v>
      </c>
      <c r="C765" s="39" t="s">
        <v>17</v>
      </c>
      <c r="D765" s="236"/>
      <c r="E765" s="210"/>
      <c r="F765" s="236"/>
      <c r="G765" s="236"/>
      <c r="H765" s="40">
        <f>SUM(Tabla132112414[[#This Row],[PRIMER TRIMESTRE]:[CUARTO TRIMESTRE]])</f>
        <v>0</v>
      </c>
      <c r="I765" s="72">
        <v>190640</v>
      </c>
      <c r="J765" s="17">
        <f t="shared" si="20"/>
        <v>0</v>
      </c>
      <c r="K765" s="17"/>
      <c r="L765" s="16" t="s">
        <v>18</v>
      </c>
      <c r="M765" s="16" t="s">
        <v>19</v>
      </c>
      <c r="N765" s="39"/>
    </row>
    <row r="766" spans="1:14" s="12" customFormat="1" ht="31.5">
      <c r="A766" s="178" t="s">
        <v>96</v>
      </c>
      <c r="B766" s="75" t="s">
        <v>861</v>
      </c>
      <c r="C766" s="39" t="s">
        <v>17</v>
      </c>
      <c r="D766" s="236"/>
      <c r="E766" s="210"/>
      <c r="F766" s="236"/>
      <c r="G766" s="236"/>
      <c r="H766" s="40">
        <f>SUM(Tabla132112414[[#This Row],[PRIMER TRIMESTRE]:[CUARTO TRIMESTRE]])</f>
        <v>0</v>
      </c>
      <c r="I766" s="17">
        <v>190640.56</v>
      </c>
      <c r="J766" s="17">
        <f t="shared" si="20"/>
        <v>0</v>
      </c>
      <c r="K766" s="17"/>
      <c r="L766" s="16" t="s">
        <v>18</v>
      </c>
      <c r="M766" s="16" t="s">
        <v>19</v>
      </c>
      <c r="N766" s="39"/>
    </row>
    <row r="767" spans="1:14" s="12" customFormat="1" ht="31.5">
      <c r="A767" s="178" t="s">
        <v>96</v>
      </c>
      <c r="B767" s="75" t="s">
        <v>862</v>
      </c>
      <c r="C767" s="39" t="s">
        <v>17</v>
      </c>
      <c r="D767" s="236"/>
      <c r="E767" s="210"/>
      <c r="F767" s="236"/>
      <c r="G767" s="236"/>
      <c r="H767" s="40">
        <f>SUM(Tabla132112414[[#This Row],[PRIMER TRIMESTRE]:[CUARTO TRIMESTRE]])</f>
        <v>0</v>
      </c>
      <c r="I767" s="17">
        <v>327450</v>
      </c>
      <c r="J767" s="17">
        <f t="shared" si="20"/>
        <v>0</v>
      </c>
      <c r="K767" s="17"/>
      <c r="L767" s="16" t="s">
        <v>18</v>
      </c>
      <c r="M767" s="16" t="s">
        <v>19</v>
      </c>
      <c r="N767" s="39"/>
    </row>
    <row r="768" spans="1:14" s="12" customFormat="1" ht="47.25">
      <c r="A768" s="178" t="s">
        <v>96</v>
      </c>
      <c r="B768" s="16" t="str">
        <f ca="1">+UPPER(Tabla132112414[[#This Row],[DESCRIPCIÓN DE LA COMPRA O CONTRATACIÓN]])</f>
        <v xml:space="preserve">MOTORES ELÉCTRICOS MONOFASICO SUMERGIBLES, 230 VOLTIOS, 3,450 RPM  3 HP CON CAJA DE CONTROLS </v>
      </c>
      <c r="C768" s="39" t="s">
        <v>17</v>
      </c>
      <c r="D768" s="236"/>
      <c r="E768" s="210"/>
      <c r="F768" s="236"/>
      <c r="G768" s="236"/>
      <c r="H768" s="40">
        <f>SUM(Tabla132112414[[#This Row],[PRIMER TRIMESTRE]:[CUARTO TRIMESTRE]])</f>
        <v>0</v>
      </c>
      <c r="I768" s="17">
        <v>36114.370000000003</v>
      </c>
      <c r="J768" s="17">
        <f t="shared" si="20"/>
        <v>0</v>
      </c>
      <c r="K768" s="17"/>
      <c r="L768" s="16" t="s">
        <v>18</v>
      </c>
      <c r="M768" s="16" t="s">
        <v>19</v>
      </c>
      <c r="N768" s="39"/>
    </row>
    <row r="769" spans="1:14" s="12" customFormat="1" ht="47.25">
      <c r="A769" s="178" t="s">
        <v>96</v>
      </c>
      <c r="B769" s="16" t="str">
        <f ca="1">+UPPER(Tabla132112414[[#This Row],[DESCRIPCIÓN DE LA COMPRA O CONTRATACIÓN]])</f>
        <v xml:space="preserve">MOTORES ELÉCTRICOS MONOFASICO SUMERGIBLES, 230 VOLTIOS, 3,450 RPM  5 HP CON CAJA DE CONTROLS </v>
      </c>
      <c r="C769" s="39" t="s">
        <v>17</v>
      </c>
      <c r="D769" s="236"/>
      <c r="E769" s="210"/>
      <c r="F769" s="236"/>
      <c r="G769" s="236"/>
      <c r="H769" s="40">
        <f>SUM(Tabla132112414[[#This Row],[PRIMER TRIMESTRE]:[CUARTO TRIMESTRE]])</f>
        <v>0</v>
      </c>
      <c r="I769" s="17">
        <v>38000</v>
      </c>
      <c r="J769" s="17">
        <f t="shared" si="20"/>
        <v>0</v>
      </c>
      <c r="K769" s="17"/>
      <c r="L769" s="16" t="s">
        <v>18</v>
      </c>
      <c r="M769" s="16" t="s">
        <v>19</v>
      </c>
      <c r="N769" s="39"/>
    </row>
    <row r="770" spans="1:14" s="12" customFormat="1" ht="47.25">
      <c r="A770" s="178" t="s">
        <v>96</v>
      </c>
      <c r="B770" s="16" t="str">
        <f ca="1">+UPPER(Tabla132112414[[#This Row],[DESCRIPCIÓN DE LA COMPRA O CONTRATACIÓN]])</f>
        <v xml:space="preserve">MOTORES ELÉCTRICOS MONOFASICO SUMERGIBLES, 230 VOLTIOS, 3,450 RPM  7.5 HP CON CAJA DE CONTROLS </v>
      </c>
      <c r="C770" s="39" t="s">
        <v>17</v>
      </c>
      <c r="D770" s="236"/>
      <c r="E770" s="210"/>
      <c r="F770" s="236"/>
      <c r="G770" s="236"/>
      <c r="H770" s="40">
        <f>SUM(Tabla132112414[[#This Row],[PRIMER TRIMESTRE]:[CUARTO TRIMESTRE]])</f>
        <v>0</v>
      </c>
      <c r="I770" s="17">
        <v>50164</v>
      </c>
      <c r="J770" s="17">
        <f t="shared" si="20"/>
        <v>0</v>
      </c>
      <c r="K770" s="17"/>
      <c r="L770" s="16" t="s">
        <v>18</v>
      </c>
      <c r="M770" s="16" t="s">
        <v>19</v>
      </c>
      <c r="N770" s="39"/>
    </row>
    <row r="771" spans="1:14" s="12" customFormat="1" ht="47.25">
      <c r="A771" s="178" t="s">
        <v>96</v>
      </c>
      <c r="B771" s="16" t="str">
        <f ca="1">+UPPER(Tabla132112414[[#This Row],[DESCRIPCIÓN DE LA COMPRA O CONTRATACIÓN]])</f>
        <v>ELECTROBOMBAS HORIZONTAL, 0.75HP, 1Ø, 115/230V, TIPO MONOBLOCK,3500 RPM, 20 GPM VS 100 PIES TDH</v>
      </c>
      <c r="C771" s="39" t="s">
        <v>17</v>
      </c>
      <c r="D771" s="236"/>
      <c r="E771" s="236"/>
      <c r="F771" s="236"/>
      <c r="G771" s="236"/>
      <c r="H771" s="40">
        <f>SUM(Tabla132112414[[#This Row],[PRIMER TRIMESTRE]:[CUARTO TRIMESTRE]])</f>
        <v>0</v>
      </c>
      <c r="I771" s="17">
        <v>23570</v>
      </c>
      <c r="J771" s="17">
        <f t="shared" si="20"/>
        <v>0</v>
      </c>
      <c r="K771" s="17"/>
      <c r="L771" s="16" t="s">
        <v>18</v>
      </c>
      <c r="M771" s="16" t="s">
        <v>19</v>
      </c>
      <c r="N771" s="39"/>
    </row>
    <row r="772" spans="1:14" s="12" customFormat="1" ht="31.5">
      <c r="A772" s="178" t="s">
        <v>96</v>
      </c>
      <c r="B772" s="16" t="str">
        <f ca="1">+UPPER(Tabla132112414[[#This Row],[DESCRIPCIÓN DE LA COMPRA O CONTRATACIÓN]])</f>
        <v>ELECTROBOMBAS SUMERGIBLE, 1.00HP, 230V, 1Ø, 60HZ, CON SU CAJA DE CONTROL, 3500 RPM</v>
      </c>
      <c r="C772" s="39" t="s">
        <v>17</v>
      </c>
      <c r="D772" s="236"/>
      <c r="E772" s="236"/>
      <c r="F772" s="236"/>
      <c r="G772" s="236"/>
      <c r="H772" s="40">
        <f>SUM(Tabla132112414[[#This Row],[PRIMER TRIMESTRE]:[CUARTO TRIMESTRE]])</f>
        <v>0</v>
      </c>
      <c r="I772" s="17">
        <v>32670</v>
      </c>
      <c r="J772" s="17">
        <f t="shared" si="20"/>
        <v>0</v>
      </c>
      <c r="K772" s="17"/>
      <c r="L772" s="16" t="s">
        <v>18</v>
      </c>
      <c r="M772" s="16" t="s">
        <v>19</v>
      </c>
      <c r="N772" s="39"/>
    </row>
    <row r="773" spans="1:14" s="12" customFormat="1" ht="30">
      <c r="A773" s="178" t="s">
        <v>96</v>
      </c>
      <c r="B773" s="75" t="s">
        <v>1688</v>
      </c>
      <c r="C773" s="39" t="s">
        <v>17</v>
      </c>
      <c r="D773" s="236"/>
      <c r="E773" s="236"/>
      <c r="F773" s="236"/>
      <c r="G773" s="236"/>
      <c r="H773" s="40">
        <v>0</v>
      </c>
      <c r="I773" s="17">
        <v>0</v>
      </c>
      <c r="J773" s="17">
        <v>0</v>
      </c>
      <c r="K773" s="17"/>
      <c r="L773" s="16" t="s">
        <v>18</v>
      </c>
      <c r="M773" s="16" t="s">
        <v>22</v>
      </c>
      <c r="N773" s="39"/>
    </row>
    <row r="774" spans="1:14" s="12" customFormat="1" ht="30">
      <c r="A774" s="178" t="s">
        <v>96</v>
      </c>
      <c r="B774" s="75" t="s">
        <v>1230</v>
      </c>
      <c r="C774" s="39" t="s">
        <v>17</v>
      </c>
      <c r="D774" s="236"/>
      <c r="E774" s="236"/>
      <c r="F774" s="236"/>
      <c r="G774" s="236"/>
      <c r="H774" s="40">
        <f>SUM(Tabla132112414[[#This Row],[PRIMER TRIMESTRE]:[CUARTO TRIMESTRE]])</f>
        <v>0</v>
      </c>
      <c r="I774" s="17">
        <v>45000</v>
      </c>
      <c r="J774" s="17">
        <f t="shared" si="20"/>
        <v>0</v>
      </c>
      <c r="K774" s="17"/>
      <c r="L774" s="16" t="s">
        <v>18</v>
      </c>
      <c r="M774" s="16" t="s">
        <v>22</v>
      </c>
      <c r="N774" s="39"/>
    </row>
    <row r="775" spans="1:14" s="12" customFormat="1" ht="30">
      <c r="A775" s="178" t="s">
        <v>96</v>
      </c>
      <c r="B775" s="75" t="s">
        <v>1231</v>
      </c>
      <c r="C775" s="39" t="s">
        <v>17</v>
      </c>
      <c r="D775" s="236"/>
      <c r="E775" s="236"/>
      <c r="F775" s="236"/>
      <c r="G775" s="236"/>
      <c r="H775" s="40">
        <f>SUM(Tabla132112414[[#This Row],[PRIMER TRIMESTRE]:[CUARTO TRIMESTRE]])</f>
        <v>0</v>
      </c>
      <c r="I775" s="17">
        <v>48231.23</v>
      </c>
      <c r="J775" s="17">
        <f t="shared" si="20"/>
        <v>0</v>
      </c>
      <c r="K775" s="17"/>
      <c r="L775" s="16" t="s">
        <v>18</v>
      </c>
      <c r="M775" s="16" t="s">
        <v>22</v>
      </c>
      <c r="N775" s="39"/>
    </row>
    <row r="776" spans="1:14" s="12" customFormat="1" ht="30">
      <c r="A776" s="178" t="s">
        <v>96</v>
      </c>
      <c r="B776" s="75" t="s">
        <v>1232</v>
      </c>
      <c r="C776" s="39" t="s">
        <v>17</v>
      </c>
      <c r="D776" s="236"/>
      <c r="E776" s="236"/>
      <c r="F776" s="236"/>
      <c r="G776" s="236"/>
      <c r="H776" s="40">
        <f>SUM(Tabla132112414[[#This Row],[PRIMER TRIMESTRE]:[CUARTO TRIMESTRE]])</f>
        <v>0</v>
      </c>
      <c r="I776" s="17">
        <v>52738.12</v>
      </c>
      <c r="J776" s="17">
        <f t="shared" si="20"/>
        <v>0</v>
      </c>
      <c r="K776" s="17"/>
      <c r="L776" s="16" t="s">
        <v>18</v>
      </c>
      <c r="M776" s="16" t="s">
        <v>22</v>
      </c>
      <c r="N776" s="39"/>
    </row>
    <row r="777" spans="1:14" s="12" customFormat="1" ht="30">
      <c r="A777" s="178" t="s">
        <v>96</v>
      </c>
      <c r="B777" s="75" t="s">
        <v>1233</v>
      </c>
      <c r="C777" s="39" t="s">
        <v>17</v>
      </c>
      <c r="D777" s="236"/>
      <c r="E777" s="236"/>
      <c r="F777" s="236"/>
      <c r="G777" s="236"/>
      <c r="H777" s="40">
        <f>SUM(Tabla132112414[[#This Row],[PRIMER TRIMESTRE]:[CUARTO TRIMESTRE]])</f>
        <v>0</v>
      </c>
      <c r="I777" s="17">
        <v>14726</v>
      </c>
      <c r="J777" s="17">
        <f t="shared" si="20"/>
        <v>0</v>
      </c>
      <c r="K777" s="17"/>
      <c r="L777" s="16" t="s">
        <v>18</v>
      </c>
      <c r="M777" s="16" t="s">
        <v>22</v>
      </c>
      <c r="N777" s="39"/>
    </row>
    <row r="778" spans="1:14" s="12" customFormat="1" ht="30">
      <c r="A778" s="178" t="s">
        <v>96</v>
      </c>
      <c r="B778" s="75" t="s">
        <v>1234</v>
      </c>
      <c r="C778" s="39" t="s">
        <v>17</v>
      </c>
      <c r="D778" s="236"/>
      <c r="E778" s="236"/>
      <c r="F778" s="236"/>
      <c r="G778" s="236"/>
      <c r="H778" s="40">
        <f>SUM(Tabla132112414[[#This Row],[PRIMER TRIMESTRE]:[CUARTO TRIMESTRE]])</f>
        <v>0</v>
      </c>
      <c r="I778" s="17">
        <v>60000</v>
      </c>
      <c r="J778" s="17">
        <f t="shared" ref="J778:J807" si="21">+H778*I778</f>
        <v>0</v>
      </c>
      <c r="K778" s="17"/>
      <c r="L778" s="16" t="s">
        <v>18</v>
      </c>
      <c r="M778" s="16" t="s">
        <v>22</v>
      </c>
      <c r="N778" s="39"/>
    </row>
    <row r="779" spans="1:14" s="12" customFormat="1" ht="38.25">
      <c r="A779" s="178" t="s">
        <v>96</v>
      </c>
      <c r="B779" s="75" t="s">
        <v>1686</v>
      </c>
      <c r="C779" s="39" t="s">
        <v>17</v>
      </c>
      <c r="D779" s="236"/>
      <c r="E779" s="236"/>
      <c r="F779" s="236"/>
      <c r="G779" s="236"/>
      <c r="H779" s="40">
        <v>0</v>
      </c>
      <c r="I779" s="17">
        <v>0</v>
      </c>
      <c r="J779" s="17">
        <v>0</v>
      </c>
      <c r="K779" s="17"/>
      <c r="L779" s="16" t="s">
        <v>18</v>
      </c>
      <c r="M779" s="16" t="s">
        <v>22</v>
      </c>
      <c r="N779" s="39"/>
    </row>
    <row r="780" spans="1:14" s="12" customFormat="1" ht="30">
      <c r="A780" s="178" t="s">
        <v>96</v>
      </c>
      <c r="B780" s="75" t="s">
        <v>1685</v>
      </c>
      <c r="C780" s="39" t="s">
        <v>17</v>
      </c>
      <c r="D780" s="236"/>
      <c r="E780" s="236"/>
      <c r="F780" s="236"/>
      <c r="G780" s="236"/>
      <c r="H780" s="40">
        <v>0</v>
      </c>
      <c r="I780" s="17">
        <v>0</v>
      </c>
      <c r="J780" s="17">
        <v>0</v>
      </c>
      <c r="K780" s="17"/>
      <c r="L780" s="16" t="s">
        <v>18</v>
      </c>
      <c r="M780" s="16" t="s">
        <v>22</v>
      </c>
      <c r="N780" s="39"/>
    </row>
    <row r="781" spans="1:14" s="12" customFormat="1" ht="47.25">
      <c r="A781" s="178" t="s">
        <v>96</v>
      </c>
      <c r="B781" s="16" t="s">
        <v>1689</v>
      </c>
      <c r="C781" s="39" t="s">
        <v>17</v>
      </c>
      <c r="D781" s="236"/>
      <c r="E781" s="236"/>
      <c r="F781" s="236"/>
      <c r="G781" s="236"/>
      <c r="H781" s="40">
        <v>0</v>
      </c>
      <c r="I781" s="17">
        <v>0</v>
      </c>
      <c r="J781" s="17">
        <v>0</v>
      </c>
      <c r="K781" s="17"/>
      <c r="L781" s="16" t="s">
        <v>18</v>
      </c>
      <c r="M781" s="16" t="s">
        <v>22</v>
      </c>
      <c r="N781" s="39"/>
    </row>
    <row r="782" spans="1:14" s="12" customFormat="1" ht="47.25">
      <c r="A782" s="178" t="s">
        <v>96</v>
      </c>
      <c r="B782" s="16" t="s">
        <v>863</v>
      </c>
      <c r="C782" s="39" t="s">
        <v>17</v>
      </c>
      <c r="D782" s="236"/>
      <c r="E782" s="236"/>
      <c r="F782" s="236"/>
      <c r="G782" s="236"/>
      <c r="H782" s="40">
        <f>SUM(Tabla132112414[[#This Row],[PRIMER TRIMESTRE]:[CUARTO TRIMESTRE]])</f>
        <v>0</v>
      </c>
      <c r="I782" s="17">
        <v>24051.94</v>
      </c>
      <c r="J782" s="17">
        <f t="shared" si="21"/>
        <v>0</v>
      </c>
      <c r="K782" s="17"/>
      <c r="L782" s="16" t="s">
        <v>18</v>
      </c>
      <c r="M782" s="16" t="s">
        <v>22</v>
      </c>
      <c r="N782" s="39"/>
    </row>
    <row r="783" spans="1:14" s="12" customFormat="1" ht="47.25">
      <c r="A783" s="178" t="s">
        <v>96</v>
      </c>
      <c r="B783" s="16" t="str">
        <f ca="1">+UPPER(Tabla132112414[[#This Row],[DESCRIPCIÓN DE LA COMPRA O CONTRATACIÓN]])</f>
        <v>TRANSFORMADORES 1Ø, 60HZ, SUMERGIDOS EN ACEITE, 7.2/12.47 KV, 120/240V, TIPO POSTE, HOMOLGADOS CON IDÉNTICA IMPEDANCIA 25 KVA</v>
      </c>
      <c r="C783" s="39" t="s">
        <v>17</v>
      </c>
      <c r="D783" s="236"/>
      <c r="E783" s="236"/>
      <c r="F783" s="236"/>
      <c r="G783" s="236"/>
      <c r="H783" s="40">
        <f>SUM(Tabla132112414[[#This Row],[PRIMER TRIMESTRE]:[CUARTO TRIMESTRE]])</f>
        <v>0</v>
      </c>
      <c r="I783" s="17">
        <v>34220</v>
      </c>
      <c r="J783" s="17">
        <f t="shared" si="21"/>
        <v>0</v>
      </c>
      <c r="K783" s="17"/>
      <c r="L783" s="16" t="s">
        <v>18</v>
      </c>
      <c r="M783" s="16" t="s">
        <v>22</v>
      </c>
      <c r="N783" s="39"/>
    </row>
    <row r="784" spans="1:14" s="12" customFormat="1" ht="63">
      <c r="A784" s="178" t="s">
        <v>96</v>
      </c>
      <c r="B784" s="16" t="str">
        <f ca="1">+UPPER(Tabla132112414[[#This Row],[DESCRIPCIÓN DE LA COMPRA O CONTRATACIÓN]])</f>
        <v>TRANSFORMADORES 1Ø, 60HZ, SUMERGIDOS EN ACEITE, 7.2/12.47 KV, 120/240V, TIPO POSTE, HOMOLGADOS CON IDÉNTICA IMPEDANCIA 37.5 KVA</v>
      </c>
      <c r="C784" s="39" t="s">
        <v>17</v>
      </c>
      <c r="D784" s="236"/>
      <c r="E784" s="236"/>
      <c r="F784" s="236"/>
      <c r="G784" s="236"/>
      <c r="H784" s="40">
        <f>SUM(Tabla132112414[[#This Row],[PRIMER TRIMESTRE]:[CUARTO TRIMESTRE]])</f>
        <v>0</v>
      </c>
      <c r="I784" s="17">
        <v>58875.22</v>
      </c>
      <c r="J784" s="17">
        <f t="shared" si="21"/>
        <v>0</v>
      </c>
      <c r="K784" s="17"/>
      <c r="L784" s="16" t="s">
        <v>18</v>
      </c>
      <c r="M784" s="16" t="s">
        <v>22</v>
      </c>
      <c r="N784" s="39"/>
    </row>
    <row r="785" spans="1:14" s="12" customFormat="1" ht="47.25">
      <c r="A785" s="178" t="s">
        <v>96</v>
      </c>
      <c r="B785" s="73" t="str">
        <f ca="1">+UPPER(Tabla132112414[[#This Row],[DESCRIPCIÓN DE LA COMPRA O CONTRATACIÓN]])</f>
        <v>TRANSFORMADORES 1Ø, 60HZ, SUMERGIDOS EN ACEITE, 7.2/12.47 KV, 240/480V, TIPO POSTE HOMOLGADOS CON IDÉNTICA IMPEDANCIA 15 KVA</v>
      </c>
      <c r="C785" s="39" t="s">
        <v>17</v>
      </c>
      <c r="D785" s="236"/>
      <c r="E785" s="236"/>
      <c r="F785" s="236"/>
      <c r="G785" s="236"/>
      <c r="H785" s="40">
        <f>SUM(Tabla132112414[[#This Row],[PRIMER TRIMESTRE]:[CUARTO TRIMESTRE]])</f>
        <v>0</v>
      </c>
      <c r="I785" s="17">
        <v>25498.09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</row>
    <row r="786" spans="1:14" s="12" customFormat="1" ht="47.25">
      <c r="A786" s="178" t="s">
        <v>96</v>
      </c>
      <c r="B786" s="73" t="str">
        <f ca="1">+UPPER(Tabla132112414[[#This Row],[DESCRIPCIÓN DE LA COMPRA O CONTRATACIÓN]])</f>
        <v>TRANSFORMADORES 1Ø, 60HZ, SUMERGIDOS EN ACEITE, 7.2/12.47 KV, 240/480V, TIPO POSTE HOMOLGADOS CON IDÉNTICA IMPEDANCIA 25 KVA</v>
      </c>
      <c r="C786" s="39" t="s">
        <v>17</v>
      </c>
      <c r="D786" s="236"/>
      <c r="E786" s="236"/>
      <c r="F786" s="236"/>
      <c r="G786" s="236"/>
      <c r="H786" s="40">
        <f>SUM(Tabla132112414[[#This Row],[PRIMER TRIMESTRE]:[CUARTO TRIMESTRE]])</f>
        <v>0</v>
      </c>
      <c r="I786" s="17">
        <v>37186.82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</row>
    <row r="787" spans="1:14" s="12" customFormat="1" ht="38.25">
      <c r="A787" s="178" t="s">
        <v>96</v>
      </c>
      <c r="B787" s="77" t="s">
        <v>864</v>
      </c>
      <c r="C787" s="39" t="s">
        <v>17</v>
      </c>
      <c r="D787" s="236"/>
      <c r="E787" s="236"/>
      <c r="F787" s="236"/>
      <c r="G787" s="236"/>
      <c r="H787" s="40">
        <f>SUM(Tabla132112414[[#This Row],[PRIMER TRIMESTRE]:[CUARTO TRIMESTRE]])</f>
        <v>0</v>
      </c>
      <c r="I787" s="17">
        <v>44076.54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</row>
    <row r="788" spans="1:14" s="12" customFormat="1" ht="38.25">
      <c r="A788" s="178" t="s">
        <v>96</v>
      </c>
      <c r="B788" s="75" t="s">
        <v>865</v>
      </c>
      <c r="C788" s="39" t="s">
        <v>17</v>
      </c>
      <c r="D788" s="236"/>
      <c r="E788" s="236"/>
      <c r="F788" s="236"/>
      <c r="G788" s="236"/>
      <c r="H788" s="40">
        <f>SUM(Tabla132112414[[#This Row],[PRIMER TRIMESTRE]:[CUARTO TRIMESTRE]])</f>
        <v>0</v>
      </c>
      <c r="I788" s="17">
        <v>54061.7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</row>
    <row r="789" spans="1:14" s="12" customFormat="1" ht="38.25">
      <c r="A789" s="178" t="s">
        <v>96</v>
      </c>
      <c r="B789" s="75" t="s">
        <v>866</v>
      </c>
      <c r="C789" s="39" t="s">
        <v>17</v>
      </c>
      <c r="D789" s="236"/>
      <c r="E789" s="236"/>
      <c r="F789" s="236"/>
      <c r="G789" s="236"/>
      <c r="H789" s="40">
        <f>SUM(Tabla132112414[[#This Row],[PRIMER TRIMESTRE]:[CUARTO TRIMESTRE]])</f>
        <v>0</v>
      </c>
      <c r="I789" s="17">
        <v>81423.539999999994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</row>
    <row r="790" spans="1:14" s="12" customFormat="1" ht="63">
      <c r="A790" s="178" t="s">
        <v>96</v>
      </c>
      <c r="B790" s="16" t="str">
        <f ca="1">+UPPER(Tabla132112414[[#This Row],[DESCRIPCIÓN DE LA COMPRA O CONTRATACIÓN]])</f>
        <v>TRANSFORMADORES 1Ø, 60HZ, SUMERGIDOS EN ACEITE, 7.2/12.47 KV, 240/480V, TIPO POSTE HOMOLGADOS CON IDÉNTICA IMPEDANCIA 100 KVA</v>
      </c>
      <c r="C790" s="39" t="s">
        <v>17</v>
      </c>
      <c r="D790" s="236"/>
      <c r="E790" s="236"/>
      <c r="F790" s="236"/>
      <c r="G790" s="236"/>
      <c r="H790" s="40">
        <f>SUM(Tabla132112414[[#This Row],[PRIMER TRIMESTRE]:[CUARTO TRIMESTRE]])</f>
        <v>0</v>
      </c>
      <c r="I790" s="17">
        <v>108938.74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</row>
    <row r="791" spans="1:14" s="12" customFormat="1" ht="38.25">
      <c r="A791" s="178" t="s">
        <v>96</v>
      </c>
      <c r="B791" s="75" t="s">
        <v>867</v>
      </c>
      <c r="C791" s="39" t="s">
        <v>17</v>
      </c>
      <c r="D791" s="236"/>
      <c r="E791" s="236"/>
      <c r="F791" s="236"/>
      <c r="G791" s="236"/>
      <c r="H791" s="40">
        <f>SUM(Tabla132112414[[#This Row],[PRIMER TRIMESTRE]:[CUARTO TRIMESTRE]])</f>
        <v>0</v>
      </c>
      <c r="I791" s="17">
        <v>160529.56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</row>
    <row r="792" spans="1:14" s="12" customFormat="1" ht="38.25">
      <c r="A792" s="178" t="s">
        <v>96</v>
      </c>
      <c r="B792" s="75" t="s">
        <v>871</v>
      </c>
      <c r="C792" s="39" t="s">
        <v>17</v>
      </c>
      <c r="D792" s="236"/>
      <c r="E792" s="236"/>
      <c r="F792" s="236"/>
      <c r="G792" s="236"/>
      <c r="H792" s="40">
        <f>SUM(Tabla132112414[[#This Row],[PRIMER TRIMESTRE]:[CUARTO TRIMESTRE]])</f>
        <v>0</v>
      </c>
      <c r="I792" s="17">
        <v>2995.96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</row>
    <row r="793" spans="1:14" s="12" customFormat="1" ht="38.25">
      <c r="A793" s="178" t="s">
        <v>96</v>
      </c>
      <c r="B793" s="75" t="s">
        <v>872</v>
      </c>
      <c r="C793" s="39" t="s">
        <v>17</v>
      </c>
      <c r="D793" s="236"/>
      <c r="E793" s="236"/>
      <c r="F793" s="236"/>
      <c r="G793" s="236"/>
      <c r="H793" s="40">
        <f>SUM(Tabla132112414[[#This Row],[PRIMER TRIMESTRE]:[CUARTO TRIMESTRE]])</f>
        <v>0</v>
      </c>
      <c r="I793" s="17">
        <v>3986.24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</row>
    <row r="794" spans="1:14" s="12" customFormat="1" ht="38.25">
      <c r="A794" s="178" t="s">
        <v>96</v>
      </c>
      <c r="B794" s="75" t="s">
        <v>873</v>
      </c>
      <c r="C794" s="39" t="s">
        <v>17</v>
      </c>
      <c r="D794" s="236"/>
      <c r="E794" s="236"/>
      <c r="F794" s="236"/>
      <c r="G794" s="236"/>
      <c r="H794" s="40">
        <f>SUM(Tabla132112414[[#This Row],[PRIMER TRIMESTRE]:[CUARTO TRIMESTRE]])</f>
        <v>0</v>
      </c>
      <c r="I794" s="17">
        <v>6982.2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</row>
    <row r="795" spans="1:14" s="12" customFormat="1" ht="30">
      <c r="A795" s="178" t="s">
        <v>96</v>
      </c>
      <c r="B795" s="75" t="s">
        <v>1437</v>
      </c>
      <c r="C795" s="39" t="s">
        <v>1438</v>
      </c>
      <c r="D795" s="236"/>
      <c r="E795" s="236"/>
      <c r="F795" s="236"/>
      <c r="G795" s="236"/>
      <c r="H795" s="40">
        <f>SUM(Tabla132112414[[#This Row],[PRIMER TRIMESTRE]:[CUARTO TRIMESTRE]])</f>
        <v>0</v>
      </c>
      <c r="I795" s="17">
        <v>554145.56999999995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</row>
    <row r="796" spans="1:14" s="12" customFormat="1" ht="30">
      <c r="A796" s="178" t="s">
        <v>96</v>
      </c>
      <c r="B796" s="75" t="s">
        <v>1450</v>
      </c>
      <c r="C796" s="39" t="s">
        <v>17</v>
      </c>
      <c r="D796" s="236"/>
      <c r="E796" s="236"/>
      <c r="F796" s="236"/>
      <c r="G796" s="236"/>
      <c r="H796" s="40">
        <f>SUM(Tabla132112414[[#This Row],[PRIMER TRIMESTRE]:[CUARTO TRIMESTRE]])</f>
        <v>0</v>
      </c>
      <c r="I796" s="17">
        <v>6950.29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</row>
    <row r="797" spans="1:14" s="12" customFormat="1" ht="30">
      <c r="A797" s="178" t="s">
        <v>96</v>
      </c>
      <c r="B797" s="75" t="s">
        <v>1524</v>
      </c>
      <c r="C797" s="39" t="s">
        <v>17</v>
      </c>
      <c r="D797" s="236"/>
      <c r="E797" s="236"/>
      <c r="F797" s="236"/>
      <c r="G797" s="236"/>
      <c r="H797" s="236">
        <f>SUM(Tabla132112414[[#This Row],[PRIMER TRIMESTRE]:[CUARTO TRIMESTRE]])</f>
        <v>0</v>
      </c>
      <c r="I797" s="17">
        <v>38300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</row>
    <row r="798" spans="1:14" s="12" customFormat="1" ht="30">
      <c r="A798" s="178" t="s">
        <v>96</v>
      </c>
      <c r="B798" s="75" t="s">
        <v>1728</v>
      </c>
      <c r="C798" s="39" t="s">
        <v>17</v>
      </c>
      <c r="D798" s="236"/>
      <c r="E798" s="236"/>
      <c r="F798" s="236"/>
      <c r="G798" s="236"/>
      <c r="H798" s="40">
        <v>0</v>
      </c>
      <c r="I798" s="17">
        <v>0</v>
      </c>
      <c r="J798" s="17">
        <v>0</v>
      </c>
      <c r="K798" s="17"/>
      <c r="L798" s="16" t="s">
        <v>18</v>
      </c>
      <c r="M798" s="16" t="s">
        <v>22</v>
      </c>
      <c r="N798" s="39"/>
    </row>
    <row r="799" spans="1:14" s="12" customFormat="1" ht="51">
      <c r="A799" s="178" t="s">
        <v>96</v>
      </c>
      <c r="B799" s="75" t="s">
        <v>1525</v>
      </c>
      <c r="C799" s="39" t="s">
        <v>17</v>
      </c>
      <c r="D799" s="236"/>
      <c r="E799" s="236"/>
      <c r="F799" s="236"/>
      <c r="G799" s="236"/>
      <c r="H799" s="236">
        <f>SUM(Tabla132112414[[#This Row],[PRIMER TRIMESTRE]:[CUARTO TRIMESTRE]])</f>
        <v>0</v>
      </c>
      <c r="I799" s="17">
        <v>251461</v>
      </c>
      <c r="J799" s="17">
        <f t="shared" si="21"/>
        <v>0</v>
      </c>
      <c r="K799" s="17"/>
      <c r="L799" s="16" t="s">
        <v>18</v>
      </c>
      <c r="M799" s="16" t="s">
        <v>22</v>
      </c>
      <c r="N799" s="39"/>
    </row>
    <row r="800" spans="1:14" s="12" customFormat="1" ht="30">
      <c r="A800" s="178" t="s">
        <v>96</v>
      </c>
      <c r="B800" s="75" t="s">
        <v>1523</v>
      </c>
      <c r="C800" s="39" t="s">
        <v>17</v>
      </c>
      <c r="D800" s="236"/>
      <c r="E800" s="236"/>
      <c r="F800" s="236"/>
      <c r="G800" s="236"/>
      <c r="H800" s="236">
        <f>SUM(Tabla132112414[[#This Row],[PRIMER TRIMESTRE]:[CUARTO TRIMESTRE]])</f>
        <v>0</v>
      </c>
      <c r="I800" s="17">
        <v>11200</v>
      </c>
      <c r="J800" s="17">
        <f t="shared" si="21"/>
        <v>0</v>
      </c>
      <c r="K800" s="17"/>
      <c r="L800" s="16" t="s">
        <v>18</v>
      </c>
      <c r="M800" s="16" t="s">
        <v>22</v>
      </c>
      <c r="N800" s="39"/>
    </row>
    <row r="801" spans="1:14" s="12" customFormat="1" ht="30">
      <c r="A801" s="178" t="s">
        <v>96</v>
      </c>
      <c r="B801" s="75" t="s">
        <v>1758</v>
      </c>
      <c r="C801" s="39" t="s">
        <v>17</v>
      </c>
      <c r="D801" s="236"/>
      <c r="E801" s="236"/>
      <c r="F801" s="236"/>
      <c r="G801" s="236"/>
      <c r="H801" s="40">
        <v>0</v>
      </c>
      <c r="I801" s="17">
        <v>0</v>
      </c>
      <c r="J801" s="17">
        <v>0</v>
      </c>
      <c r="K801" s="17"/>
      <c r="L801" s="16" t="s">
        <v>18</v>
      </c>
      <c r="M801" s="16" t="s">
        <v>22</v>
      </c>
      <c r="N801" s="39"/>
    </row>
    <row r="802" spans="1:14" s="12" customFormat="1" ht="30">
      <c r="A802" s="178" t="s">
        <v>96</v>
      </c>
      <c r="B802" s="75" t="s">
        <v>1510</v>
      </c>
      <c r="C802" s="39" t="s">
        <v>17</v>
      </c>
      <c r="D802" s="236"/>
      <c r="E802" s="236"/>
      <c r="F802" s="236"/>
      <c r="G802" s="236"/>
      <c r="H802" s="236">
        <f>SUM(Tabla132112414[[#This Row],[PRIMER TRIMESTRE]:[CUARTO TRIMESTRE]])</f>
        <v>0</v>
      </c>
      <c r="I802" s="17">
        <v>250</v>
      </c>
      <c r="J802" s="17">
        <f t="shared" si="21"/>
        <v>0</v>
      </c>
      <c r="K802" s="17"/>
      <c r="L802" s="16" t="s">
        <v>18</v>
      </c>
      <c r="M802" s="16" t="s">
        <v>22</v>
      </c>
      <c r="N802" s="39"/>
    </row>
    <row r="803" spans="1:14" s="12" customFormat="1" ht="30">
      <c r="A803" s="178" t="s">
        <v>96</v>
      </c>
      <c r="B803" s="75" t="s">
        <v>1611</v>
      </c>
      <c r="C803" s="39" t="s">
        <v>17</v>
      </c>
      <c r="D803" s="236"/>
      <c r="E803" s="236"/>
      <c r="F803" s="236"/>
      <c r="G803" s="236"/>
      <c r="H803" s="236">
        <f>SUM(Tabla132112414[[#This Row],[PRIMER TRIMESTRE]:[CUARTO TRIMESTRE]])</f>
        <v>0</v>
      </c>
      <c r="I803" s="17">
        <v>36000</v>
      </c>
      <c r="J803" s="17">
        <f t="shared" si="21"/>
        <v>0</v>
      </c>
      <c r="K803" s="17"/>
      <c r="L803" s="16" t="s">
        <v>18</v>
      </c>
      <c r="M803" s="16" t="s">
        <v>22</v>
      </c>
      <c r="N803" s="39"/>
    </row>
    <row r="804" spans="1:14" s="12" customFormat="1" ht="30">
      <c r="A804" s="178" t="s">
        <v>96</v>
      </c>
      <c r="B804" s="75" t="s">
        <v>1714</v>
      </c>
      <c r="C804" s="39" t="s">
        <v>17</v>
      </c>
      <c r="D804" s="236"/>
      <c r="E804" s="236"/>
      <c r="F804" s="236"/>
      <c r="G804" s="236"/>
      <c r="H804" s="40">
        <v>0</v>
      </c>
      <c r="I804" s="17">
        <v>0</v>
      </c>
      <c r="J804" s="17">
        <v>0</v>
      </c>
      <c r="K804" s="17"/>
      <c r="L804" s="16" t="s">
        <v>18</v>
      </c>
      <c r="M804" s="16" t="s">
        <v>22</v>
      </c>
      <c r="N804" s="39"/>
    </row>
    <row r="805" spans="1:14" s="12" customFormat="1" ht="30">
      <c r="A805" s="178" t="s">
        <v>96</v>
      </c>
      <c r="B805" s="75" t="s">
        <v>1744</v>
      </c>
      <c r="C805" s="39" t="s">
        <v>17</v>
      </c>
      <c r="D805" s="236"/>
      <c r="E805" s="236"/>
      <c r="F805" s="236"/>
      <c r="G805" s="236"/>
      <c r="H805" s="40">
        <v>0</v>
      </c>
      <c r="I805" s="17">
        <v>6950</v>
      </c>
      <c r="J805" s="17">
        <f>Tabla132112414[[#This Row],[PRECIO UNITARIO ESTIMADO]]*Tabla132112414[[#This Row],[CANTIDAD TOTAL]]</f>
        <v>0</v>
      </c>
      <c r="K805" s="17"/>
      <c r="L805" s="16" t="s">
        <v>18</v>
      </c>
      <c r="M805" s="16" t="s">
        <v>22</v>
      </c>
      <c r="N805" s="39"/>
    </row>
    <row r="806" spans="1:14" s="26" customFormat="1" ht="30">
      <c r="A806" s="178" t="s">
        <v>96</v>
      </c>
      <c r="B806" s="75" t="s">
        <v>1521</v>
      </c>
      <c r="C806" s="39" t="s">
        <v>17</v>
      </c>
      <c r="D806" s="236"/>
      <c r="E806" s="236"/>
      <c r="F806" s="236"/>
      <c r="G806" s="236"/>
      <c r="H806" s="236">
        <f>SUM(Tabla132112414[[#This Row],[PRIMER TRIMESTRE]:[CUARTO TRIMESTRE]])</f>
        <v>0</v>
      </c>
      <c r="I806" s="17">
        <v>109000</v>
      </c>
      <c r="J806" s="17">
        <f t="shared" si="21"/>
        <v>0</v>
      </c>
      <c r="K806" s="17"/>
      <c r="L806" s="16" t="s">
        <v>18</v>
      </c>
      <c r="M806" s="16" t="s">
        <v>22</v>
      </c>
      <c r="N806" s="39"/>
    </row>
    <row r="807" spans="1:14" s="12" customFormat="1" ht="30">
      <c r="A807" s="178" t="s">
        <v>96</v>
      </c>
      <c r="B807" s="75" t="s">
        <v>1522</v>
      </c>
      <c r="C807" s="39" t="s">
        <v>17</v>
      </c>
      <c r="D807" s="236"/>
      <c r="E807" s="236"/>
      <c r="F807" s="236"/>
      <c r="G807" s="236"/>
      <c r="H807" s="236">
        <f>SUM(Tabla132112414[[#This Row],[PRIMER TRIMESTRE]:[CUARTO TRIMESTRE]])</f>
        <v>0</v>
      </c>
      <c r="I807" s="17">
        <v>2760</v>
      </c>
      <c r="J807" s="17">
        <f t="shared" si="21"/>
        <v>0</v>
      </c>
      <c r="K807" s="17"/>
      <c r="L807" s="16" t="s">
        <v>18</v>
      </c>
      <c r="M807" s="16" t="s">
        <v>22</v>
      </c>
      <c r="N807" s="39"/>
    </row>
    <row r="808" spans="1:14" s="12" customFormat="1" ht="31.5">
      <c r="A808" s="287" t="s">
        <v>96</v>
      </c>
      <c r="B808" s="76"/>
      <c r="C808" s="42"/>
      <c r="D808" s="237"/>
      <c r="E808" s="237"/>
      <c r="F808" s="237"/>
      <c r="G808" s="237"/>
      <c r="H808" s="43"/>
      <c r="I808" s="24"/>
      <c r="J808" s="24"/>
      <c r="K808" s="25">
        <f>SUM(J605:J807)</f>
        <v>47216.69</v>
      </c>
      <c r="L808" s="23"/>
      <c r="M808" s="23"/>
      <c r="N808" s="42"/>
    </row>
    <row r="809" spans="1:14" s="12" customFormat="1" ht="18">
      <c r="A809" s="178" t="s">
        <v>97</v>
      </c>
      <c r="B809" s="75" t="s">
        <v>1855</v>
      </c>
      <c r="C809" s="412" t="s">
        <v>17</v>
      </c>
      <c r="D809" s="412"/>
      <c r="E809" s="412"/>
      <c r="F809" s="412"/>
      <c r="G809" s="412"/>
      <c r="H809" s="412">
        <v>0</v>
      </c>
      <c r="I809" s="17">
        <v>0</v>
      </c>
      <c r="J809" s="17">
        <v>0</v>
      </c>
      <c r="K809" s="286"/>
      <c r="L809" s="16" t="s">
        <v>18</v>
      </c>
      <c r="M809" s="16" t="s">
        <v>22</v>
      </c>
      <c r="N809" s="39"/>
    </row>
    <row r="810" spans="1:14" s="12" customFormat="1" ht="25.5">
      <c r="A810" s="178" t="s">
        <v>97</v>
      </c>
      <c r="B810" s="75" t="s">
        <v>1681</v>
      </c>
      <c r="C810" s="39" t="s">
        <v>17</v>
      </c>
      <c r="D810" s="236"/>
      <c r="E810" s="236"/>
      <c r="F810" s="236"/>
      <c r="G810" s="236"/>
      <c r="H810" s="40">
        <v>0</v>
      </c>
      <c r="I810" s="17">
        <v>0</v>
      </c>
      <c r="J810" s="17">
        <v>0</v>
      </c>
      <c r="K810" s="17"/>
      <c r="L810" s="16" t="s">
        <v>18</v>
      </c>
      <c r="M810" s="16" t="s">
        <v>22</v>
      </c>
      <c r="N810" s="39"/>
    </row>
    <row r="811" spans="1:14" s="12" customFormat="1" ht="18">
      <c r="A811" s="178" t="s">
        <v>97</v>
      </c>
      <c r="B811" s="75" t="s">
        <v>227</v>
      </c>
      <c r="C811" s="39" t="s">
        <v>17</v>
      </c>
      <c r="D811" s="236"/>
      <c r="E811" s="236"/>
      <c r="F811" s="236"/>
      <c r="G811" s="236"/>
      <c r="H811" s="40">
        <f>SUM(Tabla132112414[[#This Row],[PRIMER TRIMESTRE]:[CUARTO TRIMESTRE]])</f>
        <v>0</v>
      </c>
      <c r="I811" s="17">
        <v>110.2</v>
      </c>
      <c r="J811" s="17">
        <f>+Tabla132112414[[#This Row],[CANTIDAD TOTAL]]*Tabla132112414[[#This Row],[PRECIO UNITARIO ESTIMADO]]</f>
        <v>0</v>
      </c>
      <c r="K811" s="17"/>
      <c r="L811" s="16" t="s">
        <v>18</v>
      </c>
      <c r="M811" s="16" t="s">
        <v>22</v>
      </c>
      <c r="N811" s="39"/>
    </row>
    <row r="812" spans="1:14" s="12" customFormat="1" ht="18">
      <c r="A812" s="178" t="s">
        <v>97</v>
      </c>
      <c r="B812" s="75" t="s">
        <v>1235</v>
      </c>
      <c r="C812" s="39" t="s">
        <v>17</v>
      </c>
      <c r="D812" s="236"/>
      <c r="E812" s="236"/>
      <c r="F812" s="236"/>
      <c r="G812" s="236"/>
      <c r="H812" s="40">
        <f>SUM(Tabla132112414[[#This Row],[PRIMER TRIMESTRE]:[CUARTO TRIMESTRE]])</f>
        <v>0</v>
      </c>
      <c r="I812" s="17">
        <v>156.5</v>
      </c>
      <c r="J812" s="17">
        <f t="shared" ref="J812:J819" si="22">+H812*I812</f>
        <v>0</v>
      </c>
      <c r="K812" s="17"/>
      <c r="L812" s="16" t="s">
        <v>18</v>
      </c>
      <c r="M812" s="16" t="s">
        <v>22</v>
      </c>
      <c r="N812" s="39"/>
    </row>
    <row r="813" spans="1:14" s="12" customFormat="1" ht="18">
      <c r="A813" s="178" t="s">
        <v>97</v>
      </c>
      <c r="B813" s="75" t="s">
        <v>1236</v>
      </c>
      <c r="C813" s="39" t="s">
        <v>17</v>
      </c>
      <c r="D813" s="236"/>
      <c r="E813" s="236"/>
      <c r="F813" s="236"/>
      <c r="G813" s="236"/>
      <c r="H813" s="40">
        <f>SUM(Tabla132112414[[#This Row],[PRIMER TRIMESTRE]:[CUARTO TRIMESTRE]])</f>
        <v>0</v>
      </c>
      <c r="I813" s="17">
        <v>156.5</v>
      </c>
      <c r="J813" s="17">
        <f t="shared" si="22"/>
        <v>0</v>
      </c>
      <c r="K813" s="17"/>
      <c r="L813" s="16" t="s">
        <v>18</v>
      </c>
      <c r="M813" s="16" t="s">
        <v>22</v>
      </c>
      <c r="N813" s="39"/>
    </row>
    <row r="814" spans="1:14" s="12" customFormat="1" ht="18">
      <c r="A814" s="178" t="s">
        <v>97</v>
      </c>
      <c r="B814" s="75" t="s">
        <v>1334</v>
      </c>
      <c r="C814" s="39" t="s">
        <v>17</v>
      </c>
      <c r="D814" s="236"/>
      <c r="E814" s="236"/>
      <c r="F814" s="236"/>
      <c r="G814" s="236"/>
      <c r="H814" s="40">
        <f>SUM(Tabla132112414[[#This Row],[PRIMER TRIMESTRE]:[CUARTO TRIMESTRE]])</f>
        <v>0</v>
      </c>
      <c r="I814" s="17">
        <v>387.04</v>
      </c>
      <c r="J814" s="17">
        <f t="shared" si="22"/>
        <v>0</v>
      </c>
      <c r="K814" s="17"/>
      <c r="L814" s="16" t="s">
        <v>18</v>
      </c>
      <c r="M814" s="16" t="s">
        <v>22</v>
      </c>
      <c r="N814" s="39"/>
    </row>
    <row r="815" spans="1:14" s="12" customFormat="1" ht="18">
      <c r="A815" s="178" t="s">
        <v>97</v>
      </c>
      <c r="B815" s="75" t="s">
        <v>1237</v>
      </c>
      <c r="C815" s="39" t="s">
        <v>17</v>
      </c>
      <c r="D815" s="236"/>
      <c r="E815" s="236"/>
      <c r="F815" s="236"/>
      <c r="G815" s="236"/>
      <c r="H815" s="40">
        <f>SUM(Tabla132112414[[#This Row],[PRIMER TRIMESTRE]:[CUARTO TRIMESTRE]])</f>
        <v>0</v>
      </c>
      <c r="I815" s="17">
        <v>35000</v>
      </c>
      <c r="J815" s="17">
        <f t="shared" si="22"/>
        <v>0</v>
      </c>
      <c r="K815" s="17"/>
      <c r="L815" s="16" t="s">
        <v>18</v>
      </c>
      <c r="M815" s="16" t="s">
        <v>22</v>
      </c>
      <c r="N815" s="39"/>
    </row>
    <row r="816" spans="1:14" s="12" customFormat="1" ht="18">
      <c r="A816" s="178" t="s">
        <v>97</v>
      </c>
      <c r="B816" s="75" t="s">
        <v>1713</v>
      </c>
      <c r="C816" s="39" t="s">
        <v>17</v>
      </c>
      <c r="D816" s="236"/>
      <c r="E816" s="236"/>
      <c r="F816" s="236"/>
      <c r="G816" s="236"/>
      <c r="H816" s="40">
        <v>0</v>
      </c>
      <c r="I816" s="17">
        <v>0</v>
      </c>
      <c r="J816" s="17">
        <v>0</v>
      </c>
      <c r="K816" s="17"/>
      <c r="L816" s="16" t="s">
        <v>18</v>
      </c>
      <c r="M816" s="16" t="s">
        <v>22</v>
      </c>
      <c r="N816" s="39"/>
    </row>
    <row r="817" spans="1:14" s="12" customFormat="1" ht="18">
      <c r="A817" s="178" t="s">
        <v>97</v>
      </c>
      <c r="B817" s="75" t="s">
        <v>572</v>
      </c>
      <c r="C817" s="39" t="s">
        <v>17</v>
      </c>
      <c r="D817" s="236"/>
      <c r="E817" s="236"/>
      <c r="F817" s="236"/>
      <c r="G817" s="236"/>
      <c r="H817" s="40">
        <f>SUM(Tabla132112414[[#This Row],[PRIMER TRIMESTRE]:[CUARTO TRIMESTRE]])</f>
        <v>0</v>
      </c>
      <c r="I817" s="17">
        <v>25000</v>
      </c>
      <c r="J817" s="17">
        <f t="shared" si="22"/>
        <v>0</v>
      </c>
      <c r="K817" s="17"/>
      <c r="L817" s="16" t="s">
        <v>18</v>
      </c>
      <c r="M817" s="16" t="s">
        <v>22</v>
      </c>
      <c r="N817" s="39"/>
    </row>
    <row r="818" spans="1:14" s="12" customFormat="1" ht="18">
      <c r="A818" s="178" t="s">
        <v>97</v>
      </c>
      <c r="B818" s="75" t="s">
        <v>1238</v>
      </c>
      <c r="C818" s="39" t="s">
        <v>17</v>
      </c>
      <c r="D818" s="236"/>
      <c r="E818" s="236"/>
      <c r="F818" s="236"/>
      <c r="G818" s="236"/>
      <c r="H818" s="40">
        <f>SUM(Tabla132112414[[#This Row],[PRIMER TRIMESTRE]:[CUARTO TRIMESTRE]])</f>
        <v>0</v>
      </c>
      <c r="I818" s="17">
        <v>25000</v>
      </c>
      <c r="J818" s="17">
        <f t="shared" si="22"/>
        <v>0</v>
      </c>
      <c r="K818" s="17"/>
      <c r="L818" s="16" t="s">
        <v>18</v>
      </c>
      <c r="M818" s="16" t="s">
        <v>22</v>
      </c>
      <c r="N818" s="39"/>
    </row>
    <row r="819" spans="1:14" s="12" customFormat="1" ht="18">
      <c r="A819" s="178" t="s">
        <v>97</v>
      </c>
      <c r="B819" s="75" t="s">
        <v>1239</v>
      </c>
      <c r="C819" s="39" t="s">
        <v>17</v>
      </c>
      <c r="D819" s="236"/>
      <c r="E819" s="236"/>
      <c r="F819" s="236"/>
      <c r="G819" s="236"/>
      <c r="H819" s="40">
        <f>SUM(Tabla132112414[[#This Row],[PRIMER TRIMESTRE]:[CUARTO TRIMESTRE]])</f>
        <v>0</v>
      </c>
      <c r="I819" s="17">
        <v>25000</v>
      </c>
      <c r="J819" s="17">
        <f t="shared" si="22"/>
        <v>0</v>
      </c>
      <c r="K819" s="17"/>
      <c r="L819" s="16" t="s">
        <v>18</v>
      </c>
      <c r="M819" s="16" t="s">
        <v>22</v>
      </c>
      <c r="N819" s="39"/>
    </row>
    <row r="820" spans="1:14" s="12" customFormat="1" ht="18">
      <c r="A820" s="178" t="s">
        <v>97</v>
      </c>
      <c r="B820" s="75" t="s">
        <v>220</v>
      </c>
      <c r="C820" s="39" t="s">
        <v>17</v>
      </c>
      <c r="D820" s="236"/>
      <c r="E820" s="236"/>
      <c r="F820" s="236"/>
      <c r="G820" s="236"/>
      <c r="H820" s="40">
        <f>SUM(Tabla132112414[[#This Row],[PRIMER TRIMESTRE]:[CUARTO TRIMESTRE]])</f>
        <v>0</v>
      </c>
      <c r="I820" s="17">
        <v>40165</v>
      </c>
      <c r="J820" s="17">
        <f>+Tabla132112414[[#This Row],[CANTIDAD TOTAL]]*Tabla132112414[[#This Row],[PRECIO UNITARIO ESTIMADO]]</f>
        <v>0</v>
      </c>
      <c r="K820" s="17"/>
      <c r="L820" s="16" t="s">
        <v>18</v>
      </c>
      <c r="M820" s="16" t="s">
        <v>22</v>
      </c>
      <c r="N820" s="39"/>
    </row>
    <row r="821" spans="1:14" s="12" customFormat="1" ht="18">
      <c r="A821" s="178" t="s">
        <v>97</v>
      </c>
      <c r="B821" s="75" t="s">
        <v>213</v>
      </c>
      <c r="C821" s="39" t="s">
        <v>17</v>
      </c>
      <c r="D821" s="236"/>
      <c r="E821" s="236"/>
      <c r="F821" s="236"/>
      <c r="G821" s="236"/>
      <c r="H821" s="40">
        <f>SUM(Tabla132112414[[#This Row],[PRIMER TRIMESTRE]:[CUARTO TRIMESTRE]])</f>
        <v>0</v>
      </c>
      <c r="I821" s="17">
        <v>30999.38</v>
      </c>
      <c r="J821" s="17">
        <f>+Tabla132112414[[#This Row],[CANTIDAD TOTAL]]*Tabla132112414[[#This Row],[PRECIO UNITARIO ESTIMADO]]</f>
        <v>0</v>
      </c>
      <c r="K821" s="17"/>
      <c r="L821" s="16" t="s">
        <v>18</v>
      </c>
      <c r="M821" s="16" t="s">
        <v>22</v>
      </c>
      <c r="N821" s="39"/>
    </row>
    <row r="822" spans="1:14" s="12" customFormat="1" ht="18">
      <c r="A822" s="178" t="s">
        <v>97</v>
      </c>
      <c r="B822" s="75" t="s">
        <v>226</v>
      </c>
      <c r="C822" s="39" t="s">
        <v>17</v>
      </c>
      <c r="D822" s="236"/>
      <c r="E822" s="236"/>
      <c r="F822" s="236"/>
      <c r="G822" s="236"/>
      <c r="H822" s="40">
        <f>SUM(Tabla132112414[[#This Row],[PRIMER TRIMESTRE]:[CUARTO TRIMESTRE]])</f>
        <v>0</v>
      </c>
      <c r="I822" s="17">
        <v>14929.2</v>
      </c>
      <c r="J822" s="17">
        <f>+Tabla132112414[[#This Row],[CANTIDAD TOTAL]]*Tabla132112414[[#This Row],[PRECIO UNITARIO ESTIMADO]]</f>
        <v>0</v>
      </c>
      <c r="K822" s="17"/>
      <c r="L822" s="16" t="s">
        <v>18</v>
      </c>
      <c r="M822" s="16" t="s">
        <v>22</v>
      </c>
      <c r="N822" s="39"/>
    </row>
    <row r="823" spans="1:14" s="12" customFormat="1" ht="25.5">
      <c r="A823" s="178" t="s">
        <v>97</v>
      </c>
      <c r="B823" s="75" t="s">
        <v>1696</v>
      </c>
      <c r="C823" s="39" t="s">
        <v>17</v>
      </c>
      <c r="D823" s="236"/>
      <c r="E823" s="236"/>
      <c r="F823" s="236"/>
      <c r="G823" s="236"/>
      <c r="H823" s="40">
        <v>0</v>
      </c>
      <c r="I823" s="17">
        <v>0</v>
      </c>
      <c r="J823" s="17">
        <v>0</v>
      </c>
      <c r="K823" s="17"/>
      <c r="L823" s="16" t="s">
        <v>18</v>
      </c>
      <c r="M823" s="16" t="s">
        <v>22</v>
      </c>
      <c r="N823" s="39"/>
    </row>
    <row r="824" spans="1:14" s="12" customFormat="1" ht="38.25">
      <c r="A824" s="178" t="s">
        <v>97</v>
      </c>
      <c r="B824" s="75" t="s">
        <v>1697</v>
      </c>
      <c r="C824" s="39" t="s">
        <v>17</v>
      </c>
      <c r="D824" s="236"/>
      <c r="E824" s="236"/>
      <c r="F824" s="236"/>
      <c r="G824" s="236"/>
      <c r="H824" s="40">
        <v>0</v>
      </c>
      <c r="I824" s="17">
        <v>0</v>
      </c>
      <c r="J824" s="17">
        <v>0</v>
      </c>
      <c r="K824" s="17"/>
      <c r="L824" s="16" t="s">
        <v>18</v>
      </c>
      <c r="M824" s="16" t="s">
        <v>22</v>
      </c>
      <c r="N824" s="39"/>
    </row>
    <row r="825" spans="1:14" s="12" customFormat="1" ht="38.25">
      <c r="A825" s="178" t="s">
        <v>97</v>
      </c>
      <c r="B825" s="75" t="s">
        <v>1698</v>
      </c>
      <c r="C825" s="39" t="s">
        <v>17</v>
      </c>
      <c r="D825" s="236"/>
      <c r="E825" s="236"/>
      <c r="F825" s="236"/>
      <c r="G825" s="236"/>
      <c r="H825" s="40">
        <v>0</v>
      </c>
      <c r="I825" s="17">
        <v>0</v>
      </c>
      <c r="J825" s="17">
        <v>0</v>
      </c>
      <c r="K825" s="17"/>
      <c r="L825" s="16" t="s">
        <v>18</v>
      </c>
      <c r="M825" s="16" t="s">
        <v>22</v>
      </c>
      <c r="N825" s="39"/>
    </row>
    <row r="826" spans="1:14" s="12" customFormat="1" ht="18">
      <c r="A826" s="178" t="s">
        <v>97</v>
      </c>
      <c r="B826" s="75" t="s">
        <v>212</v>
      </c>
      <c r="C826" s="39" t="s">
        <v>17</v>
      </c>
      <c r="D826" s="236"/>
      <c r="E826" s="236"/>
      <c r="F826" s="236"/>
      <c r="G826" s="236"/>
      <c r="H826" s="40">
        <f>SUM(Tabla132112414[[#This Row],[PRIMER TRIMESTRE]:[CUARTO TRIMESTRE]])</f>
        <v>0</v>
      </c>
      <c r="I826" s="17">
        <v>280500</v>
      </c>
      <c r="J826" s="17">
        <f>+Tabla132112414[[#This Row],[CANTIDAD TOTAL]]*Tabla132112414[[#This Row],[PRECIO UNITARIO ESTIMADO]]</f>
        <v>0</v>
      </c>
      <c r="K826" s="17"/>
      <c r="L826" s="16" t="s">
        <v>18</v>
      </c>
      <c r="M826" s="16" t="s">
        <v>22</v>
      </c>
      <c r="N826" s="39"/>
    </row>
    <row r="827" spans="1:14" s="12" customFormat="1" ht="18">
      <c r="A827" s="178" t="s">
        <v>97</v>
      </c>
      <c r="B827" s="75" t="s">
        <v>214</v>
      </c>
      <c r="C827" s="39" t="s">
        <v>17</v>
      </c>
      <c r="D827" s="236"/>
      <c r="E827" s="236"/>
      <c r="F827" s="236"/>
      <c r="G827" s="236"/>
      <c r="H827" s="40">
        <f>SUM(Tabla132112414[[#This Row],[PRIMER TRIMESTRE]:[CUARTO TRIMESTRE]])</f>
        <v>0</v>
      </c>
      <c r="I827" s="17">
        <v>62762.6</v>
      </c>
      <c r="J827" s="17">
        <f>+Tabla132112414[[#This Row],[CANTIDAD TOTAL]]*Tabla132112414[[#This Row],[PRECIO UNITARIO ESTIMADO]]</f>
        <v>0</v>
      </c>
      <c r="K827" s="17"/>
      <c r="L827" s="16" t="s">
        <v>18</v>
      </c>
      <c r="M827" s="16" t="s">
        <v>22</v>
      </c>
      <c r="N827" s="39"/>
    </row>
    <row r="828" spans="1:14" s="12" customFormat="1" ht="18">
      <c r="A828" s="178" t="s">
        <v>97</v>
      </c>
      <c r="B828" s="75" t="s">
        <v>215</v>
      </c>
      <c r="C828" s="39" t="s">
        <v>17</v>
      </c>
      <c r="D828" s="236"/>
      <c r="E828" s="236"/>
      <c r="F828" s="236"/>
      <c r="G828" s="236"/>
      <c r="H828" s="40">
        <f>SUM(Tabla132112414[[#This Row],[PRIMER TRIMESTRE]:[CUARTO TRIMESTRE]])</f>
        <v>0</v>
      </c>
      <c r="I828" s="17">
        <v>14453.6</v>
      </c>
      <c r="J828" s="17">
        <f>+Tabla132112414[[#This Row],[CANTIDAD TOTAL]]*Tabla132112414[[#This Row],[PRECIO UNITARIO ESTIMADO]]</f>
        <v>0</v>
      </c>
      <c r="K828" s="17"/>
      <c r="L828" s="16" t="s">
        <v>18</v>
      </c>
      <c r="M828" s="16" t="s">
        <v>22</v>
      </c>
      <c r="N828" s="39"/>
    </row>
    <row r="829" spans="1:14" s="12" customFormat="1" ht="18">
      <c r="A829" s="178" t="s">
        <v>97</v>
      </c>
      <c r="B829" s="75" t="s">
        <v>216</v>
      </c>
      <c r="C829" s="39" t="s">
        <v>17</v>
      </c>
      <c r="D829" s="236"/>
      <c r="E829" s="236"/>
      <c r="F829" s="236"/>
      <c r="G829" s="236"/>
      <c r="H829" s="40">
        <f>SUM(Tabla132112414[[#This Row],[PRIMER TRIMESTRE]:[CUARTO TRIMESTRE]])</f>
        <v>0</v>
      </c>
      <c r="I829" s="17">
        <v>58701.8</v>
      </c>
      <c r="J829" s="17">
        <f>+Tabla132112414[[#This Row],[CANTIDAD TOTAL]]*Tabla132112414[[#This Row],[PRECIO UNITARIO ESTIMADO]]</f>
        <v>0</v>
      </c>
      <c r="K829" s="17"/>
      <c r="L829" s="16" t="s">
        <v>18</v>
      </c>
      <c r="M829" s="16" t="s">
        <v>22</v>
      </c>
      <c r="N829" s="39"/>
    </row>
    <row r="830" spans="1:14" s="12" customFormat="1" ht="25.5">
      <c r="A830" s="178" t="s">
        <v>97</v>
      </c>
      <c r="B830" s="75" t="s">
        <v>217</v>
      </c>
      <c r="C830" s="39" t="s">
        <v>17</v>
      </c>
      <c r="D830" s="236"/>
      <c r="E830" s="236"/>
      <c r="F830" s="236"/>
      <c r="G830" s="236"/>
      <c r="H830" s="40">
        <f>SUM(Tabla132112414[[#This Row],[PRIMER TRIMESTRE]:[CUARTO TRIMESTRE]])</f>
        <v>0</v>
      </c>
      <c r="I830" s="17">
        <v>36540</v>
      </c>
      <c r="J830" s="17">
        <f>+Tabla132112414[[#This Row],[CANTIDAD TOTAL]]*Tabla132112414[[#This Row],[PRECIO UNITARIO ESTIMADO]]</f>
        <v>0</v>
      </c>
      <c r="K830" s="17"/>
      <c r="L830" s="16" t="s">
        <v>18</v>
      </c>
      <c r="M830" s="16" t="s">
        <v>22</v>
      </c>
      <c r="N830" s="39"/>
    </row>
    <row r="831" spans="1:14" s="12" customFormat="1" ht="25.5">
      <c r="A831" s="178" t="s">
        <v>97</v>
      </c>
      <c r="B831" s="75" t="s">
        <v>218</v>
      </c>
      <c r="C831" s="39" t="s">
        <v>17</v>
      </c>
      <c r="D831" s="236"/>
      <c r="E831" s="236"/>
      <c r="F831" s="236"/>
      <c r="G831" s="236"/>
      <c r="H831" s="40">
        <f>SUM(Tabla132112414[[#This Row],[PRIMER TRIMESTRE]:[CUARTO TRIMESTRE]])</f>
        <v>0</v>
      </c>
      <c r="I831" s="17">
        <v>60262</v>
      </c>
      <c r="J831" s="17">
        <f>+Tabla132112414[[#This Row],[CANTIDAD TOTAL]]*Tabla132112414[[#This Row],[PRECIO UNITARIO ESTIMADO]]</f>
        <v>0</v>
      </c>
      <c r="K831" s="17"/>
      <c r="L831" s="16" t="s">
        <v>18</v>
      </c>
      <c r="M831" s="16" t="s">
        <v>22</v>
      </c>
      <c r="N831" s="39"/>
    </row>
    <row r="832" spans="1:14" s="12" customFormat="1" ht="25.5">
      <c r="A832" s="178" t="s">
        <v>97</v>
      </c>
      <c r="B832" s="75" t="s">
        <v>219</v>
      </c>
      <c r="C832" s="39" t="s">
        <v>17</v>
      </c>
      <c r="D832" s="236"/>
      <c r="E832" s="236"/>
      <c r="F832" s="236"/>
      <c r="G832" s="236"/>
      <c r="H832" s="40">
        <f>SUM(Tabla132112414[[#This Row],[PRIMER TRIMESTRE]:[CUARTO TRIMESTRE]])</f>
        <v>0</v>
      </c>
      <c r="I832" s="17">
        <v>59757.4</v>
      </c>
      <c r="J832" s="17">
        <f>+Tabla132112414[[#This Row],[CANTIDAD TOTAL]]*Tabla132112414[[#This Row],[PRECIO UNITARIO ESTIMADO]]</f>
        <v>0</v>
      </c>
      <c r="K832" s="17"/>
      <c r="L832" s="16" t="s">
        <v>18</v>
      </c>
      <c r="M832" s="16" t="s">
        <v>22</v>
      </c>
      <c r="N832" s="39"/>
    </row>
    <row r="833" spans="1:14" s="12" customFormat="1" ht="51">
      <c r="A833" s="178" t="s">
        <v>97</v>
      </c>
      <c r="B833" s="75" t="s">
        <v>1765</v>
      </c>
      <c r="C833" s="39" t="s">
        <v>17</v>
      </c>
      <c r="D833" s="236"/>
      <c r="E833" s="236"/>
      <c r="F833" s="236"/>
      <c r="G833" s="236"/>
      <c r="H833" s="40">
        <v>0</v>
      </c>
      <c r="I833" s="17">
        <v>0</v>
      </c>
      <c r="J833" s="17">
        <v>0</v>
      </c>
      <c r="K833" s="17"/>
      <c r="L833" s="16" t="s">
        <v>18</v>
      </c>
      <c r="M833" s="16" t="s">
        <v>22</v>
      </c>
      <c r="N833" s="39"/>
    </row>
    <row r="834" spans="1:14" s="12" customFormat="1" ht="51">
      <c r="A834" s="178" t="s">
        <v>97</v>
      </c>
      <c r="B834" s="75" t="s">
        <v>1766</v>
      </c>
      <c r="C834" s="39" t="s">
        <v>17</v>
      </c>
      <c r="D834" s="236"/>
      <c r="E834" s="236"/>
      <c r="F834" s="236"/>
      <c r="G834" s="236"/>
      <c r="H834" s="40">
        <v>0</v>
      </c>
      <c r="I834" s="17">
        <v>0</v>
      </c>
      <c r="J834" s="17">
        <v>0</v>
      </c>
      <c r="K834" s="17"/>
      <c r="L834" s="16" t="s">
        <v>18</v>
      </c>
      <c r="M834" s="16" t="s">
        <v>22</v>
      </c>
      <c r="N834" s="39"/>
    </row>
    <row r="835" spans="1:14" s="12" customFormat="1" ht="18">
      <c r="A835" s="178" t="s">
        <v>97</v>
      </c>
      <c r="B835" s="75" t="s">
        <v>317</v>
      </c>
      <c r="C835" s="39" t="s">
        <v>17</v>
      </c>
      <c r="D835" s="236"/>
      <c r="E835" s="236"/>
      <c r="F835" s="236"/>
      <c r="G835" s="236"/>
      <c r="H835" s="40">
        <f>SUM(Tabla132112414[[#This Row],[PRIMER TRIMESTRE]:[CUARTO TRIMESTRE]])</f>
        <v>0</v>
      </c>
      <c r="I835" s="17">
        <f>1252664.4/5</f>
        <v>250532.87999999998</v>
      </c>
      <c r="J835" s="17">
        <f>+Tabla132112414[[#This Row],[CANTIDAD TOTAL]]*Tabla132112414[[#This Row],[PRECIO UNITARIO ESTIMADO]]</f>
        <v>0</v>
      </c>
      <c r="K835" s="17"/>
      <c r="L835" s="16" t="s">
        <v>18</v>
      </c>
      <c r="M835" s="16" t="s">
        <v>22</v>
      </c>
      <c r="N835" s="39"/>
    </row>
    <row r="836" spans="1:14" s="12" customFormat="1" ht="18">
      <c r="A836" s="178" t="s">
        <v>97</v>
      </c>
      <c r="B836" s="75" t="s">
        <v>1462</v>
      </c>
      <c r="C836" s="39" t="s">
        <v>17</v>
      </c>
      <c r="D836" s="236"/>
      <c r="E836" s="236"/>
      <c r="F836" s="236"/>
      <c r="G836" s="236"/>
      <c r="H836" s="40">
        <f>SUM(Tabla132112414[[#This Row],[PRIMER TRIMESTRE]:[CUARTO TRIMESTRE]])</f>
        <v>0</v>
      </c>
      <c r="I836" s="17">
        <v>250532.68</v>
      </c>
      <c r="J836" s="17">
        <f t="shared" ref="J836:J865" si="23">+H836*I836</f>
        <v>0</v>
      </c>
      <c r="K836" s="17"/>
      <c r="L836" s="16" t="s">
        <v>15</v>
      </c>
      <c r="M836" s="16" t="s">
        <v>22</v>
      </c>
      <c r="N836" s="39"/>
    </row>
    <row r="837" spans="1:14" s="12" customFormat="1" ht="18">
      <c r="A837" s="178" t="s">
        <v>97</v>
      </c>
      <c r="B837" s="75" t="s">
        <v>1240</v>
      </c>
      <c r="C837" s="39" t="s">
        <v>17</v>
      </c>
      <c r="D837" s="236"/>
      <c r="E837" s="236"/>
      <c r="F837" s="236"/>
      <c r="G837" s="236"/>
      <c r="H837" s="40">
        <f>SUM(Tabla132112414[[#This Row],[PRIMER TRIMESTRE]:[CUARTO TRIMESTRE]])</f>
        <v>0</v>
      </c>
      <c r="I837" s="17">
        <v>2300000</v>
      </c>
      <c r="J837" s="17">
        <f t="shared" si="23"/>
        <v>0</v>
      </c>
      <c r="K837" s="17"/>
      <c r="L837" s="16" t="s">
        <v>18</v>
      </c>
      <c r="M837" s="16" t="s">
        <v>22</v>
      </c>
      <c r="N837" s="39"/>
    </row>
    <row r="838" spans="1:14" s="12" customFormat="1" ht="18">
      <c r="A838" s="178" t="s">
        <v>97</v>
      </c>
      <c r="B838" s="75" t="s">
        <v>1241</v>
      </c>
      <c r="C838" s="39" t="s">
        <v>17</v>
      </c>
      <c r="D838" s="236"/>
      <c r="E838" s="236"/>
      <c r="F838" s="236"/>
      <c r="G838" s="236"/>
      <c r="H838" s="40">
        <f>SUM(Tabla132112414[[#This Row],[PRIMER TRIMESTRE]:[CUARTO TRIMESTRE]])</f>
        <v>0</v>
      </c>
      <c r="I838" s="17">
        <v>950000</v>
      </c>
      <c r="J838" s="17">
        <f t="shared" si="23"/>
        <v>0</v>
      </c>
      <c r="K838" s="17"/>
      <c r="L838" s="16" t="s">
        <v>18</v>
      </c>
      <c r="M838" s="16" t="s">
        <v>22</v>
      </c>
      <c r="N838" s="39"/>
    </row>
    <row r="839" spans="1:14" s="12" customFormat="1" ht="18">
      <c r="A839" s="178" t="s">
        <v>97</v>
      </c>
      <c r="B839" s="75" t="s">
        <v>1242</v>
      </c>
      <c r="C839" s="39" t="s">
        <v>17</v>
      </c>
      <c r="D839" s="236"/>
      <c r="E839" s="236"/>
      <c r="F839" s="236"/>
      <c r="G839" s="236"/>
      <c r="H839" s="40">
        <f>SUM(Tabla132112414[[#This Row],[PRIMER TRIMESTRE]:[CUARTO TRIMESTRE]])</f>
        <v>0</v>
      </c>
      <c r="I839" s="17">
        <v>1800000</v>
      </c>
      <c r="J839" s="17">
        <f t="shared" si="23"/>
        <v>0</v>
      </c>
      <c r="K839" s="17"/>
      <c r="L839" s="16" t="s">
        <v>18</v>
      </c>
      <c r="M839" s="16" t="s">
        <v>22</v>
      </c>
      <c r="N839" s="39"/>
    </row>
    <row r="840" spans="1:14" s="12" customFormat="1" ht="18">
      <c r="A840" s="178" t="s">
        <v>97</v>
      </c>
      <c r="B840" s="75" t="s">
        <v>1243</v>
      </c>
      <c r="C840" s="39" t="s">
        <v>17</v>
      </c>
      <c r="D840" s="236"/>
      <c r="E840" s="236"/>
      <c r="F840" s="236"/>
      <c r="G840" s="236"/>
      <c r="H840" s="40">
        <f>SUM(Tabla132112414[[#This Row],[PRIMER TRIMESTRE]:[CUARTO TRIMESTRE]])</f>
        <v>0</v>
      </c>
      <c r="I840" s="17">
        <v>270000</v>
      </c>
      <c r="J840" s="17">
        <f t="shared" si="23"/>
        <v>0</v>
      </c>
      <c r="K840" s="17"/>
      <c r="L840" s="16" t="s">
        <v>18</v>
      </c>
      <c r="M840" s="16" t="s">
        <v>22</v>
      </c>
      <c r="N840" s="39"/>
    </row>
    <row r="841" spans="1:14" s="12" customFormat="1" ht="18">
      <c r="A841" s="178" t="s">
        <v>97</v>
      </c>
      <c r="B841" s="75" t="s">
        <v>1244</v>
      </c>
      <c r="C841" s="39" t="s">
        <v>17</v>
      </c>
      <c r="D841" s="236"/>
      <c r="E841" s="236"/>
      <c r="F841" s="236"/>
      <c r="G841" s="236"/>
      <c r="H841" s="40">
        <f>SUM(Tabla132112414[[#This Row],[PRIMER TRIMESTRE]:[CUARTO TRIMESTRE]])</f>
        <v>0</v>
      </c>
      <c r="I841" s="17">
        <v>398000</v>
      </c>
      <c r="J841" s="17">
        <f t="shared" si="23"/>
        <v>0</v>
      </c>
      <c r="K841" s="17"/>
      <c r="L841" s="16" t="s">
        <v>18</v>
      </c>
      <c r="M841" s="16" t="s">
        <v>22</v>
      </c>
      <c r="N841" s="39"/>
    </row>
    <row r="842" spans="1:14" s="12" customFormat="1" ht="18">
      <c r="A842" s="178" t="s">
        <v>97</v>
      </c>
      <c r="B842" s="75" t="s">
        <v>1245</v>
      </c>
      <c r="C842" s="39" t="s">
        <v>17</v>
      </c>
      <c r="D842" s="236"/>
      <c r="E842" s="236"/>
      <c r="F842" s="236"/>
      <c r="G842" s="236"/>
      <c r="H842" s="40">
        <f>SUM(Tabla132112414[[#This Row],[PRIMER TRIMESTRE]:[CUARTO TRIMESTRE]])</f>
        <v>0</v>
      </c>
      <c r="I842" s="17">
        <v>395000</v>
      </c>
      <c r="J842" s="17">
        <f t="shared" si="23"/>
        <v>0</v>
      </c>
      <c r="K842" s="17"/>
      <c r="L842" s="16" t="s">
        <v>18</v>
      </c>
      <c r="M842" s="16" t="s">
        <v>22</v>
      </c>
      <c r="N842" s="39"/>
    </row>
    <row r="843" spans="1:14" s="12" customFormat="1" ht="18">
      <c r="A843" s="178" t="s">
        <v>97</v>
      </c>
      <c r="B843" s="75" t="s">
        <v>1246</v>
      </c>
      <c r="C843" s="39" t="s">
        <v>17</v>
      </c>
      <c r="D843" s="236"/>
      <c r="E843" s="236"/>
      <c r="F843" s="236"/>
      <c r="G843" s="236"/>
      <c r="H843" s="40">
        <f>SUM(Tabla132112414[[#This Row],[PRIMER TRIMESTRE]:[CUARTO TRIMESTRE]])</f>
        <v>0</v>
      </c>
      <c r="I843" s="17">
        <v>390000</v>
      </c>
      <c r="J843" s="17">
        <f t="shared" si="23"/>
        <v>0</v>
      </c>
      <c r="K843" s="17"/>
      <c r="L843" s="16" t="s">
        <v>18</v>
      </c>
      <c r="M843" s="16" t="s">
        <v>22</v>
      </c>
      <c r="N843" s="39"/>
    </row>
    <row r="844" spans="1:14" s="12" customFormat="1" ht="18">
      <c r="A844" s="178" t="s">
        <v>97</v>
      </c>
      <c r="B844" s="75" t="s">
        <v>1247</v>
      </c>
      <c r="C844" s="39" t="s">
        <v>17</v>
      </c>
      <c r="D844" s="236"/>
      <c r="E844" s="236"/>
      <c r="F844" s="236"/>
      <c r="G844" s="236"/>
      <c r="H844" s="40">
        <f>SUM(Tabla132112414[[#This Row],[PRIMER TRIMESTRE]:[CUARTO TRIMESTRE]])</f>
        <v>0</v>
      </c>
      <c r="I844" s="17">
        <v>385000</v>
      </c>
      <c r="J844" s="17">
        <f t="shared" si="23"/>
        <v>0</v>
      </c>
      <c r="K844" s="17"/>
      <c r="L844" s="16" t="s">
        <v>18</v>
      </c>
      <c r="M844" s="16" t="s">
        <v>22</v>
      </c>
      <c r="N844" s="39"/>
    </row>
    <row r="845" spans="1:14" s="12" customFormat="1" ht="18">
      <c r="A845" s="178" t="s">
        <v>97</v>
      </c>
      <c r="B845" s="75" t="s">
        <v>1248</v>
      </c>
      <c r="C845" s="39" t="s">
        <v>17</v>
      </c>
      <c r="D845" s="236"/>
      <c r="E845" s="236"/>
      <c r="F845" s="236"/>
      <c r="G845" s="236"/>
      <c r="H845" s="40">
        <f>SUM(Tabla132112414[[#This Row],[PRIMER TRIMESTRE]:[CUARTO TRIMESTRE]])</f>
        <v>0</v>
      </c>
      <c r="I845" s="17">
        <v>290400</v>
      </c>
      <c r="J845" s="17">
        <f t="shared" si="23"/>
        <v>0</v>
      </c>
      <c r="K845" s="17"/>
      <c r="L845" s="16" t="s">
        <v>18</v>
      </c>
      <c r="M845" s="16" t="s">
        <v>22</v>
      </c>
      <c r="N845" s="39"/>
    </row>
    <row r="846" spans="1:14" s="12" customFormat="1" ht="18">
      <c r="A846" s="178" t="s">
        <v>97</v>
      </c>
      <c r="B846" s="75" t="s">
        <v>1249</v>
      </c>
      <c r="C846" s="39" t="s">
        <v>17</v>
      </c>
      <c r="D846" s="236"/>
      <c r="E846" s="236"/>
      <c r="F846" s="236"/>
      <c r="G846" s="236"/>
      <c r="H846" s="40">
        <f>SUM(Tabla132112414[[#This Row],[PRIMER TRIMESTRE]:[CUARTO TRIMESTRE]])</f>
        <v>0</v>
      </c>
      <c r="I846" s="17">
        <v>230000</v>
      </c>
      <c r="J846" s="17">
        <f t="shared" si="23"/>
        <v>0</v>
      </c>
      <c r="K846" s="17"/>
      <c r="L846" s="16" t="s">
        <v>18</v>
      </c>
      <c r="M846" s="16" t="s">
        <v>22</v>
      </c>
      <c r="N846" s="39"/>
    </row>
    <row r="847" spans="1:14" s="12" customFormat="1" ht="18">
      <c r="A847" s="178" t="s">
        <v>97</v>
      </c>
      <c r="B847" s="75" t="s">
        <v>1250</v>
      </c>
      <c r="C847" s="39" t="s">
        <v>17</v>
      </c>
      <c r="D847" s="236"/>
      <c r="E847" s="236"/>
      <c r="F847" s="236"/>
      <c r="G847" s="236"/>
      <c r="H847" s="40">
        <f>SUM(Tabla132112414[[#This Row],[PRIMER TRIMESTRE]:[CUARTO TRIMESTRE]])</f>
        <v>0</v>
      </c>
      <c r="I847" s="17">
        <v>13700</v>
      </c>
      <c r="J847" s="17">
        <f t="shared" si="23"/>
        <v>0</v>
      </c>
      <c r="K847" s="17"/>
      <c r="L847" s="16" t="s">
        <v>18</v>
      </c>
      <c r="M847" s="16" t="s">
        <v>22</v>
      </c>
      <c r="N847" s="39"/>
    </row>
    <row r="848" spans="1:14" s="12" customFormat="1" ht="18">
      <c r="A848" s="178" t="s">
        <v>97</v>
      </c>
      <c r="B848" s="75" t="s">
        <v>1251</v>
      </c>
      <c r="C848" s="39" t="s">
        <v>17</v>
      </c>
      <c r="D848" s="236"/>
      <c r="E848" s="236"/>
      <c r="F848" s="236"/>
      <c r="G848" s="236"/>
      <c r="H848" s="40">
        <f>SUM(Tabla132112414[[#This Row],[PRIMER TRIMESTRE]:[CUARTO TRIMESTRE]])</f>
        <v>0</v>
      </c>
      <c r="I848" s="17">
        <v>205000</v>
      </c>
      <c r="J848" s="17">
        <f t="shared" si="23"/>
        <v>0</v>
      </c>
      <c r="K848" s="17"/>
      <c r="L848" s="16" t="s">
        <v>18</v>
      </c>
      <c r="M848" s="16" t="s">
        <v>22</v>
      </c>
      <c r="N848" s="39"/>
    </row>
    <row r="849" spans="1:14" s="12" customFormat="1" ht="18">
      <c r="A849" s="178" t="s">
        <v>97</v>
      </c>
      <c r="B849" s="75" t="s">
        <v>1252</v>
      </c>
      <c r="C849" s="39" t="s">
        <v>17</v>
      </c>
      <c r="D849" s="236"/>
      <c r="E849" s="236"/>
      <c r="F849" s="236"/>
      <c r="G849" s="236"/>
      <c r="H849" s="40">
        <f>SUM(Tabla132112414[[#This Row],[PRIMER TRIMESTRE]:[CUARTO TRIMESTRE]])</f>
        <v>0</v>
      </c>
      <c r="I849" s="17">
        <v>170000</v>
      </c>
      <c r="J849" s="17">
        <f t="shared" si="23"/>
        <v>0</v>
      </c>
      <c r="K849" s="17"/>
      <c r="L849" s="16" t="s">
        <v>18</v>
      </c>
      <c r="M849" s="16" t="s">
        <v>22</v>
      </c>
      <c r="N849" s="39"/>
    </row>
    <row r="850" spans="1:14" s="12" customFormat="1" ht="18">
      <c r="A850" s="178" t="s">
        <v>97</v>
      </c>
      <c r="B850" s="75" t="s">
        <v>1253</v>
      </c>
      <c r="C850" s="39" t="s">
        <v>17</v>
      </c>
      <c r="D850" s="236"/>
      <c r="E850" s="236"/>
      <c r="F850" s="236"/>
      <c r="G850" s="236"/>
      <c r="H850" s="40">
        <f>SUM(Tabla132112414[[#This Row],[PRIMER TRIMESTRE]:[CUARTO TRIMESTRE]])</f>
        <v>0</v>
      </c>
      <c r="I850" s="17">
        <v>155000</v>
      </c>
      <c r="J850" s="17">
        <f t="shared" si="23"/>
        <v>0</v>
      </c>
      <c r="K850" s="17"/>
      <c r="L850" s="16" t="s">
        <v>18</v>
      </c>
      <c r="M850" s="16" t="s">
        <v>22</v>
      </c>
      <c r="N850" s="39"/>
    </row>
    <row r="851" spans="1:14" s="12" customFormat="1" ht="18">
      <c r="A851" s="178" t="s">
        <v>97</v>
      </c>
      <c r="B851" s="75" t="s">
        <v>1254</v>
      </c>
      <c r="C851" s="39" t="s">
        <v>17</v>
      </c>
      <c r="D851" s="236"/>
      <c r="E851" s="236"/>
      <c r="F851" s="236"/>
      <c r="G851" s="236"/>
      <c r="H851" s="40">
        <f>SUM(Tabla132112414[[#This Row],[PRIMER TRIMESTRE]:[CUARTO TRIMESTRE]])</f>
        <v>0</v>
      </c>
      <c r="I851" s="17">
        <v>140000</v>
      </c>
      <c r="J851" s="17">
        <f t="shared" si="23"/>
        <v>0</v>
      </c>
      <c r="K851" s="17"/>
      <c r="L851" s="16" t="s">
        <v>18</v>
      </c>
      <c r="M851" s="16" t="s">
        <v>22</v>
      </c>
      <c r="N851" s="39"/>
    </row>
    <row r="852" spans="1:14" s="12" customFormat="1" ht="18">
      <c r="A852" s="178" t="s">
        <v>97</v>
      </c>
      <c r="B852" s="75" t="s">
        <v>1255</v>
      </c>
      <c r="C852" s="39" t="s">
        <v>17</v>
      </c>
      <c r="D852" s="236"/>
      <c r="E852" s="236"/>
      <c r="F852" s="236"/>
      <c r="G852" s="236"/>
      <c r="H852" s="40">
        <f>SUM(Tabla132112414[[#This Row],[PRIMER TRIMESTRE]:[CUARTO TRIMESTRE]])</f>
        <v>0</v>
      </c>
      <c r="I852" s="17">
        <v>115000</v>
      </c>
      <c r="J852" s="17">
        <f t="shared" si="23"/>
        <v>0</v>
      </c>
      <c r="K852" s="17"/>
      <c r="L852" s="16" t="s">
        <v>18</v>
      </c>
      <c r="M852" s="16" t="s">
        <v>22</v>
      </c>
      <c r="N852" s="39"/>
    </row>
    <row r="853" spans="1:14" s="12" customFormat="1" ht="18">
      <c r="A853" s="178" t="s">
        <v>97</v>
      </c>
      <c r="B853" s="75" t="s">
        <v>1256</v>
      </c>
      <c r="C853" s="39" t="s">
        <v>17</v>
      </c>
      <c r="D853" s="236"/>
      <c r="E853" s="236"/>
      <c r="F853" s="236"/>
      <c r="G853" s="236"/>
      <c r="H853" s="40">
        <f>SUM(Tabla132112414[[#This Row],[PRIMER TRIMESTRE]:[CUARTO TRIMESTRE]])</f>
        <v>0</v>
      </c>
      <c r="I853" s="17">
        <v>100000</v>
      </c>
      <c r="J853" s="17">
        <f t="shared" si="23"/>
        <v>0</v>
      </c>
      <c r="K853" s="17"/>
      <c r="L853" s="16" t="s">
        <v>18</v>
      </c>
      <c r="M853" s="16" t="s">
        <v>22</v>
      </c>
      <c r="N853" s="39"/>
    </row>
    <row r="854" spans="1:14" s="12" customFormat="1" ht="18">
      <c r="A854" s="178" t="s">
        <v>97</v>
      </c>
      <c r="B854" s="75" t="s">
        <v>1257</v>
      </c>
      <c r="C854" s="39" t="s">
        <v>17</v>
      </c>
      <c r="D854" s="236"/>
      <c r="E854" s="236"/>
      <c r="F854" s="236"/>
      <c r="G854" s="236"/>
      <c r="H854" s="40">
        <f>SUM(Tabla132112414[[#This Row],[PRIMER TRIMESTRE]:[CUARTO TRIMESTRE]])</f>
        <v>0</v>
      </c>
      <c r="I854" s="17">
        <v>80000</v>
      </c>
      <c r="J854" s="17">
        <f t="shared" si="23"/>
        <v>0</v>
      </c>
      <c r="K854" s="17"/>
      <c r="L854" s="16" t="s">
        <v>18</v>
      </c>
      <c r="M854" s="16" t="s">
        <v>22</v>
      </c>
      <c r="N854" s="39"/>
    </row>
    <row r="855" spans="1:14" s="12" customFormat="1" ht="18">
      <c r="A855" s="178" t="s">
        <v>97</v>
      </c>
      <c r="B855" s="75" t="s">
        <v>1258</v>
      </c>
      <c r="C855" s="39" t="s">
        <v>17</v>
      </c>
      <c r="D855" s="236"/>
      <c r="E855" s="236"/>
      <c r="F855" s="236"/>
      <c r="G855" s="236"/>
      <c r="H855" s="40">
        <f>SUM(Tabla132112414[[#This Row],[PRIMER TRIMESTRE]:[CUARTO TRIMESTRE]])</f>
        <v>0</v>
      </c>
      <c r="I855" s="17">
        <v>65000</v>
      </c>
      <c r="J855" s="17">
        <f t="shared" si="23"/>
        <v>0</v>
      </c>
      <c r="K855" s="17"/>
      <c r="L855" s="16" t="s">
        <v>18</v>
      </c>
      <c r="M855" s="16" t="s">
        <v>22</v>
      </c>
      <c r="N855" s="39"/>
    </row>
    <row r="856" spans="1:14" s="12" customFormat="1" ht="18">
      <c r="A856" s="178" t="s">
        <v>97</v>
      </c>
      <c r="B856" s="75" t="s">
        <v>1259</v>
      </c>
      <c r="C856" s="39" t="s">
        <v>17</v>
      </c>
      <c r="D856" s="236"/>
      <c r="E856" s="236"/>
      <c r="F856" s="236"/>
      <c r="G856" s="236"/>
      <c r="H856" s="40">
        <f>SUM(Tabla132112414[[#This Row],[PRIMER TRIMESTRE]:[CUARTO TRIMESTRE]])</f>
        <v>0</v>
      </c>
      <c r="I856" s="17">
        <v>50000</v>
      </c>
      <c r="J856" s="17">
        <f t="shared" si="23"/>
        <v>0</v>
      </c>
      <c r="K856" s="17"/>
      <c r="L856" s="16" t="s">
        <v>18</v>
      </c>
      <c r="M856" s="16" t="s">
        <v>22</v>
      </c>
      <c r="N856" s="39"/>
    </row>
    <row r="857" spans="1:14" s="12" customFormat="1" ht="18">
      <c r="A857" s="178" t="s">
        <v>97</v>
      </c>
      <c r="B857" s="75" t="s">
        <v>1260</v>
      </c>
      <c r="C857" s="39" t="s">
        <v>17</v>
      </c>
      <c r="D857" s="236"/>
      <c r="E857" s="236"/>
      <c r="F857" s="236"/>
      <c r="G857" s="236"/>
      <c r="H857" s="40">
        <f>SUM(Tabla132112414[[#This Row],[PRIMER TRIMESTRE]:[CUARTO TRIMESTRE]])</f>
        <v>0</v>
      </c>
      <c r="I857" s="17">
        <v>45000</v>
      </c>
      <c r="J857" s="17">
        <f t="shared" si="23"/>
        <v>0</v>
      </c>
      <c r="K857" s="17"/>
      <c r="L857" s="16" t="s">
        <v>18</v>
      </c>
      <c r="M857" s="16" t="s">
        <v>22</v>
      </c>
      <c r="N857" s="39"/>
    </row>
    <row r="858" spans="1:14" s="12" customFormat="1" ht="18">
      <c r="A858" s="178" t="s">
        <v>97</v>
      </c>
      <c r="B858" s="75" t="s">
        <v>1261</v>
      </c>
      <c r="C858" s="39" t="s">
        <v>17</v>
      </c>
      <c r="D858" s="236"/>
      <c r="E858" s="236"/>
      <c r="F858" s="236"/>
      <c r="G858" s="236"/>
      <c r="H858" s="40">
        <f>SUM(Tabla132112414[[#This Row],[PRIMER TRIMESTRE]:[CUARTO TRIMESTRE]])</f>
        <v>0</v>
      </c>
      <c r="I858" s="17">
        <v>40000</v>
      </c>
      <c r="J858" s="17">
        <f t="shared" si="23"/>
        <v>0</v>
      </c>
      <c r="K858" s="17"/>
      <c r="L858" s="16" t="s">
        <v>18</v>
      </c>
      <c r="M858" s="16" t="s">
        <v>22</v>
      </c>
      <c r="N858" s="39"/>
    </row>
    <row r="859" spans="1:14" s="12" customFormat="1" ht="18">
      <c r="A859" s="178" t="s">
        <v>97</v>
      </c>
      <c r="B859" s="75" t="s">
        <v>1262</v>
      </c>
      <c r="C859" s="39" t="s">
        <v>17</v>
      </c>
      <c r="D859" s="236"/>
      <c r="E859" s="236"/>
      <c r="F859" s="236"/>
      <c r="G859" s="236"/>
      <c r="H859" s="40">
        <f>SUM(Tabla132112414[[#This Row],[PRIMER TRIMESTRE]:[CUARTO TRIMESTRE]])</f>
        <v>0</v>
      </c>
      <c r="I859" s="17">
        <v>30000</v>
      </c>
      <c r="J859" s="17">
        <f t="shared" si="23"/>
        <v>0</v>
      </c>
      <c r="K859" s="17"/>
      <c r="L859" s="16" t="s">
        <v>18</v>
      </c>
      <c r="M859" s="16" t="s">
        <v>22</v>
      </c>
      <c r="N859" s="39"/>
    </row>
    <row r="860" spans="1:14" s="12" customFormat="1" ht="18">
      <c r="A860" s="178" t="s">
        <v>97</v>
      </c>
      <c r="B860" s="75" t="s">
        <v>1263</v>
      </c>
      <c r="C860" s="39" t="s">
        <v>17</v>
      </c>
      <c r="D860" s="236"/>
      <c r="E860" s="236"/>
      <c r="F860" s="236"/>
      <c r="G860" s="236"/>
      <c r="H860" s="40">
        <f>SUM(Tabla132112414[[#This Row],[PRIMER TRIMESTRE]:[CUARTO TRIMESTRE]])</f>
        <v>0</v>
      </c>
      <c r="I860" s="17">
        <v>26000</v>
      </c>
      <c r="J860" s="17">
        <f t="shared" si="23"/>
        <v>0</v>
      </c>
      <c r="K860" s="17"/>
      <c r="L860" s="16" t="s">
        <v>18</v>
      </c>
      <c r="M860" s="16" t="s">
        <v>22</v>
      </c>
      <c r="N860" s="39"/>
    </row>
    <row r="861" spans="1:14" s="12" customFormat="1" ht="18">
      <c r="A861" s="178" t="s">
        <v>97</v>
      </c>
      <c r="B861" s="75" t="s">
        <v>1264</v>
      </c>
      <c r="C861" s="39" t="s">
        <v>17</v>
      </c>
      <c r="D861" s="236"/>
      <c r="E861" s="236"/>
      <c r="F861" s="236"/>
      <c r="G861" s="236"/>
      <c r="H861" s="40">
        <f>SUM(Tabla132112414[[#This Row],[PRIMER TRIMESTRE]:[CUARTO TRIMESTRE]])</f>
        <v>0</v>
      </c>
      <c r="I861" s="17">
        <v>24000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</row>
    <row r="862" spans="1:14" s="12" customFormat="1" ht="18">
      <c r="A862" s="178" t="s">
        <v>97</v>
      </c>
      <c r="B862" s="75" t="s">
        <v>1265</v>
      </c>
      <c r="C862" s="39" t="s">
        <v>17</v>
      </c>
      <c r="D862" s="236"/>
      <c r="E862" s="236"/>
      <c r="F862" s="236"/>
      <c r="G862" s="236"/>
      <c r="H862" s="40">
        <f>SUM(Tabla132112414[[#This Row],[PRIMER TRIMESTRE]:[CUARTO TRIMESTRE]])</f>
        <v>0</v>
      </c>
      <c r="I862" s="17">
        <v>20000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</row>
    <row r="863" spans="1:14" s="12" customFormat="1" ht="18">
      <c r="A863" s="178" t="s">
        <v>97</v>
      </c>
      <c r="B863" s="75" t="s">
        <v>1266</v>
      </c>
      <c r="C863" s="39" t="s">
        <v>17</v>
      </c>
      <c r="D863" s="236"/>
      <c r="E863" s="236"/>
      <c r="F863" s="236"/>
      <c r="G863" s="236"/>
      <c r="H863" s="40">
        <f>SUM(Tabla132112414[[#This Row],[PRIMER TRIMESTRE]:[CUARTO TRIMESTRE]])</f>
        <v>0</v>
      </c>
      <c r="I863" s="17">
        <v>18000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</row>
    <row r="864" spans="1:14" s="12" customFormat="1" ht="18">
      <c r="A864" s="178" t="s">
        <v>97</v>
      </c>
      <c r="B864" s="75" t="s">
        <v>1267</v>
      </c>
      <c r="C864" s="39" t="s">
        <v>17</v>
      </c>
      <c r="D864" s="236"/>
      <c r="E864" s="236"/>
      <c r="F864" s="236"/>
      <c r="G864" s="236"/>
      <c r="H864" s="40">
        <f>SUM(Tabla132112414[[#This Row],[PRIMER TRIMESTRE]:[CUARTO TRIMESTRE]])</f>
        <v>0</v>
      </c>
      <c r="I864" s="17">
        <v>15000</v>
      </c>
      <c r="J864" s="17">
        <f t="shared" si="23"/>
        <v>0</v>
      </c>
      <c r="K864" s="17"/>
      <c r="L864" s="16" t="s">
        <v>18</v>
      </c>
      <c r="M864" s="16" t="s">
        <v>22</v>
      </c>
      <c r="N864" s="39"/>
    </row>
    <row r="865" spans="1:14" s="12" customFormat="1" ht="30.75" customHeight="1">
      <c r="A865" s="178" t="s">
        <v>97</v>
      </c>
      <c r="B865" s="75" t="s">
        <v>1268</v>
      </c>
      <c r="C865" s="39" t="s">
        <v>17</v>
      </c>
      <c r="D865" s="236"/>
      <c r="E865" s="236"/>
      <c r="F865" s="236"/>
      <c r="G865" s="236"/>
      <c r="H865" s="40">
        <f>SUM(Tabla132112414[[#This Row],[PRIMER TRIMESTRE]:[CUARTO TRIMESTRE]])</f>
        <v>0</v>
      </c>
      <c r="I865" s="17">
        <v>61000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</row>
    <row r="866" spans="1:14" s="12" customFormat="1" ht="30.75" customHeight="1">
      <c r="A866" s="178" t="s">
        <v>97</v>
      </c>
      <c r="B866" s="75" t="s">
        <v>221</v>
      </c>
      <c r="C866" s="39" t="s">
        <v>17</v>
      </c>
      <c r="D866" s="236"/>
      <c r="E866" s="236"/>
      <c r="F866" s="236"/>
      <c r="G866" s="236"/>
      <c r="H866" s="40">
        <f>SUM(Tabla132112414[[#This Row],[PRIMER TRIMESTRE]:[CUARTO TRIMESTRE]])</f>
        <v>0</v>
      </c>
      <c r="I866" s="17">
        <v>100060.44</v>
      </c>
      <c r="J866" s="17">
        <f>+Tabla132112414[[#This Row],[CANTIDAD TOTAL]]*Tabla132112414[[#This Row],[PRECIO UNITARIO ESTIMADO]]</f>
        <v>0</v>
      </c>
      <c r="K866" s="17"/>
      <c r="L866" s="16" t="s">
        <v>18</v>
      </c>
      <c r="M866" s="16" t="s">
        <v>22</v>
      </c>
      <c r="N866" s="39"/>
    </row>
    <row r="867" spans="1:14" s="12" customFormat="1" ht="30.75" customHeight="1">
      <c r="A867" s="178" t="s">
        <v>97</v>
      </c>
      <c r="B867" s="75" t="s">
        <v>222</v>
      </c>
      <c r="C867" s="39" t="s">
        <v>17</v>
      </c>
      <c r="D867" s="236"/>
      <c r="E867" s="236"/>
      <c r="F867" s="236"/>
      <c r="G867" s="236"/>
      <c r="H867" s="40">
        <f>SUM(Tabla132112414[[#This Row],[PRIMER TRIMESTRE]:[CUARTO TRIMESTRE]])</f>
        <v>0</v>
      </c>
      <c r="I867" s="17">
        <v>327948.84999999998</v>
      </c>
      <c r="J867" s="17">
        <f>+Tabla132112414[[#This Row],[CANTIDAD TOTAL]]*Tabla132112414[[#This Row],[PRECIO UNITARIO ESTIMADO]]</f>
        <v>0</v>
      </c>
      <c r="K867" s="17"/>
      <c r="L867" s="16" t="s">
        <v>18</v>
      </c>
      <c r="M867" s="16" t="s">
        <v>22</v>
      </c>
      <c r="N867" s="39"/>
    </row>
    <row r="868" spans="1:14" s="12" customFormat="1" ht="30.75" customHeight="1">
      <c r="A868" s="178" t="s">
        <v>97</v>
      </c>
      <c r="B868" s="75" t="s">
        <v>223</v>
      </c>
      <c r="C868" s="39" t="s">
        <v>17</v>
      </c>
      <c r="D868" s="236"/>
      <c r="E868" s="236"/>
      <c r="F868" s="236"/>
      <c r="G868" s="236"/>
      <c r="H868" s="40">
        <f>SUM(Tabla132112414[[#This Row],[PRIMER TRIMESTRE]:[CUARTO TRIMESTRE]])</f>
        <v>0</v>
      </c>
      <c r="I868" s="17">
        <v>16744.599999999999</v>
      </c>
      <c r="J868" s="17">
        <f>+Tabla132112414[[#This Row],[CANTIDAD TOTAL]]*Tabla132112414[[#This Row],[PRECIO UNITARIO ESTIMADO]]</f>
        <v>0</v>
      </c>
      <c r="K868" s="17"/>
      <c r="L868" s="16" t="s">
        <v>18</v>
      </c>
      <c r="M868" s="16" t="s">
        <v>22</v>
      </c>
      <c r="N868" s="39"/>
    </row>
    <row r="869" spans="1:14" s="26" customFormat="1" ht="30.75" customHeight="1">
      <c r="A869" s="178" t="s">
        <v>97</v>
      </c>
      <c r="B869" s="75" t="s">
        <v>224</v>
      </c>
      <c r="C869" s="39" t="s">
        <v>17</v>
      </c>
      <c r="D869" s="236"/>
      <c r="E869" s="236"/>
      <c r="F869" s="236"/>
      <c r="G869" s="236"/>
      <c r="H869" s="40">
        <f>SUM(Tabla132112414[[#This Row],[PRIMER TRIMESTRE]:[CUARTO TRIMESTRE]])</f>
        <v>0</v>
      </c>
      <c r="I869" s="17">
        <v>52380.2</v>
      </c>
      <c r="J869" s="17">
        <f>+Tabla132112414[[#This Row],[CANTIDAD TOTAL]]*Tabla132112414[[#This Row],[PRECIO UNITARIO ESTIMADO]]</f>
        <v>0</v>
      </c>
      <c r="K869" s="17"/>
      <c r="L869" s="16" t="s">
        <v>18</v>
      </c>
      <c r="M869" s="16" t="s">
        <v>22</v>
      </c>
      <c r="N869" s="39"/>
    </row>
    <row r="870" spans="1:14" s="26" customFormat="1" ht="30.75" customHeight="1">
      <c r="A870" s="178" t="s">
        <v>97</v>
      </c>
      <c r="B870" s="75" t="s">
        <v>225</v>
      </c>
      <c r="C870" s="39" t="s">
        <v>17</v>
      </c>
      <c r="D870" s="236"/>
      <c r="E870" s="236"/>
      <c r="F870" s="236"/>
      <c r="G870" s="236"/>
      <c r="H870" s="40">
        <f>SUM(Tabla132112414[[#This Row],[PRIMER TRIMESTRE]:[CUARTO TRIMESTRE]])</f>
        <v>0</v>
      </c>
      <c r="I870" s="17">
        <v>99342.399999999994</v>
      </c>
      <c r="J870" s="17">
        <f>+Tabla132112414[[#This Row],[CANTIDAD TOTAL]]*Tabla132112414[[#This Row],[PRECIO UNITARIO ESTIMADO]]</f>
        <v>0</v>
      </c>
      <c r="K870" s="17"/>
      <c r="L870" s="16" t="s">
        <v>18</v>
      </c>
      <c r="M870" s="16" t="s">
        <v>22</v>
      </c>
      <c r="N870" s="39"/>
    </row>
    <row r="871" spans="1:14" s="26" customFormat="1" ht="30.75" customHeight="1">
      <c r="A871" s="179" t="s">
        <v>97</v>
      </c>
      <c r="B871" s="76"/>
      <c r="C871" s="42"/>
      <c r="D871" s="237"/>
      <c r="E871" s="237"/>
      <c r="F871" s="237"/>
      <c r="G871" s="237"/>
      <c r="H871" s="43"/>
      <c r="I871" s="24"/>
      <c r="J871" s="24"/>
      <c r="K871" s="25">
        <f>SUM(J811:J870)</f>
        <v>0</v>
      </c>
      <c r="L871" s="23"/>
      <c r="M871" s="23"/>
      <c r="N871" s="42"/>
    </row>
    <row r="872" spans="1:14" s="26" customFormat="1" ht="30.75" customHeight="1">
      <c r="A872" s="178" t="s">
        <v>948</v>
      </c>
      <c r="B872" s="75" t="s">
        <v>949</v>
      </c>
      <c r="C872" s="39" t="s">
        <v>17</v>
      </c>
      <c r="D872" s="236"/>
      <c r="E872" s="236"/>
      <c r="F872" s="236"/>
      <c r="G872" s="236"/>
      <c r="H872" s="40">
        <f>SUM(Tabla132112414[[#This Row],[PRIMER TRIMESTRE]:[CUARTO TRIMESTRE]])</f>
        <v>0</v>
      </c>
      <c r="I872" s="17">
        <v>227000</v>
      </c>
      <c r="J872" s="17">
        <f t="shared" ref="J872:J883" si="24">+H872*I872</f>
        <v>0</v>
      </c>
      <c r="K872" s="17"/>
      <c r="L872" s="16" t="s">
        <v>18</v>
      </c>
      <c r="M872" s="16" t="s">
        <v>22</v>
      </c>
      <c r="N872" s="16"/>
    </row>
    <row r="873" spans="1:14" s="26" customFormat="1" ht="30.75" customHeight="1">
      <c r="A873" s="178" t="s">
        <v>948</v>
      </c>
      <c r="B873" s="75" t="s">
        <v>950</v>
      </c>
      <c r="C873" s="39" t="s">
        <v>17</v>
      </c>
      <c r="D873" s="236"/>
      <c r="E873" s="236"/>
      <c r="F873" s="236"/>
      <c r="G873" s="236"/>
      <c r="H873" s="40">
        <f>SUM(Tabla132112414[[#This Row],[PRIMER TRIMESTRE]:[CUARTO TRIMESTRE]])</f>
        <v>0</v>
      </c>
      <c r="I873" s="17">
        <v>1118000</v>
      </c>
      <c r="J873" s="17">
        <f t="shared" si="24"/>
        <v>0</v>
      </c>
      <c r="K873" s="17"/>
      <c r="L873" s="16" t="s">
        <v>18</v>
      </c>
      <c r="M873" s="16" t="s">
        <v>22</v>
      </c>
      <c r="N873" s="16"/>
    </row>
    <row r="874" spans="1:14" s="26" customFormat="1" ht="30.75" customHeight="1">
      <c r="A874" s="178" t="s">
        <v>948</v>
      </c>
      <c r="B874" s="75" t="s">
        <v>952</v>
      </c>
      <c r="C874" s="39" t="s">
        <v>17</v>
      </c>
      <c r="D874" s="236"/>
      <c r="E874" s="236"/>
      <c r="F874" s="236"/>
      <c r="G874" s="236"/>
      <c r="H874" s="40">
        <f>SUM(Tabla132112414[[#This Row],[PRIMER TRIMESTRE]:[CUARTO TRIMESTRE]])</f>
        <v>0</v>
      </c>
      <c r="I874" s="17">
        <v>3200</v>
      </c>
      <c r="J874" s="17">
        <f t="shared" si="24"/>
        <v>0</v>
      </c>
      <c r="K874" s="17"/>
      <c r="L874" s="16" t="s">
        <v>18</v>
      </c>
      <c r="M874" s="16" t="s">
        <v>22</v>
      </c>
      <c r="N874" s="39"/>
    </row>
    <row r="875" spans="1:14" s="26" customFormat="1" ht="30.75" customHeight="1">
      <c r="A875" s="178" t="s">
        <v>948</v>
      </c>
      <c r="B875" s="75" t="s">
        <v>953</v>
      </c>
      <c r="C875" s="39" t="s">
        <v>17</v>
      </c>
      <c r="D875" s="236"/>
      <c r="E875" s="236"/>
      <c r="F875" s="236"/>
      <c r="G875" s="236"/>
      <c r="H875" s="40">
        <f>SUM(Tabla132112414[[#This Row],[PRIMER TRIMESTRE]:[CUARTO TRIMESTRE]])</f>
        <v>0</v>
      </c>
      <c r="I875" s="17">
        <v>96.7</v>
      </c>
      <c r="J875" s="17">
        <f t="shared" si="24"/>
        <v>0</v>
      </c>
      <c r="K875" s="17"/>
      <c r="L875" s="16" t="s">
        <v>18</v>
      </c>
      <c r="M875" s="16" t="s">
        <v>22</v>
      </c>
      <c r="N875" s="39"/>
    </row>
    <row r="876" spans="1:14" s="26" customFormat="1" ht="30.75" customHeight="1">
      <c r="A876" s="178" t="s">
        <v>948</v>
      </c>
      <c r="B876" s="75" t="s">
        <v>954</v>
      </c>
      <c r="C876" s="39" t="s">
        <v>17</v>
      </c>
      <c r="D876" s="236"/>
      <c r="E876" s="236"/>
      <c r="F876" s="236"/>
      <c r="G876" s="236"/>
      <c r="H876" s="40">
        <f>SUM(Tabla132112414[[#This Row],[PRIMER TRIMESTRE]:[CUARTO TRIMESTRE]])</f>
        <v>0</v>
      </c>
      <c r="I876" s="17">
        <v>113850</v>
      </c>
      <c r="J876" s="17">
        <f t="shared" si="24"/>
        <v>0</v>
      </c>
      <c r="K876" s="17"/>
      <c r="L876" s="16" t="s">
        <v>18</v>
      </c>
      <c r="M876" s="16" t="s">
        <v>22</v>
      </c>
      <c r="N876" s="39"/>
    </row>
    <row r="877" spans="1:14" s="26" customFormat="1" ht="30.75" customHeight="1">
      <c r="A877" s="178" t="s">
        <v>948</v>
      </c>
      <c r="B877" s="75" t="s">
        <v>955</v>
      </c>
      <c r="C877" s="39" t="s">
        <v>17</v>
      </c>
      <c r="D877" s="236"/>
      <c r="E877" s="236"/>
      <c r="F877" s="236"/>
      <c r="G877" s="236"/>
      <c r="H877" s="40">
        <f>SUM(Tabla132112414[[#This Row],[PRIMER TRIMESTRE]:[CUARTO TRIMESTRE]])</f>
        <v>0</v>
      </c>
      <c r="I877" s="17">
        <v>57914</v>
      </c>
      <c r="J877" s="17">
        <f t="shared" si="24"/>
        <v>0</v>
      </c>
      <c r="K877" s="17"/>
      <c r="L877" s="16" t="s">
        <v>18</v>
      </c>
      <c r="M877" s="16" t="s">
        <v>22</v>
      </c>
      <c r="N877" s="39"/>
    </row>
    <row r="878" spans="1:14" s="26" customFormat="1" ht="30.75" customHeight="1">
      <c r="A878" s="178" t="s">
        <v>948</v>
      </c>
      <c r="B878" s="75" t="s">
        <v>956</v>
      </c>
      <c r="C878" s="39" t="s">
        <v>17</v>
      </c>
      <c r="D878" s="236"/>
      <c r="E878" s="236"/>
      <c r="F878" s="236"/>
      <c r="G878" s="236"/>
      <c r="H878" s="40">
        <f>SUM(Tabla132112414[[#This Row],[PRIMER TRIMESTRE]:[CUARTO TRIMESTRE]])</f>
        <v>0</v>
      </c>
      <c r="I878" s="17">
        <v>908000</v>
      </c>
      <c r="J878" s="17">
        <f t="shared" si="24"/>
        <v>0</v>
      </c>
      <c r="K878" s="17"/>
      <c r="L878" s="16" t="s">
        <v>18</v>
      </c>
      <c r="M878" s="16" t="s">
        <v>22</v>
      </c>
      <c r="N878" s="39"/>
    </row>
    <row r="879" spans="1:14" s="26" customFormat="1" ht="30.75" customHeight="1">
      <c r="A879" s="178" t="s">
        <v>948</v>
      </c>
      <c r="B879" s="75" t="s">
        <v>957</v>
      </c>
      <c r="C879" s="39" t="s">
        <v>17</v>
      </c>
      <c r="D879" s="236"/>
      <c r="E879" s="236"/>
      <c r="F879" s="236"/>
      <c r="G879" s="236"/>
      <c r="H879" s="40">
        <f>SUM(Tabla132112414[[#This Row],[PRIMER TRIMESTRE]:[CUARTO TRIMESTRE]])</f>
        <v>0</v>
      </c>
      <c r="I879" s="17">
        <v>10000</v>
      </c>
      <c r="J879" s="17">
        <f t="shared" si="24"/>
        <v>0</v>
      </c>
      <c r="K879" s="17"/>
      <c r="L879" s="16" t="s">
        <v>18</v>
      </c>
      <c r="M879" s="16" t="s">
        <v>22</v>
      </c>
      <c r="N879" s="39"/>
    </row>
    <row r="880" spans="1:14" s="26" customFormat="1" ht="30.75" customHeight="1">
      <c r="A880" s="178" t="s">
        <v>948</v>
      </c>
      <c r="B880" s="75" t="s">
        <v>958</v>
      </c>
      <c r="C880" s="39" t="s">
        <v>17</v>
      </c>
      <c r="D880" s="236"/>
      <c r="E880" s="236"/>
      <c r="F880" s="236"/>
      <c r="G880" s="236"/>
      <c r="H880" s="40">
        <f>SUM(Tabla132112414[[#This Row],[PRIMER TRIMESTRE]:[CUARTO TRIMESTRE]])</f>
        <v>0</v>
      </c>
      <c r="I880" s="17">
        <v>37500</v>
      </c>
      <c r="J880" s="17">
        <f t="shared" si="24"/>
        <v>0</v>
      </c>
      <c r="K880" s="17"/>
      <c r="L880" s="16" t="s">
        <v>18</v>
      </c>
      <c r="M880" s="16" t="s">
        <v>22</v>
      </c>
      <c r="N880" s="39"/>
    </row>
    <row r="881" spans="1:14" s="26" customFormat="1" ht="30.75" customHeight="1">
      <c r="A881" s="178" t="s">
        <v>948</v>
      </c>
      <c r="B881" s="75" t="s">
        <v>951</v>
      </c>
      <c r="C881" s="39" t="s">
        <v>17</v>
      </c>
      <c r="D881" s="236"/>
      <c r="E881" s="236"/>
      <c r="F881" s="236"/>
      <c r="G881" s="236"/>
      <c r="H881" s="40">
        <f>SUM(Tabla132112414[[#This Row],[PRIMER TRIMESTRE]:[CUARTO TRIMESTRE]])</f>
        <v>0</v>
      </c>
      <c r="I881" s="17">
        <v>120</v>
      </c>
      <c r="J881" s="17">
        <f t="shared" si="24"/>
        <v>0</v>
      </c>
      <c r="K881" s="17"/>
      <c r="L881" s="16" t="s">
        <v>18</v>
      </c>
      <c r="M881" s="16" t="s">
        <v>22</v>
      </c>
      <c r="N881" s="39"/>
    </row>
    <row r="882" spans="1:14" s="26" customFormat="1" ht="30.75" customHeight="1">
      <c r="A882" s="178" t="s">
        <v>948</v>
      </c>
      <c r="B882" s="75" t="s">
        <v>959</v>
      </c>
      <c r="C882" s="39" t="s">
        <v>17</v>
      </c>
      <c r="D882" s="236"/>
      <c r="E882" s="236"/>
      <c r="F882" s="236"/>
      <c r="G882" s="236"/>
      <c r="H882" s="40">
        <f>SUM(Tabla132112414[[#This Row],[PRIMER TRIMESTRE]:[CUARTO TRIMESTRE]])</f>
        <v>0</v>
      </c>
      <c r="I882" s="17">
        <v>2627</v>
      </c>
      <c r="J882" s="17">
        <f t="shared" si="24"/>
        <v>0</v>
      </c>
      <c r="K882" s="17"/>
      <c r="L882" s="16" t="s">
        <v>18</v>
      </c>
      <c r="M882" s="16" t="s">
        <v>22</v>
      </c>
      <c r="N882" s="39"/>
    </row>
    <row r="883" spans="1:14" s="12" customFormat="1" ht="30.75" customHeight="1">
      <c r="A883" s="178" t="s">
        <v>948</v>
      </c>
      <c r="B883" s="75" t="s">
        <v>963</v>
      </c>
      <c r="C883" s="39" t="s">
        <v>17</v>
      </c>
      <c r="D883" s="236"/>
      <c r="E883" s="236"/>
      <c r="F883" s="236"/>
      <c r="G883" s="236"/>
      <c r="H883" s="40">
        <f>SUM(Tabla132112414[[#This Row],[PRIMER TRIMESTRE]:[CUARTO TRIMESTRE]])</f>
        <v>0</v>
      </c>
      <c r="I883" s="17">
        <v>2552.54</v>
      </c>
      <c r="J883" s="17">
        <f t="shared" si="24"/>
        <v>0</v>
      </c>
      <c r="K883" s="17"/>
      <c r="L883" s="16" t="s">
        <v>18</v>
      </c>
      <c r="M883" s="16" t="s">
        <v>22</v>
      </c>
      <c r="N883" s="39"/>
    </row>
    <row r="884" spans="1:14" s="12" customFormat="1" ht="30.75" customHeight="1">
      <c r="A884" s="179" t="s">
        <v>948</v>
      </c>
      <c r="B884" s="76"/>
      <c r="C884" s="42"/>
      <c r="D884" s="237"/>
      <c r="E884" s="237"/>
      <c r="F884" s="237"/>
      <c r="G884" s="237"/>
      <c r="H884" s="42"/>
      <c r="I884" s="42"/>
      <c r="J884" s="42"/>
      <c r="K884" s="25">
        <f>SUM(J872:J883)</f>
        <v>0</v>
      </c>
      <c r="L884" s="23"/>
      <c r="M884" s="23"/>
      <c r="N884" s="42"/>
    </row>
    <row r="885" spans="1:14" s="12" customFormat="1" ht="30.75" customHeight="1">
      <c r="A885" s="178" t="s">
        <v>99</v>
      </c>
      <c r="B885" s="75" t="s">
        <v>1856</v>
      </c>
      <c r="C885" s="176" t="s">
        <v>17</v>
      </c>
      <c r="D885" s="75"/>
      <c r="E885" s="75"/>
      <c r="F885" s="75"/>
      <c r="G885" s="75"/>
      <c r="H885" s="75">
        <v>0</v>
      </c>
      <c r="I885" s="75">
        <v>0</v>
      </c>
      <c r="J885" s="75">
        <v>0</v>
      </c>
      <c r="K885" s="75"/>
      <c r="L885" s="16" t="s">
        <v>18</v>
      </c>
      <c r="M885" s="16" t="s">
        <v>22</v>
      </c>
      <c r="N885" s="39" t="s">
        <v>418</v>
      </c>
    </row>
    <row r="886" spans="1:14" s="12" customFormat="1" ht="37.5" customHeight="1">
      <c r="A886" s="178" t="s">
        <v>99</v>
      </c>
      <c r="B886" s="75" t="s">
        <v>1857</v>
      </c>
      <c r="C886" s="176" t="s">
        <v>17</v>
      </c>
      <c r="D886" s="178"/>
      <c r="E886" s="178"/>
      <c r="F886" s="178"/>
      <c r="G886" s="178"/>
      <c r="H886" s="178">
        <v>0</v>
      </c>
      <c r="I886" s="178">
        <v>0</v>
      </c>
      <c r="J886" s="178">
        <v>0</v>
      </c>
      <c r="K886" s="178"/>
      <c r="L886" s="16" t="s">
        <v>18</v>
      </c>
      <c r="M886" s="16" t="s">
        <v>22</v>
      </c>
      <c r="N886" s="39" t="s">
        <v>418</v>
      </c>
    </row>
    <row r="887" spans="1:14" s="12" customFormat="1" ht="30.75" customHeight="1">
      <c r="A887" s="178" t="s">
        <v>99</v>
      </c>
      <c r="B887" s="75" t="s">
        <v>1858</v>
      </c>
      <c r="C887" s="176" t="s">
        <v>17</v>
      </c>
      <c r="D887" s="75"/>
      <c r="E887" s="75"/>
      <c r="F887" s="75"/>
      <c r="G887" s="75"/>
      <c r="H887" s="75">
        <v>0</v>
      </c>
      <c r="I887" s="75">
        <v>0</v>
      </c>
      <c r="J887" s="75">
        <v>0</v>
      </c>
      <c r="K887" s="75"/>
      <c r="L887" s="16" t="s">
        <v>18</v>
      </c>
      <c r="M887" s="16" t="s">
        <v>22</v>
      </c>
      <c r="N887" s="39" t="s">
        <v>418</v>
      </c>
    </row>
    <row r="888" spans="1:14" s="12" customFormat="1" ht="30.75" customHeight="1">
      <c r="A888" s="178" t="s">
        <v>99</v>
      </c>
      <c r="B888" s="75" t="s">
        <v>1859</v>
      </c>
      <c r="C888" s="176" t="s">
        <v>290</v>
      </c>
      <c r="D888" s="75"/>
      <c r="E888" s="75"/>
      <c r="F888" s="75"/>
      <c r="G888" s="75"/>
      <c r="H888" s="75">
        <v>0</v>
      </c>
      <c r="I888" s="75">
        <v>0</v>
      </c>
      <c r="J888" s="75">
        <v>0</v>
      </c>
      <c r="K888" s="75"/>
      <c r="L888" s="16" t="s">
        <v>18</v>
      </c>
      <c r="M888" s="16" t="s">
        <v>22</v>
      </c>
      <c r="N888" s="39" t="s">
        <v>418</v>
      </c>
    </row>
    <row r="889" spans="1:14" s="12" customFormat="1" ht="30.75" customHeight="1">
      <c r="A889" s="178" t="s">
        <v>99</v>
      </c>
      <c r="B889" s="75" t="s">
        <v>1650</v>
      </c>
      <c r="C889" s="176" t="s">
        <v>290</v>
      </c>
      <c r="D889" s="75"/>
      <c r="E889" s="75"/>
      <c r="F889" s="75"/>
      <c r="G889" s="75"/>
      <c r="H889" s="75">
        <v>0</v>
      </c>
      <c r="I889" s="75">
        <v>0</v>
      </c>
      <c r="J889" s="75">
        <v>0</v>
      </c>
      <c r="K889" s="75"/>
      <c r="L889" s="16" t="s">
        <v>18</v>
      </c>
      <c r="M889" s="16" t="s">
        <v>22</v>
      </c>
      <c r="N889" s="39" t="s">
        <v>418</v>
      </c>
    </row>
    <row r="890" spans="1:14" s="12" customFormat="1" ht="30.75" customHeight="1">
      <c r="A890" s="178" t="s">
        <v>99</v>
      </c>
      <c r="B890" s="75" t="s">
        <v>306</v>
      </c>
      <c r="C890" s="39" t="s">
        <v>33</v>
      </c>
      <c r="D890" s="236"/>
      <c r="E890" s="236"/>
      <c r="F890" s="236"/>
      <c r="G890" s="236"/>
      <c r="H890" s="40">
        <f>SUM(Tabla132112414[[#This Row],[PRIMER TRIMESTRE]:[CUARTO TRIMESTRE]])</f>
        <v>0</v>
      </c>
      <c r="I890" s="17">
        <v>260</v>
      </c>
      <c r="J890" s="17">
        <f>+Tabla132112414[[#This Row],[CANTIDAD TOTAL]]*Tabla132112414[[#This Row],[PRECIO UNITARIO ESTIMADO]]</f>
        <v>0</v>
      </c>
      <c r="K890" s="17"/>
      <c r="L890" s="16" t="s">
        <v>18</v>
      </c>
      <c r="M890" s="16" t="s">
        <v>22</v>
      </c>
      <c r="N890" s="39" t="s">
        <v>418</v>
      </c>
    </row>
    <row r="891" spans="1:14" s="12" customFormat="1" ht="30.75" customHeight="1">
      <c r="A891" s="178" t="s">
        <v>99</v>
      </c>
      <c r="B891" s="75" t="s">
        <v>307</v>
      </c>
      <c r="C891" s="39" t="s">
        <v>308</v>
      </c>
      <c r="D891" s="236"/>
      <c r="E891" s="236"/>
      <c r="F891" s="236"/>
      <c r="G891" s="236"/>
      <c r="H891" s="40">
        <f>SUM(Tabla132112414[[#This Row],[PRIMER TRIMESTRE]:[CUARTO TRIMESTRE]])</f>
        <v>0</v>
      </c>
      <c r="I891" s="17">
        <v>1237.82</v>
      </c>
      <c r="J891" s="17">
        <f>+Tabla132112414[[#This Row],[CANTIDAD TOTAL]]*Tabla132112414[[#This Row],[PRECIO UNITARIO ESTIMADO]]</f>
        <v>0</v>
      </c>
      <c r="K891" s="17"/>
      <c r="L891" s="16" t="s">
        <v>18</v>
      </c>
      <c r="M891" s="16" t="s">
        <v>22</v>
      </c>
      <c r="N891" s="39" t="s">
        <v>418</v>
      </c>
    </row>
    <row r="892" spans="1:14" s="12" customFormat="1" ht="30.75" customHeight="1">
      <c r="A892" s="178" t="s">
        <v>99</v>
      </c>
      <c r="B892" s="75" t="s">
        <v>309</v>
      </c>
      <c r="C892" s="39" t="s">
        <v>308</v>
      </c>
      <c r="D892" s="236"/>
      <c r="E892" s="236"/>
      <c r="F892" s="236"/>
      <c r="G892" s="236"/>
      <c r="H892" s="40">
        <f>SUM(Tabla132112414[[#This Row],[PRIMER TRIMESTRE]:[CUARTO TRIMESTRE]])</f>
        <v>0</v>
      </c>
      <c r="I892" s="17">
        <v>1770</v>
      </c>
      <c r="J892" s="17">
        <f>+Tabla132112414[[#This Row],[CANTIDAD TOTAL]]*Tabla132112414[[#This Row],[PRECIO UNITARIO ESTIMADO]]</f>
        <v>0</v>
      </c>
      <c r="K892" s="17"/>
      <c r="L892" s="16" t="s">
        <v>18</v>
      </c>
      <c r="M892" s="16" t="s">
        <v>22</v>
      </c>
      <c r="N892" s="39" t="s">
        <v>418</v>
      </c>
    </row>
    <row r="893" spans="1:14" s="12" customFormat="1" ht="30.75" customHeight="1">
      <c r="A893" s="178" t="s">
        <v>99</v>
      </c>
      <c r="B893" s="75" t="s">
        <v>230</v>
      </c>
      <c r="C893" s="39" t="s">
        <v>17</v>
      </c>
      <c r="D893" s="236"/>
      <c r="E893" s="236"/>
      <c r="F893" s="236"/>
      <c r="G893" s="236"/>
      <c r="H893" s="40">
        <f>SUM(Tabla132112414[[#This Row],[PRIMER TRIMESTRE]:[CUARTO TRIMESTRE]])</f>
        <v>0</v>
      </c>
      <c r="I893" s="17">
        <v>1740</v>
      </c>
      <c r="J893" s="17">
        <f>+Tabla132112414[[#This Row],[CANTIDAD TOTAL]]*Tabla132112414[[#This Row],[PRECIO UNITARIO ESTIMADO]]</f>
        <v>0</v>
      </c>
      <c r="K893" s="17"/>
      <c r="L893" s="16" t="s">
        <v>18</v>
      </c>
      <c r="M893" s="16" t="s">
        <v>22</v>
      </c>
      <c r="N893" s="39" t="s">
        <v>418</v>
      </c>
    </row>
    <row r="894" spans="1:14" s="12" customFormat="1" ht="30.75" customHeight="1">
      <c r="A894" s="178" t="s">
        <v>99</v>
      </c>
      <c r="B894" s="75" t="s">
        <v>310</v>
      </c>
      <c r="C894" s="39" t="s">
        <v>308</v>
      </c>
      <c r="D894" s="236"/>
      <c r="E894" s="236"/>
      <c r="F894" s="236"/>
      <c r="G894" s="236"/>
      <c r="H894" s="40">
        <f>SUM(Tabla132112414[[#This Row],[PRIMER TRIMESTRE]:[CUARTO TRIMESTRE]])</f>
        <v>0</v>
      </c>
      <c r="I894" s="17">
        <v>1298</v>
      </c>
      <c r="J894" s="17">
        <f>+Tabla132112414[[#This Row],[CANTIDAD TOTAL]]*Tabla132112414[[#This Row],[PRECIO UNITARIO ESTIMADO]]</f>
        <v>0</v>
      </c>
      <c r="K894" s="17"/>
      <c r="L894" s="16" t="s">
        <v>18</v>
      </c>
      <c r="M894" s="16" t="s">
        <v>22</v>
      </c>
      <c r="N894" s="39" t="s">
        <v>418</v>
      </c>
    </row>
    <row r="895" spans="1:14" s="12" customFormat="1" ht="30.75" customHeight="1">
      <c r="A895" s="178" t="s">
        <v>99</v>
      </c>
      <c r="B895" s="75" t="s">
        <v>311</v>
      </c>
      <c r="C895" s="39" t="s">
        <v>312</v>
      </c>
      <c r="D895" s="236"/>
      <c r="E895" s="236"/>
      <c r="F895" s="236"/>
      <c r="G895" s="236"/>
      <c r="H895" s="40">
        <f>SUM(Tabla132112414[[#This Row],[PRIMER TRIMESTRE]:[CUARTO TRIMESTRE]])</f>
        <v>0</v>
      </c>
      <c r="I895" s="17">
        <v>3418.58</v>
      </c>
      <c r="J895" s="17">
        <f>+Tabla132112414[[#This Row],[CANTIDAD TOTAL]]*Tabla132112414[[#This Row],[PRECIO UNITARIO ESTIMADO]]</f>
        <v>0</v>
      </c>
      <c r="K895" s="17"/>
      <c r="L895" s="16" t="s">
        <v>18</v>
      </c>
      <c r="M895" s="16" t="s">
        <v>22</v>
      </c>
      <c r="N895" s="39" t="s">
        <v>418</v>
      </c>
    </row>
    <row r="896" spans="1:14" s="12" customFormat="1" ht="30.75" customHeight="1">
      <c r="A896" s="178" t="s">
        <v>99</v>
      </c>
      <c r="B896" s="75" t="s">
        <v>314</v>
      </c>
      <c r="C896" s="39" t="s">
        <v>315</v>
      </c>
      <c r="D896" s="236"/>
      <c r="E896" s="236"/>
      <c r="F896" s="236"/>
      <c r="G896" s="236"/>
      <c r="H896" s="40">
        <f>SUM(Tabla132112414[[#This Row],[PRIMER TRIMESTRE]:[CUARTO TRIMESTRE]])</f>
        <v>0</v>
      </c>
      <c r="I896" s="17">
        <v>1569.4</v>
      </c>
      <c r="J896" s="17">
        <f>+Tabla132112414[[#This Row],[CANTIDAD TOTAL]]*Tabla132112414[[#This Row],[PRECIO UNITARIO ESTIMADO]]</f>
        <v>0</v>
      </c>
      <c r="K896" s="17"/>
      <c r="L896" s="16" t="s">
        <v>18</v>
      </c>
      <c r="M896" s="16" t="s">
        <v>22</v>
      </c>
      <c r="N896" s="39" t="s">
        <v>418</v>
      </c>
    </row>
    <row r="897" spans="1:14" s="12" customFormat="1" ht="30">
      <c r="A897" s="178" t="s">
        <v>99</v>
      </c>
      <c r="B897" s="75" t="s">
        <v>313</v>
      </c>
      <c r="C897" s="39" t="s">
        <v>308</v>
      </c>
      <c r="D897" s="236"/>
      <c r="E897" s="236"/>
      <c r="F897" s="236"/>
      <c r="G897" s="236"/>
      <c r="H897" s="40">
        <f>SUM(Tabla132112414[[#This Row],[PRIMER TRIMESTRE]:[CUARTO TRIMESTRE]])</f>
        <v>0</v>
      </c>
      <c r="I897" s="17">
        <v>3651.69</v>
      </c>
      <c r="J897" s="17">
        <f>+Tabla132112414[[#This Row],[CANTIDAD TOTAL]]*Tabla132112414[[#This Row],[PRECIO UNITARIO ESTIMADO]]</f>
        <v>0</v>
      </c>
      <c r="K897" s="17"/>
      <c r="L897" s="16" t="s">
        <v>18</v>
      </c>
      <c r="M897" s="16" t="s">
        <v>22</v>
      </c>
      <c r="N897" s="39" t="s">
        <v>418</v>
      </c>
    </row>
    <row r="898" spans="1:14" s="12" customFormat="1" ht="30">
      <c r="A898" s="178" t="s">
        <v>99</v>
      </c>
      <c r="B898" s="75" t="s">
        <v>231</v>
      </c>
      <c r="C898" s="39" t="s">
        <v>17</v>
      </c>
      <c r="D898" s="236"/>
      <c r="E898" s="236"/>
      <c r="F898" s="236"/>
      <c r="G898" s="236"/>
      <c r="H898" s="40">
        <f>SUM(Tabla132112414[[#This Row],[PRIMER TRIMESTRE]:[CUARTO TRIMESTRE]])</f>
        <v>0</v>
      </c>
      <c r="I898" s="17">
        <v>574.20000000000005</v>
      </c>
      <c r="J898" s="17">
        <f>+Tabla132112414[[#This Row],[CANTIDAD TOTAL]]*Tabla132112414[[#This Row],[PRECIO UNITARIO ESTIMADO]]</f>
        <v>0</v>
      </c>
      <c r="K898" s="17"/>
      <c r="L898" s="16" t="s">
        <v>18</v>
      </c>
      <c r="M898" s="16" t="s">
        <v>22</v>
      </c>
      <c r="N898" s="39" t="s">
        <v>418</v>
      </c>
    </row>
    <row r="899" spans="1:14" s="12" customFormat="1" ht="30">
      <c r="A899" s="178" t="s">
        <v>99</v>
      </c>
      <c r="B899" s="75" t="s">
        <v>232</v>
      </c>
      <c r="C899" s="39" t="s">
        <v>17</v>
      </c>
      <c r="D899" s="236"/>
      <c r="E899" s="236"/>
      <c r="F899" s="236"/>
      <c r="G899" s="236"/>
      <c r="H899" s="40">
        <f>SUM(Tabla132112414[[#This Row],[PRIMER TRIMESTRE]:[CUARTO TRIMESTRE]])</f>
        <v>0</v>
      </c>
      <c r="I899" s="17">
        <v>1035</v>
      </c>
      <c r="J899" s="17">
        <f>+Tabla132112414[[#This Row],[CANTIDAD TOTAL]]*Tabla132112414[[#This Row],[PRECIO UNITARIO ESTIMADO]]</f>
        <v>0</v>
      </c>
      <c r="K899" s="17"/>
      <c r="L899" s="16" t="s">
        <v>18</v>
      </c>
      <c r="M899" s="16" t="s">
        <v>22</v>
      </c>
      <c r="N899" s="39" t="s">
        <v>418</v>
      </c>
    </row>
    <row r="900" spans="1:14" s="12" customFormat="1" ht="30">
      <c r="A900" s="178" t="s">
        <v>99</v>
      </c>
      <c r="B900" s="75" t="s">
        <v>1031</v>
      </c>
      <c r="C900" s="39" t="s">
        <v>1037</v>
      </c>
      <c r="D900" s="236"/>
      <c r="E900" s="236"/>
      <c r="F900" s="236"/>
      <c r="G900" s="236"/>
      <c r="H900" s="40">
        <f>SUM(Tabla132112414[[#This Row],[PRIMER TRIMESTRE]:[CUARTO TRIMESTRE]])</f>
        <v>0</v>
      </c>
      <c r="I900" s="17">
        <v>3800</v>
      </c>
      <c r="J900" s="17">
        <f t="shared" ref="J900:J963" si="25">+H900*I900</f>
        <v>0</v>
      </c>
      <c r="K900" s="17"/>
      <c r="L900" s="16" t="s">
        <v>18</v>
      </c>
      <c r="M900" s="16" t="s">
        <v>22</v>
      </c>
      <c r="N900" s="39" t="s">
        <v>418</v>
      </c>
    </row>
    <row r="901" spans="1:14" s="12" customFormat="1" ht="30">
      <c r="A901" s="178" t="s">
        <v>99</v>
      </c>
      <c r="B901" s="75" t="s">
        <v>1032</v>
      </c>
      <c r="C901" s="39" t="s">
        <v>1037</v>
      </c>
      <c r="D901" s="236"/>
      <c r="E901" s="236"/>
      <c r="F901" s="236"/>
      <c r="G901" s="236"/>
      <c r="H901" s="40">
        <f>SUM(Tabla132112414[[#This Row],[PRIMER TRIMESTRE]:[CUARTO TRIMESTRE]])</f>
        <v>0</v>
      </c>
      <c r="I901" s="17">
        <v>11200</v>
      </c>
      <c r="J901" s="17">
        <f t="shared" si="25"/>
        <v>0</v>
      </c>
      <c r="K901" s="17"/>
      <c r="L901" s="16" t="s">
        <v>18</v>
      </c>
      <c r="M901" s="16" t="s">
        <v>22</v>
      </c>
      <c r="N901" s="39" t="s">
        <v>418</v>
      </c>
    </row>
    <row r="902" spans="1:14" s="12" customFormat="1" ht="30">
      <c r="A902" s="178" t="s">
        <v>99</v>
      </c>
      <c r="B902" s="75" t="s">
        <v>1033</v>
      </c>
      <c r="C902" s="39" t="s">
        <v>1037</v>
      </c>
      <c r="D902" s="236"/>
      <c r="E902" s="236"/>
      <c r="F902" s="236"/>
      <c r="G902" s="236"/>
      <c r="H902" s="40">
        <f>SUM(Tabla132112414[[#This Row],[PRIMER TRIMESTRE]:[CUARTO TRIMESTRE]])</f>
        <v>0</v>
      </c>
      <c r="I902" s="17">
        <v>3700</v>
      </c>
      <c r="J902" s="17">
        <f t="shared" si="25"/>
        <v>0</v>
      </c>
      <c r="K902" s="17"/>
      <c r="L902" s="16" t="s">
        <v>18</v>
      </c>
      <c r="M902" s="16" t="s">
        <v>22</v>
      </c>
      <c r="N902" s="39" t="s">
        <v>418</v>
      </c>
    </row>
    <row r="903" spans="1:14" s="12" customFormat="1" ht="30">
      <c r="A903" s="178" t="s">
        <v>99</v>
      </c>
      <c r="B903" s="75" t="s">
        <v>1034</v>
      </c>
      <c r="C903" s="39" t="s">
        <v>1037</v>
      </c>
      <c r="D903" s="236"/>
      <c r="E903" s="236"/>
      <c r="F903" s="236"/>
      <c r="G903" s="236"/>
      <c r="H903" s="40">
        <f>SUM(Tabla132112414[[#This Row],[PRIMER TRIMESTRE]:[CUARTO TRIMESTRE]])</f>
        <v>0</v>
      </c>
      <c r="I903" s="17">
        <v>4500</v>
      </c>
      <c r="J903" s="17">
        <f t="shared" si="25"/>
        <v>0</v>
      </c>
      <c r="K903" s="17"/>
      <c r="L903" s="16" t="s">
        <v>15</v>
      </c>
      <c r="M903" s="16" t="s">
        <v>22</v>
      </c>
      <c r="N903" s="39" t="s">
        <v>418</v>
      </c>
    </row>
    <row r="904" spans="1:14" s="12" customFormat="1" ht="30">
      <c r="A904" s="178" t="s">
        <v>99</v>
      </c>
      <c r="B904" s="75" t="s">
        <v>1035</v>
      </c>
      <c r="C904" s="39" t="s">
        <v>1037</v>
      </c>
      <c r="D904" s="236"/>
      <c r="E904" s="236"/>
      <c r="F904" s="236"/>
      <c r="G904" s="236"/>
      <c r="H904" s="40">
        <f>SUM(Tabla132112414[[#This Row],[PRIMER TRIMESTRE]:[CUARTO TRIMESTRE]])</f>
        <v>0</v>
      </c>
      <c r="I904" s="17">
        <v>2800</v>
      </c>
      <c r="J904" s="17">
        <f t="shared" si="25"/>
        <v>0</v>
      </c>
      <c r="K904" s="17"/>
      <c r="L904" s="16" t="s">
        <v>15</v>
      </c>
      <c r="M904" s="16" t="s">
        <v>22</v>
      </c>
      <c r="N904" s="39" t="s">
        <v>418</v>
      </c>
    </row>
    <row r="905" spans="1:14" s="12" customFormat="1" ht="30">
      <c r="A905" s="178" t="s">
        <v>99</v>
      </c>
      <c r="B905" s="75" t="s">
        <v>1036</v>
      </c>
      <c r="C905" s="39" t="s">
        <v>1037</v>
      </c>
      <c r="D905" s="236"/>
      <c r="E905" s="236"/>
      <c r="F905" s="236"/>
      <c r="G905" s="236"/>
      <c r="H905" s="40">
        <f>SUM(Tabla132112414[[#This Row],[PRIMER TRIMESTRE]:[CUARTO TRIMESTRE]])</f>
        <v>0</v>
      </c>
      <c r="I905" s="17">
        <v>3500</v>
      </c>
      <c r="J905" s="17">
        <f t="shared" si="25"/>
        <v>0</v>
      </c>
      <c r="K905" s="17"/>
      <c r="L905" s="16" t="s">
        <v>18</v>
      </c>
      <c r="M905" s="16" t="s">
        <v>22</v>
      </c>
      <c r="N905" s="39" t="s">
        <v>418</v>
      </c>
    </row>
    <row r="906" spans="1:14" s="12" customFormat="1" ht="30">
      <c r="A906" s="178" t="s">
        <v>99</v>
      </c>
      <c r="B906" s="75" t="s">
        <v>1038</v>
      </c>
      <c r="C906" s="39" t="s">
        <v>1037</v>
      </c>
      <c r="D906" s="236"/>
      <c r="E906" s="236"/>
      <c r="F906" s="236"/>
      <c r="G906" s="236"/>
      <c r="H906" s="40">
        <f>SUM(Tabla132112414[[#This Row],[PRIMER TRIMESTRE]:[CUARTO TRIMESTRE]])</f>
        <v>0</v>
      </c>
      <c r="I906" s="17">
        <v>2500</v>
      </c>
      <c r="J906" s="17">
        <f t="shared" si="25"/>
        <v>0</v>
      </c>
      <c r="K906" s="17"/>
      <c r="L906" s="16" t="s">
        <v>18</v>
      </c>
      <c r="M906" s="16" t="s">
        <v>22</v>
      </c>
      <c r="N906" s="39" t="s">
        <v>418</v>
      </c>
    </row>
    <row r="907" spans="1:14" s="12" customFormat="1" ht="30">
      <c r="A907" s="178" t="s">
        <v>99</v>
      </c>
      <c r="B907" s="75" t="s">
        <v>1039</v>
      </c>
      <c r="C907" s="39" t="s">
        <v>1037</v>
      </c>
      <c r="D907" s="236"/>
      <c r="E907" s="236"/>
      <c r="F907" s="236"/>
      <c r="G907" s="236"/>
      <c r="H907" s="40">
        <f>SUM(Tabla132112414[[#This Row],[PRIMER TRIMESTRE]:[CUARTO TRIMESTRE]])</f>
        <v>0</v>
      </c>
      <c r="I907" s="17">
        <v>3000</v>
      </c>
      <c r="J907" s="17">
        <f t="shared" si="25"/>
        <v>0</v>
      </c>
      <c r="K907" s="17"/>
      <c r="L907" s="16" t="s">
        <v>18</v>
      </c>
      <c r="M907" s="16" t="s">
        <v>22</v>
      </c>
      <c r="N907" s="39" t="s">
        <v>418</v>
      </c>
    </row>
    <row r="908" spans="1:14" s="12" customFormat="1" ht="30">
      <c r="A908" s="178" t="s">
        <v>99</v>
      </c>
      <c r="B908" s="75" t="s">
        <v>1040</v>
      </c>
      <c r="C908" s="39" t="s">
        <v>1037</v>
      </c>
      <c r="D908" s="236"/>
      <c r="E908" s="236"/>
      <c r="F908" s="236"/>
      <c r="G908" s="236"/>
      <c r="H908" s="40">
        <f>SUM(Tabla132112414[[#This Row],[PRIMER TRIMESTRE]:[CUARTO TRIMESTRE]])</f>
        <v>0</v>
      </c>
      <c r="I908" s="17">
        <v>3500</v>
      </c>
      <c r="J908" s="17">
        <f t="shared" si="25"/>
        <v>0</v>
      </c>
      <c r="K908" s="17"/>
      <c r="L908" s="16" t="s">
        <v>18</v>
      </c>
      <c r="M908" s="16" t="s">
        <v>22</v>
      </c>
      <c r="N908" s="39" t="s">
        <v>418</v>
      </c>
    </row>
    <row r="909" spans="1:14" s="12" customFormat="1" ht="30">
      <c r="A909" s="178" t="s">
        <v>99</v>
      </c>
      <c r="B909" s="75" t="s">
        <v>1041</v>
      </c>
      <c r="C909" s="39" t="s">
        <v>1037</v>
      </c>
      <c r="D909" s="236"/>
      <c r="E909" s="236"/>
      <c r="F909" s="236"/>
      <c r="G909" s="236"/>
      <c r="H909" s="40">
        <f>SUM(Tabla132112414[[#This Row],[PRIMER TRIMESTRE]:[CUARTO TRIMESTRE]])</f>
        <v>0</v>
      </c>
      <c r="I909" s="17">
        <v>4000</v>
      </c>
      <c r="J909" s="17">
        <f t="shared" si="25"/>
        <v>0</v>
      </c>
      <c r="K909" s="17"/>
      <c r="L909" s="16" t="s">
        <v>18</v>
      </c>
      <c r="M909" s="16" t="s">
        <v>22</v>
      </c>
      <c r="N909" s="39" t="s">
        <v>418</v>
      </c>
    </row>
    <row r="910" spans="1:14" s="12" customFormat="1" ht="30">
      <c r="A910" s="178" t="s">
        <v>99</v>
      </c>
      <c r="B910" s="75" t="s">
        <v>1042</v>
      </c>
      <c r="C910" s="39" t="s">
        <v>1037</v>
      </c>
      <c r="D910" s="236"/>
      <c r="E910" s="236"/>
      <c r="F910" s="236"/>
      <c r="G910" s="236"/>
      <c r="H910" s="40">
        <f>SUM(Tabla132112414[[#This Row],[PRIMER TRIMESTRE]:[CUARTO TRIMESTRE]])</f>
        <v>0</v>
      </c>
      <c r="I910" s="17">
        <v>6000</v>
      </c>
      <c r="J910" s="17">
        <f t="shared" si="25"/>
        <v>0</v>
      </c>
      <c r="K910" s="17"/>
      <c r="L910" s="16" t="s">
        <v>18</v>
      </c>
      <c r="M910" s="16" t="s">
        <v>22</v>
      </c>
      <c r="N910" s="39" t="s">
        <v>418</v>
      </c>
    </row>
    <row r="911" spans="1:14" s="12" customFormat="1" ht="30">
      <c r="A911" s="178" t="s">
        <v>99</v>
      </c>
      <c r="B911" s="75" t="s">
        <v>1043</v>
      </c>
      <c r="C911" s="39" t="s">
        <v>1037</v>
      </c>
      <c r="D911" s="236"/>
      <c r="E911" s="236"/>
      <c r="F911" s="236"/>
      <c r="G911" s="236"/>
      <c r="H911" s="40">
        <f>SUM(Tabla132112414[[#This Row],[PRIMER TRIMESTRE]:[CUARTO TRIMESTRE]])</f>
        <v>0</v>
      </c>
      <c r="I911" s="17">
        <v>3500</v>
      </c>
      <c r="J911" s="17">
        <f t="shared" si="25"/>
        <v>0</v>
      </c>
      <c r="K911" s="17"/>
      <c r="L911" s="16" t="s">
        <v>18</v>
      </c>
      <c r="M911" s="16" t="s">
        <v>22</v>
      </c>
      <c r="N911" s="39" t="s">
        <v>418</v>
      </c>
    </row>
    <row r="912" spans="1:14" s="12" customFormat="1" ht="30">
      <c r="A912" s="178" t="s">
        <v>99</v>
      </c>
      <c r="B912" s="75" t="s">
        <v>1044</v>
      </c>
      <c r="C912" s="39" t="s">
        <v>1037</v>
      </c>
      <c r="D912" s="236"/>
      <c r="E912" s="236"/>
      <c r="F912" s="236"/>
      <c r="G912" s="236"/>
      <c r="H912" s="40">
        <f>SUM(Tabla132112414[[#This Row],[PRIMER TRIMESTRE]:[CUARTO TRIMESTRE]])</f>
        <v>0</v>
      </c>
      <c r="I912" s="17">
        <v>2500</v>
      </c>
      <c r="J912" s="17">
        <f t="shared" si="25"/>
        <v>0</v>
      </c>
      <c r="K912" s="17"/>
      <c r="L912" s="16" t="s">
        <v>18</v>
      </c>
      <c r="M912" s="16" t="s">
        <v>22</v>
      </c>
      <c r="N912" s="39" t="s">
        <v>418</v>
      </c>
    </row>
    <row r="913" spans="1:14" s="12" customFormat="1" ht="30">
      <c r="A913" s="178" t="s">
        <v>99</v>
      </c>
      <c r="B913" s="75" t="s">
        <v>1045</v>
      </c>
      <c r="C913" s="39" t="s">
        <v>1037</v>
      </c>
      <c r="D913" s="236"/>
      <c r="E913" s="236"/>
      <c r="F913" s="236"/>
      <c r="G913" s="236"/>
      <c r="H913" s="40">
        <f>SUM(Tabla132112414[[#This Row],[PRIMER TRIMESTRE]:[CUARTO TRIMESTRE]])</f>
        <v>0</v>
      </c>
      <c r="I913" s="17">
        <v>2000</v>
      </c>
      <c r="J913" s="17">
        <f t="shared" si="25"/>
        <v>0</v>
      </c>
      <c r="K913" s="17"/>
      <c r="L913" s="16" t="s">
        <v>18</v>
      </c>
      <c r="M913" s="16" t="s">
        <v>22</v>
      </c>
      <c r="N913" s="39" t="s">
        <v>418</v>
      </c>
    </row>
    <row r="914" spans="1:14" s="12" customFormat="1" ht="30">
      <c r="A914" s="178" t="s">
        <v>99</v>
      </c>
      <c r="B914" s="75" t="s">
        <v>1046</v>
      </c>
      <c r="C914" s="39" t="s">
        <v>1037</v>
      </c>
      <c r="D914" s="236"/>
      <c r="E914" s="236"/>
      <c r="F914" s="236"/>
      <c r="G914" s="236"/>
      <c r="H914" s="40">
        <f>SUM(Tabla132112414[[#This Row],[PRIMER TRIMESTRE]:[CUARTO TRIMESTRE]])</f>
        <v>0</v>
      </c>
      <c r="I914" s="17">
        <v>3000</v>
      </c>
      <c r="J914" s="17">
        <f t="shared" si="25"/>
        <v>0</v>
      </c>
      <c r="K914" s="17"/>
      <c r="L914" s="16" t="s">
        <v>18</v>
      </c>
      <c r="M914" s="16" t="s">
        <v>22</v>
      </c>
      <c r="N914" s="39" t="s">
        <v>418</v>
      </c>
    </row>
    <row r="915" spans="1:14" s="12" customFormat="1" ht="30">
      <c r="A915" s="178" t="s">
        <v>99</v>
      </c>
      <c r="B915" s="75" t="s">
        <v>1047</v>
      </c>
      <c r="C915" s="39" t="s">
        <v>1037</v>
      </c>
      <c r="D915" s="236"/>
      <c r="E915" s="236"/>
      <c r="F915" s="236"/>
      <c r="G915" s="236"/>
      <c r="H915" s="40">
        <f>SUM(Tabla132112414[[#This Row],[PRIMER TRIMESTRE]:[CUARTO TRIMESTRE]])</f>
        <v>0</v>
      </c>
      <c r="I915" s="17">
        <v>3500</v>
      </c>
      <c r="J915" s="17">
        <f t="shared" si="25"/>
        <v>0</v>
      </c>
      <c r="K915" s="17"/>
      <c r="L915" s="16" t="s">
        <v>18</v>
      </c>
      <c r="M915" s="16" t="s">
        <v>22</v>
      </c>
      <c r="N915" s="39" t="s">
        <v>418</v>
      </c>
    </row>
    <row r="916" spans="1:14" s="12" customFormat="1" ht="38.25">
      <c r="A916" s="178" t="s">
        <v>99</v>
      </c>
      <c r="B916" s="75" t="s">
        <v>1048</v>
      </c>
      <c r="C916" s="39" t="s">
        <v>1063</v>
      </c>
      <c r="D916" s="236"/>
      <c r="E916" s="236"/>
      <c r="F916" s="236"/>
      <c r="G916" s="236"/>
      <c r="H916" s="40">
        <f>SUM(Tabla132112414[[#This Row],[PRIMER TRIMESTRE]:[CUARTO TRIMESTRE]])</f>
        <v>0</v>
      </c>
      <c r="I916" s="17">
        <v>3500</v>
      </c>
      <c r="J916" s="17">
        <f t="shared" si="25"/>
        <v>0</v>
      </c>
      <c r="K916" s="17"/>
      <c r="L916" s="16" t="s">
        <v>18</v>
      </c>
      <c r="M916" s="16" t="s">
        <v>22</v>
      </c>
      <c r="N916" s="39" t="s">
        <v>418</v>
      </c>
    </row>
    <row r="917" spans="1:14" s="12" customFormat="1" ht="30">
      <c r="A917" s="178" t="s">
        <v>99</v>
      </c>
      <c r="B917" s="75" t="s">
        <v>1049</v>
      </c>
      <c r="C917" s="39" t="s">
        <v>1063</v>
      </c>
      <c r="D917" s="236"/>
      <c r="E917" s="236"/>
      <c r="F917" s="236"/>
      <c r="G917" s="236"/>
      <c r="H917" s="40">
        <f>SUM(Tabla132112414[[#This Row],[PRIMER TRIMESTRE]:[CUARTO TRIMESTRE]])</f>
        <v>0</v>
      </c>
      <c r="I917" s="17">
        <v>2500</v>
      </c>
      <c r="J917" s="17">
        <f t="shared" si="25"/>
        <v>0</v>
      </c>
      <c r="K917" s="17"/>
      <c r="L917" s="16" t="s">
        <v>15</v>
      </c>
      <c r="M917" s="16" t="s">
        <v>22</v>
      </c>
      <c r="N917" s="39" t="s">
        <v>418</v>
      </c>
    </row>
    <row r="918" spans="1:14" s="12" customFormat="1" ht="30">
      <c r="A918" s="178" t="s">
        <v>99</v>
      </c>
      <c r="B918" s="75" t="s">
        <v>1050</v>
      </c>
      <c r="C918" s="39" t="s">
        <v>1063</v>
      </c>
      <c r="D918" s="236"/>
      <c r="E918" s="236"/>
      <c r="F918" s="236"/>
      <c r="G918" s="236"/>
      <c r="H918" s="40">
        <f>SUM(Tabla132112414[[#This Row],[PRIMER TRIMESTRE]:[CUARTO TRIMESTRE]])</f>
        <v>0</v>
      </c>
      <c r="I918" s="17">
        <v>2500</v>
      </c>
      <c r="J918" s="17">
        <f t="shared" si="25"/>
        <v>0</v>
      </c>
      <c r="K918" s="17"/>
      <c r="L918" s="16" t="s">
        <v>18</v>
      </c>
      <c r="M918" s="16" t="s">
        <v>22</v>
      </c>
      <c r="N918" s="39" t="s">
        <v>418</v>
      </c>
    </row>
    <row r="919" spans="1:14" s="12" customFormat="1" ht="30">
      <c r="A919" s="178" t="s">
        <v>99</v>
      </c>
      <c r="B919" s="75" t="s">
        <v>1051</v>
      </c>
      <c r="C919" s="39" t="s">
        <v>1037</v>
      </c>
      <c r="D919" s="236"/>
      <c r="E919" s="236"/>
      <c r="F919" s="236"/>
      <c r="G919" s="236"/>
      <c r="H919" s="40">
        <f>SUM(Tabla132112414[[#This Row],[PRIMER TRIMESTRE]:[CUARTO TRIMESTRE]])</f>
        <v>0</v>
      </c>
      <c r="I919" s="17">
        <v>3000</v>
      </c>
      <c r="J919" s="17">
        <f t="shared" si="25"/>
        <v>0</v>
      </c>
      <c r="K919" s="17"/>
      <c r="L919" s="16" t="s">
        <v>18</v>
      </c>
      <c r="M919" s="16" t="s">
        <v>22</v>
      </c>
      <c r="N919" s="39" t="s">
        <v>418</v>
      </c>
    </row>
    <row r="920" spans="1:14" s="12" customFormat="1" ht="30">
      <c r="A920" s="178" t="s">
        <v>99</v>
      </c>
      <c r="B920" s="75" t="s">
        <v>1052</v>
      </c>
      <c r="C920" s="39" t="s">
        <v>1064</v>
      </c>
      <c r="D920" s="236"/>
      <c r="E920" s="236"/>
      <c r="F920" s="236"/>
      <c r="G920" s="236"/>
      <c r="H920" s="40">
        <f>SUM(Tabla132112414[[#This Row],[PRIMER TRIMESTRE]:[CUARTO TRIMESTRE]])</f>
        <v>0</v>
      </c>
      <c r="I920" s="17">
        <v>2500</v>
      </c>
      <c r="J920" s="17">
        <f t="shared" si="25"/>
        <v>0</v>
      </c>
      <c r="K920" s="17"/>
      <c r="L920" s="16" t="s">
        <v>18</v>
      </c>
      <c r="M920" s="16" t="s">
        <v>22</v>
      </c>
      <c r="N920" s="39" t="s">
        <v>418</v>
      </c>
    </row>
    <row r="921" spans="1:14" s="12" customFormat="1" ht="30">
      <c r="A921" s="178" t="s">
        <v>99</v>
      </c>
      <c r="B921" s="75" t="s">
        <v>1053</v>
      </c>
      <c r="C921" s="39" t="s">
        <v>1064</v>
      </c>
      <c r="D921" s="236"/>
      <c r="E921" s="236"/>
      <c r="F921" s="236"/>
      <c r="G921" s="236"/>
      <c r="H921" s="40">
        <f>SUM(Tabla132112414[[#This Row],[PRIMER TRIMESTRE]:[CUARTO TRIMESTRE]])</f>
        <v>0</v>
      </c>
      <c r="I921" s="17">
        <v>2500</v>
      </c>
      <c r="J921" s="17">
        <f t="shared" si="25"/>
        <v>0</v>
      </c>
      <c r="K921" s="17"/>
      <c r="L921" s="16" t="s">
        <v>18</v>
      </c>
      <c r="M921" s="16" t="s">
        <v>22</v>
      </c>
      <c r="N921" s="39" t="s">
        <v>418</v>
      </c>
    </row>
    <row r="922" spans="1:14" s="12" customFormat="1" ht="30">
      <c r="A922" s="178" t="s">
        <v>99</v>
      </c>
      <c r="B922" s="75" t="s">
        <v>1054</v>
      </c>
      <c r="C922" s="39" t="s">
        <v>1064</v>
      </c>
      <c r="D922" s="236"/>
      <c r="E922" s="236"/>
      <c r="F922" s="236"/>
      <c r="G922" s="236"/>
      <c r="H922" s="40">
        <f>SUM(Tabla132112414[[#This Row],[PRIMER TRIMESTRE]:[CUARTO TRIMESTRE]])</f>
        <v>0</v>
      </c>
      <c r="I922" s="17">
        <v>2000</v>
      </c>
      <c r="J922" s="17">
        <f t="shared" si="25"/>
        <v>0</v>
      </c>
      <c r="K922" s="17"/>
      <c r="L922" s="16" t="s">
        <v>18</v>
      </c>
      <c r="M922" s="16" t="s">
        <v>22</v>
      </c>
      <c r="N922" s="39" t="s">
        <v>418</v>
      </c>
    </row>
    <row r="923" spans="1:14" s="12" customFormat="1" ht="30">
      <c r="A923" s="178" t="s">
        <v>99</v>
      </c>
      <c r="B923" s="75" t="s">
        <v>1055</v>
      </c>
      <c r="C923" s="39" t="s">
        <v>1065</v>
      </c>
      <c r="D923" s="236"/>
      <c r="E923" s="236"/>
      <c r="F923" s="236"/>
      <c r="G923" s="236"/>
      <c r="H923" s="40">
        <f>SUM(Tabla132112414[[#This Row],[PRIMER TRIMESTRE]:[CUARTO TRIMESTRE]])</f>
        <v>0</v>
      </c>
      <c r="I923" s="17">
        <v>2000</v>
      </c>
      <c r="J923" s="17">
        <f t="shared" si="25"/>
        <v>0</v>
      </c>
      <c r="K923" s="17"/>
      <c r="L923" s="16" t="s">
        <v>18</v>
      </c>
      <c r="M923" s="16" t="s">
        <v>22</v>
      </c>
      <c r="N923" s="39" t="s">
        <v>418</v>
      </c>
    </row>
    <row r="924" spans="1:14" s="12" customFormat="1" ht="30">
      <c r="A924" s="178" t="s">
        <v>99</v>
      </c>
      <c r="B924" s="75" t="s">
        <v>1056</v>
      </c>
      <c r="C924" s="39" t="s">
        <v>1065</v>
      </c>
      <c r="D924" s="236"/>
      <c r="E924" s="236"/>
      <c r="F924" s="236"/>
      <c r="G924" s="236"/>
      <c r="H924" s="40">
        <f>SUM(Tabla132112414[[#This Row],[PRIMER TRIMESTRE]:[CUARTO TRIMESTRE]])</f>
        <v>0</v>
      </c>
      <c r="I924" s="17">
        <v>2100</v>
      </c>
      <c r="J924" s="17">
        <f t="shared" si="25"/>
        <v>0</v>
      </c>
      <c r="K924" s="17"/>
      <c r="L924" s="16" t="s">
        <v>18</v>
      </c>
      <c r="M924" s="16" t="s">
        <v>22</v>
      </c>
      <c r="N924" s="39" t="s">
        <v>418</v>
      </c>
    </row>
    <row r="925" spans="1:14" s="12" customFormat="1" ht="30">
      <c r="A925" s="178" t="s">
        <v>99</v>
      </c>
      <c r="B925" s="75" t="s">
        <v>1057</v>
      </c>
      <c r="C925" s="39" t="s">
        <v>1065</v>
      </c>
      <c r="D925" s="236"/>
      <c r="E925" s="236"/>
      <c r="F925" s="236"/>
      <c r="G925" s="236"/>
      <c r="H925" s="40">
        <f>SUM(Tabla132112414[[#This Row],[PRIMER TRIMESTRE]:[CUARTO TRIMESTRE]])</f>
        <v>0</v>
      </c>
      <c r="I925" s="17">
        <v>2500</v>
      </c>
      <c r="J925" s="17">
        <f t="shared" si="25"/>
        <v>0</v>
      </c>
      <c r="K925" s="17"/>
      <c r="L925" s="16" t="s">
        <v>18</v>
      </c>
      <c r="M925" s="16" t="s">
        <v>22</v>
      </c>
      <c r="N925" s="39" t="s">
        <v>418</v>
      </c>
    </row>
    <row r="926" spans="1:14" s="12" customFormat="1" ht="30">
      <c r="A926" s="178" t="s">
        <v>99</v>
      </c>
      <c r="B926" s="75" t="s">
        <v>1058</v>
      </c>
      <c r="C926" s="39" t="s">
        <v>1065</v>
      </c>
      <c r="D926" s="236"/>
      <c r="E926" s="236"/>
      <c r="F926" s="236"/>
      <c r="G926" s="236"/>
      <c r="H926" s="40">
        <f>SUM(Tabla132112414[[#This Row],[PRIMER TRIMESTRE]:[CUARTO TRIMESTRE]])</f>
        <v>0</v>
      </c>
      <c r="I926" s="17">
        <v>2500</v>
      </c>
      <c r="J926" s="17">
        <f t="shared" si="25"/>
        <v>0</v>
      </c>
      <c r="K926" s="17"/>
      <c r="L926" s="16" t="s">
        <v>18</v>
      </c>
      <c r="M926" s="16" t="s">
        <v>22</v>
      </c>
      <c r="N926" s="39" t="s">
        <v>418</v>
      </c>
    </row>
    <row r="927" spans="1:14" s="12" customFormat="1" ht="30">
      <c r="A927" s="178" t="s">
        <v>99</v>
      </c>
      <c r="B927" s="75" t="s">
        <v>1059</v>
      </c>
      <c r="C927" s="39" t="s">
        <v>1065</v>
      </c>
      <c r="D927" s="236"/>
      <c r="E927" s="236"/>
      <c r="F927" s="236"/>
      <c r="G927" s="236"/>
      <c r="H927" s="40">
        <f>SUM(Tabla132112414[[#This Row],[PRIMER TRIMESTRE]:[CUARTO TRIMESTRE]])</f>
        <v>0</v>
      </c>
      <c r="I927" s="17">
        <v>2500</v>
      </c>
      <c r="J927" s="17">
        <f t="shared" si="25"/>
        <v>0</v>
      </c>
      <c r="K927" s="17"/>
      <c r="L927" s="16" t="s">
        <v>18</v>
      </c>
      <c r="M927" s="16" t="s">
        <v>22</v>
      </c>
      <c r="N927" s="39" t="s">
        <v>418</v>
      </c>
    </row>
    <row r="928" spans="1:14" s="12" customFormat="1" ht="30">
      <c r="A928" s="178" t="s">
        <v>99</v>
      </c>
      <c r="B928" s="75" t="s">
        <v>1060</v>
      </c>
      <c r="C928" s="39" t="s">
        <v>1065</v>
      </c>
      <c r="D928" s="236"/>
      <c r="E928" s="236"/>
      <c r="F928" s="236"/>
      <c r="G928" s="236"/>
      <c r="H928" s="40">
        <f>SUM(Tabla132112414[[#This Row],[PRIMER TRIMESTRE]:[CUARTO TRIMESTRE]])</f>
        <v>0</v>
      </c>
      <c r="I928" s="17">
        <v>4000</v>
      </c>
      <c r="J928" s="17">
        <f t="shared" si="25"/>
        <v>0</v>
      </c>
      <c r="K928" s="17"/>
      <c r="L928" s="16" t="s">
        <v>18</v>
      </c>
      <c r="M928" s="16" t="s">
        <v>22</v>
      </c>
      <c r="N928" s="39" t="s">
        <v>418</v>
      </c>
    </row>
    <row r="929" spans="1:14" s="12" customFormat="1" ht="30">
      <c r="A929" s="178" t="s">
        <v>99</v>
      </c>
      <c r="B929" s="75" t="s">
        <v>1061</v>
      </c>
      <c r="C929" s="39" t="s">
        <v>1064</v>
      </c>
      <c r="D929" s="236"/>
      <c r="E929" s="236"/>
      <c r="F929" s="236"/>
      <c r="G929" s="236"/>
      <c r="H929" s="40">
        <f>SUM(Tabla132112414[[#This Row],[PRIMER TRIMESTRE]:[CUARTO TRIMESTRE]])</f>
        <v>0</v>
      </c>
      <c r="I929" s="17">
        <v>3000</v>
      </c>
      <c r="J929" s="17">
        <f t="shared" si="25"/>
        <v>0</v>
      </c>
      <c r="K929" s="17"/>
      <c r="L929" s="16" t="s">
        <v>18</v>
      </c>
      <c r="M929" s="16" t="s">
        <v>22</v>
      </c>
      <c r="N929" s="39" t="s">
        <v>418</v>
      </c>
    </row>
    <row r="930" spans="1:14" s="12" customFormat="1" ht="30">
      <c r="A930" s="178" t="s">
        <v>99</v>
      </c>
      <c r="B930" s="75" t="s">
        <v>1062</v>
      </c>
      <c r="C930" s="39" t="s">
        <v>290</v>
      </c>
      <c r="D930" s="236"/>
      <c r="E930" s="236"/>
      <c r="F930" s="236"/>
      <c r="G930" s="236"/>
      <c r="H930" s="40">
        <f>SUM(Tabla132112414[[#This Row],[PRIMER TRIMESTRE]:[CUARTO TRIMESTRE]])</f>
        <v>0</v>
      </c>
      <c r="I930" s="17">
        <v>1200</v>
      </c>
      <c r="J930" s="17">
        <f t="shared" si="25"/>
        <v>0</v>
      </c>
      <c r="K930" s="17"/>
      <c r="L930" s="16" t="s">
        <v>18</v>
      </c>
      <c r="M930" s="16" t="s">
        <v>22</v>
      </c>
      <c r="N930" s="39" t="s">
        <v>418</v>
      </c>
    </row>
    <row r="931" spans="1:14" s="12" customFormat="1" ht="30">
      <c r="A931" s="178" t="s">
        <v>99</v>
      </c>
      <c r="B931" s="75" t="s">
        <v>1066</v>
      </c>
      <c r="C931" s="39" t="s">
        <v>1067</v>
      </c>
      <c r="D931" s="236"/>
      <c r="E931" s="236"/>
      <c r="F931" s="236"/>
      <c r="G931" s="236"/>
      <c r="H931" s="40">
        <f>SUM(Tabla132112414[[#This Row],[PRIMER TRIMESTRE]:[CUARTO TRIMESTRE]])</f>
        <v>0</v>
      </c>
      <c r="I931" s="17">
        <v>10000</v>
      </c>
      <c r="J931" s="17">
        <f t="shared" si="25"/>
        <v>0</v>
      </c>
      <c r="K931" s="17"/>
      <c r="L931" s="16" t="s">
        <v>18</v>
      </c>
      <c r="M931" s="16" t="s">
        <v>22</v>
      </c>
      <c r="N931" s="39" t="s">
        <v>418</v>
      </c>
    </row>
    <row r="932" spans="1:14" s="12" customFormat="1" ht="30">
      <c r="A932" s="178" t="s">
        <v>99</v>
      </c>
      <c r="B932" s="75" t="s">
        <v>1068</v>
      </c>
      <c r="C932" s="39" t="s">
        <v>1067</v>
      </c>
      <c r="D932" s="236"/>
      <c r="E932" s="236"/>
      <c r="F932" s="236"/>
      <c r="G932" s="236"/>
      <c r="H932" s="40">
        <f>SUM(Tabla132112414[[#This Row],[PRIMER TRIMESTRE]:[CUARTO TRIMESTRE]])</f>
        <v>0</v>
      </c>
      <c r="I932" s="17">
        <v>10000</v>
      </c>
      <c r="J932" s="17">
        <f t="shared" si="25"/>
        <v>0</v>
      </c>
      <c r="K932" s="17"/>
      <c r="L932" s="16" t="s">
        <v>18</v>
      </c>
      <c r="M932" s="16" t="s">
        <v>22</v>
      </c>
      <c r="N932" s="39" t="s">
        <v>418</v>
      </c>
    </row>
    <row r="933" spans="1:14" s="12" customFormat="1" ht="30">
      <c r="A933" s="178" t="s">
        <v>99</v>
      </c>
      <c r="B933" s="75" t="s">
        <v>1069</v>
      </c>
      <c r="C933" s="39" t="s">
        <v>718</v>
      </c>
      <c r="D933" s="236"/>
      <c r="E933" s="236"/>
      <c r="F933" s="236"/>
      <c r="G933" s="236"/>
      <c r="H933" s="40">
        <f>SUM(Tabla132112414[[#This Row],[PRIMER TRIMESTRE]:[CUARTO TRIMESTRE]])</f>
        <v>0</v>
      </c>
      <c r="I933" s="17">
        <v>10000</v>
      </c>
      <c r="J933" s="17">
        <f t="shared" si="25"/>
        <v>0</v>
      </c>
      <c r="K933" s="17"/>
      <c r="L933" s="16" t="s">
        <v>18</v>
      </c>
      <c r="M933" s="16" t="s">
        <v>22</v>
      </c>
      <c r="N933" s="39" t="s">
        <v>418</v>
      </c>
    </row>
    <row r="934" spans="1:14" s="12" customFormat="1" ht="38.25">
      <c r="A934" s="178" t="s">
        <v>99</v>
      </c>
      <c r="B934" s="75" t="s">
        <v>1070</v>
      </c>
      <c r="C934" s="39" t="s">
        <v>208</v>
      </c>
      <c r="D934" s="236"/>
      <c r="E934" s="236"/>
      <c r="F934" s="236"/>
      <c r="G934" s="236"/>
      <c r="H934" s="40">
        <f>SUM(Tabla132112414[[#This Row],[PRIMER TRIMESTRE]:[CUARTO TRIMESTRE]])</f>
        <v>0</v>
      </c>
      <c r="I934" s="17">
        <v>10000</v>
      </c>
      <c r="J934" s="17">
        <f t="shared" si="25"/>
        <v>0</v>
      </c>
      <c r="K934" s="17"/>
      <c r="L934" s="16" t="s">
        <v>18</v>
      </c>
      <c r="M934" s="16" t="s">
        <v>22</v>
      </c>
      <c r="N934" s="39" t="s">
        <v>418</v>
      </c>
    </row>
    <row r="935" spans="1:14" s="12" customFormat="1" ht="30">
      <c r="A935" s="178" t="s">
        <v>99</v>
      </c>
      <c r="B935" s="75" t="s">
        <v>1071</v>
      </c>
      <c r="C935" s="39" t="s">
        <v>1065</v>
      </c>
      <c r="D935" s="236"/>
      <c r="E935" s="236"/>
      <c r="F935" s="236"/>
      <c r="G935" s="236"/>
      <c r="H935" s="40">
        <f>SUM(Tabla132112414[[#This Row],[PRIMER TRIMESTRE]:[CUARTO TRIMESTRE]])</f>
        <v>0</v>
      </c>
      <c r="I935" s="17">
        <v>800</v>
      </c>
      <c r="J935" s="17">
        <f t="shared" si="25"/>
        <v>0</v>
      </c>
      <c r="K935" s="17"/>
      <c r="L935" s="16" t="s">
        <v>18</v>
      </c>
      <c r="M935" s="16" t="s">
        <v>22</v>
      </c>
      <c r="N935" s="39" t="s">
        <v>418</v>
      </c>
    </row>
    <row r="936" spans="1:14" s="12" customFormat="1" ht="30">
      <c r="A936" s="178" t="s">
        <v>99</v>
      </c>
      <c r="B936" s="75" t="s">
        <v>1072</v>
      </c>
      <c r="C936" s="39" t="s">
        <v>1073</v>
      </c>
      <c r="D936" s="236"/>
      <c r="E936" s="236"/>
      <c r="F936" s="236"/>
      <c r="G936" s="236"/>
      <c r="H936" s="40">
        <f>SUM(Tabla132112414[[#This Row],[PRIMER TRIMESTRE]:[CUARTO TRIMESTRE]])</f>
        <v>0</v>
      </c>
      <c r="I936" s="17">
        <v>7500</v>
      </c>
      <c r="J936" s="17">
        <f t="shared" si="25"/>
        <v>0</v>
      </c>
      <c r="K936" s="17"/>
      <c r="L936" s="16" t="s">
        <v>18</v>
      </c>
      <c r="M936" s="16" t="s">
        <v>22</v>
      </c>
      <c r="N936" s="39" t="s">
        <v>418</v>
      </c>
    </row>
    <row r="937" spans="1:14" s="12" customFormat="1" ht="30">
      <c r="A937" s="178" t="s">
        <v>99</v>
      </c>
      <c r="B937" s="75" t="s">
        <v>1074</v>
      </c>
      <c r="C937" s="39" t="s">
        <v>1067</v>
      </c>
      <c r="D937" s="236"/>
      <c r="E937" s="236"/>
      <c r="F937" s="236"/>
      <c r="G937" s="236"/>
      <c r="H937" s="40">
        <f>SUM(Tabla132112414[[#This Row],[PRIMER TRIMESTRE]:[CUARTO TRIMESTRE]])</f>
        <v>0</v>
      </c>
      <c r="I937" s="17">
        <v>1000</v>
      </c>
      <c r="J937" s="17">
        <f t="shared" si="25"/>
        <v>0</v>
      </c>
      <c r="K937" s="17"/>
      <c r="L937" s="16" t="s">
        <v>18</v>
      </c>
      <c r="M937" s="16" t="s">
        <v>22</v>
      </c>
      <c r="N937" s="39" t="s">
        <v>418</v>
      </c>
    </row>
    <row r="938" spans="1:14" s="12" customFormat="1" ht="30">
      <c r="A938" s="178" t="s">
        <v>99</v>
      </c>
      <c r="B938" s="75" t="s">
        <v>1075</v>
      </c>
      <c r="C938" s="39" t="s">
        <v>1067</v>
      </c>
      <c r="D938" s="236"/>
      <c r="E938" s="236"/>
      <c r="F938" s="236"/>
      <c r="G938" s="236"/>
      <c r="H938" s="40">
        <f>SUM(Tabla132112414[[#This Row],[PRIMER TRIMESTRE]:[CUARTO TRIMESTRE]])</f>
        <v>0</v>
      </c>
      <c r="I938" s="17">
        <v>2500</v>
      </c>
      <c r="J938" s="17">
        <f t="shared" si="25"/>
        <v>0</v>
      </c>
      <c r="K938" s="17"/>
      <c r="L938" s="16" t="s">
        <v>18</v>
      </c>
      <c r="M938" s="16" t="s">
        <v>22</v>
      </c>
      <c r="N938" s="39" t="s">
        <v>418</v>
      </c>
    </row>
    <row r="939" spans="1:14" s="12" customFormat="1" ht="30">
      <c r="A939" s="178" t="s">
        <v>99</v>
      </c>
      <c r="B939" s="75" t="s">
        <v>1076</v>
      </c>
      <c r="C939" s="39" t="s">
        <v>1067</v>
      </c>
      <c r="D939" s="236"/>
      <c r="E939" s="236"/>
      <c r="F939" s="236"/>
      <c r="G939" s="236"/>
      <c r="H939" s="40">
        <f>SUM(Tabla132112414[[#This Row],[PRIMER TRIMESTRE]:[CUARTO TRIMESTRE]])</f>
        <v>0</v>
      </c>
      <c r="I939" s="17">
        <v>10000</v>
      </c>
      <c r="J939" s="17">
        <f t="shared" si="25"/>
        <v>0</v>
      </c>
      <c r="K939" s="17"/>
      <c r="L939" s="16" t="s">
        <v>18</v>
      </c>
      <c r="M939" s="16" t="s">
        <v>22</v>
      </c>
      <c r="N939" s="39" t="s">
        <v>418</v>
      </c>
    </row>
    <row r="940" spans="1:14" s="12" customFormat="1" ht="30">
      <c r="A940" s="178" t="s">
        <v>99</v>
      </c>
      <c r="B940" s="75" t="s">
        <v>1077</v>
      </c>
      <c r="C940" s="39" t="s">
        <v>718</v>
      </c>
      <c r="D940" s="236"/>
      <c r="E940" s="236"/>
      <c r="F940" s="236"/>
      <c r="G940" s="236"/>
      <c r="H940" s="40">
        <f>SUM(Tabla132112414[[#This Row],[PRIMER TRIMESTRE]:[CUARTO TRIMESTRE]])</f>
        <v>0</v>
      </c>
      <c r="I940" s="17">
        <v>10000</v>
      </c>
      <c r="J940" s="17">
        <f t="shared" si="25"/>
        <v>0</v>
      </c>
      <c r="K940" s="17"/>
      <c r="L940" s="16" t="s">
        <v>18</v>
      </c>
      <c r="M940" s="16" t="s">
        <v>22</v>
      </c>
      <c r="N940" s="39" t="s">
        <v>418</v>
      </c>
    </row>
    <row r="941" spans="1:14" s="12" customFormat="1" ht="38.25">
      <c r="A941" s="178" t="s">
        <v>99</v>
      </c>
      <c r="B941" s="75" t="s">
        <v>1078</v>
      </c>
      <c r="C941" s="39" t="s">
        <v>1067</v>
      </c>
      <c r="D941" s="236"/>
      <c r="E941" s="236"/>
      <c r="F941" s="236"/>
      <c r="G941" s="236"/>
      <c r="H941" s="40">
        <f>SUM(Tabla132112414[[#This Row],[PRIMER TRIMESTRE]:[CUARTO TRIMESTRE]])</f>
        <v>0</v>
      </c>
      <c r="I941" s="17">
        <v>1000</v>
      </c>
      <c r="J941" s="17">
        <f t="shared" si="25"/>
        <v>0</v>
      </c>
      <c r="K941" s="17"/>
      <c r="L941" s="16" t="s">
        <v>18</v>
      </c>
      <c r="M941" s="16" t="s">
        <v>22</v>
      </c>
      <c r="N941" s="39" t="s">
        <v>418</v>
      </c>
    </row>
    <row r="942" spans="1:14" s="12" customFormat="1" ht="30">
      <c r="A942" s="178" t="s">
        <v>99</v>
      </c>
      <c r="B942" s="75" t="s">
        <v>1079</v>
      </c>
      <c r="C942" s="39" t="s">
        <v>208</v>
      </c>
      <c r="D942" s="236"/>
      <c r="E942" s="236"/>
      <c r="F942" s="236"/>
      <c r="G942" s="236"/>
      <c r="H942" s="40">
        <f>SUM(Tabla132112414[[#This Row],[PRIMER TRIMESTRE]:[CUARTO TRIMESTRE]])</f>
        <v>0</v>
      </c>
      <c r="I942" s="17">
        <v>250</v>
      </c>
      <c r="J942" s="17">
        <f t="shared" si="25"/>
        <v>0</v>
      </c>
      <c r="K942" s="17"/>
      <c r="L942" s="16" t="s">
        <v>18</v>
      </c>
      <c r="M942" s="16" t="s">
        <v>22</v>
      </c>
      <c r="N942" s="39" t="s">
        <v>418</v>
      </c>
    </row>
    <row r="943" spans="1:14" s="12" customFormat="1" ht="38.25">
      <c r="A943" s="178" t="s">
        <v>99</v>
      </c>
      <c r="B943" s="75" t="s">
        <v>1080</v>
      </c>
      <c r="C943" s="39" t="s">
        <v>1067</v>
      </c>
      <c r="D943" s="236"/>
      <c r="E943" s="236"/>
      <c r="F943" s="236"/>
      <c r="G943" s="236"/>
      <c r="H943" s="40">
        <f>SUM(Tabla132112414[[#This Row],[PRIMER TRIMESTRE]:[CUARTO TRIMESTRE]])</f>
        <v>0</v>
      </c>
      <c r="I943" s="17">
        <v>1000</v>
      </c>
      <c r="J943" s="17">
        <f t="shared" si="25"/>
        <v>0</v>
      </c>
      <c r="K943" s="17"/>
      <c r="L943" s="16" t="s">
        <v>18</v>
      </c>
      <c r="M943" s="16" t="s">
        <v>22</v>
      </c>
      <c r="N943" s="39" t="s">
        <v>418</v>
      </c>
    </row>
    <row r="944" spans="1:14" s="12" customFormat="1" ht="38.25">
      <c r="A944" s="178" t="s">
        <v>99</v>
      </c>
      <c r="B944" s="75" t="s">
        <v>1081</v>
      </c>
      <c r="C944" s="39" t="s">
        <v>1067</v>
      </c>
      <c r="D944" s="236"/>
      <c r="E944" s="236"/>
      <c r="F944" s="236"/>
      <c r="G944" s="236"/>
      <c r="H944" s="40">
        <f>SUM(Tabla132112414[[#This Row],[PRIMER TRIMESTRE]:[CUARTO TRIMESTRE]])</f>
        <v>0</v>
      </c>
      <c r="I944" s="17">
        <v>1000</v>
      </c>
      <c r="J944" s="17">
        <f t="shared" si="25"/>
        <v>0</v>
      </c>
      <c r="K944" s="17"/>
      <c r="L944" s="16" t="s">
        <v>18</v>
      </c>
      <c r="M944" s="16" t="s">
        <v>22</v>
      </c>
      <c r="N944" s="39" t="s">
        <v>418</v>
      </c>
    </row>
    <row r="945" spans="1:14" s="12" customFormat="1" ht="38.25">
      <c r="A945" s="178" t="s">
        <v>99</v>
      </c>
      <c r="B945" s="75" t="s">
        <v>1082</v>
      </c>
      <c r="C945" s="39" t="s">
        <v>1067</v>
      </c>
      <c r="D945" s="236"/>
      <c r="E945" s="236"/>
      <c r="F945" s="236"/>
      <c r="G945" s="236"/>
      <c r="H945" s="40">
        <f>SUM(Tabla132112414[[#This Row],[PRIMER TRIMESTRE]:[CUARTO TRIMESTRE]])</f>
        <v>0</v>
      </c>
      <c r="I945" s="17">
        <v>1000</v>
      </c>
      <c r="J945" s="17">
        <f t="shared" si="25"/>
        <v>0</v>
      </c>
      <c r="K945" s="17"/>
      <c r="L945" s="16" t="s">
        <v>18</v>
      </c>
      <c r="M945" s="16" t="s">
        <v>22</v>
      </c>
      <c r="N945" s="39" t="s">
        <v>418</v>
      </c>
    </row>
    <row r="946" spans="1:14" s="12" customFormat="1" ht="30">
      <c r="A946" s="178" t="s">
        <v>99</v>
      </c>
      <c r="B946" s="75" t="s">
        <v>1083</v>
      </c>
      <c r="C946" s="39" t="s">
        <v>1067</v>
      </c>
      <c r="D946" s="236"/>
      <c r="E946" s="236"/>
      <c r="F946" s="236"/>
      <c r="G946" s="236"/>
      <c r="H946" s="40">
        <f>SUM(Tabla132112414[[#This Row],[PRIMER TRIMESTRE]:[CUARTO TRIMESTRE]])</f>
        <v>0</v>
      </c>
      <c r="I946" s="17">
        <v>300</v>
      </c>
      <c r="J946" s="17">
        <f t="shared" si="25"/>
        <v>0</v>
      </c>
      <c r="K946" s="17"/>
      <c r="L946" s="16" t="s">
        <v>18</v>
      </c>
      <c r="M946" s="16" t="s">
        <v>22</v>
      </c>
      <c r="N946" s="39" t="s">
        <v>418</v>
      </c>
    </row>
    <row r="947" spans="1:14" s="12" customFormat="1" ht="30">
      <c r="A947" s="178" t="s">
        <v>99</v>
      </c>
      <c r="B947" s="75" t="s">
        <v>1084</v>
      </c>
      <c r="C947" s="39" t="s">
        <v>1067</v>
      </c>
      <c r="D947" s="236"/>
      <c r="E947" s="236"/>
      <c r="F947" s="236"/>
      <c r="G947" s="236"/>
      <c r="H947" s="40">
        <f>SUM(Tabla132112414[[#This Row],[PRIMER TRIMESTRE]:[CUARTO TRIMESTRE]])</f>
        <v>0</v>
      </c>
      <c r="I947" s="17">
        <v>1500</v>
      </c>
      <c r="J947" s="17">
        <f t="shared" si="25"/>
        <v>0</v>
      </c>
      <c r="K947" s="17"/>
      <c r="L947" s="16" t="s">
        <v>18</v>
      </c>
      <c r="M947" s="16" t="s">
        <v>22</v>
      </c>
      <c r="N947" s="39" t="s">
        <v>418</v>
      </c>
    </row>
    <row r="948" spans="1:14" s="12" customFormat="1" ht="30">
      <c r="A948" s="178" t="s">
        <v>99</v>
      </c>
      <c r="B948" s="75" t="s">
        <v>1085</v>
      </c>
      <c r="C948" s="39" t="s">
        <v>1067</v>
      </c>
      <c r="D948" s="236"/>
      <c r="E948" s="236"/>
      <c r="F948" s="236"/>
      <c r="G948" s="236"/>
      <c r="H948" s="40">
        <f>SUM(Tabla132112414[[#This Row],[PRIMER TRIMESTRE]:[CUARTO TRIMESTRE]])</f>
        <v>0</v>
      </c>
      <c r="I948" s="17">
        <v>700</v>
      </c>
      <c r="J948" s="17">
        <f t="shared" si="25"/>
        <v>0</v>
      </c>
      <c r="K948" s="17"/>
      <c r="L948" s="16" t="s">
        <v>18</v>
      </c>
      <c r="M948" s="16" t="s">
        <v>22</v>
      </c>
      <c r="N948" s="39" t="s">
        <v>418</v>
      </c>
    </row>
    <row r="949" spans="1:14" s="12" customFormat="1" ht="30">
      <c r="A949" s="178" t="s">
        <v>99</v>
      </c>
      <c r="B949" s="75" t="s">
        <v>1086</v>
      </c>
      <c r="C949" s="39" t="s">
        <v>1067</v>
      </c>
      <c r="D949" s="236"/>
      <c r="E949" s="236"/>
      <c r="F949" s="236"/>
      <c r="G949" s="236"/>
      <c r="H949" s="40">
        <f>SUM(Tabla132112414[[#This Row],[PRIMER TRIMESTRE]:[CUARTO TRIMESTRE]])</f>
        <v>0</v>
      </c>
      <c r="I949" s="17">
        <v>1500</v>
      </c>
      <c r="J949" s="17">
        <f t="shared" si="25"/>
        <v>0</v>
      </c>
      <c r="K949" s="17"/>
      <c r="L949" s="16" t="s">
        <v>18</v>
      </c>
      <c r="M949" s="16" t="s">
        <v>22</v>
      </c>
      <c r="N949" s="39" t="s">
        <v>418</v>
      </c>
    </row>
    <row r="950" spans="1:14" s="12" customFormat="1" ht="30">
      <c r="A950" s="178" t="s">
        <v>99</v>
      </c>
      <c r="B950" s="75" t="s">
        <v>1087</v>
      </c>
      <c r="C950" s="39" t="s">
        <v>208</v>
      </c>
      <c r="D950" s="236"/>
      <c r="E950" s="236"/>
      <c r="F950" s="236"/>
      <c r="G950" s="236"/>
      <c r="H950" s="40">
        <f>SUM(Tabla132112414[[#This Row],[PRIMER TRIMESTRE]:[CUARTO TRIMESTRE]])</f>
        <v>0</v>
      </c>
      <c r="I950" s="17">
        <v>500</v>
      </c>
      <c r="J950" s="17">
        <f t="shared" si="25"/>
        <v>0</v>
      </c>
      <c r="K950" s="17"/>
      <c r="L950" s="16" t="s">
        <v>18</v>
      </c>
      <c r="M950" s="16" t="s">
        <v>22</v>
      </c>
      <c r="N950" s="39" t="s">
        <v>418</v>
      </c>
    </row>
    <row r="951" spans="1:14" s="12" customFormat="1" ht="51">
      <c r="A951" s="178" t="s">
        <v>99</v>
      </c>
      <c r="B951" s="75" t="s">
        <v>1088</v>
      </c>
      <c r="C951" s="39" t="s">
        <v>1067</v>
      </c>
      <c r="D951" s="236"/>
      <c r="E951" s="236"/>
      <c r="F951" s="236"/>
      <c r="G951" s="236"/>
      <c r="H951" s="40">
        <f>SUM(Tabla132112414[[#This Row],[PRIMER TRIMESTRE]:[CUARTO TRIMESTRE]])</f>
        <v>0</v>
      </c>
      <c r="I951" s="17">
        <v>15000</v>
      </c>
      <c r="J951" s="17">
        <f t="shared" si="25"/>
        <v>0</v>
      </c>
      <c r="K951" s="17"/>
      <c r="L951" s="16" t="s">
        <v>18</v>
      </c>
      <c r="M951" s="16" t="s">
        <v>22</v>
      </c>
      <c r="N951" s="39" t="s">
        <v>418</v>
      </c>
    </row>
    <row r="952" spans="1:14" s="12" customFormat="1" ht="30">
      <c r="A952" s="178" t="s">
        <v>99</v>
      </c>
      <c r="B952" s="75" t="s">
        <v>1089</v>
      </c>
      <c r="C952" s="39" t="s">
        <v>1090</v>
      </c>
      <c r="D952" s="236"/>
      <c r="E952" s="236"/>
      <c r="F952" s="236"/>
      <c r="G952" s="236"/>
      <c r="H952" s="40">
        <f>SUM(Tabla132112414[[#This Row],[PRIMER TRIMESTRE]:[CUARTO TRIMESTRE]])</f>
        <v>0</v>
      </c>
      <c r="I952" s="17">
        <v>50</v>
      </c>
      <c r="J952" s="17">
        <f t="shared" si="25"/>
        <v>0</v>
      </c>
      <c r="K952" s="17"/>
      <c r="L952" s="16" t="s">
        <v>18</v>
      </c>
      <c r="M952" s="16" t="s">
        <v>22</v>
      </c>
      <c r="N952" s="39" t="s">
        <v>418</v>
      </c>
    </row>
    <row r="953" spans="1:14" s="12" customFormat="1" ht="30">
      <c r="A953" s="178" t="s">
        <v>99</v>
      </c>
      <c r="B953" s="75" t="s">
        <v>1091</v>
      </c>
      <c r="C953" s="39" t="s">
        <v>718</v>
      </c>
      <c r="D953" s="236"/>
      <c r="E953" s="236"/>
      <c r="F953" s="236"/>
      <c r="G953" s="236"/>
      <c r="H953" s="40">
        <f>SUM(Tabla132112414[[#This Row],[PRIMER TRIMESTRE]:[CUARTO TRIMESTRE]])</f>
        <v>0</v>
      </c>
      <c r="I953" s="17">
        <v>2000</v>
      </c>
      <c r="J953" s="17">
        <f t="shared" si="25"/>
        <v>0</v>
      </c>
      <c r="K953" s="17"/>
      <c r="L953" s="16" t="s">
        <v>18</v>
      </c>
      <c r="M953" s="16" t="s">
        <v>22</v>
      </c>
      <c r="N953" s="39" t="s">
        <v>418</v>
      </c>
    </row>
    <row r="954" spans="1:14" s="12" customFormat="1" ht="30">
      <c r="A954" s="178" t="s">
        <v>99</v>
      </c>
      <c r="B954" s="75" t="s">
        <v>1092</v>
      </c>
      <c r="C954" s="39" t="s">
        <v>1067</v>
      </c>
      <c r="D954" s="236"/>
      <c r="E954" s="236"/>
      <c r="F954" s="236"/>
      <c r="G954" s="236"/>
      <c r="H954" s="40">
        <f>SUM(Tabla132112414[[#This Row],[PRIMER TRIMESTRE]:[CUARTO TRIMESTRE]])</f>
        <v>0</v>
      </c>
      <c r="I954" s="17">
        <v>200</v>
      </c>
      <c r="J954" s="17">
        <f t="shared" si="25"/>
        <v>0</v>
      </c>
      <c r="K954" s="17"/>
      <c r="L954" s="16" t="s">
        <v>27</v>
      </c>
      <c r="M954" s="16" t="s">
        <v>22</v>
      </c>
      <c r="N954" s="39" t="s">
        <v>418</v>
      </c>
    </row>
    <row r="955" spans="1:14" s="12" customFormat="1" ht="30">
      <c r="A955" s="178" t="s">
        <v>99</v>
      </c>
      <c r="B955" s="75" t="s">
        <v>1093</v>
      </c>
      <c r="C955" s="39" t="s">
        <v>1067</v>
      </c>
      <c r="D955" s="236"/>
      <c r="E955" s="236"/>
      <c r="F955" s="236"/>
      <c r="G955" s="236"/>
      <c r="H955" s="40">
        <f>SUM(Tabla132112414[[#This Row],[PRIMER TRIMESTRE]:[CUARTO TRIMESTRE]])</f>
        <v>0</v>
      </c>
      <c r="I955" s="17">
        <v>100</v>
      </c>
      <c r="J955" s="17">
        <f t="shared" si="25"/>
        <v>0</v>
      </c>
      <c r="K955" s="17"/>
      <c r="L955" s="16" t="s">
        <v>18</v>
      </c>
      <c r="M955" s="16" t="s">
        <v>22</v>
      </c>
      <c r="N955" s="39" t="s">
        <v>418</v>
      </c>
    </row>
    <row r="956" spans="1:14" s="12" customFormat="1" ht="30">
      <c r="A956" s="178" t="s">
        <v>99</v>
      </c>
      <c r="B956" s="75" t="s">
        <v>1094</v>
      </c>
      <c r="C956" s="39" t="s">
        <v>208</v>
      </c>
      <c r="D956" s="236"/>
      <c r="E956" s="236"/>
      <c r="F956" s="236"/>
      <c r="G956" s="236"/>
      <c r="H956" s="40">
        <f>SUM(Tabla132112414[[#This Row],[PRIMER TRIMESTRE]:[CUARTO TRIMESTRE]])</f>
        <v>0</v>
      </c>
      <c r="I956" s="17">
        <v>200</v>
      </c>
      <c r="J956" s="17">
        <f t="shared" si="25"/>
        <v>0</v>
      </c>
      <c r="K956" s="17"/>
      <c r="L956" s="16" t="s">
        <v>18</v>
      </c>
      <c r="M956" s="16" t="s">
        <v>22</v>
      </c>
      <c r="N956" s="39" t="s">
        <v>418</v>
      </c>
    </row>
    <row r="957" spans="1:14" s="12" customFormat="1" ht="30">
      <c r="A957" s="178" t="s">
        <v>99</v>
      </c>
      <c r="B957" s="75" t="s">
        <v>1095</v>
      </c>
      <c r="C957" s="39" t="s">
        <v>208</v>
      </c>
      <c r="D957" s="236"/>
      <c r="E957" s="236"/>
      <c r="F957" s="236"/>
      <c r="G957" s="236"/>
      <c r="H957" s="40">
        <f>SUM(Tabla132112414[[#This Row],[PRIMER TRIMESTRE]:[CUARTO TRIMESTRE]])</f>
        <v>0</v>
      </c>
      <c r="I957" s="17">
        <v>200</v>
      </c>
      <c r="J957" s="17">
        <f t="shared" si="25"/>
        <v>0</v>
      </c>
      <c r="K957" s="17"/>
      <c r="L957" s="16" t="s">
        <v>18</v>
      </c>
      <c r="M957" s="16" t="s">
        <v>22</v>
      </c>
      <c r="N957" s="39" t="s">
        <v>418</v>
      </c>
    </row>
    <row r="958" spans="1:14" s="12" customFormat="1" ht="30">
      <c r="A958" s="178" t="s">
        <v>99</v>
      </c>
      <c r="B958" s="75" t="s">
        <v>1096</v>
      </c>
      <c r="C958" s="39" t="s">
        <v>208</v>
      </c>
      <c r="D958" s="236"/>
      <c r="E958" s="236"/>
      <c r="F958" s="236"/>
      <c r="G958" s="236"/>
      <c r="H958" s="40">
        <f>SUM(Tabla132112414[[#This Row],[PRIMER TRIMESTRE]:[CUARTO TRIMESTRE]])</f>
        <v>0</v>
      </c>
      <c r="I958" s="17">
        <v>500</v>
      </c>
      <c r="J958" s="17">
        <f t="shared" si="25"/>
        <v>0</v>
      </c>
      <c r="K958" s="17"/>
      <c r="L958" s="16" t="s">
        <v>18</v>
      </c>
      <c r="M958" s="16" t="s">
        <v>22</v>
      </c>
      <c r="N958" s="39" t="s">
        <v>418</v>
      </c>
    </row>
    <row r="959" spans="1:14" s="12" customFormat="1" ht="30">
      <c r="A959" s="178" t="s">
        <v>99</v>
      </c>
      <c r="B959" s="75" t="s">
        <v>1098</v>
      </c>
      <c r="C959" s="39" t="s">
        <v>1099</v>
      </c>
      <c r="D959" s="236"/>
      <c r="E959" s="236"/>
      <c r="F959" s="236"/>
      <c r="G959" s="236"/>
      <c r="H959" s="40">
        <f>SUM(Tabla132112414[[#This Row],[PRIMER TRIMESTRE]:[CUARTO TRIMESTRE]])</f>
        <v>0</v>
      </c>
      <c r="I959" s="17">
        <v>115</v>
      </c>
      <c r="J959" s="17">
        <f t="shared" si="25"/>
        <v>0</v>
      </c>
      <c r="K959" s="17"/>
      <c r="L959" s="16" t="s">
        <v>18</v>
      </c>
      <c r="M959" s="16" t="s">
        <v>22</v>
      </c>
      <c r="N959" s="39" t="s">
        <v>418</v>
      </c>
    </row>
    <row r="960" spans="1:14" s="12" customFormat="1" ht="30">
      <c r="A960" s="178" t="s">
        <v>99</v>
      </c>
      <c r="B960" s="75" t="s">
        <v>1100</v>
      </c>
      <c r="C960" s="39" t="s">
        <v>1067</v>
      </c>
      <c r="D960" s="236"/>
      <c r="E960" s="236"/>
      <c r="F960" s="236"/>
      <c r="G960" s="236"/>
      <c r="H960" s="40">
        <f>SUM(Tabla132112414[[#This Row],[PRIMER TRIMESTRE]:[CUARTO TRIMESTRE]])</f>
        <v>0</v>
      </c>
      <c r="I960" s="17">
        <v>50</v>
      </c>
      <c r="J960" s="17">
        <f t="shared" si="25"/>
        <v>0</v>
      </c>
      <c r="K960" s="17"/>
      <c r="L960" s="16" t="s">
        <v>18</v>
      </c>
      <c r="M960" s="16" t="s">
        <v>22</v>
      </c>
      <c r="N960" s="39" t="s">
        <v>418</v>
      </c>
    </row>
    <row r="961" spans="1:14" s="12" customFormat="1" ht="30">
      <c r="A961" s="178" t="s">
        <v>99</v>
      </c>
      <c r="B961" s="75" t="s">
        <v>1101</v>
      </c>
      <c r="C961" s="39" t="s">
        <v>35</v>
      </c>
      <c r="D961" s="236"/>
      <c r="E961" s="236"/>
      <c r="F961" s="236"/>
      <c r="G961" s="236"/>
      <c r="H961" s="40">
        <f>SUM(Tabla132112414[[#This Row],[PRIMER TRIMESTRE]:[CUARTO TRIMESTRE]])</f>
        <v>0</v>
      </c>
      <c r="I961" s="17">
        <v>2000</v>
      </c>
      <c r="J961" s="17">
        <f t="shared" si="25"/>
        <v>0</v>
      </c>
      <c r="K961" s="17"/>
      <c r="L961" s="16" t="s">
        <v>18</v>
      </c>
      <c r="M961" s="16" t="s">
        <v>22</v>
      </c>
      <c r="N961" s="39" t="s">
        <v>418</v>
      </c>
    </row>
    <row r="962" spans="1:14" s="12" customFormat="1" ht="30">
      <c r="A962" s="178" t="s">
        <v>99</v>
      </c>
      <c r="B962" s="75" t="s">
        <v>1626</v>
      </c>
      <c r="C962" s="39" t="s">
        <v>35</v>
      </c>
      <c r="D962" s="236"/>
      <c r="E962" s="236"/>
      <c r="F962" s="236"/>
      <c r="G962" s="236"/>
      <c r="H962" s="236">
        <f>SUM(Tabla132112414[[#This Row],[PRIMER TRIMESTRE]:[CUARTO TRIMESTRE]])</f>
        <v>0</v>
      </c>
      <c r="I962" s="17">
        <v>2850</v>
      </c>
      <c r="J962" s="17">
        <f t="shared" si="25"/>
        <v>0</v>
      </c>
      <c r="K962" s="17"/>
      <c r="L962" s="16" t="s">
        <v>18</v>
      </c>
      <c r="M962" s="16" t="s">
        <v>22</v>
      </c>
      <c r="N962" s="39" t="s">
        <v>418</v>
      </c>
    </row>
    <row r="963" spans="1:14" s="12" customFormat="1" ht="30">
      <c r="A963" s="178" t="s">
        <v>99</v>
      </c>
      <c r="B963" s="75" t="s">
        <v>1102</v>
      </c>
      <c r="C963" s="39" t="s">
        <v>1065</v>
      </c>
      <c r="D963" s="236"/>
      <c r="E963" s="236"/>
      <c r="F963" s="236"/>
      <c r="G963" s="236"/>
      <c r="H963" s="40">
        <f>SUM(Tabla132112414[[#This Row],[PRIMER TRIMESTRE]:[CUARTO TRIMESTRE]])</f>
        <v>0</v>
      </c>
      <c r="I963" s="17">
        <v>100</v>
      </c>
      <c r="J963" s="17">
        <f t="shared" si="25"/>
        <v>0</v>
      </c>
      <c r="K963" s="17"/>
      <c r="L963" s="16" t="s">
        <v>18</v>
      </c>
      <c r="M963" s="16" t="s">
        <v>22</v>
      </c>
      <c r="N963" s="39" t="s">
        <v>418</v>
      </c>
    </row>
    <row r="964" spans="1:14" s="12" customFormat="1" ht="30">
      <c r="A964" s="178" t="s">
        <v>99</v>
      </c>
      <c r="B964" s="75" t="s">
        <v>1103</v>
      </c>
      <c r="C964" s="39" t="s">
        <v>1065</v>
      </c>
      <c r="D964" s="236"/>
      <c r="E964" s="236"/>
      <c r="F964" s="236"/>
      <c r="G964" s="236"/>
      <c r="H964" s="40">
        <f>SUM(Tabla132112414[[#This Row],[PRIMER TRIMESTRE]:[CUARTO TRIMESTRE]])</f>
        <v>0</v>
      </c>
      <c r="I964" s="17">
        <v>100</v>
      </c>
      <c r="J964" s="17">
        <f t="shared" ref="J964:J1020" si="26">+H964*I964</f>
        <v>0</v>
      </c>
      <c r="K964" s="17"/>
      <c r="L964" s="16" t="s">
        <v>18</v>
      </c>
      <c r="M964" s="16" t="s">
        <v>22</v>
      </c>
      <c r="N964" s="39" t="s">
        <v>418</v>
      </c>
    </row>
    <row r="965" spans="1:14" s="12" customFormat="1" ht="30">
      <c r="A965" s="178" t="s">
        <v>99</v>
      </c>
      <c r="B965" s="75" t="s">
        <v>1104</v>
      </c>
      <c r="C965" s="39" t="s">
        <v>102</v>
      </c>
      <c r="D965" s="236"/>
      <c r="E965" s="236"/>
      <c r="F965" s="236"/>
      <c r="G965" s="236"/>
      <c r="H965" s="40">
        <f>SUM(Tabla132112414[[#This Row],[PRIMER TRIMESTRE]:[CUARTO TRIMESTRE]])</f>
        <v>0</v>
      </c>
      <c r="I965" s="17">
        <v>600</v>
      </c>
      <c r="J965" s="17">
        <f t="shared" si="26"/>
        <v>0</v>
      </c>
      <c r="K965" s="17"/>
      <c r="L965" s="16" t="s">
        <v>18</v>
      </c>
      <c r="M965" s="16" t="s">
        <v>22</v>
      </c>
      <c r="N965" s="39" t="s">
        <v>418</v>
      </c>
    </row>
    <row r="966" spans="1:14" s="12" customFormat="1" ht="30">
      <c r="A966" s="178" t="s">
        <v>99</v>
      </c>
      <c r="B966" s="75" t="s">
        <v>1106</v>
      </c>
      <c r="C966" s="39" t="s">
        <v>149</v>
      </c>
      <c r="D966" s="236"/>
      <c r="E966" s="236"/>
      <c r="F966" s="236"/>
      <c r="G966" s="236"/>
      <c r="H966" s="40">
        <f>SUM(Tabla132112414[[#This Row],[PRIMER TRIMESTRE]:[CUARTO TRIMESTRE]])</f>
        <v>0</v>
      </c>
      <c r="I966" s="17">
        <v>80</v>
      </c>
      <c r="J966" s="17">
        <f t="shared" si="26"/>
        <v>0</v>
      </c>
      <c r="K966" s="17"/>
      <c r="L966" s="16" t="s">
        <v>18</v>
      </c>
      <c r="M966" s="16" t="s">
        <v>22</v>
      </c>
      <c r="N966" s="39" t="s">
        <v>418</v>
      </c>
    </row>
    <row r="967" spans="1:14" s="12" customFormat="1" ht="30">
      <c r="A967" s="178" t="s">
        <v>99</v>
      </c>
      <c r="B967" s="75" t="s">
        <v>1107</v>
      </c>
      <c r="C967" s="39" t="s">
        <v>149</v>
      </c>
      <c r="D967" s="236"/>
      <c r="E967" s="236"/>
      <c r="F967" s="236"/>
      <c r="G967" s="236"/>
      <c r="H967" s="40">
        <f>SUM(Tabla132112414[[#This Row],[PRIMER TRIMESTRE]:[CUARTO TRIMESTRE]])</f>
        <v>0</v>
      </c>
      <c r="I967" s="17">
        <v>80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</row>
    <row r="968" spans="1:14" s="12" customFormat="1" ht="30">
      <c r="A968" s="178" t="s">
        <v>99</v>
      </c>
      <c r="B968" s="75" t="s">
        <v>306</v>
      </c>
      <c r="C968" s="39" t="s">
        <v>290</v>
      </c>
      <c r="D968" s="236"/>
      <c r="E968" s="236"/>
      <c r="F968" s="236"/>
      <c r="G968" s="236"/>
      <c r="H968" s="40">
        <f>SUM(Tabla132112414[[#This Row],[PRIMER TRIMESTRE]:[CUARTO TRIMESTRE]])</f>
        <v>0</v>
      </c>
      <c r="I968" s="17">
        <v>200</v>
      </c>
      <c r="J968" s="17">
        <f t="shared" si="26"/>
        <v>0</v>
      </c>
      <c r="K968" s="17"/>
      <c r="L968" s="16" t="s">
        <v>18</v>
      </c>
      <c r="M968" s="16" t="s">
        <v>22</v>
      </c>
      <c r="N968" s="39" t="s">
        <v>418</v>
      </c>
    </row>
    <row r="969" spans="1:14" s="12" customFormat="1" ht="76.5">
      <c r="A969" s="178" t="s">
        <v>99</v>
      </c>
      <c r="B969" s="75" t="s">
        <v>1108</v>
      </c>
      <c r="C969" s="39" t="s">
        <v>1067</v>
      </c>
      <c r="D969" s="236"/>
      <c r="E969" s="236"/>
      <c r="F969" s="236"/>
      <c r="G969" s="236"/>
      <c r="H969" s="40">
        <f>SUM(Tabla132112414[[#This Row],[PRIMER TRIMESTRE]:[CUARTO TRIMESTRE]])</f>
        <v>0</v>
      </c>
      <c r="I969" s="17">
        <v>3000</v>
      </c>
      <c r="J969" s="17">
        <f t="shared" si="26"/>
        <v>0</v>
      </c>
      <c r="K969" s="17"/>
      <c r="L969" s="16" t="s">
        <v>18</v>
      </c>
      <c r="M969" s="16" t="s">
        <v>22</v>
      </c>
      <c r="N969" s="39" t="s">
        <v>418</v>
      </c>
    </row>
    <row r="970" spans="1:14" s="12" customFormat="1" ht="51">
      <c r="A970" s="178" t="s">
        <v>99</v>
      </c>
      <c r="B970" s="75" t="s">
        <v>1109</v>
      </c>
      <c r="C970" s="39" t="s">
        <v>1067</v>
      </c>
      <c r="D970" s="236"/>
      <c r="E970" s="236"/>
      <c r="F970" s="236"/>
      <c r="G970" s="236"/>
      <c r="H970" s="40">
        <f>SUM(Tabla132112414[[#This Row],[PRIMER TRIMESTRE]:[CUARTO TRIMESTRE]])</f>
        <v>0</v>
      </c>
      <c r="I970" s="17">
        <v>2000</v>
      </c>
      <c r="J970" s="17">
        <f t="shared" si="26"/>
        <v>0</v>
      </c>
      <c r="K970" s="17"/>
      <c r="L970" s="16" t="s">
        <v>18</v>
      </c>
      <c r="M970" s="16" t="s">
        <v>22</v>
      </c>
      <c r="N970" s="39" t="s">
        <v>418</v>
      </c>
    </row>
    <row r="971" spans="1:14" s="12" customFormat="1" ht="51">
      <c r="A971" s="178" t="s">
        <v>99</v>
      </c>
      <c r="B971" s="75" t="s">
        <v>1110</v>
      </c>
      <c r="C971" s="39" t="s">
        <v>1067</v>
      </c>
      <c r="D971" s="236"/>
      <c r="E971" s="236"/>
      <c r="F971" s="236"/>
      <c r="G971" s="236"/>
      <c r="H971" s="40">
        <f>SUM(Tabla132112414[[#This Row],[PRIMER TRIMESTRE]:[CUARTO TRIMESTRE]])</f>
        <v>0</v>
      </c>
      <c r="I971" s="17">
        <v>2000</v>
      </c>
      <c r="J971" s="17">
        <f t="shared" si="26"/>
        <v>0</v>
      </c>
      <c r="K971" s="17"/>
      <c r="L971" s="16" t="s">
        <v>18</v>
      </c>
      <c r="M971" s="16" t="s">
        <v>22</v>
      </c>
      <c r="N971" s="39" t="s">
        <v>418</v>
      </c>
    </row>
    <row r="972" spans="1:14" s="12" customFormat="1" ht="51">
      <c r="A972" s="178" t="s">
        <v>99</v>
      </c>
      <c r="B972" s="75" t="s">
        <v>1111</v>
      </c>
      <c r="C972" s="39" t="s">
        <v>1067</v>
      </c>
      <c r="D972" s="236"/>
      <c r="E972" s="236"/>
      <c r="F972" s="236"/>
      <c r="G972" s="236"/>
      <c r="H972" s="40">
        <f>SUM(Tabla132112414[[#This Row],[PRIMER TRIMESTRE]:[CUARTO TRIMESTRE]])</f>
        <v>0</v>
      </c>
      <c r="I972" s="17">
        <v>2000</v>
      </c>
      <c r="J972" s="17">
        <f t="shared" si="26"/>
        <v>0</v>
      </c>
      <c r="K972" s="17"/>
      <c r="L972" s="16" t="s">
        <v>18</v>
      </c>
      <c r="M972" s="16" t="s">
        <v>22</v>
      </c>
      <c r="N972" s="39" t="s">
        <v>418</v>
      </c>
    </row>
    <row r="973" spans="1:14" s="12" customFormat="1" ht="38.25">
      <c r="A973" s="178" t="s">
        <v>99</v>
      </c>
      <c r="B973" s="75" t="s">
        <v>1112</v>
      </c>
      <c r="C973" s="39" t="s">
        <v>1067</v>
      </c>
      <c r="D973" s="236"/>
      <c r="E973" s="236"/>
      <c r="F973" s="236"/>
      <c r="G973" s="236"/>
      <c r="H973" s="40">
        <f>SUM(Tabla132112414[[#This Row],[PRIMER TRIMESTRE]:[CUARTO TRIMESTRE]])</f>
        <v>0</v>
      </c>
      <c r="I973" s="17">
        <v>20000</v>
      </c>
      <c r="J973" s="17">
        <f t="shared" si="26"/>
        <v>0</v>
      </c>
      <c r="K973" s="17"/>
      <c r="L973" s="16" t="s">
        <v>18</v>
      </c>
      <c r="M973" s="16" t="s">
        <v>22</v>
      </c>
      <c r="N973" s="39" t="s">
        <v>418</v>
      </c>
    </row>
    <row r="974" spans="1:14" s="12" customFormat="1" ht="38.25">
      <c r="A974" s="178" t="s">
        <v>99</v>
      </c>
      <c r="B974" s="75" t="s">
        <v>1113</v>
      </c>
      <c r="C974" s="39" t="s">
        <v>1067</v>
      </c>
      <c r="D974" s="236"/>
      <c r="E974" s="236"/>
      <c r="F974" s="236"/>
      <c r="G974" s="236"/>
      <c r="H974" s="40">
        <f>SUM(Tabla132112414[[#This Row],[PRIMER TRIMESTRE]:[CUARTO TRIMESTRE]])</f>
        <v>0</v>
      </c>
      <c r="I974" s="17">
        <v>5000</v>
      </c>
      <c r="J974" s="17">
        <f t="shared" si="26"/>
        <v>0</v>
      </c>
      <c r="K974" s="17"/>
      <c r="L974" s="16" t="s">
        <v>18</v>
      </c>
      <c r="M974" s="16" t="s">
        <v>22</v>
      </c>
      <c r="N974" s="39" t="s">
        <v>418</v>
      </c>
    </row>
    <row r="975" spans="1:14" s="12" customFormat="1" ht="38.25">
      <c r="A975" s="178" t="s">
        <v>99</v>
      </c>
      <c r="B975" s="75" t="s">
        <v>1114</v>
      </c>
      <c r="C975" s="39" t="s">
        <v>1067</v>
      </c>
      <c r="D975" s="236"/>
      <c r="E975" s="236"/>
      <c r="F975" s="236"/>
      <c r="G975" s="236"/>
      <c r="H975" s="40">
        <f>SUM(Tabla132112414[[#This Row],[PRIMER TRIMESTRE]:[CUARTO TRIMESTRE]])</f>
        <v>0</v>
      </c>
      <c r="I975" s="17">
        <v>80000</v>
      </c>
      <c r="J975" s="17">
        <f t="shared" si="26"/>
        <v>0</v>
      </c>
      <c r="K975" s="17"/>
      <c r="L975" s="16" t="s">
        <v>18</v>
      </c>
      <c r="M975" s="16" t="s">
        <v>22</v>
      </c>
      <c r="N975" s="39" t="s">
        <v>418</v>
      </c>
    </row>
    <row r="976" spans="1:14" s="12" customFormat="1" ht="38.25">
      <c r="A976" s="178" t="s">
        <v>99</v>
      </c>
      <c r="B976" s="75" t="s">
        <v>1115</v>
      </c>
      <c r="C976" s="39" t="s">
        <v>1067</v>
      </c>
      <c r="D976" s="236"/>
      <c r="E976" s="236"/>
      <c r="F976" s="236"/>
      <c r="G976" s="236"/>
      <c r="H976" s="40">
        <f>SUM(Tabla132112414[[#This Row],[PRIMER TRIMESTRE]:[CUARTO TRIMESTRE]])</f>
        <v>0</v>
      </c>
      <c r="I976" s="17">
        <v>38000</v>
      </c>
      <c r="J976" s="17">
        <f t="shared" si="26"/>
        <v>0</v>
      </c>
      <c r="K976" s="17"/>
      <c r="L976" s="16" t="s">
        <v>18</v>
      </c>
      <c r="M976" s="16" t="s">
        <v>22</v>
      </c>
      <c r="N976" s="39" t="s">
        <v>418</v>
      </c>
    </row>
    <row r="977" spans="1:14" s="12" customFormat="1" ht="30">
      <c r="A977" s="178" t="s">
        <v>99</v>
      </c>
      <c r="B977" s="75" t="s">
        <v>1116</v>
      </c>
      <c r="C977" s="39" t="s">
        <v>1067</v>
      </c>
      <c r="D977" s="236"/>
      <c r="E977" s="236"/>
      <c r="F977" s="236"/>
      <c r="G977" s="236"/>
      <c r="H977" s="40">
        <f>SUM(Tabla132112414[[#This Row],[PRIMER TRIMESTRE]:[CUARTO TRIMESTRE]])</f>
        <v>0</v>
      </c>
      <c r="I977" s="17">
        <v>52000</v>
      </c>
      <c r="J977" s="17">
        <f t="shared" si="26"/>
        <v>0</v>
      </c>
      <c r="K977" s="17"/>
      <c r="L977" s="16" t="s">
        <v>18</v>
      </c>
      <c r="M977" s="16" t="s">
        <v>22</v>
      </c>
      <c r="N977" s="39" t="s">
        <v>418</v>
      </c>
    </row>
    <row r="978" spans="1:14" s="12" customFormat="1" ht="30">
      <c r="A978" s="178" t="s">
        <v>99</v>
      </c>
      <c r="B978" s="75" t="s">
        <v>1117</v>
      </c>
      <c r="C978" s="39" t="s">
        <v>1067</v>
      </c>
      <c r="D978" s="236"/>
      <c r="E978" s="236"/>
      <c r="F978" s="236"/>
      <c r="G978" s="236"/>
      <c r="H978" s="40">
        <f>SUM(Tabla132112414[[#This Row],[PRIMER TRIMESTRE]:[CUARTO TRIMESTRE]])</f>
        <v>0</v>
      </c>
      <c r="I978" s="17">
        <v>4000</v>
      </c>
      <c r="J978" s="17">
        <f t="shared" si="26"/>
        <v>0</v>
      </c>
      <c r="K978" s="17"/>
      <c r="L978" s="16" t="s">
        <v>18</v>
      </c>
      <c r="M978" s="16" t="s">
        <v>22</v>
      </c>
      <c r="N978" s="39" t="s">
        <v>418</v>
      </c>
    </row>
    <row r="979" spans="1:14" s="12" customFormat="1" ht="30">
      <c r="A979" s="178" t="s">
        <v>99</v>
      </c>
      <c r="B979" s="75" t="s">
        <v>1118</v>
      </c>
      <c r="C979" s="39" t="s">
        <v>1067</v>
      </c>
      <c r="D979" s="236"/>
      <c r="E979" s="236"/>
      <c r="F979" s="236"/>
      <c r="G979" s="236"/>
      <c r="H979" s="40">
        <f>SUM(Tabla132112414[[#This Row],[PRIMER TRIMESTRE]:[CUARTO TRIMESTRE]])</f>
        <v>0</v>
      </c>
      <c r="I979" s="17">
        <v>8000</v>
      </c>
      <c r="J979" s="17">
        <f t="shared" si="26"/>
        <v>0</v>
      </c>
      <c r="K979" s="17"/>
      <c r="L979" s="16" t="s">
        <v>18</v>
      </c>
      <c r="M979" s="16" t="s">
        <v>22</v>
      </c>
      <c r="N979" s="39" t="s">
        <v>418</v>
      </c>
    </row>
    <row r="980" spans="1:14" s="12" customFormat="1" ht="30">
      <c r="A980" s="178" t="s">
        <v>99</v>
      </c>
      <c r="B980" s="75" t="s">
        <v>1119</v>
      </c>
      <c r="C980" s="39" t="s">
        <v>1067</v>
      </c>
      <c r="D980" s="236"/>
      <c r="E980" s="236"/>
      <c r="F980" s="236"/>
      <c r="G980" s="236"/>
      <c r="H980" s="40">
        <f>SUM(Tabla132112414[[#This Row],[PRIMER TRIMESTRE]:[CUARTO TRIMESTRE]])</f>
        <v>0</v>
      </c>
      <c r="I980" s="17">
        <v>350000</v>
      </c>
      <c r="J980" s="17">
        <f t="shared" si="26"/>
        <v>0</v>
      </c>
      <c r="K980" s="17"/>
      <c r="L980" s="16" t="s">
        <v>18</v>
      </c>
      <c r="M980" s="16" t="s">
        <v>22</v>
      </c>
      <c r="N980" s="39" t="s">
        <v>418</v>
      </c>
    </row>
    <row r="981" spans="1:14" s="12" customFormat="1" ht="30">
      <c r="A981" s="178" t="s">
        <v>99</v>
      </c>
      <c r="B981" s="75" t="s">
        <v>1120</v>
      </c>
      <c r="C981" s="39" t="s">
        <v>1067</v>
      </c>
      <c r="D981" s="236"/>
      <c r="E981" s="236"/>
      <c r="F981" s="236"/>
      <c r="G981" s="236"/>
      <c r="H981" s="40">
        <f>SUM(Tabla132112414[[#This Row],[PRIMER TRIMESTRE]:[CUARTO TRIMESTRE]])</f>
        <v>0</v>
      </c>
      <c r="I981" s="17">
        <v>21000</v>
      </c>
      <c r="J981" s="17">
        <f t="shared" si="26"/>
        <v>0</v>
      </c>
      <c r="K981" s="17"/>
      <c r="L981" s="16" t="s">
        <v>18</v>
      </c>
      <c r="M981" s="16" t="s">
        <v>22</v>
      </c>
      <c r="N981" s="39" t="s">
        <v>418</v>
      </c>
    </row>
    <row r="982" spans="1:14" s="12" customFormat="1" ht="89.25">
      <c r="A982" s="178" t="s">
        <v>99</v>
      </c>
      <c r="B982" s="75" t="s">
        <v>1121</v>
      </c>
      <c r="C982" s="39" t="s">
        <v>1067</v>
      </c>
      <c r="D982" s="236"/>
      <c r="E982" s="236"/>
      <c r="F982" s="236"/>
      <c r="G982" s="236"/>
      <c r="H982" s="40">
        <f>SUM(Tabla132112414[[#This Row],[PRIMER TRIMESTRE]:[CUARTO TRIMESTRE]])</f>
        <v>0</v>
      </c>
      <c r="I982" s="17">
        <v>300000</v>
      </c>
      <c r="J982" s="17">
        <f t="shared" si="26"/>
        <v>0</v>
      </c>
      <c r="K982" s="17"/>
      <c r="L982" s="16" t="s">
        <v>18</v>
      </c>
      <c r="M982" s="16" t="s">
        <v>22</v>
      </c>
      <c r="N982" s="39" t="s">
        <v>418</v>
      </c>
    </row>
    <row r="983" spans="1:14" s="12" customFormat="1" ht="30">
      <c r="A983" s="178" t="s">
        <v>99</v>
      </c>
      <c r="B983" s="75" t="s">
        <v>1122</v>
      </c>
      <c r="C983" s="39" t="s">
        <v>1067</v>
      </c>
      <c r="D983" s="236"/>
      <c r="E983" s="236"/>
      <c r="F983" s="236"/>
      <c r="G983" s="236"/>
      <c r="H983" s="40">
        <f>SUM(Tabla132112414[[#This Row],[PRIMER TRIMESTRE]:[CUARTO TRIMESTRE]])</f>
        <v>0</v>
      </c>
      <c r="I983" s="17">
        <v>12000</v>
      </c>
      <c r="J983" s="17">
        <f t="shared" si="26"/>
        <v>0</v>
      </c>
      <c r="K983" s="17"/>
      <c r="L983" s="16" t="s">
        <v>18</v>
      </c>
      <c r="M983" s="16" t="s">
        <v>22</v>
      </c>
      <c r="N983" s="39" t="s">
        <v>418</v>
      </c>
    </row>
    <row r="984" spans="1:14" s="12" customFormat="1" ht="30">
      <c r="A984" s="178" t="s">
        <v>99</v>
      </c>
      <c r="B984" s="75" t="s">
        <v>1123</v>
      </c>
      <c r="C984" s="39" t="s">
        <v>1067</v>
      </c>
      <c r="D984" s="236"/>
      <c r="E984" s="236"/>
      <c r="F984" s="236"/>
      <c r="G984" s="236"/>
      <c r="H984" s="40">
        <f>SUM(Tabla132112414[[#This Row],[PRIMER TRIMESTRE]:[CUARTO TRIMESTRE]])</f>
        <v>0</v>
      </c>
      <c r="I984" s="17">
        <v>10000</v>
      </c>
      <c r="J984" s="17">
        <f t="shared" si="26"/>
        <v>0</v>
      </c>
      <c r="K984" s="17"/>
      <c r="L984" s="16" t="s">
        <v>18</v>
      </c>
      <c r="M984" s="16" t="s">
        <v>22</v>
      </c>
      <c r="N984" s="39" t="s">
        <v>418</v>
      </c>
    </row>
    <row r="985" spans="1:14" s="12" customFormat="1" ht="30">
      <c r="A985" s="178" t="s">
        <v>99</v>
      </c>
      <c r="B985" s="75" t="s">
        <v>1124</v>
      </c>
      <c r="C985" s="39" t="s">
        <v>1067</v>
      </c>
      <c r="D985" s="236"/>
      <c r="E985" s="236"/>
      <c r="F985" s="236"/>
      <c r="G985" s="236"/>
      <c r="H985" s="40">
        <f>SUM(Tabla132112414[[#This Row],[PRIMER TRIMESTRE]:[CUARTO TRIMESTRE]])</f>
        <v>0</v>
      </c>
      <c r="I985" s="17">
        <v>5000</v>
      </c>
      <c r="J985" s="17">
        <f t="shared" si="26"/>
        <v>0</v>
      </c>
      <c r="K985" s="17"/>
      <c r="L985" s="16" t="s">
        <v>18</v>
      </c>
      <c r="M985" s="16" t="s">
        <v>22</v>
      </c>
      <c r="N985" s="39" t="s">
        <v>418</v>
      </c>
    </row>
    <row r="986" spans="1:14" s="12" customFormat="1" ht="30">
      <c r="A986" s="178" t="s">
        <v>99</v>
      </c>
      <c r="B986" s="75" t="s">
        <v>1125</v>
      </c>
      <c r="C986" s="39" t="s">
        <v>1067</v>
      </c>
      <c r="D986" s="236"/>
      <c r="E986" s="236"/>
      <c r="F986" s="236"/>
      <c r="G986" s="236"/>
      <c r="H986" s="40">
        <f>SUM(Tabla132112414[[#This Row],[PRIMER TRIMESTRE]:[CUARTO TRIMESTRE]])</f>
        <v>0</v>
      </c>
      <c r="I986" s="17">
        <v>5000</v>
      </c>
      <c r="J986" s="17">
        <f t="shared" si="26"/>
        <v>0</v>
      </c>
      <c r="K986" s="17"/>
      <c r="L986" s="16" t="s">
        <v>18</v>
      </c>
      <c r="M986" s="16" t="s">
        <v>22</v>
      </c>
      <c r="N986" s="39" t="s">
        <v>418</v>
      </c>
    </row>
    <row r="987" spans="1:14" s="12" customFormat="1" ht="30">
      <c r="A987" s="178" t="s">
        <v>99</v>
      </c>
      <c r="B987" s="75" t="s">
        <v>1126</v>
      </c>
      <c r="C987" s="39" t="s">
        <v>1067</v>
      </c>
      <c r="D987" s="236"/>
      <c r="E987" s="236"/>
      <c r="F987" s="236"/>
      <c r="G987" s="236"/>
      <c r="H987" s="40">
        <f>SUM(Tabla132112414[[#This Row],[PRIMER TRIMESTRE]:[CUARTO TRIMESTRE]])</f>
        <v>0</v>
      </c>
      <c r="I987" s="17">
        <v>3000</v>
      </c>
      <c r="J987" s="17">
        <f t="shared" si="26"/>
        <v>0</v>
      </c>
      <c r="K987" s="17"/>
      <c r="L987" s="16" t="s">
        <v>18</v>
      </c>
      <c r="M987" s="16" t="s">
        <v>22</v>
      </c>
      <c r="N987" s="39" t="s">
        <v>418</v>
      </c>
    </row>
    <row r="988" spans="1:14" s="12" customFormat="1" ht="30">
      <c r="A988" s="178" t="s">
        <v>99</v>
      </c>
      <c r="B988" s="75" t="s">
        <v>1093</v>
      </c>
      <c r="C988" s="39" t="s">
        <v>1067</v>
      </c>
      <c r="D988" s="236"/>
      <c r="E988" s="236"/>
      <c r="F988" s="236"/>
      <c r="G988" s="236"/>
      <c r="H988" s="40">
        <f>SUM(Tabla132112414[[#This Row],[PRIMER TRIMESTRE]:[CUARTO TRIMESTRE]])</f>
        <v>0</v>
      </c>
      <c r="I988" s="17">
        <v>250</v>
      </c>
      <c r="J988" s="17">
        <f t="shared" si="26"/>
        <v>0</v>
      </c>
      <c r="K988" s="17"/>
      <c r="L988" s="16" t="s">
        <v>18</v>
      </c>
      <c r="M988" s="16" t="s">
        <v>22</v>
      </c>
      <c r="N988" s="39" t="s">
        <v>418</v>
      </c>
    </row>
    <row r="989" spans="1:14" s="12" customFormat="1" ht="30">
      <c r="A989" s="178" t="s">
        <v>99</v>
      </c>
      <c r="B989" s="75" t="s">
        <v>1127</v>
      </c>
      <c r="C989" s="39" t="s">
        <v>1067</v>
      </c>
      <c r="D989" s="236"/>
      <c r="E989" s="236"/>
      <c r="F989" s="236"/>
      <c r="G989" s="236"/>
      <c r="H989" s="40">
        <f>SUM(Tabla132112414[[#This Row],[PRIMER TRIMESTRE]:[CUARTO TRIMESTRE]])</f>
        <v>0</v>
      </c>
      <c r="I989" s="17">
        <v>80000</v>
      </c>
      <c r="J989" s="17">
        <f t="shared" si="26"/>
        <v>0</v>
      </c>
      <c r="K989" s="17"/>
      <c r="L989" s="16" t="s">
        <v>18</v>
      </c>
      <c r="M989" s="16" t="s">
        <v>22</v>
      </c>
      <c r="N989" s="39" t="s">
        <v>418</v>
      </c>
    </row>
    <row r="990" spans="1:14" s="12" customFormat="1" ht="30">
      <c r="A990" s="178" t="s">
        <v>99</v>
      </c>
      <c r="B990" s="75" t="s">
        <v>1128</v>
      </c>
      <c r="C990" s="39" t="s">
        <v>1067</v>
      </c>
      <c r="D990" s="236"/>
      <c r="E990" s="236"/>
      <c r="F990" s="236"/>
      <c r="G990" s="236"/>
      <c r="H990" s="40">
        <f>SUM(Tabla132112414[[#This Row],[PRIMER TRIMESTRE]:[CUARTO TRIMESTRE]])</f>
        <v>0</v>
      </c>
      <c r="I990" s="17">
        <v>1500</v>
      </c>
      <c r="J990" s="17">
        <f t="shared" si="26"/>
        <v>0</v>
      </c>
      <c r="K990" s="17"/>
      <c r="L990" s="16" t="s">
        <v>18</v>
      </c>
      <c r="M990" s="16" t="s">
        <v>22</v>
      </c>
      <c r="N990" s="39" t="s">
        <v>418</v>
      </c>
    </row>
    <row r="991" spans="1:14" s="12" customFormat="1" ht="30">
      <c r="A991" s="178" t="s">
        <v>99</v>
      </c>
      <c r="B991" s="75" t="s">
        <v>1129</v>
      </c>
      <c r="C991" s="39" t="s">
        <v>1067</v>
      </c>
      <c r="D991" s="236"/>
      <c r="E991" s="236"/>
      <c r="F991" s="236"/>
      <c r="G991" s="236"/>
      <c r="H991" s="40">
        <f>SUM(Tabla132112414[[#This Row],[PRIMER TRIMESTRE]:[CUARTO TRIMESTRE]])</f>
        <v>0</v>
      </c>
      <c r="I991" s="17">
        <v>1000</v>
      </c>
      <c r="J991" s="17">
        <f t="shared" si="26"/>
        <v>0</v>
      </c>
      <c r="K991" s="17"/>
      <c r="L991" s="16" t="s">
        <v>18</v>
      </c>
      <c r="M991" s="16" t="s">
        <v>22</v>
      </c>
      <c r="N991" s="39" t="s">
        <v>418</v>
      </c>
    </row>
    <row r="992" spans="1:14" s="12" customFormat="1" ht="30">
      <c r="A992" s="178" t="s">
        <v>99</v>
      </c>
      <c r="B992" s="75" t="s">
        <v>1130</v>
      </c>
      <c r="C992" s="39" t="s">
        <v>1067</v>
      </c>
      <c r="D992" s="236"/>
      <c r="E992" s="236"/>
      <c r="F992" s="236"/>
      <c r="G992" s="236"/>
      <c r="H992" s="40">
        <f>SUM(Tabla132112414[[#This Row],[PRIMER TRIMESTRE]:[CUARTO TRIMESTRE]])</f>
        <v>0</v>
      </c>
      <c r="I992" s="17">
        <v>2000</v>
      </c>
      <c r="J992" s="17">
        <f t="shared" si="26"/>
        <v>0</v>
      </c>
      <c r="K992" s="17"/>
      <c r="L992" s="16" t="s">
        <v>18</v>
      </c>
      <c r="M992" s="16" t="s">
        <v>22</v>
      </c>
      <c r="N992" s="39" t="s">
        <v>418</v>
      </c>
    </row>
    <row r="993" spans="1:14" s="12" customFormat="1" ht="30">
      <c r="A993" s="178" t="s">
        <v>99</v>
      </c>
      <c r="B993" s="75" t="s">
        <v>1131</v>
      </c>
      <c r="C993" s="39" t="s">
        <v>1067</v>
      </c>
      <c r="D993" s="236"/>
      <c r="E993" s="236"/>
      <c r="F993" s="236"/>
      <c r="G993" s="236"/>
      <c r="H993" s="40">
        <f>SUM(Tabla132112414[[#This Row],[PRIMER TRIMESTRE]:[CUARTO TRIMESTRE]])</f>
        <v>0</v>
      </c>
      <c r="I993" s="17">
        <v>300</v>
      </c>
      <c r="J993" s="17">
        <f t="shared" si="26"/>
        <v>0</v>
      </c>
      <c r="K993" s="17"/>
      <c r="L993" s="16" t="s">
        <v>18</v>
      </c>
      <c r="M993" s="16" t="s">
        <v>22</v>
      </c>
      <c r="N993" s="39" t="s">
        <v>418</v>
      </c>
    </row>
    <row r="994" spans="1:14" s="12" customFormat="1" ht="30">
      <c r="A994" s="178" t="s">
        <v>99</v>
      </c>
      <c r="B994" s="75" t="s">
        <v>1508</v>
      </c>
      <c r="C994" s="39" t="s">
        <v>1067</v>
      </c>
      <c r="D994" s="236"/>
      <c r="E994" s="236"/>
      <c r="F994" s="236"/>
      <c r="G994" s="236"/>
      <c r="H994" s="236">
        <f>SUM(Tabla132112414[[#This Row],[PRIMER TRIMESTRE]:[CUARTO TRIMESTRE]])</f>
        <v>0</v>
      </c>
      <c r="I994" s="17">
        <v>392</v>
      </c>
      <c r="J994" s="17">
        <f t="shared" si="26"/>
        <v>0</v>
      </c>
      <c r="K994" s="17"/>
      <c r="L994" s="16" t="s">
        <v>27</v>
      </c>
      <c r="M994" s="16" t="s">
        <v>22</v>
      </c>
      <c r="N994" s="39" t="s">
        <v>418</v>
      </c>
    </row>
    <row r="995" spans="1:14" s="12" customFormat="1" ht="30">
      <c r="A995" s="178" t="s">
        <v>99</v>
      </c>
      <c r="B995" s="75" t="s">
        <v>1132</v>
      </c>
      <c r="C995" s="39" t="s">
        <v>1067</v>
      </c>
      <c r="D995" s="236"/>
      <c r="E995" s="236"/>
      <c r="F995" s="236"/>
      <c r="G995" s="236"/>
      <c r="H995" s="40">
        <f>SUM(Tabla132112414[[#This Row],[PRIMER TRIMESTRE]:[CUARTO TRIMESTRE]])</f>
        <v>0</v>
      </c>
      <c r="I995" s="17">
        <v>60000</v>
      </c>
      <c r="J995" s="17">
        <f t="shared" si="26"/>
        <v>0</v>
      </c>
      <c r="K995" s="17"/>
      <c r="L995" s="16" t="s">
        <v>18</v>
      </c>
      <c r="M995" s="16" t="s">
        <v>22</v>
      </c>
      <c r="N995" s="39" t="s">
        <v>418</v>
      </c>
    </row>
    <row r="996" spans="1:14" s="12" customFormat="1" ht="63.75">
      <c r="A996" s="178" t="s">
        <v>99</v>
      </c>
      <c r="B996" s="75" t="s">
        <v>1133</v>
      </c>
      <c r="C996" s="39" t="s">
        <v>1067</v>
      </c>
      <c r="D996" s="236"/>
      <c r="E996" s="236"/>
      <c r="F996" s="236"/>
      <c r="G996" s="236"/>
      <c r="H996" s="40">
        <f>SUM(Tabla132112414[[#This Row],[PRIMER TRIMESTRE]:[CUARTO TRIMESTRE]])</f>
        <v>0</v>
      </c>
      <c r="I996" s="17">
        <v>3500</v>
      </c>
      <c r="J996" s="17">
        <f t="shared" si="26"/>
        <v>0</v>
      </c>
      <c r="K996" s="17"/>
      <c r="L996" s="16" t="s">
        <v>18</v>
      </c>
      <c r="M996" s="16" t="s">
        <v>22</v>
      </c>
      <c r="N996" s="39" t="s">
        <v>418</v>
      </c>
    </row>
    <row r="997" spans="1:14" s="12" customFormat="1" ht="30">
      <c r="A997" s="178" t="s">
        <v>99</v>
      </c>
      <c r="B997" s="75" t="s">
        <v>1873</v>
      </c>
      <c r="C997" s="39" t="s">
        <v>1067</v>
      </c>
      <c r="D997" s="236"/>
      <c r="E997" s="236"/>
      <c r="F997" s="236"/>
      <c r="G997" s="236"/>
      <c r="H997" s="40">
        <f>SUM(Tabla132112414[[#This Row],[PRIMER TRIMESTRE]:[CUARTO TRIMESTRE]])</f>
        <v>0</v>
      </c>
      <c r="I997" s="17">
        <v>1150</v>
      </c>
      <c r="J997" s="17">
        <f>Tabla132112414[[#This Row],[PRECIO UNITARIO ESTIMADO]]*Tabla132112414[[#This Row],[CANTIDAD TOTAL]]</f>
        <v>0</v>
      </c>
      <c r="K997" s="17"/>
      <c r="L997" s="16" t="s">
        <v>18</v>
      </c>
      <c r="M997" s="16" t="s">
        <v>22</v>
      </c>
      <c r="N997" s="39" t="s">
        <v>418</v>
      </c>
    </row>
    <row r="998" spans="1:14" s="12" customFormat="1" ht="51">
      <c r="A998" s="178" t="s">
        <v>99</v>
      </c>
      <c r="B998" s="75" t="s">
        <v>1134</v>
      </c>
      <c r="C998" s="39" t="s">
        <v>1067</v>
      </c>
      <c r="D998" s="236"/>
      <c r="E998" s="236"/>
      <c r="F998" s="236"/>
      <c r="G998" s="236"/>
      <c r="H998" s="40">
        <f>SUM(Tabla132112414[[#This Row],[PRIMER TRIMESTRE]:[CUARTO TRIMESTRE]])</f>
        <v>0</v>
      </c>
      <c r="I998" s="17">
        <v>450000</v>
      </c>
      <c r="J998" s="17">
        <f t="shared" si="26"/>
        <v>0</v>
      </c>
      <c r="K998" s="17"/>
      <c r="L998" s="16" t="s">
        <v>18</v>
      </c>
      <c r="M998" s="16" t="s">
        <v>22</v>
      </c>
      <c r="N998" s="39" t="s">
        <v>418</v>
      </c>
    </row>
    <row r="999" spans="1:14" s="12" customFormat="1" ht="51">
      <c r="A999" s="178" t="s">
        <v>99</v>
      </c>
      <c r="B999" s="75" t="s">
        <v>1135</v>
      </c>
      <c r="C999" s="39" t="s">
        <v>1067</v>
      </c>
      <c r="D999" s="236"/>
      <c r="E999" s="236"/>
      <c r="F999" s="236"/>
      <c r="G999" s="236"/>
      <c r="H999" s="40">
        <f>SUM(Tabla132112414[[#This Row],[PRIMER TRIMESTRE]:[CUARTO TRIMESTRE]])</f>
        <v>0</v>
      </c>
      <c r="I999" s="17">
        <v>200000</v>
      </c>
      <c r="J999" s="17">
        <f t="shared" si="26"/>
        <v>0</v>
      </c>
      <c r="K999" s="17"/>
      <c r="L999" s="16" t="s">
        <v>18</v>
      </c>
      <c r="M999" s="16" t="s">
        <v>22</v>
      </c>
      <c r="N999" s="39" t="s">
        <v>418</v>
      </c>
    </row>
    <row r="1000" spans="1:14" s="12" customFormat="1" ht="38.25">
      <c r="A1000" s="178" t="s">
        <v>99</v>
      </c>
      <c r="B1000" s="75" t="s">
        <v>1136</v>
      </c>
      <c r="C1000" s="39" t="s">
        <v>1067</v>
      </c>
      <c r="D1000" s="236"/>
      <c r="E1000" s="236"/>
      <c r="F1000" s="236"/>
      <c r="G1000" s="236"/>
      <c r="H1000" s="40">
        <f>SUM(Tabla132112414[[#This Row],[PRIMER TRIMESTRE]:[CUARTO TRIMESTRE]])</f>
        <v>0</v>
      </c>
      <c r="I1000" s="17">
        <v>70000</v>
      </c>
      <c r="J1000" s="17">
        <f t="shared" si="26"/>
        <v>0</v>
      </c>
      <c r="K1000" s="17"/>
      <c r="L1000" s="16" t="s">
        <v>18</v>
      </c>
      <c r="M1000" s="16" t="s">
        <v>22</v>
      </c>
      <c r="N1000" s="39" t="s">
        <v>418</v>
      </c>
    </row>
    <row r="1001" spans="1:14" s="12" customFormat="1" ht="30">
      <c r="A1001" s="178" t="s">
        <v>99</v>
      </c>
      <c r="B1001" s="75" t="s">
        <v>1137</v>
      </c>
      <c r="C1001" s="39" t="s">
        <v>1067</v>
      </c>
      <c r="D1001" s="236"/>
      <c r="E1001" s="236"/>
      <c r="F1001" s="236"/>
      <c r="G1001" s="236"/>
      <c r="H1001" s="40">
        <f>SUM(Tabla132112414[[#This Row],[PRIMER TRIMESTRE]:[CUARTO TRIMESTRE]])</f>
        <v>0</v>
      </c>
      <c r="I1001" s="17">
        <v>20000</v>
      </c>
      <c r="J1001" s="17">
        <f t="shared" si="26"/>
        <v>0</v>
      </c>
      <c r="K1001" s="17"/>
      <c r="L1001" s="16" t="s">
        <v>18</v>
      </c>
      <c r="M1001" s="16" t="s">
        <v>22</v>
      </c>
      <c r="N1001" s="39" t="s">
        <v>418</v>
      </c>
    </row>
    <row r="1002" spans="1:14" s="12" customFormat="1" ht="30">
      <c r="A1002" s="178" t="s">
        <v>99</v>
      </c>
      <c r="B1002" s="75" t="s">
        <v>1148</v>
      </c>
      <c r="C1002" s="39" t="s">
        <v>1067</v>
      </c>
      <c r="D1002" s="236"/>
      <c r="E1002" s="236"/>
      <c r="F1002" s="236"/>
      <c r="G1002" s="236"/>
      <c r="H1002" s="40">
        <f>SUM(Tabla132112414[[#This Row],[PRIMER TRIMESTRE]:[CUARTO TRIMESTRE]])</f>
        <v>0</v>
      </c>
      <c r="I1002" s="17">
        <v>70</v>
      </c>
      <c r="J1002" s="17">
        <f t="shared" si="26"/>
        <v>0</v>
      </c>
      <c r="K1002" s="17"/>
      <c r="L1002" s="16" t="s">
        <v>18</v>
      </c>
      <c r="M1002" s="16" t="s">
        <v>22</v>
      </c>
      <c r="N1002" s="39" t="s">
        <v>418</v>
      </c>
    </row>
    <row r="1003" spans="1:14" s="12" customFormat="1" ht="30">
      <c r="A1003" s="178" t="s">
        <v>99</v>
      </c>
      <c r="B1003" s="75" t="s">
        <v>1139</v>
      </c>
      <c r="C1003" s="39" t="s">
        <v>1067</v>
      </c>
      <c r="D1003" s="236"/>
      <c r="E1003" s="236"/>
      <c r="F1003" s="236"/>
      <c r="G1003" s="236"/>
      <c r="H1003" s="40">
        <f>SUM(Tabla132112414[[#This Row],[PRIMER TRIMESTRE]:[CUARTO TRIMESTRE]])</f>
        <v>0</v>
      </c>
      <c r="I1003" s="17">
        <v>10000</v>
      </c>
      <c r="J1003" s="17">
        <f t="shared" si="26"/>
        <v>0</v>
      </c>
      <c r="K1003" s="17"/>
      <c r="L1003" s="16" t="s">
        <v>18</v>
      </c>
      <c r="M1003" s="16" t="s">
        <v>22</v>
      </c>
      <c r="N1003" s="39" t="s">
        <v>418</v>
      </c>
    </row>
    <row r="1004" spans="1:14" s="12" customFormat="1" ht="76.5">
      <c r="A1004" s="178" t="s">
        <v>99</v>
      </c>
      <c r="B1004" s="75" t="s">
        <v>1140</v>
      </c>
      <c r="C1004" s="39" t="s">
        <v>1067</v>
      </c>
      <c r="D1004" s="236"/>
      <c r="E1004" s="236"/>
      <c r="F1004" s="236"/>
      <c r="G1004" s="236"/>
      <c r="H1004" s="40">
        <f>SUM(Tabla132112414[[#This Row],[PRIMER TRIMESTRE]:[CUARTO TRIMESTRE]])</f>
        <v>0</v>
      </c>
      <c r="I1004" s="17">
        <v>60000</v>
      </c>
      <c r="J1004" s="17">
        <f t="shared" si="26"/>
        <v>0</v>
      </c>
      <c r="K1004" s="17"/>
      <c r="L1004" s="16" t="s">
        <v>18</v>
      </c>
      <c r="M1004" s="16" t="s">
        <v>22</v>
      </c>
      <c r="N1004" s="39" t="s">
        <v>418</v>
      </c>
    </row>
    <row r="1005" spans="1:14" s="12" customFormat="1" ht="30">
      <c r="A1005" s="178" t="s">
        <v>99</v>
      </c>
      <c r="B1005" s="75" t="s">
        <v>1141</v>
      </c>
      <c r="C1005" s="39" t="s">
        <v>718</v>
      </c>
      <c r="D1005" s="236"/>
      <c r="E1005" s="236"/>
      <c r="F1005" s="236"/>
      <c r="G1005" s="236"/>
      <c r="H1005" s="40">
        <f>SUM(Tabla132112414[[#This Row],[PRIMER TRIMESTRE]:[CUARTO TRIMESTRE]])</f>
        <v>0</v>
      </c>
      <c r="I1005" s="17">
        <v>4000</v>
      </c>
      <c r="J1005" s="17">
        <f t="shared" si="26"/>
        <v>0</v>
      </c>
      <c r="K1005" s="17"/>
      <c r="L1005" s="16" t="s">
        <v>18</v>
      </c>
      <c r="M1005" s="16" t="s">
        <v>22</v>
      </c>
      <c r="N1005" s="39" t="s">
        <v>418</v>
      </c>
    </row>
    <row r="1006" spans="1:14" s="12" customFormat="1" ht="30">
      <c r="A1006" s="178" t="s">
        <v>99</v>
      </c>
      <c r="B1006" s="75" t="s">
        <v>1142</v>
      </c>
      <c r="C1006" s="39" t="s">
        <v>718</v>
      </c>
      <c r="D1006" s="236"/>
      <c r="E1006" s="236"/>
      <c r="F1006" s="236"/>
      <c r="G1006" s="236"/>
      <c r="H1006" s="40">
        <f>SUM(Tabla132112414[[#This Row],[PRIMER TRIMESTRE]:[CUARTO TRIMESTRE]])</f>
        <v>0</v>
      </c>
      <c r="I1006" s="17">
        <v>3000</v>
      </c>
      <c r="J1006" s="17">
        <f t="shared" si="26"/>
        <v>0</v>
      </c>
      <c r="K1006" s="17"/>
      <c r="L1006" s="16" t="s">
        <v>18</v>
      </c>
      <c r="M1006" s="16" t="s">
        <v>22</v>
      </c>
      <c r="N1006" s="39" t="s">
        <v>418</v>
      </c>
    </row>
    <row r="1007" spans="1:14" s="12" customFormat="1" ht="30">
      <c r="A1007" s="178" t="s">
        <v>99</v>
      </c>
      <c r="B1007" s="75" t="s">
        <v>1143</v>
      </c>
      <c r="C1007" s="39" t="s">
        <v>1065</v>
      </c>
      <c r="D1007" s="236"/>
      <c r="E1007" s="236"/>
      <c r="F1007" s="236"/>
      <c r="G1007" s="236"/>
      <c r="H1007" s="40">
        <f>SUM(Tabla132112414[[#This Row],[PRIMER TRIMESTRE]:[CUARTO TRIMESTRE]])</f>
        <v>0</v>
      </c>
      <c r="I1007" s="17">
        <v>4500</v>
      </c>
      <c r="J1007" s="17">
        <f t="shared" si="26"/>
        <v>0</v>
      </c>
      <c r="K1007" s="17"/>
      <c r="L1007" s="16" t="s">
        <v>18</v>
      </c>
      <c r="M1007" s="16" t="s">
        <v>22</v>
      </c>
      <c r="N1007" s="39" t="s">
        <v>418</v>
      </c>
    </row>
    <row r="1008" spans="1:14" s="12" customFormat="1" ht="30">
      <c r="A1008" s="178" t="s">
        <v>99</v>
      </c>
      <c r="B1008" s="75" t="s">
        <v>1144</v>
      </c>
      <c r="C1008" s="39" t="s">
        <v>102</v>
      </c>
      <c r="D1008" s="236"/>
      <c r="E1008" s="236"/>
      <c r="F1008" s="236"/>
      <c r="G1008" s="236"/>
      <c r="H1008" s="40">
        <f>SUM(Tabla132112414[[#This Row],[PRIMER TRIMESTRE]:[CUARTO TRIMESTRE]])</f>
        <v>0</v>
      </c>
      <c r="I1008" s="17">
        <v>1000</v>
      </c>
      <c r="J1008" s="17">
        <f t="shared" si="26"/>
        <v>0</v>
      </c>
      <c r="K1008" s="17"/>
      <c r="L1008" s="16" t="s">
        <v>18</v>
      </c>
      <c r="M1008" s="16" t="s">
        <v>22</v>
      </c>
      <c r="N1008" s="39" t="s">
        <v>418</v>
      </c>
    </row>
    <row r="1009" spans="1:14" s="12" customFormat="1" ht="30.75" customHeight="1">
      <c r="A1009" s="178" t="s">
        <v>99</v>
      </c>
      <c r="B1009" s="75" t="s">
        <v>1145</v>
      </c>
      <c r="C1009" s="39" t="s">
        <v>1067</v>
      </c>
      <c r="D1009" s="236"/>
      <c r="E1009" s="236"/>
      <c r="F1009" s="236"/>
      <c r="G1009" s="236"/>
      <c r="H1009" s="40">
        <f>SUM(Tabla132112414[[#This Row],[PRIMER TRIMESTRE]:[CUARTO TRIMESTRE]])</f>
        <v>0</v>
      </c>
      <c r="I1009" s="17">
        <v>184000</v>
      </c>
      <c r="J1009" s="17">
        <f t="shared" si="26"/>
        <v>0</v>
      </c>
      <c r="K1009" s="17"/>
      <c r="L1009" s="16" t="s">
        <v>18</v>
      </c>
      <c r="M1009" s="16" t="s">
        <v>22</v>
      </c>
      <c r="N1009" s="39" t="s">
        <v>418</v>
      </c>
    </row>
    <row r="1010" spans="1:14" s="26" customFormat="1" ht="30.75" customHeight="1">
      <c r="A1010" s="178" t="s">
        <v>99</v>
      </c>
      <c r="B1010" s="75" t="s">
        <v>1146</v>
      </c>
      <c r="C1010" s="39" t="s">
        <v>1067</v>
      </c>
      <c r="D1010" s="236"/>
      <c r="E1010" s="236"/>
      <c r="F1010" s="236"/>
      <c r="G1010" s="236"/>
      <c r="H1010" s="40">
        <f>SUM(Tabla132112414[[#This Row],[PRIMER TRIMESTRE]:[CUARTO TRIMESTRE]])</f>
        <v>0</v>
      </c>
      <c r="I1010" s="17">
        <v>85000</v>
      </c>
      <c r="J1010" s="17">
        <f t="shared" si="26"/>
        <v>0</v>
      </c>
      <c r="K1010" s="17"/>
      <c r="L1010" s="16" t="s">
        <v>18</v>
      </c>
      <c r="M1010" s="16" t="s">
        <v>22</v>
      </c>
      <c r="N1010" s="39" t="s">
        <v>418</v>
      </c>
    </row>
    <row r="1011" spans="1:14" s="12" customFormat="1" ht="30.75" customHeight="1">
      <c r="A1011" s="178" t="s">
        <v>99</v>
      </c>
      <c r="B1011" s="75" t="s">
        <v>1147</v>
      </c>
      <c r="C1011" s="39" t="s">
        <v>1067</v>
      </c>
      <c r="D1011" s="236"/>
      <c r="E1011" s="236"/>
      <c r="F1011" s="236"/>
      <c r="G1011" s="236"/>
      <c r="H1011" s="40">
        <f>SUM(Tabla132112414[[#This Row],[PRIMER TRIMESTRE]:[CUARTO TRIMESTRE]])</f>
        <v>0</v>
      </c>
      <c r="I1011" s="17">
        <v>10000</v>
      </c>
      <c r="J1011" s="17">
        <f t="shared" si="26"/>
        <v>0</v>
      </c>
      <c r="K1011" s="17"/>
      <c r="L1011" s="16" t="s">
        <v>18</v>
      </c>
      <c r="M1011" s="16" t="s">
        <v>22</v>
      </c>
      <c r="N1011" s="39" t="s">
        <v>418</v>
      </c>
    </row>
    <row r="1012" spans="1:14" s="12" customFormat="1" ht="30.75" customHeight="1">
      <c r="A1012" s="178" t="s">
        <v>99</v>
      </c>
      <c r="B1012" s="75" t="s">
        <v>1452</v>
      </c>
      <c r="C1012" s="39" t="s">
        <v>17</v>
      </c>
      <c r="D1012" s="236"/>
      <c r="E1012" s="236"/>
      <c r="F1012" s="236"/>
      <c r="G1012" s="236"/>
      <c r="H1012" s="236">
        <f>SUM(Tabla132112414[[#This Row],[PRIMER TRIMESTRE]:[CUARTO TRIMESTRE]])</f>
        <v>0</v>
      </c>
      <c r="I1012" s="17">
        <v>5589.05</v>
      </c>
      <c r="J1012" s="17">
        <f t="shared" si="26"/>
        <v>0</v>
      </c>
      <c r="K1012" s="17"/>
      <c r="L1012" s="16" t="s">
        <v>27</v>
      </c>
      <c r="M1012" s="16" t="s">
        <v>19</v>
      </c>
      <c r="N1012" s="39" t="s">
        <v>342</v>
      </c>
    </row>
    <row r="1013" spans="1:14" s="12" customFormat="1" ht="30.75" customHeight="1">
      <c r="A1013" s="178" t="s">
        <v>99</v>
      </c>
      <c r="B1013" s="75" t="s">
        <v>1453</v>
      </c>
      <c r="C1013" s="39" t="s">
        <v>17</v>
      </c>
      <c r="D1013" s="236"/>
      <c r="E1013" s="236"/>
      <c r="F1013" s="236"/>
      <c r="G1013" s="236"/>
      <c r="H1013" s="236">
        <f>SUM(Tabla132112414[[#This Row],[PRIMER TRIMESTRE]:[CUARTO TRIMESTRE]])</f>
        <v>0</v>
      </c>
      <c r="I1013" s="17">
        <v>15710.6</v>
      </c>
      <c r="J1013" s="17">
        <f t="shared" si="26"/>
        <v>0</v>
      </c>
      <c r="K1013" s="17"/>
      <c r="L1013" s="16" t="s">
        <v>27</v>
      </c>
      <c r="M1013" s="16" t="s">
        <v>19</v>
      </c>
      <c r="N1013" s="39" t="s">
        <v>342</v>
      </c>
    </row>
    <row r="1014" spans="1:14" s="12" customFormat="1" ht="30.75" customHeight="1">
      <c r="A1014" s="178" t="s">
        <v>99</v>
      </c>
      <c r="B1014" s="75" t="s">
        <v>1454</v>
      </c>
      <c r="C1014" s="39" t="s">
        <v>17</v>
      </c>
      <c r="D1014" s="236"/>
      <c r="E1014" s="236"/>
      <c r="F1014" s="236"/>
      <c r="G1014" s="236"/>
      <c r="H1014" s="236">
        <f>SUM(Tabla132112414[[#This Row],[PRIMER TRIMESTRE]:[CUARTO TRIMESTRE]])</f>
        <v>0</v>
      </c>
      <c r="I1014" s="17">
        <v>5347.87</v>
      </c>
      <c r="J1014" s="17">
        <f t="shared" si="26"/>
        <v>0</v>
      </c>
      <c r="K1014" s="17"/>
      <c r="L1014" s="16" t="s">
        <v>27</v>
      </c>
      <c r="M1014" s="16" t="s">
        <v>19</v>
      </c>
      <c r="N1014" s="39" t="s">
        <v>342</v>
      </c>
    </row>
    <row r="1015" spans="1:14" s="12" customFormat="1" ht="30.75" customHeight="1">
      <c r="A1015" s="178" t="s">
        <v>99</v>
      </c>
      <c r="B1015" s="75" t="s">
        <v>1455</v>
      </c>
      <c r="C1015" s="39" t="s">
        <v>17</v>
      </c>
      <c r="D1015" s="236"/>
      <c r="E1015" s="236"/>
      <c r="F1015" s="236"/>
      <c r="G1015" s="236"/>
      <c r="H1015" s="236">
        <f>SUM(Tabla132112414[[#This Row],[PRIMER TRIMESTRE]:[CUARTO TRIMESTRE]])</f>
        <v>0</v>
      </c>
      <c r="I1015" s="17">
        <v>213.48</v>
      </c>
      <c r="J1015" s="17">
        <f t="shared" si="26"/>
        <v>0</v>
      </c>
      <c r="K1015" s="17"/>
      <c r="L1015" s="16" t="s">
        <v>27</v>
      </c>
      <c r="M1015" s="16" t="s">
        <v>19</v>
      </c>
      <c r="N1015" s="39" t="s">
        <v>342</v>
      </c>
    </row>
    <row r="1016" spans="1:14" s="12" customFormat="1" ht="30.75" customHeight="1">
      <c r="A1016" s="178" t="s">
        <v>99</v>
      </c>
      <c r="B1016" s="75" t="s">
        <v>1456</v>
      </c>
      <c r="C1016" s="39" t="s">
        <v>17</v>
      </c>
      <c r="D1016" s="236"/>
      <c r="E1016" s="236"/>
      <c r="F1016" s="236"/>
      <c r="G1016" s="236"/>
      <c r="H1016" s="236">
        <f>SUM(Tabla132112414[[#This Row],[PRIMER TRIMESTRE]:[CUARTO TRIMESTRE]])</f>
        <v>0</v>
      </c>
      <c r="I1016" s="17">
        <v>719</v>
      </c>
      <c r="J1016" s="17">
        <f t="shared" si="26"/>
        <v>0</v>
      </c>
      <c r="K1016" s="17"/>
      <c r="L1016" s="16" t="s">
        <v>27</v>
      </c>
      <c r="M1016" s="16" t="s">
        <v>19</v>
      </c>
      <c r="N1016" s="39" t="s">
        <v>342</v>
      </c>
    </row>
    <row r="1017" spans="1:14" s="12" customFormat="1" ht="30.75" customHeight="1">
      <c r="A1017" s="178" t="s">
        <v>99</v>
      </c>
      <c r="B1017" s="75" t="s">
        <v>1457</v>
      </c>
      <c r="C1017" s="39" t="s">
        <v>17</v>
      </c>
      <c r="D1017" s="236"/>
      <c r="E1017" s="236"/>
      <c r="F1017" s="236"/>
      <c r="G1017" s="236"/>
      <c r="H1017" s="236">
        <f>SUM(Tabla132112414[[#This Row],[PRIMER TRIMESTRE]:[CUARTO TRIMESTRE]])</f>
        <v>0</v>
      </c>
      <c r="I1017" s="17">
        <v>213.48</v>
      </c>
      <c r="J1017" s="17">
        <f t="shared" si="26"/>
        <v>0</v>
      </c>
      <c r="K1017" s="17"/>
      <c r="L1017" s="16" t="s">
        <v>27</v>
      </c>
      <c r="M1017" s="16" t="s">
        <v>19</v>
      </c>
      <c r="N1017" s="39" t="s">
        <v>342</v>
      </c>
    </row>
    <row r="1018" spans="1:14" s="12" customFormat="1" ht="30.75" customHeight="1">
      <c r="A1018" s="178" t="s">
        <v>99</v>
      </c>
      <c r="B1018" s="75" t="s">
        <v>1458</v>
      </c>
      <c r="C1018" s="39" t="s">
        <v>17</v>
      </c>
      <c r="D1018" s="236"/>
      <c r="E1018" s="236"/>
      <c r="F1018" s="236"/>
      <c r="G1018" s="236"/>
      <c r="H1018" s="236">
        <f>SUM(Tabla132112414[[#This Row],[PRIMER TRIMESTRE]:[CUARTO TRIMESTRE]])</f>
        <v>0</v>
      </c>
      <c r="I1018" s="17">
        <v>1100</v>
      </c>
      <c r="J1018" s="17">
        <f t="shared" si="26"/>
        <v>0</v>
      </c>
      <c r="K1018" s="17"/>
      <c r="L1018" s="16" t="s">
        <v>27</v>
      </c>
      <c r="M1018" s="16" t="s">
        <v>19</v>
      </c>
      <c r="N1018" s="39" t="s">
        <v>342</v>
      </c>
    </row>
    <row r="1019" spans="1:14" s="26" customFormat="1" ht="30.75" customHeight="1">
      <c r="A1019" s="178" t="s">
        <v>99</v>
      </c>
      <c r="B1019" s="75" t="s">
        <v>1459</v>
      </c>
      <c r="C1019" s="39" t="s">
        <v>33</v>
      </c>
      <c r="D1019" s="236"/>
      <c r="E1019" s="236"/>
      <c r="F1019" s="236"/>
      <c r="G1019" s="236"/>
      <c r="H1019" s="236">
        <f>SUM(Tabla132112414[[#This Row],[PRIMER TRIMESTRE]:[CUARTO TRIMESTRE]])</f>
        <v>0</v>
      </c>
      <c r="I1019" s="17">
        <v>250</v>
      </c>
      <c r="J1019" s="17">
        <f t="shared" si="26"/>
        <v>0</v>
      </c>
      <c r="K1019" s="17"/>
      <c r="L1019" s="16" t="s">
        <v>27</v>
      </c>
      <c r="M1019" s="16" t="s">
        <v>19</v>
      </c>
      <c r="N1019" s="39" t="s">
        <v>342</v>
      </c>
    </row>
    <row r="1020" spans="1:14" s="12" customFormat="1" ht="30.75" customHeight="1">
      <c r="A1020" s="178" t="s">
        <v>99</v>
      </c>
      <c r="B1020" s="75" t="s">
        <v>1460</v>
      </c>
      <c r="C1020" s="39" t="s">
        <v>208</v>
      </c>
      <c r="D1020" s="236"/>
      <c r="E1020" s="236"/>
      <c r="F1020" s="236"/>
      <c r="G1020" s="236"/>
      <c r="H1020" s="236">
        <f>SUM(Tabla132112414[[#This Row],[PRIMER TRIMESTRE]:[CUARTO TRIMESTRE]])</f>
        <v>0</v>
      </c>
      <c r="I1020" s="17">
        <v>1130</v>
      </c>
      <c r="J1020" s="17">
        <f t="shared" si="26"/>
        <v>0</v>
      </c>
      <c r="K1020" s="17"/>
      <c r="L1020" s="16" t="s">
        <v>27</v>
      </c>
      <c r="M1020" s="16" t="s">
        <v>19</v>
      </c>
      <c r="N1020" s="39" t="s">
        <v>342</v>
      </c>
    </row>
    <row r="1021" spans="1:14" s="12" customFormat="1" ht="30.75" customHeight="1">
      <c r="A1021" s="179" t="s">
        <v>99</v>
      </c>
      <c r="B1021" s="76"/>
      <c r="C1021" s="42"/>
      <c r="D1021" s="237"/>
      <c r="E1021" s="237"/>
      <c r="F1021" s="237"/>
      <c r="G1021" s="237"/>
      <c r="H1021" s="43"/>
      <c r="I1021" s="24"/>
      <c r="J1021" s="24"/>
      <c r="K1021" s="25">
        <f>SUM(J890:J1020)</f>
        <v>0</v>
      </c>
      <c r="L1021" s="23"/>
      <c r="M1021" s="23"/>
      <c r="N1021" s="42"/>
    </row>
    <row r="1022" spans="1:14" s="12" customFormat="1" ht="30.75" customHeight="1">
      <c r="A1022" s="178" t="s">
        <v>113</v>
      </c>
      <c r="B1022" s="75" t="s">
        <v>236</v>
      </c>
      <c r="C1022" s="39" t="s">
        <v>17</v>
      </c>
      <c r="D1022" s="236"/>
      <c r="E1022" s="236"/>
      <c r="F1022" s="236"/>
      <c r="G1022" s="236"/>
      <c r="H1022" s="40">
        <f>SUM(Tabla132112414[[#This Row],[PRIMER TRIMESTRE]:[CUARTO TRIMESTRE]])</f>
        <v>0</v>
      </c>
      <c r="I1022" s="17">
        <v>806.2</v>
      </c>
      <c r="J1022" s="17">
        <f>+Tabla132112414[[#This Row],[CANTIDAD TOTAL]]*Tabla132112414[[#This Row],[PRECIO UNITARIO ESTIMADO]]</f>
        <v>0</v>
      </c>
      <c r="K1022" s="17"/>
      <c r="L1022" s="16" t="s">
        <v>15</v>
      </c>
      <c r="M1022" s="16" t="s">
        <v>22</v>
      </c>
      <c r="N1022" s="39" t="s">
        <v>418</v>
      </c>
    </row>
    <row r="1023" spans="1:14" s="12" customFormat="1" ht="30.75" customHeight="1">
      <c r="A1023" s="178" t="s">
        <v>113</v>
      </c>
      <c r="B1023" s="75" t="s">
        <v>233</v>
      </c>
      <c r="C1023" s="39" t="s">
        <v>234</v>
      </c>
      <c r="D1023" s="236"/>
      <c r="E1023" s="236"/>
      <c r="F1023" s="236"/>
      <c r="G1023" s="236"/>
      <c r="H1023" s="40">
        <f>SUM(Tabla132112414[[#This Row],[PRIMER TRIMESTRE]:[CUARTO TRIMESTRE]])</f>
        <v>0</v>
      </c>
      <c r="I1023" s="17">
        <v>7099.2</v>
      </c>
      <c r="J1023" s="17">
        <f>+Tabla132112414[[#This Row],[CANTIDAD TOTAL]]*Tabla132112414[[#This Row],[PRECIO UNITARIO ESTIMADO]]</f>
        <v>0</v>
      </c>
      <c r="K1023" s="17"/>
      <c r="L1023" s="16" t="s">
        <v>27</v>
      </c>
      <c r="M1023" s="16" t="s">
        <v>22</v>
      </c>
      <c r="N1023" s="39" t="s">
        <v>418</v>
      </c>
    </row>
    <row r="1024" spans="1:14" s="12" customFormat="1" ht="30.75" customHeight="1">
      <c r="A1024" s="178" t="s">
        <v>113</v>
      </c>
      <c r="B1024" s="75" t="s">
        <v>235</v>
      </c>
      <c r="C1024" s="39" t="s">
        <v>69</v>
      </c>
      <c r="D1024" s="236"/>
      <c r="E1024" s="236"/>
      <c r="F1024" s="236"/>
      <c r="G1024" s="236"/>
      <c r="H1024" s="40">
        <f>SUM(Tabla132112414[[#This Row],[PRIMER TRIMESTRE]:[CUARTO TRIMESTRE]])</f>
        <v>0</v>
      </c>
      <c r="I1024" s="17">
        <v>52.2</v>
      </c>
      <c r="J1024" s="17">
        <f>+Tabla132112414[[#This Row],[CANTIDAD TOTAL]]*Tabla132112414[[#This Row],[PRECIO UNITARIO ESTIMADO]]</f>
        <v>0</v>
      </c>
      <c r="K1024" s="17"/>
      <c r="L1024" s="16" t="s">
        <v>27</v>
      </c>
      <c r="M1024" s="16" t="s">
        <v>22</v>
      </c>
      <c r="N1024" s="39" t="s">
        <v>418</v>
      </c>
    </row>
    <row r="1025" spans="1:14" s="12" customFormat="1" ht="30">
      <c r="A1025" s="178" t="s">
        <v>113</v>
      </c>
      <c r="B1025" s="75" t="s">
        <v>320</v>
      </c>
      <c r="C1025" s="39" t="s">
        <v>17</v>
      </c>
      <c r="D1025" s="236"/>
      <c r="E1025" s="236"/>
      <c r="F1025" s="236"/>
      <c r="G1025" s="236"/>
      <c r="H1025" s="40">
        <f>SUM(Tabla132112414[[#This Row],[PRIMER TRIMESTRE]:[CUARTO TRIMESTRE]])</f>
        <v>0</v>
      </c>
      <c r="I1025" s="17">
        <f>41960.8/121</f>
        <v>346.7834710743802</v>
      </c>
      <c r="J1025" s="17">
        <f>+Tabla132112414[[#This Row],[CANTIDAD TOTAL]]*Tabla132112414[[#This Row],[PRECIO UNITARIO ESTIMADO]]</f>
        <v>0</v>
      </c>
      <c r="K1025" s="17"/>
      <c r="L1025" s="16" t="s">
        <v>15</v>
      </c>
      <c r="M1025" s="16" t="s">
        <v>22</v>
      </c>
      <c r="N1025" s="39" t="s">
        <v>418</v>
      </c>
    </row>
    <row r="1026" spans="1:14" s="26" customFormat="1" ht="30">
      <c r="A1026" s="178" t="s">
        <v>113</v>
      </c>
      <c r="B1026" s="75" t="s">
        <v>237</v>
      </c>
      <c r="C1026" s="39" t="s">
        <v>17</v>
      </c>
      <c r="D1026" s="236"/>
      <c r="E1026" s="236"/>
      <c r="F1026" s="236"/>
      <c r="G1026" s="236"/>
      <c r="H1026" s="40">
        <f>SUM(Tabla132112414[[#This Row],[PRIMER TRIMESTRE]:[CUARTO TRIMESTRE]])</f>
        <v>0</v>
      </c>
      <c r="I1026" s="17">
        <v>668</v>
      </c>
      <c r="J1026" s="17">
        <f>+Tabla132112414[[#This Row],[CANTIDAD TOTAL]]*Tabla132112414[[#This Row],[PRECIO UNITARIO ESTIMADO]]</f>
        <v>0</v>
      </c>
      <c r="K1026" s="17"/>
      <c r="L1026" s="16" t="s">
        <v>15</v>
      </c>
      <c r="M1026" s="16" t="s">
        <v>22</v>
      </c>
      <c r="N1026" s="39" t="s">
        <v>418</v>
      </c>
    </row>
    <row r="1027" spans="1:14" s="169" customFormat="1" ht="30">
      <c r="A1027" s="178" t="s">
        <v>113</v>
      </c>
      <c r="B1027" s="75" t="s">
        <v>238</v>
      </c>
      <c r="C1027" s="39" t="s">
        <v>208</v>
      </c>
      <c r="D1027" s="236"/>
      <c r="E1027" s="236"/>
      <c r="F1027" s="236"/>
      <c r="G1027" s="236"/>
      <c r="H1027" s="40">
        <f>SUM(Tabla132112414[[#This Row],[PRIMER TRIMESTRE]:[CUARTO TRIMESTRE]])</f>
        <v>0</v>
      </c>
      <c r="I1027" s="17">
        <v>754</v>
      </c>
      <c r="J1027" s="17">
        <f>+Tabla132112414[[#This Row],[CANTIDAD TOTAL]]*Tabla132112414[[#This Row],[PRECIO UNITARIO ESTIMADO]]</f>
        <v>0</v>
      </c>
      <c r="K1027" s="17"/>
      <c r="L1027" s="16" t="s">
        <v>27</v>
      </c>
      <c r="M1027" s="16" t="s">
        <v>22</v>
      </c>
      <c r="N1027" s="39" t="s">
        <v>418</v>
      </c>
    </row>
    <row r="1028" spans="1:14" s="12" customFormat="1" ht="31.5">
      <c r="A1028" s="179" t="s">
        <v>113</v>
      </c>
      <c r="B1028" s="76"/>
      <c r="C1028" s="42"/>
      <c r="D1028" s="237"/>
      <c r="E1028" s="237"/>
      <c r="F1028" s="237"/>
      <c r="G1028" s="237"/>
      <c r="H1028" s="43"/>
      <c r="I1028" s="24"/>
      <c r="J1028" s="24"/>
      <c r="K1028" s="25">
        <f>SUM(J1022:J1027)</f>
        <v>0</v>
      </c>
      <c r="L1028" s="23"/>
      <c r="M1028" s="23"/>
      <c r="N1028" s="42"/>
    </row>
    <row r="1029" spans="1:14" s="12" customFormat="1" ht="18">
      <c r="A1029" s="180" t="s">
        <v>115</v>
      </c>
      <c r="B1029" s="77" t="s">
        <v>319</v>
      </c>
      <c r="C1029" s="70" t="s">
        <v>17</v>
      </c>
      <c r="D1029" s="210"/>
      <c r="E1029" s="210"/>
      <c r="F1029" s="210"/>
      <c r="G1029" s="210"/>
      <c r="H1029" s="406">
        <f>SUM(Tabla132112414[[#This Row],[PRIMER TRIMESTRE]:[CUARTO TRIMESTRE]])</f>
        <v>0</v>
      </c>
      <c r="I1029" s="72">
        <f>544724/8</f>
        <v>68090.5</v>
      </c>
      <c r="J1029" s="72">
        <f>+Tabla132112414[[#This Row],[CANTIDAD TOTAL]]*Tabla132112414[[#This Row],[PRECIO UNITARIO ESTIMADO]]</f>
        <v>0</v>
      </c>
      <c r="K1029" s="72"/>
      <c r="L1029" s="73" t="s">
        <v>18</v>
      </c>
      <c r="M1029" s="73" t="s">
        <v>22</v>
      </c>
      <c r="N1029" s="70" t="s">
        <v>418</v>
      </c>
    </row>
    <row r="1030" spans="1:14" s="12" customFormat="1" ht="18">
      <c r="A1030" s="178" t="s">
        <v>115</v>
      </c>
      <c r="B1030" s="75" t="s">
        <v>428</v>
      </c>
      <c r="C1030" s="39" t="s">
        <v>17</v>
      </c>
      <c r="D1030" s="236"/>
      <c r="E1030" s="236"/>
      <c r="F1030" s="236"/>
      <c r="G1030" s="236"/>
      <c r="H1030" s="40">
        <f>SUM(Tabla132112414[[#This Row],[PRIMER TRIMESTRE]:[CUARTO TRIMESTRE]])</f>
        <v>0</v>
      </c>
      <c r="I1030" s="17">
        <v>3074</v>
      </c>
      <c r="J1030" s="17">
        <f>+Tabla132112414[[#This Row],[CANTIDAD TOTAL]]*Tabla132112414[[#This Row],[PRECIO UNITARIO ESTIMADO]]</f>
        <v>0</v>
      </c>
      <c r="K1030" s="17"/>
      <c r="L1030" s="73" t="s">
        <v>18</v>
      </c>
      <c r="M1030" s="16" t="s">
        <v>22</v>
      </c>
      <c r="N1030" s="39" t="s">
        <v>418</v>
      </c>
    </row>
    <row r="1031" spans="1:14" s="12" customFormat="1" ht="18">
      <c r="A1031" s="178" t="s">
        <v>115</v>
      </c>
      <c r="B1031" s="75" t="s">
        <v>244</v>
      </c>
      <c r="C1031" s="39" t="s">
        <v>17</v>
      </c>
      <c r="D1031" s="236"/>
      <c r="E1031" s="236"/>
      <c r="F1031" s="236"/>
      <c r="G1031" s="236"/>
      <c r="H1031" s="40">
        <f>SUM(Tabla132112414[[#This Row],[PRIMER TRIMESTRE]:[CUARTO TRIMESTRE]])</f>
        <v>0</v>
      </c>
      <c r="I1031" s="17">
        <v>24940</v>
      </c>
      <c r="J1031" s="17">
        <f>+Tabla132112414[[#This Row],[CANTIDAD TOTAL]]*Tabla132112414[[#This Row],[PRECIO UNITARIO ESTIMADO]]</f>
        <v>0</v>
      </c>
      <c r="K1031" s="17"/>
      <c r="L1031" s="73" t="s">
        <v>18</v>
      </c>
      <c r="M1031" s="16" t="s">
        <v>22</v>
      </c>
      <c r="N1031" s="39" t="s">
        <v>418</v>
      </c>
    </row>
    <row r="1032" spans="1:14" s="169" customFormat="1" ht="18">
      <c r="A1032" s="178" t="s">
        <v>115</v>
      </c>
      <c r="B1032" s="75" t="s">
        <v>429</v>
      </c>
      <c r="C1032" s="39" t="s">
        <v>17</v>
      </c>
      <c r="D1032" s="236"/>
      <c r="E1032" s="236"/>
      <c r="F1032" s="236"/>
      <c r="G1032" s="236"/>
      <c r="H1032" s="40">
        <f>SUM(Tabla132112414[[#This Row],[PRIMER TRIMESTRE]:[CUARTO TRIMESTRE]])</f>
        <v>0</v>
      </c>
      <c r="I1032" s="17">
        <v>77185.240000000005</v>
      </c>
      <c r="J1032" s="17">
        <f>+Tabla132112414[[#This Row],[CANTIDAD TOTAL]]*Tabla132112414[[#This Row],[PRECIO UNITARIO ESTIMADO]]</f>
        <v>0</v>
      </c>
      <c r="K1032" s="17"/>
      <c r="L1032" s="73" t="s">
        <v>18</v>
      </c>
      <c r="M1032" s="16" t="s">
        <v>22</v>
      </c>
      <c r="N1032" s="39" t="s">
        <v>418</v>
      </c>
    </row>
    <row r="1033" spans="1:14" s="169" customFormat="1" ht="18">
      <c r="A1033" s="178" t="s">
        <v>115</v>
      </c>
      <c r="B1033" s="75" t="s">
        <v>321</v>
      </c>
      <c r="C1033" s="39" t="s">
        <v>17</v>
      </c>
      <c r="D1033" s="236">
        <v>2</v>
      </c>
      <c r="E1033" s="236"/>
      <c r="F1033" s="236"/>
      <c r="G1033" s="236"/>
      <c r="H1033" s="40">
        <f>SUM(Tabla132112414[[#This Row],[PRIMER TRIMESTRE]:[CUARTO TRIMESTRE]])</f>
        <v>2</v>
      </c>
      <c r="I1033" s="17">
        <f>31243.78/16</f>
        <v>1952.7362499999999</v>
      </c>
      <c r="J1033" s="17">
        <f>+Tabla132112414[[#This Row],[CANTIDAD TOTAL]]*Tabla132112414[[#This Row],[PRECIO UNITARIO ESTIMADO]]</f>
        <v>3905.4724999999999</v>
      </c>
      <c r="K1033" s="17"/>
      <c r="L1033" s="73" t="s">
        <v>18</v>
      </c>
      <c r="M1033" s="16" t="s">
        <v>22</v>
      </c>
      <c r="N1033" s="39" t="s">
        <v>418</v>
      </c>
    </row>
    <row r="1034" spans="1:14" s="169" customFormat="1" ht="38.25">
      <c r="A1034" s="180" t="s">
        <v>115</v>
      </c>
      <c r="B1034" s="77" t="s">
        <v>892</v>
      </c>
      <c r="C1034" s="70" t="s">
        <v>17</v>
      </c>
      <c r="D1034" s="210"/>
      <c r="E1034" s="210"/>
      <c r="F1034" s="210"/>
      <c r="G1034" s="210"/>
      <c r="H1034" s="406">
        <f>SUM(Tabla132112414[[#This Row],[PRIMER TRIMESTRE]:[CUARTO TRIMESTRE]])</f>
        <v>0</v>
      </c>
      <c r="I1034" s="72">
        <v>3519</v>
      </c>
      <c r="J1034" s="72">
        <f t="shared" ref="J1034:J1062" si="27">+H1034*I1034</f>
        <v>0</v>
      </c>
      <c r="K1034" s="72"/>
      <c r="L1034" s="73" t="s">
        <v>18</v>
      </c>
      <c r="M1034" s="16" t="s">
        <v>22</v>
      </c>
      <c r="N1034" s="39" t="s">
        <v>418</v>
      </c>
    </row>
    <row r="1035" spans="1:14" s="169" customFormat="1" ht="25.5">
      <c r="A1035" s="180" t="s">
        <v>115</v>
      </c>
      <c r="B1035" s="77" t="s">
        <v>932</v>
      </c>
      <c r="C1035" s="70" t="s">
        <v>17</v>
      </c>
      <c r="D1035" s="210"/>
      <c r="E1035" s="210"/>
      <c r="F1035" s="210"/>
      <c r="G1035" s="210"/>
      <c r="H1035" s="406">
        <f>SUM(Tabla132112414[[#This Row],[PRIMER TRIMESTRE]:[CUARTO TRIMESTRE]])</f>
        <v>0</v>
      </c>
      <c r="I1035" s="72">
        <v>1500</v>
      </c>
      <c r="J1035" s="72">
        <f t="shared" si="27"/>
        <v>0</v>
      </c>
      <c r="K1035" s="72"/>
      <c r="L1035" s="73" t="s">
        <v>18</v>
      </c>
      <c r="M1035" s="16" t="s">
        <v>22</v>
      </c>
      <c r="N1035" s="39" t="s">
        <v>418</v>
      </c>
    </row>
    <row r="1036" spans="1:14" s="169" customFormat="1" ht="25.5">
      <c r="A1036" s="180" t="s">
        <v>115</v>
      </c>
      <c r="B1036" s="77" t="s">
        <v>894</v>
      </c>
      <c r="C1036" s="70" t="s">
        <v>17</v>
      </c>
      <c r="D1036" s="210"/>
      <c r="E1036" s="210"/>
      <c r="F1036" s="210"/>
      <c r="G1036" s="210"/>
      <c r="H1036" s="406">
        <f>SUM(Tabla132112414[[#This Row],[PRIMER TRIMESTRE]:[CUARTO TRIMESTRE]])</f>
        <v>0</v>
      </c>
      <c r="I1036" s="72">
        <v>600</v>
      </c>
      <c r="J1036" s="72">
        <f t="shared" si="27"/>
        <v>0</v>
      </c>
      <c r="K1036" s="72"/>
      <c r="L1036" s="73" t="s">
        <v>18</v>
      </c>
      <c r="M1036" s="16" t="s">
        <v>22</v>
      </c>
      <c r="N1036" s="39" t="s">
        <v>418</v>
      </c>
    </row>
    <row r="1037" spans="1:14" s="169" customFormat="1" ht="25.5">
      <c r="A1037" s="180" t="s">
        <v>115</v>
      </c>
      <c r="B1037" s="77" t="s">
        <v>895</v>
      </c>
      <c r="C1037" s="70" t="s">
        <v>17</v>
      </c>
      <c r="D1037" s="210"/>
      <c r="E1037" s="210"/>
      <c r="F1037" s="210"/>
      <c r="G1037" s="210"/>
      <c r="H1037" s="406">
        <f>SUM(Tabla132112414[[#This Row],[PRIMER TRIMESTRE]:[CUARTO TRIMESTRE]])</f>
        <v>0</v>
      </c>
      <c r="I1037" s="72">
        <v>450</v>
      </c>
      <c r="J1037" s="72">
        <f t="shared" si="27"/>
        <v>0</v>
      </c>
      <c r="K1037" s="72"/>
      <c r="L1037" s="73" t="s">
        <v>18</v>
      </c>
      <c r="M1037" s="16" t="s">
        <v>22</v>
      </c>
      <c r="N1037" s="39" t="s">
        <v>418</v>
      </c>
    </row>
    <row r="1038" spans="1:14" s="169" customFormat="1" ht="18">
      <c r="A1038" s="180" t="s">
        <v>115</v>
      </c>
      <c r="B1038" s="77" t="s">
        <v>897</v>
      </c>
      <c r="C1038" s="70" t="s">
        <v>17</v>
      </c>
      <c r="D1038" s="210"/>
      <c r="E1038" s="210"/>
      <c r="F1038" s="210"/>
      <c r="G1038" s="210"/>
      <c r="H1038" s="406">
        <f>SUM(Tabla132112414[[#This Row],[PRIMER TRIMESTRE]:[CUARTO TRIMESTRE]])</f>
        <v>0</v>
      </c>
      <c r="I1038" s="72">
        <v>85000</v>
      </c>
      <c r="J1038" s="72">
        <f t="shared" si="27"/>
        <v>0</v>
      </c>
      <c r="K1038" s="72"/>
      <c r="L1038" s="73" t="s">
        <v>18</v>
      </c>
      <c r="M1038" s="16" t="s">
        <v>22</v>
      </c>
      <c r="N1038" s="39" t="s">
        <v>418</v>
      </c>
    </row>
    <row r="1039" spans="1:14" s="169" customFormat="1" ht="25.5">
      <c r="A1039" s="180" t="s">
        <v>115</v>
      </c>
      <c r="B1039" s="77" t="s">
        <v>898</v>
      </c>
      <c r="C1039" s="70" t="s">
        <v>17</v>
      </c>
      <c r="D1039" s="210"/>
      <c r="E1039" s="210"/>
      <c r="F1039" s="210"/>
      <c r="G1039" s="210"/>
      <c r="H1039" s="406">
        <f>SUM(Tabla132112414[[#This Row],[PRIMER TRIMESTRE]:[CUARTO TRIMESTRE]])</f>
        <v>0</v>
      </c>
      <c r="I1039" s="72">
        <v>2500</v>
      </c>
      <c r="J1039" s="72">
        <f t="shared" si="27"/>
        <v>0</v>
      </c>
      <c r="K1039" s="72"/>
      <c r="L1039" s="73" t="s">
        <v>18</v>
      </c>
      <c r="M1039" s="16" t="s">
        <v>22</v>
      </c>
      <c r="N1039" s="39" t="s">
        <v>418</v>
      </c>
    </row>
    <row r="1040" spans="1:14" s="169" customFormat="1" ht="38.25">
      <c r="A1040" s="180" t="s">
        <v>115</v>
      </c>
      <c r="B1040" s="77" t="s">
        <v>933</v>
      </c>
      <c r="C1040" s="70" t="s">
        <v>17</v>
      </c>
      <c r="D1040" s="210"/>
      <c r="E1040" s="210"/>
      <c r="F1040" s="210"/>
      <c r="G1040" s="210"/>
      <c r="H1040" s="406">
        <f>SUM(Tabla132112414[[#This Row],[PRIMER TRIMESTRE]:[CUARTO TRIMESTRE]])</f>
        <v>0</v>
      </c>
      <c r="I1040" s="72">
        <v>420</v>
      </c>
      <c r="J1040" s="72">
        <f t="shared" si="27"/>
        <v>0</v>
      </c>
      <c r="K1040" s="72"/>
      <c r="L1040" s="73" t="s">
        <v>18</v>
      </c>
      <c r="M1040" s="16" t="s">
        <v>22</v>
      </c>
      <c r="N1040" s="39" t="s">
        <v>418</v>
      </c>
    </row>
    <row r="1041" spans="1:14" s="169" customFormat="1" ht="38.25">
      <c r="A1041" s="180" t="s">
        <v>115</v>
      </c>
      <c r="B1041" s="77" t="s">
        <v>902</v>
      </c>
      <c r="C1041" s="70" t="s">
        <v>17</v>
      </c>
      <c r="D1041" s="210"/>
      <c r="E1041" s="210"/>
      <c r="F1041" s="210"/>
      <c r="G1041" s="210"/>
      <c r="H1041" s="406">
        <f>SUM(Tabla132112414[[#This Row],[PRIMER TRIMESTRE]:[CUARTO TRIMESTRE]])</f>
        <v>0</v>
      </c>
      <c r="I1041" s="72">
        <v>450</v>
      </c>
      <c r="J1041" s="72">
        <f t="shared" si="27"/>
        <v>0</v>
      </c>
      <c r="K1041" s="72"/>
      <c r="L1041" s="73" t="s">
        <v>18</v>
      </c>
      <c r="M1041" s="16" t="s">
        <v>22</v>
      </c>
      <c r="N1041" s="39" t="s">
        <v>418</v>
      </c>
    </row>
    <row r="1042" spans="1:14" s="169" customFormat="1" ht="18">
      <c r="A1042" s="180" t="s">
        <v>115</v>
      </c>
      <c r="B1042" s="77" t="s">
        <v>934</v>
      </c>
      <c r="C1042" s="70" t="s">
        <v>17</v>
      </c>
      <c r="D1042" s="210"/>
      <c r="E1042" s="210"/>
      <c r="F1042" s="210"/>
      <c r="G1042" s="210"/>
      <c r="H1042" s="406">
        <f>SUM(Tabla132112414[[#This Row],[PRIMER TRIMESTRE]:[CUARTO TRIMESTRE]])</f>
        <v>0</v>
      </c>
      <c r="I1042" s="72">
        <v>125</v>
      </c>
      <c r="J1042" s="72">
        <f t="shared" si="27"/>
        <v>0</v>
      </c>
      <c r="K1042" s="72"/>
      <c r="L1042" s="73" t="s">
        <v>18</v>
      </c>
      <c r="M1042" s="16" t="s">
        <v>22</v>
      </c>
      <c r="N1042" s="39" t="s">
        <v>418</v>
      </c>
    </row>
    <row r="1043" spans="1:14" s="169" customFormat="1" ht="18">
      <c r="A1043" s="180" t="s">
        <v>115</v>
      </c>
      <c r="B1043" s="77" t="s">
        <v>935</v>
      </c>
      <c r="C1043" s="70" t="s">
        <v>208</v>
      </c>
      <c r="D1043" s="210"/>
      <c r="E1043" s="210"/>
      <c r="F1043" s="210"/>
      <c r="G1043" s="210"/>
      <c r="H1043" s="406">
        <f>SUM(Tabla132112414[[#This Row],[PRIMER TRIMESTRE]:[CUARTO TRIMESTRE]])</f>
        <v>0</v>
      </c>
      <c r="I1043" s="72">
        <v>4300</v>
      </c>
      <c r="J1043" s="72">
        <f t="shared" si="27"/>
        <v>0</v>
      </c>
      <c r="K1043" s="72"/>
      <c r="L1043" s="73" t="s">
        <v>18</v>
      </c>
      <c r="M1043" s="16" t="s">
        <v>22</v>
      </c>
      <c r="N1043" s="39" t="s">
        <v>418</v>
      </c>
    </row>
    <row r="1044" spans="1:14" s="169" customFormat="1" ht="25.5">
      <c r="A1044" s="180" t="s">
        <v>115</v>
      </c>
      <c r="B1044" s="77" t="s">
        <v>936</v>
      </c>
      <c r="C1044" s="70" t="s">
        <v>17</v>
      </c>
      <c r="D1044" s="210"/>
      <c r="E1044" s="210"/>
      <c r="F1044" s="210"/>
      <c r="G1044" s="210"/>
      <c r="H1044" s="406">
        <f>SUM(Tabla132112414[[#This Row],[PRIMER TRIMESTRE]:[CUARTO TRIMESTRE]])</f>
        <v>0</v>
      </c>
      <c r="I1044" s="72">
        <v>7300</v>
      </c>
      <c r="J1044" s="72">
        <f t="shared" si="27"/>
        <v>0</v>
      </c>
      <c r="K1044" s="72"/>
      <c r="L1044" s="16" t="s">
        <v>18</v>
      </c>
      <c r="M1044" s="16" t="s">
        <v>22</v>
      </c>
      <c r="N1044" s="39" t="s">
        <v>418</v>
      </c>
    </row>
    <row r="1045" spans="1:14" s="169" customFormat="1" ht="25.5">
      <c r="A1045" s="180" t="s">
        <v>115</v>
      </c>
      <c r="B1045" s="77" t="s">
        <v>937</v>
      </c>
      <c r="C1045" s="70" t="s">
        <v>17</v>
      </c>
      <c r="D1045" s="210"/>
      <c r="E1045" s="210"/>
      <c r="F1045" s="210"/>
      <c r="G1045" s="210"/>
      <c r="H1045" s="406">
        <f>SUM(Tabla132112414[[#This Row],[PRIMER TRIMESTRE]:[CUARTO TRIMESTRE]])</f>
        <v>0</v>
      </c>
      <c r="I1045" s="72">
        <v>14671</v>
      </c>
      <c r="J1045" s="72">
        <f t="shared" si="27"/>
        <v>0</v>
      </c>
      <c r="K1045" s="72"/>
      <c r="L1045" s="73" t="s">
        <v>18</v>
      </c>
      <c r="M1045" s="16" t="s">
        <v>22</v>
      </c>
      <c r="N1045" s="39" t="s">
        <v>418</v>
      </c>
    </row>
    <row r="1046" spans="1:14" s="169" customFormat="1" ht="25.5">
      <c r="A1046" s="180" t="s">
        <v>115</v>
      </c>
      <c r="B1046" s="77" t="s">
        <v>938</v>
      </c>
      <c r="C1046" s="70" t="s">
        <v>17</v>
      </c>
      <c r="D1046" s="210"/>
      <c r="E1046" s="210"/>
      <c r="F1046" s="210"/>
      <c r="G1046" s="210"/>
      <c r="H1046" s="406">
        <f>SUM(Tabla132112414[[#This Row],[PRIMER TRIMESTRE]:[CUARTO TRIMESTRE]])</f>
        <v>0</v>
      </c>
      <c r="I1046" s="72">
        <v>34000</v>
      </c>
      <c r="J1046" s="72">
        <f t="shared" si="27"/>
        <v>0</v>
      </c>
      <c r="K1046" s="72"/>
      <c r="L1046" s="73" t="s">
        <v>18</v>
      </c>
      <c r="M1046" s="16" t="s">
        <v>22</v>
      </c>
      <c r="N1046" s="39" t="s">
        <v>418</v>
      </c>
    </row>
    <row r="1047" spans="1:14" s="169" customFormat="1" ht="18">
      <c r="A1047" s="180" t="s">
        <v>115</v>
      </c>
      <c r="B1047" s="77" t="s">
        <v>1628</v>
      </c>
      <c r="C1047" s="70" t="s">
        <v>17</v>
      </c>
      <c r="D1047" s="210"/>
      <c r="E1047" s="210"/>
      <c r="F1047" s="406"/>
      <c r="G1047" s="406"/>
      <c r="H1047" s="406">
        <f>SUM(Tabla132112414[[#This Row],[PRIMER TRIMESTRE]:[CUARTO TRIMESTRE]])</f>
        <v>0</v>
      </c>
      <c r="I1047" s="72">
        <v>3500</v>
      </c>
      <c r="J1047" s="72">
        <f t="shared" si="27"/>
        <v>0</v>
      </c>
      <c r="K1047" s="72"/>
      <c r="L1047" s="73" t="s">
        <v>18</v>
      </c>
      <c r="M1047" s="16" t="s">
        <v>22</v>
      </c>
      <c r="N1047" s="39" t="s">
        <v>418</v>
      </c>
    </row>
    <row r="1048" spans="1:14" s="169" customFormat="1" ht="18">
      <c r="A1048" s="180" t="s">
        <v>115</v>
      </c>
      <c r="B1048" s="77" t="s">
        <v>1629</v>
      </c>
      <c r="C1048" s="70" t="s">
        <v>17</v>
      </c>
      <c r="D1048" s="210"/>
      <c r="E1048" s="210"/>
      <c r="F1048" s="249"/>
      <c r="G1048" s="249"/>
      <c r="H1048" s="406">
        <f>SUM(Tabla132112414[[#This Row],[PRIMER TRIMESTRE]:[CUARTO TRIMESTRE]])</f>
        <v>0</v>
      </c>
      <c r="I1048" s="72">
        <v>14000</v>
      </c>
      <c r="J1048" s="72">
        <f t="shared" si="27"/>
        <v>0</v>
      </c>
      <c r="K1048" s="72"/>
      <c r="L1048" s="16" t="s">
        <v>18</v>
      </c>
      <c r="M1048" s="16" t="s">
        <v>22</v>
      </c>
      <c r="N1048" s="39" t="s">
        <v>418</v>
      </c>
    </row>
    <row r="1049" spans="1:14" s="169" customFormat="1" ht="25.5">
      <c r="A1049" s="180" t="s">
        <v>115</v>
      </c>
      <c r="B1049" s="77" t="s">
        <v>939</v>
      </c>
      <c r="C1049" s="70" t="s">
        <v>17</v>
      </c>
      <c r="D1049" s="210"/>
      <c r="E1049" s="210"/>
      <c r="F1049" s="210"/>
      <c r="G1049" s="210"/>
      <c r="H1049" s="406">
        <f>SUM(Tabla132112414[[#This Row],[PRIMER TRIMESTRE]:[CUARTO TRIMESTRE]])</f>
        <v>0</v>
      </c>
      <c r="I1049" s="72">
        <v>34000</v>
      </c>
      <c r="J1049" s="72">
        <f t="shared" si="27"/>
        <v>0</v>
      </c>
      <c r="K1049" s="72"/>
      <c r="L1049" s="16" t="s">
        <v>18</v>
      </c>
      <c r="M1049" s="16" t="s">
        <v>22</v>
      </c>
      <c r="N1049" s="39" t="s">
        <v>418</v>
      </c>
    </row>
    <row r="1050" spans="1:14" s="169" customFormat="1" ht="18">
      <c r="A1050" s="180" t="s">
        <v>115</v>
      </c>
      <c r="B1050" s="77" t="s">
        <v>1630</v>
      </c>
      <c r="C1050" s="70" t="s">
        <v>17</v>
      </c>
      <c r="D1050" s="210"/>
      <c r="E1050" s="210"/>
      <c r="F1050" s="210"/>
      <c r="G1050" s="210"/>
      <c r="H1050" s="406">
        <f>SUM(Tabla132112414[[#This Row],[PRIMER TRIMESTRE]:[CUARTO TRIMESTRE]])</f>
        <v>0</v>
      </c>
      <c r="I1050" s="72">
        <v>4000</v>
      </c>
      <c r="J1050" s="72">
        <f t="shared" si="27"/>
        <v>0</v>
      </c>
      <c r="K1050" s="72"/>
      <c r="L1050" s="16" t="s">
        <v>18</v>
      </c>
      <c r="M1050" s="16" t="s">
        <v>22</v>
      </c>
      <c r="N1050" s="39" t="s">
        <v>418</v>
      </c>
    </row>
    <row r="1051" spans="1:14" s="169" customFormat="1" ht="18">
      <c r="A1051" s="180" t="s">
        <v>115</v>
      </c>
      <c r="B1051" s="77" t="s">
        <v>1631</v>
      </c>
      <c r="C1051" s="70" t="s">
        <v>17</v>
      </c>
      <c r="D1051" s="210"/>
      <c r="E1051" s="210"/>
      <c r="F1051" s="210"/>
      <c r="G1051" s="210"/>
      <c r="H1051" s="406">
        <f>SUM(Tabla132112414[[#This Row],[PRIMER TRIMESTRE]:[CUARTO TRIMESTRE]])</f>
        <v>0</v>
      </c>
      <c r="I1051" s="72">
        <v>20000</v>
      </c>
      <c r="J1051" s="72">
        <f t="shared" si="27"/>
        <v>0</v>
      </c>
      <c r="K1051" s="72"/>
      <c r="L1051" s="16" t="s">
        <v>18</v>
      </c>
      <c r="M1051" s="16" t="s">
        <v>22</v>
      </c>
      <c r="N1051" s="39" t="s">
        <v>418</v>
      </c>
    </row>
    <row r="1052" spans="1:14" s="169" customFormat="1" ht="18">
      <c r="A1052" s="180" t="s">
        <v>115</v>
      </c>
      <c r="B1052" s="77" t="s">
        <v>1632</v>
      </c>
      <c r="C1052" s="70" t="s">
        <v>17</v>
      </c>
      <c r="D1052" s="210"/>
      <c r="E1052" s="210"/>
      <c r="F1052" s="210"/>
      <c r="G1052" s="210"/>
      <c r="H1052" s="406">
        <f>SUM(Tabla132112414[[#This Row],[PRIMER TRIMESTRE]:[CUARTO TRIMESTRE]])</f>
        <v>0</v>
      </c>
      <c r="I1052" s="72">
        <v>300000</v>
      </c>
      <c r="J1052" s="72">
        <f t="shared" si="27"/>
        <v>0</v>
      </c>
      <c r="K1052" s="72"/>
      <c r="L1052" s="73" t="s">
        <v>18</v>
      </c>
      <c r="M1052" s="16" t="s">
        <v>22</v>
      </c>
      <c r="N1052" s="39" t="s">
        <v>418</v>
      </c>
    </row>
    <row r="1053" spans="1:14" s="12" customFormat="1" ht="25.5">
      <c r="A1053" s="180" t="s">
        <v>115</v>
      </c>
      <c r="B1053" s="77" t="s">
        <v>940</v>
      </c>
      <c r="C1053" s="70" t="s">
        <v>17</v>
      </c>
      <c r="D1053" s="210"/>
      <c r="E1053" s="210"/>
      <c r="F1053" s="210"/>
      <c r="G1053" s="210"/>
      <c r="H1053" s="406">
        <f>SUM(Tabla132112414[[#This Row],[PRIMER TRIMESTRE]:[CUARTO TRIMESTRE]])</f>
        <v>0</v>
      </c>
      <c r="I1053" s="72">
        <v>210000</v>
      </c>
      <c r="J1053" s="72">
        <f t="shared" si="27"/>
        <v>0</v>
      </c>
      <c r="K1053" s="72"/>
      <c r="L1053" s="16" t="s">
        <v>18</v>
      </c>
      <c r="M1053" s="16" t="s">
        <v>22</v>
      </c>
      <c r="N1053" s="39" t="s">
        <v>418</v>
      </c>
    </row>
    <row r="1054" spans="1:14" s="12" customFormat="1" ht="25.5">
      <c r="A1054" s="180" t="s">
        <v>115</v>
      </c>
      <c r="B1054" s="77" t="s">
        <v>1887</v>
      </c>
      <c r="C1054" s="70" t="s">
        <v>17</v>
      </c>
      <c r="D1054" s="210">
        <v>1</v>
      </c>
      <c r="E1054" s="210"/>
      <c r="F1054" s="210"/>
      <c r="G1054" s="210"/>
      <c r="H1054" s="406">
        <f>SUM(Tabla132112414[[#This Row],[PRIMER TRIMESTRE]:[CUARTO TRIMESTRE]])</f>
        <v>1</v>
      </c>
      <c r="I1054" s="72">
        <v>35000</v>
      </c>
      <c r="J1054" s="72">
        <f t="shared" si="27"/>
        <v>35000</v>
      </c>
      <c r="K1054" s="72"/>
      <c r="L1054" s="16" t="s">
        <v>18</v>
      </c>
      <c r="M1054" s="16" t="s">
        <v>22</v>
      </c>
      <c r="N1054" s="39" t="s">
        <v>418</v>
      </c>
    </row>
    <row r="1055" spans="1:14" s="12" customFormat="1" ht="25.5">
      <c r="A1055" s="178" t="s">
        <v>115</v>
      </c>
      <c r="B1055" s="75" t="s">
        <v>1752</v>
      </c>
      <c r="C1055" s="39" t="s">
        <v>17</v>
      </c>
      <c r="D1055" s="210"/>
      <c r="E1055" s="210"/>
      <c r="F1055" s="210"/>
      <c r="G1055" s="210"/>
      <c r="H1055" s="406">
        <v>0</v>
      </c>
      <c r="I1055" s="72">
        <v>0</v>
      </c>
      <c r="J1055" s="72">
        <v>0</v>
      </c>
      <c r="K1055" s="72"/>
      <c r="L1055" s="73" t="s">
        <v>18</v>
      </c>
      <c r="M1055" s="16" t="s">
        <v>22</v>
      </c>
      <c r="N1055" s="39" t="s">
        <v>418</v>
      </c>
    </row>
    <row r="1056" spans="1:14" s="12" customFormat="1" ht="18">
      <c r="A1056" s="178" t="s">
        <v>115</v>
      </c>
      <c r="B1056" s="75" t="s">
        <v>1888</v>
      </c>
      <c r="C1056" s="39" t="s">
        <v>17</v>
      </c>
      <c r="D1056" s="210"/>
      <c r="E1056" s="210"/>
      <c r="F1056" s="210"/>
      <c r="G1056" s="210"/>
      <c r="H1056" s="406">
        <v>0</v>
      </c>
      <c r="I1056" s="72">
        <v>0</v>
      </c>
      <c r="J1056" s="72">
        <v>0</v>
      </c>
      <c r="K1056" s="72"/>
      <c r="L1056" s="73" t="s">
        <v>18</v>
      </c>
      <c r="M1056" s="16" t="s">
        <v>22</v>
      </c>
      <c r="N1056" s="39" t="s">
        <v>418</v>
      </c>
    </row>
    <row r="1057" spans="1:14" s="12" customFormat="1" ht="30.75" customHeight="1">
      <c r="A1057" s="178" t="s">
        <v>115</v>
      </c>
      <c r="B1057" s="75" t="s">
        <v>945</v>
      </c>
      <c r="C1057" s="39" t="s">
        <v>17</v>
      </c>
      <c r="D1057" s="236"/>
      <c r="E1057" s="236"/>
      <c r="F1057" s="236"/>
      <c r="G1057" s="236"/>
      <c r="H1057" s="40">
        <f>SUM(Tabla132112414[[#This Row],[PRIMER TRIMESTRE]:[CUARTO TRIMESTRE]])</f>
        <v>0</v>
      </c>
      <c r="I1057" s="17">
        <v>7498</v>
      </c>
      <c r="J1057" s="17">
        <f t="shared" si="27"/>
        <v>0</v>
      </c>
      <c r="K1057" s="17"/>
      <c r="L1057" s="73" t="s">
        <v>18</v>
      </c>
      <c r="M1057" s="16" t="s">
        <v>22</v>
      </c>
      <c r="N1057" s="39" t="s">
        <v>418</v>
      </c>
    </row>
    <row r="1058" spans="1:14" s="12" customFormat="1" ht="30.75" customHeight="1">
      <c r="A1058" s="178" t="s">
        <v>115</v>
      </c>
      <c r="B1058" s="75" t="s">
        <v>946</v>
      </c>
      <c r="C1058" s="39" t="s">
        <v>17</v>
      </c>
      <c r="D1058" s="236"/>
      <c r="E1058" s="236"/>
      <c r="F1058" s="236"/>
      <c r="G1058" s="236"/>
      <c r="H1058" s="40">
        <f>SUM(Tabla132112414[[#This Row],[PRIMER TRIMESTRE]:[CUARTO TRIMESTRE]])</f>
        <v>0</v>
      </c>
      <c r="I1058" s="17">
        <v>4600</v>
      </c>
      <c r="J1058" s="17">
        <f t="shared" si="27"/>
        <v>0</v>
      </c>
      <c r="K1058" s="17"/>
      <c r="L1058" s="73" t="s">
        <v>18</v>
      </c>
      <c r="M1058" s="16" t="s">
        <v>22</v>
      </c>
      <c r="N1058" s="39" t="s">
        <v>418</v>
      </c>
    </row>
    <row r="1059" spans="1:14" s="12" customFormat="1" ht="30.75" customHeight="1">
      <c r="A1059" s="178" t="s">
        <v>115</v>
      </c>
      <c r="B1059" s="75" t="s">
        <v>947</v>
      </c>
      <c r="C1059" s="39" t="s">
        <v>17</v>
      </c>
      <c r="D1059" s="236"/>
      <c r="E1059" s="236"/>
      <c r="F1059" s="236"/>
      <c r="G1059" s="236"/>
      <c r="H1059" s="40">
        <f>SUM(Tabla132112414[[#This Row],[PRIMER TRIMESTRE]:[CUARTO TRIMESTRE]])</f>
        <v>0</v>
      </c>
      <c r="I1059" s="17">
        <v>3496</v>
      </c>
      <c r="J1059" s="17">
        <f t="shared" si="27"/>
        <v>0</v>
      </c>
      <c r="K1059" s="17"/>
      <c r="L1059" s="73" t="s">
        <v>18</v>
      </c>
      <c r="M1059" s="16" t="s">
        <v>22</v>
      </c>
      <c r="N1059" s="39" t="s">
        <v>418</v>
      </c>
    </row>
    <row r="1060" spans="1:14" s="12" customFormat="1" ht="30.75" customHeight="1">
      <c r="A1060" s="178" t="s">
        <v>115</v>
      </c>
      <c r="B1060" s="75" t="s">
        <v>1440</v>
      </c>
      <c r="C1060" s="39" t="s">
        <v>17</v>
      </c>
      <c r="D1060" s="236"/>
      <c r="E1060" s="236"/>
      <c r="F1060" s="236"/>
      <c r="G1060" s="236"/>
      <c r="H1060" s="40">
        <f>SUM(Tabla132112414[[#This Row],[PRIMER TRIMESTRE]:[CUARTO TRIMESTRE]])</f>
        <v>0</v>
      </c>
      <c r="I1060" s="17">
        <v>5310</v>
      </c>
      <c r="J1060" s="17">
        <f t="shared" si="27"/>
        <v>0</v>
      </c>
      <c r="K1060" s="17"/>
      <c r="L1060" s="73" t="s">
        <v>15</v>
      </c>
      <c r="M1060" s="16" t="s">
        <v>22</v>
      </c>
      <c r="N1060" s="39" t="s">
        <v>418</v>
      </c>
    </row>
    <row r="1061" spans="1:14" s="26" customFormat="1" ht="30.75" customHeight="1">
      <c r="A1061" s="178" t="s">
        <v>115</v>
      </c>
      <c r="B1061" s="75" t="s">
        <v>1441</v>
      </c>
      <c r="C1061" s="39" t="s">
        <v>17</v>
      </c>
      <c r="D1061" s="236"/>
      <c r="E1061" s="236"/>
      <c r="F1061" s="236"/>
      <c r="G1061" s="236"/>
      <c r="H1061" s="40">
        <f>SUM(Tabla132112414[[#This Row],[PRIMER TRIMESTRE]:[CUARTO TRIMESTRE]])</f>
        <v>0</v>
      </c>
      <c r="I1061" s="17">
        <v>5310</v>
      </c>
      <c r="J1061" s="17">
        <f t="shared" si="27"/>
        <v>0</v>
      </c>
      <c r="K1061" s="17"/>
      <c r="L1061" s="73" t="s">
        <v>15</v>
      </c>
      <c r="M1061" s="16" t="s">
        <v>22</v>
      </c>
      <c r="N1061" s="39" t="s">
        <v>418</v>
      </c>
    </row>
    <row r="1062" spans="1:14" s="12" customFormat="1" ht="30.75" customHeight="1">
      <c r="A1062" s="178" t="s">
        <v>115</v>
      </c>
      <c r="B1062" s="75" t="s">
        <v>1442</v>
      </c>
      <c r="C1062" s="39" t="s">
        <v>17</v>
      </c>
      <c r="D1062" s="236"/>
      <c r="E1062" s="236"/>
      <c r="F1062" s="236"/>
      <c r="G1062" s="236"/>
      <c r="H1062" s="40">
        <f>SUM(Tabla132112414[[#This Row],[PRIMER TRIMESTRE]:[CUARTO TRIMESTRE]])</f>
        <v>0</v>
      </c>
      <c r="I1062" s="17">
        <v>5310</v>
      </c>
      <c r="J1062" s="17">
        <f t="shared" si="27"/>
        <v>0</v>
      </c>
      <c r="K1062" s="17"/>
      <c r="L1062" s="73" t="s">
        <v>15</v>
      </c>
      <c r="M1062" s="16" t="s">
        <v>22</v>
      </c>
      <c r="N1062" s="39" t="s">
        <v>418</v>
      </c>
    </row>
    <row r="1063" spans="1:14" s="12" customFormat="1" ht="30.75" customHeight="1">
      <c r="A1063" s="179" t="s">
        <v>115</v>
      </c>
      <c r="B1063" s="76"/>
      <c r="C1063" s="42"/>
      <c r="D1063" s="237"/>
      <c r="E1063" s="237"/>
      <c r="F1063" s="237"/>
      <c r="G1063" s="237"/>
      <c r="H1063" s="43"/>
      <c r="I1063" s="24"/>
      <c r="J1063" s="24"/>
      <c r="K1063" s="25">
        <f>SUM(J1029:J1062)</f>
        <v>38905.472500000003</v>
      </c>
      <c r="L1063" s="23"/>
      <c r="M1063" s="23"/>
      <c r="N1063" s="42"/>
    </row>
    <row r="1064" spans="1:14" s="12" customFormat="1" ht="30.75" customHeight="1">
      <c r="A1064" s="178" t="s">
        <v>117</v>
      </c>
      <c r="B1064" s="75" t="s">
        <v>941</v>
      </c>
      <c r="C1064" s="39" t="s">
        <v>17</v>
      </c>
      <c r="D1064" s="236">
        <v>1</v>
      </c>
      <c r="E1064" s="236"/>
      <c r="F1064" s="236"/>
      <c r="G1064" s="236"/>
      <c r="H1064" s="40">
        <f>SUM(Tabla132112414[[#This Row],[PRIMER TRIMESTRE]:[CUARTO TRIMESTRE]])</f>
        <v>1</v>
      </c>
      <c r="I1064" s="109">
        <v>900</v>
      </c>
      <c r="J1064" s="17">
        <f>+H1064*I1064</f>
        <v>900</v>
      </c>
      <c r="K1064" s="17"/>
      <c r="L1064" s="73" t="s">
        <v>18</v>
      </c>
      <c r="M1064" s="16" t="s">
        <v>22</v>
      </c>
      <c r="N1064" s="39"/>
    </row>
    <row r="1065" spans="1:14" s="12" customFormat="1" ht="30.75" customHeight="1">
      <c r="A1065" s="178" t="s">
        <v>117</v>
      </c>
      <c r="B1065" s="75" t="s">
        <v>942</v>
      </c>
      <c r="C1065" s="39" t="s">
        <v>17</v>
      </c>
      <c r="D1065" s="236">
        <v>1</v>
      </c>
      <c r="E1065" s="236"/>
      <c r="F1065" s="236"/>
      <c r="G1065" s="236"/>
      <c r="H1065" s="40">
        <f>SUM(Tabla132112414[[#This Row],[PRIMER TRIMESTRE]:[CUARTO TRIMESTRE]])</f>
        <v>1</v>
      </c>
      <c r="I1065" s="109">
        <v>900</v>
      </c>
      <c r="J1065" s="17">
        <f>+H1065*I1065</f>
        <v>900</v>
      </c>
      <c r="K1065" s="17"/>
      <c r="L1065" s="73" t="s">
        <v>18</v>
      </c>
      <c r="M1065" s="16" t="s">
        <v>22</v>
      </c>
      <c r="N1065" s="39" t="s">
        <v>418</v>
      </c>
    </row>
    <row r="1066" spans="1:14" s="12" customFormat="1" ht="30.75" customHeight="1">
      <c r="A1066" s="178" t="s">
        <v>117</v>
      </c>
      <c r="B1066" s="75" t="s">
        <v>943</v>
      </c>
      <c r="C1066" s="39" t="s">
        <v>17</v>
      </c>
      <c r="D1066" s="236"/>
      <c r="E1066" s="236"/>
      <c r="F1066" s="236"/>
      <c r="G1066" s="236"/>
      <c r="H1066" s="40">
        <f>SUM(Tabla132112414[[#This Row],[PRIMER TRIMESTRE]:[CUARTO TRIMESTRE]])</f>
        <v>0</v>
      </c>
      <c r="I1066" s="17">
        <v>800000</v>
      </c>
      <c r="J1066" s="17">
        <f>+H1066*I1066</f>
        <v>0</v>
      </c>
      <c r="K1066" s="17"/>
      <c r="L1066" s="16" t="s">
        <v>18</v>
      </c>
      <c r="M1066" s="16" t="s">
        <v>22</v>
      </c>
      <c r="N1066" s="39" t="s">
        <v>418</v>
      </c>
    </row>
    <row r="1067" spans="1:14" s="12" customFormat="1" ht="30.75" customHeight="1">
      <c r="A1067" s="178" t="s">
        <v>117</v>
      </c>
      <c r="B1067" s="75" t="s">
        <v>1402</v>
      </c>
      <c r="C1067" s="39" t="s">
        <v>17</v>
      </c>
      <c r="D1067" s="236"/>
      <c r="E1067" s="236"/>
      <c r="F1067" s="236"/>
      <c r="G1067" s="236"/>
      <c r="H1067" s="40">
        <f>SUM(Tabla132112414[[#This Row],[PRIMER TRIMESTRE]:[CUARTO TRIMESTRE]])</f>
        <v>0</v>
      </c>
      <c r="I1067" s="17">
        <v>758</v>
      </c>
      <c r="J1067" s="17">
        <f>+Tabla132112414[[#This Row],[CANTIDAD TOTAL]]*Tabla132112414[[#This Row],[PRECIO UNITARIO ESTIMADO]]</f>
        <v>0</v>
      </c>
      <c r="K1067" s="17"/>
      <c r="L1067" s="73" t="s">
        <v>18</v>
      </c>
      <c r="M1067" s="16" t="s">
        <v>22</v>
      </c>
      <c r="N1067" s="39" t="s">
        <v>418</v>
      </c>
    </row>
    <row r="1068" spans="1:14" s="12" customFormat="1" ht="30.75" customHeight="1">
      <c r="A1068" s="178" t="s">
        <v>117</v>
      </c>
      <c r="B1068" s="75" t="s">
        <v>944</v>
      </c>
      <c r="C1068" s="39" t="s">
        <v>17</v>
      </c>
      <c r="D1068" s="236"/>
      <c r="E1068" s="236"/>
      <c r="F1068" s="236"/>
      <c r="G1068" s="236"/>
      <c r="H1068" s="40">
        <f>SUM(Tabla132112414[[#This Row],[PRIMER TRIMESTRE]:[CUARTO TRIMESTRE]])</f>
        <v>0</v>
      </c>
      <c r="I1068" s="17">
        <v>12000</v>
      </c>
      <c r="J1068" s="17">
        <f t="shared" ref="J1068:J1077" si="28">+H1068*I1068</f>
        <v>0</v>
      </c>
      <c r="K1068" s="17"/>
      <c r="L1068" s="73" t="s">
        <v>18</v>
      </c>
      <c r="M1068" s="16" t="s">
        <v>22</v>
      </c>
      <c r="N1068" s="39" t="s">
        <v>418</v>
      </c>
    </row>
    <row r="1069" spans="1:14" s="12" customFormat="1" ht="30.75" customHeight="1">
      <c r="A1069" s="178" t="s">
        <v>117</v>
      </c>
      <c r="B1069" s="75" t="s">
        <v>1755</v>
      </c>
      <c r="C1069" s="39" t="s">
        <v>17</v>
      </c>
      <c r="D1069" s="236"/>
      <c r="E1069" s="236"/>
      <c r="F1069" s="236"/>
      <c r="G1069" s="236"/>
      <c r="H1069" s="40">
        <v>0</v>
      </c>
      <c r="I1069" s="17">
        <v>0</v>
      </c>
      <c r="J1069" s="17">
        <v>0</v>
      </c>
      <c r="K1069" s="17"/>
      <c r="L1069" s="73" t="s">
        <v>18</v>
      </c>
      <c r="M1069" s="16" t="s">
        <v>22</v>
      </c>
      <c r="N1069" s="39" t="s">
        <v>418</v>
      </c>
    </row>
    <row r="1070" spans="1:14" s="12" customFormat="1" ht="30.75" customHeight="1">
      <c r="A1070" s="178" t="s">
        <v>117</v>
      </c>
      <c r="B1070" s="75" t="s">
        <v>1756</v>
      </c>
      <c r="C1070" s="39" t="s">
        <v>17</v>
      </c>
      <c r="D1070" s="236"/>
      <c r="E1070" s="236"/>
      <c r="F1070" s="236"/>
      <c r="G1070" s="236"/>
      <c r="H1070" s="40">
        <v>0</v>
      </c>
      <c r="I1070" s="17">
        <v>0</v>
      </c>
      <c r="J1070" s="17">
        <v>0</v>
      </c>
      <c r="K1070" s="17"/>
      <c r="L1070" s="73" t="s">
        <v>18</v>
      </c>
      <c r="M1070" s="16" t="s">
        <v>22</v>
      </c>
      <c r="N1070" s="39" t="s">
        <v>418</v>
      </c>
    </row>
    <row r="1071" spans="1:14" s="12" customFormat="1" ht="30.75" customHeight="1">
      <c r="A1071" s="178" t="s">
        <v>117</v>
      </c>
      <c r="B1071" s="75" t="s">
        <v>1403</v>
      </c>
      <c r="C1071" s="39" t="s">
        <v>17</v>
      </c>
      <c r="D1071" s="236"/>
      <c r="E1071" s="236"/>
      <c r="F1071" s="236"/>
      <c r="G1071" s="236"/>
      <c r="H1071" s="40">
        <f>SUM(Tabla132112414[[#This Row],[PRIMER TRIMESTRE]:[CUARTO TRIMESTRE]])</f>
        <v>0</v>
      </c>
      <c r="I1071" s="17">
        <v>250000</v>
      </c>
      <c r="J1071" s="17">
        <f t="shared" si="28"/>
        <v>0</v>
      </c>
      <c r="K1071" s="17"/>
      <c r="L1071" s="73" t="s">
        <v>18</v>
      </c>
      <c r="M1071" s="16" t="s">
        <v>22</v>
      </c>
      <c r="N1071" s="39" t="s">
        <v>418</v>
      </c>
    </row>
    <row r="1072" spans="1:14" s="12" customFormat="1" ht="30.75" customHeight="1">
      <c r="A1072" s="178" t="s">
        <v>117</v>
      </c>
      <c r="B1072" s="75" t="s">
        <v>1420</v>
      </c>
      <c r="C1072" s="39" t="s">
        <v>17</v>
      </c>
      <c r="D1072" s="236"/>
      <c r="E1072" s="236"/>
      <c r="F1072" s="236"/>
      <c r="G1072" s="236"/>
      <c r="H1072" s="40">
        <f>SUM(Tabla132112414[[#This Row],[PRIMER TRIMESTRE]:[CUARTO TRIMESTRE]])</f>
        <v>0</v>
      </c>
      <c r="I1072" s="17">
        <v>25000000</v>
      </c>
      <c r="J1072" s="17">
        <f t="shared" si="28"/>
        <v>0</v>
      </c>
      <c r="K1072" s="17"/>
      <c r="L1072" s="16" t="s">
        <v>18</v>
      </c>
      <c r="M1072" s="16" t="s">
        <v>22</v>
      </c>
      <c r="N1072" s="39" t="s">
        <v>418</v>
      </c>
    </row>
    <row r="1073" spans="1:14" s="12" customFormat="1" ht="30.75" customHeight="1">
      <c r="A1073" s="178" t="s">
        <v>117</v>
      </c>
      <c r="B1073" s="75" t="s">
        <v>1404</v>
      </c>
      <c r="C1073" s="39" t="s">
        <v>17</v>
      </c>
      <c r="D1073" s="236"/>
      <c r="E1073" s="236"/>
      <c r="F1073" s="236"/>
      <c r="G1073" s="236"/>
      <c r="H1073" s="40">
        <f>SUM(Tabla132112414[[#This Row],[PRIMER TRIMESTRE]:[CUARTO TRIMESTRE]])</f>
        <v>0</v>
      </c>
      <c r="I1073" s="17">
        <v>327618.2</v>
      </c>
      <c r="J1073" s="17">
        <f t="shared" si="28"/>
        <v>0</v>
      </c>
      <c r="K1073" s="17"/>
      <c r="L1073" s="73" t="s">
        <v>18</v>
      </c>
      <c r="M1073" s="16" t="s">
        <v>22</v>
      </c>
      <c r="N1073" s="39" t="s">
        <v>418</v>
      </c>
    </row>
    <row r="1074" spans="1:14" s="12" customFormat="1" ht="30.75" customHeight="1">
      <c r="A1074" s="178" t="s">
        <v>117</v>
      </c>
      <c r="B1074" s="75" t="s">
        <v>1405</v>
      </c>
      <c r="C1074" s="39" t="s">
        <v>17</v>
      </c>
      <c r="D1074" s="236"/>
      <c r="E1074" s="236"/>
      <c r="F1074" s="236"/>
      <c r="G1074" s="236"/>
      <c r="H1074" s="40">
        <f>SUM(Tabla132112414[[#This Row],[PRIMER TRIMESTRE]:[CUARTO TRIMESTRE]])</f>
        <v>0</v>
      </c>
      <c r="I1074" s="17">
        <v>815223.95</v>
      </c>
      <c r="J1074" s="17">
        <f t="shared" si="28"/>
        <v>0</v>
      </c>
      <c r="K1074" s="17"/>
      <c r="L1074" s="16" t="s">
        <v>18</v>
      </c>
      <c r="M1074" s="16" t="s">
        <v>22</v>
      </c>
      <c r="N1074" s="39" t="s">
        <v>418</v>
      </c>
    </row>
    <row r="1075" spans="1:14" s="12" customFormat="1" ht="30.75" customHeight="1">
      <c r="A1075" s="178" t="s">
        <v>117</v>
      </c>
      <c r="B1075" s="75" t="s">
        <v>1406</v>
      </c>
      <c r="C1075" s="39" t="s">
        <v>17</v>
      </c>
      <c r="D1075" s="236"/>
      <c r="E1075" s="236"/>
      <c r="F1075" s="236"/>
      <c r="G1075" s="236"/>
      <c r="H1075" s="40">
        <f>SUM(Tabla132112414[[#This Row],[PRIMER TRIMESTRE]:[CUARTO TRIMESTRE]])</f>
        <v>0</v>
      </c>
      <c r="I1075" s="17">
        <v>341286.40000000002</v>
      </c>
      <c r="J1075" s="17">
        <f t="shared" si="28"/>
        <v>0</v>
      </c>
      <c r="K1075" s="17"/>
      <c r="L1075" s="73" t="s">
        <v>18</v>
      </c>
      <c r="M1075" s="16" t="s">
        <v>22</v>
      </c>
      <c r="N1075" s="39" t="s">
        <v>418</v>
      </c>
    </row>
    <row r="1076" spans="1:14" s="26" customFormat="1" ht="30.75" customHeight="1">
      <c r="A1076" s="178" t="s">
        <v>117</v>
      </c>
      <c r="B1076" s="75" t="s">
        <v>1407</v>
      </c>
      <c r="C1076" s="39" t="s">
        <v>17</v>
      </c>
      <c r="D1076" s="236"/>
      <c r="E1076" s="236"/>
      <c r="F1076" s="236"/>
      <c r="G1076" s="236"/>
      <c r="H1076" s="40">
        <f>SUM(Tabla132112414[[#This Row],[PRIMER TRIMESTRE]:[CUARTO TRIMESTRE]])</f>
        <v>0</v>
      </c>
      <c r="I1076" s="17">
        <v>498739.15</v>
      </c>
      <c r="J1076" s="17">
        <f t="shared" si="28"/>
        <v>0</v>
      </c>
      <c r="K1076" s="17"/>
      <c r="L1076" s="73" t="s">
        <v>18</v>
      </c>
      <c r="M1076" s="16" t="s">
        <v>22</v>
      </c>
      <c r="N1076" s="39" t="s">
        <v>418</v>
      </c>
    </row>
    <row r="1077" spans="1:14" s="12" customFormat="1" ht="30.75" customHeight="1">
      <c r="A1077" s="178" t="s">
        <v>117</v>
      </c>
      <c r="B1077" s="75" t="s">
        <v>1408</v>
      </c>
      <c r="C1077" s="39" t="s">
        <v>17</v>
      </c>
      <c r="D1077" s="236"/>
      <c r="E1077" s="236"/>
      <c r="F1077" s="236"/>
      <c r="G1077" s="236"/>
      <c r="H1077" s="40">
        <f>SUM(Tabla132112414[[#This Row],[PRIMER TRIMESTRE]:[CUARTO TRIMESTRE]])</f>
        <v>0</v>
      </c>
      <c r="I1077" s="17">
        <v>48163257.060000002</v>
      </c>
      <c r="J1077" s="17">
        <f t="shared" si="28"/>
        <v>0</v>
      </c>
      <c r="K1077" s="17"/>
      <c r="L1077" s="16" t="s">
        <v>18</v>
      </c>
      <c r="M1077" s="16" t="s">
        <v>22</v>
      </c>
      <c r="N1077" s="39" t="s">
        <v>418</v>
      </c>
    </row>
    <row r="1078" spans="1:14" s="12" customFormat="1" ht="30.75" customHeight="1">
      <c r="A1078" s="179" t="s">
        <v>117</v>
      </c>
      <c r="B1078" s="76" t="s">
        <v>891</v>
      </c>
      <c r="C1078" s="42"/>
      <c r="D1078" s="237"/>
      <c r="E1078" s="237"/>
      <c r="F1078" s="237"/>
      <c r="G1078" s="237"/>
      <c r="H1078" s="43"/>
      <c r="I1078" s="24"/>
      <c r="J1078" s="24"/>
      <c r="K1078" s="25">
        <f>SUM(J1064:J1077)</f>
        <v>1800</v>
      </c>
      <c r="L1078" s="23"/>
      <c r="M1078" s="23"/>
      <c r="N1078" s="42"/>
    </row>
    <row r="1079" spans="1:14" s="12" customFormat="1" ht="30.75" customHeight="1">
      <c r="A1079" s="178" t="s">
        <v>118</v>
      </c>
      <c r="B1079" s="75" t="s">
        <v>241</v>
      </c>
      <c r="C1079" s="39" t="s">
        <v>17</v>
      </c>
      <c r="D1079" s="236"/>
      <c r="E1079" s="236"/>
      <c r="F1079" s="236"/>
      <c r="G1079" s="236"/>
      <c r="H1079" s="40">
        <f>SUM(Tabla132112414[[#This Row],[PRIMER TRIMESTRE]:[CUARTO TRIMESTRE]])</f>
        <v>0</v>
      </c>
      <c r="I1079" s="17">
        <v>7544.8</v>
      </c>
      <c r="J1079" s="17">
        <f>+Tabla132112414[[#This Row],[CANTIDAD TOTAL]]*Tabla132112414[[#This Row],[PRECIO UNITARIO ESTIMADO]]</f>
        <v>0</v>
      </c>
      <c r="K1079" s="17"/>
      <c r="L1079" s="73" t="s">
        <v>27</v>
      </c>
      <c r="M1079" s="16" t="s">
        <v>22</v>
      </c>
      <c r="N1079" s="39" t="s">
        <v>418</v>
      </c>
    </row>
    <row r="1080" spans="1:14" s="12" customFormat="1" ht="30.75" customHeight="1">
      <c r="A1080" s="178" t="s">
        <v>118</v>
      </c>
      <c r="B1080" s="75" t="s">
        <v>242</v>
      </c>
      <c r="C1080" s="39" t="s">
        <v>17</v>
      </c>
      <c r="D1080" s="236"/>
      <c r="E1080" s="236"/>
      <c r="F1080" s="236"/>
      <c r="G1080" s="236"/>
      <c r="H1080" s="40">
        <f>SUM(Tabla132112414[[#This Row],[PRIMER TRIMESTRE]:[CUARTO TRIMESTRE]])</f>
        <v>0</v>
      </c>
      <c r="I1080" s="17">
        <v>4756</v>
      </c>
      <c r="J1080" s="17">
        <f>+Tabla132112414[[#This Row],[CANTIDAD TOTAL]]*Tabla132112414[[#This Row],[PRECIO UNITARIO ESTIMADO]]</f>
        <v>0</v>
      </c>
      <c r="K1080" s="17"/>
      <c r="L1080" s="73" t="s">
        <v>27</v>
      </c>
      <c r="M1080" s="16" t="s">
        <v>22</v>
      </c>
      <c r="N1080" s="39" t="s">
        <v>418</v>
      </c>
    </row>
    <row r="1081" spans="1:14" s="12" customFormat="1" ht="30.75" customHeight="1">
      <c r="A1081" s="178" t="s">
        <v>118</v>
      </c>
      <c r="B1081" s="75" t="s">
        <v>243</v>
      </c>
      <c r="C1081" s="39" t="s">
        <v>17</v>
      </c>
      <c r="D1081" s="236"/>
      <c r="E1081" s="236"/>
      <c r="F1081" s="236"/>
      <c r="G1081" s="236"/>
      <c r="H1081" s="40">
        <f>SUM(Tabla132112414[[#This Row],[PRIMER TRIMESTRE]:[CUARTO TRIMESTRE]])</f>
        <v>0</v>
      </c>
      <c r="I1081" s="17">
        <v>4610.34</v>
      </c>
      <c r="J1081" s="17">
        <f>+Tabla132112414[[#This Row],[CANTIDAD TOTAL]]*Tabla132112414[[#This Row],[PRECIO UNITARIO ESTIMADO]]</f>
        <v>0</v>
      </c>
      <c r="K1081" s="17"/>
      <c r="L1081" s="73" t="s">
        <v>27</v>
      </c>
      <c r="M1081" s="16" t="s">
        <v>22</v>
      </c>
      <c r="N1081" s="39" t="s">
        <v>418</v>
      </c>
    </row>
    <row r="1082" spans="1:14" s="12" customFormat="1" ht="30.75" customHeight="1">
      <c r="A1082" s="178" t="s">
        <v>118</v>
      </c>
      <c r="B1082" s="75" t="s">
        <v>336</v>
      </c>
      <c r="C1082" s="39" t="s">
        <v>17</v>
      </c>
      <c r="D1082" s="236"/>
      <c r="E1082" s="236"/>
      <c r="F1082" s="236"/>
      <c r="G1082" s="236"/>
      <c r="H1082" s="40">
        <f>SUM(Tabla132112414[[#This Row],[PRIMER TRIMESTRE]:[CUARTO TRIMESTRE]])</f>
        <v>0</v>
      </c>
      <c r="I1082" s="17">
        <v>10115</v>
      </c>
      <c r="J1082" s="17">
        <f>+Tabla132112414[[#This Row],[CANTIDAD TOTAL]]*Tabla132112414[[#This Row],[PRECIO UNITARIO ESTIMADO]]</f>
        <v>0</v>
      </c>
      <c r="K1082" s="17"/>
      <c r="L1082" s="73" t="s">
        <v>27</v>
      </c>
      <c r="M1082" s="16" t="s">
        <v>22</v>
      </c>
      <c r="N1082" s="39" t="s">
        <v>418</v>
      </c>
    </row>
    <row r="1083" spans="1:14" s="12" customFormat="1" ht="30.75" customHeight="1">
      <c r="A1083" s="178" t="s">
        <v>118</v>
      </c>
      <c r="B1083" s="75" t="s">
        <v>1322</v>
      </c>
      <c r="C1083" s="39" t="s">
        <v>17</v>
      </c>
      <c r="D1083" s="236"/>
      <c r="E1083" s="236"/>
      <c r="F1083" s="236"/>
      <c r="G1083" s="236"/>
      <c r="H1083" s="40">
        <f>SUM(Tabla132112414[[#This Row],[PRIMER TRIMESTRE]:[CUARTO TRIMESTRE]])</f>
        <v>0</v>
      </c>
      <c r="I1083" s="17">
        <f>+(5938.35+4838)/2</f>
        <v>5388.1750000000002</v>
      </c>
      <c r="J1083" s="17">
        <f>+Tabla132112414[[#This Row],[CANTIDAD TOTAL]]*Tabla132112414[[#This Row],[PRECIO UNITARIO ESTIMADO]]</f>
        <v>0</v>
      </c>
      <c r="K1083" s="17"/>
      <c r="L1083" s="73" t="s">
        <v>27</v>
      </c>
      <c r="M1083" s="16" t="s">
        <v>22</v>
      </c>
      <c r="N1083" s="39" t="s">
        <v>418</v>
      </c>
    </row>
    <row r="1084" spans="1:14" s="12" customFormat="1" ht="30.75" customHeight="1">
      <c r="A1084" s="178" t="s">
        <v>118</v>
      </c>
      <c r="B1084" s="75" t="s">
        <v>334</v>
      </c>
      <c r="C1084" s="39" t="s">
        <v>17</v>
      </c>
      <c r="D1084" s="236"/>
      <c r="E1084" s="236"/>
      <c r="F1084" s="236"/>
      <c r="G1084" s="236"/>
      <c r="H1084" s="40">
        <f>SUM(Tabla132112414[[#This Row],[PRIMER TRIMESTRE]:[CUARTO TRIMESTRE]])</f>
        <v>0</v>
      </c>
      <c r="I1084" s="17">
        <v>7080</v>
      </c>
      <c r="J1084" s="17">
        <f>+Tabla132112414[[#This Row],[CANTIDAD TOTAL]]*Tabla132112414[[#This Row],[PRECIO UNITARIO ESTIMADO]]</f>
        <v>0</v>
      </c>
      <c r="K1084" s="17"/>
      <c r="L1084" s="73" t="s">
        <v>27</v>
      </c>
      <c r="M1084" s="16" t="s">
        <v>22</v>
      </c>
      <c r="N1084" s="39" t="s">
        <v>418</v>
      </c>
    </row>
    <row r="1085" spans="1:14" s="12" customFormat="1" ht="30.75" customHeight="1">
      <c r="A1085" s="178" t="s">
        <v>118</v>
      </c>
      <c r="B1085" s="75" t="s">
        <v>340</v>
      </c>
      <c r="C1085" s="39" t="s">
        <v>17</v>
      </c>
      <c r="D1085" s="236"/>
      <c r="E1085" s="236"/>
      <c r="F1085" s="236"/>
      <c r="G1085" s="236"/>
      <c r="H1085" s="40">
        <f>SUM(Tabla132112414[[#This Row],[PRIMER TRIMESTRE]:[CUARTO TRIMESTRE]])</f>
        <v>0</v>
      </c>
      <c r="I1085" s="17">
        <v>13684.27</v>
      </c>
      <c r="J1085" s="17">
        <f>+Tabla132112414[[#This Row],[CANTIDAD TOTAL]]*Tabla132112414[[#This Row],[PRECIO UNITARIO ESTIMADO]]</f>
        <v>0</v>
      </c>
      <c r="K1085" s="17"/>
      <c r="L1085" s="73" t="s">
        <v>15</v>
      </c>
      <c r="M1085" s="16" t="s">
        <v>22</v>
      </c>
      <c r="N1085" s="39" t="s">
        <v>418</v>
      </c>
    </row>
    <row r="1086" spans="1:14" s="12" customFormat="1" ht="30.75" customHeight="1">
      <c r="A1086" s="178" t="s">
        <v>118</v>
      </c>
      <c r="B1086" s="75" t="s">
        <v>1138</v>
      </c>
      <c r="C1086" s="39" t="s">
        <v>1067</v>
      </c>
      <c r="D1086" s="236"/>
      <c r="E1086" s="236"/>
      <c r="F1086" s="236"/>
      <c r="G1086" s="236"/>
      <c r="H1086" s="40">
        <f>SUM(Tabla132112414[[#This Row],[PRIMER TRIMESTRE]:[CUARTO TRIMESTRE]])</f>
        <v>0</v>
      </c>
      <c r="I1086" s="17">
        <v>3000</v>
      </c>
      <c r="J1086" s="17">
        <f>+H1086*I1086</f>
        <v>0</v>
      </c>
      <c r="K1086" s="17"/>
      <c r="L1086" s="73" t="s">
        <v>15</v>
      </c>
      <c r="M1086" s="16" t="s">
        <v>22</v>
      </c>
      <c r="N1086" s="39" t="s">
        <v>418</v>
      </c>
    </row>
    <row r="1087" spans="1:14" s="12" customFormat="1" ht="30.75" customHeight="1">
      <c r="A1087" s="178" t="s">
        <v>118</v>
      </c>
      <c r="B1087" s="75" t="s">
        <v>245</v>
      </c>
      <c r="C1087" s="39" t="s">
        <v>17</v>
      </c>
      <c r="D1087" s="236"/>
      <c r="E1087" s="236"/>
      <c r="F1087" s="236"/>
      <c r="G1087" s="236"/>
      <c r="H1087" s="40">
        <f>SUM(Tabla132112414[[#This Row],[PRIMER TRIMESTRE]:[CUARTO TRIMESTRE]])</f>
        <v>0</v>
      </c>
      <c r="I1087" s="17">
        <v>10788</v>
      </c>
      <c r="J1087" s="17">
        <f>+Tabla132112414[[#This Row],[CANTIDAD TOTAL]]*Tabla132112414[[#This Row],[PRECIO UNITARIO ESTIMADO]]</f>
        <v>0</v>
      </c>
      <c r="K1087" s="17"/>
      <c r="L1087" s="73" t="s">
        <v>15</v>
      </c>
      <c r="M1087" s="16" t="s">
        <v>22</v>
      </c>
      <c r="N1087" s="39" t="s">
        <v>418</v>
      </c>
    </row>
    <row r="1088" spans="1:14" s="12" customFormat="1" ht="30.75" customHeight="1">
      <c r="A1088" s="178" t="s">
        <v>118</v>
      </c>
      <c r="B1088" s="75" t="s">
        <v>246</v>
      </c>
      <c r="C1088" s="39" t="s">
        <v>17</v>
      </c>
      <c r="D1088" s="236"/>
      <c r="E1088" s="236"/>
      <c r="F1088" s="236"/>
      <c r="G1088" s="236"/>
      <c r="H1088" s="40">
        <f>SUM(Tabla132112414[[#This Row],[PRIMER TRIMESTRE]:[CUARTO TRIMESTRE]])</f>
        <v>0</v>
      </c>
      <c r="I1088" s="17">
        <v>2467.71</v>
      </c>
      <c r="J1088" s="17">
        <f>+Tabla132112414[[#This Row],[CANTIDAD TOTAL]]*Tabla132112414[[#This Row],[PRECIO UNITARIO ESTIMADO]]</f>
        <v>0</v>
      </c>
      <c r="K1088" s="17"/>
      <c r="L1088" s="73" t="s">
        <v>27</v>
      </c>
      <c r="M1088" s="16" t="s">
        <v>22</v>
      </c>
      <c r="N1088" s="39" t="s">
        <v>418</v>
      </c>
    </row>
    <row r="1089" spans="1:14" s="12" customFormat="1" ht="30.75" customHeight="1">
      <c r="A1089" s="178" t="s">
        <v>118</v>
      </c>
      <c r="B1089" s="75" t="s">
        <v>247</v>
      </c>
      <c r="C1089" s="39" t="s">
        <v>17</v>
      </c>
      <c r="D1089" s="236"/>
      <c r="E1089" s="236"/>
      <c r="F1089" s="236"/>
      <c r="G1089" s="236"/>
      <c r="H1089" s="40">
        <f>SUM(Tabla132112414[[#This Row],[PRIMER TRIMESTRE]:[CUARTO TRIMESTRE]])</f>
        <v>0</v>
      </c>
      <c r="I1089" s="17">
        <v>14434.48</v>
      </c>
      <c r="J1089" s="17">
        <f>+Tabla132112414[[#This Row],[CANTIDAD TOTAL]]*Tabla132112414[[#This Row],[PRECIO UNITARIO ESTIMADO]]</f>
        <v>0</v>
      </c>
      <c r="K1089" s="17"/>
      <c r="L1089" s="73" t="s">
        <v>15</v>
      </c>
      <c r="M1089" s="16" t="s">
        <v>22</v>
      </c>
      <c r="N1089" s="39" t="s">
        <v>418</v>
      </c>
    </row>
    <row r="1090" spans="1:14" s="12" customFormat="1" ht="30.75" customHeight="1">
      <c r="A1090" s="178" t="s">
        <v>118</v>
      </c>
      <c r="B1090" s="75" t="s">
        <v>1604</v>
      </c>
      <c r="C1090" s="39" t="s">
        <v>17</v>
      </c>
      <c r="D1090" s="236">
        <v>1</v>
      </c>
      <c r="E1090" s="236"/>
      <c r="F1090" s="236"/>
      <c r="G1090" s="236"/>
      <c r="H1090" s="40">
        <f>SUM(Tabla132112414[[#This Row],[PRIMER TRIMESTRE]:[CUARTO TRIMESTRE]])</f>
        <v>1</v>
      </c>
      <c r="I1090" s="17">
        <v>4800</v>
      </c>
      <c r="J1090" s="17">
        <f>+H1090*I1090</f>
        <v>4800</v>
      </c>
      <c r="K1090" s="17"/>
      <c r="L1090" s="73" t="s">
        <v>27</v>
      </c>
      <c r="M1090" s="16" t="s">
        <v>22</v>
      </c>
      <c r="N1090" s="39" t="s">
        <v>418</v>
      </c>
    </row>
    <row r="1091" spans="1:14" s="12" customFormat="1" ht="30.75" customHeight="1">
      <c r="A1091" s="178" t="s">
        <v>118</v>
      </c>
      <c r="B1091" s="75" t="s">
        <v>339</v>
      </c>
      <c r="C1091" s="39" t="s">
        <v>17</v>
      </c>
      <c r="D1091" s="236"/>
      <c r="E1091" s="236"/>
      <c r="F1091" s="236"/>
      <c r="G1091" s="236"/>
      <c r="H1091" s="40">
        <f>SUM(Tabla132112414[[#This Row],[PRIMER TRIMESTRE]:[CUARTO TRIMESTRE]])</f>
        <v>0</v>
      </c>
      <c r="I1091" s="17">
        <f>115079.5/24</f>
        <v>4794.979166666667</v>
      </c>
      <c r="J1091" s="17">
        <f>+Tabla132112414[[#This Row],[CANTIDAD TOTAL]]*Tabla132112414[[#This Row],[PRECIO UNITARIO ESTIMADO]]</f>
        <v>0</v>
      </c>
      <c r="K1091" s="17"/>
      <c r="L1091" s="73" t="s">
        <v>15</v>
      </c>
      <c r="M1091" s="16" t="s">
        <v>22</v>
      </c>
      <c r="N1091" s="39" t="s">
        <v>418</v>
      </c>
    </row>
    <row r="1092" spans="1:14" s="12" customFormat="1" ht="30.75" customHeight="1">
      <c r="A1092" s="178" t="s">
        <v>118</v>
      </c>
      <c r="B1092" s="75" t="s">
        <v>248</v>
      </c>
      <c r="C1092" s="39" t="s">
        <v>17</v>
      </c>
      <c r="D1092" s="236"/>
      <c r="E1092" s="236"/>
      <c r="F1092" s="236"/>
      <c r="G1092" s="236"/>
      <c r="H1092" s="40">
        <f>SUM(Tabla132112414[[#This Row],[PRIMER TRIMESTRE]:[CUARTO TRIMESTRE]])</f>
        <v>0</v>
      </c>
      <c r="I1092" s="17">
        <v>2262</v>
      </c>
      <c r="J1092" s="17">
        <f>+Tabla132112414[[#This Row],[CANTIDAD TOTAL]]*Tabla132112414[[#This Row],[PRECIO UNITARIO ESTIMADO]]</f>
        <v>0</v>
      </c>
      <c r="K1092" s="17"/>
      <c r="L1092" s="73" t="s">
        <v>15</v>
      </c>
      <c r="M1092" s="16" t="s">
        <v>22</v>
      </c>
      <c r="N1092" s="39" t="s">
        <v>418</v>
      </c>
    </row>
    <row r="1093" spans="1:14" s="12" customFormat="1" ht="30.75" customHeight="1">
      <c r="A1093" s="178" t="s">
        <v>118</v>
      </c>
      <c r="B1093" s="75" t="s">
        <v>249</v>
      </c>
      <c r="C1093" s="39" t="s">
        <v>17</v>
      </c>
      <c r="D1093" s="236"/>
      <c r="E1093" s="236"/>
      <c r="F1093" s="236"/>
      <c r="G1093" s="236"/>
      <c r="H1093" s="40">
        <f>SUM(Tabla132112414[[#This Row],[PRIMER TRIMESTRE]:[CUARTO TRIMESTRE]])</f>
        <v>0</v>
      </c>
      <c r="I1093" s="17">
        <v>3250</v>
      </c>
      <c r="J1093" s="17">
        <f>+Tabla132112414[[#This Row],[CANTIDAD TOTAL]]*Tabla132112414[[#This Row],[PRECIO UNITARIO ESTIMADO]]</f>
        <v>0</v>
      </c>
      <c r="K1093" s="17"/>
      <c r="L1093" s="73" t="s">
        <v>27</v>
      </c>
      <c r="M1093" s="16" t="s">
        <v>22</v>
      </c>
      <c r="N1093" s="39" t="s">
        <v>418</v>
      </c>
    </row>
    <row r="1094" spans="1:14" s="26" customFormat="1" ht="30.75" customHeight="1">
      <c r="A1094" s="178" t="s">
        <v>118</v>
      </c>
      <c r="B1094" s="75" t="s">
        <v>250</v>
      </c>
      <c r="C1094" s="39" t="s">
        <v>17</v>
      </c>
      <c r="D1094" s="236">
        <v>3</v>
      </c>
      <c r="E1094" s="236"/>
      <c r="F1094" s="236"/>
      <c r="G1094" s="236"/>
      <c r="H1094" s="40">
        <f>SUM(Tabla132112414[[#This Row],[PRIMER TRIMESTRE]:[CUARTO TRIMESTRE]])</f>
        <v>3</v>
      </c>
      <c r="I1094" s="17">
        <v>3959.88</v>
      </c>
      <c r="J1094" s="17">
        <f>+Tabla132112414[[#This Row],[CANTIDAD TOTAL]]*Tabla132112414[[#This Row],[PRECIO UNITARIO ESTIMADO]]</f>
        <v>11879.64</v>
      </c>
      <c r="K1094" s="17"/>
      <c r="L1094" s="73" t="s">
        <v>27</v>
      </c>
      <c r="M1094" s="16" t="s">
        <v>22</v>
      </c>
      <c r="N1094" s="39" t="s">
        <v>418</v>
      </c>
    </row>
    <row r="1095" spans="1:14" s="12" customFormat="1" ht="30.75" customHeight="1">
      <c r="A1095" s="178" t="s">
        <v>118</v>
      </c>
      <c r="B1095" s="75" t="s">
        <v>323</v>
      </c>
      <c r="C1095" s="39" t="s">
        <v>17</v>
      </c>
      <c r="D1095" s="236">
        <v>1</v>
      </c>
      <c r="E1095" s="236"/>
      <c r="F1095" s="236"/>
      <c r="G1095" s="236"/>
      <c r="H1095" s="40">
        <f>SUM(Tabla132112414[[#This Row],[PRIMER TRIMESTRE]:[CUARTO TRIMESTRE]])</f>
        <v>1</v>
      </c>
      <c r="I1095" s="17">
        <f>16086.57/3</f>
        <v>5362.19</v>
      </c>
      <c r="J1095" s="17">
        <f>+Tabla132112414[[#This Row],[CANTIDAD TOTAL]]*Tabla132112414[[#This Row],[PRECIO UNITARIO ESTIMADO]]</f>
        <v>5362.19</v>
      </c>
      <c r="K1095" s="17"/>
      <c r="L1095" s="73" t="s">
        <v>15</v>
      </c>
      <c r="M1095" s="16" t="s">
        <v>22</v>
      </c>
      <c r="N1095" s="39" t="s">
        <v>418</v>
      </c>
    </row>
    <row r="1096" spans="1:14" s="12" customFormat="1" ht="30.75" customHeight="1">
      <c r="A1096" s="179" t="s">
        <v>118</v>
      </c>
      <c r="B1096" s="76"/>
      <c r="C1096" s="42"/>
      <c r="D1096" s="237"/>
      <c r="E1096" s="237"/>
      <c r="F1096" s="237"/>
      <c r="G1096" s="237"/>
      <c r="H1096" s="43"/>
      <c r="I1096" s="24"/>
      <c r="J1096" s="24"/>
      <c r="K1096" s="25">
        <f>SUM(J1079:J1095)</f>
        <v>22041.829999999998</v>
      </c>
      <c r="L1096" s="23"/>
      <c r="M1096" s="23"/>
      <c r="N1096" s="42"/>
    </row>
    <row r="1097" spans="1:14" s="12" customFormat="1" ht="30.75" customHeight="1">
      <c r="A1097" s="178" t="s">
        <v>119</v>
      </c>
      <c r="B1097" s="75" t="s">
        <v>341</v>
      </c>
      <c r="C1097" s="39" t="s">
        <v>17</v>
      </c>
      <c r="D1097" s="236"/>
      <c r="E1097" s="236"/>
      <c r="F1097" s="236"/>
      <c r="G1097" s="236"/>
      <c r="H1097" s="40">
        <f>SUM(Tabla132112414[[#This Row],[PRIMER TRIMESTRE]:[CUARTO TRIMESTRE]])</f>
        <v>0</v>
      </c>
      <c r="I1097" s="17">
        <f>2160.9+22288+501.5+6355.8+18041.9+5084.64+8389.8+3050.76+2466.06+1983.5+6203.28</f>
        <v>76526.14</v>
      </c>
      <c r="J1097" s="17">
        <f>+Tabla132112414[[#This Row],[CANTIDAD TOTAL]]*Tabla132112414[[#This Row],[PRECIO UNITARIO ESTIMADO]]</f>
        <v>0</v>
      </c>
      <c r="K1097" s="17"/>
      <c r="L1097" s="16" t="s">
        <v>15</v>
      </c>
      <c r="M1097" s="16" t="s">
        <v>22</v>
      </c>
      <c r="N1097" s="39" t="s">
        <v>418</v>
      </c>
    </row>
    <row r="1098" spans="1:14" s="12" customFormat="1" ht="30.75" customHeight="1">
      <c r="A1098" s="178" t="s">
        <v>119</v>
      </c>
      <c r="B1098" s="75" t="s">
        <v>252</v>
      </c>
      <c r="C1098" s="39" t="s">
        <v>17</v>
      </c>
      <c r="D1098" s="236"/>
      <c r="E1098" s="236"/>
      <c r="F1098" s="236"/>
      <c r="G1098" s="236"/>
      <c r="H1098" s="40">
        <f>SUM(Tabla132112414[[#This Row],[PRIMER TRIMESTRE]:[CUARTO TRIMESTRE]])</f>
        <v>0</v>
      </c>
      <c r="I1098" s="17">
        <v>26.45</v>
      </c>
      <c r="J1098" s="17">
        <f>+Tabla132112414[[#This Row],[CANTIDAD TOTAL]]*Tabla132112414[[#This Row],[PRECIO UNITARIO ESTIMADO]]</f>
        <v>0</v>
      </c>
      <c r="K1098" s="17"/>
      <c r="L1098" s="16" t="s">
        <v>15</v>
      </c>
      <c r="M1098" s="16" t="s">
        <v>22</v>
      </c>
      <c r="N1098" s="39" t="s">
        <v>418</v>
      </c>
    </row>
    <row r="1099" spans="1:14" s="12" customFormat="1" ht="30.75" customHeight="1">
      <c r="A1099" s="178" t="s">
        <v>119</v>
      </c>
      <c r="B1099" s="75" t="s">
        <v>1606</v>
      </c>
      <c r="C1099" s="39" t="s">
        <v>17</v>
      </c>
      <c r="D1099" s="236"/>
      <c r="E1099" s="236"/>
      <c r="F1099" s="236"/>
      <c r="G1099" s="236"/>
      <c r="H1099" s="40">
        <f>SUM(Tabla132112414[[#This Row],[PRIMER TRIMESTRE]:[CUARTO TRIMESTRE]])</f>
        <v>0</v>
      </c>
      <c r="I1099" s="17">
        <v>8000</v>
      </c>
      <c r="J1099" s="17">
        <f>+H1099*I1099</f>
        <v>0</v>
      </c>
      <c r="K1099" s="17"/>
      <c r="L1099" s="16" t="s">
        <v>15</v>
      </c>
      <c r="M1099" s="16" t="s">
        <v>22</v>
      </c>
      <c r="N1099" s="39" t="s">
        <v>418</v>
      </c>
    </row>
    <row r="1100" spans="1:14" s="12" customFormat="1" ht="30.75" customHeight="1">
      <c r="A1100" s="178" t="s">
        <v>119</v>
      </c>
      <c r="B1100" s="75" t="s">
        <v>1605</v>
      </c>
      <c r="C1100" s="39" t="s">
        <v>17</v>
      </c>
      <c r="D1100" s="236"/>
      <c r="E1100" s="236"/>
      <c r="F1100" s="236"/>
      <c r="G1100" s="236"/>
      <c r="H1100" s="40">
        <f>SUM(Tabla132112414[[#This Row],[PRIMER TRIMESTRE]:[CUARTO TRIMESTRE]])</f>
        <v>0</v>
      </c>
      <c r="I1100" s="17">
        <v>12500</v>
      </c>
      <c r="J1100" s="17">
        <f>+H1100*I1100</f>
        <v>0</v>
      </c>
      <c r="K1100" s="17"/>
      <c r="L1100" s="16" t="s">
        <v>15</v>
      </c>
      <c r="M1100" s="16" t="s">
        <v>22</v>
      </c>
      <c r="N1100" s="39" t="s">
        <v>418</v>
      </c>
    </row>
    <row r="1101" spans="1:14" s="12" customFormat="1" ht="30.75" customHeight="1">
      <c r="A1101" s="178" t="s">
        <v>119</v>
      </c>
      <c r="B1101" s="75" t="s">
        <v>256</v>
      </c>
      <c r="C1101" s="39" t="s">
        <v>17</v>
      </c>
      <c r="D1101" s="236"/>
      <c r="E1101" s="236"/>
      <c r="F1101" s="236"/>
      <c r="G1101" s="236"/>
      <c r="H1101" s="40">
        <f>SUM(Tabla132112414[[#This Row],[PRIMER TRIMESTRE]:[CUARTO TRIMESTRE]])</f>
        <v>0</v>
      </c>
      <c r="I1101" s="17">
        <v>434.24</v>
      </c>
      <c r="J1101" s="17">
        <f>+Tabla132112414[[#This Row],[CANTIDAD TOTAL]]*Tabla132112414[[#This Row],[PRECIO UNITARIO ESTIMADO]]</f>
        <v>0</v>
      </c>
      <c r="K1101" s="17"/>
      <c r="L1101" s="16" t="s">
        <v>15</v>
      </c>
      <c r="M1101" s="16" t="s">
        <v>22</v>
      </c>
      <c r="N1101" s="39" t="s">
        <v>418</v>
      </c>
    </row>
    <row r="1102" spans="1:14" s="26" customFormat="1" ht="30.75" customHeight="1">
      <c r="A1102" s="178" t="s">
        <v>119</v>
      </c>
      <c r="B1102" s="75" t="s">
        <v>324</v>
      </c>
      <c r="C1102" s="39" t="s">
        <v>17</v>
      </c>
      <c r="D1102" s="236"/>
      <c r="E1102" s="236"/>
      <c r="F1102" s="236"/>
      <c r="G1102" s="236"/>
      <c r="H1102" s="40">
        <f>SUM(Tabla132112414[[#This Row],[PRIMER TRIMESTRE]:[CUARTO TRIMESTRE]])</f>
        <v>0</v>
      </c>
      <c r="I1102" s="17">
        <f>3536.75/2</f>
        <v>1768.375</v>
      </c>
      <c r="J1102" s="17">
        <f>+Tabla132112414[[#This Row],[CANTIDAD TOTAL]]*Tabla132112414[[#This Row],[PRECIO UNITARIO ESTIMADO]]</f>
        <v>0</v>
      </c>
      <c r="K1102" s="17"/>
      <c r="L1102" s="16" t="s">
        <v>15</v>
      </c>
      <c r="M1102" s="16" t="s">
        <v>22</v>
      </c>
      <c r="N1102" s="39" t="s">
        <v>418</v>
      </c>
    </row>
    <row r="1103" spans="1:14" s="12" customFormat="1" ht="30.75" customHeight="1">
      <c r="A1103" s="178" t="s">
        <v>119</v>
      </c>
      <c r="B1103" s="75" t="s">
        <v>257</v>
      </c>
      <c r="C1103" s="39" t="s">
        <v>17</v>
      </c>
      <c r="D1103" s="236">
        <v>1</v>
      </c>
      <c r="E1103" s="236"/>
      <c r="F1103" s="236"/>
      <c r="G1103" s="236"/>
      <c r="H1103" s="40">
        <f>SUM(Tabla132112414[[#This Row],[PRIMER TRIMESTRE]:[CUARTO TRIMESTRE]])</f>
        <v>1</v>
      </c>
      <c r="I1103" s="17">
        <v>522</v>
      </c>
      <c r="J1103" s="17">
        <f>+Tabla132112414[[#This Row],[CANTIDAD TOTAL]]*Tabla132112414[[#This Row],[PRECIO UNITARIO ESTIMADO]]</f>
        <v>522</v>
      </c>
      <c r="K1103" s="17"/>
      <c r="L1103" s="16" t="s">
        <v>15</v>
      </c>
      <c r="M1103" s="16" t="s">
        <v>22</v>
      </c>
      <c r="N1103" s="39" t="s">
        <v>418</v>
      </c>
    </row>
    <row r="1104" spans="1:14" s="12" customFormat="1" ht="30.75" customHeight="1">
      <c r="A1104" s="179" t="s">
        <v>119</v>
      </c>
      <c r="B1104" s="76"/>
      <c r="C1104" s="42"/>
      <c r="D1104" s="237"/>
      <c r="E1104" s="237"/>
      <c r="F1104" s="237"/>
      <c r="G1104" s="237"/>
      <c r="H1104" s="43"/>
      <c r="I1104" s="24"/>
      <c r="J1104" s="24"/>
      <c r="K1104" s="25">
        <f>SUM(J1097:J1103)</f>
        <v>522</v>
      </c>
      <c r="L1104" s="23"/>
      <c r="M1104" s="23"/>
      <c r="N1104" s="42"/>
    </row>
    <row r="1105" spans="1:14" s="12" customFormat="1" ht="18">
      <c r="A1105" s="178" t="s">
        <v>120</v>
      </c>
      <c r="B1105" s="75" t="s">
        <v>392</v>
      </c>
      <c r="C1105" s="39" t="s">
        <v>208</v>
      </c>
      <c r="D1105" s="236">
        <v>4</v>
      </c>
      <c r="E1105" s="236">
        <v>4</v>
      </c>
      <c r="F1105" s="236">
        <v>4</v>
      </c>
      <c r="G1105" s="236">
        <v>4</v>
      </c>
      <c r="H1105" s="41">
        <f>SUM(Tabla132112414[[#This Row],[PRIMER TRIMESTRE]:[CUARTO TRIMESTRE]])</f>
        <v>16</v>
      </c>
      <c r="I1105" s="17">
        <v>48.12</v>
      </c>
      <c r="J1105" s="17">
        <f>+H1105*I1105</f>
        <v>769.92</v>
      </c>
      <c r="K1105" s="17"/>
      <c r="L1105" s="16" t="s">
        <v>18</v>
      </c>
      <c r="M1105" s="16" t="s">
        <v>22</v>
      </c>
      <c r="N1105" s="39" t="s">
        <v>418</v>
      </c>
    </row>
    <row r="1106" spans="1:14" s="12" customFormat="1" ht="18">
      <c r="A1106" s="178" t="s">
        <v>120</v>
      </c>
      <c r="B1106" s="75" t="s">
        <v>393</v>
      </c>
      <c r="C1106" s="39" t="s">
        <v>208</v>
      </c>
      <c r="D1106" s="236">
        <v>4</v>
      </c>
      <c r="E1106" s="236">
        <v>4</v>
      </c>
      <c r="F1106" s="236">
        <v>4</v>
      </c>
      <c r="G1106" s="236">
        <v>4</v>
      </c>
      <c r="H1106" s="41">
        <f>SUM(Tabla132112414[[#This Row],[PRIMER TRIMESTRE]:[CUARTO TRIMESTRE]])</f>
        <v>16</v>
      </c>
      <c r="I1106" s="17">
        <v>41.28</v>
      </c>
      <c r="J1106" s="17">
        <f>+H1106*I1106</f>
        <v>660.48</v>
      </c>
      <c r="K1106" s="17"/>
      <c r="L1106" s="16" t="s">
        <v>18</v>
      </c>
      <c r="M1106" s="16" t="s">
        <v>22</v>
      </c>
      <c r="N1106" s="39" t="s">
        <v>418</v>
      </c>
    </row>
    <row r="1107" spans="1:14" s="12" customFormat="1" ht="18">
      <c r="A1107" s="178" t="s">
        <v>120</v>
      </c>
      <c r="B1107" s="75" t="s">
        <v>743</v>
      </c>
      <c r="C1107" s="39" t="s">
        <v>208</v>
      </c>
      <c r="D1107" s="236">
        <v>4</v>
      </c>
      <c r="E1107" s="236">
        <v>4</v>
      </c>
      <c r="F1107" s="236">
        <v>4</v>
      </c>
      <c r="G1107" s="236">
        <v>4</v>
      </c>
      <c r="H1107" s="41">
        <f>SUM(Tabla132112414[[#This Row],[PRIMER TRIMESTRE]:[CUARTO TRIMESTRE]])</f>
        <v>16</v>
      </c>
      <c r="I1107" s="17">
        <f>4.42*12</f>
        <v>53.04</v>
      </c>
      <c r="J1107" s="17">
        <f>+H1107*I1107</f>
        <v>848.64</v>
      </c>
      <c r="K1107" s="17"/>
      <c r="L1107" s="16" t="s">
        <v>18</v>
      </c>
      <c r="M1107" s="16" t="s">
        <v>22</v>
      </c>
      <c r="N1107" s="39" t="s">
        <v>418</v>
      </c>
    </row>
    <row r="1108" spans="1:14" s="12" customFormat="1" ht="18">
      <c r="A1108" s="178" t="s">
        <v>120</v>
      </c>
      <c r="B1108" s="75" t="s">
        <v>398</v>
      </c>
      <c r="C1108" s="39" t="s">
        <v>208</v>
      </c>
      <c r="D1108" s="236">
        <v>1</v>
      </c>
      <c r="E1108" s="236"/>
      <c r="F1108" s="236">
        <v>1</v>
      </c>
      <c r="G1108" s="236"/>
      <c r="H1108" s="41">
        <f>SUM(Tabla132112414[[#This Row],[PRIMER TRIMESTRE]:[CUARTO TRIMESTRE]])</f>
        <v>2</v>
      </c>
      <c r="I1108" s="17">
        <v>22.42</v>
      </c>
      <c r="J1108" s="17">
        <f>+H1108*I1108</f>
        <v>44.84</v>
      </c>
      <c r="K1108" s="17"/>
      <c r="L1108" s="16" t="s">
        <v>18</v>
      </c>
      <c r="M1108" s="16" t="s">
        <v>22</v>
      </c>
      <c r="N1108" s="39" t="s">
        <v>418</v>
      </c>
    </row>
    <row r="1109" spans="1:14" s="12" customFormat="1" ht="18">
      <c r="A1109" s="178" t="s">
        <v>120</v>
      </c>
      <c r="B1109" s="75" t="s">
        <v>253</v>
      </c>
      <c r="C1109" s="39" t="s">
        <v>208</v>
      </c>
      <c r="D1109" s="236">
        <v>2</v>
      </c>
      <c r="E1109" s="236"/>
      <c r="F1109" s="236"/>
      <c r="G1109" s="236"/>
      <c r="H1109" s="40">
        <f>SUM(Tabla132112414[[#This Row],[PRIMER TRIMESTRE]:[CUARTO TRIMESTRE]])</f>
        <v>2</v>
      </c>
      <c r="I1109" s="17">
        <v>52.28</v>
      </c>
      <c r="J1109" s="17">
        <f>+Tabla132112414[[#This Row],[CANTIDAD TOTAL]]*Tabla132112414[[#This Row],[PRECIO UNITARIO ESTIMADO]]</f>
        <v>104.56</v>
      </c>
      <c r="K1109" s="17"/>
      <c r="L1109" s="16" t="s">
        <v>18</v>
      </c>
      <c r="M1109" s="16" t="s">
        <v>22</v>
      </c>
      <c r="N1109" s="39" t="s">
        <v>418</v>
      </c>
    </row>
    <row r="1110" spans="1:14" s="169" customFormat="1" ht="18">
      <c r="A1110" s="178" t="s">
        <v>120</v>
      </c>
      <c r="B1110" s="75" t="s">
        <v>402</v>
      </c>
      <c r="C1110" s="39" t="s">
        <v>17</v>
      </c>
      <c r="D1110" s="236">
        <v>2</v>
      </c>
      <c r="E1110" s="236"/>
      <c r="F1110" s="236"/>
      <c r="G1110" s="236"/>
      <c r="H1110" s="40">
        <f>SUM(Tabla132112414[[#This Row],[PRIMER TRIMESTRE]:[CUARTO TRIMESTRE]])</f>
        <v>2</v>
      </c>
      <c r="I1110" s="17">
        <v>182.9</v>
      </c>
      <c r="J1110" s="17">
        <f>+H1110*I1110</f>
        <v>365.8</v>
      </c>
      <c r="K1110" s="17"/>
      <c r="L1110" s="16" t="s">
        <v>18</v>
      </c>
      <c r="M1110" s="16" t="s">
        <v>22</v>
      </c>
      <c r="N1110" s="39" t="s">
        <v>418</v>
      </c>
    </row>
    <row r="1111" spans="1:14" s="12" customFormat="1" ht="18">
      <c r="A1111" s="178" t="s">
        <v>120</v>
      </c>
      <c r="B1111" s="75" t="s">
        <v>260</v>
      </c>
      <c r="C1111" s="39" t="s">
        <v>17</v>
      </c>
      <c r="D1111" s="236">
        <v>1</v>
      </c>
      <c r="E1111" s="236"/>
      <c r="F1111" s="236">
        <v>1</v>
      </c>
      <c r="G1111" s="236"/>
      <c r="H1111" s="40">
        <f>SUM(Tabla132112414[[#This Row],[PRIMER TRIMESTRE]:[CUARTO TRIMESTRE]])</f>
        <v>2</v>
      </c>
      <c r="I1111" s="17">
        <v>29.28</v>
      </c>
      <c r="J1111" s="17">
        <f>+Tabla132112414[[#This Row],[CANTIDAD TOTAL]]*Tabla132112414[[#This Row],[PRECIO UNITARIO ESTIMADO]]</f>
        <v>58.56</v>
      </c>
      <c r="K1111" s="17"/>
      <c r="L1111" s="16" t="s">
        <v>18</v>
      </c>
      <c r="M1111" s="16" t="s">
        <v>22</v>
      </c>
      <c r="N1111" s="39" t="s">
        <v>418</v>
      </c>
    </row>
    <row r="1112" spans="1:14" s="169" customFormat="1" ht="18">
      <c r="A1112" s="180" t="s">
        <v>120</v>
      </c>
      <c r="B1112" s="75" t="s">
        <v>239</v>
      </c>
      <c r="C1112" s="70" t="s">
        <v>208</v>
      </c>
      <c r="D1112" s="210">
        <v>10</v>
      </c>
      <c r="E1112" s="210"/>
      <c r="F1112" s="210">
        <v>20</v>
      </c>
      <c r="G1112" s="210"/>
      <c r="H1112" s="406">
        <f>SUM(Tabla132112414[[#This Row],[PRIMER TRIMESTRE]:[CUARTO TRIMESTRE]])</f>
        <v>30</v>
      </c>
      <c r="I1112" s="72">
        <v>232</v>
      </c>
      <c r="J1112" s="72">
        <f>+Tabla132112414[[#This Row],[CANTIDAD TOTAL]]*Tabla132112414[[#This Row],[PRECIO UNITARIO ESTIMADO]]</f>
        <v>6960</v>
      </c>
      <c r="K1112" s="72"/>
      <c r="L1112" s="16" t="s">
        <v>18</v>
      </c>
      <c r="M1112" s="73" t="s">
        <v>22</v>
      </c>
      <c r="N1112" s="70" t="s">
        <v>418</v>
      </c>
    </row>
    <row r="1113" spans="1:14" s="12" customFormat="1" ht="18">
      <c r="A1113" s="178" t="s">
        <v>120</v>
      </c>
      <c r="B1113" s="75" t="s">
        <v>414</v>
      </c>
      <c r="C1113" s="39" t="s">
        <v>417</v>
      </c>
      <c r="D1113" s="236">
        <v>20</v>
      </c>
      <c r="E1113" s="236"/>
      <c r="F1113" s="236">
        <v>20</v>
      </c>
      <c r="G1113" s="236"/>
      <c r="H1113" s="41">
        <f>SUM(Tabla132112414[[#This Row],[PRIMER TRIMESTRE]:[CUARTO TRIMESTRE]])</f>
        <v>40</v>
      </c>
      <c r="I1113" s="17">
        <v>13.57</v>
      </c>
      <c r="J1113" s="17">
        <f>+H1113*I1113</f>
        <v>542.79999999999995</v>
      </c>
      <c r="K1113" s="17"/>
      <c r="L1113" s="16" t="s">
        <v>18</v>
      </c>
      <c r="M1113" s="16" t="s">
        <v>22</v>
      </c>
      <c r="N1113" s="39" t="s">
        <v>418</v>
      </c>
    </row>
    <row r="1114" spans="1:14" s="12" customFormat="1" ht="18">
      <c r="A1114" s="180" t="s">
        <v>120</v>
      </c>
      <c r="B1114" s="75" t="s">
        <v>240</v>
      </c>
      <c r="C1114" s="70" t="s">
        <v>208</v>
      </c>
      <c r="D1114" s="415"/>
      <c r="E1114" s="210"/>
      <c r="F1114" s="210"/>
      <c r="G1114" s="210"/>
      <c r="H1114" s="406">
        <f>SUM(Tabla132112414[[#This Row],[PRIMER TRIMESTRE]:[CUARTO TRIMESTRE]])</f>
        <v>0</v>
      </c>
      <c r="I1114" s="72">
        <v>5341.57</v>
      </c>
      <c r="J1114" s="72">
        <f>+Tabla132112414[[#This Row],[CANTIDAD TOTAL]]*Tabla132112414[[#This Row],[PRECIO UNITARIO ESTIMADO]]</f>
        <v>0</v>
      </c>
      <c r="K1114" s="72"/>
      <c r="L1114" s="16" t="s">
        <v>18</v>
      </c>
      <c r="M1114" s="73" t="s">
        <v>22</v>
      </c>
      <c r="N1114" s="70" t="s">
        <v>418</v>
      </c>
    </row>
    <row r="1115" spans="1:14" s="12" customFormat="1" ht="18">
      <c r="A1115" s="178" t="s">
        <v>120</v>
      </c>
      <c r="B1115" s="75" t="s">
        <v>748</v>
      </c>
      <c r="C1115" s="39" t="s">
        <v>17</v>
      </c>
      <c r="D1115" s="236"/>
      <c r="E1115" s="236"/>
      <c r="F1115" s="236"/>
      <c r="G1115" s="236"/>
      <c r="H1115" s="41">
        <f>SUM(Tabla132112414[[#This Row],[PRIMER TRIMESTRE]:[CUARTO TRIMESTRE]])</f>
        <v>0</v>
      </c>
      <c r="I1115" s="17">
        <v>463.74</v>
      </c>
      <c r="J1115" s="17">
        <f>+H1115*I1115</f>
        <v>0</v>
      </c>
      <c r="K1115" s="17"/>
      <c r="L1115" s="16" t="s">
        <v>18</v>
      </c>
      <c r="M1115" s="16" t="s">
        <v>22</v>
      </c>
      <c r="N1115" s="39" t="s">
        <v>418</v>
      </c>
    </row>
    <row r="1116" spans="1:14" s="12" customFormat="1" ht="18">
      <c r="A1116" s="178" t="s">
        <v>120</v>
      </c>
      <c r="B1116" s="75" t="s">
        <v>263</v>
      </c>
      <c r="C1116" s="39" t="s">
        <v>17</v>
      </c>
      <c r="D1116" s="236"/>
      <c r="E1116" s="236"/>
      <c r="F1116" s="236"/>
      <c r="G1116" s="236"/>
      <c r="H1116" s="41">
        <f>SUM(Tabla132112414[[#This Row],[PRIMER TRIMESTRE]:[CUARTO TRIMESTRE]])</f>
        <v>0</v>
      </c>
      <c r="I1116" s="17">
        <v>217.02</v>
      </c>
      <c r="J1116" s="17">
        <f>+Tabla132112414[[#This Row],[CANTIDAD TOTAL]]*Tabla132112414[[#This Row],[PRECIO UNITARIO ESTIMADO]]</f>
        <v>0</v>
      </c>
      <c r="K1116" s="17"/>
      <c r="L1116" s="16" t="s">
        <v>18</v>
      </c>
      <c r="M1116" s="16" t="s">
        <v>22</v>
      </c>
      <c r="N1116" s="39" t="s">
        <v>418</v>
      </c>
    </row>
    <row r="1117" spans="1:14" s="12" customFormat="1" ht="18">
      <c r="A1117" s="178" t="s">
        <v>120</v>
      </c>
      <c r="B1117" s="75" t="s">
        <v>749</v>
      </c>
      <c r="C1117" s="39" t="s">
        <v>17</v>
      </c>
      <c r="D1117" s="236"/>
      <c r="E1117" s="236"/>
      <c r="F1117" s="236"/>
      <c r="G1117" s="236"/>
      <c r="H1117" s="41">
        <f>SUM(Tabla132112414[[#This Row],[PRIMER TRIMESTRE]:[CUARTO TRIMESTRE]])</f>
        <v>0</v>
      </c>
      <c r="I1117" s="17">
        <v>186.44</v>
      </c>
      <c r="J1117" s="17">
        <f>+H1117*I1117</f>
        <v>0</v>
      </c>
      <c r="K1117" s="17"/>
      <c r="L1117" s="16" t="s">
        <v>18</v>
      </c>
      <c r="M1117" s="16" t="s">
        <v>22</v>
      </c>
      <c r="N1117" s="39" t="s">
        <v>418</v>
      </c>
    </row>
    <row r="1118" spans="1:14" s="12" customFormat="1" ht="18">
      <c r="A1118" s="178" t="s">
        <v>120</v>
      </c>
      <c r="B1118" s="75" t="s">
        <v>750</v>
      </c>
      <c r="C1118" s="39" t="s">
        <v>17</v>
      </c>
      <c r="D1118" s="236"/>
      <c r="E1118" s="236"/>
      <c r="F1118" s="236"/>
      <c r="G1118" s="236"/>
      <c r="H1118" s="41">
        <f>SUM(Tabla132112414[[#This Row],[PRIMER TRIMESTRE]:[CUARTO TRIMESTRE]])</f>
        <v>0</v>
      </c>
      <c r="I1118" s="17">
        <v>129.80000000000001</v>
      </c>
      <c r="J1118" s="17">
        <f>+H1118*I1118</f>
        <v>0</v>
      </c>
      <c r="K1118" s="17"/>
      <c r="L1118" s="16" t="s">
        <v>18</v>
      </c>
      <c r="M1118" s="16" t="s">
        <v>22</v>
      </c>
      <c r="N1118" s="39" t="s">
        <v>418</v>
      </c>
    </row>
    <row r="1119" spans="1:14" s="12" customFormat="1" ht="18">
      <c r="A1119" s="178" t="s">
        <v>120</v>
      </c>
      <c r="B1119" s="75" t="s">
        <v>403</v>
      </c>
      <c r="C1119" s="39" t="s">
        <v>416</v>
      </c>
      <c r="D1119" s="236">
        <v>2</v>
      </c>
      <c r="E1119" s="236">
        <v>2</v>
      </c>
      <c r="F1119" s="236">
        <v>2</v>
      </c>
      <c r="G1119" s="236">
        <v>2</v>
      </c>
      <c r="H1119" s="41">
        <f>SUM(Tabla132112414[[#This Row],[PRIMER TRIMESTRE]:[CUARTO TRIMESTRE]])</f>
        <v>8</v>
      </c>
      <c r="I1119" s="17">
        <v>75</v>
      </c>
      <c r="J1119" s="17">
        <f>+H1119*I1119</f>
        <v>600</v>
      </c>
      <c r="K1119" s="17"/>
      <c r="L1119" s="16" t="s">
        <v>18</v>
      </c>
      <c r="M1119" s="16" t="s">
        <v>22</v>
      </c>
      <c r="N1119" s="39" t="s">
        <v>418</v>
      </c>
    </row>
    <row r="1120" spans="1:14" s="12" customFormat="1" ht="18">
      <c r="A1120" s="178" t="s">
        <v>120</v>
      </c>
      <c r="B1120" s="75" t="s">
        <v>744</v>
      </c>
      <c r="C1120" s="39" t="s">
        <v>17</v>
      </c>
      <c r="D1120" s="236">
        <v>1</v>
      </c>
      <c r="E1120" s="236"/>
      <c r="F1120" s="236">
        <v>1</v>
      </c>
      <c r="G1120" s="236"/>
      <c r="H1120" s="41">
        <f>SUM(Tabla132112414[[#This Row],[PRIMER TRIMESTRE]:[CUARTO TRIMESTRE]])</f>
        <v>2</v>
      </c>
      <c r="I1120" s="17">
        <v>43.66</v>
      </c>
      <c r="J1120" s="17">
        <f>+H1120*I1120</f>
        <v>87.32</v>
      </c>
      <c r="K1120" s="17"/>
      <c r="L1120" s="16" t="s">
        <v>18</v>
      </c>
      <c r="M1120" s="16" t="s">
        <v>22</v>
      </c>
      <c r="N1120" s="39" t="s">
        <v>418</v>
      </c>
    </row>
    <row r="1121" spans="1:14" s="12" customFormat="1" ht="18">
      <c r="A1121" s="178" t="s">
        <v>120</v>
      </c>
      <c r="B1121" s="75" t="s">
        <v>264</v>
      </c>
      <c r="C1121" s="39" t="s">
        <v>17</v>
      </c>
      <c r="D1121" s="236"/>
      <c r="E1121" s="236"/>
      <c r="F1121" s="236"/>
      <c r="G1121" s="236"/>
      <c r="H1121" s="41">
        <f>SUM(Tabla132112414[[#This Row],[PRIMER TRIMESTRE]:[CUARTO TRIMESTRE]])</f>
        <v>0</v>
      </c>
      <c r="I1121" s="17">
        <v>185</v>
      </c>
      <c r="J1121" s="17">
        <f>+Tabla132112414[[#This Row],[CANTIDAD TOTAL]]*Tabla132112414[[#This Row],[PRECIO UNITARIO ESTIMADO]]</f>
        <v>0</v>
      </c>
      <c r="K1121" s="17"/>
      <c r="L1121" s="16" t="s">
        <v>18</v>
      </c>
      <c r="M1121" s="16" t="s">
        <v>22</v>
      </c>
      <c r="N1121" s="39" t="s">
        <v>418</v>
      </c>
    </row>
    <row r="1122" spans="1:14" s="12" customFormat="1" ht="18">
      <c r="A1122" s="178" t="s">
        <v>120</v>
      </c>
      <c r="B1122" s="75" t="s">
        <v>745</v>
      </c>
      <c r="C1122" s="39" t="s">
        <v>208</v>
      </c>
      <c r="D1122" s="236">
        <v>1</v>
      </c>
      <c r="E1122" s="236"/>
      <c r="F1122" s="236"/>
      <c r="G1122" s="236">
        <v>1</v>
      </c>
      <c r="H1122" s="41">
        <f>SUM(Tabla132112414[[#This Row],[PRIMER TRIMESTRE]:[CUARTO TRIMESTRE]])</f>
        <v>2</v>
      </c>
      <c r="I1122" s="17">
        <v>43.66</v>
      </c>
      <c r="J1122" s="17">
        <f t="shared" ref="J1122:J1136" si="29">+H1122*I1122</f>
        <v>87.32</v>
      </c>
      <c r="K1122" s="17"/>
      <c r="L1122" s="16" t="s">
        <v>18</v>
      </c>
      <c r="M1122" s="16" t="s">
        <v>22</v>
      </c>
      <c r="N1122" s="39" t="s">
        <v>418</v>
      </c>
    </row>
    <row r="1123" spans="1:14" s="12" customFormat="1" ht="18">
      <c r="A1123" s="178" t="s">
        <v>120</v>
      </c>
      <c r="B1123" s="75" t="s">
        <v>760</v>
      </c>
      <c r="C1123" s="39" t="s">
        <v>208</v>
      </c>
      <c r="D1123" s="236">
        <v>2</v>
      </c>
      <c r="E1123" s="236"/>
      <c r="F1123" s="236">
        <v>2</v>
      </c>
      <c r="G1123" s="236">
        <v>2</v>
      </c>
      <c r="H1123" s="41">
        <f>SUM(Tabla132112414[[#This Row],[PRIMER TRIMESTRE]:[CUARTO TRIMESTRE]])</f>
        <v>6</v>
      </c>
      <c r="I1123" s="17">
        <v>43.66</v>
      </c>
      <c r="J1123" s="17">
        <f t="shared" si="29"/>
        <v>261.95999999999998</v>
      </c>
      <c r="K1123" s="17"/>
      <c r="L1123" s="16" t="s">
        <v>18</v>
      </c>
      <c r="M1123" s="16" t="s">
        <v>22</v>
      </c>
      <c r="N1123" s="39" t="s">
        <v>418</v>
      </c>
    </row>
    <row r="1124" spans="1:14" s="12" customFormat="1" ht="18">
      <c r="A1124" s="178" t="s">
        <v>120</v>
      </c>
      <c r="B1124" s="75" t="s">
        <v>761</v>
      </c>
      <c r="C1124" s="39" t="s">
        <v>208</v>
      </c>
      <c r="D1124" s="236">
        <v>2</v>
      </c>
      <c r="E1124" s="236"/>
      <c r="F1124" s="236">
        <v>2</v>
      </c>
      <c r="G1124" s="236">
        <v>2</v>
      </c>
      <c r="H1124" s="41">
        <f>SUM(Tabla132112414[[#This Row],[PRIMER TRIMESTRE]:[CUARTO TRIMESTRE]])</f>
        <v>6</v>
      </c>
      <c r="I1124" s="17">
        <v>12.98</v>
      </c>
      <c r="J1124" s="17">
        <f t="shared" si="29"/>
        <v>77.88</v>
      </c>
      <c r="K1124" s="17"/>
      <c r="L1124" s="16" t="s">
        <v>18</v>
      </c>
      <c r="M1124" s="16" t="s">
        <v>22</v>
      </c>
      <c r="N1124" s="39" t="s">
        <v>418</v>
      </c>
    </row>
    <row r="1125" spans="1:14" s="12" customFormat="1" ht="18">
      <c r="A1125" s="178" t="s">
        <v>120</v>
      </c>
      <c r="B1125" s="75" t="s">
        <v>399</v>
      </c>
      <c r="C1125" s="39" t="s">
        <v>208</v>
      </c>
      <c r="D1125" s="236"/>
      <c r="E1125" s="236"/>
      <c r="F1125" s="236"/>
      <c r="G1125" s="236"/>
      <c r="H1125" s="41">
        <f>SUM(Tabla132112414[[#This Row],[PRIMER TRIMESTRE]:[CUARTO TRIMESTRE]])</f>
        <v>0</v>
      </c>
      <c r="I1125" s="17">
        <v>86.81</v>
      </c>
      <c r="J1125" s="17">
        <f t="shared" si="29"/>
        <v>0</v>
      </c>
      <c r="K1125" s="17"/>
      <c r="L1125" s="16" t="s">
        <v>18</v>
      </c>
      <c r="M1125" s="16" t="s">
        <v>22</v>
      </c>
      <c r="N1125" s="39" t="s">
        <v>418</v>
      </c>
    </row>
    <row r="1126" spans="1:14" s="12" customFormat="1" ht="18">
      <c r="A1126" s="178" t="s">
        <v>120</v>
      </c>
      <c r="B1126" s="75" t="s">
        <v>400</v>
      </c>
      <c r="C1126" s="39" t="s">
        <v>208</v>
      </c>
      <c r="D1126" s="236"/>
      <c r="E1126" s="236"/>
      <c r="F1126" s="236"/>
      <c r="G1126" s="236"/>
      <c r="H1126" s="41">
        <f>SUM(Tabla132112414[[#This Row],[PRIMER TRIMESTRE]:[CUARTO TRIMESTRE]])</f>
        <v>0</v>
      </c>
      <c r="I1126" s="17">
        <v>25.4</v>
      </c>
      <c r="J1126" s="17">
        <f t="shared" si="29"/>
        <v>0</v>
      </c>
      <c r="K1126" s="17"/>
      <c r="L1126" s="16" t="s">
        <v>18</v>
      </c>
      <c r="M1126" s="16" t="s">
        <v>22</v>
      </c>
      <c r="N1126" s="39" t="s">
        <v>418</v>
      </c>
    </row>
    <row r="1127" spans="1:14" s="12" customFormat="1" ht="25.5">
      <c r="A1127" s="178" t="s">
        <v>120</v>
      </c>
      <c r="B1127" s="75" t="s">
        <v>395</v>
      </c>
      <c r="C1127" s="39" t="s">
        <v>208</v>
      </c>
      <c r="D1127" s="236">
        <v>1</v>
      </c>
      <c r="E1127" s="236"/>
      <c r="F1127" s="236"/>
      <c r="G1127" s="236"/>
      <c r="H1127" s="41">
        <f>SUM(Tabla132112414[[#This Row],[PRIMER TRIMESTRE]:[CUARTO TRIMESTRE]])</f>
        <v>1</v>
      </c>
      <c r="I1127" s="17">
        <v>235.20000000000002</v>
      </c>
      <c r="J1127" s="17">
        <f t="shared" si="29"/>
        <v>235.20000000000002</v>
      </c>
      <c r="K1127" s="17"/>
      <c r="L1127" s="16" t="s">
        <v>18</v>
      </c>
      <c r="M1127" s="16" t="s">
        <v>22</v>
      </c>
      <c r="N1127" s="39" t="s">
        <v>418</v>
      </c>
    </row>
    <row r="1128" spans="1:14" s="12" customFormat="1" ht="18">
      <c r="A1128" s="178" t="s">
        <v>120</v>
      </c>
      <c r="B1128" s="75" t="s">
        <v>746</v>
      </c>
      <c r="C1128" s="39" t="s">
        <v>17</v>
      </c>
      <c r="D1128" s="236">
        <v>8</v>
      </c>
      <c r="E1128" s="236"/>
      <c r="F1128" s="236">
        <v>8</v>
      </c>
      <c r="G1128" s="236"/>
      <c r="H1128" s="41">
        <f>SUM(Tabla132112414[[#This Row],[PRIMER TRIMESTRE]:[CUARTO TRIMESTRE]])</f>
        <v>16</v>
      </c>
      <c r="I1128" s="17">
        <v>23.32</v>
      </c>
      <c r="J1128" s="17">
        <f t="shared" si="29"/>
        <v>373.12</v>
      </c>
      <c r="K1128" s="17"/>
      <c r="L1128" s="16" t="s">
        <v>18</v>
      </c>
      <c r="M1128" s="16" t="s">
        <v>22</v>
      </c>
      <c r="N1128" s="39" t="s">
        <v>418</v>
      </c>
    </row>
    <row r="1129" spans="1:14" s="12" customFormat="1" ht="18">
      <c r="A1129" s="178" t="s">
        <v>120</v>
      </c>
      <c r="B1129" s="75" t="s">
        <v>747</v>
      </c>
      <c r="C1129" s="39" t="s">
        <v>17</v>
      </c>
      <c r="D1129" s="236">
        <v>8</v>
      </c>
      <c r="E1129" s="236"/>
      <c r="F1129" s="236">
        <v>8</v>
      </c>
      <c r="G1129" s="236"/>
      <c r="H1129" s="41">
        <f>SUM(Tabla132112414[[#This Row],[PRIMER TRIMESTRE]:[CUARTO TRIMESTRE]])</f>
        <v>16</v>
      </c>
      <c r="I1129" s="17">
        <v>23.32</v>
      </c>
      <c r="J1129" s="17">
        <f t="shared" si="29"/>
        <v>373.12</v>
      </c>
      <c r="K1129" s="17"/>
      <c r="L1129" s="16" t="s">
        <v>18</v>
      </c>
      <c r="M1129" s="16" t="s">
        <v>22</v>
      </c>
      <c r="N1129" s="39" t="s">
        <v>418</v>
      </c>
    </row>
    <row r="1130" spans="1:14" s="12" customFormat="1" ht="18">
      <c r="A1130" s="178" t="s">
        <v>120</v>
      </c>
      <c r="B1130" s="75" t="s">
        <v>396</v>
      </c>
      <c r="C1130" s="39" t="s">
        <v>208</v>
      </c>
      <c r="D1130" s="236">
        <v>2</v>
      </c>
      <c r="E1130" s="236"/>
      <c r="F1130" s="236">
        <v>2</v>
      </c>
      <c r="G1130" s="236"/>
      <c r="H1130" s="41">
        <f>SUM(Tabla132112414[[#This Row],[PRIMER TRIMESTRE]:[CUARTO TRIMESTRE]])</f>
        <v>4</v>
      </c>
      <c r="I1130" s="17">
        <v>194.7</v>
      </c>
      <c r="J1130" s="17">
        <f t="shared" si="29"/>
        <v>778.8</v>
      </c>
      <c r="K1130" s="17"/>
      <c r="L1130" s="16" t="s">
        <v>18</v>
      </c>
      <c r="M1130" s="16" t="s">
        <v>22</v>
      </c>
      <c r="N1130" s="39" t="s">
        <v>418</v>
      </c>
    </row>
    <row r="1131" spans="1:14" s="12" customFormat="1" ht="18">
      <c r="A1131" s="178" t="s">
        <v>120</v>
      </c>
      <c r="B1131" s="75" t="s">
        <v>397</v>
      </c>
      <c r="C1131" s="39" t="s">
        <v>208</v>
      </c>
      <c r="D1131" s="236">
        <v>2</v>
      </c>
      <c r="E1131" s="236"/>
      <c r="F1131" s="236">
        <v>2</v>
      </c>
      <c r="G1131" s="236"/>
      <c r="H1131" s="41">
        <f>SUM(Tabla132112414[[#This Row],[PRIMER TRIMESTRE]:[CUARTO TRIMESTRE]])</f>
        <v>4</v>
      </c>
      <c r="I1131" s="17">
        <v>309.14</v>
      </c>
      <c r="J1131" s="17">
        <f t="shared" si="29"/>
        <v>1236.56</v>
      </c>
      <c r="K1131" s="17"/>
      <c r="L1131" s="16" t="s">
        <v>18</v>
      </c>
      <c r="M1131" s="16" t="s">
        <v>22</v>
      </c>
      <c r="N1131" s="39" t="s">
        <v>418</v>
      </c>
    </row>
    <row r="1132" spans="1:14" s="12" customFormat="1" ht="18">
      <c r="A1132" s="178" t="s">
        <v>120</v>
      </c>
      <c r="B1132" s="75" t="s">
        <v>404</v>
      </c>
      <c r="C1132" s="39" t="s">
        <v>255</v>
      </c>
      <c r="D1132" s="236">
        <v>2</v>
      </c>
      <c r="E1132" s="236"/>
      <c r="F1132" s="236">
        <v>2</v>
      </c>
      <c r="G1132" s="236"/>
      <c r="H1132" s="41">
        <f>SUM(Tabla132112414[[#This Row],[PRIMER TRIMESTRE]:[CUARTO TRIMESTRE]])</f>
        <v>4</v>
      </c>
      <c r="I1132" s="17">
        <v>29.5</v>
      </c>
      <c r="J1132" s="17">
        <f t="shared" si="29"/>
        <v>118</v>
      </c>
      <c r="K1132" s="17"/>
      <c r="L1132" s="16" t="s">
        <v>18</v>
      </c>
      <c r="M1132" s="16" t="s">
        <v>22</v>
      </c>
      <c r="N1132" s="39" t="s">
        <v>418</v>
      </c>
    </row>
    <row r="1133" spans="1:14" s="12" customFormat="1" ht="18">
      <c r="A1133" s="178" t="s">
        <v>120</v>
      </c>
      <c r="B1133" s="75" t="s">
        <v>254</v>
      </c>
      <c r="C1133" s="39" t="s">
        <v>417</v>
      </c>
      <c r="D1133" s="236">
        <v>1</v>
      </c>
      <c r="E1133" s="236"/>
      <c r="F1133" s="236">
        <v>1</v>
      </c>
      <c r="G1133" s="236"/>
      <c r="H1133" s="41">
        <f>SUM(Tabla132112414[[#This Row],[PRIMER TRIMESTRE]:[CUARTO TRIMESTRE]])</f>
        <v>2</v>
      </c>
      <c r="I1133" s="17">
        <v>12</v>
      </c>
      <c r="J1133" s="17">
        <f t="shared" si="29"/>
        <v>24</v>
      </c>
      <c r="K1133" s="17"/>
      <c r="L1133" s="16" t="s">
        <v>18</v>
      </c>
      <c r="M1133" s="16" t="s">
        <v>22</v>
      </c>
      <c r="N1133" s="39" t="s">
        <v>418</v>
      </c>
    </row>
    <row r="1134" spans="1:14" s="12" customFormat="1" ht="18">
      <c r="A1134" s="178" t="s">
        <v>120</v>
      </c>
      <c r="B1134" s="75" t="s">
        <v>394</v>
      </c>
      <c r="C1134" s="39" t="s">
        <v>208</v>
      </c>
      <c r="D1134" s="236">
        <v>2</v>
      </c>
      <c r="E1134" s="236">
        <v>2</v>
      </c>
      <c r="F1134" s="236">
        <v>2</v>
      </c>
      <c r="G1134" s="236">
        <v>2</v>
      </c>
      <c r="H1134" s="41">
        <f>SUM(Tabla132112414[[#This Row],[PRIMER TRIMESTRE]:[CUARTO TRIMESTRE]])</f>
        <v>8</v>
      </c>
      <c r="I1134" s="17">
        <v>69.599999999999994</v>
      </c>
      <c r="J1134" s="17">
        <f t="shared" si="29"/>
        <v>556.79999999999995</v>
      </c>
      <c r="K1134" s="17"/>
      <c r="L1134" s="16" t="s">
        <v>18</v>
      </c>
      <c r="M1134" s="16" t="s">
        <v>22</v>
      </c>
      <c r="N1134" s="39" t="s">
        <v>418</v>
      </c>
    </row>
    <row r="1135" spans="1:14" s="12" customFormat="1" ht="18">
      <c r="A1135" s="178" t="s">
        <v>120</v>
      </c>
      <c r="B1135" s="75" t="s">
        <v>408</v>
      </c>
      <c r="C1135" s="39" t="s">
        <v>417</v>
      </c>
      <c r="D1135" s="236">
        <v>3</v>
      </c>
      <c r="E1135" s="236">
        <v>3</v>
      </c>
      <c r="F1135" s="236"/>
      <c r="G1135" s="236">
        <v>3</v>
      </c>
      <c r="H1135" s="41">
        <f>SUM(Tabla132112414[[#This Row],[PRIMER TRIMESTRE]:[CUARTO TRIMESTRE]])</f>
        <v>9</v>
      </c>
      <c r="I1135" s="17">
        <v>43.7</v>
      </c>
      <c r="J1135" s="17">
        <f t="shared" si="29"/>
        <v>393.3</v>
      </c>
      <c r="K1135" s="17"/>
      <c r="L1135" s="16" t="s">
        <v>18</v>
      </c>
      <c r="M1135" s="16" t="s">
        <v>22</v>
      </c>
      <c r="N1135" s="39" t="s">
        <v>418</v>
      </c>
    </row>
    <row r="1136" spans="1:14" s="12" customFormat="1" ht="18">
      <c r="A1136" s="178" t="s">
        <v>120</v>
      </c>
      <c r="B1136" s="75" t="s">
        <v>409</v>
      </c>
      <c r="C1136" s="39" t="s">
        <v>417</v>
      </c>
      <c r="D1136" s="236">
        <v>3</v>
      </c>
      <c r="E1136" s="236"/>
      <c r="F1136" s="236">
        <v>3</v>
      </c>
      <c r="G1136" s="236"/>
      <c r="H1136" s="41">
        <f>SUM(Tabla132112414[[#This Row],[PRIMER TRIMESTRE]:[CUARTO TRIMESTRE]])</f>
        <v>6</v>
      </c>
      <c r="I1136" s="17">
        <v>15.21</v>
      </c>
      <c r="J1136" s="17">
        <f t="shared" si="29"/>
        <v>91.26</v>
      </c>
      <c r="K1136" s="17"/>
      <c r="L1136" s="16" t="s">
        <v>18</v>
      </c>
      <c r="M1136" s="16" t="s">
        <v>22</v>
      </c>
      <c r="N1136" s="39" t="s">
        <v>418</v>
      </c>
    </row>
    <row r="1137" spans="1:14" s="12" customFormat="1" ht="18">
      <c r="A1137" s="178" t="s">
        <v>120</v>
      </c>
      <c r="B1137" s="75" t="s">
        <v>265</v>
      </c>
      <c r="C1137" s="39" t="s">
        <v>17</v>
      </c>
      <c r="D1137" s="236"/>
      <c r="E1137" s="236">
        <v>1</v>
      </c>
      <c r="F1137" s="236"/>
      <c r="G1137" s="236"/>
      <c r="H1137" s="41">
        <f>SUM(Tabla132112414[[#This Row],[PRIMER TRIMESTRE]:[CUARTO TRIMESTRE]])</f>
        <v>1</v>
      </c>
      <c r="I1137" s="17">
        <v>185.6</v>
      </c>
      <c r="J1137" s="17">
        <f>+Tabla132112414[[#This Row],[CANTIDAD TOTAL]]*Tabla132112414[[#This Row],[PRECIO UNITARIO ESTIMADO]]</f>
        <v>185.6</v>
      </c>
      <c r="K1137" s="17"/>
      <c r="L1137" s="16" t="s">
        <v>18</v>
      </c>
      <c r="M1137" s="16" t="s">
        <v>22</v>
      </c>
      <c r="N1137" s="39" t="s">
        <v>418</v>
      </c>
    </row>
    <row r="1138" spans="1:14" s="12" customFormat="1" ht="18">
      <c r="A1138" s="178" t="s">
        <v>120</v>
      </c>
      <c r="B1138" s="75" t="s">
        <v>261</v>
      </c>
      <c r="C1138" s="39" t="s">
        <v>17</v>
      </c>
      <c r="D1138" s="236">
        <v>2</v>
      </c>
      <c r="E1138" s="236">
        <v>2</v>
      </c>
      <c r="F1138" s="236">
        <v>2</v>
      </c>
      <c r="G1138" s="236">
        <v>2</v>
      </c>
      <c r="H1138" s="41">
        <f>SUM(Tabla132112414[[#This Row],[PRIMER TRIMESTRE]:[CUARTO TRIMESTRE]])</f>
        <v>8</v>
      </c>
      <c r="I1138" s="17">
        <v>148</v>
      </c>
      <c r="J1138" s="17">
        <f>+Tabla132112414[[#This Row],[CANTIDAD TOTAL]]*Tabla132112414[[#This Row],[PRECIO UNITARIO ESTIMADO]]</f>
        <v>1184</v>
      </c>
      <c r="K1138" s="17"/>
      <c r="L1138" s="16" t="s">
        <v>18</v>
      </c>
      <c r="M1138" s="16" t="s">
        <v>22</v>
      </c>
      <c r="N1138" s="39" t="s">
        <v>418</v>
      </c>
    </row>
    <row r="1139" spans="1:14" s="12" customFormat="1" ht="18">
      <c r="A1139" s="178" t="s">
        <v>120</v>
      </c>
      <c r="B1139" s="75" t="s">
        <v>751</v>
      </c>
      <c r="C1139" s="39" t="s">
        <v>17</v>
      </c>
      <c r="D1139" s="236">
        <v>3</v>
      </c>
      <c r="E1139" s="236">
        <v>3</v>
      </c>
      <c r="F1139" s="236">
        <v>3</v>
      </c>
      <c r="G1139" s="236">
        <v>3</v>
      </c>
      <c r="H1139" s="41">
        <f>SUM(Tabla132112414[[#This Row],[PRIMER TRIMESTRE]:[CUARTO TRIMESTRE]])</f>
        <v>12</v>
      </c>
      <c r="I1139" s="17">
        <v>15.54</v>
      </c>
      <c r="J1139" s="17">
        <f>+H1139*I1139</f>
        <v>186.48</v>
      </c>
      <c r="K1139" s="17"/>
      <c r="L1139" s="16" t="s">
        <v>18</v>
      </c>
      <c r="M1139" s="16" t="s">
        <v>22</v>
      </c>
      <c r="N1139" s="39" t="s">
        <v>418</v>
      </c>
    </row>
    <row r="1140" spans="1:14" s="12" customFormat="1" ht="18">
      <c r="A1140" s="178" t="s">
        <v>120</v>
      </c>
      <c r="B1140" s="75" t="s">
        <v>754</v>
      </c>
      <c r="C1140" s="39" t="s">
        <v>17</v>
      </c>
      <c r="D1140" s="236">
        <v>3</v>
      </c>
      <c r="E1140" s="236">
        <v>3</v>
      </c>
      <c r="F1140" s="236">
        <v>3</v>
      </c>
      <c r="G1140" s="236">
        <v>3</v>
      </c>
      <c r="H1140" s="41">
        <f>SUM(Tabla132112414[[#This Row],[PRIMER TRIMESTRE]:[CUARTO TRIMESTRE]])</f>
        <v>12</v>
      </c>
      <c r="I1140" s="17">
        <v>15.54</v>
      </c>
      <c r="J1140" s="17">
        <f>+H1140*I1140</f>
        <v>186.48</v>
      </c>
      <c r="K1140" s="17"/>
      <c r="L1140" s="16" t="s">
        <v>18</v>
      </c>
      <c r="M1140" s="16" t="s">
        <v>22</v>
      </c>
      <c r="N1140" s="39" t="s">
        <v>418</v>
      </c>
    </row>
    <row r="1141" spans="1:14" s="12" customFormat="1" ht="18">
      <c r="A1141" s="178" t="s">
        <v>120</v>
      </c>
      <c r="B1141" s="75" t="s">
        <v>755</v>
      </c>
      <c r="C1141" s="39" t="s">
        <v>17</v>
      </c>
      <c r="D1141" s="236">
        <v>3</v>
      </c>
      <c r="E1141" s="236">
        <v>3</v>
      </c>
      <c r="F1141" s="236">
        <v>3</v>
      </c>
      <c r="G1141" s="236">
        <v>3</v>
      </c>
      <c r="H1141" s="41">
        <f>SUM(Tabla132112414[[#This Row],[PRIMER TRIMESTRE]:[CUARTO TRIMESTRE]])</f>
        <v>12</v>
      </c>
      <c r="I1141" s="17">
        <v>15.54</v>
      </c>
      <c r="J1141" s="17">
        <f>+H1141*I1141</f>
        <v>186.48</v>
      </c>
      <c r="K1141" s="17"/>
      <c r="L1141" s="16" t="s">
        <v>18</v>
      </c>
      <c r="M1141" s="16" t="s">
        <v>22</v>
      </c>
      <c r="N1141" s="39" t="s">
        <v>418</v>
      </c>
    </row>
    <row r="1142" spans="1:14" s="12" customFormat="1" ht="18">
      <c r="A1142" s="178" t="s">
        <v>752</v>
      </c>
      <c r="B1142" s="75" t="s">
        <v>390</v>
      </c>
      <c r="C1142" s="39" t="s">
        <v>266</v>
      </c>
      <c r="D1142" s="236">
        <v>9</v>
      </c>
      <c r="E1142" s="236">
        <v>9</v>
      </c>
      <c r="F1142" s="236">
        <v>9</v>
      </c>
      <c r="G1142" s="236">
        <v>9</v>
      </c>
      <c r="H1142" s="41">
        <f>SUM(Tabla132112414[[#This Row],[PRIMER TRIMESTRE]:[CUARTO TRIMESTRE]])</f>
        <v>36</v>
      </c>
      <c r="I1142" s="17">
        <v>145.13999999999999</v>
      </c>
      <c r="J1142" s="17">
        <f>+H1142*I1142</f>
        <v>5225.0399999999991</v>
      </c>
      <c r="K1142" s="21"/>
      <c r="L1142" s="16" t="s">
        <v>18</v>
      </c>
      <c r="M1142" s="16" t="s">
        <v>22</v>
      </c>
      <c r="N1142" s="39" t="s">
        <v>418</v>
      </c>
    </row>
    <row r="1143" spans="1:14" s="12" customFormat="1" ht="18">
      <c r="A1143" s="178" t="s">
        <v>120</v>
      </c>
      <c r="B1143" s="75" t="s">
        <v>391</v>
      </c>
      <c r="C1143" s="39" t="s">
        <v>415</v>
      </c>
      <c r="D1143" s="236"/>
      <c r="E1143" s="236"/>
      <c r="F1143" s="236"/>
      <c r="G1143" s="236"/>
      <c r="H1143" s="41">
        <f>SUM(Tabla132112414[[#This Row],[PRIMER TRIMESTRE]:[CUARTO TRIMESTRE]])</f>
        <v>0</v>
      </c>
      <c r="I1143" s="17">
        <v>214.76</v>
      </c>
      <c r="J1143" s="17">
        <f>+H1143*I1143</f>
        <v>0</v>
      </c>
      <c r="K1143" s="17"/>
      <c r="L1143" s="16" t="s">
        <v>18</v>
      </c>
      <c r="M1143" s="16" t="s">
        <v>22</v>
      </c>
      <c r="N1143" s="39" t="s">
        <v>418</v>
      </c>
    </row>
    <row r="1144" spans="1:14" s="12" customFormat="1" ht="18">
      <c r="A1144" s="178" t="s">
        <v>120</v>
      </c>
      <c r="B1144" s="75" t="s">
        <v>267</v>
      </c>
      <c r="C1144" s="39" t="s">
        <v>102</v>
      </c>
      <c r="D1144" s="236"/>
      <c r="E1144" s="236"/>
      <c r="F1144" s="236"/>
      <c r="G1144" s="236"/>
      <c r="H1144" s="41">
        <f>SUM(Tabla132112414[[#This Row],[PRIMER TRIMESTRE]:[CUARTO TRIMESTRE]])</f>
        <v>0</v>
      </c>
      <c r="I1144" s="17">
        <v>1063.19</v>
      </c>
      <c r="J1144" s="17">
        <f>+Tabla132112414[[#This Row],[CANTIDAD TOTAL]]*Tabla132112414[[#This Row],[PRECIO UNITARIO ESTIMADO]]</f>
        <v>0</v>
      </c>
      <c r="K1144" s="17"/>
      <c r="L1144" s="16" t="s">
        <v>18</v>
      </c>
      <c r="M1144" s="16" t="s">
        <v>22</v>
      </c>
      <c r="N1144" s="39" t="s">
        <v>418</v>
      </c>
    </row>
    <row r="1145" spans="1:14" s="12" customFormat="1" ht="18">
      <c r="A1145" s="178" t="s">
        <v>120</v>
      </c>
      <c r="B1145" s="75" t="s">
        <v>759</v>
      </c>
      <c r="C1145" s="39" t="s">
        <v>208</v>
      </c>
      <c r="D1145" s="236">
        <v>1</v>
      </c>
      <c r="E1145" s="236"/>
      <c r="F1145" s="236"/>
      <c r="G1145" s="236"/>
      <c r="H1145" s="41">
        <f>SUM(Tabla132112414[[#This Row],[PRIMER TRIMESTRE]:[CUARTO TRIMESTRE]])</f>
        <v>1</v>
      </c>
      <c r="I1145" s="17">
        <v>161.66</v>
      </c>
      <c r="J1145" s="17">
        <f>+H1145*I1145</f>
        <v>161.66</v>
      </c>
      <c r="K1145" s="17"/>
      <c r="L1145" s="16" t="s">
        <v>18</v>
      </c>
      <c r="M1145" s="16" t="s">
        <v>22</v>
      </c>
      <c r="N1145" s="39" t="s">
        <v>418</v>
      </c>
    </row>
    <row r="1146" spans="1:14" s="12" customFormat="1" ht="18">
      <c r="A1146" s="178" t="s">
        <v>120</v>
      </c>
      <c r="B1146" s="75" t="s">
        <v>268</v>
      </c>
      <c r="C1146" s="39" t="s">
        <v>208</v>
      </c>
      <c r="D1146" s="236"/>
      <c r="E1146" s="236"/>
      <c r="F1146" s="236"/>
      <c r="G1146" s="236"/>
      <c r="H1146" s="41">
        <f>SUM(Tabla132112414[[#This Row],[PRIMER TRIMESTRE]:[CUARTO TRIMESTRE]])</f>
        <v>0</v>
      </c>
      <c r="I1146" s="17">
        <v>1450</v>
      </c>
      <c r="J1146" s="17">
        <f>+Tabla132112414[[#This Row],[CANTIDAD TOTAL]]*Tabla132112414[[#This Row],[PRECIO UNITARIO ESTIMADO]]</f>
        <v>0</v>
      </c>
      <c r="K1146" s="17"/>
      <c r="L1146" s="16" t="s">
        <v>18</v>
      </c>
      <c r="M1146" s="16" t="s">
        <v>22</v>
      </c>
      <c r="N1146" s="39" t="s">
        <v>418</v>
      </c>
    </row>
    <row r="1147" spans="1:14" s="12" customFormat="1" ht="18">
      <c r="A1147" s="178" t="s">
        <v>120</v>
      </c>
      <c r="B1147" s="75" t="s">
        <v>269</v>
      </c>
      <c r="C1147" s="39" t="s">
        <v>266</v>
      </c>
      <c r="D1147" s="236">
        <v>2</v>
      </c>
      <c r="E1147" s="236">
        <v>2</v>
      </c>
      <c r="F1147" s="236">
        <v>2</v>
      </c>
      <c r="G1147" s="236">
        <v>2</v>
      </c>
      <c r="H1147" s="41">
        <f>SUM(Tabla132112414[[#This Row],[PRIMER TRIMESTRE]:[CUARTO TRIMESTRE]])</f>
        <v>8</v>
      </c>
      <c r="I1147" s="17">
        <v>2552</v>
      </c>
      <c r="J1147" s="17">
        <f>+Tabla132112414[[#This Row],[CANTIDAD TOTAL]]*Tabla132112414[[#This Row],[PRECIO UNITARIO ESTIMADO]]</f>
        <v>20416</v>
      </c>
      <c r="K1147" s="17"/>
      <c r="L1147" s="16" t="s">
        <v>18</v>
      </c>
      <c r="M1147" s="16" t="s">
        <v>22</v>
      </c>
      <c r="N1147" s="39" t="s">
        <v>418</v>
      </c>
    </row>
    <row r="1148" spans="1:14" s="12" customFormat="1" ht="18">
      <c r="A1148" s="178" t="s">
        <v>120</v>
      </c>
      <c r="B1148" s="75" t="s">
        <v>756</v>
      </c>
      <c r="C1148" s="39" t="s">
        <v>234</v>
      </c>
      <c r="D1148" s="236"/>
      <c r="E1148" s="236"/>
      <c r="F1148" s="236"/>
      <c r="G1148" s="236"/>
      <c r="H1148" s="41">
        <f>SUM(Tabla132112414[[#This Row],[PRIMER TRIMESTRE]:[CUARTO TRIMESTRE]])</f>
        <v>0</v>
      </c>
      <c r="I1148" s="17">
        <v>24.78</v>
      </c>
      <c r="J1148" s="17">
        <f t="shared" ref="J1148:J1154" si="30">+H1148*I1148</f>
        <v>0</v>
      </c>
      <c r="K1148" s="17"/>
      <c r="L1148" s="16" t="s">
        <v>18</v>
      </c>
      <c r="M1148" s="16" t="s">
        <v>22</v>
      </c>
      <c r="N1148" s="39" t="s">
        <v>418</v>
      </c>
    </row>
    <row r="1149" spans="1:14" s="12" customFormat="1" ht="18">
      <c r="A1149" s="178" t="s">
        <v>120</v>
      </c>
      <c r="B1149" s="75" t="s">
        <v>763</v>
      </c>
      <c r="C1149" s="39" t="s">
        <v>17</v>
      </c>
      <c r="D1149" s="236"/>
      <c r="E1149" s="236"/>
      <c r="F1149" s="236"/>
      <c r="G1149" s="236"/>
      <c r="H1149" s="41">
        <f>SUM(Tabla132112414[[#This Row],[PRIMER TRIMESTRE]:[CUARTO TRIMESTRE]])</f>
        <v>0</v>
      </c>
      <c r="I1149" s="17">
        <v>186.44</v>
      </c>
      <c r="J1149" s="17">
        <f t="shared" si="30"/>
        <v>0</v>
      </c>
      <c r="K1149" s="17"/>
      <c r="L1149" s="16" t="s">
        <v>18</v>
      </c>
      <c r="M1149" s="16" t="s">
        <v>22</v>
      </c>
      <c r="N1149" s="39" t="s">
        <v>418</v>
      </c>
    </row>
    <row r="1150" spans="1:14" s="12" customFormat="1" ht="18">
      <c r="A1150" s="178" t="s">
        <v>120</v>
      </c>
      <c r="B1150" s="75" t="s">
        <v>410</v>
      </c>
      <c r="C1150" s="39" t="s">
        <v>417</v>
      </c>
      <c r="D1150" s="236">
        <v>4</v>
      </c>
      <c r="E1150" s="236">
        <v>4</v>
      </c>
      <c r="F1150" s="236">
        <v>4</v>
      </c>
      <c r="G1150" s="236">
        <v>4</v>
      </c>
      <c r="H1150" s="41">
        <f>SUM(Tabla132112414[[#This Row],[PRIMER TRIMESTRE]:[CUARTO TRIMESTRE]])</f>
        <v>16</v>
      </c>
      <c r="I1150" s="17">
        <v>10</v>
      </c>
      <c r="J1150" s="17">
        <f t="shared" si="30"/>
        <v>160</v>
      </c>
      <c r="K1150" s="17"/>
      <c r="L1150" s="16" t="s">
        <v>18</v>
      </c>
      <c r="M1150" s="16" t="s">
        <v>22</v>
      </c>
      <c r="N1150" s="39" t="s">
        <v>418</v>
      </c>
    </row>
    <row r="1151" spans="1:14" s="12" customFormat="1" ht="18">
      <c r="A1151" s="178" t="s">
        <v>120</v>
      </c>
      <c r="B1151" s="75" t="s">
        <v>411</v>
      </c>
      <c r="C1151" s="39" t="s">
        <v>417</v>
      </c>
      <c r="D1151" s="236">
        <v>4</v>
      </c>
      <c r="E1151" s="236">
        <v>4</v>
      </c>
      <c r="F1151" s="236">
        <v>4</v>
      </c>
      <c r="G1151" s="236">
        <v>4</v>
      </c>
      <c r="H1151" s="41">
        <f>SUM(Tabla132112414[[#This Row],[PRIMER TRIMESTRE]:[CUARTO TRIMESTRE]])</f>
        <v>16</v>
      </c>
      <c r="I1151" s="17">
        <v>14.37</v>
      </c>
      <c r="J1151" s="17">
        <f t="shared" si="30"/>
        <v>229.92</v>
      </c>
      <c r="K1151" s="17"/>
      <c r="L1151" s="16" t="s">
        <v>18</v>
      </c>
      <c r="M1151" s="16" t="s">
        <v>22</v>
      </c>
      <c r="N1151" s="39" t="s">
        <v>418</v>
      </c>
    </row>
    <row r="1152" spans="1:14" s="12" customFormat="1" ht="18">
      <c r="A1152" s="178" t="s">
        <v>120</v>
      </c>
      <c r="B1152" s="75" t="s">
        <v>412</v>
      </c>
      <c r="C1152" s="39" t="s">
        <v>417</v>
      </c>
      <c r="D1152" s="236">
        <v>4</v>
      </c>
      <c r="E1152" s="236">
        <v>4</v>
      </c>
      <c r="F1152" s="236">
        <v>4</v>
      </c>
      <c r="G1152" s="236">
        <v>4</v>
      </c>
      <c r="H1152" s="41">
        <f>SUM(Tabla132112414[[#This Row],[PRIMER TRIMESTRE]:[CUARTO TRIMESTRE]])</f>
        <v>16</v>
      </c>
      <c r="I1152" s="17">
        <v>24.79</v>
      </c>
      <c r="J1152" s="17">
        <f t="shared" si="30"/>
        <v>396.64</v>
      </c>
      <c r="K1152" s="17"/>
      <c r="L1152" s="16" t="s">
        <v>18</v>
      </c>
      <c r="M1152" s="16" t="s">
        <v>22</v>
      </c>
      <c r="N1152" s="39" t="s">
        <v>418</v>
      </c>
    </row>
    <row r="1153" spans="1:14" s="12" customFormat="1" ht="18">
      <c r="A1153" s="178" t="s">
        <v>120</v>
      </c>
      <c r="B1153" s="75" t="s">
        <v>413</v>
      </c>
      <c r="C1153" s="39" t="s">
        <v>208</v>
      </c>
      <c r="D1153" s="236"/>
      <c r="E1153" s="236"/>
      <c r="F1153" s="236"/>
      <c r="G1153" s="236"/>
      <c r="H1153" s="41">
        <f>SUM(Tabla132112414[[#This Row],[PRIMER TRIMESTRE]:[CUARTO TRIMESTRE]])</f>
        <v>0</v>
      </c>
      <c r="I1153" s="17">
        <v>371.09</v>
      </c>
      <c r="J1153" s="17">
        <f t="shared" si="30"/>
        <v>0</v>
      </c>
      <c r="K1153" s="17"/>
      <c r="L1153" s="16" t="s">
        <v>18</v>
      </c>
      <c r="M1153" s="16" t="s">
        <v>22</v>
      </c>
      <c r="N1153" s="39" t="s">
        <v>418</v>
      </c>
    </row>
    <row r="1154" spans="1:14" s="12" customFormat="1" ht="18">
      <c r="A1154" s="178" t="s">
        <v>120</v>
      </c>
      <c r="B1154" s="75" t="s">
        <v>762</v>
      </c>
      <c r="C1154" s="39" t="s">
        <v>208</v>
      </c>
      <c r="D1154" s="236"/>
      <c r="E1154" s="236"/>
      <c r="F1154" s="236"/>
      <c r="G1154" s="236"/>
      <c r="H1154" s="41">
        <f>SUM(Tabla132112414[[#This Row],[PRIMER TRIMESTRE]:[CUARTO TRIMESTRE]])</f>
        <v>0</v>
      </c>
      <c r="I1154" s="17">
        <v>433.06</v>
      </c>
      <c r="J1154" s="17">
        <f t="shared" si="30"/>
        <v>0</v>
      </c>
      <c r="K1154" s="17"/>
      <c r="L1154" s="16" t="s">
        <v>18</v>
      </c>
      <c r="M1154" s="16" t="s">
        <v>22</v>
      </c>
      <c r="N1154" s="39" t="s">
        <v>418</v>
      </c>
    </row>
    <row r="1155" spans="1:14" s="12" customFormat="1" ht="18">
      <c r="A1155" s="178" t="s">
        <v>120</v>
      </c>
      <c r="B1155" s="75" t="s">
        <v>270</v>
      </c>
      <c r="C1155" s="39" t="s">
        <v>17</v>
      </c>
      <c r="D1155" s="236">
        <v>1</v>
      </c>
      <c r="E1155" s="236"/>
      <c r="F1155" s="236"/>
      <c r="G1155" s="236">
        <v>1</v>
      </c>
      <c r="H1155" s="41">
        <f>SUM(Tabla132112414[[#This Row],[PRIMER TRIMESTRE]:[CUARTO TRIMESTRE]])</f>
        <v>2</v>
      </c>
      <c r="I1155" s="17">
        <v>9.2799999999999994</v>
      </c>
      <c r="J1155" s="17">
        <f>+Tabla132112414[[#This Row],[CANTIDAD TOTAL]]*Tabla132112414[[#This Row],[PRECIO UNITARIO ESTIMADO]]</f>
        <v>18.559999999999999</v>
      </c>
      <c r="K1155" s="17"/>
      <c r="L1155" s="16" t="s">
        <v>18</v>
      </c>
      <c r="M1155" s="16" t="s">
        <v>22</v>
      </c>
      <c r="N1155" s="39" t="s">
        <v>418</v>
      </c>
    </row>
    <row r="1156" spans="1:14" s="12" customFormat="1" ht="18">
      <c r="A1156" s="178" t="s">
        <v>120</v>
      </c>
      <c r="B1156" s="75" t="s">
        <v>405</v>
      </c>
      <c r="C1156" s="39" t="s">
        <v>17</v>
      </c>
      <c r="D1156" s="236">
        <v>2</v>
      </c>
      <c r="E1156" s="236">
        <v>2</v>
      </c>
      <c r="F1156" s="236">
        <v>2</v>
      </c>
      <c r="G1156" s="236">
        <v>2</v>
      </c>
      <c r="H1156" s="41">
        <f>SUM(Tabla132112414[[#This Row],[PRIMER TRIMESTRE]:[CUARTO TRIMESTRE]])</f>
        <v>8</v>
      </c>
      <c r="I1156" s="17">
        <v>11.21</v>
      </c>
      <c r="J1156" s="17">
        <f>+H1156*I1156</f>
        <v>89.68</v>
      </c>
      <c r="K1156" s="17"/>
      <c r="L1156" s="16" t="s">
        <v>18</v>
      </c>
      <c r="M1156" s="16" t="s">
        <v>22</v>
      </c>
      <c r="N1156" s="39" t="s">
        <v>418</v>
      </c>
    </row>
    <row r="1157" spans="1:14" s="12" customFormat="1" ht="18">
      <c r="A1157" s="178" t="s">
        <v>120</v>
      </c>
      <c r="B1157" s="75" t="s">
        <v>406</v>
      </c>
      <c r="C1157" s="39" t="s">
        <v>17</v>
      </c>
      <c r="D1157" s="236">
        <v>2</v>
      </c>
      <c r="E1157" s="236">
        <v>2</v>
      </c>
      <c r="F1157" s="236">
        <v>2</v>
      </c>
      <c r="G1157" s="236">
        <v>2</v>
      </c>
      <c r="H1157" s="41">
        <f>SUM(Tabla132112414[[#This Row],[PRIMER TRIMESTRE]:[CUARTO TRIMESTRE]])</f>
        <v>8</v>
      </c>
      <c r="I1157" s="17">
        <v>10.56</v>
      </c>
      <c r="J1157" s="17">
        <f>+H1157*I1157</f>
        <v>84.48</v>
      </c>
      <c r="K1157" s="17"/>
      <c r="L1157" s="16" t="s">
        <v>18</v>
      </c>
      <c r="M1157" s="16" t="s">
        <v>22</v>
      </c>
      <c r="N1157" s="39" t="s">
        <v>418</v>
      </c>
    </row>
    <row r="1158" spans="1:14" s="12" customFormat="1" ht="18">
      <c r="A1158" s="178" t="s">
        <v>120</v>
      </c>
      <c r="B1158" s="75" t="s">
        <v>407</v>
      </c>
      <c r="C1158" s="39" t="s">
        <v>17</v>
      </c>
      <c r="D1158" s="236">
        <v>2</v>
      </c>
      <c r="E1158" s="236">
        <v>2</v>
      </c>
      <c r="F1158" s="236">
        <v>2</v>
      </c>
      <c r="G1158" s="236">
        <v>2</v>
      </c>
      <c r="H1158" s="41">
        <f>SUM(Tabla132112414[[#This Row],[PRIMER TRIMESTRE]:[CUARTO TRIMESTRE]])</f>
        <v>8</v>
      </c>
      <c r="I1158" s="17">
        <v>11.21</v>
      </c>
      <c r="J1158" s="17">
        <f>+H1158*I1158</f>
        <v>89.68</v>
      </c>
      <c r="K1158" s="17"/>
      <c r="L1158" s="16" t="s">
        <v>18</v>
      </c>
      <c r="M1158" s="16" t="s">
        <v>22</v>
      </c>
      <c r="N1158" s="39" t="s">
        <v>418</v>
      </c>
    </row>
    <row r="1159" spans="1:14" s="12" customFormat="1" ht="18">
      <c r="A1159" s="178" t="s">
        <v>120</v>
      </c>
      <c r="B1159" s="75" t="s">
        <v>742</v>
      </c>
      <c r="C1159" s="39" t="s">
        <v>17</v>
      </c>
      <c r="D1159" s="236"/>
      <c r="E1159" s="236"/>
      <c r="F1159" s="236"/>
      <c r="G1159" s="236"/>
      <c r="H1159" s="41">
        <f>SUM(Tabla132112414[[#This Row],[PRIMER TRIMESTRE]:[CUARTO TRIMESTRE]])</f>
        <v>0</v>
      </c>
      <c r="I1159" s="17">
        <v>53.1</v>
      </c>
      <c r="J1159" s="17">
        <f>+Tabla132112414[[#This Row],[CANTIDAD TOTAL]]*Tabla132112414[[#This Row],[PRECIO UNITARIO ESTIMADO]]</f>
        <v>0</v>
      </c>
      <c r="K1159" s="17"/>
      <c r="L1159" s="16" t="s">
        <v>18</v>
      </c>
      <c r="M1159" s="16" t="s">
        <v>22</v>
      </c>
      <c r="N1159" s="39" t="s">
        <v>418</v>
      </c>
    </row>
    <row r="1160" spans="1:14" s="12" customFormat="1" ht="18">
      <c r="A1160" s="178" t="s">
        <v>120</v>
      </c>
      <c r="B1160" s="75" t="s">
        <v>271</v>
      </c>
      <c r="C1160" s="39" t="s">
        <v>17</v>
      </c>
      <c r="D1160" s="236">
        <v>2</v>
      </c>
      <c r="E1160" s="236"/>
      <c r="F1160" s="236">
        <v>2</v>
      </c>
      <c r="G1160" s="236"/>
      <c r="H1160" s="41">
        <f>SUM(Tabla132112414[[#This Row],[PRIMER TRIMESTRE]:[CUARTO TRIMESTRE]])</f>
        <v>4</v>
      </c>
      <c r="I1160" s="17">
        <v>18.399999999999999</v>
      </c>
      <c r="J1160" s="17">
        <f>+H1160*I1160</f>
        <v>73.599999999999994</v>
      </c>
      <c r="K1160" s="17"/>
      <c r="L1160" s="16" t="s">
        <v>18</v>
      </c>
      <c r="M1160" s="16" t="s">
        <v>22</v>
      </c>
      <c r="N1160" s="39" t="s">
        <v>418</v>
      </c>
    </row>
    <row r="1161" spans="1:14" s="12" customFormat="1" ht="18">
      <c r="A1161" s="178" t="s">
        <v>120</v>
      </c>
      <c r="B1161" s="75" t="s">
        <v>757</v>
      </c>
      <c r="C1161" s="39" t="s">
        <v>17</v>
      </c>
      <c r="D1161" s="236"/>
      <c r="E1161" s="236">
        <v>1</v>
      </c>
      <c r="F1161" s="236"/>
      <c r="G1161" s="236">
        <v>1</v>
      </c>
      <c r="H1161" s="41">
        <f>SUM(Tabla132112414[[#This Row],[PRIMER TRIMESTRE]:[CUARTO TRIMESTRE]])</f>
        <v>2</v>
      </c>
      <c r="I1161" s="17">
        <v>12.92</v>
      </c>
      <c r="J1161" s="17">
        <f>+H1161*I1161</f>
        <v>25.84</v>
      </c>
      <c r="K1161" s="17"/>
      <c r="L1161" s="16" t="s">
        <v>18</v>
      </c>
      <c r="M1161" s="16" t="s">
        <v>22</v>
      </c>
      <c r="N1161" s="39" t="s">
        <v>418</v>
      </c>
    </row>
    <row r="1162" spans="1:14" s="12" customFormat="1" ht="18">
      <c r="A1162" s="178" t="s">
        <v>120</v>
      </c>
      <c r="B1162" s="75" t="s">
        <v>325</v>
      </c>
      <c r="C1162" s="39" t="s">
        <v>17</v>
      </c>
      <c r="D1162" s="236"/>
      <c r="E1162" s="236"/>
      <c r="F1162" s="236"/>
      <c r="G1162" s="236"/>
      <c r="H1162" s="41">
        <f>SUM(Tabla132112414[[#This Row],[PRIMER TRIMESTRE]:[CUARTO TRIMESTRE]])</f>
        <v>0</v>
      </c>
      <c r="I1162" s="17">
        <f>337351.26/1251</f>
        <v>269.66527577937649</v>
      </c>
      <c r="J1162" s="17">
        <f>+Tabla132112414[[#This Row],[CANTIDAD TOTAL]]*Tabla132112414[[#This Row],[PRECIO UNITARIO ESTIMADO]]</f>
        <v>0</v>
      </c>
      <c r="K1162" s="17"/>
      <c r="L1162" s="16" t="s">
        <v>18</v>
      </c>
      <c r="M1162" s="16" t="s">
        <v>22</v>
      </c>
      <c r="N1162" s="39" t="s">
        <v>418</v>
      </c>
    </row>
    <row r="1163" spans="1:14" s="12" customFormat="1" ht="18">
      <c r="A1163" s="178" t="s">
        <v>120</v>
      </c>
      <c r="B1163" s="75" t="s">
        <v>784</v>
      </c>
      <c r="C1163" s="39" t="s">
        <v>17</v>
      </c>
      <c r="D1163" s="236">
        <v>20</v>
      </c>
      <c r="E1163" s="236">
        <v>20</v>
      </c>
      <c r="F1163" s="236"/>
      <c r="G1163" s="236">
        <v>15</v>
      </c>
      <c r="H1163" s="41">
        <f>SUM(Tabla132112414[[#This Row],[PRIMER TRIMESTRE]:[CUARTO TRIMESTRE]])</f>
        <v>55</v>
      </c>
      <c r="I1163" s="72">
        <f>20*1.18</f>
        <v>23.599999999999998</v>
      </c>
      <c r="J1163" s="17">
        <f>+H1163*I1163</f>
        <v>1297.9999999999998</v>
      </c>
      <c r="K1163" s="17"/>
      <c r="L1163" s="16" t="s">
        <v>18</v>
      </c>
      <c r="M1163" s="16" t="s">
        <v>22</v>
      </c>
      <c r="N1163" s="39" t="s">
        <v>418</v>
      </c>
    </row>
    <row r="1164" spans="1:14" s="12" customFormat="1" ht="18">
      <c r="A1164" s="178" t="s">
        <v>120</v>
      </c>
      <c r="B1164" s="75" t="s">
        <v>785</v>
      </c>
      <c r="C1164" s="39" t="s">
        <v>17</v>
      </c>
      <c r="D1164" s="236">
        <v>20</v>
      </c>
      <c r="E1164" s="236">
        <v>20</v>
      </c>
      <c r="F1164" s="236">
        <v>20</v>
      </c>
      <c r="G1164" s="236">
        <v>20</v>
      </c>
      <c r="H1164" s="41">
        <f>SUM(Tabla132112414[[#This Row],[PRIMER TRIMESTRE]:[CUARTO TRIMESTRE]])</f>
        <v>80</v>
      </c>
      <c r="I1164" s="72">
        <f>4*1.18</f>
        <v>4.72</v>
      </c>
      <c r="J1164" s="17">
        <f>+H1164*I1164</f>
        <v>377.59999999999997</v>
      </c>
      <c r="K1164" s="17"/>
      <c r="L1164" s="16" t="s">
        <v>18</v>
      </c>
      <c r="M1164" s="16" t="s">
        <v>22</v>
      </c>
      <c r="N1164" s="39" t="s">
        <v>418</v>
      </c>
    </row>
    <row r="1165" spans="1:14" s="12" customFormat="1" ht="18">
      <c r="A1165" s="178" t="s">
        <v>120</v>
      </c>
      <c r="B1165" s="75" t="s">
        <v>272</v>
      </c>
      <c r="C1165" s="39" t="s">
        <v>17</v>
      </c>
      <c r="D1165" s="236">
        <v>1</v>
      </c>
      <c r="E1165" s="236"/>
      <c r="F1165" s="236">
        <v>1</v>
      </c>
      <c r="G1165" s="236"/>
      <c r="H1165" s="41">
        <f>SUM(Tabla132112414[[#This Row],[PRIMER TRIMESTRE]:[CUARTO TRIMESTRE]])</f>
        <v>2</v>
      </c>
      <c r="I1165" s="17">
        <v>348</v>
      </c>
      <c r="J1165" s="17">
        <f>+Tabla132112414[[#This Row],[CANTIDAD TOTAL]]*Tabla132112414[[#This Row],[PRECIO UNITARIO ESTIMADO]]</f>
        <v>696</v>
      </c>
      <c r="K1165" s="17"/>
      <c r="L1165" s="16" t="s">
        <v>18</v>
      </c>
      <c r="M1165" s="16" t="s">
        <v>22</v>
      </c>
      <c r="N1165" s="39" t="s">
        <v>418</v>
      </c>
    </row>
    <row r="1166" spans="1:14" s="12" customFormat="1" ht="18">
      <c r="A1166" s="178" t="s">
        <v>120</v>
      </c>
      <c r="B1166" s="75" t="s">
        <v>758</v>
      </c>
      <c r="C1166" s="39" t="s">
        <v>17</v>
      </c>
      <c r="D1166" s="236"/>
      <c r="E1166" s="236">
        <v>1</v>
      </c>
      <c r="F1166" s="236"/>
      <c r="G1166" s="236"/>
      <c r="H1166" s="41">
        <f>SUM(Tabla132112414[[#This Row],[PRIMER TRIMESTRE]:[CUARTO TRIMESTRE]])</f>
        <v>1</v>
      </c>
      <c r="I1166" s="17">
        <v>61.95</v>
      </c>
      <c r="J1166" s="17">
        <f t="shared" ref="J1166:J1229" si="31">+H1166*I1166</f>
        <v>61.95</v>
      </c>
      <c r="K1166" s="17"/>
      <c r="L1166" s="16" t="s">
        <v>18</v>
      </c>
      <c r="M1166" s="16" t="s">
        <v>22</v>
      </c>
      <c r="N1166" s="39" t="s">
        <v>418</v>
      </c>
    </row>
    <row r="1167" spans="1:14" s="12" customFormat="1" ht="18">
      <c r="A1167" s="178" t="s">
        <v>120</v>
      </c>
      <c r="B1167" s="75" t="s">
        <v>1767</v>
      </c>
      <c r="C1167" s="39" t="s">
        <v>417</v>
      </c>
      <c r="D1167" s="236"/>
      <c r="E1167" s="236">
        <v>1</v>
      </c>
      <c r="F1167" s="236"/>
      <c r="G1167" s="236"/>
      <c r="H1167" s="41">
        <f>SUM(Tabla132112414[[#This Row],[PRIMER TRIMESTRE]:[CUARTO TRIMESTRE]])</f>
        <v>1</v>
      </c>
      <c r="I1167" s="109">
        <v>0</v>
      </c>
      <c r="J1167" s="17">
        <v>0</v>
      </c>
      <c r="K1167" s="17"/>
      <c r="L1167" s="16" t="s">
        <v>18</v>
      </c>
      <c r="M1167" s="16" t="s">
        <v>22</v>
      </c>
      <c r="N1167" s="39" t="s">
        <v>418</v>
      </c>
    </row>
    <row r="1168" spans="1:14" s="12" customFormat="1" ht="18">
      <c r="A1168" s="178" t="s">
        <v>120</v>
      </c>
      <c r="B1168" s="184" t="s">
        <v>477</v>
      </c>
      <c r="C1168" s="39" t="s">
        <v>417</v>
      </c>
      <c r="D1168" s="236"/>
      <c r="E1168" s="236"/>
      <c r="F1168" s="236"/>
      <c r="G1168" s="236"/>
      <c r="H1168" s="41">
        <f>SUM(Tabla132112414[[#This Row],[PRIMER TRIMESTRE]:[CUARTO TRIMESTRE]])</f>
        <v>0</v>
      </c>
      <c r="I1168" s="17">
        <v>650</v>
      </c>
      <c r="J1168" s="17">
        <f t="shared" si="31"/>
        <v>0</v>
      </c>
      <c r="K1168" s="17"/>
      <c r="L1168" s="16" t="s">
        <v>18</v>
      </c>
      <c r="M1168" s="16" t="s">
        <v>22</v>
      </c>
      <c r="N1168" s="39" t="s">
        <v>418</v>
      </c>
    </row>
    <row r="1169" spans="1:14" s="12" customFormat="1" ht="18">
      <c r="A1169" s="178" t="s">
        <v>120</v>
      </c>
      <c r="B1169" s="184" t="s">
        <v>478</v>
      </c>
      <c r="C1169" s="39" t="s">
        <v>417</v>
      </c>
      <c r="D1169" s="236"/>
      <c r="E1169" s="236"/>
      <c r="F1169" s="236"/>
      <c r="G1169" s="236"/>
      <c r="H1169" s="41">
        <f>SUM(Tabla132112414[[#This Row],[PRIMER TRIMESTRE]:[CUARTO TRIMESTRE]])</f>
        <v>0</v>
      </c>
      <c r="I1169" s="17">
        <v>950</v>
      </c>
      <c r="J1169" s="17">
        <f t="shared" si="31"/>
        <v>0</v>
      </c>
      <c r="K1169" s="17"/>
      <c r="L1169" s="16" t="s">
        <v>18</v>
      </c>
      <c r="M1169" s="16" t="s">
        <v>22</v>
      </c>
      <c r="N1169" s="39" t="s">
        <v>418</v>
      </c>
    </row>
    <row r="1170" spans="1:14" s="12" customFormat="1" ht="18">
      <c r="A1170" s="178" t="s">
        <v>120</v>
      </c>
      <c r="B1170" s="185" t="s">
        <v>479</v>
      </c>
      <c r="C1170" s="39" t="s">
        <v>417</v>
      </c>
      <c r="D1170" s="236"/>
      <c r="E1170" s="236"/>
      <c r="F1170" s="236"/>
      <c r="G1170" s="236"/>
      <c r="H1170" s="41">
        <f>SUM(Tabla132112414[[#This Row],[PRIMER TRIMESTRE]:[CUARTO TRIMESTRE]])</f>
        <v>0</v>
      </c>
      <c r="I1170" s="17">
        <v>650</v>
      </c>
      <c r="J1170" s="17">
        <f t="shared" si="31"/>
        <v>0</v>
      </c>
      <c r="K1170" s="17"/>
      <c r="L1170" s="16" t="s">
        <v>18</v>
      </c>
      <c r="M1170" s="16" t="s">
        <v>22</v>
      </c>
      <c r="N1170" s="39" t="s">
        <v>418</v>
      </c>
    </row>
    <row r="1171" spans="1:14" s="12" customFormat="1" ht="18">
      <c r="A1171" s="178" t="s">
        <v>120</v>
      </c>
      <c r="B1171" s="184" t="s">
        <v>480</v>
      </c>
      <c r="C1171" s="39" t="s">
        <v>417</v>
      </c>
      <c r="D1171" s="236"/>
      <c r="E1171" s="236"/>
      <c r="F1171" s="236"/>
      <c r="G1171" s="236"/>
      <c r="H1171" s="41">
        <f>SUM(Tabla132112414[[#This Row],[PRIMER TRIMESTRE]:[CUARTO TRIMESTRE]])</f>
        <v>0</v>
      </c>
      <c r="I1171" s="17">
        <v>800</v>
      </c>
      <c r="J1171" s="17">
        <f t="shared" si="31"/>
        <v>0</v>
      </c>
      <c r="K1171" s="17"/>
      <c r="L1171" s="16" t="s">
        <v>18</v>
      </c>
      <c r="M1171" s="16" t="s">
        <v>22</v>
      </c>
      <c r="N1171" s="39" t="s">
        <v>418</v>
      </c>
    </row>
    <row r="1172" spans="1:14" s="12" customFormat="1" ht="18">
      <c r="A1172" s="178" t="s">
        <v>120</v>
      </c>
      <c r="B1172" s="184" t="s">
        <v>481</v>
      </c>
      <c r="C1172" s="39" t="s">
        <v>417</v>
      </c>
      <c r="D1172" s="236"/>
      <c r="E1172" s="236"/>
      <c r="F1172" s="236"/>
      <c r="G1172" s="236"/>
      <c r="H1172" s="41">
        <f>SUM(Tabla132112414[[#This Row],[PRIMER TRIMESTRE]:[CUARTO TRIMESTRE]])</f>
        <v>0</v>
      </c>
      <c r="I1172" s="17">
        <v>1190</v>
      </c>
      <c r="J1172" s="17">
        <f t="shared" si="31"/>
        <v>0</v>
      </c>
      <c r="K1172" s="17"/>
      <c r="L1172" s="16" t="s">
        <v>18</v>
      </c>
      <c r="M1172" s="16" t="s">
        <v>22</v>
      </c>
      <c r="N1172" s="39" t="s">
        <v>418</v>
      </c>
    </row>
    <row r="1173" spans="1:14" s="12" customFormat="1" ht="18">
      <c r="A1173" s="178" t="s">
        <v>120</v>
      </c>
      <c r="B1173" s="184" t="s">
        <v>482</v>
      </c>
      <c r="C1173" s="39" t="s">
        <v>417</v>
      </c>
      <c r="D1173" s="236"/>
      <c r="E1173" s="236"/>
      <c r="F1173" s="236"/>
      <c r="G1173" s="236"/>
      <c r="H1173" s="41">
        <f>SUM(Tabla132112414[[#This Row],[PRIMER TRIMESTRE]:[CUARTO TRIMESTRE]])</f>
        <v>0</v>
      </c>
      <c r="I1173" s="17">
        <v>1050</v>
      </c>
      <c r="J1173" s="17">
        <f t="shared" si="31"/>
        <v>0</v>
      </c>
      <c r="K1173" s="17"/>
      <c r="L1173" s="16" t="s">
        <v>18</v>
      </c>
      <c r="M1173" s="16" t="s">
        <v>22</v>
      </c>
      <c r="N1173" s="39" t="s">
        <v>418</v>
      </c>
    </row>
    <row r="1174" spans="1:14" s="12" customFormat="1" ht="18">
      <c r="A1174" s="178" t="s">
        <v>120</v>
      </c>
      <c r="B1174" s="184" t="s">
        <v>483</v>
      </c>
      <c r="C1174" s="39" t="s">
        <v>417</v>
      </c>
      <c r="D1174" s="236"/>
      <c r="E1174" s="236"/>
      <c r="F1174" s="236"/>
      <c r="G1174" s="236"/>
      <c r="H1174" s="41">
        <f>SUM(Tabla132112414[[#This Row],[PRIMER TRIMESTRE]:[CUARTO TRIMESTRE]])</f>
        <v>0</v>
      </c>
      <c r="I1174" s="17">
        <v>990</v>
      </c>
      <c r="J1174" s="17">
        <f t="shared" si="31"/>
        <v>0</v>
      </c>
      <c r="K1174" s="17"/>
      <c r="L1174" s="16" t="s">
        <v>18</v>
      </c>
      <c r="M1174" s="16" t="s">
        <v>22</v>
      </c>
      <c r="N1174" s="39" t="s">
        <v>418</v>
      </c>
    </row>
    <row r="1175" spans="1:14" s="12" customFormat="1" ht="18">
      <c r="A1175" s="178" t="s">
        <v>120</v>
      </c>
      <c r="B1175" s="184" t="s">
        <v>484</v>
      </c>
      <c r="C1175" s="39" t="s">
        <v>417</v>
      </c>
      <c r="D1175" s="236"/>
      <c r="E1175" s="236"/>
      <c r="F1175" s="236"/>
      <c r="G1175" s="236"/>
      <c r="H1175" s="41">
        <f>SUM(Tabla132112414[[#This Row],[PRIMER TRIMESTRE]:[CUARTO TRIMESTRE]])</f>
        <v>0</v>
      </c>
      <c r="I1175" s="17">
        <v>450</v>
      </c>
      <c r="J1175" s="17">
        <f t="shared" si="31"/>
        <v>0</v>
      </c>
      <c r="K1175" s="17"/>
      <c r="L1175" s="16" t="s">
        <v>18</v>
      </c>
      <c r="M1175" s="16" t="s">
        <v>22</v>
      </c>
      <c r="N1175" s="39" t="s">
        <v>418</v>
      </c>
    </row>
    <row r="1176" spans="1:14" s="12" customFormat="1" ht="18">
      <c r="A1176" s="178" t="s">
        <v>120</v>
      </c>
      <c r="B1176" s="184" t="s">
        <v>485</v>
      </c>
      <c r="C1176" s="39" t="s">
        <v>417</v>
      </c>
      <c r="D1176" s="236"/>
      <c r="E1176" s="236"/>
      <c r="F1176" s="236"/>
      <c r="G1176" s="236"/>
      <c r="H1176" s="41">
        <f>SUM(Tabla132112414[[#This Row],[PRIMER TRIMESTRE]:[CUARTO TRIMESTRE]])</f>
        <v>0</v>
      </c>
      <c r="I1176" s="17">
        <v>550</v>
      </c>
      <c r="J1176" s="17">
        <f t="shared" si="31"/>
        <v>0</v>
      </c>
      <c r="K1176" s="17"/>
      <c r="L1176" s="16" t="s">
        <v>18</v>
      </c>
      <c r="M1176" s="16" t="s">
        <v>22</v>
      </c>
      <c r="N1176" s="39" t="s">
        <v>418</v>
      </c>
    </row>
    <row r="1177" spans="1:14" s="12" customFormat="1" ht="18">
      <c r="A1177" s="178" t="s">
        <v>120</v>
      </c>
      <c r="B1177" s="184" t="s">
        <v>486</v>
      </c>
      <c r="C1177" s="39" t="s">
        <v>417</v>
      </c>
      <c r="D1177" s="236"/>
      <c r="E1177" s="236"/>
      <c r="F1177" s="236"/>
      <c r="G1177" s="236"/>
      <c r="H1177" s="41">
        <f>SUM(Tabla132112414[[#This Row],[PRIMER TRIMESTRE]:[CUARTO TRIMESTRE]])</f>
        <v>0</v>
      </c>
      <c r="I1177" s="17">
        <v>1000</v>
      </c>
      <c r="J1177" s="17">
        <f t="shared" si="31"/>
        <v>0</v>
      </c>
      <c r="K1177" s="17"/>
      <c r="L1177" s="16" t="s">
        <v>18</v>
      </c>
      <c r="M1177" s="16" t="s">
        <v>22</v>
      </c>
      <c r="N1177" s="39" t="s">
        <v>418</v>
      </c>
    </row>
    <row r="1178" spans="1:14" s="12" customFormat="1" ht="18">
      <c r="A1178" s="178" t="s">
        <v>120</v>
      </c>
      <c r="B1178" s="184" t="s">
        <v>487</v>
      </c>
      <c r="C1178" s="39" t="s">
        <v>417</v>
      </c>
      <c r="D1178" s="236"/>
      <c r="E1178" s="236"/>
      <c r="F1178" s="236"/>
      <c r="G1178" s="236"/>
      <c r="H1178" s="41">
        <f>SUM(Tabla132112414[[#This Row],[PRIMER TRIMESTRE]:[CUARTO TRIMESTRE]])</f>
        <v>0</v>
      </c>
      <c r="I1178" s="17">
        <v>850</v>
      </c>
      <c r="J1178" s="17">
        <f t="shared" si="31"/>
        <v>0</v>
      </c>
      <c r="K1178" s="17"/>
      <c r="L1178" s="16" t="s">
        <v>18</v>
      </c>
      <c r="M1178" s="16" t="s">
        <v>22</v>
      </c>
      <c r="N1178" s="39" t="s">
        <v>418</v>
      </c>
    </row>
    <row r="1179" spans="1:14" s="12" customFormat="1" ht="18">
      <c r="A1179" s="178" t="s">
        <v>120</v>
      </c>
      <c r="B1179" s="184" t="s">
        <v>488</v>
      </c>
      <c r="C1179" s="39" t="s">
        <v>417</v>
      </c>
      <c r="D1179" s="236"/>
      <c r="E1179" s="236"/>
      <c r="F1179" s="236"/>
      <c r="G1179" s="236"/>
      <c r="H1179" s="41">
        <f>SUM(Tabla132112414[[#This Row],[PRIMER TRIMESTRE]:[CUARTO TRIMESTRE]])</f>
        <v>0</v>
      </c>
      <c r="I1179" s="17">
        <v>850</v>
      </c>
      <c r="J1179" s="17">
        <f t="shared" si="31"/>
        <v>0</v>
      </c>
      <c r="K1179" s="17"/>
      <c r="L1179" s="16" t="s">
        <v>18</v>
      </c>
      <c r="M1179" s="16" t="s">
        <v>22</v>
      </c>
      <c r="N1179" s="39" t="s">
        <v>418</v>
      </c>
    </row>
    <row r="1180" spans="1:14" s="12" customFormat="1" ht="18">
      <c r="A1180" s="178" t="s">
        <v>120</v>
      </c>
      <c r="B1180" s="184" t="s">
        <v>489</v>
      </c>
      <c r="C1180" s="39" t="s">
        <v>417</v>
      </c>
      <c r="D1180" s="236"/>
      <c r="E1180" s="236"/>
      <c r="F1180" s="236"/>
      <c r="G1180" s="236"/>
      <c r="H1180" s="41">
        <f>SUM(Tabla132112414[[#This Row],[PRIMER TRIMESTRE]:[CUARTO TRIMESTRE]])</f>
        <v>0</v>
      </c>
      <c r="I1180" s="17">
        <v>650</v>
      </c>
      <c r="J1180" s="17">
        <f t="shared" si="31"/>
        <v>0</v>
      </c>
      <c r="K1180" s="17"/>
      <c r="L1180" s="16" t="s">
        <v>18</v>
      </c>
      <c r="M1180" s="16" t="s">
        <v>22</v>
      </c>
      <c r="N1180" s="39" t="s">
        <v>418</v>
      </c>
    </row>
    <row r="1181" spans="1:14" s="12" customFormat="1" ht="18">
      <c r="A1181" s="178" t="s">
        <v>120</v>
      </c>
      <c r="B1181" s="184" t="s">
        <v>490</v>
      </c>
      <c r="C1181" s="39" t="s">
        <v>417</v>
      </c>
      <c r="D1181" s="236"/>
      <c r="E1181" s="236"/>
      <c r="F1181" s="236"/>
      <c r="G1181" s="236"/>
      <c r="H1181" s="41">
        <f>SUM(Tabla132112414[[#This Row],[PRIMER TRIMESTRE]:[CUARTO TRIMESTRE]])</f>
        <v>0</v>
      </c>
      <c r="I1181" s="17">
        <v>1100</v>
      </c>
      <c r="J1181" s="17">
        <f t="shared" si="31"/>
        <v>0</v>
      </c>
      <c r="K1181" s="17"/>
      <c r="L1181" s="16" t="s">
        <v>18</v>
      </c>
      <c r="M1181" s="16" t="s">
        <v>22</v>
      </c>
      <c r="N1181" s="39" t="s">
        <v>418</v>
      </c>
    </row>
    <row r="1182" spans="1:14" s="12" customFormat="1" ht="18">
      <c r="A1182" s="178" t="s">
        <v>120</v>
      </c>
      <c r="B1182" s="184" t="s">
        <v>491</v>
      </c>
      <c r="C1182" s="39" t="s">
        <v>417</v>
      </c>
      <c r="D1182" s="236"/>
      <c r="E1182" s="236"/>
      <c r="F1182" s="236"/>
      <c r="G1182" s="236"/>
      <c r="H1182" s="41">
        <f>SUM(Tabla132112414[[#This Row],[PRIMER TRIMESTRE]:[CUARTO TRIMESTRE]])</f>
        <v>0</v>
      </c>
      <c r="I1182" s="17">
        <v>1100</v>
      </c>
      <c r="J1182" s="17">
        <f t="shared" si="31"/>
        <v>0</v>
      </c>
      <c r="K1182" s="17"/>
      <c r="L1182" s="16" t="s">
        <v>18</v>
      </c>
      <c r="M1182" s="16" t="s">
        <v>22</v>
      </c>
      <c r="N1182" s="39" t="s">
        <v>418</v>
      </c>
    </row>
    <row r="1183" spans="1:14" s="12" customFormat="1" ht="18">
      <c r="A1183" s="178" t="s">
        <v>120</v>
      </c>
      <c r="B1183" s="184" t="s">
        <v>492</v>
      </c>
      <c r="C1183" s="39" t="s">
        <v>417</v>
      </c>
      <c r="D1183" s="236"/>
      <c r="E1183" s="236"/>
      <c r="F1183" s="236"/>
      <c r="G1183" s="236"/>
      <c r="H1183" s="41">
        <f>SUM(Tabla132112414[[#This Row],[PRIMER TRIMESTRE]:[CUARTO TRIMESTRE]])</f>
        <v>0</v>
      </c>
      <c r="I1183" s="17">
        <v>1500</v>
      </c>
      <c r="J1183" s="17">
        <f t="shared" si="31"/>
        <v>0</v>
      </c>
      <c r="K1183" s="17"/>
      <c r="L1183" s="16" t="s">
        <v>18</v>
      </c>
      <c r="M1183" s="16" t="s">
        <v>22</v>
      </c>
      <c r="N1183" s="39" t="s">
        <v>418</v>
      </c>
    </row>
    <row r="1184" spans="1:14" s="12" customFormat="1" ht="18">
      <c r="A1184" s="178" t="s">
        <v>120</v>
      </c>
      <c r="B1184" s="184" t="s">
        <v>493</v>
      </c>
      <c r="C1184" s="39" t="s">
        <v>417</v>
      </c>
      <c r="D1184" s="236"/>
      <c r="E1184" s="236"/>
      <c r="F1184" s="236"/>
      <c r="G1184" s="236"/>
      <c r="H1184" s="41">
        <f>SUM(Tabla132112414[[#This Row],[PRIMER TRIMESTRE]:[CUARTO TRIMESTRE]])</f>
        <v>0</v>
      </c>
      <c r="I1184" s="17">
        <v>1650</v>
      </c>
      <c r="J1184" s="17">
        <f t="shared" si="31"/>
        <v>0</v>
      </c>
      <c r="K1184" s="17"/>
      <c r="L1184" s="16" t="s">
        <v>18</v>
      </c>
      <c r="M1184" s="16" t="s">
        <v>22</v>
      </c>
      <c r="N1184" s="39" t="s">
        <v>418</v>
      </c>
    </row>
    <row r="1185" spans="1:14" s="12" customFormat="1" ht="18">
      <c r="A1185" s="178" t="s">
        <v>120</v>
      </c>
      <c r="B1185" s="184" t="s">
        <v>494</v>
      </c>
      <c r="C1185" s="39" t="s">
        <v>417</v>
      </c>
      <c r="D1185" s="236"/>
      <c r="E1185" s="236"/>
      <c r="F1185" s="236"/>
      <c r="G1185" s="236"/>
      <c r="H1185" s="41">
        <f>SUM(Tabla132112414[[#This Row],[PRIMER TRIMESTRE]:[CUARTO TRIMESTRE]])</f>
        <v>0</v>
      </c>
      <c r="I1185" s="17">
        <v>1250</v>
      </c>
      <c r="J1185" s="17">
        <f t="shared" si="31"/>
        <v>0</v>
      </c>
      <c r="K1185" s="17"/>
      <c r="L1185" s="16" t="s">
        <v>18</v>
      </c>
      <c r="M1185" s="16" t="s">
        <v>22</v>
      </c>
      <c r="N1185" s="39" t="s">
        <v>418</v>
      </c>
    </row>
    <row r="1186" spans="1:14" s="12" customFormat="1" ht="18">
      <c r="A1186" s="178" t="s">
        <v>120</v>
      </c>
      <c r="B1186" s="185" t="s">
        <v>495</v>
      </c>
      <c r="C1186" s="39" t="s">
        <v>417</v>
      </c>
      <c r="D1186" s="236"/>
      <c r="E1186" s="236"/>
      <c r="F1186" s="236"/>
      <c r="G1186" s="236"/>
      <c r="H1186" s="41">
        <f>SUM(Tabla132112414[[#This Row],[PRIMER TRIMESTRE]:[CUARTO TRIMESTRE]])</f>
        <v>0</v>
      </c>
      <c r="I1186" s="17">
        <v>1672</v>
      </c>
      <c r="J1186" s="17">
        <f t="shared" si="31"/>
        <v>0</v>
      </c>
      <c r="K1186" s="17"/>
      <c r="L1186" s="16" t="s">
        <v>18</v>
      </c>
      <c r="M1186" s="16" t="s">
        <v>22</v>
      </c>
      <c r="N1186" s="39" t="s">
        <v>418</v>
      </c>
    </row>
    <row r="1187" spans="1:14" s="12" customFormat="1" ht="25.5">
      <c r="A1187" s="178" t="s">
        <v>120</v>
      </c>
      <c r="B1187" s="185" t="s">
        <v>533</v>
      </c>
      <c r="C1187" s="39" t="s">
        <v>417</v>
      </c>
      <c r="D1187" s="236"/>
      <c r="E1187" s="236"/>
      <c r="F1187" s="236"/>
      <c r="G1187" s="236"/>
      <c r="H1187" s="41">
        <f>SUM(Tabla132112414[[#This Row],[PRIMER TRIMESTRE]:[CUARTO TRIMESTRE]])</f>
        <v>0</v>
      </c>
      <c r="I1187" s="17">
        <v>720</v>
      </c>
      <c r="J1187" s="17">
        <f t="shared" si="31"/>
        <v>0</v>
      </c>
      <c r="K1187" s="17"/>
      <c r="L1187" s="16" t="s">
        <v>18</v>
      </c>
      <c r="M1187" s="16" t="s">
        <v>22</v>
      </c>
      <c r="N1187" s="39" t="s">
        <v>418</v>
      </c>
    </row>
    <row r="1188" spans="1:14" s="12" customFormat="1" ht="25.5">
      <c r="A1188" s="178" t="s">
        <v>120</v>
      </c>
      <c r="B1188" s="185" t="s">
        <v>534</v>
      </c>
      <c r="C1188" s="39" t="s">
        <v>417</v>
      </c>
      <c r="D1188" s="236"/>
      <c r="E1188" s="236"/>
      <c r="F1188" s="236"/>
      <c r="G1188" s="236"/>
      <c r="H1188" s="41">
        <f>SUM(Tabla132112414[[#This Row],[PRIMER TRIMESTRE]:[CUARTO TRIMESTRE]])</f>
        <v>0</v>
      </c>
      <c r="I1188" s="17">
        <v>1280</v>
      </c>
      <c r="J1188" s="17">
        <f t="shared" si="31"/>
        <v>0</v>
      </c>
      <c r="K1188" s="17"/>
      <c r="L1188" s="16" t="s">
        <v>18</v>
      </c>
      <c r="M1188" s="16" t="s">
        <v>22</v>
      </c>
      <c r="N1188" s="39" t="s">
        <v>418</v>
      </c>
    </row>
    <row r="1189" spans="1:14" s="12" customFormat="1" ht="18">
      <c r="A1189" s="178" t="s">
        <v>120</v>
      </c>
      <c r="B1189" s="185" t="s">
        <v>1443</v>
      </c>
      <c r="C1189" s="39" t="s">
        <v>417</v>
      </c>
      <c r="D1189" s="236"/>
      <c r="E1189" s="236"/>
      <c r="F1189" s="236"/>
      <c r="G1189" s="236"/>
      <c r="H1189" s="41">
        <f>SUM(Tabla132112414[[#This Row],[PRIMER TRIMESTRE]:[CUARTO TRIMESTRE]])</f>
        <v>0</v>
      </c>
      <c r="I1189" s="17">
        <v>4159.5</v>
      </c>
      <c r="J1189" s="17">
        <f t="shared" si="31"/>
        <v>0</v>
      </c>
      <c r="K1189" s="17"/>
      <c r="L1189" s="16" t="s">
        <v>15</v>
      </c>
      <c r="M1189" s="16" t="s">
        <v>22</v>
      </c>
      <c r="N1189" s="39" t="s">
        <v>418</v>
      </c>
    </row>
    <row r="1190" spans="1:14" s="12" customFormat="1" ht="18">
      <c r="A1190" s="178" t="s">
        <v>120</v>
      </c>
      <c r="B1190" s="185" t="s">
        <v>1444</v>
      </c>
      <c r="C1190" s="39" t="s">
        <v>417</v>
      </c>
      <c r="D1190" s="236"/>
      <c r="E1190" s="236"/>
      <c r="F1190" s="236"/>
      <c r="G1190" s="236"/>
      <c r="H1190" s="41">
        <f>SUM(Tabla132112414[[#This Row],[PRIMER TRIMESTRE]:[CUARTO TRIMESTRE]])</f>
        <v>0</v>
      </c>
      <c r="I1190" s="17">
        <v>4159.5</v>
      </c>
      <c r="J1190" s="17">
        <f t="shared" si="31"/>
        <v>0</v>
      </c>
      <c r="K1190" s="17"/>
      <c r="L1190" s="16" t="s">
        <v>15</v>
      </c>
      <c r="M1190" s="16" t="s">
        <v>22</v>
      </c>
      <c r="N1190" s="39" t="s">
        <v>418</v>
      </c>
    </row>
    <row r="1191" spans="1:14" s="12" customFormat="1" ht="18">
      <c r="A1191" s="178" t="s">
        <v>120</v>
      </c>
      <c r="B1191" s="185" t="s">
        <v>1445</v>
      </c>
      <c r="C1191" s="39" t="s">
        <v>417</v>
      </c>
      <c r="D1191" s="236"/>
      <c r="E1191" s="236"/>
      <c r="F1191" s="236"/>
      <c r="G1191" s="236"/>
      <c r="H1191" s="41">
        <f>SUM(Tabla132112414[[#This Row],[PRIMER TRIMESTRE]:[CUARTO TRIMESTRE]])</f>
        <v>0</v>
      </c>
      <c r="I1191" s="17">
        <v>4159.5</v>
      </c>
      <c r="J1191" s="17">
        <f t="shared" si="31"/>
        <v>0</v>
      </c>
      <c r="K1191" s="17"/>
      <c r="L1191" s="16" t="s">
        <v>15</v>
      </c>
      <c r="M1191" s="16" t="s">
        <v>22</v>
      </c>
      <c r="N1191" s="39" t="s">
        <v>418</v>
      </c>
    </row>
    <row r="1192" spans="1:14" s="12" customFormat="1" ht="18">
      <c r="A1192" s="178" t="s">
        <v>120</v>
      </c>
      <c r="B1192" s="185" t="s">
        <v>474</v>
      </c>
      <c r="C1192" s="39" t="s">
        <v>417</v>
      </c>
      <c r="D1192" s="236"/>
      <c r="E1192" s="236"/>
      <c r="F1192" s="236"/>
      <c r="G1192" s="236"/>
      <c r="H1192" s="41">
        <f>SUM(Tabla132112414[[#This Row],[PRIMER TRIMESTRE]:[CUARTO TRIMESTRE]])</f>
        <v>0</v>
      </c>
      <c r="I1192" s="17">
        <v>2900</v>
      </c>
      <c r="J1192" s="17">
        <f t="shared" si="31"/>
        <v>0</v>
      </c>
      <c r="K1192" s="17"/>
      <c r="L1192" s="16" t="s">
        <v>18</v>
      </c>
      <c r="M1192" s="16" t="s">
        <v>22</v>
      </c>
      <c r="N1192" s="39" t="s">
        <v>418</v>
      </c>
    </row>
    <row r="1193" spans="1:14" s="12" customFormat="1" ht="18">
      <c r="A1193" s="178" t="s">
        <v>120</v>
      </c>
      <c r="B1193" s="184" t="s">
        <v>475</v>
      </c>
      <c r="C1193" s="39" t="s">
        <v>417</v>
      </c>
      <c r="D1193" s="236"/>
      <c r="E1193" s="236"/>
      <c r="F1193" s="236"/>
      <c r="G1193" s="236"/>
      <c r="H1193" s="41">
        <f>SUM(Tabla132112414[[#This Row],[PRIMER TRIMESTRE]:[CUARTO TRIMESTRE]])</f>
        <v>0</v>
      </c>
      <c r="I1193" s="17">
        <v>2350</v>
      </c>
      <c r="J1193" s="17">
        <f t="shared" si="31"/>
        <v>0</v>
      </c>
      <c r="K1193" s="17"/>
      <c r="L1193" s="16" t="s">
        <v>18</v>
      </c>
      <c r="M1193" s="16" t="s">
        <v>22</v>
      </c>
      <c r="N1193" s="39" t="s">
        <v>418</v>
      </c>
    </row>
    <row r="1194" spans="1:14" s="12" customFormat="1" ht="18">
      <c r="A1194" s="178" t="s">
        <v>120</v>
      </c>
      <c r="B1194" s="184" t="s">
        <v>476</v>
      </c>
      <c r="C1194" s="39" t="s">
        <v>417</v>
      </c>
      <c r="D1194" s="236"/>
      <c r="E1194" s="236"/>
      <c r="F1194" s="236"/>
      <c r="G1194" s="236"/>
      <c r="H1194" s="41">
        <f>SUM(Tabla132112414[[#This Row],[PRIMER TRIMESTRE]:[CUARTO TRIMESTRE]])</f>
        <v>0</v>
      </c>
      <c r="I1194" s="17">
        <v>3990</v>
      </c>
      <c r="J1194" s="17">
        <f t="shared" si="31"/>
        <v>0</v>
      </c>
      <c r="K1194" s="17"/>
      <c r="L1194" s="16" t="s">
        <v>18</v>
      </c>
      <c r="M1194" s="16" t="s">
        <v>22</v>
      </c>
      <c r="N1194" s="39" t="s">
        <v>418</v>
      </c>
    </row>
    <row r="1195" spans="1:14" s="12" customFormat="1" ht="18">
      <c r="A1195" s="178" t="s">
        <v>120</v>
      </c>
      <c r="B1195" s="185" t="s">
        <v>496</v>
      </c>
      <c r="C1195" s="39" t="s">
        <v>417</v>
      </c>
      <c r="D1195" s="236"/>
      <c r="E1195" s="236"/>
      <c r="F1195" s="236"/>
      <c r="G1195" s="236"/>
      <c r="H1195" s="41">
        <f>SUM(Tabla132112414[[#This Row],[PRIMER TRIMESTRE]:[CUARTO TRIMESTRE]])</f>
        <v>0</v>
      </c>
      <c r="I1195" s="17">
        <v>4200</v>
      </c>
      <c r="J1195" s="17">
        <f t="shared" si="31"/>
        <v>0</v>
      </c>
      <c r="K1195" s="17"/>
      <c r="L1195" s="16" t="s">
        <v>18</v>
      </c>
      <c r="M1195" s="16" t="s">
        <v>22</v>
      </c>
      <c r="N1195" s="39" t="s">
        <v>418</v>
      </c>
    </row>
    <row r="1196" spans="1:14" s="12" customFormat="1" ht="18">
      <c r="A1196" s="178" t="s">
        <v>120</v>
      </c>
      <c r="B1196" s="184" t="s">
        <v>497</v>
      </c>
      <c r="C1196" s="39" t="s">
        <v>417</v>
      </c>
      <c r="D1196" s="236"/>
      <c r="E1196" s="236"/>
      <c r="F1196" s="236"/>
      <c r="G1196" s="236"/>
      <c r="H1196" s="41">
        <f>SUM(Tabla132112414[[#This Row],[PRIMER TRIMESTRE]:[CUARTO TRIMESTRE]])</f>
        <v>0</v>
      </c>
      <c r="I1196" s="17">
        <v>4200</v>
      </c>
      <c r="J1196" s="17">
        <f t="shared" si="31"/>
        <v>0</v>
      </c>
      <c r="K1196" s="17"/>
      <c r="L1196" s="16" t="s">
        <v>18</v>
      </c>
      <c r="M1196" s="16" t="s">
        <v>22</v>
      </c>
      <c r="N1196" s="39" t="s">
        <v>418</v>
      </c>
    </row>
    <row r="1197" spans="1:14" s="12" customFormat="1" ht="18">
      <c r="A1197" s="178" t="s">
        <v>120</v>
      </c>
      <c r="B1197" s="184" t="s">
        <v>498</v>
      </c>
      <c r="C1197" s="39" t="s">
        <v>417</v>
      </c>
      <c r="D1197" s="236"/>
      <c r="E1197" s="236"/>
      <c r="F1197" s="236"/>
      <c r="G1197" s="236"/>
      <c r="H1197" s="41">
        <f>SUM(Tabla132112414[[#This Row],[PRIMER TRIMESTRE]:[CUARTO TRIMESTRE]])</f>
        <v>0</v>
      </c>
      <c r="I1197" s="17">
        <v>4200</v>
      </c>
      <c r="J1197" s="17">
        <f t="shared" si="31"/>
        <v>0</v>
      </c>
      <c r="K1197" s="17"/>
      <c r="L1197" s="16" t="s">
        <v>18</v>
      </c>
      <c r="M1197" s="16" t="s">
        <v>22</v>
      </c>
      <c r="N1197" s="39" t="s">
        <v>418</v>
      </c>
    </row>
    <row r="1198" spans="1:14" s="12" customFormat="1" ht="18">
      <c r="A1198" s="178" t="s">
        <v>120</v>
      </c>
      <c r="B1198" s="184" t="s">
        <v>499</v>
      </c>
      <c r="C1198" s="39" t="s">
        <v>417</v>
      </c>
      <c r="D1198" s="236"/>
      <c r="E1198" s="236"/>
      <c r="F1198" s="236"/>
      <c r="G1198" s="236"/>
      <c r="H1198" s="41">
        <f>SUM(Tabla132112414[[#This Row],[PRIMER TRIMESTRE]:[CUARTO TRIMESTRE]])</f>
        <v>0</v>
      </c>
      <c r="I1198" s="17">
        <v>4200</v>
      </c>
      <c r="J1198" s="17">
        <f t="shared" si="31"/>
        <v>0</v>
      </c>
      <c r="K1198" s="17"/>
      <c r="L1198" s="16" t="s">
        <v>18</v>
      </c>
      <c r="M1198" s="16" t="s">
        <v>22</v>
      </c>
      <c r="N1198" s="39" t="s">
        <v>418</v>
      </c>
    </row>
    <row r="1199" spans="1:14" s="12" customFormat="1" ht="18">
      <c r="A1199" s="178" t="s">
        <v>120</v>
      </c>
      <c r="B1199" s="185" t="s">
        <v>500</v>
      </c>
      <c r="C1199" s="39" t="s">
        <v>417</v>
      </c>
      <c r="D1199" s="236"/>
      <c r="E1199" s="236"/>
      <c r="F1199" s="236"/>
      <c r="G1199" s="236"/>
      <c r="H1199" s="41">
        <f>SUM(Tabla132112414[[#This Row],[PRIMER TRIMESTRE]:[CUARTO TRIMESTRE]])</f>
        <v>0</v>
      </c>
      <c r="I1199" s="17">
        <v>8210.5</v>
      </c>
      <c r="J1199" s="17">
        <f t="shared" si="31"/>
        <v>0</v>
      </c>
      <c r="K1199" s="17"/>
      <c r="L1199" s="16" t="s">
        <v>18</v>
      </c>
      <c r="M1199" s="16" t="s">
        <v>22</v>
      </c>
      <c r="N1199" s="39" t="s">
        <v>418</v>
      </c>
    </row>
    <row r="1200" spans="1:14" s="12" customFormat="1" ht="18">
      <c r="A1200" s="178" t="s">
        <v>120</v>
      </c>
      <c r="B1200" s="185" t="s">
        <v>501</v>
      </c>
      <c r="C1200" s="39" t="s">
        <v>417</v>
      </c>
      <c r="D1200" s="236"/>
      <c r="E1200" s="236"/>
      <c r="F1200" s="236"/>
      <c r="G1200" s="236"/>
      <c r="H1200" s="41">
        <f>SUM(Tabla132112414[[#This Row],[PRIMER TRIMESTRE]:[CUARTO TRIMESTRE]])</f>
        <v>0</v>
      </c>
      <c r="I1200" s="17">
        <v>3250</v>
      </c>
      <c r="J1200" s="17">
        <f t="shared" si="31"/>
        <v>0</v>
      </c>
      <c r="K1200" s="17"/>
      <c r="L1200" s="16" t="s">
        <v>18</v>
      </c>
      <c r="M1200" s="16" t="s">
        <v>22</v>
      </c>
      <c r="N1200" s="39" t="s">
        <v>418</v>
      </c>
    </row>
    <row r="1201" spans="1:14" s="12" customFormat="1" ht="18">
      <c r="A1201" s="178" t="s">
        <v>120</v>
      </c>
      <c r="B1201" s="184" t="s">
        <v>502</v>
      </c>
      <c r="C1201" s="39" t="s">
        <v>417</v>
      </c>
      <c r="D1201" s="236"/>
      <c r="E1201" s="236"/>
      <c r="F1201" s="236"/>
      <c r="G1201" s="236"/>
      <c r="H1201" s="41">
        <f>SUM(Tabla132112414[[#This Row],[PRIMER TRIMESTRE]:[CUARTO TRIMESTRE]])</f>
        <v>0</v>
      </c>
      <c r="I1201" s="17">
        <v>450</v>
      </c>
      <c r="J1201" s="17">
        <f t="shared" si="31"/>
        <v>0</v>
      </c>
      <c r="K1201" s="17"/>
      <c r="L1201" s="16" t="s">
        <v>18</v>
      </c>
      <c r="M1201" s="16" t="s">
        <v>22</v>
      </c>
      <c r="N1201" s="39" t="s">
        <v>418</v>
      </c>
    </row>
    <row r="1202" spans="1:14" s="12" customFormat="1" ht="18">
      <c r="A1202" s="178" t="s">
        <v>120</v>
      </c>
      <c r="B1202" s="184" t="s">
        <v>503</v>
      </c>
      <c r="C1202" s="39" t="s">
        <v>417</v>
      </c>
      <c r="D1202" s="236"/>
      <c r="E1202" s="236"/>
      <c r="F1202" s="236"/>
      <c r="G1202" s="236"/>
      <c r="H1202" s="41">
        <f>SUM(Tabla132112414[[#This Row],[PRIMER TRIMESTRE]:[CUARTO TRIMESTRE]])</f>
        <v>0</v>
      </c>
      <c r="I1202" s="17">
        <v>450</v>
      </c>
      <c r="J1202" s="17">
        <f t="shared" si="31"/>
        <v>0</v>
      </c>
      <c r="K1202" s="17"/>
      <c r="L1202" s="16" t="s">
        <v>18</v>
      </c>
      <c r="M1202" s="16" t="s">
        <v>22</v>
      </c>
      <c r="N1202" s="39" t="s">
        <v>418</v>
      </c>
    </row>
    <row r="1203" spans="1:14" s="12" customFormat="1" ht="18">
      <c r="A1203" s="178" t="s">
        <v>120</v>
      </c>
      <c r="B1203" s="184" t="s">
        <v>504</v>
      </c>
      <c r="C1203" s="39" t="s">
        <v>417</v>
      </c>
      <c r="D1203" s="236"/>
      <c r="E1203" s="236"/>
      <c r="F1203" s="236"/>
      <c r="G1203" s="236"/>
      <c r="H1203" s="41">
        <f>SUM(Tabla132112414[[#This Row],[PRIMER TRIMESTRE]:[CUARTO TRIMESTRE]])</f>
        <v>0</v>
      </c>
      <c r="I1203" s="17">
        <v>450</v>
      </c>
      <c r="J1203" s="17">
        <f t="shared" si="31"/>
        <v>0</v>
      </c>
      <c r="K1203" s="17"/>
      <c r="L1203" s="16" t="s">
        <v>18</v>
      </c>
      <c r="M1203" s="16" t="s">
        <v>22</v>
      </c>
      <c r="N1203" s="39" t="s">
        <v>418</v>
      </c>
    </row>
    <row r="1204" spans="1:14" s="12" customFormat="1" ht="18">
      <c r="A1204" s="178" t="s">
        <v>120</v>
      </c>
      <c r="B1204" s="184" t="s">
        <v>505</v>
      </c>
      <c r="C1204" s="39" t="s">
        <v>417</v>
      </c>
      <c r="D1204" s="236"/>
      <c r="E1204" s="236"/>
      <c r="F1204" s="236"/>
      <c r="G1204" s="236"/>
      <c r="H1204" s="41">
        <f>SUM(Tabla132112414[[#This Row],[PRIMER TRIMESTRE]:[CUARTO TRIMESTRE]])</f>
        <v>0</v>
      </c>
      <c r="I1204" s="17">
        <v>450</v>
      </c>
      <c r="J1204" s="17">
        <f t="shared" si="31"/>
        <v>0</v>
      </c>
      <c r="K1204" s="17"/>
      <c r="L1204" s="16" t="s">
        <v>18</v>
      </c>
      <c r="M1204" s="16" t="s">
        <v>22</v>
      </c>
      <c r="N1204" s="39" t="s">
        <v>418</v>
      </c>
    </row>
    <row r="1205" spans="1:14" s="12" customFormat="1" ht="18">
      <c r="A1205" s="178" t="s">
        <v>120</v>
      </c>
      <c r="B1205" s="184" t="s">
        <v>506</v>
      </c>
      <c r="C1205" s="39" t="s">
        <v>417</v>
      </c>
      <c r="D1205" s="236"/>
      <c r="E1205" s="236"/>
      <c r="F1205" s="236"/>
      <c r="G1205" s="236"/>
      <c r="H1205" s="41">
        <f>SUM(Tabla132112414[[#This Row],[PRIMER TRIMESTRE]:[CUARTO TRIMESTRE]])</f>
        <v>0</v>
      </c>
      <c r="I1205" s="17">
        <v>5800</v>
      </c>
      <c r="J1205" s="17">
        <f t="shared" si="31"/>
        <v>0</v>
      </c>
      <c r="K1205" s="17"/>
      <c r="L1205" s="16" t="s">
        <v>18</v>
      </c>
      <c r="M1205" s="16" t="s">
        <v>22</v>
      </c>
      <c r="N1205" s="39" t="s">
        <v>418</v>
      </c>
    </row>
    <row r="1206" spans="1:14" s="12" customFormat="1" ht="18">
      <c r="A1206" s="178" t="s">
        <v>120</v>
      </c>
      <c r="B1206" s="184" t="s">
        <v>507</v>
      </c>
      <c r="C1206" s="39" t="s">
        <v>417</v>
      </c>
      <c r="D1206" s="236"/>
      <c r="E1206" s="236"/>
      <c r="F1206" s="236"/>
      <c r="G1206" s="236"/>
      <c r="H1206" s="41">
        <f>SUM(Tabla132112414[[#This Row],[PRIMER TRIMESTRE]:[CUARTO TRIMESTRE]])</f>
        <v>0</v>
      </c>
      <c r="I1206" s="17">
        <v>2800</v>
      </c>
      <c r="J1206" s="17">
        <f t="shared" si="31"/>
        <v>0</v>
      </c>
      <c r="K1206" s="17"/>
      <c r="L1206" s="16" t="s">
        <v>18</v>
      </c>
      <c r="M1206" s="16" t="s">
        <v>22</v>
      </c>
      <c r="N1206" s="39" t="s">
        <v>418</v>
      </c>
    </row>
    <row r="1207" spans="1:14" s="12" customFormat="1" ht="18">
      <c r="A1207" s="178" t="s">
        <v>120</v>
      </c>
      <c r="B1207" s="184" t="s">
        <v>508</v>
      </c>
      <c r="C1207" s="39" t="s">
        <v>417</v>
      </c>
      <c r="D1207" s="236"/>
      <c r="E1207" s="236"/>
      <c r="F1207" s="236"/>
      <c r="G1207" s="236"/>
      <c r="H1207" s="41">
        <f>SUM(Tabla132112414[[#This Row],[PRIMER TRIMESTRE]:[CUARTO TRIMESTRE]])</f>
        <v>0</v>
      </c>
      <c r="I1207" s="17">
        <v>5100</v>
      </c>
      <c r="J1207" s="17">
        <f t="shared" si="31"/>
        <v>0</v>
      </c>
      <c r="K1207" s="17"/>
      <c r="L1207" s="16" t="s">
        <v>18</v>
      </c>
      <c r="M1207" s="16" t="s">
        <v>22</v>
      </c>
      <c r="N1207" s="39" t="s">
        <v>418</v>
      </c>
    </row>
    <row r="1208" spans="1:14" s="12" customFormat="1" ht="18">
      <c r="A1208" s="178" t="s">
        <v>120</v>
      </c>
      <c r="B1208" s="184" t="s">
        <v>509</v>
      </c>
      <c r="C1208" s="39" t="s">
        <v>417</v>
      </c>
      <c r="D1208" s="236"/>
      <c r="E1208" s="236"/>
      <c r="F1208" s="236"/>
      <c r="G1208" s="236"/>
      <c r="H1208" s="41">
        <f>SUM(Tabla132112414[[#This Row],[PRIMER TRIMESTRE]:[CUARTO TRIMESTRE]])</f>
        <v>0</v>
      </c>
      <c r="I1208" s="17">
        <v>5100</v>
      </c>
      <c r="J1208" s="17">
        <f t="shared" si="31"/>
        <v>0</v>
      </c>
      <c r="K1208" s="17"/>
      <c r="L1208" s="16" t="s">
        <v>18</v>
      </c>
      <c r="M1208" s="16" t="s">
        <v>22</v>
      </c>
      <c r="N1208" s="39" t="s">
        <v>418</v>
      </c>
    </row>
    <row r="1209" spans="1:14" s="12" customFormat="1" ht="18">
      <c r="A1209" s="178" t="s">
        <v>120</v>
      </c>
      <c r="B1209" s="184" t="s">
        <v>510</v>
      </c>
      <c r="C1209" s="39" t="s">
        <v>417</v>
      </c>
      <c r="D1209" s="236"/>
      <c r="E1209" s="236"/>
      <c r="F1209" s="236"/>
      <c r="G1209" s="236"/>
      <c r="H1209" s="41">
        <f>SUM(Tabla132112414[[#This Row],[PRIMER TRIMESTRE]:[CUARTO TRIMESTRE]])</f>
        <v>0</v>
      </c>
      <c r="I1209" s="17">
        <v>5100</v>
      </c>
      <c r="J1209" s="17">
        <f t="shared" si="31"/>
        <v>0</v>
      </c>
      <c r="K1209" s="17"/>
      <c r="L1209" s="16" t="s">
        <v>18</v>
      </c>
      <c r="M1209" s="16" t="s">
        <v>22</v>
      </c>
      <c r="N1209" s="39" t="s">
        <v>418</v>
      </c>
    </row>
    <row r="1210" spans="1:14" s="12" customFormat="1" ht="18">
      <c r="A1210" s="178" t="s">
        <v>120</v>
      </c>
      <c r="B1210" s="184" t="s">
        <v>511</v>
      </c>
      <c r="C1210" s="39" t="s">
        <v>417</v>
      </c>
      <c r="D1210" s="236"/>
      <c r="E1210" s="236"/>
      <c r="F1210" s="236"/>
      <c r="G1210" s="236"/>
      <c r="H1210" s="41">
        <f>SUM(Tabla132112414[[#This Row],[PRIMER TRIMESTRE]:[CUARTO TRIMESTRE]])</f>
        <v>0</v>
      </c>
      <c r="I1210" s="17">
        <v>5100</v>
      </c>
      <c r="J1210" s="17">
        <f t="shared" si="31"/>
        <v>0</v>
      </c>
      <c r="K1210" s="17"/>
      <c r="L1210" s="16" t="s">
        <v>18</v>
      </c>
      <c r="M1210" s="16" t="s">
        <v>22</v>
      </c>
      <c r="N1210" s="39" t="s">
        <v>418</v>
      </c>
    </row>
    <row r="1211" spans="1:14" s="12" customFormat="1" ht="18">
      <c r="A1211" s="178" t="s">
        <v>120</v>
      </c>
      <c r="B1211" s="184" t="s">
        <v>512</v>
      </c>
      <c r="C1211" s="39" t="s">
        <v>417</v>
      </c>
      <c r="D1211" s="236"/>
      <c r="E1211" s="236"/>
      <c r="F1211" s="236"/>
      <c r="G1211" s="236"/>
      <c r="H1211" s="41">
        <f>SUM(Tabla132112414[[#This Row],[PRIMER TRIMESTRE]:[CUARTO TRIMESTRE]])</f>
        <v>0</v>
      </c>
      <c r="I1211" s="17">
        <v>2000</v>
      </c>
      <c r="J1211" s="17">
        <f t="shared" si="31"/>
        <v>0</v>
      </c>
      <c r="K1211" s="17"/>
      <c r="L1211" s="16" t="s">
        <v>18</v>
      </c>
      <c r="M1211" s="16" t="s">
        <v>22</v>
      </c>
      <c r="N1211" s="39" t="s">
        <v>418</v>
      </c>
    </row>
    <row r="1212" spans="1:14" s="12" customFormat="1" ht="18">
      <c r="A1212" s="178" t="s">
        <v>120</v>
      </c>
      <c r="B1212" s="184" t="s">
        <v>513</v>
      </c>
      <c r="C1212" s="39" t="s">
        <v>417</v>
      </c>
      <c r="D1212" s="236"/>
      <c r="E1212" s="236"/>
      <c r="F1212" s="236"/>
      <c r="G1212" s="236"/>
      <c r="H1212" s="41">
        <f>SUM(Tabla132112414[[#This Row],[PRIMER TRIMESTRE]:[CUARTO TRIMESTRE]])</f>
        <v>0</v>
      </c>
      <c r="I1212" s="17">
        <v>2500</v>
      </c>
      <c r="J1212" s="17">
        <f t="shared" si="31"/>
        <v>0</v>
      </c>
      <c r="K1212" s="17"/>
      <c r="L1212" s="16" t="s">
        <v>18</v>
      </c>
      <c r="M1212" s="16" t="s">
        <v>22</v>
      </c>
      <c r="N1212" s="39" t="s">
        <v>418</v>
      </c>
    </row>
    <row r="1213" spans="1:14" s="12" customFormat="1" ht="18">
      <c r="A1213" s="178" t="s">
        <v>120</v>
      </c>
      <c r="B1213" s="184" t="s">
        <v>514</v>
      </c>
      <c r="C1213" s="39" t="s">
        <v>417</v>
      </c>
      <c r="D1213" s="236"/>
      <c r="E1213" s="236"/>
      <c r="F1213" s="236"/>
      <c r="G1213" s="236"/>
      <c r="H1213" s="41">
        <f>SUM(Tabla132112414[[#This Row],[PRIMER TRIMESTRE]:[CUARTO TRIMESTRE]])</f>
        <v>0</v>
      </c>
      <c r="I1213" s="17">
        <v>2500</v>
      </c>
      <c r="J1213" s="17">
        <f t="shared" si="31"/>
        <v>0</v>
      </c>
      <c r="K1213" s="17"/>
      <c r="L1213" s="16" t="s">
        <v>18</v>
      </c>
      <c r="M1213" s="16" t="s">
        <v>22</v>
      </c>
      <c r="N1213" s="39" t="s">
        <v>418</v>
      </c>
    </row>
    <row r="1214" spans="1:14" s="12" customFormat="1" ht="18">
      <c r="A1214" s="178" t="s">
        <v>120</v>
      </c>
      <c r="B1214" s="184" t="s">
        <v>515</v>
      </c>
      <c r="C1214" s="39" t="s">
        <v>417</v>
      </c>
      <c r="D1214" s="236"/>
      <c r="E1214" s="236"/>
      <c r="F1214" s="236"/>
      <c r="G1214" s="236"/>
      <c r="H1214" s="41">
        <f>SUM(Tabla132112414[[#This Row],[PRIMER TRIMESTRE]:[CUARTO TRIMESTRE]])</f>
        <v>0</v>
      </c>
      <c r="I1214" s="17">
        <v>2500</v>
      </c>
      <c r="J1214" s="17">
        <f t="shared" si="31"/>
        <v>0</v>
      </c>
      <c r="K1214" s="17"/>
      <c r="L1214" s="16" t="s">
        <v>18</v>
      </c>
      <c r="M1214" s="16" t="s">
        <v>22</v>
      </c>
      <c r="N1214" s="39" t="s">
        <v>418</v>
      </c>
    </row>
    <row r="1215" spans="1:14" s="12" customFormat="1" ht="18">
      <c r="A1215" s="178" t="s">
        <v>120</v>
      </c>
      <c r="B1215" s="184" t="s">
        <v>516</v>
      </c>
      <c r="C1215" s="39" t="s">
        <v>417</v>
      </c>
      <c r="D1215" s="236"/>
      <c r="E1215" s="236"/>
      <c r="F1215" s="236"/>
      <c r="G1215" s="236"/>
      <c r="H1215" s="41">
        <f>SUM(Tabla132112414[[#This Row],[PRIMER TRIMESTRE]:[CUARTO TRIMESTRE]])</f>
        <v>0</v>
      </c>
      <c r="I1215" s="17">
        <v>2500</v>
      </c>
      <c r="J1215" s="17">
        <f t="shared" si="31"/>
        <v>0</v>
      </c>
      <c r="K1215" s="17"/>
      <c r="L1215" s="16" t="s">
        <v>18</v>
      </c>
      <c r="M1215" s="16" t="s">
        <v>22</v>
      </c>
      <c r="N1215" s="39" t="s">
        <v>418</v>
      </c>
    </row>
    <row r="1216" spans="1:14" s="12" customFormat="1" ht="18">
      <c r="A1216" s="178" t="s">
        <v>120</v>
      </c>
      <c r="B1216" s="184" t="s">
        <v>517</v>
      </c>
      <c r="C1216" s="39" t="s">
        <v>417</v>
      </c>
      <c r="D1216" s="236"/>
      <c r="E1216" s="236"/>
      <c r="F1216" s="236"/>
      <c r="G1216" s="236"/>
      <c r="H1216" s="41">
        <f>SUM(Tabla132112414[[#This Row],[PRIMER TRIMESTRE]:[CUARTO TRIMESTRE]])</f>
        <v>0</v>
      </c>
      <c r="I1216" s="17">
        <v>4100</v>
      </c>
      <c r="J1216" s="17">
        <f t="shared" si="31"/>
        <v>0</v>
      </c>
      <c r="K1216" s="17"/>
      <c r="L1216" s="16" t="s">
        <v>18</v>
      </c>
      <c r="M1216" s="16" t="s">
        <v>22</v>
      </c>
      <c r="N1216" s="39" t="s">
        <v>418</v>
      </c>
    </row>
    <row r="1217" spans="1:14" s="12" customFormat="1" ht="18">
      <c r="A1217" s="178" t="s">
        <v>120</v>
      </c>
      <c r="B1217" s="184" t="s">
        <v>518</v>
      </c>
      <c r="C1217" s="39" t="s">
        <v>417</v>
      </c>
      <c r="D1217" s="236"/>
      <c r="E1217" s="236"/>
      <c r="F1217" s="236"/>
      <c r="G1217" s="236"/>
      <c r="H1217" s="41">
        <f>SUM(Tabla132112414[[#This Row],[PRIMER TRIMESTRE]:[CUARTO TRIMESTRE]])</f>
        <v>0</v>
      </c>
      <c r="I1217" s="17">
        <v>3800</v>
      </c>
      <c r="J1217" s="17">
        <f t="shared" si="31"/>
        <v>0</v>
      </c>
      <c r="K1217" s="17"/>
      <c r="L1217" s="16" t="s">
        <v>18</v>
      </c>
      <c r="M1217" s="16" t="s">
        <v>22</v>
      </c>
      <c r="N1217" s="39" t="s">
        <v>418</v>
      </c>
    </row>
    <row r="1218" spans="1:14" s="12" customFormat="1" ht="18">
      <c r="A1218" s="178" t="s">
        <v>120</v>
      </c>
      <c r="B1218" s="184" t="s">
        <v>519</v>
      </c>
      <c r="C1218" s="39" t="s">
        <v>417</v>
      </c>
      <c r="D1218" s="236"/>
      <c r="E1218" s="236"/>
      <c r="F1218" s="236"/>
      <c r="G1218" s="236"/>
      <c r="H1218" s="41">
        <f>SUM(Tabla132112414[[#This Row],[PRIMER TRIMESTRE]:[CUARTO TRIMESTRE]])</f>
        <v>0</v>
      </c>
      <c r="I1218" s="17">
        <v>5400</v>
      </c>
      <c r="J1218" s="17">
        <f t="shared" si="31"/>
        <v>0</v>
      </c>
      <c r="K1218" s="17"/>
      <c r="L1218" s="16" t="s">
        <v>18</v>
      </c>
      <c r="M1218" s="16" t="s">
        <v>22</v>
      </c>
      <c r="N1218" s="39" t="s">
        <v>418</v>
      </c>
    </row>
    <row r="1219" spans="1:14" s="12" customFormat="1" ht="18">
      <c r="A1219" s="178" t="s">
        <v>120</v>
      </c>
      <c r="B1219" s="184" t="s">
        <v>520</v>
      </c>
      <c r="C1219" s="39" t="s">
        <v>417</v>
      </c>
      <c r="D1219" s="236"/>
      <c r="E1219" s="236"/>
      <c r="F1219" s="236"/>
      <c r="G1219" s="236"/>
      <c r="H1219" s="41">
        <f>SUM(Tabla132112414[[#This Row],[PRIMER TRIMESTRE]:[CUARTO TRIMESTRE]])</f>
        <v>0</v>
      </c>
      <c r="I1219" s="17">
        <v>5400</v>
      </c>
      <c r="J1219" s="17">
        <f t="shared" si="31"/>
        <v>0</v>
      </c>
      <c r="K1219" s="17"/>
      <c r="L1219" s="16" t="s">
        <v>18</v>
      </c>
      <c r="M1219" s="16" t="s">
        <v>22</v>
      </c>
      <c r="N1219" s="39" t="s">
        <v>418</v>
      </c>
    </row>
    <row r="1220" spans="1:14" s="12" customFormat="1" ht="18">
      <c r="A1220" s="178" t="s">
        <v>120</v>
      </c>
      <c r="B1220" s="184" t="s">
        <v>521</v>
      </c>
      <c r="C1220" s="39" t="s">
        <v>417</v>
      </c>
      <c r="D1220" s="236"/>
      <c r="E1220" s="236"/>
      <c r="F1220" s="236"/>
      <c r="G1220" s="236"/>
      <c r="H1220" s="41">
        <f>SUM(Tabla132112414[[#This Row],[PRIMER TRIMESTRE]:[CUARTO TRIMESTRE]])</f>
        <v>0</v>
      </c>
      <c r="I1220" s="17">
        <v>5400</v>
      </c>
      <c r="J1220" s="17">
        <f t="shared" si="31"/>
        <v>0</v>
      </c>
      <c r="K1220" s="17"/>
      <c r="L1220" s="16" t="s">
        <v>18</v>
      </c>
      <c r="M1220" s="16" t="s">
        <v>22</v>
      </c>
      <c r="N1220" s="39" t="s">
        <v>418</v>
      </c>
    </row>
    <row r="1221" spans="1:14" s="12" customFormat="1" ht="18">
      <c r="A1221" s="178" t="s">
        <v>120</v>
      </c>
      <c r="B1221" s="184" t="s">
        <v>522</v>
      </c>
      <c r="C1221" s="39" t="s">
        <v>417</v>
      </c>
      <c r="D1221" s="236"/>
      <c r="E1221" s="236"/>
      <c r="F1221" s="236"/>
      <c r="G1221" s="236"/>
      <c r="H1221" s="41">
        <f>SUM(Tabla132112414[[#This Row],[PRIMER TRIMESTRE]:[CUARTO TRIMESTRE]])</f>
        <v>0</v>
      </c>
      <c r="I1221" s="17">
        <v>3100</v>
      </c>
      <c r="J1221" s="17">
        <f t="shared" si="31"/>
        <v>0</v>
      </c>
      <c r="K1221" s="17"/>
      <c r="L1221" s="16" t="s">
        <v>18</v>
      </c>
      <c r="M1221" s="16" t="s">
        <v>22</v>
      </c>
      <c r="N1221" s="39" t="s">
        <v>418</v>
      </c>
    </row>
    <row r="1222" spans="1:14" s="12" customFormat="1" ht="18">
      <c r="A1222" s="178" t="s">
        <v>120</v>
      </c>
      <c r="B1222" s="184" t="s">
        <v>523</v>
      </c>
      <c r="C1222" s="39" t="s">
        <v>417</v>
      </c>
      <c r="D1222" s="236"/>
      <c r="E1222" s="236"/>
      <c r="F1222" s="236"/>
      <c r="G1222" s="236"/>
      <c r="H1222" s="41">
        <f>SUM(Tabla132112414[[#This Row],[PRIMER TRIMESTRE]:[CUARTO TRIMESTRE]])</f>
        <v>0</v>
      </c>
      <c r="I1222" s="17">
        <v>5100</v>
      </c>
      <c r="J1222" s="17">
        <f t="shared" si="31"/>
        <v>0</v>
      </c>
      <c r="K1222" s="17"/>
      <c r="L1222" s="16" t="s">
        <v>18</v>
      </c>
      <c r="M1222" s="16" t="s">
        <v>22</v>
      </c>
      <c r="N1222" s="39" t="s">
        <v>418</v>
      </c>
    </row>
    <row r="1223" spans="1:14" s="12" customFormat="1" ht="18">
      <c r="A1223" s="178" t="s">
        <v>120</v>
      </c>
      <c r="B1223" s="184" t="s">
        <v>524</v>
      </c>
      <c r="C1223" s="39" t="s">
        <v>417</v>
      </c>
      <c r="D1223" s="236"/>
      <c r="E1223" s="236"/>
      <c r="F1223" s="236"/>
      <c r="G1223" s="236"/>
      <c r="H1223" s="41">
        <f>SUM(Tabla132112414[[#This Row],[PRIMER TRIMESTRE]:[CUARTO TRIMESTRE]])</f>
        <v>0</v>
      </c>
      <c r="I1223" s="17">
        <v>3000</v>
      </c>
      <c r="J1223" s="17">
        <f t="shared" si="31"/>
        <v>0</v>
      </c>
      <c r="K1223" s="17"/>
      <c r="L1223" s="16" t="s">
        <v>18</v>
      </c>
      <c r="M1223" s="16" t="s">
        <v>22</v>
      </c>
      <c r="N1223" s="39" t="s">
        <v>418</v>
      </c>
    </row>
    <row r="1224" spans="1:14" s="12" customFormat="1" ht="18">
      <c r="A1224" s="178" t="s">
        <v>120</v>
      </c>
      <c r="B1224" s="184" t="s">
        <v>525</v>
      </c>
      <c r="C1224" s="39" t="s">
        <v>417</v>
      </c>
      <c r="D1224" s="236"/>
      <c r="E1224" s="236"/>
      <c r="F1224" s="236"/>
      <c r="G1224" s="236"/>
      <c r="H1224" s="41">
        <f>SUM(Tabla132112414[[#This Row],[PRIMER TRIMESTRE]:[CUARTO TRIMESTRE]])</f>
        <v>0</v>
      </c>
      <c r="I1224" s="17">
        <v>3800</v>
      </c>
      <c r="J1224" s="17">
        <f t="shared" si="31"/>
        <v>0</v>
      </c>
      <c r="K1224" s="17"/>
      <c r="L1224" s="16" t="s">
        <v>18</v>
      </c>
      <c r="M1224" s="16" t="s">
        <v>22</v>
      </c>
      <c r="N1224" s="39" t="s">
        <v>418</v>
      </c>
    </row>
    <row r="1225" spans="1:14" s="12" customFormat="1" ht="18">
      <c r="A1225" s="178" t="s">
        <v>120</v>
      </c>
      <c r="B1225" s="184" t="s">
        <v>526</v>
      </c>
      <c r="C1225" s="39" t="s">
        <v>417</v>
      </c>
      <c r="D1225" s="236"/>
      <c r="E1225" s="236"/>
      <c r="F1225" s="236"/>
      <c r="G1225" s="236"/>
      <c r="H1225" s="41">
        <f>SUM(Tabla132112414[[#This Row],[PRIMER TRIMESTRE]:[CUARTO TRIMESTRE]])</f>
        <v>0</v>
      </c>
      <c r="I1225" s="17">
        <v>3800</v>
      </c>
      <c r="J1225" s="17">
        <f t="shared" si="31"/>
        <v>0</v>
      </c>
      <c r="K1225" s="17"/>
      <c r="L1225" s="16" t="s">
        <v>18</v>
      </c>
      <c r="M1225" s="16" t="s">
        <v>22</v>
      </c>
      <c r="N1225" s="39" t="s">
        <v>418</v>
      </c>
    </row>
    <row r="1226" spans="1:14" s="12" customFormat="1" ht="18">
      <c r="A1226" s="178" t="s">
        <v>120</v>
      </c>
      <c r="B1226" s="184" t="s">
        <v>527</v>
      </c>
      <c r="C1226" s="39" t="s">
        <v>417</v>
      </c>
      <c r="D1226" s="236"/>
      <c r="E1226" s="236"/>
      <c r="F1226" s="236"/>
      <c r="G1226" s="236"/>
      <c r="H1226" s="41">
        <f>SUM(Tabla132112414[[#This Row],[PRIMER TRIMESTRE]:[CUARTO TRIMESTRE]])</f>
        <v>0</v>
      </c>
      <c r="I1226" s="17">
        <v>3800</v>
      </c>
      <c r="J1226" s="17">
        <f t="shared" si="31"/>
        <v>0</v>
      </c>
      <c r="K1226" s="17"/>
      <c r="L1226" s="16" t="s">
        <v>18</v>
      </c>
      <c r="M1226" s="16" t="s">
        <v>22</v>
      </c>
      <c r="N1226" s="39" t="s">
        <v>418</v>
      </c>
    </row>
    <row r="1227" spans="1:14" s="12" customFormat="1" ht="18">
      <c r="A1227" s="178" t="s">
        <v>120</v>
      </c>
      <c r="B1227" s="184" t="s">
        <v>528</v>
      </c>
      <c r="C1227" s="39" t="s">
        <v>417</v>
      </c>
      <c r="D1227" s="236"/>
      <c r="E1227" s="236"/>
      <c r="F1227" s="236"/>
      <c r="G1227" s="236"/>
      <c r="H1227" s="41">
        <f>SUM(Tabla132112414[[#This Row],[PRIMER TRIMESTRE]:[CUARTO TRIMESTRE]])</f>
        <v>0</v>
      </c>
      <c r="I1227" s="17">
        <v>6400</v>
      </c>
      <c r="J1227" s="17">
        <f t="shared" si="31"/>
        <v>0</v>
      </c>
      <c r="K1227" s="17"/>
      <c r="L1227" s="16" t="s">
        <v>18</v>
      </c>
      <c r="M1227" s="16" t="s">
        <v>22</v>
      </c>
      <c r="N1227" s="39" t="s">
        <v>418</v>
      </c>
    </row>
    <row r="1228" spans="1:14" s="12" customFormat="1" ht="27.75" customHeight="1">
      <c r="A1228" s="178" t="s">
        <v>120</v>
      </c>
      <c r="B1228" s="185" t="s">
        <v>529</v>
      </c>
      <c r="C1228" s="39" t="s">
        <v>417</v>
      </c>
      <c r="D1228" s="236">
        <v>1</v>
      </c>
      <c r="E1228" s="210">
        <v>1</v>
      </c>
      <c r="F1228" s="210">
        <v>1</v>
      </c>
      <c r="G1228" s="210">
        <v>1</v>
      </c>
      <c r="H1228" s="71">
        <f>SUM(Tabla132112414[[#This Row],[PRIMER TRIMESTRE]:[CUARTO TRIMESTRE]])</f>
        <v>4</v>
      </c>
      <c r="I1228" s="17">
        <f>9750*1.18</f>
        <v>11505</v>
      </c>
      <c r="J1228" s="17">
        <f t="shared" si="31"/>
        <v>46020</v>
      </c>
      <c r="K1228" s="17"/>
      <c r="L1228" s="16" t="s">
        <v>18</v>
      </c>
      <c r="M1228" s="16" t="s">
        <v>22</v>
      </c>
      <c r="N1228" s="39" t="s">
        <v>418</v>
      </c>
    </row>
    <row r="1229" spans="1:14" s="12" customFormat="1" ht="30" customHeight="1">
      <c r="A1229" s="178" t="s">
        <v>120</v>
      </c>
      <c r="B1229" s="185" t="s">
        <v>530</v>
      </c>
      <c r="C1229" s="39" t="s">
        <v>417</v>
      </c>
      <c r="D1229" s="236">
        <v>1</v>
      </c>
      <c r="E1229" s="210">
        <v>1</v>
      </c>
      <c r="F1229" s="210">
        <v>1</v>
      </c>
      <c r="G1229" s="210">
        <v>1</v>
      </c>
      <c r="H1229" s="41">
        <f>SUM(Tabla132112414[[#This Row],[PRIMER TRIMESTRE]:[CUARTO TRIMESTRE]])</f>
        <v>4</v>
      </c>
      <c r="I1229" s="17">
        <v>11505</v>
      </c>
      <c r="J1229" s="17">
        <f t="shared" si="31"/>
        <v>46020</v>
      </c>
      <c r="K1229" s="17"/>
      <c r="L1229" s="16" t="s">
        <v>18</v>
      </c>
      <c r="M1229" s="16" t="s">
        <v>22</v>
      </c>
      <c r="N1229" s="39" t="s">
        <v>418</v>
      </c>
    </row>
    <row r="1230" spans="1:14" s="12" customFormat="1" ht="30" customHeight="1">
      <c r="A1230" s="178" t="s">
        <v>120</v>
      </c>
      <c r="B1230" s="185" t="s">
        <v>531</v>
      </c>
      <c r="C1230" s="39" t="s">
        <v>417</v>
      </c>
      <c r="D1230" s="236">
        <v>1</v>
      </c>
      <c r="E1230" s="210">
        <v>1</v>
      </c>
      <c r="F1230" s="210">
        <v>1</v>
      </c>
      <c r="G1230" s="210">
        <v>1</v>
      </c>
      <c r="H1230" s="41">
        <f>SUM(Tabla132112414[[#This Row],[PRIMER TRIMESTRE]:[CUARTO TRIMESTRE]])</f>
        <v>4</v>
      </c>
      <c r="I1230" s="17">
        <v>11505</v>
      </c>
      <c r="J1230" s="17">
        <f t="shared" ref="J1230:J1243" si="32">+H1230*I1230</f>
        <v>46020</v>
      </c>
      <c r="K1230" s="17"/>
      <c r="L1230" s="16" t="s">
        <v>18</v>
      </c>
      <c r="M1230" s="16" t="s">
        <v>22</v>
      </c>
      <c r="N1230" s="39" t="s">
        <v>418</v>
      </c>
    </row>
    <row r="1231" spans="1:14" s="12" customFormat="1" ht="32.25" customHeight="1">
      <c r="A1231" s="178" t="s">
        <v>120</v>
      </c>
      <c r="B1231" s="185" t="s">
        <v>532</v>
      </c>
      <c r="C1231" s="39" t="s">
        <v>417</v>
      </c>
      <c r="D1231" s="236">
        <v>1</v>
      </c>
      <c r="E1231" s="210">
        <v>1</v>
      </c>
      <c r="F1231" s="210">
        <v>1</v>
      </c>
      <c r="G1231" s="210">
        <v>1</v>
      </c>
      <c r="H1231" s="41">
        <f>SUM(Tabla132112414[[#This Row],[PRIMER TRIMESTRE]:[CUARTO TRIMESTRE]])</f>
        <v>4</v>
      </c>
      <c r="I1231" s="17">
        <v>11505</v>
      </c>
      <c r="J1231" s="17">
        <f t="shared" si="32"/>
        <v>46020</v>
      </c>
      <c r="K1231" s="17"/>
      <c r="L1231" s="16" t="s">
        <v>18</v>
      </c>
      <c r="M1231" s="16" t="s">
        <v>22</v>
      </c>
      <c r="N1231" s="39" t="s">
        <v>418</v>
      </c>
    </row>
    <row r="1232" spans="1:14" s="12" customFormat="1" ht="18">
      <c r="A1232" s="178" t="s">
        <v>120</v>
      </c>
      <c r="B1232" s="80" t="s">
        <v>790</v>
      </c>
      <c r="C1232" s="39" t="s">
        <v>417</v>
      </c>
      <c r="D1232" s="236"/>
      <c r="E1232" s="210"/>
      <c r="F1232" s="210"/>
      <c r="G1232" s="210"/>
      <c r="H1232" s="41">
        <f>SUM(Tabla132112414[[#This Row],[PRIMER TRIMESTRE]:[CUARTO TRIMESTRE]])</f>
        <v>0</v>
      </c>
      <c r="I1232" s="72">
        <v>3760.11</v>
      </c>
      <c r="J1232" s="17">
        <f t="shared" si="32"/>
        <v>0</v>
      </c>
      <c r="K1232" s="17"/>
      <c r="L1232" s="16" t="s">
        <v>18</v>
      </c>
      <c r="M1232" s="16" t="s">
        <v>22</v>
      </c>
      <c r="N1232" s="39" t="s">
        <v>418</v>
      </c>
    </row>
    <row r="1233" spans="1:14" s="12" customFormat="1" ht="30.75" customHeight="1">
      <c r="A1233" s="178" t="s">
        <v>120</v>
      </c>
      <c r="B1233" s="80" t="s">
        <v>791</v>
      </c>
      <c r="C1233" s="39" t="s">
        <v>417</v>
      </c>
      <c r="D1233" s="236"/>
      <c r="E1233" s="210"/>
      <c r="F1233" s="210"/>
      <c r="G1233" s="210"/>
      <c r="H1233" s="41">
        <f>SUM(Tabla132112414[[#This Row],[PRIMER TRIMESTRE]:[CUARTO TRIMESTRE]])</f>
        <v>0</v>
      </c>
      <c r="I1233" s="72">
        <v>3914.09</v>
      </c>
      <c r="J1233" s="17">
        <f t="shared" si="32"/>
        <v>0</v>
      </c>
      <c r="K1233" s="17"/>
      <c r="L1233" s="16" t="s">
        <v>18</v>
      </c>
      <c r="M1233" s="16" t="s">
        <v>22</v>
      </c>
      <c r="N1233" s="39" t="s">
        <v>418</v>
      </c>
    </row>
    <row r="1234" spans="1:14" s="12" customFormat="1" ht="30.75" customHeight="1">
      <c r="A1234" s="178" t="s">
        <v>120</v>
      </c>
      <c r="B1234" s="80" t="s">
        <v>792</v>
      </c>
      <c r="C1234" s="39" t="s">
        <v>417</v>
      </c>
      <c r="D1234" s="236"/>
      <c r="E1234" s="210"/>
      <c r="F1234" s="210"/>
      <c r="G1234" s="210"/>
      <c r="H1234" s="41">
        <f>SUM(Tabla132112414[[#This Row],[PRIMER TRIMESTRE]:[CUARTO TRIMESTRE]])</f>
        <v>0</v>
      </c>
      <c r="I1234" s="72">
        <v>4257.1899999999996</v>
      </c>
      <c r="J1234" s="17">
        <f t="shared" si="32"/>
        <v>0</v>
      </c>
      <c r="K1234" s="17"/>
      <c r="L1234" s="16" t="s">
        <v>18</v>
      </c>
      <c r="M1234" s="16" t="s">
        <v>22</v>
      </c>
      <c r="N1234" s="39" t="s">
        <v>418</v>
      </c>
    </row>
    <row r="1235" spans="1:14" s="12" customFormat="1" ht="30.75" customHeight="1">
      <c r="A1235" s="178" t="s">
        <v>120</v>
      </c>
      <c r="B1235" s="80" t="s">
        <v>793</v>
      </c>
      <c r="C1235" s="39" t="s">
        <v>417</v>
      </c>
      <c r="D1235" s="236"/>
      <c r="E1235" s="210"/>
      <c r="F1235" s="210"/>
      <c r="G1235" s="210"/>
      <c r="H1235" s="41">
        <f>SUM(Tabla132112414[[#This Row],[PRIMER TRIMESTRE]:[CUARTO TRIMESTRE]])</f>
        <v>0</v>
      </c>
      <c r="I1235" s="72">
        <v>4257.1899999999996</v>
      </c>
      <c r="J1235" s="17">
        <f t="shared" si="32"/>
        <v>0</v>
      </c>
      <c r="K1235" s="17"/>
      <c r="L1235" s="16" t="s">
        <v>18</v>
      </c>
      <c r="M1235" s="16" t="s">
        <v>22</v>
      </c>
      <c r="N1235" s="39" t="s">
        <v>418</v>
      </c>
    </row>
    <row r="1236" spans="1:14" s="12" customFormat="1" ht="30.75" customHeight="1">
      <c r="A1236" s="178" t="s">
        <v>120</v>
      </c>
      <c r="B1236" s="80" t="s">
        <v>794</v>
      </c>
      <c r="C1236" s="39" t="s">
        <v>417</v>
      </c>
      <c r="D1236" s="236"/>
      <c r="E1236" s="210"/>
      <c r="F1236" s="210"/>
      <c r="G1236" s="210"/>
      <c r="H1236" s="41">
        <f>SUM(Tabla132112414[[#This Row],[PRIMER TRIMESTRE]:[CUARTO TRIMESTRE]])</f>
        <v>0</v>
      </c>
      <c r="I1236" s="72">
        <v>4257.8999999999996</v>
      </c>
      <c r="J1236" s="17">
        <f t="shared" si="32"/>
        <v>0</v>
      </c>
      <c r="K1236" s="17"/>
      <c r="L1236" s="16" t="s">
        <v>18</v>
      </c>
      <c r="M1236" s="16" t="s">
        <v>22</v>
      </c>
      <c r="N1236" s="39" t="s">
        <v>418</v>
      </c>
    </row>
    <row r="1237" spans="1:14" s="12" customFormat="1" ht="30.75" customHeight="1">
      <c r="A1237" s="178" t="s">
        <v>120</v>
      </c>
      <c r="B1237" s="80" t="s">
        <v>795</v>
      </c>
      <c r="C1237" s="39" t="s">
        <v>417</v>
      </c>
      <c r="D1237" s="236"/>
      <c r="E1237" s="210"/>
      <c r="F1237" s="210"/>
      <c r="G1237" s="210"/>
      <c r="H1237" s="41">
        <f>SUM(Tabla132112414[[#This Row],[PRIMER TRIMESTRE]:[CUARTO TRIMESTRE]])</f>
        <v>0</v>
      </c>
      <c r="I1237" s="72">
        <v>4238.76</v>
      </c>
      <c r="J1237" s="17">
        <f t="shared" si="32"/>
        <v>0</v>
      </c>
      <c r="K1237" s="17"/>
      <c r="L1237" s="16" t="s">
        <v>18</v>
      </c>
      <c r="M1237" s="16" t="s">
        <v>22</v>
      </c>
      <c r="N1237" s="39" t="s">
        <v>418</v>
      </c>
    </row>
    <row r="1238" spans="1:14" s="12" customFormat="1" ht="30.75" customHeight="1">
      <c r="A1238" s="178" t="s">
        <v>120</v>
      </c>
      <c r="B1238" s="80" t="s">
        <v>796</v>
      </c>
      <c r="C1238" s="39" t="s">
        <v>417</v>
      </c>
      <c r="D1238" s="236"/>
      <c r="E1238" s="210"/>
      <c r="F1238" s="210"/>
      <c r="G1238" s="210"/>
      <c r="H1238" s="41">
        <f>SUM(Tabla132112414[[#This Row],[PRIMER TRIMESTRE]:[CUARTO TRIMESTRE]])</f>
        <v>0</v>
      </c>
      <c r="I1238" s="72">
        <v>3199.82</v>
      </c>
      <c r="J1238" s="17">
        <f t="shared" si="32"/>
        <v>0</v>
      </c>
      <c r="K1238" s="17"/>
      <c r="L1238" s="16" t="s">
        <v>18</v>
      </c>
      <c r="M1238" s="16" t="s">
        <v>22</v>
      </c>
      <c r="N1238" s="39" t="s">
        <v>418</v>
      </c>
    </row>
    <row r="1239" spans="1:14" s="12" customFormat="1" ht="30.75" customHeight="1">
      <c r="A1239" s="178" t="s">
        <v>120</v>
      </c>
      <c r="B1239" s="80" t="s">
        <v>797</v>
      </c>
      <c r="C1239" s="39" t="s">
        <v>417</v>
      </c>
      <c r="D1239" s="236"/>
      <c r="E1239" s="210"/>
      <c r="F1239" s="210"/>
      <c r="G1239" s="210"/>
      <c r="H1239" s="41">
        <f>SUM(Tabla132112414[[#This Row],[PRIMER TRIMESTRE]:[CUARTO TRIMESTRE]])</f>
        <v>0</v>
      </c>
      <c r="I1239" s="72">
        <v>3679.8</v>
      </c>
      <c r="J1239" s="17">
        <f t="shared" si="32"/>
        <v>0</v>
      </c>
      <c r="K1239" s="17"/>
      <c r="L1239" s="16" t="s">
        <v>18</v>
      </c>
      <c r="M1239" s="16" t="s">
        <v>22</v>
      </c>
      <c r="N1239" s="39" t="s">
        <v>418</v>
      </c>
    </row>
    <row r="1240" spans="1:14" s="12" customFormat="1" ht="30.75" customHeight="1">
      <c r="A1240" s="178" t="s">
        <v>120</v>
      </c>
      <c r="B1240" s="80" t="s">
        <v>798</v>
      </c>
      <c r="C1240" s="39" t="s">
        <v>417</v>
      </c>
      <c r="D1240" s="236"/>
      <c r="E1240" s="210"/>
      <c r="F1240" s="210"/>
      <c r="G1240" s="210"/>
      <c r="H1240" s="41">
        <f>SUM(Tabla132112414[[#This Row],[PRIMER TRIMESTRE]:[CUARTO TRIMESTRE]])</f>
        <v>0</v>
      </c>
      <c r="I1240" s="72">
        <v>3304</v>
      </c>
      <c r="J1240" s="17">
        <f t="shared" si="32"/>
        <v>0</v>
      </c>
      <c r="K1240" s="17"/>
      <c r="L1240" s="16" t="s">
        <v>18</v>
      </c>
      <c r="M1240" s="16" t="s">
        <v>22</v>
      </c>
      <c r="N1240" s="39" t="s">
        <v>418</v>
      </c>
    </row>
    <row r="1241" spans="1:14" s="12" customFormat="1" ht="30.75" customHeight="1">
      <c r="A1241" s="178" t="s">
        <v>120</v>
      </c>
      <c r="B1241" s="80" t="s">
        <v>1409</v>
      </c>
      <c r="C1241" s="39" t="s">
        <v>417</v>
      </c>
      <c r="D1241" s="236"/>
      <c r="E1241" s="210"/>
      <c r="F1241" s="210"/>
      <c r="G1241" s="210"/>
      <c r="H1241" s="41">
        <f>SUM(Tabla132112414[[#This Row],[PRIMER TRIMESTRE]:[CUARTO TRIMESTRE]])</f>
        <v>0</v>
      </c>
      <c r="I1241" s="72">
        <v>5700</v>
      </c>
      <c r="J1241" s="17">
        <f t="shared" si="32"/>
        <v>0</v>
      </c>
      <c r="K1241" s="17"/>
      <c r="L1241" s="16" t="s">
        <v>18</v>
      </c>
      <c r="M1241" s="16" t="s">
        <v>22</v>
      </c>
      <c r="N1241" s="39" t="s">
        <v>418</v>
      </c>
    </row>
    <row r="1242" spans="1:14" s="26" customFormat="1" ht="30.75" customHeight="1">
      <c r="A1242" s="178" t="s">
        <v>120</v>
      </c>
      <c r="B1242" s="80" t="s">
        <v>1410</v>
      </c>
      <c r="C1242" s="39" t="s">
        <v>417</v>
      </c>
      <c r="D1242" s="236"/>
      <c r="E1242" s="210"/>
      <c r="F1242" s="210"/>
      <c r="G1242" s="210"/>
      <c r="H1242" s="41">
        <f>SUM(Tabla132112414[[#This Row],[PRIMER TRIMESTRE]:[CUARTO TRIMESTRE]])</f>
        <v>0</v>
      </c>
      <c r="I1242" s="72">
        <v>8500</v>
      </c>
      <c r="J1242" s="17">
        <f t="shared" si="32"/>
        <v>0</v>
      </c>
      <c r="K1242" s="17"/>
      <c r="L1242" s="16" t="s">
        <v>18</v>
      </c>
      <c r="M1242" s="16" t="s">
        <v>22</v>
      </c>
      <c r="N1242" s="39" t="s">
        <v>418</v>
      </c>
    </row>
    <row r="1243" spans="1:14" s="12" customFormat="1" ht="30.75" customHeight="1">
      <c r="A1243" s="178" t="s">
        <v>120</v>
      </c>
      <c r="B1243" s="80" t="s">
        <v>1421</v>
      </c>
      <c r="C1243" s="39" t="s">
        <v>417</v>
      </c>
      <c r="D1243" s="236"/>
      <c r="E1243" s="210"/>
      <c r="F1243" s="210"/>
      <c r="G1243" s="210"/>
      <c r="H1243" s="41">
        <f>SUM(Tabla132112414[[#This Row],[PRIMER TRIMESTRE]:[CUARTO TRIMESTRE]])</f>
        <v>0</v>
      </c>
      <c r="I1243" s="72">
        <v>3500</v>
      </c>
      <c r="J1243" s="17">
        <f t="shared" si="32"/>
        <v>0</v>
      </c>
      <c r="K1243" s="17"/>
      <c r="L1243" s="16" t="s">
        <v>18</v>
      </c>
      <c r="M1243" s="16" t="s">
        <v>22</v>
      </c>
      <c r="N1243" s="39" t="s">
        <v>418</v>
      </c>
    </row>
    <row r="1244" spans="1:14" s="12" customFormat="1" ht="30.75" customHeight="1">
      <c r="A1244" s="179" t="s">
        <v>120</v>
      </c>
      <c r="B1244" s="76"/>
      <c r="C1244" s="42"/>
      <c r="D1244" s="237"/>
      <c r="E1244" s="237"/>
      <c r="F1244" s="237"/>
      <c r="G1244" s="237"/>
      <c r="H1244" s="237"/>
      <c r="I1244" s="24"/>
      <c r="J1244" s="24"/>
      <c r="K1244" s="25">
        <f>SUM(J1105:J1243)</f>
        <v>231063.93</v>
      </c>
      <c r="L1244" s="23"/>
      <c r="M1244" s="23"/>
      <c r="N1244" s="42"/>
    </row>
    <row r="1245" spans="1:14" s="12" customFormat="1" ht="30.75" customHeight="1">
      <c r="A1245" s="178" t="s">
        <v>121</v>
      </c>
      <c r="B1245" s="75" t="s">
        <v>273</v>
      </c>
      <c r="C1245" s="39" t="s">
        <v>17</v>
      </c>
      <c r="D1245" s="236"/>
      <c r="E1245" s="210"/>
      <c r="F1245" s="210"/>
      <c r="G1245" s="210"/>
      <c r="H1245" s="40">
        <f>SUM(Tabla132112414[[#This Row],[PRIMER TRIMESTRE]:[CUARTO TRIMESTRE]])</f>
        <v>0</v>
      </c>
      <c r="I1245" s="17">
        <v>5684</v>
      </c>
      <c r="J1245" s="17">
        <f>+Tabla132112414[[#This Row],[CANTIDAD TOTAL]]*Tabla132112414[[#This Row],[PRECIO UNITARIO ESTIMADO]]</f>
        <v>0</v>
      </c>
      <c r="K1245" s="17"/>
      <c r="L1245" s="16" t="s">
        <v>18</v>
      </c>
      <c r="M1245" s="16" t="s">
        <v>22</v>
      </c>
      <c r="N1245" s="39" t="s">
        <v>418</v>
      </c>
    </row>
    <row r="1246" spans="1:14" s="12" customFormat="1" ht="30.75" customHeight="1">
      <c r="A1246" s="178" t="s">
        <v>121</v>
      </c>
      <c r="B1246" s="75" t="s">
        <v>1757</v>
      </c>
      <c r="C1246" s="39" t="s">
        <v>17</v>
      </c>
      <c r="D1246" s="236"/>
      <c r="E1246" s="210"/>
      <c r="F1246" s="210"/>
      <c r="G1246" s="210"/>
      <c r="H1246" s="40">
        <f>Tabla132112414[[#This Row],[CUARTO TRIMESTRE]]+Tabla132112414[[#This Row],[TERCER TRIMESTRE]]+Tabla132112414[[#This Row],[SEGUNDO TRIMESTRE]]+Tabla132112414[[#This Row],[PRIMER TRIMESTRE]]</f>
        <v>0</v>
      </c>
      <c r="I1246" s="17">
        <v>0</v>
      </c>
      <c r="J1246" s="17">
        <v>0</v>
      </c>
      <c r="K1246" s="17"/>
      <c r="L1246" s="16"/>
      <c r="M1246" s="16"/>
      <c r="N1246" s="39"/>
    </row>
    <row r="1247" spans="1:14" s="12" customFormat="1" ht="30.75" customHeight="1">
      <c r="A1247" s="178" t="s">
        <v>121</v>
      </c>
      <c r="B1247" s="75" t="s">
        <v>1282</v>
      </c>
      <c r="C1247" s="39" t="s">
        <v>17</v>
      </c>
      <c r="D1247" s="236"/>
      <c r="E1247" s="210"/>
      <c r="F1247" s="210"/>
      <c r="G1247" s="210"/>
      <c r="H1247" s="406">
        <f>SUM(Tabla132112414[[#This Row],[PRIMER TRIMESTRE]:[CUARTO TRIMESTRE]])</f>
        <v>0</v>
      </c>
      <c r="I1247" s="17">
        <v>25000</v>
      </c>
      <c r="J1247" s="17">
        <f>+H1247*I1247</f>
        <v>0</v>
      </c>
      <c r="K1247" s="17"/>
      <c r="L1247" s="16" t="s">
        <v>18</v>
      </c>
      <c r="M1247" s="16" t="s">
        <v>22</v>
      </c>
      <c r="N1247" s="39" t="s">
        <v>418</v>
      </c>
    </row>
    <row r="1248" spans="1:14" s="26" customFormat="1" ht="30.75" customHeight="1">
      <c r="A1248" s="178" t="s">
        <v>121</v>
      </c>
      <c r="B1248" s="75" t="s">
        <v>1283</v>
      </c>
      <c r="C1248" s="39" t="s">
        <v>17</v>
      </c>
      <c r="D1248" s="236"/>
      <c r="E1248" s="210"/>
      <c r="F1248" s="210"/>
      <c r="G1248" s="210"/>
      <c r="H1248" s="406">
        <f>SUM(Tabla132112414[[#This Row],[PRIMER TRIMESTRE]:[CUARTO TRIMESTRE]])</f>
        <v>0</v>
      </c>
      <c r="I1248" s="17">
        <f>16685940/4</f>
        <v>4171485</v>
      </c>
      <c r="J1248" s="17">
        <f>+H1248*I1248</f>
        <v>0</v>
      </c>
      <c r="K1248" s="17"/>
      <c r="L1248" s="16" t="s">
        <v>18</v>
      </c>
      <c r="M1248" s="16" t="s">
        <v>22</v>
      </c>
      <c r="N1248" s="39" t="s">
        <v>418</v>
      </c>
    </row>
    <row r="1249" spans="1:14" s="12" customFormat="1" ht="30.75" customHeight="1">
      <c r="A1249" s="178" t="s">
        <v>121</v>
      </c>
      <c r="B1249" s="75" t="s">
        <v>1284</v>
      </c>
      <c r="C1249" s="39" t="s">
        <v>17</v>
      </c>
      <c r="D1249" s="236"/>
      <c r="E1249" s="210"/>
      <c r="F1249" s="210"/>
      <c r="G1249" s="210"/>
      <c r="H1249" s="406">
        <f>SUM(Tabla132112414[[#This Row],[PRIMER TRIMESTRE]:[CUARTO TRIMESTRE]])</f>
        <v>0</v>
      </c>
      <c r="I1249" s="17">
        <v>3500</v>
      </c>
      <c r="J1249" s="17">
        <f>+H1249*I1249</f>
        <v>0</v>
      </c>
      <c r="K1249" s="17"/>
      <c r="L1249" s="16" t="s">
        <v>18</v>
      </c>
      <c r="M1249" s="16" t="s">
        <v>22</v>
      </c>
      <c r="N1249" s="39" t="s">
        <v>418</v>
      </c>
    </row>
    <row r="1250" spans="1:14" s="12" customFormat="1" ht="30.75" customHeight="1">
      <c r="A1250" s="179" t="s">
        <v>121</v>
      </c>
      <c r="B1250" s="76"/>
      <c r="C1250" s="42"/>
      <c r="D1250" s="237"/>
      <c r="E1250" s="237"/>
      <c r="F1250" s="237"/>
      <c r="G1250" s="237"/>
      <c r="H1250" s="43"/>
      <c r="I1250" s="24"/>
      <c r="J1250" s="24"/>
      <c r="K1250" s="25">
        <f>SUM(J1245:J1249)</f>
        <v>0</v>
      </c>
      <c r="L1250" s="23"/>
      <c r="M1250" s="23"/>
      <c r="N1250" s="42"/>
    </row>
    <row r="1251" spans="1:14" s="12" customFormat="1" ht="30.75" customHeight="1">
      <c r="A1251" s="180" t="s">
        <v>122</v>
      </c>
      <c r="B1251" s="77" t="s">
        <v>274</v>
      </c>
      <c r="C1251" s="70" t="s">
        <v>17</v>
      </c>
      <c r="D1251" s="210"/>
      <c r="E1251" s="210"/>
      <c r="F1251" s="210"/>
      <c r="G1251" s="210"/>
      <c r="H1251" s="406">
        <f>SUM(Tabla132112414[[#This Row],[PRIMER TRIMESTRE]:[CUARTO TRIMESTRE]])</f>
        <v>0</v>
      </c>
      <c r="I1251" s="17">
        <v>133.47</v>
      </c>
      <c r="J1251" s="17">
        <f>+Tabla132112414[[#This Row],[CANTIDAD TOTAL]]*Tabla132112414[[#This Row],[PRECIO UNITARIO ESTIMADO]]</f>
        <v>0</v>
      </c>
      <c r="K1251" s="17"/>
      <c r="L1251" s="16" t="s">
        <v>27</v>
      </c>
      <c r="M1251" s="16" t="s">
        <v>22</v>
      </c>
      <c r="N1251" s="39" t="s">
        <v>418</v>
      </c>
    </row>
    <row r="1252" spans="1:14" s="12" customFormat="1" ht="30.75" customHeight="1">
      <c r="A1252" s="180" t="s">
        <v>122</v>
      </c>
      <c r="B1252" s="77" t="s">
        <v>275</v>
      </c>
      <c r="C1252" s="70" t="s">
        <v>17</v>
      </c>
      <c r="D1252" s="210"/>
      <c r="E1252" s="210"/>
      <c r="F1252" s="210"/>
      <c r="G1252" s="210"/>
      <c r="H1252" s="406">
        <f>SUM(Tabla132112414[[#This Row],[PRIMER TRIMESTRE]:[CUARTO TRIMESTRE]])</f>
        <v>0</v>
      </c>
      <c r="I1252" s="17">
        <v>115.24</v>
      </c>
      <c r="J1252" s="17">
        <f>+Tabla132112414[[#This Row],[CANTIDAD TOTAL]]*Tabla132112414[[#This Row],[PRECIO UNITARIO ESTIMADO]]</f>
        <v>0</v>
      </c>
      <c r="K1252" s="17"/>
      <c r="L1252" s="16" t="s">
        <v>27</v>
      </c>
      <c r="M1252" s="16" t="s">
        <v>22</v>
      </c>
      <c r="N1252" s="39" t="s">
        <v>418</v>
      </c>
    </row>
    <row r="1253" spans="1:14" s="12" customFormat="1" ht="30.75" customHeight="1">
      <c r="A1253" s="180" t="s">
        <v>122</v>
      </c>
      <c r="B1253" s="77" t="s">
        <v>125</v>
      </c>
      <c r="C1253" s="70" t="s">
        <v>17</v>
      </c>
      <c r="D1253" s="210"/>
      <c r="E1253" s="210"/>
      <c r="F1253" s="210"/>
      <c r="G1253" s="210"/>
      <c r="H1253" s="406">
        <f>SUM(Tabla132112414[[#This Row],[PRIMER TRIMESTRE]:[CUARTO TRIMESTRE]])</f>
        <v>0</v>
      </c>
      <c r="I1253" s="17">
        <v>1624</v>
      </c>
      <c r="J1253" s="17">
        <f>+Tabla132112414[[#This Row],[CANTIDAD TOTAL]]*Tabla132112414[[#This Row],[PRECIO UNITARIO ESTIMADO]]</f>
        <v>0</v>
      </c>
      <c r="K1253" s="17"/>
      <c r="L1253" s="16" t="s">
        <v>27</v>
      </c>
      <c r="M1253" s="16" t="s">
        <v>22</v>
      </c>
      <c r="N1253" s="39" t="s">
        <v>418</v>
      </c>
    </row>
    <row r="1254" spans="1:14" s="12" customFormat="1" ht="30.75" customHeight="1">
      <c r="A1254" s="180" t="s">
        <v>1588</v>
      </c>
      <c r="B1254" s="77" t="s">
        <v>1587</v>
      </c>
      <c r="C1254" s="70" t="s">
        <v>17</v>
      </c>
      <c r="D1254" s="210"/>
      <c r="E1254" s="210"/>
      <c r="F1254" s="210"/>
      <c r="G1254" s="210"/>
      <c r="H1254" s="210">
        <f>SUM(Tabla132112414[[#This Row],[PRIMER TRIMESTRE]:[CUARTO TRIMESTRE]])</f>
        <v>0</v>
      </c>
      <c r="I1254" s="17">
        <v>3500</v>
      </c>
      <c r="J1254" s="17">
        <f>+H1254*I1254</f>
        <v>0</v>
      </c>
      <c r="K1254" s="17"/>
      <c r="L1254" s="16" t="s">
        <v>15</v>
      </c>
      <c r="M1254" s="16" t="s">
        <v>22</v>
      </c>
      <c r="N1254" s="39" t="s">
        <v>418</v>
      </c>
    </row>
    <row r="1255" spans="1:14" s="12" customFormat="1" ht="30.75" customHeight="1">
      <c r="A1255" s="180" t="s">
        <v>122</v>
      </c>
      <c r="B1255" s="77" t="s">
        <v>276</v>
      </c>
      <c r="C1255" s="70" t="s">
        <v>17</v>
      </c>
      <c r="D1255" s="210"/>
      <c r="E1255" s="210"/>
      <c r="F1255" s="210"/>
      <c r="G1255" s="210"/>
      <c r="H1255" s="406">
        <f>SUM(Tabla132112414[[#This Row],[PRIMER TRIMESTRE]:[CUARTO TRIMESTRE]])</f>
        <v>0</v>
      </c>
      <c r="I1255" s="17">
        <v>101.68</v>
      </c>
      <c r="J1255" s="17">
        <f>+Tabla132112414[[#This Row],[CANTIDAD TOTAL]]*Tabla132112414[[#This Row],[PRECIO UNITARIO ESTIMADO]]</f>
        <v>0</v>
      </c>
      <c r="K1255" s="17"/>
      <c r="L1255" s="16" t="s">
        <v>27</v>
      </c>
      <c r="M1255" s="16" t="s">
        <v>22</v>
      </c>
      <c r="N1255" s="39" t="s">
        <v>418</v>
      </c>
    </row>
    <row r="1256" spans="1:14" s="12" customFormat="1" ht="30.75" customHeight="1">
      <c r="A1256" s="180" t="s">
        <v>122</v>
      </c>
      <c r="B1256" s="77" t="s">
        <v>277</v>
      </c>
      <c r="C1256" s="70" t="s">
        <v>17</v>
      </c>
      <c r="D1256" s="210"/>
      <c r="E1256" s="210"/>
      <c r="F1256" s="210"/>
      <c r="G1256" s="210"/>
      <c r="H1256" s="406">
        <f>SUM(Tabla132112414[[#This Row],[PRIMER TRIMESTRE]:[CUARTO TRIMESTRE]])</f>
        <v>0</v>
      </c>
      <c r="I1256" s="17">
        <v>27.14</v>
      </c>
      <c r="J1256" s="17">
        <f>+Tabla132112414[[#This Row],[CANTIDAD TOTAL]]*Tabla132112414[[#This Row],[PRECIO UNITARIO ESTIMADO]]</f>
        <v>0</v>
      </c>
      <c r="K1256" s="17"/>
      <c r="L1256" s="16" t="s">
        <v>27</v>
      </c>
      <c r="M1256" s="16" t="s">
        <v>22</v>
      </c>
      <c r="N1256" s="39" t="s">
        <v>418</v>
      </c>
    </row>
    <row r="1257" spans="1:14" s="12" customFormat="1" ht="30.75" customHeight="1">
      <c r="A1257" s="180" t="s">
        <v>122</v>
      </c>
      <c r="B1257" s="77" t="s">
        <v>327</v>
      </c>
      <c r="C1257" s="70" t="s">
        <v>102</v>
      </c>
      <c r="D1257" s="210"/>
      <c r="E1257" s="210"/>
      <c r="F1257" s="210"/>
      <c r="G1257" s="210"/>
      <c r="H1257" s="406">
        <f>SUM(Tabla132112414[[#This Row],[PRIMER TRIMESTRE]:[CUARTO TRIMESTRE]])</f>
        <v>0</v>
      </c>
      <c r="I1257" s="17">
        <f>43660/209</f>
        <v>208.89952153110048</v>
      </c>
      <c r="J1257" s="17">
        <f>+Tabla132112414[[#This Row],[CANTIDAD TOTAL]]*Tabla132112414[[#This Row],[PRECIO UNITARIO ESTIMADO]]</f>
        <v>0</v>
      </c>
      <c r="K1257" s="17"/>
      <c r="L1257" s="16" t="s">
        <v>27</v>
      </c>
      <c r="M1257" s="16" t="s">
        <v>22</v>
      </c>
      <c r="N1257" s="39" t="s">
        <v>418</v>
      </c>
    </row>
    <row r="1258" spans="1:14" s="12" customFormat="1" ht="30.75" customHeight="1">
      <c r="A1258" s="180" t="s">
        <v>122</v>
      </c>
      <c r="B1258" s="77" t="s">
        <v>1269</v>
      </c>
      <c r="C1258" s="70" t="s">
        <v>17</v>
      </c>
      <c r="D1258" s="210"/>
      <c r="E1258" s="210"/>
      <c r="F1258" s="210"/>
      <c r="G1258" s="210"/>
      <c r="H1258" s="406">
        <f>SUM(Tabla132112414[[#This Row],[PRIMER TRIMESTRE]:[CUARTO TRIMESTRE]])</f>
        <v>0</v>
      </c>
      <c r="I1258" s="17">
        <v>350</v>
      </c>
      <c r="J1258" s="17">
        <f>+H1258*I1258</f>
        <v>0</v>
      </c>
      <c r="K1258" s="17"/>
      <c r="L1258" s="16" t="s">
        <v>27</v>
      </c>
      <c r="M1258" s="16" t="s">
        <v>22</v>
      </c>
      <c r="N1258" s="39" t="s">
        <v>418</v>
      </c>
    </row>
    <row r="1259" spans="1:14" s="12" customFormat="1" ht="30.75" customHeight="1">
      <c r="A1259" s="180" t="s">
        <v>122</v>
      </c>
      <c r="B1259" s="77" t="s">
        <v>328</v>
      </c>
      <c r="C1259" s="70" t="s">
        <v>17</v>
      </c>
      <c r="D1259" s="210"/>
      <c r="E1259" s="210"/>
      <c r="F1259" s="210"/>
      <c r="G1259" s="210"/>
      <c r="H1259" s="406">
        <f>SUM(Tabla132112414[[#This Row],[PRIMER TRIMESTRE]:[CUARTO TRIMESTRE]])</f>
        <v>0</v>
      </c>
      <c r="I1259" s="17">
        <v>12626</v>
      </c>
      <c r="J1259" s="17">
        <f>+Tabla132112414[[#This Row],[CANTIDAD TOTAL]]*Tabla132112414[[#This Row],[PRECIO UNITARIO ESTIMADO]]</f>
        <v>0</v>
      </c>
      <c r="K1259" s="17"/>
      <c r="L1259" s="16" t="s">
        <v>27</v>
      </c>
      <c r="M1259" s="16" t="s">
        <v>22</v>
      </c>
      <c r="N1259" s="39" t="s">
        <v>418</v>
      </c>
    </row>
    <row r="1260" spans="1:14" s="26" customFormat="1" ht="30.75" customHeight="1">
      <c r="A1260" s="180" t="s">
        <v>122</v>
      </c>
      <c r="B1260" s="77" t="s">
        <v>329</v>
      </c>
      <c r="C1260" s="70" t="s">
        <v>17</v>
      </c>
      <c r="D1260" s="210">
        <v>1</v>
      </c>
      <c r="E1260" s="210"/>
      <c r="F1260" s="210"/>
      <c r="G1260" s="210"/>
      <c r="H1260" s="406">
        <f>SUM(Tabla132112414[[#This Row],[PRIMER TRIMESTRE]:[CUARTO TRIMESTRE]])</f>
        <v>1</v>
      </c>
      <c r="I1260" s="17">
        <f>1382216.68/118</f>
        <v>11713.700677966101</v>
      </c>
      <c r="J1260" s="17">
        <f>+Tabla132112414[[#This Row],[CANTIDAD TOTAL]]*Tabla132112414[[#This Row],[PRECIO UNITARIO ESTIMADO]]</f>
        <v>11713.700677966101</v>
      </c>
      <c r="K1260" s="17"/>
      <c r="L1260" s="16" t="s">
        <v>27</v>
      </c>
      <c r="M1260" s="16" t="s">
        <v>22</v>
      </c>
      <c r="N1260" s="39" t="s">
        <v>418</v>
      </c>
    </row>
    <row r="1261" spans="1:14" s="12" customFormat="1" ht="30.75" customHeight="1">
      <c r="A1261" s="180" t="s">
        <v>122</v>
      </c>
      <c r="B1261" s="77" t="s">
        <v>330</v>
      </c>
      <c r="C1261" s="70" t="s">
        <v>17</v>
      </c>
      <c r="D1261" s="210"/>
      <c r="E1261" s="210"/>
      <c r="F1261" s="210"/>
      <c r="G1261" s="210"/>
      <c r="H1261" s="406">
        <f>SUM(Tabla132112414[[#This Row],[PRIMER TRIMESTRE]:[CUARTO TRIMESTRE]])</f>
        <v>0</v>
      </c>
      <c r="I1261" s="17">
        <v>413</v>
      </c>
      <c r="J1261" s="17">
        <f>+Tabla132112414[[#This Row],[CANTIDAD TOTAL]]*Tabla132112414[[#This Row],[PRECIO UNITARIO ESTIMADO]]</f>
        <v>0</v>
      </c>
      <c r="K1261" s="17"/>
      <c r="L1261" s="16" t="s">
        <v>27</v>
      </c>
      <c r="M1261" s="16" t="s">
        <v>22</v>
      </c>
      <c r="N1261" s="39" t="s">
        <v>418</v>
      </c>
    </row>
    <row r="1262" spans="1:14" s="12" customFormat="1" ht="30.75" customHeight="1">
      <c r="A1262" s="179" t="s">
        <v>122</v>
      </c>
      <c r="B1262" s="76"/>
      <c r="C1262" s="42"/>
      <c r="D1262" s="237"/>
      <c r="E1262" s="237"/>
      <c r="F1262" s="237"/>
      <c r="G1262" s="237"/>
      <c r="H1262" s="43"/>
      <c r="I1262" s="24"/>
      <c r="J1262" s="24"/>
      <c r="K1262" s="25">
        <f>SUM(J1251:J1261)</f>
        <v>11713.700677966101</v>
      </c>
      <c r="L1262" s="23"/>
      <c r="M1262" s="23"/>
      <c r="N1262" s="42"/>
    </row>
    <row r="1263" spans="1:14" s="12" customFormat="1" ht="30.75" customHeight="1">
      <c r="A1263" s="178" t="s">
        <v>278</v>
      </c>
      <c r="B1263" s="75" t="s">
        <v>279</v>
      </c>
      <c r="C1263" s="39" t="s">
        <v>17</v>
      </c>
      <c r="D1263" s="236"/>
      <c r="E1263" s="236"/>
      <c r="F1263" s="236"/>
      <c r="G1263" s="236"/>
      <c r="H1263" s="40">
        <f>SUM(Tabla132112414[[#This Row],[PRIMER TRIMESTRE]:[CUARTO TRIMESTRE]])</f>
        <v>0</v>
      </c>
      <c r="I1263" s="17">
        <v>259.68</v>
      </c>
      <c r="J1263" s="17">
        <f>+Tabla132112414[[#This Row],[CANTIDAD TOTAL]]*Tabla132112414[[#This Row],[PRECIO UNITARIO ESTIMADO]]</f>
        <v>0</v>
      </c>
      <c r="K1263" s="17"/>
      <c r="L1263" s="16" t="s">
        <v>27</v>
      </c>
      <c r="M1263" s="16" t="s">
        <v>22</v>
      </c>
      <c r="N1263" s="39" t="s">
        <v>342</v>
      </c>
    </row>
    <row r="1264" spans="1:14" s="12" customFormat="1" ht="30.75" customHeight="1">
      <c r="A1264" s="178" t="s">
        <v>278</v>
      </c>
      <c r="B1264" s="75" t="s">
        <v>137</v>
      </c>
      <c r="C1264" s="39" t="s">
        <v>17</v>
      </c>
      <c r="D1264" s="236"/>
      <c r="E1264" s="236"/>
      <c r="F1264" s="236"/>
      <c r="G1264" s="236"/>
      <c r="H1264" s="40">
        <f>SUM(Tabla132112414[[#This Row],[PRIMER TRIMESTRE]:[CUARTO TRIMESTRE]])</f>
        <v>0</v>
      </c>
      <c r="I1264" s="17">
        <v>220.12</v>
      </c>
      <c r="J1264" s="17">
        <f>+Tabla132112414[[#This Row],[CANTIDAD TOTAL]]*Tabla132112414[[#This Row],[PRECIO UNITARIO ESTIMADO]]</f>
        <v>0</v>
      </c>
      <c r="K1264" s="17"/>
      <c r="L1264" s="16" t="s">
        <v>27</v>
      </c>
      <c r="M1264" s="16" t="s">
        <v>22</v>
      </c>
      <c r="N1264" s="39" t="s">
        <v>418</v>
      </c>
    </row>
    <row r="1265" spans="1:14" s="12" customFormat="1" ht="30.75" customHeight="1">
      <c r="A1265" s="178" t="s">
        <v>278</v>
      </c>
      <c r="B1265" s="75" t="s">
        <v>280</v>
      </c>
      <c r="C1265" s="39" t="s">
        <v>17</v>
      </c>
      <c r="D1265" s="236">
        <v>1</v>
      </c>
      <c r="E1265" s="236"/>
      <c r="F1265" s="236"/>
      <c r="G1265" s="236"/>
      <c r="H1265" s="40">
        <f>SUM(Tabla132112414[[#This Row],[PRIMER TRIMESTRE]:[CUARTO TRIMESTRE]])</f>
        <v>1</v>
      </c>
      <c r="I1265" s="17">
        <v>150</v>
      </c>
      <c r="J1265" s="17">
        <f>+Tabla132112414[[#This Row],[CANTIDAD TOTAL]]*Tabla132112414[[#This Row],[PRECIO UNITARIO ESTIMADO]]</f>
        <v>150</v>
      </c>
      <c r="K1265" s="17"/>
      <c r="L1265" s="16" t="s">
        <v>27</v>
      </c>
      <c r="M1265" s="16" t="s">
        <v>22</v>
      </c>
      <c r="N1265" s="39" t="s">
        <v>342</v>
      </c>
    </row>
    <row r="1266" spans="1:14" s="26" customFormat="1" ht="30.75" customHeight="1">
      <c r="A1266" s="178" t="s">
        <v>278</v>
      </c>
      <c r="B1266" s="75" t="s">
        <v>566</v>
      </c>
      <c r="C1266" s="39" t="s">
        <v>17</v>
      </c>
      <c r="D1266" s="236"/>
      <c r="E1266" s="236"/>
      <c r="F1266" s="236"/>
      <c r="G1266" s="236"/>
      <c r="H1266" s="40">
        <f>SUM(Tabla132112414[[#This Row],[PRIMER TRIMESTRE]:[CUARTO TRIMESTRE]])</f>
        <v>0</v>
      </c>
      <c r="I1266" s="17">
        <v>140</v>
      </c>
      <c r="J1266" s="17">
        <f>+Tabla132112414[[#This Row],[CANTIDAD TOTAL]]*Tabla132112414[[#This Row],[PRECIO UNITARIO ESTIMADO]]</f>
        <v>0</v>
      </c>
      <c r="K1266" s="17"/>
      <c r="L1266" s="16" t="s">
        <v>27</v>
      </c>
      <c r="M1266" s="16" t="s">
        <v>22</v>
      </c>
      <c r="N1266" s="39" t="s">
        <v>342</v>
      </c>
    </row>
    <row r="1267" spans="1:14" s="12" customFormat="1" ht="30.75" customHeight="1">
      <c r="A1267" s="178" t="s">
        <v>278</v>
      </c>
      <c r="B1267" s="75" t="s">
        <v>922</v>
      </c>
      <c r="C1267" s="39" t="s">
        <v>17</v>
      </c>
      <c r="D1267" s="236"/>
      <c r="E1267" s="236"/>
      <c r="F1267" s="236"/>
      <c r="G1267" s="236"/>
      <c r="H1267" s="40">
        <f>SUM(Tabla132112414[[#This Row],[PRIMER TRIMESTRE]:[CUARTO TRIMESTRE]])</f>
        <v>0</v>
      </c>
      <c r="I1267" s="17">
        <v>21895</v>
      </c>
      <c r="J1267" s="17">
        <f>+H1267*I1267</f>
        <v>0</v>
      </c>
      <c r="K1267" s="17"/>
      <c r="L1267" s="16" t="s">
        <v>27</v>
      </c>
      <c r="M1267" s="16" t="s">
        <v>22</v>
      </c>
      <c r="N1267" s="39" t="s">
        <v>342</v>
      </c>
    </row>
    <row r="1268" spans="1:14" s="12" customFormat="1" ht="30.75" customHeight="1">
      <c r="A1268" s="179" t="s">
        <v>278</v>
      </c>
      <c r="B1268" s="76"/>
      <c r="C1268" s="42"/>
      <c r="D1268" s="237"/>
      <c r="E1268" s="237"/>
      <c r="F1268" s="237"/>
      <c r="G1268" s="237"/>
      <c r="H1268" s="43"/>
      <c r="I1268" s="24"/>
      <c r="J1268" s="24"/>
      <c r="K1268" s="25">
        <f>SUM(J1263:J1267)</f>
        <v>150</v>
      </c>
      <c r="L1268" s="23" t="s">
        <v>27</v>
      </c>
      <c r="M1268" s="23"/>
      <c r="N1268" s="42"/>
    </row>
    <row r="1269" spans="1:14" s="12" customFormat="1" ht="30.75" customHeight="1">
      <c r="A1269" s="178" t="s">
        <v>124</v>
      </c>
      <c r="B1269" s="75" t="s">
        <v>281</v>
      </c>
      <c r="C1269" s="39" t="s">
        <v>102</v>
      </c>
      <c r="D1269" s="236"/>
      <c r="E1269" s="236"/>
      <c r="F1269" s="236"/>
      <c r="G1269" s="236"/>
      <c r="H1269" s="40">
        <f>SUM(Tabla132112414[[#This Row],[PRIMER TRIMESTRE]:[CUARTO TRIMESTRE]])</f>
        <v>0</v>
      </c>
      <c r="I1269" s="17">
        <v>191.84</v>
      </c>
      <c r="J1269" s="17">
        <f>+Tabla132112414[[#This Row],[CANTIDAD TOTAL]]*Tabla132112414[[#This Row],[PRECIO UNITARIO ESTIMADO]]</f>
        <v>0</v>
      </c>
      <c r="K1269" s="17"/>
      <c r="L1269" s="16" t="s">
        <v>27</v>
      </c>
      <c r="M1269" s="16" t="s">
        <v>22</v>
      </c>
      <c r="N1269" s="39" t="s">
        <v>342</v>
      </c>
    </row>
    <row r="1270" spans="1:14" s="12" customFormat="1" ht="30.75" customHeight="1">
      <c r="A1270" s="178" t="s">
        <v>124</v>
      </c>
      <c r="B1270" s="75" t="s">
        <v>282</v>
      </c>
      <c r="C1270" s="39" t="s">
        <v>69</v>
      </c>
      <c r="D1270" s="236"/>
      <c r="E1270" s="236"/>
      <c r="F1270" s="236"/>
      <c r="G1270" s="236"/>
      <c r="H1270" s="40">
        <f>SUM(Tabla132112414[[#This Row],[PRIMER TRIMESTRE]:[CUARTO TRIMESTRE]])</f>
        <v>0</v>
      </c>
      <c r="I1270" s="17">
        <v>83.78</v>
      </c>
      <c r="J1270" s="17">
        <f>+Tabla132112414[[#This Row],[CANTIDAD TOTAL]]*Tabla132112414[[#This Row],[PRECIO UNITARIO ESTIMADO]]</f>
        <v>0</v>
      </c>
      <c r="K1270" s="17"/>
      <c r="L1270" s="16" t="s">
        <v>27</v>
      </c>
      <c r="M1270" s="16" t="s">
        <v>22</v>
      </c>
      <c r="N1270" s="39" t="s">
        <v>342</v>
      </c>
    </row>
    <row r="1271" spans="1:14" s="12" customFormat="1" ht="30.75" customHeight="1">
      <c r="A1271" s="178" t="s">
        <v>124</v>
      </c>
      <c r="B1271" s="75" t="s">
        <v>283</v>
      </c>
      <c r="C1271" s="39" t="s">
        <v>17</v>
      </c>
      <c r="D1271" s="236"/>
      <c r="E1271" s="236"/>
      <c r="F1271" s="236"/>
      <c r="G1271" s="236"/>
      <c r="H1271" s="40">
        <f>SUM(Tabla132112414[[#This Row],[PRIMER TRIMESTRE]:[CUARTO TRIMESTRE]])</f>
        <v>0</v>
      </c>
      <c r="I1271" s="17">
        <v>82.94</v>
      </c>
      <c r="J1271" s="17">
        <f>+Tabla132112414[[#This Row],[CANTIDAD TOTAL]]*Tabla132112414[[#This Row],[PRECIO UNITARIO ESTIMADO]]</f>
        <v>0</v>
      </c>
      <c r="K1271" s="17"/>
      <c r="L1271" s="16" t="s">
        <v>27</v>
      </c>
      <c r="M1271" s="16" t="s">
        <v>22</v>
      </c>
      <c r="N1271" s="39" t="s">
        <v>342</v>
      </c>
    </row>
    <row r="1272" spans="1:14" s="12" customFormat="1" ht="30.75" customHeight="1">
      <c r="A1272" s="178" t="s">
        <v>124</v>
      </c>
      <c r="B1272" s="75" t="s">
        <v>284</v>
      </c>
      <c r="C1272" s="39" t="s">
        <v>17</v>
      </c>
      <c r="D1272" s="236"/>
      <c r="E1272" s="236"/>
      <c r="F1272" s="236"/>
      <c r="G1272" s="236"/>
      <c r="H1272" s="40">
        <f>SUM(Tabla132112414[[#This Row],[PRIMER TRIMESTRE]:[CUARTO TRIMESTRE]])</f>
        <v>0</v>
      </c>
      <c r="I1272" s="17">
        <v>26.67</v>
      </c>
      <c r="J1272" s="17">
        <f>+Tabla132112414[[#This Row],[CANTIDAD TOTAL]]*Tabla132112414[[#This Row],[PRECIO UNITARIO ESTIMADO]]</f>
        <v>0</v>
      </c>
      <c r="K1272" s="17"/>
      <c r="L1272" s="16" t="s">
        <v>27</v>
      </c>
      <c r="M1272" s="16" t="s">
        <v>22</v>
      </c>
      <c r="N1272" s="39" t="s">
        <v>342</v>
      </c>
    </row>
    <row r="1273" spans="1:14" s="12" customFormat="1" ht="30.75" customHeight="1">
      <c r="A1273" s="178" t="s">
        <v>124</v>
      </c>
      <c r="B1273" s="75" t="s">
        <v>726</v>
      </c>
      <c r="C1273" s="39" t="s">
        <v>17</v>
      </c>
      <c r="D1273" s="236"/>
      <c r="E1273" s="236"/>
      <c r="F1273" s="236"/>
      <c r="G1273" s="236"/>
      <c r="H1273" s="40">
        <f>SUM(Tabla132112414[[#This Row],[PRIMER TRIMESTRE]:[CUARTO TRIMESTRE]])</f>
        <v>0</v>
      </c>
      <c r="I1273" s="72">
        <v>50</v>
      </c>
      <c r="J1273" s="17">
        <f>+H1273*I1273</f>
        <v>0</v>
      </c>
      <c r="K1273" s="17"/>
      <c r="L1273" s="16" t="s">
        <v>27</v>
      </c>
      <c r="M1273" s="16" t="s">
        <v>22</v>
      </c>
      <c r="N1273" s="39" t="s">
        <v>342</v>
      </c>
    </row>
    <row r="1274" spans="1:14" s="12" customFormat="1" ht="30.75" customHeight="1">
      <c r="A1274" s="178" t="s">
        <v>124</v>
      </c>
      <c r="B1274" s="75" t="s">
        <v>285</v>
      </c>
      <c r="C1274" s="39" t="s">
        <v>33</v>
      </c>
      <c r="D1274" s="236"/>
      <c r="E1274" s="236"/>
      <c r="F1274" s="236"/>
      <c r="G1274" s="236"/>
      <c r="H1274" s="40">
        <f>SUM(Tabla132112414[[#This Row],[PRIMER TRIMESTRE]:[CUARTO TRIMESTRE]])</f>
        <v>0</v>
      </c>
      <c r="I1274" s="17">
        <v>115.94</v>
      </c>
      <c r="J1274" s="17">
        <f>+Tabla132112414[[#This Row],[CANTIDAD TOTAL]]*Tabla132112414[[#This Row],[PRECIO UNITARIO ESTIMADO]]</f>
        <v>0</v>
      </c>
      <c r="K1274" s="17"/>
      <c r="L1274" s="16" t="s">
        <v>27</v>
      </c>
      <c r="M1274" s="16" t="s">
        <v>22</v>
      </c>
      <c r="N1274" s="39" t="s">
        <v>342</v>
      </c>
    </row>
    <row r="1275" spans="1:14" s="12" customFormat="1" ht="30.75" customHeight="1">
      <c r="A1275" s="178" t="s">
        <v>124</v>
      </c>
      <c r="B1275" s="75" t="s">
        <v>287</v>
      </c>
      <c r="C1275" s="39" t="s">
        <v>288</v>
      </c>
      <c r="D1275" s="236"/>
      <c r="E1275" s="236"/>
      <c r="F1275" s="236"/>
      <c r="G1275" s="236"/>
      <c r="H1275" s="40">
        <f>SUM(Tabla132112414[[#This Row],[PRIMER TRIMESTRE]:[CUARTO TRIMESTRE]])</f>
        <v>0</v>
      </c>
      <c r="I1275" s="17">
        <v>255.31</v>
      </c>
      <c r="J1275" s="17">
        <f>+Tabla132112414[[#This Row],[CANTIDAD TOTAL]]*Tabla132112414[[#This Row],[PRECIO UNITARIO ESTIMADO]]</f>
        <v>0</v>
      </c>
      <c r="K1275" s="17"/>
      <c r="L1275" s="16" t="s">
        <v>27</v>
      </c>
      <c r="M1275" s="16" t="s">
        <v>22</v>
      </c>
      <c r="N1275" s="39" t="s">
        <v>342</v>
      </c>
    </row>
    <row r="1276" spans="1:14" s="12" customFormat="1" ht="30.75" customHeight="1">
      <c r="A1276" s="178" t="s">
        <v>124</v>
      </c>
      <c r="B1276" s="75" t="s">
        <v>293</v>
      </c>
      <c r="C1276" s="39" t="s">
        <v>290</v>
      </c>
      <c r="D1276" s="236"/>
      <c r="E1276" s="236"/>
      <c r="F1276" s="236"/>
      <c r="G1276" s="236"/>
      <c r="H1276" s="40">
        <f>SUM(Tabla132112414[[#This Row],[PRIMER TRIMESTRE]:[CUARTO TRIMESTRE]])</f>
        <v>0</v>
      </c>
      <c r="I1276" s="17">
        <v>160</v>
      </c>
      <c r="J1276" s="17">
        <f t="shared" ref="J1276:J1284" si="33">+H1276*I1276</f>
        <v>0</v>
      </c>
      <c r="K1276" s="17"/>
      <c r="L1276" s="16" t="s">
        <v>27</v>
      </c>
      <c r="M1276" s="16" t="s">
        <v>22</v>
      </c>
      <c r="N1276" s="39" t="s">
        <v>342</v>
      </c>
    </row>
    <row r="1277" spans="1:14" s="12" customFormat="1" ht="30.75" customHeight="1">
      <c r="A1277" s="178" t="s">
        <v>124</v>
      </c>
      <c r="B1277" s="75" t="s">
        <v>1411</v>
      </c>
      <c r="C1277" s="39" t="s">
        <v>290</v>
      </c>
      <c r="D1277" s="236">
        <v>1</v>
      </c>
      <c r="E1277" s="236"/>
      <c r="F1277" s="236">
        <v>1</v>
      </c>
      <c r="G1277" s="236"/>
      <c r="H1277" s="40">
        <f>SUM(Tabla132112414[[#This Row],[PRIMER TRIMESTRE]:[CUARTO TRIMESTRE]])</f>
        <v>2</v>
      </c>
      <c r="I1277" s="17">
        <v>450</v>
      </c>
      <c r="J1277" s="17">
        <f t="shared" si="33"/>
        <v>900</v>
      </c>
      <c r="K1277" s="17"/>
      <c r="L1277" s="16" t="s">
        <v>27</v>
      </c>
      <c r="M1277" s="16" t="s">
        <v>22</v>
      </c>
      <c r="N1277" s="39" t="s">
        <v>342</v>
      </c>
    </row>
    <row r="1278" spans="1:14" s="12" customFormat="1" ht="30.75" customHeight="1">
      <c r="A1278" s="178" t="s">
        <v>124</v>
      </c>
      <c r="B1278" s="75" t="s">
        <v>1451</v>
      </c>
      <c r="C1278" s="39" t="s">
        <v>17</v>
      </c>
      <c r="D1278" s="236"/>
      <c r="E1278" s="236"/>
      <c r="F1278" s="236"/>
      <c r="G1278" s="236"/>
      <c r="H1278" s="40">
        <f>SUM(Tabla132112414[[#This Row],[PRIMER TRIMESTRE]:[CUARTO TRIMESTRE]])</f>
        <v>0</v>
      </c>
      <c r="I1278" s="17">
        <v>469</v>
      </c>
      <c r="J1278" s="17">
        <f t="shared" si="33"/>
        <v>0</v>
      </c>
      <c r="K1278" s="17"/>
      <c r="L1278" s="16" t="s">
        <v>15</v>
      </c>
      <c r="M1278" s="16" t="s">
        <v>22</v>
      </c>
      <c r="N1278" s="39" t="s">
        <v>342</v>
      </c>
    </row>
    <row r="1279" spans="1:14" s="12" customFormat="1" ht="30.75" customHeight="1">
      <c r="A1279" s="178" t="s">
        <v>124</v>
      </c>
      <c r="B1279" s="75" t="s">
        <v>1906</v>
      </c>
      <c r="C1279" s="39" t="s">
        <v>17</v>
      </c>
      <c r="D1279" s="236"/>
      <c r="E1279" s="236"/>
      <c r="F1279" s="236"/>
      <c r="G1279" s="236"/>
      <c r="H1279" s="40">
        <v>0</v>
      </c>
      <c r="I1279" s="17">
        <v>250</v>
      </c>
      <c r="J1279" s="17">
        <f t="shared" si="33"/>
        <v>0</v>
      </c>
      <c r="K1279" s="17"/>
      <c r="L1279" s="16" t="s">
        <v>27</v>
      </c>
      <c r="M1279" s="16" t="s">
        <v>22</v>
      </c>
      <c r="N1279" s="39" t="s">
        <v>342</v>
      </c>
    </row>
    <row r="1280" spans="1:14" s="12" customFormat="1" ht="30.75" customHeight="1">
      <c r="A1280" s="178" t="s">
        <v>124</v>
      </c>
      <c r="B1280" s="75" t="s">
        <v>1907</v>
      </c>
      <c r="C1280" s="39" t="s">
        <v>17</v>
      </c>
      <c r="D1280" s="236"/>
      <c r="E1280" s="236"/>
      <c r="F1280" s="236"/>
      <c r="G1280" s="236"/>
      <c r="H1280" s="40">
        <v>0</v>
      </c>
      <c r="I1280" s="17">
        <v>0</v>
      </c>
      <c r="J1280" s="17">
        <v>0</v>
      </c>
      <c r="K1280" s="17"/>
      <c r="L1280" s="16" t="s">
        <v>27</v>
      </c>
      <c r="M1280" s="16" t="s">
        <v>22</v>
      </c>
      <c r="N1280" s="39" t="s">
        <v>342</v>
      </c>
    </row>
    <row r="1281" spans="1:14" s="12" customFormat="1" ht="30.75" customHeight="1">
      <c r="A1281" s="178" t="s">
        <v>124</v>
      </c>
      <c r="B1281" s="75" t="s">
        <v>1412</v>
      </c>
      <c r="C1281" s="39" t="s">
        <v>17</v>
      </c>
      <c r="D1281" s="236"/>
      <c r="E1281" s="236"/>
      <c r="F1281" s="236"/>
      <c r="G1281" s="236"/>
      <c r="H1281" s="40">
        <f>SUM(Tabla132112414[[#This Row],[PRIMER TRIMESTRE]:[CUARTO TRIMESTRE]])</f>
        <v>0</v>
      </c>
      <c r="I1281" s="17">
        <v>250</v>
      </c>
      <c r="J1281" s="17">
        <f t="shared" si="33"/>
        <v>0</v>
      </c>
      <c r="K1281" s="17"/>
      <c r="L1281" s="16" t="s">
        <v>27</v>
      </c>
      <c r="M1281" s="16" t="s">
        <v>22</v>
      </c>
      <c r="N1281" s="39" t="s">
        <v>342</v>
      </c>
    </row>
    <row r="1282" spans="1:14" s="12" customFormat="1" ht="30.75" customHeight="1">
      <c r="A1282" s="178" t="s">
        <v>124</v>
      </c>
      <c r="B1282" s="75" t="s">
        <v>1105</v>
      </c>
      <c r="C1282" s="39" t="s">
        <v>290</v>
      </c>
      <c r="D1282" s="236">
        <v>1</v>
      </c>
      <c r="E1282" s="236">
        <v>1</v>
      </c>
      <c r="F1282" s="236">
        <v>1</v>
      </c>
      <c r="G1282" s="236">
        <v>1</v>
      </c>
      <c r="H1282" s="40">
        <f>SUM(Tabla132112414[[#This Row],[PRIMER TRIMESTRE]:[CUARTO TRIMESTRE]])</f>
        <v>4</v>
      </c>
      <c r="I1282" s="17">
        <v>250</v>
      </c>
      <c r="J1282" s="17">
        <f t="shared" si="33"/>
        <v>1000</v>
      </c>
      <c r="K1282" s="17"/>
      <c r="L1282" s="16" t="s">
        <v>27</v>
      </c>
      <c r="M1282" s="16" t="s">
        <v>22</v>
      </c>
      <c r="N1282" s="39" t="s">
        <v>342</v>
      </c>
    </row>
    <row r="1283" spans="1:14" s="12" customFormat="1" ht="30.75" customHeight="1">
      <c r="A1283" s="178" t="s">
        <v>124</v>
      </c>
      <c r="B1283" s="75" t="s">
        <v>1097</v>
      </c>
      <c r="C1283" s="39" t="s">
        <v>1067</v>
      </c>
      <c r="D1283" s="236"/>
      <c r="E1283" s="236"/>
      <c r="F1283" s="236"/>
      <c r="G1283" s="236"/>
      <c r="H1283" s="40">
        <f>SUM(Tabla132112414[[#This Row],[PRIMER TRIMESTRE]:[CUARTO TRIMESTRE]])</f>
        <v>0</v>
      </c>
      <c r="I1283" s="17">
        <v>53</v>
      </c>
      <c r="J1283" s="17">
        <f t="shared" si="33"/>
        <v>0</v>
      </c>
      <c r="K1283" s="17"/>
      <c r="L1283" s="16" t="s">
        <v>27</v>
      </c>
      <c r="M1283" s="16" t="s">
        <v>22</v>
      </c>
      <c r="N1283" s="39" t="s">
        <v>342</v>
      </c>
    </row>
    <row r="1284" spans="1:14" s="12" customFormat="1" ht="30.75" customHeight="1">
      <c r="A1284" s="178" t="s">
        <v>124</v>
      </c>
      <c r="B1284" s="75" t="s">
        <v>1413</v>
      </c>
      <c r="C1284" s="39" t="s">
        <v>1414</v>
      </c>
      <c r="D1284" s="236"/>
      <c r="E1284" s="236"/>
      <c r="F1284" s="236"/>
      <c r="G1284" s="236"/>
      <c r="H1284" s="40">
        <f>SUM(Tabla132112414[[#This Row],[PRIMER TRIMESTRE]:[CUARTO TRIMESTRE]])</f>
        <v>0</v>
      </c>
      <c r="I1284" s="17">
        <v>450</v>
      </c>
      <c r="J1284" s="17">
        <f t="shared" si="33"/>
        <v>0</v>
      </c>
      <c r="K1284" s="17"/>
      <c r="L1284" s="16" t="s">
        <v>27</v>
      </c>
      <c r="M1284" s="16" t="s">
        <v>22</v>
      </c>
      <c r="N1284" s="39" t="s">
        <v>342</v>
      </c>
    </row>
    <row r="1285" spans="1:14" s="12" customFormat="1" ht="30.75" customHeight="1">
      <c r="A1285" s="178" t="s">
        <v>124</v>
      </c>
      <c r="B1285" s="75" t="s">
        <v>291</v>
      </c>
      <c r="C1285" s="39" t="s">
        <v>290</v>
      </c>
      <c r="D1285" s="236"/>
      <c r="E1285" s="236"/>
      <c r="F1285" s="236"/>
      <c r="G1285" s="236"/>
      <c r="H1285" s="40">
        <f>SUM(Tabla132112414[[#This Row],[PRIMER TRIMESTRE]:[CUARTO TRIMESTRE]])</f>
        <v>0</v>
      </c>
      <c r="I1285" s="17">
        <v>121.8</v>
      </c>
      <c r="J1285" s="17">
        <f>+Tabla132112414[[#This Row],[CANTIDAD TOTAL]]*Tabla132112414[[#This Row],[PRECIO UNITARIO ESTIMADO]]</f>
        <v>0</v>
      </c>
      <c r="K1285" s="17"/>
      <c r="L1285" s="16" t="s">
        <v>27</v>
      </c>
      <c r="M1285" s="16" t="s">
        <v>22</v>
      </c>
      <c r="N1285" s="39" t="s">
        <v>342</v>
      </c>
    </row>
    <row r="1286" spans="1:14" s="12" customFormat="1" ht="30.75" customHeight="1">
      <c r="A1286" s="178" t="s">
        <v>124</v>
      </c>
      <c r="B1286" s="75" t="s">
        <v>469</v>
      </c>
      <c r="C1286" s="39" t="s">
        <v>17</v>
      </c>
      <c r="D1286" s="236"/>
      <c r="E1286" s="236"/>
      <c r="F1286" s="236"/>
      <c r="G1286" s="236"/>
      <c r="H1286" s="40">
        <f>SUM(Tabla132112414[[#This Row],[PRIMER TRIMESTRE]:[CUARTO TRIMESTRE]])</f>
        <v>0</v>
      </c>
      <c r="I1286" s="17">
        <v>217.18</v>
      </c>
      <c r="J1286" s="17">
        <f>+H1286*I1286</f>
        <v>0</v>
      </c>
      <c r="K1286" s="17"/>
      <c r="L1286" s="16" t="s">
        <v>27</v>
      </c>
      <c r="M1286" s="16" t="s">
        <v>22</v>
      </c>
      <c r="N1286" s="39" t="s">
        <v>342</v>
      </c>
    </row>
    <row r="1287" spans="1:14" s="12" customFormat="1" ht="30.75" customHeight="1">
      <c r="A1287" s="178" t="s">
        <v>124</v>
      </c>
      <c r="B1287" s="75" t="s">
        <v>741</v>
      </c>
      <c r="C1287" s="39" t="s">
        <v>17</v>
      </c>
      <c r="D1287" s="236"/>
      <c r="E1287" s="236"/>
      <c r="F1287" s="236"/>
      <c r="G1287" s="236"/>
      <c r="H1287" s="40">
        <f>SUM(Tabla132112414[[#This Row],[PRIMER TRIMESTRE]:[CUARTO TRIMESTRE]])</f>
        <v>0</v>
      </c>
      <c r="I1287" s="17">
        <v>217.18</v>
      </c>
      <c r="J1287" s="17">
        <f>+Tabla132112414[[#This Row],[CANTIDAD TOTAL]]*Tabla132112414[[#This Row],[PRECIO UNITARIO ESTIMADO]]</f>
        <v>0</v>
      </c>
      <c r="K1287" s="17"/>
      <c r="L1287" s="16" t="s">
        <v>27</v>
      </c>
      <c r="M1287" s="16" t="s">
        <v>22</v>
      </c>
      <c r="N1287" s="39" t="s">
        <v>342</v>
      </c>
    </row>
    <row r="1288" spans="1:14" s="12" customFormat="1" ht="30.75" customHeight="1">
      <c r="A1288" s="178" t="s">
        <v>124</v>
      </c>
      <c r="B1288" s="75" t="s">
        <v>292</v>
      </c>
      <c r="C1288" s="39" t="s">
        <v>17</v>
      </c>
      <c r="D1288" s="236"/>
      <c r="E1288" s="236"/>
      <c r="F1288" s="236"/>
      <c r="G1288" s="236"/>
      <c r="H1288" s="40">
        <f>SUM(Tabla132112414[[#This Row],[PRIMER TRIMESTRE]:[CUARTO TRIMESTRE]])</f>
        <v>0</v>
      </c>
      <c r="I1288" s="17">
        <v>377.54</v>
      </c>
      <c r="J1288" s="17">
        <f>+Tabla132112414[[#This Row],[CANTIDAD TOTAL]]*Tabla132112414[[#This Row],[PRECIO UNITARIO ESTIMADO]]</f>
        <v>0</v>
      </c>
      <c r="K1288" s="17"/>
      <c r="L1288" s="16" t="s">
        <v>27</v>
      </c>
      <c r="M1288" s="16" t="s">
        <v>22</v>
      </c>
      <c r="N1288" s="39" t="s">
        <v>342</v>
      </c>
    </row>
    <row r="1289" spans="1:14" s="12" customFormat="1" ht="30.75" customHeight="1">
      <c r="A1289" s="178" t="s">
        <v>124</v>
      </c>
      <c r="B1289" s="75" t="s">
        <v>725</v>
      </c>
      <c r="C1289" s="39" t="s">
        <v>17</v>
      </c>
      <c r="D1289" s="236"/>
      <c r="E1289" s="236"/>
      <c r="F1289" s="236"/>
      <c r="G1289" s="236"/>
      <c r="H1289" s="40">
        <f>SUM(Tabla132112414[[#This Row],[PRIMER TRIMESTRE]:[CUARTO TRIMESTRE]])</f>
        <v>0</v>
      </c>
      <c r="I1289" s="17">
        <v>90</v>
      </c>
      <c r="J1289" s="17">
        <f>+H1289*I1289</f>
        <v>0</v>
      </c>
      <c r="K1289" s="17"/>
      <c r="L1289" s="16" t="s">
        <v>27</v>
      </c>
      <c r="M1289" s="16" t="s">
        <v>22</v>
      </c>
      <c r="N1289" s="39" t="s">
        <v>342</v>
      </c>
    </row>
    <row r="1290" spans="1:14" s="12" customFormat="1" ht="30.75" customHeight="1">
      <c r="A1290" s="178" t="s">
        <v>124</v>
      </c>
      <c r="B1290" s="75" t="s">
        <v>294</v>
      </c>
      <c r="C1290" s="39" t="s">
        <v>17</v>
      </c>
      <c r="D1290" s="236"/>
      <c r="E1290" s="210"/>
      <c r="F1290" s="210"/>
      <c r="G1290" s="210"/>
      <c r="H1290" s="40">
        <f>SUM(Tabla132112414[[#This Row],[PRIMER TRIMESTRE]:[CUARTO TRIMESTRE]])</f>
        <v>0</v>
      </c>
      <c r="I1290" s="17">
        <v>424.95</v>
      </c>
      <c r="J1290" s="17">
        <f>+Tabla132112414[[#This Row],[CANTIDAD TOTAL]]*Tabla132112414[[#This Row],[PRECIO UNITARIO ESTIMADO]]</f>
        <v>0</v>
      </c>
      <c r="K1290" s="17"/>
      <c r="L1290" s="16" t="s">
        <v>27</v>
      </c>
      <c r="M1290" s="16" t="s">
        <v>22</v>
      </c>
      <c r="N1290" s="39" t="s">
        <v>342</v>
      </c>
    </row>
    <row r="1291" spans="1:14" s="12" customFormat="1" ht="30.75" customHeight="1">
      <c r="A1291" s="178" t="s">
        <v>124</v>
      </c>
      <c r="B1291" s="75" t="s">
        <v>331</v>
      </c>
      <c r="C1291" s="39" t="s">
        <v>33</v>
      </c>
      <c r="D1291" s="236"/>
      <c r="E1291" s="236"/>
      <c r="F1291" s="236"/>
      <c r="G1291" s="236"/>
      <c r="H1291" s="40">
        <f>SUM(Tabla132112414[[#This Row],[PRIMER TRIMESTRE]:[CUARTO TRIMESTRE]])</f>
        <v>0</v>
      </c>
      <c r="I1291" s="17">
        <v>404.45</v>
      </c>
      <c r="J1291" s="17">
        <f>+Tabla132112414[[#This Row],[CANTIDAD TOTAL]]*Tabla132112414[[#This Row],[PRECIO UNITARIO ESTIMADO]]</f>
        <v>0</v>
      </c>
      <c r="K1291" s="17"/>
      <c r="L1291" s="16" t="s">
        <v>27</v>
      </c>
      <c r="M1291" s="16" t="s">
        <v>22</v>
      </c>
      <c r="N1291" s="39" t="s">
        <v>342</v>
      </c>
    </row>
    <row r="1292" spans="1:14" s="12" customFormat="1" ht="30.75" customHeight="1">
      <c r="A1292" s="178" t="s">
        <v>124</v>
      </c>
      <c r="B1292" s="75" t="s">
        <v>724</v>
      </c>
      <c r="C1292" s="39" t="s">
        <v>17</v>
      </c>
      <c r="D1292" s="236"/>
      <c r="E1292" s="236"/>
      <c r="F1292" s="236"/>
      <c r="G1292" s="236"/>
      <c r="H1292" s="40">
        <f>SUM(Tabla132112414[[#This Row],[PRIMER TRIMESTRE]:[CUARTO TRIMESTRE]])</f>
        <v>0</v>
      </c>
      <c r="I1292" s="17">
        <v>140</v>
      </c>
      <c r="J1292" s="17">
        <f>+H1292*I1292</f>
        <v>0</v>
      </c>
      <c r="K1292" s="17"/>
      <c r="L1292" s="16" t="s">
        <v>27</v>
      </c>
      <c r="M1292" s="16" t="s">
        <v>22</v>
      </c>
      <c r="N1292" s="39" t="s">
        <v>342</v>
      </c>
    </row>
    <row r="1293" spans="1:14" s="12" customFormat="1" ht="30.75" customHeight="1">
      <c r="A1293" s="178" t="s">
        <v>124</v>
      </c>
      <c r="B1293" s="75" t="s">
        <v>1415</v>
      </c>
      <c r="C1293" s="39" t="s">
        <v>1461</v>
      </c>
      <c r="D1293" s="236">
        <v>3</v>
      </c>
      <c r="E1293" s="236">
        <v>3</v>
      </c>
      <c r="F1293" s="236">
        <v>3</v>
      </c>
      <c r="G1293" s="236">
        <v>3</v>
      </c>
      <c r="H1293" s="40">
        <f>SUM(Tabla132112414[[#This Row],[PRIMER TRIMESTRE]:[CUARTO TRIMESTRE]])</f>
        <v>12</v>
      </c>
      <c r="I1293" s="17">
        <v>55</v>
      </c>
      <c r="J1293" s="17">
        <f>+H1293*I1293</f>
        <v>660</v>
      </c>
      <c r="K1293" s="17"/>
      <c r="L1293" s="16" t="s">
        <v>27</v>
      </c>
      <c r="M1293" s="16" t="s">
        <v>22</v>
      </c>
      <c r="N1293" s="39" t="s">
        <v>342</v>
      </c>
    </row>
    <row r="1294" spans="1:14" s="26" customFormat="1" ht="30.75" customHeight="1">
      <c r="A1294" s="178" t="s">
        <v>124</v>
      </c>
      <c r="B1294" s="75" t="s">
        <v>1735</v>
      </c>
      <c r="C1294" s="39" t="s">
        <v>1461</v>
      </c>
      <c r="D1294" s="236"/>
      <c r="E1294" s="236"/>
      <c r="F1294" s="236"/>
      <c r="G1294" s="236"/>
      <c r="H1294" s="40">
        <v>0</v>
      </c>
      <c r="I1294" s="17">
        <v>0</v>
      </c>
      <c r="J1294" s="17">
        <v>0</v>
      </c>
      <c r="K1294" s="17"/>
      <c r="L1294" s="16" t="s">
        <v>27</v>
      </c>
      <c r="M1294" s="16" t="s">
        <v>22</v>
      </c>
      <c r="N1294" s="39" t="s">
        <v>342</v>
      </c>
    </row>
    <row r="1295" spans="1:14" s="12" customFormat="1" ht="30.75" customHeight="1">
      <c r="A1295" s="178" t="s">
        <v>124</v>
      </c>
      <c r="B1295" s="75" t="s">
        <v>1416</v>
      </c>
      <c r="C1295" s="39" t="s">
        <v>1461</v>
      </c>
      <c r="D1295" s="236"/>
      <c r="E1295" s="236"/>
      <c r="F1295" s="236"/>
      <c r="G1295" s="236"/>
      <c r="H1295" s="40">
        <f>SUM(Tabla132112414[[#This Row],[PRIMER TRIMESTRE]:[CUARTO TRIMESTRE]])</f>
        <v>0</v>
      </c>
      <c r="I1295" s="17">
        <v>100</v>
      </c>
      <c r="J1295" s="17">
        <f>+H1295*I1295</f>
        <v>0</v>
      </c>
      <c r="K1295" s="17"/>
      <c r="L1295" s="16" t="s">
        <v>27</v>
      </c>
      <c r="M1295" s="16" t="s">
        <v>22</v>
      </c>
      <c r="N1295" s="39" t="s">
        <v>342</v>
      </c>
    </row>
    <row r="1296" spans="1:14" s="12" customFormat="1" ht="30.75" customHeight="1">
      <c r="A1296" s="179" t="s">
        <v>124</v>
      </c>
      <c r="B1296" s="76"/>
      <c r="C1296" s="42"/>
      <c r="D1296" s="237"/>
      <c r="E1296" s="237"/>
      <c r="F1296" s="237"/>
      <c r="G1296" s="237"/>
      <c r="H1296" s="43"/>
      <c r="I1296" s="24"/>
      <c r="J1296" s="24"/>
      <c r="K1296" s="25">
        <f>SUM(J1269:J1295)</f>
        <v>2560</v>
      </c>
      <c r="L1296" s="23"/>
      <c r="M1296" s="23"/>
      <c r="N1296" s="42"/>
    </row>
    <row r="1297" spans="1:14" s="12" customFormat="1" ht="30.75" customHeight="1">
      <c r="A1297" s="178" t="s">
        <v>295</v>
      </c>
      <c r="B1297" s="75" t="s">
        <v>296</v>
      </c>
      <c r="C1297" s="39" t="s">
        <v>17</v>
      </c>
      <c r="D1297" s="236"/>
      <c r="E1297" s="236"/>
      <c r="F1297" s="236"/>
      <c r="G1297" s="236"/>
      <c r="H1297" s="40">
        <f>SUM(Tabla132112414[[#This Row],[PRIMER TRIMESTRE]:[CUARTO TRIMESTRE]])</f>
        <v>0</v>
      </c>
      <c r="I1297" s="17">
        <v>5300.02</v>
      </c>
      <c r="J1297" s="17">
        <f>+Tabla132112414[[#This Row],[CANTIDAD TOTAL]]*Tabla132112414[[#This Row],[PRECIO UNITARIO ESTIMADO]]</f>
        <v>0</v>
      </c>
      <c r="K1297" s="17"/>
      <c r="L1297" s="16" t="s">
        <v>27</v>
      </c>
      <c r="M1297" s="16" t="s">
        <v>22</v>
      </c>
      <c r="N1297" s="39" t="s">
        <v>342</v>
      </c>
    </row>
    <row r="1298" spans="1:14" s="12" customFormat="1" ht="30.75" customHeight="1">
      <c r="A1298" s="178" t="s">
        <v>295</v>
      </c>
      <c r="B1298" s="75" t="s">
        <v>297</v>
      </c>
      <c r="C1298" s="39" t="s">
        <v>17</v>
      </c>
      <c r="D1298" s="236"/>
      <c r="E1298" s="236"/>
      <c r="F1298" s="236"/>
      <c r="G1298" s="236"/>
      <c r="H1298" s="40">
        <f>SUM(Tabla132112414[[#This Row],[PRIMER TRIMESTRE]:[CUARTO TRIMESTRE]])</f>
        <v>0</v>
      </c>
      <c r="I1298" s="17">
        <v>11775.77</v>
      </c>
      <c r="J1298" s="17">
        <f>+Tabla132112414[[#This Row],[CANTIDAD TOTAL]]*Tabla132112414[[#This Row],[PRECIO UNITARIO ESTIMADO]]</f>
        <v>0</v>
      </c>
      <c r="K1298" s="17"/>
      <c r="L1298" s="16" t="s">
        <v>27</v>
      </c>
      <c r="M1298" s="16" t="s">
        <v>22</v>
      </c>
      <c r="N1298" s="39" t="s">
        <v>342</v>
      </c>
    </row>
    <row r="1299" spans="1:14" s="12" customFormat="1" ht="30.75" customHeight="1">
      <c r="A1299" s="178" t="s">
        <v>295</v>
      </c>
      <c r="B1299" s="75" t="s">
        <v>298</v>
      </c>
      <c r="C1299" s="39" t="s">
        <v>17</v>
      </c>
      <c r="D1299" s="236"/>
      <c r="E1299" s="236"/>
      <c r="F1299" s="236"/>
      <c r="G1299" s="236"/>
      <c r="H1299" s="40">
        <f>SUM(Tabla132112414[[#This Row],[PRIMER TRIMESTRE]:[CUARTO TRIMESTRE]])</f>
        <v>0</v>
      </c>
      <c r="I1299" s="17">
        <v>18999.439999999999</v>
      </c>
      <c r="J1299" s="17">
        <f>+Tabla132112414[[#This Row],[CANTIDAD TOTAL]]*Tabla132112414[[#This Row],[PRECIO UNITARIO ESTIMADO]]</f>
        <v>0</v>
      </c>
      <c r="K1299" s="17"/>
      <c r="L1299" s="16" t="s">
        <v>27</v>
      </c>
      <c r="M1299" s="16" t="s">
        <v>22</v>
      </c>
      <c r="N1299" s="39" t="s">
        <v>342</v>
      </c>
    </row>
    <row r="1300" spans="1:14" s="12" customFormat="1" ht="30.75" customHeight="1">
      <c r="A1300" s="178" t="s">
        <v>295</v>
      </c>
      <c r="B1300" s="75" t="s">
        <v>299</v>
      </c>
      <c r="C1300" s="39" t="s">
        <v>17</v>
      </c>
      <c r="D1300" s="236"/>
      <c r="E1300" s="236"/>
      <c r="F1300" s="236"/>
      <c r="G1300" s="236"/>
      <c r="H1300" s="40">
        <f>SUM(Tabla132112414[[#This Row],[PRIMER TRIMESTRE]:[CUARTO TRIMESTRE]])</f>
        <v>0</v>
      </c>
      <c r="I1300" s="17">
        <v>784</v>
      </c>
      <c r="J1300" s="17">
        <f>+Tabla132112414[[#This Row],[CANTIDAD TOTAL]]*Tabla132112414[[#This Row],[PRECIO UNITARIO ESTIMADO]]</f>
        <v>0</v>
      </c>
      <c r="K1300" s="17"/>
      <c r="L1300" s="16" t="s">
        <v>27</v>
      </c>
      <c r="M1300" s="16" t="s">
        <v>22</v>
      </c>
      <c r="N1300" s="39" t="s">
        <v>342</v>
      </c>
    </row>
    <row r="1301" spans="1:14" s="12" customFormat="1" ht="30.75" customHeight="1">
      <c r="A1301" s="178" t="s">
        <v>295</v>
      </c>
      <c r="B1301" s="75" t="s">
        <v>300</v>
      </c>
      <c r="C1301" s="39" t="s">
        <v>17</v>
      </c>
      <c r="D1301" s="236"/>
      <c r="E1301" s="236"/>
      <c r="F1301" s="236"/>
      <c r="G1301" s="236"/>
      <c r="H1301" s="40">
        <f>SUM(Tabla132112414[[#This Row],[PRIMER TRIMESTRE]:[CUARTO TRIMESTRE]])</f>
        <v>0</v>
      </c>
      <c r="I1301" s="17">
        <v>21495</v>
      </c>
      <c r="J1301" s="17">
        <f>+Tabla132112414[[#This Row],[CANTIDAD TOTAL]]*Tabla132112414[[#This Row],[PRECIO UNITARIO ESTIMADO]]</f>
        <v>0</v>
      </c>
      <c r="K1301" s="17"/>
      <c r="L1301" s="16" t="s">
        <v>27</v>
      </c>
      <c r="M1301" s="16" t="s">
        <v>22</v>
      </c>
      <c r="N1301" s="39" t="s">
        <v>342</v>
      </c>
    </row>
    <row r="1302" spans="1:14" s="12" customFormat="1" ht="30.75" customHeight="1">
      <c r="A1302" s="178" t="s">
        <v>295</v>
      </c>
      <c r="B1302" s="75" t="s">
        <v>337</v>
      </c>
      <c r="C1302" s="39" t="s">
        <v>17</v>
      </c>
      <c r="D1302" s="236"/>
      <c r="E1302" s="236"/>
      <c r="F1302" s="236"/>
      <c r="G1302" s="236"/>
      <c r="H1302" s="40">
        <f>SUM(Tabla132112414[[#This Row],[PRIMER TRIMESTRE]:[CUARTO TRIMESTRE]])</f>
        <v>0</v>
      </c>
      <c r="I1302" s="17">
        <v>3225.3333333333335</v>
      </c>
      <c r="J1302" s="17">
        <f>+Tabla132112414[[#This Row],[CANTIDAD TOTAL]]*Tabla132112414[[#This Row],[PRECIO UNITARIO ESTIMADO]]</f>
        <v>0</v>
      </c>
      <c r="K1302" s="17"/>
      <c r="L1302" s="16" t="s">
        <v>27</v>
      </c>
      <c r="M1302" s="16" t="s">
        <v>22</v>
      </c>
      <c r="N1302" s="39" t="s">
        <v>418</v>
      </c>
    </row>
    <row r="1303" spans="1:14" s="12" customFormat="1" ht="30.75" customHeight="1">
      <c r="A1303" s="178" t="s">
        <v>295</v>
      </c>
      <c r="B1303" s="75" t="s">
        <v>441</v>
      </c>
      <c r="C1303" s="39" t="s">
        <v>17</v>
      </c>
      <c r="D1303" s="236">
        <v>1</v>
      </c>
      <c r="E1303" s="236"/>
      <c r="F1303" s="236"/>
      <c r="G1303" s="236"/>
      <c r="H1303" s="40">
        <f>SUM(Tabla132112414[[#This Row],[PRIMER TRIMESTRE]:[CUARTO TRIMESTRE]])</f>
        <v>1</v>
      </c>
      <c r="I1303" s="17">
        <v>9000</v>
      </c>
      <c r="J1303" s="17">
        <f>+H1303*I1303</f>
        <v>9000</v>
      </c>
      <c r="K1303" s="17"/>
      <c r="L1303" s="16" t="s">
        <v>27</v>
      </c>
      <c r="M1303" s="16" t="s">
        <v>22</v>
      </c>
      <c r="N1303" s="39" t="s">
        <v>342</v>
      </c>
    </row>
    <row r="1304" spans="1:14" s="12" customFormat="1" ht="30.75" customHeight="1">
      <c r="A1304" s="178" t="s">
        <v>295</v>
      </c>
      <c r="B1304" s="75" t="s">
        <v>301</v>
      </c>
      <c r="C1304" s="39" t="s">
        <v>17</v>
      </c>
      <c r="D1304" s="236"/>
      <c r="E1304" s="236"/>
      <c r="F1304" s="236"/>
      <c r="G1304" s="236"/>
      <c r="H1304" s="40">
        <f>SUM(Tabla132112414[[#This Row],[PRIMER TRIMESTRE]:[CUARTO TRIMESTRE]])</f>
        <v>0</v>
      </c>
      <c r="I1304" s="17">
        <v>8004</v>
      </c>
      <c r="J1304" s="17">
        <f>+Tabla132112414[[#This Row],[CANTIDAD TOTAL]]*Tabla132112414[[#This Row],[PRECIO UNITARIO ESTIMADO]]</f>
        <v>0</v>
      </c>
      <c r="K1304" s="17"/>
      <c r="L1304" s="16" t="s">
        <v>27</v>
      </c>
      <c r="M1304" s="16" t="s">
        <v>22</v>
      </c>
      <c r="N1304" s="39" t="s">
        <v>342</v>
      </c>
    </row>
    <row r="1305" spans="1:14" s="12" customFormat="1" ht="30.75" customHeight="1">
      <c r="A1305" s="178" t="s">
        <v>295</v>
      </c>
      <c r="B1305" s="75" t="s">
        <v>316</v>
      </c>
      <c r="C1305" s="39" t="s">
        <v>17</v>
      </c>
      <c r="D1305" s="236"/>
      <c r="E1305" s="236"/>
      <c r="F1305" s="236"/>
      <c r="G1305" s="236"/>
      <c r="H1305" s="40">
        <f>SUM(Tabla132112414[[#This Row],[PRIMER TRIMESTRE]:[CUARTO TRIMESTRE]])</f>
        <v>0</v>
      </c>
      <c r="I1305" s="17">
        <v>8802.7999999999993</v>
      </c>
      <c r="J1305" s="17">
        <f>+Tabla132112414[[#This Row],[CANTIDAD TOTAL]]*Tabla132112414[[#This Row],[PRECIO UNITARIO ESTIMADO]]</f>
        <v>0</v>
      </c>
      <c r="K1305" s="17"/>
      <c r="L1305" s="16" t="s">
        <v>27</v>
      </c>
      <c r="M1305" s="16" t="s">
        <v>22</v>
      </c>
      <c r="N1305" s="39" t="s">
        <v>342</v>
      </c>
    </row>
    <row r="1306" spans="1:14" s="26" customFormat="1" ht="30.75" customHeight="1">
      <c r="A1306" s="178" t="s">
        <v>295</v>
      </c>
      <c r="B1306" s="75" t="s">
        <v>322</v>
      </c>
      <c r="C1306" s="39" t="s">
        <v>17</v>
      </c>
      <c r="D1306" s="236"/>
      <c r="E1306" s="236"/>
      <c r="F1306" s="236"/>
      <c r="G1306" s="236"/>
      <c r="H1306" s="40">
        <f>SUM(Tabla132112414[[#This Row],[PRIMER TRIMESTRE]:[CUARTO TRIMESTRE]])</f>
        <v>0</v>
      </c>
      <c r="I1306" s="17">
        <v>64546</v>
      </c>
      <c r="J1306" s="17">
        <f>+Tabla132112414[[#This Row],[CANTIDAD TOTAL]]*Tabla132112414[[#This Row],[PRECIO UNITARIO ESTIMADO]]</f>
        <v>0</v>
      </c>
      <c r="K1306" s="17"/>
      <c r="L1306" s="16" t="s">
        <v>27</v>
      </c>
      <c r="M1306" s="16" t="s">
        <v>22</v>
      </c>
      <c r="N1306" s="39" t="s">
        <v>342</v>
      </c>
    </row>
    <row r="1307" spans="1:14" s="12" customFormat="1" ht="30.75" customHeight="1">
      <c r="A1307" s="178" t="s">
        <v>295</v>
      </c>
      <c r="B1307" s="75" t="s">
        <v>1423</v>
      </c>
      <c r="C1307" s="39" t="s">
        <v>17</v>
      </c>
      <c r="D1307" s="236"/>
      <c r="E1307" s="236"/>
      <c r="F1307" s="236"/>
      <c r="G1307" s="236"/>
      <c r="H1307" s="40">
        <f>SUM(Tabla132112414[[#This Row],[PRIMER TRIMESTRE]:[CUARTO TRIMESTRE]])</f>
        <v>0</v>
      </c>
      <c r="I1307" s="17">
        <v>24978.240000000002</v>
      </c>
      <c r="J1307" s="17">
        <f>+H1307*I1307</f>
        <v>0</v>
      </c>
      <c r="K1307" s="17"/>
      <c r="L1307" s="16" t="s">
        <v>15</v>
      </c>
      <c r="M1307" s="16" t="s">
        <v>22</v>
      </c>
      <c r="N1307" s="39" t="s">
        <v>342</v>
      </c>
    </row>
    <row r="1308" spans="1:14" s="12" customFormat="1" ht="30.75" customHeight="1">
      <c r="A1308" s="179" t="s">
        <v>295</v>
      </c>
      <c r="B1308" s="76"/>
      <c r="C1308" s="42"/>
      <c r="D1308" s="237"/>
      <c r="E1308" s="237"/>
      <c r="F1308" s="237"/>
      <c r="G1308" s="237"/>
      <c r="H1308" s="43"/>
      <c r="I1308" s="24"/>
      <c r="J1308" s="24"/>
      <c r="K1308" s="25">
        <f>SUM(J1297:J1307)</f>
        <v>9000</v>
      </c>
      <c r="L1308" s="23"/>
      <c r="M1308" s="23"/>
      <c r="N1308" s="42"/>
    </row>
    <row r="1309" spans="1:14" s="12" customFormat="1" ht="30.75" customHeight="1">
      <c r="A1309" s="178" t="s">
        <v>147</v>
      </c>
      <c r="B1309" s="75" t="s">
        <v>302</v>
      </c>
      <c r="C1309" s="39" t="s">
        <v>17</v>
      </c>
      <c r="D1309" s="236"/>
      <c r="E1309" s="236"/>
      <c r="F1309" s="236"/>
      <c r="G1309" s="236"/>
      <c r="H1309" s="40">
        <f>SUM(Tabla132112414[[#This Row],[PRIMER TRIMESTRE]:[CUARTO TRIMESTRE]])</f>
        <v>0</v>
      </c>
      <c r="I1309" s="17">
        <v>452.4</v>
      </c>
      <c r="J1309" s="17">
        <f>+Tabla132112414[[#This Row],[CANTIDAD TOTAL]]*Tabla132112414[[#This Row],[PRECIO UNITARIO ESTIMADO]]</f>
        <v>0</v>
      </c>
      <c r="K1309" s="17"/>
      <c r="L1309" s="16" t="s">
        <v>27</v>
      </c>
      <c r="M1309" s="16" t="s">
        <v>22</v>
      </c>
      <c r="N1309" s="39" t="s">
        <v>342</v>
      </c>
    </row>
    <row r="1310" spans="1:14" s="12" customFormat="1" ht="30.75" customHeight="1">
      <c r="A1310" s="178" t="s">
        <v>147</v>
      </c>
      <c r="B1310" s="75" t="s">
        <v>326</v>
      </c>
      <c r="C1310" s="39" t="s">
        <v>17</v>
      </c>
      <c r="D1310" s="236"/>
      <c r="E1310" s="236"/>
      <c r="F1310" s="236"/>
      <c r="G1310" s="236"/>
      <c r="H1310" s="40">
        <f>SUM(Tabla132112414[[#This Row],[PRIMER TRIMESTRE]:[CUARTO TRIMESTRE]])</f>
        <v>0</v>
      </c>
      <c r="I1310" s="17">
        <v>2596</v>
      </c>
      <c r="J1310" s="17">
        <f>+Tabla132112414[[#This Row],[CANTIDAD TOTAL]]*Tabla132112414[[#This Row],[PRECIO UNITARIO ESTIMADO]]</f>
        <v>0</v>
      </c>
      <c r="K1310" s="17"/>
      <c r="L1310" s="16" t="s">
        <v>27</v>
      </c>
      <c r="M1310" s="16" t="s">
        <v>22</v>
      </c>
      <c r="N1310" s="39" t="s">
        <v>342</v>
      </c>
    </row>
    <row r="1311" spans="1:14" s="12" customFormat="1" ht="30.75" customHeight="1">
      <c r="A1311" s="180" t="s">
        <v>147</v>
      </c>
      <c r="B1311" s="77" t="s">
        <v>332</v>
      </c>
      <c r="C1311" s="70" t="s">
        <v>17</v>
      </c>
      <c r="D1311" s="210"/>
      <c r="E1311" s="210"/>
      <c r="F1311" s="210"/>
      <c r="G1311" s="210"/>
      <c r="H1311" s="406">
        <f>SUM(Tabla132112414[[#This Row],[PRIMER TRIMESTRE]:[CUARTO TRIMESTRE]])</f>
        <v>0</v>
      </c>
      <c r="I1311" s="17">
        <v>460.2</v>
      </c>
      <c r="J1311" s="17">
        <f>+Tabla132112414[[#This Row],[CANTIDAD TOTAL]]*Tabla132112414[[#This Row],[PRECIO UNITARIO ESTIMADO]]</f>
        <v>0</v>
      </c>
      <c r="K1311" s="17"/>
      <c r="L1311" s="16" t="s">
        <v>27</v>
      </c>
      <c r="M1311" s="16" t="s">
        <v>22</v>
      </c>
      <c r="N1311" s="39" t="s">
        <v>342</v>
      </c>
    </row>
    <row r="1312" spans="1:14" s="12" customFormat="1" ht="30.75" customHeight="1">
      <c r="A1312" s="178" t="s">
        <v>147</v>
      </c>
      <c r="B1312" s="75" t="s">
        <v>333</v>
      </c>
      <c r="C1312" s="39" t="s">
        <v>17</v>
      </c>
      <c r="D1312" s="236"/>
      <c r="E1312" s="236"/>
      <c r="F1312" s="236"/>
      <c r="G1312" s="236"/>
      <c r="H1312" s="40">
        <f>SUM(Tabla132112414[[#This Row],[PRIMER TRIMESTRE]:[CUARTO TRIMESTRE]])</f>
        <v>0</v>
      </c>
      <c r="I1312" s="17">
        <f>76995/450</f>
        <v>171.1</v>
      </c>
      <c r="J1312" s="17">
        <f>+Tabla132112414[[#This Row],[CANTIDAD TOTAL]]*Tabla132112414[[#This Row],[PRECIO UNITARIO ESTIMADO]]</f>
        <v>0</v>
      </c>
      <c r="K1312" s="17"/>
      <c r="L1312" s="16" t="s">
        <v>27</v>
      </c>
      <c r="M1312" s="16" t="s">
        <v>22</v>
      </c>
      <c r="N1312" s="39" t="s">
        <v>342</v>
      </c>
    </row>
    <row r="1313" spans="1:14" s="12" customFormat="1" ht="30.75" customHeight="1">
      <c r="A1313" s="178" t="s">
        <v>147</v>
      </c>
      <c r="B1313" s="75" t="s">
        <v>1580</v>
      </c>
      <c r="C1313" s="39" t="s">
        <v>149</v>
      </c>
      <c r="D1313" s="236"/>
      <c r="E1313" s="236"/>
      <c r="F1313" s="236"/>
      <c r="G1313" s="236"/>
      <c r="H1313" s="236">
        <f>SUM(Tabla132112414[[#This Row],[PRIMER TRIMESTRE]:[CUARTO TRIMESTRE]])</f>
        <v>0</v>
      </c>
      <c r="I1313" s="17">
        <v>3250</v>
      </c>
      <c r="J1313" s="17">
        <f>+H1313*I1313</f>
        <v>0</v>
      </c>
      <c r="K1313" s="17"/>
      <c r="L1313" s="16" t="s">
        <v>27</v>
      </c>
      <c r="M1313" s="16" t="s">
        <v>22</v>
      </c>
      <c r="N1313" s="39" t="s">
        <v>342</v>
      </c>
    </row>
    <row r="1314" spans="1:14" s="12" customFormat="1" ht="30.75" customHeight="1">
      <c r="A1314" s="178" t="s">
        <v>147</v>
      </c>
      <c r="B1314" s="75" t="s">
        <v>1581</v>
      </c>
      <c r="C1314" s="39" t="s">
        <v>149</v>
      </c>
      <c r="D1314" s="236"/>
      <c r="E1314" s="236"/>
      <c r="F1314" s="236"/>
      <c r="G1314" s="236"/>
      <c r="H1314" s="236">
        <f>SUM(Tabla132112414[[#This Row],[PRIMER TRIMESTRE]:[CUARTO TRIMESTRE]])</f>
        <v>0</v>
      </c>
      <c r="I1314" s="17">
        <v>3250</v>
      </c>
      <c r="J1314" s="17">
        <f>+H1314*I1314</f>
        <v>0</v>
      </c>
      <c r="K1314" s="17"/>
      <c r="L1314" s="16" t="s">
        <v>27</v>
      </c>
      <c r="M1314" s="16" t="s">
        <v>22</v>
      </c>
      <c r="N1314" s="39" t="s">
        <v>342</v>
      </c>
    </row>
    <row r="1315" spans="1:14" s="12" customFormat="1" ht="30.75" customHeight="1">
      <c r="A1315" s="178" t="s">
        <v>147</v>
      </c>
      <c r="B1315" s="75" t="s">
        <v>1579</v>
      </c>
      <c r="C1315" s="39" t="s">
        <v>149</v>
      </c>
      <c r="D1315" s="236"/>
      <c r="E1315" s="236"/>
      <c r="F1315" s="236"/>
      <c r="G1315" s="236"/>
      <c r="H1315" s="236">
        <f>SUM(Tabla132112414[[#This Row],[PRIMER TRIMESTRE]:[CUARTO TRIMESTRE]])</f>
        <v>0</v>
      </c>
      <c r="I1315" s="17">
        <v>3250</v>
      </c>
      <c r="J1315" s="17">
        <f>+H1315*I1315</f>
        <v>0</v>
      </c>
      <c r="K1315" s="17"/>
      <c r="L1315" s="16" t="s">
        <v>27</v>
      </c>
      <c r="M1315" s="16" t="s">
        <v>22</v>
      </c>
      <c r="N1315" s="39" t="s">
        <v>342</v>
      </c>
    </row>
    <row r="1316" spans="1:14" s="12" customFormat="1" ht="30.75" customHeight="1">
      <c r="A1316" s="178" t="s">
        <v>147</v>
      </c>
      <c r="B1316" s="75" t="s">
        <v>303</v>
      </c>
      <c r="C1316" s="39" t="s">
        <v>149</v>
      </c>
      <c r="D1316" s="236"/>
      <c r="E1316" s="236"/>
      <c r="F1316" s="236"/>
      <c r="G1316" s="236"/>
      <c r="H1316" s="236">
        <f>SUM(Tabla132112414[[#This Row],[PRIMER TRIMESTRE]:[CUARTO TRIMESTRE]])</f>
        <v>0</v>
      </c>
      <c r="I1316" s="17">
        <v>1856</v>
      </c>
      <c r="J1316" s="17">
        <f>+Tabla132112414[[#This Row],[CANTIDAD TOTAL]]*Tabla132112414[[#This Row],[PRECIO UNITARIO ESTIMADO]]</f>
        <v>0</v>
      </c>
      <c r="K1316" s="17"/>
      <c r="L1316" s="16" t="s">
        <v>27</v>
      </c>
      <c r="M1316" s="16" t="s">
        <v>22</v>
      </c>
      <c r="N1316" s="39" t="s">
        <v>342</v>
      </c>
    </row>
    <row r="1317" spans="1:14" s="12" customFormat="1" ht="30.75" customHeight="1">
      <c r="A1317" s="178" t="s">
        <v>147</v>
      </c>
      <c r="B1317" s="75" t="s">
        <v>1582</v>
      </c>
      <c r="C1317" s="39" t="s">
        <v>149</v>
      </c>
      <c r="D1317" s="236"/>
      <c r="E1317" s="236"/>
      <c r="F1317" s="236"/>
      <c r="G1317" s="236"/>
      <c r="H1317" s="236">
        <f>SUM(Tabla132112414[[#This Row],[PRIMER TRIMESTRE]:[CUARTO TRIMESTRE]])</f>
        <v>0</v>
      </c>
      <c r="I1317" s="17">
        <v>1680</v>
      </c>
      <c r="J1317" s="17">
        <f>+H1317*I1317</f>
        <v>0</v>
      </c>
      <c r="K1317" s="17"/>
      <c r="L1317" s="16" t="s">
        <v>27</v>
      </c>
      <c r="M1317" s="16" t="s">
        <v>22</v>
      </c>
      <c r="N1317" s="39" t="s">
        <v>342</v>
      </c>
    </row>
    <row r="1318" spans="1:14" s="12" customFormat="1" ht="30.75" customHeight="1">
      <c r="A1318" s="178" t="s">
        <v>147</v>
      </c>
      <c r="B1318" s="75" t="s">
        <v>1583</v>
      </c>
      <c r="C1318" s="39" t="s">
        <v>149</v>
      </c>
      <c r="D1318" s="236"/>
      <c r="E1318" s="236"/>
      <c r="F1318" s="236"/>
      <c r="G1318" s="236"/>
      <c r="H1318" s="236">
        <f>SUM(Tabla132112414[[#This Row],[PRIMER TRIMESTRE]:[CUARTO TRIMESTRE]])</f>
        <v>0</v>
      </c>
      <c r="I1318" s="17">
        <v>1615</v>
      </c>
      <c r="J1318" s="17">
        <f>+H1318*I1318</f>
        <v>0</v>
      </c>
      <c r="K1318" s="17"/>
      <c r="L1318" s="16" t="s">
        <v>27</v>
      </c>
      <c r="M1318" s="16" t="s">
        <v>22</v>
      </c>
      <c r="N1318" s="39" t="s">
        <v>342</v>
      </c>
    </row>
    <row r="1319" spans="1:14" s="12" customFormat="1" ht="30.75" customHeight="1">
      <c r="A1319" s="178" t="s">
        <v>147</v>
      </c>
      <c r="B1319" s="75" t="s">
        <v>1584</v>
      </c>
      <c r="C1319" s="39" t="s">
        <v>149</v>
      </c>
      <c r="D1319" s="236"/>
      <c r="E1319" s="236"/>
      <c r="F1319" s="236"/>
      <c r="G1319" s="236"/>
      <c r="H1319" s="236">
        <f>SUM(Tabla132112414[[#This Row],[PRIMER TRIMESTRE]:[CUARTO TRIMESTRE]])</f>
        <v>0</v>
      </c>
      <c r="I1319" s="17">
        <v>1615</v>
      </c>
      <c r="J1319" s="17">
        <f>+H1319*I1319</f>
        <v>0</v>
      </c>
      <c r="K1319" s="17"/>
      <c r="L1319" s="16" t="s">
        <v>27</v>
      </c>
      <c r="M1319" s="16" t="s">
        <v>22</v>
      </c>
      <c r="N1319" s="39" t="s">
        <v>342</v>
      </c>
    </row>
    <row r="1320" spans="1:14" s="12" customFormat="1" ht="30.75" customHeight="1">
      <c r="A1320" s="178" t="s">
        <v>147</v>
      </c>
      <c r="B1320" s="75" t="s">
        <v>1585</v>
      </c>
      <c r="C1320" s="39" t="s">
        <v>149</v>
      </c>
      <c r="D1320" s="236"/>
      <c r="E1320" s="236"/>
      <c r="F1320" s="236"/>
      <c r="G1320" s="236"/>
      <c r="H1320" s="236">
        <f>SUM(Tabla132112414[[#This Row],[PRIMER TRIMESTRE]:[CUARTO TRIMESTRE]])</f>
        <v>0</v>
      </c>
      <c r="I1320" s="17">
        <v>1615</v>
      </c>
      <c r="J1320" s="17">
        <f>+H1320*I1320</f>
        <v>0</v>
      </c>
      <c r="K1320" s="17"/>
      <c r="L1320" s="16" t="s">
        <v>27</v>
      </c>
      <c r="M1320" s="16" t="s">
        <v>22</v>
      </c>
      <c r="N1320" s="39" t="s">
        <v>342</v>
      </c>
    </row>
    <row r="1321" spans="1:14" s="12" customFormat="1" ht="30.75" customHeight="1">
      <c r="A1321" s="178" t="s">
        <v>147</v>
      </c>
      <c r="B1321" s="75" t="s">
        <v>1586</v>
      </c>
      <c r="C1321" s="39" t="s">
        <v>149</v>
      </c>
      <c r="D1321" s="236"/>
      <c r="E1321" s="236"/>
      <c r="F1321" s="236"/>
      <c r="G1321" s="236"/>
      <c r="H1321" s="236">
        <f>SUM(Tabla132112414[[#This Row],[PRIMER TRIMESTRE]:[CUARTO TRIMESTRE]])</f>
        <v>0</v>
      </c>
      <c r="I1321" s="17">
        <v>1615</v>
      </c>
      <c r="J1321" s="17">
        <f>+H1321*I1321</f>
        <v>0</v>
      </c>
      <c r="K1321" s="17"/>
      <c r="L1321" s="16" t="s">
        <v>27</v>
      </c>
      <c r="M1321" s="16" t="s">
        <v>22</v>
      </c>
      <c r="N1321" s="39" t="s">
        <v>342</v>
      </c>
    </row>
    <row r="1322" spans="1:14" s="12" customFormat="1" ht="30.75" customHeight="1">
      <c r="A1322" s="178" t="s">
        <v>147</v>
      </c>
      <c r="B1322" s="75" t="s">
        <v>1272</v>
      </c>
      <c r="C1322" s="39" t="s">
        <v>149</v>
      </c>
      <c r="D1322" s="236"/>
      <c r="E1322" s="236"/>
      <c r="F1322" s="236"/>
      <c r="G1322" s="236"/>
      <c r="H1322" s="40">
        <f>SUM(Tabla132112414[[#This Row],[PRIMER TRIMESTRE]:[CUARTO TRIMESTRE]])</f>
        <v>0</v>
      </c>
      <c r="I1322" s="17">
        <v>488.31</v>
      </c>
      <c r="J1322" s="17">
        <f>+Tabla132112414[[#This Row],[CANTIDAD TOTAL]]*Tabla132112414[[#This Row],[PRECIO UNITARIO ESTIMADO]]</f>
        <v>0</v>
      </c>
      <c r="K1322" s="17"/>
      <c r="L1322" s="16" t="s">
        <v>27</v>
      </c>
      <c r="M1322" s="16" t="s">
        <v>22</v>
      </c>
      <c r="N1322" s="39" t="s">
        <v>342</v>
      </c>
    </row>
    <row r="1323" spans="1:14" s="12" customFormat="1" ht="30.75" customHeight="1">
      <c r="A1323" s="178" t="s">
        <v>147</v>
      </c>
      <c r="B1323" s="75" t="s">
        <v>1273</v>
      </c>
      <c r="C1323" s="39" t="s">
        <v>149</v>
      </c>
      <c r="D1323" s="236"/>
      <c r="E1323" s="241"/>
      <c r="F1323" s="236"/>
      <c r="G1323" s="236"/>
      <c r="H1323" s="40">
        <f>SUM(Tabla132112414[[#This Row],[PRIMER TRIMESTRE]:[CUARTO TRIMESTRE]])</f>
        <v>0</v>
      </c>
      <c r="I1323" s="17">
        <v>550.4</v>
      </c>
      <c r="J1323" s="17">
        <f>+H1323*I1323</f>
        <v>0</v>
      </c>
      <c r="K1323" s="17"/>
      <c r="L1323" s="16" t="s">
        <v>27</v>
      </c>
      <c r="M1323" s="16" t="s">
        <v>22</v>
      </c>
      <c r="N1323" s="39" t="s">
        <v>342</v>
      </c>
    </row>
    <row r="1324" spans="1:14" s="12" customFormat="1" ht="30.75" customHeight="1">
      <c r="A1324" s="178" t="s">
        <v>147</v>
      </c>
      <c r="B1324" s="75" t="s">
        <v>1274</v>
      </c>
      <c r="C1324" s="39" t="s">
        <v>17</v>
      </c>
      <c r="D1324" s="236"/>
      <c r="E1324" s="236"/>
      <c r="F1324" s="236"/>
      <c r="G1324" s="236"/>
      <c r="H1324" s="40">
        <f>SUM(Tabla132112414[[#This Row],[PRIMER TRIMESTRE]:[CUARTO TRIMESTRE]])</f>
        <v>0</v>
      </c>
      <c r="I1324" s="17">
        <v>450</v>
      </c>
      <c r="J1324" s="17">
        <f>+H1324*I1324</f>
        <v>0</v>
      </c>
      <c r="K1324" s="17"/>
      <c r="L1324" s="16" t="s">
        <v>27</v>
      </c>
      <c r="M1324" s="16" t="s">
        <v>22</v>
      </c>
      <c r="N1324" s="39" t="s">
        <v>342</v>
      </c>
    </row>
    <row r="1325" spans="1:14" s="26" customFormat="1" ht="30.75" customHeight="1">
      <c r="A1325" s="178" t="s">
        <v>147</v>
      </c>
      <c r="B1325" s="75" t="s">
        <v>1270</v>
      </c>
      <c r="C1325" s="39" t="s">
        <v>17</v>
      </c>
      <c r="D1325" s="236"/>
      <c r="E1325" s="236"/>
      <c r="F1325" s="236"/>
      <c r="G1325" s="236"/>
      <c r="H1325" s="40">
        <f>SUM(Tabla132112414[[#This Row],[PRIMER TRIMESTRE]:[CUARTO TRIMESTRE]])</f>
        <v>0</v>
      </c>
      <c r="I1325" s="17">
        <v>850</v>
      </c>
      <c r="J1325" s="17">
        <f>+H1325*I1325</f>
        <v>0</v>
      </c>
      <c r="K1325" s="17"/>
      <c r="L1325" s="16" t="s">
        <v>27</v>
      </c>
      <c r="M1325" s="16" t="s">
        <v>22</v>
      </c>
      <c r="N1325" s="39" t="s">
        <v>342</v>
      </c>
    </row>
    <row r="1326" spans="1:14" s="12" customFormat="1" ht="30.75" customHeight="1">
      <c r="A1326" s="178" t="s">
        <v>147</v>
      </c>
      <c r="B1326" s="75" t="s">
        <v>1271</v>
      </c>
      <c r="C1326" s="39" t="s">
        <v>17</v>
      </c>
      <c r="D1326" s="236"/>
      <c r="E1326" s="236"/>
      <c r="F1326" s="236"/>
      <c r="G1326" s="236"/>
      <c r="H1326" s="40">
        <f>SUM(Tabla132112414[[#This Row],[PRIMER TRIMESTRE]:[CUARTO TRIMESTRE]])</f>
        <v>0</v>
      </c>
      <c r="I1326" s="17">
        <v>250</v>
      </c>
      <c r="J1326" s="17">
        <f>+H1326*I1326</f>
        <v>0</v>
      </c>
      <c r="K1326" s="17"/>
      <c r="L1326" s="16" t="s">
        <v>27</v>
      </c>
      <c r="M1326" s="16" t="s">
        <v>22</v>
      </c>
      <c r="N1326" s="39" t="s">
        <v>342</v>
      </c>
    </row>
    <row r="1327" spans="1:14" s="12" customFormat="1" ht="30.75" customHeight="1">
      <c r="A1327" s="179" t="s">
        <v>147</v>
      </c>
      <c r="B1327" s="76"/>
      <c r="C1327" s="42"/>
      <c r="D1327" s="237"/>
      <c r="E1327" s="237"/>
      <c r="F1327" s="237"/>
      <c r="G1327" s="237"/>
      <c r="H1327" s="43"/>
      <c r="I1327" s="24"/>
      <c r="J1327" s="24"/>
      <c r="K1327" s="25">
        <f>SUM(J1309:J1326)</f>
        <v>0</v>
      </c>
      <c r="L1327" s="23"/>
      <c r="M1327" s="23"/>
      <c r="N1327" s="42"/>
    </row>
    <row r="1328" spans="1:14" s="12" customFormat="1" ht="30.75" customHeight="1">
      <c r="A1328" s="178" t="s">
        <v>153</v>
      </c>
      <c r="B1328" s="75" t="s">
        <v>1908</v>
      </c>
      <c r="C1328" s="412" t="s">
        <v>17</v>
      </c>
      <c r="D1328" s="236"/>
      <c r="E1328" s="236"/>
      <c r="F1328" s="236"/>
      <c r="G1328" s="236"/>
      <c r="H1328" s="244">
        <f>SUM(Tabla132112414[[#This Row],[PRIMER TRIMESTRE]:[CUARTO TRIMESTRE]])</f>
        <v>0</v>
      </c>
      <c r="I1328" s="17">
        <v>0</v>
      </c>
      <c r="J1328" s="286"/>
      <c r="K1328" s="286"/>
      <c r="L1328" s="16" t="s">
        <v>15</v>
      </c>
      <c r="M1328" s="16" t="s">
        <v>22</v>
      </c>
      <c r="N1328" s="39" t="s">
        <v>342</v>
      </c>
    </row>
    <row r="1329" spans="1:14" s="12" customFormat="1" ht="30.75" customHeight="1">
      <c r="A1329" s="178" t="s">
        <v>1909</v>
      </c>
      <c r="B1329" s="75" t="s">
        <v>1910</v>
      </c>
      <c r="C1329" s="412" t="s">
        <v>17</v>
      </c>
      <c r="D1329" s="236"/>
      <c r="E1329" s="236"/>
      <c r="F1329" s="236"/>
      <c r="G1329" s="236"/>
      <c r="H1329" s="244">
        <v>0</v>
      </c>
      <c r="I1329" s="17">
        <v>0</v>
      </c>
      <c r="J1329" s="286"/>
      <c r="K1329" s="286"/>
      <c r="L1329" s="16" t="s">
        <v>15</v>
      </c>
      <c r="M1329" s="16" t="s">
        <v>22</v>
      </c>
      <c r="N1329" s="39" t="s">
        <v>342</v>
      </c>
    </row>
    <row r="1330" spans="1:14" s="12" customFormat="1" ht="30.75" customHeight="1">
      <c r="A1330" s="178" t="s">
        <v>1909</v>
      </c>
      <c r="B1330" s="75" t="s">
        <v>1911</v>
      </c>
      <c r="C1330" s="412" t="s">
        <v>17</v>
      </c>
      <c r="D1330" s="236"/>
      <c r="E1330" s="236"/>
      <c r="F1330" s="236"/>
      <c r="G1330" s="236"/>
      <c r="H1330" s="244">
        <f>SUM(Tabla132112414[[#This Row],[PRIMER TRIMESTRE]:[CUARTO TRIMESTRE]])</f>
        <v>0</v>
      </c>
      <c r="I1330" s="17">
        <v>1</v>
      </c>
      <c r="J1330" s="17"/>
      <c r="K1330" s="17"/>
      <c r="L1330" s="16" t="s">
        <v>15</v>
      </c>
      <c r="M1330" s="16" t="s">
        <v>22</v>
      </c>
      <c r="N1330" s="39" t="s">
        <v>342</v>
      </c>
    </row>
    <row r="1331" spans="1:14" s="12" customFormat="1" ht="30.75" customHeight="1">
      <c r="A1331" s="178" t="s">
        <v>153</v>
      </c>
      <c r="B1331" s="75" t="s">
        <v>1664</v>
      </c>
      <c r="C1331" s="412" t="s">
        <v>17</v>
      </c>
      <c r="D1331" s="236"/>
      <c r="E1331" s="236"/>
      <c r="F1331" s="236"/>
      <c r="G1331" s="236"/>
      <c r="H1331" s="244">
        <f>SUM(Tabla132112414[[#This Row],[PRIMER TRIMESTRE]:[CUARTO TRIMESTRE]])</f>
        <v>0</v>
      </c>
      <c r="I1331" s="17">
        <v>1</v>
      </c>
      <c r="J1331" s="17"/>
      <c r="K1331" s="17"/>
      <c r="L1331" s="16" t="s">
        <v>15</v>
      </c>
      <c r="M1331" s="16" t="s">
        <v>22</v>
      </c>
      <c r="N1331" s="39" t="s">
        <v>342</v>
      </c>
    </row>
    <row r="1332" spans="1:14" s="12" customFormat="1" ht="30.75" customHeight="1">
      <c r="A1332" s="178" t="s">
        <v>153</v>
      </c>
      <c r="B1332" s="75" t="s">
        <v>1665</v>
      </c>
      <c r="C1332" s="412" t="s">
        <v>17</v>
      </c>
      <c r="D1332" s="236"/>
      <c r="E1332" s="236"/>
      <c r="F1332" s="236"/>
      <c r="G1332" s="236"/>
      <c r="H1332" s="244">
        <f>SUM(Tabla132112414[[#This Row],[PRIMER TRIMESTRE]:[CUARTO TRIMESTRE]])</f>
        <v>0</v>
      </c>
      <c r="I1332" s="17">
        <v>0</v>
      </c>
      <c r="J1332" s="286"/>
      <c r="K1332" s="286"/>
      <c r="L1332" s="16" t="s">
        <v>15</v>
      </c>
      <c r="M1332" s="16" t="s">
        <v>22</v>
      </c>
      <c r="N1332" s="39" t="s">
        <v>342</v>
      </c>
    </row>
    <row r="1333" spans="1:14" s="12" customFormat="1" ht="30.75" customHeight="1">
      <c r="A1333" s="178" t="s">
        <v>153</v>
      </c>
      <c r="B1333" s="75" t="s">
        <v>768</v>
      </c>
      <c r="C1333" s="39" t="s">
        <v>17</v>
      </c>
      <c r="D1333" s="236"/>
      <c r="E1333" s="236"/>
      <c r="F1333" s="236"/>
      <c r="G1333" s="236"/>
      <c r="H1333" s="244">
        <f>SUM(Tabla132112414[[#This Row],[PRIMER TRIMESTRE]:[CUARTO TRIMESTRE]])</f>
        <v>0</v>
      </c>
      <c r="I1333" s="17">
        <v>48.75</v>
      </c>
      <c r="J1333" s="17">
        <f>+H1333*I1333</f>
        <v>0</v>
      </c>
      <c r="K1333" s="17"/>
      <c r="L1333" s="16" t="s">
        <v>15</v>
      </c>
      <c r="M1333" s="16" t="s">
        <v>22</v>
      </c>
      <c r="N1333" s="39" t="s">
        <v>342</v>
      </c>
    </row>
    <row r="1334" spans="1:14" s="12" customFormat="1" ht="30.75" customHeight="1">
      <c r="A1334" s="178" t="s">
        <v>153</v>
      </c>
      <c r="B1334" s="75" t="s">
        <v>1417</v>
      </c>
      <c r="C1334" s="39" t="s">
        <v>17</v>
      </c>
      <c r="D1334" s="236"/>
      <c r="E1334" s="236"/>
      <c r="F1334" s="236"/>
      <c r="G1334" s="236"/>
      <c r="H1334" s="236">
        <f>SUM(Tabla132112414[[#This Row],[PRIMER TRIMESTRE]:[CUARTO TRIMESTRE]])</f>
        <v>0</v>
      </c>
      <c r="I1334" s="17">
        <v>9</v>
      </c>
      <c r="J1334" s="17">
        <f>+H1334*I1334</f>
        <v>0</v>
      </c>
      <c r="K1334" s="17"/>
      <c r="L1334" s="16" t="s">
        <v>18</v>
      </c>
      <c r="M1334" s="16" t="s">
        <v>22</v>
      </c>
      <c r="N1334" s="39" t="s">
        <v>342</v>
      </c>
    </row>
    <row r="1335" spans="1:14" s="26" customFormat="1" ht="30.75" customHeight="1">
      <c r="A1335" s="178" t="s">
        <v>153</v>
      </c>
      <c r="B1335" s="75" t="s">
        <v>1627</v>
      </c>
      <c r="C1335" s="39" t="s">
        <v>17</v>
      </c>
      <c r="D1335" s="236"/>
      <c r="E1335" s="236"/>
      <c r="F1335" s="236"/>
      <c r="G1335" s="236"/>
      <c r="H1335" s="236">
        <f>SUM(Tabla132112414[[#This Row],[PRIMER TRIMESTRE]:[CUARTO TRIMESTRE]])</f>
        <v>0</v>
      </c>
      <c r="I1335" s="17">
        <v>30</v>
      </c>
      <c r="J1335" s="17">
        <f>+H1335*I1335</f>
        <v>0</v>
      </c>
      <c r="K1335" s="178"/>
      <c r="L1335" s="16" t="s">
        <v>18</v>
      </c>
      <c r="M1335" s="16" t="s">
        <v>22</v>
      </c>
      <c r="N1335" s="39" t="s">
        <v>342</v>
      </c>
    </row>
    <row r="1336" spans="1:14" s="169" customFormat="1" ht="30.75" customHeight="1">
      <c r="A1336" s="178" t="s">
        <v>153</v>
      </c>
      <c r="B1336" s="75" t="s">
        <v>1466</v>
      </c>
      <c r="C1336" s="39" t="s">
        <v>17</v>
      </c>
      <c r="D1336" s="236"/>
      <c r="E1336" s="236"/>
      <c r="F1336" s="236"/>
      <c r="G1336" s="236"/>
      <c r="H1336" s="244">
        <f>SUM(Tabla132112414[[#This Row],[PRIMER TRIMESTRE]:[CUARTO TRIMESTRE]])</f>
        <v>0</v>
      </c>
      <c r="I1336" s="17">
        <v>2200</v>
      </c>
      <c r="J1336" s="17">
        <f>+H1336*I1336</f>
        <v>0</v>
      </c>
      <c r="K1336" s="17"/>
      <c r="L1336" s="16" t="s">
        <v>18</v>
      </c>
      <c r="M1336" s="16" t="s">
        <v>22</v>
      </c>
      <c r="N1336" s="39" t="s">
        <v>342</v>
      </c>
    </row>
    <row r="1337" spans="1:14" s="169" customFormat="1" ht="49.5" customHeight="1">
      <c r="A1337" s="179" t="s">
        <v>153</v>
      </c>
      <c r="B1337" s="76"/>
      <c r="C1337" s="42"/>
      <c r="D1337" s="237"/>
      <c r="E1337" s="237"/>
      <c r="F1337" s="237"/>
      <c r="G1337" s="237"/>
      <c r="H1337" s="43"/>
      <c r="I1337" s="24"/>
      <c r="J1337" s="24"/>
      <c r="K1337" s="25">
        <f>SUM(J1333:J1336)</f>
        <v>0</v>
      </c>
      <c r="L1337" s="23"/>
      <c r="M1337" s="23"/>
      <c r="N1337" s="42"/>
    </row>
    <row r="1338" spans="1:14" s="169" customFormat="1" ht="51.75" customHeight="1">
      <c r="A1338" s="180" t="s">
        <v>1024</v>
      </c>
      <c r="B1338" s="77" t="s">
        <v>1025</v>
      </c>
      <c r="C1338" s="70" t="s">
        <v>17</v>
      </c>
      <c r="D1338" s="210"/>
      <c r="E1338" s="210"/>
      <c r="F1338" s="210"/>
      <c r="G1338" s="210"/>
      <c r="H1338" s="406">
        <f>SUM(Tabla132112414[[#This Row],[PRIMER TRIMESTRE]:[CUARTO TRIMESTRE]])</f>
        <v>0</v>
      </c>
      <c r="I1338" s="72">
        <v>2465459.7599999998</v>
      </c>
      <c r="J1338" s="72">
        <f t="shared" ref="J1338:J1343" si="34">+H1338*I1338</f>
        <v>0</v>
      </c>
      <c r="K1338" s="72"/>
      <c r="L1338" s="73" t="s">
        <v>18</v>
      </c>
      <c r="M1338" s="73" t="s">
        <v>19</v>
      </c>
      <c r="N1338" s="70"/>
    </row>
    <row r="1339" spans="1:14" s="169" customFormat="1" ht="54" customHeight="1">
      <c r="A1339" s="180" t="s">
        <v>1024</v>
      </c>
      <c r="B1339" s="77" t="s">
        <v>1026</v>
      </c>
      <c r="C1339" s="70" t="s">
        <v>17</v>
      </c>
      <c r="D1339" s="210"/>
      <c r="E1339" s="210"/>
      <c r="F1339" s="210"/>
      <c r="G1339" s="210"/>
      <c r="H1339" s="406">
        <f>SUM(Tabla132112414[[#This Row],[PRIMER TRIMESTRE]:[CUARTO TRIMESTRE]])</f>
        <v>0</v>
      </c>
      <c r="I1339" s="72">
        <v>485677.62</v>
      </c>
      <c r="J1339" s="72">
        <f t="shared" si="34"/>
        <v>0</v>
      </c>
      <c r="K1339" s="72"/>
      <c r="L1339" s="73" t="s">
        <v>18</v>
      </c>
      <c r="M1339" s="73" t="s">
        <v>19</v>
      </c>
      <c r="N1339" s="70" t="s">
        <v>342</v>
      </c>
    </row>
    <row r="1340" spans="1:14" s="169" customFormat="1" ht="48.75" customHeight="1">
      <c r="A1340" s="180" t="s">
        <v>1024</v>
      </c>
      <c r="B1340" s="77" t="s">
        <v>1027</v>
      </c>
      <c r="C1340" s="70" t="s">
        <v>17</v>
      </c>
      <c r="D1340" s="210"/>
      <c r="E1340" s="210"/>
      <c r="F1340" s="210"/>
      <c r="G1340" s="210"/>
      <c r="H1340" s="406">
        <f>SUM(Tabla132112414[[#This Row],[PRIMER TRIMESTRE]:[CUARTO TRIMESTRE]])</f>
        <v>0</v>
      </c>
      <c r="I1340" s="72">
        <v>7126452.3600000003</v>
      </c>
      <c r="J1340" s="72">
        <f t="shared" si="34"/>
        <v>0</v>
      </c>
      <c r="K1340" s="72"/>
      <c r="L1340" s="73" t="s">
        <v>18</v>
      </c>
      <c r="M1340" s="73" t="s">
        <v>19</v>
      </c>
      <c r="N1340" s="70"/>
    </row>
    <row r="1341" spans="1:14" s="169" customFormat="1" ht="51" customHeight="1">
      <c r="A1341" s="180" t="s">
        <v>1024</v>
      </c>
      <c r="B1341" s="77" t="s">
        <v>1028</v>
      </c>
      <c r="C1341" s="70" t="s">
        <v>17</v>
      </c>
      <c r="D1341" s="210"/>
      <c r="E1341" s="210"/>
      <c r="F1341" s="210"/>
      <c r="G1341" s="210"/>
      <c r="H1341" s="406">
        <f>SUM(Tabla132112414[[#This Row],[PRIMER TRIMESTRE]:[CUARTO TRIMESTRE]])</f>
        <v>0</v>
      </c>
      <c r="I1341" s="72">
        <v>52892.2</v>
      </c>
      <c r="J1341" s="72">
        <f t="shared" si="34"/>
        <v>0</v>
      </c>
      <c r="K1341" s="72"/>
      <c r="L1341" s="73" t="s">
        <v>18</v>
      </c>
      <c r="M1341" s="73" t="s">
        <v>19</v>
      </c>
      <c r="N1341" s="70" t="s">
        <v>342</v>
      </c>
    </row>
    <row r="1342" spans="1:14" s="169" customFormat="1" ht="48.75" customHeight="1">
      <c r="A1342" s="180" t="s">
        <v>1024</v>
      </c>
      <c r="B1342" s="77" t="s">
        <v>1029</v>
      </c>
      <c r="C1342" s="70" t="s">
        <v>17</v>
      </c>
      <c r="D1342" s="210"/>
      <c r="E1342" s="210"/>
      <c r="F1342" s="210"/>
      <c r="G1342" s="210"/>
      <c r="H1342" s="406">
        <f>SUM(Tabla132112414[[#This Row],[PRIMER TRIMESTRE]:[CUARTO TRIMESTRE]])</f>
        <v>0</v>
      </c>
      <c r="I1342" s="72">
        <v>134185.97999999998</v>
      </c>
      <c r="J1342" s="72">
        <f t="shared" si="34"/>
        <v>0</v>
      </c>
      <c r="K1342" s="72"/>
      <c r="L1342" s="73" t="s">
        <v>18</v>
      </c>
      <c r="M1342" s="73" t="s">
        <v>19</v>
      </c>
      <c r="N1342" s="70"/>
    </row>
    <row r="1343" spans="1:14" s="12" customFormat="1" ht="30.75" customHeight="1">
      <c r="A1343" s="180" t="s">
        <v>1024</v>
      </c>
      <c r="B1343" s="77" t="s">
        <v>1030</v>
      </c>
      <c r="C1343" s="70" t="s">
        <v>17</v>
      </c>
      <c r="D1343" s="210"/>
      <c r="E1343" s="210"/>
      <c r="F1343" s="210"/>
      <c r="G1343" s="210"/>
      <c r="H1343" s="406">
        <f>SUM(Tabla132112414[[#This Row],[PRIMER TRIMESTRE]:[CUARTO TRIMESTRE]])</f>
        <v>0</v>
      </c>
      <c r="I1343" s="72">
        <v>624559.46</v>
      </c>
      <c r="J1343" s="72">
        <f t="shared" si="34"/>
        <v>0</v>
      </c>
      <c r="K1343" s="72"/>
      <c r="L1343" s="73" t="s">
        <v>18</v>
      </c>
      <c r="M1343" s="73" t="s">
        <v>19</v>
      </c>
      <c r="N1343" s="70"/>
    </row>
    <row r="1344" spans="1:14" s="169" customFormat="1" ht="30.75" customHeight="1">
      <c r="A1344" s="179" t="s">
        <v>1024</v>
      </c>
      <c r="B1344" s="76"/>
      <c r="C1344" s="42"/>
      <c r="D1344" s="237"/>
      <c r="E1344" s="237"/>
      <c r="F1344" s="237"/>
      <c r="G1344" s="237"/>
      <c r="H1344" s="43"/>
      <c r="I1344" s="24"/>
      <c r="J1344" s="24"/>
      <c r="K1344" s="25">
        <f>SUM(J1338:J1343)</f>
        <v>0</v>
      </c>
      <c r="L1344" s="23"/>
      <c r="M1344" s="23"/>
      <c r="N1344" s="42"/>
    </row>
    <row r="1345" spans="1:14" s="169" customFormat="1" ht="30.75" customHeight="1">
      <c r="A1345" s="180" t="s">
        <v>167</v>
      </c>
      <c r="B1345" s="77" t="s">
        <v>964</v>
      </c>
      <c r="C1345" s="70" t="s">
        <v>17</v>
      </c>
      <c r="D1345" s="210"/>
      <c r="E1345" s="210"/>
      <c r="F1345" s="210"/>
      <c r="G1345" s="210"/>
      <c r="H1345" s="406">
        <f>SUM(Tabla132112414[[#This Row],[PRIMER TRIMESTRE]:[CUARTO TRIMESTRE]])</f>
        <v>0</v>
      </c>
      <c r="I1345" s="72">
        <v>84508.178</v>
      </c>
      <c r="J1345" s="72">
        <f t="shared" ref="J1345:J1407" si="35">+H1345*I1345</f>
        <v>0</v>
      </c>
      <c r="K1345" s="72"/>
      <c r="L1345" s="73" t="s">
        <v>18</v>
      </c>
      <c r="M1345" s="73" t="s">
        <v>19</v>
      </c>
      <c r="N1345" s="70" t="s">
        <v>342</v>
      </c>
    </row>
    <row r="1346" spans="1:14" s="169" customFormat="1" ht="30.75" customHeight="1">
      <c r="A1346" s="180" t="s">
        <v>167</v>
      </c>
      <c r="B1346" s="77" t="s">
        <v>965</v>
      </c>
      <c r="C1346" s="70" t="s">
        <v>17</v>
      </c>
      <c r="D1346" s="210"/>
      <c r="E1346" s="210"/>
      <c r="F1346" s="210"/>
      <c r="G1346" s="210"/>
      <c r="H1346" s="406">
        <f>SUM(Tabla132112414[[#This Row],[PRIMER TRIMESTRE]:[CUARTO TRIMESTRE]])</f>
        <v>0</v>
      </c>
      <c r="I1346" s="72">
        <v>55372.68</v>
      </c>
      <c r="J1346" s="72">
        <f t="shared" si="35"/>
        <v>0</v>
      </c>
      <c r="K1346" s="72"/>
      <c r="L1346" s="73" t="s">
        <v>18</v>
      </c>
      <c r="M1346" s="73" t="s">
        <v>19</v>
      </c>
      <c r="N1346" s="70"/>
    </row>
    <row r="1347" spans="1:14" s="169" customFormat="1" ht="30.75" customHeight="1">
      <c r="A1347" s="180" t="s">
        <v>167</v>
      </c>
      <c r="B1347" s="77" t="s">
        <v>966</v>
      </c>
      <c r="C1347" s="70" t="s">
        <v>17</v>
      </c>
      <c r="D1347" s="210"/>
      <c r="E1347" s="210"/>
      <c r="F1347" s="210"/>
      <c r="G1347" s="210"/>
      <c r="H1347" s="406">
        <f>SUM(Tabla132112414[[#This Row],[PRIMER TRIMESTRE]:[CUARTO TRIMESTRE]])</f>
        <v>0</v>
      </c>
      <c r="I1347" s="72">
        <v>467752</v>
      </c>
      <c r="J1347" s="72">
        <f t="shared" si="35"/>
        <v>0</v>
      </c>
      <c r="K1347" s="72"/>
      <c r="L1347" s="73" t="s">
        <v>18</v>
      </c>
      <c r="M1347" s="73" t="s">
        <v>19</v>
      </c>
      <c r="N1347" s="70"/>
    </row>
    <row r="1348" spans="1:14" s="169" customFormat="1" ht="30.75" customHeight="1">
      <c r="A1348" s="180" t="s">
        <v>167</v>
      </c>
      <c r="B1348" s="77" t="s">
        <v>967</v>
      </c>
      <c r="C1348" s="70" t="s">
        <v>17</v>
      </c>
      <c r="D1348" s="210"/>
      <c r="E1348" s="210"/>
      <c r="F1348" s="210"/>
      <c r="G1348" s="210"/>
      <c r="H1348" s="406">
        <f>SUM(Tabla132112414[[#This Row],[PRIMER TRIMESTRE]:[CUARTO TRIMESTRE]])</f>
        <v>0</v>
      </c>
      <c r="I1348" s="72">
        <v>804524</v>
      </c>
      <c r="J1348" s="72">
        <f t="shared" si="35"/>
        <v>0</v>
      </c>
      <c r="K1348" s="72"/>
      <c r="L1348" s="73" t="s">
        <v>18</v>
      </c>
      <c r="M1348" s="73" t="s">
        <v>19</v>
      </c>
      <c r="N1348" s="70"/>
    </row>
    <row r="1349" spans="1:14" s="169" customFormat="1" ht="30.75" customHeight="1">
      <c r="A1349" s="180" t="s">
        <v>167</v>
      </c>
      <c r="B1349" s="77" t="s">
        <v>968</v>
      </c>
      <c r="C1349" s="70" t="s">
        <v>17</v>
      </c>
      <c r="D1349" s="210"/>
      <c r="E1349" s="210"/>
      <c r="F1349" s="210"/>
      <c r="G1349" s="210"/>
      <c r="H1349" s="406">
        <f>SUM(Tabla132112414[[#This Row],[PRIMER TRIMESTRE]:[CUARTO TRIMESTRE]])</f>
        <v>0</v>
      </c>
      <c r="I1349" s="72">
        <v>223315</v>
      </c>
      <c r="J1349" s="72">
        <f t="shared" si="35"/>
        <v>0</v>
      </c>
      <c r="K1349" s="72"/>
      <c r="L1349" s="73" t="s">
        <v>18</v>
      </c>
      <c r="M1349" s="73" t="s">
        <v>19</v>
      </c>
      <c r="N1349" s="70" t="s">
        <v>342</v>
      </c>
    </row>
    <row r="1350" spans="1:14" s="169" customFormat="1" ht="30.75" customHeight="1">
      <c r="A1350" s="180" t="s">
        <v>167</v>
      </c>
      <c r="B1350" s="77" t="s">
        <v>969</v>
      </c>
      <c r="C1350" s="70" t="s">
        <v>17</v>
      </c>
      <c r="D1350" s="210"/>
      <c r="E1350" s="210"/>
      <c r="F1350" s="210"/>
      <c r="G1350" s="210"/>
      <c r="H1350" s="406">
        <f>SUM(Tabla132112414[[#This Row],[PRIMER TRIMESTRE]:[CUARTO TRIMESTRE]])</f>
        <v>0</v>
      </c>
      <c r="I1350" s="72">
        <v>73588.34</v>
      </c>
      <c r="J1350" s="72">
        <f t="shared" si="35"/>
        <v>0</v>
      </c>
      <c r="K1350" s="72"/>
      <c r="L1350" s="73" t="s">
        <v>18</v>
      </c>
      <c r="M1350" s="73" t="s">
        <v>19</v>
      </c>
      <c r="N1350" s="70" t="s">
        <v>342</v>
      </c>
    </row>
    <row r="1351" spans="1:14" s="169" customFormat="1" ht="30.75" customHeight="1">
      <c r="A1351" s="180" t="s">
        <v>167</v>
      </c>
      <c r="B1351" s="77" t="s">
        <v>970</v>
      </c>
      <c r="C1351" s="70" t="s">
        <v>17</v>
      </c>
      <c r="D1351" s="210"/>
      <c r="E1351" s="210"/>
      <c r="F1351" s="210"/>
      <c r="G1351" s="210"/>
      <c r="H1351" s="406">
        <f>SUM(Tabla132112414[[#This Row],[PRIMER TRIMESTRE]:[CUARTO TRIMESTRE]])</f>
        <v>0</v>
      </c>
      <c r="I1351" s="72">
        <v>170392</v>
      </c>
      <c r="J1351" s="72">
        <f t="shared" si="35"/>
        <v>0</v>
      </c>
      <c r="K1351" s="72"/>
      <c r="L1351" s="73" t="s">
        <v>18</v>
      </c>
      <c r="M1351" s="73" t="s">
        <v>19</v>
      </c>
      <c r="N1351" s="70" t="s">
        <v>342</v>
      </c>
    </row>
    <row r="1352" spans="1:14" s="169" customFormat="1" ht="30.75" customHeight="1">
      <c r="A1352" s="180" t="s">
        <v>167</v>
      </c>
      <c r="B1352" s="77" t="s">
        <v>971</v>
      </c>
      <c r="C1352" s="70" t="s">
        <v>17</v>
      </c>
      <c r="D1352" s="210"/>
      <c r="E1352" s="210"/>
      <c r="F1352" s="210"/>
      <c r="G1352" s="210"/>
      <c r="H1352" s="406">
        <f>SUM(Tabla132112414[[#This Row],[PRIMER TRIMESTRE]:[CUARTO TRIMESTRE]])</f>
        <v>0</v>
      </c>
      <c r="I1352" s="72">
        <v>274350</v>
      </c>
      <c r="J1352" s="72">
        <f t="shared" si="35"/>
        <v>0</v>
      </c>
      <c r="K1352" s="72"/>
      <c r="L1352" s="73" t="s">
        <v>18</v>
      </c>
      <c r="M1352" s="73" t="s">
        <v>19</v>
      </c>
      <c r="N1352" s="70" t="s">
        <v>342</v>
      </c>
    </row>
    <row r="1353" spans="1:14" s="169" customFormat="1" ht="30.75" customHeight="1">
      <c r="A1353" s="180" t="s">
        <v>167</v>
      </c>
      <c r="B1353" s="77" t="s">
        <v>972</v>
      </c>
      <c r="C1353" s="70" t="s">
        <v>17</v>
      </c>
      <c r="D1353" s="210"/>
      <c r="E1353" s="210"/>
      <c r="F1353" s="210"/>
      <c r="G1353" s="210"/>
      <c r="H1353" s="406">
        <f>SUM(Tabla132112414[[#This Row],[PRIMER TRIMESTRE]:[CUARTO TRIMESTRE]])</f>
        <v>0</v>
      </c>
      <c r="I1353" s="72">
        <v>55460</v>
      </c>
      <c r="J1353" s="72">
        <f t="shared" si="35"/>
        <v>0</v>
      </c>
      <c r="K1353" s="72"/>
      <c r="L1353" s="73" t="s">
        <v>18</v>
      </c>
      <c r="M1353" s="73" t="s">
        <v>19</v>
      </c>
      <c r="N1353" s="70" t="s">
        <v>342</v>
      </c>
    </row>
    <row r="1354" spans="1:14" s="169" customFormat="1" ht="30.75" customHeight="1">
      <c r="A1354" s="180" t="s">
        <v>167</v>
      </c>
      <c r="B1354" s="77" t="s">
        <v>973</v>
      </c>
      <c r="C1354" s="70" t="s">
        <v>17</v>
      </c>
      <c r="D1354" s="210"/>
      <c r="E1354" s="210"/>
      <c r="F1354" s="210"/>
      <c r="G1354" s="210"/>
      <c r="H1354" s="406">
        <f>SUM(Tabla132112414[[#This Row],[PRIMER TRIMESTRE]:[CUARTO TRIMESTRE]])</f>
        <v>0</v>
      </c>
      <c r="I1354" s="72">
        <v>59000</v>
      </c>
      <c r="J1354" s="72">
        <f t="shared" si="35"/>
        <v>0</v>
      </c>
      <c r="K1354" s="72"/>
      <c r="L1354" s="73" t="s">
        <v>18</v>
      </c>
      <c r="M1354" s="73" t="s">
        <v>19</v>
      </c>
      <c r="N1354" s="70" t="s">
        <v>342</v>
      </c>
    </row>
    <row r="1355" spans="1:14" s="169" customFormat="1" ht="30.75" customHeight="1">
      <c r="A1355" s="180" t="s">
        <v>167</v>
      </c>
      <c r="B1355" s="77" t="s">
        <v>974</v>
      </c>
      <c r="C1355" s="70" t="s">
        <v>17</v>
      </c>
      <c r="D1355" s="210"/>
      <c r="E1355" s="210"/>
      <c r="F1355" s="210"/>
      <c r="G1355" s="210"/>
      <c r="H1355" s="406">
        <f>SUM(Tabla132112414[[#This Row],[PRIMER TRIMESTRE]:[CUARTO TRIMESTRE]])</f>
        <v>0</v>
      </c>
      <c r="I1355" s="72">
        <v>17700</v>
      </c>
      <c r="J1355" s="72">
        <f t="shared" si="35"/>
        <v>0</v>
      </c>
      <c r="K1355" s="72"/>
      <c r="L1355" s="73" t="s">
        <v>18</v>
      </c>
      <c r="M1355" s="73" t="s">
        <v>19</v>
      </c>
      <c r="N1355" s="70" t="s">
        <v>342</v>
      </c>
    </row>
    <row r="1356" spans="1:14" s="169" customFormat="1" ht="30.75" customHeight="1">
      <c r="A1356" s="180" t="s">
        <v>167</v>
      </c>
      <c r="B1356" s="77" t="s">
        <v>975</v>
      </c>
      <c r="C1356" s="70" t="s">
        <v>17</v>
      </c>
      <c r="D1356" s="210"/>
      <c r="E1356" s="210"/>
      <c r="F1356" s="210"/>
      <c r="G1356" s="210"/>
      <c r="H1356" s="406">
        <f>SUM(Tabla132112414[[#This Row],[PRIMER TRIMESTRE]:[CUARTO TRIMESTRE]])</f>
        <v>0</v>
      </c>
      <c r="I1356" s="72">
        <v>843572.93759999995</v>
      </c>
      <c r="J1356" s="72">
        <f t="shared" si="35"/>
        <v>0</v>
      </c>
      <c r="K1356" s="72"/>
      <c r="L1356" s="73" t="s">
        <v>18</v>
      </c>
      <c r="M1356" s="73" t="s">
        <v>19</v>
      </c>
      <c r="N1356" s="70" t="s">
        <v>342</v>
      </c>
    </row>
    <row r="1357" spans="1:14" s="169" customFormat="1" ht="30.75" customHeight="1">
      <c r="A1357" s="180" t="s">
        <v>167</v>
      </c>
      <c r="B1357" s="77" t="s">
        <v>976</v>
      </c>
      <c r="C1357" s="70" t="s">
        <v>17</v>
      </c>
      <c r="D1357" s="210"/>
      <c r="E1357" s="210"/>
      <c r="F1357" s="210"/>
      <c r="G1357" s="210"/>
      <c r="H1357" s="406">
        <f>SUM(Tabla132112414[[#This Row],[PRIMER TRIMESTRE]:[CUARTO TRIMESTRE]])</f>
        <v>0</v>
      </c>
      <c r="I1357" s="72">
        <v>46936.765599999999</v>
      </c>
      <c r="J1357" s="72">
        <f t="shared" si="35"/>
        <v>0</v>
      </c>
      <c r="K1357" s="72"/>
      <c r="L1357" s="73" t="s">
        <v>18</v>
      </c>
      <c r="M1357" s="73" t="s">
        <v>19</v>
      </c>
      <c r="N1357" s="70" t="s">
        <v>342</v>
      </c>
    </row>
    <row r="1358" spans="1:14" s="169" customFormat="1" ht="42.75" customHeight="1">
      <c r="A1358" s="180" t="s">
        <v>167</v>
      </c>
      <c r="B1358" s="77" t="s">
        <v>977</v>
      </c>
      <c r="C1358" s="70" t="s">
        <v>17</v>
      </c>
      <c r="D1358" s="210"/>
      <c r="E1358" s="210"/>
      <c r="F1358" s="210"/>
      <c r="G1358" s="210"/>
      <c r="H1358" s="406">
        <f>SUM(Tabla132112414[[#This Row],[PRIMER TRIMESTRE]:[CUARTO TRIMESTRE]])</f>
        <v>0</v>
      </c>
      <c r="I1358" s="72">
        <v>121535.63399999999</v>
      </c>
      <c r="J1358" s="72">
        <f t="shared" si="35"/>
        <v>0</v>
      </c>
      <c r="K1358" s="72"/>
      <c r="L1358" s="73" t="s">
        <v>18</v>
      </c>
      <c r="M1358" s="73" t="s">
        <v>19</v>
      </c>
      <c r="N1358" s="70" t="s">
        <v>342</v>
      </c>
    </row>
    <row r="1359" spans="1:14" s="169" customFormat="1" ht="30.75" customHeight="1">
      <c r="A1359" s="180" t="s">
        <v>167</v>
      </c>
      <c r="B1359" s="77" t="s">
        <v>978</v>
      </c>
      <c r="C1359" s="70" t="s">
        <v>17</v>
      </c>
      <c r="D1359" s="210"/>
      <c r="E1359" s="210"/>
      <c r="F1359" s="210"/>
      <c r="G1359" s="210"/>
      <c r="H1359" s="406">
        <f>SUM(Tabla132112414[[#This Row],[PRIMER TRIMESTRE]:[CUARTO TRIMESTRE]])</f>
        <v>0</v>
      </c>
      <c r="I1359" s="72">
        <v>1558708.1733999997</v>
      </c>
      <c r="J1359" s="72">
        <f t="shared" si="35"/>
        <v>0</v>
      </c>
      <c r="K1359" s="72"/>
      <c r="L1359" s="73" t="s">
        <v>18</v>
      </c>
      <c r="M1359" s="73" t="s">
        <v>19</v>
      </c>
      <c r="N1359" s="70" t="s">
        <v>342</v>
      </c>
    </row>
    <row r="1360" spans="1:14" s="169" customFormat="1" ht="30.75" customHeight="1">
      <c r="A1360" s="180" t="s">
        <v>167</v>
      </c>
      <c r="B1360" s="77" t="s">
        <v>979</v>
      </c>
      <c r="C1360" s="70" t="s">
        <v>17</v>
      </c>
      <c r="D1360" s="210"/>
      <c r="E1360" s="210"/>
      <c r="F1360" s="210"/>
      <c r="G1360" s="210"/>
      <c r="H1360" s="406">
        <f>SUM(Tabla132112414[[#This Row],[PRIMER TRIMESTRE]:[CUARTO TRIMESTRE]])</f>
        <v>0</v>
      </c>
      <c r="I1360" s="72">
        <v>125316</v>
      </c>
      <c r="J1360" s="72">
        <f t="shared" si="35"/>
        <v>0</v>
      </c>
      <c r="K1360" s="72"/>
      <c r="L1360" s="73" t="s">
        <v>18</v>
      </c>
      <c r="M1360" s="73" t="s">
        <v>19</v>
      </c>
      <c r="N1360" s="70" t="s">
        <v>342</v>
      </c>
    </row>
    <row r="1361" spans="1:14" s="169" customFormat="1" ht="30.75" customHeight="1">
      <c r="A1361" s="180" t="s">
        <v>167</v>
      </c>
      <c r="B1361" s="77" t="s">
        <v>980</v>
      </c>
      <c r="C1361" s="70" t="s">
        <v>17</v>
      </c>
      <c r="D1361" s="210"/>
      <c r="E1361" s="210"/>
      <c r="F1361" s="210"/>
      <c r="G1361" s="210"/>
      <c r="H1361" s="406">
        <f>SUM(Tabla132112414[[#This Row],[PRIMER TRIMESTRE]:[CUARTO TRIMESTRE]])</f>
        <v>0</v>
      </c>
      <c r="I1361" s="72">
        <v>953817.59999999998</v>
      </c>
      <c r="J1361" s="72">
        <f t="shared" si="35"/>
        <v>0</v>
      </c>
      <c r="K1361" s="72"/>
      <c r="L1361" s="73" t="s">
        <v>18</v>
      </c>
      <c r="M1361" s="73" t="s">
        <v>19</v>
      </c>
      <c r="N1361" s="70"/>
    </row>
    <row r="1362" spans="1:14" s="169" customFormat="1" ht="30.75" customHeight="1">
      <c r="A1362" s="180" t="s">
        <v>167</v>
      </c>
      <c r="B1362" s="77" t="s">
        <v>981</v>
      </c>
      <c r="C1362" s="70" t="s">
        <v>17</v>
      </c>
      <c r="D1362" s="210"/>
      <c r="E1362" s="210"/>
      <c r="F1362" s="210"/>
      <c r="G1362" s="210"/>
      <c r="H1362" s="406">
        <f>SUM(Tabla132112414[[#This Row],[PRIMER TRIMESTRE]:[CUARTO TRIMESTRE]])</f>
        <v>0</v>
      </c>
      <c r="I1362" s="72">
        <v>443739</v>
      </c>
      <c r="J1362" s="72">
        <f t="shared" si="35"/>
        <v>0</v>
      </c>
      <c r="K1362" s="72"/>
      <c r="L1362" s="73" t="s">
        <v>18</v>
      </c>
      <c r="M1362" s="73" t="s">
        <v>19</v>
      </c>
      <c r="N1362" s="70" t="s">
        <v>342</v>
      </c>
    </row>
    <row r="1363" spans="1:14" s="169" customFormat="1" ht="30.75" customHeight="1">
      <c r="A1363" s="180" t="s">
        <v>167</v>
      </c>
      <c r="B1363" s="77" t="s">
        <v>982</v>
      </c>
      <c r="C1363" s="70" t="s">
        <v>17</v>
      </c>
      <c r="D1363" s="210"/>
      <c r="E1363" s="210"/>
      <c r="F1363" s="210"/>
      <c r="G1363" s="210"/>
      <c r="H1363" s="406">
        <f>SUM(Tabla132112414[[#This Row],[PRIMER TRIMESTRE]:[CUARTO TRIMESTRE]])</f>
        <v>0</v>
      </c>
      <c r="I1363" s="72">
        <v>399194</v>
      </c>
      <c r="J1363" s="72">
        <f t="shared" si="35"/>
        <v>0</v>
      </c>
      <c r="K1363" s="72"/>
      <c r="L1363" s="73" t="s">
        <v>18</v>
      </c>
      <c r="M1363" s="73" t="s">
        <v>19</v>
      </c>
      <c r="N1363" s="70"/>
    </row>
    <row r="1364" spans="1:14" s="169" customFormat="1" ht="30.75" customHeight="1">
      <c r="A1364" s="180" t="s">
        <v>167</v>
      </c>
      <c r="B1364" s="77" t="s">
        <v>983</v>
      </c>
      <c r="C1364" s="70" t="s">
        <v>17</v>
      </c>
      <c r="D1364" s="210"/>
      <c r="E1364" s="210"/>
      <c r="F1364" s="210"/>
      <c r="G1364" s="210"/>
      <c r="H1364" s="406">
        <f>SUM(Tabla132112414[[#This Row],[PRIMER TRIMESTRE]:[CUARTO TRIMESTRE]])</f>
        <v>0</v>
      </c>
      <c r="I1364" s="72">
        <v>5763120</v>
      </c>
      <c r="J1364" s="72">
        <f t="shared" si="35"/>
        <v>0</v>
      </c>
      <c r="K1364" s="72"/>
      <c r="L1364" s="73" t="s">
        <v>18</v>
      </c>
      <c r="M1364" s="73" t="s">
        <v>19</v>
      </c>
      <c r="N1364" s="70"/>
    </row>
    <row r="1365" spans="1:14" s="169" customFormat="1" ht="30.75" customHeight="1">
      <c r="A1365" s="180" t="s">
        <v>167</v>
      </c>
      <c r="B1365" s="77" t="s">
        <v>984</v>
      </c>
      <c r="C1365" s="70" t="s">
        <v>17</v>
      </c>
      <c r="D1365" s="210"/>
      <c r="E1365" s="210"/>
      <c r="F1365" s="210"/>
      <c r="G1365" s="210"/>
      <c r="H1365" s="406">
        <f>SUM(Tabla132112414[[#This Row],[PRIMER TRIMESTRE]:[CUARTO TRIMESTRE]])</f>
        <v>0</v>
      </c>
      <c r="I1365" s="72">
        <v>399194</v>
      </c>
      <c r="J1365" s="72">
        <f t="shared" si="35"/>
        <v>0</v>
      </c>
      <c r="K1365" s="72"/>
      <c r="L1365" s="73" t="s">
        <v>18</v>
      </c>
      <c r="M1365" s="73" t="s">
        <v>19</v>
      </c>
      <c r="N1365" s="70" t="s">
        <v>342</v>
      </c>
    </row>
    <row r="1366" spans="1:14" s="169" customFormat="1" ht="30.75" customHeight="1">
      <c r="A1366" s="180" t="s">
        <v>167</v>
      </c>
      <c r="B1366" s="77" t="s">
        <v>985</v>
      </c>
      <c r="C1366" s="70" t="s">
        <v>17</v>
      </c>
      <c r="D1366" s="210"/>
      <c r="E1366" s="210"/>
      <c r="F1366" s="210"/>
      <c r="G1366" s="210"/>
      <c r="H1366" s="406">
        <f>SUM(Tabla132112414[[#This Row],[PRIMER TRIMESTRE]:[CUARTO TRIMESTRE]])</f>
        <v>0</v>
      </c>
      <c r="I1366" s="72">
        <v>130224.79999999999</v>
      </c>
      <c r="J1366" s="72">
        <f t="shared" si="35"/>
        <v>0</v>
      </c>
      <c r="K1366" s="72"/>
      <c r="L1366" s="73" t="s">
        <v>18</v>
      </c>
      <c r="M1366" s="73" t="s">
        <v>19</v>
      </c>
      <c r="N1366" s="70" t="s">
        <v>342</v>
      </c>
    </row>
    <row r="1367" spans="1:14" s="169" customFormat="1" ht="30.75" customHeight="1">
      <c r="A1367" s="180" t="s">
        <v>167</v>
      </c>
      <c r="B1367" s="77" t="s">
        <v>986</v>
      </c>
      <c r="C1367" s="70" t="s">
        <v>17</v>
      </c>
      <c r="D1367" s="210"/>
      <c r="E1367" s="210"/>
      <c r="F1367" s="210"/>
      <c r="G1367" s="210"/>
      <c r="H1367" s="406">
        <f>SUM(Tabla132112414[[#This Row],[PRIMER TRIMESTRE]:[CUARTO TRIMESTRE]])</f>
        <v>0</v>
      </c>
      <c r="I1367" s="72">
        <v>394438.6</v>
      </c>
      <c r="J1367" s="72">
        <f t="shared" si="35"/>
        <v>0</v>
      </c>
      <c r="K1367" s="72"/>
      <c r="L1367" s="73" t="s">
        <v>18</v>
      </c>
      <c r="M1367" s="73" t="s">
        <v>19</v>
      </c>
      <c r="N1367" s="70"/>
    </row>
    <row r="1368" spans="1:14" s="169" customFormat="1" ht="30.75" customHeight="1">
      <c r="A1368" s="180" t="s">
        <v>167</v>
      </c>
      <c r="B1368" s="77" t="s">
        <v>987</v>
      </c>
      <c r="C1368" s="70" t="s">
        <v>17</v>
      </c>
      <c r="D1368" s="210"/>
      <c r="E1368" s="210"/>
      <c r="F1368" s="210"/>
      <c r="G1368" s="210"/>
      <c r="H1368" s="406">
        <f>SUM(Tabla132112414[[#This Row],[PRIMER TRIMESTRE]:[CUARTO TRIMESTRE]])</f>
        <v>0</v>
      </c>
      <c r="I1368" s="72">
        <v>554027.69999999995</v>
      </c>
      <c r="J1368" s="72">
        <f t="shared" si="35"/>
        <v>0</v>
      </c>
      <c r="K1368" s="72"/>
      <c r="L1368" s="73" t="s">
        <v>18</v>
      </c>
      <c r="M1368" s="73" t="s">
        <v>19</v>
      </c>
      <c r="N1368" s="70"/>
    </row>
    <row r="1369" spans="1:14" s="169" customFormat="1" ht="30.75" customHeight="1">
      <c r="A1369" s="180" t="s">
        <v>167</v>
      </c>
      <c r="B1369" s="77" t="s">
        <v>988</v>
      </c>
      <c r="C1369" s="70" t="s">
        <v>17</v>
      </c>
      <c r="D1369" s="210"/>
      <c r="E1369" s="210"/>
      <c r="F1369" s="210"/>
      <c r="G1369" s="210"/>
      <c r="H1369" s="406">
        <f>SUM(Tabla132112414[[#This Row],[PRIMER TRIMESTRE]:[CUARTO TRIMESTRE]])</f>
        <v>0</v>
      </c>
      <c r="I1369" s="72">
        <v>406250.39999999997</v>
      </c>
      <c r="J1369" s="72">
        <f t="shared" si="35"/>
        <v>0</v>
      </c>
      <c r="K1369" s="72"/>
      <c r="L1369" s="73" t="s">
        <v>18</v>
      </c>
      <c r="M1369" s="73" t="s">
        <v>19</v>
      </c>
      <c r="N1369" s="70" t="s">
        <v>342</v>
      </c>
    </row>
    <row r="1370" spans="1:14" s="169" customFormat="1" ht="53.25" customHeight="1">
      <c r="A1370" s="180" t="s">
        <v>167</v>
      </c>
      <c r="B1370" s="77" t="s">
        <v>989</v>
      </c>
      <c r="C1370" s="70" t="s">
        <v>17</v>
      </c>
      <c r="D1370" s="210"/>
      <c r="E1370" s="210"/>
      <c r="F1370" s="210"/>
      <c r="G1370" s="210"/>
      <c r="H1370" s="406">
        <f>SUM(Tabla132112414[[#This Row],[PRIMER TRIMESTRE]:[CUARTO TRIMESTRE]])</f>
        <v>0</v>
      </c>
      <c r="I1370" s="72">
        <v>71148.099999999991</v>
      </c>
      <c r="J1370" s="72">
        <f t="shared" si="35"/>
        <v>0</v>
      </c>
      <c r="K1370" s="72"/>
      <c r="L1370" s="73" t="s">
        <v>18</v>
      </c>
      <c r="M1370" s="73" t="s">
        <v>19</v>
      </c>
      <c r="N1370" s="70"/>
    </row>
    <row r="1371" spans="1:14" s="169" customFormat="1" ht="30.75" customHeight="1">
      <c r="A1371" s="180" t="s">
        <v>167</v>
      </c>
      <c r="B1371" s="77" t="s">
        <v>990</v>
      </c>
      <c r="C1371" s="70" t="s">
        <v>17</v>
      </c>
      <c r="D1371" s="210"/>
      <c r="E1371" s="210"/>
      <c r="F1371" s="210"/>
      <c r="G1371" s="210"/>
      <c r="H1371" s="406">
        <f>SUM(Tabla132112414[[#This Row],[PRIMER TRIMESTRE]:[CUARTO TRIMESTRE]])</f>
        <v>0</v>
      </c>
      <c r="I1371" s="72">
        <v>283158.7</v>
      </c>
      <c r="J1371" s="72">
        <f t="shared" si="35"/>
        <v>0</v>
      </c>
      <c r="K1371" s="72"/>
      <c r="L1371" s="73" t="s">
        <v>18</v>
      </c>
      <c r="M1371" s="73" t="s">
        <v>19</v>
      </c>
      <c r="N1371" s="70" t="s">
        <v>342</v>
      </c>
    </row>
    <row r="1372" spans="1:14" s="169" customFormat="1" ht="30.75" customHeight="1">
      <c r="A1372" s="180" t="s">
        <v>167</v>
      </c>
      <c r="B1372" s="77" t="s">
        <v>991</v>
      </c>
      <c r="C1372" s="70" t="s">
        <v>17</v>
      </c>
      <c r="D1372" s="210"/>
      <c r="E1372" s="210"/>
      <c r="F1372" s="210"/>
      <c r="G1372" s="210"/>
      <c r="H1372" s="406">
        <f>SUM(Tabla132112414[[#This Row],[PRIMER TRIMESTRE]:[CUARTO TRIMESTRE]])</f>
        <v>0</v>
      </c>
      <c r="I1372" s="72">
        <v>4687668</v>
      </c>
      <c r="J1372" s="72">
        <f t="shared" si="35"/>
        <v>0</v>
      </c>
      <c r="K1372" s="72"/>
      <c r="L1372" s="73" t="s">
        <v>18</v>
      </c>
      <c r="M1372" s="73" t="s">
        <v>19</v>
      </c>
      <c r="N1372" s="70"/>
    </row>
    <row r="1373" spans="1:14" s="169" customFormat="1" ht="39.75" customHeight="1">
      <c r="A1373" s="180" t="s">
        <v>167</v>
      </c>
      <c r="B1373" s="77" t="s">
        <v>992</v>
      </c>
      <c r="C1373" s="70" t="s">
        <v>17</v>
      </c>
      <c r="D1373" s="210"/>
      <c r="E1373" s="210"/>
      <c r="F1373" s="210"/>
      <c r="G1373" s="210"/>
      <c r="H1373" s="406">
        <f>SUM(Tabla132112414[[#This Row],[PRIMER TRIMESTRE]:[CUARTO TRIMESTRE]])</f>
        <v>0</v>
      </c>
      <c r="I1373" s="72">
        <v>140862.5</v>
      </c>
      <c r="J1373" s="72">
        <f t="shared" si="35"/>
        <v>0</v>
      </c>
      <c r="K1373" s="72"/>
      <c r="L1373" s="73" t="s">
        <v>18</v>
      </c>
      <c r="M1373" s="73" t="s">
        <v>19</v>
      </c>
      <c r="N1373" s="70" t="s">
        <v>342</v>
      </c>
    </row>
    <row r="1374" spans="1:14" s="169" customFormat="1" ht="30.75" customHeight="1">
      <c r="A1374" s="180" t="s">
        <v>167</v>
      </c>
      <c r="B1374" s="77" t="s">
        <v>993</v>
      </c>
      <c r="C1374" s="70" t="s">
        <v>17</v>
      </c>
      <c r="D1374" s="210"/>
      <c r="E1374" s="210"/>
      <c r="F1374" s="210"/>
      <c r="G1374" s="210"/>
      <c r="H1374" s="406">
        <f>SUM(Tabla132112414[[#This Row],[PRIMER TRIMESTRE]:[CUARTO TRIMESTRE]])</f>
        <v>0</v>
      </c>
      <c r="I1374" s="72">
        <v>109622</v>
      </c>
      <c r="J1374" s="72">
        <f t="shared" si="35"/>
        <v>0</v>
      </c>
      <c r="K1374" s="72"/>
      <c r="L1374" s="73" t="s">
        <v>18</v>
      </c>
      <c r="M1374" s="73" t="s">
        <v>19</v>
      </c>
      <c r="N1374" s="70" t="s">
        <v>342</v>
      </c>
    </row>
    <row r="1375" spans="1:14" s="169" customFormat="1" ht="30.75" customHeight="1">
      <c r="A1375" s="180" t="s">
        <v>167</v>
      </c>
      <c r="B1375" s="77" t="s">
        <v>994</v>
      </c>
      <c r="C1375" s="70" t="s">
        <v>17</v>
      </c>
      <c r="D1375" s="210"/>
      <c r="E1375" s="210"/>
      <c r="F1375" s="210"/>
      <c r="G1375" s="210"/>
      <c r="H1375" s="406">
        <f>SUM(Tabla132112414[[#This Row],[PRIMER TRIMESTRE]:[CUARTO TRIMESTRE]])</f>
        <v>0</v>
      </c>
      <c r="I1375" s="72">
        <v>567462</v>
      </c>
      <c r="J1375" s="72">
        <f t="shared" si="35"/>
        <v>0</v>
      </c>
      <c r="K1375" s="72"/>
      <c r="L1375" s="73" t="s">
        <v>18</v>
      </c>
      <c r="M1375" s="73" t="s">
        <v>19</v>
      </c>
      <c r="N1375" s="70" t="s">
        <v>342</v>
      </c>
    </row>
    <row r="1376" spans="1:14" s="169" customFormat="1" ht="30.75" customHeight="1">
      <c r="A1376" s="180" t="s">
        <v>167</v>
      </c>
      <c r="B1376" s="77" t="s">
        <v>995</v>
      </c>
      <c r="C1376" s="70" t="s">
        <v>17</v>
      </c>
      <c r="D1376" s="210"/>
      <c r="E1376" s="210"/>
      <c r="F1376" s="210"/>
      <c r="G1376" s="210"/>
      <c r="H1376" s="406">
        <f>SUM(Tabla132112414[[#This Row],[PRIMER TRIMESTRE]:[CUARTO TRIMESTRE]])</f>
        <v>0</v>
      </c>
      <c r="I1376" s="72">
        <v>36580</v>
      </c>
      <c r="J1376" s="72">
        <f t="shared" si="35"/>
        <v>0</v>
      </c>
      <c r="K1376" s="72"/>
      <c r="L1376" s="73" t="s">
        <v>18</v>
      </c>
      <c r="M1376" s="73" t="s">
        <v>19</v>
      </c>
      <c r="N1376" s="70"/>
    </row>
    <row r="1377" spans="1:14" s="169" customFormat="1" ht="30.75" customHeight="1">
      <c r="A1377" s="180" t="s">
        <v>167</v>
      </c>
      <c r="B1377" s="77" t="s">
        <v>996</v>
      </c>
      <c r="C1377" s="70" t="s">
        <v>17</v>
      </c>
      <c r="D1377" s="210"/>
      <c r="E1377" s="210"/>
      <c r="F1377" s="210"/>
      <c r="G1377" s="210"/>
      <c r="H1377" s="406">
        <f>SUM(Tabla132112414[[#This Row],[PRIMER TRIMESTRE]:[CUARTO TRIMESTRE]])</f>
        <v>0</v>
      </c>
      <c r="I1377" s="72">
        <v>160775</v>
      </c>
      <c r="J1377" s="72">
        <f t="shared" si="35"/>
        <v>0</v>
      </c>
      <c r="K1377" s="72"/>
      <c r="L1377" s="73" t="s">
        <v>18</v>
      </c>
      <c r="M1377" s="73" t="s">
        <v>19</v>
      </c>
      <c r="N1377" s="70" t="s">
        <v>342</v>
      </c>
    </row>
    <row r="1378" spans="1:14" s="169" customFormat="1" ht="30.75" customHeight="1">
      <c r="A1378" s="180" t="s">
        <v>167</v>
      </c>
      <c r="B1378" s="77" t="s">
        <v>997</v>
      </c>
      <c r="C1378" s="70" t="s">
        <v>17</v>
      </c>
      <c r="D1378" s="210"/>
      <c r="E1378" s="210"/>
      <c r="F1378" s="210"/>
      <c r="G1378" s="210"/>
      <c r="H1378" s="406">
        <f>SUM(Tabla132112414[[#This Row],[PRIMER TRIMESTRE]:[CUARTO TRIMESTRE]])</f>
        <v>0</v>
      </c>
      <c r="I1378" s="72">
        <v>216608.47</v>
      </c>
      <c r="J1378" s="72">
        <f t="shared" si="35"/>
        <v>0</v>
      </c>
      <c r="K1378" s="72"/>
      <c r="L1378" s="73" t="s">
        <v>18</v>
      </c>
      <c r="M1378" s="73" t="s">
        <v>19</v>
      </c>
      <c r="N1378" s="70" t="s">
        <v>342</v>
      </c>
    </row>
    <row r="1379" spans="1:14" s="169" customFormat="1" ht="30.75" customHeight="1">
      <c r="A1379" s="180" t="s">
        <v>167</v>
      </c>
      <c r="B1379" s="77" t="s">
        <v>998</v>
      </c>
      <c r="C1379" s="70" t="s">
        <v>17</v>
      </c>
      <c r="D1379" s="210"/>
      <c r="E1379" s="210"/>
      <c r="F1379" s="210"/>
      <c r="G1379" s="210"/>
      <c r="H1379" s="406">
        <f>SUM(Tabla132112414[[#This Row],[PRIMER TRIMESTRE]:[CUARTO TRIMESTRE]])</f>
        <v>0</v>
      </c>
      <c r="I1379" s="72">
        <v>294752.2</v>
      </c>
      <c r="J1379" s="72">
        <f t="shared" si="35"/>
        <v>0</v>
      </c>
      <c r="K1379" s="72"/>
      <c r="L1379" s="73" t="s">
        <v>18</v>
      </c>
      <c r="M1379" s="73" t="s">
        <v>19</v>
      </c>
      <c r="N1379" s="70" t="s">
        <v>342</v>
      </c>
    </row>
    <row r="1380" spans="1:14" s="169" customFormat="1" ht="30.75" customHeight="1">
      <c r="A1380" s="180" t="s">
        <v>167</v>
      </c>
      <c r="B1380" s="77" t="s">
        <v>999</v>
      </c>
      <c r="C1380" s="70" t="s">
        <v>17</v>
      </c>
      <c r="D1380" s="210"/>
      <c r="E1380" s="210"/>
      <c r="F1380" s="210"/>
      <c r="G1380" s="210"/>
      <c r="H1380" s="406">
        <f>SUM(Tabla132112414[[#This Row],[PRIMER TRIMESTRE]:[CUARTO TRIMESTRE]])</f>
        <v>0</v>
      </c>
      <c r="I1380" s="72">
        <v>230554.3</v>
      </c>
      <c r="J1380" s="72">
        <f t="shared" si="35"/>
        <v>0</v>
      </c>
      <c r="K1380" s="72"/>
      <c r="L1380" s="73" t="s">
        <v>18</v>
      </c>
      <c r="M1380" s="73" t="s">
        <v>19</v>
      </c>
      <c r="N1380" s="70" t="s">
        <v>342</v>
      </c>
    </row>
    <row r="1381" spans="1:14" s="169" customFormat="1" ht="30.75" customHeight="1">
      <c r="A1381" s="180" t="s">
        <v>167</v>
      </c>
      <c r="B1381" s="77" t="s">
        <v>1000</v>
      </c>
      <c r="C1381" s="70" t="s">
        <v>17</v>
      </c>
      <c r="D1381" s="210"/>
      <c r="E1381" s="210"/>
      <c r="F1381" s="210"/>
      <c r="G1381" s="210"/>
      <c r="H1381" s="406">
        <f>SUM(Tabla132112414[[#This Row],[PRIMER TRIMESTRE]:[CUARTO TRIMESTRE]])</f>
        <v>0</v>
      </c>
      <c r="I1381" s="72">
        <v>494992.3</v>
      </c>
      <c r="J1381" s="72">
        <f t="shared" si="35"/>
        <v>0</v>
      </c>
      <c r="K1381" s="72"/>
      <c r="L1381" s="73" t="s">
        <v>18</v>
      </c>
      <c r="M1381" s="73" t="s">
        <v>19</v>
      </c>
      <c r="N1381" s="70" t="s">
        <v>342</v>
      </c>
    </row>
    <row r="1382" spans="1:14" s="169" customFormat="1" ht="30.75" customHeight="1">
      <c r="A1382" s="180" t="s">
        <v>167</v>
      </c>
      <c r="B1382" s="77" t="s">
        <v>1001</v>
      </c>
      <c r="C1382" s="70" t="s">
        <v>17</v>
      </c>
      <c r="D1382" s="210"/>
      <c r="E1382" s="210"/>
      <c r="F1382" s="210"/>
      <c r="G1382" s="210"/>
      <c r="H1382" s="406">
        <f>SUM(Tabla132112414[[#This Row],[PRIMER TRIMESTRE]:[CUARTO TRIMESTRE]])</f>
        <v>0</v>
      </c>
      <c r="I1382" s="72">
        <v>211166.9</v>
      </c>
      <c r="J1382" s="72">
        <f t="shared" si="35"/>
        <v>0</v>
      </c>
      <c r="K1382" s="72"/>
      <c r="L1382" s="73" t="s">
        <v>18</v>
      </c>
      <c r="M1382" s="73" t="s">
        <v>19</v>
      </c>
      <c r="N1382" s="70" t="s">
        <v>342</v>
      </c>
    </row>
    <row r="1383" spans="1:14" s="169" customFormat="1" ht="30.75" customHeight="1">
      <c r="A1383" s="180" t="s">
        <v>167</v>
      </c>
      <c r="B1383" s="77" t="s">
        <v>1002</v>
      </c>
      <c r="C1383" s="70" t="s">
        <v>17</v>
      </c>
      <c r="D1383" s="210"/>
      <c r="E1383" s="210"/>
      <c r="F1383" s="210"/>
      <c r="G1383" s="210"/>
      <c r="H1383" s="406">
        <f>SUM(Tabla132112414[[#This Row],[PRIMER TRIMESTRE]:[CUARTO TRIMESTRE]])</f>
        <v>0</v>
      </c>
      <c r="I1383" s="72">
        <v>62368.899999999994</v>
      </c>
      <c r="J1383" s="72">
        <f t="shared" si="35"/>
        <v>0</v>
      </c>
      <c r="K1383" s="72"/>
      <c r="L1383" s="73" t="s">
        <v>18</v>
      </c>
      <c r="M1383" s="73" t="s">
        <v>19</v>
      </c>
      <c r="N1383" s="70" t="s">
        <v>342</v>
      </c>
    </row>
    <row r="1384" spans="1:14" s="169" customFormat="1" ht="30.75" customHeight="1">
      <c r="A1384" s="180" t="s">
        <v>167</v>
      </c>
      <c r="B1384" s="77" t="s">
        <v>1003</v>
      </c>
      <c r="C1384" s="70" t="s">
        <v>17</v>
      </c>
      <c r="D1384" s="210"/>
      <c r="E1384" s="210"/>
      <c r="F1384" s="210"/>
      <c r="G1384" s="210"/>
      <c r="H1384" s="406">
        <f>SUM(Tabla132112414[[#This Row],[PRIMER TRIMESTRE]:[CUARTO TRIMESTRE]])</f>
        <v>0</v>
      </c>
      <c r="I1384" s="72">
        <v>105533.29999999999</v>
      </c>
      <c r="J1384" s="72">
        <f t="shared" si="35"/>
        <v>0</v>
      </c>
      <c r="K1384" s="72"/>
      <c r="L1384" s="73" t="s">
        <v>18</v>
      </c>
      <c r="M1384" s="73" t="s">
        <v>19</v>
      </c>
      <c r="N1384" s="70" t="s">
        <v>342</v>
      </c>
    </row>
    <row r="1385" spans="1:14" s="169" customFormat="1" ht="30.75" customHeight="1">
      <c r="A1385" s="180" t="s">
        <v>167</v>
      </c>
      <c r="B1385" s="77" t="s">
        <v>1004</v>
      </c>
      <c r="C1385" s="70" t="s">
        <v>17</v>
      </c>
      <c r="D1385" s="210"/>
      <c r="E1385" s="210"/>
      <c r="F1385" s="210"/>
      <c r="G1385" s="210"/>
      <c r="H1385" s="406">
        <f>SUM(Tabla132112414[[#This Row],[PRIMER TRIMESTRE]:[CUARTO TRIMESTRE]])</f>
        <v>0</v>
      </c>
      <c r="I1385" s="72">
        <v>98618.5</v>
      </c>
      <c r="J1385" s="72">
        <f t="shared" si="35"/>
        <v>0</v>
      </c>
      <c r="K1385" s="72"/>
      <c r="L1385" s="73" t="s">
        <v>18</v>
      </c>
      <c r="M1385" s="73" t="s">
        <v>19</v>
      </c>
      <c r="N1385" s="70"/>
    </row>
    <row r="1386" spans="1:14" s="169" customFormat="1" ht="30.75" customHeight="1">
      <c r="A1386" s="180" t="s">
        <v>167</v>
      </c>
      <c r="B1386" s="77" t="s">
        <v>1005</v>
      </c>
      <c r="C1386" s="70" t="s">
        <v>17</v>
      </c>
      <c r="D1386" s="210"/>
      <c r="E1386" s="210"/>
      <c r="F1386" s="210"/>
      <c r="G1386" s="210"/>
      <c r="H1386" s="406">
        <f>SUM(Tabla132112414[[#This Row],[PRIMER TRIMESTRE]:[CUARTO TRIMESTRE]])</f>
        <v>0</v>
      </c>
      <c r="I1386" s="72">
        <v>135818</v>
      </c>
      <c r="J1386" s="72">
        <f t="shared" si="35"/>
        <v>0</v>
      </c>
      <c r="K1386" s="72"/>
      <c r="L1386" s="73" t="s">
        <v>18</v>
      </c>
      <c r="M1386" s="73" t="s">
        <v>19</v>
      </c>
      <c r="N1386" s="70" t="s">
        <v>342</v>
      </c>
    </row>
    <row r="1387" spans="1:14" s="169" customFormat="1" ht="30.75" customHeight="1">
      <c r="A1387" s="180" t="s">
        <v>167</v>
      </c>
      <c r="B1387" s="77" t="s">
        <v>1006</v>
      </c>
      <c r="C1387" s="70" t="s">
        <v>17</v>
      </c>
      <c r="D1387" s="210"/>
      <c r="E1387" s="210"/>
      <c r="F1387" s="210"/>
      <c r="G1387" s="210"/>
      <c r="H1387" s="406">
        <f>SUM(Tabla132112414[[#This Row],[PRIMER TRIMESTRE]:[CUARTO TRIMESTRE]])</f>
        <v>0</v>
      </c>
      <c r="I1387" s="72">
        <v>114460</v>
      </c>
      <c r="J1387" s="72">
        <f t="shared" si="35"/>
        <v>0</v>
      </c>
      <c r="K1387" s="72"/>
      <c r="L1387" s="73" t="s">
        <v>18</v>
      </c>
      <c r="M1387" s="73" t="s">
        <v>19</v>
      </c>
      <c r="N1387" s="70" t="s">
        <v>342</v>
      </c>
    </row>
    <row r="1388" spans="1:14" s="169" customFormat="1" ht="30.75" customHeight="1">
      <c r="A1388" s="180" t="s">
        <v>167</v>
      </c>
      <c r="B1388" s="77" t="s">
        <v>1007</v>
      </c>
      <c r="C1388" s="70" t="s">
        <v>17</v>
      </c>
      <c r="D1388" s="210"/>
      <c r="E1388" s="210"/>
      <c r="F1388" s="210"/>
      <c r="G1388" s="210"/>
      <c r="H1388" s="406">
        <f>SUM(Tabla132112414[[#This Row],[PRIMER TRIMESTRE]:[CUARTO TRIMESTRE]])</f>
        <v>0</v>
      </c>
      <c r="I1388" s="72">
        <v>164374</v>
      </c>
      <c r="J1388" s="72">
        <f t="shared" si="35"/>
        <v>0</v>
      </c>
      <c r="K1388" s="72"/>
      <c r="L1388" s="73" t="s">
        <v>18</v>
      </c>
      <c r="M1388" s="73" t="s">
        <v>19</v>
      </c>
      <c r="N1388" s="70" t="s">
        <v>342</v>
      </c>
    </row>
    <row r="1389" spans="1:14" s="169" customFormat="1" ht="30.75" customHeight="1">
      <c r="A1389" s="180" t="s">
        <v>167</v>
      </c>
      <c r="B1389" s="77" t="s">
        <v>1008</v>
      </c>
      <c r="C1389" s="70" t="s">
        <v>17</v>
      </c>
      <c r="D1389" s="210"/>
      <c r="E1389" s="210"/>
      <c r="F1389" s="210"/>
      <c r="G1389" s="210"/>
      <c r="H1389" s="406">
        <f>SUM(Tabla132112414[[#This Row],[PRIMER TRIMESTRE]:[CUARTO TRIMESTRE]])</f>
        <v>0</v>
      </c>
      <c r="I1389" s="72">
        <v>24691.5</v>
      </c>
      <c r="J1389" s="72">
        <f t="shared" si="35"/>
        <v>0</v>
      </c>
      <c r="K1389" s="72"/>
      <c r="L1389" s="73" t="s">
        <v>18</v>
      </c>
      <c r="M1389" s="73" t="s">
        <v>19</v>
      </c>
      <c r="N1389" s="70"/>
    </row>
    <row r="1390" spans="1:14" s="169" customFormat="1" ht="30.75" customHeight="1">
      <c r="A1390" s="180" t="s">
        <v>167</v>
      </c>
      <c r="B1390" s="77" t="s">
        <v>1009</v>
      </c>
      <c r="C1390" s="70" t="s">
        <v>17</v>
      </c>
      <c r="D1390" s="210"/>
      <c r="E1390" s="210"/>
      <c r="F1390" s="210"/>
      <c r="G1390" s="210"/>
      <c r="H1390" s="406">
        <f>SUM(Tabla132112414[[#This Row],[PRIMER TRIMESTRE]:[CUARTO TRIMESTRE]])</f>
        <v>0</v>
      </c>
      <c r="I1390" s="72">
        <v>192045</v>
      </c>
      <c r="J1390" s="72">
        <f t="shared" si="35"/>
        <v>0</v>
      </c>
      <c r="K1390" s="72"/>
      <c r="L1390" s="73" t="s">
        <v>18</v>
      </c>
      <c r="M1390" s="73" t="s">
        <v>19</v>
      </c>
      <c r="N1390" s="70" t="s">
        <v>342</v>
      </c>
    </row>
    <row r="1391" spans="1:14" s="169" customFormat="1" ht="30.75" customHeight="1">
      <c r="A1391" s="180" t="s">
        <v>167</v>
      </c>
      <c r="B1391" s="77" t="s">
        <v>1010</v>
      </c>
      <c r="C1391" s="70" t="s">
        <v>17</v>
      </c>
      <c r="D1391" s="210"/>
      <c r="E1391" s="210"/>
      <c r="F1391" s="210"/>
      <c r="G1391" s="210"/>
      <c r="H1391" s="406">
        <f>SUM(Tabla132112414[[#This Row],[PRIMER TRIMESTRE]:[CUARTO TRIMESTRE]])</f>
        <v>0</v>
      </c>
      <c r="I1391" s="72">
        <v>164374</v>
      </c>
      <c r="J1391" s="72">
        <f t="shared" si="35"/>
        <v>0</v>
      </c>
      <c r="K1391" s="72"/>
      <c r="L1391" s="73" t="s">
        <v>18</v>
      </c>
      <c r="M1391" s="73" t="s">
        <v>19</v>
      </c>
      <c r="N1391" s="70" t="s">
        <v>342</v>
      </c>
    </row>
    <row r="1392" spans="1:14" s="169" customFormat="1" ht="30.75" customHeight="1">
      <c r="A1392" s="180" t="s">
        <v>167</v>
      </c>
      <c r="B1392" s="77" t="s">
        <v>1011</v>
      </c>
      <c r="C1392" s="70" t="s">
        <v>17</v>
      </c>
      <c r="D1392" s="210"/>
      <c r="E1392" s="210"/>
      <c r="F1392" s="210"/>
      <c r="G1392" s="210"/>
      <c r="H1392" s="406">
        <f>SUM(Tabla132112414[[#This Row],[PRIMER TRIMESTRE]:[CUARTO TRIMESTRE]])</f>
        <v>0</v>
      </c>
      <c r="I1392" s="72">
        <v>35145.119999999995</v>
      </c>
      <c r="J1392" s="72">
        <f t="shared" si="35"/>
        <v>0</v>
      </c>
      <c r="K1392" s="72"/>
      <c r="L1392" s="73" t="s">
        <v>18</v>
      </c>
      <c r="M1392" s="73" t="s">
        <v>19</v>
      </c>
      <c r="N1392" s="70"/>
    </row>
    <row r="1393" spans="1:14" s="169" customFormat="1" ht="30.75" customHeight="1">
      <c r="A1393" s="180" t="s">
        <v>167</v>
      </c>
      <c r="B1393" s="77" t="s">
        <v>1012</v>
      </c>
      <c r="C1393" s="70" t="s">
        <v>17</v>
      </c>
      <c r="D1393" s="210"/>
      <c r="E1393" s="210"/>
      <c r="F1393" s="210"/>
      <c r="G1393" s="210"/>
      <c r="H1393" s="406">
        <f>SUM(Tabla132112414[[#This Row],[PRIMER TRIMESTRE]:[CUARTO TRIMESTRE]])</f>
        <v>0</v>
      </c>
      <c r="I1393" s="72">
        <v>926960.79999999993</v>
      </c>
      <c r="J1393" s="72">
        <f t="shared" si="35"/>
        <v>0</v>
      </c>
      <c r="K1393" s="72"/>
      <c r="L1393" s="73" t="s">
        <v>18</v>
      </c>
      <c r="M1393" s="73" t="s">
        <v>19</v>
      </c>
      <c r="N1393" s="70" t="s">
        <v>342</v>
      </c>
    </row>
    <row r="1394" spans="1:14" s="169" customFormat="1" ht="30.75" customHeight="1">
      <c r="A1394" s="180" t="s">
        <v>167</v>
      </c>
      <c r="B1394" s="77" t="s">
        <v>1013</v>
      </c>
      <c r="C1394" s="70" t="s">
        <v>17</v>
      </c>
      <c r="D1394" s="210"/>
      <c r="E1394" s="210"/>
      <c r="F1394" s="210"/>
      <c r="G1394" s="210"/>
      <c r="H1394" s="406">
        <f>SUM(Tabla132112414[[#This Row],[PRIMER TRIMESTRE]:[CUARTO TRIMESTRE]])</f>
        <v>0</v>
      </c>
      <c r="I1394" s="72">
        <v>266798</v>
      </c>
      <c r="J1394" s="72">
        <f t="shared" si="35"/>
        <v>0</v>
      </c>
      <c r="K1394" s="72"/>
      <c r="L1394" s="73" t="s">
        <v>18</v>
      </c>
      <c r="M1394" s="73" t="s">
        <v>19</v>
      </c>
      <c r="N1394" s="70" t="s">
        <v>342</v>
      </c>
    </row>
    <row r="1395" spans="1:14" s="169" customFormat="1" ht="30.75" customHeight="1">
      <c r="A1395" s="180" t="s">
        <v>167</v>
      </c>
      <c r="B1395" s="77" t="s">
        <v>1014</v>
      </c>
      <c r="C1395" s="70" t="s">
        <v>17</v>
      </c>
      <c r="D1395" s="210"/>
      <c r="E1395" s="210"/>
      <c r="F1395" s="210"/>
      <c r="G1395" s="210"/>
      <c r="H1395" s="406">
        <f>SUM(Tabla132112414[[#This Row],[PRIMER TRIMESTRE]:[CUARTO TRIMESTRE]])</f>
        <v>0</v>
      </c>
      <c r="I1395" s="72">
        <v>77555.5</v>
      </c>
      <c r="J1395" s="72">
        <f t="shared" si="35"/>
        <v>0</v>
      </c>
      <c r="K1395" s="72"/>
      <c r="L1395" s="73" t="s">
        <v>18</v>
      </c>
      <c r="M1395" s="73" t="s">
        <v>19</v>
      </c>
      <c r="N1395" s="70"/>
    </row>
    <row r="1396" spans="1:14" s="169" customFormat="1" ht="30.75" customHeight="1">
      <c r="A1396" s="180" t="s">
        <v>167</v>
      </c>
      <c r="B1396" s="77" t="s">
        <v>1015</v>
      </c>
      <c r="C1396" s="70" t="s">
        <v>17</v>
      </c>
      <c r="D1396" s="210"/>
      <c r="E1396" s="210"/>
      <c r="F1396" s="210"/>
      <c r="G1396" s="210"/>
      <c r="H1396" s="406">
        <f>SUM(Tabla132112414[[#This Row],[PRIMER TRIMESTRE]:[CUARTO TRIMESTRE]])</f>
        <v>0</v>
      </c>
      <c r="I1396" s="72">
        <v>100595</v>
      </c>
      <c r="J1396" s="72">
        <f t="shared" si="35"/>
        <v>0</v>
      </c>
      <c r="K1396" s="72"/>
      <c r="L1396" s="73" t="s">
        <v>18</v>
      </c>
      <c r="M1396" s="73" t="s">
        <v>19</v>
      </c>
      <c r="N1396" s="70" t="s">
        <v>342</v>
      </c>
    </row>
    <row r="1397" spans="1:14" s="169" customFormat="1" ht="30.75" customHeight="1">
      <c r="A1397" s="180" t="s">
        <v>167</v>
      </c>
      <c r="B1397" s="77" t="s">
        <v>1016</v>
      </c>
      <c r="C1397" s="70" t="s">
        <v>17</v>
      </c>
      <c r="D1397" s="210"/>
      <c r="E1397" s="210"/>
      <c r="F1397" s="210"/>
      <c r="G1397" s="210"/>
      <c r="H1397" s="406">
        <f>SUM(Tabla132112414[[#This Row],[PRIMER TRIMESTRE]:[CUARTO TRIMESTRE]])</f>
        <v>0</v>
      </c>
      <c r="I1397" s="72">
        <v>106173.45</v>
      </c>
      <c r="J1397" s="72">
        <f t="shared" si="35"/>
        <v>0</v>
      </c>
      <c r="K1397" s="72"/>
      <c r="L1397" s="73" t="s">
        <v>18</v>
      </c>
      <c r="M1397" s="73" t="s">
        <v>19</v>
      </c>
      <c r="N1397" s="70" t="s">
        <v>342</v>
      </c>
    </row>
    <row r="1398" spans="1:14" s="169" customFormat="1" ht="30.75" customHeight="1">
      <c r="A1398" s="180" t="s">
        <v>167</v>
      </c>
      <c r="B1398" s="77" t="s">
        <v>1017</v>
      </c>
      <c r="C1398" s="70" t="s">
        <v>17</v>
      </c>
      <c r="D1398" s="210"/>
      <c r="E1398" s="210"/>
      <c r="F1398" s="210"/>
      <c r="G1398" s="210"/>
      <c r="H1398" s="406">
        <f>SUM(Tabla132112414[[#This Row],[PRIMER TRIMESTRE]:[CUARTO TRIMESTRE]])</f>
        <v>0</v>
      </c>
      <c r="I1398" s="72">
        <v>111156</v>
      </c>
      <c r="J1398" s="72">
        <f t="shared" si="35"/>
        <v>0</v>
      </c>
      <c r="K1398" s="72"/>
      <c r="L1398" s="73" t="s">
        <v>18</v>
      </c>
      <c r="M1398" s="73" t="s">
        <v>19</v>
      </c>
      <c r="N1398" s="70" t="s">
        <v>342</v>
      </c>
    </row>
    <row r="1399" spans="1:14" s="169" customFormat="1" ht="44.25" customHeight="1">
      <c r="A1399" s="180" t="s">
        <v>167</v>
      </c>
      <c r="B1399" s="77" t="s">
        <v>1018</v>
      </c>
      <c r="C1399" s="70" t="s">
        <v>17</v>
      </c>
      <c r="D1399" s="210"/>
      <c r="E1399" s="210"/>
      <c r="F1399" s="210"/>
      <c r="G1399" s="210"/>
      <c r="H1399" s="406">
        <f>SUM(Tabla132112414[[#This Row],[PRIMER TRIMESTRE]:[CUARTO TRIMESTRE]])</f>
        <v>0</v>
      </c>
      <c r="I1399" s="72">
        <v>62186</v>
      </c>
      <c r="J1399" s="72">
        <f t="shared" si="35"/>
        <v>0</v>
      </c>
      <c r="K1399" s="72"/>
      <c r="L1399" s="73" t="s">
        <v>18</v>
      </c>
      <c r="M1399" s="73" t="s">
        <v>19</v>
      </c>
      <c r="N1399" s="70" t="s">
        <v>342</v>
      </c>
    </row>
    <row r="1400" spans="1:14" s="169" customFormat="1" ht="30.75" customHeight="1">
      <c r="A1400" s="180" t="s">
        <v>167</v>
      </c>
      <c r="B1400" s="77" t="s">
        <v>1019</v>
      </c>
      <c r="C1400" s="70" t="s">
        <v>17</v>
      </c>
      <c r="D1400" s="210"/>
      <c r="E1400" s="210"/>
      <c r="F1400" s="210"/>
      <c r="G1400" s="210"/>
      <c r="H1400" s="406">
        <f>SUM(Tabla132112414[[#This Row],[PRIMER TRIMESTRE]:[CUARTO TRIMESTRE]])</f>
        <v>0</v>
      </c>
      <c r="I1400" s="72">
        <v>306800</v>
      </c>
      <c r="J1400" s="72">
        <f t="shared" si="35"/>
        <v>0</v>
      </c>
      <c r="K1400" s="72"/>
      <c r="L1400" s="73" t="s">
        <v>18</v>
      </c>
      <c r="M1400" s="73" t="s">
        <v>19</v>
      </c>
      <c r="N1400" s="70" t="s">
        <v>342</v>
      </c>
    </row>
    <row r="1401" spans="1:14" s="169" customFormat="1" ht="52.5" customHeight="1">
      <c r="A1401" s="180" t="s">
        <v>167</v>
      </c>
      <c r="B1401" s="77" t="s">
        <v>1020</v>
      </c>
      <c r="C1401" s="70" t="s">
        <v>17</v>
      </c>
      <c r="D1401" s="210"/>
      <c r="E1401" s="210"/>
      <c r="F1401" s="210"/>
      <c r="G1401" s="210"/>
      <c r="H1401" s="406">
        <f>SUM(Tabla132112414[[#This Row],[PRIMER TRIMESTRE]:[CUARTO TRIMESTRE]])</f>
        <v>0</v>
      </c>
      <c r="I1401" s="72">
        <v>31093</v>
      </c>
      <c r="J1401" s="72">
        <f t="shared" si="35"/>
        <v>0</v>
      </c>
      <c r="K1401" s="72"/>
      <c r="L1401" s="73" t="s">
        <v>18</v>
      </c>
      <c r="M1401" s="73" t="s">
        <v>19</v>
      </c>
      <c r="N1401" s="70" t="s">
        <v>342</v>
      </c>
    </row>
    <row r="1402" spans="1:14" s="169" customFormat="1" ht="90" customHeight="1">
      <c r="A1402" s="180" t="s">
        <v>167</v>
      </c>
      <c r="B1402" s="77" t="s">
        <v>1021</v>
      </c>
      <c r="C1402" s="70" t="s">
        <v>17</v>
      </c>
      <c r="D1402" s="210"/>
      <c r="E1402" s="210"/>
      <c r="F1402" s="210"/>
      <c r="G1402" s="210"/>
      <c r="H1402" s="406">
        <f>SUM(Tabla132112414[[#This Row],[PRIMER TRIMESTRE]:[CUARTO TRIMESTRE]])</f>
        <v>0</v>
      </c>
      <c r="I1402" s="72">
        <v>329220</v>
      </c>
      <c r="J1402" s="72">
        <f t="shared" si="35"/>
        <v>0</v>
      </c>
      <c r="K1402" s="72"/>
      <c r="L1402" s="73" t="s">
        <v>18</v>
      </c>
      <c r="M1402" s="73" t="s">
        <v>19</v>
      </c>
      <c r="N1402" s="70" t="s">
        <v>342</v>
      </c>
    </row>
    <row r="1403" spans="1:14" s="169" customFormat="1" ht="103.5" customHeight="1">
      <c r="A1403" s="180" t="s">
        <v>167</v>
      </c>
      <c r="B1403" s="77" t="s">
        <v>1700</v>
      </c>
      <c r="C1403" s="70" t="s">
        <v>17</v>
      </c>
      <c r="D1403" s="210"/>
      <c r="E1403" s="210"/>
      <c r="F1403" s="210"/>
      <c r="G1403" s="210"/>
      <c r="H1403" s="406">
        <v>0</v>
      </c>
      <c r="I1403" s="72">
        <v>0</v>
      </c>
      <c r="J1403" s="72">
        <v>0</v>
      </c>
      <c r="K1403" s="72"/>
      <c r="L1403" s="73" t="s">
        <v>18</v>
      </c>
      <c r="M1403" s="73" t="s">
        <v>19</v>
      </c>
      <c r="N1403" s="70" t="s">
        <v>342</v>
      </c>
    </row>
    <row r="1404" spans="1:14" s="169" customFormat="1" ht="103.5" customHeight="1">
      <c r="A1404" s="180" t="s">
        <v>167</v>
      </c>
      <c r="B1404" s="77" t="s">
        <v>1762</v>
      </c>
      <c r="C1404" s="70" t="s">
        <v>17</v>
      </c>
      <c r="D1404" s="210"/>
      <c r="E1404" s="210"/>
      <c r="F1404" s="210"/>
      <c r="G1404" s="210"/>
      <c r="H1404" s="406">
        <v>0</v>
      </c>
      <c r="I1404" s="72">
        <v>0</v>
      </c>
      <c r="J1404" s="72">
        <v>0</v>
      </c>
      <c r="K1404" s="72"/>
      <c r="L1404" s="73" t="s">
        <v>18</v>
      </c>
      <c r="M1404" s="73" t="s">
        <v>19</v>
      </c>
      <c r="N1404" s="70"/>
    </row>
    <row r="1405" spans="1:14" s="169" customFormat="1" ht="71.25" customHeight="1">
      <c r="A1405" s="180" t="s">
        <v>167</v>
      </c>
      <c r="B1405" s="77" t="s">
        <v>1022</v>
      </c>
      <c r="C1405" s="70" t="s">
        <v>17</v>
      </c>
      <c r="D1405" s="210"/>
      <c r="E1405" s="210"/>
      <c r="F1405" s="210"/>
      <c r="G1405" s="210"/>
      <c r="H1405" s="406">
        <f>SUM(Tabla132112414[[#This Row],[PRIMER TRIMESTRE]:[CUARTO TRIMESTRE]])</f>
        <v>0</v>
      </c>
      <c r="I1405" s="72">
        <v>235000</v>
      </c>
      <c r="J1405" s="72">
        <f t="shared" si="35"/>
        <v>0</v>
      </c>
      <c r="K1405" s="72"/>
      <c r="L1405" s="73" t="s">
        <v>18</v>
      </c>
      <c r="M1405" s="73" t="s">
        <v>19</v>
      </c>
      <c r="N1405" s="70"/>
    </row>
    <row r="1406" spans="1:14" s="169" customFormat="1" ht="63.75">
      <c r="A1406" s="180" t="s">
        <v>167</v>
      </c>
      <c r="B1406" s="77" t="s">
        <v>1023</v>
      </c>
      <c r="C1406" s="70" t="s">
        <v>17</v>
      </c>
      <c r="D1406" s="210"/>
      <c r="E1406" s="210"/>
      <c r="F1406" s="210"/>
      <c r="G1406" s="210"/>
      <c r="H1406" s="406">
        <f>SUM(Tabla132112414[[#This Row],[PRIMER TRIMESTRE]:[CUARTO TRIMESTRE]])</f>
        <v>0</v>
      </c>
      <c r="I1406" s="72">
        <v>803877.81</v>
      </c>
      <c r="J1406" s="72">
        <f t="shared" si="35"/>
        <v>0</v>
      </c>
      <c r="K1406" s="72"/>
      <c r="L1406" s="73" t="s">
        <v>18</v>
      </c>
      <c r="M1406" s="73" t="s">
        <v>19</v>
      </c>
      <c r="N1406" s="70" t="s">
        <v>342</v>
      </c>
    </row>
    <row r="1407" spans="1:14" s="55" customFormat="1" ht="30.75" customHeight="1">
      <c r="A1407" s="180" t="s">
        <v>167</v>
      </c>
      <c r="B1407" s="77" t="s">
        <v>1418</v>
      </c>
      <c r="C1407" s="70" t="s">
        <v>17</v>
      </c>
      <c r="D1407" s="210"/>
      <c r="E1407" s="210"/>
      <c r="F1407" s="210"/>
      <c r="G1407" s="210"/>
      <c r="H1407" s="406">
        <f>SUM(Tabla132112414[[#This Row],[PRIMER TRIMESTRE]:[CUARTO TRIMESTRE]])</f>
        <v>0</v>
      </c>
      <c r="I1407" s="72">
        <v>265000</v>
      </c>
      <c r="J1407" s="72">
        <f t="shared" si="35"/>
        <v>0</v>
      </c>
      <c r="K1407" s="72"/>
      <c r="L1407" s="73" t="s">
        <v>18</v>
      </c>
      <c r="M1407" s="73" t="s">
        <v>19</v>
      </c>
      <c r="N1407" s="70" t="s">
        <v>342</v>
      </c>
    </row>
    <row r="1408" spans="1:14" s="55" customFormat="1" ht="30.75" customHeight="1">
      <c r="A1408" s="179" t="s">
        <v>167</v>
      </c>
      <c r="B1408" s="76" t="s">
        <v>891</v>
      </c>
      <c r="C1408" s="42"/>
      <c r="D1408" s="237"/>
      <c r="E1408" s="237"/>
      <c r="F1408" s="237"/>
      <c r="G1408" s="237"/>
      <c r="H1408" s="43"/>
      <c r="I1408" s="24"/>
      <c r="J1408" s="24"/>
      <c r="K1408" s="25">
        <f>SUM(J1345:J1407)</f>
        <v>0</v>
      </c>
      <c r="L1408" s="23"/>
      <c r="M1408" s="23"/>
      <c r="N1408" s="42"/>
    </row>
    <row r="1409" spans="1:14" s="55" customFormat="1" ht="18">
      <c r="A1409" s="178" t="s">
        <v>573</v>
      </c>
      <c r="B1409" s="75" t="s">
        <v>574</v>
      </c>
      <c r="C1409" s="39" t="s">
        <v>17</v>
      </c>
      <c r="D1409" s="410"/>
      <c r="E1409" s="410"/>
      <c r="F1409" s="410"/>
      <c r="G1409" s="241"/>
      <c r="H1409" s="51">
        <f>SUM(Tabla132112414[[#This Row],[PRIMER TRIMESTRE]:[CUARTO TRIMESTRE]])</f>
        <v>0</v>
      </c>
      <c r="I1409" s="52">
        <v>500</v>
      </c>
      <c r="J1409" s="52">
        <f>+Tabla132112414[[#This Row],[CANTIDAD TOTAL]]*Tabla132112414[[#This Row],[PRECIO UNITARIO ESTIMADO]]</f>
        <v>0</v>
      </c>
      <c r="K1409" s="50"/>
      <c r="L1409" s="411" t="s">
        <v>18</v>
      </c>
      <c r="M1409" s="411" t="s">
        <v>22</v>
      </c>
      <c r="N1409" s="53"/>
    </row>
    <row r="1410" spans="1:14" s="12" customFormat="1" ht="18">
      <c r="A1410" s="178" t="s">
        <v>573</v>
      </c>
      <c r="B1410" s="75" t="s">
        <v>575</v>
      </c>
      <c r="C1410" s="39" t="s">
        <v>17</v>
      </c>
      <c r="D1410" s="410"/>
      <c r="E1410" s="410"/>
      <c r="F1410" s="410"/>
      <c r="G1410" s="241"/>
      <c r="H1410" s="51">
        <f>SUM(Tabla132112414[[#This Row],[PRIMER TRIMESTRE]:[CUARTO TRIMESTRE]])</f>
        <v>0</v>
      </c>
      <c r="I1410" s="52">
        <v>1000</v>
      </c>
      <c r="J1410" s="52">
        <f>+Tabla132112414[[#This Row],[CANTIDAD TOTAL]]*Tabla132112414[[#This Row],[PRECIO UNITARIO ESTIMADO]]</f>
        <v>0</v>
      </c>
      <c r="K1410" s="50"/>
      <c r="L1410" s="411" t="s">
        <v>18</v>
      </c>
      <c r="M1410" s="411" t="s">
        <v>22</v>
      </c>
      <c r="N1410" s="53"/>
    </row>
    <row r="1411" spans="1:14" s="12" customFormat="1" ht="18">
      <c r="A1411" s="178" t="s">
        <v>573</v>
      </c>
      <c r="B1411" s="75" t="s">
        <v>576</v>
      </c>
      <c r="C1411" s="39" t="s">
        <v>17</v>
      </c>
      <c r="D1411" s="410"/>
      <c r="E1411" s="410"/>
      <c r="F1411" s="410"/>
      <c r="G1411" s="241"/>
      <c r="H1411" s="51">
        <f>SUM(Tabla132112414[[#This Row],[PRIMER TRIMESTRE]:[CUARTO TRIMESTRE]])</f>
        <v>0</v>
      </c>
      <c r="I1411" s="52">
        <v>2000</v>
      </c>
      <c r="J1411" s="52">
        <f>+Tabla132112414[[#This Row],[CANTIDAD TOTAL]]*Tabla132112414[[#This Row],[PRECIO UNITARIO ESTIMADO]]</f>
        <v>0</v>
      </c>
      <c r="K1411" s="50"/>
      <c r="L1411" s="16" t="s">
        <v>18</v>
      </c>
      <c r="M1411" s="411" t="s">
        <v>22</v>
      </c>
      <c r="N1411" s="53"/>
    </row>
    <row r="1412" spans="1:14" s="12" customFormat="1" ht="18">
      <c r="A1412" s="178" t="s">
        <v>573</v>
      </c>
      <c r="B1412" s="75" t="s">
        <v>1331</v>
      </c>
      <c r="C1412" s="39" t="s">
        <v>17</v>
      </c>
      <c r="D1412" s="236"/>
      <c r="E1412" s="236"/>
      <c r="F1412" s="236"/>
      <c r="G1412" s="236"/>
      <c r="H1412" s="417">
        <f>SUM(Tabla132112414[[#This Row],[PRIMER TRIMESTRE]:[CUARTO TRIMESTRE]])</f>
        <v>0</v>
      </c>
      <c r="I1412" s="17">
        <v>40000</v>
      </c>
      <c r="J1412" s="17">
        <f t="shared" ref="J1412:J1421" si="36">+H1412*I1412</f>
        <v>0</v>
      </c>
      <c r="K1412" s="17"/>
      <c r="L1412" s="411" t="s">
        <v>18</v>
      </c>
      <c r="M1412" s="411" t="s">
        <v>22</v>
      </c>
      <c r="N1412" s="39"/>
    </row>
    <row r="1413" spans="1:14" s="12" customFormat="1" ht="18">
      <c r="A1413" s="178" t="s">
        <v>573</v>
      </c>
      <c r="B1413" s="75" t="s">
        <v>1751</v>
      </c>
      <c r="C1413" s="39" t="s">
        <v>17</v>
      </c>
      <c r="D1413" s="236"/>
      <c r="E1413" s="236"/>
      <c r="F1413" s="236"/>
      <c r="G1413" s="236"/>
      <c r="H1413" s="40">
        <v>0</v>
      </c>
      <c r="I1413" s="17"/>
      <c r="J1413" s="17"/>
      <c r="K1413" s="17"/>
      <c r="L1413" s="411" t="s">
        <v>18</v>
      </c>
      <c r="M1413" s="411" t="s">
        <v>22</v>
      </c>
      <c r="N1413" s="39"/>
    </row>
    <row r="1414" spans="1:14" s="12" customFormat="1" ht="18">
      <c r="A1414" s="178" t="s">
        <v>573</v>
      </c>
      <c r="B1414" s="75" t="s">
        <v>1747</v>
      </c>
      <c r="C1414" s="39" t="s">
        <v>17</v>
      </c>
      <c r="D1414" s="236"/>
      <c r="E1414" s="236"/>
      <c r="F1414" s="236"/>
      <c r="G1414" s="236"/>
      <c r="H1414" s="40">
        <v>0</v>
      </c>
      <c r="I1414" s="17"/>
      <c r="J1414" s="17"/>
      <c r="K1414" s="17"/>
      <c r="L1414" s="411" t="s">
        <v>18</v>
      </c>
      <c r="M1414" s="411" t="s">
        <v>22</v>
      </c>
      <c r="N1414" s="39"/>
    </row>
    <row r="1415" spans="1:14" s="12" customFormat="1" ht="18">
      <c r="A1415" s="178" t="s">
        <v>573</v>
      </c>
      <c r="B1415" s="75" t="s">
        <v>1332</v>
      </c>
      <c r="C1415" s="39" t="s">
        <v>17</v>
      </c>
      <c r="D1415" s="236"/>
      <c r="E1415" s="236"/>
      <c r="F1415" s="236"/>
      <c r="G1415" s="236"/>
      <c r="H1415" s="51">
        <f>SUM(Tabla132112414[[#This Row],[PRIMER TRIMESTRE]:[CUARTO TRIMESTRE]])</f>
        <v>0</v>
      </c>
      <c r="I1415" s="17">
        <v>30000</v>
      </c>
      <c r="J1415" s="17">
        <f t="shared" si="36"/>
        <v>0</v>
      </c>
      <c r="K1415" s="17"/>
      <c r="L1415" s="411" t="s">
        <v>18</v>
      </c>
      <c r="M1415" s="411" t="s">
        <v>22</v>
      </c>
      <c r="N1415" s="39"/>
    </row>
    <row r="1416" spans="1:14" s="12" customFormat="1" ht="18">
      <c r="A1416" s="178" t="s">
        <v>573</v>
      </c>
      <c r="B1416" s="75" t="s">
        <v>1749</v>
      </c>
      <c r="C1416" s="39" t="s">
        <v>17</v>
      </c>
      <c r="D1416" s="236"/>
      <c r="E1416" s="236"/>
      <c r="F1416" s="236"/>
      <c r="G1416" s="236"/>
      <c r="H1416" s="416">
        <f>Tabla132112414[[#This Row],[CUARTO TRIMESTRE]]+Tabla132112414[[#This Row],[TERCER TRIMESTRE]]+Tabla132112414[[#This Row],[SEGUNDO TRIMESTRE]]+Tabla132112414[[#This Row],[PRIMER TRIMESTRE]]</f>
        <v>0</v>
      </c>
      <c r="I1416" s="17">
        <v>75000</v>
      </c>
      <c r="J1416" s="17">
        <f>Tabla132112414[[#This Row],[PRECIO UNITARIO ESTIMADO]]*Tabla132112414[[#This Row],[CANTIDAD TOTAL]]</f>
        <v>0</v>
      </c>
      <c r="K1416" s="17"/>
      <c r="L1416" s="16" t="s">
        <v>18</v>
      </c>
      <c r="M1416" s="16" t="s">
        <v>22</v>
      </c>
      <c r="N1416" s="39"/>
    </row>
    <row r="1417" spans="1:14" s="12" customFormat="1" ht="18">
      <c r="A1417" s="178" t="s">
        <v>573</v>
      </c>
      <c r="B1417" s="75" t="s">
        <v>1333</v>
      </c>
      <c r="C1417" s="39" t="s">
        <v>17</v>
      </c>
      <c r="D1417" s="236"/>
      <c r="E1417" s="236"/>
      <c r="F1417" s="236"/>
      <c r="G1417" s="236"/>
      <c r="H1417" s="51">
        <f>SUM(Tabla132112414[[#This Row],[PRIMER TRIMESTRE]:[CUARTO TRIMESTRE]])</f>
        <v>0</v>
      </c>
      <c r="I1417" s="17">
        <v>1500000</v>
      </c>
      <c r="J1417" s="17">
        <f>+H1417*I1417</f>
        <v>0</v>
      </c>
      <c r="K1417" s="17"/>
      <c r="L1417" s="16" t="s">
        <v>18</v>
      </c>
      <c r="M1417" s="411" t="s">
        <v>22</v>
      </c>
      <c r="N1417" s="39"/>
    </row>
    <row r="1418" spans="1:14" s="12" customFormat="1" ht="18">
      <c r="A1418" s="178" t="s">
        <v>573</v>
      </c>
      <c r="B1418" s="75" t="s">
        <v>1750</v>
      </c>
      <c r="C1418" s="39" t="s">
        <v>17</v>
      </c>
      <c r="D1418" s="236"/>
      <c r="E1418" s="236"/>
      <c r="F1418" s="236"/>
      <c r="G1418" s="236"/>
      <c r="H1418" s="416">
        <v>0</v>
      </c>
      <c r="I1418" s="17"/>
      <c r="J1418" s="17">
        <f>Tabla132112414[[#This Row],[PRECIO UNITARIO ESTIMADO]]*Tabla132112414[[#This Row],[CANTIDAD TOTAL]]</f>
        <v>0</v>
      </c>
      <c r="K1418" s="17"/>
      <c r="L1418" s="16" t="s">
        <v>18</v>
      </c>
      <c r="M1418" s="411" t="s">
        <v>22</v>
      </c>
      <c r="N1418" s="39"/>
    </row>
    <row r="1419" spans="1:14" s="12" customFormat="1" ht="18">
      <c r="A1419" s="178" t="s">
        <v>573</v>
      </c>
      <c r="B1419" s="75" t="s">
        <v>1464</v>
      </c>
      <c r="C1419" s="39" t="s">
        <v>17</v>
      </c>
      <c r="D1419" s="236"/>
      <c r="E1419" s="236"/>
      <c r="F1419" s="236"/>
      <c r="G1419" s="236"/>
      <c r="H1419" s="51">
        <f>SUM(Tabla132112414[[#This Row],[PRIMER TRIMESTRE]:[CUARTO TRIMESTRE]])</f>
        <v>0</v>
      </c>
      <c r="I1419" s="17">
        <v>87000</v>
      </c>
      <c r="J1419" s="17">
        <f t="shared" si="36"/>
        <v>0</v>
      </c>
      <c r="K1419" s="17"/>
      <c r="L1419" s="16" t="s">
        <v>18</v>
      </c>
      <c r="M1419" s="411" t="s">
        <v>22</v>
      </c>
      <c r="N1419" s="39"/>
    </row>
    <row r="1420" spans="1:14" s="64" customFormat="1" ht="18">
      <c r="A1420" s="178" t="s">
        <v>573</v>
      </c>
      <c r="B1420" s="75" t="s">
        <v>1465</v>
      </c>
      <c r="C1420" s="39" t="s">
        <v>17</v>
      </c>
      <c r="D1420" s="236"/>
      <c r="E1420" s="236"/>
      <c r="F1420" s="236"/>
      <c r="G1420" s="236"/>
      <c r="H1420" s="51">
        <f>SUM(Tabla132112414[[#This Row],[PRIMER TRIMESTRE]:[CUARTO TRIMESTRE]])</f>
        <v>0</v>
      </c>
      <c r="I1420" s="17">
        <v>15</v>
      </c>
      <c r="J1420" s="17">
        <f t="shared" si="36"/>
        <v>0</v>
      </c>
      <c r="K1420" s="17"/>
      <c r="L1420" s="16" t="s">
        <v>18</v>
      </c>
      <c r="M1420" s="411" t="s">
        <v>22</v>
      </c>
      <c r="N1420" s="39"/>
    </row>
    <row r="1421" spans="1:14" s="34" customFormat="1" ht="24" thickBot="1">
      <c r="A1421" s="178" t="s">
        <v>573</v>
      </c>
      <c r="B1421" s="75" t="s">
        <v>1419</v>
      </c>
      <c r="C1421" s="39" t="s">
        <v>17</v>
      </c>
      <c r="D1421" s="236"/>
      <c r="E1421" s="236"/>
      <c r="F1421" s="236"/>
      <c r="G1421" s="236"/>
      <c r="H1421" s="51">
        <f>SUM(Tabla132112414[[#This Row],[PRIMER TRIMESTRE]:[CUARTO TRIMESTRE]])</f>
        <v>0</v>
      </c>
      <c r="I1421" s="17">
        <v>6000000</v>
      </c>
      <c r="J1421" s="17">
        <f t="shared" si="36"/>
        <v>0</v>
      </c>
      <c r="K1421" s="17"/>
      <c r="L1421" s="16" t="s">
        <v>18</v>
      </c>
      <c r="M1421" s="411" t="s">
        <v>22</v>
      </c>
      <c r="N1421" s="39"/>
    </row>
    <row r="1422" spans="1:14" ht="30.75" customHeight="1">
      <c r="A1422" s="181" t="s">
        <v>573</v>
      </c>
      <c r="B1422" s="76"/>
      <c r="C1422" s="62"/>
      <c r="D1422" s="418"/>
      <c r="E1422" s="418"/>
      <c r="F1422" s="418"/>
      <c r="G1422" s="418"/>
      <c r="H1422" s="59"/>
      <c r="I1422" s="288"/>
      <c r="J1422" s="419"/>
      <c r="K1422" s="25">
        <f>+SUM($J$1409:$J$1421)</f>
        <v>0</v>
      </c>
      <c r="L1422" s="61"/>
      <c r="M1422" s="61"/>
      <c r="N1422" s="62"/>
    </row>
    <row r="1423" spans="1:14" ht="30.75" customHeight="1" thickBot="1">
      <c r="A1423" s="182"/>
      <c r="B1423" s="83" t="s">
        <v>1912</v>
      </c>
      <c r="C1423" s="47"/>
      <c r="D1423" s="242"/>
      <c r="E1423" s="242"/>
      <c r="F1423" s="242"/>
      <c r="G1423" s="242"/>
      <c r="H1423" s="48"/>
      <c r="I1423" s="35"/>
      <c r="J1423" s="183">
        <f>SUM(J13:J1422)</f>
        <v>368461.34317796619</v>
      </c>
      <c r="K1423" s="183">
        <f>SUM(K13:K1422)</f>
        <v>368461.34317796613</v>
      </c>
      <c r="L1423" s="34"/>
      <c r="M1423" s="34"/>
      <c r="N1423" s="47"/>
    </row>
    <row r="1426" spans="3:14" ht="18">
      <c r="K1426" s="250"/>
    </row>
    <row r="1430" spans="3:14" ht="18">
      <c r="C1430" s="400"/>
      <c r="D1430" s="400"/>
      <c r="E1430" s="400"/>
      <c r="F1430" s="400"/>
      <c r="G1430" s="400"/>
      <c r="H1430" s="400"/>
      <c r="N1430" s="400"/>
    </row>
    <row r="1431" spans="3:14" ht="18">
      <c r="C1431" s="400"/>
      <c r="D1431" s="400"/>
      <c r="E1431" s="400"/>
      <c r="F1431" s="400"/>
      <c r="G1431" s="400"/>
      <c r="H1431" s="400"/>
      <c r="N1431" s="400"/>
    </row>
    <row r="1432" spans="3:14" ht="18">
      <c r="C1432" s="400"/>
      <c r="D1432" s="400"/>
      <c r="E1432" s="400"/>
      <c r="F1432" s="400"/>
      <c r="G1432" s="400"/>
      <c r="H1432" s="400"/>
      <c r="N1432" s="400"/>
    </row>
    <row r="1433" spans="3:14" ht="18">
      <c r="C1433" s="400"/>
      <c r="D1433" s="400"/>
      <c r="E1433" s="400"/>
      <c r="F1433" s="400"/>
      <c r="G1433" s="400"/>
      <c r="H1433" s="400"/>
      <c r="N1433" s="400"/>
    </row>
    <row r="1434" spans="3:14" ht="18">
      <c r="C1434" s="400"/>
      <c r="D1434" s="400"/>
      <c r="E1434" s="400"/>
      <c r="F1434" s="400"/>
      <c r="G1434" s="400"/>
      <c r="H1434" s="400"/>
      <c r="N1434" s="400"/>
    </row>
    <row r="1435" spans="3:14" ht="18">
      <c r="C1435" s="400"/>
      <c r="D1435" s="400"/>
      <c r="E1435" s="400"/>
      <c r="F1435" s="400"/>
      <c r="G1435" s="400"/>
      <c r="H1435" s="400"/>
      <c r="N1435" s="400"/>
    </row>
    <row r="1436" spans="3:14" ht="18">
      <c r="C1436" s="400"/>
      <c r="D1436" s="400"/>
      <c r="E1436" s="400"/>
      <c r="F1436" s="400"/>
      <c r="G1436" s="400"/>
      <c r="H1436" s="400"/>
      <c r="N1436" s="400"/>
    </row>
    <row r="1437" spans="3:14" ht="18">
      <c r="C1437" s="400"/>
      <c r="D1437" s="400"/>
      <c r="E1437" s="400"/>
      <c r="F1437" s="400"/>
      <c r="G1437" s="400"/>
      <c r="H1437" s="400"/>
      <c r="N1437" s="400"/>
    </row>
    <row r="1438" spans="3:14" ht="18">
      <c r="C1438" s="400"/>
      <c r="D1438" s="400"/>
      <c r="E1438" s="400"/>
      <c r="F1438" s="400"/>
      <c r="G1438" s="400"/>
      <c r="H1438" s="400"/>
      <c r="N1438" s="400"/>
    </row>
    <row r="1439" spans="3:14" ht="18"/>
  </sheetData>
  <mergeCells count="4">
    <mergeCell ref="A3:A5"/>
    <mergeCell ref="A6:N6"/>
    <mergeCell ref="A7:B7"/>
    <mergeCell ref="D9:G9"/>
  </mergeCells>
  <dataValidations count="12">
    <dataValidation type="list" allowBlank="1" showInputMessage="1" showErrorMessage="1" promptTitle="PACC" prompt="Seleccione el procedimiento de selección." sqref="M585 M605:M630 K1362:K1365 K1448:K1450 L683:L701 L604 L1451:L1457 L629:L673 L586:L602 L13:L43 L45:L584 L703:L1447">
      <formula1>#REF!</formula1>
    </dataValidation>
    <dataValidation type="list" allowBlank="1" showInputMessage="1" showErrorMessage="1" promptTitle="PACC" prompt="Seleccione el Código de Bienes y Servicios._x000a_" sqref="A59:A76 A13:A45 A78:A1440 A1448:A1457 C1328:C1332 J1328:K1332">
      <formula1>#REF!</formula1>
    </dataValidation>
    <dataValidation allowBlank="1" showInputMessage="1" showErrorMessage="1" promptTitle="PACC" prompt="Digite la cantidad requerida en este período._x000a_" sqref="F673:G676 D1412:G1421 F814:G821 E703:E761 E407:F407 F774:G776 F661:G671 F830:G830 D124:G126 E129:G139 D203:G203 E149:G149 D1264:E1264 D1292:G1295 D414:E414 F1101:G1101 E1161:E1248 E835:E871 D628:G628 D633:G633 F835:G843 E101:G101 F875:F916 F873:G873 D832:G834 D201:E202 E702:G702 E629:G632 F222:G224 D872:G872 E873:E906 E217:F221 F719:G730 F144:G148 E1409:G1411 E351:G353 D15:F15 D1098:E1102 E537:G558 F349:G350 E1263 E688:G690 D1132:G1138 E14:F14 D150:E159 D1249:E1252 E1266:G1267 F235:G241 E829:E831 D1150:E1150 F140:G140 E763:E776 D1078:D1092 D1447:E1447 G1440:G1441 E1440:E1446 F1442:G1447 D1255:E1262 H1382 H1369 F1440 E785:E827 F1110:G1113 E661:E687 D1110:E1112 D408:D413 D1148:E1148 E762:G762 F1251:F1263 E1424:G1439 F488:F536 F1366:G1371 D1105:E1106 D1053:G1056 D1369:E1371 F175:G188 E160:F174 F559:F589 F605:G627 F408:F413 D1448:G1457 F204:F216 D1423:G1423 F1091 F845:G871 F1098:F1100 D36:G43 G1021:G1034 F1104:G1108 F1161:F1249 F354:F401 H1244 D474:D477 D1095:D1097 D875:D878 D176:D195 E242:F330 D880:D889 F402:G402 F463:F482 F1057:G1077 F418:G457 F1035:G1052 D1284:E1284 F1265:G1265 D22:G22 E1082:E1097 E347:E348 E1253:E1254 E478:E483 E1366:E1368 E782 E1113:E1131 E1107:E1109 E1040:E1052 E1103:E1104 E331:E333 E691:E701 E354:E373 E1035 E1038 E1058:E1078 D828:G828 D1268:G1283 D1285:G1287 E415:G416 E418:E473 E394:E403 D1372:G1408 E1422:G1422 D1338:G1365 E104:G121 E1296:G1337 D196:G200 E634:G659 E225:G234 E563:E627 E175:E195 E1151:G1159 E1149:G1149 E1139:G1143 D1144:G1145 E1288:G1291 E1146:G1147 E95:G98 E141:G143 F683:G685 G672 G677:G682 G831 G686:G687 G1284 G844 G1102:G1103 G13:G15 G347:G348 G478:G483 G559:G604 G763:G773 G458:G473 G731:G761 G204:G221 G703:G718 G829 G691:G701 G822:G827 G150:G159 G403:G414 G1161:G1264 G782 G1109 G1114:G1131 G1148 G1150 G189:G195 G201:G202 G381 G242:G333 G394:G397 G1078:G1100 G785:G813 G874:G1011 D907:E1011 D1021:E1034 D1012:G1020 D17:G20 D1424:D1441"/>
    <dataValidation allowBlank="1" showInputMessage="1" showErrorMessage="1" promptTitle="PACC" prompt="La cantidad total resultará de la suma de las cantidades requeridas en cada trimestre. " sqref="G382:G393 I621:I627 F458:F462 H1370:H1381 I581:I589 I605:I619 H1383:H1457 G398:G401 G354:G380 H1245:H1368 H13:H43 H45:H1243"/>
    <dataValidation allowBlank="1" showInputMessage="1" showErrorMessage="1" promptTitle="PACC" prompt="Este valor se calculará automáticamente, resultado de la multiplicación de la cantidad total por el precio unitario estimado." sqref="J408:J413 J283:J299 J176:J177 J414:K414 I1362:I1364 K22:K23 J830:K830 J629:K633 J201:K234 J719:K721 J1453:K1457 J831:J834 J354:J399 J400:K407 J242:K282 J235:J241 I1365:J1365 I1441:K1441 J1442:J1447 I1448:J1450 J1146 J1132:J1143 J1144:K1145 J1109:K1131 J1147:K1148 J1150:K1150 J1149 J124:J126 J722:J829 J1451:J1452 J1054:J1063 J1151:J1244 K56:K58 K581:K589 K605:K627 J428:K457 J1105:J1108 J178:K195 J59:K123 J196:J200 J1345:K1361 J127:K175 K27:K35 K45 J1333:J1344 J415:J427 J1064:K1104 J1423:J1440 J300:K353 J1366:J1419 J1421 K640:K670 J634:J718 J45:J58 J458:J628 J835:K1053 J13:K21 J1297:J1327 J22:J43 J1245:K1296 I1279:I1280"/>
    <dataValidation allowBlank="1" showInputMessage="1" showErrorMessage="1" promptTitle="PACC" prompt="Digite el precio unitario estimado._x000a_" sqref="I1440 I1447 I1366:I1382 I1451:I1457 I590:I604 I1422:J1422 I1345:I1361 I1409:I1411 I45:I195 I201:I580 I13:I35 I628:I1278 I1281:I1337"/>
    <dataValidation allowBlank="1" showInputMessage="1" showErrorMessage="1" promptTitle="PACC" prompt="Digite la fuente de financiamiento del procedimiento de referencia." sqref="N1363:N1364 N1448:N1450 M1451:M1457 M1366:M1447 N605:N627 M586:M604 N587 N585 M13:M584 M631:M1361"/>
    <dataValidation allowBlank="1" showInputMessage="1" showErrorMessage="1" promptTitle="PACC" prompt="Este valor se calculará sumando los costos totales que posean el mismo Código de Catálogo de Bienes y Servicios." sqref="K24:K26 J1362:J1364 K408:K413 K283:K299 K176:K177 K628:L628 K46:K55 K831:K834 K634:K639 L702 K354:K399 K458:K580 K235:K241 K1146 K1442:K1447 I1442:I1446 K1132:K1143 K1149 K124:K126 K1451:K1452 L585 K590:K604 K1105:K1108 K1054:K1063 K196:K200 I196:I200 K1333:K1344 I36:I43 I1338:I1344 I1383:I1408 K415:K427 K671:K718 K1151:K1244 J1420 L674:L682 I1423:I1439 K722:K829 L605:L627 K36:K43 L603 K1297:K1327 K1366:K1440 I1412:I1421"/>
    <dataValidation allowBlank="1" showInputMessage="1" showErrorMessage="1" promptTitle="PACC" prompt="Digite las observaciones que considere." sqref="N1451:N1457 N588:N604 N586 N45:N584 N13:N43 N1365:N1447 N628:N1362"/>
    <dataValidation allowBlank="1" showInputMessage="1" showErrorMessage="1" promptTitle="PACC" prompt="Digite la unidad de medida._x000a__x000a_" sqref="E559:E562 C586:C604 C628:C1327 C1333:C1457 C13:C561"/>
    <dataValidation allowBlank="1" showInputMessage="1" showErrorMessage="1" promptTitle="PACC" prompt="Digite la descripción de la compra o contratación." sqref="B1440:B1457 B1422 B1345:B1382 B1409:B1411 B44:B195 B13:B35 A77 B201:B1337"/>
    <dataValidation type="list" allowBlank="1" showInputMessage="1" showErrorMessage="1" promptTitle="PACC" prompt="Seleccione el Código de Bienes y Servicios._x000a_" sqref="A46:A58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0.59999389629810485"/>
  </sheetPr>
  <dimension ref="A1:N1512"/>
  <sheetViews>
    <sheetView topLeftCell="C1479" zoomScale="70" zoomScaleNormal="70" workbookViewId="0">
      <selection activeCell="J1499" sqref="J1499"/>
    </sheetView>
  </sheetViews>
  <sheetFormatPr baseColWidth="10" defaultColWidth="11.42578125" defaultRowHeight="30.75" customHeight="1"/>
  <cols>
    <col min="1" max="1" width="47.140625" style="400" customWidth="1"/>
    <col min="2" max="2" width="48.42578125" style="400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400" customWidth="1"/>
    <col min="10" max="10" width="22" style="400" customWidth="1"/>
    <col min="11" max="11" width="32.42578125" style="400" customWidth="1"/>
    <col min="12" max="12" width="32.140625" style="400" customWidth="1"/>
    <col min="13" max="13" width="25.85546875" style="400" customWidth="1"/>
    <col min="14" max="14" width="12.5703125" style="37" customWidth="1"/>
    <col min="15" max="16384" width="11.42578125" style="400"/>
  </cols>
  <sheetData>
    <row r="1" spans="1:14" ht="18.75" thickBot="1"/>
    <row r="2" spans="1:14" ht="18">
      <c r="A2" s="7" t="s">
        <v>0</v>
      </c>
      <c r="N2" s="8">
        <v>42332</v>
      </c>
    </row>
    <row r="3" spans="1:14" ht="18">
      <c r="A3" s="554"/>
      <c r="N3" s="9"/>
    </row>
    <row r="4" spans="1:14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14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14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172" customFormat="1" ht="15.75">
      <c r="A7" s="556" t="s">
        <v>1281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14" ht="18.75" thickBot="1"/>
    <row r="9" spans="1:14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14" s="14" customFormat="1" ht="18"/>
    <row r="11" spans="1:14" s="12" customFormat="1" ht="18.75" customHeight="1" thickBot="1"/>
    <row r="12" spans="1:14" s="12" customFormat="1" ht="78">
      <c r="A12" s="2" t="s">
        <v>3</v>
      </c>
      <c r="B12" s="3" t="s">
        <v>4</v>
      </c>
      <c r="C12" s="3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3" t="s">
        <v>10</v>
      </c>
      <c r="I12" s="3" t="s">
        <v>11</v>
      </c>
      <c r="J12" s="3" t="s">
        <v>12</v>
      </c>
      <c r="K12" s="3" t="s">
        <v>442</v>
      </c>
      <c r="L12" s="3" t="s">
        <v>13</v>
      </c>
      <c r="M12" s="3" t="s">
        <v>14</v>
      </c>
      <c r="N12" s="3" t="s">
        <v>305</v>
      </c>
    </row>
    <row r="13" spans="1:14" s="12" customFormat="1" ht="31.5">
      <c r="A13" s="178" t="s">
        <v>16</v>
      </c>
      <c r="B13" s="75" t="s">
        <v>427</v>
      </c>
      <c r="C13" s="176" t="s">
        <v>17</v>
      </c>
      <c r="D13" s="236"/>
      <c r="E13" s="236"/>
      <c r="F13" s="236"/>
      <c r="G13" s="236"/>
      <c r="H13" s="236">
        <f>SUM(Tabla132112415[[#This Row],[PRIMER TRIMESTRE]:[CUARTO TRIMESTRE]])</f>
        <v>0</v>
      </c>
      <c r="I13" s="17">
        <v>4568.04</v>
      </c>
      <c r="J13" s="17">
        <f>+Tabla132112415[[#This Row],[CANTIDAD TOTAL]]*Tabla132112415[[#This Row],[PRECIO UNITARIO ESTIMADO]]</f>
        <v>0</v>
      </c>
      <c r="K13" s="21"/>
      <c r="L13" s="16" t="s">
        <v>18</v>
      </c>
      <c r="M13" s="16" t="s">
        <v>19</v>
      </c>
      <c r="N13" s="39"/>
    </row>
    <row r="14" spans="1:14" s="12" customFormat="1" ht="31.5">
      <c r="A14" s="178" t="s">
        <v>16</v>
      </c>
      <c r="B14" s="75" t="s">
        <v>426</v>
      </c>
      <c r="C14" s="176" t="s">
        <v>17</v>
      </c>
      <c r="D14" s="236"/>
      <c r="E14" s="236"/>
      <c r="F14" s="236"/>
      <c r="G14" s="236"/>
      <c r="H14" s="236">
        <f>SUM(Tabla132112415[[#This Row],[PRIMER TRIMESTRE]:[CUARTO TRIMESTRE]])</f>
        <v>0</v>
      </c>
      <c r="I14" s="17">
        <v>33696</v>
      </c>
      <c r="J14" s="17">
        <f>+Tabla132112415[[#This Row],[CANTIDAD TOTAL]]*Tabla132112415[[#This Row],[PRECIO UNITARIO ESTIMADO]]</f>
        <v>0</v>
      </c>
      <c r="K14" s="17"/>
      <c r="L14" s="16" t="s">
        <v>18</v>
      </c>
      <c r="M14" s="16" t="s">
        <v>19</v>
      </c>
      <c r="N14" s="39"/>
    </row>
    <row r="15" spans="1:14" s="12" customFormat="1" ht="31.5">
      <c r="A15" s="178" t="s">
        <v>16</v>
      </c>
      <c r="B15" s="75" t="s">
        <v>24</v>
      </c>
      <c r="C15" s="176" t="s">
        <v>25</v>
      </c>
      <c r="D15" s="210"/>
      <c r="E15" s="210"/>
      <c r="F15" s="210"/>
      <c r="G15" s="210"/>
      <c r="H15" s="236">
        <f>SUM(Tabla132112415[[#This Row],[PRIMER TRIMESTRE]:[CUARTO TRIMESTRE]])</f>
        <v>0</v>
      </c>
      <c r="I15" s="17">
        <v>3628</v>
      </c>
      <c r="J15" s="17">
        <f>+Tabla132112415[[#This Row],[CANTIDAD TOTAL]]*Tabla132112415[[#This Row],[PRECIO UNITARIO ESTIMADO]]</f>
        <v>0</v>
      </c>
      <c r="K15" s="17"/>
      <c r="L15" s="16" t="s">
        <v>18</v>
      </c>
      <c r="M15" s="16" t="s">
        <v>19</v>
      </c>
      <c r="N15" s="39"/>
    </row>
    <row r="16" spans="1:14" s="12" customFormat="1" ht="31.5">
      <c r="A16" s="178" t="s">
        <v>16</v>
      </c>
      <c r="B16" s="75" t="s">
        <v>1385</v>
      </c>
      <c r="C16" s="176" t="s">
        <v>23</v>
      </c>
      <c r="D16" s="210"/>
      <c r="E16" s="210"/>
      <c r="F16" s="210"/>
      <c r="G16" s="210"/>
      <c r="H16" s="236">
        <f>SUM(Tabla132112415[[#This Row],[PRIMER TRIMESTRE]:[CUARTO TRIMESTRE]])</f>
        <v>0</v>
      </c>
      <c r="I16" s="17">
        <v>28440</v>
      </c>
      <c r="J16" s="17">
        <f>+Tabla132112415[[#This Row],[CANTIDAD TOTAL]]*Tabla132112415[[#This Row],[PRECIO UNITARIO ESTIMADO]]</f>
        <v>0</v>
      </c>
      <c r="K16" s="17"/>
      <c r="L16" s="16" t="s">
        <v>15</v>
      </c>
      <c r="M16" s="16" t="s">
        <v>19</v>
      </c>
      <c r="N16" s="39" t="s">
        <v>342</v>
      </c>
    </row>
    <row r="17" spans="1:14" s="12" customFormat="1" ht="31.5">
      <c r="A17" s="178" t="s">
        <v>16</v>
      </c>
      <c r="B17" s="75" t="s">
        <v>29</v>
      </c>
      <c r="C17" s="176" t="s">
        <v>30</v>
      </c>
      <c r="D17" s="236"/>
      <c r="E17" s="236"/>
      <c r="F17" s="236"/>
      <c r="G17" s="236"/>
      <c r="H17" s="236">
        <f>SUM(Tabla132112415[[#This Row],[PRIMER TRIMESTRE]:[CUARTO TRIMESTRE]])</f>
        <v>0</v>
      </c>
      <c r="I17" s="17">
        <v>862.27</v>
      </c>
      <c r="J17" s="17">
        <f>+Tabla132112415[[#This Row],[CANTIDAD TOTAL]]*Tabla132112415[[#This Row],[PRECIO UNITARIO ESTIMADO]]</f>
        <v>0</v>
      </c>
      <c r="K17" s="17"/>
      <c r="L17" s="16" t="s">
        <v>18</v>
      </c>
      <c r="M17" s="16" t="s">
        <v>19</v>
      </c>
      <c r="N17" s="39"/>
    </row>
    <row r="18" spans="1:14" s="12" customFormat="1" ht="31.5">
      <c r="A18" s="178" t="s">
        <v>16</v>
      </c>
      <c r="B18" s="75" t="s">
        <v>1842</v>
      </c>
      <c r="C18" s="176" t="s">
        <v>30</v>
      </c>
      <c r="D18" s="236"/>
      <c r="E18" s="236"/>
      <c r="F18" s="236"/>
      <c r="G18" s="236"/>
      <c r="H18" s="236">
        <f>SUM(Tabla132112415[[#This Row],[PRIMER TRIMESTRE]:[CUARTO TRIMESTRE]])</f>
        <v>0</v>
      </c>
      <c r="I18" s="17">
        <v>24.68</v>
      </c>
      <c r="J18" s="17">
        <f>+H18*I18</f>
        <v>0</v>
      </c>
      <c r="K18" s="17"/>
      <c r="L18" s="16" t="s">
        <v>18</v>
      </c>
      <c r="M18" s="16" t="s">
        <v>19</v>
      </c>
      <c r="N18" s="39"/>
    </row>
    <row r="19" spans="1:14" s="169" customFormat="1" ht="31.5">
      <c r="A19" s="178" t="s">
        <v>16</v>
      </c>
      <c r="B19" s="75" t="s">
        <v>1843</v>
      </c>
      <c r="C19" s="176" t="s">
        <v>17</v>
      </c>
      <c r="D19" s="236"/>
      <c r="E19" s="236"/>
      <c r="F19" s="236"/>
      <c r="G19" s="236"/>
      <c r="H19" s="236">
        <f>SUM(Tabla132112415[[#This Row],[PRIMER TRIMESTRE]:[CUARTO TRIMESTRE]])</f>
        <v>0</v>
      </c>
      <c r="I19" s="17">
        <v>15000</v>
      </c>
      <c r="J19" s="17">
        <f>+H19*I19</f>
        <v>0</v>
      </c>
      <c r="K19" s="17"/>
      <c r="L19" s="16" t="s">
        <v>27</v>
      </c>
      <c r="M19" s="16" t="s">
        <v>19</v>
      </c>
      <c r="N19" s="39"/>
    </row>
    <row r="20" spans="1:14" s="169" customFormat="1" ht="18">
      <c r="A20" s="179" t="s">
        <v>16</v>
      </c>
      <c r="B20" s="405" t="s">
        <v>443</v>
      </c>
      <c r="C20" s="492"/>
      <c r="D20" s="237"/>
      <c r="E20" s="237"/>
      <c r="F20" s="237"/>
      <c r="G20" s="237"/>
      <c r="H20" s="43"/>
      <c r="I20" s="24"/>
      <c r="J20" s="24"/>
      <c r="K20" s="25">
        <f>SUM(J13:J19)</f>
        <v>0</v>
      </c>
      <c r="L20" s="23"/>
      <c r="M20" s="23"/>
      <c r="N20" s="42"/>
    </row>
    <row r="21" spans="1:14" s="169" customFormat="1" ht="30">
      <c r="A21" s="180" t="s">
        <v>34</v>
      </c>
      <c r="B21" s="453" t="s">
        <v>717</v>
      </c>
      <c r="C21" s="177" t="s">
        <v>35</v>
      </c>
      <c r="D21" s="210">
        <v>10</v>
      </c>
      <c r="E21" s="210"/>
      <c r="F21" s="210">
        <v>10</v>
      </c>
      <c r="G21" s="210"/>
      <c r="H21" s="406">
        <f>SUM(Tabla132112415[[#This Row],[PRIMER TRIMESTRE]:[CUARTO TRIMESTRE]])</f>
        <v>20</v>
      </c>
      <c r="I21" s="72">
        <v>31896.55</v>
      </c>
      <c r="J21" s="72">
        <f>+Tabla132112415[[#This Row],[CANTIDAD TOTAL]]*Tabla132112415[[#This Row],[PRECIO UNITARIO ESTIMADO]]</f>
        <v>637931</v>
      </c>
      <c r="K21" s="72"/>
      <c r="L21" s="77" t="s">
        <v>27</v>
      </c>
      <c r="M21" s="73" t="s">
        <v>22</v>
      </c>
      <c r="N21" s="70" t="s">
        <v>418</v>
      </c>
    </row>
    <row r="22" spans="1:14" s="169" customFormat="1" ht="30">
      <c r="A22" s="180" t="s">
        <v>34</v>
      </c>
      <c r="B22" s="453" t="s">
        <v>714</v>
      </c>
      <c r="C22" s="177" t="s">
        <v>35</v>
      </c>
      <c r="D22" s="210">
        <v>5</v>
      </c>
      <c r="E22" s="210"/>
      <c r="F22" s="210">
        <v>5</v>
      </c>
      <c r="G22" s="210"/>
      <c r="H22" s="406">
        <f>SUM(Tabla132112415[[#This Row],[PRIMER TRIMESTRE]:[CUARTO TRIMESTRE]])</f>
        <v>10</v>
      </c>
      <c r="I22" s="72">
        <v>28017.24</v>
      </c>
      <c r="J22" s="72">
        <f>+H22*I22</f>
        <v>280172.40000000002</v>
      </c>
      <c r="K22" s="171"/>
      <c r="L22" s="77" t="s">
        <v>27</v>
      </c>
      <c r="M22" s="73" t="s">
        <v>22</v>
      </c>
      <c r="N22" s="70" t="s">
        <v>418</v>
      </c>
    </row>
    <row r="23" spans="1:14" s="169" customFormat="1" ht="30">
      <c r="A23" s="180" t="s">
        <v>34</v>
      </c>
      <c r="B23" s="453" t="s">
        <v>715</v>
      </c>
      <c r="C23" s="177" t="s">
        <v>35</v>
      </c>
      <c r="D23" s="210">
        <v>5</v>
      </c>
      <c r="E23" s="210"/>
      <c r="F23" s="210">
        <v>5</v>
      </c>
      <c r="G23" s="210"/>
      <c r="H23" s="406">
        <f>SUM(Tabla132112415[[#This Row],[PRIMER TRIMESTRE]:[CUARTO TRIMESTRE]])</f>
        <v>10</v>
      </c>
      <c r="I23" s="72">
        <v>23612</v>
      </c>
      <c r="J23" s="72">
        <f>+H23*I23</f>
        <v>236120</v>
      </c>
      <c r="K23" s="72"/>
      <c r="L23" s="77" t="s">
        <v>27</v>
      </c>
      <c r="M23" s="73" t="s">
        <v>22</v>
      </c>
      <c r="N23" s="70" t="s">
        <v>418</v>
      </c>
    </row>
    <row r="24" spans="1:14" s="169" customFormat="1" ht="30">
      <c r="A24" s="180" t="s">
        <v>34</v>
      </c>
      <c r="B24" s="453" t="s">
        <v>716</v>
      </c>
      <c r="C24" s="177" t="s">
        <v>35</v>
      </c>
      <c r="D24" s="210">
        <v>15</v>
      </c>
      <c r="E24" s="210"/>
      <c r="F24" s="210">
        <v>15</v>
      </c>
      <c r="G24" s="210"/>
      <c r="H24" s="406">
        <f>SUM(Tabla132112415[[#This Row],[PRIMER TRIMESTRE]:[CUARTO TRIMESTRE]])</f>
        <v>30</v>
      </c>
      <c r="I24" s="72">
        <v>23112.13</v>
      </c>
      <c r="J24" s="72">
        <f>+H24*I24</f>
        <v>693363.9</v>
      </c>
      <c r="K24" s="72"/>
      <c r="L24" s="77" t="s">
        <v>27</v>
      </c>
      <c r="M24" s="73" t="s">
        <v>22</v>
      </c>
      <c r="N24" s="70" t="s">
        <v>418</v>
      </c>
    </row>
    <row r="25" spans="1:14" s="169" customFormat="1" ht="30">
      <c r="A25" s="180" t="s">
        <v>34</v>
      </c>
      <c r="B25" s="453" t="s">
        <v>2465</v>
      </c>
      <c r="C25" s="177" t="s">
        <v>35</v>
      </c>
      <c r="D25" s="210">
        <v>5</v>
      </c>
      <c r="E25" s="210"/>
      <c r="F25" s="210">
        <v>5</v>
      </c>
      <c r="G25" s="210"/>
      <c r="H25" s="406">
        <f>SUM(Tabla132112415[[#This Row],[PRIMER TRIMESTRE]:[CUARTO TRIMESTRE]])</f>
        <v>10</v>
      </c>
      <c r="I25" s="72">
        <v>24630.67</v>
      </c>
      <c r="J25" s="72">
        <f>+Tabla132112415[[#This Row],[CANTIDAD TOTAL]]*Tabla132112415[[#This Row],[PRECIO UNITARIO ESTIMADO]]</f>
        <v>246306.69999999998</v>
      </c>
      <c r="K25" s="72"/>
      <c r="L25" s="77" t="s">
        <v>27</v>
      </c>
      <c r="M25" s="73" t="s">
        <v>22</v>
      </c>
      <c r="N25" s="70" t="s">
        <v>418</v>
      </c>
    </row>
    <row r="26" spans="1:14" s="169" customFormat="1" ht="30">
      <c r="A26" s="180" t="s">
        <v>34</v>
      </c>
      <c r="B26" s="453" t="s">
        <v>2466</v>
      </c>
      <c r="C26" s="177" t="s">
        <v>35</v>
      </c>
      <c r="D26" s="210">
        <v>5</v>
      </c>
      <c r="E26" s="210"/>
      <c r="F26" s="210">
        <v>5</v>
      </c>
      <c r="G26" s="210"/>
      <c r="H26" s="406">
        <f>SUM(Tabla132112415[[#This Row],[PRIMER TRIMESTRE]:[CUARTO TRIMESTRE]])</f>
        <v>10</v>
      </c>
      <c r="I26" s="72">
        <v>28017.24</v>
      </c>
      <c r="J26" s="72">
        <f>+H26*I26</f>
        <v>280172.40000000002</v>
      </c>
      <c r="K26" s="171"/>
      <c r="L26" s="77" t="s">
        <v>27</v>
      </c>
      <c r="M26" s="73" t="s">
        <v>22</v>
      </c>
      <c r="N26" s="70" t="s">
        <v>418</v>
      </c>
    </row>
    <row r="27" spans="1:14" s="169" customFormat="1" ht="30">
      <c r="A27" s="180" t="s">
        <v>34</v>
      </c>
      <c r="B27" s="453" t="s">
        <v>714</v>
      </c>
      <c r="C27" s="177" t="s">
        <v>35</v>
      </c>
      <c r="D27" s="210">
        <v>5</v>
      </c>
      <c r="E27" s="210"/>
      <c r="F27" s="210">
        <v>5</v>
      </c>
      <c r="G27" s="210"/>
      <c r="H27" s="406">
        <f>SUM(Tabla132112415[[#This Row],[PRIMER TRIMESTRE]:[CUARTO TRIMESTRE]])</f>
        <v>10</v>
      </c>
      <c r="I27" s="72">
        <v>28017.24</v>
      </c>
      <c r="J27" s="72">
        <f>+H27*I27</f>
        <v>280172.40000000002</v>
      </c>
      <c r="K27" s="171"/>
      <c r="L27" s="77" t="s">
        <v>27</v>
      </c>
      <c r="M27" s="73" t="s">
        <v>22</v>
      </c>
      <c r="N27" s="70" t="s">
        <v>418</v>
      </c>
    </row>
    <row r="28" spans="1:14" s="169" customFormat="1" ht="30">
      <c r="A28" s="180" t="s">
        <v>34</v>
      </c>
      <c r="B28" s="453" t="s">
        <v>2467</v>
      </c>
      <c r="C28" s="177" t="s">
        <v>35</v>
      </c>
      <c r="D28" s="210">
        <v>10</v>
      </c>
      <c r="E28" s="210"/>
      <c r="F28" s="210">
        <v>10</v>
      </c>
      <c r="G28" s="210"/>
      <c r="H28" s="406">
        <f>SUM(Tabla132112415[[#This Row],[PRIMER TRIMESTRE]:[CUARTO TRIMESTRE]])</f>
        <v>20</v>
      </c>
      <c r="I28" s="72">
        <v>28017.24</v>
      </c>
      <c r="J28" s="72">
        <f>+H28*I28</f>
        <v>560344.80000000005</v>
      </c>
      <c r="K28" s="171"/>
      <c r="L28" s="77" t="s">
        <v>27</v>
      </c>
      <c r="M28" s="73" t="s">
        <v>22</v>
      </c>
      <c r="N28" s="70" t="s">
        <v>418</v>
      </c>
    </row>
    <row r="29" spans="1:14" s="169" customFormat="1" ht="30">
      <c r="A29" s="180" t="s">
        <v>34</v>
      </c>
      <c r="B29" s="453" t="s">
        <v>786</v>
      </c>
      <c r="C29" s="177" t="s">
        <v>35</v>
      </c>
      <c r="D29" s="210">
        <v>2</v>
      </c>
      <c r="E29" s="210"/>
      <c r="F29" s="210">
        <v>2</v>
      </c>
      <c r="G29" s="210"/>
      <c r="H29" s="406">
        <f>SUM(Tabla132112415[[#This Row],[PRIMER TRIMESTRE]:[CUARTO TRIMESTRE]])</f>
        <v>4</v>
      </c>
      <c r="I29" s="72">
        <f>+I25*1.05</f>
        <v>25862.2035</v>
      </c>
      <c r="J29" s="72">
        <f>+H29*I29</f>
        <v>103448.814</v>
      </c>
      <c r="K29" s="72"/>
      <c r="L29" s="77" t="s">
        <v>27</v>
      </c>
      <c r="M29" s="73" t="s">
        <v>22</v>
      </c>
      <c r="N29" s="70" t="s">
        <v>418</v>
      </c>
    </row>
    <row r="30" spans="1:14" s="26" customFormat="1" ht="30">
      <c r="A30" s="180" t="s">
        <v>34</v>
      </c>
      <c r="B30" s="453" t="s">
        <v>2468</v>
      </c>
      <c r="C30" s="177" t="s">
        <v>35</v>
      </c>
      <c r="D30" s="210">
        <v>5</v>
      </c>
      <c r="E30" s="210"/>
      <c r="F30" s="210">
        <v>5</v>
      </c>
      <c r="G30" s="210"/>
      <c r="H30" s="406">
        <f>SUM(Tabla132112415[[#This Row],[PRIMER TRIMESTRE]:[CUARTO TRIMESTRE]])</f>
        <v>10</v>
      </c>
      <c r="I30" s="72">
        <v>3700</v>
      </c>
      <c r="J30" s="72">
        <f>+Tabla132112415[[#This Row],[CANTIDAD TOTAL]]*Tabla132112415[[#This Row],[PRECIO UNITARIO ESTIMADO]]</f>
        <v>37000</v>
      </c>
      <c r="K30" s="72"/>
      <c r="L30" s="77" t="s">
        <v>27</v>
      </c>
      <c r="M30" s="73" t="s">
        <v>22</v>
      </c>
      <c r="N30" s="70" t="s">
        <v>418</v>
      </c>
    </row>
    <row r="31" spans="1:14" s="169" customFormat="1" ht="30">
      <c r="A31" s="180" t="s">
        <v>34</v>
      </c>
      <c r="B31" s="453" t="s">
        <v>719</v>
      </c>
      <c r="C31" s="177" t="s">
        <v>718</v>
      </c>
      <c r="D31" s="210">
        <v>40</v>
      </c>
      <c r="E31" s="210"/>
      <c r="F31" s="210">
        <v>40</v>
      </c>
      <c r="G31" s="210"/>
      <c r="H31" s="406">
        <f>SUM(Tabla132112415[[#This Row],[PRIMER TRIMESTRE]:[CUARTO TRIMESTRE]])</f>
        <v>80</v>
      </c>
      <c r="I31" s="72">
        <v>800</v>
      </c>
      <c r="J31" s="72">
        <f>+Tabla132112415[[#This Row],[CANTIDAD TOTAL]]*Tabla132112415[[#This Row],[PRECIO UNITARIO ESTIMADO]]</f>
        <v>64000</v>
      </c>
      <c r="K31" s="72"/>
      <c r="L31" s="77" t="s">
        <v>27</v>
      </c>
      <c r="M31" s="73" t="s">
        <v>22</v>
      </c>
      <c r="N31" s="70" t="s">
        <v>418</v>
      </c>
    </row>
    <row r="32" spans="1:14" s="169" customFormat="1" ht="31.5">
      <c r="A32" s="179" t="s">
        <v>34</v>
      </c>
      <c r="B32" s="76" t="s">
        <v>444</v>
      </c>
      <c r="C32" s="492"/>
      <c r="D32" s="237"/>
      <c r="E32" s="237"/>
      <c r="F32" s="237"/>
      <c r="G32" s="237"/>
      <c r="H32" s="43"/>
      <c r="I32" s="24"/>
      <c r="J32" s="24"/>
      <c r="K32" s="25">
        <f>SUBTOTAL(109,J21:J31)</f>
        <v>3419032.4139999994</v>
      </c>
      <c r="L32" s="23"/>
      <c r="M32" s="23"/>
      <c r="N32" s="42"/>
    </row>
    <row r="33" spans="1:14" s="26" customFormat="1" ht="31.5">
      <c r="A33" s="180" t="s">
        <v>1288</v>
      </c>
      <c r="B33" s="77" t="s">
        <v>1290</v>
      </c>
      <c r="C33" s="177" t="s">
        <v>33</v>
      </c>
      <c r="D33" s="210">
        <v>85100</v>
      </c>
      <c r="E33" s="210">
        <v>69450</v>
      </c>
      <c r="F33" s="210">
        <v>70500</v>
      </c>
      <c r="G33" s="210">
        <v>72500</v>
      </c>
      <c r="H33" s="406">
        <f>SUM(Tabla132112415[[#This Row],[PRIMER TRIMESTRE]:[CUARTO TRIMESTRE]])</f>
        <v>297550</v>
      </c>
      <c r="I33" s="72">
        <v>144.9</v>
      </c>
      <c r="J33" s="72">
        <f>+H33*I33</f>
        <v>43114995</v>
      </c>
      <c r="K33" s="72"/>
      <c r="L33" s="16" t="s">
        <v>18</v>
      </c>
      <c r="M33" s="73" t="s">
        <v>19</v>
      </c>
      <c r="N33" s="70"/>
    </row>
    <row r="34" spans="1:14" s="12" customFormat="1" ht="31.5">
      <c r="A34" s="180" t="s">
        <v>1288</v>
      </c>
      <c r="B34" s="77" t="s">
        <v>1289</v>
      </c>
      <c r="C34" s="177" t="s">
        <v>33</v>
      </c>
      <c r="D34" s="210">
        <v>9000</v>
      </c>
      <c r="E34" s="210">
        <v>9500</v>
      </c>
      <c r="F34" s="210">
        <v>10000</v>
      </c>
      <c r="G34" s="210">
        <v>10000</v>
      </c>
      <c r="H34" s="406">
        <f>SUM(Tabla132112415[[#This Row],[PRIMER TRIMESTRE]:[CUARTO TRIMESTRE]])</f>
        <v>38500</v>
      </c>
      <c r="I34" s="72">
        <v>144.9</v>
      </c>
      <c r="J34" s="72">
        <f>+H34*I34</f>
        <v>5578650</v>
      </c>
      <c r="K34" s="72"/>
      <c r="L34" s="16" t="s">
        <v>18</v>
      </c>
      <c r="M34" s="73" t="s">
        <v>19</v>
      </c>
      <c r="N34" s="70"/>
    </row>
    <row r="35" spans="1:14" s="12" customFormat="1" ht="18">
      <c r="A35" s="179" t="s">
        <v>1288</v>
      </c>
      <c r="B35" s="76"/>
      <c r="C35" s="492"/>
      <c r="D35" s="237"/>
      <c r="E35" s="237"/>
      <c r="F35" s="237"/>
      <c r="G35" s="237"/>
      <c r="H35" s="43"/>
      <c r="I35" s="24"/>
      <c r="J35" s="24"/>
      <c r="K35" s="25">
        <f>SUBTOTAL(109,J33:J34)</f>
        <v>48693645</v>
      </c>
      <c r="L35" s="23"/>
      <c r="M35" s="23"/>
      <c r="N35" s="42"/>
    </row>
    <row r="36" spans="1:14" s="26" customFormat="1" ht="30">
      <c r="A36" s="180" t="s">
        <v>41</v>
      </c>
      <c r="B36" s="453" t="s">
        <v>2469</v>
      </c>
      <c r="C36" s="177" t="s">
        <v>17</v>
      </c>
      <c r="D36" s="210">
        <v>12</v>
      </c>
      <c r="E36" s="210"/>
      <c r="F36" s="210">
        <v>12</v>
      </c>
      <c r="G36" s="210"/>
      <c r="H36" s="406">
        <f>SUM(Tabla132112415[[#This Row],[PRIMER TRIMESTRE]:[CUARTO TRIMESTRE]])</f>
        <v>24</v>
      </c>
      <c r="I36" s="17">
        <v>18000</v>
      </c>
      <c r="J36" s="17">
        <f>+Tabla132112415[[#This Row],[CANTIDAD TOTAL]]*Tabla132112415[[#This Row],[PRECIO UNITARIO ESTIMADO]]</f>
        <v>432000</v>
      </c>
      <c r="K36" s="17"/>
      <c r="L36" s="16" t="s">
        <v>15</v>
      </c>
      <c r="M36" s="16" t="s">
        <v>22</v>
      </c>
      <c r="N36" s="39" t="s">
        <v>418</v>
      </c>
    </row>
    <row r="37" spans="1:14" s="55" customFormat="1" ht="30">
      <c r="A37" s="180" t="s">
        <v>41</v>
      </c>
      <c r="B37" s="453" t="s">
        <v>2470</v>
      </c>
      <c r="C37" s="177" t="s">
        <v>17</v>
      </c>
      <c r="D37" s="210">
        <v>12</v>
      </c>
      <c r="E37" s="210"/>
      <c r="F37" s="210">
        <v>12</v>
      </c>
      <c r="G37" s="210"/>
      <c r="H37" s="406">
        <f>SUM(Tabla132112415[[#This Row],[PRIMER TRIMESTRE]:[CUARTO TRIMESTRE]])</f>
        <v>24</v>
      </c>
      <c r="I37" s="17">
        <v>16000</v>
      </c>
      <c r="J37" s="17">
        <f>+Tabla132112415[[#This Row],[CANTIDAD TOTAL]]*Tabla132112415[[#This Row],[PRECIO UNITARIO ESTIMADO]]</f>
        <v>384000</v>
      </c>
      <c r="K37" s="17"/>
      <c r="L37" s="16" t="s">
        <v>15</v>
      </c>
      <c r="M37" s="16" t="s">
        <v>22</v>
      </c>
      <c r="N37" s="39" t="s">
        <v>418</v>
      </c>
    </row>
    <row r="38" spans="1:14" s="55" customFormat="1" ht="31.5">
      <c r="A38" s="179" t="s">
        <v>41</v>
      </c>
      <c r="B38" s="76"/>
      <c r="C38" s="492"/>
      <c r="D38" s="237"/>
      <c r="E38" s="237"/>
      <c r="F38" s="237"/>
      <c r="G38" s="237"/>
      <c r="H38" s="43"/>
      <c r="I38" s="24"/>
      <c r="J38" s="24"/>
      <c r="K38" s="25">
        <f>SUBTOTAL(109,J36:J37)</f>
        <v>816000</v>
      </c>
      <c r="L38" s="23"/>
      <c r="M38" s="23"/>
      <c r="N38" s="42"/>
    </row>
    <row r="39" spans="1:14" s="55" customFormat="1" ht="30">
      <c r="A39" s="178" t="s">
        <v>1386</v>
      </c>
      <c r="B39" s="75" t="s">
        <v>1387</v>
      </c>
      <c r="C39" s="493" t="s">
        <v>1388</v>
      </c>
      <c r="D39" s="241"/>
      <c r="E39" s="241"/>
      <c r="F39" s="241"/>
      <c r="G39" s="241"/>
      <c r="H39" s="244">
        <f>SUM(Tabla132112415[[#This Row],[PRIMER TRIMESTRE]:[CUARTO TRIMESTRE]])</f>
        <v>0</v>
      </c>
      <c r="I39" s="245">
        <v>2500</v>
      </c>
      <c r="J39" s="245">
        <f>+H39*I39</f>
        <v>0</v>
      </c>
      <c r="K39" s="50"/>
      <c r="L39" s="77" t="s">
        <v>27</v>
      </c>
      <c r="M39" s="77" t="s">
        <v>22</v>
      </c>
      <c r="N39" s="53"/>
    </row>
    <row r="40" spans="1:14" s="55" customFormat="1" ht="31.5">
      <c r="A40" s="16" t="s">
        <v>1386</v>
      </c>
      <c r="B40" s="75" t="s">
        <v>1551</v>
      </c>
      <c r="C40" s="176" t="s">
        <v>35</v>
      </c>
      <c r="D40" s="244"/>
      <c r="E40" s="244"/>
      <c r="F40" s="244"/>
      <c r="G40" s="244"/>
      <c r="H40" s="244">
        <f>SUM(Tabla132112415[[#This Row],[PRIMER TRIMESTRE]:[CUARTO TRIMESTRE]])</f>
        <v>0</v>
      </c>
      <c r="I40" s="245">
        <v>29000</v>
      </c>
      <c r="J40" s="245">
        <f>+H40*I40</f>
        <v>0</v>
      </c>
      <c r="K40" s="17"/>
      <c r="L40" s="16" t="s">
        <v>15</v>
      </c>
      <c r="M40" s="16" t="s">
        <v>22</v>
      </c>
      <c r="N40" s="39" t="s">
        <v>418</v>
      </c>
    </row>
    <row r="41" spans="1:14" s="55" customFormat="1" ht="31.5">
      <c r="A41" s="16" t="s">
        <v>1386</v>
      </c>
      <c r="B41" s="75" t="s">
        <v>1844</v>
      </c>
      <c r="C41" s="493" t="s">
        <v>17</v>
      </c>
      <c r="D41" s="299"/>
      <c r="E41" s="299"/>
      <c r="F41" s="299"/>
      <c r="G41" s="299"/>
      <c r="H41" s="244">
        <f>SUM(Tabla132112415[[#This Row],[PRIMER TRIMESTRE]:[CUARTO TRIMESTRE]])</f>
        <v>0</v>
      </c>
      <c r="I41" s="248">
        <v>4000000</v>
      </c>
      <c r="J41" s="245">
        <f>+H41*I41</f>
        <v>0</v>
      </c>
      <c r="K41" s="17"/>
      <c r="L41" s="16" t="s">
        <v>18</v>
      </c>
      <c r="M41" s="16" t="s">
        <v>22</v>
      </c>
      <c r="N41" s="39"/>
    </row>
    <row r="42" spans="1:14" s="55" customFormat="1" ht="30">
      <c r="A42" s="178" t="s">
        <v>1386</v>
      </c>
      <c r="B42" s="75" t="s">
        <v>1699</v>
      </c>
      <c r="C42" s="493" t="s">
        <v>17</v>
      </c>
      <c r="D42" s="299"/>
      <c r="E42" s="299"/>
      <c r="F42" s="299"/>
      <c r="G42" s="299"/>
      <c r="H42" s="46">
        <v>0</v>
      </c>
      <c r="I42" s="248">
        <v>0</v>
      </c>
      <c r="J42" s="248">
        <v>0</v>
      </c>
      <c r="K42" s="17"/>
      <c r="L42" s="16" t="s">
        <v>18</v>
      </c>
      <c r="M42" s="16" t="s">
        <v>22</v>
      </c>
      <c r="N42" s="39"/>
    </row>
    <row r="43" spans="1:14" s="26" customFormat="1" ht="30">
      <c r="A43" s="178" t="s">
        <v>1386</v>
      </c>
      <c r="B43" s="75" t="s">
        <v>1701</v>
      </c>
      <c r="C43" s="493" t="s">
        <v>17</v>
      </c>
      <c r="D43" s="299"/>
      <c r="E43" s="299"/>
      <c r="F43" s="299"/>
      <c r="G43" s="299"/>
      <c r="H43" s="46">
        <v>0</v>
      </c>
      <c r="I43" s="248">
        <v>0</v>
      </c>
      <c r="J43" s="248">
        <v>0</v>
      </c>
      <c r="K43" s="17"/>
      <c r="L43" s="16" t="s">
        <v>18</v>
      </c>
      <c r="M43" s="77" t="s">
        <v>22</v>
      </c>
      <c r="N43" s="39"/>
    </row>
    <row r="44" spans="1:14" s="26" customFormat="1" ht="30">
      <c r="A44" s="178" t="s">
        <v>1386</v>
      </c>
      <c r="B44" s="75" t="s">
        <v>2471</v>
      </c>
      <c r="C44" s="493" t="s">
        <v>17</v>
      </c>
      <c r="D44" s="299">
        <v>43</v>
      </c>
      <c r="E44" s="299">
        <v>43</v>
      </c>
      <c r="F44" s="299">
        <v>43</v>
      </c>
      <c r="G44" s="299">
        <v>43</v>
      </c>
      <c r="H44" s="46"/>
      <c r="I44" s="248"/>
      <c r="J44" s="248"/>
      <c r="K44" s="17"/>
      <c r="L44" s="16"/>
      <c r="M44" s="77"/>
      <c r="N44" s="39"/>
    </row>
    <row r="45" spans="1:14" s="26" customFormat="1" ht="30">
      <c r="A45" s="178" t="s">
        <v>1386</v>
      </c>
      <c r="B45" s="75" t="s">
        <v>2472</v>
      </c>
      <c r="C45" s="493" t="s">
        <v>17</v>
      </c>
      <c r="D45" s="299">
        <v>3</v>
      </c>
      <c r="E45" s="299">
        <v>3</v>
      </c>
      <c r="F45" s="299">
        <v>3</v>
      </c>
      <c r="G45" s="299">
        <v>3</v>
      </c>
      <c r="H45" s="46"/>
      <c r="I45" s="248"/>
      <c r="J45" s="248"/>
      <c r="K45" s="17"/>
      <c r="L45" s="16"/>
      <c r="M45" s="77"/>
      <c r="N45" s="39"/>
    </row>
    <row r="46" spans="1:14" s="26" customFormat="1" ht="30">
      <c r="A46" s="178" t="s">
        <v>1386</v>
      </c>
      <c r="B46" s="75" t="s">
        <v>1764</v>
      </c>
      <c r="C46" s="493" t="s">
        <v>17</v>
      </c>
      <c r="D46" s="299"/>
      <c r="E46" s="299"/>
      <c r="F46" s="299"/>
      <c r="G46" s="299"/>
      <c r="H46" s="46">
        <v>0</v>
      </c>
      <c r="I46" s="248">
        <v>0</v>
      </c>
      <c r="J46" s="248">
        <v>0</v>
      </c>
      <c r="K46" s="17"/>
      <c r="L46" s="77" t="s">
        <v>27</v>
      </c>
      <c r="M46" s="77" t="s">
        <v>22</v>
      </c>
      <c r="N46" s="39"/>
    </row>
    <row r="47" spans="1:14" s="111" customFormat="1" ht="30">
      <c r="A47" s="178" t="s">
        <v>1386</v>
      </c>
      <c r="B47" s="414" t="s">
        <v>1389</v>
      </c>
      <c r="C47" s="493" t="s">
        <v>1390</v>
      </c>
      <c r="D47" s="241">
        <v>3960</v>
      </c>
      <c r="E47" s="241">
        <v>3960</v>
      </c>
      <c r="F47" s="241">
        <v>3960</v>
      </c>
      <c r="G47" s="241">
        <v>3960</v>
      </c>
      <c r="H47" s="244">
        <f>SUM(Tabla132112415[[#This Row],[PRIMER TRIMESTRE]:[CUARTO TRIMESTRE]])</f>
        <v>15840</v>
      </c>
      <c r="I47" s="245">
        <v>277</v>
      </c>
      <c r="J47" s="245">
        <f>+H47*I47</f>
        <v>4387680</v>
      </c>
      <c r="K47" s="50"/>
      <c r="L47" s="77" t="s">
        <v>27</v>
      </c>
      <c r="M47" s="77" t="s">
        <v>22</v>
      </c>
      <c r="N47" s="53"/>
    </row>
    <row r="48" spans="1:14" s="111" customFormat="1" ht="31.5">
      <c r="A48" s="179" t="s">
        <v>1386</v>
      </c>
      <c r="B48" s="76"/>
      <c r="C48" s="492"/>
      <c r="D48" s="237"/>
      <c r="E48" s="237"/>
      <c r="F48" s="237"/>
      <c r="G48" s="237"/>
      <c r="H48" s="43"/>
      <c r="I48" s="24"/>
      <c r="J48" s="24"/>
      <c r="K48" s="25">
        <f>SUM(J39:J47)</f>
        <v>4387680</v>
      </c>
      <c r="L48" s="23"/>
      <c r="M48" s="23"/>
      <c r="N48" s="42"/>
    </row>
    <row r="49" spans="1:14" s="111" customFormat="1" ht="18">
      <c r="A49" s="180" t="s">
        <v>1672</v>
      </c>
      <c r="B49" s="453" t="s">
        <v>2473</v>
      </c>
      <c r="C49" s="494" t="s">
        <v>17</v>
      </c>
      <c r="D49" s="494">
        <v>80</v>
      </c>
      <c r="E49" s="494">
        <v>80</v>
      </c>
      <c r="F49" s="494">
        <v>80</v>
      </c>
      <c r="G49" s="494">
        <v>80</v>
      </c>
      <c r="H49" s="468">
        <f>SUM(Tabla132112415[[#This Row],[PRIMER TRIMESTRE]:[CUARTO TRIMESTRE]])</f>
        <v>320</v>
      </c>
      <c r="I49" s="246">
        <v>45000</v>
      </c>
      <c r="J49" s="245">
        <f>+H49*I49</f>
        <v>14400000</v>
      </c>
      <c r="K49" s="244"/>
      <c r="L49" s="244" t="s">
        <v>1663</v>
      </c>
      <c r="M49" s="16" t="s">
        <v>22</v>
      </c>
      <c r="N49" s="244"/>
    </row>
    <row r="50" spans="1:14" s="111" customFormat="1" ht="25.5">
      <c r="A50" s="180" t="s">
        <v>46</v>
      </c>
      <c r="B50" s="453" t="s">
        <v>1391</v>
      </c>
      <c r="C50" s="494" t="s">
        <v>17</v>
      </c>
      <c r="D50" s="494">
        <v>18</v>
      </c>
      <c r="E50" s="494"/>
      <c r="F50" s="494">
        <v>18</v>
      </c>
      <c r="G50" s="494"/>
      <c r="H50" s="494">
        <f>SUM(Tabla132112415[[#This Row],[PRIMER TRIMESTRE]:[CUARTO TRIMESTRE]])</f>
        <v>36</v>
      </c>
      <c r="I50" s="246">
        <v>1136476.48</v>
      </c>
      <c r="J50" s="246">
        <f t="shared" ref="J50:J100" si="0">+H50*I50</f>
        <v>40913153.280000001</v>
      </c>
      <c r="K50" s="77"/>
      <c r="L50" s="16" t="s">
        <v>18</v>
      </c>
      <c r="M50" s="16" t="s">
        <v>22</v>
      </c>
      <c r="N50" s="77"/>
    </row>
    <row r="51" spans="1:14" s="111" customFormat="1" ht="18">
      <c r="A51" s="180" t="s">
        <v>46</v>
      </c>
      <c r="B51" s="453" t="s">
        <v>1392</v>
      </c>
      <c r="C51" s="177" t="s">
        <v>17</v>
      </c>
      <c r="D51" s="177"/>
      <c r="E51" s="177">
        <v>12</v>
      </c>
      <c r="F51" s="177"/>
      <c r="G51" s="177">
        <v>12</v>
      </c>
      <c r="H51" s="494">
        <f>SUM(Tabla132112415[[#This Row],[PRIMER TRIMESTRE]:[CUARTO TRIMESTRE]])</f>
        <v>24</v>
      </c>
      <c r="I51" s="246">
        <v>1700000</v>
      </c>
      <c r="J51" s="246">
        <f t="shared" si="0"/>
        <v>40800000</v>
      </c>
      <c r="K51" s="77"/>
      <c r="L51" s="16" t="s">
        <v>18</v>
      </c>
      <c r="M51" s="16" t="s">
        <v>22</v>
      </c>
      <c r="N51" s="77"/>
    </row>
    <row r="52" spans="1:14" s="111" customFormat="1" ht="18">
      <c r="A52" s="180" t="s">
        <v>1666</v>
      </c>
      <c r="B52" s="453" t="s">
        <v>2474</v>
      </c>
      <c r="C52" s="177" t="s">
        <v>17</v>
      </c>
      <c r="D52" s="177"/>
      <c r="E52" s="177">
        <v>2</v>
      </c>
      <c r="F52" s="177"/>
      <c r="G52" s="177">
        <v>2</v>
      </c>
      <c r="H52" s="494">
        <f>SUM(Tabla132112415[[#This Row],[PRIMER TRIMESTRE]:[CUARTO TRIMESTRE]])</f>
        <v>4</v>
      </c>
      <c r="I52" s="247">
        <v>1500000</v>
      </c>
      <c r="J52" s="246">
        <f t="shared" si="0"/>
        <v>6000000</v>
      </c>
      <c r="K52" s="72"/>
      <c r="L52" s="16" t="s">
        <v>18</v>
      </c>
      <c r="M52" s="16" t="s">
        <v>22</v>
      </c>
      <c r="N52" s="70"/>
    </row>
    <row r="53" spans="1:14" s="111" customFormat="1" ht="18">
      <c r="A53" s="180" t="s">
        <v>1667</v>
      </c>
      <c r="B53" s="453" t="s">
        <v>2475</v>
      </c>
      <c r="C53" s="177" t="s">
        <v>17</v>
      </c>
      <c r="D53" s="177"/>
      <c r="E53" s="177">
        <v>6</v>
      </c>
      <c r="F53" s="177"/>
      <c r="G53" s="177">
        <v>6</v>
      </c>
      <c r="H53" s="494">
        <f>SUM(Tabla132112415[[#This Row],[PRIMER TRIMESTRE]:[CUARTO TRIMESTRE]])</f>
        <v>12</v>
      </c>
      <c r="I53" s="247">
        <v>1500000</v>
      </c>
      <c r="J53" s="246">
        <f t="shared" si="0"/>
        <v>18000000</v>
      </c>
      <c r="K53" s="72"/>
      <c r="L53" s="16" t="s">
        <v>18</v>
      </c>
      <c r="M53" s="16" t="s">
        <v>22</v>
      </c>
      <c r="N53" s="70"/>
    </row>
    <row r="54" spans="1:14" s="111" customFormat="1" ht="18">
      <c r="A54" s="180" t="s">
        <v>1668</v>
      </c>
      <c r="B54" s="453" t="s">
        <v>2476</v>
      </c>
      <c r="C54" s="177" t="s">
        <v>17</v>
      </c>
      <c r="D54" s="177"/>
      <c r="E54" s="177">
        <v>1</v>
      </c>
      <c r="F54" s="177"/>
      <c r="G54" s="177"/>
      <c r="H54" s="494">
        <f>SUM(Tabla132112415[[#This Row],[PRIMER TRIMESTRE]:[CUARTO TRIMESTRE]])</f>
        <v>1</v>
      </c>
      <c r="I54" s="247">
        <v>7000000</v>
      </c>
      <c r="J54" s="246">
        <f t="shared" si="0"/>
        <v>7000000</v>
      </c>
      <c r="K54" s="72"/>
      <c r="L54" s="16" t="s">
        <v>18</v>
      </c>
      <c r="M54" s="16" t="s">
        <v>22</v>
      </c>
      <c r="N54" s="70"/>
    </row>
    <row r="55" spans="1:14" s="111" customFormat="1" ht="18">
      <c r="A55" s="180" t="s">
        <v>1668</v>
      </c>
      <c r="B55" s="453" t="s">
        <v>2477</v>
      </c>
      <c r="C55" s="177" t="s">
        <v>17</v>
      </c>
      <c r="D55" s="177">
        <v>1</v>
      </c>
      <c r="E55" s="177">
        <v>1</v>
      </c>
      <c r="F55" s="177">
        <v>1</v>
      </c>
      <c r="G55" s="177"/>
      <c r="H55" s="494">
        <f>SUM(Tabla132112415[[#This Row],[PRIMER TRIMESTRE]:[CUARTO TRIMESTRE]])</f>
        <v>3</v>
      </c>
      <c r="I55" s="247">
        <v>980000</v>
      </c>
      <c r="J55" s="246">
        <f t="shared" si="0"/>
        <v>2940000</v>
      </c>
      <c r="K55" s="72"/>
      <c r="L55" s="16" t="s">
        <v>18</v>
      </c>
      <c r="M55" s="16" t="s">
        <v>22</v>
      </c>
      <c r="N55" s="70"/>
    </row>
    <row r="56" spans="1:14" s="111" customFormat="1" ht="18">
      <c r="A56" s="180" t="s">
        <v>46</v>
      </c>
      <c r="B56" s="453" t="s">
        <v>2478</v>
      </c>
      <c r="C56" s="177" t="s">
        <v>17</v>
      </c>
      <c r="D56" s="177"/>
      <c r="E56" s="177">
        <v>1</v>
      </c>
      <c r="F56" s="177"/>
      <c r="G56" s="177">
        <v>1</v>
      </c>
      <c r="H56" s="494">
        <f>SUM(Tabla132112415[[#This Row],[PRIMER TRIMESTRE]:[CUARTO TRIMESTRE]])</f>
        <v>2</v>
      </c>
      <c r="I56" s="247">
        <v>13800000</v>
      </c>
      <c r="J56" s="246">
        <f t="shared" si="0"/>
        <v>27600000</v>
      </c>
      <c r="K56" s="72"/>
      <c r="L56" s="16" t="s">
        <v>18</v>
      </c>
      <c r="M56" s="16" t="s">
        <v>22</v>
      </c>
      <c r="N56" s="70"/>
    </row>
    <row r="57" spans="1:14" s="111" customFormat="1" ht="25.5">
      <c r="A57" s="180" t="s">
        <v>46</v>
      </c>
      <c r="B57" s="453" t="s">
        <v>2479</v>
      </c>
      <c r="C57" s="177" t="s">
        <v>17</v>
      </c>
      <c r="D57" s="177">
        <v>2</v>
      </c>
      <c r="E57" s="177"/>
      <c r="F57" s="177"/>
      <c r="G57" s="177"/>
      <c r="H57" s="494">
        <f>SUM(Tabla132112415[[#This Row],[PRIMER TRIMESTRE]:[CUARTO TRIMESTRE]])</f>
        <v>2</v>
      </c>
      <c r="I57" s="247">
        <v>260000</v>
      </c>
      <c r="J57" s="246">
        <f t="shared" si="0"/>
        <v>520000</v>
      </c>
      <c r="K57" s="72"/>
      <c r="L57" s="16" t="s">
        <v>18</v>
      </c>
      <c r="M57" s="16" t="s">
        <v>22</v>
      </c>
      <c r="N57" s="70"/>
    </row>
    <row r="58" spans="1:14" s="111" customFormat="1" ht="18">
      <c r="A58" s="180" t="s">
        <v>46</v>
      </c>
      <c r="B58" s="453" t="s">
        <v>1393</v>
      </c>
      <c r="C58" s="177" t="s">
        <v>17</v>
      </c>
      <c r="D58" s="77">
        <v>2</v>
      </c>
      <c r="E58" s="177"/>
      <c r="F58" s="177">
        <v>2</v>
      </c>
      <c r="G58" s="177"/>
      <c r="H58" s="494">
        <f>SUM(Tabla132112415[[#This Row],[PRIMER TRIMESTRE]:[CUARTO TRIMESTRE]])</f>
        <v>4</v>
      </c>
      <c r="I58" s="246">
        <v>1400000</v>
      </c>
      <c r="J58" s="246">
        <f t="shared" si="0"/>
        <v>5600000</v>
      </c>
      <c r="K58" s="77"/>
      <c r="L58" s="16" t="s">
        <v>18</v>
      </c>
      <c r="M58" s="16" t="s">
        <v>22</v>
      </c>
      <c r="N58" s="77"/>
    </row>
    <row r="59" spans="1:14" s="111" customFormat="1" ht="18">
      <c r="A59" s="180" t="s">
        <v>46</v>
      </c>
      <c r="B59" s="453" t="s">
        <v>1394</v>
      </c>
      <c r="C59" s="177" t="s">
        <v>17</v>
      </c>
      <c r="D59" s="77"/>
      <c r="E59" s="177">
        <v>6</v>
      </c>
      <c r="F59" s="177"/>
      <c r="G59" s="177">
        <v>6</v>
      </c>
      <c r="H59" s="177">
        <f>SUM(Tabla132112415[[#This Row],[PRIMER TRIMESTRE]:[CUARTO TRIMESTRE]])</f>
        <v>12</v>
      </c>
      <c r="I59" s="246">
        <v>1400000</v>
      </c>
      <c r="J59" s="246">
        <f t="shared" si="0"/>
        <v>16800000</v>
      </c>
      <c r="K59" s="77"/>
      <c r="L59" s="16" t="s">
        <v>18</v>
      </c>
      <c r="M59" s="16" t="s">
        <v>22</v>
      </c>
      <c r="N59" s="77"/>
    </row>
    <row r="60" spans="1:14" s="111" customFormat="1" ht="18">
      <c r="A60" s="180" t="s">
        <v>46</v>
      </c>
      <c r="B60" s="453" t="s">
        <v>1395</v>
      </c>
      <c r="C60" s="177" t="s">
        <v>17</v>
      </c>
      <c r="D60" s="77"/>
      <c r="E60" s="177"/>
      <c r="F60" s="177"/>
      <c r="G60" s="177"/>
      <c r="H60" s="177">
        <f>SUM(Tabla132112415[[#This Row],[PRIMER TRIMESTRE]:[CUARTO TRIMESTRE]])</f>
        <v>0</v>
      </c>
      <c r="I60" s="246">
        <v>11500000</v>
      </c>
      <c r="J60" s="246">
        <f t="shared" si="0"/>
        <v>0</v>
      </c>
      <c r="K60" s="77"/>
      <c r="L60" s="16" t="s">
        <v>18</v>
      </c>
      <c r="M60" s="16" t="s">
        <v>22</v>
      </c>
      <c r="N60" s="77"/>
    </row>
    <row r="61" spans="1:14" s="111" customFormat="1" ht="18">
      <c r="A61" s="180" t="s">
        <v>46</v>
      </c>
      <c r="B61" s="453" t="s">
        <v>1396</v>
      </c>
      <c r="C61" s="177" t="s">
        <v>17</v>
      </c>
      <c r="D61" s="77"/>
      <c r="E61" s="177">
        <v>1</v>
      </c>
      <c r="F61" s="177"/>
      <c r="G61" s="177">
        <v>1</v>
      </c>
      <c r="H61" s="177">
        <f>SUM(Tabla132112415[[#This Row],[PRIMER TRIMESTRE]:[CUARTO TRIMESTRE]])</f>
        <v>2</v>
      </c>
      <c r="I61" s="246">
        <v>8120000</v>
      </c>
      <c r="J61" s="246">
        <f t="shared" si="0"/>
        <v>16240000</v>
      </c>
      <c r="K61" s="77"/>
      <c r="L61" s="16" t="s">
        <v>18</v>
      </c>
      <c r="M61" s="16" t="s">
        <v>22</v>
      </c>
      <c r="N61" s="77"/>
    </row>
    <row r="62" spans="1:14" s="169" customFormat="1" ht="18">
      <c r="A62" s="180" t="s">
        <v>46</v>
      </c>
      <c r="B62" s="453" t="s">
        <v>2480</v>
      </c>
      <c r="C62" s="177" t="s">
        <v>17</v>
      </c>
      <c r="D62" s="177"/>
      <c r="E62" s="177">
        <v>1</v>
      </c>
      <c r="F62" s="177"/>
      <c r="G62" s="177"/>
      <c r="H62" s="177">
        <f>SUM(Tabla132112415[[#This Row],[PRIMER TRIMESTRE]:[CUARTO TRIMESTRE]])</f>
        <v>1</v>
      </c>
      <c r="I62" s="247">
        <v>6500000</v>
      </c>
      <c r="J62" s="246">
        <f t="shared" si="0"/>
        <v>6500000</v>
      </c>
      <c r="K62" s="72"/>
      <c r="L62" s="16" t="s">
        <v>18</v>
      </c>
      <c r="M62" s="16" t="s">
        <v>22</v>
      </c>
      <c r="N62" s="39" t="s">
        <v>418</v>
      </c>
    </row>
    <row r="63" spans="1:14" s="169" customFormat="1" ht="18">
      <c r="A63" s="180" t="s">
        <v>46</v>
      </c>
      <c r="B63" s="453" t="s">
        <v>1397</v>
      </c>
      <c r="C63" s="177" t="s">
        <v>17</v>
      </c>
      <c r="D63" s="77">
        <v>1</v>
      </c>
      <c r="E63" s="177"/>
      <c r="F63" s="177"/>
      <c r="G63" s="177"/>
      <c r="H63" s="177">
        <f>SUM(Tabla132112415[[#This Row],[PRIMER TRIMESTRE]:[CUARTO TRIMESTRE]])</f>
        <v>1</v>
      </c>
      <c r="I63" s="246">
        <v>55000</v>
      </c>
      <c r="J63" s="246">
        <f t="shared" si="0"/>
        <v>55000</v>
      </c>
      <c r="K63" s="77"/>
      <c r="L63" s="16" t="s">
        <v>18</v>
      </c>
      <c r="M63" s="16" t="s">
        <v>22</v>
      </c>
      <c r="N63" s="39" t="s">
        <v>418</v>
      </c>
    </row>
    <row r="64" spans="1:14" s="169" customFormat="1" ht="18">
      <c r="A64" s="180" t="s">
        <v>46</v>
      </c>
      <c r="B64" s="453" t="s">
        <v>2481</v>
      </c>
      <c r="C64" s="177" t="s">
        <v>17</v>
      </c>
      <c r="D64" s="177">
        <v>60</v>
      </c>
      <c r="E64" s="177"/>
      <c r="F64" s="177">
        <v>60</v>
      </c>
      <c r="G64" s="177"/>
      <c r="H64" s="494">
        <f>SUM(Tabla132112415[[#This Row],[PRIMER TRIMESTRE]:[CUARTO TRIMESTRE]])</f>
        <v>120</v>
      </c>
      <c r="I64" s="72">
        <v>9480</v>
      </c>
      <c r="J64" s="246">
        <f t="shared" si="0"/>
        <v>1137600</v>
      </c>
      <c r="K64" s="72"/>
      <c r="L64" s="16" t="s">
        <v>18</v>
      </c>
      <c r="M64" s="73"/>
      <c r="N64" s="70"/>
    </row>
    <row r="65" spans="1:14" s="169" customFormat="1" ht="18">
      <c r="A65" s="180" t="s">
        <v>46</v>
      </c>
      <c r="B65" s="453" t="s">
        <v>2482</v>
      </c>
      <c r="C65" s="177" t="s">
        <v>17</v>
      </c>
      <c r="D65" s="177">
        <v>60</v>
      </c>
      <c r="E65" s="177"/>
      <c r="F65" s="177">
        <v>60</v>
      </c>
      <c r="G65" s="177"/>
      <c r="H65" s="494">
        <f>SUM(Tabla132112415[[#This Row],[PRIMER TRIMESTRE]:[CUARTO TRIMESTRE]])</f>
        <v>120</v>
      </c>
      <c r="I65" s="72">
        <v>1300</v>
      </c>
      <c r="J65" s="246">
        <f t="shared" si="0"/>
        <v>156000</v>
      </c>
      <c r="K65" s="72"/>
      <c r="L65" s="16" t="s">
        <v>18</v>
      </c>
      <c r="M65" s="73"/>
      <c r="N65" s="70"/>
    </row>
    <row r="66" spans="1:14" s="169" customFormat="1" ht="18">
      <c r="A66" s="180" t="s">
        <v>46</v>
      </c>
      <c r="B66" s="453" t="s">
        <v>2483</v>
      </c>
      <c r="C66" s="177" t="s">
        <v>17</v>
      </c>
      <c r="D66" s="177">
        <v>24</v>
      </c>
      <c r="E66" s="177"/>
      <c r="F66" s="177">
        <v>24</v>
      </c>
      <c r="G66" s="177"/>
      <c r="H66" s="494">
        <f>SUM(Tabla132112415[[#This Row],[PRIMER TRIMESTRE]:[CUARTO TRIMESTRE]])</f>
        <v>48</v>
      </c>
      <c r="I66" s="72">
        <v>8600</v>
      </c>
      <c r="J66" s="246">
        <f t="shared" si="0"/>
        <v>412800</v>
      </c>
      <c r="K66" s="72"/>
      <c r="L66" s="16" t="s">
        <v>18</v>
      </c>
      <c r="M66" s="73"/>
      <c r="N66" s="70"/>
    </row>
    <row r="67" spans="1:14" s="169" customFormat="1" ht="18">
      <c r="A67" s="180" t="s">
        <v>46</v>
      </c>
      <c r="B67" s="453" t="s">
        <v>2484</v>
      </c>
      <c r="C67" s="177" t="s">
        <v>17</v>
      </c>
      <c r="D67" s="177">
        <v>24</v>
      </c>
      <c r="E67" s="177"/>
      <c r="F67" s="177">
        <v>24</v>
      </c>
      <c r="G67" s="177"/>
      <c r="H67" s="494">
        <f>SUM(Tabla132112415[[#This Row],[PRIMER TRIMESTRE]:[CUARTO TRIMESTRE]])</f>
        <v>48</v>
      </c>
      <c r="I67" s="72">
        <v>1200</v>
      </c>
      <c r="J67" s="246">
        <f t="shared" si="0"/>
        <v>57600</v>
      </c>
      <c r="K67" s="72"/>
      <c r="L67" s="16" t="s">
        <v>18</v>
      </c>
      <c r="M67" s="73"/>
      <c r="N67" s="70"/>
    </row>
    <row r="68" spans="1:14" s="169" customFormat="1" ht="18">
      <c r="A68" s="180" t="s">
        <v>46</v>
      </c>
      <c r="B68" s="453" t="s">
        <v>2485</v>
      </c>
      <c r="C68" s="177" t="s">
        <v>17</v>
      </c>
      <c r="D68" s="177">
        <v>24</v>
      </c>
      <c r="E68" s="177"/>
      <c r="F68" s="177">
        <v>24</v>
      </c>
      <c r="G68" s="177"/>
      <c r="H68" s="494">
        <f>SUM(Tabla132112415[[#This Row],[PRIMER TRIMESTRE]:[CUARTO TRIMESTRE]])</f>
        <v>48</v>
      </c>
      <c r="I68" s="72">
        <v>7500</v>
      </c>
      <c r="J68" s="246">
        <f t="shared" si="0"/>
        <v>360000</v>
      </c>
      <c r="K68" s="72"/>
      <c r="L68" s="16" t="s">
        <v>18</v>
      </c>
      <c r="M68" s="73"/>
      <c r="N68" s="70"/>
    </row>
    <row r="69" spans="1:14" s="169" customFormat="1" ht="18">
      <c r="A69" s="180" t="s">
        <v>46</v>
      </c>
      <c r="B69" s="453" t="s">
        <v>2486</v>
      </c>
      <c r="C69" s="177" t="s">
        <v>17</v>
      </c>
      <c r="D69" s="177">
        <v>40</v>
      </c>
      <c r="E69" s="177"/>
      <c r="F69" s="177">
        <v>40</v>
      </c>
      <c r="G69" s="177"/>
      <c r="H69" s="494">
        <f>SUM(Tabla132112415[[#This Row],[PRIMER TRIMESTRE]:[CUARTO TRIMESTRE]])</f>
        <v>80</v>
      </c>
      <c r="I69" s="72">
        <v>7500</v>
      </c>
      <c r="J69" s="246">
        <f t="shared" si="0"/>
        <v>600000</v>
      </c>
      <c r="K69" s="72"/>
      <c r="L69" s="16" t="s">
        <v>18</v>
      </c>
      <c r="M69" s="73"/>
      <c r="N69" s="70"/>
    </row>
    <row r="70" spans="1:14" s="169" customFormat="1" ht="18">
      <c r="A70" s="180" t="s">
        <v>46</v>
      </c>
      <c r="B70" s="453" t="s">
        <v>2487</v>
      </c>
      <c r="C70" s="177" t="s">
        <v>17</v>
      </c>
      <c r="D70" s="177">
        <v>130</v>
      </c>
      <c r="E70" s="177"/>
      <c r="F70" s="177">
        <v>130</v>
      </c>
      <c r="G70" s="177"/>
      <c r="H70" s="494">
        <f>SUM(Tabla132112415[[#This Row],[PRIMER TRIMESTRE]:[CUARTO TRIMESTRE]])</f>
        <v>260</v>
      </c>
      <c r="I70" s="72">
        <v>9700</v>
      </c>
      <c r="J70" s="246">
        <f t="shared" si="0"/>
        <v>2522000</v>
      </c>
      <c r="K70" s="72"/>
      <c r="L70" s="16" t="s">
        <v>18</v>
      </c>
      <c r="M70" s="73"/>
      <c r="N70" s="70"/>
    </row>
    <row r="71" spans="1:14" s="169" customFormat="1" ht="18">
      <c r="A71" s="180" t="s">
        <v>46</v>
      </c>
      <c r="B71" s="453" t="s">
        <v>2488</v>
      </c>
      <c r="C71" s="177" t="s">
        <v>17</v>
      </c>
      <c r="D71" s="177">
        <v>40</v>
      </c>
      <c r="E71" s="177"/>
      <c r="F71" s="177">
        <v>40</v>
      </c>
      <c r="G71" s="177"/>
      <c r="H71" s="494">
        <f>SUM(Tabla132112415[[#This Row],[PRIMER TRIMESTRE]:[CUARTO TRIMESTRE]])</f>
        <v>80</v>
      </c>
      <c r="I71" s="72">
        <v>9500</v>
      </c>
      <c r="J71" s="246">
        <f t="shared" si="0"/>
        <v>760000</v>
      </c>
      <c r="K71" s="72"/>
      <c r="L71" s="16" t="s">
        <v>18</v>
      </c>
      <c r="M71" s="73"/>
      <c r="N71" s="70"/>
    </row>
    <row r="72" spans="1:14" s="169" customFormat="1" ht="18">
      <c r="A72" s="180" t="s">
        <v>46</v>
      </c>
      <c r="B72" s="453" t="s">
        <v>2489</v>
      </c>
      <c r="C72" s="177" t="s">
        <v>17</v>
      </c>
      <c r="D72" s="177">
        <v>60</v>
      </c>
      <c r="E72" s="177"/>
      <c r="F72" s="177">
        <v>60</v>
      </c>
      <c r="G72" s="177"/>
      <c r="H72" s="494">
        <f>SUM(Tabla132112415[[#This Row],[PRIMER TRIMESTRE]:[CUARTO TRIMESTRE]])</f>
        <v>120</v>
      </c>
      <c r="I72" s="72">
        <v>9279.9</v>
      </c>
      <c r="J72" s="246">
        <f t="shared" si="0"/>
        <v>1113588</v>
      </c>
      <c r="K72" s="72"/>
      <c r="L72" s="16" t="s">
        <v>18</v>
      </c>
      <c r="M72" s="73"/>
      <c r="N72" s="70"/>
    </row>
    <row r="73" spans="1:14" s="169" customFormat="1" ht="18">
      <c r="A73" s="180" t="s">
        <v>46</v>
      </c>
      <c r="B73" s="453" t="s">
        <v>2490</v>
      </c>
      <c r="C73" s="177" t="s">
        <v>17</v>
      </c>
      <c r="D73" s="177">
        <v>40</v>
      </c>
      <c r="E73" s="177"/>
      <c r="F73" s="177">
        <v>40</v>
      </c>
      <c r="G73" s="177"/>
      <c r="H73" s="494">
        <f>SUM(Tabla132112415[[#This Row],[PRIMER TRIMESTRE]:[CUARTO TRIMESTRE]])</f>
        <v>80</v>
      </c>
      <c r="I73" s="72">
        <v>9279.9</v>
      </c>
      <c r="J73" s="246">
        <f t="shared" si="0"/>
        <v>742392</v>
      </c>
      <c r="K73" s="72"/>
      <c r="L73" s="16" t="s">
        <v>18</v>
      </c>
      <c r="M73" s="73"/>
      <c r="N73" s="70"/>
    </row>
    <row r="74" spans="1:14" s="169" customFormat="1" ht="18">
      <c r="A74" s="180" t="s">
        <v>46</v>
      </c>
      <c r="B74" s="453" t="s">
        <v>2491</v>
      </c>
      <c r="C74" s="177" t="s">
        <v>17</v>
      </c>
      <c r="D74" s="177">
        <v>40</v>
      </c>
      <c r="E74" s="177"/>
      <c r="F74" s="177">
        <v>40</v>
      </c>
      <c r="G74" s="177"/>
      <c r="H74" s="494">
        <f>SUM(Tabla132112415[[#This Row],[PRIMER TRIMESTRE]:[CUARTO TRIMESTRE]])</f>
        <v>80</v>
      </c>
      <c r="I74" s="72">
        <v>9850</v>
      </c>
      <c r="J74" s="246">
        <f t="shared" si="0"/>
        <v>788000</v>
      </c>
      <c r="K74" s="72"/>
      <c r="L74" s="16" t="s">
        <v>18</v>
      </c>
      <c r="M74" s="73"/>
      <c r="N74" s="70"/>
    </row>
    <row r="75" spans="1:14" s="169" customFormat="1" ht="18">
      <c r="A75" s="180" t="s">
        <v>46</v>
      </c>
      <c r="B75" s="453" t="s">
        <v>2492</v>
      </c>
      <c r="C75" s="177" t="s">
        <v>17</v>
      </c>
      <c r="D75" s="177">
        <v>20</v>
      </c>
      <c r="E75" s="177"/>
      <c r="F75" s="177">
        <v>20</v>
      </c>
      <c r="G75" s="177"/>
      <c r="H75" s="494">
        <f>SUM(Tabla132112415[[#This Row],[PRIMER TRIMESTRE]:[CUARTO TRIMESTRE]])</f>
        <v>40</v>
      </c>
      <c r="I75" s="72">
        <v>7480</v>
      </c>
      <c r="J75" s="246">
        <f t="shared" si="0"/>
        <v>299200</v>
      </c>
      <c r="K75" s="72"/>
      <c r="L75" s="16" t="s">
        <v>18</v>
      </c>
      <c r="M75" s="73"/>
      <c r="N75" s="70"/>
    </row>
    <row r="76" spans="1:14" s="169" customFormat="1" ht="18">
      <c r="A76" s="180" t="s">
        <v>46</v>
      </c>
      <c r="B76" s="453" t="s">
        <v>2493</v>
      </c>
      <c r="C76" s="177" t="s">
        <v>17</v>
      </c>
      <c r="D76" s="177">
        <v>20</v>
      </c>
      <c r="E76" s="177"/>
      <c r="F76" s="177">
        <v>20</v>
      </c>
      <c r="G76" s="177"/>
      <c r="H76" s="494">
        <f>SUM(Tabla132112415[[#This Row],[PRIMER TRIMESTRE]:[CUARTO TRIMESTRE]])</f>
        <v>40</v>
      </c>
      <c r="I76" s="72">
        <v>6500</v>
      </c>
      <c r="J76" s="246">
        <f t="shared" si="0"/>
        <v>260000</v>
      </c>
      <c r="K76" s="72"/>
      <c r="L76" s="16" t="s">
        <v>18</v>
      </c>
      <c r="M76" s="73"/>
      <c r="N76" s="70"/>
    </row>
    <row r="77" spans="1:14" s="169" customFormat="1" ht="18">
      <c r="A77" s="180" t="s">
        <v>46</v>
      </c>
      <c r="B77" s="453" t="s">
        <v>2494</v>
      </c>
      <c r="C77" s="177" t="s">
        <v>17</v>
      </c>
      <c r="D77" s="177">
        <v>8</v>
      </c>
      <c r="E77" s="177"/>
      <c r="F77" s="177"/>
      <c r="G77" s="177"/>
      <c r="H77" s="468">
        <f>SUM(Tabla132112415[[#This Row],[PRIMER TRIMESTRE]:[CUARTO TRIMESTRE]])</f>
        <v>8</v>
      </c>
      <c r="I77" s="72">
        <v>7043.16</v>
      </c>
      <c r="J77" s="246">
        <f t="shared" si="0"/>
        <v>56345.279999999999</v>
      </c>
      <c r="K77" s="72"/>
      <c r="L77" s="16" t="s">
        <v>18</v>
      </c>
      <c r="M77" s="73"/>
      <c r="N77" s="70"/>
    </row>
    <row r="78" spans="1:14" s="169" customFormat="1" ht="18">
      <c r="A78" s="180" t="s">
        <v>46</v>
      </c>
      <c r="B78" s="453" t="s">
        <v>2495</v>
      </c>
      <c r="C78" s="177" t="s">
        <v>17</v>
      </c>
      <c r="D78" s="177">
        <v>24</v>
      </c>
      <c r="E78" s="177"/>
      <c r="F78" s="177">
        <v>24</v>
      </c>
      <c r="G78" s="177"/>
      <c r="H78" s="468">
        <f>SUM(Tabla132112415[[#This Row],[PRIMER TRIMESTRE]:[CUARTO TRIMESTRE]])</f>
        <v>48</v>
      </c>
      <c r="I78" s="72">
        <v>4500</v>
      </c>
      <c r="J78" s="246">
        <f t="shared" si="0"/>
        <v>216000</v>
      </c>
      <c r="K78" s="72"/>
      <c r="L78" s="16" t="s">
        <v>18</v>
      </c>
      <c r="M78" s="73"/>
      <c r="N78" s="70"/>
    </row>
    <row r="79" spans="1:14" s="169" customFormat="1" ht="18">
      <c r="A79" s="180" t="s">
        <v>46</v>
      </c>
      <c r="B79" s="453" t="s">
        <v>2496</v>
      </c>
      <c r="C79" s="177" t="s">
        <v>17</v>
      </c>
      <c r="D79" s="177">
        <v>32</v>
      </c>
      <c r="E79" s="177"/>
      <c r="F79" s="177">
        <v>32</v>
      </c>
      <c r="G79" s="177"/>
      <c r="H79" s="468">
        <f>SUM(Tabla132112415[[#This Row],[PRIMER TRIMESTRE]:[CUARTO TRIMESTRE]])</f>
        <v>64</v>
      </c>
      <c r="I79" s="72">
        <v>7500</v>
      </c>
      <c r="J79" s="246">
        <f t="shared" si="0"/>
        <v>480000</v>
      </c>
      <c r="K79" s="72"/>
      <c r="L79" s="16" t="s">
        <v>18</v>
      </c>
      <c r="M79" s="73"/>
      <c r="N79" s="70"/>
    </row>
    <row r="80" spans="1:14" s="169" customFormat="1" ht="18">
      <c r="A80" s="180" t="s">
        <v>46</v>
      </c>
      <c r="B80" s="453" t="s">
        <v>2497</v>
      </c>
      <c r="C80" s="177" t="s">
        <v>17</v>
      </c>
      <c r="D80" s="177">
        <v>4</v>
      </c>
      <c r="E80" s="177"/>
      <c r="F80" s="177"/>
      <c r="G80" s="177"/>
      <c r="H80" s="468">
        <f>SUM(Tabla132112415[[#This Row],[PRIMER TRIMESTRE]:[CUARTO TRIMESTRE]])</f>
        <v>4</v>
      </c>
      <c r="I80" s="72">
        <v>6500</v>
      </c>
      <c r="J80" s="246">
        <f t="shared" si="0"/>
        <v>26000</v>
      </c>
      <c r="K80" s="72"/>
      <c r="L80" s="16" t="s">
        <v>18</v>
      </c>
      <c r="M80" s="73"/>
      <c r="N80" s="70"/>
    </row>
    <row r="81" spans="1:14" s="169" customFormat="1" ht="18">
      <c r="A81" s="180" t="s">
        <v>46</v>
      </c>
      <c r="B81" s="453" t="s">
        <v>2498</v>
      </c>
      <c r="C81" s="177" t="s">
        <v>17</v>
      </c>
      <c r="D81" s="177">
        <v>60</v>
      </c>
      <c r="E81" s="177"/>
      <c r="F81" s="177">
        <v>60</v>
      </c>
      <c r="G81" s="177"/>
      <c r="H81" s="468">
        <f>SUM(Tabla132112415[[#This Row],[PRIMER TRIMESTRE]:[CUARTO TRIMESTRE]])</f>
        <v>120</v>
      </c>
      <c r="I81" s="72">
        <v>24500</v>
      </c>
      <c r="J81" s="246">
        <f t="shared" si="0"/>
        <v>2940000</v>
      </c>
      <c r="K81" s="72"/>
      <c r="L81" s="16" t="s">
        <v>18</v>
      </c>
      <c r="M81" s="73"/>
      <c r="N81" s="70"/>
    </row>
    <row r="82" spans="1:14" s="169" customFormat="1" ht="18">
      <c r="A82" s="180" t="s">
        <v>46</v>
      </c>
      <c r="B82" s="453" t="s">
        <v>2499</v>
      </c>
      <c r="C82" s="177" t="s">
        <v>17</v>
      </c>
      <c r="D82" s="177">
        <v>60</v>
      </c>
      <c r="E82" s="177"/>
      <c r="F82" s="177">
        <v>60</v>
      </c>
      <c r="G82" s="177"/>
      <c r="H82" s="468">
        <f>SUM(Tabla132112415[[#This Row],[PRIMER TRIMESTRE]:[CUARTO TRIMESTRE]])</f>
        <v>120</v>
      </c>
      <c r="I82" s="72">
        <v>24500</v>
      </c>
      <c r="J82" s="246">
        <f t="shared" si="0"/>
        <v>2940000</v>
      </c>
      <c r="K82" s="72"/>
      <c r="L82" s="16" t="s">
        <v>18</v>
      </c>
      <c r="M82" s="73"/>
      <c r="N82" s="70"/>
    </row>
    <row r="83" spans="1:14" s="169" customFormat="1" ht="18">
      <c r="A83" s="180" t="s">
        <v>46</v>
      </c>
      <c r="B83" s="453" t="s">
        <v>2500</v>
      </c>
      <c r="C83" s="177" t="s">
        <v>17</v>
      </c>
      <c r="D83" s="177">
        <v>60</v>
      </c>
      <c r="E83" s="177"/>
      <c r="F83" s="177">
        <v>60</v>
      </c>
      <c r="G83" s="177"/>
      <c r="H83" s="468">
        <f>SUM(Tabla132112415[[#This Row],[PRIMER TRIMESTRE]:[CUARTO TRIMESTRE]])</f>
        <v>120</v>
      </c>
      <c r="I83" s="72">
        <v>1800</v>
      </c>
      <c r="J83" s="246">
        <f t="shared" si="0"/>
        <v>216000</v>
      </c>
      <c r="K83" s="72"/>
      <c r="L83" s="16" t="s">
        <v>18</v>
      </c>
      <c r="M83" s="73"/>
      <c r="N83" s="70"/>
    </row>
    <row r="84" spans="1:14" s="169" customFormat="1" ht="18">
      <c r="A84" s="180" t="s">
        <v>46</v>
      </c>
      <c r="B84" s="453" t="s">
        <v>2501</v>
      </c>
      <c r="C84" s="177" t="s">
        <v>17</v>
      </c>
      <c r="D84" s="177">
        <v>60</v>
      </c>
      <c r="E84" s="177"/>
      <c r="F84" s="177">
        <v>60</v>
      </c>
      <c r="G84" s="177"/>
      <c r="H84" s="468">
        <f>SUM(Tabla132112415[[#This Row],[PRIMER TRIMESTRE]:[CUARTO TRIMESTRE]])</f>
        <v>120</v>
      </c>
      <c r="I84" s="72">
        <v>24500</v>
      </c>
      <c r="J84" s="246">
        <f t="shared" si="0"/>
        <v>2940000</v>
      </c>
      <c r="K84" s="72"/>
      <c r="L84" s="16" t="s">
        <v>18</v>
      </c>
      <c r="M84" s="73"/>
      <c r="N84" s="70"/>
    </row>
    <row r="85" spans="1:14" s="169" customFormat="1" ht="18">
      <c r="A85" s="180" t="s">
        <v>46</v>
      </c>
      <c r="B85" s="453" t="s">
        <v>2502</v>
      </c>
      <c r="C85" s="177" t="s">
        <v>17</v>
      </c>
      <c r="D85" s="177">
        <v>60</v>
      </c>
      <c r="E85" s="177"/>
      <c r="F85" s="177">
        <v>60</v>
      </c>
      <c r="G85" s="177"/>
      <c r="H85" s="468">
        <f>SUM(Tabla132112415[[#This Row],[PRIMER TRIMESTRE]:[CUARTO TRIMESTRE]])</f>
        <v>120</v>
      </c>
      <c r="I85" s="72">
        <v>1800</v>
      </c>
      <c r="J85" s="246">
        <f t="shared" si="0"/>
        <v>216000</v>
      </c>
      <c r="K85" s="72"/>
      <c r="L85" s="16" t="s">
        <v>18</v>
      </c>
      <c r="M85" s="73"/>
      <c r="N85" s="70"/>
    </row>
    <row r="86" spans="1:14" s="169" customFormat="1" ht="18">
      <c r="A86" s="180" t="s">
        <v>46</v>
      </c>
      <c r="B86" s="453" t="s">
        <v>2503</v>
      </c>
      <c r="C86" s="177" t="s">
        <v>17</v>
      </c>
      <c r="D86" s="177">
        <v>40</v>
      </c>
      <c r="E86" s="177"/>
      <c r="F86" s="177">
        <v>40</v>
      </c>
      <c r="G86" s="177"/>
      <c r="H86" s="468">
        <f>SUM(Tabla132112415[[#This Row],[PRIMER TRIMESTRE]:[CUARTO TRIMESTRE]])</f>
        <v>80</v>
      </c>
      <c r="I86" s="72">
        <v>24500</v>
      </c>
      <c r="J86" s="246">
        <f t="shared" si="0"/>
        <v>1960000</v>
      </c>
      <c r="K86" s="72"/>
      <c r="L86" s="16" t="s">
        <v>18</v>
      </c>
      <c r="M86" s="73"/>
      <c r="N86" s="70"/>
    </row>
    <row r="87" spans="1:14" s="169" customFormat="1" ht="18">
      <c r="A87" s="180" t="s">
        <v>46</v>
      </c>
      <c r="B87" s="453" t="s">
        <v>2504</v>
      </c>
      <c r="C87" s="177" t="s">
        <v>17</v>
      </c>
      <c r="D87" s="177">
        <v>4</v>
      </c>
      <c r="E87" s="177"/>
      <c r="F87" s="177"/>
      <c r="G87" s="177"/>
      <c r="H87" s="468">
        <f>SUM(Tabla132112415[[#This Row],[PRIMER TRIMESTRE]:[CUARTO TRIMESTRE]])</f>
        <v>4</v>
      </c>
      <c r="I87" s="72">
        <v>12510</v>
      </c>
      <c r="J87" s="246">
        <f t="shared" si="0"/>
        <v>50040</v>
      </c>
      <c r="K87" s="72"/>
      <c r="L87" s="16" t="s">
        <v>18</v>
      </c>
      <c r="M87" s="73"/>
      <c r="N87" s="70"/>
    </row>
    <row r="88" spans="1:14" s="169" customFormat="1" ht="18">
      <c r="A88" s="180" t="s">
        <v>46</v>
      </c>
      <c r="B88" s="453" t="s">
        <v>2505</v>
      </c>
      <c r="C88" s="177" t="s">
        <v>17</v>
      </c>
      <c r="D88" s="177"/>
      <c r="E88" s="177"/>
      <c r="F88" s="177">
        <v>2</v>
      </c>
      <c r="G88" s="177"/>
      <c r="H88" s="468">
        <f>SUM(Tabla132112415[[#This Row],[PRIMER TRIMESTRE]:[CUARTO TRIMESTRE]])</f>
        <v>2</v>
      </c>
      <c r="I88" s="72">
        <v>12500</v>
      </c>
      <c r="J88" s="246">
        <f t="shared" si="0"/>
        <v>25000</v>
      </c>
      <c r="K88" s="72"/>
      <c r="L88" s="16" t="s">
        <v>18</v>
      </c>
      <c r="M88" s="73"/>
      <c r="N88" s="70"/>
    </row>
    <row r="89" spans="1:14" s="169" customFormat="1" ht="18">
      <c r="A89" s="180" t="s">
        <v>46</v>
      </c>
      <c r="B89" s="453" t="s">
        <v>2506</v>
      </c>
      <c r="C89" s="177" t="s">
        <v>17</v>
      </c>
      <c r="D89" s="177"/>
      <c r="E89" s="177"/>
      <c r="F89" s="177">
        <v>2</v>
      </c>
      <c r="G89" s="177"/>
      <c r="H89" s="468">
        <f>SUM(Tabla132112415[[#This Row],[PRIMER TRIMESTRE]:[CUARTO TRIMESTRE]])</f>
        <v>2</v>
      </c>
      <c r="I89" s="72">
        <v>14000</v>
      </c>
      <c r="J89" s="246">
        <f t="shared" si="0"/>
        <v>28000</v>
      </c>
      <c r="K89" s="72"/>
      <c r="L89" s="16" t="s">
        <v>18</v>
      </c>
      <c r="M89" s="73"/>
      <c r="N89" s="70"/>
    </row>
    <row r="90" spans="1:14" s="169" customFormat="1" ht="18">
      <c r="A90" s="180" t="s">
        <v>46</v>
      </c>
      <c r="B90" s="453" t="s">
        <v>2507</v>
      </c>
      <c r="C90" s="177" t="s">
        <v>17</v>
      </c>
      <c r="D90" s="177"/>
      <c r="E90" s="177"/>
      <c r="F90" s="177">
        <v>2</v>
      </c>
      <c r="G90" s="177"/>
      <c r="H90" s="468">
        <f>SUM(Tabla132112415[[#This Row],[PRIMER TRIMESTRE]:[CUARTO TRIMESTRE]])</f>
        <v>2</v>
      </c>
      <c r="I90" s="72">
        <v>12500</v>
      </c>
      <c r="J90" s="246">
        <f t="shared" si="0"/>
        <v>25000</v>
      </c>
      <c r="K90" s="72"/>
      <c r="L90" s="16" t="s">
        <v>18</v>
      </c>
      <c r="M90" s="73"/>
      <c r="N90" s="70"/>
    </row>
    <row r="91" spans="1:14" s="169" customFormat="1" ht="18">
      <c r="A91" s="180" t="s">
        <v>46</v>
      </c>
      <c r="B91" s="453" t="s">
        <v>2508</v>
      </c>
      <c r="C91" s="177" t="s">
        <v>17</v>
      </c>
      <c r="D91" s="177"/>
      <c r="E91" s="177"/>
      <c r="F91" s="177">
        <v>2</v>
      </c>
      <c r="G91" s="177"/>
      <c r="H91" s="468">
        <f>SUM(Tabla132112415[[#This Row],[PRIMER TRIMESTRE]:[CUARTO TRIMESTRE]])</f>
        <v>2</v>
      </c>
      <c r="I91" s="72">
        <v>1800</v>
      </c>
      <c r="J91" s="246">
        <f t="shared" si="0"/>
        <v>3600</v>
      </c>
      <c r="K91" s="72"/>
      <c r="L91" s="16" t="s">
        <v>18</v>
      </c>
      <c r="M91" s="73"/>
      <c r="N91" s="70"/>
    </row>
    <row r="92" spans="1:14" s="169" customFormat="1" ht="18">
      <c r="A92" s="180" t="s">
        <v>46</v>
      </c>
      <c r="B92" s="453" t="s">
        <v>2509</v>
      </c>
      <c r="C92" s="177" t="s">
        <v>17</v>
      </c>
      <c r="D92" s="177"/>
      <c r="E92" s="177"/>
      <c r="F92" s="177">
        <v>2</v>
      </c>
      <c r="G92" s="177"/>
      <c r="H92" s="468">
        <f>SUM(Tabla132112415[[#This Row],[PRIMER TRIMESTRE]:[CUARTO TRIMESTRE]])</f>
        <v>2</v>
      </c>
      <c r="I92" s="72">
        <v>1500</v>
      </c>
      <c r="J92" s="246">
        <f t="shared" si="0"/>
        <v>3000</v>
      </c>
      <c r="K92" s="72"/>
      <c r="L92" s="16" t="s">
        <v>18</v>
      </c>
      <c r="M92" s="73"/>
      <c r="N92" s="70"/>
    </row>
    <row r="93" spans="1:14" s="169" customFormat="1" ht="18">
      <c r="A93" s="180" t="s">
        <v>46</v>
      </c>
      <c r="B93" s="453" t="s">
        <v>2510</v>
      </c>
      <c r="C93" s="177" t="s">
        <v>17</v>
      </c>
      <c r="D93" s="177"/>
      <c r="E93" s="177"/>
      <c r="F93" s="177">
        <v>2</v>
      </c>
      <c r="G93" s="177"/>
      <c r="H93" s="468">
        <f>SUM(Tabla132112415[[#This Row],[PRIMER TRIMESTRE]:[CUARTO TRIMESTRE]])</f>
        <v>2</v>
      </c>
      <c r="I93" s="72">
        <v>14500</v>
      </c>
      <c r="J93" s="246">
        <f t="shared" si="0"/>
        <v>29000</v>
      </c>
      <c r="K93" s="72"/>
      <c r="L93" s="16" t="s">
        <v>18</v>
      </c>
      <c r="M93" s="73"/>
      <c r="N93" s="70"/>
    </row>
    <row r="94" spans="1:14" s="169" customFormat="1" ht="18">
      <c r="A94" s="180" t="s">
        <v>46</v>
      </c>
      <c r="B94" s="453" t="s">
        <v>2511</v>
      </c>
      <c r="C94" s="177" t="s">
        <v>17</v>
      </c>
      <c r="D94" s="177"/>
      <c r="E94" s="177"/>
      <c r="F94" s="177">
        <v>2</v>
      </c>
      <c r="G94" s="177"/>
      <c r="H94" s="468">
        <f>SUM(Tabla132112415[[#This Row],[PRIMER TRIMESTRE]:[CUARTO TRIMESTRE]])</f>
        <v>2</v>
      </c>
      <c r="I94" s="72">
        <v>1500</v>
      </c>
      <c r="J94" s="246">
        <f t="shared" si="0"/>
        <v>3000</v>
      </c>
      <c r="K94" s="72"/>
      <c r="L94" s="16" t="s">
        <v>18</v>
      </c>
      <c r="M94" s="73"/>
      <c r="N94" s="70"/>
    </row>
    <row r="95" spans="1:14" s="169" customFormat="1" ht="18">
      <c r="A95" s="180" t="s">
        <v>46</v>
      </c>
      <c r="B95" s="453" t="s">
        <v>2512</v>
      </c>
      <c r="C95" s="177" t="s">
        <v>17</v>
      </c>
      <c r="D95" s="177">
        <v>60</v>
      </c>
      <c r="E95" s="177"/>
      <c r="F95" s="177">
        <v>60</v>
      </c>
      <c r="G95" s="177"/>
      <c r="H95" s="468">
        <f>SUM(Tabla132112415[[#This Row],[PRIMER TRIMESTRE]:[CUARTO TRIMESTRE]])</f>
        <v>120</v>
      </c>
      <c r="I95" s="72">
        <v>16000</v>
      </c>
      <c r="J95" s="246">
        <f t="shared" si="0"/>
        <v>1920000</v>
      </c>
      <c r="K95" s="72"/>
      <c r="L95" s="16" t="s">
        <v>18</v>
      </c>
      <c r="M95" s="73"/>
      <c r="N95" s="70"/>
    </row>
    <row r="96" spans="1:14" s="169" customFormat="1" ht="18">
      <c r="A96" s="180" t="s">
        <v>46</v>
      </c>
      <c r="B96" s="453" t="s">
        <v>2513</v>
      </c>
      <c r="C96" s="177" t="s">
        <v>17</v>
      </c>
      <c r="D96" s="177">
        <v>60</v>
      </c>
      <c r="E96" s="177"/>
      <c r="F96" s="177">
        <v>60</v>
      </c>
      <c r="G96" s="177"/>
      <c r="H96" s="468">
        <f>SUM(Tabla132112415[[#This Row],[PRIMER TRIMESTRE]:[CUARTO TRIMESTRE]])</f>
        <v>120</v>
      </c>
      <c r="I96" s="72">
        <v>2300</v>
      </c>
      <c r="J96" s="246">
        <f t="shared" si="0"/>
        <v>276000</v>
      </c>
      <c r="K96" s="72"/>
      <c r="L96" s="16" t="s">
        <v>18</v>
      </c>
      <c r="M96" s="73"/>
      <c r="N96" s="70"/>
    </row>
    <row r="97" spans="1:14" s="169" customFormat="1" ht="18">
      <c r="A97" s="180" t="s">
        <v>46</v>
      </c>
      <c r="B97" s="453" t="s">
        <v>2514</v>
      </c>
      <c r="C97" s="177" t="s">
        <v>17</v>
      </c>
      <c r="D97" s="177">
        <v>30</v>
      </c>
      <c r="E97" s="177"/>
      <c r="F97" s="177">
        <v>30</v>
      </c>
      <c r="G97" s="177"/>
      <c r="H97" s="468">
        <f>SUM(Tabla132112415[[#This Row],[PRIMER TRIMESTRE]:[CUARTO TRIMESTRE]])</f>
        <v>60</v>
      </c>
      <c r="I97" s="72">
        <v>31680</v>
      </c>
      <c r="J97" s="246">
        <f t="shared" si="0"/>
        <v>1900800</v>
      </c>
      <c r="K97" s="72"/>
      <c r="L97" s="16" t="s">
        <v>18</v>
      </c>
      <c r="M97" s="73"/>
      <c r="N97" s="70"/>
    </row>
    <row r="98" spans="1:14" s="169" customFormat="1" ht="18">
      <c r="A98" s="180" t="s">
        <v>46</v>
      </c>
      <c r="B98" s="453" t="s">
        <v>2515</v>
      </c>
      <c r="C98" s="177" t="s">
        <v>17</v>
      </c>
      <c r="D98" s="177">
        <v>30</v>
      </c>
      <c r="E98" s="177"/>
      <c r="F98" s="177">
        <v>30</v>
      </c>
      <c r="G98" s="177"/>
      <c r="H98" s="468">
        <f>SUM(Tabla132112415[[#This Row],[PRIMER TRIMESTRE]:[CUARTO TRIMESTRE]])</f>
        <v>60</v>
      </c>
      <c r="I98" s="72">
        <v>31680</v>
      </c>
      <c r="J98" s="246">
        <f t="shared" si="0"/>
        <v>1900800</v>
      </c>
      <c r="K98" s="72"/>
      <c r="L98" s="16" t="s">
        <v>18</v>
      </c>
      <c r="M98" s="73"/>
      <c r="N98" s="70"/>
    </row>
    <row r="99" spans="1:14" s="169" customFormat="1" ht="18">
      <c r="A99" s="180" t="s">
        <v>46</v>
      </c>
      <c r="B99" s="453" t="s">
        <v>2516</v>
      </c>
      <c r="C99" s="177" t="s">
        <v>17</v>
      </c>
      <c r="D99" s="177">
        <v>12</v>
      </c>
      <c r="E99" s="177"/>
      <c r="F99" s="177"/>
      <c r="G99" s="177"/>
      <c r="H99" s="468">
        <f>SUM(Tabla132112415[[#This Row],[PRIMER TRIMESTRE]:[CUARTO TRIMESTRE]])</f>
        <v>12</v>
      </c>
      <c r="I99" s="72">
        <v>31680</v>
      </c>
      <c r="J99" s="246">
        <f t="shared" si="0"/>
        <v>380160</v>
      </c>
      <c r="K99" s="72"/>
      <c r="L99" s="16" t="s">
        <v>18</v>
      </c>
      <c r="M99" s="73"/>
      <c r="N99" s="70"/>
    </row>
    <row r="100" spans="1:14" s="169" customFormat="1" ht="18">
      <c r="A100" s="180" t="s">
        <v>46</v>
      </c>
      <c r="B100" s="453" t="s">
        <v>2517</v>
      </c>
      <c r="C100" s="177" t="s">
        <v>17</v>
      </c>
      <c r="D100" s="177">
        <v>12</v>
      </c>
      <c r="E100" s="177"/>
      <c r="F100" s="177"/>
      <c r="G100" s="177"/>
      <c r="H100" s="468">
        <f>SUM(Tabla132112415[[#This Row],[PRIMER TRIMESTRE]:[CUARTO TRIMESTRE]])</f>
        <v>12</v>
      </c>
      <c r="I100" s="72">
        <v>31680</v>
      </c>
      <c r="J100" s="246">
        <f t="shared" si="0"/>
        <v>380160</v>
      </c>
      <c r="K100" s="72"/>
      <c r="L100" s="16" t="s">
        <v>18</v>
      </c>
      <c r="M100" s="73"/>
      <c r="N100" s="70"/>
    </row>
    <row r="101" spans="1:14" s="169" customFormat="1" ht="18">
      <c r="A101" s="409" t="s">
        <v>46</v>
      </c>
      <c r="B101" s="495"/>
      <c r="C101" s="496"/>
      <c r="D101" s="496"/>
      <c r="E101" s="496"/>
      <c r="F101" s="496"/>
      <c r="G101" s="496"/>
      <c r="H101" s="496"/>
      <c r="I101" s="24"/>
      <c r="J101" s="24"/>
      <c r="K101" s="25">
        <f>SUBTOTAL(109,J50:J63)</f>
        <v>188968153.28</v>
      </c>
      <c r="L101" s="23"/>
      <c r="M101" s="23"/>
      <c r="N101" s="42"/>
    </row>
    <row r="102" spans="1:14" s="169" customFormat="1" ht="30">
      <c r="A102" s="180" t="s">
        <v>56</v>
      </c>
      <c r="B102" s="453" t="s">
        <v>563</v>
      </c>
      <c r="C102" s="177" t="s">
        <v>17</v>
      </c>
      <c r="D102" s="177">
        <v>10</v>
      </c>
      <c r="E102" s="177"/>
      <c r="F102" s="177">
        <v>10</v>
      </c>
      <c r="G102" s="177"/>
      <c r="H102" s="468">
        <f>SUM(Tabla132112415[[#This Row],[PRIMER TRIMESTRE]:[CUARTO TRIMESTRE]])</f>
        <v>20</v>
      </c>
      <c r="I102" s="72">
        <v>4500</v>
      </c>
      <c r="J102" s="72">
        <f>+H102*I102</f>
        <v>90000</v>
      </c>
      <c r="K102" s="72"/>
      <c r="L102" s="73" t="s">
        <v>27</v>
      </c>
      <c r="M102" s="73" t="s">
        <v>22</v>
      </c>
      <c r="N102" s="70" t="s">
        <v>418</v>
      </c>
    </row>
    <row r="103" spans="1:14" s="169" customFormat="1" ht="30">
      <c r="A103" s="180" t="s">
        <v>56</v>
      </c>
      <c r="B103" s="453" t="s">
        <v>562</v>
      </c>
      <c r="C103" s="177" t="s">
        <v>17</v>
      </c>
      <c r="D103" s="177">
        <v>20</v>
      </c>
      <c r="E103" s="177"/>
      <c r="F103" s="177">
        <v>20</v>
      </c>
      <c r="G103" s="177"/>
      <c r="H103" s="468">
        <f>SUM(Tabla132112415[[#This Row],[PRIMER TRIMESTRE]:[CUARTO TRIMESTRE]])</f>
        <v>40</v>
      </c>
      <c r="I103" s="72">
        <v>6800</v>
      </c>
      <c r="J103" s="72">
        <f>+H103*I103</f>
        <v>272000</v>
      </c>
      <c r="K103" s="72"/>
      <c r="L103" s="73" t="s">
        <v>27</v>
      </c>
      <c r="M103" s="73" t="s">
        <v>22</v>
      </c>
      <c r="N103" s="70" t="s">
        <v>418</v>
      </c>
    </row>
    <row r="104" spans="1:14" s="169" customFormat="1" ht="30">
      <c r="A104" s="180" t="s">
        <v>56</v>
      </c>
      <c r="B104" s="453" t="s">
        <v>61</v>
      </c>
      <c r="C104" s="177" t="s">
        <v>17</v>
      </c>
      <c r="D104" s="177">
        <v>30</v>
      </c>
      <c r="E104" s="177"/>
      <c r="F104" s="177">
        <v>30</v>
      </c>
      <c r="G104" s="177"/>
      <c r="H104" s="468">
        <f>SUM(Tabla132112415[[#This Row],[PRIMER TRIMESTRE]:[CUARTO TRIMESTRE]])</f>
        <v>60</v>
      </c>
      <c r="I104" s="72">
        <f>3600*1.2</f>
        <v>4320</v>
      </c>
      <c r="J104" s="72">
        <f>+Tabla132112415[[#This Row],[CANTIDAD TOTAL]]*Tabla132112415[[#This Row],[PRECIO UNITARIO ESTIMADO]]</f>
        <v>259200</v>
      </c>
      <c r="K104" s="72"/>
      <c r="L104" s="73" t="s">
        <v>27</v>
      </c>
      <c r="M104" s="73" t="s">
        <v>22</v>
      </c>
      <c r="N104" s="70" t="s">
        <v>418</v>
      </c>
    </row>
    <row r="105" spans="1:14" s="169" customFormat="1" ht="30">
      <c r="A105" s="180" t="s">
        <v>56</v>
      </c>
      <c r="B105" s="453" t="s">
        <v>63</v>
      </c>
      <c r="C105" s="177" t="s">
        <v>17</v>
      </c>
      <c r="D105" s="177">
        <v>24</v>
      </c>
      <c r="E105" s="177"/>
      <c r="F105" s="177">
        <v>24</v>
      </c>
      <c r="G105" s="177"/>
      <c r="H105" s="468">
        <f>SUM(Tabla132112415[[#This Row],[PRIMER TRIMESTRE]:[CUARTO TRIMESTRE]])</f>
        <v>48</v>
      </c>
      <c r="I105" s="72">
        <v>6409</v>
      </c>
      <c r="J105" s="72">
        <f>+Tabla132112415[[#This Row],[CANTIDAD TOTAL]]*Tabla132112415[[#This Row],[PRECIO UNITARIO ESTIMADO]]</f>
        <v>307632</v>
      </c>
      <c r="K105" s="72"/>
      <c r="L105" s="73" t="s">
        <v>27</v>
      </c>
      <c r="M105" s="73" t="s">
        <v>22</v>
      </c>
      <c r="N105" s="70" t="s">
        <v>418</v>
      </c>
    </row>
    <row r="106" spans="1:14" s="169" customFormat="1" ht="30">
      <c r="A106" s="180" t="s">
        <v>56</v>
      </c>
      <c r="B106" s="453" t="s">
        <v>64</v>
      </c>
      <c r="C106" s="177" t="s">
        <v>17</v>
      </c>
      <c r="D106" s="177">
        <v>10</v>
      </c>
      <c r="E106" s="177"/>
      <c r="F106" s="177">
        <v>10</v>
      </c>
      <c r="G106" s="177"/>
      <c r="H106" s="468">
        <f>SUM(Tabla132112415[[#This Row],[PRIMER TRIMESTRE]:[CUARTO TRIMESTRE]])</f>
        <v>20</v>
      </c>
      <c r="I106" s="72">
        <v>6500</v>
      </c>
      <c r="J106" s="72">
        <f>+Tabla132112415[[#This Row],[CANTIDAD TOTAL]]*Tabla132112415[[#This Row],[PRECIO UNITARIO ESTIMADO]]</f>
        <v>130000</v>
      </c>
      <c r="K106" s="72"/>
      <c r="L106" s="73" t="s">
        <v>27</v>
      </c>
      <c r="M106" s="73" t="s">
        <v>22</v>
      </c>
      <c r="N106" s="70" t="s">
        <v>418</v>
      </c>
    </row>
    <row r="107" spans="1:14" s="169" customFormat="1" ht="30">
      <c r="A107" s="180" t="s">
        <v>56</v>
      </c>
      <c r="B107" s="453" t="s">
        <v>65</v>
      </c>
      <c r="C107" s="177" t="s">
        <v>17</v>
      </c>
      <c r="D107" s="177">
        <v>10</v>
      </c>
      <c r="E107" s="177"/>
      <c r="F107" s="177">
        <v>10</v>
      </c>
      <c r="G107" s="177"/>
      <c r="H107" s="468">
        <f>SUM(Tabla132112415[[#This Row],[PRIMER TRIMESTRE]:[CUARTO TRIMESTRE]])</f>
        <v>20</v>
      </c>
      <c r="I107" s="72">
        <v>6500</v>
      </c>
      <c r="J107" s="72">
        <f>+H107*I107</f>
        <v>130000</v>
      </c>
      <c r="K107" s="72"/>
      <c r="L107" s="73" t="s">
        <v>27</v>
      </c>
      <c r="M107" s="73" t="s">
        <v>22</v>
      </c>
      <c r="N107" s="70" t="s">
        <v>418</v>
      </c>
    </row>
    <row r="108" spans="1:14" s="169" customFormat="1" ht="30">
      <c r="A108" s="180" t="s">
        <v>56</v>
      </c>
      <c r="B108" s="453" t="s">
        <v>1422</v>
      </c>
      <c r="C108" s="177" t="s">
        <v>17</v>
      </c>
      <c r="D108" s="177">
        <v>10</v>
      </c>
      <c r="E108" s="177"/>
      <c r="F108" s="177">
        <v>10</v>
      </c>
      <c r="G108" s="177"/>
      <c r="H108" s="468">
        <f>SUM(Tabla132112415[[#This Row],[PRIMER TRIMESTRE]:[CUARTO TRIMESTRE]])</f>
        <v>20</v>
      </c>
      <c r="I108" s="72">
        <v>7965.33</v>
      </c>
      <c r="J108" s="72">
        <f>+Tabla132112415[[#This Row],[CANTIDAD TOTAL]]*Tabla132112415[[#This Row],[PRECIO UNITARIO ESTIMADO]]</f>
        <v>159306.6</v>
      </c>
      <c r="K108" s="72"/>
      <c r="L108" s="73" t="s">
        <v>27</v>
      </c>
      <c r="M108" s="73" t="s">
        <v>22</v>
      </c>
      <c r="N108" s="70" t="s">
        <v>418</v>
      </c>
    </row>
    <row r="109" spans="1:14" s="111" customFormat="1" ht="30">
      <c r="A109" s="180" t="s">
        <v>56</v>
      </c>
      <c r="B109" s="453" t="s">
        <v>66</v>
      </c>
      <c r="C109" s="177" t="s">
        <v>17</v>
      </c>
      <c r="D109" s="177">
        <v>10</v>
      </c>
      <c r="E109" s="177"/>
      <c r="F109" s="177">
        <v>10</v>
      </c>
      <c r="G109" s="177"/>
      <c r="H109" s="494">
        <f>SUM(Tabla132112415[[#This Row],[PRIMER TRIMESTRE]:[CUARTO TRIMESTRE]])</f>
        <v>20</v>
      </c>
      <c r="I109" s="72">
        <v>9976</v>
      </c>
      <c r="J109" s="72">
        <f>+Tabla132112415[[#This Row],[CANTIDAD TOTAL]]*Tabla132112415[[#This Row],[PRECIO UNITARIO ESTIMADO]]</f>
        <v>199520</v>
      </c>
      <c r="K109" s="72"/>
      <c r="L109" s="73" t="s">
        <v>27</v>
      </c>
      <c r="M109" s="73" t="s">
        <v>22</v>
      </c>
      <c r="N109" s="70" t="s">
        <v>418</v>
      </c>
    </row>
    <row r="110" spans="1:14" s="111" customFormat="1" ht="30">
      <c r="A110" s="180" t="s">
        <v>56</v>
      </c>
      <c r="B110" s="453" t="s">
        <v>1848</v>
      </c>
      <c r="C110" s="177" t="s">
        <v>17</v>
      </c>
      <c r="D110" s="177"/>
      <c r="E110" s="177"/>
      <c r="F110" s="177"/>
      <c r="G110" s="177"/>
      <c r="H110" s="494">
        <f>SUM(Tabla132112415[[#This Row],[PRIMER TRIMESTRE]:[CUARTO TRIMESTRE]])</f>
        <v>0</v>
      </c>
      <c r="I110" s="72">
        <v>0</v>
      </c>
      <c r="J110" s="72">
        <v>0</v>
      </c>
      <c r="K110" s="72"/>
      <c r="L110" s="73" t="s">
        <v>27</v>
      </c>
      <c r="M110" s="73" t="s">
        <v>22</v>
      </c>
      <c r="N110" s="70" t="s">
        <v>418</v>
      </c>
    </row>
    <row r="111" spans="1:14" s="26" customFormat="1" ht="30">
      <c r="A111" s="180" t="s">
        <v>56</v>
      </c>
      <c r="B111" s="453" t="s">
        <v>765</v>
      </c>
      <c r="C111" s="177" t="s">
        <v>17</v>
      </c>
      <c r="D111" s="177">
        <v>10</v>
      </c>
      <c r="E111" s="177"/>
      <c r="F111" s="177">
        <v>10</v>
      </c>
      <c r="G111" s="177"/>
      <c r="H111" s="494">
        <f>SUM(Tabla132112415[[#This Row],[PRIMER TRIMESTRE]:[CUARTO TRIMESTRE]])</f>
        <v>20</v>
      </c>
      <c r="I111" s="72">
        <v>11500</v>
      </c>
      <c r="J111" s="72">
        <f>+H111*I111</f>
        <v>230000</v>
      </c>
      <c r="K111" s="72"/>
      <c r="L111" s="73" t="s">
        <v>27</v>
      </c>
      <c r="M111" s="73" t="s">
        <v>22</v>
      </c>
      <c r="N111" s="70" t="s">
        <v>418</v>
      </c>
    </row>
    <row r="112" spans="1:14" s="12" customFormat="1" ht="30">
      <c r="A112" s="180" t="s">
        <v>56</v>
      </c>
      <c r="B112" s="453" t="s">
        <v>1401</v>
      </c>
      <c r="C112" s="177" t="s">
        <v>17</v>
      </c>
      <c r="D112" s="177"/>
      <c r="E112" s="177"/>
      <c r="F112" s="177"/>
      <c r="G112" s="177"/>
      <c r="H112" s="494">
        <f>SUM(Tabla132112415[[#This Row],[PRIMER TRIMESTRE]:[CUARTO TRIMESTRE]])</f>
        <v>0</v>
      </c>
      <c r="I112" s="72">
        <v>250</v>
      </c>
      <c r="J112" s="72">
        <f>+H112*I112</f>
        <v>0</v>
      </c>
      <c r="K112" s="72"/>
      <c r="L112" s="73" t="s">
        <v>27</v>
      </c>
      <c r="M112" s="73" t="s">
        <v>22</v>
      </c>
      <c r="N112" s="70" t="s">
        <v>418</v>
      </c>
    </row>
    <row r="113" spans="1:14" s="12" customFormat="1" ht="30">
      <c r="A113" s="180" t="s">
        <v>56</v>
      </c>
      <c r="B113" s="453" t="s">
        <v>2518</v>
      </c>
      <c r="C113" s="177" t="s">
        <v>17</v>
      </c>
      <c r="D113" s="177">
        <v>4</v>
      </c>
      <c r="E113" s="177"/>
      <c r="F113" s="177">
        <v>4</v>
      </c>
      <c r="G113" s="177"/>
      <c r="H113" s="494">
        <f>SUM(Tabla132112415[[#This Row],[PRIMER TRIMESTRE]:[CUARTO TRIMESTRE]])</f>
        <v>8</v>
      </c>
      <c r="I113" s="72">
        <v>9600</v>
      </c>
      <c r="J113" s="246">
        <f t="shared" ref="J113:J133" si="1">+H113*I113</f>
        <v>76800</v>
      </c>
      <c r="K113" s="72"/>
      <c r="L113" s="73"/>
      <c r="M113" s="73"/>
      <c r="N113" s="70"/>
    </row>
    <row r="114" spans="1:14" s="12" customFormat="1" ht="30">
      <c r="A114" s="180" t="s">
        <v>56</v>
      </c>
      <c r="B114" s="453" t="s">
        <v>2519</v>
      </c>
      <c r="C114" s="177" t="s">
        <v>17</v>
      </c>
      <c r="D114" s="177">
        <v>4</v>
      </c>
      <c r="E114" s="177"/>
      <c r="F114" s="177">
        <v>4</v>
      </c>
      <c r="G114" s="177"/>
      <c r="H114" s="494">
        <f>SUM(Tabla132112415[[#This Row],[PRIMER TRIMESTRE]:[CUARTO TRIMESTRE]])</f>
        <v>8</v>
      </c>
      <c r="I114" s="72">
        <v>9600</v>
      </c>
      <c r="J114" s="246">
        <f t="shared" si="1"/>
        <v>76800</v>
      </c>
      <c r="K114" s="72"/>
      <c r="L114" s="73"/>
      <c r="M114" s="73"/>
      <c r="N114" s="70"/>
    </row>
    <row r="115" spans="1:14" s="12" customFormat="1" ht="30">
      <c r="A115" s="180" t="s">
        <v>56</v>
      </c>
      <c r="B115" s="453" t="s">
        <v>2520</v>
      </c>
      <c r="C115" s="177" t="s">
        <v>17</v>
      </c>
      <c r="D115" s="177">
        <v>12</v>
      </c>
      <c r="E115" s="177"/>
      <c r="F115" s="177"/>
      <c r="G115" s="177"/>
      <c r="H115" s="494">
        <f>SUM(Tabla132112415[[#This Row],[PRIMER TRIMESTRE]:[CUARTO TRIMESTRE]])</f>
        <v>12</v>
      </c>
      <c r="I115" s="72">
        <v>350</v>
      </c>
      <c r="J115" s="246">
        <f t="shared" si="1"/>
        <v>4200</v>
      </c>
      <c r="K115" s="72"/>
      <c r="L115" s="73"/>
      <c r="M115" s="73"/>
      <c r="N115" s="70"/>
    </row>
    <row r="116" spans="1:14" s="12" customFormat="1" ht="30">
      <c r="A116" s="180" t="s">
        <v>56</v>
      </c>
      <c r="B116" s="453" t="s">
        <v>2521</v>
      </c>
      <c r="C116" s="177" t="s">
        <v>17</v>
      </c>
      <c r="D116" s="177">
        <v>12</v>
      </c>
      <c r="E116" s="177"/>
      <c r="F116" s="177"/>
      <c r="G116" s="177"/>
      <c r="H116" s="494">
        <f>SUM(Tabla132112415[[#This Row],[PRIMER TRIMESTRE]:[CUARTO TRIMESTRE]])</f>
        <v>12</v>
      </c>
      <c r="I116" s="72">
        <v>360</v>
      </c>
      <c r="J116" s="246">
        <f t="shared" si="1"/>
        <v>4320</v>
      </c>
      <c r="K116" s="72"/>
      <c r="L116" s="73"/>
      <c r="M116" s="73"/>
      <c r="N116" s="70"/>
    </row>
    <row r="117" spans="1:14" s="12" customFormat="1" ht="30">
      <c r="A117" s="180" t="s">
        <v>56</v>
      </c>
      <c r="B117" s="453" t="s">
        <v>2522</v>
      </c>
      <c r="C117" s="177" t="s">
        <v>17</v>
      </c>
      <c r="D117" s="177">
        <v>12</v>
      </c>
      <c r="E117" s="177"/>
      <c r="F117" s="177"/>
      <c r="G117" s="177"/>
      <c r="H117" s="494">
        <f>SUM(Tabla132112415[[#This Row],[PRIMER TRIMESTRE]:[CUARTO TRIMESTRE]])</f>
        <v>12</v>
      </c>
      <c r="I117" s="72">
        <v>370</v>
      </c>
      <c r="J117" s="246">
        <f t="shared" si="1"/>
        <v>4440</v>
      </c>
      <c r="K117" s="72"/>
      <c r="L117" s="73"/>
      <c r="M117" s="73"/>
      <c r="N117" s="70"/>
    </row>
    <row r="118" spans="1:14" s="12" customFormat="1" ht="30">
      <c r="A118" s="180" t="s">
        <v>56</v>
      </c>
      <c r="B118" s="453" t="s">
        <v>2523</v>
      </c>
      <c r="C118" s="177" t="s">
        <v>17</v>
      </c>
      <c r="D118" s="177">
        <v>12</v>
      </c>
      <c r="E118" s="177"/>
      <c r="F118" s="177"/>
      <c r="G118" s="177"/>
      <c r="H118" s="494">
        <f>SUM(Tabla132112415[[#This Row],[PRIMER TRIMESTRE]:[CUARTO TRIMESTRE]])</f>
        <v>12</v>
      </c>
      <c r="I118" s="72">
        <v>380</v>
      </c>
      <c r="J118" s="246">
        <f t="shared" si="1"/>
        <v>4560</v>
      </c>
      <c r="K118" s="72"/>
      <c r="L118" s="73"/>
      <c r="M118" s="73"/>
      <c r="N118" s="70"/>
    </row>
    <row r="119" spans="1:14" s="12" customFormat="1" ht="30">
      <c r="A119" s="180" t="s">
        <v>56</v>
      </c>
      <c r="B119" s="453" t="s">
        <v>2524</v>
      </c>
      <c r="C119" s="177" t="s">
        <v>17</v>
      </c>
      <c r="D119" s="177">
        <v>12</v>
      </c>
      <c r="E119" s="177"/>
      <c r="F119" s="177"/>
      <c r="G119" s="177"/>
      <c r="H119" s="494">
        <f>SUM(Tabla132112415[[#This Row],[PRIMER TRIMESTRE]:[CUARTO TRIMESTRE]])</f>
        <v>12</v>
      </c>
      <c r="I119" s="72">
        <v>399</v>
      </c>
      <c r="J119" s="246">
        <f t="shared" si="1"/>
        <v>4788</v>
      </c>
      <c r="K119" s="72"/>
      <c r="L119" s="73"/>
      <c r="M119" s="73"/>
      <c r="N119" s="70"/>
    </row>
    <row r="120" spans="1:14" s="12" customFormat="1" ht="30">
      <c r="A120" s="180" t="s">
        <v>56</v>
      </c>
      <c r="B120" s="453" t="s">
        <v>2525</v>
      </c>
      <c r="C120" s="177" t="s">
        <v>17</v>
      </c>
      <c r="D120" s="177">
        <v>12</v>
      </c>
      <c r="E120" s="177"/>
      <c r="F120" s="177"/>
      <c r="G120" s="177"/>
      <c r="H120" s="494">
        <f>SUM(Tabla132112415[[#This Row],[PRIMER TRIMESTRE]:[CUARTO TRIMESTRE]])</f>
        <v>12</v>
      </c>
      <c r="I120" s="72">
        <v>420</v>
      </c>
      <c r="J120" s="246">
        <f t="shared" si="1"/>
        <v>5040</v>
      </c>
      <c r="K120" s="72"/>
      <c r="L120" s="73"/>
      <c r="M120" s="73"/>
      <c r="N120" s="70"/>
    </row>
    <row r="121" spans="1:14" s="12" customFormat="1" ht="30">
      <c r="A121" s="180" t="s">
        <v>56</v>
      </c>
      <c r="B121" s="453" t="s">
        <v>2526</v>
      </c>
      <c r="C121" s="177" t="s">
        <v>17</v>
      </c>
      <c r="D121" s="177">
        <v>12</v>
      </c>
      <c r="E121" s="177"/>
      <c r="F121" s="177"/>
      <c r="G121" s="177"/>
      <c r="H121" s="494">
        <f>SUM(Tabla132112415[[#This Row],[PRIMER TRIMESTRE]:[CUARTO TRIMESTRE]])</f>
        <v>12</v>
      </c>
      <c r="I121" s="72">
        <v>430</v>
      </c>
      <c r="J121" s="246">
        <f t="shared" si="1"/>
        <v>5160</v>
      </c>
      <c r="K121" s="72"/>
      <c r="L121" s="73"/>
      <c r="M121" s="73"/>
      <c r="N121" s="70"/>
    </row>
    <row r="122" spans="1:14" s="12" customFormat="1" ht="30">
      <c r="A122" s="180" t="s">
        <v>56</v>
      </c>
      <c r="B122" s="453" t="s">
        <v>2527</v>
      </c>
      <c r="C122" s="177" t="s">
        <v>17</v>
      </c>
      <c r="D122" s="177">
        <v>12</v>
      </c>
      <c r="E122" s="177"/>
      <c r="F122" s="177"/>
      <c r="G122" s="177"/>
      <c r="H122" s="494">
        <f>SUM(Tabla132112415[[#This Row],[PRIMER TRIMESTRE]:[CUARTO TRIMESTRE]])</f>
        <v>12</v>
      </c>
      <c r="I122" s="72">
        <v>445</v>
      </c>
      <c r="J122" s="246">
        <f t="shared" si="1"/>
        <v>5340</v>
      </c>
      <c r="K122" s="72"/>
      <c r="L122" s="73"/>
      <c r="M122" s="73"/>
      <c r="N122" s="70"/>
    </row>
    <row r="123" spans="1:14" s="12" customFormat="1" ht="30">
      <c r="A123" s="180" t="s">
        <v>56</v>
      </c>
      <c r="B123" s="453" t="s">
        <v>2528</v>
      </c>
      <c r="C123" s="177" t="s">
        <v>17</v>
      </c>
      <c r="D123" s="177">
        <v>12</v>
      </c>
      <c r="E123" s="177"/>
      <c r="F123" s="177"/>
      <c r="G123" s="177"/>
      <c r="H123" s="494">
        <f>SUM(Tabla132112415[[#This Row],[PRIMER TRIMESTRE]:[CUARTO TRIMESTRE]])</f>
        <v>12</v>
      </c>
      <c r="I123" s="72">
        <v>550</v>
      </c>
      <c r="J123" s="246">
        <f t="shared" si="1"/>
        <v>6600</v>
      </c>
      <c r="K123" s="72"/>
      <c r="L123" s="73"/>
      <c r="M123" s="73"/>
      <c r="N123" s="70"/>
    </row>
    <row r="124" spans="1:14" s="12" customFormat="1" ht="30">
      <c r="A124" s="180" t="s">
        <v>56</v>
      </c>
      <c r="B124" s="453" t="s">
        <v>2529</v>
      </c>
      <c r="C124" s="177" t="s">
        <v>17</v>
      </c>
      <c r="D124" s="177">
        <v>12</v>
      </c>
      <c r="E124" s="177"/>
      <c r="F124" s="177"/>
      <c r="G124" s="177"/>
      <c r="H124" s="494">
        <f>SUM(Tabla132112415[[#This Row],[PRIMER TRIMESTRE]:[CUARTO TRIMESTRE]])</f>
        <v>12</v>
      </c>
      <c r="I124" s="72">
        <v>650</v>
      </c>
      <c r="J124" s="246">
        <f t="shared" si="1"/>
        <v>7800</v>
      </c>
      <c r="K124" s="72"/>
      <c r="L124" s="73"/>
      <c r="M124" s="73"/>
      <c r="N124" s="70"/>
    </row>
    <row r="125" spans="1:14" s="12" customFormat="1" ht="30">
      <c r="A125" s="180" t="s">
        <v>56</v>
      </c>
      <c r="B125" s="453" t="s">
        <v>2530</v>
      </c>
      <c r="C125" s="177" t="s">
        <v>17</v>
      </c>
      <c r="D125" s="177">
        <v>12</v>
      </c>
      <c r="E125" s="177"/>
      <c r="F125" s="177"/>
      <c r="G125" s="177"/>
      <c r="H125" s="494">
        <f>SUM(Tabla132112415[[#This Row],[PRIMER TRIMESTRE]:[CUARTO TRIMESTRE]])</f>
        <v>12</v>
      </c>
      <c r="I125" s="72">
        <v>650</v>
      </c>
      <c r="J125" s="246">
        <f t="shared" si="1"/>
        <v>7800</v>
      </c>
      <c r="K125" s="72"/>
      <c r="L125" s="73"/>
      <c r="M125" s="73"/>
      <c r="N125" s="70"/>
    </row>
    <row r="126" spans="1:14" s="12" customFormat="1" ht="30">
      <c r="A126" s="180" t="s">
        <v>56</v>
      </c>
      <c r="B126" s="453" t="s">
        <v>2531</v>
      </c>
      <c r="C126" s="177" t="s">
        <v>17</v>
      </c>
      <c r="D126" s="177">
        <v>12</v>
      </c>
      <c r="E126" s="177"/>
      <c r="F126" s="177"/>
      <c r="G126" s="177"/>
      <c r="H126" s="494">
        <f>SUM(Tabla132112415[[#This Row],[PRIMER TRIMESTRE]:[CUARTO TRIMESTRE]])</f>
        <v>12</v>
      </c>
      <c r="I126" s="72">
        <v>650</v>
      </c>
      <c r="J126" s="246">
        <f t="shared" si="1"/>
        <v>7800</v>
      </c>
      <c r="K126" s="72"/>
      <c r="L126" s="73"/>
      <c r="M126" s="73"/>
      <c r="N126" s="70"/>
    </row>
    <row r="127" spans="1:14" s="12" customFormat="1" ht="30">
      <c r="A127" s="180" t="s">
        <v>56</v>
      </c>
      <c r="B127" s="453" t="s">
        <v>2532</v>
      </c>
      <c r="C127" s="177" t="s">
        <v>17</v>
      </c>
      <c r="D127" s="177">
        <v>12</v>
      </c>
      <c r="E127" s="177"/>
      <c r="F127" s="177"/>
      <c r="G127" s="177"/>
      <c r="H127" s="494">
        <f>SUM(Tabla132112415[[#This Row],[PRIMER TRIMESTRE]:[CUARTO TRIMESTRE]])</f>
        <v>12</v>
      </c>
      <c r="I127" s="72">
        <v>750</v>
      </c>
      <c r="J127" s="246">
        <f t="shared" si="1"/>
        <v>9000</v>
      </c>
      <c r="K127" s="72"/>
      <c r="L127" s="73"/>
      <c r="M127" s="73"/>
      <c r="N127" s="70"/>
    </row>
    <row r="128" spans="1:14" s="12" customFormat="1" ht="30">
      <c r="A128" s="180" t="s">
        <v>56</v>
      </c>
      <c r="B128" s="453" t="s">
        <v>2533</v>
      </c>
      <c r="C128" s="177" t="s">
        <v>17</v>
      </c>
      <c r="D128" s="177">
        <v>12</v>
      </c>
      <c r="E128" s="177"/>
      <c r="F128" s="177"/>
      <c r="G128" s="177"/>
      <c r="H128" s="494">
        <f>SUM(Tabla132112415[[#This Row],[PRIMER TRIMESTRE]:[CUARTO TRIMESTRE]])</f>
        <v>12</v>
      </c>
      <c r="I128" s="72">
        <v>650</v>
      </c>
      <c r="J128" s="246">
        <f t="shared" si="1"/>
        <v>7800</v>
      </c>
      <c r="K128" s="72"/>
      <c r="L128" s="73"/>
      <c r="M128" s="73"/>
      <c r="N128" s="70"/>
    </row>
    <row r="129" spans="1:14" s="12" customFormat="1" ht="30">
      <c r="A129" s="180" t="s">
        <v>56</v>
      </c>
      <c r="B129" s="453" t="s">
        <v>2534</v>
      </c>
      <c r="C129" s="177" t="s">
        <v>17</v>
      </c>
      <c r="D129" s="177">
        <v>12</v>
      </c>
      <c r="E129" s="177"/>
      <c r="F129" s="177"/>
      <c r="G129" s="177"/>
      <c r="H129" s="494">
        <f>SUM(Tabla132112415[[#This Row],[PRIMER TRIMESTRE]:[CUARTO TRIMESTRE]])</f>
        <v>12</v>
      </c>
      <c r="I129" s="72">
        <v>750</v>
      </c>
      <c r="J129" s="246">
        <f t="shared" si="1"/>
        <v>9000</v>
      </c>
      <c r="K129" s="72"/>
      <c r="L129" s="73"/>
      <c r="M129" s="73"/>
      <c r="N129" s="70"/>
    </row>
    <row r="130" spans="1:14" s="12" customFormat="1" ht="30">
      <c r="A130" s="180" t="s">
        <v>56</v>
      </c>
      <c r="B130" s="453" t="s">
        <v>2535</v>
      </c>
      <c r="C130" s="177" t="s">
        <v>17</v>
      </c>
      <c r="D130" s="177">
        <v>12</v>
      </c>
      <c r="E130" s="177"/>
      <c r="F130" s="177"/>
      <c r="G130" s="177"/>
      <c r="H130" s="494">
        <f>SUM(Tabla132112415[[#This Row],[PRIMER TRIMESTRE]:[CUARTO TRIMESTRE]])</f>
        <v>12</v>
      </c>
      <c r="I130" s="72">
        <v>725</v>
      </c>
      <c r="J130" s="246">
        <f t="shared" si="1"/>
        <v>8700</v>
      </c>
      <c r="K130" s="72"/>
      <c r="L130" s="73"/>
      <c r="M130" s="73"/>
      <c r="N130" s="70"/>
    </row>
    <row r="131" spans="1:14" s="12" customFormat="1" ht="30">
      <c r="A131" s="180" t="s">
        <v>56</v>
      </c>
      <c r="B131" s="453" t="s">
        <v>2536</v>
      </c>
      <c r="C131" s="177" t="s">
        <v>17</v>
      </c>
      <c r="D131" s="177">
        <v>12</v>
      </c>
      <c r="E131" s="177"/>
      <c r="F131" s="177"/>
      <c r="G131" s="177"/>
      <c r="H131" s="494">
        <f>SUM(Tabla132112415[[#This Row],[PRIMER TRIMESTRE]:[CUARTO TRIMESTRE]])</f>
        <v>12</v>
      </c>
      <c r="I131" s="72">
        <v>450</v>
      </c>
      <c r="J131" s="246">
        <f t="shared" si="1"/>
        <v>5400</v>
      </c>
      <c r="K131" s="72"/>
      <c r="L131" s="73"/>
      <c r="M131" s="73"/>
      <c r="N131" s="70"/>
    </row>
    <row r="132" spans="1:14" s="12" customFormat="1" ht="30">
      <c r="A132" s="180" t="s">
        <v>56</v>
      </c>
      <c r="B132" s="453" t="s">
        <v>2537</v>
      </c>
      <c r="C132" s="177" t="s">
        <v>17</v>
      </c>
      <c r="D132" s="177">
        <v>12</v>
      </c>
      <c r="E132" s="177"/>
      <c r="F132" s="177"/>
      <c r="G132" s="177"/>
      <c r="H132" s="494">
        <f>SUM(Tabla132112415[[#This Row],[PRIMER TRIMESTRE]:[CUARTO TRIMESTRE]])</f>
        <v>12</v>
      </c>
      <c r="I132" s="72">
        <v>485</v>
      </c>
      <c r="J132" s="246">
        <f t="shared" si="1"/>
        <v>5820</v>
      </c>
      <c r="K132" s="72"/>
      <c r="L132" s="73"/>
      <c r="M132" s="73"/>
      <c r="N132" s="70"/>
    </row>
    <row r="133" spans="1:14" s="12" customFormat="1" ht="30">
      <c r="A133" s="180" t="s">
        <v>56</v>
      </c>
      <c r="B133" s="453" t="s">
        <v>2538</v>
      </c>
      <c r="C133" s="177" t="s">
        <v>17</v>
      </c>
      <c r="D133" s="177">
        <v>12</v>
      </c>
      <c r="E133" s="177"/>
      <c r="F133" s="177"/>
      <c r="G133" s="177"/>
      <c r="H133" s="494">
        <f>SUM(Tabla132112415[[#This Row],[PRIMER TRIMESTRE]:[CUARTO TRIMESTRE]])</f>
        <v>12</v>
      </c>
      <c r="I133" s="72">
        <v>435</v>
      </c>
      <c r="J133" s="246">
        <f t="shared" si="1"/>
        <v>5220</v>
      </c>
      <c r="K133" s="72"/>
      <c r="L133" s="73"/>
      <c r="M133" s="73"/>
      <c r="N133" s="70"/>
    </row>
    <row r="134" spans="1:14" s="12" customFormat="1" ht="31.5">
      <c r="A134" s="179" t="s">
        <v>56</v>
      </c>
      <c r="B134" s="76"/>
      <c r="C134" s="492"/>
      <c r="D134" s="492"/>
      <c r="E134" s="492"/>
      <c r="F134" s="492"/>
      <c r="G134" s="492"/>
      <c r="H134" s="496"/>
      <c r="I134" s="24"/>
      <c r="J134" s="24"/>
      <c r="K134" s="25">
        <f>SUM(J102:J112)</f>
        <v>1777658.6</v>
      </c>
      <c r="L134" s="23"/>
      <c r="M134" s="23"/>
      <c r="N134" s="42"/>
    </row>
    <row r="135" spans="1:14" s="12" customFormat="1" ht="18">
      <c r="A135" s="180" t="s">
        <v>62</v>
      </c>
      <c r="B135" s="77" t="s">
        <v>68</v>
      </c>
      <c r="C135" s="177" t="s">
        <v>69</v>
      </c>
      <c r="D135" s="177">
        <v>20</v>
      </c>
      <c r="E135" s="177"/>
      <c r="F135" s="177">
        <v>20</v>
      </c>
      <c r="G135" s="177"/>
      <c r="H135" s="468">
        <f>SUM(Tabla132112415[[#This Row],[PRIMER TRIMESTRE]:[CUARTO TRIMESTRE]])</f>
        <v>40</v>
      </c>
      <c r="I135" s="17">
        <v>320.89999999999998</v>
      </c>
      <c r="J135" s="17">
        <f>+Tabla132112415[[#This Row],[CANTIDAD TOTAL]]*Tabla132112415[[#This Row],[PRECIO UNITARIO ESTIMADO]]</f>
        <v>12836</v>
      </c>
      <c r="K135" s="17"/>
      <c r="L135" s="16" t="s">
        <v>27</v>
      </c>
      <c r="M135" s="16" t="s">
        <v>22</v>
      </c>
      <c r="N135" s="39" t="s">
        <v>418</v>
      </c>
    </row>
    <row r="136" spans="1:14" s="12" customFormat="1" ht="18">
      <c r="A136" s="180" t="s">
        <v>62</v>
      </c>
      <c r="B136" s="77" t="s">
        <v>461</v>
      </c>
      <c r="C136" s="177" t="s">
        <v>69</v>
      </c>
      <c r="D136" s="177">
        <v>20</v>
      </c>
      <c r="E136" s="177"/>
      <c r="F136" s="177">
        <v>20</v>
      </c>
      <c r="G136" s="177"/>
      <c r="H136" s="468">
        <f>SUM(Tabla132112415[[#This Row],[PRIMER TRIMESTRE]:[CUARTO TRIMESTRE]])</f>
        <v>40</v>
      </c>
      <c r="I136" s="17">
        <v>561.17999999999995</v>
      </c>
      <c r="J136" s="17">
        <f>+H136*I136</f>
        <v>22447.199999999997</v>
      </c>
      <c r="K136" s="17"/>
      <c r="L136" s="16" t="s">
        <v>27</v>
      </c>
      <c r="M136" s="16" t="s">
        <v>22</v>
      </c>
      <c r="N136" s="39" t="s">
        <v>418</v>
      </c>
    </row>
    <row r="137" spans="1:14" s="12" customFormat="1" ht="18">
      <c r="A137" s="180" t="s">
        <v>62</v>
      </c>
      <c r="B137" s="77" t="s">
        <v>1149</v>
      </c>
      <c r="C137" s="177" t="s">
        <v>69</v>
      </c>
      <c r="D137" s="177">
        <v>12</v>
      </c>
      <c r="E137" s="177"/>
      <c r="F137" s="177">
        <v>12</v>
      </c>
      <c r="G137" s="177"/>
      <c r="H137" s="468">
        <f>SUM(Tabla132112415[[#This Row],[PRIMER TRIMESTRE]:[CUARTO TRIMESTRE]])</f>
        <v>24</v>
      </c>
      <c r="I137" s="17">
        <v>900</v>
      </c>
      <c r="J137" s="17">
        <f>+H137*I137</f>
        <v>21600</v>
      </c>
      <c r="K137" s="17"/>
      <c r="L137" s="16" t="s">
        <v>27</v>
      </c>
      <c r="M137" s="16" t="s">
        <v>22</v>
      </c>
      <c r="N137" s="39" t="s">
        <v>418</v>
      </c>
    </row>
    <row r="138" spans="1:14" s="12" customFormat="1" ht="18">
      <c r="A138" s="180" t="s">
        <v>62</v>
      </c>
      <c r="B138" s="77" t="s">
        <v>567</v>
      </c>
      <c r="C138" s="177" t="s">
        <v>17</v>
      </c>
      <c r="D138" s="177"/>
      <c r="E138" s="177"/>
      <c r="F138" s="177"/>
      <c r="G138" s="177"/>
      <c r="H138" s="468">
        <f>SUM(Tabla132112415[[#This Row],[PRIMER TRIMESTRE]:[CUARTO TRIMESTRE]])</f>
        <v>0</v>
      </c>
      <c r="I138" s="17">
        <v>350</v>
      </c>
      <c r="J138" s="17">
        <f>+Tabla132112415[[#This Row],[CANTIDAD TOTAL]]*Tabla132112415[[#This Row],[PRECIO UNITARIO ESTIMADO]]</f>
        <v>0</v>
      </c>
      <c r="K138" s="17"/>
      <c r="L138" s="16" t="s">
        <v>27</v>
      </c>
      <c r="M138" s="16" t="s">
        <v>22</v>
      </c>
      <c r="N138" s="39" t="s">
        <v>418</v>
      </c>
    </row>
    <row r="139" spans="1:14" s="12" customFormat="1" ht="18">
      <c r="A139" s="180" t="s">
        <v>62</v>
      </c>
      <c r="B139" s="77" t="s">
        <v>472</v>
      </c>
      <c r="C139" s="177" t="s">
        <v>17</v>
      </c>
      <c r="D139" s="177">
        <v>11</v>
      </c>
      <c r="E139" s="177"/>
      <c r="F139" s="177">
        <v>10</v>
      </c>
      <c r="G139" s="177"/>
      <c r="H139" s="468">
        <f>SUM(Tabla132112415[[#This Row],[PRIMER TRIMESTRE]:[CUARTO TRIMESTRE]])</f>
        <v>21</v>
      </c>
      <c r="I139" s="17">
        <v>450.4</v>
      </c>
      <c r="J139" s="17">
        <f>+H139*I139</f>
        <v>9458.4</v>
      </c>
      <c r="K139" s="17"/>
      <c r="L139" s="16" t="s">
        <v>27</v>
      </c>
      <c r="M139" s="16" t="s">
        <v>22</v>
      </c>
      <c r="N139" s="39" t="s">
        <v>418</v>
      </c>
    </row>
    <row r="140" spans="1:14" s="12" customFormat="1" ht="18">
      <c r="A140" s="180" t="s">
        <v>62</v>
      </c>
      <c r="B140" s="77" t="s">
        <v>1150</v>
      </c>
      <c r="C140" s="177" t="s">
        <v>17</v>
      </c>
      <c r="D140" s="177">
        <v>1</v>
      </c>
      <c r="E140" s="177"/>
      <c r="F140" s="177"/>
      <c r="G140" s="177"/>
      <c r="H140" s="468">
        <f>SUM(Tabla132112415[[#This Row],[PRIMER TRIMESTRE]:[CUARTO TRIMESTRE]])</f>
        <v>1</v>
      </c>
      <c r="I140" s="17">
        <v>450.4</v>
      </c>
      <c r="J140" s="17">
        <f>+H140*I140</f>
        <v>450.4</v>
      </c>
      <c r="K140" s="17"/>
      <c r="L140" s="16" t="s">
        <v>27</v>
      </c>
      <c r="M140" s="16" t="s">
        <v>22</v>
      </c>
      <c r="N140" s="39" t="s">
        <v>418</v>
      </c>
    </row>
    <row r="141" spans="1:14" s="12" customFormat="1" ht="18">
      <c r="A141" s="180" t="s">
        <v>62</v>
      </c>
      <c r="B141" s="77" t="s">
        <v>440</v>
      </c>
      <c r="C141" s="177" t="s">
        <v>17</v>
      </c>
      <c r="D141" s="177">
        <v>2</v>
      </c>
      <c r="E141" s="177"/>
      <c r="F141" s="177">
        <v>2</v>
      </c>
      <c r="G141" s="177"/>
      <c r="H141" s="468">
        <f>SUM(Tabla132112415[[#This Row],[PRIMER TRIMESTRE]:[CUARTO TRIMESTRE]])</f>
        <v>4</v>
      </c>
      <c r="I141" s="17">
        <v>7000</v>
      </c>
      <c r="J141" s="17">
        <f>+H141*I141</f>
        <v>28000</v>
      </c>
      <c r="K141" s="17"/>
      <c r="L141" s="16" t="s">
        <v>27</v>
      </c>
      <c r="M141" s="16" t="s">
        <v>22</v>
      </c>
      <c r="N141" s="39" t="s">
        <v>418</v>
      </c>
    </row>
    <row r="142" spans="1:14" s="12" customFormat="1" ht="18">
      <c r="A142" s="180" t="s">
        <v>62</v>
      </c>
      <c r="B142" s="77" t="s">
        <v>435</v>
      </c>
      <c r="C142" s="177" t="s">
        <v>17</v>
      </c>
      <c r="D142" s="177">
        <v>60</v>
      </c>
      <c r="E142" s="177"/>
      <c r="F142" s="177"/>
      <c r="G142" s="177"/>
      <c r="H142" s="468">
        <f>SUM(Tabla132112415[[#This Row],[PRIMER TRIMESTRE]:[CUARTO TRIMESTRE]])</f>
        <v>60</v>
      </c>
      <c r="I142" s="17">
        <v>110</v>
      </c>
      <c r="J142" s="17">
        <f>+Tabla132112415[[#This Row],[CANTIDAD TOTAL]]*Tabla132112415[[#This Row],[PRECIO UNITARIO ESTIMADO]]</f>
        <v>6600</v>
      </c>
      <c r="K142" s="17"/>
      <c r="L142" s="16" t="s">
        <v>27</v>
      </c>
      <c r="M142" s="16" t="s">
        <v>22</v>
      </c>
      <c r="N142" s="39" t="s">
        <v>418</v>
      </c>
    </row>
    <row r="143" spans="1:14" s="12" customFormat="1" ht="18">
      <c r="A143" s="180" t="s">
        <v>62</v>
      </c>
      <c r="B143" s="77" t="s">
        <v>729</v>
      </c>
      <c r="C143" s="177" t="s">
        <v>17</v>
      </c>
      <c r="D143" s="177">
        <v>10</v>
      </c>
      <c r="E143" s="177"/>
      <c r="F143" s="177">
        <v>10</v>
      </c>
      <c r="G143" s="177"/>
      <c r="H143" s="468">
        <f>SUM(Tabla132112415[[#This Row],[PRIMER TRIMESTRE]:[CUARTO TRIMESTRE]])</f>
        <v>20</v>
      </c>
      <c r="I143" s="17">
        <v>260</v>
      </c>
      <c r="J143" s="17">
        <f>+Tabla132112415[[#This Row],[CANTIDAD TOTAL]]*Tabla132112415[[#This Row],[PRECIO UNITARIO ESTIMADO]]</f>
        <v>5200</v>
      </c>
      <c r="K143" s="17"/>
      <c r="L143" s="16" t="s">
        <v>27</v>
      </c>
      <c r="M143" s="16" t="s">
        <v>22</v>
      </c>
      <c r="N143" s="39" t="s">
        <v>418</v>
      </c>
    </row>
    <row r="144" spans="1:14" s="12" customFormat="1" ht="18">
      <c r="A144" s="180" t="s">
        <v>62</v>
      </c>
      <c r="B144" s="77" t="s">
        <v>731</v>
      </c>
      <c r="C144" s="177" t="s">
        <v>17</v>
      </c>
      <c r="D144" s="177">
        <v>5</v>
      </c>
      <c r="E144" s="177"/>
      <c r="F144" s="177">
        <v>5</v>
      </c>
      <c r="G144" s="177"/>
      <c r="H144" s="468">
        <f>SUM(Tabla132112415[[#This Row],[PRIMER TRIMESTRE]:[CUARTO TRIMESTRE]])</f>
        <v>10</v>
      </c>
      <c r="I144" s="17">
        <v>375</v>
      </c>
      <c r="J144" s="17">
        <f>+Tabla132112415[[#This Row],[CANTIDAD TOTAL]]*Tabla132112415[[#This Row],[PRECIO UNITARIO ESTIMADO]]</f>
        <v>3750</v>
      </c>
      <c r="K144" s="17"/>
      <c r="L144" s="16" t="s">
        <v>27</v>
      </c>
      <c r="M144" s="16" t="s">
        <v>22</v>
      </c>
      <c r="N144" s="39" t="s">
        <v>418</v>
      </c>
    </row>
    <row r="145" spans="1:14" s="12" customFormat="1" ht="18">
      <c r="A145" s="180" t="s">
        <v>62</v>
      </c>
      <c r="B145" s="17" t="s">
        <v>1589</v>
      </c>
      <c r="C145" s="497" t="s">
        <v>17</v>
      </c>
      <c r="D145" s="177"/>
      <c r="E145" s="498"/>
      <c r="F145" s="498"/>
      <c r="G145" s="498"/>
      <c r="H145" s="468">
        <f>SUM(Tabla132112415[[#This Row],[PRIMER TRIMESTRE]:[CUARTO TRIMESTRE]])</f>
        <v>0</v>
      </c>
      <c r="I145" s="17">
        <v>425</v>
      </c>
      <c r="J145" s="17">
        <f>+H145*I145</f>
        <v>0</v>
      </c>
      <c r="K145" s="17"/>
      <c r="L145" s="16" t="s">
        <v>27</v>
      </c>
      <c r="M145" s="16" t="s">
        <v>22</v>
      </c>
      <c r="N145" s="39" t="s">
        <v>418</v>
      </c>
    </row>
    <row r="146" spans="1:14" s="12" customFormat="1" ht="18">
      <c r="A146" s="180" t="s">
        <v>62</v>
      </c>
      <c r="B146" s="77" t="s">
        <v>72</v>
      </c>
      <c r="C146" s="177" t="s">
        <v>17</v>
      </c>
      <c r="D146" s="177"/>
      <c r="E146" s="177"/>
      <c r="F146" s="177"/>
      <c r="G146" s="177"/>
      <c r="H146" s="468">
        <f>SUM(Tabla132112415[[#This Row],[PRIMER TRIMESTRE]:[CUARTO TRIMESTRE]])</f>
        <v>0</v>
      </c>
      <c r="I146" s="72">
        <v>295</v>
      </c>
      <c r="J146" s="17">
        <f>+Tabla132112415[[#This Row],[CANTIDAD TOTAL]]*Tabla132112415[[#This Row],[PRECIO UNITARIO ESTIMADO]]</f>
        <v>0</v>
      </c>
      <c r="K146" s="17"/>
      <c r="L146" s="16" t="s">
        <v>27</v>
      </c>
      <c r="M146" s="16" t="s">
        <v>22</v>
      </c>
      <c r="N146" s="39" t="s">
        <v>418</v>
      </c>
    </row>
    <row r="147" spans="1:14" s="12" customFormat="1" ht="18">
      <c r="A147" s="180" t="s">
        <v>62</v>
      </c>
      <c r="B147" s="77" t="s">
        <v>467</v>
      </c>
      <c r="C147" s="177" t="s">
        <v>17</v>
      </c>
      <c r="D147" s="177">
        <v>12</v>
      </c>
      <c r="E147" s="177"/>
      <c r="F147" s="177">
        <v>10</v>
      </c>
      <c r="G147" s="177"/>
      <c r="H147" s="468">
        <f>SUM(Tabla132112415[[#This Row],[PRIMER TRIMESTRE]:[CUARTO TRIMESTRE]])</f>
        <v>22</v>
      </c>
      <c r="I147" s="72">
        <v>852.71</v>
      </c>
      <c r="J147" s="17">
        <f t="shared" ref="J147:J163" si="2">+H147*I147</f>
        <v>18759.620000000003</v>
      </c>
      <c r="K147" s="17"/>
      <c r="L147" s="16" t="s">
        <v>27</v>
      </c>
      <c r="M147" s="16" t="s">
        <v>22</v>
      </c>
      <c r="N147" s="39" t="s">
        <v>418</v>
      </c>
    </row>
    <row r="148" spans="1:14" s="12" customFormat="1" ht="18">
      <c r="A148" s="180" t="s">
        <v>62</v>
      </c>
      <c r="B148" s="75" t="s">
        <v>1155</v>
      </c>
      <c r="C148" s="176" t="s">
        <v>17</v>
      </c>
      <c r="D148" s="176"/>
      <c r="E148" s="176"/>
      <c r="F148" s="176"/>
      <c r="G148" s="176"/>
      <c r="H148" s="499">
        <f>SUM(Tabla132112415[[#This Row],[PRIMER TRIMESTRE]:[CUARTO TRIMESTRE]])</f>
        <v>0</v>
      </c>
      <c r="I148" s="72">
        <v>600</v>
      </c>
      <c r="J148" s="17">
        <f t="shared" si="2"/>
        <v>0</v>
      </c>
      <c r="K148" s="17"/>
      <c r="L148" s="16" t="s">
        <v>27</v>
      </c>
      <c r="M148" s="16" t="s">
        <v>22</v>
      </c>
      <c r="N148" s="39" t="s">
        <v>418</v>
      </c>
    </row>
    <row r="149" spans="1:14" s="12" customFormat="1" ht="18">
      <c r="A149" s="180" t="s">
        <v>62</v>
      </c>
      <c r="B149" s="75" t="s">
        <v>1156</v>
      </c>
      <c r="C149" s="176" t="s">
        <v>17</v>
      </c>
      <c r="D149" s="176"/>
      <c r="E149" s="176"/>
      <c r="F149" s="176"/>
      <c r="G149" s="176"/>
      <c r="H149" s="176">
        <f>SUM(Tabla132112415[[#This Row],[PRIMER TRIMESTRE]:[CUARTO TRIMESTRE]])</f>
        <v>0</v>
      </c>
      <c r="I149" s="72">
        <v>700</v>
      </c>
      <c r="J149" s="17">
        <f t="shared" si="2"/>
        <v>0</v>
      </c>
      <c r="K149" s="17"/>
      <c r="L149" s="16" t="s">
        <v>27</v>
      </c>
      <c r="M149" s="16" t="s">
        <v>22</v>
      </c>
      <c r="N149" s="39" t="s">
        <v>418</v>
      </c>
    </row>
    <row r="150" spans="1:14" s="12" customFormat="1" ht="18">
      <c r="A150" s="180" t="s">
        <v>62</v>
      </c>
      <c r="B150" s="75" t="s">
        <v>1612</v>
      </c>
      <c r="C150" s="176" t="s">
        <v>17</v>
      </c>
      <c r="D150" s="176">
        <v>5</v>
      </c>
      <c r="E150" s="176"/>
      <c r="F150" s="176">
        <v>5</v>
      </c>
      <c r="G150" s="176"/>
      <c r="H150" s="176">
        <f>SUM(Tabla132112415[[#This Row],[PRIMER TRIMESTRE]:[CUARTO TRIMESTRE]])</f>
        <v>10</v>
      </c>
      <c r="I150" s="72">
        <v>835</v>
      </c>
      <c r="J150" s="17">
        <f t="shared" si="2"/>
        <v>8350</v>
      </c>
      <c r="K150" s="17"/>
      <c r="L150" s="16" t="s">
        <v>27</v>
      </c>
      <c r="M150" s="16" t="s">
        <v>22</v>
      </c>
      <c r="N150" s="39" t="s">
        <v>418</v>
      </c>
    </row>
    <row r="151" spans="1:14" s="12" customFormat="1" ht="18">
      <c r="A151" s="180" t="s">
        <v>62</v>
      </c>
      <c r="B151" s="75" t="s">
        <v>1613</v>
      </c>
      <c r="C151" s="176" t="s">
        <v>17</v>
      </c>
      <c r="D151" s="176">
        <v>5</v>
      </c>
      <c r="E151" s="176"/>
      <c r="F151" s="176">
        <v>5</v>
      </c>
      <c r="G151" s="176"/>
      <c r="H151" s="176">
        <f>SUM(Tabla132112415[[#This Row],[PRIMER TRIMESTRE]:[CUARTO TRIMESTRE]])</f>
        <v>10</v>
      </c>
      <c r="I151" s="72">
        <v>618</v>
      </c>
      <c r="J151" s="17">
        <f t="shared" si="2"/>
        <v>6180</v>
      </c>
      <c r="K151" s="17"/>
      <c r="L151" s="16" t="s">
        <v>27</v>
      </c>
      <c r="M151" s="16" t="s">
        <v>22</v>
      </c>
      <c r="N151" s="39" t="s">
        <v>418</v>
      </c>
    </row>
    <row r="152" spans="1:14" s="12" customFormat="1" ht="18">
      <c r="A152" s="180" t="s">
        <v>62</v>
      </c>
      <c r="B152" s="75" t="s">
        <v>1706</v>
      </c>
      <c r="C152" s="176" t="s">
        <v>17</v>
      </c>
      <c r="D152" s="176">
        <v>5</v>
      </c>
      <c r="E152" s="176"/>
      <c r="F152" s="176">
        <v>5</v>
      </c>
      <c r="G152" s="176"/>
      <c r="H152" s="499">
        <v>0</v>
      </c>
      <c r="I152" s="72">
        <v>0</v>
      </c>
      <c r="J152" s="17">
        <v>0</v>
      </c>
      <c r="K152" s="17"/>
      <c r="L152" s="16" t="s">
        <v>27</v>
      </c>
      <c r="M152" s="16" t="s">
        <v>22</v>
      </c>
      <c r="N152" s="39" t="s">
        <v>418</v>
      </c>
    </row>
    <row r="153" spans="1:14" s="12" customFormat="1" ht="18">
      <c r="A153" s="180" t="s">
        <v>62</v>
      </c>
      <c r="B153" s="75" t="s">
        <v>1614</v>
      </c>
      <c r="C153" s="176" t="s">
        <v>17</v>
      </c>
      <c r="D153" s="176"/>
      <c r="E153" s="176"/>
      <c r="F153" s="176"/>
      <c r="G153" s="176"/>
      <c r="H153" s="176">
        <f>SUM(Tabla132112415[[#This Row],[PRIMER TRIMESTRE]:[CUARTO TRIMESTRE]])</f>
        <v>0</v>
      </c>
      <c r="I153" s="72">
        <v>280</v>
      </c>
      <c r="J153" s="17">
        <f t="shared" si="2"/>
        <v>0</v>
      </c>
      <c r="K153" s="17"/>
      <c r="L153" s="16" t="s">
        <v>27</v>
      </c>
      <c r="M153" s="16" t="s">
        <v>22</v>
      </c>
      <c r="N153" s="39" t="s">
        <v>418</v>
      </c>
    </row>
    <row r="154" spans="1:14" s="12" customFormat="1" ht="18">
      <c r="A154" s="180" t="s">
        <v>62</v>
      </c>
      <c r="B154" s="75" t="s">
        <v>1615</v>
      </c>
      <c r="C154" s="176" t="s">
        <v>17</v>
      </c>
      <c r="D154" s="176"/>
      <c r="E154" s="176"/>
      <c r="F154" s="176"/>
      <c r="G154" s="176"/>
      <c r="H154" s="176">
        <f>SUM(Tabla132112415[[#This Row],[PRIMER TRIMESTRE]:[CUARTO TRIMESTRE]])</f>
        <v>0</v>
      </c>
      <c r="I154" s="72">
        <v>447.46</v>
      </c>
      <c r="J154" s="17">
        <f t="shared" si="2"/>
        <v>0</v>
      </c>
      <c r="K154" s="17"/>
      <c r="L154" s="16" t="s">
        <v>27</v>
      </c>
      <c r="M154" s="16" t="s">
        <v>22</v>
      </c>
      <c r="N154" s="39" t="s">
        <v>418</v>
      </c>
    </row>
    <row r="155" spans="1:14" s="12" customFormat="1" ht="18">
      <c r="A155" s="180" t="s">
        <v>62</v>
      </c>
      <c r="B155" s="75" t="s">
        <v>1616</v>
      </c>
      <c r="C155" s="176" t="s">
        <v>718</v>
      </c>
      <c r="D155" s="176"/>
      <c r="E155" s="176"/>
      <c r="F155" s="176"/>
      <c r="G155" s="176"/>
      <c r="H155" s="176">
        <f>SUM(Tabla132112415[[#This Row],[PRIMER TRIMESTRE]:[CUARTO TRIMESTRE]])</f>
        <v>0</v>
      </c>
      <c r="I155" s="72">
        <v>452.8</v>
      </c>
      <c r="J155" s="17">
        <f t="shared" si="2"/>
        <v>0</v>
      </c>
      <c r="K155" s="17"/>
      <c r="L155" s="16" t="s">
        <v>27</v>
      </c>
      <c r="M155" s="16" t="s">
        <v>22</v>
      </c>
      <c r="N155" s="39" t="s">
        <v>418</v>
      </c>
    </row>
    <row r="156" spans="1:14" s="12" customFormat="1" ht="18">
      <c r="A156" s="180" t="s">
        <v>62</v>
      </c>
      <c r="B156" s="75" t="s">
        <v>1617</v>
      </c>
      <c r="C156" s="176" t="s">
        <v>718</v>
      </c>
      <c r="D156" s="176"/>
      <c r="E156" s="176"/>
      <c r="F156" s="176"/>
      <c r="G156" s="176"/>
      <c r="H156" s="176">
        <f>SUM(Tabla132112415[[#This Row],[PRIMER TRIMESTRE]:[CUARTO TRIMESTRE]])</f>
        <v>0</v>
      </c>
      <c r="I156" s="72">
        <v>431</v>
      </c>
      <c r="J156" s="17">
        <f t="shared" si="2"/>
        <v>0</v>
      </c>
      <c r="K156" s="17"/>
      <c r="L156" s="16" t="s">
        <v>27</v>
      </c>
      <c r="M156" s="16" t="s">
        <v>22</v>
      </c>
      <c r="N156" s="39" t="s">
        <v>418</v>
      </c>
    </row>
    <row r="157" spans="1:14" s="12" customFormat="1" ht="18">
      <c r="A157" s="180" t="s">
        <v>62</v>
      </c>
      <c r="B157" s="75" t="s">
        <v>1618</v>
      </c>
      <c r="C157" s="176" t="s">
        <v>718</v>
      </c>
      <c r="D157" s="176"/>
      <c r="E157" s="176"/>
      <c r="F157" s="176"/>
      <c r="G157" s="176"/>
      <c r="H157" s="176">
        <f>SUM(Tabla132112415[[#This Row],[PRIMER TRIMESTRE]:[CUARTO TRIMESTRE]])</f>
        <v>0</v>
      </c>
      <c r="I157" s="72">
        <v>145.30000000000001</v>
      </c>
      <c r="J157" s="17">
        <f t="shared" si="2"/>
        <v>0</v>
      </c>
      <c r="K157" s="17"/>
      <c r="L157" s="16" t="s">
        <v>27</v>
      </c>
      <c r="M157" s="16" t="s">
        <v>22</v>
      </c>
      <c r="N157" s="39" t="s">
        <v>418</v>
      </c>
    </row>
    <row r="158" spans="1:14" s="12" customFormat="1" ht="18">
      <c r="A158" s="180" t="s">
        <v>62</v>
      </c>
      <c r="B158" s="75" t="s">
        <v>1157</v>
      </c>
      <c r="C158" s="176" t="s">
        <v>17</v>
      </c>
      <c r="D158" s="176"/>
      <c r="E158" s="176"/>
      <c r="F158" s="176"/>
      <c r="G158" s="176"/>
      <c r="H158" s="499">
        <f>SUM(Tabla132112415[[#This Row],[PRIMER TRIMESTRE]:[CUARTO TRIMESTRE]])</f>
        <v>0</v>
      </c>
      <c r="I158" s="72">
        <v>800</v>
      </c>
      <c r="J158" s="17">
        <f t="shared" si="2"/>
        <v>0</v>
      </c>
      <c r="K158" s="17"/>
      <c r="L158" s="16" t="s">
        <v>27</v>
      </c>
      <c r="M158" s="16" t="s">
        <v>22</v>
      </c>
      <c r="N158" s="39" t="s">
        <v>418</v>
      </c>
    </row>
    <row r="159" spans="1:14" s="12" customFormat="1" ht="18">
      <c r="A159" s="180" t="s">
        <v>62</v>
      </c>
      <c r="B159" s="75" t="s">
        <v>1158</v>
      </c>
      <c r="C159" s="176" t="s">
        <v>17</v>
      </c>
      <c r="D159" s="176"/>
      <c r="E159" s="176"/>
      <c r="F159" s="176"/>
      <c r="G159" s="176"/>
      <c r="H159" s="499">
        <f>SUM(Tabla132112415[[#This Row],[PRIMER TRIMESTRE]:[CUARTO TRIMESTRE]])</f>
        <v>0</v>
      </c>
      <c r="I159" s="72">
        <v>900</v>
      </c>
      <c r="J159" s="17">
        <f t="shared" si="2"/>
        <v>0</v>
      </c>
      <c r="K159" s="17"/>
      <c r="L159" s="16" t="s">
        <v>27</v>
      </c>
      <c r="M159" s="16" t="s">
        <v>22</v>
      </c>
      <c r="N159" s="39" t="s">
        <v>418</v>
      </c>
    </row>
    <row r="160" spans="1:14" s="12" customFormat="1" ht="18">
      <c r="A160" s="180" t="s">
        <v>62</v>
      </c>
      <c r="B160" s="75" t="s">
        <v>1151</v>
      </c>
      <c r="C160" s="176" t="s">
        <v>17</v>
      </c>
      <c r="D160" s="176"/>
      <c r="E160" s="176"/>
      <c r="F160" s="176"/>
      <c r="G160" s="176"/>
      <c r="H160" s="499">
        <f>SUM(Tabla132112415[[#This Row],[PRIMER TRIMESTRE]:[CUARTO TRIMESTRE]])</f>
        <v>0</v>
      </c>
      <c r="I160" s="72">
        <v>375</v>
      </c>
      <c r="J160" s="17">
        <f t="shared" si="2"/>
        <v>0</v>
      </c>
      <c r="K160" s="17"/>
      <c r="L160" s="16" t="s">
        <v>27</v>
      </c>
      <c r="M160" s="16" t="s">
        <v>22</v>
      </c>
      <c r="N160" s="39" t="s">
        <v>418</v>
      </c>
    </row>
    <row r="161" spans="1:14" s="12" customFormat="1" ht="18">
      <c r="A161" s="180" t="s">
        <v>62</v>
      </c>
      <c r="B161" s="75" t="s">
        <v>1152</v>
      </c>
      <c r="C161" s="176" t="s">
        <v>17</v>
      </c>
      <c r="D161" s="176">
        <v>3</v>
      </c>
      <c r="E161" s="176"/>
      <c r="F161" s="176">
        <v>1</v>
      </c>
      <c r="G161" s="176"/>
      <c r="H161" s="499">
        <f>SUM(Tabla132112415[[#This Row],[PRIMER TRIMESTRE]:[CUARTO TRIMESTRE]])</f>
        <v>4</v>
      </c>
      <c r="I161" s="72">
        <v>1300</v>
      </c>
      <c r="J161" s="17">
        <f t="shared" si="2"/>
        <v>5200</v>
      </c>
      <c r="K161" s="17"/>
      <c r="L161" s="16" t="s">
        <v>27</v>
      </c>
      <c r="M161" s="16" t="s">
        <v>22</v>
      </c>
      <c r="N161" s="39" t="s">
        <v>418</v>
      </c>
    </row>
    <row r="162" spans="1:14" s="12" customFormat="1" ht="18">
      <c r="A162" s="180" t="s">
        <v>62</v>
      </c>
      <c r="B162" s="75" t="s">
        <v>1153</v>
      </c>
      <c r="C162" s="176" t="s">
        <v>17</v>
      </c>
      <c r="D162" s="176">
        <v>2</v>
      </c>
      <c r="E162" s="176"/>
      <c r="F162" s="176"/>
      <c r="G162" s="176"/>
      <c r="H162" s="499">
        <f>SUM(Tabla132112415[[#This Row],[PRIMER TRIMESTRE]:[CUARTO TRIMESTRE]])</f>
        <v>2</v>
      </c>
      <c r="I162" s="72">
        <v>900</v>
      </c>
      <c r="J162" s="17">
        <f t="shared" si="2"/>
        <v>1800</v>
      </c>
      <c r="K162" s="17"/>
      <c r="L162" s="16" t="s">
        <v>27</v>
      </c>
      <c r="M162" s="16" t="s">
        <v>22</v>
      </c>
      <c r="N162" s="39" t="s">
        <v>418</v>
      </c>
    </row>
    <row r="163" spans="1:14" s="12" customFormat="1" ht="18">
      <c r="A163" s="180" t="s">
        <v>62</v>
      </c>
      <c r="B163" s="75" t="s">
        <v>1154</v>
      </c>
      <c r="C163" s="176" t="s">
        <v>17</v>
      </c>
      <c r="D163" s="176"/>
      <c r="E163" s="176"/>
      <c r="F163" s="176"/>
      <c r="G163" s="176"/>
      <c r="H163" s="499">
        <f>SUM(Tabla132112415[[#This Row],[PRIMER TRIMESTRE]:[CUARTO TRIMESTRE]])</f>
        <v>0</v>
      </c>
      <c r="I163" s="72">
        <v>1800</v>
      </c>
      <c r="J163" s="17">
        <f t="shared" si="2"/>
        <v>0</v>
      </c>
      <c r="K163" s="17"/>
      <c r="L163" s="16" t="s">
        <v>27</v>
      </c>
      <c r="M163" s="16" t="s">
        <v>22</v>
      </c>
      <c r="N163" s="39" t="s">
        <v>418</v>
      </c>
    </row>
    <row r="164" spans="1:14" s="12" customFormat="1" ht="18">
      <c r="A164" s="180" t="s">
        <v>62</v>
      </c>
      <c r="B164" s="75" t="s">
        <v>1709</v>
      </c>
      <c r="C164" s="177" t="s">
        <v>17</v>
      </c>
      <c r="D164" s="176"/>
      <c r="E164" s="176"/>
      <c r="F164" s="176"/>
      <c r="G164" s="176"/>
      <c r="H164" s="499">
        <v>0</v>
      </c>
      <c r="I164" s="72">
        <v>0</v>
      </c>
      <c r="J164" s="17">
        <v>0</v>
      </c>
      <c r="K164" s="17"/>
      <c r="L164" s="16" t="s">
        <v>27</v>
      </c>
      <c r="M164" s="16" t="s">
        <v>22</v>
      </c>
      <c r="N164" s="39" t="s">
        <v>418</v>
      </c>
    </row>
    <row r="165" spans="1:14" s="26" customFormat="1" ht="18">
      <c r="A165" s="180" t="s">
        <v>62</v>
      </c>
      <c r="B165" s="77" t="s">
        <v>432</v>
      </c>
      <c r="C165" s="177" t="s">
        <v>17</v>
      </c>
      <c r="D165" s="177"/>
      <c r="E165" s="177"/>
      <c r="F165" s="177"/>
      <c r="G165" s="177"/>
      <c r="H165" s="468">
        <f>SUM(Tabla132112415[[#This Row],[PRIMER TRIMESTRE]:[CUARTO TRIMESTRE]])</f>
        <v>0</v>
      </c>
      <c r="I165" s="72">
        <v>350</v>
      </c>
      <c r="J165" s="17">
        <f>+Tabla132112415[[#This Row],[CANTIDAD TOTAL]]*Tabla132112415[[#This Row],[PRECIO UNITARIO ESTIMADO]]</f>
        <v>0</v>
      </c>
      <c r="K165" s="17"/>
      <c r="L165" s="16" t="s">
        <v>27</v>
      </c>
      <c r="M165" s="16" t="s">
        <v>22</v>
      </c>
      <c r="N165" s="39" t="s">
        <v>418</v>
      </c>
    </row>
    <row r="166" spans="1:14" s="26" customFormat="1" ht="18">
      <c r="A166" s="180" t="s">
        <v>62</v>
      </c>
      <c r="B166" s="77" t="s">
        <v>431</v>
      </c>
      <c r="C166" s="177" t="s">
        <v>17</v>
      </c>
      <c r="D166" s="177"/>
      <c r="E166" s="177"/>
      <c r="F166" s="177"/>
      <c r="G166" s="177"/>
      <c r="H166" s="468">
        <f>SUM(Tabla132112415[[#This Row],[PRIMER TRIMESTRE]:[CUARTO TRIMESTRE]])</f>
        <v>0</v>
      </c>
      <c r="I166" s="72">
        <v>397.45</v>
      </c>
      <c r="J166" s="17">
        <f>+Tabla132112415[[#This Row],[CANTIDAD TOTAL]]*Tabla132112415[[#This Row],[PRECIO UNITARIO ESTIMADO]]</f>
        <v>0</v>
      </c>
      <c r="K166" s="17"/>
      <c r="L166" s="16" t="s">
        <v>27</v>
      </c>
      <c r="M166" s="16" t="s">
        <v>22</v>
      </c>
      <c r="N166" s="39" t="s">
        <v>418</v>
      </c>
    </row>
    <row r="167" spans="1:14" s="26" customFormat="1" ht="18">
      <c r="A167" s="180" t="s">
        <v>62</v>
      </c>
      <c r="B167" s="75" t="s">
        <v>960</v>
      </c>
      <c r="C167" s="176" t="s">
        <v>17</v>
      </c>
      <c r="D167" s="176"/>
      <c r="E167" s="176"/>
      <c r="F167" s="176"/>
      <c r="G167" s="176"/>
      <c r="H167" s="499">
        <f>SUM(Tabla132112415[[#This Row],[PRIMER TRIMESTRE]:[CUARTO TRIMESTRE]])</f>
        <v>0</v>
      </c>
      <c r="I167" s="17">
        <v>400.75</v>
      </c>
      <c r="J167" s="17">
        <f>+H167*I167</f>
        <v>0</v>
      </c>
      <c r="K167" s="17"/>
      <c r="L167" s="16" t="s">
        <v>27</v>
      </c>
      <c r="M167" s="16" t="s">
        <v>22</v>
      </c>
      <c r="N167" s="39" t="s">
        <v>418</v>
      </c>
    </row>
    <row r="168" spans="1:14" s="12" customFormat="1" ht="18">
      <c r="A168" s="180" t="s">
        <v>62</v>
      </c>
      <c r="B168" s="75" t="s">
        <v>961</v>
      </c>
      <c r="C168" s="176" t="s">
        <v>17</v>
      </c>
      <c r="D168" s="176"/>
      <c r="E168" s="176"/>
      <c r="F168" s="176"/>
      <c r="G168" s="176"/>
      <c r="H168" s="499">
        <f>SUM(Tabla132112415[[#This Row],[PRIMER TRIMESTRE]:[CUARTO TRIMESTRE]])</f>
        <v>0</v>
      </c>
      <c r="I168" s="17">
        <v>216</v>
      </c>
      <c r="J168" s="17">
        <f>+H168*I168</f>
        <v>0</v>
      </c>
      <c r="K168" s="17"/>
      <c r="L168" s="16" t="s">
        <v>27</v>
      </c>
      <c r="M168" s="16" t="s">
        <v>22</v>
      </c>
      <c r="N168" s="39" t="s">
        <v>418</v>
      </c>
    </row>
    <row r="169" spans="1:14" s="12" customFormat="1" ht="18">
      <c r="A169" s="180" t="s">
        <v>62</v>
      </c>
      <c r="B169" s="75" t="s">
        <v>962</v>
      </c>
      <c r="C169" s="176" t="s">
        <v>17</v>
      </c>
      <c r="D169" s="176"/>
      <c r="E169" s="176"/>
      <c r="F169" s="176"/>
      <c r="G169" s="176"/>
      <c r="H169" s="499">
        <f>SUM(Tabla132112415[[#This Row],[PRIMER TRIMESTRE]:[CUARTO TRIMESTRE]])</f>
        <v>0</v>
      </c>
      <c r="I169" s="17">
        <v>249.67</v>
      </c>
      <c r="J169" s="17">
        <f>+H169*I169</f>
        <v>0</v>
      </c>
      <c r="K169" s="17"/>
      <c r="L169" s="16" t="s">
        <v>27</v>
      </c>
      <c r="M169" s="16" t="s">
        <v>22</v>
      </c>
      <c r="N169" s="39" t="s">
        <v>418</v>
      </c>
    </row>
    <row r="170" spans="1:14" s="12" customFormat="1" ht="18">
      <c r="A170" s="180" t="s">
        <v>62</v>
      </c>
      <c r="B170" s="77" t="s">
        <v>434</v>
      </c>
      <c r="C170" s="177" t="s">
        <v>17</v>
      </c>
      <c r="D170" s="177">
        <v>10</v>
      </c>
      <c r="E170" s="177"/>
      <c r="F170" s="177">
        <v>10</v>
      </c>
      <c r="G170" s="177"/>
      <c r="H170" s="468">
        <f>SUM(Tabla132112415[[#This Row],[PRIMER TRIMESTRE]:[CUARTO TRIMESTRE]])</f>
        <v>20</v>
      </c>
      <c r="I170" s="72">
        <v>1120.9100000000001</v>
      </c>
      <c r="J170" s="17">
        <f>+Tabla132112415[[#This Row],[CANTIDAD TOTAL]]*Tabla132112415[[#This Row],[PRECIO UNITARIO ESTIMADO]]</f>
        <v>22418.2</v>
      </c>
      <c r="K170" s="17"/>
      <c r="L170" s="16" t="s">
        <v>27</v>
      </c>
      <c r="M170" s="16" t="s">
        <v>22</v>
      </c>
      <c r="N170" s="39" t="s">
        <v>418</v>
      </c>
    </row>
    <row r="171" spans="1:14" s="12" customFormat="1" ht="18">
      <c r="A171" s="180" t="s">
        <v>62</v>
      </c>
      <c r="B171" s="77" t="s">
        <v>76</v>
      </c>
      <c r="C171" s="177" t="s">
        <v>17</v>
      </c>
      <c r="D171" s="177">
        <v>10</v>
      </c>
      <c r="E171" s="177"/>
      <c r="F171" s="177">
        <v>10</v>
      </c>
      <c r="G171" s="177"/>
      <c r="H171" s="468">
        <f>SUM(Tabla132112415[[#This Row],[PRIMER TRIMESTRE]:[CUARTO TRIMESTRE]])</f>
        <v>20</v>
      </c>
      <c r="I171" s="17">
        <v>100.57</v>
      </c>
      <c r="J171" s="17">
        <f>+Tabla132112415[[#This Row],[CANTIDAD TOTAL]]*Tabla132112415[[#This Row],[PRECIO UNITARIO ESTIMADO]]</f>
        <v>2011.3999999999999</v>
      </c>
      <c r="K171" s="17"/>
      <c r="L171" s="16" t="s">
        <v>27</v>
      </c>
      <c r="M171" s="16" t="s">
        <v>22</v>
      </c>
      <c r="N171" s="39" t="s">
        <v>418</v>
      </c>
    </row>
    <row r="172" spans="1:14" s="12" customFormat="1" ht="18">
      <c r="A172" s="180" t="s">
        <v>62</v>
      </c>
      <c r="B172" s="77" t="s">
        <v>2539</v>
      </c>
      <c r="C172" s="177" t="s">
        <v>17</v>
      </c>
      <c r="D172" s="177">
        <v>2</v>
      </c>
      <c r="E172" s="177">
        <v>1</v>
      </c>
      <c r="F172" s="177">
        <v>1</v>
      </c>
      <c r="G172" s="177">
        <v>1</v>
      </c>
      <c r="H172" s="468">
        <f>SUM(Tabla132112415[[#This Row],[PRIMER TRIMESTRE]:[CUARTO TRIMESTRE]])</f>
        <v>5</v>
      </c>
      <c r="I172" s="17"/>
      <c r="J172" s="17"/>
      <c r="K172" s="17"/>
      <c r="L172" s="16"/>
      <c r="M172" s="16"/>
      <c r="N172" s="39"/>
    </row>
    <row r="173" spans="1:14" s="12" customFormat="1" ht="18">
      <c r="A173" s="180" t="s">
        <v>62</v>
      </c>
      <c r="B173" s="77" t="s">
        <v>433</v>
      </c>
      <c r="C173" s="177" t="s">
        <v>17</v>
      </c>
      <c r="D173" s="177">
        <v>10</v>
      </c>
      <c r="E173" s="177"/>
      <c r="F173" s="177">
        <v>10</v>
      </c>
      <c r="G173" s="177"/>
      <c r="H173" s="468">
        <f>SUM(Tabla132112415[[#This Row],[PRIMER TRIMESTRE]:[CUARTO TRIMESTRE]])</f>
        <v>20</v>
      </c>
      <c r="I173" s="17">
        <v>1144.23</v>
      </c>
      <c r="J173" s="17">
        <f>+Tabla132112415[[#This Row],[CANTIDAD TOTAL]]*Tabla132112415[[#This Row],[PRECIO UNITARIO ESTIMADO]]</f>
        <v>22884.6</v>
      </c>
      <c r="K173" s="17"/>
      <c r="L173" s="16" t="s">
        <v>27</v>
      </c>
      <c r="M173" s="16" t="s">
        <v>22</v>
      </c>
      <c r="N173" s="39" t="s">
        <v>418</v>
      </c>
    </row>
    <row r="174" spans="1:14" s="12" customFormat="1" ht="18">
      <c r="A174" s="180" t="s">
        <v>62</v>
      </c>
      <c r="B174" s="77" t="s">
        <v>433</v>
      </c>
      <c r="C174" s="177" t="s">
        <v>17</v>
      </c>
      <c r="D174" s="177"/>
      <c r="E174" s="177"/>
      <c r="F174" s="177"/>
      <c r="G174" s="177"/>
      <c r="H174" s="177">
        <f>SUM(Tabla132112415[[#This Row],[PRIMER TRIMESTRE]:[CUARTO TRIMESTRE]])</f>
        <v>0</v>
      </c>
      <c r="I174" s="17">
        <v>280</v>
      </c>
      <c r="J174" s="17">
        <f>+H174*I174</f>
        <v>0</v>
      </c>
      <c r="K174" s="17"/>
      <c r="L174" s="16" t="s">
        <v>27</v>
      </c>
      <c r="M174" s="16" t="s">
        <v>22</v>
      </c>
      <c r="N174" s="39" t="s">
        <v>418</v>
      </c>
    </row>
    <row r="175" spans="1:14" s="12" customFormat="1" ht="18">
      <c r="A175" s="180" t="s">
        <v>62</v>
      </c>
      <c r="B175" s="77" t="s">
        <v>1159</v>
      </c>
      <c r="C175" s="177" t="s">
        <v>17</v>
      </c>
      <c r="D175" s="177"/>
      <c r="E175" s="177"/>
      <c r="F175" s="177"/>
      <c r="G175" s="177"/>
      <c r="H175" s="468">
        <f>SUM(Tabla132112415[[#This Row],[PRIMER TRIMESTRE]:[CUARTO TRIMESTRE]])</f>
        <v>0</v>
      </c>
      <c r="I175" s="17">
        <v>377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</row>
    <row r="176" spans="1:14" s="12" customFormat="1" ht="18">
      <c r="A176" s="180" t="s">
        <v>62</v>
      </c>
      <c r="B176" s="75" t="s">
        <v>78</v>
      </c>
      <c r="C176" s="176" t="s">
        <v>17</v>
      </c>
      <c r="D176" s="176">
        <v>4</v>
      </c>
      <c r="E176" s="176"/>
      <c r="F176" s="176"/>
      <c r="G176" s="176"/>
      <c r="H176" s="499">
        <f>SUM(Tabla132112415[[#This Row],[PRIMER TRIMESTRE]:[CUARTO TRIMESTRE]])</f>
        <v>4</v>
      </c>
      <c r="I176" s="17">
        <v>377</v>
      </c>
      <c r="J176" s="17">
        <f>+Tabla132112415[[#This Row],[CANTIDAD TOTAL]]*Tabla132112415[[#This Row],[PRECIO UNITARIO ESTIMADO]]</f>
        <v>1508</v>
      </c>
      <c r="K176" s="17"/>
      <c r="L176" s="16" t="s">
        <v>27</v>
      </c>
      <c r="M176" s="16" t="s">
        <v>22</v>
      </c>
      <c r="N176" s="39" t="s">
        <v>418</v>
      </c>
    </row>
    <row r="177" spans="1:14" s="12" customFormat="1" ht="18">
      <c r="A177" s="180" t="s">
        <v>62</v>
      </c>
      <c r="B177" s="75" t="s">
        <v>1179</v>
      </c>
      <c r="C177" s="176" t="s">
        <v>17</v>
      </c>
      <c r="D177" s="176"/>
      <c r="E177" s="176"/>
      <c r="F177" s="176"/>
      <c r="G177" s="176"/>
      <c r="H177" s="499">
        <f>SUM(Tabla132112415[[#This Row],[PRIMER TRIMESTRE]:[CUARTO TRIMESTRE]])</f>
        <v>0</v>
      </c>
      <c r="I177" s="17">
        <v>350</v>
      </c>
      <c r="J177" s="17">
        <f t="shared" ref="J177:J184" si="3">+H177*I177</f>
        <v>0</v>
      </c>
      <c r="K177" s="17"/>
      <c r="L177" s="16" t="s">
        <v>27</v>
      </c>
      <c r="M177" s="16" t="s">
        <v>22</v>
      </c>
      <c r="N177" s="39" t="s">
        <v>418</v>
      </c>
    </row>
    <row r="178" spans="1:14" s="12" customFormat="1" ht="18">
      <c r="A178" s="180" t="s">
        <v>62</v>
      </c>
      <c r="B178" s="75" t="s">
        <v>1180</v>
      </c>
      <c r="C178" s="176" t="s">
        <v>17</v>
      </c>
      <c r="D178" s="176"/>
      <c r="E178" s="176"/>
      <c r="F178" s="176"/>
      <c r="G178" s="176"/>
      <c r="H178" s="499">
        <f>SUM(Tabla132112415[[#This Row],[PRIMER TRIMESTRE]:[CUARTO TRIMESTRE]])</f>
        <v>0</v>
      </c>
      <c r="I178" s="17">
        <v>350</v>
      </c>
      <c r="J178" s="17">
        <f t="shared" si="3"/>
        <v>0</v>
      </c>
      <c r="K178" s="17"/>
      <c r="L178" s="16" t="s">
        <v>27</v>
      </c>
      <c r="M178" s="16" t="s">
        <v>22</v>
      </c>
      <c r="N178" s="39" t="s">
        <v>418</v>
      </c>
    </row>
    <row r="179" spans="1:14" s="12" customFormat="1" ht="18">
      <c r="A179" s="180" t="s">
        <v>62</v>
      </c>
      <c r="B179" s="75" t="s">
        <v>1557</v>
      </c>
      <c r="C179" s="176" t="s">
        <v>17</v>
      </c>
      <c r="D179" s="176"/>
      <c r="E179" s="176"/>
      <c r="F179" s="176"/>
      <c r="G179" s="176"/>
      <c r="H179" s="499">
        <f>SUM(Tabla132112415[[#This Row],[PRIMER TRIMESTRE]:[CUARTO TRIMESTRE]])</f>
        <v>0</v>
      </c>
      <c r="I179" s="17">
        <v>220.66</v>
      </c>
      <c r="J179" s="17">
        <f t="shared" si="3"/>
        <v>0</v>
      </c>
      <c r="K179" s="17"/>
      <c r="L179" s="16" t="s">
        <v>27</v>
      </c>
      <c r="M179" s="16" t="s">
        <v>22</v>
      </c>
      <c r="N179" s="39" t="s">
        <v>418</v>
      </c>
    </row>
    <row r="180" spans="1:14" s="12" customFormat="1" ht="18">
      <c r="A180" s="180" t="s">
        <v>62</v>
      </c>
      <c r="B180" s="75" t="s">
        <v>1558</v>
      </c>
      <c r="C180" s="176" t="s">
        <v>17</v>
      </c>
      <c r="D180" s="176"/>
      <c r="E180" s="176"/>
      <c r="F180" s="176"/>
      <c r="G180" s="176"/>
      <c r="H180" s="499">
        <f>SUM(Tabla132112415[[#This Row],[PRIMER TRIMESTRE]:[CUARTO TRIMESTRE]])</f>
        <v>0</v>
      </c>
      <c r="I180" s="17">
        <v>353.52</v>
      </c>
      <c r="J180" s="17">
        <f t="shared" si="3"/>
        <v>0</v>
      </c>
      <c r="K180" s="17"/>
      <c r="L180" s="16" t="s">
        <v>27</v>
      </c>
      <c r="M180" s="16" t="s">
        <v>22</v>
      </c>
      <c r="N180" s="39" t="s">
        <v>418</v>
      </c>
    </row>
    <row r="181" spans="1:14" s="12" customFormat="1" ht="18">
      <c r="A181" s="180" t="s">
        <v>62</v>
      </c>
      <c r="B181" s="75" t="s">
        <v>1560</v>
      </c>
      <c r="C181" s="176" t="s">
        <v>17</v>
      </c>
      <c r="D181" s="176">
        <v>3</v>
      </c>
      <c r="E181" s="176"/>
      <c r="F181" s="176"/>
      <c r="G181" s="176"/>
      <c r="H181" s="499">
        <f>SUM(Tabla132112415[[#This Row],[PRIMER TRIMESTRE]:[CUARTO TRIMESTRE]])</f>
        <v>3</v>
      </c>
      <c r="I181" s="17">
        <v>147.30000000000001</v>
      </c>
      <c r="J181" s="17">
        <f t="shared" si="3"/>
        <v>441.90000000000003</v>
      </c>
      <c r="K181" s="17"/>
      <c r="L181" s="16" t="s">
        <v>27</v>
      </c>
      <c r="M181" s="16" t="s">
        <v>22</v>
      </c>
      <c r="N181" s="39" t="s">
        <v>418</v>
      </c>
    </row>
    <row r="182" spans="1:14" s="12" customFormat="1" ht="18">
      <c r="A182" s="180" t="s">
        <v>62</v>
      </c>
      <c r="B182" s="75" t="s">
        <v>1559</v>
      </c>
      <c r="C182" s="176" t="s">
        <v>17</v>
      </c>
      <c r="D182" s="176"/>
      <c r="E182" s="176"/>
      <c r="F182" s="176"/>
      <c r="G182" s="176"/>
      <c r="H182" s="499">
        <f>SUM(Tabla132112415[[#This Row],[PRIMER TRIMESTRE]:[CUARTO TRIMESTRE]])</f>
        <v>0</v>
      </c>
      <c r="I182" s="17">
        <v>6490.63</v>
      </c>
      <c r="J182" s="17">
        <f t="shared" si="3"/>
        <v>0</v>
      </c>
      <c r="K182" s="17"/>
      <c r="L182" s="16" t="s">
        <v>27</v>
      </c>
      <c r="M182" s="16" t="s">
        <v>22</v>
      </c>
      <c r="N182" s="39" t="s">
        <v>418</v>
      </c>
    </row>
    <row r="183" spans="1:14" s="12" customFormat="1" ht="18">
      <c r="A183" s="180" t="s">
        <v>62</v>
      </c>
      <c r="B183" s="75" t="s">
        <v>1554</v>
      </c>
      <c r="C183" s="176" t="s">
        <v>17</v>
      </c>
      <c r="D183" s="176">
        <v>1</v>
      </c>
      <c r="E183" s="176"/>
      <c r="F183" s="176"/>
      <c r="G183" s="176"/>
      <c r="H183" s="499">
        <f>SUM(Tabla132112415[[#This Row],[PRIMER TRIMESTRE]:[CUARTO TRIMESTRE]])</f>
        <v>1</v>
      </c>
      <c r="I183" s="17">
        <v>597.1</v>
      </c>
      <c r="J183" s="17">
        <f t="shared" si="3"/>
        <v>597.1</v>
      </c>
      <c r="K183" s="17"/>
      <c r="L183" s="16" t="s">
        <v>27</v>
      </c>
      <c r="M183" s="16" t="s">
        <v>22</v>
      </c>
      <c r="N183" s="39" t="s">
        <v>418</v>
      </c>
    </row>
    <row r="184" spans="1:14" s="12" customFormat="1" ht="18">
      <c r="A184" s="180" t="s">
        <v>62</v>
      </c>
      <c r="B184" s="75" t="s">
        <v>923</v>
      </c>
      <c r="C184" s="176" t="s">
        <v>17</v>
      </c>
      <c r="D184" s="176"/>
      <c r="E184" s="176">
        <v>1</v>
      </c>
      <c r="F184" s="176"/>
      <c r="G184" s="176"/>
      <c r="H184" s="499">
        <f>SUM(Tabla132112415[[#This Row],[PRIMER TRIMESTRE]:[CUARTO TRIMESTRE]])</f>
        <v>1</v>
      </c>
      <c r="I184" s="17">
        <v>5000</v>
      </c>
      <c r="J184" s="17">
        <f t="shared" si="3"/>
        <v>5000</v>
      </c>
      <c r="K184" s="17"/>
      <c r="L184" s="16" t="s">
        <v>27</v>
      </c>
      <c r="M184" s="16" t="s">
        <v>22</v>
      </c>
      <c r="N184" s="39" t="s">
        <v>418</v>
      </c>
    </row>
    <row r="185" spans="1:14" s="12" customFormat="1" ht="18">
      <c r="A185" s="180" t="s">
        <v>62</v>
      </c>
      <c r="B185" s="77" t="s">
        <v>437</v>
      </c>
      <c r="C185" s="177" t="s">
        <v>17</v>
      </c>
      <c r="D185" s="177">
        <v>4</v>
      </c>
      <c r="E185" s="177"/>
      <c r="F185" s="177"/>
      <c r="G185" s="177"/>
      <c r="H185" s="468">
        <f>SUM(Tabla132112415[[#This Row],[PRIMER TRIMESTRE]:[CUARTO TRIMESTRE]])</f>
        <v>4</v>
      </c>
      <c r="I185" s="17">
        <v>125</v>
      </c>
      <c r="J185" s="17">
        <f>+Tabla132112415[[#This Row],[CANTIDAD TOTAL]]*Tabla132112415[[#This Row],[PRECIO UNITARIO ESTIMADO]]</f>
        <v>500</v>
      </c>
      <c r="K185" s="17"/>
      <c r="L185" s="16" t="s">
        <v>27</v>
      </c>
      <c r="M185" s="16" t="s">
        <v>22</v>
      </c>
      <c r="N185" s="39" t="s">
        <v>418</v>
      </c>
    </row>
    <row r="186" spans="1:14" s="12" customFormat="1" ht="18">
      <c r="A186" s="180" t="s">
        <v>62</v>
      </c>
      <c r="B186" s="77" t="s">
        <v>438</v>
      </c>
      <c r="C186" s="177" t="s">
        <v>17</v>
      </c>
      <c r="D186" s="177"/>
      <c r="E186" s="177"/>
      <c r="F186" s="177"/>
      <c r="G186" s="177"/>
      <c r="H186" s="468">
        <f>SUM(Tabla132112415[[#This Row],[PRIMER TRIMESTRE]:[CUARTO TRIMESTRE]])</f>
        <v>0</v>
      </c>
      <c r="I186" s="17">
        <v>80</v>
      </c>
      <c r="J186" s="17">
        <f>+Tabla132112415[[#This Row],[CANTIDAD TOTAL]]*Tabla132112415[[#This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</row>
    <row r="187" spans="1:14" s="12" customFormat="1" ht="18">
      <c r="A187" s="180" t="s">
        <v>62</v>
      </c>
      <c r="B187" s="77" t="s">
        <v>430</v>
      </c>
      <c r="C187" s="177" t="s">
        <v>17</v>
      </c>
      <c r="D187" s="177"/>
      <c r="E187" s="177"/>
      <c r="F187" s="177"/>
      <c r="G187" s="177"/>
      <c r="H187" s="468">
        <f>SUM(Tabla132112415[[#This Row],[PRIMER TRIMESTRE]:[CUARTO TRIMESTRE]])</f>
        <v>0</v>
      </c>
      <c r="I187" s="17">
        <v>46.8</v>
      </c>
      <c r="J187" s="17">
        <f>+Tabla132112415[[#This Row],[CANTIDAD TOTAL]]*Tabla132112415[[#This Row],[PRECIO UNITARIO ESTIMADO]]</f>
        <v>0</v>
      </c>
      <c r="K187" s="17"/>
      <c r="L187" s="16" t="s">
        <v>27</v>
      </c>
      <c r="M187" s="16" t="s">
        <v>22</v>
      </c>
      <c r="N187" s="39" t="s">
        <v>418</v>
      </c>
    </row>
    <row r="188" spans="1:14" s="12" customFormat="1" ht="18">
      <c r="A188" s="180" t="s">
        <v>62</v>
      </c>
      <c r="B188" s="77" t="s">
        <v>139</v>
      </c>
      <c r="C188" s="177" t="s">
        <v>17</v>
      </c>
      <c r="D188" s="177">
        <v>2</v>
      </c>
      <c r="E188" s="177"/>
      <c r="F188" s="177"/>
      <c r="G188" s="177"/>
      <c r="H188" s="468">
        <f>SUM(Tabla132112415[[#This Row],[PRIMER TRIMESTRE]:[CUARTO TRIMESTRE]])</f>
        <v>2</v>
      </c>
      <c r="I188" s="17">
        <v>180</v>
      </c>
      <c r="J188" s="17">
        <f>+Tabla132112415[[#This Row],[CANTIDAD TOTAL]]*Tabla132112415[[#This Row],[PRECIO UNITARIO ESTIMADO]]</f>
        <v>360</v>
      </c>
      <c r="K188" s="17"/>
      <c r="L188" s="16" t="s">
        <v>27</v>
      </c>
      <c r="M188" s="16" t="s">
        <v>22</v>
      </c>
      <c r="N188" s="39" t="s">
        <v>418</v>
      </c>
    </row>
    <row r="189" spans="1:14" s="12" customFormat="1" ht="18">
      <c r="A189" s="180" t="s">
        <v>62</v>
      </c>
      <c r="B189" s="75" t="s">
        <v>1170</v>
      </c>
      <c r="C189" s="176" t="s">
        <v>1162</v>
      </c>
      <c r="D189" s="176"/>
      <c r="E189" s="176"/>
      <c r="F189" s="176"/>
      <c r="G189" s="176"/>
      <c r="H189" s="499">
        <f>SUM(Tabla132112415[[#This Row],[PRIMER TRIMESTRE]:[CUARTO TRIMESTRE]])</f>
        <v>0</v>
      </c>
      <c r="I189" s="17">
        <v>11000</v>
      </c>
      <c r="J189" s="17">
        <f>+H189*I189</f>
        <v>0</v>
      </c>
      <c r="K189" s="17"/>
      <c r="L189" s="16" t="s">
        <v>27</v>
      </c>
      <c r="M189" s="16" t="s">
        <v>22</v>
      </c>
      <c r="N189" s="39" t="s">
        <v>418</v>
      </c>
    </row>
    <row r="190" spans="1:14" s="169" customFormat="1" ht="18">
      <c r="A190" s="180" t="s">
        <v>62</v>
      </c>
      <c r="B190" s="75" t="s">
        <v>1171</v>
      </c>
      <c r="C190" s="176" t="s">
        <v>1162</v>
      </c>
      <c r="D190" s="176"/>
      <c r="E190" s="176"/>
      <c r="F190" s="176"/>
      <c r="G190" s="176"/>
      <c r="H190" s="499">
        <f>SUM(Tabla132112415[[#This Row],[PRIMER TRIMESTRE]:[CUARTO TRIMESTRE]])</f>
        <v>0</v>
      </c>
      <c r="I190" s="17">
        <v>11000</v>
      </c>
      <c r="J190" s="17">
        <f>+H190*I190</f>
        <v>0</v>
      </c>
      <c r="K190" s="17"/>
      <c r="L190" s="16" t="s">
        <v>27</v>
      </c>
      <c r="M190" s="16" t="s">
        <v>22</v>
      </c>
      <c r="N190" s="39" t="s">
        <v>418</v>
      </c>
    </row>
    <row r="191" spans="1:14" s="169" customFormat="1" ht="18">
      <c r="A191" s="180" t="s">
        <v>62</v>
      </c>
      <c r="B191" s="75" t="s">
        <v>1344</v>
      </c>
      <c r="C191" s="177" t="s">
        <v>17</v>
      </c>
      <c r="D191" s="176">
        <v>10</v>
      </c>
      <c r="E191" s="176"/>
      <c r="F191" s="176"/>
      <c r="G191" s="176"/>
      <c r="H191" s="499">
        <f>SUM(Tabla132112415[[#This Row],[PRIMER TRIMESTRE]:[CUARTO TRIMESTRE]])</f>
        <v>10</v>
      </c>
      <c r="I191" s="17">
        <v>29.5</v>
      </c>
      <c r="J191" s="17">
        <f>+H191*I191</f>
        <v>295</v>
      </c>
      <c r="K191" s="17"/>
      <c r="L191" s="16" t="s">
        <v>27</v>
      </c>
      <c r="M191" s="16" t="s">
        <v>22</v>
      </c>
      <c r="N191" s="39" t="s">
        <v>418</v>
      </c>
    </row>
    <row r="192" spans="1:14" s="12" customFormat="1" ht="18">
      <c r="A192" s="180" t="s">
        <v>62</v>
      </c>
      <c r="B192" s="75" t="s">
        <v>1710</v>
      </c>
      <c r="C192" s="177" t="s">
        <v>17</v>
      </c>
      <c r="D192" s="176">
        <v>10</v>
      </c>
      <c r="E192" s="176"/>
      <c r="F192" s="176"/>
      <c r="G192" s="176"/>
      <c r="H192" s="499">
        <v>0</v>
      </c>
      <c r="I192" s="17">
        <v>0</v>
      </c>
      <c r="J192" s="17">
        <v>0</v>
      </c>
      <c r="K192" s="17"/>
      <c r="L192" s="16" t="s">
        <v>27</v>
      </c>
      <c r="M192" s="16" t="s">
        <v>22</v>
      </c>
      <c r="N192" s="70" t="s">
        <v>418</v>
      </c>
    </row>
    <row r="193" spans="1:14" s="12" customFormat="1" ht="18">
      <c r="A193" s="180" t="s">
        <v>62</v>
      </c>
      <c r="B193" s="77" t="s">
        <v>107</v>
      </c>
      <c r="C193" s="177" t="s">
        <v>17</v>
      </c>
      <c r="D193" s="177">
        <v>22</v>
      </c>
      <c r="E193" s="177"/>
      <c r="F193" s="177">
        <v>18</v>
      </c>
      <c r="G193" s="177"/>
      <c r="H193" s="468">
        <f>SUM(Tabla132112415[[#This Row],[PRIMER TRIMESTRE]:[CUARTO TRIMESTRE]])</f>
        <v>40</v>
      </c>
      <c r="I193" s="72">
        <v>86.24</v>
      </c>
      <c r="J193" s="72">
        <f>+Tabla132112415[[#This Row],[CANTIDAD TOTAL]]*Tabla132112415[[#This Row],[PRECIO UNITARIO ESTIMADO]]</f>
        <v>3449.6</v>
      </c>
      <c r="K193" s="72"/>
      <c r="L193" s="16" t="s">
        <v>27</v>
      </c>
      <c r="M193" s="16" t="s">
        <v>22</v>
      </c>
      <c r="N193" s="70" t="s">
        <v>418</v>
      </c>
    </row>
    <row r="194" spans="1:14" s="12" customFormat="1" ht="18">
      <c r="A194" s="180" t="s">
        <v>62</v>
      </c>
      <c r="B194" s="77" t="s">
        <v>598</v>
      </c>
      <c r="C194" s="177" t="s">
        <v>17</v>
      </c>
      <c r="D194" s="177">
        <v>12</v>
      </c>
      <c r="E194" s="177">
        <v>1</v>
      </c>
      <c r="F194" s="177">
        <v>12</v>
      </c>
      <c r="G194" s="177"/>
      <c r="H194" s="468">
        <f>SUM(Tabla132112415[[#This Row],[PRIMER TRIMESTRE]:[CUARTO TRIMESTRE]])</f>
        <v>25</v>
      </c>
      <c r="I194" s="17">
        <v>153.05000000000001</v>
      </c>
      <c r="J194" s="17">
        <f>+Tabla132112415[[#This Row],[CANTIDAD TOTAL]]*Tabla132112415[[#This Row],[PRECIO UNITARIO ESTIMADO]]</f>
        <v>3826.2500000000005</v>
      </c>
      <c r="K194" s="17"/>
      <c r="L194" s="16" t="s">
        <v>27</v>
      </c>
      <c r="M194" s="16" t="s">
        <v>22</v>
      </c>
      <c r="N194" s="39" t="s">
        <v>418</v>
      </c>
    </row>
    <row r="195" spans="1:14" s="12" customFormat="1" ht="18">
      <c r="A195" s="180" t="s">
        <v>62</v>
      </c>
      <c r="B195" s="77" t="s">
        <v>599</v>
      </c>
      <c r="C195" s="177" t="s">
        <v>17</v>
      </c>
      <c r="D195" s="177">
        <v>12</v>
      </c>
      <c r="E195" s="177">
        <v>1</v>
      </c>
      <c r="F195" s="177">
        <v>12</v>
      </c>
      <c r="G195" s="177"/>
      <c r="H195" s="468">
        <f>SUM(Tabla132112415[[#This Row],[PRIMER TRIMESTRE]:[CUARTO TRIMESTRE]])</f>
        <v>25</v>
      </c>
      <c r="I195" s="17">
        <v>72.88</v>
      </c>
      <c r="J195" s="17">
        <f>+H195*I195</f>
        <v>1822</v>
      </c>
      <c r="K195" s="17"/>
      <c r="L195" s="16" t="s">
        <v>27</v>
      </c>
      <c r="M195" s="16" t="s">
        <v>22</v>
      </c>
      <c r="N195" s="39" t="s">
        <v>418</v>
      </c>
    </row>
    <row r="196" spans="1:14" s="12" customFormat="1" ht="18">
      <c r="A196" s="180" t="s">
        <v>62</v>
      </c>
      <c r="B196" s="77" t="s">
        <v>600</v>
      </c>
      <c r="C196" s="177" t="s">
        <v>17</v>
      </c>
      <c r="D196" s="177">
        <v>12</v>
      </c>
      <c r="E196" s="177">
        <v>1</v>
      </c>
      <c r="F196" s="177">
        <v>12</v>
      </c>
      <c r="G196" s="177"/>
      <c r="H196" s="468">
        <f>SUM(Tabla132112415[[#This Row],[PRIMER TRIMESTRE]:[CUARTO TRIMESTRE]])</f>
        <v>25</v>
      </c>
      <c r="I196" s="17">
        <v>86</v>
      </c>
      <c r="J196" s="17">
        <f>+Tabla132112415[[#This Row],[CANTIDAD TOTAL]]*Tabla132112415[[#This Row],[PRECIO UNITARIO ESTIMADO]]</f>
        <v>2150</v>
      </c>
      <c r="K196" s="17"/>
      <c r="L196" s="16" t="s">
        <v>27</v>
      </c>
      <c r="M196" s="16" t="s">
        <v>22</v>
      </c>
      <c r="N196" s="39" t="s">
        <v>418</v>
      </c>
    </row>
    <row r="197" spans="1:14" s="12" customFormat="1" ht="18">
      <c r="A197" s="180" t="s">
        <v>62</v>
      </c>
      <c r="B197" s="77" t="s">
        <v>601</v>
      </c>
      <c r="C197" s="177" t="s">
        <v>17</v>
      </c>
      <c r="D197" s="177"/>
      <c r="E197" s="177">
        <v>1</v>
      </c>
      <c r="F197" s="177"/>
      <c r="G197" s="177"/>
      <c r="H197" s="468">
        <f>SUM(Tabla132112415[[#This Row],[PRIMER TRIMESTRE]:[CUARTO TRIMESTRE]])</f>
        <v>1</v>
      </c>
      <c r="I197" s="17">
        <v>158.88</v>
      </c>
      <c r="J197" s="17">
        <f>+H197*I197</f>
        <v>158.88</v>
      </c>
      <c r="K197" s="17"/>
      <c r="L197" s="16" t="s">
        <v>27</v>
      </c>
      <c r="M197" s="16" t="s">
        <v>22</v>
      </c>
      <c r="N197" s="39" t="s">
        <v>418</v>
      </c>
    </row>
    <row r="198" spans="1:14" s="12" customFormat="1" ht="18">
      <c r="A198" s="180" t="s">
        <v>62</v>
      </c>
      <c r="B198" s="75" t="s">
        <v>1160</v>
      </c>
      <c r="C198" s="176" t="s">
        <v>1162</v>
      </c>
      <c r="D198" s="176"/>
      <c r="E198" s="176">
        <v>1</v>
      </c>
      <c r="F198" s="176"/>
      <c r="G198" s="176"/>
      <c r="H198" s="499">
        <f>SUM(Tabla132112415[[#This Row],[PRIMER TRIMESTRE]:[CUARTO TRIMESTRE]])</f>
        <v>1</v>
      </c>
      <c r="I198" s="17">
        <v>2000</v>
      </c>
      <c r="J198" s="17">
        <f>+H198*I198</f>
        <v>2000</v>
      </c>
      <c r="K198" s="17"/>
      <c r="L198" s="16" t="s">
        <v>27</v>
      </c>
      <c r="M198" s="16" t="s">
        <v>22</v>
      </c>
      <c r="N198" s="39" t="s">
        <v>418</v>
      </c>
    </row>
    <row r="199" spans="1:14" s="12" customFormat="1" ht="18">
      <c r="A199" s="180" t="s">
        <v>62</v>
      </c>
      <c r="B199" s="75" t="s">
        <v>1161</v>
      </c>
      <c r="C199" s="176" t="s">
        <v>1162</v>
      </c>
      <c r="D199" s="176"/>
      <c r="E199" s="176">
        <v>1</v>
      </c>
      <c r="F199" s="176"/>
      <c r="G199" s="176"/>
      <c r="H199" s="499">
        <f>SUM(Tabla132112415[[#This Row],[PRIMER TRIMESTRE]:[CUARTO TRIMESTRE]])</f>
        <v>1</v>
      </c>
      <c r="I199" s="17">
        <v>2000</v>
      </c>
      <c r="J199" s="17">
        <f>+H199*I199</f>
        <v>2000</v>
      </c>
      <c r="K199" s="17"/>
      <c r="L199" s="16" t="s">
        <v>27</v>
      </c>
      <c r="M199" s="16" t="s">
        <v>22</v>
      </c>
      <c r="N199" s="39" t="s">
        <v>418</v>
      </c>
    </row>
    <row r="200" spans="1:14" s="12" customFormat="1" ht="18">
      <c r="A200" s="180" t="s">
        <v>62</v>
      </c>
      <c r="B200" s="75" t="s">
        <v>1849</v>
      </c>
      <c r="C200" s="176" t="s">
        <v>17</v>
      </c>
      <c r="D200" s="176"/>
      <c r="E200" s="176">
        <v>1</v>
      </c>
      <c r="F200" s="176"/>
      <c r="G200" s="176"/>
      <c r="H200" s="499">
        <v>0</v>
      </c>
      <c r="I200" s="17">
        <v>0</v>
      </c>
      <c r="J200" s="17">
        <v>0</v>
      </c>
      <c r="K200" s="17"/>
      <c r="L200" s="16" t="s">
        <v>27</v>
      </c>
      <c r="M200" s="16" t="s">
        <v>22</v>
      </c>
      <c r="N200" s="39" t="s">
        <v>418</v>
      </c>
    </row>
    <row r="201" spans="1:14" s="12" customFormat="1" ht="18">
      <c r="A201" s="180" t="s">
        <v>62</v>
      </c>
      <c r="B201" s="77" t="s">
        <v>1705</v>
      </c>
      <c r="C201" s="177" t="s">
        <v>17</v>
      </c>
      <c r="D201" s="176"/>
      <c r="E201" s="176">
        <v>1</v>
      </c>
      <c r="F201" s="176"/>
      <c r="G201" s="176"/>
      <c r="H201" s="499">
        <v>0</v>
      </c>
      <c r="I201" s="17">
        <v>0</v>
      </c>
      <c r="J201" s="17">
        <v>0</v>
      </c>
      <c r="K201" s="17"/>
      <c r="L201" s="16" t="s">
        <v>27</v>
      </c>
      <c r="M201" s="16" t="s">
        <v>22</v>
      </c>
      <c r="N201" s="39" t="s">
        <v>418</v>
      </c>
    </row>
    <row r="202" spans="1:14" s="12" customFormat="1" ht="18">
      <c r="A202" s="180" t="s">
        <v>62</v>
      </c>
      <c r="B202" s="77" t="s">
        <v>144</v>
      </c>
      <c r="C202" s="177" t="s">
        <v>17</v>
      </c>
      <c r="D202" s="177">
        <v>4</v>
      </c>
      <c r="E202" s="177"/>
      <c r="F202" s="177"/>
      <c r="G202" s="177"/>
      <c r="H202" s="468">
        <f>SUM(Tabla132112415[[#This Row],[PRIMER TRIMESTRE]:[CUARTO TRIMESTRE]])</f>
        <v>4</v>
      </c>
      <c r="I202" s="17">
        <v>62.87</v>
      </c>
      <c r="J202" s="17">
        <f>+Tabla132112415[[#This Row],[CANTIDAD TOTAL]]*Tabla132112415[[#This Row],[PRECIO UNITARIO ESTIMADO]]</f>
        <v>251.48</v>
      </c>
      <c r="K202" s="17"/>
      <c r="L202" s="16" t="s">
        <v>27</v>
      </c>
      <c r="M202" s="16" t="s">
        <v>22</v>
      </c>
      <c r="N202" s="39" t="s">
        <v>418</v>
      </c>
    </row>
    <row r="203" spans="1:14" s="12" customFormat="1" ht="18">
      <c r="A203" s="180" t="s">
        <v>62</v>
      </c>
      <c r="B203" s="77" t="s">
        <v>1707</v>
      </c>
      <c r="C203" s="177" t="s">
        <v>17</v>
      </c>
      <c r="D203" s="177">
        <v>2</v>
      </c>
      <c r="E203" s="177"/>
      <c r="F203" s="177">
        <v>2</v>
      </c>
      <c r="G203" s="177"/>
      <c r="H203" s="468">
        <v>0</v>
      </c>
      <c r="I203" s="17">
        <v>0</v>
      </c>
      <c r="J203" s="17">
        <v>0</v>
      </c>
      <c r="K203" s="17"/>
      <c r="L203" s="16" t="s">
        <v>27</v>
      </c>
      <c r="M203" s="16" t="s">
        <v>22</v>
      </c>
      <c r="N203" s="39" t="s">
        <v>418</v>
      </c>
    </row>
    <row r="204" spans="1:14" s="12" customFormat="1" ht="18">
      <c r="A204" s="180" t="s">
        <v>62</v>
      </c>
      <c r="B204" s="77" t="s">
        <v>1708</v>
      </c>
      <c r="C204" s="177" t="s">
        <v>17</v>
      </c>
      <c r="D204" s="177">
        <v>20</v>
      </c>
      <c r="E204" s="177"/>
      <c r="F204" s="177"/>
      <c r="G204" s="177"/>
      <c r="H204" s="468">
        <v>0</v>
      </c>
      <c r="I204" s="17">
        <v>0</v>
      </c>
      <c r="J204" s="17">
        <v>0</v>
      </c>
      <c r="K204" s="17"/>
      <c r="L204" s="16" t="s">
        <v>27</v>
      </c>
      <c r="M204" s="16" t="s">
        <v>22</v>
      </c>
      <c r="N204" s="39" t="s">
        <v>418</v>
      </c>
    </row>
    <row r="205" spans="1:14" s="12" customFormat="1" ht="18">
      <c r="A205" s="180" t="s">
        <v>62</v>
      </c>
      <c r="B205" s="75" t="s">
        <v>1172</v>
      </c>
      <c r="C205" s="176" t="s">
        <v>1162</v>
      </c>
      <c r="D205" s="176"/>
      <c r="E205" s="176"/>
      <c r="F205" s="176"/>
      <c r="G205" s="176"/>
      <c r="H205" s="499">
        <f>SUM(Tabla132112415[[#This Row],[PRIMER TRIMESTRE]:[CUARTO TRIMESTRE]])</f>
        <v>0</v>
      </c>
      <c r="I205" s="17">
        <v>7800</v>
      </c>
      <c r="J205" s="17">
        <f t="shared" ref="J205:J214" si="4">+H205*I205</f>
        <v>0</v>
      </c>
      <c r="K205" s="17"/>
      <c r="L205" s="16" t="s">
        <v>27</v>
      </c>
      <c r="M205" s="16" t="s">
        <v>22</v>
      </c>
      <c r="N205" s="39" t="s">
        <v>418</v>
      </c>
    </row>
    <row r="206" spans="1:14" s="12" customFormat="1" ht="18">
      <c r="A206" s="180" t="s">
        <v>62</v>
      </c>
      <c r="B206" s="75" t="s">
        <v>1173</v>
      </c>
      <c r="C206" s="176" t="s">
        <v>1162</v>
      </c>
      <c r="D206" s="176"/>
      <c r="E206" s="176"/>
      <c r="F206" s="176"/>
      <c r="G206" s="176"/>
      <c r="H206" s="499">
        <f>SUM(Tabla132112415[[#This Row],[PRIMER TRIMESTRE]:[CUARTO TRIMESTRE]])</f>
        <v>0</v>
      </c>
      <c r="I206" s="17">
        <v>7800</v>
      </c>
      <c r="J206" s="17">
        <f t="shared" si="4"/>
        <v>0</v>
      </c>
      <c r="K206" s="17"/>
      <c r="L206" s="16" t="s">
        <v>27</v>
      </c>
      <c r="M206" s="16" t="s">
        <v>22</v>
      </c>
      <c r="N206" s="39" t="s">
        <v>418</v>
      </c>
    </row>
    <row r="207" spans="1:14" s="12" customFormat="1" ht="18">
      <c r="A207" s="180" t="s">
        <v>62</v>
      </c>
      <c r="B207" s="75" t="s">
        <v>1174</v>
      </c>
      <c r="C207" s="176" t="s">
        <v>17</v>
      </c>
      <c r="D207" s="176"/>
      <c r="E207" s="176"/>
      <c r="F207" s="176"/>
      <c r="G207" s="176"/>
      <c r="H207" s="499">
        <f>SUM(Tabla132112415[[#This Row],[PRIMER TRIMESTRE]:[CUARTO TRIMESTRE]])</f>
        <v>0</v>
      </c>
      <c r="I207" s="17">
        <v>5500</v>
      </c>
      <c r="J207" s="17">
        <f t="shared" si="4"/>
        <v>0</v>
      </c>
      <c r="K207" s="17"/>
      <c r="L207" s="16" t="s">
        <v>27</v>
      </c>
      <c r="M207" s="16" t="s">
        <v>22</v>
      </c>
      <c r="N207" s="39" t="s">
        <v>418</v>
      </c>
    </row>
    <row r="208" spans="1:14" s="12" customFormat="1" ht="18">
      <c r="A208" s="180" t="s">
        <v>62</v>
      </c>
      <c r="B208" s="75" t="s">
        <v>1175</v>
      </c>
      <c r="C208" s="176" t="s">
        <v>17</v>
      </c>
      <c r="D208" s="176"/>
      <c r="E208" s="176"/>
      <c r="F208" s="176"/>
      <c r="G208" s="176"/>
      <c r="H208" s="499">
        <f>SUM(Tabla132112415[[#This Row],[PRIMER TRIMESTRE]:[CUARTO TRIMESTRE]])</f>
        <v>0</v>
      </c>
      <c r="I208" s="17">
        <v>7000</v>
      </c>
      <c r="J208" s="17">
        <f t="shared" si="4"/>
        <v>0</v>
      </c>
      <c r="K208" s="17"/>
      <c r="L208" s="16" t="s">
        <v>27</v>
      </c>
      <c r="M208" s="16" t="s">
        <v>22</v>
      </c>
      <c r="N208" s="39" t="s">
        <v>418</v>
      </c>
    </row>
    <row r="209" spans="1:14" s="12" customFormat="1" ht="18">
      <c r="A209" s="180" t="s">
        <v>62</v>
      </c>
      <c r="B209" s="75" t="s">
        <v>1176</v>
      </c>
      <c r="C209" s="176" t="s">
        <v>17</v>
      </c>
      <c r="D209" s="176"/>
      <c r="E209" s="176"/>
      <c r="F209" s="176"/>
      <c r="G209" s="176"/>
      <c r="H209" s="499">
        <f>SUM(Tabla132112415[[#This Row],[PRIMER TRIMESTRE]:[CUARTO TRIMESTRE]])</f>
        <v>0</v>
      </c>
      <c r="I209" s="17">
        <v>9000</v>
      </c>
      <c r="J209" s="17">
        <f t="shared" si="4"/>
        <v>0</v>
      </c>
      <c r="K209" s="17"/>
      <c r="L209" s="16" t="s">
        <v>27</v>
      </c>
      <c r="M209" s="16" t="s">
        <v>22</v>
      </c>
      <c r="N209" s="39" t="s">
        <v>418</v>
      </c>
    </row>
    <row r="210" spans="1:14" s="12" customFormat="1" ht="18">
      <c r="A210" s="180" t="s">
        <v>62</v>
      </c>
      <c r="B210" s="75" t="s">
        <v>1177</v>
      </c>
      <c r="C210" s="176" t="s">
        <v>17</v>
      </c>
      <c r="D210" s="176"/>
      <c r="E210" s="176"/>
      <c r="F210" s="176"/>
      <c r="G210" s="176"/>
      <c r="H210" s="499">
        <f>SUM(Tabla132112415[[#This Row],[PRIMER TRIMESTRE]:[CUARTO TRIMESTRE]])</f>
        <v>0</v>
      </c>
      <c r="I210" s="17">
        <v>11600</v>
      </c>
      <c r="J210" s="17">
        <f t="shared" si="4"/>
        <v>0</v>
      </c>
      <c r="K210" s="17"/>
      <c r="L210" s="16" t="s">
        <v>27</v>
      </c>
      <c r="M210" s="16" t="s">
        <v>22</v>
      </c>
      <c r="N210" s="39" t="s">
        <v>418</v>
      </c>
    </row>
    <row r="211" spans="1:14" s="12" customFormat="1" ht="18">
      <c r="A211" s="180" t="s">
        <v>62</v>
      </c>
      <c r="B211" s="75" t="s">
        <v>1178</v>
      </c>
      <c r="C211" s="176" t="s">
        <v>17</v>
      </c>
      <c r="D211" s="176"/>
      <c r="E211" s="176"/>
      <c r="F211" s="176"/>
      <c r="G211" s="176"/>
      <c r="H211" s="499">
        <f>SUM(Tabla132112415[[#This Row],[PRIMER TRIMESTRE]:[CUARTO TRIMESTRE]])</f>
        <v>0</v>
      </c>
      <c r="I211" s="17">
        <v>11600</v>
      </c>
      <c r="J211" s="17">
        <f t="shared" si="4"/>
        <v>0</v>
      </c>
      <c r="K211" s="17"/>
      <c r="L211" s="16" t="s">
        <v>27</v>
      </c>
      <c r="M211" s="16" t="s">
        <v>22</v>
      </c>
      <c r="N211" s="39" t="s">
        <v>418</v>
      </c>
    </row>
    <row r="212" spans="1:14" s="12" customFormat="1" ht="18">
      <c r="A212" s="180" t="s">
        <v>62</v>
      </c>
      <c r="B212" s="75" t="s">
        <v>1163</v>
      </c>
      <c r="C212" s="176" t="s">
        <v>17</v>
      </c>
      <c r="D212" s="176"/>
      <c r="E212" s="176"/>
      <c r="F212" s="176"/>
      <c r="G212" s="176"/>
      <c r="H212" s="499">
        <f>SUM(Tabla132112415[[#This Row],[PRIMER TRIMESTRE]:[CUARTO TRIMESTRE]])</f>
        <v>0</v>
      </c>
      <c r="I212" s="17">
        <v>400</v>
      </c>
      <c r="J212" s="17">
        <f t="shared" si="4"/>
        <v>0</v>
      </c>
      <c r="K212" s="17"/>
      <c r="L212" s="16" t="s">
        <v>27</v>
      </c>
      <c r="M212" s="16" t="s">
        <v>22</v>
      </c>
      <c r="N212" s="39" t="s">
        <v>418</v>
      </c>
    </row>
    <row r="213" spans="1:14" s="12" customFormat="1" ht="18">
      <c r="A213" s="180" t="s">
        <v>62</v>
      </c>
      <c r="B213" s="75" t="s">
        <v>1164</v>
      </c>
      <c r="C213" s="176" t="s">
        <v>17</v>
      </c>
      <c r="D213" s="176"/>
      <c r="E213" s="176"/>
      <c r="F213" s="176"/>
      <c r="G213" s="176"/>
      <c r="H213" s="499">
        <f>SUM(Tabla132112415[[#This Row],[PRIMER TRIMESTRE]:[CUARTO TRIMESTRE]])</f>
        <v>0</v>
      </c>
      <c r="I213" s="17">
        <v>650</v>
      </c>
      <c r="J213" s="17">
        <f t="shared" si="4"/>
        <v>0</v>
      </c>
      <c r="K213" s="17"/>
      <c r="L213" s="16" t="s">
        <v>27</v>
      </c>
      <c r="M213" s="16" t="s">
        <v>22</v>
      </c>
      <c r="N213" s="39" t="s">
        <v>418</v>
      </c>
    </row>
    <row r="214" spans="1:14" s="12" customFormat="1" ht="18">
      <c r="A214" s="180" t="s">
        <v>62</v>
      </c>
      <c r="B214" s="75" t="s">
        <v>1165</v>
      </c>
      <c r="C214" s="176" t="s">
        <v>17</v>
      </c>
      <c r="D214" s="176">
        <v>12</v>
      </c>
      <c r="E214" s="176"/>
      <c r="F214" s="176"/>
      <c r="G214" s="176"/>
      <c r="H214" s="499">
        <f>SUM(Tabla132112415[[#This Row],[PRIMER TRIMESTRE]:[CUARTO TRIMESTRE]])</f>
        <v>12</v>
      </c>
      <c r="I214" s="17">
        <v>1300</v>
      </c>
      <c r="J214" s="17">
        <f t="shared" si="4"/>
        <v>15600</v>
      </c>
      <c r="K214" s="17"/>
      <c r="L214" s="16" t="s">
        <v>27</v>
      </c>
      <c r="M214" s="16" t="s">
        <v>22</v>
      </c>
      <c r="N214" s="39" t="s">
        <v>418</v>
      </c>
    </row>
    <row r="215" spans="1:14" s="12" customFormat="1" ht="18">
      <c r="A215" s="180" t="s">
        <v>62</v>
      </c>
      <c r="B215" s="77" t="s">
        <v>158</v>
      </c>
      <c r="C215" s="177" t="s">
        <v>17</v>
      </c>
      <c r="D215" s="177"/>
      <c r="E215" s="177"/>
      <c r="F215" s="177"/>
      <c r="G215" s="177"/>
      <c r="H215" s="468">
        <f>SUM(Tabla132112415[[#This Row],[PRIMER TRIMESTRE]:[CUARTO TRIMESTRE]])</f>
        <v>0</v>
      </c>
      <c r="I215" s="17">
        <v>1120</v>
      </c>
      <c r="J215" s="17">
        <f>+Tabla132112415[[#This Row],[CANTIDAD TOTAL]]*Tabla132112415[[#This Row],[PRECIO UNITARIO ESTIMADO]]</f>
        <v>0</v>
      </c>
      <c r="K215" s="17"/>
      <c r="L215" s="16" t="s">
        <v>27</v>
      </c>
      <c r="M215" s="16" t="s">
        <v>22</v>
      </c>
      <c r="N215" s="39" t="s">
        <v>418</v>
      </c>
    </row>
    <row r="216" spans="1:14" s="12" customFormat="1" ht="18">
      <c r="A216" s="180" t="s">
        <v>62</v>
      </c>
      <c r="B216" s="77" t="s">
        <v>1287</v>
      </c>
      <c r="C216" s="177" t="s">
        <v>17</v>
      </c>
      <c r="D216" s="177"/>
      <c r="E216" s="177"/>
      <c r="F216" s="177"/>
      <c r="G216" s="177"/>
      <c r="H216" s="468">
        <f>SUM(Tabla132112415[[#This Row],[PRIMER TRIMESTRE]:[CUARTO TRIMESTRE]])</f>
        <v>0</v>
      </c>
      <c r="I216" s="17">
        <v>2700</v>
      </c>
      <c r="J216" s="17">
        <f>+H216*I216</f>
        <v>0</v>
      </c>
      <c r="K216" s="17"/>
      <c r="L216" s="16" t="s">
        <v>27</v>
      </c>
      <c r="M216" s="16" t="s">
        <v>22</v>
      </c>
      <c r="N216" s="39" t="s">
        <v>418</v>
      </c>
    </row>
    <row r="217" spans="1:14" s="12" customFormat="1" ht="18">
      <c r="A217" s="180" t="s">
        <v>62</v>
      </c>
      <c r="B217" s="77" t="s">
        <v>160</v>
      </c>
      <c r="C217" s="177" t="s">
        <v>17</v>
      </c>
      <c r="D217" s="177">
        <v>12</v>
      </c>
      <c r="E217" s="177"/>
      <c r="F217" s="177"/>
      <c r="G217" s="177"/>
      <c r="H217" s="468">
        <f>SUM(Tabla132112415[[#This Row],[PRIMER TRIMESTRE]:[CUARTO TRIMESTRE]])</f>
        <v>12</v>
      </c>
      <c r="I217" s="17">
        <v>1908</v>
      </c>
      <c r="J217" s="17">
        <f>+Tabla132112415[[#This Row],[CANTIDAD TOTAL]]*Tabla132112415[[#This Row],[PRECIO UNITARIO ESTIMADO]]</f>
        <v>22896</v>
      </c>
      <c r="K217" s="17"/>
      <c r="L217" s="16" t="s">
        <v>27</v>
      </c>
      <c r="M217" s="16" t="s">
        <v>22</v>
      </c>
      <c r="N217" s="39" t="s">
        <v>418</v>
      </c>
    </row>
    <row r="218" spans="1:14" s="12" customFormat="1" ht="18">
      <c r="A218" s="180" t="s">
        <v>62</v>
      </c>
      <c r="B218" s="77" t="s">
        <v>1545</v>
      </c>
      <c r="C218" s="177" t="s">
        <v>17</v>
      </c>
      <c r="D218" s="177"/>
      <c r="E218" s="177"/>
      <c r="F218" s="177"/>
      <c r="G218" s="177"/>
      <c r="H218" s="468">
        <f>SUM(Tabla132112415[[#This Row],[PRIMER TRIMESTRE]:[CUARTO TRIMESTRE]])</f>
        <v>0</v>
      </c>
      <c r="I218" s="17">
        <v>506.75</v>
      </c>
      <c r="J218" s="17">
        <f>+H218*I218</f>
        <v>0</v>
      </c>
      <c r="K218" s="17"/>
      <c r="L218" s="16" t="s">
        <v>27</v>
      </c>
      <c r="M218" s="16" t="s">
        <v>22</v>
      </c>
      <c r="N218" s="39" t="s">
        <v>418</v>
      </c>
    </row>
    <row r="219" spans="1:14" s="12" customFormat="1" ht="18">
      <c r="A219" s="180" t="s">
        <v>62</v>
      </c>
      <c r="B219" s="77" t="s">
        <v>162</v>
      </c>
      <c r="C219" s="177" t="s">
        <v>17</v>
      </c>
      <c r="D219" s="177"/>
      <c r="E219" s="177"/>
      <c r="F219" s="177"/>
      <c r="G219" s="177"/>
      <c r="H219" s="468">
        <f>SUM(Tabla132112415[[#This Row],[PRIMER TRIMESTRE]:[CUARTO TRIMESTRE]])</f>
        <v>0</v>
      </c>
      <c r="I219" s="17">
        <v>29</v>
      </c>
      <c r="J219" s="17">
        <f>+Tabla132112415[[#This Row],[CANTIDAD TOTAL]]*Tabla132112415[[#This Row],[PRECIO UNITARIO ESTIMADO]]</f>
        <v>0</v>
      </c>
      <c r="K219" s="17"/>
      <c r="L219" s="16" t="s">
        <v>27</v>
      </c>
      <c r="M219" s="16" t="s">
        <v>22</v>
      </c>
      <c r="N219" s="39" t="s">
        <v>418</v>
      </c>
    </row>
    <row r="220" spans="1:14" s="12" customFormat="1" ht="18">
      <c r="A220" s="180" t="s">
        <v>62</v>
      </c>
      <c r="B220" s="77" t="s">
        <v>368</v>
      </c>
      <c r="C220" s="177" t="s">
        <v>17</v>
      </c>
      <c r="D220" s="177"/>
      <c r="E220" s="177"/>
      <c r="F220" s="177"/>
      <c r="G220" s="177"/>
      <c r="H220" s="468">
        <f>SUM(Tabla132112415[[#This Row],[PRIMER TRIMESTRE]:[CUARTO TRIMESTRE]])</f>
        <v>0</v>
      </c>
      <c r="I220" s="17">
        <v>75.400000000000006</v>
      </c>
      <c r="J220" s="17">
        <f>+H220*I220</f>
        <v>0</v>
      </c>
      <c r="K220" s="17"/>
      <c r="L220" s="16" t="s">
        <v>27</v>
      </c>
      <c r="M220" s="16" t="s">
        <v>22</v>
      </c>
      <c r="N220" s="39" t="s">
        <v>418</v>
      </c>
    </row>
    <row r="221" spans="1:14" s="12" customFormat="1" ht="18">
      <c r="A221" s="180" t="s">
        <v>62</v>
      </c>
      <c r="B221" s="77" t="s">
        <v>602</v>
      </c>
      <c r="C221" s="177" t="s">
        <v>17</v>
      </c>
      <c r="D221" s="177"/>
      <c r="E221" s="177"/>
      <c r="F221" s="177"/>
      <c r="G221" s="177"/>
      <c r="H221" s="468">
        <f>SUM(Tabla132112415[[#This Row],[PRIMER TRIMESTRE]:[CUARTO TRIMESTRE]])</f>
        <v>0</v>
      </c>
      <c r="I221" s="17">
        <v>90</v>
      </c>
      <c r="J221" s="17">
        <f>+H221*I221</f>
        <v>0</v>
      </c>
      <c r="K221" s="17"/>
      <c r="L221" s="16" t="s">
        <v>27</v>
      </c>
      <c r="M221" s="16" t="s">
        <v>22</v>
      </c>
      <c r="N221" s="39" t="s">
        <v>418</v>
      </c>
    </row>
    <row r="222" spans="1:14" s="12" customFormat="1" ht="18">
      <c r="A222" s="180" t="s">
        <v>62</v>
      </c>
      <c r="B222" s="77" t="s">
        <v>164</v>
      </c>
      <c r="C222" s="177" t="s">
        <v>17</v>
      </c>
      <c r="D222" s="177">
        <v>5</v>
      </c>
      <c r="E222" s="177"/>
      <c r="F222" s="177"/>
      <c r="G222" s="177"/>
      <c r="H222" s="468">
        <f>SUM(Tabla132112415[[#This Row],[PRIMER TRIMESTRE]:[CUARTO TRIMESTRE]])</f>
        <v>5</v>
      </c>
      <c r="I222" s="17">
        <v>3419.05</v>
      </c>
      <c r="J222" s="17">
        <f>+Tabla132112415[[#This Row],[CANTIDAD TOTAL]]*Tabla132112415[[#This Row],[PRECIO UNITARIO ESTIMADO]]</f>
        <v>17095.25</v>
      </c>
      <c r="K222" s="17"/>
      <c r="L222" s="16" t="s">
        <v>27</v>
      </c>
      <c r="M222" s="16" t="s">
        <v>22</v>
      </c>
      <c r="N222" s="39" t="s">
        <v>418</v>
      </c>
    </row>
    <row r="223" spans="1:14" s="12" customFormat="1" ht="18">
      <c r="A223" s="180" t="s">
        <v>62</v>
      </c>
      <c r="B223" s="75" t="s">
        <v>1166</v>
      </c>
      <c r="C223" s="176" t="s">
        <v>17</v>
      </c>
      <c r="D223" s="176"/>
      <c r="E223" s="176"/>
      <c r="F223" s="176"/>
      <c r="G223" s="176"/>
      <c r="H223" s="499">
        <f>SUM(Tabla132112415[[#This Row],[PRIMER TRIMESTRE]:[CUARTO TRIMESTRE]])</f>
        <v>0</v>
      </c>
      <c r="I223" s="17">
        <v>400</v>
      </c>
      <c r="J223" s="17">
        <f>+H223*I223</f>
        <v>0</v>
      </c>
      <c r="K223" s="17"/>
      <c r="L223" s="16" t="s">
        <v>27</v>
      </c>
      <c r="M223" s="16" t="s">
        <v>22</v>
      </c>
      <c r="N223" s="39" t="s">
        <v>418</v>
      </c>
    </row>
    <row r="224" spans="1:14" s="12" customFormat="1" ht="18">
      <c r="A224" s="180" t="s">
        <v>62</v>
      </c>
      <c r="B224" s="75" t="s">
        <v>1167</v>
      </c>
      <c r="C224" s="176" t="s">
        <v>17</v>
      </c>
      <c r="D224" s="176"/>
      <c r="E224" s="176"/>
      <c r="F224" s="176"/>
      <c r="G224" s="176"/>
      <c r="H224" s="499">
        <f>SUM(Tabla132112415[[#This Row],[PRIMER TRIMESTRE]:[CUARTO TRIMESTRE]])</f>
        <v>0</v>
      </c>
      <c r="I224" s="17">
        <v>1300</v>
      </c>
      <c r="J224" s="17">
        <f>+H224*I224</f>
        <v>0</v>
      </c>
      <c r="K224" s="17"/>
      <c r="L224" s="16" t="s">
        <v>27</v>
      </c>
      <c r="M224" s="16" t="s">
        <v>22</v>
      </c>
      <c r="N224" s="39" t="s">
        <v>418</v>
      </c>
    </row>
    <row r="225" spans="1:14" s="12" customFormat="1" ht="18">
      <c r="A225" s="180" t="s">
        <v>62</v>
      </c>
      <c r="B225" s="77" t="s">
        <v>462</v>
      </c>
      <c r="C225" s="177" t="s">
        <v>17</v>
      </c>
      <c r="D225" s="177">
        <v>2</v>
      </c>
      <c r="E225" s="177"/>
      <c r="F225" s="177"/>
      <c r="G225" s="177"/>
      <c r="H225" s="468">
        <f>SUM(Tabla132112415[[#This Row],[PRIMER TRIMESTRE]:[CUARTO TRIMESTRE]])</f>
        <v>2</v>
      </c>
      <c r="I225" s="17">
        <v>1896.06</v>
      </c>
      <c r="J225" s="17">
        <f>+H225*I225</f>
        <v>3792.12</v>
      </c>
      <c r="K225" s="17"/>
      <c r="L225" s="16" t="s">
        <v>27</v>
      </c>
      <c r="M225" s="16" t="s">
        <v>22</v>
      </c>
      <c r="N225" s="39" t="s">
        <v>418</v>
      </c>
    </row>
    <row r="226" spans="1:14" s="12" customFormat="1" ht="18">
      <c r="A226" s="180" t="s">
        <v>62</v>
      </c>
      <c r="B226" s="77" t="s">
        <v>463</v>
      </c>
      <c r="C226" s="177" t="s">
        <v>17</v>
      </c>
      <c r="D226" s="177">
        <v>6</v>
      </c>
      <c r="E226" s="177"/>
      <c r="F226" s="177"/>
      <c r="G226" s="177"/>
      <c r="H226" s="468">
        <f>SUM(Tabla132112415[[#This Row],[PRIMER TRIMESTRE]:[CUARTO TRIMESTRE]])</f>
        <v>6</v>
      </c>
      <c r="I226" s="17">
        <v>2320</v>
      </c>
      <c r="J226" s="17">
        <f>+Tabla132112415[[#This Row],[CANTIDAD TOTAL]]*Tabla132112415[[#This Row],[PRECIO UNITARIO ESTIMADO]]</f>
        <v>13920</v>
      </c>
      <c r="K226" s="17"/>
      <c r="L226" s="16" t="s">
        <v>27</v>
      </c>
      <c r="M226" s="16" t="s">
        <v>22</v>
      </c>
      <c r="N226" s="39" t="s">
        <v>418</v>
      </c>
    </row>
    <row r="227" spans="1:14" s="12" customFormat="1" ht="18">
      <c r="A227" s="180" t="s">
        <v>62</v>
      </c>
      <c r="B227" s="77" t="s">
        <v>465</v>
      </c>
      <c r="C227" s="177" t="s">
        <v>17</v>
      </c>
      <c r="D227" s="177">
        <v>6</v>
      </c>
      <c r="E227" s="177"/>
      <c r="F227" s="177"/>
      <c r="G227" s="177"/>
      <c r="H227" s="468">
        <f>SUM(Tabla132112415[[#This Row],[PRIMER TRIMESTRE]:[CUARTO TRIMESTRE]])</f>
        <v>6</v>
      </c>
      <c r="I227" s="17">
        <v>2682</v>
      </c>
      <c r="J227" s="17">
        <f>+Tabla132112415[[#This Row],[CANTIDAD TOTAL]]*Tabla132112415[[#This Row],[PRECIO UNITARIO ESTIMADO]]</f>
        <v>16092</v>
      </c>
      <c r="K227" s="17"/>
      <c r="L227" s="16" t="s">
        <v>27</v>
      </c>
      <c r="M227" s="16" t="s">
        <v>22</v>
      </c>
      <c r="N227" s="39" t="s">
        <v>418</v>
      </c>
    </row>
    <row r="228" spans="1:14" s="12" customFormat="1" ht="18">
      <c r="A228" s="180" t="s">
        <v>62</v>
      </c>
      <c r="B228" s="77" t="s">
        <v>464</v>
      </c>
      <c r="C228" s="177" t="s">
        <v>17</v>
      </c>
      <c r="D228" s="177">
        <v>6</v>
      </c>
      <c r="E228" s="177"/>
      <c r="F228" s="177"/>
      <c r="G228" s="177"/>
      <c r="H228" s="468">
        <f>SUM(Tabla132112415[[#This Row],[PRIMER TRIMESTRE]:[CUARTO TRIMESTRE]])</f>
        <v>6</v>
      </c>
      <c r="I228" s="17">
        <v>50</v>
      </c>
      <c r="J228" s="17">
        <f>+Tabla132112415[[#This Row],[CANTIDAD TOTAL]]*Tabla132112415[[#This Row],[PRECIO UNITARIO ESTIMADO]]</f>
        <v>300</v>
      </c>
      <c r="K228" s="17"/>
      <c r="L228" s="16" t="s">
        <v>27</v>
      </c>
      <c r="M228" s="16" t="s">
        <v>22</v>
      </c>
      <c r="N228" s="39" t="s">
        <v>418</v>
      </c>
    </row>
    <row r="229" spans="1:14" s="12" customFormat="1" ht="18">
      <c r="A229" s="180" t="s">
        <v>62</v>
      </c>
      <c r="B229" s="77" t="s">
        <v>466</v>
      </c>
      <c r="C229" s="177" t="s">
        <v>17</v>
      </c>
      <c r="D229" s="177">
        <v>6</v>
      </c>
      <c r="E229" s="177"/>
      <c r="F229" s="177"/>
      <c r="G229" s="177"/>
      <c r="H229" s="468">
        <f>SUM(Tabla132112415[[#This Row],[PRIMER TRIMESTRE]:[CUARTO TRIMESTRE]])</f>
        <v>6</v>
      </c>
      <c r="I229" s="17">
        <v>1746.26</v>
      </c>
      <c r="J229" s="17">
        <f>+Tabla132112415[[#This Row],[CANTIDAD TOTAL]]*Tabla132112415[[#This Row],[PRECIO UNITARIO ESTIMADO]]</f>
        <v>10477.56</v>
      </c>
      <c r="K229" s="17"/>
      <c r="L229" s="16" t="s">
        <v>27</v>
      </c>
      <c r="M229" s="16" t="s">
        <v>22</v>
      </c>
      <c r="N229" s="39" t="s">
        <v>418</v>
      </c>
    </row>
    <row r="230" spans="1:14" s="12" customFormat="1" ht="18">
      <c r="A230" s="180" t="s">
        <v>62</v>
      </c>
      <c r="B230" s="77" t="s">
        <v>1168</v>
      </c>
      <c r="C230" s="177" t="s">
        <v>17</v>
      </c>
      <c r="D230" s="177"/>
      <c r="E230" s="177"/>
      <c r="F230" s="177"/>
      <c r="G230" s="177"/>
      <c r="H230" s="468">
        <f>SUM(Tabla132112415[[#This Row],[PRIMER TRIMESTRE]:[CUARTO TRIMESTRE]])</f>
        <v>0</v>
      </c>
      <c r="I230" s="17">
        <v>6800</v>
      </c>
      <c r="J230" s="17">
        <f>+H230*I230</f>
        <v>0</v>
      </c>
      <c r="K230" s="17"/>
      <c r="L230" s="16" t="s">
        <v>27</v>
      </c>
      <c r="M230" s="16" t="s">
        <v>22</v>
      </c>
      <c r="N230" s="39" t="s">
        <v>418</v>
      </c>
    </row>
    <row r="231" spans="1:14" s="12" customFormat="1" ht="18">
      <c r="A231" s="180" t="s">
        <v>62</v>
      </c>
      <c r="B231" s="77" t="s">
        <v>170</v>
      </c>
      <c r="C231" s="177" t="s">
        <v>17</v>
      </c>
      <c r="D231" s="177">
        <v>6</v>
      </c>
      <c r="E231" s="177"/>
      <c r="F231" s="177"/>
      <c r="G231" s="177"/>
      <c r="H231" s="468">
        <f>SUM(Tabla132112415[[#This Row],[PRIMER TRIMESTRE]:[CUARTO TRIMESTRE]])</f>
        <v>6</v>
      </c>
      <c r="I231" s="17">
        <v>458.2</v>
      </c>
      <c r="J231" s="17">
        <f>+Tabla132112415[[#This Row],[CANTIDAD TOTAL]]*Tabla132112415[[#This Row],[PRECIO UNITARIO ESTIMADO]]</f>
        <v>2749.2</v>
      </c>
      <c r="K231" s="17"/>
      <c r="L231" s="16" t="s">
        <v>27</v>
      </c>
      <c r="M231" s="16" t="s">
        <v>22</v>
      </c>
      <c r="N231" s="39" t="s">
        <v>418</v>
      </c>
    </row>
    <row r="232" spans="1:14" s="12" customFormat="1" ht="18">
      <c r="A232" s="180" t="s">
        <v>62</v>
      </c>
      <c r="B232" s="77" t="s">
        <v>172</v>
      </c>
      <c r="C232" s="177" t="s">
        <v>17</v>
      </c>
      <c r="D232" s="177"/>
      <c r="E232" s="177"/>
      <c r="F232" s="177"/>
      <c r="G232" s="177"/>
      <c r="H232" s="468">
        <f>SUM(Tabla132112415[[#This Row],[PRIMER TRIMESTRE]:[CUARTO TRIMESTRE]])</f>
        <v>0</v>
      </c>
      <c r="I232" s="17">
        <v>90</v>
      </c>
      <c r="J232" s="17">
        <f>+Tabla132112415[[#This Row],[CANTIDAD TOTAL]]*Tabla132112415[[#This Row],[PRECIO UNITARIO ESTIMADO]]</f>
        <v>0</v>
      </c>
      <c r="K232" s="17"/>
      <c r="L232" s="16" t="s">
        <v>27</v>
      </c>
      <c r="M232" s="16" t="s">
        <v>22</v>
      </c>
      <c r="N232" s="39" t="s">
        <v>418</v>
      </c>
    </row>
    <row r="233" spans="1:14" s="12" customFormat="1" ht="18">
      <c r="A233" s="180" t="s">
        <v>62</v>
      </c>
      <c r="B233" s="77" t="s">
        <v>732</v>
      </c>
      <c r="C233" s="177" t="s">
        <v>17</v>
      </c>
      <c r="D233" s="177">
        <v>12</v>
      </c>
      <c r="E233" s="177"/>
      <c r="F233" s="177">
        <v>12</v>
      </c>
      <c r="G233" s="177"/>
      <c r="H233" s="468">
        <f>SUM(Tabla132112415[[#This Row],[PRIMER TRIMESTRE]:[CUARTO TRIMESTRE]])</f>
        <v>24</v>
      </c>
      <c r="I233" s="72">
        <v>142.85</v>
      </c>
      <c r="J233" s="17">
        <f t="shared" ref="J233:J240" si="5">+H233*I233</f>
        <v>3428.3999999999996</v>
      </c>
      <c r="K233" s="17"/>
      <c r="L233" s="16" t="s">
        <v>27</v>
      </c>
      <c r="M233" s="16" t="s">
        <v>22</v>
      </c>
      <c r="N233" s="39" t="s">
        <v>418</v>
      </c>
    </row>
    <row r="234" spans="1:14" s="12" customFormat="1" ht="18">
      <c r="A234" s="180" t="s">
        <v>62</v>
      </c>
      <c r="B234" s="77" t="s">
        <v>733</v>
      </c>
      <c r="C234" s="177" t="s">
        <v>17</v>
      </c>
      <c r="D234" s="177">
        <v>12</v>
      </c>
      <c r="E234" s="177"/>
      <c r="F234" s="177">
        <v>12</v>
      </c>
      <c r="G234" s="177"/>
      <c r="H234" s="468">
        <f>SUM(Tabla132112415[[#This Row],[PRIMER TRIMESTRE]:[CUARTO TRIMESTRE]])</f>
        <v>24</v>
      </c>
      <c r="I234" s="17">
        <v>39.56</v>
      </c>
      <c r="J234" s="17">
        <f t="shared" si="5"/>
        <v>949.44</v>
      </c>
      <c r="K234" s="17"/>
      <c r="L234" s="16" t="s">
        <v>27</v>
      </c>
      <c r="M234" s="16" t="s">
        <v>22</v>
      </c>
      <c r="N234" s="39" t="s">
        <v>418</v>
      </c>
    </row>
    <row r="235" spans="1:14" s="12" customFormat="1" ht="18">
      <c r="A235" s="180" t="s">
        <v>62</v>
      </c>
      <c r="B235" s="77" t="s">
        <v>734</v>
      </c>
      <c r="C235" s="177" t="s">
        <v>17</v>
      </c>
      <c r="D235" s="177">
        <v>12</v>
      </c>
      <c r="E235" s="177"/>
      <c r="F235" s="177">
        <v>12</v>
      </c>
      <c r="G235" s="177"/>
      <c r="H235" s="468">
        <f>SUM(Tabla132112415[[#This Row],[PRIMER TRIMESTRE]:[CUARTO TRIMESTRE]])</f>
        <v>24</v>
      </c>
      <c r="I235" s="17">
        <v>41.8</v>
      </c>
      <c r="J235" s="17">
        <f t="shared" si="5"/>
        <v>1003.1999999999999</v>
      </c>
      <c r="K235" s="17"/>
      <c r="L235" s="16" t="s">
        <v>27</v>
      </c>
      <c r="M235" s="16" t="s">
        <v>22</v>
      </c>
      <c r="N235" s="39" t="s">
        <v>418</v>
      </c>
    </row>
    <row r="236" spans="1:14" s="12" customFormat="1" ht="18">
      <c r="A236" s="180" t="s">
        <v>62</v>
      </c>
      <c r="B236" s="77" t="s">
        <v>735</v>
      </c>
      <c r="C236" s="177" t="s">
        <v>17</v>
      </c>
      <c r="D236" s="177">
        <v>12</v>
      </c>
      <c r="E236" s="177"/>
      <c r="F236" s="177">
        <v>12</v>
      </c>
      <c r="G236" s="177"/>
      <c r="H236" s="468">
        <f>SUM(Tabla132112415[[#This Row],[PRIMER TRIMESTRE]:[CUARTO TRIMESTRE]])</f>
        <v>24</v>
      </c>
      <c r="I236" s="17">
        <v>50.27</v>
      </c>
      <c r="J236" s="17">
        <f t="shared" si="5"/>
        <v>1206.48</v>
      </c>
      <c r="K236" s="17"/>
      <c r="L236" s="16" t="s">
        <v>27</v>
      </c>
      <c r="M236" s="16" t="s">
        <v>22</v>
      </c>
      <c r="N236" s="39" t="s">
        <v>418</v>
      </c>
    </row>
    <row r="237" spans="1:14" s="12" customFormat="1" ht="18">
      <c r="A237" s="180" t="s">
        <v>62</v>
      </c>
      <c r="B237" s="77" t="s">
        <v>736</v>
      </c>
      <c r="C237" s="177" t="s">
        <v>17</v>
      </c>
      <c r="D237" s="177">
        <v>12</v>
      </c>
      <c r="E237" s="177"/>
      <c r="F237" s="177">
        <v>12</v>
      </c>
      <c r="G237" s="177"/>
      <c r="H237" s="468">
        <f>SUM(Tabla132112415[[#This Row],[PRIMER TRIMESTRE]:[CUARTO TRIMESTRE]])</f>
        <v>24</v>
      </c>
      <c r="I237" s="17">
        <v>60.89</v>
      </c>
      <c r="J237" s="17">
        <f t="shared" si="5"/>
        <v>1461.3600000000001</v>
      </c>
      <c r="K237" s="17"/>
      <c r="L237" s="16" t="s">
        <v>27</v>
      </c>
      <c r="M237" s="16" t="s">
        <v>22</v>
      </c>
      <c r="N237" s="39" t="s">
        <v>418</v>
      </c>
    </row>
    <row r="238" spans="1:14" s="12" customFormat="1" ht="18">
      <c r="A238" s="180" t="s">
        <v>62</v>
      </c>
      <c r="B238" s="77" t="s">
        <v>737</v>
      </c>
      <c r="C238" s="177" t="s">
        <v>17</v>
      </c>
      <c r="D238" s="177">
        <v>12</v>
      </c>
      <c r="E238" s="177"/>
      <c r="F238" s="177">
        <v>12</v>
      </c>
      <c r="G238" s="177"/>
      <c r="H238" s="468">
        <f>SUM(Tabla132112415[[#This Row],[PRIMER TRIMESTRE]:[CUARTO TRIMESTRE]])</f>
        <v>24</v>
      </c>
      <c r="I238" s="17">
        <v>65.36</v>
      </c>
      <c r="J238" s="17">
        <f t="shared" si="5"/>
        <v>1568.6399999999999</v>
      </c>
      <c r="K238" s="17"/>
      <c r="L238" s="16" t="s">
        <v>27</v>
      </c>
      <c r="M238" s="16" t="s">
        <v>22</v>
      </c>
      <c r="N238" s="39" t="s">
        <v>418</v>
      </c>
    </row>
    <row r="239" spans="1:14" s="26" customFormat="1" ht="18">
      <c r="A239" s="180" t="s">
        <v>62</v>
      </c>
      <c r="B239" s="77" t="s">
        <v>738</v>
      </c>
      <c r="C239" s="177" t="s">
        <v>17</v>
      </c>
      <c r="D239" s="177">
        <v>12</v>
      </c>
      <c r="E239" s="177"/>
      <c r="F239" s="177">
        <v>12</v>
      </c>
      <c r="G239" s="177"/>
      <c r="H239" s="468">
        <f>SUM(Tabla132112415[[#This Row],[PRIMER TRIMESTRE]:[CUARTO TRIMESTRE]])</f>
        <v>24</v>
      </c>
      <c r="I239" s="17">
        <v>352.74</v>
      </c>
      <c r="J239" s="17">
        <f t="shared" si="5"/>
        <v>8465.76</v>
      </c>
      <c r="K239" s="17"/>
      <c r="L239" s="16" t="s">
        <v>27</v>
      </c>
      <c r="M239" s="16" t="s">
        <v>22</v>
      </c>
      <c r="N239" s="39" t="s">
        <v>418</v>
      </c>
    </row>
    <row r="240" spans="1:14" s="55" customFormat="1" ht="18">
      <c r="A240" s="180" t="s">
        <v>62</v>
      </c>
      <c r="B240" s="75" t="s">
        <v>1169</v>
      </c>
      <c r="C240" s="176" t="s">
        <v>1162</v>
      </c>
      <c r="D240" s="177">
        <v>24</v>
      </c>
      <c r="E240" s="176"/>
      <c r="F240" s="176"/>
      <c r="G240" s="176"/>
      <c r="H240" s="499">
        <f>SUM(Tabla132112415[[#This Row],[PRIMER TRIMESTRE]:[CUARTO TRIMESTRE]])</f>
        <v>24</v>
      </c>
      <c r="I240" s="17">
        <v>2300</v>
      </c>
      <c r="J240" s="17">
        <f t="shared" si="5"/>
        <v>55200</v>
      </c>
      <c r="K240" s="17"/>
      <c r="L240" s="16" t="s">
        <v>27</v>
      </c>
      <c r="M240" s="16" t="s">
        <v>22</v>
      </c>
      <c r="N240" s="39" t="s">
        <v>418</v>
      </c>
    </row>
    <row r="241" spans="1:14" s="55" customFormat="1" ht="18">
      <c r="A241" s="179" t="s">
        <v>62</v>
      </c>
      <c r="B241" s="76"/>
      <c r="C241" s="492"/>
      <c r="D241" s="492"/>
      <c r="E241" s="492"/>
      <c r="F241" s="492"/>
      <c r="G241" s="492"/>
      <c r="H241" s="496"/>
      <c r="I241" s="24"/>
      <c r="J241" s="24"/>
      <c r="K241" s="25">
        <f>SUM(J135:J240)</f>
        <v>398511.44000000006</v>
      </c>
      <c r="L241" s="23"/>
      <c r="M241" s="23"/>
      <c r="N241" s="42"/>
    </row>
    <row r="242" spans="1:14" s="55" customFormat="1" ht="30">
      <c r="A242" s="178" t="s">
        <v>73</v>
      </c>
      <c r="B242" s="75" t="s">
        <v>1275</v>
      </c>
      <c r="C242" s="493" t="s">
        <v>17</v>
      </c>
      <c r="D242" s="500"/>
      <c r="E242" s="500"/>
      <c r="F242" s="500"/>
      <c r="G242" s="500"/>
      <c r="H242" s="501">
        <f>SUM(Tabla132112415[[#This Row],[PRIMER TRIMESTRE]:[CUARTO TRIMESTRE]])</f>
        <v>0</v>
      </c>
      <c r="I242" s="52">
        <v>239750</v>
      </c>
      <c r="J242" s="52">
        <f>+H242*I242</f>
        <v>0</v>
      </c>
      <c r="K242" s="50"/>
      <c r="L242" s="16" t="s">
        <v>18</v>
      </c>
      <c r="M242" s="411" t="s">
        <v>22</v>
      </c>
      <c r="N242" s="39" t="s">
        <v>418</v>
      </c>
    </row>
    <row r="243" spans="1:14" s="55" customFormat="1" ht="30">
      <c r="A243" s="178" t="s">
        <v>73</v>
      </c>
      <c r="B243" s="75" t="s">
        <v>1276</v>
      </c>
      <c r="C243" s="493" t="s">
        <v>17</v>
      </c>
      <c r="D243" s="500"/>
      <c r="E243" s="500"/>
      <c r="F243" s="500"/>
      <c r="G243" s="500"/>
      <c r="H243" s="501">
        <f>SUM(Tabla132112415[[#This Row],[PRIMER TRIMESTRE]:[CUARTO TRIMESTRE]])</f>
        <v>0</v>
      </c>
      <c r="I243" s="52">
        <v>37500</v>
      </c>
      <c r="J243" s="52">
        <f>+H243*I243</f>
        <v>0</v>
      </c>
      <c r="K243" s="50"/>
      <c r="L243" s="16" t="s">
        <v>18</v>
      </c>
      <c r="M243" s="411" t="s">
        <v>22</v>
      </c>
      <c r="N243" s="39" t="s">
        <v>418</v>
      </c>
    </row>
    <row r="244" spans="1:14" s="26" customFormat="1" ht="30">
      <c r="A244" s="178" t="s">
        <v>73</v>
      </c>
      <c r="B244" s="75" t="s">
        <v>1277</v>
      </c>
      <c r="C244" s="493" t="s">
        <v>17</v>
      </c>
      <c r="D244" s="500"/>
      <c r="E244" s="500"/>
      <c r="F244" s="500"/>
      <c r="G244" s="500"/>
      <c r="H244" s="501">
        <f>SUM(Tabla132112415[[#This Row],[PRIMER TRIMESTRE]:[CUARTO TRIMESTRE]])</f>
        <v>0</v>
      </c>
      <c r="I244" s="52">
        <v>301000</v>
      </c>
      <c r="J244" s="52">
        <f>+H244*I244</f>
        <v>0</v>
      </c>
      <c r="K244" s="50"/>
      <c r="L244" s="16" t="s">
        <v>18</v>
      </c>
      <c r="M244" s="411" t="s">
        <v>22</v>
      </c>
      <c r="N244" s="39" t="s">
        <v>418</v>
      </c>
    </row>
    <row r="245" spans="1:14" s="12" customFormat="1" ht="30">
      <c r="A245" s="178" t="s">
        <v>73</v>
      </c>
      <c r="B245" s="75" t="s">
        <v>1278</v>
      </c>
      <c r="C245" s="493" t="s">
        <v>17</v>
      </c>
      <c r="D245" s="500"/>
      <c r="E245" s="500"/>
      <c r="F245" s="500"/>
      <c r="G245" s="500"/>
      <c r="H245" s="501">
        <f>SUM(Tabla132112415[[#This Row],[PRIMER TRIMESTRE]:[CUARTO TRIMESTRE]])</f>
        <v>0</v>
      </c>
      <c r="I245" s="52">
        <v>350000</v>
      </c>
      <c r="J245" s="52">
        <f>+H245*I245</f>
        <v>0</v>
      </c>
      <c r="K245" s="50"/>
      <c r="L245" s="16" t="s">
        <v>18</v>
      </c>
      <c r="M245" s="411" t="s">
        <v>22</v>
      </c>
      <c r="N245" s="39" t="s">
        <v>418</v>
      </c>
    </row>
    <row r="246" spans="1:14" s="12" customFormat="1" ht="31.5">
      <c r="A246" s="179" t="s">
        <v>73</v>
      </c>
      <c r="B246" s="76"/>
      <c r="C246" s="492"/>
      <c r="D246" s="492"/>
      <c r="E246" s="492"/>
      <c r="F246" s="492"/>
      <c r="G246" s="492"/>
      <c r="H246" s="496"/>
      <c r="I246" s="24"/>
      <c r="J246" s="24"/>
      <c r="K246" s="25">
        <f>SUM(J242:J245)</f>
        <v>0</v>
      </c>
      <c r="L246" s="23"/>
      <c r="M246" s="23"/>
      <c r="N246" s="42"/>
    </row>
    <row r="247" spans="1:14" s="12" customFormat="1" ht="18">
      <c r="A247" s="178" t="s">
        <v>80</v>
      </c>
      <c r="B247" s="75" t="s">
        <v>788</v>
      </c>
      <c r="C247" s="176" t="s">
        <v>69</v>
      </c>
      <c r="D247" s="176"/>
      <c r="E247" s="176"/>
      <c r="F247" s="176"/>
      <c r="G247" s="176"/>
      <c r="H247" s="499">
        <f>SUM(Tabla132112415[[#This Row],[PRIMER TRIMESTRE]:[CUARTO TRIMESTRE]])</f>
        <v>0</v>
      </c>
      <c r="I247" s="17">
        <v>5.46</v>
      </c>
      <c r="J247" s="17">
        <f>+Tabla132112415[[#This Row],[CANTIDAD TOTAL]]*Tabla132112415[[#This Row],[PRECIO UNITARIO ESTIMADO]]</f>
        <v>0</v>
      </c>
      <c r="K247" s="17"/>
      <c r="L247" s="16" t="s">
        <v>18</v>
      </c>
      <c r="M247" s="16" t="s">
        <v>22</v>
      </c>
      <c r="N247" s="39" t="s">
        <v>418</v>
      </c>
    </row>
    <row r="248" spans="1:14" s="12" customFormat="1" ht="18">
      <c r="A248" s="178" t="s">
        <v>80</v>
      </c>
      <c r="B248" s="75" t="s">
        <v>1346</v>
      </c>
      <c r="C248" s="176" t="s">
        <v>208</v>
      </c>
      <c r="D248" s="176"/>
      <c r="E248" s="176"/>
      <c r="F248" s="176"/>
      <c r="G248" s="176"/>
      <c r="H248" s="499">
        <f>SUM(Tabla132112415[[#This Row],[PRIMER TRIMESTRE]:[CUARTO TRIMESTRE]])</f>
        <v>0</v>
      </c>
      <c r="I248" s="17">
        <v>8</v>
      </c>
      <c r="J248" s="17">
        <f>+Tabla132112415[[#This Row],[CANTIDAD TOTAL]]*Tabla132112415[[#This Row],[PRECIO UNITARIO ESTIMADO]]</f>
        <v>0</v>
      </c>
      <c r="K248" s="17"/>
      <c r="L248" s="16" t="s">
        <v>18</v>
      </c>
      <c r="M248" s="16" t="s">
        <v>22</v>
      </c>
      <c r="N248" s="39" t="s">
        <v>418</v>
      </c>
    </row>
    <row r="249" spans="1:14" s="12" customFormat="1" ht="18">
      <c r="A249" s="178" t="s">
        <v>80</v>
      </c>
      <c r="B249" s="75" t="s">
        <v>789</v>
      </c>
      <c r="C249" s="176" t="s">
        <v>208</v>
      </c>
      <c r="D249" s="176"/>
      <c r="E249" s="176"/>
      <c r="F249" s="176"/>
      <c r="G249" s="176"/>
      <c r="H249" s="499">
        <f>SUM(Tabla132112415[[#This Row],[PRIMER TRIMESTRE]:[CUARTO TRIMESTRE]])</f>
        <v>0</v>
      </c>
      <c r="I249" s="17">
        <v>6.4</v>
      </c>
      <c r="J249" s="17">
        <f>+Tabla132112415[[#This Row],[CANTIDAD TOTAL]]*Tabla132112415[[#This Row],[PRECIO UNITARIO ESTIMADO]]</f>
        <v>0</v>
      </c>
      <c r="K249" s="17"/>
      <c r="L249" s="16" t="s">
        <v>18</v>
      </c>
      <c r="M249" s="16" t="s">
        <v>22</v>
      </c>
      <c r="N249" s="39" t="s">
        <v>418</v>
      </c>
    </row>
    <row r="250" spans="1:14" s="12" customFormat="1" ht="18">
      <c r="A250" s="178" t="s">
        <v>80</v>
      </c>
      <c r="B250" s="75" t="s">
        <v>83</v>
      </c>
      <c r="C250" s="176" t="s">
        <v>69</v>
      </c>
      <c r="D250" s="176"/>
      <c r="E250" s="176"/>
      <c r="F250" s="176"/>
      <c r="G250" s="176"/>
      <c r="H250" s="499">
        <f>SUM(Tabla132112415[[#This Row],[PRIMER TRIMESTRE]:[CUARTO TRIMESTRE]])</f>
        <v>0</v>
      </c>
      <c r="I250" s="17">
        <v>290</v>
      </c>
      <c r="J250" s="17">
        <f>+Tabla132112415[[#This Row],[CANTIDAD TOTAL]]*Tabla132112415[[#This Row],[PRECIO UNITARIO ESTIMADO]]</f>
        <v>0</v>
      </c>
      <c r="K250" s="17"/>
      <c r="L250" s="16" t="s">
        <v>18</v>
      </c>
      <c r="M250" s="16" t="s">
        <v>22</v>
      </c>
      <c r="N250" s="39" t="s">
        <v>418</v>
      </c>
    </row>
    <row r="251" spans="1:14" s="12" customFormat="1" ht="18">
      <c r="A251" s="178" t="s">
        <v>80</v>
      </c>
      <c r="B251" s="75" t="s">
        <v>1561</v>
      </c>
      <c r="C251" s="176" t="s">
        <v>69</v>
      </c>
      <c r="D251" s="176"/>
      <c r="E251" s="176"/>
      <c r="F251" s="176"/>
      <c r="G251" s="176"/>
      <c r="H251" s="499">
        <f>SUM(Tabla132112415[[#This Row],[PRIMER TRIMESTRE]:[CUARTO TRIMESTRE]])</f>
        <v>0</v>
      </c>
      <c r="I251" s="17">
        <v>3200</v>
      </c>
      <c r="J251" s="17">
        <f>+H251*I251</f>
        <v>0</v>
      </c>
      <c r="K251" s="17"/>
      <c r="L251" s="16" t="s">
        <v>18</v>
      </c>
      <c r="M251" s="16" t="s">
        <v>22</v>
      </c>
      <c r="N251" s="39" t="s">
        <v>418</v>
      </c>
    </row>
    <row r="252" spans="1:14" s="12" customFormat="1" ht="18">
      <c r="A252" s="178" t="s">
        <v>80</v>
      </c>
      <c r="B252" s="75" t="s">
        <v>85</v>
      </c>
      <c r="C252" s="176" t="s">
        <v>69</v>
      </c>
      <c r="D252" s="176"/>
      <c r="E252" s="176"/>
      <c r="F252" s="176"/>
      <c r="G252" s="176"/>
      <c r="H252" s="499">
        <f>SUM(Tabla132112415[[#This Row],[PRIMER TRIMESTRE]:[CUARTO TRIMESTRE]])</f>
        <v>0</v>
      </c>
      <c r="I252" s="17">
        <v>4.0599999999999996</v>
      </c>
      <c r="J252" s="17">
        <f>+Tabla132112415[[#This Row],[CANTIDAD TOTAL]]*Tabla132112415[[#This Row],[PRECIO UNITARIO ESTIMADO]]</f>
        <v>0</v>
      </c>
      <c r="K252" s="17"/>
      <c r="L252" s="16" t="s">
        <v>18</v>
      </c>
      <c r="M252" s="16" t="s">
        <v>22</v>
      </c>
      <c r="N252" s="39" t="s">
        <v>418</v>
      </c>
    </row>
    <row r="253" spans="1:14" s="12" customFormat="1" ht="18">
      <c r="A253" s="178" t="s">
        <v>80</v>
      </c>
      <c r="B253" s="75" t="s">
        <v>87</v>
      </c>
      <c r="C253" s="176" t="s">
        <v>69</v>
      </c>
      <c r="D253" s="176"/>
      <c r="E253" s="176"/>
      <c r="F253" s="176"/>
      <c r="G253" s="176"/>
      <c r="H253" s="499">
        <f>SUM(Tabla132112415[[#This Row],[PRIMER TRIMESTRE]:[CUARTO TRIMESTRE]])</f>
        <v>0</v>
      </c>
      <c r="I253" s="17">
        <v>3.71</v>
      </c>
      <c r="J253" s="17">
        <f>+Tabla132112415[[#This Row],[CANTIDAD TOTAL]]*Tabla132112415[[#This Row],[PRECIO UNITARIO ESTIMADO]]</f>
        <v>0</v>
      </c>
      <c r="K253" s="17"/>
      <c r="L253" s="16" t="s">
        <v>18</v>
      </c>
      <c r="M253" s="16" t="s">
        <v>22</v>
      </c>
      <c r="N253" s="39" t="s">
        <v>418</v>
      </c>
    </row>
    <row r="254" spans="1:14" s="12" customFormat="1" ht="18">
      <c r="A254" s="178" t="s">
        <v>80</v>
      </c>
      <c r="B254" s="75" t="s">
        <v>1436</v>
      </c>
      <c r="C254" s="176" t="s">
        <v>69</v>
      </c>
      <c r="D254" s="176"/>
      <c r="E254" s="176"/>
      <c r="F254" s="176"/>
      <c r="G254" s="176"/>
      <c r="H254" s="499">
        <f>SUM(Tabla132112415[[#This Row],[PRIMER TRIMESTRE]:[CUARTO TRIMESTRE]])</f>
        <v>0</v>
      </c>
      <c r="I254" s="17">
        <v>125</v>
      </c>
      <c r="J254" s="17">
        <f>+H254*I254</f>
        <v>0</v>
      </c>
      <c r="K254" s="17"/>
      <c r="L254" s="16" t="s">
        <v>18</v>
      </c>
      <c r="M254" s="16" t="s">
        <v>22</v>
      </c>
      <c r="N254" s="39" t="s">
        <v>418</v>
      </c>
    </row>
    <row r="255" spans="1:14" s="12" customFormat="1" ht="18">
      <c r="A255" s="178" t="s">
        <v>80</v>
      </c>
      <c r="B255" s="75" t="s">
        <v>89</v>
      </c>
      <c r="C255" s="176" t="s">
        <v>208</v>
      </c>
      <c r="D255" s="176"/>
      <c r="E255" s="176"/>
      <c r="F255" s="176"/>
      <c r="G255" s="176"/>
      <c r="H255" s="499">
        <f>SUM(Tabla132112415[[#This Row],[PRIMER TRIMESTRE]:[CUARTO TRIMESTRE]])</f>
        <v>0</v>
      </c>
      <c r="I255" s="17">
        <v>7.3</v>
      </c>
      <c r="J255" s="17">
        <f>+Tabla132112415[[#This Row],[CANTIDAD TOTAL]]*Tabla132112415[[#This Row],[PRECIO UNITARIO ESTIMADO]]</f>
        <v>0</v>
      </c>
      <c r="K255" s="17"/>
      <c r="L255" s="16" t="s">
        <v>18</v>
      </c>
      <c r="M255" s="16" t="s">
        <v>22</v>
      </c>
      <c r="N255" s="39" t="s">
        <v>418</v>
      </c>
    </row>
    <row r="256" spans="1:14" s="12" customFormat="1" ht="18">
      <c r="A256" s="178" t="s">
        <v>80</v>
      </c>
      <c r="B256" s="75" t="s">
        <v>98</v>
      </c>
      <c r="C256" s="176" t="s">
        <v>93</v>
      </c>
      <c r="D256" s="176"/>
      <c r="E256" s="176"/>
      <c r="F256" s="176"/>
      <c r="G256" s="176"/>
      <c r="H256" s="499">
        <f>SUM(Tabla132112415[[#This Row],[PRIMER TRIMESTRE]:[CUARTO TRIMESTRE]])</f>
        <v>0</v>
      </c>
      <c r="I256" s="17">
        <v>272.60000000000002</v>
      </c>
      <c r="J256" s="17">
        <f>+Tabla132112415[[#This Row],[CANTIDAD TOTAL]]*Tabla132112415[[#This Row],[PRECIO UNITARIO ESTIMADO]]</f>
        <v>0</v>
      </c>
      <c r="K256" s="17"/>
      <c r="L256" s="16" t="s">
        <v>18</v>
      </c>
      <c r="M256" s="16" t="s">
        <v>22</v>
      </c>
      <c r="N256" s="39" t="s">
        <v>418</v>
      </c>
    </row>
    <row r="257" spans="1:14" s="12" customFormat="1" ht="18">
      <c r="A257" s="178" t="s">
        <v>80</v>
      </c>
      <c r="B257" s="75" t="s">
        <v>1601</v>
      </c>
      <c r="C257" s="176" t="s">
        <v>93</v>
      </c>
      <c r="D257" s="176"/>
      <c r="E257" s="176"/>
      <c r="F257" s="176"/>
      <c r="G257" s="176"/>
      <c r="H257" s="176">
        <f>SUM(Tabla132112415[[#This Row],[PRIMER TRIMESTRE]:[CUARTO TRIMESTRE]])</f>
        <v>0</v>
      </c>
      <c r="I257" s="17">
        <v>57</v>
      </c>
      <c r="J257" s="17">
        <f>+H257*I257</f>
        <v>0</v>
      </c>
      <c r="K257" s="17"/>
      <c r="L257" s="16" t="s">
        <v>18</v>
      </c>
      <c r="M257" s="16" t="s">
        <v>22</v>
      </c>
      <c r="N257" s="39" t="s">
        <v>418</v>
      </c>
    </row>
    <row r="258" spans="1:14" s="12" customFormat="1" ht="18">
      <c r="A258" s="178" t="s">
        <v>80</v>
      </c>
      <c r="B258" s="75" t="s">
        <v>100</v>
      </c>
      <c r="C258" s="176" t="s">
        <v>93</v>
      </c>
      <c r="D258" s="176"/>
      <c r="E258" s="176"/>
      <c r="F258" s="176"/>
      <c r="G258" s="176"/>
      <c r="H258" s="499">
        <f>SUM(Tabla132112415[[#This Row],[PRIMER TRIMESTRE]:[CUARTO TRIMESTRE]])</f>
        <v>0</v>
      </c>
      <c r="I258" s="17">
        <v>30.16</v>
      </c>
      <c r="J258" s="17">
        <f>+Tabla132112415[[#This Row],[CANTIDAD TOTAL]]*Tabla132112415[[#This Row],[PRECIO UNITARIO ESTIMADO]]</f>
        <v>0</v>
      </c>
      <c r="K258" s="17"/>
      <c r="L258" s="16" t="s">
        <v>18</v>
      </c>
      <c r="M258" s="16" t="s">
        <v>22</v>
      </c>
      <c r="N258" s="39" t="s">
        <v>418</v>
      </c>
    </row>
    <row r="259" spans="1:14" s="12" customFormat="1" ht="25.5">
      <c r="A259" s="178" t="s">
        <v>80</v>
      </c>
      <c r="B259" s="75" t="s">
        <v>1729</v>
      </c>
      <c r="C259" s="176" t="s">
        <v>17</v>
      </c>
      <c r="D259" s="176"/>
      <c r="E259" s="176"/>
      <c r="F259" s="176"/>
      <c r="G259" s="176"/>
      <c r="H259" s="499">
        <v>0</v>
      </c>
      <c r="I259" s="17">
        <v>0</v>
      </c>
      <c r="J259" s="17">
        <v>0</v>
      </c>
      <c r="K259" s="17"/>
      <c r="L259" s="16" t="s">
        <v>18</v>
      </c>
      <c r="M259" s="16" t="s">
        <v>22</v>
      </c>
      <c r="N259" s="39" t="s">
        <v>418</v>
      </c>
    </row>
    <row r="260" spans="1:14" s="12" customFormat="1" ht="25.5">
      <c r="A260" s="178" t="s">
        <v>80</v>
      </c>
      <c r="B260" s="75" t="s">
        <v>1730</v>
      </c>
      <c r="C260" s="176" t="s">
        <v>17</v>
      </c>
      <c r="D260" s="176"/>
      <c r="E260" s="176"/>
      <c r="F260" s="176"/>
      <c r="G260" s="176"/>
      <c r="H260" s="499">
        <v>0</v>
      </c>
      <c r="I260" s="17">
        <v>0</v>
      </c>
      <c r="J260" s="17">
        <v>0</v>
      </c>
      <c r="K260" s="17"/>
      <c r="L260" s="16" t="s">
        <v>18</v>
      </c>
      <c r="M260" s="16" t="s">
        <v>22</v>
      </c>
      <c r="N260" s="39" t="s">
        <v>418</v>
      </c>
    </row>
    <row r="261" spans="1:14" s="12" customFormat="1" ht="18">
      <c r="A261" s="178" t="s">
        <v>80</v>
      </c>
      <c r="B261" s="75" t="s">
        <v>105</v>
      </c>
      <c r="C261" s="176" t="s">
        <v>17</v>
      </c>
      <c r="D261" s="176"/>
      <c r="E261" s="176"/>
      <c r="F261" s="176"/>
      <c r="G261" s="176"/>
      <c r="H261" s="499">
        <f>SUM(Tabla132112415[[#This Row],[PRIMER TRIMESTRE]:[CUARTO TRIMESTRE]])</f>
        <v>0</v>
      </c>
      <c r="I261" s="17">
        <v>33.64</v>
      </c>
      <c r="J261" s="17">
        <f>+Tabla132112415[[#This Row],[CANTIDAD TOTAL]]*Tabla132112415[[#This Row],[PRECIO UNITARIO ESTIMADO]]</f>
        <v>0</v>
      </c>
      <c r="K261" s="17"/>
      <c r="L261" s="16" t="s">
        <v>18</v>
      </c>
      <c r="M261" s="16" t="s">
        <v>22</v>
      </c>
      <c r="N261" s="39" t="s">
        <v>418</v>
      </c>
    </row>
    <row r="262" spans="1:14" s="12" customFormat="1" ht="18">
      <c r="A262" s="178" t="s">
        <v>80</v>
      </c>
      <c r="B262" s="75" t="s">
        <v>1725</v>
      </c>
      <c r="C262" s="177" t="s">
        <v>17</v>
      </c>
      <c r="D262" s="176"/>
      <c r="E262" s="176"/>
      <c r="F262" s="176"/>
      <c r="G262" s="176"/>
      <c r="H262" s="499">
        <v>0</v>
      </c>
      <c r="I262" s="17">
        <v>0</v>
      </c>
      <c r="J262" s="17">
        <v>0</v>
      </c>
      <c r="K262" s="17"/>
      <c r="L262" s="16" t="s">
        <v>18</v>
      </c>
      <c r="M262" s="16" t="s">
        <v>22</v>
      </c>
      <c r="N262" s="39" t="s">
        <v>418</v>
      </c>
    </row>
    <row r="263" spans="1:14" s="12" customFormat="1" ht="18">
      <c r="A263" s="178" t="s">
        <v>80</v>
      </c>
      <c r="B263" s="75" t="s">
        <v>110</v>
      </c>
      <c r="C263" s="177" t="s">
        <v>17</v>
      </c>
      <c r="D263" s="176">
        <v>2</v>
      </c>
      <c r="E263" s="176"/>
      <c r="F263" s="177"/>
      <c r="G263" s="177"/>
      <c r="H263" s="499">
        <f>SUM(Tabla132112415[[#This Row],[PRIMER TRIMESTRE]:[CUARTO TRIMESTRE]])</f>
        <v>2</v>
      </c>
      <c r="I263" s="17">
        <v>5823.23</v>
      </c>
      <c r="J263" s="17">
        <f>+Tabla132112415[[#This Row],[CANTIDAD TOTAL]]*Tabla132112415[[#This Row],[PRECIO UNITARIO ESTIMADO]]</f>
        <v>11646.46</v>
      </c>
      <c r="K263" s="17"/>
      <c r="L263" s="16" t="s">
        <v>18</v>
      </c>
      <c r="M263" s="16" t="s">
        <v>22</v>
      </c>
      <c r="N263" s="39" t="s">
        <v>418</v>
      </c>
    </row>
    <row r="264" spans="1:14" s="12" customFormat="1" ht="18">
      <c r="A264" s="178" t="s">
        <v>80</v>
      </c>
      <c r="B264" s="77" t="s">
        <v>112</v>
      </c>
      <c r="C264" s="177" t="s">
        <v>288</v>
      </c>
      <c r="D264" s="176"/>
      <c r="E264" s="177"/>
      <c r="F264" s="177"/>
      <c r="G264" s="177"/>
      <c r="H264" s="499">
        <f>SUM(Tabla132112415[[#This Row],[PRIMER TRIMESTRE]:[CUARTO TRIMESTRE]])</f>
        <v>0</v>
      </c>
      <c r="I264" s="17">
        <v>1624</v>
      </c>
      <c r="J264" s="17">
        <f>+Tabla132112415[[#This Row],[CANTIDAD TOTAL]]*Tabla132112415[[#This Row],[PRECIO UNITARIO ESTIMADO]]</f>
        <v>0</v>
      </c>
      <c r="K264" s="17"/>
      <c r="L264" s="16" t="s">
        <v>18</v>
      </c>
      <c r="M264" s="16" t="s">
        <v>22</v>
      </c>
      <c r="N264" s="39" t="s">
        <v>418</v>
      </c>
    </row>
    <row r="265" spans="1:14" s="12" customFormat="1" ht="18">
      <c r="A265" s="178" t="s">
        <v>80</v>
      </c>
      <c r="B265" s="77" t="s">
        <v>766</v>
      </c>
      <c r="C265" s="177" t="s">
        <v>767</v>
      </c>
      <c r="D265" s="176"/>
      <c r="E265" s="177"/>
      <c r="F265" s="177"/>
      <c r="G265" s="177"/>
      <c r="H265" s="499">
        <f>SUM(Tabla132112415[[#This Row],[PRIMER TRIMESTRE]:[CUARTO TRIMESTRE]])</f>
        <v>0</v>
      </c>
      <c r="I265" s="17">
        <v>470</v>
      </c>
      <c r="J265" s="17">
        <f>+Tabla132112415[[#This Row],[CANTIDAD TOTAL]]*Tabla132112415[[#This Row],[PRECIO UNITARIO ESTIMADO]]</f>
        <v>0</v>
      </c>
      <c r="K265" s="17"/>
      <c r="L265" s="16" t="s">
        <v>18</v>
      </c>
      <c r="M265" s="16" t="s">
        <v>22</v>
      </c>
      <c r="N265" s="39" t="s">
        <v>418</v>
      </c>
    </row>
    <row r="266" spans="1:14" s="12" customFormat="1" ht="18">
      <c r="A266" s="178" t="s">
        <v>80</v>
      </c>
      <c r="B266" s="77" t="s">
        <v>1623</v>
      </c>
      <c r="C266" s="177" t="s">
        <v>17</v>
      </c>
      <c r="D266" s="176"/>
      <c r="E266" s="177"/>
      <c r="F266" s="177"/>
      <c r="G266" s="177"/>
      <c r="H266" s="499">
        <f>SUM(Tabla132112415[[#This Row],[PRIMER TRIMESTRE]:[CUARTO TRIMESTRE]])</f>
        <v>0</v>
      </c>
      <c r="I266" s="17">
        <v>1784.1</v>
      </c>
      <c r="J266" s="17">
        <f t="shared" ref="J266:J329" si="6">+H266*I266</f>
        <v>0</v>
      </c>
      <c r="K266" s="17"/>
      <c r="L266" s="16" t="s">
        <v>18</v>
      </c>
      <c r="M266" s="16" t="s">
        <v>22</v>
      </c>
      <c r="N266" s="39" t="s">
        <v>418</v>
      </c>
    </row>
    <row r="267" spans="1:14" s="12" customFormat="1" ht="18">
      <c r="A267" s="178" t="s">
        <v>80</v>
      </c>
      <c r="B267" s="77" t="s">
        <v>1431</v>
      </c>
      <c r="C267" s="177" t="s">
        <v>288</v>
      </c>
      <c r="D267" s="176">
        <v>10</v>
      </c>
      <c r="E267" s="177"/>
      <c r="F267" s="177"/>
      <c r="G267" s="177"/>
      <c r="H267" s="499">
        <f>SUM(Tabla132112415[[#This Row],[PRIMER TRIMESTRE]:[CUARTO TRIMESTRE]])</f>
        <v>10</v>
      </c>
      <c r="I267" s="17">
        <v>1395</v>
      </c>
      <c r="J267" s="17">
        <f t="shared" si="6"/>
        <v>13950</v>
      </c>
      <c r="K267" s="17"/>
      <c r="L267" s="16" t="s">
        <v>18</v>
      </c>
      <c r="M267" s="16" t="s">
        <v>22</v>
      </c>
      <c r="N267" s="39" t="s">
        <v>418</v>
      </c>
    </row>
    <row r="268" spans="1:14" s="12" customFormat="1" ht="18">
      <c r="A268" s="178" t="s">
        <v>80</v>
      </c>
      <c r="B268" s="77" t="s">
        <v>921</v>
      </c>
      <c r="C268" s="177" t="s">
        <v>17</v>
      </c>
      <c r="D268" s="176">
        <v>15</v>
      </c>
      <c r="E268" s="177"/>
      <c r="F268" s="177"/>
      <c r="G268" s="177"/>
      <c r="H268" s="499">
        <f>SUM(Tabla132112415[[#This Row],[PRIMER TRIMESTRE]:[CUARTO TRIMESTRE]])</f>
        <v>15</v>
      </c>
      <c r="I268" s="17">
        <v>94</v>
      </c>
      <c r="J268" s="17">
        <f t="shared" si="6"/>
        <v>1410</v>
      </c>
      <c r="K268" s="17"/>
      <c r="L268" s="16" t="s">
        <v>18</v>
      </c>
      <c r="M268" s="16" t="s">
        <v>22</v>
      </c>
      <c r="N268" s="39" t="s">
        <v>418</v>
      </c>
    </row>
    <row r="269" spans="1:14" s="12" customFormat="1" ht="25.5">
      <c r="A269" s="178" t="s">
        <v>80</v>
      </c>
      <c r="B269" s="77" t="s">
        <v>1610</v>
      </c>
      <c r="C269" s="177" t="s">
        <v>17</v>
      </c>
      <c r="D269" s="177">
        <v>1200</v>
      </c>
      <c r="E269" s="177">
        <v>600</v>
      </c>
      <c r="F269" s="177">
        <v>1200</v>
      </c>
      <c r="G269" s="177">
        <v>600</v>
      </c>
      <c r="H269" s="177">
        <f>SUM(Tabla132112415[[#This Row],[PRIMER TRIMESTRE]:[CUARTO TRIMESTRE]])</f>
        <v>3600</v>
      </c>
      <c r="I269" s="17">
        <v>573.88</v>
      </c>
      <c r="J269" s="17">
        <f t="shared" si="6"/>
        <v>2065968</v>
      </c>
      <c r="K269" s="17"/>
      <c r="L269" s="16" t="s">
        <v>18</v>
      </c>
      <c r="M269" s="16" t="s">
        <v>22</v>
      </c>
      <c r="N269" s="39" t="s">
        <v>418</v>
      </c>
    </row>
    <row r="270" spans="1:14" s="12" customFormat="1" ht="38.25">
      <c r="A270" s="178" t="s">
        <v>80</v>
      </c>
      <c r="B270" s="77" t="s">
        <v>1609</v>
      </c>
      <c r="C270" s="177" t="s">
        <v>17</v>
      </c>
      <c r="D270" s="177"/>
      <c r="E270" s="177"/>
      <c r="F270" s="177"/>
      <c r="G270" s="177"/>
      <c r="H270" s="177">
        <f>SUM(Tabla132112415[[#This Row],[PRIMER TRIMESTRE]:[CUARTO TRIMESTRE]])</f>
        <v>0</v>
      </c>
      <c r="I270" s="17">
        <v>223.86</v>
      </c>
      <c r="J270" s="17">
        <f t="shared" si="6"/>
        <v>0</v>
      </c>
      <c r="K270" s="17"/>
      <c r="L270" s="16" t="s">
        <v>18</v>
      </c>
      <c r="M270" s="16" t="s">
        <v>22</v>
      </c>
      <c r="N270" s="39" t="s">
        <v>418</v>
      </c>
    </row>
    <row r="271" spans="1:14" s="12" customFormat="1" ht="18">
      <c r="A271" s="178" t="s">
        <v>80</v>
      </c>
      <c r="B271" s="77" t="s">
        <v>1181</v>
      </c>
      <c r="C271" s="177" t="s">
        <v>17</v>
      </c>
      <c r="D271" s="176">
        <v>3</v>
      </c>
      <c r="E271" s="177"/>
      <c r="F271" s="177"/>
      <c r="G271" s="177"/>
      <c r="H271" s="499">
        <f>SUM(Tabla132112415[[#This Row],[PRIMER TRIMESTRE]:[CUARTO TRIMESTRE]])</f>
        <v>3</v>
      </c>
      <c r="I271" s="17">
        <v>175</v>
      </c>
      <c r="J271" s="17">
        <f t="shared" si="6"/>
        <v>525</v>
      </c>
      <c r="K271" s="17"/>
      <c r="L271" s="16" t="s">
        <v>18</v>
      </c>
      <c r="M271" s="16" t="s">
        <v>22</v>
      </c>
      <c r="N271" s="39" t="s">
        <v>418</v>
      </c>
    </row>
    <row r="272" spans="1:14" s="12" customFormat="1" ht="18">
      <c r="A272" s="178" t="s">
        <v>80</v>
      </c>
      <c r="B272" s="75" t="s">
        <v>730</v>
      </c>
      <c r="C272" s="177" t="s">
        <v>17</v>
      </c>
      <c r="D272" s="176">
        <v>2</v>
      </c>
      <c r="E272" s="177"/>
      <c r="F272" s="177"/>
      <c r="G272" s="177"/>
      <c r="H272" s="499">
        <f>SUM(Tabla132112415[[#This Row],[PRIMER TRIMESTRE]:[CUARTO TRIMESTRE]])</f>
        <v>2</v>
      </c>
      <c r="I272" s="17">
        <v>246.34</v>
      </c>
      <c r="J272" s="17">
        <f t="shared" si="6"/>
        <v>492.68</v>
      </c>
      <c r="K272" s="17"/>
      <c r="L272" s="16" t="s">
        <v>18</v>
      </c>
      <c r="M272" s="16" t="s">
        <v>22</v>
      </c>
      <c r="N272" s="39" t="s">
        <v>418</v>
      </c>
    </row>
    <row r="273" spans="1:14" s="12" customFormat="1" ht="18">
      <c r="A273" s="178" t="s">
        <v>80</v>
      </c>
      <c r="B273" s="75" t="s">
        <v>570</v>
      </c>
      <c r="C273" s="177" t="s">
        <v>17</v>
      </c>
      <c r="D273" s="176">
        <v>1</v>
      </c>
      <c r="E273" s="177"/>
      <c r="F273" s="177"/>
      <c r="G273" s="177"/>
      <c r="H273" s="499">
        <f>SUM(Tabla132112415[[#This Row],[PRIMER TRIMESTRE]:[CUARTO TRIMESTRE]])</f>
        <v>1</v>
      </c>
      <c r="I273" s="17">
        <v>4100</v>
      </c>
      <c r="J273" s="17">
        <f t="shared" si="6"/>
        <v>4100</v>
      </c>
      <c r="K273" s="17"/>
      <c r="L273" s="16" t="s">
        <v>18</v>
      </c>
      <c r="M273" s="16" t="s">
        <v>22</v>
      </c>
      <c r="N273" s="39" t="s">
        <v>418</v>
      </c>
    </row>
    <row r="274" spans="1:14" s="12" customFormat="1" ht="18">
      <c r="A274" s="178" t="s">
        <v>80</v>
      </c>
      <c r="B274" s="75" t="s">
        <v>919</v>
      </c>
      <c r="C274" s="177" t="s">
        <v>17</v>
      </c>
      <c r="D274" s="176"/>
      <c r="E274" s="177"/>
      <c r="F274" s="177"/>
      <c r="G274" s="177"/>
      <c r="H274" s="499">
        <f>SUM(Tabla132112415[[#This Row],[PRIMER TRIMESTRE]:[CUARTO TRIMESTRE]])</f>
        <v>0</v>
      </c>
      <c r="I274" s="17">
        <v>31500</v>
      </c>
      <c r="J274" s="17">
        <f t="shared" si="6"/>
        <v>0</v>
      </c>
      <c r="K274" s="17"/>
      <c r="L274" s="16" t="s">
        <v>18</v>
      </c>
      <c r="M274" s="16" t="s">
        <v>22</v>
      </c>
      <c r="N274" s="39"/>
    </row>
    <row r="275" spans="1:14" s="12" customFormat="1" ht="18">
      <c r="A275" s="178" t="s">
        <v>80</v>
      </c>
      <c r="B275" s="75" t="s">
        <v>1555</v>
      </c>
      <c r="C275" s="177" t="s">
        <v>17</v>
      </c>
      <c r="D275" s="176"/>
      <c r="E275" s="176"/>
      <c r="F275" s="176"/>
      <c r="G275" s="176"/>
      <c r="H275" s="176">
        <f>SUM(Tabla132112415[[#This Row],[PRIMER TRIMESTRE]:[CUARTO TRIMESTRE]])</f>
        <v>0</v>
      </c>
      <c r="I275" s="17">
        <v>324</v>
      </c>
      <c r="J275" s="17">
        <f t="shared" si="6"/>
        <v>0</v>
      </c>
      <c r="K275" s="17"/>
      <c r="L275" s="16" t="s">
        <v>18</v>
      </c>
      <c r="M275" s="16" t="s">
        <v>22</v>
      </c>
      <c r="N275" s="39"/>
    </row>
    <row r="276" spans="1:14" s="12" customFormat="1" ht="18">
      <c r="A276" s="178" t="s">
        <v>80</v>
      </c>
      <c r="B276" s="75" t="s">
        <v>1590</v>
      </c>
      <c r="C276" s="176" t="s">
        <v>17</v>
      </c>
      <c r="D276" s="176"/>
      <c r="E276" s="176"/>
      <c r="F276" s="176"/>
      <c r="G276" s="176"/>
      <c r="H276" s="176">
        <f>SUM(Tabla132112415[[#This Row],[PRIMER TRIMESTRE]:[CUARTO TRIMESTRE]])</f>
        <v>0</v>
      </c>
      <c r="I276" s="17">
        <v>196.4</v>
      </c>
      <c r="J276" s="17">
        <f t="shared" si="6"/>
        <v>0</v>
      </c>
      <c r="K276" s="17"/>
      <c r="L276" s="16" t="s">
        <v>18</v>
      </c>
      <c r="M276" s="16" t="s">
        <v>22</v>
      </c>
      <c r="N276" s="39"/>
    </row>
    <row r="277" spans="1:14" s="12" customFormat="1" ht="18">
      <c r="A277" s="178" t="s">
        <v>80</v>
      </c>
      <c r="B277" s="75" t="s">
        <v>1556</v>
      </c>
      <c r="C277" s="176" t="s">
        <v>17</v>
      </c>
      <c r="D277" s="176"/>
      <c r="E277" s="176"/>
      <c r="F277" s="176"/>
      <c r="G277" s="176"/>
      <c r="H277" s="176">
        <f>SUM(Tabla132112415[[#This Row],[PRIMER TRIMESTRE]:[CUARTO TRIMESTRE]])</f>
        <v>0</v>
      </c>
      <c r="I277" s="17">
        <v>390</v>
      </c>
      <c r="J277" s="17">
        <f t="shared" si="6"/>
        <v>0</v>
      </c>
      <c r="K277" s="17"/>
      <c r="L277" s="16" t="s">
        <v>18</v>
      </c>
      <c r="M277" s="16" t="s">
        <v>22</v>
      </c>
      <c r="N277" s="39"/>
    </row>
    <row r="278" spans="1:14" s="12" customFormat="1" ht="25.5">
      <c r="A278" s="178" t="s">
        <v>80</v>
      </c>
      <c r="B278" s="77" t="s">
        <v>925</v>
      </c>
      <c r="C278" s="176" t="s">
        <v>93</v>
      </c>
      <c r="D278" s="176"/>
      <c r="E278" s="176"/>
      <c r="F278" s="176"/>
      <c r="G278" s="176"/>
      <c r="H278" s="499">
        <f>SUM(Tabla132112415[[#This Row],[PRIMER TRIMESTRE]:[CUARTO TRIMESTRE]])</f>
        <v>0</v>
      </c>
      <c r="I278" s="17">
        <v>125</v>
      </c>
      <c r="J278" s="17">
        <f t="shared" si="6"/>
        <v>0</v>
      </c>
      <c r="K278" s="17"/>
      <c r="L278" s="16" t="s">
        <v>18</v>
      </c>
      <c r="M278" s="16" t="s">
        <v>22</v>
      </c>
      <c r="N278" s="39"/>
    </row>
    <row r="279" spans="1:14" s="12" customFormat="1" ht="25.5">
      <c r="A279" s="178" t="s">
        <v>80</v>
      </c>
      <c r="B279" s="77" t="s">
        <v>926</v>
      </c>
      <c r="C279" s="176" t="s">
        <v>93</v>
      </c>
      <c r="D279" s="176"/>
      <c r="E279" s="176"/>
      <c r="F279" s="176"/>
      <c r="G279" s="176"/>
      <c r="H279" s="499">
        <f>SUM(Tabla132112415[[#This Row],[PRIMER TRIMESTRE]:[CUARTO TRIMESTRE]])</f>
        <v>0</v>
      </c>
      <c r="I279" s="17">
        <v>150</v>
      </c>
      <c r="J279" s="17">
        <f t="shared" si="6"/>
        <v>0</v>
      </c>
      <c r="K279" s="17"/>
      <c r="L279" s="16" t="s">
        <v>18</v>
      </c>
      <c r="M279" s="16" t="s">
        <v>22</v>
      </c>
      <c r="N279" s="39"/>
    </row>
    <row r="280" spans="1:14" s="12" customFormat="1" ht="18">
      <c r="A280" s="178" t="s">
        <v>80</v>
      </c>
      <c r="B280" s="77" t="s">
        <v>927</v>
      </c>
      <c r="C280" s="176" t="s">
        <v>17</v>
      </c>
      <c r="D280" s="176"/>
      <c r="E280" s="176"/>
      <c r="F280" s="176"/>
      <c r="G280" s="176"/>
      <c r="H280" s="499">
        <f>SUM(Tabla132112415[[#This Row],[PRIMER TRIMESTRE]:[CUARTO TRIMESTRE]])</f>
        <v>0</v>
      </c>
      <c r="I280" s="17">
        <v>25000</v>
      </c>
      <c r="J280" s="17">
        <f t="shared" si="6"/>
        <v>0</v>
      </c>
      <c r="K280" s="17"/>
      <c r="L280" s="16" t="s">
        <v>18</v>
      </c>
      <c r="M280" s="16" t="s">
        <v>22</v>
      </c>
      <c r="N280" s="39"/>
    </row>
    <row r="281" spans="1:14" s="12" customFormat="1" ht="18">
      <c r="A281" s="178" t="s">
        <v>80</v>
      </c>
      <c r="B281" s="77" t="s">
        <v>928</v>
      </c>
      <c r="C281" s="176" t="s">
        <v>17</v>
      </c>
      <c r="D281" s="176"/>
      <c r="E281" s="176"/>
      <c r="F281" s="176"/>
      <c r="G281" s="176"/>
      <c r="H281" s="499">
        <f>SUM(Tabla132112415[[#This Row],[PRIMER TRIMESTRE]:[CUARTO TRIMESTRE]])</f>
        <v>0</v>
      </c>
      <c r="I281" s="17">
        <v>10000</v>
      </c>
      <c r="J281" s="17">
        <f t="shared" si="6"/>
        <v>0</v>
      </c>
      <c r="K281" s="17"/>
      <c r="L281" s="16" t="s">
        <v>18</v>
      </c>
      <c r="M281" s="16" t="s">
        <v>22</v>
      </c>
      <c r="N281" s="39"/>
    </row>
    <row r="282" spans="1:14" s="12" customFormat="1" ht="18">
      <c r="A282" s="178" t="s">
        <v>80</v>
      </c>
      <c r="B282" s="77" t="s">
        <v>929</v>
      </c>
      <c r="C282" s="176" t="s">
        <v>17</v>
      </c>
      <c r="D282" s="176"/>
      <c r="E282" s="176"/>
      <c r="F282" s="176"/>
      <c r="G282" s="176"/>
      <c r="H282" s="499">
        <f>SUM(Tabla132112415[[#This Row],[PRIMER TRIMESTRE]:[CUARTO TRIMESTRE]])</f>
        <v>0</v>
      </c>
      <c r="I282" s="17">
        <v>1000</v>
      </c>
      <c r="J282" s="17">
        <f t="shared" si="6"/>
        <v>0</v>
      </c>
      <c r="K282" s="17"/>
      <c r="L282" s="16" t="s">
        <v>18</v>
      </c>
      <c r="M282" s="16" t="s">
        <v>22</v>
      </c>
      <c r="N282" s="39"/>
    </row>
    <row r="283" spans="1:14" s="12" customFormat="1" ht="18">
      <c r="A283" s="178" t="s">
        <v>80</v>
      </c>
      <c r="B283" s="77" t="s">
        <v>930</v>
      </c>
      <c r="C283" s="176" t="s">
        <v>17</v>
      </c>
      <c r="D283" s="176"/>
      <c r="E283" s="176"/>
      <c r="F283" s="176"/>
      <c r="G283" s="176"/>
      <c r="H283" s="499">
        <f>SUM(Tabla132112415[[#This Row],[PRIMER TRIMESTRE]:[CUARTO TRIMESTRE]])</f>
        <v>0</v>
      </c>
      <c r="I283" s="17">
        <v>2500</v>
      </c>
      <c r="J283" s="17">
        <f t="shared" si="6"/>
        <v>0</v>
      </c>
      <c r="K283" s="17"/>
      <c r="L283" s="16" t="s">
        <v>18</v>
      </c>
      <c r="M283" s="16" t="s">
        <v>22</v>
      </c>
      <c r="N283" s="39"/>
    </row>
    <row r="284" spans="1:14" s="12" customFormat="1" ht="18">
      <c r="A284" s="178" t="s">
        <v>80</v>
      </c>
      <c r="B284" s="77" t="s">
        <v>931</v>
      </c>
      <c r="C284" s="176" t="s">
        <v>17</v>
      </c>
      <c r="D284" s="176"/>
      <c r="E284" s="176"/>
      <c r="F284" s="176"/>
      <c r="G284" s="176"/>
      <c r="H284" s="499">
        <f>SUM(Tabla132112415[[#This Row],[PRIMER TRIMESTRE]:[CUARTO TRIMESTRE]])</f>
        <v>0</v>
      </c>
      <c r="I284" s="17">
        <v>5000</v>
      </c>
      <c r="J284" s="17">
        <f t="shared" si="6"/>
        <v>0</v>
      </c>
      <c r="K284" s="17"/>
      <c r="L284" s="16" t="s">
        <v>18</v>
      </c>
      <c r="M284" s="16" t="s">
        <v>22</v>
      </c>
      <c r="N284" s="39"/>
    </row>
    <row r="285" spans="1:14" s="12" customFormat="1" ht="18">
      <c r="A285" s="178" t="s">
        <v>80</v>
      </c>
      <c r="B285" s="75" t="s">
        <v>694</v>
      </c>
      <c r="C285" s="177" t="s">
        <v>17</v>
      </c>
      <c r="D285" s="176"/>
      <c r="E285" s="177"/>
      <c r="F285" s="177"/>
      <c r="G285" s="177"/>
      <c r="H285" s="499">
        <f>SUM(Tabla132112415[[#This Row],[PRIMER TRIMESTRE]:[CUARTO TRIMESTRE]])</f>
        <v>0</v>
      </c>
      <c r="I285" s="72">
        <v>850</v>
      </c>
      <c r="J285" s="17">
        <f t="shared" si="6"/>
        <v>0</v>
      </c>
      <c r="K285" s="17"/>
      <c r="L285" s="16" t="s">
        <v>18</v>
      </c>
      <c r="M285" s="16" t="s">
        <v>22</v>
      </c>
      <c r="N285" s="39" t="s">
        <v>418</v>
      </c>
    </row>
    <row r="286" spans="1:14" s="12" customFormat="1" ht="18">
      <c r="A286" s="178" t="s">
        <v>80</v>
      </c>
      <c r="B286" s="75" t="s">
        <v>695</v>
      </c>
      <c r="C286" s="177" t="s">
        <v>17</v>
      </c>
      <c r="D286" s="176"/>
      <c r="E286" s="177"/>
      <c r="F286" s="177"/>
      <c r="G286" s="177"/>
      <c r="H286" s="499">
        <f>SUM(Tabla132112415[[#This Row],[PRIMER TRIMESTRE]:[CUARTO TRIMESTRE]])</f>
        <v>0</v>
      </c>
      <c r="I286" s="72">
        <v>850</v>
      </c>
      <c r="J286" s="17">
        <f t="shared" si="6"/>
        <v>0</v>
      </c>
      <c r="K286" s="17"/>
      <c r="L286" s="16" t="s">
        <v>18</v>
      </c>
      <c r="M286" s="16" t="s">
        <v>22</v>
      </c>
      <c r="N286" s="39" t="s">
        <v>418</v>
      </c>
    </row>
    <row r="287" spans="1:14" s="12" customFormat="1" ht="18">
      <c r="A287" s="178" t="s">
        <v>80</v>
      </c>
      <c r="B287" s="75" t="s">
        <v>1182</v>
      </c>
      <c r="C287" s="177" t="s">
        <v>17</v>
      </c>
      <c r="D287" s="176"/>
      <c r="E287" s="177"/>
      <c r="F287" s="177"/>
      <c r="G287" s="177"/>
      <c r="H287" s="499">
        <f>SUM(Tabla132112415[[#This Row],[PRIMER TRIMESTRE]:[CUARTO TRIMESTRE]])</f>
        <v>0</v>
      </c>
      <c r="I287" s="72">
        <v>850</v>
      </c>
      <c r="J287" s="17">
        <f t="shared" si="6"/>
        <v>0</v>
      </c>
      <c r="K287" s="17"/>
      <c r="L287" s="16" t="s">
        <v>18</v>
      </c>
      <c r="M287" s="16" t="s">
        <v>22</v>
      </c>
      <c r="N287" s="39" t="s">
        <v>418</v>
      </c>
    </row>
    <row r="288" spans="1:14" s="12" customFormat="1" ht="18">
      <c r="A288" s="178" t="s">
        <v>80</v>
      </c>
      <c r="B288" s="75" t="s">
        <v>1183</v>
      </c>
      <c r="C288" s="177" t="s">
        <v>17</v>
      </c>
      <c r="D288" s="176"/>
      <c r="E288" s="177"/>
      <c r="F288" s="177"/>
      <c r="G288" s="177"/>
      <c r="H288" s="499">
        <f>SUM(Tabla132112415[[#This Row],[PRIMER TRIMESTRE]:[CUARTO TRIMESTRE]])</f>
        <v>0</v>
      </c>
      <c r="I288" s="72">
        <v>850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</row>
    <row r="289" spans="1:14" s="12" customFormat="1" ht="18">
      <c r="A289" s="178" t="s">
        <v>80</v>
      </c>
      <c r="B289" s="75" t="s">
        <v>1184</v>
      </c>
      <c r="C289" s="177" t="s">
        <v>17</v>
      </c>
      <c r="D289" s="176"/>
      <c r="E289" s="177"/>
      <c r="F289" s="177"/>
      <c r="G289" s="177"/>
      <c r="H289" s="499">
        <f>SUM(Tabla132112415[[#This Row],[PRIMER TRIMESTRE]:[CUARTO TRIMESTRE]])</f>
        <v>0</v>
      </c>
      <c r="I289" s="72">
        <v>850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</row>
    <row r="290" spans="1:14" s="12" customFormat="1" ht="18">
      <c r="A290" s="178" t="s">
        <v>80</v>
      </c>
      <c r="B290" s="75" t="s">
        <v>1185</v>
      </c>
      <c r="C290" s="177" t="s">
        <v>17</v>
      </c>
      <c r="D290" s="176"/>
      <c r="E290" s="177"/>
      <c r="F290" s="177"/>
      <c r="G290" s="177"/>
      <c r="H290" s="499">
        <f>SUM(Tabla132112415[[#This Row],[PRIMER TRIMESTRE]:[CUARTO TRIMESTRE]])</f>
        <v>0</v>
      </c>
      <c r="I290" s="72">
        <v>850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</row>
    <row r="291" spans="1:14" s="12" customFormat="1" ht="18">
      <c r="A291" s="178" t="s">
        <v>80</v>
      </c>
      <c r="B291" s="75" t="s">
        <v>696</v>
      </c>
      <c r="C291" s="177" t="s">
        <v>17</v>
      </c>
      <c r="D291" s="176"/>
      <c r="E291" s="177"/>
      <c r="F291" s="177"/>
      <c r="G291" s="177"/>
      <c r="H291" s="499">
        <f>SUM(Tabla132112415[[#This Row],[PRIMER TRIMESTRE]:[CUARTO TRIMESTRE]])</f>
        <v>0</v>
      </c>
      <c r="I291" s="72">
        <v>970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</row>
    <row r="292" spans="1:14" s="12" customFormat="1" ht="18">
      <c r="A292" s="178" t="s">
        <v>80</v>
      </c>
      <c r="B292" s="75" t="s">
        <v>1186</v>
      </c>
      <c r="C292" s="177" t="s">
        <v>17</v>
      </c>
      <c r="D292" s="176"/>
      <c r="E292" s="177"/>
      <c r="F292" s="177"/>
      <c r="G292" s="177"/>
      <c r="H292" s="499">
        <f>SUM(Tabla132112415[[#This Row],[PRIMER TRIMESTRE]:[CUARTO TRIMESTRE]])</f>
        <v>0</v>
      </c>
      <c r="I292" s="72">
        <v>850</v>
      </c>
      <c r="J292" s="17">
        <f t="shared" si="6"/>
        <v>0</v>
      </c>
      <c r="K292" s="17"/>
      <c r="L292" s="16" t="s">
        <v>18</v>
      </c>
      <c r="M292" s="16" t="s">
        <v>22</v>
      </c>
      <c r="N292" s="39" t="s">
        <v>418</v>
      </c>
    </row>
    <row r="293" spans="1:14" s="12" customFormat="1" ht="18">
      <c r="A293" s="178" t="s">
        <v>80</v>
      </c>
      <c r="B293" s="75" t="s">
        <v>1187</v>
      </c>
      <c r="C293" s="177" t="s">
        <v>17</v>
      </c>
      <c r="D293" s="176"/>
      <c r="E293" s="177"/>
      <c r="F293" s="177"/>
      <c r="G293" s="177"/>
      <c r="H293" s="499">
        <f>SUM(Tabla132112415[[#This Row],[PRIMER TRIMESTRE]:[CUARTO TRIMESTRE]])</f>
        <v>0</v>
      </c>
      <c r="I293" s="72">
        <v>850</v>
      </c>
      <c r="J293" s="17">
        <f t="shared" si="6"/>
        <v>0</v>
      </c>
      <c r="K293" s="17"/>
      <c r="L293" s="16" t="s">
        <v>18</v>
      </c>
      <c r="M293" s="16" t="s">
        <v>22</v>
      </c>
      <c r="N293" s="39" t="s">
        <v>418</v>
      </c>
    </row>
    <row r="294" spans="1:14" s="12" customFormat="1" ht="18">
      <c r="A294" s="178" t="s">
        <v>80</v>
      </c>
      <c r="B294" s="75" t="s">
        <v>1188</v>
      </c>
      <c r="C294" s="177" t="s">
        <v>17</v>
      </c>
      <c r="D294" s="176"/>
      <c r="E294" s="177"/>
      <c r="F294" s="177"/>
      <c r="G294" s="177"/>
      <c r="H294" s="499">
        <f>SUM(Tabla132112415[[#This Row],[PRIMER TRIMESTRE]:[CUARTO TRIMESTRE]])</f>
        <v>0</v>
      </c>
      <c r="I294" s="72">
        <v>850</v>
      </c>
      <c r="J294" s="17">
        <f t="shared" si="6"/>
        <v>0</v>
      </c>
      <c r="K294" s="17"/>
      <c r="L294" s="16" t="s">
        <v>18</v>
      </c>
      <c r="M294" s="16" t="s">
        <v>22</v>
      </c>
      <c r="N294" s="39" t="s">
        <v>418</v>
      </c>
    </row>
    <row r="295" spans="1:14" s="12" customFormat="1" ht="18">
      <c r="A295" s="178" t="s">
        <v>80</v>
      </c>
      <c r="B295" s="75" t="s">
        <v>1189</v>
      </c>
      <c r="C295" s="177" t="s">
        <v>17</v>
      </c>
      <c r="D295" s="176"/>
      <c r="E295" s="177"/>
      <c r="F295" s="177"/>
      <c r="G295" s="177"/>
      <c r="H295" s="499">
        <f>SUM(Tabla132112415[[#This Row],[PRIMER TRIMESTRE]:[CUARTO TRIMESTRE]])</f>
        <v>0</v>
      </c>
      <c r="I295" s="72">
        <v>850</v>
      </c>
      <c r="J295" s="17">
        <f t="shared" si="6"/>
        <v>0</v>
      </c>
      <c r="K295" s="17"/>
      <c r="L295" s="16" t="s">
        <v>18</v>
      </c>
      <c r="M295" s="16" t="s">
        <v>22</v>
      </c>
      <c r="N295" s="39" t="s">
        <v>418</v>
      </c>
    </row>
    <row r="296" spans="1:14" s="12" customFormat="1" ht="18">
      <c r="A296" s="178" t="s">
        <v>80</v>
      </c>
      <c r="B296" s="75" t="s">
        <v>1190</v>
      </c>
      <c r="C296" s="177" t="s">
        <v>17</v>
      </c>
      <c r="D296" s="176"/>
      <c r="E296" s="177"/>
      <c r="F296" s="177"/>
      <c r="G296" s="177"/>
      <c r="H296" s="499">
        <f>SUM(Tabla132112415[[#This Row],[PRIMER TRIMESTRE]:[CUARTO TRIMESTRE]])</f>
        <v>0</v>
      </c>
      <c r="I296" s="72">
        <v>970</v>
      </c>
      <c r="J296" s="17">
        <f t="shared" si="6"/>
        <v>0</v>
      </c>
      <c r="K296" s="17"/>
      <c r="L296" s="16" t="s">
        <v>18</v>
      </c>
      <c r="M296" s="16" t="s">
        <v>22</v>
      </c>
      <c r="N296" s="39" t="s">
        <v>418</v>
      </c>
    </row>
    <row r="297" spans="1:14" s="12" customFormat="1" ht="18">
      <c r="A297" s="178" t="s">
        <v>80</v>
      </c>
      <c r="B297" s="75" t="s">
        <v>1191</v>
      </c>
      <c r="C297" s="177" t="s">
        <v>17</v>
      </c>
      <c r="D297" s="176"/>
      <c r="E297" s="177"/>
      <c r="F297" s="177"/>
      <c r="G297" s="177"/>
      <c r="H297" s="499">
        <f>SUM(Tabla132112415[[#This Row],[PRIMER TRIMESTRE]:[CUARTO TRIMESTRE]])</f>
        <v>0</v>
      </c>
      <c r="I297" s="72">
        <v>970</v>
      </c>
      <c r="J297" s="17">
        <f t="shared" si="6"/>
        <v>0</v>
      </c>
      <c r="K297" s="17"/>
      <c r="L297" s="16" t="s">
        <v>18</v>
      </c>
      <c r="M297" s="16" t="s">
        <v>22</v>
      </c>
      <c r="N297" s="39" t="s">
        <v>418</v>
      </c>
    </row>
    <row r="298" spans="1:14" s="12" customFormat="1" ht="18">
      <c r="A298" s="178" t="s">
        <v>80</v>
      </c>
      <c r="B298" s="75" t="s">
        <v>1192</v>
      </c>
      <c r="C298" s="177" t="s">
        <v>17</v>
      </c>
      <c r="D298" s="176"/>
      <c r="E298" s="177"/>
      <c r="F298" s="177"/>
      <c r="G298" s="177"/>
      <c r="H298" s="499">
        <f>SUM(Tabla132112415[[#This Row],[PRIMER TRIMESTRE]:[CUARTO TRIMESTRE]])</f>
        <v>0</v>
      </c>
      <c r="I298" s="72">
        <v>970</v>
      </c>
      <c r="J298" s="17">
        <f t="shared" si="6"/>
        <v>0</v>
      </c>
      <c r="K298" s="17"/>
      <c r="L298" s="16" t="s">
        <v>18</v>
      </c>
      <c r="M298" s="16" t="s">
        <v>22</v>
      </c>
      <c r="N298" s="39" t="s">
        <v>418</v>
      </c>
    </row>
    <row r="299" spans="1:14" s="12" customFormat="1" ht="18">
      <c r="A299" s="178" t="s">
        <v>80</v>
      </c>
      <c r="B299" s="75" t="s">
        <v>1193</v>
      </c>
      <c r="C299" s="177" t="s">
        <v>17</v>
      </c>
      <c r="D299" s="176"/>
      <c r="E299" s="177"/>
      <c r="F299" s="177"/>
      <c r="G299" s="177"/>
      <c r="H299" s="499">
        <f>SUM(Tabla132112415[[#This Row],[PRIMER TRIMESTRE]:[CUARTO TRIMESTRE]])</f>
        <v>0</v>
      </c>
      <c r="I299" s="72">
        <v>970</v>
      </c>
      <c r="J299" s="17">
        <f t="shared" si="6"/>
        <v>0</v>
      </c>
      <c r="K299" s="17"/>
      <c r="L299" s="16" t="s">
        <v>18</v>
      </c>
      <c r="M299" s="16" t="s">
        <v>22</v>
      </c>
      <c r="N299" s="39" t="s">
        <v>418</v>
      </c>
    </row>
    <row r="300" spans="1:14" s="12" customFormat="1" ht="18">
      <c r="A300" s="178" t="s">
        <v>80</v>
      </c>
      <c r="B300" s="75" t="s">
        <v>1194</v>
      </c>
      <c r="C300" s="177" t="s">
        <v>17</v>
      </c>
      <c r="D300" s="176"/>
      <c r="E300" s="177"/>
      <c r="F300" s="177"/>
      <c r="G300" s="177"/>
      <c r="H300" s="499">
        <f>SUM(Tabla132112415[[#This Row],[PRIMER TRIMESTRE]:[CUARTO TRIMESTRE]])</f>
        <v>0</v>
      </c>
      <c r="I300" s="72">
        <v>970</v>
      </c>
      <c r="J300" s="17">
        <f t="shared" si="6"/>
        <v>0</v>
      </c>
      <c r="K300" s="17"/>
      <c r="L300" s="16" t="s">
        <v>18</v>
      </c>
      <c r="M300" s="16" t="s">
        <v>22</v>
      </c>
      <c r="N300" s="39" t="s">
        <v>418</v>
      </c>
    </row>
    <row r="301" spans="1:14" s="12" customFormat="1" ht="18">
      <c r="A301" s="178" t="s">
        <v>80</v>
      </c>
      <c r="B301" s="75" t="s">
        <v>1195</v>
      </c>
      <c r="C301" s="177" t="s">
        <v>17</v>
      </c>
      <c r="D301" s="176"/>
      <c r="E301" s="177"/>
      <c r="F301" s="177"/>
      <c r="G301" s="177"/>
      <c r="H301" s="499">
        <f>SUM(Tabla132112415[[#This Row],[PRIMER TRIMESTRE]:[CUARTO TRIMESTRE]])</f>
        <v>0</v>
      </c>
      <c r="I301" s="72">
        <v>1870</v>
      </c>
      <c r="J301" s="17">
        <f t="shared" si="6"/>
        <v>0</v>
      </c>
      <c r="K301" s="17"/>
      <c r="L301" s="16" t="s">
        <v>18</v>
      </c>
      <c r="M301" s="16" t="s">
        <v>22</v>
      </c>
      <c r="N301" s="39" t="s">
        <v>418</v>
      </c>
    </row>
    <row r="302" spans="1:14" s="12" customFormat="1" ht="18">
      <c r="A302" s="178" t="s">
        <v>80</v>
      </c>
      <c r="B302" s="75" t="s">
        <v>1196</v>
      </c>
      <c r="C302" s="177" t="s">
        <v>17</v>
      </c>
      <c r="D302" s="176"/>
      <c r="E302" s="177"/>
      <c r="F302" s="177"/>
      <c r="G302" s="177"/>
      <c r="H302" s="499">
        <f>SUM(Tabla132112415[[#This Row],[PRIMER TRIMESTRE]:[CUARTO TRIMESTRE]])</f>
        <v>0</v>
      </c>
      <c r="I302" s="72">
        <v>2150</v>
      </c>
      <c r="J302" s="17">
        <f t="shared" si="6"/>
        <v>0</v>
      </c>
      <c r="K302" s="17"/>
      <c r="L302" s="16" t="s">
        <v>18</v>
      </c>
      <c r="M302" s="16" t="s">
        <v>22</v>
      </c>
      <c r="N302" s="39" t="s">
        <v>418</v>
      </c>
    </row>
    <row r="303" spans="1:14" s="12" customFormat="1" ht="18">
      <c r="A303" s="178" t="s">
        <v>80</v>
      </c>
      <c r="B303" s="75" t="s">
        <v>1197</v>
      </c>
      <c r="C303" s="177" t="s">
        <v>17</v>
      </c>
      <c r="D303" s="176"/>
      <c r="E303" s="177"/>
      <c r="F303" s="177"/>
      <c r="G303" s="177"/>
      <c r="H303" s="499">
        <f>SUM(Tabla132112415[[#This Row],[PRIMER TRIMESTRE]:[CUARTO TRIMESTRE]])</f>
        <v>0</v>
      </c>
      <c r="I303" s="72">
        <v>2860</v>
      </c>
      <c r="J303" s="17">
        <f t="shared" si="6"/>
        <v>0</v>
      </c>
      <c r="K303" s="17"/>
      <c r="L303" s="16" t="s">
        <v>18</v>
      </c>
      <c r="M303" s="16" t="s">
        <v>22</v>
      </c>
      <c r="N303" s="39" t="s">
        <v>418</v>
      </c>
    </row>
    <row r="304" spans="1:14" s="12" customFormat="1" ht="18">
      <c r="A304" s="178" t="s">
        <v>80</v>
      </c>
      <c r="B304" s="75" t="s">
        <v>1198</v>
      </c>
      <c r="C304" s="177" t="s">
        <v>17</v>
      </c>
      <c r="D304" s="176"/>
      <c r="E304" s="177"/>
      <c r="F304" s="177"/>
      <c r="G304" s="177"/>
      <c r="H304" s="499">
        <f>SUM(Tabla132112415[[#This Row],[PRIMER TRIMESTRE]:[CUARTO TRIMESTRE]])</f>
        <v>0</v>
      </c>
      <c r="I304" s="72">
        <v>2860</v>
      </c>
      <c r="J304" s="17">
        <f t="shared" si="6"/>
        <v>0</v>
      </c>
      <c r="K304" s="17"/>
      <c r="L304" s="16" t="s">
        <v>18</v>
      </c>
      <c r="M304" s="16" t="s">
        <v>22</v>
      </c>
      <c r="N304" s="39" t="s">
        <v>418</v>
      </c>
    </row>
    <row r="305" spans="1:14" s="12" customFormat="1" ht="18">
      <c r="A305" s="178" t="s">
        <v>80</v>
      </c>
      <c r="B305" s="75" t="s">
        <v>1199</v>
      </c>
      <c r="C305" s="177" t="s">
        <v>17</v>
      </c>
      <c r="D305" s="176"/>
      <c r="E305" s="177"/>
      <c r="F305" s="177"/>
      <c r="G305" s="177"/>
      <c r="H305" s="499">
        <f>SUM(Tabla132112415[[#This Row],[PRIMER TRIMESTRE]:[CUARTO TRIMESTRE]])</f>
        <v>0</v>
      </c>
      <c r="I305" s="72">
        <v>2860</v>
      </c>
      <c r="J305" s="17">
        <f t="shared" si="6"/>
        <v>0</v>
      </c>
      <c r="K305" s="17"/>
      <c r="L305" s="16" t="s">
        <v>18</v>
      </c>
      <c r="M305" s="16" t="s">
        <v>22</v>
      </c>
      <c r="N305" s="39" t="s">
        <v>418</v>
      </c>
    </row>
    <row r="306" spans="1:14" s="12" customFormat="1" ht="18">
      <c r="A306" s="178" t="s">
        <v>80</v>
      </c>
      <c r="B306" s="75" t="s">
        <v>1200</v>
      </c>
      <c r="C306" s="177" t="s">
        <v>17</v>
      </c>
      <c r="D306" s="176"/>
      <c r="E306" s="177"/>
      <c r="F306" s="177"/>
      <c r="G306" s="177"/>
      <c r="H306" s="499">
        <f>SUM(Tabla132112415[[#This Row],[PRIMER TRIMESTRE]:[CUARTO TRIMESTRE]])</f>
        <v>0</v>
      </c>
      <c r="I306" s="72">
        <v>2860</v>
      </c>
      <c r="J306" s="17">
        <f t="shared" si="6"/>
        <v>0</v>
      </c>
      <c r="K306" s="17"/>
      <c r="L306" s="16" t="s">
        <v>18</v>
      </c>
      <c r="M306" s="16" t="s">
        <v>22</v>
      </c>
      <c r="N306" s="39" t="s">
        <v>418</v>
      </c>
    </row>
    <row r="307" spans="1:14" s="12" customFormat="1" ht="18">
      <c r="A307" s="178" t="s">
        <v>80</v>
      </c>
      <c r="B307" s="75" t="s">
        <v>697</v>
      </c>
      <c r="C307" s="177" t="s">
        <v>17</v>
      </c>
      <c r="D307" s="176"/>
      <c r="E307" s="177"/>
      <c r="F307" s="177"/>
      <c r="G307" s="177"/>
      <c r="H307" s="499">
        <f>SUM(Tabla132112415[[#This Row],[PRIMER TRIMESTRE]:[CUARTO TRIMESTRE]])</f>
        <v>0</v>
      </c>
      <c r="I307" s="72">
        <v>1870</v>
      </c>
      <c r="J307" s="17">
        <f t="shared" si="6"/>
        <v>0</v>
      </c>
      <c r="K307" s="17"/>
      <c r="L307" s="16" t="s">
        <v>18</v>
      </c>
      <c r="M307" s="16" t="s">
        <v>22</v>
      </c>
      <c r="N307" s="39" t="s">
        <v>418</v>
      </c>
    </row>
    <row r="308" spans="1:14" s="12" customFormat="1" ht="18">
      <c r="A308" s="178" t="s">
        <v>80</v>
      </c>
      <c r="B308" s="75" t="s">
        <v>698</v>
      </c>
      <c r="C308" s="176" t="s">
        <v>17</v>
      </c>
      <c r="D308" s="176"/>
      <c r="E308" s="176"/>
      <c r="F308" s="176"/>
      <c r="G308" s="176"/>
      <c r="H308" s="499">
        <f>SUM(Tabla132112415[[#This Row],[PRIMER TRIMESTRE]:[CUARTO TRIMESTRE]])</f>
        <v>0</v>
      </c>
      <c r="I308" s="72">
        <v>2150</v>
      </c>
      <c r="J308" s="17">
        <f t="shared" si="6"/>
        <v>0</v>
      </c>
      <c r="K308" s="17"/>
      <c r="L308" s="16" t="s">
        <v>18</v>
      </c>
      <c r="M308" s="16" t="s">
        <v>22</v>
      </c>
      <c r="N308" s="39" t="s">
        <v>418</v>
      </c>
    </row>
    <row r="309" spans="1:14" s="12" customFormat="1" ht="18">
      <c r="A309" s="178" t="s">
        <v>80</v>
      </c>
      <c r="B309" s="75" t="s">
        <v>699</v>
      </c>
      <c r="C309" s="176" t="s">
        <v>17</v>
      </c>
      <c r="D309" s="176"/>
      <c r="E309" s="176"/>
      <c r="F309" s="176"/>
      <c r="G309" s="176"/>
      <c r="H309" s="499">
        <f>SUM(Tabla132112415[[#This Row],[PRIMER TRIMESTRE]:[CUARTO TRIMESTRE]])</f>
        <v>0</v>
      </c>
      <c r="I309" s="72">
        <v>2860</v>
      </c>
      <c r="J309" s="17">
        <f t="shared" si="6"/>
        <v>0</v>
      </c>
      <c r="K309" s="17"/>
      <c r="L309" s="16" t="s">
        <v>18</v>
      </c>
      <c r="M309" s="16" t="s">
        <v>22</v>
      </c>
      <c r="N309" s="39" t="s">
        <v>418</v>
      </c>
    </row>
    <row r="310" spans="1:14" s="12" customFormat="1" ht="18">
      <c r="A310" s="178" t="s">
        <v>80</v>
      </c>
      <c r="B310" s="75" t="s">
        <v>1201</v>
      </c>
      <c r="C310" s="176" t="s">
        <v>17</v>
      </c>
      <c r="D310" s="176"/>
      <c r="E310" s="176"/>
      <c r="F310" s="176"/>
      <c r="G310" s="176"/>
      <c r="H310" s="499">
        <f>SUM(Tabla132112415[[#This Row],[PRIMER TRIMESTRE]:[CUARTO TRIMESTRE]])</f>
        <v>0</v>
      </c>
      <c r="I310" s="72">
        <v>250</v>
      </c>
      <c r="J310" s="17">
        <f t="shared" si="6"/>
        <v>0</v>
      </c>
      <c r="K310" s="17"/>
      <c r="L310" s="16" t="s">
        <v>18</v>
      </c>
      <c r="M310" s="16" t="s">
        <v>22</v>
      </c>
      <c r="N310" s="39" t="s">
        <v>418</v>
      </c>
    </row>
    <row r="311" spans="1:14" s="12" customFormat="1" ht="18">
      <c r="A311" s="178" t="s">
        <v>80</v>
      </c>
      <c r="B311" s="75" t="s">
        <v>1202</v>
      </c>
      <c r="C311" s="176" t="s">
        <v>17</v>
      </c>
      <c r="D311" s="176"/>
      <c r="E311" s="176"/>
      <c r="F311" s="176"/>
      <c r="G311" s="176"/>
      <c r="H311" s="499">
        <f>SUM(Tabla132112415[[#This Row],[PRIMER TRIMESTRE]:[CUARTO TRIMESTRE]])</f>
        <v>0</v>
      </c>
      <c r="I311" s="72">
        <v>275</v>
      </c>
      <c r="J311" s="17">
        <f t="shared" si="6"/>
        <v>0</v>
      </c>
      <c r="K311" s="17"/>
      <c r="L311" s="16" t="s">
        <v>18</v>
      </c>
      <c r="M311" s="16" t="s">
        <v>22</v>
      </c>
      <c r="N311" s="39" t="s">
        <v>418</v>
      </c>
    </row>
    <row r="312" spans="1:14" s="12" customFormat="1" ht="18">
      <c r="A312" s="178" t="s">
        <v>80</v>
      </c>
      <c r="B312" s="75" t="s">
        <v>1203</v>
      </c>
      <c r="C312" s="176" t="s">
        <v>17</v>
      </c>
      <c r="D312" s="176"/>
      <c r="E312" s="176"/>
      <c r="F312" s="176"/>
      <c r="G312" s="176"/>
      <c r="H312" s="499">
        <f>SUM(Tabla132112415[[#This Row],[PRIMER TRIMESTRE]:[CUARTO TRIMESTRE]])</f>
        <v>0</v>
      </c>
      <c r="I312" s="72">
        <v>300</v>
      </c>
      <c r="J312" s="17">
        <f t="shared" si="6"/>
        <v>0</v>
      </c>
      <c r="K312" s="17"/>
      <c r="L312" s="16" t="s">
        <v>18</v>
      </c>
      <c r="M312" s="16" t="s">
        <v>22</v>
      </c>
      <c r="N312" s="39" t="s">
        <v>418</v>
      </c>
    </row>
    <row r="313" spans="1:14" s="12" customFormat="1" ht="18">
      <c r="A313" s="178" t="s">
        <v>80</v>
      </c>
      <c r="B313" s="75" t="s">
        <v>1204</v>
      </c>
      <c r="C313" s="176" t="s">
        <v>17</v>
      </c>
      <c r="D313" s="176"/>
      <c r="E313" s="176"/>
      <c r="F313" s="176"/>
      <c r="G313" s="176"/>
      <c r="H313" s="499">
        <f>SUM(Tabla132112415[[#This Row],[PRIMER TRIMESTRE]:[CUARTO TRIMESTRE]])</f>
        <v>0</v>
      </c>
      <c r="I313" s="72">
        <v>400</v>
      </c>
      <c r="J313" s="17">
        <f t="shared" si="6"/>
        <v>0</v>
      </c>
      <c r="K313" s="17"/>
      <c r="L313" s="16" t="s">
        <v>18</v>
      </c>
      <c r="M313" s="16" t="s">
        <v>22</v>
      </c>
      <c r="N313" s="39" t="s">
        <v>418</v>
      </c>
    </row>
    <row r="314" spans="1:14" s="12" customFormat="1" ht="18">
      <c r="A314" s="178" t="s">
        <v>80</v>
      </c>
      <c r="B314" s="75" t="s">
        <v>1205</v>
      </c>
      <c r="C314" s="176" t="s">
        <v>17</v>
      </c>
      <c r="D314" s="176"/>
      <c r="E314" s="176"/>
      <c r="F314" s="176"/>
      <c r="G314" s="176"/>
      <c r="H314" s="499">
        <f>SUM(Tabla132112415[[#This Row],[PRIMER TRIMESTRE]:[CUARTO TRIMESTRE]])</f>
        <v>0</v>
      </c>
      <c r="I314" s="72">
        <v>600</v>
      </c>
      <c r="J314" s="17">
        <f t="shared" si="6"/>
        <v>0</v>
      </c>
      <c r="K314" s="17"/>
      <c r="L314" s="16" t="s">
        <v>18</v>
      </c>
      <c r="M314" s="16" t="s">
        <v>22</v>
      </c>
      <c r="N314" s="39" t="s">
        <v>418</v>
      </c>
    </row>
    <row r="315" spans="1:14" s="12" customFormat="1" ht="18">
      <c r="A315" s="178" t="s">
        <v>80</v>
      </c>
      <c r="B315" s="75" t="s">
        <v>1206</v>
      </c>
      <c r="C315" s="176" t="s">
        <v>17</v>
      </c>
      <c r="D315" s="176"/>
      <c r="E315" s="176"/>
      <c r="F315" s="176"/>
      <c r="G315" s="176"/>
      <c r="H315" s="499">
        <f>SUM(Tabla132112415[[#This Row],[PRIMER TRIMESTRE]:[CUARTO TRIMESTRE]])</f>
        <v>0</v>
      </c>
      <c r="I315" s="72">
        <v>800</v>
      </c>
      <c r="J315" s="17">
        <f t="shared" si="6"/>
        <v>0</v>
      </c>
      <c r="K315" s="17"/>
      <c r="L315" s="16" t="s">
        <v>18</v>
      </c>
      <c r="M315" s="16" t="s">
        <v>22</v>
      </c>
      <c r="N315" s="39" t="s">
        <v>418</v>
      </c>
    </row>
    <row r="316" spans="1:14" s="12" customFormat="1" ht="18">
      <c r="A316" s="178" t="s">
        <v>80</v>
      </c>
      <c r="B316" s="75" t="s">
        <v>1207</v>
      </c>
      <c r="C316" s="176" t="s">
        <v>17</v>
      </c>
      <c r="D316" s="176"/>
      <c r="E316" s="176"/>
      <c r="F316" s="176"/>
      <c r="G316" s="176"/>
      <c r="H316" s="499">
        <f>SUM(Tabla132112415[[#This Row],[PRIMER TRIMESTRE]:[CUARTO TRIMESTRE]])</f>
        <v>0</v>
      </c>
      <c r="I316" s="72">
        <v>1200</v>
      </c>
      <c r="J316" s="17">
        <f t="shared" si="6"/>
        <v>0</v>
      </c>
      <c r="K316" s="17"/>
      <c r="L316" s="16" t="s">
        <v>18</v>
      </c>
      <c r="M316" s="16" t="s">
        <v>22</v>
      </c>
      <c r="N316" s="39" t="s">
        <v>418</v>
      </c>
    </row>
    <row r="317" spans="1:14" s="12" customFormat="1" ht="18">
      <c r="A317" s="178" t="s">
        <v>80</v>
      </c>
      <c r="B317" s="75" t="s">
        <v>1208</v>
      </c>
      <c r="C317" s="176" t="s">
        <v>17</v>
      </c>
      <c r="D317" s="176"/>
      <c r="E317" s="176"/>
      <c r="F317" s="176"/>
      <c r="G317" s="176"/>
      <c r="H317" s="499">
        <f>SUM(Tabla132112415[[#This Row],[PRIMER TRIMESTRE]:[CUARTO TRIMESTRE]])</f>
        <v>0</v>
      </c>
      <c r="I317" s="72">
        <v>1600</v>
      </c>
      <c r="J317" s="17">
        <f t="shared" si="6"/>
        <v>0</v>
      </c>
      <c r="K317" s="17"/>
      <c r="L317" s="16" t="s">
        <v>18</v>
      </c>
      <c r="M317" s="16" t="s">
        <v>22</v>
      </c>
      <c r="N317" s="39" t="s">
        <v>418</v>
      </c>
    </row>
    <row r="318" spans="1:14" s="12" customFormat="1" ht="18">
      <c r="A318" s="178" t="s">
        <v>80</v>
      </c>
      <c r="B318" s="75" t="s">
        <v>1209</v>
      </c>
      <c r="C318" s="176" t="s">
        <v>17</v>
      </c>
      <c r="D318" s="176"/>
      <c r="E318" s="176"/>
      <c r="F318" s="176"/>
      <c r="G318" s="176"/>
      <c r="H318" s="499">
        <f>SUM(Tabla132112415[[#This Row],[PRIMER TRIMESTRE]:[CUARTO TRIMESTRE]])</f>
        <v>0</v>
      </c>
      <c r="I318" s="72">
        <v>1800</v>
      </c>
      <c r="J318" s="17">
        <f t="shared" si="6"/>
        <v>0</v>
      </c>
      <c r="K318" s="17"/>
      <c r="L318" s="16" t="s">
        <v>18</v>
      </c>
      <c r="M318" s="16" t="s">
        <v>22</v>
      </c>
      <c r="N318" s="39" t="s">
        <v>418</v>
      </c>
    </row>
    <row r="319" spans="1:14" s="12" customFormat="1" ht="18">
      <c r="A319" s="178" t="s">
        <v>80</v>
      </c>
      <c r="B319" s="75" t="s">
        <v>1210</v>
      </c>
      <c r="C319" s="176" t="s">
        <v>17</v>
      </c>
      <c r="D319" s="176"/>
      <c r="E319" s="176"/>
      <c r="F319" s="176"/>
      <c r="G319" s="176"/>
      <c r="H319" s="499">
        <f>SUM(Tabla132112415[[#This Row],[PRIMER TRIMESTRE]:[CUARTO TRIMESTRE]])</f>
        <v>0</v>
      </c>
      <c r="I319" s="72">
        <v>2000</v>
      </c>
      <c r="J319" s="17">
        <f t="shared" si="6"/>
        <v>0</v>
      </c>
      <c r="K319" s="17"/>
      <c r="L319" s="16" t="s">
        <v>18</v>
      </c>
      <c r="M319" s="16" t="s">
        <v>22</v>
      </c>
      <c r="N319" s="39" t="s">
        <v>418</v>
      </c>
    </row>
    <row r="320" spans="1:14" s="12" customFormat="1" ht="18">
      <c r="A320" s="178" t="s">
        <v>80</v>
      </c>
      <c r="B320" s="75" t="s">
        <v>1211</v>
      </c>
      <c r="C320" s="176" t="s">
        <v>17</v>
      </c>
      <c r="D320" s="176"/>
      <c r="E320" s="176"/>
      <c r="F320" s="176"/>
      <c r="G320" s="176"/>
      <c r="H320" s="499">
        <f>SUM(Tabla132112415[[#This Row],[PRIMER TRIMESTRE]:[CUARTO TRIMESTRE]])</f>
        <v>0</v>
      </c>
      <c r="I320" s="72">
        <v>3200</v>
      </c>
      <c r="J320" s="17">
        <f t="shared" si="6"/>
        <v>0</v>
      </c>
      <c r="K320" s="17"/>
      <c r="L320" s="16" t="s">
        <v>18</v>
      </c>
      <c r="M320" s="16" t="s">
        <v>22</v>
      </c>
      <c r="N320" s="39" t="s">
        <v>418</v>
      </c>
    </row>
    <row r="321" spans="1:14" s="12" customFormat="1" ht="18">
      <c r="A321" s="178" t="s">
        <v>80</v>
      </c>
      <c r="B321" s="75" t="s">
        <v>1212</v>
      </c>
      <c r="C321" s="176" t="s">
        <v>17</v>
      </c>
      <c r="D321" s="176"/>
      <c r="E321" s="176"/>
      <c r="F321" s="176"/>
      <c r="G321" s="176"/>
      <c r="H321" s="499">
        <f>SUM(Tabla132112415[[#This Row],[PRIMER TRIMESTRE]:[CUARTO TRIMESTRE]])</f>
        <v>0</v>
      </c>
      <c r="I321" s="72">
        <v>3800</v>
      </c>
      <c r="J321" s="17">
        <f t="shared" si="6"/>
        <v>0</v>
      </c>
      <c r="K321" s="17"/>
      <c r="L321" s="16" t="s">
        <v>18</v>
      </c>
      <c r="M321" s="16" t="s">
        <v>22</v>
      </c>
      <c r="N321" s="39" t="s">
        <v>418</v>
      </c>
    </row>
    <row r="322" spans="1:14" s="12" customFormat="1" ht="18">
      <c r="A322" s="178" t="s">
        <v>80</v>
      </c>
      <c r="B322" s="75" t="s">
        <v>580</v>
      </c>
      <c r="C322" s="176" t="s">
        <v>17</v>
      </c>
      <c r="D322" s="176"/>
      <c r="E322" s="176"/>
      <c r="F322" s="176"/>
      <c r="G322" s="176"/>
      <c r="H322" s="499">
        <f>SUM(Tabla132112415[[#This Row],[PRIMER TRIMESTRE]:[CUARTO TRIMESTRE]])</f>
        <v>0</v>
      </c>
      <c r="I322" s="17">
        <v>29</v>
      </c>
      <c r="J322" s="17">
        <f t="shared" si="6"/>
        <v>0</v>
      </c>
      <c r="K322" s="17"/>
      <c r="L322" s="16" t="s">
        <v>18</v>
      </c>
      <c r="M322" s="16" t="s">
        <v>22</v>
      </c>
      <c r="N322" s="39" t="s">
        <v>418</v>
      </c>
    </row>
    <row r="323" spans="1:14" s="12" customFormat="1" ht="18">
      <c r="A323" s="178" t="s">
        <v>80</v>
      </c>
      <c r="B323" s="75" t="s">
        <v>579</v>
      </c>
      <c r="C323" s="176" t="s">
        <v>17</v>
      </c>
      <c r="D323" s="176"/>
      <c r="E323" s="176"/>
      <c r="F323" s="176"/>
      <c r="G323" s="176"/>
      <c r="H323" s="499">
        <f>SUM(Tabla132112415[[#This Row],[PRIMER TRIMESTRE]:[CUARTO TRIMESTRE]])</f>
        <v>0</v>
      </c>
      <c r="I323" s="17">
        <v>31.16</v>
      </c>
      <c r="J323" s="17">
        <f t="shared" si="6"/>
        <v>0</v>
      </c>
      <c r="K323" s="17"/>
      <c r="L323" s="16" t="s">
        <v>18</v>
      </c>
      <c r="M323" s="16" t="s">
        <v>22</v>
      </c>
      <c r="N323" s="39" t="s">
        <v>418</v>
      </c>
    </row>
    <row r="324" spans="1:14" s="12" customFormat="1" ht="18">
      <c r="A324" s="178" t="s">
        <v>80</v>
      </c>
      <c r="B324" s="75" t="s">
        <v>581</v>
      </c>
      <c r="C324" s="176" t="s">
        <v>17</v>
      </c>
      <c r="D324" s="176"/>
      <c r="E324" s="176"/>
      <c r="F324" s="176"/>
      <c r="G324" s="176"/>
      <c r="H324" s="499">
        <f>SUM(Tabla132112415[[#This Row],[PRIMER TRIMESTRE]:[CUARTO TRIMESTRE]])</f>
        <v>0</v>
      </c>
      <c r="I324" s="17">
        <v>54.52</v>
      </c>
      <c r="J324" s="17">
        <f t="shared" si="6"/>
        <v>0</v>
      </c>
      <c r="K324" s="17"/>
      <c r="L324" s="16" t="s">
        <v>18</v>
      </c>
      <c r="M324" s="16" t="s">
        <v>22</v>
      </c>
      <c r="N324" s="39" t="s">
        <v>418</v>
      </c>
    </row>
    <row r="325" spans="1:14" s="12" customFormat="1" ht="18">
      <c r="A325" s="178" t="s">
        <v>80</v>
      </c>
      <c r="B325" s="75" t="s">
        <v>582</v>
      </c>
      <c r="C325" s="176" t="s">
        <v>17</v>
      </c>
      <c r="D325" s="176"/>
      <c r="E325" s="176"/>
      <c r="F325" s="176"/>
      <c r="G325" s="176"/>
      <c r="H325" s="499">
        <f>SUM(Tabla132112415[[#This Row],[PRIMER TRIMESTRE]:[CUARTO TRIMESTRE]])</f>
        <v>0</v>
      </c>
      <c r="I325" s="17">
        <v>55.84</v>
      </c>
      <c r="J325" s="17">
        <f t="shared" si="6"/>
        <v>0</v>
      </c>
      <c r="K325" s="17"/>
      <c r="L325" s="16" t="s">
        <v>18</v>
      </c>
      <c r="M325" s="16" t="s">
        <v>22</v>
      </c>
      <c r="N325" s="39" t="s">
        <v>418</v>
      </c>
    </row>
    <row r="326" spans="1:14" s="12" customFormat="1" ht="18">
      <c r="A326" s="178" t="s">
        <v>80</v>
      </c>
      <c r="B326" s="75" t="s">
        <v>583</v>
      </c>
      <c r="C326" s="176" t="s">
        <v>17</v>
      </c>
      <c r="D326" s="176"/>
      <c r="E326" s="176"/>
      <c r="F326" s="176"/>
      <c r="G326" s="176"/>
      <c r="H326" s="499">
        <f>SUM(Tabla132112415[[#This Row],[PRIMER TRIMESTRE]:[CUARTO TRIMESTRE]])</f>
        <v>0</v>
      </c>
      <c r="I326" s="17">
        <v>67.28</v>
      </c>
      <c r="J326" s="17">
        <f t="shared" si="6"/>
        <v>0</v>
      </c>
      <c r="K326" s="17"/>
      <c r="L326" s="16" t="s">
        <v>18</v>
      </c>
      <c r="M326" s="16" t="s">
        <v>22</v>
      </c>
      <c r="N326" s="39" t="s">
        <v>418</v>
      </c>
    </row>
    <row r="327" spans="1:14" s="12" customFormat="1" ht="18">
      <c r="A327" s="178" t="s">
        <v>80</v>
      </c>
      <c r="B327" s="75" t="s">
        <v>584</v>
      </c>
      <c r="C327" s="176" t="s">
        <v>17</v>
      </c>
      <c r="D327" s="176"/>
      <c r="E327" s="176"/>
      <c r="F327" s="176"/>
      <c r="G327" s="176"/>
      <c r="H327" s="499">
        <f>SUM(Tabla132112415[[#This Row],[PRIMER TRIMESTRE]:[CUARTO TRIMESTRE]])</f>
        <v>0</v>
      </c>
      <c r="I327" s="17">
        <v>68.28</v>
      </c>
      <c r="J327" s="17">
        <f t="shared" si="6"/>
        <v>0</v>
      </c>
      <c r="K327" s="17"/>
      <c r="L327" s="16" t="s">
        <v>18</v>
      </c>
      <c r="M327" s="16" t="s">
        <v>22</v>
      </c>
      <c r="N327" s="39" t="s">
        <v>418</v>
      </c>
    </row>
    <row r="328" spans="1:14" s="12" customFormat="1" ht="18">
      <c r="A328" s="178" t="s">
        <v>80</v>
      </c>
      <c r="B328" s="75" t="s">
        <v>585</v>
      </c>
      <c r="C328" s="176" t="s">
        <v>17</v>
      </c>
      <c r="D328" s="176"/>
      <c r="E328" s="176"/>
      <c r="F328" s="176"/>
      <c r="G328" s="176"/>
      <c r="H328" s="499">
        <f>SUM(Tabla132112415[[#This Row],[PRIMER TRIMESTRE]:[CUARTO TRIMESTRE]])</f>
        <v>0</v>
      </c>
      <c r="I328" s="17">
        <v>80</v>
      </c>
      <c r="J328" s="17">
        <f t="shared" si="6"/>
        <v>0</v>
      </c>
      <c r="K328" s="17"/>
      <c r="L328" s="16" t="s">
        <v>18</v>
      </c>
      <c r="M328" s="16" t="s">
        <v>22</v>
      </c>
      <c r="N328" s="39" t="s">
        <v>418</v>
      </c>
    </row>
    <row r="329" spans="1:14" s="12" customFormat="1" ht="18">
      <c r="A329" s="178" t="s">
        <v>80</v>
      </c>
      <c r="B329" s="75" t="s">
        <v>586</v>
      </c>
      <c r="C329" s="176" t="s">
        <v>17</v>
      </c>
      <c r="D329" s="176"/>
      <c r="E329" s="176"/>
      <c r="F329" s="176"/>
      <c r="G329" s="176"/>
      <c r="H329" s="499">
        <f>SUM(Tabla132112415[[#This Row],[PRIMER TRIMESTRE]:[CUARTO TRIMESTRE]])</f>
        <v>0</v>
      </c>
      <c r="I329" s="72">
        <v>85</v>
      </c>
      <c r="J329" s="17">
        <f t="shared" si="6"/>
        <v>0</v>
      </c>
      <c r="K329" s="17"/>
      <c r="L329" s="16" t="s">
        <v>18</v>
      </c>
      <c r="M329" s="16" t="s">
        <v>22</v>
      </c>
      <c r="N329" s="39" t="s">
        <v>418</v>
      </c>
    </row>
    <row r="330" spans="1:14" s="12" customFormat="1" ht="18">
      <c r="A330" s="178" t="s">
        <v>80</v>
      </c>
      <c r="B330" s="75" t="s">
        <v>587</v>
      </c>
      <c r="C330" s="176" t="s">
        <v>17</v>
      </c>
      <c r="D330" s="176"/>
      <c r="E330" s="176"/>
      <c r="F330" s="176"/>
      <c r="G330" s="176"/>
      <c r="H330" s="499">
        <f>SUM(Tabla132112415[[#This Row],[PRIMER TRIMESTRE]:[CUARTO TRIMESTRE]])</f>
        <v>0</v>
      </c>
      <c r="I330" s="72">
        <v>1044.3</v>
      </c>
      <c r="J330" s="17">
        <f t="shared" ref="J330:J337" si="7">+H330*I330</f>
        <v>0</v>
      </c>
      <c r="K330" s="17"/>
      <c r="L330" s="16" t="s">
        <v>18</v>
      </c>
      <c r="M330" s="16" t="s">
        <v>22</v>
      </c>
      <c r="N330" s="39" t="s">
        <v>418</v>
      </c>
    </row>
    <row r="331" spans="1:14" s="12" customFormat="1" ht="18">
      <c r="A331" s="178" t="s">
        <v>80</v>
      </c>
      <c r="B331" s="75" t="s">
        <v>588</v>
      </c>
      <c r="C331" s="176" t="s">
        <v>17</v>
      </c>
      <c r="D331" s="176"/>
      <c r="E331" s="176"/>
      <c r="F331" s="176"/>
      <c r="G331" s="176"/>
      <c r="H331" s="499">
        <f>SUM(Tabla132112415[[#This Row],[PRIMER TRIMESTRE]:[CUARTO TRIMESTRE]])</f>
        <v>0</v>
      </c>
      <c r="I331" s="17">
        <v>1000</v>
      </c>
      <c r="J331" s="17">
        <f t="shared" si="7"/>
        <v>0</v>
      </c>
      <c r="K331" s="17"/>
      <c r="L331" s="16" t="s">
        <v>18</v>
      </c>
      <c r="M331" s="16" t="s">
        <v>22</v>
      </c>
      <c r="N331" s="39" t="s">
        <v>418</v>
      </c>
    </row>
    <row r="332" spans="1:14" s="12" customFormat="1" ht="18">
      <c r="A332" s="178" t="s">
        <v>80</v>
      </c>
      <c r="B332" s="75" t="s">
        <v>589</v>
      </c>
      <c r="C332" s="176" t="s">
        <v>17</v>
      </c>
      <c r="D332" s="176"/>
      <c r="E332" s="176"/>
      <c r="F332" s="176"/>
      <c r="G332" s="176"/>
      <c r="H332" s="499">
        <f>SUM(Tabla132112415[[#This Row],[PRIMER TRIMESTRE]:[CUARTO TRIMESTRE]])</f>
        <v>0</v>
      </c>
      <c r="I332" s="72">
        <v>1144.5999999999999</v>
      </c>
      <c r="J332" s="17">
        <f t="shared" si="7"/>
        <v>0</v>
      </c>
      <c r="K332" s="17"/>
      <c r="L332" s="16" t="s">
        <v>18</v>
      </c>
      <c r="M332" s="16" t="s">
        <v>22</v>
      </c>
      <c r="N332" s="39" t="s">
        <v>418</v>
      </c>
    </row>
    <row r="333" spans="1:14" s="12" customFormat="1" ht="18">
      <c r="A333" s="178" t="s">
        <v>80</v>
      </c>
      <c r="B333" s="75" t="s">
        <v>590</v>
      </c>
      <c r="C333" s="176" t="s">
        <v>17</v>
      </c>
      <c r="D333" s="176"/>
      <c r="E333" s="176"/>
      <c r="F333" s="176"/>
      <c r="G333" s="176"/>
      <c r="H333" s="499">
        <f>SUM(Tabla132112415[[#This Row],[PRIMER TRIMESTRE]:[CUARTO TRIMESTRE]])</f>
        <v>0</v>
      </c>
      <c r="I333" s="72">
        <v>1534</v>
      </c>
      <c r="J333" s="17">
        <f t="shared" si="7"/>
        <v>0</v>
      </c>
      <c r="K333" s="17"/>
      <c r="L333" s="16" t="s">
        <v>18</v>
      </c>
      <c r="M333" s="16" t="s">
        <v>22</v>
      </c>
      <c r="N333" s="39" t="s">
        <v>418</v>
      </c>
    </row>
    <row r="334" spans="1:14" s="12" customFormat="1" ht="18">
      <c r="A334" s="178" t="s">
        <v>80</v>
      </c>
      <c r="B334" s="75" t="s">
        <v>1546</v>
      </c>
      <c r="C334" s="176" t="s">
        <v>17</v>
      </c>
      <c r="D334" s="176"/>
      <c r="E334" s="176"/>
      <c r="F334" s="176"/>
      <c r="G334" s="176"/>
      <c r="H334" s="176">
        <f>SUM(Tabla132112415[[#This Row],[PRIMER TRIMESTRE]:[CUARTO TRIMESTRE]])</f>
        <v>0</v>
      </c>
      <c r="I334" s="72">
        <v>910</v>
      </c>
      <c r="J334" s="17">
        <f t="shared" si="7"/>
        <v>0</v>
      </c>
      <c r="K334" s="17"/>
      <c r="L334" s="16" t="s">
        <v>18</v>
      </c>
      <c r="M334" s="16" t="s">
        <v>22</v>
      </c>
      <c r="N334" s="39" t="s">
        <v>418</v>
      </c>
    </row>
    <row r="335" spans="1:14" s="12" customFormat="1" ht="18">
      <c r="A335" s="178" t="s">
        <v>80</v>
      </c>
      <c r="B335" s="75" t="s">
        <v>594</v>
      </c>
      <c r="C335" s="176" t="s">
        <v>17</v>
      </c>
      <c r="D335" s="176"/>
      <c r="E335" s="176"/>
      <c r="F335" s="176"/>
      <c r="G335" s="176"/>
      <c r="H335" s="499">
        <f>SUM(Tabla132112415[[#This Row],[PRIMER TRIMESTRE]:[CUARTO TRIMESTRE]])</f>
        <v>0</v>
      </c>
      <c r="I335" s="17">
        <v>6.37</v>
      </c>
      <c r="J335" s="17">
        <f t="shared" si="7"/>
        <v>0</v>
      </c>
      <c r="K335" s="17"/>
      <c r="L335" s="16" t="s">
        <v>18</v>
      </c>
      <c r="M335" s="16" t="s">
        <v>22</v>
      </c>
      <c r="N335" s="39" t="s">
        <v>418</v>
      </c>
    </row>
    <row r="336" spans="1:14" s="12" customFormat="1" ht="18">
      <c r="A336" s="178" t="s">
        <v>80</v>
      </c>
      <c r="B336" s="75" t="s">
        <v>595</v>
      </c>
      <c r="C336" s="176" t="s">
        <v>17</v>
      </c>
      <c r="D336" s="176"/>
      <c r="E336" s="176"/>
      <c r="F336" s="176"/>
      <c r="G336" s="176"/>
      <c r="H336" s="499">
        <f>SUM(Tabla132112415[[#This Row],[PRIMER TRIMESTRE]:[CUARTO TRIMESTRE]])</f>
        <v>0</v>
      </c>
      <c r="I336" s="17">
        <v>11.82</v>
      </c>
      <c r="J336" s="17">
        <f t="shared" si="7"/>
        <v>0</v>
      </c>
      <c r="K336" s="17"/>
      <c r="L336" s="16" t="s">
        <v>18</v>
      </c>
      <c r="M336" s="16" t="s">
        <v>22</v>
      </c>
      <c r="N336" s="39" t="s">
        <v>418</v>
      </c>
    </row>
    <row r="337" spans="1:14" s="12" customFormat="1" ht="18">
      <c r="A337" s="178" t="s">
        <v>80</v>
      </c>
      <c r="B337" s="75" t="s">
        <v>596</v>
      </c>
      <c r="C337" s="176" t="s">
        <v>17</v>
      </c>
      <c r="D337" s="176"/>
      <c r="E337" s="176"/>
      <c r="F337" s="176"/>
      <c r="G337" s="176"/>
      <c r="H337" s="499">
        <f>SUM(Tabla132112415[[#This Row],[PRIMER TRIMESTRE]:[CUARTO TRIMESTRE]])</f>
        <v>0</v>
      </c>
      <c r="I337" s="17">
        <v>15.46</v>
      </c>
      <c r="J337" s="17">
        <f t="shared" si="7"/>
        <v>0</v>
      </c>
      <c r="K337" s="17"/>
      <c r="L337" s="16" t="s">
        <v>18</v>
      </c>
      <c r="M337" s="16" t="s">
        <v>22</v>
      </c>
      <c r="N337" s="39" t="s">
        <v>418</v>
      </c>
    </row>
    <row r="338" spans="1:14" s="12" customFormat="1" ht="18">
      <c r="A338" s="178" t="s">
        <v>80</v>
      </c>
      <c r="B338" s="75" t="s">
        <v>592</v>
      </c>
      <c r="C338" s="176" t="s">
        <v>17</v>
      </c>
      <c r="D338" s="176"/>
      <c r="E338" s="176"/>
      <c r="F338" s="176"/>
      <c r="G338" s="176"/>
      <c r="H338" s="499">
        <f>SUM(Tabla132112415[[#This Row],[PRIMER TRIMESTRE]:[CUARTO TRIMESTRE]])</f>
        <v>0</v>
      </c>
      <c r="I338" s="17">
        <v>103.84</v>
      </c>
      <c r="J338" s="17">
        <f>+Tabla132112415[[#This Row],[CANTIDAD TOTAL]]*Tabla132112415[[#This Row],[PRECIO UNITARIO ESTIMADO]]</f>
        <v>0</v>
      </c>
      <c r="K338" s="17"/>
      <c r="L338" s="16" t="s">
        <v>18</v>
      </c>
      <c r="M338" s="16" t="s">
        <v>22</v>
      </c>
      <c r="N338" s="39" t="s">
        <v>418</v>
      </c>
    </row>
    <row r="339" spans="1:14" s="12" customFormat="1" ht="18">
      <c r="A339" s="178" t="s">
        <v>80</v>
      </c>
      <c r="B339" s="75" t="s">
        <v>593</v>
      </c>
      <c r="C339" s="176" t="s">
        <v>17</v>
      </c>
      <c r="D339" s="176"/>
      <c r="E339" s="176"/>
      <c r="F339" s="176"/>
      <c r="G339" s="176"/>
      <c r="H339" s="499">
        <f>SUM(Tabla132112415[[#This Row],[PRIMER TRIMESTRE]:[CUARTO TRIMESTRE]])</f>
        <v>0</v>
      </c>
      <c r="I339" s="17">
        <v>22.42</v>
      </c>
      <c r="J339" s="17">
        <f>+Tabla132112415[[#This Row],[CANTIDAD TOTAL]]*Tabla132112415[[#This Row],[PRECIO UNITARIO ESTIMADO]]</f>
        <v>0</v>
      </c>
      <c r="K339" s="17"/>
      <c r="L339" s="16" t="s">
        <v>18</v>
      </c>
      <c r="M339" s="16" t="s">
        <v>22</v>
      </c>
      <c r="N339" s="39" t="s">
        <v>418</v>
      </c>
    </row>
    <row r="340" spans="1:14" s="12" customFormat="1" ht="18">
      <c r="A340" s="178" t="s">
        <v>80</v>
      </c>
      <c r="B340" s="75" t="s">
        <v>591</v>
      </c>
      <c r="C340" s="176" t="s">
        <v>17</v>
      </c>
      <c r="D340" s="176"/>
      <c r="E340" s="176"/>
      <c r="F340" s="176"/>
      <c r="G340" s="176"/>
      <c r="H340" s="176">
        <f>SUM(Tabla132112415[[#This Row],[PRIMER TRIMESTRE]:[CUARTO TRIMESTRE]])</f>
        <v>0</v>
      </c>
      <c r="I340" s="17">
        <v>489.7</v>
      </c>
      <c r="J340" s="17">
        <f>+Tabla132112415[[#This Row],[CANTIDAD TOTAL]]*Tabla132112415[[#This Row],[PRECIO UNITARIO ESTIMADO]]</f>
        <v>0</v>
      </c>
      <c r="K340" s="17"/>
      <c r="L340" s="16" t="s">
        <v>18</v>
      </c>
      <c r="M340" s="16" t="s">
        <v>22</v>
      </c>
      <c r="N340" s="39" t="s">
        <v>418</v>
      </c>
    </row>
    <row r="341" spans="1:14" s="12" customFormat="1" ht="18">
      <c r="A341" s="178" t="s">
        <v>80</v>
      </c>
      <c r="B341" s="75" t="s">
        <v>1531</v>
      </c>
      <c r="C341" s="176" t="s">
        <v>17</v>
      </c>
      <c r="D341" s="176"/>
      <c r="E341" s="176"/>
      <c r="F341" s="176"/>
      <c r="G341" s="176"/>
      <c r="H341" s="176">
        <f>SUM(Tabla132112415[[#This Row],[PRIMER TRIMESTRE]:[CUARTO TRIMESTRE]])</f>
        <v>0</v>
      </c>
      <c r="I341" s="17">
        <v>486.29</v>
      </c>
      <c r="J341" s="17">
        <f>+H341*I341</f>
        <v>0</v>
      </c>
      <c r="K341" s="17"/>
      <c r="L341" s="16" t="s">
        <v>18</v>
      </c>
      <c r="M341" s="16" t="s">
        <v>22</v>
      </c>
      <c r="N341" s="39" t="s">
        <v>418</v>
      </c>
    </row>
    <row r="342" spans="1:14" s="12" customFormat="1" ht="18">
      <c r="A342" s="178" t="s">
        <v>80</v>
      </c>
      <c r="B342" s="75" t="s">
        <v>616</v>
      </c>
      <c r="C342" s="176" t="s">
        <v>17</v>
      </c>
      <c r="D342" s="176"/>
      <c r="E342" s="176"/>
      <c r="F342" s="176"/>
      <c r="G342" s="176"/>
      <c r="H342" s="499">
        <f>SUM(Tabla132112415[[#This Row],[PRIMER TRIMESTRE]:[CUARTO TRIMESTRE]])</f>
        <v>0</v>
      </c>
      <c r="I342" s="17">
        <v>767</v>
      </c>
      <c r="J342" s="17">
        <f>+Tabla132112415[[#This Row],[CANTIDAD TOTAL]]*Tabla132112415[[#This Row],[PRECIO UNITARIO ESTIMADO]]</f>
        <v>0</v>
      </c>
      <c r="K342" s="17"/>
      <c r="L342" s="16" t="s">
        <v>18</v>
      </c>
      <c r="M342" s="16" t="s">
        <v>22</v>
      </c>
      <c r="N342" s="39" t="s">
        <v>418</v>
      </c>
    </row>
    <row r="343" spans="1:14" s="12" customFormat="1" ht="18">
      <c r="A343" s="178" t="s">
        <v>80</v>
      </c>
      <c r="B343" s="75" t="s">
        <v>617</v>
      </c>
      <c r="C343" s="176" t="s">
        <v>17</v>
      </c>
      <c r="D343" s="176"/>
      <c r="E343" s="176"/>
      <c r="F343" s="176"/>
      <c r="G343" s="176"/>
      <c r="H343" s="499">
        <f>SUM(Tabla132112415[[#This Row],[PRIMER TRIMESTRE]:[CUARTO TRIMESTRE]])</f>
        <v>0</v>
      </c>
      <c r="I343" s="17">
        <v>1003</v>
      </c>
      <c r="J343" s="17">
        <f t="shared" ref="J343:J359" si="8">+H343*I343</f>
        <v>0</v>
      </c>
      <c r="K343" s="17"/>
      <c r="L343" s="16" t="s">
        <v>18</v>
      </c>
      <c r="M343" s="16" t="s">
        <v>22</v>
      </c>
      <c r="N343" s="39" t="s">
        <v>418</v>
      </c>
    </row>
    <row r="344" spans="1:14" s="12" customFormat="1" ht="18">
      <c r="A344" s="178" t="s">
        <v>80</v>
      </c>
      <c r="B344" s="75" t="s">
        <v>618</v>
      </c>
      <c r="C344" s="176" t="s">
        <v>17</v>
      </c>
      <c r="D344" s="176"/>
      <c r="E344" s="176"/>
      <c r="F344" s="176"/>
      <c r="G344" s="176"/>
      <c r="H344" s="499">
        <f>SUM(Tabla132112415[[#This Row],[PRIMER TRIMESTRE]:[CUARTO TRIMESTRE]])</f>
        <v>0</v>
      </c>
      <c r="I344" s="17">
        <v>1357</v>
      </c>
      <c r="J344" s="17">
        <f t="shared" si="8"/>
        <v>0</v>
      </c>
      <c r="K344" s="17"/>
      <c r="L344" s="16" t="s">
        <v>18</v>
      </c>
      <c r="M344" s="16" t="s">
        <v>22</v>
      </c>
      <c r="N344" s="39" t="s">
        <v>418</v>
      </c>
    </row>
    <row r="345" spans="1:14" s="12" customFormat="1" ht="18">
      <c r="A345" s="178" t="s">
        <v>80</v>
      </c>
      <c r="B345" s="75" t="s">
        <v>619</v>
      </c>
      <c r="C345" s="176" t="s">
        <v>17</v>
      </c>
      <c r="D345" s="176"/>
      <c r="E345" s="176"/>
      <c r="F345" s="176"/>
      <c r="G345" s="176"/>
      <c r="H345" s="499">
        <f>SUM(Tabla132112415[[#This Row],[PRIMER TRIMESTRE]:[CUARTO TRIMESTRE]])</f>
        <v>0</v>
      </c>
      <c r="I345" s="17">
        <v>2950</v>
      </c>
      <c r="J345" s="17">
        <f t="shared" si="8"/>
        <v>0</v>
      </c>
      <c r="K345" s="17"/>
      <c r="L345" s="16" t="s">
        <v>18</v>
      </c>
      <c r="M345" s="16" t="s">
        <v>22</v>
      </c>
      <c r="N345" s="39" t="s">
        <v>418</v>
      </c>
    </row>
    <row r="346" spans="1:14" s="12" customFormat="1" ht="18">
      <c r="A346" s="178" t="s">
        <v>80</v>
      </c>
      <c r="B346" s="75" t="s">
        <v>620</v>
      </c>
      <c r="C346" s="176" t="s">
        <v>17</v>
      </c>
      <c r="D346" s="176"/>
      <c r="E346" s="176"/>
      <c r="F346" s="176"/>
      <c r="G346" s="176"/>
      <c r="H346" s="499">
        <f>SUM(Tabla132112415[[#This Row],[PRIMER TRIMESTRE]:[CUARTO TRIMESTRE]])</f>
        <v>0</v>
      </c>
      <c r="I346" s="17">
        <v>4484</v>
      </c>
      <c r="J346" s="17">
        <f t="shared" si="8"/>
        <v>0</v>
      </c>
      <c r="K346" s="17"/>
      <c r="L346" s="16" t="s">
        <v>18</v>
      </c>
      <c r="M346" s="16" t="s">
        <v>22</v>
      </c>
      <c r="N346" s="39" t="s">
        <v>418</v>
      </c>
    </row>
    <row r="347" spans="1:14" s="12" customFormat="1" ht="18">
      <c r="A347" s="178" t="s">
        <v>80</v>
      </c>
      <c r="B347" s="75" t="s">
        <v>621</v>
      </c>
      <c r="C347" s="176" t="s">
        <v>17</v>
      </c>
      <c r="D347" s="176"/>
      <c r="E347" s="176"/>
      <c r="F347" s="176"/>
      <c r="G347" s="176"/>
      <c r="H347" s="499">
        <f>SUM(Tabla132112415[[#This Row],[PRIMER TRIMESTRE]:[CUARTO TRIMESTRE]])</f>
        <v>0</v>
      </c>
      <c r="I347" s="17">
        <v>6372</v>
      </c>
      <c r="J347" s="17">
        <f t="shared" si="8"/>
        <v>0</v>
      </c>
      <c r="K347" s="17"/>
      <c r="L347" s="16" t="s">
        <v>18</v>
      </c>
      <c r="M347" s="16" t="s">
        <v>22</v>
      </c>
      <c r="N347" s="39" t="s">
        <v>418</v>
      </c>
    </row>
    <row r="348" spans="1:14" s="12" customFormat="1" ht="18">
      <c r="A348" s="178" t="s">
        <v>80</v>
      </c>
      <c r="B348" s="75" t="s">
        <v>622</v>
      </c>
      <c r="C348" s="176" t="s">
        <v>17</v>
      </c>
      <c r="D348" s="176"/>
      <c r="E348" s="176"/>
      <c r="F348" s="176"/>
      <c r="G348" s="176"/>
      <c r="H348" s="499">
        <f>SUM(Tabla132112415[[#This Row],[PRIMER TRIMESTRE]:[CUARTO TRIMESTRE]])</f>
        <v>0</v>
      </c>
      <c r="I348" s="17">
        <v>11092</v>
      </c>
      <c r="J348" s="17">
        <f t="shared" si="8"/>
        <v>0</v>
      </c>
      <c r="K348" s="17"/>
      <c r="L348" s="16" t="s">
        <v>18</v>
      </c>
      <c r="M348" s="16" t="s">
        <v>22</v>
      </c>
      <c r="N348" s="39" t="s">
        <v>418</v>
      </c>
    </row>
    <row r="349" spans="1:14" s="12" customFormat="1" ht="18">
      <c r="A349" s="178" t="s">
        <v>80</v>
      </c>
      <c r="B349" s="75" t="s">
        <v>623</v>
      </c>
      <c r="C349" s="176" t="s">
        <v>17</v>
      </c>
      <c r="D349" s="176"/>
      <c r="E349" s="176"/>
      <c r="F349" s="176"/>
      <c r="G349" s="176"/>
      <c r="H349" s="499">
        <f>SUM(Tabla132112415[[#This Row],[PRIMER TRIMESTRE]:[CUARTO TRIMESTRE]])</f>
        <v>0</v>
      </c>
      <c r="I349" s="17">
        <v>13924</v>
      </c>
      <c r="J349" s="17">
        <f t="shared" si="8"/>
        <v>0</v>
      </c>
      <c r="K349" s="17"/>
      <c r="L349" s="16" t="s">
        <v>18</v>
      </c>
      <c r="M349" s="16" t="s">
        <v>22</v>
      </c>
      <c r="N349" s="39" t="s">
        <v>418</v>
      </c>
    </row>
    <row r="350" spans="1:14" s="12" customFormat="1" ht="18">
      <c r="A350" s="178" t="s">
        <v>80</v>
      </c>
      <c r="B350" s="75" t="s">
        <v>624</v>
      </c>
      <c r="C350" s="176" t="s">
        <v>17</v>
      </c>
      <c r="D350" s="176"/>
      <c r="E350" s="176"/>
      <c r="F350" s="176"/>
      <c r="G350" s="176"/>
      <c r="H350" s="499">
        <f>SUM(Tabla132112415[[#This Row],[PRIMER TRIMESTRE]:[CUARTO TRIMESTRE]])</f>
        <v>0</v>
      </c>
      <c r="I350" s="17">
        <v>20886</v>
      </c>
      <c r="J350" s="17">
        <f t="shared" si="8"/>
        <v>0</v>
      </c>
      <c r="K350" s="17"/>
      <c r="L350" s="16" t="s">
        <v>18</v>
      </c>
      <c r="M350" s="16" t="s">
        <v>22</v>
      </c>
      <c r="N350" s="39" t="s">
        <v>418</v>
      </c>
    </row>
    <row r="351" spans="1:14" s="12" customFormat="1" ht="18">
      <c r="A351" s="178" t="s">
        <v>80</v>
      </c>
      <c r="B351" s="75" t="s">
        <v>625</v>
      </c>
      <c r="C351" s="176" t="s">
        <v>17</v>
      </c>
      <c r="D351" s="176"/>
      <c r="E351" s="176"/>
      <c r="F351" s="176"/>
      <c r="G351" s="176"/>
      <c r="H351" s="499">
        <f>SUM(Tabla132112415[[#This Row],[PRIMER TRIMESTRE]:[CUARTO TRIMESTRE]])</f>
        <v>0</v>
      </c>
      <c r="I351" s="17">
        <v>1121</v>
      </c>
      <c r="J351" s="17">
        <f t="shared" si="8"/>
        <v>0</v>
      </c>
      <c r="K351" s="17"/>
      <c r="L351" s="16" t="s">
        <v>18</v>
      </c>
      <c r="M351" s="16" t="s">
        <v>22</v>
      </c>
      <c r="N351" s="39" t="s">
        <v>418</v>
      </c>
    </row>
    <row r="352" spans="1:14" s="12" customFormat="1" ht="18">
      <c r="A352" s="178" t="s">
        <v>80</v>
      </c>
      <c r="B352" s="75" t="s">
        <v>626</v>
      </c>
      <c r="C352" s="176" t="s">
        <v>17</v>
      </c>
      <c r="D352" s="176"/>
      <c r="E352" s="176"/>
      <c r="F352" s="176"/>
      <c r="G352" s="176"/>
      <c r="H352" s="499">
        <f>SUM(Tabla132112415[[#This Row],[PRIMER TRIMESTRE]:[CUARTO TRIMESTRE]])</f>
        <v>0</v>
      </c>
      <c r="I352" s="17">
        <v>1239</v>
      </c>
      <c r="J352" s="17">
        <f t="shared" si="8"/>
        <v>0</v>
      </c>
      <c r="K352" s="17"/>
      <c r="L352" s="16" t="s">
        <v>18</v>
      </c>
      <c r="M352" s="16" t="s">
        <v>22</v>
      </c>
      <c r="N352" s="39" t="s">
        <v>418</v>
      </c>
    </row>
    <row r="353" spans="1:14" s="12" customFormat="1" ht="18">
      <c r="A353" s="178" t="s">
        <v>80</v>
      </c>
      <c r="B353" s="75" t="s">
        <v>627</v>
      </c>
      <c r="C353" s="176" t="s">
        <v>17</v>
      </c>
      <c r="D353" s="176"/>
      <c r="E353" s="176"/>
      <c r="F353" s="176"/>
      <c r="G353" s="176"/>
      <c r="H353" s="499">
        <f>SUM(Tabla132112415[[#This Row],[PRIMER TRIMESTRE]:[CUARTO TRIMESTRE]])</f>
        <v>0</v>
      </c>
      <c r="I353" s="17">
        <v>1593</v>
      </c>
      <c r="J353" s="17">
        <f t="shared" si="8"/>
        <v>0</v>
      </c>
      <c r="K353" s="17"/>
      <c r="L353" s="16" t="s">
        <v>18</v>
      </c>
      <c r="M353" s="16" t="s">
        <v>22</v>
      </c>
      <c r="N353" s="39" t="s">
        <v>418</v>
      </c>
    </row>
    <row r="354" spans="1:14" s="12" customFormat="1" ht="18">
      <c r="A354" s="178" t="s">
        <v>80</v>
      </c>
      <c r="B354" s="75" t="s">
        <v>628</v>
      </c>
      <c r="C354" s="176" t="s">
        <v>17</v>
      </c>
      <c r="D354" s="176"/>
      <c r="E354" s="176"/>
      <c r="F354" s="176"/>
      <c r="G354" s="176"/>
      <c r="H354" s="499">
        <f>SUM(Tabla132112415[[#This Row],[PRIMER TRIMESTRE]:[CUARTO TRIMESTRE]])</f>
        <v>0</v>
      </c>
      <c r="I354" s="17">
        <v>3717</v>
      </c>
      <c r="J354" s="17">
        <f t="shared" si="8"/>
        <v>0</v>
      </c>
      <c r="K354" s="17"/>
      <c r="L354" s="16" t="s">
        <v>18</v>
      </c>
      <c r="M354" s="16" t="s">
        <v>22</v>
      </c>
      <c r="N354" s="39" t="s">
        <v>418</v>
      </c>
    </row>
    <row r="355" spans="1:14" s="12" customFormat="1" ht="18">
      <c r="A355" s="178" t="s">
        <v>80</v>
      </c>
      <c r="B355" s="75" t="s">
        <v>629</v>
      </c>
      <c r="C355" s="176" t="s">
        <v>17</v>
      </c>
      <c r="D355" s="176"/>
      <c r="E355" s="176"/>
      <c r="F355" s="176"/>
      <c r="G355" s="176"/>
      <c r="H355" s="499">
        <f>SUM(Tabla132112415[[#This Row],[PRIMER TRIMESTRE]:[CUARTO TRIMESTRE]])</f>
        <v>0</v>
      </c>
      <c r="I355" s="17">
        <v>5133</v>
      </c>
      <c r="J355" s="17">
        <f t="shared" si="8"/>
        <v>0</v>
      </c>
      <c r="K355" s="17"/>
      <c r="L355" s="16" t="s">
        <v>18</v>
      </c>
      <c r="M355" s="16" t="s">
        <v>22</v>
      </c>
      <c r="N355" s="39" t="s">
        <v>418</v>
      </c>
    </row>
    <row r="356" spans="1:14" s="12" customFormat="1" ht="18">
      <c r="A356" s="178" t="s">
        <v>80</v>
      </c>
      <c r="B356" s="75" t="s">
        <v>630</v>
      </c>
      <c r="C356" s="176" t="s">
        <v>17</v>
      </c>
      <c r="D356" s="176"/>
      <c r="E356" s="176"/>
      <c r="F356" s="176"/>
      <c r="G356" s="176"/>
      <c r="H356" s="499">
        <f>SUM(Tabla132112415[[#This Row],[PRIMER TRIMESTRE]:[CUARTO TRIMESTRE]])</f>
        <v>0</v>
      </c>
      <c r="I356" s="17">
        <v>7127</v>
      </c>
      <c r="J356" s="17">
        <f t="shared" si="8"/>
        <v>0</v>
      </c>
      <c r="K356" s="17"/>
      <c r="L356" s="16" t="s">
        <v>18</v>
      </c>
      <c r="M356" s="16" t="s">
        <v>22</v>
      </c>
      <c r="N356" s="39" t="s">
        <v>418</v>
      </c>
    </row>
    <row r="357" spans="1:14" s="12" customFormat="1" ht="18">
      <c r="A357" s="178" t="s">
        <v>80</v>
      </c>
      <c r="B357" s="75" t="s">
        <v>631</v>
      </c>
      <c r="C357" s="176" t="s">
        <v>17</v>
      </c>
      <c r="D357" s="176"/>
      <c r="E357" s="176"/>
      <c r="F357" s="176"/>
      <c r="G357" s="176"/>
      <c r="H357" s="499">
        <f>SUM(Tabla132112415[[#This Row],[PRIMER TRIMESTRE]:[CUARTO TRIMESTRE]])</f>
        <v>0</v>
      </c>
      <c r="I357" s="17">
        <v>12580</v>
      </c>
      <c r="J357" s="17">
        <f t="shared" si="8"/>
        <v>0</v>
      </c>
      <c r="K357" s="17"/>
      <c r="L357" s="16" t="s">
        <v>18</v>
      </c>
      <c r="M357" s="16" t="s">
        <v>22</v>
      </c>
      <c r="N357" s="39" t="s">
        <v>418</v>
      </c>
    </row>
    <row r="358" spans="1:14" s="12" customFormat="1" ht="18">
      <c r="A358" s="178" t="s">
        <v>80</v>
      </c>
      <c r="B358" s="75" t="s">
        <v>632</v>
      </c>
      <c r="C358" s="176" t="s">
        <v>17</v>
      </c>
      <c r="D358" s="176"/>
      <c r="E358" s="176"/>
      <c r="F358" s="176"/>
      <c r="G358" s="176"/>
      <c r="H358" s="499">
        <f>SUM(Tabla132112415[[#This Row],[PRIMER TRIMESTRE]:[CUARTO TRIMESTRE]])</f>
        <v>0</v>
      </c>
      <c r="I358" s="17">
        <v>15045</v>
      </c>
      <c r="J358" s="17">
        <f t="shared" si="8"/>
        <v>0</v>
      </c>
      <c r="K358" s="17"/>
      <c r="L358" s="16" t="s">
        <v>18</v>
      </c>
      <c r="M358" s="16" t="s">
        <v>22</v>
      </c>
      <c r="N358" s="39" t="s">
        <v>418</v>
      </c>
    </row>
    <row r="359" spans="1:14" s="12" customFormat="1" ht="18">
      <c r="A359" s="178" t="s">
        <v>80</v>
      </c>
      <c r="B359" s="75" t="s">
        <v>633</v>
      </c>
      <c r="C359" s="176" t="s">
        <v>17</v>
      </c>
      <c r="D359" s="176"/>
      <c r="E359" s="176"/>
      <c r="F359" s="176"/>
      <c r="G359" s="176"/>
      <c r="H359" s="499">
        <f>SUM(Tabla132112415[[#This Row],[PRIMER TRIMESTRE]:[CUARTO TRIMESTRE]])</f>
        <v>0</v>
      </c>
      <c r="I359" s="17">
        <v>22396.400000000001</v>
      </c>
      <c r="J359" s="17">
        <f t="shared" si="8"/>
        <v>0</v>
      </c>
      <c r="K359" s="17"/>
      <c r="L359" s="16" t="s">
        <v>18</v>
      </c>
      <c r="M359" s="16" t="s">
        <v>22</v>
      </c>
      <c r="N359" s="39" t="s">
        <v>418</v>
      </c>
    </row>
    <row r="360" spans="1:14" s="12" customFormat="1" ht="18">
      <c r="A360" s="178" t="s">
        <v>80</v>
      </c>
      <c r="B360" s="75" t="s">
        <v>129</v>
      </c>
      <c r="C360" s="176" t="s">
        <v>17</v>
      </c>
      <c r="D360" s="176"/>
      <c r="E360" s="176"/>
      <c r="F360" s="176"/>
      <c r="G360" s="176"/>
      <c r="H360" s="499">
        <f>SUM(Tabla132112415[[#This Row],[PRIMER TRIMESTRE]:[CUARTO TRIMESTRE]])</f>
        <v>0</v>
      </c>
      <c r="I360" s="17">
        <v>3.52</v>
      </c>
      <c r="J360" s="17">
        <f>+Tabla132112415[[#This Row],[CANTIDAD TOTAL]]*Tabla132112415[[#This Row],[PRECIO UNITARIO ESTIMADO]]</f>
        <v>0</v>
      </c>
      <c r="K360" s="17"/>
      <c r="L360" s="16" t="s">
        <v>18</v>
      </c>
      <c r="M360" s="16" t="s">
        <v>22</v>
      </c>
      <c r="N360" s="39" t="s">
        <v>418</v>
      </c>
    </row>
    <row r="361" spans="1:14" s="12" customFormat="1" ht="18">
      <c r="A361" s="178" t="s">
        <v>80</v>
      </c>
      <c r="B361" s="75" t="s">
        <v>131</v>
      </c>
      <c r="C361" s="176" t="s">
        <v>17</v>
      </c>
      <c r="D361" s="176"/>
      <c r="E361" s="176"/>
      <c r="F361" s="176"/>
      <c r="G361" s="176"/>
      <c r="H361" s="499">
        <f>SUM(Tabla132112415[[#This Row],[PRIMER TRIMESTRE]:[CUARTO TRIMESTRE]])</f>
        <v>0</v>
      </c>
      <c r="I361" s="17">
        <v>5.86</v>
      </c>
      <c r="J361" s="17">
        <f>+Tabla132112415[[#This Row],[CANTIDAD TOTAL]]*Tabla132112415[[#This Row],[PRECIO UNITARIO ESTIMADO]]</f>
        <v>0</v>
      </c>
      <c r="K361" s="17"/>
      <c r="L361" s="16" t="s">
        <v>18</v>
      </c>
      <c r="M361" s="16" t="s">
        <v>22</v>
      </c>
      <c r="N361" s="39" t="s">
        <v>418</v>
      </c>
    </row>
    <row r="362" spans="1:14" s="12" customFormat="1" ht="18">
      <c r="A362" s="178" t="s">
        <v>80</v>
      </c>
      <c r="B362" s="75" t="s">
        <v>473</v>
      </c>
      <c r="C362" s="176" t="s">
        <v>17</v>
      </c>
      <c r="D362" s="176"/>
      <c r="E362" s="176"/>
      <c r="F362" s="176"/>
      <c r="G362" s="176"/>
      <c r="H362" s="499">
        <f>SUM(Tabla132112415[[#This Row],[PRIMER TRIMESTRE]:[CUARTO TRIMESTRE]])</f>
        <v>0</v>
      </c>
      <c r="I362" s="17">
        <v>15.46</v>
      </c>
      <c r="J362" s="17">
        <f>+H362*I362</f>
        <v>0</v>
      </c>
      <c r="K362" s="17"/>
      <c r="L362" s="16" t="s">
        <v>18</v>
      </c>
      <c r="M362" s="16" t="s">
        <v>22</v>
      </c>
      <c r="N362" s="39" t="s">
        <v>418</v>
      </c>
    </row>
    <row r="363" spans="1:14" s="12" customFormat="1" ht="18">
      <c r="A363" s="178" t="s">
        <v>80</v>
      </c>
      <c r="B363" s="75" t="s">
        <v>661</v>
      </c>
      <c r="C363" s="176" t="s">
        <v>17</v>
      </c>
      <c r="D363" s="176"/>
      <c r="E363" s="176"/>
      <c r="F363" s="176"/>
      <c r="G363" s="176"/>
      <c r="H363" s="499">
        <f>SUM(Tabla132112415[[#This Row],[PRIMER TRIMESTRE]:[CUARTO TRIMESTRE]])</f>
        <v>0</v>
      </c>
      <c r="I363" s="72">
        <v>15.46</v>
      </c>
      <c r="J363" s="17">
        <f>+H363*I363</f>
        <v>0</v>
      </c>
      <c r="K363" s="17"/>
      <c r="L363" s="16" t="s">
        <v>18</v>
      </c>
      <c r="M363" s="16" t="s">
        <v>22</v>
      </c>
      <c r="N363" s="39" t="s">
        <v>418</v>
      </c>
    </row>
    <row r="364" spans="1:14" s="12" customFormat="1" ht="18">
      <c r="A364" s="178" t="s">
        <v>80</v>
      </c>
      <c r="B364" s="75" t="s">
        <v>133</v>
      </c>
      <c r="C364" s="176" t="s">
        <v>17</v>
      </c>
      <c r="D364" s="176"/>
      <c r="E364" s="176"/>
      <c r="F364" s="176"/>
      <c r="G364" s="176"/>
      <c r="H364" s="499">
        <f>SUM(Tabla132112415[[#This Row],[PRIMER TRIMESTRE]:[CUARTO TRIMESTRE]])</f>
        <v>0</v>
      </c>
      <c r="I364" s="17">
        <v>40.17</v>
      </c>
      <c r="J364" s="17">
        <f>+Tabla132112415[[#This Row],[CANTIDAD TOTAL]]*Tabla132112415[[#This Row],[PRECIO UNITARIO ESTIMADO]]</f>
        <v>0</v>
      </c>
      <c r="K364" s="17"/>
      <c r="L364" s="16" t="s">
        <v>18</v>
      </c>
      <c r="M364" s="16" t="s">
        <v>22</v>
      </c>
      <c r="N364" s="39" t="s">
        <v>418</v>
      </c>
    </row>
    <row r="365" spans="1:14" s="12" customFormat="1" ht="18">
      <c r="A365" s="178" t="s">
        <v>80</v>
      </c>
      <c r="B365" s="75" t="s">
        <v>135</v>
      </c>
      <c r="C365" s="176" t="s">
        <v>17</v>
      </c>
      <c r="D365" s="176"/>
      <c r="E365" s="176"/>
      <c r="F365" s="176"/>
      <c r="G365" s="176"/>
      <c r="H365" s="499">
        <f>SUM(Tabla132112415[[#This Row],[PRIMER TRIMESTRE]:[CUARTO TRIMESTRE]])</f>
        <v>0</v>
      </c>
      <c r="I365" s="17">
        <v>116.85</v>
      </c>
      <c r="J365" s="17">
        <f>+Tabla132112415[[#This Row],[CANTIDAD TOTAL]]*Tabla132112415[[#This Row],[PRECIO UNITARIO ESTIMADO]]</f>
        <v>0</v>
      </c>
      <c r="K365" s="17"/>
      <c r="L365" s="16" t="s">
        <v>18</v>
      </c>
      <c r="M365" s="16" t="s">
        <v>22</v>
      </c>
      <c r="N365" s="39" t="s">
        <v>418</v>
      </c>
    </row>
    <row r="366" spans="1:14" s="12" customFormat="1" ht="18">
      <c r="A366" s="178" t="s">
        <v>80</v>
      </c>
      <c r="B366" s="75" t="s">
        <v>597</v>
      </c>
      <c r="C366" s="176" t="s">
        <v>17</v>
      </c>
      <c r="D366" s="176"/>
      <c r="E366" s="176"/>
      <c r="F366" s="176"/>
      <c r="G366" s="176"/>
      <c r="H366" s="499">
        <f>SUM(Tabla132112415[[#This Row],[PRIMER TRIMESTRE]:[CUARTO TRIMESTRE]])</f>
        <v>0</v>
      </c>
      <c r="I366" s="72">
        <v>107.31</v>
      </c>
      <c r="J366" s="17">
        <f t="shared" ref="J366:J376" si="9">+H366*I366</f>
        <v>0</v>
      </c>
      <c r="K366" s="17"/>
      <c r="L366" s="16" t="s">
        <v>18</v>
      </c>
      <c r="M366" s="16" t="s">
        <v>22</v>
      </c>
      <c r="N366" s="39" t="s">
        <v>418</v>
      </c>
    </row>
    <row r="367" spans="1:14" s="12" customFormat="1" ht="18">
      <c r="A367" s="178" t="s">
        <v>80</v>
      </c>
      <c r="B367" s="75" t="s">
        <v>1532</v>
      </c>
      <c r="C367" s="176" t="s">
        <v>17</v>
      </c>
      <c r="D367" s="176"/>
      <c r="E367" s="176"/>
      <c r="F367" s="176"/>
      <c r="G367" s="176"/>
      <c r="H367" s="176">
        <f>SUM(Tabla132112415[[#This Row],[PRIMER TRIMESTRE]:[CUARTO TRIMESTRE]])</f>
        <v>0</v>
      </c>
      <c r="I367" s="72">
        <v>300</v>
      </c>
      <c r="J367" s="72">
        <f t="shared" si="9"/>
        <v>0</v>
      </c>
      <c r="K367" s="17"/>
      <c r="L367" s="16" t="s">
        <v>18</v>
      </c>
      <c r="M367" s="16" t="s">
        <v>22</v>
      </c>
      <c r="N367" s="39" t="s">
        <v>418</v>
      </c>
    </row>
    <row r="368" spans="1:14" s="12" customFormat="1" ht="18">
      <c r="A368" s="178" t="s">
        <v>80</v>
      </c>
      <c r="B368" s="75" t="s">
        <v>1533</v>
      </c>
      <c r="C368" s="176" t="s">
        <v>17</v>
      </c>
      <c r="D368" s="176"/>
      <c r="E368" s="176"/>
      <c r="F368" s="176"/>
      <c r="G368" s="176"/>
      <c r="H368" s="176">
        <f>SUM(Tabla132112415[[#This Row],[PRIMER TRIMESTRE]:[CUARTO TRIMESTRE]])</f>
        <v>0</v>
      </c>
      <c r="I368" s="72">
        <v>845.5</v>
      </c>
      <c r="J368" s="72">
        <f t="shared" si="9"/>
        <v>0</v>
      </c>
      <c r="K368" s="17"/>
      <c r="L368" s="16" t="s">
        <v>18</v>
      </c>
      <c r="M368" s="16" t="s">
        <v>22</v>
      </c>
      <c r="N368" s="39" t="s">
        <v>418</v>
      </c>
    </row>
    <row r="369" spans="1:14" s="12" customFormat="1" ht="18">
      <c r="A369" s="178" t="s">
        <v>80</v>
      </c>
      <c r="B369" s="75" t="s">
        <v>1535</v>
      </c>
      <c r="C369" s="176" t="s">
        <v>17</v>
      </c>
      <c r="D369" s="176"/>
      <c r="E369" s="176"/>
      <c r="F369" s="176"/>
      <c r="G369" s="176"/>
      <c r="H369" s="176">
        <f>SUM(Tabla132112415[[#This Row],[PRIMER TRIMESTRE]:[CUARTO TRIMESTRE]])</f>
        <v>0</v>
      </c>
      <c r="I369" s="72">
        <v>3192.99</v>
      </c>
      <c r="J369" s="72">
        <f t="shared" si="9"/>
        <v>0</v>
      </c>
      <c r="K369" s="17"/>
      <c r="L369" s="16" t="s">
        <v>18</v>
      </c>
      <c r="M369" s="16" t="s">
        <v>22</v>
      </c>
      <c r="N369" s="39" t="s">
        <v>418</v>
      </c>
    </row>
    <row r="370" spans="1:14" s="12" customFormat="1" ht="18">
      <c r="A370" s="178" t="s">
        <v>80</v>
      </c>
      <c r="B370" s="75" t="s">
        <v>1724</v>
      </c>
      <c r="C370" s="176" t="s">
        <v>17</v>
      </c>
      <c r="D370" s="176"/>
      <c r="E370" s="176"/>
      <c r="F370" s="176"/>
      <c r="G370" s="176"/>
      <c r="H370" s="499">
        <v>0</v>
      </c>
      <c r="I370" s="72">
        <v>0</v>
      </c>
      <c r="J370" s="72">
        <v>0</v>
      </c>
      <c r="K370" s="17"/>
      <c r="L370" s="16" t="s">
        <v>18</v>
      </c>
      <c r="M370" s="16" t="s">
        <v>22</v>
      </c>
      <c r="N370" s="39" t="s">
        <v>418</v>
      </c>
    </row>
    <row r="371" spans="1:14" s="12" customFormat="1" ht="51">
      <c r="A371" s="178" t="s">
        <v>80</v>
      </c>
      <c r="B371" s="75" t="s">
        <v>1536</v>
      </c>
      <c r="C371" s="176" t="s">
        <v>17</v>
      </c>
      <c r="D371" s="176"/>
      <c r="E371" s="176"/>
      <c r="F371" s="176"/>
      <c r="G371" s="176"/>
      <c r="H371" s="176">
        <f>SUM(Tabla132112415[[#This Row],[PRIMER TRIMESTRE]:[CUARTO TRIMESTRE]])</f>
        <v>0</v>
      </c>
      <c r="I371" s="72">
        <v>45017.279999999999</v>
      </c>
      <c r="J371" s="72">
        <f t="shared" si="9"/>
        <v>0</v>
      </c>
      <c r="K371" s="17"/>
      <c r="L371" s="16" t="s">
        <v>18</v>
      </c>
      <c r="M371" s="16" t="s">
        <v>22</v>
      </c>
      <c r="N371" s="39" t="s">
        <v>418</v>
      </c>
    </row>
    <row r="372" spans="1:14" s="12" customFormat="1" ht="18">
      <c r="A372" s="178" t="s">
        <v>80</v>
      </c>
      <c r="B372" s="75" t="s">
        <v>1340</v>
      </c>
      <c r="C372" s="176" t="s">
        <v>17</v>
      </c>
      <c r="D372" s="176"/>
      <c r="E372" s="176"/>
      <c r="F372" s="176"/>
      <c r="G372" s="176"/>
      <c r="H372" s="499">
        <f>SUM(Tabla132112415[[#This Row],[PRIMER TRIMESTRE]:[CUARTO TRIMESTRE]])</f>
        <v>0</v>
      </c>
      <c r="I372" s="72">
        <v>348.1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</row>
    <row r="373" spans="1:14" s="12" customFormat="1" ht="18">
      <c r="A373" s="178" t="s">
        <v>80</v>
      </c>
      <c r="B373" s="75" t="s">
        <v>1537</v>
      </c>
      <c r="C373" s="176" t="s">
        <v>17</v>
      </c>
      <c r="D373" s="176"/>
      <c r="E373" s="176"/>
      <c r="F373" s="176"/>
      <c r="G373" s="176"/>
      <c r="H373" s="176">
        <f>SUM(Tabla132112415[[#This Row],[PRIMER TRIMESTRE]:[CUARTO TRIMESTRE]])</f>
        <v>0</v>
      </c>
      <c r="I373" s="72">
        <v>7623.81</v>
      </c>
      <c r="J373" s="72">
        <f t="shared" si="9"/>
        <v>0</v>
      </c>
      <c r="K373" s="17"/>
      <c r="L373" s="16" t="s">
        <v>18</v>
      </c>
      <c r="M373" s="16" t="s">
        <v>22</v>
      </c>
      <c r="N373" s="39" t="s">
        <v>418</v>
      </c>
    </row>
    <row r="374" spans="1:14" s="12" customFormat="1" ht="18">
      <c r="A374" s="178" t="s">
        <v>80</v>
      </c>
      <c r="B374" s="75" t="s">
        <v>1341</v>
      </c>
      <c r="C374" s="176" t="s">
        <v>17</v>
      </c>
      <c r="D374" s="176"/>
      <c r="E374" s="176"/>
      <c r="F374" s="176"/>
      <c r="G374" s="176"/>
      <c r="H374" s="499">
        <f>SUM(Tabla132112415[[#This Row],[PRIMER TRIMESTRE]:[CUARTO TRIMESTRE]])</f>
        <v>0</v>
      </c>
      <c r="I374" s="72">
        <v>88.5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</row>
    <row r="375" spans="1:14" s="12" customFormat="1" ht="18">
      <c r="A375" s="178" t="s">
        <v>80</v>
      </c>
      <c r="B375" s="75" t="s">
        <v>1342</v>
      </c>
      <c r="C375" s="176" t="s">
        <v>17</v>
      </c>
      <c r="D375" s="176"/>
      <c r="E375" s="176"/>
      <c r="F375" s="176"/>
      <c r="G375" s="176"/>
      <c r="H375" s="499">
        <f>SUM(Tabla132112415[[#This Row],[PRIMER TRIMESTRE]:[CUARTO TRIMESTRE]])</f>
        <v>0</v>
      </c>
      <c r="I375" s="72">
        <v>165.2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</row>
    <row r="376" spans="1:14" s="12" customFormat="1" ht="18">
      <c r="A376" s="178" t="s">
        <v>80</v>
      </c>
      <c r="B376" s="75" t="s">
        <v>1343</v>
      </c>
      <c r="C376" s="176" t="s">
        <v>17</v>
      </c>
      <c r="D376" s="176">
        <v>3</v>
      </c>
      <c r="E376" s="176"/>
      <c r="F376" s="176"/>
      <c r="G376" s="176"/>
      <c r="H376" s="499">
        <f>SUM(Tabla132112415[[#This Row],[PRIMER TRIMESTRE]:[CUARTO TRIMESTRE]])</f>
        <v>3</v>
      </c>
      <c r="I376" s="72">
        <v>855.5</v>
      </c>
      <c r="J376" s="17">
        <f t="shared" si="9"/>
        <v>2566.5</v>
      </c>
      <c r="K376" s="17"/>
      <c r="L376" s="16" t="s">
        <v>18</v>
      </c>
      <c r="M376" s="16" t="s">
        <v>22</v>
      </c>
      <c r="N376" s="39" t="s">
        <v>418</v>
      </c>
    </row>
    <row r="377" spans="1:14" s="12" customFormat="1" ht="18">
      <c r="A377" s="178" t="s">
        <v>80</v>
      </c>
      <c r="B377" s="75" t="s">
        <v>571</v>
      </c>
      <c r="C377" s="176" t="s">
        <v>17</v>
      </c>
      <c r="D377" s="176"/>
      <c r="E377" s="176"/>
      <c r="F377" s="176"/>
      <c r="G377" s="176"/>
      <c r="H377" s="499">
        <f>SUM(Tabla132112415[[#This Row],[PRIMER TRIMESTRE]:[CUARTO TRIMESTRE]])</f>
        <v>0</v>
      </c>
      <c r="I377" s="17">
        <v>12159.7</v>
      </c>
      <c r="J377" s="17">
        <f>+Tabla132112415[[#This Row],[CANTIDAD TOTAL]]*Tabla132112415[[#This Row],[PRECIO UNITARIO ESTIMADO]]</f>
        <v>0</v>
      </c>
      <c r="K377" s="17"/>
      <c r="L377" s="16" t="s">
        <v>18</v>
      </c>
      <c r="M377" s="16" t="s">
        <v>22</v>
      </c>
      <c r="N377" s="39" t="s">
        <v>418</v>
      </c>
    </row>
    <row r="378" spans="1:14" s="12" customFormat="1" ht="18">
      <c r="A378" s="178" t="s">
        <v>80</v>
      </c>
      <c r="B378" s="75" t="s">
        <v>186</v>
      </c>
      <c r="C378" s="176" t="s">
        <v>17</v>
      </c>
      <c r="D378" s="176"/>
      <c r="E378" s="176"/>
      <c r="F378" s="176"/>
      <c r="G378" s="176"/>
      <c r="H378" s="499">
        <f>SUM(Tabla132112415[[#This Row],[PRIMER TRIMESTRE]:[CUARTO TRIMESTRE]])</f>
        <v>0</v>
      </c>
      <c r="I378" s="17">
        <v>2600</v>
      </c>
      <c r="J378" s="17">
        <f>+Tabla132112415[[#This Row],[CANTIDAD TOTAL]]*Tabla132112415[[#This Row],[PRECIO UNITARIO ESTIMADO]]</f>
        <v>0</v>
      </c>
      <c r="K378" s="17"/>
      <c r="L378" s="16" t="s">
        <v>18</v>
      </c>
      <c r="M378" s="16" t="s">
        <v>22</v>
      </c>
      <c r="N378" s="39" t="s">
        <v>418</v>
      </c>
    </row>
    <row r="379" spans="1:14" s="12" customFormat="1" ht="18">
      <c r="A379" s="178" t="s">
        <v>80</v>
      </c>
      <c r="B379" s="75" t="s">
        <v>1550</v>
      </c>
      <c r="C379" s="176" t="s">
        <v>17</v>
      </c>
      <c r="D379" s="176"/>
      <c r="E379" s="176"/>
      <c r="F379" s="176"/>
      <c r="G379" s="176"/>
      <c r="H379" s="176">
        <f>SUM(Tabla132112415[[#This Row],[PRIMER TRIMESTRE]:[CUARTO TRIMESTRE]])</f>
        <v>0</v>
      </c>
      <c r="I379" s="17">
        <v>317.27</v>
      </c>
      <c r="J379" s="17">
        <f>+H379*I379</f>
        <v>0</v>
      </c>
      <c r="K379" s="17"/>
      <c r="L379" s="16" t="s">
        <v>18</v>
      </c>
      <c r="M379" s="16" t="s">
        <v>22</v>
      </c>
      <c r="N379" s="39" t="s">
        <v>418</v>
      </c>
    </row>
    <row r="380" spans="1:14" s="12" customFormat="1" ht="18">
      <c r="A380" s="178" t="s">
        <v>80</v>
      </c>
      <c r="B380" s="75" t="s">
        <v>148</v>
      </c>
      <c r="C380" s="176" t="s">
        <v>149</v>
      </c>
      <c r="D380" s="176"/>
      <c r="E380" s="176"/>
      <c r="F380" s="176"/>
      <c r="G380" s="176"/>
      <c r="H380" s="499">
        <f>SUM(Tabla132112415[[#This Row],[PRIMER TRIMESTRE]:[CUARTO TRIMESTRE]])</f>
        <v>0</v>
      </c>
      <c r="I380" s="17">
        <v>127.6</v>
      </c>
      <c r="J380" s="17">
        <f>+Tabla132112415[[#This Row],[CANTIDAD TOTAL]]*Tabla132112415[[#This Row],[PRECIO UNITARIO ESTIMADO]]</f>
        <v>0</v>
      </c>
      <c r="K380" s="17"/>
      <c r="L380" s="16" t="s">
        <v>18</v>
      </c>
      <c r="M380" s="16" t="s">
        <v>22</v>
      </c>
      <c r="N380" s="39" t="s">
        <v>418</v>
      </c>
    </row>
    <row r="381" spans="1:14" s="12" customFormat="1" ht="18">
      <c r="A381" s="178" t="s">
        <v>80</v>
      </c>
      <c r="B381" s="75" t="s">
        <v>2540</v>
      </c>
      <c r="C381" s="176" t="s">
        <v>149</v>
      </c>
      <c r="D381" s="176">
        <v>2</v>
      </c>
      <c r="E381" s="176">
        <v>1</v>
      </c>
      <c r="F381" s="176">
        <v>1</v>
      </c>
      <c r="G381" s="176">
        <v>1</v>
      </c>
      <c r="H381" s="499">
        <f>SUM(Tabla132112415[[#This Row],[PRIMER TRIMESTRE]:[CUARTO TRIMESTRE]])</f>
        <v>5</v>
      </c>
      <c r="I381" s="17"/>
      <c r="J381" s="17"/>
      <c r="K381" s="17"/>
      <c r="L381" s="16"/>
      <c r="M381" s="16"/>
      <c r="N381" s="39"/>
    </row>
    <row r="382" spans="1:14" s="12" customFormat="1" ht="18">
      <c r="A382" s="178" t="s">
        <v>80</v>
      </c>
      <c r="B382" s="75" t="s">
        <v>1430</v>
      </c>
      <c r="C382" s="176" t="s">
        <v>290</v>
      </c>
      <c r="D382" s="176"/>
      <c r="E382" s="176"/>
      <c r="F382" s="176"/>
      <c r="G382" s="176"/>
      <c r="H382" s="499">
        <f>SUM(Tabla132112415[[#This Row],[PRIMER TRIMESTRE]:[CUARTO TRIMESTRE]])</f>
        <v>0</v>
      </c>
      <c r="I382" s="17">
        <v>793.52</v>
      </c>
      <c r="J382" s="17">
        <f>+Tabla132112415[[#This Row],[CANTIDAD TOTAL]]*Tabla132112415[[#This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</row>
    <row r="383" spans="1:14" s="12" customFormat="1" ht="18">
      <c r="A383" s="178" t="s">
        <v>80</v>
      </c>
      <c r="B383" s="75" t="s">
        <v>439</v>
      </c>
      <c r="C383" s="176" t="s">
        <v>149</v>
      </c>
      <c r="D383" s="176">
        <v>22</v>
      </c>
      <c r="E383" s="176">
        <v>20</v>
      </c>
      <c r="F383" s="176">
        <v>20</v>
      </c>
      <c r="G383" s="176">
        <v>20</v>
      </c>
      <c r="H383" s="499">
        <f>SUM(Tabla132112415[[#This Row],[PRIMER TRIMESTRE]:[CUARTO TRIMESTRE]])</f>
        <v>82</v>
      </c>
      <c r="I383" s="17">
        <v>123.91</v>
      </c>
      <c r="J383" s="17">
        <f>+Tabla132112415[[#This Row],[CANTIDAD TOTAL]]*Tabla132112415[[#This Row],[PRECIO UNITARIO ESTIMADO]]</f>
        <v>10160.619999999999</v>
      </c>
      <c r="K383" s="17"/>
      <c r="L383" s="16" t="s">
        <v>18</v>
      </c>
      <c r="M383" s="16" t="s">
        <v>22</v>
      </c>
      <c r="N383" s="39" t="s">
        <v>418</v>
      </c>
    </row>
    <row r="384" spans="1:14" s="12" customFormat="1" ht="18">
      <c r="A384" s="178" t="s">
        <v>80</v>
      </c>
      <c r="B384" s="75" t="s">
        <v>1553</v>
      </c>
      <c r="C384" s="176" t="s">
        <v>17</v>
      </c>
      <c r="D384" s="176"/>
      <c r="E384" s="176"/>
      <c r="F384" s="176"/>
      <c r="G384" s="176"/>
      <c r="H384" s="176">
        <f>SUM(Tabla132112415[[#This Row],[PRIMER TRIMESTRE]:[CUARTO TRIMESTRE]])</f>
        <v>0</v>
      </c>
      <c r="I384" s="17">
        <v>536.16999999999996</v>
      </c>
      <c r="J384" s="17">
        <f>+H384*I384</f>
        <v>0</v>
      </c>
      <c r="K384" s="17"/>
      <c r="L384" s="16" t="s">
        <v>18</v>
      </c>
      <c r="M384" s="16" t="s">
        <v>22</v>
      </c>
      <c r="N384" s="39" t="s">
        <v>418</v>
      </c>
    </row>
    <row r="385" spans="1:14" s="12" customFormat="1" ht="25.5">
      <c r="A385" s="178" t="s">
        <v>80</v>
      </c>
      <c r="B385" s="75" t="s">
        <v>1538</v>
      </c>
      <c r="C385" s="176" t="s">
        <v>149</v>
      </c>
      <c r="D385" s="176"/>
      <c r="E385" s="176"/>
      <c r="F385" s="176"/>
      <c r="G385" s="176"/>
      <c r="H385" s="176">
        <f>SUM(Tabla132112415[[#This Row],[PRIMER TRIMESTRE]:[CUARTO TRIMESTRE]])</f>
        <v>0</v>
      </c>
      <c r="I385" s="17">
        <v>560</v>
      </c>
      <c r="J385" s="17">
        <f>+H385*I385</f>
        <v>0</v>
      </c>
      <c r="K385" s="17"/>
      <c r="L385" s="16" t="s">
        <v>18</v>
      </c>
      <c r="M385" s="16" t="s">
        <v>22</v>
      </c>
      <c r="N385" s="39" t="s">
        <v>418</v>
      </c>
    </row>
    <row r="386" spans="1:14" s="12" customFormat="1" ht="18">
      <c r="A386" s="178" t="s">
        <v>80</v>
      </c>
      <c r="B386" s="75" t="s">
        <v>471</v>
      </c>
      <c r="C386" s="176" t="s">
        <v>17</v>
      </c>
      <c r="D386" s="176">
        <v>10</v>
      </c>
      <c r="E386" s="177">
        <v>10</v>
      </c>
      <c r="F386" s="176">
        <v>10</v>
      </c>
      <c r="G386" s="176">
        <v>10</v>
      </c>
      <c r="H386" s="499">
        <f>SUM(Tabla132112415[[#This Row],[PRIMER TRIMESTRE]:[CUARTO TRIMESTRE]])</f>
        <v>40</v>
      </c>
      <c r="I386" s="17">
        <v>55.38</v>
      </c>
      <c r="J386" s="17">
        <f>+Tabla132112415[[#This Row],[CANTIDAD TOTAL]]*Tabla132112415[[#This Row],[PRECIO UNITARIO ESTIMADO]]</f>
        <v>2215.2000000000003</v>
      </c>
      <c r="K386" s="17"/>
      <c r="L386" s="16" t="s">
        <v>18</v>
      </c>
      <c r="M386" s="16" t="s">
        <v>22</v>
      </c>
      <c r="N386" s="39" t="s">
        <v>418</v>
      </c>
    </row>
    <row r="387" spans="1:14" s="12" customFormat="1" ht="18">
      <c r="A387" s="178" t="s">
        <v>80</v>
      </c>
      <c r="B387" s="75" t="s">
        <v>1348</v>
      </c>
      <c r="C387" s="176" t="s">
        <v>17</v>
      </c>
      <c r="D387" s="176"/>
      <c r="E387" s="177"/>
      <c r="F387" s="176"/>
      <c r="G387" s="176"/>
      <c r="H387" s="499">
        <f>SUM(Tabla132112415[[#This Row],[PRIMER TRIMESTRE]:[CUARTO TRIMESTRE]])</f>
        <v>0</v>
      </c>
      <c r="I387" s="17">
        <v>85</v>
      </c>
      <c r="J387" s="17">
        <f t="shared" ref="J387:J422" si="10">+H387*I387</f>
        <v>0</v>
      </c>
      <c r="K387" s="17"/>
      <c r="L387" s="16" t="s">
        <v>18</v>
      </c>
      <c r="M387" s="16" t="s">
        <v>22</v>
      </c>
      <c r="N387" s="39" t="s">
        <v>418</v>
      </c>
    </row>
    <row r="388" spans="1:14" s="12" customFormat="1" ht="18">
      <c r="A388" s="178" t="s">
        <v>80</v>
      </c>
      <c r="B388" s="75" t="s">
        <v>1591</v>
      </c>
      <c r="C388" s="176" t="s">
        <v>17</v>
      </c>
      <c r="D388" s="176"/>
      <c r="E388" s="177"/>
      <c r="F388" s="176"/>
      <c r="G388" s="176"/>
      <c r="H388" s="499">
        <f>SUM(Tabla132112415[[#This Row],[PRIMER TRIMESTRE]:[CUARTO TRIMESTRE]])</f>
        <v>0</v>
      </c>
      <c r="I388" s="17">
        <v>196.4</v>
      </c>
      <c r="J388" s="17">
        <f t="shared" si="10"/>
        <v>0</v>
      </c>
      <c r="K388" s="17"/>
      <c r="L388" s="16" t="s">
        <v>18</v>
      </c>
      <c r="M388" s="16" t="s">
        <v>22</v>
      </c>
      <c r="N388" s="39" t="s">
        <v>418</v>
      </c>
    </row>
    <row r="389" spans="1:14" s="12" customFormat="1" ht="18">
      <c r="A389" s="178" t="s">
        <v>80</v>
      </c>
      <c r="B389" s="75" t="s">
        <v>1349</v>
      </c>
      <c r="C389" s="176" t="s">
        <v>17</v>
      </c>
      <c r="D389" s="176"/>
      <c r="E389" s="177"/>
      <c r="F389" s="176"/>
      <c r="G389" s="176"/>
      <c r="H389" s="499">
        <f>SUM(Tabla132112415[[#This Row],[PRIMER TRIMESTRE]:[CUARTO TRIMESTRE]])</f>
        <v>0</v>
      </c>
      <c r="I389" s="17">
        <v>55</v>
      </c>
      <c r="J389" s="17">
        <f t="shared" si="10"/>
        <v>0</v>
      </c>
      <c r="K389" s="17"/>
      <c r="L389" s="16" t="s">
        <v>18</v>
      </c>
      <c r="M389" s="16" t="s">
        <v>22</v>
      </c>
      <c r="N389" s="39" t="s">
        <v>418</v>
      </c>
    </row>
    <row r="390" spans="1:14" s="12" customFormat="1" ht="18">
      <c r="A390" s="178" t="s">
        <v>80</v>
      </c>
      <c r="B390" s="75" t="s">
        <v>1711</v>
      </c>
      <c r="C390" s="176" t="s">
        <v>17</v>
      </c>
      <c r="D390" s="176">
        <v>50</v>
      </c>
      <c r="E390" s="177">
        <v>50</v>
      </c>
      <c r="F390" s="176">
        <v>50</v>
      </c>
      <c r="G390" s="176">
        <v>50</v>
      </c>
      <c r="H390" s="499">
        <v>0</v>
      </c>
      <c r="I390" s="17">
        <v>0</v>
      </c>
      <c r="J390" s="17">
        <v>0</v>
      </c>
      <c r="K390" s="17"/>
      <c r="L390" s="16" t="s">
        <v>18</v>
      </c>
      <c r="M390" s="16" t="s">
        <v>22</v>
      </c>
      <c r="N390" s="39" t="s">
        <v>418</v>
      </c>
    </row>
    <row r="391" spans="1:14" s="12" customFormat="1" ht="18">
      <c r="A391" s="178" t="s">
        <v>80</v>
      </c>
      <c r="B391" s="75" t="s">
        <v>1563</v>
      </c>
      <c r="C391" s="176" t="s">
        <v>17</v>
      </c>
      <c r="D391" s="176"/>
      <c r="E391" s="176"/>
      <c r="F391" s="176"/>
      <c r="G391" s="176"/>
      <c r="H391" s="176">
        <f>SUM(Tabla132112415[[#This Row],[PRIMER TRIMESTRE]:[CUARTO TRIMESTRE]])</f>
        <v>0</v>
      </c>
      <c r="I391" s="17">
        <v>108.41</v>
      </c>
      <c r="J391" s="17">
        <f t="shared" si="10"/>
        <v>0</v>
      </c>
      <c r="K391" s="17"/>
      <c r="L391" s="16" t="s">
        <v>18</v>
      </c>
      <c r="M391" s="16" t="s">
        <v>22</v>
      </c>
      <c r="N391" s="39" t="s">
        <v>418</v>
      </c>
    </row>
    <row r="392" spans="1:14" s="12" customFormat="1" ht="18">
      <c r="A392" s="178" t="s">
        <v>80</v>
      </c>
      <c r="B392" s="75" t="s">
        <v>1562</v>
      </c>
      <c r="C392" s="176" t="s">
        <v>17</v>
      </c>
      <c r="D392" s="176"/>
      <c r="E392" s="176"/>
      <c r="F392" s="176"/>
      <c r="G392" s="176"/>
      <c r="H392" s="176">
        <f>SUM(Tabla132112415[[#This Row],[PRIMER TRIMESTRE]:[CUARTO TRIMESTRE]])</f>
        <v>0</v>
      </c>
      <c r="I392" s="17">
        <v>23.1</v>
      </c>
      <c r="J392" s="17">
        <f t="shared" si="10"/>
        <v>0</v>
      </c>
      <c r="K392" s="17"/>
      <c r="L392" s="16" t="s">
        <v>18</v>
      </c>
      <c r="M392" s="16" t="s">
        <v>22</v>
      </c>
      <c r="N392" s="39" t="s">
        <v>418</v>
      </c>
    </row>
    <row r="393" spans="1:14" s="12" customFormat="1" ht="18">
      <c r="A393" s="178" t="s">
        <v>80</v>
      </c>
      <c r="B393" s="75" t="s">
        <v>1350</v>
      </c>
      <c r="C393" s="176" t="s">
        <v>17</v>
      </c>
      <c r="D393" s="176">
        <v>25</v>
      </c>
      <c r="E393" s="177">
        <v>25</v>
      </c>
      <c r="F393" s="176">
        <v>25</v>
      </c>
      <c r="G393" s="176">
        <v>25</v>
      </c>
      <c r="H393" s="499">
        <f>SUM(Tabla132112415[[#This Row],[PRIMER TRIMESTRE]:[CUARTO TRIMESTRE]])</f>
        <v>100</v>
      </c>
      <c r="I393" s="17">
        <v>210</v>
      </c>
      <c r="J393" s="17">
        <f t="shared" si="10"/>
        <v>21000</v>
      </c>
      <c r="K393" s="17"/>
      <c r="L393" s="16" t="s">
        <v>18</v>
      </c>
      <c r="M393" s="16" t="s">
        <v>22</v>
      </c>
      <c r="N393" s="39" t="s">
        <v>418</v>
      </c>
    </row>
    <row r="394" spans="1:14" s="12" customFormat="1" ht="18">
      <c r="A394" s="178" t="s">
        <v>80</v>
      </c>
      <c r="B394" s="75" t="s">
        <v>644</v>
      </c>
      <c r="C394" s="176" t="s">
        <v>17</v>
      </c>
      <c r="D394" s="176"/>
      <c r="E394" s="176"/>
      <c r="F394" s="176"/>
      <c r="G394" s="499"/>
      <c r="H394" s="499">
        <f>SUM(Tabla132112415[[#This Row],[PRIMER TRIMESTRE]:[CUARTO TRIMESTRE]])</f>
        <v>0</v>
      </c>
      <c r="I394" s="17">
        <v>731.35</v>
      </c>
      <c r="J394" s="17">
        <f t="shared" si="10"/>
        <v>0</v>
      </c>
      <c r="K394" s="17"/>
      <c r="L394" s="16" t="s">
        <v>18</v>
      </c>
      <c r="M394" s="16" t="s">
        <v>22</v>
      </c>
      <c r="N394" s="39" t="s">
        <v>418</v>
      </c>
    </row>
    <row r="395" spans="1:14" s="12" customFormat="1" ht="18">
      <c r="A395" s="178" t="s">
        <v>80</v>
      </c>
      <c r="B395" s="75" t="s">
        <v>645</v>
      </c>
      <c r="C395" s="176" t="s">
        <v>17</v>
      </c>
      <c r="D395" s="176"/>
      <c r="E395" s="176"/>
      <c r="F395" s="176"/>
      <c r="G395" s="499"/>
      <c r="H395" s="499">
        <f>SUM(Tabla132112415[[#This Row],[PRIMER TRIMESTRE]:[CUARTO TRIMESTRE]])</f>
        <v>0</v>
      </c>
      <c r="I395" s="17">
        <v>1013.28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</row>
    <row r="396" spans="1:14" s="12" customFormat="1" ht="18">
      <c r="A396" s="178" t="s">
        <v>80</v>
      </c>
      <c r="B396" s="75" t="s">
        <v>646</v>
      </c>
      <c r="C396" s="176" t="s">
        <v>17</v>
      </c>
      <c r="D396" s="176"/>
      <c r="E396" s="176"/>
      <c r="F396" s="176"/>
      <c r="G396" s="499"/>
      <c r="H396" s="499">
        <f>SUM(Tabla132112415[[#This Row],[PRIMER TRIMESTRE]:[CUARTO TRIMESTRE]])</f>
        <v>0</v>
      </c>
      <c r="I396" s="17">
        <v>1196.97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</row>
    <row r="397" spans="1:14" s="12" customFormat="1" ht="18">
      <c r="A397" s="178" t="s">
        <v>80</v>
      </c>
      <c r="B397" s="75" t="s">
        <v>647</v>
      </c>
      <c r="C397" s="176" t="s">
        <v>17</v>
      </c>
      <c r="D397" s="176"/>
      <c r="E397" s="176"/>
      <c r="F397" s="176"/>
      <c r="G397" s="499"/>
      <c r="H397" s="499">
        <f>SUM(Tabla132112415[[#This Row],[PRIMER TRIMESTRE]:[CUARTO TRIMESTRE]])</f>
        <v>0</v>
      </c>
      <c r="I397" s="17">
        <v>1882.41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</row>
    <row r="398" spans="1:14" s="12" customFormat="1" ht="18">
      <c r="A398" s="178" t="s">
        <v>80</v>
      </c>
      <c r="B398" s="75" t="s">
        <v>648</v>
      </c>
      <c r="C398" s="176" t="s">
        <v>17</v>
      </c>
      <c r="D398" s="176"/>
      <c r="E398" s="176"/>
      <c r="F398" s="176"/>
      <c r="G398" s="499"/>
      <c r="H398" s="499">
        <f>SUM(Tabla132112415[[#This Row],[PRIMER TRIMESTRE]:[CUARTO TRIMESTRE]])</f>
        <v>0</v>
      </c>
      <c r="I398" s="17">
        <v>2110.4699999999998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</row>
    <row r="399" spans="1:14" s="12" customFormat="1" ht="18">
      <c r="A399" s="178" t="s">
        <v>80</v>
      </c>
      <c r="B399" s="75" t="s">
        <v>649</v>
      </c>
      <c r="C399" s="176" t="s">
        <v>17</v>
      </c>
      <c r="D399" s="176"/>
      <c r="E399" s="176"/>
      <c r="F399" s="176"/>
      <c r="G399" s="499"/>
      <c r="H399" s="499">
        <f>SUM(Tabla132112415[[#This Row],[PRIMER TRIMESTRE]:[CUARTO TRIMESTRE]])</f>
        <v>0</v>
      </c>
      <c r="I399" s="17">
        <v>2920.5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</row>
    <row r="400" spans="1:14" s="12" customFormat="1" ht="18">
      <c r="A400" s="178" t="s">
        <v>80</v>
      </c>
      <c r="B400" s="75" t="s">
        <v>650</v>
      </c>
      <c r="C400" s="176" t="s">
        <v>17</v>
      </c>
      <c r="D400" s="176"/>
      <c r="E400" s="176"/>
      <c r="F400" s="176"/>
      <c r="G400" s="499"/>
      <c r="H400" s="499">
        <f>SUM(Tabla132112415[[#This Row],[PRIMER TRIMESTRE]:[CUARTO TRIMESTRE]])</f>
        <v>0</v>
      </c>
      <c r="I400" s="17">
        <v>2919.76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</row>
    <row r="401" spans="1:14" s="12" customFormat="1" ht="18">
      <c r="A401" s="178" t="s">
        <v>80</v>
      </c>
      <c r="B401" s="75" t="s">
        <v>651</v>
      </c>
      <c r="C401" s="176" t="s">
        <v>17</v>
      </c>
      <c r="D401" s="176"/>
      <c r="E401" s="176"/>
      <c r="F401" s="176"/>
      <c r="G401" s="499"/>
      <c r="H401" s="499">
        <f>SUM(Tabla132112415[[#This Row],[PRIMER TRIMESTRE]:[CUARTO TRIMESTRE]])</f>
        <v>0</v>
      </c>
      <c r="I401" s="17">
        <v>5347.76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</row>
    <row r="402" spans="1:14" s="12" customFormat="1" ht="18">
      <c r="A402" s="178" t="s">
        <v>80</v>
      </c>
      <c r="B402" s="75" t="s">
        <v>652</v>
      </c>
      <c r="C402" s="176" t="s">
        <v>17</v>
      </c>
      <c r="D402" s="176"/>
      <c r="E402" s="176"/>
      <c r="F402" s="176"/>
      <c r="G402" s="499"/>
      <c r="H402" s="499">
        <f>SUM(Tabla132112415[[#This Row],[PRIMER TRIMESTRE]:[CUARTO TRIMESTRE]])</f>
        <v>0</v>
      </c>
      <c r="I402" s="17">
        <v>9696.06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</row>
    <row r="403" spans="1:14" s="12" customFormat="1" ht="18">
      <c r="A403" s="178" t="s">
        <v>80</v>
      </c>
      <c r="B403" s="75" t="s">
        <v>653</v>
      </c>
      <c r="C403" s="176" t="s">
        <v>17</v>
      </c>
      <c r="D403" s="176"/>
      <c r="E403" s="176"/>
      <c r="F403" s="176"/>
      <c r="G403" s="499"/>
      <c r="H403" s="499">
        <f>SUM(Tabla132112415[[#This Row],[PRIMER TRIMESTRE]:[CUARTO TRIMESTRE]])</f>
        <v>0</v>
      </c>
      <c r="I403" s="17">
        <v>13263.2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</row>
    <row r="404" spans="1:14" s="12" customFormat="1" ht="18">
      <c r="A404" s="178" t="s">
        <v>80</v>
      </c>
      <c r="B404" s="75" t="s">
        <v>351</v>
      </c>
      <c r="C404" s="176" t="s">
        <v>17</v>
      </c>
      <c r="D404" s="176"/>
      <c r="E404" s="176"/>
      <c r="F404" s="176"/>
      <c r="G404" s="499"/>
      <c r="H404" s="499">
        <f>SUM(Tabla132112415[[#This Row],[PRIMER TRIMESTRE]:[CUARTO TRIMESTRE]])</f>
        <v>0</v>
      </c>
      <c r="I404" s="17">
        <v>1800</v>
      </c>
      <c r="J404" s="17">
        <f t="shared" si="10"/>
        <v>0</v>
      </c>
      <c r="K404" s="17"/>
      <c r="L404" s="16" t="s">
        <v>18</v>
      </c>
      <c r="M404" s="16" t="s">
        <v>22</v>
      </c>
      <c r="N404" s="39" t="s">
        <v>418</v>
      </c>
    </row>
    <row r="405" spans="1:14" s="12" customFormat="1" ht="18">
      <c r="A405" s="178" t="s">
        <v>80</v>
      </c>
      <c r="B405" s="75" t="s">
        <v>352</v>
      </c>
      <c r="C405" s="176" t="s">
        <v>17</v>
      </c>
      <c r="D405" s="176"/>
      <c r="E405" s="176"/>
      <c r="F405" s="176"/>
      <c r="G405" s="499"/>
      <c r="H405" s="499">
        <f>SUM(Tabla132112415[[#This Row],[PRIMER TRIMESTRE]:[CUARTO TRIMESTRE]])</f>
        <v>0</v>
      </c>
      <c r="I405" s="17">
        <v>2000</v>
      </c>
      <c r="J405" s="17">
        <f t="shared" si="10"/>
        <v>0</v>
      </c>
      <c r="K405" s="17"/>
      <c r="L405" s="16" t="s">
        <v>18</v>
      </c>
      <c r="M405" s="16" t="s">
        <v>22</v>
      </c>
      <c r="N405" s="39" t="s">
        <v>418</v>
      </c>
    </row>
    <row r="406" spans="1:14" s="12" customFormat="1" ht="18">
      <c r="A406" s="178" t="s">
        <v>80</v>
      </c>
      <c r="B406" s="75" t="s">
        <v>345</v>
      </c>
      <c r="C406" s="176" t="s">
        <v>17</v>
      </c>
      <c r="D406" s="176"/>
      <c r="E406" s="176"/>
      <c r="F406" s="176"/>
      <c r="G406" s="499"/>
      <c r="H406" s="499">
        <f>SUM(Tabla132112415[[#This Row],[PRIMER TRIMESTRE]:[CUARTO TRIMESTRE]])</f>
        <v>0</v>
      </c>
      <c r="I406" s="17">
        <v>2500</v>
      </c>
      <c r="J406" s="17">
        <f t="shared" si="10"/>
        <v>0</v>
      </c>
      <c r="K406" s="17"/>
      <c r="L406" s="16" t="s">
        <v>18</v>
      </c>
      <c r="M406" s="16" t="s">
        <v>22</v>
      </c>
      <c r="N406" s="39" t="s">
        <v>418</v>
      </c>
    </row>
    <row r="407" spans="1:14" s="12" customFormat="1" ht="18">
      <c r="A407" s="178" t="s">
        <v>80</v>
      </c>
      <c r="B407" s="75" t="s">
        <v>346</v>
      </c>
      <c r="C407" s="176" t="s">
        <v>17</v>
      </c>
      <c r="D407" s="176"/>
      <c r="E407" s="176"/>
      <c r="F407" s="176"/>
      <c r="G407" s="499"/>
      <c r="H407" s="499">
        <f>SUM(Tabla132112415[[#This Row],[PRIMER TRIMESTRE]:[CUARTO TRIMESTRE]])</f>
        <v>0</v>
      </c>
      <c r="I407" s="17">
        <v>3100</v>
      </c>
      <c r="J407" s="17">
        <f t="shared" si="10"/>
        <v>0</v>
      </c>
      <c r="K407" s="17"/>
      <c r="L407" s="16" t="s">
        <v>18</v>
      </c>
      <c r="M407" s="16" t="s">
        <v>22</v>
      </c>
      <c r="N407" s="39" t="s">
        <v>418</v>
      </c>
    </row>
    <row r="408" spans="1:14" s="12" customFormat="1" ht="18">
      <c r="A408" s="178" t="s">
        <v>80</v>
      </c>
      <c r="B408" s="75" t="s">
        <v>347</v>
      </c>
      <c r="C408" s="176" t="s">
        <v>17</v>
      </c>
      <c r="D408" s="176"/>
      <c r="E408" s="176"/>
      <c r="F408" s="176"/>
      <c r="G408" s="499"/>
      <c r="H408" s="499">
        <f>SUM(Tabla132112415[[#This Row],[PRIMER TRIMESTRE]:[CUARTO TRIMESTRE]])</f>
        <v>0</v>
      </c>
      <c r="I408" s="17">
        <v>4100</v>
      </c>
      <c r="J408" s="17">
        <f t="shared" si="10"/>
        <v>0</v>
      </c>
      <c r="K408" s="17"/>
      <c r="L408" s="16" t="s">
        <v>18</v>
      </c>
      <c r="M408" s="16" t="s">
        <v>22</v>
      </c>
      <c r="N408" s="39" t="s">
        <v>418</v>
      </c>
    </row>
    <row r="409" spans="1:14" s="12" customFormat="1" ht="18">
      <c r="A409" s="178" t="s">
        <v>80</v>
      </c>
      <c r="B409" s="75" t="s">
        <v>1213</v>
      </c>
      <c r="C409" s="176" t="s">
        <v>17</v>
      </c>
      <c r="D409" s="176"/>
      <c r="E409" s="176"/>
      <c r="F409" s="176"/>
      <c r="G409" s="499"/>
      <c r="H409" s="499">
        <f>SUM(Tabla132112415[[#This Row],[PRIMER TRIMESTRE]:[CUARTO TRIMESTRE]])</f>
        <v>0</v>
      </c>
      <c r="I409" s="17">
        <v>8660</v>
      </c>
      <c r="J409" s="17">
        <f t="shared" si="10"/>
        <v>0</v>
      </c>
      <c r="K409" s="17"/>
      <c r="L409" s="16" t="s">
        <v>18</v>
      </c>
      <c r="M409" s="16" t="s">
        <v>22</v>
      </c>
      <c r="N409" s="39" t="s">
        <v>418</v>
      </c>
    </row>
    <row r="410" spans="1:14" s="12" customFormat="1" ht="18">
      <c r="A410" s="178" t="s">
        <v>80</v>
      </c>
      <c r="B410" s="75" t="s">
        <v>359</v>
      </c>
      <c r="C410" s="176" t="s">
        <v>17</v>
      </c>
      <c r="D410" s="176"/>
      <c r="E410" s="176"/>
      <c r="F410" s="176"/>
      <c r="G410" s="499"/>
      <c r="H410" s="499">
        <f>SUM(Tabla132112415[[#This Row],[PRIMER TRIMESTRE]:[CUARTO TRIMESTRE]])</f>
        <v>0</v>
      </c>
      <c r="I410" s="17">
        <v>1800</v>
      </c>
      <c r="J410" s="17">
        <f t="shared" si="10"/>
        <v>0</v>
      </c>
      <c r="K410" s="17"/>
      <c r="L410" s="16" t="s">
        <v>18</v>
      </c>
      <c r="M410" s="16" t="s">
        <v>22</v>
      </c>
      <c r="N410" s="39" t="s">
        <v>418</v>
      </c>
    </row>
    <row r="411" spans="1:14" s="12" customFormat="1" ht="18">
      <c r="A411" s="178" t="s">
        <v>80</v>
      </c>
      <c r="B411" s="75" t="s">
        <v>360</v>
      </c>
      <c r="C411" s="176" t="s">
        <v>17</v>
      </c>
      <c r="D411" s="176"/>
      <c r="E411" s="176"/>
      <c r="F411" s="176"/>
      <c r="G411" s="499"/>
      <c r="H411" s="499">
        <f>SUM(Tabla132112415[[#This Row],[PRIMER TRIMESTRE]:[CUARTO TRIMESTRE]])</f>
        <v>0</v>
      </c>
      <c r="I411" s="17">
        <v>2000</v>
      </c>
      <c r="J411" s="17">
        <f t="shared" si="10"/>
        <v>0</v>
      </c>
      <c r="K411" s="17"/>
      <c r="L411" s="16" t="s">
        <v>18</v>
      </c>
      <c r="M411" s="16" t="s">
        <v>22</v>
      </c>
      <c r="N411" s="39" t="s">
        <v>418</v>
      </c>
    </row>
    <row r="412" spans="1:14" s="12" customFormat="1" ht="18">
      <c r="A412" s="178" t="s">
        <v>80</v>
      </c>
      <c r="B412" s="75" t="s">
        <v>353</v>
      </c>
      <c r="C412" s="176" t="s">
        <v>17</v>
      </c>
      <c r="D412" s="176"/>
      <c r="E412" s="176"/>
      <c r="F412" s="176"/>
      <c r="G412" s="499"/>
      <c r="H412" s="499">
        <f>SUM(Tabla132112415[[#This Row],[PRIMER TRIMESTRE]:[CUARTO TRIMESTRE]])</f>
        <v>0</v>
      </c>
      <c r="I412" s="17">
        <v>2500</v>
      </c>
      <c r="J412" s="17">
        <f t="shared" si="10"/>
        <v>0</v>
      </c>
      <c r="K412" s="17"/>
      <c r="L412" s="16" t="s">
        <v>18</v>
      </c>
      <c r="M412" s="16" t="s">
        <v>22</v>
      </c>
      <c r="N412" s="39" t="s">
        <v>418</v>
      </c>
    </row>
    <row r="413" spans="1:14" s="12" customFormat="1" ht="18">
      <c r="A413" s="178" t="s">
        <v>80</v>
      </c>
      <c r="B413" s="75" t="s">
        <v>354</v>
      </c>
      <c r="C413" s="176" t="s">
        <v>17</v>
      </c>
      <c r="D413" s="176"/>
      <c r="E413" s="176"/>
      <c r="F413" s="176"/>
      <c r="G413" s="499"/>
      <c r="H413" s="499">
        <f>SUM(Tabla132112415[[#This Row],[PRIMER TRIMESTRE]:[CUARTO TRIMESTRE]])</f>
        <v>0</v>
      </c>
      <c r="I413" s="17">
        <v>8502.7999999999993</v>
      </c>
      <c r="J413" s="17">
        <f t="shared" si="10"/>
        <v>0</v>
      </c>
      <c r="K413" s="17"/>
      <c r="L413" s="16" t="s">
        <v>18</v>
      </c>
      <c r="M413" s="16" t="s">
        <v>22</v>
      </c>
      <c r="N413" s="39" t="s">
        <v>418</v>
      </c>
    </row>
    <row r="414" spans="1:14" s="12" customFormat="1" ht="18">
      <c r="A414" s="178" t="s">
        <v>80</v>
      </c>
      <c r="B414" s="75" t="s">
        <v>355</v>
      </c>
      <c r="C414" s="176" t="s">
        <v>17</v>
      </c>
      <c r="D414" s="176"/>
      <c r="E414" s="176"/>
      <c r="F414" s="176"/>
      <c r="G414" s="499"/>
      <c r="H414" s="499">
        <f>SUM(Tabla132112415[[#This Row],[PRIMER TRIMESTRE]:[CUARTO TRIMESTRE]])</f>
        <v>0</v>
      </c>
      <c r="I414" s="17">
        <v>12180</v>
      </c>
      <c r="J414" s="17">
        <f t="shared" si="10"/>
        <v>0</v>
      </c>
      <c r="K414" s="17"/>
      <c r="L414" s="16" t="s">
        <v>18</v>
      </c>
      <c r="M414" s="16" t="s">
        <v>22</v>
      </c>
      <c r="N414" s="39" t="s">
        <v>418</v>
      </c>
    </row>
    <row r="415" spans="1:14" s="12" customFormat="1" ht="18">
      <c r="A415" s="178" t="s">
        <v>80</v>
      </c>
      <c r="B415" s="75" t="s">
        <v>1214</v>
      </c>
      <c r="C415" s="176" t="s">
        <v>17</v>
      </c>
      <c r="D415" s="176"/>
      <c r="E415" s="176"/>
      <c r="F415" s="176"/>
      <c r="G415" s="499"/>
      <c r="H415" s="499">
        <f>SUM(Tabla132112415[[#This Row],[PRIMER TRIMESTRE]:[CUARTO TRIMESTRE]])</f>
        <v>0</v>
      </c>
      <c r="I415" s="17">
        <v>12180</v>
      </c>
      <c r="J415" s="17">
        <f t="shared" si="10"/>
        <v>0</v>
      </c>
      <c r="K415" s="17"/>
      <c r="L415" s="16" t="s">
        <v>18</v>
      </c>
      <c r="M415" s="16" t="s">
        <v>22</v>
      </c>
      <c r="N415" s="39" t="s">
        <v>418</v>
      </c>
    </row>
    <row r="416" spans="1:14" s="12" customFormat="1" ht="18">
      <c r="A416" s="178" t="s">
        <v>80</v>
      </c>
      <c r="B416" s="75" t="s">
        <v>366</v>
      </c>
      <c r="C416" s="176" t="s">
        <v>17</v>
      </c>
      <c r="D416" s="176"/>
      <c r="E416" s="176"/>
      <c r="F416" s="176"/>
      <c r="G416" s="499"/>
      <c r="H416" s="499">
        <f>SUM(Tabla132112415[[#This Row],[PRIMER TRIMESTRE]:[CUARTO TRIMESTRE]])</f>
        <v>0</v>
      </c>
      <c r="I416" s="17">
        <v>1800</v>
      </c>
      <c r="J416" s="17">
        <f t="shared" si="10"/>
        <v>0</v>
      </c>
      <c r="K416" s="17"/>
      <c r="L416" s="16" t="s">
        <v>18</v>
      </c>
      <c r="M416" s="16" t="s">
        <v>22</v>
      </c>
      <c r="N416" s="39" t="s">
        <v>418</v>
      </c>
    </row>
    <row r="417" spans="1:14" s="12" customFormat="1" ht="18">
      <c r="A417" s="178" t="s">
        <v>80</v>
      </c>
      <c r="B417" s="75" t="s">
        <v>367</v>
      </c>
      <c r="C417" s="176" t="s">
        <v>17</v>
      </c>
      <c r="D417" s="176"/>
      <c r="E417" s="176"/>
      <c r="F417" s="176"/>
      <c r="G417" s="499"/>
      <c r="H417" s="499">
        <f>SUM(Tabla132112415[[#This Row],[PRIMER TRIMESTRE]:[CUARTO TRIMESTRE]])</f>
        <v>0</v>
      </c>
      <c r="I417" s="17">
        <v>2000</v>
      </c>
      <c r="J417" s="17">
        <f t="shared" si="10"/>
        <v>0</v>
      </c>
      <c r="K417" s="17"/>
      <c r="L417" s="16" t="s">
        <v>18</v>
      </c>
      <c r="M417" s="16" t="s">
        <v>22</v>
      </c>
      <c r="N417" s="39" t="s">
        <v>418</v>
      </c>
    </row>
    <row r="418" spans="1:14" s="12" customFormat="1" ht="18">
      <c r="A418" s="178" t="s">
        <v>80</v>
      </c>
      <c r="B418" s="75" t="s">
        <v>361</v>
      </c>
      <c r="C418" s="176" t="s">
        <v>17</v>
      </c>
      <c r="D418" s="176"/>
      <c r="E418" s="176"/>
      <c r="F418" s="176"/>
      <c r="G418" s="499"/>
      <c r="H418" s="499">
        <f>SUM(Tabla132112415[[#This Row],[PRIMER TRIMESTRE]:[CUARTO TRIMESTRE]])</f>
        <v>0</v>
      </c>
      <c r="I418" s="17">
        <v>2500</v>
      </c>
      <c r="J418" s="17">
        <f t="shared" si="10"/>
        <v>0</v>
      </c>
      <c r="K418" s="17"/>
      <c r="L418" s="16" t="s">
        <v>18</v>
      </c>
      <c r="M418" s="16" t="s">
        <v>22</v>
      </c>
      <c r="N418" s="39" t="s">
        <v>418</v>
      </c>
    </row>
    <row r="419" spans="1:14" s="12" customFormat="1" ht="18">
      <c r="A419" s="178" t="s">
        <v>80</v>
      </c>
      <c r="B419" s="75" t="s">
        <v>362</v>
      </c>
      <c r="C419" s="176" t="s">
        <v>17</v>
      </c>
      <c r="D419" s="176"/>
      <c r="E419" s="176"/>
      <c r="F419" s="176"/>
      <c r="G419" s="499"/>
      <c r="H419" s="499">
        <f>SUM(Tabla132112415[[#This Row],[PRIMER TRIMESTRE]:[CUARTO TRIMESTRE]])</f>
        <v>0</v>
      </c>
      <c r="I419" s="17">
        <v>3100</v>
      </c>
      <c r="J419" s="17">
        <f t="shared" si="10"/>
        <v>0</v>
      </c>
      <c r="K419" s="17"/>
      <c r="L419" s="16" t="s">
        <v>18</v>
      </c>
      <c r="M419" s="16" t="s">
        <v>22</v>
      </c>
      <c r="N419" s="39" t="s">
        <v>418</v>
      </c>
    </row>
    <row r="420" spans="1:14" s="12" customFormat="1" ht="18">
      <c r="A420" s="178" t="s">
        <v>80</v>
      </c>
      <c r="B420" s="75" t="s">
        <v>1439</v>
      </c>
      <c r="C420" s="176" t="s">
        <v>17</v>
      </c>
      <c r="D420" s="176"/>
      <c r="E420" s="176"/>
      <c r="F420" s="176"/>
      <c r="G420" s="499"/>
      <c r="H420" s="499">
        <f>SUM(Tabla132112415[[#This Row],[PRIMER TRIMESTRE]:[CUARTO TRIMESTRE]])</f>
        <v>0</v>
      </c>
      <c r="I420" s="17">
        <v>4100</v>
      </c>
      <c r="J420" s="17">
        <f t="shared" si="10"/>
        <v>0</v>
      </c>
      <c r="K420" s="17"/>
      <c r="L420" s="16" t="s">
        <v>18</v>
      </c>
      <c r="M420" s="16" t="s">
        <v>22</v>
      </c>
      <c r="N420" s="39" t="s">
        <v>418</v>
      </c>
    </row>
    <row r="421" spans="1:14" s="12" customFormat="1" ht="18">
      <c r="A421" s="178" t="s">
        <v>80</v>
      </c>
      <c r="B421" s="75" t="s">
        <v>920</v>
      </c>
      <c r="C421" s="176" t="s">
        <v>17</v>
      </c>
      <c r="D421" s="176"/>
      <c r="E421" s="176"/>
      <c r="F421" s="176"/>
      <c r="G421" s="499"/>
      <c r="H421" s="499">
        <f>SUM(Tabla132112415[[#This Row],[PRIMER TRIMESTRE]:[CUARTO TRIMESTRE]])</f>
        <v>0</v>
      </c>
      <c r="I421" s="17">
        <v>140</v>
      </c>
      <c r="J421" s="17">
        <f t="shared" si="10"/>
        <v>0</v>
      </c>
      <c r="K421" s="17"/>
      <c r="L421" s="16" t="s">
        <v>18</v>
      </c>
      <c r="M421" s="16" t="s">
        <v>22</v>
      </c>
      <c r="N421" s="39" t="s">
        <v>418</v>
      </c>
    </row>
    <row r="422" spans="1:14" s="12" customFormat="1" ht="18">
      <c r="A422" s="178" t="s">
        <v>80</v>
      </c>
      <c r="B422" s="75" t="s">
        <v>1578</v>
      </c>
      <c r="C422" s="176" t="s">
        <v>17</v>
      </c>
      <c r="D422" s="176"/>
      <c r="E422" s="176"/>
      <c r="F422" s="176"/>
      <c r="G422" s="176"/>
      <c r="H422" s="176">
        <f>SUM(Tabla132112415[[#This Row],[PRIMER TRIMESTRE]:[CUARTO TRIMESTRE]])</f>
        <v>0</v>
      </c>
      <c r="I422" s="17">
        <v>397.8</v>
      </c>
      <c r="J422" s="17">
        <f t="shared" si="10"/>
        <v>0</v>
      </c>
      <c r="K422" s="17"/>
      <c r="L422" s="16" t="s">
        <v>18</v>
      </c>
      <c r="M422" s="16" t="s">
        <v>22</v>
      </c>
      <c r="N422" s="39" t="s">
        <v>418</v>
      </c>
    </row>
    <row r="423" spans="1:14" s="12" customFormat="1" ht="18">
      <c r="A423" s="178" t="s">
        <v>80</v>
      </c>
      <c r="B423" s="75" t="s">
        <v>154</v>
      </c>
      <c r="C423" s="176" t="s">
        <v>470</v>
      </c>
      <c r="D423" s="176">
        <v>90</v>
      </c>
      <c r="E423" s="176">
        <v>90</v>
      </c>
      <c r="F423" s="176">
        <v>65</v>
      </c>
      <c r="G423" s="176">
        <v>65</v>
      </c>
      <c r="H423" s="499">
        <f>SUM(Tabla132112415[[#This Row],[PRIMER TRIMESTRE]:[CUARTO TRIMESTRE]])</f>
        <v>310</v>
      </c>
      <c r="I423" s="17">
        <v>100</v>
      </c>
      <c r="J423" s="17">
        <f>+Tabla132112415[[#This Row],[CANTIDAD TOTAL]]*Tabla132112415[[#This Row],[PRECIO UNITARIO ESTIMADO]]</f>
        <v>31000</v>
      </c>
      <c r="K423" s="17"/>
      <c r="L423" s="16" t="s">
        <v>18</v>
      </c>
      <c r="M423" s="16" t="s">
        <v>22</v>
      </c>
      <c r="N423" s="39" t="s">
        <v>418</v>
      </c>
    </row>
    <row r="424" spans="1:14" s="12" customFormat="1" ht="18">
      <c r="A424" s="178" t="s">
        <v>80</v>
      </c>
      <c r="B424" s="75" t="s">
        <v>177</v>
      </c>
      <c r="C424" s="176" t="s">
        <v>93</v>
      </c>
      <c r="D424" s="176"/>
      <c r="E424" s="176"/>
      <c r="F424" s="176"/>
      <c r="G424" s="176"/>
      <c r="H424" s="499">
        <f>SUM(Tabla132112415[[#This Row],[PRIMER TRIMESTRE]:[CUARTO TRIMESTRE]])</f>
        <v>0</v>
      </c>
      <c r="I424" s="17">
        <v>226.78</v>
      </c>
      <c r="J424" s="17">
        <f>+Tabla132112415[[#This Row],[CANTIDAD TOTAL]]*Tabla132112415[[#This Row],[PRECIO UNITARIO ESTIMADO]]</f>
        <v>0</v>
      </c>
      <c r="K424" s="17"/>
      <c r="L424" s="16" t="s">
        <v>18</v>
      </c>
      <c r="M424" s="16" t="s">
        <v>22</v>
      </c>
      <c r="N424" s="39" t="s">
        <v>418</v>
      </c>
    </row>
    <row r="425" spans="1:14" s="12" customFormat="1" ht="18">
      <c r="A425" s="178" t="s">
        <v>80</v>
      </c>
      <c r="B425" s="75" t="s">
        <v>460</v>
      </c>
      <c r="C425" s="176" t="s">
        <v>93</v>
      </c>
      <c r="D425" s="176"/>
      <c r="E425" s="176"/>
      <c r="F425" s="176"/>
      <c r="G425" s="176"/>
      <c r="H425" s="499">
        <f>SUM(Tabla132112415[[#This Row],[PRIMER TRIMESTRE]:[CUARTO TRIMESTRE]])</f>
        <v>0</v>
      </c>
      <c r="I425" s="17">
        <v>2055.4</v>
      </c>
      <c r="J425" s="17">
        <f>+H425*I425</f>
        <v>0</v>
      </c>
      <c r="K425" s="17"/>
      <c r="L425" s="16" t="s">
        <v>18</v>
      </c>
      <c r="M425" s="16" t="s">
        <v>22</v>
      </c>
      <c r="N425" s="39" t="s">
        <v>418</v>
      </c>
    </row>
    <row r="426" spans="1:14" s="12" customFormat="1" ht="18">
      <c r="A426" s="178" t="s">
        <v>80</v>
      </c>
      <c r="B426" s="75" t="s">
        <v>2541</v>
      </c>
      <c r="C426" s="176" t="s">
        <v>93</v>
      </c>
      <c r="D426" s="176">
        <v>2</v>
      </c>
      <c r="E426" s="176"/>
      <c r="F426" s="176"/>
      <c r="G426" s="176"/>
      <c r="H426" s="499">
        <f>SUM(Tabla132112415[[#This Row],[PRIMER TRIMESTRE]:[CUARTO TRIMESTRE]])</f>
        <v>2</v>
      </c>
      <c r="I426" s="17">
        <v>2055.4</v>
      </c>
      <c r="J426" s="17"/>
      <c r="K426" s="17"/>
      <c r="L426" s="16"/>
      <c r="M426" s="16"/>
      <c r="N426" s="39"/>
    </row>
    <row r="427" spans="1:14" s="12" customFormat="1" ht="18">
      <c r="A427" s="178" t="s">
        <v>80</v>
      </c>
      <c r="B427" s="75" t="s">
        <v>179</v>
      </c>
      <c r="C427" s="176" t="s">
        <v>93</v>
      </c>
      <c r="D427" s="176"/>
      <c r="E427" s="176"/>
      <c r="F427" s="176"/>
      <c r="G427" s="176"/>
      <c r="H427" s="499">
        <f>SUM(Tabla132112415[[#This Row],[PRIMER TRIMESTRE]:[CUARTO TRIMESTRE]])</f>
        <v>0</v>
      </c>
      <c r="I427" s="17">
        <v>222.14</v>
      </c>
      <c r="J427" s="17">
        <f>+Tabla132112415[[#This Row],[CANTIDAD TOTAL]]*Tabla132112415[[#This Row],[PRECIO UNITARIO ESTIMADO]]</f>
        <v>0</v>
      </c>
      <c r="K427" s="17"/>
      <c r="L427" s="16" t="s">
        <v>18</v>
      </c>
      <c r="M427" s="16" t="s">
        <v>22</v>
      </c>
      <c r="N427" s="39" t="s">
        <v>418</v>
      </c>
    </row>
    <row r="428" spans="1:14" s="12" customFormat="1" ht="18">
      <c r="A428" s="178" t="s">
        <v>80</v>
      </c>
      <c r="B428" s="75" t="s">
        <v>1549</v>
      </c>
      <c r="C428" s="176" t="s">
        <v>17</v>
      </c>
      <c r="D428" s="176"/>
      <c r="E428" s="176"/>
      <c r="F428" s="176"/>
      <c r="G428" s="176"/>
      <c r="H428" s="176">
        <f>SUM(Tabla132112415[[#This Row],[PRIMER TRIMESTRE]:[CUARTO TRIMESTRE]])</f>
        <v>0</v>
      </c>
      <c r="I428" s="17">
        <v>62328</v>
      </c>
      <c r="J428" s="17">
        <f>+H428*I428</f>
        <v>0</v>
      </c>
      <c r="K428" s="17"/>
      <c r="L428" s="16" t="s">
        <v>18</v>
      </c>
      <c r="M428" s="16" t="s">
        <v>22</v>
      </c>
      <c r="N428" s="39" t="s">
        <v>418</v>
      </c>
    </row>
    <row r="429" spans="1:14" s="12" customFormat="1" ht="18">
      <c r="A429" s="178" t="s">
        <v>80</v>
      </c>
      <c r="B429" s="75" t="s">
        <v>181</v>
      </c>
      <c r="C429" s="176" t="s">
        <v>69</v>
      </c>
      <c r="D429" s="177"/>
      <c r="E429" s="177"/>
      <c r="F429" s="177"/>
      <c r="G429" s="177"/>
      <c r="H429" s="499">
        <f>SUM(Tabla132112415[[#This Row],[PRIMER TRIMESTRE]:[CUARTO TRIMESTRE]])</f>
        <v>0</v>
      </c>
      <c r="I429" s="17">
        <v>6206</v>
      </c>
      <c r="J429" s="17">
        <f>+Tabla132112415[[#This Row],[CANTIDAD TOTAL]]*Tabla132112415[[#This Row],[PRECIO UNITARIO ESTIMADO]]</f>
        <v>0</v>
      </c>
      <c r="K429" s="17"/>
      <c r="L429" s="16" t="s">
        <v>18</v>
      </c>
      <c r="M429" s="16" t="s">
        <v>22</v>
      </c>
      <c r="N429" s="39" t="s">
        <v>418</v>
      </c>
    </row>
    <row r="430" spans="1:14" s="12" customFormat="1" ht="25.5">
      <c r="A430" s="178" t="s">
        <v>80</v>
      </c>
      <c r="B430" s="75" t="s">
        <v>468</v>
      </c>
      <c r="C430" s="176" t="s">
        <v>17</v>
      </c>
      <c r="D430" s="176"/>
      <c r="E430" s="176"/>
      <c r="F430" s="176"/>
      <c r="G430" s="176"/>
      <c r="H430" s="499">
        <f>SUM(Tabla132112415[[#This Row],[PRIMER TRIMESTRE]:[CUARTO TRIMESTRE]])</f>
        <v>0</v>
      </c>
      <c r="I430" s="17">
        <v>4827</v>
      </c>
      <c r="J430" s="17">
        <f>+Tabla132112415[[#This Row],[CANTIDAD TOTAL]]*Tabla132112415[[#This Row],[PRECIO UNITARIO ESTIMADO]]</f>
        <v>0</v>
      </c>
      <c r="K430" s="17"/>
      <c r="L430" s="16" t="s">
        <v>18</v>
      </c>
      <c r="M430" s="16" t="s">
        <v>22</v>
      </c>
      <c r="N430" s="39" t="s">
        <v>418</v>
      </c>
    </row>
    <row r="431" spans="1:14" s="12" customFormat="1" ht="18">
      <c r="A431" s="178" t="s">
        <v>80</v>
      </c>
      <c r="B431" s="75" t="s">
        <v>1564</v>
      </c>
      <c r="C431" s="176" t="s">
        <v>17</v>
      </c>
      <c r="D431" s="176"/>
      <c r="E431" s="176"/>
      <c r="F431" s="176"/>
      <c r="G431" s="176"/>
      <c r="H431" s="176">
        <f>SUM(Tabla132112415[[#This Row],[PRIMER TRIMESTRE]:[CUARTO TRIMESTRE]])</f>
        <v>0</v>
      </c>
      <c r="I431" s="17">
        <v>72.37</v>
      </c>
      <c r="J431" s="17">
        <f>+H431*I431</f>
        <v>0</v>
      </c>
      <c r="K431" s="17"/>
      <c r="L431" s="16" t="s">
        <v>18</v>
      </c>
      <c r="M431" s="16" t="s">
        <v>22</v>
      </c>
      <c r="N431" s="39" t="s">
        <v>418</v>
      </c>
    </row>
    <row r="432" spans="1:14" s="12" customFormat="1" ht="18">
      <c r="A432" s="178" t="s">
        <v>80</v>
      </c>
      <c r="B432" s="75" t="s">
        <v>1565</v>
      </c>
      <c r="C432" s="176" t="s">
        <v>17</v>
      </c>
      <c r="D432" s="176"/>
      <c r="E432" s="176"/>
      <c r="F432" s="176"/>
      <c r="G432" s="176"/>
      <c r="H432" s="176">
        <f>SUM(Tabla132112415[[#This Row],[PRIMER TRIMESTRE]:[CUARTO TRIMESTRE]])</f>
        <v>0</v>
      </c>
      <c r="I432" s="17">
        <v>48.05</v>
      </c>
      <c r="J432" s="17">
        <f>+H432*I432</f>
        <v>0</v>
      </c>
      <c r="K432" s="17"/>
      <c r="L432" s="16" t="s">
        <v>18</v>
      </c>
      <c r="M432" s="16" t="s">
        <v>22</v>
      </c>
      <c r="N432" s="39" t="s">
        <v>418</v>
      </c>
    </row>
    <row r="433" spans="1:14" s="12" customFormat="1" ht="18">
      <c r="A433" s="178" t="s">
        <v>80</v>
      </c>
      <c r="B433" s="75" t="s">
        <v>1548</v>
      </c>
      <c r="C433" s="176" t="s">
        <v>17</v>
      </c>
      <c r="D433" s="176"/>
      <c r="E433" s="176"/>
      <c r="F433" s="176"/>
      <c r="G433" s="176"/>
      <c r="H433" s="176">
        <f>SUM(Tabla132112415[[#This Row],[PRIMER TRIMESTRE]:[CUARTO TRIMESTRE]])</f>
        <v>0</v>
      </c>
      <c r="I433" s="17">
        <v>191.1</v>
      </c>
      <c r="J433" s="17">
        <f>+H433*I433</f>
        <v>0</v>
      </c>
      <c r="K433" s="17"/>
      <c r="L433" s="16" t="s">
        <v>18</v>
      </c>
      <c r="M433" s="16" t="s">
        <v>22</v>
      </c>
      <c r="N433" s="39" t="s">
        <v>418</v>
      </c>
    </row>
    <row r="434" spans="1:14" s="12" customFormat="1" ht="18">
      <c r="A434" s="178" t="s">
        <v>80</v>
      </c>
      <c r="B434" s="75" t="s">
        <v>1619</v>
      </c>
      <c r="C434" s="176" t="s">
        <v>17</v>
      </c>
      <c r="D434" s="176"/>
      <c r="E434" s="176"/>
      <c r="F434" s="176"/>
      <c r="G434" s="176"/>
      <c r="H434" s="176">
        <f>SUM(Tabla132112415[[#This Row],[PRIMER TRIMESTRE]:[CUARTO TRIMESTRE]])</f>
        <v>0</v>
      </c>
      <c r="I434" s="17">
        <v>2184.9499999999998</v>
      </c>
      <c r="J434" s="17">
        <f>+H434*I434</f>
        <v>0</v>
      </c>
      <c r="K434" s="17"/>
      <c r="L434" s="16" t="s">
        <v>18</v>
      </c>
      <c r="M434" s="16" t="s">
        <v>22</v>
      </c>
      <c r="N434" s="39" t="s">
        <v>418</v>
      </c>
    </row>
    <row r="435" spans="1:14" s="12" customFormat="1" ht="18">
      <c r="A435" s="178" t="s">
        <v>80</v>
      </c>
      <c r="B435" s="75" t="s">
        <v>1566</v>
      </c>
      <c r="C435" s="176" t="s">
        <v>17</v>
      </c>
      <c r="D435" s="176"/>
      <c r="E435" s="176"/>
      <c r="F435" s="176"/>
      <c r="G435" s="176"/>
      <c r="H435" s="176">
        <f>SUM(Tabla132112415[[#This Row],[PRIMER TRIMESTRE]:[CUARTO TRIMESTRE]])</f>
        <v>0</v>
      </c>
      <c r="I435" s="17">
        <v>2891.99</v>
      </c>
      <c r="J435" s="17">
        <f>+H435*I435</f>
        <v>0</v>
      </c>
      <c r="K435" s="17"/>
      <c r="L435" s="16" t="s">
        <v>18</v>
      </c>
      <c r="M435" s="16" t="s">
        <v>22</v>
      </c>
      <c r="N435" s="39" t="s">
        <v>418</v>
      </c>
    </row>
    <row r="436" spans="1:14" s="12" customFormat="1" ht="18">
      <c r="A436" s="178" t="s">
        <v>80</v>
      </c>
      <c r="B436" s="75" t="s">
        <v>184</v>
      </c>
      <c r="C436" s="176" t="s">
        <v>17</v>
      </c>
      <c r="D436" s="176"/>
      <c r="E436" s="176"/>
      <c r="F436" s="176"/>
      <c r="G436" s="176"/>
      <c r="H436" s="499">
        <f>SUM(Tabla132112415[[#This Row],[PRIMER TRIMESTRE]:[CUARTO TRIMESTRE]])</f>
        <v>0</v>
      </c>
      <c r="I436" s="17">
        <v>1347.46</v>
      </c>
      <c r="J436" s="17">
        <f>+Tabla132112415[[#This Row],[CANTIDAD TOTAL]]*Tabla132112415[[#This Row],[PRECIO UNITARIO ESTIMADO]]</f>
        <v>0</v>
      </c>
      <c r="K436" s="17"/>
      <c r="L436" s="16" t="s">
        <v>18</v>
      </c>
      <c r="M436" s="16" t="s">
        <v>22</v>
      </c>
      <c r="N436" s="39" t="s">
        <v>418</v>
      </c>
    </row>
    <row r="437" spans="1:14" s="12" customFormat="1" ht="18">
      <c r="A437" s="178" t="s">
        <v>80</v>
      </c>
      <c r="B437" s="75" t="s">
        <v>1426</v>
      </c>
      <c r="C437" s="176" t="s">
        <v>17</v>
      </c>
      <c r="D437" s="176">
        <v>80</v>
      </c>
      <c r="E437" s="176">
        <v>80</v>
      </c>
      <c r="F437" s="176">
        <v>80</v>
      </c>
      <c r="G437" s="176">
        <v>80</v>
      </c>
      <c r="H437" s="499">
        <f>SUM(Tabla132112415[[#This Row],[PRIMER TRIMESTRE]:[CUARTO TRIMESTRE]])</f>
        <v>320</v>
      </c>
      <c r="I437" s="17">
        <v>423.61</v>
      </c>
      <c r="J437" s="17">
        <f t="shared" ref="J437:J451" si="11">+H437*I437</f>
        <v>135555.20000000001</v>
      </c>
      <c r="K437" s="17"/>
      <c r="L437" s="16" t="s">
        <v>18</v>
      </c>
      <c r="M437" s="16" t="s">
        <v>22</v>
      </c>
      <c r="N437" s="39" t="s">
        <v>418</v>
      </c>
    </row>
    <row r="438" spans="1:14" s="12" customFormat="1" ht="18">
      <c r="A438" s="178" t="s">
        <v>80</v>
      </c>
      <c r="B438" s="75" t="s">
        <v>1432</v>
      </c>
      <c r="C438" s="176" t="s">
        <v>17</v>
      </c>
      <c r="D438" s="176">
        <v>40</v>
      </c>
      <c r="E438" s="176">
        <v>40</v>
      </c>
      <c r="F438" s="176">
        <v>40</v>
      </c>
      <c r="G438" s="176">
        <v>40</v>
      </c>
      <c r="H438" s="499">
        <f>SUM(Tabla132112415[[#This Row],[PRIMER TRIMESTRE]:[CUARTO TRIMESTRE]])</f>
        <v>160</v>
      </c>
      <c r="I438" s="17">
        <v>705.29</v>
      </c>
      <c r="J438" s="17">
        <f t="shared" si="11"/>
        <v>112846.39999999999</v>
      </c>
      <c r="K438" s="17"/>
      <c r="L438" s="16" t="s">
        <v>18</v>
      </c>
      <c r="M438" s="16" t="s">
        <v>22</v>
      </c>
      <c r="N438" s="39" t="s">
        <v>418</v>
      </c>
    </row>
    <row r="439" spans="1:14" s="12" customFormat="1" ht="18">
      <c r="A439" s="178" t="s">
        <v>80</v>
      </c>
      <c r="B439" s="75" t="s">
        <v>1726</v>
      </c>
      <c r="C439" s="176" t="s">
        <v>17</v>
      </c>
      <c r="D439" s="176"/>
      <c r="E439" s="176"/>
      <c r="F439" s="176"/>
      <c r="G439" s="176"/>
      <c r="H439" s="499">
        <v>0</v>
      </c>
      <c r="I439" s="17">
        <v>0</v>
      </c>
      <c r="J439" s="17">
        <v>0</v>
      </c>
      <c r="K439" s="17"/>
      <c r="L439" s="16" t="s">
        <v>18</v>
      </c>
      <c r="M439" s="16" t="s">
        <v>22</v>
      </c>
      <c r="N439" s="39" t="s">
        <v>418</v>
      </c>
    </row>
    <row r="440" spans="1:14" s="12" customFormat="1" ht="18">
      <c r="A440" s="178" t="s">
        <v>80</v>
      </c>
      <c r="B440" s="75" t="s">
        <v>1608</v>
      </c>
      <c r="C440" s="176" t="s">
        <v>17</v>
      </c>
      <c r="D440" s="176"/>
      <c r="E440" s="176"/>
      <c r="F440" s="176"/>
      <c r="G440" s="176"/>
      <c r="H440" s="176">
        <f>SUM(Tabla132112415[[#This Row],[PRIMER TRIMESTRE]:[CUARTO TRIMESTRE]])</f>
        <v>0</v>
      </c>
      <c r="I440" s="17">
        <v>4776.8500000000004</v>
      </c>
      <c r="J440" s="17">
        <f t="shared" si="11"/>
        <v>0</v>
      </c>
      <c r="K440" s="17"/>
      <c r="L440" s="16" t="s">
        <v>18</v>
      </c>
      <c r="M440" s="16" t="s">
        <v>22</v>
      </c>
      <c r="N440" s="39" t="s">
        <v>418</v>
      </c>
    </row>
    <row r="441" spans="1:14" s="12" customFormat="1" ht="18">
      <c r="A441" s="178" t="s">
        <v>80</v>
      </c>
      <c r="B441" s="75" t="s">
        <v>1607</v>
      </c>
      <c r="C441" s="176" t="s">
        <v>17</v>
      </c>
      <c r="D441" s="176"/>
      <c r="E441" s="176"/>
      <c r="F441" s="176"/>
      <c r="G441" s="176"/>
      <c r="H441" s="176">
        <f>SUM(Tabla132112415[[#This Row],[PRIMER TRIMESTRE]:[CUARTO TRIMESTRE]])</f>
        <v>0</v>
      </c>
      <c r="I441" s="17">
        <v>20971.52</v>
      </c>
      <c r="J441" s="17">
        <f t="shared" si="11"/>
        <v>0</v>
      </c>
      <c r="K441" s="17"/>
      <c r="L441" s="16" t="s">
        <v>18</v>
      </c>
      <c r="M441" s="16" t="s">
        <v>22</v>
      </c>
      <c r="N441" s="39" t="s">
        <v>418</v>
      </c>
    </row>
    <row r="442" spans="1:14" s="12" customFormat="1" ht="18">
      <c r="A442" s="178" t="s">
        <v>80</v>
      </c>
      <c r="B442" s="75" t="s">
        <v>369</v>
      </c>
      <c r="C442" s="176" t="s">
        <v>17</v>
      </c>
      <c r="D442" s="176"/>
      <c r="E442" s="176"/>
      <c r="F442" s="176"/>
      <c r="G442" s="176"/>
      <c r="H442" s="499">
        <f>SUM(Tabla132112415[[#This Row],[PRIMER TRIMESTRE]:[CUARTO TRIMESTRE]])</f>
        <v>0</v>
      </c>
      <c r="I442" s="17">
        <v>4.55</v>
      </c>
      <c r="J442" s="17">
        <f t="shared" si="11"/>
        <v>0</v>
      </c>
      <c r="K442" s="17"/>
      <c r="L442" s="16" t="s">
        <v>18</v>
      </c>
      <c r="M442" s="16" t="s">
        <v>22</v>
      </c>
      <c r="N442" s="39" t="s">
        <v>418</v>
      </c>
    </row>
    <row r="443" spans="1:14" s="12" customFormat="1" ht="18">
      <c r="A443" s="178" t="s">
        <v>80</v>
      </c>
      <c r="B443" s="75" t="s">
        <v>449</v>
      </c>
      <c r="C443" s="176" t="s">
        <v>17</v>
      </c>
      <c r="D443" s="176"/>
      <c r="E443" s="176"/>
      <c r="F443" s="176"/>
      <c r="G443" s="176"/>
      <c r="H443" s="499">
        <f>SUM(Tabla132112415[[#This Row],[PRIMER TRIMESTRE]:[CUARTO TRIMESTRE]])</f>
        <v>0</v>
      </c>
      <c r="I443" s="17">
        <v>4.55</v>
      </c>
      <c r="J443" s="17">
        <f t="shared" si="11"/>
        <v>0</v>
      </c>
      <c r="K443" s="17"/>
      <c r="L443" s="16" t="s">
        <v>18</v>
      </c>
      <c r="M443" s="16" t="s">
        <v>22</v>
      </c>
      <c r="N443" s="39" t="s">
        <v>418</v>
      </c>
    </row>
    <row r="444" spans="1:14" s="12" customFormat="1" ht="18">
      <c r="A444" s="178" t="s">
        <v>80</v>
      </c>
      <c r="B444" s="75" t="s">
        <v>450</v>
      </c>
      <c r="C444" s="176" t="s">
        <v>17</v>
      </c>
      <c r="D444" s="176"/>
      <c r="E444" s="176"/>
      <c r="F444" s="176"/>
      <c r="G444" s="176"/>
      <c r="H444" s="499">
        <f>SUM(Tabla132112415[[#This Row],[PRIMER TRIMESTRE]:[CUARTO TRIMESTRE]])</f>
        <v>0</v>
      </c>
      <c r="I444" s="17">
        <v>4.55</v>
      </c>
      <c r="J444" s="17">
        <f t="shared" si="11"/>
        <v>0</v>
      </c>
      <c r="K444" s="17"/>
      <c r="L444" s="16" t="s">
        <v>18</v>
      </c>
      <c r="M444" s="16" t="s">
        <v>22</v>
      </c>
      <c r="N444" s="39" t="s">
        <v>418</v>
      </c>
    </row>
    <row r="445" spans="1:14" s="12" customFormat="1" ht="18">
      <c r="A445" s="178" t="s">
        <v>80</v>
      </c>
      <c r="B445" s="75" t="s">
        <v>451</v>
      </c>
      <c r="C445" s="176" t="s">
        <v>17</v>
      </c>
      <c r="D445" s="176"/>
      <c r="E445" s="176"/>
      <c r="F445" s="176"/>
      <c r="G445" s="176"/>
      <c r="H445" s="499">
        <f>SUM(Tabla132112415[[#This Row],[PRIMER TRIMESTRE]:[CUARTO TRIMESTRE]])</f>
        <v>0</v>
      </c>
      <c r="I445" s="17">
        <v>4.55</v>
      </c>
      <c r="J445" s="17">
        <f t="shared" si="11"/>
        <v>0</v>
      </c>
      <c r="K445" s="17"/>
      <c r="L445" s="16" t="s">
        <v>18</v>
      </c>
      <c r="M445" s="16" t="s">
        <v>22</v>
      </c>
      <c r="N445" s="39" t="s">
        <v>418</v>
      </c>
    </row>
    <row r="446" spans="1:14" s="12" customFormat="1" ht="18">
      <c r="A446" s="178" t="s">
        <v>80</v>
      </c>
      <c r="B446" s="75" t="s">
        <v>453</v>
      </c>
      <c r="C446" s="176" t="s">
        <v>17</v>
      </c>
      <c r="D446" s="176"/>
      <c r="E446" s="176"/>
      <c r="F446" s="176"/>
      <c r="G446" s="176"/>
      <c r="H446" s="499">
        <f>SUM(Tabla132112415[[#This Row],[PRIMER TRIMESTRE]:[CUARTO TRIMESTRE]])</f>
        <v>0</v>
      </c>
      <c r="I446" s="17">
        <v>4.55</v>
      </c>
      <c r="J446" s="17">
        <f t="shared" si="11"/>
        <v>0</v>
      </c>
      <c r="K446" s="17"/>
      <c r="L446" s="16" t="s">
        <v>18</v>
      </c>
      <c r="M446" s="16" t="s">
        <v>22</v>
      </c>
      <c r="N446" s="39" t="s">
        <v>418</v>
      </c>
    </row>
    <row r="447" spans="1:14" s="12" customFormat="1" ht="18">
      <c r="A447" s="178" t="s">
        <v>80</v>
      </c>
      <c r="B447" s="75" t="s">
        <v>452</v>
      </c>
      <c r="C447" s="176" t="s">
        <v>17</v>
      </c>
      <c r="D447" s="176"/>
      <c r="E447" s="176"/>
      <c r="F447" s="176"/>
      <c r="G447" s="176"/>
      <c r="H447" s="499">
        <f>SUM(Tabla132112415[[#This Row],[PRIMER TRIMESTRE]:[CUARTO TRIMESTRE]])</f>
        <v>0</v>
      </c>
      <c r="I447" s="17">
        <v>4.55</v>
      </c>
      <c r="J447" s="17">
        <f t="shared" si="11"/>
        <v>0</v>
      </c>
      <c r="K447" s="17"/>
      <c r="L447" s="16" t="s">
        <v>18</v>
      </c>
      <c r="M447" s="16" t="s">
        <v>22</v>
      </c>
      <c r="N447" s="39" t="s">
        <v>418</v>
      </c>
    </row>
    <row r="448" spans="1:14" s="12" customFormat="1" ht="18">
      <c r="A448" s="178" t="s">
        <v>80</v>
      </c>
      <c r="B448" s="75" t="s">
        <v>603</v>
      </c>
      <c r="C448" s="176" t="s">
        <v>17</v>
      </c>
      <c r="D448" s="176"/>
      <c r="E448" s="176"/>
      <c r="F448" s="176"/>
      <c r="G448" s="176"/>
      <c r="H448" s="499">
        <f>SUM(Tabla132112415[[#This Row],[PRIMER TRIMESTRE]:[CUARTO TRIMESTRE]])</f>
        <v>0</v>
      </c>
      <c r="I448" s="17">
        <v>737.74</v>
      </c>
      <c r="J448" s="17">
        <f t="shared" si="11"/>
        <v>0</v>
      </c>
      <c r="K448" s="17"/>
      <c r="L448" s="16" t="s">
        <v>18</v>
      </c>
      <c r="M448" s="16" t="s">
        <v>22</v>
      </c>
      <c r="N448" s="39" t="s">
        <v>418</v>
      </c>
    </row>
    <row r="449" spans="1:14" s="12" customFormat="1" ht="18">
      <c r="A449" s="178" t="s">
        <v>80</v>
      </c>
      <c r="B449" s="75" t="s">
        <v>604</v>
      </c>
      <c r="C449" s="176" t="s">
        <v>17</v>
      </c>
      <c r="D449" s="176"/>
      <c r="E449" s="176"/>
      <c r="F449" s="176"/>
      <c r="G449" s="176"/>
      <c r="H449" s="499">
        <f>SUM(Tabla132112415[[#This Row],[PRIMER TRIMESTRE]:[CUARTO TRIMESTRE]])</f>
        <v>0</v>
      </c>
      <c r="I449" s="17">
        <v>2121.4499999999998</v>
      </c>
      <c r="J449" s="17">
        <f t="shared" si="11"/>
        <v>0</v>
      </c>
      <c r="K449" s="17"/>
      <c r="L449" s="16" t="s">
        <v>18</v>
      </c>
      <c r="M449" s="16" t="s">
        <v>22</v>
      </c>
      <c r="N449" s="39" t="s">
        <v>418</v>
      </c>
    </row>
    <row r="450" spans="1:14" s="12" customFormat="1" ht="18">
      <c r="A450" s="178" t="s">
        <v>80</v>
      </c>
      <c r="B450" s="75" t="s">
        <v>605</v>
      </c>
      <c r="C450" s="176" t="s">
        <v>17</v>
      </c>
      <c r="D450" s="176"/>
      <c r="E450" s="176"/>
      <c r="F450" s="176"/>
      <c r="G450" s="176"/>
      <c r="H450" s="499">
        <f>SUM(Tabla132112415[[#This Row],[PRIMER TRIMESTRE]:[CUARTO TRIMESTRE]])</f>
        <v>0</v>
      </c>
      <c r="I450" s="17">
        <v>2121.4499999999998</v>
      </c>
      <c r="J450" s="17">
        <f t="shared" si="11"/>
        <v>0</v>
      </c>
      <c r="K450" s="17"/>
      <c r="L450" s="16" t="s">
        <v>18</v>
      </c>
      <c r="M450" s="16" t="s">
        <v>22</v>
      </c>
      <c r="N450" s="39" t="s">
        <v>418</v>
      </c>
    </row>
    <row r="451" spans="1:14" s="12" customFormat="1" ht="18">
      <c r="A451" s="178" t="s">
        <v>80</v>
      </c>
      <c r="B451" s="75" t="s">
        <v>606</v>
      </c>
      <c r="C451" s="176" t="s">
        <v>17</v>
      </c>
      <c r="D451" s="176"/>
      <c r="E451" s="176"/>
      <c r="F451" s="176"/>
      <c r="G451" s="176"/>
      <c r="H451" s="499">
        <f>SUM(Tabla132112415[[#This Row],[PRIMER TRIMESTRE]:[CUARTO TRIMESTRE]])</f>
        <v>0</v>
      </c>
      <c r="I451" s="17">
        <v>3601.69</v>
      </c>
      <c r="J451" s="17">
        <f t="shared" si="11"/>
        <v>0</v>
      </c>
      <c r="K451" s="17"/>
      <c r="L451" s="16" t="s">
        <v>18</v>
      </c>
      <c r="M451" s="16" t="s">
        <v>22</v>
      </c>
      <c r="N451" s="39" t="s">
        <v>418</v>
      </c>
    </row>
    <row r="452" spans="1:14" s="12" customFormat="1" ht="18">
      <c r="A452" s="178" t="s">
        <v>80</v>
      </c>
      <c r="B452" s="75" t="s">
        <v>188</v>
      </c>
      <c r="C452" s="176" t="s">
        <v>189</v>
      </c>
      <c r="D452" s="176"/>
      <c r="E452" s="176"/>
      <c r="F452" s="176"/>
      <c r="G452" s="176"/>
      <c r="H452" s="499">
        <f>SUM(Tabla132112415[[#This Row],[PRIMER TRIMESTRE]:[CUARTO TRIMESTRE]])</f>
        <v>0</v>
      </c>
      <c r="I452" s="17">
        <v>104.4</v>
      </c>
      <c r="J452" s="17">
        <f>+Tabla132112415[[#This Row],[CANTIDAD TOTAL]]*Tabla132112415[[#This Row],[PRECIO UNITARIO ESTIMADO]]</f>
        <v>0</v>
      </c>
      <c r="K452" s="17"/>
      <c r="L452" s="16" t="s">
        <v>18</v>
      </c>
      <c r="M452" s="16" t="s">
        <v>22</v>
      </c>
      <c r="N452" s="39" t="s">
        <v>418</v>
      </c>
    </row>
    <row r="453" spans="1:14" s="12" customFormat="1" ht="18">
      <c r="A453" s="178" t="s">
        <v>80</v>
      </c>
      <c r="B453" s="75" t="s">
        <v>1760</v>
      </c>
      <c r="C453" s="176" t="s">
        <v>17</v>
      </c>
      <c r="D453" s="176"/>
      <c r="E453" s="176"/>
      <c r="F453" s="176"/>
      <c r="G453" s="176"/>
      <c r="H453" s="499">
        <v>0</v>
      </c>
      <c r="I453" s="17">
        <v>0</v>
      </c>
      <c r="J453" s="17">
        <v>0</v>
      </c>
      <c r="K453" s="17"/>
      <c r="L453" s="16" t="s">
        <v>18</v>
      </c>
      <c r="M453" s="16" t="s">
        <v>22</v>
      </c>
      <c r="N453" s="39" t="s">
        <v>418</v>
      </c>
    </row>
    <row r="454" spans="1:14" s="12" customFormat="1" ht="18">
      <c r="A454" s="178" t="s">
        <v>80</v>
      </c>
      <c r="B454" s="75" t="s">
        <v>1761</v>
      </c>
      <c r="C454" s="176" t="s">
        <v>17</v>
      </c>
      <c r="D454" s="176"/>
      <c r="E454" s="176"/>
      <c r="F454" s="176"/>
      <c r="G454" s="176"/>
      <c r="H454" s="499">
        <v>0</v>
      </c>
      <c r="I454" s="17">
        <v>0</v>
      </c>
      <c r="J454" s="17">
        <v>0</v>
      </c>
      <c r="K454" s="17"/>
      <c r="L454" s="16" t="s">
        <v>18</v>
      </c>
      <c r="M454" s="16" t="s">
        <v>22</v>
      </c>
      <c r="N454" s="39" t="s">
        <v>418</v>
      </c>
    </row>
    <row r="455" spans="1:14" s="12" customFormat="1" ht="18">
      <c r="A455" s="178" t="s">
        <v>80</v>
      </c>
      <c r="B455" s="75" t="s">
        <v>191</v>
      </c>
      <c r="C455" s="176" t="s">
        <v>17</v>
      </c>
      <c r="D455" s="176"/>
      <c r="E455" s="176"/>
      <c r="F455" s="176"/>
      <c r="G455" s="176"/>
      <c r="H455" s="499">
        <f>SUM(Tabla132112415[[#This Row],[PRIMER TRIMESTRE]:[CUARTO TRIMESTRE]])</f>
        <v>0</v>
      </c>
      <c r="I455" s="17">
        <v>754</v>
      </c>
      <c r="J455" s="17">
        <f>+Tabla132112415[[#This Row],[CANTIDAD TOTAL]]*Tabla132112415[[#This Row],[PRECIO UNITARIO ESTIMADO]]</f>
        <v>0</v>
      </c>
      <c r="K455" s="17"/>
      <c r="L455" s="16" t="s">
        <v>18</v>
      </c>
      <c r="M455" s="16" t="s">
        <v>22</v>
      </c>
      <c r="N455" s="39" t="s">
        <v>418</v>
      </c>
    </row>
    <row r="456" spans="1:14" s="12" customFormat="1" ht="18">
      <c r="A456" s="178" t="s">
        <v>80</v>
      </c>
      <c r="B456" s="75" t="s">
        <v>193</v>
      </c>
      <c r="C456" s="176" t="s">
        <v>17</v>
      </c>
      <c r="D456" s="176"/>
      <c r="E456" s="176"/>
      <c r="F456" s="176"/>
      <c r="G456" s="176"/>
      <c r="H456" s="499">
        <f>SUM(Tabla132112415[[#This Row],[PRIMER TRIMESTRE]:[CUARTO TRIMESTRE]])</f>
        <v>0</v>
      </c>
      <c r="I456" s="17">
        <v>222.06</v>
      </c>
      <c r="J456" s="17">
        <f>+Tabla132112415[[#This Row],[CANTIDAD TOTAL]]*Tabla132112415[[#This Row],[PRECIO UNITARIO ESTIMADO]]</f>
        <v>0</v>
      </c>
      <c r="K456" s="17"/>
      <c r="L456" s="16" t="s">
        <v>18</v>
      </c>
      <c r="M456" s="16" t="s">
        <v>22</v>
      </c>
      <c r="N456" s="39" t="s">
        <v>418</v>
      </c>
    </row>
    <row r="457" spans="1:14" s="12" customFormat="1" ht="18">
      <c r="A457" s="178" t="s">
        <v>80</v>
      </c>
      <c r="B457" s="75" t="s">
        <v>1429</v>
      </c>
      <c r="C457" s="176" t="s">
        <v>17</v>
      </c>
      <c r="D457" s="176">
        <v>1000</v>
      </c>
      <c r="E457" s="176"/>
      <c r="F457" s="176">
        <v>1000</v>
      </c>
      <c r="G457" s="176"/>
      <c r="H457" s="499">
        <f>SUM(Tabla132112415[[#This Row],[PRIMER TRIMESTRE]:[CUARTO TRIMESTRE]])</f>
        <v>2000</v>
      </c>
      <c r="I457" s="17">
        <v>1.23</v>
      </c>
      <c r="J457" s="17">
        <f>+H457*I457</f>
        <v>2460</v>
      </c>
      <c r="K457" s="17"/>
      <c r="L457" s="16" t="s">
        <v>18</v>
      </c>
      <c r="M457" s="16" t="s">
        <v>22</v>
      </c>
      <c r="N457" s="39" t="s">
        <v>418</v>
      </c>
    </row>
    <row r="458" spans="1:14" s="12" customFormat="1" ht="18">
      <c r="A458" s="178" t="s">
        <v>80</v>
      </c>
      <c r="B458" s="75" t="s">
        <v>654</v>
      </c>
      <c r="C458" s="176" t="s">
        <v>17</v>
      </c>
      <c r="D458" s="176"/>
      <c r="E458" s="176"/>
      <c r="F458" s="176"/>
      <c r="G458" s="176"/>
      <c r="H458" s="499">
        <f>SUM(Tabla132112415[[#This Row],[PRIMER TRIMESTRE]:[CUARTO TRIMESTRE]])</f>
        <v>0</v>
      </c>
      <c r="I458" s="17">
        <v>2.86</v>
      </c>
      <c r="J458" s="17">
        <f>+Tabla132112415[[#This Row],[CANTIDAD TOTAL]]*Tabla132112415[[#This Row],[PRECIO UNITARIO ESTIMADO]]</f>
        <v>0</v>
      </c>
      <c r="K458" s="17"/>
      <c r="L458" s="16" t="s">
        <v>18</v>
      </c>
      <c r="M458" s="16" t="s">
        <v>22</v>
      </c>
      <c r="N458" s="39" t="s">
        <v>418</v>
      </c>
    </row>
    <row r="459" spans="1:14" s="12" customFormat="1" ht="18">
      <c r="A459" s="178" t="s">
        <v>80</v>
      </c>
      <c r="B459" s="75" t="s">
        <v>655</v>
      </c>
      <c r="C459" s="176" t="s">
        <v>17</v>
      </c>
      <c r="D459" s="176"/>
      <c r="E459" s="176"/>
      <c r="F459" s="176"/>
      <c r="G459" s="176"/>
      <c r="H459" s="499">
        <f>SUM(Tabla132112415[[#This Row],[PRIMER TRIMESTRE]:[CUARTO TRIMESTRE]])</f>
        <v>0</v>
      </c>
      <c r="I459" s="17">
        <v>4.09</v>
      </c>
      <c r="J459" s="17">
        <f>+Tabla132112415[[#This Row],[CANTIDAD TOTAL]]*Tabla132112415[[#This Row],[PRECIO UNITARIO ESTIMADO]]</f>
        <v>0</v>
      </c>
      <c r="K459" s="17"/>
      <c r="L459" s="16" t="s">
        <v>18</v>
      </c>
      <c r="M459" s="16" t="s">
        <v>22</v>
      </c>
      <c r="N459" s="39" t="s">
        <v>418</v>
      </c>
    </row>
    <row r="460" spans="1:14" s="12" customFormat="1" ht="18">
      <c r="A460" s="178" t="s">
        <v>80</v>
      </c>
      <c r="B460" s="75" t="s">
        <v>659</v>
      </c>
      <c r="C460" s="176" t="s">
        <v>17</v>
      </c>
      <c r="D460" s="176"/>
      <c r="E460" s="176"/>
      <c r="F460" s="176"/>
      <c r="G460" s="176"/>
      <c r="H460" s="499">
        <f>SUM(Tabla132112415[[#This Row],[PRIMER TRIMESTRE]:[CUARTO TRIMESTRE]])</f>
        <v>0</v>
      </c>
      <c r="I460" s="72">
        <v>11.82</v>
      </c>
      <c r="J460" s="17">
        <f>+H460*I460</f>
        <v>0</v>
      </c>
      <c r="K460" s="17"/>
      <c r="L460" s="16" t="s">
        <v>18</v>
      </c>
      <c r="M460" s="16" t="s">
        <v>22</v>
      </c>
      <c r="N460" s="39" t="s">
        <v>418</v>
      </c>
    </row>
    <row r="461" spans="1:14" s="12" customFormat="1" ht="18">
      <c r="A461" s="178" t="s">
        <v>80</v>
      </c>
      <c r="B461" s="75" t="s">
        <v>660</v>
      </c>
      <c r="C461" s="176" t="s">
        <v>17</v>
      </c>
      <c r="D461" s="176"/>
      <c r="E461" s="176"/>
      <c r="F461" s="176"/>
      <c r="G461" s="176"/>
      <c r="H461" s="499">
        <f>SUM(Tabla132112415[[#This Row],[PRIMER TRIMESTRE]:[CUARTO TRIMESTRE]])</f>
        <v>0</v>
      </c>
      <c r="I461" s="72">
        <v>13.65</v>
      </c>
      <c r="J461" s="17">
        <f>+H461*I461</f>
        <v>0</v>
      </c>
      <c r="K461" s="17"/>
      <c r="L461" s="16" t="s">
        <v>18</v>
      </c>
      <c r="M461" s="16" t="s">
        <v>22</v>
      </c>
      <c r="N461" s="39" t="s">
        <v>418</v>
      </c>
    </row>
    <row r="462" spans="1:14" s="12" customFormat="1" ht="18">
      <c r="A462" s="178" t="s">
        <v>80</v>
      </c>
      <c r="B462" s="75" t="s">
        <v>656</v>
      </c>
      <c r="C462" s="176" t="s">
        <v>17</v>
      </c>
      <c r="D462" s="176"/>
      <c r="E462" s="176"/>
      <c r="F462" s="176"/>
      <c r="G462" s="176"/>
      <c r="H462" s="499">
        <f>SUM(Tabla132112415[[#This Row],[PRIMER TRIMESTRE]:[CUARTO TRIMESTRE]])</f>
        <v>0</v>
      </c>
      <c r="I462" s="17">
        <v>22.39</v>
      </c>
      <c r="J462" s="17">
        <f>+Tabla132112415[[#This Row],[CANTIDAD TOTAL]]*Tabla132112415[[#This Row],[PRECIO UNITARIO ESTIMADO]]</f>
        <v>0</v>
      </c>
      <c r="K462" s="17"/>
      <c r="L462" s="16" t="s">
        <v>18</v>
      </c>
      <c r="M462" s="16" t="s">
        <v>22</v>
      </c>
      <c r="N462" s="39" t="s">
        <v>418</v>
      </c>
    </row>
    <row r="463" spans="1:14" s="12" customFormat="1" ht="18">
      <c r="A463" s="178" t="s">
        <v>80</v>
      </c>
      <c r="B463" s="75" t="s">
        <v>657</v>
      </c>
      <c r="C463" s="176" t="s">
        <v>17</v>
      </c>
      <c r="D463" s="176"/>
      <c r="E463" s="176"/>
      <c r="F463" s="176"/>
      <c r="G463" s="176"/>
      <c r="H463" s="499">
        <f>SUM(Tabla132112415[[#This Row],[PRIMER TRIMESTRE]:[CUARTO TRIMESTRE]])</f>
        <v>0</v>
      </c>
      <c r="I463" s="17">
        <v>59.97</v>
      </c>
      <c r="J463" s="17">
        <f>+Tabla132112415[[#This Row],[CANTIDAD TOTAL]]*Tabla132112415[[#This Row],[PRECIO UNITARIO ESTIMADO]]</f>
        <v>0</v>
      </c>
      <c r="K463" s="17"/>
      <c r="L463" s="16" t="s">
        <v>18</v>
      </c>
      <c r="M463" s="16" t="s">
        <v>22</v>
      </c>
      <c r="N463" s="39" t="s">
        <v>418</v>
      </c>
    </row>
    <row r="464" spans="1:14" s="12" customFormat="1" ht="18">
      <c r="A464" s="178" t="s">
        <v>80</v>
      </c>
      <c r="B464" s="75" t="s">
        <v>658</v>
      </c>
      <c r="C464" s="176" t="s">
        <v>17</v>
      </c>
      <c r="D464" s="176"/>
      <c r="E464" s="176"/>
      <c r="F464" s="176"/>
      <c r="G464" s="176"/>
      <c r="H464" s="499">
        <f>SUM(Tabla132112415[[#This Row],[PRIMER TRIMESTRE]:[CUARTO TRIMESTRE]])</f>
        <v>0</v>
      </c>
      <c r="I464" s="17">
        <v>101.5</v>
      </c>
      <c r="J464" s="17">
        <f>+Tabla132112415[[#This Row],[CANTIDAD TOTAL]]*Tabla132112415[[#This Row],[PRECIO UNITARIO ESTIMADO]]</f>
        <v>0</v>
      </c>
      <c r="K464" s="17"/>
      <c r="L464" s="16" t="s">
        <v>18</v>
      </c>
      <c r="M464" s="16" t="s">
        <v>22</v>
      </c>
      <c r="N464" s="39" t="s">
        <v>418</v>
      </c>
    </row>
    <row r="465" spans="1:14" s="12" customFormat="1" ht="18">
      <c r="A465" s="178" t="s">
        <v>80</v>
      </c>
      <c r="B465" s="75" t="s">
        <v>202</v>
      </c>
      <c r="C465" s="176" t="s">
        <v>17</v>
      </c>
      <c r="D465" s="176"/>
      <c r="E465" s="176"/>
      <c r="F465" s="176"/>
      <c r="G465" s="176"/>
      <c r="H465" s="499">
        <f>SUM(Tabla132112415[[#This Row],[PRIMER TRIMESTRE]:[CUARTO TRIMESTRE]])</f>
        <v>0</v>
      </c>
      <c r="I465" s="17">
        <v>3364</v>
      </c>
      <c r="J465" s="17">
        <f>+Tabla132112415[[#This Row],[CANTIDAD TOTAL]]*Tabla132112415[[#This Row],[PRECIO UNITARIO ESTIMADO]]</f>
        <v>0</v>
      </c>
      <c r="K465" s="17"/>
      <c r="L465" s="16" t="s">
        <v>18</v>
      </c>
      <c r="M465" s="16" t="s">
        <v>22</v>
      </c>
      <c r="N465" s="39" t="s">
        <v>418</v>
      </c>
    </row>
    <row r="466" spans="1:14" s="12" customFormat="1" ht="18">
      <c r="A466" s="178" t="s">
        <v>80</v>
      </c>
      <c r="B466" s="75" t="s">
        <v>776</v>
      </c>
      <c r="C466" s="176" t="s">
        <v>17</v>
      </c>
      <c r="D466" s="176">
        <v>100</v>
      </c>
      <c r="E466" s="176">
        <v>100</v>
      </c>
      <c r="F466" s="176">
        <v>100</v>
      </c>
      <c r="G466" s="176">
        <v>100</v>
      </c>
      <c r="H466" s="499">
        <f>SUM(Tabla132112415[[#This Row],[PRIMER TRIMESTRE]:[CUARTO TRIMESTRE]])</f>
        <v>400</v>
      </c>
      <c r="I466" s="17">
        <v>32.479999999999997</v>
      </c>
      <c r="J466" s="17">
        <f>+Tabla132112415[[#This Row],[CANTIDAD TOTAL]]*Tabla132112415[[#This Row],[PRECIO UNITARIO ESTIMADO]]</f>
        <v>12991.999999999998</v>
      </c>
      <c r="K466" s="17"/>
      <c r="L466" s="16" t="s">
        <v>18</v>
      </c>
      <c r="M466" s="16" t="s">
        <v>22</v>
      </c>
      <c r="N466" s="39" t="s">
        <v>418</v>
      </c>
    </row>
    <row r="467" spans="1:14" s="12" customFormat="1" ht="18">
      <c r="A467" s="178" t="s">
        <v>80</v>
      </c>
      <c r="B467" s="75" t="s">
        <v>205</v>
      </c>
      <c r="C467" s="176" t="s">
        <v>17</v>
      </c>
      <c r="D467" s="176"/>
      <c r="E467" s="176"/>
      <c r="F467" s="176"/>
      <c r="G467" s="176"/>
      <c r="H467" s="499">
        <f>SUM(Tabla132112415[[#This Row],[PRIMER TRIMESTRE]:[CUARTO TRIMESTRE]])</f>
        <v>0</v>
      </c>
      <c r="I467" s="17">
        <v>2.3199999999999998</v>
      </c>
      <c r="J467" s="17">
        <f>+Tabla132112415[[#This Row],[CANTIDAD TOTAL]]*Tabla132112415[[#This Row],[PRECIO UNITARIO ESTIMADO]]</f>
        <v>0</v>
      </c>
      <c r="K467" s="17"/>
      <c r="L467" s="16" t="s">
        <v>18</v>
      </c>
      <c r="M467" s="16" t="s">
        <v>22</v>
      </c>
      <c r="N467" s="39" t="s">
        <v>418</v>
      </c>
    </row>
    <row r="468" spans="1:14" s="12" customFormat="1" ht="18">
      <c r="A468" s="178" t="s">
        <v>80</v>
      </c>
      <c r="B468" s="75" t="s">
        <v>206</v>
      </c>
      <c r="C468" s="176" t="s">
        <v>17</v>
      </c>
      <c r="D468" s="176"/>
      <c r="E468" s="176"/>
      <c r="F468" s="176"/>
      <c r="G468" s="176"/>
      <c r="H468" s="499">
        <f>SUM(Tabla132112415[[#This Row],[PRIMER TRIMESTRE]:[CUARTO TRIMESTRE]])</f>
        <v>0</v>
      </c>
      <c r="I468" s="17">
        <v>3.48</v>
      </c>
      <c r="J468" s="17">
        <f>+Tabla132112415[[#This Row],[CANTIDAD TOTAL]]*Tabla132112415[[#This Row],[PRECIO UNITARIO ESTIMADO]]</f>
        <v>0</v>
      </c>
      <c r="K468" s="17"/>
      <c r="L468" s="16" t="s">
        <v>18</v>
      </c>
      <c r="M468" s="16" t="s">
        <v>22</v>
      </c>
      <c r="N468" s="39" t="s">
        <v>418</v>
      </c>
    </row>
    <row r="469" spans="1:14" s="12" customFormat="1" ht="18">
      <c r="A469" s="178" t="s">
        <v>80</v>
      </c>
      <c r="B469" s="75" t="s">
        <v>1335</v>
      </c>
      <c r="C469" s="176" t="s">
        <v>17</v>
      </c>
      <c r="D469" s="176"/>
      <c r="E469" s="176"/>
      <c r="F469" s="176"/>
      <c r="G469" s="176"/>
      <c r="H469" s="499">
        <f>SUM(Tabla132112415[[#This Row],[PRIMER TRIMESTRE]:[CUARTO TRIMESTRE]])</f>
        <v>0</v>
      </c>
      <c r="I469" s="17">
        <v>9.44</v>
      </c>
      <c r="J469" s="17">
        <f t="shared" ref="J469:J532" si="12">+H469*I469</f>
        <v>0</v>
      </c>
      <c r="K469" s="17"/>
      <c r="L469" s="16" t="s">
        <v>18</v>
      </c>
      <c r="M469" s="16" t="s">
        <v>22</v>
      </c>
      <c r="N469" s="39" t="s">
        <v>418</v>
      </c>
    </row>
    <row r="470" spans="1:14" s="12" customFormat="1" ht="18">
      <c r="A470" s="178" t="s">
        <v>80</v>
      </c>
      <c r="B470" s="75" t="s">
        <v>1336</v>
      </c>
      <c r="C470" s="176" t="s">
        <v>17</v>
      </c>
      <c r="D470" s="176"/>
      <c r="E470" s="176"/>
      <c r="F470" s="176"/>
      <c r="G470" s="176"/>
      <c r="H470" s="499">
        <f>SUM(Tabla132112415[[#This Row],[PRIMER TRIMESTRE]:[CUARTO TRIMESTRE]])</f>
        <v>0</v>
      </c>
      <c r="I470" s="17">
        <v>5.9</v>
      </c>
      <c r="J470" s="17">
        <f t="shared" si="12"/>
        <v>0</v>
      </c>
      <c r="K470" s="17"/>
      <c r="L470" s="16" t="s">
        <v>18</v>
      </c>
      <c r="M470" s="16" t="s">
        <v>22</v>
      </c>
      <c r="N470" s="39" t="s">
        <v>418</v>
      </c>
    </row>
    <row r="471" spans="1:14" s="12" customFormat="1" ht="18">
      <c r="A471" s="178" t="s">
        <v>80</v>
      </c>
      <c r="B471" s="75" t="s">
        <v>1337</v>
      </c>
      <c r="C471" s="176" t="s">
        <v>17</v>
      </c>
      <c r="D471" s="176"/>
      <c r="E471" s="176"/>
      <c r="F471" s="176"/>
      <c r="G471" s="176"/>
      <c r="H471" s="499">
        <f>SUM(Tabla132112415[[#This Row],[PRIMER TRIMESTRE]:[CUARTO TRIMESTRE]])</f>
        <v>0</v>
      </c>
      <c r="I471" s="17">
        <v>3.54</v>
      </c>
      <c r="J471" s="17">
        <f t="shared" si="12"/>
        <v>0</v>
      </c>
      <c r="K471" s="17"/>
      <c r="L471" s="16" t="s">
        <v>18</v>
      </c>
      <c r="M471" s="16" t="s">
        <v>22</v>
      </c>
      <c r="N471" s="39" t="s">
        <v>418</v>
      </c>
    </row>
    <row r="472" spans="1:14" s="12" customFormat="1" ht="18">
      <c r="A472" s="178" t="s">
        <v>80</v>
      </c>
      <c r="B472" s="75" t="s">
        <v>638</v>
      </c>
      <c r="C472" s="176" t="s">
        <v>17</v>
      </c>
      <c r="D472" s="176"/>
      <c r="E472" s="176"/>
      <c r="F472" s="499"/>
      <c r="G472" s="176"/>
      <c r="H472" s="499">
        <f>SUM(Tabla132112415[[#This Row],[PRIMER TRIMESTRE]:[CUARTO TRIMESTRE]])</f>
        <v>0</v>
      </c>
      <c r="I472" s="72">
        <v>7.28</v>
      </c>
      <c r="J472" s="17">
        <f t="shared" si="12"/>
        <v>0</v>
      </c>
      <c r="K472" s="17"/>
      <c r="L472" s="16" t="s">
        <v>18</v>
      </c>
      <c r="M472" s="16" t="s">
        <v>22</v>
      </c>
      <c r="N472" s="39" t="s">
        <v>418</v>
      </c>
    </row>
    <row r="473" spans="1:14" s="12" customFormat="1" ht="18">
      <c r="A473" s="178" t="s">
        <v>80</v>
      </c>
      <c r="B473" s="75" t="s">
        <v>639</v>
      </c>
      <c r="C473" s="176" t="s">
        <v>17</v>
      </c>
      <c r="D473" s="176"/>
      <c r="E473" s="176"/>
      <c r="F473" s="499"/>
      <c r="G473" s="176"/>
      <c r="H473" s="499">
        <f>SUM(Tabla132112415[[#This Row],[PRIMER TRIMESTRE]:[CUARTO TRIMESTRE]])</f>
        <v>0</v>
      </c>
      <c r="I473" s="72">
        <v>11.82</v>
      </c>
      <c r="J473" s="17">
        <f t="shared" si="12"/>
        <v>0</v>
      </c>
      <c r="K473" s="17"/>
      <c r="L473" s="16" t="s">
        <v>18</v>
      </c>
      <c r="M473" s="16" t="s">
        <v>22</v>
      </c>
      <c r="N473" s="39"/>
    </row>
    <row r="474" spans="1:14" s="12" customFormat="1" ht="18">
      <c r="A474" s="178" t="s">
        <v>80</v>
      </c>
      <c r="B474" s="75" t="s">
        <v>642</v>
      </c>
      <c r="C474" s="176" t="s">
        <v>17</v>
      </c>
      <c r="D474" s="176"/>
      <c r="E474" s="176"/>
      <c r="F474" s="499"/>
      <c r="G474" s="176"/>
      <c r="H474" s="499">
        <f>SUM(Tabla132112415[[#This Row],[PRIMER TRIMESTRE]:[CUARTO TRIMESTRE]])</f>
        <v>0</v>
      </c>
      <c r="I474" s="72">
        <v>22.74</v>
      </c>
      <c r="J474" s="17">
        <f t="shared" si="12"/>
        <v>0</v>
      </c>
      <c r="K474" s="17"/>
      <c r="L474" s="16" t="s">
        <v>18</v>
      </c>
      <c r="M474" s="16" t="s">
        <v>22</v>
      </c>
      <c r="N474" s="39"/>
    </row>
    <row r="475" spans="1:14" s="12" customFormat="1" ht="18">
      <c r="A475" s="178" t="s">
        <v>80</v>
      </c>
      <c r="B475" s="75" t="s">
        <v>643</v>
      </c>
      <c r="C475" s="176" t="s">
        <v>17</v>
      </c>
      <c r="D475" s="176"/>
      <c r="E475" s="176"/>
      <c r="F475" s="499"/>
      <c r="G475" s="176"/>
      <c r="H475" s="499">
        <f>SUM(Tabla132112415[[#This Row],[PRIMER TRIMESTRE]:[CUARTO TRIMESTRE]])</f>
        <v>0</v>
      </c>
      <c r="I475" s="72">
        <v>53.66</v>
      </c>
      <c r="J475" s="17">
        <f t="shared" si="12"/>
        <v>0</v>
      </c>
      <c r="K475" s="17"/>
      <c r="L475" s="16" t="s">
        <v>18</v>
      </c>
      <c r="M475" s="16" t="s">
        <v>22</v>
      </c>
      <c r="N475" s="39"/>
    </row>
    <row r="476" spans="1:14" s="12" customFormat="1" ht="18">
      <c r="A476" s="178" t="s">
        <v>80</v>
      </c>
      <c r="B476" s="75" t="s">
        <v>640</v>
      </c>
      <c r="C476" s="176" t="s">
        <v>17</v>
      </c>
      <c r="D476" s="176"/>
      <c r="E476" s="176"/>
      <c r="F476" s="499"/>
      <c r="G476" s="176"/>
      <c r="H476" s="499">
        <f>SUM(Tabla132112415[[#This Row],[PRIMER TRIMESTRE]:[CUARTO TRIMESTRE]])</f>
        <v>0</v>
      </c>
      <c r="I476" s="72">
        <v>90</v>
      </c>
      <c r="J476" s="17">
        <f t="shared" si="12"/>
        <v>0</v>
      </c>
      <c r="K476" s="17"/>
      <c r="L476" s="16" t="s">
        <v>18</v>
      </c>
      <c r="M476" s="16" t="s">
        <v>22</v>
      </c>
      <c r="N476" s="39"/>
    </row>
    <row r="477" spans="1:14" s="12" customFormat="1" ht="18">
      <c r="A477" s="178" t="s">
        <v>80</v>
      </c>
      <c r="B477" s="75" t="s">
        <v>641</v>
      </c>
      <c r="C477" s="176" t="s">
        <v>17</v>
      </c>
      <c r="D477" s="176"/>
      <c r="E477" s="176"/>
      <c r="F477" s="176"/>
      <c r="G477" s="176"/>
      <c r="H477" s="499">
        <f>SUM(Tabla132112415[[#This Row],[PRIMER TRIMESTRE]:[CUARTO TRIMESTRE]])</f>
        <v>0</v>
      </c>
      <c r="I477" s="72">
        <v>1799.03</v>
      </c>
      <c r="J477" s="17">
        <f t="shared" si="12"/>
        <v>0</v>
      </c>
      <c r="K477" s="17"/>
      <c r="L477" s="16" t="s">
        <v>18</v>
      </c>
      <c r="M477" s="16" t="s">
        <v>22</v>
      </c>
      <c r="N477" s="39"/>
    </row>
    <row r="478" spans="1:14" s="12" customFormat="1" ht="18">
      <c r="A478" s="178" t="s">
        <v>80</v>
      </c>
      <c r="B478" s="75" t="s">
        <v>607</v>
      </c>
      <c r="C478" s="176" t="s">
        <v>17</v>
      </c>
      <c r="D478" s="176"/>
      <c r="E478" s="176"/>
      <c r="F478" s="176"/>
      <c r="G478" s="176"/>
      <c r="H478" s="499">
        <f>SUM(Tabla132112415[[#This Row],[PRIMER TRIMESTRE]:[CUARTO TRIMESTRE]])</f>
        <v>0</v>
      </c>
      <c r="I478" s="17">
        <v>3068</v>
      </c>
      <c r="J478" s="17">
        <f t="shared" si="12"/>
        <v>0</v>
      </c>
      <c r="K478" s="17"/>
      <c r="L478" s="16" t="s">
        <v>18</v>
      </c>
      <c r="M478" s="16" t="s">
        <v>22</v>
      </c>
      <c r="N478" s="39"/>
    </row>
    <row r="479" spans="1:14" s="12" customFormat="1" ht="18">
      <c r="A479" s="178" t="s">
        <v>80</v>
      </c>
      <c r="B479" s="75" t="s">
        <v>608</v>
      </c>
      <c r="C479" s="176" t="s">
        <v>17</v>
      </c>
      <c r="D479" s="176"/>
      <c r="E479" s="176"/>
      <c r="F479" s="176"/>
      <c r="G479" s="176"/>
      <c r="H479" s="499">
        <f>SUM(Tabla132112415[[#This Row],[PRIMER TRIMESTRE]:[CUARTO TRIMESTRE]])</f>
        <v>0</v>
      </c>
      <c r="I479" s="17">
        <v>4425</v>
      </c>
      <c r="J479" s="17">
        <f t="shared" si="12"/>
        <v>0</v>
      </c>
      <c r="K479" s="17"/>
      <c r="L479" s="16" t="s">
        <v>18</v>
      </c>
      <c r="M479" s="16" t="s">
        <v>22</v>
      </c>
      <c r="N479" s="39"/>
    </row>
    <row r="480" spans="1:14" s="12" customFormat="1" ht="18">
      <c r="A480" s="178" t="s">
        <v>80</v>
      </c>
      <c r="B480" s="75" t="s">
        <v>609</v>
      </c>
      <c r="C480" s="176" t="s">
        <v>17</v>
      </c>
      <c r="D480" s="176"/>
      <c r="E480" s="176"/>
      <c r="F480" s="176"/>
      <c r="G480" s="176"/>
      <c r="H480" s="499">
        <f>SUM(Tabla132112415[[#This Row],[PRIMER TRIMESTRE]:[CUARTO TRIMESTRE]])</f>
        <v>0</v>
      </c>
      <c r="I480" s="17">
        <v>5074</v>
      </c>
      <c r="J480" s="17">
        <f t="shared" si="12"/>
        <v>0</v>
      </c>
      <c r="K480" s="17"/>
      <c r="L480" s="16" t="s">
        <v>18</v>
      </c>
      <c r="M480" s="16" t="s">
        <v>22</v>
      </c>
      <c r="N480" s="39"/>
    </row>
    <row r="481" spans="1:14" s="12" customFormat="1" ht="18">
      <c r="A481" s="178" t="s">
        <v>80</v>
      </c>
      <c r="B481" s="75" t="s">
        <v>610</v>
      </c>
      <c r="C481" s="176" t="s">
        <v>17</v>
      </c>
      <c r="D481" s="176"/>
      <c r="E481" s="176"/>
      <c r="F481" s="176"/>
      <c r="G481" s="176"/>
      <c r="H481" s="499">
        <f>SUM(Tabla132112415[[#This Row],[PRIMER TRIMESTRE]:[CUARTO TRIMESTRE]])</f>
        <v>0</v>
      </c>
      <c r="I481" s="17">
        <v>6431</v>
      </c>
      <c r="J481" s="17">
        <f t="shared" si="12"/>
        <v>0</v>
      </c>
      <c r="K481" s="17"/>
      <c r="L481" s="16" t="s">
        <v>18</v>
      </c>
      <c r="M481" s="16" t="s">
        <v>22</v>
      </c>
      <c r="N481" s="39"/>
    </row>
    <row r="482" spans="1:14" s="12" customFormat="1" ht="18">
      <c r="A482" s="178" t="s">
        <v>80</v>
      </c>
      <c r="B482" s="75" t="s">
        <v>611</v>
      </c>
      <c r="C482" s="176" t="s">
        <v>17</v>
      </c>
      <c r="D482" s="176"/>
      <c r="E482" s="176"/>
      <c r="F482" s="176"/>
      <c r="G482" s="176"/>
      <c r="H482" s="499">
        <f>SUM(Tabla132112415[[#This Row],[PRIMER TRIMESTRE]:[CUARTO TRIMESTRE]])</f>
        <v>0</v>
      </c>
      <c r="I482" s="17">
        <v>7943</v>
      </c>
      <c r="J482" s="17">
        <f t="shared" si="12"/>
        <v>0</v>
      </c>
      <c r="K482" s="17"/>
      <c r="L482" s="16" t="s">
        <v>18</v>
      </c>
      <c r="M482" s="16" t="s">
        <v>22</v>
      </c>
      <c r="N482" s="39"/>
    </row>
    <row r="483" spans="1:14" s="12" customFormat="1" ht="18">
      <c r="A483" s="178" t="s">
        <v>80</v>
      </c>
      <c r="B483" s="75" t="s">
        <v>612</v>
      </c>
      <c r="C483" s="176" t="s">
        <v>17</v>
      </c>
      <c r="D483" s="176"/>
      <c r="E483" s="176"/>
      <c r="F483" s="176"/>
      <c r="G483" s="176"/>
      <c r="H483" s="499">
        <f>SUM(Tabla132112415[[#This Row],[PRIMER TRIMESTRE]:[CUARTO TRIMESTRE]])</f>
        <v>0</v>
      </c>
      <c r="I483" s="17">
        <v>9145</v>
      </c>
      <c r="J483" s="17">
        <f t="shared" si="12"/>
        <v>0</v>
      </c>
      <c r="K483" s="17"/>
      <c r="L483" s="16" t="s">
        <v>18</v>
      </c>
      <c r="M483" s="16" t="s">
        <v>22</v>
      </c>
      <c r="N483" s="39"/>
    </row>
    <row r="484" spans="1:14" s="12" customFormat="1" ht="18">
      <c r="A484" s="178" t="s">
        <v>80</v>
      </c>
      <c r="B484" s="75" t="s">
        <v>613</v>
      </c>
      <c r="C484" s="176" t="s">
        <v>17</v>
      </c>
      <c r="D484" s="176"/>
      <c r="E484" s="176"/>
      <c r="F484" s="176"/>
      <c r="G484" s="176"/>
      <c r="H484" s="499">
        <f>SUM(Tabla132112415[[#This Row],[PRIMER TRIMESTRE]:[CUARTO TRIMESTRE]])</f>
        <v>0</v>
      </c>
      <c r="I484" s="17">
        <v>10502</v>
      </c>
      <c r="J484" s="17">
        <f t="shared" si="12"/>
        <v>0</v>
      </c>
      <c r="K484" s="17"/>
      <c r="L484" s="16" t="s">
        <v>18</v>
      </c>
      <c r="M484" s="16" t="s">
        <v>22</v>
      </c>
      <c r="N484" s="39"/>
    </row>
    <row r="485" spans="1:14" s="12" customFormat="1" ht="18">
      <c r="A485" s="178" t="s">
        <v>80</v>
      </c>
      <c r="B485" s="75" t="s">
        <v>614</v>
      </c>
      <c r="C485" s="176" t="s">
        <v>17</v>
      </c>
      <c r="D485" s="176"/>
      <c r="E485" s="176"/>
      <c r="F485" s="176"/>
      <c r="G485" s="176"/>
      <c r="H485" s="499">
        <f>SUM(Tabla132112415[[#This Row],[PRIMER TRIMESTRE]:[CUARTO TRIMESTRE]])</f>
        <v>0</v>
      </c>
      <c r="I485" s="17">
        <v>11564</v>
      </c>
      <c r="J485" s="17">
        <f t="shared" si="12"/>
        <v>0</v>
      </c>
      <c r="K485" s="17"/>
      <c r="L485" s="16" t="s">
        <v>18</v>
      </c>
      <c r="M485" s="16" t="s">
        <v>22</v>
      </c>
      <c r="N485" s="39"/>
    </row>
    <row r="486" spans="1:14" s="12" customFormat="1" ht="18">
      <c r="A486" s="178" t="s">
        <v>80</v>
      </c>
      <c r="B486" s="75" t="s">
        <v>615</v>
      </c>
      <c r="C486" s="176" t="s">
        <v>17</v>
      </c>
      <c r="D486" s="176"/>
      <c r="E486" s="176"/>
      <c r="F486" s="176"/>
      <c r="G486" s="176"/>
      <c r="H486" s="499">
        <f>SUM(Tabla132112415[[#This Row],[PRIMER TRIMESTRE]:[CUARTO TRIMESTRE]])</f>
        <v>0</v>
      </c>
      <c r="I486" s="17">
        <v>13747</v>
      </c>
      <c r="J486" s="17">
        <f t="shared" si="12"/>
        <v>0</v>
      </c>
      <c r="K486" s="17"/>
      <c r="L486" s="16" t="s">
        <v>18</v>
      </c>
      <c r="M486" s="16" t="s">
        <v>22</v>
      </c>
      <c r="N486" s="39"/>
    </row>
    <row r="487" spans="1:14" s="12" customFormat="1" ht="18">
      <c r="A487" s="178" t="s">
        <v>80</v>
      </c>
      <c r="B487" s="75" t="s">
        <v>1547</v>
      </c>
      <c r="C487" s="176" t="s">
        <v>17</v>
      </c>
      <c r="D487" s="176"/>
      <c r="E487" s="176"/>
      <c r="F487" s="176"/>
      <c r="G487" s="176"/>
      <c r="H487" s="176">
        <f>SUM(Tabla132112415[[#This Row],[PRIMER TRIMESTRE]:[CUARTO TRIMESTRE]])</f>
        <v>0</v>
      </c>
      <c r="I487" s="17">
        <v>700</v>
      </c>
      <c r="J487" s="17">
        <f t="shared" si="12"/>
        <v>0</v>
      </c>
      <c r="K487" s="17"/>
      <c r="L487" s="16" t="s">
        <v>18</v>
      </c>
      <c r="M487" s="16" t="s">
        <v>22</v>
      </c>
      <c r="N487" s="39"/>
    </row>
    <row r="488" spans="1:14" s="12" customFormat="1" ht="18">
      <c r="A488" s="178" t="s">
        <v>80</v>
      </c>
      <c r="B488" s="75" t="s">
        <v>1577</v>
      </c>
      <c r="C488" s="176" t="s">
        <v>17</v>
      </c>
      <c r="D488" s="176"/>
      <c r="E488" s="176"/>
      <c r="F488" s="176"/>
      <c r="G488" s="176"/>
      <c r="H488" s="176">
        <f>SUM(Tabla132112415[[#This Row],[PRIMER TRIMESTRE]:[CUARTO TRIMESTRE]])</f>
        <v>0</v>
      </c>
      <c r="I488" s="17">
        <v>133.88999999999999</v>
      </c>
      <c r="J488" s="17">
        <f t="shared" si="12"/>
        <v>0</v>
      </c>
      <c r="K488" s="17"/>
      <c r="L488" s="16" t="s">
        <v>18</v>
      </c>
      <c r="M488" s="16" t="s">
        <v>22</v>
      </c>
      <c r="N488" s="39"/>
    </row>
    <row r="489" spans="1:14" s="12" customFormat="1" ht="18">
      <c r="A489" s="178" t="s">
        <v>80</v>
      </c>
      <c r="B489" s="75" t="s">
        <v>1576</v>
      </c>
      <c r="C489" s="176" t="s">
        <v>17</v>
      </c>
      <c r="D489" s="176"/>
      <c r="E489" s="176"/>
      <c r="F489" s="176"/>
      <c r="G489" s="176"/>
      <c r="H489" s="176">
        <f>SUM(Tabla132112415[[#This Row],[PRIMER TRIMESTRE]:[CUARTO TRIMESTRE]])</f>
        <v>0</v>
      </c>
      <c r="I489" s="17">
        <v>21</v>
      </c>
      <c r="J489" s="17">
        <f t="shared" si="12"/>
        <v>0</v>
      </c>
      <c r="K489" s="17"/>
      <c r="L489" s="16" t="s">
        <v>18</v>
      </c>
      <c r="M489" s="16" t="s">
        <v>22</v>
      </c>
      <c r="N489" s="39"/>
    </row>
    <row r="490" spans="1:14" s="12" customFormat="1" ht="18">
      <c r="A490" s="178" t="s">
        <v>80</v>
      </c>
      <c r="B490" s="75" t="s">
        <v>1727</v>
      </c>
      <c r="C490" s="176" t="s">
        <v>17</v>
      </c>
      <c r="D490" s="176">
        <v>500</v>
      </c>
      <c r="E490" s="176">
        <v>500</v>
      </c>
      <c r="F490" s="176">
        <v>500</v>
      </c>
      <c r="G490" s="176">
        <v>500</v>
      </c>
      <c r="H490" s="499">
        <v>0</v>
      </c>
      <c r="I490" s="17">
        <v>0</v>
      </c>
      <c r="J490" s="17">
        <v>0</v>
      </c>
      <c r="K490" s="17"/>
      <c r="L490" s="16" t="s">
        <v>18</v>
      </c>
      <c r="M490" s="16" t="s">
        <v>22</v>
      </c>
      <c r="N490" s="39"/>
    </row>
    <row r="491" spans="1:14" s="12" customFormat="1" ht="18">
      <c r="A491" s="178" t="s">
        <v>80</v>
      </c>
      <c r="B491" s="75" t="s">
        <v>1575</v>
      </c>
      <c r="C491" s="176" t="s">
        <v>17</v>
      </c>
      <c r="D491" s="176"/>
      <c r="E491" s="176"/>
      <c r="F491" s="176"/>
      <c r="G491" s="176"/>
      <c r="H491" s="176">
        <f>SUM(Tabla132112415[[#This Row],[PRIMER TRIMESTRE]:[CUARTO TRIMESTRE]])</f>
        <v>0</v>
      </c>
      <c r="I491" s="17">
        <v>15.21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</row>
    <row r="492" spans="1:14" s="12" customFormat="1" ht="18">
      <c r="A492" s="178" t="s">
        <v>80</v>
      </c>
      <c r="B492" s="75" t="s">
        <v>1574</v>
      </c>
      <c r="C492" s="176" t="s">
        <v>17</v>
      </c>
      <c r="D492" s="176"/>
      <c r="E492" s="176"/>
      <c r="F492" s="176"/>
      <c r="G492" s="176"/>
      <c r="H492" s="176">
        <f>SUM(Tabla132112415[[#This Row],[PRIMER TRIMESTRE]:[CUARTO TRIMESTRE]])</f>
        <v>0</v>
      </c>
      <c r="I492" s="17">
        <v>1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</row>
    <row r="493" spans="1:14" s="12" customFormat="1" ht="18">
      <c r="A493" s="178" t="s">
        <v>80</v>
      </c>
      <c r="B493" s="75" t="s">
        <v>1338</v>
      </c>
      <c r="C493" s="176" t="s">
        <v>17</v>
      </c>
      <c r="D493" s="176">
        <v>500</v>
      </c>
      <c r="E493" s="176">
        <v>500</v>
      </c>
      <c r="F493" s="176">
        <v>500</v>
      </c>
      <c r="G493" s="176">
        <v>500</v>
      </c>
      <c r="H493" s="499">
        <f>SUM(Tabla132112415[[#This Row],[PRIMER TRIMESTRE]:[CUARTO TRIMESTRE]])</f>
        <v>2000</v>
      </c>
      <c r="I493" s="17">
        <v>17.7</v>
      </c>
      <c r="J493" s="17">
        <f t="shared" si="12"/>
        <v>35400</v>
      </c>
      <c r="K493" s="17"/>
      <c r="L493" s="16" t="s">
        <v>18</v>
      </c>
      <c r="M493" s="16" t="s">
        <v>22</v>
      </c>
      <c r="N493" s="39"/>
    </row>
    <row r="494" spans="1:14" s="12" customFormat="1" ht="18">
      <c r="A494" s="178" t="s">
        <v>80</v>
      </c>
      <c r="B494" s="75" t="s">
        <v>1573</v>
      </c>
      <c r="C494" s="176" t="s">
        <v>17</v>
      </c>
      <c r="D494" s="176">
        <v>500</v>
      </c>
      <c r="E494" s="176">
        <v>500</v>
      </c>
      <c r="F494" s="176">
        <v>500</v>
      </c>
      <c r="G494" s="176">
        <v>500</v>
      </c>
      <c r="H494" s="499">
        <f>SUM(Tabla132112415[[#This Row],[PRIMER TRIMESTRE]:[CUARTO TRIMESTRE]])</f>
        <v>2000</v>
      </c>
      <c r="I494" s="17">
        <v>20</v>
      </c>
      <c r="J494" s="17">
        <f t="shared" si="12"/>
        <v>40000</v>
      </c>
      <c r="K494" s="17"/>
      <c r="L494" s="16" t="s">
        <v>18</v>
      </c>
      <c r="M494" s="16" t="s">
        <v>22</v>
      </c>
      <c r="N494" s="39"/>
    </row>
    <row r="495" spans="1:14" s="12" customFormat="1" ht="18">
      <c r="A495" s="178" t="s">
        <v>80</v>
      </c>
      <c r="B495" s="75" t="s">
        <v>1339</v>
      </c>
      <c r="C495" s="176" t="s">
        <v>17</v>
      </c>
      <c r="D495" s="176">
        <v>500</v>
      </c>
      <c r="E495" s="176">
        <v>500</v>
      </c>
      <c r="F495" s="176">
        <v>500</v>
      </c>
      <c r="G495" s="176">
        <v>500</v>
      </c>
      <c r="H495" s="499">
        <f>SUM(Tabla132112415[[#This Row],[PRIMER TRIMESTRE]:[CUARTO TRIMESTRE]])</f>
        <v>2000</v>
      </c>
      <c r="I495" s="17">
        <v>23.6</v>
      </c>
      <c r="J495" s="17">
        <f t="shared" si="12"/>
        <v>47200</v>
      </c>
      <c r="K495" s="17"/>
      <c r="L495" s="16" t="s">
        <v>18</v>
      </c>
      <c r="M495" s="16" t="s">
        <v>22</v>
      </c>
      <c r="N495" s="39"/>
    </row>
    <row r="496" spans="1:14" s="12" customFormat="1" ht="18">
      <c r="A496" s="178" t="s">
        <v>80</v>
      </c>
      <c r="B496" s="75" t="s">
        <v>1703</v>
      </c>
      <c r="C496" s="176" t="s">
        <v>17</v>
      </c>
      <c r="D496" s="176">
        <v>500</v>
      </c>
      <c r="E496" s="176">
        <v>500</v>
      </c>
      <c r="F496" s="176">
        <v>500</v>
      </c>
      <c r="G496" s="176">
        <v>500</v>
      </c>
      <c r="H496" s="499">
        <v>0</v>
      </c>
      <c r="I496" s="17">
        <v>0</v>
      </c>
      <c r="J496" s="17">
        <v>0</v>
      </c>
      <c r="K496" s="17"/>
      <c r="L496" s="16" t="s">
        <v>18</v>
      </c>
      <c r="M496" s="16" t="s">
        <v>22</v>
      </c>
      <c r="N496" s="39"/>
    </row>
    <row r="497" spans="1:14" s="12" customFormat="1" ht="18">
      <c r="A497" s="178" t="s">
        <v>80</v>
      </c>
      <c r="B497" s="75" t="s">
        <v>1572</v>
      </c>
      <c r="C497" s="176" t="s">
        <v>17</v>
      </c>
      <c r="D497" s="176">
        <v>500</v>
      </c>
      <c r="E497" s="176">
        <v>500</v>
      </c>
      <c r="F497" s="176">
        <v>500</v>
      </c>
      <c r="G497" s="176">
        <v>500</v>
      </c>
      <c r="H497" s="499">
        <f>SUM(Tabla132112415[[#This Row],[PRIMER TRIMESTRE]:[CUARTO TRIMESTRE]])</f>
        <v>2000</v>
      </c>
      <c r="I497" s="17">
        <v>2</v>
      </c>
      <c r="J497" s="17">
        <f t="shared" si="12"/>
        <v>4000</v>
      </c>
      <c r="K497" s="17"/>
      <c r="L497" s="16" t="s">
        <v>18</v>
      </c>
      <c r="M497" s="16" t="s">
        <v>22</v>
      </c>
      <c r="N497" s="39"/>
    </row>
    <row r="498" spans="1:14" s="12" customFormat="1" ht="18">
      <c r="A498" s="178" t="s">
        <v>80</v>
      </c>
      <c r="B498" s="75" t="s">
        <v>1428</v>
      </c>
      <c r="C498" s="176" t="s">
        <v>17</v>
      </c>
      <c r="D498" s="176">
        <v>500</v>
      </c>
      <c r="E498" s="176">
        <v>500</v>
      </c>
      <c r="F498" s="176">
        <v>500</v>
      </c>
      <c r="G498" s="176">
        <v>500</v>
      </c>
      <c r="H498" s="499">
        <f>SUM(Tabla132112415[[#This Row],[PRIMER TRIMESTRE]:[CUARTO TRIMESTRE]])</f>
        <v>2000</v>
      </c>
      <c r="I498" s="17">
        <v>0.88</v>
      </c>
      <c r="J498" s="17">
        <f t="shared" si="12"/>
        <v>1760</v>
      </c>
      <c r="K498" s="17"/>
      <c r="L498" s="16" t="s">
        <v>18</v>
      </c>
      <c r="M498" s="16" t="s">
        <v>22</v>
      </c>
      <c r="N498" s="39"/>
    </row>
    <row r="499" spans="1:14" s="12" customFormat="1" ht="18">
      <c r="A499" s="178" t="s">
        <v>80</v>
      </c>
      <c r="B499" s="75" t="s">
        <v>1427</v>
      </c>
      <c r="C499" s="176" t="s">
        <v>17</v>
      </c>
      <c r="D499" s="176">
        <v>500</v>
      </c>
      <c r="E499" s="176">
        <v>500</v>
      </c>
      <c r="F499" s="176">
        <v>500</v>
      </c>
      <c r="G499" s="176">
        <v>500</v>
      </c>
      <c r="H499" s="499">
        <f>SUM(Tabla132112415[[#This Row],[PRIMER TRIMESTRE]:[CUARTO TRIMESTRE]])</f>
        <v>2000</v>
      </c>
      <c r="I499" s="17">
        <v>1</v>
      </c>
      <c r="J499" s="17">
        <f t="shared" si="12"/>
        <v>2000</v>
      </c>
      <c r="K499" s="17"/>
      <c r="L499" s="16" t="s">
        <v>18</v>
      </c>
      <c r="M499" s="16" t="s">
        <v>22</v>
      </c>
      <c r="N499" s="39"/>
    </row>
    <row r="500" spans="1:14" s="12" customFormat="1" ht="18">
      <c r="A500" s="178" t="s">
        <v>80</v>
      </c>
      <c r="B500" s="75" t="s">
        <v>1433</v>
      </c>
      <c r="C500" s="176" t="s">
        <v>208</v>
      </c>
      <c r="D500" s="176">
        <v>500</v>
      </c>
      <c r="E500" s="176">
        <v>500</v>
      </c>
      <c r="F500" s="176">
        <v>500</v>
      </c>
      <c r="G500" s="176">
        <v>500</v>
      </c>
      <c r="H500" s="499">
        <f>SUM(Tabla132112415[[#This Row],[PRIMER TRIMESTRE]:[CUARTO TRIMESTRE]])</f>
        <v>2000</v>
      </c>
      <c r="I500" s="17">
        <v>361.44</v>
      </c>
      <c r="J500" s="17">
        <f t="shared" si="12"/>
        <v>722880</v>
      </c>
      <c r="K500" s="17"/>
      <c r="L500" s="16" t="s">
        <v>18</v>
      </c>
      <c r="M500" s="16" t="s">
        <v>22</v>
      </c>
      <c r="N500" s="39"/>
    </row>
    <row r="501" spans="1:14" s="12" customFormat="1" ht="18">
      <c r="A501" s="178" t="s">
        <v>80</v>
      </c>
      <c r="B501" s="75" t="s">
        <v>1435</v>
      </c>
      <c r="C501" s="176" t="s">
        <v>17</v>
      </c>
      <c r="D501" s="176">
        <v>500</v>
      </c>
      <c r="E501" s="176">
        <v>500</v>
      </c>
      <c r="F501" s="176">
        <v>500</v>
      </c>
      <c r="G501" s="176">
        <v>500</v>
      </c>
      <c r="H501" s="499">
        <f>SUM(Tabla132112415[[#This Row],[PRIMER TRIMESTRE]:[CUARTO TRIMESTRE]])</f>
        <v>2000</v>
      </c>
      <c r="I501" s="17">
        <v>1.1499999999999999</v>
      </c>
      <c r="J501" s="17">
        <f t="shared" si="12"/>
        <v>2300</v>
      </c>
      <c r="K501" s="17"/>
      <c r="L501" s="16" t="s">
        <v>18</v>
      </c>
      <c r="M501" s="16" t="s">
        <v>22</v>
      </c>
      <c r="N501" s="39"/>
    </row>
    <row r="502" spans="1:14" s="12" customFormat="1" ht="18">
      <c r="A502" s="178" t="s">
        <v>80</v>
      </c>
      <c r="B502" s="75" t="s">
        <v>1527</v>
      </c>
      <c r="C502" s="176" t="s">
        <v>17</v>
      </c>
      <c r="D502" s="176"/>
      <c r="E502" s="176"/>
      <c r="F502" s="176"/>
      <c r="G502" s="176"/>
      <c r="H502" s="176">
        <f>SUM(Tabla132112415[[#This Row],[PRIMER TRIMESTRE]:[CUARTO TRIMESTRE]])</f>
        <v>0</v>
      </c>
      <c r="I502" s="17">
        <v>12739.27</v>
      </c>
      <c r="J502" s="17">
        <f t="shared" si="12"/>
        <v>0</v>
      </c>
      <c r="K502" s="17"/>
      <c r="L502" s="16" t="s">
        <v>18</v>
      </c>
      <c r="M502" s="16" t="s">
        <v>22</v>
      </c>
      <c r="N502" s="39"/>
    </row>
    <row r="503" spans="1:14" s="12" customFormat="1" ht="18">
      <c r="A503" s="178" t="s">
        <v>80</v>
      </c>
      <c r="B503" s="75" t="s">
        <v>702</v>
      </c>
      <c r="C503" s="176" t="s">
        <v>17</v>
      </c>
      <c r="D503" s="176"/>
      <c r="E503" s="176"/>
      <c r="F503" s="176"/>
      <c r="G503" s="176"/>
      <c r="H503" s="499">
        <f>SUM(Tabla132112415[[#This Row],[PRIMER TRIMESTRE]:[CUARTO TRIMESTRE]])</f>
        <v>0</v>
      </c>
      <c r="I503" s="17">
        <v>1052.51</v>
      </c>
      <c r="J503" s="17">
        <f t="shared" si="12"/>
        <v>0</v>
      </c>
      <c r="K503" s="17"/>
      <c r="L503" s="16" t="s">
        <v>18</v>
      </c>
      <c r="M503" s="16" t="s">
        <v>22</v>
      </c>
      <c r="N503" s="39"/>
    </row>
    <row r="504" spans="1:14" s="12" customFormat="1" ht="18">
      <c r="A504" s="178" t="s">
        <v>80</v>
      </c>
      <c r="B504" s="75" t="s">
        <v>370</v>
      </c>
      <c r="C504" s="176" t="s">
        <v>17</v>
      </c>
      <c r="D504" s="176"/>
      <c r="E504" s="176"/>
      <c r="F504" s="176"/>
      <c r="G504" s="176"/>
      <c r="H504" s="499">
        <f>SUM(Tabla132112415[[#This Row],[PRIMER TRIMESTRE]:[CUARTO TRIMESTRE]])</f>
        <v>0</v>
      </c>
      <c r="I504" s="17">
        <v>3302.0937420000005</v>
      </c>
      <c r="J504" s="17">
        <f t="shared" si="12"/>
        <v>0</v>
      </c>
      <c r="K504" s="17"/>
      <c r="L504" s="16" t="s">
        <v>18</v>
      </c>
      <c r="M504" s="16" t="s">
        <v>22</v>
      </c>
      <c r="N504" s="39"/>
    </row>
    <row r="505" spans="1:14" s="12" customFormat="1" ht="18">
      <c r="A505" s="178" t="s">
        <v>80</v>
      </c>
      <c r="B505" s="75" t="s">
        <v>371</v>
      </c>
      <c r="C505" s="176" t="s">
        <v>17</v>
      </c>
      <c r="D505" s="176"/>
      <c r="E505" s="176"/>
      <c r="F505" s="176"/>
      <c r="G505" s="176"/>
      <c r="H505" s="499">
        <f>SUM(Tabla132112415[[#This Row],[PRIMER TRIMESTRE]:[CUARTO TRIMESTRE]])</f>
        <v>0</v>
      </c>
      <c r="I505" s="17">
        <v>5605.3296870000004</v>
      </c>
      <c r="J505" s="17">
        <f t="shared" si="12"/>
        <v>0</v>
      </c>
      <c r="K505" s="17"/>
      <c r="L505" s="16" t="s">
        <v>18</v>
      </c>
      <c r="M505" s="16" t="s">
        <v>22</v>
      </c>
      <c r="N505" s="39"/>
    </row>
    <row r="506" spans="1:14" s="12" customFormat="1" ht="18">
      <c r="A506" s="178" t="s">
        <v>80</v>
      </c>
      <c r="B506" s="75" t="s">
        <v>799</v>
      </c>
      <c r="C506" s="176" t="s">
        <v>17</v>
      </c>
      <c r="D506" s="176"/>
      <c r="E506" s="176"/>
      <c r="F506" s="176"/>
      <c r="G506" s="176"/>
      <c r="H506" s="499">
        <f>SUM(Tabla132112415[[#This Row],[PRIMER TRIMESTRE]:[CUARTO TRIMESTRE]])</f>
        <v>0</v>
      </c>
      <c r="I506" s="17">
        <v>12700</v>
      </c>
      <c r="J506" s="17">
        <f t="shared" si="12"/>
        <v>0</v>
      </c>
      <c r="K506" s="17"/>
      <c r="L506" s="16" t="s">
        <v>18</v>
      </c>
      <c r="M506" s="16" t="s">
        <v>22</v>
      </c>
      <c r="N506" s="39"/>
    </row>
    <row r="507" spans="1:14" s="12" customFormat="1" ht="18">
      <c r="A507" s="178" t="s">
        <v>80</v>
      </c>
      <c r="B507" s="75" t="s">
        <v>372</v>
      </c>
      <c r="C507" s="176" t="s">
        <v>17</v>
      </c>
      <c r="D507" s="176"/>
      <c r="E507" s="176"/>
      <c r="F507" s="176"/>
      <c r="G507" s="176"/>
      <c r="H507" s="499">
        <f>SUM(Tabla132112415[[#This Row],[PRIMER TRIMESTRE]:[CUARTO TRIMESTRE]])</f>
        <v>0</v>
      </c>
      <c r="I507" s="17">
        <v>256.14999999999998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</row>
    <row r="508" spans="1:14" s="12" customFormat="1" ht="18">
      <c r="A508" s="178" t="s">
        <v>80</v>
      </c>
      <c r="B508" s="75" t="s">
        <v>373</v>
      </c>
      <c r="C508" s="176" t="s">
        <v>17</v>
      </c>
      <c r="D508" s="176"/>
      <c r="E508" s="176"/>
      <c r="F508" s="176"/>
      <c r="G508" s="176"/>
      <c r="H508" s="499">
        <f>SUM(Tabla132112415[[#This Row],[PRIMER TRIMESTRE]:[CUARTO TRIMESTRE]])</f>
        <v>0</v>
      </c>
      <c r="I508" s="17">
        <v>260.58531900000003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</row>
    <row r="509" spans="1:14" s="12" customFormat="1" ht="18">
      <c r="A509" s="178" t="s">
        <v>80</v>
      </c>
      <c r="B509" s="75" t="s">
        <v>374</v>
      </c>
      <c r="C509" s="176" t="s">
        <v>17</v>
      </c>
      <c r="D509" s="176"/>
      <c r="E509" s="176"/>
      <c r="F509" s="176"/>
      <c r="G509" s="176"/>
      <c r="H509" s="499">
        <f>SUM(Tabla132112415[[#This Row],[PRIMER TRIMESTRE]:[CUARTO TRIMESTRE]])</f>
        <v>0</v>
      </c>
      <c r="I509" s="17">
        <v>383.08377000000007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</row>
    <row r="510" spans="1:14" s="12" customFormat="1" ht="18">
      <c r="A510" s="178" t="s">
        <v>80</v>
      </c>
      <c r="B510" s="75" t="s">
        <v>375</v>
      </c>
      <c r="C510" s="176" t="s">
        <v>17</v>
      </c>
      <c r="D510" s="176"/>
      <c r="E510" s="176"/>
      <c r="F510" s="176"/>
      <c r="G510" s="176"/>
      <c r="H510" s="499">
        <f>SUM(Tabla132112415[[#This Row],[PRIMER TRIMESTRE]:[CUARTO TRIMESTRE]])</f>
        <v>0</v>
      </c>
      <c r="I510" s="17">
        <v>450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</row>
    <row r="511" spans="1:14" s="12" customFormat="1" ht="18">
      <c r="A511" s="178" t="s">
        <v>80</v>
      </c>
      <c r="B511" s="75" t="s">
        <v>376</v>
      </c>
      <c r="C511" s="176" t="s">
        <v>17</v>
      </c>
      <c r="D511" s="176"/>
      <c r="E511" s="176"/>
      <c r="F511" s="176"/>
      <c r="G511" s="176"/>
      <c r="H511" s="499">
        <f>SUM(Tabla132112415[[#This Row],[PRIMER TRIMESTRE]:[CUARTO TRIMESTRE]])</f>
        <v>0</v>
      </c>
      <c r="I511" s="17">
        <v>667.77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</row>
    <row r="512" spans="1:14" s="12" customFormat="1" ht="18">
      <c r="A512" s="178" t="s">
        <v>80</v>
      </c>
      <c r="B512" s="75" t="s">
        <v>377</v>
      </c>
      <c r="C512" s="176" t="s">
        <v>17</v>
      </c>
      <c r="D512" s="176"/>
      <c r="E512" s="176"/>
      <c r="F512" s="176"/>
      <c r="G512" s="176"/>
      <c r="H512" s="499">
        <f>SUM(Tabla132112415[[#This Row],[PRIMER TRIMESTRE]:[CUARTO TRIMESTRE]])</f>
        <v>0</v>
      </c>
      <c r="I512" s="17">
        <v>160.61749500000002</v>
      </c>
      <c r="J512" s="17">
        <f t="shared" si="12"/>
        <v>0</v>
      </c>
      <c r="K512" s="17"/>
      <c r="L512" s="16" t="s">
        <v>18</v>
      </c>
      <c r="M512" s="16" t="s">
        <v>22</v>
      </c>
      <c r="N512" s="39"/>
    </row>
    <row r="513" spans="1:14" s="12" customFormat="1" ht="18">
      <c r="A513" s="178" t="s">
        <v>80</v>
      </c>
      <c r="B513" s="75" t="s">
        <v>378</v>
      </c>
      <c r="C513" s="176" t="s">
        <v>17</v>
      </c>
      <c r="D513" s="176"/>
      <c r="E513" s="176"/>
      <c r="F513" s="176"/>
      <c r="G513" s="176"/>
      <c r="H513" s="499">
        <f>SUM(Tabla132112415[[#This Row],[PRIMER TRIMESTRE]:[CUARTO TRIMESTRE]])</f>
        <v>0</v>
      </c>
      <c r="I513" s="17">
        <v>631.80422099999998</v>
      </c>
      <c r="J513" s="17">
        <f t="shared" si="12"/>
        <v>0</v>
      </c>
      <c r="K513" s="17"/>
      <c r="L513" s="16" t="s">
        <v>18</v>
      </c>
      <c r="M513" s="16" t="s">
        <v>22</v>
      </c>
      <c r="N513" s="39"/>
    </row>
    <row r="514" spans="1:14" s="12" customFormat="1" ht="18">
      <c r="A514" s="178" t="s">
        <v>80</v>
      </c>
      <c r="B514" s="75" t="s">
        <v>1526</v>
      </c>
      <c r="C514" s="176" t="s">
        <v>17</v>
      </c>
      <c r="D514" s="176"/>
      <c r="E514" s="176"/>
      <c r="F514" s="176"/>
      <c r="G514" s="176"/>
      <c r="H514" s="176">
        <f>SUM(Tabla132112415[[#This Row],[PRIMER TRIMESTRE]:[CUARTO TRIMESTRE]])</f>
        <v>0</v>
      </c>
      <c r="I514" s="17">
        <v>631.80422099999998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</row>
    <row r="515" spans="1:14" s="12" customFormat="1" ht="18">
      <c r="A515" s="178" t="s">
        <v>80</v>
      </c>
      <c r="B515" s="75" t="s">
        <v>379</v>
      </c>
      <c r="C515" s="176" t="s">
        <v>17</v>
      </c>
      <c r="D515" s="176"/>
      <c r="E515" s="176"/>
      <c r="F515" s="176"/>
      <c r="G515" s="176"/>
      <c r="H515" s="499">
        <f>SUM(Tabla132112415[[#This Row],[PRIMER TRIMESTRE]:[CUARTO TRIMESTRE]])</f>
        <v>0</v>
      </c>
      <c r="I515" s="17">
        <v>1565.22</v>
      </c>
      <c r="J515" s="17">
        <f t="shared" si="12"/>
        <v>0</v>
      </c>
      <c r="K515" s="17"/>
      <c r="L515" s="16" t="s">
        <v>18</v>
      </c>
      <c r="M515" s="16" t="s">
        <v>22</v>
      </c>
      <c r="N515" s="39"/>
    </row>
    <row r="516" spans="1:14" s="12" customFormat="1" ht="18">
      <c r="A516" s="178" t="s">
        <v>80</v>
      </c>
      <c r="B516" s="75" t="s">
        <v>380</v>
      </c>
      <c r="C516" s="176" t="s">
        <v>17</v>
      </c>
      <c r="D516" s="176"/>
      <c r="E516" s="176"/>
      <c r="F516" s="176"/>
      <c r="G516" s="176"/>
      <c r="H516" s="499">
        <f>SUM(Tabla132112415[[#This Row],[PRIMER TRIMESTRE]:[CUARTO TRIMESTRE]])</f>
        <v>0</v>
      </c>
      <c r="I516" s="17">
        <v>2310.9299999999998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</row>
    <row r="517" spans="1:14" s="12" customFormat="1" ht="18">
      <c r="A517" s="178" t="s">
        <v>80</v>
      </c>
      <c r="B517" s="75" t="s">
        <v>381</v>
      </c>
      <c r="C517" s="176" t="s">
        <v>17</v>
      </c>
      <c r="D517" s="176"/>
      <c r="E517" s="176"/>
      <c r="F517" s="176"/>
      <c r="G517" s="176"/>
      <c r="H517" s="499">
        <f>SUM(Tabla132112415[[#This Row],[PRIMER TRIMESTRE]:[CUARTO TRIMESTRE]])</f>
        <v>0</v>
      </c>
      <c r="I517" s="17">
        <v>4630.1499999999996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</row>
    <row r="518" spans="1:14" s="12" customFormat="1" ht="18">
      <c r="A518" s="178" t="s">
        <v>80</v>
      </c>
      <c r="B518" s="75" t="s">
        <v>382</v>
      </c>
      <c r="C518" s="176" t="s">
        <v>17</v>
      </c>
      <c r="D518" s="176"/>
      <c r="E518" s="176"/>
      <c r="F518" s="176"/>
      <c r="G518" s="176"/>
      <c r="H518" s="499">
        <f>SUM(Tabla132112415[[#This Row],[PRIMER TRIMESTRE]:[CUARTO TRIMESTRE]])</f>
        <v>0</v>
      </c>
      <c r="I518" s="17">
        <v>6410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</row>
    <row r="519" spans="1:14" s="12" customFormat="1" ht="18">
      <c r="A519" s="178" t="s">
        <v>80</v>
      </c>
      <c r="B519" s="75" t="s">
        <v>383</v>
      </c>
      <c r="C519" s="176" t="s">
        <v>17</v>
      </c>
      <c r="D519" s="176"/>
      <c r="E519" s="176"/>
      <c r="F519" s="176"/>
      <c r="G519" s="176"/>
      <c r="H519" s="499">
        <f>SUM(Tabla132112415[[#This Row],[PRIMER TRIMESTRE]:[CUARTO TRIMESTRE]])</f>
        <v>0</v>
      </c>
      <c r="I519" s="17">
        <v>10255.09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</row>
    <row r="520" spans="1:14" s="12" customFormat="1" ht="18">
      <c r="A520" s="178" t="s">
        <v>80</v>
      </c>
      <c r="B520" s="75" t="s">
        <v>384</v>
      </c>
      <c r="C520" s="176" t="s">
        <v>17</v>
      </c>
      <c r="D520" s="176"/>
      <c r="E520" s="176"/>
      <c r="F520" s="176"/>
      <c r="G520" s="176"/>
      <c r="H520" s="499">
        <f>SUM(Tabla132112415[[#This Row],[PRIMER TRIMESTRE]:[CUARTO TRIMESTRE]])</f>
        <v>0</v>
      </c>
      <c r="I520" s="17">
        <v>14777.68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</row>
    <row r="521" spans="1:14" s="12" customFormat="1" ht="18">
      <c r="A521" s="178" t="s">
        <v>80</v>
      </c>
      <c r="B521" s="75" t="s">
        <v>385</v>
      </c>
      <c r="C521" s="176" t="s">
        <v>17</v>
      </c>
      <c r="D521" s="176"/>
      <c r="E521" s="176"/>
      <c r="F521" s="176"/>
      <c r="G521" s="176"/>
      <c r="H521" s="499">
        <f>SUM(Tabla132112415[[#This Row],[PRIMER TRIMESTRE]:[CUARTO TRIMESTRE]])</f>
        <v>0</v>
      </c>
      <c r="I521" s="17">
        <v>24012.400000000001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</row>
    <row r="522" spans="1:14" s="12" customFormat="1" ht="18">
      <c r="A522" s="178" t="s">
        <v>80</v>
      </c>
      <c r="B522" s="75" t="s">
        <v>386</v>
      </c>
      <c r="C522" s="176" t="s">
        <v>17</v>
      </c>
      <c r="D522" s="176"/>
      <c r="E522" s="176"/>
      <c r="F522" s="176"/>
      <c r="G522" s="176"/>
      <c r="H522" s="499">
        <f>SUM(Tabla132112415[[#This Row],[PRIMER TRIMESTRE]:[CUARTO TRIMESTRE]])</f>
        <v>0</v>
      </c>
      <c r="I522" s="17">
        <v>37525.1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</row>
    <row r="523" spans="1:14" s="12" customFormat="1" ht="18">
      <c r="A523" s="178" t="s">
        <v>80</v>
      </c>
      <c r="B523" s="75" t="s">
        <v>800</v>
      </c>
      <c r="C523" s="176" t="s">
        <v>17</v>
      </c>
      <c r="D523" s="502"/>
      <c r="E523" s="502"/>
      <c r="F523" s="502"/>
      <c r="G523" s="176"/>
      <c r="H523" s="499">
        <f>SUM(Tabla132112415[[#This Row],[PRIMER TRIMESTRE]:[CUARTO TRIMESTRE]])</f>
        <v>0</v>
      </c>
      <c r="I523" s="17">
        <v>4500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</row>
    <row r="524" spans="1:14" s="12" customFormat="1" ht="18">
      <c r="A524" s="178" t="s">
        <v>80</v>
      </c>
      <c r="B524" s="75" t="s">
        <v>713</v>
      </c>
      <c r="C524" s="176" t="s">
        <v>17</v>
      </c>
      <c r="D524" s="176"/>
      <c r="E524" s="176"/>
      <c r="F524" s="176"/>
      <c r="G524" s="176"/>
      <c r="H524" s="499">
        <f>SUM(Tabla132112415[[#This Row],[PRIMER TRIMESTRE]:[CUARTO TRIMESTRE]])</f>
        <v>0</v>
      </c>
      <c r="I524" s="72">
        <v>6000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</row>
    <row r="525" spans="1:14" s="12" customFormat="1" ht="18">
      <c r="A525" s="178" t="s">
        <v>80</v>
      </c>
      <c r="B525" s="75" t="s">
        <v>712</v>
      </c>
      <c r="C525" s="176" t="s">
        <v>17</v>
      </c>
      <c r="D525" s="176"/>
      <c r="E525" s="176"/>
      <c r="F525" s="176"/>
      <c r="G525" s="176"/>
      <c r="H525" s="499">
        <f>SUM(Tabla132112415[[#This Row],[PRIMER TRIMESTRE]:[CUARTO TRIMESTRE]])</f>
        <v>0</v>
      </c>
      <c r="I525" s="17">
        <v>15544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</row>
    <row r="526" spans="1:14" s="12" customFormat="1" ht="18">
      <c r="A526" s="178" t="s">
        <v>80</v>
      </c>
      <c r="B526" s="75" t="s">
        <v>711</v>
      </c>
      <c r="C526" s="176" t="s">
        <v>17</v>
      </c>
      <c r="D526" s="176"/>
      <c r="E526" s="176"/>
      <c r="F526" s="176"/>
      <c r="G526" s="176"/>
      <c r="H526" s="499">
        <f>SUM(Tabla132112415[[#This Row],[PRIMER TRIMESTRE]:[CUARTO TRIMESTRE]])</f>
        <v>0</v>
      </c>
      <c r="I526" s="72">
        <v>20650.03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</row>
    <row r="527" spans="1:14" s="12" customFormat="1" ht="18">
      <c r="A527" s="178" t="s">
        <v>80</v>
      </c>
      <c r="B527" s="75" t="s">
        <v>710</v>
      </c>
      <c r="C527" s="176" t="s">
        <v>17</v>
      </c>
      <c r="D527" s="176"/>
      <c r="E527" s="176"/>
      <c r="F527" s="176"/>
      <c r="G527" s="176"/>
      <c r="H527" s="499">
        <f>SUM(Tabla132112415[[#This Row],[PRIMER TRIMESTRE]:[CUARTO TRIMESTRE]])</f>
        <v>0</v>
      </c>
      <c r="I527" s="17">
        <v>39221.919999999998</v>
      </c>
      <c r="J527" s="17">
        <f t="shared" si="12"/>
        <v>0</v>
      </c>
      <c r="K527" s="17"/>
      <c r="L527" s="16" t="s">
        <v>18</v>
      </c>
      <c r="M527" s="16" t="s">
        <v>22</v>
      </c>
      <c r="N527" s="39"/>
    </row>
    <row r="528" spans="1:14" s="12" customFormat="1" ht="18">
      <c r="A528" s="178" t="s">
        <v>80</v>
      </c>
      <c r="B528" s="75" t="s">
        <v>709</v>
      </c>
      <c r="C528" s="176" t="s">
        <v>17</v>
      </c>
      <c r="D528" s="176"/>
      <c r="E528" s="176"/>
      <c r="F528" s="176"/>
      <c r="G528" s="176"/>
      <c r="H528" s="499">
        <f>SUM(Tabla132112415[[#This Row],[PRIMER TRIMESTRE]:[CUARTO TRIMESTRE]])</f>
        <v>0</v>
      </c>
      <c r="I528" s="72">
        <f>17500*1.18</f>
        <v>20650</v>
      </c>
      <c r="J528" s="17">
        <f t="shared" si="12"/>
        <v>0</v>
      </c>
      <c r="K528" s="17"/>
      <c r="L528" s="16" t="s">
        <v>18</v>
      </c>
      <c r="M528" s="16" t="s">
        <v>22</v>
      </c>
      <c r="N528" s="39"/>
    </row>
    <row r="529" spans="1:14" s="12" customFormat="1" ht="18">
      <c r="A529" s="178" t="s">
        <v>80</v>
      </c>
      <c r="B529" s="75" t="s">
        <v>708</v>
      </c>
      <c r="C529" s="176" t="s">
        <v>17</v>
      </c>
      <c r="D529" s="176"/>
      <c r="E529" s="176"/>
      <c r="F529" s="176"/>
      <c r="G529" s="176"/>
      <c r="H529" s="499">
        <f>SUM(Tabla132112415[[#This Row],[PRIMER TRIMESTRE]:[CUARTO TRIMESTRE]])</f>
        <v>0</v>
      </c>
      <c r="I529" s="72">
        <f>25175*1.18</f>
        <v>29706.5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</row>
    <row r="530" spans="1:14" s="12" customFormat="1" ht="18">
      <c r="A530" s="178" t="s">
        <v>80</v>
      </c>
      <c r="B530" s="75" t="s">
        <v>707</v>
      </c>
      <c r="C530" s="176" t="s">
        <v>17</v>
      </c>
      <c r="D530" s="176"/>
      <c r="E530" s="176"/>
      <c r="F530" s="176"/>
      <c r="G530" s="176"/>
      <c r="H530" s="499">
        <f>SUM(Tabla132112415[[#This Row],[PRIMER TRIMESTRE]:[CUARTO TRIMESTRE]])</f>
        <v>0</v>
      </c>
      <c r="I530" s="17">
        <f>34500*1.18</f>
        <v>40710</v>
      </c>
      <c r="J530" s="17">
        <f t="shared" si="12"/>
        <v>0</v>
      </c>
      <c r="K530" s="17"/>
      <c r="L530" s="16" t="s">
        <v>18</v>
      </c>
      <c r="M530" s="16" t="s">
        <v>22</v>
      </c>
      <c r="N530" s="39"/>
    </row>
    <row r="531" spans="1:14" s="12" customFormat="1" ht="18">
      <c r="A531" s="178" t="s">
        <v>80</v>
      </c>
      <c r="B531" s="75" t="s">
        <v>706</v>
      </c>
      <c r="C531" s="176" t="s">
        <v>17</v>
      </c>
      <c r="D531" s="176"/>
      <c r="E531" s="176"/>
      <c r="F531" s="176"/>
      <c r="G531" s="176"/>
      <c r="H531" s="499">
        <f>SUM(Tabla132112415[[#This Row],[PRIMER TRIMESTRE]:[CUARTO TRIMESTRE]])</f>
        <v>0</v>
      </c>
      <c r="I531" s="72">
        <v>51330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</row>
    <row r="532" spans="1:14" s="12" customFormat="1" ht="18">
      <c r="A532" s="178" t="s">
        <v>80</v>
      </c>
      <c r="B532" s="75" t="s">
        <v>705</v>
      </c>
      <c r="C532" s="176" t="s">
        <v>17</v>
      </c>
      <c r="D532" s="176"/>
      <c r="E532" s="176"/>
      <c r="F532" s="176"/>
      <c r="G532" s="176"/>
      <c r="H532" s="499">
        <f>SUM(Tabla132112415[[#This Row],[PRIMER TRIMESTRE]:[CUARTO TRIMESTRE]])</f>
        <v>0</v>
      </c>
      <c r="I532" s="72">
        <v>61360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</row>
    <row r="533" spans="1:14" s="12" customFormat="1" ht="18">
      <c r="A533" s="178" t="s">
        <v>80</v>
      </c>
      <c r="B533" s="75" t="s">
        <v>1687</v>
      </c>
      <c r="C533" s="176" t="s">
        <v>17</v>
      </c>
      <c r="D533" s="176"/>
      <c r="E533" s="176"/>
      <c r="F533" s="176"/>
      <c r="G533" s="176"/>
      <c r="H533" s="499">
        <v>0</v>
      </c>
      <c r="I533" s="72">
        <v>0</v>
      </c>
      <c r="J533" s="17">
        <v>0</v>
      </c>
      <c r="K533" s="17"/>
      <c r="L533" s="16" t="s">
        <v>18</v>
      </c>
      <c r="M533" s="16" t="s">
        <v>22</v>
      </c>
      <c r="N533" s="39"/>
    </row>
    <row r="534" spans="1:14" s="12" customFormat="1" ht="18">
      <c r="A534" s="178" t="s">
        <v>80</v>
      </c>
      <c r="B534" s="75" t="s">
        <v>1528</v>
      </c>
      <c r="C534" s="176" t="s">
        <v>17</v>
      </c>
      <c r="D534" s="176"/>
      <c r="E534" s="176"/>
      <c r="F534" s="176"/>
      <c r="G534" s="176"/>
      <c r="H534" s="176">
        <f>SUM(Tabla132112415[[#This Row],[PRIMER TRIMESTRE]:[CUARTO TRIMESTRE]])</f>
        <v>0</v>
      </c>
      <c r="I534" s="72">
        <v>4973.5</v>
      </c>
      <c r="J534" s="72">
        <f t="shared" ref="J534:J597" si="13">+H534*I534</f>
        <v>0</v>
      </c>
      <c r="K534" s="17"/>
      <c r="L534" s="16" t="s">
        <v>18</v>
      </c>
      <c r="M534" s="16" t="s">
        <v>22</v>
      </c>
      <c r="N534" s="39"/>
    </row>
    <row r="535" spans="1:14" s="12" customFormat="1" ht="18">
      <c r="A535" s="178" t="s">
        <v>80</v>
      </c>
      <c r="B535" s="75" t="s">
        <v>1722</v>
      </c>
      <c r="C535" s="176" t="s">
        <v>17</v>
      </c>
      <c r="D535" s="176"/>
      <c r="E535" s="176"/>
      <c r="F535" s="176"/>
      <c r="G535" s="176"/>
      <c r="H535" s="499">
        <v>0</v>
      </c>
      <c r="I535" s="72">
        <v>0</v>
      </c>
      <c r="J535" s="72">
        <v>0</v>
      </c>
      <c r="K535" s="17"/>
      <c r="L535" s="16" t="s">
        <v>18</v>
      </c>
      <c r="M535" s="16" t="s">
        <v>22</v>
      </c>
      <c r="N535" s="39"/>
    </row>
    <row r="536" spans="1:14" s="12" customFormat="1" ht="18">
      <c r="A536" s="178" t="s">
        <v>80</v>
      </c>
      <c r="B536" s="75" t="s">
        <v>703</v>
      </c>
      <c r="C536" s="176" t="s">
        <v>17</v>
      </c>
      <c r="D536" s="176"/>
      <c r="E536" s="176"/>
      <c r="F536" s="176"/>
      <c r="G536" s="176"/>
      <c r="H536" s="499">
        <f>SUM(Tabla132112415[[#This Row],[PRIMER TRIMESTRE]:[CUARTO TRIMESTRE]])</f>
        <v>0</v>
      </c>
      <c r="I536" s="72">
        <v>1926.1</v>
      </c>
      <c r="J536" s="17">
        <f t="shared" si="13"/>
        <v>0</v>
      </c>
      <c r="K536" s="17"/>
      <c r="L536" s="16" t="s">
        <v>18</v>
      </c>
      <c r="M536" s="16" t="s">
        <v>22</v>
      </c>
      <c r="N536" s="39"/>
    </row>
    <row r="537" spans="1:14" s="12" customFormat="1" ht="18">
      <c r="A537" s="178" t="s">
        <v>80</v>
      </c>
      <c r="B537" s="75" t="s">
        <v>704</v>
      </c>
      <c r="C537" s="176" t="s">
        <v>17</v>
      </c>
      <c r="D537" s="176"/>
      <c r="E537" s="176"/>
      <c r="F537" s="176"/>
      <c r="G537" s="176"/>
      <c r="H537" s="499">
        <f>SUM(Tabla132112415[[#This Row],[PRIMER TRIMESTRE]:[CUARTO TRIMESTRE]])</f>
        <v>0</v>
      </c>
      <c r="I537" s="72">
        <v>3940</v>
      </c>
      <c r="J537" s="17">
        <f t="shared" si="13"/>
        <v>0</v>
      </c>
      <c r="K537" s="17"/>
      <c r="L537" s="16" t="s">
        <v>18</v>
      </c>
      <c r="M537" s="16" t="s">
        <v>22</v>
      </c>
      <c r="N537" s="39"/>
    </row>
    <row r="538" spans="1:14" s="12" customFormat="1" ht="18">
      <c r="A538" s="178" t="s">
        <v>80</v>
      </c>
      <c r="B538" s="75" t="s">
        <v>1216</v>
      </c>
      <c r="C538" s="176" t="s">
        <v>17</v>
      </c>
      <c r="D538" s="176"/>
      <c r="E538" s="176"/>
      <c r="F538" s="176"/>
      <c r="G538" s="176"/>
      <c r="H538" s="499">
        <f>SUM(Tabla132112415[[#This Row],[PRIMER TRIMESTRE]:[CUARTO TRIMESTRE]])</f>
        <v>0</v>
      </c>
      <c r="I538" s="175">
        <v>3940</v>
      </c>
      <c r="J538" s="17">
        <f t="shared" si="13"/>
        <v>0</v>
      </c>
      <c r="K538" s="17"/>
      <c r="L538" s="16" t="s">
        <v>18</v>
      </c>
      <c r="M538" s="16" t="s">
        <v>22</v>
      </c>
      <c r="N538" s="39"/>
    </row>
    <row r="539" spans="1:14" s="12" customFormat="1" ht="18">
      <c r="A539" s="178" t="s">
        <v>80</v>
      </c>
      <c r="B539" s="75" t="s">
        <v>1215</v>
      </c>
      <c r="C539" s="176" t="s">
        <v>17</v>
      </c>
      <c r="D539" s="176"/>
      <c r="E539" s="176"/>
      <c r="F539" s="176"/>
      <c r="G539" s="176"/>
      <c r="H539" s="499">
        <f>SUM(Tabla132112415[[#This Row],[PRIMER TRIMESTRE]:[CUARTO TRIMESTRE]])</f>
        <v>0</v>
      </c>
      <c r="I539" s="72">
        <v>3940</v>
      </c>
      <c r="J539" s="17">
        <f t="shared" si="13"/>
        <v>0</v>
      </c>
      <c r="K539" s="17"/>
      <c r="L539" s="16" t="s">
        <v>18</v>
      </c>
      <c r="M539" s="16" t="s">
        <v>22</v>
      </c>
      <c r="N539" s="39"/>
    </row>
    <row r="540" spans="1:14" s="12" customFormat="1" ht="18">
      <c r="A540" s="178" t="s">
        <v>80</v>
      </c>
      <c r="B540" s="75" t="s">
        <v>1620</v>
      </c>
      <c r="C540" s="176" t="s">
        <v>17</v>
      </c>
      <c r="D540" s="176"/>
      <c r="E540" s="176"/>
      <c r="F540" s="176"/>
      <c r="G540" s="176"/>
      <c r="H540" s="499">
        <f>SUM(Tabla132112415[[#This Row],[PRIMER TRIMESTRE]:[CUARTO TRIMESTRE]])</f>
        <v>0</v>
      </c>
      <c r="I540" s="72">
        <v>4973.5</v>
      </c>
      <c r="J540" s="17">
        <f t="shared" si="13"/>
        <v>0</v>
      </c>
      <c r="K540" s="17"/>
      <c r="L540" s="16" t="s">
        <v>18</v>
      </c>
      <c r="M540" s="16" t="s">
        <v>22</v>
      </c>
      <c r="N540" s="39"/>
    </row>
    <row r="541" spans="1:14" s="12" customFormat="1" ht="18">
      <c r="A541" s="178" t="s">
        <v>80</v>
      </c>
      <c r="B541" s="75" t="s">
        <v>1850</v>
      </c>
      <c r="C541" s="176" t="s">
        <v>17</v>
      </c>
      <c r="D541" s="176"/>
      <c r="E541" s="176"/>
      <c r="F541" s="176"/>
      <c r="G541" s="176"/>
      <c r="H541" s="499">
        <v>0</v>
      </c>
      <c r="I541" s="72">
        <v>0</v>
      </c>
      <c r="J541" s="17">
        <v>0</v>
      </c>
      <c r="K541" s="17"/>
      <c r="L541" s="16" t="s">
        <v>18</v>
      </c>
      <c r="M541" s="16" t="s">
        <v>22</v>
      </c>
      <c r="N541" s="39"/>
    </row>
    <row r="542" spans="1:14" s="12" customFormat="1" ht="18">
      <c r="A542" s="178" t="s">
        <v>80</v>
      </c>
      <c r="B542" s="75" t="s">
        <v>1529</v>
      </c>
      <c r="C542" s="176" t="s">
        <v>17</v>
      </c>
      <c r="D542" s="176"/>
      <c r="E542" s="176"/>
      <c r="F542" s="176"/>
      <c r="G542" s="176"/>
      <c r="H542" s="176">
        <f>SUM(Tabla132112415[[#This Row],[PRIMER TRIMESTRE]:[CUARTO TRIMESTRE]])</f>
        <v>0</v>
      </c>
      <c r="I542" s="72">
        <v>4.57</v>
      </c>
      <c r="J542" s="17">
        <f t="shared" si="13"/>
        <v>0</v>
      </c>
      <c r="K542" s="17"/>
      <c r="L542" s="16" t="s">
        <v>18</v>
      </c>
      <c r="M542" s="16" t="s">
        <v>22</v>
      </c>
      <c r="N542" s="39"/>
    </row>
    <row r="543" spans="1:14" s="12" customFormat="1" ht="18">
      <c r="A543" s="178" t="s">
        <v>80</v>
      </c>
      <c r="B543" s="75" t="s">
        <v>1569</v>
      </c>
      <c r="C543" s="176" t="s">
        <v>17</v>
      </c>
      <c r="D543" s="176">
        <v>100</v>
      </c>
      <c r="E543" s="176">
        <v>100</v>
      </c>
      <c r="F543" s="176">
        <v>100</v>
      </c>
      <c r="G543" s="176">
        <v>100</v>
      </c>
      <c r="H543" s="176">
        <f>SUM(Tabla132112415[[#This Row],[PRIMER TRIMESTRE]:[CUARTO TRIMESTRE]])</f>
        <v>400</v>
      </c>
      <c r="I543" s="72">
        <v>85.92</v>
      </c>
      <c r="J543" s="17">
        <f t="shared" si="13"/>
        <v>34368</v>
      </c>
      <c r="K543" s="17"/>
      <c r="L543" s="16" t="s">
        <v>18</v>
      </c>
      <c r="M543" s="16" t="s">
        <v>22</v>
      </c>
      <c r="N543" s="39"/>
    </row>
    <row r="544" spans="1:14" s="12" customFormat="1" ht="18">
      <c r="A544" s="178" t="s">
        <v>80</v>
      </c>
      <c r="B544" s="75" t="s">
        <v>1568</v>
      </c>
      <c r="C544" s="176" t="s">
        <v>17</v>
      </c>
      <c r="D544" s="176">
        <v>100</v>
      </c>
      <c r="E544" s="176">
        <v>100</v>
      </c>
      <c r="F544" s="176">
        <v>100</v>
      </c>
      <c r="G544" s="176">
        <v>100</v>
      </c>
      <c r="H544" s="176">
        <f>SUM(Tabla132112415[[#This Row],[PRIMER TRIMESTRE]:[CUARTO TRIMESTRE]])</f>
        <v>400</v>
      </c>
      <c r="I544" s="72">
        <v>26.5</v>
      </c>
      <c r="J544" s="17">
        <f t="shared" si="13"/>
        <v>10600</v>
      </c>
      <c r="K544" s="17"/>
      <c r="L544" s="16" t="s">
        <v>18</v>
      </c>
      <c r="M544" s="16" t="s">
        <v>22</v>
      </c>
      <c r="N544" s="39"/>
    </row>
    <row r="545" spans="1:14" s="12" customFormat="1" ht="18">
      <c r="A545" s="178" t="s">
        <v>80</v>
      </c>
      <c r="B545" s="75" t="s">
        <v>1530</v>
      </c>
      <c r="C545" s="176" t="s">
        <v>17</v>
      </c>
      <c r="D545" s="176"/>
      <c r="E545" s="176"/>
      <c r="F545" s="176"/>
      <c r="G545" s="176"/>
      <c r="H545" s="176">
        <f>SUM(Tabla132112415[[#This Row],[PRIMER TRIMESTRE]:[CUARTO TRIMESTRE]])</f>
        <v>0</v>
      </c>
      <c r="I545" s="72">
        <v>6.07</v>
      </c>
      <c r="J545" s="17">
        <f t="shared" si="13"/>
        <v>0</v>
      </c>
      <c r="K545" s="17"/>
      <c r="L545" s="16" t="s">
        <v>18</v>
      </c>
      <c r="M545" s="16" t="s">
        <v>22</v>
      </c>
      <c r="N545" s="39"/>
    </row>
    <row r="546" spans="1:14" s="12" customFormat="1" ht="18">
      <c r="A546" s="178" t="s">
        <v>80</v>
      </c>
      <c r="B546" s="75" t="s">
        <v>387</v>
      </c>
      <c r="C546" s="176" t="s">
        <v>17</v>
      </c>
      <c r="D546" s="176"/>
      <c r="E546" s="176"/>
      <c r="F546" s="176"/>
      <c r="G546" s="176"/>
      <c r="H546" s="499">
        <f>SUM(Tabla132112415[[#This Row],[PRIMER TRIMESTRE]:[CUARTO TRIMESTRE]])</f>
        <v>0</v>
      </c>
      <c r="I546" s="17">
        <v>4.1100000000000003</v>
      </c>
      <c r="J546" s="17">
        <f t="shared" si="13"/>
        <v>0</v>
      </c>
      <c r="K546" s="17"/>
      <c r="L546" s="16" t="s">
        <v>18</v>
      </c>
      <c r="M546" s="16" t="s">
        <v>22</v>
      </c>
      <c r="N546" s="39"/>
    </row>
    <row r="547" spans="1:14" s="12" customFormat="1" ht="18">
      <c r="A547" s="178" t="s">
        <v>80</v>
      </c>
      <c r="B547" s="75" t="s">
        <v>388</v>
      </c>
      <c r="C547" s="176" t="s">
        <v>17</v>
      </c>
      <c r="D547" s="176"/>
      <c r="E547" s="176"/>
      <c r="F547" s="176"/>
      <c r="G547" s="176"/>
      <c r="H547" s="499">
        <f>SUM(Tabla132112415[[#This Row],[PRIMER TRIMESTRE]:[CUARTO TRIMESTRE]])</f>
        <v>0</v>
      </c>
      <c r="I547" s="17">
        <v>5.25</v>
      </c>
      <c r="J547" s="17">
        <f t="shared" si="13"/>
        <v>0</v>
      </c>
      <c r="K547" s="17"/>
      <c r="L547" s="16" t="s">
        <v>18</v>
      </c>
      <c r="M547" s="16" t="s">
        <v>22</v>
      </c>
      <c r="N547" s="39"/>
    </row>
    <row r="548" spans="1:14" s="12" customFormat="1" ht="18">
      <c r="A548" s="178" t="s">
        <v>80</v>
      </c>
      <c r="B548" s="75" t="s">
        <v>1567</v>
      </c>
      <c r="C548" s="176" t="s">
        <v>17</v>
      </c>
      <c r="D548" s="176"/>
      <c r="E548" s="176"/>
      <c r="F548" s="176"/>
      <c r="G548" s="176"/>
      <c r="H548" s="176">
        <f>SUM(Tabla132112415[[#This Row],[PRIMER TRIMESTRE]:[CUARTO TRIMESTRE]])</f>
        <v>0</v>
      </c>
      <c r="I548" s="17">
        <v>15</v>
      </c>
      <c r="J548" s="17">
        <f t="shared" si="13"/>
        <v>0</v>
      </c>
      <c r="K548" s="17"/>
      <c r="L548" s="16" t="s">
        <v>18</v>
      </c>
      <c r="M548" s="16" t="s">
        <v>22</v>
      </c>
      <c r="N548" s="39"/>
    </row>
    <row r="549" spans="1:14" s="12" customFormat="1" ht="18">
      <c r="A549" s="178" t="s">
        <v>80</v>
      </c>
      <c r="B549" s="75" t="s">
        <v>389</v>
      </c>
      <c r="C549" s="176" t="s">
        <v>17</v>
      </c>
      <c r="D549" s="176"/>
      <c r="E549" s="176"/>
      <c r="F549" s="176"/>
      <c r="G549" s="176"/>
      <c r="H549" s="499">
        <f>SUM(Tabla132112415[[#This Row],[PRIMER TRIMESTRE]:[CUARTO TRIMESTRE]])</f>
        <v>0</v>
      </c>
      <c r="I549" s="17">
        <v>11</v>
      </c>
      <c r="J549" s="17">
        <f t="shared" si="13"/>
        <v>0</v>
      </c>
      <c r="K549" s="17"/>
      <c r="L549" s="16" t="s">
        <v>18</v>
      </c>
      <c r="M549" s="16" t="s">
        <v>22</v>
      </c>
      <c r="N549" s="39"/>
    </row>
    <row r="550" spans="1:14" s="12" customFormat="1" ht="18">
      <c r="A550" s="178" t="s">
        <v>80</v>
      </c>
      <c r="B550" s="75" t="s">
        <v>1851</v>
      </c>
      <c r="C550" s="176" t="s">
        <v>17</v>
      </c>
      <c r="D550" s="176"/>
      <c r="E550" s="176"/>
      <c r="F550" s="176"/>
      <c r="G550" s="176"/>
      <c r="H550" s="499">
        <v>0</v>
      </c>
      <c r="I550" s="17">
        <v>0</v>
      </c>
      <c r="J550" s="17">
        <v>0</v>
      </c>
      <c r="K550" s="17"/>
      <c r="L550" s="16" t="s">
        <v>18</v>
      </c>
      <c r="M550" s="16" t="s">
        <v>22</v>
      </c>
      <c r="N550" s="39"/>
    </row>
    <row r="551" spans="1:14" s="12" customFormat="1" ht="25.5">
      <c r="A551" s="178" t="s">
        <v>80</v>
      </c>
      <c r="B551" s="75" t="s">
        <v>1716</v>
      </c>
      <c r="C551" s="176" t="s">
        <v>17</v>
      </c>
      <c r="D551" s="176"/>
      <c r="E551" s="176"/>
      <c r="F551" s="176"/>
      <c r="G551" s="176"/>
      <c r="H551" s="499">
        <v>0</v>
      </c>
      <c r="I551" s="17">
        <v>0</v>
      </c>
      <c r="J551" s="17">
        <v>0</v>
      </c>
      <c r="K551" s="17"/>
      <c r="L551" s="16" t="s">
        <v>18</v>
      </c>
      <c r="M551" s="16" t="s">
        <v>22</v>
      </c>
      <c r="N551" s="39"/>
    </row>
    <row r="552" spans="1:14" s="12" customFormat="1" ht="18">
      <c r="A552" s="178" t="s">
        <v>80</v>
      </c>
      <c r="B552" s="75" t="s">
        <v>1621</v>
      </c>
      <c r="C552" s="176" t="s">
        <v>17</v>
      </c>
      <c r="D552" s="176"/>
      <c r="E552" s="176"/>
      <c r="F552" s="176"/>
      <c r="G552" s="176"/>
      <c r="H552" s="176">
        <f>SUM(Tabla132112415[[#This Row],[PRIMER TRIMESTRE]:[CUARTO TRIMESTRE]])</f>
        <v>0</v>
      </c>
      <c r="I552" s="17">
        <v>6790</v>
      </c>
      <c r="J552" s="17">
        <f t="shared" si="13"/>
        <v>0</v>
      </c>
      <c r="K552" s="17"/>
      <c r="L552" s="16" t="s">
        <v>18</v>
      </c>
      <c r="M552" s="16" t="s">
        <v>22</v>
      </c>
      <c r="N552" s="39"/>
    </row>
    <row r="553" spans="1:14" s="12" customFormat="1" ht="18">
      <c r="A553" s="178" t="s">
        <v>80</v>
      </c>
      <c r="B553" s="75" t="s">
        <v>1482</v>
      </c>
      <c r="C553" s="176" t="s">
        <v>17</v>
      </c>
      <c r="D553" s="176"/>
      <c r="E553" s="176"/>
      <c r="F553" s="176"/>
      <c r="G553" s="176"/>
      <c r="H553" s="176">
        <f>SUM(Tabla132112415[[#This Row],[PRIMER TRIMESTRE]:[CUARTO TRIMESTRE]])</f>
        <v>0</v>
      </c>
      <c r="I553" s="17">
        <v>12500</v>
      </c>
      <c r="J553" s="17">
        <f t="shared" si="13"/>
        <v>0</v>
      </c>
      <c r="K553" s="17"/>
      <c r="L553" s="16" t="s">
        <v>18</v>
      </c>
      <c r="M553" s="16" t="s">
        <v>22</v>
      </c>
      <c r="N553" s="39"/>
    </row>
    <row r="554" spans="1:14" s="12" customFormat="1" ht="18">
      <c r="A554" s="178" t="s">
        <v>80</v>
      </c>
      <c r="B554" s="75" t="s">
        <v>1483</v>
      </c>
      <c r="C554" s="176" t="s">
        <v>17</v>
      </c>
      <c r="D554" s="176"/>
      <c r="E554" s="176"/>
      <c r="F554" s="176"/>
      <c r="G554" s="176"/>
      <c r="H554" s="176">
        <f>SUM(Tabla132112415[[#This Row],[PRIMER TRIMESTRE]:[CUARTO TRIMESTRE]])</f>
        <v>0</v>
      </c>
      <c r="I554" s="17">
        <v>11430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</row>
    <row r="555" spans="1:14" s="12" customFormat="1" ht="25.5">
      <c r="A555" s="178" t="s">
        <v>80</v>
      </c>
      <c r="B555" s="75" t="s">
        <v>1484</v>
      </c>
      <c r="C555" s="176" t="s">
        <v>17</v>
      </c>
      <c r="D555" s="176"/>
      <c r="E555" s="176"/>
      <c r="F555" s="176"/>
      <c r="G555" s="176"/>
      <c r="H555" s="176">
        <f>SUM(Tabla132112415[[#This Row],[PRIMER TRIMESTRE]:[CUARTO TRIMESTRE]])</f>
        <v>0</v>
      </c>
      <c r="I555" s="17">
        <v>18242</v>
      </c>
      <c r="J555" s="17">
        <f t="shared" si="13"/>
        <v>0</v>
      </c>
      <c r="K555" s="17"/>
      <c r="L555" s="16" t="s">
        <v>18</v>
      </c>
      <c r="M555" s="16" t="s">
        <v>22</v>
      </c>
      <c r="N555" s="39"/>
    </row>
    <row r="556" spans="1:14" s="12" customFormat="1" ht="25.5">
      <c r="A556" s="178" t="s">
        <v>80</v>
      </c>
      <c r="B556" s="75" t="s">
        <v>1485</v>
      </c>
      <c r="C556" s="176" t="s">
        <v>17</v>
      </c>
      <c r="D556" s="176"/>
      <c r="E556" s="176"/>
      <c r="F556" s="176"/>
      <c r="G556" s="176"/>
      <c r="H556" s="176">
        <f>SUM(Tabla132112415[[#This Row],[PRIMER TRIMESTRE]:[CUARTO TRIMESTRE]])</f>
        <v>0</v>
      </c>
      <c r="I556" s="17">
        <v>17900</v>
      </c>
      <c r="J556" s="17">
        <f t="shared" si="13"/>
        <v>0</v>
      </c>
      <c r="K556" s="17"/>
      <c r="L556" s="16" t="s">
        <v>18</v>
      </c>
      <c r="M556" s="16" t="s">
        <v>22</v>
      </c>
      <c r="N556" s="39"/>
    </row>
    <row r="557" spans="1:14" s="12" customFormat="1" ht="18">
      <c r="A557" s="178" t="s">
        <v>80</v>
      </c>
      <c r="B557" s="75" t="s">
        <v>1486</v>
      </c>
      <c r="C557" s="176" t="s">
        <v>17</v>
      </c>
      <c r="D557" s="176"/>
      <c r="E557" s="176"/>
      <c r="F557" s="176"/>
      <c r="G557" s="176"/>
      <c r="H557" s="176">
        <f>SUM(Tabla132112415[[#This Row],[PRIMER TRIMESTRE]:[CUARTO TRIMESTRE]])</f>
        <v>0</v>
      </c>
      <c r="I557" s="17">
        <v>16800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</row>
    <row r="558" spans="1:14" s="12" customFormat="1" ht="25.5">
      <c r="A558" s="178" t="s">
        <v>80</v>
      </c>
      <c r="B558" s="75" t="s">
        <v>1487</v>
      </c>
      <c r="C558" s="176" t="s">
        <v>17</v>
      </c>
      <c r="D558" s="176"/>
      <c r="E558" s="176"/>
      <c r="F558" s="176"/>
      <c r="G558" s="176"/>
      <c r="H558" s="176">
        <f>SUM(Tabla132112415[[#This Row],[PRIMER TRIMESTRE]:[CUARTO TRIMESTRE]])</f>
        <v>0</v>
      </c>
      <c r="I558" s="17">
        <v>12500</v>
      </c>
      <c r="J558" s="17">
        <f t="shared" si="13"/>
        <v>0</v>
      </c>
      <c r="K558" s="17"/>
      <c r="L558" s="16" t="s">
        <v>18</v>
      </c>
      <c r="M558" s="16" t="s">
        <v>22</v>
      </c>
      <c r="N558" s="39"/>
    </row>
    <row r="559" spans="1:14" s="12" customFormat="1" ht="25.5">
      <c r="A559" s="178" t="s">
        <v>80</v>
      </c>
      <c r="B559" s="75" t="s">
        <v>1488</v>
      </c>
      <c r="C559" s="176" t="s">
        <v>17</v>
      </c>
      <c r="D559" s="176"/>
      <c r="E559" s="176"/>
      <c r="F559" s="176"/>
      <c r="G559" s="176"/>
      <c r="H559" s="176">
        <f>SUM(Tabla132112415[[#This Row],[PRIMER TRIMESTRE]:[CUARTO TRIMESTRE]])</f>
        <v>0</v>
      </c>
      <c r="I559" s="17">
        <v>31500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</row>
    <row r="560" spans="1:14" s="12" customFormat="1" ht="25.5">
      <c r="A560" s="178" t="s">
        <v>1852</v>
      </c>
      <c r="B560" s="75" t="s">
        <v>1489</v>
      </c>
      <c r="C560" s="176" t="s">
        <v>17</v>
      </c>
      <c r="D560" s="176"/>
      <c r="E560" s="176"/>
      <c r="F560" s="176"/>
      <c r="G560" s="176"/>
      <c r="H560" s="499">
        <v>0</v>
      </c>
      <c r="I560" s="17">
        <v>0</v>
      </c>
      <c r="J560" s="17">
        <v>0</v>
      </c>
      <c r="K560" s="17"/>
      <c r="L560" s="16" t="s">
        <v>18</v>
      </c>
      <c r="M560" s="16" t="s">
        <v>22</v>
      </c>
      <c r="N560" s="39"/>
    </row>
    <row r="561" spans="1:14" s="12" customFormat="1" ht="25.5">
      <c r="A561" s="178" t="s">
        <v>80</v>
      </c>
      <c r="B561" s="75" t="s">
        <v>1489</v>
      </c>
      <c r="C561" s="176" t="s">
        <v>17</v>
      </c>
      <c r="D561" s="176"/>
      <c r="E561" s="176"/>
      <c r="F561" s="176"/>
      <c r="G561" s="176"/>
      <c r="H561" s="176">
        <f>SUM(Tabla132112415[[#This Row],[PRIMER TRIMESTRE]:[CUARTO TRIMESTRE]])</f>
        <v>0</v>
      </c>
      <c r="I561" s="17">
        <v>48500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</row>
    <row r="562" spans="1:14" s="12" customFormat="1" ht="25.5">
      <c r="A562" s="178" t="s">
        <v>80</v>
      </c>
      <c r="B562" s="75" t="s">
        <v>1490</v>
      </c>
      <c r="C562" s="176" t="s">
        <v>17</v>
      </c>
      <c r="D562" s="176"/>
      <c r="E562" s="176"/>
      <c r="F562" s="176"/>
      <c r="G562" s="176"/>
      <c r="H562" s="176">
        <f>SUM(Tabla132112415[[#This Row],[PRIMER TRIMESTRE]:[CUARTO TRIMESTRE]])</f>
        <v>0</v>
      </c>
      <c r="I562" s="17">
        <v>22260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</row>
    <row r="563" spans="1:14" s="12" customFormat="1" ht="25.5">
      <c r="A563" s="178" t="s">
        <v>80</v>
      </c>
      <c r="B563" s="75" t="s">
        <v>1491</v>
      </c>
      <c r="C563" s="176" t="s">
        <v>17</v>
      </c>
      <c r="D563" s="176"/>
      <c r="E563" s="176"/>
      <c r="F563" s="176"/>
      <c r="G563" s="176"/>
      <c r="H563" s="176">
        <f>SUM(Tabla132112415[[#This Row],[PRIMER TRIMESTRE]:[CUARTO TRIMESTRE]])</f>
        <v>0</v>
      </c>
      <c r="I563" s="17">
        <v>25500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</row>
    <row r="564" spans="1:14" s="12" customFormat="1" ht="25.5">
      <c r="A564" s="178" t="s">
        <v>80</v>
      </c>
      <c r="B564" s="75" t="s">
        <v>1492</v>
      </c>
      <c r="C564" s="176" t="s">
        <v>17</v>
      </c>
      <c r="D564" s="176"/>
      <c r="E564" s="176"/>
      <c r="F564" s="176"/>
      <c r="G564" s="176"/>
      <c r="H564" s="176">
        <f>SUM(Tabla132112415[[#This Row],[PRIMER TRIMESTRE]:[CUARTO TRIMESTRE]])</f>
        <v>0</v>
      </c>
      <c r="I564" s="17">
        <v>22600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</row>
    <row r="565" spans="1:14" s="12" customFormat="1" ht="25.5">
      <c r="A565" s="178" t="s">
        <v>80</v>
      </c>
      <c r="B565" s="75" t="s">
        <v>1493</v>
      </c>
      <c r="C565" s="176" t="s">
        <v>17</v>
      </c>
      <c r="D565" s="176"/>
      <c r="E565" s="176"/>
      <c r="F565" s="176"/>
      <c r="G565" s="176"/>
      <c r="H565" s="176">
        <f>SUM(Tabla132112415[[#This Row],[PRIMER TRIMESTRE]:[CUARTO TRIMESTRE]])</f>
        <v>0</v>
      </c>
      <c r="I565" s="17">
        <v>22350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</row>
    <row r="566" spans="1:14" s="12" customFormat="1" ht="38.25">
      <c r="A566" s="178" t="s">
        <v>80</v>
      </c>
      <c r="B566" s="75" t="s">
        <v>1494</v>
      </c>
      <c r="C566" s="176" t="s">
        <v>17</v>
      </c>
      <c r="D566" s="176"/>
      <c r="E566" s="176"/>
      <c r="F566" s="176"/>
      <c r="G566" s="176"/>
      <c r="H566" s="176">
        <f>SUM(Tabla132112415[[#This Row],[PRIMER TRIMESTRE]:[CUARTO TRIMESTRE]])</f>
        <v>0</v>
      </c>
      <c r="I566" s="17">
        <v>49500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</row>
    <row r="567" spans="1:14" s="12" customFormat="1" ht="38.25">
      <c r="A567" s="178" t="s">
        <v>80</v>
      </c>
      <c r="B567" s="75" t="s">
        <v>1495</v>
      </c>
      <c r="C567" s="176" t="s">
        <v>17</v>
      </c>
      <c r="D567" s="176"/>
      <c r="E567" s="176"/>
      <c r="F567" s="176"/>
      <c r="G567" s="176"/>
      <c r="H567" s="176">
        <f>SUM(Tabla132112415[[#This Row],[PRIMER TRIMESTRE]:[CUARTO TRIMESTRE]])</f>
        <v>0</v>
      </c>
      <c r="I567" s="17">
        <v>11200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</row>
    <row r="568" spans="1:14" s="12" customFormat="1" ht="38.25">
      <c r="A568" s="178" t="s">
        <v>80</v>
      </c>
      <c r="B568" s="75" t="s">
        <v>1496</v>
      </c>
      <c r="C568" s="176" t="s">
        <v>17</v>
      </c>
      <c r="D568" s="176"/>
      <c r="E568" s="176"/>
      <c r="F568" s="176"/>
      <c r="G568" s="176"/>
      <c r="H568" s="176">
        <f>SUM(Tabla132112415[[#This Row],[PRIMER TRIMESTRE]:[CUARTO TRIMESTRE]])</f>
        <v>0</v>
      </c>
      <c r="I568" s="17">
        <v>88000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</row>
    <row r="569" spans="1:14" s="12" customFormat="1" ht="25.5">
      <c r="A569" s="178" t="s">
        <v>80</v>
      </c>
      <c r="B569" s="75" t="s">
        <v>1497</v>
      </c>
      <c r="C569" s="176" t="s">
        <v>17</v>
      </c>
      <c r="D569" s="176"/>
      <c r="E569" s="176"/>
      <c r="F569" s="176"/>
      <c r="G569" s="176"/>
      <c r="H569" s="176">
        <f>SUM(Tabla132112415[[#This Row],[PRIMER TRIMESTRE]:[CUARTO TRIMESTRE]])</f>
        <v>0</v>
      </c>
      <c r="I569" s="17">
        <v>26500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</row>
    <row r="570" spans="1:14" s="12" customFormat="1" ht="25.5">
      <c r="A570" s="178" t="s">
        <v>80</v>
      </c>
      <c r="B570" s="75" t="s">
        <v>1498</v>
      </c>
      <c r="C570" s="176" t="s">
        <v>17</v>
      </c>
      <c r="D570" s="176"/>
      <c r="E570" s="176"/>
      <c r="F570" s="176"/>
      <c r="G570" s="176"/>
      <c r="H570" s="176">
        <f>SUM(Tabla132112415[[#This Row],[PRIMER TRIMESTRE]:[CUARTO TRIMESTRE]])</f>
        <v>0</v>
      </c>
      <c r="I570" s="17">
        <v>48500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</row>
    <row r="571" spans="1:14" s="12" customFormat="1" ht="18">
      <c r="A571" s="178" t="s">
        <v>80</v>
      </c>
      <c r="B571" s="75" t="s">
        <v>1499</v>
      </c>
      <c r="C571" s="176" t="s">
        <v>17</v>
      </c>
      <c r="D571" s="176"/>
      <c r="E571" s="176"/>
      <c r="F571" s="176"/>
      <c r="G571" s="176"/>
      <c r="H571" s="176">
        <f>SUM(Tabla132112415[[#This Row],[PRIMER TRIMESTRE]:[CUARTO TRIMESTRE]])</f>
        <v>0</v>
      </c>
      <c r="I571" s="17">
        <v>26500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</row>
    <row r="572" spans="1:14" s="12" customFormat="1" ht="25.5">
      <c r="A572" s="178" t="s">
        <v>80</v>
      </c>
      <c r="B572" s="75" t="s">
        <v>1500</v>
      </c>
      <c r="C572" s="176" t="s">
        <v>17</v>
      </c>
      <c r="D572" s="176"/>
      <c r="E572" s="176"/>
      <c r="F572" s="176"/>
      <c r="G572" s="176"/>
      <c r="H572" s="176">
        <f>SUM(Tabla132112415[[#This Row],[PRIMER TRIMESTRE]:[CUARTO TRIMESTRE]])</f>
        <v>0</v>
      </c>
      <c r="I572" s="17">
        <v>22700</v>
      </c>
      <c r="J572" s="17">
        <f t="shared" si="13"/>
        <v>0</v>
      </c>
      <c r="K572" s="17"/>
      <c r="L572" s="16" t="s">
        <v>18</v>
      </c>
      <c r="M572" s="16" t="s">
        <v>22</v>
      </c>
      <c r="N572" s="39"/>
    </row>
    <row r="573" spans="1:14" s="12" customFormat="1" ht="25.5">
      <c r="A573" s="178" t="s">
        <v>80</v>
      </c>
      <c r="B573" s="75" t="s">
        <v>1501</v>
      </c>
      <c r="C573" s="176" t="s">
        <v>17</v>
      </c>
      <c r="D573" s="176"/>
      <c r="E573" s="176"/>
      <c r="F573" s="176"/>
      <c r="G573" s="176"/>
      <c r="H573" s="176">
        <f>SUM(Tabla132112415[[#This Row],[PRIMER TRIMESTRE]:[CUARTO TRIMESTRE]])</f>
        <v>0</v>
      </c>
      <c r="I573" s="17">
        <v>3220</v>
      </c>
      <c r="J573" s="17">
        <f t="shared" si="13"/>
        <v>0</v>
      </c>
      <c r="K573" s="17"/>
      <c r="L573" s="16" t="s">
        <v>18</v>
      </c>
      <c r="M573" s="16" t="s">
        <v>22</v>
      </c>
      <c r="N573" s="39"/>
    </row>
    <row r="574" spans="1:14" s="12" customFormat="1" ht="18">
      <c r="A574" s="178" t="s">
        <v>80</v>
      </c>
      <c r="B574" s="75" t="s">
        <v>1534</v>
      </c>
      <c r="C574" s="176" t="s">
        <v>17</v>
      </c>
      <c r="D574" s="176"/>
      <c r="E574" s="176"/>
      <c r="F574" s="176"/>
      <c r="G574" s="176"/>
      <c r="H574" s="176">
        <f>SUM(Tabla132112415[[#This Row],[PRIMER TRIMESTRE]:[CUARTO TRIMESTRE]])</f>
        <v>0</v>
      </c>
      <c r="I574" s="17">
        <v>2380</v>
      </c>
      <c r="J574" s="17">
        <f t="shared" si="13"/>
        <v>0</v>
      </c>
      <c r="K574" s="17"/>
      <c r="L574" s="16" t="s">
        <v>18</v>
      </c>
      <c r="M574" s="16" t="s">
        <v>22</v>
      </c>
      <c r="N574" s="39"/>
    </row>
    <row r="575" spans="1:14" s="12" customFormat="1" ht="25.5">
      <c r="A575" s="178" t="s">
        <v>80</v>
      </c>
      <c r="B575" s="75" t="s">
        <v>1682</v>
      </c>
      <c r="C575" s="176" t="s">
        <v>17</v>
      </c>
      <c r="D575" s="176"/>
      <c r="E575" s="176"/>
      <c r="F575" s="176"/>
      <c r="G575" s="176"/>
      <c r="H575" s="499">
        <v>0</v>
      </c>
      <c r="I575" s="17">
        <v>0</v>
      </c>
      <c r="J575" s="17">
        <v>0</v>
      </c>
      <c r="K575" s="17"/>
      <c r="L575" s="16" t="s">
        <v>18</v>
      </c>
      <c r="M575" s="16" t="s">
        <v>22</v>
      </c>
      <c r="N575" s="39"/>
    </row>
    <row r="576" spans="1:14" s="12" customFormat="1" ht="38.25">
      <c r="A576" s="178" t="s">
        <v>80</v>
      </c>
      <c r="B576" s="75" t="s">
        <v>1502</v>
      </c>
      <c r="C576" s="176" t="s">
        <v>17</v>
      </c>
      <c r="D576" s="176"/>
      <c r="E576" s="176"/>
      <c r="F576" s="176"/>
      <c r="G576" s="176"/>
      <c r="H576" s="176">
        <f>SUM(Tabla132112415[[#This Row],[PRIMER TRIMESTRE]:[CUARTO TRIMESTRE]])</f>
        <v>0</v>
      </c>
      <c r="I576" s="17">
        <v>34440</v>
      </c>
      <c r="J576" s="17">
        <f t="shared" si="13"/>
        <v>0</v>
      </c>
      <c r="K576" s="17"/>
      <c r="L576" s="16" t="s">
        <v>18</v>
      </c>
      <c r="M576" s="16" t="s">
        <v>22</v>
      </c>
      <c r="N576" s="39"/>
    </row>
    <row r="577" spans="1:14" s="12" customFormat="1" ht="25.5">
      <c r="A577" s="178" t="s">
        <v>80</v>
      </c>
      <c r="B577" s="75" t="s">
        <v>1503</v>
      </c>
      <c r="C577" s="176" t="s">
        <v>17</v>
      </c>
      <c r="D577" s="176"/>
      <c r="E577" s="176"/>
      <c r="F577" s="176"/>
      <c r="G577" s="176"/>
      <c r="H577" s="176">
        <f>SUM(Tabla132112415[[#This Row],[PRIMER TRIMESTRE]:[CUARTO TRIMESTRE]])</f>
        <v>0</v>
      </c>
      <c r="I577" s="17">
        <v>2600</v>
      </c>
      <c r="J577" s="17">
        <f t="shared" si="13"/>
        <v>0</v>
      </c>
      <c r="K577" s="17"/>
      <c r="L577" s="16" t="s">
        <v>18</v>
      </c>
      <c r="M577" s="16" t="s">
        <v>22</v>
      </c>
      <c r="N577" s="39"/>
    </row>
    <row r="578" spans="1:14" s="12" customFormat="1" ht="18">
      <c r="A578" s="178" t="s">
        <v>80</v>
      </c>
      <c r="B578" s="75" t="s">
        <v>1504</v>
      </c>
      <c r="C578" s="176" t="s">
        <v>17</v>
      </c>
      <c r="D578" s="176"/>
      <c r="E578" s="176"/>
      <c r="F578" s="176"/>
      <c r="G578" s="176"/>
      <c r="H578" s="176">
        <f>SUM(Tabla132112415[[#This Row],[PRIMER TRIMESTRE]:[CUARTO TRIMESTRE]])</f>
        <v>0</v>
      </c>
      <c r="I578" s="17">
        <v>14280</v>
      </c>
      <c r="J578" s="17">
        <f t="shared" si="13"/>
        <v>0</v>
      </c>
      <c r="K578" s="17"/>
      <c r="L578" s="16" t="s">
        <v>18</v>
      </c>
      <c r="M578" s="16" t="s">
        <v>22</v>
      </c>
      <c r="N578" s="39"/>
    </row>
    <row r="579" spans="1:14" s="12" customFormat="1" ht="25.5">
      <c r="A579" s="178" t="s">
        <v>80</v>
      </c>
      <c r="B579" s="75" t="s">
        <v>1505</v>
      </c>
      <c r="C579" s="176" t="s">
        <v>17</v>
      </c>
      <c r="D579" s="176"/>
      <c r="E579" s="176"/>
      <c r="F579" s="176"/>
      <c r="G579" s="176"/>
      <c r="H579" s="176">
        <f>SUM(Tabla132112415[[#This Row],[PRIMER TRIMESTRE]:[CUARTO TRIMESTRE]])</f>
        <v>0</v>
      </c>
      <c r="I579" s="17">
        <v>15708</v>
      </c>
      <c r="J579" s="17">
        <f t="shared" si="13"/>
        <v>0</v>
      </c>
      <c r="K579" s="17"/>
      <c r="L579" s="16" t="s">
        <v>18</v>
      </c>
      <c r="M579" s="16" t="s">
        <v>22</v>
      </c>
      <c r="N579" s="39"/>
    </row>
    <row r="580" spans="1:14" s="12" customFormat="1" ht="38.25">
      <c r="A580" s="178" t="s">
        <v>80</v>
      </c>
      <c r="B580" s="75" t="s">
        <v>1506</v>
      </c>
      <c r="C580" s="176" t="s">
        <v>17</v>
      </c>
      <c r="D580" s="176"/>
      <c r="E580" s="176"/>
      <c r="F580" s="176"/>
      <c r="G580" s="176"/>
      <c r="H580" s="176">
        <f>SUM(Tabla132112415[[#This Row],[PRIMER TRIMESTRE]:[CUARTO TRIMESTRE]])</f>
        <v>0</v>
      </c>
      <c r="I580" s="17">
        <v>29481</v>
      </c>
      <c r="J580" s="17">
        <f t="shared" si="13"/>
        <v>0</v>
      </c>
      <c r="K580" s="17"/>
      <c r="L580" s="16" t="s">
        <v>18</v>
      </c>
      <c r="M580" s="16" t="s">
        <v>22</v>
      </c>
      <c r="N580" s="39"/>
    </row>
    <row r="581" spans="1:14" s="12" customFormat="1" ht="38.25">
      <c r="A581" s="178" t="s">
        <v>80</v>
      </c>
      <c r="B581" s="75" t="s">
        <v>1507</v>
      </c>
      <c r="C581" s="176" t="s">
        <v>17</v>
      </c>
      <c r="D581" s="176"/>
      <c r="E581" s="176"/>
      <c r="F581" s="176"/>
      <c r="G581" s="176"/>
      <c r="H581" s="176">
        <f>SUM(Tabla132112415[[#This Row],[PRIMER TRIMESTRE]:[CUARTO TRIMESTRE]])</f>
        <v>0</v>
      </c>
      <c r="I581" s="17">
        <v>29000</v>
      </c>
      <c r="J581" s="17">
        <f t="shared" si="13"/>
        <v>0</v>
      </c>
      <c r="K581" s="17"/>
      <c r="L581" s="16" t="s">
        <v>18</v>
      </c>
      <c r="M581" s="16" t="s">
        <v>22</v>
      </c>
      <c r="N581" s="39"/>
    </row>
    <row r="582" spans="1:14" s="12" customFormat="1" ht="38.25">
      <c r="A582" s="178" t="s">
        <v>80</v>
      </c>
      <c r="B582" s="75" t="s">
        <v>1592</v>
      </c>
      <c r="C582" s="176" t="s">
        <v>17</v>
      </c>
      <c r="D582" s="176"/>
      <c r="E582" s="176"/>
      <c r="F582" s="176"/>
      <c r="G582" s="176"/>
      <c r="H582" s="176">
        <f>SUM(Tabla132112415[[#This Row],[PRIMER TRIMESTRE]:[CUARTO TRIMESTRE]])</f>
        <v>0</v>
      </c>
      <c r="I582" s="17">
        <v>52242</v>
      </c>
      <c r="J582" s="17">
        <f t="shared" si="13"/>
        <v>0</v>
      </c>
      <c r="K582" s="17"/>
      <c r="L582" s="16" t="s">
        <v>18</v>
      </c>
      <c r="M582" s="16" t="s">
        <v>22</v>
      </c>
      <c r="N582" s="39"/>
    </row>
    <row r="583" spans="1:14" s="12" customFormat="1" ht="18">
      <c r="A583" s="178" t="s">
        <v>80</v>
      </c>
      <c r="B583" s="75" t="s">
        <v>1552</v>
      </c>
      <c r="C583" s="176" t="s">
        <v>17</v>
      </c>
      <c r="D583" s="176"/>
      <c r="E583" s="176"/>
      <c r="F583" s="176"/>
      <c r="G583" s="176"/>
      <c r="H583" s="176">
        <f>SUM(Tabla132112415[[#This Row],[PRIMER TRIMESTRE]:[CUARTO TRIMESTRE]])</f>
        <v>0</v>
      </c>
      <c r="I583" s="17">
        <v>28.8</v>
      </c>
      <c r="J583" s="17">
        <f t="shared" si="13"/>
        <v>0</v>
      </c>
      <c r="K583" s="17"/>
      <c r="L583" s="16" t="s">
        <v>18</v>
      </c>
      <c r="M583" s="16" t="s">
        <v>22</v>
      </c>
      <c r="N583" s="39"/>
    </row>
    <row r="584" spans="1:14" s="12" customFormat="1" ht="25.5">
      <c r="A584" s="178" t="s">
        <v>80</v>
      </c>
      <c r="B584" s="75" t="s">
        <v>663</v>
      </c>
      <c r="C584" s="176" t="s">
        <v>17</v>
      </c>
      <c r="D584" s="176"/>
      <c r="E584" s="176"/>
      <c r="F584" s="176"/>
      <c r="G584" s="176"/>
      <c r="H584" s="499">
        <f>SUM(Tabla132112415[[#This Row],[PRIMER TRIMESTRE]:[CUARTO TRIMESTRE]])</f>
        <v>0</v>
      </c>
      <c r="I584" s="72">
        <v>15930</v>
      </c>
      <c r="J584" s="17">
        <f t="shared" si="13"/>
        <v>0</v>
      </c>
      <c r="K584" s="17"/>
      <c r="L584" s="16" t="s">
        <v>18</v>
      </c>
      <c r="M584" s="16" t="s">
        <v>22</v>
      </c>
      <c r="N584" s="39"/>
    </row>
    <row r="585" spans="1:14" s="12" customFormat="1" ht="25.5">
      <c r="A585" s="178" t="s">
        <v>80</v>
      </c>
      <c r="B585" s="75" t="s">
        <v>662</v>
      </c>
      <c r="C585" s="176" t="s">
        <v>17</v>
      </c>
      <c r="D585" s="176"/>
      <c r="E585" s="176"/>
      <c r="F585" s="176"/>
      <c r="G585" s="176"/>
      <c r="H585" s="499">
        <f>SUM(Tabla132112415[[#This Row],[PRIMER TRIMESTRE]:[CUARTO TRIMESTRE]])</f>
        <v>0</v>
      </c>
      <c r="I585" s="72">
        <f>15500*1.18</f>
        <v>18290</v>
      </c>
      <c r="J585" s="17">
        <f t="shared" si="13"/>
        <v>0</v>
      </c>
      <c r="K585" s="17"/>
      <c r="L585" s="16" t="s">
        <v>18</v>
      </c>
      <c r="M585" s="16" t="s">
        <v>22</v>
      </c>
      <c r="N585" s="39"/>
    </row>
    <row r="586" spans="1:14" s="12" customFormat="1" ht="25.5">
      <c r="A586" s="178" t="s">
        <v>80</v>
      </c>
      <c r="B586" s="75" t="s">
        <v>664</v>
      </c>
      <c r="C586" s="176" t="s">
        <v>17</v>
      </c>
      <c r="D586" s="176"/>
      <c r="E586" s="176"/>
      <c r="F586" s="176"/>
      <c r="G586" s="176"/>
      <c r="H586" s="499">
        <f>SUM(Tabla132112415[[#This Row],[PRIMER TRIMESTRE]:[CUARTO TRIMESTRE]])</f>
        <v>0</v>
      </c>
      <c r="I586" s="72">
        <f>18500*1.18</f>
        <v>21830</v>
      </c>
      <c r="J586" s="17">
        <f t="shared" si="13"/>
        <v>0</v>
      </c>
      <c r="K586" s="17"/>
      <c r="L586" s="16" t="s">
        <v>18</v>
      </c>
      <c r="M586" s="16" t="s">
        <v>22</v>
      </c>
      <c r="N586" s="39"/>
    </row>
    <row r="587" spans="1:14" s="12" customFormat="1" ht="38.25">
      <c r="A587" s="178" t="s">
        <v>80</v>
      </c>
      <c r="B587" s="75" t="s">
        <v>672</v>
      </c>
      <c r="C587" s="176" t="s">
        <v>17</v>
      </c>
      <c r="D587" s="176"/>
      <c r="E587" s="176"/>
      <c r="F587" s="176"/>
      <c r="G587" s="176"/>
      <c r="H587" s="499">
        <f>SUM(Tabla132112415[[#This Row],[PRIMER TRIMESTRE]:[CUARTO TRIMESTRE]])</f>
        <v>0</v>
      </c>
      <c r="I587" s="72">
        <f>13800*1.18</f>
        <v>16284</v>
      </c>
      <c r="J587" s="17">
        <f t="shared" si="13"/>
        <v>0</v>
      </c>
      <c r="K587" s="17"/>
      <c r="L587" s="16" t="s">
        <v>18</v>
      </c>
      <c r="M587" s="16" t="s">
        <v>22</v>
      </c>
      <c r="N587" s="39"/>
    </row>
    <row r="588" spans="1:14" s="12" customFormat="1" ht="38.25">
      <c r="A588" s="178" t="s">
        <v>80</v>
      </c>
      <c r="B588" s="75" t="s">
        <v>665</v>
      </c>
      <c r="C588" s="176" t="s">
        <v>17</v>
      </c>
      <c r="D588" s="176"/>
      <c r="E588" s="176"/>
      <c r="F588" s="176"/>
      <c r="G588" s="176"/>
      <c r="H588" s="499">
        <f>SUM(Tabla132112415[[#This Row],[PRIMER TRIMESTRE]:[CUARTO TRIMESTRE]])</f>
        <v>0</v>
      </c>
      <c r="I588" s="17">
        <f>15950*1.18</f>
        <v>18821</v>
      </c>
      <c r="J588" s="17">
        <f t="shared" si="13"/>
        <v>0</v>
      </c>
      <c r="K588" s="17"/>
      <c r="L588" s="16" t="s">
        <v>18</v>
      </c>
      <c r="M588" s="16" t="s">
        <v>22</v>
      </c>
      <c r="N588" s="39"/>
    </row>
    <row r="589" spans="1:14" s="12" customFormat="1" ht="38.25">
      <c r="A589" s="178" t="s">
        <v>80</v>
      </c>
      <c r="B589" s="75" t="s">
        <v>666</v>
      </c>
      <c r="C589" s="176" t="s">
        <v>17</v>
      </c>
      <c r="D589" s="176"/>
      <c r="E589" s="176"/>
      <c r="F589" s="176"/>
      <c r="G589" s="176"/>
      <c r="H589" s="499">
        <f>SUM(Tabla132112415[[#This Row],[PRIMER TRIMESTRE]:[CUARTO TRIMESTRE]])</f>
        <v>0</v>
      </c>
      <c r="I589" s="17">
        <f>18950*1.18</f>
        <v>22361</v>
      </c>
      <c r="J589" s="17">
        <f t="shared" si="13"/>
        <v>0</v>
      </c>
      <c r="K589" s="17"/>
      <c r="L589" s="16" t="s">
        <v>18</v>
      </c>
      <c r="M589" s="16" t="s">
        <v>22</v>
      </c>
      <c r="N589" s="39"/>
    </row>
    <row r="590" spans="1:14" s="12" customFormat="1" ht="38.25">
      <c r="A590" s="178" t="s">
        <v>80</v>
      </c>
      <c r="B590" s="75" t="s">
        <v>667</v>
      </c>
      <c r="C590" s="176" t="s">
        <v>17</v>
      </c>
      <c r="D590" s="176"/>
      <c r="E590" s="176"/>
      <c r="F590" s="176"/>
      <c r="G590" s="176"/>
      <c r="H590" s="499">
        <f>SUM(Tabla132112415[[#This Row],[PRIMER TRIMESTRE]:[CUARTO TRIMESTRE]])</f>
        <v>0</v>
      </c>
      <c r="I590" s="17">
        <f>23500*1.18</f>
        <v>27730</v>
      </c>
      <c r="J590" s="17">
        <f t="shared" si="13"/>
        <v>0</v>
      </c>
      <c r="K590" s="17"/>
      <c r="L590" s="16" t="s">
        <v>18</v>
      </c>
      <c r="M590" s="16" t="s">
        <v>22</v>
      </c>
      <c r="N590" s="39"/>
    </row>
    <row r="591" spans="1:14" s="12" customFormat="1" ht="38.25">
      <c r="A591" s="178" t="s">
        <v>80</v>
      </c>
      <c r="B591" s="75" t="s">
        <v>668</v>
      </c>
      <c r="C591" s="176" t="s">
        <v>17</v>
      </c>
      <c r="D591" s="176"/>
      <c r="E591" s="176"/>
      <c r="F591" s="176"/>
      <c r="G591" s="176"/>
      <c r="H591" s="499">
        <f>SUM(Tabla132112415[[#This Row],[PRIMER TRIMESTRE]:[CUARTO TRIMESTRE]])</f>
        <v>0</v>
      </c>
      <c r="I591" s="17">
        <f>32800*1.18</f>
        <v>38704</v>
      </c>
      <c r="J591" s="17">
        <f t="shared" si="13"/>
        <v>0</v>
      </c>
      <c r="K591" s="17"/>
      <c r="L591" s="16" t="s">
        <v>18</v>
      </c>
      <c r="M591" s="16" t="s">
        <v>22</v>
      </c>
      <c r="N591" s="39"/>
    </row>
    <row r="592" spans="1:14" s="12" customFormat="1" ht="38.25">
      <c r="A592" s="178" t="s">
        <v>80</v>
      </c>
      <c r="B592" s="75" t="s">
        <v>669</v>
      </c>
      <c r="C592" s="176" t="s">
        <v>17</v>
      </c>
      <c r="D592" s="176"/>
      <c r="E592" s="176"/>
      <c r="F592" s="176"/>
      <c r="G592" s="176"/>
      <c r="H592" s="499">
        <f>SUM(Tabla132112415[[#This Row],[PRIMER TRIMESTRE]:[CUARTO TRIMESTRE]])</f>
        <v>0</v>
      </c>
      <c r="I592" s="17">
        <f>56500*1.18</f>
        <v>66670</v>
      </c>
      <c r="J592" s="17">
        <f t="shared" si="13"/>
        <v>0</v>
      </c>
      <c r="K592" s="17"/>
      <c r="L592" s="16" t="s">
        <v>18</v>
      </c>
      <c r="M592" s="16" t="s">
        <v>22</v>
      </c>
      <c r="N592" s="39"/>
    </row>
    <row r="593" spans="1:14" s="12" customFormat="1" ht="38.25">
      <c r="A593" s="178" t="s">
        <v>80</v>
      </c>
      <c r="B593" s="75" t="s">
        <v>670</v>
      </c>
      <c r="C593" s="176" t="s">
        <v>17</v>
      </c>
      <c r="D593" s="176"/>
      <c r="E593" s="176"/>
      <c r="F593" s="176"/>
      <c r="G593" s="176"/>
      <c r="H593" s="499">
        <f>SUM(Tabla132112415[[#This Row],[PRIMER TRIMESTRE]:[CUARTO TRIMESTRE]])</f>
        <v>0</v>
      </c>
      <c r="I593" s="17">
        <f>74000*1.18</f>
        <v>87320</v>
      </c>
      <c r="J593" s="17">
        <f t="shared" si="13"/>
        <v>0</v>
      </c>
      <c r="K593" s="17"/>
      <c r="L593" s="16" t="s">
        <v>18</v>
      </c>
      <c r="M593" s="16" t="s">
        <v>22</v>
      </c>
      <c r="N593" s="39"/>
    </row>
    <row r="594" spans="1:14" s="12" customFormat="1" ht="38.25">
      <c r="A594" s="178" t="s">
        <v>80</v>
      </c>
      <c r="B594" s="75" t="s">
        <v>671</v>
      </c>
      <c r="C594" s="176" t="s">
        <v>17</v>
      </c>
      <c r="D594" s="176"/>
      <c r="E594" s="176"/>
      <c r="F594" s="176"/>
      <c r="G594" s="176"/>
      <c r="H594" s="499">
        <f>SUM(Tabla132112415[[#This Row],[PRIMER TRIMESTRE]:[CUARTO TRIMESTRE]])</f>
        <v>0</v>
      </c>
      <c r="I594" s="17">
        <f>245000*1.18</f>
        <v>289100</v>
      </c>
      <c r="J594" s="17">
        <f t="shared" si="13"/>
        <v>0</v>
      </c>
      <c r="K594" s="17"/>
      <c r="L594" s="16" t="s">
        <v>18</v>
      </c>
      <c r="M594" s="16" t="s">
        <v>22</v>
      </c>
      <c r="N594" s="39"/>
    </row>
    <row r="595" spans="1:14" s="12" customFormat="1" ht="38.25">
      <c r="A595" s="178" t="s">
        <v>80</v>
      </c>
      <c r="B595" s="75" t="s">
        <v>676</v>
      </c>
      <c r="C595" s="176" t="s">
        <v>17</v>
      </c>
      <c r="D595" s="176"/>
      <c r="E595" s="176"/>
      <c r="F595" s="176"/>
      <c r="G595" s="176"/>
      <c r="H595" s="499">
        <f>SUM(Tabla132112415[[#This Row],[PRIMER TRIMESTRE]:[CUARTO TRIMESTRE]])</f>
        <v>0</v>
      </c>
      <c r="I595" s="17">
        <v>40200</v>
      </c>
      <c r="J595" s="17">
        <f t="shared" si="13"/>
        <v>0</v>
      </c>
      <c r="K595" s="17"/>
      <c r="L595" s="16" t="s">
        <v>18</v>
      </c>
      <c r="M595" s="16" t="s">
        <v>22</v>
      </c>
      <c r="N595" s="39"/>
    </row>
    <row r="596" spans="1:14" s="12" customFormat="1" ht="38.25">
      <c r="A596" s="178" t="s">
        <v>80</v>
      </c>
      <c r="B596" s="75" t="s">
        <v>677</v>
      </c>
      <c r="C596" s="176" t="s">
        <v>17</v>
      </c>
      <c r="D596" s="176"/>
      <c r="E596" s="176"/>
      <c r="F596" s="176"/>
      <c r="G596" s="176"/>
      <c r="H596" s="499">
        <f>SUM(Tabla132112415[[#This Row],[PRIMER TRIMESTRE]:[CUARTO TRIMESTRE]])</f>
        <v>0</v>
      </c>
      <c r="I596" s="17">
        <v>49500</v>
      </c>
      <c r="J596" s="17">
        <f t="shared" si="13"/>
        <v>0</v>
      </c>
      <c r="K596" s="17"/>
      <c r="L596" s="16" t="s">
        <v>18</v>
      </c>
      <c r="M596" s="16" t="s">
        <v>22</v>
      </c>
      <c r="N596" s="39"/>
    </row>
    <row r="597" spans="1:14" s="12" customFormat="1" ht="38.25">
      <c r="A597" s="178" t="s">
        <v>80</v>
      </c>
      <c r="B597" s="75" t="s">
        <v>678</v>
      </c>
      <c r="C597" s="176" t="s">
        <v>17</v>
      </c>
      <c r="D597" s="176"/>
      <c r="E597" s="176"/>
      <c r="F597" s="176"/>
      <c r="G597" s="176"/>
      <c r="H597" s="499">
        <f>SUM(Tabla132112415[[#This Row],[PRIMER TRIMESTRE]:[CUARTO TRIMESTRE]])</f>
        <v>0</v>
      </c>
      <c r="I597" s="17">
        <v>73250</v>
      </c>
      <c r="J597" s="17">
        <f t="shared" si="13"/>
        <v>0</v>
      </c>
      <c r="K597" s="17"/>
      <c r="L597" s="16" t="s">
        <v>18</v>
      </c>
      <c r="M597" s="16" t="s">
        <v>22</v>
      </c>
      <c r="N597" s="39"/>
    </row>
    <row r="598" spans="1:14" s="12" customFormat="1" ht="38.25">
      <c r="A598" s="178" t="s">
        <v>80</v>
      </c>
      <c r="B598" s="75" t="s">
        <v>679</v>
      </c>
      <c r="C598" s="176" t="s">
        <v>17</v>
      </c>
      <c r="D598" s="176"/>
      <c r="E598" s="176"/>
      <c r="F598" s="176"/>
      <c r="G598" s="176"/>
      <c r="H598" s="499">
        <f>SUM(Tabla132112415[[#This Row],[PRIMER TRIMESTRE]:[CUARTO TRIMESTRE]])</f>
        <v>0</v>
      </c>
      <c r="I598" s="72">
        <v>289000</v>
      </c>
      <c r="J598" s="17">
        <f t="shared" ref="J598:J623" si="14">+H598*I598</f>
        <v>0</v>
      </c>
      <c r="K598" s="17"/>
      <c r="L598" s="16" t="s">
        <v>18</v>
      </c>
      <c r="M598" s="16" t="s">
        <v>22</v>
      </c>
      <c r="N598" s="39"/>
    </row>
    <row r="599" spans="1:14" s="12" customFormat="1" ht="51">
      <c r="A599" s="178" t="s">
        <v>80</v>
      </c>
      <c r="B599" s="75" t="s">
        <v>680</v>
      </c>
      <c r="C599" s="176" t="s">
        <v>17</v>
      </c>
      <c r="D599" s="176"/>
      <c r="E599" s="176"/>
      <c r="F599" s="176"/>
      <c r="G599" s="176"/>
      <c r="H599" s="499">
        <f>SUM(Tabla132112415[[#This Row],[PRIMER TRIMESTRE]:[CUARTO TRIMESTRE]])</f>
        <v>0</v>
      </c>
      <c r="I599" s="72">
        <f>26800*1.18</f>
        <v>31624</v>
      </c>
      <c r="J599" s="17">
        <f t="shared" si="14"/>
        <v>0</v>
      </c>
      <c r="K599" s="17"/>
      <c r="L599" s="16" t="s">
        <v>18</v>
      </c>
      <c r="M599" s="16" t="s">
        <v>22</v>
      </c>
      <c r="N599" s="39"/>
    </row>
    <row r="600" spans="1:14" s="12" customFormat="1" ht="51">
      <c r="A600" s="178" t="s">
        <v>80</v>
      </c>
      <c r="B600" s="75" t="s">
        <v>681</v>
      </c>
      <c r="C600" s="176" t="s">
        <v>17</v>
      </c>
      <c r="D600" s="176"/>
      <c r="E600" s="176"/>
      <c r="F600" s="176"/>
      <c r="G600" s="176"/>
      <c r="H600" s="499">
        <f>SUM(Tabla132112415[[#This Row],[PRIMER TRIMESTRE]:[CUARTO TRIMESTRE]])</f>
        <v>0</v>
      </c>
      <c r="I600" s="17">
        <f>39500*1.18</f>
        <v>46610</v>
      </c>
      <c r="J600" s="17">
        <f t="shared" si="14"/>
        <v>0</v>
      </c>
      <c r="K600" s="17"/>
      <c r="L600" s="16" t="s">
        <v>18</v>
      </c>
      <c r="M600" s="16" t="s">
        <v>22</v>
      </c>
      <c r="N600" s="39"/>
    </row>
    <row r="601" spans="1:14" s="12" customFormat="1" ht="51">
      <c r="A601" s="178" t="s">
        <v>80</v>
      </c>
      <c r="B601" s="75" t="s">
        <v>683</v>
      </c>
      <c r="C601" s="176" t="s">
        <v>17</v>
      </c>
      <c r="D601" s="176"/>
      <c r="E601" s="176"/>
      <c r="F601" s="176"/>
      <c r="G601" s="176"/>
      <c r="H601" s="499">
        <f>SUM(Tabla132112415[[#This Row],[PRIMER TRIMESTRE]:[CUARTO TRIMESTRE]])</f>
        <v>0</v>
      </c>
      <c r="I601" s="72">
        <v>68487.199999999997</v>
      </c>
      <c r="J601" s="17">
        <f t="shared" si="14"/>
        <v>0</v>
      </c>
      <c r="K601" s="17"/>
      <c r="L601" s="16" t="s">
        <v>18</v>
      </c>
      <c r="M601" s="16" t="s">
        <v>22</v>
      </c>
      <c r="N601" s="39"/>
    </row>
    <row r="602" spans="1:14" s="12" customFormat="1" ht="51">
      <c r="A602" s="178" t="s">
        <v>80</v>
      </c>
      <c r="B602" s="75" t="s">
        <v>682</v>
      </c>
      <c r="C602" s="176" t="s">
        <v>17</v>
      </c>
      <c r="D602" s="176"/>
      <c r="E602" s="176"/>
      <c r="F602" s="176"/>
      <c r="G602" s="176"/>
      <c r="H602" s="499">
        <f>SUM(Tabla132112415[[#This Row],[PRIMER TRIMESTRE]:[CUARTO TRIMESTRE]])</f>
        <v>0</v>
      </c>
      <c r="I602" s="72">
        <v>304100</v>
      </c>
      <c r="J602" s="17">
        <f t="shared" si="14"/>
        <v>0</v>
      </c>
      <c r="K602" s="17"/>
      <c r="L602" s="16" t="s">
        <v>18</v>
      </c>
      <c r="M602" s="16" t="s">
        <v>22</v>
      </c>
      <c r="N602" s="39"/>
    </row>
    <row r="603" spans="1:14" s="12" customFormat="1" ht="25.5">
      <c r="A603" s="178" t="s">
        <v>80</v>
      </c>
      <c r="B603" s="75" t="s">
        <v>1720</v>
      </c>
      <c r="C603" s="176" t="s">
        <v>17</v>
      </c>
      <c r="D603" s="176"/>
      <c r="E603" s="176"/>
      <c r="F603" s="176"/>
      <c r="G603" s="176"/>
      <c r="H603" s="499">
        <v>0</v>
      </c>
      <c r="I603" s="72">
        <v>0</v>
      </c>
      <c r="J603" s="17">
        <v>0</v>
      </c>
      <c r="K603" s="17"/>
      <c r="L603" s="16" t="s">
        <v>18</v>
      </c>
      <c r="M603" s="16" t="s">
        <v>22</v>
      </c>
      <c r="N603" s="39"/>
    </row>
    <row r="604" spans="1:14" s="12" customFormat="1" ht="18">
      <c r="A604" s="178" t="s">
        <v>80</v>
      </c>
      <c r="B604" s="75" t="s">
        <v>635</v>
      </c>
      <c r="C604" s="176" t="s">
        <v>17</v>
      </c>
      <c r="D604" s="176"/>
      <c r="E604" s="176"/>
      <c r="F604" s="176"/>
      <c r="G604" s="176"/>
      <c r="H604" s="499">
        <f>SUM(Tabla132112415[[#This Row],[PRIMER TRIMESTRE]:[CUARTO TRIMESTRE]])</f>
        <v>0</v>
      </c>
      <c r="I604" s="17">
        <v>94400</v>
      </c>
      <c r="J604" s="17">
        <f t="shared" si="14"/>
        <v>0</v>
      </c>
      <c r="K604" s="17"/>
      <c r="L604" s="16" t="s">
        <v>18</v>
      </c>
      <c r="M604" s="16" t="s">
        <v>22</v>
      </c>
      <c r="N604" s="39"/>
    </row>
    <row r="605" spans="1:14" s="12" customFormat="1" ht="18">
      <c r="A605" s="178" t="s">
        <v>80</v>
      </c>
      <c r="B605" s="75" t="s">
        <v>636</v>
      </c>
      <c r="C605" s="176" t="s">
        <v>17</v>
      </c>
      <c r="D605" s="176"/>
      <c r="E605" s="176"/>
      <c r="F605" s="176"/>
      <c r="G605" s="176"/>
      <c r="H605" s="499">
        <f>SUM(Tabla132112415[[#This Row],[PRIMER TRIMESTRE]:[CUARTO TRIMESTRE]])</f>
        <v>0</v>
      </c>
      <c r="I605" s="17">
        <v>106200</v>
      </c>
      <c r="J605" s="17">
        <f t="shared" si="14"/>
        <v>0</v>
      </c>
      <c r="K605" s="17"/>
      <c r="L605" s="16" t="s">
        <v>18</v>
      </c>
      <c r="M605" s="16" t="s">
        <v>22</v>
      </c>
      <c r="N605" s="39"/>
    </row>
    <row r="606" spans="1:14" s="12" customFormat="1" ht="18">
      <c r="A606" s="178" t="s">
        <v>80</v>
      </c>
      <c r="B606" s="75" t="s">
        <v>637</v>
      </c>
      <c r="C606" s="176" t="s">
        <v>17</v>
      </c>
      <c r="D606" s="176"/>
      <c r="E606" s="176"/>
      <c r="F606" s="176"/>
      <c r="G606" s="176"/>
      <c r="H606" s="499">
        <f>SUM(Tabla132112415[[#This Row],[PRIMER TRIMESTRE]:[CUARTO TRIMESTRE]])</f>
        <v>0</v>
      </c>
      <c r="I606" s="17">
        <v>112100</v>
      </c>
      <c r="J606" s="17">
        <f t="shared" si="14"/>
        <v>0</v>
      </c>
      <c r="K606" s="17"/>
      <c r="L606" s="16" t="s">
        <v>18</v>
      </c>
      <c r="M606" s="16" t="s">
        <v>22</v>
      </c>
      <c r="N606" s="39"/>
    </row>
    <row r="607" spans="1:14" s="12" customFormat="1" ht="38.25">
      <c r="A607" s="178" t="s">
        <v>80</v>
      </c>
      <c r="B607" s="75" t="s">
        <v>685</v>
      </c>
      <c r="C607" s="176" t="s">
        <v>17</v>
      </c>
      <c r="D607" s="176"/>
      <c r="E607" s="176"/>
      <c r="F607" s="176"/>
      <c r="G607" s="176"/>
      <c r="H607" s="499">
        <f>SUM(Tabla132112415[[#This Row],[PRIMER TRIMESTRE]:[CUARTO TRIMESTRE]])</f>
        <v>0</v>
      </c>
      <c r="I607" s="17">
        <v>42480</v>
      </c>
      <c r="J607" s="17">
        <f t="shared" si="14"/>
        <v>0</v>
      </c>
      <c r="K607" s="17"/>
      <c r="L607" s="16" t="s">
        <v>18</v>
      </c>
      <c r="M607" s="16" t="s">
        <v>22</v>
      </c>
      <c r="N607" s="39"/>
    </row>
    <row r="608" spans="1:14" s="12" customFormat="1" ht="38.25">
      <c r="A608" s="178" t="s">
        <v>80</v>
      </c>
      <c r="B608" s="75" t="s">
        <v>686</v>
      </c>
      <c r="C608" s="176" t="s">
        <v>17</v>
      </c>
      <c r="D608" s="176"/>
      <c r="E608" s="176"/>
      <c r="F608" s="176"/>
      <c r="G608" s="176"/>
      <c r="H608" s="499">
        <f>SUM(Tabla132112415[[#This Row],[PRIMER TRIMESTRE]:[CUARTO TRIMESTRE]])</f>
        <v>0</v>
      </c>
      <c r="I608" s="17">
        <v>64900</v>
      </c>
      <c r="J608" s="17">
        <f t="shared" si="14"/>
        <v>0</v>
      </c>
      <c r="K608" s="17"/>
      <c r="L608" s="16" t="s">
        <v>18</v>
      </c>
      <c r="M608" s="16" t="s">
        <v>22</v>
      </c>
      <c r="N608" s="39"/>
    </row>
    <row r="609" spans="1:14" s="12" customFormat="1" ht="38.25">
      <c r="A609" s="178" t="s">
        <v>80</v>
      </c>
      <c r="B609" s="75" t="s">
        <v>687</v>
      </c>
      <c r="C609" s="176" t="s">
        <v>17</v>
      </c>
      <c r="D609" s="176"/>
      <c r="E609" s="176"/>
      <c r="F609" s="176"/>
      <c r="G609" s="176"/>
      <c r="H609" s="499">
        <f>SUM(Tabla132112415[[#This Row],[PRIMER TRIMESTRE]:[CUARTO TRIMESTRE]])</f>
        <v>0</v>
      </c>
      <c r="I609" s="17">
        <v>92040</v>
      </c>
      <c r="J609" s="17">
        <f t="shared" si="14"/>
        <v>0</v>
      </c>
      <c r="K609" s="17"/>
      <c r="L609" s="16" t="s">
        <v>18</v>
      </c>
      <c r="M609" s="16" t="s">
        <v>22</v>
      </c>
      <c r="N609" s="39"/>
    </row>
    <row r="610" spans="1:14" s="12" customFormat="1" ht="25.5">
      <c r="A610" s="178" t="s">
        <v>80</v>
      </c>
      <c r="B610" s="75" t="s">
        <v>688</v>
      </c>
      <c r="C610" s="176" t="s">
        <v>17</v>
      </c>
      <c r="D610" s="176"/>
      <c r="E610" s="176"/>
      <c r="F610" s="176"/>
      <c r="G610" s="176"/>
      <c r="H610" s="499">
        <f>SUM(Tabla132112415[[#This Row],[PRIMER TRIMESTRE]:[CUARTO TRIMESTRE]])</f>
        <v>0</v>
      </c>
      <c r="I610" s="17">
        <v>6377.7</v>
      </c>
      <c r="J610" s="17">
        <f t="shared" si="14"/>
        <v>0</v>
      </c>
      <c r="K610" s="17"/>
      <c r="L610" s="16" t="s">
        <v>18</v>
      </c>
      <c r="M610" s="16" t="s">
        <v>22</v>
      </c>
      <c r="N610" s="39"/>
    </row>
    <row r="611" spans="1:14" s="12" customFormat="1" ht="25.5">
      <c r="A611" s="178" t="s">
        <v>80</v>
      </c>
      <c r="B611" s="75" t="s">
        <v>689</v>
      </c>
      <c r="C611" s="176" t="s">
        <v>17</v>
      </c>
      <c r="D611" s="176"/>
      <c r="E611" s="176"/>
      <c r="F611" s="176"/>
      <c r="G611" s="176"/>
      <c r="H611" s="499">
        <f>SUM(Tabla132112415[[#This Row],[PRIMER TRIMESTRE]:[CUARTO TRIMESTRE]])</f>
        <v>0</v>
      </c>
      <c r="I611" s="72">
        <v>6769.1</v>
      </c>
      <c r="J611" s="17">
        <f t="shared" si="14"/>
        <v>0</v>
      </c>
      <c r="K611" s="17"/>
      <c r="L611" s="16" t="s">
        <v>18</v>
      </c>
      <c r="M611" s="16" t="s">
        <v>22</v>
      </c>
      <c r="N611" s="39"/>
    </row>
    <row r="612" spans="1:14" s="12" customFormat="1" ht="25.5">
      <c r="A612" s="178" t="s">
        <v>80</v>
      </c>
      <c r="B612" s="75" t="s">
        <v>690</v>
      </c>
      <c r="C612" s="176" t="s">
        <v>17</v>
      </c>
      <c r="D612" s="176"/>
      <c r="E612" s="176"/>
      <c r="F612" s="176"/>
      <c r="G612" s="176"/>
      <c r="H612" s="499">
        <f>SUM(Tabla132112415[[#This Row],[PRIMER TRIMESTRE]:[CUARTO TRIMESTRE]])</f>
        <v>0</v>
      </c>
      <c r="I612" s="72">
        <v>6890.2</v>
      </c>
      <c r="J612" s="17">
        <f t="shared" si="14"/>
        <v>0</v>
      </c>
      <c r="K612" s="17"/>
      <c r="L612" s="16" t="s">
        <v>18</v>
      </c>
      <c r="M612" s="16" t="s">
        <v>22</v>
      </c>
      <c r="N612" s="39"/>
    </row>
    <row r="613" spans="1:14" s="12" customFormat="1" ht="25.5">
      <c r="A613" s="178" t="s">
        <v>80</v>
      </c>
      <c r="B613" s="75" t="s">
        <v>905</v>
      </c>
      <c r="C613" s="176" t="s">
        <v>17</v>
      </c>
      <c r="D613" s="176"/>
      <c r="E613" s="176"/>
      <c r="F613" s="176"/>
      <c r="G613" s="176"/>
      <c r="H613" s="499">
        <f>SUM(Tabla132112415[[#This Row],[PRIMER TRIMESTRE]:[CUARTO TRIMESTRE]])</f>
        <v>0</v>
      </c>
      <c r="I613" s="72">
        <f>+I612*1.15</f>
        <v>7923.73</v>
      </c>
      <c r="J613" s="17">
        <f t="shared" si="14"/>
        <v>0</v>
      </c>
      <c r="K613" s="17"/>
      <c r="L613" s="16" t="s">
        <v>18</v>
      </c>
      <c r="M613" s="16" t="s">
        <v>22</v>
      </c>
      <c r="N613" s="39"/>
    </row>
    <row r="614" spans="1:14" s="12" customFormat="1" ht="25.5">
      <c r="A614" s="178" t="s">
        <v>80</v>
      </c>
      <c r="B614" s="75" t="s">
        <v>691</v>
      </c>
      <c r="C614" s="176" t="s">
        <v>17</v>
      </c>
      <c r="D614" s="176"/>
      <c r="E614" s="176"/>
      <c r="F614" s="176"/>
      <c r="G614" s="176"/>
      <c r="H614" s="499">
        <f>SUM(Tabla132112415[[#This Row],[PRIMER TRIMESTRE]:[CUARTO TRIMESTRE]])</f>
        <v>0</v>
      </c>
      <c r="I614" s="72">
        <f>2500*1.18</f>
        <v>2950</v>
      </c>
      <c r="J614" s="17">
        <f t="shared" si="14"/>
        <v>0</v>
      </c>
      <c r="K614" s="17"/>
      <c r="L614" s="16" t="s">
        <v>18</v>
      </c>
      <c r="M614" s="16" t="s">
        <v>22</v>
      </c>
      <c r="N614" s="39"/>
    </row>
    <row r="615" spans="1:14" s="12" customFormat="1" ht="25.5">
      <c r="A615" s="178" t="s">
        <v>80</v>
      </c>
      <c r="B615" s="75" t="s">
        <v>692</v>
      </c>
      <c r="C615" s="176" t="s">
        <v>17</v>
      </c>
      <c r="D615" s="176"/>
      <c r="E615" s="176"/>
      <c r="F615" s="176"/>
      <c r="G615" s="176"/>
      <c r="H615" s="499">
        <f>SUM(Tabla132112415[[#This Row],[PRIMER TRIMESTRE]:[CUARTO TRIMESTRE]])</f>
        <v>0</v>
      </c>
      <c r="I615" s="72">
        <v>20380.96</v>
      </c>
      <c r="J615" s="17">
        <f t="shared" si="14"/>
        <v>0</v>
      </c>
      <c r="K615" s="17"/>
      <c r="L615" s="16" t="s">
        <v>18</v>
      </c>
      <c r="M615" s="16" t="s">
        <v>22</v>
      </c>
      <c r="N615" s="39"/>
    </row>
    <row r="616" spans="1:14" s="12" customFormat="1" ht="25.5">
      <c r="A616" s="178" t="s">
        <v>80</v>
      </c>
      <c r="B616" s="75" t="s">
        <v>693</v>
      </c>
      <c r="C616" s="176" t="s">
        <v>17</v>
      </c>
      <c r="D616" s="176"/>
      <c r="E616" s="176"/>
      <c r="F616" s="176"/>
      <c r="G616" s="176"/>
      <c r="H616" s="499">
        <f>SUM(Tabla132112415[[#This Row],[PRIMER TRIMESTRE]:[CUARTO TRIMESTRE]])</f>
        <v>0</v>
      </c>
      <c r="I616" s="72">
        <v>29236.86</v>
      </c>
      <c r="J616" s="17">
        <f t="shared" si="14"/>
        <v>0</v>
      </c>
      <c r="K616" s="17"/>
      <c r="L616" s="16" t="s">
        <v>18</v>
      </c>
      <c r="M616" s="16" t="s">
        <v>22</v>
      </c>
      <c r="N616" s="39"/>
    </row>
    <row r="617" spans="1:14" s="12" customFormat="1" ht="18">
      <c r="A617" s="178" t="s">
        <v>80</v>
      </c>
      <c r="B617" s="75" t="s">
        <v>454</v>
      </c>
      <c r="C617" s="176" t="s">
        <v>17</v>
      </c>
      <c r="D617" s="176"/>
      <c r="E617" s="176"/>
      <c r="F617" s="176"/>
      <c r="G617" s="176"/>
      <c r="H617" s="499">
        <f>SUM(Tabla132112415[[#This Row],[PRIMER TRIMESTRE]:[CUARTO TRIMESTRE]])</f>
        <v>0</v>
      </c>
      <c r="I617" s="72">
        <v>236</v>
      </c>
      <c r="J617" s="17">
        <f t="shared" si="14"/>
        <v>0</v>
      </c>
      <c r="K617" s="17"/>
      <c r="L617" s="16" t="s">
        <v>18</v>
      </c>
      <c r="M617" s="16" t="s">
        <v>22</v>
      </c>
      <c r="N617" s="39"/>
    </row>
    <row r="618" spans="1:14" s="12" customFormat="1" ht="18">
      <c r="A618" s="178" t="s">
        <v>80</v>
      </c>
      <c r="B618" s="75" t="s">
        <v>455</v>
      </c>
      <c r="C618" s="176" t="s">
        <v>17</v>
      </c>
      <c r="D618" s="176"/>
      <c r="E618" s="176"/>
      <c r="F618" s="176"/>
      <c r="G618" s="176"/>
      <c r="H618" s="499">
        <f>SUM(Tabla132112415[[#This Row],[PRIMER TRIMESTRE]:[CUARTO TRIMESTRE]])</f>
        <v>0</v>
      </c>
      <c r="I618" s="72">
        <v>344.56</v>
      </c>
      <c r="J618" s="17">
        <f t="shared" si="14"/>
        <v>0</v>
      </c>
      <c r="K618" s="17"/>
      <c r="L618" s="16" t="s">
        <v>18</v>
      </c>
      <c r="M618" s="16" t="s">
        <v>22</v>
      </c>
      <c r="N618" s="39"/>
    </row>
    <row r="619" spans="1:14" s="12" customFormat="1" ht="18">
      <c r="A619" s="178" t="s">
        <v>80</v>
      </c>
      <c r="B619" s="75" t="s">
        <v>456</v>
      </c>
      <c r="C619" s="176" t="s">
        <v>17</v>
      </c>
      <c r="D619" s="176"/>
      <c r="E619" s="176"/>
      <c r="F619" s="176"/>
      <c r="G619" s="176"/>
      <c r="H619" s="499">
        <f>SUM(Tabla132112415[[#This Row],[PRIMER TRIMESTRE]:[CUARTO TRIMESTRE]])</f>
        <v>0</v>
      </c>
      <c r="I619" s="72">
        <v>499.14</v>
      </c>
      <c r="J619" s="17">
        <f t="shared" si="14"/>
        <v>0</v>
      </c>
      <c r="K619" s="17"/>
      <c r="L619" s="16" t="s">
        <v>18</v>
      </c>
      <c r="M619" s="16" t="s">
        <v>22</v>
      </c>
      <c r="N619" s="39"/>
    </row>
    <row r="620" spans="1:14" s="12" customFormat="1" ht="18">
      <c r="A620" s="178" t="s">
        <v>80</v>
      </c>
      <c r="B620" s="75" t="s">
        <v>457</v>
      </c>
      <c r="C620" s="176" t="s">
        <v>17</v>
      </c>
      <c r="D620" s="176"/>
      <c r="E620" s="176"/>
      <c r="F620" s="176"/>
      <c r="G620" s="176"/>
      <c r="H620" s="499">
        <f>SUM(Tabla132112415[[#This Row],[PRIMER TRIMESTRE]:[CUARTO TRIMESTRE]])</f>
        <v>0</v>
      </c>
      <c r="I620" s="72">
        <v>1598.9</v>
      </c>
      <c r="J620" s="17">
        <f t="shared" si="14"/>
        <v>0</v>
      </c>
      <c r="K620" s="17"/>
      <c r="L620" s="17" t="s">
        <v>18</v>
      </c>
      <c r="M620" s="16" t="s">
        <v>22</v>
      </c>
      <c r="N620" s="39"/>
    </row>
    <row r="621" spans="1:14" s="12" customFormat="1" ht="18">
      <c r="A621" s="178" t="s">
        <v>80</v>
      </c>
      <c r="B621" s="75" t="s">
        <v>458</v>
      </c>
      <c r="C621" s="176" t="s">
        <v>17</v>
      </c>
      <c r="D621" s="176"/>
      <c r="E621" s="176"/>
      <c r="F621" s="176"/>
      <c r="G621" s="176"/>
      <c r="H621" s="499">
        <f>SUM(Tabla132112415[[#This Row],[PRIMER TRIMESTRE]:[CUARTO TRIMESTRE]])</f>
        <v>0</v>
      </c>
      <c r="I621" s="72">
        <v>1849.06</v>
      </c>
      <c r="J621" s="17">
        <f t="shared" si="14"/>
        <v>0</v>
      </c>
      <c r="K621" s="17"/>
      <c r="L621" s="17" t="s">
        <v>18</v>
      </c>
      <c r="M621" s="16" t="s">
        <v>22</v>
      </c>
      <c r="N621" s="39"/>
    </row>
    <row r="622" spans="1:14" s="26" customFormat="1" ht="18">
      <c r="A622" s="178" t="s">
        <v>80</v>
      </c>
      <c r="B622" s="75" t="s">
        <v>801</v>
      </c>
      <c r="C622" s="176" t="s">
        <v>17</v>
      </c>
      <c r="D622" s="176"/>
      <c r="E622" s="176"/>
      <c r="F622" s="176"/>
      <c r="G622" s="176"/>
      <c r="H622" s="499">
        <f>SUM(Tabla132112415[[#This Row],[PRIMER TRIMESTRE]:[CUARTO TRIMESTRE]])</f>
        <v>0</v>
      </c>
      <c r="I622" s="72">
        <v>5444</v>
      </c>
      <c r="J622" s="17">
        <f t="shared" si="14"/>
        <v>0</v>
      </c>
      <c r="K622" s="17"/>
      <c r="L622" s="17" t="s">
        <v>18</v>
      </c>
      <c r="M622" s="16" t="s">
        <v>22</v>
      </c>
      <c r="N622" s="39"/>
    </row>
    <row r="623" spans="1:14" s="12" customFormat="1" ht="18">
      <c r="A623" s="178" t="s">
        <v>80</v>
      </c>
      <c r="B623" s="75" t="s">
        <v>802</v>
      </c>
      <c r="C623" s="176" t="s">
        <v>17</v>
      </c>
      <c r="D623" s="176"/>
      <c r="E623" s="176"/>
      <c r="F623" s="176"/>
      <c r="G623" s="176"/>
      <c r="H623" s="499">
        <f>SUM(Tabla132112415[[#This Row],[PRIMER TRIMESTRE]:[CUARTO TRIMESTRE]])</f>
        <v>0</v>
      </c>
      <c r="I623" s="72">
        <v>6844</v>
      </c>
      <c r="J623" s="17">
        <f t="shared" si="14"/>
        <v>0</v>
      </c>
      <c r="K623" s="17"/>
      <c r="L623" s="17" t="s">
        <v>18</v>
      </c>
      <c r="M623" s="16" t="s">
        <v>22</v>
      </c>
      <c r="N623" s="39"/>
    </row>
    <row r="624" spans="1:14" s="12" customFormat="1" ht="18">
      <c r="A624" s="179" t="s">
        <v>80</v>
      </c>
      <c r="B624" s="76"/>
      <c r="C624" s="492"/>
      <c r="D624" s="492"/>
      <c r="E624" s="492"/>
      <c r="F624" s="492"/>
      <c r="G624" s="492"/>
      <c r="H624" s="496"/>
      <c r="I624" s="24"/>
      <c r="J624" s="24"/>
      <c r="K624" s="25">
        <f>SUM(J247:J623)</f>
        <v>3329396.06</v>
      </c>
      <c r="L624" s="23"/>
      <c r="M624" s="23"/>
      <c r="N624" s="42"/>
    </row>
    <row r="625" spans="1:14" s="12" customFormat="1" ht="18">
      <c r="A625" s="178" t="s">
        <v>81</v>
      </c>
      <c r="B625" s="75" t="s">
        <v>207</v>
      </c>
      <c r="C625" s="176" t="s">
        <v>33</v>
      </c>
      <c r="D625" s="176">
        <v>2250</v>
      </c>
      <c r="E625" s="176">
        <v>2250</v>
      </c>
      <c r="F625" s="176">
        <v>2250</v>
      </c>
      <c r="G625" s="176">
        <v>2250</v>
      </c>
      <c r="H625" s="499">
        <f>SUM(Tabla132112415[[#This Row],[PRIMER TRIMESTRE]:[CUARTO TRIMESTRE]])</f>
        <v>9000</v>
      </c>
      <c r="I625" s="17">
        <v>871.93</v>
      </c>
      <c r="J625" s="17">
        <f>+Tabla132112415[[#This Row],[CANTIDAD TOTAL]]*Tabla132112415[[#This Row],[PRECIO UNITARIO ESTIMADO]]</f>
        <v>7847370</v>
      </c>
      <c r="K625" s="17"/>
      <c r="L625" s="17" t="s">
        <v>18</v>
      </c>
      <c r="M625" s="16" t="s">
        <v>22</v>
      </c>
      <c r="N625" s="39" t="s">
        <v>418</v>
      </c>
    </row>
    <row r="626" spans="1:14" s="12" customFormat="1" ht="18">
      <c r="A626" s="178" t="s">
        <v>81</v>
      </c>
      <c r="B626" s="75" t="s">
        <v>1279</v>
      </c>
      <c r="C626" s="176" t="s">
        <v>33</v>
      </c>
      <c r="D626" s="176">
        <v>1500</v>
      </c>
      <c r="E626" s="176">
        <v>1500</v>
      </c>
      <c r="F626" s="176">
        <v>1500</v>
      </c>
      <c r="G626" s="176">
        <v>1500</v>
      </c>
      <c r="H626" s="499">
        <f>SUM(Tabla132112415[[#This Row],[PRIMER TRIMESTRE]:[CUARTO TRIMESTRE]])</f>
        <v>6000</v>
      </c>
      <c r="I626" s="17">
        <v>871.93</v>
      </c>
      <c r="J626" s="17">
        <f t="shared" ref="J626:J632" si="15">+H626*I626</f>
        <v>5231580</v>
      </c>
      <c r="K626" s="17"/>
      <c r="L626" s="17" t="s">
        <v>18</v>
      </c>
      <c r="M626" s="16" t="s">
        <v>22</v>
      </c>
      <c r="N626" s="39" t="s">
        <v>418</v>
      </c>
    </row>
    <row r="627" spans="1:14" s="12" customFormat="1" ht="18">
      <c r="A627" s="178" t="s">
        <v>81</v>
      </c>
      <c r="B627" s="75" t="s">
        <v>1424</v>
      </c>
      <c r="C627" s="176" t="s">
        <v>33</v>
      </c>
      <c r="D627" s="176">
        <v>1000</v>
      </c>
      <c r="E627" s="176">
        <v>1000</v>
      </c>
      <c r="F627" s="176">
        <v>1000</v>
      </c>
      <c r="G627" s="176">
        <v>1000</v>
      </c>
      <c r="H627" s="499">
        <f>SUM(Tabla132112415[[#This Row],[PRIMER TRIMESTRE]:[CUARTO TRIMESTRE]])</f>
        <v>4000</v>
      </c>
      <c r="I627" s="17">
        <v>871.93</v>
      </c>
      <c r="J627" s="17">
        <f t="shared" si="15"/>
        <v>3487720</v>
      </c>
      <c r="K627" s="17"/>
      <c r="L627" s="17" t="s">
        <v>18</v>
      </c>
      <c r="M627" s="16" t="s">
        <v>22</v>
      </c>
      <c r="N627" s="39" t="s">
        <v>418</v>
      </c>
    </row>
    <row r="628" spans="1:14" s="12" customFormat="1" ht="18">
      <c r="A628" s="178" t="s">
        <v>81</v>
      </c>
      <c r="B628" s="75" t="s">
        <v>1347</v>
      </c>
      <c r="C628" s="176" t="s">
        <v>33</v>
      </c>
      <c r="D628" s="176">
        <v>500</v>
      </c>
      <c r="E628" s="176">
        <v>500</v>
      </c>
      <c r="F628" s="176">
        <v>500</v>
      </c>
      <c r="G628" s="176">
        <v>500</v>
      </c>
      <c r="H628" s="499">
        <f>SUM(Tabla132112415[[#This Row],[PRIMER TRIMESTRE]:[CUARTO TRIMESTRE]])</f>
        <v>2000</v>
      </c>
      <c r="I628" s="17">
        <v>767</v>
      </c>
      <c r="J628" s="17">
        <f t="shared" si="15"/>
        <v>1534000</v>
      </c>
      <c r="K628" s="17"/>
      <c r="L628" s="17" t="s">
        <v>18</v>
      </c>
      <c r="M628" s="16" t="s">
        <v>22</v>
      </c>
      <c r="N628" s="39" t="s">
        <v>418</v>
      </c>
    </row>
    <row r="629" spans="1:14" s="12" customFormat="1" ht="18">
      <c r="A629" s="178" t="s">
        <v>81</v>
      </c>
      <c r="B629" s="75" t="s">
        <v>1280</v>
      </c>
      <c r="C629" s="176" t="s">
        <v>33</v>
      </c>
      <c r="D629" s="176">
        <v>2000</v>
      </c>
      <c r="E629" s="176">
        <v>2000</v>
      </c>
      <c r="F629" s="176">
        <v>2000</v>
      </c>
      <c r="G629" s="176">
        <v>2000</v>
      </c>
      <c r="H629" s="499">
        <f>SUM(Tabla132112415[[#This Row],[PRIMER TRIMESTRE]:[CUARTO TRIMESTRE]])</f>
        <v>8000</v>
      </c>
      <c r="I629" s="17">
        <v>871.93</v>
      </c>
      <c r="J629" s="17">
        <f t="shared" si="15"/>
        <v>6975440</v>
      </c>
      <c r="K629" s="17"/>
      <c r="L629" s="17" t="s">
        <v>18</v>
      </c>
      <c r="M629" s="16" t="s">
        <v>22</v>
      </c>
      <c r="N629" s="39" t="s">
        <v>418</v>
      </c>
    </row>
    <row r="630" spans="1:14" s="12" customFormat="1" ht="18">
      <c r="A630" s="178" t="s">
        <v>81</v>
      </c>
      <c r="B630" s="75" t="s">
        <v>1345</v>
      </c>
      <c r="C630" s="176" t="s">
        <v>33</v>
      </c>
      <c r="D630" s="176">
        <v>500</v>
      </c>
      <c r="E630" s="176">
        <v>500</v>
      </c>
      <c r="F630" s="176">
        <v>500</v>
      </c>
      <c r="G630" s="176">
        <v>500</v>
      </c>
      <c r="H630" s="499">
        <f>SUM(Tabla132112415[[#This Row],[PRIMER TRIMESTRE]:[CUARTO TRIMESTRE]])</f>
        <v>2000</v>
      </c>
      <c r="I630" s="17">
        <v>350</v>
      </c>
      <c r="J630" s="17">
        <f t="shared" si="15"/>
        <v>700000</v>
      </c>
      <c r="K630" s="17"/>
      <c r="L630" s="17" t="s">
        <v>18</v>
      </c>
      <c r="M630" s="16" t="s">
        <v>22</v>
      </c>
      <c r="N630" s="39" t="s">
        <v>418</v>
      </c>
    </row>
    <row r="631" spans="1:14" s="26" customFormat="1" ht="18">
      <c r="A631" s="178" t="s">
        <v>81</v>
      </c>
      <c r="B631" s="75" t="s">
        <v>1425</v>
      </c>
      <c r="C631" s="176" t="s">
        <v>33</v>
      </c>
      <c r="D631" s="176">
        <v>1000</v>
      </c>
      <c r="E631" s="176">
        <v>1000</v>
      </c>
      <c r="F631" s="176">
        <v>1000</v>
      </c>
      <c r="G631" s="176">
        <v>1000</v>
      </c>
      <c r="H631" s="499">
        <f>SUM(Tabla132112415[[#This Row],[PRIMER TRIMESTRE]:[CUARTO TRIMESTRE]])</f>
        <v>4000</v>
      </c>
      <c r="I631" s="17">
        <v>863.54</v>
      </c>
      <c r="J631" s="17">
        <f t="shared" si="15"/>
        <v>3454160</v>
      </c>
      <c r="K631" s="17"/>
      <c r="L631" s="17" t="s">
        <v>18</v>
      </c>
      <c r="M631" s="16" t="s">
        <v>22</v>
      </c>
      <c r="N631" s="39" t="s">
        <v>418</v>
      </c>
    </row>
    <row r="632" spans="1:14" s="26" customFormat="1" ht="18">
      <c r="A632" s="178" t="s">
        <v>81</v>
      </c>
      <c r="B632" s="75" t="s">
        <v>1434</v>
      </c>
      <c r="C632" s="176" t="s">
        <v>33</v>
      </c>
      <c r="D632" s="176">
        <v>100</v>
      </c>
      <c r="E632" s="176">
        <v>100</v>
      </c>
      <c r="F632" s="176">
        <v>100</v>
      </c>
      <c r="G632" s="176">
        <v>100</v>
      </c>
      <c r="H632" s="499">
        <f>SUM(Tabla132112415[[#This Row],[PRIMER TRIMESTRE]:[CUARTO TRIMESTRE]])</f>
        <v>400</v>
      </c>
      <c r="I632" s="17">
        <v>1165</v>
      </c>
      <c r="J632" s="17">
        <f t="shared" si="15"/>
        <v>466000</v>
      </c>
      <c r="K632" s="17"/>
      <c r="L632" s="17" t="s">
        <v>18</v>
      </c>
      <c r="M632" s="16" t="s">
        <v>22</v>
      </c>
      <c r="N632" s="39" t="s">
        <v>418</v>
      </c>
    </row>
    <row r="633" spans="1:14" s="26" customFormat="1" ht="18">
      <c r="A633" s="179" t="s">
        <v>81</v>
      </c>
      <c r="B633" s="76"/>
      <c r="C633" s="492"/>
      <c r="D633" s="492"/>
      <c r="E633" s="492"/>
      <c r="F633" s="492"/>
      <c r="G633" s="492"/>
      <c r="H633" s="496"/>
      <c r="I633" s="24"/>
      <c r="J633" s="24"/>
      <c r="K633" s="25">
        <f>SUM(J625:J632)</f>
        <v>29696270</v>
      </c>
      <c r="L633" s="23"/>
      <c r="M633" s="23"/>
      <c r="N633" s="42"/>
    </row>
    <row r="634" spans="1:14" s="26" customFormat="1" ht="18">
      <c r="A634" s="178" t="s">
        <v>95</v>
      </c>
      <c r="B634" s="75" t="s">
        <v>1468</v>
      </c>
      <c r="C634" s="176" t="s">
        <v>17</v>
      </c>
      <c r="D634" s="176"/>
      <c r="E634" s="176"/>
      <c r="F634" s="176"/>
      <c r="G634" s="176"/>
      <c r="H634" s="499">
        <f>SUM(Tabla132112415[[#This Row],[PRIMER TRIMESTRE]:[CUARTO TRIMESTRE]])</f>
        <v>0</v>
      </c>
      <c r="I634" s="17">
        <v>3169.99</v>
      </c>
      <c r="J634" s="17">
        <f t="shared" ref="J634:J640" si="16">+H634*I634</f>
        <v>0</v>
      </c>
      <c r="K634" s="17"/>
      <c r="L634" s="16" t="s">
        <v>18</v>
      </c>
      <c r="M634" s="16" t="s">
        <v>22</v>
      </c>
      <c r="N634" s="39" t="s">
        <v>418</v>
      </c>
    </row>
    <row r="635" spans="1:14" s="26" customFormat="1" ht="18">
      <c r="A635" s="178" t="s">
        <v>95</v>
      </c>
      <c r="B635" s="75" t="s">
        <v>1469</v>
      </c>
      <c r="C635" s="176" t="s">
        <v>17</v>
      </c>
      <c r="D635" s="176"/>
      <c r="E635" s="176"/>
      <c r="F635" s="176"/>
      <c r="G635" s="176"/>
      <c r="H635" s="499">
        <f>SUM(Tabla132112415[[#This Row],[PRIMER TRIMESTRE]:[CUARTO TRIMESTRE]])</f>
        <v>0</v>
      </c>
      <c r="I635" s="17">
        <v>4920</v>
      </c>
      <c r="J635" s="17">
        <f t="shared" si="16"/>
        <v>0</v>
      </c>
      <c r="K635" s="17"/>
      <c r="L635" s="16" t="s">
        <v>18</v>
      </c>
      <c r="M635" s="16" t="s">
        <v>22</v>
      </c>
      <c r="N635" s="178"/>
    </row>
    <row r="636" spans="1:14" s="12" customFormat="1" ht="18">
      <c r="A636" s="178" t="s">
        <v>95</v>
      </c>
      <c r="B636" s="75" t="s">
        <v>1470</v>
      </c>
      <c r="C636" s="176" t="s">
        <v>17</v>
      </c>
      <c r="D636" s="176"/>
      <c r="E636" s="176"/>
      <c r="F636" s="176"/>
      <c r="G636" s="176"/>
      <c r="H636" s="499">
        <f>SUM(Tabla132112415[[#This Row],[PRIMER TRIMESTRE]:[CUARTO TRIMESTRE]])</f>
        <v>0</v>
      </c>
      <c r="I636" s="17">
        <v>1521</v>
      </c>
      <c r="J636" s="17">
        <f t="shared" si="16"/>
        <v>0</v>
      </c>
      <c r="K636" s="17"/>
      <c r="L636" s="16" t="s">
        <v>18</v>
      </c>
      <c r="M636" s="16" t="s">
        <v>22</v>
      </c>
      <c r="N636" s="39" t="s">
        <v>418</v>
      </c>
    </row>
    <row r="637" spans="1:14" s="12" customFormat="1" ht="18">
      <c r="A637" s="178" t="s">
        <v>95</v>
      </c>
      <c r="B637" s="75" t="s">
        <v>1471</v>
      </c>
      <c r="C637" s="176" t="s">
        <v>17</v>
      </c>
      <c r="D637" s="176"/>
      <c r="E637" s="176"/>
      <c r="F637" s="176"/>
      <c r="G637" s="176"/>
      <c r="H637" s="499">
        <f>SUM(Tabla132112415[[#This Row],[PRIMER TRIMESTRE]:[CUARTO TRIMESTRE]])</f>
        <v>0</v>
      </c>
      <c r="I637" s="17">
        <v>2028</v>
      </c>
      <c r="J637" s="17">
        <f t="shared" si="16"/>
        <v>0</v>
      </c>
      <c r="K637" s="17"/>
      <c r="L637" s="16" t="s">
        <v>18</v>
      </c>
      <c r="M637" s="16" t="s">
        <v>22</v>
      </c>
      <c r="N637" s="39" t="s">
        <v>418</v>
      </c>
    </row>
    <row r="638" spans="1:14" s="12" customFormat="1" ht="25.5">
      <c r="A638" s="178" t="s">
        <v>95</v>
      </c>
      <c r="B638" s="75" t="str">
        <f ca="1">+UPPER(Tabla132112415[[#This Row],[DESCRIPCIÓN DE LA COMPRA O CONTRATACIÓN]])</f>
        <v>LÁMPARA FLUORESCENTE, DE 2 X 4 PIES, 32 WATTS, COMPLETA</v>
      </c>
      <c r="C638" s="176" t="s">
        <v>17</v>
      </c>
      <c r="D638" s="176">
        <v>50</v>
      </c>
      <c r="E638" s="176"/>
      <c r="F638" s="176">
        <v>50</v>
      </c>
      <c r="G638" s="176"/>
      <c r="H638" s="499">
        <f>SUM(Tabla132112415[[#This Row],[PRIMER TRIMESTRE]:[CUARTO TRIMESTRE]])</f>
        <v>100</v>
      </c>
      <c r="I638" s="17">
        <v>63.44</v>
      </c>
      <c r="J638" s="17">
        <f t="shared" si="16"/>
        <v>6344</v>
      </c>
      <c r="K638" s="17"/>
      <c r="L638" s="16" t="s">
        <v>15</v>
      </c>
      <c r="M638" s="16" t="s">
        <v>22</v>
      </c>
      <c r="N638" s="39"/>
    </row>
    <row r="639" spans="1:14" s="12" customFormat="1" ht="18">
      <c r="A639" s="178" t="s">
        <v>95</v>
      </c>
      <c r="B639" s="75" t="s">
        <v>1539</v>
      </c>
      <c r="C639" s="176" t="s">
        <v>17</v>
      </c>
      <c r="D639" s="176">
        <v>2000</v>
      </c>
      <c r="E639" s="176">
        <v>2000</v>
      </c>
      <c r="F639" s="176">
        <v>2000</v>
      </c>
      <c r="G639" s="176">
        <v>2000</v>
      </c>
      <c r="H639" s="499">
        <f>SUM(Tabla132112415[[#This Row],[PRIMER TRIMESTRE]:[CUARTO TRIMESTRE]])</f>
        <v>8000</v>
      </c>
      <c r="I639" s="17">
        <v>45</v>
      </c>
      <c r="J639" s="17">
        <f t="shared" si="16"/>
        <v>360000</v>
      </c>
      <c r="K639" s="17"/>
      <c r="L639" s="16" t="s">
        <v>18</v>
      </c>
      <c r="M639" s="16" t="s">
        <v>22</v>
      </c>
      <c r="N639" s="39" t="s">
        <v>418</v>
      </c>
    </row>
    <row r="640" spans="1:14" s="12" customFormat="1" ht="18">
      <c r="A640" s="178" t="s">
        <v>95</v>
      </c>
      <c r="B640" s="75" t="s">
        <v>1540</v>
      </c>
      <c r="C640" s="176" t="s">
        <v>17</v>
      </c>
      <c r="D640" s="176">
        <v>2000</v>
      </c>
      <c r="E640" s="176">
        <v>2000</v>
      </c>
      <c r="F640" s="176">
        <v>2000</v>
      </c>
      <c r="G640" s="176">
        <v>2000</v>
      </c>
      <c r="H640" s="499">
        <f>SUM(Tabla132112415[[#This Row],[PRIMER TRIMESTRE]:[CUARTO TRIMESTRE]])</f>
        <v>8000</v>
      </c>
      <c r="I640" s="17">
        <v>45</v>
      </c>
      <c r="J640" s="17">
        <f t="shared" si="16"/>
        <v>360000</v>
      </c>
      <c r="K640" s="17"/>
      <c r="L640" s="16" t="s">
        <v>18</v>
      </c>
      <c r="M640" s="16" t="s">
        <v>22</v>
      </c>
      <c r="N640" s="39" t="s">
        <v>418</v>
      </c>
    </row>
    <row r="641" spans="1:14" s="12" customFormat="1" ht="18">
      <c r="A641" s="178" t="s">
        <v>95</v>
      </c>
      <c r="B641" s="75" t="s">
        <v>209</v>
      </c>
      <c r="C641" s="176" t="s">
        <v>17</v>
      </c>
      <c r="D641" s="176"/>
      <c r="E641" s="176"/>
      <c r="F641" s="176"/>
      <c r="G641" s="176"/>
      <c r="H641" s="499">
        <f>SUM(Tabla132112415[[#This Row],[PRIMER TRIMESTRE]:[CUARTO TRIMESTRE]])</f>
        <v>0</v>
      </c>
      <c r="I641" s="17">
        <v>1417.52</v>
      </c>
      <c r="J641" s="17">
        <f>+Tabla132112415[[#This Row],[CANTIDAD TOTAL]]*Tabla132112415[[#This Row],[PRECIO UNITARIO ESTIMADO]]</f>
        <v>0</v>
      </c>
      <c r="K641" s="17"/>
      <c r="L641" s="16" t="s">
        <v>27</v>
      </c>
      <c r="M641" s="16" t="s">
        <v>22</v>
      </c>
      <c r="N641" s="39"/>
    </row>
    <row r="642" spans="1:14" s="12" customFormat="1" ht="18">
      <c r="A642" s="178" t="s">
        <v>95</v>
      </c>
      <c r="B642" s="75" t="s">
        <v>1467</v>
      </c>
      <c r="C642" s="176" t="s">
        <v>17</v>
      </c>
      <c r="D642" s="176"/>
      <c r="E642" s="176"/>
      <c r="F642" s="176"/>
      <c r="G642" s="176"/>
      <c r="H642" s="176">
        <f>SUM(Tabla132112415[[#This Row],[PRIMER TRIMESTRE]:[CUARTO TRIMESTRE]])</f>
        <v>0</v>
      </c>
      <c r="I642" s="17">
        <v>5268.24</v>
      </c>
      <c r="J642" s="17">
        <f t="shared" ref="J642:J651" si="17">+H642*I642</f>
        <v>0</v>
      </c>
      <c r="K642" s="17"/>
      <c r="L642" s="16" t="s">
        <v>18</v>
      </c>
      <c r="M642" s="16" t="s">
        <v>22</v>
      </c>
      <c r="N642" s="39" t="s">
        <v>418</v>
      </c>
    </row>
    <row r="643" spans="1:14" s="12" customFormat="1" ht="25.5">
      <c r="A643" s="178" t="s">
        <v>95</v>
      </c>
      <c r="B643" s="77" t="s">
        <v>881</v>
      </c>
      <c r="C643" s="176" t="s">
        <v>17</v>
      </c>
      <c r="D643" s="176">
        <v>1000</v>
      </c>
      <c r="E643" s="176">
        <v>1000</v>
      </c>
      <c r="F643" s="176">
        <v>1000</v>
      </c>
      <c r="G643" s="176">
        <v>1000</v>
      </c>
      <c r="H643" s="499">
        <f>SUM(Tabla132112415[[#This Row],[PRIMER TRIMESTRE]:[CUARTO TRIMESTRE]])</f>
        <v>4000</v>
      </c>
      <c r="I643" s="17">
        <v>877.77</v>
      </c>
      <c r="J643" s="17">
        <f t="shared" si="17"/>
        <v>3511080</v>
      </c>
      <c r="K643" s="17"/>
      <c r="L643" s="16" t="s">
        <v>15</v>
      </c>
      <c r="M643" s="16" t="s">
        <v>22</v>
      </c>
      <c r="N643" s="39"/>
    </row>
    <row r="644" spans="1:14" s="12" customFormat="1" ht="25.5">
      <c r="A644" s="178" t="s">
        <v>95</v>
      </c>
      <c r="B644" s="77" t="s">
        <v>1624</v>
      </c>
      <c r="C644" s="176" t="s">
        <v>17</v>
      </c>
      <c r="D644" s="176">
        <v>10</v>
      </c>
      <c r="E644" s="176">
        <v>10</v>
      </c>
      <c r="F644" s="176">
        <v>10</v>
      </c>
      <c r="G644" s="176">
        <v>10</v>
      </c>
      <c r="H644" s="176">
        <f>SUM(Tabla132112415[[#This Row],[PRIMER TRIMESTRE]:[CUARTO TRIMESTRE]])</f>
        <v>40</v>
      </c>
      <c r="I644" s="17">
        <v>4800</v>
      </c>
      <c r="J644" s="17">
        <f t="shared" si="17"/>
        <v>192000</v>
      </c>
      <c r="K644" s="17"/>
      <c r="L644" s="16" t="s">
        <v>18</v>
      </c>
      <c r="M644" s="16" t="s">
        <v>22</v>
      </c>
      <c r="N644" s="39"/>
    </row>
    <row r="645" spans="1:14" s="12" customFormat="1" ht="25.5">
      <c r="A645" s="178" t="s">
        <v>95</v>
      </c>
      <c r="B645" s="77" t="s">
        <v>1593</v>
      </c>
      <c r="C645" s="176" t="s">
        <v>17</v>
      </c>
      <c r="D645" s="176"/>
      <c r="E645" s="176"/>
      <c r="F645" s="176"/>
      <c r="G645" s="176"/>
      <c r="H645" s="176">
        <f>SUM(Tabla132112415[[#This Row],[PRIMER TRIMESTRE]:[CUARTO TRIMESTRE]])</f>
        <v>0</v>
      </c>
      <c r="I645" s="17">
        <v>1980</v>
      </c>
      <c r="J645" s="17">
        <f t="shared" si="17"/>
        <v>0</v>
      </c>
      <c r="K645" s="17"/>
      <c r="L645" s="16" t="s">
        <v>18</v>
      </c>
      <c r="M645" s="16" t="s">
        <v>22</v>
      </c>
      <c r="N645" s="39"/>
    </row>
    <row r="646" spans="1:14" s="12" customFormat="1" ht="18">
      <c r="A646" s="178" t="s">
        <v>95</v>
      </c>
      <c r="B646" s="77" t="s">
        <v>1544</v>
      </c>
      <c r="C646" s="176" t="s">
        <v>17</v>
      </c>
      <c r="D646" s="176">
        <v>300</v>
      </c>
      <c r="E646" s="176">
        <v>300</v>
      </c>
      <c r="F646" s="176">
        <v>300</v>
      </c>
      <c r="G646" s="176">
        <v>300</v>
      </c>
      <c r="H646" s="176">
        <f>SUM(Tabla132112415[[#This Row],[PRIMER TRIMESTRE]:[CUARTO TRIMESTRE]])</f>
        <v>1200</v>
      </c>
      <c r="I646" s="17">
        <v>68</v>
      </c>
      <c r="J646" s="17">
        <f t="shared" si="17"/>
        <v>81600</v>
      </c>
      <c r="K646" s="17"/>
      <c r="L646" s="16" t="s">
        <v>18</v>
      </c>
      <c r="M646" s="16" t="s">
        <v>22</v>
      </c>
      <c r="N646" s="39"/>
    </row>
    <row r="647" spans="1:14" s="12" customFormat="1" ht="18">
      <c r="A647" s="178" t="s">
        <v>95</v>
      </c>
      <c r="B647" s="77" t="s">
        <v>1543</v>
      </c>
      <c r="C647" s="176" t="s">
        <v>17</v>
      </c>
      <c r="D647" s="176"/>
      <c r="E647" s="176"/>
      <c r="F647" s="176"/>
      <c r="G647" s="176"/>
      <c r="H647" s="176">
        <f>SUM(Tabla132112415[[#This Row],[PRIMER TRIMESTRE]:[CUARTO TRIMESTRE]])</f>
        <v>0</v>
      </c>
      <c r="I647" s="17">
        <v>161.28</v>
      </c>
      <c r="J647" s="17">
        <f t="shared" si="17"/>
        <v>0</v>
      </c>
      <c r="K647" s="17"/>
      <c r="L647" s="16" t="s">
        <v>18</v>
      </c>
      <c r="M647" s="16" t="s">
        <v>22</v>
      </c>
      <c r="N647" s="39"/>
    </row>
    <row r="648" spans="1:14" s="12" customFormat="1" ht="18">
      <c r="A648" s="178" t="s">
        <v>95</v>
      </c>
      <c r="B648" s="77" t="s">
        <v>1625</v>
      </c>
      <c r="C648" s="176" t="s">
        <v>17</v>
      </c>
      <c r="D648" s="176">
        <v>500</v>
      </c>
      <c r="E648" s="176">
        <v>500</v>
      </c>
      <c r="F648" s="176">
        <v>500</v>
      </c>
      <c r="G648" s="176">
        <v>500</v>
      </c>
      <c r="H648" s="176">
        <f>SUM(Tabla132112415[[#This Row],[PRIMER TRIMESTRE]:[CUARTO TRIMESTRE]])</f>
        <v>2000</v>
      </c>
      <c r="I648" s="17">
        <v>400</v>
      </c>
      <c r="J648" s="17">
        <f t="shared" si="17"/>
        <v>800000</v>
      </c>
      <c r="K648" s="17"/>
      <c r="L648" s="16" t="s">
        <v>18</v>
      </c>
      <c r="M648" s="16" t="s">
        <v>22</v>
      </c>
      <c r="N648" s="39"/>
    </row>
    <row r="649" spans="1:14" s="12" customFormat="1" ht="18">
      <c r="A649" s="178" t="s">
        <v>95</v>
      </c>
      <c r="B649" s="77" t="s">
        <v>1542</v>
      </c>
      <c r="C649" s="176" t="s">
        <v>17</v>
      </c>
      <c r="D649" s="176"/>
      <c r="E649" s="176"/>
      <c r="F649" s="176"/>
      <c r="G649" s="176"/>
      <c r="H649" s="176">
        <f>SUM(Tabla132112415[[#This Row],[PRIMER TRIMESTRE]:[CUARTO TRIMESTRE]])</f>
        <v>0</v>
      </c>
      <c r="I649" s="17">
        <v>40</v>
      </c>
      <c r="J649" s="17">
        <f t="shared" si="17"/>
        <v>0</v>
      </c>
      <c r="K649" s="17"/>
      <c r="L649" s="16" t="s">
        <v>18</v>
      </c>
      <c r="M649" s="16" t="s">
        <v>22</v>
      </c>
      <c r="N649" s="39"/>
    </row>
    <row r="650" spans="1:14" s="26" customFormat="1" ht="18">
      <c r="A650" s="178" t="s">
        <v>95</v>
      </c>
      <c r="B650" s="77" t="s">
        <v>1541</v>
      </c>
      <c r="C650" s="176" t="s">
        <v>17</v>
      </c>
      <c r="D650" s="176">
        <v>10</v>
      </c>
      <c r="E650" s="176">
        <v>10</v>
      </c>
      <c r="F650" s="176">
        <v>10</v>
      </c>
      <c r="G650" s="176">
        <v>10</v>
      </c>
      <c r="H650" s="176">
        <f>SUM(Tabla132112415[[#This Row],[PRIMER TRIMESTRE]:[CUARTO TRIMESTRE]])</f>
        <v>40</v>
      </c>
      <c r="I650" s="17">
        <v>170</v>
      </c>
      <c r="J650" s="17">
        <f t="shared" si="17"/>
        <v>6800</v>
      </c>
      <c r="K650" s="17"/>
      <c r="L650" s="16" t="s">
        <v>18</v>
      </c>
      <c r="M650" s="16" t="s">
        <v>22</v>
      </c>
      <c r="N650" s="39"/>
    </row>
    <row r="651" spans="1:14" s="12" customFormat="1" ht="25.5">
      <c r="A651" s="178" t="s">
        <v>95</v>
      </c>
      <c r="B651" s="77" t="s">
        <v>1472</v>
      </c>
      <c r="C651" s="176" t="s">
        <v>17</v>
      </c>
      <c r="D651" s="176"/>
      <c r="E651" s="176"/>
      <c r="F651" s="176"/>
      <c r="G651" s="176"/>
      <c r="H651" s="176">
        <f>SUM(Tabla132112415[[#This Row],[PRIMER TRIMESTRE]:[CUARTO TRIMESTRE]])</f>
        <v>0</v>
      </c>
      <c r="I651" s="17">
        <v>28982</v>
      </c>
      <c r="J651" s="17">
        <f t="shared" si="17"/>
        <v>0</v>
      </c>
      <c r="K651" s="17"/>
      <c r="L651" s="16" t="s">
        <v>18</v>
      </c>
      <c r="M651" s="16" t="s">
        <v>22</v>
      </c>
      <c r="N651" s="39"/>
    </row>
    <row r="652" spans="1:14" s="12" customFormat="1" ht="31.5">
      <c r="A652" s="179" t="s">
        <v>95</v>
      </c>
      <c r="B652" s="76"/>
      <c r="C652" s="492"/>
      <c r="D652" s="492"/>
      <c r="E652" s="492"/>
      <c r="F652" s="492"/>
      <c r="G652" s="492"/>
      <c r="H652" s="496"/>
      <c r="I652" s="24"/>
      <c r="J652" s="24"/>
      <c r="K652" s="25">
        <f>SUM(J634:J651)</f>
        <v>5317824</v>
      </c>
      <c r="L652" s="23"/>
      <c r="M652" s="23"/>
      <c r="N652" s="42"/>
    </row>
    <row r="653" spans="1:14" s="12" customFormat="1" ht="30">
      <c r="A653" s="178" t="s">
        <v>96</v>
      </c>
      <c r="B653" s="75" t="str">
        <f ca="1">+UPPER(Tabla132112415[[#This Row],[DESCRIPCIÓN DE LA COMPRA O CONTRATACIÓN]])</f>
        <v>CUT-OUTS 15 KV 200 AMPERES</v>
      </c>
      <c r="C653" s="176" t="s">
        <v>17</v>
      </c>
      <c r="D653" s="176"/>
      <c r="E653" s="176"/>
      <c r="F653" s="176"/>
      <c r="G653" s="176"/>
      <c r="H653" s="499">
        <f>SUM(Tabla132112415[[#This Row],[PRIMER TRIMESTRE]:[CUARTO TRIMESTRE]])</f>
        <v>0</v>
      </c>
      <c r="I653" s="17">
        <v>6486.1</v>
      </c>
      <c r="J653" s="17">
        <f t="shared" ref="J653:J660" si="18">+H653*I653</f>
        <v>0</v>
      </c>
      <c r="K653" s="17"/>
      <c r="L653" s="16" t="s">
        <v>18</v>
      </c>
      <c r="M653" s="16" t="s">
        <v>22</v>
      </c>
      <c r="N653" s="39"/>
    </row>
    <row r="654" spans="1:14" s="12" customFormat="1" ht="30">
      <c r="A654" s="178" t="s">
        <v>96</v>
      </c>
      <c r="B654" s="75" t="str">
        <f ca="1">+UPPER(Tabla132112415[[#This Row],[DESCRIPCIÓN DE LA COMPRA O CONTRATACIÓN]])</f>
        <v>CUT-OUTS 15 KV 100 AMPERES</v>
      </c>
      <c r="C654" s="176" t="s">
        <v>17</v>
      </c>
      <c r="D654" s="176"/>
      <c r="E654" s="176"/>
      <c r="F654" s="176"/>
      <c r="G654" s="176"/>
      <c r="H654" s="499">
        <f>SUM(Tabla132112415[[#This Row],[PRIMER TRIMESTRE]:[CUARTO TRIMESTRE]])</f>
        <v>0</v>
      </c>
      <c r="I654" s="17">
        <v>4877.16</v>
      </c>
      <c r="J654" s="17">
        <f t="shared" si="18"/>
        <v>0</v>
      </c>
      <c r="K654" s="17"/>
      <c r="L654" s="16" t="s">
        <v>18</v>
      </c>
      <c r="M654" s="16" t="s">
        <v>22</v>
      </c>
      <c r="N654" s="39"/>
    </row>
    <row r="655" spans="1:14" s="12" customFormat="1" ht="30">
      <c r="A655" s="178" t="s">
        <v>96</v>
      </c>
      <c r="B655" s="75" t="str">
        <f ca="1">+UPPER(Tabla132112415[[#This Row],[DESCRIPCIÓN DE LA COMPRA O CONTRATACIÓN]])</f>
        <v>APARTARRAYOS DE 9KV</v>
      </c>
      <c r="C655" s="176" t="s">
        <v>17</v>
      </c>
      <c r="D655" s="176"/>
      <c r="E655" s="176"/>
      <c r="F655" s="176"/>
      <c r="G655" s="176"/>
      <c r="H655" s="499">
        <f>SUM(Tabla132112415[[#This Row],[PRIMER TRIMESTRE]:[CUARTO TRIMESTRE]])</f>
        <v>0</v>
      </c>
      <c r="I655" s="17">
        <v>2726</v>
      </c>
      <c r="J655" s="17">
        <f t="shared" si="18"/>
        <v>0</v>
      </c>
      <c r="K655" s="17"/>
      <c r="L655" s="16" t="s">
        <v>18</v>
      </c>
      <c r="M655" s="16" t="s">
        <v>22</v>
      </c>
      <c r="N655" s="39"/>
    </row>
    <row r="656" spans="1:14" s="12" customFormat="1" ht="30">
      <c r="A656" s="178" t="s">
        <v>96</v>
      </c>
      <c r="B656" s="75" t="s">
        <v>1217</v>
      </c>
      <c r="C656" s="176" t="s">
        <v>17</v>
      </c>
      <c r="D656" s="176"/>
      <c r="E656" s="176"/>
      <c r="F656" s="176"/>
      <c r="G656" s="176"/>
      <c r="H656" s="499">
        <f>SUM(Tabla132112415[[#This Row],[PRIMER TRIMESTRE]:[CUARTO TRIMESTRE]])</f>
        <v>0</v>
      </c>
      <c r="I656" s="17">
        <v>2438.11</v>
      </c>
      <c r="J656" s="17">
        <f t="shared" si="18"/>
        <v>0</v>
      </c>
      <c r="K656" s="17"/>
      <c r="L656" s="16" t="s">
        <v>18</v>
      </c>
      <c r="M656" s="16" t="s">
        <v>22</v>
      </c>
      <c r="N656" s="39"/>
    </row>
    <row r="657" spans="1:14" s="12" customFormat="1" ht="30">
      <c r="A657" s="178" t="s">
        <v>96</v>
      </c>
      <c r="B657" s="75" t="str">
        <f ca="1">+UPPER(Tabla132112415[[#This Row],[DESCRIPCIÓN DE LA COMPRA O CONTRATACIÓN]])</f>
        <v>APARTARRAYOS DE 220V, SECUNDARIO</v>
      </c>
      <c r="C657" s="176" t="s">
        <v>17</v>
      </c>
      <c r="D657" s="176"/>
      <c r="E657" s="176"/>
      <c r="F657" s="176"/>
      <c r="G657" s="176"/>
      <c r="H657" s="499">
        <f>SUM(Tabla132112415[[#This Row],[PRIMER TRIMESTRE]:[CUARTO TRIMESTRE]])</f>
        <v>0</v>
      </c>
      <c r="I657" s="17">
        <v>6840</v>
      </c>
      <c r="J657" s="17">
        <f t="shared" si="18"/>
        <v>0</v>
      </c>
      <c r="K657" s="17"/>
      <c r="L657" s="16" t="s">
        <v>18</v>
      </c>
      <c r="M657" s="16" t="s">
        <v>22</v>
      </c>
      <c r="N657" s="39"/>
    </row>
    <row r="658" spans="1:14" s="12" customFormat="1" ht="30">
      <c r="A658" s="178" t="s">
        <v>96</v>
      </c>
      <c r="B658" s="75" t="str">
        <f ca="1">+UPPER(Tabla132112415[[#This Row],[DESCRIPCIÓN DE LA COMPRA O CONTRATACIÓN]])</f>
        <v>APARTARRAYOS DE 480V, SECUNDARIO</v>
      </c>
      <c r="C658" s="176" t="s">
        <v>17</v>
      </c>
      <c r="D658" s="176"/>
      <c r="E658" s="176"/>
      <c r="F658" s="176"/>
      <c r="G658" s="176"/>
      <c r="H658" s="499">
        <f>SUM(Tabla132112415[[#This Row],[PRIMER TRIMESTRE]:[CUARTO TRIMESTRE]])</f>
        <v>0</v>
      </c>
      <c r="I658" s="72">
        <v>6900</v>
      </c>
      <c r="J658" s="17">
        <f t="shared" si="18"/>
        <v>0</v>
      </c>
      <c r="K658" s="17"/>
      <c r="L658" s="16" t="s">
        <v>18</v>
      </c>
      <c r="M658" s="16" t="s">
        <v>22</v>
      </c>
      <c r="N658" s="39"/>
    </row>
    <row r="659" spans="1:14" s="12" customFormat="1" ht="30">
      <c r="A659" s="178" t="s">
        <v>96</v>
      </c>
      <c r="B659" s="75" t="s">
        <v>1679</v>
      </c>
      <c r="C659" s="176" t="s">
        <v>17</v>
      </c>
      <c r="D659" s="176"/>
      <c r="E659" s="176"/>
      <c r="F659" s="176"/>
      <c r="G659" s="176"/>
      <c r="H659" s="499">
        <v>0</v>
      </c>
      <c r="I659" s="72">
        <v>0</v>
      </c>
      <c r="J659" s="17">
        <v>0</v>
      </c>
      <c r="K659" s="17"/>
      <c r="L659" s="16" t="s">
        <v>18</v>
      </c>
      <c r="M659" s="16" t="s">
        <v>22</v>
      </c>
      <c r="N659" s="39"/>
    </row>
    <row r="660" spans="1:14" s="12" customFormat="1" ht="30">
      <c r="A660" s="178" t="s">
        <v>96</v>
      </c>
      <c r="B660" s="75" t="s">
        <v>1597</v>
      </c>
      <c r="C660" s="176" t="s">
        <v>17</v>
      </c>
      <c r="D660" s="176"/>
      <c r="E660" s="176"/>
      <c r="F660" s="176"/>
      <c r="G660" s="176"/>
      <c r="H660" s="176">
        <f>SUM(Tabla132112415[[#This Row],[PRIMER TRIMESTRE]:[CUARTO TRIMESTRE]])</f>
        <v>0</v>
      </c>
      <c r="I660" s="72">
        <v>101.53</v>
      </c>
      <c r="J660" s="17">
        <f t="shared" si="18"/>
        <v>0</v>
      </c>
      <c r="K660" s="17"/>
      <c r="L660" s="16" t="s">
        <v>18</v>
      </c>
      <c r="M660" s="16" t="s">
        <v>22</v>
      </c>
      <c r="N660" s="39"/>
    </row>
    <row r="661" spans="1:14" s="12" customFormat="1" ht="30">
      <c r="A661" s="178" t="s">
        <v>96</v>
      </c>
      <c r="B661" s="75" t="s">
        <v>777</v>
      </c>
      <c r="C661" s="176" t="s">
        <v>17</v>
      </c>
      <c r="D661" s="176"/>
      <c r="E661" s="176"/>
      <c r="F661" s="176"/>
      <c r="G661" s="176"/>
      <c r="H661" s="176">
        <f>SUM(Tabla132112415[[#This Row],[PRIMER TRIMESTRE]:[CUARTO TRIMESTRE]])</f>
        <v>0</v>
      </c>
      <c r="I661" s="72">
        <v>13750</v>
      </c>
      <c r="J661" s="17">
        <f>+Tabla132112415[[#This Row],[CANTIDAD TOTAL]]*Tabla132112415[[#This Row],[PRECIO UNITARIO ESTIMADO]]</f>
        <v>0</v>
      </c>
      <c r="K661" s="17"/>
      <c r="L661" s="16" t="s">
        <v>18</v>
      </c>
      <c r="M661" s="16" t="s">
        <v>22</v>
      </c>
      <c r="N661" s="39" t="s">
        <v>418</v>
      </c>
    </row>
    <row r="662" spans="1:14" s="12" customFormat="1" ht="30">
      <c r="A662" s="178" t="s">
        <v>96</v>
      </c>
      <c r="B662" s="75" t="s">
        <v>1599</v>
      </c>
      <c r="C662" s="176" t="s">
        <v>17</v>
      </c>
      <c r="D662" s="176"/>
      <c r="E662" s="176"/>
      <c r="F662" s="176"/>
      <c r="G662" s="176"/>
      <c r="H662" s="176">
        <f>SUM(Tabla132112415[[#This Row],[PRIMER TRIMESTRE]:[CUARTO TRIMESTRE]])</f>
        <v>0</v>
      </c>
      <c r="I662" s="72">
        <v>110</v>
      </c>
      <c r="J662" s="17">
        <f>+H662*I662</f>
        <v>0</v>
      </c>
      <c r="K662" s="17"/>
      <c r="L662" s="16" t="s">
        <v>18</v>
      </c>
      <c r="M662" s="16" t="s">
        <v>22</v>
      </c>
      <c r="N662" s="39"/>
    </row>
    <row r="663" spans="1:14" s="12" customFormat="1" ht="30">
      <c r="A663" s="178" t="s">
        <v>96</v>
      </c>
      <c r="B663" s="75" t="s">
        <v>1600</v>
      </c>
      <c r="C663" s="176" t="s">
        <v>17</v>
      </c>
      <c r="D663" s="176"/>
      <c r="E663" s="176"/>
      <c r="F663" s="176"/>
      <c r="G663" s="176"/>
      <c r="H663" s="176">
        <f>SUM(Tabla132112415[[#This Row],[PRIMER TRIMESTRE]:[CUARTO TRIMESTRE]])</f>
        <v>0</v>
      </c>
      <c r="I663" s="72">
        <v>40</v>
      </c>
      <c r="J663" s="17">
        <f>+H663*I663</f>
        <v>0</v>
      </c>
      <c r="K663" s="17"/>
      <c r="L663" s="16" t="s">
        <v>18</v>
      </c>
      <c r="M663" s="16" t="s">
        <v>22</v>
      </c>
      <c r="N663" s="39"/>
    </row>
    <row r="664" spans="1:14" s="12" customFormat="1" ht="30">
      <c r="A664" s="178" t="s">
        <v>96</v>
      </c>
      <c r="B664" s="75" t="s">
        <v>1598</v>
      </c>
      <c r="C664" s="176" t="s">
        <v>17</v>
      </c>
      <c r="D664" s="176"/>
      <c r="E664" s="176"/>
      <c r="F664" s="176"/>
      <c r="G664" s="176"/>
      <c r="H664" s="176">
        <f>SUM(Tabla132112415[[#This Row],[PRIMER TRIMESTRE]:[CUARTO TRIMESTRE]])</f>
        <v>0</v>
      </c>
      <c r="I664" s="72">
        <v>90</v>
      </c>
      <c r="J664" s="17">
        <f>+H664*I664</f>
        <v>0</v>
      </c>
      <c r="K664" s="17"/>
      <c r="L664" s="16" t="s">
        <v>18</v>
      </c>
      <c r="M664" s="16" t="s">
        <v>22</v>
      </c>
      <c r="N664" s="39"/>
    </row>
    <row r="665" spans="1:14" s="12" customFormat="1" ht="30">
      <c r="A665" s="178" t="s">
        <v>96</v>
      </c>
      <c r="B665" s="75" t="s">
        <v>210</v>
      </c>
      <c r="C665" s="176" t="s">
        <v>17</v>
      </c>
      <c r="D665" s="176"/>
      <c r="E665" s="176"/>
      <c r="F665" s="176"/>
      <c r="G665" s="176"/>
      <c r="H665" s="176">
        <f>SUM(Tabla132112415[[#This Row],[PRIMER TRIMESTRE]:[CUARTO TRIMESTRE]])</f>
        <v>0</v>
      </c>
      <c r="I665" s="72">
        <v>13750</v>
      </c>
      <c r="J665" s="17">
        <f>+Tabla132112415[[#This Row],[CANTIDAD TOTAL]]*Tabla132112415[[#This Row],[PRECIO UNITARIO ESTIMADO]]</f>
        <v>0</v>
      </c>
      <c r="K665" s="17"/>
      <c r="L665" s="16" t="s">
        <v>18</v>
      </c>
      <c r="M665" s="16" t="s">
        <v>22</v>
      </c>
      <c r="N665" s="39" t="s">
        <v>418</v>
      </c>
    </row>
    <row r="666" spans="1:14" s="12" customFormat="1" ht="30">
      <c r="A666" s="178" t="s">
        <v>96</v>
      </c>
      <c r="B666" s="75" t="s">
        <v>1594</v>
      </c>
      <c r="C666" s="176" t="s">
        <v>17</v>
      </c>
      <c r="D666" s="176"/>
      <c r="E666" s="176"/>
      <c r="F666" s="176"/>
      <c r="G666" s="176"/>
      <c r="H666" s="176">
        <f>SUM(Tabla132112415[[#This Row],[PRIMER TRIMESTRE]:[CUARTO TRIMESTRE]])</f>
        <v>0</v>
      </c>
      <c r="I666" s="72">
        <v>95</v>
      </c>
      <c r="J666" s="17">
        <f>+H666*I666</f>
        <v>0</v>
      </c>
      <c r="K666" s="17"/>
      <c r="L666" s="16" t="s">
        <v>18</v>
      </c>
      <c r="M666" s="16" t="s">
        <v>22</v>
      </c>
      <c r="N666" s="39"/>
    </row>
    <row r="667" spans="1:14" s="12" customFormat="1" ht="30">
      <c r="A667" s="178" t="s">
        <v>96</v>
      </c>
      <c r="B667" s="75" t="s">
        <v>1596</v>
      </c>
      <c r="C667" s="176" t="s">
        <v>17</v>
      </c>
      <c r="D667" s="176"/>
      <c r="E667" s="176"/>
      <c r="F667" s="176"/>
      <c r="G667" s="176"/>
      <c r="H667" s="176">
        <f>SUM(Tabla132112415[[#This Row],[PRIMER TRIMESTRE]:[CUARTO TRIMESTRE]])</f>
        <v>0</v>
      </c>
      <c r="I667" s="72">
        <v>95</v>
      </c>
      <c r="J667" s="17">
        <f>+H667*I667</f>
        <v>0</v>
      </c>
      <c r="K667" s="17"/>
      <c r="L667" s="16" t="s">
        <v>18</v>
      </c>
      <c r="M667" s="16" t="s">
        <v>22</v>
      </c>
      <c r="N667" s="39"/>
    </row>
    <row r="668" spans="1:14" s="12" customFormat="1" ht="30">
      <c r="A668" s="178" t="s">
        <v>96</v>
      </c>
      <c r="B668" s="75" t="s">
        <v>211</v>
      </c>
      <c r="C668" s="176" t="s">
        <v>17</v>
      </c>
      <c r="D668" s="176"/>
      <c r="E668" s="176"/>
      <c r="F668" s="176"/>
      <c r="G668" s="176"/>
      <c r="H668" s="499">
        <f>SUM(Tabla132112415[[#This Row],[PRIMER TRIMESTRE]:[CUARTO TRIMESTRE]])</f>
        <v>0</v>
      </c>
      <c r="I668" s="17">
        <v>191</v>
      </c>
      <c r="J668" s="17">
        <f>+Tabla132112415[[#This Row],[CANTIDAD TOTAL]]*Tabla132112415[[#This Row],[PRECIO UNITARIO ESTIMADO]]</f>
        <v>0</v>
      </c>
      <c r="K668" s="17"/>
      <c r="L668" s="16" t="s">
        <v>18</v>
      </c>
      <c r="M668" s="16" t="s">
        <v>22</v>
      </c>
      <c r="N668" s="39" t="s">
        <v>418</v>
      </c>
    </row>
    <row r="669" spans="1:14" s="12" customFormat="1" ht="30">
      <c r="A669" s="178" t="s">
        <v>96</v>
      </c>
      <c r="B669" s="75" t="s">
        <v>772</v>
      </c>
      <c r="C669" s="176" t="s">
        <v>17</v>
      </c>
      <c r="D669" s="176"/>
      <c r="E669" s="176"/>
      <c r="F669" s="176"/>
      <c r="G669" s="176"/>
      <c r="H669" s="499">
        <f>SUM(Tabla132112415[[#This Row],[PRIMER TRIMESTRE]:[CUARTO TRIMESTRE]])</f>
        <v>0</v>
      </c>
      <c r="I669" s="72">
        <v>7700</v>
      </c>
      <c r="J669" s="17">
        <f>+H669*I669</f>
        <v>0</v>
      </c>
      <c r="K669" s="17"/>
      <c r="L669" s="16" t="s">
        <v>18</v>
      </c>
      <c r="M669" s="16" t="s">
        <v>22</v>
      </c>
      <c r="N669" s="39"/>
    </row>
    <row r="670" spans="1:14" s="12" customFormat="1" ht="30">
      <c r="A670" s="178" t="s">
        <v>96</v>
      </c>
      <c r="B670" s="75" t="s">
        <v>1690</v>
      </c>
      <c r="C670" s="176" t="s">
        <v>343</v>
      </c>
      <c r="D670" s="176"/>
      <c r="E670" s="176"/>
      <c r="F670" s="176"/>
      <c r="G670" s="176"/>
      <c r="H670" s="499">
        <v>0</v>
      </c>
      <c r="I670" s="72">
        <v>0</v>
      </c>
      <c r="J670" s="17">
        <v>0</v>
      </c>
      <c r="K670" s="17"/>
      <c r="L670" s="16" t="s">
        <v>18</v>
      </c>
      <c r="M670" s="16" t="s">
        <v>22</v>
      </c>
      <c r="N670" s="39"/>
    </row>
    <row r="671" spans="1:14" s="12" customFormat="1" ht="30">
      <c r="A671" s="178" t="s">
        <v>96</v>
      </c>
      <c r="B671" s="75" t="s">
        <v>229</v>
      </c>
      <c r="C671" s="176" t="s">
        <v>17</v>
      </c>
      <c r="D671" s="176"/>
      <c r="E671" s="176"/>
      <c r="F671" s="176"/>
      <c r="G671" s="176"/>
      <c r="H671" s="499">
        <f>SUM(Tabla132112415[[#This Row],[PRIMER TRIMESTRE]:[CUARTO TRIMESTRE]])</f>
        <v>0</v>
      </c>
      <c r="I671" s="17">
        <v>6460</v>
      </c>
      <c r="J671" s="17">
        <f>+Tabla132112415[[#This Row],[CANTIDAD TOTAL]]*Tabla132112415[[#This Row],[PRECIO UNITARIO ESTIMADO]]</f>
        <v>0</v>
      </c>
      <c r="K671" s="17"/>
      <c r="L671" s="16" t="s">
        <v>18</v>
      </c>
      <c r="M671" s="16" t="s">
        <v>22</v>
      </c>
      <c r="N671" s="39"/>
    </row>
    <row r="672" spans="1:14" s="12" customFormat="1" ht="30">
      <c r="A672" s="178" t="s">
        <v>96</v>
      </c>
      <c r="B672" s="75" t="s">
        <v>1712</v>
      </c>
      <c r="C672" s="176" t="s">
        <v>17</v>
      </c>
      <c r="D672" s="176"/>
      <c r="E672" s="176"/>
      <c r="F672" s="176"/>
      <c r="G672" s="176"/>
      <c r="H672" s="499">
        <v>0</v>
      </c>
      <c r="I672" s="17">
        <v>0</v>
      </c>
      <c r="J672" s="17">
        <v>0</v>
      </c>
      <c r="K672" s="17"/>
      <c r="L672" s="16" t="s">
        <v>18</v>
      </c>
      <c r="M672" s="16" t="s">
        <v>22</v>
      </c>
      <c r="N672" s="39"/>
    </row>
    <row r="673" spans="1:14" s="12" customFormat="1" ht="30">
      <c r="A673" s="178" t="s">
        <v>96</v>
      </c>
      <c r="B673" s="75" t="s">
        <v>1218</v>
      </c>
      <c r="C673" s="176" t="s">
        <v>17</v>
      </c>
      <c r="D673" s="176"/>
      <c r="E673" s="176"/>
      <c r="F673" s="176"/>
      <c r="G673" s="176"/>
      <c r="H673" s="499">
        <f>SUM(Tabla132112415[[#This Row],[PRIMER TRIMESTRE]:[CUARTO TRIMESTRE]])</f>
        <v>0</v>
      </c>
      <c r="I673" s="17">
        <v>6460</v>
      </c>
      <c r="J673" s="17">
        <f>+H673*I673</f>
        <v>0</v>
      </c>
      <c r="K673" s="17"/>
      <c r="L673" s="16" t="s">
        <v>18</v>
      </c>
      <c r="M673" s="16" t="s">
        <v>22</v>
      </c>
      <c r="N673" s="39"/>
    </row>
    <row r="674" spans="1:14" s="12" customFormat="1" ht="30">
      <c r="A674" s="178" t="s">
        <v>96</v>
      </c>
      <c r="B674" s="75" t="s">
        <v>1683</v>
      </c>
      <c r="C674" s="176" t="s">
        <v>17</v>
      </c>
      <c r="D674" s="176"/>
      <c r="E674" s="176"/>
      <c r="F674" s="176"/>
      <c r="G674" s="176"/>
      <c r="H674" s="499">
        <v>0</v>
      </c>
      <c r="I674" s="17">
        <v>0</v>
      </c>
      <c r="J674" s="17">
        <v>0</v>
      </c>
      <c r="K674" s="17"/>
      <c r="L674" s="16" t="s">
        <v>18</v>
      </c>
      <c r="M674" s="16" t="s">
        <v>22</v>
      </c>
      <c r="N674" s="39"/>
    </row>
    <row r="675" spans="1:14" s="12" customFormat="1" ht="30">
      <c r="A675" s="178" t="s">
        <v>96</v>
      </c>
      <c r="B675" s="75" t="s">
        <v>1731</v>
      </c>
      <c r="C675" s="176" t="s">
        <v>17</v>
      </c>
      <c r="D675" s="176"/>
      <c r="E675" s="176"/>
      <c r="F675" s="176"/>
      <c r="G675" s="176"/>
      <c r="H675" s="499">
        <v>0</v>
      </c>
      <c r="I675" s="17">
        <v>0</v>
      </c>
      <c r="J675" s="17">
        <v>0</v>
      </c>
      <c r="K675" s="17"/>
      <c r="L675" s="16" t="s">
        <v>18</v>
      </c>
      <c r="M675" s="16" t="s">
        <v>22</v>
      </c>
      <c r="N675" s="39"/>
    </row>
    <row r="676" spans="1:14" s="12" customFormat="1" ht="30">
      <c r="A676" s="178" t="s">
        <v>96</v>
      </c>
      <c r="B676" s="75" t="s">
        <v>770</v>
      </c>
      <c r="C676" s="176" t="s">
        <v>17</v>
      </c>
      <c r="D676" s="176"/>
      <c r="E676" s="176"/>
      <c r="F676" s="176"/>
      <c r="G676" s="176"/>
      <c r="H676" s="499">
        <f>SUM(Tabla132112415[[#This Row],[PRIMER TRIMESTRE]:[CUARTO TRIMESTRE]])</f>
        <v>0</v>
      </c>
      <c r="I676" s="17">
        <v>12589</v>
      </c>
      <c r="J676" s="17">
        <f>+Tabla132112415[[#This Row],[CANTIDAD TOTAL]]*Tabla132112415[[#This Row],[PRECIO UNITARIO ESTIMADO]]</f>
        <v>0</v>
      </c>
      <c r="K676" s="17"/>
      <c r="L676" s="16" t="s">
        <v>18</v>
      </c>
      <c r="M676" s="16" t="s">
        <v>22</v>
      </c>
      <c r="N676" s="39"/>
    </row>
    <row r="677" spans="1:14" s="12" customFormat="1" ht="30">
      <c r="A677" s="178" t="s">
        <v>96</v>
      </c>
      <c r="B677" s="75" t="s">
        <v>771</v>
      </c>
      <c r="C677" s="176" t="s">
        <v>17</v>
      </c>
      <c r="D677" s="176"/>
      <c r="E677" s="176"/>
      <c r="F677" s="176"/>
      <c r="G677" s="176"/>
      <c r="H677" s="499">
        <f>SUM(Tabla132112415[[#This Row],[PRIMER TRIMESTRE]:[CUARTO TRIMESTRE]])</f>
        <v>0</v>
      </c>
      <c r="I677" s="72">
        <v>14625</v>
      </c>
      <c r="J677" s="17">
        <f t="shared" ref="J677:J740" si="19">+H677*I677</f>
        <v>0</v>
      </c>
      <c r="K677" s="17"/>
      <c r="L677" s="16" t="s">
        <v>18</v>
      </c>
      <c r="M677" s="16" t="s">
        <v>22</v>
      </c>
      <c r="N677" s="39"/>
    </row>
    <row r="678" spans="1:14" s="12" customFormat="1" ht="30">
      <c r="A678" s="178" t="s">
        <v>96</v>
      </c>
      <c r="B678" s="75" t="s">
        <v>1219</v>
      </c>
      <c r="C678" s="176" t="s">
        <v>17</v>
      </c>
      <c r="D678" s="176"/>
      <c r="E678" s="176"/>
      <c r="F678" s="176"/>
      <c r="G678" s="176"/>
      <c r="H678" s="499">
        <f>SUM(Tabla132112415[[#This Row],[PRIMER TRIMESTRE]:[CUARTO TRIMESTRE]])</f>
        <v>0</v>
      </c>
      <c r="I678" s="72">
        <v>28650</v>
      </c>
      <c r="J678" s="17">
        <f t="shared" si="19"/>
        <v>0</v>
      </c>
      <c r="K678" s="17"/>
      <c r="L678" s="17" t="s">
        <v>18</v>
      </c>
      <c r="M678" s="16" t="s">
        <v>22</v>
      </c>
      <c r="N678" s="39"/>
    </row>
    <row r="679" spans="1:14" s="12" customFormat="1" ht="30">
      <c r="A679" s="178" t="s">
        <v>96</v>
      </c>
      <c r="B679" s="75" t="s">
        <v>803</v>
      </c>
      <c r="C679" s="176" t="s">
        <v>343</v>
      </c>
      <c r="D679" s="176"/>
      <c r="E679" s="176"/>
      <c r="F679" s="176"/>
      <c r="G679" s="176"/>
      <c r="H679" s="499">
        <f>SUM(Tabla132112415[[#This Row],[PRIMER TRIMESTRE]:[CUARTO TRIMESTRE]])</f>
        <v>0</v>
      </c>
      <c r="I679" s="72">
        <v>5.64</v>
      </c>
      <c r="J679" s="17">
        <f t="shared" si="19"/>
        <v>0</v>
      </c>
      <c r="K679" s="17"/>
      <c r="L679" s="17" t="s">
        <v>18</v>
      </c>
      <c r="M679" s="16" t="s">
        <v>22</v>
      </c>
      <c r="N679" s="39" t="s">
        <v>418</v>
      </c>
    </row>
    <row r="680" spans="1:14" s="12" customFormat="1" ht="30">
      <c r="A680" s="178" t="s">
        <v>96</v>
      </c>
      <c r="B680" s="75" t="s">
        <v>804</v>
      </c>
      <c r="C680" s="176" t="s">
        <v>343</v>
      </c>
      <c r="D680" s="176"/>
      <c r="E680" s="176"/>
      <c r="F680" s="176"/>
      <c r="G680" s="176"/>
      <c r="H680" s="499">
        <f>SUM(Tabla132112415[[#This Row],[PRIMER TRIMESTRE]:[CUARTO TRIMESTRE]])</f>
        <v>0</v>
      </c>
      <c r="I680" s="17">
        <v>12</v>
      </c>
      <c r="J680" s="17">
        <f t="shared" si="19"/>
        <v>0</v>
      </c>
      <c r="K680" s="17"/>
      <c r="L680" s="17" t="s">
        <v>18</v>
      </c>
      <c r="M680" s="16" t="s">
        <v>22</v>
      </c>
      <c r="N680" s="39" t="s">
        <v>418</v>
      </c>
    </row>
    <row r="681" spans="1:14" s="12" customFormat="1" ht="30">
      <c r="A681" s="178" t="s">
        <v>96</v>
      </c>
      <c r="B681" s="75" t="s">
        <v>805</v>
      </c>
      <c r="C681" s="176" t="s">
        <v>343</v>
      </c>
      <c r="D681" s="176"/>
      <c r="E681" s="176"/>
      <c r="F681" s="176"/>
      <c r="G681" s="176"/>
      <c r="H681" s="499">
        <f>SUM(Tabla132112415[[#This Row],[PRIMER TRIMESTRE]:[CUARTO TRIMESTRE]])</f>
        <v>0</v>
      </c>
      <c r="I681" s="72">
        <v>19</v>
      </c>
      <c r="J681" s="17">
        <f t="shared" si="19"/>
        <v>0</v>
      </c>
      <c r="K681" s="17"/>
      <c r="L681" s="17" t="s">
        <v>18</v>
      </c>
      <c r="M681" s="16" t="s">
        <v>22</v>
      </c>
      <c r="N681" s="39" t="s">
        <v>418</v>
      </c>
    </row>
    <row r="682" spans="1:14" s="12" customFormat="1" ht="30">
      <c r="A682" s="178" t="s">
        <v>96</v>
      </c>
      <c r="B682" s="75" t="s">
        <v>806</v>
      </c>
      <c r="C682" s="176" t="s">
        <v>343</v>
      </c>
      <c r="D682" s="176"/>
      <c r="E682" s="176"/>
      <c r="F682" s="176"/>
      <c r="G682" s="176"/>
      <c r="H682" s="499">
        <f>SUM(Tabla132112415[[#This Row],[PRIMER TRIMESTRE]:[CUARTO TRIMESTRE]])</f>
        <v>0</v>
      </c>
      <c r="I682" s="72">
        <v>22</v>
      </c>
      <c r="J682" s="17">
        <f t="shared" si="19"/>
        <v>0</v>
      </c>
      <c r="K682" s="17"/>
      <c r="L682" s="17" t="s">
        <v>18</v>
      </c>
      <c r="M682" s="16" t="s">
        <v>22</v>
      </c>
      <c r="N682" s="39" t="s">
        <v>418</v>
      </c>
    </row>
    <row r="683" spans="1:14" s="12" customFormat="1" ht="30">
      <c r="A683" s="178" t="s">
        <v>96</v>
      </c>
      <c r="B683" s="75" t="s">
        <v>807</v>
      </c>
      <c r="C683" s="176" t="s">
        <v>343</v>
      </c>
      <c r="D683" s="176"/>
      <c r="E683" s="176"/>
      <c r="F683" s="176"/>
      <c r="G683" s="176"/>
      <c r="H683" s="499">
        <f>SUM(Tabla132112415[[#This Row],[PRIMER TRIMESTRE]:[CUARTO TRIMESTRE]])</f>
        <v>0</v>
      </c>
      <c r="I683" s="72">
        <v>30.5</v>
      </c>
      <c r="J683" s="17">
        <f t="shared" si="19"/>
        <v>0</v>
      </c>
      <c r="K683" s="17"/>
      <c r="L683" s="17" t="s">
        <v>18</v>
      </c>
      <c r="M683" s="16" t="s">
        <v>22</v>
      </c>
      <c r="N683" s="39" t="s">
        <v>418</v>
      </c>
    </row>
    <row r="684" spans="1:14" s="12" customFormat="1" ht="30">
      <c r="A684" s="178" t="s">
        <v>96</v>
      </c>
      <c r="B684" s="75" t="s">
        <v>808</v>
      </c>
      <c r="C684" s="176" t="s">
        <v>343</v>
      </c>
      <c r="D684" s="176"/>
      <c r="E684" s="176"/>
      <c r="F684" s="176"/>
      <c r="G684" s="176"/>
      <c r="H684" s="499">
        <f>SUM(Tabla132112415[[#This Row],[PRIMER TRIMESTRE]:[CUARTO TRIMESTRE]])</f>
        <v>0</v>
      </c>
      <c r="I684" s="72">
        <v>49.27</v>
      </c>
      <c r="J684" s="17">
        <f t="shared" si="19"/>
        <v>0</v>
      </c>
      <c r="K684" s="17"/>
      <c r="L684" s="17" t="s">
        <v>18</v>
      </c>
      <c r="M684" s="16" t="s">
        <v>22</v>
      </c>
      <c r="N684" s="39" t="s">
        <v>418</v>
      </c>
    </row>
    <row r="685" spans="1:14" s="12" customFormat="1" ht="30">
      <c r="A685" s="178" t="s">
        <v>96</v>
      </c>
      <c r="B685" s="75" t="s">
        <v>809</v>
      </c>
      <c r="C685" s="176" t="s">
        <v>343</v>
      </c>
      <c r="D685" s="176"/>
      <c r="E685" s="176"/>
      <c r="F685" s="176"/>
      <c r="G685" s="176"/>
      <c r="H685" s="499">
        <f>SUM(Tabla132112415[[#This Row],[PRIMER TRIMESTRE]:[CUARTO TRIMESTRE]])</f>
        <v>0</v>
      </c>
      <c r="I685" s="72">
        <v>73</v>
      </c>
      <c r="J685" s="17">
        <f t="shared" si="19"/>
        <v>0</v>
      </c>
      <c r="K685" s="17"/>
      <c r="L685" s="17" t="s">
        <v>18</v>
      </c>
      <c r="M685" s="16" t="s">
        <v>22</v>
      </c>
      <c r="N685" s="39" t="s">
        <v>418</v>
      </c>
    </row>
    <row r="686" spans="1:14" s="12" customFormat="1" ht="30">
      <c r="A686" s="178" t="s">
        <v>96</v>
      </c>
      <c r="B686" s="75" t="s">
        <v>810</v>
      </c>
      <c r="C686" s="176" t="s">
        <v>343</v>
      </c>
      <c r="D686" s="176"/>
      <c r="E686" s="176"/>
      <c r="F686" s="176"/>
      <c r="G686" s="176"/>
      <c r="H686" s="499">
        <f>SUM(Tabla132112415[[#This Row],[PRIMER TRIMESTRE]:[CUARTO TRIMESTRE]])</f>
        <v>0</v>
      </c>
      <c r="I686" s="17">
        <v>95</v>
      </c>
      <c r="J686" s="17">
        <f t="shared" si="19"/>
        <v>0</v>
      </c>
      <c r="K686" s="17"/>
      <c r="L686" s="17" t="s">
        <v>18</v>
      </c>
      <c r="M686" s="16" t="s">
        <v>22</v>
      </c>
      <c r="N686" s="39" t="s">
        <v>418</v>
      </c>
    </row>
    <row r="687" spans="1:14" s="12" customFormat="1" ht="30">
      <c r="A687" s="178" t="s">
        <v>96</v>
      </c>
      <c r="B687" s="75" t="s">
        <v>811</v>
      </c>
      <c r="C687" s="176" t="s">
        <v>343</v>
      </c>
      <c r="D687" s="176"/>
      <c r="E687" s="176"/>
      <c r="F687" s="176"/>
      <c r="G687" s="176"/>
      <c r="H687" s="499">
        <f>SUM(Tabla132112415[[#This Row],[PRIMER TRIMESTRE]:[CUARTO TRIMESTRE]])</f>
        <v>0</v>
      </c>
      <c r="I687" s="17">
        <v>121.25</v>
      </c>
      <c r="J687" s="17">
        <f t="shared" si="19"/>
        <v>0</v>
      </c>
      <c r="K687" s="17"/>
      <c r="L687" s="17" t="s">
        <v>18</v>
      </c>
      <c r="M687" s="16" t="s">
        <v>22</v>
      </c>
      <c r="N687" s="39" t="s">
        <v>418</v>
      </c>
    </row>
    <row r="688" spans="1:14" s="12" customFormat="1" ht="30">
      <c r="A688" s="178" t="s">
        <v>96</v>
      </c>
      <c r="B688" s="75" t="s">
        <v>812</v>
      </c>
      <c r="C688" s="176" t="s">
        <v>343</v>
      </c>
      <c r="D688" s="176"/>
      <c r="E688" s="176"/>
      <c r="F688" s="176"/>
      <c r="G688" s="176"/>
      <c r="H688" s="499">
        <f>SUM(Tabla132112415[[#This Row],[PRIMER TRIMESTRE]:[CUARTO TRIMESTRE]])</f>
        <v>0</v>
      </c>
      <c r="I688" s="17">
        <v>163.98</v>
      </c>
      <c r="J688" s="17">
        <f t="shared" si="19"/>
        <v>0</v>
      </c>
      <c r="K688" s="17"/>
      <c r="L688" s="17" t="s">
        <v>18</v>
      </c>
      <c r="M688" s="16" t="s">
        <v>22</v>
      </c>
      <c r="N688" s="39" t="s">
        <v>418</v>
      </c>
    </row>
    <row r="689" spans="1:14" s="12" customFormat="1" ht="30">
      <c r="A689" s="178" t="s">
        <v>96</v>
      </c>
      <c r="B689" s="75" t="s">
        <v>1479</v>
      </c>
      <c r="C689" s="176" t="s">
        <v>343</v>
      </c>
      <c r="D689" s="176"/>
      <c r="E689" s="176"/>
      <c r="F689" s="176"/>
      <c r="G689" s="176"/>
      <c r="H689" s="176">
        <f>SUM(Tabla132112415[[#This Row],[PRIMER TRIMESTRE]:[CUARTO TRIMESTRE]])</f>
        <v>0</v>
      </c>
      <c r="I689" s="17">
        <v>249.9</v>
      </c>
      <c r="J689" s="17">
        <f t="shared" si="19"/>
        <v>0</v>
      </c>
      <c r="K689" s="17"/>
      <c r="L689" s="17" t="s">
        <v>18</v>
      </c>
      <c r="M689" s="16" t="s">
        <v>22</v>
      </c>
      <c r="N689" s="39" t="s">
        <v>418</v>
      </c>
    </row>
    <row r="690" spans="1:14" s="12" customFormat="1" ht="30">
      <c r="A690" s="178" t="s">
        <v>96</v>
      </c>
      <c r="B690" s="75" t="s">
        <v>1463</v>
      </c>
      <c r="C690" s="176" t="s">
        <v>343</v>
      </c>
      <c r="D690" s="176"/>
      <c r="E690" s="176"/>
      <c r="F690" s="176"/>
      <c r="G690" s="176"/>
      <c r="H690" s="499">
        <f>SUM(Tabla132112415[[#This Row],[PRIMER TRIMESTRE]:[CUARTO TRIMESTRE]])</f>
        <v>0</v>
      </c>
      <c r="I690" s="17">
        <v>175</v>
      </c>
      <c r="J690" s="17">
        <f t="shared" si="19"/>
        <v>0</v>
      </c>
      <c r="K690" s="17"/>
      <c r="L690" s="17" t="s">
        <v>18</v>
      </c>
      <c r="M690" s="16" t="s">
        <v>22</v>
      </c>
      <c r="N690" s="39" t="s">
        <v>418</v>
      </c>
    </row>
    <row r="691" spans="1:14" s="12" customFormat="1" ht="30">
      <c r="A691" s="178" t="s">
        <v>96</v>
      </c>
      <c r="B691" s="75" t="s">
        <v>1448</v>
      </c>
      <c r="C691" s="176" t="s">
        <v>343</v>
      </c>
      <c r="D691" s="176"/>
      <c r="E691" s="176"/>
      <c r="F691" s="176"/>
      <c r="G691" s="176"/>
      <c r="H691" s="499">
        <f>SUM(Tabla132112415[[#This Row],[PRIMER TRIMESTRE]:[CUARTO TRIMESTRE]])</f>
        <v>0</v>
      </c>
      <c r="I691" s="17">
        <v>120</v>
      </c>
      <c r="J691" s="17">
        <f t="shared" si="19"/>
        <v>0</v>
      </c>
      <c r="K691" s="17"/>
      <c r="L691" s="17" t="s">
        <v>18</v>
      </c>
      <c r="M691" s="16" t="s">
        <v>22</v>
      </c>
      <c r="N691" s="39" t="s">
        <v>418</v>
      </c>
    </row>
    <row r="692" spans="1:14" s="12" customFormat="1" ht="30">
      <c r="A692" s="178" t="s">
        <v>96</v>
      </c>
      <c r="B692" s="75" t="s">
        <v>1476</v>
      </c>
      <c r="C692" s="176" t="s">
        <v>343</v>
      </c>
      <c r="D692" s="176"/>
      <c r="E692" s="176"/>
      <c r="F692" s="176"/>
      <c r="G692" s="176"/>
      <c r="H692" s="176">
        <f>SUM(Tabla132112415[[#This Row],[PRIMER TRIMESTRE]:[CUARTO TRIMESTRE]])</f>
        <v>0</v>
      </c>
      <c r="I692" s="17">
        <v>48.72</v>
      </c>
      <c r="J692" s="17">
        <f t="shared" si="19"/>
        <v>0</v>
      </c>
      <c r="K692" s="17"/>
      <c r="L692" s="17" t="s">
        <v>18</v>
      </c>
      <c r="M692" s="16" t="s">
        <v>22</v>
      </c>
      <c r="N692" s="39" t="s">
        <v>418</v>
      </c>
    </row>
    <row r="693" spans="1:14" s="12" customFormat="1" ht="30">
      <c r="A693" s="178" t="s">
        <v>96</v>
      </c>
      <c r="B693" s="75" t="s">
        <v>1477</v>
      </c>
      <c r="C693" s="176" t="s">
        <v>343</v>
      </c>
      <c r="D693" s="176"/>
      <c r="E693" s="176"/>
      <c r="F693" s="176"/>
      <c r="G693" s="176"/>
      <c r="H693" s="176">
        <f>SUM(Tabla132112415[[#This Row],[PRIMER TRIMESTRE]:[CUARTO TRIMESTRE]])</f>
        <v>0</v>
      </c>
      <c r="I693" s="17">
        <v>78</v>
      </c>
      <c r="J693" s="17">
        <f t="shared" si="19"/>
        <v>0</v>
      </c>
      <c r="K693" s="17"/>
      <c r="L693" s="17" t="s">
        <v>18</v>
      </c>
      <c r="M693" s="16" t="s">
        <v>22</v>
      </c>
      <c r="N693" s="39" t="s">
        <v>418</v>
      </c>
    </row>
    <row r="694" spans="1:14" s="12" customFormat="1" ht="30">
      <c r="A694" s="178" t="s">
        <v>96</v>
      </c>
      <c r="B694" s="75" t="s">
        <v>1680</v>
      </c>
      <c r="C694" s="176" t="s">
        <v>343</v>
      </c>
      <c r="D694" s="176"/>
      <c r="E694" s="176"/>
      <c r="F694" s="176"/>
      <c r="G694" s="176"/>
      <c r="H694" s="499">
        <v>0</v>
      </c>
      <c r="I694" s="17">
        <v>0</v>
      </c>
      <c r="J694" s="17">
        <v>0</v>
      </c>
      <c r="K694" s="17"/>
      <c r="L694" s="17" t="s">
        <v>18</v>
      </c>
      <c r="M694" s="16" t="s">
        <v>22</v>
      </c>
      <c r="N694" s="39" t="s">
        <v>418</v>
      </c>
    </row>
    <row r="695" spans="1:14" s="12" customFormat="1" ht="30">
      <c r="A695" s="178" t="s">
        <v>96</v>
      </c>
      <c r="B695" s="75" t="s">
        <v>1478</v>
      </c>
      <c r="C695" s="176" t="s">
        <v>343</v>
      </c>
      <c r="D695" s="176"/>
      <c r="E695" s="176"/>
      <c r="F695" s="176"/>
      <c r="G695" s="176"/>
      <c r="H695" s="176">
        <f>SUM(Tabla132112415[[#This Row],[PRIMER TRIMESTRE]:[CUARTO TRIMESTRE]])</f>
        <v>0</v>
      </c>
      <c r="I695" s="17">
        <v>109.2</v>
      </c>
      <c r="J695" s="17">
        <f t="shared" si="19"/>
        <v>0</v>
      </c>
      <c r="K695" s="17"/>
      <c r="L695" s="17" t="s">
        <v>18</v>
      </c>
      <c r="M695" s="16" t="s">
        <v>22</v>
      </c>
      <c r="N695" s="39" t="s">
        <v>418</v>
      </c>
    </row>
    <row r="696" spans="1:14" s="12" customFormat="1" ht="30">
      <c r="A696" s="178" t="s">
        <v>96</v>
      </c>
      <c r="B696" s="75" t="s">
        <v>1473</v>
      </c>
      <c r="C696" s="176" t="s">
        <v>343</v>
      </c>
      <c r="D696" s="176"/>
      <c r="E696" s="176"/>
      <c r="F696" s="176"/>
      <c r="G696" s="176"/>
      <c r="H696" s="176">
        <f>SUM(Tabla132112415[[#This Row],[PRIMER TRIMESTRE]:[CUARTO TRIMESTRE]])</f>
        <v>0</v>
      </c>
      <c r="I696" s="17">
        <v>126</v>
      </c>
      <c r="J696" s="17">
        <f t="shared" si="19"/>
        <v>0</v>
      </c>
      <c r="K696" s="17"/>
      <c r="L696" s="17" t="s">
        <v>18</v>
      </c>
      <c r="M696" s="16" t="s">
        <v>22</v>
      </c>
      <c r="N696" s="39" t="s">
        <v>418</v>
      </c>
    </row>
    <row r="697" spans="1:14" s="12" customFormat="1" ht="30">
      <c r="A697" s="178" t="s">
        <v>96</v>
      </c>
      <c r="B697" s="75" t="s">
        <v>1474</v>
      </c>
      <c r="C697" s="176" t="s">
        <v>343</v>
      </c>
      <c r="D697" s="176"/>
      <c r="E697" s="176"/>
      <c r="F697" s="176"/>
      <c r="G697" s="176"/>
      <c r="H697" s="176">
        <f>SUM(Tabla132112415[[#This Row],[PRIMER TRIMESTRE]:[CUARTO TRIMESTRE]])</f>
        <v>0</v>
      </c>
      <c r="I697" s="17">
        <v>10.8</v>
      </c>
      <c r="J697" s="17">
        <f t="shared" si="19"/>
        <v>0</v>
      </c>
      <c r="K697" s="17"/>
      <c r="L697" s="17" t="s">
        <v>18</v>
      </c>
      <c r="M697" s="16" t="s">
        <v>22</v>
      </c>
      <c r="N697" s="39" t="s">
        <v>418</v>
      </c>
    </row>
    <row r="698" spans="1:14" s="12" customFormat="1" ht="30">
      <c r="A698" s="178" t="s">
        <v>96</v>
      </c>
      <c r="B698" s="75" t="s">
        <v>1475</v>
      </c>
      <c r="C698" s="176" t="s">
        <v>343</v>
      </c>
      <c r="D698" s="176"/>
      <c r="E698" s="176"/>
      <c r="F698" s="176"/>
      <c r="G698" s="176"/>
      <c r="H698" s="176">
        <f>SUM(Tabla132112415[[#This Row],[PRIMER TRIMESTRE]:[CUARTO TRIMESTRE]])</f>
        <v>0</v>
      </c>
      <c r="I698" s="17">
        <v>98.88</v>
      </c>
      <c r="J698" s="17">
        <f t="shared" si="19"/>
        <v>0</v>
      </c>
      <c r="K698" s="17"/>
      <c r="L698" s="17" t="s">
        <v>18</v>
      </c>
      <c r="M698" s="16" t="s">
        <v>22</v>
      </c>
      <c r="N698" s="39" t="s">
        <v>418</v>
      </c>
    </row>
    <row r="699" spans="1:14" s="12" customFormat="1" ht="30">
      <c r="A699" s="178" t="s">
        <v>96</v>
      </c>
      <c r="B699" s="75" t="s">
        <v>1480</v>
      </c>
      <c r="C699" s="176" t="s">
        <v>343</v>
      </c>
      <c r="D699" s="176"/>
      <c r="E699" s="176"/>
      <c r="F699" s="176"/>
      <c r="G699" s="176"/>
      <c r="H699" s="176">
        <f>SUM(Tabla132112415[[#This Row],[PRIMER TRIMESTRE]:[CUARTO TRIMESTRE]])</f>
        <v>0</v>
      </c>
      <c r="I699" s="17">
        <v>169.73</v>
      </c>
      <c r="J699" s="17">
        <f t="shared" si="19"/>
        <v>0</v>
      </c>
      <c r="K699" s="17"/>
      <c r="L699" s="17" t="s">
        <v>18</v>
      </c>
      <c r="M699" s="16" t="s">
        <v>22</v>
      </c>
      <c r="N699" s="39" t="s">
        <v>418</v>
      </c>
    </row>
    <row r="700" spans="1:14" s="12" customFormat="1" ht="30">
      <c r="A700" s="178" t="s">
        <v>96</v>
      </c>
      <c r="B700" s="75" t="s">
        <v>1481</v>
      </c>
      <c r="C700" s="176" t="s">
        <v>343</v>
      </c>
      <c r="D700" s="176"/>
      <c r="E700" s="176"/>
      <c r="F700" s="176"/>
      <c r="G700" s="176"/>
      <c r="H700" s="176">
        <f>SUM(Tabla132112415[[#This Row],[PRIMER TRIMESTRE]:[CUARTO TRIMESTRE]])</f>
        <v>0</v>
      </c>
      <c r="I700" s="17">
        <v>49</v>
      </c>
      <c r="J700" s="17">
        <f t="shared" si="19"/>
        <v>0</v>
      </c>
      <c r="K700" s="17"/>
      <c r="L700" s="17" t="s">
        <v>18</v>
      </c>
      <c r="M700" s="16" t="s">
        <v>22</v>
      </c>
      <c r="N700" s="39" t="s">
        <v>418</v>
      </c>
    </row>
    <row r="701" spans="1:14" s="12" customFormat="1" ht="30">
      <c r="A701" s="178" t="s">
        <v>96</v>
      </c>
      <c r="B701" s="75" t="s">
        <v>1691</v>
      </c>
      <c r="C701" s="176" t="s">
        <v>343</v>
      </c>
      <c r="D701" s="176"/>
      <c r="E701" s="176"/>
      <c r="F701" s="176"/>
      <c r="G701" s="176"/>
      <c r="H701" s="499">
        <v>0</v>
      </c>
      <c r="I701" s="17">
        <v>0</v>
      </c>
      <c r="J701" s="17">
        <v>0</v>
      </c>
      <c r="K701" s="17"/>
      <c r="L701" s="17" t="s">
        <v>18</v>
      </c>
      <c r="M701" s="16" t="s">
        <v>22</v>
      </c>
      <c r="N701" s="39" t="s">
        <v>418</v>
      </c>
    </row>
    <row r="702" spans="1:14" s="12" customFormat="1" ht="30">
      <c r="A702" s="178" t="s">
        <v>96</v>
      </c>
      <c r="B702" s="75" t="s">
        <v>813</v>
      </c>
      <c r="C702" s="176" t="s">
        <v>343</v>
      </c>
      <c r="D702" s="176"/>
      <c r="E702" s="176"/>
      <c r="F702" s="176"/>
      <c r="G702" s="176"/>
      <c r="H702" s="176">
        <f>SUM(Tabla132112415[[#This Row],[PRIMER TRIMESTRE]:[CUARTO TRIMESTRE]])</f>
        <v>0</v>
      </c>
      <c r="I702" s="17">
        <v>309.39999999999998</v>
      </c>
      <c r="J702" s="17">
        <f t="shared" si="19"/>
        <v>0</v>
      </c>
      <c r="K702" s="17"/>
      <c r="L702" s="17" t="s">
        <v>18</v>
      </c>
      <c r="M702" s="16" t="s">
        <v>22</v>
      </c>
      <c r="N702" s="39" t="s">
        <v>418</v>
      </c>
    </row>
    <row r="703" spans="1:14" s="12" customFormat="1" ht="30">
      <c r="A703" s="178" t="s">
        <v>1676</v>
      </c>
      <c r="B703" s="75" t="s">
        <v>1853</v>
      </c>
      <c r="C703" s="176" t="s">
        <v>343</v>
      </c>
      <c r="D703" s="176"/>
      <c r="E703" s="176"/>
      <c r="F703" s="176"/>
      <c r="G703" s="176"/>
      <c r="H703" s="499">
        <v>0</v>
      </c>
      <c r="I703" s="17">
        <v>0</v>
      </c>
      <c r="J703" s="17">
        <v>0</v>
      </c>
      <c r="K703" s="17"/>
      <c r="L703" s="17" t="s">
        <v>18</v>
      </c>
      <c r="M703" s="16" t="s">
        <v>22</v>
      </c>
      <c r="N703" s="39" t="s">
        <v>418</v>
      </c>
    </row>
    <row r="704" spans="1:14" s="12" customFormat="1" ht="30">
      <c r="A704" s="178" t="s">
        <v>96</v>
      </c>
      <c r="B704" s="75" t="s">
        <v>1571</v>
      </c>
      <c r="C704" s="176" t="s">
        <v>17</v>
      </c>
      <c r="D704" s="176"/>
      <c r="E704" s="176"/>
      <c r="F704" s="176"/>
      <c r="G704" s="176"/>
      <c r="H704" s="176">
        <f>SUM(Tabla132112415[[#This Row],[PRIMER TRIMESTRE]:[CUARTO TRIMESTRE]])</f>
        <v>0</v>
      </c>
      <c r="I704" s="17">
        <v>131500</v>
      </c>
      <c r="J704" s="17">
        <f t="shared" si="19"/>
        <v>0</v>
      </c>
      <c r="K704" s="17"/>
      <c r="L704" s="17" t="s">
        <v>18</v>
      </c>
      <c r="M704" s="16" t="s">
        <v>22</v>
      </c>
      <c r="N704" s="39" t="s">
        <v>418</v>
      </c>
    </row>
    <row r="705" spans="1:14" s="12" customFormat="1" ht="30">
      <c r="A705" s="178" t="s">
        <v>96</v>
      </c>
      <c r="B705" s="75" t="s">
        <v>1570</v>
      </c>
      <c r="C705" s="176" t="s">
        <v>343</v>
      </c>
      <c r="D705" s="176"/>
      <c r="E705" s="176"/>
      <c r="F705" s="176"/>
      <c r="G705" s="176"/>
      <c r="H705" s="176">
        <f>SUM(Tabla132112415[[#This Row],[PRIMER TRIMESTRE]:[CUARTO TRIMESTRE]])</f>
        <v>0</v>
      </c>
      <c r="I705" s="17">
        <v>31.11</v>
      </c>
      <c r="J705" s="17">
        <f t="shared" si="19"/>
        <v>0</v>
      </c>
      <c r="K705" s="17"/>
      <c r="L705" s="17" t="s">
        <v>18</v>
      </c>
      <c r="M705" s="16" t="s">
        <v>22</v>
      </c>
      <c r="N705" s="39" t="s">
        <v>418</v>
      </c>
    </row>
    <row r="706" spans="1:14" s="12" customFormat="1" ht="30">
      <c r="A706" s="178" t="s">
        <v>96</v>
      </c>
      <c r="B706" s="75" t="s">
        <v>1603</v>
      </c>
      <c r="C706" s="176" t="s">
        <v>343</v>
      </c>
      <c r="D706" s="176"/>
      <c r="E706" s="176"/>
      <c r="F706" s="176"/>
      <c r="G706" s="176"/>
      <c r="H706" s="176">
        <f>SUM(Tabla132112415[[#This Row],[PRIMER TRIMESTRE]:[CUARTO TRIMESTRE]])</f>
        <v>0</v>
      </c>
      <c r="I706" s="17">
        <v>75.61</v>
      </c>
      <c r="J706" s="17">
        <f t="shared" si="19"/>
        <v>0</v>
      </c>
      <c r="K706" s="17"/>
      <c r="L706" s="17" t="s">
        <v>18</v>
      </c>
      <c r="M706" s="16" t="s">
        <v>22</v>
      </c>
      <c r="N706" s="39" t="s">
        <v>418</v>
      </c>
    </row>
    <row r="707" spans="1:14" s="12" customFormat="1" ht="30">
      <c r="A707" s="178" t="s">
        <v>96</v>
      </c>
      <c r="B707" s="75" t="s">
        <v>1602</v>
      </c>
      <c r="C707" s="176" t="s">
        <v>343</v>
      </c>
      <c r="D707" s="176"/>
      <c r="E707" s="176"/>
      <c r="F707" s="176"/>
      <c r="G707" s="176"/>
      <c r="H707" s="176">
        <f>SUM(Tabla132112415[[#This Row],[PRIMER TRIMESTRE]:[CUARTO TRIMESTRE]])</f>
        <v>0</v>
      </c>
      <c r="I707" s="17">
        <v>77.77</v>
      </c>
      <c r="J707" s="17">
        <f t="shared" si="19"/>
        <v>0</v>
      </c>
      <c r="K707" s="17"/>
      <c r="L707" s="17" t="s">
        <v>18</v>
      </c>
      <c r="M707" s="16" t="s">
        <v>22</v>
      </c>
      <c r="N707" s="39" t="s">
        <v>418</v>
      </c>
    </row>
    <row r="708" spans="1:14" s="12" customFormat="1" ht="30">
      <c r="A708" s="178" t="s">
        <v>96</v>
      </c>
      <c r="B708" s="75" t="s">
        <v>814</v>
      </c>
      <c r="C708" s="176" t="s">
        <v>343</v>
      </c>
      <c r="D708" s="176"/>
      <c r="E708" s="176"/>
      <c r="F708" s="176"/>
      <c r="G708" s="176"/>
      <c r="H708" s="499">
        <f>SUM(Tabla132112415[[#This Row],[PRIMER TRIMESTRE]:[CUARTO TRIMESTRE]])</f>
        <v>0</v>
      </c>
      <c r="I708" s="17">
        <v>380.3</v>
      </c>
      <c r="J708" s="17">
        <f t="shared" si="19"/>
        <v>0</v>
      </c>
      <c r="K708" s="17"/>
      <c r="L708" s="17" t="s">
        <v>18</v>
      </c>
      <c r="M708" s="16" t="s">
        <v>22</v>
      </c>
      <c r="N708" s="39" t="s">
        <v>418</v>
      </c>
    </row>
    <row r="709" spans="1:14" s="12" customFormat="1" ht="30">
      <c r="A709" s="178" t="s">
        <v>96</v>
      </c>
      <c r="B709" s="77" t="s">
        <v>874</v>
      </c>
      <c r="C709" s="176" t="s">
        <v>17</v>
      </c>
      <c r="D709" s="176"/>
      <c r="E709" s="176"/>
      <c r="F709" s="176"/>
      <c r="G709" s="176"/>
      <c r="H709" s="499">
        <f>SUM(Tabla132112415[[#This Row],[PRIMER TRIMESTRE]:[CUARTO TRIMESTRE]])</f>
        <v>0</v>
      </c>
      <c r="I709" s="17">
        <v>110</v>
      </c>
      <c r="J709" s="17">
        <f t="shared" si="19"/>
        <v>0</v>
      </c>
      <c r="K709" s="17"/>
      <c r="L709" s="16" t="s">
        <v>18</v>
      </c>
      <c r="M709" s="16" t="s">
        <v>22</v>
      </c>
      <c r="N709" s="39"/>
    </row>
    <row r="710" spans="1:14" s="12" customFormat="1" ht="30">
      <c r="A710" s="178" t="s">
        <v>96</v>
      </c>
      <c r="B710" s="77" t="s">
        <v>875</v>
      </c>
      <c r="C710" s="176" t="s">
        <v>17</v>
      </c>
      <c r="D710" s="176"/>
      <c r="E710" s="176"/>
      <c r="F710" s="176"/>
      <c r="G710" s="176"/>
      <c r="H710" s="499">
        <f>SUM(Tabla132112415[[#This Row],[PRIMER TRIMESTRE]:[CUARTO TRIMESTRE]])</f>
        <v>0</v>
      </c>
      <c r="I710" s="17">
        <v>125</v>
      </c>
      <c r="J710" s="17">
        <f t="shared" si="19"/>
        <v>0</v>
      </c>
      <c r="K710" s="17"/>
      <c r="L710" s="16" t="s">
        <v>18</v>
      </c>
      <c r="M710" s="16" t="s">
        <v>22</v>
      </c>
      <c r="N710" s="39"/>
    </row>
    <row r="711" spans="1:14" s="12" customFormat="1" ht="30">
      <c r="A711" s="178" t="s">
        <v>96</v>
      </c>
      <c r="B711" s="77" t="s">
        <v>876</v>
      </c>
      <c r="C711" s="176" t="s">
        <v>17</v>
      </c>
      <c r="D711" s="176"/>
      <c r="E711" s="176"/>
      <c r="F711" s="176"/>
      <c r="G711" s="176"/>
      <c r="H711" s="499">
        <f>SUM(Tabla132112415[[#This Row],[PRIMER TRIMESTRE]:[CUARTO TRIMESTRE]])</f>
        <v>0</v>
      </c>
      <c r="I711" s="17">
        <v>135</v>
      </c>
      <c r="J711" s="17">
        <f t="shared" si="19"/>
        <v>0</v>
      </c>
      <c r="K711" s="17"/>
      <c r="L711" s="16" t="s">
        <v>18</v>
      </c>
      <c r="M711" s="16" t="s">
        <v>22</v>
      </c>
      <c r="N711" s="39"/>
    </row>
    <row r="712" spans="1:14" s="12" customFormat="1" ht="30">
      <c r="A712" s="178" t="s">
        <v>96</v>
      </c>
      <c r="B712" s="77" t="s">
        <v>877</v>
      </c>
      <c r="C712" s="176" t="s">
        <v>17</v>
      </c>
      <c r="D712" s="176"/>
      <c r="E712" s="176"/>
      <c r="F712" s="176"/>
      <c r="G712" s="176"/>
      <c r="H712" s="499">
        <f>SUM(Tabla132112415[[#This Row],[PRIMER TRIMESTRE]:[CUARTO TRIMESTRE]])</f>
        <v>0</v>
      </c>
      <c r="I712" s="17">
        <v>175</v>
      </c>
      <c r="J712" s="17">
        <f t="shared" si="19"/>
        <v>0</v>
      </c>
      <c r="K712" s="17"/>
      <c r="L712" s="16" t="s">
        <v>18</v>
      </c>
      <c r="M712" s="16" t="s">
        <v>22</v>
      </c>
      <c r="N712" s="39"/>
    </row>
    <row r="713" spans="1:14" s="12" customFormat="1" ht="30">
      <c r="A713" s="178" t="s">
        <v>96</v>
      </c>
      <c r="B713" s="77" t="s">
        <v>878</v>
      </c>
      <c r="C713" s="176" t="s">
        <v>17</v>
      </c>
      <c r="D713" s="176"/>
      <c r="E713" s="176"/>
      <c r="F713" s="176"/>
      <c r="G713" s="176"/>
      <c r="H713" s="499">
        <f>SUM(Tabla132112415[[#This Row],[PRIMER TRIMESTRE]:[CUARTO TRIMESTRE]])</f>
        <v>0</v>
      </c>
      <c r="I713" s="17">
        <v>191</v>
      </c>
      <c r="J713" s="17">
        <f t="shared" si="19"/>
        <v>0</v>
      </c>
      <c r="K713" s="17"/>
      <c r="L713" s="16" t="s">
        <v>18</v>
      </c>
      <c r="M713" s="16" t="s">
        <v>22</v>
      </c>
      <c r="N713" s="39"/>
    </row>
    <row r="714" spans="1:14" s="12" customFormat="1" ht="30">
      <c r="A714" s="178" t="s">
        <v>96</v>
      </c>
      <c r="B714" s="77" t="s">
        <v>1595</v>
      </c>
      <c r="C714" s="176" t="s">
        <v>17</v>
      </c>
      <c r="D714" s="176"/>
      <c r="E714" s="176"/>
      <c r="F714" s="176"/>
      <c r="G714" s="176"/>
      <c r="H714" s="176">
        <f>SUM(Tabla132112415[[#This Row],[PRIMER TRIMESTRE]:[CUARTO TRIMESTRE]])</f>
        <v>0</v>
      </c>
      <c r="I714" s="17">
        <v>371.2</v>
      </c>
      <c r="J714" s="17">
        <f t="shared" si="19"/>
        <v>0</v>
      </c>
      <c r="K714" s="17"/>
      <c r="L714" s="16" t="s">
        <v>18</v>
      </c>
      <c r="M714" s="16" t="s">
        <v>22</v>
      </c>
      <c r="N714" s="39"/>
    </row>
    <row r="715" spans="1:14" s="12" customFormat="1" ht="30">
      <c r="A715" s="178" t="s">
        <v>96</v>
      </c>
      <c r="B715" s="77" t="s">
        <v>879</v>
      </c>
      <c r="C715" s="176" t="s">
        <v>17</v>
      </c>
      <c r="D715" s="176"/>
      <c r="E715" s="176"/>
      <c r="F715" s="176"/>
      <c r="G715" s="176"/>
      <c r="H715" s="499">
        <f>SUM(Tabla132112415[[#This Row],[PRIMER TRIMESTRE]:[CUARTO TRIMESTRE]])</f>
        <v>0</v>
      </c>
      <c r="I715" s="17">
        <v>23600</v>
      </c>
      <c r="J715" s="17">
        <f t="shared" si="19"/>
        <v>0</v>
      </c>
      <c r="K715" s="17"/>
      <c r="L715" s="16" t="s">
        <v>18</v>
      </c>
      <c r="M715" s="16" t="s">
        <v>22</v>
      </c>
      <c r="N715" s="39"/>
    </row>
    <row r="716" spans="1:14" s="12" customFormat="1" ht="30">
      <c r="A716" s="178" t="s">
        <v>96</v>
      </c>
      <c r="B716" s="77" t="s">
        <v>1518</v>
      </c>
      <c r="C716" s="176" t="s">
        <v>208</v>
      </c>
      <c r="D716" s="176"/>
      <c r="E716" s="176"/>
      <c r="F716" s="176"/>
      <c r="G716" s="176"/>
      <c r="H716" s="176">
        <f>SUM(Tabla132112415[[#This Row],[PRIMER TRIMESTRE]:[CUARTO TRIMESTRE]])</f>
        <v>0</v>
      </c>
      <c r="I716" s="17">
        <v>1500.62</v>
      </c>
      <c r="J716" s="17">
        <f t="shared" si="19"/>
        <v>0</v>
      </c>
      <c r="K716" s="17"/>
      <c r="L716" s="16" t="s">
        <v>18</v>
      </c>
      <c r="M716" s="16" t="s">
        <v>22</v>
      </c>
      <c r="N716" s="39"/>
    </row>
    <row r="717" spans="1:14" s="12" customFormat="1" ht="30">
      <c r="A717" s="178" t="s">
        <v>96</v>
      </c>
      <c r="B717" s="77" t="s">
        <v>1519</v>
      </c>
      <c r="C717" s="176" t="s">
        <v>208</v>
      </c>
      <c r="D717" s="176"/>
      <c r="E717" s="176"/>
      <c r="F717" s="176"/>
      <c r="G717" s="176"/>
      <c r="H717" s="176">
        <f>SUM(Tabla132112415[[#This Row],[PRIMER TRIMESTRE]:[CUARTO TRIMESTRE]])</f>
        <v>0</v>
      </c>
      <c r="I717" s="17">
        <v>942.48</v>
      </c>
      <c r="J717" s="17">
        <f t="shared" si="19"/>
        <v>0</v>
      </c>
      <c r="K717" s="17"/>
      <c r="L717" s="16" t="s">
        <v>18</v>
      </c>
      <c r="M717" s="16" t="s">
        <v>22</v>
      </c>
      <c r="N717" s="39"/>
    </row>
    <row r="718" spans="1:14" s="12" customFormat="1" ht="30">
      <c r="A718" s="178" t="s">
        <v>96</v>
      </c>
      <c r="B718" s="77" t="s">
        <v>1520</v>
      </c>
      <c r="C718" s="176" t="s">
        <v>208</v>
      </c>
      <c r="D718" s="176"/>
      <c r="E718" s="176"/>
      <c r="F718" s="176"/>
      <c r="G718" s="176"/>
      <c r="H718" s="176">
        <f>SUM(Tabla132112415[[#This Row],[PRIMER TRIMESTRE]:[CUARTO TRIMESTRE]])</f>
        <v>0</v>
      </c>
      <c r="I718" s="17">
        <v>942.48</v>
      </c>
      <c r="J718" s="17">
        <f t="shared" si="19"/>
        <v>0</v>
      </c>
      <c r="K718" s="17"/>
      <c r="L718" s="16" t="s">
        <v>18</v>
      </c>
      <c r="M718" s="16" t="s">
        <v>22</v>
      </c>
      <c r="N718" s="39"/>
    </row>
    <row r="719" spans="1:14" s="12" customFormat="1" ht="30">
      <c r="A719" s="178" t="s">
        <v>96</v>
      </c>
      <c r="B719" s="77" t="s">
        <v>880</v>
      </c>
      <c r="C719" s="176" t="s">
        <v>17</v>
      </c>
      <c r="D719" s="176"/>
      <c r="E719" s="176"/>
      <c r="F719" s="176"/>
      <c r="G719" s="176"/>
      <c r="H719" s="499">
        <f>SUM(Tabla132112415[[#This Row],[PRIMER TRIMESTRE]:[CUARTO TRIMESTRE]])</f>
        <v>0</v>
      </c>
      <c r="I719" s="17">
        <v>25850</v>
      </c>
      <c r="J719" s="17">
        <f t="shared" si="19"/>
        <v>0</v>
      </c>
      <c r="K719" s="17"/>
      <c r="L719" s="16" t="s">
        <v>18</v>
      </c>
      <c r="M719" s="16" t="s">
        <v>22</v>
      </c>
      <c r="N719" s="39"/>
    </row>
    <row r="720" spans="1:14" s="12" customFormat="1" ht="38.25">
      <c r="A720" s="178" t="s">
        <v>96</v>
      </c>
      <c r="B720" s="77" t="s">
        <v>924</v>
      </c>
      <c r="C720" s="176" t="s">
        <v>17</v>
      </c>
      <c r="D720" s="176"/>
      <c r="E720" s="176"/>
      <c r="F720" s="176"/>
      <c r="G720" s="176"/>
      <c r="H720" s="499">
        <f>SUM(Tabla132112415[[#This Row],[PRIMER TRIMESTRE]:[CUARTO TRIMESTRE]])</f>
        <v>0</v>
      </c>
      <c r="I720" s="17">
        <v>100000</v>
      </c>
      <c r="J720" s="17">
        <f t="shared" si="19"/>
        <v>0</v>
      </c>
      <c r="K720" s="17"/>
      <c r="L720" s="16" t="s">
        <v>18</v>
      </c>
      <c r="M720" s="16" t="s">
        <v>22</v>
      </c>
      <c r="N720" s="39"/>
    </row>
    <row r="721" spans="1:14" s="12" customFormat="1" ht="30">
      <c r="A721" s="178" t="s">
        <v>96</v>
      </c>
      <c r="B721" s="75" t="s">
        <v>882</v>
      </c>
      <c r="C721" s="176" t="s">
        <v>17</v>
      </c>
      <c r="D721" s="176"/>
      <c r="E721" s="176"/>
      <c r="F721" s="176"/>
      <c r="G721" s="176"/>
      <c r="H721" s="499">
        <f>SUM(Tabla132112415[[#This Row],[PRIMER TRIMESTRE]:[CUARTO TRIMESTRE]])</f>
        <v>0</v>
      </c>
      <c r="I721" s="17">
        <v>600</v>
      </c>
      <c r="J721" s="17">
        <f t="shared" si="19"/>
        <v>0</v>
      </c>
      <c r="K721" s="17"/>
      <c r="L721" s="16" t="s">
        <v>18</v>
      </c>
      <c r="M721" s="16" t="s">
        <v>22</v>
      </c>
      <c r="N721" s="39"/>
    </row>
    <row r="722" spans="1:14" s="12" customFormat="1" ht="30">
      <c r="A722" s="178" t="s">
        <v>96</v>
      </c>
      <c r="B722" s="75" t="s">
        <v>883</v>
      </c>
      <c r="C722" s="176" t="s">
        <v>17</v>
      </c>
      <c r="D722" s="176"/>
      <c r="E722" s="176"/>
      <c r="F722" s="176"/>
      <c r="G722" s="176"/>
      <c r="H722" s="499">
        <f>SUM(Tabla132112415[[#This Row],[PRIMER TRIMESTRE]:[CUARTO TRIMESTRE]])</f>
        <v>0</v>
      </c>
      <c r="I722" s="17">
        <v>350</v>
      </c>
      <c r="J722" s="17">
        <f t="shared" si="19"/>
        <v>0</v>
      </c>
      <c r="K722" s="17"/>
      <c r="L722" s="16" t="s">
        <v>18</v>
      </c>
      <c r="M722" s="16" t="s">
        <v>22</v>
      </c>
      <c r="N722" s="39"/>
    </row>
    <row r="723" spans="1:14" s="12" customFormat="1" ht="30">
      <c r="A723" s="178" t="s">
        <v>96</v>
      </c>
      <c r="B723" s="75" t="s">
        <v>884</v>
      </c>
      <c r="C723" s="176" t="s">
        <v>17</v>
      </c>
      <c r="D723" s="176"/>
      <c r="E723" s="176"/>
      <c r="F723" s="176"/>
      <c r="G723" s="176"/>
      <c r="H723" s="499">
        <f>SUM(Tabla132112415[[#This Row],[PRIMER TRIMESTRE]:[CUARTO TRIMESTRE]])</f>
        <v>0</v>
      </c>
      <c r="I723" s="17">
        <v>450</v>
      </c>
      <c r="J723" s="17">
        <f t="shared" si="19"/>
        <v>0</v>
      </c>
      <c r="K723" s="17"/>
      <c r="L723" s="16" t="s">
        <v>18</v>
      </c>
      <c r="M723" s="16" t="s">
        <v>22</v>
      </c>
      <c r="N723" s="39"/>
    </row>
    <row r="724" spans="1:14" s="12" customFormat="1" ht="30">
      <c r="A724" s="178" t="s">
        <v>96</v>
      </c>
      <c r="B724" s="75" t="s">
        <v>885</v>
      </c>
      <c r="C724" s="176" t="s">
        <v>344</v>
      </c>
      <c r="D724" s="176"/>
      <c r="E724" s="176"/>
      <c r="F724" s="176"/>
      <c r="G724" s="176"/>
      <c r="H724" s="499">
        <f>SUM(Tabla132112415[[#This Row],[PRIMER TRIMESTRE]:[CUARTO TRIMESTRE]])</f>
        <v>0</v>
      </c>
      <c r="I724" s="17">
        <v>3650</v>
      </c>
      <c r="J724" s="17">
        <f t="shared" si="19"/>
        <v>0</v>
      </c>
      <c r="K724" s="17"/>
      <c r="L724" s="16" t="s">
        <v>18</v>
      </c>
      <c r="M724" s="16" t="s">
        <v>22</v>
      </c>
      <c r="N724" s="39"/>
    </row>
    <row r="725" spans="1:14" s="12" customFormat="1" ht="30">
      <c r="A725" s="178" t="s">
        <v>96</v>
      </c>
      <c r="B725" s="75" t="s">
        <v>886</v>
      </c>
      <c r="C725" s="176" t="s">
        <v>344</v>
      </c>
      <c r="D725" s="176"/>
      <c r="E725" s="176"/>
      <c r="F725" s="176"/>
      <c r="G725" s="176"/>
      <c r="H725" s="499">
        <f>SUM(Tabla132112415[[#This Row],[PRIMER TRIMESTRE]:[CUARTO TRIMESTRE]])</f>
        <v>0</v>
      </c>
      <c r="I725" s="17">
        <v>3650</v>
      </c>
      <c r="J725" s="17">
        <f t="shared" si="19"/>
        <v>0</v>
      </c>
      <c r="K725" s="17"/>
      <c r="L725" s="16" t="s">
        <v>18</v>
      </c>
      <c r="M725" s="16" t="s">
        <v>22</v>
      </c>
      <c r="N725" s="39"/>
    </row>
    <row r="726" spans="1:14" s="12" customFormat="1" ht="30">
      <c r="A726" s="178" t="s">
        <v>96</v>
      </c>
      <c r="B726" s="75" t="s">
        <v>887</v>
      </c>
      <c r="C726" s="176" t="s">
        <v>344</v>
      </c>
      <c r="D726" s="176"/>
      <c r="E726" s="176"/>
      <c r="F726" s="176"/>
      <c r="G726" s="176"/>
      <c r="H726" s="499">
        <f>SUM(Tabla132112415[[#This Row],[PRIMER TRIMESTRE]:[CUARTO TRIMESTRE]])</f>
        <v>0</v>
      </c>
      <c r="I726" s="17">
        <v>3650</v>
      </c>
      <c r="J726" s="17">
        <f t="shared" si="19"/>
        <v>0</v>
      </c>
      <c r="K726" s="17"/>
      <c r="L726" s="16" t="s">
        <v>18</v>
      </c>
      <c r="M726" s="16" t="s">
        <v>22</v>
      </c>
      <c r="N726" s="39"/>
    </row>
    <row r="727" spans="1:14" s="12" customFormat="1" ht="30">
      <c r="A727" s="178" t="s">
        <v>96</v>
      </c>
      <c r="B727" s="75" t="s">
        <v>888</v>
      </c>
      <c r="C727" s="176" t="s">
        <v>344</v>
      </c>
      <c r="D727" s="176"/>
      <c r="E727" s="176"/>
      <c r="F727" s="176"/>
      <c r="G727" s="176"/>
      <c r="H727" s="499">
        <f>SUM(Tabla132112415[[#This Row],[PRIMER TRIMESTRE]:[CUARTO TRIMESTRE]])</f>
        <v>0</v>
      </c>
      <c r="I727" s="17">
        <v>3650</v>
      </c>
      <c r="J727" s="17">
        <f t="shared" si="19"/>
        <v>0</v>
      </c>
      <c r="K727" s="17"/>
      <c r="L727" s="16" t="s">
        <v>18</v>
      </c>
      <c r="M727" s="16" t="s">
        <v>22</v>
      </c>
      <c r="N727" s="39"/>
    </row>
    <row r="728" spans="1:14" s="12" customFormat="1" ht="30">
      <c r="A728" s="178" t="s">
        <v>96</v>
      </c>
      <c r="B728" s="75" t="s">
        <v>815</v>
      </c>
      <c r="C728" s="176" t="s">
        <v>17</v>
      </c>
      <c r="D728" s="176"/>
      <c r="E728" s="176"/>
      <c r="F728" s="176"/>
      <c r="G728" s="176"/>
      <c r="H728" s="499">
        <f>SUM(Tabla132112415[[#This Row],[PRIMER TRIMESTRE]:[CUARTO TRIMESTRE]])</f>
        <v>0</v>
      </c>
      <c r="I728" s="17">
        <v>4625.12</v>
      </c>
      <c r="J728" s="17">
        <f t="shared" si="19"/>
        <v>0</v>
      </c>
      <c r="K728" s="17"/>
      <c r="L728" s="17" t="s">
        <v>18</v>
      </c>
      <c r="M728" s="16" t="s">
        <v>22</v>
      </c>
      <c r="N728" s="39"/>
    </row>
    <row r="729" spans="1:14" s="12" customFormat="1" ht="30">
      <c r="A729" s="178" t="s">
        <v>96</v>
      </c>
      <c r="B729" s="75" t="s">
        <v>913</v>
      </c>
      <c r="C729" s="176" t="s">
        <v>343</v>
      </c>
      <c r="D729" s="176"/>
      <c r="E729" s="176"/>
      <c r="F729" s="176"/>
      <c r="G729" s="176"/>
      <c r="H729" s="499">
        <f>SUM(Tabla132112415[[#This Row],[PRIMER TRIMESTRE]:[CUARTO TRIMESTRE]])</f>
        <v>0</v>
      </c>
      <c r="I729" s="72">
        <v>80</v>
      </c>
      <c r="J729" s="17">
        <f t="shared" si="19"/>
        <v>0</v>
      </c>
      <c r="K729" s="17"/>
      <c r="L729" s="16" t="s">
        <v>18</v>
      </c>
      <c r="M729" s="16" t="s">
        <v>22</v>
      </c>
      <c r="N729" s="39"/>
    </row>
    <row r="730" spans="1:14" s="12" customFormat="1" ht="30">
      <c r="A730" s="178" t="s">
        <v>96</v>
      </c>
      <c r="B730" s="75" t="s">
        <v>914</v>
      </c>
      <c r="C730" s="176" t="s">
        <v>343</v>
      </c>
      <c r="D730" s="176"/>
      <c r="E730" s="176"/>
      <c r="F730" s="176"/>
      <c r="G730" s="176"/>
      <c r="H730" s="499">
        <f>SUM(Tabla132112415[[#This Row],[PRIMER TRIMESTRE]:[CUARTO TRIMESTRE]])</f>
        <v>0</v>
      </c>
      <c r="I730" s="17">
        <v>112</v>
      </c>
      <c r="J730" s="17">
        <f t="shared" si="19"/>
        <v>0</v>
      </c>
      <c r="K730" s="17"/>
      <c r="L730" s="16" t="s">
        <v>18</v>
      </c>
      <c r="M730" s="16" t="s">
        <v>22</v>
      </c>
      <c r="N730" s="39"/>
    </row>
    <row r="731" spans="1:14" s="12" customFormat="1" ht="30">
      <c r="A731" s="178" t="s">
        <v>96</v>
      </c>
      <c r="B731" s="75" t="s">
        <v>915</v>
      </c>
      <c r="C731" s="176" t="s">
        <v>343</v>
      </c>
      <c r="D731" s="176"/>
      <c r="E731" s="176"/>
      <c r="F731" s="176"/>
      <c r="G731" s="176"/>
      <c r="H731" s="499">
        <f>SUM(Tabla132112415[[#This Row],[PRIMER TRIMESTRE]:[CUARTO TRIMESTRE]])</f>
        <v>0</v>
      </c>
      <c r="I731" s="17">
        <v>150</v>
      </c>
      <c r="J731" s="17">
        <f t="shared" si="19"/>
        <v>0</v>
      </c>
      <c r="K731" s="17"/>
      <c r="L731" s="16" t="s">
        <v>18</v>
      </c>
      <c r="M731" s="16" t="s">
        <v>22</v>
      </c>
      <c r="N731" s="39"/>
    </row>
    <row r="732" spans="1:14" s="12" customFormat="1" ht="30">
      <c r="A732" s="178" t="s">
        <v>96</v>
      </c>
      <c r="B732" s="75" t="s">
        <v>916</v>
      </c>
      <c r="C732" s="176" t="s">
        <v>343</v>
      </c>
      <c r="D732" s="176"/>
      <c r="E732" s="176"/>
      <c r="F732" s="176"/>
      <c r="G732" s="176"/>
      <c r="H732" s="499">
        <f>SUM(Tabla132112415[[#This Row],[PRIMER TRIMESTRE]:[CUARTO TRIMESTRE]])</f>
        <v>0</v>
      </c>
      <c r="I732" s="17">
        <v>188</v>
      </c>
      <c r="J732" s="17">
        <f t="shared" si="19"/>
        <v>0</v>
      </c>
      <c r="K732" s="17"/>
      <c r="L732" s="16" t="s">
        <v>18</v>
      </c>
      <c r="M732" s="16" t="s">
        <v>22</v>
      </c>
      <c r="N732" s="39"/>
    </row>
    <row r="733" spans="1:14" s="12" customFormat="1" ht="30">
      <c r="A733" s="178" t="s">
        <v>96</v>
      </c>
      <c r="B733" s="75" t="s">
        <v>917</v>
      </c>
      <c r="C733" s="176" t="s">
        <v>343</v>
      </c>
      <c r="D733" s="176"/>
      <c r="E733" s="176"/>
      <c r="F733" s="176"/>
      <c r="G733" s="176"/>
      <c r="H733" s="499">
        <f>SUM(Tabla132112415[[#This Row],[PRIMER TRIMESTRE]:[CUARTO TRIMESTRE]])</f>
        <v>0</v>
      </c>
      <c r="I733" s="17">
        <v>225</v>
      </c>
      <c r="J733" s="17">
        <f t="shared" si="19"/>
        <v>0</v>
      </c>
      <c r="K733" s="17"/>
      <c r="L733" s="16" t="s">
        <v>18</v>
      </c>
      <c r="M733" s="16" t="s">
        <v>22</v>
      </c>
      <c r="N733" s="39"/>
    </row>
    <row r="734" spans="1:14" s="12" customFormat="1" ht="30">
      <c r="A734" s="178" t="s">
        <v>96</v>
      </c>
      <c r="B734" s="75" t="s">
        <v>918</v>
      </c>
      <c r="C734" s="176" t="s">
        <v>343</v>
      </c>
      <c r="D734" s="176"/>
      <c r="E734" s="176"/>
      <c r="F734" s="176"/>
      <c r="G734" s="176"/>
      <c r="H734" s="499">
        <f>SUM(Tabla132112415[[#This Row],[PRIMER TRIMESTRE]:[CUARTO TRIMESTRE]])</f>
        <v>0</v>
      </c>
      <c r="I734" s="17">
        <v>135</v>
      </c>
      <c r="J734" s="17">
        <f t="shared" si="19"/>
        <v>0</v>
      </c>
      <c r="K734" s="17"/>
      <c r="L734" s="16" t="s">
        <v>18</v>
      </c>
      <c r="M734" s="16" t="s">
        <v>22</v>
      </c>
      <c r="N734" s="39"/>
    </row>
    <row r="735" spans="1:14" s="12" customFormat="1" ht="30">
      <c r="A735" s="178" t="s">
        <v>96</v>
      </c>
      <c r="B735" s="75" t="s">
        <v>1220</v>
      </c>
      <c r="C735" s="176" t="s">
        <v>17</v>
      </c>
      <c r="D735" s="176"/>
      <c r="E735" s="176"/>
      <c r="F735" s="176"/>
      <c r="G735" s="176"/>
      <c r="H735" s="499">
        <f>SUM(Tabla132112415[[#This Row],[PRIMER TRIMESTRE]:[CUARTO TRIMESTRE]])</f>
        <v>0</v>
      </c>
      <c r="I735" s="17">
        <v>12000</v>
      </c>
      <c r="J735" s="17">
        <f t="shared" si="19"/>
        <v>0</v>
      </c>
      <c r="K735" s="17"/>
      <c r="L735" s="16" t="s">
        <v>18</v>
      </c>
      <c r="M735" s="16" t="s">
        <v>22</v>
      </c>
      <c r="N735" s="39"/>
    </row>
    <row r="736" spans="1:14" s="12" customFormat="1" ht="30">
      <c r="A736" s="178" t="s">
        <v>96</v>
      </c>
      <c r="B736" s="75" t="s">
        <v>1221</v>
      </c>
      <c r="C736" s="176" t="s">
        <v>17</v>
      </c>
      <c r="D736" s="176"/>
      <c r="E736" s="176"/>
      <c r="F736" s="176"/>
      <c r="G736" s="176"/>
      <c r="H736" s="499">
        <f>SUM(Tabla132112415[[#This Row],[PRIMER TRIMESTRE]:[CUARTO TRIMESTRE]])</f>
        <v>0</v>
      </c>
      <c r="I736" s="17">
        <v>16000</v>
      </c>
      <c r="J736" s="17">
        <f t="shared" si="19"/>
        <v>0</v>
      </c>
      <c r="K736" s="17"/>
      <c r="L736" s="16" t="s">
        <v>18</v>
      </c>
      <c r="M736" s="16" t="s">
        <v>22</v>
      </c>
      <c r="N736" s="39"/>
    </row>
    <row r="737" spans="1:14" s="12" customFormat="1" ht="30">
      <c r="A737" s="178" t="s">
        <v>96</v>
      </c>
      <c r="B737" s="75" t="s">
        <v>1222</v>
      </c>
      <c r="C737" s="176" t="s">
        <v>17</v>
      </c>
      <c r="D737" s="176"/>
      <c r="E737" s="176"/>
      <c r="F737" s="176"/>
      <c r="G737" s="176"/>
      <c r="H737" s="499">
        <f>SUM(Tabla132112415[[#This Row],[PRIMER TRIMESTRE]:[CUARTO TRIMESTRE]])</f>
        <v>0</v>
      </c>
      <c r="I737" s="17">
        <v>17000</v>
      </c>
      <c r="J737" s="17">
        <f t="shared" si="19"/>
        <v>0</v>
      </c>
      <c r="K737" s="17"/>
      <c r="L737" s="16" t="s">
        <v>18</v>
      </c>
      <c r="M737" s="16" t="s">
        <v>22</v>
      </c>
      <c r="N737" s="39"/>
    </row>
    <row r="738" spans="1:14" s="12" customFormat="1" ht="30">
      <c r="A738" s="178" t="s">
        <v>96</v>
      </c>
      <c r="B738" s="75" t="s">
        <v>1223</v>
      </c>
      <c r="C738" s="176" t="s">
        <v>17</v>
      </c>
      <c r="D738" s="176"/>
      <c r="E738" s="176"/>
      <c r="F738" s="176"/>
      <c r="G738" s="176"/>
      <c r="H738" s="499">
        <f>SUM(Tabla132112415[[#This Row],[PRIMER TRIMESTRE]:[CUARTO TRIMESTRE]])</f>
        <v>0</v>
      </c>
      <c r="I738" s="17">
        <v>19000</v>
      </c>
      <c r="J738" s="17">
        <f t="shared" si="19"/>
        <v>0</v>
      </c>
      <c r="K738" s="17"/>
      <c r="L738" s="16" t="s">
        <v>18</v>
      </c>
      <c r="M738" s="16" t="s">
        <v>22</v>
      </c>
      <c r="N738" s="39"/>
    </row>
    <row r="739" spans="1:14" s="12" customFormat="1" ht="30">
      <c r="A739" s="178" t="s">
        <v>96</v>
      </c>
      <c r="B739" s="75" t="s">
        <v>1224</v>
      </c>
      <c r="C739" s="176" t="s">
        <v>17</v>
      </c>
      <c r="D739" s="176"/>
      <c r="E739" s="176"/>
      <c r="F739" s="176"/>
      <c r="G739" s="176"/>
      <c r="H739" s="499">
        <f>SUM(Tabla132112415[[#This Row],[PRIMER TRIMESTRE]:[CUARTO TRIMESTRE]])</f>
        <v>0</v>
      </c>
      <c r="I739" s="17">
        <v>23000</v>
      </c>
      <c r="J739" s="17">
        <f t="shared" si="19"/>
        <v>0</v>
      </c>
      <c r="K739" s="17"/>
      <c r="L739" s="16" t="s">
        <v>18</v>
      </c>
      <c r="M739" s="16" t="s">
        <v>22</v>
      </c>
      <c r="N739" s="39"/>
    </row>
    <row r="740" spans="1:14" s="12" customFormat="1" ht="30">
      <c r="A740" s="178" t="s">
        <v>96</v>
      </c>
      <c r="B740" s="75" t="s">
        <v>1225</v>
      </c>
      <c r="C740" s="176" t="s">
        <v>17</v>
      </c>
      <c r="D740" s="176"/>
      <c r="E740" s="176"/>
      <c r="F740" s="176"/>
      <c r="G740" s="176"/>
      <c r="H740" s="499">
        <f>SUM(Tabla132112415[[#This Row],[PRIMER TRIMESTRE]:[CUARTO TRIMESTRE]])</f>
        <v>0</v>
      </c>
      <c r="I740" s="17">
        <v>30000</v>
      </c>
      <c r="J740" s="17">
        <f t="shared" si="19"/>
        <v>0</v>
      </c>
      <c r="K740" s="17"/>
      <c r="L740" s="16" t="s">
        <v>18</v>
      </c>
      <c r="M740" s="16" t="s">
        <v>22</v>
      </c>
      <c r="N740" s="39"/>
    </row>
    <row r="741" spans="1:14" s="12" customFormat="1" ht="30">
      <c r="A741" s="178" t="s">
        <v>96</v>
      </c>
      <c r="B741" s="75" t="s">
        <v>1226</v>
      </c>
      <c r="C741" s="176" t="s">
        <v>17</v>
      </c>
      <c r="D741" s="176"/>
      <c r="E741" s="176"/>
      <c r="F741" s="176"/>
      <c r="G741" s="176"/>
      <c r="H741" s="499">
        <f>SUM(Tabla132112415[[#This Row],[PRIMER TRIMESTRE]:[CUARTO TRIMESTRE]])</f>
        <v>0</v>
      </c>
      <c r="I741" s="17">
        <v>42345.120000000003</v>
      </c>
      <c r="J741" s="17">
        <f t="shared" ref="J741:J757" si="20">+H741*I741</f>
        <v>0</v>
      </c>
      <c r="K741" s="17"/>
      <c r="L741" s="16" t="s">
        <v>18</v>
      </c>
      <c r="M741" s="16" t="s">
        <v>22</v>
      </c>
      <c r="N741" s="39"/>
    </row>
    <row r="742" spans="1:14" s="12" customFormat="1" ht="30">
      <c r="A742" s="178" t="s">
        <v>96</v>
      </c>
      <c r="B742" s="75" t="s">
        <v>773</v>
      </c>
      <c r="C742" s="176" t="s">
        <v>17</v>
      </c>
      <c r="D742" s="176"/>
      <c r="E742" s="176"/>
      <c r="F742" s="176"/>
      <c r="G742" s="176"/>
      <c r="H742" s="499">
        <f>SUM(Tabla132112415[[#This Row],[PRIMER TRIMESTRE]:[CUARTO TRIMESTRE]])</f>
        <v>0</v>
      </c>
      <c r="I742" s="72">
        <v>500</v>
      </c>
      <c r="J742" s="17">
        <f t="shared" si="20"/>
        <v>0</v>
      </c>
      <c r="K742" s="17"/>
      <c r="L742" s="16" t="s">
        <v>18</v>
      </c>
      <c r="M742" s="16" t="s">
        <v>22</v>
      </c>
      <c r="N742" s="39" t="s">
        <v>418</v>
      </c>
    </row>
    <row r="743" spans="1:14" s="12" customFormat="1" ht="30">
      <c r="A743" s="178" t="s">
        <v>96</v>
      </c>
      <c r="B743" s="75" t="s">
        <v>774</v>
      </c>
      <c r="C743" s="176" t="s">
        <v>17</v>
      </c>
      <c r="D743" s="176"/>
      <c r="E743" s="176"/>
      <c r="F743" s="176"/>
      <c r="G743" s="176"/>
      <c r="H743" s="499">
        <f>SUM(Tabla132112415[[#This Row],[PRIMER TRIMESTRE]:[CUARTO TRIMESTRE]])</f>
        <v>0</v>
      </c>
      <c r="I743" s="72">
        <v>1380</v>
      </c>
      <c r="J743" s="17">
        <f t="shared" si="20"/>
        <v>0</v>
      </c>
      <c r="K743" s="17"/>
      <c r="L743" s="16" t="s">
        <v>18</v>
      </c>
      <c r="M743" s="16" t="s">
        <v>22</v>
      </c>
      <c r="N743" s="39" t="s">
        <v>418</v>
      </c>
    </row>
    <row r="744" spans="1:14" s="12" customFormat="1" ht="30">
      <c r="A744" s="178" t="s">
        <v>96</v>
      </c>
      <c r="B744" s="75" t="s">
        <v>775</v>
      </c>
      <c r="C744" s="176" t="s">
        <v>17</v>
      </c>
      <c r="D744" s="176"/>
      <c r="E744" s="176"/>
      <c r="F744" s="176"/>
      <c r="G744" s="176"/>
      <c r="H744" s="499">
        <f>SUM(Tabla132112415[[#This Row],[PRIMER TRIMESTRE]:[CUARTO TRIMESTRE]])</f>
        <v>0</v>
      </c>
      <c r="I744" s="72">
        <v>3200</v>
      </c>
      <c r="J744" s="17">
        <f t="shared" si="20"/>
        <v>0</v>
      </c>
      <c r="K744" s="17"/>
      <c r="L744" s="16" t="s">
        <v>18</v>
      </c>
      <c r="M744" s="16" t="s">
        <v>22</v>
      </c>
      <c r="N744" s="39" t="s">
        <v>418</v>
      </c>
    </row>
    <row r="745" spans="1:14" s="12" customFormat="1" ht="51">
      <c r="A745" s="178" t="s">
        <v>96</v>
      </c>
      <c r="B745" s="75" t="s">
        <v>1717</v>
      </c>
      <c r="C745" s="176" t="s">
        <v>17</v>
      </c>
      <c r="D745" s="176"/>
      <c r="E745" s="176"/>
      <c r="F745" s="176"/>
      <c r="G745" s="176"/>
      <c r="H745" s="499">
        <v>0</v>
      </c>
      <c r="I745" s="72">
        <v>0</v>
      </c>
      <c r="J745" s="17">
        <v>0</v>
      </c>
      <c r="K745" s="17"/>
      <c r="L745" s="16" t="s">
        <v>18</v>
      </c>
      <c r="M745" s="16" t="s">
        <v>19</v>
      </c>
      <c r="N745" s="39"/>
    </row>
    <row r="746" spans="1:14" s="12" customFormat="1" ht="51">
      <c r="A746" s="178" t="s">
        <v>96</v>
      </c>
      <c r="B746" s="75" t="s">
        <v>1678</v>
      </c>
      <c r="C746" s="176" t="s">
        <v>17</v>
      </c>
      <c r="D746" s="176"/>
      <c r="E746" s="176"/>
      <c r="F746" s="176"/>
      <c r="G746" s="176"/>
      <c r="H746" s="499">
        <v>0</v>
      </c>
      <c r="I746" s="72">
        <v>0</v>
      </c>
      <c r="J746" s="17">
        <v>0</v>
      </c>
      <c r="K746" s="17"/>
      <c r="L746" s="16" t="s">
        <v>18</v>
      </c>
      <c r="M746" s="16" t="s">
        <v>19</v>
      </c>
      <c r="N746" s="39"/>
    </row>
    <row r="747" spans="1:14" s="12" customFormat="1" ht="38.25">
      <c r="A747" s="178" t="s">
        <v>96</v>
      </c>
      <c r="B747" s="75" t="s">
        <v>1715</v>
      </c>
      <c r="C747" s="176" t="s">
        <v>17</v>
      </c>
      <c r="D747" s="176"/>
      <c r="E747" s="176"/>
      <c r="F747" s="176"/>
      <c r="G747" s="176"/>
      <c r="H747" s="499">
        <v>0</v>
      </c>
      <c r="I747" s="72">
        <v>0</v>
      </c>
      <c r="J747" s="17">
        <v>0</v>
      </c>
      <c r="K747" s="17"/>
      <c r="L747" s="16" t="s">
        <v>18</v>
      </c>
      <c r="M747" s="16" t="s">
        <v>19</v>
      </c>
      <c r="N747" s="39"/>
    </row>
    <row r="748" spans="1:14" s="12" customFormat="1" ht="38.25">
      <c r="A748" s="178" t="s">
        <v>96</v>
      </c>
      <c r="B748" s="75" t="s">
        <v>1719</v>
      </c>
      <c r="C748" s="176" t="s">
        <v>17</v>
      </c>
      <c r="D748" s="176"/>
      <c r="E748" s="176"/>
      <c r="F748" s="176"/>
      <c r="G748" s="176"/>
      <c r="H748" s="499">
        <v>0</v>
      </c>
      <c r="I748" s="72">
        <v>0</v>
      </c>
      <c r="J748" s="17">
        <v>0</v>
      </c>
      <c r="K748" s="17"/>
      <c r="L748" s="16" t="s">
        <v>18</v>
      </c>
      <c r="M748" s="16" t="s">
        <v>19</v>
      </c>
      <c r="N748" s="39"/>
    </row>
    <row r="749" spans="1:14" s="12" customFormat="1" ht="38.25">
      <c r="A749" s="178" t="s">
        <v>96</v>
      </c>
      <c r="B749" s="75" t="s">
        <v>816</v>
      </c>
      <c r="C749" s="176" t="s">
        <v>17</v>
      </c>
      <c r="D749" s="176"/>
      <c r="E749" s="177"/>
      <c r="F749" s="176"/>
      <c r="G749" s="176"/>
      <c r="H749" s="499">
        <f>SUM(Tabla132112415[[#This Row],[PRIMER TRIMESTRE]:[CUARTO TRIMESTRE]])</f>
        <v>0</v>
      </c>
      <c r="I749" s="72">
        <v>565000</v>
      </c>
      <c r="J749" s="17">
        <f t="shared" si="20"/>
        <v>0</v>
      </c>
      <c r="K749" s="17"/>
      <c r="L749" s="16" t="s">
        <v>18</v>
      </c>
      <c r="M749" s="16" t="s">
        <v>19</v>
      </c>
      <c r="N749" s="39"/>
    </row>
    <row r="750" spans="1:14" s="12" customFormat="1" ht="38.25">
      <c r="A750" s="178" t="s">
        <v>96</v>
      </c>
      <c r="B750" s="75" t="s">
        <v>817</v>
      </c>
      <c r="C750" s="176" t="s">
        <v>17</v>
      </c>
      <c r="D750" s="176"/>
      <c r="E750" s="177"/>
      <c r="F750" s="176"/>
      <c r="G750" s="176"/>
      <c r="H750" s="499">
        <f>SUM(Tabla132112415[[#This Row],[PRIMER TRIMESTRE]:[CUARTO TRIMESTRE]])</f>
        <v>0</v>
      </c>
      <c r="I750" s="17">
        <v>699235.41</v>
      </c>
      <c r="J750" s="17">
        <f t="shared" si="20"/>
        <v>0</v>
      </c>
      <c r="K750" s="17"/>
      <c r="L750" s="16" t="s">
        <v>18</v>
      </c>
      <c r="M750" s="16" t="s">
        <v>19</v>
      </c>
      <c r="N750" s="39"/>
    </row>
    <row r="751" spans="1:14" s="12" customFormat="1" ht="38.25">
      <c r="A751" s="178" t="s">
        <v>96</v>
      </c>
      <c r="B751" s="75" t="s">
        <v>818</v>
      </c>
      <c r="C751" s="176" t="s">
        <v>17</v>
      </c>
      <c r="D751" s="176"/>
      <c r="E751" s="177"/>
      <c r="F751" s="176"/>
      <c r="G751" s="176"/>
      <c r="H751" s="499">
        <f>SUM(Tabla132112415[[#This Row],[PRIMER TRIMESTRE]:[CUARTO TRIMESTRE]])</f>
        <v>0</v>
      </c>
      <c r="I751" s="17">
        <v>350000</v>
      </c>
      <c r="J751" s="17">
        <f t="shared" si="20"/>
        <v>0</v>
      </c>
      <c r="K751" s="17"/>
      <c r="L751" s="16" t="s">
        <v>18</v>
      </c>
      <c r="M751" s="16" t="s">
        <v>19</v>
      </c>
      <c r="N751" s="39"/>
    </row>
    <row r="752" spans="1:14" s="12" customFormat="1" ht="38.25">
      <c r="A752" s="178" t="s">
        <v>96</v>
      </c>
      <c r="B752" s="75" t="s">
        <v>819</v>
      </c>
      <c r="C752" s="176" t="s">
        <v>17</v>
      </c>
      <c r="D752" s="176"/>
      <c r="E752" s="177"/>
      <c r="F752" s="176"/>
      <c r="G752" s="176"/>
      <c r="H752" s="499">
        <f>SUM(Tabla132112415[[#This Row],[PRIMER TRIMESTRE]:[CUARTO TRIMESTRE]])</f>
        <v>0</v>
      </c>
      <c r="I752" s="17">
        <v>198000</v>
      </c>
      <c r="J752" s="17">
        <f t="shared" si="20"/>
        <v>0</v>
      </c>
      <c r="K752" s="17"/>
      <c r="L752" s="16" t="s">
        <v>18</v>
      </c>
      <c r="M752" s="16" t="s">
        <v>19</v>
      </c>
      <c r="N752" s="39"/>
    </row>
    <row r="753" spans="1:14" s="12" customFormat="1" ht="38.25">
      <c r="A753" s="178" t="s">
        <v>96</v>
      </c>
      <c r="B753" s="75" t="s">
        <v>820</v>
      </c>
      <c r="C753" s="176" t="s">
        <v>17</v>
      </c>
      <c r="D753" s="176"/>
      <c r="E753" s="177"/>
      <c r="F753" s="176"/>
      <c r="G753" s="176"/>
      <c r="H753" s="499">
        <f>SUM(Tabla132112415[[#This Row],[PRIMER TRIMESTRE]:[CUARTO TRIMESTRE]])</f>
        <v>0</v>
      </c>
      <c r="I753" s="17">
        <v>117000</v>
      </c>
      <c r="J753" s="17">
        <f t="shared" si="20"/>
        <v>0</v>
      </c>
      <c r="K753" s="17"/>
      <c r="L753" s="16" t="s">
        <v>18</v>
      </c>
      <c r="M753" s="16" t="s">
        <v>19</v>
      </c>
      <c r="N753" s="39"/>
    </row>
    <row r="754" spans="1:14" s="12" customFormat="1" ht="38.25">
      <c r="A754" s="178" t="s">
        <v>96</v>
      </c>
      <c r="B754" s="75" t="s">
        <v>821</v>
      </c>
      <c r="C754" s="176" t="s">
        <v>17</v>
      </c>
      <c r="D754" s="176"/>
      <c r="E754" s="177"/>
      <c r="F754" s="176"/>
      <c r="G754" s="176"/>
      <c r="H754" s="499">
        <f>SUM(Tabla132112415[[#This Row],[PRIMER TRIMESTRE]:[CUARTO TRIMESTRE]])</f>
        <v>0</v>
      </c>
      <c r="I754" s="17">
        <v>61630.63</v>
      </c>
      <c r="J754" s="17">
        <f t="shared" si="20"/>
        <v>0</v>
      </c>
      <c r="K754" s="17"/>
      <c r="L754" s="16" t="s">
        <v>18</v>
      </c>
      <c r="M754" s="16" t="s">
        <v>19</v>
      </c>
      <c r="N754" s="39"/>
    </row>
    <row r="755" spans="1:14" s="12" customFormat="1" ht="38.25">
      <c r="A755" s="178" t="s">
        <v>96</v>
      </c>
      <c r="B755" s="75" t="s">
        <v>822</v>
      </c>
      <c r="C755" s="176" t="s">
        <v>17</v>
      </c>
      <c r="D755" s="176"/>
      <c r="E755" s="177"/>
      <c r="F755" s="176"/>
      <c r="G755" s="176"/>
      <c r="H755" s="499">
        <f>SUM(Tabla132112415[[#This Row],[PRIMER TRIMESTRE]:[CUARTO TRIMESTRE]])</f>
        <v>0</v>
      </c>
      <c r="I755" s="17">
        <v>54792</v>
      </c>
      <c r="J755" s="17">
        <f t="shared" si="20"/>
        <v>0</v>
      </c>
      <c r="K755" s="17"/>
      <c r="L755" s="16" t="s">
        <v>18</v>
      </c>
      <c r="M755" s="16" t="s">
        <v>19</v>
      </c>
      <c r="N755" s="39"/>
    </row>
    <row r="756" spans="1:14" s="12" customFormat="1" ht="38.25">
      <c r="A756" s="178" t="s">
        <v>96</v>
      </c>
      <c r="B756" s="75" t="s">
        <v>823</v>
      </c>
      <c r="C756" s="176" t="s">
        <v>17</v>
      </c>
      <c r="D756" s="176"/>
      <c r="E756" s="177"/>
      <c r="F756" s="176"/>
      <c r="G756" s="176"/>
      <c r="H756" s="499">
        <f>SUM(Tabla132112415[[#This Row],[PRIMER TRIMESTRE]:[CUARTO TRIMESTRE]])</f>
        <v>0</v>
      </c>
      <c r="I756" s="17">
        <v>49560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</row>
    <row r="757" spans="1:14" s="12" customFormat="1" ht="31.5">
      <c r="A757" s="178" t="s">
        <v>96</v>
      </c>
      <c r="B757" s="75" t="s">
        <v>824</v>
      </c>
      <c r="C757" s="176" t="s">
        <v>17</v>
      </c>
      <c r="D757" s="176"/>
      <c r="E757" s="177"/>
      <c r="F757" s="176"/>
      <c r="G757" s="176"/>
      <c r="H757" s="499">
        <f>SUM(Tabla132112415[[#This Row],[PRIMER TRIMESTRE]:[CUARTO TRIMESTRE]])</f>
        <v>0</v>
      </c>
      <c r="I757" s="17">
        <v>46658.86</v>
      </c>
      <c r="J757" s="17">
        <f t="shared" si="20"/>
        <v>0</v>
      </c>
      <c r="K757" s="17"/>
      <c r="L757" s="16" t="s">
        <v>18</v>
      </c>
      <c r="M757" s="16" t="s">
        <v>19</v>
      </c>
      <c r="N757" s="39"/>
    </row>
    <row r="758" spans="1:14" s="12" customFormat="1" ht="31.5">
      <c r="A758" s="178" t="s">
        <v>96</v>
      </c>
      <c r="B758" s="75" t="s">
        <v>1734</v>
      </c>
      <c r="C758" s="176" t="s">
        <v>17</v>
      </c>
      <c r="D758" s="176"/>
      <c r="E758" s="177"/>
      <c r="F758" s="176"/>
      <c r="G758" s="176"/>
      <c r="H758" s="499">
        <v>0</v>
      </c>
      <c r="I758" s="17">
        <v>0</v>
      </c>
      <c r="J758" s="17">
        <v>0</v>
      </c>
      <c r="K758" s="17"/>
      <c r="L758" s="16" t="s">
        <v>18</v>
      </c>
      <c r="M758" s="16" t="s">
        <v>19</v>
      </c>
      <c r="N758" s="39"/>
    </row>
    <row r="759" spans="1:14" s="12" customFormat="1" ht="31.5">
      <c r="A759" s="178" t="s">
        <v>96</v>
      </c>
      <c r="B759" s="75" t="s">
        <v>1733</v>
      </c>
      <c r="C759" s="176" t="s">
        <v>17</v>
      </c>
      <c r="D759" s="176"/>
      <c r="E759" s="177"/>
      <c r="F759" s="176"/>
      <c r="G759" s="176"/>
      <c r="H759" s="499">
        <v>0</v>
      </c>
      <c r="I759" s="17">
        <v>0</v>
      </c>
      <c r="J759" s="17">
        <v>0</v>
      </c>
      <c r="K759" s="17"/>
      <c r="L759" s="16" t="s">
        <v>18</v>
      </c>
      <c r="M759" s="16" t="s">
        <v>19</v>
      </c>
      <c r="N759" s="39"/>
    </row>
    <row r="760" spans="1:14" s="12" customFormat="1" ht="38.25">
      <c r="A760" s="178" t="s">
        <v>96</v>
      </c>
      <c r="B760" s="75" t="s">
        <v>1732</v>
      </c>
      <c r="C760" s="176" t="s">
        <v>17</v>
      </c>
      <c r="D760" s="176"/>
      <c r="E760" s="177"/>
      <c r="F760" s="176"/>
      <c r="G760" s="176"/>
      <c r="H760" s="499">
        <v>0</v>
      </c>
      <c r="I760" s="17">
        <v>0</v>
      </c>
      <c r="J760" s="17">
        <v>0</v>
      </c>
      <c r="K760" s="17"/>
      <c r="L760" s="16" t="s">
        <v>18</v>
      </c>
      <c r="M760" s="16" t="s">
        <v>19</v>
      </c>
      <c r="N760" s="39"/>
    </row>
    <row r="761" spans="1:14" s="12" customFormat="1" ht="31.5">
      <c r="A761" s="178" t="s">
        <v>96</v>
      </c>
      <c r="B761" s="75" t="s">
        <v>825</v>
      </c>
      <c r="C761" s="176" t="s">
        <v>17</v>
      </c>
      <c r="D761" s="176"/>
      <c r="E761" s="177"/>
      <c r="F761" s="176"/>
      <c r="G761" s="176"/>
      <c r="H761" s="499">
        <f>SUM(Tabla132112415[[#This Row],[PRIMER TRIMESTRE]:[CUARTO TRIMESTRE]])</f>
        <v>0</v>
      </c>
      <c r="I761" s="17">
        <v>47216.69</v>
      </c>
      <c r="J761" s="17">
        <v>47216.69</v>
      </c>
      <c r="K761" s="17"/>
      <c r="L761" s="16" t="s">
        <v>18</v>
      </c>
      <c r="M761" s="16" t="s">
        <v>19</v>
      </c>
      <c r="N761" s="39"/>
    </row>
    <row r="762" spans="1:14" s="12" customFormat="1" ht="31.5">
      <c r="A762" s="178" t="s">
        <v>96</v>
      </c>
      <c r="B762" s="75" t="s">
        <v>826</v>
      </c>
      <c r="C762" s="176" t="s">
        <v>17</v>
      </c>
      <c r="D762" s="176"/>
      <c r="E762" s="177"/>
      <c r="F762" s="176"/>
      <c r="G762" s="176"/>
      <c r="H762" s="499">
        <f>SUM(Tabla132112415[[#This Row],[PRIMER TRIMESTRE]:[CUARTO TRIMESTRE]])</f>
        <v>0</v>
      </c>
      <c r="I762" s="17">
        <v>59766.34</v>
      </c>
      <c r="J762" s="17">
        <f t="shared" ref="J762:J825" si="21">+H762*I762</f>
        <v>0</v>
      </c>
      <c r="K762" s="17"/>
      <c r="L762" s="16" t="s">
        <v>18</v>
      </c>
      <c r="M762" s="16" t="s">
        <v>19</v>
      </c>
      <c r="N762" s="39"/>
    </row>
    <row r="763" spans="1:14" s="12" customFormat="1" ht="30">
      <c r="A763" s="178" t="s">
        <v>96</v>
      </c>
      <c r="B763" s="75" t="s">
        <v>1227</v>
      </c>
      <c r="C763" s="176" t="s">
        <v>17</v>
      </c>
      <c r="D763" s="176"/>
      <c r="E763" s="177"/>
      <c r="F763" s="176"/>
      <c r="G763" s="176"/>
      <c r="H763" s="499">
        <f>SUM(Tabla132112415[[#This Row],[PRIMER TRIMESTRE]:[CUARTO TRIMESTRE]])</f>
        <v>0</v>
      </c>
      <c r="I763" s="17">
        <v>56400</v>
      </c>
      <c r="J763" s="17">
        <f t="shared" si="21"/>
        <v>0</v>
      </c>
      <c r="K763" s="17"/>
      <c r="L763" s="16" t="s">
        <v>18</v>
      </c>
      <c r="M763" s="16" t="s">
        <v>22</v>
      </c>
      <c r="N763" s="39"/>
    </row>
    <row r="764" spans="1:14" s="12" customFormat="1" ht="30">
      <c r="A764" s="178" t="s">
        <v>96</v>
      </c>
      <c r="B764" s="75" t="s">
        <v>1228</v>
      </c>
      <c r="C764" s="176" t="s">
        <v>17</v>
      </c>
      <c r="D764" s="176"/>
      <c r="E764" s="177"/>
      <c r="F764" s="176"/>
      <c r="G764" s="176"/>
      <c r="H764" s="499">
        <f>SUM(Tabla132112415[[#This Row],[PRIMER TRIMESTRE]:[CUARTO TRIMESTRE]])</f>
        <v>0</v>
      </c>
      <c r="I764" s="17">
        <v>56400</v>
      </c>
      <c r="J764" s="17">
        <f t="shared" si="21"/>
        <v>0</v>
      </c>
      <c r="K764" s="17"/>
      <c r="L764" s="16" t="s">
        <v>18</v>
      </c>
      <c r="M764" s="16" t="s">
        <v>22</v>
      </c>
      <c r="N764" s="39"/>
    </row>
    <row r="765" spans="1:14" s="12" customFormat="1" ht="30">
      <c r="A765" s="178" t="s">
        <v>96</v>
      </c>
      <c r="B765" s="75" t="s">
        <v>1229</v>
      </c>
      <c r="C765" s="176" t="s">
        <v>17</v>
      </c>
      <c r="D765" s="176"/>
      <c r="E765" s="177"/>
      <c r="F765" s="176"/>
      <c r="G765" s="176"/>
      <c r="H765" s="499">
        <f>SUM(Tabla132112415[[#This Row],[PRIMER TRIMESTRE]:[CUARTO TRIMESTRE]])</f>
        <v>0</v>
      </c>
      <c r="I765" s="17">
        <v>56400</v>
      </c>
      <c r="J765" s="17">
        <f t="shared" si="21"/>
        <v>0</v>
      </c>
      <c r="K765" s="17"/>
      <c r="L765" s="16" t="s">
        <v>18</v>
      </c>
      <c r="M765" s="16" t="s">
        <v>22</v>
      </c>
      <c r="N765" s="39"/>
    </row>
    <row r="766" spans="1:14" s="12" customFormat="1" ht="30">
      <c r="A766" s="178" t="s">
        <v>96</v>
      </c>
      <c r="B766" s="75" t="s">
        <v>827</v>
      </c>
      <c r="C766" s="176" t="s">
        <v>17</v>
      </c>
      <c r="D766" s="176"/>
      <c r="E766" s="177"/>
      <c r="F766" s="176"/>
      <c r="G766" s="176"/>
      <c r="H766" s="499">
        <f>SUM(Tabla132112415[[#This Row],[PRIMER TRIMESTRE]:[CUARTO TRIMESTRE]])</f>
        <v>0</v>
      </c>
      <c r="I766" s="17">
        <v>2415</v>
      </c>
      <c r="J766" s="17">
        <f t="shared" si="21"/>
        <v>0</v>
      </c>
      <c r="K766" s="17"/>
      <c r="L766" s="16" t="s">
        <v>18</v>
      </c>
      <c r="M766" s="16" t="s">
        <v>22</v>
      </c>
      <c r="N766" s="39"/>
    </row>
    <row r="767" spans="1:14" s="12" customFormat="1" ht="30">
      <c r="A767" s="178" t="s">
        <v>96</v>
      </c>
      <c r="B767" s="75" t="s">
        <v>828</v>
      </c>
      <c r="C767" s="176" t="s">
        <v>17</v>
      </c>
      <c r="D767" s="176"/>
      <c r="E767" s="177"/>
      <c r="F767" s="176"/>
      <c r="G767" s="176"/>
      <c r="H767" s="499">
        <f>SUM(Tabla132112415[[#This Row],[PRIMER TRIMESTRE]:[CUARTO TRIMESTRE]])</f>
        <v>0</v>
      </c>
      <c r="I767" s="17">
        <v>3266</v>
      </c>
      <c r="J767" s="17">
        <f t="shared" si="21"/>
        <v>0</v>
      </c>
      <c r="K767" s="17"/>
      <c r="L767" s="16" t="s">
        <v>18</v>
      </c>
      <c r="M767" s="16" t="s">
        <v>22</v>
      </c>
      <c r="N767" s="39"/>
    </row>
    <row r="768" spans="1:14" s="12" customFormat="1" ht="30">
      <c r="A768" s="178" t="s">
        <v>96</v>
      </c>
      <c r="B768" s="75" t="s">
        <v>829</v>
      </c>
      <c r="C768" s="176" t="s">
        <v>17</v>
      </c>
      <c r="D768" s="176"/>
      <c r="E768" s="177"/>
      <c r="F768" s="176"/>
      <c r="G768" s="176"/>
      <c r="H768" s="499">
        <f>SUM(Tabla132112415[[#This Row],[PRIMER TRIMESTRE]:[CUARTO TRIMESTRE]])</f>
        <v>0</v>
      </c>
      <c r="I768" s="17">
        <v>4000</v>
      </c>
      <c r="J768" s="17">
        <f t="shared" si="21"/>
        <v>0</v>
      </c>
      <c r="K768" s="17"/>
      <c r="L768" s="16" t="s">
        <v>18</v>
      </c>
      <c r="M768" s="16" t="s">
        <v>22</v>
      </c>
      <c r="N768" s="39"/>
    </row>
    <row r="769" spans="1:14" s="12" customFormat="1" ht="30">
      <c r="A769" s="178" t="s">
        <v>96</v>
      </c>
      <c r="B769" s="75" t="s">
        <v>830</v>
      </c>
      <c r="C769" s="176" t="s">
        <v>17</v>
      </c>
      <c r="D769" s="176"/>
      <c r="E769" s="177"/>
      <c r="F769" s="176"/>
      <c r="G769" s="176"/>
      <c r="H769" s="499">
        <f>SUM(Tabla132112415[[#This Row],[PRIMER TRIMESTRE]:[CUARTO TRIMESTRE]])</f>
        <v>0</v>
      </c>
      <c r="I769" s="17">
        <v>4957</v>
      </c>
      <c r="J769" s="17">
        <f t="shared" si="21"/>
        <v>0</v>
      </c>
      <c r="K769" s="17"/>
      <c r="L769" s="16" t="s">
        <v>18</v>
      </c>
      <c r="M769" s="16" t="s">
        <v>22</v>
      </c>
      <c r="N769" s="39"/>
    </row>
    <row r="770" spans="1:14" s="12" customFormat="1" ht="30">
      <c r="A770" s="178" t="s">
        <v>96</v>
      </c>
      <c r="B770" s="75" t="s">
        <v>831</v>
      </c>
      <c r="C770" s="176" t="s">
        <v>17</v>
      </c>
      <c r="D770" s="176"/>
      <c r="E770" s="177"/>
      <c r="F770" s="176"/>
      <c r="G770" s="176"/>
      <c r="H770" s="499">
        <f>SUM(Tabla132112415[[#This Row],[PRIMER TRIMESTRE]:[CUARTO TRIMESTRE]])</f>
        <v>0</v>
      </c>
      <c r="I770" s="17">
        <v>5394</v>
      </c>
      <c r="J770" s="17">
        <f t="shared" si="21"/>
        <v>0</v>
      </c>
      <c r="K770" s="17"/>
      <c r="L770" s="16" t="s">
        <v>18</v>
      </c>
      <c r="M770" s="16" t="s">
        <v>22</v>
      </c>
      <c r="N770" s="39"/>
    </row>
    <row r="771" spans="1:14" s="12" customFormat="1" ht="30">
      <c r="A771" s="178" t="s">
        <v>96</v>
      </c>
      <c r="B771" s="75" t="s">
        <v>1511</v>
      </c>
      <c r="C771" s="176" t="s">
        <v>17</v>
      </c>
      <c r="D771" s="176"/>
      <c r="E771" s="176"/>
      <c r="F771" s="176"/>
      <c r="G771" s="176"/>
      <c r="H771" s="176">
        <f>SUM(Tabla132112415[[#This Row],[PRIMER TRIMESTRE]:[CUARTO TRIMESTRE]])</f>
        <v>0</v>
      </c>
      <c r="I771" s="17">
        <v>58148.4</v>
      </c>
      <c r="J771" s="17">
        <f t="shared" si="21"/>
        <v>0</v>
      </c>
      <c r="K771" s="17"/>
      <c r="L771" s="16" t="s">
        <v>18</v>
      </c>
      <c r="M771" s="16" t="s">
        <v>22</v>
      </c>
      <c r="N771" s="39"/>
    </row>
    <row r="772" spans="1:14" s="12" customFormat="1" ht="30">
      <c r="A772" s="178" t="s">
        <v>96</v>
      </c>
      <c r="B772" s="75" t="s">
        <v>1512</v>
      </c>
      <c r="C772" s="176" t="s">
        <v>17</v>
      </c>
      <c r="D772" s="176"/>
      <c r="E772" s="176"/>
      <c r="F772" s="176"/>
      <c r="G772" s="176"/>
      <c r="H772" s="176">
        <f>SUM(Tabla132112415[[#This Row],[PRIMER TRIMESTRE]:[CUARTO TRIMESTRE]])</f>
        <v>0</v>
      </c>
      <c r="I772" s="17">
        <v>3703</v>
      </c>
      <c r="J772" s="17">
        <f t="shared" si="21"/>
        <v>0</v>
      </c>
      <c r="K772" s="17"/>
      <c r="L772" s="16" t="s">
        <v>18</v>
      </c>
      <c r="M772" s="16" t="s">
        <v>22</v>
      </c>
      <c r="N772" s="39"/>
    </row>
    <row r="773" spans="1:14" s="12" customFormat="1" ht="30">
      <c r="A773" s="178" t="s">
        <v>96</v>
      </c>
      <c r="B773" s="75" t="s">
        <v>1513</v>
      </c>
      <c r="C773" s="176" t="s">
        <v>17</v>
      </c>
      <c r="D773" s="176"/>
      <c r="E773" s="176"/>
      <c r="F773" s="176"/>
      <c r="G773" s="176"/>
      <c r="H773" s="176">
        <f>SUM(Tabla132112415[[#This Row],[PRIMER TRIMESTRE]:[CUARTO TRIMESTRE]])</f>
        <v>0</v>
      </c>
      <c r="I773" s="17">
        <v>3703.83</v>
      </c>
      <c r="J773" s="17">
        <f t="shared" si="21"/>
        <v>0</v>
      </c>
      <c r="K773" s="17"/>
      <c r="L773" s="16" t="s">
        <v>18</v>
      </c>
      <c r="M773" s="16" t="s">
        <v>22</v>
      </c>
      <c r="N773" s="39"/>
    </row>
    <row r="774" spans="1:14" s="12" customFormat="1" ht="30">
      <c r="A774" s="178" t="s">
        <v>96</v>
      </c>
      <c r="B774" s="75" t="s">
        <v>1514</v>
      </c>
      <c r="C774" s="176" t="s">
        <v>17</v>
      </c>
      <c r="D774" s="176"/>
      <c r="E774" s="176"/>
      <c r="F774" s="176"/>
      <c r="G774" s="176"/>
      <c r="H774" s="176">
        <f>SUM(Tabla132112415[[#This Row],[PRIMER TRIMESTRE]:[CUARTO TRIMESTRE]])</f>
        <v>0</v>
      </c>
      <c r="I774" s="17">
        <v>4018</v>
      </c>
      <c r="J774" s="17">
        <f t="shared" si="21"/>
        <v>0</v>
      </c>
      <c r="K774" s="17"/>
      <c r="L774" s="16" t="s">
        <v>18</v>
      </c>
      <c r="M774" s="16" t="s">
        <v>22</v>
      </c>
      <c r="N774" s="39"/>
    </row>
    <row r="775" spans="1:14" s="12" customFormat="1" ht="30">
      <c r="A775" s="178" t="s">
        <v>96</v>
      </c>
      <c r="B775" s="75" t="s">
        <v>1721</v>
      </c>
      <c r="C775" s="176" t="s">
        <v>17</v>
      </c>
      <c r="D775" s="176"/>
      <c r="E775" s="176"/>
      <c r="F775" s="176"/>
      <c r="G775" s="176"/>
      <c r="H775" s="499">
        <v>0</v>
      </c>
      <c r="I775" s="17">
        <v>0</v>
      </c>
      <c r="J775" s="17">
        <v>0</v>
      </c>
      <c r="K775" s="17"/>
      <c r="L775" s="16" t="s">
        <v>18</v>
      </c>
      <c r="M775" s="16" t="s">
        <v>22</v>
      </c>
      <c r="N775" s="39"/>
    </row>
    <row r="776" spans="1:14" s="12" customFormat="1" ht="30">
      <c r="A776" s="178" t="s">
        <v>96</v>
      </c>
      <c r="B776" s="75" t="s">
        <v>1515</v>
      </c>
      <c r="C776" s="176" t="s">
        <v>17</v>
      </c>
      <c r="D776" s="176"/>
      <c r="E776" s="176"/>
      <c r="F776" s="176"/>
      <c r="G776" s="176"/>
      <c r="H776" s="176">
        <f>SUM(Tabla132112415[[#This Row],[PRIMER TRIMESTRE]:[CUARTO TRIMESTRE]])</f>
        <v>0</v>
      </c>
      <c r="I776" s="17">
        <v>4500</v>
      </c>
      <c r="J776" s="17">
        <f t="shared" si="21"/>
        <v>0</v>
      </c>
      <c r="K776" s="17"/>
      <c r="L776" s="16" t="s">
        <v>18</v>
      </c>
      <c r="M776" s="16" t="s">
        <v>22</v>
      </c>
      <c r="N776" s="39"/>
    </row>
    <row r="777" spans="1:14" s="12" customFormat="1" ht="30">
      <c r="A777" s="178" t="s">
        <v>96</v>
      </c>
      <c r="B777" s="75" t="s">
        <v>1516</v>
      </c>
      <c r="C777" s="176" t="s">
        <v>17</v>
      </c>
      <c r="D777" s="176"/>
      <c r="E777" s="176"/>
      <c r="F777" s="176"/>
      <c r="G777" s="176"/>
      <c r="H777" s="176">
        <f>SUM(Tabla132112415[[#This Row],[PRIMER TRIMESTRE]:[CUARTO TRIMESTRE]])</f>
        <v>0</v>
      </c>
      <c r="I777" s="17">
        <v>2185</v>
      </c>
      <c r="J777" s="17">
        <f t="shared" si="21"/>
        <v>0</v>
      </c>
      <c r="K777" s="17"/>
      <c r="L777" s="16" t="s">
        <v>18</v>
      </c>
      <c r="M777" s="16" t="s">
        <v>22</v>
      </c>
      <c r="N777" s="39"/>
    </row>
    <row r="778" spans="1:14" s="12" customFormat="1" ht="30">
      <c r="A778" s="178" t="s">
        <v>96</v>
      </c>
      <c r="B778" s="75" t="s">
        <v>1517</v>
      </c>
      <c r="C778" s="176" t="s">
        <v>17</v>
      </c>
      <c r="D778" s="176"/>
      <c r="E778" s="176"/>
      <c r="F778" s="176"/>
      <c r="G778" s="176"/>
      <c r="H778" s="176">
        <f>SUM(Tabla132112415[[#This Row],[PRIMER TRIMESTRE]:[CUARTO TRIMESTRE]])</f>
        <v>0</v>
      </c>
      <c r="I778" s="17">
        <v>2185</v>
      </c>
      <c r="J778" s="17">
        <f t="shared" si="21"/>
        <v>0</v>
      </c>
      <c r="K778" s="17"/>
      <c r="L778" s="16" t="s">
        <v>18</v>
      </c>
      <c r="M778" s="16" t="s">
        <v>22</v>
      </c>
      <c r="N778" s="39"/>
    </row>
    <row r="779" spans="1:14" s="12" customFormat="1" ht="30">
      <c r="A779" s="178" t="s">
        <v>96</v>
      </c>
      <c r="B779" s="75" t="s">
        <v>832</v>
      </c>
      <c r="C779" s="176" t="s">
        <v>17</v>
      </c>
      <c r="D779" s="176"/>
      <c r="E779" s="176"/>
      <c r="F779" s="176"/>
      <c r="G779" s="176"/>
      <c r="H779" s="499">
        <f>SUM(Tabla132112415[[#This Row],[PRIMER TRIMESTRE]:[CUARTO TRIMESTRE]])</f>
        <v>0</v>
      </c>
      <c r="I779" s="17">
        <v>5772</v>
      </c>
      <c r="J779" s="17">
        <f t="shared" si="21"/>
        <v>0</v>
      </c>
      <c r="K779" s="17"/>
      <c r="L779" s="16" t="s">
        <v>18</v>
      </c>
      <c r="M779" s="16" t="s">
        <v>22</v>
      </c>
      <c r="N779" s="39"/>
    </row>
    <row r="780" spans="1:14" s="12" customFormat="1" ht="30">
      <c r="A780" s="178" t="s">
        <v>96</v>
      </c>
      <c r="B780" s="75" t="s">
        <v>833</v>
      </c>
      <c r="C780" s="176" t="s">
        <v>17</v>
      </c>
      <c r="D780" s="176"/>
      <c r="E780" s="176"/>
      <c r="F780" s="176"/>
      <c r="G780" s="176"/>
      <c r="H780" s="499">
        <f>SUM(Tabla132112415[[#This Row],[PRIMER TRIMESTRE]:[CUARTO TRIMESTRE]])</f>
        <v>0</v>
      </c>
      <c r="I780" s="17">
        <v>6168.42</v>
      </c>
      <c r="J780" s="17">
        <f t="shared" si="21"/>
        <v>0</v>
      </c>
      <c r="K780" s="17"/>
      <c r="L780" s="16" t="s">
        <v>18</v>
      </c>
      <c r="M780" s="16" t="s">
        <v>22</v>
      </c>
      <c r="N780" s="39"/>
    </row>
    <row r="781" spans="1:14" s="12" customFormat="1" ht="30">
      <c r="A781" s="178" t="s">
        <v>96</v>
      </c>
      <c r="B781" s="75" t="s">
        <v>834</v>
      </c>
      <c r="C781" s="176" t="s">
        <v>17</v>
      </c>
      <c r="D781" s="176"/>
      <c r="E781" s="176"/>
      <c r="F781" s="176"/>
      <c r="G781" s="176"/>
      <c r="H781" s="499">
        <f>SUM(Tabla132112415[[#This Row],[PRIMER TRIMESTRE]:[CUARTO TRIMESTRE]])</f>
        <v>0</v>
      </c>
      <c r="I781" s="17">
        <v>14000</v>
      </c>
      <c r="J781" s="17">
        <f t="shared" si="21"/>
        <v>0</v>
      </c>
      <c r="K781" s="17"/>
      <c r="L781" s="16" t="s">
        <v>18</v>
      </c>
      <c r="M781" s="16" t="s">
        <v>22</v>
      </c>
      <c r="N781" s="39"/>
    </row>
    <row r="782" spans="1:14" s="12" customFormat="1" ht="30">
      <c r="A782" s="178" t="s">
        <v>96</v>
      </c>
      <c r="B782" s="75" t="s">
        <v>835</v>
      </c>
      <c r="C782" s="176" t="s">
        <v>17</v>
      </c>
      <c r="D782" s="176"/>
      <c r="E782" s="176"/>
      <c r="F782" s="176"/>
      <c r="G782" s="176"/>
      <c r="H782" s="499">
        <f>SUM(Tabla132112415[[#This Row],[PRIMER TRIMESTRE]:[CUARTO TRIMESTRE]])</f>
        <v>0</v>
      </c>
      <c r="I782" s="17">
        <v>15000</v>
      </c>
      <c r="J782" s="17">
        <f t="shared" si="21"/>
        <v>0</v>
      </c>
      <c r="K782" s="17"/>
      <c r="L782" s="16" t="s">
        <v>18</v>
      </c>
      <c r="M782" s="16" t="s">
        <v>22</v>
      </c>
      <c r="N782" s="39"/>
    </row>
    <row r="783" spans="1:14" s="12" customFormat="1" ht="30">
      <c r="A783" s="178" t="s">
        <v>96</v>
      </c>
      <c r="B783" s="75" t="s">
        <v>836</v>
      </c>
      <c r="C783" s="176" t="s">
        <v>17</v>
      </c>
      <c r="D783" s="176"/>
      <c r="E783" s="176"/>
      <c r="F783" s="176"/>
      <c r="G783" s="176"/>
      <c r="H783" s="499">
        <f>SUM(Tabla132112415[[#This Row],[PRIMER TRIMESTRE]:[CUARTO TRIMESTRE]])</f>
        <v>0</v>
      </c>
      <c r="I783" s="17">
        <v>16500</v>
      </c>
      <c r="J783" s="17">
        <f t="shared" si="21"/>
        <v>0</v>
      </c>
      <c r="K783" s="17"/>
      <c r="L783" s="16" t="s">
        <v>18</v>
      </c>
      <c r="M783" s="16" t="s">
        <v>22</v>
      </c>
      <c r="N783" s="39"/>
    </row>
    <row r="784" spans="1:14" s="12" customFormat="1" ht="30">
      <c r="A784" s="178" t="s">
        <v>96</v>
      </c>
      <c r="B784" s="75" t="s">
        <v>1449</v>
      </c>
      <c r="C784" s="176" t="s">
        <v>17</v>
      </c>
      <c r="D784" s="176"/>
      <c r="E784" s="176"/>
      <c r="F784" s="176"/>
      <c r="G784" s="176"/>
      <c r="H784" s="499">
        <f>SUM(Tabla132112415[[#This Row],[PRIMER TRIMESTRE]:[CUARTO TRIMESTRE]])</f>
        <v>0</v>
      </c>
      <c r="I784" s="17">
        <v>20600</v>
      </c>
      <c r="J784" s="17">
        <f t="shared" si="21"/>
        <v>0</v>
      </c>
      <c r="K784" s="17"/>
      <c r="L784" s="16" t="s">
        <v>18</v>
      </c>
      <c r="M784" s="16" t="s">
        <v>22</v>
      </c>
      <c r="N784" s="39"/>
    </row>
    <row r="785" spans="1:14" s="12" customFormat="1" ht="38.25">
      <c r="A785" s="178" t="s">
        <v>96</v>
      </c>
      <c r="B785" s="75" t="s">
        <v>843</v>
      </c>
      <c r="C785" s="176" t="s">
        <v>17</v>
      </c>
      <c r="D785" s="176"/>
      <c r="E785" s="176"/>
      <c r="F785" s="176"/>
      <c r="G785" s="176"/>
      <c r="H785" s="499">
        <f>SUM(Tabla132112415[[#This Row],[PRIMER TRIMESTRE]:[CUARTO TRIMESTRE]])</f>
        <v>0</v>
      </c>
      <c r="I785" s="17">
        <v>4270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</row>
    <row r="786" spans="1:14" s="12" customFormat="1" ht="38.25">
      <c r="A786" s="178" t="s">
        <v>96</v>
      </c>
      <c r="B786" s="75" t="s">
        <v>844</v>
      </c>
      <c r="C786" s="176" t="s">
        <v>17</v>
      </c>
      <c r="D786" s="176"/>
      <c r="E786" s="176"/>
      <c r="F786" s="176"/>
      <c r="G786" s="176"/>
      <c r="H786" s="499">
        <f>SUM(Tabla132112415[[#This Row],[PRIMER TRIMESTRE]:[CUARTO TRIMESTRE]])</f>
        <v>0</v>
      </c>
      <c r="I786" s="17">
        <v>4320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</row>
    <row r="787" spans="1:14" s="12" customFormat="1" ht="38.25">
      <c r="A787" s="178" t="s">
        <v>96</v>
      </c>
      <c r="B787" s="75" t="s">
        <v>845</v>
      </c>
      <c r="C787" s="176" t="s">
        <v>17</v>
      </c>
      <c r="D787" s="176"/>
      <c r="E787" s="176"/>
      <c r="F787" s="176"/>
      <c r="G787" s="176"/>
      <c r="H787" s="499">
        <f>SUM(Tabla132112415[[#This Row],[PRIMER TRIMESTRE]:[CUARTO TRIMESTRE]])</f>
        <v>0</v>
      </c>
      <c r="I787" s="17">
        <v>4560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</row>
    <row r="788" spans="1:14" s="12" customFormat="1" ht="38.25">
      <c r="A788" s="178" t="s">
        <v>96</v>
      </c>
      <c r="B788" s="75" t="s">
        <v>846</v>
      </c>
      <c r="C788" s="176" t="s">
        <v>17</v>
      </c>
      <c r="D788" s="176"/>
      <c r="E788" s="176"/>
      <c r="F788" s="176"/>
      <c r="G788" s="176"/>
      <c r="H788" s="499">
        <f>SUM(Tabla132112415[[#This Row],[PRIMER TRIMESTRE]:[CUARTO TRIMESTRE]])</f>
        <v>0</v>
      </c>
      <c r="I788" s="17">
        <v>5684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</row>
    <row r="789" spans="1:14" s="12" customFormat="1" ht="38.25">
      <c r="A789" s="178" t="s">
        <v>96</v>
      </c>
      <c r="B789" s="75" t="s">
        <v>847</v>
      </c>
      <c r="C789" s="176" t="s">
        <v>17</v>
      </c>
      <c r="D789" s="176"/>
      <c r="E789" s="176"/>
      <c r="F789" s="176"/>
      <c r="G789" s="176"/>
      <c r="H789" s="499">
        <f>SUM(Tabla132112415[[#This Row],[PRIMER TRIMESTRE]:[CUARTO TRIMESTRE]])</f>
        <v>0</v>
      </c>
      <c r="I789" s="17">
        <v>5300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</row>
    <row r="790" spans="1:14" s="12" customFormat="1" ht="38.25">
      <c r="A790" s="178" t="s">
        <v>96</v>
      </c>
      <c r="B790" s="75" t="s">
        <v>848</v>
      </c>
      <c r="C790" s="176" t="s">
        <v>17</v>
      </c>
      <c r="D790" s="176"/>
      <c r="E790" s="176"/>
      <c r="F790" s="176"/>
      <c r="G790" s="176"/>
      <c r="H790" s="499">
        <f>SUM(Tabla132112415[[#This Row],[PRIMER TRIMESTRE]:[CUARTO TRIMESTRE]])</f>
        <v>0</v>
      </c>
      <c r="I790" s="17">
        <v>4958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</row>
    <row r="791" spans="1:14" s="12" customFormat="1" ht="38.25">
      <c r="A791" s="178" t="s">
        <v>96</v>
      </c>
      <c r="B791" s="75" t="s">
        <v>849</v>
      </c>
      <c r="C791" s="176" t="s">
        <v>17</v>
      </c>
      <c r="D791" s="176"/>
      <c r="E791" s="176"/>
      <c r="F791" s="176"/>
      <c r="G791" s="176"/>
      <c r="H791" s="499">
        <f>SUM(Tabla132112415[[#This Row],[PRIMER TRIMESTRE]:[CUARTO TRIMESTRE]])</f>
        <v>0</v>
      </c>
      <c r="I791" s="17">
        <v>6958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</row>
    <row r="792" spans="1:14" s="12" customFormat="1" ht="38.25">
      <c r="A792" s="178" t="s">
        <v>96</v>
      </c>
      <c r="B792" s="75" t="s">
        <v>850</v>
      </c>
      <c r="C792" s="176" t="s">
        <v>17</v>
      </c>
      <c r="D792" s="176"/>
      <c r="E792" s="176"/>
      <c r="F792" s="176"/>
      <c r="G792" s="176"/>
      <c r="H792" s="499">
        <f>SUM(Tabla132112415[[#This Row],[PRIMER TRIMESTRE]:[CUARTO TRIMESTRE]])</f>
        <v>0</v>
      </c>
      <c r="I792" s="17">
        <v>7050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</row>
    <row r="793" spans="1:14" s="12" customFormat="1" ht="38.25">
      <c r="A793" s="178" t="s">
        <v>96</v>
      </c>
      <c r="B793" s="75" t="s">
        <v>851</v>
      </c>
      <c r="C793" s="176" t="s">
        <v>17</v>
      </c>
      <c r="D793" s="176"/>
      <c r="E793" s="176"/>
      <c r="F793" s="176"/>
      <c r="G793" s="176"/>
      <c r="H793" s="499">
        <f>SUM(Tabla132112415[[#This Row],[PRIMER TRIMESTRE]:[CUARTO TRIMESTRE]])</f>
        <v>0</v>
      </c>
      <c r="I793" s="17">
        <v>7950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</row>
    <row r="794" spans="1:14" s="12" customFormat="1" ht="38.25">
      <c r="A794" s="178" t="s">
        <v>96</v>
      </c>
      <c r="B794" s="75" t="s">
        <v>852</v>
      </c>
      <c r="C794" s="176" t="s">
        <v>17</v>
      </c>
      <c r="D794" s="176"/>
      <c r="E794" s="176"/>
      <c r="F794" s="176"/>
      <c r="G794" s="176"/>
      <c r="H794" s="499">
        <f>SUM(Tabla132112415[[#This Row],[PRIMER TRIMESTRE]:[CUARTO TRIMESTRE]])</f>
        <v>0</v>
      </c>
      <c r="I794" s="17">
        <v>8338.15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</row>
    <row r="795" spans="1:14" s="12" customFormat="1" ht="38.25">
      <c r="A795" s="178" t="s">
        <v>96</v>
      </c>
      <c r="B795" s="75" t="s">
        <v>853</v>
      </c>
      <c r="C795" s="176" t="s">
        <v>17</v>
      </c>
      <c r="D795" s="176"/>
      <c r="E795" s="176"/>
      <c r="F795" s="176"/>
      <c r="G795" s="176"/>
      <c r="H795" s="499">
        <f>SUM(Tabla132112415[[#This Row],[PRIMER TRIMESTRE]:[CUARTO TRIMESTRE]])</f>
        <v>0</v>
      </c>
      <c r="I795" s="17">
        <v>9900.17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</row>
    <row r="796" spans="1:14" s="12" customFormat="1" ht="47.25">
      <c r="A796" s="178" t="s">
        <v>96</v>
      </c>
      <c r="B796" s="16" t="str">
        <f ca="1">+UPPER(Tabla132112415[[#This Row],[DESCRIPCIÓN DE LA COMPRA O CONTRATACIÓN]])</f>
        <v>MONITORES DE FASE A 460 VOLTIOS, CONTRA PÉRDIDA DE FASE E INVERSIÓN DE GIRO CON SU BASE</v>
      </c>
      <c r="C796" s="176" t="s">
        <v>17</v>
      </c>
      <c r="D796" s="176"/>
      <c r="E796" s="176"/>
      <c r="F796" s="176"/>
      <c r="G796" s="176"/>
      <c r="H796" s="499">
        <f>SUM(Tabla132112415[[#This Row],[PRIMER TRIMESTRE]:[CUARTO TRIMESTRE]])</f>
        <v>0</v>
      </c>
      <c r="I796" s="17">
        <v>7500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</row>
    <row r="797" spans="1:14" s="12" customFormat="1" ht="47.25">
      <c r="A797" s="178" t="s">
        <v>96</v>
      </c>
      <c r="B797" s="16" t="s">
        <v>1509</v>
      </c>
      <c r="C797" s="176" t="s">
        <v>17</v>
      </c>
      <c r="D797" s="176"/>
      <c r="E797" s="176"/>
      <c r="F797" s="176"/>
      <c r="G797" s="176"/>
      <c r="H797" s="499">
        <f>SUM(Tabla132112415[[#This Row],[PRIMER TRIMESTRE]:[CUARTO TRIMESTRE]])</f>
        <v>0</v>
      </c>
      <c r="I797" s="17">
        <v>5400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</row>
    <row r="798" spans="1:14" s="12" customFormat="1" ht="47.25">
      <c r="A798" s="178" t="s">
        <v>96</v>
      </c>
      <c r="B798" s="16" t="str">
        <f ca="1">+UPPER(Tabla132112415[[#This Row],[DESCRIPCIÓN DE LA COMPRA O CONTRATACIÓN]])</f>
        <v>MONITORES DE FASE A 230 VOLTIOS, CONTRA PÉRDIDA DE FASE E INVERSIÓN DE GIRO CON SU BASE</v>
      </c>
      <c r="C798" s="176" t="s">
        <v>17</v>
      </c>
      <c r="D798" s="176"/>
      <c r="E798" s="176"/>
      <c r="F798" s="176"/>
      <c r="G798" s="176"/>
      <c r="H798" s="499">
        <f>SUM(Tabla132112415[[#This Row],[PRIMER TRIMESTRE]:[CUARTO TRIMESTRE]])</f>
        <v>0</v>
      </c>
      <c r="I798" s="17">
        <v>7500</v>
      </c>
      <c r="J798" s="17">
        <f t="shared" si="21"/>
        <v>0</v>
      </c>
      <c r="K798" s="17"/>
      <c r="L798" s="16" t="s">
        <v>18</v>
      </c>
      <c r="M798" s="16" t="s">
        <v>22</v>
      </c>
      <c r="N798" s="39"/>
    </row>
    <row r="799" spans="1:14" s="12" customFormat="1" ht="47.25">
      <c r="A799" s="178" t="s">
        <v>1676</v>
      </c>
      <c r="B799" s="16" t="s">
        <v>1854</v>
      </c>
      <c r="C799" s="176" t="s">
        <v>17</v>
      </c>
      <c r="D799" s="176"/>
      <c r="E799" s="176"/>
      <c r="F799" s="176"/>
      <c r="G799" s="176"/>
      <c r="H799" s="499">
        <v>0</v>
      </c>
      <c r="I799" s="17">
        <v>0</v>
      </c>
      <c r="J799" s="17">
        <v>0</v>
      </c>
      <c r="K799" s="17"/>
      <c r="L799" s="16" t="s">
        <v>18</v>
      </c>
      <c r="M799" s="16" t="s">
        <v>19</v>
      </c>
      <c r="N799" s="39"/>
    </row>
    <row r="800" spans="1:14" s="12" customFormat="1" ht="38.25">
      <c r="A800" s="178" t="s">
        <v>96</v>
      </c>
      <c r="B800" s="75" t="s">
        <v>1695</v>
      </c>
      <c r="C800" s="176" t="s">
        <v>17</v>
      </c>
      <c r="D800" s="176"/>
      <c r="E800" s="176"/>
      <c r="F800" s="176"/>
      <c r="G800" s="176"/>
      <c r="H800" s="499">
        <v>0</v>
      </c>
      <c r="I800" s="17">
        <v>0</v>
      </c>
      <c r="J800" s="17">
        <v>0</v>
      </c>
      <c r="K800" s="17"/>
      <c r="L800" s="16" t="s">
        <v>18</v>
      </c>
      <c r="M800" s="16" t="s">
        <v>19</v>
      </c>
      <c r="N800" s="39"/>
    </row>
    <row r="801" spans="1:14" s="12" customFormat="1" ht="31.5">
      <c r="A801" s="178" t="s">
        <v>96</v>
      </c>
      <c r="B801" s="75" t="s">
        <v>854</v>
      </c>
      <c r="C801" s="176" t="s">
        <v>17</v>
      </c>
      <c r="D801" s="176"/>
      <c r="E801" s="177"/>
      <c r="F801" s="176"/>
      <c r="G801" s="176"/>
      <c r="H801" s="499">
        <f>SUM(Tabla132112415[[#This Row],[PRIMER TRIMESTRE]:[CUARTO TRIMESTRE]])</f>
        <v>0</v>
      </c>
      <c r="I801" s="72">
        <v>16500</v>
      </c>
      <c r="J801" s="17">
        <f t="shared" si="21"/>
        <v>0</v>
      </c>
      <c r="K801" s="17"/>
      <c r="L801" s="16" t="s">
        <v>18</v>
      </c>
      <c r="M801" s="16" t="s">
        <v>19</v>
      </c>
      <c r="N801" s="39"/>
    </row>
    <row r="802" spans="1:14" s="12" customFormat="1" ht="31.5">
      <c r="A802" s="178" t="s">
        <v>96</v>
      </c>
      <c r="B802" s="75" t="s">
        <v>1718</v>
      </c>
      <c r="C802" s="176" t="s">
        <v>17</v>
      </c>
      <c r="D802" s="176"/>
      <c r="E802" s="177"/>
      <c r="F802" s="176"/>
      <c r="G802" s="176"/>
      <c r="H802" s="499">
        <v>0</v>
      </c>
      <c r="I802" s="72">
        <v>0</v>
      </c>
      <c r="J802" s="17">
        <v>0</v>
      </c>
      <c r="K802" s="17"/>
      <c r="L802" s="16" t="s">
        <v>18</v>
      </c>
      <c r="M802" s="16" t="s">
        <v>19</v>
      </c>
      <c r="N802" s="39"/>
    </row>
    <row r="803" spans="1:14" s="12" customFormat="1" ht="31.5">
      <c r="A803" s="178" t="s">
        <v>96</v>
      </c>
      <c r="B803" s="75" t="s">
        <v>855</v>
      </c>
      <c r="C803" s="176" t="s">
        <v>17</v>
      </c>
      <c r="D803" s="176"/>
      <c r="E803" s="176"/>
      <c r="F803" s="176"/>
      <c r="G803" s="176"/>
      <c r="H803" s="499">
        <f>SUM(Tabla132112415[[#This Row],[PRIMER TRIMESTRE]:[CUARTO TRIMESTRE]])</f>
        <v>0</v>
      </c>
      <c r="I803" s="72">
        <v>60000</v>
      </c>
      <c r="J803" s="17">
        <f t="shared" si="21"/>
        <v>0</v>
      </c>
      <c r="K803" s="17"/>
      <c r="L803" s="16" t="s">
        <v>18</v>
      </c>
      <c r="M803" s="16" t="s">
        <v>19</v>
      </c>
      <c r="N803" s="39"/>
    </row>
    <row r="804" spans="1:14" s="12" customFormat="1" ht="47.25">
      <c r="A804" s="178" t="s">
        <v>96</v>
      </c>
      <c r="B804" s="16" t="str">
        <f ca="1">+UPPER(Tabla132112415[[#This Row],[DESCRIPCIÓN DE LA COMPRA O CONTRATACIÓN]])</f>
        <v>MOTORES ELÉCTRICOS SUMERGIBLES, 3Ø, 230 /460 VOLTIOS, 60HZ, 1.15 FS, 3,450 RPM 7.5 HP NEMA 6</v>
      </c>
      <c r="C804" s="176" t="s">
        <v>17</v>
      </c>
      <c r="D804" s="176"/>
      <c r="E804" s="176"/>
      <c r="F804" s="176"/>
      <c r="G804" s="176"/>
      <c r="H804" s="499">
        <f>SUM(Tabla132112415[[#This Row],[PRIMER TRIMESTRE]:[CUARTO TRIMESTRE]])</f>
        <v>0</v>
      </c>
      <c r="I804" s="72">
        <v>81217.84</v>
      </c>
      <c r="J804" s="17">
        <f t="shared" si="21"/>
        <v>0</v>
      </c>
      <c r="K804" s="17"/>
      <c r="L804" s="16" t="s">
        <v>18</v>
      </c>
      <c r="M804" s="16" t="s">
        <v>19</v>
      </c>
      <c r="N804" s="39"/>
    </row>
    <row r="805" spans="1:14" s="12" customFormat="1" ht="47.25">
      <c r="A805" s="178" t="s">
        <v>96</v>
      </c>
      <c r="B805" s="16" t="str">
        <f ca="1">+UPPER(Tabla132112415[[#This Row],[DESCRIPCIÓN DE LA COMPRA O CONTRATACIÓN]])</f>
        <v>MOTORES ELÉCTRICOS SUMERGIBLES, 3Ø, 230 /460 VOLTIOS, 60HZ, 1.15 FS, 3,450 RPM 20 HP NEMA 6</v>
      </c>
      <c r="C805" s="176" t="s">
        <v>17</v>
      </c>
      <c r="D805" s="176"/>
      <c r="E805" s="177"/>
      <c r="F805" s="176"/>
      <c r="G805" s="177"/>
      <c r="H805" s="499">
        <f>SUM(Tabla132112415[[#This Row],[PRIMER TRIMESTRE]:[CUARTO TRIMESTRE]])</f>
        <v>0</v>
      </c>
      <c r="I805" s="17">
        <v>90520</v>
      </c>
      <c r="J805" s="17">
        <f t="shared" si="21"/>
        <v>0</v>
      </c>
      <c r="K805" s="17"/>
      <c r="L805" s="16" t="s">
        <v>18</v>
      </c>
      <c r="M805" s="16" t="s">
        <v>19</v>
      </c>
      <c r="N805" s="39"/>
    </row>
    <row r="806" spans="1:14" s="12" customFormat="1" ht="31.5">
      <c r="A806" s="178" t="s">
        <v>96</v>
      </c>
      <c r="B806" s="75" t="s">
        <v>856</v>
      </c>
      <c r="C806" s="176" t="s">
        <v>17</v>
      </c>
      <c r="D806" s="176"/>
      <c r="E806" s="176"/>
      <c r="F806" s="176"/>
      <c r="G806" s="176"/>
      <c r="H806" s="499">
        <f>SUM(Tabla132112415[[#This Row],[PRIMER TRIMESTRE]:[CUARTO TRIMESTRE]])</f>
        <v>0</v>
      </c>
      <c r="I806" s="17">
        <v>107544.96000000001</v>
      </c>
      <c r="J806" s="17">
        <f t="shared" si="21"/>
        <v>0</v>
      </c>
      <c r="K806" s="17"/>
      <c r="L806" s="16" t="s">
        <v>18</v>
      </c>
      <c r="M806" s="16" t="s">
        <v>19</v>
      </c>
      <c r="N806" s="39"/>
    </row>
    <row r="807" spans="1:14" s="12" customFormat="1" ht="31.5">
      <c r="A807" s="178" t="s">
        <v>96</v>
      </c>
      <c r="B807" s="75" t="s">
        <v>1684</v>
      </c>
      <c r="C807" s="176" t="s">
        <v>17</v>
      </c>
      <c r="D807" s="176"/>
      <c r="E807" s="176"/>
      <c r="F807" s="176"/>
      <c r="G807" s="176"/>
      <c r="H807" s="499">
        <v>0</v>
      </c>
      <c r="I807" s="17">
        <v>0</v>
      </c>
      <c r="J807" s="17">
        <v>0</v>
      </c>
      <c r="K807" s="17"/>
      <c r="L807" s="16" t="s">
        <v>18</v>
      </c>
      <c r="M807" s="16" t="s">
        <v>19</v>
      </c>
      <c r="N807" s="39"/>
    </row>
    <row r="808" spans="1:14" s="12" customFormat="1" ht="31.5">
      <c r="A808" s="178" t="s">
        <v>96</v>
      </c>
      <c r="B808" s="75" t="s">
        <v>1446</v>
      </c>
      <c r="C808" s="176" t="s">
        <v>17</v>
      </c>
      <c r="D808" s="176"/>
      <c r="E808" s="176"/>
      <c r="F808" s="176"/>
      <c r="G808" s="176"/>
      <c r="H808" s="499">
        <f>SUM(Tabla132112415[[#This Row],[PRIMER TRIMESTRE]:[CUARTO TRIMESTRE]])</f>
        <v>0</v>
      </c>
      <c r="I808" s="17">
        <v>132750</v>
      </c>
      <c r="J808" s="17">
        <f t="shared" si="21"/>
        <v>0</v>
      </c>
      <c r="K808" s="17"/>
      <c r="L808" s="16" t="s">
        <v>18</v>
      </c>
      <c r="M808" s="16" t="s">
        <v>19</v>
      </c>
      <c r="N808" s="39"/>
    </row>
    <row r="809" spans="1:14" s="12" customFormat="1" ht="31.5">
      <c r="A809" s="178" t="s">
        <v>96</v>
      </c>
      <c r="B809" s="75" t="s">
        <v>1447</v>
      </c>
      <c r="C809" s="176" t="s">
        <v>17</v>
      </c>
      <c r="D809" s="176"/>
      <c r="E809" s="176"/>
      <c r="F809" s="176"/>
      <c r="G809" s="176"/>
      <c r="H809" s="499">
        <f>SUM(Tabla132112415[[#This Row],[PRIMER TRIMESTRE]:[CUARTO TRIMESTRE]])</f>
        <v>0</v>
      </c>
      <c r="I809" s="17">
        <v>151330</v>
      </c>
      <c r="J809" s="17">
        <f t="shared" si="21"/>
        <v>0</v>
      </c>
      <c r="K809" s="17"/>
      <c r="L809" s="16" t="s">
        <v>18</v>
      </c>
      <c r="M809" s="16" t="s">
        <v>19</v>
      </c>
      <c r="N809" s="39"/>
    </row>
    <row r="810" spans="1:14" s="12" customFormat="1" ht="31.5">
      <c r="A810" s="178" t="s">
        <v>96</v>
      </c>
      <c r="B810" s="75" t="s">
        <v>857</v>
      </c>
      <c r="C810" s="176" t="s">
        <v>17</v>
      </c>
      <c r="D810" s="176"/>
      <c r="E810" s="176"/>
      <c r="F810" s="176"/>
      <c r="G810" s="176"/>
      <c r="H810" s="499">
        <f>SUM(Tabla132112415[[#This Row],[PRIMER TRIMESTRE]:[CUARTO TRIMESTRE]])</f>
        <v>0</v>
      </c>
      <c r="I810" s="17">
        <v>123744.06</v>
      </c>
      <c r="J810" s="17">
        <f t="shared" si="21"/>
        <v>0</v>
      </c>
      <c r="K810" s="17"/>
      <c r="L810" s="16" t="s">
        <v>18</v>
      </c>
      <c r="M810" s="16" t="s">
        <v>19</v>
      </c>
      <c r="N810" s="39"/>
    </row>
    <row r="811" spans="1:14" s="12" customFormat="1" ht="31.5">
      <c r="A811" s="178" t="s">
        <v>96</v>
      </c>
      <c r="B811" s="75" t="s">
        <v>858</v>
      </c>
      <c r="C811" s="176" t="s">
        <v>17</v>
      </c>
      <c r="D811" s="176"/>
      <c r="E811" s="177"/>
      <c r="F811" s="176"/>
      <c r="G811" s="176"/>
      <c r="H811" s="499">
        <f>SUM(Tabla132112415[[#This Row],[PRIMER TRIMESTRE]:[CUARTO TRIMESTRE]])</f>
        <v>0</v>
      </c>
      <c r="I811" s="17">
        <v>135450.07</v>
      </c>
      <c r="J811" s="17">
        <f t="shared" si="21"/>
        <v>0</v>
      </c>
      <c r="K811" s="17"/>
      <c r="L811" s="16" t="s">
        <v>18</v>
      </c>
      <c r="M811" s="16" t="s">
        <v>19</v>
      </c>
      <c r="N811" s="39"/>
    </row>
    <row r="812" spans="1:14" s="12" customFormat="1" ht="31.5">
      <c r="A812" s="178" t="s">
        <v>96</v>
      </c>
      <c r="B812" s="75" t="s">
        <v>859</v>
      </c>
      <c r="C812" s="176" t="s">
        <v>17</v>
      </c>
      <c r="D812" s="176"/>
      <c r="E812" s="177"/>
      <c r="F812" s="176"/>
      <c r="G812" s="176"/>
      <c r="H812" s="499">
        <f>SUM(Tabla132112415[[#This Row],[PRIMER TRIMESTRE]:[CUARTO TRIMESTRE]])</f>
        <v>0</v>
      </c>
      <c r="I812" s="17">
        <v>181838</v>
      </c>
      <c r="J812" s="17">
        <f t="shared" si="21"/>
        <v>0</v>
      </c>
      <c r="K812" s="17"/>
      <c r="L812" s="16" t="s">
        <v>18</v>
      </c>
      <c r="M812" s="16" t="s">
        <v>19</v>
      </c>
      <c r="N812" s="39"/>
    </row>
    <row r="813" spans="1:14" s="12" customFormat="1" ht="31.5">
      <c r="A813" s="178" t="s">
        <v>96</v>
      </c>
      <c r="B813" s="75" t="s">
        <v>860</v>
      </c>
      <c r="C813" s="176" t="s">
        <v>17</v>
      </c>
      <c r="D813" s="176"/>
      <c r="E813" s="177"/>
      <c r="F813" s="176"/>
      <c r="G813" s="176"/>
      <c r="H813" s="499">
        <f>SUM(Tabla132112415[[#This Row],[PRIMER TRIMESTRE]:[CUARTO TRIMESTRE]])</f>
        <v>0</v>
      </c>
      <c r="I813" s="72">
        <v>190640</v>
      </c>
      <c r="J813" s="17">
        <f t="shared" si="21"/>
        <v>0</v>
      </c>
      <c r="K813" s="17"/>
      <c r="L813" s="16" t="s">
        <v>18</v>
      </c>
      <c r="M813" s="16" t="s">
        <v>19</v>
      </c>
      <c r="N813" s="39"/>
    </row>
    <row r="814" spans="1:14" s="12" customFormat="1" ht="31.5">
      <c r="A814" s="178" t="s">
        <v>96</v>
      </c>
      <c r="B814" s="75" t="s">
        <v>861</v>
      </c>
      <c r="C814" s="176" t="s">
        <v>17</v>
      </c>
      <c r="D814" s="176"/>
      <c r="E814" s="177"/>
      <c r="F814" s="176"/>
      <c r="G814" s="176"/>
      <c r="H814" s="499">
        <f>SUM(Tabla132112415[[#This Row],[PRIMER TRIMESTRE]:[CUARTO TRIMESTRE]])</f>
        <v>0</v>
      </c>
      <c r="I814" s="17">
        <v>190640.56</v>
      </c>
      <c r="J814" s="17">
        <f t="shared" si="21"/>
        <v>0</v>
      </c>
      <c r="K814" s="17"/>
      <c r="L814" s="16" t="s">
        <v>18</v>
      </c>
      <c r="M814" s="16" t="s">
        <v>19</v>
      </c>
      <c r="N814" s="39"/>
    </row>
    <row r="815" spans="1:14" s="12" customFormat="1" ht="31.5">
      <c r="A815" s="178" t="s">
        <v>96</v>
      </c>
      <c r="B815" s="75" t="s">
        <v>862</v>
      </c>
      <c r="C815" s="176" t="s">
        <v>17</v>
      </c>
      <c r="D815" s="176"/>
      <c r="E815" s="177"/>
      <c r="F815" s="176"/>
      <c r="G815" s="176"/>
      <c r="H815" s="499">
        <f>SUM(Tabla132112415[[#This Row],[PRIMER TRIMESTRE]:[CUARTO TRIMESTRE]])</f>
        <v>0</v>
      </c>
      <c r="I815" s="17">
        <v>327450</v>
      </c>
      <c r="J815" s="17">
        <f t="shared" si="21"/>
        <v>0</v>
      </c>
      <c r="K815" s="17"/>
      <c r="L815" s="16" t="s">
        <v>18</v>
      </c>
      <c r="M815" s="16" t="s">
        <v>19</v>
      </c>
      <c r="N815" s="39"/>
    </row>
    <row r="816" spans="1:14" s="12" customFormat="1" ht="47.25">
      <c r="A816" s="178" t="s">
        <v>96</v>
      </c>
      <c r="B816" s="16" t="str">
        <f ca="1">+UPPER(Tabla132112415[[#This Row],[DESCRIPCIÓN DE LA COMPRA O CONTRATACIÓN]])</f>
        <v xml:space="preserve">MOTORES ELÉCTRICOS MONOFASICO SUMERGIBLES, 230 VOLTIOS, 3,450 RPM  3 HP CON CAJA DE CONTROLS </v>
      </c>
      <c r="C816" s="176" t="s">
        <v>17</v>
      </c>
      <c r="D816" s="176"/>
      <c r="E816" s="177"/>
      <c r="F816" s="176"/>
      <c r="G816" s="176"/>
      <c r="H816" s="499">
        <f>SUM(Tabla132112415[[#This Row],[PRIMER TRIMESTRE]:[CUARTO TRIMESTRE]])</f>
        <v>0</v>
      </c>
      <c r="I816" s="17">
        <v>36114.370000000003</v>
      </c>
      <c r="J816" s="17">
        <f t="shared" si="21"/>
        <v>0</v>
      </c>
      <c r="K816" s="17"/>
      <c r="L816" s="16" t="s">
        <v>18</v>
      </c>
      <c r="M816" s="16" t="s">
        <v>19</v>
      </c>
      <c r="N816" s="39"/>
    </row>
    <row r="817" spans="1:14" s="12" customFormat="1" ht="47.25">
      <c r="A817" s="178" t="s">
        <v>96</v>
      </c>
      <c r="B817" s="16" t="str">
        <f ca="1">+UPPER(Tabla132112415[[#This Row],[DESCRIPCIÓN DE LA COMPRA O CONTRATACIÓN]])</f>
        <v xml:space="preserve">MOTORES ELÉCTRICOS MONOFASICO SUMERGIBLES, 230 VOLTIOS, 3,450 RPM  5 HP CON CAJA DE CONTROLS </v>
      </c>
      <c r="C817" s="176" t="s">
        <v>17</v>
      </c>
      <c r="D817" s="176"/>
      <c r="E817" s="177"/>
      <c r="F817" s="176"/>
      <c r="G817" s="176"/>
      <c r="H817" s="499">
        <f>SUM(Tabla132112415[[#This Row],[PRIMER TRIMESTRE]:[CUARTO TRIMESTRE]])</f>
        <v>0</v>
      </c>
      <c r="I817" s="17">
        <v>38000</v>
      </c>
      <c r="J817" s="17">
        <f t="shared" si="21"/>
        <v>0</v>
      </c>
      <c r="K817" s="17"/>
      <c r="L817" s="16" t="s">
        <v>18</v>
      </c>
      <c r="M817" s="16" t="s">
        <v>19</v>
      </c>
      <c r="N817" s="39"/>
    </row>
    <row r="818" spans="1:14" s="12" customFormat="1" ht="47.25">
      <c r="A818" s="178" t="s">
        <v>96</v>
      </c>
      <c r="B818" s="16" t="str">
        <f ca="1">+UPPER(Tabla132112415[[#This Row],[DESCRIPCIÓN DE LA COMPRA O CONTRATACIÓN]])</f>
        <v xml:space="preserve">MOTORES ELÉCTRICOS MONOFASICO SUMERGIBLES, 230 VOLTIOS, 3,450 RPM  7.5 HP CON CAJA DE CONTROLS </v>
      </c>
      <c r="C818" s="176" t="s">
        <v>17</v>
      </c>
      <c r="D818" s="176"/>
      <c r="E818" s="177"/>
      <c r="F818" s="176"/>
      <c r="G818" s="176"/>
      <c r="H818" s="499">
        <f>SUM(Tabla132112415[[#This Row],[PRIMER TRIMESTRE]:[CUARTO TRIMESTRE]])</f>
        <v>0</v>
      </c>
      <c r="I818" s="17">
        <v>50164</v>
      </c>
      <c r="J818" s="17">
        <f t="shared" si="21"/>
        <v>0</v>
      </c>
      <c r="K818" s="17"/>
      <c r="L818" s="16" t="s">
        <v>18</v>
      </c>
      <c r="M818" s="16" t="s">
        <v>19</v>
      </c>
      <c r="N818" s="39"/>
    </row>
    <row r="819" spans="1:14" s="12" customFormat="1" ht="47.25">
      <c r="A819" s="178" t="s">
        <v>96</v>
      </c>
      <c r="B819" s="16" t="str">
        <f ca="1">+UPPER(Tabla132112415[[#This Row],[DESCRIPCIÓN DE LA COMPRA O CONTRATACIÓN]])</f>
        <v>ELECTROBOMBAS HORIZONTAL, 0.75HP, 1Ø, 115/230V, TIPO MONOBLOCK,3500 RPM, 20 GPM VS 100 PIES TDH</v>
      </c>
      <c r="C819" s="176" t="s">
        <v>17</v>
      </c>
      <c r="D819" s="176"/>
      <c r="E819" s="176"/>
      <c r="F819" s="176"/>
      <c r="G819" s="176"/>
      <c r="H819" s="499">
        <f>SUM(Tabla132112415[[#This Row],[PRIMER TRIMESTRE]:[CUARTO TRIMESTRE]])</f>
        <v>0</v>
      </c>
      <c r="I819" s="17">
        <v>23570</v>
      </c>
      <c r="J819" s="17">
        <f t="shared" si="21"/>
        <v>0</v>
      </c>
      <c r="K819" s="17"/>
      <c r="L819" s="16" t="s">
        <v>18</v>
      </c>
      <c r="M819" s="16" t="s">
        <v>19</v>
      </c>
      <c r="N819" s="39"/>
    </row>
    <row r="820" spans="1:14" s="12" customFormat="1" ht="31.5">
      <c r="A820" s="178" t="s">
        <v>96</v>
      </c>
      <c r="B820" s="16" t="str">
        <f ca="1">+UPPER(Tabla132112415[[#This Row],[DESCRIPCIÓN DE LA COMPRA O CONTRATACIÓN]])</f>
        <v>ELECTROBOMBAS SUMERGIBLE, 1.00HP, 230V, 1Ø, 60HZ, CON SU CAJA DE CONTROL, 3500 RPM</v>
      </c>
      <c r="C820" s="176" t="s">
        <v>17</v>
      </c>
      <c r="D820" s="176"/>
      <c r="E820" s="176"/>
      <c r="F820" s="176"/>
      <c r="G820" s="176"/>
      <c r="H820" s="499">
        <f>SUM(Tabla132112415[[#This Row],[PRIMER TRIMESTRE]:[CUARTO TRIMESTRE]])</f>
        <v>0</v>
      </c>
      <c r="I820" s="17">
        <v>32670</v>
      </c>
      <c r="J820" s="17">
        <f t="shared" si="21"/>
        <v>0</v>
      </c>
      <c r="K820" s="17"/>
      <c r="L820" s="16" t="s">
        <v>18</v>
      </c>
      <c r="M820" s="16" t="s">
        <v>19</v>
      </c>
      <c r="N820" s="39"/>
    </row>
    <row r="821" spans="1:14" s="12" customFormat="1" ht="30">
      <c r="A821" s="178" t="s">
        <v>96</v>
      </c>
      <c r="B821" s="75" t="s">
        <v>1688</v>
      </c>
      <c r="C821" s="176" t="s">
        <v>17</v>
      </c>
      <c r="D821" s="176"/>
      <c r="E821" s="176"/>
      <c r="F821" s="176"/>
      <c r="G821" s="176"/>
      <c r="H821" s="499">
        <v>0</v>
      </c>
      <c r="I821" s="17">
        <v>0</v>
      </c>
      <c r="J821" s="17">
        <v>0</v>
      </c>
      <c r="K821" s="17"/>
      <c r="L821" s="16" t="s">
        <v>18</v>
      </c>
      <c r="M821" s="16" t="s">
        <v>22</v>
      </c>
      <c r="N821" s="39"/>
    </row>
    <row r="822" spans="1:14" s="12" customFormat="1" ht="30">
      <c r="A822" s="178" t="s">
        <v>96</v>
      </c>
      <c r="B822" s="75" t="s">
        <v>1230</v>
      </c>
      <c r="C822" s="176" t="s">
        <v>17</v>
      </c>
      <c r="D822" s="176"/>
      <c r="E822" s="176"/>
      <c r="F822" s="176"/>
      <c r="G822" s="176"/>
      <c r="H822" s="499">
        <f>SUM(Tabla132112415[[#This Row],[PRIMER TRIMESTRE]:[CUARTO TRIMESTRE]])</f>
        <v>0</v>
      </c>
      <c r="I822" s="17">
        <v>45000</v>
      </c>
      <c r="J822" s="17">
        <f t="shared" si="21"/>
        <v>0</v>
      </c>
      <c r="K822" s="17"/>
      <c r="L822" s="16" t="s">
        <v>18</v>
      </c>
      <c r="M822" s="16" t="s">
        <v>22</v>
      </c>
      <c r="N822" s="39"/>
    </row>
    <row r="823" spans="1:14" s="12" customFormat="1" ht="30">
      <c r="A823" s="178" t="s">
        <v>96</v>
      </c>
      <c r="B823" s="75" t="s">
        <v>1231</v>
      </c>
      <c r="C823" s="176" t="s">
        <v>17</v>
      </c>
      <c r="D823" s="176"/>
      <c r="E823" s="176"/>
      <c r="F823" s="176"/>
      <c r="G823" s="176"/>
      <c r="H823" s="499">
        <f>SUM(Tabla132112415[[#This Row],[PRIMER TRIMESTRE]:[CUARTO TRIMESTRE]])</f>
        <v>0</v>
      </c>
      <c r="I823" s="17">
        <v>48231.23</v>
      </c>
      <c r="J823" s="17">
        <f t="shared" si="21"/>
        <v>0</v>
      </c>
      <c r="K823" s="17"/>
      <c r="L823" s="16" t="s">
        <v>18</v>
      </c>
      <c r="M823" s="16" t="s">
        <v>22</v>
      </c>
      <c r="N823" s="39"/>
    </row>
    <row r="824" spans="1:14" s="12" customFormat="1" ht="30">
      <c r="A824" s="178" t="s">
        <v>96</v>
      </c>
      <c r="B824" s="75" t="s">
        <v>1232</v>
      </c>
      <c r="C824" s="176" t="s">
        <v>17</v>
      </c>
      <c r="D824" s="176"/>
      <c r="E824" s="176"/>
      <c r="F824" s="176"/>
      <c r="G824" s="176"/>
      <c r="H824" s="499">
        <f>SUM(Tabla132112415[[#This Row],[PRIMER TRIMESTRE]:[CUARTO TRIMESTRE]])</f>
        <v>0</v>
      </c>
      <c r="I824" s="17">
        <v>52738.12</v>
      </c>
      <c r="J824" s="17">
        <f t="shared" si="21"/>
        <v>0</v>
      </c>
      <c r="K824" s="17"/>
      <c r="L824" s="16" t="s">
        <v>18</v>
      </c>
      <c r="M824" s="16" t="s">
        <v>22</v>
      </c>
      <c r="N824" s="39"/>
    </row>
    <row r="825" spans="1:14" s="12" customFormat="1" ht="30">
      <c r="A825" s="178" t="s">
        <v>96</v>
      </c>
      <c r="B825" s="75" t="s">
        <v>1233</v>
      </c>
      <c r="C825" s="176" t="s">
        <v>17</v>
      </c>
      <c r="D825" s="176"/>
      <c r="E825" s="176"/>
      <c r="F825" s="176"/>
      <c r="G825" s="176"/>
      <c r="H825" s="499">
        <f>SUM(Tabla132112415[[#This Row],[PRIMER TRIMESTRE]:[CUARTO TRIMESTRE]])</f>
        <v>0</v>
      </c>
      <c r="I825" s="17">
        <v>14726</v>
      </c>
      <c r="J825" s="17">
        <f t="shared" si="21"/>
        <v>0</v>
      </c>
      <c r="K825" s="17"/>
      <c r="L825" s="16" t="s">
        <v>18</v>
      </c>
      <c r="M825" s="16" t="s">
        <v>22</v>
      </c>
      <c r="N825" s="39"/>
    </row>
    <row r="826" spans="1:14" s="12" customFormat="1" ht="30">
      <c r="A826" s="178" t="s">
        <v>96</v>
      </c>
      <c r="B826" s="75" t="s">
        <v>1234</v>
      </c>
      <c r="C826" s="176" t="s">
        <v>17</v>
      </c>
      <c r="D826" s="176"/>
      <c r="E826" s="176"/>
      <c r="F826" s="176"/>
      <c r="G826" s="176"/>
      <c r="H826" s="499">
        <f>SUM(Tabla132112415[[#This Row],[PRIMER TRIMESTRE]:[CUARTO TRIMESTRE]])</f>
        <v>0</v>
      </c>
      <c r="I826" s="17">
        <v>60000</v>
      </c>
      <c r="J826" s="17">
        <f t="shared" ref="J826:J855" si="22">+H826*I826</f>
        <v>0</v>
      </c>
      <c r="K826" s="17"/>
      <c r="L826" s="16" t="s">
        <v>18</v>
      </c>
      <c r="M826" s="16" t="s">
        <v>22</v>
      </c>
      <c r="N826" s="39"/>
    </row>
    <row r="827" spans="1:14" s="12" customFormat="1" ht="38.25">
      <c r="A827" s="178" t="s">
        <v>96</v>
      </c>
      <c r="B827" s="75" t="s">
        <v>1686</v>
      </c>
      <c r="C827" s="176" t="s">
        <v>17</v>
      </c>
      <c r="D827" s="176"/>
      <c r="E827" s="176"/>
      <c r="F827" s="176"/>
      <c r="G827" s="176"/>
      <c r="H827" s="499">
        <v>0</v>
      </c>
      <c r="I827" s="17">
        <v>0</v>
      </c>
      <c r="J827" s="17">
        <v>0</v>
      </c>
      <c r="K827" s="17"/>
      <c r="L827" s="16" t="s">
        <v>18</v>
      </c>
      <c r="M827" s="16" t="s">
        <v>22</v>
      </c>
      <c r="N827" s="39"/>
    </row>
    <row r="828" spans="1:14" s="12" customFormat="1" ht="30">
      <c r="A828" s="178" t="s">
        <v>96</v>
      </c>
      <c r="B828" s="75" t="s">
        <v>1685</v>
      </c>
      <c r="C828" s="176" t="s">
        <v>17</v>
      </c>
      <c r="D828" s="176"/>
      <c r="E828" s="176"/>
      <c r="F828" s="176"/>
      <c r="G828" s="176"/>
      <c r="H828" s="499">
        <v>0</v>
      </c>
      <c r="I828" s="17">
        <v>0</v>
      </c>
      <c r="J828" s="17">
        <v>0</v>
      </c>
      <c r="K828" s="17"/>
      <c r="L828" s="16" t="s">
        <v>18</v>
      </c>
      <c r="M828" s="16" t="s">
        <v>22</v>
      </c>
      <c r="N828" s="39"/>
    </row>
    <row r="829" spans="1:14" s="12" customFormat="1" ht="47.25">
      <c r="A829" s="178" t="s">
        <v>96</v>
      </c>
      <c r="B829" s="16" t="s">
        <v>1689</v>
      </c>
      <c r="C829" s="176" t="s">
        <v>17</v>
      </c>
      <c r="D829" s="176"/>
      <c r="E829" s="176"/>
      <c r="F829" s="176"/>
      <c r="G829" s="176"/>
      <c r="H829" s="499">
        <v>0</v>
      </c>
      <c r="I829" s="17">
        <v>0</v>
      </c>
      <c r="J829" s="17">
        <v>0</v>
      </c>
      <c r="K829" s="17"/>
      <c r="L829" s="16" t="s">
        <v>18</v>
      </c>
      <c r="M829" s="16" t="s">
        <v>22</v>
      </c>
      <c r="N829" s="39"/>
    </row>
    <row r="830" spans="1:14" s="12" customFormat="1" ht="47.25">
      <c r="A830" s="178" t="s">
        <v>96</v>
      </c>
      <c r="B830" s="16" t="s">
        <v>863</v>
      </c>
      <c r="C830" s="176" t="s">
        <v>17</v>
      </c>
      <c r="D830" s="176"/>
      <c r="E830" s="176"/>
      <c r="F830" s="176"/>
      <c r="G830" s="176"/>
      <c r="H830" s="499">
        <f>SUM(Tabla132112415[[#This Row],[PRIMER TRIMESTRE]:[CUARTO TRIMESTRE]])</f>
        <v>0</v>
      </c>
      <c r="I830" s="17">
        <v>24051.94</v>
      </c>
      <c r="J830" s="17">
        <f t="shared" si="22"/>
        <v>0</v>
      </c>
      <c r="K830" s="17"/>
      <c r="L830" s="16" t="s">
        <v>18</v>
      </c>
      <c r="M830" s="16" t="s">
        <v>22</v>
      </c>
      <c r="N830" s="39"/>
    </row>
    <row r="831" spans="1:14" s="12" customFormat="1" ht="47.25">
      <c r="A831" s="178" t="s">
        <v>96</v>
      </c>
      <c r="B831" s="16" t="str">
        <f ca="1">+UPPER(Tabla132112415[[#This Row],[DESCRIPCIÓN DE LA COMPRA O CONTRATACIÓN]])</f>
        <v>TRANSFORMADORES 1Ø, 60HZ, SUMERGIDOS EN ACEITE, 7.2/12.47 KV, 120/240V, TIPO POSTE, HOMOLGADOS CON IDÉNTICA IMPEDANCIA 25 KVA</v>
      </c>
      <c r="C831" s="176" t="s">
        <v>17</v>
      </c>
      <c r="D831" s="176"/>
      <c r="E831" s="176"/>
      <c r="F831" s="176"/>
      <c r="G831" s="176"/>
      <c r="H831" s="499">
        <f>SUM(Tabla132112415[[#This Row],[PRIMER TRIMESTRE]:[CUARTO TRIMESTRE]])</f>
        <v>0</v>
      </c>
      <c r="I831" s="17">
        <v>34220</v>
      </c>
      <c r="J831" s="17">
        <f t="shared" si="22"/>
        <v>0</v>
      </c>
      <c r="K831" s="17"/>
      <c r="L831" s="16" t="s">
        <v>18</v>
      </c>
      <c r="M831" s="16" t="s">
        <v>22</v>
      </c>
      <c r="N831" s="39"/>
    </row>
    <row r="832" spans="1:14" s="12" customFormat="1" ht="63">
      <c r="A832" s="178" t="s">
        <v>96</v>
      </c>
      <c r="B832" s="16" t="str">
        <f ca="1">+UPPER(Tabla132112415[[#This Row],[DESCRIPCIÓN DE LA COMPRA O CONTRATACIÓN]])</f>
        <v>TRANSFORMADORES 1Ø, 60HZ, SUMERGIDOS EN ACEITE, 7.2/12.47 KV, 120/240V, TIPO POSTE, HOMOLGADOS CON IDÉNTICA IMPEDANCIA 37.5 KVA</v>
      </c>
      <c r="C832" s="176" t="s">
        <v>17</v>
      </c>
      <c r="D832" s="176"/>
      <c r="E832" s="176"/>
      <c r="F832" s="176"/>
      <c r="G832" s="176"/>
      <c r="H832" s="499">
        <f>SUM(Tabla132112415[[#This Row],[PRIMER TRIMESTRE]:[CUARTO TRIMESTRE]])</f>
        <v>0</v>
      </c>
      <c r="I832" s="17">
        <v>58875.22</v>
      </c>
      <c r="J832" s="17">
        <f t="shared" si="22"/>
        <v>0</v>
      </c>
      <c r="K832" s="17"/>
      <c r="L832" s="16" t="s">
        <v>18</v>
      </c>
      <c r="M832" s="16" t="s">
        <v>22</v>
      </c>
      <c r="N832" s="39"/>
    </row>
    <row r="833" spans="1:14" s="12" customFormat="1" ht="47.25">
      <c r="A833" s="178" t="s">
        <v>96</v>
      </c>
      <c r="B833" s="73" t="str">
        <f ca="1">+UPPER(Tabla132112415[[#This Row],[DESCRIPCIÓN DE LA COMPRA O CONTRATACIÓN]])</f>
        <v>TRANSFORMADORES 1Ø, 60HZ, SUMERGIDOS EN ACEITE, 7.2/12.47 KV, 240/480V, TIPO POSTE HOMOLGADOS CON IDÉNTICA IMPEDANCIA 15 KVA</v>
      </c>
      <c r="C833" s="176" t="s">
        <v>17</v>
      </c>
      <c r="D833" s="176"/>
      <c r="E833" s="176"/>
      <c r="F833" s="176"/>
      <c r="G833" s="176"/>
      <c r="H833" s="499">
        <f>SUM(Tabla132112415[[#This Row],[PRIMER TRIMESTRE]:[CUARTO TRIMESTRE]])</f>
        <v>0</v>
      </c>
      <c r="I833" s="17">
        <v>25498.09</v>
      </c>
      <c r="J833" s="17">
        <f t="shared" si="22"/>
        <v>0</v>
      </c>
      <c r="K833" s="17"/>
      <c r="L833" s="16" t="s">
        <v>18</v>
      </c>
      <c r="M833" s="16" t="s">
        <v>22</v>
      </c>
      <c r="N833" s="39"/>
    </row>
    <row r="834" spans="1:14" s="12" customFormat="1" ht="47.25">
      <c r="A834" s="178" t="s">
        <v>96</v>
      </c>
      <c r="B834" s="73" t="str">
        <f ca="1">+UPPER(Tabla132112415[[#This Row],[DESCRIPCIÓN DE LA COMPRA O CONTRATACIÓN]])</f>
        <v>TRANSFORMADORES 1Ø, 60HZ, SUMERGIDOS EN ACEITE, 7.2/12.47 KV, 240/480V, TIPO POSTE HOMOLGADOS CON IDÉNTICA IMPEDANCIA 25 KVA</v>
      </c>
      <c r="C834" s="176" t="s">
        <v>17</v>
      </c>
      <c r="D834" s="176"/>
      <c r="E834" s="176"/>
      <c r="F834" s="176"/>
      <c r="G834" s="176"/>
      <c r="H834" s="499">
        <f>SUM(Tabla132112415[[#This Row],[PRIMER TRIMESTRE]:[CUARTO TRIMESTRE]])</f>
        <v>0</v>
      </c>
      <c r="I834" s="17">
        <v>37186.82</v>
      </c>
      <c r="J834" s="17">
        <f t="shared" si="22"/>
        <v>0</v>
      </c>
      <c r="K834" s="17"/>
      <c r="L834" s="16" t="s">
        <v>18</v>
      </c>
      <c r="M834" s="16" t="s">
        <v>22</v>
      </c>
      <c r="N834" s="39"/>
    </row>
    <row r="835" spans="1:14" s="12" customFormat="1" ht="38.25">
      <c r="A835" s="178" t="s">
        <v>96</v>
      </c>
      <c r="B835" s="77" t="s">
        <v>864</v>
      </c>
      <c r="C835" s="176" t="s">
        <v>17</v>
      </c>
      <c r="D835" s="176"/>
      <c r="E835" s="176"/>
      <c r="F835" s="176"/>
      <c r="G835" s="176"/>
      <c r="H835" s="499">
        <f>SUM(Tabla132112415[[#This Row],[PRIMER TRIMESTRE]:[CUARTO TRIMESTRE]])</f>
        <v>0</v>
      </c>
      <c r="I835" s="17">
        <v>44076.54</v>
      </c>
      <c r="J835" s="17">
        <f t="shared" si="22"/>
        <v>0</v>
      </c>
      <c r="K835" s="17"/>
      <c r="L835" s="16" t="s">
        <v>18</v>
      </c>
      <c r="M835" s="16" t="s">
        <v>22</v>
      </c>
      <c r="N835" s="39"/>
    </row>
    <row r="836" spans="1:14" s="12" customFormat="1" ht="38.25">
      <c r="A836" s="178" t="s">
        <v>96</v>
      </c>
      <c r="B836" s="75" t="s">
        <v>865</v>
      </c>
      <c r="C836" s="176" t="s">
        <v>17</v>
      </c>
      <c r="D836" s="176"/>
      <c r="E836" s="176"/>
      <c r="F836" s="176"/>
      <c r="G836" s="176"/>
      <c r="H836" s="499">
        <f>SUM(Tabla132112415[[#This Row],[PRIMER TRIMESTRE]:[CUARTO TRIMESTRE]])</f>
        <v>0</v>
      </c>
      <c r="I836" s="17">
        <v>54061.7</v>
      </c>
      <c r="J836" s="17">
        <f t="shared" si="22"/>
        <v>0</v>
      </c>
      <c r="K836" s="17"/>
      <c r="L836" s="16" t="s">
        <v>18</v>
      </c>
      <c r="M836" s="16" t="s">
        <v>22</v>
      </c>
      <c r="N836" s="39"/>
    </row>
    <row r="837" spans="1:14" s="12" customFormat="1" ht="38.25">
      <c r="A837" s="178" t="s">
        <v>96</v>
      </c>
      <c r="B837" s="75" t="s">
        <v>866</v>
      </c>
      <c r="C837" s="176" t="s">
        <v>17</v>
      </c>
      <c r="D837" s="176"/>
      <c r="E837" s="176"/>
      <c r="F837" s="176"/>
      <c r="G837" s="176"/>
      <c r="H837" s="499">
        <f>SUM(Tabla132112415[[#This Row],[PRIMER TRIMESTRE]:[CUARTO TRIMESTRE]])</f>
        <v>0</v>
      </c>
      <c r="I837" s="17">
        <v>81423.539999999994</v>
      </c>
      <c r="J837" s="17">
        <f t="shared" si="22"/>
        <v>0</v>
      </c>
      <c r="K837" s="17"/>
      <c r="L837" s="16" t="s">
        <v>18</v>
      </c>
      <c r="M837" s="16" t="s">
        <v>22</v>
      </c>
      <c r="N837" s="39"/>
    </row>
    <row r="838" spans="1:14" s="12" customFormat="1" ht="63">
      <c r="A838" s="178" t="s">
        <v>96</v>
      </c>
      <c r="B838" s="16" t="str">
        <f ca="1">+UPPER(Tabla132112415[[#This Row],[DESCRIPCIÓN DE LA COMPRA O CONTRATACIÓN]])</f>
        <v>TRANSFORMADORES 1Ø, 60HZ, SUMERGIDOS EN ACEITE, 7.2/12.47 KV, 240/480V, TIPO POSTE HOMOLGADOS CON IDÉNTICA IMPEDANCIA 100 KVA</v>
      </c>
      <c r="C838" s="176" t="s">
        <v>17</v>
      </c>
      <c r="D838" s="176"/>
      <c r="E838" s="176"/>
      <c r="F838" s="176"/>
      <c r="G838" s="176"/>
      <c r="H838" s="499">
        <f>SUM(Tabla132112415[[#This Row],[PRIMER TRIMESTRE]:[CUARTO TRIMESTRE]])</f>
        <v>0</v>
      </c>
      <c r="I838" s="17">
        <v>108938.74</v>
      </c>
      <c r="J838" s="17">
        <f t="shared" si="22"/>
        <v>0</v>
      </c>
      <c r="K838" s="17"/>
      <c r="L838" s="16" t="s">
        <v>18</v>
      </c>
      <c r="M838" s="16" t="s">
        <v>22</v>
      </c>
      <c r="N838" s="39"/>
    </row>
    <row r="839" spans="1:14" s="12" customFormat="1" ht="38.25">
      <c r="A839" s="178" t="s">
        <v>96</v>
      </c>
      <c r="B839" s="75" t="s">
        <v>867</v>
      </c>
      <c r="C839" s="176" t="s">
        <v>17</v>
      </c>
      <c r="D839" s="176"/>
      <c r="E839" s="176"/>
      <c r="F839" s="176"/>
      <c r="G839" s="176"/>
      <c r="H839" s="499">
        <f>SUM(Tabla132112415[[#This Row],[PRIMER TRIMESTRE]:[CUARTO TRIMESTRE]])</f>
        <v>0</v>
      </c>
      <c r="I839" s="17">
        <v>160529.56</v>
      </c>
      <c r="J839" s="17">
        <f t="shared" si="22"/>
        <v>0</v>
      </c>
      <c r="K839" s="17"/>
      <c r="L839" s="16" t="s">
        <v>18</v>
      </c>
      <c r="M839" s="16" t="s">
        <v>22</v>
      </c>
      <c r="N839" s="39"/>
    </row>
    <row r="840" spans="1:14" s="12" customFormat="1" ht="38.25">
      <c r="A840" s="178" t="s">
        <v>96</v>
      </c>
      <c r="B840" s="75" t="s">
        <v>871</v>
      </c>
      <c r="C840" s="176" t="s">
        <v>17</v>
      </c>
      <c r="D840" s="176"/>
      <c r="E840" s="176"/>
      <c r="F840" s="176"/>
      <c r="G840" s="176"/>
      <c r="H840" s="499">
        <f>SUM(Tabla132112415[[#This Row],[PRIMER TRIMESTRE]:[CUARTO TRIMESTRE]])</f>
        <v>0</v>
      </c>
      <c r="I840" s="17">
        <v>2995.96</v>
      </c>
      <c r="J840" s="17">
        <f t="shared" si="22"/>
        <v>0</v>
      </c>
      <c r="K840" s="17"/>
      <c r="L840" s="16" t="s">
        <v>18</v>
      </c>
      <c r="M840" s="16" t="s">
        <v>22</v>
      </c>
      <c r="N840" s="39"/>
    </row>
    <row r="841" spans="1:14" s="12" customFormat="1" ht="38.25">
      <c r="A841" s="178" t="s">
        <v>96</v>
      </c>
      <c r="B841" s="75" t="s">
        <v>872</v>
      </c>
      <c r="C841" s="176" t="s">
        <v>17</v>
      </c>
      <c r="D841" s="176"/>
      <c r="E841" s="176"/>
      <c r="F841" s="176"/>
      <c r="G841" s="176"/>
      <c r="H841" s="499">
        <f>SUM(Tabla132112415[[#This Row],[PRIMER TRIMESTRE]:[CUARTO TRIMESTRE]])</f>
        <v>0</v>
      </c>
      <c r="I841" s="17">
        <v>3986.24</v>
      </c>
      <c r="J841" s="17">
        <f t="shared" si="22"/>
        <v>0</v>
      </c>
      <c r="K841" s="17"/>
      <c r="L841" s="16" t="s">
        <v>18</v>
      </c>
      <c r="M841" s="16" t="s">
        <v>22</v>
      </c>
      <c r="N841" s="39"/>
    </row>
    <row r="842" spans="1:14" s="12" customFormat="1" ht="38.25">
      <c r="A842" s="178" t="s">
        <v>96</v>
      </c>
      <c r="B842" s="75" t="s">
        <v>873</v>
      </c>
      <c r="C842" s="176" t="s">
        <v>17</v>
      </c>
      <c r="D842" s="176"/>
      <c r="E842" s="176"/>
      <c r="F842" s="176"/>
      <c r="G842" s="176"/>
      <c r="H842" s="499">
        <f>SUM(Tabla132112415[[#This Row],[PRIMER TRIMESTRE]:[CUARTO TRIMESTRE]])</f>
        <v>0</v>
      </c>
      <c r="I842" s="17">
        <v>6982.2</v>
      </c>
      <c r="J842" s="17">
        <f t="shared" si="22"/>
        <v>0</v>
      </c>
      <c r="K842" s="17"/>
      <c r="L842" s="16" t="s">
        <v>18</v>
      </c>
      <c r="M842" s="16" t="s">
        <v>22</v>
      </c>
      <c r="N842" s="39"/>
    </row>
    <row r="843" spans="1:14" s="12" customFormat="1" ht="30">
      <c r="A843" s="178" t="s">
        <v>96</v>
      </c>
      <c r="B843" s="75" t="s">
        <v>1437</v>
      </c>
      <c r="C843" s="176" t="s">
        <v>1438</v>
      </c>
      <c r="D843" s="176"/>
      <c r="E843" s="176"/>
      <c r="F843" s="176"/>
      <c r="G843" s="176"/>
      <c r="H843" s="499">
        <f>SUM(Tabla132112415[[#This Row],[PRIMER TRIMESTRE]:[CUARTO TRIMESTRE]])</f>
        <v>0</v>
      </c>
      <c r="I843" s="17">
        <v>554145.56999999995</v>
      </c>
      <c r="J843" s="17">
        <f t="shared" si="22"/>
        <v>0</v>
      </c>
      <c r="K843" s="17"/>
      <c r="L843" s="16" t="s">
        <v>18</v>
      </c>
      <c r="M843" s="16" t="s">
        <v>22</v>
      </c>
      <c r="N843" s="39"/>
    </row>
    <row r="844" spans="1:14" s="12" customFormat="1" ht="30">
      <c r="A844" s="178" t="s">
        <v>96</v>
      </c>
      <c r="B844" s="75" t="s">
        <v>1450</v>
      </c>
      <c r="C844" s="176" t="s">
        <v>17</v>
      </c>
      <c r="D844" s="176"/>
      <c r="E844" s="176"/>
      <c r="F844" s="176"/>
      <c r="G844" s="176"/>
      <c r="H844" s="499">
        <f>SUM(Tabla132112415[[#This Row],[PRIMER TRIMESTRE]:[CUARTO TRIMESTRE]])</f>
        <v>0</v>
      </c>
      <c r="I844" s="17">
        <v>6950.29</v>
      </c>
      <c r="J844" s="17">
        <f t="shared" si="22"/>
        <v>0</v>
      </c>
      <c r="K844" s="17"/>
      <c r="L844" s="16" t="s">
        <v>18</v>
      </c>
      <c r="M844" s="16" t="s">
        <v>22</v>
      </c>
      <c r="N844" s="39"/>
    </row>
    <row r="845" spans="1:14" s="12" customFormat="1" ht="30">
      <c r="A845" s="178" t="s">
        <v>96</v>
      </c>
      <c r="B845" s="75" t="s">
        <v>1524</v>
      </c>
      <c r="C845" s="176" t="s">
        <v>17</v>
      </c>
      <c r="D845" s="176"/>
      <c r="E845" s="176"/>
      <c r="F845" s="176"/>
      <c r="G845" s="176"/>
      <c r="H845" s="176">
        <f>SUM(Tabla132112415[[#This Row],[PRIMER TRIMESTRE]:[CUARTO TRIMESTRE]])</f>
        <v>0</v>
      </c>
      <c r="I845" s="17">
        <v>38300</v>
      </c>
      <c r="J845" s="17">
        <f t="shared" si="22"/>
        <v>0</v>
      </c>
      <c r="K845" s="17"/>
      <c r="L845" s="16" t="s">
        <v>18</v>
      </c>
      <c r="M845" s="16" t="s">
        <v>22</v>
      </c>
      <c r="N845" s="39"/>
    </row>
    <row r="846" spans="1:14" s="12" customFormat="1" ht="30">
      <c r="A846" s="178" t="s">
        <v>96</v>
      </c>
      <c r="B846" s="75" t="s">
        <v>1728</v>
      </c>
      <c r="C846" s="176" t="s">
        <v>17</v>
      </c>
      <c r="D846" s="176"/>
      <c r="E846" s="176"/>
      <c r="F846" s="176"/>
      <c r="G846" s="176"/>
      <c r="H846" s="499">
        <v>0</v>
      </c>
      <c r="I846" s="17">
        <v>0</v>
      </c>
      <c r="J846" s="17">
        <v>0</v>
      </c>
      <c r="K846" s="17"/>
      <c r="L846" s="16" t="s">
        <v>18</v>
      </c>
      <c r="M846" s="16" t="s">
        <v>22</v>
      </c>
      <c r="N846" s="39"/>
    </row>
    <row r="847" spans="1:14" s="12" customFormat="1" ht="51">
      <c r="A847" s="178" t="s">
        <v>96</v>
      </c>
      <c r="B847" s="75" t="s">
        <v>1525</v>
      </c>
      <c r="C847" s="176" t="s">
        <v>17</v>
      </c>
      <c r="D847" s="176"/>
      <c r="E847" s="176"/>
      <c r="F847" s="176"/>
      <c r="G847" s="176"/>
      <c r="H847" s="176">
        <f>SUM(Tabla132112415[[#This Row],[PRIMER TRIMESTRE]:[CUARTO TRIMESTRE]])</f>
        <v>0</v>
      </c>
      <c r="I847" s="17">
        <v>251461</v>
      </c>
      <c r="J847" s="17">
        <f t="shared" si="22"/>
        <v>0</v>
      </c>
      <c r="K847" s="17"/>
      <c r="L847" s="16" t="s">
        <v>18</v>
      </c>
      <c r="M847" s="16" t="s">
        <v>22</v>
      </c>
      <c r="N847" s="39"/>
    </row>
    <row r="848" spans="1:14" s="12" customFormat="1" ht="30">
      <c r="A848" s="178" t="s">
        <v>96</v>
      </c>
      <c r="B848" s="75" t="s">
        <v>1523</v>
      </c>
      <c r="C848" s="176" t="s">
        <v>17</v>
      </c>
      <c r="D848" s="176"/>
      <c r="E848" s="176"/>
      <c r="F848" s="176"/>
      <c r="G848" s="176"/>
      <c r="H848" s="176">
        <f>SUM(Tabla132112415[[#This Row],[PRIMER TRIMESTRE]:[CUARTO TRIMESTRE]])</f>
        <v>0</v>
      </c>
      <c r="I848" s="17">
        <v>11200</v>
      </c>
      <c r="J848" s="17">
        <f t="shared" si="22"/>
        <v>0</v>
      </c>
      <c r="K848" s="17"/>
      <c r="L848" s="16" t="s">
        <v>18</v>
      </c>
      <c r="M848" s="16" t="s">
        <v>22</v>
      </c>
      <c r="N848" s="39"/>
    </row>
    <row r="849" spans="1:14" s="12" customFormat="1" ht="30">
      <c r="A849" s="178" t="s">
        <v>96</v>
      </c>
      <c r="B849" s="75" t="s">
        <v>1758</v>
      </c>
      <c r="C849" s="176" t="s">
        <v>17</v>
      </c>
      <c r="D849" s="176"/>
      <c r="E849" s="176"/>
      <c r="F849" s="176"/>
      <c r="G849" s="176"/>
      <c r="H849" s="499">
        <v>0</v>
      </c>
      <c r="I849" s="17">
        <v>0</v>
      </c>
      <c r="J849" s="17">
        <v>0</v>
      </c>
      <c r="K849" s="17"/>
      <c r="L849" s="16" t="s">
        <v>18</v>
      </c>
      <c r="M849" s="16" t="s">
        <v>22</v>
      </c>
      <c r="N849" s="39"/>
    </row>
    <row r="850" spans="1:14" s="12" customFormat="1" ht="30">
      <c r="A850" s="178" t="s">
        <v>96</v>
      </c>
      <c r="B850" s="75" t="s">
        <v>1510</v>
      </c>
      <c r="C850" s="176" t="s">
        <v>17</v>
      </c>
      <c r="D850" s="176"/>
      <c r="E850" s="176"/>
      <c r="F850" s="176"/>
      <c r="G850" s="176"/>
      <c r="H850" s="176">
        <f>SUM(Tabla132112415[[#This Row],[PRIMER TRIMESTRE]:[CUARTO TRIMESTRE]])</f>
        <v>0</v>
      </c>
      <c r="I850" s="17">
        <v>250</v>
      </c>
      <c r="J850" s="17">
        <f t="shared" si="22"/>
        <v>0</v>
      </c>
      <c r="K850" s="17"/>
      <c r="L850" s="16" t="s">
        <v>18</v>
      </c>
      <c r="M850" s="16" t="s">
        <v>22</v>
      </c>
      <c r="N850" s="39"/>
    </row>
    <row r="851" spans="1:14" s="12" customFormat="1" ht="30">
      <c r="A851" s="178" t="s">
        <v>96</v>
      </c>
      <c r="B851" s="75" t="s">
        <v>1611</v>
      </c>
      <c r="C851" s="176" t="s">
        <v>17</v>
      </c>
      <c r="D851" s="176"/>
      <c r="E851" s="176"/>
      <c r="F851" s="176"/>
      <c r="G851" s="176"/>
      <c r="H851" s="176">
        <f>SUM(Tabla132112415[[#This Row],[PRIMER TRIMESTRE]:[CUARTO TRIMESTRE]])</f>
        <v>0</v>
      </c>
      <c r="I851" s="17">
        <v>36000</v>
      </c>
      <c r="J851" s="17">
        <f t="shared" si="22"/>
        <v>0</v>
      </c>
      <c r="K851" s="17"/>
      <c r="L851" s="16" t="s">
        <v>18</v>
      </c>
      <c r="M851" s="16" t="s">
        <v>22</v>
      </c>
      <c r="N851" s="39"/>
    </row>
    <row r="852" spans="1:14" s="12" customFormat="1" ht="30">
      <c r="A852" s="178" t="s">
        <v>96</v>
      </c>
      <c r="B852" s="75" t="s">
        <v>1714</v>
      </c>
      <c r="C852" s="176" t="s">
        <v>17</v>
      </c>
      <c r="D852" s="176"/>
      <c r="E852" s="176"/>
      <c r="F852" s="176"/>
      <c r="G852" s="176"/>
      <c r="H852" s="499">
        <v>0</v>
      </c>
      <c r="I852" s="17">
        <v>0</v>
      </c>
      <c r="J852" s="17">
        <v>0</v>
      </c>
      <c r="K852" s="17"/>
      <c r="L852" s="16" t="s">
        <v>18</v>
      </c>
      <c r="M852" s="16" t="s">
        <v>22</v>
      </c>
      <c r="N852" s="39"/>
    </row>
    <row r="853" spans="1:14" s="12" customFormat="1" ht="30">
      <c r="A853" s="178" t="s">
        <v>96</v>
      </c>
      <c r="B853" s="75" t="s">
        <v>1744</v>
      </c>
      <c r="C853" s="176" t="s">
        <v>17</v>
      </c>
      <c r="D853" s="176"/>
      <c r="E853" s="176"/>
      <c r="F853" s="176"/>
      <c r="G853" s="176"/>
      <c r="H853" s="499">
        <v>2</v>
      </c>
      <c r="I853" s="17">
        <v>6950</v>
      </c>
      <c r="J853" s="17">
        <f>Tabla132112415[[#This Row],[PRECIO UNITARIO ESTIMADO]]*Tabla132112415[[#This Row],[CANTIDAD TOTAL]]</f>
        <v>13900</v>
      </c>
      <c r="K853" s="17"/>
      <c r="L853" s="16" t="s">
        <v>18</v>
      </c>
      <c r="M853" s="16" t="s">
        <v>22</v>
      </c>
      <c r="N853" s="39"/>
    </row>
    <row r="854" spans="1:14" s="26" customFormat="1" ht="30">
      <c r="A854" s="178" t="s">
        <v>96</v>
      </c>
      <c r="B854" s="75" t="s">
        <v>1521</v>
      </c>
      <c r="C854" s="176" t="s">
        <v>17</v>
      </c>
      <c r="D854" s="176"/>
      <c r="E854" s="176"/>
      <c r="F854" s="176"/>
      <c r="G854" s="176"/>
      <c r="H854" s="176">
        <f>SUM(Tabla132112415[[#This Row],[PRIMER TRIMESTRE]:[CUARTO TRIMESTRE]])</f>
        <v>0</v>
      </c>
      <c r="I854" s="17">
        <v>109000</v>
      </c>
      <c r="J854" s="17">
        <f t="shared" si="22"/>
        <v>0</v>
      </c>
      <c r="K854" s="17"/>
      <c r="L854" s="16" t="s">
        <v>18</v>
      </c>
      <c r="M854" s="16" t="s">
        <v>22</v>
      </c>
      <c r="N854" s="39"/>
    </row>
    <row r="855" spans="1:14" s="12" customFormat="1" ht="30">
      <c r="A855" s="178" t="s">
        <v>96</v>
      </c>
      <c r="B855" s="75" t="s">
        <v>1522</v>
      </c>
      <c r="C855" s="176" t="s">
        <v>17</v>
      </c>
      <c r="D855" s="176"/>
      <c r="E855" s="176"/>
      <c r="F855" s="176"/>
      <c r="G855" s="176"/>
      <c r="H855" s="176">
        <f>SUM(Tabla132112415[[#This Row],[PRIMER TRIMESTRE]:[CUARTO TRIMESTRE]])</f>
        <v>0</v>
      </c>
      <c r="I855" s="17">
        <v>2760</v>
      </c>
      <c r="J855" s="17">
        <f t="shared" si="22"/>
        <v>0</v>
      </c>
      <c r="K855" s="17"/>
      <c r="L855" s="16" t="s">
        <v>18</v>
      </c>
      <c r="M855" s="16" t="s">
        <v>22</v>
      </c>
      <c r="N855" s="39"/>
    </row>
    <row r="856" spans="1:14" s="12" customFormat="1" ht="31.5">
      <c r="A856" s="287" t="s">
        <v>96</v>
      </c>
      <c r="B856" s="76"/>
      <c r="C856" s="492"/>
      <c r="D856" s="492"/>
      <c r="E856" s="492"/>
      <c r="F856" s="492"/>
      <c r="G856" s="492"/>
      <c r="H856" s="496"/>
      <c r="I856" s="24"/>
      <c r="J856" s="24"/>
      <c r="K856" s="25">
        <f>SUM(J653:J855)</f>
        <v>61116.69</v>
      </c>
      <c r="L856" s="23"/>
      <c r="M856" s="23"/>
      <c r="N856" s="42"/>
    </row>
    <row r="857" spans="1:14" s="12" customFormat="1" ht="18">
      <c r="A857" s="178" t="s">
        <v>97</v>
      </c>
      <c r="B857" s="75" t="s">
        <v>1855</v>
      </c>
      <c r="C857" s="503" t="s">
        <v>17</v>
      </c>
      <c r="D857" s="503"/>
      <c r="E857" s="503"/>
      <c r="F857" s="503"/>
      <c r="G857" s="503"/>
      <c r="H857" s="503">
        <v>0</v>
      </c>
      <c r="I857" s="17">
        <v>0</v>
      </c>
      <c r="J857" s="17">
        <v>0</v>
      </c>
      <c r="K857" s="286"/>
      <c r="L857" s="16" t="s">
        <v>18</v>
      </c>
      <c r="M857" s="16" t="s">
        <v>22</v>
      </c>
      <c r="N857" s="39"/>
    </row>
    <row r="858" spans="1:14" s="12" customFormat="1" ht="25.5">
      <c r="A858" s="178" t="s">
        <v>97</v>
      </c>
      <c r="B858" s="75" t="s">
        <v>1681</v>
      </c>
      <c r="C858" s="176" t="s">
        <v>17</v>
      </c>
      <c r="D858" s="176"/>
      <c r="E858" s="176"/>
      <c r="F858" s="176"/>
      <c r="G858" s="176"/>
      <c r="H858" s="499">
        <v>0</v>
      </c>
      <c r="I858" s="17">
        <v>0</v>
      </c>
      <c r="J858" s="17">
        <v>0</v>
      </c>
      <c r="K858" s="17"/>
      <c r="L858" s="16" t="s">
        <v>18</v>
      </c>
      <c r="M858" s="16" t="s">
        <v>22</v>
      </c>
      <c r="N858" s="39"/>
    </row>
    <row r="859" spans="1:14" s="12" customFormat="1" ht="18">
      <c r="A859" s="178" t="s">
        <v>97</v>
      </c>
      <c r="B859" s="75" t="s">
        <v>227</v>
      </c>
      <c r="C859" s="176" t="s">
        <v>17</v>
      </c>
      <c r="D859" s="176"/>
      <c r="E859" s="176"/>
      <c r="F859" s="176"/>
      <c r="G859" s="176"/>
      <c r="H859" s="499">
        <f>SUM(Tabla132112415[[#This Row],[PRIMER TRIMESTRE]:[CUARTO TRIMESTRE]])</f>
        <v>0</v>
      </c>
      <c r="I859" s="17">
        <v>110.2</v>
      </c>
      <c r="J859" s="17">
        <f>+Tabla132112415[[#This Row],[CANTIDAD TOTAL]]*Tabla132112415[[#This Row],[PRECIO UNITARIO ESTIMADO]]</f>
        <v>0</v>
      </c>
      <c r="K859" s="17"/>
      <c r="L859" s="16" t="s">
        <v>18</v>
      </c>
      <c r="M859" s="16" t="s">
        <v>22</v>
      </c>
      <c r="N859" s="39"/>
    </row>
    <row r="860" spans="1:14" s="12" customFormat="1" ht="18">
      <c r="A860" s="178" t="s">
        <v>97</v>
      </c>
      <c r="B860" s="75" t="s">
        <v>1235</v>
      </c>
      <c r="C860" s="176" t="s">
        <v>17</v>
      </c>
      <c r="D860" s="176"/>
      <c r="E860" s="176"/>
      <c r="F860" s="176"/>
      <c r="G860" s="176"/>
      <c r="H860" s="499">
        <f>SUM(Tabla132112415[[#This Row],[PRIMER TRIMESTRE]:[CUARTO TRIMESTRE]])</f>
        <v>0</v>
      </c>
      <c r="I860" s="17">
        <v>156.5</v>
      </c>
      <c r="J860" s="17">
        <f t="shared" ref="J860:J867" si="23">+H860*I860</f>
        <v>0</v>
      </c>
      <c r="K860" s="17"/>
      <c r="L860" s="16" t="s">
        <v>18</v>
      </c>
      <c r="M860" s="16" t="s">
        <v>22</v>
      </c>
      <c r="N860" s="39"/>
    </row>
    <row r="861" spans="1:14" s="12" customFormat="1" ht="18">
      <c r="A861" s="178" t="s">
        <v>97</v>
      </c>
      <c r="B861" s="75" t="s">
        <v>1236</v>
      </c>
      <c r="C861" s="176" t="s">
        <v>17</v>
      </c>
      <c r="D861" s="176"/>
      <c r="E861" s="176"/>
      <c r="F861" s="176"/>
      <c r="G861" s="176"/>
      <c r="H861" s="499">
        <f>SUM(Tabla132112415[[#This Row],[PRIMER TRIMESTRE]:[CUARTO TRIMESTRE]])</f>
        <v>0</v>
      </c>
      <c r="I861" s="17">
        <v>156.5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</row>
    <row r="862" spans="1:14" s="12" customFormat="1" ht="18">
      <c r="A862" s="178" t="s">
        <v>97</v>
      </c>
      <c r="B862" s="75" t="s">
        <v>1334</v>
      </c>
      <c r="C862" s="176" t="s">
        <v>17</v>
      </c>
      <c r="D862" s="176"/>
      <c r="E862" s="176"/>
      <c r="F862" s="176"/>
      <c r="G862" s="176"/>
      <c r="H862" s="499">
        <f>SUM(Tabla132112415[[#This Row],[PRIMER TRIMESTRE]:[CUARTO TRIMESTRE]])</f>
        <v>0</v>
      </c>
      <c r="I862" s="17">
        <v>387.04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</row>
    <row r="863" spans="1:14" s="12" customFormat="1" ht="18">
      <c r="A863" s="178" t="s">
        <v>97</v>
      </c>
      <c r="B863" s="75" t="s">
        <v>1237</v>
      </c>
      <c r="C863" s="176" t="s">
        <v>17</v>
      </c>
      <c r="D863" s="176"/>
      <c r="E863" s="176"/>
      <c r="F863" s="176"/>
      <c r="G863" s="176"/>
      <c r="H863" s="499">
        <f>SUM(Tabla132112415[[#This Row],[PRIMER TRIMESTRE]:[CUARTO TRIMESTRE]])</f>
        <v>0</v>
      </c>
      <c r="I863" s="17">
        <v>35000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</row>
    <row r="864" spans="1:14" s="12" customFormat="1" ht="18">
      <c r="A864" s="178" t="s">
        <v>97</v>
      </c>
      <c r="B864" s="75" t="s">
        <v>1713</v>
      </c>
      <c r="C864" s="176" t="s">
        <v>17</v>
      </c>
      <c r="D864" s="176"/>
      <c r="E864" s="176"/>
      <c r="F864" s="176"/>
      <c r="G864" s="176"/>
      <c r="H864" s="499">
        <v>0</v>
      </c>
      <c r="I864" s="17">
        <v>0</v>
      </c>
      <c r="J864" s="17">
        <v>0</v>
      </c>
      <c r="K864" s="17"/>
      <c r="L864" s="16" t="s">
        <v>18</v>
      </c>
      <c r="M864" s="16" t="s">
        <v>22</v>
      </c>
      <c r="N864" s="39"/>
    </row>
    <row r="865" spans="1:14" s="12" customFormat="1" ht="18">
      <c r="A865" s="178" t="s">
        <v>97</v>
      </c>
      <c r="B865" s="75" t="s">
        <v>572</v>
      </c>
      <c r="C865" s="176" t="s">
        <v>17</v>
      </c>
      <c r="D865" s="176"/>
      <c r="E865" s="176"/>
      <c r="F865" s="176"/>
      <c r="G865" s="176"/>
      <c r="H865" s="499">
        <f>SUM(Tabla132112415[[#This Row],[PRIMER TRIMESTRE]:[CUARTO TRIMESTRE]])</f>
        <v>0</v>
      </c>
      <c r="I865" s="17">
        <v>25000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</row>
    <row r="866" spans="1:14" s="12" customFormat="1" ht="18">
      <c r="A866" s="178" t="s">
        <v>97</v>
      </c>
      <c r="B866" s="75" t="s">
        <v>1238</v>
      </c>
      <c r="C866" s="176" t="s">
        <v>17</v>
      </c>
      <c r="D866" s="176"/>
      <c r="E866" s="176"/>
      <c r="F866" s="176"/>
      <c r="G866" s="176"/>
      <c r="H866" s="499">
        <f>SUM(Tabla132112415[[#This Row],[PRIMER TRIMESTRE]:[CUARTO TRIMESTRE]])</f>
        <v>0</v>
      </c>
      <c r="I866" s="17">
        <v>25000</v>
      </c>
      <c r="J866" s="17">
        <f t="shared" si="23"/>
        <v>0</v>
      </c>
      <c r="K866" s="17"/>
      <c r="L866" s="16" t="s">
        <v>18</v>
      </c>
      <c r="M866" s="16" t="s">
        <v>22</v>
      </c>
      <c r="N866" s="39"/>
    </row>
    <row r="867" spans="1:14" s="12" customFormat="1" ht="18">
      <c r="A867" s="178" t="s">
        <v>97</v>
      </c>
      <c r="B867" s="75" t="s">
        <v>1239</v>
      </c>
      <c r="C867" s="176" t="s">
        <v>17</v>
      </c>
      <c r="D867" s="176"/>
      <c r="E867" s="176"/>
      <c r="F867" s="176"/>
      <c r="G867" s="176"/>
      <c r="H867" s="499">
        <f>SUM(Tabla132112415[[#This Row],[PRIMER TRIMESTRE]:[CUARTO TRIMESTRE]])</f>
        <v>0</v>
      </c>
      <c r="I867" s="17">
        <v>25000</v>
      </c>
      <c r="J867" s="17">
        <f t="shared" si="23"/>
        <v>0</v>
      </c>
      <c r="K867" s="17"/>
      <c r="L867" s="16" t="s">
        <v>18</v>
      </c>
      <c r="M867" s="16" t="s">
        <v>22</v>
      </c>
      <c r="N867" s="39"/>
    </row>
    <row r="868" spans="1:14" s="12" customFormat="1" ht="18">
      <c r="A868" s="178" t="s">
        <v>97</v>
      </c>
      <c r="B868" s="75" t="s">
        <v>220</v>
      </c>
      <c r="C868" s="176" t="s">
        <v>17</v>
      </c>
      <c r="D868" s="176"/>
      <c r="E868" s="176"/>
      <c r="F868" s="176"/>
      <c r="G868" s="176"/>
      <c r="H868" s="499">
        <f>SUM(Tabla132112415[[#This Row],[PRIMER TRIMESTRE]:[CUARTO TRIMESTRE]])</f>
        <v>0</v>
      </c>
      <c r="I868" s="17">
        <v>40165</v>
      </c>
      <c r="J868" s="17">
        <f>+Tabla132112415[[#This Row],[CANTIDAD TOTAL]]*Tabla132112415[[#This Row],[PRECIO UNITARIO ESTIMADO]]</f>
        <v>0</v>
      </c>
      <c r="K868" s="17"/>
      <c r="L868" s="16" t="s">
        <v>18</v>
      </c>
      <c r="M868" s="16" t="s">
        <v>22</v>
      </c>
      <c r="N868" s="39"/>
    </row>
    <row r="869" spans="1:14" s="12" customFormat="1" ht="18">
      <c r="A869" s="178" t="s">
        <v>97</v>
      </c>
      <c r="B869" s="75" t="s">
        <v>213</v>
      </c>
      <c r="C869" s="176" t="s">
        <v>17</v>
      </c>
      <c r="D869" s="176"/>
      <c r="E869" s="176"/>
      <c r="F869" s="176"/>
      <c r="G869" s="176"/>
      <c r="H869" s="499">
        <f>SUM(Tabla132112415[[#This Row],[PRIMER TRIMESTRE]:[CUARTO TRIMESTRE]])</f>
        <v>0</v>
      </c>
      <c r="I869" s="17">
        <v>30999.38</v>
      </c>
      <c r="J869" s="17">
        <f>+Tabla132112415[[#This Row],[CANTIDAD TOTAL]]*Tabla132112415[[#This Row],[PRECIO UNITARIO ESTIMADO]]</f>
        <v>0</v>
      </c>
      <c r="K869" s="17"/>
      <c r="L869" s="16" t="s">
        <v>18</v>
      </c>
      <c r="M869" s="16" t="s">
        <v>22</v>
      </c>
      <c r="N869" s="39"/>
    </row>
    <row r="870" spans="1:14" s="12" customFormat="1" ht="18">
      <c r="A870" s="178" t="s">
        <v>97</v>
      </c>
      <c r="B870" s="75" t="s">
        <v>226</v>
      </c>
      <c r="C870" s="176" t="s">
        <v>17</v>
      </c>
      <c r="D870" s="176"/>
      <c r="E870" s="176"/>
      <c r="F870" s="176"/>
      <c r="G870" s="176"/>
      <c r="H870" s="499">
        <f>SUM(Tabla132112415[[#This Row],[PRIMER TRIMESTRE]:[CUARTO TRIMESTRE]])</f>
        <v>0</v>
      </c>
      <c r="I870" s="17">
        <v>14929.2</v>
      </c>
      <c r="J870" s="17">
        <f>+Tabla132112415[[#This Row],[CANTIDAD TOTAL]]*Tabla132112415[[#This Row],[PRECIO UNITARIO ESTIMADO]]</f>
        <v>0</v>
      </c>
      <c r="K870" s="17"/>
      <c r="L870" s="16" t="s">
        <v>18</v>
      </c>
      <c r="M870" s="16" t="s">
        <v>22</v>
      </c>
      <c r="N870" s="39"/>
    </row>
    <row r="871" spans="1:14" s="12" customFormat="1" ht="25.5">
      <c r="A871" s="178" t="s">
        <v>97</v>
      </c>
      <c r="B871" s="75" t="s">
        <v>1696</v>
      </c>
      <c r="C871" s="176" t="s">
        <v>17</v>
      </c>
      <c r="D871" s="176"/>
      <c r="E871" s="176"/>
      <c r="F871" s="176"/>
      <c r="G871" s="176"/>
      <c r="H871" s="499">
        <v>0</v>
      </c>
      <c r="I871" s="17">
        <v>0</v>
      </c>
      <c r="J871" s="17">
        <v>0</v>
      </c>
      <c r="K871" s="17"/>
      <c r="L871" s="16" t="s">
        <v>18</v>
      </c>
      <c r="M871" s="16" t="s">
        <v>22</v>
      </c>
      <c r="N871" s="39"/>
    </row>
    <row r="872" spans="1:14" s="12" customFormat="1" ht="38.25">
      <c r="A872" s="178" t="s">
        <v>97</v>
      </c>
      <c r="B872" s="75" t="s">
        <v>1697</v>
      </c>
      <c r="C872" s="176" t="s">
        <v>17</v>
      </c>
      <c r="D872" s="176"/>
      <c r="E872" s="176"/>
      <c r="F872" s="176"/>
      <c r="G872" s="176"/>
      <c r="H872" s="499">
        <v>0</v>
      </c>
      <c r="I872" s="17">
        <v>0</v>
      </c>
      <c r="J872" s="17">
        <v>0</v>
      </c>
      <c r="K872" s="17"/>
      <c r="L872" s="16" t="s">
        <v>18</v>
      </c>
      <c r="M872" s="16" t="s">
        <v>22</v>
      </c>
      <c r="N872" s="39"/>
    </row>
    <row r="873" spans="1:14" s="12" customFormat="1" ht="38.25">
      <c r="A873" s="178" t="s">
        <v>97</v>
      </c>
      <c r="B873" s="75" t="s">
        <v>1698</v>
      </c>
      <c r="C873" s="176" t="s">
        <v>17</v>
      </c>
      <c r="D873" s="176"/>
      <c r="E873" s="176"/>
      <c r="F873" s="176"/>
      <c r="G873" s="176"/>
      <c r="H873" s="499">
        <v>0</v>
      </c>
      <c r="I873" s="17">
        <v>0</v>
      </c>
      <c r="J873" s="17">
        <v>0</v>
      </c>
      <c r="K873" s="17"/>
      <c r="L873" s="16" t="s">
        <v>18</v>
      </c>
      <c r="M873" s="16" t="s">
        <v>22</v>
      </c>
      <c r="N873" s="39"/>
    </row>
    <row r="874" spans="1:14" s="12" customFormat="1" ht="18">
      <c r="A874" s="178" t="s">
        <v>97</v>
      </c>
      <c r="B874" s="75" t="s">
        <v>212</v>
      </c>
      <c r="C874" s="176" t="s">
        <v>17</v>
      </c>
      <c r="D874" s="176"/>
      <c r="E874" s="176"/>
      <c r="F874" s="176"/>
      <c r="G874" s="176"/>
      <c r="H874" s="499">
        <f>SUM(Tabla132112415[[#This Row],[PRIMER TRIMESTRE]:[CUARTO TRIMESTRE]])</f>
        <v>0</v>
      </c>
      <c r="I874" s="17">
        <v>280500</v>
      </c>
      <c r="J874" s="17">
        <f>+Tabla132112415[[#This Row],[CANTIDAD TOTAL]]*Tabla132112415[[#This Row],[PRECIO UNITARIO ESTIMADO]]</f>
        <v>0</v>
      </c>
      <c r="K874" s="17"/>
      <c r="L874" s="16" t="s">
        <v>18</v>
      </c>
      <c r="M874" s="16" t="s">
        <v>22</v>
      </c>
      <c r="N874" s="39"/>
    </row>
    <row r="875" spans="1:14" s="12" customFormat="1" ht="18">
      <c r="A875" s="178" t="s">
        <v>97</v>
      </c>
      <c r="B875" s="75" t="s">
        <v>214</v>
      </c>
      <c r="C875" s="176" t="s">
        <v>17</v>
      </c>
      <c r="D875" s="176"/>
      <c r="E875" s="176"/>
      <c r="F875" s="176"/>
      <c r="G875" s="176"/>
      <c r="H875" s="499">
        <f>SUM(Tabla132112415[[#This Row],[PRIMER TRIMESTRE]:[CUARTO TRIMESTRE]])</f>
        <v>0</v>
      </c>
      <c r="I875" s="17">
        <v>62762.6</v>
      </c>
      <c r="J875" s="17">
        <f>+Tabla132112415[[#This Row],[CANTIDAD TOTAL]]*Tabla132112415[[#This Row],[PRECIO UNITARIO ESTIMADO]]</f>
        <v>0</v>
      </c>
      <c r="K875" s="17"/>
      <c r="L875" s="16" t="s">
        <v>18</v>
      </c>
      <c r="M875" s="16" t="s">
        <v>22</v>
      </c>
      <c r="N875" s="39"/>
    </row>
    <row r="876" spans="1:14" s="12" customFormat="1" ht="18">
      <c r="A876" s="178" t="s">
        <v>97</v>
      </c>
      <c r="B876" s="75" t="s">
        <v>215</v>
      </c>
      <c r="C876" s="176" t="s">
        <v>17</v>
      </c>
      <c r="D876" s="176"/>
      <c r="E876" s="176"/>
      <c r="F876" s="176"/>
      <c r="G876" s="176"/>
      <c r="H876" s="499">
        <f>SUM(Tabla132112415[[#This Row],[PRIMER TRIMESTRE]:[CUARTO TRIMESTRE]])</f>
        <v>0</v>
      </c>
      <c r="I876" s="17">
        <v>14453.6</v>
      </c>
      <c r="J876" s="17">
        <f>+Tabla132112415[[#This Row],[CANTIDAD TOTAL]]*Tabla132112415[[#This Row],[PRECIO UNITARIO ESTIMADO]]</f>
        <v>0</v>
      </c>
      <c r="K876" s="17"/>
      <c r="L876" s="16" t="s">
        <v>18</v>
      </c>
      <c r="M876" s="16" t="s">
        <v>22</v>
      </c>
      <c r="N876" s="39"/>
    </row>
    <row r="877" spans="1:14" s="12" customFormat="1" ht="18">
      <c r="A877" s="178" t="s">
        <v>97</v>
      </c>
      <c r="B877" s="75" t="s">
        <v>216</v>
      </c>
      <c r="C877" s="176" t="s">
        <v>17</v>
      </c>
      <c r="D877" s="176"/>
      <c r="E877" s="176"/>
      <c r="F877" s="176"/>
      <c r="G877" s="176"/>
      <c r="H877" s="499">
        <f>SUM(Tabla132112415[[#This Row],[PRIMER TRIMESTRE]:[CUARTO TRIMESTRE]])</f>
        <v>0</v>
      </c>
      <c r="I877" s="17">
        <v>58701.8</v>
      </c>
      <c r="J877" s="17">
        <f>+Tabla132112415[[#This Row],[CANTIDAD TOTAL]]*Tabla132112415[[#This Row],[PRECIO UNITARIO ESTIMADO]]</f>
        <v>0</v>
      </c>
      <c r="K877" s="17"/>
      <c r="L877" s="16" t="s">
        <v>18</v>
      </c>
      <c r="M877" s="16" t="s">
        <v>22</v>
      </c>
      <c r="N877" s="39"/>
    </row>
    <row r="878" spans="1:14" s="12" customFormat="1" ht="25.5">
      <c r="A878" s="178" t="s">
        <v>97</v>
      </c>
      <c r="B878" s="75" t="s">
        <v>217</v>
      </c>
      <c r="C878" s="176" t="s">
        <v>17</v>
      </c>
      <c r="D878" s="176"/>
      <c r="E878" s="176"/>
      <c r="F878" s="176"/>
      <c r="G878" s="176"/>
      <c r="H878" s="499">
        <f>SUM(Tabla132112415[[#This Row],[PRIMER TRIMESTRE]:[CUARTO TRIMESTRE]])</f>
        <v>0</v>
      </c>
      <c r="I878" s="17">
        <v>36540</v>
      </c>
      <c r="J878" s="17">
        <f>+Tabla132112415[[#This Row],[CANTIDAD TOTAL]]*Tabla132112415[[#This Row],[PRECIO UNITARIO ESTIMADO]]</f>
        <v>0</v>
      </c>
      <c r="K878" s="17"/>
      <c r="L878" s="16" t="s">
        <v>18</v>
      </c>
      <c r="M878" s="16" t="s">
        <v>22</v>
      </c>
      <c r="N878" s="39"/>
    </row>
    <row r="879" spans="1:14" s="12" customFormat="1" ht="25.5">
      <c r="A879" s="178" t="s">
        <v>97</v>
      </c>
      <c r="B879" s="75" t="s">
        <v>218</v>
      </c>
      <c r="C879" s="176" t="s">
        <v>17</v>
      </c>
      <c r="D879" s="176"/>
      <c r="E879" s="176"/>
      <c r="F879" s="176"/>
      <c r="G879" s="176"/>
      <c r="H879" s="499">
        <f>SUM(Tabla132112415[[#This Row],[PRIMER TRIMESTRE]:[CUARTO TRIMESTRE]])</f>
        <v>0</v>
      </c>
      <c r="I879" s="17">
        <v>60262</v>
      </c>
      <c r="J879" s="17">
        <f>+Tabla132112415[[#This Row],[CANTIDAD TOTAL]]*Tabla132112415[[#This Row],[PRECIO UNITARIO ESTIMADO]]</f>
        <v>0</v>
      </c>
      <c r="K879" s="17"/>
      <c r="L879" s="16" t="s">
        <v>18</v>
      </c>
      <c r="M879" s="16" t="s">
        <v>22</v>
      </c>
      <c r="N879" s="39"/>
    </row>
    <row r="880" spans="1:14" s="12" customFormat="1" ht="25.5">
      <c r="A880" s="178" t="s">
        <v>97</v>
      </c>
      <c r="B880" s="75" t="s">
        <v>219</v>
      </c>
      <c r="C880" s="176" t="s">
        <v>17</v>
      </c>
      <c r="D880" s="176"/>
      <c r="E880" s="176"/>
      <c r="F880" s="176"/>
      <c r="G880" s="176"/>
      <c r="H880" s="499">
        <f>SUM(Tabla132112415[[#This Row],[PRIMER TRIMESTRE]:[CUARTO TRIMESTRE]])</f>
        <v>0</v>
      </c>
      <c r="I880" s="17">
        <v>59757.4</v>
      </c>
      <c r="J880" s="17">
        <f>+Tabla132112415[[#This Row],[CANTIDAD TOTAL]]*Tabla132112415[[#This Row],[PRECIO UNITARIO ESTIMADO]]</f>
        <v>0</v>
      </c>
      <c r="K880" s="17"/>
      <c r="L880" s="16" t="s">
        <v>18</v>
      </c>
      <c r="M880" s="16" t="s">
        <v>22</v>
      </c>
      <c r="N880" s="39"/>
    </row>
    <row r="881" spans="1:14" s="12" customFormat="1" ht="51">
      <c r="A881" s="178" t="s">
        <v>97</v>
      </c>
      <c r="B881" s="75" t="s">
        <v>1765</v>
      </c>
      <c r="C881" s="176" t="s">
        <v>17</v>
      </c>
      <c r="D881" s="176"/>
      <c r="E881" s="176"/>
      <c r="F881" s="176"/>
      <c r="G881" s="176"/>
      <c r="H881" s="499">
        <v>0</v>
      </c>
      <c r="I881" s="17">
        <v>0</v>
      </c>
      <c r="J881" s="17">
        <v>0</v>
      </c>
      <c r="K881" s="17"/>
      <c r="L881" s="16" t="s">
        <v>18</v>
      </c>
      <c r="M881" s="16" t="s">
        <v>22</v>
      </c>
      <c r="N881" s="39"/>
    </row>
    <row r="882" spans="1:14" s="12" customFormat="1" ht="51">
      <c r="A882" s="178" t="s">
        <v>97</v>
      </c>
      <c r="B882" s="75" t="s">
        <v>1766</v>
      </c>
      <c r="C882" s="176" t="s">
        <v>17</v>
      </c>
      <c r="D882" s="176"/>
      <c r="E882" s="176"/>
      <c r="F882" s="176"/>
      <c r="G882" s="176"/>
      <c r="H882" s="499">
        <v>0</v>
      </c>
      <c r="I882" s="17">
        <v>0</v>
      </c>
      <c r="J882" s="17">
        <v>0</v>
      </c>
      <c r="K882" s="17"/>
      <c r="L882" s="16" t="s">
        <v>18</v>
      </c>
      <c r="M882" s="16" t="s">
        <v>22</v>
      </c>
      <c r="N882" s="39"/>
    </row>
    <row r="883" spans="1:14" s="12" customFormat="1" ht="18">
      <c r="A883" s="178" t="s">
        <v>97</v>
      </c>
      <c r="B883" s="75" t="s">
        <v>317</v>
      </c>
      <c r="C883" s="176" t="s">
        <v>17</v>
      </c>
      <c r="D883" s="176"/>
      <c r="E883" s="176"/>
      <c r="F883" s="176"/>
      <c r="G883" s="176"/>
      <c r="H883" s="499">
        <f>SUM(Tabla132112415[[#This Row],[PRIMER TRIMESTRE]:[CUARTO TRIMESTRE]])</f>
        <v>0</v>
      </c>
      <c r="I883" s="17">
        <f>1252664.4/5</f>
        <v>250532.87999999998</v>
      </c>
      <c r="J883" s="17">
        <f>+Tabla132112415[[#This Row],[CANTIDAD TOTAL]]*Tabla132112415[[#This Row],[PRECIO UNITARIO ESTIMADO]]</f>
        <v>0</v>
      </c>
      <c r="K883" s="17"/>
      <c r="L883" s="16" t="s">
        <v>18</v>
      </c>
      <c r="M883" s="16" t="s">
        <v>22</v>
      </c>
      <c r="N883" s="39"/>
    </row>
    <row r="884" spans="1:14" s="12" customFormat="1" ht="18">
      <c r="A884" s="178" t="s">
        <v>97</v>
      </c>
      <c r="B884" s="75" t="s">
        <v>1462</v>
      </c>
      <c r="C884" s="176" t="s">
        <v>17</v>
      </c>
      <c r="D884" s="176"/>
      <c r="E884" s="176"/>
      <c r="F884" s="176"/>
      <c r="G884" s="176"/>
      <c r="H884" s="499">
        <f>SUM(Tabla132112415[[#This Row],[PRIMER TRIMESTRE]:[CUARTO TRIMESTRE]])</f>
        <v>0</v>
      </c>
      <c r="I884" s="17">
        <v>250532.68</v>
      </c>
      <c r="J884" s="17">
        <f t="shared" ref="J884:J913" si="24">+H884*I884</f>
        <v>0</v>
      </c>
      <c r="K884" s="17"/>
      <c r="L884" s="16" t="s">
        <v>15</v>
      </c>
      <c r="M884" s="16" t="s">
        <v>22</v>
      </c>
      <c r="N884" s="39"/>
    </row>
    <row r="885" spans="1:14" s="12" customFormat="1" ht="18">
      <c r="A885" s="178" t="s">
        <v>97</v>
      </c>
      <c r="B885" s="75" t="s">
        <v>1240</v>
      </c>
      <c r="C885" s="176" t="s">
        <v>17</v>
      </c>
      <c r="D885" s="176"/>
      <c r="E885" s="176"/>
      <c r="F885" s="176"/>
      <c r="G885" s="176"/>
      <c r="H885" s="499">
        <f>SUM(Tabla132112415[[#This Row],[PRIMER TRIMESTRE]:[CUARTO TRIMESTRE]])</f>
        <v>0</v>
      </c>
      <c r="I885" s="17">
        <v>2300000</v>
      </c>
      <c r="J885" s="17">
        <f t="shared" si="24"/>
        <v>0</v>
      </c>
      <c r="K885" s="17"/>
      <c r="L885" s="16" t="s">
        <v>18</v>
      </c>
      <c r="M885" s="16" t="s">
        <v>22</v>
      </c>
      <c r="N885" s="39"/>
    </row>
    <row r="886" spans="1:14" s="12" customFormat="1" ht="18">
      <c r="A886" s="178" t="s">
        <v>97</v>
      </c>
      <c r="B886" s="75" t="s">
        <v>1241</v>
      </c>
      <c r="C886" s="176" t="s">
        <v>17</v>
      </c>
      <c r="D886" s="176"/>
      <c r="E886" s="176"/>
      <c r="F886" s="176"/>
      <c r="G886" s="176"/>
      <c r="H886" s="499">
        <f>SUM(Tabla132112415[[#This Row],[PRIMER TRIMESTRE]:[CUARTO TRIMESTRE]])</f>
        <v>0</v>
      </c>
      <c r="I886" s="17">
        <v>950000</v>
      </c>
      <c r="J886" s="17">
        <f t="shared" si="24"/>
        <v>0</v>
      </c>
      <c r="K886" s="17"/>
      <c r="L886" s="16" t="s">
        <v>18</v>
      </c>
      <c r="M886" s="16" t="s">
        <v>22</v>
      </c>
      <c r="N886" s="39"/>
    </row>
    <row r="887" spans="1:14" s="12" customFormat="1" ht="18">
      <c r="A887" s="178" t="s">
        <v>97</v>
      </c>
      <c r="B887" s="75" t="s">
        <v>1242</v>
      </c>
      <c r="C887" s="176" t="s">
        <v>17</v>
      </c>
      <c r="D887" s="176"/>
      <c r="E887" s="176"/>
      <c r="F887" s="176"/>
      <c r="G887" s="176"/>
      <c r="H887" s="499">
        <f>SUM(Tabla132112415[[#This Row],[PRIMER TRIMESTRE]:[CUARTO TRIMESTRE]])</f>
        <v>0</v>
      </c>
      <c r="I887" s="17">
        <v>1800000</v>
      </c>
      <c r="J887" s="17">
        <f t="shared" si="24"/>
        <v>0</v>
      </c>
      <c r="K887" s="17"/>
      <c r="L887" s="16" t="s">
        <v>18</v>
      </c>
      <c r="M887" s="16" t="s">
        <v>22</v>
      </c>
      <c r="N887" s="39"/>
    </row>
    <row r="888" spans="1:14" s="12" customFormat="1" ht="18">
      <c r="A888" s="178" t="s">
        <v>97</v>
      </c>
      <c r="B888" s="75" t="s">
        <v>1243</v>
      </c>
      <c r="C888" s="176" t="s">
        <v>17</v>
      </c>
      <c r="D888" s="176"/>
      <c r="E888" s="176"/>
      <c r="F888" s="176"/>
      <c r="G888" s="176"/>
      <c r="H888" s="499">
        <f>SUM(Tabla132112415[[#This Row],[PRIMER TRIMESTRE]:[CUARTO TRIMESTRE]])</f>
        <v>0</v>
      </c>
      <c r="I888" s="17">
        <v>270000</v>
      </c>
      <c r="J888" s="17">
        <f t="shared" si="24"/>
        <v>0</v>
      </c>
      <c r="K888" s="17"/>
      <c r="L888" s="16" t="s">
        <v>18</v>
      </c>
      <c r="M888" s="16" t="s">
        <v>22</v>
      </c>
      <c r="N888" s="39"/>
    </row>
    <row r="889" spans="1:14" s="12" customFormat="1" ht="18">
      <c r="A889" s="178" t="s">
        <v>97</v>
      </c>
      <c r="B889" s="75" t="s">
        <v>1244</v>
      </c>
      <c r="C889" s="176" t="s">
        <v>17</v>
      </c>
      <c r="D889" s="176"/>
      <c r="E889" s="176"/>
      <c r="F889" s="176"/>
      <c r="G889" s="176"/>
      <c r="H889" s="499">
        <f>SUM(Tabla132112415[[#This Row],[PRIMER TRIMESTRE]:[CUARTO TRIMESTRE]])</f>
        <v>0</v>
      </c>
      <c r="I889" s="17">
        <v>398000</v>
      </c>
      <c r="J889" s="17">
        <f t="shared" si="24"/>
        <v>0</v>
      </c>
      <c r="K889" s="17"/>
      <c r="L889" s="16" t="s">
        <v>18</v>
      </c>
      <c r="M889" s="16" t="s">
        <v>22</v>
      </c>
      <c r="N889" s="39"/>
    </row>
    <row r="890" spans="1:14" s="12" customFormat="1" ht="18">
      <c r="A890" s="178" t="s">
        <v>97</v>
      </c>
      <c r="B890" s="75" t="s">
        <v>1245</v>
      </c>
      <c r="C890" s="176" t="s">
        <v>17</v>
      </c>
      <c r="D890" s="176"/>
      <c r="E890" s="176"/>
      <c r="F890" s="176"/>
      <c r="G890" s="176"/>
      <c r="H890" s="499">
        <f>SUM(Tabla132112415[[#This Row],[PRIMER TRIMESTRE]:[CUARTO TRIMESTRE]])</f>
        <v>0</v>
      </c>
      <c r="I890" s="17">
        <v>395000</v>
      </c>
      <c r="J890" s="17">
        <f t="shared" si="24"/>
        <v>0</v>
      </c>
      <c r="K890" s="17"/>
      <c r="L890" s="16" t="s">
        <v>18</v>
      </c>
      <c r="M890" s="16" t="s">
        <v>22</v>
      </c>
      <c r="N890" s="39"/>
    </row>
    <row r="891" spans="1:14" s="12" customFormat="1" ht="18">
      <c r="A891" s="178" t="s">
        <v>97</v>
      </c>
      <c r="B891" s="75" t="s">
        <v>1246</v>
      </c>
      <c r="C891" s="176" t="s">
        <v>17</v>
      </c>
      <c r="D891" s="176"/>
      <c r="E891" s="176"/>
      <c r="F891" s="176"/>
      <c r="G891" s="176"/>
      <c r="H891" s="499">
        <f>SUM(Tabla132112415[[#This Row],[PRIMER TRIMESTRE]:[CUARTO TRIMESTRE]])</f>
        <v>0</v>
      </c>
      <c r="I891" s="17">
        <v>390000</v>
      </c>
      <c r="J891" s="17">
        <f t="shared" si="24"/>
        <v>0</v>
      </c>
      <c r="K891" s="17"/>
      <c r="L891" s="16" t="s">
        <v>18</v>
      </c>
      <c r="M891" s="16" t="s">
        <v>22</v>
      </c>
      <c r="N891" s="39"/>
    </row>
    <row r="892" spans="1:14" s="12" customFormat="1" ht="18">
      <c r="A892" s="178" t="s">
        <v>97</v>
      </c>
      <c r="B892" s="75" t="s">
        <v>1247</v>
      </c>
      <c r="C892" s="176" t="s">
        <v>17</v>
      </c>
      <c r="D892" s="176"/>
      <c r="E892" s="176"/>
      <c r="F892" s="176"/>
      <c r="G892" s="176"/>
      <c r="H892" s="499">
        <f>SUM(Tabla132112415[[#This Row],[PRIMER TRIMESTRE]:[CUARTO TRIMESTRE]])</f>
        <v>0</v>
      </c>
      <c r="I892" s="17">
        <v>385000</v>
      </c>
      <c r="J892" s="17">
        <f t="shared" si="24"/>
        <v>0</v>
      </c>
      <c r="K892" s="17"/>
      <c r="L892" s="16" t="s">
        <v>18</v>
      </c>
      <c r="M892" s="16" t="s">
        <v>22</v>
      </c>
      <c r="N892" s="39"/>
    </row>
    <row r="893" spans="1:14" s="12" customFormat="1" ht="18">
      <c r="A893" s="178" t="s">
        <v>97</v>
      </c>
      <c r="B893" s="75" t="s">
        <v>1248</v>
      </c>
      <c r="C893" s="176" t="s">
        <v>17</v>
      </c>
      <c r="D893" s="176"/>
      <c r="E893" s="176"/>
      <c r="F893" s="176"/>
      <c r="G893" s="176"/>
      <c r="H893" s="499">
        <f>SUM(Tabla132112415[[#This Row],[PRIMER TRIMESTRE]:[CUARTO TRIMESTRE]])</f>
        <v>0</v>
      </c>
      <c r="I893" s="17">
        <v>290400</v>
      </c>
      <c r="J893" s="17">
        <f t="shared" si="24"/>
        <v>0</v>
      </c>
      <c r="K893" s="17"/>
      <c r="L893" s="16" t="s">
        <v>18</v>
      </c>
      <c r="M893" s="16" t="s">
        <v>22</v>
      </c>
      <c r="N893" s="39"/>
    </row>
    <row r="894" spans="1:14" s="12" customFormat="1" ht="18">
      <c r="A894" s="178" t="s">
        <v>97</v>
      </c>
      <c r="B894" s="75" t="s">
        <v>1249</v>
      </c>
      <c r="C894" s="176" t="s">
        <v>17</v>
      </c>
      <c r="D894" s="176"/>
      <c r="E894" s="176"/>
      <c r="F894" s="176"/>
      <c r="G894" s="176"/>
      <c r="H894" s="499">
        <f>SUM(Tabla132112415[[#This Row],[PRIMER TRIMESTRE]:[CUARTO TRIMESTRE]])</f>
        <v>0</v>
      </c>
      <c r="I894" s="17">
        <v>230000</v>
      </c>
      <c r="J894" s="17">
        <f t="shared" si="24"/>
        <v>0</v>
      </c>
      <c r="K894" s="17"/>
      <c r="L894" s="16" t="s">
        <v>18</v>
      </c>
      <c r="M894" s="16" t="s">
        <v>22</v>
      </c>
      <c r="N894" s="39"/>
    </row>
    <row r="895" spans="1:14" s="12" customFormat="1" ht="18">
      <c r="A895" s="178" t="s">
        <v>97</v>
      </c>
      <c r="B895" s="75" t="s">
        <v>1250</v>
      </c>
      <c r="C895" s="176" t="s">
        <v>17</v>
      </c>
      <c r="D895" s="176"/>
      <c r="E895" s="176"/>
      <c r="F895" s="176"/>
      <c r="G895" s="176"/>
      <c r="H895" s="499">
        <f>SUM(Tabla132112415[[#This Row],[PRIMER TRIMESTRE]:[CUARTO TRIMESTRE]])</f>
        <v>0</v>
      </c>
      <c r="I895" s="17">
        <v>13700</v>
      </c>
      <c r="J895" s="17">
        <f t="shared" si="24"/>
        <v>0</v>
      </c>
      <c r="K895" s="17"/>
      <c r="L895" s="16" t="s">
        <v>18</v>
      </c>
      <c r="M895" s="16" t="s">
        <v>22</v>
      </c>
      <c r="N895" s="39"/>
    </row>
    <row r="896" spans="1:14" s="12" customFormat="1" ht="18">
      <c r="A896" s="178" t="s">
        <v>97</v>
      </c>
      <c r="B896" s="75" t="s">
        <v>1251</v>
      </c>
      <c r="C896" s="176" t="s">
        <v>17</v>
      </c>
      <c r="D896" s="176"/>
      <c r="E896" s="176"/>
      <c r="F896" s="176"/>
      <c r="G896" s="176"/>
      <c r="H896" s="499">
        <f>SUM(Tabla132112415[[#This Row],[PRIMER TRIMESTRE]:[CUARTO TRIMESTRE]])</f>
        <v>0</v>
      </c>
      <c r="I896" s="17">
        <v>205000</v>
      </c>
      <c r="J896" s="17">
        <f t="shared" si="24"/>
        <v>0</v>
      </c>
      <c r="K896" s="17"/>
      <c r="L896" s="16" t="s">
        <v>18</v>
      </c>
      <c r="M896" s="16" t="s">
        <v>22</v>
      </c>
      <c r="N896" s="39"/>
    </row>
    <row r="897" spans="1:14" s="12" customFormat="1" ht="18">
      <c r="A897" s="178" t="s">
        <v>97</v>
      </c>
      <c r="B897" s="75" t="s">
        <v>1252</v>
      </c>
      <c r="C897" s="176" t="s">
        <v>17</v>
      </c>
      <c r="D897" s="176"/>
      <c r="E897" s="176"/>
      <c r="F897" s="176"/>
      <c r="G897" s="176"/>
      <c r="H897" s="499">
        <f>SUM(Tabla132112415[[#This Row],[PRIMER TRIMESTRE]:[CUARTO TRIMESTRE]])</f>
        <v>0</v>
      </c>
      <c r="I897" s="17">
        <v>170000</v>
      </c>
      <c r="J897" s="17">
        <f t="shared" si="24"/>
        <v>0</v>
      </c>
      <c r="K897" s="17"/>
      <c r="L897" s="16" t="s">
        <v>18</v>
      </c>
      <c r="M897" s="16" t="s">
        <v>22</v>
      </c>
      <c r="N897" s="39"/>
    </row>
    <row r="898" spans="1:14" s="12" customFormat="1" ht="18">
      <c r="A898" s="178" t="s">
        <v>97</v>
      </c>
      <c r="B898" s="75" t="s">
        <v>1253</v>
      </c>
      <c r="C898" s="176" t="s">
        <v>17</v>
      </c>
      <c r="D898" s="176"/>
      <c r="E898" s="176"/>
      <c r="F898" s="176"/>
      <c r="G898" s="176"/>
      <c r="H898" s="499">
        <f>SUM(Tabla132112415[[#This Row],[PRIMER TRIMESTRE]:[CUARTO TRIMESTRE]])</f>
        <v>0</v>
      </c>
      <c r="I898" s="17">
        <v>155000</v>
      </c>
      <c r="J898" s="17">
        <f t="shared" si="24"/>
        <v>0</v>
      </c>
      <c r="K898" s="17"/>
      <c r="L898" s="16" t="s">
        <v>18</v>
      </c>
      <c r="M898" s="16" t="s">
        <v>22</v>
      </c>
      <c r="N898" s="39"/>
    </row>
    <row r="899" spans="1:14" s="12" customFormat="1" ht="18">
      <c r="A899" s="178" t="s">
        <v>97</v>
      </c>
      <c r="B899" s="75" t="s">
        <v>1254</v>
      </c>
      <c r="C899" s="176" t="s">
        <v>17</v>
      </c>
      <c r="D899" s="176"/>
      <c r="E899" s="176"/>
      <c r="F899" s="176"/>
      <c r="G899" s="176"/>
      <c r="H899" s="499">
        <f>SUM(Tabla132112415[[#This Row],[PRIMER TRIMESTRE]:[CUARTO TRIMESTRE]])</f>
        <v>0</v>
      </c>
      <c r="I899" s="17">
        <v>140000</v>
      </c>
      <c r="J899" s="17">
        <f t="shared" si="24"/>
        <v>0</v>
      </c>
      <c r="K899" s="17"/>
      <c r="L899" s="16" t="s">
        <v>18</v>
      </c>
      <c r="M899" s="16" t="s">
        <v>22</v>
      </c>
      <c r="N899" s="39"/>
    </row>
    <row r="900" spans="1:14" s="12" customFormat="1" ht="18">
      <c r="A900" s="178" t="s">
        <v>97</v>
      </c>
      <c r="B900" s="75" t="s">
        <v>1255</v>
      </c>
      <c r="C900" s="176" t="s">
        <v>17</v>
      </c>
      <c r="D900" s="176"/>
      <c r="E900" s="176"/>
      <c r="F900" s="176"/>
      <c r="G900" s="176"/>
      <c r="H900" s="499">
        <f>SUM(Tabla132112415[[#This Row],[PRIMER TRIMESTRE]:[CUARTO TRIMESTRE]])</f>
        <v>0</v>
      </c>
      <c r="I900" s="17">
        <v>115000</v>
      </c>
      <c r="J900" s="17">
        <f t="shared" si="24"/>
        <v>0</v>
      </c>
      <c r="K900" s="17"/>
      <c r="L900" s="16" t="s">
        <v>18</v>
      </c>
      <c r="M900" s="16" t="s">
        <v>22</v>
      </c>
      <c r="N900" s="39"/>
    </row>
    <row r="901" spans="1:14" s="12" customFormat="1" ht="18">
      <c r="A901" s="178" t="s">
        <v>97</v>
      </c>
      <c r="B901" s="75" t="s">
        <v>1256</v>
      </c>
      <c r="C901" s="176" t="s">
        <v>17</v>
      </c>
      <c r="D901" s="176"/>
      <c r="E901" s="176"/>
      <c r="F901" s="176"/>
      <c r="G901" s="176"/>
      <c r="H901" s="499">
        <f>SUM(Tabla132112415[[#This Row],[PRIMER TRIMESTRE]:[CUARTO TRIMESTRE]])</f>
        <v>0</v>
      </c>
      <c r="I901" s="17">
        <v>100000</v>
      </c>
      <c r="J901" s="17">
        <f t="shared" si="24"/>
        <v>0</v>
      </c>
      <c r="K901" s="17"/>
      <c r="L901" s="16" t="s">
        <v>18</v>
      </c>
      <c r="M901" s="16" t="s">
        <v>22</v>
      </c>
      <c r="N901" s="39"/>
    </row>
    <row r="902" spans="1:14" s="12" customFormat="1" ht="18">
      <c r="A902" s="178" t="s">
        <v>97</v>
      </c>
      <c r="B902" s="75" t="s">
        <v>1257</v>
      </c>
      <c r="C902" s="176" t="s">
        <v>17</v>
      </c>
      <c r="D902" s="176"/>
      <c r="E902" s="176"/>
      <c r="F902" s="176"/>
      <c r="G902" s="176"/>
      <c r="H902" s="499">
        <f>SUM(Tabla132112415[[#This Row],[PRIMER TRIMESTRE]:[CUARTO TRIMESTRE]])</f>
        <v>0</v>
      </c>
      <c r="I902" s="17">
        <v>80000</v>
      </c>
      <c r="J902" s="17">
        <f t="shared" si="24"/>
        <v>0</v>
      </c>
      <c r="K902" s="17"/>
      <c r="L902" s="16" t="s">
        <v>18</v>
      </c>
      <c r="M902" s="16" t="s">
        <v>22</v>
      </c>
      <c r="N902" s="39"/>
    </row>
    <row r="903" spans="1:14" s="12" customFormat="1" ht="18">
      <c r="A903" s="178" t="s">
        <v>97</v>
      </c>
      <c r="B903" s="75" t="s">
        <v>1258</v>
      </c>
      <c r="C903" s="176" t="s">
        <v>17</v>
      </c>
      <c r="D903" s="176"/>
      <c r="E903" s="176"/>
      <c r="F903" s="176"/>
      <c r="G903" s="176"/>
      <c r="H903" s="499">
        <f>SUM(Tabla132112415[[#This Row],[PRIMER TRIMESTRE]:[CUARTO TRIMESTRE]])</f>
        <v>0</v>
      </c>
      <c r="I903" s="17">
        <v>65000</v>
      </c>
      <c r="J903" s="17">
        <f t="shared" si="24"/>
        <v>0</v>
      </c>
      <c r="K903" s="17"/>
      <c r="L903" s="16" t="s">
        <v>18</v>
      </c>
      <c r="M903" s="16" t="s">
        <v>22</v>
      </c>
      <c r="N903" s="39"/>
    </row>
    <row r="904" spans="1:14" s="12" customFormat="1" ht="18">
      <c r="A904" s="178" t="s">
        <v>97</v>
      </c>
      <c r="B904" s="75" t="s">
        <v>1259</v>
      </c>
      <c r="C904" s="176" t="s">
        <v>17</v>
      </c>
      <c r="D904" s="176"/>
      <c r="E904" s="176"/>
      <c r="F904" s="176"/>
      <c r="G904" s="176"/>
      <c r="H904" s="499">
        <f>SUM(Tabla132112415[[#This Row],[PRIMER TRIMESTRE]:[CUARTO TRIMESTRE]])</f>
        <v>0</v>
      </c>
      <c r="I904" s="17">
        <v>50000</v>
      </c>
      <c r="J904" s="17">
        <f t="shared" si="24"/>
        <v>0</v>
      </c>
      <c r="K904" s="17"/>
      <c r="L904" s="16" t="s">
        <v>18</v>
      </c>
      <c r="M904" s="16" t="s">
        <v>22</v>
      </c>
      <c r="N904" s="39"/>
    </row>
    <row r="905" spans="1:14" s="12" customFormat="1" ht="18">
      <c r="A905" s="178" t="s">
        <v>97</v>
      </c>
      <c r="B905" s="75" t="s">
        <v>1260</v>
      </c>
      <c r="C905" s="176" t="s">
        <v>17</v>
      </c>
      <c r="D905" s="176"/>
      <c r="E905" s="176"/>
      <c r="F905" s="176"/>
      <c r="G905" s="176"/>
      <c r="H905" s="499">
        <f>SUM(Tabla132112415[[#This Row],[PRIMER TRIMESTRE]:[CUARTO TRIMESTRE]])</f>
        <v>0</v>
      </c>
      <c r="I905" s="17">
        <v>45000</v>
      </c>
      <c r="J905" s="17">
        <f t="shared" si="24"/>
        <v>0</v>
      </c>
      <c r="K905" s="17"/>
      <c r="L905" s="16" t="s">
        <v>18</v>
      </c>
      <c r="M905" s="16" t="s">
        <v>22</v>
      </c>
      <c r="N905" s="39"/>
    </row>
    <row r="906" spans="1:14" s="12" customFormat="1" ht="18">
      <c r="A906" s="178" t="s">
        <v>97</v>
      </c>
      <c r="B906" s="75" t="s">
        <v>1261</v>
      </c>
      <c r="C906" s="176" t="s">
        <v>17</v>
      </c>
      <c r="D906" s="176"/>
      <c r="E906" s="176"/>
      <c r="F906" s="176"/>
      <c r="G906" s="176"/>
      <c r="H906" s="499">
        <f>SUM(Tabla132112415[[#This Row],[PRIMER TRIMESTRE]:[CUARTO TRIMESTRE]])</f>
        <v>0</v>
      </c>
      <c r="I906" s="17">
        <v>40000</v>
      </c>
      <c r="J906" s="17">
        <f t="shared" si="24"/>
        <v>0</v>
      </c>
      <c r="K906" s="17"/>
      <c r="L906" s="16" t="s">
        <v>18</v>
      </c>
      <c r="M906" s="16" t="s">
        <v>22</v>
      </c>
      <c r="N906" s="39"/>
    </row>
    <row r="907" spans="1:14" s="12" customFormat="1" ht="18">
      <c r="A907" s="178" t="s">
        <v>97</v>
      </c>
      <c r="B907" s="75" t="s">
        <v>1262</v>
      </c>
      <c r="C907" s="176" t="s">
        <v>17</v>
      </c>
      <c r="D907" s="176"/>
      <c r="E907" s="176"/>
      <c r="F907" s="176"/>
      <c r="G907" s="176"/>
      <c r="H907" s="499">
        <f>SUM(Tabla132112415[[#This Row],[PRIMER TRIMESTRE]:[CUARTO TRIMESTRE]])</f>
        <v>0</v>
      </c>
      <c r="I907" s="17">
        <v>30000</v>
      </c>
      <c r="J907" s="17">
        <f t="shared" si="24"/>
        <v>0</v>
      </c>
      <c r="K907" s="17"/>
      <c r="L907" s="16" t="s">
        <v>18</v>
      </c>
      <c r="M907" s="16" t="s">
        <v>22</v>
      </c>
      <c r="N907" s="39"/>
    </row>
    <row r="908" spans="1:14" s="12" customFormat="1" ht="18">
      <c r="A908" s="178" t="s">
        <v>97</v>
      </c>
      <c r="B908" s="75" t="s">
        <v>1263</v>
      </c>
      <c r="C908" s="176" t="s">
        <v>17</v>
      </c>
      <c r="D908" s="176"/>
      <c r="E908" s="176"/>
      <c r="F908" s="176"/>
      <c r="G908" s="176"/>
      <c r="H908" s="499">
        <f>SUM(Tabla132112415[[#This Row],[PRIMER TRIMESTRE]:[CUARTO TRIMESTRE]])</f>
        <v>0</v>
      </c>
      <c r="I908" s="17">
        <v>26000</v>
      </c>
      <c r="J908" s="17">
        <f t="shared" si="24"/>
        <v>0</v>
      </c>
      <c r="K908" s="17"/>
      <c r="L908" s="16" t="s">
        <v>18</v>
      </c>
      <c r="M908" s="16" t="s">
        <v>22</v>
      </c>
      <c r="N908" s="39"/>
    </row>
    <row r="909" spans="1:14" s="12" customFormat="1" ht="18">
      <c r="A909" s="178" t="s">
        <v>97</v>
      </c>
      <c r="B909" s="75" t="s">
        <v>1264</v>
      </c>
      <c r="C909" s="176" t="s">
        <v>17</v>
      </c>
      <c r="D909" s="176"/>
      <c r="E909" s="176"/>
      <c r="F909" s="176"/>
      <c r="G909" s="176"/>
      <c r="H909" s="499">
        <f>SUM(Tabla132112415[[#This Row],[PRIMER TRIMESTRE]:[CUARTO TRIMESTRE]])</f>
        <v>0</v>
      </c>
      <c r="I909" s="17">
        <v>24000</v>
      </c>
      <c r="J909" s="17">
        <f t="shared" si="24"/>
        <v>0</v>
      </c>
      <c r="K909" s="17"/>
      <c r="L909" s="16" t="s">
        <v>18</v>
      </c>
      <c r="M909" s="16" t="s">
        <v>22</v>
      </c>
      <c r="N909" s="39"/>
    </row>
    <row r="910" spans="1:14" s="12" customFormat="1" ht="18">
      <c r="A910" s="178" t="s">
        <v>97</v>
      </c>
      <c r="B910" s="75" t="s">
        <v>1265</v>
      </c>
      <c r="C910" s="176" t="s">
        <v>17</v>
      </c>
      <c r="D910" s="176"/>
      <c r="E910" s="176"/>
      <c r="F910" s="176"/>
      <c r="G910" s="176"/>
      <c r="H910" s="499">
        <f>SUM(Tabla132112415[[#This Row],[PRIMER TRIMESTRE]:[CUARTO TRIMESTRE]])</f>
        <v>0</v>
      </c>
      <c r="I910" s="17">
        <v>20000</v>
      </c>
      <c r="J910" s="17">
        <f t="shared" si="24"/>
        <v>0</v>
      </c>
      <c r="K910" s="17"/>
      <c r="L910" s="16" t="s">
        <v>18</v>
      </c>
      <c r="M910" s="16" t="s">
        <v>22</v>
      </c>
      <c r="N910" s="39"/>
    </row>
    <row r="911" spans="1:14" s="12" customFormat="1" ht="18">
      <c r="A911" s="178" t="s">
        <v>97</v>
      </c>
      <c r="B911" s="75" t="s">
        <v>1266</v>
      </c>
      <c r="C911" s="176" t="s">
        <v>17</v>
      </c>
      <c r="D911" s="176"/>
      <c r="E911" s="176"/>
      <c r="F911" s="176"/>
      <c r="G911" s="176"/>
      <c r="H911" s="499">
        <f>SUM(Tabla132112415[[#This Row],[PRIMER TRIMESTRE]:[CUARTO TRIMESTRE]])</f>
        <v>0</v>
      </c>
      <c r="I911" s="17">
        <v>18000</v>
      </c>
      <c r="J911" s="17">
        <f t="shared" si="24"/>
        <v>0</v>
      </c>
      <c r="K911" s="17"/>
      <c r="L911" s="16" t="s">
        <v>18</v>
      </c>
      <c r="M911" s="16" t="s">
        <v>22</v>
      </c>
      <c r="N911" s="39"/>
    </row>
    <row r="912" spans="1:14" s="12" customFormat="1" ht="18">
      <c r="A912" s="178" t="s">
        <v>97</v>
      </c>
      <c r="B912" s="75" t="s">
        <v>1267</v>
      </c>
      <c r="C912" s="176" t="s">
        <v>17</v>
      </c>
      <c r="D912" s="176"/>
      <c r="E912" s="176"/>
      <c r="F912" s="176"/>
      <c r="G912" s="176"/>
      <c r="H912" s="499">
        <f>SUM(Tabla132112415[[#This Row],[PRIMER TRIMESTRE]:[CUARTO TRIMESTRE]])</f>
        <v>0</v>
      </c>
      <c r="I912" s="17">
        <v>15000</v>
      </c>
      <c r="J912" s="17">
        <f t="shared" si="24"/>
        <v>0</v>
      </c>
      <c r="K912" s="17"/>
      <c r="L912" s="16" t="s">
        <v>18</v>
      </c>
      <c r="M912" s="16" t="s">
        <v>22</v>
      </c>
      <c r="N912" s="39"/>
    </row>
    <row r="913" spans="1:14" s="12" customFormat="1" ht="30.75" customHeight="1">
      <c r="A913" s="178" t="s">
        <v>97</v>
      </c>
      <c r="B913" s="75" t="s">
        <v>1268</v>
      </c>
      <c r="C913" s="176" t="s">
        <v>17</v>
      </c>
      <c r="D913" s="176"/>
      <c r="E913" s="176"/>
      <c r="F913" s="176"/>
      <c r="G913" s="176"/>
      <c r="H913" s="499">
        <f>SUM(Tabla132112415[[#This Row],[PRIMER TRIMESTRE]:[CUARTO TRIMESTRE]])</f>
        <v>0</v>
      </c>
      <c r="I913" s="17">
        <v>61000</v>
      </c>
      <c r="J913" s="17">
        <f t="shared" si="24"/>
        <v>0</v>
      </c>
      <c r="K913" s="17"/>
      <c r="L913" s="16" t="s">
        <v>18</v>
      </c>
      <c r="M913" s="16" t="s">
        <v>22</v>
      </c>
      <c r="N913" s="39"/>
    </row>
    <row r="914" spans="1:14" s="12" customFormat="1" ht="30.75" customHeight="1">
      <c r="A914" s="178" t="s">
        <v>97</v>
      </c>
      <c r="B914" s="75" t="s">
        <v>221</v>
      </c>
      <c r="C914" s="176" t="s">
        <v>17</v>
      </c>
      <c r="D914" s="176"/>
      <c r="E914" s="176"/>
      <c r="F914" s="176"/>
      <c r="G914" s="176"/>
      <c r="H914" s="499">
        <f>SUM(Tabla132112415[[#This Row],[PRIMER TRIMESTRE]:[CUARTO TRIMESTRE]])</f>
        <v>0</v>
      </c>
      <c r="I914" s="17">
        <v>100060.44</v>
      </c>
      <c r="J914" s="17">
        <f>+Tabla132112415[[#This Row],[CANTIDAD TOTAL]]*Tabla132112415[[#This Row],[PRECIO UNITARIO ESTIMADO]]</f>
        <v>0</v>
      </c>
      <c r="K914" s="17"/>
      <c r="L914" s="16" t="s">
        <v>18</v>
      </c>
      <c r="M914" s="16" t="s">
        <v>22</v>
      </c>
      <c r="N914" s="39"/>
    </row>
    <row r="915" spans="1:14" s="12" customFormat="1" ht="30.75" customHeight="1">
      <c r="A915" s="178" t="s">
        <v>97</v>
      </c>
      <c r="B915" s="75" t="s">
        <v>222</v>
      </c>
      <c r="C915" s="176" t="s">
        <v>17</v>
      </c>
      <c r="D915" s="176"/>
      <c r="E915" s="176"/>
      <c r="F915" s="176"/>
      <c r="G915" s="176"/>
      <c r="H915" s="499">
        <f>SUM(Tabla132112415[[#This Row],[PRIMER TRIMESTRE]:[CUARTO TRIMESTRE]])</f>
        <v>0</v>
      </c>
      <c r="I915" s="17">
        <v>327948.84999999998</v>
      </c>
      <c r="J915" s="17">
        <f>+Tabla132112415[[#This Row],[CANTIDAD TOTAL]]*Tabla132112415[[#This Row],[PRECIO UNITARIO ESTIMADO]]</f>
        <v>0</v>
      </c>
      <c r="K915" s="17"/>
      <c r="L915" s="16" t="s">
        <v>18</v>
      </c>
      <c r="M915" s="16" t="s">
        <v>22</v>
      </c>
      <c r="N915" s="39"/>
    </row>
    <row r="916" spans="1:14" s="12" customFormat="1" ht="30.75" customHeight="1">
      <c r="A916" s="178" t="s">
        <v>97</v>
      </c>
      <c r="B916" s="75" t="s">
        <v>223</v>
      </c>
      <c r="C916" s="176" t="s">
        <v>17</v>
      </c>
      <c r="D916" s="176"/>
      <c r="E916" s="176"/>
      <c r="F916" s="176"/>
      <c r="G916" s="176"/>
      <c r="H916" s="499">
        <f>SUM(Tabla132112415[[#This Row],[PRIMER TRIMESTRE]:[CUARTO TRIMESTRE]])</f>
        <v>0</v>
      </c>
      <c r="I916" s="17">
        <v>16744.599999999999</v>
      </c>
      <c r="J916" s="17">
        <f>+Tabla132112415[[#This Row],[CANTIDAD TOTAL]]*Tabla132112415[[#This Row],[PRECIO UNITARIO ESTIMADO]]</f>
        <v>0</v>
      </c>
      <c r="K916" s="17"/>
      <c r="L916" s="16" t="s">
        <v>18</v>
      </c>
      <c r="M916" s="16" t="s">
        <v>22</v>
      </c>
      <c r="N916" s="39"/>
    </row>
    <row r="917" spans="1:14" s="26" customFormat="1" ht="30.75" customHeight="1">
      <c r="A917" s="178" t="s">
        <v>97</v>
      </c>
      <c r="B917" s="75" t="s">
        <v>224</v>
      </c>
      <c r="C917" s="176" t="s">
        <v>17</v>
      </c>
      <c r="D917" s="176"/>
      <c r="E917" s="176"/>
      <c r="F917" s="176"/>
      <c r="G917" s="176"/>
      <c r="H917" s="499">
        <f>SUM(Tabla132112415[[#This Row],[PRIMER TRIMESTRE]:[CUARTO TRIMESTRE]])</f>
        <v>0</v>
      </c>
      <c r="I917" s="17">
        <v>52380.2</v>
      </c>
      <c r="J917" s="17">
        <f>+Tabla132112415[[#This Row],[CANTIDAD TOTAL]]*Tabla132112415[[#This Row],[PRECIO UNITARIO ESTIMADO]]</f>
        <v>0</v>
      </c>
      <c r="K917" s="17"/>
      <c r="L917" s="16" t="s">
        <v>18</v>
      </c>
      <c r="M917" s="16" t="s">
        <v>22</v>
      </c>
      <c r="N917" s="39"/>
    </row>
    <row r="918" spans="1:14" s="26" customFormat="1" ht="30.75" customHeight="1">
      <c r="A918" s="178" t="s">
        <v>97</v>
      </c>
      <c r="B918" s="75" t="s">
        <v>225</v>
      </c>
      <c r="C918" s="176" t="s">
        <v>17</v>
      </c>
      <c r="D918" s="176"/>
      <c r="E918" s="176"/>
      <c r="F918" s="176"/>
      <c r="G918" s="176"/>
      <c r="H918" s="499">
        <f>SUM(Tabla132112415[[#This Row],[PRIMER TRIMESTRE]:[CUARTO TRIMESTRE]])</f>
        <v>0</v>
      </c>
      <c r="I918" s="17">
        <v>99342.399999999994</v>
      </c>
      <c r="J918" s="17">
        <f>+Tabla132112415[[#This Row],[CANTIDAD TOTAL]]*Tabla132112415[[#This Row],[PRECIO UNITARIO ESTIMADO]]</f>
        <v>0</v>
      </c>
      <c r="K918" s="17"/>
      <c r="L918" s="16" t="s">
        <v>18</v>
      </c>
      <c r="M918" s="16" t="s">
        <v>22</v>
      </c>
      <c r="N918" s="39"/>
    </row>
    <row r="919" spans="1:14" s="26" customFormat="1" ht="30.75" customHeight="1">
      <c r="A919" s="179" t="s">
        <v>97</v>
      </c>
      <c r="B919" s="76"/>
      <c r="C919" s="492"/>
      <c r="D919" s="492"/>
      <c r="E919" s="492"/>
      <c r="F919" s="492"/>
      <c r="G919" s="492"/>
      <c r="H919" s="496"/>
      <c r="I919" s="24"/>
      <c r="J919" s="24"/>
      <c r="K919" s="25">
        <f>SUM(J859:J918)</f>
        <v>0</v>
      </c>
      <c r="L919" s="23"/>
      <c r="M919" s="23"/>
      <c r="N919" s="42"/>
    </row>
    <row r="920" spans="1:14" s="26" customFormat="1" ht="30.75" customHeight="1">
      <c r="A920" s="178" t="s">
        <v>948</v>
      </c>
      <c r="B920" s="75" t="s">
        <v>949</v>
      </c>
      <c r="C920" s="176" t="s">
        <v>17</v>
      </c>
      <c r="D920" s="176"/>
      <c r="E920" s="176"/>
      <c r="F920" s="176"/>
      <c r="G920" s="176"/>
      <c r="H920" s="499">
        <f>SUM(Tabla132112415[[#This Row],[PRIMER TRIMESTRE]:[CUARTO TRIMESTRE]])</f>
        <v>0</v>
      </c>
      <c r="I920" s="17">
        <v>227000</v>
      </c>
      <c r="J920" s="17">
        <f t="shared" ref="J920:J931" si="25">+H920*I920</f>
        <v>0</v>
      </c>
      <c r="K920" s="17"/>
      <c r="L920" s="16" t="s">
        <v>18</v>
      </c>
      <c r="M920" s="16" t="s">
        <v>22</v>
      </c>
      <c r="N920" s="16"/>
    </row>
    <row r="921" spans="1:14" s="26" customFormat="1" ht="30.75" customHeight="1">
      <c r="A921" s="178" t="s">
        <v>948</v>
      </c>
      <c r="B921" s="75" t="s">
        <v>950</v>
      </c>
      <c r="C921" s="176" t="s">
        <v>17</v>
      </c>
      <c r="D921" s="176"/>
      <c r="E921" s="176"/>
      <c r="F921" s="176"/>
      <c r="G921" s="176"/>
      <c r="H921" s="499">
        <f>SUM(Tabla132112415[[#This Row],[PRIMER TRIMESTRE]:[CUARTO TRIMESTRE]])</f>
        <v>0</v>
      </c>
      <c r="I921" s="17">
        <v>1118000</v>
      </c>
      <c r="J921" s="17">
        <f t="shared" si="25"/>
        <v>0</v>
      </c>
      <c r="K921" s="17"/>
      <c r="L921" s="16" t="s">
        <v>18</v>
      </c>
      <c r="M921" s="16" t="s">
        <v>22</v>
      </c>
      <c r="N921" s="16"/>
    </row>
    <row r="922" spans="1:14" s="26" customFormat="1" ht="30.75" customHeight="1">
      <c r="A922" s="178" t="s">
        <v>948</v>
      </c>
      <c r="B922" s="75" t="s">
        <v>952</v>
      </c>
      <c r="C922" s="176" t="s">
        <v>17</v>
      </c>
      <c r="D922" s="176"/>
      <c r="E922" s="176"/>
      <c r="F922" s="176"/>
      <c r="G922" s="176"/>
      <c r="H922" s="499">
        <f>SUM(Tabla132112415[[#This Row],[PRIMER TRIMESTRE]:[CUARTO TRIMESTRE]])</f>
        <v>0</v>
      </c>
      <c r="I922" s="17">
        <v>3200</v>
      </c>
      <c r="J922" s="17">
        <f t="shared" si="25"/>
        <v>0</v>
      </c>
      <c r="K922" s="17"/>
      <c r="L922" s="16" t="s">
        <v>18</v>
      </c>
      <c r="M922" s="16" t="s">
        <v>22</v>
      </c>
      <c r="N922" s="39"/>
    </row>
    <row r="923" spans="1:14" s="26" customFormat="1" ht="30.75" customHeight="1">
      <c r="A923" s="178" t="s">
        <v>948</v>
      </c>
      <c r="B923" s="75" t="s">
        <v>953</v>
      </c>
      <c r="C923" s="176" t="s">
        <v>17</v>
      </c>
      <c r="D923" s="176"/>
      <c r="E923" s="176"/>
      <c r="F923" s="176"/>
      <c r="G923" s="176"/>
      <c r="H923" s="499">
        <f>SUM(Tabla132112415[[#This Row],[PRIMER TRIMESTRE]:[CUARTO TRIMESTRE]])</f>
        <v>0</v>
      </c>
      <c r="I923" s="17">
        <v>96.7</v>
      </c>
      <c r="J923" s="17">
        <f t="shared" si="25"/>
        <v>0</v>
      </c>
      <c r="K923" s="17"/>
      <c r="L923" s="16" t="s">
        <v>18</v>
      </c>
      <c r="M923" s="16" t="s">
        <v>22</v>
      </c>
      <c r="N923" s="39"/>
    </row>
    <row r="924" spans="1:14" s="26" customFormat="1" ht="30.75" customHeight="1">
      <c r="A924" s="178" t="s">
        <v>948</v>
      </c>
      <c r="B924" s="75" t="s">
        <v>954</v>
      </c>
      <c r="C924" s="176" t="s">
        <v>17</v>
      </c>
      <c r="D924" s="176"/>
      <c r="E924" s="176"/>
      <c r="F924" s="176"/>
      <c r="G924" s="176"/>
      <c r="H924" s="499">
        <f>SUM(Tabla132112415[[#This Row],[PRIMER TRIMESTRE]:[CUARTO TRIMESTRE]])</f>
        <v>0</v>
      </c>
      <c r="I924" s="17">
        <v>113850</v>
      </c>
      <c r="J924" s="17">
        <f t="shared" si="25"/>
        <v>0</v>
      </c>
      <c r="K924" s="17"/>
      <c r="L924" s="16" t="s">
        <v>18</v>
      </c>
      <c r="M924" s="16" t="s">
        <v>22</v>
      </c>
      <c r="N924" s="39"/>
    </row>
    <row r="925" spans="1:14" s="26" customFormat="1" ht="30.75" customHeight="1">
      <c r="A925" s="178" t="s">
        <v>948</v>
      </c>
      <c r="B925" s="75" t="s">
        <v>955</v>
      </c>
      <c r="C925" s="176" t="s">
        <v>17</v>
      </c>
      <c r="D925" s="176"/>
      <c r="E925" s="176"/>
      <c r="F925" s="176"/>
      <c r="G925" s="176"/>
      <c r="H925" s="499">
        <f>SUM(Tabla132112415[[#This Row],[PRIMER TRIMESTRE]:[CUARTO TRIMESTRE]])</f>
        <v>0</v>
      </c>
      <c r="I925" s="17">
        <v>57914</v>
      </c>
      <c r="J925" s="17">
        <f t="shared" si="25"/>
        <v>0</v>
      </c>
      <c r="K925" s="17"/>
      <c r="L925" s="16" t="s">
        <v>18</v>
      </c>
      <c r="M925" s="16" t="s">
        <v>22</v>
      </c>
      <c r="N925" s="39"/>
    </row>
    <row r="926" spans="1:14" s="26" customFormat="1" ht="30.75" customHeight="1">
      <c r="A926" s="178" t="s">
        <v>948</v>
      </c>
      <c r="B926" s="75" t="s">
        <v>956</v>
      </c>
      <c r="C926" s="176" t="s">
        <v>17</v>
      </c>
      <c r="D926" s="176"/>
      <c r="E926" s="176"/>
      <c r="F926" s="176"/>
      <c r="G926" s="176"/>
      <c r="H926" s="499">
        <f>SUM(Tabla132112415[[#This Row],[PRIMER TRIMESTRE]:[CUARTO TRIMESTRE]])</f>
        <v>0</v>
      </c>
      <c r="I926" s="17">
        <v>908000</v>
      </c>
      <c r="J926" s="17">
        <f t="shared" si="25"/>
        <v>0</v>
      </c>
      <c r="K926" s="17"/>
      <c r="L926" s="16" t="s">
        <v>18</v>
      </c>
      <c r="M926" s="16" t="s">
        <v>22</v>
      </c>
      <c r="N926" s="39"/>
    </row>
    <row r="927" spans="1:14" s="26" customFormat="1" ht="30.75" customHeight="1">
      <c r="A927" s="178" t="s">
        <v>948</v>
      </c>
      <c r="B927" s="75" t="s">
        <v>957</v>
      </c>
      <c r="C927" s="176" t="s">
        <v>17</v>
      </c>
      <c r="D927" s="176"/>
      <c r="E927" s="176"/>
      <c r="F927" s="176"/>
      <c r="G927" s="176"/>
      <c r="H927" s="499">
        <f>SUM(Tabla132112415[[#This Row],[PRIMER TRIMESTRE]:[CUARTO TRIMESTRE]])</f>
        <v>0</v>
      </c>
      <c r="I927" s="17">
        <v>10000</v>
      </c>
      <c r="J927" s="17">
        <f t="shared" si="25"/>
        <v>0</v>
      </c>
      <c r="K927" s="17"/>
      <c r="L927" s="16" t="s">
        <v>18</v>
      </c>
      <c r="M927" s="16" t="s">
        <v>22</v>
      </c>
      <c r="N927" s="39"/>
    </row>
    <row r="928" spans="1:14" s="26" customFormat="1" ht="30.75" customHeight="1">
      <c r="A928" s="178" t="s">
        <v>948</v>
      </c>
      <c r="B928" s="75" t="s">
        <v>958</v>
      </c>
      <c r="C928" s="176" t="s">
        <v>17</v>
      </c>
      <c r="D928" s="176"/>
      <c r="E928" s="176"/>
      <c r="F928" s="176"/>
      <c r="G928" s="176"/>
      <c r="H928" s="499">
        <f>SUM(Tabla132112415[[#This Row],[PRIMER TRIMESTRE]:[CUARTO TRIMESTRE]])</f>
        <v>0</v>
      </c>
      <c r="I928" s="17">
        <v>37500</v>
      </c>
      <c r="J928" s="17">
        <f t="shared" si="25"/>
        <v>0</v>
      </c>
      <c r="K928" s="17"/>
      <c r="L928" s="16" t="s">
        <v>18</v>
      </c>
      <c r="M928" s="16" t="s">
        <v>22</v>
      </c>
      <c r="N928" s="39"/>
    </row>
    <row r="929" spans="1:14" s="26" customFormat="1" ht="30.75" customHeight="1">
      <c r="A929" s="178" t="s">
        <v>948</v>
      </c>
      <c r="B929" s="75" t="s">
        <v>951</v>
      </c>
      <c r="C929" s="176" t="s">
        <v>17</v>
      </c>
      <c r="D929" s="176"/>
      <c r="E929" s="176"/>
      <c r="F929" s="176"/>
      <c r="G929" s="176"/>
      <c r="H929" s="499">
        <f>SUM(Tabla132112415[[#This Row],[PRIMER TRIMESTRE]:[CUARTO TRIMESTRE]])</f>
        <v>0</v>
      </c>
      <c r="I929" s="17">
        <v>120</v>
      </c>
      <c r="J929" s="17">
        <f t="shared" si="25"/>
        <v>0</v>
      </c>
      <c r="K929" s="17"/>
      <c r="L929" s="16" t="s">
        <v>18</v>
      </c>
      <c r="M929" s="16" t="s">
        <v>22</v>
      </c>
      <c r="N929" s="39"/>
    </row>
    <row r="930" spans="1:14" s="26" customFormat="1" ht="30.75" customHeight="1">
      <c r="A930" s="178" t="s">
        <v>948</v>
      </c>
      <c r="B930" s="75" t="s">
        <v>959</v>
      </c>
      <c r="C930" s="176" t="s">
        <v>17</v>
      </c>
      <c r="D930" s="176">
        <v>2</v>
      </c>
      <c r="E930" s="176"/>
      <c r="F930" s="176"/>
      <c r="G930" s="176"/>
      <c r="H930" s="499">
        <f>SUM(Tabla132112415[[#This Row],[PRIMER TRIMESTRE]:[CUARTO TRIMESTRE]])</f>
        <v>2</v>
      </c>
      <c r="I930" s="17">
        <v>2627</v>
      </c>
      <c r="J930" s="17">
        <f t="shared" si="25"/>
        <v>5254</v>
      </c>
      <c r="K930" s="17"/>
      <c r="L930" s="16" t="s">
        <v>18</v>
      </c>
      <c r="M930" s="16" t="s">
        <v>22</v>
      </c>
      <c r="N930" s="39"/>
    </row>
    <row r="931" spans="1:14" s="12" customFormat="1" ht="30.75" customHeight="1">
      <c r="A931" s="178" t="s">
        <v>948</v>
      </c>
      <c r="B931" s="75" t="s">
        <v>963</v>
      </c>
      <c r="C931" s="176" t="s">
        <v>17</v>
      </c>
      <c r="D931" s="176"/>
      <c r="E931" s="176"/>
      <c r="F931" s="176"/>
      <c r="G931" s="176"/>
      <c r="H931" s="499">
        <f>SUM(Tabla132112415[[#This Row],[PRIMER TRIMESTRE]:[CUARTO TRIMESTRE]])</f>
        <v>0</v>
      </c>
      <c r="I931" s="17">
        <v>2552.54</v>
      </c>
      <c r="J931" s="17">
        <f t="shared" si="25"/>
        <v>0</v>
      </c>
      <c r="K931" s="17"/>
      <c r="L931" s="16" t="s">
        <v>18</v>
      </c>
      <c r="M931" s="16" t="s">
        <v>22</v>
      </c>
      <c r="N931" s="39"/>
    </row>
    <row r="932" spans="1:14" s="12" customFormat="1" ht="30.75" customHeight="1">
      <c r="A932" s="179" t="s">
        <v>948</v>
      </c>
      <c r="B932" s="76"/>
      <c r="C932" s="492"/>
      <c r="D932" s="492"/>
      <c r="E932" s="492"/>
      <c r="F932" s="492"/>
      <c r="G932" s="492"/>
      <c r="H932" s="492"/>
      <c r="I932" s="42"/>
      <c r="J932" s="42"/>
      <c r="K932" s="25">
        <f>SUM(J920:J931)</f>
        <v>5254</v>
      </c>
      <c r="L932" s="23"/>
      <c r="M932" s="23"/>
      <c r="N932" s="42"/>
    </row>
    <row r="933" spans="1:14" s="12" customFormat="1" ht="30.75" customHeight="1">
      <c r="A933" s="178" t="s">
        <v>99</v>
      </c>
      <c r="B933" s="75" t="s">
        <v>1856</v>
      </c>
      <c r="C933" s="176" t="s">
        <v>17</v>
      </c>
      <c r="D933" s="75"/>
      <c r="E933" s="75"/>
      <c r="F933" s="75"/>
      <c r="G933" s="75"/>
      <c r="H933" s="75">
        <v>0</v>
      </c>
      <c r="I933" s="75">
        <v>0</v>
      </c>
      <c r="J933" s="75">
        <v>0</v>
      </c>
      <c r="K933" s="75"/>
      <c r="L933" s="16" t="s">
        <v>18</v>
      </c>
      <c r="M933" s="16" t="s">
        <v>22</v>
      </c>
      <c r="N933" s="39" t="s">
        <v>418</v>
      </c>
    </row>
    <row r="934" spans="1:14" s="12" customFormat="1" ht="37.5" customHeight="1">
      <c r="A934" s="178" t="s">
        <v>99</v>
      </c>
      <c r="B934" s="75" t="s">
        <v>1857</v>
      </c>
      <c r="C934" s="176" t="s">
        <v>17</v>
      </c>
      <c r="D934" s="504"/>
      <c r="E934" s="504"/>
      <c r="F934" s="504"/>
      <c r="G934" s="504"/>
      <c r="H934" s="504">
        <v>0</v>
      </c>
      <c r="I934" s="178">
        <v>0</v>
      </c>
      <c r="J934" s="178">
        <v>0</v>
      </c>
      <c r="K934" s="178"/>
      <c r="L934" s="16" t="s">
        <v>18</v>
      </c>
      <c r="M934" s="16" t="s">
        <v>22</v>
      </c>
      <c r="N934" s="39" t="s">
        <v>418</v>
      </c>
    </row>
    <row r="935" spans="1:14" s="12" customFormat="1" ht="30.75" customHeight="1">
      <c r="A935" s="178" t="s">
        <v>99</v>
      </c>
      <c r="B935" s="75" t="s">
        <v>1858</v>
      </c>
      <c r="C935" s="176" t="s">
        <v>17</v>
      </c>
      <c r="D935" s="75"/>
      <c r="E935" s="75"/>
      <c r="F935" s="75"/>
      <c r="G935" s="75"/>
      <c r="H935" s="75">
        <v>0</v>
      </c>
      <c r="I935" s="75">
        <v>0</v>
      </c>
      <c r="J935" s="75">
        <v>0</v>
      </c>
      <c r="K935" s="75"/>
      <c r="L935" s="16" t="s">
        <v>18</v>
      </c>
      <c r="M935" s="16" t="s">
        <v>22</v>
      </c>
      <c r="N935" s="39" t="s">
        <v>418</v>
      </c>
    </row>
    <row r="936" spans="1:14" s="12" customFormat="1" ht="30.75" customHeight="1">
      <c r="A936" s="178" t="s">
        <v>99</v>
      </c>
      <c r="B936" s="75" t="s">
        <v>1859</v>
      </c>
      <c r="C936" s="176" t="s">
        <v>290</v>
      </c>
      <c r="D936" s="75"/>
      <c r="E936" s="75"/>
      <c r="F936" s="75"/>
      <c r="G936" s="75"/>
      <c r="H936" s="75">
        <v>0</v>
      </c>
      <c r="I936" s="75">
        <v>0</v>
      </c>
      <c r="J936" s="75">
        <v>0</v>
      </c>
      <c r="K936" s="75"/>
      <c r="L936" s="16" t="s">
        <v>18</v>
      </c>
      <c r="M936" s="16" t="s">
        <v>22</v>
      </c>
      <c r="N936" s="39" t="s">
        <v>418</v>
      </c>
    </row>
    <row r="937" spans="1:14" s="12" customFormat="1" ht="30.75" customHeight="1">
      <c r="A937" s="178" t="s">
        <v>99</v>
      </c>
      <c r="B937" s="75" t="s">
        <v>1650</v>
      </c>
      <c r="C937" s="176" t="s">
        <v>290</v>
      </c>
      <c r="D937" s="75"/>
      <c r="E937" s="75"/>
      <c r="F937" s="75"/>
      <c r="G937" s="75"/>
      <c r="H937" s="75">
        <v>0</v>
      </c>
      <c r="I937" s="75">
        <v>0</v>
      </c>
      <c r="J937" s="75">
        <v>0</v>
      </c>
      <c r="K937" s="75"/>
      <c r="L937" s="16" t="s">
        <v>18</v>
      </c>
      <c r="M937" s="16" t="s">
        <v>22</v>
      </c>
      <c r="N937" s="39" t="s">
        <v>418</v>
      </c>
    </row>
    <row r="938" spans="1:14" s="12" customFormat="1" ht="30.75" customHeight="1">
      <c r="A938" s="178" t="s">
        <v>99</v>
      </c>
      <c r="B938" s="75" t="s">
        <v>306</v>
      </c>
      <c r="C938" s="176" t="s">
        <v>33</v>
      </c>
      <c r="D938" s="176"/>
      <c r="E938" s="176"/>
      <c r="F938" s="176"/>
      <c r="G938" s="176"/>
      <c r="H938" s="499">
        <f>SUM(Tabla132112415[[#This Row],[PRIMER TRIMESTRE]:[CUARTO TRIMESTRE]])</f>
        <v>0</v>
      </c>
      <c r="I938" s="17">
        <v>260</v>
      </c>
      <c r="J938" s="17">
        <f>+Tabla132112415[[#This Row],[CANTIDAD TOTAL]]*Tabla132112415[[#This Row],[PRECIO UNITARIO ESTIMADO]]</f>
        <v>0</v>
      </c>
      <c r="K938" s="17"/>
      <c r="L938" s="16" t="s">
        <v>18</v>
      </c>
      <c r="M938" s="16" t="s">
        <v>22</v>
      </c>
      <c r="N938" s="39" t="s">
        <v>418</v>
      </c>
    </row>
    <row r="939" spans="1:14" s="12" customFormat="1" ht="30.75" customHeight="1">
      <c r="A939" s="178" t="s">
        <v>99</v>
      </c>
      <c r="B939" s="75" t="s">
        <v>307</v>
      </c>
      <c r="C939" s="176" t="s">
        <v>308</v>
      </c>
      <c r="D939" s="176"/>
      <c r="E939" s="176"/>
      <c r="F939" s="176"/>
      <c r="G939" s="176"/>
      <c r="H939" s="499">
        <f>SUM(Tabla132112415[[#This Row],[PRIMER TRIMESTRE]:[CUARTO TRIMESTRE]])</f>
        <v>0</v>
      </c>
      <c r="I939" s="17">
        <v>1237.82</v>
      </c>
      <c r="J939" s="17">
        <f>+Tabla132112415[[#This Row],[CANTIDAD TOTAL]]*Tabla132112415[[#This Row],[PRECIO UNITARIO ESTIMADO]]</f>
        <v>0</v>
      </c>
      <c r="K939" s="17"/>
      <c r="L939" s="16" t="s">
        <v>18</v>
      </c>
      <c r="M939" s="16" t="s">
        <v>22</v>
      </c>
      <c r="N939" s="39" t="s">
        <v>418</v>
      </c>
    </row>
    <row r="940" spans="1:14" s="12" customFormat="1" ht="30.75" customHeight="1">
      <c r="A940" s="178" t="s">
        <v>99</v>
      </c>
      <c r="B940" s="75" t="s">
        <v>309</v>
      </c>
      <c r="C940" s="176" t="s">
        <v>308</v>
      </c>
      <c r="D940" s="176"/>
      <c r="E940" s="176"/>
      <c r="F940" s="176"/>
      <c r="G940" s="176"/>
      <c r="H940" s="499">
        <f>SUM(Tabla132112415[[#This Row],[PRIMER TRIMESTRE]:[CUARTO TRIMESTRE]])</f>
        <v>0</v>
      </c>
      <c r="I940" s="17">
        <v>1770</v>
      </c>
      <c r="J940" s="17">
        <f>+Tabla132112415[[#This Row],[CANTIDAD TOTAL]]*Tabla132112415[[#This Row],[PRECIO UNITARIO ESTIMADO]]</f>
        <v>0</v>
      </c>
      <c r="K940" s="17"/>
      <c r="L940" s="16" t="s">
        <v>18</v>
      </c>
      <c r="M940" s="16" t="s">
        <v>22</v>
      </c>
      <c r="N940" s="39" t="s">
        <v>418</v>
      </c>
    </row>
    <row r="941" spans="1:14" s="12" customFormat="1" ht="30.75" customHeight="1">
      <c r="A941" s="178" t="s">
        <v>99</v>
      </c>
      <c r="B941" s="75" t="s">
        <v>230</v>
      </c>
      <c r="C941" s="176" t="s">
        <v>17</v>
      </c>
      <c r="D941" s="176"/>
      <c r="E941" s="176"/>
      <c r="F941" s="176"/>
      <c r="G941" s="176"/>
      <c r="H941" s="499">
        <f>SUM(Tabla132112415[[#This Row],[PRIMER TRIMESTRE]:[CUARTO TRIMESTRE]])</f>
        <v>0</v>
      </c>
      <c r="I941" s="17">
        <v>1740</v>
      </c>
      <c r="J941" s="17">
        <f>+Tabla132112415[[#This Row],[CANTIDAD TOTAL]]*Tabla132112415[[#This Row],[PRECIO UNITARIO ESTIMADO]]</f>
        <v>0</v>
      </c>
      <c r="K941" s="17"/>
      <c r="L941" s="16" t="s">
        <v>18</v>
      </c>
      <c r="M941" s="16" t="s">
        <v>22</v>
      </c>
      <c r="N941" s="39" t="s">
        <v>418</v>
      </c>
    </row>
    <row r="942" spans="1:14" s="12" customFormat="1" ht="30.75" customHeight="1">
      <c r="A942" s="178" t="s">
        <v>99</v>
      </c>
      <c r="B942" s="75" t="s">
        <v>310</v>
      </c>
      <c r="C942" s="176" t="s">
        <v>308</v>
      </c>
      <c r="D942" s="176"/>
      <c r="E942" s="176"/>
      <c r="F942" s="176"/>
      <c r="G942" s="176"/>
      <c r="H942" s="499">
        <f>SUM(Tabla132112415[[#This Row],[PRIMER TRIMESTRE]:[CUARTO TRIMESTRE]])</f>
        <v>0</v>
      </c>
      <c r="I942" s="17">
        <v>1298</v>
      </c>
      <c r="J942" s="17">
        <f>+Tabla132112415[[#This Row],[CANTIDAD TOTAL]]*Tabla132112415[[#This Row],[PRECIO UNITARIO ESTIMADO]]</f>
        <v>0</v>
      </c>
      <c r="K942" s="17"/>
      <c r="L942" s="16" t="s">
        <v>18</v>
      </c>
      <c r="M942" s="16" t="s">
        <v>22</v>
      </c>
      <c r="N942" s="39" t="s">
        <v>418</v>
      </c>
    </row>
    <row r="943" spans="1:14" s="12" customFormat="1" ht="30.75" customHeight="1">
      <c r="A943" s="178" t="s">
        <v>99</v>
      </c>
      <c r="B943" s="75" t="s">
        <v>311</v>
      </c>
      <c r="C943" s="176" t="s">
        <v>312</v>
      </c>
      <c r="D943" s="176"/>
      <c r="E943" s="176"/>
      <c r="F943" s="176"/>
      <c r="G943" s="176"/>
      <c r="H943" s="499">
        <f>SUM(Tabla132112415[[#This Row],[PRIMER TRIMESTRE]:[CUARTO TRIMESTRE]])</f>
        <v>0</v>
      </c>
      <c r="I943" s="17">
        <v>3418.58</v>
      </c>
      <c r="J943" s="17">
        <f>+Tabla132112415[[#This Row],[CANTIDAD TOTAL]]*Tabla132112415[[#This Row],[PRECIO UNITARIO ESTIMADO]]</f>
        <v>0</v>
      </c>
      <c r="K943" s="17"/>
      <c r="L943" s="16" t="s">
        <v>18</v>
      </c>
      <c r="M943" s="16" t="s">
        <v>22</v>
      </c>
      <c r="N943" s="39" t="s">
        <v>418</v>
      </c>
    </row>
    <row r="944" spans="1:14" s="12" customFormat="1" ht="30.75" customHeight="1">
      <c r="A944" s="178" t="s">
        <v>99</v>
      </c>
      <c r="B944" s="75" t="s">
        <v>314</v>
      </c>
      <c r="C944" s="176" t="s">
        <v>315</v>
      </c>
      <c r="D944" s="176"/>
      <c r="E944" s="176"/>
      <c r="F944" s="176"/>
      <c r="G944" s="176"/>
      <c r="H944" s="499">
        <f>SUM(Tabla132112415[[#This Row],[PRIMER TRIMESTRE]:[CUARTO TRIMESTRE]])</f>
        <v>0</v>
      </c>
      <c r="I944" s="17">
        <v>1569.4</v>
      </c>
      <c r="J944" s="17">
        <f>+Tabla132112415[[#This Row],[CANTIDAD TOTAL]]*Tabla132112415[[#This Row],[PRECIO UNITARIO ESTIMADO]]</f>
        <v>0</v>
      </c>
      <c r="K944" s="17"/>
      <c r="L944" s="16" t="s">
        <v>18</v>
      </c>
      <c r="M944" s="16" t="s">
        <v>22</v>
      </c>
      <c r="N944" s="39" t="s">
        <v>418</v>
      </c>
    </row>
    <row r="945" spans="1:14" s="12" customFormat="1" ht="30">
      <c r="A945" s="178" t="s">
        <v>99</v>
      </c>
      <c r="B945" s="75" t="s">
        <v>313</v>
      </c>
      <c r="C945" s="176" t="s">
        <v>308</v>
      </c>
      <c r="D945" s="176"/>
      <c r="E945" s="176"/>
      <c r="F945" s="176"/>
      <c r="G945" s="176"/>
      <c r="H945" s="499">
        <f>SUM(Tabla132112415[[#This Row],[PRIMER TRIMESTRE]:[CUARTO TRIMESTRE]])</f>
        <v>0</v>
      </c>
      <c r="I945" s="17">
        <v>3651.69</v>
      </c>
      <c r="J945" s="17">
        <f>+Tabla132112415[[#This Row],[CANTIDAD TOTAL]]*Tabla132112415[[#This Row],[PRECIO UNITARIO ESTIMADO]]</f>
        <v>0</v>
      </c>
      <c r="K945" s="17"/>
      <c r="L945" s="16" t="s">
        <v>18</v>
      </c>
      <c r="M945" s="16" t="s">
        <v>22</v>
      </c>
      <c r="N945" s="39" t="s">
        <v>418</v>
      </c>
    </row>
    <row r="946" spans="1:14" s="12" customFormat="1" ht="30">
      <c r="A946" s="178" t="s">
        <v>99</v>
      </c>
      <c r="B946" s="75" t="s">
        <v>231</v>
      </c>
      <c r="C946" s="176" t="s">
        <v>17</v>
      </c>
      <c r="D946" s="176"/>
      <c r="E946" s="176"/>
      <c r="F946" s="176"/>
      <c r="G946" s="176"/>
      <c r="H946" s="499">
        <f>SUM(Tabla132112415[[#This Row],[PRIMER TRIMESTRE]:[CUARTO TRIMESTRE]])</f>
        <v>0</v>
      </c>
      <c r="I946" s="17">
        <v>574.20000000000005</v>
      </c>
      <c r="J946" s="17">
        <f>+Tabla132112415[[#This Row],[CANTIDAD TOTAL]]*Tabla132112415[[#This Row],[PRECIO UNITARIO ESTIMADO]]</f>
        <v>0</v>
      </c>
      <c r="K946" s="17"/>
      <c r="L946" s="16" t="s">
        <v>18</v>
      </c>
      <c r="M946" s="16" t="s">
        <v>22</v>
      </c>
      <c r="N946" s="39" t="s">
        <v>418</v>
      </c>
    </row>
    <row r="947" spans="1:14" s="12" customFormat="1" ht="30">
      <c r="A947" s="178" t="s">
        <v>99</v>
      </c>
      <c r="B947" s="75" t="s">
        <v>232</v>
      </c>
      <c r="C947" s="176" t="s">
        <v>17</v>
      </c>
      <c r="D947" s="176"/>
      <c r="E947" s="176"/>
      <c r="F947" s="176"/>
      <c r="G947" s="176"/>
      <c r="H947" s="499">
        <f>SUM(Tabla132112415[[#This Row],[PRIMER TRIMESTRE]:[CUARTO TRIMESTRE]])</f>
        <v>0</v>
      </c>
      <c r="I947" s="17">
        <v>1035</v>
      </c>
      <c r="J947" s="17">
        <f>+Tabla132112415[[#This Row],[CANTIDAD TOTAL]]*Tabla132112415[[#This Row],[PRECIO UNITARIO ESTIMADO]]</f>
        <v>0</v>
      </c>
      <c r="K947" s="17"/>
      <c r="L947" s="16" t="s">
        <v>18</v>
      </c>
      <c r="M947" s="16" t="s">
        <v>22</v>
      </c>
      <c r="N947" s="39" t="s">
        <v>418</v>
      </c>
    </row>
    <row r="948" spans="1:14" s="12" customFormat="1" ht="30">
      <c r="A948" s="178" t="s">
        <v>99</v>
      </c>
      <c r="B948" s="75" t="s">
        <v>1031</v>
      </c>
      <c r="C948" s="176" t="s">
        <v>1037</v>
      </c>
      <c r="D948" s="176"/>
      <c r="E948" s="176"/>
      <c r="F948" s="176"/>
      <c r="G948" s="176"/>
      <c r="H948" s="499">
        <f>SUM(Tabla132112415[[#This Row],[PRIMER TRIMESTRE]:[CUARTO TRIMESTRE]])</f>
        <v>0</v>
      </c>
      <c r="I948" s="17">
        <v>3800</v>
      </c>
      <c r="J948" s="17">
        <f t="shared" ref="J948:J1011" si="26">+H948*I948</f>
        <v>0</v>
      </c>
      <c r="K948" s="17"/>
      <c r="L948" s="16" t="s">
        <v>18</v>
      </c>
      <c r="M948" s="16" t="s">
        <v>22</v>
      </c>
      <c r="N948" s="39" t="s">
        <v>418</v>
      </c>
    </row>
    <row r="949" spans="1:14" s="12" customFormat="1" ht="30">
      <c r="A949" s="178" t="s">
        <v>99</v>
      </c>
      <c r="B949" s="75" t="s">
        <v>1032</v>
      </c>
      <c r="C949" s="176" t="s">
        <v>1037</v>
      </c>
      <c r="D949" s="176"/>
      <c r="E949" s="176"/>
      <c r="F949" s="176"/>
      <c r="G949" s="176"/>
      <c r="H949" s="499">
        <f>SUM(Tabla132112415[[#This Row],[PRIMER TRIMESTRE]:[CUARTO TRIMESTRE]])</f>
        <v>0</v>
      </c>
      <c r="I949" s="17">
        <v>11200</v>
      </c>
      <c r="J949" s="17">
        <f t="shared" si="26"/>
        <v>0</v>
      </c>
      <c r="K949" s="17"/>
      <c r="L949" s="16" t="s">
        <v>18</v>
      </c>
      <c r="M949" s="16" t="s">
        <v>22</v>
      </c>
      <c r="N949" s="39" t="s">
        <v>418</v>
      </c>
    </row>
    <row r="950" spans="1:14" s="12" customFormat="1" ht="30">
      <c r="A950" s="178" t="s">
        <v>99</v>
      </c>
      <c r="B950" s="75" t="s">
        <v>1033</v>
      </c>
      <c r="C950" s="176" t="s">
        <v>1037</v>
      </c>
      <c r="D950" s="176"/>
      <c r="E950" s="176"/>
      <c r="F950" s="176"/>
      <c r="G950" s="176"/>
      <c r="H950" s="499">
        <f>SUM(Tabla132112415[[#This Row],[PRIMER TRIMESTRE]:[CUARTO TRIMESTRE]])</f>
        <v>0</v>
      </c>
      <c r="I950" s="17">
        <v>3700</v>
      </c>
      <c r="J950" s="17">
        <f t="shared" si="26"/>
        <v>0</v>
      </c>
      <c r="K950" s="17"/>
      <c r="L950" s="16" t="s">
        <v>18</v>
      </c>
      <c r="M950" s="16" t="s">
        <v>22</v>
      </c>
      <c r="N950" s="39" t="s">
        <v>418</v>
      </c>
    </row>
    <row r="951" spans="1:14" s="12" customFormat="1" ht="30">
      <c r="A951" s="178" t="s">
        <v>99</v>
      </c>
      <c r="B951" s="75" t="s">
        <v>1034</v>
      </c>
      <c r="C951" s="176" t="s">
        <v>1037</v>
      </c>
      <c r="D951" s="176"/>
      <c r="E951" s="176"/>
      <c r="F951" s="176"/>
      <c r="G951" s="176"/>
      <c r="H951" s="499">
        <f>SUM(Tabla132112415[[#This Row],[PRIMER TRIMESTRE]:[CUARTO TRIMESTRE]])</f>
        <v>0</v>
      </c>
      <c r="I951" s="17">
        <v>4500</v>
      </c>
      <c r="J951" s="17">
        <f t="shared" si="26"/>
        <v>0</v>
      </c>
      <c r="K951" s="17"/>
      <c r="L951" s="16" t="s">
        <v>15</v>
      </c>
      <c r="M951" s="16" t="s">
        <v>22</v>
      </c>
      <c r="N951" s="39" t="s">
        <v>418</v>
      </c>
    </row>
    <row r="952" spans="1:14" s="12" customFormat="1" ht="30">
      <c r="A952" s="178" t="s">
        <v>99</v>
      </c>
      <c r="B952" s="75" t="s">
        <v>1035</v>
      </c>
      <c r="C952" s="176" t="s">
        <v>1037</v>
      </c>
      <c r="D952" s="176"/>
      <c r="E952" s="176"/>
      <c r="F952" s="176"/>
      <c r="G952" s="176"/>
      <c r="H952" s="499">
        <f>SUM(Tabla132112415[[#This Row],[PRIMER TRIMESTRE]:[CUARTO TRIMESTRE]])</f>
        <v>0</v>
      </c>
      <c r="I952" s="17">
        <v>2800</v>
      </c>
      <c r="J952" s="17">
        <f t="shared" si="26"/>
        <v>0</v>
      </c>
      <c r="K952" s="17"/>
      <c r="L952" s="16" t="s">
        <v>15</v>
      </c>
      <c r="M952" s="16" t="s">
        <v>22</v>
      </c>
      <c r="N952" s="39" t="s">
        <v>418</v>
      </c>
    </row>
    <row r="953" spans="1:14" s="12" customFormat="1" ht="30">
      <c r="A953" s="178" t="s">
        <v>99</v>
      </c>
      <c r="B953" s="75" t="s">
        <v>1036</v>
      </c>
      <c r="C953" s="176" t="s">
        <v>1037</v>
      </c>
      <c r="D953" s="176"/>
      <c r="E953" s="176"/>
      <c r="F953" s="176"/>
      <c r="G953" s="176"/>
      <c r="H953" s="499">
        <f>SUM(Tabla132112415[[#This Row],[PRIMER TRIMESTRE]:[CUARTO TRIMESTRE]])</f>
        <v>0</v>
      </c>
      <c r="I953" s="17">
        <v>3500</v>
      </c>
      <c r="J953" s="17">
        <f t="shared" si="26"/>
        <v>0</v>
      </c>
      <c r="K953" s="17"/>
      <c r="L953" s="16" t="s">
        <v>18</v>
      </c>
      <c r="M953" s="16" t="s">
        <v>22</v>
      </c>
      <c r="N953" s="39" t="s">
        <v>418</v>
      </c>
    </row>
    <row r="954" spans="1:14" s="12" customFormat="1" ht="30">
      <c r="A954" s="178" t="s">
        <v>99</v>
      </c>
      <c r="B954" s="75" t="s">
        <v>1038</v>
      </c>
      <c r="C954" s="176" t="s">
        <v>1037</v>
      </c>
      <c r="D954" s="176"/>
      <c r="E954" s="176"/>
      <c r="F954" s="176"/>
      <c r="G954" s="176"/>
      <c r="H954" s="499">
        <f>SUM(Tabla132112415[[#This Row],[PRIMER TRIMESTRE]:[CUARTO TRIMESTRE]])</f>
        <v>0</v>
      </c>
      <c r="I954" s="17">
        <v>2500</v>
      </c>
      <c r="J954" s="17">
        <f t="shared" si="26"/>
        <v>0</v>
      </c>
      <c r="K954" s="17"/>
      <c r="L954" s="16" t="s">
        <v>18</v>
      </c>
      <c r="M954" s="16" t="s">
        <v>22</v>
      </c>
      <c r="N954" s="39" t="s">
        <v>418</v>
      </c>
    </row>
    <row r="955" spans="1:14" s="12" customFormat="1" ht="30">
      <c r="A955" s="178" t="s">
        <v>99</v>
      </c>
      <c r="B955" s="75" t="s">
        <v>1039</v>
      </c>
      <c r="C955" s="176" t="s">
        <v>1037</v>
      </c>
      <c r="D955" s="176"/>
      <c r="E955" s="176"/>
      <c r="F955" s="176"/>
      <c r="G955" s="176"/>
      <c r="H955" s="499">
        <f>SUM(Tabla132112415[[#This Row],[PRIMER TRIMESTRE]:[CUARTO TRIMESTRE]])</f>
        <v>0</v>
      </c>
      <c r="I955" s="17">
        <v>3000</v>
      </c>
      <c r="J955" s="17">
        <f t="shared" si="26"/>
        <v>0</v>
      </c>
      <c r="K955" s="17"/>
      <c r="L955" s="16" t="s">
        <v>18</v>
      </c>
      <c r="M955" s="16" t="s">
        <v>22</v>
      </c>
      <c r="N955" s="39" t="s">
        <v>418</v>
      </c>
    </row>
    <row r="956" spans="1:14" s="12" customFormat="1" ht="30">
      <c r="A956" s="178" t="s">
        <v>99</v>
      </c>
      <c r="B956" s="75" t="s">
        <v>1040</v>
      </c>
      <c r="C956" s="176" t="s">
        <v>1037</v>
      </c>
      <c r="D956" s="176"/>
      <c r="E956" s="176"/>
      <c r="F956" s="176"/>
      <c r="G956" s="176"/>
      <c r="H956" s="499">
        <f>SUM(Tabla132112415[[#This Row],[PRIMER TRIMESTRE]:[CUARTO TRIMESTRE]])</f>
        <v>0</v>
      </c>
      <c r="I956" s="17">
        <v>3500</v>
      </c>
      <c r="J956" s="17">
        <f t="shared" si="26"/>
        <v>0</v>
      </c>
      <c r="K956" s="17"/>
      <c r="L956" s="16" t="s">
        <v>18</v>
      </c>
      <c r="M956" s="16" t="s">
        <v>22</v>
      </c>
      <c r="N956" s="39" t="s">
        <v>418</v>
      </c>
    </row>
    <row r="957" spans="1:14" s="12" customFormat="1" ht="30">
      <c r="A957" s="178" t="s">
        <v>99</v>
      </c>
      <c r="B957" s="75" t="s">
        <v>1041</v>
      </c>
      <c r="C957" s="176" t="s">
        <v>1037</v>
      </c>
      <c r="D957" s="176"/>
      <c r="E957" s="176"/>
      <c r="F957" s="176"/>
      <c r="G957" s="176"/>
      <c r="H957" s="499">
        <f>SUM(Tabla132112415[[#This Row],[PRIMER TRIMESTRE]:[CUARTO TRIMESTRE]])</f>
        <v>0</v>
      </c>
      <c r="I957" s="17">
        <v>4000</v>
      </c>
      <c r="J957" s="17">
        <f t="shared" si="26"/>
        <v>0</v>
      </c>
      <c r="K957" s="17"/>
      <c r="L957" s="16" t="s">
        <v>18</v>
      </c>
      <c r="M957" s="16" t="s">
        <v>22</v>
      </c>
      <c r="N957" s="39" t="s">
        <v>418</v>
      </c>
    </row>
    <row r="958" spans="1:14" s="12" customFormat="1" ht="30">
      <c r="A958" s="178" t="s">
        <v>99</v>
      </c>
      <c r="B958" s="75" t="s">
        <v>1042</v>
      </c>
      <c r="C958" s="176" t="s">
        <v>1037</v>
      </c>
      <c r="D958" s="176"/>
      <c r="E958" s="176"/>
      <c r="F958" s="176"/>
      <c r="G958" s="176"/>
      <c r="H958" s="499">
        <f>SUM(Tabla132112415[[#This Row],[PRIMER TRIMESTRE]:[CUARTO TRIMESTRE]])</f>
        <v>0</v>
      </c>
      <c r="I958" s="17">
        <v>6000</v>
      </c>
      <c r="J958" s="17">
        <f t="shared" si="26"/>
        <v>0</v>
      </c>
      <c r="K958" s="17"/>
      <c r="L958" s="16" t="s">
        <v>18</v>
      </c>
      <c r="M958" s="16" t="s">
        <v>22</v>
      </c>
      <c r="N958" s="39" t="s">
        <v>418</v>
      </c>
    </row>
    <row r="959" spans="1:14" s="12" customFormat="1" ht="30">
      <c r="A959" s="178" t="s">
        <v>99</v>
      </c>
      <c r="B959" s="75" t="s">
        <v>1043</v>
      </c>
      <c r="C959" s="176" t="s">
        <v>1037</v>
      </c>
      <c r="D959" s="176"/>
      <c r="E959" s="176"/>
      <c r="F959" s="176"/>
      <c r="G959" s="176"/>
      <c r="H959" s="499">
        <f>SUM(Tabla132112415[[#This Row],[PRIMER TRIMESTRE]:[CUARTO TRIMESTRE]])</f>
        <v>0</v>
      </c>
      <c r="I959" s="17">
        <v>3500</v>
      </c>
      <c r="J959" s="17">
        <f t="shared" si="26"/>
        <v>0</v>
      </c>
      <c r="K959" s="17"/>
      <c r="L959" s="16" t="s">
        <v>18</v>
      </c>
      <c r="M959" s="16" t="s">
        <v>22</v>
      </c>
      <c r="N959" s="39" t="s">
        <v>418</v>
      </c>
    </row>
    <row r="960" spans="1:14" s="12" customFormat="1" ht="30">
      <c r="A960" s="178" t="s">
        <v>99</v>
      </c>
      <c r="B960" s="75" t="s">
        <v>1044</v>
      </c>
      <c r="C960" s="176" t="s">
        <v>1037</v>
      </c>
      <c r="D960" s="176"/>
      <c r="E960" s="176"/>
      <c r="F960" s="176"/>
      <c r="G960" s="176"/>
      <c r="H960" s="499">
        <f>SUM(Tabla132112415[[#This Row],[PRIMER TRIMESTRE]:[CUARTO TRIMESTRE]])</f>
        <v>0</v>
      </c>
      <c r="I960" s="17">
        <v>2500</v>
      </c>
      <c r="J960" s="17">
        <f t="shared" si="26"/>
        <v>0</v>
      </c>
      <c r="K960" s="17"/>
      <c r="L960" s="16" t="s">
        <v>18</v>
      </c>
      <c r="M960" s="16" t="s">
        <v>22</v>
      </c>
      <c r="N960" s="39" t="s">
        <v>418</v>
      </c>
    </row>
    <row r="961" spans="1:14" s="12" customFormat="1" ht="30">
      <c r="A961" s="178" t="s">
        <v>99</v>
      </c>
      <c r="B961" s="75" t="s">
        <v>1045</v>
      </c>
      <c r="C961" s="176" t="s">
        <v>1037</v>
      </c>
      <c r="D961" s="176"/>
      <c r="E961" s="176"/>
      <c r="F961" s="176"/>
      <c r="G961" s="176"/>
      <c r="H961" s="499">
        <f>SUM(Tabla132112415[[#This Row],[PRIMER TRIMESTRE]:[CUARTO TRIMESTRE]])</f>
        <v>0</v>
      </c>
      <c r="I961" s="17">
        <v>2000</v>
      </c>
      <c r="J961" s="17">
        <f t="shared" si="26"/>
        <v>0</v>
      </c>
      <c r="K961" s="17"/>
      <c r="L961" s="16" t="s">
        <v>18</v>
      </c>
      <c r="M961" s="16" t="s">
        <v>22</v>
      </c>
      <c r="N961" s="39" t="s">
        <v>418</v>
      </c>
    </row>
    <row r="962" spans="1:14" s="12" customFormat="1" ht="30">
      <c r="A962" s="178" t="s">
        <v>99</v>
      </c>
      <c r="B962" s="75" t="s">
        <v>1046</v>
      </c>
      <c r="C962" s="176" t="s">
        <v>1037</v>
      </c>
      <c r="D962" s="176"/>
      <c r="E962" s="176"/>
      <c r="F962" s="176"/>
      <c r="G962" s="176"/>
      <c r="H962" s="499">
        <f>SUM(Tabla132112415[[#This Row],[PRIMER TRIMESTRE]:[CUARTO TRIMESTRE]])</f>
        <v>0</v>
      </c>
      <c r="I962" s="17">
        <v>3000</v>
      </c>
      <c r="J962" s="17">
        <f t="shared" si="26"/>
        <v>0</v>
      </c>
      <c r="K962" s="17"/>
      <c r="L962" s="16" t="s">
        <v>18</v>
      </c>
      <c r="M962" s="16" t="s">
        <v>22</v>
      </c>
      <c r="N962" s="39" t="s">
        <v>418</v>
      </c>
    </row>
    <row r="963" spans="1:14" s="12" customFormat="1" ht="30">
      <c r="A963" s="178" t="s">
        <v>99</v>
      </c>
      <c r="B963" s="75" t="s">
        <v>1047</v>
      </c>
      <c r="C963" s="176" t="s">
        <v>1037</v>
      </c>
      <c r="D963" s="176"/>
      <c r="E963" s="176"/>
      <c r="F963" s="176"/>
      <c r="G963" s="176"/>
      <c r="H963" s="499">
        <f>SUM(Tabla132112415[[#This Row],[PRIMER TRIMESTRE]:[CUARTO TRIMESTRE]])</f>
        <v>0</v>
      </c>
      <c r="I963" s="17">
        <v>3500</v>
      </c>
      <c r="J963" s="17">
        <f t="shared" si="26"/>
        <v>0</v>
      </c>
      <c r="K963" s="17"/>
      <c r="L963" s="16" t="s">
        <v>18</v>
      </c>
      <c r="M963" s="16" t="s">
        <v>22</v>
      </c>
      <c r="N963" s="39" t="s">
        <v>418</v>
      </c>
    </row>
    <row r="964" spans="1:14" s="12" customFormat="1" ht="38.25">
      <c r="A964" s="178" t="s">
        <v>99</v>
      </c>
      <c r="B964" s="75" t="s">
        <v>1048</v>
      </c>
      <c r="C964" s="176" t="s">
        <v>1063</v>
      </c>
      <c r="D964" s="176"/>
      <c r="E964" s="176"/>
      <c r="F964" s="176"/>
      <c r="G964" s="176"/>
      <c r="H964" s="499">
        <f>SUM(Tabla132112415[[#This Row],[PRIMER TRIMESTRE]:[CUARTO TRIMESTRE]])</f>
        <v>0</v>
      </c>
      <c r="I964" s="17">
        <v>3500</v>
      </c>
      <c r="J964" s="17">
        <f t="shared" si="26"/>
        <v>0</v>
      </c>
      <c r="K964" s="17"/>
      <c r="L964" s="16" t="s">
        <v>18</v>
      </c>
      <c r="M964" s="16" t="s">
        <v>22</v>
      </c>
      <c r="N964" s="39" t="s">
        <v>418</v>
      </c>
    </row>
    <row r="965" spans="1:14" s="12" customFormat="1" ht="30">
      <c r="A965" s="178" t="s">
        <v>99</v>
      </c>
      <c r="B965" s="75" t="s">
        <v>1049</v>
      </c>
      <c r="C965" s="176" t="s">
        <v>1063</v>
      </c>
      <c r="D965" s="176"/>
      <c r="E965" s="176"/>
      <c r="F965" s="176"/>
      <c r="G965" s="176"/>
      <c r="H965" s="499">
        <f>SUM(Tabla132112415[[#This Row],[PRIMER TRIMESTRE]:[CUARTO TRIMESTRE]])</f>
        <v>0</v>
      </c>
      <c r="I965" s="17">
        <v>2500</v>
      </c>
      <c r="J965" s="17">
        <f t="shared" si="26"/>
        <v>0</v>
      </c>
      <c r="K965" s="17"/>
      <c r="L965" s="16" t="s">
        <v>15</v>
      </c>
      <c r="M965" s="16" t="s">
        <v>22</v>
      </c>
      <c r="N965" s="39" t="s">
        <v>418</v>
      </c>
    </row>
    <row r="966" spans="1:14" s="12" customFormat="1" ht="30">
      <c r="A966" s="178" t="s">
        <v>99</v>
      </c>
      <c r="B966" s="75" t="s">
        <v>1050</v>
      </c>
      <c r="C966" s="176" t="s">
        <v>1063</v>
      </c>
      <c r="D966" s="176"/>
      <c r="E966" s="176"/>
      <c r="F966" s="176"/>
      <c r="G966" s="176"/>
      <c r="H966" s="499">
        <f>SUM(Tabla132112415[[#This Row],[PRIMER TRIMESTRE]:[CUARTO TRIMESTRE]])</f>
        <v>0</v>
      </c>
      <c r="I966" s="17">
        <v>2500</v>
      </c>
      <c r="J966" s="17">
        <f t="shared" si="26"/>
        <v>0</v>
      </c>
      <c r="K966" s="17"/>
      <c r="L966" s="16" t="s">
        <v>18</v>
      </c>
      <c r="M966" s="16" t="s">
        <v>22</v>
      </c>
      <c r="N966" s="39" t="s">
        <v>418</v>
      </c>
    </row>
    <row r="967" spans="1:14" s="12" customFormat="1" ht="30">
      <c r="A967" s="178" t="s">
        <v>99</v>
      </c>
      <c r="B967" s="75" t="s">
        <v>1051</v>
      </c>
      <c r="C967" s="176" t="s">
        <v>1037</v>
      </c>
      <c r="D967" s="176"/>
      <c r="E967" s="176"/>
      <c r="F967" s="176"/>
      <c r="G967" s="176"/>
      <c r="H967" s="499">
        <f>SUM(Tabla132112415[[#This Row],[PRIMER TRIMESTRE]:[CUARTO TRIMESTRE]])</f>
        <v>0</v>
      </c>
      <c r="I967" s="17">
        <v>3000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</row>
    <row r="968" spans="1:14" s="12" customFormat="1" ht="30">
      <c r="A968" s="178" t="s">
        <v>99</v>
      </c>
      <c r="B968" s="75" t="s">
        <v>1052</v>
      </c>
      <c r="C968" s="176" t="s">
        <v>1064</v>
      </c>
      <c r="D968" s="176"/>
      <c r="E968" s="176"/>
      <c r="F968" s="176"/>
      <c r="G968" s="176"/>
      <c r="H968" s="499">
        <f>SUM(Tabla132112415[[#This Row],[PRIMER TRIMESTRE]:[CUARTO TRIMESTRE]])</f>
        <v>0</v>
      </c>
      <c r="I968" s="17">
        <v>2500</v>
      </c>
      <c r="J968" s="17">
        <f t="shared" si="26"/>
        <v>0</v>
      </c>
      <c r="K968" s="17"/>
      <c r="L968" s="16" t="s">
        <v>18</v>
      </c>
      <c r="M968" s="16" t="s">
        <v>22</v>
      </c>
      <c r="N968" s="39" t="s">
        <v>418</v>
      </c>
    </row>
    <row r="969" spans="1:14" s="12" customFormat="1" ht="30">
      <c r="A969" s="178" t="s">
        <v>99</v>
      </c>
      <c r="B969" s="75" t="s">
        <v>1053</v>
      </c>
      <c r="C969" s="176" t="s">
        <v>1064</v>
      </c>
      <c r="D969" s="176"/>
      <c r="E969" s="176"/>
      <c r="F969" s="176"/>
      <c r="G969" s="176"/>
      <c r="H969" s="499">
        <f>SUM(Tabla132112415[[#This Row],[PRIMER TRIMESTRE]:[CUARTO TRIMESTRE]])</f>
        <v>0</v>
      </c>
      <c r="I969" s="17">
        <v>2500</v>
      </c>
      <c r="J969" s="17">
        <f t="shared" si="26"/>
        <v>0</v>
      </c>
      <c r="K969" s="17"/>
      <c r="L969" s="16" t="s">
        <v>18</v>
      </c>
      <c r="M969" s="16" t="s">
        <v>22</v>
      </c>
      <c r="N969" s="39" t="s">
        <v>418</v>
      </c>
    </row>
    <row r="970" spans="1:14" s="12" customFormat="1" ht="30">
      <c r="A970" s="178" t="s">
        <v>99</v>
      </c>
      <c r="B970" s="75" t="s">
        <v>1054</v>
      </c>
      <c r="C970" s="176" t="s">
        <v>1064</v>
      </c>
      <c r="D970" s="176"/>
      <c r="E970" s="176"/>
      <c r="F970" s="176"/>
      <c r="G970" s="176"/>
      <c r="H970" s="499">
        <f>SUM(Tabla132112415[[#This Row],[PRIMER TRIMESTRE]:[CUARTO TRIMESTRE]])</f>
        <v>0</v>
      </c>
      <c r="I970" s="17">
        <v>2000</v>
      </c>
      <c r="J970" s="17">
        <f t="shared" si="26"/>
        <v>0</v>
      </c>
      <c r="K970" s="17"/>
      <c r="L970" s="16" t="s">
        <v>18</v>
      </c>
      <c r="M970" s="16" t="s">
        <v>22</v>
      </c>
      <c r="N970" s="39" t="s">
        <v>418</v>
      </c>
    </row>
    <row r="971" spans="1:14" s="12" customFormat="1" ht="30">
      <c r="A971" s="178" t="s">
        <v>99</v>
      </c>
      <c r="B971" s="75" t="s">
        <v>1055</v>
      </c>
      <c r="C971" s="176" t="s">
        <v>1065</v>
      </c>
      <c r="D971" s="176"/>
      <c r="E971" s="176"/>
      <c r="F971" s="176"/>
      <c r="G971" s="176"/>
      <c r="H971" s="499">
        <f>SUM(Tabla132112415[[#This Row],[PRIMER TRIMESTRE]:[CUARTO TRIMESTRE]])</f>
        <v>0</v>
      </c>
      <c r="I971" s="17">
        <v>2000</v>
      </c>
      <c r="J971" s="17">
        <f t="shared" si="26"/>
        <v>0</v>
      </c>
      <c r="K971" s="17"/>
      <c r="L971" s="16" t="s">
        <v>18</v>
      </c>
      <c r="M971" s="16" t="s">
        <v>22</v>
      </c>
      <c r="N971" s="39" t="s">
        <v>418</v>
      </c>
    </row>
    <row r="972" spans="1:14" s="12" customFormat="1" ht="30">
      <c r="A972" s="178" t="s">
        <v>99</v>
      </c>
      <c r="B972" s="75" t="s">
        <v>1056</v>
      </c>
      <c r="C972" s="176" t="s">
        <v>1065</v>
      </c>
      <c r="D972" s="176"/>
      <c r="E972" s="176"/>
      <c r="F972" s="176"/>
      <c r="G972" s="176"/>
      <c r="H972" s="499">
        <f>SUM(Tabla132112415[[#This Row],[PRIMER TRIMESTRE]:[CUARTO TRIMESTRE]])</f>
        <v>0</v>
      </c>
      <c r="I972" s="17">
        <v>2100</v>
      </c>
      <c r="J972" s="17">
        <f t="shared" si="26"/>
        <v>0</v>
      </c>
      <c r="K972" s="17"/>
      <c r="L972" s="16" t="s">
        <v>18</v>
      </c>
      <c r="M972" s="16" t="s">
        <v>22</v>
      </c>
      <c r="N972" s="39" t="s">
        <v>418</v>
      </c>
    </row>
    <row r="973" spans="1:14" s="12" customFormat="1" ht="30">
      <c r="A973" s="178" t="s">
        <v>99</v>
      </c>
      <c r="B973" s="75" t="s">
        <v>1057</v>
      </c>
      <c r="C973" s="176" t="s">
        <v>1065</v>
      </c>
      <c r="D973" s="176"/>
      <c r="E973" s="176"/>
      <c r="F973" s="176"/>
      <c r="G973" s="176"/>
      <c r="H973" s="499">
        <f>SUM(Tabla132112415[[#This Row],[PRIMER TRIMESTRE]:[CUARTO TRIMESTRE]])</f>
        <v>0</v>
      </c>
      <c r="I973" s="17">
        <v>2500</v>
      </c>
      <c r="J973" s="17">
        <f t="shared" si="26"/>
        <v>0</v>
      </c>
      <c r="K973" s="17"/>
      <c r="L973" s="16" t="s">
        <v>18</v>
      </c>
      <c r="M973" s="16" t="s">
        <v>22</v>
      </c>
      <c r="N973" s="39" t="s">
        <v>418</v>
      </c>
    </row>
    <row r="974" spans="1:14" s="12" customFormat="1" ht="30">
      <c r="A974" s="178" t="s">
        <v>99</v>
      </c>
      <c r="B974" s="75" t="s">
        <v>1058</v>
      </c>
      <c r="C974" s="176" t="s">
        <v>1065</v>
      </c>
      <c r="D974" s="176"/>
      <c r="E974" s="176"/>
      <c r="F974" s="176"/>
      <c r="G974" s="176"/>
      <c r="H974" s="499">
        <f>SUM(Tabla132112415[[#This Row],[PRIMER TRIMESTRE]:[CUARTO TRIMESTRE]])</f>
        <v>0</v>
      </c>
      <c r="I974" s="17">
        <v>2500</v>
      </c>
      <c r="J974" s="17">
        <f t="shared" si="26"/>
        <v>0</v>
      </c>
      <c r="K974" s="17"/>
      <c r="L974" s="16" t="s">
        <v>18</v>
      </c>
      <c r="M974" s="16" t="s">
        <v>22</v>
      </c>
      <c r="N974" s="39" t="s">
        <v>418</v>
      </c>
    </row>
    <row r="975" spans="1:14" s="12" customFormat="1" ht="30">
      <c r="A975" s="178" t="s">
        <v>99</v>
      </c>
      <c r="B975" s="75" t="s">
        <v>1059</v>
      </c>
      <c r="C975" s="176" t="s">
        <v>1065</v>
      </c>
      <c r="D975" s="176"/>
      <c r="E975" s="176"/>
      <c r="F975" s="176"/>
      <c r="G975" s="176"/>
      <c r="H975" s="499">
        <f>SUM(Tabla132112415[[#This Row],[PRIMER TRIMESTRE]:[CUARTO TRIMESTRE]])</f>
        <v>0</v>
      </c>
      <c r="I975" s="17">
        <v>2500</v>
      </c>
      <c r="J975" s="17">
        <f t="shared" si="26"/>
        <v>0</v>
      </c>
      <c r="K975" s="17"/>
      <c r="L975" s="16" t="s">
        <v>18</v>
      </c>
      <c r="M975" s="16" t="s">
        <v>22</v>
      </c>
      <c r="N975" s="39" t="s">
        <v>418</v>
      </c>
    </row>
    <row r="976" spans="1:14" s="12" customFormat="1" ht="30">
      <c r="A976" s="178" t="s">
        <v>99</v>
      </c>
      <c r="B976" s="75" t="s">
        <v>1060</v>
      </c>
      <c r="C976" s="176" t="s">
        <v>1065</v>
      </c>
      <c r="D976" s="176"/>
      <c r="E976" s="176"/>
      <c r="F976" s="176"/>
      <c r="G976" s="176"/>
      <c r="H976" s="499">
        <f>SUM(Tabla132112415[[#This Row],[PRIMER TRIMESTRE]:[CUARTO TRIMESTRE]])</f>
        <v>0</v>
      </c>
      <c r="I976" s="17">
        <v>4000</v>
      </c>
      <c r="J976" s="17">
        <f t="shared" si="26"/>
        <v>0</v>
      </c>
      <c r="K976" s="17"/>
      <c r="L976" s="16" t="s">
        <v>18</v>
      </c>
      <c r="M976" s="16" t="s">
        <v>22</v>
      </c>
      <c r="N976" s="39" t="s">
        <v>418</v>
      </c>
    </row>
    <row r="977" spans="1:14" s="12" customFormat="1" ht="30">
      <c r="A977" s="178" t="s">
        <v>99</v>
      </c>
      <c r="B977" s="75" t="s">
        <v>1061</v>
      </c>
      <c r="C977" s="176" t="s">
        <v>1064</v>
      </c>
      <c r="D977" s="176"/>
      <c r="E977" s="176"/>
      <c r="F977" s="176"/>
      <c r="G977" s="176"/>
      <c r="H977" s="499">
        <f>SUM(Tabla132112415[[#This Row],[PRIMER TRIMESTRE]:[CUARTO TRIMESTRE]])</f>
        <v>0</v>
      </c>
      <c r="I977" s="17">
        <v>3000</v>
      </c>
      <c r="J977" s="17">
        <f t="shared" si="26"/>
        <v>0</v>
      </c>
      <c r="K977" s="17"/>
      <c r="L977" s="16" t="s">
        <v>18</v>
      </c>
      <c r="M977" s="16" t="s">
        <v>22</v>
      </c>
      <c r="N977" s="39" t="s">
        <v>418</v>
      </c>
    </row>
    <row r="978" spans="1:14" s="12" customFormat="1" ht="30">
      <c r="A978" s="178" t="s">
        <v>99</v>
      </c>
      <c r="B978" s="75" t="s">
        <v>1062</v>
      </c>
      <c r="C978" s="176" t="s">
        <v>290</v>
      </c>
      <c r="D978" s="176"/>
      <c r="E978" s="176"/>
      <c r="F978" s="176"/>
      <c r="G978" s="176"/>
      <c r="H978" s="499">
        <f>SUM(Tabla132112415[[#This Row],[PRIMER TRIMESTRE]:[CUARTO TRIMESTRE]])</f>
        <v>0</v>
      </c>
      <c r="I978" s="17">
        <v>1200</v>
      </c>
      <c r="J978" s="17">
        <f t="shared" si="26"/>
        <v>0</v>
      </c>
      <c r="K978" s="17"/>
      <c r="L978" s="16" t="s">
        <v>18</v>
      </c>
      <c r="M978" s="16" t="s">
        <v>22</v>
      </c>
      <c r="N978" s="39" t="s">
        <v>418</v>
      </c>
    </row>
    <row r="979" spans="1:14" s="12" customFormat="1" ht="30">
      <c r="A979" s="178" t="s">
        <v>99</v>
      </c>
      <c r="B979" s="75" t="s">
        <v>1066</v>
      </c>
      <c r="C979" s="176" t="s">
        <v>1067</v>
      </c>
      <c r="D979" s="176"/>
      <c r="E979" s="176"/>
      <c r="F979" s="176"/>
      <c r="G979" s="176"/>
      <c r="H979" s="499">
        <f>SUM(Tabla132112415[[#This Row],[PRIMER TRIMESTRE]:[CUARTO TRIMESTRE]])</f>
        <v>0</v>
      </c>
      <c r="I979" s="17">
        <v>10000</v>
      </c>
      <c r="J979" s="17">
        <f t="shared" si="26"/>
        <v>0</v>
      </c>
      <c r="K979" s="17"/>
      <c r="L979" s="16" t="s">
        <v>18</v>
      </c>
      <c r="M979" s="16" t="s">
        <v>22</v>
      </c>
      <c r="N979" s="39" t="s">
        <v>418</v>
      </c>
    </row>
    <row r="980" spans="1:14" s="12" customFormat="1" ht="30">
      <c r="A980" s="178" t="s">
        <v>99</v>
      </c>
      <c r="B980" s="75" t="s">
        <v>1068</v>
      </c>
      <c r="C980" s="176" t="s">
        <v>1067</v>
      </c>
      <c r="D980" s="176"/>
      <c r="E980" s="176"/>
      <c r="F980" s="176"/>
      <c r="G980" s="176"/>
      <c r="H980" s="499">
        <f>SUM(Tabla132112415[[#This Row],[PRIMER TRIMESTRE]:[CUARTO TRIMESTRE]])</f>
        <v>0</v>
      </c>
      <c r="I980" s="17">
        <v>10000</v>
      </c>
      <c r="J980" s="17">
        <f t="shared" si="26"/>
        <v>0</v>
      </c>
      <c r="K980" s="17"/>
      <c r="L980" s="16" t="s">
        <v>18</v>
      </c>
      <c r="M980" s="16" t="s">
        <v>22</v>
      </c>
      <c r="N980" s="39" t="s">
        <v>418</v>
      </c>
    </row>
    <row r="981" spans="1:14" s="12" customFormat="1" ht="30">
      <c r="A981" s="178" t="s">
        <v>99</v>
      </c>
      <c r="B981" s="75" t="s">
        <v>1069</v>
      </c>
      <c r="C981" s="176" t="s">
        <v>718</v>
      </c>
      <c r="D981" s="176"/>
      <c r="E981" s="176"/>
      <c r="F981" s="176"/>
      <c r="G981" s="176"/>
      <c r="H981" s="499">
        <f>SUM(Tabla132112415[[#This Row],[PRIMER TRIMESTRE]:[CUARTO TRIMESTRE]])</f>
        <v>0</v>
      </c>
      <c r="I981" s="17">
        <v>10000</v>
      </c>
      <c r="J981" s="17">
        <f t="shared" si="26"/>
        <v>0</v>
      </c>
      <c r="K981" s="17"/>
      <c r="L981" s="16" t="s">
        <v>18</v>
      </c>
      <c r="M981" s="16" t="s">
        <v>22</v>
      </c>
      <c r="N981" s="39" t="s">
        <v>418</v>
      </c>
    </row>
    <row r="982" spans="1:14" s="12" customFormat="1" ht="38.25">
      <c r="A982" s="178" t="s">
        <v>99</v>
      </c>
      <c r="B982" s="75" t="s">
        <v>1070</v>
      </c>
      <c r="C982" s="176" t="s">
        <v>208</v>
      </c>
      <c r="D982" s="176"/>
      <c r="E982" s="176"/>
      <c r="F982" s="176"/>
      <c r="G982" s="176"/>
      <c r="H982" s="499">
        <f>SUM(Tabla132112415[[#This Row],[PRIMER TRIMESTRE]:[CUARTO TRIMESTRE]])</f>
        <v>0</v>
      </c>
      <c r="I982" s="17">
        <v>10000</v>
      </c>
      <c r="J982" s="17">
        <f t="shared" si="26"/>
        <v>0</v>
      </c>
      <c r="K982" s="17"/>
      <c r="L982" s="16" t="s">
        <v>18</v>
      </c>
      <c r="M982" s="16" t="s">
        <v>22</v>
      </c>
      <c r="N982" s="39" t="s">
        <v>418</v>
      </c>
    </row>
    <row r="983" spans="1:14" s="12" customFormat="1" ht="30">
      <c r="A983" s="178" t="s">
        <v>99</v>
      </c>
      <c r="B983" s="75" t="s">
        <v>1071</v>
      </c>
      <c r="C983" s="176" t="s">
        <v>1065</v>
      </c>
      <c r="D983" s="176"/>
      <c r="E983" s="176"/>
      <c r="F983" s="176"/>
      <c r="G983" s="176"/>
      <c r="H983" s="499">
        <f>SUM(Tabla132112415[[#This Row],[PRIMER TRIMESTRE]:[CUARTO TRIMESTRE]])</f>
        <v>0</v>
      </c>
      <c r="I983" s="17">
        <v>800</v>
      </c>
      <c r="J983" s="17">
        <f t="shared" si="26"/>
        <v>0</v>
      </c>
      <c r="K983" s="17"/>
      <c r="L983" s="16" t="s">
        <v>18</v>
      </c>
      <c r="M983" s="16" t="s">
        <v>22</v>
      </c>
      <c r="N983" s="39" t="s">
        <v>418</v>
      </c>
    </row>
    <row r="984" spans="1:14" s="12" customFormat="1" ht="30">
      <c r="A984" s="178" t="s">
        <v>99</v>
      </c>
      <c r="B984" s="75" t="s">
        <v>1072</v>
      </c>
      <c r="C984" s="176" t="s">
        <v>1073</v>
      </c>
      <c r="D984" s="176"/>
      <c r="E984" s="176"/>
      <c r="F984" s="176"/>
      <c r="G984" s="176"/>
      <c r="H984" s="499">
        <f>SUM(Tabla132112415[[#This Row],[PRIMER TRIMESTRE]:[CUARTO TRIMESTRE]])</f>
        <v>0</v>
      </c>
      <c r="I984" s="17">
        <v>7500</v>
      </c>
      <c r="J984" s="17">
        <f t="shared" si="26"/>
        <v>0</v>
      </c>
      <c r="K984" s="17"/>
      <c r="L984" s="16" t="s">
        <v>18</v>
      </c>
      <c r="M984" s="16" t="s">
        <v>22</v>
      </c>
      <c r="N984" s="39" t="s">
        <v>418</v>
      </c>
    </row>
    <row r="985" spans="1:14" s="12" customFormat="1" ht="30">
      <c r="A985" s="178" t="s">
        <v>99</v>
      </c>
      <c r="B985" s="75" t="s">
        <v>1074</v>
      </c>
      <c r="C985" s="176" t="s">
        <v>1067</v>
      </c>
      <c r="D985" s="176"/>
      <c r="E985" s="176"/>
      <c r="F985" s="176"/>
      <c r="G985" s="176"/>
      <c r="H985" s="499">
        <f>SUM(Tabla132112415[[#This Row],[PRIMER TRIMESTRE]:[CUARTO TRIMESTRE]])</f>
        <v>0</v>
      </c>
      <c r="I985" s="17">
        <v>1000</v>
      </c>
      <c r="J985" s="17">
        <f t="shared" si="26"/>
        <v>0</v>
      </c>
      <c r="K985" s="17"/>
      <c r="L985" s="16" t="s">
        <v>18</v>
      </c>
      <c r="M985" s="16" t="s">
        <v>22</v>
      </c>
      <c r="N985" s="39" t="s">
        <v>418</v>
      </c>
    </row>
    <row r="986" spans="1:14" s="12" customFormat="1" ht="30">
      <c r="A986" s="178" t="s">
        <v>99</v>
      </c>
      <c r="B986" s="75" t="s">
        <v>1075</v>
      </c>
      <c r="C986" s="176" t="s">
        <v>1067</v>
      </c>
      <c r="D986" s="176"/>
      <c r="E986" s="176"/>
      <c r="F986" s="176"/>
      <c r="G986" s="176"/>
      <c r="H986" s="499">
        <f>SUM(Tabla132112415[[#This Row],[PRIMER TRIMESTRE]:[CUARTO TRIMESTRE]])</f>
        <v>0</v>
      </c>
      <c r="I986" s="17">
        <v>2500</v>
      </c>
      <c r="J986" s="17">
        <f t="shared" si="26"/>
        <v>0</v>
      </c>
      <c r="K986" s="17"/>
      <c r="L986" s="16" t="s">
        <v>18</v>
      </c>
      <c r="M986" s="16" t="s">
        <v>22</v>
      </c>
      <c r="N986" s="39" t="s">
        <v>418</v>
      </c>
    </row>
    <row r="987" spans="1:14" s="12" customFormat="1" ht="30">
      <c r="A987" s="178" t="s">
        <v>99</v>
      </c>
      <c r="B987" s="75" t="s">
        <v>1076</v>
      </c>
      <c r="C987" s="176" t="s">
        <v>1067</v>
      </c>
      <c r="D987" s="176"/>
      <c r="E987" s="176"/>
      <c r="F987" s="176"/>
      <c r="G987" s="176"/>
      <c r="H987" s="499">
        <f>SUM(Tabla132112415[[#This Row],[PRIMER TRIMESTRE]:[CUARTO TRIMESTRE]])</f>
        <v>0</v>
      </c>
      <c r="I987" s="17">
        <v>10000</v>
      </c>
      <c r="J987" s="17">
        <f t="shared" si="26"/>
        <v>0</v>
      </c>
      <c r="K987" s="17"/>
      <c r="L987" s="16" t="s">
        <v>18</v>
      </c>
      <c r="M987" s="16" t="s">
        <v>22</v>
      </c>
      <c r="N987" s="39" t="s">
        <v>418</v>
      </c>
    </row>
    <row r="988" spans="1:14" s="12" customFormat="1" ht="30">
      <c r="A988" s="178" t="s">
        <v>99</v>
      </c>
      <c r="B988" s="75" t="s">
        <v>1077</v>
      </c>
      <c r="C988" s="176" t="s">
        <v>718</v>
      </c>
      <c r="D988" s="176"/>
      <c r="E988" s="176"/>
      <c r="F988" s="176"/>
      <c r="G988" s="176"/>
      <c r="H988" s="499">
        <f>SUM(Tabla132112415[[#This Row],[PRIMER TRIMESTRE]:[CUARTO TRIMESTRE]])</f>
        <v>0</v>
      </c>
      <c r="I988" s="17">
        <v>10000</v>
      </c>
      <c r="J988" s="17">
        <f t="shared" si="26"/>
        <v>0</v>
      </c>
      <c r="K988" s="17"/>
      <c r="L988" s="16" t="s">
        <v>18</v>
      </c>
      <c r="M988" s="16" t="s">
        <v>22</v>
      </c>
      <c r="N988" s="39" t="s">
        <v>418</v>
      </c>
    </row>
    <row r="989" spans="1:14" s="12" customFormat="1" ht="38.25">
      <c r="A989" s="178" t="s">
        <v>99</v>
      </c>
      <c r="B989" s="75" t="s">
        <v>1078</v>
      </c>
      <c r="C989" s="176" t="s">
        <v>1067</v>
      </c>
      <c r="D989" s="176"/>
      <c r="E989" s="176"/>
      <c r="F989" s="176"/>
      <c r="G989" s="176"/>
      <c r="H989" s="499">
        <f>SUM(Tabla132112415[[#This Row],[PRIMER TRIMESTRE]:[CUARTO TRIMESTRE]])</f>
        <v>0</v>
      </c>
      <c r="I989" s="17">
        <v>1000</v>
      </c>
      <c r="J989" s="17">
        <f t="shared" si="26"/>
        <v>0</v>
      </c>
      <c r="K989" s="17"/>
      <c r="L989" s="16" t="s">
        <v>18</v>
      </c>
      <c r="M989" s="16" t="s">
        <v>22</v>
      </c>
      <c r="N989" s="39" t="s">
        <v>418</v>
      </c>
    </row>
    <row r="990" spans="1:14" s="12" customFormat="1" ht="30">
      <c r="A990" s="178" t="s">
        <v>99</v>
      </c>
      <c r="B990" s="75" t="s">
        <v>1079</v>
      </c>
      <c r="C990" s="176" t="s">
        <v>208</v>
      </c>
      <c r="D990" s="176"/>
      <c r="E990" s="176"/>
      <c r="F990" s="176"/>
      <c r="G990" s="176"/>
      <c r="H990" s="499">
        <f>SUM(Tabla132112415[[#This Row],[PRIMER TRIMESTRE]:[CUARTO TRIMESTRE]])</f>
        <v>0</v>
      </c>
      <c r="I990" s="17">
        <v>250</v>
      </c>
      <c r="J990" s="17">
        <f t="shared" si="26"/>
        <v>0</v>
      </c>
      <c r="K990" s="17"/>
      <c r="L990" s="16" t="s">
        <v>18</v>
      </c>
      <c r="M990" s="16" t="s">
        <v>22</v>
      </c>
      <c r="N990" s="39" t="s">
        <v>418</v>
      </c>
    </row>
    <row r="991" spans="1:14" s="12" customFormat="1" ht="38.25">
      <c r="A991" s="178" t="s">
        <v>99</v>
      </c>
      <c r="B991" s="75" t="s">
        <v>1080</v>
      </c>
      <c r="C991" s="176" t="s">
        <v>1067</v>
      </c>
      <c r="D991" s="176"/>
      <c r="E991" s="176"/>
      <c r="F991" s="176"/>
      <c r="G991" s="176"/>
      <c r="H991" s="499">
        <f>SUM(Tabla132112415[[#This Row],[PRIMER TRIMESTRE]:[CUARTO TRIMESTRE]])</f>
        <v>0</v>
      </c>
      <c r="I991" s="17">
        <v>1000</v>
      </c>
      <c r="J991" s="17">
        <f t="shared" si="26"/>
        <v>0</v>
      </c>
      <c r="K991" s="17"/>
      <c r="L991" s="16" t="s">
        <v>18</v>
      </c>
      <c r="M991" s="16" t="s">
        <v>22</v>
      </c>
      <c r="N991" s="39" t="s">
        <v>418</v>
      </c>
    </row>
    <row r="992" spans="1:14" s="12" customFormat="1" ht="38.25">
      <c r="A992" s="178" t="s">
        <v>99</v>
      </c>
      <c r="B992" s="75" t="s">
        <v>1081</v>
      </c>
      <c r="C992" s="176" t="s">
        <v>1067</v>
      </c>
      <c r="D992" s="176"/>
      <c r="E992" s="176"/>
      <c r="F992" s="176"/>
      <c r="G992" s="176"/>
      <c r="H992" s="499">
        <f>SUM(Tabla132112415[[#This Row],[PRIMER TRIMESTRE]:[CUARTO TRIMESTRE]])</f>
        <v>0</v>
      </c>
      <c r="I992" s="17">
        <v>1000</v>
      </c>
      <c r="J992" s="17">
        <f t="shared" si="26"/>
        <v>0</v>
      </c>
      <c r="K992" s="17"/>
      <c r="L992" s="16" t="s">
        <v>18</v>
      </c>
      <c r="M992" s="16" t="s">
        <v>22</v>
      </c>
      <c r="N992" s="39" t="s">
        <v>418</v>
      </c>
    </row>
    <row r="993" spans="1:14" s="12" customFormat="1" ht="38.25">
      <c r="A993" s="178" t="s">
        <v>99</v>
      </c>
      <c r="B993" s="75" t="s">
        <v>1082</v>
      </c>
      <c r="C993" s="176" t="s">
        <v>1067</v>
      </c>
      <c r="D993" s="176"/>
      <c r="E993" s="176"/>
      <c r="F993" s="176"/>
      <c r="G993" s="176"/>
      <c r="H993" s="499">
        <f>SUM(Tabla132112415[[#This Row],[PRIMER TRIMESTRE]:[CUARTO TRIMESTRE]])</f>
        <v>0</v>
      </c>
      <c r="I993" s="17">
        <v>1000</v>
      </c>
      <c r="J993" s="17">
        <f t="shared" si="26"/>
        <v>0</v>
      </c>
      <c r="K993" s="17"/>
      <c r="L993" s="16" t="s">
        <v>18</v>
      </c>
      <c r="M993" s="16" t="s">
        <v>22</v>
      </c>
      <c r="N993" s="39" t="s">
        <v>418</v>
      </c>
    </row>
    <row r="994" spans="1:14" s="12" customFormat="1" ht="30">
      <c r="A994" s="178" t="s">
        <v>99</v>
      </c>
      <c r="B994" s="75" t="s">
        <v>1083</v>
      </c>
      <c r="C994" s="176" t="s">
        <v>1067</v>
      </c>
      <c r="D994" s="176"/>
      <c r="E994" s="176"/>
      <c r="F994" s="176"/>
      <c r="G994" s="176"/>
      <c r="H994" s="499">
        <f>SUM(Tabla132112415[[#This Row],[PRIMER TRIMESTRE]:[CUARTO TRIMESTRE]])</f>
        <v>0</v>
      </c>
      <c r="I994" s="17">
        <v>300</v>
      </c>
      <c r="J994" s="17">
        <f t="shared" si="26"/>
        <v>0</v>
      </c>
      <c r="K994" s="17"/>
      <c r="L994" s="16" t="s">
        <v>18</v>
      </c>
      <c r="M994" s="16" t="s">
        <v>22</v>
      </c>
      <c r="N994" s="39" t="s">
        <v>418</v>
      </c>
    </row>
    <row r="995" spans="1:14" s="12" customFormat="1" ht="30">
      <c r="A995" s="178" t="s">
        <v>99</v>
      </c>
      <c r="B995" s="75" t="s">
        <v>1084</v>
      </c>
      <c r="C995" s="176" t="s">
        <v>1067</v>
      </c>
      <c r="D995" s="176"/>
      <c r="E995" s="176"/>
      <c r="F995" s="176"/>
      <c r="G995" s="176"/>
      <c r="H995" s="499">
        <f>SUM(Tabla132112415[[#This Row],[PRIMER TRIMESTRE]:[CUARTO TRIMESTRE]])</f>
        <v>0</v>
      </c>
      <c r="I995" s="17">
        <v>1500</v>
      </c>
      <c r="J995" s="17">
        <f t="shared" si="26"/>
        <v>0</v>
      </c>
      <c r="K995" s="17"/>
      <c r="L995" s="16" t="s">
        <v>18</v>
      </c>
      <c r="M995" s="16" t="s">
        <v>22</v>
      </c>
      <c r="N995" s="39" t="s">
        <v>418</v>
      </c>
    </row>
    <row r="996" spans="1:14" s="12" customFormat="1" ht="30">
      <c r="A996" s="178" t="s">
        <v>99</v>
      </c>
      <c r="B996" s="75" t="s">
        <v>1085</v>
      </c>
      <c r="C996" s="176" t="s">
        <v>1067</v>
      </c>
      <c r="D996" s="176"/>
      <c r="E996" s="176"/>
      <c r="F996" s="176"/>
      <c r="G996" s="176"/>
      <c r="H996" s="499">
        <f>SUM(Tabla132112415[[#This Row],[PRIMER TRIMESTRE]:[CUARTO TRIMESTRE]])</f>
        <v>0</v>
      </c>
      <c r="I996" s="17">
        <v>700</v>
      </c>
      <c r="J996" s="17">
        <f t="shared" si="26"/>
        <v>0</v>
      </c>
      <c r="K996" s="17"/>
      <c r="L996" s="16" t="s">
        <v>18</v>
      </c>
      <c r="M996" s="16" t="s">
        <v>22</v>
      </c>
      <c r="N996" s="39" t="s">
        <v>418</v>
      </c>
    </row>
    <row r="997" spans="1:14" s="12" customFormat="1" ht="30">
      <c r="A997" s="178" t="s">
        <v>99</v>
      </c>
      <c r="B997" s="75" t="s">
        <v>1086</v>
      </c>
      <c r="C997" s="176" t="s">
        <v>1067</v>
      </c>
      <c r="D997" s="176"/>
      <c r="E997" s="176"/>
      <c r="F997" s="176"/>
      <c r="G997" s="176"/>
      <c r="H997" s="499">
        <f>SUM(Tabla132112415[[#This Row],[PRIMER TRIMESTRE]:[CUARTO TRIMESTRE]])</f>
        <v>0</v>
      </c>
      <c r="I997" s="17">
        <v>1500</v>
      </c>
      <c r="J997" s="17">
        <f t="shared" si="26"/>
        <v>0</v>
      </c>
      <c r="K997" s="17"/>
      <c r="L997" s="16" t="s">
        <v>18</v>
      </c>
      <c r="M997" s="16" t="s">
        <v>22</v>
      </c>
      <c r="N997" s="39" t="s">
        <v>418</v>
      </c>
    </row>
    <row r="998" spans="1:14" s="12" customFormat="1" ht="30">
      <c r="A998" s="178" t="s">
        <v>99</v>
      </c>
      <c r="B998" s="75" t="s">
        <v>1087</v>
      </c>
      <c r="C998" s="176" t="s">
        <v>208</v>
      </c>
      <c r="D998" s="176"/>
      <c r="E998" s="176"/>
      <c r="F998" s="176"/>
      <c r="G998" s="176"/>
      <c r="H998" s="499">
        <f>SUM(Tabla132112415[[#This Row],[PRIMER TRIMESTRE]:[CUARTO TRIMESTRE]])</f>
        <v>0</v>
      </c>
      <c r="I998" s="17">
        <v>500</v>
      </c>
      <c r="J998" s="17">
        <f t="shared" si="26"/>
        <v>0</v>
      </c>
      <c r="K998" s="17"/>
      <c r="L998" s="16" t="s">
        <v>18</v>
      </c>
      <c r="M998" s="16" t="s">
        <v>22</v>
      </c>
      <c r="N998" s="39" t="s">
        <v>418</v>
      </c>
    </row>
    <row r="999" spans="1:14" s="12" customFormat="1" ht="51">
      <c r="A999" s="178" t="s">
        <v>99</v>
      </c>
      <c r="B999" s="75" t="s">
        <v>1088</v>
      </c>
      <c r="C999" s="176" t="s">
        <v>1067</v>
      </c>
      <c r="D999" s="176"/>
      <c r="E999" s="176"/>
      <c r="F999" s="176"/>
      <c r="G999" s="176"/>
      <c r="H999" s="499">
        <f>SUM(Tabla132112415[[#This Row],[PRIMER TRIMESTRE]:[CUARTO TRIMESTRE]])</f>
        <v>0</v>
      </c>
      <c r="I999" s="17">
        <v>15000</v>
      </c>
      <c r="J999" s="17">
        <f t="shared" si="26"/>
        <v>0</v>
      </c>
      <c r="K999" s="17"/>
      <c r="L999" s="16" t="s">
        <v>18</v>
      </c>
      <c r="M999" s="16" t="s">
        <v>22</v>
      </c>
      <c r="N999" s="39" t="s">
        <v>418</v>
      </c>
    </row>
    <row r="1000" spans="1:14" s="12" customFormat="1" ht="30">
      <c r="A1000" s="178" t="s">
        <v>99</v>
      </c>
      <c r="B1000" s="75" t="s">
        <v>1089</v>
      </c>
      <c r="C1000" s="176" t="s">
        <v>1090</v>
      </c>
      <c r="D1000" s="176"/>
      <c r="E1000" s="176"/>
      <c r="F1000" s="176"/>
      <c r="G1000" s="176"/>
      <c r="H1000" s="499">
        <f>SUM(Tabla132112415[[#This Row],[PRIMER TRIMESTRE]:[CUARTO TRIMESTRE]])</f>
        <v>0</v>
      </c>
      <c r="I1000" s="17">
        <v>50</v>
      </c>
      <c r="J1000" s="17">
        <f t="shared" si="26"/>
        <v>0</v>
      </c>
      <c r="K1000" s="17"/>
      <c r="L1000" s="16" t="s">
        <v>18</v>
      </c>
      <c r="M1000" s="16" t="s">
        <v>22</v>
      </c>
      <c r="N1000" s="39" t="s">
        <v>418</v>
      </c>
    </row>
    <row r="1001" spans="1:14" s="12" customFormat="1" ht="30">
      <c r="A1001" s="178" t="s">
        <v>99</v>
      </c>
      <c r="B1001" s="75" t="s">
        <v>1091</v>
      </c>
      <c r="C1001" s="176" t="s">
        <v>718</v>
      </c>
      <c r="D1001" s="176"/>
      <c r="E1001" s="176"/>
      <c r="F1001" s="176"/>
      <c r="G1001" s="176"/>
      <c r="H1001" s="499">
        <f>SUM(Tabla132112415[[#This Row],[PRIMER TRIMESTRE]:[CUARTO TRIMESTRE]])</f>
        <v>0</v>
      </c>
      <c r="I1001" s="17">
        <v>2000</v>
      </c>
      <c r="J1001" s="17">
        <f t="shared" si="26"/>
        <v>0</v>
      </c>
      <c r="K1001" s="17"/>
      <c r="L1001" s="16" t="s">
        <v>18</v>
      </c>
      <c r="M1001" s="16" t="s">
        <v>22</v>
      </c>
      <c r="N1001" s="39" t="s">
        <v>418</v>
      </c>
    </row>
    <row r="1002" spans="1:14" s="12" customFormat="1" ht="30">
      <c r="A1002" s="178" t="s">
        <v>99</v>
      </c>
      <c r="B1002" s="75" t="s">
        <v>1092</v>
      </c>
      <c r="C1002" s="176" t="s">
        <v>1067</v>
      </c>
      <c r="D1002" s="176"/>
      <c r="E1002" s="176"/>
      <c r="F1002" s="176"/>
      <c r="G1002" s="176"/>
      <c r="H1002" s="499">
        <f>SUM(Tabla132112415[[#This Row],[PRIMER TRIMESTRE]:[CUARTO TRIMESTRE]])</f>
        <v>0</v>
      </c>
      <c r="I1002" s="17">
        <v>200</v>
      </c>
      <c r="J1002" s="17">
        <f t="shared" si="26"/>
        <v>0</v>
      </c>
      <c r="K1002" s="17"/>
      <c r="L1002" s="16" t="s">
        <v>27</v>
      </c>
      <c r="M1002" s="16" t="s">
        <v>22</v>
      </c>
      <c r="N1002" s="39" t="s">
        <v>418</v>
      </c>
    </row>
    <row r="1003" spans="1:14" s="12" customFormat="1" ht="30">
      <c r="A1003" s="178" t="s">
        <v>99</v>
      </c>
      <c r="B1003" s="75" t="s">
        <v>1093</v>
      </c>
      <c r="C1003" s="176" t="s">
        <v>1067</v>
      </c>
      <c r="D1003" s="176"/>
      <c r="E1003" s="176"/>
      <c r="F1003" s="176"/>
      <c r="G1003" s="176"/>
      <c r="H1003" s="499">
        <f>SUM(Tabla132112415[[#This Row],[PRIMER TRIMESTRE]:[CUARTO TRIMESTRE]])</f>
        <v>0</v>
      </c>
      <c r="I1003" s="17">
        <v>100</v>
      </c>
      <c r="J1003" s="17">
        <f t="shared" si="26"/>
        <v>0</v>
      </c>
      <c r="K1003" s="17"/>
      <c r="L1003" s="16" t="s">
        <v>18</v>
      </c>
      <c r="M1003" s="16" t="s">
        <v>22</v>
      </c>
      <c r="N1003" s="39" t="s">
        <v>418</v>
      </c>
    </row>
    <row r="1004" spans="1:14" s="12" customFormat="1" ht="30">
      <c r="A1004" s="178" t="s">
        <v>99</v>
      </c>
      <c r="B1004" s="75" t="s">
        <v>1094</v>
      </c>
      <c r="C1004" s="176" t="s">
        <v>208</v>
      </c>
      <c r="D1004" s="176"/>
      <c r="E1004" s="176"/>
      <c r="F1004" s="176"/>
      <c r="G1004" s="176"/>
      <c r="H1004" s="499">
        <f>SUM(Tabla132112415[[#This Row],[PRIMER TRIMESTRE]:[CUARTO TRIMESTRE]])</f>
        <v>0</v>
      </c>
      <c r="I1004" s="17">
        <v>200</v>
      </c>
      <c r="J1004" s="17">
        <f t="shared" si="26"/>
        <v>0</v>
      </c>
      <c r="K1004" s="17"/>
      <c r="L1004" s="16" t="s">
        <v>18</v>
      </c>
      <c r="M1004" s="16" t="s">
        <v>22</v>
      </c>
      <c r="N1004" s="39" t="s">
        <v>418</v>
      </c>
    </row>
    <row r="1005" spans="1:14" s="12" customFormat="1" ht="30">
      <c r="A1005" s="178" t="s">
        <v>99</v>
      </c>
      <c r="B1005" s="75" t="s">
        <v>1095</v>
      </c>
      <c r="C1005" s="176" t="s">
        <v>208</v>
      </c>
      <c r="D1005" s="176"/>
      <c r="E1005" s="176"/>
      <c r="F1005" s="176"/>
      <c r="G1005" s="176"/>
      <c r="H1005" s="499">
        <f>SUM(Tabla132112415[[#This Row],[PRIMER TRIMESTRE]:[CUARTO TRIMESTRE]])</f>
        <v>0</v>
      </c>
      <c r="I1005" s="17">
        <v>200</v>
      </c>
      <c r="J1005" s="17">
        <f t="shared" si="26"/>
        <v>0</v>
      </c>
      <c r="K1005" s="17"/>
      <c r="L1005" s="16" t="s">
        <v>18</v>
      </c>
      <c r="M1005" s="16" t="s">
        <v>22</v>
      </c>
      <c r="N1005" s="39" t="s">
        <v>418</v>
      </c>
    </row>
    <row r="1006" spans="1:14" s="12" customFormat="1" ht="30">
      <c r="A1006" s="178" t="s">
        <v>99</v>
      </c>
      <c r="B1006" s="75" t="s">
        <v>1096</v>
      </c>
      <c r="C1006" s="176" t="s">
        <v>208</v>
      </c>
      <c r="D1006" s="176">
        <v>50</v>
      </c>
      <c r="E1006" s="176"/>
      <c r="F1006" s="176">
        <v>50</v>
      </c>
      <c r="G1006" s="176"/>
      <c r="H1006" s="499">
        <f>SUM(Tabla132112415[[#This Row],[PRIMER TRIMESTRE]:[CUARTO TRIMESTRE]])</f>
        <v>100</v>
      </c>
      <c r="I1006" s="17">
        <v>500</v>
      </c>
      <c r="J1006" s="17">
        <f t="shared" si="26"/>
        <v>50000</v>
      </c>
      <c r="K1006" s="17"/>
      <c r="L1006" s="16" t="s">
        <v>18</v>
      </c>
      <c r="M1006" s="16" t="s">
        <v>22</v>
      </c>
      <c r="N1006" s="39" t="s">
        <v>418</v>
      </c>
    </row>
    <row r="1007" spans="1:14" s="12" customFormat="1" ht="30">
      <c r="A1007" s="178" t="s">
        <v>99</v>
      </c>
      <c r="B1007" s="75" t="s">
        <v>1098</v>
      </c>
      <c r="C1007" s="176" t="s">
        <v>1099</v>
      </c>
      <c r="D1007" s="176"/>
      <c r="E1007" s="176"/>
      <c r="F1007" s="176"/>
      <c r="G1007" s="176"/>
      <c r="H1007" s="499">
        <f>SUM(Tabla132112415[[#This Row],[PRIMER TRIMESTRE]:[CUARTO TRIMESTRE]])</f>
        <v>0</v>
      </c>
      <c r="I1007" s="17">
        <v>115</v>
      </c>
      <c r="J1007" s="17">
        <f t="shared" si="26"/>
        <v>0</v>
      </c>
      <c r="K1007" s="17"/>
      <c r="L1007" s="16" t="s">
        <v>18</v>
      </c>
      <c r="M1007" s="16" t="s">
        <v>22</v>
      </c>
      <c r="N1007" s="39" t="s">
        <v>418</v>
      </c>
    </row>
    <row r="1008" spans="1:14" s="12" customFormat="1" ht="30">
      <c r="A1008" s="178" t="s">
        <v>99</v>
      </c>
      <c r="B1008" s="75" t="s">
        <v>1100</v>
      </c>
      <c r="C1008" s="176" t="s">
        <v>1067</v>
      </c>
      <c r="D1008" s="176"/>
      <c r="E1008" s="176"/>
      <c r="F1008" s="176"/>
      <c r="G1008" s="176"/>
      <c r="H1008" s="499">
        <f>SUM(Tabla132112415[[#This Row],[PRIMER TRIMESTRE]:[CUARTO TRIMESTRE]])</f>
        <v>0</v>
      </c>
      <c r="I1008" s="17">
        <v>50</v>
      </c>
      <c r="J1008" s="17">
        <f t="shared" si="26"/>
        <v>0</v>
      </c>
      <c r="K1008" s="17"/>
      <c r="L1008" s="16" t="s">
        <v>18</v>
      </c>
      <c r="M1008" s="16" t="s">
        <v>22</v>
      </c>
      <c r="N1008" s="39" t="s">
        <v>418</v>
      </c>
    </row>
    <row r="1009" spans="1:14" s="12" customFormat="1" ht="30">
      <c r="A1009" s="178" t="s">
        <v>99</v>
      </c>
      <c r="B1009" s="75" t="s">
        <v>1101</v>
      </c>
      <c r="C1009" s="176" t="s">
        <v>35</v>
      </c>
      <c r="D1009" s="176">
        <v>12</v>
      </c>
      <c r="E1009" s="176">
        <v>12</v>
      </c>
      <c r="F1009" s="176">
        <v>12</v>
      </c>
      <c r="G1009" s="176">
        <v>12</v>
      </c>
      <c r="H1009" s="499">
        <f>SUM(Tabla132112415[[#This Row],[PRIMER TRIMESTRE]:[CUARTO TRIMESTRE]])</f>
        <v>48</v>
      </c>
      <c r="I1009" s="17">
        <v>2000</v>
      </c>
      <c r="J1009" s="17">
        <f t="shared" si="26"/>
        <v>96000</v>
      </c>
      <c r="K1009" s="17"/>
      <c r="L1009" s="16" t="s">
        <v>18</v>
      </c>
      <c r="M1009" s="16" t="s">
        <v>22</v>
      </c>
      <c r="N1009" s="39" t="s">
        <v>418</v>
      </c>
    </row>
    <row r="1010" spans="1:14" s="12" customFormat="1" ht="30">
      <c r="A1010" s="178" t="s">
        <v>99</v>
      </c>
      <c r="B1010" s="75" t="s">
        <v>1626</v>
      </c>
      <c r="C1010" s="176" t="s">
        <v>35</v>
      </c>
      <c r="D1010" s="176"/>
      <c r="E1010" s="176"/>
      <c r="F1010" s="176"/>
      <c r="G1010" s="176"/>
      <c r="H1010" s="176">
        <f>SUM(Tabla132112415[[#This Row],[PRIMER TRIMESTRE]:[CUARTO TRIMESTRE]])</f>
        <v>0</v>
      </c>
      <c r="I1010" s="17">
        <v>2850</v>
      </c>
      <c r="J1010" s="17">
        <f t="shared" si="26"/>
        <v>0</v>
      </c>
      <c r="K1010" s="17"/>
      <c r="L1010" s="16" t="s">
        <v>18</v>
      </c>
      <c r="M1010" s="16" t="s">
        <v>22</v>
      </c>
      <c r="N1010" s="39" t="s">
        <v>418</v>
      </c>
    </row>
    <row r="1011" spans="1:14" s="12" customFormat="1" ht="30">
      <c r="A1011" s="178" t="s">
        <v>99</v>
      </c>
      <c r="B1011" s="75" t="s">
        <v>1102</v>
      </c>
      <c r="C1011" s="176" t="s">
        <v>1065</v>
      </c>
      <c r="D1011" s="176"/>
      <c r="E1011" s="176"/>
      <c r="F1011" s="176"/>
      <c r="G1011" s="176"/>
      <c r="H1011" s="499">
        <f>SUM(Tabla132112415[[#This Row],[PRIMER TRIMESTRE]:[CUARTO TRIMESTRE]])</f>
        <v>0</v>
      </c>
      <c r="I1011" s="17">
        <v>100</v>
      </c>
      <c r="J1011" s="17">
        <f t="shared" si="26"/>
        <v>0</v>
      </c>
      <c r="K1011" s="17"/>
      <c r="L1011" s="16" t="s">
        <v>18</v>
      </c>
      <c r="M1011" s="16" t="s">
        <v>22</v>
      </c>
      <c r="N1011" s="39" t="s">
        <v>418</v>
      </c>
    </row>
    <row r="1012" spans="1:14" s="12" customFormat="1" ht="30">
      <c r="A1012" s="178" t="s">
        <v>99</v>
      </c>
      <c r="B1012" s="75" t="s">
        <v>1103</v>
      </c>
      <c r="C1012" s="176" t="s">
        <v>1065</v>
      </c>
      <c r="D1012" s="176"/>
      <c r="E1012" s="176"/>
      <c r="F1012" s="176"/>
      <c r="G1012" s="176"/>
      <c r="H1012" s="499">
        <f>SUM(Tabla132112415[[#This Row],[PRIMER TRIMESTRE]:[CUARTO TRIMESTRE]])</f>
        <v>0</v>
      </c>
      <c r="I1012" s="17">
        <v>100</v>
      </c>
      <c r="J1012" s="17">
        <f t="shared" ref="J1012:J1068" si="27">+H1012*I1012</f>
        <v>0</v>
      </c>
      <c r="K1012" s="17"/>
      <c r="L1012" s="16" t="s">
        <v>18</v>
      </c>
      <c r="M1012" s="16" t="s">
        <v>22</v>
      </c>
      <c r="N1012" s="39" t="s">
        <v>418</v>
      </c>
    </row>
    <row r="1013" spans="1:14" s="12" customFormat="1" ht="30">
      <c r="A1013" s="178" t="s">
        <v>99</v>
      </c>
      <c r="B1013" s="75" t="s">
        <v>1104</v>
      </c>
      <c r="C1013" s="176" t="s">
        <v>102</v>
      </c>
      <c r="D1013" s="176"/>
      <c r="E1013" s="176"/>
      <c r="F1013" s="176"/>
      <c r="G1013" s="176"/>
      <c r="H1013" s="499">
        <f>SUM(Tabla132112415[[#This Row],[PRIMER TRIMESTRE]:[CUARTO TRIMESTRE]])</f>
        <v>0</v>
      </c>
      <c r="I1013" s="17">
        <v>600</v>
      </c>
      <c r="J1013" s="17">
        <f t="shared" si="27"/>
        <v>0</v>
      </c>
      <c r="K1013" s="17"/>
      <c r="L1013" s="16" t="s">
        <v>18</v>
      </c>
      <c r="M1013" s="16" t="s">
        <v>22</v>
      </c>
      <c r="N1013" s="39" t="s">
        <v>418</v>
      </c>
    </row>
    <row r="1014" spans="1:14" s="12" customFormat="1" ht="30">
      <c r="A1014" s="178" t="s">
        <v>99</v>
      </c>
      <c r="B1014" s="75" t="s">
        <v>1106</v>
      </c>
      <c r="C1014" s="176" t="s">
        <v>149</v>
      </c>
      <c r="D1014" s="176"/>
      <c r="E1014" s="176"/>
      <c r="F1014" s="176"/>
      <c r="G1014" s="176"/>
      <c r="H1014" s="499">
        <f>SUM(Tabla132112415[[#This Row],[PRIMER TRIMESTRE]:[CUARTO TRIMESTRE]])</f>
        <v>0</v>
      </c>
      <c r="I1014" s="17">
        <v>80</v>
      </c>
      <c r="J1014" s="17">
        <f t="shared" si="27"/>
        <v>0</v>
      </c>
      <c r="K1014" s="17"/>
      <c r="L1014" s="16" t="s">
        <v>18</v>
      </c>
      <c r="M1014" s="16" t="s">
        <v>22</v>
      </c>
      <c r="N1014" s="39" t="s">
        <v>418</v>
      </c>
    </row>
    <row r="1015" spans="1:14" s="12" customFormat="1" ht="30">
      <c r="A1015" s="178" t="s">
        <v>99</v>
      </c>
      <c r="B1015" s="75" t="s">
        <v>1107</v>
      </c>
      <c r="C1015" s="176" t="s">
        <v>149</v>
      </c>
      <c r="D1015" s="176"/>
      <c r="E1015" s="176"/>
      <c r="F1015" s="176"/>
      <c r="G1015" s="176"/>
      <c r="H1015" s="499">
        <f>SUM(Tabla132112415[[#This Row],[PRIMER TRIMESTRE]:[CUARTO TRIMESTRE]])</f>
        <v>0</v>
      </c>
      <c r="I1015" s="17">
        <v>80</v>
      </c>
      <c r="J1015" s="17">
        <f t="shared" si="27"/>
        <v>0</v>
      </c>
      <c r="K1015" s="17"/>
      <c r="L1015" s="16" t="s">
        <v>18</v>
      </c>
      <c r="M1015" s="16" t="s">
        <v>22</v>
      </c>
      <c r="N1015" s="39" t="s">
        <v>418</v>
      </c>
    </row>
    <row r="1016" spans="1:14" s="12" customFormat="1" ht="30">
      <c r="A1016" s="178" t="s">
        <v>99</v>
      </c>
      <c r="B1016" s="75" t="s">
        <v>306</v>
      </c>
      <c r="C1016" s="176" t="s">
        <v>290</v>
      </c>
      <c r="D1016" s="176"/>
      <c r="E1016" s="176"/>
      <c r="F1016" s="176"/>
      <c r="G1016" s="176"/>
      <c r="H1016" s="499">
        <f>SUM(Tabla132112415[[#This Row],[PRIMER TRIMESTRE]:[CUARTO TRIMESTRE]])</f>
        <v>0</v>
      </c>
      <c r="I1016" s="17">
        <v>200</v>
      </c>
      <c r="J1016" s="17">
        <f t="shared" si="27"/>
        <v>0</v>
      </c>
      <c r="K1016" s="17"/>
      <c r="L1016" s="16" t="s">
        <v>18</v>
      </c>
      <c r="M1016" s="16" t="s">
        <v>22</v>
      </c>
      <c r="N1016" s="39" t="s">
        <v>418</v>
      </c>
    </row>
    <row r="1017" spans="1:14" s="12" customFormat="1" ht="76.5">
      <c r="A1017" s="178" t="s">
        <v>99</v>
      </c>
      <c r="B1017" s="75" t="s">
        <v>1108</v>
      </c>
      <c r="C1017" s="176" t="s">
        <v>1067</v>
      </c>
      <c r="D1017" s="176"/>
      <c r="E1017" s="176"/>
      <c r="F1017" s="176"/>
      <c r="G1017" s="176"/>
      <c r="H1017" s="499">
        <f>SUM(Tabla132112415[[#This Row],[PRIMER TRIMESTRE]:[CUARTO TRIMESTRE]])</f>
        <v>0</v>
      </c>
      <c r="I1017" s="17">
        <v>3000</v>
      </c>
      <c r="J1017" s="17">
        <f t="shared" si="27"/>
        <v>0</v>
      </c>
      <c r="K1017" s="17"/>
      <c r="L1017" s="16" t="s">
        <v>18</v>
      </c>
      <c r="M1017" s="16" t="s">
        <v>22</v>
      </c>
      <c r="N1017" s="39" t="s">
        <v>418</v>
      </c>
    </row>
    <row r="1018" spans="1:14" s="12" customFormat="1" ht="51">
      <c r="A1018" s="178" t="s">
        <v>99</v>
      </c>
      <c r="B1018" s="75" t="s">
        <v>1109</v>
      </c>
      <c r="C1018" s="176" t="s">
        <v>1067</v>
      </c>
      <c r="D1018" s="176"/>
      <c r="E1018" s="176"/>
      <c r="F1018" s="176"/>
      <c r="G1018" s="176"/>
      <c r="H1018" s="499">
        <f>SUM(Tabla132112415[[#This Row],[PRIMER TRIMESTRE]:[CUARTO TRIMESTRE]])</f>
        <v>0</v>
      </c>
      <c r="I1018" s="17">
        <v>2000</v>
      </c>
      <c r="J1018" s="17">
        <f t="shared" si="27"/>
        <v>0</v>
      </c>
      <c r="K1018" s="17"/>
      <c r="L1018" s="16" t="s">
        <v>18</v>
      </c>
      <c r="M1018" s="16" t="s">
        <v>22</v>
      </c>
      <c r="N1018" s="39" t="s">
        <v>418</v>
      </c>
    </row>
    <row r="1019" spans="1:14" s="12" customFormat="1" ht="51">
      <c r="A1019" s="178" t="s">
        <v>99</v>
      </c>
      <c r="B1019" s="75" t="s">
        <v>1110</v>
      </c>
      <c r="C1019" s="176" t="s">
        <v>1067</v>
      </c>
      <c r="D1019" s="176"/>
      <c r="E1019" s="176"/>
      <c r="F1019" s="176"/>
      <c r="G1019" s="176"/>
      <c r="H1019" s="499">
        <f>SUM(Tabla132112415[[#This Row],[PRIMER TRIMESTRE]:[CUARTO TRIMESTRE]])</f>
        <v>0</v>
      </c>
      <c r="I1019" s="17">
        <v>2000</v>
      </c>
      <c r="J1019" s="17">
        <f t="shared" si="27"/>
        <v>0</v>
      </c>
      <c r="K1019" s="17"/>
      <c r="L1019" s="16" t="s">
        <v>18</v>
      </c>
      <c r="M1019" s="16" t="s">
        <v>22</v>
      </c>
      <c r="N1019" s="39" t="s">
        <v>418</v>
      </c>
    </row>
    <row r="1020" spans="1:14" s="12" customFormat="1" ht="51">
      <c r="A1020" s="178" t="s">
        <v>99</v>
      </c>
      <c r="B1020" s="75" t="s">
        <v>1111</v>
      </c>
      <c r="C1020" s="176" t="s">
        <v>1067</v>
      </c>
      <c r="D1020" s="176"/>
      <c r="E1020" s="176"/>
      <c r="F1020" s="176"/>
      <c r="G1020" s="176"/>
      <c r="H1020" s="499">
        <f>SUM(Tabla132112415[[#This Row],[PRIMER TRIMESTRE]:[CUARTO TRIMESTRE]])</f>
        <v>0</v>
      </c>
      <c r="I1020" s="17">
        <v>2000</v>
      </c>
      <c r="J1020" s="17">
        <f t="shared" si="27"/>
        <v>0</v>
      </c>
      <c r="K1020" s="17"/>
      <c r="L1020" s="16" t="s">
        <v>18</v>
      </c>
      <c r="M1020" s="16" t="s">
        <v>22</v>
      </c>
      <c r="N1020" s="39" t="s">
        <v>418</v>
      </c>
    </row>
    <row r="1021" spans="1:14" s="12" customFormat="1" ht="38.25">
      <c r="A1021" s="178" t="s">
        <v>99</v>
      </c>
      <c r="B1021" s="75" t="s">
        <v>1112</v>
      </c>
      <c r="C1021" s="176" t="s">
        <v>1067</v>
      </c>
      <c r="D1021" s="176"/>
      <c r="E1021" s="176"/>
      <c r="F1021" s="176"/>
      <c r="G1021" s="176"/>
      <c r="H1021" s="499">
        <f>SUM(Tabla132112415[[#This Row],[PRIMER TRIMESTRE]:[CUARTO TRIMESTRE]])</f>
        <v>0</v>
      </c>
      <c r="I1021" s="17">
        <v>20000</v>
      </c>
      <c r="J1021" s="17">
        <f t="shared" si="27"/>
        <v>0</v>
      </c>
      <c r="K1021" s="17"/>
      <c r="L1021" s="16" t="s">
        <v>18</v>
      </c>
      <c r="M1021" s="16" t="s">
        <v>22</v>
      </c>
      <c r="N1021" s="39" t="s">
        <v>418</v>
      </c>
    </row>
    <row r="1022" spans="1:14" s="12" customFormat="1" ht="38.25">
      <c r="A1022" s="178" t="s">
        <v>99</v>
      </c>
      <c r="B1022" s="75" t="s">
        <v>1113</v>
      </c>
      <c r="C1022" s="176" t="s">
        <v>1067</v>
      </c>
      <c r="D1022" s="176"/>
      <c r="E1022" s="176"/>
      <c r="F1022" s="176"/>
      <c r="G1022" s="176"/>
      <c r="H1022" s="499">
        <f>SUM(Tabla132112415[[#This Row],[PRIMER TRIMESTRE]:[CUARTO TRIMESTRE]])</f>
        <v>0</v>
      </c>
      <c r="I1022" s="17">
        <v>5000</v>
      </c>
      <c r="J1022" s="17">
        <f t="shared" si="27"/>
        <v>0</v>
      </c>
      <c r="K1022" s="17"/>
      <c r="L1022" s="16" t="s">
        <v>18</v>
      </c>
      <c r="M1022" s="16" t="s">
        <v>22</v>
      </c>
      <c r="N1022" s="39" t="s">
        <v>418</v>
      </c>
    </row>
    <row r="1023" spans="1:14" s="12" customFormat="1" ht="38.25">
      <c r="A1023" s="178" t="s">
        <v>99</v>
      </c>
      <c r="B1023" s="75" t="s">
        <v>1114</v>
      </c>
      <c r="C1023" s="176" t="s">
        <v>1067</v>
      </c>
      <c r="D1023" s="176"/>
      <c r="E1023" s="176"/>
      <c r="F1023" s="176"/>
      <c r="G1023" s="176"/>
      <c r="H1023" s="499">
        <f>SUM(Tabla132112415[[#This Row],[PRIMER TRIMESTRE]:[CUARTO TRIMESTRE]])</f>
        <v>0</v>
      </c>
      <c r="I1023" s="17">
        <v>80000</v>
      </c>
      <c r="J1023" s="17">
        <f t="shared" si="27"/>
        <v>0</v>
      </c>
      <c r="K1023" s="17"/>
      <c r="L1023" s="16" t="s">
        <v>18</v>
      </c>
      <c r="M1023" s="16" t="s">
        <v>22</v>
      </c>
      <c r="N1023" s="39" t="s">
        <v>418</v>
      </c>
    </row>
    <row r="1024" spans="1:14" s="12" customFormat="1" ht="38.25">
      <c r="A1024" s="178" t="s">
        <v>99</v>
      </c>
      <c r="B1024" s="75" t="s">
        <v>1115</v>
      </c>
      <c r="C1024" s="176" t="s">
        <v>1067</v>
      </c>
      <c r="D1024" s="176"/>
      <c r="E1024" s="176"/>
      <c r="F1024" s="176"/>
      <c r="G1024" s="176"/>
      <c r="H1024" s="499">
        <f>SUM(Tabla132112415[[#This Row],[PRIMER TRIMESTRE]:[CUARTO TRIMESTRE]])</f>
        <v>0</v>
      </c>
      <c r="I1024" s="17">
        <v>38000</v>
      </c>
      <c r="J1024" s="17">
        <f t="shared" si="27"/>
        <v>0</v>
      </c>
      <c r="K1024" s="17"/>
      <c r="L1024" s="16" t="s">
        <v>18</v>
      </c>
      <c r="M1024" s="16" t="s">
        <v>22</v>
      </c>
      <c r="N1024" s="39" t="s">
        <v>418</v>
      </c>
    </row>
    <row r="1025" spans="1:14" s="12" customFormat="1" ht="30">
      <c r="A1025" s="178" t="s">
        <v>99</v>
      </c>
      <c r="B1025" s="75" t="s">
        <v>1116</v>
      </c>
      <c r="C1025" s="176" t="s">
        <v>1067</v>
      </c>
      <c r="D1025" s="176"/>
      <c r="E1025" s="176"/>
      <c r="F1025" s="176"/>
      <c r="G1025" s="176"/>
      <c r="H1025" s="499">
        <f>SUM(Tabla132112415[[#This Row],[PRIMER TRIMESTRE]:[CUARTO TRIMESTRE]])</f>
        <v>0</v>
      </c>
      <c r="I1025" s="17">
        <v>52000</v>
      </c>
      <c r="J1025" s="17">
        <f t="shared" si="27"/>
        <v>0</v>
      </c>
      <c r="K1025" s="17"/>
      <c r="L1025" s="16" t="s">
        <v>18</v>
      </c>
      <c r="M1025" s="16" t="s">
        <v>22</v>
      </c>
      <c r="N1025" s="39" t="s">
        <v>418</v>
      </c>
    </row>
    <row r="1026" spans="1:14" s="12" customFormat="1" ht="30">
      <c r="A1026" s="178" t="s">
        <v>99</v>
      </c>
      <c r="B1026" s="75" t="s">
        <v>1117</v>
      </c>
      <c r="C1026" s="176" t="s">
        <v>1067</v>
      </c>
      <c r="D1026" s="176"/>
      <c r="E1026" s="176"/>
      <c r="F1026" s="176"/>
      <c r="G1026" s="176"/>
      <c r="H1026" s="499">
        <f>SUM(Tabla132112415[[#This Row],[PRIMER TRIMESTRE]:[CUARTO TRIMESTRE]])</f>
        <v>0</v>
      </c>
      <c r="I1026" s="17">
        <v>4000</v>
      </c>
      <c r="J1026" s="17">
        <f t="shared" si="27"/>
        <v>0</v>
      </c>
      <c r="K1026" s="17"/>
      <c r="L1026" s="16" t="s">
        <v>18</v>
      </c>
      <c r="M1026" s="16" t="s">
        <v>22</v>
      </c>
      <c r="N1026" s="39" t="s">
        <v>418</v>
      </c>
    </row>
    <row r="1027" spans="1:14" s="12" customFormat="1" ht="30">
      <c r="A1027" s="178" t="s">
        <v>99</v>
      </c>
      <c r="B1027" s="75" t="s">
        <v>1118</v>
      </c>
      <c r="C1027" s="176" t="s">
        <v>1067</v>
      </c>
      <c r="D1027" s="176"/>
      <c r="E1027" s="176"/>
      <c r="F1027" s="176"/>
      <c r="G1027" s="176"/>
      <c r="H1027" s="499">
        <f>SUM(Tabla132112415[[#This Row],[PRIMER TRIMESTRE]:[CUARTO TRIMESTRE]])</f>
        <v>0</v>
      </c>
      <c r="I1027" s="17">
        <v>8000</v>
      </c>
      <c r="J1027" s="17">
        <f t="shared" si="27"/>
        <v>0</v>
      </c>
      <c r="K1027" s="17"/>
      <c r="L1027" s="16" t="s">
        <v>18</v>
      </c>
      <c r="M1027" s="16" t="s">
        <v>22</v>
      </c>
      <c r="N1027" s="39" t="s">
        <v>418</v>
      </c>
    </row>
    <row r="1028" spans="1:14" s="12" customFormat="1" ht="30">
      <c r="A1028" s="178" t="s">
        <v>99</v>
      </c>
      <c r="B1028" s="75" t="s">
        <v>1119</v>
      </c>
      <c r="C1028" s="176" t="s">
        <v>1067</v>
      </c>
      <c r="D1028" s="176"/>
      <c r="E1028" s="176"/>
      <c r="F1028" s="176"/>
      <c r="G1028" s="176"/>
      <c r="H1028" s="499">
        <f>SUM(Tabla132112415[[#This Row],[PRIMER TRIMESTRE]:[CUARTO TRIMESTRE]])</f>
        <v>0</v>
      </c>
      <c r="I1028" s="17">
        <v>350000</v>
      </c>
      <c r="J1028" s="17">
        <f t="shared" si="27"/>
        <v>0</v>
      </c>
      <c r="K1028" s="17"/>
      <c r="L1028" s="16" t="s">
        <v>18</v>
      </c>
      <c r="M1028" s="16" t="s">
        <v>22</v>
      </c>
      <c r="N1028" s="39" t="s">
        <v>418</v>
      </c>
    </row>
    <row r="1029" spans="1:14" s="12" customFormat="1" ht="30">
      <c r="A1029" s="178" t="s">
        <v>99</v>
      </c>
      <c r="B1029" s="75" t="s">
        <v>1120</v>
      </c>
      <c r="C1029" s="176" t="s">
        <v>1067</v>
      </c>
      <c r="D1029" s="176"/>
      <c r="E1029" s="176"/>
      <c r="F1029" s="176"/>
      <c r="G1029" s="176"/>
      <c r="H1029" s="499">
        <f>SUM(Tabla132112415[[#This Row],[PRIMER TRIMESTRE]:[CUARTO TRIMESTRE]])</f>
        <v>0</v>
      </c>
      <c r="I1029" s="17">
        <v>21000</v>
      </c>
      <c r="J1029" s="17">
        <f t="shared" si="27"/>
        <v>0</v>
      </c>
      <c r="K1029" s="17"/>
      <c r="L1029" s="16" t="s">
        <v>18</v>
      </c>
      <c r="M1029" s="16" t="s">
        <v>22</v>
      </c>
      <c r="N1029" s="39" t="s">
        <v>418</v>
      </c>
    </row>
    <row r="1030" spans="1:14" s="12" customFormat="1" ht="89.25">
      <c r="A1030" s="178" t="s">
        <v>99</v>
      </c>
      <c r="B1030" s="75" t="s">
        <v>1121</v>
      </c>
      <c r="C1030" s="176" t="s">
        <v>1067</v>
      </c>
      <c r="D1030" s="176"/>
      <c r="E1030" s="176"/>
      <c r="F1030" s="176"/>
      <c r="G1030" s="176"/>
      <c r="H1030" s="499">
        <f>SUM(Tabla132112415[[#This Row],[PRIMER TRIMESTRE]:[CUARTO TRIMESTRE]])</f>
        <v>0</v>
      </c>
      <c r="I1030" s="17">
        <v>300000</v>
      </c>
      <c r="J1030" s="17">
        <f t="shared" si="27"/>
        <v>0</v>
      </c>
      <c r="K1030" s="17"/>
      <c r="L1030" s="16" t="s">
        <v>18</v>
      </c>
      <c r="M1030" s="16" t="s">
        <v>22</v>
      </c>
      <c r="N1030" s="39" t="s">
        <v>418</v>
      </c>
    </row>
    <row r="1031" spans="1:14" s="12" customFormat="1" ht="30">
      <c r="A1031" s="178" t="s">
        <v>99</v>
      </c>
      <c r="B1031" s="75" t="s">
        <v>1122</v>
      </c>
      <c r="C1031" s="176" t="s">
        <v>1067</v>
      </c>
      <c r="D1031" s="176"/>
      <c r="E1031" s="176"/>
      <c r="F1031" s="176"/>
      <c r="G1031" s="176"/>
      <c r="H1031" s="499">
        <f>SUM(Tabla132112415[[#This Row],[PRIMER TRIMESTRE]:[CUARTO TRIMESTRE]])</f>
        <v>0</v>
      </c>
      <c r="I1031" s="17">
        <v>12000</v>
      </c>
      <c r="J1031" s="17">
        <f t="shared" si="27"/>
        <v>0</v>
      </c>
      <c r="K1031" s="17"/>
      <c r="L1031" s="16" t="s">
        <v>18</v>
      </c>
      <c r="M1031" s="16" t="s">
        <v>22</v>
      </c>
      <c r="N1031" s="39" t="s">
        <v>418</v>
      </c>
    </row>
    <row r="1032" spans="1:14" s="12" customFormat="1" ht="30">
      <c r="A1032" s="178" t="s">
        <v>99</v>
      </c>
      <c r="B1032" s="75" t="s">
        <v>1123</v>
      </c>
      <c r="C1032" s="176" t="s">
        <v>1067</v>
      </c>
      <c r="D1032" s="176"/>
      <c r="E1032" s="176"/>
      <c r="F1032" s="176"/>
      <c r="G1032" s="176"/>
      <c r="H1032" s="499">
        <f>SUM(Tabla132112415[[#This Row],[PRIMER TRIMESTRE]:[CUARTO TRIMESTRE]])</f>
        <v>0</v>
      </c>
      <c r="I1032" s="17">
        <v>10000</v>
      </c>
      <c r="J1032" s="17">
        <f t="shared" si="27"/>
        <v>0</v>
      </c>
      <c r="K1032" s="17"/>
      <c r="L1032" s="16" t="s">
        <v>18</v>
      </c>
      <c r="M1032" s="16" t="s">
        <v>22</v>
      </c>
      <c r="N1032" s="39" t="s">
        <v>418</v>
      </c>
    </row>
    <row r="1033" spans="1:14" s="12" customFormat="1" ht="30">
      <c r="A1033" s="178" t="s">
        <v>99</v>
      </c>
      <c r="B1033" s="75" t="s">
        <v>1124</v>
      </c>
      <c r="C1033" s="176" t="s">
        <v>1067</v>
      </c>
      <c r="D1033" s="176"/>
      <c r="E1033" s="176"/>
      <c r="F1033" s="176"/>
      <c r="G1033" s="176"/>
      <c r="H1033" s="499">
        <f>SUM(Tabla132112415[[#This Row],[PRIMER TRIMESTRE]:[CUARTO TRIMESTRE]])</f>
        <v>0</v>
      </c>
      <c r="I1033" s="17">
        <v>5000</v>
      </c>
      <c r="J1033" s="17">
        <f t="shared" si="27"/>
        <v>0</v>
      </c>
      <c r="K1033" s="17"/>
      <c r="L1033" s="16" t="s">
        <v>18</v>
      </c>
      <c r="M1033" s="16" t="s">
        <v>22</v>
      </c>
      <c r="N1033" s="39" t="s">
        <v>418</v>
      </c>
    </row>
    <row r="1034" spans="1:14" s="12" customFormat="1" ht="30">
      <c r="A1034" s="178" t="s">
        <v>99</v>
      </c>
      <c r="B1034" s="75" t="s">
        <v>1125</v>
      </c>
      <c r="C1034" s="176" t="s">
        <v>1067</v>
      </c>
      <c r="D1034" s="176"/>
      <c r="E1034" s="176"/>
      <c r="F1034" s="176"/>
      <c r="G1034" s="176"/>
      <c r="H1034" s="499">
        <f>SUM(Tabla132112415[[#This Row],[PRIMER TRIMESTRE]:[CUARTO TRIMESTRE]])</f>
        <v>0</v>
      </c>
      <c r="I1034" s="17">
        <v>5000</v>
      </c>
      <c r="J1034" s="17">
        <f t="shared" si="27"/>
        <v>0</v>
      </c>
      <c r="K1034" s="17"/>
      <c r="L1034" s="16" t="s">
        <v>18</v>
      </c>
      <c r="M1034" s="16" t="s">
        <v>22</v>
      </c>
      <c r="N1034" s="39" t="s">
        <v>418</v>
      </c>
    </row>
    <row r="1035" spans="1:14" s="12" customFormat="1" ht="30">
      <c r="A1035" s="178" t="s">
        <v>99</v>
      </c>
      <c r="B1035" s="75" t="s">
        <v>1126</v>
      </c>
      <c r="C1035" s="176" t="s">
        <v>1067</v>
      </c>
      <c r="D1035" s="176"/>
      <c r="E1035" s="176"/>
      <c r="F1035" s="176"/>
      <c r="G1035" s="176"/>
      <c r="H1035" s="499">
        <f>SUM(Tabla132112415[[#This Row],[PRIMER TRIMESTRE]:[CUARTO TRIMESTRE]])</f>
        <v>0</v>
      </c>
      <c r="I1035" s="17">
        <v>3000</v>
      </c>
      <c r="J1035" s="17">
        <f t="shared" si="27"/>
        <v>0</v>
      </c>
      <c r="K1035" s="17"/>
      <c r="L1035" s="16" t="s">
        <v>18</v>
      </c>
      <c r="M1035" s="16" t="s">
        <v>22</v>
      </c>
      <c r="N1035" s="39" t="s">
        <v>418</v>
      </c>
    </row>
    <row r="1036" spans="1:14" s="12" customFormat="1" ht="30">
      <c r="A1036" s="178" t="s">
        <v>99</v>
      </c>
      <c r="B1036" s="75" t="s">
        <v>1093</v>
      </c>
      <c r="C1036" s="176" t="s">
        <v>1067</v>
      </c>
      <c r="D1036" s="176"/>
      <c r="E1036" s="176"/>
      <c r="F1036" s="176"/>
      <c r="G1036" s="176"/>
      <c r="H1036" s="499">
        <f>SUM(Tabla132112415[[#This Row],[PRIMER TRIMESTRE]:[CUARTO TRIMESTRE]])</f>
        <v>0</v>
      </c>
      <c r="I1036" s="17">
        <v>250</v>
      </c>
      <c r="J1036" s="17">
        <f t="shared" si="27"/>
        <v>0</v>
      </c>
      <c r="K1036" s="17"/>
      <c r="L1036" s="16" t="s">
        <v>18</v>
      </c>
      <c r="M1036" s="16" t="s">
        <v>22</v>
      </c>
      <c r="N1036" s="39" t="s">
        <v>418</v>
      </c>
    </row>
    <row r="1037" spans="1:14" s="12" customFormat="1" ht="30">
      <c r="A1037" s="178" t="s">
        <v>99</v>
      </c>
      <c r="B1037" s="75" t="s">
        <v>1127</v>
      </c>
      <c r="C1037" s="176" t="s">
        <v>1067</v>
      </c>
      <c r="D1037" s="176"/>
      <c r="E1037" s="176"/>
      <c r="F1037" s="176"/>
      <c r="G1037" s="176"/>
      <c r="H1037" s="499">
        <f>SUM(Tabla132112415[[#This Row],[PRIMER TRIMESTRE]:[CUARTO TRIMESTRE]])</f>
        <v>0</v>
      </c>
      <c r="I1037" s="17">
        <v>80000</v>
      </c>
      <c r="J1037" s="17">
        <f t="shared" si="27"/>
        <v>0</v>
      </c>
      <c r="K1037" s="17"/>
      <c r="L1037" s="16" t="s">
        <v>18</v>
      </c>
      <c r="M1037" s="16" t="s">
        <v>22</v>
      </c>
      <c r="N1037" s="39" t="s">
        <v>418</v>
      </c>
    </row>
    <row r="1038" spans="1:14" s="12" customFormat="1" ht="30">
      <c r="A1038" s="178" t="s">
        <v>99</v>
      </c>
      <c r="B1038" s="75" t="s">
        <v>1128</v>
      </c>
      <c r="C1038" s="176" t="s">
        <v>1067</v>
      </c>
      <c r="D1038" s="176"/>
      <c r="E1038" s="176"/>
      <c r="F1038" s="176"/>
      <c r="G1038" s="176"/>
      <c r="H1038" s="499">
        <f>SUM(Tabla132112415[[#This Row],[PRIMER TRIMESTRE]:[CUARTO TRIMESTRE]])</f>
        <v>0</v>
      </c>
      <c r="I1038" s="17">
        <v>1500</v>
      </c>
      <c r="J1038" s="17">
        <f t="shared" si="27"/>
        <v>0</v>
      </c>
      <c r="K1038" s="17"/>
      <c r="L1038" s="16" t="s">
        <v>18</v>
      </c>
      <c r="M1038" s="16" t="s">
        <v>22</v>
      </c>
      <c r="N1038" s="39" t="s">
        <v>418</v>
      </c>
    </row>
    <row r="1039" spans="1:14" s="12" customFormat="1" ht="30">
      <c r="A1039" s="178" t="s">
        <v>99</v>
      </c>
      <c r="B1039" s="75" t="s">
        <v>1129</v>
      </c>
      <c r="C1039" s="176" t="s">
        <v>1067</v>
      </c>
      <c r="D1039" s="176"/>
      <c r="E1039" s="176"/>
      <c r="F1039" s="176"/>
      <c r="G1039" s="176"/>
      <c r="H1039" s="499">
        <f>SUM(Tabla132112415[[#This Row],[PRIMER TRIMESTRE]:[CUARTO TRIMESTRE]])</f>
        <v>0</v>
      </c>
      <c r="I1039" s="17">
        <v>1000</v>
      </c>
      <c r="J1039" s="17">
        <f t="shared" si="27"/>
        <v>0</v>
      </c>
      <c r="K1039" s="17"/>
      <c r="L1039" s="16" t="s">
        <v>18</v>
      </c>
      <c r="M1039" s="16" t="s">
        <v>22</v>
      </c>
      <c r="N1039" s="39" t="s">
        <v>418</v>
      </c>
    </row>
    <row r="1040" spans="1:14" s="12" customFormat="1" ht="30">
      <c r="A1040" s="178" t="s">
        <v>99</v>
      </c>
      <c r="B1040" s="75" t="s">
        <v>1130</v>
      </c>
      <c r="C1040" s="176" t="s">
        <v>1067</v>
      </c>
      <c r="D1040" s="176"/>
      <c r="E1040" s="176"/>
      <c r="F1040" s="176"/>
      <c r="G1040" s="176"/>
      <c r="H1040" s="499">
        <f>SUM(Tabla132112415[[#This Row],[PRIMER TRIMESTRE]:[CUARTO TRIMESTRE]])</f>
        <v>0</v>
      </c>
      <c r="I1040" s="17">
        <v>2000</v>
      </c>
      <c r="J1040" s="17">
        <f t="shared" si="27"/>
        <v>0</v>
      </c>
      <c r="K1040" s="17"/>
      <c r="L1040" s="16" t="s">
        <v>18</v>
      </c>
      <c r="M1040" s="16" t="s">
        <v>22</v>
      </c>
      <c r="N1040" s="39" t="s">
        <v>418</v>
      </c>
    </row>
    <row r="1041" spans="1:14" s="12" customFormat="1" ht="30">
      <c r="A1041" s="178" t="s">
        <v>99</v>
      </c>
      <c r="B1041" s="75" t="s">
        <v>1131</v>
      </c>
      <c r="C1041" s="176" t="s">
        <v>1067</v>
      </c>
      <c r="D1041" s="176"/>
      <c r="E1041" s="176"/>
      <c r="F1041" s="176"/>
      <c r="G1041" s="176"/>
      <c r="H1041" s="499">
        <f>SUM(Tabla132112415[[#This Row],[PRIMER TRIMESTRE]:[CUARTO TRIMESTRE]])</f>
        <v>0</v>
      </c>
      <c r="I1041" s="17">
        <v>300</v>
      </c>
      <c r="J1041" s="17">
        <f t="shared" si="27"/>
        <v>0</v>
      </c>
      <c r="K1041" s="17"/>
      <c r="L1041" s="16" t="s">
        <v>18</v>
      </c>
      <c r="M1041" s="16" t="s">
        <v>22</v>
      </c>
      <c r="N1041" s="39" t="s">
        <v>418</v>
      </c>
    </row>
    <row r="1042" spans="1:14" s="12" customFormat="1" ht="30">
      <c r="A1042" s="178" t="s">
        <v>99</v>
      </c>
      <c r="B1042" s="75" t="s">
        <v>1508</v>
      </c>
      <c r="C1042" s="176" t="s">
        <v>1067</v>
      </c>
      <c r="D1042" s="176"/>
      <c r="E1042" s="176"/>
      <c r="F1042" s="176"/>
      <c r="G1042" s="176"/>
      <c r="H1042" s="176">
        <f>SUM(Tabla132112415[[#This Row],[PRIMER TRIMESTRE]:[CUARTO TRIMESTRE]])</f>
        <v>0</v>
      </c>
      <c r="I1042" s="17">
        <v>392</v>
      </c>
      <c r="J1042" s="17">
        <f t="shared" si="27"/>
        <v>0</v>
      </c>
      <c r="K1042" s="17"/>
      <c r="L1042" s="16" t="s">
        <v>27</v>
      </c>
      <c r="M1042" s="16" t="s">
        <v>22</v>
      </c>
      <c r="N1042" s="39" t="s">
        <v>418</v>
      </c>
    </row>
    <row r="1043" spans="1:14" s="12" customFormat="1" ht="30">
      <c r="A1043" s="178" t="s">
        <v>99</v>
      </c>
      <c r="B1043" s="75" t="s">
        <v>1132</v>
      </c>
      <c r="C1043" s="176" t="s">
        <v>1067</v>
      </c>
      <c r="D1043" s="176"/>
      <c r="E1043" s="176"/>
      <c r="F1043" s="176"/>
      <c r="G1043" s="176"/>
      <c r="H1043" s="499">
        <f>SUM(Tabla132112415[[#This Row],[PRIMER TRIMESTRE]:[CUARTO TRIMESTRE]])</f>
        <v>0</v>
      </c>
      <c r="I1043" s="17">
        <v>60000</v>
      </c>
      <c r="J1043" s="17">
        <f t="shared" si="27"/>
        <v>0</v>
      </c>
      <c r="K1043" s="17"/>
      <c r="L1043" s="16" t="s">
        <v>18</v>
      </c>
      <c r="M1043" s="16" t="s">
        <v>22</v>
      </c>
      <c r="N1043" s="39" t="s">
        <v>418</v>
      </c>
    </row>
    <row r="1044" spans="1:14" s="12" customFormat="1" ht="63.75">
      <c r="A1044" s="178" t="s">
        <v>99</v>
      </c>
      <c r="B1044" s="75" t="s">
        <v>1133</v>
      </c>
      <c r="C1044" s="176" t="s">
        <v>1067</v>
      </c>
      <c r="D1044" s="176"/>
      <c r="E1044" s="176"/>
      <c r="F1044" s="176"/>
      <c r="G1044" s="176"/>
      <c r="H1044" s="499">
        <f>SUM(Tabla132112415[[#This Row],[PRIMER TRIMESTRE]:[CUARTO TRIMESTRE]])</f>
        <v>0</v>
      </c>
      <c r="I1044" s="17">
        <v>3500</v>
      </c>
      <c r="J1044" s="17">
        <f t="shared" si="27"/>
        <v>0</v>
      </c>
      <c r="K1044" s="17"/>
      <c r="L1044" s="16" t="s">
        <v>18</v>
      </c>
      <c r="M1044" s="16" t="s">
        <v>22</v>
      </c>
      <c r="N1044" s="39" t="s">
        <v>418</v>
      </c>
    </row>
    <row r="1045" spans="1:14" s="12" customFormat="1" ht="30">
      <c r="A1045" s="178" t="s">
        <v>99</v>
      </c>
      <c r="B1045" s="75" t="s">
        <v>1873</v>
      </c>
      <c r="C1045" s="176" t="s">
        <v>1067</v>
      </c>
      <c r="D1045" s="176"/>
      <c r="E1045" s="176"/>
      <c r="F1045" s="176"/>
      <c r="G1045" s="176"/>
      <c r="H1045" s="499">
        <v>1</v>
      </c>
      <c r="I1045" s="17">
        <v>1150</v>
      </c>
      <c r="J1045" s="17">
        <f>Tabla132112415[[#This Row],[PRECIO UNITARIO ESTIMADO]]*Tabla132112415[[#This Row],[CANTIDAD TOTAL]]</f>
        <v>1150</v>
      </c>
      <c r="K1045" s="17"/>
      <c r="L1045" s="16" t="s">
        <v>18</v>
      </c>
      <c r="M1045" s="16" t="s">
        <v>22</v>
      </c>
      <c r="N1045" s="39" t="s">
        <v>418</v>
      </c>
    </row>
    <row r="1046" spans="1:14" s="12" customFormat="1" ht="51">
      <c r="A1046" s="178" t="s">
        <v>99</v>
      </c>
      <c r="B1046" s="75" t="s">
        <v>1134</v>
      </c>
      <c r="C1046" s="176" t="s">
        <v>1067</v>
      </c>
      <c r="D1046" s="176"/>
      <c r="E1046" s="176"/>
      <c r="F1046" s="176"/>
      <c r="G1046" s="176"/>
      <c r="H1046" s="499">
        <f>SUM(Tabla132112415[[#This Row],[PRIMER TRIMESTRE]:[CUARTO TRIMESTRE]])</f>
        <v>0</v>
      </c>
      <c r="I1046" s="17">
        <v>450000</v>
      </c>
      <c r="J1046" s="17">
        <f t="shared" si="27"/>
        <v>0</v>
      </c>
      <c r="K1046" s="17"/>
      <c r="L1046" s="16" t="s">
        <v>18</v>
      </c>
      <c r="M1046" s="16" t="s">
        <v>22</v>
      </c>
      <c r="N1046" s="39" t="s">
        <v>418</v>
      </c>
    </row>
    <row r="1047" spans="1:14" s="12" customFormat="1" ht="51">
      <c r="A1047" s="178" t="s">
        <v>99</v>
      </c>
      <c r="B1047" s="75" t="s">
        <v>1135</v>
      </c>
      <c r="C1047" s="176" t="s">
        <v>1067</v>
      </c>
      <c r="D1047" s="176"/>
      <c r="E1047" s="176"/>
      <c r="F1047" s="176"/>
      <c r="G1047" s="176"/>
      <c r="H1047" s="499">
        <f>SUM(Tabla132112415[[#This Row],[PRIMER TRIMESTRE]:[CUARTO TRIMESTRE]])</f>
        <v>0</v>
      </c>
      <c r="I1047" s="17">
        <v>200000</v>
      </c>
      <c r="J1047" s="17">
        <f t="shared" si="27"/>
        <v>0</v>
      </c>
      <c r="K1047" s="17"/>
      <c r="L1047" s="16" t="s">
        <v>18</v>
      </c>
      <c r="M1047" s="16" t="s">
        <v>22</v>
      </c>
      <c r="N1047" s="39" t="s">
        <v>418</v>
      </c>
    </row>
    <row r="1048" spans="1:14" s="12" customFormat="1" ht="38.25">
      <c r="A1048" s="178" t="s">
        <v>99</v>
      </c>
      <c r="B1048" s="75" t="s">
        <v>1136</v>
      </c>
      <c r="C1048" s="176" t="s">
        <v>1067</v>
      </c>
      <c r="D1048" s="176"/>
      <c r="E1048" s="176"/>
      <c r="F1048" s="176"/>
      <c r="G1048" s="176"/>
      <c r="H1048" s="499">
        <f>SUM(Tabla132112415[[#This Row],[PRIMER TRIMESTRE]:[CUARTO TRIMESTRE]])</f>
        <v>0</v>
      </c>
      <c r="I1048" s="17">
        <v>70000</v>
      </c>
      <c r="J1048" s="17">
        <f t="shared" si="27"/>
        <v>0</v>
      </c>
      <c r="K1048" s="17"/>
      <c r="L1048" s="16" t="s">
        <v>18</v>
      </c>
      <c r="M1048" s="16" t="s">
        <v>22</v>
      </c>
      <c r="N1048" s="39" t="s">
        <v>418</v>
      </c>
    </row>
    <row r="1049" spans="1:14" s="12" customFormat="1" ht="30">
      <c r="A1049" s="178" t="s">
        <v>99</v>
      </c>
      <c r="B1049" s="75" t="s">
        <v>1137</v>
      </c>
      <c r="C1049" s="176" t="s">
        <v>1067</v>
      </c>
      <c r="D1049" s="176"/>
      <c r="E1049" s="176"/>
      <c r="F1049" s="176"/>
      <c r="G1049" s="176"/>
      <c r="H1049" s="499">
        <f>SUM(Tabla132112415[[#This Row],[PRIMER TRIMESTRE]:[CUARTO TRIMESTRE]])</f>
        <v>0</v>
      </c>
      <c r="I1049" s="17">
        <v>20000</v>
      </c>
      <c r="J1049" s="17">
        <f t="shared" si="27"/>
        <v>0</v>
      </c>
      <c r="K1049" s="17"/>
      <c r="L1049" s="16" t="s">
        <v>18</v>
      </c>
      <c r="M1049" s="16" t="s">
        <v>22</v>
      </c>
      <c r="N1049" s="39" t="s">
        <v>418</v>
      </c>
    </row>
    <row r="1050" spans="1:14" s="12" customFormat="1" ht="30">
      <c r="A1050" s="178" t="s">
        <v>99</v>
      </c>
      <c r="B1050" s="75" t="s">
        <v>1148</v>
      </c>
      <c r="C1050" s="176" t="s">
        <v>1067</v>
      </c>
      <c r="D1050" s="176"/>
      <c r="E1050" s="176"/>
      <c r="F1050" s="176"/>
      <c r="G1050" s="176"/>
      <c r="H1050" s="499">
        <f>SUM(Tabla132112415[[#This Row],[PRIMER TRIMESTRE]:[CUARTO TRIMESTRE]])</f>
        <v>0</v>
      </c>
      <c r="I1050" s="17">
        <v>70</v>
      </c>
      <c r="J1050" s="17">
        <f t="shared" si="27"/>
        <v>0</v>
      </c>
      <c r="K1050" s="17"/>
      <c r="L1050" s="16" t="s">
        <v>18</v>
      </c>
      <c r="M1050" s="16" t="s">
        <v>22</v>
      </c>
      <c r="N1050" s="39" t="s">
        <v>418</v>
      </c>
    </row>
    <row r="1051" spans="1:14" s="12" customFormat="1" ht="30">
      <c r="A1051" s="178" t="s">
        <v>99</v>
      </c>
      <c r="B1051" s="75" t="s">
        <v>1139</v>
      </c>
      <c r="C1051" s="176" t="s">
        <v>1067</v>
      </c>
      <c r="D1051" s="176"/>
      <c r="E1051" s="176"/>
      <c r="F1051" s="176"/>
      <c r="G1051" s="176"/>
      <c r="H1051" s="499">
        <f>SUM(Tabla132112415[[#This Row],[PRIMER TRIMESTRE]:[CUARTO TRIMESTRE]])</f>
        <v>0</v>
      </c>
      <c r="I1051" s="17">
        <v>10000</v>
      </c>
      <c r="J1051" s="17">
        <f t="shared" si="27"/>
        <v>0</v>
      </c>
      <c r="K1051" s="17"/>
      <c r="L1051" s="16" t="s">
        <v>18</v>
      </c>
      <c r="M1051" s="16" t="s">
        <v>22</v>
      </c>
      <c r="N1051" s="39" t="s">
        <v>418</v>
      </c>
    </row>
    <row r="1052" spans="1:14" s="12" customFormat="1" ht="76.5">
      <c r="A1052" s="178" t="s">
        <v>99</v>
      </c>
      <c r="B1052" s="75" t="s">
        <v>1140</v>
      </c>
      <c r="C1052" s="176" t="s">
        <v>1067</v>
      </c>
      <c r="D1052" s="176"/>
      <c r="E1052" s="176"/>
      <c r="F1052" s="176"/>
      <c r="G1052" s="176"/>
      <c r="H1052" s="499">
        <f>SUM(Tabla132112415[[#This Row],[PRIMER TRIMESTRE]:[CUARTO TRIMESTRE]])</f>
        <v>0</v>
      </c>
      <c r="I1052" s="17">
        <v>60000</v>
      </c>
      <c r="J1052" s="17">
        <f t="shared" si="27"/>
        <v>0</v>
      </c>
      <c r="K1052" s="17"/>
      <c r="L1052" s="16" t="s">
        <v>18</v>
      </c>
      <c r="M1052" s="16" t="s">
        <v>22</v>
      </c>
      <c r="N1052" s="39" t="s">
        <v>418</v>
      </c>
    </row>
    <row r="1053" spans="1:14" s="12" customFormat="1" ht="30">
      <c r="A1053" s="178" t="s">
        <v>99</v>
      </c>
      <c r="B1053" s="75" t="s">
        <v>1141</v>
      </c>
      <c r="C1053" s="176" t="s">
        <v>718</v>
      </c>
      <c r="D1053" s="176"/>
      <c r="E1053" s="176"/>
      <c r="F1053" s="176"/>
      <c r="G1053" s="176"/>
      <c r="H1053" s="499">
        <f>SUM(Tabla132112415[[#This Row],[PRIMER TRIMESTRE]:[CUARTO TRIMESTRE]])</f>
        <v>0</v>
      </c>
      <c r="I1053" s="17">
        <v>4000</v>
      </c>
      <c r="J1053" s="17">
        <f t="shared" si="27"/>
        <v>0</v>
      </c>
      <c r="K1053" s="17"/>
      <c r="L1053" s="16" t="s">
        <v>18</v>
      </c>
      <c r="M1053" s="16" t="s">
        <v>22</v>
      </c>
      <c r="N1053" s="39" t="s">
        <v>418</v>
      </c>
    </row>
    <row r="1054" spans="1:14" s="12" customFormat="1" ht="30">
      <c r="A1054" s="178" t="s">
        <v>99</v>
      </c>
      <c r="B1054" s="75" t="s">
        <v>1142</v>
      </c>
      <c r="C1054" s="176" t="s">
        <v>718</v>
      </c>
      <c r="D1054" s="176"/>
      <c r="E1054" s="176"/>
      <c r="F1054" s="176"/>
      <c r="G1054" s="176"/>
      <c r="H1054" s="499">
        <f>SUM(Tabla132112415[[#This Row],[PRIMER TRIMESTRE]:[CUARTO TRIMESTRE]])</f>
        <v>0</v>
      </c>
      <c r="I1054" s="17">
        <v>3000</v>
      </c>
      <c r="J1054" s="17">
        <f t="shared" si="27"/>
        <v>0</v>
      </c>
      <c r="K1054" s="17"/>
      <c r="L1054" s="16" t="s">
        <v>18</v>
      </c>
      <c r="M1054" s="16" t="s">
        <v>22</v>
      </c>
      <c r="N1054" s="39" t="s">
        <v>418</v>
      </c>
    </row>
    <row r="1055" spans="1:14" s="12" customFormat="1" ht="30">
      <c r="A1055" s="178" t="s">
        <v>99</v>
      </c>
      <c r="B1055" s="75" t="s">
        <v>1143</v>
      </c>
      <c r="C1055" s="176" t="s">
        <v>1065</v>
      </c>
      <c r="D1055" s="176"/>
      <c r="E1055" s="176"/>
      <c r="F1055" s="176"/>
      <c r="G1055" s="176"/>
      <c r="H1055" s="499">
        <f>SUM(Tabla132112415[[#This Row],[PRIMER TRIMESTRE]:[CUARTO TRIMESTRE]])</f>
        <v>0</v>
      </c>
      <c r="I1055" s="17">
        <v>4500</v>
      </c>
      <c r="J1055" s="17">
        <f t="shared" si="27"/>
        <v>0</v>
      </c>
      <c r="K1055" s="17"/>
      <c r="L1055" s="16" t="s">
        <v>18</v>
      </c>
      <c r="M1055" s="16" t="s">
        <v>22</v>
      </c>
      <c r="N1055" s="39" t="s">
        <v>418</v>
      </c>
    </row>
    <row r="1056" spans="1:14" s="12" customFormat="1" ht="30">
      <c r="A1056" s="178" t="s">
        <v>99</v>
      </c>
      <c r="B1056" s="75" t="s">
        <v>1144</v>
      </c>
      <c r="C1056" s="176" t="s">
        <v>102</v>
      </c>
      <c r="D1056" s="176"/>
      <c r="E1056" s="176"/>
      <c r="F1056" s="176"/>
      <c r="G1056" s="176"/>
      <c r="H1056" s="499">
        <f>SUM(Tabla132112415[[#This Row],[PRIMER TRIMESTRE]:[CUARTO TRIMESTRE]])</f>
        <v>0</v>
      </c>
      <c r="I1056" s="17">
        <v>1000</v>
      </c>
      <c r="J1056" s="17">
        <f t="shared" si="27"/>
        <v>0</v>
      </c>
      <c r="K1056" s="17"/>
      <c r="L1056" s="16" t="s">
        <v>18</v>
      </c>
      <c r="M1056" s="16" t="s">
        <v>22</v>
      </c>
      <c r="N1056" s="39" t="s">
        <v>418</v>
      </c>
    </row>
    <row r="1057" spans="1:14" s="12" customFormat="1" ht="30.75" customHeight="1">
      <c r="A1057" s="178" t="s">
        <v>99</v>
      </c>
      <c r="B1057" s="75" t="s">
        <v>1145</v>
      </c>
      <c r="C1057" s="176" t="s">
        <v>1067</v>
      </c>
      <c r="D1057" s="176"/>
      <c r="E1057" s="176"/>
      <c r="F1057" s="176"/>
      <c r="G1057" s="176"/>
      <c r="H1057" s="499">
        <f>SUM(Tabla132112415[[#This Row],[PRIMER TRIMESTRE]:[CUARTO TRIMESTRE]])</f>
        <v>0</v>
      </c>
      <c r="I1057" s="17">
        <v>184000</v>
      </c>
      <c r="J1057" s="17">
        <f t="shared" si="27"/>
        <v>0</v>
      </c>
      <c r="K1057" s="17"/>
      <c r="L1057" s="16" t="s">
        <v>18</v>
      </c>
      <c r="M1057" s="16" t="s">
        <v>22</v>
      </c>
      <c r="N1057" s="39" t="s">
        <v>418</v>
      </c>
    </row>
    <row r="1058" spans="1:14" s="26" customFormat="1" ht="30.75" customHeight="1">
      <c r="A1058" s="178" t="s">
        <v>99</v>
      </c>
      <c r="B1058" s="75" t="s">
        <v>1146</v>
      </c>
      <c r="C1058" s="176" t="s">
        <v>1067</v>
      </c>
      <c r="D1058" s="176"/>
      <c r="E1058" s="176"/>
      <c r="F1058" s="176"/>
      <c r="G1058" s="176"/>
      <c r="H1058" s="499">
        <f>SUM(Tabla132112415[[#This Row],[PRIMER TRIMESTRE]:[CUARTO TRIMESTRE]])</f>
        <v>0</v>
      </c>
      <c r="I1058" s="17">
        <v>85000</v>
      </c>
      <c r="J1058" s="17">
        <f t="shared" si="27"/>
        <v>0</v>
      </c>
      <c r="K1058" s="17"/>
      <c r="L1058" s="16" t="s">
        <v>18</v>
      </c>
      <c r="M1058" s="16" t="s">
        <v>22</v>
      </c>
      <c r="N1058" s="39" t="s">
        <v>418</v>
      </c>
    </row>
    <row r="1059" spans="1:14" s="12" customFormat="1" ht="30.75" customHeight="1">
      <c r="A1059" s="178" t="s">
        <v>99</v>
      </c>
      <c r="B1059" s="75" t="s">
        <v>1147</v>
      </c>
      <c r="C1059" s="176" t="s">
        <v>1067</v>
      </c>
      <c r="D1059" s="176"/>
      <c r="E1059" s="176"/>
      <c r="F1059" s="176"/>
      <c r="G1059" s="176"/>
      <c r="H1059" s="499">
        <f>SUM(Tabla132112415[[#This Row],[PRIMER TRIMESTRE]:[CUARTO TRIMESTRE]])</f>
        <v>0</v>
      </c>
      <c r="I1059" s="17">
        <v>10000</v>
      </c>
      <c r="J1059" s="17">
        <f t="shared" si="27"/>
        <v>0</v>
      </c>
      <c r="K1059" s="17"/>
      <c r="L1059" s="16" t="s">
        <v>18</v>
      </c>
      <c r="M1059" s="16" t="s">
        <v>22</v>
      </c>
      <c r="N1059" s="39" t="s">
        <v>418</v>
      </c>
    </row>
    <row r="1060" spans="1:14" s="12" customFormat="1" ht="30.75" customHeight="1">
      <c r="A1060" s="178" t="s">
        <v>99</v>
      </c>
      <c r="B1060" s="75" t="s">
        <v>1452</v>
      </c>
      <c r="C1060" s="176" t="s">
        <v>17</v>
      </c>
      <c r="D1060" s="176"/>
      <c r="E1060" s="176"/>
      <c r="F1060" s="176"/>
      <c r="G1060" s="176"/>
      <c r="H1060" s="176">
        <f>SUM(Tabla132112415[[#This Row],[PRIMER TRIMESTRE]:[CUARTO TRIMESTRE]])</f>
        <v>0</v>
      </c>
      <c r="I1060" s="17">
        <v>5589.05</v>
      </c>
      <c r="J1060" s="17">
        <f t="shared" si="27"/>
        <v>0</v>
      </c>
      <c r="K1060" s="17"/>
      <c r="L1060" s="16" t="s">
        <v>27</v>
      </c>
      <c r="M1060" s="16" t="s">
        <v>19</v>
      </c>
      <c r="N1060" s="39" t="s">
        <v>342</v>
      </c>
    </row>
    <row r="1061" spans="1:14" s="12" customFormat="1" ht="30.75" customHeight="1">
      <c r="A1061" s="178" t="s">
        <v>99</v>
      </c>
      <c r="B1061" s="75" t="s">
        <v>1453</v>
      </c>
      <c r="C1061" s="176" t="s">
        <v>17</v>
      </c>
      <c r="D1061" s="176"/>
      <c r="E1061" s="176"/>
      <c r="F1061" s="176"/>
      <c r="G1061" s="176"/>
      <c r="H1061" s="176">
        <f>SUM(Tabla132112415[[#This Row],[PRIMER TRIMESTRE]:[CUARTO TRIMESTRE]])</f>
        <v>0</v>
      </c>
      <c r="I1061" s="17">
        <v>15710.6</v>
      </c>
      <c r="J1061" s="17">
        <f t="shared" si="27"/>
        <v>0</v>
      </c>
      <c r="K1061" s="17"/>
      <c r="L1061" s="16" t="s">
        <v>27</v>
      </c>
      <c r="M1061" s="16" t="s">
        <v>19</v>
      </c>
      <c r="N1061" s="39" t="s">
        <v>342</v>
      </c>
    </row>
    <row r="1062" spans="1:14" s="12" customFormat="1" ht="30.75" customHeight="1">
      <c r="A1062" s="178" t="s">
        <v>99</v>
      </c>
      <c r="B1062" s="75" t="s">
        <v>1454</v>
      </c>
      <c r="C1062" s="176" t="s">
        <v>17</v>
      </c>
      <c r="D1062" s="176"/>
      <c r="E1062" s="176"/>
      <c r="F1062" s="176"/>
      <c r="G1062" s="176"/>
      <c r="H1062" s="176">
        <f>SUM(Tabla132112415[[#This Row],[PRIMER TRIMESTRE]:[CUARTO TRIMESTRE]])</f>
        <v>0</v>
      </c>
      <c r="I1062" s="17">
        <v>5347.87</v>
      </c>
      <c r="J1062" s="17">
        <f t="shared" si="27"/>
        <v>0</v>
      </c>
      <c r="K1062" s="17"/>
      <c r="L1062" s="16" t="s">
        <v>27</v>
      </c>
      <c r="M1062" s="16" t="s">
        <v>19</v>
      </c>
      <c r="N1062" s="39" t="s">
        <v>342</v>
      </c>
    </row>
    <row r="1063" spans="1:14" s="12" customFormat="1" ht="30.75" customHeight="1">
      <c r="A1063" s="178" t="s">
        <v>99</v>
      </c>
      <c r="B1063" s="75" t="s">
        <v>1455</v>
      </c>
      <c r="C1063" s="176" t="s">
        <v>17</v>
      </c>
      <c r="D1063" s="176"/>
      <c r="E1063" s="176"/>
      <c r="F1063" s="176"/>
      <c r="G1063" s="176"/>
      <c r="H1063" s="176">
        <f>SUM(Tabla132112415[[#This Row],[PRIMER TRIMESTRE]:[CUARTO TRIMESTRE]])</f>
        <v>0</v>
      </c>
      <c r="I1063" s="17">
        <v>213.48</v>
      </c>
      <c r="J1063" s="17">
        <f t="shared" si="27"/>
        <v>0</v>
      </c>
      <c r="K1063" s="17"/>
      <c r="L1063" s="16" t="s">
        <v>27</v>
      </c>
      <c r="M1063" s="16" t="s">
        <v>19</v>
      </c>
      <c r="N1063" s="39" t="s">
        <v>342</v>
      </c>
    </row>
    <row r="1064" spans="1:14" s="12" customFormat="1" ht="30.75" customHeight="1">
      <c r="A1064" s="178" t="s">
        <v>99</v>
      </c>
      <c r="B1064" s="75" t="s">
        <v>1456</v>
      </c>
      <c r="C1064" s="176" t="s">
        <v>17</v>
      </c>
      <c r="D1064" s="176"/>
      <c r="E1064" s="176"/>
      <c r="F1064" s="176"/>
      <c r="G1064" s="176"/>
      <c r="H1064" s="176">
        <f>SUM(Tabla132112415[[#This Row],[PRIMER TRIMESTRE]:[CUARTO TRIMESTRE]])</f>
        <v>0</v>
      </c>
      <c r="I1064" s="17">
        <v>719</v>
      </c>
      <c r="J1064" s="17">
        <f t="shared" si="27"/>
        <v>0</v>
      </c>
      <c r="K1064" s="17"/>
      <c r="L1064" s="16" t="s">
        <v>27</v>
      </c>
      <c r="M1064" s="16" t="s">
        <v>19</v>
      </c>
      <c r="N1064" s="39" t="s">
        <v>342</v>
      </c>
    </row>
    <row r="1065" spans="1:14" s="12" customFormat="1" ht="30.75" customHeight="1">
      <c r="A1065" s="178" t="s">
        <v>99</v>
      </c>
      <c r="B1065" s="75" t="s">
        <v>1457</v>
      </c>
      <c r="C1065" s="176" t="s">
        <v>17</v>
      </c>
      <c r="D1065" s="176"/>
      <c r="E1065" s="176"/>
      <c r="F1065" s="176"/>
      <c r="G1065" s="176"/>
      <c r="H1065" s="176">
        <f>SUM(Tabla132112415[[#This Row],[PRIMER TRIMESTRE]:[CUARTO TRIMESTRE]])</f>
        <v>0</v>
      </c>
      <c r="I1065" s="17">
        <v>213.48</v>
      </c>
      <c r="J1065" s="17">
        <f t="shared" si="27"/>
        <v>0</v>
      </c>
      <c r="K1065" s="17"/>
      <c r="L1065" s="16" t="s">
        <v>27</v>
      </c>
      <c r="M1065" s="16" t="s">
        <v>19</v>
      </c>
      <c r="N1065" s="39" t="s">
        <v>342</v>
      </c>
    </row>
    <row r="1066" spans="1:14" s="12" customFormat="1" ht="30.75" customHeight="1">
      <c r="A1066" s="178" t="s">
        <v>99</v>
      </c>
      <c r="B1066" s="75" t="s">
        <v>1458</v>
      </c>
      <c r="C1066" s="176" t="s">
        <v>17</v>
      </c>
      <c r="D1066" s="176"/>
      <c r="E1066" s="176"/>
      <c r="F1066" s="176"/>
      <c r="G1066" s="176"/>
      <c r="H1066" s="176">
        <f>SUM(Tabla132112415[[#This Row],[PRIMER TRIMESTRE]:[CUARTO TRIMESTRE]])</f>
        <v>0</v>
      </c>
      <c r="I1066" s="17">
        <v>1100</v>
      </c>
      <c r="J1066" s="17">
        <f t="shared" si="27"/>
        <v>0</v>
      </c>
      <c r="K1066" s="17"/>
      <c r="L1066" s="16" t="s">
        <v>27</v>
      </c>
      <c r="M1066" s="16" t="s">
        <v>19</v>
      </c>
      <c r="N1066" s="39" t="s">
        <v>342</v>
      </c>
    </row>
    <row r="1067" spans="1:14" s="26" customFormat="1" ht="30.75" customHeight="1">
      <c r="A1067" s="178" t="s">
        <v>99</v>
      </c>
      <c r="B1067" s="75" t="s">
        <v>1459</v>
      </c>
      <c r="C1067" s="176" t="s">
        <v>33</v>
      </c>
      <c r="D1067" s="176"/>
      <c r="E1067" s="176"/>
      <c r="F1067" s="176"/>
      <c r="G1067" s="176"/>
      <c r="H1067" s="176">
        <f>SUM(Tabla132112415[[#This Row],[PRIMER TRIMESTRE]:[CUARTO TRIMESTRE]])</f>
        <v>0</v>
      </c>
      <c r="I1067" s="17">
        <v>250</v>
      </c>
      <c r="J1067" s="17">
        <f t="shared" si="27"/>
        <v>0</v>
      </c>
      <c r="K1067" s="17"/>
      <c r="L1067" s="16" t="s">
        <v>27</v>
      </c>
      <c r="M1067" s="16" t="s">
        <v>19</v>
      </c>
      <c r="N1067" s="39" t="s">
        <v>342</v>
      </c>
    </row>
    <row r="1068" spans="1:14" s="12" customFormat="1" ht="30.75" customHeight="1">
      <c r="A1068" s="178" t="s">
        <v>99</v>
      </c>
      <c r="B1068" s="75" t="s">
        <v>1460</v>
      </c>
      <c r="C1068" s="176" t="s">
        <v>208</v>
      </c>
      <c r="D1068" s="176"/>
      <c r="E1068" s="176"/>
      <c r="F1068" s="176"/>
      <c r="G1068" s="176"/>
      <c r="H1068" s="176">
        <f>SUM(Tabla132112415[[#This Row],[PRIMER TRIMESTRE]:[CUARTO TRIMESTRE]])</f>
        <v>0</v>
      </c>
      <c r="I1068" s="17">
        <v>1130</v>
      </c>
      <c r="J1068" s="17">
        <f t="shared" si="27"/>
        <v>0</v>
      </c>
      <c r="K1068" s="17"/>
      <c r="L1068" s="16" t="s">
        <v>27</v>
      </c>
      <c r="M1068" s="16" t="s">
        <v>19</v>
      </c>
      <c r="N1068" s="39" t="s">
        <v>342</v>
      </c>
    </row>
    <row r="1069" spans="1:14" s="12" customFormat="1" ht="30.75" customHeight="1">
      <c r="A1069" s="179" t="s">
        <v>99</v>
      </c>
      <c r="B1069" s="76"/>
      <c r="C1069" s="492"/>
      <c r="D1069" s="492"/>
      <c r="E1069" s="492"/>
      <c r="F1069" s="492"/>
      <c r="G1069" s="492"/>
      <c r="H1069" s="496"/>
      <c r="I1069" s="24"/>
      <c r="J1069" s="24"/>
      <c r="K1069" s="25">
        <f>SUM(J938:J1068)</f>
        <v>147150</v>
      </c>
      <c r="L1069" s="23"/>
      <c r="M1069" s="23"/>
      <c r="N1069" s="42"/>
    </row>
    <row r="1070" spans="1:14" s="12" customFormat="1" ht="30.75" customHeight="1">
      <c r="A1070" s="178" t="s">
        <v>113</v>
      </c>
      <c r="B1070" s="75" t="s">
        <v>236</v>
      </c>
      <c r="C1070" s="176" t="s">
        <v>17</v>
      </c>
      <c r="D1070" s="176"/>
      <c r="E1070" s="176"/>
      <c r="F1070" s="176"/>
      <c r="G1070" s="176"/>
      <c r="H1070" s="499">
        <f>SUM(Tabla132112415[[#This Row],[PRIMER TRIMESTRE]:[CUARTO TRIMESTRE]])</f>
        <v>0</v>
      </c>
      <c r="I1070" s="17">
        <v>806.2</v>
      </c>
      <c r="J1070" s="17">
        <f>+Tabla132112415[[#This Row],[CANTIDAD TOTAL]]*Tabla132112415[[#This Row],[PRECIO UNITARIO ESTIMADO]]</f>
        <v>0</v>
      </c>
      <c r="K1070" s="17"/>
      <c r="L1070" s="16" t="s">
        <v>15</v>
      </c>
      <c r="M1070" s="16" t="s">
        <v>22</v>
      </c>
      <c r="N1070" s="39" t="s">
        <v>418</v>
      </c>
    </row>
    <row r="1071" spans="1:14" s="12" customFormat="1" ht="30.75" customHeight="1">
      <c r="A1071" s="178" t="s">
        <v>113</v>
      </c>
      <c r="B1071" s="75" t="s">
        <v>233</v>
      </c>
      <c r="C1071" s="176" t="s">
        <v>234</v>
      </c>
      <c r="D1071" s="176"/>
      <c r="E1071" s="176"/>
      <c r="F1071" s="176"/>
      <c r="G1071" s="176"/>
      <c r="H1071" s="499">
        <f>SUM(Tabla132112415[[#This Row],[PRIMER TRIMESTRE]:[CUARTO TRIMESTRE]])</f>
        <v>0</v>
      </c>
      <c r="I1071" s="17">
        <v>7099.2</v>
      </c>
      <c r="J1071" s="17">
        <f>+Tabla132112415[[#This Row],[CANTIDAD TOTAL]]*Tabla132112415[[#This Row],[PRECIO UNITARIO ESTIMADO]]</f>
        <v>0</v>
      </c>
      <c r="K1071" s="17"/>
      <c r="L1071" s="16" t="s">
        <v>27</v>
      </c>
      <c r="M1071" s="16" t="s">
        <v>22</v>
      </c>
      <c r="N1071" s="39" t="s">
        <v>418</v>
      </c>
    </row>
    <row r="1072" spans="1:14" s="12" customFormat="1" ht="30.75" customHeight="1">
      <c r="A1072" s="178" t="s">
        <v>113</v>
      </c>
      <c r="B1072" s="75" t="s">
        <v>235</v>
      </c>
      <c r="C1072" s="176" t="s">
        <v>69</v>
      </c>
      <c r="D1072" s="176"/>
      <c r="E1072" s="176"/>
      <c r="F1072" s="176"/>
      <c r="G1072" s="176"/>
      <c r="H1072" s="499">
        <f>SUM(Tabla132112415[[#This Row],[PRIMER TRIMESTRE]:[CUARTO TRIMESTRE]])</f>
        <v>0</v>
      </c>
      <c r="I1072" s="17">
        <v>52.2</v>
      </c>
      <c r="J1072" s="17">
        <f>+Tabla132112415[[#This Row],[CANTIDAD TOTAL]]*Tabla132112415[[#This Row],[PRECIO UNITARIO ESTIMADO]]</f>
        <v>0</v>
      </c>
      <c r="K1072" s="17"/>
      <c r="L1072" s="16" t="s">
        <v>27</v>
      </c>
      <c r="M1072" s="16" t="s">
        <v>22</v>
      </c>
      <c r="N1072" s="39" t="s">
        <v>418</v>
      </c>
    </row>
    <row r="1073" spans="1:14" s="12" customFormat="1" ht="30">
      <c r="A1073" s="178" t="s">
        <v>113</v>
      </c>
      <c r="B1073" s="75" t="s">
        <v>320</v>
      </c>
      <c r="C1073" s="176" t="s">
        <v>17</v>
      </c>
      <c r="D1073" s="176"/>
      <c r="E1073" s="176"/>
      <c r="F1073" s="176"/>
      <c r="G1073" s="176"/>
      <c r="H1073" s="499">
        <f>SUM(Tabla132112415[[#This Row],[PRIMER TRIMESTRE]:[CUARTO TRIMESTRE]])</f>
        <v>0</v>
      </c>
      <c r="I1073" s="17">
        <f>41960.8/121</f>
        <v>346.7834710743802</v>
      </c>
      <c r="J1073" s="17">
        <f>+Tabla132112415[[#This Row],[CANTIDAD TOTAL]]*Tabla132112415[[#This Row],[PRECIO UNITARIO ESTIMADO]]</f>
        <v>0</v>
      </c>
      <c r="K1073" s="17"/>
      <c r="L1073" s="16" t="s">
        <v>15</v>
      </c>
      <c r="M1073" s="16" t="s">
        <v>22</v>
      </c>
      <c r="N1073" s="39" t="s">
        <v>418</v>
      </c>
    </row>
    <row r="1074" spans="1:14" s="26" customFormat="1" ht="30">
      <c r="A1074" s="178" t="s">
        <v>113</v>
      </c>
      <c r="B1074" s="75" t="s">
        <v>237</v>
      </c>
      <c r="C1074" s="176" t="s">
        <v>17</v>
      </c>
      <c r="D1074" s="176"/>
      <c r="E1074" s="176"/>
      <c r="F1074" s="176"/>
      <c r="G1074" s="176"/>
      <c r="H1074" s="499">
        <f>SUM(Tabla132112415[[#This Row],[PRIMER TRIMESTRE]:[CUARTO TRIMESTRE]])</f>
        <v>0</v>
      </c>
      <c r="I1074" s="17">
        <v>668</v>
      </c>
      <c r="J1074" s="17">
        <f>+Tabla132112415[[#This Row],[CANTIDAD TOTAL]]*Tabla132112415[[#This Row],[PRECIO UNITARIO ESTIMADO]]</f>
        <v>0</v>
      </c>
      <c r="K1074" s="17"/>
      <c r="L1074" s="16" t="s">
        <v>15</v>
      </c>
      <c r="M1074" s="16" t="s">
        <v>22</v>
      </c>
      <c r="N1074" s="39" t="s">
        <v>418</v>
      </c>
    </row>
    <row r="1075" spans="1:14" s="169" customFormat="1" ht="30">
      <c r="A1075" s="178" t="s">
        <v>113</v>
      </c>
      <c r="B1075" s="75" t="s">
        <v>238</v>
      </c>
      <c r="C1075" s="176" t="s">
        <v>208</v>
      </c>
      <c r="D1075" s="176"/>
      <c r="E1075" s="176"/>
      <c r="F1075" s="176"/>
      <c r="G1075" s="176"/>
      <c r="H1075" s="499">
        <f>SUM(Tabla132112415[[#This Row],[PRIMER TRIMESTRE]:[CUARTO TRIMESTRE]])</f>
        <v>0</v>
      </c>
      <c r="I1075" s="17">
        <v>754</v>
      </c>
      <c r="J1075" s="17">
        <f>+Tabla132112415[[#This Row],[CANTIDAD TOTAL]]*Tabla132112415[[#This Row],[PRECIO UNITARIO ESTIMADO]]</f>
        <v>0</v>
      </c>
      <c r="K1075" s="17"/>
      <c r="L1075" s="16" t="s">
        <v>27</v>
      </c>
      <c r="M1075" s="16" t="s">
        <v>22</v>
      </c>
      <c r="N1075" s="39" t="s">
        <v>418</v>
      </c>
    </row>
    <row r="1076" spans="1:14" s="12" customFormat="1" ht="31.5">
      <c r="A1076" s="179" t="s">
        <v>113</v>
      </c>
      <c r="B1076" s="76"/>
      <c r="C1076" s="492"/>
      <c r="D1076" s="492"/>
      <c r="E1076" s="492"/>
      <c r="F1076" s="492"/>
      <c r="G1076" s="492"/>
      <c r="H1076" s="496"/>
      <c r="I1076" s="24"/>
      <c r="J1076" s="24"/>
      <c r="K1076" s="25">
        <f>SUM(J1070:J1075)</f>
        <v>0</v>
      </c>
      <c r="L1076" s="23"/>
      <c r="M1076" s="23"/>
      <c r="N1076" s="42"/>
    </row>
    <row r="1077" spans="1:14" s="12" customFormat="1" ht="18">
      <c r="A1077" s="180" t="s">
        <v>115</v>
      </c>
      <c r="B1077" s="77" t="s">
        <v>319</v>
      </c>
      <c r="C1077" s="177" t="s">
        <v>17</v>
      </c>
      <c r="D1077" s="177"/>
      <c r="E1077" s="177"/>
      <c r="F1077" s="177"/>
      <c r="G1077" s="177"/>
      <c r="H1077" s="468">
        <f>SUM(Tabla132112415[[#This Row],[PRIMER TRIMESTRE]:[CUARTO TRIMESTRE]])</f>
        <v>0</v>
      </c>
      <c r="I1077" s="72">
        <f>544724/8</f>
        <v>68090.5</v>
      </c>
      <c r="J1077" s="72">
        <f>+Tabla132112415[[#This Row],[CANTIDAD TOTAL]]*Tabla132112415[[#This Row],[PRECIO UNITARIO ESTIMADO]]</f>
        <v>0</v>
      </c>
      <c r="K1077" s="72"/>
      <c r="L1077" s="73" t="s">
        <v>18</v>
      </c>
      <c r="M1077" s="73" t="s">
        <v>22</v>
      </c>
      <c r="N1077" s="70" t="s">
        <v>418</v>
      </c>
    </row>
    <row r="1078" spans="1:14" s="12" customFormat="1" ht="18">
      <c r="A1078" s="178" t="s">
        <v>115</v>
      </c>
      <c r="B1078" s="75" t="s">
        <v>428</v>
      </c>
      <c r="C1078" s="176" t="s">
        <v>17</v>
      </c>
      <c r="D1078" s="176"/>
      <c r="E1078" s="176"/>
      <c r="F1078" s="176"/>
      <c r="G1078" s="176"/>
      <c r="H1078" s="499">
        <f>SUM(Tabla132112415[[#This Row],[PRIMER TRIMESTRE]:[CUARTO TRIMESTRE]])</f>
        <v>0</v>
      </c>
      <c r="I1078" s="17">
        <v>3074</v>
      </c>
      <c r="J1078" s="17">
        <f>+Tabla132112415[[#This Row],[CANTIDAD TOTAL]]*Tabla132112415[[#This Row],[PRECIO UNITARIO ESTIMADO]]</f>
        <v>0</v>
      </c>
      <c r="K1078" s="17"/>
      <c r="L1078" s="73" t="s">
        <v>18</v>
      </c>
      <c r="M1078" s="16" t="s">
        <v>22</v>
      </c>
      <c r="N1078" s="39" t="s">
        <v>418</v>
      </c>
    </row>
    <row r="1079" spans="1:14" s="12" customFormat="1" ht="18">
      <c r="A1079" s="178" t="s">
        <v>115</v>
      </c>
      <c r="B1079" s="75" t="s">
        <v>244</v>
      </c>
      <c r="C1079" s="176" t="s">
        <v>17</v>
      </c>
      <c r="D1079" s="176">
        <v>3</v>
      </c>
      <c r="E1079" s="176"/>
      <c r="F1079" s="176"/>
      <c r="G1079" s="176"/>
      <c r="H1079" s="499">
        <f>SUM(Tabla132112415[[#This Row],[PRIMER TRIMESTRE]:[CUARTO TRIMESTRE]])</f>
        <v>3</v>
      </c>
      <c r="I1079" s="17">
        <v>24940</v>
      </c>
      <c r="J1079" s="17">
        <f>+Tabla132112415[[#This Row],[CANTIDAD TOTAL]]*Tabla132112415[[#This Row],[PRECIO UNITARIO ESTIMADO]]</f>
        <v>74820</v>
      </c>
      <c r="K1079" s="17"/>
      <c r="L1079" s="73" t="s">
        <v>18</v>
      </c>
      <c r="M1079" s="16" t="s">
        <v>22</v>
      </c>
      <c r="N1079" s="39" t="s">
        <v>418</v>
      </c>
    </row>
    <row r="1080" spans="1:14" s="169" customFormat="1" ht="18">
      <c r="A1080" s="178" t="s">
        <v>115</v>
      </c>
      <c r="B1080" s="75" t="s">
        <v>429</v>
      </c>
      <c r="C1080" s="176" t="s">
        <v>17</v>
      </c>
      <c r="D1080" s="176"/>
      <c r="E1080" s="176"/>
      <c r="F1080" s="176"/>
      <c r="G1080" s="176"/>
      <c r="H1080" s="499">
        <f>SUM(Tabla132112415[[#This Row],[PRIMER TRIMESTRE]:[CUARTO TRIMESTRE]])</f>
        <v>0</v>
      </c>
      <c r="I1080" s="17">
        <v>77185.240000000005</v>
      </c>
      <c r="J1080" s="17">
        <f>+Tabla132112415[[#This Row],[CANTIDAD TOTAL]]*Tabla132112415[[#This Row],[PRECIO UNITARIO ESTIMADO]]</f>
        <v>0</v>
      </c>
      <c r="K1080" s="17"/>
      <c r="L1080" s="73" t="s">
        <v>18</v>
      </c>
      <c r="M1080" s="16" t="s">
        <v>22</v>
      </c>
      <c r="N1080" s="39" t="s">
        <v>418</v>
      </c>
    </row>
    <row r="1081" spans="1:14" s="169" customFormat="1" ht="18">
      <c r="A1081" s="178" t="s">
        <v>115</v>
      </c>
      <c r="B1081" s="75" t="s">
        <v>321</v>
      </c>
      <c r="C1081" s="176" t="s">
        <v>17</v>
      </c>
      <c r="D1081" s="176">
        <v>6</v>
      </c>
      <c r="E1081" s="176"/>
      <c r="F1081" s="176"/>
      <c r="G1081" s="176"/>
      <c r="H1081" s="499">
        <f>SUM(Tabla132112415[[#This Row],[PRIMER TRIMESTRE]:[CUARTO TRIMESTRE]])</f>
        <v>6</v>
      </c>
      <c r="I1081" s="17">
        <f>31243.78/16</f>
        <v>1952.7362499999999</v>
      </c>
      <c r="J1081" s="17">
        <f>+Tabla132112415[[#This Row],[CANTIDAD TOTAL]]*Tabla132112415[[#This Row],[PRECIO UNITARIO ESTIMADO]]</f>
        <v>11716.4175</v>
      </c>
      <c r="K1081" s="17"/>
      <c r="L1081" s="73" t="s">
        <v>18</v>
      </c>
      <c r="M1081" s="16" t="s">
        <v>22</v>
      </c>
      <c r="N1081" s="39" t="s">
        <v>418</v>
      </c>
    </row>
    <row r="1082" spans="1:14" s="169" customFormat="1" ht="38.25">
      <c r="A1082" s="180" t="s">
        <v>115</v>
      </c>
      <c r="B1082" s="77" t="s">
        <v>892</v>
      </c>
      <c r="C1082" s="177" t="s">
        <v>17</v>
      </c>
      <c r="D1082" s="177"/>
      <c r="E1082" s="177"/>
      <c r="F1082" s="177"/>
      <c r="G1082" s="177"/>
      <c r="H1082" s="468">
        <f>SUM(Tabla132112415[[#This Row],[PRIMER TRIMESTRE]:[CUARTO TRIMESTRE]])</f>
        <v>0</v>
      </c>
      <c r="I1082" s="72">
        <v>3519</v>
      </c>
      <c r="J1082" s="72">
        <f t="shared" ref="J1082:J1111" si="28">+H1082*I1082</f>
        <v>0</v>
      </c>
      <c r="K1082" s="72"/>
      <c r="L1082" s="73" t="s">
        <v>18</v>
      </c>
      <c r="M1082" s="16" t="s">
        <v>22</v>
      </c>
      <c r="N1082" s="39" t="s">
        <v>418</v>
      </c>
    </row>
    <row r="1083" spans="1:14" s="169" customFormat="1" ht="25.5">
      <c r="A1083" s="180" t="s">
        <v>115</v>
      </c>
      <c r="B1083" s="77" t="s">
        <v>932</v>
      </c>
      <c r="C1083" s="177" t="s">
        <v>17</v>
      </c>
      <c r="D1083" s="177"/>
      <c r="E1083" s="177"/>
      <c r="F1083" s="177"/>
      <c r="G1083" s="177"/>
      <c r="H1083" s="468">
        <f>SUM(Tabla132112415[[#This Row],[PRIMER TRIMESTRE]:[CUARTO TRIMESTRE]])</f>
        <v>0</v>
      </c>
      <c r="I1083" s="72">
        <v>1500</v>
      </c>
      <c r="J1083" s="72">
        <f t="shared" si="28"/>
        <v>0</v>
      </c>
      <c r="K1083" s="72"/>
      <c r="L1083" s="73" t="s">
        <v>18</v>
      </c>
      <c r="M1083" s="16" t="s">
        <v>22</v>
      </c>
      <c r="N1083" s="39" t="s">
        <v>418</v>
      </c>
    </row>
    <row r="1084" spans="1:14" s="169" customFormat="1" ht="25.5">
      <c r="A1084" s="180" t="s">
        <v>115</v>
      </c>
      <c r="B1084" s="77" t="s">
        <v>894</v>
      </c>
      <c r="C1084" s="177" t="s">
        <v>17</v>
      </c>
      <c r="D1084" s="177"/>
      <c r="E1084" s="177"/>
      <c r="F1084" s="177"/>
      <c r="G1084" s="177"/>
      <c r="H1084" s="468">
        <f>SUM(Tabla132112415[[#This Row],[PRIMER TRIMESTRE]:[CUARTO TRIMESTRE]])</f>
        <v>0</v>
      </c>
      <c r="I1084" s="72">
        <v>600</v>
      </c>
      <c r="J1084" s="72">
        <f t="shared" si="28"/>
        <v>0</v>
      </c>
      <c r="K1084" s="72"/>
      <c r="L1084" s="73" t="s">
        <v>18</v>
      </c>
      <c r="M1084" s="16" t="s">
        <v>22</v>
      </c>
      <c r="N1084" s="39" t="s">
        <v>418</v>
      </c>
    </row>
    <row r="1085" spans="1:14" s="169" customFormat="1" ht="25.5">
      <c r="A1085" s="180" t="s">
        <v>115</v>
      </c>
      <c r="B1085" s="77" t="s">
        <v>895</v>
      </c>
      <c r="C1085" s="177" t="s">
        <v>17</v>
      </c>
      <c r="D1085" s="177"/>
      <c r="E1085" s="177"/>
      <c r="F1085" s="177"/>
      <c r="G1085" s="177"/>
      <c r="H1085" s="468">
        <f>SUM(Tabla132112415[[#This Row],[PRIMER TRIMESTRE]:[CUARTO TRIMESTRE]])</f>
        <v>0</v>
      </c>
      <c r="I1085" s="72">
        <v>450</v>
      </c>
      <c r="J1085" s="72">
        <f t="shared" si="28"/>
        <v>0</v>
      </c>
      <c r="K1085" s="72"/>
      <c r="L1085" s="73" t="s">
        <v>18</v>
      </c>
      <c r="M1085" s="16" t="s">
        <v>22</v>
      </c>
      <c r="N1085" s="39" t="s">
        <v>418</v>
      </c>
    </row>
    <row r="1086" spans="1:14" s="169" customFormat="1" ht="18">
      <c r="A1086" s="180" t="s">
        <v>115</v>
      </c>
      <c r="B1086" s="77" t="s">
        <v>897</v>
      </c>
      <c r="C1086" s="177" t="s">
        <v>17</v>
      </c>
      <c r="D1086" s="177"/>
      <c r="E1086" s="177"/>
      <c r="F1086" s="177"/>
      <c r="G1086" s="177"/>
      <c r="H1086" s="468">
        <f>SUM(Tabla132112415[[#This Row],[PRIMER TRIMESTRE]:[CUARTO TRIMESTRE]])</f>
        <v>0</v>
      </c>
      <c r="I1086" s="72">
        <v>85000</v>
      </c>
      <c r="J1086" s="72">
        <f t="shared" si="28"/>
        <v>0</v>
      </c>
      <c r="K1086" s="72"/>
      <c r="L1086" s="73" t="s">
        <v>18</v>
      </c>
      <c r="M1086" s="16" t="s">
        <v>22</v>
      </c>
      <c r="N1086" s="39" t="s">
        <v>418</v>
      </c>
    </row>
    <row r="1087" spans="1:14" s="169" customFormat="1" ht="25.5">
      <c r="A1087" s="180" t="s">
        <v>115</v>
      </c>
      <c r="B1087" s="77" t="s">
        <v>898</v>
      </c>
      <c r="C1087" s="177" t="s">
        <v>17</v>
      </c>
      <c r="D1087" s="177"/>
      <c r="E1087" s="177"/>
      <c r="F1087" s="177"/>
      <c r="G1087" s="177"/>
      <c r="H1087" s="468">
        <f>SUM(Tabla132112415[[#This Row],[PRIMER TRIMESTRE]:[CUARTO TRIMESTRE]])</f>
        <v>0</v>
      </c>
      <c r="I1087" s="72">
        <v>2500</v>
      </c>
      <c r="J1087" s="72">
        <f t="shared" si="28"/>
        <v>0</v>
      </c>
      <c r="K1087" s="72"/>
      <c r="L1087" s="73" t="s">
        <v>18</v>
      </c>
      <c r="M1087" s="16" t="s">
        <v>22</v>
      </c>
      <c r="N1087" s="39" t="s">
        <v>418</v>
      </c>
    </row>
    <row r="1088" spans="1:14" s="169" customFormat="1" ht="38.25">
      <c r="A1088" s="180" t="s">
        <v>115</v>
      </c>
      <c r="B1088" s="77" t="s">
        <v>933</v>
      </c>
      <c r="C1088" s="177" t="s">
        <v>17</v>
      </c>
      <c r="D1088" s="177"/>
      <c r="E1088" s="177"/>
      <c r="F1088" s="177"/>
      <c r="G1088" s="177"/>
      <c r="H1088" s="468">
        <f>SUM(Tabla132112415[[#This Row],[PRIMER TRIMESTRE]:[CUARTO TRIMESTRE]])</f>
        <v>0</v>
      </c>
      <c r="I1088" s="72">
        <v>420</v>
      </c>
      <c r="J1088" s="72">
        <f t="shared" si="28"/>
        <v>0</v>
      </c>
      <c r="K1088" s="72"/>
      <c r="L1088" s="73" t="s">
        <v>18</v>
      </c>
      <c r="M1088" s="16" t="s">
        <v>22</v>
      </c>
      <c r="N1088" s="39" t="s">
        <v>418</v>
      </c>
    </row>
    <row r="1089" spans="1:14" s="169" customFormat="1" ht="38.25">
      <c r="A1089" s="180" t="s">
        <v>115</v>
      </c>
      <c r="B1089" s="77" t="s">
        <v>902</v>
      </c>
      <c r="C1089" s="177" t="s">
        <v>17</v>
      </c>
      <c r="D1089" s="177"/>
      <c r="E1089" s="177"/>
      <c r="F1089" s="177"/>
      <c r="G1089" s="177"/>
      <c r="H1089" s="468">
        <f>SUM(Tabla132112415[[#This Row],[PRIMER TRIMESTRE]:[CUARTO TRIMESTRE]])</f>
        <v>0</v>
      </c>
      <c r="I1089" s="72">
        <v>450</v>
      </c>
      <c r="J1089" s="72">
        <f t="shared" si="28"/>
        <v>0</v>
      </c>
      <c r="K1089" s="72"/>
      <c r="L1089" s="73" t="s">
        <v>18</v>
      </c>
      <c r="M1089" s="16" t="s">
        <v>22</v>
      </c>
      <c r="N1089" s="39" t="s">
        <v>418</v>
      </c>
    </row>
    <row r="1090" spans="1:14" s="169" customFormat="1" ht="18">
      <c r="A1090" s="180" t="s">
        <v>115</v>
      </c>
      <c r="B1090" s="77" t="s">
        <v>934</v>
      </c>
      <c r="C1090" s="177" t="s">
        <v>17</v>
      </c>
      <c r="D1090" s="177"/>
      <c r="E1090" s="177"/>
      <c r="F1090" s="177"/>
      <c r="G1090" s="177"/>
      <c r="H1090" s="468">
        <f>SUM(Tabla132112415[[#This Row],[PRIMER TRIMESTRE]:[CUARTO TRIMESTRE]])</f>
        <v>0</v>
      </c>
      <c r="I1090" s="72">
        <v>125</v>
      </c>
      <c r="J1090" s="72">
        <f t="shared" si="28"/>
        <v>0</v>
      </c>
      <c r="K1090" s="72"/>
      <c r="L1090" s="73" t="s">
        <v>18</v>
      </c>
      <c r="M1090" s="16" t="s">
        <v>22</v>
      </c>
      <c r="N1090" s="39" t="s">
        <v>418</v>
      </c>
    </row>
    <row r="1091" spans="1:14" s="169" customFormat="1" ht="18">
      <c r="A1091" s="180" t="s">
        <v>115</v>
      </c>
      <c r="B1091" s="77" t="s">
        <v>935</v>
      </c>
      <c r="C1091" s="177" t="s">
        <v>208</v>
      </c>
      <c r="D1091" s="177"/>
      <c r="E1091" s="177"/>
      <c r="F1091" s="177"/>
      <c r="G1091" s="177"/>
      <c r="H1091" s="468">
        <f>SUM(Tabla132112415[[#This Row],[PRIMER TRIMESTRE]:[CUARTO TRIMESTRE]])</f>
        <v>0</v>
      </c>
      <c r="I1091" s="72">
        <v>4300</v>
      </c>
      <c r="J1091" s="72">
        <f t="shared" si="28"/>
        <v>0</v>
      </c>
      <c r="K1091" s="72"/>
      <c r="L1091" s="73" t="s">
        <v>18</v>
      </c>
      <c r="M1091" s="16" t="s">
        <v>22</v>
      </c>
      <c r="N1091" s="39" t="s">
        <v>418</v>
      </c>
    </row>
    <row r="1092" spans="1:14" s="169" customFormat="1" ht="25.5">
      <c r="A1092" s="180" t="s">
        <v>115</v>
      </c>
      <c r="B1092" s="77" t="s">
        <v>936</v>
      </c>
      <c r="C1092" s="177" t="s">
        <v>17</v>
      </c>
      <c r="D1092" s="177"/>
      <c r="E1092" s="177"/>
      <c r="F1092" s="177"/>
      <c r="G1092" s="177"/>
      <c r="H1092" s="468">
        <f>SUM(Tabla132112415[[#This Row],[PRIMER TRIMESTRE]:[CUARTO TRIMESTRE]])</f>
        <v>0</v>
      </c>
      <c r="I1092" s="72">
        <v>7300</v>
      </c>
      <c r="J1092" s="72">
        <f t="shared" si="28"/>
        <v>0</v>
      </c>
      <c r="K1092" s="72"/>
      <c r="L1092" s="16" t="s">
        <v>18</v>
      </c>
      <c r="M1092" s="16" t="s">
        <v>22</v>
      </c>
      <c r="N1092" s="39" t="s">
        <v>418</v>
      </c>
    </row>
    <row r="1093" spans="1:14" s="169" customFormat="1" ht="25.5">
      <c r="A1093" s="180" t="s">
        <v>115</v>
      </c>
      <c r="B1093" s="77" t="s">
        <v>937</v>
      </c>
      <c r="C1093" s="177" t="s">
        <v>17</v>
      </c>
      <c r="D1093" s="177"/>
      <c r="E1093" s="177"/>
      <c r="F1093" s="177"/>
      <c r="G1093" s="177"/>
      <c r="H1093" s="468">
        <f>SUM(Tabla132112415[[#This Row],[PRIMER TRIMESTRE]:[CUARTO TRIMESTRE]])</f>
        <v>0</v>
      </c>
      <c r="I1093" s="72">
        <v>14671</v>
      </c>
      <c r="J1093" s="72">
        <f t="shared" si="28"/>
        <v>0</v>
      </c>
      <c r="K1093" s="72"/>
      <c r="L1093" s="73" t="s">
        <v>18</v>
      </c>
      <c r="M1093" s="16" t="s">
        <v>22</v>
      </c>
      <c r="N1093" s="39" t="s">
        <v>418</v>
      </c>
    </row>
    <row r="1094" spans="1:14" s="169" customFormat="1" ht="25.5">
      <c r="A1094" s="180" t="s">
        <v>115</v>
      </c>
      <c r="B1094" s="77" t="s">
        <v>938</v>
      </c>
      <c r="C1094" s="177" t="s">
        <v>17</v>
      </c>
      <c r="D1094" s="177"/>
      <c r="E1094" s="177"/>
      <c r="F1094" s="177"/>
      <c r="G1094" s="177"/>
      <c r="H1094" s="468">
        <f>SUM(Tabla132112415[[#This Row],[PRIMER TRIMESTRE]:[CUARTO TRIMESTRE]])</f>
        <v>0</v>
      </c>
      <c r="I1094" s="72">
        <v>34000</v>
      </c>
      <c r="J1094" s="72">
        <f t="shared" si="28"/>
        <v>0</v>
      </c>
      <c r="K1094" s="72"/>
      <c r="L1094" s="73" t="s">
        <v>18</v>
      </c>
      <c r="M1094" s="16" t="s">
        <v>22</v>
      </c>
      <c r="N1094" s="39" t="s">
        <v>418</v>
      </c>
    </row>
    <row r="1095" spans="1:14" s="169" customFormat="1" ht="18">
      <c r="A1095" s="180" t="s">
        <v>115</v>
      </c>
      <c r="B1095" s="77" t="s">
        <v>1628</v>
      </c>
      <c r="C1095" s="177" t="s">
        <v>17</v>
      </c>
      <c r="D1095" s="177"/>
      <c r="E1095" s="177"/>
      <c r="F1095" s="468"/>
      <c r="G1095" s="468"/>
      <c r="H1095" s="468">
        <f>SUM(Tabla132112415[[#This Row],[PRIMER TRIMESTRE]:[CUARTO TRIMESTRE]])</f>
        <v>0</v>
      </c>
      <c r="I1095" s="72">
        <v>3500</v>
      </c>
      <c r="J1095" s="72">
        <f t="shared" si="28"/>
        <v>0</v>
      </c>
      <c r="K1095" s="72"/>
      <c r="L1095" s="73" t="s">
        <v>18</v>
      </c>
      <c r="M1095" s="16" t="s">
        <v>22</v>
      </c>
      <c r="N1095" s="39" t="s">
        <v>418</v>
      </c>
    </row>
    <row r="1096" spans="1:14" s="169" customFormat="1" ht="18">
      <c r="A1096" s="180" t="s">
        <v>115</v>
      </c>
      <c r="B1096" s="77" t="s">
        <v>1629</v>
      </c>
      <c r="C1096" s="177" t="s">
        <v>17</v>
      </c>
      <c r="D1096" s="177"/>
      <c r="E1096" s="177"/>
      <c r="F1096" s="468"/>
      <c r="G1096" s="468"/>
      <c r="H1096" s="468">
        <f>SUM(Tabla132112415[[#This Row],[PRIMER TRIMESTRE]:[CUARTO TRIMESTRE]])</f>
        <v>0</v>
      </c>
      <c r="I1096" s="72">
        <v>14000</v>
      </c>
      <c r="J1096" s="72">
        <f t="shared" si="28"/>
        <v>0</v>
      </c>
      <c r="K1096" s="72"/>
      <c r="L1096" s="16" t="s">
        <v>18</v>
      </c>
      <c r="M1096" s="16" t="s">
        <v>22</v>
      </c>
      <c r="N1096" s="39" t="s">
        <v>418</v>
      </c>
    </row>
    <row r="1097" spans="1:14" s="169" customFormat="1" ht="25.5">
      <c r="A1097" s="180" t="s">
        <v>115</v>
      </c>
      <c r="B1097" s="77" t="s">
        <v>939</v>
      </c>
      <c r="C1097" s="177" t="s">
        <v>17</v>
      </c>
      <c r="D1097" s="177"/>
      <c r="E1097" s="177"/>
      <c r="F1097" s="177"/>
      <c r="G1097" s="177"/>
      <c r="H1097" s="468">
        <f>SUM(Tabla132112415[[#This Row],[PRIMER TRIMESTRE]:[CUARTO TRIMESTRE]])</f>
        <v>0</v>
      </c>
      <c r="I1097" s="72">
        <v>34000</v>
      </c>
      <c r="J1097" s="72">
        <f t="shared" si="28"/>
        <v>0</v>
      </c>
      <c r="K1097" s="72"/>
      <c r="L1097" s="16" t="s">
        <v>18</v>
      </c>
      <c r="M1097" s="16" t="s">
        <v>22</v>
      </c>
      <c r="N1097" s="39" t="s">
        <v>418</v>
      </c>
    </row>
    <row r="1098" spans="1:14" s="169" customFormat="1" ht="18">
      <c r="A1098" s="180" t="s">
        <v>115</v>
      </c>
      <c r="B1098" s="77" t="s">
        <v>1630</v>
      </c>
      <c r="C1098" s="177" t="s">
        <v>17</v>
      </c>
      <c r="D1098" s="177"/>
      <c r="E1098" s="177"/>
      <c r="F1098" s="177"/>
      <c r="G1098" s="177"/>
      <c r="H1098" s="468">
        <f>SUM(Tabla132112415[[#This Row],[PRIMER TRIMESTRE]:[CUARTO TRIMESTRE]])</f>
        <v>0</v>
      </c>
      <c r="I1098" s="72">
        <v>4000</v>
      </c>
      <c r="J1098" s="72">
        <f t="shared" si="28"/>
        <v>0</v>
      </c>
      <c r="K1098" s="72"/>
      <c r="L1098" s="16" t="s">
        <v>18</v>
      </c>
      <c r="M1098" s="16" t="s">
        <v>22</v>
      </c>
      <c r="N1098" s="39" t="s">
        <v>418</v>
      </c>
    </row>
    <row r="1099" spans="1:14" s="169" customFormat="1" ht="18">
      <c r="A1099" s="180" t="s">
        <v>115</v>
      </c>
      <c r="B1099" s="77" t="s">
        <v>1631</v>
      </c>
      <c r="C1099" s="177" t="s">
        <v>17</v>
      </c>
      <c r="D1099" s="177"/>
      <c r="E1099" s="177"/>
      <c r="F1099" s="177"/>
      <c r="G1099" s="177"/>
      <c r="H1099" s="468">
        <f>SUM(Tabla132112415[[#This Row],[PRIMER TRIMESTRE]:[CUARTO TRIMESTRE]])</f>
        <v>0</v>
      </c>
      <c r="I1099" s="72">
        <v>20000</v>
      </c>
      <c r="J1099" s="72">
        <f t="shared" si="28"/>
        <v>0</v>
      </c>
      <c r="K1099" s="72"/>
      <c r="L1099" s="16" t="s">
        <v>18</v>
      </c>
      <c r="M1099" s="16" t="s">
        <v>22</v>
      </c>
      <c r="N1099" s="39" t="s">
        <v>418</v>
      </c>
    </row>
    <row r="1100" spans="1:14" s="169" customFormat="1" ht="18">
      <c r="A1100" s="180" t="s">
        <v>115</v>
      </c>
      <c r="B1100" s="77" t="s">
        <v>1632</v>
      </c>
      <c r="C1100" s="177" t="s">
        <v>17</v>
      </c>
      <c r="D1100" s="177"/>
      <c r="E1100" s="177"/>
      <c r="F1100" s="177"/>
      <c r="G1100" s="177"/>
      <c r="H1100" s="468">
        <f>SUM(Tabla132112415[[#This Row],[PRIMER TRIMESTRE]:[CUARTO TRIMESTRE]])</f>
        <v>0</v>
      </c>
      <c r="I1100" s="72">
        <v>300000</v>
      </c>
      <c r="J1100" s="72">
        <f t="shared" si="28"/>
        <v>0</v>
      </c>
      <c r="K1100" s="72"/>
      <c r="L1100" s="73" t="s">
        <v>18</v>
      </c>
      <c r="M1100" s="16" t="s">
        <v>22</v>
      </c>
      <c r="N1100" s="39" t="s">
        <v>418</v>
      </c>
    </row>
    <row r="1101" spans="1:14" s="12" customFormat="1" ht="25.5">
      <c r="A1101" s="180" t="s">
        <v>115</v>
      </c>
      <c r="B1101" s="77" t="s">
        <v>940</v>
      </c>
      <c r="C1101" s="177" t="s">
        <v>17</v>
      </c>
      <c r="D1101" s="177"/>
      <c r="E1101" s="177"/>
      <c r="F1101" s="177"/>
      <c r="G1101" s="177"/>
      <c r="H1101" s="468">
        <f>SUM(Tabla132112415[[#This Row],[PRIMER TRIMESTRE]:[CUARTO TRIMESTRE]])</f>
        <v>0</v>
      </c>
      <c r="I1101" s="72">
        <v>210000</v>
      </c>
      <c r="J1101" s="72">
        <f t="shared" si="28"/>
        <v>0</v>
      </c>
      <c r="K1101" s="72"/>
      <c r="L1101" s="16" t="s">
        <v>18</v>
      </c>
      <c r="M1101" s="16" t="s">
        <v>22</v>
      </c>
      <c r="N1101" s="39" t="s">
        <v>418</v>
      </c>
    </row>
    <row r="1102" spans="1:14" s="12" customFormat="1" ht="25.5">
      <c r="A1102" s="180" t="s">
        <v>115</v>
      </c>
      <c r="B1102" s="77" t="s">
        <v>1887</v>
      </c>
      <c r="C1102" s="177" t="s">
        <v>17</v>
      </c>
      <c r="D1102" s="177">
        <v>19</v>
      </c>
      <c r="E1102" s="177"/>
      <c r="F1102" s="177"/>
      <c r="G1102" s="177"/>
      <c r="H1102" s="468">
        <f>SUM(Tabla132112415[[#This Row],[PRIMER TRIMESTRE]:[CUARTO TRIMESTRE]])</f>
        <v>19</v>
      </c>
      <c r="I1102" s="72">
        <v>35000</v>
      </c>
      <c r="J1102" s="72">
        <f t="shared" si="28"/>
        <v>665000</v>
      </c>
      <c r="K1102" s="72"/>
      <c r="L1102" s="16" t="s">
        <v>18</v>
      </c>
      <c r="M1102" s="16" t="s">
        <v>22</v>
      </c>
      <c r="N1102" s="39" t="s">
        <v>418</v>
      </c>
    </row>
    <row r="1103" spans="1:14" s="12" customFormat="1" ht="25.5">
      <c r="A1103" s="178" t="s">
        <v>115</v>
      </c>
      <c r="B1103" s="75" t="s">
        <v>1752</v>
      </c>
      <c r="C1103" s="176" t="s">
        <v>17</v>
      </c>
      <c r="D1103" s="177">
        <v>13</v>
      </c>
      <c r="E1103" s="177"/>
      <c r="F1103" s="177"/>
      <c r="G1103" s="177"/>
      <c r="H1103" s="468">
        <v>0</v>
      </c>
      <c r="I1103" s="72">
        <v>0</v>
      </c>
      <c r="J1103" s="72">
        <v>0</v>
      </c>
      <c r="K1103" s="72"/>
      <c r="L1103" s="73" t="s">
        <v>18</v>
      </c>
      <c r="M1103" s="16" t="s">
        <v>22</v>
      </c>
      <c r="N1103" s="39" t="s">
        <v>418</v>
      </c>
    </row>
    <row r="1104" spans="1:14" s="12" customFormat="1" ht="18">
      <c r="A1104" s="178" t="s">
        <v>115</v>
      </c>
      <c r="B1104" s="75" t="s">
        <v>1888</v>
      </c>
      <c r="C1104" s="176" t="s">
        <v>17</v>
      </c>
      <c r="D1104" s="177"/>
      <c r="E1104" s="177"/>
      <c r="F1104" s="177"/>
      <c r="G1104" s="177"/>
      <c r="H1104" s="468">
        <v>0</v>
      </c>
      <c r="I1104" s="72">
        <v>0</v>
      </c>
      <c r="J1104" s="72">
        <v>0</v>
      </c>
      <c r="K1104" s="72"/>
      <c r="L1104" s="73" t="s">
        <v>18</v>
      </c>
      <c r="M1104" s="16" t="s">
        <v>22</v>
      </c>
      <c r="N1104" s="39" t="s">
        <v>418</v>
      </c>
    </row>
    <row r="1105" spans="1:14" s="12" customFormat="1" ht="30.75" customHeight="1">
      <c r="A1105" s="178" t="s">
        <v>115</v>
      </c>
      <c r="B1105" s="75" t="s">
        <v>945</v>
      </c>
      <c r="C1105" s="176" t="s">
        <v>17</v>
      </c>
      <c r="D1105" s="176"/>
      <c r="E1105" s="176"/>
      <c r="F1105" s="176"/>
      <c r="G1105" s="176"/>
      <c r="H1105" s="499">
        <f>SUM(Tabla132112415[[#This Row],[PRIMER TRIMESTRE]:[CUARTO TRIMESTRE]])</f>
        <v>0</v>
      </c>
      <c r="I1105" s="17">
        <v>7498</v>
      </c>
      <c r="J1105" s="17">
        <f t="shared" si="28"/>
        <v>0</v>
      </c>
      <c r="K1105" s="17"/>
      <c r="L1105" s="73" t="s">
        <v>18</v>
      </c>
      <c r="M1105" s="16" t="s">
        <v>22</v>
      </c>
      <c r="N1105" s="39" t="s">
        <v>418</v>
      </c>
    </row>
    <row r="1106" spans="1:14" s="12" customFormat="1" ht="30.75" customHeight="1">
      <c r="A1106" s="178" t="s">
        <v>115</v>
      </c>
      <c r="B1106" s="75" t="s">
        <v>946</v>
      </c>
      <c r="C1106" s="176" t="s">
        <v>17</v>
      </c>
      <c r="D1106" s="176"/>
      <c r="E1106" s="176"/>
      <c r="F1106" s="176"/>
      <c r="G1106" s="176"/>
      <c r="H1106" s="499">
        <f>SUM(Tabla132112415[[#This Row],[PRIMER TRIMESTRE]:[CUARTO TRIMESTRE]])</f>
        <v>0</v>
      </c>
      <c r="I1106" s="17">
        <v>4600</v>
      </c>
      <c r="J1106" s="17">
        <f t="shared" si="28"/>
        <v>0</v>
      </c>
      <c r="K1106" s="17"/>
      <c r="L1106" s="73" t="s">
        <v>18</v>
      </c>
      <c r="M1106" s="16" t="s">
        <v>22</v>
      </c>
      <c r="N1106" s="39" t="s">
        <v>418</v>
      </c>
    </row>
    <row r="1107" spans="1:14" s="12" customFormat="1" ht="30.75" customHeight="1">
      <c r="A1107" s="178" t="s">
        <v>115</v>
      </c>
      <c r="B1107" s="75" t="s">
        <v>947</v>
      </c>
      <c r="C1107" s="176" t="s">
        <v>17</v>
      </c>
      <c r="D1107" s="176">
        <v>1</v>
      </c>
      <c r="E1107" s="176"/>
      <c r="F1107" s="176"/>
      <c r="G1107" s="176"/>
      <c r="H1107" s="499">
        <f>SUM(Tabla132112415[[#This Row],[PRIMER TRIMESTRE]:[CUARTO TRIMESTRE]])</f>
        <v>1</v>
      </c>
      <c r="I1107" s="17">
        <v>3496</v>
      </c>
      <c r="J1107" s="17">
        <f t="shared" si="28"/>
        <v>3496</v>
      </c>
      <c r="K1107" s="17"/>
      <c r="L1107" s="73" t="s">
        <v>18</v>
      </c>
      <c r="M1107" s="16" t="s">
        <v>22</v>
      </c>
      <c r="N1107" s="39" t="s">
        <v>418</v>
      </c>
    </row>
    <row r="1108" spans="1:14" s="12" customFormat="1" ht="30.75" customHeight="1">
      <c r="A1108" s="178" t="s">
        <v>115</v>
      </c>
      <c r="B1108" s="75" t="s">
        <v>1440</v>
      </c>
      <c r="C1108" s="176" t="s">
        <v>17</v>
      </c>
      <c r="D1108" s="176"/>
      <c r="E1108" s="176"/>
      <c r="F1108" s="176"/>
      <c r="G1108" s="176"/>
      <c r="H1108" s="499">
        <f>SUM(Tabla132112415[[#This Row],[PRIMER TRIMESTRE]:[CUARTO TRIMESTRE]])</f>
        <v>0</v>
      </c>
      <c r="I1108" s="17">
        <v>5310</v>
      </c>
      <c r="J1108" s="17">
        <f t="shared" si="28"/>
        <v>0</v>
      </c>
      <c r="K1108" s="17"/>
      <c r="L1108" s="73" t="s">
        <v>15</v>
      </c>
      <c r="M1108" s="16" t="s">
        <v>22</v>
      </c>
      <c r="N1108" s="39" t="s">
        <v>418</v>
      </c>
    </row>
    <row r="1109" spans="1:14" s="12" customFormat="1" ht="30.75" customHeight="1">
      <c r="A1109" s="178" t="s">
        <v>115</v>
      </c>
      <c r="B1109" s="75" t="s">
        <v>2542</v>
      </c>
      <c r="C1109" s="176" t="s">
        <v>17</v>
      </c>
      <c r="D1109" s="176">
        <v>1</v>
      </c>
      <c r="E1109" s="176"/>
      <c r="F1109" s="176"/>
      <c r="G1109" s="176"/>
      <c r="H1109" s="499"/>
      <c r="I1109" s="17"/>
      <c r="J1109" s="17"/>
      <c r="K1109" s="17"/>
      <c r="L1109" s="73"/>
      <c r="M1109" s="16"/>
      <c r="N1109" s="39"/>
    </row>
    <row r="1110" spans="1:14" s="26" customFormat="1" ht="30.75" customHeight="1">
      <c r="A1110" s="178" t="s">
        <v>115</v>
      </c>
      <c r="B1110" s="75" t="s">
        <v>1441</v>
      </c>
      <c r="C1110" s="176" t="s">
        <v>17</v>
      </c>
      <c r="D1110" s="176"/>
      <c r="E1110" s="176"/>
      <c r="F1110" s="176"/>
      <c r="G1110" s="176"/>
      <c r="H1110" s="499">
        <f>SUM(Tabla132112415[[#This Row],[PRIMER TRIMESTRE]:[CUARTO TRIMESTRE]])</f>
        <v>0</v>
      </c>
      <c r="I1110" s="17">
        <v>5310</v>
      </c>
      <c r="J1110" s="17">
        <f t="shared" si="28"/>
        <v>0</v>
      </c>
      <c r="K1110" s="17"/>
      <c r="L1110" s="73" t="s">
        <v>15</v>
      </c>
      <c r="M1110" s="16" t="s">
        <v>22</v>
      </c>
      <c r="N1110" s="39" t="s">
        <v>418</v>
      </c>
    </row>
    <row r="1111" spans="1:14" s="12" customFormat="1" ht="30.75" customHeight="1">
      <c r="A1111" s="178" t="s">
        <v>115</v>
      </c>
      <c r="B1111" s="75" t="s">
        <v>1442</v>
      </c>
      <c r="C1111" s="176" t="s">
        <v>17</v>
      </c>
      <c r="D1111" s="176"/>
      <c r="E1111" s="176"/>
      <c r="F1111" s="176"/>
      <c r="G1111" s="176"/>
      <c r="H1111" s="499">
        <f>SUM(Tabla132112415[[#This Row],[PRIMER TRIMESTRE]:[CUARTO TRIMESTRE]])</f>
        <v>0</v>
      </c>
      <c r="I1111" s="17">
        <v>5310</v>
      </c>
      <c r="J1111" s="17">
        <f t="shared" si="28"/>
        <v>0</v>
      </c>
      <c r="K1111" s="17"/>
      <c r="L1111" s="73" t="s">
        <v>15</v>
      </c>
      <c r="M1111" s="16" t="s">
        <v>22</v>
      </c>
      <c r="N1111" s="39" t="s">
        <v>418</v>
      </c>
    </row>
    <row r="1112" spans="1:14" s="12" customFormat="1" ht="30.75" customHeight="1">
      <c r="A1112" s="179" t="s">
        <v>115</v>
      </c>
      <c r="B1112" s="76"/>
      <c r="C1112" s="492"/>
      <c r="D1112" s="492"/>
      <c r="E1112" s="492"/>
      <c r="F1112" s="492"/>
      <c r="G1112" s="492"/>
      <c r="H1112" s="496"/>
      <c r="I1112" s="24"/>
      <c r="J1112" s="24"/>
      <c r="K1112" s="25">
        <f>SUM(J1077:J1111)</f>
        <v>755032.41749999998</v>
      </c>
      <c r="L1112" s="23"/>
      <c r="M1112" s="23"/>
      <c r="N1112" s="42"/>
    </row>
    <row r="1113" spans="1:14" s="12" customFormat="1" ht="30.75" customHeight="1">
      <c r="A1113" s="178" t="s">
        <v>117</v>
      </c>
      <c r="B1113" s="75" t="s">
        <v>941</v>
      </c>
      <c r="C1113" s="176" t="s">
        <v>17</v>
      </c>
      <c r="D1113" s="176">
        <v>6</v>
      </c>
      <c r="E1113" s="176"/>
      <c r="F1113" s="176"/>
      <c r="G1113" s="176"/>
      <c r="H1113" s="499">
        <f>SUM(Tabla132112415[[#This Row],[PRIMER TRIMESTRE]:[CUARTO TRIMESTRE]])</f>
        <v>6</v>
      </c>
      <c r="I1113" s="17">
        <v>900</v>
      </c>
      <c r="J1113" s="17">
        <f>+H1113*I1113</f>
        <v>5400</v>
      </c>
      <c r="K1113" s="17"/>
      <c r="L1113" s="73" t="s">
        <v>18</v>
      </c>
      <c r="M1113" s="16" t="s">
        <v>22</v>
      </c>
      <c r="N1113" s="39"/>
    </row>
    <row r="1114" spans="1:14" s="12" customFormat="1" ht="30.75" customHeight="1">
      <c r="A1114" s="178" t="s">
        <v>117</v>
      </c>
      <c r="B1114" s="75" t="s">
        <v>942</v>
      </c>
      <c r="C1114" s="176" t="s">
        <v>17</v>
      </c>
      <c r="D1114" s="176"/>
      <c r="E1114" s="176"/>
      <c r="F1114" s="176"/>
      <c r="G1114" s="176"/>
      <c r="H1114" s="499">
        <f>SUM(Tabla132112415[[#This Row],[PRIMER TRIMESTRE]:[CUARTO TRIMESTRE]])</f>
        <v>0</v>
      </c>
      <c r="I1114" s="17">
        <v>900</v>
      </c>
      <c r="J1114" s="17">
        <f>+H1114*I1114</f>
        <v>0</v>
      </c>
      <c r="K1114" s="17"/>
      <c r="L1114" s="73" t="s">
        <v>18</v>
      </c>
      <c r="M1114" s="16" t="s">
        <v>22</v>
      </c>
      <c r="N1114" s="39" t="s">
        <v>418</v>
      </c>
    </row>
    <row r="1115" spans="1:14" s="12" customFormat="1" ht="30.75" customHeight="1">
      <c r="A1115" s="178" t="s">
        <v>117</v>
      </c>
      <c r="B1115" s="75" t="s">
        <v>943</v>
      </c>
      <c r="C1115" s="176" t="s">
        <v>17</v>
      </c>
      <c r="D1115" s="176"/>
      <c r="E1115" s="176"/>
      <c r="F1115" s="176"/>
      <c r="G1115" s="176"/>
      <c r="H1115" s="499">
        <f>SUM(Tabla132112415[[#This Row],[PRIMER TRIMESTRE]:[CUARTO TRIMESTRE]])</f>
        <v>0</v>
      </c>
      <c r="I1115" s="17">
        <v>800000</v>
      </c>
      <c r="J1115" s="17">
        <f>+H1115*I1115</f>
        <v>0</v>
      </c>
      <c r="K1115" s="17"/>
      <c r="L1115" s="16" t="s">
        <v>18</v>
      </c>
      <c r="M1115" s="16" t="s">
        <v>22</v>
      </c>
      <c r="N1115" s="39" t="s">
        <v>418</v>
      </c>
    </row>
    <row r="1116" spans="1:14" s="12" customFormat="1" ht="30.75" customHeight="1">
      <c r="A1116" s="178" t="s">
        <v>117</v>
      </c>
      <c r="B1116" s="75" t="s">
        <v>1402</v>
      </c>
      <c r="C1116" s="176" t="s">
        <v>17</v>
      </c>
      <c r="D1116" s="176"/>
      <c r="E1116" s="176"/>
      <c r="F1116" s="176"/>
      <c r="G1116" s="176"/>
      <c r="H1116" s="499">
        <f>SUM(Tabla132112415[[#This Row],[PRIMER TRIMESTRE]:[CUARTO TRIMESTRE]])</f>
        <v>0</v>
      </c>
      <c r="I1116" s="17">
        <v>758</v>
      </c>
      <c r="J1116" s="17">
        <f>+Tabla132112415[[#This Row],[CANTIDAD TOTAL]]*Tabla132112415[[#This Row],[PRECIO UNITARIO ESTIMADO]]</f>
        <v>0</v>
      </c>
      <c r="K1116" s="17"/>
      <c r="L1116" s="73" t="s">
        <v>18</v>
      </c>
      <c r="M1116" s="16" t="s">
        <v>22</v>
      </c>
      <c r="N1116" s="39" t="s">
        <v>418</v>
      </c>
    </row>
    <row r="1117" spans="1:14" s="12" customFormat="1" ht="30.75" customHeight="1">
      <c r="A1117" s="178" t="s">
        <v>117</v>
      </c>
      <c r="B1117" s="75" t="s">
        <v>944</v>
      </c>
      <c r="C1117" s="176" t="s">
        <v>17</v>
      </c>
      <c r="D1117" s="176"/>
      <c r="E1117" s="176"/>
      <c r="F1117" s="176"/>
      <c r="G1117" s="176"/>
      <c r="H1117" s="499">
        <f>SUM(Tabla132112415[[#This Row],[PRIMER TRIMESTRE]:[CUARTO TRIMESTRE]])</f>
        <v>0</v>
      </c>
      <c r="I1117" s="17">
        <v>12000</v>
      </c>
      <c r="J1117" s="17">
        <f t="shared" ref="J1117:J1126" si="29">+H1117*I1117</f>
        <v>0</v>
      </c>
      <c r="K1117" s="17"/>
      <c r="L1117" s="73" t="s">
        <v>18</v>
      </c>
      <c r="M1117" s="16" t="s">
        <v>22</v>
      </c>
      <c r="N1117" s="39" t="s">
        <v>418</v>
      </c>
    </row>
    <row r="1118" spans="1:14" s="12" customFormat="1" ht="30.75" customHeight="1">
      <c r="A1118" s="178" t="s">
        <v>117</v>
      </c>
      <c r="B1118" s="75" t="s">
        <v>1755</v>
      </c>
      <c r="C1118" s="176" t="s">
        <v>17</v>
      </c>
      <c r="D1118" s="176"/>
      <c r="E1118" s="176"/>
      <c r="F1118" s="176"/>
      <c r="G1118" s="176"/>
      <c r="H1118" s="499">
        <v>0</v>
      </c>
      <c r="I1118" s="17">
        <v>0</v>
      </c>
      <c r="J1118" s="17">
        <v>0</v>
      </c>
      <c r="K1118" s="17"/>
      <c r="L1118" s="73" t="s">
        <v>18</v>
      </c>
      <c r="M1118" s="16" t="s">
        <v>22</v>
      </c>
      <c r="N1118" s="39" t="s">
        <v>418</v>
      </c>
    </row>
    <row r="1119" spans="1:14" s="12" customFormat="1" ht="30.75" customHeight="1">
      <c r="A1119" s="178" t="s">
        <v>117</v>
      </c>
      <c r="B1119" s="75" t="s">
        <v>1756</v>
      </c>
      <c r="C1119" s="176" t="s">
        <v>17</v>
      </c>
      <c r="D1119" s="176">
        <v>6</v>
      </c>
      <c r="E1119" s="176"/>
      <c r="F1119" s="176"/>
      <c r="G1119" s="176"/>
      <c r="H1119" s="499">
        <v>0</v>
      </c>
      <c r="I1119" s="17">
        <v>0</v>
      </c>
      <c r="J1119" s="17">
        <v>0</v>
      </c>
      <c r="K1119" s="17"/>
      <c r="L1119" s="73" t="s">
        <v>18</v>
      </c>
      <c r="M1119" s="16" t="s">
        <v>22</v>
      </c>
      <c r="N1119" s="39" t="s">
        <v>418</v>
      </c>
    </row>
    <row r="1120" spans="1:14" s="12" customFormat="1" ht="30.75" customHeight="1">
      <c r="A1120" s="178" t="s">
        <v>117</v>
      </c>
      <c r="B1120" s="75" t="s">
        <v>1403</v>
      </c>
      <c r="C1120" s="176" t="s">
        <v>17</v>
      </c>
      <c r="D1120" s="176"/>
      <c r="E1120" s="176"/>
      <c r="F1120" s="176"/>
      <c r="G1120" s="176"/>
      <c r="H1120" s="499">
        <f>SUM(Tabla132112415[[#This Row],[PRIMER TRIMESTRE]:[CUARTO TRIMESTRE]])</f>
        <v>0</v>
      </c>
      <c r="I1120" s="17">
        <v>250000</v>
      </c>
      <c r="J1120" s="17">
        <f t="shared" si="29"/>
        <v>0</v>
      </c>
      <c r="K1120" s="17"/>
      <c r="L1120" s="73" t="s">
        <v>18</v>
      </c>
      <c r="M1120" s="16" t="s">
        <v>22</v>
      </c>
      <c r="N1120" s="39" t="s">
        <v>418</v>
      </c>
    </row>
    <row r="1121" spans="1:14" s="12" customFormat="1" ht="30.75" customHeight="1">
      <c r="A1121" s="178" t="s">
        <v>117</v>
      </c>
      <c r="B1121" s="75" t="s">
        <v>1420</v>
      </c>
      <c r="C1121" s="176" t="s">
        <v>17</v>
      </c>
      <c r="D1121" s="176"/>
      <c r="E1121" s="176"/>
      <c r="F1121" s="176"/>
      <c r="G1121" s="176"/>
      <c r="H1121" s="499">
        <f>SUM(Tabla132112415[[#This Row],[PRIMER TRIMESTRE]:[CUARTO TRIMESTRE]])</f>
        <v>0</v>
      </c>
      <c r="I1121" s="17">
        <v>25000000</v>
      </c>
      <c r="J1121" s="17">
        <f t="shared" si="29"/>
        <v>0</v>
      </c>
      <c r="K1121" s="17"/>
      <c r="L1121" s="16" t="s">
        <v>18</v>
      </c>
      <c r="M1121" s="16" t="s">
        <v>22</v>
      </c>
      <c r="N1121" s="39" t="s">
        <v>418</v>
      </c>
    </row>
    <row r="1122" spans="1:14" s="12" customFormat="1" ht="30.75" customHeight="1">
      <c r="A1122" s="178" t="s">
        <v>117</v>
      </c>
      <c r="B1122" s="75" t="s">
        <v>1404</v>
      </c>
      <c r="C1122" s="176" t="s">
        <v>17</v>
      </c>
      <c r="D1122" s="176"/>
      <c r="E1122" s="176"/>
      <c r="F1122" s="176"/>
      <c r="G1122" s="176"/>
      <c r="H1122" s="499">
        <f>SUM(Tabla132112415[[#This Row],[PRIMER TRIMESTRE]:[CUARTO TRIMESTRE]])</f>
        <v>0</v>
      </c>
      <c r="I1122" s="17">
        <v>327618.2</v>
      </c>
      <c r="J1122" s="17">
        <f t="shared" si="29"/>
        <v>0</v>
      </c>
      <c r="K1122" s="17"/>
      <c r="L1122" s="73" t="s">
        <v>18</v>
      </c>
      <c r="M1122" s="16" t="s">
        <v>22</v>
      </c>
      <c r="N1122" s="39" t="s">
        <v>418</v>
      </c>
    </row>
    <row r="1123" spans="1:14" s="12" customFormat="1" ht="30.75" customHeight="1">
      <c r="A1123" s="178" t="s">
        <v>117</v>
      </c>
      <c r="B1123" s="75" t="s">
        <v>1405</v>
      </c>
      <c r="C1123" s="176" t="s">
        <v>17</v>
      </c>
      <c r="D1123" s="176"/>
      <c r="E1123" s="176"/>
      <c r="F1123" s="176"/>
      <c r="G1123" s="176"/>
      <c r="H1123" s="499">
        <f>SUM(Tabla132112415[[#This Row],[PRIMER TRIMESTRE]:[CUARTO TRIMESTRE]])</f>
        <v>0</v>
      </c>
      <c r="I1123" s="17">
        <v>815223.95</v>
      </c>
      <c r="J1123" s="17">
        <f t="shared" si="29"/>
        <v>0</v>
      </c>
      <c r="K1123" s="17"/>
      <c r="L1123" s="16" t="s">
        <v>18</v>
      </c>
      <c r="M1123" s="16" t="s">
        <v>22</v>
      </c>
      <c r="N1123" s="39" t="s">
        <v>418</v>
      </c>
    </row>
    <row r="1124" spans="1:14" s="12" customFormat="1" ht="30.75" customHeight="1">
      <c r="A1124" s="178" t="s">
        <v>117</v>
      </c>
      <c r="B1124" s="75" t="s">
        <v>1406</v>
      </c>
      <c r="C1124" s="176" t="s">
        <v>17</v>
      </c>
      <c r="D1124" s="176"/>
      <c r="E1124" s="176"/>
      <c r="F1124" s="176"/>
      <c r="G1124" s="176"/>
      <c r="H1124" s="499">
        <f>SUM(Tabla132112415[[#This Row],[PRIMER TRIMESTRE]:[CUARTO TRIMESTRE]])</f>
        <v>0</v>
      </c>
      <c r="I1124" s="17">
        <v>341286.40000000002</v>
      </c>
      <c r="J1124" s="17">
        <f t="shared" si="29"/>
        <v>0</v>
      </c>
      <c r="K1124" s="17"/>
      <c r="L1124" s="73" t="s">
        <v>18</v>
      </c>
      <c r="M1124" s="16" t="s">
        <v>22</v>
      </c>
      <c r="N1124" s="39" t="s">
        <v>418</v>
      </c>
    </row>
    <row r="1125" spans="1:14" s="26" customFormat="1" ht="30.75" customHeight="1">
      <c r="A1125" s="178" t="s">
        <v>117</v>
      </c>
      <c r="B1125" s="75" t="s">
        <v>1407</v>
      </c>
      <c r="C1125" s="176" t="s">
        <v>17</v>
      </c>
      <c r="D1125" s="176"/>
      <c r="E1125" s="176"/>
      <c r="F1125" s="176"/>
      <c r="G1125" s="176"/>
      <c r="H1125" s="499">
        <f>SUM(Tabla132112415[[#This Row],[PRIMER TRIMESTRE]:[CUARTO TRIMESTRE]])</f>
        <v>0</v>
      </c>
      <c r="I1125" s="17">
        <v>498739.15</v>
      </c>
      <c r="J1125" s="17">
        <f t="shared" si="29"/>
        <v>0</v>
      </c>
      <c r="K1125" s="17"/>
      <c r="L1125" s="73" t="s">
        <v>18</v>
      </c>
      <c r="M1125" s="16" t="s">
        <v>22</v>
      </c>
      <c r="N1125" s="39" t="s">
        <v>418</v>
      </c>
    </row>
    <row r="1126" spans="1:14" s="12" customFormat="1" ht="30.75" customHeight="1">
      <c r="A1126" s="178" t="s">
        <v>117</v>
      </c>
      <c r="B1126" s="75" t="s">
        <v>1408</v>
      </c>
      <c r="C1126" s="176" t="s">
        <v>17</v>
      </c>
      <c r="D1126" s="176"/>
      <c r="E1126" s="176"/>
      <c r="F1126" s="176"/>
      <c r="G1126" s="176"/>
      <c r="H1126" s="499">
        <f>SUM(Tabla132112415[[#This Row],[PRIMER TRIMESTRE]:[CUARTO TRIMESTRE]])</f>
        <v>0</v>
      </c>
      <c r="I1126" s="17">
        <v>48163257.060000002</v>
      </c>
      <c r="J1126" s="17">
        <f t="shared" si="29"/>
        <v>0</v>
      </c>
      <c r="K1126" s="17"/>
      <c r="L1126" s="16" t="s">
        <v>18</v>
      </c>
      <c r="M1126" s="16" t="s">
        <v>22</v>
      </c>
      <c r="N1126" s="39" t="s">
        <v>418</v>
      </c>
    </row>
    <row r="1127" spans="1:14" s="12" customFormat="1" ht="30.75" customHeight="1">
      <c r="A1127" s="179" t="s">
        <v>117</v>
      </c>
      <c r="B1127" s="76" t="s">
        <v>891</v>
      </c>
      <c r="C1127" s="492"/>
      <c r="D1127" s="492"/>
      <c r="E1127" s="492"/>
      <c r="F1127" s="492"/>
      <c r="G1127" s="492"/>
      <c r="H1127" s="496"/>
      <c r="I1127" s="24"/>
      <c r="J1127" s="24"/>
      <c r="K1127" s="25">
        <f>SUM(J1113:J1126)</f>
        <v>5400</v>
      </c>
      <c r="L1127" s="23"/>
      <c r="M1127" s="23"/>
      <c r="N1127" s="42"/>
    </row>
    <row r="1128" spans="1:14" s="12" customFormat="1" ht="30.75" customHeight="1">
      <c r="A1128" s="178" t="s">
        <v>118</v>
      </c>
      <c r="B1128" s="75" t="s">
        <v>241</v>
      </c>
      <c r="C1128" s="176" t="s">
        <v>17</v>
      </c>
      <c r="D1128" s="176">
        <v>17</v>
      </c>
      <c r="E1128" s="176">
        <v>7</v>
      </c>
      <c r="F1128" s="176"/>
      <c r="G1128" s="176"/>
      <c r="H1128" s="499">
        <f>SUM(Tabla132112415[[#This Row],[PRIMER TRIMESTRE]:[CUARTO TRIMESTRE]])</f>
        <v>24</v>
      </c>
      <c r="I1128" s="17">
        <v>7544.8</v>
      </c>
      <c r="J1128" s="17">
        <f>+Tabla132112415[[#This Row],[CANTIDAD TOTAL]]*Tabla132112415[[#This Row],[PRECIO UNITARIO ESTIMADO]]</f>
        <v>181075.20000000001</v>
      </c>
      <c r="K1128" s="17"/>
      <c r="L1128" s="73" t="s">
        <v>27</v>
      </c>
      <c r="M1128" s="16" t="s">
        <v>22</v>
      </c>
      <c r="N1128" s="39" t="s">
        <v>418</v>
      </c>
    </row>
    <row r="1129" spans="1:14" s="12" customFormat="1" ht="30.75" customHeight="1">
      <c r="A1129" s="178" t="s">
        <v>118</v>
      </c>
      <c r="B1129" s="75" t="s">
        <v>242</v>
      </c>
      <c r="C1129" s="176" t="s">
        <v>17</v>
      </c>
      <c r="D1129" s="176">
        <v>8</v>
      </c>
      <c r="E1129" s="176"/>
      <c r="F1129" s="176"/>
      <c r="G1129" s="176"/>
      <c r="H1129" s="499">
        <f>SUM(Tabla132112415[[#This Row],[PRIMER TRIMESTRE]:[CUARTO TRIMESTRE]])</f>
        <v>8</v>
      </c>
      <c r="I1129" s="17">
        <v>4756</v>
      </c>
      <c r="J1129" s="17">
        <f>+Tabla132112415[[#This Row],[CANTIDAD TOTAL]]*Tabla132112415[[#This Row],[PRECIO UNITARIO ESTIMADO]]</f>
        <v>38048</v>
      </c>
      <c r="K1129" s="17"/>
      <c r="L1129" s="73" t="s">
        <v>27</v>
      </c>
      <c r="M1129" s="16" t="s">
        <v>22</v>
      </c>
      <c r="N1129" s="39" t="s">
        <v>418</v>
      </c>
    </row>
    <row r="1130" spans="1:14" s="12" customFormat="1" ht="30.75" customHeight="1">
      <c r="A1130" s="178" t="s">
        <v>118</v>
      </c>
      <c r="B1130" s="75" t="s">
        <v>243</v>
      </c>
      <c r="C1130" s="176" t="s">
        <v>17</v>
      </c>
      <c r="D1130" s="176">
        <v>1</v>
      </c>
      <c r="E1130" s="176"/>
      <c r="F1130" s="176"/>
      <c r="G1130" s="176"/>
      <c r="H1130" s="499">
        <f>SUM(Tabla132112415[[#This Row],[PRIMER TRIMESTRE]:[CUARTO TRIMESTRE]])</f>
        <v>1</v>
      </c>
      <c r="I1130" s="17">
        <v>4610.34</v>
      </c>
      <c r="J1130" s="17">
        <f>+Tabla132112415[[#This Row],[CANTIDAD TOTAL]]*Tabla132112415[[#This Row],[PRECIO UNITARIO ESTIMADO]]</f>
        <v>4610.34</v>
      </c>
      <c r="K1130" s="17"/>
      <c r="L1130" s="73" t="s">
        <v>27</v>
      </c>
      <c r="M1130" s="16" t="s">
        <v>22</v>
      </c>
      <c r="N1130" s="39" t="s">
        <v>418</v>
      </c>
    </row>
    <row r="1131" spans="1:14" s="12" customFormat="1" ht="30.75" customHeight="1">
      <c r="A1131" s="178" t="s">
        <v>118</v>
      </c>
      <c r="B1131" s="75" t="s">
        <v>336</v>
      </c>
      <c r="C1131" s="176" t="s">
        <v>17</v>
      </c>
      <c r="D1131" s="176"/>
      <c r="E1131" s="176"/>
      <c r="F1131" s="176"/>
      <c r="G1131" s="176"/>
      <c r="H1131" s="499">
        <f>SUM(Tabla132112415[[#This Row],[PRIMER TRIMESTRE]:[CUARTO TRIMESTRE]])</f>
        <v>0</v>
      </c>
      <c r="I1131" s="17">
        <v>10115</v>
      </c>
      <c r="J1131" s="17">
        <f>+Tabla132112415[[#This Row],[CANTIDAD TOTAL]]*Tabla132112415[[#This Row],[PRECIO UNITARIO ESTIMADO]]</f>
        <v>0</v>
      </c>
      <c r="K1131" s="17"/>
      <c r="L1131" s="73" t="s">
        <v>27</v>
      </c>
      <c r="M1131" s="16" t="s">
        <v>22</v>
      </c>
      <c r="N1131" s="39" t="s">
        <v>418</v>
      </c>
    </row>
    <row r="1132" spans="1:14" s="12" customFormat="1" ht="30.75" customHeight="1">
      <c r="A1132" s="178" t="s">
        <v>118</v>
      </c>
      <c r="B1132" s="75" t="s">
        <v>1322</v>
      </c>
      <c r="C1132" s="176" t="s">
        <v>17</v>
      </c>
      <c r="D1132" s="176"/>
      <c r="E1132" s="176"/>
      <c r="F1132" s="176"/>
      <c r="G1132" s="176"/>
      <c r="H1132" s="499">
        <f>SUM(Tabla132112415[[#This Row],[PRIMER TRIMESTRE]:[CUARTO TRIMESTRE]])</f>
        <v>0</v>
      </c>
      <c r="I1132" s="17">
        <f>+(5938.35+4838)/2</f>
        <v>5388.1750000000002</v>
      </c>
      <c r="J1132" s="17">
        <f>+Tabla132112415[[#This Row],[CANTIDAD TOTAL]]*Tabla132112415[[#This Row],[PRECIO UNITARIO ESTIMADO]]</f>
        <v>0</v>
      </c>
      <c r="K1132" s="17"/>
      <c r="L1132" s="73" t="s">
        <v>27</v>
      </c>
      <c r="M1132" s="16" t="s">
        <v>22</v>
      </c>
      <c r="N1132" s="39" t="s">
        <v>418</v>
      </c>
    </row>
    <row r="1133" spans="1:14" s="12" customFormat="1" ht="30.75" customHeight="1">
      <c r="A1133" s="178" t="s">
        <v>118</v>
      </c>
      <c r="B1133" s="75" t="s">
        <v>334</v>
      </c>
      <c r="C1133" s="176" t="s">
        <v>17</v>
      </c>
      <c r="D1133" s="176">
        <v>1</v>
      </c>
      <c r="E1133" s="176"/>
      <c r="F1133" s="176"/>
      <c r="G1133" s="176"/>
      <c r="H1133" s="499">
        <f>SUM(Tabla132112415[[#This Row],[PRIMER TRIMESTRE]:[CUARTO TRIMESTRE]])</f>
        <v>1</v>
      </c>
      <c r="I1133" s="17">
        <v>7080</v>
      </c>
      <c r="J1133" s="17">
        <f>+Tabla132112415[[#This Row],[CANTIDAD TOTAL]]*Tabla132112415[[#This Row],[PRECIO UNITARIO ESTIMADO]]</f>
        <v>7080</v>
      </c>
      <c r="K1133" s="17"/>
      <c r="L1133" s="73" t="s">
        <v>27</v>
      </c>
      <c r="M1133" s="16" t="s">
        <v>22</v>
      </c>
      <c r="N1133" s="39" t="s">
        <v>418</v>
      </c>
    </row>
    <row r="1134" spans="1:14" s="12" customFormat="1" ht="30.75" customHeight="1">
      <c r="A1134" s="178" t="s">
        <v>118</v>
      </c>
      <c r="B1134" s="75" t="s">
        <v>340</v>
      </c>
      <c r="C1134" s="176" t="s">
        <v>17</v>
      </c>
      <c r="D1134" s="176">
        <v>5</v>
      </c>
      <c r="E1134" s="176"/>
      <c r="F1134" s="176"/>
      <c r="G1134" s="176"/>
      <c r="H1134" s="499">
        <f>SUM(Tabla132112415[[#This Row],[PRIMER TRIMESTRE]:[CUARTO TRIMESTRE]])</f>
        <v>5</v>
      </c>
      <c r="I1134" s="17">
        <v>13684.27</v>
      </c>
      <c r="J1134" s="17">
        <f>+Tabla132112415[[#This Row],[CANTIDAD TOTAL]]*Tabla132112415[[#This Row],[PRECIO UNITARIO ESTIMADO]]</f>
        <v>68421.350000000006</v>
      </c>
      <c r="K1134" s="17"/>
      <c r="L1134" s="73" t="s">
        <v>15</v>
      </c>
      <c r="M1134" s="16" t="s">
        <v>22</v>
      </c>
      <c r="N1134" s="39" t="s">
        <v>418</v>
      </c>
    </row>
    <row r="1135" spans="1:14" s="12" customFormat="1" ht="30.75" customHeight="1">
      <c r="A1135" s="178" t="s">
        <v>118</v>
      </c>
      <c r="B1135" s="75" t="s">
        <v>1138</v>
      </c>
      <c r="C1135" s="176" t="s">
        <v>1067</v>
      </c>
      <c r="D1135" s="176">
        <v>1</v>
      </c>
      <c r="E1135" s="176"/>
      <c r="F1135" s="176"/>
      <c r="G1135" s="176"/>
      <c r="H1135" s="499">
        <f>SUM(Tabla132112415[[#This Row],[PRIMER TRIMESTRE]:[CUARTO TRIMESTRE]])</f>
        <v>1</v>
      </c>
      <c r="I1135" s="17">
        <v>3000</v>
      </c>
      <c r="J1135" s="17">
        <f>+H1135*I1135</f>
        <v>3000</v>
      </c>
      <c r="K1135" s="17"/>
      <c r="L1135" s="73" t="s">
        <v>15</v>
      </c>
      <c r="M1135" s="16" t="s">
        <v>22</v>
      </c>
      <c r="N1135" s="39" t="s">
        <v>418</v>
      </c>
    </row>
    <row r="1136" spans="1:14" s="12" customFormat="1" ht="30.75" customHeight="1">
      <c r="A1136" s="178" t="s">
        <v>118</v>
      </c>
      <c r="B1136" s="75" t="s">
        <v>245</v>
      </c>
      <c r="C1136" s="176" t="s">
        <v>17</v>
      </c>
      <c r="D1136" s="176"/>
      <c r="E1136" s="176"/>
      <c r="F1136" s="176"/>
      <c r="G1136" s="176"/>
      <c r="H1136" s="499">
        <f>SUM(Tabla132112415[[#This Row],[PRIMER TRIMESTRE]:[CUARTO TRIMESTRE]])</f>
        <v>0</v>
      </c>
      <c r="I1136" s="17">
        <v>10788</v>
      </c>
      <c r="J1136" s="17">
        <f>+Tabla132112415[[#This Row],[CANTIDAD TOTAL]]*Tabla132112415[[#This Row],[PRECIO UNITARIO ESTIMADO]]</f>
        <v>0</v>
      </c>
      <c r="K1136" s="17"/>
      <c r="L1136" s="73" t="s">
        <v>15</v>
      </c>
      <c r="M1136" s="16" t="s">
        <v>22</v>
      </c>
      <c r="N1136" s="39" t="s">
        <v>418</v>
      </c>
    </row>
    <row r="1137" spans="1:14" s="12" customFormat="1" ht="30.75" customHeight="1">
      <c r="A1137" s="178" t="s">
        <v>118</v>
      </c>
      <c r="B1137" s="75" t="s">
        <v>246</v>
      </c>
      <c r="C1137" s="176" t="s">
        <v>17</v>
      </c>
      <c r="D1137" s="176">
        <v>5</v>
      </c>
      <c r="E1137" s="176"/>
      <c r="F1137" s="176"/>
      <c r="G1137" s="176"/>
      <c r="H1137" s="499">
        <f>SUM(Tabla132112415[[#This Row],[PRIMER TRIMESTRE]:[CUARTO TRIMESTRE]])</f>
        <v>5</v>
      </c>
      <c r="I1137" s="17">
        <v>2467.71</v>
      </c>
      <c r="J1137" s="17">
        <f>+Tabla132112415[[#This Row],[CANTIDAD TOTAL]]*Tabla132112415[[#This Row],[PRECIO UNITARIO ESTIMADO]]</f>
        <v>12338.55</v>
      </c>
      <c r="K1137" s="17"/>
      <c r="L1137" s="73" t="s">
        <v>27</v>
      </c>
      <c r="M1137" s="16" t="s">
        <v>22</v>
      </c>
      <c r="N1137" s="39" t="s">
        <v>418</v>
      </c>
    </row>
    <row r="1138" spans="1:14" s="12" customFormat="1" ht="30.75" customHeight="1">
      <c r="A1138" s="178" t="s">
        <v>118</v>
      </c>
      <c r="B1138" s="75" t="s">
        <v>247</v>
      </c>
      <c r="C1138" s="176" t="s">
        <v>17</v>
      </c>
      <c r="D1138" s="176"/>
      <c r="E1138" s="176"/>
      <c r="F1138" s="176"/>
      <c r="G1138" s="176"/>
      <c r="H1138" s="499">
        <f>SUM(Tabla132112415[[#This Row],[PRIMER TRIMESTRE]:[CUARTO TRIMESTRE]])</f>
        <v>0</v>
      </c>
      <c r="I1138" s="17">
        <v>14434.48</v>
      </c>
      <c r="J1138" s="17">
        <f>+Tabla132112415[[#This Row],[CANTIDAD TOTAL]]*Tabla132112415[[#This Row],[PRECIO UNITARIO ESTIMADO]]</f>
        <v>0</v>
      </c>
      <c r="K1138" s="17"/>
      <c r="L1138" s="73" t="s">
        <v>15</v>
      </c>
      <c r="M1138" s="16" t="s">
        <v>22</v>
      </c>
      <c r="N1138" s="39" t="s">
        <v>418</v>
      </c>
    </row>
    <row r="1139" spans="1:14" s="12" customFormat="1" ht="30.75" customHeight="1">
      <c r="A1139" s="178" t="s">
        <v>118</v>
      </c>
      <c r="B1139" s="75" t="s">
        <v>1604</v>
      </c>
      <c r="C1139" s="176" t="s">
        <v>17</v>
      </c>
      <c r="D1139" s="176">
        <v>1</v>
      </c>
      <c r="E1139" s="176"/>
      <c r="F1139" s="176"/>
      <c r="G1139" s="176"/>
      <c r="H1139" s="499">
        <f>SUM(Tabla132112415[[#This Row],[PRIMER TRIMESTRE]:[CUARTO TRIMESTRE]])</f>
        <v>1</v>
      </c>
      <c r="I1139" s="17">
        <v>4800</v>
      </c>
      <c r="J1139" s="17">
        <f>+H1139*I1139</f>
        <v>4800</v>
      </c>
      <c r="K1139" s="17"/>
      <c r="L1139" s="73" t="s">
        <v>27</v>
      </c>
      <c r="M1139" s="16" t="s">
        <v>22</v>
      </c>
      <c r="N1139" s="39" t="s">
        <v>418</v>
      </c>
    </row>
    <row r="1140" spans="1:14" s="12" customFormat="1" ht="30.75" customHeight="1">
      <c r="A1140" s="178" t="s">
        <v>118</v>
      </c>
      <c r="B1140" s="75" t="s">
        <v>339</v>
      </c>
      <c r="C1140" s="176" t="s">
        <v>17</v>
      </c>
      <c r="D1140" s="176"/>
      <c r="E1140" s="176"/>
      <c r="F1140" s="176"/>
      <c r="G1140" s="176"/>
      <c r="H1140" s="499">
        <f>SUM(Tabla132112415[[#This Row],[PRIMER TRIMESTRE]:[CUARTO TRIMESTRE]])</f>
        <v>0</v>
      </c>
      <c r="I1140" s="17">
        <f>115079.5/24</f>
        <v>4794.979166666667</v>
      </c>
      <c r="J1140" s="17">
        <f>+Tabla132112415[[#This Row],[CANTIDAD TOTAL]]*Tabla132112415[[#This Row],[PRECIO UNITARIO ESTIMADO]]</f>
        <v>0</v>
      </c>
      <c r="K1140" s="17"/>
      <c r="L1140" s="73" t="s">
        <v>15</v>
      </c>
      <c r="M1140" s="16" t="s">
        <v>22</v>
      </c>
      <c r="N1140" s="39" t="s">
        <v>418</v>
      </c>
    </row>
    <row r="1141" spans="1:14" s="12" customFormat="1" ht="30.75" customHeight="1">
      <c r="A1141" s="178" t="s">
        <v>118</v>
      </c>
      <c r="B1141" s="75" t="s">
        <v>248</v>
      </c>
      <c r="C1141" s="176" t="s">
        <v>17</v>
      </c>
      <c r="D1141" s="176"/>
      <c r="E1141" s="176"/>
      <c r="F1141" s="176"/>
      <c r="G1141" s="176"/>
      <c r="H1141" s="499">
        <f>SUM(Tabla132112415[[#This Row],[PRIMER TRIMESTRE]:[CUARTO TRIMESTRE]])</f>
        <v>0</v>
      </c>
      <c r="I1141" s="17">
        <v>2262</v>
      </c>
      <c r="J1141" s="17">
        <f>+Tabla132112415[[#This Row],[CANTIDAD TOTAL]]*Tabla132112415[[#This Row],[PRECIO UNITARIO ESTIMADO]]</f>
        <v>0</v>
      </c>
      <c r="K1141" s="17"/>
      <c r="L1141" s="73" t="s">
        <v>15</v>
      </c>
      <c r="M1141" s="16" t="s">
        <v>22</v>
      </c>
      <c r="N1141" s="39" t="s">
        <v>418</v>
      </c>
    </row>
    <row r="1142" spans="1:14" s="12" customFormat="1" ht="30.75" customHeight="1">
      <c r="A1142" s="178" t="s">
        <v>118</v>
      </c>
      <c r="B1142" s="75" t="s">
        <v>249</v>
      </c>
      <c r="C1142" s="176" t="s">
        <v>17</v>
      </c>
      <c r="D1142" s="176">
        <v>63</v>
      </c>
      <c r="E1142" s="176"/>
      <c r="F1142" s="176"/>
      <c r="G1142" s="176"/>
      <c r="H1142" s="499">
        <f>SUM(Tabla132112415[[#This Row],[PRIMER TRIMESTRE]:[CUARTO TRIMESTRE]])</f>
        <v>63</v>
      </c>
      <c r="I1142" s="17">
        <v>3250</v>
      </c>
      <c r="J1142" s="17">
        <f>+Tabla132112415[[#This Row],[CANTIDAD TOTAL]]*Tabla132112415[[#This Row],[PRECIO UNITARIO ESTIMADO]]</f>
        <v>204750</v>
      </c>
      <c r="K1142" s="17"/>
      <c r="L1142" s="73" t="s">
        <v>27</v>
      </c>
      <c r="M1142" s="16" t="s">
        <v>22</v>
      </c>
      <c r="N1142" s="39" t="s">
        <v>418</v>
      </c>
    </row>
    <row r="1143" spans="1:14" s="26" customFormat="1" ht="30.75" customHeight="1">
      <c r="A1143" s="178" t="s">
        <v>118</v>
      </c>
      <c r="B1143" s="75" t="s">
        <v>250</v>
      </c>
      <c r="C1143" s="176" t="s">
        <v>17</v>
      </c>
      <c r="D1143" s="176">
        <v>5</v>
      </c>
      <c r="E1143" s="176"/>
      <c r="F1143" s="176"/>
      <c r="G1143" s="176"/>
      <c r="H1143" s="499">
        <f>SUM(Tabla132112415[[#This Row],[PRIMER TRIMESTRE]:[CUARTO TRIMESTRE]])</f>
        <v>5</v>
      </c>
      <c r="I1143" s="17">
        <v>3959.88</v>
      </c>
      <c r="J1143" s="17">
        <f>+Tabla132112415[[#This Row],[CANTIDAD TOTAL]]*Tabla132112415[[#This Row],[PRECIO UNITARIO ESTIMADO]]</f>
        <v>19799.400000000001</v>
      </c>
      <c r="K1143" s="17"/>
      <c r="L1143" s="73" t="s">
        <v>27</v>
      </c>
      <c r="M1143" s="16" t="s">
        <v>22</v>
      </c>
      <c r="N1143" s="39" t="s">
        <v>418</v>
      </c>
    </row>
    <row r="1144" spans="1:14" s="12" customFormat="1" ht="30.75" customHeight="1">
      <c r="A1144" s="178" t="s">
        <v>118</v>
      </c>
      <c r="B1144" s="75" t="s">
        <v>323</v>
      </c>
      <c r="C1144" s="176" t="s">
        <v>17</v>
      </c>
      <c r="D1144" s="176">
        <v>4</v>
      </c>
      <c r="E1144" s="176"/>
      <c r="F1144" s="176"/>
      <c r="G1144" s="176">
        <v>4</v>
      </c>
      <c r="H1144" s="499">
        <f>SUM(Tabla132112415[[#This Row],[PRIMER TRIMESTRE]:[CUARTO TRIMESTRE]])</f>
        <v>8</v>
      </c>
      <c r="I1144" s="17">
        <f>16086.57/3</f>
        <v>5362.19</v>
      </c>
      <c r="J1144" s="17">
        <f>+Tabla132112415[[#This Row],[CANTIDAD TOTAL]]*Tabla132112415[[#This Row],[PRECIO UNITARIO ESTIMADO]]</f>
        <v>42897.52</v>
      </c>
      <c r="K1144" s="17"/>
      <c r="L1144" s="73" t="s">
        <v>15</v>
      </c>
      <c r="M1144" s="16" t="s">
        <v>22</v>
      </c>
      <c r="N1144" s="39" t="s">
        <v>418</v>
      </c>
    </row>
    <row r="1145" spans="1:14" s="12" customFormat="1" ht="30.75" customHeight="1">
      <c r="A1145" s="179" t="s">
        <v>118</v>
      </c>
      <c r="B1145" s="76"/>
      <c r="C1145" s="492"/>
      <c r="D1145" s="492"/>
      <c r="E1145" s="492"/>
      <c r="F1145" s="492"/>
      <c r="G1145" s="492"/>
      <c r="H1145" s="496"/>
      <c r="I1145" s="24"/>
      <c r="J1145" s="24"/>
      <c r="K1145" s="25">
        <f>SUM(J1128:J1144)</f>
        <v>586820.36</v>
      </c>
      <c r="L1145" s="23"/>
      <c r="M1145" s="23"/>
      <c r="N1145" s="42"/>
    </row>
    <row r="1146" spans="1:14" s="12" customFormat="1" ht="30.75" customHeight="1">
      <c r="A1146" s="178" t="s">
        <v>119</v>
      </c>
      <c r="B1146" s="75" t="s">
        <v>341</v>
      </c>
      <c r="C1146" s="176" t="s">
        <v>17</v>
      </c>
      <c r="D1146" s="176"/>
      <c r="E1146" s="176"/>
      <c r="F1146" s="176"/>
      <c r="G1146" s="176"/>
      <c r="H1146" s="499">
        <f>SUM(Tabla132112415[[#This Row],[PRIMER TRIMESTRE]:[CUARTO TRIMESTRE]])</f>
        <v>0</v>
      </c>
      <c r="I1146" s="17">
        <f>2160.9+22288+501.5+6355.8+18041.9+5084.64+8389.8+3050.76+2466.06+1983.5+6203.28</f>
        <v>76526.14</v>
      </c>
      <c r="J1146" s="17">
        <f>+Tabla132112415[[#This Row],[CANTIDAD TOTAL]]*Tabla132112415[[#This Row],[PRECIO UNITARIO ESTIMADO]]</f>
        <v>0</v>
      </c>
      <c r="K1146" s="17"/>
      <c r="L1146" s="16" t="s">
        <v>15</v>
      </c>
      <c r="M1146" s="16" t="s">
        <v>22</v>
      </c>
      <c r="N1146" s="39" t="s">
        <v>418</v>
      </c>
    </row>
    <row r="1147" spans="1:14" s="12" customFormat="1" ht="30.75" customHeight="1">
      <c r="A1147" s="178" t="s">
        <v>119</v>
      </c>
      <c r="B1147" s="75" t="s">
        <v>252</v>
      </c>
      <c r="C1147" s="176" t="s">
        <v>17</v>
      </c>
      <c r="D1147" s="176"/>
      <c r="E1147" s="176"/>
      <c r="F1147" s="176"/>
      <c r="G1147" s="176"/>
      <c r="H1147" s="499">
        <f>SUM(Tabla132112415[[#This Row],[PRIMER TRIMESTRE]:[CUARTO TRIMESTRE]])</f>
        <v>0</v>
      </c>
      <c r="I1147" s="17">
        <v>26.45</v>
      </c>
      <c r="J1147" s="17">
        <f>+Tabla132112415[[#This Row],[CANTIDAD TOTAL]]*Tabla132112415[[#This Row],[PRECIO UNITARIO ESTIMADO]]</f>
        <v>0</v>
      </c>
      <c r="K1147" s="17"/>
      <c r="L1147" s="16" t="s">
        <v>15</v>
      </c>
      <c r="M1147" s="16" t="s">
        <v>22</v>
      </c>
      <c r="N1147" s="39" t="s">
        <v>418</v>
      </c>
    </row>
    <row r="1148" spans="1:14" s="12" customFormat="1" ht="30.75" customHeight="1">
      <c r="A1148" s="178" t="s">
        <v>119</v>
      </c>
      <c r="B1148" s="75" t="s">
        <v>1606</v>
      </c>
      <c r="C1148" s="176" t="s">
        <v>17</v>
      </c>
      <c r="D1148" s="176">
        <v>12</v>
      </c>
      <c r="E1148" s="176"/>
      <c r="F1148" s="176"/>
      <c r="G1148" s="176"/>
      <c r="H1148" s="499">
        <f>SUM(Tabla132112415[[#This Row],[PRIMER TRIMESTRE]:[CUARTO TRIMESTRE]])</f>
        <v>12</v>
      </c>
      <c r="I1148" s="17">
        <v>8000</v>
      </c>
      <c r="J1148" s="17">
        <f>+H1148*I1148</f>
        <v>96000</v>
      </c>
      <c r="K1148" s="17"/>
      <c r="L1148" s="16" t="s">
        <v>15</v>
      </c>
      <c r="M1148" s="16" t="s">
        <v>22</v>
      </c>
      <c r="N1148" s="39" t="s">
        <v>418</v>
      </c>
    </row>
    <row r="1149" spans="1:14" s="12" customFormat="1" ht="30.75" customHeight="1">
      <c r="A1149" s="178" t="s">
        <v>119</v>
      </c>
      <c r="B1149" s="75" t="s">
        <v>1605</v>
      </c>
      <c r="C1149" s="176" t="s">
        <v>17</v>
      </c>
      <c r="D1149" s="176">
        <v>1</v>
      </c>
      <c r="E1149" s="176"/>
      <c r="F1149" s="176"/>
      <c r="G1149" s="176"/>
      <c r="H1149" s="499">
        <f>SUM(Tabla132112415[[#This Row],[PRIMER TRIMESTRE]:[CUARTO TRIMESTRE]])</f>
        <v>1</v>
      </c>
      <c r="I1149" s="17">
        <v>12500</v>
      </c>
      <c r="J1149" s="17">
        <f>+H1149*I1149</f>
        <v>12500</v>
      </c>
      <c r="K1149" s="17"/>
      <c r="L1149" s="16" t="s">
        <v>15</v>
      </c>
      <c r="M1149" s="16" t="s">
        <v>22</v>
      </c>
      <c r="N1149" s="39" t="s">
        <v>418</v>
      </c>
    </row>
    <row r="1150" spans="1:14" s="12" customFormat="1" ht="30.75" customHeight="1">
      <c r="A1150" s="178" t="s">
        <v>119</v>
      </c>
      <c r="B1150" s="75" t="s">
        <v>256</v>
      </c>
      <c r="C1150" s="176" t="s">
        <v>17</v>
      </c>
      <c r="D1150" s="176">
        <v>25</v>
      </c>
      <c r="E1150" s="176"/>
      <c r="F1150" s="176"/>
      <c r="G1150" s="176"/>
      <c r="H1150" s="499">
        <f>SUM(Tabla132112415[[#This Row],[PRIMER TRIMESTRE]:[CUARTO TRIMESTRE]])</f>
        <v>25</v>
      </c>
      <c r="I1150" s="17">
        <v>434.24</v>
      </c>
      <c r="J1150" s="17">
        <f>+Tabla132112415[[#This Row],[CANTIDAD TOTAL]]*Tabla132112415[[#This Row],[PRECIO UNITARIO ESTIMADO]]</f>
        <v>10856</v>
      </c>
      <c r="K1150" s="17"/>
      <c r="L1150" s="16" t="s">
        <v>15</v>
      </c>
      <c r="M1150" s="16" t="s">
        <v>22</v>
      </c>
      <c r="N1150" s="39" t="s">
        <v>418</v>
      </c>
    </row>
    <row r="1151" spans="1:14" s="26" customFormat="1" ht="30.75" customHeight="1">
      <c r="A1151" s="178" t="s">
        <v>119</v>
      </c>
      <c r="B1151" s="75" t="s">
        <v>324</v>
      </c>
      <c r="C1151" s="176" t="s">
        <v>17</v>
      </c>
      <c r="D1151" s="176"/>
      <c r="E1151" s="176"/>
      <c r="F1151" s="176"/>
      <c r="G1151" s="176"/>
      <c r="H1151" s="499">
        <f>SUM(Tabla132112415[[#This Row],[PRIMER TRIMESTRE]:[CUARTO TRIMESTRE]])</f>
        <v>0</v>
      </c>
      <c r="I1151" s="17">
        <f>3536.75/2</f>
        <v>1768.375</v>
      </c>
      <c r="J1151" s="17">
        <f>+Tabla132112415[[#This Row],[CANTIDAD TOTAL]]*Tabla132112415[[#This Row],[PRECIO UNITARIO ESTIMADO]]</f>
        <v>0</v>
      </c>
      <c r="K1151" s="17"/>
      <c r="L1151" s="16" t="s">
        <v>15</v>
      </c>
      <c r="M1151" s="16" t="s">
        <v>22</v>
      </c>
      <c r="N1151" s="39" t="s">
        <v>418</v>
      </c>
    </row>
    <row r="1152" spans="1:14" s="12" customFormat="1" ht="30.75" customHeight="1">
      <c r="A1152" s="178" t="s">
        <v>119</v>
      </c>
      <c r="B1152" s="75" t="s">
        <v>257</v>
      </c>
      <c r="C1152" s="176" t="s">
        <v>17</v>
      </c>
      <c r="D1152" s="176"/>
      <c r="E1152" s="176"/>
      <c r="F1152" s="176"/>
      <c r="G1152" s="176"/>
      <c r="H1152" s="499">
        <f>SUM(Tabla132112415[[#This Row],[PRIMER TRIMESTRE]:[CUARTO TRIMESTRE]])</f>
        <v>0</v>
      </c>
      <c r="I1152" s="17">
        <v>522</v>
      </c>
      <c r="J1152" s="17">
        <f>+Tabla132112415[[#This Row],[CANTIDAD TOTAL]]*Tabla132112415[[#This Row],[PRECIO UNITARIO ESTIMADO]]</f>
        <v>0</v>
      </c>
      <c r="K1152" s="17"/>
      <c r="L1152" s="16" t="s">
        <v>15</v>
      </c>
      <c r="M1152" s="16" t="s">
        <v>22</v>
      </c>
      <c r="N1152" s="39" t="s">
        <v>418</v>
      </c>
    </row>
    <row r="1153" spans="1:14" s="12" customFormat="1" ht="30.75" customHeight="1">
      <c r="A1153" s="179" t="s">
        <v>119</v>
      </c>
      <c r="B1153" s="76"/>
      <c r="C1153" s="492"/>
      <c r="D1153" s="492"/>
      <c r="E1153" s="492"/>
      <c r="F1153" s="492"/>
      <c r="G1153" s="492"/>
      <c r="H1153" s="496"/>
      <c r="I1153" s="24"/>
      <c r="J1153" s="24"/>
      <c r="K1153" s="25">
        <f>SUM(J1146:J1152)</f>
        <v>119356</v>
      </c>
      <c r="L1153" s="23"/>
      <c r="M1153" s="23"/>
      <c r="N1153" s="42"/>
    </row>
    <row r="1154" spans="1:14" s="12" customFormat="1" ht="18">
      <c r="A1154" s="178" t="s">
        <v>120</v>
      </c>
      <c r="B1154" s="75" t="s">
        <v>392</v>
      </c>
      <c r="C1154" s="176" t="s">
        <v>208</v>
      </c>
      <c r="D1154" s="176">
        <v>25</v>
      </c>
      <c r="E1154" s="176">
        <v>17</v>
      </c>
      <c r="F1154" s="176">
        <v>10</v>
      </c>
      <c r="G1154" s="176">
        <v>14</v>
      </c>
      <c r="H1154" s="505">
        <f>SUM(Tabla132112415[[#This Row],[PRIMER TRIMESTRE]:[CUARTO TRIMESTRE]])</f>
        <v>66</v>
      </c>
      <c r="I1154" s="17">
        <v>48.12</v>
      </c>
      <c r="J1154" s="17">
        <f>+H1154*I1154</f>
        <v>3175.9199999999996</v>
      </c>
      <c r="K1154" s="17"/>
      <c r="L1154" s="16" t="s">
        <v>18</v>
      </c>
      <c r="M1154" s="16" t="s">
        <v>22</v>
      </c>
      <c r="N1154" s="39" t="s">
        <v>418</v>
      </c>
    </row>
    <row r="1155" spans="1:14" s="12" customFormat="1" ht="18">
      <c r="A1155" s="178" t="s">
        <v>120</v>
      </c>
      <c r="B1155" s="75" t="s">
        <v>393</v>
      </c>
      <c r="C1155" s="176" t="s">
        <v>208</v>
      </c>
      <c r="D1155" s="176">
        <v>11</v>
      </c>
      <c r="E1155" s="176">
        <v>9</v>
      </c>
      <c r="F1155" s="176">
        <v>8</v>
      </c>
      <c r="G1155" s="176">
        <v>8</v>
      </c>
      <c r="H1155" s="505">
        <f>SUM(Tabla132112415[[#This Row],[PRIMER TRIMESTRE]:[CUARTO TRIMESTRE]])</f>
        <v>36</v>
      </c>
      <c r="I1155" s="17">
        <v>41.28</v>
      </c>
      <c r="J1155" s="17">
        <f>+H1155*I1155</f>
        <v>1486.08</v>
      </c>
      <c r="K1155" s="17"/>
      <c r="L1155" s="16" t="s">
        <v>18</v>
      </c>
      <c r="M1155" s="16" t="s">
        <v>22</v>
      </c>
      <c r="N1155" s="39" t="s">
        <v>418</v>
      </c>
    </row>
    <row r="1156" spans="1:14" s="12" customFormat="1" ht="18">
      <c r="A1156" s="178" t="s">
        <v>120</v>
      </c>
      <c r="B1156" s="75" t="s">
        <v>743</v>
      </c>
      <c r="C1156" s="176" t="s">
        <v>208</v>
      </c>
      <c r="D1156" s="176">
        <v>7</v>
      </c>
      <c r="E1156" s="176">
        <v>6</v>
      </c>
      <c r="F1156" s="176">
        <v>5</v>
      </c>
      <c r="G1156" s="176">
        <v>5</v>
      </c>
      <c r="H1156" s="505">
        <f>SUM(Tabla132112415[[#This Row],[PRIMER TRIMESTRE]:[CUARTO TRIMESTRE]])</f>
        <v>23</v>
      </c>
      <c r="I1156" s="17">
        <f>4.42*12</f>
        <v>53.04</v>
      </c>
      <c r="J1156" s="17">
        <f>+H1156*I1156</f>
        <v>1219.92</v>
      </c>
      <c r="K1156" s="17"/>
      <c r="L1156" s="16" t="s">
        <v>18</v>
      </c>
      <c r="M1156" s="16" t="s">
        <v>22</v>
      </c>
      <c r="N1156" s="39" t="s">
        <v>418</v>
      </c>
    </row>
    <row r="1157" spans="1:14" s="12" customFormat="1" ht="18">
      <c r="A1157" s="178" t="s">
        <v>120</v>
      </c>
      <c r="B1157" s="75" t="s">
        <v>398</v>
      </c>
      <c r="C1157" s="176" t="s">
        <v>208</v>
      </c>
      <c r="D1157" s="176">
        <v>29</v>
      </c>
      <c r="E1157" s="176">
        <v>27</v>
      </c>
      <c r="F1157" s="176">
        <v>27</v>
      </c>
      <c r="G1157" s="176">
        <v>23</v>
      </c>
      <c r="H1157" s="505">
        <f>SUM(Tabla132112415[[#This Row],[PRIMER TRIMESTRE]:[CUARTO TRIMESTRE]])</f>
        <v>106</v>
      </c>
      <c r="I1157" s="17">
        <v>22.42</v>
      </c>
      <c r="J1157" s="17">
        <f>+H1157*I1157</f>
        <v>2376.52</v>
      </c>
      <c r="K1157" s="17"/>
      <c r="L1157" s="16" t="s">
        <v>18</v>
      </c>
      <c r="M1157" s="16" t="s">
        <v>22</v>
      </c>
      <c r="N1157" s="39" t="s">
        <v>418</v>
      </c>
    </row>
    <row r="1158" spans="1:14" s="12" customFormat="1" ht="18">
      <c r="A1158" s="178" t="s">
        <v>120</v>
      </c>
      <c r="B1158" s="75" t="s">
        <v>253</v>
      </c>
      <c r="C1158" s="176" t="s">
        <v>208</v>
      </c>
      <c r="D1158" s="176">
        <v>57</v>
      </c>
      <c r="E1158" s="176">
        <v>57</v>
      </c>
      <c r="F1158" s="176">
        <v>53</v>
      </c>
      <c r="G1158" s="176">
        <v>53</v>
      </c>
      <c r="H1158" s="499">
        <f>SUM(Tabla132112415[[#This Row],[PRIMER TRIMESTRE]:[CUARTO TRIMESTRE]])</f>
        <v>220</v>
      </c>
      <c r="I1158" s="17">
        <v>52.28</v>
      </c>
      <c r="J1158" s="17">
        <f>+Tabla132112415[[#This Row],[CANTIDAD TOTAL]]*Tabla132112415[[#This Row],[PRECIO UNITARIO ESTIMADO]]</f>
        <v>11501.6</v>
      </c>
      <c r="K1158" s="17"/>
      <c r="L1158" s="16" t="s">
        <v>18</v>
      </c>
      <c r="M1158" s="16" t="s">
        <v>22</v>
      </c>
      <c r="N1158" s="39" t="s">
        <v>418</v>
      </c>
    </row>
    <row r="1159" spans="1:14" s="169" customFormat="1" ht="18">
      <c r="A1159" s="178" t="s">
        <v>120</v>
      </c>
      <c r="B1159" s="75" t="s">
        <v>402</v>
      </c>
      <c r="C1159" s="176" t="s">
        <v>17</v>
      </c>
      <c r="D1159" s="176">
        <v>20</v>
      </c>
      <c r="E1159" s="176"/>
      <c r="F1159" s="176">
        <v>12</v>
      </c>
      <c r="G1159" s="176"/>
      <c r="H1159" s="499">
        <f>SUM(Tabla132112415[[#This Row],[PRIMER TRIMESTRE]:[CUARTO TRIMESTRE]])</f>
        <v>32</v>
      </c>
      <c r="I1159" s="17">
        <v>182.9</v>
      </c>
      <c r="J1159" s="17">
        <f>+H1159*I1159</f>
        <v>5852.8</v>
      </c>
      <c r="K1159" s="17"/>
      <c r="L1159" s="16" t="s">
        <v>18</v>
      </c>
      <c r="M1159" s="16" t="s">
        <v>22</v>
      </c>
      <c r="N1159" s="39" t="s">
        <v>418</v>
      </c>
    </row>
    <row r="1160" spans="1:14" s="12" customFormat="1" ht="18">
      <c r="A1160" s="178" t="s">
        <v>120</v>
      </c>
      <c r="B1160" s="75" t="s">
        <v>260</v>
      </c>
      <c r="C1160" s="176" t="s">
        <v>17</v>
      </c>
      <c r="D1160" s="176">
        <v>62</v>
      </c>
      <c r="E1160" s="176">
        <v>2</v>
      </c>
      <c r="F1160" s="176">
        <v>2</v>
      </c>
      <c r="G1160" s="176">
        <v>5</v>
      </c>
      <c r="H1160" s="499">
        <f>SUM(Tabla132112415[[#This Row],[PRIMER TRIMESTRE]:[CUARTO TRIMESTRE]])</f>
        <v>71</v>
      </c>
      <c r="I1160" s="17">
        <v>29.28</v>
      </c>
      <c r="J1160" s="17">
        <f>+Tabla132112415[[#This Row],[CANTIDAD TOTAL]]*Tabla132112415[[#This Row],[PRECIO UNITARIO ESTIMADO]]</f>
        <v>2078.88</v>
      </c>
      <c r="K1160" s="17"/>
      <c r="L1160" s="16" t="s">
        <v>18</v>
      </c>
      <c r="M1160" s="16" t="s">
        <v>22</v>
      </c>
      <c r="N1160" s="39" t="s">
        <v>418</v>
      </c>
    </row>
    <row r="1161" spans="1:14" s="169" customFormat="1" ht="18">
      <c r="A1161" s="180" t="s">
        <v>120</v>
      </c>
      <c r="B1161" s="75" t="s">
        <v>239</v>
      </c>
      <c r="C1161" s="177" t="s">
        <v>208</v>
      </c>
      <c r="D1161" s="176">
        <v>54</v>
      </c>
      <c r="E1161" s="177"/>
      <c r="F1161" s="177"/>
      <c r="G1161" s="177"/>
      <c r="H1161" s="468">
        <f>SUM(Tabla132112415[[#This Row],[PRIMER TRIMESTRE]:[CUARTO TRIMESTRE]])</f>
        <v>54</v>
      </c>
      <c r="I1161" s="72">
        <v>232</v>
      </c>
      <c r="J1161" s="72">
        <f>+Tabla132112415[[#This Row],[CANTIDAD TOTAL]]*Tabla132112415[[#This Row],[PRECIO UNITARIO ESTIMADO]]</f>
        <v>12528</v>
      </c>
      <c r="K1161" s="72"/>
      <c r="L1161" s="16" t="s">
        <v>18</v>
      </c>
      <c r="M1161" s="73" t="s">
        <v>22</v>
      </c>
      <c r="N1161" s="70" t="s">
        <v>418</v>
      </c>
    </row>
    <row r="1162" spans="1:14" s="12" customFormat="1" ht="18">
      <c r="A1162" s="178" t="s">
        <v>120</v>
      </c>
      <c r="B1162" s="75" t="s">
        <v>414</v>
      </c>
      <c r="C1162" s="176" t="s">
        <v>417</v>
      </c>
      <c r="D1162" s="176">
        <v>51</v>
      </c>
      <c r="E1162" s="176">
        <v>26</v>
      </c>
      <c r="F1162" s="176">
        <v>26</v>
      </c>
      <c r="G1162" s="176">
        <v>6</v>
      </c>
      <c r="H1162" s="505">
        <f>SUM(Tabla132112415[[#This Row],[PRIMER TRIMESTRE]:[CUARTO TRIMESTRE]])</f>
        <v>109</v>
      </c>
      <c r="I1162" s="17">
        <v>13.57</v>
      </c>
      <c r="J1162" s="17">
        <f>+H1162*I1162</f>
        <v>1479.13</v>
      </c>
      <c r="K1162" s="17"/>
      <c r="L1162" s="16" t="s">
        <v>18</v>
      </c>
      <c r="M1162" s="16" t="s">
        <v>22</v>
      </c>
      <c r="N1162" s="39" t="s">
        <v>418</v>
      </c>
    </row>
    <row r="1163" spans="1:14" s="12" customFormat="1" ht="18">
      <c r="A1163" s="180" t="s">
        <v>120</v>
      </c>
      <c r="B1163" s="75" t="s">
        <v>240</v>
      </c>
      <c r="C1163" s="177" t="s">
        <v>208</v>
      </c>
      <c r="D1163" s="468">
        <v>20</v>
      </c>
      <c r="E1163" s="177"/>
      <c r="F1163" s="177"/>
      <c r="G1163" s="177"/>
      <c r="H1163" s="468">
        <f>SUM(Tabla132112415[[#This Row],[PRIMER TRIMESTRE]:[CUARTO TRIMESTRE]])</f>
        <v>20</v>
      </c>
      <c r="I1163" s="72">
        <v>5341.57</v>
      </c>
      <c r="J1163" s="72">
        <f>+Tabla132112415[[#This Row],[CANTIDAD TOTAL]]*Tabla132112415[[#This Row],[PRECIO UNITARIO ESTIMADO]]</f>
        <v>106831.4</v>
      </c>
      <c r="K1163" s="72"/>
      <c r="L1163" s="16" t="s">
        <v>18</v>
      </c>
      <c r="M1163" s="73" t="s">
        <v>22</v>
      </c>
      <c r="N1163" s="70" t="s">
        <v>418</v>
      </c>
    </row>
    <row r="1164" spans="1:14" s="12" customFormat="1" ht="18">
      <c r="A1164" s="178" t="s">
        <v>120</v>
      </c>
      <c r="B1164" s="75" t="s">
        <v>748</v>
      </c>
      <c r="C1164" s="176" t="s">
        <v>17</v>
      </c>
      <c r="D1164" s="176">
        <v>103</v>
      </c>
      <c r="E1164" s="176"/>
      <c r="F1164" s="176">
        <v>3</v>
      </c>
      <c r="G1164" s="176"/>
      <c r="H1164" s="505">
        <f>SUM(Tabla132112415[[#This Row],[PRIMER TRIMESTRE]:[CUARTO TRIMESTRE]])</f>
        <v>106</v>
      </c>
      <c r="I1164" s="17">
        <v>463.74</v>
      </c>
      <c r="J1164" s="17">
        <f>+H1164*I1164</f>
        <v>49156.44</v>
      </c>
      <c r="K1164" s="17"/>
      <c r="L1164" s="16" t="s">
        <v>18</v>
      </c>
      <c r="M1164" s="16" t="s">
        <v>22</v>
      </c>
      <c r="N1164" s="39" t="s">
        <v>418</v>
      </c>
    </row>
    <row r="1165" spans="1:14" s="12" customFormat="1" ht="18">
      <c r="A1165" s="178" t="s">
        <v>120</v>
      </c>
      <c r="B1165" s="75" t="s">
        <v>263</v>
      </c>
      <c r="C1165" s="176" t="s">
        <v>17</v>
      </c>
      <c r="D1165" s="176">
        <v>103</v>
      </c>
      <c r="E1165" s="176"/>
      <c r="F1165" s="176">
        <v>3</v>
      </c>
      <c r="G1165" s="176"/>
      <c r="H1165" s="505">
        <f>SUM(Tabla132112415[[#This Row],[PRIMER TRIMESTRE]:[CUARTO TRIMESTRE]])</f>
        <v>106</v>
      </c>
      <c r="I1165" s="17">
        <v>217.02</v>
      </c>
      <c r="J1165" s="17">
        <f>+Tabla132112415[[#This Row],[CANTIDAD TOTAL]]*Tabla132112415[[#This Row],[PRECIO UNITARIO ESTIMADO]]</f>
        <v>23004.120000000003</v>
      </c>
      <c r="K1165" s="17"/>
      <c r="L1165" s="16" t="s">
        <v>18</v>
      </c>
      <c r="M1165" s="16" t="s">
        <v>22</v>
      </c>
      <c r="N1165" s="39" t="s">
        <v>418</v>
      </c>
    </row>
    <row r="1166" spans="1:14" s="12" customFormat="1" ht="18">
      <c r="A1166" s="178" t="s">
        <v>120</v>
      </c>
      <c r="B1166" s="75" t="s">
        <v>749</v>
      </c>
      <c r="C1166" s="176" t="s">
        <v>17</v>
      </c>
      <c r="D1166" s="176">
        <v>103</v>
      </c>
      <c r="E1166" s="176"/>
      <c r="F1166" s="176">
        <v>3</v>
      </c>
      <c r="G1166" s="176"/>
      <c r="H1166" s="505">
        <f>SUM(Tabla132112415[[#This Row],[PRIMER TRIMESTRE]:[CUARTO TRIMESTRE]])</f>
        <v>106</v>
      </c>
      <c r="I1166" s="17">
        <v>186.44</v>
      </c>
      <c r="J1166" s="17">
        <f>+H1166*I1166</f>
        <v>19762.64</v>
      </c>
      <c r="K1166" s="17"/>
      <c r="L1166" s="16" t="s">
        <v>18</v>
      </c>
      <c r="M1166" s="16" t="s">
        <v>22</v>
      </c>
      <c r="N1166" s="39" t="s">
        <v>418</v>
      </c>
    </row>
    <row r="1167" spans="1:14" s="12" customFormat="1" ht="18">
      <c r="A1167" s="178" t="s">
        <v>120</v>
      </c>
      <c r="B1167" s="75" t="s">
        <v>750</v>
      </c>
      <c r="C1167" s="176" t="s">
        <v>17</v>
      </c>
      <c r="D1167" s="176">
        <v>102</v>
      </c>
      <c r="E1167" s="176"/>
      <c r="F1167" s="176">
        <v>2</v>
      </c>
      <c r="G1167" s="176"/>
      <c r="H1167" s="505">
        <f>SUM(Tabla132112415[[#This Row],[PRIMER TRIMESTRE]:[CUARTO TRIMESTRE]])</f>
        <v>104</v>
      </c>
      <c r="I1167" s="17">
        <v>129.80000000000001</v>
      </c>
      <c r="J1167" s="17">
        <f>+H1167*I1167</f>
        <v>13499.2</v>
      </c>
      <c r="K1167" s="17"/>
      <c r="L1167" s="16" t="s">
        <v>18</v>
      </c>
      <c r="M1167" s="16" t="s">
        <v>22</v>
      </c>
      <c r="N1167" s="39" t="s">
        <v>418</v>
      </c>
    </row>
    <row r="1168" spans="1:14" s="12" customFormat="1" ht="18">
      <c r="A1168" s="178" t="s">
        <v>120</v>
      </c>
      <c r="B1168" s="75" t="s">
        <v>403</v>
      </c>
      <c r="C1168" s="176" t="s">
        <v>416</v>
      </c>
      <c r="D1168" s="176">
        <v>310</v>
      </c>
      <c r="E1168" s="176">
        <v>330</v>
      </c>
      <c r="F1168" s="176">
        <v>8</v>
      </c>
      <c r="G1168" s="176">
        <v>330</v>
      </c>
      <c r="H1168" s="505">
        <f>SUM(Tabla132112415[[#This Row],[PRIMER TRIMESTRE]:[CUARTO TRIMESTRE]])</f>
        <v>978</v>
      </c>
      <c r="I1168" s="17">
        <v>75</v>
      </c>
      <c r="J1168" s="17">
        <f>+H1168*I1168</f>
        <v>73350</v>
      </c>
      <c r="K1168" s="17"/>
      <c r="L1168" s="16" t="s">
        <v>18</v>
      </c>
      <c r="M1168" s="16" t="s">
        <v>22</v>
      </c>
      <c r="N1168" s="39" t="s">
        <v>418</v>
      </c>
    </row>
    <row r="1169" spans="1:14" s="12" customFormat="1" ht="18">
      <c r="A1169" s="178" t="s">
        <v>120</v>
      </c>
      <c r="B1169" s="75" t="s">
        <v>744</v>
      </c>
      <c r="C1169" s="176" t="s">
        <v>17</v>
      </c>
      <c r="D1169" s="176">
        <v>11</v>
      </c>
      <c r="E1169" s="176"/>
      <c r="F1169" s="176">
        <v>6</v>
      </c>
      <c r="G1169" s="176"/>
      <c r="H1169" s="505">
        <f>SUM(Tabla132112415[[#This Row],[PRIMER TRIMESTRE]:[CUARTO TRIMESTRE]])</f>
        <v>17</v>
      </c>
      <c r="I1169" s="17">
        <v>43.66</v>
      </c>
      <c r="J1169" s="17">
        <f>+H1169*I1169</f>
        <v>742.21999999999991</v>
      </c>
      <c r="K1169" s="17"/>
      <c r="L1169" s="16" t="s">
        <v>18</v>
      </c>
      <c r="M1169" s="16" t="s">
        <v>22</v>
      </c>
      <c r="N1169" s="39" t="s">
        <v>418</v>
      </c>
    </row>
    <row r="1170" spans="1:14" s="12" customFormat="1" ht="18">
      <c r="A1170" s="178" t="s">
        <v>120</v>
      </c>
      <c r="B1170" s="75" t="s">
        <v>264</v>
      </c>
      <c r="C1170" s="176" t="s">
        <v>17</v>
      </c>
      <c r="D1170" s="176"/>
      <c r="E1170" s="176">
        <v>440</v>
      </c>
      <c r="F1170" s="176"/>
      <c r="G1170" s="176"/>
      <c r="H1170" s="505">
        <f>SUM(Tabla132112415[[#This Row],[PRIMER TRIMESTRE]:[CUARTO TRIMESTRE]])</f>
        <v>440</v>
      </c>
      <c r="I1170" s="17">
        <v>185</v>
      </c>
      <c r="J1170" s="17">
        <f>+Tabla132112415[[#This Row],[CANTIDAD TOTAL]]*Tabla132112415[[#This Row],[PRECIO UNITARIO ESTIMADO]]</f>
        <v>81400</v>
      </c>
      <c r="K1170" s="17"/>
      <c r="L1170" s="16" t="s">
        <v>18</v>
      </c>
      <c r="M1170" s="16" t="s">
        <v>22</v>
      </c>
      <c r="N1170" s="39" t="s">
        <v>418</v>
      </c>
    </row>
    <row r="1171" spans="1:14" s="12" customFormat="1" ht="18">
      <c r="A1171" s="178" t="s">
        <v>120</v>
      </c>
      <c r="B1171" s="75" t="s">
        <v>745</v>
      </c>
      <c r="C1171" s="176" t="s">
        <v>208</v>
      </c>
      <c r="D1171" s="176">
        <v>2</v>
      </c>
      <c r="E1171" s="176">
        <v>1</v>
      </c>
      <c r="F1171" s="176"/>
      <c r="G1171" s="176"/>
      <c r="H1171" s="505">
        <f>SUM(Tabla132112415[[#This Row],[PRIMER TRIMESTRE]:[CUARTO TRIMESTRE]])</f>
        <v>3</v>
      </c>
      <c r="I1171" s="17">
        <v>43.66</v>
      </c>
      <c r="J1171" s="17">
        <f t="shared" ref="J1171:J1185" si="30">+H1171*I1171</f>
        <v>130.97999999999999</v>
      </c>
      <c r="K1171" s="17"/>
      <c r="L1171" s="16" t="s">
        <v>18</v>
      </c>
      <c r="M1171" s="16" t="s">
        <v>22</v>
      </c>
      <c r="N1171" s="39" t="s">
        <v>418</v>
      </c>
    </row>
    <row r="1172" spans="1:14" s="12" customFormat="1" ht="18">
      <c r="A1172" s="178" t="s">
        <v>120</v>
      </c>
      <c r="B1172" s="75" t="s">
        <v>760</v>
      </c>
      <c r="C1172" s="176" t="s">
        <v>208</v>
      </c>
      <c r="D1172" s="176">
        <v>29</v>
      </c>
      <c r="E1172" s="176">
        <v>22</v>
      </c>
      <c r="F1172" s="176">
        <v>3</v>
      </c>
      <c r="G1172" s="176">
        <v>6</v>
      </c>
      <c r="H1172" s="505">
        <f>SUM(Tabla132112415[[#This Row],[PRIMER TRIMESTRE]:[CUARTO TRIMESTRE]])</f>
        <v>60</v>
      </c>
      <c r="I1172" s="17">
        <v>43.66</v>
      </c>
      <c r="J1172" s="17">
        <f t="shared" si="30"/>
        <v>2619.6</v>
      </c>
      <c r="K1172" s="17"/>
      <c r="L1172" s="16" t="s">
        <v>18</v>
      </c>
      <c r="M1172" s="16" t="s">
        <v>22</v>
      </c>
      <c r="N1172" s="39" t="s">
        <v>418</v>
      </c>
    </row>
    <row r="1173" spans="1:14" s="12" customFormat="1" ht="18">
      <c r="A1173" s="178" t="s">
        <v>120</v>
      </c>
      <c r="B1173" s="75" t="s">
        <v>761</v>
      </c>
      <c r="C1173" s="176" t="s">
        <v>208</v>
      </c>
      <c r="D1173" s="176">
        <v>25</v>
      </c>
      <c r="E1173" s="176">
        <v>28</v>
      </c>
      <c r="F1173" s="176">
        <v>4</v>
      </c>
      <c r="G1173" s="176">
        <v>7</v>
      </c>
      <c r="H1173" s="505">
        <f>SUM(Tabla132112415[[#This Row],[PRIMER TRIMESTRE]:[CUARTO TRIMESTRE]])</f>
        <v>64</v>
      </c>
      <c r="I1173" s="17">
        <v>12.98</v>
      </c>
      <c r="J1173" s="17">
        <f t="shared" si="30"/>
        <v>830.72</v>
      </c>
      <c r="K1173" s="17"/>
      <c r="L1173" s="16" t="s">
        <v>18</v>
      </c>
      <c r="M1173" s="16" t="s">
        <v>22</v>
      </c>
      <c r="N1173" s="39" t="s">
        <v>418</v>
      </c>
    </row>
    <row r="1174" spans="1:14" s="12" customFormat="1" ht="18">
      <c r="A1174" s="178" t="s">
        <v>120</v>
      </c>
      <c r="B1174" s="75" t="s">
        <v>399</v>
      </c>
      <c r="C1174" s="176" t="s">
        <v>208</v>
      </c>
      <c r="D1174" s="176">
        <v>20</v>
      </c>
      <c r="E1174" s="176">
        <v>5</v>
      </c>
      <c r="F1174" s="176">
        <v>2</v>
      </c>
      <c r="G1174" s="176">
        <v>10</v>
      </c>
      <c r="H1174" s="505">
        <f>SUM(Tabla132112415[[#This Row],[PRIMER TRIMESTRE]:[CUARTO TRIMESTRE]])</f>
        <v>37</v>
      </c>
      <c r="I1174" s="17">
        <v>86.81</v>
      </c>
      <c r="J1174" s="17">
        <f t="shared" si="30"/>
        <v>3211.9700000000003</v>
      </c>
      <c r="K1174" s="17"/>
      <c r="L1174" s="16" t="s">
        <v>18</v>
      </c>
      <c r="M1174" s="16" t="s">
        <v>22</v>
      </c>
      <c r="N1174" s="39" t="s">
        <v>418</v>
      </c>
    </row>
    <row r="1175" spans="1:14" s="12" customFormat="1" ht="18">
      <c r="A1175" s="178" t="s">
        <v>120</v>
      </c>
      <c r="B1175" s="75" t="s">
        <v>400</v>
      </c>
      <c r="C1175" s="176" t="s">
        <v>208</v>
      </c>
      <c r="D1175" s="176">
        <v>9</v>
      </c>
      <c r="E1175" s="176">
        <v>7</v>
      </c>
      <c r="F1175" s="176">
        <v>2</v>
      </c>
      <c r="G1175" s="176">
        <v>2</v>
      </c>
      <c r="H1175" s="505">
        <f>SUM(Tabla132112415[[#This Row],[PRIMER TRIMESTRE]:[CUARTO TRIMESTRE]])</f>
        <v>20</v>
      </c>
      <c r="I1175" s="17">
        <v>25.4</v>
      </c>
      <c r="J1175" s="17">
        <f t="shared" si="30"/>
        <v>508</v>
      </c>
      <c r="K1175" s="17"/>
      <c r="L1175" s="16" t="s">
        <v>18</v>
      </c>
      <c r="M1175" s="16" t="s">
        <v>22</v>
      </c>
      <c r="N1175" s="39" t="s">
        <v>418</v>
      </c>
    </row>
    <row r="1176" spans="1:14" s="12" customFormat="1" ht="25.5">
      <c r="A1176" s="178" t="s">
        <v>120</v>
      </c>
      <c r="B1176" s="75" t="s">
        <v>395</v>
      </c>
      <c r="C1176" s="176" t="s">
        <v>208</v>
      </c>
      <c r="D1176" s="176">
        <v>8</v>
      </c>
      <c r="E1176" s="176">
        <v>1</v>
      </c>
      <c r="F1176" s="176">
        <v>1</v>
      </c>
      <c r="G1176" s="176"/>
      <c r="H1176" s="505">
        <f>SUM(Tabla132112415[[#This Row],[PRIMER TRIMESTRE]:[CUARTO TRIMESTRE]])</f>
        <v>10</v>
      </c>
      <c r="I1176" s="17">
        <v>235.20000000000002</v>
      </c>
      <c r="J1176" s="17">
        <f t="shared" si="30"/>
        <v>2352</v>
      </c>
      <c r="K1176" s="17"/>
      <c r="L1176" s="16" t="s">
        <v>18</v>
      </c>
      <c r="M1176" s="16" t="s">
        <v>22</v>
      </c>
      <c r="N1176" s="39" t="s">
        <v>418</v>
      </c>
    </row>
    <row r="1177" spans="1:14" s="12" customFormat="1" ht="18">
      <c r="A1177" s="178" t="s">
        <v>120</v>
      </c>
      <c r="B1177" s="75" t="s">
        <v>746</v>
      </c>
      <c r="C1177" s="176" t="s">
        <v>17</v>
      </c>
      <c r="D1177" s="176">
        <v>25</v>
      </c>
      <c r="E1177" s="176"/>
      <c r="F1177" s="176">
        <v>25</v>
      </c>
      <c r="G1177" s="176"/>
      <c r="H1177" s="505">
        <f>SUM(Tabla132112415[[#This Row],[PRIMER TRIMESTRE]:[CUARTO TRIMESTRE]])</f>
        <v>50</v>
      </c>
      <c r="I1177" s="17">
        <v>23.32</v>
      </c>
      <c r="J1177" s="17">
        <f t="shared" si="30"/>
        <v>1166</v>
      </c>
      <c r="K1177" s="17"/>
      <c r="L1177" s="16" t="s">
        <v>18</v>
      </c>
      <c r="M1177" s="16" t="s">
        <v>22</v>
      </c>
      <c r="N1177" s="39" t="s">
        <v>418</v>
      </c>
    </row>
    <row r="1178" spans="1:14" s="12" customFormat="1" ht="18">
      <c r="A1178" s="178" t="s">
        <v>120</v>
      </c>
      <c r="B1178" s="75" t="s">
        <v>747</v>
      </c>
      <c r="C1178" s="176" t="s">
        <v>17</v>
      </c>
      <c r="D1178" s="176">
        <v>40</v>
      </c>
      <c r="E1178" s="176"/>
      <c r="F1178" s="176">
        <v>40</v>
      </c>
      <c r="G1178" s="176"/>
      <c r="H1178" s="505">
        <f>SUM(Tabla132112415[[#This Row],[PRIMER TRIMESTRE]:[CUARTO TRIMESTRE]])</f>
        <v>80</v>
      </c>
      <c r="I1178" s="17">
        <v>23.32</v>
      </c>
      <c r="J1178" s="17">
        <f t="shared" si="30"/>
        <v>1865.6</v>
      </c>
      <c r="K1178" s="17"/>
      <c r="L1178" s="16" t="s">
        <v>18</v>
      </c>
      <c r="M1178" s="16" t="s">
        <v>22</v>
      </c>
      <c r="N1178" s="39" t="s">
        <v>418</v>
      </c>
    </row>
    <row r="1179" spans="1:14" s="12" customFormat="1" ht="18">
      <c r="A1179" s="178" t="s">
        <v>120</v>
      </c>
      <c r="B1179" s="75" t="s">
        <v>396</v>
      </c>
      <c r="C1179" s="176" t="s">
        <v>208</v>
      </c>
      <c r="D1179" s="176">
        <v>48</v>
      </c>
      <c r="E1179" s="176">
        <v>31</v>
      </c>
      <c r="F1179" s="176">
        <v>33</v>
      </c>
      <c r="G1179" s="176">
        <v>30</v>
      </c>
      <c r="H1179" s="505">
        <f>SUM(Tabla132112415[[#This Row],[PRIMER TRIMESTRE]:[CUARTO TRIMESTRE]])</f>
        <v>142</v>
      </c>
      <c r="I1179" s="17">
        <v>194.7</v>
      </c>
      <c r="J1179" s="17">
        <f t="shared" si="30"/>
        <v>27647.399999999998</v>
      </c>
      <c r="K1179" s="17"/>
      <c r="L1179" s="16" t="s">
        <v>18</v>
      </c>
      <c r="M1179" s="16" t="s">
        <v>22</v>
      </c>
      <c r="N1179" s="39" t="s">
        <v>418</v>
      </c>
    </row>
    <row r="1180" spans="1:14" s="12" customFormat="1" ht="18">
      <c r="A1180" s="178" t="s">
        <v>120</v>
      </c>
      <c r="B1180" s="75" t="s">
        <v>397</v>
      </c>
      <c r="C1180" s="176" t="s">
        <v>208</v>
      </c>
      <c r="D1180" s="176">
        <v>14</v>
      </c>
      <c r="E1180" s="176"/>
      <c r="F1180" s="176"/>
      <c r="G1180" s="176"/>
      <c r="H1180" s="505">
        <f>SUM(Tabla132112415[[#This Row],[PRIMER TRIMESTRE]:[CUARTO TRIMESTRE]])</f>
        <v>14</v>
      </c>
      <c r="I1180" s="17">
        <v>309.14</v>
      </c>
      <c r="J1180" s="17">
        <f t="shared" si="30"/>
        <v>4327.96</v>
      </c>
      <c r="K1180" s="17"/>
      <c r="L1180" s="16" t="s">
        <v>18</v>
      </c>
      <c r="M1180" s="16" t="s">
        <v>22</v>
      </c>
      <c r="N1180" s="39" t="s">
        <v>418</v>
      </c>
    </row>
    <row r="1181" spans="1:14" s="12" customFormat="1" ht="18">
      <c r="A1181" s="178" t="s">
        <v>120</v>
      </c>
      <c r="B1181" s="75" t="s">
        <v>404</v>
      </c>
      <c r="C1181" s="176" t="s">
        <v>255</v>
      </c>
      <c r="D1181" s="176">
        <v>26</v>
      </c>
      <c r="E1181" s="176">
        <v>17</v>
      </c>
      <c r="F1181" s="176">
        <v>16</v>
      </c>
      <c r="G1181" s="176">
        <v>15</v>
      </c>
      <c r="H1181" s="505">
        <f>SUM(Tabla132112415[[#This Row],[PRIMER TRIMESTRE]:[CUARTO TRIMESTRE]])</f>
        <v>74</v>
      </c>
      <c r="I1181" s="17">
        <v>29.5</v>
      </c>
      <c r="J1181" s="17">
        <f t="shared" si="30"/>
        <v>2183</v>
      </c>
      <c r="K1181" s="17"/>
      <c r="L1181" s="16" t="s">
        <v>18</v>
      </c>
      <c r="M1181" s="16" t="s">
        <v>22</v>
      </c>
      <c r="N1181" s="39" t="s">
        <v>418</v>
      </c>
    </row>
    <row r="1182" spans="1:14" s="12" customFormat="1" ht="18">
      <c r="A1182" s="178" t="s">
        <v>120</v>
      </c>
      <c r="B1182" s="75" t="s">
        <v>254</v>
      </c>
      <c r="C1182" s="176" t="s">
        <v>417</v>
      </c>
      <c r="D1182" s="176">
        <v>47</v>
      </c>
      <c r="E1182" s="176">
        <v>11</v>
      </c>
      <c r="F1182" s="176">
        <v>30</v>
      </c>
      <c r="G1182" s="176">
        <v>10</v>
      </c>
      <c r="H1182" s="505">
        <f>SUM(Tabla132112415[[#This Row],[PRIMER TRIMESTRE]:[CUARTO TRIMESTRE]])</f>
        <v>98</v>
      </c>
      <c r="I1182" s="17">
        <v>12</v>
      </c>
      <c r="J1182" s="17">
        <f t="shared" si="30"/>
        <v>1176</v>
      </c>
      <c r="K1182" s="17"/>
      <c r="L1182" s="16" t="s">
        <v>18</v>
      </c>
      <c r="M1182" s="16" t="s">
        <v>22</v>
      </c>
      <c r="N1182" s="39" t="s">
        <v>418</v>
      </c>
    </row>
    <row r="1183" spans="1:14" s="12" customFormat="1" ht="18">
      <c r="A1183" s="178" t="s">
        <v>120</v>
      </c>
      <c r="B1183" s="75" t="s">
        <v>394</v>
      </c>
      <c r="C1183" s="176" t="s">
        <v>208</v>
      </c>
      <c r="D1183" s="176">
        <v>10</v>
      </c>
      <c r="E1183" s="176"/>
      <c r="F1183" s="176">
        <v>6</v>
      </c>
      <c r="G1183" s="176"/>
      <c r="H1183" s="505">
        <f>SUM(Tabla132112415[[#This Row],[PRIMER TRIMESTRE]:[CUARTO TRIMESTRE]])</f>
        <v>16</v>
      </c>
      <c r="I1183" s="17">
        <v>69.599999999999994</v>
      </c>
      <c r="J1183" s="17">
        <f t="shared" si="30"/>
        <v>1113.5999999999999</v>
      </c>
      <c r="K1183" s="17"/>
      <c r="L1183" s="16" t="s">
        <v>18</v>
      </c>
      <c r="M1183" s="16" t="s">
        <v>22</v>
      </c>
      <c r="N1183" s="39" t="s">
        <v>418</v>
      </c>
    </row>
    <row r="1184" spans="1:14" s="12" customFormat="1" ht="18">
      <c r="A1184" s="178" t="s">
        <v>120</v>
      </c>
      <c r="B1184" s="75" t="s">
        <v>408</v>
      </c>
      <c r="C1184" s="176" t="s">
        <v>417</v>
      </c>
      <c r="D1184" s="176">
        <v>138</v>
      </c>
      <c r="E1184" s="176">
        <v>3</v>
      </c>
      <c r="F1184" s="176">
        <v>10</v>
      </c>
      <c r="G1184" s="176">
        <v>3</v>
      </c>
      <c r="H1184" s="505">
        <f>SUM(Tabla132112415[[#This Row],[PRIMER TRIMESTRE]:[CUARTO TRIMESTRE]])</f>
        <v>154</v>
      </c>
      <c r="I1184" s="17">
        <v>43.7</v>
      </c>
      <c r="J1184" s="17">
        <f t="shared" si="30"/>
        <v>6729.8</v>
      </c>
      <c r="K1184" s="17"/>
      <c r="L1184" s="16" t="s">
        <v>18</v>
      </c>
      <c r="M1184" s="16" t="s">
        <v>22</v>
      </c>
      <c r="N1184" s="39" t="s">
        <v>418</v>
      </c>
    </row>
    <row r="1185" spans="1:14" s="12" customFormat="1" ht="18">
      <c r="A1185" s="178" t="s">
        <v>120</v>
      </c>
      <c r="B1185" s="75" t="s">
        <v>409</v>
      </c>
      <c r="C1185" s="176" t="s">
        <v>417</v>
      </c>
      <c r="D1185" s="176">
        <v>111</v>
      </c>
      <c r="E1185" s="176"/>
      <c r="F1185" s="176">
        <v>3</v>
      </c>
      <c r="G1185" s="176"/>
      <c r="H1185" s="505">
        <f>SUM(Tabla132112415[[#This Row],[PRIMER TRIMESTRE]:[CUARTO TRIMESTRE]])</f>
        <v>114</v>
      </c>
      <c r="I1185" s="17">
        <v>15.21</v>
      </c>
      <c r="J1185" s="17">
        <f t="shared" si="30"/>
        <v>1733.94</v>
      </c>
      <c r="K1185" s="17"/>
      <c r="L1185" s="16" t="s">
        <v>18</v>
      </c>
      <c r="M1185" s="16" t="s">
        <v>22</v>
      </c>
      <c r="N1185" s="39" t="s">
        <v>418</v>
      </c>
    </row>
    <row r="1186" spans="1:14" s="12" customFormat="1" ht="18">
      <c r="A1186" s="178" t="s">
        <v>120</v>
      </c>
      <c r="B1186" s="75" t="s">
        <v>265</v>
      </c>
      <c r="C1186" s="176" t="s">
        <v>17</v>
      </c>
      <c r="D1186" s="176">
        <v>27</v>
      </c>
      <c r="E1186" s="176">
        <v>2</v>
      </c>
      <c r="F1186" s="176">
        <v>10</v>
      </c>
      <c r="G1186" s="176"/>
      <c r="H1186" s="505">
        <f>SUM(Tabla132112415[[#This Row],[PRIMER TRIMESTRE]:[CUARTO TRIMESTRE]])</f>
        <v>39</v>
      </c>
      <c r="I1186" s="17">
        <v>185.6</v>
      </c>
      <c r="J1186" s="17">
        <f>+Tabla132112415[[#This Row],[CANTIDAD TOTAL]]*Tabla132112415[[#This Row],[PRECIO UNITARIO ESTIMADO]]</f>
        <v>7238.4</v>
      </c>
      <c r="K1186" s="17"/>
      <c r="L1186" s="16" t="s">
        <v>18</v>
      </c>
      <c r="M1186" s="16" t="s">
        <v>22</v>
      </c>
      <c r="N1186" s="39" t="s">
        <v>418</v>
      </c>
    </row>
    <row r="1187" spans="1:14" s="12" customFormat="1" ht="18">
      <c r="A1187" s="178" t="s">
        <v>120</v>
      </c>
      <c r="B1187" s="75" t="s">
        <v>2026</v>
      </c>
      <c r="C1187" s="176" t="s">
        <v>17</v>
      </c>
      <c r="D1187" s="176">
        <v>4</v>
      </c>
      <c r="E1187" s="176">
        <v>2</v>
      </c>
      <c r="F1187" s="176"/>
      <c r="G1187" s="176"/>
      <c r="H1187" s="505">
        <f>SUM(Tabla132112415[[#This Row],[PRIMER TRIMESTRE]:[CUARTO TRIMESTRE]])</f>
        <v>6</v>
      </c>
      <c r="I1187" s="17"/>
      <c r="J1187" s="17"/>
      <c r="K1187" s="17"/>
      <c r="L1187" s="16"/>
      <c r="M1187" s="16"/>
      <c r="N1187" s="39"/>
    </row>
    <row r="1188" spans="1:14" s="12" customFormat="1" ht="18">
      <c r="A1188" s="178" t="s">
        <v>120</v>
      </c>
      <c r="B1188" s="75" t="s">
        <v>2543</v>
      </c>
      <c r="C1188" s="176" t="s">
        <v>17</v>
      </c>
      <c r="D1188" s="176">
        <v>1</v>
      </c>
      <c r="E1188" s="176"/>
      <c r="F1188" s="176"/>
      <c r="G1188" s="176"/>
      <c r="H1188" s="505">
        <f>SUM(Tabla132112415[[#This Row],[PRIMER TRIMESTRE]:[CUARTO TRIMESTRE]])</f>
        <v>1</v>
      </c>
      <c r="I1188" s="17"/>
      <c r="J1188" s="17"/>
      <c r="K1188" s="17"/>
      <c r="L1188" s="16"/>
      <c r="M1188" s="16"/>
      <c r="N1188" s="39"/>
    </row>
    <row r="1189" spans="1:14" s="12" customFormat="1" ht="18">
      <c r="A1189" s="178" t="s">
        <v>120</v>
      </c>
      <c r="B1189" s="75" t="s">
        <v>261</v>
      </c>
      <c r="C1189" s="176" t="s">
        <v>17</v>
      </c>
      <c r="D1189" s="176">
        <v>30</v>
      </c>
      <c r="E1189" s="176"/>
      <c r="F1189" s="176"/>
      <c r="G1189" s="176"/>
      <c r="H1189" s="505">
        <f>SUM(Tabla132112415[[#This Row],[PRIMER TRIMESTRE]:[CUARTO TRIMESTRE]])</f>
        <v>30</v>
      </c>
      <c r="I1189" s="17">
        <v>148</v>
      </c>
      <c r="J1189" s="17">
        <f>+Tabla132112415[[#This Row],[CANTIDAD TOTAL]]*Tabla132112415[[#This Row],[PRECIO UNITARIO ESTIMADO]]</f>
        <v>4440</v>
      </c>
      <c r="K1189" s="17"/>
      <c r="L1189" s="16" t="s">
        <v>18</v>
      </c>
      <c r="M1189" s="16" t="s">
        <v>22</v>
      </c>
      <c r="N1189" s="39" t="s">
        <v>418</v>
      </c>
    </row>
    <row r="1190" spans="1:14" s="12" customFormat="1" ht="18">
      <c r="A1190" s="178" t="s">
        <v>120</v>
      </c>
      <c r="B1190" s="75" t="s">
        <v>751</v>
      </c>
      <c r="C1190" s="176" t="s">
        <v>17</v>
      </c>
      <c r="D1190" s="176">
        <v>36</v>
      </c>
      <c r="E1190" s="176">
        <v>20</v>
      </c>
      <c r="F1190" s="176">
        <v>20</v>
      </c>
      <c r="G1190" s="176">
        <v>20</v>
      </c>
      <c r="H1190" s="505">
        <f>SUM(Tabla132112415[[#This Row],[PRIMER TRIMESTRE]:[CUARTO TRIMESTRE]])</f>
        <v>96</v>
      </c>
      <c r="I1190" s="17">
        <v>15.54</v>
      </c>
      <c r="J1190" s="17">
        <f>+H1190*I1190</f>
        <v>1491.84</v>
      </c>
      <c r="K1190" s="17"/>
      <c r="L1190" s="16" t="s">
        <v>18</v>
      </c>
      <c r="M1190" s="16" t="s">
        <v>22</v>
      </c>
      <c r="N1190" s="39" t="s">
        <v>418</v>
      </c>
    </row>
    <row r="1191" spans="1:14" s="12" customFormat="1" ht="18">
      <c r="A1191" s="178" t="s">
        <v>120</v>
      </c>
      <c r="B1191" s="75" t="s">
        <v>754</v>
      </c>
      <c r="C1191" s="176" t="s">
        <v>17</v>
      </c>
      <c r="D1191" s="176">
        <v>96</v>
      </c>
      <c r="E1191" s="176">
        <v>20</v>
      </c>
      <c r="F1191" s="176">
        <v>80</v>
      </c>
      <c r="G1191" s="176">
        <v>20</v>
      </c>
      <c r="H1191" s="505">
        <f>SUM(Tabla132112415[[#This Row],[PRIMER TRIMESTRE]:[CUARTO TRIMESTRE]])</f>
        <v>216</v>
      </c>
      <c r="I1191" s="17">
        <v>15.54</v>
      </c>
      <c r="J1191" s="17">
        <f>+H1191*I1191</f>
        <v>3356.64</v>
      </c>
      <c r="K1191" s="17"/>
      <c r="L1191" s="16" t="s">
        <v>18</v>
      </c>
      <c r="M1191" s="16" t="s">
        <v>22</v>
      </c>
      <c r="N1191" s="39" t="s">
        <v>418</v>
      </c>
    </row>
    <row r="1192" spans="1:14" s="12" customFormat="1" ht="18">
      <c r="A1192" s="178" t="s">
        <v>120</v>
      </c>
      <c r="B1192" s="75" t="s">
        <v>755</v>
      </c>
      <c r="C1192" s="176" t="s">
        <v>17</v>
      </c>
      <c r="D1192" s="176">
        <v>41</v>
      </c>
      <c r="E1192" s="176">
        <v>20</v>
      </c>
      <c r="F1192" s="176">
        <v>20</v>
      </c>
      <c r="G1192" s="176">
        <v>20</v>
      </c>
      <c r="H1192" s="505">
        <f>SUM(Tabla132112415[[#This Row],[PRIMER TRIMESTRE]:[CUARTO TRIMESTRE]])</f>
        <v>101</v>
      </c>
      <c r="I1192" s="17">
        <v>15.54</v>
      </c>
      <c r="J1192" s="17">
        <f>+H1192*I1192</f>
        <v>1569.54</v>
      </c>
      <c r="K1192" s="17"/>
      <c r="L1192" s="16" t="s">
        <v>18</v>
      </c>
      <c r="M1192" s="16" t="s">
        <v>22</v>
      </c>
      <c r="N1192" s="39" t="s">
        <v>418</v>
      </c>
    </row>
    <row r="1193" spans="1:14" s="12" customFormat="1" ht="18">
      <c r="A1193" s="178" t="s">
        <v>752</v>
      </c>
      <c r="B1193" s="75" t="s">
        <v>390</v>
      </c>
      <c r="C1193" s="176" t="s">
        <v>266</v>
      </c>
      <c r="D1193" s="176">
        <v>405</v>
      </c>
      <c r="E1193" s="176">
        <v>293</v>
      </c>
      <c r="F1193" s="176">
        <v>343</v>
      </c>
      <c r="G1193" s="176">
        <v>292</v>
      </c>
      <c r="H1193" s="505">
        <f>SUM(Tabla132112415[[#This Row],[PRIMER TRIMESTRE]:[CUARTO TRIMESTRE]])</f>
        <v>1333</v>
      </c>
      <c r="I1193" s="17">
        <v>145.13999999999999</v>
      </c>
      <c r="J1193" s="17">
        <f>+H1193*I1193</f>
        <v>193471.62</v>
      </c>
      <c r="K1193" s="21"/>
      <c r="L1193" s="16" t="s">
        <v>18</v>
      </c>
      <c r="M1193" s="16" t="s">
        <v>22</v>
      </c>
      <c r="N1193" s="39" t="s">
        <v>418</v>
      </c>
    </row>
    <row r="1194" spans="1:14" s="12" customFormat="1" ht="18">
      <c r="A1194" s="178" t="s">
        <v>120</v>
      </c>
      <c r="B1194" s="75" t="s">
        <v>391</v>
      </c>
      <c r="C1194" s="176" t="s">
        <v>415</v>
      </c>
      <c r="D1194" s="176">
        <v>87</v>
      </c>
      <c r="E1194" s="176">
        <v>70</v>
      </c>
      <c r="F1194" s="176">
        <v>55</v>
      </c>
      <c r="G1194" s="176">
        <v>20</v>
      </c>
      <c r="H1194" s="505">
        <f>SUM(Tabla132112415[[#This Row],[PRIMER TRIMESTRE]:[CUARTO TRIMESTRE]])</f>
        <v>232</v>
      </c>
      <c r="I1194" s="17">
        <v>214.76</v>
      </c>
      <c r="J1194" s="17">
        <f>+H1194*I1194</f>
        <v>49824.32</v>
      </c>
      <c r="K1194" s="17"/>
      <c r="L1194" s="16" t="s">
        <v>18</v>
      </c>
      <c r="M1194" s="16" t="s">
        <v>22</v>
      </c>
      <c r="N1194" s="39" t="s">
        <v>418</v>
      </c>
    </row>
    <row r="1195" spans="1:14" s="12" customFormat="1" ht="18">
      <c r="A1195" s="178" t="s">
        <v>120</v>
      </c>
      <c r="B1195" s="75" t="s">
        <v>267</v>
      </c>
      <c r="C1195" s="176" t="s">
        <v>102</v>
      </c>
      <c r="D1195" s="176">
        <v>50</v>
      </c>
      <c r="E1195" s="176">
        <v>50</v>
      </c>
      <c r="F1195" s="176">
        <v>50</v>
      </c>
      <c r="G1195" s="176">
        <v>50</v>
      </c>
      <c r="H1195" s="505">
        <f>SUM(Tabla132112415[[#This Row],[PRIMER TRIMESTRE]:[CUARTO TRIMESTRE]])</f>
        <v>200</v>
      </c>
      <c r="I1195" s="17">
        <v>1063.19</v>
      </c>
      <c r="J1195" s="17">
        <f>+Tabla132112415[[#This Row],[CANTIDAD TOTAL]]*Tabla132112415[[#This Row],[PRECIO UNITARIO ESTIMADO]]</f>
        <v>212638</v>
      </c>
      <c r="K1195" s="17"/>
      <c r="L1195" s="16" t="s">
        <v>18</v>
      </c>
      <c r="M1195" s="16" t="s">
        <v>22</v>
      </c>
      <c r="N1195" s="39" t="s">
        <v>418</v>
      </c>
    </row>
    <row r="1196" spans="1:14" s="12" customFormat="1" ht="18">
      <c r="A1196" s="178" t="s">
        <v>120</v>
      </c>
      <c r="B1196" s="75" t="s">
        <v>759</v>
      </c>
      <c r="C1196" s="176" t="s">
        <v>208</v>
      </c>
      <c r="D1196" s="176"/>
      <c r="E1196" s="176"/>
      <c r="F1196" s="176"/>
      <c r="G1196" s="176"/>
      <c r="H1196" s="505">
        <f>SUM(Tabla132112415[[#This Row],[PRIMER TRIMESTRE]:[CUARTO TRIMESTRE]])</f>
        <v>0</v>
      </c>
      <c r="I1196" s="17">
        <v>161.66</v>
      </c>
      <c r="J1196" s="17">
        <f>+H1196*I1196</f>
        <v>0</v>
      </c>
      <c r="K1196" s="17"/>
      <c r="L1196" s="16" t="s">
        <v>18</v>
      </c>
      <c r="M1196" s="16" t="s">
        <v>22</v>
      </c>
      <c r="N1196" s="39" t="s">
        <v>418</v>
      </c>
    </row>
    <row r="1197" spans="1:14" s="12" customFormat="1" ht="18">
      <c r="A1197" s="178" t="s">
        <v>120</v>
      </c>
      <c r="B1197" s="75" t="s">
        <v>268</v>
      </c>
      <c r="C1197" s="176" t="s">
        <v>208</v>
      </c>
      <c r="D1197" s="176"/>
      <c r="E1197" s="176"/>
      <c r="F1197" s="176"/>
      <c r="G1197" s="176"/>
      <c r="H1197" s="505">
        <f>SUM(Tabla132112415[[#This Row],[PRIMER TRIMESTRE]:[CUARTO TRIMESTRE]])</f>
        <v>0</v>
      </c>
      <c r="I1197" s="17">
        <v>1450</v>
      </c>
      <c r="J1197" s="17">
        <f>+Tabla132112415[[#This Row],[CANTIDAD TOTAL]]*Tabla132112415[[#This Row],[PRECIO UNITARIO ESTIMADO]]</f>
        <v>0</v>
      </c>
      <c r="K1197" s="17"/>
      <c r="L1197" s="16" t="s">
        <v>18</v>
      </c>
      <c r="M1197" s="16" t="s">
        <v>22</v>
      </c>
      <c r="N1197" s="39" t="s">
        <v>418</v>
      </c>
    </row>
    <row r="1198" spans="1:14" s="12" customFormat="1" ht="18">
      <c r="A1198" s="178" t="s">
        <v>120</v>
      </c>
      <c r="B1198" s="75" t="s">
        <v>269</v>
      </c>
      <c r="C1198" s="176" t="s">
        <v>266</v>
      </c>
      <c r="D1198" s="176">
        <v>8</v>
      </c>
      <c r="E1198" s="176">
        <v>3</v>
      </c>
      <c r="F1198" s="176">
        <v>5</v>
      </c>
      <c r="G1198" s="176">
        <v>3</v>
      </c>
      <c r="H1198" s="505">
        <f>SUM(Tabla132112415[[#This Row],[PRIMER TRIMESTRE]:[CUARTO TRIMESTRE]])</f>
        <v>19</v>
      </c>
      <c r="I1198" s="17">
        <v>2552</v>
      </c>
      <c r="J1198" s="17">
        <f>+Tabla132112415[[#This Row],[CANTIDAD TOTAL]]*Tabla132112415[[#This Row],[PRECIO UNITARIO ESTIMADO]]</f>
        <v>48488</v>
      </c>
      <c r="K1198" s="17"/>
      <c r="L1198" s="16" t="s">
        <v>18</v>
      </c>
      <c r="M1198" s="16" t="s">
        <v>22</v>
      </c>
      <c r="N1198" s="39" t="s">
        <v>418</v>
      </c>
    </row>
    <row r="1199" spans="1:14" s="12" customFormat="1" ht="18">
      <c r="A1199" s="178" t="s">
        <v>120</v>
      </c>
      <c r="B1199" s="75" t="s">
        <v>756</v>
      </c>
      <c r="C1199" s="176" t="s">
        <v>234</v>
      </c>
      <c r="D1199" s="176">
        <v>169</v>
      </c>
      <c r="E1199" s="176">
        <v>13</v>
      </c>
      <c r="F1199" s="176">
        <v>158</v>
      </c>
      <c r="G1199" s="176">
        <v>38</v>
      </c>
      <c r="H1199" s="505">
        <f>SUM(Tabla132112415[[#This Row],[PRIMER TRIMESTRE]:[CUARTO TRIMESTRE]])</f>
        <v>378</v>
      </c>
      <c r="I1199" s="17">
        <v>24.78</v>
      </c>
      <c r="J1199" s="17">
        <f t="shared" ref="J1199:J1205" si="31">+H1199*I1199</f>
        <v>9366.84</v>
      </c>
      <c r="K1199" s="17"/>
      <c r="L1199" s="16" t="s">
        <v>18</v>
      </c>
      <c r="M1199" s="16" t="s">
        <v>22</v>
      </c>
      <c r="N1199" s="39" t="s">
        <v>418</v>
      </c>
    </row>
    <row r="1200" spans="1:14" s="12" customFormat="1" ht="18">
      <c r="A1200" s="178" t="s">
        <v>120</v>
      </c>
      <c r="B1200" s="75" t="s">
        <v>763</v>
      </c>
      <c r="C1200" s="176" t="s">
        <v>17</v>
      </c>
      <c r="D1200" s="176">
        <v>17</v>
      </c>
      <c r="E1200" s="176"/>
      <c r="F1200" s="176">
        <v>4</v>
      </c>
      <c r="G1200" s="176">
        <v>2</v>
      </c>
      <c r="H1200" s="505">
        <f>SUM(Tabla132112415[[#This Row],[PRIMER TRIMESTRE]:[CUARTO TRIMESTRE]])</f>
        <v>23</v>
      </c>
      <c r="I1200" s="17">
        <v>186.44</v>
      </c>
      <c r="J1200" s="17">
        <f t="shared" si="31"/>
        <v>4288.12</v>
      </c>
      <c r="K1200" s="17"/>
      <c r="L1200" s="16" t="s">
        <v>18</v>
      </c>
      <c r="M1200" s="16" t="s">
        <v>22</v>
      </c>
      <c r="N1200" s="39" t="s">
        <v>418</v>
      </c>
    </row>
    <row r="1201" spans="1:14" s="12" customFormat="1" ht="18">
      <c r="A1201" s="178" t="s">
        <v>120</v>
      </c>
      <c r="B1201" s="75" t="s">
        <v>410</v>
      </c>
      <c r="C1201" s="176" t="s">
        <v>417</v>
      </c>
      <c r="D1201" s="176">
        <v>68</v>
      </c>
      <c r="E1201" s="176">
        <v>32</v>
      </c>
      <c r="F1201" s="176">
        <v>36</v>
      </c>
      <c r="G1201" s="176">
        <v>32</v>
      </c>
      <c r="H1201" s="505">
        <f>SUM(Tabla132112415[[#This Row],[PRIMER TRIMESTRE]:[CUARTO TRIMESTRE]])</f>
        <v>168</v>
      </c>
      <c r="I1201" s="17">
        <v>10</v>
      </c>
      <c r="J1201" s="17">
        <f t="shared" si="31"/>
        <v>1680</v>
      </c>
      <c r="K1201" s="17"/>
      <c r="L1201" s="16" t="s">
        <v>18</v>
      </c>
      <c r="M1201" s="16" t="s">
        <v>22</v>
      </c>
      <c r="N1201" s="39" t="s">
        <v>418</v>
      </c>
    </row>
    <row r="1202" spans="1:14" s="12" customFormat="1" ht="18">
      <c r="A1202" s="178" t="s">
        <v>120</v>
      </c>
      <c r="B1202" s="75" t="s">
        <v>411</v>
      </c>
      <c r="C1202" s="176" t="s">
        <v>417</v>
      </c>
      <c r="D1202" s="176">
        <v>75</v>
      </c>
      <c r="E1202" s="176">
        <v>42</v>
      </c>
      <c r="F1202" s="176">
        <v>41</v>
      </c>
      <c r="G1202" s="176">
        <v>41</v>
      </c>
      <c r="H1202" s="505">
        <f>SUM(Tabla132112415[[#This Row],[PRIMER TRIMESTRE]:[CUARTO TRIMESTRE]])</f>
        <v>199</v>
      </c>
      <c r="I1202" s="17">
        <v>14.37</v>
      </c>
      <c r="J1202" s="17">
        <f t="shared" si="31"/>
        <v>2859.6299999999997</v>
      </c>
      <c r="K1202" s="17"/>
      <c r="L1202" s="16" t="s">
        <v>18</v>
      </c>
      <c r="M1202" s="16" t="s">
        <v>22</v>
      </c>
      <c r="N1202" s="39" t="s">
        <v>418</v>
      </c>
    </row>
    <row r="1203" spans="1:14" s="12" customFormat="1" ht="18">
      <c r="A1203" s="178" t="s">
        <v>120</v>
      </c>
      <c r="B1203" s="75" t="s">
        <v>412</v>
      </c>
      <c r="C1203" s="176" t="s">
        <v>417</v>
      </c>
      <c r="D1203" s="176">
        <v>77</v>
      </c>
      <c r="E1203" s="176">
        <v>39</v>
      </c>
      <c r="F1203" s="176">
        <v>41</v>
      </c>
      <c r="G1203" s="176">
        <v>38</v>
      </c>
      <c r="H1203" s="505">
        <f>SUM(Tabla132112415[[#This Row],[PRIMER TRIMESTRE]:[CUARTO TRIMESTRE]])</f>
        <v>195</v>
      </c>
      <c r="I1203" s="17">
        <v>24.79</v>
      </c>
      <c r="J1203" s="17">
        <f t="shared" si="31"/>
        <v>4834.05</v>
      </c>
      <c r="K1203" s="17"/>
      <c r="L1203" s="16" t="s">
        <v>18</v>
      </c>
      <c r="M1203" s="16" t="s">
        <v>22</v>
      </c>
      <c r="N1203" s="39" t="s">
        <v>418</v>
      </c>
    </row>
    <row r="1204" spans="1:14" s="12" customFormat="1" ht="18">
      <c r="A1204" s="178" t="s">
        <v>120</v>
      </c>
      <c r="B1204" s="75" t="s">
        <v>413</v>
      </c>
      <c r="C1204" s="176" t="s">
        <v>208</v>
      </c>
      <c r="D1204" s="176">
        <v>11</v>
      </c>
      <c r="E1204" s="176">
        <v>1</v>
      </c>
      <c r="F1204" s="176">
        <v>1</v>
      </c>
      <c r="G1204" s="176"/>
      <c r="H1204" s="505">
        <f>SUM(Tabla132112415[[#This Row],[PRIMER TRIMESTRE]:[CUARTO TRIMESTRE]])</f>
        <v>13</v>
      </c>
      <c r="I1204" s="17">
        <v>371.09</v>
      </c>
      <c r="J1204" s="17">
        <f t="shared" si="31"/>
        <v>4824.17</v>
      </c>
      <c r="K1204" s="17"/>
      <c r="L1204" s="16" t="s">
        <v>18</v>
      </c>
      <c r="M1204" s="16" t="s">
        <v>22</v>
      </c>
      <c r="N1204" s="39" t="s">
        <v>418</v>
      </c>
    </row>
    <row r="1205" spans="1:14" s="12" customFormat="1" ht="18">
      <c r="A1205" s="178" t="s">
        <v>120</v>
      </c>
      <c r="B1205" s="75" t="s">
        <v>762</v>
      </c>
      <c r="C1205" s="176" t="s">
        <v>208</v>
      </c>
      <c r="D1205" s="176">
        <v>2</v>
      </c>
      <c r="E1205" s="176"/>
      <c r="F1205" s="176"/>
      <c r="G1205" s="176"/>
      <c r="H1205" s="505">
        <f>SUM(Tabla132112415[[#This Row],[PRIMER TRIMESTRE]:[CUARTO TRIMESTRE]])</f>
        <v>2</v>
      </c>
      <c r="I1205" s="17">
        <v>433.06</v>
      </c>
      <c r="J1205" s="17">
        <f t="shared" si="31"/>
        <v>866.12</v>
      </c>
      <c r="K1205" s="17"/>
      <c r="L1205" s="16" t="s">
        <v>18</v>
      </c>
      <c r="M1205" s="16" t="s">
        <v>22</v>
      </c>
      <c r="N1205" s="39" t="s">
        <v>418</v>
      </c>
    </row>
    <row r="1206" spans="1:14" s="12" customFormat="1" ht="18">
      <c r="A1206" s="178" t="s">
        <v>120</v>
      </c>
      <c r="B1206" s="75" t="s">
        <v>270</v>
      </c>
      <c r="C1206" s="176" t="s">
        <v>17</v>
      </c>
      <c r="D1206" s="176">
        <v>44</v>
      </c>
      <c r="E1206" s="176"/>
      <c r="F1206" s="176">
        <v>12</v>
      </c>
      <c r="G1206" s="176"/>
      <c r="H1206" s="505">
        <f>SUM(Tabla132112415[[#This Row],[PRIMER TRIMESTRE]:[CUARTO TRIMESTRE]])</f>
        <v>56</v>
      </c>
      <c r="I1206" s="17">
        <v>9.2799999999999994</v>
      </c>
      <c r="J1206" s="17">
        <f>+Tabla132112415[[#This Row],[CANTIDAD TOTAL]]*Tabla132112415[[#This Row],[PRECIO UNITARIO ESTIMADO]]</f>
        <v>519.67999999999995</v>
      </c>
      <c r="K1206" s="17"/>
      <c r="L1206" s="16" t="s">
        <v>18</v>
      </c>
      <c r="M1206" s="16" t="s">
        <v>22</v>
      </c>
      <c r="N1206" s="39" t="s">
        <v>418</v>
      </c>
    </row>
    <row r="1207" spans="1:14" s="12" customFormat="1" ht="18">
      <c r="A1207" s="178" t="s">
        <v>120</v>
      </c>
      <c r="B1207" s="75" t="s">
        <v>405</v>
      </c>
      <c r="C1207" s="176" t="s">
        <v>17</v>
      </c>
      <c r="D1207" s="176">
        <v>74</v>
      </c>
      <c r="E1207" s="176">
        <v>23</v>
      </c>
      <c r="F1207" s="176">
        <v>23</v>
      </c>
      <c r="G1207" s="176">
        <v>22</v>
      </c>
      <c r="H1207" s="505">
        <f>SUM(Tabla132112415[[#This Row],[PRIMER TRIMESTRE]:[CUARTO TRIMESTRE]])</f>
        <v>142</v>
      </c>
      <c r="I1207" s="17">
        <v>11.21</v>
      </c>
      <c r="J1207" s="17">
        <f>+H1207*I1207</f>
        <v>1591.8200000000002</v>
      </c>
      <c r="K1207" s="17"/>
      <c r="L1207" s="16" t="s">
        <v>18</v>
      </c>
      <c r="M1207" s="16" t="s">
        <v>22</v>
      </c>
      <c r="N1207" s="39" t="s">
        <v>418</v>
      </c>
    </row>
    <row r="1208" spans="1:14" s="12" customFormat="1" ht="18">
      <c r="A1208" s="178" t="s">
        <v>120</v>
      </c>
      <c r="B1208" s="75" t="s">
        <v>406</v>
      </c>
      <c r="C1208" s="176" t="s">
        <v>17</v>
      </c>
      <c r="D1208" s="176">
        <v>75</v>
      </c>
      <c r="E1208" s="176">
        <v>16</v>
      </c>
      <c r="F1208" s="176">
        <v>24</v>
      </c>
      <c r="G1208" s="176">
        <v>15</v>
      </c>
      <c r="H1208" s="505">
        <f>SUM(Tabla132112415[[#This Row],[PRIMER TRIMESTRE]:[CUARTO TRIMESTRE]])</f>
        <v>130</v>
      </c>
      <c r="I1208" s="17">
        <v>10.56</v>
      </c>
      <c r="J1208" s="17">
        <f>+H1208*I1208</f>
        <v>1372.8</v>
      </c>
      <c r="K1208" s="17"/>
      <c r="L1208" s="16" t="s">
        <v>18</v>
      </c>
      <c r="M1208" s="16" t="s">
        <v>22</v>
      </c>
      <c r="N1208" s="39" t="s">
        <v>418</v>
      </c>
    </row>
    <row r="1209" spans="1:14" s="12" customFormat="1" ht="18">
      <c r="A1209" s="178" t="s">
        <v>120</v>
      </c>
      <c r="B1209" s="75" t="s">
        <v>407</v>
      </c>
      <c r="C1209" s="176" t="s">
        <v>17</v>
      </c>
      <c r="D1209" s="176">
        <v>34</v>
      </c>
      <c r="E1209" s="176">
        <v>15</v>
      </c>
      <c r="F1209" s="176">
        <v>16</v>
      </c>
      <c r="G1209" s="176">
        <v>15</v>
      </c>
      <c r="H1209" s="505">
        <f>SUM(Tabla132112415[[#This Row],[PRIMER TRIMESTRE]:[CUARTO TRIMESTRE]])</f>
        <v>80</v>
      </c>
      <c r="I1209" s="17">
        <v>11.21</v>
      </c>
      <c r="J1209" s="17">
        <f>+H1209*I1209</f>
        <v>896.80000000000007</v>
      </c>
      <c r="K1209" s="17"/>
      <c r="L1209" s="16" t="s">
        <v>18</v>
      </c>
      <c r="M1209" s="16" t="s">
        <v>22</v>
      </c>
      <c r="N1209" s="39" t="s">
        <v>418</v>
      </c>
    </row>
    <row r="1210" spans="1:14" s="12" customFormat="1" ht="18">
      <c r="A1210" s="178" t="s">
        <v>120</v>
      </c>
      <c r="B1210" s="75" t="s">
        <v>742</v>
      </c>
      <c r="C1210" s="176" t="s">
        <v>17</v>
      </c>
      <c r="D1210" s="176">
        <v>142</v>
      </c>
      <c r="E1210" s="176"/>
      <c r="F1210" s="176"/>
      <c r="G1210" s="176"/>
      <c r="H1210" s="505">
        <f>SUM(Tabla132112415[[#This Row],[PRIMER TRIMESTRE]:[CUARTO TRIMESTRE]])</f>
        <v>142</v>
      </c>
      <c r="I1210" s="17">
        <v>53.1</v>
      </c>
      <c r="J1210" s="17">
        <f>+Tabla132112415[[#This Row],[CANTIDAD TOTAL]]*Tabla132112415[[#This Row],[PRECIO UNITARIO ESTIMADO]]</f>
        <v>7540.2</v>
      </c>
      <c r="K1210" s="17"/>
      <c r="L1210" s="16" t="s">
        <v>18</v>
      </c>
      <c r="M1210" s="16" t="s">
        <v>22</v>
      </c>
      <c r="N1210" s="39" t="s">
        <v>418</v>
      </c>
    </row>
    <row r="1211" spans="1:14" s="12" customFormat="1" ht="18">
      <c r="A1211" s="178" t="s">
        <v>120</v>
      </c>
      <c r="B1211" s="75" t="s">
        <v>271</v>
      </c>
      <c r="C1211" s="176" t="s">
        <v>17</v>
      </c>
      <c r="D1211" s="176">
        <v>60</v>
      </c>
      <c r="E1211" s="176"/>
      <c r="F1211" s="176">
        <v>16</v>
      </c>
      <c r="G1211" s="176"/>
      <c r="H1211" s="505">
        <f>SUM(Tabla132112415[[#This Row],[PRIMER TRIMESTRE]:[CUARTO TRIMESTRE]])</f>
        <v>76</v>
      </c>
      <c r="I1211" s="17">
        <v>18.399999999999999</v>
      </c>
      <c r="J1211" s="17">
        <f>+H1211*I1211</f>
        <v>1398.3999999999999</v>
      </c>
      <c r="K1211" s="17"/>
      <c r="L1211" s="16" t="s">
        <v>18</v>
      </c>
      <c r="M1211" s="16" t="s">
        <v>22</v>
      </c>
      <c r="N1211" s="39" t="s">
        <v>418</v>
      </c>
    </row>
    <row r="1212" spans="1:14" s="12" customFormat="1" ht="18">
      <c r="A1212" s="178" t="s">
        <v>120</v>
      </c>
      <c r="B1212" s="75" t="s">
        <v>757</v>
      </c>
      <c r="C1212" s="176" t="s">
        <v>17</v>
      </c>
      <c r="D1212" s="176">
        <v>43</v>
      </c>
      <c r="E1212" s="176"/>
      <c r="F1212" s="176">
        <v>5</v>
      </c>
      <c r="G1212" s="176"/>
      <c r="H1212" s="505">
        <f>SUM(Tabla132112415[[#This Row],[PRIMER TRIMESTRE]:[CUARTO TRIMESTRE]])</f>
        <v>48</v>
      </c>
      <c r="I1212" s="17">
        <v>12.92</v>
      </c>
      <c r="J1212" s="17">
        <f>+H1212*I1212</f>
        <v>620.16</v>
      </c>
      <c r="K1212" s="17"/>
      <c r="L1212" s="16" t="s">
        <v>18</v>
      </c>
      <c r="M1212" s="16" t="s">
        <v>22</v>
      </c>
      <c r="N1212" s="39" t="s">
        <v>418</v>
      </c>
    </row>
    <row r="1213" spans="1:14" s="12" customFormat="1" ht="18">
      <c r="A1213" s="178" t="s">
        <v>120</v>
      </c>
      <c r="B1213" s="75" t="s">
        <v>2544</v>
      </c>
      <c r="C1213" s="176" t="s">
        <v>17</v>
      </c>
      <c r="D1213" s="176">
        <v>2</v>
      </c>
      <c r="E1213" s="176"/>
      <c r="F1213" s="176">
        <v>2</v>
      </c>
      <c r="G1213" s="176"/>
      <c r="H1213" s="505">
        <f>SUM(Tabla132112415[[#This Row],[PRIMER TRIMESTRE]:[CUARTO TRIMESTRE]])</f>
        <v>4</v>
      </c>
      <c r="I1213" s="17"/>
      <c r="J1213" s="17"/>
      <c r="K1213" s="17"/>
      <c r="L1213" s="16"/>
      <c r="M1213" s="16"/>
      <c r="N1213" s="39"/>
    </row>
    <row r="1214" spans="1:14" s="12" customFormat="1" ht="18">
      <c r="A1214" s="178" t="s">
        <v>120</v>
      </c>
      <c r="B1214" s="75" t="s">
        <v>325</v>
      </c>
      <c r="C1214" s="176" t="s">
        <v>17</v>
      </c>
      <c r="D1214" s="176">
        <v>115</v>
      </c>
      <c r="E1214" s="176">
        <v>100</v>
      </c>
      <c r="F1214" s="176">
        <v>115</v>
      </c>
      <c r="G1214" s="176">
        <v>100</v>
      </c>
      <c r="H1214" s="505">
        <f>SUM(Tabla132112415[[#This Row],[PRIMER TRIMESTRE]:[CUARTO TRIMESTRE]])</f>
        <v>430</v>
      </c>
      <c r="I1214" s="17">
        <f>337351.26/1251</f>
        <v>269.66527577937649</v>
      </c>
      <c r="J1214" s="17">
        <f>+Tabla132112415[[#This Row],[CANTIDAD TOTAL]]*Tabla132112415[[#This Row],[PRECIO UNITARIO ESTIMADO]]</f>
        <v>115956.06858513188</v>
      </c>
      <c r="K1214" s="17"/>
      <c r="L1214" s="16" t="s">
        <v>18</v>
      </c>
      <c r="M1214" s="16" t="s">
        <v>22</v>
      </c>
      <c r="N1214" s="39" t="s">
        <v>418</v>
      </c>
    </row>
    <row r="1215" spans="1:14" s="12" customFormat="1" ht="18">
      <c r="A1215" s="178" t="s">
        <v>120</v>
      </c>
      <c r="B1215" s="75" t="s">
        <v>784</v>
      </c>
      <c r="C1215" s="176" t="s">
        <v>17</v>
      </c>
      <c r="D1215" s="176">
        <v>140</v>
      </c>
      <c r="E1215" s="176">
        <v>100</v>
      </c>
      <c r="F1215" s="176">
        <v>115</v>
      </c>
      <c r="G1215" s="176">
        <v>100</v>
      </c>
      <c r="H1215" s="505">
        <f>SUM(Tabla132112415[[#This Row],[PRIMER TRIMESTRE]:[CUARTO TRIMESTRE]])</f>
        <v>455</v>
      </c>
      <c r="I1215" s="72">
        <f>20*1.18</f>
        <v>23.599999999999998</v>
      </c>
      <c r="J1215" s="17">
        <f>+H1215*I1215</f>
        <v>10737.999999999998</v>
      </c>
      <c r="K1215" s="17"/>
      <c r="L1215" s="16" t="s">
        <v>18</v>
      </c>
      <c r="M1215" s="16" t="s">
        <v>22</v>
      </c>
      <c r="N1215" s="39" t="s">
        <v>418</v>
      </c>
    </row>
    <row r="1216" spans="1:14" s="12" customFormat="1" ht="18">
      <c r="A1216" s="178" t="s">
        <v>120</v>
      </c>
      <c r="B1216" s="75" t="s">
        <v>785</v>
      </c>
      <c r="C1216" s="176" t="s">
        <v>17</v>
      </c>
      <c r="D1216" s="176">
        <v>170</v>
      </c>
      <c r="E1216" s="176">
        <v>125</v>
      </c>
      <c r="F1216" s="176">
        <v>125</v>
      </c>
      <c r="G1216" s="176">
        <v>125</v>
      </c>
      <c r="H1216" s="505">
        <f>SUM(Tabla132112415[[#This Row],[PRIMER TRIMESTRE]:[CUARTO TRIMESTRE]])</f>
        <v>545</v>
      </c>
      <c r="I1216" s="72">
        <f>4*1.18</f>
        <v>4.72</v>
      </c>
      <c r="J1216" s="17">
        <f>+H1216*I1216</f>
        <v>2572.4</v>
      </c>
      <c r="K1216" s="17"/>
      <c r="L1216" s="16" t="s">
        <v>18</v>
      </c>
      <c r="M1216" s="16" t="s">
        <v>22</v>
      </c>
      <c r="N1216" s="39" t="s">
        <v>418</v>
      </c>
    </row>
    <row r="1217" spans="1:14" s="12" customFormat="1" ht="18">
      <c r="A1217" s="178" t="s">
        <v>120</v>
      </c>
      <c r="B1217" s="75" t="s">
        <v>272</v>
      </c>
      <c r="C1217" s="176" t="s">
        <v>17</v>
      </c>
      <c r="D1217" s="176">
        <v>49</v>
      </c>
      <c r="E1217" s="176">
        <v>21</v>
      </c>
      <c r="F1217" s="176">
        <v>21</v>
      </c>
      <c r="G1217" s="176">
        <v>20</v>
      </c>
      <c r="H1217" s="505">
        <f>SUM(Tabla132112415[[#This Row],[PRIMER TRIMESTRE]:[CUARTO TRIMESTRE]])</f>
        <v>111</v>
      </c>
      <c r="I1217" s="17">
        <v>348</v>
      </c>
      <c r="J1217" s="17">
        <f>+Tabla132112415[[#This Row],[CANTIDAD TOTAL]]*Tabla132112415[[#This Row],[PRECIO UNITARIO ESTIMADO]]</f>
        <v>38628</v>
      </c>
      <c r="K1217" s="17"/>
      <c r="L1217" s="16" t="s">
        <v>18</v>
      </c>
      <c r="M1217" s="16" t="s">
        <v>22</v>
      </c>
      <c r="N1217" s="39" t="s">
        <v>418</v>
      </c>
    </row>
    <row r="1218" spans="1:14" s="12" customFormat="1" ht="18">
      <c r="A1218" s="178" t="s">
        <v>120</v>
      </c>
      <c r="B1218" s="75" t="s">
        <v>758</v>
      </c>
      <c r="C1218" s="176" t="s">
        <v>17</v>
      </c>
      <c r="D1218" s="176">
        <v>9</v>
      </c>
      <c r="E1218" s="176">
        <v>2</v>
      </c>
      <c r="F1218" s="176">
        <v>3</v>
      </c>
      <c r="G1218" s="176">
        <v>1</v>
      </c>
      <c r="H1218" s="505">
        <f>SUM(Tabla132112415[[#This Row],[PRIMER TRIMESTRE]:[CUARTO TRIMESTRE]])</f>
        <v>15</v>
      </c>
      <c r="I1218" s="17">
        <v>61.95</v>
      </c>
      <c r="J1218" s="17">
        <f t="shared" ref="J1218:J1285" si="32">+H1218*I1218</f>
        <v>929.25</v>
      </c>
      <c r="K1218" s="17"/>
      <c r="L1218" s="16" t="s">
        <v>18</v>
      </c>
      <c r="M1218" s="16" t="s">
        <v>22</v>
      </c>
      <c r="N1218" s="39" t="s">
        <v>418</v>
      </c>
    </row>
    <row r="1219" spans="1:14" s="12" customFormat="1" ht="18">
      <c r="A1219" s="178" t="s">
        <v>120</v>
      </c>
      <c r="B1219" s="75" t="s">
        <v>1767</v>
      </c>
      <c r="C1219" s="176" t="s">
        <v>417</v>
      </c>
      <c r="D1219" s="176"/>
      <c r="E1219" s="176"/>
      <c r="F1219" s="176"/>
      <c r="G1219" s="176"/>
      <c r="H1219" s="505">
        <f>SUM(Tabla132112415[[#This Row],[PRIMER TRIMESTRE]:[CUARTO TRIMESTRE]])</f>
        <v>0</v>
      </c>
      <c r="I1219" s="17">
        <v>0</v>
      </c>
      <c r="J1219" s="17">
        <v>0</v>
      </c>
      <c r="K1219" s="17"/>
      <c r="L1219" s="16" t="s">
        <v>18</v>
      </c>
      <c r="M1219" s="16" t="s">
        <v>22</v>
      </c>
      <c r="N1219" s="39" t="s">
        <v>418</v>
      </c>
    </row>
    <row r="1220" spans="1:14" s="12" customFormat="1" ht="18">
      <c r="A1220" s="178" t="s">
        <v>120</v>
      </c>
      <c r="B1220" s="75" t="s">
        <v>2545</v>
      </c>
      <c r="C1220" s="176" t="s">
        <v>417</v>
      </c>
      <c r="D1220" s="176">
        <v>1</v>
      </c>
      <c r="E1220" s="176"/>
      <c r="F1220" s="176"/>
      <c r="G1220" s="176"/>
      <c r="H1220" s="505">
        <f>SUM(Tabla132112415[[#This Row],[PRIMER TRIMESTRE]:[CUARTO TRIMESTRE]])</f>
        <v>1</v>
      </c>
      <c r="I1220" s="17">
        <v>0</v>
      </c>
      <c r="J1220" s="17">
        <v>0</v>
      </c>
      <c r="K1220" s="17"/>
      <c r="L1220" s="16"/>
      <c r="M1220" s="16"/>
      <c r="N1220" s="39"/>
    </row>
    <row r="1221" spans="1:14" s="12" customFormat="1" ht="18">
      <c r="A1221" s="178" t="s">
        <v>120</v>
      </c>
      <c r="B1221" s="75" t="s">
        <v>2546</v>
      </c>
      <c r="C1221" s="176" t="s">
        <v>417</v>
      </c>
      <c r="D1221" s="176">
        <v>1</v>
      </c>
      <c r="E1221" s="176"/>
      <c r="F1221" s="176"/>
      <c r="G1221" s="176"/>
      <c r="H1221" s="505">
        <f>SUM(Tabla132112415[[#This Row],[PRIMER TRIMESTRE]:[CUARTO TRIMESTRE]])</f>
        <v>1</v>
      </c>
      <c r="I1221" s="17">
        <v>0</v>
      </c>
      <c r="J1221" s="17">
        <v>0</v>
      </c>
      <c r="K1221" s="17"/>
      <c r="L1221" s="16"/>
      <c r="M1221" s="16"/>
      <c r="N1221" s="39"/>
    </row>
    <row r="1222" spans="1:14" s="12" customFormat="1" ht="18">
      <c r="A1222" s="178" t="s">
        <v>120</v>
      </c>
      <c r="B1222" s="184" t="s">
        <v>477</v>
      </c>
      <c r="C1222" s="176" t="s">
        <v>417</v>
      </c>
      <c r="D1222" s="176"/>
      <c r="E1222" s="176"/>
      <c r="F1222" s="176"/>
      <c r="G1222" s="176"/>
      <c r="H1222" s="505">
        <f>SUM(Tabla132112415[[#This Row],[PRIMER TRIMESTRE]:[CUARTO TRIMESTRE]])</f>
        <v>0</v>
      </c>
      <c r="I1222" s="17">
        <v>650</v>
      </c>
      <c r="J1222" s="17">
        <f t="shared" si="32"/>
        <v>0</v>
      </c>
      <c r="K1222" s="17"/>
      <c r="L1222" s="16" t="s">
        <v>18</v>
      </c>
      <c r="M1222" s="16" t="s">
        <v>22</v>
      </c>
      <c r="N1222" s="39" t="s">
        <v>418</v>
      </c>
    </row>
    <row r="1223" spans="1:14" s="12" customFormat="1" ht="18">
      <c r="A1223" s="178" t="s">
        <v>120</v>
      </c>
      <c r="B1223" s="184" t="s">
        <v>478</v>
      </c>
      <c r="C1223" s="176" t="s">
        <v>417</v>
      </c>
      <c r="D1223" s="176"/>
      <c r="E1223" s="176"/>
      <c r="F1223" s="176"/>
      <c r="G1223" s="176"/>
      <c r="H1223" s="505">
        <f>SUM(Tabla132112415[[#This Row],[PRIMER TRIMESTRE]:[CUARTO TRIMESTRE]])</f>
        <v>0</v>
      </c>
      <c r="I1223" s="17">
        <v>950</v>
      </c>
      <c r="J1223" s="17">
        <f t="shared" si="32"/>
        <v>0</v>
      </c>
      <c r="K1223" s="17"/>
      <c r="L1223" s="16" t="s">
        <v>18</v>
      </c>
      <c r="M1223" s="16" t="s">
        <v>22</v>
      </c>
      <c r="N1223" s="39" t="s">
        <v>418</v>
      </c>
    </row>
    <row r="1224" spans="1:14" s="12" customFormat="1" ht="18">
      <c r="A1224" s="178" t="s">
        <v>120</v>
      </c>
      <c r="B1224" s="185" t="s">
        <v>479</v>
      </c>
      <c r="C1224" s="176" t="s">
        <v>417</v>
      </c>
      <c r="D1224" s="176"/>
      <c r="E1224" s="176"/>
      <c r="F1224" s="176"/>
      <c r="G1224" s="176"/>
      <c r="H1224" s="505">
        <f>SUM(Tabla132112415[[#This Row],[PRIMER TRIMESTRE]:[CUARTO TRIMESTRE]])</f>
        <v>0</v>
      </c>
      <c r="I1224" s="17">
        <v>650</v>
      </c>
      <c r="J1224" s="17">
        <f t="shared" si="32"/>
        <v>0</v>
      </c>
      <c r="K1224" s="17"/>
      <c r="L1224" s="16" t="s">
        <v>18</v>
      </c>
      <c r="M1224" s="16" t="s">
        <v>22</v>
      </c>
      <c r="N1224" s="39" t="s">
        <v>418</v>
      </c>
    </row>
    <row r="1225" spans="1:14" s="12" customFormat="1" ht="18">
      <c r="A1225" s="178" t="s">
        <v>120</v>
      </c>
      <c r="B1225" s="184" t="s">
        <v>480</v>
      </c>
      <c r="C1225" s="176" t="s">
        <v>417</v>
      </c>
      <c r="D1225" s="176"/>
      <c r="E1225" s="176"/>
      <c r="F1225" s="176"/>
      <c r="G1225" s="176"/>
      <c r="H1225" s="505">
        <f>SUM(Tabla132112415[[#This Row],[PRIMER TRIMESTRE]:[CUARTO TRIMESTRE]])</f>
        <v>0</v>
      </c>
      <c r="I1225" s="17">
        <v>800</v>
      </c>
      <c r="J1225" s="17">
        <f t="shared" si="32"/>
        <v>0</v>
      </c>
      <c r="K1225" s="17"/>
      <c r="L1225" s="16" t="s">
        <v>18</v>
      </c>
      <c r="M1225" s="16" t="s">
        <v>22</v>
      </c>
      <c r="N1225" s="39" t="s">
        <v>418</v>
      </c>
    </row>
    <row r="1226" spans="1:14" s="12" customFormat="1" ht="18">
      <c r="A1226" s="178" t="s">
        <v>120</v>
      </c>
      <c r="B1226" s="184" t="s">
        <v>481</v>
      </c>
      <c r="C1226" s="176" t="s">
        <v>417</v>
      </c>
      <c r="D1226" s="176"/>
      <c r="E1226" s="176"/>
      <c r="F1226" s="176"/>
      <c r="G1226" s="176"/>
      <c r="H1226" s="505">
        <f>SUM(Tabla132112415[[#This Row],[PRIMER TRIMESTRE]:[CUARTO TRIMESTRE]])</f>
        <v>0</v>
      </c>
      <c r="I1226" s="17">
        <v>1190</v>
      </c>
      <c r="J1226" s="17">
        <f t="shared" si="32"/>
        <v>0</v>
      </c>
      <c r="K1226" s="17"/>
      <c r="L1226" s="16" t="s">
        <v>18</v>
      </c>
      <c r="M1226" s="16" t="s">
        <v>22</v>
      </c>
      <c r="N1226" s="39" t="s">
        <v>418</v>
      </c>
    </row>
    <row r="1227" spans="1:14" s="12" customFormat="1" ht="18">
      <c r="A1227" s="178" t="s">
        <v>120</v>
      </c>
      <c r="B1227" s="184" t="s">
        <v>482</v>
      </c>
      <c r="C1227" s="176" t="s">
        <v>417</v>
      </c>
      <c r="D1227" s="176">
        <v>10</v>
      </c>
      <c r="E1227" s="176"/>
      <c r="F1227" s="176">
        <v>15</v>
      </c>
      <c r="G1227" s="176"/>
      <c r="H1227" s="505">
        <f>SUM(Tabla132112415[[#This Row],[PRIMER TRIMESTRE]:[CUARTO TRIMESTRE]])</f>
        <v>25</v>
      </c>
      <c r="I1227" s="17">
        <v>1050</v>
      </c>
      <c r="J1227" s="17">
        <f t="shared" si="32"/>
        <v>26250</v>
      </c>
      <c r="K1227" s="17"/>
      <c r="L1227" s="16" t="s">
        <v>18</v>
      </c>
      <c r="M1227" s="16" t="s">
        <v>22</v>
      </c>
      <c r="N1227" s="39" t="s">
        <v>418</v>
      </c>
    </row>
    <row r="1228" spans="1:14" s="12" customFormat="1" ht="18">
      <c r="A1228" s="178" t="s">
        <v>120</v>
      </c>
      <c r="B1228" s="184" t="s">
        <v>483</v>
      </c>
      <c r="C1228" s="176" t="s">
        <v>417</v>
      </c>
      <c r="D1228" s="176"/>
      <c r="E1228" s="176"/>
      <c r="F1228" s="176"/>
      <c r="G1228" s="176"/>
      <c r="H1228" s="505">
        <f>SUM(Tabla132112415[[#This Row],[PRIMER TRIMESTRE]:[CUARTO TRIMESTRE]])</f>
        <v>0</v>
      </c>
      <c r="I1228" s="17">
        <v>990</v>
      </c>
      <c r="J1228" s="17">
        <f t="shared" si="32"/>
        <v>0</v>
      </c>
      <c r="K1228" s="17"/>
      <c r="L1228" s="16" t="s">
        <v>18</v>
      </c>
      <c r="M1228" s="16" t="s">
        <v>22</v>
      </c>
      <c r="N1228" s="39" t="s">
        <v>418</v>
      </c>
    </row>
    <row r="1229" spans="1:14" s="12" customFormat="1" ht="18">
      <c r="A1229" s="178" t="s">
        <v>120</v>
      </c>
      <c r="B1229" s="184" t="s">
        <v>484</v>
      </c>
      <c r="C1229" s="176" t="s">
        <v>417</v>
      </c>
      <c r="D1229" s="176">
        <v>10</v>
      </c>
      <c r="E1229" s="176"/>
      <c r="F1229" s="176">
        <v>10</v>
      </c>
      <c r="G1229" s="176"/>
      <c r="H1229" s="505">
        <f>SUM(Tabla132112415[[#This Row],[PRIMER TRIMESTRE]:[CUARTO TRIMESTRE]])</f>
        <v>20</v>
      </c>
      <c r="I1229" s="17">
        <v>450</v>
      </c>
      <c r="J1229" s="17">
        <f t="shared" si="32"/>
        <v>9000</v>
      </c>
      <c r="K1229" s="17"/>
      <c r="L1229" s="16" t="s">
        <v>18</v>
      </c>
      <c r="M1229" s="16" t="s">
        <v>22</v>
      </c>
      <c r="N1229" s="39" t="s">
        <v>418</v>
      </c>
    </row>
    <row r="1230" spans="1:14" s="12" customFormat="1" ht="18">
      <c r="A1230" s="178" t="s">
        <v>120</v>
      </c>
      <c r="B1230" s="184" t="s">
        <v>485</v>
      </c>
      <c r="C1230" s="176" t="s">
        <v>417</v>
      </c>
      <c r="D1230" s="176">
        <v>10</v>
      </c>
      <c r="E1230" s="176"/>
      <c r="F1230" s="176">
        <v>10</v>
      </c>
      <c r="G1230" s="176"/>
      <c r="H1230" s="505">
        <f>SUM(Tabla132112415[[#This Row],[PRIMER TRIMESTRE]:[CUARTO TRIMESTRE]])</f>
        <v>20</v>
      </c>
      <c r="I1230" s="17">
        <v>550</v>
      </c>
      <c r="J1230" s="17">
        <f t="shared" si="32"/>
        <v>11000</v>
      </c>
      <c r="K1230" s="17"/>
      <c r="L1230" s="16" t="s">
        <v>18</v>
      </c>
      <c r="M1230" s="16" t="s">
        <v>22</v>
      </c>
      <c r="N1230" s="39" t="s">
        <v>418</v>
      </c>
    </row>
    <row r="1231" spans="1:14" s="12" customFormat="1" ht="18">
      <c r="A1231" s="178" t="s">
        <v>120</v>
      </c>
      <c r="B1231" s="184" t="s">
        <v>486</v>
      </c>
      <c r="C1231" s="176" t="s">
        <v>417</v>
      </c>
      <c r="D1231" s="176"/>
      <c r="E1231" s="176"/>
      <c r="F1231" s="176"/>
      <c r="G1231" s="176"/>
      <c r="H1231" s="505">
        <f>SUM(Tabla132112415[[#This Row],[PRIMER TRIMESTRE]:[CUARTO TRIMESTRE]])</f>
        <v>0</v>
      </c>
      <c r="I1231" s="17">
        <v>1000</v>
      </c>
      <c r="J1231" s="17">
        <f t="shared" si="32"/>
        <v>0</v>
      </c>
      <c r="K1231" s="17"/>
      <c r="L1231" s="16" t="s">
        <v>18</v>
      </c>
      <c r="M1231" s="16" t="s">
        <v>22</v>
      </c>
      <c r="N1231" s="39" t="s">
        <v>418</v>
      </c>
    </row>
    <row r="1232" spans="1:14" s="12" customFormat="1" ht="18">
      <c r="A1232" s="178" t="s">
        <v>120</v>
      </c>
      <c r="B1232" s="184" t="s">
        <v>487</v>
      </c>
      <c r="C1232" s="176" t="s">
        <v>417</v>
      </c>
      <c r="D1232" s="176"/>
      <c r="E1232" s="176"/>
      <c r="F1232" s="176"/>
      <c r="G1232" s="176"/>
      <c r="H1232" s="505">
        <f>SUM(Tabla132112415[[#This Row],[PRIMER TRIMESTRE]:[CUARTO TRIMESTRE]])</f>
        <v>0</v>
      </c>
      <c r="I1232" s="17">
        <v>850</v>
      </c>
      <c r="J1232" s="17">
        <f t="shared" si="32"/>
        <v>0</v>
      </c>
      <c r="K1232" s="17"/>
      <c r="L1232" s="16" t="s">
        <v>18</v>
      </c>
      <c r="M1232" s="16" t="s">
        <v>22</v>
      </c>
      <c r="N1232" s="39" t="s">
        <v>418</v>
      </c>
    </row>
    <row r="1233" spans="1:14" s="12" customFormat="1" ht="18">
      <c r="A1233" s="178" t="s">
        <v>120</v>
      </c>
      <c r="B1233" s="184" t="s">
        <v>488</v>
      </c>
      <c r="C1233" s="176" t="s">
        <v>417</v>
      </c>
      <c r="D1233" s="176"/>
      <c r="E1233" s="176"/>
      <c r="F1233" s="176"/>
      <c r="G1233" s="176"/>
      <c r="H1233" s="505">
        <f>SUM(Tabla132112415[[#This Row],[PRIMER TRIMESTRE]:[CUARTO TRIMESTRE]])</f>
        <v>0</v>
      </c>
      <c r="I1233" s="17">
        <v>850</v>
      </c>
      <c r="J1233" s="17">
        <f t="shared" si="32"/>
        <v>0</v>
      </c>
      <c r="K1233" s="17"/>
      <c r="L1233" s="16" t="s">
        <v>18</v>
      </c>
      <c r="M1233" s="16" t="s">
        <v>22</v>
      </c>
      <c r="N1233" s="39" t="s">
        <v>418</v>
      </c>
    </row>
    <row r="1234" spans="1:14" s="12" customFormat="1" ht="18">
      <c r="A1234" s="178" t="s">
        <v>120</v>
      </c>
      <c r="B1234" s="184" t="s">
        <v>489</v>
      </c>
      <c r="C1234" s="176" t="s">
        <v>417</v>
      </c>
      <c r="D1234" s="176">
        <v>6</v>
      </c>
      <c r="E1234" s="176"/>
      <c r="F1234" s="176">
        <v>6</v>
      </c>
      <c r="G1234" s="176"/>
      <c r="H1234" s="505">
        <f>SUM(Tabla132112415[[#This Row],[PRIMER TRIMESTRE]:[CUARTO TRIMESTRE]])</f>
        <v>12</v>
      </c>
      <c r="I1234" s="17">
        <v>650</v>
      </c>
      <c r="J1234" s="17">
        <f t="shared" si="32"/>
        <v>7800</v>
      </c>
      <c r="K1234" s="17"/>
      <c r="L1234" s="16" t="s">
        <v>18</v>
      </c>
      <c r="M1234" s="16" t="s">
        <v>22</v>
      </c>
      <c r="N1234" s="39" t="s">
        <v>418</v>
      </c>
    </row>
    <row r="1235" spans="1:14" s="12" customFormat="1" ht="18">
      <c r="A1235" s="178" t="s">
        <v>120</v>
      </c>
      <c r="B1235" s="184" t="s">
        <v>490</v>
      </c>
      <c r="C1235" s="176" t="s">
        <v>417</v>
      </c>
      <c r="D1235" s="176">
        <v>6</v>
      </c>
      <c r="E1235" s="176"/>
      <c r="F1235" s="176">
        <v>6</v>
      </c>
      <c r="G1235" s="176"/>
      <c r="H1235" s="505">
        <f>SUM(Tabla132112415[[#This Row],[PRIMER TRIMESTRE]:[CUARTO TRIMESTRE]])</f>
        <v>12</v>
      </c>
      <c r="I1235" s="17">
        <v>1100</v>
      </c>
      <c r="J1235" s="17">
        <f t="shared" si="32"/>
        <v>13200</v>
      </c>
      <c r="K1235" s="17"/>
      <c r="L1235" s="16" t="s">
        <v>18</v>
      </c>
      <c r="M1235" s="16" t="s">
        <v>22</v>
      </c>
      <c r="N1235" s="39" t="s">
        <v>418</v>
      </c>
    </row>
    <row r="1236" spans="1:14" s="12" customFormat="1" ht="18">
      <c r="A1236" s="178" t="s">
        <v>120</v>
      </c>
      <c r="B1236" s="184" t="s">
        <v>491</v>
      </c>
      <c r="C1236" s="176" t="s">
        <v>417</v>
      </c>
      <c r="D1236" s="176"/>
      <c r="E1236" s="176"/>
      <c r="F1236" s="176"/>
      <c r="G1236" s="176"/>
      <c r="H1236" s="505">
        <f>SUM(Tabla132112415[[#This Row],[PRIMER TRIMESTRE]:[CUARTO TRIMESTRE]])</f>
        <v>0</v>
      </c>
      <c r="I1236" s="17">
        <v>1100</v>
      </c>
      <c r="J1236" s="17">
        <f t="shared" si="32"/>
        <v>0</v>
      </c>
      <c r="K1236" s="17"/>
      <c r="L1236" s="16" t="s">
        <v>18</v>
      </c>
      <c r="M1236" s="16" t="s">
        <v>22</v>
      </c>
      <c r="N1236" s="39" t="s">
        <v>418</v>
      </c>
    </row>
    <row r="1237" spans="1:14" s="12" customFormat="1" ht="18">
      <c r="A1237" s="178" t="s">
        <v>120</v>
      </c>
      <c r="B1237" s="184" t="s">
        <v>492</v>
      </c>
      <c r="C1237" s="176" t="s">
        <v>417</v>
      </c>
      <c r="D1237" s="176"/>
      <c r="E1237" s="176"/>
      <c r="F1237" s="176"/>
      <c r="G1237" s="176"/>
      <c r="H1237" s="505">
        <f>SUM(Tabla132112415[[#This Row],[PRIMER TRIMESTRE]:[CUARTO TRIMESTRE]])</f>
        <v>0</v>
      </c>
      <c r="I1237" s="17">
        <v>1500</v>
      </c>
      <c r="J1237" s="17">
        <f t="shared" si="32"/>
        <v>0</v>
      </c>
      <c r="K1237" s="17"/>
      <c r="L1237" s="16" t="s">
        <v>18</v>
      </c>
      <c r="M1237" s="16" t="s">
        <v>22</v>
      </c>
      <c r="N1237" s="39" t="s">
        <v>418</v>
      </c>
    </row>
    <row r="1238" spans="1:14" s="12" customFormat="1" ht="18">
      <c r="A1238" s="178" t="s">
        <v>120</v>
      </c>
      <c r="B1238" s="184" t="s">
        <v>493</v>
      </c>
      <c r="C1238" s="176" t="s">
        <v>417</v>
      </c>
      <c r="D1238" s="176"/>
      <c r="E1238" s="176"/>
      <c r="F1238" s="176"/>
      <c r="G1238" s="176"/>
      <c r="H1238" s="505">
        <f>SUM(Tabla132112415[[#This Row],[PRIMER TRIMESTRE]:[CUARTO TRIMESTRE]])</f>
        <v>0</v>
      </c>
      <c r="I1238" s="17">
        <v>1650</v>
      </c>
      <c r="J1238" s="17">
        <f t="shared" si="32"/>
        <v>0</v>
      </c>
      <c r="K1238" s="17"/>
      <c r="L1238" s="16" t="s">
        <v>18</v>
      </c>
      <c r="M1238" s="16" t="s">
        <v>22</v>
      </c>
      <c r="N1238" s="39" t="s">
        <v>418</v>
      </c>
    </row>
    <row r="1239" spans="1:14" s="12" customFormat="1" ht="18">
      <c r="A1239" s="178" t="s">
        <v>120</v>
      </c>
      <c r="B1239" s="184" t="s">
        <v>2547</v>
      </c>
      <c r="C1239" s="176" t="s">
        <v>417</v>
      </c>
      <c r="D1239" s="176">
        <v>2</v>
      </c>
      <c r="E1239" s="176">
        <v>1</v>
      </c>
      <c r="F1239" s="176">
        <v>1</v>
      </c>
      <c r="G1239" s="176">
        <v>1</v>
      </c>
      <c r="H1239" s="505">
        <f>SUM(Tabla132112415[[#This Row],[PRIMER TRIMESTRE]:[CUARTO TRIMESTRE]])</f>
        <v>5</v>
      </c>
      <c r="I1239" s="17"/>
      <c r="J1239" s="17"/>
      <c r="K1239" s="17"/>
      <c r="L1239" s="16"/>
      <c r="M1239" s="16"/>
      <c r="N1239" s="39"/>
    </row>
    <row r="1240" spans="1:14" s="12" customFormat="1" ht="18">
      <c r="A1240" s="178" t="s">
        <v>120</v>
      </c>
      <c r="B1240" s="184" t="s">
        <v>494</v>
      </c>
      <c r="C1240" s="176" t="s">
        <v>417</v>
      </c>
      <c r="D1240" s="176"/>
      <c r="E1240" s="176"/>
      <c r="F1240" s="176"/>
      <c r="G1240" s="176"/>
      <c r="H1240" s="505">
        <f>SUM(Tabla132112415[[#This Row],[PRIMER TRIMESTRE]:[CUARTO TRIMESTRE]])</f>
        <v>0</v>
      </c>
      <c r="I1240" s="17">
        <v>1250</v>
      </c>
      <c r="J1240" s="17">
        <f t="shared" si="32"/>
        <v>0</v>
      </c>
      <c r="K1240" s="17"/>
      <c r="L1240" s="16" t="s">
        <v>18</v>
      </c>
      <c r="M1240" s="16" t="s">
        <v>22</v>
      </c>
      <c r="N1240" s="39" t="s">
        <v>418</v>
      </c>
    </row>
    <row r="1241" spans="1:14" s="12" customFormat="1" ht="18">
      <c r="A1241" s="178" t="s">
        <v>120</v>
      </c>
      <c r="B1241" s="185" t="s">
        <v>495</v>
      </c>
      <c r="C1241" s="176" t="s">
        <v>417</v>
      </c>
      <c r="D1241" s="176"/>
      <c r="E1241" s="176"/>
      <c r="F1241" s="176"/>
      <c r="G1241" s="176"/>
      <c r="H1241" s="505">
        <f>SUM(Tabla132112415[[#This Row],[PRIMER TRIMESTRE]:[CUARTO TRIMESTRE]])</f>
        <v>0</v>
      </c>
      <c r="I1241" s="17">
        <v>1672</v>
      </c>
      <c r="J1241" s="17">
        <f t="shared" si="32"/>
        <v>0</v>
      </c>
      <c r="K1241" s="17"/>
      <c r="L1241" s="16" t="s">
        <v>18</v>
      </c>
      <c r="M1241" s="16" t="s">
        <v>22</v>
      </c>
      <c r="N1241" s="39" t="s">
        <v>418</v>
      </c>
    </row>
    <row r="1242" spans="1:14" s="12" customFormat="1" ht="25.5">
      <c r="A1242" s="178" t="s">
        <v>120</v>
      </c>
      <c r="B1242" s="185" t="s">
        <v>533</v>
      </c>
      <c r="C1242" s="176" t="s">
        <v>417</v>
      </c>
      <c r="D1242" s="176"/>
      <c r="E1242" s="176"/>
      <c r="F1242" s="176"/>
      <c r="G1242" s="176"/>
      <c r="H1242" s="505">
        <f>SUM(Tabla132112415[[#This Row],[PRIMER TRIMESTRE]:[CUARTO TRIMESTRE]])</f>
        <v>0</v>
      </c>
      <c r="I1242" s="17">
        <v>720</v>
      </c>
      <c r="J1242" s="17">
        <f t="shared" si="32"/>
        <v>0</v>
      </c>
      <c r="K1242" s="17"/>
      <c r="L1242" s="16" t="s">
        <v>18</v>
      </c>
      <c r="M1242" s="16" t="s">
        <v>22</v>
      </c>
      <c r="N1242" s="39" t="s">
        <v>418</v>
      </c>
    </row>
    <row r="1243" spans="1:14" s="12" customFormat="1" ht="25.5">
      <c r="A1243" s="178" t="s">
        <v>120</v>
      </c>
      <c r="B1243" s="185" t="s">
        <v>534</v>
      </c>
      <c r="C1243" s="176" t="s">
        <v>417</v>
      </c>
      <c r="D1243" s="176"/>
      <c r="E1243" s="176"/>
      <c r="F1243" s="176"/>
      <c r="G1243" s="176"/>
      <c r="H1243" s="505">
        <f>SUM(Tabla132112415[[#This Row],[PRIMER TRIMESTRE]:[CUARTO TRIMESTRE]])</f>
        <v>0</v>
      </c>
      <c r="I1243" s="17">
        <v>1280</v>
      </c>
      <c r="J1243" s="17">
        <f t="shared" si="32"/>
        <v>0</v>
      </c>
      <c r="K1243" s="17"/>
      <c r="L1243" s="16" t="s">
        <v>18</v>
      </c>
      <c r="M1243" s="16" t="s">
        <v>22</v>
      </c>
      <c r="N1243" s="39" t="s">
        <v>418</v>
      </c>
    </row>
    <row r="1244" spans="1:14" s="12" customFormat="1" ht="18">
      <c r="A1244" s="178" t="s">
        <v>120</v>
      </c>
      <c r="B1244" s="185" t="s">
        <v>1443</v>
      </c>
      <c r="C1244" s="176" t="s">
        <v>417</v>
      </c>
      <c r="D1244" s="176"/>
      <c r="E1244" s="176"/>
      <c r="F1244" s="176"/>
      <c r="G1244" s="176"/>
      <c r="H1244" s="505">
        <f>SUM(Tabla132112415[[#This Row],[PRIMER TRIMESTRE]:[CUARTO TRIMESTRE]])</f>
        <v>0</v>
      </c>
      <c r="I1244" s="17">
        <v>4159.5</v>
      </c>
      <c r="J1244" s="17">
        <f t="shared" si="32"/>
        <v>0</v>
      </c>
      <c r="K1244" s="17"/>
      <c r="L1244" s="16" t="s">
        <v>15</v>
      </c>
      <c r="M1244" s="16" t="s">
        <v>22</v>
      </c>
      <c r="N1244" s="39" t="s">
        <v>418</v>
      </c>
    </row>
    <row r="1245" spans="1:14" s="12" customFormat="1" ht="18">
      <c r="A1245" s="178" t="s">
        <v>120</v>
      </c>
      <c r="B1245" s="185" t="s">
        <v>1444</v>
      </c>
      <c r="C1245" s="176" t="s">
        <v>417</v>
      </c>
      <c r="D1245" s="176"/>
      <c r="E1245" s="176"/>
      <c r="F1245" s="176"/>
      <c r="G1245" s="176"/>
      <c r="H1245" s="505">
        <f>SUM(Tabla132112415[[#This Row],[PRIMER TRIMESTRE]:[CUARTO TRIMESTRE]])</f>
        <v>0</v>
      </c>
      <c r="I1245" s="17">
        <v>4159.5</v>
      </c>
      <c r="J1245" s="17">
        <f t="shared" si="32"/>
        <v>0</v>
      </c>
      <c r="K1245" s="17"/>
      <c r="L1245" s="16" t="s">
        <v>15</v>
      </c>
      <c r="M1245" s="16" t="s">
        <v>22</v>
      </c>
      <c r="N1245" s="39" t="s">
        <v>418</v>
      </c>
    </row>
    <row r="1246" spans="1:14" s="12" customFormat="1" ht="18">
      <c r="A1246" s="178" t="s">
        <v>120</v>
      </c>
      <c r="B1246" s="185" t="s">
        <v>1445</v>
      </c>
      <c r="C1246" s="176" t="s">
        <v>417</v>
      </c>
      <c r="D1246" s="176"/>
      <c r="E1246" s="176"/>
      <c r="F1246" s="176"/>
      <c r="G1246" s="176"/>
      <c r="H1246" s="505">
        <f>SUM(Tabla132112415[[#This Row],[PRIMER TRIMESTRE]:[CUARTO TRIMESTRE]])</f>
        <v>0</v>
      </c>
      <c r="I1246" s="17">
        <v>4159.5</v>
      </c>
      <c r="J1246" s="17">
        <f t="shared" si="32"/>
        <v>0</v>
      </c>
      <c r="K1246" s="17"/>
      <c r="L1246" s="16" t="s">
        <v>15</v>
      </c>
      <c r="M1246" s="16" t="s">
        <v>22</v>
      </c>
      <c r="N1246" s="39" t="s">
        <v>418</v>
      </c>
    </row>
    <row r="1247" spans="1:14" s="12" customFormat="1" ht="18">
      <c r="A1247" s="178" t="s">
        <v>120</v>
      </c>
      <c r="B1247" s="185" t="s">
        <v>2548</v>
      </c>
      <c r="C1247" s="176" t="s">
        <v>417</v>
      </c>
      <c r="D1247" s="176">
        <v>2</v>
      </c>
      <c r="E1247" s="176">
        <v>2</v>
      </c>
      <c r="F1247" s="176">
        <v>2</v>
      </c>
      <c r="G1247" s="176">
        <v>2</v>
      </c>
      <c r="H1247" s="505">
        <f>SUM(Tabla132112415[[#This Row],[PRIMER TRIMESTRE]:[CUARTO TRIMESTRE]])</f>
        <v>8</v>
      </c>
      <c r="I1247" s="17"/>
      <c r="J1247" s="17"/>
      <c r="K1247" s="17"/>
      <c r="L1247" s="16"/>
      <c r="M1247" s="16"/>
      <c r="N1247" s="39"/>
    </row>
    <row r="1248" spans="1:14" s="12" customFormat="1" ht="18">
      <c r="A1248" s="178" t="s">
        <v>120</v>
      </c>
      <c r="B1248" s="185" t="s">
        <v>474</v>
      </c>
      <c r="C1248" s="176" t="s">
        <v>417</v>
      </c>
      <c r="D1248" s="176">
        <v>12</v>
      </c>
      <c r="E1248" s="176"/>
      <c r="F1248" s="176">
        <v>12</v>
      </c>
      <c r="G1248" s="176"/>
      <c r="H1248" s="505">
        <f>SUM(Tabla132112415[[#This Row],[PRIMER TRIMESTRE]:[CUARTO TRIMESTRE]])</f>
        <v>24</v>
      </c>
      <c r="I1248" s="17">
        <v>2900</v>
      </c>
      <c r="J1248" s="17">
        <f t="shared" si="32"/>
        <v>69600</v>
      </c>
      <c r="K1248" s="17"/>
      <c r="L1248" s="16" t="s">
        <v>18</v>
      </c>
      <c r="M1248" s="16" t="s">
        <v>22</v>
      </c>
      <c r="N1248" s="39" t="s">
        <v>418</v>
      </c>
    </row>
    <row r="1249" spans="1:14" s="12" customFormat="1" ht="18">
      <c r="A1249" s="178" t="s">
        <v>120</v>
      </c>
      <c r="B1249" s="184" t="s">
        <v>475</v>
      </c>
      <c r="C1249" s="176" t="s">
        <v>417</v>
      </c>
      <c r="D1249" s="176">
        <v>2</v>
      </c>
      <c r="E1249" s="176"/>
      <c r="F1249" s="176"/>
      <c r="G1249" s="176"/>
      <c r="H1249" s="505">
        <f>SUM(Tabla132112415[[#This Row],[PRIMER TRIMESTRE]:[CUARTO TRIMESTRE]])</f>
        <v>2</v>
      </c>
      <c r="I1249" s="17">
        <v>2350</v>
      </c>
      <c r="J1249" s="17">
        <f t="shared" si="32"/>
        <v>4700</v>
      </c>
      <c r="K1249" s="17"/>
      <c r="L1249" s="16" t="s">
        <v>18</v>
      </c>
      <c r="M1249" s="16" t="s">
        <v>22</v>
      </c>
      <c r="N1249" s="39" t="s">
        <v>418</v>
      </c>
    </row>
    <row r="1250" spans="1:14" s="12" customFormat="1" ht="18">
      <c r="A1250" s="178" t="s">
        <v>120</v>
      </c>
      <c r="B1250" s="184" t="s">
        <v>476</v>
      </c>
      <c r="C1250" s="176" t="s">
        <v>417</v>
      </c>
      <c r="D1250" s="176">
        <v>5</v>
      </c>
      <c r="E1250" s="176">
        <v>2</v>
      </c>
      <c r="F1250" s="176">
        <v>5</v>
      </c>
      <c r="G1250" s="176">
        <v>2</v>
      </c>
      <c r="H1250" s="505">
        <f>SUM(Tabla132112415[[#This Row],[PRIMER TRIMESTRE]:[CUARTO TRIMESTRE]])</f>
        <v>14</v>
      </c>
      <c r="I1250" s="17">
        <v>3990</v>
      </c>
      <c r="J1250" s="17">
        <f t="shared" si="32"/>
        <v>55860</v>
      </c>
      <c r="K1250" s="17"/>
      <c r="L1250" s="16" t="s">
        <v>18</v>
      </c>
      <c r="M1250" s="16" t="s">
        <v>22</v>
      </c>
      <c r="N1250" s="39" t="s">
        <v>418</v>
      </c>
    </row>
    <row r="1251" spans="1:14" s="12" customFormat="1" ht="18">
      <c r="A1251" s="178" t="s">
        <v>120</v>
      </c>
      <c r="B1251" s="185" t="s">
        <v>496</v>
      </c>
      <c r="C1251" s="176" t="s">
        <v>417</v>
      </c>
      <c r="D1251" s="176"/>
      <c r="E1251" s="176"/>
      <c r="F1251" s="176"/>
      <c r="G1251" s="176"/>
      <c r="H1251" s="505">
        <f>SUM(Tabla132112415[[#This Row],[PRIMER TRIMESTRE]:[CUARTO TRIMESTRE]])</f>
        <v>0</v>
      </c>
      <c r="I1251" s="17">
        <v>4200</v>
      </c>
      <c r="J1251" s="17">
        <f t="shared" si="32"/>
        <v>0</v>
      </c>
      <c r="K1251" s="17"/>
      <c r="L1251" s="16" t="s">
        <v>18</v>
      </c>
      <c r="M1251" s="16" t="s">
        <v>22</v>
      </c>
      <c r="N1251" s="39" t="s">
        <v>418</v>
      </c>
    </row>
    <row r="1252" spans="1:14" s="12" customFormat="1" ht="18">
      <c r="A1252" s="178" t="s">
        <v>120</v>
      </c>
      <c r="B1252" s="184" t="s">
        <v>497</v>
      </c>
      <c r="C1252" s="176" t="s">
        <v>417</v>
      </c>
      <c r="D1252" s="176"/>
      <c r="E1252" s="176"/>
      <c r="F1252" s="176"/>
      <c r="G1252" s="176"/>
      <c r="H1252" s="505">
        <f>SUM(Tabla132112415[[#This Row],[PRIMER TRIMESTRE]:[CUARTO TRIMESTRE]])</f>
        <v>0</v>
      </c>
      <c r="I1252" s="17">
        <v>4200</v>
      </c>
      <c r="J1252" s="17">
        <f t="shared" si="32"/>
        <v>0</v>
      </c>
      <c r="K1252" s="17"/>
      <c r="L1252" s="16" t="s">
        <v>18</v>
      </c>
      <c r="M1252" s="16" t="s">
        <v>22</v>
      </c>
      <c r="N1252" s="39" t="s">
        <v>418</v>
      </c>
    </row>
    <row r="1253" spans="1:14" s="12" customFormat="1" ht="18">
      <c r="A1253" s="178" t="s">
        <v>120</v>
      </c>
      <c r="B1253" s="184" t="s">
        <v>498</v>
      </c>
      <c r="C1253" s="176" t="s">
        <v>417</v>
      </c>
      <c r="D1253" s="176"/>
      <c r="E1253" s="176"/>
      <c r="F1253" s="176"/>
      <c r="G1253" s="176"/>
      <c r="H1253" s="505">
        <f>SUM(Tabla132112415[[#This Row],[PRIMER TRIMESTRE]:[CUARTO TRIMESTRE]])</f>
        <v>0</v>
      </c>
      <c r="I1253" s="17">
        <v>4200</v>
      </c>
      <c r="J1253" s="17">
        <f t="shared" si="32"/>
        <v>0</v>
      </c>
      <c r="K1253" s="17"/>
      <c r="L1253" s="16" t="s">
        <v>18</v>
      </c>
      <c r="M1253" s="16" t="s">
        <v>22</v>
      </c>
      <c r="N1253" s="39" t="s">
        <v>418</v>
      </c>
    </row>
    <row r="1254" spans="1:14" s="12" customFormat="1" ht="18">
      <c r="A1254" s="178" t="s">
        <v>120</v>
      </c>
      <c r="B1254" s="184" t="s">
        <v>499</v>
      </c>
      <c r="C1254" s="176" t="s">
        <v>417</v>
      </c>
      <c r="D1254" s="176"/>
      <c r="E1254" s="176"/>
      <c r="F1254" s="176"/>
      <c r="G1254" s="176"/>
      <c r="H1254" s="505">
        <f>SUM(Tabla132112415[[#This Row],[PRIMER TRIMESTRE]:[CUARTO TRIMESTRE]])</f>
        <v>0</v>
      </c>
      <c r="I1254" s="17">
        <v>4200</v>
      </c>
      <c r="J1254" s="17">
        <f t="shared" si="32"/>
        <v>0</v>
      </c>
      <c r="K1254" s="17"/>
      <c r="L1254" s="16" t="s">
        <v>18</v>
      </c>
      <c r="M1254" s="16" t="s">
        <v>22</v>
      </c>
      <c r="N1254" s="39" t="s">
        <v>418</v>
      </c>
    </row>
    <row r="1255" spans="1:14" s="12" customFormat="1" ht="18">
      <c r="A1255" s="178" t="s">
        <v>120</v>
      </c>
      <c r="B1255" s="185" t="s">
        <v>500</v>
      </c>
      <c r="C1255" s="176" t="s">
        <v>417</v>
      </c>
      <c r="D1255" s="176">
        <v>15</v>
      </c>
      <c r="E1255" s="176">
        <v>6</v>
      </c>
      <c r="F1255" s="176">
        <v>17</v>
      </c>
      <c r="G1255" s="176">
        <v>6</v>
      </c>
      <c r="H1255" s="505">
        <f>SUM(Tabla132112415[[#This Row],[PRIMER TRIMESTRE]:[CUARTO TRIMESTRE]])</f>
        <v>44</v>
      </c>
      <c r="I1255" s="17">
        <v>8210.5</v>
      </c>
      <c r="J1255" s="17">
        <f t="shared" si="32"/>
        <v>361262</v>
      </c>
      <c r="K1255" s="17"/>
      <c r="L1255" s="16" t="s">
        <v>18</v>
      </c>
      <c r="M1255" s="16" t="s">
        <v>22</v>
      </c>
      <c r="N1255" s="39" t="s">
        <v>418</v>
      </c>
    </row>
    <row r="1256" spans="1:14" s="12" customFormat="1" ht="18">
      <c r="A1256" s="178" t="s">
        <v>120</v>
      </c>
      <c r="B1256" s="185" t="s">
        <v>501</v>
      </c>
      <c r="C1256" s="176" t="s">
        <v>417</v>
      </c>
      <c r="D1256" s="176"/>
      <c r="E1256" s="176"/>
      <c r="F1256" s="176"/>
      <c r="G1256" s="176"/>
      <c r="H1256" s="505">
        <f>SUM(Tabla132112415[[#This Row],[PRIMER TRIMESTRE]:[CUARTO TRIMESTRE]])</f>
        <v>0</v>
      </c>
      <c r="I1256" s="17">
        <v>3250</v>
      </c>
      <c r="J1256" s="17">
        <f t="shared" si="32"/>
        <v>0</v>
      </c>
      <c r="K1256" s="17"/>
      <c r="L1256" s="16" t="s">
        <v>18</v>
      </c>
      <c r="M1256" s="16" t="s">
        <v>22</v>
      </c>
      <c r="N1256" s="39" t="s">
        <v>418</v>
      </c>
    </row>
    <row r="1257" spans="1:14" s="12" customFormat="1" ht="18">
      <c r="A1257" s="178" t="s">
        <v>120</v>
      </c>
      <c r="B1257" s="184" t="s">
        <v>502</v>
      </c>
      <c r="C1257" s="176" t="s">
        <v>417</v>
      </c>
      <c r="D1257" s="176"/>
      <c r="E1257" s="176"/>
      <c r="F1257" s="176"/>
      <c r="G1257" s="176"/>
      <c r="H1257" s="505">
        <f>SUM(Tabla132112415[[#This Row],[PRIMER TRIMESTRE]:[CUARTO TRIMESTRE]])</f>
        <v>0</v>
      </c>
      <c r="I1257" s="17">
        <v>450</v>
      </c>
      <c r="J1257" s="17">
        <f t="shared" si="32"/>
        <v>0</v>
      </c>
      <c r="K1257" s="17"/>
      <c r="L1257" s="16" t="s">
        <v>18</v>
      </c>
      <c r="M1257" s="16" t="s">
        <v>22</v>
      </c>
      <c r="N1257" s="39" t="s">
        <v>418</v>
      </c>
    </row>
    <row r="1258" spans="1:14" s="12" customFormat="1" ht="18">
      <c r="A1258" s="178" t="s">
        <v>120</v>
      </c>
      <c r="B1258" s="184" t="s">
        <v>503</v>
      </c>
      <c r="C1258" s="176" t="s">
        <v>417</v>
      </c>
      <c r="D1258" s="176"/>
      <c r="E1258" s="176"/>
      <c r="F1258" s="176"/>
      <c r="G1258" s="176"/>
      <c r="H1258" s="505">
        <f>SUM(Tabla132112415[[#This Row],[PRIMER TRIMESTRE]:[CUARTO TRIMESTRE]])</f>
        <v>0</v>
      </c>
      <c r="I1258" s="17">
        <v>450</v>
      </c>
      <c r="J1258" s="17">
        <f t="shared" si="32"/>
        <v>0</v>
      </c>
      <c r="K1258" s="17"/>
      <c r="L1258" s="16" t="s">
        <v>18</v>
      </c>
      <c r="M1258" s="16" t="s">
        <v>22</v>
      </c>
      <c r="N1258" s="39" t="s">
        <v>418</v>
      </c>
    </row>
    <row r="1259" spans="1:14" s="12" customFormat="1" ht="18">
      <c r="A1259" s="178" t="s">
        <v>120</v>
      </c>
      <c r="B1259" s="184" t="s">
        <v>504</v>
      </c>
      <c r="C1259" s="176" t="s">
        <v>417</v>
      </c>
      <c r="D1259" s="176"/>
      <c r="E1259" s="176"/>
      <c r="F1259" s="176"/>
      <c r="G1259" s="176"/>
      <c r="H1259" s="505">
        <f>SUM(Tabla132112415[[#This Row],[PRIMER TRIMESTRE]:[CUARTO TRIMESTRE]])</f>
        <v>0</v>
      </c>
      <c r="I1259" s="17">
        <v>450</v>
      </c>
      <c r="J1259" s="17">
        <f t="shared" si="32"/>
        <v>0</v>
      </c>
      <c r="K1259" s="17"/>
      <c r="L1259" s="16" t="s">
        <v>18</v>
      </c>
      <c r="M1259" s="16" t="s">
        <v>22</v>
      </c>
      <c r="N1259" s="39" t="s">
        <v>418</v>
      </c>
    </row>
    <row r="1260" spans="1:14" s="12" customFormat="1" ht="18">
      <c r="A1260" s="178" t="s">
        <v>120</v>
      </c>
      <c r="B1260" s="184" t="s">
        <v>505</v>
      </c>
      <c r="C1260" s="176" t="s">
        <v>417</v>
      </c>
      <c r="D1260" s="176"/>
      <c r="E1260" s="176"/>
      <c r="F1260" s="176"/>
      <c r="G1260" s="176"/>
      <c r="H1260" s="505">
        <f>SUM(Tabla132112415[[#This Row],[PRIMER TRIMESTRE]:[CUARTO TRIMESTRE]])</f>
        <v>0</v>
      </c>
      <c r="I1260" s="17">
        <v>450</v>
      </c>
      <c r="J1260" s="17">
        <f t="shared" si="32"/>
        <v>0</v>
      </c>
      <c r="K1260" s="17"/>
      <c r="L1260" s="16" t="s">
        <v>18</v>
      </c>
      <c r="M1260" s="16" t="s">
        <v>22</v>
      </c>
      <c r="N1260" s="39" t="s">
        <v>418</v>
      </c>
    </row>
    <row r="1261" spans="1:14" s="12" customFormat="1" ht="18">
      <c r="A1261" s="178" t="s">
        <v>120</v>
      </c>
      <c r="B1261" s="184" t="s">
        <v>506</v>
      </c>
      <c r="C1261" s="176" t="s">
        <v>417</v>
      </c>
      <c r="D1261" s="176"/>
      <c r="E1261" s="176"/>
      <c r="F1261" s="176"/>
      <c r="G1261" s="176"/>
      <c r="H1261" s="505">
        <f>SUM(Tabla132112415[[#This Row],[PRIMER TRIMESTRE]:[CUARTO TRIMESTRE]])</f>
        <v>0</v>
      </c>
      <c r="I1261" s="17">
        <v>5800</v>
      </c>
      <c r="J1261" s="17">
        <f t="shared" si="32"/>
        <v>0</v>
      </c>
      <c r="K1261" s="17"/>
      <c r="L1261" s="16" t="s">
        <v>18</v>
      </c>
      <c r="M1261" s="16" t="s">
        <v>22</v>
      </c>
      <c r="N1261" s="39" t="s">
        <v>418</v>
      </c>
    </row>
    <row r="1262" spans="1:14" s="12" customFormat="1" ht="18">
      <c r="A1262" s="178" t="s">
        <v>120</v>
      </c>
      <c r="B1262" s="184" t="s">
        <v>507</v>
      </c>
      <c r="C1262" s="176" t="s">
        <v>417</v>
      </c>
      <c r="D1262" s="176"/>
      <c r="E1262" s="176"/>
      <c r="F1262" s="176"/>
      <c r="G1262" s="176"/>
      <c r="H1262" s="505">
        <f>SUM(Tabla132112415[[#This Row],[PRIMER TRIMESTRE]:[CUARTO TRIMESTRE]])</f>
        <v>0</v>
      </c>
      <c r="I1262" s="17">
        <v>2800</v>
      </c>
      <c r="J1262" s="17">
        <f t="shared" si="32"/>
        <v>0</v>
      </c>
      <c r="K1262" s="17"/>
      <c r="L1262" s="16" t="s">
        <v>18</v>
      </c>
      <c r="M1262" s="16" t="s">
        <v>22</v>
      </c>
      <c r="N1262" s="39" t="s">
        <v>418</v>
      </c>
    </row>
    <row r="1263" spans="1:14" s="12" customFormat="1" ht="18">
      <c r="A1263" s="178" t="s">
        <v>120</v>
      </c>
      <c r="B1263" s="184" t="s">
        <v>508</v>
      </c>
      <c r="C1263" s="176" t="s">
        <v>417</v>
      </c>
      <c r="D1263" s="176"/>
      <c r="E1263" s="176"/>
      <c r="F1263" s="176"/>
      <c r="G1263" s="176"/>
      <c r="H1263" s="505">
        <f>SUM(Tabla132112415[[#This Row],[PRIMER TRIMESTRE]:[CUARTO TRIMESTRE]])</f>
        <v>0</v>
      </c>
      <c r="I1263" s="17">
        <v>5100</v>
      </c>
      <c r="J1263" s="17">
        <f t="shared" si="32"/>
        <v>0</v>
      </c>
      <c r="K1263" s="17"/>
      <c r="L1263" s="16" t="s">
        <v>18</v>
      </c>
      <c r="M1263" s="16" t="s">
        <v>22</v>
      </c>
      <c r="N1263" s="39" t="s">
        <v>418</v>
      </c>
    </row>
    <row r="1264" spans="1:14" s="12" customFormat="1" ht="18">
      <c r="A1264" s="178" t="s">
        <v>120</v>
      </c>
      <c r="B1264" s="184" t="s">
        <v>509</v>
      </c>
      <c r="C1264" s="176" t="s">
        <v>417</v>
      </c>
      <c r="D1264" s="176"/>
      <c r="E1264" s="176"/>
      <c r="F1264" s="176"/>
      <c r="G1264" s="176"/>
      <c r="H1264" s="505">
        <f>SUM(Tabla132112415[[#This Row],[PRIMER TRIMESTRE]:[CUARTO TRIMESTRE]])</f>
        <v>0</v>
      </c>
      <c r="I1264" s="17">
        <v>5100</v>
      </c>
      <c r="J1264" s="17">
        <f t="shared" si="32"/>
        <v>0</v>
      </c>
      <c r="K1264" s="17"/>
      <c r="L1264" s="16" t="s">
        <v>18</v>
      </c>
      <c r="M1264" s="16" t="s">
        <v>22</v>
      </c>
      <c r="N1264" s="39" t="s">
        <v>418</v>
      </c>
    </row>
    <row r="1265" spans="1:14" s="12" customFormat="1" ht="18">
      <c r="A1265" s="178" t="s">
        <v>120</v>
      </c>
      <c r="B1265" s="184" t="s">
        <v>510</v>
      </c>
      <c r="C1265" s="176" t="s">
        <v>417</v>
      </c>
      <c r="D1265" s="176"/>
      <c r="E1265" s="176"/>
      <c r="F1265" s="176"/>
      <c r="G1265" s="176"/>
      <c r="H1265" s="505">
        <f>SUM(Tabla132112415[[#This Row],[PRIMER TRIMESTRE]:[CUARTO TRIMESTRE]])</f>
        <v>0</v>
      </c>
      <c r="I1265" s="17">
        <v>5100</v>
      </c>
      <c r="J1265" s="17">
        <f t="shared" si="32"/>
        <v>0</v>
      </c>
      <c r="K1265" s="17"/>
      <c r="L1265" s="16" t="s">
        <v>18</v>
      </c>
      <c r="M1265" s="16" t="s">
        <v>22</v>
      </c>
      <c r="N1265" s="39" t="s">
        <v>418</v>
      </c>
    </row>
    <row r="1266" spans="1:14" s="12" customFormat="1" ht="18">
      <c r="A1266" s="178" t="s">
        <v>120</v>
      </c>
      <c r="B1266" s="184" t="s">
        <v>511</v>
      </c>
      <c r="C1266" s="176" t="s">
        <v>417</v>
      </c>
      <c r="D1266" s="176"/>
      <c r="E1266" s="176"/>
      <c r="F1266" s="176"/>
      <c r="G1266" s="176"/>
      <c r="H1266" s="505">
        <f>SUM(Tabla132112415[[#This Row],[PRIMER TRIMESTRE]:[CUARTO TRIMESTRE]])</f>
        <v>0</v>
      </c>
      <c r="I1266" s="17">
        <v>5100</v>
      </c>
      <c r="J1266" s="17">
        <f t="shared" si="32"/>
        <v>0</v>
      </c>
      <c r="K1266" s="17"/>
      <c r="L1266" s="16" t="s">
        <v>18</v>
      </c>
      <c r="M1266" s="16" t="s">
        <v>22</v>
      </c>
      <c r="N1266" s="39" t="s">
        <v>418</v>
      </c>
    </row>
    <row r="1267" spans="1:14" s="12" customFormat="1" ht="18">
      <c r="A1267" s="178" t="s">
        <v>120</v>
      </c>
      <c r="B1267" s="184" t="s">
        <v>512</v>
      </c>
      <c r="C1267" s="176" t="s">
        <v>417</v>
      </c>
      <c r="D1267" s="176">
        <v>2</v>
      </c>
      <c r="E1267" s="176"/>
      <c r="F1267" s="176">
        <v>2</v>
      </c>
      <c r="G1267" s="176"/>
      <c r="H1267" s="505">
        <f>SUM(Tabla132112415[[#This Row],[PRIMER TRIMESTRE]:[CUARTO TRIMESTRE]])</f>
        <v>4</v>
      </c>
      <c r="I1267" s="17">
        <v>2000</v>
      </c>
      <c r="J1267" s="17">
        <f t="shared" si="32"/>
        <v>8000</v>
      </c>
      <c r="K1267" s="17"/>
      <c r="L1267" s="16" t="s">
        <v>18</v>
      </c>
      <c r="M1267" s="16" t="s">
        <v>22</v>
      </c>
      <c r="N1267" s="39" t="s">
        <v>418</v>
      </c>
    </row>
    <row r="1268" spans="1:14" s="12" customFormat="1" ht="18">
      <c r="A1268" s="178" t="s">
        <v>120</v>
      </c>
      <c r="B1268" s="184" t="s">
        <v>513</v>
      </c>
      <c r="C1268" s="176" t="s">
        <v>417</v>
      </c>
      <c r="D1268" s="176">
        <v>2</v>
      </c>
      <c r="E1268" s="176"/>
      <c r="F1268" s="176">
        <v>2</v>
      </c>
      <c r="G1268" s="176"/>
      <c r="H1268" s="505">
        <f>SUM(Tabla132112415[[#This Row],[PRIMER TRIMESTRE]:[CUARTO TRIMESTRE]])</f>
        <v>4</v>
      </c>
      <c r="I1268" s="17">
        <v>2500</v>
      </c>
      <c r="J1268" s="17">
        <f t="shared" si="32"/>
        <v>10000</v>
      </c>
      <c r="K1268" s="17"/>
      <c r="L1268" s="16" t="s">
        <v>18</v>
      </c>
      <c r="M1268" s="16" t="s">
        <v>22</v>
      </c>
      <c r="N1268" s="39" t="s">
        <v>418</v>
      </c>
    </row>
    <row r="1269" spans="1:14" s="12" customFormat="1" ht="18">
      <c r="A1269" s="178" t="s">
        <v>120</v>
      </c>
      <c r="B1269" s="184" t="s">
        <v>514</v>
      </c>
      <c r="C1269" s="176" t="s">
        <v>417</v>
      </c>
      <c r="D1269" s="176">
        <v>2</v>
      </c>
      <c r="E1269" s="176"/>
      <c r="F1269" s="176">
        <v>2</v>
      </c>
      <c r="G1269" s="176"/>
      <c r="H1269" s="505">
        <f>SUM(Tabla132112415[[#This Row],[PRIMER TRIMESTRE]:[CUARTO TRIMESTRE]])</f>
        <v>4</v>
      </c>
      <c r="I1269" s="17">
        <v>2500</v>
      </c>
      <c r="J1269" s="17">
        <f t="shared" si="32"/>
        <v>10000</v>
      </c>
      <c r="K1269" s="17"/>
      <c r="L1269" s="16" t="s">
        <v>18</v>
      </c>
      <c r="M1269" s="16" t="s">
        <v>22</v>
      </c>
      <c r="N1269" s="39" t="s">
        <v>418</v>
      </c>
    </row>
    <row r="1270" spans="1:14" s="12" customFormat="1" ht="18">
      <c r="A1270" s="178" t="s">
        <v>120</v>
      </c>
      <c r="B1270" s="184" t="s">
        <v>515</v>
      </c>
      <c r="C1270" s="176" t="s">
        <v>417</v>
      </c>
      <c r="D1270" s="176">
        <v>2</v>
      </c>
      <c r="E1270" s="176"/>
      <c r="F1270" s="176">
        <v>2</v>
      </c>
      <c r="G1270" s="176"/>
      <c r="H1270" s="505">
        <f>SUM(Tabla132112415[[#This Row],[PRIMER TRIMESTRE]:[CUARTO TRIMESTRE]])</f>
        <v>4</v>
      </c>
      <c r="I1270" s="17">
        <v>2500</v>
      </c>
      <c r="J1270" s="17">
        <f t="shared" si="32"/>
        <v>10000</v>
      </c>
      <c r="K1270" s="17"/>
      <c r="L1270" s="16" t="s">
        <v>18</v>
      </c>
      <c r="M1270" s="16" t="s">
        <v>22</v>
      </c>
      <c r="N1270" s="39" t="s">
        <v>418</v>
      </c>
    </row>
    <row r="1271" spans="1:14" s="12" customFormat="1" ht="18">
      <c r="A1271" s="178" t="s">
        <v>120</v>
      </c>
      <c r="B1271" s="184" t="s">
        <v>516</v>
      </c>
      <c r="C1271" s="176" t="s">
        <v>417</v>
      </c>
      <c r="D1271" s="176"/>
      <c r="E1271" s="176"/>
      <c r="F1271" s="176"/>
      <c r="G1271" s="176"/>
      <c r="H1271" s="505">
        <f>SUM(Tabla132112415[[#This Row],[PRIMER TRIMESTRE]:[CUARTO TRIMESTRE]])</f>
        <v>0</v>
      </c>
      <c r="I1271" s="17">
        <v>2500</v>
      </c>
      <c r="J1271" s="17">
        <f t="shared" si="32"/>
        <v>0</v>
      </c>
      <c r="K1271" s="17"/>
      <c r="L1271" s="16" t="s">
        <v>18</v>
      </c>
      <c r="M1271" s="16" t="s">
        <v>22</v>
      </c>
      <c r="N1271" s="39" t="s">
        <v>418</v>
      </c>
    </row>
    <row r="1272" spans="1:14" s="12" customFormat="1" ht="18">
      <c r="A1272" s="178" t="s">
        <v>120</v>
      </c>
      <c r="B1272" s="184" t="s">
        <v>517</v>
      </c>
      <c r="C1272" s="176" t="s">
        <v>417</v>
      </c>
      <c r="D1272" s="176"/>
      <c r="E1272" s="176"/>
      <c r="F1272" s="176"/>
      <c r="G1272" s="176"/>
      <c r="H1272" s="505">
        <f>SUM(Tabla132112415[[#This Row],[PRIMER TRIMESTRE]:[CUARTO TRIMESTRE]])</f>
        <v>0</v>
      </c>
      <c r="I1272" s="17">
        <v>4100</v>
      </c>
      <c r="J1272" s="17">
        <f t="shared" si="32"/>
        <v>0</v>
      </c>
      <c r="K1272" s="17"/>
      <c r="L1272" s="16" t="s">
        <v>18</v>
      </c>
      <c r="M1272" s="16" t="s">
        <v>22</v>
      </c>
      <c r="N1272" s="39" t="s">
        <v>418</v>
      </c>
    </row>
    <row r="1273" spans="1:14" s="12" customFormat="1" ht="18">
      <c r="A1273" s="178" t="s">
        <v>120</v>
      </c>
      <c r="B1273" s="184" t="s">
        <v>518</v>
      </c>
      <c r="C1273" s="176" t="s">
        <v>417</v>
      </c>
      <c r="D1273" s="176"/>
      <c r="E1273" s="176"/>
      <c r="F1273" s="176"/>
      <c r="G1273" s="176"/>
      <c r="H1273" s="505">
        <f>SUM(Tabla132112415[[#This Row],[PRIMER TRIMESTRE]:[CUARTO TRIMESTRE]])</f>
        <v>0</v>
      </c>
      <c r="I1273" s="17">
        <v>3800</v>
      </c>
      <c r="J1273" s="17">
        <f t="shared" si="32"/>
        <v>0</v>
      </c>
      <c r="K1273" s="17"/>
      <c r="L1273" s="16" t="s">
        <v>18</v>
      </c>
      <c r="M1273" s="16" t="s">
        <v>22</v>
      </c>
      <c r="N1273" s="39" t="s">
        <v>418</v>
      </c>
    </row>
    <row r="1274" spans="1:14" s="12" customFormat="1" ht="18">
      <c r="A1274" s="178" t="s">
        <v>120</v>
      </c>
      <c r="B1274" s="184" t="s">
        <v>519</v>
      </c>
      <c r="C1274" s="176" t="s">
        <v>417</v>
      </c>
      <c r="D1274" s="176"/>
      <c r="E1274" s="176"/>
      <c r="F1274" s="176"/>
      <c r="G1274" s="176"/>
      <c r="H1274" s="505">
        <f>SUM(Tabla132112415[[#This Row],[PRIMER TRIMESTRE]:[CUARTO TRIMESTRE]])</f>
        <v>0</v>
      </c>
      <c r="I1274" s="17">
        <v>5400</v>
      </c>
      <c r="J1274" s="17">
        <f t="shared" si="32"/>
        <v>0</v>
      </c>
      <c r="K1274" s="17"/>
      <c r="L1274" s="16" t="s">
        <v>18</v>
      </c>
      <c r="M1274" s="16" t="s">
        <v>22</v>
      </c>
      <c r="N1274" s="39" t="s">
        <v>418</v>
      </c>
    </row>
    <row r="1275" spans="1:14" s="12" customFormat="1" ht="18">
      <c r="A1275" s="178" t="s">
        <v>120</v>
      </c>
      <c r="B1275" s="184" t="s">
        <v>520</v>
      </c>
      <c r="C1275" s="176" t="s">
        <v>417</v>
      </c>
      <c r="D1275" s="176"/>
      <c r="E1275" s="176"/>
      <c r="F1275" s="176"/>
      <c r="G1275" s="176"/>
      <c r="H1275" s="505">
        <f>SUM(Tabla132112415[[#This Row],[PRIMER TRIMESTRE]:[CUARTO TRIMESTRE]])</f>
        <v>0</v>
      </c>
      <c r="I1275" s="17">
        <v>5400</v>
      </c>
      <c r="J1275" s="17">
        <f t="shared" si="32"/>
        <v>0</v>
      </c>
      <c r="K1275" s="17"/>
      <c r="L1275" s="16" t="s">
        <v>18</v>
      </c>
      <c r="M1275" s="16" t="s">
        <v>22</v>
      </c>
      <c r="N1275" s="39" t="s">
        <v>418</v>
      </c>
    </row>
    <row r="1276" spans="1:14" s="12" customFormat="1" ht="18">
      <c r="A1276" s="178" t="s">
        <v>120</v>
      </c>
      <c r="B1276" s="184" t="s">
        <v>521</v>
      </c>
      <c r="C1276" s="176" t="s">
        <v>417</v>
      </c>
      <c r="D1276" s="176"/>
      <c r="E1276" s="176"/>
      <c r="F1276" s="176"/>
      <c r="G1276" s="176"/>
      <c r="H1276" s="505">
        <f>SUM(Tabla132112415[[#This Row],[PRIMER TRIMESTRE]:[CUARTO TRIMESTRE]])</f>
        <v>0</v>
      </c>
      <c r="I1276" s="17">
        <v>5400</v>
      </c>
      <c r="J1276" s="17">
        <f t="shared" si="32"/>
        <v>0</v>
      </c>
      <c r="K1276" s="17"/>
      <c r="L1276" s="16" t="s">
        <v>18</v>
      </c>
      <c r="M1276" s="16" t="s">
        <v>22</v>
      </c>
      <c r="N1276" s="39" t="s">
        <v>418</v>
      </c>
    </row>
    <row r="1277" spans="1:14" s="12" customFormat="1" ht="18">
      <c r="A1277" s="178" t="s">
        <v>120</v>
      </c>
      <c r="B1277" s="184" t="s">
        <v>522</v>
      </c>
      <c r="C1277" s="176" t="s">
        <v>417</v>
      </c>
      <c r="D1277" s="176"/>
      <c r="E1277" s="176"/>
      <c r="F1277" s="176"/>
      <c r="G1277" s="176"/>
      <c r="H1277" s="505">
        <f>SUM(Tabla132112415[[#This Row],[PRIMER TRIMESTRE]:[CUARTO TRIMESTRE]])</f>
        <v>0</v>
      </c>
      <c r="I1277" s="17">
        <v>3100</v>
      </c>
      <c r="J1277" s="17">
        <f t="shared" si="32"/>
        <v>0</v>
      </c>
      <c r="K1277" s="17"/>
      <c r="L1277" s="16" t="s">
        <v>18</v>
      </c>
      <c r="M1277" s="16" t="s">
        <v>22</v>
      </c>
      <c r="N1277" s="39" t="s">
        <v>418</v>
      </c>
    </row>
    <row r="1278" spans="1:14" s="12" customFormat="1" ht="18">
      <c r="A1278" s="178" t="s">
        <v>120</v>
      </c>
      <c r="B1278" s="184" t="s">
        <v>523</v>
      </c>
      <c r="C1278" s="176" t="s">
        <v>417</v>
      </c>
      <c r="D1278" s="176"/>
      <c r="E1278" s="176"/>
      <c r="F1278" s="176"/>
      <c r="G1278" s="176"/>
      <c r="H1278" s="505">
        <f>SUM(Tabla132112415[[#This Row],[PRIMER TRIMESTRE]:[CUARTO TRIMESTRE]])</f>
        <v>0</v>
      </c>
      <c r="I1278" s="17">
        <v>5100</v>
      </c>
      <c r="J1278" s="17">
        <f t="shared" si="32"/>
        <v>0</v>
      </c>
      <c r="K1278" s="17"/>
      <c r="L1278" s="16" t="s">
        <v>18</v>
      </c>
      <c r="M1278" s="16" t="s">
        <v>22</v>
      </c>
      <c r="N1278" s="39" t="s">
        <v>418</v>
      </c>
    </row>
    <row r="1279" spans="1:14" s="12" customFormat="1" ht="18">
      <c r="A1279" s="178" t="s">
        <v>120</v>
      </c>
      <c r="B1279" s="184" t="s">
        <v>524</v>
      </c>
      <c r="C1279" s="176" t="s">
        <v>417</v>
      </c>
      <c r="D1279" s="176"/>
      <c r="E1279" s="176"/>
      <c r="F1279" s="176"/>
      <c r="G1279" s="176"/>
      <c r="H1279" s="505">
        <f>SUM(Tabla132112415[[#This Row],[PRIMER TRIMESTRE]:[CUARTO TRIMESTRE]])</f>
        <v>0</v>
      </c>
      <c r="I1279" s="17">
        <v>3000</v>
      </c>
      <c r="J1279" s="17">
        <f t="shared" si="32"/>
        <v>0</v>
      </c>
      <c r="K1279" s="17"/>
      <c r="L1279" s="16" t="s">
        <v>18</v>
      </c>
      <c r="M1279" s="16" t="s">
        <v>22</v>
      </c>
      <c r="N1279" s="39" t="s">
        <v>418</v>
      </c>
    </row>
    <row r="1280" spans="1:14" s="12" customFormat="1" ht="18">
      <c r="A1280" s="178" t="s">
        <v>120</v>
      </c>
      <c r="B1280" s="184" t="s">
        <v>525</v>
      </c>
      <c r="C1280" s="176" t="s">
        <v>417</v>
      </c>
      <c r="D1280" s="176"/>
      <c r="E1280" s="176"/>
      <c r="F1280" s="176"/>
      <c r="G1280" s="176"/>
      <c r="H1280" s="505">
        <f>SUM(Tabla132112415[[#This Row],[PRIMER TRIMESTRE]:[CUARTO TRIMESTRE]])</f>
        <v>0</v>
      </c>
      <c r="I1280" s="17">
        <v>3800</v>
      </c>
      <c r="J1280" s="17">
        <f t="shared" si="32"/>
        <v>0</v>
      </c>
      <c r="K1280" s="17"/>
      <c r="L1280" s="16" t="s">
        <v>18</v>
      </c>
      <c r="M1280" s="16" t="s">
        <v>22</v>
      </c>
      <c r="N1280" s="39" t="s">
        <v>418</v>
      </c>
    </row>
    <row r="1281" spans="1:14" s="12" customFormat="1" ht="18">
      <c r="A1281" s="178" t="s">
        <v>120</v>
      </c>
      <c r="B1281" s="184" t="s">
        <v>526</v>
      </c>
      <c r="C1281" s="176" t="s">
        <v>417</v>
      </c>
      <c r="D1281" s="176"/>
      <c r="E1281" s="176"/>
      <c r="F1281" s="176"/>
      <c r="G1281" s="176"/>
      <c r="H1281" s="505">
        <f>SUM(Tabla132112415[[#This Row],[PRIMER TRIMESTRE]:[CUARTO TRIMESTRE]])</f>
        <v>0</v>
      </c>
      <c r="I1281" s="17">
        <v>3800</v>
      </c>
      <c r="J1281" s="17">
        <f t="shared" si="32"/>
        <v>0</v>
      </c>
      <c r="K1281" s="17"/>
      <c r="L1281" s="16" t="s">
        <v>18</v>
      </c>
      <c r="M1281" s="16" t="s">
        <v>22</v>
      </c>
      <c r="N1281" s="39" t="s">
        <v>418</v>
      </c>
    </row>
    <row r="1282" spans="1:14" s="12" customFormat="1" ht="18">
      <c r="A1282" s="178" t="s">
        <v>120</v>
      </c>
      <c r="B1282" s="184" t="s">
        <v>527</v>
      </c>
      <c r="C1282" s="176" t="s">
        <v>417</v>
      </c>
      <c r="D1282" s="176"/>
      <c r="E1282" s="176"/>
      <c r="F1282" s="176"/>
      <c r="G1282" s="176"/>
      <c r="H1282" s="505">
        <f>SUM(Tabla132112415[[#This Row],[PRIMER TRIMESTRE]:[CUARTO TRIMESTRE]])</f>
        <v>0</v>
      </c>
      <c r="I1282" s="17">
        <v>3800</v>
      </c>
      <c r="J1282" s="17">
        <f t="shared" si="32"/>
        <v>0</v>
      </c>
      <c r="K1282" s="17"/>
      <c r="L1282" s="16" t="s">
        <v>18</v>
      </c>
      <c r="M1282" s="16" t="s">
        <v>22</v>
      </c>
      <c r="N1282" s="39" t="s">
        <v>418</v>
      </c>
    </row>
    <row r="1283" spans="1:14" s="12" customFormat="1" ht="18">
      <c r="A1283" s="178" t="s">
        <v>120</v>
      </c>
      <c r="B1283" s="184" t="s">
        <v>528</v>
      </c>
      <c r="C1283" s="176" t="s">
        <v>417</v>
      </c>
      <c r="D1283" s="176"/>
      <c r="E1283" s="176"/>
      <c r="F1283" s="176"/>
      <c r="G1283" s="176"/>
      <c r="H1283" s="505">
        <f>SUM(Tabla132112415[[#This Row],[PRIMER TRIMESTRE]:[CUARTO TRIMESTRE]])</f>
        <v>0</v>
      </c>
      <c r="I1283" s="17">
        <v>6400</v>
      </c>
      <c r="J1283" s="17">
        <f t="shared" si="32"/>
        <v>0</v>
      </c>
      <c r="K1283" s="17"/>
      <c r="L1283" s="16" t="s">
        <v>18</v>
      </c>
      <c r="M1283" s="16" t="s">
        <v>22</v>
      </c>
      <c r="N1283" s="39" t="s">
        <v>418</v>
      </c>
    </row>
    <row r="1284" spans="1:14" s="12" customFormat="1" ht="18">
      <c r="A1284" s="178" t="s">
        <v>120</v>
      </c>
      <c r="B1284" s="185" t="s">
        <v>529</v>
      </c>
      <c r="C1284" s="176" t="s">
        <v>417</v>
      </c>
      <c r="D1284" s="176"/>
      <c r="E1284" s="177"/>
      <c r="F1284" s="177"/>
      <c r="G1284" s="177"/>
      <c r="H1284" s="506">
        <f>SUM(Tabla132112415[[#This Row],[PRIMER TRIMESTRE]:[CUARTO TRIMESTRE]])</f>
        <v>0</v>
      </c>
      <c r="I1284" s="17">
        <f>9750*1.18</f>
        <v>11505</v>
      </c>
      <c r="J1284" s="17">
        <f t="shared" si="32"/>
        <v>0</v>
      </c>
      <c r="K1284" s="17"/>
      <c r="L1284" s="16" t="s">
        <v>18</v>
      </c>
      <c r="M1284" s="16" t="s">
        <v>22</v>
      </c>
      <c r="N1284" s="39" t="s">
        <v>418</v>
      </c>
    </row>
    <row r="1285" spans="1:14" s="12" customFormat="1" ht="18">
      <c r="A1285" s="178" t="s">
        <v>120</v>
      </c>
      <c r="B1285" s="185" t="s">
        <v>530</v>
      </c>
      <c r="C1285" s="176" t="s">
        <v>417</v>
      </c>
      <c r="D1285" s="176"/>
      <c r="E1285" s="177"/>
      <c r="F1285" s="177"/>
      <c r="G1285" s="177"/>
      <c r="H1285" s="505">
        <f>SUM(Tabla132112415[[#This Row],[PRIMER TRIMESTRE]:[CUARTO TRIMESTRE]])</f>
        <v>0</v>
      </c>
      <c r="I1285" s="17">
        <v>11505</v>
      </c>
      <c r="J1285" s="17">
        <f t="shared" si="32"/>
        <v>0</v>
      </c>
      <c r="K1285" s="17"/>
      <c r="L1285" s="16" t="s">
        <v>18</v>
      </c>
      <c r="M1285" s="16" t="s">
        <v>22</v>
      </c>
      <c r="N1285" s="39" t="s">
        <v>418</v>
      </c>
    </row>
    <row r="1286" spans="1:14" s="12" customFormat="1" ht="18">
      <c r="A1286" s="178" t="s">
        <v>120</v>
      </c>
      <c r="B1286" s="185" t="s">
        <v>531</v>
      </c>
      <c r="C1286" s="176" t="s">
        <v>417</v>
      </c>
      <c r="D1286" s="176"/>
      <c r="E1286" s="177"/>
      <c r="F1286" s="177"/>
      <c r="G1286" s="177"/>
      <c r="H1286" s="505">
        <f>SUM(Tabla132112415[[#This Row],[PRIMER TRIMESTRE]:[CUARTO TRIMESTRE]])</f>
        <v>0</v>
      </c>
      <c r="I1286" s="17">
        <v>11505</v>
      </c>
      <c r="J1286" s="17">
        <f t="shared" ref="J1286:J1302" si="33">+H1286*I1286</f>
        <v>0</v>
      </c>
      <c r="K1286" s="17"/>
      <c r="L1286" s="16" t="s">
        <v>18</v>
      </c>
      <c r="M1286" s="16" t="s">
        <v>22</v>
      </c>
      <c r="N1286" s="39" t="s">
        <v>418</v>
      </c>
    </row>
    <row r="1287" spans="1:14" s="12" customFormat="1" ht="18">
      <c r="A1287" s="178" t="s">
        <v>120</v>
      </c>
      <c r="B1287" s="185" t="s">
        <v>532</v>
      </c>
      <c r="C1287" s="176" t="s">
        <v>417</v>
      </c>
      <c r="D1287" s="176"/>
      <c r="E1287" s="177"/>
      <c r="F1287" s="177"/>
      <c r="G1287" s="177"/>
      <c r="H1287" s="505">
        <f>SUM(Tabla132112415[[#This Row],[PRIMER TRIMESTRE]:[CUARTO TRIMESTRE]])</f>
        <v>0</v>
      </c>
      <c r="I1287" s="17">
        <v>11505</v>
      </c>
      <c r="J1287" s="17">
        <f t="shared" si="33"/>
        <v>0</v>
      </c>
      <c r="K1287" s="17"/>
      <c r="L1287" s="16" t="s">
        <v>18</v>
      </c>
      <c r="M1287" s="16" t="s">
        <v>22</v>
      </c>
      <c r="N1287" s="39" t="s">
        <v>418</v>
      </c>
    </row>
    <row r="1288" spans="1:14" s="12" customFormat="1" ht="18">
      <c r="A1288" s="178" t="s">
        <v>120</v>
      </c>
      <c r="B1288" s="185" t="s">
        <v>2549</v>
      </c>
      <c r="C1288" s="176" t="s">
        <v>417</v>
      </c>
      <c r="D1288" s="176">
        <v>5</v>
      </c>
      <c r="E1288" s="177"/>
      <c r="F1288" s="177">
        <v>5</v>
      </c>
      <c r="G1288" s="177"/>
      <c r="H1288" s="505">
        <f>SUM(Tabla132112415[[#This Row],[PRIMER TRIMESTRE]:[CUARTO TRIMESTRE]])</f>
        <v>10</v>
      </c>
      <c r="I1288" s="17"/>
      <c r="J1288" s="17"/>
      <c r="K1288" s="17"/>
      <c r="L1288" s="16"/>
      <c r="M1288" s="16"/>
      <c r="N1288" s="39"/>
    </row>
    <row r="1289" spans="1:14" s="12" customFormat="1" ht="18">
      <c r="A1289" s="178" t="s">
        <v>120</v>
      </c>
      <c r="B1289" s="185" t="s">
        <v>2550</v>
      </c>
      <c r="C1289" s="176" t="s">
        <v>417</v>
      </c>
      <c r="D1289" s="176">
        <v>5</v>
      </c>
      <c r="E1289" s="177"/>
      <c r="F1289" s="177">
        <v>5</v>
      </c>
      <c r="G1289" s="177"/>
      <c r="H1289" s="505">
        <f>SUM(Tabla132112415[[#This Row],[PRIMER TRIMESTRE]:[CUARTO TRIMESTRE]])</f>
        <v>10</v>
      </c>
      <c r="I1289" s="17"/>
      <c r="J1289" s="17"/>
      <c r="K1289" s="17"/>
      <c r="L1289" s="16"/>
      <c r="M1289" s="16"/>
      <c r="N1289" s="39"/>
    </row>
    <row r="1290" spans="1:14" s="12" customFormat="1" ht="18">
      <c r="A1290" s="178" t="s">
        <v>120</v>
      </c>
      <c r="B1290" s="185" t="s">
        <v>2551</v>
      </c>
      <c r="C1290" s="176" t="s">
        <v>417</v>
      </c>
      <c r="D1290" s="176">
        <v>5</v>
      </c>
      <c r="E1290" s="177"/>
      <c r="F1290" s="177">
        <v>5</v>
      </c>
      <c r="G1290" s="177"/>
      <c r="H1290" s="505">
        <f>SUM(Tabla132112415[[#This Row],[PRIMER TRIMESTRE]:[CUARTO TRIMESTRE]])</f>
        <v>10</v>
      </c>
      <c r="I1290" s="17"/>
      <c r="J1290" s="17"/>
      <c r="K1290" s="17"/>
      <c r="L1290" s="16"/>
      <c r="M1290" s="16"/>
      <c r="N1290" s="39"/>
    </row>
    <row r="1291" spans="1:14" s="12" customFormat="1" ht="18">
      <c r="A1291" s="178" t="s">
        <v>120</v>
      </c>
      <c r="B1291" s="80" t="s">
        <v>790</v>
      </c>
      <c r="C1291" s="176" t="s">
        <v>417</v>
      </c>
      <c r="D1291" s="176"/>
      <c r="E1291" s="177">
        <v>4</v>
      </c>
      <c r="F1291" s="177"/>
      <c r="G1291" s="177">
        <v>3</v>
      </c>
      <c r="H1291" s="505">
        <f>SUM(Tabla132112415[[#This Row],[PRIMER TRIMESTRE]:[CUARTO TRIMESTRE]])</f>
        <v>7</v>
      </c>
      <c r="I1291" s="72">
        <v>3760.11</v>
      </c>
      <c r="J1291" s="17">
        <f t="shared" si="33"/>
        <v>26320.77</v>
      </c>
      <c r="K1291" s="17"/>
      <c r="L1291" s="16" t="s">
        <v>18</v>
      </c>
      <c r="M1291" s="16" t="s">
        <v>22</v>
      </c>
      <c r="N1291" s="39" t="s">
        <v>418</v>
      </c>
    </row>
    <row r="1292" spans="1:14" s="12" customFormat="1" ht="30.75" customHeight="1">
      <c r="A1292" s="178" t="s">
        <v>120</v>
      </c>
      <c r="B1292" s="80" t="s">
        <v>791</v>
      </c>
      <c r="C1292" s="176" t="s">
        <v>417</v>
      </c>
      <c r="D1292" s="176"/>
      <c r="E1292" s="177"/>
      <c r="F1292" s="177"/>
      <c r="G1292" s="177"/>
      <c r="H1292" s="505">
        <f>SUM(Tabla132112415[[#This Row],[PRIMER TRIMESTRE]:[CUARTO TRIMESTRE]])</f>
        <v>0</v>
      </c>
      <c r="I1292" s="72">
        <v>3914.09</v>
      </c>
      <c r="J1292" s="17">
        <f t="shared" si="33"/>
        <v>0</v>
      </c>
      <c r="K1292" s="17"/>
      <c r="L1292" s="16" t="s">
        <v>18</v>
      </c>
      <c r="M1292" s="16" t="s">
        <v>22</v>
      </c>
      <c r="N1292" s="39" t="s">
        <v>418</v>
      </c>
    </row>
    <row r="1293" spans="1:14" s="12" customFormat="1" ht="30.75" customHeight="1">
      <c r="A1293" s="178" t="s">
        <v>120</v>
      </c>
      <c r="B1293" s="80" t="s">
        <v>792</v>
      </c>
      <c r="C1293" s="176" t="s">
        <v>417</v>
      </c>
      <c r="D1293" s="176"/>
      <c r="E1293" s="177"/>
      <c r="F1293" s="177"/>
      <c r="G1293" s="177"/>
      <c r="H1293" s="505">
        <f>SUM(Tabla132112415[[#This Row],[PRIMER TRIMESTRE]:[CUARTO TRIMESTRE]])</f>
        <v>0</v>
      </c>
      <c r="I1293" s="72">
        <v>4257.1899999999996</v>
      </c>
      <c r="J1293" s="17">
        <f t="shared" si="33"/>
        <v>0</v>
      </c>
      <c r="K1293" s="17"/>
      <c r="L1293" s="16" t="s">
        <v>18</v>
      </c>
      <c r="M1293" s="16" t="s">
        <v>22</v>
      </c>
      <c r="N1293" s="39" t="s">
        <v>418</v>
      </c>
    </row>
    <row r="1294" spans="1:14" s="12" customFormat="1" ht="30.75" customHeight="1">
      <c r="A1294" s="178" t="s">
        <v>120</v>
      </c>
      <c r="B1294" s="80" t="s">
        <v>793</v>
      </c>
      <c r="C1294" s="176" t="s">
        <v>417</v>
      </c>
      <c r="D1294" s="176"/>
      <c r="E1294" s="177"/>
      <c r="F1294" s="177"/>
      <c r="G1294" s="177"/>
      <c r="H1294" s="505">
        <f>SUM(Tabla132112415[[#This Row],[PRIMER TRIMESTRE]:[CUARTO TRIMESTRE]])</f>
        <v>0</v>
      </c>
      <c r="I1294" s="72">
        <v>4257.1899999999996</v>
      </c>
      <c r="J1294" s="17">
        <f t="shared" si="33"/>
        <v>0</v>
      </c>
      <c r="K1294" s="17"/>
      <c r="L1294" s="16" t="s">
        <v>18</v>
      </c>
      <c r="M1294" s="16" t="s">
        <v>22</v>
      </c>
      <c r="N1294" s="39" t="s">
        <v>418</v>
      </c>
    </row>
    <row r="1295" spans="1:14" s="12" customFormat="1" ht="30.75" customHeight="1">
      <c r="A1295" s="178" t="s">
        <v>120</v>
      </c>
      <c r="B1295" s="80" t="s">
        <v>794</v>
      </c>
      <c r="C1295" s="176" t="s">
        <v>417</v>
      </c>
      <c r="D1295" s="176"/>
      <c r="E1295" s="177"/>
      <c r="F1295" s="177"/>
      <c r="G1295" s="177"/>
      <c r="H1295" s="505">
        <f>SUM(Tabla132112415[[#This Row],[PRIMER TRIMESTRE]:[CUARTO TRIMESTRE]])</f>
        <v>0</v>
      </c>
      <c r="I1295" s="72">
        <v>4257.8999999999996</v>
      </c>
      <c r="J1295" s="17">
        <f t="shared" si="33"/>
        <v>0</v>
      </c>
      <c r="K1295" s="17"/>
      <c r="L1295" s="16" t="s">
        <v>18</v>
      </c>
      <c r="M1295" s="16" t="s">
        <v>22</v>
      </c>
      <c r="N1295" s="39" t="s">
        <v>418</v>
      </c>
    </row>
    <row r="1296" spans="1:14" s="12" customFormat="1" ht="30.75" customHeight="1">
      <c r="A1296" s="178" t="s">
        <v>120</v>
      </c>
      <c r="B1296" s="80" t="s">
        <v>795</v>
      </c>
      <c r="C1296" s="176" t="s">
        <v>417</v>
      </c>
      <c r="D1296" s="176"/>
      <c r="E1296" s="177"/>
      <c r="F1296" s="177"/>
      <c r="G1296" s="177"/>
      <c r="H1296" s="505">
        <f>SUM(Tabla132112415[[#This Row],[PRIMER TRIMESTRE]:[CUARTO TRIMESTRE]])</f>
        <v>0</v>
      </c>
      <c r="I1296" s="72">
        <v>4238.76</v>
      </c>
      <c r="J1296" s="17">
        <f t="shared" si="33"/>
        <v>0</v>
      </c>
      <c r="K1296" s="17"/>
      <c r="L1296" s="16" t="s">
        <v>18</v>
      </c>
      <c r="M1296" s="16" t="s">
        <v>22</v>
      </c>
      <c r="N1296" s="39" t="s">
        <v>418</v>
      </c>
    </row>
    <row r="1297" spans="1:14" s="12" customFormat="1" ht="30.75" customHeight="1">
      <c r="A1297" s="178" t="s">
        <v>120</v>
      </c>
      <c r="B1297" s="80" t="s">
        <v>796</v>
      </c>
      <c r="C1297" s="176" t="s">
        <v>417</v>
      </c>
      <c r="D1297" s="176"/>
      <c r="E1297" s="177"/>
      <c r="F1297" s="177"/>
      <c r="G1297" s="177"/>
      <c r="H1297" s="505">
        <f>SUM(Tabla132112415[[#This Row],[PRIMER TRIMESTRE]:[CUARTO TRIMESTRE]])</f>
        <v>0</v>
      </c>
      <c r="I1297" s="72">
        <v>3199.82</v>
      </c>
      <c r="J1297" s="17">
        <f t="shared" si="33"/>
        <v>0</v>
      </c>
      <c r="K1297" s="17"/>
      <c r="L1297" s="16" t="s">
        <v>18</v>
      </c>
      <c r="M1297" s="16" t="s">
        <v>22</v>
      </c>
      <c r="N1297" s="39" t="s">
        <v>418</v>
      </c>
    </row>
    <row r="1298" spans="1:14" s="12" customFormat="1" ht="30.75" customHeight="1">
      <c r="A1298" s="178" t="s">
        <v>120</v>
      </c>
      <c r="B1298" s="80" t="s">
        <v>797</v>
      </c>
      <c r="C1298" s="176" t="s">
        <v>417</v>
      </c>
      <c r="D1298" s="176"/>
      <c r="E1298" s="177"/>
      <c r="F1298" s="177"/>
      <c r="G1298" s="177"/>
      <c r="H1298" s="505">
        <f>SUM(Tabla132112415[[#This Row],[PRIMER TRIMESTRE]:[CUARTO TRIMESTRE]])</f>
        <v>0</v>
      </c>
      <c r="I1298" s="72">
        <v>3679.8</v>
      </c>
      <c r="J1298" s="17">
        <f t="shared" si="33"/>
        <v>0</v>
      </c>
      <c r="K1298" s="17"/>
      <c r="L1298" s="16" t="s">
        <v>18</v>
      </c>
      <c r="M1298" s="16" t="s">
        <v>22</v>
      </c>
      <c r="N1298" s="39" t="s">
        <v>418</v>
      </c>
    </row>
    <row r="1299" spans="1:14" s="12" customFormat="1" ht="30.75" customHeight="1">
      <c r="A1299" s="178" t="s">
        <v>120</v>
      </c>
      <c r="B1299" s="80" t="s">
        <v>798</v>
      </c>
      <c r="C1299" s="176" t="s">
        <v>417</v>
      </c>
      <c r="D1299" s="176"/>
      <c r="E1299" s="177"/>
      <c r="F1299" s="177"/>
      <c r="G1299" s="177"/>
      <c r="H1299" s="505">
        <f>SUM(Tabla132112415[[#This Row],[PRIMER TRIMESTRE]:[CUARTO TRIMESTRE]])</f>
        <v>0</v>
      </c>
      <c r="I1299" s="72">
        <v>3304</v>
      </c>
      <c r="J1299" s="17">
        <f t="shared" si="33"/>
        <v>0</v>
      </c>
      <c r="K1299" s="17"/>
      <c r="L1299" s="16" t="s">
        <v>18</v>
      </c>
      <c r="M1299" s="16" t="s">
        <v>22</v>
      </c>
      <c r="N1299" s="39" t="s">
        <v>418</v>
      </c>
    </row>
    <row r="1300" spans="1:14" s="12" customFormat="1" ht="30.75" customHeight="1">
      <c r="A1300" s="178" t="s">
        <v>120</v>
      </c>
      <c r="B1300" s="80" t="s">
        <v>1409</v>
      </c>
      <c r="C1300" s="176" t="s">
        <v>417</v>
      </c>
      <c r="D1300" s="176"/>
      <c r="E1300" s="177"/>
      <c r="F1300" s="177"/>
      <c r="G1300" s="177"/>
      <c r="H1300" s="505">
        <f>SUM(Tabla132112415[[#This Row],[PRIMER TRIMESTRE]:[CUARTO TRIMESTRE]])</f>
        <v>0</v>
      </c>
      <c r="I1300" s="72">
        <v>5700</v>
      </c>
      <c r="J1300" s="17">
        <f t="shared" si="33"/>
        <v>0</v>
      </c>
      <c r="K1300" s="17"/>
      <c r="L1300" s="16" t="s">
        <v>18</v>
      </c>
      <c r="M1300" s="16" t="s">
        <v>22</v>
      </c>
      <c r="N1300" s="39" t="s">
        <v>418</v>
      </c>
    </row>
    <row r="1301" spans="1:14" s="26" customFormat="1" ht="30.75" customHeight="1">
      <c r="A1301" s="178" t="s">
        <v>120</v>
      </c>
      <c r="B1301" s="80" t="s">
        <v>2552</v>
      </c>
      <c r="C1301" s="176" t="s">
        <v>417</v>
      </c>
      <c r="D1301" s="176">
        <v>3</v>
      </c>
      <c r="E1301" s="177"/>
      <c r="F1301" s="177">
        <v>3</v>
      </c>
      <c r="G1301" s="177"/>
      <c r="H1301" s="505">
        <f>SUM(Tabla132112415[[#This Row],[PRIMER TRIMESTRE]:[CUARTO TRIMESTRE]])</f>
        <v>6</v>
      </c>
      <c r="I1301" s="72">
        <v>8500</v>
      </c>
      <c r="J1301" s="17">
        <f t="shared" si="33"/>
        <v>51000</v>
      </c>
      <c r="K1301" s="17"/>
      <c r="L1301" s="16" t="s">
        <v>18</v>
      </c>
      <c r="M1301" s="16" t="s">
        <v>22</v>
      </c>
      <c r="N1301" s="39" t="s">
        <v>418</v>
      </c>
    </row>
    <row r="1302" spans="1:14" s="12" customFormat="1" ht="30.75" customHeight="1">
      <c r="A1302" s="178" t="s">
        <v>120</v>
      </c>
      <c r="B1302" s="80" t="s">
        <v>1421</v>
      </c>
      <c r="C1302" s="176" t="s">
        <v>417</v>
      </c>
      <c r="D1302" s="176"/>
      <c r="E1302" s="177"/>
      <c r="F1302" s="177"/>
      <c r="G1302" s="177"/>
      <c r="H1302" s="505">
        <f>SUM(Tabla132112415[[#This Row],[PRIMER TRIMESTRE]:[CUARTO TRIMESTRE]])</f>
        <v>0</v>
      </c>
      <c r="I1302" s="72">
        <v>3500</v>
      </c>
      <c r="J1302" s="17">
        <f t="shared" si="33"/>
        <v>0</v>
      </c>
      <c r="K1302" s="17"/>
      <c r="L1302" s="16" t="s">
        <v>18</v>
      </c>
      <c r="M1302" s="16" t="s">
        <v>22</v>
      </c>
      <c r="N1302" s="39" t="s">
        <v>418</v>
      </c>
    </row>
    <row r="1303" spans="1:14" s="12" customFormat="1" ht="30.75" customHeight="1">
      <c r="A1303" s="179" t="s">
        <v>120</v>
      </c>
      <c r="B1303" s="76"/>
      <c r="C1303" s="492"/>
      <c r="D1303" s="492"/>
      <c r="E1303" s="492"/>
      <c r="F1303" s="492"/>
      <c r="G1303" s="492"/>
      <c r="H1303" s="492"/>
      <c r="I1303" s="24"/>
      <c r="J1303" s="24"/>
      <c r="K1303" s="25">
        <f>SUM(J1154:J1302)</f>
        <v>1875035.0785851318</v>
      </c>
      <c r="L1303" s="23"/>
      <c r="M1303" s="23"/>
      <c r="N1303" s="42"/>
    </row>
    <row r="1304" spans="1:14" s="12" customFormat="1" ht="30.75" customHeight="1">
      <c r="A1304" s="178" t="s">
        <v>121</v>
      </c>
      <c r="B1304" s="75" t="s">
        <v>273</v>
      </c>
      <c r="C1304" s="176" t="s">
        <v>17</v>
      </c>
      <c r="D1304" s="176"/>
      <c r="E1304" s="177"/>
      <c r="F1304" s="177"/>
      <c r="G1304" s="177"/>
      <c r="H1304" s="499">
        <f>SUM(Tabla132112415[[#This Row],[PRIMER TRIMESTRE]:[CUARTO TRIMESTRE]])</f>
        <v>0</v>
      </c>
      <c r="I1304" s="17">
        <v>5684</v>
      </c>
      <c r="J1304" s="17">
        <f>+Tabla132112415[[#This Row],[CANTIDAD TOTAL]]*Tabla132112415[[#This Row],[PRECIO UNITARIO ESTIMADO]]</f>
        <v>0</v>
      </c>
      <c r="K1304" s="17"/>
      <c r="L1304" s="16" t="s">
        <v>18</v>
      </c>
      <c r="M1304" s="16" t="s">
        <v>22</v>
      </c>
      <c r="N1304" s="39" t="s">
        <v>418</v>
      </c>
    </row>
    <row r="1305" spans="1:14" s="12" customFormat="1" ht="30.75" customHeight="1">
      <c r="A1305" s="178" t="s">
        <v>121</v>
      </c>
      <c r="B1305" s="75" t="s">
        <v>1757</v>
      </c>
      <c r="C1305" s="176" t="s">
        <v>17</v>
      </c>
      <c r="D1305" s="176">
        <v>1</v>
      </c>
      <c r="E1305" s="177"/>
      <c r="F1305" s="177"/>
      <c r="G1305" s="177"/>
      <c r="H1305" s="499">
        <f>Tabla132112415[[#This Row],[CUARTO TRIMESTRE]]+Tabla132112415[[#This Row],[TERCER TRIMESTRE]]+Tabla132112415[[#This Row],[SEGUNDO TRIMESTRE]]+Tabla132112415[[#This Row],[PRIMER TRIMESTRE]]</f>
        <v>1</v>
      </c>
      <c r="I1305" s="17">
        <v>0</v>
      </c>
      <c r="J1305" s="17">
        <v>0</v>
      </c>
      <c r="K1305" s="17"/>
      <c r="L1305" s="16"/>
      <c r="M1305" s="16"/>
      <c r="N1305" s="39"/>
    </row>
    <row r="1306" spans="1:14" s="12" customFormat="1" ht="30.75" customHeight="1">
      <c r="A1306" s="178" t="s">
        <v>121</v>
      </c>
      <c r="B1306" s="75" t="s">
        <v>1282</v>
      </c>
      <c r="C1306" s="176" t="s">
        <v>17</v>
      </c>
      <c r="D1306" s="176"/>
      <c r="E1306" s="177"/>
      <c r="F1306" s="177"/>
      <c r="G1306" s="177"/>
      <c r="H1306" s="468">
        <f>SUM(Tabla132112415[[#This Row],[PRIMER TRIMESTRE]:[CUARTO TRIMESTRE]])</f>
        <v>0</v>
      </c>
      <c r="I1306" s="17">
        <v>25000</v>
      </c>
      <c r="J1306" s="17">
        <f>+H1306*I1306</f>
        <v>0</v>
      </c>
      <c r="K1306" s="17"/>
      <c r="L1306" s="16" t="s">
        <v>18</v>
      </c>
      <c r="M1306" s="16" t="s">
        <v>22</v>
      </c>
      <c r="N1306" s="39" t="s">
        <v>418</v>
      </c>
    </row>
    <row r="1307" spans="1:14" s="26" customFormat="1" ht="30.75" customHeight="1">
      <c r="A1307" s="178" t="s">
        <v>121</v>
      </c>
      <c r="B1307" s="75" t="s">
        <v>1283</v>
      </c>
      <c r="C1307" s="176" t="s">
        <v>17</v>
      </c>
      <c r="D1307" s="176"/>
      <c r="E1307" s="177"/>
      <c r="F1307" s="177"/>
      <c r="G1307" s="177"/>
      <c r="H1307" s="468">
        <f>SUM(Tabla132112415[[#This Row],[PRIMER TRIMESTRE]:[CUARTO TRIMESTRE]])</f>
        <v>0</v>
      </c>
      <c r="I1307" s="17">
        <f>16685940/4</f>
        <v>4171485</v>
      </c>
      <c r="J1307" s="17">
        <f>+H1307*I1307</f>
        <v>0</v>
      </c>
      <c r="K1307" s="17"/>
      <c r="L1307" s="16" t="s">
        <v>18</v>
      </c>
      <c r="M1307" s="16" t="s">
        <v>22</v>
      </c>
      <c r="N1307" s="39" t="s">
        <v>418</v>
      </c>
    </row>
    <row r="1308" spans="1:14" s="26" customFormat="1" ht="30.75" customHeight="1">
      <c r="A1308" s="178" t="s">
        <v>121</v>
      </c>
      <c r="B1308" s="75" t="s">
        <v>2553</v>
      </c>
      <c r="C1308" s="176" t="s">
        <v>17</v>
      </c>
      <c r="D1308" s="176">
        <v>7</v>
      </c>
      <c r="E1308" s="177"/>
      <c r="F1308" s="177"/>
      <c r="G1308" s="177"/>
      <c r="H1308" s="468">
        <f>SUM(Tabla132112415[[#This Row],[PRIMER TRIMESTRE]:[CUARTO TRIMESTRE]])</f>
        <v>7</v>
      </c>
      <c r="I1308" s="17">
        <v>150</v>
      </c>
      <c r="J1308" s="17">
        <f>+H1308*I1308</f>
        <v>1050</v>
      </c>
      <c r="K1308" s="17"/>
      <c r="L1308" s="16"/>
      <c r="M1308" s="16"/>
      <c r="N1308" s="39"/>
    </row>
    <row r="1309" spans="1:14" s="12" customFormat="1" ht="30.75" customHeight="1">
      <c r="A1309" s="178" t="s">
        <v>121</v>
      </c>
      <c r="B1309" s="75" t="s">
        <v>1284</v>
      </c>
      <c r="C1309" s="176" t="s">
        <v>17</v>
      </c>
      <c r="D1309" s="176"/>
      <c r="E1309" s="177"/>
      <c r="F1309" s="177"/>
      <c r="G1309" s="177"/>
      <c r="H1309" s="468">
        <f>SUM(Tabla132112415[[#This Row],[PRIMER TRIMESTRE]:[CUARTO TRIMESTRE]])</f>
        <v>0</v>
      </c>
      <c r="I1309" s="17">
        <v>3500</v>
      </c>
      <c r="J1309" s="17">
        <f>+H1309*I1309</f>
        <v>0</v>
      </c>
      <c r="K1309" s="17"/>
      <c r="L1309" s="16" t="s">
        <v>18</v>
      </c>
      <c r="M1309" s="16" t="s">
        <v>22</v>
      </c>
      <c r="N1309" s="39" t="s">
        <v>418</v>
      </c>
    </row>
    <row r="1310" spans="1:14" s="12" customFormat="1" ht="30.75" customHeight="1">
      <c r="A1310" s="179" t="s">
        <v>121</v>
      </c>
      <c r="B1310" s="76"/>
      <c r="C1310" s="492"/>
      <c r="D1310" s="492"/>
      <c r="E1310" s="492"/>
      <c r="F1310" s="492"/>
      <c r="G1310" s="492"/>
      <c r="H1310" s="496"/>
      <c r="I1310" s="24"/>
      <c r="J1310" s="24"/>
      <c r="K1310" s="25">
        <f>SUM(J1304:J1309)</f>
        <v>1050</v>
      </c>
      <c r="L1310" s="23"/>
      <c r="M1310" s="23"/>
      <c r="N1310" s="42"/>
    </row>
    <row r="1311" spans="1:14" s="12" customFormat="1" ht="30.75" customHeight="1">
      <c r="A1311" s="180" t="s">
        <v>122</v>
      </c>
      <c r="B1311" s="77" t="s">
        <v>274</v>
      </c>
      <c r="C1311" s="177" t="s">
        <v>17</v>
      </c>
      <c r="D1311" s="177">
        <v>13</v>
      </c>
      <c r="E1311" s="177"/>
      <c r="F1311" s="177">
        <v>12</v>
      </c>
      <c r="G1311" s="177"/>
      <c r="H1311" s="468">
        <f>SUM(Tabla132112415[[#This Row],[PRIMER TRIMESTRE]:[CUARTO TRIMESTRE]])</f>
        <v>25</v>
      </c>
      <c r="I1311" s="17">
        <v>133.47</v>
      </c>
      <c r="J1311" s="17">
        <f>+Tabla132112415[[#This Row],[CANTIDAD TOTAL]]*Tabla132112415[[#This Row],[PRECIO UNITARIO ESTIMADO]]</f>
        <v>3336.75</v>
      </c>
      <c r="K1311" s="17"/>
      <c r="L1311" s="16" t="s">
        <v>27</v>
      </c>
      <c r="M1311" s="16" t="s">
        <v>22</v>
      </c>
      <c r="N1311" s="39" t="s">
        <v>418</v>
      </c>
    </row>
    <row r="1312" spans="1:14" s="12" customFormat="1" ht="30.75" customHeight="1">
      <c r="A1312" s="180" t="s">
        <v>122</v>
      </c>
      <c r="B1312" s="77" t="s">
        <v>275</v>
      </c>
      <c r="C1312" s="177" t="s">
        <v>17</v>
      </c>
      <c r="D1312" s="177">
        <v>50</v>
      </c>
      <c r="E1312" s="177"/>
      <c r="F1312" s="177"/>
      <c r="G1312" s="177"/>
      <c r="H1312" s="468">
        <f>SUM(Tabla132112415[[#This Row],[PRIMER TRIMESTRE]:[CUARTO TRIMESTRE]])</f>
        <v>50</v>
      </c>
      <c r="I1312" s="17">
        <v>115.24</v>
      </c>
      <c r="J1312" s="17">
        <f>+Tabla132112415[[#This Row],[CANTIDAD TOTAL]]*Tabla132112415[[#This Row],[PRECIO UNITARIO ESTIMADO]]</f>
        <v>5762</v>
      </c>
      <c r="K1312" s="17"/>
      <c r="L1312" s="16" t="s">
        <v>27</v>
      </c>
      <c r="M1312" s="16" t="s">
        <v>22</v>
      </c>
      <c r="N1312" s="39" t="s">
        <v>418</v>
      </c>
    </row>
    <row r="1313" spans="1:14" s="12" customFormat="1" ht="30.75" customHeight="1">
      <c r="A1313" s="180" t="s">
        <v>122</v>
      </c>
      <c r="B1313" s="77" t="s">
        <v>125</v>
      </c>
      <c r="C1313" s="177" t="s">
        <v>17</v>
      </c>
      <c r="D1313" s="177">
        <v>36</v>
      </c>
      <c r="E1313" s="177"/>
      <c r="F1313" s="177"/>
      <c r="G1313" s="177"/>
      <c r="H1313" s="468">
        <f>SUM(Tabla132112415[[#This Row],[PRIMER TRIMESTRE]:[CUARTO TRIMESTRE]])</f>
        <v>36</v>
      </c>
      <c r="I1313" s="17">
        <v>1624</v>
      </c>
      <c r="J1313" s="17">
        <f>+Tabla132112415[[#This Row],[CANTIDAD TOTAL]]*Tabla132112415[[#This Row],[PRECIO UNITARIO ESTIMADO]]</f>
        <v>58464</v>
      </c>
      <c r="K1313" s="17"/>
      <c r="L1313" s="16" t="s">
        <v>27</v>
      </c>
      <c r="M1313" s="16" t="s">
        <v>22</v>
      </c>
      <c r="N1313" s="39" t="s">
        <v>418</v>
      </c>
    </row>
    <row r="1314" spans="1:14" s="12" customFormat="1" ht="30.75" customHeight="1">
      <c r="A1314" s="180" t="s">
        <v>1588</v>
      </c>
      <c r="B1314" s="77" t="s">
        <v>1587</v>
      </c>
      <c r="C1314" s="177" t="s">
        <v>17</v>
      </c>
      <c r="D1314" s="177"/>
      <c r="E1314" s="177"/>
      <c r="F1314" s="177"/>
      <c r="G1314" s="177"/>
      <c r="H1314" s="177">
        <f>SUM(Tabla132112415[[#This Row],[PRIMER TRIMESTRE]:[CUARTO TRIMESTRE]])</f>
        <v>0</v>
      </c>
      <c r="I1314" s="17">
        <v>3500</v>
      </c>
      <c r="J1314" s="17">
        <f>+H1314*I1314</f>
        <v>0</v>
      </c>
      <c r="K1314" s="17"/>
      <c r="L1314" s="16" t="s">
        <v>15</v>
      </c>
      <c r="M1314" s="16" t="s">
        <v>22</v>
      </c>
      <c r="N1314" s="39" t="s">
        <v>418</v>
      </c>
    </row>
    <row r="1315" spans="1:14" s="12" customFormat="1" ht="30.75" customHeight="1">
      <c r="A1315" s="180" t="s">
        <v>122</v>
      </c>
      <c r="B1315" s="77" t="s">
        <v>276</v>
      </c>
      <c r="C1315" s="177" t="s">
        <v>17</v>
      </c>
      <c r="D1315" s="177">
        <v>50</v>
      </c>
      <c r="E1315" s="177"/>
      <c r="F1315" s="177"/>
      <c r="G1315" s="177"/>
      <c r="H1315" s="468">
        <f>SUM(Tabla132112415[[#This Row],[PRIMER TRIMESTRE]:[CUARTO TRIMESTRE]])</f>
        <v>50</v>
      </c>
      <c r="I1315" s="17">
        <v>101.68</v>
      </c>
      <c r="J1315" s="17">
        <f>+Tabla132112415[[#This Row],[CANTIDAD TOTAL]]*Tabla132112415[[#This Row],[PRECIO UNITARIO ESTIMADO]]</f>
        <v>5084</v>
      </c>
      <c r="K1315" s="17"/>
      <c r="L1315" s="16" t="s">
        <v>27</v>
      </c>
      <c r="M1315" s="16" t="s">
        <v>22</v>
      </c>
      <c r="N1315" s="39" t="s">
        <v>418</v>
      </c>
    </row>
    <row r="1316" spans="1:14" s="12" customFormat="1" ht="30.75" customHeight="1">
      <c r="A1316" s="180" t="s">
        <v>122</v>
      </c>
      <c r="B1316" s="77" t="s">
        <v>277</v>
      </c>
      <c r="C1316" s="177" t="s">
        <v>17</v>
      </c>
      <c r="D1316" s="177">
        <v>50</v>
      </c>
      <c r="E1316" s="177"/>
      <c r="F1316" s="177"/>
      <c r="G1316" s="177"/>
      <c r="H1316" s="468">
        <f>SUM(Tabla132112415[[#This Row],[PRIMER TRIMESTRE]:[CUARTO TRIMESTRE]])</f>
        <v>50</v>
      </c>
      <c r="I1316" s="17">
        <v>27.14</v>
      </c>
      <c r="J1316" s="17">
        <f>+Tabla132112415[[#This Row],[CANTIDAD TOTAL]]*Tabla132112415[[#This Row],[PRECIO UNITARIO ESTIMADO]]</f>
        <v>1357</v>
      </c>
      <c r="K1316" s="17"/>
      <c r="L1316" s="16" t="s">
        <v>27</v>
      </c>
      <c r="M1316" s="16" t="s">
        <v>22</v>
      </c>
      <c r="N1316" s="39" t="s">
        <v>418</v>
      </c>
    </row>
    <row r="1317" spans="1:14" s="12" customFormat="1" ht="30.75" customHeight="1">
      <c r="A1317" s="180" t="s">
        <v>122</v>
      </c>
      <c r="B1317" s="77" t="s">
        <v>327</v>
      </c>
      <c r="C1317" s="177" t="s">
        <v>102</v>
      </c>
      <c r="D1317" s="177"/>
      <c r="E1317" s="177"/>
      <c r="F1317" s="177"/>
      <c r="G1317" s="177"/>
      <c r="H1317" s="468">
        <f>SUM(Tabla132112415[[#This Row],[PRIMER TRIMESTRE]:[CUARTO TRIMESTRE]])</f>
        <v>0</v>
      </c>
      <c r="I1317" s="17">
        <f>43660/209</f>
        <v>208.89952153110048</v>
      </c>
      <c r="J1317" s="17">
        <f>+Tabla132112415[[#This Row],[CANTIDAD TOTAL]]*Tabla132112415[[#This Row],[PRECIO UNITARIO ESTIMADO]]</f>
        <v>0</v>
      </c>
      <c r="K1317" s="17"/>
      <c r="L1317" s="16" t="s">
        <v>27</v>
      </c>
      <c r="M1317" s="16" t="s">
        <v>22</v>
      </c>
      <c r="N1317" s="39" t="s">
        <v>418</v>
      </c>
    </row>
    <row r="1318" spans="1:14" s="12" customFormat="1" ht="30.75" customHeight="1">
      <c r="A1318" s="180" t="s">
        <v>122</v>
      </c>
      <c r="B1318" s="77" t="s">
        <v>1269</v>
      </c>
      <c r="C1318" s="177" t="s">
        <v>17</v>
      </c>
      <c r="D1318" s="177"/>
      <c r="E1318" s="177"/>
      <c r="F1318" s="177"/>
      <c r="G1318" s="177"/>
      <c r="H1318" s="468">
        <f>SUM(Tabla132112415[[#This Row],[PRIMER TRIMESTRE]:[CUARTO TRIMESTRE]])</f>
        <v>0</v>
      </c>
      <c r="I1318" s="17">
        <v>350</v>
      </c>
      <c r="J1318" s="17">
        <f>+H1318*I1318</f>
        <v>0</v>
      </c>
      <c r="K1318" s="17"/>
      <c r="L1318" s="16" t="s">
        <v>27</v>
      </c>
      <c r="M1318" s="16" t="s">
        <v>22</v>
      </c>
      <c r="N1318" s="39" t="s">
        <v>418</v>
      </c>
    </row>
    <row r="1319" spans="1:14" s="12" customFormat="1" ht="30.75" customHeight="1">
      <c r="A1319" s="180" t="s">
        <v>122</v>
      </c>
      <c r="B1319" s="77" t="s">
        <v>2554</v>
      </c>
      <c r="C1319" s="177" t="s">
        <v>17</v>
      </c>
      <c r="D1319" s="177"/>
      <c r="E1319" s="177">
        <v>5</v>
      </c>
      <c r="F1319" s="177"/>
      <c r="G1319" s="177"/>
      <c r="H1319" s="468">
        <f>SUM(Tabla132112415[[#This Row],[PRIMER TRIMESTRE]:[CUARTO TRIMESTRE]])</f>
        <v>5</v>
      </c>
      <c r="I1319" s="17">
        <v>2711450</v>
      </c>
      <c r="J1319" s="17">
        <f>+Tabla132112415[[#This Row],[CANTIDAD TOTAL]]*Tabla132112415[[#This Row],[PRECIO UNITARIO ESTIMADO]]</f>
        <v>13557250</v>
      </c>
      <c r="K1319" s="17"/>
      <c r="L1319" s="16"/>
      <c r="M1319" s="16"/>
      <c r="N1319" s="39"/>
    </row>
    <row r="1320" spans="1:14" s="12" customFormat="1" ht="30.75" customHeight="1">
      <c r="A1320" s="180" t="s">
        <v>122</v>
      </c>
      <c r="B1320" s="77" t="s">
        <v>2555</v>
      </c>
      <c r="C1320" s="177" t="s">
        <v>17</v>
      </c>
      <c r="D1320" s="177"/>
      <c r="E1320" s="177">
        <v>5</v>
      </c>
      <c r="F1320" s="177"/>
      <c r="G1320" s="177"/>
      <c r="H1320" s="468">
        <f>SUM(Tabla132112415[[#This Row],[PRIMER TRIMESTRE]:[CUARTO TRIMESTRE]])</f>
        <v>5</v>
      </c>
      <c r="I1320" s="17">
        <v>89700</v>
      </c>
      <c r="J1320" s="17">
        <f>+Tabla132112415[[#This Row],[CANTIDAD TOTAL]]*Tabla132112415[[#This Row],[PRECIO UNITARIO ESTIMADO]]</f>
        <v>448500</v>
      </c>
      <c r="K1320" s="17"/>
      <c r="L1320" s="16"/>
      <c r="M1320" s="16"/>
      <c r="N1320" s="39"/>
    </row>
    <row r="1321" spans="1:14" s="12" customFormat="1" ht="30.75" customHeight="1">
      <c r="A1321" s="180" t="s">
        <v>122</v>
      </c>
      <c r="B1321" s="77" t="s">
        <v>2556</v>
      </c>
      <c r="C1321" s="177" t="s">
        <v>17</v>
      </c>
      <c r="D1321" s="177"/>
      <c r="E1321" s="177">
        <v>5</v>
      </c>
      <c r="F1321" s="177"/>
      <c r="G1321" s="177"/>
      <c r="H1321" s="468">
        <f>SUM(Tabla132112415[[#This Row],[PRIMER TRIMESTRE]:[CUARTO TRIMESTRE]])</f>
        <v>5</v>
      </c>
      <c r="I1321" s="17">
        <v>2000</v>
      </c>
      <c r="J1321" s="17">
        <f>+Tabla132112415[[#This Row],[CANTIDAD TOTAL]]*Tabla132112415[[#This Row],[PRECIO UNITARIO ESTIMADO]]</f>
        <v>10000</v>
      </c>
      <c r="K1321" s="17"/>
      <c r="L1321" s="16"/>
      <c r="M1321" s="16"/>
      <c r="N1321" s="39"/>
    </row>
    <row r="1322" spans="1:14" s="12" customFormat="1" ht="30.75" customHeight="1">
      <c r="A1322" s="180" t="s">
        <v>122</v>
      </c>
      <c r="B1322" s="77" t="s">
        <v>328</v>
      </c>
      <c r="C1322" s="177" t="s">
        <v>17</v>
      </c>
      <c r="D1322" s="177">
        <v>24</v>
      </c>
      <c r="E1322" s="177"/>
      <c r="F1322" s="177"/>
      <c r="G1322" s="177"/>
      <c r="H1322" s="468">
        <f>SUM(Tabla132112415[[#This Row],[PRIMER TRIMESTRE]:[CUARTO TRIMESTRE]])</f>
        <v>24</v>
      </c>
      <c r="I1322" s="17">
        <v>12626</v>
      </c>
      <c r="J1322" s="17">
        <f>+Tabla132112415[[#This Row],[CANTIDAD TOTAL]]*Tabla132112415[[#This Row],[PRECIO UNITARIO ESTIMADO]]</f>
        <v>303024</v>
      </c>
      <c r="K1322" s="17"/>
      <c r="L1322" s="16" t="s">
        <v>27</v>
      </c>
      <c r="M1322" s="16" t="s">
        <v>22</v>
      </c>
      <c r="N1322" s="39" t="s">
        <v>418</v>
      </c>
    </row>
    <row r="1323" spans="1:14" s="26" customFormat="1" ht="30.75" customHeight="1">
      <c r="A1323" s="180" t="s">
        <v>122</v>
      </c>
      <c r="B1323" s="77" t="s">
        <v>329</v>
      </c>
      <c r="C1323" s="177" t="s">
        <v>17</v>
      </c>
      <c r="D1323" s="177"/>
      <c r="E1323" s="177"/>
      <c r="F1323" s="177"/>
      <c r="G1323" s="177"/>
      <c r="H1323" s="468">
        <f>SUM(Tabla132112415[[#This Row],[PRIMER TRIMESTRE]:[CUARTO TRIMESTRE]])</f>
        <v>0</v>
      </c>
      <c r="I1323" s="17">
        <f>1382216.68/118</f>
        <v>11713.700677966101</v>
      </c>
      <c r="J1323" s="17">
        <f>+Tabla132112415[[#This Row],[CANTIDAD TOTAL]]*Tabla132112415[[#This Row],[PRECIO UNITARIO ESTIMADO]]</f>
        <v>0</v>
      </c>
      <c r="K1323" s="17"/>
      <c r="L1323" s="16" t="s">
        <v>27</v>
      </c>
      <c r="M1323" s="16" t="s">
        <v>22</v>
      </c>
      <c r="N1323" s="39" t="s">
        <v>418</v>
      </c>
    </row>
    <row r="1324" spans="1:14" s="12" customFormat="1" ht="30.75" customHeight="1">
      <c r="A1324" s="180" t="s">
        <v>122</v>
      </c>
      <c r="B1324" s="77" t="s">
        <v>330</v>
      </c>
      <c r="C1324" s="177" t="s">
        <v>17</v>
      </c>
      <c r="D1324" s="177"/>
      <c r="E1324" s="177"/>
      <c r="F1324" s="177"/>
      <c r="G1324" s="177"/>
      <c r="H1324" s="468">
        <f>SUM(Tabla132112415[[#This Row],[PRIMER TRIMESTRE]:[CUARTO TRIMESTRE]])</f>
        <v>0</v>
      </c>
      <c r="I1324" s="17">
        <v>413</v>
      </c>
      <c r="J1324" s="17">
        <f>+Tabla132112415[[#This Row],[CANTIDAD TOTAL]]*Tabla132112415[[#This Row],[PRECIO UNITARIO ESTIMADO]]</f>
        <v>0</v>
      </c>
      <c r="K1324" s="17"/>
      <c r="L1324" s="16" t="s">
        <v>27</v>
      </c>
      <c r="M1324" s="16" t="s">
        <v>22</v>
      </c>
      <c r="N1324" s="39" t="s">
        <v>418</v>
      </c>
    </row>
    <row r="1325" spans="1:14" s="12" customFormat="1" ht="30.75" customHeight="1">
      <c r="A1325" s="179" t="s">
        <v>122</v>
      </c>
      <c r="B1325" s="76"/>
      <c r="C1325" s="492"/>
      <c r="D1325" s="492"/>
      <c r="E1325" s="492"/>
      <c r="F1325" s="492"/>
      <c r="G1325" s="492"/>
      <c r="H1325" s="496"/>
      <c r="I1325" s="24"/>
      <c r="J1325" s="24"/>
      <c r="K1325" s="25">
        <f>SUM(J1311:J1324)</f>
        <v>14392777.75</v>
      </c>
      <c r="L1325" s="23"/>
      <c r="M1325" s="23"/>
      <c r="N1325" s="42"/>
    </row>
    <row r="1326" spans="1:14" s="12" customFormat="1" ht="30.75" customHeight="1">
      <c r="A1326" s="178" t="s">
        <v>278</v>
      </c>
      <c r="B1326" s="75" t="s">
        <v>279</v>
      </c>
      <c r="C1326" s="176" t="s">
        <v>17</v>
      </c>
      <c r="D1326" s="176">
        <v>327</v>
      </c>
      <c r="E1326" s="176">
        <v>100</v>
      </c>
      <c r="F1326" s="176">
        <v>50</v>
      </c>
      <c r="G1326" s="176">
        <v>50</v>
      </c>
      <c r="H1326" s="499">
        <f>SUM(Tabla132112415[[#This Row],[PRIMER TRIMESTRE]:[CUARTO TRIMESTRE]])</f>
        <v>527</v>
      </c>
      <c r="I1326" s="17">
        <v>259.68</v>
      </c>
      <c r="J1326" s="17">
        <f>+Tabla132112415[[#This Row],[CANTIDAD TOTAL]]*Tabla132112415[[#This Row],[PRECIO UNITARIO ESTIMADO]]</f>
        <v>136851.36000000002</v>
      </c>
      <c r="K1326" s="17"/>
      <c r="L1326" s="16" t="s">
        <v>27</v>
      </c>
      <c r="M1326" s="16" t="s">
        <v>22</v>
      </c>
      <c r="N1326" s="39" t="s">
        <v>342</v>
      </c>
    </row>
    <row r="1327" spans="1:14" s="12" customFormat="1" ht="30.75" customHeight="1">
      <c r="A1327" s="178" t="s">
        <v>278</v>
      </c>
      <c r="B1327" s="75" t="s">
        <v>137</v>
      </c>
      <c r="C1327" s="176" t="s">
        <v>17</v>
      </c>
      <c r="D1327" s="176">
        <v>50</v>
      </c>
      <c r="E1327" s="176">
        <v>25</v>
      </c>
      <c r="F1327" s="176">
        <v>15</v>
      </c>
      <c r="G1327" s="176">
        <v>10</v>
      </c>
      <c r="H1327" s="499">
        <f>SUM(Tabla132112415[[#This Row],[PRIMER TRIMESTRE]:[CUARTO TRIMESTRE]])</f>
        <v>100</v>
      </c>
      <c r="I1327" s="17">
        <v>220.12</v>
      </c>
      <c r="J1327" s="17">
        <f>+Tabla132112415[[#This Row],[CANTIDAD TOTAL]]*Tabla132112415[[#This Row],[PRECIO UNITARIO ESTIMADO]]</f>
        <v>22012</v>
      </c>
      <c r="K1327" s="17"/>
      <c r="L1327" s="16" t="s">
        <v>27</v>
      </c>
      <c r="M1327" s="16" t="s">
        <v>22</v>
      </c>
      <c r="N1327" s="39" t="s">
        <v>418</v>
      </c>
    </row>
    <row r="1328" spans="1:14" s="12" customFormat="1" ht="30.75" customHeight="1">
      <c r="A1328" s="178" t="s">
        <v>278</v>
      </c>
      <c r="B1328" s="75" t="s">
        <v>280</v>
      </c>
      <c r="C1328" s="176" t="s">
        <v>17</v>
      </c>
      <c r="D1328" s="176">
        <v>100</v>
      </c>
      <c r="E1328" s="176">
        <v>100</v>
      </c>
      <c r="F1328" s="176">
        <v>50</v>
      </c>
      <c r="G1328" s="176">
        <v>50</v>
      </c>
      <c r="H1328" s="499">
        <f>SUM(Tabla132112415[[#This Row],[PRIMER TRIMESTRE]:[CUARTO TRIMESTRE]])</f>
        <v>300</v>
      </c>
      <c r="I1328" s="17">
        <v>150</v>
      </c>
      <c r="J1328" s="17">
        <f>+Tabla132112415[[#This Row],[CANTIDAD TOTAL]]*Tabla132112415[[#This Row],[PRECIO UNITARIO ESTIMADO]]</f>
        <v>45000</v>
      </c>
      <c r="K1328" s="17"/>
      <c r="L1328" s="16" t="s">
        <v>27</v>
      </c>
      <c r="M1328" s="16" t="s">
        <v>22</v>
      </c>
      <c r="N1328" s="39" t="s">
        <v>342</v>
      </c>
    </row>
    <row r="1329" spans="1:14" s="26" customFormat="1" ht="30.75" customHeight="1">
      <c r="A1329" s="178" t="s">
        <v>278</v>
      </c>
      <c r="B1329" s="75" t="s">
        <v>566</v>
      </c>
      <c r="C1329" s="176" t="s">
        <v>17</v>
      </c>
      <c r="D1329" s="176"/>
      <c r="E1329" s="176"/>
      <c r="F1329" s="176"/>
      <c r="G1329" s="176"/>
      <c r="H1329" s="499">
        <f>SUM(Tabla132112415[[#This Row],[PRIMER TRIMESTRE]:[CUARTO TRIMESTRE]])</f>
        <v>0</v>
      </c>
      <c r="I1329" s="17">
        <v>140</v>
      </c>
      <c r="J1329" s="17">
        <f>+Tabla132112415[[#This Row],[CANTIDAD TOTAL]]*Tabla132112415[[#This Row],[PRECIO UNITARIO ESTIMADO]]</f>
        <v>0</v>
      </c>
      <c r="K1329" s="17"/>
      <c r="L1329" s="16" t="s">
        <v>27</v>
      </c>
      <c r="M1329" s="16" t="s">
        <v>22</v>
      </c>
      <c r="N1329" s="39" t="s">
        <v>342</v>
      </c>
    </row>
    <row r="1330" spans="1:14" s="12" customFormat="1" ht="30.75" customHeight="1">
      <c r="A1330" s="178" t="s">
        <v>278</v>
      </c>
      <c r="B1330" s="75" t="s">
        <v>922</v>
      </c>
      <c r="C1330" s="176" t="s">
        <v>17</v>
      </c>
      <c r="D1330" s="176"/>
      <c r="E1330" s="176"/>
      <c r="F1330" s="176"/>
      <c r="G1330" s="176"/>
      <c r="H1330" s="499">
        <f>SUM(Tabla132112415[[#This Row],[PRIMER TRIMESTRE]:[CUARTO TRIMESTRE]])</f>
        <v>0</v>
      </c>
      <c r="I1330" s="17">
        <v>21895</v>
      </c>
      <c r="J1330" s="17">
        <f>+H1330*I1330</f>
        <v>0</v>
      </c>
      <c r="K1330" s="17"/>
      <c r="L1330" s="16" t="s">
        <v>27</v>
      </c>
      <c r="M1330" s="16" t="s">
        <v>22</v>
      </c>
      <c r="N1330" s="39" t="s">
        <v>342</v>
      </c>
    </row>
    <row r="1331" spans="1:14" s="12" customFormat="1" ht="30.75" customHeight="1">
      <c r="A1331" s="179" t="s">
        <v>278</v>
      </c>
      <c r="B1331" s="76"/>
      <c r="C1331" s="492"/>
      <c r="D1331" s="492"/>
      <c r="E1331" s="492"/>
      <c r="F1331" s="492"/>
      <c r="G1331" s="492"/>
      <c r="H1331" s="496"/>
      <c r="I1331" s="24"/>
      <c r="J1331" s="24"/>
      <c r="K1331" s="25">
        <f>SUM(J1326:J1330)</f>
        <v>203863.36000000002</v>
      </c>
      <c r="L1331" s="23" t="s">
        <v>27</v>
      </c>
      <c r="M1331" s="23"/>
      <c r="N1331" s="42"/>
    </row>
    <row r="1332" spans="1:14" s="12" customFormat="1" ht="30.75" customHeight="1">
      <c r="A1332" s="178" t="s">
        <v>124</v>
      </c>
      <c r="B1332" s="75" t="s">
        <v>281</v>
      </c>
      <c r="C1332" s="176" t="s">
        <v>102</v>
      </c>
      <c r="D1332" s="176">
        <v>600</v>
      </c>
      <c r="E1332" s="176">
        <v>600</v>
      </c>
      <c r="F1332" s="176">
        <v>600</v>
      </c>
      <c r="G1332" s="176">
        <v>600</v>
      </c>
      <c r="H1332" s="499">
        <f>SUM(Tabla132112415[[#This Row],[PRIMER TRIMESTRE]:[CUARTO TRIMESTRE]])</f>
        <v>2400</v>
      </c>
      <c r="I1332" s="17">
        <v>191.84</v>
      </c>
      <c r="J1332" s="17">
        <f>+Tabla132112415[[#This Row],[CANTIDAD TOTAL]]*Tabla132112415[[#This Row],[PRECIO UNITARIO ESTIMADO]]</f>
        <v>460416</v>
      </c>
      <c r="K1332" s="17"/>
      <c r="L1332" s="16" t="s">
        <v>27</v>
      </c>
      <c r="M1332" s="16" t="s">
        <v>22</v>
      </c>
      <c r="N1332" s="39" t="s">
        <v>342</v>
      </c>
    </row>
    <row r="1333" spans="1:14" s="12" customFormat="1" ht="30.75" customHeight="1">
      <c r="A1333" s="178" t="s">
        <v>124</v>
      </c>
      <c r="B1333" s="75" t="s">
        <v>282</v>
      </c>
      <c r="C1333" s="176" t="s">
        <v>69</v>
      </c>
      <c r="D1333" s="176">
        <v>310</v>
      </c>
      <c r="E1333" s="176">
        <v>100</v>
      </c>
      <c r="F1333" s="176">
        <v>50</v>
      </c>
      <c r="G1333" s="176">
        <v>50</v>
      </c>
      <c r="H1333" s="499">
        <f>SUM(Tabla132112415[[#This Row],[PRIMER TRIMESTRE]:[CUARTO TRIMESTRE]])</f>
        <v>510</v>
      </c>
      <c r="I1333" s="17">
        <v>83.78</v>
      </c>
      <c r="J1333" s="17">
        <f>+Tabla132112415[[#This Row],[CANTIDAD TOTAL]]*Tabla132112415[[#This Row],[PRECIO UNITARIO ESTIMADO]]</f>
        <v>42727.8</v>
      </c>
      <c r="K1333" s="17"/>
      <c r="L1333" s="16" t="s">
        <v>27</v>
      </c>
      <c r="M1333" s="16" t="s">
        <v>22</v>
      </c>
      <c r="N1333" s="39" t="s">
        <v>342</v>
      </c>
    </row>
    <row r="1334" spans="1:14" s="12" customFormat="1" ht="30.75" customHeight="1">
      <c r="A1334" s="178" t="s">
        <v>124</v>
      </c>
      <c r="B1334" s="75" t="s">
        <v>283</v>
      </c>
      <c r="C1334" s="176" t="s">
        <v>17</v>
      </c>
      <c r="D1334" s="176">
        <v>40</v>
      </c>
      <c r="E1334" s="176">
        <v>25</v>
      </c>
      <c r="F1334" s="176">
        <v>25</v>
      </c>
      <c r="G1334" s="176">
        <v>10</v>
      </c>
      <c r="H1334" s="499">
        <f>SUM(Tabla132112415[[#This Row],[PRIMER TRIMESTRE]:[CUARTO TRIMESTRE]])</f>
        <v>100</v>
      </c>
      <c r="I1334" s="17">
        <v>82.94</v>
      </c>
      <c r="J1334" s="17">
        <f>+Tabla132112415[[#This Row],[CANTIDAD TOTAL]]*Tabla132112415[[#This Row],[PRECIO UNITARIO ESTIMADO]]</f>
        <v>8294</v>
      </c>
      <c r="K1334" s="17"/>
      <c r="L1334" s="16" t="s">
        <v>27</v>
      </c>
      <c r="M1334" s="16" t="s">
        <v>22</v>
      </c>
      <c r="N1334" s="39" t="s">
        <v>342</v>
      </c>
    </row>
    <row r="1335" spans="1:14" s="12" customFormat="1" ht="30.75" customHeight="1">
      <c r="A1335" s="178" t="s">
        <v>124</v>
      </c>
      <c r="B1335" s="75" t="s">
        <v>284</v>
      </c>
      <c r="C1335" s="176" t="s">
        <v>17</v>
      </c>
      <c r="D1335" s="176">
        <v>2</v>
      </c>
      <c r="E1335" s="176">
        <v>2</v>
      </c>
      <c r="F1335" s="176">
        <v>2</v>
      </c>
      <c r="G1335" s="176">
        <v>2</v>
      </c>
      <c r="H1335" s="499">
        <f>SUM(Tabla132112415[[#This Row],[PRIMER TRIMESTRE]:[CUARTO TRIMESTRE]])</f>
        <v>8</v>
      </c>
      <c r="I1335" s="17">
        <v>26.67</v>
      </c>
      <c r="J1335" s="17">
        <f>+Tabla132112415[[#This Row],[CANTIDAD TOTAL]]*Tabla132112415[[#This Row],[PRECIO UNITARIO ESTIMADO]]</f>
        <v>213.36</v>
      </c>
      <c r="K1335" s="17"/>
      <c r="L1335" s="16" t="s">
        <v>27</v>
      </c>
      <c r="M1335" s="16" t="s">
        <v>22</v>
      </c>
      <c r="N1335" s="39" t="s">
        <v>342</v>
      </c>
    </row>
    <row r="1336" spans="1:14" s="12" customFormat="1" ht="30.75" customHeight="1">
      <c r="A1336" s="178" t="s">
        <v>124</v>
      </c>
      <c r="B1336" s="75" t="s">
        <v>726</v>
      </c>
      <c r="C1336" s="176" t="s">
        <v>17</v>
      </c>
      <c r="D1336" s="176">
        <v>100</v>
      </c>
      <c r="E1336" s="176">
        <v>75</v>
      </c>
      <c r="F1336" s="176">
        <v>50</v>
      </c>
      <c r="G1336" s="176">
        <v>25</v>
      </c>
      <c r="H1336" s="499">
        <f>SUM(Tabla132112415[[#This Row],[PRIMER TRIMESTRE]:[CUARTO TRIMESTRE]])</f>
        <v>250</v>
      </c>
      <c r="I1336" s="72">
        <v>50</v>
      </c>
      <c r="J1336" s="17">
        <f>+H1336*I1336</f>
        <v>12500</v>
      </c>
      <c r="K1336" s="17"/>
      <c r="L1336" s="16" t="s">
        <v>27</v>
      </c>
      <c r="M1336" s="16" t="s">
        <v>22</v>
      </c>
      <c r="N1336" s="39" t="s">
        <v>342</v>
      </c>
    </row>
    <row r="1337" spans="1:14" s="12" customFormat="1" ht="30.75" customHeight="1">
      <c r="A1337" s="178" t="s">
        <v>124</v>
      </c>
      <c r="B1337" s="75" t="s">
        <v>285</v>
      </c>
      <c r="C1337" s="176" t="s">
        <v>33</v>
      </c>
      <c r="D1337" s="176">
        <v>100</v>
      </c>
      <c r="E1337" s="176">
        <v>75</v>
      </c>
      <c r="F1337" s="176">
        <v>75</v>
      </c>
      <c r="G1337" s="176">
        <v>75</v>
      </c>
      <c r="H1337" s="499">
        <f>SUM(Tabla132112415[[#This Row],[PRIMER TRIMESTRE]:[CUARTO TRIMESTRE]])</f>
        <v>325</v>
      </c>
      <c r="I1337" s="17">
        <v>115.94</v>
      </c>
      <c r="J1337" s="17">
        <f>+Tabla132112415[[#This Row],[CANTIDAD TOTAL]]*Tabla132112415[[#This Row],[PRECIO UNITARIO ESTIMADO]]</f>
        <v>37680.5</v>
      </c>
      <c r="K1337" s="17"/>
      <c r="L1337" s="16" t="s">
        <v>27</v>
      </c>
      <c r="M1337" s="16" t="s">
        <v>22</v>
      </c>
      <c r="N1337" s="39" t="s">
        <v>342</v>
      </c>
    </row>
    <row r="1338" spans="1:14" s="12" customFormat="1" ht="30.75" customHeight="1">
      <c r="A1338" s="178" t="s">
        <v>124</v>
      </c>
      <c r="B1338" s="75" t="s">
        <v>287</v>
      </c>
      <c r="C1338" s="176" t="s">
        <v>288</v>
      </c>
      <c r="D1338" s="176">
        <v>50</v>
      </c>
      <c r="E1338" s="176">
        <v>20</v>
      </c>
      <c r="F1338" s="176">
        <v>20</v>
      </c>
      <c r="G1338" s="176">
        <v>10</v>
      </c>
      <c r="H1338" s="499">
        <f>SUM(Tabla132112415[[#This Row],[PRIMER TRIMESTRE]:[CUARTO TRIMESTRE]])</f>
        <v>100</v>
      </c>
      <c r="I1338" s="17">
        <v>255.31</v>
      </c>
      <c r="J1338" s="17">
        <f>+Tabla132112415[[#This Row],[CANTIDAD TOTAL]]*Tabla132112415[[#This Row],[PRECIO UNITARIO ESTIMADO]]</f>
        <v>25531</v>
      </c>
      <c r="K1338" s="17"/>
      <c r="L1338" s="16" t="s">
        <v>27</v>
      </c>
      <c r="M1338" s="16" t="s">
        <v>22</v>
      </c>
      <c r="N1338" s="39" t="s">
        <v>342</v>
      </c>
    </row>
    <row r="1339" spans="1:14" s="12" customFormat="1" ht="30.75" customHeight="1">
      <c r="A1339" s="178" t="s">
        <v>124</v>
      </c>
      <c r="B1339" s="75" t="s">
        <v>2557</v>
      </c>
      <c r="C1339" s="176" t="s">
        <v>288</v>
      </c>
      <c r="D1339" s="176">
        <v>3</v>
      </c>
      <c r="E1339" s="176">
        <v>2</v>
      </c>
      <c r="F1339" s="176">
        <v>2</v>
      </c>
      <c r="G1339" s="176">
        <v>1</v>
      </c>
      <c r="H1339" s="499">
        <f>SUM(Tabla132112415[[#This Row],[PRIMER TRIMESTRE]:[CUARTO TRIMESTRE]])</f>
        <v>8</v>
      </c>
      <c r="I1339" s="17">
        <v>0</v>
      </c>
      <c r="J1339" s="17"/>
      <c r="K1339" s="17"/>
      <c r="L1339" s="16"/>
      <c r="M1339" s="16"/>
      <c r="N1339" s="39"/>
    </row>
    <row r="1340" spans="1:14" s="12" customFormat="1" ht="30.75" customHeight="1">
      <c r="A1340" s="178" t="s">
        <v>124</v>
      </c>
      <c r="B1340" s="75" t="s">
        <v>2558</v>
      </c>
      <c r="C1340" s="176" t="s">
        <v>288</v>
      </c>
      <c r="D1340" s="176">
        <v>3</v>
      </c>
      <c r="E1340" s="176">
        <v>2</v>
      </c>
      <c r="F1340" s="176">
        <v>2</v>
      </c>
      <c r="G1340" s="176">
        <v>1</v>
      </c>
      <c r="H1340" s="499">
        <f>SUM(Tabla132112415[[#This Row],[PRIMER TRIMESTRE]:[CUARTO TRIMESTRE]])</f>
        <v>8</v>
      </c>
      <c r="I1340" s="17">
        <v>0</v>
      </c>
      <c r="J1340" s="17"/>
      <c r="K1340" s="17"/>
      <c r="L1340" s="16"/>
      <c r="M1340" s="16"/>
      <c r="N1340" s="39"/>
    </row>
    <row r="1341" spans="1:14" s="12" customFormat="1" ht="30.75" customHeight="1">
      <c r="A1341" s="178" t="s">
        <v>124</v>
      </c>
      <c r="B1341" s="75" t="s">
        <v>293</v>
      </c>
      <c r="C1341" s="176" t="s">
        <v>290</v>
      </c>
      <c r="D1341" s="236">
        <v>21</v>
      </c>
      <c r="E1341" s="236">
        <v>11</v>
      </c>
      <c r="F1341" s="236">
        <v>11</v>
      </c>
      <c r="G1341" s="236">
        <v>11</v>
      </c>
      <c r="H1341" s="40">
        <f>SUM(Tabla132112415[[#This Row],[PRIMER TRIMESTRE]:[CUARTO TRIMESTRE]])</f>
        <v>54</v>
      </c>
      <c r="I1341" s="17">
        <v>160</v>
      </c>
      <c r="J1341" s="17">
        <f t="shared" ref="J1341:J1349" si="34">+H1341*I1341</f>
        <v>8640</v>
      </c>
      <c r="K1341" s="17"/>
      <c r="L1341" s="16" t="s">
        <v>27</v>
      </c>
      <c r="M1341" s="16" t="s">
        <v>22</v>
      </c>
      <c r="N1341" s="39" t="s">
        <v>342</v>
      </c>
    </row>
    <row r="1342" spans="1:14" s="12" customFormat="1" ht="30.75" customHeight="1">
      <c r="A1342" s="178" t="s">
        <v>124</v>
      </c>
      <c r="B1342" s="75" t="s">
        <v>1411</v>
      </c>
      <c r="C1342" s="176" t="s">
        <v>290</v>
      </c>
      <c r="D1342" s="236">
        <v>75</v>
      </c>
      <c r="E1342" s="236">
        <v>25</v>
      </c>
      <c r="F1342" s="236">
        <v>25</v>
      </c>
      <c r="G1342" s="236">
        <v>25</v>
      </c>
      <c r="H1342" s="40">
        <f>SUM(Tabla132112415[[#This Row],[PRIMER TRIMESTRE]:[CUARTO TRIMESTRE]])</f>
        <v>150</v>
      </c>
      <c r="I1342" s="17">
        <v>450</v>
      </c>
      <c r="J1342" s="17">
        <f t="shared" si="34"/>
        <v>67500</v>
      </c>
      <c r="K1342" s="17"/>
      <c r="L1342" s="16" t="s">
        <v>27</v>
      </c>
      <c r="M1342" s="16" t="s">
        <v>22</v>
      </c>
      <c r="N1342" s="39" t="s">
        <v>342</v>
      </c>
    </row>
    <row r="1343" spans="1:14" s="12" customFormat="1" ht="30.75" customHeight="1">
      <c r="A1343" s="178" t="s">
        <v>124</v>
      </c>
      <c r="B1343" s="75" t="s">
        <v>1451</v>
      </c>
      <c r="C1343" s="176" t="s">
        <v>17</v>
      </c>
      <c r="D1343" s="236"/>
      <c r="E1343" s="236"/>
      <c r="F1343" s="236"/>
      <c r="G1343" s="236"/>
      <c r="H1343" s="40">
        <f>SUM(Tabla132112415[[#This Row],[PRIMER TRIMESTRE]:[CUARTO TRIMESTRE]])</f>
        <v>0</v>
      </c>
      <c r="I1343" s="17">
        <v>469</v>
      </c>
      <c r="J1343" s="17">
        <f t="shared" si="34"/>
        <v>0</v>
      </c>
      <c r="K1343" s="17"/>
      <c r="L1343" s="16" t="s">
        <v>15</v>
      </c>
      <c r="M1343" s="16" t="s">
        <v>22</v>
      </c>
      <c r="N1343" s="39" t="s">
        <v>342</v>
      </c>
    </row>
    <row r="1344" spans="1:14" s="12" customFormat="1" ht="30.75" customHeight="1">
      <c r="A1344" s="178" t="s">
        <v>124</v>
      </c>
      <c r="B1344" s="75" t="s">
        <v>1906</v>
      </c>
      <c r="C1344" s="176" t="s">
        <v>17</v>
      </c>
      <c r="D1344" s="236"/>
      <c r="E1344" s="236"/>
      <c r="F1344" s="236"/>
      <c r="G1344" s="236"/>
      <c r="H1344" s="40">
        <v>0</v>
      </c>
      <c r="I1344" s="17">
        <v>250</v>
      </c>
      <c r="J1344" s="17">
        <f t="shared" si="34"/>
        <v>0</v>
      </c>
      <c r="K1344" s="17"/>
      <c r="L1344" s="16" t="s">
        <v>27</v>
      </c>
      <c r="M1344" s="16" t="s">
        <v>22</v>
      </c>
      <c r="N1344" s="39" t="s">
        <v>342</v>
      </c>
    </row>
    <row r="1345" spans="1:14" s="12" customFormat="1" ht="30.75" customHeight="1">
      <c r="A1345" s="178" t="s">
        <v>124</v>
      </c>
      <c r="B1345" s="75" t="s">
        <v>1907</v>
      </c>
      <c r="C1345" s="176" t="s">
        <v>17</v>
      </c>
      <c r="D1345" s="236"/>
      <c r="E1345" s="236"/>
      <c r="F1345" s="236"/>
      <c r="G1345" s="236"/>
      <c r="H1345" s="40">
        <v>0</v>
      </c>
      <c r="I1345" s="17">
        <v>0</v>
      </c>
      <c r="J1345" s="17">
        <v>0</v>
      </c>
      <c r="K1345" s="17"/>
      <c r="L1345" s="16" t="s">
        <v>27</v>
      </c>
      <c r="M1345" s="16" t="s">
        <v>22</v>
      </c>
      <c r="N1345" s="39" t="s">
        <v>342</v>
      </c>
    </row>
    <row r="1346" spans="1:14" s="12" customFormat="1" ht="30.75" customHeight="1">
      <c r="A1346" s="178" t="s">
        <v>124</v>
      </c>
      <c r="B1346" s="75" t="s">
        <v>1412</v>
      </c>
      <c r="C1346" s="176" t="s">
        <v>17</v>
      </c>
      <c r="D1346" s="236">
        <v>2</v>
      </c>
      <c r="E1346" s="236"/>
      <c r="F1346" s="236"/>
      <c r="G1346" s="236"/>
      <c r="H1346" s="40">
        <f>SUM(Tabla132112415[[#This Row],[PRIMER TRIMESTRE]:[CUARTO TRIMESTRE]])</f>
        <v>2</v>
      </c>
      <c r="I1346" s="17">
        <v>250</v>
      </c>
      <c r="J1346" s="17">
        <f t="shared" si="34"/>
        <v>500</v>
      </c>
      <c r="K1346" s="17"/>
      <c r="L1346" s="16" t="s">
        <v>27</v>
      </c>
      <c r="M1346" s="16" t="s">
        <v>22</v>
      </c>
      <c r="N1346" s="39" t="s">
        <v>342</v>
      </c>
    </row>
    <row r="1347" spans="1:14" s="12" customFormat="1" ht="30.75" customHeight="1">
      <c r="A1347" s="178" t="s">
        <v>124</v>
      </c>
      <c r="B1347" s="75" t="s">
        <v>1105</v>
      </c>
      <c r="C1347" s="176" t="s">
        <v>290</v>
      </c>
      <c r="D1347" s="236">
        <v>2</v>
      </c>
      <c r="E1347" s="236">
        <v>2</v>
      </c>
      <c r="F1347" s="236">
        <v>2</v>
      </c>
      <c r="G1347" s="236">
        <v>2</v>
      </c>
      <c r="H1347" s="40">
        <f>SUM(Tabla132112415[[#This Row],[PRIMER TRIMESTRE]:[CUARTO TRIMESTRE]])</f>
        <v>8</v>
      </c>
      <c r="I1347" s="17">
        <v>250</v>
      </c>
      <c r="J1347" s="17">
        <f t="shared" si="34"/>
        <v>2000</v>
      </c>
      <c r="K1347" s="17"/>
      <c r="L1347" s="16" t="s">
        <v>27</v>
      </c>
      <c r="M1347" s="16" t="s">
        <v>22</v>
      </c>
      <c r="N1347" s="39" t="s">
        <v>342</v>
      </c>
    </row>
    <row r="1348" spans="1:14" s="12" customFormat="1" ht="30.75" customHeight="1">
      <c r="A1348" s="178" t="s">
        <v>124</v>
      </c>
      <c r="B1348" s="75" t="s">
        <v>1097</v>
      </c>
      <c r="C1348" s="176" t="s">
        <v>1067</v>
      </c>
      <c r="D1348" s="236"/>
      <c r="E1348" s="236"/>
      <c r="F1348" s="236"/>
      <c r="G1348" s="236"/>
      <c r="H1348" s="40">
        <f>SUM(Tabla132112415[[#This Row],[PRIMER TRIMESTRE]:[CUARTO TRIMESTRE]])</f>
        <v>0</v>
      </c>
      <c r="I1348" s="17">
        <v>53</v>
      </c>
      <c r="J1348" s="17">
        <f t="shared" si="34"/>
        <v>0</v>
      </c>
      <c r="K1348" s="17"/>
      <c r="L1348" s="16" t="s">
        <v>27</v>
      </c>
      <c r="M1348" s="16" t="s">
        <v>22</v>
      </c>
      <c r="N1348" s="39" t="s">
        <v>342</v>
      </c>
    </row>
    <row r="1349" spans="1:14" s="12" customFormat="1" ht="30.75" customHeight="1">
      <c r="A1349" s="178" t="s">
        <v>124</v>
      </c>
      <c r="B1349" s="75" t="s">
        <v>1413</v>
      </c>
      <c r="C1349" s="176" t="s">
        <v>1414</v>
      </c>
      <c r="D1349" s="236">
        <v>5</v>
      </c>
      <c r="E1349" s="236">
        <v>2</v>
      </c>
      <c r="F1349" s="236">
        <v>2</v>
      </c>
      <c r="G1349" s="236">
        <v>1</v>
      </c>
      <c r="H1349" s="40">
        <f>SUM(Tabla132112415[[#This Row],[PRIMER TRIMESTRE]:[CUARTO TRIMESTRE]])</f>
        <v>10</v>
      </c>
      <c r="I1349" s="17">
        <v>450</v>
      </c>
      <c r="J1349" s="17">
        <f t="shared" si="34"/>
        <v>4500</v>
      </c>
      <c r="K1349" s="17"/>
      <c r="L1349" s="16" t="s">
        <v>27</v>
      </c>
      <c r="M1349" s="16" t="s">
        <v>22</v>
      </c>
      <c r="N1349" s="39" t="s">
        <v>342</v>
      </c>
    </row>
    <row r="1350" spans="1:14" s="12" customFormat="1" ht="30.75" customHeight="1">
      <c r="A1350" s="178" t="s">
        <v>124</v>
      </c>
      <c r="B1350" s="75" t="s">
        <v>291</v>
      </c>
      <c r="C1350" s="176" t="s">
        <v>290</v>
      </c>
      <c r="D1350" s="236">
        <v>151</v>
      </c>
      <c r="E1350" s="236">
        <v>101</v>
      </c>
      <c r="F1350" s="236">
        <v>101</v>
      </c>
      <c r="G1350" s="236">
        <v>51</v>
      </c>
      <c r="H1350" s="40">
        <f>SUM(Tabla132112415[[#This Row],[PRIMER TRIMESTRE]:[CUARTO TRIMESTRE]])</f>
        <v>404</v>
      </c>
      <c r="I1350" s="17">
        <v>121.8</v>
      </c>
      <c r="J1350" s="17">
        <f>+Tabla132112415[[#This Row],[CANTIDAD TOTAL]]*Tabla132112415[[#This Row],[PRECIO UNITARIO ESTIMADO]]</f>
        <v>49207.199999999997</v>
      </c>
      <c r="K1350" s="17"/>
      <c r="L1350" s="16" t="s">
        <v>27</v>
      </c>
      <c r="M1350" s="16" t="s">
        <v>22</v>
      </c>
      <c r="N1350" s="39" t="s">
        <v>342</v>
      </c>
    </row>
    <row r="1351" spans="1:14" s="12" customFormat="1" ht="30.75" customHeight="1">
      <c r="A1351" s="178" t="s">
        <v>124</v>
      </c>
      <c r="B1351" s="75" t="s">
        <v>469</v>
      </c>
      <c r="C1351" s="176" t="s">
        <v>17</v>
      </c>
      <c r="D1351" s="236"/>
      <c r="E1351" s="236"/>
      <c r="F1351" s="236"/>
      <c r="G1351" s="236"/>
      <c r="H1351" s="40">
        <f>SUM(Tabla132112415[[#This Row],[PRIMER TRIMESTRE]:[CUARTO TRIMESTRE]])</f>
        <v>0</v>
      </c>
      <c r="I1351" s="17">
        <v>217.18</v>
      </c>
      <c r="J1351" s="17">
        <f>+H1351*I1351</f>
        <v>0</v>
      </c>
      <c r="K1351" s="17"/>
      <c r="L1351" s="16" t="s">
        <v>27</v>
      </c>
      <c r="M1351" s="16" t="s">
        <v>22</v>
      </c>
      <c r="N1351" s="39" t="s">
        <v>342</v>
      </c>
    </row>
    <row r="1352" spans="1:14" s="12" customFormat="1" ht="30.75" customHeight="1">
      <c r="A1352" s="178" t="s">
        <v>124</v>
      </c>
      <c r="B1352" s="75" t="s">
        <v>741</v>
      </c>
      <c r="C1352" s="176" t="s">
        <v>17</v>
      </c>
      <c r="D1352" s="236">
        <v>78</v>
      </c>
      <c r="E1352" s="236">
        <v>50</v>
      </c>
      <c r="F1352" s="236">
        <v>50</v>
      </c>
      <c r="G1352" s="236">
        <v>25</v>
      </c>
      <c r="H1352" s="40">
        <f>SUM(Tabla132112415[[#This Row],[PRIMER TRIMESTRE]:[CUARTO TRIMESTRE]])</f>
        <v>203</v>
      </c>
      <c r="I1352" s="17">
        <v>217.18</v>
      </c>
      <c r="J1352" s="17">
        <f>+Tabla132112415[[#This Row],[CANTIDAD TOTAL]]*Tabla132112415[[#This Row],[PRECIO UNITARIO ESTIMADO]]</f>
        <v>44087.54</v>
      </c>
      <c r="K1352" s="17"/>
      <c r="L1352" s="16" t="s">
        <v>27</v>
      </c>
      <c r="M1352" s="16" t="s">
        <v>22</v>
      </c>
      <c r="N1352" s="39" t="s">
        <v>342</v>
      </c>
    </row>
    <row r="1353" spans="1:14" s="12" customFormat="1" ht="30.75" customHeight="1">
      <c r="A1353" s="178" t="s">
        <v>124</v>
      </c>
      <c r="B1353" s="75" t="s">
        <v>292</v>
      </c>
      <c r="C1353" s="176" t="s">
        <v>17</v>
      </c>
      <c r="D1353" s="236"/>
      <c r="E1353" s="236"/>
      <c r="F1353" s="236"/>
      <c r="G1353" s="236"/>
      <c r="H1353" s="40">
        <f>SUM(Tabla132112415[[#This Row],[PRIMER TRIMESTRE]:[CUARTO TRIMESTRE]])</f>
        <v>0</v>
      </c>
      <c r="I1353" s="17">
        <v>377.54</v>
      </c>
      <c r="J1353" s="17">
        <f>+Tabla132112415[[#This Row],[CANTIDAD TOTAL]]*Tabla132112415[[#This Row],[PRECIO UNITARIO ESTIMADO]]</f>
        <v>0</v>
      </c>
      <c r="K1353" s="17"/>
      <c r="L1353" s="16" t="s">
        <v>27</v>
      </c>
      <c r="M1353" s="16" t="s">
        <v>22</v>
      </c>
      <c r="N1353" s="39" t="s">
        <v>342</v>
      </c>
    </row>
    <row r="1354" spans="1:14" s="12" customFormat="1" ht="30.75" customHeight="1">
      <c r="A1354" s="178" t="s">
        <v>124</v>
      </c>
      <c r="B1354" s="75" t="s">
        <v>725</v>
      </c>
      <c r="C1354" s="176" t="s">
        <v>17</v>
      </c>
      <c r="D1354" s="236"/>
      <c r="E1354" s="236"/>
      <c r="F1354" s="236"/>
      <c r="G1354" s="236"/>
      <c r="H1354" s="40">
        <f>SUM(Tabla132112415[[#This Row],[PRIMER TRIMESTRE]:[CUARTO TRIMESTRE]])</f>
        <v>0</v>
      </c>
      <c r="I1354" s="17">
        <v>90</v>
      </c>
      <c r="J1354" s="17">
        <f>+H1354*I1354</f>
        <v>0</v>
      </c>
      <c r="K1354" s="17"/>
      <c r="L1354" s="16" t="s">
        <v>27</v>
      </c>
      <c r="M1354" s="16" t="s">
        <v>22</v>
      </c>
      <c r="N1354" s="39" t="s">
        <v>342</v>
      </c>
    </row>
    <row r="1355" spans="1:14" s="12" customFormat="1" ht="30.75" customHeight="1">
      <c r="A1355" s="178" t="s">
        <v>124</v>
      </c>
      <c r="B1355" s="75" t="s">
        <v>2559</v>
      </c>
      <c r="C1355" s="176" t="s">
        <v>17</v>
      </c>
      <c r="D1355" s="236">
        <v>3</v>
      </c>
      <c r="E1355" s="236">
        <v>3</v>
      </c>
      <c r="F1355" s="236">
        <v>2</v>
      </c>
      <c r="G1355" s="236">
        <v>2</v>
      </c>
      <c r="H1355" s="40">
        <f>SUM(Tabla132112415[[#This Row],[PRIMER TRIMESTRE]:[CUARTO TRIMESTRE]])</f>
        <v>10</v>
      </c>
      <c r="I1355" s="17">
        <v>0</v>
      </c>
      <c r="J1355" s="17"/>
      <c r="K1355" s="17"/>
      <c r="L1355" s="16"/>
      <c r="M1355" s="16"/>
      <c r="N1355" s="39"/>
    </row>
    <row r="1356" spans="1:14" s="12" customFormat="1" ht="30.75" customHeight="1">
      <c r="A1356" s="178" t="s">
        <v>124</v>
      </c>
      <c r="B1356" s="75" t="s">
        <v>2560</v>
      </c>
      <c r="C1356" s="176" t="s">
        <v>470</v>
      </c>
      <c r="D1356" s="236">
        <v>50</v>
      </c>
      <c r="E1356" s="236">
        <v>50</v>
      </c>
      <c r="F1356" s="236">
        <v>25</v>
      </c>
      <c r="G1356" s="236">
        <v>25</v>
      </c>
      <c r="H1356" s="40">
        <f>SUM(Tabla132112415[[#This Row],[PRIMER TRIMESTRE]:[CUARTO TRIMESTRE]])</f>
        <v>150</v>
      </c>
      <c r="I1356" s="17">
        <v>0</v>
      </c>
      <c r="J1356" s="17"/>
      <c r="K1356" s="17"/>
      <c r="L1356" s="16"/>
      <c r="M1356" s="16"/>
      <c r="N1356" s="39"/>
    </row>
    <row r="1357" spans="1:14" s="12" customFormat="1" ht="30.75" customHeight="1">
      <c r="A1357" s="178" t="s">
        <v>124</v>
      </c>
      <c r="B1357" s="75" t="s">
        <v>294</v>
      </c>
      <c r="C1357" s="176" t="s">
        <v>17</v>
      </c>
      <c r="D1357" s="236">
        <v>5</v>
      </c>
      <c r="E1357" s="210">
        <v>5</v>
      </c>
      <c r="F1357" s="210">
        <v>5</v>
      </c>
      <c r="G1357" s="210">
        <v>5</v>
      </c>
      <c r="H1357" s="40">
        <f>SUM(Tabla132112415[[#This Row],[PRIMER TRIMESTRE]:[CUARTO TRIMESTRE]])</f>
        <v>20</v>
      </c>
      <c r="I1357" s="17">
        <v>424.95</v>
      </c>
      <c r="J1357" s="17">
        <f>+Tabla132112415[[#This Row],[CANTIDAD TOTAL]]*Tabla132112415[[#This Row],[PRECIO UNITARIO ESTIMADO]]</f>
        <v>8499</v>
      </c>
      <c r="K1357" s="17"/>
      <c r="L1357" s="16" t="s">
        <v>27</v>
      </c>
      <c r="M1357" s="16" t="s">
        <v>22</v>
      </c>
      <c r="N1357" s="39" t="s">
        <v>342</v>
      </c>
    </row>
    <row r="1358" spans="1:14" s="12" customFormat="1" ht="30.75" customHeight="1">
      <c r="A1358" s="178" t="s">
        <v>124</v>
      </c>
      <c r="B1358" s="75" t="s">
        <v>331</v>
      </c>
      <c r="C1358" s="176" t="s">
        <v>33</v>
      </c>
      <c r="D1358" s="236">
        <v>52</v>
      </c>
      <c r="E1358" s="236">
        <v>27</v>
      </c>
      <c r="F1358" s="236">
        <v>17</v>
      </c>
      <c r="G1358" s="236">
        <v>12</v>
      </c>
      <c r="H1358" s="40">
        <f>SUM(Tabla132112415[[#This Row],[PRIMER TRIMESTRE]:[CUARTO TRIMESTRE]])</f>
        <v>108</v>
      </c>
      <c r="I1358" s="17">
        <v>404.45</v>
      </c>
      <c r="J1358" s="17">
        <f>+Tabla132112415[[#This Row],[CANTIDAD TOTAL]]*Tabla132112415[[#This Row],[PRECIO UNITARIO ESTIMADO]]</f>
        <v>43680.6</v>
      </c>
      <c r="K1358" s="17"/>
      <c r="L1358" s="16" t="s">
        <v>27</v>
      </c>
      <c r="M1358" s="16" t="s">
        <v>22</v>
      </c>
      <c r="N1358" s="39" t="s">
        <v>342</v>
      </c>
    </row>
    <row r="1359" spans="1:14" s="12" customFormat="1" ht="30.75" customHeight="1">
      <c r="A1359" s="178" t="s">
        <v>124</v>
      </c>
      <c r="B1359" s="75" t="s">
        <v>724</v>
      </c>
      <c r="C1359" s="176" t="s">
        <v>17</v>
      </c>
      <c r="D1359" s="236">
        <v>20</v>
      </c>
      <c r="E1359" s="236">
        <v>10</v>
      </c>
      <c r="F1359" s="236">
        <v>10</v>
      </c>
      <c r="G1359" s="236">
        <v>10</v>
      </c>
      <c r="H1359" s="40">
        <f>SUM(Tabla132112415[[#This Row],[PRIMER TRIMESTRE]:[CUARTO TRIMESTRE]])</f>
        <v>50</v>
      </c>
      <c r="I1359" s="17">
        <v>140</v>
      </c>
      <c r="J1359" s="17">
        <f>+H1359*I1359</f>
        <v>7000</v>
      </c>
      <c r="K1359" s="17"/>
      <c r="L1359" s="16" t="s">
        <v>27</v>
      </c>
      <c r="M1359" s="16" t="s">
        <v>22</v>
      </c>
      <c r="N1359" s="39" t="s">
        <v>342</v>
      </c>
    </row>
    <row r="1360" spans="1:14" s="12" customFormat="1" ht="30.75" customHeight="1">
      <c r="A1360" s="178" t="s">
        <v>124</v>
      </c>
      <c r="B1360" s="75" t="s">
        <v>1415</v>
      </c>
      <c r="C1360" s="176" t="s">
        <v>1461</v>
      </c>
      <c r="D1360" s="236">
        <v>115</v>
      </c>
      <c r="E1360" s="236">
        <v>90</v>
      </c>
      <c r="F1360" s="236">
        <v>90</v>
      </c>
      <c r="G1360" s="236">
        <v>65</v>
      </c>
      <c r="H1360" s="40">
        <f>SUM(Tabla132112415[[#This Row],[PRIMER TRIMESTRE]:[CUARTO TRIMESTRE]])</f>
        <v>360</v>
      </c>
      <c r="I1360" s="17">
        <v>55</v>
      </c>
      <c r="J1360" s="17">
        <f>+H1360*I1360</f>
        <v>19800</v>
      </c>
      <c r="K1360" s="17"/>
      <c r="L1360" s="16" t="s">
        <v>27</v>
      </c>
      <c r="M1360" s="16" t="s">
        <v>22</v>
      </c>
      <c r="N1360" s="39" t="s">
        <v>342</v>
      </c>
    </row>
    <row r="1361" spans="1:14" s="26" customFormat="1" ht="30.75" customHeight="1">
      <c r="A1361" s="178" t="s">
        <v>124</v>
      </c>
      <c r="B1361" s="75" t="s">
        <v>1735</v>
      </c>
      <c r="C1361" s="176" t="s">
        <v>1461</v>
      </c>
      <c r="D1361" s="236"/>
      <c r="E1361" s="236"/>
      <c r="F1361" s="236"/>
      <c r="G1361" s="236"/>
      <c r="H1361" s="40">
        <v>0</v>
      </c>
      <c r="I1361" s="17">
        <v>0</v>
      </c>
      <c r="J1361" s="17">
        <v>0</v>
      </c>
      <c r="K1361" s="17"/>
      <c r="L1361" s="16" t="s">
        <v>27</v>
      </c>
      <c r="M1361" s="16" t="s">
        <v>22</v>
      </c>
      <c r="N1361" s="39" t="s">
        <v>342</v>
      </c>
    </row>
    <row r="1362" spans="1:14" s="12" customFormat="1" ht="30.75" customHeight="1">
      <c r="A1362" s="178" t="s">
        <v>124</v>
      </c>
      <c r="B1362" s="75" t="s">
        <v>1416</v>
      </c>
      <c r="C1362" s="176" t="s">
        <v>1461</v>
      </c>
      <c r="D1362" s="236">
        <v>50</v>
      </c>
      <c r="E1362" s="236">
        <v>50</v>
      </c>
      <c r="F1362" s="236">
        <v>25</v>
      </c>
      <c r="G1362" s="236">
        <v>25</v>
      </c>
      <c r="H1362" s="40">
        <f>SUM(Tabla132112415[[#This Row],[PRIMER TRIMESTRE]:[CUARTO TRIMESTRE]])</f>
        <v>150</v>
      </c>
      <c r="I1362" s="17">
        <v>100</v>
      </c>
      <c r="J1362" s="17">
        <f>+H1362*I1362</f>
        <v>15000</v>
      </c>
      <c r="K1362" s="17"/>
      <c r="L1362" s="16" t="s">
        <v>27</v>
      </c>
      <c r="M1362" s="16" t="s">
        <v>22</v>
      </c>
      <c r="N1362" s="39" t="s">
        <v>342</v>
      </c>
    </row>
    <row r="1363" spans="1:14" s="12" customFormat="1" ht="30.75" customHeight="1">
      <c r="A1363" s="179" t="s">
        <v>124</v>
      </c>
      <c r="B1363" s="76"/>
      <c r="C1363" s="492"/>
      <c r="D1363" s="237"/>
      <c r="E1363" s="237"/>
      <c r="F1363" s="237"/>
      <c r="G1363" s="237"/>
      <c r="H1363" s="43"/>
      <c r="I1363" s="24"/>
      <c r="J1363" s="24"/>
      <c r="K1363" s="25">
        <f>SUM(J1332:J1362)</f>
        <v>857776.99999999988</v>
      </c>
      <c r="L1363" s="23"/>
      <c r="M1363" s="23"/>
      <c r="N1363" s="42"/>
    </row>
    <row r="1364" spans="1:14" s="12" customFormat="1" ht="30.75" customHeight="1">
      <c r="A1364" s="178" t="s">
        <v>295</v>
      </c>
      <c r="B1364" s="75" t="s">
        <v>296</v>
      </c>
      <c r="C1364" s="176" t="s">
        <v>17</v>
      </c>
      <c r="D1364" s="236"/>
      <c r="E1364" s="236"/>
      <c r="F1364" s="236"/>
      <c r="G1364" s="236"/>
      <c r="H1364" s="40">
        <f>SUM(Tabla132112415[[#This Row],[PRIMER TRIMESTRE]:[CUARTO TRIMESTRE]])</f>
        <v>0</v>
      </c>
      <c r="I1364" s="17">
        <v>5300.02</v>
      </c>
      <c r="J1364" s="17">
        <f>+Tabla132112415[[#This Row],[CANTIDAD TOTAL]]*Tabla132112415[[#This Row],[PRECIO UNITARIO ESTIMADO]]</f>
        <v>0</v>
      </c>
      <c r="K1364" s="17"/>
      <c r="L1364" s="16" t="s">
        <v>27</v>
      </c>
      <c r="M1364" s="16" t="s">
        <v>22</v>
      </c>
      <c r="N1364" s="39" t="s">
        <v>342</v>
      </c>
    </row>
    <row r="1365" spans="1:14" s="12" customFormat="1" ht="30.75" customHeight="1">
      <c r="A1365" s="178" t="s">
        <v>295</v>
      </c>
      <c r="B1365" s="75" t="s">
        <v>297</v>
      </c>
      <c r="C1365" s="176" t="s">
        <v>17</v>
      </c>
      <c r="D1365" s="236"/>
      <c r="E1365" s="236"/>
      <c r="F1365" s="236"/>
      <c r="G1365" s="236"/>
      <c r="H1365" s="40">
        <f>SUM(Tabla132112415[[#This Row],[PRIMER TRIMESTRE]:[CUARTO TRIMESTRE]])</f>
        <v>0</v>
      </c>
      <c r="I1365" s="17">
        <v>11775.77</v>
      </c>
      <c r="J1365" s="17">
        <f>+Tabla132112415[[#This Row],[CANTIDAD TOTAL]]*Tabla132112415[[#This Row],[PRECIO UNITARIO ESTIMADO]]</f>
        <v>0</v>
      </c>
      <c r="K1365" s="17"/>
      <c r="L1365" s="16" t="s">
        <v>27</v>
      </c>
      <c r="M1365" s="16" t="s">
        <v>22</v>
      </c>
      <c r="N1365" s="39" t="s">
        <v>342</v>
      </c>
    </row>
    <row r="1366" spans="1:14" s="12" customFormat="1" ht="30.75" customHeight="1">
      <c r="A1366" s="178" t="s">
        <v>295</v>
      </c>
      <c r="B1366" s="75" t="s">
        <v>298</v>
      </c>
      <c r="C1366" s="176" t="s">
        <v>17</v>
      </c>
      <c r="D1366" s="236"/>
      <c r="E1366" s="236"/>
      <c r="F1366" s="236"/>
      <c r="G1366" s="236"/>
      <c r="H1366" s="40">
        <f>SUM(Tabla132112415[[#This Row],[PRIMER TRIMESTRE]:[CUARTO TRIMESTRE]])</f>
        <v>0</v>
      </c>
      <c r="I1366" s="17">
        <v>18999.439999999999</v>
      </c>
      <c r="J1366" s="17">
        <f>+Tabla132112415[[#This Row],[CANTIDAD TOTAL]]*Tabla132112415[[#This Row],[PRECIO UNITARIO ESTIMADO]]</f>
        <v>0</v>
      </c>
      <c r="K1366" s="17"/>
      <c r="L1366" s="16" t="s">
        <v>27</v>
      </c>
      <c r="M1366" s="16" t="s">
        <v>22</v>
      </c>
      <c r="N1366" s="39" t="s">
        <v>342</v>
      </c>
    </row>
    <row r="1367" spans="1:14" s="12" customFormat="1" ht="30.75" customHeight="1">
      <c r="A1367" s="178" t="s">
        <v>295</v>
      </c>
      <c r="B1367" s="75" t="s">
        <v>299</v>
      </c>
      <c r="C1367" s="176" t="s">
        <v>17</v>
      </c>
      <c r="D1367" s="236">
        <v>2</v>
      </c>
      <c r="E1367" s="236"/>
      <c r="F1367" s="236"/>
      <c r="G1367" s="236"/>
      <c r="H1367" s="40">
        <f>SUM(Tabla132112415[[#This Row],[PRIMER TRIMESTRE]:[CUARTO TRIMESTRE]])</f>
        <v>2</v>
      </c>
      <c r="I1367" s="17">
        <v>784</v>
      </c>
      <c r="J1367" s="17">
        <f>+Tabla132112415[[#This Row],[CANTIDAD TOTAL]]*Tabla132112415[[#This Row],[PRECIO UNITARIO ESTIMADO]]</f>
        <v>1568</v>
      </c>
      <c r="K1367" s="17"/>
      <c r="L1367" s="16" t="s">
        <v>27</v>
      </c>
      <c r="M1367" s="16" t="s">
        <v>22</v>
      </c>
      <c r="N1367" s="39" t="s">
        <v>342</v>
      </c>
    </row>
    <row r="1368" spans="1:14" s="12" customFormat="1" ht="30.75" customHeight="1">
      <c r="A1368" s="178" t="s">
        <v>295</v>
      </c>
      <c r="B1368" s="75" t="s">
        <v>300</v>
      </c>
      <c r="C1368" s="176" t="s">
        <v>17</v>
      </c>
      <c r="D1368" s="236"/>
      <c r="E1368" s="236"/>
      <c r="F1368" s="236"/>
      <c r="G1368" s="236"/>
      <c r="H1368" s="40">
        <f>SUM(Tabla132112415[[#This Row],[PRIMER TRIMESTRE]:[CUARTO TRIMESTRE]])</f>
        <v>0</v>
      </c>
      <c r="I1368" s="17">
        <v>21495</v>
      </c>
      <c r="J1368" s="17">
        <f>+Tabla132112415[[#This Row],[CANTIDAD TOTAL]]*Tabla132112415[[#This Row],[PRECIO UNITARIO ESTIMADO]]</f>
        <v>0</v>
      </c>
      <c r="K1368" s="17"/>
      <c r="L1368" s="16" t="s">
        <v>27</v>
      </c>
      <c r="M1368" s="16" t="s">
        <v>22</v>
      </c>
      <c r="N1368" s="39" t="s">
        <v>342</v>
      </c>
    </row>
    <row r="1369" spans="1:14" s="12" customFormat="1" ht="30.75" customHeight="1">
      <c r="A1369" s="178" t="s">
        <v>295</v>
      </c>
      <c r="B1369" s="75" t="s">
        <v>337</v>
      </c>
      <c r="C1369" s="176" t="s">
        <v>17</v>
      </c>
      <c r="D1369" s="236"/>
      <c r="E1369" s="236"/>
      <c r="F1369" s="236"/>
      <c r="G1369" s="236"/>
      <c r="H1369" s="40">
        <f>SUM(Tabla132112415[[#This Row],[PRIMER TRIMESTRE]:[CUARTO TRIMESTRE]])</f>
        <v>0</v>
      </c>
      <c r="I1369" s="17">
        <v>3225.3333333333335</v>
      </c>
      <c r="J1369" s="17">
        <f>+Tabla132112415[[#This Row],[CANTIDAD TOTAL]]*Tabla132112415[[#This Row],[PRECIO UNITARIO ESTIMADO]]</f>
        <v>0</v>
      </c>
      <c r="K1369" s="17"/>
      <c r="L1369" s="16" t="s">
        <v>27</v>
      </c>
      <c r="M1369" s="16" t="s">
        <v>22</v>
      </c>
      <c r="N1369" s="39" t="s">
        <v>418</v>
      </c>
    </row>
    <row r="1370" spans="1:14" s="12" customFormat="1" ht="30.75" customHeight="1">
      <c r="A1370" s="178" t="s">
        <v>295</v>
      </c>
      <c r="B1370" s="75" t="s">
        <v>2561</v>
      </c>
      <c r="C1370" s="176" t="s">
        <v>17</v>
      </c>
      <c r="D1370" s="236">
        <v>1</v>
      </c>
      <c r="E1370" s="236"/>
      <c r="F1370" s="236"/>
      <c r="G1370" s="236"/>
      <c r="H1370" s="40">
        <f>SUM(Tabla132112415[[#This Row],[PRIMER TRIMESTRE]:[CUARTO TRIMESTRE]])</f>
        <v>1</v>
      </c>
      <c r="I1370" s="17">
        <v>9000</v>
      </c>
      <c r="J1370" s="17">
        <f>+H1370*I1370</f>
        <v>9000</v>
      </c>
      <c r="K1370" s="17"/>
      <c r="L1370" s="16" t="s">
        <v>27</v>
      </c>
      <c r="M1370" s="16" t="s">
        <v>22</v>
      </c>
      <c r="N1370" s="39" t="s">
        <v>342</v>
      </c>
    </row>
    <row r="1371" spans="1:14" s="12" customFormat="1" ht="30.75" customHeight="1">
      <c r="A1371" s="178" t="s">
        <v>295</v>
      </c>
      <c r="B1371" s="75" t="s">
        <v>301</v>
      </c>
      <c r="C1371" s="176" t="s">
        <v>17</v>
      </c>
      <c r="D1371" s="236">
        <v>1</v>
      </c>
      <c r="E1371" s="236"/>
      <c r="F1371" s="236"/>
      <c r="G1371" s="236"/>
      <c r="H1371" s="40">
        <f>SUM(Tabla132112415[[#This Row],[PRIMER TRIMESTRE]:[CUARTO TRIMESTRE]])</f>
        <v>1</v>
      </c>
      <c r="I1371" s="17">
        <v>8004</v>
      </c>
      <c r="J1371" s="17">
        <f>+Tabla132112415[[#This Row],[CANTIDAD TOTAL]]*Tabla132112415[[#This Row],[PRECIO UNITARIO ESTIMADO]]</f>
        <v>8004</v>
      </c>
      <c r="K1371" s="17"/>
      <c r="L1371" s="16" t="s">
        <v>27</v>
      </c>
      <c r="M1371" s="16" t="s">
        <v>22</v>
      </c>
      <c r="N1371" s="39" t="s">
        <v>342</v>
      </c>
    </row>
    <row r="1372" spans="1:14" s="12" customFormat="1" ht="30.75" customHeight="1">
      <c r="A1372" s="178" t="s">
        <v>295</v>
      </c>
      <c r="B1372" s="75" t="s">
        <v>316</v>
      </c>
      <c r="C1372" s="176" t="s">
        <v>17</v>
      </c>
      <c r="D1372" s="236">
        <v>6</v>
      </c>
      <c r="E1372" s="236">
        <v>5</v>
      </c>
      <c r="F1372" s="236">
        <v>5</v>
      </c>
      <c r="G1372" s="236">
        <v>5</v>
      </c>
      <c r="H1372" s="40">
        <f>SUM(Tabla132112415[[#This Row],[PRIMER TRIMESTRE]:[CUARTO TRIMESTRE]])</f>
        <v>21</v>
      </c>
      <c r="I1372" s="17">
        <v>8802.7999999999993</v>
      </c>
      <c r="J1372" s="17">
        <f>+Tabla132112415[[#This Row],[CANTIDAD TOTAL]]*Tabla132112415[[#This Row],[PRECIO UNITARIO ESTIMADO]]</f>
        <v>184858.8</v>
      </c>
      <c r="K1372" s="17"/>
      <c r="L1372" s="16" t="s">
        <v>27</v>
      </c>
      <c r="M1372" s="16" t="s">
        <v>22</v>
      </c>
      <c r="N1372" s="39" t="s">
        <v>342</v>
      </c>
    </row>
    <row r="1373" spans="1:14" s="26" customFormat="1" ht="30.75" customHeight="1">
      <c r="A1373" s="178" t="s">
        <v>295</v>
      </c>
      <c r="B1373" s="75" t="s">
        <v>322</v>
      </c>
      <c r="C1373" s="176" t="s">
        <v>17</v>
      </c>
      <c r="D1373" s="236">
        <v>1</v>
      </c>
      <c r="E1373" s="236">
        <v>1</v>
      </c>
      <c r="F1373" s="236">
        <v>1</v>
      </c>
      <c r="G1373" s="236">
        <v>1</v>
      </c>
      <c r="H1373" s="40">
        <f>SUM(Tabla132112415[[#This Row],[PRIMER TRIMESTRE]:[CUARTO TRIMESTRE]])</f>
        <v>4</v>
      </c>
      <c r="I1373" s="17">
        <v>64546</v>
      </c>
      <c r="J1373" s="17">
        <f>+Tabla132112415[[#This Row],[CANTIDAD TOTAL]]*Tabla132112415[[#This Row],[PRECIO UNITARIO ESTIMADO]]</f>
        <v>258184</v>
      </c>
      <c r="K1373" s="17"/>
      <c r="L1373" s="16" t="s">
        <v>27</v>
      </c>
      <c r="M1373" s="16" t="s">
        <v>22</v>
      </c>
      <c r="N1373" s="39" t="s">
        <v>342</v>
      </c>
    </row>
    <row r="1374" spans="1:14" s="12" customFormat="1" ht="30.75" customHeight="1">
      <c r="A1374" s="178" t="s">
        <v>295</v>
      </c>
      <c r="B1374" s="75" t="s">
        <v>1423</v>
      </c>
      <c r="C1374" s="176" t="s">
        <v>17</v>
      </c>
      <c r="D1374" s="236">
        <v>2</v>
      </c>
      <c r="E1374" s="236"/>
      <c r="F1374" s="236"/>
      <c r="G1374" s="236"/>
      <c r="H1374" s="40">
        <f>SUM(Tabla132112415[[#This Row],[PRIMER TRIMESTRE]:[CUARTO TRIMESTRE]])</f>
        <v>2</v>
      </c>
      <c r="I1374" s="17">
        <v>24978.240000000002</v>
      </c>
      <c r="J1374" s="17">
        <f>+H1374*I1374</f>
        <v>49956.480000000003</v>
      </c>
      <c r="K1374" s="17"/>
      <c r="L1374" s="16" t="s">
        <v>15</v>
      </c>
      <c r="M1374" s="16" t="s">
        <v>22</v>
      </c>
      <c r="N1374" s="39" t="s">
        <v>342</v>
      </c>
    </row>
    <row r="1375" spans="1:14" s="12" customFormat="1" ht="30.75" customHeight="1">
      <c r="A1375" s="179" t="s">
        <v>295</v>
      </c>
      <c r="B1375" s="76"/>
      <c r="C1375" s="492"/>
      <c r="D1375" s="237"/>
      <c r="E1375" s="237"/>
      <c r="F1375" s="237"/>
      <c r="G1375" s="237"/>
      <c r="H1375" s="43"/>
      <c r="I1375" s="24"/>
      <c r="J1375" s="24"/>
      <c r="K1375" s="25">
        <f>SUM(J1364:J1374)</f>
        <v>511571.27999999997</v>
      </c>
      <c r="L1375" s="23"/>
      <c r="M1375" s="23"/>
      <c r="N1375" s="42"/>
    </row>
    <row r="1376" spans="1:14" s="12" customFormat="1" ht="30.75" customHeight="1">
      <c r="A1376" s="178" t="s">
        <v>147</v>
      </c>
      <c r="B1376" s="75" t="s">
        <v>302</v>
      </c>
      <c r="C1376" s="176" t="s">
        <v>17</v>
      </c>
      <c r="D1376" s="236">
        <v>60</v>
      </c>
      <c r="E1376" s="236"/>
      <c r="F1376" s="236"/>
      <c r="G1376" s="236"/>
      <c r="H1376" s="40">
        <f>SUM(Tabla132112415[[#This Row],[PRIMER TRIMESTRE]:[CUARTO TRIMESTRE]])</f>
        <v>60</v>
      </c>
      <c r="I1376" s="17">
        <v>452.4</v>
      </c>
      <c r="J1376" s="17">
        <f>+Tabla132112415[[#This Row],[CANTIDAD TOTAL]]*Tabla132112415[[#This Row],[PRECIO UNITARIO ESTIMADO]]</f>
        <v>27144</v>
      </c>
      <c r="K1376" s="17"/>
      <c r="L1376" s="16" t="s">
        <v>27</v>
      </c>
      <c r="M1376" s="16" t="s">
        <v>22</v>
      </c>
      <c r="N1376" s="39" t="s">
        <v>342</v>
      </c>
    </row>
    <row r="1377" spans="1:14" s="12" customFormat="1" ht="30.75" customHeight="1">
      <c r="A1377" s="178" t="s">
        <v>147</v>
      </c>
      <c r="B1377" s="75" t="s">
        <v>326</v>
      </c>
      <c r="C1377" s="176" t="s">
        <v>17</v>
      </c>
      <c r="D1377" s="236"/>
      <c r="E1377" s="236"/>
      <c r="F1377" s="236"/>
      <c r="G1377" s="236"/>
      <c r="H1377" s="40">
        <f>SUM(Tabla132112415[[#This Row],[PRIMER TRIMESTRE]:[CUARTO TRIMESTRE]])</f>
        <v>0</v>
      </c>
      <c r="I1377" s="17">
        <v>2596</v>
      </c>
      <c r="J1377" s="17">
        <f>+Tabla132112415[[#This Row],[CANTIDAD TOTAL]]*Tabla132112415[[#This Row],[PRECIO UNITARIO ESTIMADO]]</f>
        <v>0</v>
      </c>
      <c r="K1377" s="17"/>
      <c r="L1377" s="16" t="s">
        <v>27</v>
      </c>
      <c r="M1377" s="16" t="s">
        <v>22</v>
      </c>
      <c r="N1377" s="39" t="s">
        <v>342</v>
      </c>
    </row>
    <row r="1378" spans="1:14" s="12" customFormat="1" ht="30.75" customHeight="1">
      <c r="A1378" s="180" t="s">
        <v>147</v>
      </c>
      <c r="B1378" s="77" t="s">
        <v>332</v>
      </c>
      <c r="C1378" s="177" t="s">
        <v>17</v>
      </c>
      <c r="D1378" s="210">
        <v>120</v>
      </c>
      <c r="E1378" s="210">
        <v>20</v>
      </c>
      <c r="F1378" s="210">
        <v>20</v>
      </c>
      <c r="G1378" s="210">
        <v>20</v>
      </c>
      <c r="H1378" s="406">
        <f>SUM(Tabla132112415[[#This Row],[PRIMER TRIMESTRE]:[CUARTO TRIMESTRE]])</f>
        <v>180</v>
      </c>
      <c r="I1378" s="17">
        <v>460.2</v>
      </c>
      <c r="J1378" s="17">
        <f>+Tabla132112415[[#This Row],[CANTIDAD TOTAL]]*Tabla132112415[[#This Row],[PRECIO UNITARIO ESTIMADO]]</f>
        <v>82836</v>
      </c>
      <c r="K1378" s="17"/>
      <c r="L1378" s="16" t="s">
        <v>27</v>
      </c>
      <c r="M1378" s="16" t="s">
        <v>22</v>
      </c>
      <c r="N1378" s="39" t="s">
        <v>342</v>
      </c>
    </row>
    <row r="1379" spans="1:14" s="12" customFormat="1" ht="30.75" customHeight="1">
      <c r="A1379" s="178" t="s">
        <v>147</v>
      </c>
      <c r="B1379" s="75" t="s">
        <v>333</v>
      </c>
      <c r="C1379" s="176" t="s">
        <v>17</v>
      </c>
      <c r="D1379" s="236"/>
      <c r="E1379" s="236"/>
      <c r="F1379" s="236"/>
      <c r="G1379" s="236"/>
      <c r="H1379" s="40">
        <f>SUM(Tabla132112415[[#This Row],[PRIMER TRIMESTRE]:[CUARTO TRIMESTRE]])</f>
        <v>0</v>
      </c>
      <c r="I1379" s="17">
        <f>76995/450</f>
        <v>171.1</v>
      </c>
      <c r="J1379" s="17">
        <f>+Tabla132112415[[#This Row],[CANTIDAD TOTAL]]*Tabla132112415[[#This Row],[PRECIO UNITARIO ESTIMADO]]</f>
        <v>0</v>
      </c>
      <c r="K1379" s="17"/>
      <c r="L1379" s="16" t="s">
        <v>27</v>
      </c>
      <c r="M1379" s="16" t="s">
        <v>22</v>
      </c>
      <c r="N1379" s="39" t="s">
        <v>342</v>
      </c>
    </row>
    <row r="1380" spans="1:14" s="12" customFormat="1" ht="30.75" customHeight="1">
      <c r="A1380" s="178" t="s">
        <v>147</v>
      </c>
      <c r="B1380" s="75" t="s">
        <v>1580</v>
      </c>
      <c r="C1380" s="176" t="s">
        <v>149</v>
      </c>
      <c r="D1380" s="236"/>
      <c r="E1380" s="236"/>
      <c r="F1380" s="236"/>
      <c r="G1380" s="236"/>
      <c r="H1380" s="236">
        <f>SUM(Tabla132112415[[#This Row],[PRIMER TRIMESTRE]:[CUARTO TRIMESTRE]])</f>
        <v>0</v>
      </c>
      <c r="I1380" s="17">
        <v>3250</v>
      </c>
      <c r="J1380" s="17">
        <f>+H1380*I1380</f>
        <v>0</v>
      </c>
      <c r="K1380" s="17"/>
      <c r="L1380" s="16" t="s">
        <v>27</v>
      </c>
      <c r="M1380" s="16" t="s">
        <v>22</v>
      </c>
      <c r="N1380" s="39" t="s">
        <v>342</v>
      </c>
    </row>
    <row r="1381" spans="1:14" s="12" customFormat="1" ht="30.75" customHeight="1">
      <c r="A1381" s="178" t="s">
        <v>147</v>
      </c>
      <c r="B1381" s="75" t="s">
        <v>1581</v>
      </c>
      <c r="C1381" s="176" t="s">
        <v>149</v>
      </c>
      <c r="D1381" s="236"/>
      <c r="E1381" s="236"/>
      <c r="F1381" s="236"/>
      <c r="G1381" s="236"/>
      <c r="H1381" s="236">
        <f>SUM(Tabla132112415[[#This Row],[PRIMER TRIMESTRE]:[CUARTO TRIMESTRE]])</f>
        <v>0</v>
      </c>
      <c r="I1381" s="17">
        <v>3250</v>
      </c>
      <c r="J1381" s="17">
        <f>+H1381*I1381</f>
        <v>0</v>
      </c>
      <c r="K1381" s="17"/>
      <c r="L1381" s="16" t="s">
        <v>27</v>
      </c>
      <c r="M1381" s="16" t="s">
        <v>22</v>
      </c>
      <c r="N1381" s="39" t="s">
        <v>342</v>
      </c>
    </row>
    <row r="1382" spans="1:14" s="12" customFormat="1" ht="30.75" customHeight="1">
      <c r="A1382" s="178" t="s">
        <v>147</v>
      </c>
      <c r="B1382" s="75" t="s">
        <v>1579</v>
      </c>
      <c r="C1382" s="176" t="s">
        <v>149</v>
      </c>
      <c r="D1382" s="236"/>
      <c r="E1382" s="236"/>
      <c r="F1382" s="236"/>
      <c r="G1382" s="236"/>
      <c r="H1382" s="236">
        <f>SUM(Tabla132112415[[#This Row],[PRIMER TRIMESTRE]:[CUARTO TRIMESTRE]])</f>
        <v>0</v>
      </c>
      <c r="I1382" s="17">
        <v>3250</v>
      </c>
      <c r="J1382" s="17">
        <f>+H1382*I1382</f>
        <v>0</v>
      </c>
      <c r="K1382" s="17"/>
      <c r="L1382" s="16" t="s">
        <v>27</v>
      </c>
      <c r="M1382" s="16" t="s">
        <v>22</v>
      </c>
      <c r="N1382" s="39" t="s">
        <v>342</v>
      </c>
    </row>
    <row r="1383" spans="1:14" s="12" customFormat="1" ht="30.75" customHeight="1">
      <c r="A1383" s="178" t="s">
        <v>147</v>
      </c>
      <c r="B1383" s="75" t="s">
        <v>303</v>
      </c>
      <c r="C1383" s="176" t="s">
        <v>149</v>
      </c>
      <c r="D1383" s="236">
        <v>2</v>
      </c>
      <c r="E1383" s="236"/>
      <c r="F1383" s="236"/>
      <c r="G1383" s="236"/>
      <c r="H1383" s="236">
        <f>SUM(Tabla132112415[[#This Row],[PRIMER TRIMESTRE]:[CUARTO TRIMESTRE]])</f>
        <v>2</v>
      </c>
      <c r="I1383" s="17">
        <v>1856</v>
      </c>
      <c r="J1383" s="17">
        <f>+Tabla132112415[[#This Row],[CANTIDAD TOTAL]]*Tabla132112415[[#This Row],[PRECIO UNITARIO ESTIMADO]]</f>
        <v>3712</v>
      </c>
      <c r="K1383" s="17"/>
      <c r="L1383" s="16" t="s">
        <v>27</v>
      </c>
      <c r="M1383" s="16" t="s">
        <v>22</v>
      </c>
      <c r="N1383" s="39" t="s">
        <v>342</v>
      </c>
    </row>
    <row r="1384" spans="1:14" s="12" customFormat="1" ht="30.75" customHeight="1">
      <c r="A1384" s="178" t="s">
        <v>147</v>
      </c>
      <c r="B1384" s="75" t="s">
        <v>1582</v>
      </c>
      <c r="C1384" s="176" t="s">
        <v>149</v>
      </c>
      <c r="D1384" s="236"/>
      <c r="E1384" s="236"/>
      <c r="F1384" s="236"/>
      <c r="G1384" s="236"/>
      <c r="H1384" s="236">
        <f>SUM(Tabla132112415[[#This Row],[PRIMER TRIMESTRE]:[CUARTO TRIMESTRE]])</f>
        <v>0</v>
      </c>
      <c r="I1384" s="17">
        <v>1680</v>
      </c>
      <c r="J1384" s="17">
        <f>+H1384*I1384</f>
        <v>0</v>
      </c>
      <c r="K1384" s="17"/>
      <c r="L1384" s="16" t="s">
        <v>27</v>
      </c>
      <c r="M1384" s="16" t="s">
        <v>22</v>
      </c>
      <c r="N1384" s="39" t="s">
        <v>342</v>
      </c>
    </row>
    <row r="1385" spans="1:14" s="12" customFormat="1" ht="30.75" customHeight="1">
      <c r="A1385" s="178" t="s">
        <v>147</v>
      </c>
      <c r="B1385" s="75" t="s">
        <v>2562</v>
      </c>
      <c r="C1385" s="176" t="s">
        <v>149</v>
      </c>
      <c r="D1385" s="236"/>
      <c r="E1385" s="236"/>
      <c r="F1385" s="236"/>
      <c r="G1385" s="236"/>
      <c r="H1385" s="236">
        <f>SUM(Tabla132112415[[#This Row],[PRIMER TRIMESTRE]:[CUARTO TRIMESTRE]])</f>
        <v>0</v>
      </c>
      <c r="I1385" s="17">
        <v>1615</v>
      </c>
      <c r="J1385" s="17">
        <f>+H1385*I1385</f>
        <v>0</v>
      </c>
      <c r="K1385" s="17"/>
      <c r="L1385" s="16" t="s">
        <v>27</v>
      </c>
      <c r="M1385" s="16" t="s">
        <v>22</v>
      </c>
      <c r="N1385" s="39" t="s">
        <v>342</v>
      </c>
    </row>
    <row r="1386" spans="1:14" s="12" customFormat="1" ht="30.75" customHeight="1">
      <c r="A1386" s="178" t="s">
        <v>147</v>
      </c>
      <c r="B1386" s="75" t="s">
        <v>2563</v>
      </c>
      <c r="C1386" s="176" t="s">
        <v>149</v>
      </c>
      <c r="D1386" s="236"/>
      <c r="E1386" s="236"/>
      <c r="F1386" s="236"/>
      <c r="G1386" s="236"/>
      <c r="H1386" s="236">
        <f>SUM(Tabla132112415[[#This Row],[PRIMER TRIMESTRE]:[CUARTO TRIMESTRE]])</f>
        <v>0</v>
      </c>
      <c r="I1386" s="17">
        <v>1615</v>
      </c>
      <c r="J1386" s="17">
        <f>+H1386*I1386</f>
        <v>0</v>
      </c>
      <c r="K1386" s="17"/>
      <c r="L1386" s="16" t="s">
        <v>27</v>
      </c>
      <c r="M1386" s="16" t="s">
        <v>22</v>
      </c>
      <c r="N1386" s="39" t="s">
        <v>342</v>
      </c>
    </row>
    <row r="1387" spans="1:14" s="12" customFormat="1" ht="30.75" customHeight="1">
      <c r="A1387" s="178" t="s">
        <v>147</v>
      </c>
      <c r="B1387" s="75" t="s">
        <v>1585</v>
      </c>
      <c r="C1387" s="176" t="s">
        <v>149</v>
      </c>
      <c r="D1387" s="236"/>
      <c r="E1387" s="236"/>
      <c r="F1387" s="236"/>
      <c r="G1387" s="236"/>
      <c r="H1387" s="236">
        <f>SUM(Tabla132112415[[#This Row],[PRIMER TRIMESTRE]:[CUARTO TRIMESTRE]])</f>
        <v>0</v>
      </c>
      <c r="I1387" s="17">
        <v>1615</v>
      </c>
      <c r="J1387" s="17">
        <f>+H1387*I1387</f>
        <v>0</v>
      </c>
      <c r="K1387" s="17"/>
      <c r="L1387" s="16" t="s">
        <v>27</v>
      </c>
      <c r="M1387" s="16" t="s">
        <v>22</v>
      </c>
      <c r="N1387" s="39" t="s">
        <v>342</v>
      </c>
    </row>
    <row r="1388" spans="1:14" s="12" customFormat="1" ht="30.75" customHeight="1">
      <c r="A1388" s="178" t="s">
        <v>147</v>
      </c>
      <c r="B1388" s="75" t="s">
        <v>1586</v>
      </c>
      <c r="C1388" s="176" t="s">
        <v>149</v>
      </c>
      <c r="D1388" s="236"/>
      <c r="E1388" s="236"/>
      <c r="F1388" s="236"/>
      <c r="G1388" s="236"/>
      <c r="H1388" s="236">
        <f>SUM(Tabla132112415[[#This Row],[PRIMER TRIMESTRE]:[CUARTO TRIMESTRE]])</f>
        <v>0</v>
      </c>
      <c r="I1388" s="17">
        <v>1615</v>
      </c>
      <c r="J1388" s="17">
        <f>+H1388*I1388</f>
        <v>0</v>
      </c>
      <c r="K1388" s="17"/>
      <c r="L1388" s="16" t="s">
        <v>27</v>
      </c>
      <c r="M1388" s="16" t="s">
        <v>22</v>
      </c>
      <c r="N1388" s="39" t="s">
        <v>342</v>
      </c>
    </row>
    <row r="1389" spans="1:14" s="12" customFormat="1" ht="30.75" customHeight="1">
      <c r="A1389" s="178" t="s">
        <v>147</v>
      </c>
      <c r="B1389" s="75" t="s">
        <v>1272</v>
      </c>
      <c r="C1389" s="176" t="s">
        <v>149</v>
      </c>
      <c r="D1389" s="236"/>
      <c r="E1389" s="236"/>
      <c r="F1389" s="236"/>
      <c r="G1389" s="236"/>
      <c r="H1389" s="40">
        <f>SUM(Tabla132112415[[#This Row],[PRIMER TRIMESTRE]:[CUARTO TRIMESTRE]])</f>
        <v>0</v>
      </c>
      <c r="I1389" s="17">
        <v>488.31</v>
      </c>
      <c r="J1389" s="17">
        <f>+Tabla132112415[[#This Row],[CANTIDAD TOTAL]]*Tabla132112415[[#This Row],[PRECIO UNITARIO ESTIMADO]]</f>
        <v>0</v>
      </c>
      <c r="K1389" s="17"/>
      <c r="L1389" s="16" t="s">
        <v>27</v>
      </c>
      <c r="M1389" s="16" t="s">
        <v>22</v>
      </c>
      <c r="N1389" s="39" t="s">
        <v>342</v>
      </c>
    </row>
    <row r="1390" spans="1:14" s="12" customFormat="1" ht="30.75" customHeight="1">
      <c r="A1390" s="178" t="s">
        <v>147</v>
      </c>
      <c r="B1390" s="75" t="s">
        <v>1273</v>
      </c>
      <c r="C1390" s="176" t="s">
        <v>149</v>
      </c>
      <c r="D1390" s="236"/>
      <c r="E1390" s="241"/>
      <c r="F1390" s="236"/>
      <c r="G1390" s="236"/>
      <c r="H1390" s="40">
        <f>SUM(Tabla132112415[[#This Row],[PRIMER TRIMESTRE]:[CUARTO TRIMESTRE]])</f>
        <v>0</v>
      </c>
      <c r="I1390" s="17">
        <v>550.4</v>
      </c>
      <c r="J1390" s="17">
        <f>+H1390*I1390</f>
        <v>0</v>
      </c>
      <c r="K1390" s="17"/>
      <c r="L1390" s="16" t="s">
        <v>27</v>
      </c>
      <c r="M1390" s="16" t="s">
        <v>22</v>
      </c>
      <c r="N1390" s="39" t="s">
        <v>342</v>
      </c>
    </row>
    <row r="1391" spans="1:14" s="12" customFormat="1" ht="30.75" customHeight="1">
      <c r="A1391" s="178" t="s">
        <v>147</v>
      </c>
      <c r="B1391" s="75" t="s">
        <v>2564</v>
      </c>
      <c r="C1391" s="176" t="s">
        <v>149</v>
      </c>
      <c r="D1391" s="236">
        <v>6</v>
      </c>
      <c r="E1391" s="241">
        <v>3</v>
      </c>
      <c r="F1391" s="236">
        <v>3</v>
      </c>
      <c r="G1391" s="236">
        <v>2</v>
      </c>
      <c r="H1391" s="40">
        <f>SUM(Tabla132112415[[#This Row],[PRIMER TRIMESTRE]:[CUARTO TRIMESTRE]])</f>
        <v>14</v>
      </c>
      <c r="I1391" s="17">
        <v>0</v>
      </c>
      <c r="J1391" s="17"/>
      <c r="K1391" s="17"/>
      <c r="L1391" s="16"/>
      <c r="M1391" s="16"/>
      <c r="N1391" s="39"/>
    </row>
    <row r="1392" spans="1:14" s="12" customFormat="1" ht="30.75" customHeight="1">
      <c r="A1392" s="178" t="s">
        <v>147</v>
      </c>
      <c r="B1392" s="75" t="s">
        <v>1274</v>
      </c>
      <c r="C1392" s="176" t="s">
        <v>17</v>
      </c>
      <c r="D1392" s="236">
        <v>2</v>
      </c>
      <c r="E1392" s="236"/>
      <c r="F1392" s="236"/>
      <c r="G1392" s="236"/>
      <c r="H1392" s="40">
        <f>SUM(Tabla132112415[[#This Row],[PRIMER TRIMESTRE]:[CUARTO TRIMESTRE]])</f>
        <v>2</v>
      </c>
      <c r="I1392" s="17">
        <v>450</v>
      </c>
      <c r="J1392" s="17">
        <f>+H1392*I1392</f>
        <v>900</v>
      </c>
      <c r="K1392" s="17"/>
      <c r="L1392" s="16" t="s">
        <v>27</v>
      </c>
      <c r="M1392" s="16" t="s">
        <v>22</v>
      </c>
      <c r="N1392" s="39" t="s">
        <v>342</v>
      </c>
    </row>
    <row r="1393" spans="1:14" s="26" customFormat="1" ht="30.75" customHeight="1">
      <c r="A1393" s="178" t="s">
        <v>147</v>
      </c>
      <c r="B1393" s="75" t="s">
        <v>1270</v>
      </c>
      <c r="C1393" s="176" t="s">
        <v>17</v>
      </c>
      <c r="D1393" s="236"/>
      <c r="E1393" s="236"/>
      <c r="F1393" s="236"/>
      <c r="G1393" s="236"/>
      <c r="H1393" s="40">
        <f>SUM(Tabla132112415[[#This Row],[PRIMER TRIMESTRE]:[CUARTO TRIMESTRE]])</f>
        <v>0</v>
      </c>
      <c r="I1393" s="17">
        <v>850</v>
      </c>
      <c r="J1393" s="17">
        <f>+H1393*I1393</f>
        <v>0</v>
      </c>
      <c r="K1393" s="17"/>
      <c r="L1393" s="16" t="s">
        <v>27</v>
      </c>
      <c r="M1393" s="16" t="s">
        <v>22</v>
      </c>
      <c r="N1393" s="39" t="s">
        <v>342</v>
      </c>
    </row>
    <row r="1394" spans="1:14" s="26" customFormat="1" ht="30.75" customHeight="1">
      <c r="A1394" s="178" t="s">
        <v>147</v>
      </c>
      <c r="B1394" s="75" t="s">
        <v>2565</v>
      </c>
      <c r="C1394" s="176" t="s">
        <v>17</v>
      </c>
      <c r="D1394" s="236">
        <v>30</v>
      </c>
      <c r="E1394" s="236"/>
      <c r="F1394" s="236">
        <v>30</v>
      </c>
      <c r="G1394" s="236"/>
      <c r="H1394" s="40">
        <f>SUM(Tabla132112415[[#This Row],[PRIMER TRIMESTRE]:[CUARTO TRIMESTRE]])</f>
        <v>60</v>
      </c>
      <c r="I1394" s="17">
        <v>0</v>
      </c>
      <c r="J1394" s="17"/>
      <c r="K1394" s="17"/>
      <c r="L1394" s="16"/>
      <c r="M1394" s="16"/>
      <c r="N1394" s="39"/>
    </row>
    <row r="1395" spans="1:14" s="26" customFormat="1" ht="30.75" customHeight="1">
      <c r="A1395" s="178" t="s">
        <v>147</v>
      </c>
      <c r="B1395" s="75" t="s">
        <v>2566</v>
      </c>
      <c r="C1395" s="176" t="s">
        <v>17</v>
      </c>
      <c r="D1395" s="236">
        <v>100</v>
      </c>
      <c r="E1395" s="236">
        <v>30</v>
      </c>
      <c r="F1395" s="236">
        <v>30</v>
      </c>
      <c r="G1395" s="236">
        <v>20</v>
      </c>
      <c r="H1395" s="40">
        <f>SUM(Tabla132112415[[#This Row],[PRIMER TRIMESTRE]:[CUARTO TRIMESTRE]])</f>
        <v>180</v>
      </c>
      <c r="I1395" s="17">
        <v>0</v>
      </c>
      <c r="J1395" s="17"/>
      <c r="K1395" s="17"/>
      <c r="L1395" s="16"/>
      <c r="M1395" s="16"/>
      <c r="N1395" s="39"/>
    </row>
    <row r="1396" spans="1:14" s="12" customFormat="1" ht="30.75" customHeight="1">
      <c r="A1396" s="178" t="s">
        <v>147</v>
      </c>
      <c r="B1396" s="75" t="s">
        <v>1271</v>
      </c>
      <c r="C1396" s="176" t="s">
        <v>17</v>
      </c>
      <c r="D1396" s="236">
        <v>60</v>
      </c>
      <c r="E1396" s="236"/>
      <c r="F1396" s="236"/>
      <c r="G1396" s="236"/>
      <c r="H1396" s="40">
        <f>SUM(Tabla132112415[[#This Row],[PRIMER TRIMESTRE]:[CUARTO TRIMESTRE]])</f>
        <v>60</v>
      </c>
      <c r="I1396" s="17">
        <v>250</v>
      </c>
      <c r="J1396" s="17">
        <f>+H1396*I1396</f>
        <v>15000</v>
      </c>
      <c r="K1396" s="17"/>
      <c r="L1396" s="16" t="s">
        <v>27</v>
      </c>
      <c r="M1396" s="16" t="s">
        <v>22</v>
      </c>
      <c r="N1396" s="39" t="s">
        <v>342</v>
      </c>
    </row>
    <row r="1397" spans="1:14" s="12" customFormat="1" ht="30.75" customHeight="1">
      <c r="A1397" s="179" t="s">
        <v>147</v>
      </c>
      <c r="B1397" s="76"/>
      <c r="C1397" s="492"/>
      <c r="D1397" s="237"/>
      <c r="E1397" s="237"/>
      <c r="F1397" s="237"/>
      <c r="G1397" s="237"/>
      <c r="H1397" s="43"/>
      <c r="I1397" s="24"/>
      <c r="J1397" s="24"/>
      <c r="K1397" s="25">
        <f>SUM(J1376:J1396)</f>
        <v>129592</v>
      </c>
      <c r="L1397" s="23"/>
      <c r="M1397" s="23"/>
      <c r="N1397" s="42"/>
    </row>
    <row r="1398" spans="1:14" s="12" customFormat="1" ht="30.75" customHeight="1">
      <c r="A1398" s="178" t="s">
        <v>153</v>
      </c>
      <c r="B1398" s="75" t="s">
        <v>1908</v>
      </c>
      <c r="C1398" s="503" t="s">
        <v>17</v>
      </c>
      <c r="D1398" s="236"/>
      <c r="E1398" s="236"/>
      <c r="F1398" s="236"/>
      <c r="G1398" s="236"/>
      <c r="H1398" s="244">
        <f>SUM(Tabla132112415[[#This Row],[PRIMER TRIMESTRE]:[CUARTO TRIMESTRE]])</f>
        <v>0</v>
      </c>
      <c r="I1398" s="17">
        <v>0</v>
      </c>
      <c r="J1398" s="286"/>
      <c r="K1398" s="286"/>
      <c r="L1398" s="16" t="s">
        <v>15</v>
      </c>
      <c r="M1398" s="16" t="s">
        <v>22</v>
      </c>
      <c r="N1398" s="39" t="s">
        <v>342</v>
      </c>
    </row>
    <row r="1399" spans="1:14" s="12" customFormat="1" ht="30.75" customHeight="1">
      <c r="A1399" s="178" t="s">
        <v>1909</v>
      </c>
      <c r="B1399" s="75" t="s">
        <v>1910</v>
      </c>
      <c r="C1399" s="503" t="s">
        <v>17</v>
      </c>
      <c r="D1399" s="236"/>
      <c r="E1399" s="236"/>
      <c r="F1399" s="236"/>
      <c r="G1399" s="236"/>
      <c r="H1399" s="244">
        <v>0</v>
      </c>
      <c r="I1399" s="17">
        <v>0</v>
      </c>
      <c r="J1399" s="286"/>
      <c r="K1399" s="286"/>
      <c r="L1399" s="16" t="s">
        <v>15</v>
      </c>
      <c r="M1399" s="16" t="s">
        <v>22</v>
      </c>
      <c r="N1399" s="39" t="s">
        <v>342</v>
      </c>
    </row>
    <row r="1400" spans="1:14" s="12" customFormat="1" ht="30.75" customHeight="1">
      <c r="A1400" s="178" t="s">
        <v>1909</v>
      </c>
      <c r="B1400" s="75" t="s">
        <v>1911</v>
      </c>
      <c r="C1400" s="503" t="s">
        <v>17</v>
      </c>
      <c r="D1400" s="236"/>
      <c r="E1400" s="236"/>
      <c r="F1400" s="236"/>
      <c r="G1400" s="236"/>
      <c r="H1400" s="244">
        <f>SUM(Tabla132112415[[#This Row],[PRIMER TRIMESTRE]:[CUARTO TRIMESTRE]])</f>
        <v>0</v>
      </c>
      <c r="I1400" s="17">
        <v>1</v>
      </c>
      <c r="J1400" s="17"/>
      <c r="K1400" s="17"/>
      <c r="L1400" s="16" t="s">
        <v>15</v>
      </c>
      <c r="M1400" s="16" t="s">
        <v>22</v>
      </c>
      <c r="N1400" s="39" t="s">
        <v>342</v>
      </c>
    </row>
    <row r="1401" spans="1:14" s="12" customFormat="1" ht="30.75" customHeight="1">
      <c r="A1401" s="178" t="s">
        <v>153</v>
      </c>
      <c r="B1401" s="75" t="s">
        <v>1664</v>
      </c>
      <c r="C1401" s="503" t="s">
        <v>17</v>
      </c>
      <c r="D1401" s="236"/>
      <c r="E1401" s="236"/>
      <c r="F1401" s="236"/>
      <c r="G1401" s="236"/>
      <c r="H1401" s="244">
        <f>SUM(Tabla132112415[[#This Row],[PRIMER TRIMESTRE]:[CUARTO TRIMESTRE]])</f>
        <v>0</v>
      </c>
      <c r="I1401" s="17">
        <v>1</v>
      </c>
      <c r="J1401" s="17"/>
      <c r="K1401" s="17"/>
      <c r="L1401" s="16" t="s">
        <v>15</v>
      </c>
      <c r="M1401" s="16" t="s">
        <v>22</v>
      </c>
      <c r="N1401" s="39" t="s">
        <v>342</v>
      </c>
    </row>
    <row r="1402" spans="1:14" s="12" customFormat="1" ht="30.75" customHeight="1">
      <c r="A1402" s="178" t="s">
        <v>153</v>
      </c>
      <c r="B1402" s="75" t="s">
        <v>1665</v>
      </c>
      <c r="C1402" s="503" t="s">
        <v>17</v>
      </c>
      <c r="D1402" s="236"/>
      <c r="E1402" s="236"/>
      <c r="F1402" s="236"/>
      <c r="G1402" s="236"/>
      <c r="H1402" s="244">
        <f>SUM(Tabla132112415[[#This Row],[PRIMER TRIMESTRE]:[CUARTO TRIMESTRE]])</f>
        <v>0</v>
      </c>
      <c r="I1402" s="17">
        <v>0</v>
      </c>
      <c r="J1402" s="286"/>
      <c r="K1402" s="286"/>
      <c r="L1402" s="16" t="s">
        <v>15</v>
      </c>
      <c r="M1402" s="16" t="s">
        <v>22</v>
      </c>
      <c r="N1402" s="39" t="s">
        <v>342</v>
      </c>
    </row>
    <row r="1403" spans="1:14" s="12" customFormat="1" ht="30.75" customHeight="1">
      <c r="A1403" s="178" t="s">
        <v>153</v>
      </c>
      <c r="B1403" s="75" t="s">
        <v>2567</v>
      </c>
      <c r="C1403" s="503" t="s">
        <v>17</v>
      </c>
      <c r="D1403" s="236">
        <v>2</v>
      </c>
      <c r="E1403" s="236"/>
      <c r="F1403" s="236"/>
      <c r="G1403" s="236"/>
      <c r="H1403" s="244">
        <f>SUM(Tabla132112415[[#This Row],[PRIMER TRIMESTRE]:[CUARTO TRIMESTRE]])</f>
        <v>2</v>
      </c>
      <c r="I1403" s="17">
        <v>0</v>
      </c>
      <c r="J1403" s="286"/>
      <c r="K1403" s="286"/>
      <c r="L1403" s="16"/>
      <c r="M1403" s="16"/>
      <c r="N1403" s="39"/>
    </row>
    <row r="1404" spans="1:14" s="12" customFormat="1" ht="30.75" customHeight="1">
      <c r="A1404" s="178" t="s">
        <v>153</v>
      </c>
      <c r="B1404" s="75" t="s">
        <v>768</v>
      </c>
      <c r="C1404" s="176" t="s">
        <v>17</v>
      </c>
      <c r="D1404" s="236"/>
      <c r="E1404" s="236"/>
      <c r="F1404" s="236"/>
      <c r="G1404" s="236"/>
      <c r="H1404" s="244">
        <f>SUM(Tabla132112415[[#This Row],[PRIMER TRIMESTRE]:[CUARTO TRIMESTRE]])</f>
        <v>0</v>
      </c>
      <c r="I1404" s="17">
        <v>48.75</v>
      </c>
      <c r="J1404" s="17">
        <f>+H1404*I1404</f>
        <v>0</v>
      </c>
      <c r="K1404" s="17"/>
      <c r="L1404" s="16" t="s">
        <v>15</v>
      </c>
      <c r="M1404" s="16" t="s">
        <v>22</v>
      </c>
      <c r="N1404" s="39" t="s">
        <v>342</v>
      </c>
    </row>
    <row r="1405" spans="1:14" s="12" customFormat="1" ht="30.75" customHeight="1">
      <c r="A1405" s="178" t="s">
        <v>153</v>
      </c>
      <c r="B1405" s="75" t="s">
        <v>1417</v>
      </c>
      <c r="C1405" s="176" t="s">
        <v>17</v>
      </c>
      <c r="D1405" s="236"/>
      <c r="E1405" s="236"/>
      <c r="F1405" s="236"/>
      <c r="G1405" s="236"/>
      <c r="H1405" s="236">
        <f>SUM(Tabla132112415[[#This Row],[PRIMER TRIMESTRE]:[CUARTO TRIMESTRE]])</f>
        <v>0</v>
      </c>
      <c r="I1405" s="17">
        <v>9</v>
      </c>
      <c r="J1405" s="17">
        <f>+H1405*I1405</f>
        <v>0</v>
      </c>
      <c r="K1405" s="17"/>
      <c r="L1405" s="16" t="s">
        <v>18</v>
      </c>
      <c r="M1405" s="16" t="s">
        <v>22</v>
      </c>
      <c r="N1405" s="39" t="s">
        <v>342</v>
      </c>
    </row>
    <row r="1406" spans="1:14" s="26" customFormat="1" ht="30.75" customHeight="1">
      <c r="A1406" s="178" t="s">
        <v>153</v>
      </c>
      <c r="B1406" s="75" t="s">
        <v>1627</v>
      </c>
      <c r="C1406" s="176" t="s">
        <v>17</v>
      </c>
      <c r="D1406" s="236"/>
      <c r="E1406" s="236"/>
      <c r="F1406" s="236"/>
      <c r="G1406" s="236"/>
      <c r="H1406" s="236">
        <f>SUM(Tabla132112415[[#This Row],[PRIMER TRIMESTRE]:[CUARTO TRIMESTRE]])</f>
        <v>0</v>
      </c>
      <c r="I1406" s="17">
        <v>30</v>
      </c>
      <c r="J1406" s="17">
        <f>+H1406*I1406</f>
        <v>0</v>
      </c>
      <c r="K1406" s="178"/>
      <c r="L1406" s="16" t="s">
        <v>18</v>
      </c>
      <c r="M1406" s="16" t="s">
        <v>22</v>
      </c>
      <c r="N1406" s="39" t="s">
        <v>342</v>
      </c>
    </row>
    <row r="1407" spans="1:14" s="169" customFormat="1" ht="30.75" customHeight="1">
      <c r="A1407" s="178" t="s">
        <v>153</v>
      </c>
      <c r="B1407" s="75" t="s">
        <v>1466</v>
      </c>
      <c r="C1407" s="176" t="s">
        <v>17</v>
      </c>
      <c r="D1407" s="236"/>
      <c r="E1407" s="236"/>
      <c r="F1407" s="236"/>
      <c r="G1407" s="236"/>
      <c r="H1407" s="244">
        <f>SUM(Tabla132112415[[#This Row],[PRIMER TRIMESTRE]:[CUARTO TRIMESTRE]])</f>
        <v>0</v>
      </c>
      <c r="I1407" s="17">
        <v>2200</v>
      </c>
      <c r="J1407" s="17">
        <f>+H1407*I1407</f>
        <v>0</v>
      </c>
      <c r="K1407" s="17"/>
      <c r="L1407" s="16" t="s">
        <v>18</v>
      </c>
      <c r="M1407" s="16" t="s">
        <v>22</v>
      </c>
      <c r="N1407" s="39" t="s">
        <v>342</v>
      </c>
    </row>
    <row r="1408" spans="1:14" s="169" customFormat="1" ht="49.5" customHeight="1">
      <c r="A1408" s="179" t="s">
        <v>153</v>
      </c>
      <c r="B1408" s="76"/>
      <c r="C1408" s="492"/>
      <c r="D1408" s="237"/>
      <c r="E1408" s="237"/>
      <c r="F1408" s="237"/>
      <c r="G1408" s="237"/>
      <c r="H1408" s="43"/>
      <c r="I1408" s="24"/>
      <c r="J1408" s="24"/>
      <c r="K1408" s="25">
        <f>SUM(J1404:J1407)</f>
        <v>0</v>
      </c>
      <c r="L1408" s="23"/>
      <c r="M1408" s="23"/>
      <c r="N1408" s="42"/>
    </row>
    <row r="1409" spans="1:14" s="169" customFormat="1" ht="51.75" customHeight="1">
      <c r="A1409" s="180" t="s">
        <v>1024</v>
      </c>
      <c r="B1409" s="77" t="s">
        <v>1025</v>
      </c>
      <c r="C1409" s="177" t="s">
        <v>17</v>
      </c>
      <c r="D1409" s="210"/>
      <c r="E1409" s="210"/>
      <c r="F1409" s="210"/>
      <c r="G1409" s="210"/>
      <c r="H1409" s="406">
        <f>SUM(Tabla132112415[[#This Row],[PRIMER TRIMESTRE]:[CUARTO TRIMESTRE]])</f>
        <v>0</v>
      </c>
      <c r="I1409" s="72">
        <v>2465459.7599999998</v>
      </c>
      <c r="J1409" s="72">
        <f t="shared" ref="J1409:J1414" si="35">+H1409*I1409</f>
        <v>0</v>
      </c>
      <c r="K1409" s="72"/>
      <c r="L1409" s="73" t="s">
        <v>18</v>
      </c>
      <c r="M1409" s="73" t="s">
        <v>19</v>
      </c>
      <c r="N1409" s="70"/>
    </row>
    <row r="1410" spans="1:14" s="169" customFormat="1" ht="54" customHeight="1">
      <c r="A1410" s="180" t="s">
        <v>1024</v>
      </c>
      <c r="B1410" s="77" t="s">
        <v>1026</v>
      </c>
      <c r="C1410" s="177" t="s">
        <v>17</v>
      </c>
      <c r="D1410" s="210"/>
      <c r="E1410" s="210"/>
      <c r="F1410" s="210"/>
      <c r="G1410" s="210"/>
      <c r="H1410" s="406">
        <f>SUM(Tabla132112415[[#This Row],[PRIMER TRIMESTRE]:[CUARTO TRIMESTRE]])</f>
        <v>0</v>
      </c>
      <c r="I1410" s="72">
        <v>485677.62</v>
      </c>
      <c r="J1410" s="72">
        <f t="shared" si="35"/>
        <v>0</v>
      </c>
      <c r="K1410" s="72"/>
      <c r="L1410" s="73" t="s">
        <v>18</v>
      </c>
      <c r="M1410" s="73" t="s">
        <v>19</v>
      </c>
      <c r="N1410" s="70" t="s">
        <v>342</v>
      </c>
    </row>
    <row r="1411" spans="1:14" s="169" customFormat="1" ht="48.75" customHeight="1">
      <c r="A1411" s="180" t="s">
        <v>1024</v>
      </c>
      <c r="B1411" s="77" t="s">
        <v>1027</v>
      </c>
      <c r="C1411" s="177" t="s">
        <v>17</v>
      </c>
      <c r="D1411" s="210"/>
      <c r="E1411" s="210"/>
      <c r="F1411" s="210"/>
      <c r="G1411" s="210"/>
      <c r="H1411" s="406">
        <f>SUM(Tabla132112415[[#This Row],[PRIMER TRIMESTRE]:[CUARTO TRIMESTRE]])</f>
        <v>0</v>
      </c>
      <c r="I1411" s="72">
        <v>7126452.3600000003</v>
      </c>
      <c r="J1411" s="72">
        <f t="shared" si="35"/>
        <v>0</v>
      </c>
      <c r="K1411" s="72"/>
      <c r="L1411" s="73" t="s">
        <v>18</v>
      </c>
      <c r="M1411" s="73" t="s">
        <v>19</v>
      </c>
      <c r="N1411" s="70"/>
    </row>
    <row r="1412" spans="1:14" s="169" customFormat="1" ht="51" customHeight="1">
      <c r="A1412" s="180" t="s">
        <v>1024</v>
      </c>
      <c r="B1412" s="77" t="s">
        <v>1028</v>
      </c>
      <c r="C1412" s="177" t="s">
        <v>17</v>
      </c>
      <c r="D1412" s="210"/>
      <c r="E1412" s="210"/>
      <c r="F1412" s="210"/>
      <c r="G1412" s="210"/>
      <c r="H1412" s="406">
        <f>SUM(Tabla132112415[[#This Row],[PRIMER TRIMESTRE]:[CUARTO TRIMESTRE]])</f>
        <v>0</v>
      </c>
      <c r="I1412" s="72">
        <v>52892.2</v>
      </c>
      <c r="J1412" s="72">
        <f t="shared" si="35"/>
        <v>0</v>
      </c>
      <c r="K1412" s="72"/>
      <c r="L1412" s="73" t="s">
        <v>18</v>
      </c>
      <c r="M1412" s="73" t="s">
        <v>19</v>
      </c>
      <c r="N1412" s="70" t="s">
        <v>342</v>
      </c>
    </row>
    <row r="1413" spans="1:14" s="169" customFormat="1" ht="48.75" customHeight="1">
      <c r="A1413" s="180" t="s">
        <v>1024</v>
      </c>
      <c r="B1413" s="77" t="s">
        <v>1029</v>
      </c>
      <c r="C1413" s="177" t="s">
        <v>17</v>
      </c>
      <c r="D1413" s="210"/>
      <c r="E1413" s="210"/>
      <c r="F1413" s="210"/>
      <c r="G1413" s="210"/>
      <c r="H1413" s="406">
        <f>SUM(Tabla132112415[[#This Row],[PRIMER TRIMESTRE]:[CUARTO TRIMESTRE]])</f>
        <v>0</v>
      </c>
      <c r="I1413" s="72">
        <v>134185.97999999998</v>
      </c>
      <c r="J1413" s="72">
        <f t="shared" si="35"/>
        <v>0</v>
      </c>
      <c r="K1413" s="72"/>
      <c r="L1413" s="73" t="s">
        <v>18</v>
      </c>
      <c r="M1413" s="73" t="s">
        <v>19</v>
      </c>
      <c r="N1413" s="70"/>
    </row>
    <row r="1414" spans="1:14" s="12" customFormat="1" ht="30.75" customHeight="1">
      <c r="A1414" s="180" t="s">
        <v>1024</v>
      </c>
      <c r="B1414" s="77" t="s">
        <v>1030</v>
      </c>
      <c r="C1414" s="177" t="s">
        <v>17</v>
      </c>
      <c r="D1414" s="210"/>
      <c r="E1414" s="210"/>
      <c r="F1414" s="210"/>
      <c r="G1414" s="210"/>
      <c r="H1414" s="406">
        <f>SUM(Tabla132112415[[#This Row],[PRIMER TRIMESTRE]:[CUARTO TRIMESTRE]])</f>
        <v>0</v>
      </c>
      <c r="I1414" s="72">
        <v>624559.46</v>
      </c>
      <c r="J1414" s="72">
        <f t="shared" si="35"/>
        <v>0</v>
      </c>
      <c r="K1414" s="72"/>
      <c r="L1414" s="73" t="s">
        <v>18</v>
      </c>
      <c r="M1414" s="73" t="s">
        <v>19</v>
      </c>
      <c r="N1414" s="70"/>
    </row>
    <row r="1415" spans="1:14" s="169" customFormat="1" ht="30.75" customHeight="1">
      <c r="A1415" s="179" t="s">
        <v>1024</v>
      </c>
      <c r="B1415" s="76"/>
      <c r="C1415" s="492"/>
      <c r="D1415" s="237"/>
      <c r="E1415" s="237"/>
      <c r="F1415" s="237"/>
      <c r="G1415" s="237"/>
      <c r="H1415" s="43"/>
      <c r="I1415" s="24"/>
      <c r="J1415" s="24"/>
      <c r="K1415" s="25">
        <f>SUM(J1409:J1414)</f>
        <v>0</v>
      </c>
      <c r="L1415" s="23"/>
      <c r="M1415" s="23"/>
      <c r="N1415" s="42"/>
    </row>
    <row r="1416" spans="1:14" s="169" customFormat="1" ht="30.75" customHeight="1">
      <c r="A1416" s="180" t="s">
        <v>167</v>
      </c>
      <c r="B1416" s="77" t="s">
        <v>964</v>
      </c>
      <c r="C1416" s="177" t="s">
        <v>17</v>
      </c>
      <c r="D1416" s="210"/>
      <c r="E1416" s="210"/>
      <c r="F1416" s="210"/>
      <c r="G1416" s="210"/>
      <c r="H1416" s="406">
        <f>SUM(Tabla132112415[[#This Row],[PRIMER TRIMESTRE]:[CUARTO TRIMESTRE]])</f>
        <v>0</v>
      </c>
      <c r="I1416" s="72">
        <v>84508.178</v>
      </c>
      <c r="J1416" s="72">
        <f t="shared" ref="J1416:J1479" si="36">+H1416*I1416</f>
        <v>0</v>
      </c>
      <c r="K1416" s="72"/>
      <c r="L1416" s="73" t="s">
        <v>18</v>
      </c>
      <c r="M1416" s="73" t="s">
        <v>19</v>
      </c>
      <c r="N1416" s="70" t="s">
        <v>342</v>
      </c>
    </row>
    <row r="1417" spans="1:14" s="169" customFormat="1" ht="30.75" customHeight="1">
      <c r="A1417" s="180" t="s">
        <v>167</v>
      </c>
      <c r="B1417" s="77" t="s">
        <v>965</v>
      </c>
      <c r="C1417" s="177" t="s">
        <v>17</v>
      </c>
      <c r="D1417" s="210"/>
      <c r="E1417" s="210"/>
      <c r="F1417" s="210"/>
      <c r="G1417" s="210"/>
      <c r="H1417" s="406">
        <f>SUM(Tabla132112415[[#This Row],[PRIMER TRIMESTRE]:[CUARTO TRIMESTRE]])</f>
        <v>0</v>
      </c>
      <c r="I1417" s="72">
        <v>55372.68</v>
      </c>
      <c r="J1417" s="72">
        <f t="shared" si="36"/>
        <v>0</v>
      </c>
      <c r="K1417" s="72"/>
      <c r="L1417" s="73" t="s">
        <v>18</v>
      </c>
      <c r="M1417" s="73" t="s">
        <v>19</v>
      </c>
      <c r="N1417" s="70"/>
    </row>
    <row r="1418" spans="1:14" s="169" customFormat="1" ht="30.75" customHeight="1">
      <c r="A1418" s="180" t="s">
        <v>167</v>
      </c>
      <c r="B1418" s="77" t="s">
        <v>966</v>
      </c>
      <c r="C1418" s="177" t="s">
        <v>17</v>
      </c>
      <c r="D1418" s="210"/>
      <c r="E1418" s="210"/>
      <c r="F1418" s="210"/>
      <c r="G1418" s="210"/>
      <c r="H1418" s="406">
        <f>SUM(Tabla132112415[[#This Row],[PRIMER TRIMESTRE]:[CUARTO TRIMESTRE]])</f>
        <v>0</v>
      </c>
      <c r="I1418" s="72">
        <v>467752</v>
      </c>
      <c r="J1418" s="72">
        <f t="shared" si="36"/>
        <v>0</v>
      </c>
      <c r="K1418" s="72"/>
      <c r="L1418" s="73" t="s">
        <v>18</v>
      </c>
      <c r="M1418" s="73" t="s">
        <v>19</v>
      </c>
      <c r="N1418" s="70"/>
    </row>
    <row r="1419" spans="1:14" s="169" customFormat="1" ht="30.75" customHeight="1">
      <c r="A1419" s="180" t="s">
        <v>167</v>
      </c>
      <c r="B1419" s="77" t="s">
        <v>967</v>
      </c>
      <c r="C1419" s="177" t="s">
        <v>17</v>
      </c>
      <c r="D1419" s="210"/>
      <c r="E1419" s="210"/>
      <c r="F1419" s="210"/>
      <c r="G1419" s="210"/>
      <c r="H1419" s="406">
        <f>SUM(Tabla132112415[[#This Row],[PRIMER TRIMESTRE]:[CUARTO TRIMESTRE]])</f>
        <v>0</v>
      </c>
      <c r="I1419" s="72">
        <v>804524</v>
      </c>
      <c r="J1419" s="72">
        <f t="shared" si="36"/>
        <v>0</v>
      </c>
      <c r="K1419" s="72"/>
      <c r="L1419" s="73" t="s">
        <v>18</v>
      </c>
      <c r="M1419" s="73" t="s">
        <v>19</v>
      </c>
      <c r="N1419" s="70"/>
    </row>
    <row r="1420" spans="1:14" s="169" customFormat="1" ht="30.75" customHeight="1">
      <c r="A1420" s="180" t="s">
        <v>167</v>
      </c>
      <c r="B1420" s="77" t="s">
        <v>968</v>
      </c>
      <c r="C1420" s="177" t="s">
        <v>17</v>
      </c>
      <c r="D1420" s="210"/>
      <c r="E1420" s="210"/>
      <c r="F1420" s="210"/>
      <c r="G1420" s="210"/>
      <c r="H1420" s="406">
        <f>SUM(Tabla132112415[[#This Row],[PRIMER TRIMESTRE]:[CUARTO TRIMESTRE]])</f>
        <v>0</v>
      </c>
      <c r="I1420" s="72">
        <v>223315</v>
      </c>
      <c r="J1420" s="72">
        <f t="shared" si="36"/>
        <v>0</v>
      </c>
      <c r="K1420" s="72"/>
      <c r="L1420" s="73" t="s">
        <v>18</v>
      </c>
      <c r="M1420" s="73" t="s">
        <v>19</v>
      </c>
      <c r="N1420" s="70" t="s">
        <v>342</v>
      </c>
    </row>
    <row r="1421" spans="1:14" s="169" customFormat="1" ht="30.75" customHeight="1">
      <c r="A1421" s="180" t="s">
        <v>167</v>
      </c>
      <c r="B1421" s="77" t="s">
        <v>969</v>
      </c>
      <c r="C1421" s="177" t="s">
        <v>17</v>
      </c>
      <c r="D1421" s="210"/>
      <c r="E1421" s="210"/>
      <c r="F1421" s="210"/>
      <c r="G1421" s="210"/>
      <c r="H1421" s="406">
        <f>SUM(Tabla132112415[[#This Row],[PRIMER TRIMESTRE]:[CUARTO TRIMESTRE]])</f>
        <v>0</v>
      </c>
      <c r="I1421" s="72">
        <v>73588.34</v>
      </c>
      <c r="J1421" s="72">
        <f t="shared" si="36"/>
        <v>0</v>
      </c>
      <c r="K1421" s="72"/>
      <c r="L1421" s="73" t="s">
        <v>18</v>
      </c>
      <c r="M1421" s="73" t="s">
        <v>19</v>
      </c>
      <c r="N1421" s="70" t="s">
        <v>342</v>
      </c>
    </row>
    <row r="1422" spans="1:14" s="169" customFormat="1" ht="30.75" customHeight="1">
      <c r="A1422" s="180" t="s">
        <v>167</v>
      </c>
      <c r="B1422" s="77" t="s">
        <v>970</v>
      </c>
      <c r="C1422" s="177" t="s">
        <v>17</v>
      </c>
      <c r="D1422" s="210"/>
      <c r="E1422" s="210"/>
      <c r="F1422" s="210"/>
      <c r="G1422" s="210"/>
      <c r="H1422" s="406">
        <f>SUM(Tabla132112415[[#This Row],[PRIMER TRIMESTRE]:[CUARTO TRIMESTRE]])</f>
        <v>0</v>
      </c>
      <c r="I1422" s="72">
        <v>170392</v>
      </c>
      <c r="J1422" s="72">
        <f t="shared" si="36"/>
        <v>0</v>
      </c>
      <c r="K1422" s="72"/>
      <c r="L1422" s="73" t="s">
        <v>18</v>
      </c>
      <c r="M1422" s="73" t="s">
        <v>19</v>
      </c>
      <c r="N1422" s="70" t="s">
        <v>342</v>
      </c>
    </row>
    <row r="1423" spans="1:14" s="169" customFormat="1" ht="30.75" customHeight="1">
      <c r="A1423" s="180" t="s">
        <v>167</v>
      </c>
      <c r="B1423" s="77" t="s">
        <v>971</v>
      </c>
      <c r="C1423" s="177" t="s">
        <v>17</v>
      </c>
      <c r="D1423" s="210"/>
      <c r="E1423" s="210"/>
      <c r="F1423" s="210"/>
      <c r="G1423" s="210"/>
      <c r="H1423" s="406">
        <f>SUM(Tabla132112415[[#This Row],[PRIMER TRIMESTRE]:[CUARTO TRIMESTRE]])</f>
        <v>0</v>
      </c>
      <c r="I1423" s="72">
        <v>274350</v>
      </c>
      <c r="J1423" s="72">
        <f t="shared" si="36"/>
        <v>0</v>
      </c>
      <c r="K1423" s="72"/>
      <c r="L1423" s="73" t="s">
        <v>18</v>
      </c>
      <c r="M1423" s="73" t="s">
        <v>19</v>
      </c>
      <c r="N1423" s="70" t="s">
        <v>342</v>
      </c>
    </row>
    <row r="1424" spans="1:14" s="169" customFormat="1" ht="30.75" customHeight="1">
      <c r="A1424" s="180" t="s">
        <v>167</v>
      </c>
      <c r="B1424" s="77" t="s">
        <v>972</v>
      </c>
      <c r="C1424" s="177" t="s">
        <v>17</v>
      </c>
      <c r="D1424" s="210"/>
      <c r="E1424" s="210"/>
      <c r="F1424" s="210"/>
      <c r="G1424" s="210"/>
      <c r="H1424" s="406">
        <f>SUM(Tabla132112415[[#This Row],[PRIMER TRIMESTRE]:[CUARTO TRIMESTRE]])</f>
        <v>0</v>
      </c>
      <c r="I1424" s="72">
        <v>55460</v>
      </c>
      <c r="J1424" s="72">
        <f t="shared" si="36"/>
        <v>0</v>
      </c>
      <c r="K1424" s="72"/>
      <c r="L1424" s="73" t="s">
        <v>18</v>
      </c>
      <c r="M1424" s="73" t="s">
        <v>19</v>
      </c>
      <c r="N1424" s="70" t="s">
        <v>342</v>
      </c>
    </row>
    <row r="1425" spans="1:14" s="169" customFormat="1" ht="30.75" customHeight="1">
      <c r="A1425" s="180" t="s">
        <v>167</v>
      </c>
      <c r="B1425" s="77" t="s">
        <v>973</v>
      </c>
      <c r="C1425" s="177" t="s">
        <v>17</v>
      </c>
      <c r="D1425" s="210"/>
      <c r="E1425" s="210"/>
      <c r="F1425" s="210"/>
      <c r="G1425" s="210"/>
      <c r="H1425" s="406">
        <f>SUM(Tabla132112415[[#This Row],[PRIMER TRIMESTRE]:[CUARTO TRIMESTRE]])</f>
        <v>0</v>
      </c>
      <c r="I1425" s="72">
        <v>59000</v>
      </c>
      <c r="J1425" s="72">
        <f t="shared" si="36"/>
        <v>0</v>
      </c>
      <c r="K1425" s="72"/>
      <c r="L1425" s="73" t="s">
        <v>18</v>
      </c>
      <c r="M1425" s="73" t="s">
        <v>19</v>
      </c>
      <c r="N1425" s="70" t="s">
        <v>342</v>
      </c>
    </row>
    <row r="1426" spans="1:14" s="169" customFormat="1" ht="30.75" customHeight="1">
      <c r="A1426" s="180" t="s">
        <v>167</v>
      </c>
      <c r="B1426" s="77" t="s">
        <v>974</v>
      </c>
      <c r="C1426" s="177" t="s">
        <v>17</v>
      </c>
      <c r="D1426" s="210"/>
      <c r="E1426" s="210"/>
      <c r="F1426" s="210"/>
      <c r="G1426" s="210"/>
      <c r="H1426" s="406">
        <f>SUM(Tabla132112415[[#This Row],[PRIMER TRIMESTRE]:[CUARTO TRIMESTRE]])</f>
        <v>0</v>
      </c>
      <c r="I1426" s="72">
        <v>17700</v>
      </c>
      <c r="J1426" s="72">
        <f t="shared" si="36"/>
        <v>0</v>
      </c>
      <c r="K1426" s="72"/>
      <c r="L1426" s="73" t="s">
        <v>18</v>
      </c>
      <c r="M1426" s="73" t="s">
        <v>19</v>
      </c>
      <c r="N1426" s="70" t="s">
        <v>342</v>
      </c>
    </row>
    <row r="1427" spans="1:14" s="169" customFormat="1" ht="30.75" customHeight="1">
      <c r="A1427" s="180" t="s">
        <v>167</v>
      </c>
      <c r="B1427" s="77" t="s">
        <v>975</v>
      </c>
      <c r="C1427" s="177" t="s">
        <v>17</v>
      </c>
      <c r="D1427" s="210"/>
      <c r="E1427" s="210"/>
      <c r="F1427" s="210"/>
      <c r="G1427" s="210"/>
      <c r="H1427" s="406">
        <f>SUM(Tabla132112415[[#This Row],[PRIMER TRIMESTRE]:[CUARTO TRIMESTRE]])</f>
        <v>0</v>
      </c>
      <c r="I1427" s="72">
        <v>843572.93759999995</v>
      </c>
      <c r="J1427" s="72">
        <f t="shared" si="36"/>
        <v>0</v>
      </c>
      <c r="K1427" s="72"/>
      <c r="L1427" s="73" t="s">
        <v>18</v>
      </c>
      <c r="M1427" s="73" t="s">
        <v>19</v>
      </c>
      <c r="N1427" s="70" t="s">
        <v>342</v>
      </c>
    </row>
    <row r="1428" spans="1:14" s="169" customFormat="1" ht="30.75" customHeight="1">
      <c r="A1428" s="180" t="s">
        <v>167</v>
      </c>
      <c r="B1428" s="77" t="s">
        <v>976</v>
      </c>
      <c r="C1428" s="177" t="s">
        <v>17</v>
      </c>
      <c r="D1428" s="210"/>
      <c r="E1428" s="210"/>
      <c r="F1428" s="210"/>
      <c r="G1428" s="210"/>
      <c r="H1428" s="406">
        <f>SUM(Tabla132112415[[#This Row],[PRIMER TRIMESTRE]:[CUARTO TRIMESTRE]])</f>
        <v>0</v>
      </c>
      <c r="I1428" s="72">
        <v>46936.765599999999</v>
      </c>
      <c r="J1428" s="72">
        <f t="shared" si="36"/>
        <v>0</v>
      </c>
      <c r="K1428" s="72"/>
      <c r="L1428" s="73" t="s">
        <v>18</v>
      </c>
      <c r="M1428" s="73" t="s">
        <v>19</v>
      </c>
      <c r="N1428" s="70" t="s">
        <v>342</v>
      </c>
    </row>
    <row r="1429" spans="1:14" s="169" customFormat="1" ht="42.75" customHeight="1">
      <c r="A1429" s="180" t="s">
        <v>167</v>
      </c>
      <c r="B1429" s="77" t="s">
        <v>977</v>
      </c>
      <c r="C1429" s="177" t="s">
        <v>17</v>
      </c>
      <c r="D1429" s="210"/>
      <c r="E1429" s="210"/>
      <c r="F1429" s="210"/>
      <c r="G1429" s="210"/>
      <c r="H1429" s="406">
        <f>SUM(Tabla132112415[[#This Row],[PRIMER TRIMESTRE]:[CUARTO TRIMESTRE]])</f>
        <v>0</v>
      </c>
      <c r="I1429" s="72">
        <v>121535.63399999999</v>
      </c>
      <c r="J1429" s="72">
        <f t="shared" si="36"/>
        <v>0</v>
      </c>
      <c r="K1429" s="72"/>
      <c r="L1429" s="73" t="s">
        <v>18</v>
      </c>
      <c r="M1429" s="73" t="s">
        <v>19</v>
      </c>
      <c r="N1429" s="70" t="s">
        <v>342</v>
      </c>
    </row>
    <row r="1430" spans="1:14" s="169" customFormat="1" ht="30.75" customHeight="1">
      <c r="A1430" s="180" t="s">
        <v>167</v>
      </c>
      <c r="B1430" s="77" t="s">
        <v>978</v>
      </c>
      <c r="C1430" s="177" t="s">
        <v>17</v>
      </c>
      <c r="D1430" s="210"/>
      <c r="E1430" s="210"/>
      <c r="F1430" s="210"/>
      <c r="G1430" s="210"/>
      <c r="H1430" s="406">
        <f>SUM(Tabla132112415[[#This Row],[PRIMER TRIMESTRE]:[CUARTO TRIMESTRE]])</f>
        <v>0</v>
      </c>
      <c r="I1430" s="72">
        <v>1558708.1733999997</v>
      </c>
      <c r="J1430" s="72">
        <f t="shared" si="36"/>
        <v>0</v>
      </c>
      <c r="K1430" s="72"/>
      <c r="L1430" s="73" t="s">
        <v>18</v>
      </c>
      <c r="M1430" s="73" t="s">
        <v>19</v>
      </c>
      <c r="N1430" s="70" t="s">
        <v>342</v>
      </c>
    </row>
    <row r="1431" spans="1:14" s="169" customFormat="1" ht="30.75" customHeight="1">
      <c r="A1431" s="180" t="s">
        <v>167</v>
      </c>
      <c r="B1431" s="77" t="s">
        <v>979</v>
      </c>
      <c r="C1431" s="177" t="s">
        <v>17</v>
      </c>
      <c r="D1431" s="210"/>
      <c r="E1431" s="210"/>
      <c r="F1431" s="210"/>
      <c r="G1431" s="210"/>
      <c r="H1431" s="406">
        <f>SUM(Tabla132112415[[#This Row],[PRIMER TRIMESTRE]:[CUARTO TRIMESTRE]])</f>
        <v>0</v>
      </c>
      <c r="I1431" s="72">
        <v>125316</v>
      </c>
      <c r="J1431" s="72">
        <f t="shared" si="36"/>
        <v>0</v>
      </c>
      <c r="K1431" s="72"/>
      <c r="L1431" s="73" t="s">
        <v>18</v>
      </c>
      <c r="M1431" s="73" t="s">
        <v>19</v>
      </c>
      <c r="N1431" s="70" t="s">
        <v>342</v>
      </c>
    </row>
    <row r="1432" spans="1:14" s="169" customFormat="1" ht="30.75" customHeight="1">
      <c r="A1432" s="180" t="s">
        <v>167</v>
      </c>
      <c r="B1432" s="77" t="s">
        <v>980</v>
      </c>
      <c r="C1432" s="177" t="s">
        <v>17</v>
      </c>
      <c r="D1432" s="210"/>
      <c r="E1432" s="210"/>
      <c r="F1432" s="210"/>
      <c r="G1432" s="210"/>
      <c r="H1432" s="406">
        <f>SUM(Tabla132112415[[#This Row],[PRIMER TRIMESTRE]:[CUARTO TRIMESTRE]])</f>
        <v>0</v>
      </c>
      <c r="I1432" s="72">
        <v>953817.59999999998</v>
      </c>
      <c r="J1432" s="72">
        <f t="shared" si="36"/>
        <v>0</v>
      </c>
      <c r="K1432" s="72"/>
      <c r="L1432" s="73" t="s">
        <v>18</v>
      </c>
      <c r="M1432" s="73" t="s">
        <v>19</v>
      </c>
      <c r="N1432" s="70"/>
    </row>
    <row r="1433" spans="1:14" s="169" customFormat="1" ht="30.75" customHeight="1">
      <c r="A1433" s="180" t="s">
        <v>167</v>
      </c>
      <c r="B1433" s="77" t="s">
        <v>981</v>
      </c>
      <c r="C1433" s="177" t="s">
        <v>17</v>
      </c>
      <c r="D1433" s="210"/>
      <c r="E1433" s="210"/>
      <c r="F1433" s="210"/>
      <c r="G1433" s="210"/>
      <c r="H1433" s="406">
        <f>SUM(Tabla132112415[[#This Row],[PRIMER TRIMESTRE]:[CUARTO TRIMESTRE]])</f>
        <v>0</v>
      </c>
      <c r="I1433" s="72">
        <v>443739</v>
      </c>
      <c r="J1433" s="72">
        <f t="shared" si="36"/>
        <v>0</v>
      </c>
      <c r="K1433" s="72"/>
      <c r="L1433" s="73" t="s">
        <v>18</v>
      </c>
      <c r="M1433" s="73" t="s">
        <v>19</v>
      </c>
      <c r="N1433" s="70" t="s">
        <v>342</v>
      </c>
    </row>
    <row r="1434" spans="1:14" s="169" customFormat="1" ht="30.75" customHeight="1">
      <c r="A1434" s="180" t="s">
        <v>167</v>
      </c>
      <c r="B1434" s="77" t="s">
        <v>982</v>
      </c>
      <c r="C1434" s="177" t="s">
        <v>17</v>
      </c>
      <c r="D1434" s="210"/>
      <c r="E1434" s="210"/>
      <c r="F1434" s="210"/>
      <c r="G1434" s="210"/>
      <c r="H1434" s="406">
        <f>SUM(Tabla132112415[[#This Row],[PRIMER TRIMESTRE]:[CUARTO TRIMESTRE]])</f>
        <v>0</v>
      </c>
      <c r="I1434" s="72">
        <v>399194</v>
      </c>
      <c r="J1434" s="72">
        <f t="shared" si="36"/>
        <v>0</v>
      </c>
      <c r="K1434" s="72"/>
      <c r="L1434" s="73" t="s">
        <v>18</v>
      </c>
      <c r="M1434" s="73" t="s">
        <v>19</v>
      </c>
      <c r="N1434" s="70"/>
    </row>
    <row r="1435" spans="1:14" s="169" customFormat="1" ht="30.75" customHeight="1">
      <c r="A1435" s="180" t="s">
        <v>167</v>
      </c>
      <c r="B1435" s="77" t="s">
        <v>983</v>
      </c>
      <c r="C1435" s="177" t="s">
        <v>17</v>
      </c>
      <c r="D1435" s="210"/>
      <c r="E1435" s="210"/>
      <c r="F1435" s="210"/>
      <c r="G1435" s="210"/>
      <c r="H1435" s="406">
        <f>SUM(Tabla132112415[[#This Row],[PRIMER TRIMESTRE]:[CUARTO TRIMESTRE]])</f>
        <v>0</v>
      </c>
      <c r="I1435" s="72">
        <v>5763120</v>
      </c>
      <c r="J1435" s="72">
        <f t="shared" si="36"/>
        <v>0</v>
      </c>
      <c r="K1435" s="72"/>
      <c r="L1435" s="73" t="s">
        <v>18</v>
      </c>
      <c r="M1435" s="73" t="s">
        <v>19</v>
      </c>
      <c r="N1435" s="70"/>
    </row>
    <row r="1436" spans="1:14" s="169" customFormat="1" ht="30.75" customHeight="1">
      <c r="A1436" s="180" t="s">
        <v>167</v>
      </c>
      <c r="B1436" s="77" t="s">
        <v>984</v>
      </c>
      <c r="C1436" s="177" t="s">
        <v>17</v>
      </c>
      <c r="D1436" s="210"/>
      <c r="E1436" s="210"/>
      <c r="F1436" s="210"/>
      <c r="G1436" s="210"/>
      <c r="H1436" s="406">
        <f>SUM(Tabla132112415[[#This Row],[PRIMER TRIMESTRE]:[CUARTO TRIMESTRE]])</f>
        <v>0</v>
      </c>
      <c r="I1436" s="72">
        <v>399194</v>
      </c>
      <c r="J1436" s="72">
        <f t="shared" si="36"/>
        <v>0</v>
      </c>
      <c r="K1436" s="72"/>
      <c r="L1436" s="73" t="s">
        <v>18</v>
      </c>
      <c r="M1436" s="73" t="s">
        <v>19</v>
      </c>
      <c r="N1436" s="70" t="s">
        <v>342</v>
      </c>
    </row>
    <row r="1437" spans="1:14" s="169" customFormat="1" ht="30.75" customHeight="1">
      <c r="A1437" s="180" t="s">
        <v>167</v>
      </c>
      <c r="B1437" s="77" t="s">
        <v>985</v>
      </c>
      <c r="C1437" s="177" t="s">
        <v>17</v>
      </c>
      <c r="D1437" s="210"/>
      <c r="E1437" s="210"/>
      <c r="F1437" s="210"/>
      <c r="G1437" s="210"/>
      <c r="H1437" s="406">
        <f>SUM(Tabla132112415[[#This Row],[PRIMER TRIMESTRE]:[CUARTO TRIMESTRE]])</f>
        <v>0</v>
      </c>
      <c r="I1437" s="72">
        <v>130224.79999999999</v>
      </c>
      <c r="J1437" s="72">
        <f t="shared" si="36"/>
        <v>0</v>
      </c>
      <c r="K1437" s="72"/>
      <c r="L1437" s="73" t="s">
        <v>18</v>
      </c>
      <c r="M1437" s="73" t="s">
        <v>19</v>
      </c>
      <c r="N1437" s="70" t="s">
        <v>342</v>
      </c>
    </row>
    <row r="1438" spans="1:14" s="169" customFormat="1" ht="30.75" customHeight="1">
      <c r="A1438" s="180" t="s">
        <v>167</v>
      </c>
      <c r="B1438" s="77" t="s">
        <v>986</v>
      </c>
      <c r="C1438" s="177" t="s">
        <v>17</v>
      </c>
      <c r="D1438" s="210"/>
      <c r="E1438" s="210"/>
      <c r="F1438" s="210"/>
      <c r="G1438" s="210"/>
      <c r="H1438" s="406">
        <f>SUM(Tabla132112415[[#This Row],[PRIMER TRIMESTRE]:[CUARTO TRIMESTRE]])</f>
        <v>0</v>
      </c>
      <c r="I1438" s="72">
        <v>394438.6</v>
      </c>
      <c r="J1438" s="72">
        <f t="shared" si="36"/>
        <v>0</v>
      </c>
      <c r="K1438" s="72"/>
      <c r="L1438" s="73" t="s">
        <v>18</v>
      </c>
      <c r="M1438" s="73" t="s">
        <v>19</v>
      </c>
      <c r="N1438" s="70"/>
    </row>
    <row r="1439" spans="1:14" s="169" customFormat="1" ht="30.75" customHeight="1">
      <c r="A1439" s="180" t="s">
        <v>167</v>
      </c>
      <c r="B1439" s="77" t="s">
        <v>987</v>
      </c>
      <c r="C1439" s="177" t="s">
        <v>17</v>
      </c>
      <c r="D1439" s="210"/>
      <c r="E1439" s="210"/>
      <c r="F1439" s="210"/>
      <c r="G1439" s="210"/>
      <c r="H1439" s="406">
        <f>SUM(Tabla132112415[[#This Row],[PRIMER TRIMESTRE]:[CUARTO TRIMESTRE]])</f>
        <v>0</v>
      </c>
      <c r="I1439" s="72">
        <v>554027.69999999995</v>
      </c>
      <c r="J1439" s="72">
        <f t="shared" si="36"/>
        <v>0</v>
      </c>
      <c r="K1439" s="72"/>
      <c r="L1439" s="73" t="s">
        <v>18</v>
      </c>
      <c r="M1439" s="73" t="s">
        <v>19</v>
      </c>
      <c r="N1439" s="70"/>
    </row>
    <row r="1440" spans="1:14" s="169" customFormat="1" ht="30.75" customHeight="1">
      <c r="A1440" s="180" t="s">
        <v>167</v>
      </c>
      <c r="B1440" s="77" t="s">
        <v>988</v>
      </c>
      <c r="C1440" s="177" t="s">
        <v>17</v>
      </c>
      <c r="D1440" s="210"/>
      <c r="E1440" s="210"/>
      <c r="F1440" s="210"/>
      <c r="G1440" s="210"/>
      <c r="H1440" s="406">
        <f>SUM(Tabla132112415[[#This Row],[PRIMER TRIMESTRE]:[CUARTO TRIMESTRE]])</f>
        <v>0</v>
      </c>
      <c r="I1440" s="72">
        <v>406250.39999999997</v>
      </c>
      <c r="J1440" s="72">
        <f t="shared" si="36"/>
        <v>0</v>
      </c>
      <c r="K1440" s="72"/>
      <c r="L1440" s="73" t="s">
        <v>18</v>
      </c>
      <c r="M1440" s="73" t="s">
        <v>19</v>
      </c>
      <c r="N1440" s="70" t="s">
        <v>342</v>
      </c>
    </row>
    <row r="1441" spans="1:14" s="169" customFormat="1" ht="53.25" customHeight="1">
      <c r="A1441" s="180" t="s">
        <v>167</v>
      </c>
      <c r="B1441" s="77" t="s">
        <v>989</v>
      </c>
      <c r="C1441" s="177" t="s">
        <v>17</v>
      </c>
      <c r="D1441" s="210"/>
      <c r="E1441" s="210"/>
      <c r="F1441" s="210"/>
      <c r="G1441" s="210"/>
      <c r="H1441" s="406">
        <f>SUM(Tabla132112415[[#This Row],[PRIMER TRIMESTRE]:[CUARTO TRIMESTRE]])</f>
        <v>0</v>
      </c>
      <c r="I1441" s="72">
        <v>71148.099999999991</v>
      </c>
      <c r="J1441" s="72">
        <f t="shared" si="36"/>
        <v>0</v>
      </c>
      <c r="K1441" s="72"/>
      <c r="L1441" s="73" t="s">
        <v>18</v>
      </c>
      <c r="M1441" s="73" t="s">
        <v>19</v>
      </c>
      <c r="N1441" s="70"/>
    </row>
    <row r="1442" spans="1:14" s="169" customFormat="1" ht="30.75" customHeight="1">
      <c r="A1442" s="180" t="s">
        <v>167</v>
      </c>
      <c r="B1442" s="77" t="s">
        <v>990</v>
      </c>
      <c r="C1442" s="177" t="s">
        <v>17</v>
      </c>
      <c r="D1442" s="210"/>
      <c r="E1442" s="210"/>
      <c r="F1442" s="210"/>
      <c r="G1442" s="210"/>
      <c r="H1442" s="406">
        <f>SUM(Tabla132112415[[#This Row],[PRIMER TRIMESTRE]:[CUARTO TRIMESTRE]])</f>
        <v>0</v>
      </c>
      <c r="I1442" s="72">
        <v>283158.7</v>
      </c>
      <c r="J1442" s="72">
        <f t="shared" si="36"/>
        <v>0</v>
      </c>
      <c r="K1442" s="72"/>
      <c r="L1442" s="73" t="s">
        <v>18</v>
      </c>
      <c r="M1442" s="73" t="s">
        <v>19</v>
      </c>
      <c r="N1442" s="70" t="s">
        <v>342</v>
      </c>
    </row>
    <row r="1443" spans="1:14" s="169" customFormat="1" ht="30.75" customHeight="1">
      <c r="A1443" s="180" t="s">
        <v>167</v>
      </c>
      <c r="B1443" s="77" t="s">
        <v>991</v>
      </c>
      <c r="C1443" s="177" t="s">
        <v>17</v>
      </c>
      <c r="D1443" s="210"/>
      <c r="E1443" s="210"/>
      <c r="F1443" s="210"/>
      <c r="G1443" s="210"/>
      <c r="H1443" s="406">
        <f>SUM(Tabla132112415[[#This Row],[PRIMER TRIMESTRE]:[CUARTO TRIMESTRE]])</f>
        <v>0</v>
      </c>
      <c r="I1443" s="72">
        <v>4687668</v>
      </c>
      <c r="J1443" s="72">
        <f t="shared" si="36"/>
        <v>0</v>
      </c>
      <c r="K1443" s="72"/>
      <c r="L1443" s="73" t="s">
        <v>18</v>
      </c>
      <c r="M1443" s="73" t="s">
        <v>19</v>
      </c>
      <c r="N1443" s="70"/>
    </row>
    <row r="1444" spans="1:14" s="169" customFormat="1" ht="39.75" customHeight="1">
      <c r="A1444" s="180" t="s">
        <v>167</v>
      </c>
      <c r="B1444" s="77" t="s">
        <v>992</v>
      </c>
      <c r="C1444" s="177" t="s">
        <v>17</v>
      </c>
      <c r="D1444" s="210"/>
      <c r="E1444" s="210"/>
      <c r="F1444" s="210"/>
      <c r="G1444" s="210"/>
      <c r="H1444" s="406">
        <f>SUM(Tabla132112415[[#This Row],[PRIMER TRIMESTRE]:[CUARTO TRIMESTRE]])</f>
        <v>0</v>
      </c>
      <c r="I1444" s="72">
        <v>140862.5</v>
      </c>
      <c r="J1444" s="72">
        <f t="shared" si="36"/>
        <v>0</v>
      </c>
      <c r="K1444" s="72"/>
      <c r="L1444" s="73" t="s">
        <v>18</v>
      </c>
      <c r="M1444" s="73" t="s">
        <v>19</v>
      </c>
      <c r="N1444" s="70" t="s">
        <v>342</v>
      </c>
    </row>
    <row r="1445" spans="1:14" s="169" customFormat="1" ht="30.75" customHeight="1">
      <c r="A1445" s="180" t="s">
        <v>167</v>
      </c>
      <c r="B1445" s="77" t="s">
        <v>993</v>
      </c>
      <c r="C1445" s="177" t="s">
        <v>17</v>
      </c>
      <c r="D1445" s="210"/>
      <c r="E1445" s="210"/>
      <c r="F1445" s="210"/>
      <c r="G1445" s="210"/>
      <c r="H1445" s="406">
        <f>SUM(Tabla132112415[[#This Row],[PRIMER TRIMESTRE]:[CUARTO TRIMESTRE]])</f>
        <v>0</v>
      </c>
      <c r="I1445" s="72">
        <v>109622</v>
      </c>
      <c r="J1445" s="72">
        <f t="shared" si="36"/>
        <v>0</v>
      </c>
      <c r="K1445" s="72"/>
      <c r="L1445" s="73" t="s">
        <v>18</v>
      </c>
      <c r="M1445" s="73" t="s">
        <v>19</v>
      </c>
      <c r="N1445" s="70" t="s">
        <v>342</v>
      </c>
    </row>
    <row r="1446" spans="1:14" s="169" customFormat="1" ht="30.75" customHeight="1">
      <c r="A1446" s="180" t="s">
        <v>167</v>
      </c>
      <c r="B1446" s="77" t="s">
        <v>994</v>
      </c>
      <c r="C1446" s="177" t="s">
        <v>17</v>
      </c>
      <c r="D1446" s="210"/>
      <c r="E1446" s="210"/>
      <c r="F1446" s="210"/>
      <c r="G1446" s="210"/>
      <c r="H1446" s="406">
        <f>SUM(Tabla132112415[[#This Row],[PRIMER TRIMESTRE]:[CUARTO TRIMESTRE]])</f>
        <v>0</v>
      </c>
      <c r="I1446" s="72">
        <v>567462</v>
      </c>
      <c r="J1446" s="72">
        <f t="shared" si="36"/>
        <v>0</v>
      </c>
      <c r="K1446" s="72"/>
      <c r="L1446" s="73" t="s">
        <v>18</v>
      </c>
      <c r="M1446" s="73" t="s">
        <v>19</v>
      </c>
      <c r="N1446" s="70" t="s">
        <v>342</v>
      </c>
    </row>
    <row r="1447" spans="1:14" s="169" customFormat="1" ht="30.75" customHeight="1">
      <c r="A1447" s="180" t="s">
        <v>167</v>
      </c>
      <c r="B1447" s="77" t="s">
        <v>995</v>
      </c>
      <c r="C1447" s="177" t="s">
        <v>17</v>
      </c>
      <c r="D1447" s="210"/>
      <c r="E1447" s="210"/>
      <c r="F1447" s="210"/>
      <c r="G1447" s="210"/>
      <c r="H1447" s="406">
        <f>SUM(Tabla132112415[[#This Row],[PRIMER TRIMESTRE]:[CUARTO TRIMESTRE]])</f>
        <v>0</v>
      </c>
      <c r="I1447" s="72">
        <v>36580</v>
      </c>
      <c r="J1447" s="72">
        <f t="shared" si="36"/>
        <v>0</v>
      </c>
      <c r="K1447" s="72"/>
      <c r="L1447" s="73" t="s">
        <v>18</v>
      </c>
      <c r="M1447" s="73" t="s">
        <v>19</v>
      </c>
      <c r="N1447" s="70"/>
    </row>
    <row r="1448" spans="1:14" s="169" customFormat="1" ht="30.75" customHeight="1">
      <c r="A1448" s="180" t="s">
        <v>167</v>
      </c>
      <c r="B1448" s="77" t="s">
        <v>996</v>
      </c>
      <c r="C1448" s="177" t="s">
        <v>17</v>
      </c>
      <c r="D1448" s="210"/>
      <c r="E1448" s="210"/>
      <c r="F1448" s="210"/>
      <c r="G1448" s="210"/>
      <c r="H1448" s="406">
        <f>SUM(Tabla132112415[[#This Row],[PRIMER TRIMESTRE]:[CUARTO TRIMESTRE]])</f>
        <v>0</v>
      </c>
      <c r="I1448" s="72">
        <v>160775</v>
      </c>
      <c r="J1448" s="72">
        <f t="shared" si="36"/>
        <v>0</v>
      </c>
      <c r="K1448" s="72"/>
      <c r="L1448" s="73" t="s">
        <v>18</v>
      </c>
      <c r="M1448" s="73" t="s">
        <v>19</v>
      </c>
      <c r="N1448" s="70" t="s">
        <v>342</v>
      </c>
    </row>
    <row r="1449" spans="1:14" s="169" customFormat="1" ht="30.75" customHeight="1">
      <c r="A1449" s="180" t="s">
        <v>167</v>
      </c>
      <c r="B1449" s="77" t="s">
        <v>997</v>
      </c>
      <c r="C1449" s="177" t="s">
        <v>17</v>
      </c>
      <c r="D1449" s="210"/>
      <c r="E1449" s="210"/>
      <c r="F1449" s="210"/>
      <c r="G1449" s="210"/>
      <c r="H1449" s="406">
        <f>SUM(Tabla132112415[[#This Row],[PRIMER TRIMESTRE]:[CUARTO TRIMESTRE]])</f>
        <v>0</v>
      </c>
      <c r="I1449" s="72">
        <v>216608.47</v>
      </c>
      <c r="J1449" s="72">
        <f t="shared" si="36"/>
        <v>0</v>
      </c>
      <c r="K1449" s="72"/>
      <c r="L1449" s="73" t="s">
        <v>18</v>
      </c>
      <c r="M1449" s="73" t="s">
        <v>19</v>
      </c>
      <c r="N1449" s="70" t="s">
        <v>342</v>
      </c>
    </row>
    <row r="1450" spans="1:14" s="169" customFormat="1" ht="30.75" customHeight="1">
      <c r="A1450" s="180" t="s">
        <v>167</v>
      </c>
      <c r="B1450" s="77" t="s">
        <v>998</v>
      </c>
      <c r="C1450" s="177" t="s">
        <v>17</v>
      </c>
      <c r="D1450" s="210"/>
      <c r="E1450" s="210"/>
      <c r="F1450" s="210"/>
      <c r="G1450" s="210"/>
      <c r="H1450" s="406">
        <f>SUM(Tabla132112415[[#This Row],[PRIMER TRIMESTRE]:[CUARTO TRIMESTRE]])</f>
        <v>0</v>
      </c>
      <c r="I1450" s="72">
        <v>294752.2</v>
      </c>
      <c r="J1450" s="72">
        <f t="shared" si="36"/>
        <v>0</v>
      </c>
      <c r="K1450" s="72"/>
      <c r="L1450" s="73" t="s">
        <v>18</v>
      </c>
      <c r="M1450" s="73" t="s">
        <v>19</v>
      </c>
      <c r="N1450" s="70" t="s">
        <v>342</v>
      </c>
    </row>
    <row r="1451" spans="1:14" s="169" customFormat="1" ht="30.75" customHeight="1">
      <c r="A1451" s="180" t="s">
        <v>167</v>
      </c>
      <c r="B1451" s="77" t="s">
        <v>999</v>
      </c>
      <c r="C1451" s="177" t="s">
        <v>17</v>
      </c>
      <c r="D1451" s="210"/>
      <c r="E1451" s="210"/>
      <c r="F1451" s="210"/>
      <c r="G1451" s="210"/>
      <c r="H1451" s="406">
        <f>SUM(Tabla132112415[[#This Row],[PRIMER TRIMESTRE]:[CUARTO TRIMESTRE]])</f>
        <v>0</v>
      </c>
      <c r="I1451" s="72">
        <v>230554.3</v>
      </c>
      <c r="J1451" s="72">
        <f t="shared" si="36"/>
        <v>0</v>
      </c>
      <c r="K1451" s="72"/>
      <c r="L1451" s="73" t="s">
        <v>18</v>
      </c>
      <c r="M1451" s="73" t="s">
        <v>19</v>
      </c>
      <c r="N1451" s="70" t="s">
        <v>342</v>
      </c>
    </row>
    <row r="1452" spans="1:14" s="169" customFormat="1" ht="30.75" customHeight="1">
      <c r="A1452" s="180" t="s">
        <v>167</v>
      </c>
      <c r="B1452" s="77" t="s">
        <v>1000</v>
      </c>
      <c r="C1452" s="177" t="s">
        <v>17</v>
      </c>
      <c r="D1452" s="210"/>
      <c r="E1452" s="210"/>
      <c r="F1452" s="210"/>
      <c r="G1452" s="210"/>
      <c r="H1452" s="406">
        <f>SUM(Tabla132112415[[#This Row],[PRIMER TRIMESTRE]:[CUARTO TRIMESTRE]])</f>
        <v>0</v>
      </c>
      <c r="I1452" s="72">
        <v>494992.3</v>
      </c>
      <c r="J1452" s="72">
        <f t="shared" si="36"/>
        <v>0</v>
      </c>
      <c r="K1452" s="72"/>
      <c r="L1452" s="73" t="s">
        <v>18</v>
      </c>
      <c r="M1452" s="73" t="s">
        <v>19</v>
      </c>
      <c r="N1452" s="70" t="s">
        <v>342</v>
      </c>
    </row>
    <row r="1453" spans="1:14" s="169" customFormat="1" ht="30.75" customHeight="1">
      <c r="A1453" s="180" t="s">
        <v>167</v>
      </c>
      <c r="B1453" s="77" t="s">
        <v>1001</v>
      </c>
      <c r="C1453" s="177" t="s">
        <v>17</v>
      </c>
      <c r="D1453" s="210"/>
      <c r="E1453" s="210"/>
      <c r="F1453" s="210"/>
      <c r="G1453" s="210"/>
      <c r="H1453" s="406">
        <f>SUM(Tabla132112415[[#This Row],[PRIMER TRIMESTRE]:[CUARTO TRIMESTRE]])</f>
        <v>0</v>
      </c>
      <c r="I1453" s="72">
        <v>211166.9</v>
      </c>
      <c r="J1453" s="72">
        <f t="shared" si="36"/>
        <v>0</v>
      </c>
      <c r="K1453" s="72"/>
      <c r="L1453" s="73" t="s">
        <v>18</v>
      </c>
      <c r="M1453" s="73" t="s">
        <v>19</v>
      </c>
      <c r="N1453" s="70" t="s">
        <v>342</v>
      </c>
    </row>
    <row r="1454" spans="1:14" s="169" customFormat="1" ht="30.75" customHeight="1">
      <c r="A1454" s="180" t="s">
        <v>167</v>
      </c>
      <c r="B1454" s="77" t="s">
        <v>1002</v>
      </c>
      <c r="C1454" s="177" t="s">
        <v>17</v>
      </c>
      <c r="D1454" s="210"/>
      <c r="E1454" s="210"/>
      <c r="F1454" s="210"/>
      <c r="G1454" s="210"/>
      <c r="H1454" s="406">
        <f>SUM(Tabla132112415[[#This Row],[PRIMER TRIMESTRE]:[CUARTO TRIMESTRE]])</f>
        <v>0</v>
      </c>
      <c r="I1454" s="72">
        <v>62368.899999999994</v>
      </c>
      <c r="J1454" s="72">
        <f t="shared" si="36"/>
        <v>0</v>
      </c>
      <c r="K1454" s="72"/>
      <c r="L1454" s="73" t="s">
        <v>18</v>
      </c>
      <c r="M1454" s="73" t="s">
        <v>19</v>
      </c>
      <c r="N1454" s="70" t="s">
        <v>342</v>
      </c>
    </row>
    <row r="1455" spans="1:14" s="169" customFormat="1" ht="30.75" customHeight="1">
      <c r="A1455" s="180" t="s">
        <v>167</v>
      </c>
      <c r="B1455" s="77" t="s">
        <v>1003</v>
      </c>
      <c r="C1455" s="177" t="s">
        <v>17</v>
      </c>
      <c r="D1455" s="210"/>
      <c r="E1455" s="210"/>
      <c r="F1455" s="210"/>
      <c r="G1455" s="210"/>
      <c r="H1455" s="406">
        <f>SUM(Tabla132112415[[#This Row],[PRIMER TRIMESTRE]:[CUARTO TRIMESTRE]])</f>
        <v>0</v>
      </c>
      <c r="I1455" s="72">
        <v>105533.29999999999</v>
      </c>
      <c r="J1455" s="72">
        <f t="shared" si="36"/>
        <v>0</v>
      </c>
      <c r="K1455" s="72"/>
      <c r="L1455" s="73" t="s">
        <v>18</v>
      </c>
      <c r="M1455" s="73" t="s">
        <v>19</v>
      </c>
      <c r="N1455" s="70" t="s">
        <v>342</v>
      </c>
    </row>
    <row r="1456" spans="1:14" s="169" customFormat="1" ht="30.75" customHeight="1">
      <c r="A1456" s="180" t="s">
        <v>167</v>
      </c>
      <c r="B1456" s="77" t="s">
        <v>1004</v>
      </c>
      <c r="C1456" s="177" t="s">
        <v>17</v>
      </c>
      <c r="D1456" s="210"/>
      <c r="E1456" s="210"/>
      <c r="F1456" s="210"/>
      <c r="G1456" s="210"/>
      <c r="H1456" s="406">
        <f>SUM(Tabla132112415[[#This Row],[PRIMER TRIMESTRE]:[CUARTO TRIMESTRE]])</f>
        <v>0</v>
      </c>
      <c r="I1456" s="72">
        <v>98618.5</v>
      </c>
      <c r="J1456" s="72">
        <f t="shared" si="36"/>
        <v>0</v>
      </c>
      <c r="K1456" s="72"/>
      <c r="L1456" s="73" t="s">
        <v>18</v>
      </c>
      <c r="M1456" s="73" t="s">
        <v>19</v>
      </c>
      <c r="N1456" s="70"/>
    </row>
    <row r="1457" spans="1:14" s="169" customFormat="1" ht="30.75" customHeight="1">
      <c r="A1457" s="180" t="s">
        <v>167</v>
      </c>
      <c r="B1457" s="77" t="s">
        <v>1005</v>
      </c>
      <c r="C1457" s="177" t="s">
        <v>17</v>
      </c>
      <c r="D1457" s="210"/>
      <c r="E1457" s="210"/>
      <c r="F1457" s="210"/>
      <c r="G1457" s="210"/>
      <c r="H1457" s="406">
        <f>SUM(Tabla132112415[[#This Row],[PRIMER TRIMESTRE]:[CUARTO TRIMESTRE]])</f>
        <v>0</v>
      </c>
      <c r="I1457" s="72">
        <v>135818</v>
      </c>
      <c r="J1457" s="72">
        <f t="shared" si="36"/>
        <v>0</v>
      </c>
      <c r="K1457" s="72"/>
      <c r="L1457" s="73" t="s">
        <v>18</v>
      </c>
      <c r="M1457" s="73" t="s">
        <v>19</v>
      </c>
      <c r="N1457" s="70" t="s">
        <v>342</v>
      </c>
    </row>
    <row r="1458" spans="1:14" s="169" customFormat="1" ht="30.75" customHeight="1">
      <c r="A1458" s="180" t="s">
        <v>167</v>
      </c>
      <c r="B1458" s="77" t="s">
        <v>1006</v>
      </c>
      <c r="C1458" s="177" t="s">
        <v>17</v>
      </c>
      <c r="D1458" s="210"/>
      <c r="E1458" s="210"/>
      <c r="F1458" s="210"/>
      <c r="G1458" s="210"/>
      <c r="H1458" s="406">
        <f>SUM(Tabla132112415[[#This Row],[PRIMER TRIMESTRE]:[CUARTO TRIMESTRE]])</f>
        <v>0</v>
      </c>
      <c r="I1458" s="72">
        <v>114460</v>
      </c>
      <c r="J1458" s="72">
        <f t="shared" si="36"/>
        <v>0</v>
      </c>
      <c r="K1458" s="72"/>
      <c r="L1458" s="73" t="s">
        <v>18</v>
      </c>
      <c r="M1458" s="73" t="s">
        <v>19</v>
      </c>
      <c r="N1458" s="70" t="s">
        <v>342</v>
      </c>
    </row>
    <row r="1459" spans="1:14" s="169" customFormat="1" ht="30.75" customHeight="1">
      <c r="A1459" s="180" t="s">
        <v>167</v>
      </c>
      <c r="B1459" s="77" t="s">
        <v>1007</v>
      </c>
      <c r="C1459" s="177" t="s">
        <v>17</v>
      </c>
      <c r="D1459" s="210"/>
      <c r="E1459" s="210"/>
      <c r="F1459" s="210"/>
      <c r="G1459" s="210"/>
      <c r="H1459" s="406">
        <f>SUM(Tabla132112415[[#This Row],[PRIMER TRIMESTRE]:[CUARTO TRIMESTRE]])</f>
        <v>0</v>
      </c>
      <c r="I1459" s="72">
        <v>164374</v>
      </c>
      <c r="J1459" s="72">
        <f t="shared" si="36"/>
        <v>0</v>
      </c>
      <c r="K1459" s="72"/>
      <c r="L1459" s="73" t="s">
        <v>18</v>
      </c>
      <c r="M1459" s="73" t="s">
        <v>19</v>
      </c>
      <c r="N1459" s="70" t="s">
        <v>342</v>
      </c>
    </row>
    <row r="1460" spans="1:14" s="169" customFormat="1" ht="30.75" customHeight="1">
      <c r="A1460" s="180" t="s">
        <v>167</v>
      </c>
      <c r="B1460" s="77" t="s">
        <v>1008</v>
      </c>
      <c r="C1460" s="177" t="s">
        <v>17</v>
      </c>
      <c r="D1460" s="210"/>
      <c r="E1460" s="210"/>
      <c r="F1460" s="210"/>
      <c r="G1460" s="210"/>
      <c r="H1460" s="406">
        <f>SUM(Tabla132112415[[#This Row],[PRIMER TRIMESTRE]:[CUARTO TRIMESTRE]])</f>
        <v>0</v>
      </c>
      <c r="I1460" s="72">
        <v>24691.5</v>
      </c>
      <c r="J1460" s="72">
        <f t="shared" si="36"/>
        <v>0</v>
      </c>
      <c r="K1460" s="72"/>
      <c r="L1460" s="73" t="s">
        <v>18</v>
      </c>
      <c r="M1460" s="73" t="s">
        <v>19</v>
      </c>
      <c r="N1460" s="70"/>
    </row>
    <row r="1461" spans="1:14" s="169" customFormat="1" ht="30.75" customHeight="1">
      <c r="A1461" s="180" t="s">
        <v>167</v>
      </c>
      <c r="B1461" s="77" t="s">
        <v>1009</v>
      </c>
      <c r="C1461" s="177" t="s">
        <v>17</v>
      </c>
      <c r="D1461" s="210"/>
      <c r="E1461" s="210"/>
      <c r="F1461" s="210"/>
      <c r="G1461" s="210"/>
      <c r="H1461" s="406">
        <f>SUM(Tabla132112415[[#This Row],[PRIMER TRIMESTRE]:[CUARTO TRIMESTRE]])</f>
        <v>0</v>
      </c>
      <c r="I1461" s="72">
        <v>192045</v>
      </c>
      <c r="J1461" s="72">
        <f t="shared" si="36"/>
        <v>0</v>
      </c>
      <c r="K1461" s="72"/>
      <c r="L1461" s="73" t="s">
        <v>18</v>
      </c>
      <c r="M1461" s="73" t="s">
        <v>19</v>
      </c>
      <c r="N1461" s="70" t="s">
        <v>342</v>
      </c>
    </row>
    <row r="1462" spans="1:14" s="169" customFormat="1" ht="30.75" customHeight="1">
      <c r="A1462" s="180" t="s">
        <v>167</v>
      </c>
      <c r="B1462" s="77" t="s">
        <v>1010</v>
      </c>
      <c r="C1462" s="177" t="s">
        <v>17</v>
      </c>
      <c r="D1462" s="210"/>
      <c r="E1462" s="210"/>
      <c r="F1462" s="210"/>
      <c r="G1462" s="210"/>
      <c r="H1462" s="406">
        <f>SUM(Tabla132112415[[#This Row],[PRIMER TRIMESTRE]:[CUARTO TRIMESTRE]])</f>
        <v>0</v>
      </c>
      <c r="I1462" s="72">
        <v>164374</v>
      </c>
      <c r="J1462" s="72">
        <f t="shared" si="36"/>
        <v>0</v>
      </c>
      <c r="K1462" s="72"/>
      <c r="L1462" s="73" t="s">
        <v>18</v>
      </c>
      <c r="M1462" s="73" t="s">
        <v>19</v>
      </c>
      <c r="N1462" s="70" t="s">
        <v>342</v>
      </c>
    </row>
    <row r="1463" spans="1:14" s="169" customFormat="1" ht="30.75" customHeight="1">
      <c r="A1463" s="180" t="s">
        <v>167</v>
      </c>
      <c r="B1463" s="77" t="s">
        <v>1011</v>
      </c>
      <c r="C1463" s="177" t="s">
        <v>17</v>
      </c>
      <c r="D1463" s="210"/>
      <c r="E1463" s="210"/>
      <c r="F1463" s="210"/>
      <c r="G1463" s="210"/>
      <c r="H1463" s="406">
        <f>SUM(Tabla132112415[[#This Row],[PRIMER TRIMESTRE]:[CUARTO TRIMESTRE]])</f>
        <v>0</v>
      </c>
      <c r="I1463" s="72">
        <v>35145.119999999995</v>
      </c>
      <c r="J1463" s="72">
        <f t="shared" si="36"/>
        <v>0</v>
      </c>
      <c r="K1463" s="72"/>
      <c r="L1463" s="73" t="s">
        <v>18</v>
      </c>
      <c r="M1463" s="73" t="s">
        <v>19</v>
      </c>
      <c r="N1463" s="70"/>
    </row>
    <row r="1464" spans="1:14" s="169" customFormat="1" ht="30.75" customHeight="1">
      <c r="A1464" s="180" t="s">
        <v>167</v>
      </c>
      <c r="B1464" s="77" t="s">
        <v>1012</v>
      </c>
      <c r="C1464" s="177" t="s">
        <v>17</v>
      </c>
      <c r="D1464" s="210"/>
      <c r="E1464" s="210"/>
      <c r="F1464" s="210"/>
      <c r="G1464" s="210"/>
      <c r="H1464" s="406">
        <f>SUM(Tabla132112415[[#This Row],[PRIMER TRIMESTRE]:[CUARTO TRIMESTRE]])</f>
        <v>0</v>
      </c>
      <c r="I1464" s="72">
        <v>926960.79999999993</v>
      </c>
      <c r="J1464" s="72">
        <f t="shared" si="36"/>
        <v>0</v>
      </c>
      <c r="K1464" s="72"/>
      <c r="L1464" s="73" t="s">
        <v>18</v>
      </c>
      <c r="M1464" s="73" t="s">
        <v>19</v>
      </c>
      <c r="N1464" s="70" t="s">
        <v>342</v>
      </c>
    </row>
    <row r="1465" spans="1:14" s="169" customFormat="1" ht="30.75" customHeight="1">
      <c r="A1465" s="180" t="s">
        <v>167</v>
      </c>
      <c r="B1465" s="77" t="s">
        <v>1013</v>
      </c>
      <c r="C1465" s="177" t="s">
        <v>17</v>
      </c>
      <c r="D1465" s="210"/>
      <c r="E1465" s="210"/>
      <c r="F1465" s="210"/>
      <c r="G1465" s="210"/>
      <c r="H1465" s="406">
        <f>SUM(Tabla132112415[[#This Row],[PRIMER TRIMESTRE]:[CUARTO TRIMESTRE]])</f>
        <v>0</v>
      </c>
      <c r="I1465" s="72">
        <v>266798</v>
      </c>
      <c r="J1465" s="72">
        <f t="shared" si="36"/>
        <v>0</v>
      </c>
      <c r="K1465" s="72"/>
      <c r="L1465" s="73" t="s">
        <v>18</v>
      </c>
      <c r="M1465" s="73" t="s">
        <v>19</v>
      </c>
      <c r="N1465" s="70" t="s">
        <v>342</v>
      </c>
    </row>
    <row r="1466" spans="1:14" s="169" customFormat="1" ht="30.75" customHeight="1">
      <c r="A1466" s="180" t="s">
        <v>167</v>
      </c>
      <c r="B1466" s="77" t="s">
        <v>1014</v>
      </c>
      <c r="C1466" s="177" t="s">
        <v>17</v>
      </c>
      <c r="D1466" s="210"/>
      <c r="E1466" s="210"/>
      <c r="F1466" s="210"/>
      <c r="G1466" s="210"/>
      <c r="H1466" s="406">
        <f>SUM(Tabla132112415[[#This Row],[PRIMER TRIMESTRE]:[CUARTO TRIMESTRE]])</f>
        <v>0</v>
      </c>
      <c r="I1466" s="72">
        <v>77555.5</v>
      </c>
      <c r="J1466" s="72">
        <f t="shared" si="36"/>
        <v>0</v>
      </c>
      <c r="K1466" s="72"/>
      <c r="L1466" s="73" t="s">
        <v>18</v>
      </c>
      <c r="M1466" s="73" t="s">
        <v>19</v>
      </c>
      <c r="N1466" s="70"/>
    </row>
    <row r="1467" spans="1:14" s="169" customFormat="1" ht="30.75" customHeight="1">
      <c r="A1467" s="180" t="s">
        <v>167</v>
      </c>
      <c r="B1467" s="77" t="s">
        <v>1015</v>
      </c>
      <c r="C1467" s="177" t="s">
        <v>17</v>
      </c>
      <c r="D1467" s="210"/>
      <c r="E1467" s="210"/>
      <c r="F1467" s="210"/>
      <c r="G1467" s="210"/>
      <c r="H1467" s="406">
        <f>SUM(Tabla132112415[[#This Row],[PRIMER TRIMESTRE]:[CUARTO TRIMESTRE]])</f>
        <v>0</v>
      </c>
      <c r="I1467" s="72">
        <v>100595</v>
      </c>
      <c r="J1467" s="72">
        <f t="shared" si="36"/>
        <v>0</v>
      </c>
      <c r="K1467" s="72"/>
      <c r="L1467" s="73" t="s">
        <v>18</v>
      </c>
      <c r="M1467" s="73" t="s">
        <v>19</v>
      </c>
      <c r="N1467" s="70" t="s">
        <v>342</v>
      </c>
    </row>
    <row r="1468" spans="1:14" s="169" customFormat="1" ht="30.75" customHeight="1">
      <c r="A1468" s="180" t="s">
        <v>167</v>
      </c>
      <c r="B1468" s="77" t="s">
        <v>1016</v>
      </c>
      <c r="C1468" s="177" t="s">
        <v>17</v>
      </c>
      <c r="D1468" s="210"/>
      <c r="E1468" s="210"/>
      <c r="F1468" s="210"/>
      <c r="G1468" s="210"/>
      <c r="H1468" s="406">
        <f>SUM(Tabla132112415[[#This Row],[PRIMER TRIMESTRE]:[CUARTO TRIMESTRE]])</f>
        <v>0</v>
      </c>
      <c r="I1468" s="72">
        <v>106173.45</v>
      </c>
      <c r="J1468" s="72">
        <f t="shared" si="36"/>
        <v>0</v>
      </c>
      <c r="K1468" s="72"/>
      <c r="L1468" s="73" t="s">
        <v>18</v>
      </c>
      <c r="M1468" s="73" t="s">
        <v>19</v>
      </c>
      <c r="N1468" s="70" t="s">
        <v>342</v>
      </c>
    </row>
    <row r="1469" spans="1:14" s="169" customFormat="1" ht="30.75" customHeight="1">
      <c r="A1469" s="180" t="s">
        <v>167</v>
      </c>
      <c r="B1469" s="77" t="s">
        <v>1017</v>
      </c>
      <c r="C1469" s="177" t="s">
        <v>17</v>
      </c>
      <c r="D1469" s="210"/>
      <c r="E1469" s="210"/>
      <c r="F1469" s="210"/>
      <c r="G1469" s="210"/>
      <c r="H1469" s="406">
        <f>SUM(Tabla132112415[[#This Row],[PRIMER TRIMESTRE]:[CUARTO TRIMESTRE]])</f>
        <v>0</v>
      </c>
      <c r="I1469" s="72">
        <v>111156</v>
      </c>
      <c r="J1469" s="72">
        <f t="shared" si="36"/>
        <v>0</v>
      </c>
      <c r="K1469" s="72"/>
      <c r="L1469" s="73" t="s">
        <v>18</v>
      </c>
      <c r="M1469" s="73" t="s">
        <v>19</v>
      </c>
      <c r="N1469" s="70" t="s">
        <v>342</v>
      </c>
    </row>
    <row r="1470" spans="1:14" s="169" customFormat="1" ht="44.25" customHeight="1">
      <c r="A1470" s="180" t="s">
        <v>167</v>
      </c>
      <c r="B1470" s="77" t="s">
        <v>1018</v>
      </c>
      <c r="C1470" s="177" t="s">
        <v>17</v>
      </c>
      <c r="D1470" s="210"/>
      <c r="E1470" s="210"/>
      <c r="F1470" s="210"/>
      <c r="G1470" s="210"/>
      <c r="H1470" s="406">
        <f>SUM(Tabla132112415[[#This Row],[PRIMER TRIMESTRE]:[CUARTO TRIMESTRE]])</f>
        <v>0</v>
      </c>
      <c r="I1470" s="72">
        <v>62186</v>
      </c>
      <c r="J1470" s="72">
        <f t="shared" si="36"/>
        <v>0</v>
      </c>
      <c r="K1470" s="72"/>
      <c r="L1470" s="73" t="s">
        <v>18</v>
      </c>
      <c r="M1470" s="73" t="s">
        <v>19</v>
      </c>
      <c r="N1470" s="70" t="s">
        <v>342</v>
      </c>
    </row>
    <row r="1471" spans="1:14" s="169" customFormat="1" ht="30.75" customHeight="1">
      <c r="A1471" s="180" t="s">
        <v>167</v>
      </c>
      <c r="B1471" s="77" t="s">
        <v>1019</v>
      </c>
      <c r="C1471" s="177" t="s">
        <v>17</v>
      </c>
      <c r="D1471" s="210"/>
      <c r="E1471" s="210"/>
      <c r="F1471" s="210"/>
      <c r="G1471" s="210"/>
      <c r="H1471" s="406">
        <f>SUM(Tabla132112415[[#This Row],[PRIMER TRIMESTRE]:[CUARTO TRIMESTRE]])</f>
        <v>0</v>
      </c>
      <c r="I1471" s="72">
        <v>306800</v>
      </c>
      <c r="J1471" s="72">
        <f t="shared" si="36"/>
        <v>0</v>
      </c>
      <c r="K1471" s="72"/>
      <c r="L1471" s="73" t="s">
        <v>18</v>
      </c>
      <c r="M1471" s="73" t="s">
        <v>19</v>
      </c>
      <c r="N1471" s="70" t="s">
        <v>342</v>
      </c>
    </row>
    <row r="1472" spans="1:14" s="169" customFormat="1" ht="52.5" customHeight="1">
      <c r="A1472" s="180" t="s">
        <v>167</v>
      </c>
      <c r="B1472" s="77" t="s">
        <v>1020</v>
      </c>
      <c r="C1472" s="177" t="s">
        <v>17</v>
      </c>
      <c r="D1472" s="210"/>
      <c r="E1472" s="210"/>
      <c r="F1472" s="210"/>
      <c r="G1472" s="210"/>
      <c r="H1472" s="406">
        <f>SUM(Tabla132112415[[#This Row],[PRIMER TRIMESTRE]:[CUARTO TRIMESTRE]])</f>
        <v>0</v>
      </c>
      <c r="I1472" s="72">
        <v>31093</v>
      </c>
      <c r="J1472" s="72">
        <f t="shared" si="36"/>
        <v>0</v>
      </c>
      <c r="K1472" s="72"/>
      <c r="L1472" s="73" t="s">
        <v>18</v>
      </c>
      <c r="M1472" s="73" t="s">
        <v>19</v>
      </c>
      <c r="N1472" s="70" t="s">
        <v>342</v>
      </c>
    </row>
    <row r="1473" spans="1:14" s="169" customFormat="1" ht="90" customHeight="1">
      <c r="A1473" s="180" t="s">
        <v>167</v>
      </c>
      <c r="B1473" s="77" t="s">
        <v>1021</v>
      </c>
      <c r="C1473" s="177" t="s">
        <v>17</v>
      </c>
      <c r="D1473" s="210"/>
      <c r="E1473" s="210"/>
      <c r="F1473" s="210"/>
      <c r="G1473" s="210"/>
      <c r="H1473" s="406">
        <f>SUM(Tabla132112415[[#This Row],[PRIMER TRIMESTRE]:[CUARTO TRIMESTRE]])</f>
        <v>0</v>
      </c>
      <c r="I1473" s="72">
        <v>329220</v>
      </c>
      <c r="J1473" s="72">
        <f t="shared" si="36"/>
        <v>0</v>
      </c>
      <c r="K1473" s="72"/>
      <c r="L1473" s="73" t="s">
        <v>18</v>
      </c>
      <c r="M1473" s="73" t="s">
        <v>19</v>
      </c>
      <c r="N1473" s="70" t="s">
        <v>342</v>
      </c>
    </row>
    <row r="1474" spans="1:14" s="169" customFormat="1" ht="103.5" customHeight="1">
      <c r="A1474" s="180" t="s">
        <v>167</v>
      </c>
      <c r="B1474" s="77" t="s">
        <v>1700</v>
      </c>
      <c r="C1474" s="177" t="s">
        <v>17</v>
      </c>
      <c r="D1474" s="210"/>
      <c r="E1474" s="210"/>
      <c r="F1474" s="210"/>
      <c r="G1474" s="210"/>
      <c r="H1474" s="406">
        <v>0</v>
      </c>
      <c r="I1474" s="72">
        <v>0</v>
      </c>
      <c r="J1474" s="72">
        <v>0</v>
      </c>
      <c r="K1474" s="72"/>
      <c r="L1474" s="73" t="s">
        <v>18</v>
      </c>
      <c r="M1474" s="73" t="s">
        <v>19</v>
      </c>
      <c r="N1474" s="70" t="s">
        <v>342</v>
      </c>
    </row>
    <row r="1475" spans="1:14" s="169" customFormat="1" ht="103.5" customHeight="1">
      <c r="A1475" s="180" t="s">
        <v>167</v>
      </c>
      <c r="B1475" s="77" t="s">
        <v>1762</v>
      </c>
      <c r="C1475" s="177" t="s">
        <v>17</v>
      </c>
      <c r="D1475" s="210"/>
      <c r="E1475" s="210"/>
      <c r="F1475" s="210"/>
      <c r="G1475" s="210"/>
      <c r="H1475" s="406">
        <v>0</v>
      </c>
      <c r="I1475" s="72">
        <v>0</v>
      </c>
      <c r="J1475" s="72">
        <v>0</v>
      </c>
      <c r="K1475" s="72"/>
      <c r="L1475" s="73" t="s">
        <v>18</v>
      </c>
      <c r="M1475" s="73" t="s">
        <v>19</v>
      </c>
      <c r="N1475" s="70"/>
    </row>
    <row r="1476" spans="1:14" s="169" customFormat="1" ht="71.25" customHeight="1">
      <c r="A1476" s="180" t="s">
        <v>167</v>
      </c>
      <c r="B1476" s="77" t="s">
        <v>1022</v>
      </c>
      <c r="C1476" s="177" t="s">
        <v>17</v>
      </c>
      <c r="D1476" s="210"/>
      <c r="E1476" s="210"/>
      <c r="F1476" s="210"/>
      <c r="G1476" s="210"/>
      <c r="H1476" s="406">
        <f>SUM(Tabla132112415[[#This Row],[PRIMER TRIMESTRE]:[CUARTO TRIMESTRE]])</f>
        <v>0</v>
      </c>
      <c r="I1476" s="72">
        <v>235000</v>
      </c>
      <c r="J1476" s="72">
        <f t="shared" si="36"/>
        <v>0</v>
      </c>
      <c r="K1476" s="72"/>
      <c r="L1476" s="73" t="s">
        <v>18</v>
      </c>
      <c r="M1476" s="73" t="s">
        <v>19</v>
      </c>
      <c r="N1476" s="70"/>
    </row>
    <row r="1477" spans="1:14" s="169" customFormat="1" ht="63.75">
      <c r="A1477" s="180" t="s">
        <v>167</v>
      </c>
      <c r="B1477" s="77" t="s">
        <v>1023</v>
      </c>
      <c r="C1477" s="177" t="s">
        <v>17</v>
      </c>
      <c r="D1477" s="210">
        <v>1</v>
      </c>
      <c r="E1477" s="210"/>
      <c r="F1477" s="210"/>
      <c r="G1477" s="210"/>
      <c r="H1477" s="406">
        <f>SUM(Tabla132112415[[#This Row],[PRIMER TRIMESTRE]:[CUARTO TRIMESTRE]])</f>
        <v>1</v>
      </c>
      <c r="I1477" s="72">
        <v>803877.81</v>
      </c>
      <c r="J1477" s="72">
        <f t="shared" si="36"/>
        <v>803877.81</v>
      </c>
      <c r="K1477" s="72"/>
      <c r="L1477" s="73" t="s">
        <v>18</v>
      </c>
      <c r="M1477" s="73" t="s">
        <v>19</v>
      </c>
      <c r="N1477" s="70" t="s">
        <v>342</v>
      </c>
    </row>
    <row r="1478" spans="1:14" s="169" customFormat="1" ht="25.5">
      <c r="A1478" s="180" t="s">
        <v>167</v>
      </c>
      <c r="B1478" s="77" t="s">
        <v>2568</v>
      </c>
      <c r="C1478" s="177" t="s">
        <v>17</v>
      </c>
      <c r="D1478" s="210">
        <v>1</v>
      </c>
      <c r="E1478" s="210"/>
      <c r="F1478" s="210"/>
      <c r="G1478" s="210"/>
      <c r="H1478" s="406">
        <v>1</v>
      </c>
      <c r="I1478" s="72">
        <v>265000</v>
      </c>
      <c r="J1478" s="72"/>
      <c r="K1478" s="72"/>
      <c r="L1478" s="73"/>
      <c r="M1478" s="73"/>
      <c r="N1478" s="70"/>
    </row>
    <row r="1479" spans="1:14" s="55" customFormat="1" ht="30.75" customHeight="1">
      <c r="A1479" s="180" t="s">
        <v>167</v>
      </c>
      <c r="B1479" s="77" t="s">
        <v>1418</v>
      </c>
      <c r="C1479" s="177" t="s">
        <v>17</v>
      </c>
      <c r="D1479" s="210">
        <v>1</v>
      </c>
      <c r="E1479" s="210"/>
      <c r="F1479" s="210"/>
      <c r="G1479" s="210"/>
      <c r="H1479" s="406">
        <v>1</v>
      </c>
      <c r="I1479" s="72">
        <v>265000</v>
      </c>
      <c r="J1479" s="72">
        <f t="shared" si="36"/>
        <v>265000</v>
      </c>
      <c r="K1479" s="72"/>
      <c r="L1479" s="73" t="s">
        <v>18</v>
      </c>
      <c r="M1479" s="73" t="s">
        <v>19</v>
      </c>
      <c r="N1479" s="70" t="s">
        <v>342</v>
      </c>
    </row>
    <row r="1480" spans="1:14" s="55" customFormat="1" ht="30.75" customHeight="1">
      <c r="A1480" s="179" t="s">
        <v>167</v>
      </c>
      <c r="B1480" s="76" t="s">
        <v>891</v>
      </c>
      <c r="C1480" s="492"/>
      <c r="D1480" s="237"/>
      <c r="E1480" s="237"/>
      <c r="F1480" s="237"/>
      <c r="G1480" s="237"/>
      <c r="H1480" s="43"/>
      <c r="I1480" s="24"/>
      <c r="J1480" s="24"/>
      <c r="K1480" s="25">
        <f>SUM(J1416:J1479)</f>
        <v>1068877.81</v>
      </c>
      <c r="L1480" s="23"/>
      <c r="M1480" s="23"/>
      <c r="N1480" s="42"/>
    </row>
    <row r="1481" spans="1:14" s="55" customFormat="1" ht="18">
      <c r="A1481" s="178" t="s">
        <v>573</v>
      </c>
      <c r="B1481" s="75" t="s">
        <v>574</v>
      </c>
      <c r="C1481" s="176" t="s">
        <v>17</v>
      </c>
      <c r="D1481" s="410"/>
      <c r="E1481" s="410"/>
      <c r="F1481" s="410"/>
      <c r="G1481" s="241"/>
      <c r="H1481" s="51">
        <f>SUM(Tabla132112415[[#This Row],[PRIMER TRIMESTRE]:[CUARTO TRIMESTRE]])</f>
        <v>0</v>
      </c>
      <c r="I1481" s="52">
        <v>500</v>
      </c>
      <c r="J1481" s="52">
        <f>+Tabla132112415[[#This Row],[CANTIDAD TOTAL]]*Tabla132112415[[#This Row],[PRECIO UNITARIO ESTIMADO]]</f>
        <v>0</v>
      </c>
      <c r="K1481" s="50"/>
      <c r="L1481" s="411" t="s">
        <v>18</v>
      </c>
      <c r="M1481" s="411" t="s">
        <v>22</v>
      </c>
      <c r="N1481" s="53"/>
    </row>
    <row r="1482" spans="1:14" s="12" customFormat="1" ht="18">
      <c r="A1482" s="178" t="s">
        <v>573</v>
      </c>
      <c r="B1482" s="75" t="s">
        <v>575</v>
      </c>
      <c r="C1482" s="176" t="s">
        <v>17</v>
      </c>
      <c r="D1482" s="410"/>
      <c r="E1482" s="410"/>
      <c r="F1482" s="410"/>
      <c r="G1482" s="241"/>
      <c r="H1482" s="51">
        <f>SUM(Tabla132112415[[#This Row],[PRIMER TRIMESTRE]:[CUARTO TRIMESTRE]])</f>
        <v>0</v>
      </c>
      <c r="I1482" s="52">
        <v>1000</v>
      </c>
      <c r="J1482" s="52">
        <f>+Tabla132112415[[#This Row],[CANTIDAD TOTAL]]*Tabla132112415[[#This Row],[PRECIO UNITARIO ESTIMADO]]</f>
        <v>0</v>
      </c>
      <c r="K1482" s="50"/>
      <c r="L1482" s="411" t="s">
        <v>18</v>
      </c>
      <c r="M1482" s="411" t="s">
        <v>22</v>
      </c>
      <c r="N1482" s="53"/>
    </row>
    <row r="1483" spans="1:14" s="12" customFormat="1" ht="18">
      <c r="A1483" s="178" t="s">
        <v>573</v>
      </c>
      <c r="B1483" s="75" t="s">
        <v>576</v>
      </c>
      <c r="C1483" s="176" t="s">
        <v>17</v>
      </c>
      <c r="D1483" s="410"/>
      <c r="E1483" s="410"/>
      <c r="F1483" s="410"/>
      <c r="G1483" s="241"/>
      <c r="H1483" s="51">
        <f>SUM(Tabla132112415[[#This Row],[PRIMER TRIMESTRE]:[CUARTO TRIMESTRE]])</f>
        <v>0</v>
      </c>
      <c r="I1483" s="52">
        <v>2000</v>
      </c>
      <c r="J1483" s="52">
        <f>+Tabla132112415[[#This Row],[CANTIDAD TOTAL]]*Tabla132112415[[#This Row],[PRECIO UNITARIO ESTIMADO]]</f>
        <v>0</v>
      </c>
      <c r="K1483" s="50"/>
      <c r="L1483" s="16" t="s">
        <v>18</v>
      </c>
      <c r="M1483" s="411" t="s">
        <v>22</v>
      </c>
      <c r="N1483" s="53"/>
    </row>
    <row r="1484" spans="1:14" s="12" customFormat="1" ht="18">
      <c r="A1484" s="178" t="s">
        <v>573</v>
      </c>
      <c r="B1484" s="75" t="s">
        <v>1331</v>
      </c>
      <c r="C1484" s="176" t="s">
        <v>17</v>
      </c>
      <c r="D1484" s="236"/>
      <c r="E1484" s="236"/>
      <c r="F1484" s="236"/>
      <c r="G1484" s="236"/>
      <c r="H1484" s="417">
        <f>SUM(Tabla132112415[[#This Row],[PRIMER TRIMESTRE]:[CUARTO TRIMESTRE]])</f>
        <v>0</v>
      </c>
      <c r="I1484" s="17">
        <v>40000</v>
      </c>
      <c r="J1484" s="17">
        <f t="shared" ref="J1484:J1494" si="37">+H1484*I1484</f>
        <v>0</v>
      </c>
      <c r="K1484" s="17"/>
      <c r="L1484" s="411" t="s">
        <v>18</v>
      </c>
      <c r="M1484" s="411" t="s">
        <v>22</v>
      </c>
      <c r="N1484" s="39"/>
    </row>
    <row r="1485" spans="1:14" s="12" customFormat="1" ht="18">
      <c r="A1485" s="178" t="s">
        <v>573</v>
      </c>
      <c r="B1485" s="75" t="s">
        <v>2569</v>
      </c>
      <c r="C1485" s="176" t="s">
        <v>17</v>
      </c>
      <c r="D1485" s="236">
        <v>2772</v>
      </c>
      <c r="E1485" s="236">
        <v>2772</v>
      </c>
      <c r="F1485" s="236">
        <v>2772</v>
      </c>
      <c r="G1485" s="236">
        <v>2772</v>
      </c>
      <c r="H1485" s="417">
        <f>SUM(Tabla132112415[[#This Row],[PRIMER TRIMESTRE]:[CUARTO TRIMESTRE]])</f>
        <v>11088</v>
      </c>
      <c r="I1485" s="17">
        <v>65</v>
      </c>
      <c r="J1485" s="17">
        <f t="shared" si="37"/>
        <v>720720</v>
      </c>
      <c r="K1485" s="17"/>
      <c r="L1485" s="411"/>
      <c r="M1485" s="411"/>
      <c r="N1485" s="39"/>
    </row>
    <row r="1486" spans="1:14" s="12" customFormat="1" ht="18">
      <c r="A1486" s="178" t="s">
        <v>573</v>
      </c>
      <c r="B1486" s="75" t="s">
        <v>1751</v>
      </c>
      <c r="C1486" s="176" t="s">
        <v>17</v>
      </c>
      <c r="D1486" s="236"/>
      <c r="E1486" s="236"/>
      <c r="F1486" s="236"/>
      <c r="G1486" s="236"/>
      <c r="H1486" s="40">
        <v>0</v>
      </c>
      <c r="I1486" s="17"/>
      <c r="J1486" s="17"/>
      <c r="K1486" s="17"/>
      <c r="L1486" s="411" t="s">
        <v>18</v>
      </c>
      <c r="M1486" s="411" t="s">
        <v>22</v>
      </c>
      <c r="N1486" s="39"/>
    </row>
    <row r="1487" spans="1:14" s="12" customFormat="1" ht="18">
      <c r="A1487" s="178" t="s">
        <v>573</v>
      </c>
      <c r="B1487" s="75" t="s">
        <v>1747</v>
      </c>
      <c r="C1487" s="176" t="s">
        <v>17</v>
      </c>
      <c r="D1487" s="236"/>
      <c r="E1487" s="236"/>
      <c r="F1487" s="236"/>
      <c r="G1487" s="236"/>
      <c r="H1487" s="40">
        <v>0</v>
      </c>
      <c r="I1487" s="17"/>
      <c r="J1487" s="17"/>
      <c r="K1487" s="17"/>
      <c r="L1487" s="411" t="s">
        <v>18</v>
      </c>
      <c r="M1487" s="411" t="s">
        <v>22</v>
      </c>
      <c r="N1487" s="39"/>
    </row>
    <row r="1488" spans="1:14" s="12" customFormat="1" ht="18">
      <c r="A1488" s="178" t="s">
        <v>573</v>
      </c>
      <c r="B1488" s="75" t="s">
        <v>1332</v>
      </c>
      <c r="C1488" s="176" t="s">
        <v>17</v>
      </c>
      <c r="D1488" s="236"/>
      <c r="E1488" s="236"/>
      <c r="F1488" s="236"/>
      <c r="G1488" s="236"/>
      <c r="H1488" s="51">
        <f>SUM(Tabla132112415[[#This Row],[PRIMER TRIMESTRE]:[CUARTO TRIMESTRE]])</f>
        <v>0</v>
      </c>
      <c r="I1488" s="17">
        <v>30000</v>
      </c>
      <c r="J1488" s="17">
        <f t="shared" si="37"/>
        <v>0</v>
      </c>
      <c r="K1488" s="17"/>
      <c r="L1488" s="411" t="s">
        <v>18</v>
      </c>
      <c r="M1488" s="411" t="s">
        <v>22</v>
      </c>
      <c r="N1488" s="39"/>
    </row>
    <row r="1489" spans="1:14" s="12" customFormat="1" ht="18">
      <c r="A1489" s="178" t="s">
        <v>573</v>
      </c>
      <c r="B1489" s="75" t="s">
        <v>1749</v>
      </c>
      <c r="C1489" s="176" t="s">
        <v>17</v>
      </c>
      <c r="D1489" s="236"/>
      <c r="E1489" s="236"/>
      <c r="F1489" s="236"/>
      <c r="G1489" s="236"/>
      <c r="H1489" s="416">
        <f>Tabla132112415[[#This Row],[CUARTO TRIMESTRE]]+Tabla132112415[[#This Row],[TERCER TRIMESTRE]]+Tabla132112415[[#This Row],[SEGUNDO TRIMESTRE]]+Tabla132112415[[#This Row],[PRIMER TRIMESTRE]]</f>
        <v>0</v>
      </c>
      <c r="I1489" s="17">
        <v>75000</v>
      </c>
      <c r="J1489" s="17">
        <f>Tabla132112415[[#This Row],[PRECIO UNITARIO ESTIMADO]]*Tabla132112415[[#This Row],[CANTIDAD TOTAL]]</f>
        <v>0</v>
      </c>
      <c r="K1489" s="17"/>
      <c r="L1489" s="16" t="s">
        <v>18</v>
      </c>
      <c r="M1489" s="16" t="s">
        <v>22</v>
      </c>
      <c r="N1489" s="39"/>
    </row>
    <row r="1490" spans="1:14" s="12" customFormat="1" ht="18">
      <c r="A1490" s="178" t="s">
        <v>573</v>
      </c>
      <c r="B1490" s="75" t="s">
        <v>1333</v>
      </c>
      <c r="C1490" s="176" t="s">
        <v>17</v>
      </c>
      <c r="D1490" s="236"/>
      <c r="E1490" s="236"/>
      <c r="F1490" s="236"/>
      <c r="G1490" s="236"/>
      <c r="H1490" s="51">
        <f>SUM(Tabla132112415[[#This Row],[PRIMER TRIMESTRE]:[CUARTO TRIMESTRE]])</f>
        <v>0</v>
      </c>
      <c r="I1490" s="17">
        <v>1500000</v>
      </c>
      <c r="J1490" s="17">
        <f>+H1490*I1490</f>
        <v>0</v>
      </c>
      <c r="K1490" s="17"/>
      <c r="L1490" s="16" t="s">
        <v>18</v>
      </c>
      <c r="M1490" s="411" t="s">
        <v>22</v>
      </c>
      <c r="N1490" s="39"/>
    </row>
    <row r="1491" spans="1:14" s="12" customFormat="1" ht="18">
      <c r="A1491" s="178" t="s">
        <v>573</v>
      </c>
      <c r="B1491" s="75" t="s">
        <v>1750</v>
      </c>
      <c r="C1491" s="176" t="s">
        <v>17</v>
      </c>
      <c r="D1491" s="236"/>
      <c r="E1491" s="236"/>
      <c r="F1491" s="236"/>
      <c r="G1491" s="236"/>
      <c r="H1491" s="416">
        <v>0</v>
      </c>
      <c r="I1491" s="17"/>
      <c r="J1491" s="17">
        <f>Tabla132112415[[#This Row],[PRECIO UNITARIO ESTIMADO]]*Tabla132112415[[#This Row],[CANTIDAD TOTAL]]</f>
        <v>0</v>
      </c>
      <c r="K1491" s="17"/>
      <c r="L1491" s="16" t="s">
        <v>18</v>
      </c>
      <c r="M1491" s="411" t="s">
        <v>22</v>
      </c>
      <c r="N1491" s="39"/>
    </row>
    <row r="1492" spans="1:14" s="12" customFormat="1" ht="18">
      <c r="A1492" s="178" t="s">
        <v>573</v>
      </c>
      <c r="B1492" s="75" t="s">
        <v>1464</v>
      </c>
      <c r="C1492" s="176" t="s">
        <v>17</v>
      </c>
      <c r="D1492" s="236"/>
      <c r="E1492" s="236"/>
      <c r="F1492" s="236"/>
      <c r="G1492" s="236"/>
      <c r="H1492" s="51">
        <f>SUM(Tabla132112415[[#This Row],[PRIMER TRIMESTRE]:[CUARTO TRIMESTRE]])</f>
        <v>0</v>
      </c>
      <c r="I1492" s="17">
        <v>87000</v>
      </c>
      <c r="J1492" s="17">
        <f t="shared" si="37"/>
        <v>0</v>
      </c>
      <c r="K1492" s="17"/>
      <c r="L1492" s="16" t="s">
        <v>18</v>
      </c>
      <c r="M1492" s="411" t="s">
        <v>22</v>
      </c>
      <c r="N1492" s="39"/>
    </row>
    <row r="1493" spans="1:14" s="64" customFormat="1" ht="18">
      <c r="A1493" s="178" t="s">
        <v>573</v>
      </c>
      <c r="B1493" s="75" t="s">
        <v>1465</v>
      </c>
      <c r="C1493" s="176" t="s">
        <v>17</v>
      </c>
      <c r="D1493" s="236"/>
      <c r="E1493" s="236"/>
      <c r="F1493" s="236"/>
      <c r="G1493" s="236"/>
      <c r="H1493" s="51">
        <f>SUM(Tabla132112415[[#This Row],[PRIMER TRIMESTRE]:[CUARTO TRIMESTRE]])</f>
        <v>0</v>
      </c>
      <c r="I1493" s="17">
        <v>15</v>
      </c>
      <c r="J1493" s="17">
        <f t="shared" si="37"/>
        <v>0</v>
      </c>
      <c r="K1493" s="17"/>
      <c r="L1493" s="16" t="s">
        <v>18</v>
      </c>
      <c r="M1493" s="411" t="s">
        <v>22</v>
      </c>
      <c r="N1493" s="39"/>
    </row>
    <row r="1494" spans="1:14" s="34" customFormat="1" ht="24" thickBot="1">
      <c r="A1494" s="178" t="s">
        <v>573</v>
      </c>
      <c r="B1494" s="75" t="s">
        <v>1419</v>
      </c>
      <c r="C1494" s="176" t="s">
        <v>17</v>
      </c>
      <c r="D1494" s="236"/>
      <c r="E1494" s="236"/>
      <c r="F1494" s="236"/>
      <c r="G1494" s="236"/>
      <c r="H1494" s="51">
        <f>SUM(Tabla132112415[[#This Row],[PRIMER TRIMESTRE]:[CUARTO TRIMESTRE]])</f>
        <v>0</v>
      </c>
      <c r="I1494" s="17">
        <v>6000000</v>
      </c>
      <c r="J1494" s="17">
        <f t="shared" si="37"/>
        <v>0</v>
      </c>
      <c r="K1494" s="17"/>
      <c r="L1494" s="16" t="s">
        <v>18</v>
      </c>
      <c r="M1494" s="411" t="s">
        <v>22</v>
      </c>
      <c r="N1494" s="39"/>
    </row>
    <row r="1495" spans="1:14" ht="30.75" customHeight="1">
      <c r="A1495" s="181" t="s">
        <v>573</v>
      </c>
      <c r="B1495" s="76"/>
      <c r="C1495" s="507"/>
      <c r="D1495" s="418"/>
      <c r="E1495" s="418"/>
      <c r="F1495" s="418"/>
      <c r="G1495" s="418"/>
      <c r="H1495" s="59"/>
      <c r="I1495" s="288"/>
      <c r="J1495" s="419"/>
      <c r="K1495" s="25">
        <f>+SUM($J$1481:$J$1494)</f>
        <v>720720</v>
      </c>
      <c r="L1495" s="61"/>
      <c r="M1495" s="61"/>
      <c r="N1495" s="62"/>
    </row>
    <row r="1496" spans="1:14" ht="30.75" customHeight="1" thickBot="1">
      <c r="A1496" s="182"/>
      <c r="B1496" s="83" t="s">
        <v>1912</v>
      </c>
      <c r="C1496" s="508"/>
      <c r="D1496" s="242"/>
      <c r="E1496" s="242"/>
      <c r="F1496" s="242"/>
      <c r="G1496" s="242"/>
      <c r="H1496" s="48"/>
      <c r="I1496" s="35"/>
      <c r="J1496" s="183">
        <f>SUM(J13:J1495)</f>
        <v>351042037.82008517</v>
      </c>
      <c r="K1496" s="183">
        <f>SUM(K13:K1495)</f>
        <v>308245564.5400852</v>
      </c>
      <c r="L1496" s="34"/>
      <c r="M1496" s="34"/>
      <c r="N1496" s="47"/>
    </row>
    <row r="1499" spans="1:14" ht="18">
      <c r="K1499" s="250"/>
    </row>
    <row r="1503" spans="1:14" ht="18">
      <c r="C1503" s="400"/>
      <c r="D1503" s="400"/>
      <c r="E1503" s="400"/>
      <c r="F1503" s="400"/>
      <c r="G1503" s="400"/>
      <c r="H1503" s="400"/>
      <c r="N1503" s="400"/>
    </row>
    <row r="1504" spans="1:14" ht="18">
      <c r="C1504" s="400"/>
      <c r="D1504" s="400"/>
      <c r="E1504" s="400"/>
      <c r="F1504" s="400"/>
      <c r="G1504" s="400"/>
      <c r="H1504" s="400"/>
      <c r="N1504" s="400"/>
    </row>
    <row r="1505" spans="3:14" ht="18">
      <c r="C1505" s="400"/>
      <c r="D1505" s="400"/>
      <c r="E1505" s="400"/>
      <c r="F1505" s="400"/>
      <c r="G1505" s="400"/>
      <c r="H1505" s="400"/>
      <c r="N1505" s="400"/>
    </row>
    <row r="1506" spans="3:14" ht="18">
      <c r="C1506" s="400"/>
      <c r="D1506" s="400"/>
      <c r="E1506" s="400"/>
      <c r="F1506" s="400"/>
      <c r="G1506" s="400"/>
      <c r="H1506" s="400"/>
      <c r="N1506" s="400"/>
    </row>
    <row r="1507" spans="3:14" ht="18">
      <c r="C1507" s="400"/>
      <c r="D1507" s="400"/>
      <c r="E1507" s="400"/>
      <c r="F1507" s="400"/>
      <c r="G1507" s="400"/>
      <c r="H1507" s="400"/>
      <c r="N1507" s="400"/>
    </row>
    <row r="1508" spans="3:14" ht="18">
      <c r="C1508" s="400"/>
      <c r="D1508" s="400"/>
      <c r="E1508" s="400"/>
      <c r="F1508" s="400"/>
      <c r="G1508" s="400"/>
      <c r="H1508" s="400"/>
      <c r="N1508" s="400"/>
    </row>
    <row r="1509" spans="3:14" ht="18">
      <c r="C1509" s="400"/>
      <c r="D1509" s="400"/>
      <c r="E1509" s="400"/>
      <c r="F1509" s="400"/>
      <c r="G1509" s="400"/>
      <c r="H1509" s="400"/>
      <c r="N1509" s="400"/>
    </row>
    <row r="1510" spans="3:14" ht="18">
      <c r="C1510" s="400"/>
      <c r="D1510" s="400"/>
      <c r="E1510" s="400"/>
      <c r="F1510" s="400"/>
      <c r="G1510" s="400"/>
      <c r="H1510" s="400"/>
      <c r="N1510" s="400"/>
    </row>
    <row r="1511" spans="3:14" ht="18">
      <c r="C1511" s="400"/>
      <c r="D1511" s="400"/>
      <c r="E1511" s="400"/>
      <c r="F1511" s="400"/>
      <c r="G1511" s="400"/>
      <c r="H1511" s="400"/>
      <c r="N1511" s="400"/>
    </row>
    <row r="1512" spans="3:14" ht="18"/>
  </sheetData>
  <mergeCells count="4">
    <mergeCell ref="A3:A5"/>
    <mergeCell ref="A6:N6"/>
    <mergeCell ref="A7:B7"/>
    <mergeCell ref="D9:G9"/>
  </mergeCells>
  <dataValidations count="12">
    <dataValidation allowBlank="1" showInputMessage="1" showErrorMessage="1" promptTitle="PACC" prompt="Digite la cantidad requerida en este período._x000a_" sqref="F721:G724 E1363:G1408 F862:G869 E751:E809 E455:F455 F822:G824 F709:G719 F878:G878 F401:F449 E175:G185 D249:G249 E195:G195 D1327:E1327 D462:E462 F1150:G1150 E883:E919 D676:G676 D681:G681 F883:G891 E146:G146 F923:F964 F921:G921 D880:G882 D247:E248 E750:G750 E677:G680 F268:G270 D920:G920 E921:E954 E263:F267 F767:G778 F190:G194 E1481:G1483 E398:G400 D15:F15 D1147:E1151 E585:G606 F396:G397 E1326 E736:G738 E14:F14 D196:E205 D1309:E1312 E1329:G1330 F281:G287 E877:E879 D1201:E1201 F186:G186 E811:E824 D1127:D1141 D1520:E1520 G1513:G1514 E1513:E1519 F1515:G1520 H1453 H1440 F1513 E833:E875 F1159:G1162 E709:E735 D222:D241 D456:D461 D1199:E1199 E810:G810 E1497:G1512 F536:F584 F1437:G1442 D1154:E1155 D1101:G1104 D1440:E1442 F221:G234 E206:F220 F607:F637 F653:G675 F456:F461 D1521:G1530 F250:F262 D1496:G1496 F1140 F893:G919 F1147:F1149 D39:G48 G1069:G1082 F1153:G1157 D1331:G1348 H1303 D522:D525 D1144:D1146 D923:D926 D26:G28 E288:F376 D928:D937 F450:G450 F511:F530 F1105:G1126 F466:G505 F1083:G1100 D1349:E1349 F1328:G1328 D22:G22 E1131:E1146 E394:E395 E1313:E1314 E526:E531 E1437:E1439 E830 E1162:E1180 E1156:E1158 E1088:E1100 E1152:E1153 E377:E379 E739:E749 E401:E420 E1083 E1086 E1106:E1127 D876:G876 D1359:G1362 D1350:G1352 E463:G464 E466:E521 E442:E451 D1484:G1494 E1495:G1495 D1409:G1436 E149:G166 E1353:G1358 D242:G246 E682:G707 E271:G280 E611:E675 E221:E241 E1202:G1210 E1200:G1200 E1190:G1194 D1195:G1196 D1315:E1325 E1197:G1198 E140:G143 E187:G189 F731:G733 G720 G725:G730 G879 G734:G735 G1349 G892 G1151:G1152 G13:G15 G394:G395 G526:G531 G607:G652 G811:G821 G506:G521 G779:G809 G250:G267 G751:G766 G877 G739:G749 G870:G875 G196:G205 G451:G462 D1159:E1161 G830 G1158 G1163:G1180 G1199 G1201 G235:G241 G247:G248 G429 G288:G379 G442:G445 G1127:G1149 G833:G861 G922:G1059 D955:E1059 D1069:E1082 D1060:G1068 D1497:D1514 D1181:G1189 F1308:F1309 E1212:E1308 F1212:G1307 G1308:G1327 F1311:F1326 D169:G172 D17:G20 D1443:G1480"/>
    <dataValidation allowBlank="1" showInputMessage="1" showErrorMessage="1" promptTitle="PACC" prompt="La cantidad total resultará de la suma de las cantidades requeridas en cada trimestre. " sqref="G430:G441 I669:I675 F506:F510 H1441:H1452 I629:I637 I653:I667 G446:G449 H1304:H1439 D1163 G401:G428 H13:H1302 H1454:H1530"/>
    <dataValidation allowBlank="1" showInputMessage="1" showErrorMessage="1" promptTitle="PACC" prompt="Este valor se calculará automáticamente, resultado de la multiplicación de la cantidad total por el precio unitario estimado." sqref="J456:J461 J329:J345 J222:J223 J462:K462 I1433:I1435 K22:K23 J878:K878 J677:K681 J247:K280 J767:K769 J1526:K1530 J879:J882 J401:J447 J448:K455 J288:K328 J281:J287 I1436:J1436 I1514:K1514 J1515:J1520 I1521:J1523 J1197 J1195:K1196 J1158:K1180 J1198:K1199 J1201:K1201 J1200 J770:J877 J1524:J1525 J1102:J1112 K629:K637 K653:K675 J476:K505 J1154:J1157 J224:K241 J242:J246 J1416:K1432 J173:K221 K50 J1404:J1415 J463:J475 J1113:K1153 J1496:J1513 J346:K400 J1364:J1397 J1494 K688:K718 J682:J766 J506:J676 J883:K1101 J1304:K1363 I1344:I1345 J1202:J1303 K26:K28 J1181:J1194 K61:K168 I1355:I1356 I1339:I1340 J13:K21 J22:J172 K30:K38 J1437:J1492 I1485"/>
    <dataValidation allowBlank="1" showInputMessage="1" showErrorMessage="1" promptTitle="PACC" prompt="Digite el precio unitario estimado._x000a_" sqref="I1513 I1520 I1437:I1453 I1524:I1530 I638:I652 I1495:J1495 I1416:I1432 I1481:I1483 I1341:I1343 I49:I241 I1346:I1354 I676:I1338 I247:I628 I13:I38 I1357:I1408"/>
    <dataValidation allowBlank="1" showInputMessage="1" showErrorMessage="1" promptTitle="PACC" prompt="Digite la fuente de financiamiento del procedimiento de referencia." sqref="N1434:N1435 N1521:N1523 M1524:M1530 M1437:M1520 N653:N675 M634:M652 N635 N633 M13:M632 M679:M1432"/>
    <dataValidation allowBlank="1" showInputMessage="1" showErrorMessage="1" promptTitle="PACC" prompt="Este valor se calculará sumando los costos totales que posean el mismo Código de Catálogo de Bienes y Servicios." sqref="K1364:K1397 J1433:J1435 K456:K461 K329:K345 K222:K223 K676:L676 K51:K60 K879:K882 K682:K687 L750 K401:K447 K506:K628 K281:K287 K1197 K1515:K1520 I1515:I1519 K1200 K169:K172 K1524:K1525 L633 K638:K652 K1154:K1157 K1102:K1112 K242:K246 I242:I246 K1404:K1415 I39:I48 I1409:I1415 I1486:I1494 K463:K475 K719:K766 K1202:K1303 J1493 L722:L730 I1496:I1512 K770:K877 L653:L675 K39:K48 L651 K1181:K1194 K1437:K1513 K24:K25 K29 I1484 I1454:I1480"/>
    <dataValidation allowBlank="1" showInputMessage="1" showErrorMessage="1" promptTitle="PACC" prompt="Digite las observaciones que considere." sqref="N1524:N1530 N636:N652 N634 N1436:N1520 N50:N632 N13:N48 N676:N1433"/>
    <dataValidation allowBlank="1" showInputMessage="1" showErrorMessage="1" promptTitle="PACC" prompt="Digite la unidad de medida._x000a__x000a_" sqref="E607:E610 C634:C652 C676:C1397 D64:D100 D113:D133 C101:C609 C13:C63 C1404:C1530"/>
    <dataValidation allowBlank="1" showInputMessage="1" showErrorMessage="1" promptTitle="PACC" prompt="Digite la descripción de la compra o contratación." sqref="B1513:B1530 B1495 B1416:B1453 B1481:B1483 A101 B49:B241 B13:B38 B247:B1408"/>
    <dataValidation type="list" allowBlank="1" showInputMessage="1" showErrorMessage="1" promptTitle="PACC" prompt="Seleccione el Código de Bienes y Servicios._x000a_" sqref="A64:A100 J1398:K1403 A1521:A1530 A13:A50 C1398:C1403 A102:A1513">
      <formula1>#REF!</formula1>
    </dataValidation>
    <dataValidation type="list" allowBlank="1" showInputMessage="1" showErrorMessage="1" promptTitle="PACC" prompt="Seleccione el procedimiento de selección." sqref="K1433:K1436 K1521:K1523 L731:L749 L652 L1524:L1530 L677:L721 L634:L650 M653:M678 M633 L50:L632 L13:L48 L751:L1520">
      <formula1>#REF!</formula1>
    </dataValidation>
    <dataValidation type="list" allowBlank="1" showInputMessage="1" showErrorMessage="1" promptTitle="PACC" prompt="Seleccione el Código de Bienes y Servicios._x000a_" sqref="A51:A63">
      <formula1>#REF!</formula1>
    </dataValidation>
  </dataValidation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</sheetPr>
  <dimension ref="A1:N1490"/>
  <sheetViews>
    <sheetView topLeftCell="A1455" zoomScale="70" zoomScaleNormal="70" workbookViewId="0">
      <selection activeCell="C1468" sqref="C1468"/>
    </sheetView>
  </sheetViews>
  <sheetFormatPr baseColWidth="10" defaultColWidth="11.42578125" defaultRowHeight="30.75" customHeight="1"/>
  <cols>
    <col min="1" max="1" width="47.140625" style="400" customWidth="1"/>
    <col min="2" max="2" width="48.42578125" style="400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400" customWidth="1"/>
    <col min="10" max="10" width="22" style="400" customWidth="1"/>
    <col min="11" max="11" width="32.42578125" style="400" customWidth="1"/>
    <col min="12" max="12" width="32.140625" style="400" customWidth="1"/>
    <col min="13" max="13" width="25.85546875" style="400" customWidth="1"/>
    <col min="14" max="14" width="12.5703125" style="37" customWidth="1"/>
    <col min="15" max="16384" width="11.42578125" style="400"/>
  </cols>
  <sheetData>
    <row r="1" spans="1:14" ht="18.75" thickBot="1"/>
    <row r="2" spans="1:14" ht="18">
      <c r="A2" s="7" t="s">
        <v>0</v>
      </c>
      <c r="N2" s="8">
        <v>42332</v>
      </c>
    </row>
    <row r="3" spans="1:14" ht="18">
      <c r="A3" s="554"/>
      <c r="N3" s="9"/>
    </row>
    <row r="4" spans="1:14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14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14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172" customFormat="1" ht="15.75">
      <c r="A7" s="556" t="s">
        <v>1841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14" ht="26.25" thickBot="1">
      <c r="A8" s="509" t="s">
        <v>2570</v>
      </c>
    </row>
    <row r="9" spans="1:14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14" s="14" customFormat="1" ht="18"/>
    <row r="11" spans="1:14" s="12" customFormat="1" ht="18.75" customHeight="1" thickBot="1"/>
    <row r="12" spans="1:14" s="12" customFormat="1" ht="78">
      <c r="A12" s="2" t="s">
        <v>3</v>
      </c>
      <c r="B12" s="3" t="s">
        <v>4</v>
      </c>
      <c r="C12" s="3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3" t="s">
        <v>10</v>
      </c>
      <c r="I12" s="3" t="s">
        <v>11</v>
      </c>
      <c r="J12" s="3" t="s">
        <v>12</v>
      </c>
      <c r="K12" s="3" t="s">
        <v>442</v>
      </c>
      <c r="L12" s="3" t="s">
        <v>13</v>
      </c>
      <c r="M12" s="3" t="s">
        <v>14</v>
      </c>
      <c r="N12" s="3" t="s">
        <v>305</v>
      </c>
    </row>
    <row r="13" spans="1:14" s="12" customFormat="1" ht="31.5">
      <c r="A13" s="178" t="s">
        <v>16</v>
      </c>
      <c r="B13" s="75" t="s">
        <v>427</v>
      </c>
      <c r="C13" s="39" t="s">
        <v>17</v>
      </c>
      <c r="D13" s="236"/>
      <c r="E13" s="236"/>
      <c r="F13" s="236"/>
      <c r="G13" s="236"/>
      <c r="H13" s="236">
        <f>SUM(Tabla132112416[[#This Row],[PRIMER TRIMESTRE]:[CUARTO TRIMESTRE]])</f>
        <v>0</v>
      </c>
      <c r="I13" s="17">
        <v>4568.04</v>
      </c>
      <c r="J13" s="17">
        <f>+Tabla132112416[[#This Row],[CANTIDAD TOTAL]]*Tabla132112416[[#This Row],[PRECIO UNITARIO ESTIMADO]]</f>
        <v>0</v>
      </c>
      <c r="K13" s="21"/>
      <c r="L13" s="16" t="s">
        <v>18</v>
      </c>
      <c r="M13" s="16" t="s">
        <v>19</v>
      </c>
      <c r="N13" s="39"/>
    </row>
    <row r="14" spans="1:14" s="12" customFormat="1" ht="31.5">
      <c r="A14" s="178" t="s">
        <v>16</v>
      </c>
      <c r="B14" s="75" t="s">
        <v>426</v>
      </c>
      <c r="C14" s="39" t="s">
        <v>17</v>
      </c>
      <c r="D14" s="236"/>
      <c r="E14" s="236"/>
      <c r="F14" s="236"/>
      <c r="G14" s="236"/>
      <c r="H14" s="236">
        <f>SUM(Tabla132112416[[#This Row],[PRIMER TRIMESTRE]:[CUARTO TRIMESTRE]])</f>
        <v>0</v>
      </c>
      <c r="I14" s="17">
        <v>33696</v>
      </c>
      <c r="J14" s="17">
        <f>+Tabla132112416[[#This Row],[CANTIDAD TOTAL]]*Tabla132112416[[#This Row],[PRECIO UNITARIO ESTIMADO]]</f>
        <v>0</v>
      </c>
      <c r="K14" s="17"/>
      <c r="L14" s="16" t="s">
        <v>18</v>
      </c>
      <c r="M14" s="16" t="s">
        <v>19</v>
      </c>
      <c r="N14" s="39"/>
    </row>
    <row r="15" spans="1:14" s="12" customFormat="1" ht="31.5">
      <c r="A15" s="178" t="s">
        <v>16</v>
      </c>
      <c r="B15" s="75" t="s">
        <v>24</v>
      </c>
      <c r="C15" s="39" t="s">
        <v>25</v>
      </c>
      <c r="D15" s="210"/>
      <c r="E15" s="210"/>
      <c r="F15" s="210"/>
      <c r="G15" s="210"/>
      <c r="H15" s="236">
        <f>SUM(Tabla132112416[[#This Row],[PRIMER TRIMESTRE]:[CUARTO TRIMESTRE]])</f>
        <v>0</v>
      </c>
      <c r="I15" s="17">
        <v>3628</v>
      </c>
      <c r="J15" s="17">
        <f>+Tabla132112416[[#This Row],[CANTIDAD TOTAL]]*Tabla132112416[[#This Row],[PRECIO UNITARIO ESTIMADO]]</f>
        <v>0</v>
      </c>
      <c r="K15" s="17"/>
      <c r="L15" s="16" t="s">
        <v>18</v>
      </c>
      <c r="M15" s="16" t="s">
        <v>19</v>
      </c>
      <c r="N15" s="39"/>
    </row>
    <row r="16" spans="1:14" s="12" customFormat="1" ht="31.5">
      <c r="A16" s="178" t="s">
        <v>16</v>
      </c>
      <c r="B16" s="75" t="s">
        <v>1385</v>
      </c>
      <c r="C16" s="39" t="s">
        <v>23</v>
      </c>
      <c r="D16" s="210"/>
      <c r="E16" s="210"/>
      <c r="F16" s="210"/>
      <c r="G16" s="210"/>
      <c r="H16" s="236">
        <f>SUM(Tabla132112416[[#This Row],[PRIMER TRIMESTRE]:[CUARTO TRIMESTRE]])</f>
        <v>0</v>
      </c>
      <c r="I16" s="17">
        <v>28440</v>
      </c>
      <c r="J16" s="17">
        <f>+Tabla132112416[[#This Row],[CANTIDAD TOTAL]]*Tabla132112416[[#This Row],[PRECIO UNITARIO ESTIMADO]]</f>
        <v>0</v>
      </c>
      <c r="K16" s="17"/>
      <c r="L16" s="16" t="s">
        <v>15</v>
      </c>
      <c r="M16" s="16" t="s">
        <v>19</v>
      </c>
      <c r="N16" s="39" t="s">
        <v>342</v>
      </c>
    </row>
    <row r="17" spans="1:14" s="12" customFormat="1" ht="31.5">
      <c r="A17" s="178" t="s">
        <v>16</v>
      </c>
      <c r="B17" s="75" t="s">
        <v>29</v>
      </c>
      <c r="C17" s="39" t="s">
        <v>30</v>
      </c>
      <c r="D17" s="236"/>
      <c r="E17" s="236"/>
      <c r="F17" s="236"/>
      <c r="G17" s="236"/>
      <c r="H17" s="236">
        <f>SUM(Tabla132112416[[#This Row],[PRIMER TRIMESTRE]:[CUARTO TRIMESTRE]])</f>
        <v>0</v>
      </c>
      <c r="I17" s="17">
        <v>862.27</v>
      </c>
      <c r="J17" s="17">
        <f>+Tabla132112416[[#This Row],[CANTIDAD TOTAL]]*Tabla132112416[[#This Row],[PRECIO UNITARIO ESTIMADO]]</f>
        <v>0</v>
      </c>
      <c r="K17" s="17"/>
      <c r="L17" s="16" t="s">
        <v>18</v>
      </c>
      <c r="M17" s="16" t="s">
        <v>19</v>
      </c>
      <c r="N17" s="39"/>
    </row>
    <row r="18" spans="1:14" s="12" customFormat="1" ht="31.5">
      <c r="A18" s="178" t="s">
        <v>16</v>
      </c>
      <c r="B18" s="75" t="s">
        <v>1842</v>
      </c>
      <c r="C18" s="39" t="s">
        <v>30</v>
      </c>
      <c r="D18" s="236"/>
      <c r="E18" s="236"/>
      <c r="F18" s="236"/>
      <c r="G18" s="236"/>
      <c r="H18" s="236">
        <f>SUM(Tabla132112416[[#This Row],[PRIMER TRIMESTRE]:[CUARTO TRIMESTRE]])</f>
        <v>0</v>
      </c>
      <c r="I18" s="17">
        <v>24.68</v>
      </c>
      <c r="J18" s="17">
        <f>+H18*I18</f>
        <v>0</v>
      </c>
      <c r="K18" s="17"/>
      <c r="L18" s="16" t="s">
        <v>18</v>
      </c>
      <c r="M18" s="16" t="s">
        <v>19</v>
      </c>
      <c r="N18" s="39"/>
    </row>
    <row r="19" spans="1:14" s="169" customFormat="1" ht="31.5">
      <c r="A19" s="178" t="s">
        <v>16</v>
      </c>
      <c r="B19" s="75" t="s">
        <v>1843</v>
      </c>
      <c r="C19" s="39" t="s">
        <v>17</v>
      </c>
      <c r="D19" s="236"/>
      <c r="E19" s="236"/>
      <c r="F19" s="236"/>
      <c r="G19" s="236"/>
      <c r="H19" s="236">
        <f>SUM(Tabla132112416[[#This Row],[PRIMER TRIMESTRE]:[CUARTO TRIMESTRE]])</f>
        <v>0</v>
      </c>
      <c r="I19" s="17">
        <v>15000</v>
      </c>
      <c r="J19" s="17">
        <f>+H19*I19</f>
        <v>0</v>
      </c>
      <c r="K19" s="17"/>
      <c r="L19" s="16" t="s">
        <v>27</v>
      </c>
      <c r="M19" s="16" t="s">
        <v>19</v>
      </c>
      <c r="N19" s="39"/>
    </row>
    <row r="20" spans="1:14" s="169" customFormat="1" ht="18">
      <c r="A20" s="179" t="s">
        <v>16</v>
      </c>
      <c r="B20" s="405" t="s">
        <v>443</v>
      </c>
      <c r="C20" s="42"/>
      <c r="D20" s="237"/>
      <c r="E20" s="237"/>
      <c r="F20" s="237"/>
      <c r="G20" s="237"/>
      <c r="H20" s="43"/>
      <c r="I20" s="24"/>
      <c r="J20" s="24"/>
      <c r="K20" s="25">
        <f>SUM(J13:J19)</f>
        <v>0</v>
      </c>
      <c r="L20" s="23"/>
      <c r="M20" s="23"/>
      <c r="N20" s="42"/>
    </row>
    <row r="21" spans="1:14" s="169" customFormat="1" ht="30">
      <c r="A21" s="180" t="s">
        <v>34</v>
      </c>
      <c r="B21" s="77" t="s">
        <v>717</v>
      </c>
      <c r="C21" s="70" t="s">
        <v>35</v>
      </c>
      <c r="D21" s="210"/>
      <c r="E21" s="210"/>
      <c r="F21" s="210"/>
      <c r="G21" s="210"/>
      <c r="H21" s="406">
        <f>SUM(Tabla132112416[[#This Row],[PRIMER TRIMESTRE]:[CUARTO TRIMESTRE]])</f>
        <v>0</v>
      </c>
      <c r="I21" s="72">
        <v>31896.55</v>
      </c>
      <c r="J21" s="72">
        <f>+Tabla132112416[[#This Row],[CANTIDAD TOTAL]]*Tabla132112416[[#This Row],[PRECIO UNITARIO ESTIMADO]]</f>
        <v>0</v>
      </c>
      <c r="K21" s="72"/>
      <c r="L21" s="77" t="s">
        <v>27</v>
      </c>
      <c r="M21" s="73" t="s">
        <v>22</v>
      </c>
      <c r="N21" s="70" t="s">
        <v>418</v>
      </c>
    </row>
    <row r="22" spans="1:14" s="169" customFormat="1" ht="30">
      <c r="A22" s="180" t="s">
        <v>34</v>
      </c>
      <c r="B22" s="77" t="s">
        <v>714</v>
      </c>
      <c r="C22" s="70" t="s">
        <v>35</v>
      </c>
      <c r="D22" s="210"/>
      <c r="E22" s="210"/>
      <c r="F22" s="210"/>
      <c r="G22" s="210"/>
      <c r="H22" s="406">
        <f>SUM(Tabla132112416[[#This Row],[PRIMER TRIMESTRE]:[CUARTO TRIMESTRE]])</f>
        <v>0</v>
      </c>
      <c r="I22" s="72">
        <v>28017.24</v>
      </c>
      <c r="J22" s="72">
        <f>+H22*I22</f>
        <v>0</v>
      </c>
      <c r="K22" s="171"/>
      <c r="L22" s="77" t="s">
        <v>27</v>
      </c>
      <c r="M22" s="73" t="s">
        <v>22</v>
      </c>
      <c r="N22" s="70" t="s">
        <v>418</v>
      </c>
    </row>
    <row r="23" spans="1:14" s="169" customFormat="1" ht="30">
      <c r="A23" s="180" t="s">
        <v>34</v>
      </c>
      <c r="B23" s="77" t="s">
        <v>715</v>
      </c>
      <c r="C23" s="70" t="s">
        <v>35</v>
      </c>
      <c r="D23" s="210"/>
      <c r="E23" s="210"/>
      <c r="F23" s="210"/>
      <c r="G23" s="210"/>
      <c r="H23" s="406">
        <f>SUM(Tabla132112416[[#This Row],[PRIMER TRIMESTRE]:[CUARTO TRIMESTRE]])</f>
        <v>0</v>
      </c>
      <c r="I23" s="72">
        <v>23612</v>
      </c>
      <c r="J23" s="72">
        <f>+H23*I23</f>
        <v>0</v>
      </c>
      <c r="K23" s="72"/>
      <c r="L23" s="77" t="s">
        <v>27</v>
      </c>
      <c r="M23" s="73" t="s">
        <v>22</v>
      </c>
      <c r="N23" s="70" t="s">
        <v>418</v>
      </c>
    </row>
    <row r="24" spans="1:14" s="169" customFormat="1" ht="30">
      <c r="A24" s="180" t="s">
        <v>34</v>
      </c>
      <c r="B24" s="77" t="s">
        <v>716</v>
      </c>
      <c r="C24" s="70" t="s">
        <v>35</v>
      </c>
      <c r="D24" s="210"/>
      <c r="E24" s="210"/>
      <c r="F24" s="210"/>
      <c r="G24" s="210"/>
      <c r="H24" s="406">
        <f>SUM(Tabla132112416[[#This Row],[PRIMER TRIMESTRE]:[CUARTO TRIMESTRE]])</f>
        <v>0</v>
      </c>
      <c r="I24" s="72">
        <v>23112.13</v>
      </c>
      <c r="J24" s="72">
        <f>+H24*I24</f>
        <v>0</v>
      </c>
      <c r="K24" s="72"/>
      <c r="L24" s="77" t="s">
        <v>27</v>
      </c>
      <c r="M24" s="73" t="s">
        <v>22</v>
      </c>
      <c r="N24" s="70" t="s">
        <v>418</v>
      </c>
    </row>
    <row r="25" spans="1:14" s="169" customFormat="1" ht="30">
      <c r="A25" s="180" t="s">
        <v>34</v>
      </c>
      <c r="B25" s="77" t="s">
        <v>787</v>
      </c>
      <c r="C25" s="70" t="s">
        <v>35</v>
      </c>
      <c r="D25" s="210"/>
      <c r="E25" s="210"/>
      <c r="F25" s="210"/>
      <c r="G25" s="210"/>
      <c r="H25" s="406">
        <f>SUM(Tabla132112416[[#This Row],[PRIMER TRIMESTRE]:[CUARTO TRIMESTRE]])</f>
        <v>0</v>
      </c>
      <c r="I25" s="72">
        <v>24630.67</v>
      </c>
      <c r="J25" s="72">
        <f>+Tabla132112416[[#This Row],[CANTIDAD TOTAL]]*Tabla132112416[[#This Row],[PRECIO UNITARIO ESTIMADO]]</f>
        <v>0</v>
      </c>
      <c r="K25" s="72"/>
      <c r="L25" s="77" t="s">
        <v>27</v>
      </c>
      <c r="M25" s="73" t="s">
        <v>22</v>
      </c>
      <c r="N25" s="70" t="s">
        <v>418</v>
      </c>
    </row>
    <row r="26" spans="1:14" s="169" customFormat="1" ht="30">
      <c r="A26" s="180" t="s">
        <v>34</v>
      </c>
      <c r="B26" s="77" t="s">
        <v>786</v>
      </c>
      <c r="C26" s="70" t="s">
        <v>35</v>
      </c>
      <c r="D26" s="210"/>
      <c r="E26" s="210"/>
      <c r="F26" s="210"/>
      <c r="G26" s="210"/>
      <c r="H26" s="406">
        <f>SUM(Tabla132112416[[#This Row],[PRIMER TRIMESTRE]:[CUARTO TRIMESTRE]])</f>
        <v>0</v>
      </c>
      <c r="I26" s="72">
        <f>+I25*1.05</f>
        <v>25862.2035</v>
      </c>
      <c r="J26" s="72">
        <f>+H26*I26</f>
        <v>0</v>
      </c>
      <c r="K26" s="72"/>
      <c r="L26" s="77" t="s">
        <v>27</v>
      </c>
      <c r="M26" s="73" t="s">
        <v>22</v>
      </c>
      <c r="N26" s="70" t="s">
        <v>418</v>
      </c>
    </row>
    <row r="27" spans="1:14" s="26" customFormat="1" ht="30">
      <c r="A27" s="180" t="s">
        <v>34</v>
      </c>
      <c r="B27" s="77" t="s">
        <v>720</v>
      </c>
      <c r="C27" s="70" t="s">
        <v>721</v>
      </c>
      <c r="D27" s="210"/>
      <c r="E27" s="210"/>
      <c r="F27" s="210"/>
      <c r="G27" s="210"/>
      <c r="H27" s="406">
        <f>SUM(Tabla132112416[[#This Row],[PRIMER TRIMESTRE]:[CUARTO TRIMESTRE]])</f>
        <v>0</v>
      </c>
      <c r="I27" s="72">
        <v>3700</v>
      </c>
      <c r="J27" s="72">
        <f>+Tabla132112416[[#This Row],[CANTIDAD TOTAL]]*Tabla132112416[[#This Row],[PRECIO UNITARIO ESTIMADO]]</f>
        <v>0</v>
      </c>
      <c r="K27" s="72"/>
      <c r="L27" s="77" t="s">
        <v>27</v>
      </c>
      <c r="M27" s="73" t="s">
        <v>22</v>
      </c>
      <c r="N27" s="70" t="s">
        <v>418</v>
      </c>
    </row>
    <row r="28" spans="1:14" s="169" customFormat="1" ht="30">
      <c r="A28" s="180" t="s">
        <v>34</v>
      </c>
      <c r="B28" s="77" t="s">
        <v>719</v>
      </c>
      <c r="C28" s="70" t="s">
        <v>718</v>
      </c>
      <c r="D28" s="210"/>
      <c r="E28" s="210"/>
      <c r="F28" s="210"/>
      <c r="G28" s="210"/>
      <c r="H28" s="406">
        <f>SUM(Tabla132112416[[#This Row],[PRIMER TRIMESTRE]:[CUARTO TRIMESTRE]])</f>
        <v>0</v>
      </c>
      <c r="I28" s="72">
        <v>800</v>
      </c>
      <c r="J28" s="72">
        <f>+Tabla132112416[[#This Row],[CANTIDAD TOTAL]]*Tabla132112416[[#This Row],[PRECIO UNITARIO ESTIMADO]]</f>
        <v>0</v>
      </c>
      <c r="K28" s="72"/>
      <c r="L28" s="77" t="s">
        <v>27</v>
      </c>
      <c r="M28" s="73" t="s">
        <v>22</v>
      </c>
      <c r="N28" s="70" t="s">
        <v>418</v>
      </c>
    </row>
    <row r="29" spans="1:14" s="169" customFormat="1" ht="31.5">
      <c r="A29" s="179" t="s">
        <v>34</v>
      </c>
      <c r="B29" s="76" t="s">
        <v>444</v>
      </c>
      <c r="C29" s="42"/>
      <c r="D29" s="237"/>
      <c r="E29" s="237"/>
      <c r="F29" s="237"/>
      <c r="G29" s="237"/>
      <c r="H29" s="43"/>
      <c r="I29" s="24"/>
      <c r="J29" s="24"/>
      <c r="K29" s="25">
        <f>SUBTOTAL(109,J21:J28)</f>
        <v>0</v>
      </c>
      <c r="L29" s="23"/>
      <c r="M29" s="23"/>
      <c r="N29" s="42"/>
    </row>
    <row r="30" spans="1:14" s="26" customFormat="1" ht="31.5">
      <c r="A30" s="180" t="s">
        <v>1288</v>
      </c>
      <c r="B30" s="77" t="s">
        <v>1290</v>
      </c>
      <c r="C30" s="70" t="s">
        <v>33</v>
      </c>
      <c r="D30" s="210"/>
      <c r="E30" s="210"/>
      <c r="F30" s="210"/>
      <c r="G30" s="210"/>
      <c r="H30" s="406">
        <f>SUM(Tabla132112416[[#This Row],[PRIMER TRIMESTRE]:[CUARTO TRIMESTRE]])</f>
        <v>0</v>
      </c>
      <c r="I30" s="72">
        <v>144.9</v>
      </c>
      <c r="J30" s="72">
        <f>+H30*I30</f>
        <v>0</v>
      </c>
      <c r="K30" s="72"/>
      <c r="L30" s="16" t="s">
        <v>18</v>
      </c>
      <c r="M30" s="73" t="s">
        <v>19</v>
      </c>
      <c r="N30" s="70"/>
    </row>
    <row r="31" spans="1:14" s="12" customFormat="1" ht="31.5">
      <c r="A31" s="180" t="s">
        <v>1288</v>
      </c>
      <c r="B31" s="77" t="s">
        <v>1289</v>
      </c>
      <c r="C31" s="70" t="s">
        <v>33</v>
      </c>
      <c r="D31" s="210"/>
      <c r="E31" s="210"/>
      <c r="F31" s="210"/>
      <c r="G31" s="210"/>
      <c r="H31" s="406">
        <f>SUM(Tabla132112416[[#This Row],[PRIMER TRIMESTRE]:[CUARTO TRIMESTRE]])</f>
        <v>0</v>
      </c>
      <c r="I31" s="72">
        <v>144.9</v>
      </c>
      <c r="J31" s="72">
        <f>+H31*I31</f>
        <v>0</v>
      </c>
      <c r="K31" s="72"/>
      <c r="L31" s="16" t="s">
        <v>18</v>
      </c>
      <c r="M31" s="73" t="s">
        <v>19</v>
      </c>
      <c r="N31" s="70"/>
    </row>
    <row r="32" spans="1:14" s="12" customFormat="1" ht="18">
      <c r="A32" s="179" t="s">
        <v>1288</v>
      </c>
      <c r="B32" s="76"/>
      <c r="C32" s="42"/>
      <c r="D32" s="237"/>
      <c r="E32" s="237"/>
      <c r="F32" s="237"/>
      <c r="G32" s="237"/>
      <c r="H32" s="43"/>
      <c r="I32" s="24"/>
      <c r="J32" s="24"/>
      <c r="K32" s="25">
        <f>SUBTOTAL(109,J30:J31)</f>
        <v>0</v>
      </c>
      <c r="L32" s="23"/>
      <c r="M32" s="23"/>
      <c r="N32" s="42"/>
    </row>
    <row r="33" spans="1:14" s="26" customFormat="1" ht="30">
      <c r="A33" s="180" t="s">
        <v>41</v>
      </c>
      <c r="B33" s="77" t="s">
        <v>42</v>
      </c>
      <c r="C33" s="70" t="s">
        <v>17</v>
      </c>
      <c r="D33" s="210"/>
      <c r="E33" s="210"/>
      <c r="F33" s="210"/>
      <c r="G33" s="210"/>
      <c r="H33" s="40">
        <f>SUM(Tabla132112416[[#This Row],[PRIMER TRIMESTRE]:[CUARTO TRIMESTRE]])</f>
        <v>0</v>
      </c>
      <c r="I33" s="17">
        <v>26999</v>
      </c>
      <c r="J33" s="17">
        <f>+Tabla132112416[[#This Row],[CANTIDAD TOTAL]]*Tabla132112416[[#This Row],[PRECIO UNITARIO ESTIMADO]]</f>
        <v>0</v>
      </c>
      <c r="K33" s="17"/>
      <c r="L33" s="16" t="s">
        <v>15</v>
      </c>
      <c r="M33" s="16" t="s">
        <v>22</v>
      </c>
      <c r="N33" s="39" t="s">
        <v>418</v>
      </c>
    </row>
    <row r="34" spans="1:14" s="55" customFormat="1" ht="30">
      <c r="A34" s="180" t="s">
        <v>41</v>
      </c>
      <c r="B34" s="77" t="s">
        <v>44</v>
      </c>
      <c r="C34" s="70" t="s">
        <v>17</v>
      </c>
      <c r="D34" s="210"/>
      <c r="E34" s="210"/>
      <c r="F34" s="210"/>
      <c r="G34" s="210"/>
      <c r="H34" s="40">
        <f>SUM(Tabla132112416[[#This Row],[PRIMER TRIMESTRE]:[CUARTO TRIMESTRE]])</f>
        <v>0</v>
      </c>
      <c r="I34" s="17">
        <v>90854.41</v>
      </c>
      <c r="J34" s="17">
        <f>+Tabla132112416[[#This Row],[CANTIDAD TOTAL]]*Tabla132112416[[#This Row],[PRECIO UNITARIO ESTIMADO]]</f>
        <v>0</v>
      </c>
      <c r="K34" s="17"/>
      <c r="L34" s="16" t="s">
        <v>15</v>
      </c>
      <c r="M34" s="16" t="s">
        <v>22</v>
      </c>
      <c r="N34" s="39" t="s">
        <v>418</v>
      </c>
    </row>
    <row r="35" spans="1:14" s="55" customFormat="1" ht="31.5">
      <c r="A35" s="179" t="s">
        <v>41</v>
      </c>
      <c r="B35" s="76"/>
      <c r="C35" s="42"/>
      <c r="D35" s="237"/>
      <c r="E35" s="237"/>
      <c r="F35" s="237"/>
      <c r="G35" s="237"/>
      <c r="H35" s="43"/>
      <c r="I35" s="24"/>
      <c r="J35" s="24"/>
      <c r="K35" s="25">
        <f>SUBTOTAL(109,J33:J34)</f>
        <v>0</v>
      </c>
      <c r="L35" s="23"/>
      <c r="M35" s="23"/>
      <c r="N35" s="42"/>
    </row>
    <row r="36" spans="1:14" s="55" customFormat="1" ht="30">
      <c r="A36" s="178" t="s">
        <v>1386</v>
      </c>
      <c r="B36" s="75" t="s">
        <v>1387</v>
      </c>
      <c r="C36" s="53" t="s">
        <v>1388</v>
      </c>
      <c r="D36" s="241"/>
      <c r="E36" s="241"/>
      <c r="F36" s="241"/>
      <c r="G36" s="241"/>
      <c r="H36" s="244">
        <f>SUM(Tabla132112416[[#This Row],[PRIMER TRIMESTRE]:[CUARTO TRIMESTRE]])</f>
        <v>0</v>
      </c>
      <c r="I36" s="245">
        <v>2500</v>
      </c>
      <c r="J36" s="245">
        <f>+H36*I36</f>
        <v>0</v>
      </c>
      <c r="K36" s="50"/>
      <c r="L36" s="77" t="s">
        <v>27</v>
      </c>
      <c r="M36" s="77" t="s">
        <v>22</v>
      </c>
      <c r="N36" s="53"/>
    </row>
    <row r="37" spans="1:14" s="55" customFormat="1" ht="31.5">
      <c r="A37" s="16" t="s">
        <v>1386</v>
      </c>
      <c r="B37" s="75" t="s">
        <v>1551</v>
      </c>
      <c r="C37" s="176" t="s">
        <v>35</v>
      </c>
      <c r="D37" s="244"/>
      <c r="E37" s="244"/>
      <c r="F37" s="244"/>
      <c r="G37" s="244"/>
      <c r="H37" s="244">
        <f>SUM(Tabla132112416[[#This Row],[PRIMER TRIMESTRE]:[CUARTO TRIMESTRE]])</f>
        <v>0</v>
      </c>
      <c r="I37" s="245">
        <v>29000</v>
      </c>
      <c r="J37" s="245">
        <f>+H37*I37</f>
        <v>0</v>
      </c>
      <c r="K37" s="17"/>
      <c r="L37" s="16" t="s">
        <v>15</v>
      </c>
      <c r="M37" s="16" t="s">
        <v>22</v>
      </c>
      <c r="N37" s="39" t="s">
        <v>418</v>
      </c>
    </row>
    <row r="38" spans="1:14" s="55" customFormat="1" ht="31.5">
      <c r="A38" s="16" t="s">
        <v>1386</v>
      </c>
      <c r="B38" s="75" t="s">
        <v>1844</v>
      </c>
      <c r="C38" s="53" t="s">
        <v>17</v>
      </c>
      <c r="D38" s="299"/>
      <c r="E38" s="299"/>
      <c r="F38" s="299"/>
      <c r="G38" s="299"/>
      <c r="H38" s="244">
        <f>SUM(Tabla132112416[[#This Row],[PRIMER TRIMESTRE]:[CUARTO TRIMESTRE]])</f>
        <v>0</v>
      </c>
      <c r="I38" s="248">
        <v>4000000</v>
      </c>
      <c r="J38" s="245">
        <f>+H38*I38</f>
        <v>0</v>
      </c>
      <c r="K38" s="17"/>
      <c r="L38" s="16" t="s">
        <v>18</v>
      </c>
      <c r="M38" s="16" t="s">
        <v>22</v>
      </c>
      <c r="N38" s="39"/>
    </row>
    <row r="39" spans="1:14" s="55" customFormat="1" ht="30">
      <c r="A39" s="178" t="s">
        <v>1386</v>
      </c>
      <c r="B39" s="75" t="s">
        <v>1699</v>
      </c>
      <c r="C39" s="53" t="s">
        <v>17</v>
      </c>
      <c r="D39" s="299"/>
      <c r="E39" s="299"/>
      <c r="F39" s="299"/>
      <c r="G39" s="299"/>
      <c r="H39" s="46">
        <v>0</v>
      </c>
      <c r="I39" s="248">
        <v>0</v>
      </c>
      <c r="J39" s="248">
        <v>0</v>
      </c>
      <c r="K39" s="17"/>
      <c r="L39" s="16" t="s">
        <v>18</v>
      </c>
      <c r="M39" s="16" t="s">
        <v>22</v>
      </c>
      <c r="N39" s="39"/>
    </row>
    <row r="40" spans="1:14" s="26" customFormat="1" ht="30">
      <c r="A40" s="178" t="s">
        <v>1386</v>
      </c>
      <c r="B40" s="75" t="s">
        <v>1701</v>
      </c>
      <c r="C40" s="53" t="s">
        <v>17</v>
      </c>
      <c r="D40" s="299"/>
      <c r="E40" s="299"/>
      <c r="F40" s="299"/>
      <c r="G40" s="299"/>
      <c r="H40" s="46">
        <v>0</v>
      </c>
      <c r="I40" s="248">
        <v>0</v>
      </c>
      <c r="J40" s="248">
        <v>0</v>
      </c>
      <c r="K40" s="17"/>
      <c r="L40" s="16" t="s">
        <v>18</v>
      </c>
      <c r="M40" s="77" t="s">
        <v>22</v>
      </c>
      <c r="N40" s="39"/>
    </row>
    <row r="41" spans="1:14" s="26" customFormat="1" ht="30">
      <c r="A41" s="178" t="s">
        <v>1386</v>
      </c>
      <c r="B41" s="75" t="s">
        <v>1764</v>
      </c>
      <c r="C41" s="53" t="s">
        <v>17</v>
      </c>
      <c r="D41" s="299"/>
      <c r="E41" s="299"/>
      <c r="F41" s="299"/>
      <c r="G41" s="299"/>
      <c r="H41" s="46">
        <v>0</v>
      </c>
      <c r="I41" s="248">
        <v>0</v>
      </c>
      <c r="J41" s="248">
        <v>0</v>
      </c>
      <c r="K41" s="17"/>
      <c r="L41" s="77" t="s">
        <v>27</v>
      </c>
      <c r="M41" s="77" t="s">
        <v>22</v>
      </c>
      <c r="N41" s="39"/>
    </row>
    <row r="42" spans="1:14" s="111" customFormat="1" ht="30">
      <c r="A42" s="178" t="s">
        <v>1386</v>
      </c>
      <c r="B42" s="75" t="s">
        <v>1389</v>
      </c>
      <c r="C42" s="53" t="s">
        <v>1390</v>
      </c>
      <c r="D42" s="241"/>
      <c r="E42" s="241"/>
      <c r="F42" s="241"/>
      <c r="G42" s="241"/>
      <c r="H42" s="244">
        <f>SUM(Tabla132112416[[#This Row],[PRIMER TRIMESTRE]:[CUARTO TRIMESTRE]])</f>
        <v>0</v>
      </c>
      <c r="I42" s="245">
        <v>277</v>
      </c>
      <c r="J42" s="245">
        <f>+H42*I42</f>
        <v>0</v>
      </c>
      <c r="K42" s="50"/>
      <c r="L42" s="77" t="s">
        <v>27</v>
      </c>
      <c r="M42" s="77" t="s">
        <v>22</v>
      </c>
      <c r="N42" s="53"/>
    </row>
    <row r="43" spans="1:14" s="111" customFormat="1" ht="31.5">
      <c r="A43" s="179" t="s">
        <v>1386</v>
      </c>
      <c r="B43" s="76"/>
      <c r="C43" s="42"/>
      <c r="D43" s="237"/>
      <c r="E43" s="237"/>
      <c r="F43" s="237"/>
      <c r="G43" s="237"/>
      <c r="H43" s="43"/>
      <c r="I43" s="24"/>
      <c r="J43" s="24"/>
      <c r="K43" s="25">
        <f>SUM(J36:J42)</f>
        <v>0</v>
      </c>
      <c r="L43" s="23"/>
      <c r="M43" s="23"/>
      <c r="N43" s="42"/>
    </row>
    <row r="44" spans="1:14" s="111" customFormat="1" ht="18">
      <c r="A44" s="180" t="s">
        <v>1672</v>
      </c>
      <c r="B44" s="77" t="s">
        <v>1845</v>
      </c>
      <c r="C44" s="244" t="s">
        <v>17</v>
      </c>
      <c r="D44" s="244"/>
      <c r="E44" s="244"/>
      <c r="F44" s="244"/>
      <c r="G44" s="244"/>
      <c r="H44" s="244">
        <v>0</v>
      </c>
      <c r="I44" s="244">
        <v>0</v>
      </c>
      <c r="J44" s="244">
        <v>0</v>
      </c>
      <c r="K44" s="244"/>
      <c r="L44" s="244" t="s">
        <v>1663</v>
      </c>
      <c r="M44" s="16" t="s">
        <v>22</v>
      </c>
      <c r="N44" s="244"/>
    </row>
    <row r="45" spans="1:14" s="111" customFormat="1" ht="32.25" customHeight="1">
      <c r="A45" s="180" t="s">
        <v>46</v>
      </c>
      <c r="B45" s="77" t="s">
        <v>1391</v>
      </c>
      <c r="C45" s="244" t="s">
        <v>17</v>
      </c>
      <c r="D45" s="244">
        <v>1</v>
      </c>
      <c r="E45" s="244"/>
      <c r="F45" s="244"/>
      <c r="G45" s="244"/>
      <c r="H45" s="244">
        <v>1</v>
      </c>
      <c r="I45" s="246">
        <v>1136476.48</v>
      </c>
      <c r="J45" s="246">
        <f t="shared" ref="J45:J77" si="0">+H45*I45</f>
        <v>1136476.48</v>
      </c>
      <c r="K45" s="77"/>
      <c r="L45" s="16" t="s">
        <v>18</v>
      </c>
      <c r="M45" s="16" t="s">
        <v>22</v>
      </c>
      <c r="N45" s="77"/>
    </row>
    <row r="46" spans="1:14" s="111" customFormat="1" ht="18">
      <c r="A46" s="180" t="s">
        <v>46</v>
      </c>
      <c r="B46" s="77" t="s">
        <v>2571</v>
      </c>
      <c r="C46" s="244" t="s">
        <v>17</v>
      </c>
      <c r="D46" s="244"/>
      <c r="E46" s="244">
        <v>2</v>
      </c>
      <c r="F46" s="244"/>
      <c r="G46" s="244"/>
      <c r="H46" s="244">
        <v>2</v>
      </c>
      <c r="I46" s="246">
        <v>40000</v>
      </c>
      <c r="J46" s="246">
        <f t="shared" si="0"/>
        <v>80000</v>
      </c>
      <c r="K46" s="77"/>
      <c r="L46" s="16" t="s">
        <v>18</v>
      </c>
      <c r="M46" s="16" t="s">
        <v>22</v>
      </c>
      <c r="N46" s="77"/>
    </row>
    <row r="47" spans="1:14" s="111" customFormat="1" ht="18">
      <c r="A47" s="180" t="s">
        <v>46</v>
      </c>
      <c r="B47" s="77" t="s">
        <v>1392</v>
      </c>
      <c r="C47" s="177" t="s">
        <v>17</v>
      </c>
      <c r="D47" s="177"/>
      <c r="E47" s="177"/>
      <c r="F47" s="177"/>
      <c r="G47" s="177"/>
      <c r="H47" s="177">
        <f>SUM(Tabla132112416[[#This Row],[PRIMER TRIMESTRE]:[CUARTO TRIMESTRE]])</f>
        <v>0</v>
      </c>
      <c r="I47" s="246">
        <v>2600000</v>
      </c>
      <c r="J47" s="246">
        <f t="shared" si="0"/>
        <v>0</v>
      </c>
      <c r="K47" s="77"/>
      <c r="L47" s="16" t="s">
        <v>18</v>
      </c>
      <c r="M47" s="16" t="s">
        <v>22</v>
      </c>
      <c r="N47" s="77"/>
    </row>
    <row r="48" spans="1:14" s="111" customFormat="1" ht="18">
      <c r="A48" s="180" t="s">
        <v>1666</v>
      </c>
      <c r="B48" s="77" t="s">
        <v>1669</v>
      </c>
      <c r="C48" s="177" t="s">
        <v>17</v>
      </c>
      <c r="D48" s="210"/>
      <c r="E48" s="210"/>
      <c r="F48" s="210"/>
      <c r="G48" s="210"/>
      <c r="H48" s="406">
        <v>0</v>
      </c>
      <c r="I48" s="247">
        <v>0</v>
      </c>
      <c r="J48" s="247">
        <v>0</v>
      </c>
      <c r="K48" s="72"/>
      <c r="L48" s="16" t="s">
        <v>18</v>
      </c>
      <c r="M48" s="16" t="s">
        <v>22</v>
      </c>
      <c r="N48" s="70"/>
    </row>
    <row r="49" spans="1:14" s="111" customFormat="1" ht="18">
      <c r="A49" s="180" t="s">
        <v>1667</v>
      </c>
      <c r="B49" s="77" t="s">
        <v>1670</v>
      </c>
      <c r="C49" s="177" t="s">
        <v>17</v>
      </c>
      <c r="D49" s="210"/>
      <c r="E49" s="210"/>
      <c r="F49" s="210"/>
      <c r="G49" s="210"/>
      <c r="H49" s="406">
        <v>0</v>
      </c>
      <c r="I49" s="247">
        <v>0</v>
      </c>
      <c r="J49" s="247">
        <v>0</v>
      </c>
      <c r="K49" s="72"/>
      <c r="L49" s="16" t="s">
        <v>18</v>
      </c>
      <c r="M49" s="16" t="s">
        <v>22</v>
      </c>
      <c r="N49" s="70"/>
    </row>
    <row r="50" spans="1:14" s="111" customFormat="1" ht="18">
      <c r="A50" s="180" t="s">
        <v>1668</v>
      </c>
      <c r="B50" s="77" t="s">
        <v>1846</v>
      </c>
      <c r="C50" s="177" t="s">
        <v>17</v>
      </c>
      <c r="D50" s="210"/>
      <c r="E50" s="210"/>
      <c r="F50" s="210"/>
      <c r="G50" s="210"/>
      <c r="H50" s="406">
        <v>0</v>
      </c>
      <c r="I50" s="247">
        <v>0</v>
      </c>
      <c r="J50" s="247">
        <v>0</v>
      </c>
      <c r="K50" s="72"/>
      <c r="L50" s="16" t="s">
        <v>18</v>
      </c>
      <c r="M50" s="16" t="s">
        <v>22</v>
      </c>
      <c r="N50" s="70"/>
    </row>
    <row r="51" spans="1:14" s="111" customFormat="1" ht="18">
      <c r="A51" s="180" t="s">
        <v>1668</v>
      </c>
      <c r="B51" s="77" t="s">
        <v>1847</v>
      </c>
      <c r="C51" s="177" t="s">
        <v>17</v>
      </c>
      <c r="D51" s="210"/>
      <c r="E51" s="210"/>
      <c r="F51" s="210"/>
      <c r="G51" s="210"/>
      <c r="H51" s="406">
        <v>0</v>
      </c>
      <c r="I51" s="247">
        <v>0</v>
      </c>
      <c r="J51" s="247">
        <v>0</v>
      </c>
      <c r="K51" s="72"/>
      <c r="L51" s="16" t="s">
        <v>18</v>
      </c>
      <c r="M51" s="16" t="s">
        <v>22</v>
      </c>
      <c r="N51" s="70"/>
    </row>
    <row r="52" spans="1:14" s="111" customFormat="1" ht="25.5">
      <c r="A52" s="180" t="s">
        <v>46</v>
      </c>
      <c r="B52" s="77" t="s">
        <v>1693</v>
      </c>
      <c r="C52" s="70" t="s">
        <v>17</v>
      </c>
      <c r="D52" s="210"/>
      <c r="E52" s="210"/>
      <c r="F52" s="210"/>
      <c r="G52" s="210"/>
      <c r="H52" s="406">
        <v>0</v>
      </c>
      <c r="I52" s="247">
        <v>0</v>
      </c>
      <c r="J52" s="247">
        <v>0</v>
      </c>
      <c r="K52" s="72"/>
      <c r="L52" s="16" t="s">
        <v>18</v>
      </c>
      <c r="M52" s="16" t="s">
        <v>22</v>
      </c>
      <c r="N52" s="70"/>
    </row>
    <row r="53" spans="1:14" s="111" customFormat="1" ht="25.5">
      <c r="A53" s="180" t="s">
        <v>46</v>
      </c>
      <c r="B53" s="77" t="s">
        <v>1694</v>
      </c>
      <c r="C53" s="177" t="s">
        <v>17</v>
      </c>
      <c r="D53" s="210"/>
      <c r="E53" s="210"/>
      <c r="F53" s="210"/>
      <c r="G53" s="210"/>
      <c r="H53" s="406">
        <v>0</v>
      </c>
      <c r="I53" s="247">
        <v>0</v>
      </c>
      <c r="J53" s="247">
        <v>0</v>
      </c>
      <c r="K53" s="72"/>
      <c r="L53" s="16" t="s">
        <v>18</v>
      </c>
      <c r="M53" s="16" t="s">
        <v>22</v>
      </c>
      <c r="N53" s="70"/>
    </row>
    <row r="54" spans="1:14" s="111" customFormat="1" ht="18">
      <c r="A54" s="180" t="s">
        <v>46</v>
      </c>
      <c r="B54" s="77" t="s">
        <v>1393</v>
      </c>
      <c r="C54" s="177" t="s">
        <v>17</v>
      </c>
      <c r="D54" s="77"/>
      <c r="E54" s="177"/>
      <c r="F54" s="177"/>
      <c r="G54" s="177"/>
      <c r="H54" s="177">
        <f>SUM(Tabla132112416[[#This Row],[PRIMER TRIMESTRE]:[CUARTO TRIMESTRE]])</f>
        <v>0</v>
      </c>
      <c r="I54" s="246">
        <v>1800000</v>
      </c>
      <c r="J54" s="246">
        <f t="shared" si="0"/>
        <v>0</v>
      </c>
      <c r="K54" s="77"/>
      <c r="L54" s="16" t="s">
        <v>18</v>
      </c>
      <c r="M54" s="16" t="s">
        <v>22</v>
      </c>
      <c r="N54" s="77"/>
    </row>
    <row r="55" spans="1:14" s="111" customFormat="1" ht="18">
      <c r="A55" s="180" t="s">
        <v>46</v>
      </c>
      <c r="B55" s="77" t="s">
        <v>1394</v>
      </c>
      <c r="C55" s="177" t="s">
        <v>17</v>
      </c>
      <c r="D55" s="77"/>
      <c r="E55" s="177"/>
      <c r="F55" s="177"/>
      <c r="G55" s="177"/>
      <c r="H55" s="177">
        <f>SUM(Tabla132112416[[#This Row],[PRIMER TRIMESTRE]:[CUARTO TRIMESTRE]])</f>
        <v>0</v>
      </c>
      <c r="I55" s="246">
        <v>1800000</v>
      </c>
      <c r="J55" s="246">
        <f t="shared" si="0"/>
        <v>0</v>
      </c>
      <c r="K55" s="77"/>
      <c r="L55" s="16" t="s">
        <v>18</v>
      </c>
      <c r="M55" s="16" t="s">
        <v>22</v>
      </c>
      <c r="N55" s="77"/>
    </row>
    <row r="56" spans="1:14" s="111" customFormat="1" ht="18">
      <c r="A56" s="180" t="s">
        <v>46</v>
      </c>
      <c r="B56" s="77" t="s">
        <v>1395</v>
      </c>
      <c r="C56" s="177" t="s">
        <v>17</v>
      </c>
      <c r="D56" s="77"/>
      <c r="E56" s="177"/>
      <c r="F56" s="177"/>
      <c r="G56" s="177"/>
      <c r="H56" s="177">
        <f>SUM(Tabla132112416[[#This Row],[PRIMER TRIMESTRE]:[CUARTO TRIMESTRE]])</f>
        <v>0</v>
      </c>
      <c r="I56" s="246">
        <v>11500000</v>
      </c>
      <c r="J56" s="246">
        <f t="shared" si="0"/>
        <v>0</v>
      </c>
      <c r="K56" s="77"/>
      <c r="L56" s="16" t="s">
        <v>18</v>
      </c>
      <c r="M56" s="16" t="s">
        <v>22</v>
      </c>
      <c r="N56" s="77"/>
    </row>
    <row r="57" spans="1:14" s="111" customFormat="1" ht="18">
      <c r="A57" s="180" t="s">
        <v>46</v>
      </c>
      <c r="B57" s="77" t="s">
        <v>1396</v>
      </c>
      <c r="C57" s="177" t="s">
        <v>17</v>
      </c>
      <c r="D57" s="77"/>
      <c r="E57" s="177"/>
      <c r="F57" s="177"/>
      <c r="G57" s="177"/>
      <c r="H57" s="177">
        <f>SUM(Tabla132112416[[#This Row],[PRIMER TRIMESTRE]:[CUARTO TRIMESTRE]])</f>
        <v>0</v>
      </c>
      <c r="I57" s="246">
        <v>8120000</v>
      </c>
      <c r="J57" s="246">
        <f t="shared" si="0"/>
        <v>0</v>
      </c>
      <c r="K57" s="77"/>
      <c r="L57" s="16" t="s">
        <v>18</v>
      </c>
      <c r="M57" s="16" t="s">
        <v>22</v>
      </c>
      <c r="N57" s="77"/>
    </row>
    <row r="58" spans="1:14" s="169" customFormat="1" ht="18">
      <c r="A58" s="180" t="s">
        <v>46</v>
      </c>
      <c r="B58" s="77" t="s">
        <v>1622</v>
      </c>
      <c r="C58" s="177" t="s">
        <v>17</v>
      </c>
      <c r="D58" s="210"/>
      <c r="E58" s="177"/>
      <c r="F58" s="177"/>
      <c r="G58" s="210"/>
      <c r="H58" s="177">
        <f>SUM(Tabla132112416[[#This Row],[PRIMER TRIMESTRE]:[CUARTO TRIMESTRE]])</f>
        <v>0</v>
      </c>
      <c r="I58" s="247">
        <v>58223</v>
      </c>
      <c r="J58" s="247">
        <f t="shared" si="0"/>
        <v>0</v>
      </c>
      <c r="K58" s="72"/>
      <c r="L58" s="16" t="s">
        <v>18</v>
      </c>
      <c r="M58" s="16" t="s">
        <v>22</v>
      </c>
      <c r="N58" s="39" t="s">
        <v>418</v>
      </c>
    </row>
    <row r="59" spans="1:14" s="169" customFormat="1" ht="18">
      <c r="A59" s="180" t="s">
        <v>46</v>
      </c>
      <c r="B59" s="77" t="s">
        <v>1397</v>
      </c>
      <c r="C59" s="177" t="s">
        <v>17</v>
      </c>
      <c r="D59" s="77"/>
      <c r="E59" s="177"/>
      <c r="F59" s="177"/>
      <c r="G59" s="177"/>
      <c r="H59" s="177">
        <f>SUM(Tabla132112416[[#This Row],[PRIMER TRIMESTRE]:[CUARTO TRIMESTRE]])</f>
        <v>0</v>
      </c>
      <c r="I59" s="246">
        <v>55000</v>
      </c>
      <c r="J59" s="246">
        <f t="shared" si="0"/>
        <v>0</v>
      </c>
      <c r="K59" s="77"/>
      <c r="L59" s="16" t="s">
        <v>18</v>
      </c>
      <c r="M59" s="16" t="s">
        <v>22</v>
      </c>
      <c r="N59" s="39" t="s">
        <v>418</v>
      </c>
    </row>
    <row r="60" spans="1:14" s="169" customFormat="1" ht="18">
      <c r="A60" s="180" t="s">
        <v>46</v>
      </c>
      <c r="B60" s="77" t="s">
        <v>550</v>
      </c>
      <c r="C60" s="70" t="s">
        <v>17</v>
      </c>
      <c r="D60" s="210"/>
      <c r="E60" s="210"/>
      <c r="F60" s="210"/>
      <c r="G60" s="210"/>
      <c r="H60" s="406">
        <f>SUM(Tabla132112416[[#This Row],[PRIMER TRIMESTRE]:[CUARTO TRIMESTRE]])</f>
        <v>0</v>
      </c>
      <c r="I60" s="72">
        <v>9480</v>
      </c>
      <c r="J60" s="72">
        <f t="shared" si="0"/>
        <v>0</v>
      </c>
      <c r="K60" s="72"/>
      <c r="L60" s="16" t="s">
        <v>18</v>
      </c>
      <c r="M60" s="73" t="s">
        <v>22</v>
      </c>
      <c r="N60" s="70" t="s">
        <v>418</v>
      </c>
    </row>
    <row r="61" spans="1:14" s="169" customFormat="1" ht="18">
      <c r="A61" s="180" t="s">
        <v>46</v>
      </c>
      <c r="B61" s="77" t="s">
        <v>551</v>
      </c>
      <c r="C61" s="70" t="s">
        <v>17</v>
      </c>
      <c r="D61" s="210"/>
      <c r="E61" s="210"/>
      <c r="F61" s="210"/>
      <c r="G61" s="210"/>
      <c r="H61" s="406">
        <f>SUM(Tabla132112416[[#This Row],[PRIMER TRIMESTRE]:[CUARTO TRIMESTRE]])</f>
        <v>0</v>
      </c>
      <c r="I61" s="72">
        <v>31680</v>
      </c>
      <c r="J61" s="72">
        <f t="shared" si="0"/>
        <v>0</v>
      </c>
      <c r="K61" s="72"/>
      <c r="L61" s="16" t="s">
        <v>18</v>
      </c>
      <c r="M61" s="73" t="s">
        <v>22</v>
      </c>
      <c r="N61" s="70" t="s">
        <v>418</v>
      </c>
    </row>
    <row r="62" spans="1:14" s="169" customFormat="1" ht="18">
      <c r="A62" s="180" t="s">
        <v>46</v>
      </c>
      <c r="B62" s="77" t="s">
        <v>552</v>
      </c>
      <c r="C62" s="70" t="s">
        <v>17</v>
      </c>
      <c r="D62" s="210"/>
      <c r="E62" s="210"/>
      <c r="F62" s="210"/>
      <c r="G62" s="210"/>
      <c r="H62" s="406">
        <f>SUM(Tabla132112416[[#This Row],[PRIMER TRIMESTRE]:[CUARTO TRIMESTRE]])</f>
        <v>0</v>
      </c>
      <c r="I62" s="72">
        <v>9279.9</v>
      </c>
      <c r="J62" s="72">
        <f t="shared" si="0"/>
        <v>0</v>
      </c>
      <c r="K62" s="72"/>
      <c r="L62" s="16" t="s">
        <v>18</v>
      </c>
      <c r="M62" s="73" t="s">
        <v>22</v>
      </c>
      <c r="N62" s="70" t="s">
        <v>418</v>
      </c>
    </row>
    <row r="63" spans="1:14" s="169" customFormat="1" ht="18">
      <c r="A63" s="180" t="s">
        <v>46</v>
      </c>
      <c r="B63" s="77" t="s">
        <v>54</v>
      </c>
      <c r="C63" s="70" t="s">
        <v>17</v>
      </c>
      <c r="D63" s="210"/>
      <c r="E63" s="210"/>
      <c r="F63" s="210"/>
      <c r="G63" s="210"/>
      <c r="H63" s="406">
        <f>SUM(Tabla132112416[[#This Row],[PRIMER TRIMESTRE]:[CUARTO TRIMESTRE]])</f>
        <v>0</v>
      </c>
      <c r="I63" s="72">
        <v>9079.9</v>
      </c>
      <c r="J63" s="72">
        <f t="shared" si="0"/>
        <v>0</v>
      </c>
      <c r="K63" s="72"/>
      <c r="L63" s="16" t="s">
        <v>18</v>
      </c>
      <c r="M63" s="73" t="s">
        <v>22</v>
      </c>
      <c r="N63" s="70" t="s">
        <v>418</v>
      </c>
    </row>
    <row r="64" spans="1:14" s="169" customFormat="1" ht="18">
      <c r="A64" s="180" t="s">
        <v>46</v>
      </c>
      <c r="B64" s="77" t="s">
        <v>53</v>
      </c>
      <c r="C64" s="70" t="s">
        <v>17</v>
      </c>
      <c r="D64" s="210"/>
      <c r="E64" s="210"/>
      <c r="F64" s="210"/>
      <c r="G64" s="210"/>
      <c r="H64" s="406">
        <f>SUM(Tabla132112416[[#This Row],[PRIMER TRIMESTRE]:[CUARTO TRIMESTRE]])</f>
        <v>0</v>
      </c>
      <c r="I64" s="72">
        <v>9048</v>
      </c>
      <c r="J64" s="72">
        <f t="shared" si="0"/>
        <v>0</v>
      </c>
      <c r="K64" s="72"/>
      <c r="L64" s="16" t="s">
        <v>18</v>
      </c>
      <c r="M64" s="73" t="s">
        <v>22</v>
      </c>
      <c r="N64" s="70" t="s">
        <v>418</v>
      </c>
    </row>
    <row r="65" spans="1:14" s="169" customFormat="1" ht="18">
      <c r="A65" s="180" t="s">
        <v>46</v>
      </c>
      <c r="B65" s="77" t="s">
        <v>553</v>
      </c>
      <c r="C65" s="70" t="s">
        <v>17</v>
      </c>
      <c r="D65" s="210"/>
      <c r="E65" s="210"/>
      <c r="F65" s="210"/>
      <c r="G65" s="210"/>
      <c r="H65" s="406">
        <f>SUM(Tabla132112416[[#This Row],[PRIMER TRIMESTRE]:[CUARTO TRIMESTRE]])</f>
        <v>0</v>
      </c>
      <c r="I65" s="72">
        <v>7043.16</v>
      </c>
      <c r="J65" s="72">
        <f t="shared" si="0"/>
        <v>0</v>
      </c>
      <c r="K65" s="72"/>
      <c r="L65" s="16" t="s">
        <v>18</v>
      </c>
      <c r="M65" s="73" t="s">
        <v>22</v>
      </c>
      <c r="N65" s="70" t="s">
        <v>418</v>
      </c>
    </row>
    <row r="66" spans="1:14" s="169" customFormat="1" ht="18">
      <c r="A66" s="180" t="s">
        <v>46</v>
      </c>
      <c r="B66" s="77" t="s">
        <v>554</v>
      </c>
      <c r="C66" s="70" t="s">
        <v>17</v>
      </c>
      <c r="D66" s="210"/>
      <c r="E66" s="210"/>
      <c r="F66" s="210"/>
      <c r="G66" s="210"/>
      <c r="H66" s="406">
        <f>SUM(Tabla132112416[[#This Row],[PRIMER TRIMESTRE]:[CUARTO TRIMESTRE]])</f>
        <v>0</v>
      </c>
      <c r="I66" s="72">
        <v>12210</v>
      </c>
      <c r="J66" s="72">
        <f t="shared" si="0"/>
        <v>0</v>
      </c>
      <c r="K66" s="72"/>
      <c r="L66" s="16" t="s">
        <v>18</v>
      </c>
      <c r="M66" s="73" t="s">
        <v>22</v>
      </c>
      <c r="N66" s="70" t="s">
        <v>418</v>
      </c>
    </row>
    <row r="67" spans="1:14" s="169" customFormat="1" ht="18">
      <c r="A67" s="180" t="s">
        <v>46</v>
      </c>
      <c r="B67" s="77" t="s">
        <v>555</v>
      </c>
      <c r="C67" s="70" t="s">
        <v>17</v>
      </c>
      <c r="D67" s="210"/>
      <c r="E67" s="210"/>
      <c r="F67" s="210"/>
      <c r="G67" s="210"/>
      <c r="H67" s="406">
        <f>SUM(Tabla132112416[[#This Row],[PRIMER TRIMESTRE]:[CUARTO TRIMESTRE]])</f>
        <v>0</v>
      </c>
      <c r="I67" s="72">
        <v>4029.25</v>
      </c>
      <c r="J67" s="72">
        <f t="shared" si="0"/>
        <v>0</v>
      </c>
      <c r="K67" s="72"/>
      <c r="L67" s="16" t="s">
        <v>18</v>
      </c>
      <c r="M67" s="73" t="s">
        <v>22</v>
      </c>
      <c r="N67" s="70" t="s">
        <v>418</v>
      </c>
    </row>
    <row r="68" spans="1:14" s="169" customFormat="1" ht="18">
      <c r="A68" s="407"/>
      <c r="B68" s="77"/>
      <c r="C68" s="70"/>
      <c r="D68" s="210"/>
      <c r="E68" s="210"/>
      <c r="F68" s="210"/>
      <c r="G68" s="210"/>
      <c r="H68" s="406"/>
      <c r="I68" s="72"/>
      <c r="J68" s="72"/>
      <c r="K68" s="72"/>
      <c r="L68" s="16"/>
      <c r="M68" s="73"/>
      <c r="N68" s="70"/>
    </row>
    <row r="69" spans="1:14" s="169" customFormat="1" ht="18">
      <c r="A69" s="180" t="s">
        <v>46</v>
      </c>
      <c r="B69" s="77" t="s">
        <v>556</v>
      </c>
      <c r="C69" s="70" t="s">
        <v>17</v>
      </c>
      <c r="D69" s="210"/>
      <c r="E69" s="210"/>
      <c r="F69" s="210"/>
      <c r="G69" s="210"/>
      <c r="H69" s="406">
        <f>SUM(Tabla132112416[[#This Row],[PRIMER TRIMESTRE]:[CUARTO TRIMESTRE]])</f>
        <v>0</v>
      </c>
      <c r="I69" s="72">
        <v>33660</v>
      </c>
      <c r="J69" s="72">
        <f t="shared" si="0"/>
        <v>0</v>
      </c>
      <c r="K69" s="72"/>
      <c r="L69" s="16" t="s">
        <v>18</v>
      </c>
      <c r="M69" s="73" t="s">
        <v>22</v>
      </c>
      <c r="N69" s="70" t="s">
        <v>418</v>
      </c>
    </row>
    <row r="70" spans="1:14" s="243" customFormat="1" ht="18">
      <c r="A70" s="180" t="s">
        <v>46</v>
      </c>
      <c r="B70" s="77" t="s">
        <v>557</v>
      </c>
      <c r="C70" s="70" t="s">
        <v>17</v>
      </c>
      <c r="D70" s="210"/>
      <c r="E70" s="210"/>
      <c r="F70" s="210"/>
      <c r="G70" s="210"/>
      <c r="H70" s="406">
        <f>SUM(Tabla132112416[[#This Row],[PRIMER TRIMESTRE]:[CUARTO TRIMESTRE]])</f>
        <v>0</v>
      </c>
      <c r="I70" s="72">
        <v>27205.48</v>
      </c>
      <c r="J70" s="72">
        <f t="shared" si="0"/>
        <v>0</v>
      </c>
      <c r="K70" s="72"/>
      <c r="L70" s="16" t="s">
        <v>18</v>
      </c>
      <c r="M70" s="73" t="s">
        <v>22</v>
      </c>
      <c r="N70" s="70" t="s">
        <v>418</v>
      </c>
    </row>
    <row r="71" spans="1:14" s="169" customFormat="1" ht="18">
      <c r="A71" s="180" t="s">
        <v>46</v>
      </c>
      <c r="B71" s="77" t="s">
        <v>558</v>
      </c>
      <c r="C71" s="70" t="s">
        <v>17</v>
      </c>
      <c r="D71" s="210"/>
      <c r="E71" s="210"/>
      <c r="F71" s="210"/>
      <c r="G71" s="210"/>
      <c r="H71" s="406">
        <f>SUM(Tabla132112416[[#This Row],[PRIMER TRIMESTRE]:[CUARTO TRIMESTRE]])</f>
        <v>0</v>
      </c>
      <c r="I71" s="72">
        <v>14272.5</v>
      </c>
      <c r="J71" s="72">
        <f t="shared" si="0"/>
        <v>0</v>
      </c>
      <c r="K71" s="72"/>
      <c r="L71" s="16" t="s">
        <v>18</v>
      </c>
      <c r="M71" s="73" t="s">
        <v>22</v>
      </c>
      <c r="N71" s="70" t="s">
        <v>418</v>
      </c>
    </row>
    <row r="72" spans="1:14" s="169" customFormat="1" ht="18">
      <c r="A72" s="180" t="s">
        <v>46</v>
      </c>
      <c r="B72" s="77" t="s">
        <v>1398</v>
      </c>
      <c r="C72" s="70" t="s">
        <v>17</v>
      </c>
      <c r="D72" s="70"/>
      <c r="E72" s="70"/>
      <c r="F72" s="70"/>
      <c r="G72" s="70"/>
      <c r="H72" s="70">
        <f>SUM(Tabla132112416[[#This Row],[PRIMER TRIMESTRE]:[CUARTO TRIMESTRE]])</f>
        <v>0</v>
      </c>
      <c r="I72" s="72">
        <v>9279.9</v>
      </c>
      <c r="J72" s="72">
        <f t="shared" si="0"/>
        <v>0</v>
      </c>
      <c r="K72" s="72"/>
      <c r="L72" s="16" t="s">
        <v>18</v>
      </c>
      <c r="M72" s="73" t="s">
        <v>22</v>
      </c>
      <c r="N72" s="70" t="s">
        <v>418</v>
      </c>
    </row>
    <row r="73" spans="1:14" s="169" customFormat="1" ht="18">
      <c r="A73" s="180" t="s">
        <v>46</v>
      </c>
      <c r="B73" s="77" t="s">
        <v>560</v>
      </c>
      <c r="C73" s="70" t="s">
        <v>17</v>
      </c>
      <c r="D73" s="210"/>
      <c r="E73" s="210"/>
      <c r="F73" s="210"/>
      <c r="G73" s="210"/>
      <c r="H73" s="406">
        <f>SUM(Tabla132112416[[#This Row],[PRIMER TRIMESTRE]:[CUARTO TRIMESTRE]])</f>
        <v>0</v>
      </c>
      <c r="I73" s="72">
        <v>14190</v>
      </c>
      <c r="J73" s="72">
        <f t="shared" si="0"/>
        <v>0</v>
      </c>
      <c r="K73" s="72"/>
      <c r="L73" s="16" t="s">
        <v>18</v>
      </c>
      <c r="M73" s="73" t="s">
        <v>22</v>
      </c>
      <c r="N73" s="70" t="s">
        <v>418</v>
      </c>
    </row>
    <row r="74" spans="1:14" s="169" customFormat="1" ht="18">
      <c r="A74" s="180" t="s">
        <v>46</v>
      </c>
      <c r="B74" s="77" t="s">
        <v>561</v>
      </c>
      <c r="C74" s="70" t="s">
        <v>17</v>
      </c>
      <c r="D74" s="210"/>
      <c r="E74" s="210"/>
      <c r="F74" s="210"/>
      <c r="G74" s="210"/>
      <c r="H74" s="406">
        <f>SUM(Tabla132112416[[#This Row],[PRIMER TRIMESTRE]:[CUARTO TRIMESTRE]])</f>
        <v>0</v>
      </c>
      <c r="I74" s="72">
        <v>4200</v>
      </c>
      <c r="J74" s="72">
        <f t="shared" si="0"/>
        <v>0</v>
      </c>
      <c r="K74" s="72"/>
      <c r="L74" s="16" t="s">
        <v>18</v>
      </c>
      <c r="M74" s="73" t="s">
        <v>22</v>
      </c>
      <c r="N74" s="70" t="s">
        <v>418</v>
      </c>
    </row>
    <row r="75" spans="1:14" s="169" customFormat="1" ht="18">
      <c r="A75" s="180" t="s">
        <v>46</v>
      </c>
      <c r="B75" s="77" t="s">
        <v>764</v>
      </c>
      <c r="C75" s="70" t="s">
        <v>17</v>
      </c>
      <c r="D75" s="210"/>
      <c r="E75" s="210"/>
      <c r="F75" s="210"/>
      <c r="G75" s="210"/>
      <c r="H75" s="406">
        <f>SUM(Tabla132112416[[#This Row],[PRIMER TRIMESTRE]:[CUARTO TRIMESTRE]])</f>
        <v>0</v>
      </c>
      <c r="I75" s="72">
        <v>12650</v>
      </c>
      <c r="J75" s="72">
        <f t="shared" si="0"/>
        <v>0</v>
      </c>
      <c r="K75" s="72"/>
      <c r="L75" s="16" t="s">
        <v>18</v>
      </c>
      <c r="M75" s="73" t="s">
        <v>22</v>
      </c>
      <c r="N75" s="70" t="s">
        <v>418</v>
      </c>
    </row>
    <row r="76" spans="1:14" s="26" customFormat="1" ht="18">
      <c r="A76" s="180" t="s">
        <v>46</v>
      </c>
      <c r="B76" s="77" t="s">
        <v>1399</v>
      </c>
      <c r="C76" s="70" t="s">
        <v>17</v>
      </c>
      <c r="D76" s="210"/>
      <c r="E76" s="210"/>
      <c r="F76" s="210"/>
      <c r="G76" s="210"/>
      <c r="H76" s="406">
        <f>SUM(Tabla132112416[[#This Row],[PRIMER TRIMESTRE]:[CUARTO TRIMESTRE]])</f>
        <v>0</v>
      </c>
      <c r="I76" s="72">
        <v>8500</v>
      </c>
      <c r="J76" s="72">
        <f t="shared" si="0"/>
        <v>0</v>
      </c>
      <c r="K76" s="72"/>
      <c r="L76" s="16" t="s">
        <v>18</v>
      </c>
      <c r="M76" s="73" t="s">
        <v>22</v>
      </c>
      <c r="N76" s="70" t="s">
        <v>418</v>
      </c>
    </row>
    <row r="77" spans="1:14" s="169" customFormat="1" ht="18">
      <c r="A77" s="180" t="s">
        <v>46</v>
      </c>
      <c r="B77" s="77" t="s">
        <v>1400</v>
      </c>
      <c r="C77" s="70" t="s">
        <v>17</v>
      </c>
      <c r="D77" s="210"/>
      <c r="E77" s="210"/>
      <c r="F77" s="210"/>
      <c r="G77" s="210"/>
      <c r="H77" s="406">
        <f>SUM(Tabla132112416[[#This Row],[PRIMER TRIMESTRE]:[CUARTO TRIMESTRE]])</f>
        <v>0</v>
      </c>
      <c r="I77" s="72">
        <v>9500</v>
      </c>
      <c r="J77" s="72">
        <f t="shared" si="0"/>
        <v>0</v>
      </c>
      <c r="K77" s="72"/>
      <c r="L77" s="16" t="s">
        <v>18</v>
      </c>
      <c r="M77" s="73" t="s">
        <v>22</v>
      </c>
      <c r="N77" s="70" t="s">
        <v>418</v>
      </c>
    </row>
    <row r="78" spans="1:14" s="169" customFormat="1" ht="18">
      <c r="A78" s="409" t="s">
        <v>46</v>
      </c>
      <c r="B78" s="43"/>
      <c r="C78" s="43"/>
      <c r="D78" s="238"/>
      <c r="E78" s="238"/>
      <c r="F78" s="238"/>
      <c r="G78" s="238"/>
      <c r="H78" s="43"/>
      <c r="I78" s="24"/>
      <c r="J78" s="24"/>
      <c r="K78" s="25">
        <f>SUBTOTAL(109,J45:J77)</f>
        <v>1216476.48</v>
      </c>
      <c r="L78" s="23"/>
      <c r="M78" s="23"/>
      <c r="N78" s="42"/>
    </row>
    <row r="79" spans="1:14" s="169" customFormat="1" ht="30">
      <c r="A79" s="180" t="s">
        <v>56</v>
      </c>
      <c r="B79" s="77" t="s">
        <v>563</v>
      </c>
      <c r="C79" s="70" t="s">
        <v>17</v>
      </c>
      <c r="D79" s="210"/>
      <c r="E79" s="210"/>
      <c r="F79" s="210"/>
      <c r="G79" s="210"/>
      <c r="H79" s="406">
        <f>SUM(Tabla132112416[[#This Row],[PRIMER TRIMESTRE]:[CUARTO TRIMESTRE]])</f>
        <v>0</v>
      </c>
      <c r="I79" s="72">
        <v>4500</v>
      </c>
      <c r="J79" s="72">
        <f>+H79*I79</f>
        <v>0</v>
      </c>
      <c r="K79" s="72"/>
      <c r="L79" s="73" t="s">
        <v>27</v>
      </c>
      <c r="M79" s="73" t="s">
        <v>22</v>
      </c>
      <c r="N79" s="70" t="s">
        <v>418</v>
      </c>
    </row>
    <row r="80" spans="1:14" s="169" customFormat="1" ht="30">
      <c r="A80" s="180" t="s">
        <v>56</v>
      </c>
      <c r="B80" s="77" t="s">
        <v>562</v>
      </c>
      <c r="C80" s="70" t="s">
        <v>17</v>
      </c>
      <c r="D80" s="210"/>
      <c r="E80" s="210"/>
      <c r="F80" s="210"/>
      <c r="G80" s="210"/>
      <c r="H80" s="406">
        <f>SUM(Tabla132112416[[#This Row],[PRIMER TRIMESTRE]:[CUARTO TRIMESTRE]])</f>
        <v>0</v>
      </c>
      <c r="I80" s="72">
        <v>6800</v>
      </c>
      <c r="J80" s="72">
        <f>+H80*I80</f>
        <v>0</v>
      </c>
      <c r="K80" s="72"/>
      <c r="L80" s="73" t="s">
        <v>27</v>
      </c>
      <c r="M80" s="73" t="s">
        <v>22</v>
      </c>
      <c r="N80" s="70" t="s">
        <v>418</v>
      </c>
    </row>
    <row r="81" spans="1:14" s="169" customFormat="1" ht="30">
      <c r="A81" s="180" t="s">
        <v>56</v>
      </c>
      <c r="B81" s="77" t="s">
        <v>61</v>
      </c>
      <c r="C81" s="70" t="s">
        <v>17</v>
      </c>
      <c r="D81" s="210"/>
      <c r="E81" s="210"/>
      <c r="F81" s="210"/>
      <c r="G81" s="210"/>
      <c r="H81" s="406">
        <f>SUM(Tabla132112416[[#This Row],[PRIMER TRIMESTRE]:[CUARTO TRIMESTRE]])</f>
        <v>0</v>
      </c>
      <c r="I81" s="72">
        <f>3600*1.2</f>
        <v>4320</v>
      </c>
      <c r="J81" s="72">
        <f>+Tabla132112416[[#This Row],[CANTIDAD TOTAL]]*Tabla132112416[[#This Row],[PRECIO UNITARIO ESTIMADO]]</f>
        <v>0</v>
      </c>
      <c r="K81" s="72"/>
      <c r="L81" s="73" t="s">
        <v>27</v>
      </c>
      <c r="M81" s="73" t="s">
        <v>22</v>
      </c>
      <c r="N81" s="70" t="s">
        <v>418</v>
      </c>
    </row>
    <row r="82" spans="1:14" s="169" customFormat="1" ht="30">
      <c r="A82" s="180" t="s">
        <v>56</v>
      </c>
      <c r="B82" s="77" t="s">
        <v>63</v>
      </c>
      <c r="C82" s="70" t="s">
        <v>17</v>
      </c>
      <c r="D82" s="210"/>
      <c r="E82" s="210"/>
      <c r="F82" s="210"/>
      <c r="G82" s="210"/>
      <c r="H82" s="406">
        <f>SUM(Tabla132112416[[#This Row],[PRIMER TRIMESTRE]:[CUARTO TRIMESTRE]])</f>
        <v>0</v>
      </c>
      <c r="I82" s="72">
        <v>6409</v>
      </c>
      <c r="J82" s="72">
        <f>+Tabla132112416[[#This Row],[CANTIDAD TOTAL]]*Tabla132112416[[#This Row],[PRECIO UNITARIO ESTIMADO]]</f>
        <v>0</v>
      </c>
      <c r="K82" s="72"/>
      <c r="L82" s="73" t="s">
        <v>27</v>
      </c>
      <c r="M82" s="73" t="s">
        <v>22</v>
      </c>
      <c r="N82" s="70" t="s">
        <v>418</v>
      </c>
    </row>
    <row r="83" spans="1:14" s="169" customFormat="1" ht="30">
      <c r="A83" s="180" t="s">
        <v>56</v>
      </c>
      <c r="B83" s="77" t="s">
        <v>64</v>
      </c>
      <c r="C83" s="70" t="s">
        <v>17</v>
      </c>
      <c r="D83" s="210"/>
      <c r="E83" s="210"/>
      <c r="F83" s="210"/>
      <c r="G83" s="210"/>
      <c r="H83" s="406">
        <f>SUM(Tabla132112416[[#This Row],[PRIMER TRIMESTRE]:[CUARTO TRIMESTRE]])</f>
        <v>0</v>
      </c>
      <c r="I83" s="72">
        <v>6500</v>
      </c>
      <c r="J83" s="72">
        <f>+Tabla132112416[[#This Row],[CANTIDAD TOTAL]]*Tabla132112416[[#This Row],[PRECIO UNITARIO ESTIMADO]]</f>
        <v>0</v>
      </c>
      <c r="K83" s="72"/>
      <c r="L83" s="73" t="s">
        <v>27</v>
      </c>
      <c r="M83" s="73" t="s">
        <v>22</v>
      </c>
      <c r="N83" s="70" t="s">
        <v>418</v>
      </c>
    </row>
    <row r="84" spans="1:14" s="169" customFormat="1" ht="30">
      <c r="A84" s="180" t="s">
        <v>56</v>
      </c>
      <c r="B84" s="77" t="s">
        <v>65</v>
      </c>
      <c r="C84" s="70" t="s">
        <v>17</v>
      </c>
      <c r="D84" s="210"/>
      <c r="E84" s="210"/>
      <c r="F84" s="210"/>
      <c r="G84" s="210"/>
      <c r="H84" s="406">
        <f>SUM(Tabla132112416[[#This Row],[PRIMER TRIMESTRE]:[CUARTO TRIMESTRE]])</f>
        <v>0</v>
      </c>
      <c r="I84" s="72">
        <v>6500</v>
      </c>
      <c r="J84" s="72">
        <f>+H84*I84</f>
        <v>0</v>
      </c>
      <c r="K84" s="72"/>
      <c r="L84" s="73" t="s">
        <v>27</v>
      </c>
      <c r="M84" s="73" t="s">
        <v>22</v>
      </c>
      <c r="N84" s="70" t="s">
        <v>418</v>
      </c>
    </row>
    <row r="85" spans="1:14" s="169" customFormat="1" ht="30">
      <c r="A85" s="180" t="s">
        <v>56</v>
      </c>
      <c r="B85" s="77" t="s">
        <v>1422</v>
      </c>
      <c r="C85" s="70" t="s">
        <v>17</v>
      </c>
      <c r="D85" s="210"/>
      <c r="E85" s="210"/>
      <c r="F85" s="210"/>
      <c r="G85" s="210"/>
      <c r="H85" s="406">
        <f>SUM(Tabla132112416[[#This Row],[PRIMER TRIMESTRE]:[CUARTO TRIMESTRE]])</f>
        <v>0</v>
      </c>
      <c r="I85" s="72">
        <v>7965.33</v>
      </c>
      <c r="J85" s="72">
        <f>+Tabla132112416[[#This Row],[CANTIDAD TOTAL]]*Tabla132112416[[#This Row],[PRECIO UNITARIO ESTIMADO]]</f>
        <v>0</v>
      </c>
      <c r="K85" s="72"/>
      <c r="L85" s="73" t="s">
        <v>27</v>
      </c>
      <c r="M85" s="73" t="s">
        <v>22</v>
      </c>
      <c r="N85" s="70" t="s">
        <v>418</v>
      </c>
    </row>
    <row r="86" spans="1:14" s="111" customFormat="1" ht="30">
      <c r="A86" s="180" t="s">
        <v>56</v>
      </c>
      <c r="B86" s="77" t="s">
        <v>66</v>
      </c>
      <c r="C86" s="70" t="s">
        <v>17</v>
      </c>
      <c r="D86" s="210"/>
      <c r="E86" s="210"/>
      <c r="F86" s="210"/>
      <c r="G86" s="210"/>
      <c r="H86" s="406">
        <f>SUM(Tabla132112416[[#This Row],[PRIMER TRIMESTRE]:[CUARTO TRIMESTRE]])</f>
        <v>0</v>
      </c>
      <c r="I86" s="72">
        <v>9976</v>
      </c>
      <c r="J86" s="72">
        <f>+Tabla132112416[[#This Row],[CANTIDAD TOTAL]]*Tabla132112416[[#This Row],[PRECIO UNITARIO ESTIMADO]]</f>
        <v>0</v>
      </c>
      <c r="K86" s="72"/>
      <c r="L86" s="73" t="s">
        <v>27</v>
      </c>
      <c r="M86" s="73" t="s">
        <v>22</v>
      </c>
      <c r="N86" s="70" t="s">
        <v>418</v>
      </c>
    </row>
    <row r="87" spans="1:14" s="111" customFormat="1" ht="30">
      <c r="A87" s="180" t="s">
        <v>56</v>
      </c>
      <c r="B87" s="77" t="s">
        <v>1848</v>
      </c>
      <c r="C87" s="70" t="s">
        <v>17</v>
      </c>
      <c r="D87" s="210"/>
      <c r="E87" s="210"/>
      <c r="F87" s="210"/>
      <c r="G87" s="210"/>
      <c r="H87" s="406">
        <v>0</v>
      </c>
      <c r="I87" s="72">
        <v>0</v>
      </c>
      <c r="J87" s="72">
        <v>0</v>
      </c>
      <c r="K87" s="72"/>
      <c r="L87" s="73" t="s">
        <v>27</v>
      </c>
      <c r="M87" s="73" t="s">
        <v>22</v>
      </c>
      <c r="N87" s="70" t="s">
        <v>418</v>
      </c>
    </row>
    <row r="88" spans="1:14" s="26" customFormat="1" ht="30">
      <c r="A88" s="180" t="s">
        <v>56</v>
      </c>
      <c r="B88" s="77" t="s">
        <v>765</v>
      </c>
      <c r="C88" s="70" t="s">
        <v>17</v>
      </c>
      <c r="D88" s="210"/>
      <c r="E88" s="210"/>
      <c r="F88" s="210"/>
      <c r="G88" s="210"/>
      <c r="H88" s="406">
        <f>SUM(Tabla132112416[[#This Row],[PRIMER TRIMESTRE]:[CUARTO TRIMESTRE]])</f>
        <v>0</v>
      </c>
      <c r="I88" s="72">
        <v>11500</v>
      </c>
      <c r="J88" s="72">
        <f>+H88*I88</f>
        <v>0</v>
      </c>
      <c r="K88" s="72"/>
      <c r="L88" s="73" t="s">
        <v>27</v>
      </c>
      <c r="M88" s="73" t="s">
        <v>22</v>
      </c>
      <c r="N88" s="70" t="s">
        <v>418</v>
      </c>
    </row>
    <row r="89" spans="1:14" s="12" customFormat="1" ht="18">
      <c r="A89" s="70" t="s">
        <v>56</v>
      </c>
      <c r="B89" s="77" t="s">
        <v>1401</v>
      </c>
      <c r="C89" s="70" t="s">
        <v>17</v>
      </c>
      <c r="D89" s="70"/>
      <c r="E89" s="70"/>
      <c r="F89" s="70"/>
      <c r="G89" s="70"/>
      <c r="H89" s="70">
        <f>SUM(Tabla132112416[[#This Row],[PRIMER TRIMESTRE]:[CUARTO TRIMESTRE]])</f>
        <v>0</v>
      </c>
      <c r="I89" s="72">
        <v>250</v>
      </c>
      <c r="J89" s="72">
        <f>+H89*I89</f>
        <v>0</v>
      </c>
      <c r="K89" s="72"/>
      <c r="L89" s="73" t="s">
        <v>27</v>
      </c>
      <c r="M89" s="73" t="s">
        <v>22</v>
      </c>
      <c r="N89" s="70" t="s">
        <v>418</v>
      </c>
    </row>
    <row r="90" spans="1:14" s="12" customFormat="1" ht="31.5">
      <c r="A90" s="179" t="s">
        <v>56</v>
      </c>
      <c r="B90" s="76"/>
      <c r="C90" s="42"/>
      <c r="D90" s="237"/>
      <c r="E90" s="237"/>
      <c r="F90" s="237"/>
      <c r="G90" s="237"/>
      <c r="H90" s="43"/>
      <c r="I90" s="24"/>
      <c r="J90" s="24"/>
      <c r="K90" s="25">
        <f>SUM(J79:J89)</f>
        <v>0</v>
      </c>
      <c r="L90" s="23"/>
      <c r="M90" s="23"/>
      <c r="N90" s="42"/>
    </row>
    <row r="91" spans="1:14" s="12" customFormat="1" ht="18">
      <c r="A91" s="180" t="s">
        <v>62</v>
      </c>
      <c r="B91" s="77" t="s">
        <v>68</v>
      </c>
      <c r="C91" s="70" t="s">
        <v>69</v>
      </c>
      <c r="D91" s="210"/>
      <c r="E91" s="210"/>
      <c r="F91" s="210"/>
      <c r="G91" s="210"/>
      <c r="H91" s="406">
        <f>SUM(Tabla132112416[[#This Row],[PRIMER TRIMESTRE]:[CUARTO TRIMESTRE]])</f>
        <v>0</v>
      </c>
      <c r="I91" s="17">
        <v>320.89999999999998</v>
      </c>
      <c r="J91" s="17">
        <f>+Tabla132112416[[#This Row],[CANTIDAD TOTAL]]*Tabla132112416[[#This Row],[PRECIO UNITARIO ESTIMADO]]</f>
        <v>0</v>
      </c>
      <c r="K91" s="17"/>
      <c r="L91" s="16" t="s">
        <v>27</v>
      </c>
      <c r="M91" s="16" t="s">
        <v>22</v>
      </c>
      <c r="N91" s="39" t="s">
        <v>418</v>
      </c>
    </row>
    <row r="92" spans="1:14" s="12" customFormat="1" ht="18">
      <c r="A92" s="180" t="s">
        <v>62</v>
      </c>
      <c r="B92" s="77" t="s">
        <v>461</v>
      </c>
      <c r="C92" s="70" t="s">
        <v>69</v>
      </c>
      <c r="D92" s="210"/>
      <c r="E92" s="210"/>
      <c r="F92" s="210"/>
      <c r="G92" s="210"/>
      <c r="H92" s="406">
        <f>SUM(Tabla132112416[[#This Row],[PRIMER TRIMESTRE]:[CUARTO TRIMESTRE]])</f>
        <v>0</v>
      </c>
      <c r="I92" s="17">
        <v>561.17999999999995</v>
      </c>
      <c r="J92" s="17">
        <f>+H92*I92</f>
        <v>0</v>
      </c>
      <c r="K92" s="17"/>
      <c r="L92" s="16" t="s">
        <v>27</v>
      </c>
      <c r="M92" s="16" t="s">
        <v>22</v>
      </c>
      <c r="N92" s="39" t="s">
        <v>418</v>
      </c>
    </row>
    <row r="93" spans="1:14" s="12" customFormat="1" ht="18">
      <c r="A93" s="180" t="s">
        <v>62</v>
      </c>
      <c r="B93" s="77" t="s">
        <v>1149</v>
      </c>
      <c r="C93" s="70" t="s">
        <v>69</v>
      </c>
      <c r="D93" s="210"/>
      <c r="E93" s="210"/>
      <c r="F93" s="210"/>
      <c r="G93" s="210"/>
      <c r="H93" s="406">
        <f>SUM(Tabla132112416[[#This Row],[PRIMER TRIMESTRE]:[CUARTO TRIMESTRE]])</f>
        <v>0</v>
      </c>
      <c r="I93" s="17">
        <v>1900</v>
      </c>
      <c r="J93" s="17">
        <f>+H93*I93</f>
        <v>0</v>
      </c>
      <c r="K93" s="17"/>
      <c r="L93" s="16" t="s">
        <v>27</v>
      </c>
      <c r="M93" s="16" t="s">
        <v>22</v>
      </c>
      <c r="N93" s="39" t="s">
        <v>418</v>
      </c>
    </row>
    <row r="94" spans="1:14" s="12" customFormat="1" ht="18">
      <c r="A94" s="180" t="s">
        <v>62</v>
      </c>
      <c r="B94" s="77" t="s">
        <v>567</v>
      </c>
      <c r="C94" s="70" t="s">
        <v>17</v>
      </c>
      <c r="D94" s="210"/>
      <c r="E94" s="210"/>
      <c r="F94" s="210"/>
      <c r="G94" s="210"/>
      <c r="H94" s="406">
        <f>SUM(Tabla132112416[[#This Row],[PRIMER TRIMESTRE]:[CUARTO TRIMESTRE]])</f>
        <v>0</v>
      </c>
      <c r="I94" s="17">
        <v>350</v>
      </c>
      <c r="J94" s="17">
        <f>+Tabla132112416[[#This Row],[CANTIDAD TOTAL]]*Tabla132112416[[#This Row],[PRECIO UNITARIO ESTIMADO]]</f>
        <v>0</v>
      </c>
      <c r="K94" s="17"/>
      <c r="L94" s="16" t="s">
        <v>27</v>
      </c>
      <c r="M94" s="16" t="s">
        <v>22</v>
      </c>
      <c r="N94" s="39" t="s">
        <v>418</v>
      </c>
    </row>
    <row r="95" spans="1:14" s="12" customFormat="1" ht="18">
      <c r="A95" s="180" t="s">
        <v>62</v>
      </c>
      <c r="B95" s="77" t="s">
        <v>472</v>
      </c>
      <c r="C95" s="70" t="s">
        <v>17</v>
      </c>
      <c r="D95" s="210"/>
      <c r="E95" s="210"/>
      <c r="F95" s="210"/>
      <c r="G95" s="210"/>
      <c r="H95" s="406">
        <f>SUM(Tabla132112416[[#This Row],[PRIMER TRIMESTRE]:[CUARTO TRIMESTRE]])</f>
        <v>0</v>
      </c>
      <c r="I95" s="17">
        <v>450.4</v>
      </c>
      <c r="J95" s="17">
        <f>+H95*I95</f>
        <v>0</v>
      </c>
      <c r="K95" s="17"/>
      <c r="L95" s="16" t="s">
        <v>27</v>
      </c>
      <c r="M95" s="16" t="s">
        <v>22</v>
      </c>
      <c r="N95" s="39" t="s">
        <v>418</v>
      </c>
    </row>
    <row r="96" spans="1:14" s="12" customFormat="1" ht="18">
      <c r="A96" s="180" t="s">
        <v>62</v>
      </c>
      <c r="B96" s="77" t="s">
        <v>1150</v>
      </c>
      <c r="C96" s="70" t="s">
        <v>17</v>
      </c>
      <c r="D96" s="210"/>
      <c r="E96" s="210"/>
      <c r="F96" s="210"/>
      <c r="G96" s="210"/>
      <c r="H96" s="406">
        <f>SUM(Tabla132112416[[#This Row],[PRIMER TRIMESTRE]:[CUARTO TRIMESTRE]])</f>
        <v>0</v>
      </c>
      <c r="I96" s="17">
        <v>450.4</v>
      </c>
      <c r="J96" s="17">
        <f>+H96*I96</f>
        <v>0</v>
      </c>
      <c r="K96" s="17"/>
      <c r="L96" s="16" t="s">
        <v>27</v>
      </c>
      <c r="M96" s="16" t="s">
        <v>22</v>
      </c>
      <c r="N96" s="39" t="s">
        <v>418</v>
      </c>
    </row>
    <row r="97" spans="1:14" s="12" customFormat="1" ht="18">
      <c r="A97" s="180" t="s">
        <v>62</v>
      </c>
      <c r="B97" s="77" t="s">
        <v>440</v>
      </c>
      <c r="C97" s="70" t="s">
        <v>17</v>
      </c>
      <c r="D97" s="210"/>
      <c r="E97" s="210"/>
      <c r="F97" s="210"/>
      <c r="G97" s="210"/>
      <c r="H97" s="406">
        <f>SUM(Tabla132112416[[#This Row],[PRIMER TRIMESTRE]:[CUARTO TRIMESTRE]])</f>
        <v>0</v>
      </c>
      <c r="I97" s="17">
        <v>7000</v>
      </c>
      <c r="J97" s="17">
        <f>+H97*I97</f>
        <v>0</v>
      </c>
      <c r="K97" s="17"/>
      <c r="L97" s="16" t="s">
        <v>27</v>
      </c>
      <c r="M97" s="16" t="s">
        <v>22</v>
      </c>
      <c r="N97" s="39" t="s">
        <v>418</v>
      </c>
    </row>
    <row r="98" spans="1:14" s="12" customFormat="1" ht="18">
      <c r="A98" s="180" t="s">
        <v>62</v>
      </c>
      <c r="B98" s="77" t="s">
        <v>435</v>
      </c>
      <c r="C98" s="70" t="s">
        <v>17</v>
      </c>
      <c r="D98" s="210"/>
      <c r="E98" s="210"/>
      <c r="F98" s="210"/>
      <c r="G98" s="210"/>
      <c r="H98" s="406">
        <f>SUM(Tabla132112416[[#This Row],[PRIMER TRIMESTRE]:[CUARTO TRIMESTRE]])</f>
        <v>0</v>
      </c>
      <c r="I98" s="17">
        <v>110</v>
      </c>
      <c r="J98" s="17">
        <f>+Tabla132112416[[#This Row],[CANTIDAD TOTAL]]*Tabla132112416[[#This Row],[PRECIO UNITARIO ESTIMADO]]</f>
        <v>0</v>
      </c>
      <c r="K98" s="17"/>
      <c r="L98" s="16" t="s">
        <v>27</v>
      </c>
      <c r="M98" s="16" t="s">
        <v>22</v>
      </c>
      <c r="N98" s="39" t="s">
        <v>418</v>
      </c>
    </row>
    <row r="99" spans="1:14" s="12" customFormat="1" ht="18">
      <c r="A99" s="180" t="s">
        <v>62</v>
      </c>
      <c r="B99" s="77" t="s">
        <v>729</v>
      </c>
      <c r="C99" s="70" t="s">
        <v>17</v>
      </c>
      <c r="D99" s="210"/>
      <c r="E99" s="210"/>
      <c r="F99" s="210"/>
      <c r="G99" s="210"/>
      <c r="H99" s="406">
        <f>SUM(Tabla132112416[[#This Row],[PRIMER TRIMESTRE]:[CUARTO TRIMESTRE]])</f>
        <v>0</v>
      </c>
      <c r="I99" s="17">
        <v>260</v>
      </c>
      <c r="J99" s="17">
        <f>+Tabla132112416[[#This Row],[CANTIDAD TOTAL]]*Tabla132112416[[#This Row],[PRECIO UNITARIO ESTIMADO]]</f>
        <v>0</v>
      </c>
      <c r="K99" s="17"/>
      <c r="L99" s="16" t="s">
        <v>27</v>
      </c>
      <c r="M99" s="16" t="s">
        <v>22</v>
      </c>
      <c r="N99" s="39" t="s">
        <v>418</v>
      </c>
    </row>
    <row r="100" spans="1:14" s="12" customFormat="1" ht="18">
      <c r="A100" s="180" t="s">
        <v>62</v>
      </c>
      <c r="B100" s="77" t="s">
        <v>731</v>
      </c>
      <c r="C100" s="70" t="s">
        <v>17</v>
      </c>
      <c r="D100" s="210"/>
      <c r="E100" s="210"/>
      <c r="F100" s="210"/>
      <c r="G100" s="210"/>
      <c r="H100" s="406">
        <f>SUM(Tabla132112416[[#This Row],[PRIMER TRIMESTRE]:[CUARTO TRIMESTRE]])</f>
        <v>0</v>
      </c>
      <c r="I100" s="17">
        <v>375</v>
      </c>
      <c r="J100" s="17">
        <f>+Tabla132112416[[#This Row],[CANTIDAD TOTAL]]*Tabla132112416[[#This Row],[PRECIO UNITARIO ESTIMADO]]</f>
        <v>0</v>
      </c>
      <c r="K100" s="17"/>
      <c r="L100" s="16" t="s">
        <v>27</v>
      </c>
      <c r="M100" s="16" t="s">
        <v>22</v>
      </c>
      <c r="N100" s="39" t="s">
        <v>418</v>
      </c>
    </row>
    <row r="101" spans="1:14" s="12" customFormat="1" ht="18">
      <c r="A101" s="180" t="s">
        <v>62</v>
      </c>
      <c r="B101" s="17" t="s">
        <v>1589</v>
      </c>
      <c r="C101" s="248" t="s">
        <v>17</v>
      </c>
      <c r="D101" s="210"/>
      <c r="E101" s="17"/>
      <c r="F101" s="17"/>
      <c r="G101" s="17"/>
      <c r="H101" s="406">
        <f>SUM(Tabla132112416[[#This Row],[PRIMER TRIMESTRE]:[CUARTO TRIMESTRE]])</f>
        <v>0</v>
      </c>
      <c r="I101" s="17">
        <v>425</v>
      </c>
      <c r="J101" s="17">
        <f>+H101*I101</f>
        <v>0</v>
      </c>
      <c r="K101" s="17"/>
      <c r="L101" s="16" t="s">
        <v>27</v>
      </c>
      <c r="M101" s="16" t="s">
        <v>22</v>
      </c>
      <c r="N101" s="39" t="s">
        <v>418</v>
      </c>
    </row>
    <row r="102" spans="1:14" s="12" customFormat="1" ht="18">
      <c r="A102" s="180" t="s">
        <v>62</v>
      </c>
      <c r="B102" s="77" t="s">
        <v>72</v>
      </c>
      <c r="C102" s="70" t="s">
        <v>17</v>
      </c>
      <c r="D102" s="210"/>
      <c r="E102" s="210"/>
      <c r="F102" s="210"/>
      <c r="G102" s="210"/>
      <c r="H102" s="406">
        <f>SUM(Tabla132112416[[#This Row],[PRIMER TRIMESTRE]:[CUARTO TRIMESTRE]])</f>
        <v>0</v>
      </c>
      <c r="I102" s="72">
        <v>295</v>
      </c>
      <c r="J102" s="17">
        <f>+Tabla132112416[[#This Row],[CANTIDAD TOTAL]]*Tabla132112416[[#This Row],[PRECIO UNITARIO ESTIMADO]]</f>
        <v>0</v>
      </c>
      <c r="K102" s="17"/>
      <c r="L102" s="16" t="s">
        <v>27</v>
      </c>
      <c r="M102" s="16" t="s">
        <v>22</v>
      </c>
      <c r="N102" s="39" t="s">
        <v>418</v>
      </c>
    </row>
    <row r="103" spans="1:14" s="12" customFormat="1" ht="18">
      <c r="A103" s="180" t="s">
        <v>62</v>
      </c>
      <c r="B103" s="77" t="s">
        <v>467</v>
      </c>
      <c r="C103" s="70" t="s">
        <v>17</v>
      </c>
      <c r="D103" s="210"/>
      <c r="E103" s="210"/>
      <c r="F103" s="210"/>
      <c r="G103" s="210"/>
      <c r="H103" s="406">
        <f>SUM(Tabla132112416[[#This Row],[PRIMER TRIMESTRE]:[CUARTO TRIMESTRE]])</f>
        <v>0</v>
      </c>
      <c r="I103" s="72">
        <v>852.71</v>
      </c>
      <c r="J103" s="17">
        <f t="shared" ref="J103:J119" si="1">+H103*I103</f>
        <v>0</v>
      </c>
      <c r="K103" s="17"/>
      <c r="L103" s="16" t="s">
        <v>27</v>
      </c>
      <c r="M103" s="16" t="s">
        <v>22</v>
      </c>
      <c r="N103" s="39" t="s">
        <v>418</v>
      </c>
    </row>
    <row r="104" spans="1:14" s="12" customFormat="1" ht="18">
      <c r="A104" s="180" t="s">
        <v>62</v>
      </c>
      <c r="B104" s="75" t="s">
        <v>1155</v>
      </c>
      <c r="C104" s="39" t="s">
        <v>17</v>
      </c>
      <c r="D104" s="236"/>
      <c r="E104" s="236"/>
      <c r="F104" s="236"/>
      <c r="G104" s="236"/>
      <c r="H104" s="40">
        <f>SUM(Tabla132112416[[#This Row],[PRIMER TRIMESTRE]:[CUARTO TRIMESTRE]])</f>
        <v>0</v>
      </c>
      <c r="I104" s="72">
        <v>600</v>
      </c>
      <c r="J104" s="17">
        <f t="shared" si="1"/>
        <v>0</v>
      </c>
      <c r="K104" s="17"/>
      <c r="L104" s="16" t="s">
        <v>27</v>
      </c>
      <c r="M104" s="16" t="s">
        <v>22</v>
      </c>
      <c r="N104" s="39" t="s">
        <v>418</v>
      </c>
    </row>
    <row r="105" spans="1:14" s="12" customFormat="1" ht="18">
      <c r="A105" s="180" t="s">
        <v>62</v>
      </c>
      <c r="B105" s="75" t="s">
        <v>1156</v>
      </c>
      <c r="C105" s="39" t="s">
        <v>17</v>
      </c>
      <c r="D105" s="39"/>
      <c r="E105" s="39"/>
      <c r="F105" s="39"/>
      <c r="G105" s="39"/>
      <c r="H105" s="39">
        <f>SUM(Tabla132112416[[#This Row],[PRIMER TRIMESTRE]:[CUARTO TRIMESTRE]])</f>
        <v>0</v>
      </c>
      <c r="I105" s="72">
        <v>700</v>
      </c>
      <c r="J105" s="17">
        <f t="shared" si="1"/>
        <v>0</v>
      </c>
      <c r="K105" s="17"/>
      <c r="L105" s="16" t="s">
        <v>27</v>
      </c>
      <c r="M105" s="16" t="s">
        <v>22</v>
      </c>
      <c r="N105" s="39" t="s">
        <v>418</v>
      </c>
    </row>
    <row r="106" spans="1:14" s="12" customFormat="1" ht="18">
      <c r="A106" s="180" t="s">
        <v>62</v>
      </c>
      <c r="B106" s="75" t="s">
        <v>1612</v>
      </c>
      <c r="C106" s="39" t="s">
        <v>17</v>
      </c>
      <c r="D106" s="39"/>
      <c r="E106" s="39"/>
      <c r="F106" s="39"/>
      <c r="G106" s="39"/>
      <c r="H106" s="39">
        <f>SUM(Tabla132112416[[#This Row],[PRIMER TRIMESTRE]:[CUARTO TRIMESTRE]])</f>
        <v>0</v>
      </c>
      <c r="I106" s="72">
        <v>835</v>
      </c>
      <c r="J106" s="17">
        <f t="shared" si="1"/>
        <v>0</v>
      </c>
      <c r="K106" s="17"/>
      <c r="L106" s="16" t="s">
        <v>27</v>
      </c>
      <c r="M106" s="16" t="s">
        <v>22</v>
      </c>
      <c r="N106" s="39" t="s">
        <v>418</v>
      </c>
    </row>
    <row r="107" spans="1:14" s="12" customFormat="1" ht="18">
      <c r="A107" s="180" t="s">
        <v>62</v>
      </c>
      <c r="B107" s="75" t="s">
        <v>1613</v>
      </c>
      <c r="C107" s="39" t="s">
        <v>17</v>
      </c>
      <c r="D107" s="39"/>
      <c r="E107" s="39"/>
      <c r="F107" s="39"/>
      <c r="G107" s="39"/>
      <c r="H107" s="39">
        <f>SUM(Tabla132112416[[#This Row],[PRIMER TRIMESTRE]:[CUARTO TRIMESTRE]])</f>
        <v>0</v>
      </c>
      <c r="I107" s="72">
        <v>618</v>
      </c>
      <c r="J107" s="17">
        <f t="shared" si="1"/>
        <v>0</v>
      </c>
      <c r="K107" s="17"/>
      <c r="L107" s="16" t="s">
        <v>27</v>
      </c>
      <c r="M107" s="16" t="s">
        <v>22</v>
      </c>
      <c r="N107" s="39" t="s">
        <v>418</v>
      </c>
    </row>
    <row r="108" spans="1:14" s="12" customFormat="1" ht="18">
      <c r="A108" s="180" t="s">
        <v>62</v>
      </c>
      <c r="B108" s="75" t="s">
        <v>1706</v>
      </c>
      <c r="C108" s="39" t="s">
        <v>17</v>
      </c>
      <c r="D108" s="236"/>
      <c r="E108" s="236"/>
      <c r="F108" s="236"/>
      <c r="G108" s="236"/>
      <c r="H108" s="40">
        <v>0</v>
      </c>
      <c r="I108" s="72">
        <v>0</v>
      </c>
      <c r="J108" s="17">
        <v>0</v>
      </c>
      <c r="K108" s="17"/>
      <c r="L108" s="16" t="s">
        <v>27</v>
      </c>
      <c r="M108" s="16" t="s">
        <v>22</v>
      </c>
      <c r="N108" s="39" t="s">
        <v>418</v>
      </c>
    </row>
    <row r="109" spans="1:14" s="12" customFormat="1" ht="18">
      <c r="A109" s="180" t="s">
        <v>62</v>
      </c>
      <c r="B109" s="75" t="s">
        <v>1614</v>
      </c>
      <c r="C109" s="39" t="s">
        <v>17</v>
      </c>
      <c r="D109" s="39"/>
      <c r="E109" s="39"/>
      <c r="F109" s="39"/>
      <c r="G109" s="39"/>
      <c r="H109" s="39">
        <f>SUM(Tabla132112416[[#This Row],[PRIMER TRIMESTRE]:[CUARTO TRIMESTRE]])</f>
        <v>0</v>
      </c>
      <c r="I109" s="72">
        <v>280</v>
      </c>
      <c r="J109" s="17">
        <f t="shared" si="1"/>
        <v>0</v>
      </c>
      <c r="K109" s="17"/>
      <c r="L109" s="16" t="s">
        <v>27</v>
      </c>
      <c r="M109" s="16" t="s">
        <v>22</v>
      </c>
      <c r="N109" s="39" t="s">
        <v>418</v>
      </c>
    </row>
    <row r="110" spans="1:14" s="12" customFormat="1" ht="18">
      <c r="A110" s="180" t="s">
        <v>62</v>
      </c>
      <c r="B110" s="75" t="s">
        <v>1615</v>
      </c>
      <c r="C110" s="39" t="s">
        <v>17</v>
      </c>
      <c r="D110" s="39"/>
      <c r="E110" s="39"/>
      <c r="F110" s="39"/>
      <c r="G110" s="39"/>
      <c r="H110" s="39">
        <f>SUM(Tabla132112416[[#This Row],[PRIMER TRIMESTRE]:[CUARTO TRIMESTRE]])</f>
        <v>0</v>
      </c>
      <c r="I110" s="72">
        <v>447.46</v>
      </c>
      <c r="J110" s="17">
        <f t="shared" si="1"/>
        <v>0</v>
      </c>
      <c r="K110" s="17"/>
      <c r="L110" s="16" t="s">
        <v>27</v>
      </c>
      <c r="M110" s="16" t="s">
        <v>22</v>
      </c>
      <c r="N110" s="39" t="s">
        <v>418</v>
      </c>
    </row>
    <row r="111" spans="1:14" s="12" customFormat="1" ht="18">
      <c r="A111" s="180" t="s">
        <v>62</v>
      </c>
      <c r="B111" s="75" t="s">
        <v>1616</v>
      </c>
      <c r="C111" s="39" t="s">
        <v>718</v>
      </c>
      <c r="D111" s="39"/>
      <c r="E111" s="39"/>
      <c r="F111" s="39"/>
      <c r="G111" s="39"/>
      <c r="H111" s="39">
        <f>SUM(Tabla132112416[[#This Row],[PRIMER TRIMESTRE]:[CUARTO TRIMESTRE]])</f>
        <v>0</v>
      </c>
      <c r="I111" s="72">
        <v>452.8</v>
      </c>
      <c r="J111" s="17">
        <f t="shared" si="1"/>
        <v>0</v>
      </c>
      <c r="K111" s="17"/>
      <c r="L111" s="16" t="s">
        <v>27</v>
      </c>
      <c r="M111" s="16" t="s">
        <v>22</v>
      </c>
      <c r="N111" s="39" t="s">
        <v>418</v>
      </c>
    </row>
    <row r="112" spans="1:14" s="12" customFormat="1" ht="18">
      <c r="A112" s="180" t="s">
        <v>62</v>
      </c>
      <c r="B112" s="75" t="s">
        <v>1617</v>
      </c>
      <c r="C112" s="39" t="s">
        <v>718</v>
      </c>
      <c r="D112" s="39"/>
      <c r="E112" s="39"/>
      <c r="F112" s="39"/>
      <c r="G112" s="39"/>
      <c r="H112" s="39">
        <f>SUM(Tabla132112416[[#This Row],[PRIMER TRIMESTRE]:[CUARTO TRIMESTRE]])</f>
        <v>0</v>
      </c>
      <c r="I112" s="72">
        <v>431</v>
      </c>
      <c r="J112" s="17">
        <f t="shared" si="1"/>
        <v>0</v>
      </c>
      <c r="K112" s="17"/>
      <c r="L112" s="16" t="s">
        <v>27</v>
      </c>
      <c r="M112" s="16" t="s">
        <v>22</v>
      </c>
      <c r="N112" s="39" t="s">
        <v>418</v>
      </c>
    </row>
    <row r="113" spans="1:14" s="12" customFormat="1" ht="18">
      <c r="A113" s="180" t="s">
        <v>62</v>
      </c>
      <c r="B113" s="75" t="s">
        <v>1618</v>
      </c>
      <c r="C113" s="39" t="s">
        <v>718</v>
      </c>
      <c r="D113" s="39"/>
      <c r="E113" s="39"/>
      <c r="F113" s="39"/>
      <c r="G113" s="39"/>
      <c r="H113" s="39">
        <f>SUM(Tabla132112416[[#This Row],[PRIMER TRIMESTRE]:[CUARTO TRIMESTRE]])</f>
        <v>0</v>
      </c>
      <c r="I113" s="72">
        <v>145.30000000000001</v>
      </c>
      <c r="J113" s="17">
        <f t="shared" si="1"/>
        <v>0</v>
      </c>
      <c r="K113" s="17"/>
      <c r="L113" s="16" t="s">
        <v>27</v>
      </c>
      <c r="M113" s="16" t="s">
        <v>22</v>
      </c>
      <c r="N113" s="39" t="s">
        <v>418</v>
      </c>
    </row>
    <row r="114" spans="1:14" s="12" customFormat="1" ht="18">
      <c r="A114" s="180" t="s">
        <v>62</v>
      </c>
      <c r="B114" s="75" t="s">
        <v>1157</v>
      </c>
      <c r="C114" s="39" t="s">
        <v>17</v>
      </c>
      <c r="D114" s="236"/>
      <c r="E114" s="236"/>
      <c r="F114" s="236"/>
      <c r="G114" s="236"/>
      <c r="H114" s="40">
        <f>SUM(Tabla132112416[[#This Row],[PRIMER TRIMESTRE]:[CUARTO TRIMESTRE]])</f>
        <v>0</v>
      </c>
      <c r="I114" s="72">
        <v>800</v>
      </c>
      <c r="J114" s="17">
        <f t="shared" si="1"/>
        <v>0</v>
      </c>
      <c r="K114" s="17"/>
      <c r="L114" s="16" t="s">
        <v>27</v>
      </c>
      <c r="M114" s="16" t="s">
        <v>22</v>
      </c>
      <c r="N114" s="39" t="s">
        <v>418</v>
      </c>
    </row>
    <row r="115" spans="1:14" s="12" customFormat="1" ht="18">
      <c r="A115" s="180" t="s">
        <v>62</v>
      </c>
      <c r="B115" s="75" t="s">
        <v>1158</v>
      </c>
      <c r="C115" s="39" t="s">
        <v>17</v>
      </c>
      <c r="D115" s="236"/>
      <c r="E115" s="236"/>
      <c r="F115" s="236"/>
      <c r="G115" s="236"/>
      <c r="H115" s="40">
        <f>SUM(Tabla132112416[[#This Row],[PRIMER TRIMESTRE]:[CUARTO TRIMESTRE]])</f>
        <v>0</v>
      </c>
      <c r="I115" s="72">
        <v>900</v>
      </c>
      <c r="J115" s="17">
        <f t="shared" si="1"/>
        <v>0</v>
      </c>
      <c r="K115" s="17"/>
      <c r="L115" s="16" t="s">
        <v>27</v>
      </c>
      <c r="M115" s="16" t="s">
        <v>22</v>
      </c>
      <c r="N115" s="39" t="s">
        <v>418</v>
      </c>
    </row>
    <row r="116" spans="1:14" s="12" customFormat="1" ht="18">
      <c r="A116" s="180" t="s">
        <v>62</v>
      </c>
      <c r="B116" s="75" t="s">
        <v>1151</v>
      </c>
      <c r="C116" s="39" t="s">
        <v>17</v>
      </c>
      <c r="D116" s="236"/>
      <c r="E116" s="236"/>
      <c r="F116" s="236"/>
      <c r="G116" s="236"/>
      <c r="H116" s="40">
        <f>SUM(Tabla132112416[[#This Row],[PRIMER TRIMESTRE]:[CUARTO TRIMESTRE]])</f>
        <v>0</v>
      </c>
      <c r="I116" s="72">
        <v>375</v>
      </c>
      <c r="J116" s="17">
        <f t="shared" si="1"/>
        <v>0</v>
      </c>
      <c r="K116" s="17"/>
      <c r="L116" s="16" t="s">
        <v>27</v>
      </c>
      <c r="M116" s="16" t="s">
        <v>22</v>
      </c>
      <c r="N116" s="39" t="s">
        <v>418</v>
      </c>
    </row>
    <row r="117" spans="1:14" s="12" customFormat="1" ht="18">
      <c r="A117" s="180" t="s">
        <v>62</v>
      </c>
      <c r="B117" s="75" t="s">
        <v>1152</v>
      </c>
      <c r="C117" s="39" t="s">
        <v>17</v>
      </c>
      <c r="D117" s="236"/>
      <c r="E117" s="236"/>
      <c r="F117" s="236"/>
      <c r="G117" s="236"/>
      <c r="H117" s="40">
        <f>SUM(Tabla132112416[[#This Row],[PRIMER TRIMESTRE]:[CUARTO TRIMESTRE]])</f>
        <v>0</v>
      </c>
      <c r="I117" s="72">
        <v>1300</v>
      </c>
      <c r="J117" s="17">
        <f t="shared" si="1"/>
        <v>0</v>
      </c>
      <c r="K117" s="17"/>
      <c r="L117" s="16" t="s">
        <v>27</v>
      </c>
      <c r="M117" s="16" t="s">
        <v>22</v>
      </c>
      <c r="N117" s="39" t="s">
        <v>418</v>
      </c>
    </row>
    <row r="118" spans="1:14" s="12" customFormat="1" ht="18">
      <c r="A118" s="180" t="s">
        <v>62</v>
      </c>
      <c r="B118" s="75" t="s">
        <v>1153</v>
      </c>
      <c r="C118" s="39" t="s">
        <v>17</v>
      </c>
      <c r="D118" s="236"/>
      <c r="E118" s="236"/>
      <c r="F118" s="236"/>
      <c r="G118" s="236"/>
      <c r="H118" s="40">
        <f>SUM(Tabla132112416[[#This Row],[PRIMER TRIMESTRE]:[CUARTO TRIMESTRE]])</f>
        <v>0</v>
      </c>
      <c r="I118" s="72">
        <v>900</v>
      </c>
      <c r="J118" s="17">
        <f t="shared" si="1"/>
        <v>0</v>
      </c>
      <c r="K118" s="17"/>
      <c r="L118" s="16" t="s">
        <v>27</v>
      </c>
      <c r="M118" s="16" t="s">
        <v>22</v>
      </c>
      <c r="N118" s="39" t="s">
        <v>418</v>
      </c>
    </row>
    <row r="119" spans="1:14" s="12" customFormat="1" ht="18">
      <c r="A119" s="180" t="s">
        <v>62</v>
      </c>
      <c r="B119" s="75" t="s">
        <v>1154</v>
      </c>
      <c r="C119" s="39" t="s">
        <v>17</v>
      </c>
      <c r="D119" s="236"/>
      <c r="E119" s="236"/>
      <c r="F119" s="236"/>
      <c r="G119" s="236"/>
      <c r="H119" s="40">
        <f>SUM(Tabla132112416[[#This Row],[PRIMER TRIMESTRE]:[CUARTO TRIMESTRE]])</f>
        <v>0</v>
      </c>
      <c r="I119" s="72">
        <v>1800</v>
      </c>
      <c r="J119" s="17">
        <f t="shared" si="1"/>
        <v>0</v>
      </c>
      <c r="K119" s="17"/>
      <c r="L119" s="16" t="s">
        <v>27</v>
      </c>
      <c r="M119" s="16" t="s">
        <v>22</v>
      </c>
      <c r="N119" s="39" t="s">
        <v>418</v>
      </c>
    </row>
    <row r="120" spans="1:14" s="12" customFormat="1" ht="18">
      <c r="A120" s="180" t="s">
        <v>62</v>
      </c>
      <c r="B120" s="75" t="s">
        <v>1709</v>
      </c>
      <c r="C120" s="70" t="s">
        <v>17</v>
      </c>
      <c r="D120" s="236"/>
      <c r="E120" s="236"/>
      <c r="F120" s="236"/>
      <c r="G120" s="236"/>
      <c r="H120" s="40">
        <v>0</v>
      </c>
      <c r="I120" s="72">
        <v>0</v>
      </c>
      <c r="J120" s="17">
        <v>0</v>
      </c>
      <c r="K120" s="17"/>
      <c r="L120" s="16" t="s">
        <v>27</v>
      </c>
      <c r="M120" s="16" t="s">
        <v>22</v>
      </c>
      <c r="N120" s="39" t="s">
        <v>418</v>
      </c>
    </row>
    <row r="121" spans="1:14" s="26" customFormat="1" ht="18">
      <c r="A121" s="180" t="s">
        <v>62</v>
      </c>
      <c r="B121" s="77" t="s">
        <v>432</v>
      </c>
      <c r="C121" s="70" t="s">
        <v>17</v>
      </c>
      <c r="D121" s="210"/>
      <c r="E121" s="210"/>
      <c r="F121" s="210"/>
      <c r="G121" s="210"/>
      <c r="H121" s="406">
        <f>SUM(Tabla132112416[[#This Row],[PRIMER TRIMESTRE]:[CUARTO TRIMESTRE]])</f>
        <v>0</v>
      </c>
      <c r="I121" s="72">
        <v>350</v>
      </c>
      <c r="J121" s="17">
        <f>+Tabla132112416[[#This Row],[CANTIDAD TOTAL]]*Tabla132112416[[#This Row],[PRECIO UNITARIO ESTIMADO]]</f>
        <v>0</v>
      </c>
      <c r="K121" s="17"/>
      <c r="L121" s="16" t="s">
        <v>27</v>
      </c>
      <c r="M121" s="16" t="s">
        <v>22</v>
      </c>
      <c r="N121" s="39" t="s">
        <v>418</v>
      </c>
    </row>
    <row r="122" spans="1:14" s="26" customFormat="1" ht="18">
      <c r="A122" s="180" t="s">
        <v>62</v>
      </c>
      <c r="B122" s="77" t="s">
        <v>431</v>
      </c>
      <c r="C122" s="70" t="s">
        <v>17</v>
      </c>
      <c r="D122" s="210"/>
      <c r="E122" s="210"/>
      <c r="F122" s="210"/>
      <c r="G122" s="210"/>
      <c r="H122" s="406">
        <f>SUM(Tabla132112416[[#This Row],[PRIMER TRIMESTRE]:[CUARTO TRIMESTRE]])</f>
        <v>0</v>
      </c>
      <c r="I122" s="72">
        <v>397.45</v>
      </c>
      <c r="J122" s="17">
        <f>+Tabla132112416[[#This Row],[CANTIDAD TOTAL]]*Tabla132112416[[#This Row],[PRECIO UNITARIO ESTIMADO]]</f>
        <v>0</v>
      </c>
      <c r="K122" s="17"/>
      <c r="L122" s="16" t="s">
        <v>27</v>
      </c>
      <c r="M122" s="16" t="s">
        <v>22</v>
      </c>
      <c r="N122" s="39" t="s">
        <v>418</v>
      </c>
    </row>
    <row r="123" spans="1:14" s="26" customFormat="1" ht="18">
      <c r="A123" s="180" t="s">
        <v>62</v>
      </c>
      <c r="B123" s="75" t="s">
        <v>960</v>
      </c>
      <c r="C123" s="39" t="s">
        <v>17</v>
      </c>
      <c r="D123" s="236"/>
      <c r="E123" s="236"/>
      <c r="F123" s="236"/>
      <c r="G123" s="236"/>
      <c r="H123" s="40">
        <f>SUM(Tabla132112416[[#This Row],[PRIMER TRIMESTRE]:[CUARTO TRIMESTRE]])</f>
        <v>0</v>
      </c>
      <c r="I123" s="17">
        <v>400.75</v>
      </c>
      <c r="J123" s="17">
        <f>+H123*I123</f>
        <v>0</v>
      </c>
      <c r="K123" s="17"/>
      <c r="L123" s="16" t="s">
        <v>27</v>
      </c>
      <c r="M123" s="16" t="s">
        <v>22</v>
      </c>
      <c r="N123" s="39" t="s">
        <v>418</v>
      </c>
    </row>
    <row r="124" spans="1:14" s="12" customFormat="1" ht="18">
      <c r="A124" s="180" t="s">
        <v>62</v>
      </c>
      <c r="B124" s="75" t="s">
        <v>961</v>
      </c>
      <c r="C124" s="39" t="s">
        <v>17</v>
      </c>
      <c r="D124" s="236"/>
      <c r="E124" s="236"/>
      <c r="F124" s="236"/>
      <c r="G124" s="236"/>
      <c r="H124" s="40">
        <f>SUM(Tabla132112416[[#This Row],[PRIMER TRIMESTRE]:[CUARTO TRIMESTRE]])</f>
        <v>0</v>
      </c>
      <c r="I124" s="17">
        <v>216</v>
      </c>
      <c r="J124" s="17">
        <f>+H124*I124</f>
        <v>0</v>
      </c>
      <c r="K124" s="17"/>
      <c r="L124" s="16" t="s">
        <v>27</v>
      </c>
      <c r="M124" s="16" t="s">
        <v>22</v>
      </c>
      <c r="N124" s="39" t="s">
        <v>418</v>
      </c>
    </row>
    <row r="125" spans="1:14" s="12" customFormat="1" ht="18">
      <c r="A125" s="180" t="s">
        <v>62</v>
      </c>
      <c r="B125" s="75" t="s">
        <v>962</v>
      </c>
      <c r="C125" s="39" t="s">
        <v>17</v>
      </c>
      <c r="D125" s="236"/>
      <c r="E125" s="236"/>
      <c r="F125" s="236"/>
      <c r="G125" s="236"/>
      <c r="H125" s="40">
        <f>SUM(Tabla132112416[[#This Row],[PRIMER TRIMESTRE]:[CUARTO TRIMESTRE]])</f>
        <v>0</v>
      </c>
      <c r="I125" s="17">
        <v>249.67</v>
      </c>
      <c r="J125" s="17">
        <f>+H125*I125</f>
        <v>0</v>
      </c>
      <c r="K125" s="17"/>
      <c r="L125" s="16" t="s">
        <v>27</v>
      </c>
      <c r="M125" s="16" t="s">
        <v>22</v>
      </c>
      <c r="N125" s="39" t="s">
        <v>418</v>
      </c>
    </row>
    <row r="126" spans="1:14" s="12" customFormat="1" ht="18">
      <c r="A126" s="180" t="s">
        <v>62</v>
      </c>
      <c r="B126" s="77" t="s">
        <v>434</v>
      </c>
      <c r="C126" s="70" t="s">
        <v>17</v>
      </c>
      <c r="D126" s="210"/>
      <c r="E126" s="210"/>
      <c r="F126" s="210"/>
      <c r="G126" s="210"/>
      <c r="H126" s="406">
        <f>SUM(Tabla132112416[[#This Row],[PRIMER TRIMESTRE]:[CUARTO TRIMESTRE]])</f>
        <v>0</v>
      </c>
      <c r="I126" s="72">
        <v>1120.9100000000001</v>
      </c>
      <c r="J126" s="17">
        <f>+Tabla132112416[[#This Row],[CANTIDAD TOTAL]]*Tabla132112416[[#This Row],[PRECIO UNITARIO ESTIMADO]]</f>
        <v>0</v>
      </c>
      <c r="K126" s="17"/>
      <c r="L126" s="16" t="s">
        <v>27</v>
      </c>
      <c r="M126" s="16" t="s">
        <v>22</v>
      </c>
      <c r="N126" s="39" t="s">
        <v>418</v>
      </c>
    </row>
    <row r="127" spans="1:14" s="12" customFormat="1" ht="18">
      <c r="A127" s="180" t="s">
        <v>62</v>
      </c>
      <c r="B127" s="77" t="s">
        <v>76</v>
      </c>
      <c r="C127" s="70" t="s">
        <v>17</v>
      </c>
      <c r="D127" s="210"/>
      <c r="E127" s="210"/>
      <c r="F127" s="210"/>
      <c r="G127" s="210"/>
      <c r="H127" s="406">
        <f>SUM(Tabla132112416[[#This Row],[PRIMER TRIMESTRE]:[CUARTO TRIMESTRE]])</f>
        <v>0</v>
      </c>
      <c r="I127" s="17">
        <v>100.57</v>
      </c>
      <c r="J127" s="17">
        <f>+Tabla132112416[[#This Row],[CANTIDAD TOTAL]]*Tabla132112416[[#This Row],[PRECIO UNITARIO ESTIMADO]]</f>
        <v>0</v>
      </c>
      <c r="K127" s="17"/>
      <c r="L127" s="16" t="s">
        <v>27</v>
      </c>
      <c r="M127" s="16" t="s">
        <v>22</v>
      </c>
      <c r="N127" s="39" t="s">
        <v>418</v>
      </c>
    </row>
    <row r="128" spans="1:14" s="12" customFormat="1" ht="18">
      <c r="A128" s="180" t="s">
        <v>62</v>
      </c>
      <c r="B128" s="77" t="s">
        <v>433</v>
      </c>
      <c r="C128" s="70" t="s">
        <v>17</v>
      </c>
      <c r="D128" s="210"/>
      <c r="E128" s="210"/>
      <c r="F128" s="210"/>
      <c r="G128" s="210"/>
      <c r="H128" s="406">
        <f>SUM(Tabla132112416[[#This Row],[PRIMER TRIMESTRE]:[CUARTO TRIMESTRE]])</f>
        <v>0</v>
      </c>
      <c r="I128" s="17">
        <v>1144.23</v>
      </c>
      <c r="J128" s="17">
        <f>+Tabla132112416[[#This Row],[CANTIDAD TOTAL]]*Tabla132112416[[#This Row],[PRECIO UNITARIO ESTIMADO]]</f>
        <v>0</v>
      </c>
      <c r="K128" s="17"/>
      <c r="L128" s="16" t="s">
        <v>27</v>
      </c>
      <c r="M128" s="16" t="s">
        <v>22</v>
      </c>
      <c r="N128" s="39" t="s">
        <v>418</v>
      </c>
    </row>
    <row r="129" spans="1:14" s="12" customFormat="1" ht="18">
      <c r="A129" s="180" t="s">
        <v>62</v>
      </c>
      <c r="B129" s="77" t="s">
        <v>433</v>
      </c>
      <c r="C129" s="70" t="s">
        <v>17</v>
      </c>
      <c r="D129" s="210"/>
      <c r="E129" s="210"/>
      <c r="F129" s="210"/>
      <c r="G129" s="210"/>
      <c r="H129" s="210">
        <f>SUM(Tabla132112416[[#This Row],[PRIMER TRIMESTRE]:[CUARTO TRIMESTRE]])</f>
        <v>0</v>
      </c>
      <c r="I129" s="17">
        <v>280</v>
      </c>
      <c r="J129" s="17">
        <f>+H129*I129</f>
        <v>0</v>
      </c>
      <c r="K129" s="17"/>
      <c r="L129" s="16" t="s">
        <v>27</v>
      </c>
      <c r="M129" s="16" t="s">
        <v>22</v>
      </c>
      <c r="N129" s="39" t="s">
        <v>418</v>
      </c>
    </row>
    <row r="130" spans="1:14" s="12" customFormat="1" ht="18">
      <c r="A130" s="180" t="s">
        <v>62</v>
      </c>
      <c r="B130" s="77" t="s">
        <v>1159</v>
      </c>
      <c r="C130" s="70" t="s">
        <v>17</v>
      </c>
      <c r="D130" s="210"/>
      <c r="E130" s="210"/>
      <c r="F130" s="210"/>
      <c r="G130" s="210"/>
      <c r="H130" s="406">
        <f>SUM(Tabla132112416[[#This Row],[PRIMER TRIMESTRE]:[CUARTO TRIMESTRE]])</f>
        <v>0</v>
      </c>
      <c r="I130" s="17">
        <v>377</v>
      </c>
      <c r="J130" s="17">
        <f>+H130*I130</f>
        <v>0</v>
      </c>
      <c r="K130" s="17"/>
      <c r="L130" s="16" t="s">
        <v>27</v>
      </c>
      <c r="M130" s="16" t="s">
        <v>22</v>
      </c>
      <c r="N130" s="39" t="s">
        <v>418</v>
      </c>
    </row>
    <row r="131" spans="1:14" s="12" customFormat="1" ht="18">
      <c r="A131" s="180" t="s">
        <v>62</v>
      </c>
      <c r="B131" s="75" t="s">
        <v>78</v>
      </c>
      <c r="C131" s="39" t="s">
        <v>17</v>
      </c>
      <c r="D131" s="236"/>
      <c r="E131" s="236"/>
      <c r="F131" s="236"/>
      <c r="G131" s="236"/>
      <c r="H131" s="40">
        <f>SUM(Tabla132112416[[#This Row],[PRIMER TRIMESTRE]:[CUARTO TRIMESTRE]])</f>
        <v>0</v>
      </c>
      <c r="I131" s="17">
        <v>377</v>
      </c>
      <c r="J131" s="17">
        <f>+Tabla132112416[[#This Row],[CANTIDAD TOTAL]]*Tabla132112416[[#This Row],[PRECIO UNITARIO ESTIMADO]]</f>
        <v>0</v>
      </c>
      <c r="K131" s="17"/>
      <c r="L131" s="16" t="s">
        <v>27</v>
      </c>
      <c r="M131" s="16" t="s">
        <v>22</v>
      </c>
      <c r="N131" s="39" t="s">
        <v>418</v>
      </c>
    </row>
    <row r="132" spans="1:14" s="12" customFormat="1" ht="18">
      <c r="A132" s="180" t="s">
        <v>62</v>
      </c>
      <c r="B132" s="75" t="s">
        <v>1179</v>
      </c>
      <c r="C132" s="39" t="s">
        <v>17</v>
      </c>
      <c r="D132" s="236"/>
      <c r="E132" s="236"/>
      <c r="F132" s="236"/>
      <c r="G132" s="236"/>
      <c r="H132" s="40">
        <f>SUM(Tabla132112416[[#This Row],[PRIMER TRIMESTRE]:[CUARTO TRIMESTRE]])</f>
        <v>0</v>
      </c>
      <c r="I132" s="17">
        <v>350</v>
      </c>
      <c r="J132" s="17">
        <f t="shared" ref="J132:J139" si="2">+H132*I132</f>
        <v>0</v>
      </c>
      <c r="K132" s="17"/>
      <c r="L132" s="16" t="s">
        <v>27</v>
      </c>
      <c r="M132" s="16" t="s">
        <v>22</v>
      </c>
      <c r="N132" s="39" t="s">
        <v>418</v>
      </c>
    </row>
    <row r="133" spans="1:14" s="12" customFormat="1" ht="18">
      <c r="A133" s="180" t="s">
        <v>62</v>
      </c>
      <c r="B133" s="75" t="s">
        <v>1180</v>
      </c>
      <c r="C133" s="39" t="s">
        <v>17</v>
      </c>
      <c r="D133" s="236"/>
      <c r="E133" s="236"/>
      <c r="F133" s="236"/>
      <c r="G133" s="236"/>
      <c r="H133" s="40">
        <f>SUM(Tabla132112416[[#This Row],[PRIMER TRIMESTRE]:[CUARTO TRIMESTRE]])</f>
        <v>0</v>
      </c>
      <c r="I133" s="17">
        <v>350</v>
      </c>
      <c r="J133" s="17">
        <f t="shared" si="2"/>
        <v>0</v>
      </c>
      <c r="K133" s="17"/>
      <c r="L133" s="16" t="s">
        <v>27</v>
      </c>
      <c r="M133" s="16" t="s">
        <v>22</v>
      </c>
      <c r="N133" s="39" t="s">
        <v>418</v>
      </c>
    </row>
    <row r="134" spans="1:14" s="12" customFormat="1" ht="18">
      <c r="A134" s="180" t="s">
        <v>62</v>
      </c>
      <c r="B134" s="75" t="s">
        <v>1557</v>
      </c>
      <c r="C134" s="39" t="s">
        <v>17</v>
      </c>
      <c r="D134" s="236"/>
      <c r="E134" s="236"/>
      <c r="F134" s="236"/>
      <c r="G134" s="236"/>
      <c r="H134" s="40">
        <f>SUM(Tabla132112416[[#This Row],[PRIMER TRIMESTRE]:[CUARTO TRIMESTRE]])</f>
        <v>0</v>
      </c>
      <c r="I134" s="17">
        <v>220.66</v>
      </c>
      <c r="J134" s="17">
        <f t="shared" si="2"/>
        <v>0</v>
      </c>
      <c r="K134" s="17"/>
      <c r="L134" s="16" t="s">
        <v>27</v>
      </c>
      <c r="M134" s="16" t="s">
        <v>22</v>
      </c>
      <c r="N134" s="39" t="s">
        <v>418</v>
      </c>
    </row>
    <row r="135" spans="1:14" s="12" customFormat="1" ht="18">
      <c r="A135" s="180" t="s">
        <v>62</v>
      </c>
      <c r="B135" s="75" t="s">
        <v>1558</v>
      </c>
      <c r="C135" s="39" t="s">
        <v>17</v>
      </c>
      <c r="D135" s="236"/>
      <c r="E135" s="236"/>
      <c r="F135" s="236"/>
      <c r="G135" s="236"/>
      <c r="H135" s="40">
        <f>SUM(Tabla132112416[[#This Row],[PRIMER TRIMESTRE]:[CUARTO TRIMESTRE]])</f>
        <v>0</v>
      </c>
      <c r="I135" s="17">
        <v>353.52</v>
      </c>
      <c r="J135" s="17">
        <f t="shared" si="2"/>
        <v>0</v>
      </c>
      <c r="K135" s="17"/>
      <c r="L135" s="16" t="s">
        <v>27</v>
      </c>
      <c r="M135" s="16" t="s">
        <v>22</v>
      </c>
      <c r="N135" s="39" t="s">
        <v>418</v>
      </c>
    </row>
    <row r="136" spans="1:14" s="12" customFormat="1" ht="18">
      <c r="A136" s="180" t="s">
        <v>62</v>
      </c>
      <c r="B136" s="75" t="s">
        <v>1560</v>
      </c>
      <c r="C136" s="39" t="s">
        <v>17</v>
      </c>
      <c r="D136" s="236"/>
      <c r="E136" s="236"/>
      <c r="F136" s="236"/>
      <c r="G136" s="236"/>
      <c r="H136" s="40">
        <f>SUM(Tabla132112416[[#This Row],[PRIMER TRIMESTRE]:[CUARTO TRIMESTRE]])</f>
        <v>0</v>
      </c>
      <c r="I136" s="17">
        <v>147.30000000000001</v>
      </c>
      <c r="J136" s="17">
        <f t="shared" si="2"/>
        <v>0</v>
      </c>
      <c r="K136" s="17"/>
      <c r="L136" s="16" t="s">
        <v>27</v>
      </c>
      <c r="M136" s="16" t="s">
        <v>22</v>
      </c>
      <c r="N136" s="39" t="s">
        <v>418</v>
      </c>
    </row>
    <row r="137" spans="1:14" s="12" customFormat="1" ht="18">
      <c r="A137" s="180" t="s">
        <v>62</v>
      </c>
      <c r="B137" s="75" t="s">
        <v>1559</v>
      </c>
      <c r="C137" s="39" t="s">
        <v>17</v>
      </c>
      <c r="D137" s="236"/>
      <c r="E137" s="236"/>
      <c r="F137" s="236"/>
      <c r="G137" s="236"/>
      <c r="H137" s="40">
        <f>SUM(Tabla132112416[[#This Row],[PRIMER TRIMESTRE]:[CUARTO TRIMESTRE]])</f>
        <v>0</v>
      </c>
      <c r="I137" s="17">
        <v>6490.63</v>
      </c>
      <c r="J137" s="17">
        <f t="shared" si="2"/>
        <v>0</v>
      </c>
      <c r="K137" s="17"/>
      <c r="L137" s="16" t="s">
        <v>27</v>
      </c>
      <c r="M137" s="16" t="s">
        <v>22</v>
      </c>
      <c r="N137" s="39" t="s">
        <v>418</v>
      </c>
    </row>
    <row r="138" spans="1:14" s="12" customFormat="1" ht="18">
      <c r="A138" s="180" t="s">
        <v>62</v>
      </c>
      <c r="B138" s="75" t="s">
        <v>1554</v>
      </c>
      <c r="C138" s="39" t="s">
        <v>17</v>
      </c>
      <c r="D138" s="236"/>
      <c r="E138" s="236"/>
      <c r="F138" s="236"/>
      <c r="G138" s="236"/>
      <c r="H138" s="40">
        <f>SUM(Tabla132112416[[#This Row],[PRIMER TRIMESTRE]:[CUARTO TRIMESTRE]])</f>
        <v>0</v>
      </c>
      <c r="I138" s="17">
        <v>597.1</v>
      </c>
      <c r="J138" s="17">
        <f t="shared" si="2"/>
        <v>0</v>
      </c>
      <c r="K138" s="17"/>
      <c r="L138" s="16" t="s">
        <v>27</v>
      </c>
      <c r="M138" s="16" t="s">
        <v>22</v>
      </c>
      <c r="N138" s="39" t="s">
        <v>418</v>
      </c>
    </row>
    <row r="139" spans="1:14" s="12" customFormat="1" ht="18">
      <c r="A139" s="180" t="s">
        <v>62</v>
      </c>
      <c r="B139" s="75" t="s">
        <v>923</v>
      </c>
      <c r="C139" s="39" t="s">
        <v>17</v>
      </c>
      <c r="D139" s="236"/>
      <c r="E139" s="236"/>
      <c r="F139" s="236"/>
      <c r="G139" s="236"/>
      <c r="H139" s="40">
        <f>SUM(Tabla132112416[[#This Row],[PRIMER TRIMESTRE]:[CUARTO TRIMESTRE]])</f>
        <v>0</v>
      </c>
      <c r="I139" s="17">
        <v>5000</v>
      </c>
      <c r="J139" s="17">
        <f t="shared" si="2"/>
        <v>0</v>
      </c>
      <c r="K139" s="17"/>
      <c r="L139" s="16" t="s">
        <v>27</v>
      </c>
      <c r="M139" s="16" t="s">
        <v>22</v>
      </c>
      <c r="N139" s="39" t="s">
        <v>418</v>
      </c>
    </row>
    <row r="140" spans="1:14" s="12" customFormat="1" ht="18">
      <c r="A140" s="180" t="s">
        <v>62</v>
      </c>
      <c r="B140" s="77" t="s">
        <v>437</v>
      </c>
      <c r="C140" s="70" t="s">
        <v>17</v>
      </c>
      <c r="D140" s="210"/>
      <c r="E140" s="210"/>
      <c r="F140" s="210"/>
      <c r="G140" s="210"/>
      <c r="H140" s="406">
        <f>SUM(Tabla132112416[[#This Row],[PRIMER TRIMESTRE]:[CUARTO TRIMESTRE]])</f>
        <v>0</v>
      </c>
      <c r="I140" s="17">
        <v>125</v>
      </c>
      <c r="J140" s="17">
        <f>+Tabla132112416[[#This Row],[CANTIDAD TOTAL]]*Tabla132112416[[#This Row],[PRECIO UNITARIO ESTIMADO]]</f>
        <v>0</v>
      </c>
      <c r="K140" s="17"/>
      <c r="L140" s="16" t="s">
        <v>27</v>
      </c>
      <c r="M140" s="16" t="s">
        <v>22</v>
      </c>
      <c r="N140" s="39" t="s">
        <v>418</v>
      </c>
    </row>
    <row r="141" spans="1:14" s="12" customFormat="1" ht="18">
      <c r="A141" s="180" t="s">
        <v>62</v>
      </c>
      <c r="B141" s="77" t="s">
        <v>438</v>
      </c>
      <c r="C141" s="70" t="s">
        <v>17</v>
      </c>
      <c r="D141" s="210"/>
      <c r="E141" s="210"/>
      <c r="F141" s="210"/>
      <c r="G141" s="210"/>
      <c r="H141" s="406">
        <f>SUM(Tabla132112416[[#This Row],[PRIMER TRIMESTRE]:[CUARTO TRIMESTRE]])</f>
        <v>0</v>
      </c>
      <c r="I141" s="17">
        <v>80</v>
      </c>
      <c r="J141" s="17">
        <f>+Tabla132112416[[#This Row],[CANTIDAD TOTAL]]*Tabla132112416[[#This Row],[PRECIO UNITARIO ESTIMADO]]</f>
        <v>0</v>
      </c>
      <c r="K141" s="17"/>
      <c r="L141" s="16" t="s">
        <v>27</v>
      </c>
      <c r="M141" s="16" t="s">
        <v>22</v>
      </c>
      <c r="N141" s="39" t="s">
        <v>418</v>
      </c>
    </row>
    <row r="142" spans="1:14" s="12" customFormat="1" ht="18">
      <c r="A142" s="180" t="s">
        <v>62</v>
      </c>
      <c r="B142" s="77" t="s">
        <v>430</v>
      </c>
      <c r="C142" s="70" t="s">
        <v>17</v>
      </c>
      <c r="D142" s="210"/>
      <c r="E142" s="210"/>
      <c r="F142" s="210"/>
      <c r="G142" s="210"/>
      <c r="H142" s="406">
        <f>SUM(Tabla132112416[[#This Row],[PRIMER TRIMESTRE]:[CUARTO TRIMESTRE]])</f>
        <v>0</v>
      </c>
      <c r="I142" s="17">
        <v>46.8</v>
      </c>
      <c r="J142" s="17">
        <f>+Tabla132112416[[#This Row],[CANTIDAD TOTAL]]*Tabla132112416[[#This Row],[PRECIO UNITARIO ESTIMADO]]</f>
        <v>0</v>
      </c>
      <c r="K142" s="17"/>
      <c r="L142" s="16" t="s">
        <v>27</v>
      </c>
      <c r="M142" s="16" t="s">
        <v>22</v>
      </c>
      <c r="N142" s="39" t="s">
        <v>418</v>
      </c>
    </row>
    <row r="143" spans="1:14" s="12" customFormat="1" ht="18">
      <c r="A143" s="180" t="s">
        <v>62</v>
      </c>
      <c r="B143" s="77" t="s">
        <v>139</v>
      </c>
      <c r="C143" s="70" t="s">
        <v>17</v>
      </c>
      <c r="D143" s="210"/>
      <c r="E143" s="210"/>
      <c r="F143" s="210"/>
      <c r="G143" s="210"/>
      <c r="H143" s="406">
        <f>SUM(Tabla132112416[[#This Row],[PRIMER TRIMESTRE]:[CUARTO TRIMESTRE]])</f>
        <v>0</v>
      </c>
      <c r="I143" s="17">
        <v>180</v>
      </c>
      <c r="J143" s="17">
        <f>+Tabla132112416[[#This Row],[CANTIDAD TOTAL]]*Tabla132112416[[#This Row],[PRECIO UNITARIO ESTIMADO]]</f>
        <v>0</v>
      </c>
      <c r="K143" s="17"/>
      <c r="L143" s="16" t="s">
        <v>27</v>
      </c>
      <c r="M143" s="16" t="s">
        <v>22</v>
      </c>
      <c r="N143" s="39" t="s">
        <v>418</v>
      </c>
    </row>
    <row r="144" spans="1:14" s="12" customFormat="1" ht="18">
      <c r="A144" s="180" t="s">
        <v>62</v>
      </c>
      <c r="B144" s="75" t="s">
        <v>1170</v>
      </c>
      <c r="C144" s="39" t="s">
        <v>1162</v>
      </c>
      <c r="D144" s="236"/>
      <c r="E144" s="236"/>
      <c r="F144" s="236"/>
      <c r="G144" s="236"/>
      <c r="H144" s="40">
        <f>SUM(Tabla132112416[[#This Row],[PRIMER TRIMESTRE]:[CUARTO TRIMESTRE]])</f>
        <v>0</v>
      </c>
      <c r="I144" s="17">
        <v>11000</v>
      </c>
      <c r="J144" s="17">
        <f>+H144*I144</f>
        <v>0</v>
      </c>
      <c r="K144" s="17"/>
      <c r="L144" s="16" t="s">
        <v>27</v>
      </c>
      <c r="M144" s="16" t="s">
        <v>22</v>
      </c>
      <c r="N144" s="39" t="s">
        <v>418</v>
      </c>
    </row>
    <row r="145" spans="1:14" s="169" customFormat="1" ht="18">
      <c r="A145" s="180" t="s">
        <v>62</v>
      </c>
      <c r="B145" s="75" t="s">
        <v>1171</v>
      </c>
      <c r="C145" s="39" t="s">
        <v>1162</v>
      </c>
      <c r="D145" s="236"/>
      <c r="E145" s="236"/>
      <c r="F145" s="236"/>
      <c r="G145" s="236"/>
      <c r="H145" s="40">
        <f>SUM(Tabla132112416[[#This Row],[PRIMER TRIMESTRE]:[CUARTO TRIMESTRE]])</f>
        <v>0</v>
      </c>
      <c r="I145" s="17">
        <v>11000</v>
      </c>
      <c r="J145" s="17">
        <f>+H145*I145</f>
        <v>0</v>
      </c>
      <c r="K145" s="17"/>
      <c r="L145" s="16" t="s">
        <v>27</v>
      </c>
      <c r="M145" s="16" t="s">
        <v>22</v>
      </c>
      <c r="N145" s="39" t="s">
        <v>418</v>
      </c>
    </row>
    <row r="146" spans="1:14" s="169" customFormat="1" ht="18">
      <c r="A146" s="180" t="s">
        <v>62</v>
      </c>
      <c r="B146" s="75" t="s">
        <v>1344</v>
      </c>
      <c r="C146" s="70" t="s">
        <v>17</v>
      </c>
      <c r="D146" s="236"/>
      <c r="E146" s="236"/>
      <c r="F146" s="236"/>
      <c r="G146" s="236"/>
      <c r="H146" s="40">
        <f>SUM(Tabla132112416[[#This Row],[PRIMER TRIMESTRE]:[CUARTO TRIMESTRE]])</f>
        <v>0</v>
      </c>
      <c r="I146" s="17">
        <v>29.5</v>
      </c>
      <c r="J146" s="17">
        <f>+H146*I146</f>
        <v>0</v>
      </c>
      <c r="K146" s="17"/>
      <c r="L146" s="16" t="s">
        <v>27</v>
      </c>
      <c r="M146" s="16" t="s">
        <v>22</v>
      </c>
      <c r="N146" s="39" t="s">
        <v>418</v>
      </c>
    </row>
    <row r="147" spans="1:14" s="12" customFormat="1" ht="18">
      <c r="A147" s="180" t="s">
        <v>62</v>
      </c>
      <c r="B147" s="75" t="s">
        <v>1710</v>
      </c>
      <c r="C147" s="70" t="s">
        <v>17</v>
      </c>
      <c r="D147" s="236"/>
      <c r="E147" s="236"/>
      <c r="F147" s="236"/>
      <c r="G147" s="236"/>
      <c r="H147" s="40">
        <v>0</v>
      </c>
      <c r="I147" s="17">
        <v>0</v>
      </c>
      <c r="J147" s="17">
        <v>0</v>
      </c>
      <c r="K147" s="17"/>
      <c r="L147" s="16" t="s">
        <v>27</v>
      </c>
      <c r="M147" s="16" t="s">
        <v>22</v>
      </c>
      <c r="N147" s="70" t="s">
        <v>418</v>
      </c>
    </row>
    <row r="148" spans="1:14" s="12" customFormat="1" ht="18">
      <c r="A148" s="180" t="s">
        <v>62</v>
      </c>
      <c r="B148" s="77" t="s">
        <v>107</v>
      </c>
      <c r="C148" s="70" t="s">
        <v>17</v>
      </c>
      <c r="D148" s="210"/>
      <c r="E148" s="210"/>
      <c r="F148" s="210"/>
      <c r="G148" s="210"/>
      <c r="H148" s="406">
        <f>SUM(Tabla132112416[[#This Row],[PRIMER TRIMESTRE]:[CUARTO TRIMESTRE]])</f>
        <v>0</v>
      </c>
      <c r="I148" s="72">
        <v>86.24</v>
      </c>
      <c r="J148" s="72">
        <f>+Tabla132112416[[#This Row],[CANTIDAD TOTAL]]*Tabla132112416[[#This Row],[PRECIO UNITARIO ESTIMADO]]</f>
        <v>0</v>
      </c>
      <c r="K148" s="72"/>
      <c r="L148" s="16" t="s">
        <v>27</v>
      </c>
      <c r="M148" s="16" t="s">
        <v>22</v>
      </c>
      <c r="N148" s="70" t="s">
        <v>418</v>
      </c>
    </row>
    <row r="149" spans="1:14" s="12" customFormat="1" ht="18">
      <c r="A149" s="180" t="s">
        <v>62</v>
      </c>
      <c r="B149" s="77" t="s">
        <v>598</v>
      </c>
      <c r="C149" s="70" t="s">
        <v>17</v>
      </c>
      <c r="D149" s="210"/>
      <c r="E149" s="210"/>
      <c r="F149" s="210"/>
      <c r="G149" s="210"/>
      <c r="H149" s="406">
        <f>SUM(Tabla132112416[[#This Row],[PRIMER TRIMESTRE]:[CUARTO TRIMESTRE]])</f>
        <v>0</v>
      </c>
      <c r="I149" s="17">
        <v>153.05000000000001</v>
      </c>
      <c r="J149" s="17">
        <f>+Tabla132112416[[#This Row],[CANTIDAD TOTAL]]*Tabla132112416[[#This Row],[PRECIO UNITARIO ESTIMADO]]</f>
        <v>0</v>
      </c>
      <c r="K149" s="17"/>
      <c r="L149" s="16" t="s">
        <v>27</v>
      </c>
      <c r="M149" s="16" t="s">
        <v>22</v>
      </c>
      <c r="N149" s="39" t="s">
        <v>418</v>
      </c>
    </row>
    <row r="150" spans="1:14" s="12" customFormat="1" ht="18">
      <c r="A150" s="180" t="s">
        <v>62</v>
      </c>
      <c r="B150" s="77" t="s">
        <v>599</v>
      </c>
      <c r="C150" s="70" t="s">
        <v>17</v>
      </c>
      <c r="D150" s="210"/>
      <c r="E150" s="210"/>
      <c r="F150" s="210"/>
      <c r="G150" s="210"/>
      <c r="H150" s="406">
        <f>SUM(Tabla132112416[[#This Row],[PRIMER TRIMESTRE]:[CUARTO TRIMESTRE]])</f>
        <v>0</v>
      </c>
      <c r="I150" s="17">
        <v>72.88</v>
      </c>
      <c r="J150" s="17">
        <f>+H150*I150</f>
        <v>0</v>
      </c>
      <c r="K150" s="17"/>
      <c r="L150" s="16" t="s">
        <v>27</v>
      </c>
      <c r="M150" s="16" t="s">
        <v>22</v>
      </c>
      <c r="N150" s="39" t="s">
        <v>418</v>
      </c>
    </row>
    <row r="151" spans="1:14" s="12" customFormat="1" ht="18">
      <c r="A151" s="180" t="s">
        <v>62</v>
      </c>
      <c r="B151" s="77" t="s">
        <v>600</v>
      </c>
      <c r="C151" s="70" t="s">
        <v>17</v>
      </c>
      <c r="D151" s="210"/>
      <c r="E151" s="210"/>
      <c r="F151" s="210"/>
      <c r="G151" s="210"/>
      <c r="H151" s="406">
        <f>SUM(Tabla132112416[[#This Row],[PRIMER TRIMESTRE]:[CUARTO TRIMESTRE]])</f>
        <v>0</v>
      </c>
      <c r="I151" s="17">
        <v>86</v>
      </c>
      <c r="J151" s="17">
        <f>+Tabla132112416[[#This Row],[CANTIDAD TOTAL]]*Tabla132112416[[#This Row],[PRECIO UNITARIO ESTIMADO]]</f>
        <v>0</v>
      </c>
      <c r="K151" s="17"/>
      <c r="L151" s="16" t="s">
        <v>27</v>
      </c>
      <c r="M151" s="16" t="s">
        <v>22</v>
      </c>
      <c r="N151" s="39" t="s">
        <v>418</v>
      </c>
    </row>
    <row r="152" spans="1:14" s="12" customFormat="1" ht="18">
      <c r="A152" s="180" t="s">
        <v>62</v>
      </c>
      <c r="B152" s="77" t="s">
        <v>601</v>
      </c>
      <c r="C152" s="70" t="s">
        <v>17</v>
      </c>
      <c r="D152" s="210"/>
      <c r="E152" s="210"/>
      <c r="F152" s="210"/>
      <c r="G152" s="210"/>
      <c r="H152" s="406">
        <f>SUM(Tabla132112416[[#This Row],[PRIMER TRIMESTRE]:[CUARTO TRIMESTRE]])</f>
        <v>0</v>
      </c>
      <c r="I152" s="17">
        <v>158.88</v>
      </c>
      <c r="J152" s="17">
        <f>+H152*I152</f>
        <v>0</v>
      </c>
      <c r="K152" s="17"/>
      <c r="L152" s="16" t="s">
        <v>27</v>
      </c>
      <c r="M152" s="16" t="s">
        <v>22</v>
      </c>
      <c r="N152" s="39" t="s">
        <v>418</v>
      </c>
    </row>
    <row r="153" spans="1:14" s="12" customFormat="1" ht="18">
      <c r="A153" s="180" t="s">
        <v>62</v>
      </c>
      <c r="B153" s="75" t="s">
        <v>1160</v>
      </c>
      <c r="C153" s="39" t="s">
        <v>1162</v>
      </c>
      <c r="D153" s="236"/>
      <c r="E153" s="236"/>
      <c r="F153" s="236"/>
      <c r="G153" s="236"/>
      <c r="H153" s="40">
        <f>SUM(Tabla132112416[[#This Row],[PRIMER TRIMESTRE]:[CUARTO TRIMESTRE]])</f>
        <v>0</v>
      </c>
      <c r="I153" s="17">
        <v>2000</v>
      </c>
      <c r="J153" s="17">
        <f>+H153*I153</f>
        <v>0</v>
      </c>
      <c r="K153" s="17"/>
      <c r="L153" s="16" t="s">
        <v>27</v>
      </c>
      <c r="M153" s="16" t="s">
        <v>22</v>
      </c>
      <c r="N153" s="39" t="s">
        <v>418</v>
      </c>
    </row>
    <row r="154" spans="1:14" s="12" customFormat="1" ht="18">
      <c r="A154" s="180" t="s">
        <v>62</v>
      </c>
      <c r="B154" s="75" t="s">
        <v>1161</v>
      </c>
      <c r="C154" s="39" t="s">
        <v>1162</v>
      </c>
      <c r="D154" s="236"/>
      <c r="E154" s="236"/>
      <c r="F154" s="236"/>
      <c r="G154" s="236"/>
      <c r="H154" s="40">
        <f>SUM(Tabla132112416[[#This Row],[PRIMER TRIMESTRE]:[CUARTO TRIMESTRE]])</f>
        <v>0</v>
      </c>
      <c r="I154" s="17">
        <v>2000</v>
      </c>
      <c r="J154" s="17">
        <f>+H154*I154</f>
        <v>0</v>
      </c>
      <c r="K154" s="17"/>
      <c r="L154" s="16" t="s">
        <v>27</v>
      </c>
      <c r="M154" s="16" t="s">
        <v>22</v>
      </c>
      <c r="N154" s="39" t="s">
        <v>418</v>
      </c>
    </row>
    <row r="155" spans="1:14" s="12" customFormat="1" ht="18">
      <c r="A155" s="180" t="s">
        <v>62</v>
      </c>
      <c r="B155" s="75" t="s">
        <v>1849</v>
      </c>
      <c r="C155" s="39" t="s">
        <v>17</v>
      </c>
      <c r="D155" s="236"/>
      <c r="E155" s="236"/>
      <c r="F155" s="236"/>
      <c r="G155" s="236"/>
      <c r="H155" s="40">
        <v>0</v>
      </c>
      <c r="I155" s="17">
        <v>0</v>
      </c>
      <c r="J155" s="17">
        <v>0</v>
      </c>
      <c r="K155" s="17"/>
      <c r="L155" s="16" t="s">
        <v>27</v>
      </c>
      <c r="M155" s="16" t="s">
        <v>22</v>
      </c>
      <c r="N155" s="39" t="s">
        <v>418</v>
      </c>
    </row>
    <row r="156" spans="1:14" s="12" customFormat="1" ht="18">
      <c r="A156" s="180" t="s">
        <v>62</v>
      </c>
      <c r="B156" s="77" t="s">
        <v>1705</v>
      </c>
      <c r="C156" s="70" t="s">
        <v>17</v>
      </c>
      <c r="D156" s="236"/>
      <c r="E156" s="236"/>
      <c r="F156" s="236"/>
      <c r="G156" s="236"/>
      <c r="H156" s="40">
        <v>0</v>
      </c>
      <c r="I156" s="17">
        <v>0</v>
      </c>
      <c r="J156" s="17">
        <v>0</v>
      </c>
      <c r="K156" s="17"/>
      <c r="L156" s="16" t="s">
        <v>27</v>
      </c>
      <c r="M156" s="16" t="s">
        <v>22</v>
      </c>
      <c r="N156" s="39" t="s">
        <v>418</v>
      </c>
    </row>
    <row r="157" spans="1:14" s="12" customFormat="1" ht="18">
      <c r="A157" s="180" t="s">
        <v>62</v>
      </c>
      <c r="B157" s="77" t="s">
        <v>144</v>
      </c>
      <c r="C157" s="70" t="s">
        <v>17</v>
      </c>
      <c r="D157" s="210"/>
      <c r="E157" s="210"/>
      <c r="F157" s="210"/>
      <c r="G157" s="210"/>
      <c r="H157" s="406">
        <f>SUM(Tabla132112416[[#This Row],[PRIMER TRIMESTRE]:[CUARTO TRIMESTRE]])</f>
        <v>0</v>
      </c>
      <c r="I157" s="17">
        <v>62.87</v>
      </c>
      <c r="J157" s="17">
        <f>+Tabla132112416[[#This Row],[CANTIDAD TOTAL]]*Tabla132112416[[#This Row],[PRECIO UNITARIO ESTIMADO]]</f>
        <v>0</v>
      </c>
      <c r="K157" s="17"/>
      <c r="L157" s="16" t="s">
        <v>27</v>
      </c>
      <c r="M157" s="16" t="s">
        <v>22</v>
      </c>
      <c r="N157" s="39" t="s">
        <v>418</v>
      </c>
    </row>
    <row r="158" spans="1:14" s="12" customFormat="1" ht="18">
      <c r="A158" s="180" t="s">
        <v>62</v>
      </c>
      <c r="B158" s="77" t="s">
        <v>1707</v>
      </c>
      <c r="C158" s="70" t="s">
        <v>17</v>
      </c>
      <c r="D158" s="210"/>
      <c r="E158" s="210"/>
      <c r="F158" s="210"/>
      <c r="G158" s="210"/>
      <c r="H158" s="406">
        <v>0</v>
      </c>
      <c r="I158" s="17">
        <v>0</v>
      </c>
      <c r="J158" s="17">
        <v>0</v>
      </c>
      <c r="K158" s="17"/>
      <c r="L158" s="16" t="s">
        <v>27</v>
      </c>
      <c r="M158" s="16" t="s">
        <v>22</v>
      </c>
      <c r="N158" s="39" t="s">
        <v>418</v>
      </c>
    </row>
    <row r="159" spans="1:14" s="12" customFormat="1" ht="18">
      <c r="A159" s="180" t="s">
        <v>62</v>
      </c>
      <c r="B159" s="77" t="s">
        <v>1708</v>
      </c>
      <c r="C159" s="70" t="s">
        <v>17</v>
      </c>
      <c r="D159" s="210"/>
      <c r="E159" s="210"/>
      <c r="F159" s="210"/>
      <c r="G159" s="210"/>
      <c r="H159" s="406">
        <v>0</v>
      </c>
      <c r="I159" s="17">
        <v>0</v>
      </c>
      <c r="J159" s="17">
        <v>0</v>
      </c>
      <c r="K159" s="17"/>
      <c r="L159" s="16" t="s">
        <v>27</v>
      </c>
      <c r="M159" s="16" t="s">
        <v>22</v>
      </c>
      <c r="N159" s="39" t="s">
        <v>418</v>
      </c>
    </row>
    <row r="160" spans="1:14" s="12" customFormat="1" ht="18">
      <c r="A160" s="180" t="s">
        <v>62</v>
      </c>
      <c r="B160" s="75" t="s">
        <v>1172</v>
      </c>
      <c r="C160" s="39" t="s">
        <v>1162</v>
      </c>
      <c r="D160" s="236"/>
      <c r="E160" s="236"/>
      <c r="F160" s="236"/>
      <c r="G160" s="236"/>
      <c r="H160" s="40">
        <f>SUM(Tabla132112416[[#This Row],[PRIMER TRIMESTRE]:[CUARTO TRIMESTRE]])</f>
        <v>0</v>
      </c>
      <c r="I160" s="17">
        <v>7800</v>
      </c>
      <c r="J160" s="17">
        <f t="shared" ref="J160:J169" si="3">+H160*I160</f>
        <v>0</v>
      </c>
      <c r="K160" s="17"/>
      <c r="L160" s="16" t="s">
        <v>27</v>
      </c>
      <c r="M160" s="16" t="s">
        <v>22</v>
      </c>
      <c r="N160" s="39" t="s">
        <v>418</v>
      </c>
    </row>
    <row r="161" spans="1:14" s="12" customFormat="1" ht="18">
      <c r="A161" s="180" t="s">
        <v>62</v>
      </c>
      <c r="B161" s="75" t="s">
        <v>1173</v>
      </c>
      <c r="C161" s="39" t="s">
        <v>1162</v>
      </c>
      <c r="D161" s="236"/>
      <c r="E161" s="236"/>
      <c r="F161" s="236"/>
      <c r="G161" s="236"/>
      <c r="H161" s="40">
        <f>SUM(Tabla132112416[[#This Row],[PRIMER TRIMESTRE]:[CUARTO TRIMESTRE]])</f>
        <v>0</v>
      </c>
      <c r="I161" s="17">
        <v>7800</v>
      </c>
      <c r="J161" s="17">
        <f t="shared" si="3"/>
        <v>0</v>
      </c>
      <c r="K161" s="17"/>
      <c r="L161" s="16" t="s">
        <v>27</v>
      </c>
      <c r="M161" s="16" t="s">
        <v>22</v>
      </c>
      <c r="N161" s="39" t="s">
        <v>418</v>
      </c>
    </row>
    <row r="162" spans="1:14" s="12" customFormat="1" ht="18">
      <c r="A162" s="180" t="s">
        <v>62</v>
      </c>
      <c r="B162" s="75" t="s">
        <v>1174</v>
      </c>
      <c r="C162" s="39" t="s">
        <v>17</v>
      </c>
      <c r="D162" s="236"/>
      <c r="E162" s="236"/>
      <c r="F162" s="236"/>
      <c r="G162" s="236"/>
      <c r="H162" s="40">
        <f>SUM(Tabla132112416[[#This Row],[PRIMER TRIMESTRE]:[CUARTO TRIMESTRE]])</f>
        <v>0</v>
      </c>
      <c r="I162" s="17">
        <v>5500</v>
      </c>
      <c r="J162" s="17">
        <f t="shared" si="3"/>
        <v>0</v>
      </c>
      <c r="K162" s="17"/>
      <c r="L162" s="16" t="s">
        <v>27</v>
      </c>
      <c r="M162" s="16" t="s">
        <v>22</v>
      </c>
      <c r="N162" s="39" t="s">
        <v>418</v>
      </c>
    </row>
    <row r="163" spans="1:14" s="12" customFormat="1" ht="18">
      <c r="A163" s="180" t="s">
        <v>62</v>
      </c>
      <c r="B163" s="75" t="s">
        <v>1175</v>
      </c>
      <c r="C163" s="39" t="s">
        <v>17</v>
      </c>
      <c r="D163" s="236"/>
      <c r="E163" s="236"/>
      <c r="F163" s="236"/>
      <c r="G163" s="236"/>
      <c r="H163" s="40">
        <f>SUM(Tabla132112416[[#This Row],[PRIMER TRIMESTRE]:[CUARTO TRIMESTRE]])</f>
        <v>0</v>
      </c>
      <c r="I163" s="17">
        <v>7000</v>
      </c>
      <c r="J163" s="17">
        <f t="shared" si="3"/>
        <v>0</v>
      </c>
      <c r="K163" s="17"/>
      <c r="L163" s="16" t="s">
        <v>27</v>
      </c>
      <c r="M163" s="16" t="s">
        <v>22</v>
      </c>
      <c r="N163" s="39" t="s">
        <v>418</v>
      </c>
    </row>
    <row r="164" spans="1:14" s="12" customFormat="1" ht="18">
      <c r="A164" s="180" t="s">
        <v>62</v>
      </c>
      <c r="B164" s="75" t="s">
        <v>1176</v>
      </c>
      <c r="C164" s="39" t="s">
        <v>17</v>
      </c>
      <c r="D164" s="236"/>
      <c r="E164" s="236"/>
      <c r="F164" s="236"/>
      <c r="G164" s="236"/>
      <c r="H164" s="40">
        <f>SUM(Tabla132112416[[#This Row],[PRIMER TRIMESTRE]:[CUARTO TRIMESTRE]])</f>
        <v>0</v>
      </c>
      <c r="I164" s="17">
        <v>9000</v>
      </c>
      <c r="J164" s="17">
        <f t="shared" si="3"/>
        <v>0</v>
      </c>
      <c r="K164" s="17"/>
      <c r="L164" s="16" t="s">
        <v>27</v>
      </c>
      <c r="M164" s="16" t="s">
        <v>22</v>
      </c>
      <c r="N164" s="39" t="s">
        <v>418</v>
      </c>
    </row>
    <row r="165" spans="1:14" s="12" customFormat="1" ht="18">
      <c r="A165" s="180" t="s">
        <v>62</v>
      </c>
      <c r="B165" s="75" t="s">
        <v>1177</v>
      </c>
      <c r="C165" s="39" t="s">
        <v>17</v>
      </c>
      <c r="D165" s="236"/>
      <c r="E165" s="236"/>
      <c r="F165" s="236"/>
      <c r="G165" s="236"/>
      <c r="H165" s="40">
        <f>SUM(Tabla132112416[[#This Row],[PRIMER TRIMESTRE]:[CUARTO TRIMESTRE]])</f>
        <v>0</v>
      </c>
      <c r="I165" s="17">
        <v>11600</v>
      </c>
      <c r="J165" s="17">
        <f t="shared" si="3"/>
        <v>0</v>
      </c>
      <c r="K165" s="17"/>
      <c r="L165" s="16" t="s">
        <v>27</v>
      </c>
      <c r="M165" s="16" t="s">
        <v>22</v>
      </c>
      <c r="N165" s="39" t="s">
        <v>418</v>
      </c>
    </row>
    <row r="166" spans="1:14" s="12" customFormat="1" ht="18">
      <c r="A166" s="180" t="s">
        <v>62</v>
      </c>
      <c r="B166" s="75" t="s">
        <v>1178</v>
      </c>
      <c r="C166" s="39" t="s">
        <v>17</v>
      </c>
      <c r="D166" s="236"/>
      <c r="E166" s="236"/>
      <c r="F166" s="236"/>
      <c r="G166" s="236"/>
      <c r="H166" s="40">
        <f>SUM(Tabla132112416[[#This Row],[PRIMER TRIMESTRE]:[CUARTO TRIMESTRE]])</f>
        <v>0</v>
      </c>
      <c r="I166" s="17">
        <v>11600</v>
      </c>
      <c r="J166" s="17">
        <f t="shared" si="3"/>
        <v>0</v>
      </c>
      <c r="K166" s="17"/>
      <c r="L166" s="16" t="s">
        <v>27</v>
      </c>
      <c r="M166" s="16" t="s">
        <v>22</v>
      </c>
      <c r="N166" s="39" t="s">
        <v>418</v>
      </c>
    </row>
    <row r="167" spans="1:14" s="12" customFormat="1" ht="18">
      <c r="A167" s="180" t="s">
        <v>62</v>
      </c>
      <c r="B167" s="75" t="s">
        <v>1163</v>
      </c>
      <c r="C167" s="39" t="s">
        <v>17</v>
      </c>
      <c r="D167" s="236"/>
      <c r="E167" s="236"/>
      <c r="F167" s="236"/>
      <c r="G167" s="236"/>
      <c r="H167" s="40">
        <f>SUM(Tabla132112416[[#This Row],[PRIMER TRIMESTRE]:[CUARTO TRIMESTRE]])</f>
        <v>0</v>
      </c>
      <c r="I167" s="17">
        <v>400</v>
      </c>
      <c r="J167" s="17">
        <f t="shared" si="3"/>
        <v>0</v>
      </c>
      <c r="K167" s="17"/>
      <c r="L167" s="16" t="s">
        <v>27</v>
      </c>
      <c r="M167" s="16" t="s">
        <v>22</v>
      </c>
      <c r="N167" s="39" t="s">
        <v>418</v>
      </c>
    </row>
    <row r="168" spans="1:14" s="12" customFormat="1" ht="18">
      <c r="A168" s="180" t="s">
        <v>62</v>
      </c>
      <c r="B168" s="75" t="s">
        <v>1164</v>
      </c>
      <c r="C168" s="39" t="s">
        <v>17</v>
      </c>
      <c r="D168" s="236"/>
      <c r="E168" s="236"/>
      <c r="F168" s="236"/>
      <c r="G168" s="236"/>
      <c r="H168" s="40">
        <f>SUM(Tabla132112416[[#This Row],[PRIMER TRIMESTRE]:[CUARTO TRIMESTRE]])</f>
        <v>0</v>
      </c>
      <c r="I168" s="17">
        <v>650</v>
      </c>
      <c r="J168" s="17">
        <f t="shared" si="3"/>
        <v>0</v>
      </c>
      <c r="K168" s="17"/>
      <c r="L168" s="16" t="s">
        <v>27</v>
      </c>
      <c r="M168" s="16" t="s">
        <v>22</v>
      </c>
      <c r="N168" s="39" t="s">
        <v>418</v>
      </c>
    </row>
    <row r="169" spans="1:14" s="12" customFormat="1" ht="18">
      <c r="A169" s="180" t="s">
        <v>62</v>
      </c>
      <c r="B169" s="75" t="s">
        <v>1165</v>
      </c>
      <c r="C169" s="39" t="s">
        <v>17</v>
      </c>
      <c r="D169" s="236"/>
      <c r="E169" s="236"/>
      <c r="F169" s="236"/>
      <c r="G169" s="236"/>
      <c r="H169" s="40">
        <f>SUM(Tabla132112416[[#This Row],[PRIMER TRIMESTRE]:[CUARTO TRIMESTRE]])</f>
        <v>0</v>
      </c>
      <c r="I169" s="17">
        <v>1300</v>
      </c>
      <c r="J169" s="17">
        <f t="shared" si="3"/>
        <v>0</v>
      </c>
      <c r="K169" s="17"/>
      <c r="L169" s="16" t="s">
        <v>27</v>
      </c>
      <c r="M169" s="16" t="s">
        <v>22</v>
      </c>
      <c r="N169" s="39" t="s">
        <v>418</v>
      </c>
    </row>
    <row r="170" spans="1:14" s="12" customFormat="1" ht="18">
      <c r="A170" s="180" t="s">
        <v>62</v>
      </c>
      <c r="B170" s="77" t="s">
        <v>158</v>
      </c>
      <c r="C170" s="70" t="s">
        <v>17</v>
      </c>
      <c r="D170" s="210"/>
      <c r="E170" s="210"/>
      <c r="F170" s="210"/>
      <c r="G170" s="210"/>
      <c r="H170" s="406">
        <f>SUM(Tabla132112416[[#This Row],[PRIMER TRIMESTRE]:[CUARTO TRIMESTRE]])</f>
        <v>0</v>
      </c>
      <c r="I170" s="17">
        <v>1120</v>
      </c>
      <c r="J170" s="17">
        <f>+Tabla132112416[[#This Row],[CANTIDAD TOTAL]]*Tabla132112416[[#This Row],[PRECIO UNITARIO ESTIMADO]]</f>
        <v>0</v>
      </c>
      <c r="K170" s="17"/>
      <c r="L170" s="16" t="s">
        <v>27</v>
      </c>
      <c r="M170" s="16" t="s">
        <v>22</v>
      </c>
      <c r="N170" s="39" t="s">
        <v>418</v>
      </c>
    </row>
    <row r="171" spans="1:14" s="12" customFormat="1" ht="18">
      <c r="A171" s="180" t="s">
        <v>62</v>
      </c>
      <c r="B171" s="77" t="s">
        <v>1287</v>
      </c>
      <c r="C171" s="70" t="s">
        <v>17</v>
      </c>
      <c r="D171" s="210"/>
      <c r="E171" s="210"/>
      <c r="F171" s="210"/>
      <c r="G171" s="210"/>
      <c r="H171" s="406">
        <f>SUM(Tabla132112416[[#This Row],[PRIMER TRIMESTRE]:[CUARTO TRIMESTRE]])</f>
        <v>0</v>
      </c>
      <c r="I171" s="17">
        <v>2700</v>
      </c>
      <c r="J171" s="17">
        <f>+H171*I171</f>
        <v>0</v>
      </c>
      <c r="K171" s="17"/>
      <c r="L171" s="16" t="s">
        <v>27</v>
      </c>
      <c r="M171" s="16" t="s">
        <v>22</v>
      </c>
      <c r="N171" s="39" t="s">
        <v>418</v>
      </c>
    </row>
    <row r="172" spans="1:14" s="12" customFormat="1" ht="18">
      <c r="A172" s="180" t="s">
        <v>62</v>
      </c>
      <c r="B172" s="77" t="s">
        <v>160</v>
      </c>
      <c r="C172" s="70" t="s">
        <v>17</v>
      </c>
      <c r="D172" s="210"/>
      <c r="E172" s="210"/>
      <c r="F172" s="210"/>
      <c r="G172" s="210"/>
      <c r="H172" s="406">
        <f>SUM(Tabla132112416[[#This Row],[PRIMER TRIMESTRE]:[CUARTO TRIMESTRE]])</f>
        <v>0</v>
      </c>
      <c r="I172" s="17">
        <v>1908</v>
      </c>
      <c r="J172" s="17">
        <f>+Tabla132112416[[#This Row],[CANTIDAD TOTAL]]*Tabla132112416[[#This Row],[PRECIO UNITARIO ESTIMADO]]</f>
        <v>0</v>
      </c>
      <c r="K172" s="17"/>
      <c r="L172" s="16" t="s">
        <v>27</v>
      </c>
      <c r="M172" s="16" t="s">
        <v>22</v>
      </c>
      <c r="N172" s="39" t="s">
        <v>418</v>
      </c>
    </row>
    <row r="173" spans="1:14" s="12" customFormat="1" ht="18">
      <c r="A173" s="180" t="s">
        <v>62</v>
      </c>
      <c r="B173" s="77" t="s">
        <v>1545</v>
      </c>
      <c r="C173" s="70" t="s">
        <v>17</v>
      </c>
      <c r="D173" s="210"/>
      <c r="E173" s="210"/>
      <c r="F173" s="210"/>
      <c r="G173" s="210"/>
      <c r="H173" s="406">
        <f>SUM(Tabla132112416[[#This Row],[PRIMER TRIMESTRE]:[CUARTO TRIMESTRE]])</f>
        <v>0</v>
      </c>
      <c r="I173" s="17">
        <v>506.75</v>
      </c>
      <c r="J173" s="17">
        <f>+H173*I173</f>
        <v>0</v>
      </c>
      <c r="K173" s="17"/>
      <c r="L173" s="16" t="s">
        <v>27</v>
      </c>
      <c r="M173" s="16" t="s">
        <v>22</v>
      </c>
      <c r="N173" s="39" t="s">
        <v>418</v>
      </c>
    </row>
    <row r="174" spans="1:14" s="12" customFormat="1" ht="18">
      <c r="A174" s="180" t="s">
        <v>62</v>
      </c>
      <c r="B174" s="77" t="s">
        <v>162</v>
      </c>
      <c r="C174" s="70" t="s">
        <v>17</v>
      </c>
      <c r="D174" s="210"/>
      <c r="E174" s="210"/>
      <c r="F174" s="210"/>
      <c r="G174" s="210"/>
      <c r="H174" s="406">
        <f>SUM(Tabla132112416[[#This Row],[PRIMER TRIMESTRE]:[CUARTO TRIMESTRE]])</f>
        <v>0</v>
      </c>
      <c r="I174" s="17">
        <v>29</v>
      </c>
      <c r="J174" s="17">
        <f>+Tabla132112416[[#This Row],[CANTIDAD TOTAL]]*Tabla132112416[[#This Row],[PRECIO UNITARIO ESTIMADO]]</f>
        <v>0</v>
      </c>
      <c r="K174" s="17"/>
      <c r="L174" s="16" t="s">
        <v>27</v>
      </c>
      <c r="M174" s="16" t="s">
        <v>22</v>
      </c>
      <c r="N174" s="39" t="s">
        <v>418</v>
      </c>
    </row>
    <row r="175" spans="1:14" s="12" customFormat="1" ht="18">
      <c r="A175" s="180" t="s">
        <v>62</v>
      </c>
      <c r="B175" s="77" t="s">
        <v>368</v>
      </c>
      <c r="C175" s="70" t="s">
        <v>17</v>
      </c>
      <c r="D175" s="210"/>
      <c r="E175" s="210"/>
      <c r="F175" s="210"/>
      <c r="G175" s="210"/>
      <c r="H175" s="406">
        <f>SUM(Tabla132112416[[#This Row],[PRIMER TRIMESTRE]:[CUARTO TRIMESTRE]])</f>
        <v>0</v>
      </c>
      <c r="I175" s="17">
        <v>75.400000000000006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</row>
    <row r="176" spans="1:14" s="12" customFormat="1" ht="18">
      <c r="A176" s="180" t="s">
        <v>62</v>
      </c>
      <c r="B176" s="77" t="s">
        <v>602</v>
      </c>
      <c r="C176" s="70" t="s">
        <v>17</v>
      </c>
      <c r="D176" s="210"/>
      <c r="E176" s="210"/>
      <c r="F176" s="210"/>
      <c r="G176" s="210"/>
      <c r="H176" s="406">
        <f>SUM(Tabla132112416[[#This Row],[PRIMER TRIMESTRE]:[CUARTO TRIMESTRE]])</f>
        <v>0</v>
      </c>
      <c r="I176" s="17">
        <v>90</v>
      </c>
      <c r="J176" s="17">
        <f>+H176*I176</f>
        <v>0</v>
      </c>
      <c r="K176" s="17"/>
      <c r="L176" s="16" t="s">
        <v>27</v>
      </c>
      <c r="M176" s="16" t="s">
        <v>22</v>
      </c>
      <c r="N176" s="39" t="s">
        <v>418</v>
      </c>
    </row>
    <row r="177" spans="1:14" s="12" customFormat="1" ht="18">
      <c r="A177" s="180" t="s">
        <v>62</v>
      </c>
      <c r="B177" s="77" t="s">
        <v>164</v>
      </c>
      <c r="C177" s="70" t="s">
        <v>17</v>
      </c>
      <c r="D177" s="210"/>
      <c r="E177" s="210"/>
      <c r="F177" s="210"/>
      <c r="G177" s="210"/>
      <c r="H177" s="406">
        <f>SUM(Tabla132112416[[#This Row],[PRIMER TRIMESTRE]:[CUARTO TRIMESTRE]])</f>
        <v>0</v>
      </c>
      <c r="I177" s="17">
        <v>3419.05</v>
      </c>
      <c r="J177" s="17">
        <f>+Tabla132112416[[#This Row],[CANTIDAD TOTAL]]*Tabla132112416[[#This Row],[PRECIO UNITARIO ESTIMADO]]</f>
        <v>0</v>
      </c>
      <c r="K177" s="17"/>
      <c r="L177" s="16" t="s">
        <v>27</v>
      </c>
      <c r="M177" s="16" t="s">
        <v>22</v>
      </c>
      <c r="N177" s="39" t="s">
        <v>418</v>
      </c>
    </row>
    <row r="178" spans="1:14" s="12" customFormat="1" ht="18">
      <c r="A178" s="180" t="s">
        <v>62</v>
      </c>
      <c r="B178" s="75" t="s">
        <v>1166</v>
      </c>
      <c r="C178" s="39" t="s">
        <v>17</v>
      </c>
      <c r="D178" s="236"/>
      <c r="E178" s="236"/>
      <c r="F178" s="236"/>
      <c r="G178" s="236"/>
      <c r="H178" s="40">
        <f>SUM(Tabla132112416[[#This Row],[PRIMER TRIMESTRE]:[CUARTO TRIMESTRE]])</f>
        <v>0</v>
      </c>
      <c r="I178" s="17">
        <v>400</v>
      </c>
      <c r="J178" s="17">
        <f>+H178*I178</f>
        <v>0</v>
      </c>
      <c r="K178" s="17"/>
      <c r="L178" s="16" t="s">
        <v>27</v>
      </c>
      <c r="M178" s="16" t="s">
        <v>22</v>
      </c>
      <c r="N178" s="39" t="s">
        <v>418</v>
      </c>
    </row>
    <row r="179" spans="1:14" s="12" customFormat="1" ht="18">
      <c r="A179" s="180" t="s">
        <v>62</v>
      </c>
      <c r="B179" s="75" t="s">
        <v>1167</v>
      </c>
      <c r="C179" s="39" t="s">
        <v>17</v>
      </c>
      <c r="D179" s="236"/>
      <c r="E179" s="236"/>
      <c r="F179" s="236"/>
      <c r="G179" s="236"/>
      <c r="H179" s="40">
        <f>SUM(Tabla132112416[[#This Row],[PRIMER TRIMESTRE]:[CUARTO TRIMESTRE]])</f>
        <v>0</v>
      </c>
      <c r="I179" s="17">
        <v>1300</v>
      </c>
      <c r="J179" s="17">
        <f>+H179*I179</f>
        <v>0</v>
      </c>
      <c r="K179" s="17"/>
      <c r="L179" s="16" t="s">
        <v>27</v>
      </c>
      <c r="M179" s="16" t="s">
        <v>22</v>
      </c>
      <c r="N179" s="39" t="s">
        <v>418</v>
      </c>
    </row>
    <row r="180" spans="1:14" s="12" customFormat="1" ht="18">
      <c r="A180" s="180" t="s">
        <v>62</v>
      </c>
      <c r="B180" s="77" t="s">
        <v>462</v>
      </c>
      <c r="C180" s="70" t="s">
        <v>17</v>
      </c>
      <c r="D180" s="210"/>
      <c r="E180" s="210"/>
      <c r="F180" s="210"/>
      <c r="G180" s="210"/>
      <c r="H180" s="406">
        <f>SUM(Tabla132112416[[#This Row],[PRIMER TRIMESTRE]:[CUARTO TRIMESTRE]])</f>
        <v>0</v>
      </c>
      <c r="I180" s="17">
        <v>1896.06</v>
      </c>
      <c r="J180" s="17">
        <f>+H180*I180</f>
        <v>0</v>
      </c>
      <c r="K180" s="17"/>
      <c r="L180" s="16" t="s">
        <v>27</v>
      </c>
      <c r="M180" s="16" t="s">
        <v>22</v>
      </c>
      <c r="N180" s="39" t="s">
        <v>418</v>
      </c>
    </row>
    <row r="181" spans="1:14" s="12" customFormat="1" ht="18">
      <c r="A181" s="180" t="s">
        <v>62</v>
      </c>
      <c r="B181" s="77" t="s">
        <v>463</v>
      </c>
      <c r="C181" s="70" t="s">
        <v>17</v>
      </c>
      <c r="D181" s="210"/>
      <c r="E181" s="210"/>
      <c r="F181" s="210"/>
      <c r="G181" s="210"/>
      <c r="H181" s="406">
        <f>SUM(Tabla132112416[[#This Row],[PRIMER TRIMESTRE]:[CUARTO TRIMESTRE]])</f>
        <v>0</v>
      </c>
      <c r="I181" s="17">
        <v>2320</v>
      </c>
      <c r="J181" s="17">
        <f>+Tabla132112416[[#This Row],[CANTIDAD TOTAL]]*Tabla132112416[[#This Row],[PRECIO UNITARIO ESTIMADO]]</f>
        <v>0</v>
      </c>
      <c r="K181" s="17"/>
      <c r="L181" s="16" t="s">
        <v>27</v>
      </c>
      <c r="M181" s="16" t="s">
        <v>22</v>
      </c>
      <c r="N181" s="39" t="s">
        <v>418</v>
      </c>
    </row>
    <row r="182" spans="1:14" s="12" customFormat="1" ht="18">
      <c r="A182" s="180" t="s">
        <v>62</v>
      </c>
      <c r="B182" s="77" t="s">
        <v>465</v>
      </c>
      <c r="C182" s="70" t="s">
        <v>17</v>
      </c>
      <c r="D182" s="210"/>
      <c r="E182" s="210"/>
      <c r="F182" s="210"/>
      <c r="G182" s="210"/>
      <c r="H182" s="406">
        <f>SUM(Tabla132112416[[#This Row],[PRIMER TRIMESTRE]:[CUARTO TRIMESTRE]])</f>
        <v>0</v>
      </c>
      <c r="I182" s="17">
        <v>2682</v>
      </c>
      <c r="J182" s="17">
        <f>+Tabla132112416[[#This Row],[CANTIDAD TOTAL]]*Tabla132112416[[#This Row],[PRECIO UNITARIO ESTIMADO]]</f>
        <v>0</v>
      </c>
      <c r="K182" s="17"/>
      <c r="L182" s="16" t="s">
        <v>27</v>
      </c>
      <c r="M182" s="16" t="s">
        <v>22</v>
      </c>
      <c r="N182" s="39" t="s">
        <v>418</v>
      </c>
    </row>
    <row r="183" spans="1:14" s="12" customFormat="1" ht="18">
      <c r="A183" s="180" t="s">
        <v>62</v>
      </c>
      <c r="B183" s="77" t="s">
        <v>464</v>
      </c>
      <c r="C183" s="70" t="s">
        <v>17</v>
      </c>
      <c r="D183" s="210"/>
      <c r="E183" s="210"/>
      <c r="F183" s="210"/>
      <c r="G183" s="210"/>
      <c r="H183" s="406">
        <f>SUM(Tabla132112416[[#This Row],[PRIMER TRIMESTRE]:[CUARTO TRIMESTRE]])</f>
        <v>0</v>
      </c>
      <c r="I183" s="17">
        <v>50</v>
      </c>
      <c r="J183" s="17">
        <f>+Tabla132112416[[#This Row],[CANTIDAD TOTAL]]*Tabla132112416[[#This Row],[PRECIO UNITARIO ESTIMADO]]</f>
        <v>0</v>
      </c>
      <c r="K183" s="17"/>
      <c r="L183" s="16" t="s">
        <v>27</v>
      </c>
      <c r="M183" s="16" t="s">
        <v>22</v>
      </c>
      <c r="N183" s="39" t="s">
        <v>418</v>
      </c>
    </row>
    <row r="184" spans="1:14" s="12" customFormat="1" ht="18">
      <c r="A184" s="180" t="s">
        <v>62</v>
      </c>
      <c r="B184" s="77" t="s">
        <v>466</v>
      </c>
      <c r="C184" s="70" t="s">
        <v>17</v>
      </c>
      <c r="D184" s="210"/>
      <c r="E184" s="210"/>
      <c r="F184" s="210"/>
      <c r="G184" s="210"/>
      <c r="H184" s="406">
        <f>SUM(Tabla132112416[[#This Row],[PRIMER TRIMESTRE]:[CUARTO TRIMESTRE]])</f>
        <v>0</v>
      </c>
      <c r="I184" s="17">
        <v>1746.26</v>
      </c>
      <c r="J184" s="17">
        <f>+Tabla132112416[[#This Row],[CANTIDAD TOTAL]]*Tabla132112416[[#This Row],[PRECIO UNITARIO ESTIMADO]]</f>
        <v>0</v>
      </c>
      <c r="K184" s="17"/>
      <c r="L184" s="16" t="s">
        <v>27</v>
      </c>
      <c r="M184" s="16" t="s">
        <v>22</v>
      </c>
      <c r="N184" s="39" t="s">
        <v>418</v>
      </c>
    </row>
    <row r="185" spans="1:14" s="12" customFormat="1" ht="18">
      <c r="A185" s="180" t="s">
        <v>62</v>
      </c>
      <c r="B185" s="77" t="s">
        <v>1168</v>
      </c>
      <c r="C185" s="70" t="s">
        <v>17</v>
      </c>
      <c r="D185" s="210"/>
      <c r="E185" s="210"/>
      <c r="F185" s="210"/>
      <c r="G185" s="210"/>
      <c r="H185" s="406">
        <f>SUM(Tabla132112416[[#This Row],[PRIMER TRIMESTRE]:[CUARTO TRIMESTRE]])</f>
        <v>0</v>
      </c>
      <c r="I185" s="17">
        <v>6800</v>
      </c>
      <c r="J185" s="17">
        <f>+H185*I185</f>
        <v>0</v>
      </c>
      <c r="K185" s="17"/>
      <c r="L185" s="16" t="s">
        <v>27</v>
      </c>
      <c r="M185" s="16" t="s">
        <v>22</v>
      </c>
      <c r="N185" s="39" t="s">
        <v>418</v>
      </c>
    </row>
    <row r="186" spans="1:14" s="12" customFormat="1" ht="18">
      <c r="A186" s="180" t="s">
        <v>62</v>
      </c>
      <c r="B186" s="77" t="s">
        <v>170</v>
      </c>
      <c r="C186" s="70" t="s">
        <v>17</v>
      </c>
      <c r="D186" s="210"/>
      <c r="E186" s="210"/>
      <c r="F186" s="210"/>
      <c r="G186" s="210"/>
      <c r="H186" s="406">
        <f>SUM(Tabla132112416[[#This Row],[PRIMER TRIMESTRE]:[CUARTO TRIMESTRE]])</f>
        <v>0</v>
      </c>
      <c r="I186" s="17">
        <v>458.2</v>
      </c>
      <c r="J186" s="17">
        <f>+Tabla132112416[[#This Row],[CANTIDAD TOTAL]]*Tabla132112416[[#This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</row>
    <row r="187" spans="1:14" s="12" customFormat="1" ht="18">
      <c r="A187" s="180" t="s">
        <v>62</v>
      </c>
      <c r="B187" s="77" t="s">
        <v>172</v>
      </c>
      <c r="C187" s="70" t="s">
        <v>17</v>
      </c>
      <c r="D187" s="210"/>
      <c r="E187" s="210"/>
      <c r="F187" s="210"/>
      <c r="G187" s="210"/>
      <c r="H187" s="406">
        <f>SUM(Tabla132112416[[#This Row],[PRIMER TRIMESTRE]:[CUARTO TRIMESTRE]])</f>
        <v>0</v>
      </c>
      <c r="I187" s="17">
        <v>90</v>
      </c>
      <c r="J187" s="17">
        <f>+Tabla132112416[[#This Row],[CANTIDAD TOTAL]]*Tabla132112416[[#This Row],[PRECIO UNITARIO ESTIMADO]]</f>
        <v>0</v>
      </c>
      <c r="K187" s="17"/>
      <c r="L187" s="16" t="s">
        <v>27</v>
      </c>
      <c r="M187" s="16" t="s">
        <v>22</v>
      </c>
      <c r="N187" s="39" t="s">
        <v>418</v>
      </c>
    </row>
    <row r="188" spans="1:14" s="12" customFormat="1" ht="18">
      <c r="A188" s="180" t="s">
        <v>62</v>
      </c>
      <c r="B188" s="77" t="s">
        <v>732</v>
      </c>
      <c r="C188" s="70" t="s">
        <v>17</v>
      </c>
      <c r="D188" s="210"/>
      <c r="E188" s="210"/>
      <c r="F188" s="210"/>
      <c r="G188" s="210"/>
      <c r="H188" s="406">
        <f>SUM(Tabla132112416[[#This Row],[PRIMER TRIMESTRE]:[CUARTO TRIMESTRE]])</f>
        <v>0</v>
      </c>
      <c r="I188" s="72">
        <v>142.85</v>
      </c>
      <c r="J188" s="17">
        <f t="shared" ref="J188:J195" si="4">+H188*I188</f>
        <v>0</v>
      </c>
      <c r="K188" s="17"/>
      <c r="L188" s="16" t="s">
        <v>27</v>
      </c>
      <c r="M188" s="16" t="s">
        <v>22</v>
      </c>
      <c r="N188" s="39" t="s">
        <v>418</v>
      </c>
    </row>
    <row r="189" spans="1:14" s="12" customFormat="1" ht="18">
      <c r="A189" s="180" t="s">
        <v>62</v>
      </c>
      <c r="B189" s="77" t="s">
        <v>733</v>
      </c>
      <c r="C189" s="70" t="s">
        <v>17</v>
      </c>
      <c r="D189" s="210"/>
      <c r="E189" s="210"/>
      <c r="F189" s="210"/>
      <c r="G189" s="210"/>
      <c r="H189" s="406">
        <f>SUM(Tabla132112416[[#This Row],[PRIMER TRIMESTRE]:[CUARTO TRIMESTRE]])</f>
        <v>0</v>
      </c>
      <c r="I189" s="17">
        <v>39.56</v>
      </c>
      <c r="J189" s="17">
        <f t="shared" si="4"/>
        <v>0</v>
      </c>
      <c r="K189" s="17"/>
      <c r="L189" s="16" t="s">
        <v>27</v>
      </c>
      <c r="M189" s="16" t="s">
        <v>22</v>
      </c>
      <c r="N189" s="39" t="s">
        <v>418</v>
      </c>
    </row>
    <row r="190" spans="1:14" s="12" customFormat="1" ht="18">
      <c r="A190" s="180" t="s">
        <v>62</v>
      </c>
      <c r="B190" s="77" t="s">
        <v>734</v>
      </c>
      <c r="C190" s="70" t="s">
        <v>17</v>
      </c>
      <c r="D190" s="210"/>
      <c r="E190" s="210"/>
      <c r="F190" s="210"/>
      <c r="G190" s="210"/>
      <c r="H190" s="406">
        <f>SUM(Tabla132112416[[#This Row],[PRIMER TRIMESTRE]:[CUARTO TRIMESTRE]])</f>
        <v>0</v>
      </c>
      <c r="I190" s="17">
        <v>41.8</v>
      </c>
      <c r="J190" s="17">
        <f t="shared" si="4"/>
        <v>0</v>
      </c>
      <c r="K190" s="17"/>
      <c r="L190" s="16" t="s">
        <v>27</v>
      </c>
      <c r="M190" s="16" t="s">
        <v>22</v>
      </c>
      <c r="N190" s="39" t="s">
        <v>418</v>
      </c>
    </row>
    <row r="191" spans="1:14" s="12" customFormat="1" ht="18">
      <c r="A191" s="180" t="s">
        <v>62</v>
      </c>
      <c r="B191" s="77" t="s">
        <v>735</v>
      </c>
      <c r="C191" s="70" t="s">
        <v>17</v>
      </c>
      <c r="D191" s="210"/>
      <c r="E191" s="210"/>
      <c r="F191" s="210"/>
      <c r="G191" s="210"/>
      <c r="H191" s="406">
        <f>SUM(Tabla132112416[[#This Row],[PRIMER TRIMESTRE]:[CUARTO TRIMESTRE]])</f>
        <v>0</v>
      </c>
      <c r="I191" s="17">
        <v>50.27</v>
      </c>
      <c r="J191" s="17">
        <f t="shared" si="4"/>
        <v>0</v>
      </c>
      <c r="K191" s="17"/>
      <c r="L191" s="16" t="s">
        <v>27</v>
      </c>
      <c r="M191" s="16" t="s">
        <v>22</v>
      </c>
      <c r="N191" s="39" t="s">
        <v>418</v>
      </c>
    </row>
    <row r="192" spans="1:14" s="12" customFormat="1" ht="18">
      <c r="A192" s="180" t="s">
        <v>62</v>
      </c>
      <c r="B192" s="77" t="s">
        <v>736</v>
      </c>
      <c r="C192" s="70" t="s">
        <v>17</v>
      </c>
      <c r="D192" s="210"/>
      <c r="E192" s="210"/>
      <c r="F192" s="210"/>
      <c r="G192" s="210"/>
      <c r="H192" s="406">
        <f>SUM(Tabla132112416[[#This Row],[PRIMER TRIMESTRE]:[CUARTO TRIMESTRE]])</f>
        <v>0</v>
      </c>
      <c r="I192" s="17">
        <v>60.89</v>
      </c>
      <c r="J192" s="17">
        <f t="shared" si="4"/>
        <v>0</v>
      </c>
      <c r="K192" s="17"/>
      <c r="L192" s="16" t="s">
        <v>27</v>
      </c>
      <c r="M192" s="16" t="s">
        <v>22</v>
      </c>
      <c r="N192" s="39" t="s">
        <v>418</v>
      </c>
    </row>
    <row r="193" spans="1:14" s="12" customFormat="1" ht="18">
      <c r="A193" s="180" t="s">
        <v>62</v>
      </c>
      <c r="B193" s="77" t="s">
        <v>737</v>
      </c>
      <c r="C193" s="70" t="s">
        <v>17</v>
      </c>
      <c r="D193" s="210"/>
      <c r="E193" s="210"/>
      <c r="F193" s="210"/>
      <c r="G193" s="210"/>
      <c r="H193" s="406">
        <f>SUM(Tabla132112416[[#This Row],[PRIMER TRIMESTRE]:[CUARTO TRIMESTRE]])</f>
        <v>0</v>
      </c>
      <c r="I193" s="17">
        <v>65.36</v>
      </c>
      <c r="J193" s="17">
        <f t="shared" si="4"/>
        <v>0</v>
      </c>
      <c r="K193" s="17"/>
      <c r="L193" s="16" t="s">
        <v>27</v>
      </c>
      <c r="M193" s="16" t="s">
        <v>22</v>
      </c>
      <c r="N193" s="39" t="s">
        <v>418</v>
      </c>
    </row>
    <row r="194" spans="1:14" s="26" customFormat="1" ht="18">
      <c r="A194" s="180" t="s">
        <v>62</v>
      </c>
      <c r="B194" s="77" t="s">
        <v>738</v>
      </c>
      <c r="C194" s="70" t="s">
        <v>17</v>
      </c>
      <c r="D194" s="210"/>
      <c r="E194" s="210"/>
      <c r="F194" s="210"/>
      <c r="G194" s="210"/>
      <c r="H194" s="406">
        <f>SUM(Tabla132112416[[#This Row],[PRIMER TRIMESTRE]:[CUARTO TRIMESTRE]])</f>
        <v>0</v>
      </c>
      <c r="I194" s="17">
        <v>352.74</v>
      </c>
      <c r="J194" s="17">
        <f t="shared" si="4"/>
        <v>0</v>
      </c>
      <c r="K194" s="17"/>
      <c r="L194" s="16" t="s">
        <v>27</v>
      </c>
      <c r="M194" s="16" t="s">
        <v>22</v>
      </c>
      <c r="N194" s="39" t="s">
        <v>418</v>
      </c>
    </row>
    <row r="195" spans="1:14" s="55" customFormat="1" ht="18">
      <c r="A195" s="180" t="s">
        <v>62</v>
      </c>
      <c r="B195" s="75" t="s">
        <v>1169</v>
      </c>
      <c r="C195" s="39" t="s">
        <v>1162</v>
      </c>
      <c r="D195" s="236"/>
      <c r="E195" s="236"/>
      <c r="F195" s="236"/>
      <c r="G195" s="236"/>
      <c r="H195" s="40">
        <f>SUM(Tabla132112416[[#This Row],[PRIMER TRIMESTRE]:[CUARTO TRIMESTRE]])</f>
        <v>0</v>
      </c>
      <c r="I195" s="17">
        <v>2300</v>
      </c>
      <c r="J195" s="17">
        <f t="shared" si="4"/>
        <v>0</v>
      </c>
      <c r="K195" s="17"/>
      <c r="L195" s="16" t="s">
        <v>27</v>
      </c>
      <c r="M195" s="16" t="s">
        <v>22</v>
      </c>
      <c r="N195" s="39" t="s">
        <v>418</v>
      </c>
    </row>
    <row r="196" spans="1:14" s="55" customFormat="1" ht="18">
      <c r="A196" s="179" t="s">
        <v>62</v>
      </c>
      <c r="B196" s="76"/>
      <c r="C196" s="42"/>
      <c r="D196" s="237"/>
      <c r="E196" s="237"/>
      <c r="F196" s="237"/>
      <c r="G196" s="237"/>
      <c r="H196" s="43"/>
      <c r="I196" s="24"/>
      <c r="J196" s="24"/>
      <c r="K196" s="25">
        <f>SUM(J91:J195)</f>
        <v>0</v>
      </c>
      <c r="L196" s="23"/>
      <c r="M196" s="23"/>
      <c r="N196" s="42"/>
    </row>
    <row r="197" spans="1:14" s="55" customFormat="1" ht="30">
      <c r="A197" s="178" t="s">
        <v>73</v>
      </c>
      <c r="B197" s="75" t="s">
        <v>1275</v>
      </c>
      <c r="C197" s="53" t="s">
        <v>17</v>
      </c>
      <c r="D197" s="410"/>
      <c r="E197" s="410"/>
      <c r="F197" s="410"/>
      <c r="G197" s="410"/>
      <c r="H197" s="51">
        <f>SUM(Tabla132112416[[#This Row],[PRIMER TRIMESTRE]:[CUARTO TRIMESTRE]])</f>
        <v>0</v>
      </c>
      <c r="I197" s="52">
        <v>239750</v>
      </c>
      <c r="J197" s="52">
        <f>+H197*I197</f>
        <v>0</v>
      </c>
      <c r="K197" s="50"/>
      <c r="L197" s="16" t="s">
        <v>18</v>
      </c>
      <c r="M197" s="411" t="s">
        <v>22</v>
      </c>
      <c r="N197" s="39" t="s">
        <v>418</v>
      </c>
    </row>
    <row r="198" spans="1:14" s="55" customFormat="1" ht="30">
      <c r="A198" s="178" t="s">
        <v>73</v>
      </c>
      <c r="B198" s="75" t="s">
        <v>1276</v>
      </c>
      <c r="C198" s="53" t="s">
        <v>17</v>
      </c>
      <c r="D198" s="410"/>
      <c r="E198" s="410"/>
      <c r="F198" s="410"/>
      <c r="G198" s="410"/>
      <c r="H198" s="51">
        <f>SUM(Tabla132112416[[#This Row],[PRIMER TRIMESTRE]:[CUARTO TRIMESTRE]])</f>
        <v>0</v>
      </c>
      <c r="I198" s="52">
        <v>37500</v>
      </c>
      <c r="J198" s="52">
        <f>+H198*I198</f>
        <v>0</v>
      </c>
      <c r="K198" s="50"/>
      <c r="L198" s="16" t="s">
        <v>18</v>
      </c>
      <c r="M198" s="411" t="s">
        <v>22</v>
      </c>
      <c r="N198" s="39" t="s">
        <v>418</v>
      </c>
    </row>
    <row r="199" spans="1:14" s="26" customFormat="1" ht="30">
      <c r="A199" s="178" t="s">
        <v>73</v>
      </c>
      <c r="B199" s="75" t="s">
        <v>1277</v>
      </c>
      <c r="C199" s="53" t="s">
        <v>17</v>
      </c>
      <c r="D199" s="410"/>
      <c r="E199" s="410"/>
      <c r="F199" s="410"/>
      <c r="G199" s="410"/>
      <c r="H199" s="51">
        <f>SUM(Tabla132112416[[#This Row],[PRIMER TRIMESTRE]:[CUARTO TRIMESTRE]])</f>
        <v>0</v>
      </c>
      <c r="I199" s="52">
        <v>301000</v>
      </c>
      <c r="J199" s="52">
        <f>+H199*I199</f>
        <v>0</v>
      </c>
      <c r="K199" s="50"/>
      <c r="L199" s="16" t="s">
        <v>18</v>
      </c>
      <c r="M199" s="411" t="s">
        <v>22</v>
      </c>
      <c r="N199" s="39" t="s">
        <v>418</v>
      </c>
    </row>
    <row r="200" spans="1:14" s="12" customFormat="1" ht="30">
      <c r="A200" s="178" t="s">
        <v>73</v>
      </c>
      <c r="B200" s="75" t="s">
        <v>1278</v>
      </c>
      <c r="C200" s="53" t="s">
        <v>17</v>
      </c>
      <c r="D200" s="410"/>
      <c r="E200" s="410"/>
      <c r="F200" s="410"/>
      <c r="G200" s="410"/>
      <c r="H200" s="51">
        <f>SUM(Tabla132112416[[#This Row],[PRIMER TRIMESTRE]:[CUARTO TRIMESTRE]])</f>
        <v>0</v>
      </c>
      <c r="I200" s="52">
        <v>350000</v>
      </c>
      <c r="J200" s="52">
        <f>+H200*I200</f>
        <v>0</v>
      </c>
      <c r="K200" s="50"/>
      <c r="L200" s="16" t="s">
        <v>18</v>
      </c>
      <c r="M200" s="411" t="s">
        <v>22</v>
      </c>
      <c r="N200" s="39" t="s">
        <v>418</v>
      </c>
    </row>
    <row r="201" spans="1:14" s="12" customFormat="1" ht="31.5">
      <c r="A201" s="179" t="s">
        <v>73</v>
      </c>
      <c r="B201" s="76"/>
      <c r="C201" s="42"/>
      <c r="D201" s="237"/>
      <c r="E201" s="237"/>
      <c r="F201" s="237"/>
      <c r="G201" s="237"/>
      <c r="H201" s="43"/>
      <c r="I201" s="24"/>
      <c r="J201" s="24"/>
      <c r="K201" s="25">
        <f>SUM(J197:J200)</f>
        <v>0</v>
      </c>
      <c r="L201" s="23"/>
      <c r="M201" s="23"/>
      <c r="N201" s="42"/>
    </row>
    <row r="202" spans="1:14" s="12" customFormat="1" ht="18">
      <c r="A202" s="178" t="s">
        <v>80</v>
      </c>
      <c r="B202" s="75" t="s">
        <v>788</v>
      </c>
      <c r="C202" s="39" t="s">
        <v>69</v>
      </c>
      <c r="D202" s="236"/>
      <c r="E202" s="236"/>
      <c r="F202" s="236"/>
      <c r="G202" s="236"/>
      <c r="H202" s="40">
        <f>SUM(Tabla132112416[[#This Row],[PRIMER TRIMESTRE]:[CUARTO TRIMESTRE]])</f>
        <v>0</v>
      </c>
      <c r="I202" s="17">
        <v>5.46</v>
      </c>
      <c r="J202" s="17">
        <f>+Tabla132112416[[#This Row],[CANTIDAD TOTAL]]*Tabla132112416[[#This Row],[PRECIO UNITARIO ESTIMADO]]</f>
        <v>0</v>
      </c>
      <c r="K202" s="17"/>
      <c r="L202" s="16" t="s">
        <v>18</v>
      </c>
      <c r="M202" s="16" t="s">
        <v>22</v>
      </c>
      <c r="N202" s="39" t="s">
        <v>418</v>
      </c>
    </row>
    <row r="203" spans="1:14" s="12" customFormat="1" ht="18">
      <c r="A203" s="178" t="s">
        <v>80</v>
      </c>
      <c r="B203" s="75" t="s">
        <v>1346</v>
      </c>
      <c r="C203" s="39" t="s">
        <v>208</v>
      </c>
      <c r="D203" s="236"/>
      <c r="E203" s="236"/>
      <c r="F203" s="236"/>
      <c r="G203" s="236"/>
      <c r="H203" s="40">
        <f>SUM(Tabla132112416[[#This Row],[PRIMER TRIMESTRE]:[CUARTO TRIMESTRE]])</f>
        <v>0</v>
      </c>
      <c r="I203" s="17">
        <v>8</v>
      </c>
      <c r="J203" s="17">
        <f>+Tabla132112416[[#This Row],[CANTIDAD TOTAL]]*Tabla132112416[[#This Row],[PRECIO UNITARIO ESTIMADO]]</f>
        <v>0</v>
      </c>
      <c r="K203" s="17"/>
      <c r="L203" s="16" t="s">
        <v>18</v>
      </c>
      <c r="M203" s="16" t="s">
        <v>22</v>
      </c>
      <c r="N203" s="39" t="s">
        <v>418</v>
      </c>
    </row>
    <row r="204" spans="1:14" s="12" customFormat="1" ht="18">
      <c r="A204" s="178" t="s">
        <v>80</v>
      </c>
      <c r="B204" s="75" t="s">
        <v>789</v>
      </c>
      <c r="C204" s="39" t="s">
        <v>208</v>
      </c>
      <c r="D204" s="236"/>
      <c r="E204" s="236"/>
      <c r="F204" s="236"/>
      <c r="G204" s="236"/>
      <c r="H204" s="40">
        <f>SUM(Tabla132112416[[#This Row],[PRIMER TRIMESTRE]:[CUARTO TRIMESTRE]])</f>
        <v>0</v>
      </c>
      <c r="I204" s="17">
        <v>6.4</v>
      </c>
      <c r="J204" s="17">
        <f>+Tabla132112416[[#This Row],[CANTIDAD TOTAL]]*Tabla132112416[[#This Row],[PRECIO UNITARIO ESTIMADO]]</f>
        <v>0</v>
      </c>
      <c r="K204" s="17"/>
      <c r="L204" s="16" t="s">
        <v>18</v>
      </c>
      <c r="M204" s="16" t="s">
        <v>22</v>
      </c>
      <c r="N204" s="39" t="s">
        <v>418</v>
      </c>
    </row>
    <row r="205" spans="1:14" s="12" customFormat="1" ht="18">
      <c r="A205" s="178" t="s">
        <v>80</v>
      </c>
      <c r="B205" s="75" t="s">
        <v>83</v>
      </c>
      <c r="C205" s="39" t="s">
        <v>69</v>
      </c>
      <c r="D205" s="236"/>
      <c r="E205" s="236"/>
      <c r="F205" s="236"/>
      <c r="G205" s="236"/>
      <c r="H205" s="40">
        <f>SUM(Tabla132112416[[#This Row],[PRIMER TRIMESTRE]:[CUARTO TRIMESTRE]])</f>
        <v>0</v>
      </c>
      <c r="I205" s="17">
        <v>290</v>
      </c>
      <c r="J205" s="17">
        <f>+Tabla132112416[[#This Row],[CANTIDAD TOTAL]]*Tabla132112416[[#This Row],[PRECIO UNITARIO ESTIMADO]]</f>
        <v>0</v>
      </c>
      <c r="K205" s="17"/>
      <c r="L205" s="16" t="s">
        <v>18</v>
      </c>
      <c r="M205" s="16" t="s">
        <v>22</v>
      </c>
      <c r="N205" s="39" t="s">
        <v>418</v>
      </c>
    </row>
    <row r="206" spans="1:14" s="12" customFormat="1" ht="18">
      <c r="A206" s="178" t="s">
        <v>80</v>
      </c>
      <c r="B206" s="75" t="s">
        <v>1561</v>
      </c>
      <c r="C206" s="39" t="s">
        <v>69</v>
      </c>
      <c r="D206" s="39"/>
      <c r="E206" s="236"/>
      <c r="F206" s="236"/>
      <c r="G206" s="236"/>
      <c r="H206" s="40">
        <f>SUM(Tabla132112416[[#This Row],[PRIMER TRIMESTRE]:[CUARTO TRIMESTRE]])</f>
        <v>0</v>
      </c>
      <c r="I206" s="17">
        <v>3200</v>
      </c>
      <c r="J206" s="17">
        <f>+H206*I206</f>
        <v>0</v>
      </c>
      <c r="K206" s="17"/>
      <c r="L206" s="16" t="s">
        <v>18</v>
      </c>
      <c r="M206" s="16" t="s">
        <v>22</v>
      </c>
      <c r="N206" s="39" t="s">
        <v>418</v>
      </c>
    </row>
    <row r="207" spans="1:14" s="12" customFormat="1" ht="18">
      <c r="A207" s="178" t="s">
        <v>80</v>
      </c>
      <c r="B207" s="75" t="s">
        <v>85</v>
      </c>
      <c r="C207" s="39" t="s">
        <v>69</v>
      </c>
      <c r="D207" s="236"/>
      <c r="E207" s="236"/>
      <c r="F207" s="236"/>
      <c r="G207" s="236"/>
      <c r="H207" s="40">
        <f>SUM(Tabla132112416[[#This Row],[PRIMER TRIMESTRE]:[CUARTO TRIMESTRE]])</f>
        <v>0</v>
      </c>
      <c r="I207" s="17">
        <v>4.0599999999999996</v>
      </c>
      <c r="J207" s="17">
        <f>+Tabla132112416[[#This Row],[CANTIDAD TOTAL]]*Tabla132112416[[#This Row],[PRECIO UNITARIO ESTIMADO]]</f>
        <v>0</v>
      </c>
      <c r="K207" s="17"/>
      <c r="L207" s="16" t="s">
        <v>18</v>
      </c>
      <c r="M207" s="16" t="s">
        <v>22</v>
      </c>
      <c r="N207" s="39" t="s">
        <v>418</v>
      </c>
    </row>
    <row r="208" spans="1:14" s="12" customFormat="1" ht="18">
      <c r="A208" s="178" t="s">
        <v>80</v>
      </c>
      <c r="B208" s="75" t="s">
        <v>87</v>
      </c>
      <c r="C208" s="39" t="s">
        <v>69</v>
      </c>
      <c r="D208" s="236"/>
      <c r="E208" s="236"/>
      <c r="F208" s="236"/>
      <c r="G208" s="236"/>
      <c r="H208" s="40">
        <f>SUM(Tabla132112416[[#This Row],[PRIMER TRIMESTRE]:[CUARTO TRIMESTRE]])</f>
        <v>0</v>
      </c>
      <c r="I208" s="17">
        <v>3.71</v>
      </c>
      <c r="J208" s="17">
        <f>+Tabla132112416[[#This Row],[CANTIDAD TOTAL]]*Tabla132112416[[#This Row],[PRECIO UNITARIO ESTIMADO]]</f>
        <v>0</v>
      </c>
      <c r="K208" s="17"/>
      <c r="L208" s="16" t="s">
        <v>18</v>
      </c>
      <c r="M208" s="16" t="s">
        <v>22</v>
      </c>
      <c r="N208" s="39" t="s">
        <v>418</v>
      </c>
    </row>
    <row r="209" spans="1:14" s="12" customFormat="1" ht="18">
      <c r="A209" s="178" t="s">
        <v>80</v>
      </c>
      <c r="B209" s="75" t="s">
        <v>1436</v>
      </c>
      <c r="C209" s="39" t="s">
        <v>69</v>
      </c>
      <c r="D209" s="236"/>
      <c r="E209" s="236"/>
      <c r="F209" s="236"/>
      <c r="G209" s="236"/>
      <c r="H209" s="40">
        <f>SUM(Tabla132112416[[#This Row],[PRIMER TRIMESTRE]:[CUARTO TRIMESTRE]])</f>
        <v>0</v>
      </c>
      <c r="I209" s="17">
        <v>125</v>
      </c>
      <c r="J209" s="17">
        <f>+H209*I209</f>
        <v>0</v>
      </c>
      <c r="K209" s="17"/>
      <c r="L209" s="16" t="s">
        <v>18</v>
      </c>
      <c r="M209" s="16" t="s">
        <v>22</v>
      </c>
      <c r="N209" s="39" t="s">
        <v>418</v>
      </c>
    </row>
    <row r="210" spans="1:14" s="12" customFormat="1" ht="18">
      <c r="A210" s="178" t="s">
        <v>80</v>
      </c>
      <c r="B210" s="75" t="s">
        <v>89</v>
      </c>
      <c r="C210" s="39" t="s">
        <v>208</v>
      </c>
      <c r="D210" s="236"/>
      <c r="E210" s="236"/>
      <c r="F210" s="236"/>
      <c r="G210" s="236"/>
      <c r="H210" s="40">
        <f>SUM(Tabla132112416[[#This Row],[PRIMER TRIMESTRE]:[CUARTO TRIMESTRE]])</f>
        <v>0</v>
      </c>
      <c r="I210" s="17">
        <v>7.3</v>
      </c>
      <c r="J210" s="17">
        <f>+Tabla132112416[[#This Row],[CANTIDAD TOTAL]]*Tabla132112416[[#This Row],[PRECIO UNITARIO ESTIMADO]]</f>
        <v>0</v>
      </c>
      <c r="K210" s="17"/>
      <c r="L210" s="16" t="s">
        <v>18</v>
      </c>
      <c r="M210" s="16" t="s">
        <v>22</v>
      </c>
      <c r="N210" s="39" t="s">
        <v>418</v>
      </c>
    </row>
    <row r="211" spans="1:14" s="12" customFormat="1" ht="18">
      <c r="A211" s="178" t="s">
        <v>80</v>
      </c>
      <c r="B211" s="75" t="s">
        <v>98</v>
      </c>
      <c r="C211" s="39" t="s">
        <v>93</v>
      </c>
      <c r="D211" s="236"/>
      <c r="E211" s="236"/>
      <c r="F211" s="236"/>
      <c r="G211" s="236"/>
      <c r="H211" s="40">
        <f>SUM(Tabla132112416[[#This Row],[PRIMER TRIMESTRE]:[CUARTO TRIMESTRE]])</f>
        <v>0</v>
      </c>
      <c r="I211" s="17">
        <v>272.60000000000002</v>
      </c>
      <c r="J211" s="17">
        <f>+Tabla132112416[[#This Row],[CANTIDAD TOTAL]]*Tabla132112416[[#This Row],[PRECIO UNITARIO ESTIMADO]]</f>
        <v>0</v>
      </c>
      <c r="K211" s="17"/>
      <c r="L211" s="16" t="s">
        <v>18</v>
      </c>
      <c r="M211" s="16" t="s">
        <v>22</v>
      </c>
      <c r="N211" s="39" t="s">
        <v>418</v>
      </c>
    </row>
    <row r="212" spans="1:14" s="12" customFormat="1" ht="18">
      <c r="A212" s="178" t="s">
        <v>80</v>
      </c>
      <c r="B212" s="75" t="s">
        <v>1601</v>
      </c>
      <c r="C212" s="39" t="s">
        <v>93</v>
      </c>
      <c r="D212" s="39"/>
      <c r="E212" s="39"/>
      <c r="F212" s="39"/>
      <c r="G212" s="39"/>
      <c r="H212" s="39">
        <f>SUM(Tabla132112416[[#This Row],[PRIMER TRIMESTRE]:[CUARTO TRIMESTRE]])</f>
        <v>0</v>
      </c>
      <c r="I212" s="17">
        <v>57</v>
      </c>
      <c r="J212" s="17">
        <f>+H212*I212</f>
        <v>0</v>
      </c>
      <c r="K212" s="17"/>
      <c r="L212" s="16" t="s">
        <v>18</v>
      </c>
      <c r="M212" s="16" t="s">
        <v>22</v>
      </c>
      <c r="N212" s="39" t="s">
        <v>418</v>
      </c>
    </row>
    <row r="213" spans="1:14" s="12" customFormat="1" ht="18">
      <c r="A213" s="178" t="s">
        <v>80</v>
      </c>
      <c r="B213" s="75" t="s">
        <v>100</v>
      </c>
      <c r="C213" s="39" t="s">
        <v>93</v>
      </c>
      <c r="D213" s="236"/>
      <c r="E213" s="236"/>
      <c r="F213" s="236"/>
      <c r="G213" s="236"/>
      <c r="H213" s="40">
        <f>SUM(Tabla132112416[[#This Row],[PRIMER TRIMESTRE]:[CUARTO TRIMESTRE]])</f>
        <v>0</v>
      </c>
      <c r="I213" s="17">
        <v>30.16</v>
      </c>
      <c r="J213" s="17">
        <f>+Tabla132112416[[#This Row],[CANTIDAD TOTAL]]*Tabla132112416[[#This Row],[PRECIO UNITARIO ESTIMADO]]</f>
        <v>0</v>
      </c>
      <c r="K213" s="17"/>
      <c r="L213" s="16" t="s">
        <v>18</v>
      </c>
      <c r="M213" s="16" t="s">
        <v>22</v>
      </c>
      <c r="N213" s="39" t="s">
        <v>418</v>
      </c>
    </row>
    <row r="214" spans="1:14" s="12" customFormat="1" ht="25.5">
      <c r="A214" s="178" t="s">
        <v>80</v>
      </c>
      <c r="B214" s="75" t="s">
        <v>1729</v>
      </c>
      <c r="C214" s="39" t="s">
        <v>17</v>
      </c>
      <c r="D214" s="236"/>
      <c r="E214" s="236"/>
      <c r="F214" s="236"/>
      <c r="G214" s="236"/>
      <c r="H214" s="40">
        <v>0</v>
      </c>
      <c r="I214" s="17">
        <v>0</v>
      </c>
      <c r="J214" s="17">
        <v>0</v>
      </c>
      <c r="K214" s="17"/>
      <c r="L214" s="16" t="s">
        <v>18</v>
      </c>
      <c r="M214" s="16" t="s">
        <v>22</v>
      </c>
      <c r="N214" s="39" t="s">
        <v>418</v>
      </c>
    </row>
    <row r="215" spans="1:14" s="12" customFormat="1" ht="25.5">
      <c r="A215" s="178" t="s">
        <v>80</v>
      </c>
      <c r="B215" s="75" t="s">
        <v>1730</v>
      </c>
      <c r="C215" s="39" t="s">
        <v>17</v>
      </c>
      <c r="D215" s="236"/>
      <c r="E215" s="236"/>
      <c r="F215" s="236"/>
      <c r="G215" s="236"/>
      <c r="H215" s="40">
        <v>0</v>
      </c>
      <c r="I215" s="17">
        <v>0</v>
      </c>
      <c r="J215" s="17">
        <v>0</v>
      </c>
      <c r="K215" s="17"/>
      <c r="L215" s="16" t="s">
        <v>18</v>
      </c>
      <c r="M215" s="16" t="s">
        <v>22</v>
      </c>
      <c r="N215" s="39" t="s">
        <v>418</v>
      </c>
    </row>
    <row r="216" spans="1:14" s="12" customFormat="1" ht="18">
      <c r="A216" s="178" t="s">
        <v>80</v>
      </c>
      <c r="B216" s="75" t="s">
        <v>105</v>
      </c>
      <c r="C216" s="39" t="s">
        <v>17</v>
      </c>
      <c r="D216" s="236"/>
      <c r="E216" s="236"/>
      <c r="F216" s="236"/>
      <c r="G216" s="236"/>
      <c r="H216" s="40">
        <f>SUM(Tabla132112416[[#This Row],[PRIMER TRIMESTRE]:[CUARTO TRIMESTRE]])</f>
        <v>0</v>
      </c>
      <c r="I216" s="17">
        <v>33.64</v>
      </c>
      <c r="J216" s="17">
        <f>+Tabla132112416[[#This Row],[CANTIDAD TOTAL]]*Tabla132112416[[#This Row],[PRECIO UNITARIO ESTIMADO]]</f>
        <v>0</v>
      </c>
      <c r="K216" s="17"/>
      <c r="L216" s="16" t="s">
        <v>18</v>
      </c>
      <c r="M216" s="16" t="s">
        <v>22</v>
      </c>
      <c r="N216" s="39" t="s">
        <v>418</v>
      </c>
    </row>
    <row r="217" spans="1:14" s="12" customFormat="1" ht="18">
      <c r="A217" s="178" t="s">
        <v>80</v>
      </c>
      <c r="B217" s="75" t="s">
        <v>1725</v>
      </c>
      <c r="C217" s="70" t="s">
        <v>17</v>
      </c>
      <c r="D217" s="236"/>
      <c r="E217" s="236"/>
      <c r="F217" s="236"/>
      <c r="G217" s="236"/>
      <c r="H217" s="40">
        <v>0</v>
      </c>
      <c r="I217" s="17">
        <v>0</v>
      </c>
      <c r="J217" s="17">
        <v>0</v>
      </c>
      <c r="K217" s="17"/>
      <c r="L217" s="16" t="s">
        <v>18</v>
      </c>
      <c r="M217" s="16" t="s">
        <v>22</v>
      </c>
      <c r="N217" s="39" t="s">
        <v>418</v>
      </c>
    </row>
    <row r="218" spans="1:14" s="12" customFormat="1" ht="18">
      <c r="A218" s="178" t="s">
        <v>80</v>
      </c>
      <c r="B218" s="75" t="s">
        <v>110</v>
      </c>
      <c r="C218" s="70" t="s">
        <v>17</v>
      </c>
      <c r="D218" s="236"/>
      <c r="E218" s="236"/>
      <c r="F218" s="210"/>
      <c r="G218" s="210"/>
      <c r="H218" s="40">
        <f>SUM(Tabla132112416[[#This Row],[PRIMER TRIMESTRE]:[CUARTO TRIMESTRE]])</f>
        <v>0</v>
      </c>
      <c r="I218" s="17">
        <v>5823.23</v>
      </c>
      <c r="J218" s="17">
        <f>+Tabla132112416[[#This Row],[CANTIDAD TOTAL]]*Tabla132112416[[#This Row],[PRECIO UNITARIO ESTIMADO]]</f>
        <v>0</v>
      </c>
      <c r="K218" s="17"/>
      <c r="L218" s="16" t="s">
        <v>18</v>
      </c>
      <c r="M218" s="16" t="s">
        <v>22</v>
      </c>
      <c r="N218" s="39" t="s">
        <v>418</v>
      </c>
    </row>
    <row r="219" spans="1:14" s="12" customFormat="1" ht="18">
      <c r="A219" s="178" t="s">
        <v>80</v>
      </c>
      <c r="B219" s="77" t="s">
        <v>112</v>
      </c>
      <c r="C219" s="70" t="s">
        <v>288</v>
      </c>
      <c r="D219" s="236"/>
      <c r="E219" s="210"/>
      <c r="F219" s="210"/>
      <c r="G219" s="210"/>
      <c r="H219" s="40">
        <f>SUM(Tabla132112416[[#This Row],[PRIMER TRIMESTRE]:[CUARTO TRIMESTRE]])</f>
        <v>0</v>
      </c>
      <c r="I219" s="17">
        <v>1624</v>
      </c>
      <c r="J219" s="17">
        <f>+Tabla132112416[[#This Row],[CANTIDAD TOTAL]]*Tabla132112416[[#This Row],[PRECIO UNITARIO ESTIMADO]]</f>
        <v>0</v>
      </c>
      <c r="K219" s="17"/>
      <c r="L219" s="16" t="s">
        <v>18</v>
      </c>
      <c r="M219" s="16" t="s">
        <v>22</v>
      </c>
      <c r="N219" s="39" t="s">
        <v>418</v>
      </c>
    </row>
    <row r="220" spans="1:14" s="12" customFormat="1" ht="18">
      <c r="A220" s="178" t="s">
        <v>80</v>
      </c>
      <c r="B220" s="77" t="s">
        <v>766</v>
      </c>
      <c r="C220" s="70" t="s">
        <v>767</v>
      </c>
      <c r="D220" s="236"/>
      <c r="E220" s="210"/>
      <c r="F220" s="210"/>
      <c r="G220" s="210"/>
      <c r="H220" s="40">
        <f>SUM(Tabla132112416[[#This Row],[PRIMER TRIMESTRE]:[CUARTO TRIMESTRE]])</f>
        <v>0</v>
      </c>
      <c r="I220" s="17">
        <v>470</v>
      </c>
      <c r="J220" s="17">
        <f>+Tabla132112416[[#This Row],[CANTIDAD TOTAL]]*Tabla132112416[[#This Row],[PRECIO UNITARIO ESTIMADO]]</f>
        <v>0</v>
      </c>
      <c r="K220" s="17"/>
      <c r="L220" s="16" t="s">
        <v>18</v>
      </c>
      <c r="M220" s="16" t="s">
        <v>22</v>
      </c>
      <c r="N220" s="39" t="s">
        <v>418</v>
      </c>
    </row>
    <row r="221" spans="1:14" s="12" customFormat="1" ht="18">
      <c r="A221" s="178" t="s">
        <v>80</v>
      </c>
      <c r="B221" s="77" t="s">
        <v>1623</v>
      </c>
      <c r="C221" s="70" t="s">
        <v>17</v>
      </c>
      <c r="D221" s="236"/>
      <c r="E221" s="210"/>
      <c r="F221" s="210"/>
      <c r="G221" s="210"/>
      <c r="H221" s="40">
        <f>SUM(Tabla132112416[[#This Row],[PRIMER TRIMESTRE]:[CUARTO TRIMESTRE]])</f>
        <v>0</v>
      </c>
      <c r="I221" s="17">
        <v>1784.1</v>
      </c>
      <c r="J221" s="17">
        <f t="shared" ref="J221:J284" si="5">+H221*I221</f>
        <v>0</v>
      </c>
      <c r="K221" s="17"/>
      <c r="L221" s="16" t="s">
        <v>18</v>
      </c>
      <c r="M221" s="16" t="s">
        <v>22</v>
      </c>
      <c r="N221" s="39" t="s">
        <v>418</v>
      </c>
    </row>
    <row r="222" spans="1:14" s="12" customFormat="1" ht="18">
      <c r="A222" s="178" t="s">
        <v>80</v>
      </c>
      <c r="B222" s="77" t="s">
        <v>1431</v>
      </c>
      <c r="C222" s="70" t="s">
        <v>288</v>
      </c>
      <c r="D222" s="236"/>
      <c r="E222" s="210"/>
      <c r="F222" s="210"/>
      <c r="G222" s="210"/>
      <c r="H222" s="40">
        <f>SUM(Tabla132112416[[#This Row],[PRIMER TRIMESTRE]:[CUARTO TRIMESTRE]])</f>
        <v>0</v>
      </c>
      <c r="I222" s="17">
        <v>1395</v>
      </c>
      <c r="J222" s="17">
        <f t="shared" si="5"/>
        <v>0</v>
      </c>
      <c r="K222" s="17"/>
      <c r="L222" s="16" t="s">
        <v>18</v>
      </c>
      <c r="M222" s="16" t="s">
        <v>22</v>
      </c>
      <c r="N222" s="39" t="s">
        <v>418</v>
      </c>
    </row>
    <row r="223" spans="1:14" s="12" customFormat="1" ht="18">
      <c r="A223" s="178" t="s">
        <v>80</v>
      </c>
      <c r="B223" s="77" t="s">
        <v>921</v>
      </c>
      <c r="C223" s="70" t="s">
        <v>17</v>
      </c>
      <c r="D223" s="236"/>
      <c r="E223" s="210"/>
      <c r="F223" s="210"/>
      <c r="G223" s="210"/>
      <c r="H223" s="40">
        <f>SUM(Tabla132112416[[#This Row],[PRIMER TRIMESTRE]:[CUARTO TRIMESTRE]])</f>
        <v>0</v>
      </c>
      <c r="I223" s="17">
        <v>94</v>
      </c>
      <c r="J223" s="17">
        <f t="shared" si="5"/>
        <v>0</v>
      </c>
      <c r="K223" s="17"/>
      <c r="L223" s="16" t="s">
        <v>18</v>
      </c>
      <c r="M223" s="16" t="s">
        <v>22</v>
      </c>
      <c r="N223" s="39" t="s">
        <v>418</v>
      </c>
    </row>
    <row r="224" spans="1:14" s="12" customFormat="1" ht="25.5">
      <c r="A224" s="178" t="s">
        <v>80</v>
      </c>
      <c r="B224" s="77" t="s">
        <v>1610</v>
      </c>
      <c r="C224" s="70" t="s">
        <v>17</v>
      </c>
      <c r="D224" s="70"/>
      <c r="E224" s="70"/>
      <c r="F224" s="70"/>
      <c r="G224" s="70"/>
      <c r="H224" s="70">
        <f>SUM(Tabla132112416[[#This Row],[PRIMER TRIMESTRE]:[CUARTO TRIMESTRE]])</f>
        <v>0</v>
      </c>
      <c r="I224" s="17">
        <v>573.88</v>
      </c>
      <c r="J224" s="17">
        <f t="shared" si="5"/>
        <v>0</v>
      </c>
      <c r="K224" s="17"/>
      <c r="L224" s="16" t="s">
        <v>18</v>
      </c>
      <c r="M224" s="16" t="s">
        <v>22</v>
      </c>
      <c r="N224" s="39" t="s">
        <v>418</v>
      </c>
    </row>
    <row r="225" spans="1:14" s="12" customFormat="1" ht="38.25">
      <c r="A225" s="178" t="s">
        <v>80</v>
      </c>
      <c r="B225" s="77" t="s">
        <v>1609</v>
      </c>
      <c r="C225" s="70" t="s">
        <v>17</v>
      </c>
      <c r="D225" s="70"/>
      <c r="E225" s="70"/>
      <c r="F225" s="70"/>
      <c r="G225" s="70"/>
      <c r="H225" s="70">
        <f>SUM(Tabla132112416[[#This Row],[PRIMER TRIMESTRE]:[CUARTO TRIMESTRE]])</f>
        <v>0</v>
      </c>
      <c r="I225" s="17">
        <v>223.86</v>
      </c>
      <c r="J225" s="17">
        <f t="shared" si="5"/>
        <v>0</v>
      </c>
      <c r="K225" s="17"/>
      <c r="L225" s="16" t="s">
        <v>18</v>
      </c>
      <c r="M225" s="16" t="s">
        <v>22</v>
      </c>
      <c r="N225" s="39" t="s">
        <v>418</v>
      </c>
    </row>
    <row r="226" spans="1:14" s="12" customFormat="1" ht="18">
      <c r="A226" s="178" t="s">
        <v>80</v>
      </c>
      <c r="B226" s="77" t="s">
        <v>1181</v>
      </c>
      <c r="C226" s="70" t="s">
        <v>17</v>
      </c>
      <c r="D226" s="236"/>
      <c r="E226" s="210"/>
      <c r="F226" s="210"/>
      <c r="G226" s="210"/>
      <c r="H226" s="40">
        <f>SUM(Tabla132112416[[#This Row],[PRIMER TRIMESTRE]:[CUARTO TRIMESTRE]])</f>
        <v>0</v>
      </c>
      <c r="I226" s="17">
        <v>175</v>
      </c>
      <c r="J226" s="17">
        <f t="shared" si="5"/>
        <v>0</v>
      </c>
      <c r="K226" s="17"/>
      <c r="L226" s="16" t="s">
        <v>18</v>
      </c>
      <c r="M226" s="16" t="s">
        <v>22</v>
      </c>
      <c r="N226" s="39" t="s">
        <v>418</v>
      </c>
    </row>
    <row r="227" spans="1:14" s="12" customFormat="1" ht="18">
      <c r="A227" s="178" t="s">
        <v>80</v>
      </c>
      <c r="B227" s="75" t="s">
        <v>730</v>
      </c>
      <c r="C227" s="70" t="s">
        <v>17</v>
      </c>
      <c r="D227" s="236"/>
      <c r="E227" s="210"/>
      <c r="F227" s="210"/>
      <c r="G227" s="210"/>
      <c r="H227" s="40">
        <f>SUM(Tabla132112416[[#This Row],[PRIMER TRIMESTRE]:[CUARTO TRIMESTRE]])</f>
        <v>0</v>
      </c>
      <c r="I227" s="17">
        <v>246.34</v>
      </c>
      <c r="J227" s="17">
        <f t="shared" si="5"/>
        <v>0</v>
      </c>
      <c r="K227" s="17"/>
      <c r="L227" s="16" t="s">
        <v>18</v>
      </c>
      <c r="M227" s="16" t="s">
        <v>22</v>
      </c>
      <c r="N227" s="39" t="s">
        <v>418</v>
      </c>
    </row>
    <row r="228" spans="1:14" s="12" customFormat="1" ht="18">
      <c r="A228" s="178" t="s">
        <v>80</v>
      </c>
      <c r="B228" s="75" t="s">
        <v>570</v>
      </c>
      <c r="C228" s="70" t="s">
        <v>17</v>
      </c>
      <c r="D228" s="236"/>
      <c r="E228" s="210"/>
      <c r="F228" s="210"/>
      <c r="G228" s="210"/>
      <c r="H228" s="40">
        <f>SUM(Tabla132112416[[#This Row],[PRIMER TRIMESTRE]:[CUARTO TRIMESTRE]])</f>
        <v>0</v>
      </c>
      <c r="I228" s="17">
        <v>4100</v>
      </c>
      <c r="J228" s="17">
        <f t="shared" si="5"/>
        <v>0</v>
      </c>
      <c r="K228" s="17"/>
      <c r="L228" s="16" t="s">
        <v>18</v>
      </c>
      <c r="M228" s="16" t="s">
        <v>22</v>
      </c>
      <c r="N228" s="39" t="s">
        <v>418</v>
      </c>
    </row>
    <row r="229" spans="1:14" s="12" customFormat="1" ht="18">
      <c r="A229" s="178" t="s">
        <v>80</v>
      </c>
      <c r="B229" s="75" t="s">
        <v>919</v>
      </c>
      <c r="C229" s="70" t="s">
        <v>17</v>
      </c>
      <c r="D229" s="236"/>
      <c r="E229" s="210"/>
      <c r="F229" s="210"/>
      <c r="G229" s="210"/>
      <c r="H229" s="40">
        <f>SUM(Tabla132112416[[#This Row],[PRIMER TRIMESTRE]:[CUARTO TRIMESTRE]])</f>
        <v>0</v>
      </c>
      <c r="I229" s="17">
        <v>31500</v>
      </c>
      <c r="J229" s="17">
        <f t="shared" si="5"/>
        <v>0</v>
      </c>
      <c r="K229" s="17"/>
      <c r="L229" s="16" t="s">
        <v>18</v>
      </c>
      <c r="M229" s="16" t="s">
        <v>22</v>
      </c>
      <c r="N229" s="39"/>
    </row>
    <row r="230" spans="1:14" s="12" customFormat="1" ht="18">
      <c r="A230" s="178" t="s">
        <v>80</v>
      </c>
      <c r="B230" s="75" t="s">
        <v>1555</v>
      </c>
      <c r="C230" s="70" t="s">
        <v>17</v>
      </c>
      <c r="D230" s="236"/>
      <c r="E230" s="236"/>
      <c r="F230" s="236"/>
      <c r="G230" s="236"/>
      <c r="H230" s="236">
        <f>SUM(Tabla132112416[[#This Row],[PRIMER TRIMESTRE]:[CUARTO TRIMESTRE]])</f>
        <v>0</v>
      </c>
      <c r="I230" s="17">
        <v>324</v>
      </c>
      <c r="J230" s="17">
        <f t="shared" si="5"/>
        <v>0</v>
      </c>
      <c r="K230" s="17"/>
      <c r="L230" s="16" t="s">
        <v>18</v>
      </c>
      <c r="M230" s="16" t="s">
        <v>22</v>
      </c>
      <c r="N230" s="39"/>
    </row>
    <row r="231" spans="1:14" s="12" customFormat="1" ht="18">
      <c r="A231" s="178" t="s">
        <v>80</v>
      </c>
      <c r="B231" s="75" t="s">
        <v>1590</v>
      </c>
      <c r="C231" s="176" t="s">
        <v>17</v>
      </c>
      <c r="D231" s="236"/>
      <c r="E231" s="236"/>
      <c r="F231" s="236"/>
      <c r="G231" s="236"/>
      <c r="H231" s="236">
        <f>SUM(Tabla132112416[[#This Row],[PRIMER TRIMESTRE]:[CUARTO TRIMESTRE]])</f>
        <v>0</v>
      </c>
      <c r="I231" s="17">
        <v>196.4</v>
      </c>
      <c r="J231" s="17">
        <f t="shared" si="5"/>
        <v>0</v>
      </c>
      <c r="K231" s="17"/>
      <c r="L231" s="16" t="s">
        <v>18</v>
      </c>
      <c r="M231" s="16" t="s">
        <v>22</v>
      </c>
      <c r="N231" s="39"/>
    </row>
    <row r="232" spans="1:14" s="12" customFormat="1" ht="18">
      <c r="A232" s="178" t="s">
        <v>80</v>
      </c>
      <c r="B232" s="75" t="s">
        <v>1556</v>
      </c>
      <c r="C232" s="176" t="s">
        <v>17</v>
      </c>
      <c r="D232" s="236"/>
      <c r="E232" s="236"/>
      <c r="F232" s="236"/>
      <c r="G232" s="236"/>
      <c r="H232" s="236">
        <f>SUM(Tabla132112416[[#This Row],[PRIMER TRIMESTRE]:[CUARTO TRIMESTRE]])</f>
        <v>0</v>
      </c>
      <c r="I232" s="17">
        <v>390</v>
      </c>
      <c r="J232" s="17">
        <f t="shared" si="5"/>
        <v>0</v>
      </c>
      <c r="K232" s="17"/>
      <c r="L232" s="16" t="s">
        <v>18</v>
      </c>
      <c r="M232" s="16" t="s">
        <v>22</v>
      </c>
      <c r="N232" s="39"/>
    </row>
    <row r="233" spans="1:14" s="12" customFormat="1" ht="25.5">
      <c r="A233" s="178" t="s">
        <v>80</v>
      </c>
      <c r="B233" s="77" t="s">
        <v>925</v>
      </c>
      <c r="C233" s="39" t="s">
        <v>93</v>
      </c>
      <c r="D233" s="236"/>
      <c r="E233" s="236"/>
      <c r="F233" s="236"/>
      <c r="G233" s="236"/>
      <c r="H233" s="40">
        <f>SUM(Tabla132112416[[#This Row],[PRIMER TRIMESTRE]:[CUARTO TRIMESTRE]])</f>
        <v>0</v>
      </c>
      <c r="I233" s="17">
        <v>125</v>
      </c>
      <c r="J233" s="17">
        <f t="shared" si="5"/>
        <v>0</v>
      </c>
      <c r="K233" s="17"/>
      <c r="L233" s="16" t="s">
        <v>18</v>
      </c>
      <c r="M233" s="16" t="s">
        <v>22</v>
      </c>
      <c r="N233" s="39"/>
    </row>
    <row r="234" spans="1:14" s="12" customFormat="1" ht="25.5">
      <c r="A234" s="178" t="s">
        <v>80</v>
      </c>
      <c r="B234" s="77" t="s">
        <v>926</v>
      </c>
      <c r="C234" s="39" t="s">
        <v>93</v>
      </c>
      <c r="D234" s="236"/>
      <c r="E234" s="236"/>
      <c r="F234" s="236"/>
      <c r="G234" s="236"/>
      <c r="H234" s="40">
        <f>SUM(Tabla132112416[[#This Row],[PRIMER TRIMESTRE]:[CUARTO TRIMESTRE]])</f>
        <v>0</v>
      </c>
      <c r="I234" s="17">
        <v>150</v>
      </c>
      <c r="J234" s="17">
        <f t="shared" si="5"/>
        <v>0</v>
      </c>
      <c r="K234" s="17"/>
      <c r="L234" s="16" t="s">
        <v>18</v>
      </c>
      <c r="M234" s="16" t="s">
        <v>22</v>
      </c>
      <c r="N234" s="39"/>
    </row>
    <row r="235" spans="1:14" s="12" customFormat="1" ht="18">
      <c r="A235" s="178" t="s">
        <v>80</v>
      </c>
      <c r="B235" s="77" t="s">
        <v>927</v>
      </c>
      <c r="C235" s="39" t="s">
        <v>17</v>
      </c>
      <c r="D235" s="236"/>
      <c r="E235" s="236"/>
      <c r="F235" s="236"/>
      <c r="G235" s="236"/>
      <c r="H235" s="40">
        <f>SUM(Tabla132112416[[#This Row],[PRIMER TRIMESTRE]:[CUARTO TRIMESTRE]])</f>
        <v>0</v>
      </c>
      <c r="I235" s="17">
        <v>25000</v>
      </c>
      <c r="J235" s="17">
        <f t="shared" si="5"/>
        <v>0</v>
      </c>
      <c r="K235" s="17"/>
      <c r="L235" s="16" t="s">
        <v>18</v>
      </c>
      <c r="M235" s="16" t="s">
        <v>22</v>
      </c>
      <c r="N235" s="39"/>
    </row>
    <row r="236" spans="1:14" s="12" customFormat="1" ht="18">
      <c r="A236" s="178" t="s">
        <v>80</v>
      </c>
      <c r="B236" s="77" t="s">
        <v>928</v>
      </c>
      <c r="C236" s="39" t="s">
        <v>17</v>
      </c>
      <c r="D236" s="236"/>
      <c r="E236" s="236"/>
      <c r="F236" s="236"/>
      <c r="G236" s="236"/>
      <c r="H236" s="40">
        <f>SUM(Tabla132112416[[#This Row],[PRIMER TRIMESTRE]:[CUARTO TRIMESTRE]])</f>
        <v>0</v>
      </c>
      <c r="I236" s="17">
        <v>10000</v>
      </c>
      <c r="J236" s="17">
        <f t="shared" si="5"/>
        <v>0</v>
      </c>
      <c r="K236" s="17"/>
      <c r="L236" s="16" t="s">
        <v>18</v>
      </c>
      <c r="M236" s="16" t="s">
        <v>22</v>
      </c>
      <c r="N236" s="39"/>
    </row>
    <row r="237" spans="1:14" s="12" customFormat="1" ht="18">
      <c r="A237" s="178" t="s">
        <v>80</v>
      </c>
      <c r="B237" s="77" t="s">
        <v>929</v>
      </c>
      <c r="C237" s="39" t="s">
        <v>17</v>
      </c>
      <c r="D237" s="236"/>
      <c r="E237" s="236"/>
      <c r="F237" s="236"/>
      <c r="G237" s="236"/>
      <c r="H237" s="40">
        <f>SUM(Tabla132112416[[#This Row],[PRIMER TRIMESTRE]:[CUARTO TRIMESTRE]])</f>
        <v>0</v>
      </c>
      <c r="I237" s="17">
        <v>1000</v>
      </c>
      <c r="J237" s="17">
        <f t="shared" si="5"/>
        <v>0</v>
      </c>
      <c r="K237" s="17"/>
      <c r="L237" s="16" t="s">
        <v>18</v>
      </c>
      <c r="M237" s="16" t="s">
        <v>22</v>
      </c>
      <c r="N237" s="39"/>
    </row>
    <row r="238" spans="1:14" s="12" customFormat="1" ht="18">
      <c r="A238" s="178" t="s">
        <v>80</v>
      </c>
      <c r="B238" s="77" t="s">
        <v>930</v>
      </c>
      <c r="C238" s="39" t="s">
        <v>17</v>
      </c>
      <c r="D238" s="236"/>
      <c r="E238" s="236"/>
      <c r="F238" s="236"/>
      <c r="G238" s="236"/>
      <c r="H238" s="40">
        <f>SUM(Tabla132112416[[#This Row],[PRIMER TRIMESTRE]:[CUARTO TRIMESTRE]])</f>
        <v>0</v>
      </c>
      <c r="I238" s="17">
        <v>2500</v>
      </c>
      <c r="J238" s="17">
        <f t="shared" si="5"/>
        <v>0</v>
      </c>
      <c r="K238" s="17"/>
      <c r="L238" s="16" t="s">
        <v>18</v>
      </c>
      <c r="M238" s="16" t="s">
        <v>22</v>
      </c>
      <c r="N238" s="39"/>
    </row>
    <row r="239" spans="1:14" s="12" customFormat="1" ht="18">
      <c r="A239" s="178" t="s">
        <v>80</v>
      </c>
      <c r="B239" s="77" t="s">
        <v>931</v>
      </c>
      <c r="C239" s="39" t="s">
        <v>17</v>
      </c>
      <c r="D239" s="236"/>
      <c r="E239" s="236"/>
      <c r="F239" s="236"/>
      <c r="G239" s="236"/>
      <c r="H239" s="40">
        <f>SUM(Tabla132112416[[#This Row],[PRIMER TRIMESTRE]:[CUARTO TRIMESTRE]])</f>
        <v>0</v>
      </c>
      <c r="I239" s="17">
        <v>5000</v>
      </c>
      <c r="J239" s="17">
        <f t="shared" si="5"/>
        <v>0</v>
      </c>
      <c r="K239" s="17"/>
      <c r="L239" s="16" t="s">
        <v>18</v>
      </c>
      <c r="M239" s="16" t="s">
        <v>22</v>
      </c>
      <c r="N239" s="39"/>
    </row>
    <row r="240" spans="1:14" s="12" customFormat="1" ht="18">
      <c r="A240" s="178" t="s">
        <v>80</v>
      </c>
      <c r="B240" s="75" t="s">
        <v>694</v>
      </c>
      <c r="C240" s="70" t="s">
        <v>17</v>
      </c>
      <c r="D240" s="236"/>
      <c r="E240" s="210"/>
      <c r="F240" s="210"/>
      <c r="G240" s="210"/>
      <c r="H240" s="40">
        <f>SUM(Tabla132112416[[#This Row],[PRIMER TRIMESTRE]:[CUARTO TRIMESTRE]])</f>
        <v>0</v>
      </c>
      <c r="I240" s="72">
        <v>850</v>
      </c>
      <c r="J240" s="17">
        <f t="shared" si="5"/>
        <v>0</v>
      </c>
      <c r="K240" s="17"/>
      <c r="L240" s="16" t="s">
        <v>18</v>
      </c>
      <c r="M240" s="16" t="s">
        <v>22</v>
      </c>
      <c r="N240" s="39" t="s">
        <v>418</v>
      </c>
    </row>
    <row r="241" spans="1:14" s="12" customFormat="1" ht="18">
      <c r="A241" s="178" t="s">
        <v>80</v>
      </c>
      <c r="B241" s="75" t="s">
        <v>695</v>
      </c>
      <c r="C241" s="70" t="s">
        <v>17</v>
      </c>
      <c r="D241" s="236"/>
      <c r="E241" s="210"/>
      <c r="F241" s="210"/>
      <c r="G241" s="210"/>
      <c r="H241" s="40">
        <f>SUM(Tabla132112416[[#This Row],[PRIMER TRIMESTRE]:[CUARTO TRIMESTRE]])</f>
        <v>0</v>
      </c>
      <c r="I241" s="72">
        <v>850</v>
      </c>
      <c r="J241" s="17">
        <f t="shared" si="5"/>
        <v>0</v>
      </c>
      <c r="K241" s="17"/>
      <c r="L241" s="16" t="s">
        <v>18</v>
      </c>
      <c r="M241" s="16" t="s">
        <v>22</v>
      </c>
      <c r="N241" s="39" t="s">
        <v>418</v>
      </c>
    </row>
    <row r="242" spans="1:14" s="12" customFormat="1" ht="18">
      <c r="A242" s="178" t="s">
        <v>80</v>
      </c>
      <c r="B242" s="75" t="s">
        <v>1182</v>
      </c>
      <c r="C242" s="70" t="s">
        <v>17</v>
      </c>
      <c r="D242" s="236"/>
      <c r="E242" s="210"/>
      <c r="F242" s="210"/>
      <c r="G242" s="210"/>
      <c r="H242" s="40">
        <f>SUM(Tabla132112416[[#This Row],[PRIMER TRIMESTRE]:[CUARTO TRIMESTRE]])</f>
        <v>0</v>
      </c>
      <c r="I242" s="72">
        <v>850</v>
      </c>
      <c r="J242" s="17">
        <f t="shared" si="5"/>
        <v>0</v>
      </c>
      <c r="K242" s="17"/>
      <c r="L242" s="16" t="s">
        <v>18</v>
      </c>
      <c r="M242" s="16" t="s">
        <v>22</v>
      </c>
      <c r="N242" s="39" t="s">
        <v>418</v>
      </c>
    </row>
    <row r="243" spans="1:14" s="12" customFormat="1" ht="18">
      <c r="A243" s="178" t="s">
        <v>80</v>
      </c>
      <c r="B243" s="75" t="s">
        <v>1183</v>
      </c>
      <c r="C243" s="70" t="s">
        <v>17</v>
      </c>
      <c r="D243" s="236"/>
      <c r="E243" s="210"/>
      <c r="F243" s="210"/>
      <c r="G243" s="210"/>
      <c r="H243" s="40">
        <f>SUM(Tabla132112416[[#This Row],[PRIMER TRIMESTRE]:[CUARTO TRIMESTRE]])</f>
        <v>0</v>
      </c>
      <c r="I243" s="72">
        <v>850</v>
      </c>
      <c r="J243" s="17">
        <f t="shared" si="5"/>
        <v>0</v>
      </c>
      <c r="K243" s="17"/>
      <c r="L243" s="16" t="s">
        <v>18</v>
      </c>
      <c r="M243" s="16" t="s">
        <v>22</v>
      </c>
      <c r="N243" s="39" t="s">
        <v>418</v>
      </c>
    </row>
    <row r="244" spans="1:14" s="12" customFormat="1" ht="18">
      <c r="A244" s="178" t="s">
        <v>80</v>
      </c>
      <c r="B244" s="75" t="s">
        <v>1184</v>
      </c>
      <c r="C244" s="70" t="s">
        <v>17</v>
      </c>
      <c r="D244" s="236"/>
      <c r="E244" s="210"/>
      <c r="F244" s="210"/>
      <c r="G244" s="210"/>
      <c r="H244" s="40">
        <f>SUM(Tabla132112416[[#This Row],[PRIMER TRIMESTRE]:[CUARTO TRIMESTRE]])</f>
        <v>0</v>
      </c>
      <c r="I244" s="72">
        <v>850</v>
      </c>
      <c r="J244" s="17">
        <f t="shared" si="5"/>
        <v>0</v>
      </c>
      <c r="K244" s="17"/>
      <c r="L244" s="16" t="s">
        <v>18</v>
      </c>
      <c r="M244" s="16" t="s">
        <v>22</v>
      </c>
      <c r="N244" s="39" t="s">
        <v>418</v>
      </c>
    </row>
    <row r="245" spans="1:14" s="12" customFormat="1" ht="18">
      <c r="A245" s="178" t="s">
        <v>80</v>
      </c>
      <c r="B245" s="75" t="s">
        <v>1185</v>
      </c>
      <c r="C245" s="70" t="s">
        <v>17</v>
      </c>
      <c r="D245" s="236"/>
      <c r="E245" s="210"/>
      <c r="F245" s="210"/>
      <c r="G245" s="210"/>
      <c r="H245" s="40">
        <f>SUM(Tabla132112416[[#This Row],[PRIMER TRIMESTRE]:[CUARTO TRIMESTRE]])</f>
        <v>0</v>
      </c>
      <c r="I245" s="72">
        <v>850</v>
      </c>
      <c r="J245" s="17">
        <f t="shared" si="5"/>
        <v>0</v>
      </c>
      <c r="K245" s="17"/>
      <c r="L245" s="16" t="s">
        <v>18</v>
      </c>
      <c r="M245" s="16" t="s">
        <v>22</v>
      </c>
      <c r="N245" s="39" t="s">
        <v>418</v>
      </c>
    </row>
    <row r="246" spans="1:14" s="12" customFormat="1" ht="18">
      <c r="A246" s="178" t="s">
        <v>80</v>
      </c>
      <c r="B246" s="75" t="s">
        <v>696</v>
      </c>
      <c r="C246" s="70" t="s">
        <v>17</v>
      </c>
      <c r="D246" s="236"/>
      <c r="E246" s="210"/>
      <c r="F246" s="210"/>
      <c r="G246" s="210"/>
      <c r="H246" s="40">
        <f>SUM(Tabla132112416[[#This Row],[PRIMER TRIMESTRE]:[CUARTO TRIMESTRE]])</f>
        <v>0</v>
      </c>
      <c r="I246" s="72">
        <v>970</v>
      </c>
      <c r="J246" s="17">
        <f t="shared" si="5"/>
        <v>0</v>
      </c>
      <c r="K246" s="17"/>
      <c r="L246" s="16" t="s">
        <v>18</v>
      </c>
      <c r="M246" s="16" t="s">
        <v>22</v>
      </c>
      <c r="N246" s="39" t="s">
        <v>418</v>
      </c>
    </row>
    <row r="247" spans="1:14" s="12" customFormat="1" ht="18">
      <c r="A247" s="178" t="s">
        <v>80</v>
      </c>
      <c r="B247" s="75" t="s">
        <v>1186</v>
      </c>
      <c r="C247" s="70" t="s">
        <v>17</v>
      </c>
      <c r="D247" s="236"/>
      <c r="E247" s="210"/>
      <c r="F247" s="210"/>
      <c r="G247" s="210"/>
      <c r="H247" s="40">
        <f>SUM(Tabla132112416[[#This Row],[PRIMER TRIMESTRE]:[CUARTO TRIMESTRE]])</f>
        <v>0</v>
      </c>
      <c r="I247" s="72">
        <v>850</v>
      </c>
      <c r="J247" s="17">
        <f t="shared" si="5"/>
        <v>0</v>
      </c>
      <c r="K247" s="17"/>
      <c r="L247" s="16" t="s">
        <v>18</v>
      </c>
      <c r="M247" s="16" t="s">
        <v>22</v>
      </c>
      <c r="N247" s="39" t="s">
        <v>418</v>
      </c>
    </row>
    <row r="248" spans="1:14" s="12" customFormat="1" ht="18">
      <c r="A248" s="178" t="s">
        <v>80</v>
      </c>
      <c r="B248" s="75" t="s">
        <v>1187</v>
      </c>
      <c r="C248" s="70" t="s">
        <v>17</v>
      </c>
      <c r="D248" s="236"/>
      <c r="E248" s="210"/>
      <c r="F248" s="210"/>
      <c r="G248" s="210"/>
      <c r="H248" s="40">
        <f>SUM(Tabla132112416[[#This Row],[PRIMER TRIMESTRE]:[CUARTO TRIMESTRE]])</f>
        <v>0</v>
      </c>
      <c r="I248" s="72">
        <v>850</v>
      </c>
      <c r="J248" s="17">
        <f t="shared" si="5"/>
        <v>0</v>
      </c>
      <c r="K248" s="17"/>
      <c r="L248" s="16" t="s">
        <v>18</v>
      </c>
      <c r="M248" s="16" t="s">
        <v>22</v>
      </c>
      <c r="N248" s="39" t="s">
        <v>418</v>
      </c>
    </row>
    <row r="249" spans="1:14" s="12" customFormat="1" ht="18">
      <c r="A249" s="178" t="s">
        <v>80</v>
      </c>
      <c r="B249" s="75" t="s">
        <v>1188</v>
      </c>
      <c r="C249" s="70" t="s">
        <v>17</v>
      </c>
      <c r="D249" s="236"/>
      <c r="E249" s="210"/>
      <c r="F249" s="210"/>
      <c r="G249" s="210"/>
      <c r="H249" s="40">
        <f>SUM(Tabla132112416[[#This Row],[PRIMER TRIMESTRE]:[CUARTO TRIMESTRE]])</f>
        <v>0</v>
      </c>
      <c r="I249" s="72">
        <v>850</v>
      </c>
      <c r="J249" s="17">
        <f t="shared" si="5"/>
        <v>0</v>
      </c>
      <c r="K249" s="17"/>
      <c r="L249" s="16" t="s">
        <v>18</v>
      </c>
      <c r="M249" s="16" t="s">
        <v>22</v>
      </c>
      <c r="N249" s="39" t="s">
        <v>418</v>
      </c>
    </row>
    <row r="250" spans="1:14" s="12" customFormat="1" ht="18">
      <c r="A250" s="178" t="s">
        <v>80</v>
      </c>
      <c r="B250" s="75" t="s">
        <v>1189</v>
      </c>
      <c r="C250" s="70" t="s">
        <v>17</v>
      </c>
      <c r="D250" s="236"/>
      <c r="E250" s="210"/>
      <c r="F250" s="210"/>
      <c r="G250" s="210"/>
      <c r="H250" s="40">
        <f>SUM(Tabla132112416[[#This Row],[PRIMER TRIMESTRE]:[CUARTO TRIMESTRE]])</f>
        <v>0</v>
      </c>
      <c r="I250" s="72">
        <v>850</v>
      </c>
      <c r="J250" s="17">
        <f t="shared" si="5"/>
        <v>0</v>
      </c>
      <c r="K250" s="17"/>
      <c r="L250" s="16" t="s">
        <v>18</v>
      </c>
      <c r="M250" s="16" t="s">
        <v>22</v>
      </c>
      <c r="N250" s="39" t="s">
        <v>418</v>
      </c>
    </row>
    <row r="251" spans="1:14" s="12" customFormat="1" ht="18">
      <c r="A251" s="178" t="s">
        <v>80</v>
      </c>
      <c r="B251" s="75" t="s">
        <v>1190</v>
      </c>
      <c r="C251" s="70" t="s">
        <v>17</v>
      </c>
      <c r="D251" s="236"/>
      <c r="E251" s="210"/>
      <c r="F251" s="210"/>
      <c r="G251" s="210"/>
      <c r="H251" s="40">
        <f>SUM(Tabla132112416[[#This Row],[PRIMER TRIMESTRE]:[CUARTO TRIMESTRE]])</f>
        <v>0</v>
      </c>
      <c r="I251" s="72">
        <v>970</v>
      </c>
      <c r="J251" s="17">
        <f t="shared" si="5"/>
        <v>0</v>
      </c>
      <c r="K251" s="17"/>
      <c r="L251" s="16" t="s">
        <v>18</v>
      </c>
      <c r="M251" s="16" t="s">
        <v>22</v>
      </c>
      <c r="N251" s="39" t="s">
        <v>418</v>
      </c>
    </row>
    <row r="252" spans="1:14" s="12" customFormat="1" ht="18">
      <c r="A252" s="178" t="s">
        <v>80</v>
      </c>
      <c r="B252" s="75" t="s">
        <v>1191</v>
      </c>
      <c r="C252" s="70" t="s">
        <v>17</v>
      </c>
      <c r="D252" s="236"/>
      <c r="E252" s="210"/>
      <c r="F252" s="210"/>
      <c r="G252" s="210"/>
      <c r="H252" s="40">
        <f>SUM(Tabla132112416[[#This Row],[PRIMER TRIMESTRE]:[CUARTO TRIMESTRE]])</f>
        <v>0</v>
      </c>
      <c r="I252" s="72">
        <v>970</v>
      </c>
      <c r="J252" s="17">
        <f t="shared" si="5"/>
        <v>0</v>
      </c>
      <c r="K252" s="17"/>
      <c r="L252" s="16" t="s">
        <v>18</v>
      </c>
      <c r="M252" s="16" t="s">
        <v>22</v>
      </c>
      <c r="N252" s="39" t="s">
        <v>418</v>
      </c>
    </row>
    <row r="253" spans="1:14" s="12" customFormat="1" ht="18">
      <c r="A253" s="178" t="s">
        <v>80</v>
      </c>
      <c r="B253" s="75" t="s">
        <v>1192</v>
      </c>
      <c r="C253" s="70" t="s">
        <v>17</v>
      </c>
      <c r="D253" s="236"/>
      <c r="E253" s="210"/>
      <c r="F253" s="210"/>
      <c r="G253" s="210"/>
      <c r="H253" s="40">
        <f>SUM(Tabla132112416[[#This Row],[PRIMER TRIMESTRE]:[CUARTO TRIMESTRE]])</f>
        <v>0</v>
      </c>
      <c r="I253" s="72">
        <v>970</v>
      </c>
      <c r="J253" s="17">
        <f t="shared" si="5"/>
        <v>0</v>
      </c>
      <c r="K253" s="17"/>
      <c r="L253" s="16" t="s">
        <v>18</v>
      </c>
      <c r="M253" s="16" t="s">
        <v>22</v>
      </c>
      <c r="N253" s="39" t="s">
        <v>418</v>
      </c>
    </row>
    <row r="254" spans="1:14" s="12" customFormat="1" ht="18">
      <c r="A254" s="178" t="s">
        <v>80</v>
      </c>
      <c r="B254" s="75" t="s">
        <v>1193</v>
      </c>
      <c r="C254" s="70" t="s">
        <v>17</v>
      </c>
      <c r="D254" s="236"/>
      <c r="E254" s="210"/>
      <c r="F254" s="210"/>
      <c r="G254" s="210"/>
      <c r="H254" s="40">
        <f>SUM(Tabla132112416[[#This Row],[PRIMER TRIMESTRE]:[CUARTO TRIMESTRE]])</f>
        <v>0</v>
      </c>
      <c r="I254" s="72">
        <v>970</v>
      </c>
      <c r="J254" s="17">
        <f t="shared" si="5"/>
        <v>0</v>
      </c>
      <c r="K254" s="17"/>
      <c r="L254" s="16" t="s">
        <v>18</v>
      </c>
      <c r="M254" s="16" t="s">
        <v>22</v>
      </c>
      <c r="N254" s="39" t="s">
        <v>418</v>
      </c>
    </row>
    <row r="255" spans="1:14" s="12" customFormat="1" ht="18">
      <c r="A255" s="178" t="s">
        <v>80</v>
      </c>
      <c r="B255" s="75" t="s">
        <v>1194</v>
      </c>
      <c r="C255" s="70" t="s">
        <v>17</v>
      </c>
      <c r="D255" s="236"/>
      <c r="E255" s="210"/>
      <c r="F255" s="210"/>
      <c r="G255" s="210"/>
      <c r="H255" s="40">
        <f>SUM(Tabla132112416[[#This Row],[PRIMER TRIMESTRE]:[CUARTO TRIMESTRE]])</f>
        <v>0</v>
      </c>
      <c r="I255" s="72">
        <v>970</v>
      </c>
      <c r="J255" s="17">
        <f t="shared" si="5"/>
        <v>0</v>
      </c>
      <c r="K255" s="17"/>
      <c r="L255" s="16" t="s">
        <v>18</v>
      </c>
      <c r="M255" s="16" t="s">
        <v>22</v>
      </c>
      <c r="N255" s="39" t="s">
        <v>418</v>
      </c>
    </row>
    <row r="256" spans="1:14" s="12" customFormat="1" ht="18">
      <c r="A256" s="178" t="s">
        <v>80</v>
      </c>
      <c r="B256" s="75" t="s">
        <v>1195</v>
      </c>
      <c r="C256" s="70" t="s">
        <v>17</v>
      </c>
      <c r="D256" s="236"/>
      <c r="E256" s="210"/>
      <c r="F256" s="210"/>
      <c r="G256" s="210"/>
      <c r="H256" s="40">
        <f>SUM(Tabla132112416[[#This Row],[PRIMER TRIMESTRE]:[CUARTO TRIMESTRE]])</f>
        <v>0</v>
      </c>
      <c r="I256" s="72">
        <v>1870</v>
      </c>
      <c r="J256" s="17">
        <f t="shared" si="5"/>
        <v>0</v>
      </c>
      <c r="K256" s="17"/>
      <c r="L256" s="16" t="s">
        <v>18</v>
      </c>
      <c r="M256" s="16" t="s">
        <v>22</v>
      </c>
      <c r="N256" s="39" t="s">
        <v>418</v>
      </c>
    </row>
    <row r="257" spans="1:14" s="12" customFormat="1" ht="18">
      <c r="A257" s="178" t="s">
        <v>80</v>
      </c>
      <c r="B257" s="75" t="s">
        <v>1196</v>
      </c>
      <c r="C257" s="70" t="s">
        <v>17</v>
      </c>
      <c r="D257" s="236"/>
      <c r="E257" s="210"/>
      <c r="F257" s="210"/>
      <c r="G257" s="210"/>
      <c r="H257" s="40">
        <f>SUM(Tabla132112416[[#This Row],[PRIMER TRIMESTRE]:[CUARTO TRIMESTRE]])</f>
        <v>0</v>
      </c>
      <c r="I257" s="72">
        <v>2150</v>
      </c>
      <c r="J257" s="17">
        <f t="shared" si="5"/>
        <v>0</v>
      </c>
      <c r="K257" s="17"/>
      <c r="L257" s="16" t="s">
        <v>18</v>
      </c>
      <c r="M257" s="16" t="s">
        <v>22</v>
      </c>
      <c r="N257" s="39" t="s">
        <v>418</v>
      </c>
    </row>
    <row r="258" spans="1:14" s="12" customFormat="1" ht="18">
      <c r="A258" s="178" t="s">
        <v>80</v>
      </c>
      <c r="B258" s="75" t="s">
        <v>1197</v>
      </c>
      <c r="C258" s="70" t="s">
        <v>17</v>
      </c>
      <c r="D258" s="236"/>
      <c r="E258" s="210"/>
      <c r="F258" s="210"/>
      <c r="G258" s="210"/>
      <c r="H258" s="40">
        <f>SUM(Tabla132112416[[#This Row],[PRIMER TRIMESTRE]:[CUARTO TRIMESTRE]])</f>
        <v>0</v>
      </c>
      <c r="I258" s="72">
        <v>2860</v>
      </c>
      <c r="J258" s="17">
        <f t="shared" si="5"/>
        <v>0</v>
      </c>
      <c r="K258" s="17"/>
      <c r="L258" s="16" t="s">
        <v>18</v>
      </c>
      <c r="M258" s="16" t="s">
        <v>22</v>
      </c>
      <c r="N258" s="39" t="s">
        <v>418</v>
      </c>
    </row>
    <row r="259" spans="1:14" s="12" customFormat="1" ht="18">
      <c r="A259" s="178" t="s">
        <v>80</v>
      </c>
      <c r="B259" s="75" t="s">
        <v>1198</v>
      </c>
      <c r="C259" s="70" t="s">
        <v>17</v>
      </c>
      <c r="D259" s="236"/>
      <c r="E259" s="210"/>
      <c r="F259" s="210"/>
      <c r="G259" s="210"/>
      <c r="H259" s="40">
        <f>SUM(Tabla132112416[[#This Row],[PRIMER TRIMESTRE]:[CUARTO TRIMESTRE]])</f>
        <v>0</v>
      </c>
      <c r="I259" s="72">
        <v>2860</v>
      </c>
      <c r="J259" s="17">
        <f t="shared" si="5"/>
        <v>0</v>
      </c>
      <c r="K259" s="17"/>
      <c r="L259" s="16" t="s">
        <v>18</v>
      </c>
      <c r="M259" s="16" t="s">
        <v>22</v>
      </c>
      <c r="N259" s="39" t="s">
        <v>418</v>
      </c>
    </row>
    <row r="260" spans="1:14" s="12" customFormat="1" ht="18">
      <c r="A260" s="178" t="s">
        <v>80</v>
      </c>
      <c r="B260" s="75" t="s">
        <v>1199</v>
      </c>
      <c r="C260" s="70" t="s">
        <v>17</v>
      </c>
      <c r="D260" s="236"/>
      <c r="E260" s="210"/>
      <c r="F260" s="210"/>
      <c r="G260" s="210"/>
      <c r="H260" s="40">
        <f>SUM(Tabla132112416[[#This Row],[PRIMER TRIMESTRE]:[CUARTO TRIMESTRE]])</f>
        <v>0</v>
      </c>
      <c r="I260" s="72">
        <v>2860</v>
      </c>
      <c r="J260" s="17">
        <f t="shared" si="5"/>
        <v>0</v>
      </c>
      <c r="K260" s="17"/>
      <c r="L260" s="16" t="s">
        <v>18</v>
      </c>
      <c r="M260" s="16" t="s">
        <v>22</v>
      </c>
      <c r="N260" s="39" t="s">
        <v>418</v>
      </c>
    </row>
    <row r="261" spans="1:14" s="12" customFormat="1" ht="18">
      <c r="A261" s="178" t="s">
        <v>80</v>
      </c>
      <c r="B261" s="75" t="s">
        <v>1200</v>
      </c>
      <c r="C261" s="70" t="s">
        <v>17</v>
      </c>
      <c r="D261" s="236"/>
      <c r="E261" s="210"/>
      <c r="F261" s="210"/>
      <c r="G261" s="210"/>
      <c r="H261" s="40">
        <f>SUM(Tabla132112416[[#This Row],[PRIMER TRIMESTRE]:[CUARTO TRIMESTRE]])</f>
        <v>0</v>
      </c>
      <c r="I261" s="72">
        <v>2860</v>
      </c>
      <c r="J261" s="17">
        <f t="shared" si="5"/>
        <v>0</v>
      </c>
      <c r="K261" s="17"/>
      <c r="L261" s="16" t="s">
        <v>18</v>
      </c>
      <c r="M261" s="16" t="s">
        <v>22</v>
      </c>
      <c r="N261" s="39" t="s">
        <v>418</v>
      </c>
    </row>
    <row r="262" spans="1:14" s="12" customFormat="1" ht="18">
      <c r="A262" s="178" t="s">
        <v>80</v>
      </c>
      <c r="B262" s="75" t="s">
        <v>697</v>
      </c>
      <c r="C262" s="70" t="s">
        <v>17</v>
      </c>
      <c r="D262" s="236"/>
      <c r="E262" s="210"/>
      <c r="F262" s="210"/>
      <c r="G262" s="210"/>
      <c r="H262" s="40">
        <f>SUM(Tabla132112416[[#This Row],[PRIMER TRIMESTRE]:[CUARTO TRIMESTRE]])</f>
        <v>0</v>
      </c>
      <c r="I262" s="72">
        <v>1870</v>
      </c>
      <c r="J262" s="17">
        <f t="shared" si="5"/>
        <v>0</v>
      </c>
      <c r="K262" s="17"/>
      <c r="L262" s="16" t="s">
        <v>18</v>
      </c>
      <c r="M262" s="16" t="s">
        <v>22</v>
      </c>
      <c r="N262" s="39" t="s">
        <v>418</v>
      </c>
    </row>
    <row r="263" spans="1:14" s="12" customFormat="1" ht="18">
      <c r="A263" s="178" t="s">
        <v>80</v>
      </c>
      <c r="B263" s="75" t="s">
        <v>698</v>
      </c>
      <c r="C263" s="39" t="s">
        <v>17</v>
      </c>
      <c r="D263" s="236"/>
      <c r="E263" s="236"/>
      <c r="F263" s="236"/>
      <c r="G263" s="236"/>
      <c r="H263" s="40">
        <f>SUM(Tabla132112416[[#This Row],[PRIMER TRIMESTRE]:[CUARTO TRIMESTRE]])</f>
        <v>0</v>
      </c>
      <c r="I263" s="72">
        <v>2150</v>
      </c>
      <c r="J263" s="17">
        <f t="shared" si="5"/>
        <v>0</v>
      </c>
      <c r="K263" s="17"/>
      <c r="L263" s="16" t="s">
        <v>18</v>
      </c>
      <c r="M263" s="16" t="s">
        <v>22</v>
      </c>
      <c r="N263" s="39" t="s">
        <v>418</v>
      </c>
    </row>
    <row r="264" spans="1:14" s="12" customFormat="1" ht="18">
      <c r="A264" s="178" t="s">
        <v>80</v>
      </c>
      <c r="B264" s="75" t="s">
        <v>699</v>
      </c>
      <c r="C264" s="39" t="s">
        <v>17</v>
      </c>
      <c r="D264" s="236"/>
      <c r="E264" s="236"/>
      <c r="F264" s="236"/>
      <c r="G264" s="236"/>
      <c r="H264" s="40">
        <f>SUM(Tabla132112416[[#This Row],[PRIMER TRIMESTRE]:[CUARTO TRIMESTRE]])</f>
        <v>0</v>
      </c>
      <c r="I264" s="72">
        <v>2860</v>
      </c>
      <c r="J264" s="17">
        <f t="shared" si="5"/>
        <v>0</v>
      </c>
      <c r="K264" s="17"/>
      <c r="L264" s="16" t="s">
        <v>18</v>
      </c>
      <c r="M264" s="16" t="s">
        <v>22</v>
      </c>
      <c r="N264" s="39" t="s">
        <v>418</v>
      </c>
    </row>
    <row r="265" spans="1:14" s="12" customFormat="1" ht="18">
      <c r="A265" s="178" t="s">
        <v>80</v>
      </c>
      <c r="B265" s="75" t="s">
        <v>1201</v>
      </c>
      <c r="C265" s="39" t="s">
        <v>17</v>
      </c>
      <c r="D265" s="236"/>
      <c r="E265" s="236"/>
      <c r="F265" s="236"/>
      <c r="G265" s="236"/>
      <c r="H265" s="40">
        <f>SUM(Tabla132112416[[#This Row],[PRIMER TRIMESTRE]:[CUARTO TRIMESTRE]])</f>
        <v>0</v>
      </c>
      <c r="I265" s="72">
        <v>250</v>
      </c>
      <c r="J265" s="17">
        <f t="shared" si="5"/>
        <v>0</v>
      </c>
      <c r="K265" s="17"/>
      <c r="L265" s="16" t="s">
        <v>18</v>
      </c>
      <c r="M265" s="16" t="s">
        <v>22</v>
      </c>
      <c r="N265" s="39" t="s">
        <v>418</v>
      </c>
    </row>
    <row r="266" spans="1:14" s="12" customFormat="1" ht="18">
      <c r="A266" s="178" t="s">
        <v>80</v>
      </c>
      <c r="B266" s="75" t="s">
        <v>1202</v>
      </c>
      <c r="C266" s="39" t="s">
        <v>17</v>
      </c>
      <c r="D266" s="236"/>
      <c r="E266" s="236"/>
      <c r="F266" s="236"/>
      <c r="G266" s="236"/>
      <c r="H266" s="40">
        <f>SUM(Tabla132112416[[#This Row],[PRIMER TRIMESTRE]:[CUARTO TRIMESTRE]])</f>
        <v>0</v>
      </c>
      <c r="I266" s="72">
        <v>275</v>
      </c>
      <c r="J266" s="17">
        <f t="shared" si="5"/>
        <v>0</v>
      </c>
      <c r="K266" s="17"/>
      <c r="L266" s="16" t="s">
        <v>18</v>
      </c>
      <c r="M266" s="16" t="s">
        <v>22</v>
      </c>
      <c r="N266" s="39" t="s">
        <v>418</v>
      </c>
    </row>
    <row r="267" spans="1:14" s="12" customFormat="1" ht="18">
      <c r="A267" s="178" t="s">
        <v>80</v>
      </c>
      <c r="B267" s="75" t="s">
        <v>1203</v>
      </c>
      <c r="C267" s="39" t="s">
        <v>17</v>
      </c>
      <c r="D267" s="236"/>
      <c r="E267" s="236"/>
      <c r="F267" s="236"/>
      <c r="G267" s="236"/>
      <c r="H267" s="40">
        <f>SUM(Tabla132112416[[#This Row],[PRIMER TRIMESTRE]:[CUARTO TRIMESTRE]])</f>
        <v>0</v>
      </c>
      <c r="I267" s="72">
        <v>300</v>
      </c>
      <c r="J267" s="17">
        <f t="shared" si="5"/>
        <v>0</v>
      </c>
      <c r="K267" s="17"/>
      <c r="L267" s="16" t="s">
        <v>18</v>
      </c>
      <c r="M267" s="16" t="s">
        <v>22</v>
      </c>
      <c r="N267" s="39" t="s">
        <v>418</v>
      </c>
    </row>
    <row r="268" spans="1:14" s="12" customFormat="1" ht="18">
      <c r="A268" s="178" t="s">
        <v>80</v>
      </c>
      <c r="B268" s="75" t="s">
        <v>1204</v>
      </c>
      <c r="C268" s="39" t="s">
        <v>17</v>
      </c>
      <c r="D268" s="236"/>
      <c r="E268" s="236"/>
      <c r="F268" s="236"/>
      <c r="G268" s="236"/>
      <c r="H268" s="40">
        <f>SUM(Tabla132112416[[#This Row],[PRIMER TRIMESTRE]:[CUARTO TRIMESTRE]])</f>
        <v>0</v>
      </c>
      <c r="I268" s="72">
        <v>400</v>
      </c>
      <c r="J268" s="17">
        <f t="shared" si="5"/>
        <v>0</v>
      </c>
      <c r="K268" s="17"/>
      <c r="L268" s="16" t="s">
        <v>18</v>
      </c>
      <c r="M268" s="16" t="s">
        <v>22</v>
      </c>
      <c r="N268" s="39" t="s">
        <v>418</v>
      </c>
    </row>
    <row r="269" spans="1:14" s="12" customFormat="1" ht="18">
      <c r="A269" s="178" t="s">
        <v>80</v>
      </c>
      <c r="B269" s="75" t="s">
        <v>1205</v>
      </c>
      <c r="C269" s="39" t="s">
        <v>17</v>
      </c>
      <c r="D269" s="236"/>
      <c r="E269" s="236"/>
      <c r="F269" s="236"/>
      <c r="G269" s="236"/>
      <c r="H269" s="40">
        <f>SUM(Tabla132112416[[#This Row],[PRIMER TRIMESTRE]:[CUARTO TRIMESTRE]])</f>
        <v>0</v>
      </c>
      <c r="I269" s="72">
        <v>600</v>
      </c>
      <c r="J269" s="17">
        <f t="shared" si="5"/>
        <v>0</v>
      </c>
      <c r="K269" s="17"/>
      <c r="L269" s="16" t="s">
        <v>18</v>
      </c>
      <c r="M269" s="16" t="s">
        <v>22</v>
      </c>
      <c r="N269" s="39" t="s">
        <v>418</v>
      </c>
    </row>
    <row r="270" spans="1:14" s="12" customFormat="1" ht="18">
      <c r="A270" s="178" t="s">
        <v>80</v>
      </c>
      <c r="B270" s="75" t="s">
        <v>1206</v>
      </c>
      <c r="C270" s="39" t="s">
        <v>17</v>
      </c>
      <c r="D270" s="236"/>
      <c r="E270" s="236"/>
      <c r="F270" s="236"/>
      <c r="G270" s="236"/>
      <c r="H270" s="40">
        <f>SUM(Tabla132112416[[#This Row],[PRIMER TRIMESTRE]:[CUARTO TRIMESTRE]])</f>
        <v>0</v>
      </c>
      <c r="I270" s="72">
        <v>800</v>
      </c>
      <c r="J270" s="17">
        <f t="shared" si="5"/>
        <v>0</v>
      </c>
      <c r="K270" s="17"/>
      <c r="L270" s="16" t="s">
        <v>18</v>
      </c>
      <c r="M270" s="16" t="s">
        <v>22</v>
      </c>
      <c r="N270" s="39" t="s">
        <v>418</v>
      </c>
    </row>
    <row r="271" spans="1:14" s="12" customFormat="1" ht="18">
      <c r="A271" s="178" t="s">
        <v>80</v>
      </c>
      <c r="B271" s="75" t="s">
        <v>1207</v>
      </c>
      <c r="C271" s="39" t="s">
        <v>17</v>
      </c>
      <c r="D271" s="236"/>
      <c r="E271" s="236"/>
      <c r="F271" s="236"/>
      <c r="G271" s="236"/>
      <c r="H271" s="40">
        <f>SUM(Tabla132112416[[#This Row],[PRIMER TRIMESTRE]:[CUARTO TRIMESTRE]])</f>
        <v>0</v>
      </c>
      <c r="I271" s="72">
        <v>1200</v>
      </c>
      <c r="J271" s="17">
        <f t="shared" si="5"/>
        <v>0</v>
      </c>
      <c r="K271" s="17"/>
      <c r="L271" s="16" t="s">
        <v>18</v>
      </c>
      <c r="M271" s="16" t="s">
        <v>22</v>
      </c>
      <c r="N271" s="39" t="s">
        <v>418</v>
      </c>
    </row>
    <row r="272" spans="1:14" s="12" customFormat="1" ht="18">
      <c r="A272" s="178" t="s">
        <v>80</v>
      </c>
      <c r="B272" s="75" t="s">
        <v>1208</v>
      </c>
      <c r="C272" s="39" t="s">
        <v>17</v>
      </c>
      <c r="D272" s="236"/>
      <c r="E272" s="236"/>
      <c r="F272" s="236"/>
      <c r="G272" s="236"/>
      <c r="H272" s="40">
        <f>SUM(Tabla132112416[[#This Row],[PRIMER TRIMESTRE]:[CUARTO TRIMESTRE]])</f>
        <v>0</v>
      </c>
      <c r="I272" s="72">
        <v>1600</v>
      </c>
      <c r="J272" s="17">
        <f t="shared" si="5"/>
        <v>0</v>
      </c>
      <c r="K272" s="17"/>
      <c r="L272" s="16" t="s">
        <v>18</v>
      </c>
      <c r="M272" s="16" t="s">
        <v>22</v>
      </c>
      <c r="N272" s="39" t="s">
        <v>418</v>
      </c>
    </row>
    <row r="273" spans="1:14" s="12" customFormat="1" ht="18">
      <c r="A273" s="178" t="s">
        <v>80</v>
      </c>
      <c r="B273" s="75" t="s">
        <v>1209</v>
      </c>
      <c r="C273" s="39" t="s">
        <v>17</v>
      </c>
      <c r="D273" s="236"/>
      <c r="E273" s="236"/>
      <c r="F273" s="236"/>
      <c r="G273" s="236"/>
      <c r="H273" s="40">
        <f>SUM(Tabla132112416[[#This Row],[PRIMER TRIMESTRE]:[CUARTO TRIMESTRE]])</f>
        <v>0</v>
      </c>
      <c r="I273" s="72">
        <v>1800</v>
      </c>
      <c r="J273" s="17">
        <f t="shared" si="5"/>
        <v>0</v>
      </c>
      <c r="K273" s="17"/>
      <c r="L273" s="16" t="s">
        <v>18</v>
      </c>
      <c r="M273" s="16" t="s">
        <v>22</v>
      </c>
      <c r="N273" s="39" t="s">
        <v>418</v>
      </c>
    </row>
    <row r="274" spans="1:14" s="12" customFormat="1" ht="18">
      <c r="A274" s="178" t="s">
        <v>80</v>
      </c>
      <c r="B274" s="75" t="s">
        <v>1210</v>
      </c>
      <c r="C274" s="39" t="s">
        <v>17</v>
      </c>
      <c r="D274" s="236"/>
      <c r="E274" s="236"/>
      <c r="F274" s="236"/>
      <c r="G274" s="236"/>
      <c r="H274" s="40">
        <f>SUM(Tabla132112416[[#This Row],[PRIMER TRIMESTRE]:[CUARTO TRIMESTRE]])</f>
        <v>0</v>
      </c>
      <c r="I274" s="72">
        <v>2000</v>
      </c>
      <c r="J274" s="17">
        <f t="shared" si="5"/>
        <v>0</v>
      </c>
      <c r="K274" s="17"/>
      <c r="L274" s="16" t="s">
        <v>18</v>
      </c>
      <c r="M274" s="16" t="s">
        <v>22</v>
      </c>
      <c r="N274" s="39" t="s">
        <v>418</v>
      </c>
    </row>
    <row r="275" spans="1:14" s="12" customFormat="1" ht="18">
      <c r="A275" s="178" t="s">
        <v>80</v>
      </c>
      <c r="B275" s="75" t="s">
        <v>1211</v>
      </c>
      <c r="C275" s="39" t="s">
        <v>17</v>
      </c>
      <c r="D275" s="236"/>
      <c r="E275" s="236"/>
      <c r="F275" s="236"/>
      <c r="G275" s="236"/>
      <c r="H275" s="40">
        <f>SUM(Tabla132112416[[#This Row],[PRIMER TRIMESTRE]:[CUARTO TRIMESTRE]])</f>
        <v>0</v>
      </c>
      <c r="I275" s="72">
        <v>3200</v>
      </c>
      <c r="J275" s="17">
        <f t="shared" si="5"/>
        <v>0</v>
      </c>
      <c r="K275" s="17"/>
      <c r="L275" s="16" t="s">
        <v>18</v>
      </c>
      <c r="M275" s="16" t="s">
        <v>22</v>
      </c>
      <c r="N275" s="39" t="s">
        <v>418</v>
      </c>
    </row>
    <row r="276" spans="1:14" s="12" customFormat="1" ht="18">
      <c r="A276" s="178" t="s">
        <v>80</v>
      </c>
      <c r="B276" s="75" t="s">
        <v>1212</v>
      </c>
      <c r="C276" s="39" t="s">
        <v>17</v>
      </c>
      <c r="D276" s="236"/>
      <c r="E276" s="236"/>
      <c r="F276" s="236"/>
      <c r="G276" s="236"/>
      <c r="H276" s="40">
        <f>SUM(Tabla132112416[[#This Row],[PRIMER TRIMESTRE]:[CUARTO TRIMESTRE]])</f>
        <v>0</v>
      </c>
      <c r="I276" s="72">
        <v>3800</v>
      </c>
      <c r="J276" s="17">
        <f t="shared" si="5"/>
        <v>0</v>
      </c>
      <c r="K276" s="17"/>
      <c r="L276" s="16" t="s">
        <v>18</v>
      </c>
      <c r="M276" s="16" t="s">
        <v>22</v>
      </c>
      <c r="N276" s="39" t="s">
        <v>418</v>
      </c>
    </row>
    <row r="277" spans="1:14" s="12" customFormat="1" ht="18">
      <c r="A277" s="178" t="s">
        <v>80</v>
      </c>
      <c r="B277" s="75" t="s">
        <v>580</v>
      </c>
      <c r="C277" s="39" t="s">
        <v>17</v>
      </c>
      <c r="D277" s="236"/>
      <c r="E277" s="236"/>
      <c r="F277" s="236"/>
      <c r="G277" s="236"/>
      <c r="H277" s="40">
        <f>SUM(Tabla132112416[[#This Row],[PRIMER TRIMESTRE]:[CUARTO TRIMESTRE]])</f>
        <v>0</v>
      </c>
      <c r="I277" s="17">
        <v>29</v>
      </c>
      <c r="J277" s="17">
        <f t="shared" si="5"/>
        <v>0</v>
      </c>
      <c r="K277" s="17"/>
      <c r="L277" s="16" t="s">
        <v>18</v>
      </c>
      <c r="M277" s="16" t="s">
        <v>22</v>
      </c>
      <c r="N277" s="39" t="s">
        <v>418</v>
      </c>
    </row>
    <row r="278" spans="1:14" s="12" customFormat="1" ht="18">
      <c r="A278" s="178" t="s">
        <v>80</v>
      </c>
      <c r="B278" s="75" t="s">
        <v>579</v>
      </c>
      <c r="C278" s="39" t="s">
        <v>17</v>
      </c>
      <c r="D278" s="236"/>
      <c r="E278" s="236"/>
      <c r="F278" s="236"/>
      <c r="G278" s="236"/>
      <c r="H278" s="40">
        <f>SUM(Tabla132112416[[#This Row],[PRIMER TRIMESTRE]:[CUARTO TRIMESTRE]])</f>
        <v>0</v>
      </c>
      <c r="I278" s="17">
        <v>31.16</v>
      </c>
      <c r="J278" s="17">
        <f t="shared" si="5"/>
        <v>0</v>
      </c>
      <c r="K278" s="17"/>
      <c r="L278" s="16" t="s">
        <v>18</v>
      </c>
      <c r="M278" s="16" t="s">
        <v>22</v>
      </c>
      <c r="N278" s="39" t="s">
        <v>418</v>
      </c>
    </row>
    <row r="279" spans="1:14" s="12" customFormat="1" ht="18">
      <c r="A279" s="178" t="s">
        <v>80</v>
      </c>
      <c r="B279" s="75" t="s">
        <v>581</v>
      </c>
      <c r="C279" s="39" t="s">
        <v>17</v>
      </c>
      <c r="D279" s="236"/>
      <c r="E279" s="236"/>
      <c r="F279" s="236"/>
      <c r="G279" s="236"/>
      <c r="H279" s="40">
        <f>SUM(Tabla132112416[[#This Row],[PRIMER TRIMESTRE]:[CUARTO TRIMESTRE]])</f>
        <v>0</v>
      </c>
      <c r="I279" s="17">
        <v>54.52</v>
      </c>
      <c r="J279" s="17">
        <f t="shared" si="5"/>
        <v>0</v>
      </c>
      <c r="K279" s="17"/>
      <c r="L279" s="16" t="s">
        <v>18</v>
      </c>
      <c r="M279" s="16" t="s">
        <v>22</v>
      </c>
      <c r="N279" s="39" t="s">
        <v>418</v>
      </c>
    </row>
    <row r="280" spans="1:14" s="12" customFormat="1" ht="18">
      <c r="A280" s="178" t="s">
        <v>80</v>
      </c>
      <c r="B280" s="75" t="s">
        <v>582</v>
      </c>
      <c r="C280" s="39" t="s">
        <v>17</v>
      </c>
      <c r="D280" s="236"/>
      <c r="E280" s="236"/>
      <c r="F280" s="236"/>
      <c r="G280" s="236"/>
      <c r="H280" s="40">
        <f>SUM(Tabla132112416[[#This Row],[PRIMER TRIMESTRE]:[CUARTO TRIMESTRE]])</f>
        <v>0</v>
      </c>
      <c r="I280" s="17">
        <v>55.84</v>
      </c>
      <c r="J280" s="17">
        <f t="shared" si="5"/>
        <v>0</v>
      </c>
      <c r="K280" s="17"/>
      <c r="L280" s="16" t="s">
        <v>18</v>
      </c>
      <c r="M280" s="16" t="s">
        <v>22</v>
      </c>
      <c r="N280" s="39" t="s">
        <v>418</v>
      </c>
    </row>
    <row r="281" spans="1:14" s="12" customFormat="1" ht="18">
      <c r="A281" s="178" t="s">
        <v>80</v>
      </c>
      <c r="B281" s="75" t="s">
        <v>583</v>
      </c>
      <c r="C281" s="39" t="s">
        <v>17</v>
      </c>
      <c r="D281" s="236"/>
      <c r="E281" s="236"/>
      <c r="F281" s="236"/>
      <c r="G281" s="236"/>
      <c r="H281" s="40">
        <f>SUM(Tabla132112416[[#This Row],[PRIMER TRIMESTRE]:[CUARTO TRIMESTRE]])</f>
        <v>0</v>
      </c>
      <c r="I281" s="17">
        <v>67.28</v>
      </c>
      <c r="J281" s="17">
        <f t="shared" si="5"/>
        <v>0</v>
      </c>
      <c r="K281" s="17"/>
      <c r="L281" s="16" t="s">
        <v>18</v>
      </c>
      <c r="M281" s="16" t="s">
        <v>22</v>
      </c>
      <c r="N281" s="39" t="s">
        <v>418</v>
      </c>
    </row>
    <row r="282" spans="1:14" s="12" customFormat="1" ht="18">
      <c r="A282" s="178" t="s">
        <v>80</v>
      </c>
      <c r="B282" s="75" t="s">
        <v>584</v>
      </c>
      <c r="C282" s="39" t="s">
        <v>17</v>
      </c>
      <c r="D282" s="236"/>
      <c r="E282" s="236"/>
      <c r="F282" s="236"/>
      <c r="G282" s="236"/>
      <c r="H282" s="40">
        <f>SUM(Tabla132112416[[#This Row],[PRIMER TRIMESTRE]:[CUARTO TRIMESTRE]])</f>
        <v>0</v>
      </c>
      <c r="I282" s="17">
        <v>68.28</v>
      </c>
      <c r="J282" s="17">
        <f t="shared" si="5"/>
        <v>0</v>
      </c>
      <c r="K282" s="17"/>
      <c r="L282" s="16" t="s">
        <v>18</v>
      </c>
      <c r="M282" s="16" t="s">
        <v>22</v>
      </c>
      <c r="N282" s="39" t="s">
        <v>418</v>
      </c>
    </row>
    <row r="283" spans="1:14" s="12" customFormat="1" ht="18">
      <c r="A283" s="178" t="s">
        <v>80</v>
      </c>
      <c r="B283" s="75" t="s">
        <v>585</v>
      </c>
      <c r="C283" s="39" t="s">
        <v>17</v>
      </c>
      <c r="D283" s="236"/>
      <c r="E283" s="236"/>
      <c r="F283" s="236"/>
      <c r="G283" s="236"/>
      <c r="H283" s="40">
        <f>SUM(Tabla132112416[[#This Row],[PRIMER TRIMESTRE]:[CUARTO TRIMESTRE]])</f>
        <v>0</v>
      </c>
      <c r="I283" s="17">
        <v>80</v>
      </c>
      <c r="J283" s="17">
        <f t="shared" si="5"/>
        <v>0</v>
      </c>
      <c r="K283" s="17"/>
      <c r="L283" s="16" t="s">
        <v>18</v>
      </c>
      <c r="M283" s="16" t="s">
        <v>22</v>
      </c>
      <c r="N283" s="39" t="s">
        <v>418</v>
      </c>
    </row>
    <row r="284" spans="1:14" s="12" customFormat="1" ht="18">
      <c r="A284" s="178" t="s">
        <v>80</v>
      </c>
      <c r="B284" s="75" t="s">
        <v>586</v>
      </c>
      <c r="C284" s="39" t="s">
        <v>17</v>
      </c>
      <c r="D284" s="236"/>
      <c r="E284" s="236"/>
      <c r="F284" s="236"/>
      <c r="G284" s="236"/>
      <c r="H284" s="40">
        <f>SUM(Tabla132112416[[#This Row],[PRIMER TRIMESTRE]:[CUARTO TRIMESTRE]])</f>
        <v>0</v>
      </c>
      <c r="I284" s="72">
        <v>85</v>
      </c>
      <c r="J284" s="17">
        <f t="shared" si="5"/>
        <v>0</v>
      </c>
      <c r="K284" s="17"/>
      <c r="L284" s="16" t="s">
        <v>18</v>
      </c>
      <c r="M284" s="16" t="s">
        <v>22</v>
      </c>
      <c r="N284" s="39" t="s">
        <v>418</v>
      </c>
    </row>
    <row r="285" spans="1:14" s="12" customFormat="1" ht="18">
      <c r="A285" s="178" t="s">
        <v>80</v>
      </c>
      <c r="B285" s="75" t="s">
        <v>587</v>
      </c>
      <c r="C285" s="39" t="s">
        <v>17</v>
      </c>
      <c r="D285" s="236"/>
      <c r="E285" s="236"/>
      <c r="F285" s="236"/>
      <c r="G285" s="236"/>
      <c r="H285" s="40">
        <f>SUM(Tabla132112416[[#This Row],[PRIMER TRIMESTRE]:[CUARTO TRIMESTRE]])</f>
        <v>0</v>
      </c>
      <c r="I285" s="72">
        <v>1044.3</v>
      </c>
      <c r="J285" s="17">
        <f t="shared" ref="J285:J292" si="6">+H285*I285</f>
        <v>0</v>
      </c>
      <c r="K285" s="17"/>
      <c r="L285" s="16" t="s">
        <v>18</v>
      </c>
      <c r="M285" s="16" t="s">
        <v>22</v>
      </c>
      <c r="N285" s="39" t="s">
        <v>418</v>
      </c>
    </row>
    <row r="286" spans="1:14" s="12" customFormat="1" ht="18">
      <c r="A286" s="178" t="s">
        <v>80</v>
      </c>
      <c r="B286" s="75" t="s">
        <v>588</v>
      </c>
      <c r="C286" s="39" t="s">
        <v>17</v>
      </c>
      <c r="D286" s="236"/>
      <c r="E286" s="236"/>
      <c r="F286" s="236"/>
      <c r="G286" s="236"/>
      <c r="H286" s="40">
        <f>SUM(Tabla132112416[[#This Row],[PRIMER TRIMESTRE]:[CUARTO TRIMESTRE]])</f>
        <v>0</v>
      </c>
      <c r="I286" s="17">
        <v>1000</v>
      </c>
      <c r="J286" s="17">
        <f t="shared" si="6"/>
        <v>0</v>
      </c>
      <c r="K286" s="17"/>
      <c r="L286" s="16" t="s">
        <v>18</v>
      </c>
      <c r="M286" s="16" t="s">
        <v>22</v>
      </c>
      <c r="N286" s="39" t="s">
        <v>418</v>
      </c>
    </row>
    <row r="287" spans="1:14" s="12" customFormat="1" ht="18">
      <c r="A287" s="178" t="s">
        <v>80</v>
      </c>
      <c r="B287" s="75" t="s">
        <v>589</v>
      </c>
      <c r="C287" s="39" t="s">
        <v>17</v>
      </c>
      <c r="D287" s="236"/>
      <c r="E287" s="236"/>
      <c r="F287" s="236"/>
      <c r="G287" s="236"/>
      <c r="H287" s="40">
        <f>SUM(Tabla132112416[[#This Row],[PRIMER TRIMESTRE]:[CUARTO TRIMESTRE]])</f>
        <v>0</v>
      </c>
      <c r="I287" s="72">
        <v>1144.5999999999999</v>
      </c>
      <c r="J287" s="17">
        <f t="shared" si="6"/>
        <v>0</v>
      </c>
      <c r="K287" s="17"/>
      <c r="L287" s="16" t="s">
        <v>18</v>
      </c>
      <c r="M287" s="16" t="s">
        <v>22</v>
      </c>
      <c r="N287" s="39" t="s">
        <v>418</v>
      </c>
    </row>
    <row r="288" spans="1:14" s="12" customFormat="1" ht="18">
      <c r="A288" s="178" t="s">
        <v>80</v>
      </c>
      <c r="B288" s="75" t="s">
        <v>590</v>
      </c>
      <c r="C288" s="39" t="s">
        <v>17</v>
      </c>
      <c r="D288" s="236"/>
      <c r="E288" s="236"/>
      <c r="F288" s="236"/>
      <c r="G288" s="236"/>
      <c r="H288" s="40">
        <f>SUM(Tabla132112416[[#This Row],[PRIMER TRIMESTRE]:[CUARTO TRIMESTRE]])</f>
        <v>0</v>
      </c>
      <c r="I288" s="72">
        <v>1534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</row>
    <row r="289" spans="1:14" s="12" customFormat="1" ht="18">
      <c r="A289" s="178" t="s">
        <v>80</v>
      </c>
      <c r="B289" s="75" t="s">
        <v>1546</v>
      </c>
      <c r="C289" s="39" t="s">
        <v>17</v>
      </c>
      <c r="D289" s="236"/>
      <c r="E289" s="236"/>
      <c r="F289" s="236"/>
      <c r="G289" s="236"/>
      <c r="H289" s="236">
        <f>SUM(Tabla132112416[[#This Row],[PRIMER TRIMESTRE]:[CUARTO TRIMESTRE]])</f>
        <v>0</v>
      </c>
      <c r="I289" s="72">
        <v>910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</row>
    <row r="290" spans="1:14" s="12" customFormat="1" ht="18">
      <c r="A290" s="178" t="s">
        <v>80</v>
      </c>
      <c r="B290" s="75" t="s">
        <v>594</v>
      </c>
      <c r="C290" s="39" t="s">
        <v>17</v>
      </c>
      <c r="D290" s="236"/>
      <c r="E290" s="236"/>
      <c r="F290" s="236"/>
      <c r="G290" s="236"/>
      <c r="H290" s="40">
        <f>SUM(Tabla132112416[[#This Row],[PRIMER TRIMESTRE]:[CUARTO TRIMESTRE]])</f>
        <v>0</v>
      </c>
      <c r="I290" s="17">
        <v>6.37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</row>
    <row r="291" spans="1:14" s="12" customFormat="1" ht="18">
      <c r="A291" s="178" t="s">
        <v>80</v>
      </c>
      <c r="B291" s="75" t="s">
        <v>595</v>
      </c>
      <c r="C291" s="39" t="s">
        <v>17</v>
      </c>
      <c r="D291" s="236"/>
      <c r="E291" s="236"/>
      <c r="F291" s="236"/>
      <c r="G291" s="236"/>
      <c r="H291" s="40">
        <f>SUM(Tabla132112416[[#This Row],[PRIMER TRIMESTRE]:[CUARTO TRIMESTRE]])</f>
        <v>0</v>
      </c>
      <c r="I291" s="17">
        <v>11.82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</row>
    <row r="292" spans="1:14" s="12" customFormat="1" ht="18">
      <c r="A292" s="178" t="s">
        <v>80</v>
      </c>
      <c r="B292" s="75" t="s">
        <v>596</v>
      </c>
      <c r="C292" s="39" t="s">
        <v>17</v>
      </c>
      <c r="D292" s="236"/>
      <c r="E292" s="236"/>
      <c r="F292" s="236"/>
      <c r="G292" s="236"/>
      <c r="H292" s="40">
        <f>SUM(Tabla132112416[[#This Row],[PRIMER TRIMESTRE]:[CUARTO TRIMESTRE]])</f>
        <v>0</v>
      </c>
      <c r="I292" s="17">
        <v>15.46</v>
      </c>
      <c r="J292" s="17">
        <f t="shared" si="6"/>
        <v>0</v>
      </c>
      <c r="K292" s="17"/>
      <c r="L292" s="16" t="s">
        <v>18</v>
      </c>
      <c r="M292" s="16" t="s">
        <v>22</v>
      </c>
      <c r="N292" s="39" t="s">
        <v>418</v>
      </c>
    </row>
    <row r="293" spans="1:14" s="12" customFormat="1" ht="18">
      <c r="A293" s="178" t="s">
        <v>80</v>
      </c>
      <c r="B293" s="75" t="s">
        <v>592</v>
      </c>
      <c r="C293" s="39" t="s">
        <v>17</v>
      </c>
      <c r="D293" s="236"/>
      <c r="E293" s="236"/>
      <c r="F293" s="236"/>
      <c r="G293" s="236"/>
      <c r="H293" s="40">
        <f>SUM(Tabla132112416[[#This Row],[PRIMER TRIMESTRE]:[CUARTO TRIMESTRE]])</f>
        <v>0</v>
      </c>
      <c r="I293" s="17">
        <v>103.84</v>
      </c>
      <c r="J293" s="17">
        <f>+Tabla132112416[[#This Row],[CANTIDAD TOTAL]]*Tabla132112416[[#This Row],[PRECIO UNITARIO ESTIMADO]]</f>
        <v>0</v>
      </c>
      <c r="K293" s="17"/>
      <c r="L293" s="16" t="s">
        <v>18</v>
      </c>
      <c r="M293" s="16" t="s">
        <v>22</v>
      </c>
      <c r="N293" s="39" t="s">
        <v>418</v>
      </c>
    </row>
    <row r="294" spans="1:14" s="12" customFormat="1" ht="18">
      <c r="A294" s="178" t="s">
        <v>80</v>
      </c>
      <c r="B294" s="75" t="s">
        <v>593</v>
      </c>
      <c r="C294" s="39" t="s">
        <v>17</v>
      </c>
      <c r="D294" s="236"/>
      <c r="E294" s="236"/>
      <c r="F294" s="236"/>
      <c r="G294" s="236"/>
      <c r="H294" s="40">
        <f>SUM(Tabla132112416[[#This Row],[PRIMER TRIMESTRE]:[CUARTO TRIMESTRE]])</f>
        <v>0</v>
      </c>
      <c r="I294" s="17">
        <v>22.42</v>
      </c>
      <c r="J294" s="17">
        <f>+Tabla132112416[[#This Row],[CANTIDAD TOTAL]]*Tabla132112416[[#This Row],[PRECIO UNITARIO ESTIMADO]]</f>
        <v>0</v>
      </c>
      <c r="K294" s="17"/>
      <c r="L294" s="16" t="s">
        <v>18</v>
      </c>
      <c r="M294" s="16" t="s">
        <v>22</v>
      </c>
      <c r="N294" s="39" t="s">
        <v>418</v>
      </c>
    </row>
    <row r="295" spans="1:14" s="12" customFormat="1" ht="18">
      <c r="A295" s="178" t="s">
        <v>80</v>
      </c>
      <c r="B295" s="75" t="s">
        <v>591</v>
      </c>
      <c r="C295" s="39" t="s">
        <v>17</v>
      </c>
      <c r="D295" s="236"/>
      <c r="E295" s="236"/>
      <c r="F295" s="236"/>
      <c r="G295" s="236"/>
      <c r="H295" s="236">
        <f>SUM(Tabla132112416[[#This Row],[PRIMER TRIMESTRE]:[CUARTO TRIMESTRE]])</f>
        <v>0</v>
      </c>
      <c r="I295" s="17">
        <v>489.7</v>
      </c>
      <c r="J295" s="17">
        <f>+Tabla132112416[[#This Row],[CANTIDAD TOTAL]]*Tabla132112416[[#This Row],[PRECIO UNITARIO ESTIMADO]]</f>
        <v>0</v>
      </c>
      <c r="K295" s="17"/>
      <c r="L295" s="16" t="s">
        <v>18</v>
      </c>
      <c r="M295" s="16" t="s">
        <v>22</v>
      </c>
      <c r="N295" s="39" t="s">
        <v>418</v>
      </c>
    </row>
    <row r="296" spans="1:14" s="12" customFormat="1" ht="18">
      <c r="A296" s="178" t="s">
        <v>80</v>
      </c>
      <c r="B296" s="75" t="s">
        <v>1531</v>
      </c>
      <c r="C296" s="176" t="s">
        <v>17</v>
      </c>
      <c r="D296" s="236"/>
      <c r="E296" s="236"/>
      <c r="F296" s="236"/>
      <c r="G296" s="236"/>
      <c r="H296" s="236">
        <f>SUM(Tabla132112416[[#This Row],[PRIMER TRIMESTRE]:[CUARTO TRIMESTRE]])</f>
        <v>0</v>
      </c>
      <c r="I296" s="17">
        <v>486.29</v>
      </c>
      <c r="J296" s="17">
        <f>+H296*I296</f>
        <v>0</v>
      </c>
      <c r="K296" s="17"/>
      <c r="L296" s="16" t="s">
        <v>18</v>
      </c>
      <c r="M296" s="16" t="s">
        <v>22</v>
      </c>
      <c r="N296" s="39" t="s">
        <v>418</v>
      </c>
    </row>
    <row r="297" spans="1:14" s="12" customFormat="1" ht="18">
      <c r="A297" s="178" t="s">
        <v>80</v>
      </c>
      <c r="B297" s="75" t="s">
        <v>616</v>
      </c>
      <c r="C297" s="39" t="s">
        <v>17</v>
      </c>
      <c r="D297" s="236"/>
      <c r="E297" s="236"/>
      <c r="F297" s="236"/>
      <c r="G297" s="236"/>
      <c r="H297" s="40">
        <f>SUM(Tabla132112416[[#This Row],[PRIMER TRIMESTRE]:[CUARTO TRIMESTRE]])</f>
        <v>0</v>
      </c>
      <c r="I297" s="17">
        <v>767</v>
      </c>
      <c r="J297" s="17">
        <f>+Tabla132112416[[#This Row],[CANTIDAD TOTAL]]*Tabla132112416[[#This Row],[PRECIO UNITARIO ESTIMADO]]</f>
        <v>0</v>
      </c>
      <c r="K297" s="17"/>
      <c r="L297" s="16" t="s">
        <v>18</v>
      </c>
      <c r="M297" s="16" t="s">
        <v>22</v>
      </c>
      <c r="N297" s="39" t="s">
        <v>418</v>
      </c>
    </row>
    <row r="298" spans="1:14" s="12" customFormat="1" ht="18">
      <c r="A298" s="178" t="s">
        <v>80</v>
      </c>
      <c r="B298" s="75" t="s">
        <v>617</v>
      </c>
      <c r="C298" s="39" t="s">
        <v>17</v>
      </c>
      <c r="D298" s="236"/>
      <c r="E298" s="236"/>
      <c r="F298" s="236"/>
      <c r="G298" s="236"/>
      <c r="H298" s="40">
        <f>SUM(Tabla132112416[[#This Row],[PRIMER TRIMESTRE]:[CUARTO TRIMESTRE]])</f>
        <v>0</v>
      </c>
      <c r="I298" s="17">
        <v>1003</v>
      </c>
      <c r="J298" s="17">
        <f t="shared" ref="J298:J314" si="7">+H298*I298</f>
        <v>0</v>
      </c>
      <c r="K298" s="17"/>
      <c r="L298" s="16" t="s">
        <v>18</v>
      </c>
      <c r="M298" s="16" t="s">
        <v>22</v>
      </c>
      <c r="N298" s="39" t="s">
        <v>418</v>
      </c>
    </row>
    <row r="299" spans="1:14" s="12" customFormat="1" ht="18">
      <c r="A299" s="178" t="s">
        <v>80</v>
      </c>
      <c r="B299" s="75" t="s">
        <v>618</v>
      </c>
      <c r="C299" s="39" t="s">
        <v>17</v>
      </c>
      <c r="D299" s="236"/>
      <c r="E299" s="236"/>
      <c r="F299" s="236"/>
      <c r="G299" s="236"/>
      <c r="H299" s="40">
        <f>SUM(Tabla132112416[[#This Row],[PRIMER TRIMESTRE]:[CUARTO TRIMESTRE]])</f>
        <v>0</v>
      </c>
      <c r="I299" s="17">
        <v>1357</v>
      </c>
      <c r="J299" s="17">
        <f t="shared" si="7"/>
        <v>0</v>
      </c>
      <c r="K299" s="17"/>
      <c r="L299" s="16" t="s">
        <v>18</v>
      </c>
      <c r="M299" s="16" t="s">
        <v>22</v>
      </c>
      <c r="N299" s="39" t="s">
        <v>418</v>
      </c>
    </row>
    <row r="300" spans="1:14" s="12" customFormat="1" ht="18">
      <c r="A300" s="178" t="s">
        <v>80</v>
      </c>
      <c r="B300" s="75" t="s">
        <v>619</v>
      </c>
      <c r="C300" s="39" t="s">
        <v>17</v>
      </c>
      <c r="D300" s="236"/>
      <c r="E300" s="236"/>
      <c r="F300" s="236"/>
      <c r="G300" s="236"/>
      <c r="H300" s="40">
        <f>SUM(Tabla132112416[[#This Row],[PRIMER TRIMESTRE]:[CUARTO TRIMESTRE]])</f>
        <v>0</v>
      </c>
      <c r="I300" s="17">
        <v>2950</v>
      </c>
      <c r="J300" s="17">
        <f t="shared" si="7"/>
        <v>0</v>
      </c>
      <c r="K300" s="17"/>
      <c r="L300" s="16" t="s">
        <v>18</v>
      </c>
      <c r="M300" s="16" t="s">
        <v>22</v>
      </c>
      <c r="N300" s="39" t="s">
        <v>418</v>
      </c>
    </row>
    <row r="301" spans="1:14" s="12" customFormat="1" ht="18">
      <c r="A301" s="178" t="s">
        <v>80</v>
      </c>
      <c r="B301" s="75" t="s">
        <v>620</v>
      </c>
      <c r="C301" s="39" t="s">
        <v>17</v>
      </c>
      <c r="D301" s="236"/>
      <c r="E301" s="236"/>
      <c r="F301" s="236"/>
      <c r="G301" s="236"/>
      <c r="H301" s="40">
        <f>SUM(Tabla132112416[[#This Row],[PRIMER TRIMESTRE]:[CUARTO TRIMESTRE]])</f>
        <v>0</v>
      </c>
      <c r="I301" s="17">
        <v>4484</v>
      </c>
      <c r="J301" s="17">
        <f t="shared" si="7"/>
        <v>0</v>
      </c>
      <c r="K301" s="17"/>
      <c r="L301" s="16" t="s">
        <v>18</v>
      </c>
      <c r="M301" s="16" t="s">
        <v>22</v>
      </c>
      <c r="N301" s="39" t="s">
        <v>418</v>
      </c>
    </row>
    <row r="302" spans="1:14" s="12" customFormat="1" ht="18">
      <c r="A302" s="178" t="s">
        <v>80</v>
      </c>
      <c r="B302" s="75" t="s">
        <v>621</v>
      </c>
      <c r="C302" s="39" t="s">
        <v>17</v>
      </c>
      <c r="D302" s="236"/>
      <c r="E302" s="236"/>
      <c r="F302" s="236"/>
      <c r="G302" s="236"/>
      <c r="H302" s="40">
        <f>SUM(Tabla132112416[[#This Row],[PRIMER TRIMESTRE]:[CUARTO TRIMESTRE]])</f>
        <v>0</v>
      </c>
      <c r="I302" s="17">
        <v>6372</v>
      </c>
      <c r="J302" s="17">
        <f t="shared" si="7"/>
        <v>0</v>
      </c>
      <c r="K302" s="17"/>
      <c r="L302" s="16" t="s">
        <v>18</v>
      </c>
      <c r="M302" s="16" t="s">
        <v>22</v>
      </c>
      <c r="N302" s="39" t="s">
        <v>418</v>
      </c>
    </row>
    <row r="303" spans="1:14" s="12" customFormat="1" ht="18">
      <c r="A303" s="178" t="s">
        <v>80</v>
      </c>
      <c r="B303" s="75" t="s">
        <v>622</v>
      </c>
      <c r="C303" s="39" t="s">
        <v>17</v>
      </c>
      <c r="D303" s="236"/>
      <c r="E303" s="236"/>
      <c r="F303" s="236"/>
      <c r="G303" s="236"/>
      <c r="H303" s="40">
        <f>SUM(Tabla132112416[[#This Row],[PRIMER TRIMESTRE]:[CUARTO TRIMESTRE]])</f>
        <v>0</v>
      </c>
      <c r="I303" s="17">
        <v>11092</v>
      </c>
      <c r="J303" s="17">
        <f t="shared" si="7"/>
        <v>0</v>
      </c>
      <c r="K303" s="17"/>
      <c r="L303" s="16" t="s">
        <v>18</v>
      </c>
      <c r="M303" s="16" t="s">
        <v>22</v>
      </c>
      <c r="N303" s="39" t="s">
        <v>418</v>
      </c>
    </row>
    <row r="304" spans="1:14" s="12" customFormat="1" ht="18">
      <c r="A304" s="178" t="s">
        <v>80</v>
      </c>
      <c r="B304" s="75" t="s">
        <v>623</v>
      </c>
      <c r="C304" s="39" t="s">
        <v>17</v>
      </c>
      <c r="D304" s="236"/>
      <c r="E304" s="236"/>
      <c r="F304" s="236"/>
      <c r="G304" s="236"/>
      <c r="H304" s="40">
        <f>SUM(Tabla132112416[[#This Row],[PRIMER TRIMESTRE]:[CUARTO TRIMESTRE]])</f>
        <v>0</v>
      </c>
      <c r="I304" s="17">
        <v>13924</v>
      </c>
      <c r="J304" s="17">
        <f t="shared" si="7"/>
        <v>0</v>
      </c>
      <c r="K304" s="17"/>
      <c r="L304" s="16" t="s">
        <v>18</v>
      </c>
      <c r="M304" s="16" t="s">
        <v>22</v>
      </c>
      <c r="N304" s="39" t="s">
        <v>418</v>
      </c>
    </row>
    <row r="305" spans="1:14" s="12" customFormat="1" ht="18">
      <c r="A305" s="178" t="s">
        <v>80</v>
      </c>
      <c r="B305" s="75" t="s">
        <v>624</v>
      </c>
      <c r="C305" s="39" t="s">
        <v>17</v>
      </c>
      <c r="D305" s="236"/>
      <c r="E305" s="236"/>
      <c r="F305" s="236"/>
      <c r="G305" s="236"/>
      <c r="H305" s="40">
        <f>SUM(Tabla132112416[[#This Row],[PRIMER TRIMESTRE]:[CUARTO TRIMESTRE]])</f>
        <v>0</v>
      </c>
      <c r="I305" s="17">
        <v>20886</v>
      </c>
      <c r="J305" s="17">
        <f t="shared" si="7"/>
        <v>0</v>
      </c>
      <c r="K305" s="17"/>
      <c r="L305" s="16" t="s">
        <v>18</v>
      </c>
      <c r="M305" s="16" t="s">
        <v>22</v>
      </c>
      <c r="N305" s="39" t="s">
        <v>418</v>
      </c>
    </row>
    <row r="306" spans="1:14" s="12" customFormat="1" ht="18">
      <c r="A306" s="178" t="s">
        <v>80</v>
      </c>
      <c r="B306" s="75" t="s">
        <v>625</v>
      </c>
      <c r="C306" s="39" t="s">
        <v>17</v>
      </c>
      <c r="D306" s="236"/>
      <c r="E306" s="236"/>
      <c r="F306" s="236"/>
      <c r="G306" s="236"/>
      <c r="H306" s="40">
        <f>SUM(Tabla132112416[[#This Row],[PRIMER TRIMESTRE]:[CUARTO TRIMESTRE]])</f>
        <v>0</v>
      </c>
      <c r="I306" s="17">
        <v>1121</v>
      </c>
      <c r="J306" s="17">
        <f t="shared" si="7"/>
        <v>0</v>
      </c>
      <c r="K306" s="17"/>
      <c r="L306" s="16" t="s">
        <v>18</v>
      </c>
      <c r="M306" s="16" t="s">
        <v>22</v>
      </c>
      <c r="N306" s="39" t="s">
        <v>418</v>
      </c>
    </row>
    <row r="307" spans="1:14" s="12" customFormat="1" ht="18">
      <c r="A307" s="178" t="s">
        <v>80</v>
      </c>
      <c r="B307" s="75" t="s">
        <v>626</v>
      </c>
      <c r="C307" s="39" t="s">
        <v>17</v>
      </c>
      <c r="D307" s="236"/>
      <c r="E307" s="236"/>
      <c r="F307" s="236"/>
      <c r="G307" s="236"/>
      <c r="H307" s="40">
        <f>SUM(Tabla132112416[[#This Row],[PRIMER TRIMESTRE]:[CUARTO TRIMESTRE]])</f>
        <v>0</v>
      </c>
      <c r="I307" s="17">
        <v>1239</v>
      </c>
      <c r="J307" s="17">
        <f t="shared" si="7"/>
        <v>0</v>
      </c>
      <c r="K307" s="17"/>
      <c r="L307" s="16" t="s">
        <v>18</v>
      </c>
      <c r="M307" s="16" t="s">
        <v>22</v>
      </c>
      <c r="N307" s="39" t="s">
        <v>418</v>
      </c>
    </row>
    <row r="308" spans="1:14" s="12" customFormat="1" ht="18">
      <c r="A308" s="178" t="s">
        <v>80</v>
      </c>
      <c r="B308" s="75" t="s">
        <v>627</v>
      </c>
      <c r="C308" s="39" t="s">
        <v>17</v>
      </c>
      <c r="D308" s="236"/>
      <c r="E308" s="236"/>
      <c r="F308" s="236"/>
      <c r="G308" s="236"/>
      <c r="H308" s="40">
        <f>SUM(Tabla132112416[[#This Row],[PRIMER TRIMESTRE]:[CUARTO TRIMESTRE]])</f>
        <v>0</v>
      </c>
      <c r="I308" s="17">
        <v>1593</v>
      </c>
      <c r="J308" s="17">
        <f t="shared" si="7"/>
        <v>0</v>
      </c>
      <c r="K308" s="17"/>
      <c r="L308" s="16" t="s">
        <v>18</v>
      </c>
      <c r="M308" s="16" t="s">
        <v>22</v>
      </c>
      <c r="N308" s="39" t="s">
        <v>418</v>
      </c>
    </row>
    <row r="309" spans="1:14" s="12" customFormat="1" ht="18">
      <c r="A309" s="178" t="s">
        <v>80</v>
      </c>
      <c r="B309" s="75" t="s">
        <v>628</v>
      </c>
      <c r="C309" s="39" t="s">
        <v>17</v>
      </c>
      <c r="D309" s="236"/>
      <c r="E309" s="236"/>
      <c r="F309" s="236"/>
      <c r="G309" s="236"/>
      <c r="H309" s="40">
        <f>SUM(Tabla132112416[[#This Row],[PRIMER TRIMESTRE]:[CUARTO TRIMESTRE]])</f>
        <v>0</v>
      </c>
      <c r="I309" s="17">
        <v>3717</v>
      </c>
      <c r="J309" s="17">
        <f t="shared" si="7"/>
        <v>0</v>
      </c>
      <c r="K309" s="17"/>
      <c r="L309" s="16" t="s">
        <v>18</v>
      </c>
      <c r="M309" s="16" t="s">
        <v>22</v>
      </c>
      <c r="N309" s="39" t="s">
        <v>418</v>
      </c>
    </row>
    <row r="310" spans="1:14" s="12" customFormat="1" ht="18">
      <c r="A310" s="178" t="s">
        <v>80</v>
      </c>
      <c r="B310" s="75" t="s">
        <v>629</v>
      </c>
      <c r="C310" s="39" t="s">
        <v>17</v>
      </c>
      <c r="D310" s="236"/>
      <c r="E310" s="236"/>
      <c r="F310" s="236"/>
      <c r="G310" s="236"/>
      <c r="H310" s="40">
        <f>SUM(Tabla132112416[[#This Row],[PRIMER TRIMESTRE]:[CUARTO TRIMESTRE]])</f>
        <v>0</v>
      </c>
      <c r="I310" s="17">
        <v>5133</v>
      </c>
      <c r="J310" s="17">
        <f t="shared" si="7"/>
        <v>0</v>
      </c>
      <c r="K310" s="17"/>
      <c r="L310" s="16" t="s">
        <v>18</v>
      </c>
      <c r="M310" s="16" t="s">
        <v>22</v>
      </c>
      <c r="N310" s="39" t="s">
        <v>418</v>
      </c>
    </row>
    <row r="311" spans="1:14" s="12" customFormat="1" ht="18">
      <c r="A311" s="178" t="s">
        <v>80</v>
      </c>
      <c r="B311" s="75" t="s">
        <v>630</v>
      </c>
      <c r="C311" s="39" t="s">
        <v>17</v>
      </c>
      <c r="D311" s="236"/>
      <c r="E311" s="236"/>
      <c r="F311" s="236"/>
      <c r="G311" s="236"/>
      <c r="H311" s="40">
        <f>SUM(Tabla132112416[[#This Row],[PRIMER TRIMESTRE]:[CUARTO TRIMESTRE]])</f>
        <v>0</v>
      </c>
      <c r="I311" s="17">
        <v>7127</v>
      </c>
      <c r="J311" s="17">
        <f t="shared" si="7"/>
        <v>0</v>
      </c>
      <c r="K311" s="17"/>
      <c r="L311" s="16" t="s">
        <v>18</v>
      </c>
      <c r="M311" s="16" t="s">
        <v>22</v>
      </c>
      <c r="N311" s="39" t="s">
        <v>418</v>
      </c>
    </row>
    <row r="312" spans="1:14" s="12" customFormat="1" ht="18">
      <c r="A312" s="178" t="s">
        <v>80</v>
      </c>
      <c r="B312" s="75" t="s">
        <v>631</v>
      </c>
      <c r="C312" s="39" t="s">
        <v>17</v>
      </c>
      <c r="D312" s="236"/>
      <c r="E312" s="236"/>
      <c r="F312" s="236"/>
      <c r="G312" s="236"/>
      <c r="H312" s="40">
        <f>SUM(Tabla132112416[[#This Row],[PRIMER TRIMESTRE]:[CUARTO TRIMESTRE]])</f>
        <v>0</v>
      </c>
      <c r="I312" s="17">
        <v>12580</v>
      </c>
      <c r="J312" s="17">
        <f t="shared" si="7"/>
        <v>0</v>
      </c>
      <c r="K312" s="17"/>
      <c r="L312" s="16" t="s">
        <v>18</v>
      </c>
      <c r="M312" s="16" t="s">
        <v>22</v>
      </c>
      <c r="N312" s="39" t="s">
        <v>418</v>
      </c>
    </row>
    <row r="313" spans="1:14" s="12" customFormat="1" ht="18">
      <c r="A313" s="178" t="s">
        <v>80</v>
      </c>
      <c r="B313" s="75" t="s">
        <v>632</v>
      </c>
      <c r="C313" s="39" t="s">
        <v>17</v>
      </c>
      <c r="D313" s="236"/>
      <c r="E313" s="236"/>
      <c r="F313" s="236"/>
      <c r="G313" s="236"/>
      <c r="H313" s="40">
        <f>SUM(Tabla132112416[[#This Row],[PRIMER TRIMESTRE]:[CUARTO TRIMESTRE]])</f>
        <v>0</v>
      </c>
      <c r="I313" s="17">
        <v>15045</v>
      </c>
      <c r="J313" s="17">
        <f t="shared" si="7"/>
        <v>0</v>
      </c>
      <c r="K313" s="17"/>
      <c r="L313" s="16" t="s">
        <v>18</v>
      </c>
      <c r="M313" s="16" t="s">
        <v>22</v>
      </c>
      <c r="N313" s="39" t="s">
        <v>418</v>
      </c>
    </row>
    <row r="314" spans="1:14" s="12" customFormat="1" ht="18">
      <c r="A314" s="178" t="s">
        <v>80</v>
      </c>
      <c r="B314" s="75" t="s">
        <v>633</v>
      </c>
      <c r="C314" s="39" t="s">
        <v>17</v>
      </c>
      <c r="D314" s="236"/>
      <c r="E314" s="236"/>
      <c r="F314" s="236"/>
      <c r="G314" s="236"/>
      <c r="H314" s="40">
        <f>SUM(Tabla132112416[[#This Row],[PRIMER TRIMESTRE]:[CUARTO TRIMESTRE]])</f>
        <v>0</v>
      </c>
      <c r="I314" s="17">
        <v>22396.400000000001</v>
      </c>
      <c r="J314" s="17">
        <f t="shared" si="7"/>
        <v>0</v>
      </c>
      <c r="K314" s="17"/>
      <c r="L314" s="16" t="s">
        <v>18</v>
      </c>
      <c r="M314" s="16" t="s">
        <v>22</v>
      </c>
      <c r="N314" s="39" t="s">
        <v>418</v>
      </c>
    </row>
    <row r="315" spans="1:14" s="12" customFormat="1" ht="18">
      <c r="A315" s="178" t="s">
        <v>80</v>
      </c>
      <c r="B315" s="75" t="s">
        <v>129</v>
      </c>
      <c r="C315" s="39" t="s">
        <v>17</v>
      </c>
      <c r="D315" s="236"/>
      <c r="E315" s="236"/>
      <c r="F315" s="236"/>
      <c r="G315" s="236"/>
      <c r="H315" s="40">
        <f>SUM(Tabla132112416[[#This Row],[PRIMER TRIMESTRE]:[CUARTO TRIMESTRE]])</f>
        <v>0</v>
      </c>
      <c r="I315" s="17">
        <v>3.52</v>
      </c>
      <c r="J315" s="17">
        <f>+Tabla132112416[[#This Row],[CANTIDAD TOTAL]]*Tabla132112416[[#This Row],[PRECIO UNITARIO ESTIMADO]]</f>
        <v>0</v>
      </c>
      <c r="K315" s="17"/>
      <c r="L315" s="16" t="s">
        <v>18</v>
      </c>
      <c r="M315" s="16" t="s">
        <v>22</v>
      </c>
      <c r="N315" s="39" t="s">
        <v>418</v>
      </c>
    </row>
    <row r="316" spans="1:14" s="12" customFormat="1" ht="18">
      <c r="A316" s="178" t="s">
        <v>80</v>
      </c>
      <c r="B316" s="75" t="s">
        <v>131</v>
      </c>
      <c r="C316" s="39" t="s">
        <v>17</v>
      </c>
      <c r="D316" s="236"/>
      <c r="E316" s="236"/>
      <c r="F316" s="236"/>
      <c r="G316" s="236"/>
      <c r="H316" s="40">
        <f>SUM(Tabla132112416[[#This Row],[PRIMER TRIMESTRE]:[CUARTO TRIMESTRE]])</f>
        <v>0</v>
      </c>
      <c r="I316" s="17">
        <v>5.86</v>
      </c>
      <c r="J316" s="17">
        <f>+Tabla132112416[[#This Row],[CANTIDAD TOTAL]]*Tabla132112416[[#This Row],[PRECIO UNITARIO ESTIMADO]]</f>
        <v>0</v>
      </c>
      <c r="K316" s="17"/>
      <c r="L316" s="16" t="s">
        <v>18</v>
      </c>
      <c r="M316" s="16" t="s">
        <v>22</v>
      </c>
      <c r="N316" s="39" t="s">
        <v>418</v>
      </c>
    </row>
    <row r="317" spans="1:14" s="12" customFormat="1" ht="18">
      <c r="A317" s="178" t="s">
        <v>80</v>
      </c>
      <c r="B317" s="75" t="s">
        <v>473</v>
      </c>
      <c r="C317" s="39" t="s">
        <v>17</v>
      </c>
      <c r="D317" s="236"/>
      <c r="E317" s="236"/>
      <c r="F317" s="236"/>
      <c r="G317" s="236"/>
      <c r="H317" s="40">
        <f>SUM(Tabla132112416[[#This Row],[PRIMER TRIMESTRE]:[CUARTO TRIMESTRE]])</f>
        <v>0</v>
      </c>
      <c r="I317" s="17">
        <v>15.46</v>
      </c>
      <c r="J317" s="17">
        <f>+H317*I317</f>
        <v>0</v>
      </c>
      <c r="K317" s="17"/>
      <c r="L317" s="16" t="s">
        <v>18</v>
      </c>
      <c r="M317" s="16" t="s">
        <v>22</v>
      </c>
      <c r="N317" s="39" t="s">
        <v>418</v>
      </c>
    </row>
    <row r="318" spans="1:14" s="12" customFormat="1" ht="18">
      <c r="A318" s="178" t="s">
        <v>80</v>
      </c>
      <c r="B318" s="75" t="s">
        <v>661</v>
      </c>
      <c r="C318" s="39" t="s">
        <v>17</v>
      </c>
      <c r="D318" s="236"/>
      <c r="E318" s="236"/>
      <c r="F318" s="236"/>
      <c r="G318" s="236"/>
      <c r="H318" s="40">
        <f>SUM(Tabla132112416[[#This Row],[PRIMER TRIMESTRE]:[CUARTO TRIMESTRE]])</f>
        <v>0</v>
      </c>
      <c r="I318" s="72">
        <v>15.46</v>
      </c>
      <c r="J318" s="17">
        <f>+H318*I318</f>
        <v>0</v>
      </c>
      <c r="K318" s="17"/>
      <c r="L318" s="16" t="s">
        <v>18</v>
      </c>
      <c r="M318" s="16" t="s">
        <v>22</v>
      </c>
      <c r="N318" s="39" t="s">
        <v>418</v>
      </c>
    </row>
    <row r="319" spans="1:14" s="12" customFormat="1" ht="18">
      <c r="A319" s="178" t="s">
        <v>80</v>
      </c>
      <c r="B319" s="75" t="s">
        <v>133</v>
      </c>
      <c r="C319" s="39" t="s">
        <v>17</v>
      </c>
      <c r="D319" s="236"/>
      <c r="E319" s="236"/>
      <c r="F319" s="236"/>
      <c r="G319" s="236"/>
      <c r="H319" s="40">
        <f>SUM(Tabla132112416[[#This Row],[PRIMER TRIMESTRE]:[CUARTO TRIMESTRE]])</f>
        <v>0</v>
      </c>
      <c r="I319" s="17">
        <v>40.17</v>
      </c>
      <c r="J319" s="17">
        <f>+Tabla132112416[[#This Row],[CANTIDAD TOTAL]]*Tabla132112416[[#This Row],[PRECIO UNITARIO ESTIMADO]]</f>
        <v>0</v>
      </c>
      <c r="K319" s="17"/>
      <c r="L319" s="16" t="s">
        <v>18</v>
      </c>
      <c r="M319" s="16" t="s">
        <v>22</v>
      </c>
      <c r="N319" s="39" t="s">
        <v>418</v>
      </c>
    </row>
    <row r="320" spans="1:14" s="12" customFormat="1" ht="18">
      <c r="A320" s="178" t="s">
        <v>80</v>
      </c>
      <c r="B320" s="75" t="s">
        <v>135</v>
      </c>
      <c r="C320" s="39" t="s">
        <v>17</v>
      </c>
      <c r="D320" s="236"/>
      <c r="E320" s="236"/>
      <c r="F320" s="236"/>
      <c r="G320" s="236"/>
      <c r="H320" s="40">
        <f>SUM(Tabla132112416[[#This Row],[PRIMER TRIMESTRE]:[CUARTO TRIMESTRE]])</f>
        <v>0</v>
      </c>
      <c r="I320" s="17">
        <v>116.85</v>
      </c>
      <c r="J320" s="17">
        <f>+Tabla132112416[[#This Row],[CANTIDAD TOTAL]]*Tabla132112416[[#This Row],[PRECIO UNITARIO ESTIMADO]]</f>
        <v>0</v>
      </c>
      <c r="K320" s="17"/>
      <c r="L320" s="16" t="s">
        <v>18</v>
      </c>
      <c r="M320" s="16" t="s">
        <v>22</v>
      </c>
      <c r="N320" s="39" t="s">
        <v>418</v>
      </c>
    </row>
    <row r="321" spans="1:14" s="12" customFormat="1" ht="18">
      <c r="A321" s="178" t="s">
        <v>80</v>
      </c>
      <c r="B321" s="75" t="s">
        <v>597</v>
      </c>
      <c r="C321" s="39" t="s">
        <v>17</v>
      </c>
      <c r="D321" s="236"/>
      <c r="E321" s="236"/>
      <c r="F321" s="236"/>
      <c r="G321" s="236"/>
      <c r="H321" s="40">
        <f>SUM(Tabla132112416[[#This Row],[PRIMER TRIMESTRE]:[CUARTO TRIMESTRE]])</f>
        <v>0</v>
      </c>
      <c r="I321" s="72">
        <v>107.31</v>
      </c>
      <c r="J321" s="17">
        <f t="shared" ref="J321:J331" si="8">+H321*I321</f>
        <v>0</v>
      </c>
      <c r="K321" s="17"/>
      <c r="L321" s="16" t="s">
        <v>18</v>
      </c>
      <c r="M321" s="16" t="s">
        <v>22</v>
      </c>
      <c r="N321" s="39" t="s">
        <v>418</v>
      </c>
    </row>
    <row r="322" spans="1:14" s="12" customFormat="1" ht="18">
      <c r="A322" s="178" t="s">
        <v>80</v>
      </c>
      <c r="B322" s="75" t="s">
        <v>1532</v>
      </c>
      <c r="C322" s="176" t="s">
        <v>17</v>
      </c>
      <c r="D322" s="236"/>
      <c r="E322" s="236"/>
      <c r="F322" s="236"/>
      <c r="G322" s="236"/>
      <c r="H322" s="236">
        <f>SUM(Tabla132112416[[#This Row],[PRIMER TRIMESTRE]:[CUARTO TRIMESTRE]])</f>
        <v>0</v>
      </c>
      <c r="I322" s="72">
        <v>300</v>
      </c>
      <c r="J322" s="72">
        <f t="shared" si="8"/>
        <v>0</v>
      </c>
      <c r="K322" s="17"/>
      <c r="L322" s="16" t="s">
        <v>18</v>
      </c>
      <c r="M322" s="16" t="s">
        <v>22</v>
      </c>
      <c r="N322" s="39" t="s">
        <v>418</v>
      </c>
    </row>
    <row r="323" spans="1:14" s="12" customFormat="1" ht="18">
      <c r="A323" s="178" t="s">
        <v>80</v>
      </c>
      <c r="B323" s="75" t="s">
        <v>1533</v>
      </c>
      <c r="C323" s="176" t="s">
        <v>17</v>
      </c>
      <c r="D323" s="236"/>
      <c r="E323" s="236"/>
      <c r="F323" s="236"/>
      <c r="G323" s="236"/>
      <c r="H323" s="236">
        <f>SUM(Tabla132112416[[#This Row],[PRIMER TRIMESTRE]:[CUARTO TRIMESTRE]])</f>
        <v>0</v>
      </c>
      <c r="I323" s="72">
        <v>845.5</v>
      </c>
      <c r="J323" s="72">
        <f t="shared" si="8"/>
        <v>0</v>
      </c>
      <c r="K323" s="17"/>
      <c r="L323" s="16" t="s">
        <v>18</v>
      </c>
      <c r="M323" s="16" t="s">
        <v>22</v>
      </c>
      <c r="N323" s="39" t="s">
        <v>418</v>
      </c>
    </row>
    <row r="324" spans="1:14" s="12" customFormat="1" ht="18">
      <c r="A324" s="178" t="s">
        <v>80</v>
      </c>
      <c r="B324" s="75" t="s">
        <v>1535</v>
      </c>
      <c r="C324" s="176" t="s">
        <v>17</v>
      </c>
      <c r="D324" s="236"/>
      <c r="E324" s="236"/>
      <c r="F324" s="236"/>
      <c r="G324" s="236"/>
      <c r="H324" s="236">
        <f>SUM(Tabla132112416[[#This Row],[PRIMER TRIMESTRE]:[CUARTO TRIMESTRE]])</f>
        <v>0</v>
      </c>
      <c r="I324" s="72">
        <v>3192.99</v>
      </c>
      <c r="J324" s="72">
        <f t="shared" si="8"/>
        <v>0</v>
      </c>
      <c r="K324" s="17"/>
      <c r="L324" s="16" t="s">
        <v>18</v>
      </c>
      <c r="M324" s="16" t="s">
        <v>22</v>
      </c>
      <c r="N324" s="39" t="s">
        <v>418</v>
      </c>
    </row>
    <row r="325" spans="1:14" s="12" customFormat="1" ht="18">
      <c r="A325" s="178" t="s">
        <v>80</v>
      </c>
      <c r="B325" s="75" t="s">
        <v>1724</v>
      </c>
      <c r="C325" s="176" t="s">
        <v>17</v>
      </c>
      <c r="D325" s="236"/>
      <c r="E325" s="236"/>
      <c r="F325" s="236"/>
      <c r="G325" s="236"/>
      <c r="H325" s="40">
        <v>0</v>
      </c>
      <c r="I325" s="72">
        <v>0</v>
      </c>
      <c r="J325" s="72">
        <v>0</v>
      </c>
      <c r="K325" s="17"/>
      <c r="L325" s="16" t="s">
        <v>18</v>
      </c>
      <c r="M325" s="16" t="s">
        <v>22</v>
      </c>
      <c r="N325" s="39" t="s">
        <v>418</v>
      </c>
    </row>
    <row r="326" spans="1:14" s="12" customFormat="1" ht="51">
      <c r="A326" s="178" t="s">
        <v>80</v>
      </c>
      <c r="B326" s="75" t="s">
        <v>1536</v>
      </c>
      <c r="C326" s="176" t="s">
        <v>17</v>
      </c>
      <c r="D326" s="236"/>
      <c r="E326" s="236"/>
      <c r="F326" s="236"/>
      <c r="G326" s="236"/>
      <c r="H326" s="236">
        <f>SUM(Tabla132112416[[#This Row],[PRIMER TRIMESTRE]:[CUARTO TRIMESTRE]])</f>
        <v>0</v>
      </c>
      <c r="I326" s="72">
        <v>45017.279999999999</v>
      </c>
      <c r="J326" s="72">
        <f t="shared" si="8"/>
        <v>0</v>
      </c>
      <c r="K326" s="17"/>
      <c r="L326" s="16" t="s">
        <v>18</v>
      </c>
      <c r="M326" s="16" t="s">
        <v>22</v>
      </c>
      <c r="N326" s="39" t="s">
        <v>418</v>
      </c>
    </row>
    <row r="327" spans="1:14" s="12" customFormat="1" ht="18">
      <c r="A327" s="178" t="s">
        <v>80</v>
      </c>
      <c r="B327" s="75" t="s">
        <v>1340</v>
      </c>
      <c r="C327" s="39" t="s">
        <v>17</v>
      </c>
      <c r="D327" s="236"/>
      <c r="E327" s="236"/>
      <c r="F327" s="236"/>
      <c r="G327" s="236"/>
      <c r="H327" s="40">
        <f>SUM(Tabla132112416[[#This Row],[PRIMER TRIMESTRE]:[CUARTO TRIMESTRE]])</f>
        <v>0</v>
      </c>
      <c r="I327" s="72">
        <v>348.1</v>
      </c>
      <c r="J327" s="17">
        <f t="shared" si="8"/>
        <v>0</v>
      </c>
      <c r="K327" s="17"/>
      <c r="L327" s="16" t="s">
        <v>18</v>
      </c>
      <c r="M327" s="16" t="s">
        <v>22</v>
      </c>
      <c r="N327" s="39" t="s">
        <v>418</v>
      </c>
    </row>
    <row r="328" spans="1:14" s="12" customFormat="1" ht="18">
      <c r="A328" s="178" t="s">
        <v>80</v>
      </c>
      <c r="B328" s="75" t="s">
        <v>1537</v>
      </c>
      <c r="C328" s="39" t="s">
        <v>17</v>
      </c>
      <c r="D328" s="236"/>
      <c r="E328" s="236"/>
      <c r="F328" s="236"/>
      <c r="G328" s="236"/>
      <c r="H328" s="236">
        <f>SUM(Tabla132112416[[#This Row],[PRIMER TRIMESTRE]:[CUARTO TRIMESTRE]])</f>
        <v>0</v>
      </c>
      <c r="I328" s="72">
        <v>7623.81</v>
      </c>
      <c r="J328" s="72">
        <f t="shared" si="8"/>
        <v>0</v>
      </c>
      <c r="K328" s="17"/>
      <c r="L328" s="16" t="s">
        <v>18</v>
      </c>
      <c r="M328" s="16" t="s">
        <v>22</v>
      </c>
      <c r="N328" s="39" t="s">
        <v>418</v>
      </c>
    </row>
    <row r="329" spans="1:14" s="12" customFormat="1" ht="18">
      <c r="A329" s="178" t="s">
        <v>80</v>
      </c>
      <c r="B329" s="75" t="s">
        <v>1341</v>
      </c>
      <c r="C329" s="39" t="s">
        <v>17</v>
      </c>
      <c r="D329" s="236"/>
      <c r="E329" s="236"/>
      <c r="F329" s="236"/>
      <c r="G329" s="236"/>
      <c r="H329" s="40">
        <f>SUM(Tabla132112416[[#This Row],[PRIMER TRIMESTRE]:[CUARTO TRIMESTRE]])</f>
        <v>0</v>
      </c>
      <c r="I329" s="72">
        <v>88.5</v>
      </c>
      <c r="J329" s="17">
        <f t="shared" si="8"/>
        <v>0</v>
      </c>
      <c r="K329" s="17"/>
      <c r="L329" s="16" t="s">
        <v>18</v>
      </c>
      <c r="M329" s="16" t="s">
        <v>22</v>
      </c>
      <c r="N329" s="39" t="s">
        <v>418</v>
      </c>
    </row>
    <row r="330" spans="1:14" s="12" customFormat="1" ht="18">
      <c r="A330" s="178" t="s">
        <v>80</v>
      </c>
      <c r="B330" s="75" t="s">
        <v>1342</v>
      </c>
      <c r="C330" s="39" t="s">
        <v>17</v>
      </c>
      <c r="D330" s="236"/>
      <c r="E330" s="236"/>
      <c r="F330" s="236"/>
      <c r="G330" s="236"/>
      <c r="H330" s="40">
        <f>SUM(Tabla132112416[[#This Row],[PRIMER TRIMESTRE]:[CUARTO TRIMESTRE]])</f>
        <v>0</v>
      </c>
      <c r="I330" s="72">
        <v>165.2</v>
      </c>
      <c r="J330" s="17">
        <f t="shared" si="8"/>
        <v>0</v>
      </c>
      <c r="K330" s="17"/>
      <c r="L330" s="16" t="s">
        <v>18</v>
      </c>
      <c r="M330" s="16" t="s">
        <v>22</v>
      </c>
      <c r="N330" s="39" t="s">
        <v>418</v>
      </c>
    </row>
    <row r="331" spans="1:14" s="12" customFormat="1" ht="18">
      <c r="A331" s="178" t="s">
        <v>80</v>
      </c>
      <c r="B331" s="75" t="s">
        <v>1343</v>
      </c>
      <c r="C331" s="39" t="s">
        <v>17</v>
      </c>
      <c r="D331" s="236"/>
      <c r="E331" s="236"/>
      <c r="F331" s="236"/>
      <c r="G331" s="236"/>
      <c r="H331" s="40">
        <f>SUM(Tabla132112416[[#This Row],[PRIMER TRIMESTRE]:[CUARTO TRIMESTRE]])</f>
        <v>0</v>
      </c>
      <c r="I331" s="72">
        <v>855.5</v>
      </c>
      <c r="J331" s="17">
        <f t="shared" si="8"/>
        <v>0</v>
      </c>
      <c r="K331" s="17"/>
      <c r="L331" s="16" t="s">
        <v>18</v>
      </c>
      <c r="M331" s="16" t="s">
        <v>22</v>
      </c>
      <c r="N331" s="39" t="s">
        <v>418</v>
      </c>
    </row>
    <row r="332" spans="1:14" s="12" customFormat="1" ht="18">
      <c r="A332" s="178" t="s">
        <v>80</v>
      </c>
      <c r="B332" s="75" t="s">
        <v>571</v>
      </c>
      <c r="C332" s="39" t="s">
        <v>17</v>
      </c>
      <c r="D332" s="236"/>
      <c r="E332" s="236"/>
      <c r="F332" s="236"/>
      <c r="G332" s="236"/>
      <c r="H332" s="40">
        <f>SUM(Tabla132112416[[#This Row],[PRIMER TRIMESTRE]:[CUARTO TRIMESTRE]])</f>
        <v>0</v>
      </c>
      <c r="I332" s="17">
        <v>12159.7</v>
      </c>
      <c r="J332" s="17">
        <f>+Tabla132112416[[#This Row],[CANTIDAD TOTAL]]*Tabla132112416[[#This Row],[PRECIO UNITARIO ESTIMADO]]</f>
        <v>0</v>
      </c>
      <c r="K332" s="17"/>
      <c r="L332" s="16" t="s">
        <v>18</v>
      </c>
      <c r="M332" s="16" t="s">
        <v>22</v>
      </c>
      <c r="N332" s="39" t="s">
        <v>418</v>
      </c>
    </row>
    <row r="333" spans="1:14" s="12" customFormat="1" ht="18">
      <c r="A333" s="178" t="s">
        <v>80</v>
      </c>
      <c r="B333" s="75" t="s">
        <v>186</v>
      </c>
      <c r="C333" s="39" t="s">
        <v>17</v>
      </c>
      <c r="D333" s="236"/>
      <c r="E333" s="236"/>
      <c r="F333" s="236"/>
      <c r="G333" s="236"/>
      <c r="H333" s="40">
        <f>SUM(Tabla132112416[[#This Row],[PRIMER TRIMESTRE]:[CUARTO TRIMESTRE]])</f>
        <v>0</v>
      </c>
      <c r="I333" s="17">
        <v>2600</v>
      </c>
      <c r="J333" s="17">
        <f>+Tabla132112416[[#This Row],[CANTIDAD TOTAL]]*Tabla132112416[[#This Row],[PRECIO UNITARIO ESTIMADO]]</f>
        <v>0</v>
      </c>
      <c r="K333" s="17"/>
      <c r="L333" s="16" t="s">
        <v>18</v>
      </c>
      <c r="M333" s="16" t="s">
        <v>22</v>
      </c>
      <c r="N333" s="39" t="s">
        <v>418</v>
      </c>
    </row>
    <row r="334" spans="1:14" s="12" customFormat="1" ht="18">
      <c r="A334" s="178" t="s">
        <v>80</v>
      </c>
      <c r="B334" s="75" t="s">
        <v>1550</v>
      </c>
      <c r="C334" s="39" t="s">
        <v>17</v>
      </c>
      <c r="D334" s="236"/>
      <c r="E334" s="236"/>
      <c r="F334" s="236"/>
      <c r="G334" s="236"/>
      <c r="H334" s="236">
        <f>SUM(Tabla132112416[[#This Row],[PRIMER TRIMESTRE]:[CUARTO TRIMESTRE]])</f>
        <v>0</v>
      </c>
      <c r="I334" s="17">
        <v>317.27</v>
      </c>
      <c r="J334" s="17">
        <f>+H334*I334</f>
        <v>0</v>
      </c>
      <c r="K334" s="17"/>
      <c r="L334" s="16" t="s">
        <v>18</v>
      </c>
      <c r="M334" s="16" t="s">
        <v>22</v>
      </c>
      <c r="N334" s="39" t="s">
        <v>418</v>
      </c>
    </row>
    <row r="335" spans="1:14" s="12" customFormat="1" ht="18">
      <c r="A335" s="178" t="s">
        <v>80</v>
      </c>
      <c r="B335" s="75" t="s">
        <v>148</v>
      </c>
      <c r="C335" s="39" t="s">
        <v>149</v>
      </c>
      <c r="D335" s="236"/>
      <c r="E335" s="236"/>
      <c r="F335" s="236"/>
      <c r="G335" s="236"/>
      <c r="H335" s="40">
        <f>SUM(Tabla132112416[[#This Row],[PRIMER TRIMESTRE]:[CUARTO TRIMESTRE]])</f>
        <v>0</v>
      </c>
      <c r="I335" s="17">
        <v>127.6</v>
      </c>
      <c r="J335" s="17">
        <f>+Tabla132112416[[#This Row],[CANTIDAD TOTAL]]*Tabla132112416[[#This Row],[PRECIO UNITARIO ESTIMADO]]</f>
        <v>0</v>
      </c>
      <c r="K335" s="17"/>
      <c r="L335" s="16" t="s">
        <v>18</v>
      </c>
      <c r="M335" s="16" t="s">
        <v>22</v>
      </c>
      <c r="N335" s="39" t="s">
        <v>418</v>
      </c>
    </row>
    <row r="336" spans="1:14" s="12" customFormat="1" ht="18">
      <c r="A336" s="178" t="s">
        <v>80</v>
      </c>
      <c r="B336" s="75" t="s">
        <v>1430</v>
      </c>
      <c r="C336" s="39" t="s">
        <v>290</v>
      </c>
      <c r="D336" s="236"/>
      <c r="E336" s="236"/>
      <c r="F336" s="236"/>
      <c r="G336" s="236"/>
      <c r="H336" s="40">
        <f>SUM(Tabla132112416[[#This Row],[PRIMER TRIMESTRE]:[CUARTO TRIMESTRE]])</f>
        <v>0</v>
      </c>
      <c r="I336" s="17">
        <v>793.52</v>
      </c>
      <c r="J336" s="17">
        <f>+Tabla132112416[[#This Row],[CANTIDAD TOTAL]]*Tabla132112416[[#This Row],[PRECIO UNITARIO ESTIMADO]]</f>
        <v>0</v>
      </c>
      <c r="K336" s="17"/>
      <c r="L336" s="16" t="s">
        <v>18</v>
      </c>
      <c r="M336" s="16" t="s">
        <v>22</v>
      </c>
      <c r="N336" s="39" t="s">
        <v>418</v>
      </c>
    </row>
    <row r="337" spans="1:14" s="12" customFormat="1" ht="18">
      <c r="A337" s="178" t="s">
        <v>80</v>
      </c>
      <c r="B337" s="75" t="s">
        <v>439</v>
      </c>
      <c r="C337" s="39" t="s">
        <v>149</v>
      </c>
      <c r="D337" s="236"/>
      <c r="E337" s="236"/>
      <c r="F337" s="236"/>
      <c r="G337" s="236"/>
      <c r="H337" s="40">
        <f>SUM(Tabla132112416[[#This Row],[PRIMER TRIMESTRE]:[CUARTO TRIMESTRE]])</f>
        <v>0</v>
      </c>
      <c r="I337" s="17">
        <v>123.91</v>
      </c>
      <c r="J337" s="17">
        <f>+Tabla132112416[[#This Row],[CANTIDAD TOTAL]]*Tabla132112416[[#This Row],[PRECIO UNITARIO ESTIMADO]]</f>
        <v>0</v>
      </c>
      <c r="K337" s="17"/>
      <c r="L337" s="16" t="s">
        <v>18</v>
      </c>
      <c r="M337" s="16" t="s">
        <v>22</v>
      </c>
      <c r="N337" s="39" t="s">
        <v>418</v>
      </c>
    </row>
    <row r="338" spans="1:14" s="12" customFormat="1" ht="18">
      <c r="A338" s="178" t="s">
        <v>80</v>
      </c>
      <c r="B338" s="75" t="s">
        <v>1553</v>
      </c>
      <c r="C338" s="39" t="s">
        <v>17</v>
      </c>
      <c r="D338" s="236"/>
      <c r="E338" s="236"/>
      <c r="F338" s="236"/>
      <c r="G338" s="236"/>
      <c r="H338" s="236">
        <f>SUM(Tabla132112416[[#This Row],[PRIMER TRIMESTRE]:[CUARTO TRIMESTRE]])</f>
        <v>0</v>
      </c>
      <c r="I338" s="17">
        <v>536.16999999999996</v>
      </c>
      <c r="J338" s="17">
        <f>+H338*I338</f>
        <v>0</v>
      </c>
      <c r="K338" s="17"/>
      <c r="L338" s="16" t="s">
        <v>18</v>
      </c>
      <c r="M338" s="16" t="s">
        <v>22</v>
      </c>
      <c r="N338" s="39" t="s">
        <v>418</v>
      </c>
    </row>
    <row r="339" spans="1:14" s="12" customFormat="1" ht="25.5">
      <c r="A339" s="178" t="s">
        <v>80</v>
      </c>
      <c r="B339" s="75" t="s">
        <v>1538</v>
      </c>
      <c r="C339" s="39" t="s">
        <v>149</v>
      </c>
      <c r="D339" s="236"/>
      <c r="E339" s="236"/>
      <c r="F339" s="236"/>
      <c r="G339" s="236"/>
      <c r="H339" s="236">
        <f>SUM(Tabla132112416[[#This Row],[PRIMER TRIMESTRE]:[CUARTO TRIMESTRE]])</f>
        <v>0</v>
      </c>
      <c r="I339" s="17">
        <v>560</v>
      </c>
      <c r="J339" s="17">
        <f>+H339*I339</f>
        <v>0</v>
      </c>
      <c r="K339" s="17"/>
      <c r="L339" s="16" t="s">
        <v>18</v>
      </c>
      <c r="M339" s="16" t="s">
        <v>22</v>
      </c>
      <c r="N339" s="39" t="s">
        <v>418</v>
      </c>
    </row>
    <row r="340" spans="1:14" s="12" customFormat="1" ht="18">
      <c r="A340" s="178" t="s">
        <v>80</v>
      </c>
      <c r="B340" s="75" t="s">
        <v>471</v>
      </c>
      <c r="C340" s="39" t="s">
        <v>17</v>
      </c>
      <c r="D340" s="236"/>
      <c r="E340" s="210"/>
      <c r="F340" s="236"/>
      <c r="G340" s="236"/>
      <c r="H340" s="40">
        <f>SUM(Tabla132112416[[#This Row],[PRIMER TRIMESTRE]:[CUARTO TRIMESTRE]])</f>
        <v>0</v>
      </c>
      <c r="I340" s="17">
        <v>55.38</v>
      </c>
      <c r="J340" s="17">
        <f>+Tabla132112416[[#This Row],[CANTIDAD TOTAL]]*Tabla132112416[[#This Row],[PRECIO UNITARIO ESTIMADO]]</f>
        <v>0</v>
      </c>
      <c r="K340" s="17"/>
      <c r="L340" s="16" t="s">
        <v>18</v>
      </c>
      <c r="M340" s="16" t="s">
        <v>22</v>
      </c>
      <c r="N340" s="39" t="s">
        <v>418</v>
      </c>
    </row>
    <row r="341" spans="1:14" s="12" customFormat="1" ht="18">
      <c r="A341" s="178" t="s">
        <v>80</v>
      </c>
      <c r="B341" s="75" t="s">
        <v>1348</v>
      </c>
      <c r="C341" s="39" t="s">
        <v>17</v>
      </c>
      <c r="D341" s="236"/>
      <c r="E341" s="210"/>
      <c r="F341" s="236"/>
      <c r="G341" s="236"/>
      <c r="H341" s="40">
        <f>SUM(Tabla132112416[[#This Row],[PRIMER TRIMESTRE]:[CUARTO TRIMESTRE]])</f>
        <v>0</v>
      </c>
      <c r="I341" s="17">
        <v>85</v>
      </c>
      <c r="J341" s="17">
        <f t="shared" ref="J341:J376" si="9">+H341*I341</f>
        <v>0</v>
      </c>
      <c r="K341" s="17"/>
      <c r="L341" s="16" t="s">
        <v>18</v>
      </c>
      <c r="M341" s="16" t="s">
        <v>22</v>
      </c>
      <c r="N341" s="39" t="s">
        <v>418</v>
      </c>
    </row>
    <row r="342" spans="1:14" s="12" customFormat="1" ht="18">
      <c r="A342" s="178" t="s">
        <v>80</v>
      </c>
      <c r="B342" s="75" t="s">
        <v>1591</v>
      </c>
      <c r="C342" s="39" t="s">
        <v>17</v>
      </c>
      <c r="D342" s="236"/>
      <c r="E342" s="210"/>
      <c r="F342" s="236"/>
      <c r="G342" s="236"/>
      <c r="H342" s="40">
        <f>SUM(Tabla132112416[[#This Row],[PRIMER TRIMESTRE]:[CUARTO TRIMESTRE]])</f>
        <v>0</v>
      </c>
      <c r="I342" s="17">
        <v>196.4</v>
      </c>
      <c r="J342" s="17">
        <f t="shared" si="9"/>
        <v>0</v>
      </c>
      <c r="K342" s="17"/>
      <c r="L342" s="16" t="s">
        <v>18</v>
      </c>
      <c r="M342" s="16" t="s">
        <v>22</v>
      </c>
      <c r="N342" s="39" t="s">
        <v>418</v>
      </c>
    </row>
    <row r="343" spans="1:14" s="12" customFormat="1" ht="18">
      <c r="A343" s="178" t="s">
        <v>80</v>
      </c>
      <c r="B343" s="75" t="s">
        <v>1349</v>
      </c>
      <c r="C343" s="39" t="s">
        <v>17</v>
      </c>
      <c r="D343" s="236"/>
      <c r="E343" s="210"/>
      <c r="F343" s="236"/>
      <c r="G343" s="236"/>
      <c r="H343" s="40">
        <f>SUM(Tabla132112416[[#This Row],[PRIMER TRIMESTRE]:[CUARTO TRIMESTRE]])</f>
        <v>0</v>
      </c>
      <c r="I343" s="17">
        <v>55</v>
      </c>
      <c r="J343" s="17">
        <f t="shared" si="9"/>
        <v>0</v>
      </c>
      <c r="K343" s="17"/>
      <c r="L343" s="16" t="s">
        <v>18</v>
      </c>
      <c r="M343" s="16" t="s">
        <v>22</v>
      </c>
      <c r="N343" s="39" t="s">
        <v>418</v>
      </c>
    </row>
    <row r="344" spans="1:14" s="12" customFormat="1" ht="18">
      <c r="A344" s="178" t="s">
        <v>80</v>
      </c>
      <c r="B344" s="75" t="s">
        <v>1711</v>
      </c>
      <c r="C344" s="39" t="s">
        <v>17</v>
      </c>
      <c r="D344" s="236"/>
      <c r="E344" s="210"/>
      <c r="F344" s="236"/>
      <c r="G344" s="236"/>
      <c r="H344" s="40">
        <v>0</v>
      </c>
      <c r="I344" s="17">
        <v>0</v>
      </c>
      <c r="J344" s="17">
        <v>0</v>
      </c>
      <c r="K344" s="17"/>
      <c r="L344" s="16" t="s">
        <v>18</v>
      </c>
      <c r="M344" s="16" t="s">
        <v>22</v>
      </c>
      <c r="N344" s="39" t="s">
        <v>418</v>
      </c>
    </row>
    <row r="345" spans="1:14" s="12" customFormat="1" ht="18">
      <c r="A345" s="178" t="s">
        <v>80</v>
      </c>
      <c r="B345" s="75" t="s">
        <v>1563</v>
      </c>
      <c r="C345" s="39" t="s">
        <v>17</v>
      </c>
      <c r="D345" s="236"/>
      <c r="E345" s="236"/>
      <c r="F345" s="236"/>
      <c r="G345" s="236"/>
      <c r="H345" s="236">
        <f>SUM(Tabla132112416[[#This Row],[PRIMER TRIMESTRE]:[CUARTO TRIMESTRE]])</f>
        <v>0</v>
      </c>
      <c r="I345" s="17">
        <v>108.41</v>
      </c>
      <c r="J345" s="17">
        <f t="shared" si="9"/>
        <v>0</v>
      </c>
      <c r="K345" s="17"/>
      <c r="L345" s="16" t="s">
        <v>18</v>
      </c>
      <c r="M345" s="16" t="s">
        <v>22</v>
      </c>
      <c r="N345" s="39" t="s">
        <v>418</v>
      </c>
    </row>
    <row r="346" spans="1:14" s="12" customFormat="1" ht="18">
      <c r="A346" s="178" t="s">
        <v>80</v>
      </c>
      <c r="B346" s="75" t="s">
        <v>1562</v>
      </c>
      <c r="C346" s="39" t="s">
        <v>17</v>
      </c>
      <c r="D346" s="236"/>
      <c r="E346" s="236"/>
      <c r="F346" s="236"/>
      <c r="G346" s="236"/>
      <c r="H346" s="236">
        <f>SUM(Tabla132112416[[#This Row],[PRIMER TRIMESTRE]:[CUARTO TRIMESTRE]])</f>
        <v>0</v>
      </c>
      <c r="I346" s="17">
        <v>23.1</v>
      </c>
      <c r="J346" s="17">
        <f t="shared" si="9"/>
        <v>0</v>
      </c>
      <c r="K346" s="17"/>
      <c r="L346" s="16" t="s">
        <v>18</v>
      </c>
      <c r="M346" s="16" t="s">
        <v>22</v>
      </c>
      <c r="N346" s="39" t="s">
        <v>418</v>
      </c>
    </row>
    <row r="347" spans="1:14" s="12" customFormat="1" ht="18">
      <c r="A347" s="178" t="s">
        <v>80</v>
      </c>
      <c r="B347" s="75" t="s">
        <v>1350</v>
      </c>
      <c r="C347" s="39" t="s">
        <v>17</v>
      </c>
      <c r="D347" s="236"/>
      <c r="E347" s="210"/>
      <c r="F347" s="236"/>
      <c r="G347" s="236"/>
      <c r="H347" s="40">
        <f>SUM(Tabla132112416[[#This Row],[PRIMER TRIMESTRE]:[CUARTO TRIMESTRE]])</f>
        <v>0</v>
      </c>
      <c r="I347" s="17">
        <v>210</v>
      </c>
      <c r="J347" s="17">
        <f t="shared" si="9"/>
        <v>0</v>
      </c>
      <c r="K347" s="17"/>
      <c r="L347" s="16" t="s">
        <v>18</v>
      </c>
      <c r="M347" s="16" t="s">
        <v>22</v>
      </c>
      <c r="N347" s="39" t="s">
        <v>418</v>
      </c>
    </row>
    <row r="348" spans="1:14" s="12" customFormat="1" ht="18">
      <c r="A348" s="178" t="s">
        <v>80</v>
      </c>
      <c r="B348" s="75" t="s">
        <v>644</v>
      </c>
      <c r="C348" s="39" t="s">
        <v>17</v>
      </c>
      <c r="D348" s="236"/>
      <c r="E348" s="236"/>
      <c r="F348" s="236"/>
      <c r="G348" s="240"/>
      <c r="H348" s="40">
        <f>SUM(Tabla132112416[[#This Row],[PRIMER TRIMESTRE]:[CUARTO TRIMESTRE]])</f>
        <v>0</v>
      </c>
      <c r="I348" s="17">
        <v>731.35</v>
      </c>
      <c r="J348" s="17">
        <f t="shared" si="9"/>
        <v>0</v>
      </c>
      <c r="K348" s="17"/>
      <c r="L348" s="16" t="s">
        <v>18</v>
      </c>
      <c r="M348" s="16" t="s">
        <v>22</v>
      </c>
      <c r="N348" s="39" t="s">
        <v>418</v>
      </c>
    </row>
    <row r="349" spans="1:14" s="12" customFormat="1" ht="18">
      <c r="A349" s="178" t="s">
        <v>80</v>
      </c>
      <c r="B349" s="75" t="s">
        <v>645</v>
      </c>
      <c r="C349" s="39" t="s">
        <v>17</v>
      </c>
      <c r="D349" s="236"/>
      <c r="E349" s="236"/>
      <c r="F349" s="236"/>
      <c r="G349" s="240"/>
      <c r="H349" s="40">
        <f>SUM(Tabla132112416[[#This Row],[PRIMER TRIMESTRE]:[CUARTO TRIMESTRE]])</f>
        <v>0</v>
      </c>
      <c r="I349" s="17">
        <v>1013.28</v>
      </c>
      <c r="J349" s="17">
        <f t="shared" si="9"/>
        <v>0</v>
      </c>
      <c r="K349" s="17"/>
      <c r="L349" s="16" t="s">
        <v>18</v>
      </c>
      <c r="M349" s="16" t="s">
        <v>22</v>
      </c>
      <c r="N349" s="39" t="s">
        <v>418</v>
      </c>
    </row>
    <row r="350" spans="1:14" s="12" customFormat="1" ht="18">
      <c r="A350" s="178" t="s">
        <v>80</v>
      </c>
      <c r="B350" s="75" t="s">
        <v>646</v>
      </c>
      <c r="C350" s="39" t="s">
        <v>17</v>
      </c>
      <c r="D350" s="236"/>
      <c r="E350" s="236"/>
      <c r="F350" s="236"/>
      <c r="G350" s="240"/>
      <c r="H350" s="40">
        <f>SUM(Tabla132112416[[#This Row],[PRIMER TRIMESTRE]:[CUARTO TRIMESTRE]])</f>
        <v>0</v>
      </c>
      <c r="I350" s="17">
        <v>1196.97</v>
      </c>
      <c r="J350" s="17">
        <f t="shared" si="9"/>
        <v>0</v>
      </c>
      <c r="K350" s="17"/>
      <c r="L350" s="16" t="s">
        <v>18</v>
      </c>
      <c r="M350" s="16" t="s">
        <v>22</v>
      </c>
      <c r="N350" s="39" t="s">
        <v>418</v>
      </c>
    </row>
    <row r="351" spans="1:14" s="12" customFormat="1" ht="18">
      <c r="A351" s="178" t="s">
        <v>80</v>
      </c>
      <c r="B351" s="75" t="s">
        <v>647</v>
      </c>
      <c r="C351" s="39" t="s">
        <v>17</v>
      </c>
      <c r="D351" s="236"/>
      <c r="E351" s="236"/>
      <c r="F351" s="236"/>
      <c r="G351" s="240"/>
      <c r="H351" s="40">
        <f>SUM(Tabla132112416[[#This Row],[PRIMER TRIMESTRE]:[CUARTO TRIMESTRE]])</f>
        <v>0</v>
      </c>
      <c r="I351" s="17">
        <v>1882.41</v>
      </c>
      <c r="J351" s="17">
        <f t="shared" si="9"/>
        <v>0</v>
      </c>
      <c r="K351" s="17"/>
      <c r="L351" s="16" t="s">
        <v>18</v>
      </c>
      <c r="M351" s="16" t="s">
        <v>22</v>
      </c>
      <c r="N351" s="39" t="s">
        <v>418</v>
      </c>
    </row>
    <row r="352" spans="1:14" s="12" customFormat="1" ht="18">
      <c r="A352" s="178" t="s">
        <v>80</v>
      </c>
      <c r="B352" s="75" t="s">
        <v>648</v>
      </c>
      <c r="C352" s="39" t="s">
        <v>17</v>
      </c>
      <c r="D352" s="236"/>
      <c r="E352" s="236"/>
      <c r="F352" s="236"/>
      <c r="G352" s="240"/>
      <c r="H352" s="40">
        <f>SUM(Tabla132112416[[#This Row],[PRIMER TRIMESTRE]:[CUARTO TRIMESTRE]])</f>
        <v>0</v>
      </c>
      <c r="I352" s="17">
        <v>2110.4699999999998</v>
      </c>
      <c r="J352" s="17">
        <f t="shared" si="9"/>
        <v>0</v>
      </c>
      <c r="K352" s="17"/>
      <c r="L352" s="16" t="s">
        <v>18</v>
      </c>
      <c r="M352" s="16" t="s">
        <v>22</v>
      </c>
      <c r="N352" s="39" t="s">
        <v>418</v>
      </c>
    </row>
    <row r="353" spans="1:14" s="12" customFormat="1" ht="18">
      <c r="A353" s="178" t="s">
        <v>80</v>
      </c>
      <c r="B353" s="75" t="s">
        <v>649</v>
      </c>
      <c r="C353" s="39" t="s">
        <v>17</v>
      </c>
      <c r="D353" s="236"/>
      <c r="E353" s="236"/>
      <c r="F353" s="236"/>
      <c r="G353" s="240"/>
      <c r="H353" s="40">
        <f>SUM(Tabla132112416[[#This Row],[PRIMER TRIMESTRE]:[CUARTO TRIMESTRE]])</f>
        <v>0</v>
      </c>
      <c r="I353" s="17">
        <v>2920.5</v>
      </c>
      <c r="J353" s="17">
        <f t="shared" si="9"/>
        <v>0</v>
      </c>
      <c r="K353" s="17"/>
      <c r="L353" s="16" t="s">
        <v>18</v>
      </c>
      <c r="M353" s="16" t="s">
        <v>22</v>
      </c>
      <c r="N353" s="39" t="s">
        <v>418</v>
      </c>
    </row>
    <row r="354" spans="1:14" s="12" customFormat="1" ht="18">
      <c r="A354" s="178" t="s">
        <v>80</v>
      </c>
      <c r="B354" s="75" t="s">
        <v>650</v>
      </c>
      <c r="C354" s="39" t="s">
        <v>17</v>
      </c>
      <c r="D354" s="236"/>
      <c r="E354" s="236"/>
      <c r="F354" s="236"/>
      <c r="G354" s="240"/>
      <c r="H354" s="40">
        <f>SUM(Tabla132112416[[#This Row],[PRIMER TRIMESTRE]:[CUARTO TRIMESTRE]])</f>
        <v>0</v>
      </c>
      <c r="I354" s="17">
        <v>2919.76</v>
      </c>
      <c r="J354" s="17">
        <f t="shared" si="9"/>
        <v>0</v>
      </c>
      <c r="K354" s="17"/>
      <c r="L354" s="16" t="s">
        <v>18</v>
      </c>
      <c r="M354" s="16" t="s">
        <v>22</v>
      </c>
      <c r="N354" s="39" t="s">
        <v>418</v>
      </c>
    </row>
    <row r="355" spans="1:14" s="12" customFormat="1" ht="18">
      <c r="A355" s="178" t="s">
        <v>80</v>
      </c>
      <c r="B355" s="75" t="s">
        <v>651</v>
      </c>
      <c r="C355" s="39" t="s">
        <v>17</v>
      </c>
      <c r="D355" s="236"/>
      <c r="E355" s="236"/>
      <c r="F355" s="236"/>
      <c r="G355" s="240"/>
      <c r="H355" s="40">
        <f>SUM(Tabla132112416[[#This Row],[PRIMER TRIMESTRE]:[CUARTO TRIMESTRE]])</f>
        <v>0</v>
      </c>
      <c r="I355" s="17">
        <v>5347.76</v>
      </c>
      <c r="J355" s="17">
        <f t="shared" si="9"/>
        <v>0</v>
      </c>
      <c r="K355" s="17"/>
      <c r="L355" s="16" t="s">
        <v>18</v>
      </c>
      <c r="M355" s="16" t="s">
        <v>22</v>
      </c>
      <c r="N355" s="39" t="s">
        <v>418</v>
      </c>
    </row>
    <row r="356" spans="1:14" s="12" customFormat="1" ht="18">
      <c r="A356" s="178" t="s">
        <v>80</v>
      </c>
      <c r="B356" s="75" t="s">
        <v>652</v>
      </c>
      <c r="C356" s="39" t="s">
        <v>17</v>
      </c>
      <c r="D356" s="236"/>
      <c r="E356" s="236"/>
      <c r="F356" s="236"/>
      <c r="G356" s="240"/>
      <c r="H356" s="40">
        <f>SUM(Tabla132112416[[#This Row],[PRIMER TRIMESTRE]:[CUARTO TRIMESTRE]])</f>
        <v>0</v>
      </c>
      <c r="I356" s="17">
        <v>9696.06</v>
      </c>
      <c r="J356" s="17">
        <f t="shared" si="9"/>
        <v>0</v>
      </c>
      <c r="K356" s="17"/>
      <c r="L356" s="16" t="s">
        <v>18</v>
      </c>
      <c r="M356" s="16" t="s">
        <v>22</v>
      </c>
      <c r="N356" s="39" t="s">
        <v>418</v>
      </c>
    </row>
    <row r="357" spans="1:14" s="12" customFormat="1" ht="18">
      <c r="A357" s="178" t="s">
        <v>80</v>
      </c>
      <c r="B357" s="75" t="s">
        <v>653</v>
      </c>
      <c r="C357" s="39" t="s">
        <v>17</v>
      </c>
      <c r="D357" s="236"/>
      <c r="E357" s="236"/>
      <c r="F357" s="236"/>
      <c r="G357" s="240"/>
      <c r="H357" s="40">
        <f>SUM(Tabla132112416[[#This Row],[PRIMER TRIMESTRE]:[CUARTO TRIMESTRE]])</f>
        <v>0</v>
      </c>
      <c r="I357" s="17">
        <v>13263.2</v>
      </c>
      <c r="J357" s="17">
        <f t="shared" si="9"/>
        <v>0</v>
      </c>
      <c r="K357" s="17"/>
      <c r="L357" s="16" t="s">
        <v>18</v>
      </c>
      <c r="M357" s="16" t="s">
        <v>22</v>
      </c>
      <c r="N357" s="39" t="s">
        <v>418</v>
      </c>
    </row>
    <row r="358" spans="1:14" s="12" customFormat="1" ht="18">
      <c r="A358" s="178" t="s">
        <v>80</v>
      </c>
      <c r="B358" s="75" t="s">
        <v>351</v>
      </c>
      <c r="C358" s="39" t="s">
        <v>17</v>
      </c>
      <c r="D358" s="236"/>
      <c r="E358" s="236"/>
      <c r="F358" s="236"/>
      <c r="G358" s="240"/>
      <c r="H358" s="40">
        <f>SUM(Tabla132112416[[#This Row],[PRIMER TRIMESTRE]:[CUARTO TRIMESTRE]])</f>
        <v>0</v>
      </c>
      <c r="I358" s="17">
        <v>1800</v>
      </c>
      <c r="J358" s="17">
        <f t="shared" si="9"/>
        <v>0</v>
      </c>
      <c r="K358" s="17"/>
      <c r="L358" s="16" t="s">
        <v>18</v>
      </c>
      <c r="M358" s="16" t="s">
        <v>22</v>
      </c>
      <c r="N358" s="39" t="s">
        <v>418</v>
      </c>
    </row>
    <row r="359" spans="1:14" s="12" customFormat="1" ht="18">
      <c r="A359" s="178" t="s">
        <v>80</v>
      </c>
      <c r="B359" s="75" t="s">
        <v>352</v>
      </c>
      <c r="C359" s="39" t="s">
        <v>17</v>
      </c>
      <c r="D359" s="236"/>
      <c r="E359" s="236"/>
      <c r="F359" s="236"/>
      <c r="G359" s="240"/>
      <c r="H359" s="40">
        <f>SUM(Tabla132112416[[#This Row],[PRIMER TRIMESTRE]:[CUARTO TRIMESTRE]])</f>
        <v>0</v>
      </c>
      <c r="I359" s="17">
        <v>2000</v>
      </c>
      <c r="J359" s="17">
        <f t="shared" si="9"/>
        <v>0</v>
      </c>
      <c r="K359" s="17"/>
      <c r="L359" s="16" t="s">
        <v>18</v>
      </c>
      <c r="M359" s="16" t="s">
        <v>22</v>
      </c>
      <c r="N359" s="39" t="s">
        <v>418</v>
      </c>
    </row>
    <row r="360" spans="1:14" s="12" customFormat="1" ht="18">
      <c r="A360" s="178" t="s">
        <v>80</v>
      </c>
      <c r="B360" s="75" t="s">
        <v>345</v>
      </c>
      <c r="C360" s="39" t="s">
        <v>17</v>
      </c>
      <c r="D360" s="236"/>
      <c r="E360" s="236"/>
      <c r="F360" s="236"/>
      <c r="G360" s="240"/>
      <c r="H360" s="40">
        <f>SUM(Tabla132112416[[#This Row],[PRIMER TRIMESTRE]:[CUARTO TRIMESTRE]])</f>
        <v>0</v>
      </c>
      <c r="I360" s="17">
        <v>2500</v>
      </c>
      <c r="J360" s="17">
        <f t="shared" si="9"/>
        <v>0</v>
      </c>
      <c r="K360" s="17"/>
      <c r="L360" s="16" t="s">
        <v>18</v>
      </c>
      <c r="M360" s="16" t="s">
        <v>22</v>
      </c>
      <c r="N360" s="39" t="s">
        <v>418</v>
      </c>
    </row>
    <row r="361" spans="1:14" s="12" customFormat="1" ht="18">
      <c r="A361" s="178" t="s">
        <v>80</v>
      </c>
      <c r="B361" s="75" t="s">
        <v>346</v>
      </c>
      <c r="C361" s="39" t="s">
        <v>17</v>
      </c>
      <c r="D361" s="236"/>
      <c r="E361" s="236"/>
      <c r="F361" s="236"/>
      <c r="G361" s="240"/>
      <c r="H361" s="40">
        <f>SUM(Tabla132112416[[#This Row],[PRIMER TRIMESTRE]:[CUARTO TRIMESTRE]])</f>
        <v>0</v>
      </c>
      <c r="I361" s="17">
        <v>3100</v>
      </c>
      <c r="J361" s="17">
        <f t="shared" si="9"/>
        <v>0</v>
      </c>
      <c r="K361" s="17"/>
      <c r="L361" s="16" t="s">
        <v>18</v>
      </c>
      <c r="M361" s="16" t="s">
        <v>22</v>
      </c>
      <c r="N361" s="39" t="s">
        <v>418</v>
      </c>
    </row>
    <row r="362" spans="1:14" s="12" customFormat="1" ht="18">
      <c r="A362" s="178" t="s">
        <v>80</v>
      </c>
      <c r="B362" s="75" t="s">
        <v>347</v>
      </c>
      <c r="C362" s="39" t="s">
        <v>17</v>
      </c>
      <c r="D362" s="236"/>
      <c r="E362" s="236"/>
      <c r="F362" s="236"/>
      <c r="G362" s="240"/>
      <c r="H362" s="40">
        <f>SUM(Tabla132112416[[#This Row],[PRIMER TRIMESTRE]:[CUARTO TRIMESTRE]])</f>
        <v>0</v>
      </c>
      <c r="I362" s="17">
        <v>4100</v>
      </c>
      <c r="J362" s="17">
        <f t="shared" si="9"/>
        <v>0</v>
      </c>
      <c r="K362" s="17"/>
      <c r="L362" s="16" t="s">
        <v>18</v>
      </c>
      <c r="M362" s="16" t="s">
        <v>22</v>
      </c>
      <c r="N362" s="39" t="s">
        <v>418</v>
      </c>
    </row>
    <row r="363" spans="1:14" s="12" customFormat="1" ht="18">
      <c r="A363" s="178" t="s">
        <v>80</v>
      </c>
      <c r="B363" s="75" t="s">
        <v>1213</v>
      </c>
      <c r="C363" s="39" t="s">
        <v>17</v>
      </c>
      <c r="D363" s="236"/>
      <c r="E363" s="236"/>
      <c r="F363" s="236"/>
      <c r="G363" s="240"/>
      <c r="H363" s="40">
        <f>SUM(Tabla132112416[[#This Row],[PRIMER TRIMESTRE]:[CUARTO TRIMESTRE]])</f>
        <v>0</v>
      </c>
      <c r="I363" s="17">
        <v>8660</v>
      </c>
      <c r="J363" s="17">
        <f t="shared" si="9"/>
        <v>0</v>
      </c>
      <c r="K363" s="17"/>
      <c r="L363" s="16" t="s">
        <v>18</v>
      </c>
      <c r="M363" s="16" t="s">
        <v>22</v>
      </c>
      <c r="N363" s="39" t="s">
        <v>418</v>
      </c>
    </row>
    <row r="364" spans="1:14" s="12" customFormat="1" ht="18">
      <c r="A364" s="178" t="s">
        <v>80</v>
      </c>
      <c r="B364" s="75" t="s">
        <v>359</v>
      </c>
      <c r="C364" s="39" t="s">
        <v>17</v>
      </c>
      <c r="D364" s="236"/>
      <c r="E364" s="236"/>
      <c r="F364" s="236"/>
      <c r="G364" s="240"/>
      <c r="H364" s="40">
        <f>SUM(Tabla132112416[[#This Row],[PRIMER TRIMESTRE]:[CUARTO TRIMESTRE]])</f>
        <v>0</v>
      </c>
      <c r="I364" s="17">
        <v>1800</v>
      </c>
      <c r="J364" s="17">
        <f t="shared" si="9"/>
        <v>0</v>
      </c>
      <c r="K364" s="17"/>
      <c r="L364" s="16" t="s">
        <v>18</v>
      </c>
      <c r="M364" s="16" t="s">
        <v>22</v>
      </c>
      <c r="N364" s="39" t="s">
        <v>418</v>
      </c>
    </row>
    <row r="365" spans="1:14" s="12" customFormat="1" ht="18">
      <c r="A365" s="178" t="s">
        <v>80</v>
      </c>
      <c r="B365" s="75" t="s">
        <v>360</v>
      </c>
      <c r="C365" s="39" t="s">
        <v>17</v>
      </c>
      <c r="D365" s="236"/>
      <c r="E365" s="236"/>
      <c r="F365" s="236"/>
      <c r="G365" s="240"/>
      <c r="H365" s="40">
        <f>SUM(Tabla132112416[[#This Row],[PRIMER TRIMESTRE]:[CUARTO TRIMESTRE]])</f>
        <v>0</v>
      </c>
      <c r="I365" s="17">
        <v>2000</v>
      </c>
      <c r="J365" s="17">
        <f t="shared" si="9"/>
        <v>0</v>
      </c>
      <c r="K365" s="17"/>
      <c r="L365" s="16" t="s">
        <v>18</v>
      </c>
      <c r="M365" s="16" t="s">
        <v>22</v>
      </c>
      <c r="N365" s="39" t="s">
        <v>418</v>
      </c>
    </row>
    <row r="366" spans="1:14" s="12" customFormat="1" ht="18">
      <c r="A366" s="178" t="s">
        <v>80</v>
      </c>
      <c r="B366" s="75" t="s">
        <v>353</v>
      </c>
      <c r="C366" s="39" t="s">
        <v>17</v>
      </c>
      <c r="D366" s="236"/>
      <c r="E366" s="236"/>
      <c r="F366" s="236"/>
      <c r="G366" s="240"/>
      <c r="H366" s="40">
        <f>SUM(Tabla132112416[[#This Row],[PRIMER TRIMESTRE]:[CUARTO TRIMESTRE]])</f>
        <v>0</v>
      </c>
      <c r="I366" s="17">
        <v>2500</v>
      </c>
      <c r="J366" s="17">
        <f t="shared" si="9"/>
        <v>0</v>
      </c>
      <c r="K366" s="17"/>
      <c r="L366" s="16" t="s">
        <v>18</v>
      </c>
      <c r="M366" s="16" t="s">
        <v>22</v>
      </c>
      <c r="N366" s="39" t="s">
        <v>418</v>
      </c>
    </row>
    <row r="367" spans="1:14" s="12" customFormat="1" ht="18">
      <c r="A367" s="178" t="s">
        <v>80</v>
      </c>
      <c r="B367" s="75" t="s">
        <v>354</v>
      </c>
      <c r="C367" s="39" t="s">
        <v>17</v>
      </c>
      <c r="D367" s="236"/>
      <c r="E367" s="236"/>
      <c r="F367" s="236"/>
      <c r="G367" s="240"/>
      <c r="H367" s="40">
        <f>SUM(Tabla132112416[[#This Row],[PRIMER TRIMESTRE]:[CUARTO TRIMESTRE]])</f>
        <v>0</v>
      </c>
      <c r="I367" s="17">
        <v>8502.7999999999993</v>
      </c>
      <c r="J367" s="17">
        <f t="shared" si="9"/>
        <v>0</v>
      </c>
      <c r="K367" s="17"/>
      <c r="L367" s="16" t="s">
        <v>18</v>
      </c>
      <c r="M367" s="16" t="s">
        <v>22</v>
      </c>
      <c r="N367" s="39" t="s">
        <v>418</v>
      </c>
    </row>
    <row r="368" spans="1:14" s="12" customFormat="1" ht="18">
      <c r="A368" s="178" t="s">
        <v>80</v>
      </c>
      <c r="B368" s="75" t="s">
        <v>355</v>
      </c>
      <c r="C368" s="39" t="s">
        <v>17</v>
      </c>
      <c r="D368" s="236"/>
      <c r="E368" s="236"/>
      <c r="F368" s="236"/>
      <c r="G368" s="240"/>
      <c r="H368" s="40">
        <f>SUM(Tabla132112416[[#This Row],[PRIMER TRIMESTRE]:[CUARTO TRIMESTRE]])</f>
        <v>0</v>
      </c>
      <c r="I368" s="17">
        <v>12180</v>
      </c>
      <c r="J368" s="17">
        <f t="shared" si="9"/>
        <v>0</v>
      </c>
      <c r="K368" s="17"/>
      <c r="L368" s="16" t="s">
        <v>18</v>
      </c>
      <c r="M368" s="16" t="s">
        <v>22</v>
      </c>
      <c r="N368" s="39" t="s">
        <v>418</v>
      </c>
    </row>
    <row r="369" spans="1:14" s="12" customFormat="1" ht="18">
      <c r="A369" s="178" t="s">
        <v>80</v>
      </c>
      <c r="B369" s="75" t="s">
        <v>1214</v>
      </c>
      <c r="C369" s="39" t="s">
        <v>17</v>
      </c>
      <c r="D369" s="236"/>
      <c r="E369" s="236"/>
      <c r="F369" s="236"/>
      <c r="G369" s="240"/>
      <c r="H369" s="40">
        <f>SUM(Tabla132112416[[#This Row],[PRIMER TRIMESTRE]:[CUARTO TRIMESTRE]])</f>
        <v>0</v>
      </c>
      <c r="I369" s="17">
        <v>12180</v>
      </c>
      <c r="J369" s="17">
        <f t="shared" si="9"/>
        <v>0</v>
      </c>
      <c r="K369" s="17"/>
      <c r="L369" s="16" t="s">
        <v>18</v>
      </c>
      <c r="M369" s="16" t="s">
        <v>22</v>
      </c>
      <c r="N369" s="39" t="s">
        <v>418</v>
      </c>
    </row>
    <row r="370" spans="1:14" s="12" customFormat="1" ht="18">
      <c r="A370" s="178" t="s">
        <v>80</v>
      </c>
      <c r="B370" s="75" t="s">
        <v>366</v>
      </c>
      <c r="C370" s="39" t="s">
        <v>17</v>
      </c>
      <c r="D370" s="236"/>
      <c r="E370" s="236"/>
      <c r="F370" s="236"/>
      <c r="G370" s="240"/>
      <c r="H370" s="40">
        <f>SUM(Tabla132112416[[#This Row],[PRIMER TRIMESTRE]:[CUARTO TRIMESTRE]])</f>
        <v>0</v>
      </c>
      <c r="I370" s="17">
        <v>1800</v>
      </c>
      <c r="J370" s="17">
        <f t="shared" si="9"/>
        <v>0</v>
      </c>
      <c r="K370" s="17"/>
      <c r="L370" s="16" t="s">
        <v>18</v>
      </c>
      <c r="M370" s="16" t="s">
        <v>22</v>
      </c>
      <c r="N370" s="39" t="s">
        <v>418</v>
      </c>
    </row>
    <row r="371" spans="1:14" s="12" customFormat="1" ht="18">
      <c r="A371" s="178" t="s">
        <v>80</v>
      </c>
      <c r="B371" s="75" t="s">
        <v>367</v>
      </c>
      <c r="C371" s="39" t="s">
        <v>17</v>
      </c>
      <c r="D371" s="236"/>
      <c r="E371" s="236"/>
      <c r="F371" s="236"/>
      <c r="G371" s="240"/>
      <c r="H371" s="40">
        <f>SUM(Tabla132112416[[#This Row],[PRIMER TRIMESTRE]:[CUARTO TRIMESTRE]])</f>
        <v>0</v>
      </c>
      <c r="I371" s="17">
        <v>2000</v>
      </c>
      <c r="J371" s="17">
        <f t="shared" si="9"/>
        <v>0</v>
      </c>
      <c r="K371" s="17"/>
      <c r="L371" s="16" t="s">
        <v>18</v>
      </c>
      <c r="M371" s="16" t="s">
        <v>22</v>
      </c>
      <c r="N371" s="39" t="s">
        <v>418</v>
      </c>
    </row>
    <row r="372" spans="1:14" s="12" customFormat="1" ht="18">
      <c r="A372" s="178" t="s">
        <v>80</v>
      </c>
      <c r="B372" s="75" t="s">
        <v>361</v>
      </c>
      <c r="C372" s="39" t="s">
        <v>17</v>
      </c>
      <c r="D372" s="236"/>
      <c r="E372" s="236"/>
      <c r="F372" s="236"/>
      <c r="G372" s="240"/>
      <c r="H372" s="40">
        <f>SUM(Tabla132112416[[#This Row],[PRIMER TRIMESTRE]:[CUARTO TRIMESTRE]])</f>
        <v>0</v>
      </c>
      <c r="I372" s="17">
        <v>2500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</row>
    <row r="373" spans="1:14" s="12" customFormat="1" ht="18">
      <c r="A373" s="178" t="s">
        <v>80</v>
      </c>
      <c r="B373" s="75" t="s">
        <v>362</v>
      </c>
      <c r="C373" s="39" t="s">
        <v>17</v>
      </c>
      <c r="D373" s="236"/>
      <c r="E373" s="236"/>
      <c r="F373" s="236"/>
      <c r="G373" s="240"/>
      <c r="H373" s="40">
        <f>SUM(Tabla132112416[[#This Row],[PRIMER TRIMESTRE]:[CUARTO TRIMESTRE]])</f>
        <v>0</v>
      </c>
      <c r="I373" s="17">
        <v>3100</v>
      </c>
      <c r="J373" s="17">
        <f t="shared" si="9"/>
        <v>0</v>
      </c>
      <c r="K373" s="17"/>
      <c r="L373" s="16" t="s">
        <v>18</v>
      </c>
      <c r="M373" s="16" t="s">
        <v>22</v>
      </c>
      <c r="N373" s="39" t="s">
        <v>418</v>
      </c>
    </row>
    <row r="374" spans="1:14" s="12" customFormat="1" ht="18">
      <c r="A374" s="178" t="s">
        <v>80</v>
      </c>
      <c r="B374" s="75" t="s">
        <v>1439</v>
      </c>
      <c r="C374" s="39" t="s">
        <v>17</v>
      </c>
      <c r="D374" s="236"/>
      <c r="E374" s="236"/>
      <c r="F374" s="236"/>
      <c r="G374" s="240"/>
      <c r="H374" s="40">
        <f>SUM(Tabla132112416[[#This Row],[PRIMER TRIMESTRE]:[CUARTO TRIMESTRE]])</f>
        <v>0</v>
      </c>
      <c r="I374" s="17">
        <v>4100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</row>
    <row r="375" spans="1:14" s="12" customFormat="1" ht="18">
      <c r="A375" s="178" t="s">
        <v>80</v>
      </c>
      <c r="B375" s="75" t="s">
        <v>920</v>
      </c>
      <c r="C375" s="39" t="s">
        <v>17</v>
      </c>
      <c r="D375" s="236"/>
      <c r="E375" s="236"/>
      <c r="F375" s="236"/>
      <c r="G375" s="240"/>
      <c r="H375" s="40">
        <f>SUM(Tabla132112416[[#This Row],[PRIMER TRIMESTRE]:[CUARTO TRIMESTRE]])</f>
        <v>0</v>
      </c>
      <c r="I375" s="17">
        <v>140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</row>
    <row r="376" spans="1:14" s="12" customFormat="1" ht="18">
      <c r="A376" s="178" t="s">
        <v>80</v>
      </c>
      <c r="B376" s="75" t="s">
        <v>1578</v>
      </c>
      <c r="C376" s="39" t="s">
        <v>17</v>
      </c>
      <c r="D376" s="236"/>
      <c r="E376" s="236"/>
      <c r="F376" s="236"/>
      <c r="G376" s="236"/>
      <c r="H376" s="236">
        <f>SUM(Tabla132112416[[#This Row],[PRIMER TRIMESTRE]:[CUARTO TRIMESTRE]])</f>
        <v>0</v>
      </c>
      <c r="I376" s="17">
        <v>397.8</v>
      </c>
      <c r="J376" s="17">
        <f t="shared" si="9"/>
        <v>0</v>
      </c>
      <c r="K376" s="17"/>
      <c r="L376" s="16" t="s">
        <v>18</v>
      </c>
      <c r="M376" s="16" t="s">
        <v>22</v>
      </c>
      <c r="N376" s="39" t="s">
        <v>418</v>
      </c>
    </row>
    <row r="377" spans="1:14" s="12" customFormat="1" ht="18">
      <c r="A377" s="178" t="s">
        <v>80</v>
      </c>
      <c r="B377" s="75" t="s">
        <v>154</v>
      </c>
      <c r="C377" s="39" t="s">
        <v>470</v>
      </c>
      <c r="D377" s="236"/>
      <c r="E377" s="236"/>
      <c r="F377" s="236"/>
      <c r="G377" s="236"/>
      <c r="H377" s="40">
        <f>SUM(Tabla132112416[[#This Row],[PRIMER TRIMESTRE]:[CUARTO TRIMESTRE]])</f>
        <v>0</v>
      </c>
      <c r="I377" s="17">
        <v>100</v>
      </c>
      <c r="J377" s="17">
        <f>+Tabla132112416[[#This Row],[CANTIDAD TOTAL]]*Tabla132112416[[#This Row],[PRECIO UNITARIO ESTIMADO]]</f>
        <v>0</v>
      </c>
      <c r="K377" s="17"/>
      <c r="L377" s="16" t="s">
        <v>18</v>
      </c>
      <c r="M377" s="16" t="s">
        <v>22</v>
      </c>
      <c r="N377" s="39" t="s">
        <v>418</v>
      </c>
    </row>
    <row r="378" spans="1:14" s="12" customFormat="1" ht="18">
      <c r="A378" s="178" t="s">
        <v>80</v>
      </c>
      <c r="B378" s="75" t="s">
        <v>177</v>
      </c>
      <c r="C378" s="39" t="s">
        <v>93</v>
      </c>
      <c r="D378" s="236"/>
      <c r="E378" s="236"/>
      <c r="F378" s="236"/>
      <c r="G378" s="236"/>
      <c r="H378" s="40">
        <f>SUM(Tabla132112416[[#This Row],[PRIMER TRIMESTRE]:[CUARTO TRIMESTRE]])</f>
        <v>0</v>
      </c>
      <c r="I378" s="17">
        <v>226.78</v>
      </c>
      <c r="J378" s="17">
        <f>+Tabla132112416[[#This Row],[CANTIDAD TOTAL]]*Tabla132112416[[#This Row],[PRECIO UNITARIO ESTIMADO]]</f>
        <v>0</v>
      </c>
      <c r="K378" s="17"/>
      <c r="L378" s="16" t="s">
        <v>18</v>
      </c>
      <c r="M378" s="16" t="s">
        <v>22</v>
      </c>
      <c r="N378" s="39" t="s">
        <v>418</v>
      </c>
    </row>
    <row r="379" spans="1:14" s="12" customFormat="1" ht="18">
      <c r="A379" s="178" t="s">
        <v>80</v>
      </c>
      <c r="B379" s="75" t="s">
        <v>460</v>
      </c>
      <c r="C379" s="39" t="s">
        <v>93</v>
      </c>
      <c r="D379" s="236"/>
      <c r="E379" s="236"/>
      <c r="F379" s="236"/>
      <c r="G379" s="236"/>
      <c r="H379" s="40">
        <f>SUM(Tabla132112416[[#This Row],[PRIMER TRIMESTRE]:[CUARTO TRIMESTRE]])</f>
        <v>0</v>
      </c>
      <c r="I379" s="17">
        <v>2055.4</v>
      </c>
      <c r="J379" s="17">
        <f>+H379*I379</f>
        <v>0</v>
      </c>
      <c r="K379" s="17"/>
      <c r="L379" s="16" t="s">
        <v>18</v>
      </c>
      <c r="M379" s="16" t="s">
        <v>22</v>
      </c>
      <c r="N379" s="39" t="s">
        <v>418</v>
      </c>
    </row>
    <row r="380" spans="1:14" s="12" customFormat="1" ht="18">
      <c r="A380" s="178" t="s">
        <v>80</v>
      </c>
      <c r="B380" s="75" t="s">
        <v>179</v>
      </c>
      <c r="C380" s="39" t="s">
        <v>93</v>
      </c>
      <c r="D380" s="236"/>
      <c r="E380" s="236"/>
      <c r="F380" s="236"/>
      <c r="G380" s="236"/>
      <c r="H380" s="40">
        <f>SUM(Tabla132112416[[#This Row],[PRIMER TRIMESTRE]:[CUARTO TRIMESTRE]])</f>
        <v>0</v>
      </c>
      <c r="I380" s="17">
        <v>222.14</v>
      </c>
      <c r="J380" s="17">
        <f>+Tabla132112416[[#This Row],[CANTIDAD TOTAL]]*Tabla132112416[[#This Row],[PRECIO UNITARIO ESTIMADO]]</f>
        <v>0</v>
      </c>
      <c r="K380" s="17"/>
      <c r="L380" s="16" t="s">
        <v>18</v>
      </c>
      <c r="M380" s="16" t="s">
        <v>22</v>
      </c>
      <c r="N380" s="39" t="s">
        <v>418</v>
      </c>
    </row>
    <row r="381" spans="1:14" s="12" customFormat="1" ht="18">
      <c r="A381" s="178" t="s">
        <v>80</v>
      </c>
      <c r="B381" s="75" t="s">
        <v>1549</v>
      </c>
      <c r="C381" s="39" t="s">
        <v>17</v>
      </c>
      <c r="D381" s="236"/>
      <c r="E381" s="236"/>
      <c r="F381" s="236"/>
      <c r="G381" s="236"/>
      <c r="H381" s="236">
        <f>SUM(Tabla132112416[[#This Row],[PRIMER TRIMESTRE]:[CUARTO TRIMESTRE]])</f>
        <v>0</v>
      </c>
      <c r="I381" s="17">
        <v>62328</v>
      </c>
      <c r="J381" s="17">
        <f>+H381*I381</f>
        <v>0</v>
      </c>
      <c r="K381" s="17"/>
      <c r="L381" s="16" t="s">
        <v>18</v>
      </c>
      <c r="M381" s="16" t="s">
        <v>22</v>
      </c>
      <c r="N381" s="39" t="s">
        <v>418</v>
      </c>
    </row>
    <row r="382" spans="1:14" s="12" customFormat="1" ht="18">
      <c r="A382" s="178" t="s">
        <v>80</v>
      </c>
      <c r="B382" s="75" t="s">
        <v>181</v>
      </c>
      <c r="C382" s="39" t="s">
        <v>69</v>
      </c>
      <c r="D382" s="210"/>
      <c r="E382" s="210"/>
      <c r="F382" s="210"/>
      <c r="G382" s="210"/>
      <c r="H382" s="40">
        <f>SUM(Tabla132112416[[#This Row],[PRIMER TRIMESTRE]:[CUARTO TRIMESTRE]])</f>
        <v>0</v>
      </c>
      <c r="I382" s="17">
        <v>6206</v>
      </c>
      <c r="J382" s="17">
        <f>+Tabla132112416[[#This Row],[CANTIDAD TOTAL]]*Tabla132112416[[#This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</row>
    <row r="383" spans="1:14" s="12" customFormat="1" ht="25.5">
      <c r="A383" s="178" t="s">
        <v>80</v>
      </c>
      <c r="B383" s="75" t="s">
        <v>468</v>
      </c>
      <c r="C383" s="39" t="s">
        <v>17</v>
      </c>
      <c r="D383" s="236"/>
      <c r="E383" s="236"/>
      <c r="F383" s="236"/>
      <c r="G383" s="236"/>
      <c r="H383" s="40">
        <f>SUM(Tabla132112416[[#This Row],[PRIMER TRIMESTRE]:[CUARTO TRIMESTRE]])</f>
        <v>0</v>
      </c>
      <c r="I383" s="17">
        <v>4827</v>
      </c>
      <c r="J383" s="17">
        <f>+Tabla132112416[[#This Row],[CANTIDAD TOTAL]]*Tabla132112416[[#This Row],[PRECIO UNITARIO ESTIMADO]]</f>
        <v>0</v>
      </c>
      <c r="K383" s="17"/>
      <c r="L383" s="16" t="s">
        <v>18</v>
      </c>
      <c r="M383" s="16" t="s">
        <v>22</v>
      </c>
      <c r="N383" s="39" t="s">
        <v>418</v>
      </c>
    </row>
    <row r="384" spans="1:14" s="12" customFormat="1" ht="18">
      <c r="A384" s="178" t="s">
        <v>80</v>
      </c>
      <c r="B384" s="75" t="s">
        <v>1564</v>
      </c>
      <c r="C384" s="39" t="s">
        <v>17</v>
      </c>
      <c r="D384" s="236"/>
      <c r="E384" s="236"/>
      <c r="F384" s="236"/>
      <c r="G384" s="236"/>
      <c r="H384" s="236">
        <f>SUM(Tabla132112416[[#This Row],[PRIMER TRIMESTRE]:[CUARTO TRIMESTRE]])</f>
        <v>0</v>
      </c>
      <c r="I384" s="17">
        <v>72.37</v>
      </c>
      <c r="J384" s="17">
        <f>+H384*I384</f>
        <v>0</v>
      </c>
      <c r="K384" s="17"/>
      <c r="L384" s="16" t="s">
        <v>18</v>
      </c>
      <c r="M384" s="16" t="s">
        <v>22</v>
      </c>
      <c r="N384" s="39" t="s">
        <v>418</v>
      </c>
    </row>
    <row r="385" spans="1:14" s="12" customFormat="1" ht="18">
      <c r="A385" s="178" t="s">
        <v>80</v>
      </c>
      <c r="B385" s="75" t="s">
        <v>1565</v>
      </c>
      <c r="C385" s="39" t="s">
        <v>17</v>
      </c>
      <c r="D385" s="236"/>
      <c r="E385" s="236"/>
      <c r="F385" s="236"/>
      <c r="G385" s="236"/>
      <c r="H385" s="236">
        <f>SUM(Tabla132112416[[#This Row],[PRIMER TRIMESTRE]:[CUARTO TRIMESTRE]])</f>
        <v>0</v>
      </c>
      <c r="I385" s="17">
        <v>48.05</v>
      </c>
      <c r="J385" s="17">
        <f>+H385*I385</f>
        <v>0</v>
      </c>
      <c r="K385" s="17"/>
      <c r="L385" s="16" t="s">
        <v>18</v>
      </c>
      <c r="M385" s="16" t="s">
        <v>22</v>
      </c>
      <c r="N385" s="39" t="s">
        <v>418</v>
      </c>
    </row>
    <row r="386" spans="1:14" s="12" customFormat="1" ht="18">
      <c r="A386" s="178" t="s">
        <v>80</v>
      </c>
      <c r="B386" s="75" t="s">
        <v>1548</v>
      </c>
      <c r="C386" s="39" t="s">
        <v>17</v>
      </c>
      <c r="D386" s="236"/>
      <c r="E386" s="236"/>
      <c r="F386" s="236"/>
      <c r="G386" s="236"/>
      <c r="H386" s="236">
        <f>SUM(Tabla132112416[[#This Row],[PRIMER TRIMESTRE]:[CUARTO TRIMESTRE]])</f>
        <v>0</v>
      </c>
      <c r="I386" s="17">
        <v>191.1</v>
      </c>
      <c r="J386" s="17">
        <f>+H386*I386</f>
        <v>0</v>
      </c>
      <c r="K386" s="17"/>
      <c r="L386" s="16" t="s">
        <v>18</v>
      </c>
      <c r="M386" s="16" t="s">
        <v>22</v>
      </c>
      <c r="N386" s="39" t="s">
        <v>418</v>
      </c>
    </row>
    <row r="387" spans="1:14" s="12" customFormat="1" ht="18">
      <c r="A387" s="178" t="s">
        <v>80</v>
      </c>
      <c r="B387" s="75" t="s">
        <v>1619</v>
      </c>
      <c r="C387" s="39" t="s">
        <v>17</v>
      </c>
      <c r="D387" s="236"/>
      <c r="E387" s="236"/>
      <c r="F387" s="236"/>
      <c r="G387" s="236"/>
      <c r="H387" s="236">
        <f>SUM(Tabla132112416[[#This Row],[PRIMER TRIMESTRE]:[CUARTO TRIMESTRE]])</f>
        <v>0</v>
      </c>
      <c r="I387" s="17">
        <v>2184.9499999999998</v>
      </c>
      <c r="J387" s="17">
        <f>+H387*I387</f>
        <v>0</v>
      </c>
      <c r="K387" s="17"/>
      <c r="L387" s="16" t="s">
        <v>18</v>
      </c>
      <c r="M387" s="16" t="s">
        <v>22</v>
      </c>
      <c r="N387" s="39" t="s">
        <v>418</v>
      </c>
    </row>
    <row r="388" spans="1:14" s="12" customFormat="1" ht="18">
      <c r="A388" s="178" t="s">
        <v>80</v>
      </c>
      <c r="B388" s="75" t="s">
        <v>1566</v>
      </c>
      <c r="C388" s="39" t="s">
        <v>17</v>
      </c>
      <c r="D388" s="236"/>
      <c r="E388" s="236"/>
      <c r="F388" s="236"/>
      <c r="G388" s="236"/>
      <c r="H388" s="236">
        <f>SUM(Tabla132112416[[#This Row],[PRIMER TRIMESTRE]:[CUARTO TRIMESTRE]])</f>
        <v>0</v>
      </c>
      <c r="I388" s="17">
        <v>2891.99</v>
      </c>
      <c r="J388" s="17">
        <f>+H388*I388</f>
        <v>0</v>
      </c>
      <c r="K388" s="17"/>
      <c r="L388" s="16" t="s">
        <v>18</v>
      </c>
      <c r="M388" s="16" t="s">
        <v>22</v>
      </c>
      <c r="N388" s="39" t="s">
        <v>418</v>
      </c>
    </row>
    <row r="389" spans="1:14" s="12" customFormat="1" ht="18">
      <c r="A389" s="178" t="s">
        <v>80</v>
      </c>
      <c r="B389" s="75" t="s">
        <v>184</v>
      </c>
      <c r="C389" s="39" t="s">
        <v>17</v>
      </c>
      <c r="D389" s="236"/>
      <c r="E389" s="236"/>
      <c r="F389" s="236"/>
      <c r="G389" s="236"/>
      <c r="H389" s="40">
        <f>SUM(Tabla132112416[[#This Row],[PRIMER TRIMESTRE]:[CUARTO TRIMESTRE]])</f>
        <v>0</v>
      </c>
      <c r="I389" s="17">
        <v>1347.46</v>
      </c>
      <c r="J389" s="17">
        <f>+Tabla132112416[[#This Row],[CANTIDAD TOTAL]]*Tabla132112416[[#This Row],[PRECIO UNITARIO ESTIMADO]]</f>
        <v>0</v>
      </c>
      <c r="K389" s="17"/>
      <c r="L389" s="16" t="s">
        <v>18</v>
      </c>
      <c r="M389" s="16" t="s">
        <v>22</v>
      </c>
      <c r="N389" s="39" t="s">
        <v>418</v>
      </c>
    </row>
    <row r="390" spans="1:14" s="12" customFormat="1" ht="18">
      <c r="A390" s="178" t="s">
        <v>80</v>
      </c>
      <c r="B390" s="75" t="s">
        <v>1426</v>
      </c>
      <c r="C390" s="39" t="s">
        <v>17</v>
      </c>
      <c r="D390" s="236"/>
      <c r="E390" s="236"/>
      <c r="F390" s="236"/>
      <c r="G390" s="236"/>
      <c r="H390" s="40">
        <f>SUM(Tabla132112416[[#This Row],[PRIMER TRIMESTRE]:[CUARTO TRIMESTRE]])</f>
        <v>0</v>
      </c>
      <c r="I390" s="17">
        <v>423.61</v>
      </c>
      <c r="J390" s="17">
        <f t="shared" ref="J390:J404" si="10">+H390*I390</f>
        <v>0</v>
      </c>
      <c r="K390" s="17"/>
      <c r="L390" s="16" t="s">
        <v>18</v>
      </c>
      <c r="M390" s="16" t="s">
        <v>22</v>
      </c>
      <c r="N390" s="39" t="s">
        <v>418</v>
      </c>
    </row>
    <row r="391" spans="1:14" s="12" customFormat="1" ht="18">
      <c r="A391" s="178" t="s">
        <v>80</v>
      </c>
      <c r="B391" s="75" t="s">
        <v>1432</v>
      </c>
      <c r="C391" s="39" t="s">
        <v>17</v>
      </c>
      <c r="D391" s="236"/>
      <c r="E391" s="236"/>
      <c r="F391" s="236"/>
      <c r="G391" s="236"/>
      <c r="H391" s="40">
        <f>SUM(Tabla132112416[[#This Row],[PRIMER TRIMESTRE]:[CUARTO TRIMESTRE]])</f>
        <v>0</v>
      </c>
      <c r="I391" s="17">
        <v>705.29</v>
      </c>
      <c r="J391" s="17">
        <f t="shared" si="10"/>
        <v>0</v>
      </c>
      <c r="K391" s="17"/>
      <c r="L391" s="16" t="s">
        <v>18</v>
      </c>
      <c r="M391" s="16" t="s">
        <v>22</v>
      </c>
      <c r="N391" s="39" t="s">
        <v>418</v>
      </c>
    </row>
    <row r="392" spans="1:14" s="12" customFormat="1" ht="18">
      <c r="A392" s="178" t="s">
        <v>80</v>
      </c>
      <c r="B392" s="75" t="s">
        <v>1726</v>
      </c>
      <c r="C392" s="39" t="s">
        <v>17</v>
      </c>
      <c r="D392" s="236"/>
      <c r="E392" s="236"/>
      <c r="F392" s="236"/>
      <c r="G392" s="236"/>
      <c r="H392" s="40">
        <v>0</v>
      </c>
      <c r="I392" s="17">
        <v>0</v>
      </c>
      <c r="J392" s="17">
        <v>0</v>
      </c>
      <c r="K392" s="17"/>
      <c r="L392" s="16" t="s">
        <v>18</v>
      </c>
      <c r="M392" s="16" t="s">
        <v>22</v>
      </c>
      <c r="N392" s="39" t="s">
        <v>418</v>
      </c>
    </row>
    <row r="393" spans="1:14" s="12" customFormat="1" ht="18">
      <c r="A393" s="178" t="s">
        <v>80</v>
      </c>
      <c r="B393" s="75" t="s">
        <v>1608</v>
      </c>
      <c r="C393" s="39" t="s">
        <v>17</v>
      </c>
      <c r="D393" s="236"/>
      <c r="E393" s="236"/>
      <c r="F393" s="236"/>
      <c r="G393" s="236"/>
      <c r="H393" s="236">
        <f>SUM(Tabla132112416[[#This Row],[PRIMER TRIMESTRE]:[CUARTO TRIMESTRE]])</f>
        <v>0</v>
      </c>
      <c r="I393" s="17">
        <v>4776.8500000000004</v>
      </c>
      <c r="J393" s="17">
        <f t="shared" si="10"/>
        <v>0</v>
      </c>
      <c r="K393" s="17"/>
      <c r="L393" s="16" t="s">
        <v>18</v>
      </c>
      <c r="M393" s="16" t="s">
        <v>22</v>
      </c>
      <c r="N393" s="39" t="s">
        <v>418</v>
      </c>
    </row>
    <row r="394" spans="1:14" s="12" customFormat="1" ht="18">
      <c r="A394" s="178" t="s">
        <v>80</v>
      </c>
      <c r="B394" s="75" t="s">
        <v>1607</v>
      </c>
      <c r="C394" s="39" t="s">
        <v>17</v>
      </c>
      <c r="D394" s="236"/>
      <c r="E394" s="236"/>
      <c r="F394" s="236"/>
      <c r="G394" s="236"/>
      <c r="H394" s="236">
        <f>SUM(Tabla132112416[[#This Row],[PRIMER TRIMESTRE]:[CUARTO TRIMESTRE]])</f>
        <v>0</v>
      </c>
      <c r="I394" s="17">
        <v>20971.52</v>
      </c>
      <c r="J394" s="17">
        <f t="shared" si="10"/>
        <v>0</v>
      </c>
      <c r="K394" s="17"/>
      <c r="L394" s="16" t="s">
        <v>18</v>
      </c>
      <c r="M394" s="16" t="s">
        <v>22</v>
      </c>
      <c r="N394" s="39" t="s">
        <v>418</v>
      </c>
    </row>
    <row r="395" spans="1:14" s="12" customFormat="1" ht="18">
      <c r="A395" s="178" t="s">
        <v>80</v>
      </c>
      <c r="B395" s="75" t="s">
        <v>369</v>
      </c>
      <c r="C395" s="39" t="s">
        <v>17</v>
      </c>
      <c r="D395" s="236"/>
      <c r="E395" s="236"/>
      <c r="F395" s="236"/>
      <c r="G395" s="236"/>
      <c r="H395" s="40">
        <f>SUM(Tabla132112416[[#This Row],[PRIMER TRIMESTRE]:[CUARTO TRIMESTRE]])</f>
        <v>0</v>
      </c>
      <c r="I395" s="17">
        <v>4.55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</row>
    <row r="396" spans="1:14" s="12" customFormat="1" ht="18">
      <c r="A396" s="178" t="s">
        <v>80</v>
      </c>
      <c r="B396" s="75" t="s">
        <v>449</v>
      </c>
      <c r="C396" s="39" t="s">
        <v>17</v>
      </c>
      <c r="D396" s="236"/>
      <c r="E396" s="236"/>
      <c r="F396" s="236"/>
      <c r="G396" s="236"/>
      <c r="H396" s="40">
        <f>SUM(Tabla132112416[[#This Row],[PRIMER TRIMESTRE]:[CUARTO TRIMESTRE]])</f>
        <v>0</v>
      </c>
      <c r="I396" s="17">
        <v>4.55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</row>
    <row r="397" spans="1:14" s="12" customFormat="1" ht="18">
      <c r="A397" s="178" t="s">
        <v>80</v>
      </c>
      <c r="B397" s="75" t="s">
        <v>450</v>
      </c>
      <c r="C397" s="39" t="s">
        <v>17</v>
      </c>
      <c r="D397" s="236"/>
      <c r="E397" s="236"/>
      <c r="F397" s="236"/>
      <c r="G397" s="236"/>
      <c r="H397" s="40">
        <f>SUM(Tabla132112416[[#This Row],[PRIMER TRIMESTRE]:[CUARTO TRIMESTRE]])</f>
        <v>0</v>
      </c>
      <c r="I397" s="17">
        <v>4.55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</row>
    <row r="398" spans="1:14" s="12" customFormat="1" ht="18">
      <c r="A398" s="178" t="s">
        <v>80</v>
      </c>
      <c r="B398" s="75" t="s">
        <v>451</v>
      </c>
      <c r="C398" s="39" t="s">
        <v>17</v>
      </c>
      <c r="D398" s="236"/>
      <c r="E398" s="236"/>
      <c r="F398" s="236"/>
      <c r="G398" s="236"/>
      <c r="H398" s="40">
        <f>SUM(Tabla132112416[[#This Row],[PRIMER TRIMESTRE]:[CUARTO TRIMESTRE]])</f>
        <v>0</v>
      </c>
      <c r="I398" s="17">
        <v>4.55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</row>
    <row r="399" spans="1:14" s="12" customFormat="1" ht="18">
      <c r="A399" s="178" t="s">
        <v>80</v>
      </c>
      <c r="B399" s="75" t="s">
        <v>453</v>
      </c>
      <c r="C399" s="39" t="s">
        <v>17</v>
      </c>
      <c r="D399" s="236"/>
      <c r="E399" s="236"/>
      <c r="F399" s="236"/>
      <c r="G399" s="236"/>
      <c r="H399" s="40">
        <f>SUM(Tabla132112416[[#This Row],[PRIMER TRIMESTRE]:[CUARTO TRIMESTRE]])</f>
        <v>0</v>
      </c>
      <c r="I399" s="17">
        <v>4.55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</row>
    <row r="400" spans="1:14" s="12" customFormat="1" ht="18">
      <c r="A400" s="178" t="s">
        <v>80</v>
      </c>
      <c r="B400" s="75" t="s">
        <v>452</v>
      </c>
      <c r="C400" s="39" t="s">
        <v>17</v>
      </c>
      <c r="D400" s="236"/>
      <c r="E400" s="236"/>
      <c r="F400" s="236"/>
      <c r="G400" s="236"/>
      <c r="H400" s="40">
        <f>SUM(Tabla132112416[[#This Row],[PRIMER TRIMESTRE]:[CUARTO TRIMESTRE]])</f>
        <v>0</v>
      </c>
      <c r="I400" s="17">
        <v>4.55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</row>
    <row r="401" spans="1:14" s="12" customFormat="1" ht="18">
      <c r="A401" s="178" t="s">
        <v>80</v>
      </c>
      <c r="B401" s="75" t="s">
        <v>603</v>
      </c>
      <c r="C401" s="39" t="s">
        <v>17</v>
      </c>
      <c r="D401" s="236"/>
      <c r="E401" s="236"/>
      <c r="F401" s="236"/>
      <c r="G401" s="236"/>
      <c r="H401" s="40">
        <f>SUM(Tabla132112416[[#This Row],[PRIMER TRIMESTRE]:[CUARTO TRIMESTRE]])</f>
        <v>0</v>
      </c>
      <c r="I401" s="17">
        <v>737.74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</row>
    <row r="402" spans="1:14" s="12" customFormat="1" ht="18">
      <c r="A402" s="178" t="s">
        <v>80</v>
      </c>
      <c r="B402" s="75" t="s">
        <v>604</v>
      </c>
      <c r="C402" s="39" t="s">
        <v>17</v>
      </c>
      <c r="D402" s="236"/>
      <c r="E402" s="236"/>
      <c r="F402" s="236"/>
      <c r="G402" s="236"/>
      <c r="H402" s="40">
        <f>SUM(Tabla132112416[[#This Row],[PRIMER TRIMESTRE]:[CUARTO TRIMESTRE]])</f>
        <v>0</v>
      </c>
      <c r="I402" s="17">
        <v>2121.4499999999998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</row>
    <row r="403" spans="1:14" s="12" customFormat="1" ht="18">
      <c r="A403" s="178" t="s">
        <v>80</v>
      </c>
      <c r="B403" s="75" t="s">
        <v>605</v>
      </c>
      <c r="C403" s="39" t="s">
        <v>17</v>
      </c>
      <c r="D403" s="236"/>
      <c r="E403" s="236"/>
      <c r="F403" s="236"/>
      <c r="G403" s="236"/>
      <c r="H403" s="40">
        <f>SUM(Tabla132112416[[#This Row],[PRIMER TRIMESTRE]:[CUARTO TRIMESTRE]])</f>
        <v>0</v>
      </c>
      <c r="I403" s="17">
        <v>2121.4499999999998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</row>
    <row r="404" spans="1:14" s="12" customFormat="1" ht="18">
      <c r="A404" s="178" t="s">
        <v>80</v>
      </c>
      <c r="B404" s="75" t="s">
        <v>606</v>
      </c>
      <c r="C404" s="39" t="s">
        <v>17</v>
      </c>
      <c r="D404" s="236"/>
      <c r="E404" s="236"/>
      <c r="F404" s="236"/>
      <c r="G404" s="236"/>
      <c r="H404" s="40">
        <f>SUM(Tabla132112416[[#This Row],[PRIMER TRIMESTRE]:[CUARTO TRIMESTRE]])</f>
        <v>0</v>
      </c>
      <c r="I404" s="17">
        <v>3601.69</v>
      </c>
      <c r="J404" s="17">
        <f t="shared" si="10"/>
        <v>0</v>
      </c>
      <c r="K404" s="17"/>
      <c r="L404" s="16" t="s">
        <v>18</v>
      </c>
      <c r="M404" s="16" t="s">
        <v>22</v>
      </c>
      <c r="N404" s="39" t="s">
        <v>418</v>
      </c>
    </row>
    <row r="405" spans="1:14" s="12" customFormat="1" ht="18">
      <c r="A405" s="178" t="s">
        <v>80</v>
      </c>
      <c r="B405" s="75" t="s">
        <v>188</v>
      </c>
      <c r="C405" s="39" t="s">
        <v>189</v>
      </c>
      <c r="D405" s="236"/>
      <c r="E405" s="236"/>
      <c r="F405" s="236"/>
      <c r="G405" s="236"/>
      <c r="H405" s="40">
        <f>SUM(Tabla132112416[[#This Row],[PRIMER TRIMESTRE]:[CUARTO TRIMESTRE]])</f>
        <v>0</v>
      </c>
      <c r="I405" s="17">
        <v>104.4</v>
      </c>
      <c r="J405" s="17">
        <f>+Tabla132112416[[#This Row],[CANTIDAD TOTAL]]*Tabla132112416[[#This Row],[PRECIO UNITARIO ESTIMADO]]</f>
        <v>0</v>
      </c>
      <c r="K405" s="17"/>
      <c r="L405" s="16" t="s">
        <v>18</v>
      </c>
      <c r="M405" s="16" t="s">
        <v>22</v>
      </c>
      <c r="N405" s="39" t="s">
        <v>418</v>
      </c>
    </row>
    <row r="406" spans="1:14" s="12" customFormat="1" ht="18">
      <c r="A406" s="178" t="s">
        <v>80</v>
      </c>
      <c r="B406" s="75" t="s">
        <v>1760</v>
      </c>
      <c r="C406" s="39" t="s">
        <v>17</v>
      </c>
      <c r="D406" s="236"/>
      <c r="E406" s="236"/>
      <c r="F406" s="236"/>
      <c r="G406" s="236"/>
      <c r="H406" s="40">
        <v>0</v>
      </c>
      <c r="I406" s="17">
        <v>0</v>
      </c>
      <c r="J406" s="17">
        <v>0</v>
      </c>
      <c r="K406" s="17"/>
      <c r="L406" s="16" t="s">
        <v>18</v>
      </c>
      <c r="M406" s="16" t="s">
        <v>22</v>
      </c>
      <c r="N406" s="39" t="s">
        <v>418</v>
      </c>
    </row>
    <row r="407" spans="1:14" s="12" customFormat="1" ht="18">
      <c r="A407" s="178" t="s">
        <v>80</v>
      </c>
      <c r="B407" s="75" t="s">
        <v>1761</v>
      </c>
      <c r="C407" s="39" t="s">
        <v>17</v>
      </c>
      <c r="D407" s="236"/>
      <c r="E407" s="236"/>
      <c r="F407" s="236"/>
      <c r="G407" s="236"/>
      <c r="H407" s="40">
        <v>0</v>
      </c>
      <c r="I407" s="17">
        <v>0</v>
      </c>
      <c r="J407" s="17">
        <v>0</v>
      </c>
      <c r="K407" s="17"/>
      <c r="L407" s="16" t="s">
        <v>18</v>
      </c>
      <c r="M407" s="16" t="s">
        <v>22</v>
      </c>
      <c r="N407" s="39" t="s">
        <v>418</v>
      </c>
    </row>
    <row r="408" spans="1:14" s="12" customFormat="1" ht="18">
      <c r="A408" s="178" t="s">
        <v>80</v>
      </c>
      <c r="B408" s="75" t="s">
        <v>191</v>
      </c>
      <c r="C408" s="39" t="s">
        <v>17</v>
      </c>
      <c r="D408" s="236"/>
      <c r="E408" s="236"/>
      <c r="F408" s="236"/>
      <c r="G408" s="236"/>
      <c r="H408" s="40">
        <f>SUM(Tabla132112416[[#This Row],[PRIMER TRIMESTRE]:[CUARTO TRIMESTRE]])</f>
        <v>0</v>
      </c>
      <c r="I408" s="17">
        <v>754</v>
      </c>
      <c r="J408" s="17">
        <f>+Tabla132112416[[#This Row],[CANTIDAD TOTAL]]*Tabla132112416[[#This Row],[PRECIO UNITARIO ESTIMADO]]</f>
        <v>0</v>
      </c>
      <c r="K408" s="17"/>
      <c r="L408" s="16" t="s">
        <v>18</v>
      </c>
      <c r="M408" s="16" t="s">
        <v>22</v>
      </c>
      <c r="N408" s="39" t="s">
        <v>418</v>
      </c>
    </row>
    <row r="409" spans="1:14" s="12" customFormat="1" ht="18">
      <c r="A409" s="178" t="s">
        <v>80</v>
      </c>
      <c r="B409" s="75" t="s">
        <v>193</v>
      </c>
      <c r="C409" s="39" t="s">
        <v>17</v>
      </c>
      <c r="D409" s="236"/>
      <c r="E409" s="236"/>
      <c r="F409" s="236"/>
      <c r="G409" s="236"/>
      <c r="H409" s="40">
        <f>SUM(Tabla132112416[[#This Row],[PRIMER TRIMESTRE]:[CUARTO TRIMESTRE]])</f>
        <v>0</v>
      </c>
      <c r="I409" s="17">
        <v>222.06</v>
      </c>
      <c r="J409" s="17">
        <f>+Tabla132112416[[#This Row],[CANTIDAD TOTAL]]*Tabla132112416[[#This Row],[PRECIO UNITARIO ESTIMADO]]</f>
        <v>0</v>
      </c>
      <c r="K409" s="17"/>
      <c r="L409" s="16" t="s">
        <v>18</v>
      </c>
      <c r="M409" s="16" t="s">
        <v>22</v>
      </c>
      <c r="N409" s="39" t="s">
        <v>418</v>
      </c>
    </row>
    <row r="410" spans="1:14" s="12" customFormat="1" ht="18">
      <c r="A410" s="178" t="s">
        <v>80</v>
      </c>
      <c r="B410" s="75" t="s">
        <v>1429</v>
      </c>
      <c r="C410" s="39" t="s">
        <v>17</v>
      </c>
      <c r="D410" s="236"/>
      <c r="E410" s="236"/>
      <c r="F410" s="236"/>
      <c r="G410" s="236"/>
      <c r="H410" s="40">
        <f>SUM(Tabla132112416[[#This Row],[PRIMER TRIMESTRE]:[CUARTO TRIMESTRE]])</f>
        <v>0</v>
      </c>
      <c r="I410" s="17">
        <v>1.23</v>
      </c>
      <c r="J410" s="17">
        <f>+H410*I410</f>
        <v>0</v>
      </c>
      <c r="K410" s="17"/>
      <c r="L410" s="16" t="s">
        <v>18</v>
      </c>
      <c r="M410" s="16" t="s">
        <v>22</v>
      </c>
      <c r="N410" s="39" t="s">
        <v>418</v>
      </c>
    </row>
    <row r="411" spans="1:14" s="12" customFormat="1" ht="18">
      <c r="A411" s="178" t="s">
        <v>80</v>
      </c>
      <c r="B411" s="75" t="s">
        <v>654</v>
      </c>
      <c r="C411" s="39" t="s">
        <v>17</v>
      </c>
      <c r="D411" s="236"/>
      <c r="E411" s="236"/>
      <c r="F411" s="236"/>
      <c r="G411" s="236"/>
      <c r="H411" s="40">
        <f>SUM(Tabla132112416[[#This Row],[PRIMER TRIMESTRE]:[CUARTO TRIMESTRE]])</f>
        <v>0</v>
      </c>
      <c r="I411" s="17">
        <v>2.86</v>
      </c>
      <c r="J411" s="17">
        <f>+Tabla132112416[[#This Row],[CANTIDAD TOTAL]]*Tabla132112416[[#This Row],[PRECIO UNITARIO ESTIMADO]]</f>
        <v>0</v>
      </c>
      <c r="K411" s="17"/>
      <c r="L411" s="16" t="s">
        <v>18</v>
      </c>
      <c r="M411" s="16" t="s">
        <v>22</v>
      </c>
      <c r="N411" s="39" t="s">
        <v>418</v>
      </c>
    </row>
    <row r="412" spans="1:14" s="12" customFormat="1" ht="18">
      <c r="A412" s="178" t="s">
        <v>80</v>
      </c>
      <c r="B412" s="75" t="s">
        <v>655</v>
      </c>
      <c r="C412" s="39" t="s">
        <v>17</v>
      </c>
      <c r="D412" s="236"/>
      <c r="E412" s="236"/>
      <c r="F412" s="236"/>
      <c r="G412" s="236"/>
      <c r="H412" s="40">
        <f>SUM(Tabla132112416[[#This Row],[PRIMER TRIMESTRE]:[CUARTO TRIMESTRE]])</f>
        <v>0</v>
      </c>
      <c r="I412" s="17">
        <v>4.09</v>
      </c>
      <c r="J412" s="17">
        <f>+Tabla132112416[[#This Row],[CANTIDAD TOTAL]]*Tabla132112416[[#This Row],[PRECIO UNITARIO ESTIMADO]]</f>
        <v>0</v>
      </c>
      <c r="K412" s="17"/>
      <c r="L412" s="16" t="s">
        <v>18</v>
      </c>
      <c r="M412" s="16" t="s">
        <v>22</v>
      </c>
      <c r="N412" s="39" t="s">
        <v>418</v>
      </c>
    </row>
    <row r="413" spans="1:14" s="12" customFormat="1" ht="18">
      <c r="A413" s="178" t="s">
        <v>80</v>
      </c>
      <c r="B413" s="75" t="s">
        <v>659</v>
      </c>
      <c r="C413" s="39" t="s">
        <v>17</v>
      </c>
      <c r="D413" s="236"/>
      <c r="E413" s="236"/>
      <c r="F413" s="236"/>
      <c r="G413" s="236"/>
      <c r="H413" s="40">
        <f>SUM(Tabla132112416[[#This Row],[PRIMER TRIMESTRE]:[CUARTO TRIMESTRE]])</f>
        <v>0</v>
      </c>
      <c r="I413" s="72">
        <v>11.82</v>
      </c>
      <c r="J413" s="17">
        <f>+H413*I413</f>
        <v>0</v>
      </c>
      <c r="K413" s="17"/>
      <c r="L413" s="16" t="s">
        <v>18</v>
      </c>
      <c r="M413" s="16" t="s">
        <v>22</v>
      </c>
      <c r="N413" s="39" t="s">
        <v>418</v>
      </c>
    </row>
    <row r="414" spans="1:14" s="12" customFormat="1" ht="18">
      <c r="A414" s="178" t="s">
        <v>80</v>
      </c>
      <c r="B414" s="75" t="s">
        <v>660</v>
      </c>
      <c r="C414" s="39" t="s">
        <v>17</v>
      </c>
      <c r="D414" s="236"/>
      <c r="E414" s="236"/>
      <c r="F414" s="236"/>
      <c r="G414" s="236"/>
      <c r="H414" s="40">
        <f>SUM(Tabla132112416[[#This Row],[PRIMER TRIMESTRE]:[CUARTO TRIMESTRE]])</f>
        <v>0</v>
      </c>
      <c r="I414" s="72">
        <v>13.65</v>
      </c>
      <c r="J414" s="17">
        <f>+H414*I414</f>
        <v>0</v>
      </c>
      <c r="K414" s="17"/>
      <c r="L414" s="16" t="s">
        <v>18</v>
      </c>
      <c r="M414" s="16" t="s">
        <v>22</v>
      </c>
      <c r="N414" s="39" t="s">
        <v>418</v>
      </c>
    </row>
    <row r="415" spans="1:14" s="12" customFormat="1" ht="18">
      <c r="A415" s="178" t="s">
        <v>80</v>
      </c>
      <c r="B415" s="75" t="s">
        <v>656</v>
      </c>
      <c r="C415" s="39" t="s">
        <v>17</v>
      </c>
      <c r="D415" s="236"/>
      <c r="E415" s="236"/>
      <c r="F415" s="236"/>
      <c r="G415" s="236"/>
      <c r="H415" s="40">
        <f>SUM(Tabla132112416[[#This Row],[PRIMER TRIMESTRE]:[CUARTO TRIMESTRE]])</f>
        <v>0</v>
      </c>
      <c r="I415" s="17">
        <v>22.39</v>
      </c>
      <c r="J415" s="17">
        <f>+Tabla132112416[[#This Row],[CANTIDAD TOTAL]]*Tabla132112416[[#This Row],[PRECIO UNITARIO ESTIMADO]]</f>
        <v>0</v>
      </c>
      <c r="K415" s="17"/>
      <c r="L415" s="16" t="s">
        <v>18</v>
      </c>
      <c r="M415" s="16" t="s">
        <v>22</v>
      </c>
      <c r="N415" s="39" t="s">
        <v>418</v>
      </c>
    </row>
    <row r="416" spans="1:14" s="12" customFormat="1" ht="18">
      <c r="A416" s="178" t="s">
        <v>80</v>
      </c>
      <c r="B416" s="75" t="s">
        <v>657</v>
      </c>
      <c r="C416" s="39" t="s">
        <v>17</v>
      </c>
      <c r="D416" s="236"/>
      <c r="E416" s="236"/>
      <c r="F416" s="236"/>
      <c r="G416" s="236"/>
      <c r="H416" s="40">
        <f>SUM(Tabla132112416[[#This Row],[PRIMER TRIMESTRE]:[CUARTO TRIMESTRE]])</f>
        <v>0</v>
      </c>
      <c r="I416" s="17">
        <v>59.97</v>
      </c>
      <c r="J416" s="17">
        <f>+Tabla132112416[[#This Row],[CANTIDAD TOTAL]]*Tabla132112416[[#This Row],[PRECIO UNITARIO ESTIMADO]]</f>
        <v>0</v>
      </c>
      <c r="K416" s="17"/>
      <c r="L416" s="16" t="s">
        <v>18</v>
      </c>
      <c r="M416" s="16" t="s">
        <v>22</v>
      </c>
      <c r="N416" s="39" t="s">
        <v>418</v>
      </c>
    </row>
    <row r="417" spans="1:14" s="12" customFormat="1" ht="18">
      <c r="A417" s="178" t="s">
        <v>80</v>
      </c>
      <c r="B417" s="75" t="s">
        <v>658</v>
      </c>
      <c r="C417" s="39" t="s">
        <v>17</v>
      </c>
      <c r="D417" s="236"/>
      <c r="E417" s="236"/>
      <c r="F417" s="236"/>
      <c r="G417" s="236"/>
      <c r="H417" s="40">
        <f>SUM(Tabla132112416[[#This Row],[PRIMER TRIMESTRE]:[CUARTO TRIMESTRE]])</f>
        <v>0</v>
      </c>
      <c r="I417" s="17">
        <v>101.5</v>
      </c>
      <c r="J417" s="17">
        <f>+Tabla132112416[[#This Row],[CANTIDAD TOTAL]]*Tabla132112416[[#This Row],[PRECIO UNITARIO ESTIMADO]]</f>
        <v>0</v>
      </c>
      <c r="K417" s="17"/>
      <c r="L417" s="16" t="s">
        <v>18</v>
      </c>
      <c r="M417" s="16" t="s">
        <v>22</v>
      </c>
      <c r="N417" s="39" t="s">
        <v>418</v>
      </c>
    </row>
    <row r="418" spans="1:14" s="12" customFormat="1" ht="18">
      <c r="A418" s="178" t="s">
        <v>80</v>
      </c>
      <c r="B418" s="75" t="s">
        <v>202</v>
      </c>
      <c r="C418" s="39" t="s">
        <v>17</v>
      </c>
      <c r="D418" s="236"/>
      <c r="E418" s="236"/>
      <c r="F418" s="236"/>
      <c r="G418" s="236"/>
      <c r="H418" s="40">
        <f>SUM(Tabla132112416[[#This Row],[PRIMER TRIMESTRE]:[CUARTO TRIMESTRE]])</f>
        <v>0</v>
      </c>
      <c r="I418" s="17">
        <v>3364</v>
      </c>
      <c r="J418" s="17">
        <f>+Tabla132112416[[#This Row],[CANTIDAD TOTAL]]*Tabla132112416[[#This Row],[PRECIO UNITARIO ESTIMADO]]</f>
        <v>0</v>
      </c>
      <c r="K418" s="17"/>
      <c r="L418" s="16" t="s">
        <v>18</v>
      </c>
      <c r="M418" s="16" t="s">
        <v>22</v>
      </c>
      <c r="N418" s="39" t="s">
        <v>418</v>
      </c>
    </row>
    <row r="419" spans="1:14" s="12" customFormat="1" ht="18">
      <c r="A419" s="178" t="s">
        <v>80</v>
      </c>
      <c r="B419" s="75" t="s">
        <v>776</v>
      </c>
      <c r="C419" s="39" t="s">
        <v>17</v>
      </c>
      <c r="D419" s="236"/>
      <c r="E419" s="236"/>
      <c r="F419" s="236"/>
      <c r="G419" s="236"/>
      <c r="H419" s="40">
        <f>SUM(Tabla132112416[[#This Row],[PRIMER TRIMESTRE]:[CUARTO TRIMESTRE]])</f>
        <v>0</v>
      </c>
      <c r="I419" s="17">
        <v>32.479999999999997</v>
      </c>
      <c r="J419" s="17">
        <f>+Tabla132112416[[#This Row],[CANTIDAD TOTAL]]*Tabla132112416[[#This Row],[PRECIO UNITARIO ESTIMADO]]</f>
        <v>0</v>
      </c>
      <c r="K419" s="17"/>
      <c r="L419" s="16" t="s">
        <v>18</v>
      </c>
      <c r="M419" s="16" t="s">
        <v>22</v>
      </c>
      <c r="N419" s="39" t="s">
        <v>418</v>
      </c>
    </row>
    <row r="420" spans="1:14" s="12" customFormat="1" ht="18">
      <c r="A420" s="178" t="s">
        <v>80</v>
      </c>
      <c r="B420" s="75" t="s">
        <v>205</v>
      </c>
      <c r="C420" s="39" t="s">
        <v>17</v>
      </c>
      <c r="D420" s="236"/>
      <c r="E420" s="236"/>
      <c r="F420" s="236"/>
      <c r="G420" s="236"/>
      <c r="H420" s="40">
        <f>SUM(Tabla132112416[[#This Row],[PRIMER TRIMESTRE]:[CUARTO TRIMESTRE]])</f>
        <v>0</v>
      </c>
      <c r="I420" s="17">
        <v>2.3199999999999998</v>
      </c>
      <c r="J420" s="17">
        <f>+Tabla132112416[[#This Row],[CANTIDAD TOTAL]]*Tabla132112416[[#This Row],[PRECIO UNITARIO ESTIMADO]]</f>
        <v>0</v>
      </c>
      <c r="K420" s="17"/>
      <c r="L420" s="16" t="s">
        <v>18</v>
      </c>
      <c r="M420" s="16" t="s">
        <v>22</v>
      </c>
      <c r="N420" s="39" t="s">
        <v>418</v>
      </c>
    </row>
    <row r="421" spans="1:14" s="12" customFormat="1" ht="18">
      <c r="A421" s="178" t="s">
        <v>80</v>
      </c>
      <c r="B421" s="75" t="s">
        <v>206</v>
      </c>
      <c r="C421" s="39" t="s">
        <v>17</v>
      </c>
      <c r="D421" s="236"/>
      <c r="E421" s="236"/>
      <c r="F421" s="236"/>
      <c r="G421" s="236"/>
      <c r="H421" s="40">
        <f>SUM(Tabla132112416[[#This Row],[PRIMER TRIMESTRE]:[CUARTO TRIMESTRE]])</f>
        <v>0</v>
      </c>
      <c r="I421" s="17">
        <v>3.48</v>
      </c>
      <c r="J421" s="17">
        <f>+Tabla132112416[[#This Row],[CANTIDAD TOTAL]]*Tabla132112416[[#This Row],[PRECIO UNITARIO ESTIMADO]]</f>
        <v>0</v>
      </c>
      <c r="K421" s="17"/>
      <c r="L421" s="16" t="s">
        <v>18</v>
      </c>
      <c r="M421" s="16" t="s">
        <v>22</v>
      </c>
      <c r="N421" s="39" t="s">
        <v>418</v>
      </c>
    </row>
    <row r="422" spans="1:14" s="12" customFormat="1" ht="18">
      <c r="A422" s="178" t="s">
        <v>80</v>
      </c>
      <c r="B422" s="75" t="s">
        <v>1335</v>
      </c>
      <c r="C422" s="39" t="s">
        <v>17</v>
      </c>
      <c r="D422" s="236"/>
      <c r="E422" s="236"/>
      <c r="F422" s="236"/>
      <c r="G422" s="236"/>
      <c r="H422" s="40">
        <f>SUM(Tabla132112416[[#This Row],[PRIMER TRIMESTRE]:[CUARTO TRIMESTRE]])</f>
        <v>0</v>
      </c>
      <c r="I422" s="17">
        <v>9.44</v>
      </c>
      <c r="J422" s="17">
        <f t="shared" ref="J422:J485" si="11">+H422*I422</f>
        <v>0</v>
      </c>
      <c r="K422" s="17"/>
      <c r="L422" s="16" t="s">
        <v>18</v>
      </c>
      <c r="M422" s="16" t="s">
        <v>22</v>
      </c>
      <c r="N422" s="39" t="s">
        <v>418</v>
      </c>
    </row>
    <row r="423" spans="1:14" s="12" customFormat="1" ht="18">
      <c r="A423" s="178" t="s">
        <v>80</v>
      </c>
      <c r="B423" s="75" t="s">
        <v>1336</v>
      </c>
      <c r="C423" s="39" t="s">
        <v>17</v>
      </c>
      <c r="D423" s="236"/>
      <c r="E423" s="236"/>
      <c r="F423" s="236"/>
      <c r="G423" s="236"/>
      <c r="H423" s="40">
        <f>SUM(Tabla132112416[[#This Row],[PRIMER TRIMESTRE]:[CUARTO TRIMESTRE]])</f>
        <v>0</v>
      </c>
      <c r="I423" s="17">
        <v>5.9</v>
      </c>
      <c r="J423" s="17">
        <f t="shared" si="11"/>
        <v>0</v>
      </c>
      <c r="K423" s="17"/>
      <c r="L423" s="16" t="s">
        <v>18</v>
      </c>
      <c r="M423" s="16" t="s">
        <v>22</v>
      </c>
      <c r="N423" s="39" t="s">
        <v>418</v>
      </c>
    </row>
    <row r="424" spans="1:14" s="12" customFormat="1" ht="18">
      <c r="A424" s="178" t="s">
        <v>80</v>
      </c>
      <c r="B424" s="75" t="s">
        <v>1337</v>
      </c>
      <c r="C424" s="39" t="s">
        <v>17</v>
      </c>
      <c r="D424" s="236"/>
      <c r="E424" s="236"/>
      <c r="F424" s="236"/>
      <c r="G424" s="236"/>
      <c r="H424" s="40">
        <f>SUM(Tabla132112416[[#This Row],[PRIMER TRIMESTRE]:[CUARTO TRIMESTRE]])</f>
        <v>0</v>
      </c>
      <c r="I424" s="17">
        <v>3.54</v>
      </c>
      <c r="J424" s="17">
        <f t="shared" si="11"/>
        <v>0</v>
      </c>
      <c r="K424" s="17"/>
      <c r="L424" s="16" t="s">
        <v>18</v>
      </c>
      <c r="M424" s="16" t="s">
        <v>22</v>
      </c>
      <c r="N424" s="39" t="s">
        <v>418</v>
      </c>
    </row>
    <row r="425" spans="1:14" s="12" customFormat="1" ht="18">
      <c r="A425" s="178" t="s">
        <v>80</v>
      </c>
      <c r="B425" s="75" t="s">
        <v>638</v>
      </c>
      <c r="C425" s="39" t="s">
        <v>17</v>
      </c>
      <c r="D425" s="236"/>
      <c r="E425" s="236"/>
      <c r="F425" s="240"/>
      <c r="G425" s="236"/>
      <c r="H425" s="40">
        <f>SUM(Tabla132112416[[#This Row],[PRIMER TRIMESTRE]:[CUARTO TRIMESTRE]])</f>
        <v>0</v>
      </c>
      <c r="I425" s="72">
        <v>7.28</v>
      </c>
      <c r="J425" s="17">
        <f t="shared" si="11"/>
        <v>0</v>
      </c>
      <c r="K425" s="17"/>
      <c r="L425" s="16" t="s">
        <v>18</v>
      </c>
      <c r="M425" s="16" t="s">
        <v>22</v>
      </c>
      <c r="N425" s="39" t="s">
        <v>418</v>
      </c>
    </row>
    <row r="426" spans="1:14" s="12" customFormat="1" ht="18">
      <c r="A426" s="178" t="s">
        <v>80</v>
      </c>
      <c r="B426" s="75" t="s">
        <v>639</v>
      </c>
      <c r="C426" s="39" t="s">
        <v>17</v>
      </c>
      <c r="D426" s="236"/>
      <c r="E426" s="236"/>
      <c r="F426" s="240"/>
      <c r="G426" s="236"/>
      <c r="H426" s="40">
        <f>SUM(Tabla132112416[[#This Row],[PRIMER TRIMESTRE]:[CUARTO TRIMESTRE]])</f>
        <v>0</v>
      </c>
      <c r="I426" s="72">
        <v>11.82</v>
      </c>
      <c r="J426" s="17">
        <f t="shared" si="11"/>
        <v>0</v>
      </c>
      <c r="K426" s="17"/>
      <c r="L426" s="16" t="s">
        <v>18</v>
      </c>
      <c r="M426" s="16" t="s">
        <v>22</v>
      </c>
      <c r="N426" s="39"/>
    </row>
    <row r="427" spans="1:14" s="12" customFormat="1" ht="18">
      <c r="A427" s="178" t="s">
        <v>80</v>
      </c>
      <c r="B427" s="75" t="s">
        <v>642</v>
      </c>
      <c r="C427" s="39" t="s">
        <v>17</v>
      </c>
      <c r="D427" s="236"/>
      <c r="E427" s="236"/>
      <c r="F427" s="240"/>
      <c r="G427" s="236"/>
      <c r="H427" s="40">
        <f>SUM(Tabla132112416[[#This Row],[PRIMER TRIMESTRE]:[CUARTO TRIMESTRE]])</f>
        <v>0</v>
      </c>
      <c r="I427" s="72">
        <v>22.74</v>
      </c>
      <c r="J427" s="17">
        <f t="shared" si="11"/>
        <v>0</v>
      </c>
      <c r="K427" s="17"/>
      <c r="L427" s="16" t="s">
        <v>18</v>
      </c>
      <c r="M427" s="16" t="s">
        <v>22</v>
      </c>
      <c r="N427" s="39"/>
    </row>
    <row r="428" spans="1:14" s="12" customFormat="1" ht="18">
      <c r="A428" s="178" t="s">
        <v>80</v>
      </c>
      <c r="B428" s="75" t="s">
        <v>643</v>
      </c>
      <c r="C428" s="39" t="s">
        <v>17</v>
      </c>
      <c r="D428" s="236"/>
      <c r="E428" s="236"/>
      <c r="F428" s="240"/>
      <c r="G428" s="236"/>
      <c r="H428" s="40">
        <f>SUM(Tabla132112416[[#This Row],[PRIMER TRIMESTRE]:[CUARTO TRIMESTRE]])</f>
        <v>0</v>
      </c>
      <c r="I428" s="72">
        <v>53.66</v>
      </c>
      <c r="J428" s="17">
        <f t="shared" si="11"/>
        <v>0</v>
      </c>
      <c r="K428" s="17"/>
      <c r="L428" s="16" t="s">
        <v>18</v>
      </c>
      <c r="M428" s="16" t="s">
        <v>22</v>
      </c>
      <c r="N428" s="39"/>
    </row>
    <row r="429" spans="1:14" s="12" customFormat="1" ht="18">
      <c r="A429" s="178" t="s">
        <v>80</v>
      </c>
      <c r="B429" s="75" t="s">
        <v>640</v>
      </c>
      <c r="C429" s="39" t="s">
        <v>17</v>
      </c>
      <c r="D429" s="236"/>
      <c r="E429" s="236"/>
      <c r="F429" s="240"/>
      <c r="G429" s="236"/>
      <c r="H429" s="40">
        <f>SUM(Tabla132112416[[#This Row],[PRIMER TRIMESTRE]:[CUARTO TRIMESTRE]])</f>
        <v>0</v>
      </c>
      <c r="I429" s="72">
        <v>90</v>
      </c>
      <c r="J429" s="17">
        <f t="shared" si="11"/>
        <v>0</v>
      </c>
      <c r="K429" s="17"/>
      <c r="L429" s="16" t="s">
        <v>18</v>
      </c>
      <c r="M429" s="16" t="s">
        <v>22</v>
      </c>
      <c r="N429" s="39"/>
    </row>
    <row r="430" spans="1:14" s="12" customFormat="1" ht="18">
      <c r="A430" s="178" t="s">
        <v>80</v>
      </c>
      <c r="B430" s="75" t="s">
        <v>641</v>
      </c>
      <c r="C430" s="39" t="s">
        <v>17</v>
      </c>
      <c r="D430" s="236"/>
      <c r="E430" s="236"/>
      <c r="F430" s="236"/>
      <c r="G430" s="236"/>
      <c r="H430" s="40">
        <f>SUM(Tabla132112416[[#This Row],[PRIMER TRIMESTRE]:[CUARTO TRIMESTRE]])</f>
        <v>0</v>
      </c>
      <c r="I430" s="72">
        <v>1799.03</v>
      </c>
      <c r="J430" s="17">
        <f t="shared" si="11"/>
        <v>0</v>
      </c>
      <c r="K430" s="17"/>
      <c r="L430" s="16" t="s">
        <v>18</v>
      </c>
      <c r="M430" s="16" t="s">
        <v>22</v>
      </c>
      <c r="N430" s="39"/>
    </row>
    <row r="431" spans="1:14" s="12" customFormat="1" ht="18">
      <c r="A431" s="178" t="s">
        <v>80</v>
      </c>
      <c r="B431" s="75" t="s">
        <v>607</v>
      </c>
      <c r="C431" s="39" t="s">
        <v>17</v>
      </c>
      <c r="D431" s="236"/>
      <c r="E431" s="236"/>
      <c r="F431" s="236"/>
      <c r="G431" s="236"/>
      <c r="H431" s="40">
        <f>SUM(Tabla132112416[[#This Row],[PRIMER TRIMESTRE]:[CUARTO TRIMESTRE]])</f>
        <v>0</v>
      </c>
      <c r="I431" s="17">
        <v>3068</v>
      </c>
      <c r="J431" s="17">
        <f t="shared" si="11"/>
        <v>0</v>
      </c>
      <c r="K431" s="17"/>
      <c r="L431" s="16" t="s">
        <v>18</v>
      </c>
      <c r="M431" s="16" t="s">
        <v>22</v>
      </c>
      <c r="N431" s="39"/>
    </row>
    <row r="432" spans="1:14" s="12" customFormat="1" ht="18">
      <c r="A432" s="178" t="s">
        <v>80</v>
      </c>
      <c r="B432" s="75" t="s">
        <v>608</v>
      </c>
      <c r="C432" s="39" t="s">
        <v>17</v>
      </c>
      <c r="D432" s="236"/>
      <c r="E432" s="236"/>
      <c r="F432" s="236"/>
      <c r="G432" s="236"/>
      <c r="H432" s="40">
        <f>SUM(Tabla132112416[[#This Row],[PRIMER TRIMESTRE]:[CUARTO TRIMESTRE]])</f>
        <v>0</v>
      </c>
      <c r="I432" s="17">
        <v>4425</v>
      </c>
      <c r="J432" s="17">
        <f t="shared" si="11"/>
        <v>0</v>
      </c>
      <c r="K432" s="17"/>
      <c r="L432" s="16" t="s">
        <v>18</v>
      </c>
      <c r="M432" s="16" t="s">
        <v>22</v>
      </c>
      <c r="N432" s="39"/>
    </row>
    <row r="433" spans="1:14" s="12" customFormat="1" ht="18">
      <c r="A433" s="178" t="s">
        <v>80</v>
      </c>
      <c r="B433" s="75" t="s">
        <v>609</v>
      </c>
      <c r="C433" s="39" t="s">
        <v>17</v>
      </c>
      <c r="D433" s="236"/>
      <c r="E433" s="236"/>
      <c r="F433" s="236"/>
      <c r="G433" s="236"/>
      <c r="H433" s="40">
        <f>SUM(Tabla132112416[[#This Row],[PRIMER TRIMESTRE]:[CUARTO TRIMESTRE]])</f>
        <v>0</v>
      </c>
      <c r="I433" s="17">
        <v>5074</v>
      </c>
      <c r="J433" s="17">
        <f t="shared" si="11"/>
        <v>0</v>
      </c>
      <c r="K433" s="17"/>
      <c r="L433" s="16" t="s">
        <v>18</v>
      </c>
      <c r="M433" s="16" t="s">
        <v>22</v>
      </c>
      <c r="N433" s="39"/>
    </row>
    <row r="434" spans="1:14" s="12" customFormat="1" ht="18">
      <c r="A434" s="178" t="s">
        <v>80</v>
      </c>
      <c r="B434" s="75" t="s">
        <v>610</v>
      </c>
      <c r="C434" s="39" t="s">
        <v>17</v>
      </c>
      <c r="D434" s="236"/>
      <c r="E434" s="236"/>
      <c r="F434" s="236"/>
      <c r="G434" s="236"/>
      <c r="H434" s="40">
        <f>SUM(Tabla132112416[[#This Row],[PRIMER TRIMESTRE]:[CUARTO TRIMESTRE]])</f>
        <v>0</v>
      </c>
      <c r="I434" s="17">
        <v>6431</v>
      </c>
      <c r="J434" s="17">
        <f t="shared" si="11"/>
        <v>0</v>
      </c>
      <c r="K434" s="17"/>
      <c r="L434" s="16" t="s">
        <v>18</v>
      </c>
      <c r="M434" s="16" t="s">
        <v>22</v>
      </c>
      <c r="N434" s="39"/>
    </row>
    <row r="435" spans="1:14" s="12" customFormat="1" ht="18">
      <c r="A435" s="178" t="s">
        <v>80</v>
      </c>
      <c r="B435" s="75" t="s">
        <v>611</v>
      </c>
      <c r="C435" s="39" t="s">
        <v>17</v>
      </c>
      <c r="D435" s="236"/>
      <c r="E435" s="236"/>
      <c r="F435" s="236"/>
      <c r="G435" s="236"/>
      <c r="H435" s="40">
        <f>SUM(Tabla132112416[[#This Row],[PRIMER TRIMESTRE]:[CUARTO TRIMESTRE]])</f>
        <v>0</v>
      </c>
      <c r="I435" s="17">
        <v>7943</v>
      </c>
      <c r="J435" s="17">
        <f t="shared" si="11"/>
        <v>0</v>
      </c>
      <c r="K435" s="17"/>
      <c r="L435" s="16" t="s">
        <v>18</v>
      </c>
      <c r="M435" s="16" t="s">
        <v>22</v>
      </c>
      <c r="N435" s="39"/>
    </row>
    <row r="436" spans="1:14" s="12" customFormat="1" ht="18">
      <c r="A436" s="178" t="s">
        <v>80</v>
      </c>
      <c r="B436" s="75" t="s">
        <v>612</v>
      </c>
      <c r="C436" s="39" t="s">
        <v>17</v>
      </c>
      <c r="D436" s="236"/>
      <c r="E436" s="236"/>
      <c r="F436" s="236"/>
      <c r="G436" s="236"/>
      <c r="H436" s="40">
        <f>SUM(Tabla132112416[[#This Row],[PRIMER TRIMESTRE]:[CUARTO TRIMESTRE]])</f>
        <v>0</v>
      </c>
      <c r="I436" s="17">
        <v>9145</v>
      </c>
      <c r="J436" s="17">
        <f t="shared" si="11"/>
        <v>0</v>
      </c>
      <c r="K436" s="17"/>
      <c r="L436" s="16" t="s">
        <v>18</v>
      </c>
      <c r="M436" s="16" t="s">
        <v>22</v>
      </c>
      <c r="N436" s="39"/>
    </row>
    <row r="437" spans="1:14" s="12" customFormat="1" ht="18">
      <c r="A437" s="178" t="s">
        <v>80</v>
      </c>
      <c r="B437" s="75" t="s">
        <v>613</v>
      </c>
      <c r="C437" s="39" t="s">
        <v>17</v>
      </c>
      <c r="D437" s="236"/>
      <c r="E437" s="236"/>
      <c r="F437" s="236"/>
      <c r="G437" s="236"/>
      <c r="H437" s="40">
        <f>SUM(Tabla132112416[[#This Row],[PRIMER TRIMESTRE]:[CUARTO TRIMESTRE]])</f>
        <v>0</v>
      </c>
      <c r="I437" s="17">
        <v>10502</v>
      </c>
      <c r="J437" s="17">
        <f t="shared" si="11"/>
        <v>0</v>
      </c>
      <c r="K437" s="17"/>
      <c r="L437" s="16" t="s">
        <v>18</v>
      </c>
      <c r="M437" s="16" t="s">
        <v>22</v>
      </c>
      <c r="N437" s="39"/>
    </row>
    <row r="438" spans="1:14" s="12" customFormat="1" ht="18">
      <c r="A438" s="178" t="s">
        <v>80</v>
      </c>
      <c r="B438" s="75" t="s">
        <v>614</v>
      </c>
      <c r="C438" s="39" t="s">
        <v>17</v>
      </c>
      <c r="D438" s="236"/>
      <c r="E438" s="236"/>
      <c r="F438" s="236"/>
      <c r="G438" s="236"/>
      <c r="H438" s="40">
        <f>SUM(Tabla132112416[[#This Row],[PRIMER TRIMESTRE]:[CUARTO TRIMESTRE]])</f>
        <v>0</v>
      </c>
      <c r="I438" s="17">
        <v>11564</v>
      </c>
      <c r="J438" s="17">
        <f t="shared" si="11"/>
        <v>0</v>
      </c>
      <c r="K438" s="17"/>
      <c r="L438" s="16" t="s">
        <v>18</v>
      </c>
      <c r="M438" s="16" t="s">
        <v>22</v>
      </c>
      <c r="N438" s="39"/>
    </row>
    <row r="439" spans="1:14" s="12" customFormat="1" ht="18">
      <c r="A439" s="178" t="s">
        <v>80</v>
      </c>
      <c r="B439" s="75" t="s">
        <v>615</v>
      </c>
      <c r="C439" s="39" t="s">
        <v>17</v>
      </c>
      <c r="D439" s="236"/>
      <c r="E439" s="236"/>
      <c r="F439" s="236"/>
      <c r="G439" s="236"/>
      <c r="H439" s="40">
        <f>SUM(Tabla132112416[[#This Row],[PRIMER TRIMESTRE]:[CUARTO TRIMESTRE]])</f>
        <v>0</v>
      </c>
      <c r="I439" s="17">
        <v>13747</v>
      </c>
      <c r="J439" s="17">
        <f t="shared" si="11"/>
        <v>0</v>
      </c>
      <c r="K439" s="17"/>
      <c r="L439" s="16" t="s">
        <v>18</v>
      </c>
      <c r="M439" s="16" t="s">
        <v>22</v>
      </c>
      <c r="N439" s="39"/>
    </row>
    <row r="440" spans="1:14" s="12" customFormat="1" ht="18">
      <c r="A440" s="178" t="s">
        <v>80</v>
      </c>
      <c r="B440" s="75" t="s">
        <v>1547</v>
      </c>
      <c r="C440" s="39" t="s">
        <v>17</v>
      </c>
      <c r="D440" s="236"/>
      <c r="E440" s="236"/>
      <c r="F440" s="236"/>
      <c r="G440" s="236"/>
      <c r="H440" s="236">
        <f>SUM(Tabla132112416[[#This Row],[PRIMER TRIMESTRE]:[CUARTO TRIMESTRE]])</f>
        <v>0</v>
      </c>
      <c r="I440" s="17">
        <v>700</v>
      </c>
      <c r="J440" s="17">
        <f t="shared" si="11"/>
        <v>0</v>
      </c>
      <c r="K440" s="17"/>
      <c r="L440" s="16" t="s">
        <v>18</v>
      </c>
      <c r="M440" s="16" t="s">
        <v>22</v>
      </c>
      <c r="N440" s="39"/>
    </row>
    <row r="441" spans="1:14" s="12" customFormat="1" ht="18">
      <c r="A441" s="178" t="s">
        <v>80</v>
      </c>
      <c r="B441" s="75" t="s">
        <v>1577</v>
      </c>
      <c r="C441" s="39" t="s">
        <v>17</v>
      </c>
      <c r="D441" s="236"/>
      <c r="E441" s="236"/>
      <c r="F441" s="236"/>
      <c r="G441" s="236"/>
      <c r="H441" s="236">
        <f>SUM(Tabla132112416[[#This Row],[PRIMER TRIMESTRE]:[CUARTO TRIMESTRE]])</f>
        <v>0</v>
      </c>
      <c r="I441" s="17">
        <v>133.88999999999999</v>
      </c>
      <c r="J441" s="17">
        <f t="shared" si="11"/>
        <v>0</v>
      </c>
      <c r="K441" s="17"/>
      <c r="L441" s="16" t="s">
        <v>18</v>
      </c>
      <c r="M441" s="16" t="s">
        <v>22</v>
      </c>
      <c r="N441" s="39"/>
    </row>
    <row r="442" spans="1:14" s="12" customFormat="1" ht="18">
      <c r="A442" s="178" t="s">
        <v>80</v>
      </c>
      <c r="B442" s="75" t="s">
        <v>1576</v>
      </c>
      <c r="C442" s="39" t="s">
        <v>17</v>
      </c>
      <c r="D442" s="236"/>
      <c r="E442" s="236"/>
      <c r="F442" s="236"/>
      <c r="G442" s="236"/>
      <c r="H442" s="236">
        <f>SUM(Tabla132112416[[#This Row],[PRIMER TRIMESTRE]:[CUARTO TRIMESTRE]])</f>
        <v>0</v>
      </c>
      <c r="I442" s="17">
        <v>21</v>
      </c>
      <c r="J442" s="17">
        <f t="shared" si="11"/>
        <v>0</v>
      </c>
      <c r="K442" s="17"/>
      <c r="L442" s="16" t="s">
        <v>18</v>
      </c>
      <c r="M442" s="16" t="s">
        <v>22</v>
      </c>
      <c r="N442" s="39"/>
    </row>
    <row r="443" spans="1:14" s="12" customFormat="1" ht="18">
      <c r="A443" s="178" t="s">
        <v>80</v>
      </c>
      <c r="B443" s="75" t="s">
        <v>1727</v>
      </c>
      <c r="C443" s="39" t="s">
        <v>17</v>
      </c>
      <c r="D443" s="236"/>
      <c r="E443" s="236"/>
      <c r="F443" s="236"/>
      <c r="G443" s="236"/>
      <c r="H443" s="40">
        <v>0</v>
      </c>
      <c r="I443" s="17">
        <v>0</v>
      </c>
      <c r="J443" s="17">
        <v>0</v>
      </c>
      <c r="K443" s="17"/>
      <c r="L443" s="16" t="s">
        <v>18</v>
      </c>
      <c r="M443" s="16" t="s">
        <v>22</v>
      </c>
      <c r="N443" s="39"/>
    </row>
    <row r="444" spans="1:14" s="12" customFormat="1" ht="18">
      <c r="A444" s="178" t="s">
        <v>80</v>
      </c>
      <c r="B444" s="75" t="s">
        <v>1575</v>
      </c>
      <c r="C444" s="39" t="s">
        <v>17</v>
      </c>
      <c r="D444" s="236"/>
      <c r="E444" s="236"/>
      <c r="F444" s="236"/>
      <c r="G444" s="236"/>
      <c r="H444" s="236">
        <f>SUM(Tabla132112416[[#This Row],[PRIMER TRIMESTRE]:[CUARTO TRIMESTRE]])</f>
        <v>0</v>
      </c>
      <c r="I444" s="17">
        <v>15.21</v>
      </c>
      <c r="J444" s="17">
        <f t="shared" si="11"/>
        <v>0</v>
      </c>
      <c r="K444" s="17"/>
      <c r="L444" s="16" t="s">
        <v>18</v>
      </c>
      <c r="M444" s="16" t="s">
        <v>22</v>
      </c>
      <c r="N444" s="39"/>
    </row>
    <row r="445" spans="1:14" s="12" customFormat="1" ht="18">
      <c r="A445" s="178" t="s">
        <v>80</v>
      </c>
      <c r="B445" s="75" t="s">
        <v>1574</v>
      </c>
      <c r="C445" s="39" t="s">
        <v>17</v>
      </c>
      <c r="D445" s="236"/>
      <c r="E445" s="236"/>
      <c r="F445" s="236"/>
      <c r="G445" s="236"/>
      <c r="H445" s="236">
        <f>SUM(Tabla132112416[[#This Row],[PRIMER TRIMESTRE]:[CUARTO TRIMESTRE]])</f>
        <v>0</v>
      </c>
      <c r="I445" s="17">
        <v>1</v>
      </c>
      <c r="J445" s="17">
        <f t="shared" si="11"/>
        <v>0</v>
      </c>
      <c r="K445" s="17"/>
      <c r="L445" s="16" t="s">
        <v>18</v>
      </c>
      <c r="M445" s="16" t="s">
        <v>22</v>
      </c>
      <c r="N445" s="39"/>
    </row>
    <row r="446" spans="1:14" s="12" customFormat="1" ht="18">
      <c r="A446" s="178" t="s">
        <v>80</v>
      </c>
      <c r="B446" s="75" t="s">
        <v>1338</v>
      </c>
      <c r="C446" s="39" t="s">
        <v>17</v>
      </c>
      <c r="D446" s="236"/>
      <c r="E446" s="236"/>
      <c r="F446" s="236"/>
      <c r="G446" s="236"/>
      <c r="H446" s="40">
        <f>SUM(Tabla132112416[[#This Row],[PRIMER TRIMESTRE]:[CUARTO TRIMESTRE]])</f>
        <v>0</v>
      </c>
      <c r="I446" s="17">
        <v>17.7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</row>
    <row r="447" spans="1:14" s="12" customFormat="1" ht="18">
      <c r="A447" s="178" t="s">
        <v>80</v>
      </c>
      <c r="B447" s="75" t="s">
        <v>1573</v>
      </c>
      <c r="C447" s="39" t="s">
        <v>17</v>
      </c>
      <c r="D447" s="236"/>
      <c r="E447" s="236"/>
      <c r="F447" s="236"/>
      <c r="G447" s="236"/>
      <c r="H447" s="40">
        <f>SUM(Tabla132112416[[#This Row],[PRIMER TRIMESTRE]:[CUARTO TRIMESTRE]])</f>
        <v>0</v>
      </c>
      <c r="I447" s="17">
        <v>20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</row>
    <row r="448" spans="1:14" s="12" customFormat="1" ht="18">
      <c r="A448" s="178" t="s">
        <v>80</v>
      </c>
      <c r="B448" s="75" t="s">
        <v>1339</v>
      </c>
      <c r="C448" s="39" t="s">
        <v>17</v>
      </c>
      <c r="D448" s="236"/>
      <c r="E448" s="236"/>
      <c r="F448" s="236"/>
      <c r="G448" s="236"/>
      <c r="H448" s="40">
        <f>SUM(Tabla132112416[[#This Row],[PRIMER TRIMESTRE]:[CUARTO TRIMESTRE]])</f>
        <v>0</v>
      </c>
      <c r="I448" s="17">
        <v>23.6</v>
      </c>
      <c r="J448" s="17">
        <f t="shared" si="11"/>
        <v>0</v>
      </c>
      <c r="K448" s="17"/>
      <c r="L448" s="16" t="s">
        <v>18</v>
      </c>
      <c r="M448" s="16" t="s">
        <v>22</v>
      </c>
      <c r="N448" s="39"/>
    </row>
    <row r="449" spans="1:14" s="12" customFormat="1" ht="18">
      <c r="A449" s="178" t="s">
        <v>80</v>
      </c>
      <c r="B449" s="75" t="s">
        <v>1703</v>
      </c>
      <c r="C449" s="39" t="s">
        <v>17</v>
      </c>
      <c r="D449" s="236"/>
      <c r="E449" s="236"/>
      <c r="F449" s="236"/>
      <c r="G449" s="236"/>
      <c r="H449" s="40">
        <v>0</v>
      </c>
      <c r="I449" s="17">
        <v>0</v>
      </c>
      <c r="J449" s="17">
        <v>0</v>
      </c>
      <c r="K449" s="17"/>
      <c r="L449" s="16" t="s">
        <v>18</v>
      </c>
      <c r="M449" s="16" t="s">
        <v>22</v>
      </c>
      <c r="N449" s="39"/>
    </row>
    <row r="450" spans="1:14" s="12" customFormat="1" ht="18">
      <c r="A450" s="178" t="s">
        <v>80</v>
      </c>
      <c r="B450" s="75" t="s">
        <v>1572</v>
      </c>
      <c r="C450" s="39" t="s">
        <v>17</v>
      </c>
      <c r="D450" s="236"/>
      <c r="E450" s="236"/>
      <c r="F450" s="236"/>
      <c r="G450" s="236"/>
      <c r="H450" s="40">
        <f>SUM(Tabla132112416[[#This Row],[PRIMER TRIMESTRE]:[CUARTO TRIMESTRE]])</f>
        <v>0</v>
      </c>
      <c r="I450" s="17">
        <v>2</v>
      </c>
      <c r="J450" s="17">
        <f t="shared" si="11"/>
        <v>0</v>
      </c>
      <c r="K450" s="17"/>
      <c r="L450" s="16" t="s">
        <v>18</v>
      </c>
      <c r="M450" s="16" t="s">
        <v>22</v>
      </c>
      <c r="N450" s="39"/>
    </row>
    <row r="451" spans="1:14" s="12" customFormat="1" ht="18">
      <c r="A451" s="178" t="s">
        <v>80</v>
      </c>
      <c r="B451" s="75" t="s">
        <v>1428</v>
      </c>
      <c r="C451" s="39" t="s">
        <v>17</v>
      </c>
      <c r="D451" s="236"/>
      <c r="E451" s="236"/>
      <c r="F451" s="236"/>
      <c r="G451" s="236"/>
      <c r="H451" s="40">
        <f>SUM(Tabla132112416[[#This Row],[PRIMER TRIMESTRE]:[CUARTO TRIMESTRE]])</f>
        <v>0</v>
      </c>
      <c r="I451" s="17">
        <v>0.88</v>
      </c>
      <c r="J451" s="17">
        <f t="shared" si="11"/>
        <v>0</v>
      </c>
      <c r="K451" s="17"/>
      <c r="L451" s="16" t="s">
        <v>18</v>
      </c>
      <c r="M451" s="16" t="s">
        <v>22</v>
      </c>
      <c r="N451" s="39"/>
    </row>
    <row r="452" spans="1:14" s="12" customFormat="1" ht="18">
      <c r="A452" s="178" t="s">
        <v>80</v>
      </c>
      <c r="B452" s="75" t="s">
        <v>1427</v>
      </c>
      <c r="C452" s="39" t="s">
        <v>17</v>
      </c>
      <c r="D452" s="236"/>
      <c r="E452" s="236"/>
      <c r="F452" s="236"/>
      <c r="G452" s="236"/>
      <c r="H452" s="40">
        <f>SUM(Tabla132112416[[#This Row],[PRIMER TRIMESTRE]:[CUARTO TRIMESTRE]])</f>
        <v>0</v>
      </c>
      <c r="I452" s="17">
        <v>1</v>
      </c>
      <c r="J452" s="17">
        <f t="shared" si="11"/>
        <v>0</v>
      </c>
      <c r="K452" s="17"/>
      <c r="L452" s="16" t="s">
        <v>18</v>
      </c>
      <c r="M452" s="16" t="s">
        <v>22</v>
      </c>
      <c r="N452" s="39"/>
    </row>
    <row r="453" spans="1:14" s="12" customFormat="1" ht="18">
      <c r="A453" s="178" t="s">
        <v>80</v>
      </c>
      <c r="B453" s="75" t="s">
        <v>1433</v>
      </c>
      <c r="C453" s="39" t="s">
        <v>208</v>
      </c>
      <c r="D453" s="236"/>
      <c r="E453" s="236"/>
      <c r="F453" s="236"/>
      <c r="G453" s="236"/>
      <c r="H453" s="40">
        <f>SUM(Tabla132112416[[#This Row],[PRIMER TRIMESTRE]:[CUARTO TRIMESTRE]])</f>
        <v>0</v>
      </c>
      <c r="I453" s="17">
        <v>361.44</v>
      </c>
      <c r="J453" s="17">
        <f t="shared" si="11"/>
        <v>0</v>
      </c>
      <c r="K453" s="17"/>
      <c r="L453" s="16" t="s">
        <v>18</v>
      </c>
      <c r="M453" s="16" t="s">
        <v>22</v>
      </c>
      <c r="N453" s="39"/>
    </row>
    <row r="454" spans="1:14" s="12" customFormat="1" ht="18">
      <c r="A454" s="178" t="s">
        <v>80</v>
      </c>
      <c r="B454" s="75" t="s">
        <v>1435</v>
      </c>
      <c r="C454" s="39" t="s">
        <v>17</v>
      </c>
      <c r="D454" s="236"/>
      <c r="E454" s="236"/>
      <c r="F454" s="236"/>
      <c r="G454" s="236"/>
      <c r="H454" s="40">
        <f>SUM(Tabla132112416[[#This Row],[PRIMER TRIMESTRE]:[CUARTO TRIMESTRE]])</f>
        <v>0</v>
      </c>
      <c r="I454" s="17">
        <v>1.1499999999999999</v>
      </c>
      <c r="J454" s="17">
        <f t="shared" si="11"/>
        <v>0</v>
      </c>
      <c r="K454" s="17"/>
      <c r="L454" s="16" t="s">
        <v>18</v>
      </c>
      <c r="M454" s="16" t="s">
        <v>22</v>
      </c>
      <c r="N454" s="39"/>
    </row>
    <row r="455" spans="1:14" s="12" customFormat="1" ht="18">
      <c r="A455" s="178" t="s">
        <v>80</v>
      </c>
      <c r="B455" s="75" t="s">
        <v>1527</v>
      </c>
      <c r="C455" s="39" t="s">
        <v>17</v>
      </c>
      <c r="D455" s="236"/>
      <c r="E455" s="236"/>
      <c r="F455" s="236"/>
      <c r="G455" s="236"/>
      <c r="H455" s="236">
        <f>SUM(Tabla132112416[[#This Row],[PRIMER TRIMESTRE]:[CUARTO TRIMESTRE]])</f>
        <v>0</v>
      </c>
      <c r="I455" s="17">
        <v>12739.27</v>
      </c>
      <c r="J455" s="17">
        <f t="shared" si="11"/>
        <v>0</v>
      </c>
      <c r="K455" s="17"/>
      <c r="L455" s="16" t="s">
        <v>18</v>
      </c>
      <c r="M455" s="16" t="s">
        <v>22</v>
      </c>
      <c r="N455" s="39"/>
    </row>
    <row r="456" spans="1:14" s="12" customFormat="1" ht="18">
      <c r="A456" s="178" t="s">
        <v>80</v>
      </c>
      <c r="B456" s="75" t="s">
        <v>702</v>
      </c>
      <c r="C456" s="39" t="s">
        <v>17</v>
      </c>
      <c r="D456" s="236"/>
      <c r="E456" s="236"/>
      <c r="F456" s="236"/>
      <c r="G456" s="236"/>
      <c r="H456" s="40">
        <f>SUM(Tabla132112416[[#This Row],[PRIMER TRIMESTRE]:[CUARTO TRIMESTRE]])</f>
        <v>0</v>
      </c>
      <c r="I456" s="17">
        <v>1052.51</v>
      </c>
      <c r="J456" s="17">
        <f t="shared" si="11"/>
        <v>0</v>
      </c>
      <c r="K456" s="17"/>
      <c r="L456" s="16" t="s">
        <v>18</v>
      </c>
      <c r="M456" s="16" t="s">
        <v>22</v>
      </c>
      <c r="N456" s="39"/>
    </row>
    <row r="457" spans="1:14" s="12" customFormat="1" ht="18">
      <c r="A457" s="178" t="s">
        <v>80</v>
      </c>
      <c r="B457" s="75" t="s">
        <v>370</v>
      </c>
      <c r="C457" s="39" t="s">
        <v>17</v>
      </c>
      <c r="D457" s="236"/>
      <c r="E457" s="236"/>
      <c r="F457" s="236"/>
      <c r="G457" s="236"/>
      <c r="H457" s="40">
        <f>SUM(Tabla132112416[[#This Row],[PRIMER TRIMESTRE]:[CUARTO TRIMESTRE]])</f>
        <v>0</v>
      </c>
      <c r="I457" s="17">
        <v>3302.0937420000005</v>
      </c>
      <c r="J457" s="17">
        <f t="shared" si="11"/>
        <v>0</v>
      </c>
      <c r="K457" s="17"/>
      <c r="L457" s="16" t="s">
        <v>18</v>
      </c>
      <c r="M457" s="16" t="s">
        <v>22</v>
      </c>
      <c r="N457" s="39"/>
    </row>
    <row r="458" spans="1:14" s="12" customFormat="1" ht="18">
      <c r="A458" s="178" t="s">
        <v>80</v>
      </c>
      <c r="B458" s="75" t="s">
        <v>371</v>
      </c>
      <c r="C458" s="39" t="s">
        <v>17</v>
      </c>
      <c r="D458" s="236"/>
      <c r="E458" s="236"/>
      <c r="F458" s="236"/>
      <c r="G458" s="236"/>
      <c r="H458" s="40">
        <f>SUM(Tabla132112416[[#This Row],[PRIMER TRIMESTRE]:[CUARTO TRIMESTRE]])</f>
        <v>0</v>
      </c>
      <c r="I458" s="17">
        <v>5605.3296870000004</v>
      </c>
      <c r="J458" s="17">
        <f t="shared" si="11"/>
        <v>0</v>
      </c>
      <c r="K458" s="17"/>
      <c r="L458" s="16" t="s">
        <v>18</v>
      </c>
      <c r="M458" s="16" t="s">
        <v>22</v>
      </c>
      <c r="N458" s="39"/>
    </row>
    <row r="459" spans="1:14" s="12" customFormat="1" ht="18">
      <c r="A459" s="178" t="s">
        <v>80</v>
      </c>
      <c r="B459" s="75" t="s">
        <v>799</v>
      </c>
      <c r="C459" s="39" t="s">
        <v>17</v>
      </c>
      <c r="D459" s="236"/>
      <c r="E459" s="236"/>
      <c r="F459" s="236"/>
      <c r="G459" s="236"/>
      <c r="H459" s="40">
        <f>SUM(Tabla132112416[[#This Row],[PRIMER TRIMESTRE]:[CUARTO TRIMESTRE]])</f>
        <v>0</v>
      </c>
      <c r="I459" s="17">
        <v>12700</v>
      </c>
      <c r="J459" s="17">
        <f t="shared" si="11"/>
        <v>0</v>
      </c>
      <c r="K459" s="17"/>
      <c r="L459" s="16" t="s">
        <v>18</v>
      </c>
      <c r="M459" s="16" t="s">
        <v>22</v>
      </c>
      <c r="N459" s="39"/>
    </row>
    <row r="460" spans="1:14" s="12" customFormat="1" ht="18">
      <c r="A460" s="178" t="s">
        <v>80</v>
      </c>
      <c r="B460" s="75" t="s">
        <v>372</v>
      </c>
      <c r="C460" s="39" t="s">
        <v>17</v>
      </c>
      <c r="D460" s="236"/>
      <c r="E460" s="236"/>
      <c r="F460" s="236"/>
      <c r="G460" s="236"/>
      <c r="H460" s="40">
        <f>SUM(Tabla132112416[[#This Row],[PRIMER TRIMESTRE]:[CUARTO TRIMESTRE]])</f>
        <v>0</v>
      </c>
      <c r="I460" s="17">
        <v>256.14999999999998</v>
      </c>
      <c r="J460" s="17">
        <f t="shared" si="11"/>
        <v>0</v>
      </c>
      <c r="K460" s="17"/>
      <c r="L460" s="16" t="s">
        <v>18</v>
      </c>
      <c r="M460" s="16" t="s">
        <v>22</v>
      </c>
      <c r="N460" s="39"/>
    </row>
    <row r="461" spans="1:14" s="12" customFormat="1" ht="18">
      <c r="A461" s="178" t="s">
        <v>80</v>
      </c>
      <c r="B461" s="75" t="s">
        <v>373</v>
      </c>
      <c r="C461" s="39" t="s">
        <v>17</v>
      </c>
      <c r="D461" s="236"/>
      <c r="E461" s="236"/>
      <c r="F461" s="236"/>
      <c r="G461" s="236"/>
      <c r="H461" s="40">
        <f>SUM(Tabla132112416[[#This Row],[PRIMER TRIMESTRE]:[CUARTO TRIMESTRE]])</f>
        <v>0</v>
      </c>
      <c r="I461" s="17">
        <v>260.58531900000003</v>
      </c>
      <c r="J461" s="17">
        <f t="shared" si="11"/>
        <v>0</v>
      </c>
      <c r="K461" s="17"/>
      <c r="L461" s="16" t="s">
        <v>18</v>
      </c>
      <c r="M461" s="16" t="s">
        <v>22</v>
      </c>
      <c r="N461" s="39"/>
    </row>
    <row r="462" spans="1:14" s="12" customFormat="1" ht="18">
      <c r="A462" s="178" t="s">
        <v>80</v>
      </c>
      <c r="B462" s="75" t="s">
        <v>374</v>
      </c>
      <c r="C462" s="39" t="s">
        <v>17</v>
      </c>
      <c r="D462" s="236"/>
      <c r="E462" s="236"/>
      <c r="F462" s="236"/>
      <c r="G462" s="236"/>
      <c r="H462" s="40">
        <f>SUM(Tabla132112416[[#This Row],[PRIMER TRIMESTRE]:[CUARTO TRIMESTRE]])</f>
        <v>0</v>
      </c>
      <c r="I462" s="17">
        <v>383.08377000000007</v>
      </c>
      <c r="J462" s="17">
        <f t="shared" si="11"/>
        <v>0</v>
      </c>
      <c r="K462" s="17"/>
      <c r="L462" s="16" t="s">
        <v>18</v>
      </c>
      <c r="M462" s="16" t="s">
        <v>22</v>
      </c>
      <c r="N462" s="39"/>
    </row>
    <row r="463" spans="1:14" s="12" customFormat="1" ht="18">
      <c r="A463" s="178" t="s">
        <v>80</v>
      </c>
      <c r="B463" s="75" t="s">
        <v>375</v>
      </c>
      <c r="C463" s="39" t="s">
        <v>17</v>
      </c>
      <c r="D463" s="236"/>
      <c r="E463" s="236"/>
      <c r="F463" s="236"/>
      <c r="G463" s="236"/>
      <c r="H463" s="40">
        <f>SUM(Tabla132112416[[#This Row],[PRIMER TRIMESTRE]:[CUARTO TRIMESTRE]])</f>
        <v>0</v>
      </c>
      <c r="I463" s="17">
        <v>450</v>
      </c>
      <c r="J463" s="17">
        <f t="shared" si="11"/>
        <v>0</v>
      </c>
      <c r="K463" s="17"/>
      <c r="L463" s="16" t="s">
        <v>18</v>
      </c>
      <c r="M463" s="16" t="s">
        <v>22</v>
      </c>
      <c r="N463" s="39"/>
    </row>
    <row r="464" spans="1:14" s="12" customFormat="1" ht="18">
      <c r="A464" s="178" t="s">
        <v>80</v>
      </c>
      <c r="B464" s="75" t="s">
        <v>376</v>
      </c>
      <c r="C464" s="39" t="s">
        <v>17</v>
      </c>
      <c r="D464" s="236"/>
      <c r="E464" s="236"/>
      <c r="F464" s="236"/>
      <c r="G464" s="236"/>
      <c r="H464" s="40">
        <f>SUM(Tabla132112416[[#This Row],[PRIMER TRIMESTRE]:[CUARTO TRIMESTRE]])</f>
        <v>0</v>
      </c>
      <c r="I464" s="17">
        <v>667.77</v>
      </c>
      <c r="J464" s="17">
        <f t="shared" si="11"/>
        <v>0</v>
      </c>
      <c r="K464" s="17"/>
      <c r="L464" s="16" t="s">
        <v>18</v>
      </c>
      <c r="M464" s="16" t="s">
        <v>22</v>
      </c>
      <c r="N464" s="39"/>
    </row>
    <row r="465" spans="1:14" s="12" customFormat="1" ht="18">
      <c r="A465" s="178" t="s">
        <v>80</v>
      </c>
      <c r="B465" s="75" t="s">
        <v>377</v>
      </c>
      <c r="C465" s="39" t="s">
        <v>17</v>
      </c>
      <c r="D465" s="236"/>
      <c r="E465" s="236"/>
      <c r="F465" s="236"/>
      <c r="G465" s="236"/>
      <c r="H465" s="40">
        <f>SUM(Tabla132112416[[#This Row],[PRIMER TRIMESTRE]:[CUARTO TRIMESTRE]])</f>
        <v>0</v>
      </c>
      <c r="I465" s="17">
        <v>160.61749500000002</v>
      </c>
      <c r="J465" s="17">
        <f t="shared" si="11"/>
        <v>0</v>
      </c>
      <c r="K465" s="17"/>
      <c r="L465" s="16" t="s">
        <v>18</v>
      </c>
      <c r="M465" s="16" t="s">
        <v>22</v>
      </c>
      <c r="N465" s="39"/>
    </row>
    <row r="466" spans="1:14" s="12" customFormat="1" ht="18">
      <c r="A466" s="178" t="s">
        <v>80</v>
      </c>
      <c r="B466" s="75" t="s">
        <v>378</v>
      </c>
      <c r="C466" s="39" t="s">
        <v>17</v>
      </c>
      <c r="D466" s="236"/>
      <c r="E466" s="236"/>
      <c r="F466" s="236"/>
      <c r="G466" s="236"/>
      <c r="H466" s="40">
        <f>SUM(Tabla132112416[[#This Row],[PRIMER TRIMESTRE]:[CUARTO TRIMESTRE]])</f>
        <v>0</v>
      </c>
      <c r="I466" s="17">
        <v>631.80422099999998</v>
      </c>
      <c r="J466" s="17">
        <f t="shared" si="11"/>
        <v>0</v>
      </c>
      <c r="K466" s="17"/>
      <c r="L466" s="16" t="s">
        <v>18</v>
      </c>
      <c r="M466" s="16" t="s">
        <v>22</v>
      </c>
      <c r="N466" s="39"/>
    </row>
    <row r="467" spans="1:14" s="12" customFormat="1" ht="18">
      <c r="A467" s="178" t="s">
        <v>80</v>
      </c>
      <c r="B467" s="75" t="s">
        <v>1526</v>
      </c>
      <c r="C467" s="176" t="s">
        <v>17</v>
      </c>
      <c r="D467" s="236"/>
      <c r="E467" s="236"/>
      <c r="F467" s="236"/>
      <c r="G467" s="236"/>
      <c r="H467" s="236">
        <f>SUM(Tabla132112416[[#This Row],[PRIMER TRIMESTRE]:[CUARTO TRIMESTRE]])</f>
        <v>0</v>
      </c>
      <c r="I467" s="17">
        <v>631.80422099999998</v>
      </c>
      <c r="J467" s="17">
        <f t="shared" si="11"/>
        <v>0</v>
      </c>
      <c r="K467" s="17"/>
      <c r="L467" s="16" t="s">
        <v>18</v>
      </c>
      <c r="M467" s="16" t="s">
        <v>22</v>
      </c>
      <c r="N467" s="39"/>
    </row>
    <row r="468" spans="1:14" s="12" customFormat="1" ht="18">
      <c r="A468" s="178" t="s">
        <v>80</v>
      </c>
      <c r="B468" s="75" t="s">
        <v>379</v>
      </c>
      <c r="C468" s="39" t="s">
        <v>17</v>
      </c>
      <c r="D468" s="236"/>
      <c r="E468" s="236"/>
      <c r="F468" s="236"/>
      <c r="G468" s="236"/>
      <c r="H468" s="40">
        <f>SUM(Tabla132112416[[#This Row],[PRIMER TRIMESTRE]:[CUARTO TRIMESTRE]])</f>
        <v>0</v>
      </c>
      <c r="I468" s="17">
        <v>1565.22</v>
      </c>
      <c r="J468" s="17">
        <f t="shared" si="11"/>
        <v>0</v>
      </c>
      <c r="K468" s="17"/>
      <c r="L468" s="16" t="s">
        <v>18</v>
      </c>
      <c r="M468" s="16" t="s">
        <v>22</v>
      </c>
      <c r="N468" s="39"/>
    </row>
    <row r="469" spans="1:14" s="12" customFormat="1" ht="18">
      <c r="A469" s="178" t="s">
        <v>80</v>
      </c>
      <c r="B469" s="75" t="s">
        <v>380</v>
      </c>
      <c r="C469" s="39" t="s">
        <v>17</v>
      </c>
      <c r="D469" s="236"/>
      <c r="E469" s="236"/>
      <c r="F469" s="236"/>
      <c r="G469" s="236"/>
      <c r="H469" s="40">
        <f>SUM(Tabla132112416[[#This Row],[PRIMER TRIMESTRE]:[CUARTO TRIMESTRE]])</f>
        <v>0</v>
      </c>
      <c r="I469" s="17">
        <v>2310.9299999999998</v>
      </c>
      <c r="J469" s="17">
        <f t="shared" si="11"/>
        <v>0</v>
      </c>
      <c r="K469" s="17"/>
      <c r="L469" s="16" t="s">
        <v>18</v>
      </c>
      <c r="M469" s="16" t="s">
        <v>22</v>
      </c>
      <c r="N469" s="39"/>
    </row>
    <row r="470" spans="1:14" s="12" customFormat="1" ht="18">
      <c r="A470" s="178" t="s">
        <v>80</v>
      </c>
      <c r="B470" s="75" t="s">
        <v>381</v>
      </c>
      <c r="C470" s="39" t="s">
        <v>17</v>
      </c>
      <c r="D470" s="236"/>
      <c r="E470" s="236"/>
      <c r="F470" s="236"/>
      <c r="G470" s="236"/>
      <c r="H470" s="40">
        <f>SUM(Tabla132112416[[#This Row],[PRIMER TRIMESTRE]:[CUARTO TRIMESTRE]])</f>
        <v>0</v>
      </c>
      <c r="I470" s="17">
        <v>4630.1499999999996</v>
      </c>
      <c r="J470" s="17">
        <f t="shared" si="11"/>
        <v>0</v>
      </c>
      <c r="K470" s="17"/>
      <c r="L470" s="16" t="s">
        <v>18</v>
      </c>
      <c r="M470" s="16" t="s">
        <v>22</v>
      </c>
      <c r="N470" s="39"/>
    </row>
    <row r="471" spans="1:14" s="12" customFormat="1" ht="18">
      <c r="A471" s="178" t="s">
        <v>80</v>
      </c>
      <c r="B471" s="75" t="s">
        <v>382</v>
      </c>
      <c r="C471" s="39" t="s">
        <v>17</v>
      </c>
      <c r="D471" s="236"/>
      <c r="E471" s="236"/>
      <c r="F471" s="236"/>
      <c r="G471" s="236"/>
      <c r="H471" s="40">
        <f>SUM(Tabla132112416[[#This Row],[PRIMER TRIMESTRE]:[CUARTO TRIMESTRE]])</f>
        <v>0</v>
      </c>
      <c r="I471" s="17">
        <v>6410</v>
      </c>
      <c r="J471" s="17">
        <f t="shared" si="11"/>
        <v>0</v>
      </c>
      <c r="K471" s="17"/>
      <c r="L471" s="16" t="s">
        <v>18</v>
      </c>
      <c r="M471" s="16" t="s">
        <v>22</v>
      </c>
      <c r="N471" s="39"/>
    </row>
    <row r="472" spans="1:14" s="12" customFormat="1" ht="18">
      <c r="A472" s="178" t="s">
        <v>80</v>
      </c>
      <c r="B472" s="75" t="s">
        <v>383</v>
      </c>
      <c r="C472" s="39" t="s">
        <v>17</v>
      </c>
      <c r="D472" s="236"/>
      <c r="E472" s="236"/>
      <c r="F472" s="236"/>
      <c r="G472" s="236"/>
      <c r="H472" s="40">
        <f>SUM(Tabla132112416[[#This Row],[PRIMER TRIMESTRE]:[CUARTO TRIMESTRE]])</f>
        <v>0</v>
      </c>
      <c r="I472" s="17">
        <v>10255.09</v>
      </c>
      <c r="J472" s="17">
        <f t="shared" si="11"/>
        <v>0</v>
      </c>
      <c r="K472" s="17"/>
      <c r="L472" s="16" t="s">
        <v>18</v>
      </c>
      <c r="M472" s="16" t="s">
        <v>22</v>
      </c>
      <c r="N472" s="39"/>
    </row>
    <row r="473" spans="1:14" s="12" customFormat="1" ht="18">
      <c r="A473" s="178" t="s">
        <v>80</v>
      </c>
      <c r="B473" s="75" t="s">
        <v>384</v>
      </c>
      <c r="C473" s="39" t="s">
        <v>17</v>
      </c>
      <c r="D473" s="236"/>
      <c r="E473" s="236"/>
      <c r="F473" s="236"/>
      <c r="G473" s="236"/>
      <c r="H473" s="40">
        <f>SUM(Tabla132112416[[#This Row],[PRIMER TRIMESTRE]:[CUARTO TRIMESTRE]])</f>
        <v>0</v>
      </c>
      <c r="I473" s="17">
        <v>14777.68</v>
      </c>
      <c r="J473" s="17">
        <f t="shared" si="11"/>
        <v>0</v>
      </c>
      <c r="K473" s="17"/>
      <c r="L473" s="16" t="s">
        <v>18</v>
      </c>
      <c r="M473" s="16" t="s">
        <v>22</v>
      </c>
      <c r="N473" s="39"/>
    </row>
    <row r="474" spans="1:14" s="12" customFormat="1" ht="18">
      <c r="A474" s="178" t="s">
        <v>80</v>
      </c>
      <c r="B474" s="75" t="s">
        <v>385</v>
      </c>
      <c r="C474" s="39" t="s">
        <v>17</v>
      </c>
      <c r="D474" s="236"/>
      <c r="E474" s="236"/>
      <c r="F474" s="236"/>
      <c r="G474" s="236"/>
      <c r="H474" s="40">
        <f>SUM(Tabla132112416[[#This Row],[PRIMER TRIMESTRE]:[CUARTO TRIMESTRE]])</f>
        <v>0</v>
      </c>
      <c r="I474" s="17">
        <v>24012.400000000001</v>
      </c>
      <c r="J474" s="17">
        <f t="shared" si="11"/>
        <v>0</v>
      </c>
      <c r="K474" s="17"/>
      <c r="L474" s="16" t="s">
        <v>18</v>
      </c>
      <c r="M474" s="16" t="s">
        <v>22</v>
      </c>
      <c r="N474" s="39"/>
    </row>
    <row r="475" spans="1:14" s="12" customFormat="1" ht="18">
      <c r="A475" s="178" t="s">
        <v>80</v>
      </c>
      <c r="B475" s="75" t="s">
        <v>386</v>
      </c>
      <c r="C475" s="39" t="s">
        <v>17</v>
      </c>
      <c r="D475" s="236"/>
      <c r="E475" s="236"/>
      <c r="F475" s="236"/>
      <c r="G475" s="236"/>
      <c r="H475" s="40">
        <f>SUM(Tabla132112416[[#This Row],[PRIMER TRIMESTRE]:[CUARTO TRIMESTRE]])</f>
        <v>0</v>
      </c>
      <c r="I475" s="17">
        <v>37525.1</v>
      </c>
      <c r="J475" s="17">
        <f t="shared" si="11"/>
        <v>0</v>
      </c>
      <c r="K475" s="17"/>
      <c r="L475" s="16" t="s">
        <v>18</v>
      </c>
      <c r="M475" s="16" t="s">
        <v>22</v>
      </c>
      <c r="N475" s="39"/>
    </row>
    <row r="476" spans="1:14" s="12" customFormat="1" ht="18">
      <c r="A476" s="178" t="s">
        <v>80</v>
      </c>
      <c r="B476" s="75" t="s">
        <v>800</v>
      </c>
      <c r="C476" s="39" t="s">
        <v>17</v>
      </c>
      <c r="D476" s="239"/>
      <c r="E476" s="239"/>
      <c r="F476" s="239"/>
      <c r="G476" s="236"/>
      <c r="H476" s="40">
        <f>SUM(Tabla132112416[[#This Row],[PRIMER TRIMESTRE]:[CUARTO TRIMESTRE]])</f>
        <v>0</v>
      </c>
      <c r="I476" s="17">
        <v>4500</v>
      </c>
      <c r="J476" s="17">
        <f t="shared" si="11"/>
        <v>0</v>
      </c>
      <c r="K476" s="17"/>
      <c r="L476" s="16" t="s">
        <v>18</v>
      </c>
      <c r="M476" s="16" t="s">
        <v>22</v>
      </c>
      <c r="N476" s="39"/>
    </row>
    <row r="477" spans="1:14" s="12" customFormat="1" ht="18">
      <c r="A477" s="178" t="s">
        <v>80</v>
      </c>
      <c r="B477" s="75" t="s">
        <v>713</v>
      </c>
      <c r="C477" s="39" t="s">
        <v>17</v>
      </c>
      <c r="D477" s="236"/>
      <c r="E477" s="236"/>
      <c r="F477" s="236"/>
      <c r="G477" s="236"/>
      <c r="H477" s="40">
        <f>SUM(Tabla132112416[[#This Row],[PRIMER TRIMESTRE]:[CUARTO TRIMESTRE]])</f>
        <v>0</v>
      </c>
      <c r="I477" s="72">
        <v>6000</v>
      </c>
      <c r="J477" s="17">
        <f t="shared" si="11"/>
        <v>0</v>
      </c>
      <c r="K477" s="17"/>
      <c r="L477" s="16" t="s">
        <v>18</v>
      </c>
      <c r="M477" s="16" t="s">
        <v>22</v>
      </c>
      <c r="N477" s="39"/>
    </row>
    <row r="478" spans="1:14" s="12" customFormat="1" ht="18">
      <c r="A478" s="178" t="s">
        <v>80</v>
      </c>
      <c r="B478" s="75" t="s">
        <v>712</v>
      </c>
      <c r="C478" s="39" t="s">
        <v>17</v>
      </c>
      <c r="D478" s="236"/>
      <c r="E478" s="236"/>
      <c r="F478" s="236"/>
      <c r="G478" s="236"/>
      <c r="H478" s="40">
        <f>SUM(Tabla132112416[[#This Row],[PRIMER TRIMESTRE]:[CUARTO TRIMESTRE]])</f>
        <v>0</v>
      </c>
      <c r="I478" s="17">
        <v>15544</v>
      </c>
      <c r="J478" s="17">
        <f t="shared" si="11"/>
        <v>0</v>
      </c>
      <c r="K478" s="17"/>
      <c r="L478" s="16" t="s">
        <v>18</v>
      </c>
      <c r="M478" s="16" t="s">
        <v>22</v>
      </c>
      <c r="N478" s="39"/>
    </row>
    <row r="479" spans="1:14" s="12" customFormat="1" ht="18">
      <c r="A479" s="178" t="s">
        <v>80</v>
      </c>
      <c r="B479" s="75" t="s">
        <v>711</v>
      </c>
      <c r="C479" s="39" t="s">
        <v>17</v>
      </c>
      <c r="D479" s="236"/>
      <c r="E479" s="236"/>
      <c r="F479" s="236"/>
      <c r="G479" s="236"/>
      <c r="H479" s="40">
        <f>SUM(Tabla132112416[[#This Row],[PRIMER TRIMESTRE]:[CUARTO TRIMESTRE]])</f>
        <v>0</v>
      </c>
      <c r="I479" s="72">
        <v>20650.03</v>
      </c>
      <c r="J479" s="17">
        <f t="shared" si="11"/>
        <v>0</v>
      </c>
      <c r="K479" s="17"/>
      <c r="L479" s="16" t="s">
        <v>18</v>
      </c>
      <c r="M479" s="16" t="s">
        <v>22</v>
      </c>
      <c r="N479" s="39"/>
    </row>
    <row r="480" spans="1:14" s="12" customFormat="1" ht="18">
      <c r="A480" s="178" t="s">
        <v>80</v>
      </c>
      <c r="B480" s="75" t="s">
        <v>710</v>
      </c>
      <c r="C480" s="39" t="s">
        <v>17</v>
      </c>
      <c r="D480" s="236"/>
      <c r="E480" s="236"/>
      <c r="F480" s="236"/>
      <c r="G480" s="236"/>
      <c r="H480" s="40">
        <f>SUM(Tabla132112416[[#This Row],[PRIMER TRIMESTRE]:[CUARTO TRIMESTRE]])</f>
        <v>0</v>
      </c>
      <c r="I480" s="17">
        <v>39221.919999999998</v>
      </c>
      <c r="J480" s="17">
        <f t="shared" si="11"/>
        <v>0</v>
      </c>
      <c r="K480" s="17"/>
      <c r="L480" s="16" t="s">
        <v>18</v>
      </c>
      <c r="M480" s="16" t="s">
        <v>22</v>
      </c>
      <c r="N480" s="39"/>
    </row>
    <row r="481" spans="1:14" s="12" customFormat="1" ht="18">
      <c r="A481" s="178" t="s">
        <v>80</v>
      </c>
      <c r="B481" s="75" t="s">
        <v>709</v>
      </c>
      <c r="C481" s="39" t="s">
        <v>17</v>
      </c>
      <c r="D481" s="236"/>
      <c r="E481" s="236"/>
      <c r="F481" s="236"/>
      <c r="G481" s="236"/>
      <c r="H481" s="40">
        <f>SUM(Tabla132112416[[#This Row],[PRIMER TRIMESTRE]:[CUARTO TRIMESTRE]])</f>
        <v>0</v>
      </c>
      <c r="I481" s="72">
        <f>17500*1.18</f>
        <v>20650</v>
      </c>
      <c r="J481" s="17">
        <f t="shared" si="11"/>
        <v>0</v>
      </c>
      <c r="K481" s="17"/>
      <c r="L481" s="16" t="s">
        <v>18</v>
      </c>
      <c r="M481" s="16" t="s">
        <v>22</v>
      </c>
      <c r="N481" s="39"/>
    </row>
    <row r="482" spans="1:14" s="12" customFormat="1" ht="18">
      <c r="A482" s="178" t="s">
        <v>80</v>
      </c>
      <c r="B482" s="75" t="s">
        <v>708</v>
      </c>
      <c r="C482" s="39" t="s">
        <v>17</v>
      </c>
      <c r="D482" s="236"/>
      <c r="E482" s="236"/>
      <c r="F482" s="236"/>
      <c r="G482" s="236"/>
      <c r="H482" s="40">
        <f>SUM(Tabla132112416[[#This Row],[PRIMER TRIMESTRE]:[CUARTO TRIMESTRE]])</f>
        <v>0</v>
      </c>
      <c r="I482" s="72">
        <f>25175*1.18</f>
        <v>29706.5</v>
      </c>
      <c r="J482" s="17">
        <f t="shared" si="11"/>
        <v>0</v>
      </c>
      <c r="K482" s="17"/>
      <c r="L482" s="16" t="s">
        <v>18</v>
      </c>
      <c r="M482" s="16" t="s">
        <v>22</v>
      </c>
      <c r="N482" s="39"/>
    </row>
    <row r="483" spans="1:14" s="12" customFormat="1" ht="18">
      <c r="A483" s="178" t="s">
        <v>80</v>
      </c>
      <c r="B483" s="75" t="s">
        <v>707</v>
      </c>
      <c r="C483" s="39" t="s">
        <v>17</v>
      </c>
      <c r="D483" s="236"/>
      <c r="E483" s="236"/>
      <c r="F483" s="236"/>
      <c r="G483" s="236"/>
      <c r="H483" s="40">
        <f>SUM(Tabla132112416[[#This Row],[PRIMER TRIMESTRE]:[CUARTO TRIMESTRE]])</f>
        <v>0</v>
      </c>
      <c r="I483" s="17">
        <f>34500*1.18</f>
        <v>40710</v>
      </c>
      <c r="J483" s="17">
        <f t="shared" si="11"/>
        <v>0</v>
      </c>
      <c r="K483" s="17"/>
      <c r="L483" s="16" t="s">
        <v>18</v>
      </c>
      <c r="M483" s="16" t="s">
        <v>22</v>
      </c>
      <c r="N483" s="39"/>
    </row>
    <row r="484" spans="1:14" s="12" customFormat="1" ht="18">
      <c r="A484" s="178" t="s">
        <v>80</v>
      </c>
      <c r="B484" s="75" t="s">
        <v>706</v>
      </c>
      <c r="C484" s="39" t="s">
        <v>17</v>
      </c>
      <c r="D484" s="236"/>
      <c r="E484" s="236"/>
      <c r="F484" s="236"/>
      <c r="G484" s="236"/>
      <c r="H484" s="40">
        <f>SUM(Tabla132112416[[#This Row],[PRIMER TRIMESTRE]:[CUARTO TRIMESTRE]])</f>
        <v>0</v>
      </c>
      <c r="I484" s="72">
        <v>51330</v>
      </c>
      <c r="J484" s="17">
        <f t="shared" si="11"/>
        <v>0</v>
      </c>
      <c r="K484" s="17"/>
      <c r="L484" s="16" t="s">
        <v>18</v>
      </c>
      <c r="M484" s="16" t="s">
        <v>22</v>
      </c>
      <c r="N484" s="39"/>
    </row>
    <row r="485" spans="1:14" s="12" customFormat="1" ht="18">
      <c r="A485" s="178" t="s">
        <v>80</v>
      </c>
      <c r="B485" s="75" t="s">
        <v>705</v>
      </c>
      <c r="C485" s="39" t="s">
        <v>17</v>
      </c>
      <c r="D485" s="236"/>
      <c r="E485" s="236"/>
      <c r="F485" s="236"/>
      <c r="G485" s="236"/>
      <c r="H485" s="40">
        <f>SUM(Tabla132112416[[#This Row],[PRIMER TRIMESTRE]:[CUARTO TRIMESTRE]])</f>
        <v>0</v>
      </c>
      <c r="I485" s="72">
        <v>61360</v>
      </c>
      <c r="J485" s="17">
        <f t="shared" si="11"/>
        <v>0</v>
      </c>
      <c r="K485" s="17"/>
      <c r="L485" s="16" t="s">
        <v>18</v>
      </c>
      <c r="M485" s="16" t="s">
        <v>22</v>
      </c>
      <c r="N485" s="39"/>
    </row>
    <row r="486" spans="1:14" s="12" customFormat="1" ht="18">
      <c r="A486" s="178" t="s">
        <v>80</v>
      </c>
      <c r="B486" s="75" t="s">
        <v>1687</v>
      </c>
      <c r="C486" s="39" t="s">
        <v>17</v>
      </c>
      <c r="D486" s="236"/>
      <c r="E486" s="236"/>
      <c r="F486" s="236"/>
      <c r="G486" s="236"/>
      <c r="H486" s="40">
        <v>0</v>
      </c>
      <c r="I486" s="72">
        <v>0</v>
      </c>
      <c r="J486" s="17">
        <v>0</v>
      </c>
      <c r="K486" s="17"/>
      <c r="L486" s="16" t="s">
        <v>18</v>
      </c>
      <c r="M486" s="16" t="s">
        <v>22</v>
      </c>
      <c r="N486" s="39"/>
    </row>
    <row r="487" spans="1:14" s="12" customFormat="1" ht="18">
      <c r="A487" s="178" t="s">
        <v>80</v>
      </c>
      <c r="B487" s="75" t="s">
        <v>1528</v>
      </c>
      <c r="C487" s="39" t="s">
        <v>17</v>
      </c>
      <c r="D487" s="236"/>
      <c r="E487" s="236"/>
      <c r="F487" s="236"/>
      <c r="G487" s="236"/>
      <c r="H487" s="236">
        <f>SUM(Tabla132112416[[#This Row],[PRIMER TRIMESTRE]:[CUARTO TRIMESTRE]])</f>
        <v>0</v>
      </c>
      <c r="I487" s="72">
        <v>4973.5</v>
      </c>
      <c r="J487" s="72">
        <f t="shared" ref="J487:J550" si="12">+H487*I487</f>
        <v>0</v>
      </c>
      <c r="K487" s="17"/>
      <c r="L487" s="16" t="s">
        <v>18</v>
      </c>
      <c r="M487" s="16" t="s">
        <v>22</v>
      </c>
      <c r="N487" s="39"/>
    </row>
    <row r="488" spans="1:14" s="12" customFormat="1" ht="18">
      <c r="A488" s="178" t="s">
        <v>80</v>
      </c>
      <c r="B488" s="75" t="s">
        <v>1722</v>
      </c>
      <c r="C488" s="39" t="s">
        <v>17</v>
      </c>
      <c r="D488" s="236"/>
      <c r="E488" s="236"/>
      <c r="F488" s="236"/>
      <c r="G488" s="236"/>
      <c r="H488" s="40">
        <v>0</v>
      </c>
      <c r="I488" s="72">
        <v>0</v>
      </c>
      <c r="J488" s="72">
        <v>0</v>
      </c>
      <c r="K488" s="17"/>
      <c r="L488" s="16" t="s">
        <v>18</v>
      </c>
      <c r="M488" s="16" t="s">
        <v>22</v>
      </c>
      <c r="N488" s="39"/>
    </row>
    <row r="489" spans="1:14" s="12" customFormat="1" ht="18">
      <c r="A489" s="178" t="s">
        <v>80</v>
      </c>
      <c r="B489" s="75" t="s">
        <v>703</v>
      </c>
      <c r="C489" s="39" t="s">
        <v>17</v>
      </c>
      <c r="D489" s="236"/>
      <c r="E489" s="236"/>
      <c r="F489" s="236"/>
      <c r="G489" s="236"/>
      <c r="H489" s="40">
        <f>SUM(Tabla132112416[[#This Row],[PRIMER TRIMESTRE]:[CUARTO TRIMESTRE]])</f>
        <v>0</v>
      </c>
      <c r="I489" s="72">
        <v>1926.1</v>
      </c>
      <c r="J489" s="17">
        <f t="shared" si="12"/>
        <v>0</v>
      </c>
      <c r="K489" s="17"/>
      <c r="L489" s="16" t="s">
        <v>18</v>
      </c>
      <c r="M489" s="16" t="s">
        <v>22</v>
      </c>
      <c r="N489" s="39"/>
    </row>
    <row r="490" spans="1:14" s="12" customFormat="1" ht="18">
      <c r="A490" s="178" t="s">
        <v>80</v>
      </c>
      <c r="B490" s="75" t="s">
        <v>704</v>
      </c>
      <c r="C490" s="39" t="s">
        <v>17</v>
      </c>
      <c r="D490" s="236"/>
      <c r="E490" s="236"/>
      <c r="F490" s="236"/>
      <c r="G490" s="236"/>
      <c r="H490" s="40">
        <f>SUM(Tabla132112416[[#This Row],[PRIMER TRIMESTRE]:[CUARTO TRIMESTRE]])</f>
        <v>0</v>
      </c>
      <c r="I490" s="72">
        <v>3940</v>
      </c>
      <c r="J490" s="17">
        <f t="shared" si="12"/>
        <v>0</v>
      </c>
      <c r="K490" s="17"/>
      <c r="L490" s="16" t="s">
        <v>18</v>
      </c>
      <c r="M490" s="16" t="s">
        <v>22</v>
      </c>
      <c r="N490" s="39"/>
    </row>
    <row r="491" spans="1:14" s="12" customFormat="1" ht="18">
      <c r="A491" s="178" t="s">
        <v>80</v>
      </c>
      <c r="B491" s="75" t="s">
        <v>1216</v>
      </c>
      <c r="C491" s="39" t="s">
        <v>17</v>
      </c>
      <c r="D491" s="236"/>
      <c r="E491" s="236"/>
      <c r="F491" s="236"/>
      <c r="G491" s="236"/>
      <c r="H491" s="40">
        <f>SUM(Tabla132112416[[#This Row],[PRIMER TRIMESTRE]:[CUARTO TRIMESTRE]])</f>
        <v>0</v>
      </c>
      <c r="I491" s="175">
        <v>3940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</row>
    <row r="492" spans="1:14" s="12" customFormat="1" ht="18">
      <c r="A492" s="178" t="s">
        <v>80</v>
      </c>
      <c r="B492" s="75" t="s">
        <v>1215</v>
      </c>
      <c r="C492" s="39" t="s">
        <v>17</v>
      </c>
      <c r="D492" s="236"/>
      <c r="E492" s="236"/>
      <c r="F492" s="236"/>
      <c r="G492" s="236"/>
      <c r="H492" s="40">
        <f>SUM(Tabla132112416[[#This Row],[PRIMER TRIMESTRE]:[CUARTO TRIMESTRE]])</f>
        <v>0</v>
      </c>
      <c r="I492" s="72">
        <v>3940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</row>
    <row r="493" spans="1:14" s="12" customFormat="1" ht="18">
      <c r="A493" s="178" t="s">
        <v>80</v>
      </c>
      <c r="B493" s="75" t="s">
        <v>1620</v>
      </c>
      <c r="C493" s="39" t="s">
        <v>17</v>
      </c>
      <c r="D493" s="236"/>
      <c r="E493" s="236"/>
      <c r="F493" s="236"/>
      <c r="G493" s="236"/>
      <c r="H493" s="40">
        <f>SUM(Tabla132112416[[#This Row],[PRIMER TRIMESTRE]:[CUARTO TRIMESTRE]])</f>
        <v>0</v>
      </c>
      <c r="I493" s="72">
        <v>4973.5</v>
      </c>
      <c r="J493" s="17">
        <f t="shared" si="12"/>
        <v>0</v>
      </c>
      <c r="K493" s="17"/>
      <c r="L493" s="16" t="s">
        <v>18</v>
      </c>
      <c r="M493" s="16" t="s">
        <v>22</v>
      </c>
      <c r="N493" s="39"/>
    </row>
    <row r="494" spans="1:14" s="12" customFormat="1" ht="18">
      <c r="A494" s="178" t="s">
        <v>80</v>
      </c>
      <c r="B494" s="75" t="s">
        <v>1850</v>
      </c>
      <c r="C494" s="39" t="s">
        <v>17</v>
      </c>
      <c r="D494" s="236"/>
      <c r="E494" s="236"/>
      <c r="F494" s="236"/>
      <c r="G494" s="236"/>
      <c r="H494" s="40">
        <v>0</v>
      </c>
      <c r="I494" s="72">
        <v>0</v>
      </c>
      <c r="J494" s="17">
        <v>0</v>
      </c>
      <c r="K494" s="17"/>
      <c r="L494" s="16" t="s">
        <v>18</v>
      </c>
      <c r="M494" s="16" t="s">
        <v>22</v>
      </c>
      <c r="N494" s="39"/>
    </row>
    <row r="495" spans="1:14" s="12" customFormat="1" ht="18">
      <c r="A495" s="178" t="s">
        <v>80</v>
      </c>
      <c r="B495" s="75" t="s">
        <v>1529</v>
      </c>
      <c r="C495" s="39" t="s">
        <v>17</v>
      </c>
      <c r="D495" s="236"/>
      <c r="E495" s="236"/>
      <c r="F495" s="236"/>
      <c r="G495" s="236"/>
      <c r="H495" s="236">
        <f>SUM(Tabla132112416[[#This Row],[PRIMER TRIMESTRE]:[CUARTO TRIMESTRE]])</f>
        <v>0</v>
      </c>
      <c r="I495" s="72">
        <v>4.57</v>
      </c>
      <c r="J495" s="17">
        <f t="shared" si="12"/>
        <v>0</v>
      </c>
      <c r="K495" s="17"/>
      <c r="L495" s="16" t="s">
        <v>18</v>
      </c>
      <c r="M495" s="16" t="s">
        <v>22</v>
      </c>
      <c r="N495" s="39"/>
    </row>
    <row r="496" spans="1:14" s="12" customFormat="1" ht="18">
      <c r="A496" s="178" t="s">
        <v>80</v>
      </c>
      <c r="B496" s="75" t="s">
        <v>1569</v>
      </c>
      <c r="C496" s="39" t="s">
        <v>17</v>
      </c>
      <c r="D496" s="236"/>
      <c r="E496" s="236"/>
      <c r="F496" s="236"/>
      <c r="G496" s="236"/>
      <c r="H496" s="236">
        <f>SUM(Tabla132112416[[#This Row],[PRIMER TRIMESTRE]:[CUARTO TRIMESTRE]])</f>
        <v>0</v>
      </c>
      <c r="I496" s="72">
        <v>85.92</v>
      </c>
      <c r="J496" s="17">
        <f t="shared" si="12"/>
        <v>0</v>
      </c>
      <c r="K496" s="17"/>
      <c r="L496" s="16" t="s">
        <v>18</v>
      </c>
      <c r="M496" s="16" t="s">
        <v>22</v>
      </c>
      <c r="N496" s="39"/>
    </row>
    <row r="497" spans="1:14" s="12" customFormat="1" ht="18">
      <c r="A497" s="178" t="s">
        <v>80</v>
      </c>
      <c r="B497" s="75" t="s">
        <v>1568</v>
      </c>
      <c r="C497" s="39" t="s">
        <v>17</v>
      </c>
      <c r="D497" s="236"/>
      <c r="E497" s="236"/>
      <c r="F497" s="236"/>
      <c r="G497" s="236"/>
      <c r="H497" s="236">
        <f>SUM(Tabla132112416[[#This Row],[PRIMER TRIMESTRE]:[CUARTO TRIMESTRE]])</f>
        <v>0</v>
      </c>
      <c r="I497" s="72">
        <v>26.5</v>
      </c>
      <c r="J497" s="17">
        <f t="shared" si="12"/>
        <v>0</v>
      </c>
      <c r="K497" s="17"/>
      <c r="L497" s="16" t="s">
        <v>18</v>
      </c>
      <c r="M497" s="16" t="s">
        <v>22</v>
      </c>
      <c r="N497" s="39"/>
    </row>
    <row r="498" spans="1:14" s="12" customFormat="1" ht="18">
      <c r="A498" s="178" t="s">
        <v>80</v>
      </c>
      <c r="B498" s="75" t="s">
        <v>1530</v>
      </c>
      <c r="C498" s="39" t="s">
        <v>17</v>
      </c>
      <c r="D498" s="236"/>
      <c r="E498" s="236"/>
      <c r="F498" s="236"/>
      <c r="G498" s="236"/>
      <c r="H498" s="236">
        <f>SUM(Tabla132112416[[#This Row],[PRIMER TRIMESTRE]:[CUARTO TRIMESTRE]])</f>
        <v>0</v>
      </c>
      <c r="I498" s="72">
        <v>6.07</v>
      </c>
      <c r="J498" s="17">
        <f t="shared" si="12"/>
        <v>0</v>
      </c>
      <c r="K498" s="17"/>
      <c r="L498" s="16" t="s">
        <v>18</v>
      </c>
      <c r="M498" s="16" t="s">
        <v>22</v>
      </c>
      <c r="N498" s="39"/>
    </row>
    <row r="499" spans="1:14" s="12" customFormat="1" ht="18">
      <c r="A499" s="178" t="s">
        <v>80</v>
      </c>
      <c r="B499" s="75" t="s">
        <v>387</v>
      </c>
      <c r="C499" s="39" t="s">
        <v>17</v>
      </c>
      <c r="D499" s="236"/>
      <c r="E499" s="236"/>
      <c r="F499" s="236"/>
      <c r="G499" s="236"/>
      <c r="H499" s="40">
        <f>SUM(Tabla132112416[[#This Row],[PRIMER TRIMESTRE]:[CUARTO TRIMESTRE]])</f>
        <v>0</v>
      </c>
      <c r="I499" s="17">
        <v>4.1100000000000003</v>
      </c>
      <c r="J499" s="17">
        <f t="shared" si="12"/>
        <v>0</v>
      </c>
      <c r="K499" s="17"/>
      <c r="L499" s="16" t="s">
        <v>18</v>
      </c>
      <c r="M499" s="16" t="s">
        <v>22</v>
      </c>
      <c r="N499" s="39"/>
    </row>
    <row r="500" spans="1:14" s="12" customFormat="1" ht="18">
      <c r="A500" s="178" t="s">
        <v>80</v>
      </c>
      <c r="B500" s="75" t="s">
        <v>388</v>
      </c>
      <c r="C500" s="39" t="s">
        <v>17</v>
      </c>
      <c r="D500" s="236"/>
      <c r="E500" s="236"/>
      <c r="F500" s="236"/>
      <c r="G500" s="236"/>
      <c r="H500" s="40">
        <f>SUM(Tabla132112416[[#This Row],[PRIMER TRIMESTRE]:[CUARTO TRIMESTRE]])</f>
        <v>0</v>
      </c>
      <c r="I500" s="17">
        <v>5.25</v>
      </c>
      <c r="J500" s="17">
        <f t="shared" si="12"/>
        <v>0</v>
      </c>
      <c r="K500" s="17"/>
      <c r="L500" s="16" t="s">
        <v>18</v>
      </c>
      <c r="M500" s="16" t="s">
        <v>22</v>
      </c>
      <c r="N500" s="39"/>
    </row>
    <row r="501" spans="1:14" s="12" customFormat="1" ht="18">
      <c r="A501" s="178" t="s">
        <v>80</v>
      </c>
      <c r="B501" s="75" t="s">
        <v>1567</v>
      </c>
      <c r="C501" s="39" t="s">
        <v>17</v>
      </c>
      <c r="D501" s="236"/>
      <c r="E501" s="236"/>
      <c r="F501" s="236"/>
      <c r="G501" s="236"/>
      <c r="H501" s="236">
        <f>SUM(Tabla132112416[[#This Row],[PRIMER TRIMESTRE]:[CUARTO TRIMESTRE]])</f>
        <v>0</v>
      </c>
      <c r="I501" s="17">
        <v>15</v>
      </c>
      <c r="J501" s="17">
        <f t="shared" si="12"/>
        <v>0</v>
      </c>
      <c r="K501" s="17"/>
      <c r="L501" s="16" t="s">
        <v>18</v>
      </c>
      <c r="M501" s="16" t="s">
        <v>22</v>
      </c>
      <c r="N501" s="39"/>
    </row>
    <row r="502" spans="1:14" s="12" customFormat="1" ht="18">
      <c r="A502" s="178" t="s">
        <v>80</v>
      </c>
      <c r="B502" s="75" t="s">
        <v>389</v>
      </c>
      <c r="C502" s="39" t="s">
        <v>17</v>
      </c>
      <c r="D502" s="236"/>
      <c r="E502" s="236"/>
      <c r="F502" s="236"/>
      <c r="G502" s="236"/>
      <c r="H502" s="40">
        <f>SUM(Tabla132112416[[#This Row],[PRIMER TRIMESTRE]:[CUARTO TRIMESTRE]])</f>
        <v>0</v>
      </c>
      <c r="I502" s="17">
        <v>11</v>
      </c>
      <c r="J502" s="17">
        <f t="shared" si="12"/>
        <v>0</v>
      </c>
      <c r="K502" s="17"/>
      <c r="L502" s="16" t="s">
        <v>18</v>
      </c>
      <c r="M502" s="16" t="s">
        <v>22</v>
      </c>
      <c r="N502" s="39"/>
    </row>
    <row r="503" spans="1:14" s="12" customFormat="1" ht="18">
      <c r="A503" s="178" t="s">
        <v>80</v>
      </c>
      <c r="B503" s="75" t="s">
        <v>1851</v>
      </c>
      <c r="C503" s="39" t="s">
        <v>17</v>
      </c>
      <c r="D503" s="236"/>
      <c r="E503" s="236"/>
      <c r="F503" s="236"/>
      <c r="G503" s="236"/>
      <c r="H503" s="40">
        <v>0</v>
      </c>
      <c r="I503" s="17">
        <v>0</v>
      </c>
      <c r="J503" s="17">
        <v>0</v>
      </c>
      <c r="K503" s="17"/>
      <c r="L503" s="16" t="s">
        <v>18</v>
      </c>
      <c r="M503" s="16" t="s">
        <v>22</v>
      </c>
      <c r="N503" s="39"/>
    </row>
    <row r="504" spans="1:14" s="12" customFormat="1" ht="25.5">
      <c r="A504" s="178" t="s">
        <v>80</v>
      </c>
      <c r="B504" s="75" t="s">
        <v>1716</v>
      </c>
      <c r="C504" s="39" t="s">
        <v>17</v>
      </c>
      <c r="D504" s="236"/>
      <c r="E504" s="236"/>
      <c r="F504" s="236"/>
      <c r="G504" s="236"/>
      <c r="H504" s="40">
        <v>0</v>
      </c>
      <c r="I504" s="17">
        <v>0</v>
      </c>
      <c r="J504" s="17">
        <v>0</v>
      </c>
      <c r="K504" s="17"/>
      <c r="L504" s="16" t="s">
        <v>18</v>
      </c>
      <c r="M504" s="16" t="s">
        <v>22</v>
      </c>
      <c r="N504" s="39"/>
    </row>
    <row r="505" spans="1:14" s="12" customFormat="1" ht="18">
      <c r="A505" s="178" t="s">
        <v>80</v>
      </c>
      <c r="B505" s="75" t="s">
        <v>1621</v>
      </c>
      <c r="C505" s="39" t="s">
        <v>17</v>
      </c>
      <c r="D505" s="236"/>
      <c r="E505" s="236"/>
      <c r="F505" s="236"/>
      <c r="G505" s="236"/>
      <c r="H505" s="236">
        <f>SUM(Tabla132112416[[#This Row],[PRIMER TRIMESTRE]:[CUARTO TRIMESTRE]])</f>
        <v>0</v>
      </c>
      <c r="I505" s="17">
        <v>6790</v>
      </c>
      <c r="J505" s="17">
        <f t="shared" si="12"/>
        <v>0</v>
      </c>
      <c r="K505" s="17"/>
      <c r="L505" s="16" t="s">
        <v>18</v>
      </c>
      <c r="M505" s="16" t="s">
        <v>22</v>
      </c>
      <c r="N505" s="39"/>
    </row>
    <row r="506" spans="1:14" s="12" customFormat="1" ht="18">
      <c r="A506" s="178" t="s">
        <v>80</v>
      </c>
      <c r="B506" s="75" t="s">
        <v>1482</v>
      </c>
      <c r="C506" s="39" t="s">
        <v>17</v>
      </c>
      <c r="D506" s="236"/>
      <c r="E506" s="236"/>
      <c r="F506" s="236"/>
      <c r="G506" s="236"/>
      <c r="H506" s="236">
        <f>SUM(Tabla132112416[[#This Row],[PRIMER TRIMESTRE]:[CUARTO TRIMESTRE]])</f>
        <v>0</v>
      </c>
      <c r="I506" s="17">
        <v>12500</v>
      </c>
      <c r="J506" s="17">
        <f t="shared" si="12"/>
        <v>0</v>
      </c>
      <c r="K506" s="17"/>
      <c r="L506" s="16" t="s">
        <v>18</v>
      </c>
      <c r="M506" s="16" t="s">
        <v>22</v>
      </c>
      <c r="N506" s="39"/>
    </row>
    <row r="507" spans="1:14" s="12" customFormat="1" ht="18">
      <c r="A507" s="178" t="s">
        <v>80</v>
      </c>
      <c r="B507" s="75" t="s">
        <v>1483</v>
      </c>
      <c r="C507" s="39" t="s">
        <v>17</v>
      </c>
      <c r="D507" s="236"/>
      <c r="E507" s="236"/>
      <c r="F507" s="236"/>
      <c r="G507" s="236"/>
      <c r="H507" s="236">
        <f>SUM(Tabla132112416[[#This Row],[PRIMER TRIMESTRE]:[CUARTO TRIMESTRE]])</f>
        <v>0</v>
      </c>
      <c r="I507" s="17">
        <v>11430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</row>
    <row r="508" spans="1:14" s="12" customFormat="1" ht="25.5">
      <c r="A508" s="178" t="s">
        <v>80</v>
      </c>
      <c r="B508" s="75" t="s">
        <v>1484</v>
      </c>
      <c r="C508" s="39" t="s">
        <v>17</v>
      </c>
      <c r="D508" s="236"/>
      <c r="E508" s="236"/>
      <c r="F508" s="236"/>
      <c r="G508" s="236"/>
      <c r="H508" s="236">
        <f>SUM(Tabla132112416[[#This Row],[PRIMER TRIMESTRE]:[CUARTO TRIMESTRE]])</f>
        <v>0</v>
      </c>
      <c r="I508" s="17">
        <v>18242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</row>
    <row r="509" spans="1:14" s="12" customFormat="1" ht="25.5">
      <c r="A509" s="178" t="s">
        <v>80</v>
      </c>
      <c r="B509" s="75" t="s">
        <v>1485</v>
      </c>
      <c r="C509" s="39" t="s">
        <v>17</v>
      </c>
      <c r="D509" s="236"/>
      <c r="E509" s="236"/>
      <c r="F509" s="236"/>
      <c r="G509" s="236"/>
      <c r="H509" s="236">
        <f>SUM(Tabla132112416[[#This Row],[PRIMER TRIMESTRE]:[CUARTO TRIMESTRE]])</f>
        <v>0</v>
      </c>
      <c r="I509" s="17">
        <v>17900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</row>
    <row r="510" spans="1:14" s="12" customFormat="1" ht="18">
      <c r="A510" s="178" t="s">
        <v>80</v>
      </c>
      <c r="B510" s="75" t="s">
        <v>1486</v>
      </c>
      <c r="C510" s="39" t="s">
        <v>17</v>
      </c>
      <c r="D510" s="236"/>
      <c r="E510" s="236"/>
      <c r="F510" s="236"/>
      <c r="G510" s="236"/>
      <c r="H510" s="236">
        <f>SUM(Tabla132112416[[#This Row],[PRIMER TRIMESTRE]:[CUARTO TRIMESTRE]])</f>
        <v>0</v>
      </c>
      <c r="I510" s="17">
        <v>16800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</row>
    <row r="511" spans="1:14" s="12" customFormat="1" ht="25.5">
      <c r="A511" s="178" t="s">
        <v>80</v>
      </c>
      <c r="B511" s="75" t="s">
        <v>1487</v>
      </c>
      <c r="C511" s="39" t="s">
        <v>17</v>
      </c>
      <c r="D511" s="236"/>
      <c r="E511" s="236"/>
      <c r="F511" s="236"/>
      <c r="G511" s="236"/>
      <c r="H511" s="236">
        <f>SUM(Tabla132112416[[#This Row],[PRIMER TRIMESTRE]:[CUARTO TRIMESTRE]])</f>
        <v>0</v>
      </c>
      <c r="I511" s="17">
        <v>12500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</row>
    <row r="512" spans="1:14" s="12" customFormat="1" ht="25.5">
      <c r="A512" s="178" t="s">
        <v>80</v>
      </c>
      <c r="B512" s="75" t="s">
        <v>1488</v>
      </c>
      <c r="C512" s="39" t="s">
        <v>17</v>
      </c>
      <c r="D512" s="236"/>
      <c r="E512" s="236"/>
      <c r="F512" s="236"/>
      <c r="G512" s="236"/>
      <c r="H512" s="236">
        <f>SUM(Tabla132112416[[#This Row],[PRIMER TRIMESTRE]:[CUARTO TRIMESTRE]])</f>
        <v>0</v>
      </c>
      <c r="I512" s="17">
        <v>31500</v>
      </c>
      <c r="J512" s="17">
        <f t="shared" si="12"/>
        <v>0</v>
      </c>
      <c r="K512" s="17"/>
      <c r="L512" s="16" t="s">
        <v>18</v>
      </c>
      <c r="M512" s="16" t="s">
        <v>22</v>
      </c>
      <c r="N512" s="39"/>
    </row>
    <row r="513" spans="1:14" s="12" customFormat="1" ht="25.5">
      <c r="A513" s="178" t="s">
        <v>1852</v>
      </c>
      <c r="B513" s="75" t="s">
        <v>1489</v>
      </c>
      <c r="C513" s="39" t="s">
        <v>17</v>
      </c>
      <c r="D513" s="236"/>
      <c r="E513" s="236"/>
      <c r="F513" s="236"/>
      <c r="G513" s="236"/>
      <c r="H513" s="40">
        <v>0</v>
      </c>
      <c r="I513" s="17">
        <v>0</v>
      </c>
      <c r="J513" s="17">
        <v>0</v>
      </c>
      <c r="K513" s="17"/>
      <c r="L513" s="16" t="s">
        <v>18</v>
      </c>
      <c r="M513" s="16" t="s">
        <v>22</v>
      </c>
      <c r="N513" s="39"/>
    </row>
    <row r="514" spans="1:14" s="12" customFormat="1" ht="25.5">
      <c r="A514" s="178" t="s">
        <v>80</v>
      </c>
      <c r="B514" s="75" t="s">
        <v>1489</v>
      </c>
      <c r="C514" s="39" t="s">
        <v>17</v>
      </c>
      <c r="D514" s="236"/>
      <c r="E514" s="236"/>
      <c r="F514" s="236"/>
      <c r="G514" s="236"/>
      <c r="H514" s="236">
        <f>SUM(Tabla132112416[[#This Row],[PRIMER TRIMESTRE]:[CUARTO TRIMESTRE]])</f>
        <v>0</v>
      </c>
      <c r="I514" s="17">
        <v>48500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</row>
    <row r="515" spans="1:14" s="12" customFormat="1" ht="25.5">
      <c r="A515" s="178" t="s">
        <v>80</v>
      </c>
      <c r="B515" s="75" t="s">
        <v>1490</v>
      </c>
      <c r="C515" s="39" t="s">
        <v>17</v>
      </c>
      <c r="D515" s="236"/>
      <c r="E515" s="236"/>
      <c r="F515" s="236"/>
      <c r="G515" s="236"/>
      <c r="H515" s="236">
        <f>SUM(Tabla132112416[[#This Row],[PRIMER TRIMESTRE]:[CUARTO TRIMESTRE]])</f>
        <v>0</v>
      </c>
      <c r="I515" s="17">
        <v>22260</v>
      </c>
      <c r="J515" s="17">
        <f t="shared" si="12"/>
        <v>0</v>
      </c>
      <c r="K515" s="17"/>
      <c r="L515" s="16" t="s">
        <v>18</v>
      </c>
      <c r="M515" s="16" t="s">
        <v>22</v>
      </c>
      <c r="N515" s="39"/>
    </row>
    <row r="516" spans="1:14" s="12" customFormat="1" ht="25.5">
      <c r="A516" s="178" t="s">
        <v>80</v>
      </c>
      <c r="B516" s="75" t="s">
        <v>1491</v>
      </c>
      <c r="C516" s="39" t="s">
        <v>17</v>
      </c>
      <c r="D516" s="236"/>
      <c r="E516" s="236"/>
      <c r="F516" s="236"/>
      <c r="G516" s="236"/>
      <c r="H516" s="236">
        <f>SUM(Tabla132112416[[#This Row],[PRIMER TRIMESTRE]:[CUARTO TRIMESTRE]])</f>
        <v>0</v>
      </c>
      <c r="I516" s="17">
        <v>25500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</row>
    <row r="517" spans="1:14" s="12" customFormat="1" ht="25.5">
      <c r="A517" s="178" t="s">
        <v>80</v>
      </c>
      <c r="B517" s="75" t="s">
        <v>1492</v>
      </c>
      <c r="C517" s="39" t="s">
        <v>17</v>
      </c>
      <c r="D517" s="236"/>
      <c r="E517" s="236"/>
      <c r="F517" s="236"/>
      <c r="G517" s="236"/>
      <c r="H517" s="236">
        <f>SUM(Tabla132112416[[#This Row],[PRIMER TRIMESTRE]:[CUARTO TRIMESTRE]])</f>
        <v>0</v>
      </c>
      <c r="I517" s="17">
        <v>22600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</row>
    <row r="518" spans="1:14" s="12" customFormat="1" ht="25.5">
      <c r="A518" s="178" t="s">
        <v>80</v>
      </c>
      <c r="B518" s="75" t="s">
        <v>1493</v>
      </c>
      <c r="C518" s="39" t="s">
        <v>17</v>
      </c>
      <c r="D518" s="236"/>
      <c r="E518" s="236"/>
      <c r="F518" s="236"/>
      <c r="G518" s="236"/>
      <c r="H518" s="236">
        <f>SUM(Tabla132112416[[#This Row],[PRIMER TRIMESTRE]:[CUARTO TRIMESTRE]])</f>
        <v>0</v>
      </c>
      <c r="I518" s="17">
        <v>22350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</row>
    <row r="519" spans="1:14" s="12" customFormat="1" ht="38.25">
      <c r="A519" s="178" t="s">
        <v>80</v>
      </c>
      <c r="B519" s="75" t="s">
        <v>1494</v>
      </c>
      <c r="C519" s="39" t="s">
        <v>17</v>
      </c>
      <c r="D519" s="236"/>
      <c r="E519" s="236"/>
      <c r="F519" s="236"/>
      <c r="G519" s="236"/>
      <c r="H519" s="236">
        <f>SUM(Tabla132112416[[#This Row],[PRIMER TRIMESTRE]:[CUARTO TRIMESTRE]])</f>
        <v>0</v>
      </c>
      <c r="I519" s="17">
        <v>49500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</row>
    <row r="520" spans="1:14" s="12" customFormat="1" ht="38.25">
      <c r="A520" s="178" t="s">
        <v>80</v>
      </c>
      <c r="B520" s="75" t="s">
        <v>1495</v>
      </c>
      <c r="C520" s="39" t="s">
        <v>17</v>
      </c>
      <c r="D520" s="236"/>
      <c r="E520" s="236"/>
      <c r="F520" s="236"/>
      <c r="G520" s="236"/>
      <c r="H520" s="236">
        <f>SUM(Tabla132112416[[#This Row],[PRIMER TRIMESTRE]:[CUARTO TRIMESTRE]])</f>
        <v>0</v>
      </c>
      <c r="I520" s="17">
        <v>11200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</row>
    <row r="521" spans="1:14" s="12" customFormat="1" ht="38.25">
      <c r="A521" s="178" t="s">
        <v>80</v>
      </c>
      <c r="B521" s="75" t="s">
        <v>1496</v>
      </c>
      <c r="C521" s="39" t="s">
        <v>17</v>
      </c>
      <c r="D521" s="236"/>
      <c r="E521" s="236"/>
      <c r="F521" s="236"/>
      <c r="G521" s="236"/>
      <c r="H521" s="236">
        <f>SUM(Tabla132112416[[#This Row],[PRIMER TRIMESTRE]:[CUARTO TRIMESTRE]])</f>
        <v>0</v>
      </c>
      <c r="I521" s="17">
        <v>88000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</row>
    <row r="522" spans="1:14" s="12" customFormat="1" ht="25.5">
      <c r="A522" s="178" t="s">
        <v>80</v>
      </c>
      <c r="B522" s="75" t="s">
        <v>1497</v>
      </c>
      <c r="C522" s="39" t="s">
        <v>17</v>
      </c>
      <c r="D522" s="236"/>
      <c r="E522" s="236"/>
      <c r="F522" s="236"/>
      <c r="G522" s="236"/>
      <c r="H522" s="236">
        <f>SUM(Tabla132112416[[#This Row],[PRIMER TRIMESTRE]:[CUARTO TRIMESTRE]])</f>
        <v>0</v>
      </c>
      <c r="I522" s="17">
        <v>26500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</row>
    <row r="523" spans="1:14" s="12" customFormat="1" ht="25.5">
      <c r="A523" s="178" t="s">
        <v>80</v>
      </c>
      <c r="B523" s="75" t="s">
        <v>1498</v>
      </c>
      <c r="C523" s="39" t="s">
        <v>17</v>
      </c>
      <c r="D523" s="236"/>
      <c r="E523" s="236"/>
      <c r="F523" s="236"/>
      <c r="G523" s="236"/>
      <c r="H523" s="236">
        <f>SUM(Tabla132112416[[#This Row],[PRIMER TRIMESTRE]:[CUARTO TRIMESTRE]])</f>
        <v>0</v>
      </c>
      <c r="I523" s="17">
        <v>48500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</row>
    <row r="524" spans="1:14" s="12" customFormat="1" ht="18">
      <c r="A524" s="178" t="s">
        <v>80</v>
      </c>
      <c r="B524" s="75" t="s">
        <v>1499</v>
      </c>
      <c r="C524" s="39" t="s">
        <v>17</v>
      </c>
      <c r="D524" s="236"/>
      <c r="E524" s="236"/>
      <c r="F524" s="236"/>
      <c r="G524" s="236"/>
      <c r="H524" s="236">
        <f>SUM(Tabla132112416[[#This Row],[PRIMER TRIMESTRE]:[CUARTO TRIMESTRE]])</f>
        <v>0</v>
      </c>
      <c r="I524" s="17">
        <v>26500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</row>
    <row r="525" spans="1:14" s="12" customFormat="1" ht="25.5">
      <c r="A525" s="178" t="s">
        <v>80</v>
      </c>
      <c r="B525" s="75" t="s">
        <v>1500</v>
      </c>
      <c r="C525" s="39" t="s">
        <v>17</v>
      </c>
      <c r="D525" s="236"/>
      <c r="E525" s="236"/>
      <c r="F525" s="236"/>
      <c r="G525" s="236"/>
      <c r="H525" s="236">
        <f>SUM(Tabla132112416[[#This Row],[PRIMER TRIMESTRE]:[CUARTO TRIMESTRE]])</f>
        <v>0</v>
      </c>
      <c r="I525" s="17">
        <v>22700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</row>
    <row r="526" spans="1:14" s="12" customFormat="1" ht="25.5">
      <c r="A526" s="178" t="s">
        <v>80</v>
      </c>
      <c r="B526" s="75" t="s">
        <v>1501</v>
      </c>
      <c r="C526" s="39" t="s">
        <v>17</v>
      </c>
      <c r="D526" s="236"/>
      <c r="E526" s="236"/>
      <c r="F526" s="236"/>
      <c r="G526" s="236"/>
      <c r="H526" s="236">
        <f>SUM(Tabla132112416[[#This Row],[PRIMER TRIMESTRE]:[CUARTO TRIMESTRE]])</f>
        <v>0</v>
      </c>
      <c r="I526" s="17">
        <v>3220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</row>
    <row r="527" spans="1:14" s="12" customFormat="1" ht="18">
      <c r="A527" s="178" t="s">
        <v>80</v>
      </c>
      <c r="B527" s="75" t="s">
        <v>1534</v>
      </c>
      <c r="C527" s="39" t="s">
        <v>17</v>
      </c>
      <c r="D527" s="236"/>
      <c r="E527" s="236"/>
      <c r="F527" s="236"/>
      <c r="G527" s="236"/>
      <c r="H527" s="236">
        <f>SUM(Tabla132112416[[#This Row],[PRIMER TRIMESTRE]:[CUARTO TRIMESTRE]])</f>
        <v>0</v>
      </c>
      <c r="I527" s="17">
        <v>2380</v>
      </c>
      <c r="J527" s="17">
        <f t="shared" si="12"/>
        <v>0</v>
      </c>
      <c r="K527" s="17"/>
      <c r="L527" s="16" t="s">
        <v>18</v>
      </c>
      <c r="M527" s="16" t="s">
        <v>22</v>
      </c>
      <c r="N527" s="39"/>
    </row>
    <row r="528" spans="1:14" s="12" customFormat="1" ht="25.5">
      <c r="A528" s="178" t="s">
        <v>80</v>
      </c>
      <c r="B528" s="75" t="s">
        <v>1682</v>
      </c>
      <c r="C528" s="39" t="s">
        <v>17</v>
      </c>
      <c r="D528" s="236"/>
      <c r="E528" s="236"/>
      <c r="F528" s="236"/>
      <c r="G528" s="236"/>
      <c r="H528" s="40">
        <v>0</v>
      </c>
      <c r="I528" s="17">
        <v>0</v>
      </c>
      <c r="J528" s="17">
        <v>0</v>
      </c>
      <c r="K528" s="17"/>
      <c r="L528" s="16" t="s">
        <v>18</v>
      </c>
      <c r="M528" s="16" t="s">
        <v>22</v>
      </c>
      <c r="N528" s="39"/>
    </row>
    <row r="529" spans="1:14" s="12" customFormat="1" ht="38.25">
      <c r="A529" s="178" t="s">
        <v>80</v>
      </c>
      <c r="B529" s="75" t="s">
        <v>1502</v>
      </c>
      <c r="C529" s="39" t="s">
        <v>17</v>
      </c>
      <c r="D529" s="236"/>
      <c r="E529" s="236"/>
      <c r="F529" s="236"/>
      <c r="G529" s="236"/>
      <c r="H529" s="236">
        <f>SUM(Tabla132112416[[#This Row],[PRIMER TRIMESTRE]:[CUARTO TRIMESTRE]])</f>
        <v>0</v>
      </c>
      <c r="I529" s="17">
        <v>34440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</row>
    <row r="530" spans="1:14" s="12" customFormat="1" ht="25.5">
      <c r="A530" s="178" t="s">
        <v>80</v>
      </c>
      <c r="B530" s="75" t="s">
        <v>1503</v>
      </c>
      <c r="C530" s="39" t="s">
        <v>17</v>
      </c>
      <c r="D530" s="236"/>
      <c r="E530" s="236"/>
      <c r="F530" s="236"/>
      <c r="G530" s="236"/>
      <c r="H530" s="236">
        <f>SUM(Tabla132112416[[#This Row],[PRIMER TRIMESTRE]:[CUARTO TRIMESTRE]])</f>
        <v>0</v>
      </c>
      <c r="I530" s="17">
        <v>2600</v>
      </c>
      <c r="J530" s="17">
        <f t="shared" si="12"/>
        <v>0</v>
      </c>
      <c r="K530" s="17"/>
      <c r="L530" s="16" t="s">
        <v>18</v>
      </c>
      <c r="M530" s="16" t="s">
        <v>22</v>
      </c>
      <c r="N530" s="39"/>
    </row>
    <row r="531" spans="1:14" s="12" customFormat="1" ht="18">
      <c r="A531" s="178" t="s">
        <v>80</v>
      </c>
      <c r="B531" s="75" t="s">
        <v>1504</v>
      </c>
      <c r="C531" s="39" t="s">
        <v>17</v>
      </c>
      <c r="D531" s="236"/>
      <c r="E531" s="236"/>
      <c r="F531" s="236"/>
      <c r="G531" s="236"/>
      <c r="H531" s="236">
        <f>SUM(Tabla132112416[[#This Row],[PRIMER TRIMESTRE]:[CUARTO TRIMESTRE]])</f>
        <v>0</v>
      </c>
      <c r="I531" s="17">
        <v>14280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</row>
    <row r="532" spans="1:14" s="12" customFormat="1" ht="25.5">
      <c r="A532" s="178" t="s">
        <v>80</v>
      </c>
      <c r="B532" s="75" t="s">
        <v>1505</v>
      </c>
      <c r="C532" s="39" t="s">
        <v>17</v>
      </c>
      <c r="D532" s="236"/>
      <c r="E532" s="236"/>
      <c r="F532" s="236"/>
      <c r="G532" s="236"/>
      <c r="H532" s="236">
        <f>SUM(Tabla132112416[[#This Row],[PRIMER TRIMESTRE]:[CUARTO TRIMESTRE]])</f>
        <v>0</v>
      </c>
      <c r="I532" s="17">
        <v>15708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</row>
    <row r="533" spans="1:14" s="12" customFormat="1" ht="38.25">
      <c r="A533" s="178" t="s">
        <v>80</v>
      </c>
      <c r="B533" s="75" t="s">
        <v>1506</v>
      </c>
      <c r="C533" s="39" t="s">
        <v>17</v>
      </c>
      <c r="D533" s="236"/>
      <c r="E533" s="236"/>
      <c r="F533" s="236"/>
      <c r="G533" s="236"/>
      <c r="H533" s="236">
        <f>SUM(Tabla132112416[[#This Row],[PRIMER TRIMESTRE]:[CUARTO TRIMESTRE]])</f>
        <v>0</v>
      </c>
      <c r="I533" s="17">
        <v>29481</v>
      </c>
      <c r="J533" s="17">
        <f t="shared" si="12"/>
        <v>0</v>
      </c>
      <c r="K533" s="17"/>
      <c r="L533" s="16" t="s">
        <v>18</v>
      </c>
      <c r="M533" s="16" t="s">
        <v>22</v>
      </c>
      <c r="N533" s="39"/>
    </row>
    <row r="534" spans="1:14" s="12" customFormat="1" ht="38.25">
      <c r="A534" s="178" t="s">
        <v>80</v>
      </c>
      <c r="B534" s="75" t="s">
        <v>1507</v>
      </c>
      <c r="C534" s="39" t="s">
        <v>17</v>
      </c>
      <c r="D534" s="236"/>
      <c r="E534" s="236"/>
      <c r="F534" s="236"/>
      <c r="G534" s="236"/>
      <c r="H534" s="236">
        <f>SUM(Tabla132112416[[#This Row],[PRIMER TRIMESTRE]:[CUARTO TRIMESTRE]])</f>
        <v>0</v>
      </c>
      <c r="I534" s="17">
        <v>29000</v>
      </c>
      <c r="J534" s="17">
        <f t="shared" si="12"/>
        <v>0</v>
      </c>
      <c r="K534" s="17"/>
      <c r="L534" s="16" t="s">
        <v>18</v>
      </c>
      <c r="M534" s="16" t="s">
        <v>22</v>
      </c>
      <c r="N534" s="39"/>
    </row>
    <row r="535" spans="1:14" s="12" customFormat="1" ht="38.25">
      <c r="A535" s="178" t="s">
        <v>80</v>
      </c>
      <c r="B535" s="75" t="s">
        <v>1592</v>
      </c>
      <c r="C535" s="39" t="s">
        <v>17</v>
      </c>
      <c r="D535" s="236"/>
      <c r="E535" s="236"/>
      <c r="F535" s="236"/>
      <c r="G535" s="236"/>
      <c r="H535" s="236">
        <f>SUM(Tabla132112416[[#This Row],[PRIMER TRIMESTRE]:[CUARTO TRIMESTRE]])</f>
        <v>0</v>
      </c>
      <c r="I535" s="17">
        <v>52242</v>
      </c>
      <c r="J535" s="17">
        <f t="shared" si="12"/>
        <v>0</v>
      </c>
      <c r="K535" s="17"/>
      <c r="L535" s="16" t="s">
        <v>18</v>
      </c>
      <c r="M535" s="16" t="s">
        <v>22</v>
      </c>
      <c r="N535" s="39"/>
    </row>
    <row r="536" spans="1:14" s="12" customFormat="1" ht="18">
      <c r="A536" s="178" t="s">
        <v>80</v>
      </c>
      <c r="B536" s="75" t="s">
        <v>1552</v>
      </c>
      <c r="C536" s="39" t="s">
        <v>17</v>
      </c>
      <c r="D536" s="236"/>
      <c r="E536" s="236"/>
      <c r="F536" s="236"/>
      <c r="G536" s="236"/>
      <c r="H536" s="236">
        <f>SUM(Tabla132112416[[#This Row],[PRIMER TRIMESTRE]:[CUARTO TRIMESTRE]])</f>
        <v>0</v>
      </c>
      <c r="I536" s="17">
        <v>28.8</v>
      </c>
      <c r="J536" s="17">
        <f t="shared" si="12"/>
        <v>0</v>
      </c>
      <c r="K536" s="17"/>
      <c r="L536" s="16" t="s">
        <v>18</v>
      </c>
      <c r="M536" s="16" t="s">
        <v>22</v>
      </c>
      <c r="N536" s="39"/>
    </row>
    <row r="537" spans="1:14" s="12" customFormat="1" ht="25.5">
      <c r="A537" s="178" t="s">
        <v>80</v>
      </c>
      <c r="B537" s="75" t="s">
        <v>663</v>
      </c>
      <c r="C537" s="39" t="s">
        <v>17</v>
      </c>
      <c r="D537" s="236"/>
      <c r="E537" s="236"/>
      <c r="F537" s="236"/>
      <c r="G537" s="236"/>
      <c r="H537" s="40">
        <f>SUM(Tabla132112416[[#This Row],[PRIMER TRIMESTRE]:[CUARTO TRIMESTRE]])</f>
        <v>0</v>
      </c>
      <c r="I537" s="72">
        <v>15930</v>
      </c>
      <c r="J537" s="17">
        <f t="shared" si="12"/>
        <v>0</v>
      </c>
      <c r="K537" s="17"/>
      <c r="L537" s="16" t="s">
        <v>18</v>
      </c>
      <c r="M537" s="16" t="s">
        <v>22</v>
      </c>
      <c r="N537" s="39"/>
    </row>
    <row r="538" spans="1:14" s="12" customFormat="1" ht="25.5">
      <c r="A538" s="178" t="s">
        <v>80</v>
      </c>
      <c r="B538" s="75" t="s">
        <v>662</v>
      </c>
      <c r="C538" s="39" t="s">
        <v>17</v>
      </c>
      <c r="D538" s="236"/>
      <c r="E538" s="236"/>
      <c r="F538" s="236"/>
      <c r="G538" s="236"/>
      <c r="H538" s="40">
        <f>SUM(Tabla132112416[[#This Row],[PRIMER TRIMESTRE]:[CUARTO TRIMESTRE]])</f>
        <v>0</v>
      </c>
      <c r="I538" s="72">
        <f>15500*1.18</f>
        <v>18290</v>
      </c>
      <c r="J538" s="17">
        <f t="shared" si="12"/>
        <v>0</v>
      </c>
      <c r="K538" s="17"/>
      <c r="L538" s="16" t="s">
        <v>18</v>
      </c>
      <c r="M538" s="16" t="s">
        <v>22</v>
      </c>
      <c r="N538" s="39"/>
    </row>
    <row r="539" spans="1:14" s="12" customFormat="1" ht="25.5">
      <c r="A539" s="178" t="s">
        <v>80</v>
      </c>
      <c r="B539" s="75" t="s">
        <v>664</v>
      </c>
      <c r="C539" s="39" t="s">
        <v>17</v>
      </c>
      <c r="D539" s="236"/>
      <c r="E539" s="236"/>
      <c r="F539" s="236"/>
      <c r="G539" s="236"/>
      <c r="H539" s="40">
        <f>SUM(Tabla132112416[[#This Row],[PRIMER TRIMESTRE]:[CUARTO TRIMESTRE]])</f>
        <v>0</v>
      </c>
      <c r="I539" s="72">
        <f>18500*1.18</f>
        <v>21830</v>
      </c>
      <c r="J539" s="17">
        <f t="shared" si="12"/>
        <v>0</v>
      </c>
      <c r="K539" s="17"/>
      <c r="L539" s="16" t="s">
        <v>18</v>
      </c>
      <c r="M539" s="16" t="s">
        <v>22</v>
      </c>
      <c r="N539" s="39"/>
    </row>
    <row r="540" spans="1:14" s="12" customFormat="1" ht="38.25">
      <c r="A540" s="178" t="s">
        <v>80</v>
      </c>
      <c r="B540" s="75" t="s">
        <v>672</v>
      </c>
      <c r="C540" s="39" t="s">
        <v>17</v>
      </c>
      <c r="D540" s="236"/>
      <c r="E540" s="236"/>
      <c r="F540" s="236"/>
      <c r="G540" s="236"/>
      <c r="H540" s="40">
        <f>SUM(Tabla132112416[[#This Row],[PRIMER TRIMESTRE]:[CUARTO TRIMESTRE]])</f>
        <v>0</v>
      </c>
      <c r="I540" s="72">
        <f>13800*1.18</f>
        <v>16284</v>
      </c>
      <c r="J540" s="17">
        <f t="shared" si="12"/>
        <v>0</v>
      </c>
      <c r="K540" s="17"/>
      <c r="L540" s="16" t="s">
        <v>18</v>
      </c>
      <c r="M540" s="16" t="s">
        <v>22</v>
      </c>
      <c r="N540" s="39"/>
    </row>
    <row r="541" spans="1:14" s="12" customFormat="1" ht="38.25">
      <c r="A541" s="178" t="s">
        <v>80</v>
      </c>
      <c r="B541" s="75" t="s">
        <v>665</v>
      </c>
      <c r="C541" s="39" t="s">
        <v>17</v>
      </c>
      <c r="D541" s="236"/>
      <c r="E541" s="236"/>
      <c r="F541" s="236"/>
      <c r="G541" s="236"/>
      <c r="H541" s="40">
        <f>SUM(Tabla132112416[[#This Row],[PRIMER TRIMESTRE]:[CUARTO TRIMESTRE]])</f>
        <v>0</v>
      </c>
      <c r="I541" s="17">
        <f>15950*1.18</f>
        <v>18821</v>
      </c>
      <c r="J541" s="17">
        <f t="shared" si="12"/>
        <v>0</v>
      </c>
      <c r="K541" s="17"/>
      <c r="L541" s="16" t="s">
        <v>18</v>
      </c>
      <c r="M541" s="16" t="s">
        <v>22</v>
      </c>
      <c r="N541" s="39"/>
    </row>
    <row r="542" spans="1:14" s="12" customFormat="1" ht="38.25">
      <c r="A542" s="178" t="s">
        <v>80</v>
      </c>
      <c r="B542" s="75" t="s">
        <v>666</v>
      </c>
      <c r="C542" s="39" t="s">
        <v>17</v>
      </c>
      <c r="D542" s="236"/>
      <c r="E542" s="236"/>
      <c r="F542" s="236"/>
      <c r="G542" s="236"/>
      <c r="H542" s="40">
        <f>SUM(Tabla132112416[[#This Row],[PRIMER TRIMESTRE]:[CUARTO TRIMESTRE]])</f>
        <v>0</v>
      </c>
      <c r="I542" s="17">
        <f>18950*1.18</f>
        <v>22361</v>
      </c>
      <c r="J542" s="17">
        <f t="shared" si="12"/>
        <v>0</v>
      </c>
      <c r="K542" s="17"/>
      <c r="L542" s="16" t="s">
        <v>18</v>
      </c>
      <c r="M542" s="16" t="s">
        <v>22</v>
      </c>
      <c r="N542" s="39"/>
    </row>
    <row r="543" spans="1:14" s="12" customFormat="1" ht="38.25">
      <c r="A543" s="178" t="s">
        <v>80</v>
      </c>
      <c r="B543" s="75" t="s">
        <v>667</v>
      </c>
      <c r="C543" s="39" t="s">
        <v>17</v>
      </c>
      <c r="D543" s="236"/>
      <c r="E543" s="236"/>
      <c r="F543" s="236"/>
      <c r="G543" s="236"/>
      <c r="H543" s="40">
        <f>SUM(Tabla132112416[[#This Row],[PRIMER TRIMESTRE]:[CUARTO TRIMESTRE]])</f>
        <v>0</v>
      </c>
      <c r="I543" s="17">
        <f>23500*1.18</f>
        <v>27730</v>
      </c>
      <c r="J543" s="17">
        <f t="shared" si="12"/>
        <v>0</v>
      </c>
      <c r="K543" s="17"/>
      <c r="L543" s="16" t="s">
        <v>18</v>
      </c>
      <c r="M543" s="16" t="s">
        <v>22</v>
      </c>
      <c r="N543" s="39"/>
    </row>
    <row r="544" spans="1:14" s="12" customFormat="1" ht="38.25">
      <c r="A544" s="178" t="s">
        <v>80</v>
      </c>
      <c r="B544" s="75" t="s">
        <v>668</v>
      </c>
      <c r="C544" s="39" t="s">
        <v>17</v>
      </c>
      <c r="D544" s="236"/>
      <c r="E544" s="236"/>
      <c r="F544" s="236"/>
      <c r="G544" s="236"/>
      <c r="H544" s="40">
        <f>SUM(Tabla132112416[[#This Row],[PRIMER TRIMESTRE]:[CUARTO TRIMESTRE]])</f>
        <v>0</v>
      </c>
      <c r="I544" s="17">
        <f>32800*1.18</f>
        <v>38704</v>
      </c>
      <c r="J544" s="17">
        <f t="shared" si="12"/>
        <v>0</v>
      </c>
      <c r="K544" s="17"/>
      <c r="L544" s="16" t="s">
        <v>18</v>
      </c>
      <c r="M544" s="16" t="s">
        <v>22</v>
      </c>
      <c r="N544" s="39"/>
    </row>
    <row r="545" spans="1:14" s="12" customFormat="1" ht="38.25">
      <c r="A545" s="178" t="s">
        <v>80</v>
      </c>
      <c r="B545" s="75" t="s">
        <v>669</v>
      </c>
      <c r="C545" s="39" t="s">
        <v>17</v>
      </c>
      <c r="D545" s="236"/>
      <c r="E545" s="236"/>
      <c r="F545" s="236"/>
      <c r="G545" s="236"/>
      <c r="H545" s="40">
        <f>SUM(Tabla132112416[[#This Row],[PRIMER TRIMESTRE]:[CUARTO TRIMESTRE]])</f>
        <v>0</v>
      </c>
      <c r="I545" s="17">
        <f>56500*1.18</f>
        <v>66670</v>
      </c>
      <c r="J545" s="17">
        <f t="shared" si="12"/>
        <v>0</v>
      </c>
      <c r="K545" s="17"/>
      <c r="L545" s="16" t="s">
        <v>18</v>
      </c>
      <c r="M545" s="16" t="s">
        <v>22</v>
      </c>
      <c r="N545" s="39"/>
    </row>
    <row r="546" spans="1:14" s="12" customFormat="1" ht="38.25">
      <c r="A546" s="178" t="s">
        <v>80</v>
      </c>
      <c r="B546" s="75" t="s">
        <v>670</v>
      </c>
      <c r="C546" s="39" t="s">
        <v>17</v>
      </c>
      <c r="D546" s="236"/>
      <c r="E546" s="236"/>
      <c r="F546" s="236"/>
      <c r="G546" s="236"/>
      <c r="H546" s="40">
        <f>SUM(Tabla132112416[[#This Row],[PRIMER TRIMESTRE]:[CUARTO TRIMESTRE]])</f>
        <v>0</v>
      </c>
      <c r="I546" s="17">
        <f>74000*1.18</f>
        <v>87320</v>
      </c>
      <c r="J546" s="17">
        <f t="shared" si="12"/>
        <v>0</v>
      </c>
      <c r="K546" s="17"/>
      <c r="L546" s="16" t="s">
        <v>18</v>
      </c>
      <c r="M546" s="16" t="s">
        <v>22</v>
      </c>
      <c r="N546" s="39"/>
    </row>
    <row r="547" spans="1:14" s="12" customFormat="1" ht="38.25">
      <c r="A547" s="178" t="s">
        <v>80</v>
      </c>
      <c r="B547" s="75" t="s">
        <v>671</v>
      </c>
      <c r="C547" s="39" t="s">
        <v>17</v>
      </c>
      <c r="D547" s="236"/>
      <c r="E547" s="236"/>
      <c r="F547" s="236"/>
      <c r="G547" s="236"/>
      <c r="H547" s="40">
        <f>SUM(Tabla132112416[[#This Row],[PRIMER TRIMESTRE]:[CUARTO TRIMESTRE]])</f>
        <v>0</v>
      </c>
      <c r="I547" s="17">
        <f>245000*1.18</f>
        <v>289100</v>
      </c>
      <c r="J547" s="17">
        <f t="shared" si="12"/>
        <v>0</v>
      </c>
      <c r="K547" s="17"/>
      <c r="L547" s="16" t="s">
        <v>18</v>
      </c>
      <c r="M547" s="16" t="s">
        <v>22</v>
      </c>
      <c r="N547" s="39"/>
    </row>
    <row r="548" spans="1:14" s="12" customFormat="1" ht="38.25">
      <c r="A548" s="178" t="s">
        <v>80</v>
      </c>
      <c r="B548" s="75" t="s">
        <v>676</v>
      </c>
      <c r="C548" s="39" t="s">
        <v>17</v>
      </c>
      <c r="D548" s="236"/>
      <c r="E548" s="236"/>
      <c r="F548" s="236"/>
      <c r="G548" s="236"/>
      <c r="H548" s="40">
        <f>SUM(Tabla132112416[[#This Row],[PRIMER TRIMESTRE]:[CUARTO TRIMESTRE]])</f>
        <v>0</v>
      </c>
      <c r="I548" s="17">
        <v>40200</v>
      </c>
      <c r="J548" s="17">
        <f t="shared" si="12"/>
        <v>0</v>
      </c>
      <c r="K548" s="17"/>
      <c r="L548" s="16" t="s">
        <v>18</v>
      </c>
      <c r="M548" s="16" t="s">
        <v>22</v>
      </c>
      <c r="N548" s="39"/>
    </row>
    <row r="549" spans="1:14" s="12" customFormat="1" ht="38.25">
      <c r="A549" s="178" t="s">
        <v>80</v>
      </c>
      <c r="B549" s="75" t="s">
        <v>677</v>
      </c>
      <c r="C549" s="39" t="s">
        <v>17</v>
      </c>
      <c r="D549" s="236"/>
      <c r="E549" s="236"/>
      <c r="F549" s="236"/>
      <c r="G549" s="236"/>
      <c r="H549" s="40">
        <f>SUM(Tabla132112416[[#This Row],[PRIMER TRIMESTRE]:[CUARTO TRIMESTRE]])</f>
        <v>0</v>
      </c>
      <c r="I549" s="17">
        <v>49500</v>
      </c>
      <c r="J549" s="17">
        <f t="shared" si="12"/>
        <v>0</v>
      </c>
      <c r="K549" s="17"/>
      <c r="L549" s="16" t="s">
        <v>18</v>
      </c>
      <c r="M549" s="16" t="s">
        <v>22</v>
      </c>
      <c r="N549" s="39"/>
    </row>
    <row r="550" spans="1:14" s="12" customFormat="1" ht="38.25">
      <c r="A550" s="178" t="s">
        <v>80</v>
      </c>
      <c r="B550" s="75" t="s">
        <v>678</v>
      </c>
      <c r="C550" s="39" t="s">
        <v>17</v>
      </c>
      <c r="D550" s="236"/>
      <c r="E550" s="236"/>
      <c r="F550" s="236"/>
      <c r="G550" s="236"/>
      <c r="H550" s="40">
        <f>SUM(Tabla132112416[[#This Row],[PRIMER TRIMESTRE]:[CUARTO TRIMESTRE]])</f>
        <v>0</v>
      </c>
      <c r="I550" s="17">
        <v>73250</v>
      </c>
      <c r="J550" s="17">
        <f t="shared" si="12"/>
        <v>0</v>
      </c>
      <c r="K550" s="17"/>
      <c r="L550" s="16" t="s">
        <v>18</v>
      </c>
      <c r="M550" s="16" t="s">
        <v>22</v>
      </c>
      <c r="N550" s="39"/>
    </row>
    <row r="551" spans="1:14" s="12" customFormat="1" ht="38.25">
      <c r="A551" s="178" t="s">
        <v>80</v>
      </c>
      <c r="B551" s="75" t="s">
        <v>679</v>
      </c>
      <c r="C551" s="39" t="s">
        <v>17</v>
      </c>
      <c r="D551" s="236"/>
      <c r="E551" s="236"/>
      <c r="F551" s="236"/>
      <c r="G551" s="236"/>
      <c r="H551" s="40">
        <f>SUM(Tabla132112416[[#This Row],[PRIMER TRIMESTRE]:[CUARTO TRIMESTRE]])</f>
        <v>0</v>
      </c>
      <c r="I551" s="72">
        <v>289000</v>
      </c>
      <c r="J551" s="17">
        <f t="shared" ref="J551:J576" si="13">+H551*I551</f>
        <v>0</v>
      </c>
      <c r="K551" s="17"/>
      <c r="L551" s="16" t="s">
        <v>18</v>
      </c>
      <c r="M551" s="16" t="s">
        <v>22</v>
      </c>
      <c r="N551" s="39"/>
    </row>
    <row r="552" spans="1:14" s="12" customFormat="1" ht="51">
      <c r="A552" s="178" t="s">
        <v>80</v>
      </c>
      <c r="B552" s="75" t="s">
        <v>680</v>
      </c>
      <c r="C552" s="39" t="s">
        <v>17</v>
      </c>
      <c r="D552" s="236"/>
      <c r="E552" s="236"/>
      <c r="F552" s="236"/>
      <c r="G552" s="236"/>
      <c r="H552" s="40">
        <f>SUM(Tabla132112416[[#This Row],[PRIMER TRIMESTRE]:[CUARTO TRIMESTRE]])</f>
        <v>0</v>
      </c>
      <c r="I552" s="72">
        <f>26800*1.18</f>
        <v>31624</v>
      </c>
      <c r="J552" s="17">
        <f t="shared" si="13"/>
        <v>0</v>
      </c>
      <c r="K552" s="17"/>
      <c r="L552" s="16" t="s">
        <v>18</v>
      </c>
      <c r="M552" s="16" t="s">
        <v>22</v>
      </c>
      <c r="N552" s="39"/>
    </row>
    <row r="553" spans="1:14" s="12" customFormat="1" ht="51">
      <c r="A553" s="178" t="s">
        <v>80</v>
      </c>
      <c r="B553" s="75" t="s">
        <v>681</v>
      </c>
      <c r="C553" s="39" t="s">
        <v>17</v>
      </c>
      <c r="D553" s="236"/>
      <c r="E553" s="236"/>
      <c r="F553" s="236"/>
      <c r="G553" s="236"/>
      <c r="H553" s="40">
        <f>SUM(Tabla132112416[[#This Row],[PRIMER TRIMESTRE]:[CUARTO TRIMESTRE]])</f>
        <v>0</v>
      </c>
      <c r="I553" s="17">
        <f>39500*1.18</f>
        <v>46610</v>
      </c>
      <c r="J553" s="17">
        <f t="shared" si="13"/>
        <v>0</v>
      </c>
      <c r="K553" s="17"/>
      <c r="L553" s="16" t="s">
        <v>18</v>
      </c>
      <c r="M553" s="16" t="s">
        <v>22</v>
      </c>
      <c r="N553" s="39"/>
    </row>
    <row r="554" spans="1:14" s="12" customFormat="1" ht="51">
      <c r="A554" s="178" t="s">
        <v>80</v>
      </c>
      <c r="B554" s="75" t="s">
        <v>683</v>
      </c>
      <c r="C554" s="39" t="s">
        <v>17</v>
      </c>
      <c r="D554" s="236"/>
      <c r="E554" s="236"/>
      <c r="F554" s="236"/>
      <c r="G554" s="236"/>
      <c r="H554" s="40">
        <f>SUM(Tabla132112416[[#This Row],[PRIMER TRIMESTRE]:[CUARTO TRIMESTRE]])</f>
        <v>0</v>
      </c>
      <c r="I554" s="72">
        <v>68487.199999999997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</row>
    <row r="555" spans="1:14" s="12" customFormat="1" ht="51">
      <c r="A555" s="178" t="s">
        <v>80</v>
      </c>
      <c r="B555" s="75" t="s">
        <v>682</v>
      </c>
      <c r="C555" s="39" t="s">
        <v>17</v>
      </c>
      <c r="D555" s="236"/>
      <c r="E555" s="236"/>
      <c r="F555" s="236"/>
      <c r="G555" s="236"/>
      <c r="H555" s="40">
        <f>SUM(Tabla132112416[[#This Row],[PRIMER TRIMESTRE]:[CUARTO TRIMESTRE]])</f>
        <v>0</v>
      </c>
      <c r="I555" s="72">
        <v>304100</v>
      </c>
      <c r="J555" s="17">
        <f t="shared" si="13"/>
        <v>0</v>
      </c>
      <c r="K555" s="17"/>
      <c r="L555" s="16" t="s">
        <v>18</v>
      </c>
      <c r="M555" s="16" t="s">
        <v>22</v>
      </c>
      <c r="N555" s="39"/>
    </row>
    <row r="556" spans="1:14" s="12" customFormat="1" ht="25.5">
      <c r="A556" s="178" t="s">
        <v>80</v>
      </c>
      <c r="B556" s="75" t="s">
        <v>1720</v>
      </c>
      <c r="C556" s="39" t="s">
        <v>17</v>
      </c>
      <c r="D556" s="236"/>
      <c r="E556" s="236"/>
      <c r="F556" s="236"/>
      <c r="G556" s="236"/>
      <c r="H556" s="40">
        <v>0</v>
      </c>
      <c r="I556" s="72">
        <v>0</v>
      </c>
      <c r="J556" s="17">
        <v>0</v>
      </c>
      <c r="K556" s="17"/>
      <c r="L556" s="16" t="s">
        <v>18</v>
      </c>
      <c r="M556" s="16" t="s">
        <v>22</v>
      </c>
      <c r="N556" s="39"/>
    </row>
    <row r="557" spans="1:14" s="12" customFormat="1" ht="18">
      <c r="A557" s="178" t="s">
        <v>80</v>
      </c>
      <c r="B557" s="75" t="s">
        <v>635</v>
      </c>
      <c r="C557" s="39" t="s">
        <v>17</v>
      </c>
      <c r="D557" s="236"/>
      <c r="E557" s="236"/>
      <c r="F557" s="236"/>
      <c r="G557" s="236"/>
      <c r="H557" s="40">
        <f>SUM(Tabla132112416[[#This Row],[PRIMER TRIMESTRE]:[CUARTO TRIMESTRE]])</f>
        <v>0</v>
      </c>
      <c r="I557" s="17">
        <v>94400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</row>
    <row r="558" spans="1:14" s="12" customFormat="1" ht="18">
      <c r="A558" s="178" t="s">
        <v>80</v>
      </c>
      <c r="B558" s="75" t="s">
        <v>636</v>
      </c>
      <c r="C558" s="39" t="s">
        <v>17</v>
      </c>
      <c r="D558" s="236"/>
      <c r="E558" s="236"/>
      <c r="F558" s="236"/>
      <c r="G558" s="236"/>
      <c r="H558" s="40">
        <f>SUM(Tabla132112416[[#This Row],[PRIMER TRIMESTRE]:[CUARTO TRIMESTRE]])</f>
        <v>0</v>
      </c>
      <c r="I558" s="17">
        <v>106200</v>
      </c>
      <c r="J558" s="17">
        <f t="shared" si="13"/>
        <v>0</v>
      </c>
      <c r="K558" s="17"/>
      <c r="L558" s="16" t="s">
        <v>18</v>
      </c>
      <c r="M558" s="16" t="s">
        <v>22</v>
      </c>
      <c r="N558" s="39"/>
    </row>
    <row r="559" spans="1:14" s="12" customFormat="1" ht="18">
      <c r="A559" s="178" t="s">
        <v>80</v>
      </c>
      <c r="B559" s="75" t="s">
        <v>637</v>
      </c>
      <c r="C559" s="39" t="s">
        <v>17</v>
      </c>
      <c r="D559" s="236"/>
      <c r="E559" s="236"/>
      <c r="F559" s="236"/>
      <c r="G559" s="236"/>
      <c r="H559" s="40">
        <f>SUM(Tabla132112416[[#This Row],[PRIMER TRIMESTRE]:[CUARTO TRIMESTRE]])</f>
        <v>0</v>
      </c>
      <c r="I559" s="17">
        <v>112100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</row>
    <row r="560" spans="1:14" s="12" customFormat="1" ht="38.25">
      <c r="A560" s="178" t="s">
        <v>80</v>
      </c>
      <c r="B560" s="75" t="s">
        <v>685</v>
      </c>
      <c r="C560" s="39" t="s">
        <v>17</v>
      </c>
      <c r="D560" s="236"/>
      <c r="E560" s="236"/>
      <c r="F560" s="236"/>
      <c r="G560" s="236"/>
      <c r="H560" s="40">
        <f>SUM(Tabla132112416[[#This Row],[PRIMER TRIMESTRE]:[CUARTO TRIMESTRE]])</f>
        <v>0</v>
      </c>
      <c r="I560" s="17">
        <v>42480</v>
      </c>
      <c r="J560" s="17">
        <f t="shared" si="13"/>
        <v>0</v>
      </c>
      <c r="K560" s="17"/>
      <c r="L560" s="16" t="s">
        <v>18</v>
      </c>
      <c r="M560" s="16" t="s">
        <v>22</v>
      </c>
      <c r="N560" s="39"/>
    </row>
    <row r="561" spans="1:14" s="12" customFormat="1" ht="38.25">
      <c r="A561" s="178" t="s">
        <v>80</v>
      </c>
      <c r="B561" s="75" t="s">
        <v>686</v>
      </c>
      <c r="C561" s="39" t="s">
        <v>17</v>
      </c>
      <c r="D561" s="236"/>
      <c r="E561" s="236"/>
      <c r="F561" s="236"/>
      <c r="G561" s="236"/>
      <c r="H561" s="40">
        <f>SUM(Tabla132112416[[#This Row],[PRIMER TRIMESTRE]:[CUARTO TRIMESTRE]])</f>
        <v>0</v>
      </c>
      <c r="I561" s="17">
        <v>64900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</row>
    <row r="562" spans="1:14" s="12" customFormat="1" ht="38.25">
      <c r="A562" s="178" t="s">
        <v>80</v>
      </c>
      <c r="B562" s="75" t="s">
        <v>687</v>
      </c>
      <c r="C562" s="39" t="s">
        <v>17</v>
      </c>
      <c r="D562" s="236"/>
      <c r="E562" s="236"/>
      <c r="F562" s="236"/>
      <c r="G562" s="236"/>
      <c r="H562" s="40">
        <f>SUM(Tabla132112416[[#This Row],[PRIMER TRIMESTRE]:[CUARTO TRIMESTRE]])</f>
        <v>0</v>
      </c>
      <c r="I562" s="17">
        <v>92040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</row>
    <row r="563" spans="1:14" s="12" customFormat="1" ht="25.5">
      <c r="A563" s="178" t="s">
        <v>80</v>
      </c>
      <c r="B563" s="75" t="s">
        <v>688</v>
      </c>
      <c r="C563" s="39" t="s">
        <v>17</v>
      </c>
      <c r="D563" s="236"/>
      <c r="E563" s="236"/>
      <c r="F563" s="236"/>
      <c r="G563" s="236"/>
      <c r="H563" s="40">
        <f>SUM(Tabla132112416[[#This Row],[PRIMER TRIMESTRE]:[CUARTO TRIMESTRE]])</f>
        <v>0</v>
      </c>
      <c r="I563" s="17">
        <v>6377.7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</row>
    <row r="564" spans="1:14" s="12" customFormat="1" ht="25.5">
      <c r="A564" s="178" t="s">
        <v>80</v>
      </c>
      <c r="B564" s="75" t="s">
        <v>689</v>
      </c>
      <c r="C564" s="39" t="s">
        <v>17</v>
      </c>
      <c r="D564" s="236"/>
      <c r="E564" s="236"/>
      <c r="F564" s="236"/>
      <c r="G564" s="236"/>
      <c r="H564" s="40">
        <f>SUM(Tabla132112416[[#This Row],[PRIMER TRIMESTRE]:[CUARTO TRIMESTRE]])</f>
        <v>0</v>
      </c>
      <c r="I564" s="72">
        <v>6769.1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</row>
    <row r="565" spans="1:14" s="12" customFormat="1" ht="25.5">
      <c r="A565" s="178" t="s">
        <v>80</v>
      </c>
      <c r="B565" s="75" t="s">
        <v>690</v>
      </c>
      <c r="C565" s="39" t="s">
        <v>17</v>
      </c>
      <c r="D565" s="236"/>
      <c r="E565" s="236"/>
      <c r="F565" s="236"/>
      <c r="G565" s="236"/>
      <c r="H565" s="40">
        <f>SUM(Tabla132112416[[#This Row],[PRIMER TRIMESTRE]:[CUARTO TRIMESTRE]])</f>
        <v>0</v>
      </c>
      <c r="I565" s="72">
        <v>6890.2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</row>
    <row r="566" spans="1:14" s="12" customFormat="1" ht="25.5">
      <c r="A566" s="178" t="s">
        <v>80</v>
      </c>
      <c r="B566" s="75" t="s">
        <v>905</v>
      </c>
      <c r="C566" s="39" t="s">
        <v>17</v>
      </c>
      <c r="D566" s="236"/>
      <c r="E566" s="236"/>
      <c r="F566" s="236"/>
      <c r="G566" s="236"/>
      <c r="H566" s="40">
        <f>SUM(Tabla132112416[[#This Row],[PRIMER TRIMESTRE]:[CUARTO TRIMESTRE]])</f>
        <v>0</v>
      </c>
      <c r="I566" s="72">
        <f>+I565*1.15</f>
        <v>7923.73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</row>
    <row r="567" spans="1:14" s="12" customFormat="1" ht="25.5">
      <c r="A567" s="178" t="s">
        <v>80</v>
      </c>
      <c r="B567" s="75" t="s">
        <v>691</v>
      </c>
      <c r="C567" s="39" t="s">
        <v>17</v>
      </c>
      <c r="D567" s="236"/>
      <c r="E567" s="236"/>
      <c r="F567" s="236"/>
      <c r="G567" s="236"/>
      <c r="H567" s="40">
        <f>SUM(Tabla132112416[[#This Row],[PRIMER TRIMESTRE]:[CUARTO TRIMESTRE]])</f>
        <v>0</v>
      </c>
      <c r="I567" s="72">
        <f>2500*1.18</f>
        <v>2950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</row>
    <row r="568" spans="1:14" s="12" customFormat="1" ht="25.5">
      <c r="A568" s="178" t="s">
        <v>80</v>
      </c>
      <c r="B568" s="75" t="s">
        <v>692</v>
      </c>
      <c r="C568" s="39" t="s">
        <v>17</v>
      </c>
      <c r="D568" s="236"/>
      <c r="E568" s="236"/>
      <c r="F568" s="236"/>
      <c r="G568" s="236"/>
      <c r="H568" s="40">
        <f>SUM(Tabla132112416[[#This Row],[PRIMER TRIMESTRE]:[CUARTO TRIMESTRE]])</f>
        <v>0</v>
      </c>
      <c r="I568" s="72">
        <v>20380.96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</row>
    <row r="569" spans="1:14" s="12" customFormat="1" ht="25.5">
      <c r="A569" s="178" t="s">
        <v>80</v>
      </c>
      <c r="B569" s="75" t="s">
        <v>693</v>
      </c>
      <c r="C569" s="39" t="s">
        <v>17</v>
      </c>
      <c r="D569" s="236"/>
      <c r="E569" s="236"/>
      <c r="F569" s="236"/>
      <c r="G569" s="236"/>
      <c r="H569" s="40">
        <f>SUM(Tabla132112416[[#This Row],[PRIMER TRIMESTRE]:[CUARTO TRIMESTRE]])</f>
        <v>0</v>
      </c>
      <c r="I569" s="72">
        <v>29236.86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</row>
    <row r="570" spans="1:14" s="12" customFormat="1" ht="18">
      <c r="A570" s="178" t="s">
        <v>80</v>
      </c>
      <c r="B570" s="75" t="s">
        <v>454</v>
      </c>
      <c r="C570" s="39" t="s">
        <v>17</v>
      </c>
      <c r="D570" s="236"/>
      <c r="E570" s="236"/>
      <c r="F570" s="236"/>
      <c r="G570" s="236"/>
      <c r="H570" s="40">
        <f>SUM(Tabla132112416[[#This Row],[PRIMER TRIMESTRE]:[CUARTO TRIMESTRE]])</f>
        <v>0</v>
      </c>
      <c r="I570" s="72">
        <v>236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</row>
    <row r="571" spans="1:14" s="12" customFormat="1" ht="18">
      <c r="A571" s="178" t="s">
        <v>80</v>
      </c>
      <c r="B571" s="75" t="s">
        <v>455</v>
      </c>
      <c r="C571" s="39" t="s">
        <v>17</v>
      </c>
      <c r="D571" s="236"/>
      <c r="E571" s="236"/>
      <c r="F571" s="236"/>
      <c r="G571" s="236"/>
      <c r="H571" s="40">
        <f>SUM(Tabla132112416[[#This Row],[PRIMER TRIMESTRE]:[CUARTO TRIMESTRE]])</f>
        <v>0</v>
      </c>
      <c r="I571" s="72">
        <v>344.56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</row>
    <row r="572" spans="1:14" s="12" customFormat="1" ht="18">
      <c r="A572" s="178" t="s">
        <v>80</v>
      </c>
      <c r="B572" s="75" t="s">
        <v>456</v>
      </c>
      <c r="C572" s="39" t="s">
        <v>17</v>
      </c>
      <c r="D572" s="236"/>
      <c r="E572" s="236"/>
      <c r="F572" s="236"/>
      <c r="G572" s="236"/>
      <c r="H572" s="40">
        <f>SUM(Tabla132112416[[#This Row],[PRIMER TRIMESTRE]:[CUARTO TRIMESTRE]])</f>
        <v>0</v>
      </c>
      <c r="I572" s="72">
        <v>499.14</v>
      </c>
      <c r="J572" s="17">
        <f t="shared" si="13"/>
        <v>0</v>
      </c>
      <c r="K572" s="17"/>
      <c r="L572" s="16" t="s">
        <v>18</v>
      </c>
      <c r="M572" s="16" t="s">
        <v>22</v>
      </c>
      <c r="N572" s="39"/>
    </row>
    <row r="573" spans="1:14" s="12" customFormat="1" ht="18">
      <c r="A573" s="178" t="s">
        <v>80</v>
      </c>
      <c r="B573" s="75" t="s">
        <v>457</v>
      </c>
      <c r="C573" s="39" t="s">
        <v>17</v>
      </c>
      <c r="D573" s="236"/>
      <c r="E573" s="236"/>
      <c r="F573" s="236"/>
      <c r="G573" s="236"/>
      <c r="H573" s="40">
        <f>SUM(Tabla132112416[[#This Row],[PRIMER TRIMESTRE]:[CUARTO TRIMESTRE]])</f>
        <v>0</v>
      </c>
      <c r="I573" s="72">
        <v>1598.9</v>
      </c>
      <c r="J573" s="17">
        <f t="shared" si="13"/>
        <v>0</v>
      </c>
      <c r="K573" s="17"/>
      <c r="L573" s="17" t="s">
        <v>18</v>
      </c>
      <c r="M573" s="16" t="s">
        <v>22</v>
      </c>
      <c r="N573" s="39"/>
    </row>
    <row r="574" spans="1:14" s="12" customFormat="1" ht="18">
      <c r="A574" s="178" t="s">
        <v>80</v>
      </c>
      <c r="B574" s="75" t="s">
        <v>458</v>
      </c>
      <c r="C574" s="39" t="s">
        <v>17</v>
      </c>
      <c r="D574" s="236"/>
      <c r="E574" s="236"/>
      <c r="F574" s="236"/>
      <c r="G574" s="236"/>
      <c r="H574" s="40">
        <f>SUM(Tabla132112416[[#This Row],[PRIMER TRIMESTRE]:[CUARTO TRIMESTRE]])</f>
        <v>0</v>
      </c>
      <c r="I574" s="72">
        <v>1849.06</v>
      </c>
      <c r="J574" s="17">
        <f t="shared" si="13"/>
        <v>0</v>
      </c>
      <c r="K574" s="17"/>
      <c r="L574" s="17" t="s">
        <v>18</v>
      </c>
      <c r="M574" s="16" t="s">
        <v>22</v>
      </c>
      <c r="N574" s="39"/>
    </row>
    <row r="575" spans="1:14" s="26" customFormat="1" ht="18">
      <c r="A575" s="178" t="s">
        <v>80</v>
      </c>
      <c r="B575" s="75" t="s">
        <v>801</v>
      </c>
      <c r="C575" s="39" t="s">
        <v>17</v>
      </c>
      <c r="D575" s="236"/>
      <c r="E575" s="236"/>
      <c r="F575" s="236"/>
      <c r="G575" s="236"/>
      <c r="H575" s="40">
        <f>SUM(Tabla132112416[[#This Row],[PRIMER TRIMESTRE]:[CUARTO TRIMESTRE]])</f>
        <v>0</v>
      </c>
      <c r="I575" s="72">
        <v>5444</v>
      </c>
      <c r="J575" s="17">
        <f t="shared" si="13"/>
        <v>0</v>
      </c>
      <c r="K575" s="17"/>
      <c r="L575" s="17" t="s">
        <v>18</v>
      </c>
      <c r="M575" s="16" t="s">
        <v>22</v>
      </c>
      <c r="N575" s="39"/>
    </row>
    <row r="576" spans="1:14" s="12" customFormat="1" ht="18">
      <c r="A576" s="178" t="s">
        <v>80</v>
      </c>
      <c r="B576" s="75" t="s">
        <v>802</v>
      </c>
      <c r="C576" s="39" t="s">
        <v>17</v>
      </c>
      <c r="D576" s="236"/>
      <c r="E576" s="236"/>
      <c r="F576" s="236"/>
      <c r="G576" s="236"/>
      <c r="H576" s="40">
        <f>SUM(Tabla132112416[[#This Row],[PRIMER TRIMESTRE]:[CUARTO TRIMESTRE]])</f>
        <v>0</v>
      </c>
      <c r="I576" s="72">
        <v>6844</v>
      </c>
      <c r="J576" s="17">
        <f t="shared" si="13"/>
        <v>0</v>
      </c>
      <c r="K576" s="17"/>
      <c r="L576" s="17" t="s">
        <v>18</v>
      </c>
      <c r="M576" s="16" t="s">
        <v>22</v>
      </c>
      <c r="N576" s="39"/>
    </row>
    <row r="577" spans="1:14" s="12" customFormat="1" ht="18">
      <c r="A577" s="179" t="s">
        <v>80</v>
      </c>
      <c r="B577" s="76"/>
      <c r="C577" s="42"/>
      <c r="D577" s="237"/>
      <c r="E577" s="237"/>
      <c r="F577" s="237"/>
      <c r="G577" s="237"/>
      <c r="H577" s="43"/>
      <c r="I577" s="24"/>
      <c r="J577" s="24"/>
      <c r="K577" s="25">
        <f>SUM(J202:J576)</f>
        <v>0</v>
      </c>
      <c r="L577" s="23"/>
      <c r="M577" s="23"/>
      <c r="N577" s="42"/>
    </row>
    <row r="578" spans="1:14" s="12" customFormat="1" ht="18">
      <c r="A578" s="178" t="s">
        <v>81</v>
      </c>
      <c r="B578" s="75" t="s">
        <v>207</v>
      </c>
      <c r="C578" s="39" t="s">
        <v>33</v>
      </c>
      <c r="D578" s="236"/>
      <c r="E578" s="236"/>
      <c r="F578" s="236"/>
      <c r="G578" s="236"/>
      <c r="H578" s="40">
        <f>SUM(Tabla132112416[[#This Row],[PRIMER TRIMESTRE]:[CUARTO TRIMESTRE]])</f>
        <v>0</v>
      </c>
      <c r="I578" s="17">
        <v>871.93</v>
      </c>
      <c r="J578" s="17">
        <f>+Tabla132112416[[#This Row],[CANTIDAD TOTAL]]*Tabla132112416[[#This Row],[PRECIO UNITARIO ESTIMADO]]</f>
        <v>0</v>
      </c>
      <c r="K578" s="17"/>
      <c r="L578" s="17" t="s">
        <v>18</v>
      </c>
      <c r="M578" s="16" t="s">
        <v>22</v>
      </c>
      <c r="N578" s="39" t="s">
        <v>418</v>
      </c>
    </row>
    <row r="579" spans="1:14" s="12" customFormat="1" ht="18">
      <c r="A579" s="178" t="s">
        <v>81</v>
      </c>
      <c r="B579" s="75" t="s">
        <v>1279</v>
      </c>
      <c r="C579" s="39" t="s">
        <v>33</v>
      </c>
      <c r="D579" s="236"/>
      <c r="E579" s="236"/>
      <c r="F579" s="236"/>
      <c r="G579" s="236"/>
      <c r="H579" s="40">
        <f>SUM(Tabla132112416[[#This Row],[PRIMER TRIMESTRE]:[CUARTO TRIMESTRE]])</f>
        <v>0</v>
      </c>
      <c r="I579" s="17">
        <v>871.93</v>
      </c>
      <c r="J579" s="17">
        <f t="shared" ref="J579:J585" si="14">+H579*I579</f>
        <v>0</v>
      </c>
      <c r="K579" s="17"/>
      <c r="L579" s="17" t="s">
        <v>18</v>
      </c>
      <c r="M579" s="16" t="s">
        <v>22</v>
      </c>
      <c r="N579" s="39" t="s">
        <v>418</v>
      </c>
    </row>
    <row r="580" spans="1:14" s="12" customFormat="1" ht="18">
      <c r="A580" s="178" t="s">
        <v>81</v>
      </c>
      <c r="B580" s="75" t="s">
        <v>1424</v>
      </c>
      <c r="C580" s="39" t="s">
        <v>33</v>
      </c>
      <c r="D580" s="236"/>
      <c r="E580" s="236"/>
      <c r="F580" s="236"/>
      <c r="G580" s="236"/>
      <c r="H580" s="40">
        <f>SUM(Tabla132112416[[#This Row],[PRIMER TRIMESTRE]:[CUARTO TRIMESTRE]])</f>
        <v>0</v>
      </c>
      <c r="I580" s="17">
        <v>871.93</v>
      </c>
      <c r="J580" s="17">
        <f t="shared" si="14"/>
        <v>0</v>
      </c>
      <c r="K580" s="17"/>
      <c r="L580" s="17" t="s">
        <v>18</v>
      </c>
      <c r="M580" s="16" t="s">
        <v>22</v>
      </c>
      <c r="N580" s="39" t="s">
        <v>418</v>
      </c>
    </row>
    <row r="581" spans="1:14" s="12" customFormat="1" ht="18">
      <c r="A581" s="178" t="s">
        <v>81</v>
      </c>
      <c r="B581" s="75" t="s">
        <v>1347</v>
      </c>
      <c r="C581" s="39" t="s">
        <v>33</v>
      </c>
      <c r="D581" s="236"/>
      <c r="E581" s="236"/>
      <c r="F581" s="236"/>
      <c r="G581" s="236"/>
      <c r="H581" s="40">
        <f>SUM(Tabla132112416[[#This Row],[PRIMER TRIMESTRE]:[CUARTO TRIMESTRE]])</f>
        <v>0</v>
      </c>
      <c r="I581" s="17">
        <v>767</v>
      </c>
      <c r="J581" s="17">
        <f t="shared" si="14"/>
        <v>0</v>
      </c>
      <c r="K581" s="17"/>
      <c r="L581" s="17" t="s">
        <v>18</v>
      </c>
      <c r="M581" s="16" t="s">
        <v>22</v>
      </c>
      <c r="N581" s="39" t="s">
        <v>418</v>
      </c>
    </row>
    <row r="582" spans="1:14" s="12" customFormat="1" ht="18">
      <c r="A582" s="178" t="s">
        <v>81</v>
      </c>
      <c r="B582" s="75" t="s">
        <v>1280</v>
      </c>
      <c r="C582" s="39" t="s">
        <v>33</v>
      </c>
      <c r="D582" s="236"/>
      <c r="E582" s="236"/>
      <c r="F582" s="236"/>
      <c r="G582" s="236"/>
      <c r="H582" s="40">
        <f>SUM(Tabla132112416[[#This Row],[PRIMER TRIMESTRE]:[CUARTO TRIMESTRE]])</f>
        <v>0</v>
      </c>
      <c r="I582" s="17">
        <v>871.93</v>
      </c>
      <c r="J582" s="17">
        <f t="shared" si="14"/>
        <v>0</v>
      </c>
      <c r="K582" s="17"/>
      <c r="L582" s="17" t="s">
        <v>18</v>
      </c>
      <c r="M582" s="16" t="s">
        <v>22</v>
      </c>
      <c r="N582" s="39" t="s">
        <v>418</v>
      </c>
    </row>
    <row r="583" spans="1:14" s="12" customFormat="1" ht="18">
      <c r="A583" s="178" t="s">
        <v>81</v>
      </c>
      <c r="B583" s="75" t="s">
        <v>1345</v>
      </c>
      <c r="C583" s="39" t="s">
        <v>33</v>
      </c>
      <c r="D583" s="236"/>
      <c r="E583" s="236"/>
      <c r="F583" s="236"/>
      <c r="G583" s="236"/>
      <c r="H583" s="40">
        <f>SUM(Tabla132112416[[#This Row],[PRIMER TRIMESTRE]:[CUARTO TRIMESTRE]])</f>
        <v>0</v>
      </c>
      <c r="I583" s="17">
        <v>350</v>
      </c>
      <c r="J583" s="17">
        <f t="shared" si="14"/>
        <v>0</v>
      </c>
      <c r="K583" s="17"/>
      <c r="L583" s="17" t="s">
        <v>18</v>
      </c>
      <c r="M583" s="16" t="s">
        <v>22</v>
      </c>
      <c r="N583" s="39" t="s">
        <v>418</v>
      </c>
    </row>
    <row r="584" spans="1:14" s="26" customFormat="1" ht="18">
      <c r="A584" s="178" t="s">
        <v>81</v>
      </c>
      <c r="B584" s="75" t="s">
        <v>1425</v>
      </c>
      <c r="C584" s="39" t="s">
        <v>33</v>
      </c>
      <c r="D584" s="236"/>
      <c r="E584" s="236"/>
      <c r="F584" s="236"/>
      <c r="G584" s="236"/>
      <c r="H584" s="40">
        <f>SUM(Tabla132112416[[#This Row],[PRIMER TRIMESTRE]:[CUARTO TRIMESTRE]])</f>
        <v>0</v>
      </c>
      <c r="I584" s="17">
        <v>863.54</v>
      </c>
      <c r="J584" s="17">
        <f t="shared" si="14"/>
        <v>0</v>
      </c>
      <c r="K584" s="17"/>
      <c r="L584" s="17" t="s">
        <v>18</v>
      </c>
      <c r="M584" s="16" t="s">
        <v>22</v>
      </c>
      <c r="N584" s="39" t="s">
        <v>418</v>
      </c>
    </row>
    <row r="585" spans="1:14" s="26" customFormat="1" ht="18">
      <c r="A585" s="178" t="s">
        <v>81</v>
      </c>
      <c r="B585" s="75" t="s">
        <v>1434</v>
      </c>
      <c r="C585" s="39" t="s">
        <v>33</v>
      </c>
      <c r="D585" s="236"/>
      <c r="E585" s="236"/>
      <c r="F585" s="236"/>
      <c r="G585" s="236"/>
      <c r="H585" s="40">
        <f>SUM(Tabla132112416[[#This Row],[PRIMER TRIMESTRE]:[CUARTO TRIMESTRE]])</f>
        <v>0</v>
      </c>
      <c r="I585" s="17">
        <v>1165</v>
      </c>
      <c r="J585" s="17">
        <f t="shared" si="14"/>
        <v>0</v>
      </c>
      <c r="K585" s="17"/>
      <c r="L585" s="17" t="s">
        <v>18</v>
      </c>
      <c r="M585" s="16" t="s">
        <v>22</v>
      </c>
      <c r="N585" s="39" t="s">
        <v>418</v>
      </c>
    </row>
    <row r="586" spans="1:14" s="26" customFormat="1" ht="18">
      <c r="A586" s="179" t="s">
        <v>81</v>
      </c>
      <c r="B586" s="76"/>
      <c r="C586" s="42"/>
      <c r="D586" s="237"/>
      <c r="E586" s="237"/>
      <c r="F586" s="237"/>
      <c r="G586" s="237"/>
      <c r="H586" s="43"/>
      <c r="I586" s="24"/>
      <c r="J586" s="24"/>
      <c r="K586" s="25">
        <f>SUM(J578:J585)</f>
        <v>0</v>
      </c>
      <c r="L586" s="23"/>
      <c r="M586" s="23"/>
      <c r="N586" s="42"/>
    </row>
    <row r="587" spans="1:14" s="26" customFormat="1" ht="18">
      <c r="A587" s="178" t="s">
        <v>95</v>
      </c>
      <c r="B587" s="75" t="s">
        <v>1468</v>
      </c>
      <c r="C587" s="39" t="s">
        <v>17</v>
      </c>
      <c r="D587" s="236"/>
      <c r="E587" s="236"/>
      <c r="F587" s="236"/>
      <c r="G587" s="236"/>
      <c r="H587" s="40">
        <f>SUM(Tabla132112416[[#This Row],[PRIMER TRIMESTRE]:[CUARTO TRIMESTRE]])</f>
        <v>0</v>
      </c>
      <c r="I587" s="17">
        <v>3169.99</v>
      </c>
      <c r="J587" s="17">
        <f t="shared" ref="J587:J593" si="15">+H587*I587</f>
        <v>0</v>
      </c>
      <c r="K587" s="17"/>
      <c r="L587" s="16" t="s">
        <v>18</v>
      </c>
      <c r="M587" s="16" t="s">
        <v>22</v>
      </c>
      <c r="N587" s="39" t="s">
        <v>418</v>
      </c>
    </row>
    <row r="588" spans="1:14" s="26" customFormat="1" ht="18">
      <c r="A588" s="178" t="s">
        <v>95</v>
      </c>
      <c r="B588" s="75" t="s">
        <v>1469</v>
      </c>
      <c r="C588" s="39" t="s">
        <v>17</v>
      </c>
      <c r="D588" s="236"/>
      <c r="E588" s="236"/>
      <c r="F588" s="236"/>
      <c r="G588" s="236"/>
      <c r="H588" s="40">
        <f>SUM(Tabla132112416[[#This Row],[PRIMER TRIMESTRE]:[CUARTO TRIMESTRE]])</f>
        <v>0</v>
      </c>
      <c r="I588" s="17">
        <v>4920</v>
      </c>
      <c r="J588" s="17">
        <f t="shared" si="15"/>
        <v>0</v>
      </c>
      <c r="K588" s="17"/>
      <c r="L588" s="16" t="s">
        <v>18</v>
      </c>
      <c r="M588" s="16" t="s">
        <v>22</v>
      </c>
      <c r="N588" s="178"/>
    </row>
    <row r="589" spans="1:14" s="12" customFormat="1" ht="18">
      <c r="A589" s="178" t="s">
        <v>95</v>
      </c>
      <c r="B589" s="75" t="s">
        <v>1470</v>
      </c>
      <c r="C589" s="39" t="s">
        <v>17</v>
      </c>
      <c r="D589" s="236"/>
      <c r="E589" s="236"/>
      <c r="F589" s="236"/>
      <c r="G589" s="236"/>
      <c r="H589" s="40">
        <f>SUM(Tabla132112416[[#This Row],[PRIMER TRIMESTRE]:[CUARTO TRIMESTRE]])</f>
        <v>0</v>
      </c>
      <c r="I589" s="17">
        <v>1521</v>
      </c>
      <c r="J589" s="17">
        <f t="shared" si="15"/>
        <v>0</v>
      </c>
      <c r="K589" s="17"/>
      <c r="L589" s="16" t="s">
        <v>18</v>
      </c>
      <c r="M589" s="16" t="s">
        <v>22</v>
      </c>
      <c r="N589" s="39" t="s">
        <v>418</v>
      </c>
    </row>
    <row r="590" spans="1:14" s="12" customFormat="1" ht="18">
      <c r="A590" s="178" t="s">
        <v>95</v>
      </c>
      <c r="B590" s="75" t="s">
        <v>1471</v>
      </c>
      <c r="C590" s="39" t="s">
        <v>17</v>
      </c>
      <c r="D590" s="236"/>
      <c r="E590" s="236"/>
      <c r="F590" s="236"/>
      <c r="G590" s="236"/>
      <c r="H590" s="40">
        <f>SUM(Tabla132112416[[#This Row],[PRIMER TRIMESTRE]:[CUARTO TRIMESTRE]])</f>
        <v>0</v>
      </c>
      <c r="I590" s="17">
        <v>2028</v>
      </c>
      <c r="J590" s="17">
        <f t="shared" si="15"/>
        <v>0</v>
      </c>
      <c r="K590" s="17"/>
      <c r="L590" s="16" t="s">
        <v>18</v>
      </c>
      <c r="M590" s="16" t="s">
        <v>22</v>
      </c>
      <c r="N590" s="39" t="s">
        <v>418</v>
      </c>
    </row>
    <row r="591" spans="1:14" s="12" customFormat="1" ht="25.5">
      <c r="A591" s="178" t="s">
        <v>95</v>
      </c>
      <c r="B591" s="75" t="str">
        <f ca="1">+UPPER(Tabla132112416[[#This Row],[DESCRIPCIÓN DE LA COMPRA O CONTRATACIÓN]])</f>
        <v>LÁMPARA FLUORESCENTE, DE 2 X 4 PIES, 32 WATTS, COMPLETA</v>
      </c>
      <c r="C591" s="39" t="s">
        <v>17</v>
      </c>
      <c r="D591" s="236"/>
      <c r="E591" s="236"/>
      <c r="F591" s="236"/>
      <c r="G591" s="236"/>
      <c r="H591" s="40">
        <f>SUM(Tabla132112416[[#This Row],[PRIMER TRIMESTRE]:[CUARTO TRIMESTRE]])</f>
        <v>0</v>
      </c>
      <c r="I591" s="17">
        <v>63.44</v>
      </c>
      <c r="J591" s="17">
        <f t="shared" si="15"/>
        <v>0</v>
      </c>
      <c r="K591" s="17"/>
      <c r="L591" s="16" t="s">
        <v>15</v>
      </c>
      <c r="M591" s="16" t="s">
        <v>22</v>
      </c>
      <c r="N591" s="39"/>
    </row>
    <row r="592" spans="1:14" s="12" customFormat="1" ht="18">
      <c r="A592" s="178" t="s">
        <v>95</v>
      </c>
      <c r="B592" s="75" t="s">
        <v>1539</v>
      </c>
      <c r="C592" s="39" t="s">
        <v>17</v>
      </c>
      <c r="D592" s="236"/>
      <c r="E592" s="236"/>
      <c r="F592" s="236"/>
      <c r="G592" s="236"/>
      <c r="H592" s="40">
        <f>SUM(Tabla132112416[[#This Row],[PRIMER TRIMESTRE]:[CUARTO TRIMESTRE]])</f>
        <v>0</v>
      </c>
      <c r="I592" s="17">
        <v>45</v>
      </c>
      <c r="J592" s="17">
        <f t="shared" si="15"/>
        <v>0</v>
      </c>
      <c r="K592" s="17"/>
      <c r="L592" s="16" t="s">
        <v>18</v>
      </c>
      <c r="M592" s="16" t="s">
        <v>22</v>
      </c>
      <c r="N592" s="39" t="s">
        <v>418</v>
      </c>
    </row>
    <row r="593" spans="1:14" s="12" customFormat="1" ht="18">
      <c r="A593" s="178" t="s">
        <v>95</v>
      </c>
      <c r="B593" s="75" t="s">
        <v>1540</v>
      </c>
      <c r="C593" s="39" t="s">
        <v>17</v>
      </c>
      <c r="D593" s="236"/>
      <c r="E593" s="236"/>
      <c r="F593" s="236"/>
      <c r="G593" s="236"/>
      <c r="H593" s="40">
        <f>SUM(Tabla132112416[[#This Row],[PRIMER TRIMESTRE]:[CUARTO TRIMESTRE]])</f>
        <v>0</v>
      </c>
      <c r="I593" s="17">
        <v>45</v>
      </c>
      <c r="J593" s="17">
        <f t="shared" si="15"/>
        <v>0</v>
      </c>
      <c r="K593" s="17"/>
      <c r="L593" s="16" t="s">
        <v>18</v>
      </c>
      <c r="M593" s="16" t="s">
        <v>22</v>
      </c>
      <c r="N593" s="39" t="s">
        <v>418</v>
      </c>
    </row>
    <row r="594" spans="1:14" s="12" customFormat="1" ht="18">
      <c r="A594" s="178" t="s">
        <v>95</v>
      </c>
      <c r="B594" s="75" t="s">
        <v>209</v>
      </c>
      <c r="C594" s="39" t="s">
        <v>17</v>
      </c>
      <c r="D594" s="236"/>
      <c r="E594" s="236"/>
      <c r="F594" s="236"/>
      <c r="G594" s="236"/>
      <c r="H594" s="40">
        <f>SUM(Tabla132112416[[#This Row],[PRIMER TRIMESTRE]:[CUARTO TRIMESTRE]])</f>
        <v>0</v>
      </c>
      <c r="I594" s="17">
        <v>1417.52</v>
      </c>
      <c r="J594" s="17">
        <f>+Tabla132112416[[#This Row],[CANTIDAD TOTAL]]*Tabla132112416[[#This Row],[PRECIO UNITARIO ESTIMADO]]</f>
        <v>0</v>
      </c>
      <c r="K594" s="17"/>
      <c r="L594" s="16" t="s">
        <v>27</v>
      </c>
      <c r="M594" s="16" t="s">
        <v>22</v>
      </c>
      <c r="N594" s="39"/>
    </row>
    <row r="595" spans="1:14" s="12" customFormat="1" ht="18">
      <c r="A595" s="178" t="s">
        <v>95</v>
      </c>
      <c r="B595" s="75" t="s">
        <v>1467</v>
      </c>
      <c r="C595" s="39" t="s">
        <v>17</v>
      </c>
      <c r="D595" s="236"/>
      <c r="E595" s="236"/>
      <c r="F595" s="236"/>
      <c r="G595" s="236"/>
      <c r="H595" s="236">
        <f>SUM(Tabla132112416[[#This Row],[PRIMER TRIMESTRE]:[CUARTO TRIMESTRE]])</f>
        <v>0</v>
      </c>
      <c r="I595" s="17">
        <v>5268.24</v>
      </c>
      <c r="J595" s="17">
        <f t="shared" ref="J595:J604" si="16">+H595*I595</f>
        <v>0</v>
      </c>
      <c r="K595" s="17"/>
      <c r="L595" s="16" t="s">
        <v>18</v>
      </c>
      <c r="M595" s="16" t="s">
        <v>22</v>
      </c>
      <c r="N595" s="39" t="s">
        <v>418</v>
      </c>
    </row>
    <row r="596" spans="1:14" s="12" customFormat="1" ht="25.5">
      <c r="A596" s="178" t="s">
        <v>95</v>
      </c>
      <c r="B596" s="77" t="s">
        <v>881</v>
      </c>
      <c r="C596" s="39" t="s">
        <v>17</v>
      </c>
      <c r="D596" s="236"/>
      <c r="E596" s="236"/>
      <c r="F596" s="236"/>
      <c r="G596" s="236"/>
      <c r="H596" s="40">
        <f>SUM(Tabla132112416[[#This Row],[PRIMER TRIMESTRE]:[CUARTO TRIMESTRE]])</f>
        <v>0</v>
      </c>
      <c r="I596" s="17">
        <v>877.77</v>
      </c>
      <c r="J596" s="17">
        <f t="shared" si="16"/>
        <v>0</v>
      </c>
      <c r="K596" s="17"/>
      <c r="L596" s="16" t="s">
        <v>15</v>
      </c>
      <c r="M596" s="16" t="s">
        <v>22</v>
      </c>
      <c r="N596" s="39"/>
    </row>
    <row r="597" spans="1:14" s="12" customFormat="1" ht="25.5">
      <c r="A597" s="178" t="s">
        <v>95</v>
      </c>
      <c r="B597" s="77" t="s">
        <v>1624</v>
      </c>
      <c r="C597" s="39" t="s">
        <v>17</v>
      </c>
      <c r="D597" s="236"/>
      <c r="E597" s="236"/>
      <c r="F597" s="236"/>
      <c r="G597" s="236"/>
      <c r="H597" s="236">
        <f>SUM(Tabla132112416[[#This Row],[PRIMER TRIMESTRE]:[CUARTO TRIMESTRE]])</f>
        <v>0</v>
      </c>
      <c r="I597" s="17">
        <v>4800</v>
      </c>
      <c r="J597" s="17">
        <f t="shared" si="16"/>
        <v>0</v>
      </c>
      <c r="K597" s="17"/>
      <c r="L597" s="16" t="s">
        <v>18</v>
      </c>
      <c r="M597" s="16" t="s">
        <v>22</v>
      </c>
      <c r="N597" s="39"/>
    </row>
    <row r="598" spans="1:14" s="12" customFormat="1" ht="25.5">
      <c r="A598" s="178" t="s">
        <v>95</v>
      </c>
      <c r="B598" s="77" t="s">
        <v>1593</v>
      </c>
      <c r="C598" s="39" t="s">
        <v>17</v>
      </c>
      <c r="D598" s="236"/>
      <c r="E598" s="236"/>
      <c r="F598" s="236"/>
      <c r="G598" s="236"/>
      <c r="H598" s="236">
        <f>SUM(Tabla132112416[[#This Row],[PRIMER TRIMESTRE]:[CUARTO TRIMESTRE]])</f>
        <v>0</v>
      </c>
      <c r="I598" s="17">
        <v>1980</v>
      </c>
      <c r="J598" s="17">
        <f t="shared" si="16"/>
        <v>0</v>
      </c>
      <c r="K598" s="17"/>
      <c r="L598" s="16" t="s">
        <v>18</v>
      </c>
      <c r="M598" s="16" t="s">
        <v>22</v>
      </c>
      <c r="N598" s="39"/>
    </row>
    <row r="599" spans="1:14" s="12" customFormat="1" ht="18">
      <c r="A599" s="178" t="s">
        <v>95</v>
      </c>
      <c r="B599" s="77" t="s">
        <v>1544</v>
      </c>
      <c r="C599" s="39" t="s">
        <v>17</v>
      </c>
      <c r="D599" s="236"/>
      <c r="E599" s="236"/>
      <c r="F599" s="236"/>
      <c r="G599" s="236"/>
      <c r="H599" s="236">
        <f>SUM(Tabla132112416[[#This Row],[PRIMER TRIMESTRE]:[CUARTO TRIMESTRE]])</f>
        <v>0</v>
      </c>
      <c r="I599" s="17">
        <v>68</v>
      </c>
      <c r="J599" s="17">
        <f t="shared" si="16"/>
        <v>0</v>
      </c>
      <c r="K599" s="17"/>
      <c r="L599" s="16" t="s">
        <v>18</v>
      </c>
      <c r="M599" s="16" t="s">
        <v>22</v>
      </c>
      <c r="N599" s="39"/>
    </row>
    <row r="600" spans="1:14" s="12" customFormat="1" ht="18">
      <c r="A600" s="178" t="s">
        <v>95</v>
      </c>
      <c r="B600" s="77" t="s">
        <v>1543</v>
      </c>
      <c r="C600" s="39" t="s">
        <v>17</v>
      </c>
      <c r="D600" s="236"/>
      <c r="E600" s="236"/>
      <c r="F600" s="236"/>
      <c r="G600" s="236"/>
      <c r="H600" s="236">
        <f>SUM(Tabla132112416[[#This Row],[PRIMER TRIMESTRE]:[CUARTO TRIMESTRE]])</f>
        <v>0</v>
      </c>
      <c r="I600" s="17">
        <v>161.28</v>
      </c>
      <c r="J600" s="17">
        <f t="shared" si="16"/>
        <v>0</v>
      </c>
      <c r="K600" s="17"/>
      <c r="L600" s="16" t="s">
        <v>18</v>
      </c>
      <c r="M600" s="16" t="s">
        <v>22</v>
      </c>
      <c r="N600" s="39"/>
    </row>
    <row r="601" spans="1:14" s="12" customFormat="1" ht="18">
      <c r="A601" s="178" t="s">
        <v>95</v>
      </c>
      <c r="B601" s="77" t="s">
        <v>1625</v>
      </c>
      <c r="C601" s="39" t="s">
        <v>17</v>
      </c>
      <c r="D601" s="236"/>
      <c r="E601" s="236"/>
      <c r="F601" s="236"/>
      <c r="G601" s="236"/>
      <c r="H601" s="236">
        <f>SUM(Tabla132112416[[#This Row],[PRIMER TRIMESTRE]:[CUARTO TRIMESTRE]])</f>
        <v>0</v>
      </c>
      <c r="I601" s="17">
        <v>400</v>
      </c>
      <c r="J601" s="17">
        <f t="shared" si="16"/>
        <v>0</v>
      </c>
      <c r="K601" s="17"/>
      <c r="L601" s="16" t="s">
        <v>18</v>
      </c>
      <c r="M601" s="16" t="s">
        <v>22</v>
      </c>
      <c r="N601" s="39"/>
    </row>
    <row r="602" spans="1:14" s="12" customFormat="1" ht="18">
      <c r="A602" s="178" t="s">
        <v>95</v>
      </c>
      <c r="B602" s="77" t="s">
        <v>1542</v>
      </c>
      <c r="C602" s="39" t="s">
        <v>17</v>
      </c>
      <c r="D602" s="236"/>
      <c r="E602" s="236"/>
      <c r="F602" s="236"/>
      <c r="G602" s="236"/>
      <c r="H602" s="236">
        <f>SUM(Tabla132112416[[#This Row],[PRIMER TRIMESTRE]:[CUARTO TRIMESTRE]])</f>
        <v>0</v>
      </c>
      <c r="I602" s="17">
        <v>40</v>
      </c>
      <c r="J602" s="17">
        <f t="shared" si="16"/>
        <v>0</v>
      </c>
      <c r="K602" s="17"/>
      <c r="L602" s="16" t="s">
        <v>18</v>
      </c>
      <c r="M602" s="16" t="s">
        <v>22</v>
      </c>
      <c r="N602" s="39"/>
    </row>
    <row r="603" spans="1:14" s="26" customFormat="1" ht="18">
      <c r="A603" s="178" t="s">
        <v>95</v>
      </c>
      <c r="B603" s="77" t="s">
        <v>1541</v>
      </c>
      <c r="C603" s="39" t="s">
        <v>17</v>
      </c>
      <c r="D603" s="236"/>
      <c r="E603" s="236"/>
      <c r="F603" s="236"/>
      <c r="G603" s="236"/>
      <c r="H603" s="236">
        <f>SUM(Tabla132112416[[#This Row],[PRIMER TRIMESTRE]:[CUARTO TRIMESTRE]])</f>
        <v>0</v>
      </c>
      <c r="I603" s="17">
        <v>170</v>
      </c>
      <c r="J603" s="17">
        <f t="shared" si="16"/>
        <v>0</v>
      </c>
      <c r="K603" s="17"/>
      <c r="L603" s="16" t="s">
        <v>18</v>
      </c>
      <c r="M603" s="16" t="s">
        <v>22</v>
      </c>
      <c r="N603" s="39"/>
    </row>
    <row r="604" spans="1:14" s="12" customFormat="1" ht="25.5">
      <c r="A604" s="178" t="s">
        <v>95</v>
      </c>
      <c r="B604" s="77" t="s">
        <v>1472</v>
      </c>
      <c r="C604" s="39" t="s">
        <v>17</v>
      </c>
      <c r="D604" s="236"/>
      <c r="E604" s="236"/>
      <c r="F604" s="236"/>
      <c r="G604" s="236"/>
      <c r="H604" s="236">
        <f>SUM(Tabla132112416[[#This Row],[PRIMER TRIMESTRE]:[CUARTO TRIMESTRE]])</f>
        <v>0</v>
      </c>
      <c r="I604" s="17">
        <v>28982</v>
      </c>
      <c r="J604" s="17">
        <f t="shared" si="16"/>
        <v>0</v>
      </c>
      <c r="K604" s="17"/>
      <c r="L604" s="16" t="s">
        <v>18</v>
      </c>
      <c r="M604" s="16" t="s">
        <v>22</v>
      </c>
      <c r="N604" s="39"/>
    </row>
    <row r="605" spans="1:14" s="12" customFormat="1" ht="31.5">
      <c r="A605" s="179" t="s">
        <v>95</v>
      </c>
      <c r="B605" s="76"/>
      <c r="C605" s="42"/>
      <c r="D605" s="237"/>
      <c r="E605" s="237"/>
      <c r="F605" s="237"/>
      <c r="G605" s="237"/>
      <c r="H605" s="43"/>
      <c r="I605" s="24"/>
      <c r="J605" s="24"/>
      <c r="K605" s="25">
        <f>SUM(J587:J604)</f>
        <v>0</v>
      </c>
      <c r="L605" s="23"/>
      <c r="M605" s="23"/>
      <c r="N605" s="42"/>
    </row>
    <row r="606" spans="1:14" s="12" customFormat="1" ht="30">
      <c r="A606" s="178" t="s">
        <v>96</v>
      </c>
      <c r="B606" s="75" t="str">
        <f ca="1">+UPPER(Tabla132112416[[#This Row],[DESCRIPCIÓN DE LA COMPRA O CONTRATACIÓN]])</f>
        <v>CUT-OUTS 15 KV 200 AMPERES</v>
      </c>
      <c r="C606" s="39" t="s">
        <v>17</v>
      </c>
      <c r="D606" s="236"/>
      <c r="E606" s="236"/>
      <c r="F606" s="236"/>
      <c r="G606" s="236"/>
      <c r="H606" s="40">
        <f>SUM(Tabla132112416[[#This Row],[PRIMER TRIMESTRE]:[CUARTO TRIMESTRE]])</f>
        <v>0</v>
      </c>
      <c r="I606" s="17">
        <v>6486.1</v>
      </c>
      <c r="J606" s="17">
        <f t="shared" ref="J606:J613" si="17">+H606*I606</f>
        <v>0</v>
      </c>
      <c r="K606" s="17"/>
      <c r="L606" s="16" t="s">
        <v>18</v>
      </c>
      <c r="M606" s="16" t="s">
        <v>22</v>
      </c>
      <c r="N606" s="39"/>
    </row>
    <row r="607" spans="1:14" s="12" customFormat="1" ht="30">
      <c r="A607" s="178" t="s">
        <v>96</v>
      </c>
      <c r="B607" s="75" t="str">
        <f ca="1">+UPPER(Tabla132112416[[#This Row],[DESCRIPCIÓN DE LA COMPRA O CONTRATACIÓN]])</f>
        <v>CUT-OUTS 15 KV 100 AMPERES</v>
      </c>
      <c r="C607" s="39" t="s">
        <v>17</v>
      </c>
      <c r="D607" s="236"/>
      <c r="E607" s="236"/>
      <c r="F607" s="236"/>
      <c r="G607" s="236"/>
      <c r="H607" s="40">
        <f>SUM(Tabla132112416[[#This Row],[PRIMER TRIMESTRE]:[CUARTO TRIMESTRE]])</f>
        <v>0</v>
      </c>
      <c r="I607" s="17">
        <v>4877.16</v>
      </c>
      <c r="J607" s="17">
        <f t="shared" si="17"/>
        <v>0</v>
      </c>
      <c r="K607" s="17"/>
      <c r="L607" s="16" t="s">
        <v>18</v>
      </c>
      <c r="M607" s="16" t="s">
        <v>22</v>
      </c>
      <c r="N607" s="39"/>
    </row>
    <row r="608" spans="1:14" s="12" customFormat="1" ht="30">
      <c r="A608" s="178" t="s">
        <v>96</v>
      </c>
      <c r="B608" s="75" t="str">
        <f ca="1">+UPPER(Tabla132112416[[#This Row],[DESCRIPCIÓN DE LA COMPRA O CONTRATACIÓN]])</f>
        <v>APARTARRAYOS DE 9KV</v>
      </c>
      <c r="C608" s="39" t="s">
        <v>17</v>
      </c>
      <c r="D608" s="236"/>
      <c r="E608" s="236"/>
      <c r="F608" s="236"/>
      <c r="G608" s="236"/>
      <c r="H608" s="40">
        <f>SUM(Tabla132112416[[#This Row],[PRIMER TRIMESTRE]:[CUARTO TRIMESTRE]])</f>
        <v>0</v>
      </c>
      <c r="I608" s="17">
        <v>2726</v>
      </c>
      <c r="J608" s="17">
        <f t="shared" si="17"/>
        <v>0</v>
      </c>
      <c r="K608" s="17"/>
      <c r="L608" s="16" t="s">
        <v>18</v>
      </c>
      <c r="M608" s="16" t="s">
        <v>22</v>
      </c>
      <c r="N608" s="39"/>
    </row>
    <row r="609" spans="1:14" s="12" customFormat="1" ht="30">
      <c r="A609" s="178" t="s">
        <v>96</v>
      </c>
      <c r="B609" s="75" t="s">
        <v>1217</v>
      </c>
      <c r="C609" s="39" t="s">
        <v>17</v>
      </c>
      <c r="D609" s="236"/>
      <c r="E609" s="236"/>
      <c r="F609" s="236"/>
      <c r="G609" s="236"/>
      <c r="H609" s="40">
        <f>SUM(Tabla132112416[[#This Row],[PRIMER TRIMESTRE]:[CUARTO TRIMESTRE]])</f>
        <v>0</v>
      </c>
      <c r="I609" s="17">
        <v>2438.11</v>
      </c>
      <c r="J609" s="17">
        <f t="shared" si="17"/>
        <v>0</v>
      </c>
      <c r="K609" s="17"/>
      <c r="L609" s="16" t="s">
        <v>18</v>
      </c>
      <c r="M609" s="16" t="s">
        <v>22</v>
      </c>
      <c r="N609" s="39"/>
    </row>
    <row r="610" spans="1:14" s="12" customFormat="1" ht="30">
      <c r="A610" s="178" t="s">
        <v>96</v>
      </c>
      <c r="B610" s="75" t="str">
        <f ca="1">+UPPER(Tabla132112416[[#This Row],[DESCRIPCIÓN DE LA COMPRA O CONTRATACIÓN]])</f>
        <v>APARTARRAYOS DE 220V, SECUNDARIO</v>
      </c>
      <c r="C610" s="39" t="s">
        <v>17</v>
      </c>
      <c r="D610" s="236"/>
      <c r="E610" s="236"/>
      <c r="F610" s="236"/>
      <c r="G610" s="236"/>
      <c r="H610" s="40">
        <f>SUM(Tabla132112416[[#This Row],[PRIMER TRIMESTRE]:[CUARTO TRIMESTRE]])</f>
        <v>0</v>
      </c>
      <c r="I610" s="17">
        <v>6840</v>
      </c>
      <c r="J610" s="17">
        <f t="shared" si="17"/>
        <v>0</v>
      </c>
      <c r="K610" s="17"/>
      <c r="L610" s="16" t="s">
        <v>18</v>
      </c>
      <c r="M610" s="16" t="s">
        <v>22</v>
      </c>
      <c r="N610" s="39"/>
    </row>
    <row r="611" spans="1:14" s="12" customFormat="1" ht="30">
      <c r="A611" s="178" t="s">
        <v>96</v>
      </c>
      <c r="B611" s="75" t="str">
        <f ca="1">+UPPER(Tabla132112416[[#This Row],[DESCRIPCIÓN DE LA COMPRA O CONTRATACIÓN]])</f>
        <v>APARTARRAYOS DE 480V, SECUNDARIO</v>
      </c>
      <c r="C611" s="39" t="s">
        <v>17</v>
      </c>
      <c r="D611" s="236"/>
      <c r="E611" s="236"/>
      <c r="F611" s="236"/>
      <c r="G611" s="236"/>
      <c r="H611" s="40">
        <f>SUM(Tabla132112416[[#This Row],[PRIMER TRIMESTRE]:[CUARTO TRIMESTRE]])</f>
        <v>0</v>
      </c>
      <c r="I611" s="72">
        <v>6900</v>
      </c>
      <c r="J611" s="17">
        <f t="shared" si="17"/>
        <v>0</v>
      </c>
      <c r="K611" s="17"/>
      <c r="L611" s="16" t="s">
        <v>18</v>
      </c>
      <c r="M611" s="16" t="s">
        <v>22</v>
      </c>
      <c r="N611" s="39"/>
    </row>
    <row r="612" spans="1:14" s="12" customFormat="1" ht="30">
      <c r="A612" s="178" t="s">
        <v>96</v>
      </c>
      <c r="B612" s="75" t="s">
        <v>1679</v>
      </c>
      <c r="C612" s="39" t="s">
        <v>17</v>
      </c>
      <c r="D612" s="236"/>
      <c r="E612" s="236"/>
      <c r="F612" s="236"/>
      <c r="G612" s="236"/>
      <c r="H612" s="40">
        <v>0</v>
      </c>
      <c r="I612" s="72">
        <v>0</v>
      </c>
      <c r="J612" s="17">
        <v>0</v>
      </c>
      <c r="K612" s="17"/>
      <c r="L612" s="16" t="s">
        <v>18</v>
      </c>
      <c r="M612" s="16" t="s">
        <v>22</v>
      </c>
      <c r="N612" s="39"/>
    </row>
    <row r="613" spans="1:14" s="12" customFormat="1" ht="30">
      <c r="A613" s="178" t="s">
        <v>96</v>
      </c>
      <c r="B613" s="75" t="s">
        <v>1597</v>
      </c>
      <c r="C613" s="39" t="s">
        <v>17</v>
      </c>
      <c r="D613" s="236"/>
      <c r="E613" s="236"/>
      <c r="F613" s="236"/>
      <c r="G613" s="236"/>
      <c r="H613" s="236">
        <f>SUM(Tabla132112416[[#This Row],[PRIMER TRIMESTRE]:[CUARTO TRIMESTRE]])</f>
        <v>0</v>
      </c>
      <c r="I613" s="72">
        <v>101.53</v>
      </c>
      <c r="J613" s="17">
        <f t="shared" si="17"/>
        <v>0</v>
      </c>
      <c r="K613" s="17"/>
      <c r="L613" s="16" t="s">
        <v>18</v>
      </c>
      <c r="M613" s="16" t="s">
        <v>22</v>
      </c>
      <c r="N613" s="39"/>
    </row>
    <row r="614" spans="1:14" s="12" customFormat="1" ht="30">
      <c r="A614" s="178" t="s">
        <v>96</v>
      </c>
      <c r="B614" s="75" t="s">
        <v>777</v>
      </c>
      <c r="C614" s="39" t="s">
        <v>17</v>
      </c>
      <c r="D614" s="236"/>
      <c r="E614" s="236"/>
      <c r="F614" s="236"/>
      <c r="G614" s="236"/>
      <c r="H614" s="236">
        <f>SUM(Tabla132112416[[#This Row],[PRIMER TRIMESTRE]:[CUARTO TRIMESTRE]])</f>
        <v>0</v>
      </c>
      <c r="I614" s="72">
        <v>13750</v>
      </c>
      <c r="J614" s="17">
        <f>+Tabla132112416[[#This Row],[CANTIDAD TOTAL]]*Tabla132112416[[#This Row],[PRECIO UNITARIO ESTIMADO]]</f>
        <v>0</v>
      </c>
      <c r="K614" s="17"/>
      <c r="L614" s="16" t="s">
        <v>18</v>
      </c>
      <c r="M614" s="16" t="s">
        <v>22</v>
      </c>
      <c r="N614" s="39" t="s">
        <v>418</v>
      </c>
    </row>
    <row r="615" spans="1:14" s="12" customFormat="1" ht="30">
      <c r="A615" s="178" t="s">
        <v>96</v>
      </c>
      <c r="B615" s="75" t="s">
        <v>1599</v>
      </c>
      <c r="C615" s="39" t="s">
        <v>17</v>
      </c>
      <c r="D615" s="236"/>
      <c r="E615" s="236"/>
      <c r="F615" s="236"/>
      <c r="G615" s="236"/>
      <c r="H615" s="236">
        <f>SUM(Tabla132112416[[#This Row],[PRIMER TRIMESTRE]:[CUARTO TRIMESTRE]])</f>
        <v>0</v>
      </c>
      <c r="I615" s="72">
        <v>110</v>
      </c>
      <c r="J615" s="17">
        <f>+H615*I615</f>
        <v>0</v>
      </c>
      <c r="K615" s="17"/>
      <c r="L615" s="16" t="s">
        <v>18</v>
      </c>
      <c r="M615" s="16" t="s">
        <v>22</v>
      </c>
      <c r="N615" s="39"/>
    </row>
    <row r="616" spans="1:14" s="12" customFormat="1" ht="30">
      <c r="A616" s="178" t="s">
        <v>96</v>
      </c>
      <c r="B616" s="75" t="s">
        <v>1600</v>
      </c>
      <c r="C616" s="39" t="s">
        <v>17</v>
      </c>
      <c r="D616" s="236"/>
      <c r="E616" s="236"/>
      <c r="F616" s="236"/>
      <c r="G616" s="236"/>
      <c r="H616" s="236">
        <f>SUM(Tabla132112416[[#This Row],[PRIMER TRIMESTRE]:[CUARTO TRIMESTRE]])</f>
        <v>0</v>
      </c>
      <c r="I616" s="72">
        <v>40</v>
      </c>
      <c r="J616" s="17">
        <f>+H616*I616</f>
        <v>0</v>
      </c>
      <c r="K616" s="17"/>
      <c r="L616" s="16" t="s">
        <v>18</v>
      </c>
      <c r="M616" s="16" t="s">
        <v>22</v>
      </c>
      <c r="N616" s="39"/>
    </row>
    <row r="617" spans="1:14" s="12" customFormat="1" ht="30">
      <c r="A617" s="178" t="s">
        <v>96</v>
      </c>
      <c r="B617" s="75" t="s">
        <v>1598</v>
      </c>
      <c r="C617" s="39" t="s">
        <v>17</v>
      </c>
      <c r="D617" s="236"/>
      <c r="E617" s="236"/>
      <c r="F617" s="236"/>
      <c r="G617" s="236"/>
      <c r="H617" s="236">
        <f>SUM(Tabla132112416[[#This Row],[PRIMER TRIMESTRE]:[CUARTO TRIMESTRE]])</f>
        <v>0</v>
      </c>
      <c r="I617" s="72">
        <v>90</v>
      </c>
      <c r="J617" s="17">
        <f>+H617*I617</f>
        <v>0</v>
      </c>
      <c r="K617" s="17"/>
      <c r="L617" s="16" t="s">
        <v>18</v>
      </c>
      <c r="M617" s="16" t="s">
        <v>22</v>
      </c>
      <c r="N617" s="39"/>
    </row>
    <row r="618" spans="1:14" s="12" customFormat="1" ht="30">
      <c r="A618" s="178" t="s">
        <v>96</v>
      </c>
      <c r="B618" s="75" t="s">
        <v>210</v>
      </c>
      <c r="C618" s="39" t="s">
        <v>17</v>
      </c>
      <c r="D618" s="236"/>
      <c r="E618" s="236"/>
      <c r="F618" s="236"/>
      <c r="G618" s="236"/>
      <c r="H618" s="236">
        <f>SUM(Tabla132112416[[#This Row],[PRIMER TRIMESTRE]:[CUARTO TRIMESTRE]])</f>
        <v>0</v>
      </c>
      <c r="I618" s="72">
        <v>13750</v>
      </c>
      <c r="J618" s="17">
        <f>+Tabla132112416[[#This Row],[CANTIDAD TOTAL]]*Tabla132112416[[#This Row],[PRECIO UNITARIO ESTIMADO]]</f>
        <v>0</v>
      </c>
      <c r="K618" s="17"/>
      <c r="L618" s="16" t="s">
        <v>18</v>
      </c>
      <c r="M618" s="16" t="s">
        <v>22</v>
      </c>
      <c r="N618" s="39" t="s">
        <v>418</v>
      </c>
    </row>
    <row r="619" spans="1:14" s="12" customFormat="1" ht="30">
      <c r="A619" s="178" t="s">
        <v>96</v>
      </c>
      <c r="B619" s="75" t="s">
        <v>1594</v>
      </c>
      <c r="C619" s="39" t="s">
        <v>17</v>
      </c>
      <c r="D619" s="236"/>
      <c r="E619" s="236"/>
      <c r="F619" s="236"/>
      <c r="G619" s="236"/>
      <c r="H619" s="236">
        <f>SUM(Tabla132112416[[#This Row],[PRIMER TRIMESTRE]:[CUARTO TRIMESTRE]])</f>
        <v>0</v>
      </c>
      <c r="I619" s="72">
        <v>95</v>
      </c>
      <c r="J619" s="17">
        <f>+H619*I619</f>
        <v>0</v>
      </c>
      <c r="K619" s="17"/>
      <c r="L619" s="16" t="s">
        <v>18</v>
      </c>
      <c r="M619" s="16" t="s">
        <v>22</v>
      </c>
      <c r="N619" s="39"/>
    </row>
    <row r="620" spans="1:14" s="12" customFormat="1" ht="30">
      <c r="A620" s="178" t="s">
        <v>96</v>
      </c>
      <c r="B620" s="75" t="s">
        <v>1596</v>
      </c>
      <c r="C620" s="39" t="s">
        <v>17</v>
      </c>
      <c r="D620" s="236"/>
      <c r="E620" s="236"/>
      <c r="F620" s="236"/>
      <c r="G620" s="236"/>
      <c r="H620" s="236">
        <f>SUM(Tabla132112416[[#This Row],[PRIMER TRIMESTRE]:[CUARTO TRIMESTRE]])</f>
        <v>0</v>
      </c>
      <c r="I620" s="72">
        <v>95</v>
      </c>
      <c r="J620" s="17">
        <f>+H620*I620</f>
        <v>0</v>
      </c>
      <c r="K620" s="17"/>
      <c r="L620" s="16" t="s">
        <v>18</v>
      </c>
      <c r="M620" s="16" t="s">
        <v>22</v>
      </c>
      <c r="N620" s="39"/>
    </row>
    <row r="621" spans="1:14" s="12" customFormat="1" ht="30">
      <c r="A621" s="178" t="s">
        <v>96</v>
      </c>
      <c r="B621" s="75" t="s">
        <v>211</v>
      </c>
      <c r="C621" s="39" t="s">
        <v>17</v>
      </c>
      <c r="D621" s="236"/>
      <c r="E621" s="236"/>
      <c r="F621" s="236"/>
      <c r="G621" s="236"/>
      <c r="H621" s="40">
        <f>SUM(Tabla132112416[[#This Row],[PRIMER TRIMESTRE]:[CUARTO TRIMESTRE]])</f>
        <v>0</v>
      </c>
      <c r="I621" s="17">
        <v>191</v>
      </c>
      <c r="J621" s="17">
        <f>+Tabla132112416[[#This Row],[CANTIDAD TOTAL]]*Tabla132112416[[#This Row],[PRECIO UNITARIO ESTIMADO]]</f>
        <v>0</v>
      </c>
      <c r="K621" s="17"/>
      <c r="L621" s="16" t="s">
        <v>18</v>
      </c>
      <c r="M621" s="16" t="s">
        <v>22</v>
      </c>
      <c r="N621" s="39" t="s">
        <v>418</v>
      </c>
    </row>
    <row r="622" spans="1:14" s="12" customFormat="1" ht="30">
      <c r="A622" s="178" t="s">
        <v>96</v>
      </c>
      <c r="B622" s="75" t="s">
        <v>772</v>
      </c>
      <c r="C622" s="39" t="s">
        <v>17</v>
      </c>
      <c r="D622" s="236"/>
      <c r="E622" s="236"/>
      <c r="F622" s="236"/>
      <c r="G622" s="236"/>
      <c r="H622" s="40">
        <f>SUM(Tabla132112416[[#This Row],[PRIMER TRIMESTRE]:[CUARTO TRIMESTRE]])</f>
        <v>0</v>
      </c>
      <c r="I622" s="72">
        <v>7700</v>
      </c>
      <c r="J622" s="17">
        <f>+H622*I622</f>
        <v>0</v>
      </c>
      <c r="K622" s="17"/>
      <c r="L622" s="16" t="s">
        <v>18</v>
      </c>
      <c r="M622" s="16" t="s">
        <v>22</v>
      </c>
      <c r="N622" s="39"/>
    </row>
    <row r="623" spans="1:14" s="12" customFormat="1" ht="30">
      <c r="A623" s="178" t="s">
        <v>96</v>
      </c>
      <c r="B623" s="75" t="s">
        <v>1690</v>
      </c>
      <c r="C623" s="39" t="s">
        <v>343</v>
      </c>
      <c r="D623" s="236"/>
      <c r="E623" s="236"/>
      <c r="F623" s="236"/>
      <c r="G623" s="236"/>
      <c r="H623" s="40">
        <v>0</v>
      </c>
      <c r="I623" s="72">
        <v>0</v>
      </c>
      <c r="J623" s="17">
        <v>0</v>
      </c>
      <c r="K623" s="17"/>
      <c r="L623" s="16" t="s">
        <v>18</v>
      </c>
      <c r="M623" s="16" t="s">
        <v>22</v>
      </c>
      <c r="N623" s="39"/>
    </row>
    <row r="624" spans="1:14" s="12" customFormat="1" ht="30">
      <c r="A624" s="178" t="s">
        <v>96</v>
      </c>
      <c r="B624" s="75" t="s">
        <v>229</v>
      </c>
      <c r="C624" s="39" t="s">
        <v>17</v>
      </c>
      <c r="D624" s="236"/>
      <c r="E624" s="236"/>
      <c r="F624" s="236"/>
      <c r="G624" s="236"/>
      <c r="H624" s="40">
        <f>SUM(Tabla132112416[[#This Row],[PRIMER TRIMESTRE]:[CUARTO TRIMESTRE]])</f>
        <v>0</v>
      </c>
      <c r="I624" s="17">
        <v>6460</v>
      </c>
      <c r="J624" s="17">
        <f>+Tabla132112416[[#This Row],[CANTIDAD TOTAL]]*Tabla132112416[[#This Row],[PRECIO UNITARIO ESTIMADO]]</f>
        <v>0</v>
      </c>
      <c r="K624" s="17"/>
      <c r="L624" s="16" t="s">
        <v>18</v>
      </c>
      <c r="M624" s="16" t="s">
        <v>22</v>
      </c>
      <c r="N624" s="39"/>
    </row>
    <row r="625" spans="1:14" s="12" customFormat="1" ht="30">
      <c r="A625" s="178" t="s">
        <v>96</v>
      </c>
      <c r="B625" s="75" t="s">
        <v>1712</v>
      </c>
      <c r="C625" s="39" t="s">
        <v>17</v>
      </c>
      <c r="D625" s="236"/>
      <c r="E625" s="236"/>
      <c r="F625" s="236"/>
      <c r="G625" s="236"/>
      <c r="H625" s="40">
        <v>0</v>
      </c>
      <c r="I625" s="17">
        <v>0</v>
      </c>
      <c r="J625" s="17">
        <v>0</v>
      </c>
      <c r="K625" s="17"/>
      <c r="L625" s="16" t="s">
        <v>18</v>
      </c>
      <c r="M625" s="16" t="s">
        <v>22</v>
      </c>
      <c r="N625" s="39"/>
    </row>
    <row r="626" spans="1:14" s="12" customFormat="1" ht="30">
      <c r="A626" s="178" t="s">
        <v>96</v>
      </c>
      <c r="B626" s="75" t="s">
        <v>1218</v>
      </c>
      <c r="C626" s="39" t="s">
        <v>17</v>
      </c>
      <c r="D626" s="236"/>
      <c r="E626" s="236"/>
      <c r="F626" s="236"/>
      <c r="G626" s="236"/>
      <c r="H626" s="40">
        <f>SUM(Tabla132112416[[#This Row],[PRIMER TRIMESTRE]:[CUARTO TRIMESTRE]])</f>
        <v>0</v>
      </c>
      <c r="I626" s="17">
        <v>6460</v>
      </c>
      <c r="J626" s="17">
        <f>+H626*I626</f>
        <v>0</v>
      </c>
      <c r="K626" s="17"/>
      <c r="L626" s="16" t="s">
        <v>18</v>
      </c>
      <c r="M626" s="16" t="s">
        <v>22</v>
      </c>
      <c r="N626" s="39"/>
    </row>
    <row r="627" spans="1:14" s="12" customFormat="1" ht="30">
      <c r="A627" s="178" t="s">
        <v>96</v>
      </c>
      <c r="B627" s="75" t="s">
        <v>1683</v>
      </c>
      <c r="C627" s="39" t="s">
        <v>17</v>
      </c>
      <c r="D627" s="236"/>
      <c r="E627" s="236"/>
      <c r="F627" s="236"/>
      <c r="G627" s="236"/>
      <c r="H627" s="40">
        <v>0</v>
      </c>
      <c r="I627" s="17">
        <v>0</v>
      </c>
      <c r="J627" s="17">
        <v>0</v>
      </c>
      <c r="K627" s="17"/>
      <c r="L627" s="16" t="s">
        <v>18</v>
      </c>
      <c r="M627" s="16" t="s">
        <v>22</v>
      </c>
      <c r="N627" s="39"/>
    </row>
    <row r="628" spans="1:14" s="12" customFormat="1" ht="30">
      <c r="A628" s="178" t="s">
        <v>96</v>
      </c>
      <c r="B628" s="75" t="s">
        <v>1731</v>
      </c>
      <c r="C628" s="39" t="s">
        <v>17</v>
      </c>
      <c r="D628" s="236"/>
      <c r="E628" s="236"/>
      <c r="F628" s="236"/>
      <c r="G628" s="236"/>
      <c r="H628" s="40">
        <v>0</v>
      </c>
      <c r="I628" s="17">
        <v>0</v>
      </c>
      <c r="J628" s="17">
        <v>0</v>
      </c>
      <c r="K628" s="17"/>
      <c r="L628" s="16" t="s">
        <v>18</v>
      </c>
      <c r="M628" s="16" t="s">
        <v>22</v>
      </c>
      <c r="N628" s="39"/>
    </row>
    <row r="629" spans="1:14" s="12" customFormat="1" ht="30">
      <c r="A629" s="178" t="s">
        <v>96</v>
      </c>
      <c r="B629" s="75" t="s">
        <v>770</v>
      </c>
      <c r="C629" s="39" t="s">
        <v>17</v>
      </c>
      <c r="D629" s="236"/>
      <c r="E629" s="236"/>
      <c r="F629" s="236"/>
      <c r="G629" s="236"/>
      <c r="H629" s="40">
        <f>SUM(Tabla132112416[[#This Row],[PRIMER TRIMESTRE]:[CUARTO TRIMESTRE]])</f>
        <v>0</v>
      </c>
      <c r="I629" s="17">
        <v>12589</v>
      </c>
      <c r="J629" s="17">
        <f>+Tabla132112416[[#This Row],[CANTIDAD TOTAL]]*Tabla132112416[[#This Row],[PRECIO UNITARIO ESTIMADO]]</f>
        <v>0</v>
      </c>
      <c r="K629" s="17"/>
      <c r="L629" s="16" t="s">
        <v>18</v>
      </c>
      <c r="M629" s="16" t="s">
        <v>22</v>
      </c>
      <c r="N629" s="39"/>
    </row>
    <row r="630" spans="1:14" s="12" customFormat="1" ht="30">
      <c r="A630" s="178" t="s">
        <v>96</v>
      </c>
      <c r="B630" s="75" t="s">
        <v>771</v>
      </c>
      <c r="C630" s="39" t="s">
        <v>17</v>
      </c>
      <c r="D630" s="236"/>
      <c r="E630" s="236"/>
      <c r="F630" s="236"/>
      <c r="G630" s="236"/>
      <c r="H630" s="40">
        <f>SUM(Tabla132112416[[#This Row],[PRIMER TRIMESTRE]:[CUARTO TRIMESTRE]])</f>
        <v>0</v>
      </c>
      <c r="I630" s="72">
        <v>14625</v>
      </c>
      <c r="J630" s="17">
        <f t="shared" ref="J630:J693" si="18">+H630*I630</f>
        <v>0</v>
      </c>
      <c r="K630" s="17"/>
      <c r="L630" s="16" t="s">
        <v>18</v>
      </c>
      <c r="M630" s="16" t="s">
        <v>22</v>
      </c>
      <c r="N630" s="39"/>
    </row>
    <row r="631" spans="1:14" s="12" customFormat="1" ht="30">
      <c r="A631" s="178" t="s">
        <v>96</v>
      </c>
      <c r="B631" s="75" t="s">
        <v>1219</v>
      </c>
      <c r="C631" s="39" t="s">
        <v>17</v>
      </c>
      <c r="D631" s="236"/>
      <c r="E631" s="236"/>
      <c r="F631" s="236"/>
      <c r="G631" s="236"/>
      <c r="H631" s="40">
        <f>SUM(Tabla132112416[[#This Row],[PRIMER TRIMESTRE]:[CUARTO TRIMESTRE]])</f>
        <v>0</v>
      </c>
      <c r="I631" s="72">
        <v>28650</v>
      </c>
      <c r="J631" s="17">
        <f t="shared" si="18"/>
        <v>0</v>
      </c>
      <c r="K631" s="17"/>
      <c r="L631" s="17" t="s">
        <v>18</v>
      </c>
      <c r="M631" s="16" t="s">
        <v>22</v>
      </c>
      <c r="N631" s="39"/>
    </row>
    <row r="632" spans="1:14" s="12" customFormat="1" ht="30">
      <c r="A632" s="178" t="s">
        <v>96</v>
      </c>
      <c r="B632" s="75" t="s">
        <v>803</v>
      </c>
      <c r="C632" s="39" t="s">
        <v>343</v>
      </c>
      <c r="D632" s="236"/>
      <c r="E632" s="236"/>
      <c r="F632" s="236"/>
      <c r="G632" s="236"/>
      <c r="H632" s="40">
        <f>SUM(Tabla132112416[[#This Row],[PRIMER TRIMESTRE]:[CUARTO TRIMESTRE]])</f>
        <v>0</v>
      </c>
      <c r="I632" s="72">
        <v>5.64</v>
      </c>
      <c r="J632" s="17">
        <f t="shared" si="18"/>
        <v>0</v>
      </c>
      <c r="K632" s="17"/>
      <c r="L632" s="17" t="s">
        <v>18</v>
      </c>
      <c r="M632" s="16" t="s">
        <v>22</v>
      </c>
      <c r="N632" s="39" t="s">
        <v>418</v>
      </c>
    </row>
    <row r="633" spans="1:14" s="12" customFormat="1" ht="30">
      <c r="A633" s="178" t="s">
        <v>96</v>
      </c>
      <c r="B633" s="75" t="s">
        <v>804</v>
      </c>
      <c r="C633" s="39" t="s">
        <v>343</v>
      </c>
      <c r="D633" s="236"/>
      <c r="E633" s="236"/>
      <c r="F633" s="236"/>
      <c r="G633" s="236"/>
      <c r="H633" s="40">
        <f>SUM(Tabla132112416[[#This Row],[PRIMER TRIMESTRE]:[CUARTO TRIMESTRE]])</f>
        <v>0</v>
      </c>
      <c r="I633" s="17">
        <v>12</v>
      </c>
      <c r="J633" s="17">
        <f t="shared" si="18"/>
        <v>0</v>
      </c>
      <c r="K633" s="17"/>
      <c r="L633" s="17" t="s">
        <v>18</v>
      </c>
      <c r="M633" s="16" t="s">
        <v>22</v>
      </c>
      <c r="N633" s="39" t="s">
        <v>418</v>
      </c>
    </row>
    <row r="634" spans="1:14" s="12" customFormat="1" ht="30">
      <c r="A634" s="178" t="s">
        <v>96</v>
      </c>
      <c r="B634" s="75" t="s">
        <v>805</v>
      </c>
      <c r="C634" s="39" t="s">
        <v>343</v>
      </c>
      <c r="D634" s="236"/>
      <c r="E634" s="236"/>
      <c r="F634" s="236"/>
      <c r="G634" s="236"/>
      <c r="H634" s="40">
        <f>SUM(Tabla132112416[[#This Row],[PRIMER TRIMESTRE]:[CUARTO TRIMESTRE]])</f>
        <v>0</v>
      </c>
      <c r="I634" s="72">
        <v>19</v>
      </c>
      <c r="J634" s="17">
        <f t="shared" si="18"/>
        <v>0</v>
      </c>
      <c r="K634" s="17"/>
      <c r="L634" s="17" t="s">
        <v>18</v>
      </c>
      <c r="M634" s="16" t="s">
        <v>22</v>
      </c>
      <c r="N634" s="39" t="s">
        <v>418</v>
      </c>
    </row>
    <row r="635" spans="1:14" s="12" customFormat="1" ht="30">
      <c r="A635" s="178" t="s">
        <v>96</v>
      </c>
      <c r="B635" s="75" t="s">
        <v>806</v>
      </c>
      <c r="C635" s="39" t="s">
        <v>343</v>
      </c>
      <c r="D635" s="236"/>
      <c r="E635" s="236"/>
      <c r="F635" s="236"/>
      <c r="G635" s="236"/>
      <c r="H635" s="40">
        <f>SUM(Tabla132112416[[#This Row],[PRIMER TRIMESTRE]:[CUARTO TRIMESTRE]])</f>
        <v>0</v>
      </c>
      <c r="I635" s="72">
        <v>22</v>
      </c>
      <c r="J635" s="17">
        <f t="shared" si="18"/>
        <v>0</v>
      </c>
      <c r="K635" s="17"/>
      <c r="L635" s="17" t="s">
        <v>18</v>
      </c>
      <c r="M635" s="16" t="s">
        <v>22</v>
      </c>
      <c r="N635" s="39" t="s">
        <v>418</v>
      </c>
    </row>
    <row r="636" spans="1:14" s="12" customFormat="1" ht="30">
      <c r="A636" s="178" t="s">
        <v>96</v>
      </c>
      <c r="B636" s="75" t="s">
        <v>807</v>
      </c>
      <c r="C636" s="39" t="s">
        <v>343</v>
      </c>
      <c r="D636" s="236"/>
      <c r="E636" s="236"/>
      <c r="F636" s="236"/>
      <c r="G636" s="236"/>
      <c r="H636" s="40">
        <f>SUM(Tabla132112416[[#This Row],[PRIMER TRIMESTRE]:[CUARTO TRIMESTRE]])</f>
        <v>0</v>
      </c>
      <c r="I636" s="72">
        <v>30.5</v>
      </c>
      <c r="J636" s="17">
        <f t="shared" si="18"/>
        <v>0</v>
      </c>
      <c r="K636" s="17"/>
      <c r="L636" s="17" t="s">
        <v>18</v>
      </c>
      <c r="M636" s="16" t="s">
        <v>22</v>
      </c>
      <c r="N636" s="39" t="s">
        <v>418</v>
      </c>
    </row>
    <row r="637" spans="1:14" s="12" customFormat="1" ht="30">
      <c r="A637" s="178" t="s">
        <v>96</v>
      </c>
      <c r="B637" s="75" t="s">
        <v>808</v>
      </c>
      <c r="C637" s="39" t="s">
        <v>343</v>
      </c>
      <c r="D637" s="236"/>
      <c r="E637" s="236"/>
      <c r="F637" s="236"/>
      <c r="G637" s="236"/>
      <c r="H637" s="40">
        <f>SUM(Tabla132112416[[#This Row],[PRIMER TRIMESTRE]:[CUARTO TRIMESTRE]])</f>
        <v>0</v>
      </c>
      <c r="I637" s="72">
        <v>49.27</v>
      </c>
      <c r="J637" s="17">
        <f t="shared" si="18"/>
        <v>0</v>
      </c>
      <c r="K637" s="17"/>
      <c r="L637" s="17" t="s">
        <v>18</v>
      </c>
      <c r="M637" s="16" t="s">
        <v>22</v>
      </c>
      <c r="N637" s="39" t="s">
        <v>418</v>
      </c>
    </row>
    <row r="638" spans="1:14" s="12" customFormat="1" ht="30">
      <c r="A638" s="178" t="s">
        <v>96</v>
      </c>
      <c r="B638" s="75" t="s">
        <v>809</v>
      </c>
      <c r="C638" s="39" t="s">
        <v>343</v>
      </c>
      <c r="D638" s="236"/>
      <c r="E638" s="236"/>
      <c r="F638" s="236"/>
      <c r="G638" s="236"/>
      <c r="H638" s="40">
        <f>SUM(Tabla132112416[[#This Row],[PRIMER TRIMESTRE]:[CUARTO TRIMESTRE]])</f>
        <v>0</v>
      </c>
      <c r="I638" s="72">
        <v>73</v>
      </c>
      <c r="J638" s="17">
        <f t="shared" si="18"/>
        <v>0</v>
      </c>
      <c r="K638" s="17"/>
      <c r="L638" s="17" t="s">
        <v>18</v>
      </c>
      <c r="M638" s="16" t="s">
        <v>22</v>
      </c>
      <c r="N638" s="39" t="s">
        <v>418</v>
      </c>
    </row>
    <row r="639" spans="1:14" s="12" customFormat="1" ht="30">
      <c r="A639" s="178" t="s">
        <v>96</v>
      </c>
      <c r="B639" s="75" t="s">
        <v>810</v>
      </c>
      <c r="C639" s="39" t="s">
        <v>343</v>
      </c>
      <c r="D639" s="236"/>
      <c r="E639" s="236"/>
      <c r="F639" s="236"/>
      <c r="G639" s="236"/>
      <c r="H639" s="40">
        <f>SUM(Tabla132112416[[#This Row],[PRIMER TRIMESTRE]:[CUARTO TRIMESTRE]])</f>
        <v>0</v>
      </c>
      <c r="I639" s="17">
        <v>95</v>
      </c>
      <c r="J639" s="17">
        <f t="shared" si="18"/>
        <v>0</v>
      </c>
      <c r="K639" s="17"/>
      <c r="L639" s="17" t="s">
        <v>18</v>
      </c>
      <c r="M639" s="16" t="s">
        <v>22</v>
      </c>
      <c r="N639" s="39" t="s">
        <v>418</v>
      </c>
    </row>
    <row r="640" spans="1:14" s="12" customFormat="1" ht="30">
      <c r="A640" s="178" t="s">
        <v>96</v>
      </c>
      <c r="B640" s="75" t="s">
        <v>811</v>
      </c>
      <c r="C640" s="39" t="s">
        <v>343</v>
      </c>
      <c r="D640" s="236"/>
      <c r="E640" s="236"/>
      <c r="F640" s="236"/>
      <c r="G640" s="236"/>
      <c r="H640" s="40">
        <f>SUM(Tabla132112416[[#This Row],[PRIMER TRIMESTRE]:[CUARTO TRIMESTRE]])</f>
        <v>0</v>
      </c>
      <c r="I640" s="17">
        <v>121.25</v>
      </c>
      <c r="J640" s="17">
        <f t="shared" si="18"/>
        <v>0</v>
      </c>
      <c r="K640" s="17"/>
      <c r="L640" s="17" t="s">
        <v>18</v>
      </c>
      <c r="M640" s="16" t="s">
        <v>22</v>
      </c>
      <c r="N640" s="39" t="s">
        <v>418</v>
      </c>
    </row>
    <row r="641" spans="1:14" s="12" customFormat="1" ht="30">
      <c r="A641" s="178" t="s">
        <v>96</v>
      </c>
      <c r="B641" s="75" t="s">
        <v>812</v>
      </c>
      <c r="C641" s="39" t="s">
        <v>343</v>
      </c>
      <c r="D641" s="236"/>
      <c r="E641" s="236"/>
      <c r="F641" s="236"/>
      <c r="G641" s="236"/>
      <c r="H641" s="40">
        <f>SUM(Tabla132112416[[#This Row],[PRIMER TRIMESTRE]:[CUARTO TRIMESTRE]])</f>
        <v>0</v>
      </c>
      <c r="I641" s="17">
        <v>163.98</v>
      </c>
      <c r="J641" s="17">
        <f t="shared" si="18"/>
        <v>0</v>
      </c>
      <c r="K641" s="17"/>
      <c r="L641" s="17" t="s">
        <v>18</v>
      </c>
      <c r="M641" s="16" t="s">
        <v>22</v>
      </c>
      <c r="N641" s="39" t="s">
        <v>418</v>
      </c>
    </row>
    <row r="642" spans="1:14" s="12" customFormat="1" ht="30">
      <c r="A642" s="178" t="s">
        <v>96</v>
      </c>
      <c r="B642" s="75" t="s">
        <v>1479</v>
      </c>
      <c r="C642" s="39" t="s">
        <v>343</v>
      </c>
      <c r="D642" s="236"/>
      <c r="E642" s="236"/>
      <c r="F642" s="236"/>
      <c r="G642" s="236"/>
      <c r="H642" s="236">
        <f>SUM(Tabla132112416[[#This Row],[PRIMER TRIMESTRE]:[CUARTO TRIMESTRE]])</f>
        <v>0</v>
      </c>
      <c r="I642" s="17">
        <v>249.9</v>
      </c>
      <c r="J642" s="17">
        <f t="shared" si="18"/>
        <v>0</v>
      </c>
      <c r="K642" s="17"/>
      <c r="L642" s="17" t="s">
        <v>18</v>
      </c>
      <c r="M642" s="16" t="s">
        <v>22</v>
      </c>
      <c r="N642" s="39" t="s">
        <v>418</v>
      </c>
    </row>
    <row r="643" spans="1:14" s="12" customFormat="1" ht="30">
      <c r="A643" s="178" t="s">
        <v>96</v>
      </c>
      <c r="B643" s="75" t="s">
        <v>1463</v>
      </c>
      <c r="C643" s="39" t="s">
        <v>343</v>
      </c>
      <c r="D643" s="236"/>
      <c r="E643" s="236"/>
      <c r="F643" s="236"/>
      <c r="G643" s="236"/>
      <c r="H643" s="40">
        <f>SUM(Tabla132112416[[#This Row],[PRIMER TRIMESTRE]:[CUARTO TRIMESTRE]])</f>
        <v>0</v>
      </c>
      <c r="I643" s="17">
        <v>175</v>
      </c>
      <c r="J643" s="17">
        <f t="shared" si="18"/>
        <v>0</v>
      </c>
      <c r="K643" s="17"/>
      <c r="L643" s="17" t="s">
        <v>18</v>
      </c>
      <c r="M643" s="16" t="s">
        <v>22</v>
      </c>
      <c r="N643" s="39" t="s">
        <v>418</v>
      </c>
    </row>
    <row r="644" spans="1:14" s="12" customFormat="1" ht="30">
      <c r="A644" s="178" t="s">
        <v>96</v>
      </c>
      <c r="B644" s="75" t="s">
        <v>1448</v>
      </c>
      <c r="C644" s="39" t="s">
        <v>343</v>
      </c>
      <c r="D644" s="236"/>
      <c r="E644" s="236"/>
      <c r="F644" s="236"/>
      <c r="G644" s="236"/>
      <c r="H644" s="40">
        <f>SUM(Tabla132112416[[#This Row],[PRIMER TRIMESTRE]:[CUARTO TRIMESTRE]])</f>
        <v>0</v>
      </c>
      <c r="I644" s="17">
        <v>120</v>
      </c>
      <c r="J644" s="17">
        <f t="shared" si="18"/>
        <v>0</v>
      </c>
      <c r="K644" s="17"/>
      <c r="L644" s="17" t="s">
        <v>18</v>
      </c>
      <c r="M644" s="16" t="s">
        <v>22</v>
      </c>
      <c r="N644" s="39" t="s">
        <v>418</v>
      </c>
    </row>
    <row r="645" spans="1:14" s="12" customFormat="1" ht="30">
      <c r="A645" s="178" t="s">
        <v>96</v>
      </c>
      <c r="B645" s="75" t="s">
        <v>1476</v>
      </c>
      <c r="C645" s="39" t="s">
        <v>343</v>
      </c>
      <c r="D645" s="236"/>
      <c r="E645" s="236"/>
      <c r="F645" s="236"/>
      <c r="G645" s="236"/>
      <c r="H645" s="236">
        <f>SUM(Tabla132112416[[#This Row],[PRIMER TRIMESTRE]:[CUARTO TRIMESTRE]])</f>
        <v>0</v>
      </c>
      <c r="I645" s="17">
        <v>48.72</v>
      </c>
      <c r="J645" s="17">
        <f t="shared" si="18"/>
        <v>0</v>
      </c>
      <c r="K645" s="17"/>
      <c r="L645" s="17" t="s">
        <v>18</v>
      </c>
      <c r="M645" s="16" t="s">
        <v>22</v>
      </c>
      <c r="N645" s="39" t="s">
        <v>418</v>
      </c>
    </row>
    <row r="646" spans="1:14" s="12" customFormat="1" ht="30">
      <c r="A646" s="178" t="s">
        <v>96</v>
      </c>
      <c r="B646" s="75" t="s">
        <v>1477</v>
      </c>
      <c r="C646" s="39" t="s">
        <v>343</v>
      </c>
      <c r="D646" s="236"/>
      <c r="E646" s="236"/>
      <c r="F646" s="236"/>
      <c r="G646" s="236"/>
      <c r="H646" s="236">
        <f>SUM(Tabla132112416[[#This Row],[PRIMER TRIMESTRE]:[CUARTO TRIMESTRE]])</f>
        <v>0</v>
      </c>
      <c r="I646" s="17">
        <v>78</v>
      </c>
      <c r="J646" s="17">
        <f t="shared" si="18"/>
        <v>0</v>
      </c>
      <c r="K646" s="17"/>
      <c r="L646" s="17" t="s">
        <v>18</v>
      </c>
      <c r="M646" s="16" t="s">
        <v>22</v>
      </c>
      <c r="N646" s="39" t="s">
        <v>418</v>
      </c>
    </row>
    <row r="647" spans="1:14" s="12" customFormat="1" ht="30">
      <c r="A647" s="178" t="s">
        <v>96</v>
      </c>
      <c r="B647" s="75" t="s">
        <v>1680</v>
      </c>
      <c r="C647" s="39" t="s">
        <v>343</v>
      </c>
      <c r="D647" s="236"/>
      <c r="E647" s="236"/>
      <c r="F647" s="236"/>
      <c r="G647" s="236"/>
      <c r="H647" s="40">
        <v>0</v>
      </c>
      <c r="I647" s="17">
        <v>0</v>
      </c>
      <c r="J647" s="17">
        <v>0</v>
      </c>
      <c r="K647" s="17"/>
      <c r="L647" s="17" t="s">
        <v>18</v>
      </c>
      <c r="M647" s="16" t="s">
        <v>22</v>
      </c>
      <c r="N647" s="39" t="s">
        <v>418</v>
      </c>
    </row>
    <row r="648" spans="1:14" s="12" customFormat="1" ht="30">
      <c r="A648" s="178" t="s">
        <v>96</v>
      </c>
      <c r="B648" s="75" t="s">
        <v>1478</v>
      </c>
      <c r="C648" s="39" t="s">
        <v>343</v>
      </c>
      <c r="D648" s="236"/>
      <c r="E648" s="236"/>
      <c r="F648" s="236"/>
      <c r="G648" s="236"/>
      <c r="H648" s="236">
        <f>SUM(Tabla132112416[[#This Row],[PRIMER TRIMESTRE]:[CUARTO TRIMESTRE]])</f>
        <v>0</v>
      </c>
      <c r="I648" s="17">
        <v>109.2</v>
      </c>
      <c r="J648" s="17">
        <f t="shared" si="18"/>
        <v>0</v>
      </c>
      <c r="K648" s="17"/>
      <c r="L648" s="17" t="s">
        <v>18</v>
      </c>
      <c r="M648" s="16" t="s">
        <v>22</v>
      </c>
      <c r="N648" s="39" t="s">
        <v>418</v>
      </c>
    </row>
    <row r="649" spans="1:14" s="12" customFormat="1" ht="30">
      <c r="A649" s="178" t="s">
        <v>96</v>
      </c>
      <c r="B649" s="75" t="s">
        <v>1473</v>
      </c>
      <c r="C649" s="39" t="s">
        <v>343</v>
      </c>
      <c r="D649" s="236"/>
      <c r="E649" s="236"/>
      <c r="F649" s="236"/>
      <c r="G649" s="236"/>
      <c r="H649" s="236">
        <f>SUM(Tabla132112416[[#This Row],[PRIMER TRIMESTRE]:[CUARTO TRIMESTRE]])</f>
        <v>0</v>
      </c>
      <c r="I649" s="17">
        <v>126</v>
      </c>
      <c r="J649" s="17">
        <f t="shared" si="18"/>
        <v>0</v>
      </c>
      <c r="K649" s="17"/>
      <c r="L649" s="17" t="s">
        <v>18</v>
      </c>
      <c r="M649" s="16" t="s">
        <v>22</v>
      </c>
      <c r="N649" s="39" t="s">
        <v>418</v>
      </c>
    </row>
    <row r="650" spans="1:14" s="12" customFormat="1" ht="30">
      <c r="A650" s="178" t="s">
        <v>96</v>
      </c>
      <c r="B650" s="75" t="s">
        <v>1474</v>
      </c>
      <c r="C650" s="39" t="s">
        <v>343</v>
      </c>
      <c r="D650" s="236"/>
      <c r="E650" s="236"/>
      <c r="F650" s="236"/>
      <c r="G650" s="236"/>
      <c r="H650" s="236">
        <f>SUM(Tabla132112416[[#This Row],[PRIMER TRIMESTRE]:[CUARTO TRIMESTRE]])</f>
        <v>0</v>
      </c>
      <c r="I650" s="17">
        <v>10.8</v>
      </c>
      <c r="J650" s="17">
        <f t="shared" si="18"/>
        <v>0</v>
      </c>
      <c r="K650" s="17"/>
      <c r="L650" s="17" t="s">
        <v>18</v>
      </c>
      <c r="M650" s="16" t="s">
        <v>22</v>
      </c>
      <c r="N650" s="39" t="s">
        <v>418</v>
      </c>
    </row>
    <row r="651" spans="1:14" s="12" customFormat="1" ht="30">
      <c r="A651" s="178" t="s">
        <v>96</v>
      </c>
      <c r="B651" s="75" t="s">
        <v>1475</v>
      </c>
      <c r="C651" s="39" t="s">
        <v>343</v>
      </c>
      <c r="D651" s="236"/>
      <c r="E651" s="236"/>
      <c r="F651" s="236"/>
      <c r="G651" s="236"/>
      <c r="H651" s="236">
        <f>SUM(Tabla132112416[[#This Row],[PRIMER TRIMESTRE]:[CUARTO TRIMESTRE]])</f>
        <v>0</v>
      </c>
      <c r="I651" s="17">
        <v>98.88</v>
      </c>
      <c r="J651" s="17">
        <f t="shared" si="18"/>
        <v>0</v>
      </c>
      <c r="K651" s="17"/>
      <c r="L651" s="17" t="s">
        <v>18</v>
      </c>
      <c r="M651" s="16" t="s">
        <v>22</v>
      </c>
      <c r="N651" s="39" t="s">
        <v>418</v>
      </c>
    </row>
    <row r="652" spans="1:14" s="12" customFormat="1" ht="30">
      <c r="A652" s="178" t="s">
        <v>96</v>
      </c>
      <c r="B652" s="75" t="s">
        <v>1480</v>
      </c>
      <c r="C652" s="39" t="s">
        <v>343</v>
      </c>
      <c r="D652" s="236"/>
      <c r="E652" s="236"/>
      <c r="F652" s="236"/>
      <c r="G652" s="236"/>
      <c r="H652" s="236">
        <f>SUM(Tabla132112416[[#This Row],[PRIMER TRIMESTRE]:[CUARTO TRIMESTRE]])</f>
        <v>0</v>
      </c>
      <c r="I652" s="17">
        <v>169.73</v>
      </c>
      <c r="J652" s="17">
        <f t="shared" si="18"/>
        <v>0</v>
      </c>
      <c r="K652" s="17"/>
      <c r="L652" s="17" t="s">
        <v>18</v>
      </c>
      <c r="M652" s="16" t="s">
        <v>22</v>
      </c>
      <c r="N652" s="39" t="s">
        <v>418</v>
      </c>
    </row>
    <row r="653" spans="1:14" s="12" customFormat="1" ht="30">
      <c r="A653" s="178" t="s">
        <v>96</v>
      </c>
      <c r="B653" s="75" t="s">
        <v>1481</v>
      </c>
      <c r="C653" s="39" t="s">
        <v>343</v>
      </c>
      <c r="D653" s="236"/>
      <c r="E653" s="236"/>
      <c r="F653" s="236"/>
      <c r="G653" s="236"/>
      <c r="H653" s="236">
        <f>SUM(Tabla132112416[[#This Row],[PRIMER TRIMESTRE]:[CUARTO TRIMESTRE]])</f>
        <v>0</v>
      </c>
      <c r="I653" s="17">
        <v>49</v>
      </c>
      <c r="J653" s="17">
        <f t="shared" si="18"/>
        <v>0</v>
      </c>
      <c r="K653" s="17"/>
      <c r="L653" s="17" t="s">
        <v>18</v>
      </c>
      <c r="M653" s="16" t="s">
        <v>22</v>
      </c>
      <c r="N653" s="39" t="s">
        <v>418</v>
      </c>
    </row>
    <row r="654" spans="1:14" s="12" customFormat="1" ht="30">
      <c r="A654" s="178" t="s">
        <v>96</v>
      </c>
      <c r="B654" s="75" t="s">
        <v>1691</v>
      </c>
      <c r="C654" s="39" t="s">
        <v>343</v>
      </c>
      <c r="D654" s="236"/>
      <c r="E654" s="236"/>
      <c r="F654" s="236"/>
      <c r="G654" s="236"/>
      <c r="H654" s="40">
        <v>0</v>
      </c>
      <c r="I654" s="17">
        <v>0</v>
      </c>
      <c r="J654" s="17">
        <v>0</v>
      </c>
      <c r="K654" s="17"/>
      <c r="L654" s="17" t="s">
        <v>18</v>
      </c>
      <c r="M654" s="16" t="s">
        <v>22</v>
      </c>
      <c r="N654" s="39" t="s">
        <v>418</v>
      </c>
    </row>
    <row r="655" spans="1:14" s="12" customFormat="1" ht="30">
      <c r="A655" s="178" t="s">
        <v>96</v>
      </c>
      <c r="B655" s="75" t="s">
        <v>813</v>
      </c>
      <c r="C655" s="39" t="s">
        <v>343</v>
      </c>
      <c r="D655" s="236"/>
      <c r="E655" s="236"/>
      <c r="F655" s="236"/>
      <c r="G655" s="236"/>
      <c r="H655" s="236">
        <f>SUM(Tabla132112416[[#This Row],[PRIMER TRIMESTRE]:[CUARTO TRIMESTRE]])</f>
        <v>0</v>
      </c>
      <c r="I655" s="17">
        <v>309.39999999999998</v>
      </c>
      <c r="J655" s="17">
        <f t="shared" si="18"/>
        <v>0</v>
      </c>
      <c r="K655" s="17"/>
      <c r="L655" s="17" t="s">
        <v>18</v>
      </c>
      <c r="M655" s="16" t="s">
        <v>22</v>
      </c>
      <c r="N655" s="39" t="s">
        <v>418</v>
      </c>
    </row>
    <row r="656" spans="1:14" s="12" customFormat="1" ht="30">
      <c r="A656" s="178" t="s">
        <v>1676</v>
      </c>
      <c r="B656" s="75" t="s">
        <v>1853</v>
      </c>
      <c r="C656" s="39" t="s">
        <v>343</v>
      </c>
      <c r="D656" s="236"/>
      <c r="E656" s="236"/>
      <c r="F656" s="236"/>
      <c r="G656" s="236"/>
      <c r="H656" s="40">
        <v>0</v>
      </c>
      <c r="I656" s="17">
        <v>0</v>
      </c>
      <c r="J656" s="17">
        <v>0</v>
      </c>
      <c r="K656" s="17"/>
      <c r="L656" s="17" t="s">
        <v>18</v>
      </c>
      <c r="M656" s="16" t="s">
        <v>22</v>
      </c>
      <c r="N656" s="39" t="s">
        <v>418</v>
      </c>
    </row>
    <row r="657" spans="1:14" s="12" customFormat="1" ht="30">
      <c r="A657" s="178" t="s">
        <v>96</v>
      </c>
      <c r="B657" s="75" t="s">
        <v>1571</v>
      </c>
      <c r="C657" s="39" t="s">
        <v>17</v>
      </c>
      <c r="D657" s="236"/>
      <c r="E657" s="236"/>
      <c r="F657" s="236"/>
      <c r="G657" s="236"/>
      <c r="H657" s="236">
        <f>SUM(Tabla132112416[[#This Row],[PRIMER TRIMESTRE]:[CUARTO TRIMESTRE]])</f>
        <v>0</v>
      </c>
      <c r="I657" s="17">
        <v>131500</v>
      </c>
      <c r="J657" s="17">
        <f t="shared" si="18"/>
        <v>0</v>
      </c>
      <c r="K657" s="17"/>
      <c r="L657" s="17" t="s">
        <v>18</v>
      </c>
      <c r="M657" s="16" t="s">
        <v>22</v>
      </c>
      <c r="N657" s="39" t="s">
        <v>418</v>
      </c>
    </row>
    <row r="658" spans="1:14" s="12" customFormat="1" ht="30">
      <c r="A658" s="178" t="s">
        <v>96</v>
      </c>
      <c r="B658" s="75" t="s">
        <v>1570</v>
      </c>
      <c r="C658" s="39" t="s">
        <v>343</v>
      </c>
      <c r="D658" s="236"/>
      <c r="E658" s="236"/>
      <c r="F658" s="236"/>
      <c r="G658" s="236"/>
      <c r="H658" s="236">
        <f>SUM(Tabla132112416[[#This Row],[PRIMER TRIMESTRE]:[CUARTO TRIMESTRE]])</f>
        <v>0</v>
      </c>
      <c r="I658" s="17">
        <v>31.11</v>
      </c>
      <c r="J658" s="17">
        <f t="shared" si="18"/>
        <v>0</v>
      </c>
      <c r="K658" s="17"/>
      <c r="L658" s="17" t="s">
        <v>18</v>
      </c>
      <c r="M658" s="16" t="s">
        <v>22</v>
      </c>
      <c r="N658" s="39" t="s">
        <v>418</v>
      </c>
    </row>
    <row r="659" spans="1:14" s="12" customFormat="1" ht="30">
      <c r="A659" s="178" t="s">
        <v>96</v>
      </c>
      <c r="B659" s="75" t="s">
        <v>1603</v>
      </c>
      <c r="C659" s="39" t="s">
        <v>343</v>
      </c>
      <c r="D659" s="236"/>
      <c r="E659" s="236"/>
      <c r="F659" s="236"/>
      <c r="G659" s="236"/>
      <c r="H659" s="236">
        <f>SUM(Tabla132112416[[#This Row],[PRIMER TRIMESTRE]:[CUARTO TRIMESTRE]])</f>
        <v>0</v>
      </c>
      <c r="I659" s="17">
        <v>75.61</v>
      </c>
      <c r="J659" s="17">
        <f t="shared" si="18"/>
        <v>0</v>
      </c>
      <c r="K659" s="17"/>
      <c r="L659" s="17" t="s">
        <v>18</v>
      </c>
      <c r="M659" s="16" t="s">
        <v>22</v>
      </c>
      <c r="N659" s="39" t="s">
        <v>418</v>
      </c>
    </row>
    <row r="660" spans="1:14" s="12" customFormat="1" ht="30">
      <c r="A660" s="178" t="s">
        <v>96</v>
      </c>
      <c r="B660" s="75" t="s">
        <v>1602</v>
      </c>
      <c r="C660" s="39" t="s">
        <v>343</v>
      </c>
      <c r="D660" s="236"/>
      <c r="E660" s="236"/>
      <c r="F660" s="236"/>
      <c r="G660" s="236"/>
      <c r="H660" s="236">
        <f>SUM(Tabla132112416[[#This Row],[PRIMER TRIMESTRE]:[CUARTO TRIMESTRE]])</f>
        <v>0</v>
      </c>
      <c r="I660" s="17">
        <v>77.77</v>
      </c>
      <c r="J660" s="17">
        <f t="shared" si="18"/>
        <v>0</v>
      </c>
      <c r="K660" s="17"/>
      <c r="L660" s="17" t="s">
        <v>18</v>
      </c>
      <c r="M660" s="16" t="s">
        <v>22</v>
      </c>
      <c r="N660" s="39" t="s">
        <v>418</v>
      </c>
    </row>
    <row r="661" spans="1:14" s="12" customFormat="1" ht="30">
      <c r="A661" s="178" t="s">
        <v>96</v>
      </c>
      <c r="B661" s="75" t="s">
        <v>814</v>
      </c>
      <c r="C661" s="39" t="s">
        <v>343</v>
      </c>
      <c r="D661" s="236"/>
      <c r="E661" s="236"/>
      <c r="F661" s="236"/>
      <c r="G661" s="236"/>
      <c r="H661" s="40">
        <f>SUM(Tabla132112416[[#This Row],[PRIMER TRIMESTRE]:[CUARTO TRIMESTRE]])</f>
        <v>0</v>
      </c>
      <c r="I661" s="17">
        <v>380.3</v>
      </c>
      <c r="J661" s="17">
        <f t="shared" si="18"/>
        <v>0</v>
      </c>
      <c r="K661" s="17"/>
      <c r="L661" s="17" t="s">
        <v>18</v>
      </c>
      <c r="M661" s="16" t="s">
        <v>22</v>
      </c>
      <c r="N661" s="39" t="s">
        <v>418</v>
      </c>
    </row>
    <row r="662" spans="1:14" s="12" customFormat="1" ht="30">
      <c r="A662" s="178" t="s">
        <v>96</v>
      </c>
      <c r="B662" s="77" t="s">
        <v>874</v>
      </c>
      <c r="C662" s="39" t="s">
        <v>17</v>
      </c>
      <c r="D662" s="236"/>
      <c r="E662" s="236"/>
      <c r="F662" s="236"/>
      <c r="G662" s="236"/>
      <c r="H662" s="40">
        <f>SUM(Tabla132112416[[#This Row],[PRIMER TRIMESTRE]:[CUARTO TRIMESTRE]])</f>
        <v>0</v>
      </c>
      <c r="I662" s="17">
        <v>110</v>
      </c>
      <c r="J662" s="17">
        <f t="shared" si="18"/>
        <v>0</v>
      </c>
      <c r="K662" s="17"/>
      <c r="L662" s="16" t="s">
        <v>18</v>
      </c>
      <c r="M662" s="16" t="s">
        <v>22</v>
      </c>
      <c r="N662" s="39"/>
    </row>
    <row r="663" spans="1:14" s="12" customFormat="1" ht="30">
      <c r="A663" s="178" t="s">
        <v>96</v>
      </c>
      <c r="B663" s="77" t="s">
        <v>875</v>
      </c>
      <c r="C663" s="39" t="s">
        <v>17</v>
      </c>
      <c r="D663" s="236"/>
      <c r="E663" s="236"/>
      <c r="F663" s="236"/>
      <c r="G663" s="236"/>
      <c r="H663" s="40">
        <f>SUM(Tabla132112416[[#This Row],[PRIMER TRIMESTRE]:[CUARTO TRIMESTRE]])</f>
        <v>0</v>
      </c>
      <c r="I663" s="17">
        <v>125</v>
      </c>
      <c r="J663" s="17">
        <f t="shared" si="18"/>
        <v>0</v>
      </c>
      <c r="K663" s="17"/>
      <c r="L663" s="16" t="s">
        <v>18</v>
      </c>
      <c r="M663" s="16" t="s">
        <v>22</v>
      </c>
      <c r="N663" s="39"/>
    </row>
    <row r="664" spans="1:14" s="12" customFormat="1" ht="30">
      <c r="A664" s="178" t="s">
        <v>96</v>
      </c>
      <c r="B664" s="77" t="s">
        <v>876</v>
      </c>
      <c r="C664" s="39" t="s">
        <v>17</v>
      </c>
      <c r="D664" s="236"/>
      <c r="E664" s="236"/>
      <c r="F664" s="236"/>
      <c r="G664" s="236"/>
      <c r="H664" s="40">
        <f>SUM(Tabla132112416[[#This Row],[PRIMER TRIMESTRE]:[CUARTO TRIMESTRE]])</f>
        <v>0</v>
      </c>
      <c r="I664" s="17">
        <v>135</v>
      </c>
      <c r="J664" s="17">
        <f t="shared" si="18"/>
        <v>0</v>
      </c>
      <c r="K664" s="17"/>
      <c r="L664" s="16" t="s">
        <v>18</v>
      </c>
      <c r="M664" s="16" t="s">
        <v>22</v>
      </c>
      <c r="N664" s="39"/>
    </row>
    <row r="665" spans="1:14" s="12" customFormat="1" ht="30">
      <c r="A665" s="178" t="s">
        <v>96</v>
      </c>
      <c r="B665" s="77" t="s">
        <v>877</v>
      </c>
      <c r="C665" s="39" t="s">
        <v>17</v>
      </c>
      <c r="D665" s="236"/>
      <c r="E665" s="236"/>
      <c r="F665" s="236"/>
      <c r="G665" s="236"/>
      <c r="H665" s="40">
        <f>SUM(Tabla132112416[[#This Row],[PRIMER TRIMESTRE]:[CUARTO TRIMESTRE]])</f>
        <v>0</v>
      </c>
      <c r="I665" s="17">
        <v>175</v>
      </c>
      <c r="J665" s="17">
        <f t="shared" si="18"/>
        <v>0</v>
      </c>
      <c r="K665" s="17"/>
      <c r="L665" s="16" t="s">
        <v>18</v>
      </c>
      <c r="M665" s="16" t="s">
        <v>22</v>
      </c>
      <c r="N665" s="39"/>
    </row>
    <row r="666" spans="1:14" s="12" customFormat="1" ht="30">
      <c r="A666" s="178" t="s">
        <v>96</v>
      </c>
      <c r="B666" s="77" t="s">
        <v>878</v>
      </c>
      <c r="C666" s="39" t="s">
        <v>17</v>
      </c>
      <c r="D666" s="236"/>
      <c r="E666" s="236"/>
      <c r="F666" s="236"/>
      <c r="G666" s="236"/>
      <c r="H666" s="40">
        <f>SUM(Tabla132112416[[#This Row],[PRIMER TRIMESTRE]:[CUARTO TRIMESTRE]])</f>
        <v>0</v>
      </c>
      <c r="I666" s="17">
        <v>191</v>
      </c>
      <c r="J666" s="17">
        <f t="shared" si="18"/>
        <v>0</v>
      </c>
      <c r="K666" s="17"/>
      <c r="L666" s="16" t="s">
        <v>18</v>
      </c>
      <c r="M666" s="16" t="s">
        <v>22</v>
      </c>
      <c r="N666" s="39"/>
    </row>
    <row r="667" spans="1:14" s="12" customFormat="1" ht="30">
      <c r="A667" s="178" t="s">
        <v>96</v>
      </c>
      <c r="B667" s="77" t="s">
        <v>1595</v>
      </c>
      <c r="C667" s="39" t="s">
        <v>17</v>
      </c>
      <c r="D667" s="236"/>
      <c r="E667" s="236"/>
      <c r="F667" s="236"/>
      <c r="G667" s="236"/>
      <c r="H667" s="236">
        <f>SUM(Tabla132112416[[#This Row],[PRIMER TRIMESTRE]:[CUARTO TRIMESTRE]])</f>
        <v>0</v>
      </c>
      <c r="I667" s="17">
        <v>371.2</v>
      </c>
      <c r="J667" s="17">
        <f t="shared" si="18"/>
        <v>0</v>
      </c>
      <c r="K667" s="17"/>
      <c r="L667" s="16" t="s">
        <v>18</v>
      </c>
      <c r="M667" s="16" t="s">
        <v>22</v>
      </c>
      <c r="N667" s="39"/>
    </row>
    <row r="668" spans="1:14" s="12" customFormat="1" ht="30">
      <c r="A668" s="178" t="s">
        <v>96</v>
      </c>
      <c r="B668" s="77" t="s">
        <v>879</v>
      </c>
      <c r="C668" s="39" t="s">
        <v>17</v>
      </c>
      <c r="D668" s="236"/>
      <c r="E668" s="236"/>
      <c r="F668" s="236"/>
      <c r="G668" s="236"/>
      <c r="H668" s="40">
        <f>SUM(Tabla132112416[[#This Row],[PRIMER TRIMESTRE]:[CUARTO TRIMESTRE]])</f>
        <v>0</v>
      </c>
      <c r="I668" s="17">
        <v>23600</v>
      </c>
      <c r="J668" s="17">
        <f t="shared" si="18"/>
        <v>0</v>
      </c>
      <c r="K668" s="17"/>
      <c r="L668" s="16" t="s">
        <v>18</v>
      </c>
      <c r="M668" s="16" t="s">
        <v>22</v>
      </c>
      <c r="N668" s="39"/>
    </row>
    <row r="669" spans="1:14" s="12" customFormat="1" ht="30">
      <c r="A669" s="178" t="s">
        <v>96</v>
      </c>
      <c r="B669" s="77" t="s">
        <v>1518</v>
      </c>
      <c r="C669" s="39" t="s">
        <v>208</v>
      </c>
      <c r="D669" s="236"/>
      <c r="E669" s="236"/>
      <c r="F669" s="236"/>
      <c r="G669" s="236"/>
      <c r="H669" s="236">
        <f>SUM(Tabla132112416[[#This Row],[PRIMER TRIMESTRE]:[CUARTO TRIMESTRE]])</f>
        <v>0</v>
      </c>
      <c r="I669" s="17">
        <v>1500.62</v>
      </c>
      <c r="J669" s="17">
        <f t="shared" si="18"/>
        <v>0</v>
      </c>
      <c r="K669" s="17"/>
      <c r="L669" s="16" t="s">
        <v>18</v>
      </c>
      <c r="M669" s="16" t="s">
        <v>22</v>
      </c>
      <c r="N669" s="39"/>
    </row>
    <row r="670" spans="1:14" s="12" customFormat="1" ht="30">
      <c r="A670" s="178" t="s">
        <v>96</v>
      </c>
      <c r="B670" s="77" t="s">
        <v>1519</v>
      </c>
      <c r="C670" s="39" t="s">
        <v>208</v>
      </c>
      <c r="D670" s="236"/>
      <c r="E670" s="236"/>
      <c r="F670" s="236"/>
      <c r="G670" s="236"/>
      <c r="H670" s="236">
        <f>SUM(Tabla132112416[[#This Row],[PRIMER TRIMESTRE]:[CUARTO TRIMESTRE]])</f>
        <v>0</v>
      </c>
      <c r="I670" s="17">
        <v>942.48</v>
      </c>
      <c r="J670" s="17">
        <f t="shared" si="18"/>
        <v>0</v>
      </c>
      <c r="K670" s="17"/>
      <c r="L670" s="16" t="s">
        <v>18</v>
      </c>
      <c r="M670" s="16" t="s">
        <v>22</v>
      </c>
      <c r="N670" s="39"/>
    </row>
    <row r="671" spans="1:14" s="12" customFormat="1" ht="30">
      <c r="A671" s="178" t="s">
        <v>96</v>
      </c>
      <c r="B671" s="77" t="s">
        <v>1520</v>
      </c>
      <c r="C671" s="39" t="s">
        <v>208</v>
      </c>
      <c r="D671" s="236"/>
      <c r="E671" s="236"/>
      <c r="F671" s="236"/>
      <c r="G671" s="236"/>
      <c r="H671" s="236">
        <f>SUM(Tabla132112416[[#This Row],[PRIMER TRIMESTRE]:[CUARTO TRIMESTRE]])</f>
        <v>0</v>
      </c>
      <c r="I671" s="17">
        <v>942.48</v>
      </c>
      <c r="J671" s="17">
        <f t="shared" si="18"/>
        <v>0</v>
      </c>
      <c r="K671" s="17"/>
      <c r="L671" s="16" t="s">
        <v>18</v>
      </c>
      <c r="M671" s="16" t="s">
        <v>22</v>
      </c>
      <c r="N671" s="39"/>
    </row>
    <row r="672" spans="1:14" s="12" customFormat="1" ht="30">
      <c r="A672" s="178" t="s">
        <v>96</v>
      </c>
      <c r="B672" s="77" t="s">
        <v>880</v>
      </c>
      <c r="C672" s="39" t="s">
        <v>17</v>
      </c>
      <c r="D672" s="236"/>
      <c r="E672" s="236"/>
      <c r="F672" s="236"/>
      <c r="G672" s="236"/>
      <c r="H672" s="40">
        <f>SUM(Tabla132112416[[#This Row],[PRIMER TRIMESTRE]:[CUARTO TRIMESTRE]])</f>
        <v>0</v>
      </c>
      <c r="I672" s="17">
        <v>25850</v>
      </c>
      <c r="J672" s="17">
        <f t="shared" si="18"/>
        <v>0</v>
      </c>
      <c r="K672" s="17"/>
      <c r="L672" s="16" t="s">
        <v>18</v>
      </c>
      <c r="M672" s="16" t="s">
        <v>22</v>
      </c>
      <c r="N672" s="39"/>
    </row>
    <row r="673" spans="1:14" s="12" customFormat="1" ht="38.25">
      <c r="A673" s="178" t="s">
        <v>96</v>
      </c>
      <c r="B673" s="77" t="s">
        <v>924</v>
      </c>
      <c r="C673" s="39" t="s">
        <v>17</v>
      </c>
      <c r="D673" s="236"/>
      <c r="E673" s="236"/>
      <c r="F673" s="236"/>
      <c r="G673" s="236"/>
      <c r="H673" s="40">
        <f>SUM(Tabla132112416[[#This Row],[PRIMER TRIMESTRE]:[CUARTO TRIMESTRE]])</f>
        <v>0</v>
      </c>
      <c r="I673" s="17">
        <v>100000</v>
      </c>
      <c r="J673" s="17">
        <f t="shared" si="18"/>
        <v>0</v>
      </c>
      <c r="K673" s="17"/>
      <c r="L673" s="16" t="s">
        <v>18</v>
      </c>
      <c r="M673" s="16" t="s">
        <v>22</v>
      </c>
      <c r="N673" s="39"/>
    </row>
    <row r="674" spans="1:14" s="12" customFormat="1" ht="30">
      <c r="A674" s="178" t="s">
        <v>96</v>
      </c>
      <c r="B674" s="75" t="s">
        <v>882</v>
      </c>
      <c r="C674" s="39" t="s">
        <v>17</v>
      </c>
      <c r="D674" s="236"/>
      <c r="E674" s="236"/>
      <c r="F674" s="236"/>
      <c r="G674" s="236"/>
      <c r="H674" s="40">
        <f>SUM(Tabla132112416[[#This Row],[PRIMER TRIMESTRE]:[CUARTO TRIMESTRE]])</f>
        <v>0</v>
      </c>
      <c r="I674" s="17">
        <v>600</v>
      </c>
      <c r="J674" s="17">
        <f t="shared" si="18"/>
        <v>0</v>
      </c>
      <c r="K674" s="17"/>
      <c r="L674" s="16" t="s">
        <v>18</v>
      </c>
      <c r="M674" s="16" t="s">
        <v>22</v>
      </c>
      <c r="N674" s="39"/>
    </row>
    <row r="675" spans="1:14" s="12" customFormat="1" ht="30">
      <c r="A675" s="178" t="s">
        <v>96</v>
      </c>
      <c r="B675" s="75" t="s">
        <v>883</v>
      </c>
      <c r="C675" s="39" t="s">
        <v>17</v>
      </c>
      <c r="D675" s="236"/>
      <c r="E675" s="236"/>
      <c r="F675" s="236"/>
      <c r="G675" s="236"/>
      <c r="H675" s="40">
        <f>SUM(Tabla132112416[[#This Row],[PRIMER TRIMESTRE]:[CUARTO TRIMESTRE]])</f>
        <v>0</v>
      </c>
      <c r="I675" s="17">
        <v>350</v>
      </c>
      <c r="J675" s="17">
        <f t="shared" si="18"/>
        <v>0</v>
      </c>
      <c r="K675" s="17"/>
      <c r="L675" s="16" t="s">
        <v>18</v>
      </c>
      <c r="M675" s="16" t="s">
        <v>22</v>
      </c>
      <c r="N675" s="39"/>
    </row>
    <row r="676" spans="1:14" s="12" customFormat="1" ht="30">
      <c r="A676" s="178" t="s">
        <v>96</v>
      </c>
      <c r="B676" s="75" t="s">
        <v>884</v>
      </c>
      <c r="C676" s="39" t="s">
        <v>17</v>
      </c>
      <c r="D676" s="236"/>
      <c r="E676" s="236"/>
      <c r="F676" s="236"/>
      <c r="G676" s="236"/>
      <c r="H676" s="40">
        <f>SUM(Tabla132112416[[#This Row],[PRIMER TRIMESTRE]:[CUARTO TRIMESTRE]])</f>
        <v>0</v>
      </c>
      <c r="I676" s="17">
        <v>450</v>
      </c>
      <c r="J676" s="17">
        <f t="shared" si="18"/>
        <v>0</v>
      </c>
      <c r="K676" s="17"/>
      <c r="L676" s="16" t="s">
        <v>18</v>
      </c>
      <c r="M676" s="16" t="s">
        <v>22</v>
      </c>
      <c r="N676" s="39"/>
    </row>
    <row r="677" spans="1:14" s="12" customFormat="1" ht="30">
      <c r="A677" s="178" t="s">
        <v>96</v>
      </c>
      <c r="B677" s="75" t="s">
        <v>885</v>
      </c>
      <c r="C677" s="39" t="s">
        <v>344</v>
      </c>
      <c r="D677" s="236"/>
      <c r="E677" s="236"/>
      <c r="F677" s="236"/>
      <c r="G677" s="236"/>
      <c r="H677" s="40">
        <f>SUM(Tabla132112416[[#This Row],[PRIMER TRIMESTRE]:[CUARTO TRIMESTRE]])</f>
        <v>0</v>
      </c>
      <c r="I677" s="17">
        <v>3650</v>
      </c>
      <c r="J677" s="17">
        <f t="shared" si="18"/>
        <v>0</v>
      </c>
      <c r="K677" s="17"/>
      <c r="L677" s="16" t="s">
        <v>18</v>
      </c>
      <c r="M677" s="16" t="s">
        <v>22</v>
      </c>
      <c r="N677" s="39"/>
    </row>
    <row r="678" spans="1:14" s="12" customFormat="1" ht="30">
      <c r="A678" s="178" t="s">
        <v>96</v>
      </c>
      <c r="B678" s="75" t="s">
        <v>886</v>
      </c>
      <c r="C678" s="39" t="s">
        <v>344</v>
      </c>
      <c r="D678" s="236"/>
      <c r="E678" s="236"/>
      <c r="F678" s="236"/>
      <c r="G678" s="236"/>
      <c r="H678" s="40">
        <f>SUM(Tabla132112416[[#This Row],[PRIMER TRIMESTRE]:[CUARTO TRIMESTRE]])</f>
        <v>0</v>
      </c>
      <c r="I678" s="17">
        <v>3650</v>
      </c>
      <c r="J678" s="17">
        <f t="shared" si="18"/>
        <v>0</v>
      </c>
      <c r="K678" s="17"/>
      <c r="L678" s="16" t="s">
        <v>18</v>
      </c>
      <c r="M678" s="16" t="s">
        <v>22</v>
      </c>
      <c r="N678" s="39"/>
    </row>
    <row r="679" spans="1:14" s="12" customFormat="1" ht="30">
      <c r="A679" s="178" t="s">
        <v>96</v>
      </c>
      <c r="B679" s="75" t="s">
        <v>887</v>
      </c>
      <c r="C679" s="39" t="s">
        <v>344</v>
      </c>
      <c r="D679" s="236"/>
      <c r="E679" s="236"/>
      <c r="F679" s="236"/>
      <c r="G679" s="236"/>
      <c r="H679" s="40">
        <f>SUM(Tabla132112416[[#This Row],[PRIMER TRIMESTRE]:[CUARTO TRIMESTRE]])</f>
        <v>0</v>
      </c>
      <c r="I679" s="17">
        <v>3650</v>
      </c>
      <c r="J679" s="17">
        <f t="shared" si="18"/>
        <v>0</v>
      </c>
      <c r="K679" s="17"/>
      <c r="L679" s="16" t="s">
        <v>18</v>
      </c>
      <c r="M679" s="16" t="s">
        <v>22</v>
      </c>
      <c r="N679" s="39"/>
    </row>
    <row r="680" spans="1:14" s="12" customFormat="1" ht="30">
      <c r="A680" s="178" t="s">
        <v>96</v>
      </c>
      <c r="B680" s="75" t="s">
        <v>888</v>
      </c>
      <c r="C680" s="39" t="s">
        <v>344</v>
      </c>
      <c r="D680" s="236"/>
      <c r="E680" s="236"/>
      <c r="F680" s="236"/>
      <c r="G680" s="236"/>
      <c r="H680" s="40">
        <f>SUM(Tabla132112416[[#This Row],[PRIMER TRIMESTRE]:[CUARTO TRIMESTRE]])</f>
        <v>0</v>
      </c>
      <c r="I680" s="17">
        <v>3650</v>
      </c>
      <c r="J680" s="17">
        <f t="shared" si="18"/>
        <v>0</v>
      </c>
      <c r="K680" s="17"/>
      <c r="L680" s="16" t="s">
        <v>18</v>
      </c>
      <c r="M680" s="16" t="s">
        <v>22</v>
      </c>
      <c r="N680" s="39"/>
    </row>
    <row r="681" spans="1:14" s="12" customFormat="1" ht="30">
      <c r="A681" s="178" t="s">
        <v>96</v>
      </c>
      <c r="B681" s="75" t="s">
        <v>815</v>
      </c>
      <c r="C681" s="39" t="s">
        <v>17</v>
      </c>
      <c r="D681" s="236"/>
      <c r="E681" s="236"/>
      <c r="F681" s="236"/>
      <c r="G681" s="236"/>
      <c r="H681" s="40">
        <f>SUM(Tabla132112416[[#This Row],[PRIMER TRIMESTRE]:[CUARTO TRIMESTRE]])</f>
        <v>0</v>
      </c>
      <c r="I681" s="17">
        <v>4625.12</v>
      </c>
      <c r="J681" s="17">
        <f t="shared" si="18"/>
        <v>0</v>
      </c>
      <c r="K681" s="17"/>
      <c r="L681" s="17" t="s">
        <v>18</v>
      </c>
      <c r="M681" s="16" t="s">
        <v>22</v>
      </c>
      <c r="N681" s="39"/>
    </row>
    <row r="682" spans="1:14" s="12" customFormat="1" ht="30">
      <c r="A682" s="178" t="s">
        <v>96</v>
      </c>
      <c r="B682" s="75" t="s">
        <v>913</v>
      </c>
      <c r="C682" s="39" t="s">
        <v>343</v>
      </c>
      <c r="D682" s="236"/>
      <c r="E682" s="236"/>
      <c r="F682" s="236"/>
      <c r="G682" s="236"/>
      <c r="H682" s="40">
        <f>SUM(Tabla132112416[[#This Row],[PRIMER TRIMESTRE]:[CUARTO TRIMESTRE]])</f>
        <v>0</v>
      </c>
      <c r="I682" s="72">
        <v>80</v>
      </c>
      <c r="J682" s="17">
        <f t="shared" si="18"/>
        <v>0</v>
      </c>
      <c r="K682" s="17"/>
      <c r="L682" s="16" t="s">
        <v>18</v>
      </c>
      <c r="M682" s="16" t="s">
        <v>22</v>
      </c>
      <c r="N682" s="39"/>
    </row>
    <row r="683" spans="1:14" s="12" customFormat="1" ht="30">
      <c r="A683" s="178" t="s">
        <v>96</v>
      </c>
      <c r="B683" s="75" t="s">
        <v>914</v>
      </c>
      <c r="C683" s="39" t="s">
        <v>343</v>
      </c>
      <c r="D683" s="236"/>
      <c r="E683" s="236"/>
      <c r="F683" s="236"/>
      <c r="G683" s="236"/>
      <c r="H683" s="40">
        <f>SUM(Tabla132112416[[#This Row],[PRIMER TRIMESTRE]:[CUARTO TRIMESTRE]])</f>
        <v>0</v>
      </c>
      <c r="I683" s="17">
        <v>112</v>
      </c>
      <c r="J683" s="17">
        <f t="shared" si="18"/>
        <v>0</v>
      </c>
      <c r="K683" s="17"/>
      <c r="L683" s="16" t="s">
        <v>18</v>
      </c>
      <c r="M683" s="16" t="s">
        <v>22</v>
      </c>
      <c r="N683" s="39"/>
    </row>
    <row r="684" spans="1:14" s="12" customFormat="1" ht="30">
      <c r="A684" s="178" t="s">
        <v>96</v>
      </c>
      <c r="B684" s="75" t="s">
        <v>915</v>
      </c>
      <c r="C684" s="39" t="s">
        <v>343</v>
      </c>
      <c r="D684" s="236"/>
      <c r="E684" s="236"/>
      <c r="F684" s="236"/>
      <c r="G684" s="236"/>
      <c r="H684" s="40">
        <f>SUM(Tabla132112416[[#This Row],[PRIMER TRIMESTRE]:[CUARTO TRIMESTRE]])</f>
        <v>0</v>
      </c>
      <c r="I684" s="17">
        <v>150</v>
      </c>
      <c r="J684" s="17">
        <f t="shared" si="18"/>
        <v>0</v>
      </c>
      <c r="K684" s="17"/>
      <c r="L684" s="16" t="s">
        <v>18</v>
      </c>
      <c r="M684" s="16" t="s">
        <v>22</v>
      </c>
      <c r="N684" s="39"/>
    </row>
    <row r="685" spans="1:14" s="12" customFormat="1" ht="30">
      <c r="A685" s="178" t="s">
        <v>96</v>
      </c>
      <c r="B685" s="75" t="s">
        <v>916</v>
      </c>
      <c r="C685" s="39" t="s">
        <v>343</v>
      </c>
      <c r="D685" s="236"/>
      <c r="E685" s="236"/>
      <c r="F685" s="236"/>
      <c r="G685" s="236"/>
      <c r="H685" s="40">
        <f>SUM(Tabla132112416[[#This Row],[PRIMER TRIMESTRE]:[CUARTO TRIMESTRE]])</f>
        <v>0</v>
      </c>
      <c r="I685" s="17">
        <v>188</v>
      </c>
      <c r="J685" s="17">
        <f t="shared" si="18"/>
        <v>0</v>
      </c>
      <c r="K685" s="17"/>
      <c r="L685" s="16" t="s">
        <v>18</v>
      </c>
      <c r="M685" s="16" t="s">
        <v>22</v>
      </c>
      <c r="N685" s="39"/>
    </row>
    <row r="686" spans="1:14" s="12" customFormat="1" ht="30">
      <c r="A686" s="178" t="s">
        <v>96</v>
      </c>
      <c r="B686" s="75" t="s">
        <v>917</v>
      </c>
      <c r="C686" s="39" t="s">
        <v>343</v>
      </c>
      <c r="D686" s="236"/>
      <c r="E686" s="236"/>
      <c r="F686" s="236"/>
      <c r="G686" s="236"/>
      <c r="H686" s="40">
        <f>SUM(Tabla132112416[[#This Row],[PRIMER TRIMESTRE]:[CUARTO TRIMESTRE]])</f>
        <v>0</v>
      </c>
      <c r="I686" s="17">
        <v>225</v>
      </c>
      <c r="J686" s="17">
        <f t="shared" si="18"/>
        <v>0</v>
      </c>
      <c r="K686" s="17"/>
      <c r="L686" s="16" t="s">
        <v>18</v>
      </c>
      <c r="M686" s="16" t="s">
        <v>22</v>
      </c>
      <c r="N686" s="39"/>
    </row>
    <row r="687" spans="1:14" s="12" customFormat="1" ht="30">
      <c r="A687" s="178" t="s">
        <v>96</v>
      </c>
      <c r="B687" s="75" t="s">
        <v>918</v>
      </c>
      <c r="C687" s="39" t="s">
        <v>343</v>
      </c>
      <c r="D687" s="236"/>
      <c r="E687" s="236"/>
      <c r="F687" s="236"/>
      <c r="G687" s="236"/>
      <c r="H687" s="40">
        <f>SUM(Tabla132112416[[#This Row],[PRIMER TRIMESTRE]:[CUARTO TRIMESTRE]])</f>
        <v>0</v>
      </c>
      <c r="I687" s="17">
        <v>135</v>
      </c>
      <c r="J687" s="17">
        <f t="shared" si="18"/>
        <v>0</v>
      </c>
      <c r="K687" s="17"/>
      <c r="L687" s="16" t="s">
        <v>18</v>
      </c>
      <c r="M687" s="16" t="s">
        <v>22</v>
      </c>
      <c r="N687" s="39"/>
    </row>
    <row r="688" spans="1:14" s="12" customFormat="1" ht="30">
      <c r="A688" s="178" t="s">
        <v>96</v>
      </c>
      <c r="B688" s="75" t="s">
        <v>1220</v>
      </c>
      <c r="C688" s="39" t="s">
        <v>17</v>
      </c>
      <c r="D688" s="236"/>
      <c r="E688" s="236"/>
      <c r="F688" s="236"/>
      <c r="G688" s="236"/>
      <c r="H688" s="40">
        <f>SUM(Tabla132112416[[#This Row],[PRIMER TRIMESTRE]:[CUARTO TRIMESTRE]])</f>
        <v>0</v>
      </c>
      <c r="I688" s="17">
        <v>12000</v>
      </c>
      <c r="J688" s="17">
        <f t="shared" si="18"/>
        <v>0</v>
      </c>
      <c r="K688" s="17"/>
      <c r="L688" s="16" t="s">
        <v>18</v>
      </c>
      <c r="M688" s="16" t="s">
        <v>22</v>
      </c>
      <c r="N688" s="39"/>
    </row>
    <row r="689" spans="1:14" s="12" customFormat="1" ht="30">
      <c r="A689" s="178" t="s">
        <v>96</v>
      </c>
      <c r="B689" s="75" t="s">
        <v>1221</v>
      </c>
      <c r="C689" s="39" t="s">
        <v>17</v>
      </c>
      <c r="D689" s="236"/>
      <c r="E689" s="236"/>
      <c r="F689" s="236"/>
      <c r="G689" s="236"/>
      <c r="H689" s="40">
        <f>SUM(Tabla132112416[[#This Row],[PRIMER TRIMESTRE]:[CUARTO TRIMESTRE]])</f>
        <v>0</v>
      </c>
      <c r="I689" s="17">
        <v>16000</v>
      </c>
      <c r="J689" s="17">
        <f t="shared" si="18"/>
        <v>0</v>
      </c>
      <c r="K689" s="17"/>
      <c r="L689" s="16" t="s">
        <v>18</v>
      </c>
      <c r="M689" s="16" t="s">
        <v>22</v>
      </c>
      <c r="N689" s="39"/>
    </row>
    <row r="690" spans="1:14" s="12" customFormat="1" ht="30">
      <c r="A690" s="178" t="s">
        <v>96</v>
      </c>
      <c r="B690" s="75" t="s">
        <v>1222</v>
      </c>
      <c r="C690" s="39" t="s">
        <v>17</v>
      </c>
      <c r="D690" s="236"/>
      <c r="E690" s="236"/>
      <c r="F690" s="236"/>
      <c r="G690" s="236"/>
      <c r="H690" s="40">
        <f>SUM(Tabla132112416[[#This Row],[PRIMER TRIMESTRE]:[CUARTO TRIMESTRE]])</f>
        <v>0</v>
      </c>
      <c r="I690" s="17">
        <v>17000</v>
      </c>
      <c r="J690" s="17">
        <f t="shared" si="18"/>
        <v>0</v>
      </c>
      <c r="K690" s="17"/>
      <c r="L690" s="16" t="s">
        <v>18</v>
      </c>
      <c r="M690" s="16" t="s">
        <v>22</v>
      </c>
      <c r="N690" s="39"/>
    </row>
    <row r="691" spans="1:14" s="12" customFormat="1" ht="30">
      <c r="A691" s="178" t="s">
        <v>96</v>
      </c>
      <c r="B691" s="75" t="s">
        <v>1223</v>
      </c>
      <c r="C691" s="39" t="s">
        <v>17</v>
      </c>
      <c r="D691" s="236"/>
      <c r="E691" s="236"/>
      <c r="F691" s="236"/>
      <c r="G691" s="236"/>
      <c r="H691" s="40">
        <f>SUM(Tabla132112416[[#This Row],[PRIMER TRIMESTRE]:[CUARTO TRIMESTRE]])</f>
        <v>0</v>
      </c>
      <c r="I691" s="17">
        <v>19000</v>
      </c>
      <c r="J691" s="17">
        <f t="shared" si="18"/>
        <v>0</v>
      </c>
      <c r="K691" s="17"/>
      <c r="L691" s="16" t="s">
        <v>18</v>
      </c>
      <c r="M691" s="16" t="s">
        <v>22</v>
      </c>
      <c r="N691" s="39"/>
    </row>
    <row r="692" spans="1:14" s="12" customFormat="1" ht="30">
      <c r="A692" s="178" t="s">
        <v>96</v>
      </c>
      <c r="B692" s="75" t="s">
        <v>1224</v>
      </c>
      <c r="C692" s="39" t="s">
        <v>17</v>
      </c>
      <c r="D692" s="236"/>
      <c r="E692" s="236"/>
      <c r="F692" s="236"/>
      <c r="G692" s="236"/>
      <c r="H692" s="40">
        <f>SUM(Tabla132112416[[#This Row],[PRIMER TRIMESTRE]:[CUARTO TRIMESTRE]])</f>
        <v>0</v>
      </c>
      <c r="I692" s="17">
        <v>23000</v>
      </c>
      <c r="J692" s="17">
        <f t="shared" si="18"/>
        <v>0</v>
      </c>
      <c r="K692" s="17"/>
      <c r="L692" s="16" t="s">
        <v>18</v>
      </c>
      <c r="M692" s="16" t="s">
        <v>22</v>
      </c>
      <c r="N692" s="39"/>
    </row>
    <row r="693" spans="1:14" s="12" customFormat="1" ht="30">
      <c r="A693" s="178" t="s">
        <v>96</v>
      </c>
      <c r="B693" s="75" t="s">
        <v>1225</v>
      </c>
      <c r="C693" s="39" t="s">
        <v>17</v>
      </c>
      <c r="D693" s="236"/>
      <c r="E693" s="236"/>
      <c r="F693" s="236"/>
      <c r="G693" s="236"/>
      <c r="H693" s="40">
        <f>SUM(Tabla132112416[[#This Row],[PRIMER TRIMESTRE]:[CUARTO TRIMESTRE]])</f>
        <v>0</v>
      </c>
      <c r="I693" s="17">
        <v>30000</v>
      </c>
      <c r="J693" s="17">
        <f t="shared" si="18"/>
        <v>0</v>
      </c>
      <c r="K693" s="17"/>
      <c r="L693" s="16" t="s">
        <v>18</v>
      </c>
      <c r="M693" s="16" t="s">
        <v>22</v>
      </c>
      <c r="N693" s="39"/>
    </row>
    <row r="694" spans="1:14" s="12" customFormat="1" ht="30">
      <c r="A694" s="178" t="s">
        <v>96</v>
      </c>
      <c r="B694" s="75" t="s">
        <v>1226</v>
      </c>
      <c r="C694" s="39" t="s">
        <v>17</v>
      </c>
      <c r="D694" s="236"/>
      <c r="E694" s="236"/>
      <c r="F694" s="236"/>
      <c r="G694" s="236"/>
      <c r="H694" s="40">
        <f>SUM(Tabla132112416[[#This Row],[PRIMER TRIMESTRE]:[CUARTO TRIMESTRE]])</f>
        <v>0</v>
      </c>
      <c r="I694" s="17">
        <v>42345.120000000003</v>
      </c>
      <c r="J694" s="17">
        <f t="shared" ref="J694:J710" si="19">+H694*I694</f>
        <v>0</v>
      </c>
      <c r="K694" s="17"/>
      <c r="L694" s="16" t="s">
        <v>18</v>
      </c>
      <c r="M694" s="16" t="s">
        <v>22</v>
      </c>
      <c r="N694" s="39"/>
    </row>
    <row r="695" spans="1:14" s="12" customFormat="1" ht="30">
      <c r="A695" s="178" t="s">
        <v>96</v>
      </c>
      <c r="B695" s="75" t="s">
        <v>773</v>
      </c>
      <c r="C695" s="39" t="s">
        <v>17</v>
      </c>
      <c r="D695" s="236"/>
      <c r="E695" s="236"/>
      <c r="F695" s="236"/>
      <c r="G695" s="236"/>
      <c r="H695" s="40">
        <f>SUM(Tabla132112416[[#This Row],[PRIMER TRIMESTRE]:[CUARTO TRIMESTRE]])</f>
        <v>0</v>
      </c>
      <c r="I695" s="72">
        <v>500</v>
      </c>
      <c r="J695" s="17">
        <f t="shared" si="19"/>
        <v>0</v>
      </c>
      <c r="K695" s="17"/>
      <c r="L695" s="16" t="s">
        <v>18</v>
      </c>
      <c r="M695" s="16" t="s">
        <v>22</v>
      </c>
      <c r="N695" s="39" t="s">
        <v>418</v>
      </c>
    </row>
    <row r="696" spans="1:14" s="12" customFormat="1" ht="30">
      <c r="A696" s="178" t="s">
        <v>96</v>
      </c>
      <c r="B696" s="75" t="s">
        <v>774</v>
      </c>
      <c r="C696" s="39" t="s">
        <v>17</v>
      </c>
      <c r="D696" s="236"/>
      <c r="E696" s="236"/>
      <c r="F696" s="236"/>
      <c r="G696" s="236"/>
      <c r="H696" s="40">
        <f>SUM(Tabla132112416[[#This Row],[PRIMER TRIMESTRE]:[CUARTO TRIMESTRE]])</f>
        <v>0</v>
      </c>
      <c r="I696" s="72">
        <v>1380</v>
      </c>
      <c r="J696" s="17">
        <f t="shared" si="19"/>
        <v>0</v>
      </c>
      <c r="K696" s="17"/>
      <c r="L696" s="16" t="s">
        <v>18</v>
      </c>
      <c r="M696" s="16" t="s">
        <v>22</v>
      </c>
      <c r="N696" s="39" t="s">
        <v>418</v>
      </c>
    </row>
    <row r="697" spans="1:14" s="12" customFormat="1" ht="30">
      <c r="A697" s="178" t="s">
        <v>96</v>
      </c>
      <c r="B697" s="75" t="s">
        <v>775</v>
      </c>
      <c r="C697" s="39" t="s">
        <v>17</v>
      </c>
      <c r="D697" s="236"/>
      <c r="E697" s="236"/>
      <c r="F697" s="236"/>
      <c r="G697" s="236"/>
      <c r="H697" s="40">
        <f>SUM(Tabla132112416[[#This Row],[PRIMER TRIMESTRE]:[CUARTO TRIMESTRE]])</f>
        <v>0</v>
      </c>
      <c r="I697" s="72">
        <v>3200</v>
      </c>
      <c r="J697" s="17">
        <f t="shared" si="19"/>
        <v>0</v>
      </c>
      <c r="K697" s="17"/>
      <c r="L697" s="16" t="s">
        <v>18</v>
      </c>
      <c r="M697" s="16" t="s">
        <v>22</v>
      </c>
      <c r="N697" s="39" t="s">
        <v>418</v>
      </c>
    </row>
    <row r="698" spans="1:14" s="12" customFormat="1" ht="51">
      <c r="A698" s="178" t="s">
        <v>96</v>
      </c>
      <c r="B698" s="75" t="s">
        <v>1717</v>
      </c>
      <c r="C698" s="39" t="s">
        <v>17</v>
      </c>
      <c r="D698" s="236"/>
      <c r="E698" s="236"/>
      <c r="F698" s="236"/>
      <c r="G698" s="236"/>
      <c r="H698" s="40">
        <v>0</v>
      </c>
      <c r="I698" s="72">
        <v>0</v>
      </c>
      <c r="J698" s="17">
        <v>0</v>
      </c>
      <c r="K698" s="17"/>
      <c r="L698" s="16" t="s">
        <v>18</v>
      </c>
      <c r="M698" s="16" t="s">
        <v>19</v>
      </c>
      <c r="N698" s="39"/>
    </row>
    <row r="699" spans="1:14" s="12" customFormat="1" ht="51">
      <c r="A699" s="178" t="s">
        <v>96</v>
      </c>
      <c r="B699" s="75" t="s">
        <v>1678</v>
      </c>
      <c r="C699" s="39" t="s">
        <v>17</v>
      </c>
      <c r="D699" s="236"/>
      <c r="E699" s="236"/>
      <c r="F699" s="236"/>
      <c r="G699" s="236"/>
      <c r="H699" s="40">
        <v>0</v>
      </c>
      <c r="I699" s="72">
        <v>0</v>
      </c>
      <c r="J699" s="17">
        <v>0</v>
      </c>
      <c r="K699" s="17"/>
      <c r="L699" s="16" t="s">
        <v>18</v>
      </c>
      <c r="M699" s="16" t="s">
        <v>19</v>
      </c>
      <c r="N699" s="39"/>
    </row>
    <row r="700" spans="1:14" s="12" customFormat="1" ht="38.25">
      <c r="A700" s="178" t="s">
        <v>96</v>
      </c>
      <c r="B700" s="75" t="s">
        <v>1715</v>
      </c>
      <c r="C700" s="39" t="s">
        <v>17</v>
      </c>
      <c r="D700" s="236"/>
      <c r="E700" s="236"/>
      <c r="F700" s="236"/>
      <c r="G700" s="236"/>
      <c r="H700" s="40">
        <v>0</v>
      </c>
      <c r="I700" s="72">
        <v>0</v>
      </c>
      <c r="J700" s="17">
        <v>0</v>
      </c>
      <c r="K700" s="17"/>
      <c r="L700" s="16" t="s">
        <v>18</v>
      </c>
      <c r="M700" s="16" t="s">
        <v>19</v>
      </c>
      <c r="N700" s="39"/>
    </row>
    <row r="701" spans="1:14" s="12" customFormat="1" ht="38.25">
      <c r="A701" s="178" t="s">
        <v>96</v>
      </c>
      <c r="B701" s="75" t="s">
        <v>1719</v>
      </c>
      <c r="C701" s="39" t="s">
        <v>17</v>
      </c>
      <c r="D701" s="236"/>
      <c r="E701" s="236"/>
      <c r="F701" s="236"/>
      <c r="G701" s="236"/>
      <c r="H701" s="40">
        <v>0</v>
      </c>
      <c r="I701" s="72">
        <v>0</v>
      </c>
      <c r="J701" s="17">
        <v>0</v>
      </c>
      <c r="K701" s="17"/>
      <c r="L701" s="16" t="s">
        <v>18</v>
      </c>
      <c r="M701" s="16" t="s">
        <v>19</v>
      </c>
      <c r="N701" s="39"/>
    </row>
    <row r="702" spans="1:14" s="12" customFormat="1" ht="38.25">
      <c r="A702" s="178" t="s">
        <v>96</v>
      </c>
      <c r="B702" s="75" t="s">
        <v>816</v>
      </c>
      <c r="C702" s="39" t="s">
        <v>17</v>
      </c>
      <c r="D702" s="236"/>
      <c r="E702" s="210"/>
      <c r="F702" s="236"/>
      <c r="G702" s="236"/>
      <c r="H702" s="40">
        <f>SUM(Tabla132112416[[#This Row],[PRIMER TRIMESTRE]:[CUARTO TRIMESTRE]])</f>
        <v>0</v>
      </c>
      <c r="I702" s="72">
        <v>565000</v>
      </c>
      <c r="J702" s="17">
        <f t="shared" si="19"/>
        <v>0</v>
      </c>
      <c r="K702" s="17"/>
      <c r="L702" s="16" t="s">
        <v>18</v>
      </c>
      <c r="M702" s="16" t="s">
        <v>19</v>
      </c>
      <c r="N702" s="39"/>
    </row>
    <row r="703" spans="1:14" s="12" customFormat="1" ht="38.25">
      <c r="A703" s="178" t="s">
        <v>96</v>
      </c>
      <c r="B703" s="75" t="s">
        <v>817</v>
      </c>
      <c r="C703" s="39" t="s">
        <v>17</v>
      </c>
      <c r="D703" s="236"/>
      <c r="E703" s="210"/>
      <c r="F703" s="236"/>
      <c r="G703" s="236"/>
      <c r="H703" s="40">
        <f>SUM(Tabla132112416[[#This Row],[PRIMER TRIMESTRE]:[CUARTO TRIMESTRE]])</f>
        <v>0</v>
      </c>
      <c r="I703" s="17">
        <v>699235.41</v>
      </c>
      <c r="J703" s="17">
        <f t="shared" si="19"/>
        <v>0</v>
      </c>
      <c r="K703" s="17"/>
      <c r="L703" s="16" t="s">
        <v>18</v>
      </c>
      <c r="M703" s="16" t="s">
        <v>19</v>
      </c>
      <c r="N703" s="39"/>
    </row>
    <row r="704" spans="1:14" s="12" customFormat="1" ht="38.25">
      <c r="A704" s="178" t="s">
        <v>96</v>
      </c>
      <c r="B704" s="75" t="s">
        <v>818</v>
      </c>
      <c r="C704" s="39" t="s">
        <v>17</v>
      </c>
      <c r="D704" s="236"/>
      <c r="E704" s="210"/>
      <c r="F704" s="236"/>
      <c r="G704" s="236"/>
      <c r="H704" s="40">
        <f>SUM(Tabla132112416[[#This Row],[PRIMER TRIMESTRE]:[CUARTO TRIMESTRE]])</f>
        <v>0</v>
      </c>
      <c r="I704" s="17">
        <v>350000</v>
      </c>
      <c r="J704" s="17">
        <f t="shared" si="19"/>
        <v>0</v>
      </c>
      <c r="K704" s="17"/>
      <c r="L704" s="16" t="s">
        <v>18</v>
      </c>
      <c r="M704" s="16" t="s">
        <v>19</v>
      </c>
      <c r="N704" s="39"/>
    </row>
    <row r="705" spans="1:14" s="12" customFormat="1" ht="38.25">
      <c r="A705" s="178" t="s">
        <v>96</v>
      </c>
      <c r="B705" s="75" t="s">
        <v>819</v>
      </c>
      <c r="C705" s="39" t="s">
        <v>17</v>
      </c>
      <c r="D705" s="236"/>
      <c r="E705" s="210"/>
      <c r="F705" s="236"/>
      <c r="G705" s="236"/>
      <c r="H705" s="40">
        <f>SUM(Tabla132112416[[#This Row],[PRIMER TRIMESTRE]:[CUARTO TRIMESTRE]])</f>
        <v>0</v>
      </c>
      <c r="I705" s="17">
        <v>198000</v>
      </c>
      <c r="J705" s="17">
        <f t="shared" si="19"/>
        <v>0</v>
      </c>
      <c r="K705" s="17"/>
      <c r="L705" s="16" t="s">
        <v>18</v>
      </c>
      <c r="M705" s="16" t="s">
        <v>19</v>
      </c>
      <c r="N705" s="39"/>
    </row>
    <row r="706" spans="1:14" s="12" customFormat="1" ht="38.25">
      <c r="A706" s="178" t="s">
        <v>96</v>
      </c>
      <c r="B706" s="75" t="s">
        <v>820</v>
      </c>
      <c r="C706" s="39" t="s">
        <v>17</v>
      </c>
      <c r="D706" s="236"/>
      <c r="E706" s="210"/>
      <c r="F706" s="236"/>
      <c r="G706" s="236"/>
      <c r="H706" s="40">
        <f>SUM(Tabla132112416[[#This Row],[PRIMER TRIMESTRE]:[CUARTO TRIMESTRE]])</f>
        <v>0</v>
      </c>
      <c r="I706" s="17">
        <v>117000</v>
      </c>
      <c r="J706" s="17">
        <f t="shared" si="19"/>
        <v>0</v>
      </c>
      <c r="K706" s="17"/>
      <c r="L706" s="16" t="s">
        <v>18</v>
      </c>
      <c r="M706" s="16" t="s">
        <v>19</v>
      </c>
      <c r="N706" s="39"/>
    </row>
    <row r="707" spans="1:14" s="12" customFormat="1" ht="38.25">
      <c r="A707" s="178" t="s">
        <v>96</v>
      </c>
      <c r="B707" s="75" t="s">
        <v>821</v>
      </c>
      <c r="C707" s="39" t="s">
        <v>17</v>
      </c>
      <c r="D707" s="236"/>
      <c r="E707" s="210"/>
      <c r="F707" s="236"/>
      <c r="G707" s="236"/>
      <c r="H707" s="40">
        <f>SUM(Tabla132112416[[#This Row],[PRIMER TRIMESTRE]:[CUARTO TRIMESTRE]])</f>
        <v>0</v>
      </c>
      <c r="I707" s="17">
        <v>61630.63</v>
      </c>
      <c r="J707" s="17">
        <f t="shared" si="19"/>
        <v>0</v>
      </c>
      <c r="K707" s="17"/>
      <c r="L707" s="16" t="s">
        <v>18</v>
      </c>
      <c r="M707" s="16" t="s">
        <v>19</v>
      </c>
      <c r="N707" s="39"/>
    </row>
    <row r="708" spans="1:14" s="12" customFormat="1" ht="38.25">
      <c r="A708" s="178" t="s">
        <v>96</v>
      </c>
      <c r="B708" s="75" t="s">
        <v>822</v>
      </c>
      <c r="C708" s="39" t="s">
        <v>17</v>
      </c>
      <c r="D708" s="236"/>
      <c r="E708" s="210"/>
      <c r="F708" s="236"/>
      <c r="G708" s="236"/>
      <c r="H708" s="40">
        <f>SUM(Tabla132112416[[#This Row],[PRIMER TRIMESTRE]:[CUARTO TRIMESTRE]])</f>
        <v>0</v>
      </c>
      <c r="I708" s="17">
        <v>54792</v>
      </c>
      <c r="J708" s="17">
        <f t="shared" si="19"/>
        <v>0</v>
      </c>
      <c r="K708" s="17"/>
      <c r="L708" s="16" t="s">
        <v>18</v>
      </c>
      <c r="M708" s="16" t="s">
        <v>19</v>
      </c>
      <c r="N708" s="39"/>
    </row>
    <row r="709" spans="1:14" s="12" customFormat="1" ht="38.25">
      <c r="A709" s="178" t="s">
        <v>96</v>
      </c>
      <c r="B709" s="75" t="s">
        <v>823</v>
      </c>
      <c r="C709" s="39" t="s">
        <v>17</v>
      </c>
      <c r="D709" s="236"/>
      <c r="E709" s="210"/>
      <c r="F709" s="236"/>
      <c r="G709" s="236"/>
      <c r="H709" s="40">
        <f>SUM(Tabla132112416[[#This Row],[PRIMER TRIMESTRE]:[CUARTO TRIMESTRE]])</f>
        <v>0</v>
      </c>
      <c r="I709" s="17">
        <v>49560</v>
      </c>
      <c r="J709" s="17">
        <f t="shared" si="19"/>
        <v>0</v>
      </c>
      <c r="K709" s="17"/>
      <c r="L709" s="16" t="s">
        <v>18</v>
      </c>
      <c r="M709" s="16" t="s">
        <v>19</v>
      </c>
      <c r="N709" s="39"/>
    </row>
    <row r="710" spans="1:14" s="12" customFormat="1" ht="31.5">
      <c r="A710" s="178" t="s">
        <v>96</v>
      </c>
      <c r="B710" s="75" t="s">
        <v>824</v>
      </c>
      <c r="C710" s="39" t="s">
        <v>17</v>
      </c>
      <c r="D710" s="236"/>
      <c r="E710" s="210"/>
      <c r="F710" s="236"/>
      <c r="G710" s="236"/>
      <c r="H710" s="40">
        <f>SUM(Tabla132112416[[#This Row],[PRIMER TRIMESTRE]:[CUARTO TRIMESTRE]])</f>
        <v>0</v>
      </c>
      <c r="I710" s="17">
        <v>46658.86</v>
      </c>
      <c r="J710" s="17">
        <f t="shared" si="19"/>
        <v>0</v>
      </c>
      <c r="K710" s="17"/>
      <c r="L710" s="16" t="s">
        <v>18</v>
      </c>
      <c r="M710" s="16" t="s">
        <v>19</v>
      </c>
      <c r="N710" s="39"/>
    </row>
    <row r="711" spans="1:14" s="12" customFormat="1" ht="31.5">
      <c r="A711" s="178" t="s">
        <v>96</v>
      </c>
      <c r="B711" s="75" t="s">
        <v>1734</v>
      </c>
      <c r="C711" s="39" t="s">
        <v>17</v>
      </c>
      <c r="D711" s="236"/>
      <c r="E711" s="210"/>
      <c r="F711" s="236"/>
      <c r="G711" s="236"/>
      <c r="H711" s="40">
        <v>0</v>
      </c>
      <c r="I711" s="17">
        <v>0</v>
      </c>
      <c r="J711" s="17">
        <v>0</v>
      </c>
      <c r="K711" s="17"/>
      <c r="L711" s="16" t="s">
        <v>18</v>
      </c>
      <c r="M711" s="16" t="s">
        <v>19</v>
      </c>
      <c r="N711" s="39"/>
    </row>
    <row r="712" spans="1:14" s="12" customFormat="1" ht="31.5">
      <c r="A712" s="178" t="s">
        <v>96</v>
      </c>
      <c r="B712" s="75" t="s">
        <v>1733</v>
      </c>
      <c r="C712" s="39" t="s">
        <v>17</v>
      </c>
      <c r="D712" s="236"/>
      <c r="E712" s="210"/>
      <c r="F712" s="236"/>
      <c r="G712" s="236"/>
      <c r="H712" s="40">
        <v>0</v>
      </c>
      <c r="I712" s="17">
        <v>0</v>
      </c>
      <c r="J712" s="17">
        <v>0</v>
      </c>
      <c r="K712" s="17"/>
      <c r="L712" s="16" t="s">
        <v>18</v>
      </c>
      <c r="M712" s="16" t="s">
        <v>19</v>
      </c>
      <c r="N712" s="39"/>
    </row>
    <row r="713" spans="1:14" s="12" customFormat="1" ht="38.25">
      <c r="A713" s="178" t="s">
        <v>96</v>
      </c>
      <c r="B713" s="75" t="s">
        <v>1732</v>
      </c>
      <c r="C713" s="39" t="s">
        <v>17</v>
      </c>
      <c r="D713" s="236"/>
      <c r="E713" s="210"/>
      <c r="F713" s="236"/>
      <c r="G713" s="236"/>
      <c r="H713" s="40">
        <v>0</v>
      </c>
      <c r="I713" s="17">
        <v>0</v>
      </c>
      <c r="J713" s="17">
        <v>0</v>
      </c>
      <c r="K713" s="17"/>
      <c r="L713" s="16" t="s">
        <v>18</v>
      </c>
      <c r="M713" s="16" t="s">
        <v>19</v>
      </c>
      <c r="N713" s="39"/>
    </row>
    <row r="714" spans="1:14" s="12" customFormat="1" ht="31.5">
      <c r="A714" s="178" t="s">
        <v>96</v>
      </c>
      <c r="B714" s="75" t="s">
        <v>825</v>
      </c>
      <c r="C714" s="39" t="s">
        <v>17</v>
      </c>
      <c r="D714" s="236"/>
      <c r="E714" s="210"/>
      <c r="F714" s="236"/>
      <c r="G714" s="236"/>
      <c r="H714" s="40">
        <f>SUM(Tabla132112416[[#This Row],[PRIMER TRIMESTRE]:[CUARTO TRIMESTRE]])</f>
        <v>0</v>
      </c>
      <c r="I714" s="17">
        <v>47216.69</v>
      </c>
      <c r="J714" s="17">
        <v>47216.69</v>
      </c>
      <c r="K714" s="17"/>
      <c r="L714" s="16" t="s">
        <v>18</v>
      </c>
      <c r="M714" s="16" t="s">
        <v>19</v>
      </c>
      <c r="N714" s="39"/>
    </row>
    <row r="715" spans="1:14" s="12" customFormat="1" ht="31.5">
      <c r="A715" s="178" t="s">
        <v>96</v>
      </c>
      <c r="B715" s="75" t="s">
        <v>826</v>
      </c>
      <c r="C715" s="39" t="s">
        <v>17</v>
      </c>
      <c r="D715" s="236"/>
      <c r="E715" s="210"/>
      <c r="F715" s="236"/>
      <c r="G715" s="236"/>
      <c r="H715" s="40">
        <f>SUM(Tabla132112416[[#This Row],[PRIMER TRIMESTRE]:[CUARTO TRIMESTRE]])</f>
        <v>0</v>
      </c>
      <c r="I715" s="17">
        <v>59766.34</v>
      </c>
      <c r="J715" s="17">
        <f t="shared" ref="J715:J778" si="20">+H715*I715</f>
        <v>0</v>
      </c>
      <c r="K715" s="17"/>
      <c r="L715" s="16" t="s">
        <v>18</v>
      </c>
      <c r="M715" s="16" t="s">
        <v>19</v>
      </c>
      <c r="N715" s="39"/>
    </row>
    <row r="716" spans="1:14" s="12" customFormat="1" ht="30">
      <c r="A716" s="178" t="s">
        <v>96</v>
      </c>
      <c r="B716" s="75" t="s">
        <v>1227</v>
      </c>
      <c r="C716" s="39" t="s">
        <v>17</v>
      </c>
      <c r="D716" s="236"/>
      <c r="E716" s="210"/>
      <c r="F716" s="236"/>
      <c r="G716" s="236"/>
      <c r="H716" s="40">
        <f>SUM(Tabla132112416[[#This Row],[PRIMER TRIMESTRE]:[CUARTO TRIMESTRE]])</f>
        <v>0</v>
      </c>
      <c r="I716" s="17">
        <v>56400</v>
      </c>
      <c r="J716" s="17">
        <f t="shared" si="20"/>
        <v>0</v>
      </c>
      <c r="K716" s="17"/>
      <c r="L716" s="16" t="s">
        <v>18</v>
      </c>
      <c r="M716" s="16" t="s">
        <v>22</v>
      </c>
      <c r="N716" s="39"/>
    </row>
    <row r="717" spans="1:14" s="12" customFormat="1" ht="30">
      <c r="A717" s="178" t="s">
        <v>96</v>
      </c>
      <c r="B717" s="75" t="s">
        <v>1228</v>
      </c>
      <c r="C717" s="39" t="s">
        <v>17</v>
      </c>
      <c r="D717" s="236"/>
      <c r="E717" s="210"/>
      <c r="F717" s="236"/>
      <c r="G717" s="236"/>
      <c r="H717" s="40">
        <f>SUM(Tabla132112416[[#This Row],[PRIMER TRIMESTRE]:[CUARTO TRIMESTRE]])</f>
        <v>0</v>
      </c>
      <c r="I717" s="17">
        <v>56400</v>
      </c>
      <c r="J717" s="17">
        <f t="shared" si="20"/>
        <v>0</v>
      </c>
      <c r="K717" s="17"/>
      <c r="L717" s="16" t="s">
        <v>18</v>
      </c>
      <c r="M717" s="16" t="s">
        <v>22</v>
      </c>
      <c r="N717" s="39"/>
    </row>
    <row r="718" spans="1:14" s="12" customFormat="1" ht="30">
      <c r="A718" s="178" t="s">
        <v>96</v>
      </c>
      <c r="B718" s="75" t="s">
        <v>1229</v>
      </c>
      <c r="C718" s="39" t="s">
        <v>17</v>
      </c>
      <c r="D718" s="236"/>
      <c r="E718" s="210"/>
      <c r="F718" s="236"/>
      <c r="G718" s="236"/>
      <c r="H718" s="40">
        <f>SUM(Tabla132112416[[#This Row],[PRIMER TRIMESTRE]:[CUARTO TRIMESTRE]])</f>
        <v>0</v>
      </c>
      <c r="I718" s="17">
        <v>56400</v>
      </c>
      <c r="J718" s="17">
        <f t="shared" si="20"/>
        <v>0</v>
      </c>
      <c r="K718" s="17"/>
      <c r="L718" s="16" t="s">
        <v>18</v>
      </c>
      <c r="M718" s="16" t="s">
        <v>22</v>
      </c>
      <c r="N718" s="39"/>
    </row>
    <row r="719" spans="1:14" s="12" customFormat="1" ht="30">
      <c r="A719" s="178" t="s">
        <v>96</v>
      </c>
      <c r="B719" s="75" t="s">
        <v>827</v>
      </c>
      <c r="C719" s="39" t="s">
        <v>17</v>
      </c>
      <c r="D719" s="236"/>
      <c r="E719" s="210"/>
      <c r="F719" s="236"/>
      <c r="G719" s="236"/>
      <c r="H719" s="40">
        <f>SUM(Tabla132112416[[#This Row],[PRIMER TRIMESTRE]:[CUARTO TRIMESTRE]])</f>
        <v>0</v>
      </c>
      <c r="I719" s="17">
        <v>2415</v>
      </c>
      <c r="J719" s="17">
        <f t="shared" si="20"/>
        <v>0</v>
      </c>
      <c r="K719" s="17"/>
      <c r="L719" s="16" t="s">
        <v>18</v>
      </c>
      <c r="M719" s="16" t="s">
        <v>22</v>
      </c>
      <c r="N719" s="39"/>
    </row>
    <row r="720" spans="1:14" s="12" customFormat="1" ht="30">
      <c r="A720" s="178" t="s">
        <v>96</v>
      </c>
      <c r="B720" s="75" t="s">
        <v>828</v>
      </c>
      <c r="C720" s="39" t="s">
        <v>17</v>
      </c>
      <c r="D720" s="236"/>
      <c r="E720" s="210"/>
      <c r="F720" s="236"/>
      <c r="G720" s="236"/>
      <c r="H720" s="40">
        <f>SUM(Tabla132112416[[#This Row],[PRIMER TRIMESTRE]:[CUARTO TRIMESTRE]])</f>
        <v>0</v>
      </c>
      <c r="I720" s="17">
        <v>3266</v>
      </c>
      <c r="J720" s="17">
        <f t="shared" si="20"/>
        <v>0</v>
      </c>
      <c r="K720" s="17"/>
      <c r="L720" s="16" t="s">
        <v>18</v>
      </c>
      <c r="M720" s="16" t="s">
        <v>22</v>
      </c>
      <c r="N720" s="39"/>
    </row>
    <row r="721" spans="1:14" s="12" customFormat="1" ht="30">
      <c r="A721" s="178" t="s">
        <v>96</v>
      </c>
      <c r="B721" s="75" t="s">
        <v>829</v>
      </c>
      <c r="C721" s="39" t="s">
        <v>17</v>
      </c>
      <c r="D721" s="236"/>
      <c r="E721" s="210"/>
      <c r="F721" s="236"/>
      <c r="G721" s="236"/>
      <c r="H721" s="40">
        <f>SUM(Tabla132112416[[#This Row],[PRIMER TRIMESTRE]:[CUARTO TRIMESTRE]])</f>
        <v>0</v>
      </c>
      <c r="I721" s="17">
        <v>4000</v>
      </c>
      <c r="J721" s="17">
        <f t="shared" si="20"/>
        <v>0</v>
      </c>
      <c r="K721" s="17"/>
      <c r="L721" s="16" t="s">
        <v>18</v>
      </c>
      <c r="M721" s="16" t="s">
        <v>22</v>
      </c>
      <c r="N721" s="39"/>
    </row>
    <row r="722" spans="1:14" s="12" customFormat="1" ht="30">
      <c r="A722" s="178" t="s">
        <v>96</v>
      </c>
      <c r="B722" s="75" t="s">
        <v>830</v>
      </c>
      <c r="C722" s="39" t="s">
        <v>17</v>
      </c>
      <c r="D722" s="236"/>
      <c r="E722" s="210"/>
      <c r="F722" s="236"/>
      <c r="G722" s="236"/>
      <c r="H722" s="40">
        <f>SUM(Tabla132112416[[#This Row],[PRIMER TRIMESTRE]:[CUARTO TRIMESTRE]])</f>
        <v>0</v>
      </c>
      <c r="I722" s="17">
        <v>4957</v>
      </c>
      <c r="J722" s="17">
        <f t="shared" si="20"/>
        <v>0</v>
      </c>
      <c r="K722" s="17"/>
      <c r="L722" s="16" t="s">
        <v>18</v>
      </c>
      <c r="M722" s="16" t="s">
        <v>22</v>
      </c>
      <c r="N722" s="39"/>
    </row>
    <row r="723" spans="1:14" s="12" customFormat="1" ht="30">
      <c r="A723" s="178" t="s">
        <v>96</v>
      </c>
      <c r="B723" s="75" t="s">
        <v>831</v>
      </c>
      <c r="C723" s="39" t="s">
        <v>17</v>
      </c>
      <c r="D723" s="236"/>
      <c r="E723" s="210"/>
      <c r="F723" s="236"/>
      <c r="G723" s="236"/>
      <c r="H723" s="40">
        <f>SUM(Tabla132112416[[#This Row],[PRIMER TRIMESTRE]:[CUARTO TRIMESTRE]])</f>
        <v>0</v>
      </c>
      <c r="I723" s="17">
        <v>5394</v>
      </c>
      <c r="J723" s="17">
        <f t="shared" si="20"/>
        <v>0</v>
      </c>
      <c r="K723" s="17"/>
      <c r="L723" s="16" t="s">
        <v>18</v>
      </c>
      <c r="M723" s="16" t="s">
        <v>22</v>
      </c>
      <c r="N723" s="39"/>
    </row>
    <row r="724" spans="1:14" s="12" customFormat="1" ht="30">
      <c r="A724" s="178" t="s">
        <v>96</v>
      </c>
      <c r="B724" s="75" t="s">
        <v>1511</v>
      </c>
      <c r="C724" s="39" t="s">
        <v>17</v>
      </c>
      <c r="D724" s="236"/>
      <c r="E724" s="236"/>
      <c r="F724" s="236"/>
      <c r="G724" s="236"/>
      <c r="H724" s="236">
        <f>SUM(Tabla132112416[[#This Row],[PRIMER TRIMESTRE]:[CUARTO TRIMESTRE]])</f>
        <v>0</v>
      </c>
      <c r="I724" s="17">
        <v>58148.4</v>
      </c>
      <c r="J724" s="17">
        <f t="shared" si="20"/>
        <v>0</v>
      </c>
      <c r="K724" s="17"/>
      <c r="L724" s="16" t="s">
        <v>18</v>
      </c>
      <c r="M724" s="16" t="s">
        <v>22</v>
      </c>
      <c r="N724" s="39"/>
    </row>
    <row r="725" spans="1:14" s="12" customFormat="1" ht="30">
      <c r="A725" s="178" t="s">
        <v>96</v>
      </c>
      <c r="B725" s="75" t="s">
        <v>1512</v>
      </c>
      <c r="C725" s="236" t="s">
        <v>17</v>
      </c>
      <c r="D725" s="236"/>
      <c r="E725" s="236"/>
      <c r="F725" s="236"/>
      <c r="G725" s="236"/>
      <c r="H725" s="236">
        <f>SUM(Tabla132112416[[#This Row],[PRIMER TRIMESTRE]:[CUARTO TRIMESTRE]])</f>
        <v>0</v>
      </c>
      <c r="I725" s="17">
        <v>3703</v>
      </c>
      <c r="J725" s="17">
        <f t="shared" si="20"/>
        <v>0</v>
      </c>
      <c r="K725" s="17"/>
      <c r="L725" s="16" t="s">
        <v>18</v>
      </c>
      <c r="M725" s="16" t="s">
        <v>22</v>
      </c>
      <c r="N725" s="39"/>
    </row>
    <row r="726" spans="1:14" s="12" customFormat="1" ht="30">
      <c r="A726" s="178" t="s">
        <v>96</v>
      </c>
      <c r="B726" s="75" t="s">
        <v>1513</v>
      </c>
      <c r="C726" s="236" t="s">
        <v>17</v>
      </c>
      <c r="D726" s="236"/>
      <c r="E726" s="236"/>
      <c r="F726" s="236"/>
      <c r="G726" s="236"/>
      <c r="H726" s="236">
        <f>SUM(Tabla132112416[[#This Row],[PRIMER TRIMESTRE]:[CUARTO TRIMESTRE]])</f>
        <v>0</v>
      </c>
      <c r="I726" s="17">
        <v>3703.83</v>
      </c>
      <c r="J726" s="17">
        <f t="shared" si="20"/>
        <v>0</v>
      </c>
      <c r="K726" s="17"/>
      <c r="L726" s="16" t="s">
        <v>18</v>
      </c>
      <c r="M726" s="16" t="s">
        <v>22</v>
      </c>
      <c r="N726" s="39"/>
    </row>
    <row r="727" spans="1:14" s="12" customFormat="1" ht="30">
      <c r="A727" s="178" t="s">
        <v>96</v>
      </c>
      <c r="B727" s="75" t="s">
        <v>1514</v>
      </c>
      <c r="C727" s="236" t="s">
        <v>17</v>
      </c>
      <c r="D727" s="236"/>
      <c r="E727" s="236"/>
      <c r="F727" s="236"/>
      <c r="G727" s="236"/>
      <c r="H727" s="236">
        <f>SUM(Tabla132112416[[#This Row],[PRIMER TRIMESTRE]:[CUARTO TRIMESTRE]])</f>
        <v>0</v>
      </c>
      <c r="I727" s="17">
        <v>4018</v>
      </c>
      <c r="J727" s="17">
        <f t="shared" si="20"/>
        <v>0</v>
      </c>
      <c r="K727" s="17"/>
      <c r="L727" s="16" t="s">
        <v>18</v>
      </c>
      <c r="M727" s="16" t="s">
        <v>22</v>
      </c>
      <c r="N727" s="39"/>
    </row>
    <row r="728" spans="1:14" s="12" customFormat="1" ht="30">
      <c r="A728" s="178" t="s">
        <v>96</v>
      </c>
      <c r="B728" s="75" t="s">
        <v>1721</v>
      </c>
      <c r="C728" s="236" t="s">
        <v>17</v>
      </c>
      <c r="D728" s="236"/>
      <c r="E728" s="236"/>
      <c r="F728" s="236"/>
      <c r="G728" s="236"/>
      <c r="H728" s="40">
        <v>0</v>
      </c>
      <c r="I728" s="17">
        <v>0</v>
      </c>
      <c r="J728" s="17">
        <v>0</v>
      </c>
      <c r="K728" s="17"/>
      <c r="L728" s="16" t="s">
        <v>18</v>
      </c>
      <c r="M728" s="16" t="s">
        <v>22</v>
      </c>
      <c r="N728" s="39"/>
    </row>
    <row r="729" spans="1:14" s="12" customFormat="1" ht="30">
      <c r="A729" s="178" t="s">
        <v>96</v>
      </c>
      <c r="B729" s="75" t="s">
        <v>1515</v>
      </c>
      <c r="C729" s="236" t="s">
        <v>17</v>
      </c>
      <c r="D729" s="236"/>
      <c r="E729" s="236"/>
      <c r="F729" s="236"/>
      <c r="G729" s="236"/>
      <c r="H729" s="236">
        <f>SUM(Tabla132112416[[#This Row],[PRIMER TRIMESTRE]:[CUARTO TRIMESTRE]])</f>
        <v>0</v>
      </c>
      <c r="I729" s="17">
        <v>4500</v>
      </c>
      <c r="J729" s="17">
        <f t="shared" si="20"/>
        <v>0</v>
      </c>
      <c r="K729" s="17"/>
      <c r="L729" s="16" t="s">
        <v>18</v>
      </c>
      <c r="M729" s="16" t="s">
        <v>22</v>
      </c>
      <c r="N729" s="39"/>
    </row>
    <row r="730" spans="1:14" s="12" customFormat="1" ht="30">
      <c r="A730" s="178" t="s">
        <v>96</v>
      </c>
      <c r="B730" s="75" t="s">
        <v>1516</v>
      </c>
      <c r="C730" s="236" t="s">
        <v>17</v>
      </c>
      <c r="D730" s="236"/>
      <c r="E730" s="236"/>
      <c r="F730" s="236"/>
      <c r="G730" s="236"/>
      <c r="H730" s="236">
        <f>SUM(Tabla132112416[[#This Row],[PRIMER TRIMESTRE]:[CUARTO TRIMESTRE]])</f>
        <v>0</v>
      </c>
      <c r="I730" s="17">
        <v>2185</v>
      </c>
      <c r="J730" s="17">
        <f t="shared" si="20"/>
        <v>0</v>
      </c>
      <c r="K730" s="17"/>
      <c r="L730" s="16" t="s">
        <v>18</v>
      </c>
      <c r="M730" s="16" t="s">
        <v>22</v>
      </c>
      <c r="N730" s="39"/>
    </row>
    <row r="731" spans="1:14" s="12" customFormat="1" ht="30">
      <c r="A731" s="178" t="s">
        <v>96</v>
      </c>
      <c r="B731" s="75" t="s">
        <v>1517</v>
      </c>
      <c r="C731" s="236" t="s">
        <v>17</v>
      </c>
      <c r="D731" s="236"/>
      <c r="E731" s="236"/>
      <c r="F731" s="236"/>
      <c r="G731" s="236"/>
      <c r="H731" s="236">
        <f>SUM(Tabla132112416[[#This Row],[PRIMER TRIMESTRE]:[CUARTO TRIMESTRE]])</f>
        <v>0</v>
      </c>
      <c r="I731" s="17">
        <v>2185</v>
      </c>
      <c r="J731" s="17">
        <f t="shared" si="20"/>
        <v>0</v>
      </c>
      <c r="K731" s="17"/>
      <c r="L731" s="16" t="s">
        <v>18</v>
      </c>
      <c r="M731" s="16" t="s">
        <v>22</v>
      </c>
      <c r="N731" s="39"/>
    </row>
    <row r="732" spans="1:14" s="12" customFormat="1" ht="30">
      <c r="A732" s="178" t="s">
        <v>96</v>
      </c>
      <c r="B732" s="75" t="s">
        <v>832</v>
      </c>
      <c r="C732" s="39" t="s">
        <v>17</v>
      </c>
      <c r="D732" s="236"/>
      <c r="E732" s="236"/>
      <c r="F732" s="236"/>
      <c r="G732" s="236"/>
      <c r="H732" s="40">
        <f>SUM(Tabla132112416[[#This Row],[PRIMER TRIMESTRE]:[CUARTO TRIMESTRE]])</f>
        <v>0</v>
      </c>
      <c r="I732" s="17">
        <v>5772</v>
      </c>
      <c r="J732" s="17">
        <f t="shared" si="20"/>
        <v>0</v>
      </c>
      <c r="K732" s="17"/>
      <c r="L732" s="16" t="s">
        <v>18</v>
      </c>
      <c r="M732" s="16" t="s">
        <v>22</v>
      </c>
      <c r="N732" s="39"/>
    </row>
    <row r="733" spans="1:14" s="12" customFormat="1" ht="30">
      <c r="A733" s="178" t="s">
        <v>96</v>
      </c>
      <c r="B733" s="75" t="s">
        <v>833</v>
      </c>
      <c r="C733" s="39" t="s">
        <v>17</v>
      </c>
      <c r="D733" s="236"/>
      <c r="E733" s="236"/>
      <c r="F733" s="236"/>
      <c r="G733" s="236"/>
      <c r="H733" s="40">
        <f>SUM(Tabla132112416[[#This Row],[PRIMER TRIMESTRE]:[CUARTO TRIMESTRE]])</f>
        <v>0</v>
      </c>
      <c r="I733" s="17">
        <v>6168.42</v>
      </c>
      <c r="J733" s="17">
        <f t="shared" si="20"/>
        <v>0</v>
      </c>
      <c r="K733" s="17"/>
      <c r="L733" s="16" t="s">
        <v>18</v>
      </c>
      <c r="M733" s="16" t="s">
        <v>22</v>
      </c>
      <c r="N733" s="39"/>
    </row>
    <row r="734" spans="1:14" s="12" customFormat="1" ht="30">
      <c r="A734" s="178" t="s">
        <v>96</v>
      </c>
      <c r="B734" s="75" t="s">
        <v>834</v>
      </c>
      <c r="C734" s="39" t="s">
        <v>17</v>
      </c>
      <c r="D734" s="236"/>
      <c r="E734" s="236"/>
      <c r="F734" s="236"/>
      <c r="G734" s="236"/>
      <c r="H734" s="40">
        <f>SUM(Tabla132112416[[#This Row],[PRIMER TRIMESTRE]:[CUARTO TRIMESTRE]])</f>
        <v>0</v>
      </c>
      <c r="I734" s="17">
        <v>14000</v>
      </c>
      <c r="J734" s="17">
        <f t="shared" si="20"/>
        <v>0</v>
      </c>
      <c r="K734" s="17"/>
      <c r="L734" s="16" t="s">
        <v>18</v>
      </c>
      <c r="M734" s="16" t="s">
        <v>22</v>
      </c>
      <c r="N734" s="39"/>
    </row>
    <row r="735" spans="1:14" s="12" customFormat="1" ht="30">
      <c r="A735" s="178" t="s">
        <v>96</v>
      </c>
      <c r="B735" s="75" t="s">
        <v>835</v>
      </c>
      <c r="C735" s="39" t="s">
        <v>17</v>
      </c>
      <c r="D735" s="236"/>
      <c r="E735" s="236"/>
      <c r="F735" s="236"/>
      <c r="G735" s="236"/>
      <c r="H735" s="40">
        <f>SUM(Tabla132112416[[#This Row],[PRIMER TRIMESTRE]:[CUARTO TRIMESTRE]])</f>
        <v>0</v>
      </c>
      <c r="I735" s="17">
        <v>15000</v>
      </c>
      <c r="J735" s="17">
        <f t="shared" si="20"/>
        <v>0</v>
      </c>
      <c r="K735" s="17"/>
      <c r="L735" s="16" t="s">
        <v>18</v>
      </c>
      <c r="M735" s="16" t="s">
        <v>22</v>
      </c>
      <c r="N735" s="39"/>
    </row>
    <row r="736" spans="1:14" s="12" customFormat="1" ht="30">
      <c r="A736" s="178" t="s">
        <v>96</v>
      </c>
      <c r="B736" s="75" t="s">
        <v>836</v>
      </c>
      <c r="C736" s="39" t="s">
        <v>17</v>
      </c>
      <c r="D736" s="236"/>
      <c r="E736" s="236"/>
      <c r="F736" s="236"/>
      <c r="G736" s="236"/>
      <c r="H736" s="40">
        <f>SUM(Tabla132112416[[#This Row],[PRIMER TRIMESTRE]:[CUARTO TRIMESTRE]])</f>
        <v>0</v>
      </c>
      <c r="I736" s="17">
        <v>16500</v>
      </c>
      <c r="J736" s="17">
        <f t="shared" si="20"/>
        <v>0</v>
      </c>
      <c r="K736" s="17"/>
      <c r="L736" s="16" t="s">
        <v>18</v>
      </c>
      <c r="M736" s="16" t="s">
        <v>22</v>
      </c>
      <c r="N736" s="39"/>
    </row>
    <row r="737" spans="1:14" s="12" customFormat="1" ht="30">
      <c r="A737" s="178" t="s">
        <v>96</v>
      </c>
      <c r="B737" s="75" t="s">
        <v>1449</v>
      </c>
      <c r="C737" s="39" t="s">
        <v>17</v>
      </c>
      <c r="D737" s="236"/>
      <c r="E737" s="236"/>
      <c r="F737" s="236"/>
      <c r="G737" s="236"/>
      <c r="H737" s="40">
        <f>SUM(Tabla132112416[[#This Row],[PRIMER TRIMESTRE]:[CUARTO TRIMESTRE]])</f>
        <v>0</v>
      </c>
      <c r="I737" s="17">
        <v>20600</v>
      </c>
      <c r="J737" s="17">
        <f t="shared" si="20"/>
        <v>0</v>
      </c>
      <c r="K737" s="17"/>
      <c r="L737" s="16" t="s">
        <v>18</v>
      </c>
      <c r="M737" s="16" t="s">
        <v>22</v>
      </c>
      <c r="N737" s="39"/>
    </row>
    <row r="738" spans="1:14" s="12" customFormat="1" ht="38.25">
      <c r="A738" s="178" t="s">
        <v>96</v>
      </c>
      <c r="B738" s="75" t="s">
        <v>843</v>
      </c>
      <c r="C738" s="39" t="s">
        <v>17</v>
      </c>
      <c r="D738" s="236"/>
      <c r="E738" s="236"/>
      <c r="F738" s="236"/>
      <c r="G738" s="236"/>
      <c r="H738" s="40">
        <f>SUM(Tabla132112416[[#This Row],[PRIMER TRIMESTRE]:[CUARTO TRIMESTRE]])</f>
        <v>0</v>
      </c>
      <c r="I738" s="17">
        <v>4270</v>
      </c>
      <c r="J738" s="17">
        <f t="shared" si="20"/>
        <v>0</v>
      </c>
      <c r="K738" s="17"/>
      <c r="L738" s="16" t="s">
        <v>18</v>
      </c>
      <c r="M738" s="16" t="s">
        <v>22</v>
      </c>
      <c r="N738" s="39"/>
    </row>
    <row r="739" spans="1:14" s="12" customFormat="1" ht="38.25">
      <c r="A739" s="178" t="s">
        <v>96</v>
      </c>
      <c r="B739" s="75" t="s">
        <v>844</v>
      </c>
      <c r="C739" s="39" t="s">
        <v>17</v>
      </c>
      <c r="D739" s="236"/>
      <c r="E739" s="236"/>
      <c r="F739" s="236"/>
      <c r="G739" s="236"/>
      <c r="H739" s="40">
        <f>SUM(Tabla132112416[[#This Row],[PRIMER TRIMESTRE]:[CUARTO TRIMESTRE]])</f>
        <v>0</v>
      </c>
      <c r="I739" s="17">
        <v>4320</v>
      </c>
      <c r="J739" s="17">
        <f t="shared" si="20"/>
        <v>0</v>
      </c>
      <c r="K739" s="17"/>
      <c r="L739" s="16" t="s">
        <v>18</v>
      </c>
      <c r="M739" s="16" t="s">
        <v>22</v>
      </c>
      <c r="N739" s="39"/>
    </row>
    <row r="740" spans="1:14" s="12" customFormat="1" ht="38.25">
      <c r="A740" s="178" t="s">
        <v>96</v>
      </c>
      <c r="B740" s="75" t="s">
        <v>845</v>
      </c>
      <c r="C740" s="39" t="s">
        <v>17</v>
      </c>
      <c r="D740" s="236"/>
      <c r="E740" s="236"/>
      <c r="F740" s="236"/>
      <c r="G740" s="236"/>
      <c r="H740" s="40">
        <f>SUM(Tabla132112416[[#This Row],[PRIMER TRIMESTRE]:[CUARTO TRIMESTRE]])</f>
        <v>0</v>
      </c>
      <c r="I740" s="17">
        <v>4560</v>
      </c>
      <c r="J740" s="17">
        <f t="shared" si="20"/>
        <v>0</v>
      </c>
      <c r="K740" s="17"/>
      <c r="L740" s="16" t="s">
        <v>18</v>
      </c>
      <c r="M740" s="16" t="s">
        <v>22</v>
      </c>
      <c r="N740" s="39"/>
    </row>
    <row r="741" spans="1:14" s="12" customFormat="1" ht="38.25">
      <c r="A741" s="178" t="s">
        <v>96</v>
      </c>
      <c r="B741" s="75" t="s">
        <v>846</v>
      </c>
      <c r="C741" s="39" t="s">
        <v>17</v>
      </c>
      <c r="D741" s="236"/>
      <c r="E741" s="236"/>
      <c r="F741" s="236"/>
      <c r="G741" s="236"/>
      <c r="H741" s="40">
        <f>SUM(Tabla132112416[[#This Row],[PRIMER TRIMESTRE]:[CUARTO TRIMESTRE]])</f>
        <v>0</v>
      </c>
      <c r="I741" s="17">
        <v>5684</v>
      </c>
      <c r="J741" s="17">
        <f t="shared" si="20"/>
        <v>0</v>
      </c>
      <c r="K741" s="17"/>
      <c r="L741" s="16" t="s">
        <v>18</v>
      </c>
      <c r="M741" s="16" t="s">
        <v>22</v>
      </c>
      <c r="N741" s="39"/>
    </row>
    <row r="742" spans="1:14" s="12" customFormat="1" ht="38.25">
      <c r="A742" s="178" t="s">
        <v>96</v>
      </c>
      <c r="B742" s="75" t="s">
        <v>847</v>
      </c>
      <c r="C742" s="39" t="s">
        <v>17</v>
      </c>
      <c r="D742" s="236"/>
      <c r="E742" s="236"/>
      <c r="F742" s="236"/>
      <c r="G742" s="236"/>
      <c r="H742" s="40">
        <f>SUM(Tabla132112416[[#This Row],[PRIMER TRIMESTRE]:[CUARTO TRIMESTRE]])</f>
        <v>0</v>
      </c>
      <c r="I742" s="17">
        <v>5300</v>
      </c>
      <c r="J742" s="17">
        <f t="shared" si="20"/>
        <v>0</v>
      </c>
      <c r="K742" s="17"/>
      <c r="L742" s="16" t="s">
        <v>18</v>
      </c>
      <c r="M742" s="16" t="s">
        <v>22</v>
      </c>
      <c r="N742" s="39"/>
    </row>
    <row r="743" spans="1:14" s="12" customFormat="1" ht="38.25">
      <c r="A743" s="178" t="s">
        <v>96</v>
      </c>
      <c r="B743" s="75" t="s">
        <v>848</v>
      </c>
      <c r="C743" s="39" t="s">
        <v>17</v>
      </c>
      <c r="D743" s="236"/>
      <c r="E743" s="236"/>
      <c r="F743" s="236"/>
      <c r="G743" s="236"/>
      <c r="H743" s="40">
        <f>SUM(Tabla132112416[[#This Row],[PRIMER TRIMESTRE]:[CUARTO TRIMESTRE]])</f>
        <v>0</v>
      </c>
      <c r="I743" s="17">
        <v>4958</v>
      </c>
      <c r="J743" s="17">
        <f t="shared" si="20"/>
        <v>0</v>
      </c>
      <c r="K743" s="17"/>
      <c r="L743" s="16" t="s">
        <v>18</v>
      </c>
      <c r="M743" s="16" t="s">
        <v>22</v>
      </c>
      <c r="N743" s="39"/>
    </row>
    <row r="744" spans="1:14" s="12" customFormat="1" ht="38.25">
      <c r="A744" s="178" t="s">
        <v>96</v>
      </c>
      <c r="B744" s="75" t="s">
        <v>849</v>
      </c>
      <c r="C744" s="39" t="s">
        <v>17</v>
      </c>
      <c r="D744" s="236"/>
      <c r="E744" s="236"/>
      <c r="F744" s="236"/>
      <c r="G744" s="236"/>
      <c r="H744" s="40">
        <f>SUM(Tabla132112416[[#This Row],[PRIMER TRIMESTRE]:[CUARTO TRIMESTRE]])</f>
        <v>0</v>
      </c>
      <c r="I744" s="17">
        <v>6958</v>
      </c>
      <c r="J744" s="17">
        <f t="shared" si="20"/>
        <v>0</v>
      </c>
      <c r="K744" s="17"/>
      <c r="L744" s="16" t="s">
        <v>18</v>
      </c>
      <c r="M744" s="16" t="s">
        <v>22</v>
      </c>
      <c r="N744" s="39"/>
    </row>
    <row r="745" spans="1:14" s="12" customFormat="1" ht="38.25">
      <c r="A745" s="178" t="s">
        <v>96</v>
      </c>
      <c r="B745" s="75" t="s">
        <v>850</v>
      </c>
      <c r="C745" s="39" t="s">
        <v>17</v>
      </c>
      <c r="D745" s="236"/>
      <c r="E745" s="236"/>
      <c r="F745" s="236"/>
      <c r="G745" s="236"/>
      <c r="H745" s="40">
        <f>SUM(Tabla132112416[[#This Row],[PRIMER TRIMESTRE]:[CUARTO TRIMESTRE]])</f>
        <v>0</v>
      </c>
      <c r="I745" s="17">
        <v>7050</v>
      </c>
      <c r="J745" s="17">
        <f t="shared" si="20"/>
        <v>0</v>
      </c>
      <c r="K745" s="17"/>
      <c r="L745" s="16" t="s">
        <v>18</v>
      </c>
      <c r="M745" s="16" t="s">
        <v>22</v>
      </c>
      <c r="N745" s="39"/>
    </row>
    <row r="746" spans="1:14" s="12" customFormat="1" ht="38.25">
      <c r="A746" s="178" t="s">
        <v>96</v>
      </c>
      <c r="B746" s="75" t="s">
        <v>851</v>
      </c>
      <c r="C746" s="39" t="s">
        <v>17</v>
      </c>
      <c r="D746" s="236"/>
      <c r="E746" s="236"/>
      <c r="F746" s="236"/>
      <c r="G746" s="236"/>
      <c r="H746" s="40">
        <f>SUM(Tabla132112416[[#This Row],[PRIMER TRIMESTRE]:[CUARTO TRIMESTRE]])</f>
        <v>0</v>
      </c>
      <c r="I746" s="17">
        <v>7950</v>
      </c>
      <c r="J746" s="17">
        <f t="shared" si="20"/>
        <v>0</v>
      </c>
      <c r="K746" s="17"/>
      <c r="L746" s="16" t="s">
        <v>18</v>
      </c>
      <c r="M746" s="16" t="s">
        <v>22</v>
      </c>
      <c r="N746" s="39"/>
    </row>
    <row r="747" spans="1:14" s="12" customFormat="1" ht="38.25">
      <c r="A747" s="178" t="s">
        <v>96</v>
      </c>
      <c r="B747" s="75" t="s">
        <v>852</v>
      </c>
      <c r="C747" s="39" t="s">
        <v>17</v>
      </c>
      <c r="D747" s="236"/>
      <c r="E747" s="236"/>
      <c r="F747" s="236"/>
      <c r="G747" s="236"/>
      <c r="H747" s="40">
        <f>SUM(Tabla132112416[[#This Row],[PRIMER TRIMESTRE]:[CUARTO TRIMESTRE]])</f>
        <v>0</v>
      </c>
      <c r="I747" s="17">
        <v>8338.15</v>
      </c>
      <c r="J747" s="17">
        <f t="shared" si="20"/>
        <v>0</v>
      </c>
      <c r="K747" s="17"/>
      <c r="L747" s="16" t="s">
        <v>18</v>
      </c>
      <c r="M747" s="16" t="s">
        <v>22</v>
      </c>
      <c r="N747" s="39"/>
    </row>
    <row r="748" spans="1:14" s="12" customFormat="1" ht="38.25">
      <c r="A748" s="178" t="s">
        <v>96</v>
      </c>
      <c r="B748" s="75" t="s">
        <v>853</v>
      </c>
      <c r="C748" s="39" t="s">
        <v>17</v>
      </c>
      <c r="D748" s="236"/>
      <c r="E748" s="236"/>
      <c r="F748" s="236"/>
      <c r="G748" s="236"/>
      <c r="H748" s="40">
        <f>SUM(Tabla132112416[[#This Row],[PRIMER TRIMESTRE]:[CUARTO TRIMESTRE]])</f>
        <v>0</v>
      </c>
      <c r="I748" s="17">
        <v>9900.17</v>
      </c>
      <c r="J748" s="17">
        <f t="shared" si="20"/>
        <v>0</v>
      </c>
      <c r="K748" s="17"/>
      <c r="L748" s="16" t="s">
        <v>18</v>
      </c>
      <c r="M748" s="16" t="s">
        <v>22</v>
      </c>
      <c r="N748" s="39"/>
    </row>
    <row r="749" spans="1:14" s="12" customFormat="1" ht="47.25">
      <c r="A749" s="178" t="s">
        <v>96</v>
      </c>
      <c r="B749" s="16" t="str">
        <f ca="1">+UPPER(Tabla132112416[[#This Row],[DESCRIPCIÓN DE LA COMPRA O CONTRATACIÓN]])</f>
        <v>MONITORES DE FASE A 460 VOLTIOS, CONTRA PÉRDIDA DE FASE E INVERSIÓN DE GIRO CON SU BASE</v>
      </c>
      <c r="C749" s="39" t="s">
        <v>17</v>
      </c>
      <c r="D749" s="236"/>
      <c r="E749" s="236"/>
      <c r="F749" s="236"/>
      <c r="G749" s="236"/>
      <c r="H749" s="40">
        <f>SUM(Tabla132112416[[#This Row],[PRIMER TRIMESTRE]:[CUARTO TRIMESTRE]])</f>
        <v>0</v>
      </c>
      <c r="I749" s="17">
        <v>7500</v>
      </c>
      <c r="J749" s="17">
        <f t="shared" si="20"/>
        <v>0</v>
      </c>
      <c r="K749" s="17"/>
      <c r="L749" s="16" t="s">
        <v>18</v>
      </c>
      <c r="M749" s="16" t="s">
        <v>22</v>
      </c>
      <c r="N749" s="39"/>
    </row>
    <row r="750" spans="1:14" s="12" customFormat="1" ht="47.25">
      <c r="A750" s="178" t="s">
        <v>96</v>
      </c>
      <c r="B750" s="16" t="s">
        <v>1509</v>
      </c>
      <c r="C750" s="39" t="s">
        <v>17</v>
      </c>
      <c r="D750" s="236"/>
      <c r="E750" s="236"/>
      <c r="F750" s="236"/>
      <c r="G750" s="236"/>
      <c r="H750" s="40">
        <f>SUM(Tabla132112416[[#This Row],[PRIMER TRIMESTRE]:[CUARTO TRIMESTRE]])</f>
        <v>0</v>
      </c>
      <c r="I750" s="17">
        <v>5400</v>
      </c>
      <c r="J750" s="17">
        <f t="shared" si="20"/>
        <v>0</v>
      </c>
      <c r="K750" s="17"/>
      <c r="L750" s="16" t="s">
        <v>18</v>
      </c>
      <c r="M750" s="16" t="s">
        <v>22</v>
      </c>
      <c r="N750" s="39"/>
    </row>
    <row r="751" spans="1:14" s="12" customFormat="1" ht="47.25">
      <c r="A751" s="178" t="s">
        <v>96</v>
      </c>
      <c r="B751" s="16" t="str">
        <f ca="1">+UPPER(Tabla132112416[[#This Row],[DESCRIPCIÓN DE LA COMPRA O CONTRATACIÓN]])</f>
        <v>MONITORES DE FASE A 230 VOLTIOS, CONTRA PÉRDIDA DE FASE E INVERSIÓN DE GIRO CON SU BASE</v>
      </c>
      <c r="C751" s="39" t="s">
        <v>17</v>
      </c>
      <c r="D751" s="236"/>
      <c r="E751" s="236"/>
      <c r="F751" s="236"/>
      <c r="G751" s="236"/>
      <c r="H751" s="40">
        <f>SUM(Tabla132112416[[#This Row],[PRIMER TRIMESTRE]:[CUARTO TRIMESTRE]])</f>
        <v>0</v>
      </c>
      <c r="I751" s="17">
        <v>7500</v>
      </c>
      <c r="J751" s="17">
        <f t="shared" si="20"/>
        <v>0</v>
      </c>
      <c r="K751" s="17"/>
      <c r="L751" s="16" t="s">
        <v>18</v>
      </c>
      <c r="M751" s="16" t="s">
        <v>22</v>
      </c>
      <c r="N751" s="39"/>
    </row>
    <row r="752" spans="1:14" s="12" customFormat="1" ht="47.25">
      <c r="A752" s="178" t="s">
        <v>1676</v>
      </c>
      <c r="B752" s="16" t="s">
        <v>1854</v>
      </c>
      <c r="C752" s="39" t="s">
        <v>17</v>
      </c>
      <c r="D752" s="236"/>
      <c r="E752" s="236"/>
      <c r="F752" s="236"/>
      <c r="G752" s="236"/>
      <c r="H752" s="40">
        <v>0</v>
      </c>
      <c r="I752" s="17">
        <v>0</v>
      </c>
      <c r="J752" s="17">
        <v>0</v>
      </c>
      <c r="K752" s="17"/>
      <c r="L752" s="16" t="s">
        <v>18</v>
      </c>
      <c r="M752" s="16" t="s">
        <v>19</v>
      </c>
      <c r="N752" s="39"/>
    </row>
    <row r="753" spans="1:14" s="12" customFormat="1" ht="38.25">
      <c r="A753" s="178" t="s">
        <v>96</v>
      </c>
      <c r="B753" s="75" t="s">
        <v>1695</v>
      </c>
      <c r="C753" s="39" t="s">
        <v>17</v>
      </c>
      <c r="D753" s="236"/>
      <c r="E753" s="236"/>
      <c r="F753" s="236"/>
      <c r="G753" s="236"/>
      <c r="H753" s="40">
        <v>0</v>
      </c>
      <c r="I753" s="17">
        <v>0</v>
      </c>
      <c r="J753" s="17">
        <v>0</v>
      </c>
      <c r="K753" s="17"/>
      <c r="L753" s="16" t="s">
        <v>18</v>
      </c>
      <c r="M753" s="16" t="s">
        <v>19</v>
      </c>
      <c r="N753" s="39"/>
    </row>
    <row r="754" spans="1:14" s="12" customFormat="1" ht="31.5">
      <c r="A754" s="178" t="s">
        <v>96</v>
      </c>
      <c r="B754" s="75" t="s">
        <v>854</v>
      </c>
      <c r="C754" s="39" t="s">
        <v>17</v>
      </c>
      <c r="D754" s="236"/>
      <c r="E754" s="210"/>
      <c r="F754" s="236"/>
      <c r="G754" s="236"/>
      <c r="H754" s="40">
        <f>SUM(Tabla132112416[[#This Row],[PRIMER TRIMESTRE]:[CUARTO TRIMESTRE]])</f>
        <v>0</v>
      </c>
      <c r="I754" s="72">
        <v>16500</v>
      </c>
      <c r="J754" s="17">
        <f t="shared" si="20"/>
        <v>0</v>
      </c>
      <c r="K754" s="17"/>
      <c r="L754" s="16" t="s">
        <v>18</v>
      </c>
      <c r="M754" s="16" t="s">
        <v>19</v>
      </c>
      <c r="N754" s="39"/>
    </row>
    <row r="755" spans="1:14" s="12" customFormat="1" ht="31.5">
      <c r="A755" s="178" t="s">
        <v>96</v>
      </c>
      <c r="B755" s="75" t="s">
        <v>1718</v>
      </c>
      <c r="C755" s="39" t="s">
        <v>17</v>
      </c>
      <c r="D755" s="236"/>
      <c r="E755" s="210"/>
      <c r="F755" s="236"/>
      <c r="G755" s="236"/>
      <c r="H755" s="40">
        <v>0</v>
      </c>
      <c r="I755" s="72">
        <v>0</v>
      </c>
      <c r="J755" s="17">
        <v>0</v>
      </c>
      <c r="K755" s="17"/>
      <c r="L755" s="16" t="s">
        <v>18</v>
      </c>
      <c r="M755" s="16" t="s">
        <v>19</v>
      </c>
      <c r="N755" s="39"/>
    </row>
    <row r="756" spans="1:14" s="12" customFormat="1" ht="31.5">
      <c r="A756" s="178" t="s">
        <v>96</v>
      </c>
      <c r="B756" s="75" t="s">
        <v>855</v>
      </c>
      <c r="C756" s="39" t="s">
        <v>17</v>
      </c>
      <c r="D756" s="236"/>
      <c r="E756" s="236"/>
      <c r="F756" s="236"/>
      <c r="G756" s="236"/>
      <c r="H756" s="40">
        <f>SUM(Tabla132112416[[#This Row],[PRIMER TRIMESTRE]:[CUARTO TRIMESTRE]])</f>
        <v>0</v>
      </c>
      <c r="I756" s="72">
        <v>60000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</row>
    <row r="757" spans="1:14" s="12" customFormat="1" ht="47.25">
      <c r="A757" s="178" t="s">
        <v>96</v>
      </c>
      <c r="B757" s="16" t="str">
        <f ca="1">+UPPER(Tabla132112416[[#This Row],[DESCRIPCIÓN DE LA COMPRA O CONTRATACIÓN]])</f>
        <v>MOTORES ELÉCTRICOS SUMERGIBLES, 3Ø, 230 /460 VOLTIOS, 60HZ, 1.15 FS, 3,450 RPM 7.5 HP NEMA 6</v>
      </c>
      <c r="C757" s="39" t="s">
        <v>17</v>
      </c>
      <c r="D757" s="236"/>
      <c r="E757" s="236"/>
      <c r="F757" s="236"/>
      <c r="G757" s="236"/>
      <c r="H757" s="40">
        <f>SUM(Tabla132112416[[#This Row],[PRIMER TRIMESTRE]:[CUARTO TRIMESTRE]])</f>
        <v>0</v>
      </c>
      <c r="I757" s="72">
        <v>81217.84</v>
      </c>
      <c r="J757" s="17">
        <f t="shared" si="20"/>
        <v>0</v>
      </c>
      <c r="K757" s="17"/>
      <c r="L757" s="16" t="s">
        <v>18</v>
      </c>
      <c r="M757" s="16" t="s">
        <v>19</v>
      </c>
      <c r="N757" s="39"/>
    </row>
    <row r="758" spans="1:14" s="12" customFormat="1" ht="47.25">
      <c r="A758" s="178" t="s">
        <v>96</v>
      </c>
      <c r="B758" s="16" t="str">
        <f ca="1">+UPPER(Tabla132112416[[#This Row],[DESCRIPCIÓN DE LA COMPRA O CONTRATACIÓN]])</f>
        <v>MOTORES ELÉCTRICOS SUMERGIBLES, 3Ø, 230 /460 VOLTIOS, 60HZ, 1.15 FS, 3,450 RPM 20 HP NEMA 6</v>
      </c>
      <c r="C758" s="39" t="s">
        <v>17</v>
      </c>
      <c r="D758" s="236"/>
      <c r="E758" s="210"/>
      <c r="F758" s="236"/>
      <c r="G758" s="210"/>
      <c r="H758" s="40">
        <f>SUM(Tabla132112416[[#This Row],[PRIMER TRIMESTRE]:[CUARTO TRIMESTRE]])</f>
        <v>0</v>
      </c>
      <c r="I758" s="17">
        <v>90520</v>
      </c>
      <c r="J758" s="17">
        <f t="shared" si="20"/>
        <v>0</v>
      </c>
      <c r="K758" s="17"/>
      <c r="L758" s="16" t="s">
        <v>18</v>
      </c>
      <c r="M758" s="16" t="s">
        <v>19</v>
      </c>
      <c r="N758" s="39"/>
    </row>
    <row r="759" spans="1:14" s="12" customFormat="1" ht="31.5">
      <c r="A759" s="178" t="s">
        <v>96</v>
      </c>
      <c r="B759" s="75" t="s">
        <v>856</v>
      </c>
      <c r="C759" s="39" t="s">
        <v>17</v>
      </c>
      <c r="D759" s="236"/>
      <c r="E759" s="236"/>
      <c r="F759" s="236"/>
      <c r="G759" s="236"/>
      <c r="H759" s="40">
        <f>SUM(Tabla132112416[[#This Row],[PRIMER TRIMESTRE]:[CUARTO TRIMESTRE]])</f>
        <v>0</v>
      </c>
      <c r="I759" s="17">
        <v>107544.96000000001</v>
      </c>
      <c r="J759" s="17">
        <f t="shared" si="20"/>
        <v>0</v>
      </c>
      <c r="K759" s="17"/>
      <c r="L759" s="16" t="s">
        <v>18</v>
      </c>
      <c r="M759" s="16" t="s">
        <v>19</v>
      </c>
      <c r="N759" s="39"/>
    </row>
    <row r="760" spans="1:14" s="12" customFormat="1" ht="31.5">
      <c r="A760" s="178" t="s">
        <v>96</v>
      </c>
      <c r="B760" s="75" t="s">
        <v>1684</v>
      </c>
      <c r="C760" s="39" t="s">
        <v>17</v>
      </c>
      <c r="D760" s="236"/>
      <c r="E760" s="236"/>
      <c r="F760" s="236"/>
      <c r="G760" s="236"/>
      <c r="H760" s="40">
        <v>0</v>
      </c>
      <c r="I760" s="17">
        <v>0</v>
      </c>
      <c r="J760" s="17">
        <v>0</v>
      </c>
      <c r="K760" s="17"/>
      <c r="L760" s="16" t="s">
        <v>18</v>
      </c>
      <c r="M760" s="16" t="s">
        <v>19</v>
      </c>
      <c r="N760" s="39"/>
    </row>
    <row r="761" spans="1:14" s="12" customFormat="1" ht="31.5">
      <c r="A761" s="178" t="s">
        <v>96</v>
      </c>
      <c r="B761" s="75" t="s">
        <v>1446</v>
      </c>
      <c r="C761" s="39" t="s">
        <v>17</v>
      </c>
      <c r="D761" s="236"/>
      <c r="E761" s="236"/>
      <c r="F761" s="236"/>
      <c r="G761" s="236"/>
      <c r="H761" s="40">
        <f>SUM(Tabla132112416[[#This Row],[PRIMER TRIMESTRE]:[CUARTO TRIMESTRE]])</f>
        <v>0</v>
      </c>
      <c r="I761" s="17">
        <v>132750</v>
      </c>
      <c r="J761" s="17">
        <f t="shared" si="20"/>
        <v>0</v>
      </c>
      <c r="K761" s="17"/>
      <c r="L761" s="16" t="s">
        <v>18</v>
      </c>
      <c r="M761" s="16" t="s">
        <v>19</v>
      </c>
      <c r="N761" s="39"/>
    </row>
    <row r="762" spans="1:14" s="12" customFormat="1" ht="31.5">
      <c r="A762" s="178" t="s">
        <v>96</v>
      </c>
      <c r="B762" s="75" t="s">
        <v>1447</v>
      </c>
      <c r="C762" s="39" t="s">
        <v>17</v>
      </c>
      <c r="D762" s="236"/>
      <c r="E762" s="236"/>
      <c r="F762" s="236"/>
      <c r="G762" s="236"/>
      <c r="H762" s="40">
        <f>SUM(Tabla132112416[[#This Row],[PRIMER TRIMESTRE]:[CUARTO TRIMESTRE]])</f>
        <v>0</v>
      </c>
      <c r="I762" s="17">
        <v>151330</v>
      </c>
      <c r="J762" s="17">
        <f t="shared" si="20"/>
        <v>0</v>
      </c>
      <c r="K762" s="17"/>
      <c r="L762" s="16" t="s">
        <v>18</v>
      </c>
      <c r="M762" s="16" t="s">
        <v>19</v>
      </c>
      <c r="N762" s="39"/>
    </row>
    <row r="763" spans="1:14" s="12" customFormat="1" ht="31.5">
      <c r="A763" s="178" t="s">
        <v>96</v>
      </c>
      <c r="B763" s="75" t="s">
        <v>857</v>
      </c>
      <c r="C763" s="39" t="s">
        <v>17</v>
      </c>
      <c r="D763" s="236"/>
      <c r="E763" s="236"/>
      <c r="F763" s="236"/>
      <c r="G763" s="236"/>
      <c r="H763" s="40">
        <f>SUM(Tabla132112416[[#This Row],[PRIMER TRIMESTRE]:[CUARTO TRIMESTRE]])</f>
        <v>0</v>
      </c>
      <c r="I763" s="17">
        <v>123744.06</v>
      </c>
      <c r="J763" s="17">
        <f t="shared" si="20"/>
        <v>0</v>
      </c>
      <c r="K763" s="17"/>
      <c r="L763" s="16" t="s">
        <v>18</v>
      </c>
      <c r="M763" s="16" t="s">
        <v>19</v>
      </c>
      <c r="N763" s="39"/>
    </row>
    <row r="764" spans="1:14" s="12" customFormat="1" ht="31.5">
      <c r="A764" s="178" t="s">
        <v>96</v>
      </c>
      <c r="B764" s="75" t="s">
        <v>858</v>
      </c>
      <c r="C764" s="39" t="s">
        <v>17</v>
      </c>
      <c r="D764" s="236"/>
      <c r="E764" s="210"/>
      <c r="F764" s="236"/>
      <c r="G764" s="236"/>
      <c r="H764" s="40">
        <f>SUM(Tabla132112416[[#This Row],[PRIMER TRIMESTRE]:[CUARTO TRIMESTRE]])</f>
        <v>0</v>
      </c>
      <c r="I764" s="17">
        <v>135450.07</v>
      </c>
      <c r="J764" s="17">
        <f t="shared" si="20"/>
        <v>0</v>
      </c>
      <c r="K764" s="17"/>
      <c r="L764" s="16" t="s">
        <v>18</v>
      </c>
      <c r="M764" s="16" t="s">
        <v>19</v>
      </c>
      <c r="N764" s="39"/>
    </row>
    <row r="765" spans="1:14" s="12" customFormat="1" ht="31.5">
      <c r="A765" s="178" t="s">
        <v>96</v>
      </c>
      <c r="B765" s="75" t="s">
        <v>859</v>
      </c>
      <c r="C765" s="39" t="s">
        <v>17</v>
      </c>
      <c r="D765" s="236"/>
      <c r="E765" s="210"/>
      <c r="F765" s="236"/>
      <c r="G765" s="236"/>
      <c r="H765" s="40">
        <f>SUM(Tabla132112416[[#This Row],[PRIMER TRIMESTRE]:[CUARTO TRIMESTRE]])</f>
        <v>0</v>
      </c>
      <c r="I765" s="17">
        <v>181838</v>
      </c>
      <c r="J765" s="17">
        <f t="shared" si="20"/>
        <v>0</v>
      </c>
      <c r="K765" s="17"/>
      <c r="L765" s="16" t="s">
        <v>18</v>
      </c>
      <c r="M765" s="16" t="s">
        <v>19</v>
      </c>
      <c r="N765" s="39"/>
    </row>
    <row r="766" spans="1:14" s="12" customFormat="1" ht="31.5">
      <c r="A766" s="178" t="s">
        <v>96</v>
      </c>
      <c r="B766" s="75" t="s">
        <v>860</v>
      </c>
      <c r="C766" s="39" t="s">
        <v>17</v>
      </c>
      <c r="D766" s="236"/>
      <c r="E766" s="210"/>
      <c r="F766" s="236"/>
      <c r="G766" s="236"/>
      <c r="H766" s="40">
        <f>SUM(Tabla132112416[[#This Row],[PRIMER TRIMESTRE]:[CUARTO TRIMESTRE]])</f>
        <v>0</v>
      </c>
      <c r="I766" s="72">
        <v>190640</v>
      </c>
      <c r="J766" s="17">
        <f t="shared" si="20"/>
        <v>0</v>
      </c>
      <c r="K766" s="17"/>
      <c r="L766" s="16" t="s">
        <v>18</v>
      </c>
      <c r="M766" s="16" t="s">
        <v>19</v>
      </c>
      <c r="N766" s="39"/>
    </row>
    <row r="767" spans="1:14" s="12" customFormat="1" ht="31.5">
      <c r="A767" s="178" t="s">
        <v>96</v>
      </c>
      <c r="B767" s="75" t="s">
        <v>861</v>
      </c>
      <c r="C767" s="39" t="s">
        <v>17</v>
      </c>
      <c r="D767" s="236"/>
      <c r="E767" s="210"/>
      <c r="F767" s="236"/>
      <c r="G767" s="236"/>
      <c r="H767" s="40">
        <f>SUM(Tabla132112416[[#This Row],[PRIMER TRIMESTRE]:[CUARTO TRIMESTRE]])</f>
        <v>0</v>
      </c>
      <c r="I767" s="17">
        <v>190640.56</v>
      </c>
      <c r="J767" s="17">
        <f t="shared" si="20"/>
        <v>0</v>
      </c>
      <c r="K767" s="17"/>
      <c r="L767" s="16" t="s">
        <v>18</v>
      </c>
      <c r="M767" s="16" t="s">
        <v>19</v>
      </c>
      <c r="N767" s="39"/>
    </row>
    <row r="768" spans="1:14" s="12" customFormat="1" ht="31.5">
      <c r="A768" s="178" t="s">
        <v>96</v>
      </c>
      <c r="B768" s="75" t="s">
        <v>862</v>
      </c>
      <c r="C768" s="39" t="s">
        <v>17</v>
      </c>
      <c r="D768" s="236"/>
      <c r="E768" s="210"/>
      <c r="F768" s="236"/>
      <c r="G768" s="236"/>
      <c r="H768" s="40">
        <f>SUM(Tabla132112416[[#This Row],[PRIMER TRIMESTRE]:[CUARTO TRIMESTRE]])</f>
        <v>0</v>
      </c>
      <c r="I768" s="17">
        <v>327450</v>
      </c>
      <c r="J768" s="17">
        <f t="shared" si="20"/>
        <v>0</v>
      </c>
      <c r="K768" s="17"/>
      <c r="L768" s="16" t="s">
        <v>18</v>
      </c>
      <c r="M768" s="16" t="s">
        <v>19</v>
      </c>
      <c r="N768" s="39"/>
    </row>
    <row r="769" spans="1:14" s="12" customFormat="1" ht="47.25">
      <c r="A769" s="178" t="s">
        <v>96</v>
      </c>
      <c r="B769" s="16" t="str">
        <f ca="1">+UPPER(Tabla132112416[[#This Row],[DESCRIPCIÓN DE LA COMPRA O CONTRATACIÓN]])</f>
        <v xml:space="preserve">MOTORES ELÉCTRICOS MONOFASICO SUMERGIBLES, 230 VOLTIOS, 3,450 RPM  3 HP CON CAJA DE CONTROLS </v>
      </c>
      <c r="C769" s="39" t="s">
        <v>17</v>
      </c>
      <c r="D769" s="236"/>
      <c r="E769" s="210"/>
      <c r="F769" s="236"/>
      <c r="G769" s="236"/>
      <c r="H769" s="40">
        <f>SUM(Tabla132112416[[#This Row],[PRIMER TRIMESTRE]:[CUARTO TRIMESTRE]])</f>
        <v>0</v>
      </c>
      <c r="I769" s="17">
        <v>36114.370000000003</v>
      </c>
      <c r="J769" s="17">
        <f t="shared" si="20"/>
        <v>0</v>
      </c>
      <c r="K769" s="17"/>
      <c r="L769" s="16" t="s">
        <v>18</v>
      </c>
      <c r="M769" s="16" t="s">
        <v>19</v>
      </c>
      <c r="N769" s="39"/>
    </row>
    <row r="770" spans="1:14" s="12" customFormat="1" ht="47.25">
      <c r="A770" s="178" t="s">
        <v>96</v>
      </c>
      <c r="B770" s="16" t="str">
        <f ca="1">+UPPER(Tabla132112416[[#This Row],[DESCRIPCIÓN DE LA COMPRA O CONTRATACIÓN]])</f>
        <v xml:space="preserve">MOTORES ELÉCTRICOS MONOFASICO SUMERGIBLES, 230 VOLTIOS, 3,450 RPM  5 HP CON CAJA DE CONTROLS </v>
      </c>
      <c r="C770" s="39" t="s">
        <v>17</v>
      </c>
      <c r="D770" s="236"/>
      <c r="E770" s="210"/>
      <c r="F770" s="236"/>
      <c r="G770" s="236"/>
      <c r="H770" s="40">
        <f>SUM(Tabla132112416[[#This Row],[PRIMER TRIMESTRE]:[CUARTO TRIMESTRE]])</f>
        <v>0</v>
      </c>
      <c r="I770" s="17">
        <v>38000</v>
      </c>
      <c r="J770" s="17">
        <f t="shared" si="20"/>
        <v>0</v>
      </c>
      <c r="K770" s="17"/>
      <c r="L770" s="16" t="s">
        <v>18</v>
      </c>
      <c r="M770" s="16" t="s">
        <v>19</v>
      </c>
      <c r="N770" s="39"/>
    </row>
    <row r="771" spans="1:14" s="12" customFormat="1" ht="47.25">
      <c r="A771" s="178" t="s">
        <v>96</v>
      </c>
      <c r="B771" s="16" t="str">
        <f ca="1">+UPPER(Tabla132112416[[#This Row],[DESCRIPCIÓN DE LA COMPRA O CONTRATACIÓN]])</f>
        <v xml:space="preserve">MOTORES ELÉCTRICOS MONOFASICO SUMERGIBLES, 230 VOLTIOS, 3,450 RPM  7.5 HP CON CAJA DE CONTROLS </v>
      </c>
      <c r="C771" s="39" t="s">
        <v>17</v>
      </c>
      <c r="D771" s="236"/>
      <c r="E771" s="210"/>
      <c r="F771" s="236"/>
      <c r="G771" s="236"/>
      <c r="H771" s="40">
        <f>SUM(Tabla132112416[[#This Row],[PRIMER TRIMESTRE]:[CUARTO TRIMESTRE]])</f>
        <v>0</v>
      </c>
      <c r="I771" s="17">
        <v>50164</v>
      </c>
      <c r="J771" s="17">
        <f t="shared" si="20"/>
        <v>0</v>
      </c>
      <c r="K771" s="17"/>
      <c r="L771" s="16" t="s">
        <v>18</v>
      </c>
      <c r="M771" s="16" t="s">
        <v>19</v>
      </c>
      <c r="N771" s="39"/>
    </row>
    <row r="772" spans="1:14" s="12" customFormat="1" ht="47.25">
      <c r="A772" s="178" t="s">
        <v>96</v>
      </c>
      <c r="B772" s="16" t="str">
        <f ca="1">+UPPER(Tabla132112416[[#This Row],[DESCRIPCIÓN DE LA COMPRA O CONTRATACIÓN]])</f>
        <v>ELECTROBOMBAS HORIZONTAL, 0.75HP, 1Ø, 115/230V, TIPO MONOBLOCK,3500 RPM, 20 GPM VS 100 PIES TDH</v>
      </c>
      <c r="C772" s="39" t="s">
        <v>17</v>
      </c>
      <c r="D772" s="236"/>
      <c r="E772" s="236"/>
      <c r="F772" s="236"/>
      <c r="G772" s="236"/>
      <c r="H772" s="40">
        <f>SUM(Tabla132112416[[#This Row],[PRIMER TRIMESTRE]:[CUARTO TRIMESTRE]])</f>
        <v>0</v>
      </c>
      <c r="I772" s="17">
        <v>23570</v>
      </c>
      <c r="J772" s="17">
        <f t="shared" si="20"/>
        <v>0</v>
      </c>
      <c r="K772" s="17"/>
      <c r="L772" s="16" t="s">
        <v>18</v>
      </c>
      <c r="M772" s="16" t="s">
        <v>19</v>
      </c>
      <c r="N772" s="39"/>
    </row>
    <row r="773" spans="1:14" s="12" customFormat="1" ht="31.5">
      <c r="A773" s="178" t="s">
        <v>96</v>
      </c>
      <c r="B773" s="16" t="str">
        <f ca="1">+UPPER(Tabla132112416[[#This Row],[DESCRIPCIÓN DE LA COMPRA O CONTRATACIÓN]])</f>
        <v>ELECTROBOMBAS SUMERGIBLE, 1.00HP, 230V, 1Ø, 60HZ, CON SU CAJA DE CONTROL, 3500 RPM</v>
      </c>
      <c r="C773" s="39" t="s">
        <v>17</v>
      </c>
      <c r="D773" s="236"/>
      <c r="E773" s="236"/>
      <c r="F773" s="236"/>
      <c r="G773" s="236"/>
      <c r="H773" s="40">
        <f>SUM(Tabla132112416[[#This Row],[PRIMER TRIMESTRE]:[CUARTO TRIMESTRE]])</f>
        <v>0</v>
      </c>
      <c r="I773" s="17">
        <v>32670</v>
      </c>
      <c r="J773" s="17">
        <f t="shared" si="20"/>
        <v>0</v>
      </c>
      <c r="K773" s="17"/>
      <c r="L773" s="16" t="s">
        <v>18</v>
      </c>
      <c r="M773" s="16" t="s">
        <v>19</v>
      </c>
      <c r="N773" s="39"/>
    </row>
    <row r="774" spans="1:14" s="12" customFormat="1" ht="30">
      <c r="A774" s="178" t="s">
        <v>96</v>
      </c>
      <c r="B774" s="75" t="s">
        <v>1688</v>
      </c>
      <c r="C774" s="39" t="s">
        <v>17</v>
      </c>
      <c r="D774" s="236"/>
      <c r="E774" s="236"/>
      <c r="F774" s="236"/>
      <c r="G774" s="236"/>
      <c r="H774" s="40">
        <v>0</v>
      </c>
      <c r="I774" s="17">
        <v>0</v>
      </c>
      <c r="J774" s="17">
        <v>0</v>
      </c>
      <c r="K774" s="17"/>
      <c r="L774" s="16" t="s">
        <v>18</v>
      </c>
      <c r="M774" s="16" t="s">
        <v>22</v>
      </c>
      <c r="N774" s="39"/>
    </row>
    <row r="775" spans="1:14" s="12" customFormat="1" ht="30">
      <c r="A775" s="178" t="s">
        <v>96</v>
      </c>
      <c r="B775" s="75" t="s">
        <v>1230</v>
      </c>
      <c r="C775" s="39" t="s">
        <v>17</v>
      </c>
      <c r="D775" s="236"/>
      <c r="E775" s="236"/>
      <c r="F775" s="236"/>
      <c r="G775" s="236"/>
      <c r="H775" s="40">
        <f>SUM(Tabla132112416[[#This Row],[PRIMER TRIMESTRE]:[CUARTO TRIMESTRE]])</f>
        <v>0</v>
      </c>
      <c r="I775" s="17">
        <v>45000</v>
      </c>
      <c r="J775" s="17">
        <f t="shared" si="20"/>
        <v>0</v>
      </c>
      <c r="K775" s="17"/>
      <c r="L775" s="16" t="s">
        <v>18</v>
      </c>
      <c r="M775" s="16" t="s">
        <v>22</v>
      </c>
      <c r="N775" s="39"/>
    </row>
    <row r="776" spans="1:14" s="12" customFormat="1" ht="30">
      <c r="A776" s="178" t="s">
        <v>96</v>
      </c>
      <c r="B776" s="75" t="s">
        <v>1231</v>
      </c>
      <c r="C776" s="39" t="s">
        <v>17</v>
      </c>
      <c r="D776" s="236"/>
      <c r="E776" s="236"/>
      <c r="F776" s="236"/>
      <c r="G776" s="236"/>
      <c r="H776" s="40">
        <f>SUM(Tabla132112416[[#This Row],[PRIMER TRIMESTRE]:[CUARTO TRIMESTRE]])</f>
        <v>0</v>
      </c>
      <c r="I776" s="17">
        <v>48231.23</v>
      </c>
      <c r="J776" s="17">
        <f t="shared" si="20"/>
        <v>0</v>
      </c>
      <c r="K776" s="17"/>
      <c r="L776" s="16" t="s">
        <v>18</v>
      </c>
      <c r="M776" s="16" t="s">
        <v>22</v>
      </c>
      <c r="N776" s="39"/>
    </row>
    <row r="777" spans="1:14" s="12" customFormat="1" ht="30">
      <c r="A777" s="178" t="s">
        <v>96</v>
      </c>
      <c r="B777" s="75" t="s">
        <v>1232</v>
      </c>
      <c r="C777" s="39" t="s">
        <v>17</v>
      </c>
      <c r="D777" s="236"/>
      <c r="E777" s="236"/>
      <c r="F777" s="236"/>
      <c r="G777" s="236"/>
      <c r="H777" s="40">
        <f>SUM(Tabla132112416[[#This Row],[PRIMER TRIMESTRE]:[CUARTO TRIMESTRE]])</f>
        <v>0</v>
      </c>
      <c r="I777" s="17">
        <v>52738.12</v>
      </c>
      <c r="J777" s="17">
        <f t="shared" si="20"/>
        <v>0</v>
      </c>
      <c r="K777" s="17"/>
      <c r="L777" s="16" t="s">
        <v>18</v>
      </c>
      <c r="M777" s="16" t="s">
        <v>22</v>
      </c>
      <c r="N777" s="39"/>
    </row>
    <row r="778" spans="1:14" s="12" customFormat="1" ht="30">
      <c r="A778" s="178" t="s">
        <v>96</v>
      </c>
      <c r="B778" s="75" t="s">
        <v>1233</v>
      </c>
      <c r="C778" s="39" t="s">
        <v>17</v>
      </c>
      <c r="D778" s="236"/>
      <c r="E778" s="236"/>
      <c r="F778" s="236"/>
      <c r="G778" s="236"/>
      <c r="H778" s="40">
        <f>SUM(Tabla132112416[[#This Row],[PRIMER TRIMESTRE]:[CUARTO TRIMESTRE]])</f>
        <v>0</v>
      </c>
      <c r="I778" s="17">
        <v>14726</v>
      </c>
      <c r="J778" s="17">
        <f t="shared" si="20"/>
        <v>0</v>
      </c>
      <c r="K778" s="17"/>
      <c r="L778" s="16" t="s">
        <v>18</v>
      </c>
      <c r="M778" s="16" t="s">
        <v>22</v>
      </c>
      <c r="N778" s="39"/>
    </row>
    <row r="779" spans="1:14" s="12" customFormat="1" ht="30">
      <c r="A779" s="178" t="s">
        <v>96</v>
      </c>
      <c r="B779" s="75" t="s">
        <v>1234</v>
      </c>
      <c r="C779" s="39" t="s">
        <v>17</v>
      </c>
      <c r="D779" s="236"/>
      <c r="E779" s="236"/>
      <c r="F779" s="236"/>
      <c r="G779" s="236"/>
      <c r="H779" s="40">
        <f>SUM(Tabla132112416[[#This Row],[PRIMER TRIMESTRE]:[CUARTO TRIMESTRE]])</f>
        <v>0</v>
      </c>
      <c r="I779" s="17">
        <v>60000</v>
      </c>
      <c r="J779" s="17">
        <f t="shared" ref="J779:J808" si="21">+H779*I779</f>
        <v>0</v>
      </c>
      <c r="K779" s="17"/>
      <c r="L779" s="16" t="s">
        <v>18</v>
      </c>
      <c r="M779" s="16" t="s">
        <v>22</v>
      </c>
      <c r="N779" s="39"/>
    </row>
    <row r="780" spans="1:14" s="12" customFormat="1" ht="38.25">
      <c r="A780" s="178" t="s">
        <v>96</v>
      </c>
      <c r="B780" s="75" t="s">
        <v>1686</v>
      </c>
      <c r="C780" s="39" t="s">
        <v>17</v>
      </c>
      <c r="D780" s="236"/>
      <c r="E780" s="236"/>
      <c r="F780" s="236"/>
      <c r="G780" s="236"/>
      <c r="H780" s="40">
        <v>0</v>
      </c>
      <c r="I780" s="17">
        <v>0</v>
      </c>
      <c r="J780" s="17">
        <v>0</v>
      </c>
      <c r="K780" s="17"/>
      <c r="L780" s="16" t="s">
        <v>18</v>
      </c>
      <c r="M780" s="16" t="s">
        <v>22</v>
      </c>
      <c r="N780" s="39"/>
    </row>
    <row r="781" spans="1:14" s="12" customFormat="1" ht="30">
      <c r="A781" s="178" t="s">
        <v>96</v>
      </c>
      <c r="B781" s="75" t="s">
        <v>1685</v>
      </c>
      <c r="C781" s="39" t="s">
        <v>17</v>
      </c>
      <c r="D781" s="236"/>
      <c r="E781" s="236"/>
      <c r="F781" s="236"/>
      <c r="G781" s="236"/>
      <c r="H781" s="40">
        <v>0</v>
      </c>
      <c r="I781" s="17">
        <v>0</v>
      </c>
      <c r="J781" s="17">
        <v>0</v>
      </c>
      <c r="K781" s="17"/>
      <c r="L781" s="16" t="s">
        <v>18</v>
      </c>
      <c r="M781" s="16" t="s">
        <v>22</v>
      </c>
      <c r="N781" s="39"/>
    </row>
    <row r="782" spans="1:14" s="12" customFormat="1" ht="47.25">
      <c r="A782" s="178" t="s">
        <v>96</v>
      </c>
      <c r="B782" s="16" t="s">
        <v>1689</v>
      </c>
      <c r="C782" s="39" t="s">
        <v>17</v>
      </c>
      <c r="D782" s="236"/>
      <c r="E782" s="236"/>
      <c r="F782" s="236"/>
      <c r="G782" s="236"/>
      <c r="H782" s="40">
        <v>0</v>
      </c>
      <c r="I782" s="17">
        <v>0</v>
      </c>
      <c r="J782" s="17">
        <v>0</v>
      </c>
      <c r="K782" s="17"/>
      <c r="L782" s="16" t="s">
        <v>18</v>
      </c>
      <c r="M782" s="16" t="s">
        <v>22</v>
      </c>
      <c r="N782" s="39"/>
    </row>
    <row r="783" spans="1:14" s="12" customFormat="1" ht="47.25">
      <c r="A783" s="178" t="s">
        <v>96</v>
      </c>
      <c r="B783" s="16" t="s">
        <v>863</v>
      </c>
      <c r="C783" s="39" t="s">
        <v>17</v>
      </c>
      <c r="D783" s="236"/>
      <c r="E783" s="236"/>
      <c r="F783" s="236"/>
      <c r="G783" s="236"/>
      <c r="H783" s="40">
        <f>SUM(Tabla132112416[[#This Row],[PRIMER TRIMESTRE]:[CUARTO TRIMESTRE]])</f>
        <v>0</v>
      </c>
      <c r="I783" s="17">
        <v>24051.94</v>
      </c>
      <c r="J783" s="17">
        <f t="shared" si="21"/>
        <v>0</v>
      </c>
      <c r="K783" s="17"/>
      <c r="L783" s="16" t="s">
        <v>18</v>
      </c>
      <c r="M783" s="16" t="s">
        <v>22</v>
      </c>
      <c r="N783" s="39"/>
    </row>
    <row r="784" spans="1:14" s="12" customFormat="1" ht="47.25">
      <c r="A784" s="178" t="s">
        <v>96</v>
      </c>
      <c r="B784" s="16" t="str">
        <f ca="1">+UPPER(Tabla132112416[[#This Row],[DESCRIPCIÓN DE LA COMPRA O CONTRATACIÓN]])</f>
        <v>TRANSFORMADORES 1Ø, 60HZ, SUMERGIDOS EN ACEITE, 7.2/12.47 KV, 120/240V, TIPO POSTE, HOMOLGADOS CON IDÉNTICA IMPEDANCIA 25 KVA</v>
      </c>
      <c r="C784" s="39" t="s">
        <v>17</v>
      </c>
      <c r="D784" s="236"/>
      <c r="E784" s="236"/>
      <c r="F784" s="236"/>
      <c r="G784" s="236"/>
      <c r="H784" s="40">
        <f>SUM(Tabla132112416[[#This Row],[PRIMER TRIMESTRE]:[CUARTO TRIMESTRE]])</f>
        <v>0</v>
      </c>
      <c r="I784" s="17">
        <v>34220</v>
      </c>
      <c r="J784" s="17">
        <f t="shared" si="21"/>
        <v>0</v>
      </c>
      <c r="K784" s="17"/>
      <c r="L784" s="16" t="s">
        <v>18</v>
      </c>
      <c r="M784" s="16" t="s">
        <v>22</v>
      </c>
      <c r="N784" s="39"/>
    </row>
    <row r="785" spans="1:14" s="12" customFormat="1" ht="63">
      <c r="A785" s="178" t="s">
        <v>96</v>
      </c>
      <c r="B785" s="16" t="str">
        <f ca="1">+UPPER(Tabla132112416[[#This Row],[DESCRIPCIÓN DE LA COMPRA O CONTRATACIÓN]])</f>
        <v>TRANSFORMADORES 1Ø, 60HZ, SUMERGIDOS EN ACEITE, 7.2/12.47 KV, 120/240V, TIPO POSTE, HOMOLGADOS CON IDÉNTICA IMPEDANCIA 37.5 KVA</v>
      </c>
      <c r="C785" s="39" t="s">
        <v>17</v>
      </c>
      <c r="D785" s="236"/>
      <c r="E785" s="236"/>
      <c r="F785" s="236"/>
      <c r="G785" s="236"/>
      <c r="H785" s="40">
        <f>SUM(Tabla132112416[[#This Row],[PRIMER TRIMESTRE]:[CUARTO TRIMESTRE]])</f>
        <v>0</v>
      </c>
      <c r="I785" s="17">
        <v>58875.22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</row>
    <row r="786" spans="1:14" s="12" customFormat="1" ht="47.25">
      <c r="A786" s="178" t="s">
        <v>96</v>
      </c>
      <c r="B786" s="73" t="str">
        <f ca="1">+UPPER(Tabla132112416[[#This Row],[DESCRIPCIÓN DE LA COMPRA O CONTRATACIÓN]])</f>
        <v>TRANSFORMADORES 1Ø, 60HZ, SUMERGIDOS EN ACEITE, 7.2/12.47 KV, 240/480V, TIPO POSTE HOMOLGADOS CON IDÉNTICA IMPEDANCIA 15 KVA</v>
      </c>
      <c r="C786" s="39" t="s">
        <v>17</v>
      </c>
      <c r="D786" s="236"/>
      <c r="E786" s="236"/>
      <c r="F786" s="236"/>
      <c r="G786" s="236"/>
      <c r="H786" s="40">
        <f>SUM(Tabla132112416[[#This Row],[PRIMER TRIMESTRE]:[CUARTO TRIMESTRE]])</f>
        <v>0</v>
      </c>
      <c r="I786" s="17">
        <v>25498.09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</row>
    <row r="787" spans="1:14" s="12" customFormat="1" ht="47.25">
      <c r="A787" s="178" t="s">
        <v>96</v>
      </c>
      <c r="B787" s="73" t="str">
        <f ca="1">+UPPER(Tabla132112416[[#This Row],[DESCRIPCIÓN DE LA COMPRA O CONTRATACIÓN]])</f>
        <v>TRANSFORMADORES 1Ø, 60HZ, SUMERGIDOS EN ACEITE, 7.2/12.47 KV, 240/480V, TIPO POSTE HOMOLGADOS CON IDÉNTICA IMPEDANCIA 25 KVA</v>
      </c>
      <c r="C787" s="39" t="s">
        <v>17</v>
      </c>
      <c r="D787" s="236"/>
      <c r="E787" s="236"/>
      <c r="F787" s="236"/>
      <c r="G787" s="236"/>
      <c r="H787" s="40">
        <f>SUM(Tabla132112416[[#This Row],[PRIMER TRIMESTRE]:[CUARTO TRIMESTRE]])</f>
        <v>0</v>
      </c>
      <c r="I787" s="17">
        <v>37186.82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</row>
    <row r="788" spans="1:14" s="12" customFormat="1" ht="38.25">
      <c r="A788" s="178" t="s">
        <v>96</v>
      </c>
      <c r="B788" s="77" t="s">
        <v>864</v>
      </c>
      <c r="C788" s="39" t="s">
        <v>17</v>
      </c>
      <c r="D788" s="236"/>
      <c r="E788" s="236"/>
      <c r="F788" s="236"/>
      <c r="G788" s="236"/>
      <c r="H788" s="40">
        <f>SUM(Tabla132112416[[#This Row],[PRIMER TRIMESTRE]:[CUARTO TRIMESTRE]])</f>
        <v>0</v>
      </c>
      <c r="I788" s="17">
        <v>44076.54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</row>
    <row r="789" spans="1:14" s="12" customFormat="1" ht="38.25">
      <c r="A789" s="178" t="s">
        <v>96</v>
      </c>
      <c r="B789" s="75" t="s">
        <v>865</v>
      </c>
      <c r="C789" s="39" t="s">
        <v>17</v>
      </c>
      <c r="D789" s="236"/>
      <c r="E789" s="236"/>
      <c r="F789" s="236"/>
      <c r="G789" s="236"/>
      <c r="H789" s="40">
        <f>SUM(Tabla132112416[[#This Row],[PRIMER TRIMESTRE]:[CUARTO TRIMESTRE]])</f>
        <v>0</v>
      </c>
      <c r="I789" s="17">
        <v>54061.7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</row>
    <row r="790" spans="1:14" s="12" customFormat="1" ht="38.25">
      <c r="A790" s="178" t="s">
        <v>96</v>
      </c>
      <c r="B790" s="75" t="s">
        <v>866</v>
      </c>
      <c r="C790" s="39" t="s">
        <v>17</v>
      </c>
      <c r="D790" s="236"/>
      <c r="E790" s="236"/>
      <c r="F790" s="236"/>
      <c r="G790" s="236"/>
      <c r="H790" s="40">
        <f>SUM(Tabla132112416[[#This Row],[PRIMER TRIMESTRE]:[CUARTO TRIMESTRE]])</f>
        <v>0</v>
      </c>
      <c r="I790" s="17">
        <v>81423.539999999994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</row>
    <row r="791" spans="1:14" s="12" customFormat="1" ht="63">
      <c r="A791" s="178" t="s">
        <v>96</v>
      </c>
      <c r="B791" s="16" t="str">
        <f ca="1">+UPPER(Tabla132112416[[#This Row],[DESCRIPCIÓN DE LA COMPRA O CONTRATACIÓN]])</f>
        <v>TRANSFORMADORES 1Ø, 60HZ, SUMERGIDOS EN ACEITE, 7.2/12.47 KV, 240/480V, TIPO POSTE HOMOLGADOS CON IDÉNTICA IMPEDANCIA 100 KVA</v>
      </c>
      <c r="C791" s="39" t="s">
        <v>17</v>
      </c>
      <c r="D791" s="236"/>
      <c r="E791" s="236"/>
      <c r="F791" s="236"/>
      <c r="G791" s="236"/>
      <c r="H791" s="40">
        <f>SUM(Tabla132112416[[#This Row],[PRIMER TRIMESTRE]:[CUARTO TRIMESTRE]])</f>
        <v>0</v>
      </c>
      <c r="I791" s="17">
        <v>108938.74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</row>
    <row r="792" spans="1:14" s="12" customFormat="1" ht="38.25">
      <c r="A792" s="178" t="s">
        <v>96</v>
      </c>
      <c r="B792" s="75" t="s">
        <v>867</v>
      </c>
      <c r="C792" s="39" t="s">
        <v>17</v>
      </c>
      <c r="D792" s="236"/>
      <c r="E792" s="236"/>
      <c r="F792" s="236"/>
      <c r="G792" s="236"/>
      <c r="H792" s="40">
        <f>SUM(Tabla132112416[[#This Row],[PRIMER TRIMESTRE]:[CUARTO TRIMESTRE]])</f>
        <v>0</v>
      </c>
      <c r="I792" s="17">
        <v>160529.56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</row>
    <row r="793" spans="1:14" s="12" customFormat="1" ht="38.25">
      <c r="A793" s="178" t="s">
        <v>96</v>
      </c>
      <c r="B793" s="75" t="s">
        <v>871</v>
      </c>
      <c r="C793" s="39" t="s">
        <v>17</v>
      </c>
      <c r="D793" s="236"/>
      <c r="E793" s="236"/>
      <c r="F793" s="236"/>
      <c r="G793" s="236"/>
      <c r="H793" s="40">
        <f>SUM(Tabla132112416[[#This Row],[PRIMER TRIMESTRE]:[CUARTO TRIMESTRE]])</f>
        <v>0</v>
      </c>
      <c r="I793" s="17">
        <v>2995.96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</row>
    <row r="794" spans="1:14" s="12" customFormat="1" ht="38.25">
      <c r="A794" s="178" t="s">
        <v>96</v>
      </c>
      <c r="B794" s="75" t="s">
        <v>872</v>
      </c>
      <c r="C794" s="39" t="s">
        <v>17</v>
      </c>
      <c r="D794" s="236"/>
      <c r="E794" s="236"/>
      <c r="F794" s="236"/>
      <c r="G794" s="236"/>
      <c r="H794" s="40">
        <f>SUM(Tabla132112416[[#This Row],[PRIMER TRIMESTRE]:[CUARTO TRIMESTRE]])</f>
        <v>0</v>
      </c>
      <c r="I794" s="17">
        <v>3986.24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</row>
    <row r="795" spans="1:14" s="12" customFormat="1" ht="38.25">
      <c r="A795" s="178" t="s">
        <v>96</v>
      </c>
      <c r="B795" s="75" t="s">
        <v>873</v>
      </c>
      <c r="C795" s="39" t="s">
        <v>17</v>
      </c>
      <c r="D795" s="236"/>
      <c r="E795" s="236"/>
      <c r="F795" s="236"/>
      <c r="G795" s="236"/>
      <c r="H795" s="40">
        <f>SUM(Tabla132112416[[#This Row],[PRIMER TRIMESTRE]:[CUARTO TRIMESTRE]])</f>
        <v>0</v>
      </c>
      <c r="I795" s="17">
        <v>6982.2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</row>
    <row r="796" spans="1:14" s="12" customFormat="1" ht="30">
      <c r="A796" s="178" t="s">
        <v>96</v>
      </c>
      <c r="B796" s="75" t="s">
        <v>1437</v>
      </c>
      <c r="C796" s="39" t="s">
        <v>1438</v>
      </c>
      <c r="D796" s="236"/>
      <c r="E796" s="236"/>
      <c r="F796" s="236"/>
      <c r="G796" s="236"/>
      <c r="H796" s="40">
        <f>SUM(Tabla132112416[[#This Row],[PRIMER TRIMESTRE]:[CUARTO TRIMESTRE]])</f>
        <v>0</v>
      </c>
      <c r="I796" s="17">
        <v>554145.56999999995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</row>
    <row r="797" spans="1:14" s="12" customFormat="1" ht="30">
      <c r="A797" s="178" t="s">
        <v>96</v>
      </c>
      <c r="B797" s="75" t="s">
        <v>1450</v>
      </c>
      <c r="C797" s="39" t="s">
        <v>17</v>
      </c>
      <c r="D797" s="236"/>
      <c r="E797" s="236"/>
      <c r="F797" s="236"/>
      <c r="G797" s="236"/>
      <c r="H797" s="40">
        <f>SUM(Tabla132112416[[#This Row],[PRIMER TRIMESTRE]:[CUARTO TRIMESTRE]])</f>
        <v>0</v>
      </c>
      <c r="I797" s="17">
        <v>6950.29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</row>
    <row r="798" spans="1:14" s="12" customFormat="1" ht="30">
      <c r="A798" s="178" t="s">
        <v>96</v>
      </c>
      <c r="B798" s="75" t="s">
        <v>1524</v>
      </c>
      <c r="C798" s="39" t="s">
        <v>17</v>
      </c>
      <c r="D798" s="236"/>
      <c r="E798" s="236"/>
      <c r="F798" s="236"/>
      <c r="G798" s="236"/>
      <c r="H798" s="236">
        <f>SUM(Tabla132112416[[#This Row],[PRIMER TRIMESTRE]:[CUARTO TRIMESTRE]])</f>
        <v>0</v>
      </c>
      <c r="I798" s="17">
        <v>38300</v>
      </c>
      <c r="J798" s="17">
        <f t="shared" si="21"/>
        <v>0</v>
      </c>
      <c r="K798" s="17"/>
      <c r="L798" s="16" t="s">
        <v>18</v>
      </c>
      <c r="M798" s="16" t="s">
        <v>22</v>
      </c>
      <c r="N798" s="39"/>
    </row>
    <row r="799" spans="1:14" s="12" customFormat="1" ht="30">
      <c r="A799" s="178" t="s">
        <v>96</v>
      </c>
      <c r="B799" s="75" t="s">
        <v>1728</v>
      </c>
      <c r="C799" s="39" t="s">
        <v>17</v>
      </c>
      <c r="D799" s="236"/>
      <c r="E799" s="236"/>
      <c r="F799" s="236"/>
      <c r="G799" s="236"/>
      <c r="H799" s="40">
        <v>0</v>
      </c>
      <c r="I799" s="17">
        <v>0</v>
      </c>
      <c r="J799" s="17">
        <v>0</v>
      </c>
      <c r="K799" s="17"/>
      <c r="L799" s="16" t="s">
        <v>18</v>
      </c>
      <c r="M799" s="16" t="s">
        <v>22</v>
      </c>
      <c r="N799" s="39"/>
    </row>
    <row r="800" spans="1:14" s="12" customFormat="1" ht="51">
      <c r="A800" s="178" t="s">
        <v>96</v>
      </c>
      <c r="B800" s="75" t="s">
        <v>1525</v>
      </c>
      <c r="C800" s="39" t="s">
        <v>17</v>
      </c>
      <c r="D800" s="236"/>
      <c r="E800" s="236"/>
      <c r="F800" s="236"/>
      <c r="G800" s="236"/>
      <c r="H800" s="236">
        <f>SUM(Tabla132112416[[#This Row],[PRIMER TRIMESTRE]:[CUARTO TRIMESTRE]])</f>
        <v>0</v>
      </c>
      <c r="I800" s="17">
        <v>251461</v>
      </c>
      <c r="J800" s="17">
        <f t="shared" si="21"/>
        <v>0</v>
      </c>
      <c r="K800" s="17"/>
      <c r="L800" s="16" t="s">
        <v>18</v>
      </c>
      <c r="M800" s="16" t="s">
        <v>22</v>
      </c>
      <c r="N800" s="39"/>
    </row>
    <row r="801" spans="1:14" s="12" customFormat="1" ht="30">
      <c r="A801" s="178" t="s">
        <v>96</v>
      </c>
      <c r="B801" s="75" t="s">
        <v>1523</v>
      </c>
      <c r="C801" s="39" t="s">
        <v>17</v>
      </c>
      <c r="D801" s="236"/>
      <c r="E801" s="236"/>
      <c r="F801" s="236"/>
      <c r="G801" s="236"/>
      <c r="H801" s="236">
        <f>SUM(Tabla132112416[[#This Row],[PRIMER TRIMESTRE]:[CUARTO TRIMESTRE]])</f>
        <v>0</v>
      </c>
      <c r="I801" s="17">
        <v>11200</v>
      </c>
      <c r="J801" s="17">
        <f t="shared" si="21"/>
        <v>0</v>
      </c>
      <c r="K801" s="17"/>
      <c r="L801" s="16" t="s">
        <v>18</v>
      </c>
      <c r="M801" s="16" t="s">
        <v>22</v>
      </c>
      <c r="N801" s="39"/>
    </row>
    <row r="802" spans="1:14" s="12" customFormat="1" ht="30">
      <c r="A802" s="178" t="s">
        <v>96</v>
      </c>
      <c r="B802" s="75" t="s">
        <v>1758</v>
      </c>
      <c r="C802" s="39" t="s">
        <v>17</v>
      </c>
      <c r="D802" s="236"/>
      <c r="E802" s="236"/>
      <c r="F802" s="236"/>
      <c r="G802" s="236"/>
      <c r="H802" s="40">
        <v>0</v>
      </c>
      <c r="I802" s="17">
        <v>0</v>
      </c>
      <c r="J802" s="17">
        <v>0</v>
      </c>
      <c r="K802" s="17"/>
      <c r="L802" s="16" t="s">
        <v>18</v>
      </c>
      <c r="M802" s="16" t="s">
        <v>22</v>
      </c>
      <c r="N802" s="39"/>
    </row>
    <row r="803" spans="1:14" s="12" customFormat="1" ht="30">
      <c r="A803" s="178" t="s">
        <v>96</v>
      </c>
      <c r="B803" s="75" t="s">
        <v>1510</v>
      </c>
      <c r="C803" s="39" t="s">
        <v>17</v>
      </c>
      <c r="D803" s="236"/>
      <c r="E803" s="236"/>
      <c r="F803" s="236"/>
      <c r="G803" s="236"/>
      <c r="H803" s="236">
        <f>SUM(Tabla132112416[[#This Row],[PRIMER TRIMESTRE]:[CUARTO TRIMESTRE]])</f>
        <v>0</v>
      </c>
      <c r="I803" s="17">
        <v>250</v>
      </c>
      <c r="J803" s="17">
        <f t="shared" si="21"/>
        <v>0</v>
      </c>
      <c r="K803" s="17"/>
      <c r="L803" s="16" t="s">
        <v>18</v>
      </c>
      <c r="M803" s="16" t="s">
        <v>22</v>
      </c>
      <c r="N803" s="39"/>
    </row>
    <row r="804" spans="1:14" s="12" customFormat="1" ht="30">
      <c r="A804" s="178" t="s">
        <v>96</v>
      </c>
      <c r="B804" s="75" t="s">
        <v>1611</v>
      </c>
      <c r="C804" s="39" t="s">
        <v>17</v>
      </c>
      <c r="D804" s="236"/>
      <c r="E804" s="236"/>
      <c r="F804" s="236"/>
      <c r="G804" s="236"/>
      <c r="H804" s="236">
        <f>SUM(Tabla132112416[[#This Row],[PRIMER TRIMESTRE]:[CUARTO TRIMESTRE]])</f>
        <v>0</v>
      </c>
      <c r="I804" s="17">
        <v>36000</v>
      </c>
      <c r="J804" s="17">
        <f t="shared" si="21"/>
        <v>0</v>
      </c>
      <c r="K804" s="17"/>
      <c r="L804" s="16" t="s">
        <v>18</v>
      </c>
      <c r="M804" s="16" t="s">
        <v>22</v>
      </c>
      <c r="N804" s="39"/>
    </row>
    <row r="805" spans="1:14" s="12" customFormat="1" ht="30">
      <c r="A805" s="178" t="s">
        <v>96</v>
      </c>
      <c r="B805" s="75" t="s">
        <v>1714</v>
      </c>
      <c r="C805" s="39" t="s">
        <v>17</v>
      </c>
      <c r="D805" s="236"/>
      <c r="E805" s="236"/>
      <c r="F805" s="236"/>
      <c r="G805" s="236"/>
      <c r="H805" s="40">
        <v>0</v>
      </c>
      <c r="I805" s="17">
        <v>0</v>
      </c>
      <c r="J805" s="17">
        <v>0</v>
      </c>
      <c r="K805" s="17"/>
      <c r="L805" s="16" t="s">
        <v>18</v>
      </c>
      <c r="M805" s="16" t="s">
        <v>22</v>
      </c>
      <c r="N805" s="39"/>
    </row>
    <row r="806" spans="1:14" s="12" customFormat="1" ht="30">
      <c r="A806" s="178" t="s">
        <v>96</v>
      </c>
      <c r="B806" s="75" t="s">
        <v>1744</v>
      </c>
      <c r="C806" s="39" t="s">
        <v>17</v>
      </c>
      <c r="D806" s="236"/>
      <c r="E806" s="236"/>
      <c r="F806" s="236"/>
      <c r="G806" s="236"/>
      <c r="H806" s="40">
        <v>0</v>
      </c>
      <c r="I806" s="17">
        <v>6950</v>
      </c>
      <c r="J806" s="17">
        <f>Tabla132112416[[#This Row],[PRECIO UNITARIO ESTIMADO]]*Tabla132112416[[#This Row],[CANTIDAD TOTAL]]</f>
        <v>0</v>
      </c>
      <c r="K806" s="17"/>
      <c r="L806" s="16" t="s">
        <v>18</v>
      </c>
      <c r="M806" s="16" t="s">
        <v>22</v>
      </c>
      <c r="N806" s="39"/>
    </row>
    <row r="807" spans="1:14" s="26" customFormat="1" ht="30">
      <c r="A807" s="178" t="s">
        <v>96</v>
      </c>
      <c r="B807" s="75" t="s">
        <v>1521</v>
      </c>
      <c r="C807" s="39" t="s">
        <v>17</v>
      </c>
      <c r="D807" s="236"/>
      <c r="E807" s="236"/>
      <c r="F807" s="236"/>
      <c r="G807" s="236"/>
      <c r="H807" s="236">
        <f>SUM(Tabla132112416[[#This Row],[PRIMER TRIMESTRE]:[CUARTO TRIMESTRE]])</f>
        <v>0</v>
      </c>
      <c r="I807" s="17">
        <v>109000</v>
      </c>
      <c r="J807" s="17">
        <f t="shared" si="21"/>
        <v>0</v>
      </c>
      <c r="K807" s="17"/>
      <c r="L807" s="16" t="s">
        <v>18</v>
      </c>
      <c r="M807" s="16" t="s">
        <v>22</v>
      </c>
      <c r="N807" s="39"/>
    </row>
    <row r="808" spans="1:14" s="12" customFormat="1" ht="30">
      <c r="A808" s="178" t="s">
        <v>96</v>
      </c>
      <c r="B808" s="75" t="s">
        <v>1522</v>
      </c>
      <c r="C808" s="39" t="s">
        <v>17</v>
      </c>
      <c r="D808" s="236"/>
      <c r="E808" s="236"/>
      <c r="F808" s="236"/>
      <c r="G808" s="236"/>
      <c r="H808" s="236">
        <f>SUM(Tabla132112416[[#This Row],[PRIMER TRIMESTRE]:[CUARTO TRIMESTRE]])</f>
        <v>0</v>
      </c>
      <c r="I808" s="17">
        <v>2760</v>
      </c>
      <c r="J808" s="17">
        <f t="shared" si="21"/>
        <v>0</v>
      </c>
      <c r="K808" s="17"/>
      <c r="L808" s="16" t="s">
        <v>18</v>
      </c>
      <c r="M808" s="16" t="s">
        <v>22</v>
      </c>
      <c r="N808" s="39"/>
    </row>
    <row r="809" spans="1:14" s="12" customFormat="1" ht="31.5">
      <c r="A809" s="287" t="s">
        <v>96</v>
      </c>
      <c r="B809" s="76"/>
      <c r="C809" s="42"/>
      <c r="D809" s="237"/>
      <c r="E809" s="237"/>
      <c r="F809" s="237"/>
      <c r="G809" s="237"/>
      <c r="H809" s="43"/>
      <c r="I809" s="24"/>
      <c r="J809" s="24"/>
      <c r="K809" s="25">
        <f>SUM(J606:J808)</f>
        <v>47216.69</v>
      </c>
      <c r="L809" s="23"/>
      <c r="M809" s="23"/>
      <c r="N809" s="42"/>
    </row>
    <row r="810" spans="1:14" s="12" customFormat="1" ht="18">
      <c r="A810" s="178" t="s">
        <v>97</v>
      </c>
      <c r="B810" s="75" t="s">
        <v>1855</v>
      </c>
      <c r="C810" s="412" t="s">
        <v>17</v>
      </c>
      <c r="D810" s="412"/>
      <c r="E810" s="412"/>
      <c r="F810" s="412"/>
      <c r="G810" s="412"/>
      <c r="H810" s="412">
        <v>0</v>
      </c>
      <c r="I810" s="17">
        <v>0</v>
      </c>
      <c r="J810" s="17">
        <v>0</v>
      </c>
      <c r="K810" s="286"/>
      <c r="L810" s="16" t="s">
        <v>18</v>
      </c>
      <c r="M810" s="16" t="s">
        <v>22</v>
      </c>
      <c r="N810" s="39"/>
    </row>
    <row r="811" spans="1:14" s="12" customFormat="1" ht="25.5">
      <c r="A811" s="178" t="s">
        <v>97</v>
      </c>
      <c r="B811" s="75" t="s">
        <v>1681</v>
      </c>
      <c r="C811" s="39" t="s">
        <v>17</v>
      </c>
      <c r="D811" s="236"/>
      <c r="E811" s="236"/>
      <c r="F811" s="236"/>
      <c r="G811" s="236"/>
      <c r="H811" s="40">
        <v>0</v>
      </c>
      <c r="I811" s="17">
        <v>0</v>
      </c>
      <c r="J811" s="17">
        <v>0</v>
      </c>
      <c r="K811" s="17"/>
      <c r="L811" s="16" t="s">
        <v>18</v>
      </c>
      <c r="M811" s="16" t="s">
        <v>22</v>
      </c>
      <c r="N811" s="39"/>
    </row>
    <row r="812" spans="1:14" s="12" customFormat="1" ht="18">
      <c r="A812" s="178" t="s">
        <v>97</v>
      </c>
      <c r="B812" s="75" t="s">
        <v>227</v>
      </c>
      <c r="C812" s="39" t="s">
        <v>17</v>
      </c>
      <c r="D812" s="236"/>
      <c r="E812" s="236"/>
      <c r="F812" s="236"/>
      <c r="G812" s="236"/>
      <c r="H812" s="40">
        <f>SUM(Tabla132112416[[#This Row],[PRIMER TRIMESTRE]:[CUARTO TRIMESTRE]])</f>
        <v>0</v>
      </c>
      <c r="I812" s="17">
        <v>110.2</v>
      </c>
      <c r="J812" s="17">
        <f>+Tabla132112416[[#This Row],[CANTIDAD TOTAL]]*Tabla132112416[[#This Row],[PRECIO UNITARIO ESTIMADO]]</f>
        <v>0</v>
      </c>
      <c r="K812" s="17"/>
      <c r="L812" s="16" t="s">
        <v>18</v>
      </c>
      <c r="M812" s="16" t="s">
        <v>22</v>
      </c>
      <c r="N812" s="39"/>
    </row>
    <row r="813" spans="1:14" s="12" customFormat="1" ht="18">
      <c r="A813" s="178" t="s">
        <v>97</v>
      </c>
      <c r="B813" s="75" t="s">
        <v>1235</v>
      </c>
      <c r="C813" s="39" t="s">
        <v>17</v>
      </c>
      <c r="D813" s="236"/>
      <c r="E813" s="236"/>
      <c r="F813" s="236"/>
      <c r="G813" s="236"/>
      <c r="H813" s="40">
        <f>SUM(Tabla132112416[[#This Row],[PRIMER TRIMESTRE]:[CUARTO TRIMESTRE]])</f>
        <v>0</v>
      </c>
      <c r="I813" s="17">
        <v>156.5</v>
      </c>
      <c r="J813" s="17">
        <f t="shared" ref="J813:J820" si="22">+H813*I813</f>
        <v>0</v>
      </c>
      <c r="K813" s="17"/>
      <c r="L813" s="16" t="s">
        <v>18</v>
      </c>
      <c r="M813" s="16" t="s">
        <v>22</v>
      </c>
      <c r="N813" s="39"/>
    </row>
    <row r="814" spans="1:14" s="12" customFormat="1" ht="18">
      <c r="A814" s="178" t="s">
        <v>97</v>
      </c>
      <c r="B814" s="75" t="s">
        <v>1236</v>
      </c>
      <c r="C814" s="39" t="s">
        <v>17</v>
      </c>
      <c r="D814" s="236"/>
      <c r="E814" s="236"/>
      <c r="F814" s="236"/>
      <c r="G814" s="236"/>
      <c r="H814" s="40">
        <f>SUM(Tabla132112416[[#This Row],[PRIMER TRIMESTRE]:[CUARTO TRIMESTRE]])</f>
        <v>0</v>
      </c>
      <c r="I814" s="17">
        <v>156.5</v>
      </c>
      <c r="J814" s="17">
        <f t="shared" si="22"/>
        <v>0</v>
      </c>
      <c r="K814" s="17"/>
      <c r="L814" s="16" t="s">
        <v>18</v>
      </c>
      <c r="M814" s="16" t="s">
        <v>22</v>
      </c>
      <c r="N814" s="39"/>
    </row>
    <row r="815" spans="1:14" s="12" customFormat="1" ht="18">
      <c r="A815" s="178" t="s">
        <v>97</v>
      </c>
      <c r="B815" s="75" t="s">
        <v>1334</v>
      </c>
      <c r="C815" s="39" t="s">
        <v>17</v>
      </c>
      <c r="D815" s="236"/>
      <c r="E815" s="236"/>
      <c r="F815" s="236"/>
      <c r="G815" s="236"/>
      <c r="H815" s="40">
        <f>SUM(Tabla132112416[[#This Row],[PRIMER TRIMESTRE]:[CUARTO TRIMESTRE]])</f>
        <v>0</v>
      </c>
      <c r="I815" s="17">
        <v>387.04</v>
      </c>
      <c r="J815" s="17">
        <f t="shared" si="22"/>
        <v>0</v>
      </c>
      <c r="K815" s="17"/>
      <c r="L815" s="16" t="s">
        <v>18</v>
      </c>
      <c r="M815" s="16" t="s">
        <v>22</v>
      </c>
      <c r="N815" s="39"/>
    </row>
    <row r="816" spans="1:14" s="12" customFormat="1" ht="18">
      <c r="A816" s="178" t="s">
        <v>97</v>
      </c>
      <c r="B816" s="75" t="s">
        <v>1237</v>
      </c>
      <c r="C816" s="39" t="s">
        <v>17</v>
      </c>
      <c r="D816" s="236"/>
      <c r="E816" s="236"/>
      <c r="F816" s="236"/>
      <c r="G816" s="236"/>
      <c r="H816" s="40">
        <f>SUM(Tabla132112416[[#This Row],[PRIMER TRIMESTRE]:[CUARTO TRIMESTRE]])</f>
        <v>0</v>
      </c>
      <c r="I816" s="17">
        <v>35000</v>
      </c>
      <c r="J816" s="17">
        <f t="shared" si="22"/>
        <v>0</v>
      </c>
      <c r="K816" s="17"/>
      <c r="L816" s="16" t="s">
        <v>18</v>
      </c>
      <c r="M816" s="16" t="s">
        <v>22</v>
      </c>
      <c r="N816" s="39"/>
    </row>
    <row r="817" spans="1:14" s="12" customFormat="1" ht="18">
      <c r="A817" s="178" t="s">
        <v>97</v>
      </c>
      <c r="B817" s="75" t="s">
        <v>1713</v>
      </c>
      <c r="C817" s="39" t="s">
        <v>17</v>
      </c>
      <c r="D817" s="236"/>
      <c r="E817" s="236"/>
      <c r="F817" s="236"/>
      <c r="G817" s="236"/>
      <c r="H817" s="40">
        <v>0</v>
      </c>
      <c r="I817" s="17">
        <v>0</v>
      </c>
      <c r="J817" s="17">
        <v>0</v>
      </c>
      <c r="K817" s="17"/>
      <c r="L817" s="16" t="s">
        <v>18</v>
      </c>
      <c r="M817" s="16" t="s">
        <v>22</v>
      </c>
      <c r="N817" s="39"/>
    </row>
    <row r="818" spans="1:14" s="12" customFormat="1" ht="18">
      <c r="A818" s="178" t="s">
        <v>97</v>
      </c>
      <c r="B818" s="75" t="s">
        <v>572</v>
      </c>
      <c r="C818" s="39" t="s">
        <v>17</v>
      </c>
      <c r="D818" s="236"/>
      <c r="E818" s="236"/>
      <c r="F818" s="236"/>
      <c r="G818" s="236"/>
      <c r="H818" s="40">
        <f>SUM(Tabla132112416[[#This Row],[PRIMER TRIMESTRE]:[CUARTO TRIMESTRE]])</f>
        <v>0</v>
      </c>
      <c r="I818" s="17">
        <v>25000</v>
      </c>
      <c r="J818" s="17">
        <f t="shared" si="22"/>
        <v>0</v>
      </c>
      <c r="K818" s="17"/>
      <c r="L818" s="16" t="s">
        <v>18</v>
      </c>
      <c r="M818" s="16" t="s">
        <v>22</v>
      </c>
      <c r="N818" s="39"/>
    </row>
    <row r="819" spans="1:14" s="12" customFormat="1" ht="18">
      <c r="A819" s="178" t="s">
        <v>97</v>
      </c>
      <c r="B819" s="75" t="s">
        <v>1238</v>
      </c>
      <c r="C819" s="39" t="s">
        <v>17</v>
      </c>
      <c r="D819" s="236"/>
      <c r="E819" s="236"/>
      <c r="F819" s="236"/>
      <c r="G819" s="236"/>
      <c r="H819" s="40">
        <f>SUM(Tabla132112416[[#This Row],[PRIMER TRIMESTRE]:[CUARTO TRIMESTRE]])</f>
        <v>0</v>
      </c>
      <c r="I819" s="17">
        <v>25000</v>
      </c>
      <c r="J819" s="17">
        <f t="shared" si="22"/>
        <v>0</v>
      </c>
      <c r="K819" s="17"/>
      <c r="L819" s="16" t="s">
        <v>18</v>
      </c>
      <c r="M819" s="16" t="s">
        <v>22</v>
      </c>
      <c r="N819" s="39"/>
    </row>
    <row r="820" spans="1:14" s="12" customFormat="1" ht="18">
      <c r="A820" s="178" t="s">
        <v>97</v>
      </c>
      <c r="B820" s="75" t="s">
        <v>1239</v>
      </c>
      <c r="C820" s="39" t="s">
        <v>17</v>
      </c>
      <c r="D820" s="236"/>
      <c r="E820" s="236"/>
      <c r="F820" s="236"/>
      <c r="G820" s="236"/>
      <c r="H820" s="40">
        <f>SUM(Tabla132112416[[#This Row],[PRIMER TRIMESTRE]:[CUARTO TRIMESTRE]])</f>
        <v>0</v>
      </c>
      <c r="I820" s="17">
        <v>25000</v>
      </c>
      <c r="J820" s="17">
        <f t="shared" si="22"/>
        <v>0</v>
      </c>
      <c r="K820" s="17"/>
      <c r="L820" s="16" t="s">
        <v>18</v>
      </c>
      <c r="M820" s="16" t="s">
        <v>22</v>
      </c>
      <c r="N820" s="39"/>
    </row>
    <row r="821" spans="1:14" s="12" customFormat="1" ht="18">
      <c r="A821" s="178" t="s">
        <v>97</v>
      </c>
      <c r="B821" s="75" t="s">
        <v>220</v>
      </c>
      <c r="C821" s="39" t="s">
        <v>17</v>
      </c>
      <c r="D821" s="236"/>
      <c r="E821" s="236"/>
      <c r="F821" s="236"/>
      <c r="G821" s="236"/>
      <c r="H821" s="40">
        <f>SUM(Tabla132112416[[#This Row],[PRIMER TRIMESTRE]:[CUARTO TRIMESTRE]])</f>
        <v>0</v>
      </c>
      <c r="I821" s="17">
        <v>40165</v>
      </c>
      <c r="J821" s="17">
        <f>+Tabla132112416[[#This Row],[CANTIDAD TOTAL]]*Tabla132112416[[#This Row],[PRECIO UNITARIO ESTIMADO]]</f>
        <v>0</v>
      </c>
      <c r="K821" s="17"/>
      <c r="L821" s="16" t="s">
        <v>18</v>
      </c>
      <c r="M821" s="16" t="s">
        <v>22</v>
      </c>
      <c r="N821" s="39"/>
    </row>
    <row r="822" spans="1:14" s="12" customFormat="1" ht="18">
      <c r="A822" s="178" t="s">
        <v>97</v>
      </c>
      <c r="B822" s="75" t="s">
        <v>213</v>
      </c>
      <c r="C822" s="39" t="s">
        <v>17</v>
      </c>
      <c r="D822" s="236"/>
      <c r="E822" s="236"/>
      <c r="F822" s="236"/>
      <c r="G822" s="236"/>
      <c r="H822" s="40">
        <f>SUM(Tabla132112416[[#This Row],[PRIMER TRIMESTRE]:[CUARTO TRIMESTRE]])</f>
        <v>0</v>
      </c>
      <c r="I822" s="17">
        <v>30999.38</v>
      </c>
      <c r="J822" s="17">
        <f>+Tabla132112416[[#This Row],[CANTIDAD TOTAL]]*Tabla132112416[[#This Row],[PRECIO UNITARIO ESTIMADO]]</f>
        <v>0</v>
      </c>
      <c r="K822" s="17"/>
      <c r="L822" s="16" t="s">
        <v>18</v>
      </c>
      <c r="M822" s="16" t="s">
        <v>22</v>
      </c>
      <c r="N822" s="39"/>
    </row>
    <row r="823" spans="1:14" s="12" customFormat="1" ht="18">
      <c r="A823" s="178" t="s">
        <v>97</v>
      </c>
      <c r="B823" s="75" t="s">
        <v>226</v>
      </c>
      <c r="C823" s="39" t="s">
        <v>17</v>
      </c>
      <c r="D823" s="236"/>
      <c r="E823" s="236"/>
      <c r="F823" s="236"/>
      <c r="G823" s="236"/>
      <c r="H823" s="40">
        <f>SUM(Tabla132112416[[#This Row],[PRIMER TRIMESTRE]:[CUARTO TRIMESTRE]])</f>
        <v>0</v>
      </c>
      <c r="I823" s="17">
        <v>14929.2</v>
      </c>
      <c r="J823" s="17">
        <f>+Tabla132112416[[#This Row],[CANTIDAD TOTAL]]*Tabla132112416[[#This Row],[PRECIO UNITARIO ESTIMADO]]</f>
        <v>0</v>
      </c>
      <c r="K823" s="17"/>
      <c r="L823" s="16" t="s">
        <v>18</v>
      </c>
      <c r="M823" s="16" t="s">
        <v>22</v>
      </c>
      <c r="N823" s="39"/>
    </row>
    <row r="824" spans="1:14" s="12" customFormat="1" ht="25.5">
      <c r="A824" s="178" t="s">
        <v>97</v>
      </c>
      <c r="B824" s="75" t="s">
        <v>1696</v>
      </c>
      <c r="C824" s="39" t="s">
        <v>17</v>
      </c>
      <c r="D824" s="236"/>
      <c r="E824" s="236"/>
      <c r="F824" s="236"/>
      <c r="G824" s="236"/>
      <c r="H824" s="40">
        <v>0</v>
      </c>
      <c r="I824" s="17">
        <v>0</v>
      </c>
      <c r="J824" s="17">
        <v>0</v>
      </c>
      <c r="K824" s="17"/>
      <c r="L824" s="16" t="s">
        <v>18</v>
      </c>
      <c r="M824" s="16" t="s">
        <v>22</v>
      </c>
      <c r="N824" s="39"/>
    </row>
    <row r="825" spans="1:14" s="12" customFormat="1" ht="38.25">
      <c r="A825" s="178" t="s">
        <v>97</v>
      </c>
      <c r="B825" s="75" t="s">
        <v>1697</v>
      </c>
      <c r="C825" s="39" t="s">
        <v>17</v>
      </c>
      <c r="D825" s="236"/>
      <c r="E825" s="236"/>
      <c r="F825" s="236"/>
      <c r="G825" s="236"/>
      <c r="H825" s="40">
        <v>0</v>
      </c>
      <c r="I825" s="17">
        <v>0</v>
      </c>
      <c r="J825" s="17">
        <v>0</v>
      </c>
      <c r="K825" s="17"/>
      <c r="L825" s="16" t="s">
        <v>18</v>
      </c>
      <c r="M825" s="16" t="s">
        <v>22</v>
      </c>
      <c r="N825" s="39"/>
    </row>
    <row r="826" spans="1:14" s="12" customFormat="1" ht="38.25">
      <c r="A826" s="178" t="s">
        <v>97</v>
      </c>
      <c r="B826" s="75" t="s">
        <v>1698</v>
      </c>
      <c r="C826" s="39" t="s">
        <v>17</v>
      </c>
      <c r="D826" s="236"/>
      <c r="E826" s="236"/>
      <c r="F826" s="236"/>
      <c r="G826" s="236"/>
      <c r="H826" s="40">
        <v>0</v>
      </c>
      <c r="I826" s="17">
        <v>0</v>
      </c>
      <c r="J826" s="17">
        <v>0</v>
      </c>
      <c r="K826" s="17"/>
      <c r="L826" s="16" t="s">
        <v>18</v>
      </c>
      <c r="M826" s="16" t="s">
        <v>22</v>
      </c>
      <c r="N826" s="39"/>
    </row>
    <row r="827" spans="1:14" s="12" customFormat="1" ht="18">
      <c r="A827" s="178" t="s">
        <v>97</v>
      </c>
      <c r="B827" s="75" t="s">
        <v>212</v>
      </c>
      <c r="C827" s="39" t="s">
        <v>17</v>
      </c>
      <c r="D827" s="236"/>
      <c r="E827" s="236"/>
      <c r="F827" s="236"/>
      <c r="G827" s="236"/>
      <c r="H827" s="40">
        <f>SUM(Tabla132112416[[#This Row],[PRIMER TRIMESTRE]:[CUARTO TRIMESTRE]])</f>
        <v>0</v>
      </c>
      <c r="I827" s="17">
        <v>280500</v>
      </c>
      <c r="J827" s="17">
        <f>+Tabla132112416[[#This Row],[CANTIDAD TOTAL]]*Tabla132112416[[#This Row],[PRECIO UNITARIO ESTIMADO]]</f>
        <v>0</v>
      </c>
      <c r="K827" s="17"/>
      <c r="L827" s="16" t="s">
        <v>18</v>
      </c>
      <c r="M827" s="16" t="s">
        <v>22</v>
      </c>
      <c r="N827" s="39"/>
    </row>
    <row r="828" spans="1:14" s="12" customFormat="1" ht="18">
      <c r="A828" s="178" t="s">
        <v>97</v>
      </c>
      <c r="B828" s="75" t="s">
        <v>214</v>
      </c>
      <c r="C828" s="39" t="s">
        <v>17</v>
      </c>
      <c r="D828" s="236"/>
      <c r="E828" s="236"/>
      <c r="F828" s="236"/>
      <c r="G828" s="236"/>
      <c r="H828" s="40">
        <f>SUM(Tabla132112416[[#This Row],[PRIMER TRIMESTRE]:[CUARTO TRIMESTRE]])</f>
        <v>0</v>
      </c>
      <c r="I828" s="17">
        <v>62762.6</v>
      </c>
      <c r="J828" s="17">
        <f>+Tabla132112416[[#This Row],[CANTIDAD TOTAL]]*Tabla132112416[[#This Row],[PRECIO UNITARIO ESTIMADO]]</f>
        <v>0</v>
      </c>
      <c r="K828" s="17"/>
      <c r="L828" s="16" t="s">
        <v>18</v>
      </c>
      <c r="M828" s="16" t="s">
        <v>22</v>
      </c>
      <c r="N828" s="39"/>
    </row>
    <row r="829" spans="1:14" s="12" customFormat="1" ht="18">
      <c r="A829" s="178" t="s">
        <v>97</v>
      </c>
      <c r="B829" s="75" t="s">
        <v>215</v>
      </c>
      <c r="C829" s="39" t="s">
        <v>17</v>
      </c>
      <c r="D829" s="236"/>
      <c r="E829" s="236"/>
      <c r="F829" s="236"/>
      <c r="G829" s="236"/>
      <c r="H829" s="40">
        <f>SUM(Tabla132112416[[#This Row],[PRIMER TRIMESTRE]:[CUARTO TRIMESTRE]])</f>
        <v>0</v>
      </c>
      <c r="I829" s="17">
        <v>14453.6</v>
      </c>
      <c r="J829" s="17">
        <f>+Tabla132112416[[#This Row],[CANTIDAD TOTAL]]*Tabla132112416[[#This Row],[PRECIO UNITARIO ESTIMADO]]</f>
        <v>0</v>
      </c>
      <c r="K829" s="17"/>
      <c r="L829" s="16" t="s">
        <v>18</v>
      </c>
      <c r="M829" s="16" t="s">
        <v>22</v>
      </c>
      <c r="N829" s="39"/>
    </row>
    <row r="830" spans="1:14" s="12" customFormat="1" ht="18">
      <c r="A830" s="178" t="s">
        <v>97</v>
      </c>
      <c r="B830" s="75" t="s">
        <v>216</v>
      </c>
      <c r="C830" s="39" t="s">
        <v>17</v>
      </c>
      <c r="D830" s="236"/>
      <c r="E830" s="236"/>
      <c r="F830" s="236"/>
      <c r="G830" s="236"/>
      <c r="H830" s="40">
        <f>SUM(Tabla132112416[[#This Row],[PRIMER TRIMESTRE]:[CUARTO TRIMESTRE]])</f>
        <v>0</v>
      </c>
      <c r="I830" s="17">
        <v>58701.8</v>
      </c>
      <c r="J830" s="17">
        <f>+Tabla132112416[[#This Row],[CANTIDAD TOTAL]]*Tabla132112416[[#This Row],[PRECIO UNITARIO ESTIMADO]]</f>
        <v>0</v>
      </c>
      <c r="K830" s="17"/>
      <c r="L830" s="16" t="s">
        <v>18</v>
      </c>
      <c r="M830" s="16" t="s">
        <v>22</v>
      </c>
      <c r="N830" s="39"/>
    </row>
    <row r="831" spans="1:14" s="12" customFormat="1" ht="25.5">
      <c r="A831" s="178" t="s">
        <v>97</v>
      </c>
      <c r="B831" s="75" t="s">
        <v>217</v>
      </c>
      <c r="C831" s="39" t="s">
        <v>17</v>
      </c>
      <c r="D831" s="236"/>
      <c r="E831" s="236"/>
      <c r="F831" s="236"/>
      <c r="G831" s="236"/>
      <c r="H831" s="40">
        <f>SUM(Tabla132112416[[#This Row],[PRIMER TRIMESTRE]:[CUARTO TRIMESTRE]])</f>
        <v>0</v>
      </c>
      <c r="I831" s="17">
        <v>36540</v>
      </c>
      <c r="J831" s="17">
        <f>+Tabla132112416[[#This Row],[CANTIDAD TOTAL]]*Tabla132112416[[#This Row],[PRECIO UNITARIO ESTIMADO]]</f>
        <v>0</v>
      </c>
      <c r="K831" s="17"/>
      <c r="L831" s="16" t="s">
        <v>18</v>
      </c>
      <c r="M831" s="16" t="s">
        <v>22</v>
      </c>
      <c r="N831" s="39"/>
    </row>
    <row r="832" spans="1:14" s="12" customFormat="1" ht="25.5">
      <c r="A832" s="178" t="s">
        <v>97</v>
      </c>
      <c r="B832" s="75" t="s">
        <v>218</v>
      </c>
      <c r="C832" s="39" t="s">
        <v>17</v>
      </c>
      <c r="D832" s="236"/>
      <c r="E832" s="236"/>
      <c r="F832" s="236"/>
      <c r="G832" s="236"/>
      <c r="H832" s="40">
        <f>SUM(Tabla132112416[[#This Row],[PRIMER TRIMESTRE]:[CUARTO TRIMESTRE]])</f>
        <v>0</v>
      </c>
      <c r="I832" s="17">
        <v>60262</v>
      </c>
      <c r="J832" s="17">
        <f>+Tabla132112416[[#This Row],[CANTIDAD TOTAL]]*Tabla132112416[[#This Row],[PRECIO UNITARIO ESTIMADO]]</f>
        <v>0</v>
      </c>
      <c r="K832" s="17"/>
      <c r="L832" s="16" t="s">
        <v>18</v>
      </c>
      <c r="M832" s="16" t="s">
        <v>22</v>
      </c>
      <c r="N832" s="39"/>
    </row>
    <row r="833" spans="1:14" s="12" customFormat="1" ht="25.5">
      <c r="A833" s="178" t="s">
        <v>97</v>
      </c>
      <c r="B833" s="75" t="s">
        <v>219</v>
      </c>
      <c r="C833" s="39" t="s">
        <v>17</v>
      </c>
      <c r="D833" s="236"/>
      <c r="E833" s="236"/>
      <c r="F833" s="236"/>
      <c r="G833" s="236"/>
      <c r="H833" s="40">
        <f>SUM(Tabla132112416[[#This Row],[PRIMER TRIMESTRE]:[CUARTO TRIMESTRE]])</f>
        <v>0</v>
      </c>
      <c r="I833" s="17">
        <v>59757.4</v>
      </c>
      <c r="J833" s="17">
        <f>+Tabla132112416[[#This Row],[CANTIDAD TOTAL]]*Tabla132112416[[#This Row],[PRECIO UNITARIO ESTIMADO]]</f>
        <v>0</v>
      </c>
      <c r="K833" s="17"/>
      <c r="L833" s="16" t="s">
        <v>18</v>
      </c>
      <c r="M833" s="16" t="s">
        <v>22</v>
      </c>
      <c r="N833" s="39"/>
    </row>
    <row r="834" spans="1:14" s="12" customFormat="1" ht="51">
      <c r="A834" s="178" t="s">
        <v>97</v>
      </c>
      <c r="B834" s="75" t="s">
        <v>1765</v>
      </c>
      <c r="C834" s="39" t="s">
        <v>17</v>
      </c>
      <c r="D834" s="236"/>
      <c r="E834" s="236"/>
      <c r="F834" s="236"/>
      <c r="G834" s="236"/>
      <c r="H834" s="40">
        <v>0</v>
      </c>
      <c r="I834" s="17">
        <v>0</v>
      </c>
      <c r="J834" s="17">
        <v>0</v>
      </c>
      <c r="K834" s="17"/>
      <c r="L834" s="16" t="s">
        <v>18</v>
      </c>
      <c r="M834" s="16" t="s">
        <v>22</v>
      </c>
      <c r="N834" s="39"/>
    </row>
    <row r="835" spans="1:14" s="12" customFormat="1" ht="51">
      <c r="A835" s="178" t="s">
        <v>97</v>
      </c>
      <c r="B835" s="75" t="s">
        <v>1766</v>
      </c>
      <c r="C835" s="39" t="s">
        <v>17</v>
      </c>
      <c r="D835" s="236"/>
      <c r="E835" s="236"/>
      <c r="F835" s="236"/>
      <c r="G835" s="236"/>
      <c r="H835" s="40">
        <v>0</v>
      </c>
      <c r="I835" s="17">
        <v>0</v>
      </c>
      <c r="J835" s="17">
        <v>0</v>
      </c>
      <c r="K835" s="17"/>
      <c r="L835" s="16" t="s">
        <v>18</v>
      </c>
      <c r="M835" s="16" t="s">
        <v>22</v>
      </c>
      <c r="N835" s="39"/>
    </row>
    <row r="836" spans="1:14" s="12" customFormat="1" ht="18">
      <c r="A836" s="178" t="s">
        <v>97</v>
      </c>
      <c r="B836" s="75" t="s">
        <v>317</v>
      </c>
      <c r="C836" s="39" t="s">
        <v>17</v>
      </c>
      <c r="D836" s="236"/>
      <c r="E836" s="236"/>
      <c r="F836" s="236"/>
      <c r="G836" s="236"/>
      <c r="H836" s="40">
        <f>SUM(Tabla132112416[[#This Row],[PRIMER TRIMESTRE]:[CUARTO TRIMESTRE]])</f>
        <v>0</v>
      </c>
      <c r="I836" s="17">
        <f>1252664.4/5</f>
        <v>250532.87999999998</v>
      </c>
      <c r="J836" s="17">
        <f>+Tabla132112416[[#This Row],[CANTIDAD TOTAL]]*Tabla132112416[[#This Row],[PRECIO UNITARIO ESTIMADO]]</f>
        <v>0</v>
      </c>
      <c r="K836" s="17"/>
      <c r="L836" s="16" t="s">
        <v>18</v>
      </c>
      <c r="M836" s="16" t="s">
        <v>22</v>
      </c>
      <c r="N836" s="39"/>
    </row>
    <row r="837" spans="1:14" s="12" customFormat="1" ht="18">
      <c r="A837" s="178" t="s">
        <v>97</v>
      </c>
      <c r="B837" s="75" t="s">
        <v>1462</v>
      </c>
      <c r="C837" s="39" t="s">
        <v>17</v>
      </c>
      <c r="D837" s="236"/>
      <c r="E837" s="236"/>
      <c r="F837" s="236"/>
      <c r="G837" s="236"/>
      <c r="H837" s="40">
        <f>SUM(Tabla132112416[[#This Row],[PRIMER TRIMESTRE]:[CUARTO TRIMESTRE]])</f>
        <v>0</v>
      </c>
      <c r="I837" s="17">
        <v>250532.68</v>
      </c>
      <c r="J837" s="17">
        <f t="shared" ref="J837:J866" si="23">+H837*I837</f>
        <v>0</v>
      </c>
      <c r="K837" s="17"/>
      <c r="L837" s="16" t="s">
        <v>15</v>
      </c>
      <c r="M837" s="16" t="s">
        <v>22</v>
      </c>
      <c r="N837" s="39"/>
    </row>
    <row r="838" spans="1:14" s="12" customFormat="1" ht="18">
      <c r="A838" s="178" t="s">
        <v>97</v>
      </c>
      <c r="B838" s="75" t="s">
        <v>1240</v>
      </c>
      <c r="C838" s="39" t="s">
        <v>17</v>
      </c>
      <c r="D838" s="236"/>
      <c r="E838" s="236"/>
      <c r="F838" s="236"/>
      <c r="G838" s="236"/>
      <c r="H838" s="40">
        <f>SUM(Tabla132112416[[#This Row],[PRIMER TRIMESTRE]:[CUARTO TRIMESTRE]])</f>
        <v>0</v>
      </c>
      <c r="I838" s="17">
        <v>2300000</v>
      </c>
      <c r="J838" s="17">
        <f t="shared" si="23"/>
        <v>0</v>
      </c>
      <c r="K838" s="17"/>
      <c r="L838" s="16" t="s">
        <v>18</v>
      </c>
      <c r="M838" s="16" t="s">
        <v>22</v>
      </c>
      <c r="N838" s="39"/>
    </row>
    <row r="839" spans="1:14" s="12" customFormat="1" ht="18">
      <c r="A839" s="178" t="s">
        <v>97</v>
      </c>
      <c r="B839" s="75" t="s">
        <v>1241</v>
      </c>
      <c r="C839" s="39" t="s">
        <v>17</v>
      </c>
      <c r="D839" s="236"/>
      <c r="E839" s="236"/>
      <c r="F839" s="236"/>
      <c r="G839" s="236"/>
      <c r="H839" s="40">
        <f>SUM(Tabla132112416[[#This Row],[PRIMER TRIMESTRE]:[CUARTO TRIMESTRE]])</f>
        <v>0</v>
      </c>
      <c r="I839" s="17">
        <v>950000</v>
      </c>
      <c r="J839" s="17">
        <f t="shared" si="23"/>
        <v>0</v>
      </c>
      <c r="K839" s="17"/>
      <c r="L839" s="16" t="s">
        <v>18</v>
      </c>
      <c r="M839" s="16" t="s">
        <v>22</v>
      </c>
      <c r="N839" s="39"/>
    </row>
    <row r="840" spans="1:14" s="12" customFormat="1" ht="18">
      <c r="A840" s="178" t="s">
        <v>97</v>
      </c>
      <c r="B840" s="75" t="s">
        <v>1242</v>
      </c>
      <c r="C840" s="39" t="s">
        <v>17</v>
      </c>
      <c r="D840" s="236"/>
      <c r="E840" s="236"/>
      <c r="F840" s="236"/>
      <c r="G840" s="236"/>
      <c r="H840" s="40">
        <f>SUM(Tabla132112416[[#This Row],[PRIMER TRIMESTRE]:[CUARTO TRIMESTRE]])</f>
        <v>0</v>
      </c>
      <c r="I840" s="17">
        <v>1800000</v>
      </c>
      <c r="J840" s="17">
        <f t="shared" si="23"/>
        <v>0</v>
      </c>
      <c r="K840" s="17"/>
      <c r="L840" s="16" t="s">
        <v>18</v>
      </c>
      <c r="M840" s="16" t="s">
        <v>22</v>
      </c>
      <c r="N840" s="39"/>
    </row>
    <row r="841" spans="1:14" s="12" customFormat="1" ht="18">
      <c r="A841" s="178" t="s">
        <v>97</v>
      </c>
      <c r="B841" s="75" t="s">
        <v>1243</v>
      </c>
      <c r="C841" s="39" t="s">
        <v>17</v>
      </c>
      <c r="D841" s="236"/>
      <c r="E841" s="236"/>
      <c r="F841" s="236"/>
      <c r="G841" s="236"/>
      <c r="H841" s="40">
        <f>SUM(Tabla132112416[[#This Row],[PRIMER TRIMESTRE]:[CUARTO TRIMESTRE]])</f>
        <v>0</v>
      </c>
      <c r="I841" s="17">
        <v>270000</v>
      </c>
      <c r="J841" s="17">
        <f t="shared" si="23"/>
        <v>0</v>
      </c>
      <c r="K841" s="17"/>
      <c r="L841" s="16" t="s">
        <v>18</v>
      </c>
      <c r="M841" s="16" t="s">
        <v>22</v>
      </c>
      <c r="N841" s="39"/>
    </row>
    <row r="842" spans="1:14" s="12" customFormat="1" ht="18">
      <c r="A842" s="178" t="s">
        <v>97</v>
      </c>
      <c r="B842" s="75" t="s">
        <v>1244</v>
      </c>
      <c r="C842" s="39" t="s">
        <v>17</v>
      </c>
      <c r="D842" s="236"/>
      <c r="E842" s="236"/>
      <c r="F842" s="236"/>
      <c r="G842" s="236"/>
      <c r="H842" s="40">
        <f>SUM(Tabla132112416[[#This Row],[PRIMER TRIMESTRE]:[CUARTO TRIMESTRE]])</f>
        <v>0</v>
      </c>
      <c r="I842" s="17">
        <v>398000</v>
      </c>
      <c r="J842" s="17">
        <f t="shared" si="23"/>
        <v>0</v>
      </c>
      <c r="K842" s="17"/>
      <c r="L842" s="16" t="s">
        <v>18</v>
      </c>
      <c r="M842" s="16" t="s">
        <v>22</v>
      </c>
      <c r="N842" s="39"/>
    </row>
    <row r="843" spans="1:14" s="12" customFormat="1" ht="18">
      <c r="A843" s="178" t="s">
        <v>97</v>
      </c>
      <c r="B843" s="75" t="s">
        <v>1245</v>
      </c>
      <c r="C843" s="39" t="s">
        <v>17</v>
      </c>
      <c r="D843" s="236"/>
      <c r="E843" s="236"/>
      <c r="F843" s="236"/>
      <c r="G843" s="236"/>
      <c r="H843" s="40">
        <f>SUM(Tabla132112416[[#This Row],[PRIMER TRIMESTRE]:[CUARTO TRIMESTRE]])</f>
        <v>0</v>
      </c>
      <c r="I843" s="17">
        <v>395000</v>
      </c>
      <c r="J843" s="17">
        <f t="shared" si="23"/>
        <v>0</v>
      </c>
      <c r="K843" s="17"/>
      <c r="L843" s="16" t="s">
        <v>18</v>
      </c>
      <c r="M843" s="16" t="s">
        <v>22</v>
      </c>
      <c r="N843" s="39"/>
    </row>
    <row r="844" spans="1:14" s="12" customFormat="1" ht="18">
      <c r="A844" s="178" t="s">
        <v>97</v>
      </c>
      <c r="B844" s="75" t="s">
        <v>1246</v>
      </c>
      <c r="C844" s="39" t="s">
        <v>17</v>
      </c>
      <c r="D844" s="236"/>
      <c r="E844" s="236"/>
      <c r="F844" s="236"/>
      <c r="G844" s="236"/>
      <c r="H844" s="40">
        <f>SUM(Tabla132112416[[#This Row],[PRIMER TRIMESTRE]:[CUARTO TRIMESTRE]])</f>
        <v>0</v>
      </c>
      <c r="I844" s="17">
        <v>390000</v>
      </c>
      <c r="J844" s="17">
        <f t="shared" si="23"/>
        <v>0</v>
      </c>
      <c r="K844" s="17"/>
      <c r="L844" s="16" t="s">
        <v>18</v>
      </c>
      <c r="M844" s="16" t="s">
        <v>22</v>
      </c>
      <c r="N844" s="39"/>
    </row>
    <row r="845" spans="1:14" s="12" customFormat="1" ht="18">
      <c r="A845" s="178" t="s">
        <v>97</v>
      </c>
      <c r="B845" s="75" t="s">
        <v>1247</v>
      </c>
      <c r="C845" s="39" t="s">
        <v>17</v>
      </c>
      <c r="D845" s="236"/>
      <c r="E845" s="236"/>
      <c r="F845" s="236"/>
      <c r="G845" s="236"/>
      <c r="H845" s="40">
        <f>SUM(Tabla132112416[[#This Row],[PRIMER TRIMESTRE]:[CUARTO TRIMESTRE]])</f>
        <v>0</v>
      </c>
      <c r="I845" s="17">
        <v>385000</v>
      </c>
      <c r="J845" s="17">
        <f t="shared" si="23"/>
        <v>0</v>
      </c>
      <c r="K845" s="17"/>
      <c r="L845" s="16" t="s">
        <v>18</v>
      </c>
      <c r="M845" s="16" t="s">
        <v>22</v>
      </c>
      <c r="N845" s="39"/>
    </row>
    <row r="846" spans="1:14" s="12" customFormat="1" ht="18">
      <c r="A846" s="178" t="s">
        <v>97</v>
      </c>
      <c r="B846" s="75" t="s">
        <v>1248</v>
      </c>
      <c r="C846" s="39" t="s">
        <v>17</v>
      </c>
      <c r="D846" s="236"/>
      <c r="E846" s="236"/>
      <c r="F846" s="236"/>
      <c r="G846" s="236"/>
      <c r="H846" s="40">
        <f>SUM(Tabla132112416[[#This Row],[PRIMER TRIMESTRE]:[CUARTO TRIMESTRE]])</f>
        <v>0</v>
      </c>
      <c r="I846" s="17">
        <v>290400</v>
      </c>
      <c r="J846" s="17">
        <f t="shared" si="23"/>
        <v>0</v>
      </c>
      <c r="K846" s="17"/>
      <c r="L846" s="16" t="s">
        <v>18</v>
      </c>
      <c r="M846" s="16" t="s">
        <v>22</v>
      </c>
      <c r="N846" s="39"/>
    </row>
    <row r="847" spans="1:14" s="12" customFormat="1" ht="18">
      <c r="A847" s="178" t="s">
        <v>97</v>
      </c>
      <c r="B847" s="75" t="s">
        <v>1249</v>
      </c>
      <c r="C847" s="39" t="s">
        <v>17</v>
      </c>
      <c r="D847" s="236"/>
      <c r="E847" s="236"/>
      <c r="F847" s="236"/>
      <c r="G847" s="236"/>
      <c r="H847" s="40">
        <f>SUM(Tabla132112416[[#This Row],[PRIMER TRIMESTRE]:[CUARTO TRIMESTRE]])</f>
        <v>0</v>
      </c>
      <c r="I847" s="17">
        <v>230000</v>
      </c>
      <c r="J847" s="17">
        <f t="shared" si="23"/>
        <v>0</v>
      </c>
      <c r="K847" s="17"/>
      <c r="L847" s="16" t="s">
        <v>18</v>
      </c>
      <c r="M847" s="16" t="s">
        <v>22</v>
      </c>
      <c r="N847" s="39"/>
    </row>
    <row r="848" spans="1:14" s="12" customFormat="1" ht="18">
      <c r="A848" s="178" t="s">
        <v>97</v>
      </c>
      <c r="B848" s="75" t="s">
        <v>1250</v>
      </c>
      <c r="C848" s="39" t="s">
        <v>17</v>
      </c>
      <c r="D848" s="236"/>
      <c r="E848" s="236"/>
      <c r="F848" s="236"/>
      <c r="G848" s="236"/>
      <c r="H848" s="40">
        <f>SUM(Tabla132112416[[#This Row],[PRIMER TRIMESTRE]:[CUARTO TRIMESTRE]])</f>
        <v>0</v>
      </c>
      <c r="I848" s="17">
        <v>13700</v>
      </c>
      <c r="J848" s="17">
        <f t="shared" si="23"/>
        <v>0</v>
      </c>
      <c r="K848" s="17"/>
      <c r="L848" s="16" t="s">
        <v>18</v>
      </c>
      <c r="M848" s="16" t="s">
        <v>22</v>
      </c>
      <c r="N848" s="39"/>
    </row>
    <row r="849" spans="1:14" s="12" customFormat="1" ht="18">
      <c r="A849" s="178" t="s">
        <v>97</v>
      </c>
      <c r="B849" s="75" t="s">
        <v>1251</v>
      </c>
      <c r="C849" s="39" t="s">
        <v>17</v>
      </c>
      <c r="D849" s="236"/>
      <c r="E849" s="236"/>
      <c r="F849" s="236"/>
      <c r="G849" s="236"/>
      <c r="H849" s="40">
        <f>SUM(Tabla132112416[[#This Row],[PRIMER TRIMESTRE]:[CUARTO TRIMESTRE]])</f>
        <v>0</v>
      </c>
      <c r="I849" s="17">
        <v>205000</v>
      </c>
      <c r="J849" s="17">
        <f t="shared" si="23"/>
        <v>0</v>
      </c>
      <c r="K849" s="17"/>
      <c r="L849" s="16" t="s">
        <v>18</v>
      </c>
      <c r="M849" s="16" t="s">
        <v>22</v>
      </c>
      <c r="N849" s="39"/>
    </row>
    <row r="850" spans="1:14" s="12" customFormat="1" ht="18">
      <c r="A850" s="178" t="s">
        <v>97</v>
      </c>
      <c r="B850" s="75" t="s">
        <v>1252</v>
      </c>
      <c r="C850" s="39" t="s">
        <v>17</v>
      </c>
      <c r="D850" s="236"/>
      <c r="E850" s="236"/>
      <c r="F850" s="236"/>
      <c r="G850" s="236"/>
      <c r="H850" s="40">
        <f>SUM(Tabla132112416[[#This Row],[PRIMER TRIMESTRE]:[CUARTO TRIMESTRE]])</f>
        <v>0</v>
      </c>
      <c r="I850" s="17">
        <v>170000</v>
      </c>
      <c r="J850" s="17">
        <f t="shared" si="23"/>
        <v>0</v>
      </c>
      <c r="K850" s="17"/>
      <c r="L850" s="16" t="s">
        <v>18</v>
      </c>
      <c r="M850" s="16" t="s">
        <v>22</v>
      </c>
      <c r="N850" s="39"/>
    </row>
    <row r="851" spans="1:14" s="12" customFormat="1" ht="18">
      <c r="A851" s="178" t="s">
        <v>97</v>
      </c>
      <c r="B851" s="75" t="s">
        <v>1253</v>
      </c>
      <c r="C851" s="39" t="s">
        <v>17</v>
      </c>
      <c r="D851" s="236"/>
      <c r="E851" s="236"/>
      <c r="F851" s="236"/>
      <c r="G851" s="236"/>
      <c r="H851" s="40">
        <f>SUM(Tabla132112416[[#This Row],[PRIMER TRIMESTRE]:[CUARTO TRIMESTRE]])</f>
        <v>0</v>
      </c>
      <c r="I851" s="17">
        <v>155000</v>
      </c>
      <c r="J851" s="17">
        <f t="shared" si="23"/>
        <v>0</v>
      </c>
      <c r="K851" s="17"/>
      <c r="L851" s="16" t="s">
        <v>18</v>
      </c>
      <c r="M851" s="16" t="s">
        <v>22</v>
      </c>
      <c r="N851" s="39"/>
    </row>
    <row r="852" spans="1:14" s="12" customFormat="1" ht="18">
      <c r="A852" s="178" t="s">
        <v>97</v>
      </c>
      <c r="B852" s="75" t="s">
        <v>1254</v>
      </c>
      <c r="C852" s="39" t="s">
        <v>17</v>
      </c>
      <c r="D852" s="236"/>
      <c r="E852" s="236"/>
      <c r="F852" s="236"/>
      <c r="G852" s="236"/>
      <c r="H852" s="40">
        <f>SUM(Tabla132112416[[#This Row],[PRIMER TRIMESTRE]:[CUARTO TRIMESTRE]])</f>
        <v>0</v>
      </c>
      <c r="I852" s="17">
        <v>140000</v>
      </c>
      <c r="J852" s="17">
        <f t="shared" si="23"/>
        <v>0</v>
      </c>
      <c r="K852" s="17"/>
      <c r="L852" s="16" t="s">
        <v>18</v>
      </c>
      <c r="M852" s="16" t="s">
        <v>22</v>
      </c>
      <c r="N852" s="39"/>
    </row>
    <row r="853" spans="1:14" s="12" customFormat="1" ht="18">
      <c r="A853" s="178" t="s">
        <v>97</v>
      </c>
      <c r="B853" s="75" t="s">
        <v>1255</v>
      </c>
      <c r="C853" s="39" t="s">
        <v>17</v>
      </c>
      <c r="D853" s="236"/>
      <c r="E853" s="236"/>
      <c r="F853" s="236"/>
      <c r="G853" s="236"/>
      <c r="H853" s="40">
        <f>SUM(Tabla132112416[[#This Row],[PRIMER TRIMESTRE]:[CUARTO TRIMESTRE]])</f>
        <v>0</v>
      </c>
      <c r="I853" s="17">
        <v>115000</v>
      </c>
      <c r="J853" s="17">
        <f t="shared" si="23"/>
        <v>0</v>
      </c>
      <c r="K853" s="17"/>
      <c r="L853" s="16" t="s">
        <v>18</v>
      </c>
      <c r="M853" s="16" t="s">
        <v>22</v>
      </c>
      <c r="N853" s="39"/>
    </row>
    <row r="854" spans="1:14" s="12" customFormat="1" ht="18">
      <c r="A854" s="178" t="s">
        <v>97</v>
      </c>
      <c r="B854" s="75" t="s">
        <v>1256</v>
      </c>
      <c r="C854" s="39" t="s">
        <v>17</v>
      </c>
      <c r="D854" s="236"/>
      <c r="E854" s="236"/>
      <c r="F854" s="236"/>
      <c r="G854" s="236"/>
      <c r="H854" s="40">
        <f>SUM(Tabla132112416[[#This Row],[PRIMER TRIMESTRE]:[CUARTO TRIMESTRE]])</f>
        <v>0</v>
      </c>
      <c r="I854" s="17">
        <v>100000</v>
      </c>
      <c r="J854" s="17">
        <f t="shared" si="23"/>
        <v>0</v>
      </c>
      <c r="K854" s="17"/>
      <c r="L854" s="16" t="s">
        <v>18</v>
      </c>
      <c r="M854" s="16" t="s">
        <v>22</v>
      </c>
      <c r="N854" s="39"/>
    </row>
    <row r="855" spans="1:14" s="12" customFormat="1" ht="18">
      <c r="A855" s="178" t="s">
        <v>97</v>
      </c>
      <c r="B855" s="75" t="s">
        <v>1257</v>
      </c>
      <c r="C855" s="39" t="s">
        <v>17</v>
      </c>
      <c r="D855" s="236"/>
      <c r="E855" s="236"/>
      <c r="F855" s="236"/>
      <c r="G855" s="236"/>
      <c r="H855" s="40">
        <f>SUM(Tabla132112416[[#This Row],[PRIMER TRIMESTRE]:[CUARTO TRIMESTRE]])</f>
        <v>0</v>
      </c>
      <c r="I855" s="17">
        <v>80000</v>
      </c>
      <c r="J855" s="17">
        <f t="shared" si="23"/>
        <v>0</v>
      </c>
      <c r="K855" s="17"/>
      <c r="L855" s="16" t="s">
        <v>18</v>
      </c>
      <c r="M855" s="16" t="s">
        <v>22</v>
      </c>
      <c r="N855" s="39"/>
    </row>
    <row r="856" spans="1:14" s="12" customFormat="1" ht="18">
      <c r="A856" s="178" t="s">
        <v>97</v>
      </c>
      <c r="B856" s="75" t="s">
        <v>1258</v>
      </c>
      <c r="C856" s="39" t="s">
        <v>17</v>
      </c>
      <c r="D856" s="236"/>
      <c r="E856" s="236"/>
      <c r="F856" s="236"/>
      <c r="G856" s="236"/>
      <c r="H856" s="40">
        <f>SUM(Tabla132112416[[#This Row],[PRIMER TRIMESTRE]:[CUARTO TRIMESTRE]])</f>
        <v>0</v>
      </c>
      <c r="I856" s="17">
        <v>65000</v>
      </c>
      <c r="J856" s="17">
        <f t="shared" si="23"/>
        <v>0</v>
      </c>
      <c r="K856" s="17"/>
      <c r="L856" s="16" t="s">
        <v>18</v>
      </c>
      <c r="M856" s="16" t="s">
        <v>22</v>
      </c>
      <c r="N856" s="39"/>
    </row>
    <row r="857" spans="1:14" s="12" customFormat="1" ht="18">
      <c r="A857" s="178" t="s">
        <v>97</v>
      </c>
      <c r="B857" s="75" t="s">
        <v>1259</v>
      </c>
      <c r="C857" s="39" t="s">
        <v>17</v>
      </c>
      <c r="D857" s="236"/>
      <c r="E857" s="236"/>
      <c r="F857" s="236"/>
      <c r="G857" s="236"/>
      <c r="H857" s="40">
        <f>SUM(Tabla132112416[[#This Row],[PRIMER TRIMESTRE]:[CUARTO TRIMESTRE]])</f>
        <v>0</v>
      </c>
      <c r="I857" s="17">
        <v>50000</v>
      </c>
      <c r="J857" s="17">
        <f t="shared" si="23"/>
        <v>0</v>
      </c>
      <c r="K857" s="17"/>
      <c r="L857" s="16" t="s">
        <v>18</v>
      </c>
      <c r="M857" s="16" t="s">
        <v>22</v>
      </c>
      <c r="N857" s="39"/>
    </row>
    <row r="858" spans="1:14" s="12" customFormat="1" ht="18">
      <c r="A858" s="178" t="s">
        <v>97</v>
      </c>
      <c r="B858" s="75" t="s">
        <v>1260</v>
      </c>
      <c r="C858" s="39" t="s">
        <v>17</v>
      </c>
      <c r="D858" s="236"/>
      <c r="E858" s="236"/>
      <c r="F858" s="236"/>
      <c r="G858" s="236"/>
      <c r="H858" s="40">
        <f>SUM(Tabla132112416[[#This Row],[PRIMER TRIMESTRE]:[CUARTO TRIMESTRE]])</f>
        <v>0</v>
      </c>
      <c r="I858" s="17">
        <v>45000</v>
      </c>
      <c r="J858" s="17">
        <f t="shared" si="23"/>
        <v>0</v>
      </c>
      <c r="K858" s="17"/>
      <c r="L858" s="16" t="s">
        <v>18</v>
      </c>
      <c r="M858" s="16" t="s">
        <v>22</v>
      </c>
      <c r="N858" s="39"/>
    </row>
    <row r="859" spans="1:14" s="12" customFormat="1" ht="18">
      <c r="A859" s="178" t="s">
        <v>97</v>
      </c>
      <c r="B859" s="75" t="s">
        <v>1261</v>
      </c>
      <c r="C859" s="39" t="s">
        <v>17</v>
      </c>
      <c r="D859" s="236"/>
      <c r="E859" s="236"/>
      <c r="F859" s="236"/>
      <c r="G859" s="236"/>
      <c r="H859" s="40">
        <f>SUM(Tabla132112416[[#This Row],[PRIMER TRIMESTRE]:[CUARTO TRIMESTRE]])</f>
        <v>0</v>
      </c>
      <c r="I859" s="17">
        <v>40000</v>
      </c>
      <c r="J859" s="17">
        <f t="shared" si="23"/>
        <v>0</v>
      </c>
      <c r="K859" s="17"/>
      <c r="L859" s="16" t="s">
        <v>18</v>
      </c>
      <c r="M859" s="16" t="s">
        <v>22</v>
      </c>
      <c r="N859" s="39"/>
    </row>
    <row r="860" spans="1:14" s="12" customFormat="1" ht="18">
      <c r="A860" s="178" t="s">
        <v>97</v>
      </c>
      <c r="B860" s="75" t="s">
        <v>1262</v>
      </c>
      <c r="C860" s="39" t="s">
        <v>17</v>
      </c>
      <c r="D860" s="236"/>
      <c r="E860" s="236"/>
      <c r="F860" s="236"/>
      <c r="G860" s="236"/>
      <c r="H860" s="40">
        <f>SUM(Tabla132112416[[#This Row],[PRIMER TRIMESTRE]:[CUARTO TRIMESTRE]])</f>
        <v>0</v>
      </c>
      <c r="I860" s="17">
        <v>30000</v>
      </c>
      <c r="J860" s="17">
        <f t="shared" si="23"/>
        <v>0</v>
      </c>
      <c r="K860" s="17"/>
      <c r="L860" s="16" t="s">
        <v>18</v>
      </c>
      <c r="M860" s="16" t="s">
        <v>22</v>
      </c>
      <c r="N860" s="39"/>
    </row>
    <row r="861" spans="1:14" s="12" customFormat="1" ht="18">
      <c r="A861" s="178" t="s">
        <v>97</v>
      </c>
      <c r="B861" s="75" t="s">
        <v>1263</v>
      </c>
      <c r="C861" s="39" t="s">
        <v>17</v>
      </c>
      <c r="D861" s="236"/>
      <c r="E861" s="236"/>
      <c r="F861" s="236"/>
      <c r="G861" s="236"/>
      <c r="H861" s="40">
        <f>SUM(Tabla132112416[[#This Row],[PRIMER TRIMESTRE]:[CUARTO TRIMESTRE]])</f>
        <v>0</v>
      </c>
      <c r="I861" s="17">
        <v>26000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</row>
    <row r="862" spans="1:14" s="12" customFormat="1" ht="18">
      <c r="A862" s="178" t="s">
        <v>97</v>
      </c>
      <c r="B862" s="75" t="s">
        <v>1264</v>
      </c>
      <c r="C862" s="39" t="s">
        <v>17</v>
      </c>
      <c r="D862" s="236"/>
      <c r="E862" s="236"/>
      <c r="F862" s="236"/>
      <c r="G862" s="236"/>
      <c r="H862" s="40">
        <f>SUM(Tabla132112416[[#This Row],[PRIMER TRIMESTRE]:[CUARTO TRIMESTRE]])</f>
        <v>0</v>
      </c>
      <c r="I862" s="17">
        <v>24000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</row>
    <row r="863" spans="1:14" s="12" customFormat="1" ht="18">
      <c r="A863" s="178" t="s">
        <v>97</v>
      </c>
      <c r="B863" s="75" t="s">
        <v>1265</v>
      </c>
      <c r="C863" s="39" t="s">
        <v>17</v>
      </c>
      <c r="D863" s="236"/>
      <c r="E863" s="236"/>
      <c r="F863" s="236"/>
      <c r="G863" s="236"/>
      <c r="H863" s="40">
        <f>SUM(Tabla132112416[[#This Row],[PRIMER TRIMESTRE]:[CUARTO TRIMESTRE]])</f>
        <v>0</v>
      </c>
      <c r="I863" s="17">
        <v>20000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</row>
    <row r="864" spans="1:14" s="12" customFormat="1" ht="18">
      <c r="A864" s="178" t="s">
        <v>97</v>
      </c>
      <c r="B864" s="75" t="s">
        <v>1266</v>
      </c>
      <c r="C864" s="39" t="s">
        <v>17</v>
      </c>
      <c r="D864" s="236"/>
      <c r="E864" s="236"/>
      <c r="F864" s="236"/>
      <c r="G864" s="236"/>
      <c r="H864" s="40">
        <f>SUM(Tabla132112416[[#This Row],[PRIMER TRIMESTRE]:[CUARTO TRIMESTRE]])</f>
        <v>0</v>
      </c>
      <c r="I864" s="17">
        <v>18000</v>
      </c>
      <c r="J864" s="17">
        <f t="shared" si="23"/>
        <v>0</v>
      </c>
      <c r="K864" s="17"/>
      <c r="L864" s="16" t="s">
        <v>18</v>
      </c>
      <c r="M864" s="16" t="s">
        <v>22</v>
      </c>
      <c r="N864" s="39"/>
    </row>
    <row r="865" spans="1:14" s="12" customFormat="1" ht="18">
      <c r="A865" s="178" t="s">
        <v>97</v>
      </c>
      <c r="B865" s="75" t="s">
        <v>1267</v>
      </c>
      <c r="C865" s="39" t="s">
        <v>17</v>
      </c>
      <c r="D865" s="236"/>
      <c r="E865" s="236"/>
      <c r="F865" s="236"/>
      <c r="G865" s="236"/>
      <c r="H865" s="40">
        <f>SUM(Tabla132112416[[#This Row],[PRIMER TRIMESTRE]:[CUARTO TRIMESTRE]])</f>
        <v>0</v>
      </c>
      <c r="I865" s="17">
        <v>15000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</row>
    <row r="866" spans="1:14" s="12" customFormat="1" ht="30.75" customHeight="1">
      <c r="A866" s="178" t="s">
        <v>97</v>
      </c>
      <c r="B866" s="75" t="s">
        <v>1268</v>
      </c>
      <c r="C866" s="39" t="s">
        <v>17</v>
      </c>
      <c r="D866" s="236"/>
      <c r="E866" s="236"/>
      <c r="F866" s="236"/>
      <c r="G866" s="236"/>
      <c r="H866" s="40">
        <f>SUM(Tabla132112416[[#This Row],[PRIMER TRIMESTRE]:[CUARTO TRIMESTRE]])</f>
        <v>0</v>
      </c>
      <c r="I866" s="17">
        <v>61000</v>
      </c>
      <c r="J866" s="17">
        <f t="shared" si="23"/>
        <v>0</v>
      </c>
      <c r="K866" s="17"/>
      <c r="L866" s="16" t="s">
        <v>18</v>
      </c>
      <c r="M866" s="16" t="s">
        <v>22</v>
      </c>
      <c r="N866" s="39"/>
    </row>
    <row r="867" spans="1:14" s="12" customFormat="1" ht="30.75" customHeight="1">
      <c r="A867" s="178" t="s">
        <v>97</v>
      </c>
      <c r="B867" s="75" t="s">
        <v>221</v>
      </c>
      <c r="C867" s="39" t="s">
        <v>17</v>
      </c>
      <c r="D867" s="236"/>
      <c r="E867" s="236"/>
      <c r="F867" s="236"/>
      <c r="G867" s="236"/>
      <c r="H867" s="40">
        <f>SUM(Tabla132112416[[#This Row],[PRIMER TRIMESTRE]:[CUARTO TRIMESTRE]])</f>
        <v>0</v>
      </c>
      <c r="I867" s="17">
        <v>100060.44</v>
      </c>
      <c r="J867" s="17">
        <f>+Tabla132112416[[#This Row],[CANTIDAD TOTAL]]*Tabla132112416[[#This Row],[PRECIO UNITARIO ESTIMADO]]</f>
        <v>0</v>
      </c>
      <c r="K867" s="17"/>
      <c r="L867" s="16" t="s">
        <v>18</v>
      </c>
      <c r="M867" s="16" t="s">
        <v>22</v>
      </c>
      <c r="N867" s="39"/>
    </row>
    <row r="868" spans="1:14" s="12" customFormat="1" ht="30.75" customHeight="1">
      <c r="A868" s="178" t="s">
        <v>97</v>
      </c>
      <c r="B868" s="75" t="s">
        <v>222</v>
      </c>
      <c r="C868" s="39" t="s">
        <v>17</v>
      </c>
      <c r="D868" s="236"/>
      <c r="E868" s="236"/>
      <c r="F868" s="236"/>
      <c r="G868" s="236"/>
      <c r="H868" s="40">
        <f>SUM(Tabla132112416[[#This Row],[PRIMER TRIMESTRE]:[CUARTO TRIMESTRE]])</f>
        <v>0</v>
      </c>
      <c r="I868" s="17">
        <v>327948.84999999998</v>
      </c>
      <c r="J868" s="17">
        <f>+Tabla132112416[[#This Row],[CANTIDAD TOTAL]]*Tabla132112416[[#This Row],[PRECIO UNITARIO ESTIMADO]]</f>
        <v>0</v>
      </c>
      <c r="K868" s="17"/>
      <c r="L868" s="16" t="s">
        <v>18</v>
      </c>
      <c r="M868" s="16" t="s">
        <v>22</v>
      </c>
      <c r="N868" s="39"/>
    </row>
    <row r="869" spans="1:14" s="12" customFormat="1" ht="30.75" customHeight="1">
      <c r="A869" s="178" t="s">
        <v>97</v>
      </c>
      <c r="B869" s="75" t="s">
        <v>223</v>
      </c>
      <c r="C869" s="39" t="s">
        <v>17</v>
      </c>
      <c r="D869" s="236"/>
      <c r="E869" s="236"/>
      <c r="F869" s="236"/>
      <c r="G869" s="236"/>
      <c r="H869" s="40">
        <f>SUM(Tabla132112416[[#This Row],[PRIMER TRIMESTRE]:[CUARTO TRIMESTRE]])</f>
        <v>0</v>
      </c>
      <c r="I869" s="17">
        <v>16744.599999999999</v>
      </c>
      <c r="J869" s="17">
        <f>+Tabla132112416[[#This Row],[CANTIDAD TOTAL]]*Tabla132112416[[#This Row],[PRECIO UNITARIO ESTIMADO]]</f>
        <v>0</v>
      </c>
      <c r="K869" s="17"/>
      <c r="L869" s="16" t="s">
        <v>18</v>
      </c>
      <c r="M869" s="16" t="s">
        <v>22</v>
      </c>
      <c r="N869" s="39"/>
    </row>
    <row r="870" spans="1:14" s="26" customFormat="1" ht="30.75" customHeight="1">
      <c r="A870" s="178" t="s">
        <v>97</v>
      </c>
      <c r="B870" s="75" t="s">
        <v>224</v>
      </c>
      <c r="C870" s="39" t="s">
        <v>17</v>
      </c>
      <c r="D870" s="236"/>
      <c r="E870" s="236"/>
      <c r="F870" s="236"/>
      <c r="G870" s="236"/>
      <c r="H870" s="40">
        <f>SUM(Tabla132112416[[#This Row],[PRIMER TRIMESTRE]:[CUARTO TRIMESTRE]])</f>
        <v>0</v>
      </c>
      <c r="I870" s="17">
        <v>52380.2</v>
      </c>
      <c r="J870" s="17">
        <f>+Tabla132112416[[#This Row],[CANTIDAD TOTAL]]*Tabla132112416[[#This Row],[PRECIO UNITARIO ESTIMADO]]</f>
        <v>0</v>
      </c>
      <c r="K870" s="17"/>
      <c r="L870" s="16" t="s">
        <v>18</v>
      </c>
      <c r="M870" s="16" t="s">
        <v>22</v>
      </c>
      <c r="N870" s="39"/>
    </row>
    <row r="871" spans="1:14" s="26" customFormat="1" ht="30.75" customHeight="1">
      <c r="A871" s="178" t="s">
        <v>97</v>
      </c>
      <c r="B871" s="75" t="s">
        <v>225</v>
      </c>
      <c r="C871" s="39" t="s">
        <v>17</v>
      </c>
      <c r="D871" s="236"/>
      <c r="E871" s="236"/>
      <c r="F871" s="236"/>
      <c r="G871" s="236"/>
      <c r="H871" s="40">
        <f>SUM(Tabla132112416[[#This Row],[PRIMER TRIMESTRE]:[CUARTO TRIMESTRE]])</f>
        <v>0</v>
      </c>
      <c r="I871" s="17">
        <v>99342.399999999994</v>
      </c>
      <c r="J871" s="17">
        <f>+Tabla132112416[[#This Row],[CANTIDAD TOTAL]]*Tabla132112416[[#This Row],[PRECIO UNITARIO ESTIMADO]]</f>
        <v>0</v>
      </c>
      <c r="K871" s="17"/>
      <c r="L871" s="16" t="s">
        <v>18</v>
      </c>
      <c r="M871" s="16" t="s">
        <v>22</v>
      </c>
      <c r="N871" s="39"/>
    </row>
    <row r="872" spans="1:14" s="26" customFormat="1" ht="30.75" customHeight="1">
      <c r="A872" s="179" t="s">
        <v>97</v>
      </c>
      <c r="B872" s="76"/>
      <c r="C872" s="42"/>
      <c r="D872" s="237"/>
      <c r="E872" s="237"/>
      <c r="F872" s="237"/>
      <c r="G872" s="237"/>
      <c r="H872" s="43"/>
      <c r="I872" s="24"/>
      <c r="J872" s="24"/>
      <c r="K872" s="25">
        <f>SUM(J812:J871)</f>
        <v>0</v>
      </c>
      <c r="L872" s="23"/>
      <c r="M872" s="23"/>
      <c r="N872" s="42"/>
    </row>
    <row r="873" spans="1:14" s="26" customFormat="1" ht="30.75" customHeight="1">
      <c r="A873" s="178" t="s">
        <v>948</v>
      </c>
      <c r="B873" s="75" t="s">
        <v>949</v>
      </c>
      <c r="C873" s="39" t="s">
        <v>17</v>
      </c>
      <c r="D873" s="236"/>
      <c r="E873" s="236"/>
      <c r="F873" s="236"/>
      <c r="G873" s="236"/>
      <c r="H873" s="40">
        <f>SUM(Tabla132112416[[#This Row],[PRIMER TRIMESTRE]:[CUARTO TRIMESTRE]])</f>
        <v>0</v>
      </c>
      <c r="I873" s="17">
        <v>227000</v>
      </c>
      <c r="J873" s="17">
        <f t="shared" ref="J873:J884" si="24">+H873*I873</f>
        <v>0</v>
      </c>
      <c r="K873" s="17"/>
      <c r="L873" s="16" t="s">
        <v>18</v>
      </c>
      <c r="M873" s="16" t="s">
        <v>22</v>
      </c>
      <c r="N873" s="16"/>
    </row>
    <row r="874" spans="1:14" s="26" customFormat="1" ht="30.75" customHeight="1">
      <c r="A874" s="178" t="s">
        <v>948</v>
      </c>
      <c r="B874" s="75" t="s">
        <v>950</v>
      </c>
      <c r="C874" s="39" t="s">
        <v>17</v>
      </c>
      <c r="D874" s="236"/>
      <c r="E874" s="236"/>
      <c r="F874" s="236"/>
      <c r="G874" s="236"/>
      <c r="H874" s="40">
        <f>SUM(Tabla132112416[[#This Row],[PRIMER TRIMESTRE]:[CUARTO TRIMESTRE]])</f>
        <v>0</v>
      </c>
      <c r="I874" s="17">
        <v>1118000</v>
      </c>
      <c r="J874" s="17">
        <f t="shared" si="24"/>
        <v>0</v>
      </c>
      <c r="K874" s="17"/>
      <c r="L874" s="16" t="s">
        <v>18</v>
      </c>
      <c r="M874" s="16" t="s">
        <v>22</v>
      </c>
      <c r="N874" s="16"/>
    </row>
    <row r="875" spans="1:14" s="26" customFormat="1" ht="30.75" customHeight="1">
      <c r="A875" s="178" t="s">
        <v>948</v>
      </c>
      <c r="B875" s="75" t="s">
        <v>952</v>
      </c>
      <c r="C875" s="39" t="s">
        <v>17</v>
      </c>
      <c r="D875" s="236"/>
      <c r="E875" s="236"/>
      <c r="F875" s="236"/>
      <c r="G875" s="236"/>
      <c r="H875" s="40">
        <f>SUM(Tabla132112416[[#This Row],[PRIMER TRIMESTRE]:[CUARTO TRIMESTRE]])</f>
        <v>0</v>
      </c>
      <c r="I875" s="17">
        <v>3200</v>
      </c>
      <c r="J875" s="17">
        <f t="shared" si="24"/>
        <v>0</v>
      </c>
      <c r="K875" s="17"/>
      <c r="L875" s="16" t="s">
        <v>18</v>
      </c>
      <c r="M875" s="16" t="s">
        <v>22</v>
      </c>
      <c r="N875" s="39"/>
    </row>
    <row r="876" spans="1:14" s="26" customFormat="1" ht="30.75" customHeight="1">
      <c r="A876" s="178" t="s">
        <v>948</v>
      </c>
      <c r="B876" s="75" t="s">
        <v>953</v>
      </c>
      <c r="C876" s="39" t="s">
        <v>17</v>
      </c>
      <c r="D876" s="236"/>
      <c r="E876" s="236"/>
      <c r="F876" s="236"/>
      <c r="G876" s="236"/>
      <c r="H876" s="40">
        <f>SUM(Tabla132112416[[#This Row],[PRIMER TRIMESTRE]:[CUARTO TRIMESTRE]])</f>
        <v>0</v>
      </c>
      <c r="I876" s="17">
        <v>96.7</v>
      </c>
      <c r="J876" s="17">
        <f t="shared" si="24"/>
        <v>0</v>
      </c>
      <c r="K876" s="17"/>
      <c r="L876" s="16" t="s">
        <v>18</v>
      </c>
      <c r="M876" s="16" t="s">
        <v>22</v>
      </c>
      <c r="N876" s="39"/>
    </row>
    <row r="877" spans="1:14" s="26" customFormat="1" ht="30.75" customHeight="1">
      <c r="A877" s="178" t="s">
        <v>948</v>
      </c>
      <c r="B877" s="75" t="s">
        <v>954</v>
      </c>
      <c r="C877" s="39" t="s">
        <v>17</v>
      </c>
      <c r="D877" s="236"/>
      <c r="E877" s="236"/>
      <c r="F877" s="236"/>
      <c r="G877" s="236"/>
      <c r="H877" s="40">
        <f>SUM(Tabla132112416[[#This Row],[PRIMER TRIMESTRE]:[CUARTO TRIMESTRE]])</f>
        <v>0</v>
      </c>
      <c r="I877" s="17">
        <v>113850</v>
      </c>
      <c r="J877" s="17">
        <f t="shared" si="24"/>
        <v>0</v>
      </c>
      <c r="K877" s="17"/>
      <c r="L877" s="16" t="s">
        <v>18</v>
      </c>
      <c r="M877" s="16" t="s">
        <v>22</v>
      </c>
      <c r="N877" s="39"/>
    </row>
    <row r="878" spans="1:14" s="26" customFormat="1" ht="30.75" customHeight="1">
      <c r="A878" s="178" t="s">
        <v>948</v>
      </c>
      <c r="B878" s="75" t="s">
        <v>955</v>
      </c>
      <c r="C878" s="39" t="s">
        <v>17</v>
      </c>
      <c r="D878" s="236"/>
      <c r="E878" s="236"/>
      <c r="F878" s="236"/>
      <c r="G878" s="236"/>
      <c r="H878" s="40">
        <f>SUM(Tabla132112416[[#This Row],[PRIMER TRIMESTRE]:[CUARTO TRIMESTRE]])</f>
        <v>0</v>
      </c>
      <c r="I878" s="17">
        <v>57914</v>
      </c>
      <c r="J878" s="17">
        <f t="shared" si="24"/>
        <v>0</v>
      </c>
      <c r="K878" s="17"/>
      <c r="L878" s="16" t="s">
        <v>18</v>
      </c>
      <c r="M878" s="16" t="s">
        <v>22</v>
      </c>
      <c r="N878" s="39"/>
    </row>
    <row r="879" spans="1:14" s="26" customFormat="1" ht="30.75" customHeight="1">
      <c r="A879" s="178" t="s">
        <v>948</v>
      </c>
      <c r="B879" s="75" t="s">
        <v>956</v>
      </c>
      <c r="C879" s="39" t="s">
        <v>17</v>
      </c>
      <c r="D879" s="236"/>
      <c r="E879" s="236"/>
      <c r="F879" s="236"/>
      <c r="G879" s="236"/>
      <c r="H879" s="40">
        <f>SUM(Tabla132112416[[#This Row],[PRIMER TRIMESTRE]:[CUARTO TRIMESTRE]])</f>
        <v>0</v>
      </c>
      <c r="I879" s="17">
        <v>908000</v>
      </c>
      <c r="J879" s="17">
        <f t="shared" si="24"/>
        <v>0</v>
      </c>
      <c r="K879" s="17"/>
      <c r="L879" s="16" t="s">
        <v>18</v>
      </c>
      <c r="M879" s="16" t="s">
        <v>22</v>
      </c>
      <c r="N879" s="39"/>
    </row>
    <row r="880" spans="1:14" s="26" customFormat="1" ht="30.75" customHeight="1">
      <c r="A880" s="178" t="s">
        <v>948</v>
      </c>
      <c r="B880" s="75" t="s">
        <v>957</v>
      </c>
      <c r="C880" s="39" t="s">
        <v>17</v>
      </c>
      <c r="D880" s="236"/>
      <c r="E880" s="236"/>
      <c r="F880" s="236"/>
      <c r="G880" s="236"/>
      <c r="H880" s="40">
        <f>SUM(Tabla132112416[[#This Row],[PRIMER TRIMESTRE]:[CUARTO TRIMESTRE]])</f>
        <v>0</v>
      </c>
      <c r="I880" s="17">
        <v>10000</v>
      </c>
      <c r="J880" s="17">
        <f t="shared" si="24"/>
        <v>0</v>
      </c>
      <c r="K880" s="17"/>
      <c r="L880" s="16" t="s">
        <v>18</v>
      </c>
      <c r="M880" s="16" t="s">
        <v>22</v>
      </c>
      <c r="N880" s="39"/>
    </row>
    <row r="881" spans="1:14" s="26" customFormat="1" ht="30.75" customHeight="1">
      <c r="A881" s="178" t="s">
        <v>948</v>
      </c>
      <c r="B881" s="75" t="s">
        <v>958</v>
      </c>
      <c r="C881" s="39" t="s">
        <v>17</v>
      </c>
      <c r="D881" s="236"/>
      <c r="E881" s="236"/>
      <c r="F881" s="236"/>
      <c r="G881" s="236"/>
      <c r="H881" s="40">
        <f>SUM(Tabla132112416[[#This Row],[PRIMER TRIMESTRE]:[CUARTO TRIMESTRE]])</f>
        <v>0</v>
      </c>
      <c r="I881" s="17">
        <v>37500</v>
      </c>
      <c r="J881" s="17">
        <f t="shared" si="24"/>
        <v>0</v>
      </c>
      <c r="K881" s="17"/>
      <c r="L881" s="16" t="s">
        <v>18</v>
      </c>
      <c r="M881" s="16" t="s">
        <v>22</v>
      </c>
      <c r="N881" s="39"/>
    </row>
    <row r="882" spans="1:14" s="26" customFormat="1" ht="30.75" customHeight="1">
      <c r="A882" s="178" t="s">
        <v>948</v>
      </c>
      <c r="B882" s="75" t="s">
        <v>951</v>
      </c>
      <c r="C882" s="39" t="s">
        <v>17</v>
      </c>
      <c r="D882" s="236"/>
      <c r="E882" s="236"/>
      <c r="F882" s="236"/>
      <c r="G882" s="236"/>
      <c r="H882" s="40">
        <f>SUM(Tabla132112416[[#This Row],[PRIMER TRIMESTRE]:[CUARTO TRIMESTRE]])</f>
        <v>0</v>
      </c>
      <c r="I882" s="17">
        <v>120</v>
      </c>
      <c r="J882" s="17">
        <f t="shared" si="24"/>
        <v>0</v>
      </c>
      <c r="K882" s="17"/>
      <c r="L882" s="16" t="s">
        <v>18</v>
      </c>
      <c r="M882" s="16" t="s">
        <v>22</v>
      </c>
      <c r="N882" s="39"/>
    </row>
    <row r="883" spans="1:14" s="26" customFormat="1" ht="30.75" customHeight="1">
      <c r="A883" s="178" t="s">
        <v>948</v>
      </c>
      <c r="B883" s="75" t="s">
        <v>959</v>
      </c>
      <c r="C883" s="39" t="s">
        <v>17</v>
      </c>
      <c r="D883" s="236"/>
      <c r="E883" s="236"/>
      <c r="F883" s="236"/>
      <c r="G883" s="236"/>
      <c r="H883" s="40">
        <f>SUM(Tabla132112416[[#This Row],[PRIMER TRIMESTRE]:[CUARTO TRIMESTRE]])</f>
        <v>0</v>
      </c>
      <c r="I883" s="17">
        <v>2627</v>
      </c>
      <c r="J883" s="17">
        <f t="shared" si="24"/>
        <v>0</v>
      </c>
      <c r="K883" s="17"/>
      <c r="L883" s="16" t="s">
        <v>18</v>
      </c>
      <c r="M883" s="16" t="s">
        <v>22</v>
      </c>
      <c r="N883" s="39"/>
    </row>
    <row r="884" spans="1:14" s="12" customFormat="1" ht="30.75" customHeight="1">
      <c r="A884" s="178" t="s">
        <v>948</v>
      </c>
      <c r="B884" s="75" t="s">
        <v>963</v>
      </c>
      <c r="C884" s="39" t="s">
        <v>17</v>
      </c>
      <c r="D884" s="236"/>
      <c r="E884" s="236"/>
      <c r="F884" s="236"/>
      <c r="G884" s="236"/>
      <c r="H884" s="40">
        <f>SUM(Tabla132112416[[#This Row],[PRIMER TRIMESTRE]:[CUARTO TRIMESTRE]])</f>
        <v>0</v>
      </c>
      <c r="I884" s="17">
        <v>2552.54</v>
      </c>
      <c r="J884" s="17">
        <f t="shared" si="24"/>
        <v>0</v>
      </c>
      <c r="K884" s="17"/>
      <c r="L884" s="16" t="s">
        <v>18</v>
      </c>
      <c r="M884" s="16" t="s">
        <v>22</v>
      </c>
      <c r="N884" s="39"/>
    </row>
    <row r="885" spans="1:14" s="12" customFormat="1" ht="30.75" customHeight="1">
      <c r="A885" s="179" t="s">
        <v>948</v>
      </c>
      <c r="B885" s="76"/>
      <c r="C885" s="42"/>
      <c r="D885" s="237"/>
      <c r="E885" s="237"/>
      <c r="F885" s="237"/>
      <c r="G885" s="237"/>
      <c r="H885" s="42"/>
      <c r="I885" s="42"/>
      <c r="J885" s="42"/>
      <c r="K885" s="25">
        <f>SUM(J873:J884)</f>
        <v>0</v>
      </c>
      <c r="L885" s="23"/>
      <c r="M885" s="23"/>
      <c r="N885" s="42"/>
    </row>
    <row r="886" spans="1:14" s="12" customFormat="1" ht="30.75" customHeight="1">
      <c r="A886" s="178" t="s">
        <v>99</v>
      </c>
      <c r="B886" s="75" t="s">
        <v>1856</v>
      </c>
      <c r="C886" s="176" t="s">
        <v>17</v>
      </c>
      <c r="D886" s="75"/>
      <c r="E886" s="75"/>
      <c r="F886" s="75"/>
      <c r="G886" s="75"/>
      <c r="H886" s="75">
        <v>0</v>
      </c>
      <c r="I886" s="75">
        <v>0</v>
      </c>
      <c r="J886" s="75">
        <v>0</v>
      </c>
      <c r="K886" s="75"/>
      <c r="L886" s="16" t="s">
        <v>18</v>
      </c>
      <c r="M886" s="16" t="s">
        <v>22</v>
      </c>
      <c r="N886" s="39" t="s">
        <v>418</v>
      </c>
    </row>
    <row r="887" spans="1:14" s="12" customFormat="1" ht="37.5" customHeight="1">
      <c r="A887" s="178" t="s">
        <v>99</v>
      </c>
      <c r="B887" s="75" t="s">
        <v>1857</v>
      </c>
      <c r="C887" s="176" t="s">
        <v>17</v>
      </c>
      <c r="D887" s="178"/>
      <c r="E887" s="178"/>
      <c r="F887" s="178"/>
      <c r="G887" s="178"/>
      <c r="H887" s="178">
        <v>0</v>
      </c>
      <c r="I887" s="178">
        <v>0</v>
      </c>
      <c r="J887" s="178">
        <v>0</v>
      </c>
      <c r="K887" s="178"/>
      <c r="L887" s="16" t="s">
        <v>18</v>
      </c>
      <c r="M887" s="16" t="s">
        <v>22</v>
      </c>
      <c r="N887" s="39" t="s">
        <v>418</v>
      </c>
    </row>
    <row r="888" spans="1:14" s="12" customFormat="1" ht="30.75" customHeight="1">
      <c r="A888" s="178" t="s">
        <v>99</v>
      </c>
      <c r="B888" s="75" t="s">
        <v>1858</v>
      </c>
      <c r="C888" s="176" t="s">
        <v>17</v>
      </c>
      <c r="D888" s="75"/>
      <c r="E888" s="75"/>
      <c r="F888" s="75"/>
      <c r="G888" s="75"/>
      <c r="H888" s="75">
        <v>0</v>
      </c>
      <c r="I888" s="75">
        <v>0</v>
      </c>
      <c r="J888" s="75">
        <v>0</v>
      </c>
      <c r="K888" s="75"/>
      <c r="L888" s="16" t="s">
        <v>18</v>
      </c>
      <c r="M888" s="16" t="s">
        <v>22</v>
      </c>
      <c r="N888" s="39" t="s">
        <v>418</v>
      </c>
    </row>
    <row r="889" spans="1:14" s="12" customFormat="1" ht="30.75" customHeight="1">
      <c r="A889" s="178" t="s">
        <v>99</v>
      </c>
      <c r="B889" s="75" t="s">
        <v>1859</v>
      </c>
      <c r="C889" s="176" t="s">
        <v>290</v>
      </c>
      <c r="D889" s="75"/>
      <c r="E889" s="75"/>
      <c r="F889" s="75"/>
      <c r="G889" s="75"/>
      <c r="H889" s="75">
        <v>0</v>
      </c>
      <c r="I889" s="75">
        <v>0</v>
      </c>
      <c r="J889" s="75">
        <v>0</v>
      </c>
      <c r="K889" s="75"/>
      <c r="L889" s="16" t="s">
        <v>18</v>
      </c>
      <c r="M889" s="16" t="s">
        <v>22</v>
      </c>
      <c r="N889" s="39" t="s">
        <v>418</v>
      </c>
    </row>
    <row r="890" spans="1:14" s="12" customFormat="1" ht="30.75" customHeight="1">
      <c r="A890" s="178" t="s">
        <v>99</v>
      </c>
      <c r="B890" s="75" t="s">
        <v>1650</v>
      </c>
      <c r="C890" s="176" t="s">
        <v>290</v>
      </c>
      <c r="D890" s="75"/>
      <c r="E890" s="75"/>
      <c r="F890" s="75"/>
      <c r="G890" s="75"/>
      <c r="H890" s="75">
        <v>0</v>
      </c>
      <c r="I890" s="75">
        <v>0</v>
      </c>
      <c r="J890" s="75">
        <v>0</v>
      </c>
      <c r="K890" s="75"/>
      <c r="L890" s="16" t="s">
        <v>18</v>
      </c>
      <c r="M890" s="16" t="s">
        <v>22</v>
      </c>
      <c r="N890" s="39" t="s">
        <v>418</v>
      </c>
    </row>
    <row r="891" spans="1:14" s="12" customFormat="1" ht="30.75" customHeight="1">
      <c r="A891" s="178" t="s">
        <v>99</v>
      </c>
      <c r="B891" s="75" t="s">
        <v>306</v>
      </c>
      <c r="C891" s="39" t="s">
        <v>33</v>
      </c>
      <c r="D891" s="236"/>
      <c r="E891" s="236"/>
      <c r="F891" s="236"/>
      <c r="G891" s="236"/>
      <c r="H891" s="40">
        <f>SUM(Tabla132112416[[#This Row],[PRIMER TRIMESTRE]:[CUARTO TRIMESTRE]])</f>
        <v>0</v>
      </c>
      <c r="I891" s="17">
        <v>260</v>
      </c>
      <c r="J891" s="17">
        <f>+Tabla132112416[[#This Row],[CANTIDAD TOTAL]]*Tabla132112416[[#This Row],[PRECIO UNITARIO ESTIMADO]]</f>
        <v>0</v>
      </c>
      <c r="K891" s="17"/>
      <c r="L891" s="16" t="s">
        <v>18</v>
      </c>
      <c r="M891" s="16" t="s">
        <v>22</v>
      </c>
      <c r="N891" s="39" t="s">
        <v>418</v>
      </c>
    </row>
    <row r="892" spans="1:14" s="12" customFormat="1" ht="30.75" customHeight="1">
      <c r="A892" s="178" t="s">
        <v>99</v>
      </c>
      <c r="B892" s="75" t="s">
        <v>307</v>
      </c>
      <c r="C892" s="39" t="s">
        <v>308</v>
      </c>
      <c r="D892" s="236"/>
      <c r="E892" s="236"/>
      <c r="F892" s="236"/>
      <c r="G892" s="236"/>
      <c r="H892" s="40">
        <f>SUM(Tabla132112416[[#This Row],[PRIMER TRIMESTRE]:[CUARTO TRIMESTRE]])</f>
        <v>0</v>
      </c>
      <c r="I892" s="17">
        <v>1237.82</v>
      </c>
      <c r="J892" s="17">
        <f>+Tabla132112416[[#This Row],[CANTIDAD TOTAL]]*Tabla132112416[[#This Row],[PRECIO UNITARIO ESTIMADO]]</f>
        <v>0</v>
      </c>
      <c r="K892" s="17"/>
      <c r="L892" s="16" t="s">
        <v>18</v>
      </c>
      <c r="M892" s="16" t="s">
        <v>22</v>
      </c>
      <c r="N892" s="39" t="s">
        <v>418</v>
      </c>
    </row>
    <row r="893" spans="1:14" s="12" customFormat="1" ht="30.75" customHeight="1">
      <c r="A893" s="178" t="s">
        <v>99</v>
      </c>
      <c r="B893" s="75" t="s">
        <v>309</v>
      </c>
      <c r="C893" s="39" t="s">
        <v>308</v>
      </c>
      <c r="D893" s="236"/>
      <c r="E893" s="236"/>
      <c r="F893" s="236"/>
      <c r="G893" s="236"/>
      <c r="H893" s="40">
        <f>SUM(Tabla132112416[[#This Row],[PRIMER TRIMESTRE]:[CUARTO TRIMESTRE]])</f>
        <v>0</v>
      </c>
      <c r="I893" s="17">
        <v>1770</v>
      </c>
      <c r="J893" s="17">
        <f>+Tabla132112416[[#This Row],[CANTIDAD TOTAL]]*Tabla132112416[[#This Row],[PRECIO UNITARIO ESTIMADO]]</f>
        <v>0</v>
      </c>
      <c r="K893" s="17"/>
      <c r="L893" s="16" t="s">
        <v>18</v>
      </c>
      <c r="M893" s="16" t="s">
        <v>22</v>
      </c>
      <c r="N893" s="39" t="s">
        <v>418</v>
      </c>
    </row>
    <row r="894" spans="1:14" s="12" customFormat="1" ht="30.75" customHeight="1">
      <c r="A894" s="178" t="s">
        <v>99</v>
      </c>
      <c r="B894" s="75" t="s">
        <v>230</v>
      </c>
      <c r="C894" s="39" t="s">
        <v>17</v>
      </c>
      <c r="D894" s="236"/>
      <c r="E894" s="236"/>
      <c r="F894" s="236"/>
      <c r="G894" s="236"/>
      <c r="H894" s="40">
        <f>SUM(Tabla132112416[[#This Row],[PRIMER TRIMESTRE]:[CUARTO TRIMESTRE]])</f>
        <v>0</v>
      </c>
      <c r="I894" s="17">
        <v>1740</v>
      </c>
      <c r="J894" s="17">
        <f>+Tabla132112416[[#This Row],[CANTIDAD TOTAL]]*Tabla132112416[[#This Row],[PRECIO UNITARIO ESTIMADO]]</f>
        <v>0</v>
      </c>
      <c r="K894" s="17"/>
      <c r="L894" s="16" t="s">
        <v>18</v>
      </c>
      <c r="M894" s="16" t="s">
        <v>22</v>
      </c>
      <c r="N894" s="39" t="s">
        <v>418</v>
      </c>
    </row>
    <row r="895" spans="1:14" s="12" customFormat="1" ht="30.75" customHeight="1">
      <c r="A895" s="178" t="s">
        <v>99</v>
      </c>
      <c r="B895" s="75" t="s">
        <v>310</v>
      </c>
      <c r="C895" s="39" t="s">
        <v>308</v>
      </c>
      <c r="D895" s="236"/>
      <c r="E895" s="236"/>
      <c r="F895" s="236"/>
      <c r="G895" s="236"/>
      <c r="H895" s="40">
        <f>SUM(Tabla132112416[[#This Row],[PRIMER TRIMESTRE]:[CUARTO TRIMESTRE]])</f>
        <v>0</v>
      </c>
      <c r="I895" s="17">
        <v>1298</v>
      </c>
      <c r="J895" s="17">
        <f>+Tabla132112416[[#This Row],[CANTIDAD TOTAL]]*Tabla132112416[[#This Row],[PRECIO UNITARIO ESTIMADO]]</f>
        <v>0</v>
      </c>
      <c r="K895" s="17"/>
      <c r="L895" s="16" t="s">
        <v>18</v>
      </c>
      <c r="M895" s="16" t="s">
        <v>22</v>
      </c>
      <c r="N895" s="39" t="s">
        <v>418</v>
      </c>
    </row>
    <row r="896" spans="1:14" s="12" customFormat="1" ht="30.75" customHeight="1">
      <c r="A896" s="178" t="s">
        <v>99</v>
      </c>
      <c r="B896" s="75" t="s">
        <v>311</v>
      </c>
      <c r="C896" s="39" t="s">
        <v>312</v>
      </c>
      <c r="D896" s="236"/>
      <c r="E896" s="236"/>
      <c r="F896" s="236"/>
      <c r="G896" s="236"/>
      <c r="H896" s="40">
        <f>SUM(Tabla132112416[[#This Row],[PRIMER TRIMESTRE]:[CUARTO TRIMESTRE]])</f>
        <v>0</v>
      </c>
      <c r="I896" s="17">
        <v>3418.58</v>
      </c>
      <c r="J896" s="17">
        <f>+Tabla132112416[[#This Row],[CANTIDAD TOTAL]]*Tabla132112416[[#This Row],[PRECIO UNITARIO ESTIMADO]]</f>
        <v>0</v>
      </c>
      <c r="K896" s="17"/>
      <c r="L896" s="16" t="s">
        <v>18</v>
      </c>
      <c r="M896" s="16" t="s">
        <v>22</v>
      </c>
      <c r="N896" s="39" t="s">
        <v>418</v>
      </c>
    </row>
    <row r="897" spans="1:14" s="12" customFormat="1" ht="30.75" customHeight="1">
      <c r="A897" s="178" t="s">
        <v>99</v>
      </c>
      <c r="B897" s="75" t="s">
        <v>314</v>
      </c>
      <c r="C897" s="39" t="s">
        <v>315</v>
      </c>
      <c r="D897" s="236"/>
      <c r="E897" s="236"/>
      <c r="F897" s="236"/>
      <c r="G897" s="236"/>
      <c r="H897" s="40">
        <f>SUM(Tabla132112416[[#This Row],[PRIMER TRIMESTRE]:[CUARTO TRIMESTRE]])</f>
        <v>0</v>
      </c>
      <c r="I897" s="17">
        <v>1569.4</v>
      </c>
      <c r="J897" s="17">
        <f>+Tabla132112416[[#This Row],[CANTIDAD TOTAL]]*Tabla132112416[[#This Row],[PRECIO UNITARIO ESTIMADO]]</f>
        <v>0</v>
      </c>
      <c r="K897" s="17"/>
      <c r="L897" s="16" t="s">
        <v>18</v>
      </c>
      <c r="M897" s="16" t="s">
        <v>22</v>
      </c>
      <c r="N897" s="39" t="s">
        <v>418</v>
      </c>
    </row>
    <row r="898" spans="1:14" s="12" customFormat="1" ht="30">
      <c r="A898" s="178" t="s">
        <v>99</v>
      </c>
      <c r="B898" s="75" t="s">
        <v>313</v>
      </c>
      <c r="C898" s="39" t="s">
        <v>308</v>
      </c>
      <c r="D898" s="236"/>
      <c r="E898" s="236"/>
      <c r="F898" s="236"/>
      <c r="G898" s="236"/>
      <c r="H898" s="40">
        <f>SUM(Tabla132112416[[#This Row],[PRIMER TRIMESTRE]:[CUARTO TRIMESTRE]])</f>
        <v>0</v>
      </c>
      <c r="I898" s="17">
        <v>3651.69</v>
      </c>
      <c r="J898" s="17">
        <f>+Tabla132112416[[#This Row],[CANTIDAD TOTAL]]*Tabla132112416[[#This Row],[PRECIO UNITARIO ESTIMADO]]</f>
        <v>0</v>
      </c>
      <c r="K898" s="17"/>
      <c r="L898" s="16" t="s">
        <v>18</v>
      </c>
      <c r="M898" s="16" t="s">
        <v>22</v>
      </c>
      <c r="N898" s="39" t="s">
        <v>418</v>
      </c>
    </row>
    <row r="899" spans="1:14" s="12" customFormat="1" ht="30">
      <c r="A899" s="178" t="s">
        <v>99</v>
      </c>
      <c r="B899" s="75" t="s">
        <v>231</v>
      </c>
      <c r="C899" s="39" t="s">
        <v>17</v>
      </c>
      <c r="D899" s="236"/>
      <c r="E899" s="236"/>
      <c r="F899" s="236"/>
      <c r="G899" s="236"/>
      <c r="H899" s="40">
        <f>SUM(Tabla132112416[[#This Row],[PRIMER TRIMESTRE]:[CUARTO TRIMESTRE]])</f>
        <v>0</v>
      </c>
      <c r="I899" s="17">
        <v>574.20000000000005</v>
      </c>
      <c r="J899" s="17">
        <f>+Tabla132112416[[#This Row],[CANTIDAD TOTAL]]*Tabla132112416[[#This Row],[PRECIO UNITARIO ESTIMADO]]</f>
        <v>0</v>
      </c>
      <c r="K899" s="17"/>
      <c r="L899" s="16" t="s">
        <v>18</v>
      </c>
      <c r="M899" s="16" t="s">
        <v>22</v>
      </c>
      <c r="N899" s="39" t="s">
        <v>418</v>
      </c>
    </row>
    <row r="900" spans="1:14" s="12" customFormat="1" ht="30">
      <c r="A900" s="178" t="s">
        <v>99</v>
      </c>
      <c r="B900" s="75" t="s">
        <v>232</v>
      </c>
      <c r="C900" s="39" t="s">
        <v>17</v>
      </c>
      <c r="D900" s="236"/>
      <c r="E900" s="236"/>
      <c r="F900" s="236"/>
      <c r="G900" s="236"/>
      <c r="H900" s="40">
        <f>SUM(Tabla132112416[[#This Row],[PRIMER TRIMESTRE]:[CUARTO TRIMESTRE]])</f>
        <v>0</v>
      </c>
      <c r="I900" s="17">
        <v>1035</v>
      </c>
      <c r="J900" s="17">
        <f>+Tabla132112416[[#This Row],[CANTIDAD TOTAL]]*Tabla132112416[[#This Row],[PRECIO UNITARIO ESTIMADO]]</f>
        <v>0</v>
      </c>
      <c r="K900" s="17"/>
      <c r="L900" s="16" t="s">
        <v>18</v>
      </c>
      <c r="M900" s="16" t="s">
        <v>22</v>
      </c>
      <c r="N900" s="39" t="s">
        <v>418</v>
      </c>
    </row>
    <row r="901" spans="1:14" s="12" customFormat="1" ht="30">
      <c r="A901" s="178" t="s">
        <v>99</v>
      </c>
      <c r="B901" s="75" t="s">
        <v>1031</v>
      </c>
      <c r="C901" s="39" t="s">
        <v>1037</v>
      </c>
      <c r="D901" s="236"/>
      <c r="E901" s="236"/>
      <c r="F901" s="236"/>
      <c r="G901" s="236"/>
      <c r="H901" s="40">
        <f>SUM(Tabla132112416[[#This Row],[PRIMER TRIMESTRE]:[CUARTO TRIMESTRE]])</f>
        <v>0</v>
      </c>
      <c r="I901" s="17">
        <v>3800</v>
      </c>
      <c r="J901" s="17">
        <f t="shared" ref="J901:J964" si="25">+H901*I901</f>
        <v>0</v>
      </c>
      <c r="K901" s="17"/>
      <c r="L901" s="16" t="s">
        <v>18</v>
      </c>
      <c r="M901" s="16" t="s">
        <v>22</v>
      </c>
      <c r="N901" s="39" t="s">
        <v>418</v>
      </c>
    </row>
    <row r="902" spans="1:14" s="12" customFormat="1" ht="30">
      <c r="A902" s="178" t="s">
        <v>99</v>
      </c>
      <c r="B902" s="75" t="s">
        <v>1032</v>
      </c>
      <c r="C902" s="39" t="s">
        <v>1037</v>
      </c>
      <c r="D902" s="236"/>
      <c r="E902" s="236"/>
      <c r="F902" s="236"/>
      <c r="G902" s="236"/>
      <c r="H902" s="40">
        <f>SUM(Tabla132112416[[#This Row],[PRIMER TRIMESTRE]:[CUARTO TRIMESTRE]])</f>
        <v>0</v>
      </c>
      <c r="I902" s="17">
        <v>11200</v>
      </c>
      <c r="J902" s="17">
        <f t="shared" si="25"/>
        <v>0</v>
      </c>
      <c r="K902" s="17"/>
      <c r="L902" s="16" t="s">
        <v>18</v>
      </c>
      <c r="M902" s="16" t="s">
        <v>22</v>
      </c>
      <c r="N902" s="39" t="s">
        <v>418</v>
      </c>
    </row>
    <row r="903" spans="1:14" s="12" customFormat="1" ht="30">
      <c r="A903" s="178" t="s">
        <v>99</v>
      </c>
      <c r="B903" s="75" t="s">
        <v>1033</v>
      </c>
      <c r="C903" s="39" t="s">
        <v>1037</v>
      </c>
      <c r="D903" s="236"/>
      <c r="E903" s="236"/>
      <c r="F903" s="236"/>
      <c r="G903" s="236"/>
      <c r="H903" s="40">
        <f>SUM(Tabla132112416[[#This Row],[PRIMER TRIMESTRE]:[CUARTO TRIMESTRE]])</f>
        <v>0</v>
      </c>
      <c r="I903" s="17">
        <v>3700</v>
      </c>
      <c r="J903" s="17">
        <f t="shared" si="25"/>
        <v>0</v>
      </c>
      <c r="K903" s="17"/>
      <c r="L903" s="16" t="s">
        <v>18</v>
      </c>
      <c r="M903" s="16" t="s">
        <v>22</v>
      </c>
      <c r="N903" s="39" t="s">
        <v>418</v>
      </c>
    </row>
    <row r="904" spans="1:14" s="12" customFormat="1" ht="30">
      <c r="A904" s="178" t="s">
        <v>99</v>
      </c>
      <c r="B904" s="75" t="s">
        <v>1034</v>
      </c>
      <c r="C904" s="39" t="s">
        <v>1037</v>
      </c>
      <c r="D904" s="236"/>
      <c r="E904" s="236"/>
      <c r="F904" s="236"/>
      <c r="G904" s="236"/>
      <c r="H904" s="40">
        <f>SUM(Tabla132112416[[#This Row],[PRIMER TRIMESTRE]:[CUARTO TRIMESTRE]])</f>
        <v>0</v>
      </c>
      <c r="I904" s="17">
        <v>4500</v>
      </c>
      <c r="J904" s="17">
        <f t="shared" si="25"/>
        <v>0</v>
      </c>
      <c r="K904" s="17"/>
      <c r="L904" s="16" t="s">
        <v>15</v>
      </c>
      <c r="M904" s="16" t="s">
        <v>22</v>
      </c>
      <c r="N904" s="39" t="s">
        <v>418</v>
      </c>
    </row>
    <row r="905" spans="1:14" s="12" customFormat="1" ht="30">
      <c r="A905" s="178" t="s">
        <v>99</v>
      </c>
      <c r="B905" s="75" t="s">
        <v>1035</v>
      </c>
      <c r="C905" s="39" t="s">
        <v>1037</v>
      </c>
      <c r="D905" s="236"/>
      <c r="E905" s="236"/>
      <c r="F905" s="236"/>
      <c r="G905" s="236"/>
      <c r="H905" s="40">
        <f>SUM(Tabla132112416[[#This Row],[PRIMER TRIMESTRE]:[CUARTO TRIMESTRE]])</f>
        <v>0</v>
      </c>
      <c r="I905" s="17">
        <v>2800</v>
      </c>
      <c r="J905" s="17">
        <f t="shared" si="25"/>
        <v>0</v>
      </c>
      <c r="K905" s="17"/>
      <c r="L905" s="16" t="s">
        <v>15</v>
      </c>
      <c r="M905" s="16" t="s">
        <v>22</v>
      </c>
      <c r="N905" s="39" t="s">
        <v>418</v>
      </c>
    </row>
    <row r="906" spans="1:14" s="12" customFormat="1" ht="30">
      <c r="A906" s="178" t="s">
        <v>99</v>
      </c>
      <c r="B906" s="75" t="s">
        <v>1036</v>
      </c>
      <c r="C906" s="39" t="s">
        <v>1037</v>
      </c>
      <c r="D906" s="236"/>
      <c r="E906" s="236"/>
      <c r="F906" s="236"/>
      <c r="G906" s="236"/>
      <c r="H906" s="40">
        <f>SUM(Tabla132112416[[#This Row],[PRIMER TRIMESTRE]:[CUARTO TRIMESTRE]])</f>
        <v>0</v>
      </c>
      <c r="I906" s="17">
        <v>3500</v>
      </c>
      <c r="J906" s="17">
        <f t="shared" si="25"/>
        <v>0</v>
      </c>
      <c r="K906" s="17"/>
      <c r="L906" s="16" t="s">
        <v>18</v>
      </c>
      <c r="M906" s="16" t="s">
        <v>22</v>
      </c>
      <c r="N906" s="39" t="s">
        <v>418</v>
      </c>
    </row>
    <row r="907" spans="1:14" s="12" customFormat="1" ht="30">
      <c r="A907" s="178" t="s">
        <v>99</v>
      </c>
      <c r="B907" s="75" t="s">
        <v>1038</v>
      </c>
      <c r="C907" s="39" t="s">
        <v>1037</v>
      </c>
      <c r="D907" s="236"/>
      <c r="E907" s="236"/>
      <c r="F907" s="236"/>
      <c r="G907" s="236"/>
      <c r="H907" s="40">
        <f>SUM(Tabla132112416[[#This Row],[PRIMER TRIMESTRE]:[CUARTO TRIMESTRE]])</f>
        <v>0</v>
      </c>
      <c r="I907" s="17">
        <v>2500</v>
      </c>
      <c r="J907" s="17">
        <f t="shared" si="25"/>
        <v>0</v>
      </c>
      <c r="K907" s="17"/>
      <c r="L907" s="16" t="s">
        <v>18</v>
      </c>
      <c r="M907" s="16" t="s">
        <v>22</v>
      </c>
      <c r="N907" s="39" t="s">
        <v>418</v>
      </c>
    </row>
    <row r="908" spans="1:14" s="12" customFormat="1" ht="30">
      <c r="A908" s="178" t="s">
        <v>99</v>
      </c>
      <c r="B908" s="75" t="s">
        <v>1039</v>
      </c>
      <c r="C908" s="39" t="s">
        <v>1037</v>
      </c>
      <c r="D908" s="236"/>
      <c r="E908" s="236"/>
      <c r="F908" s="236"/>
      <c r="G908" s="236"/>
      <c r="H908" s="40">
        <f>SUM(Tabla132112416[[#This Row],[PRIMER TRIMESTRE]:[CUARTO TRIMESTRE]])</f>
        <v>0</v>
      </c>
      <c r="I908" s="17">
        <v>3000</v>
      </c>
      <c r="J908" s="17">
        <f t="shared" si="25"/>
        <v>0</v>
      </c>
      <c r="K908" s="17"/>
      <c r="L908" s="16" t="s">
        <v>18</v>
      </c>
      <c r="M908" s="16" t="s">
        <v>22</v>
      </c>
      <c r="N908" s="39" t="s">
        <v>418</v>
      </c>
    </row>
    <row r="909" spans="1:14" s="12" customFormat="1" ht="30">
      <c r="A909" s="178" t="s">
        <v>99</v>
      </c>
      <c r="B909" s="75" t="s">
        <v>1040</v>
      </c>
      <c r="C909" s="39" t="s">
        <v>1037</v>
      </c>
      <c r="D909" s="236"/>
      <c r="E909" s="236"/>
      <c r="F909" s="236"/>
      <c r="G909" s="236"/>
      <c r="H909" s="40">
        <f>SUM(Tabla132112416[[#This Row],[PRIMER TRIMESTRE]:[CUARTO TRIMESTRE]])</f>
        <v>0</v>
      </c>
      <c r="I909" s="17">
        <v>3500</v>
      </c>
      <c r="J909" s="17">
        <f t="shared" si="25"/>
        <v>0</v>
      </c>
      <c r="K909" s="17"/>
      <c r="L909" s="16" t="s">
        <v>18</v>
      </c>
      <c r="M909" s="16" t="s">
        <v>22</v>
      </c>
      <c r="N909" s="39" t="s">
        <v>418</v>
      </c>
    </row>
    <row r="910" spans="1:14" s="12" customFormat="1" ht="30">
      <c r="A910" s="178" t="s">
        <v>99</v>
      </c>
      <c r="B910" s="75" t="s">
        <v>1041</v>
      </c>
      <c r="C910" s="39" t="s">
        <v>1037</v>
      </c>
      <c r="D910" s="236"/>
      <c r="E910" s="236"/>
      <c r="F910" s="236"/>
      <c r="G910" s="236"/>
      <c r="H910" s="40">
        <f>SUM(Tabla132112416[[#This Row],[PRIMER TRIMESTRE]:[CUARTO TRIMESTRE]])</f>
        <v>0</v>
      </c>
      <c r="I910" s="17">
        <v>4000</v>
      </c>
      <c r="J910" s="17">
        <f t="shared" si="25"/>
        <v>0</v>
      </c>
      <c r="K910" s="17"/>
      <c r="L910" s="16" t="s">
        <v>18</v>
      </c>
      <c r="M910" s="16" t="s">
        <v>22</v>
      </c>
      <c r="N910" s="39" t="s">
        <v>418</v>
      </c>
    </row>
    <row r="911" spans="1:14" s="12" customFormat="1" ht="30">
      <c r="A911" s="178" t="s">
        <v>99</v>
      </c>
      <c r="B911" s="75" t="s">
        <v>1042</v>
      </c>
      <c r="C911" s="39" t="s">
        <v>1037</v>
      </c>
      <c r="D911" s="236"/>
      <c r="E911" s="236"/>
      <c r="F911" s="236"/>
      <c r="G911" s="236"/>
      <c r="H911" s="40">
        <f>SUM(Tabla132112416[[#This Row],[PRIMER TRIMESTRE]:[CUARTO TRIMESTRE]])</f>
        <v>0</v>
      </c>
      <c r="I911" s="17">
        <v>6000</v>
      </c>
      <c r="J911" s="17">
        <f t="shared" si="25"/>
        <v>0</v>
      </c>
      <c r="K911" s="17"/>
      <c r="L911" s="16" t="s">
        <v>18</v>
      </c>
      <c r="M911" s="16" t="s">
        <v>22</v>
      </c>
      <c r="N911" s="39" t="s">
        <v>418</v>
      </c>
    </row>
    <row r="912" spans="1:14" s="12" customFormat="1" ht="30">
      <c r="A912" s="178" t="s">
        <v>99</v>
      </c>
      <c r="B912" s="75" t="s">
        <v>1043</v>
      </c>
      <c r="C912" s="39" t="s">
        <v>1037</v>
      </c>
      <c r="D912" s="236"/>
      <c r="E912" s="236"/>
      <c r="F912" s="236"/>
      <c r="G912" s="236"/>
      <c r="H912" s="40">
        <f>SUM(Tabla132112416[[#This Row],[PRIMER TRIMESTRE]:[CUARTO TRIMESTRE]])</f>
        <v>0</v>
      </c>
      <c r="I912" s="17">
        <v>3500</v>
      </c>
      <c r="J912" s="17">
        <f t="shared" si="25"/>
        <v>0</v>
      </c>
      <c r="K912" s="17"/>
      <c r="L912" s="16" t="s">
        <v>18</v>
      </c>
      <c r="M912" s="16" t="s">
        <v>22</v>
      </c>
      <c r="N912" s="39" t="s">
        <v>418</v>
      </c>
    </row>
    <row r="913" spans="1:14" s="12" customFormat="1" ht="30">
      <c r="A913" s="178" t="s">
        <v>99</v>
      </c>
      <c r="B913" s="75" t="s">
        <v>1044</v>
      </c>
      <c r="C913" s="39" t="s">
        <v>1037</v>
      </c>
      <c r="D913" s="236"/>
      <c r="E913" s="236"/>
      <c r="F913" s="236"/>
      <c r="G913" s="236"/>
      <c r="H913" s="40">
        <f>SUM(Tabla132112416[[#This Row],[PRIMER TRIMESTRE]:[CUARTO TRIMESTRE]])</f>
        <v>0</v>
      </c>
      <c r="I913" s="17">
        <v>2500</v>
      </c>
      <c r="J913" s="17">
        <f t="shared" si="25"/>
        <v>0</v>
      </c>
      <c r="K913" s="17"/>
      <c r="L913" s="16" t="s">
        <v>18</v>
      </c>
      <c r="M913" s="16" t="s">
        <v>22</v>
      </c>
      <c r="N913" s="39" t="s">
        <v>418</v>
      </c>
    </row>
    <row r="914" spans="1:14" s="12" customFormat="1" ht="30">
      <c r="A914" s="178" t="s">
        <v>99</v>
      </c>
      <c r="B914" s="75" t="s">
        <v>1045</v>
      </c>
      <c r="C914" s="39" t="s">
        <v>1037</v>
      </c>
      <c r="D914" s="236"/>
      <c r="E914" s="236"/>
      <c r="F914" s="236"/>
      <c r="G914" s="236"/>
      <c r="H914" s="40">
        <f>SUM(Tabla132112416[[#This Row],[PRIMER TRIMESTRE]:[CUARTO TRIMESTRE]])</f>
        <v>0</v>
      </c>
      <c r="I914" s="17">
        <v>2000</v>
      </c>
      <c r="J914" s="17">
        <f t="shared" si="25"/>
        <v>0</v>
      </c>
      <c r="K914" s="17"/>
      <c r="L914" s="16" t="s">
        <v>18</v>
      </c>
      <c r="M914" s="16" t="s">
        <v>22</v>
      </c>
      <c r="N914" s="39" t="s">
        <v>418</v>
      </c>
    </row>
    <row r="915" spans="1:14" s="12" customFormat="1" ht="30">
      <c r="A915" s="178" t="s">
        <v>99</v>
      </c>
      <c r="B915" s="75" t="s">
        <v>1046</v>
      </c>
      <c r="C915" s="39" t="s">
        <v>1037</v>
      </c>
      <c r="D915" s="236"/>
      <c r="E915" s="236"/>
      <c r="F915" s="236"/>
      <c r="G915" s="236"/>
      <c r="H915" s="40">
        <f>SUM(Tabla132112416[[#This Row],[PRIMER TRIMESTRE]:[CUARTO TRIMESTRE]])</f>
        <v>0</v>
      </c>
      <c r="I915" s="17">
        <v>3000</v>
      </c>
      <c r="J915" s="17">
        <f t="shared" si="25"/>
        <v>0</v>
      </c>
      <c r="K915" s="17"/>
      <c r="L915" s="16" t="s">
        <v>18</v>
      </c>
      <c r="M915" s="16" t="s">
        <v>22</v>
      </c>
      <c r="N915" s="39" t="s">
        <v>418</v>
      </c>
    </row>
    <row r="916" spans="1:14" s="12" customFormat="1" ht="30">
      <c r="A916" s="178" t="s">
        <v>99</v>
      </c>
      <c r="B916" s="75" t="s">
        <v>1047</v>
      </c>
      <c r="C916" s="39" t="s">
        <v>1037</v>
      </c>
      <c r="D916" s="236"/>
      <c r="E916" s="236"/>
      <c r="F916" s="236"/>
      <c r="G916" s="236"/>
      <c r="H916" s="40">
        <f>SUM(Tabla132112416[[#This Row],[PRIMER TRIMESTRE]:[CUARTO TRIMESTRE]])</f>
        <v>0</v>
      </c>
      <c r="I916" s="17">
        <v>3500</v>
      </c>
      <c r="J916" s="17">
        <f t="shared" si="25"/>
        <v>0</v>
      </c>
      <c r="K916" s="17"/>
      <c r="L916" s="16" t="s">
        <v>18</v>
      </c>
      <c r="M916" s="16" t="s">
        <v>22</v>
      </c>
      <c r="N916" s="39" t="s">
        <v>418</v>
      </c>
    </row>
    <row r="917" spans="1:14" s="12" customFormat="1" ht="38.25">
      <c r="A917" s="178" t="s">
        <v>99</v>
      </c>
      <c r="B917" s="75" t="s">
        <v>1048</v>
      </c>
      <c r="C917" s="39" t="s">
        <v>1063</v>
      </c>
      <c r="D917" s="236"/>
      <c r="E917" s="236"/>
      <c r="F917" s="236"/>
      <c r="G917" s="236"/>
      <c r="H917" s="40">
        <f>SUM(Tabla132112416[[#This Row],[PRIMER TRIMESTRE]:[CUARTO TRIMESTRE]])</f>
        <v>0</v>
      </c>
      <c r="I917" s="17">
        <v>3500</v>
      </c>
      <c r="J917" s="17">
        <f t="shared" si="25"/>
        <v>0</v>
      </c>
      <c r="K917" s="17"/>
      <c r="L917" s="16" t="s">
        <v>18</v>
      </c>
      <c r="M917" s="16" t="s">
        <v>22</v>
      </c>
      <c r="N917" s="39" t="s">
        <v>418</v>
      </c>
    </row>
    <row r="918" spans="1:14" s="12" customFormat="1" ht="30">
      <c r="A918" s="178" t="s">
        <v>99</v>
      </c>
      <c r="B918" s="75" t="s">
        <v>1049</v>
      </c>
      <c r="C918" s="39" t="s">
        <v>1063</v>
      </c>
      <c r="D918" s="236"/>
      <c r="E918" s="236"/>
      <c r="F918" s="236"/>
      <c r="G918" s="236"/>
      <c r="H918" s="40">
        <f>SUM(Tabla132112416[[#This Row],[PRIMER TRIMESTRE]:[CUARTO TRIMESTRE]])</f>
        <v>0</v>
      </c>
      <c r="I918" s="17">
        <v>2500</v>
      </c>
      <c r="J918" s="17">
        <f t="shared" si="25"/>
        <v>0</v>
      </c>
      <c r="K918" s="17"/>
      <c r="L918" s="16" t="s">
        <v>15</v>
      </c>
      <c r="M918" s="16" t="s">
        <v>22</v>
      </c>
      <c r="N918" s="39" t="s">
        <v>418</v>
      </c>
    </row>
    <row r="919" spans="1:14" s="12" customFormat="1" ht="30">
      <c r="A919" s="178" t="s">
        <v>99</v>
      </c>
      <c r="B919" s="75" t="s">
        <v>1050</v>
      </c>
      <c r="C919" s="39" t="s">
        <v>1063</v>
      </c>
      <c r="D919" s="236"/>
      <c r="E919" s="236"/>
      <c r="F919" s="236"/>
      <c r="G919" s="236"/>
      <c r="H919" s="40">
        <f>SUM(Tabla132112416[[#This Row],[PRIMER TRIMESTRE]:[CUARTO TRIMESTRE]])</f>
        <v>0</v>
      </c>
      <c r="I919" s="17">
        <v>2500</v>
      </c>
      <c r="J919" s="17">
        <f t="shared" si="25"/>
        <v>0</v>
      </c>
      <c r="K919" s="17"/>
      <c r="L919" s="16" t="s">
        <v>18</v>
      </c>
      <c r="M919" s="16" t="s">
        <v>22</v>
      </c>
      <c r="N919" s="39" t="s">
        <v>418</v>
      </c>
    </row>
    <row r="920" spans="1:14" s="12" customFormat="1" ht="30">
      <c r="A920" s="178" t="s">
        <v>99</v>
      </c>
      <c r="B920" s="75" t="s">
        <v>1051</v>
      </c>
      <c r="C920" s="39" t="s">
        <v>1037</v>
      </c>
      <c r="D920" s="236"/>
      <c r="E920" s="236"/>
      <c r="F920" s="236"/>
      <c r="G920" s="236"/>
      <c r="H920" s="40">
        <f>SUM(Tabla132112416[[#This Row],[PRIMER TRIMESTRE]:[CUARTO TRIMESTRE]])</f>
        <v>0</v>
      </c>
      <c r="I920" s="17">
        <v>3000</v>
      </c>
      <c r="J920" s="17">
        <f t="shared" si="25"/>
        <v>0</v>
      </c>
      <c r="K920" s="17"/>
      <c r="L920" s="16" t="s">
        <v>18</v>
      </c>
      <c r="M920" s="16" t="s">
        <v>22</v>
      </c>
      <c r="N920" s="39" t="s">
        <v>418</v>
      </c>
    </row>
    <row r="921" spans="1:14" s="12" customFormat="1" ht="30">
      <c r="A921" s="178" t="s">
        <v>99</v>
      </c>
      <c r="B921" s="75" t="s">
        <v>1052</v>
      </c>
      <c r="C921" s="39" t="s">
        <v>1064</v>
      </c>
      <c r="D921" s="236"/>
      <c r="E921" s="236"/>
      <c r="F921" s="236"/>
      <c r="G921" s="236"/>
      <c r="H921" s="40">
        <f>SUM(Tabla132112416[[#This Row],[PRIMER TRIMESTRE]:[CUARTO TRIMESTRE]])</f>
        <v>0</v>
      </c>
      <c r="I921" s="17">
        <v>2500</v>
      </c>
      <c r="J921" s="17">
        <f t="shared" si="25"/>
        <v>0</v>
      </c>
      <c r="K921" s="17"/>
      <c r="L921" s="16" t="s">
        <v>18</v>
      </c>
      <c r="M921" s="16" t="s">
        <v>22</v>
      </c>
      <c r="N921" s="39" t="s">
        <v>418</v>
      </c>
    </row>
    <row r="922" spans="1:14" s="12" customFormat="1" ht="30">
      <c r="A922" s="178" t="s">
        <v>99</v>
      </c>
      <c r="B922" s="75" t="s">
        <v>1053</v>
      </c>
      <c r="C922" s="39" t="s">
        <v>1064</v>
      </c>
      <c r="D922" s="236"/>
      <c r="E922" s="236"/>
      <c r="F922" s="236"/>
      <c r="G922" s="236"/>
      <c r="H922" s="40">
        <f>SUM(Tabla132112416[[#This Row],[PRIMER TRIMESTRE]:[CUARTO TRIMESTRE]])</f>
        <v>0</v>
      </c>
      <c r="I922" s="17">
        <v>2500</v>
      </c>
      <c r="J922" s="17">
        <f t="shared" si="25"/>
        <v>0</v>
      </c>
      <c r="K922" s="17"/>
      <c r="L922" s="16" t="s">
        <v>18</v>
      </c>
      <c r="M922" s="16" t="s">
        <v>22</v>
      </c>
      <c r="N922" s="39" t="s">
        <v>418</v>
      </c>
    </row>
    <row r="923" spans="1:14" s="12" customFormat="1" ht="30">
      <c r="A923" s="178" t="s">
        <v>99</v>
      </c>
      <c r="B923" s="75" t="s">
        <v>1054</v>
      </c>
      <c r="C923" s="39" t="s">
        <v>1064</v>
      </c>
      <c r="D923" s="236"/>
      <c r="E923" s="236"/>
      <c r="F923" s="236"/>
      <c r="G923" s="236"/>
      <c r="H923" s="40">
        <f>SUM(Tabla132112416[[#This Row],[PRIMER TRIMESTRE]:[CUARTO TRIMESTRE]])</f>
        <v>0</v>
      </c>
      <c r="I923" s="17">
        <v>2000</v>
      </c>
      <c r="J923" s="17">
        <f t="shared" si="25"/>
        <v>0</v>
      </c>
      <c r="K923" s="17"/>
      <c r="L923" s="16" t="s">
        <v>18</v>
      </c>
      <c r="M923" s="16" t="s">
        <v>22</v>
      </c>
      <c r="N923" s="39" t="s">
        <v>418</v>
      </c>
    </row>
    <row r="924" spans="1:14" s="12" customFormat="1" ht="30">
      <c r="A924" s="178" t="s">
        <v>99</v>
      </c>
      <c r="B924" s="75" t="s">
        <v>1055</v>
      </c>
      <c r="C924" s="39" t="s">
        <v>1065</v>
      </c>
      <c r="D924" s="236"/>
      <c r="E924" s="236"/>
      <c r="F924" s="236"/>
      <c r="G924" s="236"/>
      <c r="H924" s="40">
        <f>SUM(Tabla132112416[[#This Row],[PRIMER TRIMESTRE]:[CUARTO TRIMESTRE]])</f>
        <v>0</v>
      </c>
      <c r="I924" s="17">
        <v>2000</v>
      </c>
      <c r="J924" s="17">
        <f t="shared" si="25"/>
        <v>0</v>
      </c>
      <c r="K924" s="17"/>
      <c r="L924" s="16" t="s">
        <v>18</v>
      </c>
      <c r="M924" s="16" t="s">
        <v>22</v>
      </c>
      <c r="N924" s="39" t="s">
        <v>418</v>
      </c>
    </row>
    <row r="925" spans="1:14" s="12" customFormat="1" ht="30">
      <c r="A925" s="178" t="s">
        <v>99</v>
      </c>
      <c r="B925" s="75" t="s">
        <v>1056</v>
      </c>
      <c r="C925" s="39" t="s">
        <v>1065</v>
      </c>
      <c r="D925" s="236"/>
      <c r="E925" s="236"/>
      <c r="F925" s="236"/>
      <c r="G925" s="236"/>
      <c r="H925" s="40">
        <f>SUM(Tabla132112416[[#This Row],[PRIMER TRIMESTRE]:[CUARTO TRIMESTRE]])</f>
        <v>0</v>
      </c>
      <c r="I925" s="17">
        <v>2100</v>
      </c>
      <c r="J925" s="17">
        <f t="shared" si="25"/>
        <v>0</v>
      </c>
      <c r="K925" s="17"/>
      <c r="L925" s="16" t="s">
        <v>18</v>
      </c>
      <c r="M925" s="16" t="s">
        <v>22</v>
      </c>
      <c r="N925" s="39" t="s">
        <v>418</v>
      </c>
    </row>
    <row r="926" spans="1:14" s="12" customFormat="1" ht="30">
      <c r="A926" s="178" t="s">
        <v>99</v>
      </c>
      <c r="B926" s="75" t="s">
        <v>1057</v>
      </c>
      <c r="C926" s="39" t="s">
        <v>1065</v>
      </c>
      <c r="D926" s="236"/>
      <c r="E926" s="236"/>
      <c r="F926" s="236"/>
      <c r="G926" s="236"/>
      <c r="H926" s="40">
        <f>SUM(Tabla132112416[[#This Row],[PRIMER TRIMESTRE]:[CUARTO TRIMESTRE]])</f>
        <v>0</v>
      </c>
      <c r="I926" s="17">
        <v>2500</v>
      </c>
      <c r="J926" s="17">
        <f t="shared" si="25"/>
        <v>0</v>
      </c>
      <c r="K926" s="17"/>
      <c r="L926" s="16" t="s">
        <v>18</v>
      </c>
      <c r="M926" s="16" t="s">
        <v>22</v>
      </c>
      <c r="N926" s="39" t="s">
        <v>418</v>
      </c>
    </row>
    <row r="927" spans="1:14" s="12" customFormat="1" ht="30">
      <c r="A927" s="178" t="s">
        <v>99</v>
      </c>
      <c r="B927" s="75" t="s">
        <v>1058</v>
      </c>
      <c r="C927" s="39" t="s">
        <v>1065</v>
      </c>
      <c r="D927" s="236"/>
      <c r="E927" s="236"/>
      <c r="F927" s="236"/>
      <c r="G927" s="236"/>
      <c r="H927" s="40">
        <f>SUM(Tabla132112416[[#This Row],[PRIMER TRIMESTRE]:[CUARTO TRIMESTRE]])</f>
        <v>0</v>
      </c>
      <c r="I927" s="17">
        <v>2500</v>
      </c>
      <c r="J927" s="17">
        <f t="shared" si="25"/>
        <v>0</v>
      </c>
      <c r="K927" s="17"/>
      <c r="L927" s="16" t="s">
        <v>18</v>
      </c>
      <c r="M927" s="16" t="s">
        <v>22</v>
      </c>
      <c r="N927" s="39" t="s">
        <v>418</v>
      </c>
    </row>
    <row r="928" spans="1:14" s="12" customFormat="1" ht="30">
      <c r="A928" s="178" t="s">
        <v>99</v>
      </c>
      <c r="B928" s="75" t="s">
        <v>1059</v>
      </c>
      <c r="C928" s="39" t="s">
        <v>1065</v>
      </c>
      <c r="D928" s="236"/>
      <c r="E928" s="236"/>
      <c r="F928" s="236"/>
      <c r="G928" s="236"/>
      <c r="H928" s="40">
        <f>SUM(Tabla132112416[[#This Row],[PRIMER TRIMESTRE]:[CUARTO TRIMESTRE]])</f>
        <v>0</v>
      </c>
      <c r="I928" s="17">
        <v>2500</v>
      </c>
      <c r="J928" s="17">
        <f t="shared" si="25"/>
        <v>0</v>
      </c>
      <c r="K928" s="17"/>
      <c r="L928" s="16" t="s">
        <v>18</v>
      </c>
      <c r="M928" s="16" t="s">
        <v>22</v>
      </c>
      <c r="N928" s="39" t="s">
        <v>418</v>
      </c>
    </row>
    <row r="929" spans="1:14" s="12" customFormat="1" ht="30">
      <c r="A929" s="178" t="s">
        <v>99</v>
      </c>
      <c r="B929" s="75" t="s">
        <v>1060</v>
      </c>
      <c r="C929" s="39" t="s">
        <v>1065</v>
      </c>
      <c r="D929" s="236"/>
      <c r="E929" s="236"/>
      <c r="F929" s="236"/>
      <c r="G929" s="236"/>
      <c r="H929" s="40">
        <f>SUM(Tabla132112416[[#This Row],[PRIMER TRIMESTRE]:[CUARTO TRIMESTRE]])</f>
        <v>0</v>
      </c>
      <c r="I929" s="17">
        <v>4000</v>
      </c>
      <c r="J929" s="17">
        <f t="shared" si="25"/>
        <v>0</v>
      </c>
      <c r="K929" s="17"/>
      <c r="L929" s="16" t="s">
        <v>18</v>
      </c>
      <c r="M929" s="16" t="s">
        <v>22</v>
      </c>
      <c r="N929" s="39" t="s">
        <v>418</v>
      </c>
    </row>
    <row r="930" spans="1:14" s="12" customFormat="1" ht="30">
      <c r="A930" s="178" t="s">
        <v>99</v>
      </c>
      <c r="B930" s="75" t="s">
        <v>1061</v>
      </c>
      <c r="C930" s="39" t="s">
        <v>1064</v>
      </c>
      <c r="D930" s="236"/>
      <c r="E930" s="236"/>
      <c r="F930" s="236"/>
      <c r="G930" s="236"/>
      <c r="H930" s="40">
        <f>SUM(Tabla132112416[[#This Row],[PRIMER TRIMESTRE]:[CUARTO TRIMESTRE]])</f>
        <v>0</v>
      </c>
      <c r="I930" s="17">
        <v>3000</v>
      </c>
      <c r="J930" s="17">
        <f t="shared" si="25"/>
        <v>0</v>
      </c>
      <c r="K930" s="17"/>
      <c r="L930" s="16" t="s">
        <v>18</v>
      </c>
      <c r="M930" s="16" t="s">
        <v>22</v>
      </c>
      <c r="N930" s="39" t="s">
        <v>418</v>
      </c>
    </row>
    <row r="931" spans="1:14" s="12" customFormat="1" ht="30">
      <c r="A931" s="178" t="s">
        <v>99</v>
      </c>
      <c r="B931" s="75" t="s">
        <v>1062</v>
      </c>
      <c r="C931" s="39" t="s">
        <v>290</v>
      </c>
      <c r="D931" s="236"/>
      <c r="E931" s="236"/>
      <c r="F931" s="236"/>
      <c r="G931" s="236"/>
      <c r="H931" s="40">
        <f>SUM(Tabla132112416[[#This Row],[PRIMER TRIMESTRE]:[CUARTO TRIMESTRE]])</f>
        <v>0</v>
      </c>
      <c r="I931" s="17">
        <v>1200</v>
      </c>
      <c r="J931" s="17">
        <f t="shared" si="25"/>
        <v>0</v>
      </c>
      <c r="K931" s="17"/>
      <c r="L931" s="16" t="s">
        <v>18</v>
      </c>
      <c r="M931" s="16" t="s">
        <v>22</v>
      </c>
      <c r="N931" s="39" t="s">
        <v>418</v>
      </c>
    </row>
    <row r="932" spans="1:14" s="12" customFormat="1" ht="30">
      <c r="A932" s="178" t="s">
        <v>99</v>
      </c>
      <c r="B932" s="75" t="s">
        <v>1066</v>
      </c>
      <c r="C932" s="39" t="s">
        <v>1067</v>
      </c>
      <c r="D932" s="236"/>
      <c r="E932" s="236"/>
      <c r="F932" s="236"/>
      <c r="G932" s="236"/>
      <c r="H932" s="40">
        <f>SUM(Tabla132112416[[#This Row],[PRIMER TRIMESTRE]:[CUARTO TRIMESTRE]])</f>
        <v>0</v>
      </c>
      <c r="I932" s="17">
        <v>10000</v>
      </c>
      <c r="J932" s="17">
        <f t="shared" si="25"/>
        <v>0</v>
      </c>
      <c r="K932" s="17"/>
      <c r="L932" s="16" t="s">
        <v>18</v>
      </c>
      <c r="M932" s="16" t="s">
        <v>22</v>
      </c>
      <c r="N932" s="39" t="s">
        <v>418</v>
      </c>
    </row>
    <row r="933" spans="1:14" s="12" customFormat="1" ht="30">
      <c r="A933" s="178" t="s">
        <v>99</v>
      </c>
      <c r="B933" s="75" t="s">
        <v>1068</v>
      </c>
      <c r="C933" s="39" t="s">
        <v>1067</v>
      </c>
      <c r="D933" s="236"/>
      <c r="E933" s="236"/>
      <c r="F933" s="236"/>
      <c r="G933" s="236"/>
      <c r="H933" s="40">
        <f>SUM(Tabla132112416[[#This Row],[PRIMER TRIMESTRE]:[CUARTO TRIMESTRE]])</f>
        <v>0</v>
      </c>
      <c r="I933" s="17">
        <v>10000</v>
      </c>
      <c r="J933" s="17">
        <f t="shared" si="25"/>
        <v>0</v>
      </c>
      <c r="K933" s="17"/>
      <c r="L933" s="16" t="s">
        <v>18</v>
      </c>
      <c r="M933" s="16" t="s">
        <v>22</v>
      </c>
      <c r="N933" s="39" t="s">
        <v>418</v>
      </c>
    </row>
    <row r="934" spans="1:14" s="12" customFormat="1" ht="30">
      <c r="A934" s="178" t="s">
        <v>99</v>
      </c>
      <c r="B934" s="75" t="s">
        <v>1069</v>
      </c>
      <c r="C934" s="39" t="s">
        <v>718</v>
      </c>
      <c r="D934" s="236"/>
      <c r="E934" s="236"/>
      <c r="F934" s="236"/>
      <c r="G934" s="236"/>
      <c r="H934" s="40">
        <f>SUM(Tabla132112416[[#This Row],[PRIMER TRIMESTRE]:[CUARTO TRIMESTRE]])</f>
        <v>0</v>
      </c>
      <c r="I934" s="17">
        <v>10000</v>
      </c>
      <c r="J934" s="17">
        <f t="shared" si="25"/>
        <v>0</v>
      </c>
      <c r="K934" s="17"/>
      <c r="L934" s="16" t="s">
        <v>18</v>
      </c>
      <c r="M934" s="16" t="s">
        <v>22</v>
      </c>
      <c r="N934" s="39" t="s">
        <v>418</v>
      </c>
    </row>
    <row r="935" spans="1:14" s="12" customFormat="1" ht="38.25">
      <c r="A935" s="178" t="s">
        <v>99</v>
      </c>
      <c r="B935" s="75" t="s">
        <v>1070</v>
      </c>
      <c r="C935" s="39" t="s">
        <v>208</v>
      </c>
      <c r="D935" s="236"/>
      <c r="E935" s="236"/>
      <c r="F935" s="236"/>
      <c r="G935" s="236"/>
      <c r="H935" s="40">
        <f>SUM(Tabla132112416[[#This Row],[PRIMER TRIMESTRE]:[CUARTO TRIMESTRE]])</f>
        <v>0</v>
      </c>
      <c r="I935" s="17">
        <v>10000</v>
      </c>
      <c r="J935" s="17">
        <f t="shared" si="25"/>
        <v>0</v>
      </c>
      <c r="K935" s="17"/>
      <c r="L935" s="16" t="s">
        <v>18</v>
      </c>
      <c r="M935" s="16" t="s">
        <v>22</v>
      </c>
      <c r="N935" s="39" t="s">
        <v>418</v>
      </c>
    </row>
    <row r="936" spans="1:14" s="12" customFormat="1" ht="30">
      <c r="A936" s="178" t="s">
        <v>99</v>
      </c>
      <c r="B936" s="75" t="s">
        <v>1071</v>
      </c>
      <c r="C936" s="39" t="s">
        <v>1065</v>
      </c>
      <c r="D936" s="236"/>
      <c r="E936" s="236"/>
      <c r="F936" s="236"/>
      <c r="G936" s="236"/>
      <c r="H936" s="40">
        <f>SUM(Tabla132112416[[#This Row],[PRIMER TRIMESTRE]:[CUARTO TRIMESTRE]])</f>
        <v>0</v>
      </c>
      <c r="I936" s="17">
        <v>800</v>
      </c>
      <c r="J936" s="17">
        <f t="shared" si="25"/>
        <v>0</v>
      </c>
      <c r="K936" s="17"/>
      <c r="L936" s="16" t="s">
        <v>18</v>
      </c>
      <c r="M936" s="16" t="s">
        <v>22</v>
      </c>
      <c r="N936" s="39" t="s">
        <v>418</v>
      </c>
    </row>
    <row r="937" spans="1:14" s="12" customFormat="1" ht="30">
      <c r="A937" s="178" t="s">
        <v>99</v>
      </c>
      <c r="B937" s="75" t="s">
        <v>1072</v>
      </c>
      <c r="C937" s="39" t="s">
        <v>1073</v>
      </c>
      <c r="D937" s="236"/>
      <c r="E937" s="236"/>
      <c r="F937" s="236"/>
      <c r="G937" s="236"/>
      <c r="H937" s="40">
        <f>SUM(Tabla132112416[[#This Row],[PRIMER TRIMESTRE]:[CUARTO TRIMESTRE]])</f>
        <v>0</v>
      </c>
      <c r="I937" s="17">
        <v>7500</v>
      </c>
      <c r="J937" s="17">
        <f t="shared" si="25"/>
        <v>0</v>
      </c>
      <c r="K937" s="17"/>
      <c r="L937" s="16" t="s">
        <v>18</v>
      </c>
      <c r="M937" s="16" t="s">
        <v>22</v>
      </c>
      <c r="N937" s="39" t="s">
        <v>418</v>
      </c>
    </row>
    <row r="938" spans="1:14" s="12" customFormat="1" ht="30">
      <c r="A938" s="178" t="s">
        <v>99</v>
      </c>
      <c r="B938" s="75" t="s">
        <v>1074</v>
      </c>
      <c r="C938" s="39" t="s">
        <v>1067</v>
      </c>
      <c r="D938" s="236"/>
      <c r="E938" s="236"/>
      <c r="F938" s="236"/>
      <c r="G938" s="236"/>
      <c r="H938" s="40">
        <f>SUM(Tabla132112416[[#This Row],[PRIMER TRIMESTRE]:[CUARTO TRIMESTRE]])</f>
        <v>0</v>
      </c>
      <c r="I938" s="17">
        <v>1000</v>
      </c>
      <c r="J938" s="17">
        <f t="shared" si="25"/>
        <v>0</v>
      </c>
      <c r="K938" s="17"/>
      <c r="L938" s="16" t="s">
        <v>18</v>
      </c>
      <c r="M938" s="16" t="s">
        <v>22</v>
      </c>
      <c r="N938" s="39" t="s">
        <v>418</v>
      </c>
    </row>
    <row r="939" spans="1:14" s="12" customFormat="1" ht="30">
      <c r="A939" s="178" t="s">
        <v>99</v>
      </c>
      <c r="B939" s="75" t="s">
        <v>1075</v>
      </c>
      <c r="C939" s="39" t="s">
        <v>1067</v>
      </c>
      <c r="D939" s="236"/>
      <c r="E939" s="236"/>
      <c r="F939" s="236"/>
      <c r="G939" s="236"/>
      <c r="H939" s="40">
        <f>SUM(Tabla132112416[[#This Row],[PRIMER TRIMESTRE]:[CUARTO TRIMESTRE]])</f>
        <v>0</v>
      </c>
      <c r="I939" s="17">
        <v>2500</v>
      </c>
      <c r="J939" s="17">
        <f t="shared" si="25"/>
        <v>0</v>
      </c>
      <c r="K939" s="17"/>
      <c r="L939" s="16" t="s">
        <v>18</v>
      </c>
      <c r="M939" s="16" t="s">
        <v>22</v>
      </c>
      <c r="N939" s="39" t="s">
        <v>418</v>
      </c>
    </row>
    <row r="940" spans="1:14" s="12" customFormat="1" ht="30">
      <c r="A940" s="178" t="s">
        <v>99</v>
      </c>
      <c r="B940" s="75" t="s">
        <v>1076</v>
      </c>
      <c r="C940" s="39" t="s">
        <v>1067</v>
      </c>
      <c r="D940" s="236"/>
      <c r="E940" s="236"/>
      <c r="F940" s="236"/>
      <c r="G940" s="236"/>
      <c r="H940" s="40">
        <f>SUM(Tabla132112416[[#This Row],[PRIMER TRIMESTRE]:[CUARTO TRIMESTRE]])</f>
        <v>0</v>
      </c>
      <c r="I940" s="17">
        <v>10000</v>
      </c>
      <c r="J940" s="17">
        <f t="shared" si="25"/>
        <v>0</v>
      </c>
      <c r="K940" s="17"/>
      <c r="L940" s="16" t="s">
        <v>18</v>
      </c>
      <c r="M940" s="16" t="s">
        <v>22</v>
      </c>
      <c r="N940" s="39" t="s">
        <v>418</v>
      </c>
    </row>
    <row r="941" spans="1:14" s="12" customFormat="1" ht="30">
      <c r="A941" s="178" t="s">
        <v>99</v>
      </c>
      <c r="B941" s="75" t="s">
        <v>1077</v>
      </c>
      <c r="C941" s="39" t="s">
        <v>718</v>
      </c>
      <c r="D941" s="236"/>
      <c r="E941" s="236"/>
      <c r="F941" s="236"/>
      <c r="G941" s="236"/>
      <c r="H941" s="40">
        <f>SUM(Tabla132112416[[#This Row],[PRIMER TRIMESTRE]:[CUARTO TRIMESTRE]])</f>
        <v>0</v>
      </c>
      <c r="I941" s="17">
        <v>10000</v>
      </c>
      <c r="J941" s="17">
        <f t="shared" si="25"/>
        <v>0</v>
      </c>
      <c r="K941" s="17"/>
      <c r="L941" s="16" t="s">
        <v>18</v>
      </c>
      <c r="M941" s="16" t="s">
        <v>22</v>
      </c>
      <c r="N941" s="39" t="s">
        <v>418</v>
      </c>
    </row>
    <row r="942" spans="1:14" s="12" customFormat="1" ht="38.25">
      <c r="A942" s="178" t="s">
        <v>99</v>
      </c>
      <c r="B942" s="75" t="s">
        <v>1078</v>
      </c>
      <c r="C942" s="39" t="s">
        <v>1067</v>
      </c>
      <c r="D942" s="236"/>
      <c r="E942" s="236"/>
      <c r="F942" s="236"/>
      <c r="G942" s="236"/>
      <c r="H942" s="40">
        <f>SUM(Tabla132112416[[#This Row],[PRIMER TRIMESTRE]:[CUARTO TRIMESTRE]])</f>
        <v>0</v>
      </c>
      <c r="I942" s="17">
        <v>1000</v>
      </c>
      <c r="J942" s="17">
        <f t="shared" si="25"/>
        <v>0</v>
      </c>
      <c r="K942" s="17"/>
      <c r="L942" s="16" t="s">
        <v>18</v>
      </c>
      <c r="M942" s="16" t="s">
        <v>22</v>
      </c>
      <c r="N942" s="39" t="s">
        <v>418</v>
      </c>
    </row>
    <row r="943" spans="1:14" s="12" customFormat="1" ht="30">
      <c r="A943" s="178" t="s">
        <v>99</v>
      </c>
      <c r="B943" s="75" t="s">
        <v>1079</v>
      </c>
      <c r="C943" s="39" t="s">
        <v>208</v>
      </c>
      <c r="D943" s="236"/>
      <c r="E943" s="236"/>
      <c r="F943" s="236"/>
      <c r="G943" s="236"/>
      <c r="H943" s="40">
        <f>SUM(Tabla132112416[[#This Row],[PRIMER TRIMESTRE]:[CUARTO TRIMESTRE]])</f>
        <v>0</v>
      </c>
      <c r="I943" s="17">
        <v>250</v>
      </c>
      <c r="J943" s="17">
        <f t="shared" si="25"/>
        <v>0</v>
      </c>
      <c r="K943" s="17"/>
      <c r="L943" s="16" t="s">
        <v>18</v>
      </c>
      <c r="M943" s="16" t="s">
        <v>22</v>
      </c>
      <c r="N943" s="39" t="s">
        <v>418</v>
      </c>
    </row>
    <row r="944" spans="1:14" s="12" customFormat="1" ht="38.25">
      <c r="A944" s="178" t="s">
        <v>99</v>
      </c>
      <c r="B944" s="75" t="s">
        <v>1080</v>
      </c>
      <c r="C944" s="39" t="s">
        <v>1067</v>
      </c>
      <c r="D944" s="236"/>
      <c r="E944" s="236"/>
      <c r="F944" s="236"/>
      <c r="G944" s="236"/>
      <c r="H944" s="40">
        <f>SUM(Tabla132112416[[#This Row],[PRIMER TRIMESTRE]:[CUARTO TRIMESTRE]])</f>
        <v>0</v>
      </c>
      <c r="I944" s="17">
        <v>1000</v>
      </c>
      <c r="J944" s="17">
        <f t="shared" si="25"/>
        <v>0</v>
      </c>
      <c r="K944" s="17"/>
      <c r="L944" s="16" t="s">
        <v>18</v>
      </c>
      <c r="M944" s="16" t="s">
        <v>22</v>
      </c>
      <c r="N944" s="39" t="s">
        <v>418</v>
      </c>
    </row>
    <row r="945" spans="1:14" s="12" customFormat="1" ht="38.25">
      <c r="A945" s="178" t="s">
        <v>99</v>
      </c>
      <c r="B945" s="75" t="s">
        <v>1081</v>
      </c>
      <c r="C945" s="39" t="s">
        <v>1067</v>
      </c>
      <c r="D945" s="236"/>
      <c r="E945" s="236"/>
      <c r="F945" s="236"/>
      <c r="G945" s="236"/>
      <c r="H945" s="40">
        <f>SUM(Tabla132112416[[#This Row],[PRIMER TRIMESTRE]:[CUARTO TRIMESTRE]])</f>
        <v>0</v>
      </c>
      <c r="I945" s="17">
        <v>1000</v>
      </c>
      <c r="J945" s="17">
        <f t="shared" si="25"/>
        <v>0</v>
      </c>
      <c r="K945" s="17"/>
      <c r="L945" s="16" t="s">
        <v>18</v>
      </c>
      <c r="M945" s="16" t="s">
        <v>22</v>
      </c>
      <c r="N945" s="39" t="s">
        <v>418</v>
      </c>
    </row>
    <row r="946" spans="1:14" s="12" customFormat="1" ht="38.25">
      <c r="A946" s="178" t="s">
        <v>99</v>
      </c>
      <c r="B946" s="75" t="s">
        <v>1082</v>
      </c>
      <c r="C946" s="39" t="s">
        <v>1067</v>
      </c>
      <c r="D946" s="236"/>
      <c r="E946" s="236"/>
      <c r="F946" s="236"/>
      <c r="G946" s="236"/>
      <c r="H946" s="40">
        <f>SUM(Tabla132112416[[#This Row],[PRIMER TRIMESTRE]:[CUARTO TRIMESTRE]])</f>
        <v>0</v>
      </c>
      <c r="I946" s="17">
        <v>1000</v>
      </c>
      <c r="J946" s="17">
        <f t="shared" si="25"/>
        <v>0</v>
      </c>
      <c r="K946" s="17"/>
      <c r="L946" s="16" t="s">
        <v>18</v>
      </c>
      <c r="M946" s="16" t="s">
        <v>22</v>
      </c>
      <c r="N946" s="39" t="s">
        <v>418</v>
      </c>
    </row>
    <row r="947" spans="1:14" s="12" customFormat="1" ht="30">
      <c r="A947" s="178" t="s">
        <v>99</v>
      </c>
      <c r="B947" s="75" t="s">
        <v>1083</v>
      </c>
      <c r="C947" s="39" t="s">
        <v>1067</v>
      </c>
      <c r="D947" s="236"/>
      <c r="E947" s="236"/>
      <c r="F947" s="236"/>
      <c r="G947" s="236"/>
      <c r="H947" s="40">
        <f>SUM(Tabla132112416[[#This Row],[PRIMER TRIMESTRE]:[CUARTO TRIMESTRE]])</f>
        <v>0</v>
      </c>
      <c r="I947" s="17">
        <v>300</v>
      </c>
      <c r="J947" s="17">
        <f t="shared" si="25"/>
        <v>0</v>
      </c>
      <c r="K947" s="17"/>
      <c r="L947" s="16" t="s">
        <v>18</v>
      </c>
      <c r="M947" s="16" t="s">
        <v>22</v>
      </c>
      <c r="N947" s="39" t="s">
        <v>418</v>
      </c>
    </row>
    <row r="948" spans="1:14" s="12" customFormat="1" ht="30">
      <c r="A948" s="178" t="s">
        <v>99</v>
      </c>
      <c r="B948" s="75" t="s">
        <v>1084</v>
      </c>
      <c r="C948" s="39" t="s">
        <v>1067</v>
      </c>
      <c r="D948" s="236"/>
      <c r="E948" s="236"/>
      <c r="F948" s="236"/>
      <c r="G948" s="236"/>
      <c r="H948" s="40">
        <f>SUM(Tabla132112416[[#This Row],[PRIMER TRIMESTRE]:[CUARTO TRIMESTRE]])</f>
        <v>0</v>
      </c>
      <c r="I948" s="17">
        <v>1500</v>
      </c>
      <c r="J948" s="17">
        <f t="shared" si="25"/>
        <v>0</v>
      </c>
      <c r="K948" s="17"/>
      <c r="L948" s="16" t="s">
        <v>18</v>
      </c>
      <c r="M948" s="16" t="s">
        <v>22</v>
      </c>
      <c r="N948" s="39" t="s">
        <v>418</v>
      </c>
    </row>
    <row r="949" spans="1:14" s="12" customFormat="1" ht="30">
      <c r="A949" s="178" t="s">
        <v>99</v>
      </c>
      <c r="B949" s="75" t="s">
        <v>1085</v>
      </c>
      <c r="C949" s="39" t="s">
        <v>1067</v>
      </c>
      <c r="D949" s="236"/>
      <c r="E949" s="236"/>
      <c r="F949" s="236"/>
      <c r="G949" s="236"/>
      <c r="H949" s="40">
        <f>SUM(Tabla132112416[[#This Row],[PRIMER TRIMESTRE]:[CUARTO TRIMESTRE]])</f>
        <v>0</v>
      </c>
      <c r="I949" s="17">
        <v>700</v>
      </c>
      <c r="J949" s="17">
        <f t="shared" si="25"/>
        <v>0</v>
      </c>
      <c r="K949" s="17"/>
      <c r="L949" s="16" t="s">
        <v>18</v>
      </c>
      <c r="M949" s="16" t="s">
        <v>22</v>
      </c>
      <c r="N949" s="39" t="s">
        <v>418</v>
      </c>
    </row>
    <row r="950" spans="1:14" s="12" customFormat="1" ht="30">
      <c r="A950" s="178" t="s">
        <v>99</v>
      </c>
      <c r="B950" s="75" t="s">
        <v>1086</v>
      </c>
      <c r="C950" s="39" t="s">
        <v>1067</v>
      </c>
      <c r="D950" s="236"/>
      <c r="E950" s="236"/>
      <c r="F950" s="236"/>
      <c r="G950" s="236"/>
      <c r="H950" s="40">
        <f>SUM(Tabla132112416[[#This Row],[PRIMER TRIMESTRE]:[CUARTO TRIMESTRE]])</f>
        <v>0</v>
      </c>
      <c r="I950" s="17">
        <v>1500</v>
      </c>
      <c r="J950" s="17">
        <f t="shared" si="25"/>
        <v>0</v>
      </c>
      <c r="K950" s="17"/>
      <c r="L950" s="16" t="s">
        <v>18</v>
      </c>
      <c r="M950" s="16" t="s">
        <v>22</v>
      </c>
      <c r="N950" s="39" t="s">
        <v>418</v>
      </c>
    </row>
    <row r="951" spans="1:14" s="12" customFormat="1" ht="30">
      <c r="A951" s="178" t="s">
        <v>99</v>
      </c>
      <c r="B951" s="75" t="s">
        <v>1087</v>
      </c>
      <c r="C951" s="39" t="s">
        <v>208</v>
      </c>
      <c r="D951" s="236"/>
      <c r="E951" s="236"/>
      <c r="F951" s="236"/>
      <c r="G951" s="236"/>
      <c r="H951" s="40">
        <f>SUM(Tabla132112416[[#This Row],[PRIMER TRIMESTRE]:[CUARTO TRIMESTRE]])</f>
        <v>0</v>
      </c>
      <c r="I951" s="17">
        <v>500</v>
      </c>
      <c r="J951" s="17">
        <f t="shared" si="25"/>
        <v>0</v>
      </c>
      <c r="K951" s="17"/>
      <c r="L951" s="16" t="s">
        <v>18</v>
      </c>
      <c r="M951" s="16" t="s">
        <v>22</v>
      </c>
      <c r="N951" s="39" t="s">
        <v>418</v>
      </c>
    </row>
    <row r="952" spans="1:14" s="12" customFormat="1" ht="51">
      <c r="A952" s="178" t="s">
        <v>99</v>
      </c>
      <c r="B952" s="75" t="s">
        <v>1088</v>
      </c>
      <c r="C952" s="39" t="s">
        <v>1067</v>
      </c>
      <c r="D952" s="236"/>
      <c r="E952" s="236"/>
      <c r="F952" s="236"/>
      <c r="G952" s="236"/>
      <c r="H952" s="40">
        <f>SUM(Tabla132112416[[#This Row],[PRIMER TRIMESTRE]:[CUARTO TRIMESTRE]])</f>
        <v>0</v>
      </c>
      <c r="I952" s="17">
        <v>15000</v>
      </c>
      <c r="J952" s="17">
        <f t="shared" si="25"/>
        <v>0</v>
      </c>
      <c r="K952" s="17"/>
      <c r="L952" s="16" t="s">
        <v>18</v>
      </c>
      <c r="M952" s="16" t="s">
        <v>22</v>
      </c>
      <c r="N952" s="39" t="s">
        <v>418</v>
      </c>
    </row>
    <row r="953" spans="1:14" s="12" customFormat="1" ht="30">
      <c r="A953" s="178" t="s">
        <v>99</v>
      </c>
      <c r="B953" s="75" t="s">
        <v>1089</v>
      </c>
      <c r="C953" s="39" t="s">
        <v>1090</v>
      </c>
      <c r="D953" s="236"/>
      <c r="E953" s="236"/>
      <c r="F953" s="236"/>
      <c r="G953" s="236"/>
      <c r="H953" s="40">
        <f>SUM(Tabla132112416[[#This Row],[PRIMER TRIMESTRE]:[CUARTO TRIMESTRE]])</f>
        <v>0</v>
      </c>
      <c r="I953" s="17">
        <v>50</v>
      </c>
      <c r="J953" s="17">
        <f t="shared" si="25"/>
        <v>0</v>
      </c>
      <c r="K953" s="17"/>
      <c r="L953" s="16" t="s">
        <v>18</v>
      </c>
      <c r="M953" s="16" t="s">
        <v>22</v>
      </c>
      <c r="N953" s="39" t="s">
        <v>418</v>
      </c>
    </row>
    <row r="954" spans="1:14" s="12" customFormat="1" ht="30">
      <c r="A954" s="178" t="s">
        <v>99</v>
      </c>
      <c r="B954" s="75" t="s">
        <v>1091</v>
      </c>
      <c r="C954" s="39" t="s">
        <v>718</v>
      </c>
      <c r="D954" s="236"/>
      <c r="E954" s="236"/>
      <c r="F954" s="236"/>
      <c r="G954" s="236"/>
      <c r="H954" s="40">
        <f>SUM(Tabla132112416[[#This Row],[PRIMER TRIMESTRE]:[CUARTO TRIMESTRE]])</f>
        <v>0</v>
      </c>
      <c r="I954" s="17">
        <v>2000</v>
      </c>
      <c r="J954" s="17">
        <f t="shared" si="25"/>
        <v>0</v>
      </c>
      <c r="K954" s="17"/>
      <c r="L954" s="16" t="s">
        <v>18</v>
      </c>
      <c r="M954" s="16" t="s">
        <v>22</v>
      </c>
      <c r="N954" s="39" t="s">
        <v>418</v>
      </c>
    </row>
    <row r="955" spans="1:14" s="12" customFormat="1" ht="30">
      <c r="A955" s="178" t="s">
        <v>99</v>
      </c>
      <c r="B955" s="75" t="s">
        <v>1092</v>
      </c>
      <c r="C955" s="39" t="s">
        <v>1067</v>
      </c>
      <c r="D955" s="236"/>
      <c r="E955" s="236"/>
      <c r="F955" s="236"/>
      <c r="G955" s="236"/>
      <c r="H955" s="40">
        <f>SUM(Tabla132112416[[#This Row],[PRIMER TRIMESTRE]:[CUARTO TRIMESTRE]])</f>
        <v>0</v>
      </c>
      <c r="I955" s="17">
        <v>200</v>
      </c>
      <c r="J955" s="17">
        <f t="shared" si="25"/>
        <v>0</v>
      </c>
      <c r="K955" s="17"/>
      <c r="L955" s="16" t="s">
        <v>27</v>
      </c>
      <c r="M955" s="16" t="s">
        <v>22</v>
      </c>
      <c r="N955" s="39" t="s">
        <v>418</v>
      </c>
    </row>
    <row r="956" spans="1:14" s="12" customFormat="1" ht="30">
      <c r="A956" s="178" t="s">
        <v>99</v>
      </c>
      <c r="B956" s="75" t="s">
        <v>1093</v>
      </c>
      <c r="C956" s="39" t="s">
        <v>1067</v>
      </c>
      <c r="D956" s="236"/>
      <c r="E956" s="236"/>
      <c r="F956" s="236"/>
      <c r="G956" s="236"/>
      <c r="H956" s="40">
        <f>SUM(Tabla132112416[[#This Row],[PRIMER TRIMESTRE]:[CUARTO TRIMESTRE]])</f>
        <v>0</v>
      </c>
      <c r="I956" s="17">
        <v>100</v>
      </c>
      <c r="J956" s="17">
        <f t="shared" si="25"/>
        <v>0</v>
      </c>
      <c r="K956" s="17"/>
      <c r="L956" s="16" t="s">
        <v>18</v>
      </c>
      <c r="M956" s="16" t="s">
        <v>22</v>
      </c>
      <c r="N956" s="39" t="s">
        <v>418</v>
      </c>
    </row>
    <row r="957" spans="1:14" s="12" customFormat="1" ht="30">
      <c r="A957" s="178" t="s">
        <v>99</v>
      </c>
      <c r="B957" s="75" t="s">
        <v>1094</v>
      </c>
      <c r="C957" s="39" t="s">
        <v>208</v>
      </c>
      <c r="D957" s="236"/>
      <c r="E957" s="236"/>
      <c r="F957" s="236"/>
      <c r="G957" s="236"/>
      <c r="H957" s="40">
        <f>SUM(Tabla132112416[[#This Row],[PRIMER TRIMESTRE]:[CUARTO TRIMESTRE]])</f>
        <v>0</v>
      </c>
      <c r="I957" s="17">
        <v>200</v>
      </c>
      <c r="J957" s="17">
        <f t="shared" si="25"/>
        <v>0</v>
      </c>
      <c r="K957" s="17"/>
      <c r="L957" s="16" t="s">
        <v>18</v>
      </c>
      <c r="M957" s="16" t="s">
        <v>22</v>
      </c>
      <c r="N957" s="39" t="s">
        <v>418</v>
      </c>
    </row>
    <row r="958" spans="1:14" s="12" customFormat="1" ht="30">
      <c r="A958" s="178" t="s">
        <v>99</v>
      </c>
      <c r="B958" s="75" t="s">
        <v>1095</v>
      </c>
      <c r="C958" s="39" t="s">
        <v>208</v>
      </c>
      <c r="D958" s="236"/>
      <c r="E958" s="236"/>
      <c r="F958" s="236"/>
      <c r="G958" s="236"/>
      <c r="H958" s="40">
        <f>SUM(Tabla132112416[[#This Row],[PRIMER TRIMESTRE]:[CUARTO TRIMESTRE]])</f>
        <v>0</v>
      </c>
      <c r="I958" s="17">
        <v>200</v>
      </c>
      <c r="J958" s="17">
        <f t="shared" si="25"/>
        <v>0</v>
      </c>
      <c r="K958" s="17"/>
      <c r="L958" s="16" t="s">
        <v>18</v>
      </c>
      <c r="M958" s="16" t="s">
        <v>22</v>
      </c>
      <c r="N958" s="39" t="s">
        <v>418</v>
      </c>
    </row>
    <row r="959" spans="1:14" s="12" customFormat="1" ht="30">
      <c r="A959" s="178" t="s">
        <v>99</v>
      </c>
      <c r="B959" s="75" t="s">
        <v>1096</v>
      </c>
      <c r="C959" s="39" t="s">
        <v>208</v>
      </c>
      <c r="D959" s="236"/>
      <c r="E959" s="236"/>
      <c r="F959" s="236"/>
      <c r="G959" s="236"/>
      <c r="H959" s="40">
        <f>SUM(Tabla132112416[[#This Row],[PRIMER TRIMESTRE]:[CUARTO TRIMESTRE]])</f>
        <v>0</v>
      </c>
      <c r="I959" s="17">
        <v>500</v>
      </c>
      <c r="J959" s="17">
        <f t="shared" si="25"/>
        <v>0</v>
      </c>
      <c r="K959" s="17"/>
      <c r="L959" s="16" t="s">
        <v>18</v>
      </c>
      <c r="M959" s="16" t="s">
        <v>22</v>
      </c>
      <c r="N959" s="39" t="s">
        <v>418</v>
      </c>
    </row>
    <row r="960" spans="1:14" s="12" customFormat="1" ht="30">
      <c r="A960" s="178" t="s">
        <v>99</v>
      </c>
      <c r="B960" s="75" t="s">
        <v>1098</v>
      </c>
      <c r="C960" s="39" t="s">
        <v>1099</v>
      </c>
      <c r="D960" s="236"/>
      <c r="E960" s="236"/>
      <c r="F960" s="236"/>
      <c r="G960" s="236"/>
      <c r="H960" s="40">
        <f>SUM(Tabla132112416[[#This Row],[PRIMER TRIMESTRE]:[CUARTO TRIMESTRE]])</f>
        <v>0</v>
      </c>
      <c r="I960" s="17">
        <v>115</v>
      </c>
      <c r="J960" s="17">
        <f t="shared" si="25"/>
        <v>0</v>
      </c>
      <c r="K960" s="17"/>
      <c r="L960" s="16" t="s">
        <v>18</v>
      </c>
      <c r="M960" s="16" t="s">
        <v>22</v>
      </c>
      <c r="N960" s="39" t="s">
        <v>418</v>
      </c>
    </row>
    <row r="961" spans="1:14" s="12" customFormat="1" ht="30">
      <c r="A961" s="178" t="s">
        <v>99</v>
      </c>
      <c r="B961" s="75" t="s">
        <v>1100</v>
      </c>
      <c r="C961" s="39" t="s">
        <v>1067</v>
      </c>
      <c r="D961" s="236"/>
      <c r="E961" s="236"/>
      <c r="F961" s="236"/>
      <c r="G961" s="236"/>
      <c r="H961" s="40">
        <f>SUM(Tabla132112416[[#This Row],[PRIMER TRIMESTRE]:[CUARTO TRIMESTRE]])</f>
        <v>0</v>
      </c>
      <c r="I961" s="17">
        <v>50</v>
      </c>
      <c r="J961" s="17">
        <f t="shared" si="25"/>
        <v>0</v>
      </c>
      <c r="K961" s="17"/>
      <c r="L961" s="16" t="s">
        <v>18</v>
      </c>
      <c r="M961" s="16" t="s">
        <v>22</v>
      </c>
      <c r="N961" s="39" t="s">
        <v>418</v>
      </c>
    </row>
    <row r="962" spans="1:14" s="12" customFormat="1" ht="30">
      <c r="A962" s="178" t="s">
        <v>99</v>
      </c>
      <c r="B962" s="75" t="s">
        <v>1101</v>
      </c>
      <c r="C962" s="39" t="s">
        <v>35</v>
      </c>
      <c r="D962" s="236"/>
      <c r="E962" s="236"/>
      <c r="F962" s="236"/>
      <c r="G962" s="236"/>
      <c r="H962" s="40">
        <f>SUM(Tabla132112416[[#This Row],[PRIMER TRIMESTRE]:[CUARTO TRIMESTRE]])</f>
        <v>0</v>
      </c>
      <c r="I962" s="17">
        <v>2000</v>
      </c>
      <c r="J962" s="17">
        <f t="shared" si="25"/>
        <v>0</v>
      </c>
      <c r="K962" s="17"/>
      <c r="L962" s="16" t="s">
        <v>18</v>
      </c>
      <c r="M962" s="16" t="s">
        <v>22</v>
      </c>
      <c r="N962" s="39" t="s">
        <v>418</v>
      </c>
    </row>
    <row r="963" spans="1:14" s="12" customFormat="1" ht="30">
      <c r="A963" s="178" t="s">
        <v>99</v>
      </c>
      <c r="B963" s="75" t="s">
        <v>1626</v>
      </c>
      <c r="C963" s="39" t="s">
        <v>35</v>
      </c>
      <c r="D963" s="236"/>
      <c r="E963" s="236"/>
      <c r="F963" s="236"/>
      <c r="G963" s="236"/>
      <c r="H963" s="236">
        <f>SUM(Tabla132112416[[#This Row],[PRIMER TRIMESTRE]:[CUARTO TRIMESTRE]])</f>
        <v>0</v>
      </c>
      <c r="I963" s="17">
        <v>2850</v>
      </c>
      <c r="J963" s="17">
        <f t="shared" si="25"/>
        <v>0</v>
      </c>
      <c r="K963" s="17"/>
      <c r="L963" s="16" t="s">
        <v>18</v>
      </c>
      <c r="M963" s="16" t="s">
        <v>22</v>
      </c>
      <c r="N963" s="39" t="s">
        <v>418</v>
      </c>
    </row>
    <row r="964" spans="1:14" s="12" customFormat="1" ht="30">
      <c r="A964" s="178" t="s">
        <v>99</v>
      </c>
      <c r="B964" s="75" t="s">
        <v>1102</v>
      </c>
      <c r="C964" s="39" t="s">
        <v>1065</v>
      </c>
      <c r="D964" s="236"/>
      <c r="E964" s="236"/>
      <c r="F964" s="236"/>
      <c r="G964" s="236"/>
      <c r="H964" s="40">
        <f>SUM(Tabla132112416[[#This Row],[PRIMER TRIMESTRE]:[CUARTO TRIMESTRE]])</f>
        <v>0</v>
      </c>
      <c r="I964" s="17">
        <v>100</v>
      </c>
      <c r="J964" s="17">
        <f t="shared" si="25"/>
        <v>0</v>
      </c>
      <c r="K964" s="17"/>
      <c r="L964" s="16" t="s">
        <v>18</v>
      </c>
      <c r="M964" s="16" t="s">
        <v>22</v>
      </c>
      <c r="N964" s="39" t="s">
        <v>418</v>
      </c>
    </row>
    <row r="965" spans="1:14" s="12" customFormat="1" ht="30">
      <c r="A965" s="178" t="s">
        <v>99</v>
      </c>
      <c r="B965" s="75" t="s">
        <v>1103</v>
      </c>
      <c r="C965" s="39" t="s">
        <v>1065</v>
      </c>
      <c r="D965" s="236"/>
      <c r="E965" s="236"/>
      <c r="F965" s="236"/>
      <c r="G965" s="236"/>
      <c r="H965" s="40">
        <f>SUM(Tabla132112416[[#This Row],[PRIMER TRIMESTRE]:[CUARTO TRIMESTRE]])</f>
        <v>0</v>
      </c>
      <c r="I965" s="17">
        <v>100</v>
      </c>
      <c r="J965" s="17">
        <f t="shared" ref="J965:J1021" si="26">+H965*I965</f>
        <v>0</v>
      </c>
      <c r="K965" s="17"/>
      <c r="L965" s="16" t="s">
        <v>18</v>
      </c>
      <c r="M965" s="16" t="s">
        <v>22</v>
      </c>
      <c r="N965" s="39" t="s">
        <v>418</v>
      </c>
    </row>
    <row r="966" spans="1:14" s="12" customFormat="1" ht="30">
      <c r="A966" s="178" t="s">
        <v>99</v>
      </c>
      <c r="B966" s="75" t="s">
        <v>1104</v>
      </c>
      <c r="C966" s="39" t="s">
        <v>102</v>
      </c>
      <c r="D966" s="236"/>
      <c r="E966" s="236"/>
      <c r="F966" s="236"/>
      <c r="G966" s="236"/>
      <c r="H966" s="40">
        <f>SUM(Tabla132112416[[#This Row],[PRIMER TRIMESTRE]:[CUARTO TRIMESTRE]])</f>
        <v>0</v>
      </c>
      <c r="I966" s="17">
        <v>600</v>
      </c>
      <c r="J966" s="17">
        <f t="shared" si="26"/>
        <v>0</v>
      </c>
      <c r="K966" s="17"/>
      <c r="L966" s="16" t="s">
        <v>18</v>
      </c>
      <c r="M966" s="16" t="s">
        <v>22</v>
      </c>
      <c r="N966" s="39" t="s">
        <v>418</v>
      </c>
    </row>
    <row r="967" spans="1:14" s="12" customFormat="1" ht="30">
      <c r="A967" s="178" t="s">
        <v>99</v>
      </c>
      <c r="B967" s="75" t="s">
        <v>1106</v>
      </c>
      <c r="C967" s="39" t="s">
        <v>149</v>
      </c>
      <c r="D967" s="236"/>
      <c r="E967" s="236"/>
      <c r="F967" s="236"/>
      <c r="G967" s="236"/>
      <c r="H967" s="40">
        <f>SUM(Tabla132112416[[#This Row],[PRIMER TRIMESTRE]:[CUARTO TRIMESTRE]])</f>
        <v>0</v>
      </c>
      <c r="I967" s="17">
        <v>80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</row>
    <row r="968" spans="1:14" s="12" customFormat="1" ht="30">
      <c r="A968" s="178" t="s">
        <v>99</v>
      </c>
      <c r="B968" s="75" t="s">
        <v>1107</v>
      </c>
      <c r="C968" s="39" t="s">
        <v>149</v>
      </c>
      <c r="D968" s="236"/>
      <c r="E968" s="236"/>
      <c r="F968" s="236"/>
      <c r="G968" s="236"/>
      <c r="H968" s="40">
        <f>SUM(Tabla132112416[[#This Row],[PRIMER TRIMESTRE]:[CUARTO TRIMESTRE]])</f>
        <v>0</v>
      </c>
      <c r="I968" s="17">
        <v>80</v>
      </c>
      <c r="J968" s="17">
        <f t="shared" si="26"/>
        <v>0</v>
      </c>
      <c r="K968" s="17"/>
      <c r="L968" s="16" t="s">
        <v>18</v>
      </c>
      <c r="M968" s="16" t="s">
        <v>22</v>
      </c>
      <c r="N968" s="39" t="s">
        <v>418</v>
      </c>
    </row>
    <row r="969" spans="1:14" s="12" customFormat="1" ht="30">
      <c r="A969" s="178" t="s">
        <v>99</v>
      </c>
      <c r="B969" s="75" t="s">
        <v>306</v>
      </c>
      <c r="C969" s="39" t="s">
        <v>290</v>
      </c>
      <c r="D969" s="236"/>
      <c r="E969" s="236"/>
      <c r="F969" s="236"/>
      <c r="G969" s="236"/>
      <c r="H969" s="40">
        <f>SUM(Tabla132112416[[#This Row],[PRIMER TRIMESTRE]:[CUARTO TRIMESTRE]])</f>
        <v>0</v>
      </c>
      <c r="I969" s="17">
        <v>200</v>
      </c>
      <c r="J969" s="17">
        <f t="shared" si="26"/>
        <v>0</v>
      </c>
      <c r="K969" s="17"/>
      <c r="L969" s="16" t="s">
        <v>18</v>
      </c>
      <c r="M969" s="16" t="s">
        <v>22</v>
      </c>
      <c r="N969" s="39" t="s">
        <v>418</v>
      </c>
    </row>
    <row r="970" spans="1:14" s="12" customFormat="1" ht="76.5">
      <c r="A970" s="178" t="s">
        <v>99</v>
      </c>
      <c r="B970" s="75" t="s">
        <v>1108</v>
      </c>
      <c r="C970" s="39" t="s">
        <v>1067</v>
      </c>
      <c r="D970" s="236"/>
      <c r="E970" s="236"/>
      <c r="F970" s="236"/>
      <c r="G970" s="236"/>
      <c r="H970" s="40">
        <f>SUM(Tabla132112416[[#This Row],[PRIMER TRIMESTRE]:[CUARTO TRIMESTRE]])</f>
        <v>0</v>
      </c>
      <c r="I970" s="17">
        <v>3000</v>
      </c>
      <c r="J970" s="17">
        <f t="shared" si="26"/>
        <v>0</v>
      </c>
      <c r="K970" s="17"/>
      <c r="L970" s="16" t="s">
        <v>18</v>
      </c>
      <c r="M970" s="16" t="s">
        <v>22</v>
      </c>
      <c r="N970" s="39" t="s">
        <v>418</v>
      </c>
    </row>
    <row r="971" spans="1:14" s="12" customFormat="1" ht="51">
      <c r="A971" s="178" t="s">
        <v>99</v>
      </c>
      <c r="B971" s="75" t="s">
        <v>1109</v>
      </c>
      <c r="C971" s="39" t="s">
        <v>1067</v>
      </c>
      <c r="D971" s="236"/>
      <c r="E971" s="236"/>
      <c r="F971" s="236"/>
      <c r="G971" s="236"/>
      <c r="H971" s="40">
        <f>SUM(Tabla132112416[[#This Row],[PRIMER TRIMESTRE]:[CUARTO TRIMESTRE]])</f>
        <v>0</v>
      </c>
      <c r="I971" s="17">
        <v>2000</v>
      </c>
      <c r="J971" s="17">
        <f t="shared" si="26"/>
        <v>0</v>
      </c>
      <c r="K971" s="17"/>
      <c r="L971" s="16" t="s">
        <v>18</v>
      </c>
      <c r="M971" s="16" t="s">
        <v>22</v>
      </c>
      <c r="N971" s="39" t="s">
        <v>418</v>
      </c>
    </row>
    <row r="972" spans="1:14" s="12" customFormat="1" ht="51">
      <c r="A972" s="178" t="s">
        <v>99</v>
      </c>
      <c r="B972" s="75" t="s">
        <v>1110</v>
      </c>
      <c r="C972" s="39" t="s">
        <v>1067</v>
      </c>
      <c r="D972" s="236"/>
      <c r="E972" s="236"/>
      <c r="F972" s="236"/>
      <c r="G972" s="236"/>
      <c r="H972" s="40">
        <f>SUM(Tabla132112416[[#This Row],[PRIMER TRIMESTRE]:[CUARTO TRIMESTRE]])</f>
        <v>0</v>
      </c>
      <c r="I972" s="17">
        <v>2000</v>
      </c>
      <c r="J972" s="17">
        <f t="shared" si="26"/>
        <v>0</v>
      </c>
      <c r="K972" s="17"/>
      <c r="L972" s="16" t="s">
        <v>18</v>
      </c>
      <c r="M972" s="16" t="s">
        <v>22</v>
      </c>
      <c r="N972" s="39" t="s">
        <v>418</v>
      </c>
    </row>
    <row r="973" spans="1:14" s="12" customFormat="1" ht="51">
      <c r="A973" s="178" t="s">
        <v>99</v>
      </c>
      <c r="B973" s="75" t="s">
        <v>1111</v>
      </c>
      <c r="C973" s="39" t="s">
        <v>1067</v>
      </c>
      <c r="D973" s="236"/>
      <c r="E973" s="236"/>
      <c r="F973" s="236"/>
      <c r="G973" s="236"/>
      <c r="H973" s="40">
        <f>SUM(Tabla132112416[[#This Row],[PRIMER TRIMESTRE]:[CUARTO TRIMESTRE]])</f>
        <v>0</v>
      </c>
      <c r="I973" s="17">
        <v>2000</v>
      </c>
      <c r="J973" s="17">
        <f t="shared" si="26"/>
        <v>0</v>
      </c>
      <c r="K973" s="17"/>
      <c r="L973" s="16" t="s">
        <v>18</v>
      </c>
      <c r="M973" s="16" t="s">
        <v>22</v>
      </c>
      <c r="N973" s="39" t="s">
        <v>418</v>
      </c>
    </row>
    <row r="974" spans="1:14" s="12" customFormat="1" ht="38.25">
      <c r="A974" s="178" t="s">
        <v>99</v>
      </c>
      <c r="B974" s="75" t="s">
        <v>1112</v>
      </c>
      <c r="C974" s="39" t="s">
        <v>1067</v>
      </c>
      <c r="D974" s="236"/>
      <c r="E974" s="236"/>
      <c r="F974" s="236"/>
      <c r="G974" s="236"/>
      <c r="H974" s="40">
        <f>SUM(Tabla132112416[[#This Row],[PRIMER TRIMESTRE]:[CUARTO TRIMESTRE]])</f>
        <v>0</v>
      </c>
      <c r="I974" s="17">
        <v>20000</v>
      </c>
      <c r="J974" s="17">
        <f t="shared" si="26"/>
        <v>0</v>
      </c>
      <c r="K974" s="17"/>
      <c r="L974" s="16" t="s">
        <v>18</v>
      </c>
      <c r="M974" s="16" t="s">
        <v>22</v>
      </c>
      <c r="N974" s="39" t="s">
        <v>418</v>
      </c>
    </row>
    <row r="975" spans="1:14" s="12" customFormat="1" ht="38.25">
      <c r="A975" s="178" t="s">
        <v>99</v>
      </c>
      <c r="B975" s="75" t="s">
        <v>1113</v>
      </c>
      <c r="C975" s="39" t="s">
        <v>1067</v>
      </c>
      <c r="D975" s="236"/>
      <c r="E975" s="236"/>
      <c r="F975" s="236"/>
      <c r="G975" s="236"/>
      <c r="H975" s="40">
        <f>SUM(Tabla132112416[[#This Row],[PRIMER TRIMESTRE]:[CUARTO TRIMESTRE]])</f>
        <v>0</v>
      </c>
      <c r="I975" s="17">
        <v>5000</v>
      </c>
      <c r="J975" s="17">
        <f t="shared" si="26"/>
        <v>0</v>
      </c>
      <c r="K975" s="17"/>
      <c r="L975" s="16" t="s">
        <v>18</v>
      </c>
      <c r="M975" s="16" t="s">
        <v>22</v>
      </c>
      <c r="N975" s="39" t="s">
        <v>418</v>
      </c>
    </row>
    <row r="976" spans="1:14" s="12" customFormat="1" ht="38.25">
      <c r="A976" s="178" t="s">
        <v>99</v>
      </c>
      <c r="B976" s="75" t="s">
        <v>1114</v>
      </c>
      <c r="C976" s="39" t="s">
        <v>1067</v>
      </c>
      <c r="D976" s="236"/>
      <c r="E976" s="236"/>
      <c r="F976" s="236"/>
      <c r="G976" s="236"/>
      <c r="H976" s="40">
        <f>SUM(Tabla132112416[[#This Row],[PRIMER TRIMESTRE]:[CUARTO TRIMESTRE]])</f>
        <v>0</v>
      </c>
      <c r="I976" s="17">
        <v>80000</v>
      </c>
      <c r="J976" s="17">
        <f t="shared" si="26"/>
        <v>0</v>
      </c>
      <c r="K976" s="17"/>
      <c r="L976" s="16" t="s">
        <v>18</v>
      </c>
      <c r="M976" s="16" t="s">
        <v>22</v>
      </c>
      <c r="N976" s="39" t="s">
        <v>418</v>
      </c>
    </row>
    <row r="977" spans="1:14" s="12" customFormat="1" ht="38.25">
      <c r="A977" s="178" t="s">
        <v>99</v>
      </c>
      <c r="B977" s="75" t="s">
        <v>1115</v>
      </c>
      <c r="C977" s="39" t="s">
        <v>1067</v>
      </c>
      <c r="D977" s="236"/>
      <c r="E977" s="236"/>
      <c r="F977" s="236"/>
      <c r="G977" s="236"/>
      <c r="H977" s="40">
        <f>SUM(Tabla132112416[[#This Row],[PRIMER TRIMESTRE]:[CUARTO TRIMESTRE]])</f>
        <v>0</v>
      </c>
      <c r="I977" s="17">
        <v>38000</v>
      </c>
      <c r="J977" s="17">
        <f t="shared" si="26"/>
        <v>0</v>
      </c>
      <c r="K977" s="17"/>
      <c r="L977" s="16" t="s">
        <v>18</v>
      </c>
      <c r="M977" s="16" t="s">
        <v>22</v>
      </c>
      <c r="N977" s="39" t="s">
        <v>418</v>
      </c>
    </row>
    <row r="978" spans="1:14" s="12" customFormat="1" ht="30">
      <c r="A978" s="178" t="s">
        <v>99</v>
      </c>
      <c r="B978" s="75" t="s">
        <v>1116</v>
      </c>
      <c r="C978" s="39" t="s">
        <v>1067</v>
      </c>
      <c r="D978" s="236"/>
      <c r="E978" s="236"/>
      <c r="F978" s="236"/>
      <c r="G978" s="236"/>
      <c r="H978" s="40">
        <f>SUM(Tabla132112416[[#This Row],[PRIMER TRIMESTRE]:[CUARTO TRIMESTRE]])</f>
        <v>0</v>
      </c>
      <c r="I978" s="17">
        <v>52000</v>
      </c>
      <c r="J978" s="17">
        <f t="shared" si="26"/>
        <v>0</v>
      </c>
      <c r="K978" s="17"/>
      <c r="L978" s="16" t="s">
        <v>18</v>
      </c>
      <c r="M978" s="16" t="s">
        <v>22</v>
      </c>
      <c r="N978" s="39" t="s">
        <v>418</v>
      </c>
    </row>
    <row r="979" spans="1:14" s="12" customFormat="1" ht="30">
      <c r="A979" s="178" t="s">
        <v>99</v>
      </c>
      <c r="B979" s="75" t="s">
        <v>1117</v>
      </c>
      <c r="C979" s="39" t="s">
        <v>1067</v>
      </c>
      <c r="D979" s="236"/>
      <c r="E979" s="236"/>
      <c r="F979" s="236"/>
      <c r="G979" s="236"/>
      <c r="H979" s="40">
        <f>SUM(Tabla132112416[[#This Row],[PRIMER TRIMESTRE]:[CUARTO TRIMESTRE]])</f>
        <v>0</v>
      </c>
      <c r="I979" s="17">
        <v>4000</v>
      </c>
      <c r="J979" s="17">
        <f t="shared" si="26"/>
        <v>0</v>
      </c>
      <c r="K979" s="17"/>
      <c r="L979" s="16" t="s">
        <v>18</v>
      </c>
      <c r="M979" s="16" t="s">
        <v>22</v>
      </c>
      <c r="N979" s="39" t="s">
        <v>418</v>
      </c>
    </row>
    <row r="980" spans="1:14" s="12" customFormat="1" ht="30">
      <c r="A980" s="178" t="s">
        <v>99</v>
      </c>
      <c r="B980" s="75" t="s">
        <v>1118</v>
      </c>
      <c r="C980" s="39" t="s">
        <v>1067</v>
      </c>
      <c r="D980" s="236"/>
      <c r="E980" s="236"/>
      <c r="F980" s="236"/>
      <c r="G980" s="236"/>
      <c r="H980" s="40">
        <f>SUM(Tabla132112416[[#This Row],[PRIMER TRIMESTRE]:[CUARTO TRIMESTRE]])</f>
        <v>0</v>
      </c>
      <c r="I980" s="17">
        <v>8000</v>
      </c>
      <c r="J980" s="17">
        <f t="shared" si="26"/>
        <v>0</v>
      </c>
      <c r="K980" s="17"/>
      <c r="L980" s="16" t="s">
        <v>18</v>
      </c>
      <c r="M980" s="16" t="s">
        <v>22</v>
      </c>
      <c r="N980" s="39" t="s">
        <v>418</v>
      </c>
    </row>
    <row r="981" spans="1:14" s="12" customFormat="1" ht="30">
      <c r="A981" s="178" t="s">
        <v>99</v>
      </c>
      <c r="B981" s="75" t="s">
        <v>1119</v>
      </c>
      <c r="C981" s="39" t="s">
        <v>1067</v>
      </c>
      <c r="D981" s="236"/>
      <c r="E981" s="236"/>
      <c r="F981" s="236"/>
      <c r="G981" s="236"/>
      <c r="H981" s="40">
        <f>SUM(Tabla132112416[[#This Row],[PRIMER TRIMESTRE]:[CUARTO TRIMESTRE]])</f>
        <v>0</v>
      </c>
      <c r="I981" s="17">
        <v>350000</v>
      </c>
      <c r="J981" s="17">
        <f t="shared" si="26"/>
        <v>0</v>
      </c>
      <c r="K981" s="17"/>
      <c r="L981" s="16" t="s">
        <v>18</v>
      </c>
      <c r="M981" s="16" t="s">
        <v>22</v>
      </c>
      <c r="N981" s="39" t="s">
        <v>418</v>
      </c>
    </row>
    <row r="982" spans="1:14" s="12" customFormat="1" ht="30">
      <c r="A982" s="178" t="s">
        <v>99</v>
      </c>
      <c r="B982" s="75" t="s">
        <v>1120</v>
      </c>
      <c r="C982" s="39" t="s">
        <v>1067</v>
      </c>
      <c r="D982" s="236"/>
      <c r="E982" s="236"/>
      <c r="F982" s="236"/>
      <c r="G982" s="236"/>
      <c r="H982" s="40">
        <f>SUM(Tabla132112416[[#This Row],[PRIMER TRIMESTRE]:[CUARTO TRIMESTRE]])</f>
        <v>0</v>
      </c>
      <c r="I982" s="17">
        <v>21000</v>
      </c>
      <c r="J982" s="17">
        <f t="shared" si="26"/>
        <v>0</v>
      </c>
      <c r="K982" s="17"/>
      <c r="L982" s="16" t="s">
        <v>18</v>
      </c>
      <c r="M982" s="16" t="s">
        <v>22</v>
      </c>
      <c r="N982" s="39" t="s">
        <v>418</v>
      </c>
    </row>
    <row r="983" spans="1:14" s="12" customFormat="1" ht="89.25">
      <c r="A983" s="178" t="s">
        <v>99</v>
      </c>
      <c r="B983" s="75" t="s">
        <v>1121</v>
      </c>
      <c r="C983" s="39" t="s">
        <v>1067</v>
      </c>
      <c r="D983" s="236"/>
      <c r="E983" s="236"/>
      <c r="F983" s="236"/>
      <c r="G983" s="236"/>
      <c r="H983" s="40">
        <f>SUM(Tabla132112416[[#This Row],[PRIMER TRIMESTRE]:[CUARTO TRIMESTRE]])</f>
        <v>0</v>
      </c>
      <c r="I983" s="17">
        <v>300000</v>
      </c>
      <c r="J983" s="17">
        <f t="shared" si="26"/>
        <v>0</v>
      </c>
      <c r="K983" s="17"/>
      <c r="L983" s="16" t="s">
        <v>18</v>
      </c>
      <c r="M983" s="16" t="s">
        <v>22</v>
      </c>
      <c r="N983" s="39" t="s">
        <v>418</v>
      </c>
    </row>
    <row r="984" spans="1:14" s="12" customFormat="1" ht="30">
      <c r="A984" s="178" t="s">
        <v>99</v>
      </c>
      <c r="B984" s="75" t="s">
        <v>1122</v>
      </c>
      <c r="C984" s="39" t="s">
        <v>1067</v>
      </c>
      <c r="D984" s="236"/>
      <c r="E984" s="236"/>
      <c r="F984" s="236"/>
      <c r="G984" s="236"/>
      <c r="H984" s="40">
        <f>SUM(Tabla132112416[[#This Row],[PRIMER TRIMESTRE]:[CUARTO TRIMESTRE]])</f>
        <v>0</v>
      </c>
      <c r="I984" s="17">
        <v>12000</v>
      </c>
      <c r="J984" s="17">
        <f t="shared" si="26"/>
        <v>0</v>
      </c>
      <c r="K984" s="17"/>
      <c r="L984" s="16" t="s">
        <v>18</v>
      </c>
      <c r="M984" s="16" t="s">
        <v>22</v>
      </c>
      <c r="N984" s="39" t="s">
        <v>418</v>
      </c>
    </row>
    <row r="985" spans="1:14" s="12" customFormat="1" ht="30">
      <c r="A985" s="178" t="s">
        <v>99</v>
      </c>
      <c r="B985" s="75" t="s">
        <v>1123</v>
      </c>
      <c r="C985" s="39" t="s">
        <v>1067</v>
      </c>
      <c r="D985" s="236"/>
      <c r="E985" s="236"/>
      <c r="F985" s="236"/>
      <c r="G985" s="236"/>
      <c r="H985" s="40">
        <f>SUM(Tabla132112416[[#This Row],[PRIMER TRIMESTRE]:[CUARTO TRIMESTRE]])</f>
        <v>0</v>
      </c>
      <c r="I985" s="17">
        <v>10000</v>
      </c>
      <c r="J985" s="17">
        <f t="shared" si="26"/>
        <v>0</v>
      </c>
      <c r="K985" s="17"/>
      <c r="L985" s="16" t="s">
        <v>18</v>
      </c>
      <c r="M985" s="16" t="s">
        <v>22</v>
      </c>
      <c r="N985" s="39" t="s">
        <v>418</v>
      </c>
    </row>
    <row r="986" spans="1:14" s="12" customFormat="1" ht="30">
      <c r="A986" s="178" t="s">
        <v>99</v>
      </c>
      <c r="B986" s="75" t="s">
        <v>1124</v>
      </c>
      <c r="C986" s="39" t="s">
        <v>1067</v>
      </c>
      <c r="D986" s="236"/>
      <c r="E986" s="236"/>
      <c r="F986" s="236"/>
      <c r="G986" s="236"/>
      <c r="H986" s="40">
        <f>SUM(Tabla132112416[[#This Row],[PRIMER TRIMESTRE]:[CUARTO TRIMESTRE]])</f>
        <v>0</v>
      </c>
      <c r="I986" s="17">
        <v>5000</v>
      </c>
      <c r="J986" s="17">
        <f t="shared" si="26"/>
        <v>0</v>
      </c>
      <c r="K986" s="17"/>
      <c r="L986" s="16" t="s">
        <v>18</v>
      </c>
      <c r="M986" s="16" t="s">
        <v>22</v>
      </c>
      <c r="N986" s="39" t="s">
        <v>418</v>
      </c>
    </row>
    <row r="987" spans="1:14" s="12" customFormat="1" ht="30">
      <c r="A987" s="178" t="s">
        <v>99</v>
      </c>
      <c r="B987" s="75" t="s">
        <v>1125</v>
      </c>
      <c r="C987" s="39" t="s">
        <v>1067</v>
      </c>
      <c r="D987" s="236"/>
      <c r="E987" s="236"/>
      <c r="F987" s="236"/>
      <c r="G987" s="236"/>
      <c r="H987" s="40">
        <f>SUM(Tabla132112416[[#This Row],[PRIMER TRIMESTRE]:[CUARTO TRIMESTRE]])</f>
        <v>0</v>
      </c>
      <c r="I987" s="17">
        <v>5000</v>
      </c>
      <c r="J987" s="17">
        <f t="shared" si="26"/>
        <v>0</v>
      </c>
      <c r="K987" s="17"/>
      <c r="L987" s="16" t="s">
        <v>18</v>
      </c>
      <c r="M987" s="16" t="s">
        <v>22</v>
      </c>
      <c r="N987" s="39" t="s">
        <v>418</v>
      </c>
    </row>
    <row r="988" spans="1:14" s="12" customFormat="1" ht="30">
      <c r="A988" s="178" t="s">
        <v>99</v>
      </c>
      <c r="B988" s="75" t="s">
        <v>1126</v>
      </c>
      <c r="C988" s="39" t="s">
        <v>1067</v>
      </c>
      <c r="D988" s="236"/>
      <c r="E988" s="236"/>
      <c r="F988" s="236"/>
      <c r="G988" s="236"/>
      <c r="H988" s="40">
        <f>SUM(Tabla132112416[[#This Row],[PRIMER TRIMESTRE]:[CUARTO TRIMESTRE]])</f>
        <v>0</v>
      </c>
      <c r="I988" s="17">
        <v>3000</v>
      </c>
      <c r="J988" s="17">
        <f t="shared" si="26"/>
        <v>0</v>
      </c>
      <c r="K988" s="17"/>
      <c r="L988" s="16" t="s">
        <v>18</v>
      </c>
      <c r="M988" s="16" t="s">
        <v>22</v>
      </c>
      <c r="N988" s="39" t="s">
        <v>418</v>
      </c>
    </row>
    <row r="989" spans="1:14" s="12" customFormat="1" ht="30">
      <c r="A989" s="178" t="s">
        <v>99</v>
      </c>
      <c r="B989" s="75" t="s">
        <v>1093</v>
      </c>
      <c r="C989" s="39" t="s">
        <v>1067</v>
      </c>
      <c r="D989" s="236"/>
      <c r="E989" s="236"/>
      <c r="F989" s="236"/>
      <c r="G989" s="236"/>
      <c r="H989" s="40">
        <f>SUM(Tabla132112416[[#This Row],[PRIMER TRIMESTRE]:[CUARTO TRIMESTRE]])</f>
        <v>0</v>
      </c>
      <c r="I989" s="17">
        <v>250</v>
      </c>
      <c r="J989" s="17">
        <f t="shared" si="26"/>
        <v>0</v>
      </c>
      <c r="K989" s="17"/>
      <c r="L989" s="16" t="s">
        <v>18</v>
      </c>
      <c r="M989" s="16" t="s">
        <v>22</v>
      </c>
      <c r="N989" s="39" t="s">
        <v>418</v>
      </c>
    </row>
    <row r="990" spans="1:14" s="12" customFormat="1" ht="30">
      <c r="A990" s="178" t="s">
        <v>99</v>
      </c>
      <c r="B990" s="75" t="s">
        <v>1127</v>
      </c>
      <c r="C990" s="39" t="s">
        <v>1067</v>
      </c>
      <c r="D990" s="236"/>
      <c r="E990" s="236"/>
      <c r="F990" s="236"/>
      <c r="G990" s="236"/>
      <c r="H990" s="40">
        <f>SUM(Tabla132112416[[#This Row],[PRIMER TRIMESTRE]:[CUARTO TRIMESTRE]])</f>
        <v>0</v>
      </c>
      <c r="I990" s="17">
        <v>80000</v>
      </c>
      <c r="J990" s="17">
        <f t="shared" si="26"/>
        <v>0</v>
      </c>
      <c r="K990" s="17"/>
      <c r="L990" s="16" t="s">
        <v>18</v>
      </c>
      <c r="M990" s="16" t="s">
        <v>22</v>
      </c>
      <c r="N990" s="39" t="s">
        <v>418</v>
      </c>
    </row>
    <row r="991" spans="1:14" s="12" customFormat="1" ht="30">
      <c r="A991" s="178" t="s">
        <v>99</v>
      </c>
      <c r="B991" s="75" t="s">
        <v>1128</v>
      </c>
      <c r="C991" s="39" t="s">
        <v>1067</v>
      </c>
      <c r="D991" s="236"/>
      <c r="E991" s="236"/>
      <c r="F991" s="236"/>
      <c r="G991" s="236"/>
      <c r="H991" s="40">
        <f>SUM(Tabla132112416[[#This Row],[PRIMER TRIMESTRE]:[CUARTO TRIMESTRE]])</f>
        <v>0</v>
      </c>
      <c r="I991" s="17">
        <v>1500</v>
      </c>
      <c r="J991" s="17">
        <f t="shared" si="26"/>
        <v>0</v>
      </c>
      <c r="K991" s="17"/>
      <c r="L991" s="16" t="s">
        <v>18</v>
      </c>
      <c r="M991" s="16" t="s">
        <v>22</v>
      </c>
      <c r="N991" s="39" t="s">
        <v>418</v>
      </c>
    </row>
    <row r="992" spans="1:14" s="12" customFormat="1" ht="30">
      <c r="A992" s="178" t="s">
        <v>99</v>
      </c>
      <c r="B992" s="75" t="s">
        <v>1129</v>
      </c>
      <c r="C992" s="39" t="s">
        <v>1067</v>
      </c>
      <c r="D992" s="236"/>
      <c r="E992" s="236"/>
      <c r="F992" s="236"/>
      <c r="G992" s="236"/>
      <c r="H992" s="40">
        <f>SUM(Tabla132112416[[#This Row],[PRIMER TRIMESTRE]:[CUARTO TRIMESTRE]])</f>
        <v>0</v>
      </c>
      <c r="I992" s="17">
        <v>1000</v>
      </c>
      <c r="J992" s="17">
        <f t="shared" si="26"/>
        <v>0</v>
      </c>
      <c r="K992" s="17"/>
      <c r="L992" s="16" t="s">
        <v>18</v>
      </c>
      <c r="M992" s="16" t="s">
        <v>22</v>
      </c>
      <c r="N992" s="39" t="s">
        <v>418</v>
      </c>
    </row>
    <row r="993" spans="1:14" s="12" customFormat="1" ht="30">
      <c r="A993" s="178" t="s">
        <v>99</v>
      </c>
      <c r="B993" s="75" t="s">
        <v>1130</v>
      </c>
      <c r="C993" s="39" t="s">
        <v>1067</v>
      </c>
      <c r="D993" s="236"/>
      <c r="E993" s="236"/>
      <c r="F993" s="236"/>
      <c r="G993" s="236"/>
      <c r="H993" s="40">
        <f>SUM(Tabla132112416[[#This Row],[PRIMER TRIMESTRE]:[CUARTO TRIMESTRE]])</f>
        <v>0</v>
      </c>
      <c r="I993" s="17">
        <v>2000</v>
      </c>
      <c r="J993" s="17">
        <f t="shared" si="26"/>
        <v>0</v>
      </c>
      <c r="K993" s="17"/>
      <c r="L993" s="16" t="s">
        <v>18</v>
      </c>
      <c r="M993" s="16" t="s">
        <v>22</v>
      </c>
      <c r="N993" s="39" t="s">
        <v>418</v>
      </c>
    </row>
    <row r="994" spans="1:14" s="12" customFormat="1" ht="30">
      <c r="A994" s="178" t="s">
        <v>99</v>
      </c>
      <c r="B994" s="75" t="s">
        <v>1131</v>
      </c>
      <c r="C994" s="39" t="s">
        <v>1067</v>
      </c>
      <c r="D994" s="236"/>
      <c r="E994" s="236"/>
      <c r="F994" s="236"/>
      <c r="G994" s="236"/>
      <c r="H994" s="40">
        <f>SUM(Tabla132112416[[#This Row],[PRIMER TRIMESTRE]:[CUARTO TRIMESTRE]])</f>
        <v>0</v>
      </c>
      <c r="I994" s="17">
        <v>300</v>
      </c>
      <c r="J994" s="17">
        <f t="shared" si="26"/>
        <v>0</v>
      </c>
      <c r="K994" s="17"/>
      <c r="L994" s="16" t="s">
        <v>18</v>
      </c>
      <c r="M994" s="16" t="s">
        <v>22</v>
      </c>
      <c r="N994" s="39" t="s">
        <v>418</v>
      </c>
    </row>
    <row r="995" spans="1:14" s="12" customFormat="1" ht="30">
      <c r="A995" s="178" t="s">
        <v>99</v>
      </c>
      <c r="B995" s="75" t="s">
        <v>1508</v>
      </c>
      <c r="C995" s="39" t="s">
        <v>1067</v>
      </c>
      <c r="D995" s="236"/>
      <c r="E995" s="236"/>
      <c r="F995" s="236"/>
      <c r="G995" s="236"/>
      <c r="H995" s="236">
        <f>SUM(Tabla132112416[[#This Row],[PRIMER TRIMESTRE]:[CUARTO TRIMESTRE]])</f>
        <v>0</v>
      </c>
      <c r="I995" s="17">
        <v>392</v>
      </c>
      <c r="J995" s="17">
        <f t="shared" si="26"/>
        <v>0</v>
      </c>
      <c r="K995" s="17"/>
      <c r="L995" s="16" t="s">
        <v>27</v>
      </c>
      <c r="M995" s="16" t="s">
        <v>22</v>
      </c>
      <c r="N995" s="39" t="s">
        <v>418</v>
      </c>
    </row>
    <row r="996" spans="1:14" s="12" customFormat="1" ht="30">
      <c r="A996" s="178" t="s">
        <v>99</v>
      </c>
      <c r="B996" s="75" t="s">
        <v>1132</v>
      </c>
      <c r="C996" s="39" t="s">
        <v>1067</v>
      </c>
      <c r="D996" s="236"/>
      <c r="E996" s="236"/>
      <c r="F996" s="236"/>
      <c r="G996" s="236"/>
      <c r="H996" s="40">
        <f>SUM(Tabla132112416[[#This Row],[PRIMER TRIMESTRE]:[CUARTO TRIMESTRE]])</f>
        <v>0</v>
      </c>
      <c r="I996" s="17">
        <v>60000</v>
      </c>
      <c r="J996" s="17">
        <f t="shared" si="26"/>
        <v>0</v>
      </c>
      <c r="K996" s="17"/>
      <c r="L996" s="16" t="s">
        <v>18</v>
      </c>
      <c r="M996" s="16" t="s">
        <v>22</v>
      </c>
      <c r="N996" s="39" t="s">
        <v>418</v>
      </c>
    </row>
    <row r="997" spans="1:14" s="12" customFormat="1" ht="63.75">
      <c r="A997" s="178" t="s">
        <v>99</v>
      </c>
      <c r="B997" s="75" t="s">
        <v>1133</v>
      </c>
      <c r="C997" s="39" t="s">
        <v>1067</v>
      </c>
      <c r="D997" s="236"/>
      <c r="E997" s="236"/>
      <c r="F997" s="236"/>
      <c r="G997" s="236"/>
      <c r="H997" s="40">
        <f>SUM(Tabla132112416[[#This Row],[PRIMER TRIMESTRE]:[CUARTO TRIMESTRE]])</f>
        <v>0</v>
      </c>
      <c r="I997" s="17">
        <v>3500</v>
      </c>
      <c r="J997" s="17">
        <f t="shared" si="26"/>
        <v>0</v>
      </c>
      <c r="K997" s="17"/>
      <c r="L997" s="16" t="s">
        <v>18</v>
      </c>
      <c r="M997" s="16" t="s">
        <v>22</v>
      </c>
      <c r="N997" s="39" t="s">
        <v>418</v>
      </c>
    </row>
    <row r="998" spans="1:14" s="12" customFormat="1" ht="30">
      <c r="A998" s="178" t="s">
        <v>99</v>
      </c>
      <c r="B998" s="75" t="s">
        <v>1873</v>
      </c>
      <c r="C998" s="39" t="s">
        <v>1067</v>
      </c>
      <c r="D998" s="236"/>
      <c r="E998" s="236"/>
      <c r="F998" s="236"/>
      <c r="G998" s="236"/>
      <c r="H998" s="40">
        <v>0</v>
      </c>
      <c r="I998" s="17">
        <v>1150</v>
      </c>
      <c r="J998" s="17">
        <f>Tabla132112416[[#This Row],[PRECIO UNITARIO ESTIMADO]]*Tabla132112416[[#This Row],[CANTIDAD TOTAL]]</f>
        <v>0</v>
      </c>
      <c r="K998" s="17"/>
      <c r="L998" s="16" t="s">
        <v>18</v>
      </c>
      <c r="M998" s="16" t="s">
        <v>22</v>
      </c>
      <c r="N998" s="39" t="s">
        <v>418</v>
      </c>
    </row>
    <row r="999" spans="1:14" s="12" customFormat="1" ht="51">
      <c r="A999" s="178" t="s">
        <v>99</v>
      </c>
      <c r="B999" s="75" t="s">
        <v>1134</v>
      </c>
      <c r="C999" s="39" t="s">
        <v>1067</v>
      </c>
      <c r="D999" s="236"/>
      <c r="E999" s="236"/>
      <c r="F999" s="236"/>
      <c r="G999" s="236"/>
      <c r="H999" s="40">
        <f>SUM(Tabla132112416[[#This Row],[PRIMER TRIMESTRE]:[CUARTO TRIMESTRE]])</f>
        <v>0</v>
      </c>
      <c r="I999" s="17">
        <v>450000</v>
      </c>
      <c r="J999" s="17">
        <f t="shared" si="26"/>
        <v>0</v>
      </c>
      <c r="K999" s="17"/>
      <c r="L999" s="16" t="s">
        <v>18</v>
      </c>
      <c r="M999" s="16" t="s">
        <v>22</v>
      </c>
      <c r="N999" s="39" t="s">
        <v>418</v>
      </c>
    </row>
    <row r="1000" spans="1:14" s="12" customFormat="1" ht="51">
      <c r="A1000" s="178" t="s">
        <v>99</v>
      </c>
      <c r="B1000" s="75" t="s">
        <v>1135</v>
      </c>
      <c r="C1000" s="39" t="s">
        <v>1067</v>
      </c>
      <c r="D1000" s="236"/>
      <c r="E1000" s="236"/>
      <c r="F1000" s="236"/>
      <c r="G1000" s="236"/>
      <c r="H1000" s="40">
        <f>SUM(Tabla132112416[[#This Row],[PRIMER TRIMESTRE]:[CUARTO TRIMESTRE]])</f>
        <v>0</v>
      </c>
      <c r="I1000" s="17">
        <v>200000</v>
      </c>
      <c r="J1000" s="17">
        <f t="shared" si="26"/>
        <v>0</v>
      </c>
      <c r="K1000" s="17"/>
      <c r="L1000" s="16" t="s">
        <v>18</v>
      </c>
      <c r="M1000" s="16" t="s">
        <v>22</v>
      </c>
      <c r="N1000" s="39" t="s">
        <v>418</v>
      </c>
    </row>
    <row r="1001" spans="1:14" s="12" customFormat="1" ht="38.25">
      <c r="A1001" s="178" t="s">
        <v>99</v>
      </c>
      <c r="B1001" s="75" t="s">
        <v>1136</v>
      </c>
      <c r="C1001" s="39" t="s">
        <v>1067</v>
      </c>
      <c r="D1001" s="236"/>
      <c r="E1001" s="236"/>
      <c r="F1001" s="236"/>
      <c r="G1001" s="236"/>
      <c r="H1001" s="40">
        <f>SUM(Tabla132112416[[#This Row],[PRIMER TRIMESTRE]:[CUARTO TRIMESTRE]])</f>
        <v>0</v>
      </c>
      <c r="I1001" s="17">
        <v>70000</v>
      </c>
      <c r="J1001" s="17">
        <f t="shared" si="26"/>
        <v>0</v>
      </c>
      <c r="K1001" s="17"/>
      <c r="L1001" s="16" t="s">
        <v>18</v>
      </c>
      <c r="M1001" s="16" t="s">
        <v>22</v>
      </c>
      <c r="N1001" s="39" t="s">
        <v>418</v>
      </c>
    </row>
    <row r="1002" spans="1:14" s="12" customFormat="1" ht="30">
      <c r="A1002" s="178" t="s">
        <v>99</v>
      </c>
      <c r="B1002" s="75" t="s">
        <v>1137</v>
      </c>
      <c r="C1002" s="39" t="s">
        <v>1067</v>
      </c>
      <c r="D1002" s="236"/>
      <c r="E1002" s="236"/>
      <c r="F1002" s="236"/>
      <c r="G1002" s="236"/>
      <c r="H1002" s="40">
        <f>SUM(Tabla132112416[[#This Row],[PRIMER TRIMESTRE]:[CUARTO TRIMESTRE]])</f>
        <v>0</v>
      </c>
      <c r="I1002" s="17">
        <v>20000</v>
      </c>
      <c r="J1002" s="17">
        <f t="shared" si="26"/>
        <v>0</v>
      </c>
      <c r="K1002" s="17"/>
      <c r="L1002" s="16" t="s">
        <v>18</v>
      </c>
      <c r="M1002" s="16" t="s">
        <v>22</v>
      </c>
      <c r="N1002" s="39" t="s">
        <v>418</v>
      </c>
    </row>
    <row r="1003" spans="1:14" s="12" customFormat="1" ht="30">
      <c r="A1003" s="178" t="s">
        <v>99</v>
      </c>
      <c r="B1003" s="75" t="s">
        <v>1148</v>
      </c>
      <c r="C1003" s="39" t="s">
        <v>1067</v>
      </c>
      <c r="D1003" s="236"/>
      <c r="E1003" s="236"/>
      <c r="F1003" s="236"/>
      <c r="G1003" s="236"/>
      <c r="H1003" s="40">
        <f>SUM(Tabla132112416[[#This Row],[PRIMER TRIMESTRE]:[CUARTO TRIMESTRE]])</f>
        <v>0</v>
      </c>
      <c r="I1003" s="17">
        <v>70</v>
      </c>
      <c r="J1003" s="17">
        <f t="shared" si="26"/>
        <v>0</v>
      </c>
      <c r="K1003" s="17"/>
      <c r="L1003" s="16" t="s">
        <v>18</v>
      </c>
      <c r="M1003" s="16" t="s">
        <v>22</v>
      </c>
      <c r="N1003" s="39" t="s">
        <v>418</v>
      </c>
    </row>
    <row r="1004" spans="1:14" s="12" customFormat="1" ht="30">
      <c r="A1004" s="178" t="s">
        <v>99</v>
      </c>
      <c r="B1004" s="75" t="s">
        <v>1139</v>
      </c>
      <c r="C1004" s="39" t="s">
        <v>1067</v>
      </c>
      <c r="D1004" s="236"/>
      <c r="E1004" s="236"/>
      <c r="F1004" s="236"/>
      <c r="G1004" s="236"/>
      <c r="H1004" s="40">
        <f>SUM(Tabla132112416[[#This Row],[PRIMER TRIMESTRE]:[CUARTO TRIMESTRE]])</f>
        <v>0</v>
      </c>
      <c r="I1004" s="17">
        <v>10000</v>
      </c>
      <c r="J1004" s="17">
        <f t="shared" si="26"/>
        <v>0</v>
      </c>
      <c r="K1004" s="17"/>
      <c r="L1004" s="16" t="s">
        <v>18</v>
      </c>
      <c r="M1004" s="16" t="s">
        <v>22</v>
      </c>
      <c r="N1004" s="39" t="s">
        <v>418</v>
      </c>
    </row>
    <row r="1005" spans="1:14" s="12" customFormat="1" ht="76.5">
      <c r="A1005" s="178" t="s">
        <v>99</v>
      </c>
      <c r="B1005" s="75" t="s">
        <v>1140</v>
      </c>
      <c r="C1005" s="39" t="s">
        <v>1067</v>
      </c>
      <c r="D1005" s="236"/>
      <c r="E1005" s="236"/>
      <c r="F1005" s="236"/>
      <c r="G1005" s="236"/>
      <c r="H1005" s="40">
        <f>SUM(Tabla132112416[[#This Row],[PRIMER TRIMESTRE]:[CUARTO TRIMESTRE]])</f>
        <v>0</v>
      </c>
      <c r="I1005" s="17">
        <v>60000</v>
      </c>
      <c r="J1005" s="17">
        <f t="shared" si="26"/>
        <v>0</v>
      </c>
      <c r="K1005" s="17"/>
      <c r="L1005" s="16" t="s">
        <v>18</v>
      </c>
      <c r="M1005" s="16" t="s">
        <v>22</v>
      </c>
      <c r="N1005" s="39" t="s">
        <v>418</v>
      </c>
    </row>
    <row r="1006" spans="1:14" s="12" customFormat="1" ht="30">
      <c r="A1006" s="178" t="s">
        <v>99</v>
      </c>
      <c r="B1006" s="75" t="s">
        <v>1141</v>
      </c>
      <c r="C1006" s="39" t="s">
        <v>718</v>
      </c>
      <c r="D1006" s="236"/>
      <c r="E1006" s="236"/>
      <c r="F1006" s="236"/>
      <c r="G1006" s="236"/>
      <c r="H1006" s="40">
        <f>SUM(Tabla132112416[[#This Row],[PRIMER TRIMESTRE]:[CUARTO TRIMESTRE]])</f>
        <v>0</v>
      </c>
      <c r="I1006" s="17">
        <v>4000</v>
      </c>
      <c r="J1006" s="17">
        <f t="shared" si="26"/>
        <v>0</v>
      </c>
      <c r="K1006" s="17"/>
      <c r="L1006" s="16" t="s">
        <v>18</v>
      </c>
      <c r="M1006" s="16" t="s">
        <v>22</v>
      </c>
      <c r="N1006" s="39" t="s">
        <v>418</v>
      </c>
    </row>
    <row r="1007" spans="1:14" s="12" customFormat="1" ht="30">
      <c r="A1007" s="178" t="s">
        <v>99</v>
      </c>
      <c r="B1007" s="75" t="s">
        <v>1142</v>
      </c>
      <c r="C1007" s="39" t="s">
        <v>718</v>
      </c>
      <c r="D1007" s="236"/>
      <c r="E1007" s="236"/>
      <c r="F1007" s="236"/>
      <c r="G1007" s="236"/>
      <c r="H1007" s="40">
        <f>SUM(Tabla132112416[[#This Row],[PRIMER TRIMESTRE]:[CUARTO TRIMESTRE]])</f>
        <v>0</v>
      </c>
      <c r="I1007" s="17">
        <v>3000</v>
      </c>
      <c r="J1007" s="17">
        <f t="shared" si="26"/>
        <v>0</v>
      </c>
      <c r="K1007" s="17"/>
      <c r="L1007" s="16" t="s">
        <v>18</v>
      </c>
      <c r="M1007" s="16" t="s">
        <v>22</v>
      </c>
      <c r="N1007" s="39" t="s">
        <v>418</v>
      </c>
    </row>
    <row r="1008" spans="1:14" s="12" customFormat="1" ht="30">
      <c r="A1008" s="178" t="s">
        <v>99</v>
      </c>
      <c r="B1008" s="75" t="s">
        <v>1143</v>
      </c>
      <c r="C1008" s="39" t="s">
        <v>1065</v>
      </c>
      <c r="D1008" s="236"/>
      <c r="E1008" s="236"/>
      <c r="F1008" s="236"/>
      <c r="G1008" s="236"/>
      <c r="H1008" s="40">
        <f>SUM(Tabla132112416[[#This Row],[PRIMER TRIMESTRE]:[CUARTO TRIMESTRE]])</f>
        <v>0</v>
      </c>
      <c r="I1008" s="17">
        <v>4500</v>
      </c>
      <c r="J1008" s="17">
        <f t="shared" si="26"/>
        <v>0</v>
      </c>
      <c r="K1008" s="17"/>
      <c r="L1008" s="16" t="s">
        <v>18</v>
      </c>
      <c r="M1008" s="16" t="s">
        <v>22</v>
      </c>
      <c r="N1008" s="39" t="s">
        <v>418</v>
      </c>
    </row>
    <row r="1009" spans="1:14" s="12" customFormat="1" ht="30">
      <c r="A1009" s="178" t="s">
        <v>99</v>
      </c>
      <c r="B1009" s="75" t="s">
        <v>1144</v>
      </c>
      <c r="C1009" s="39" t="s">
        <v>102</v>
      </c>
      <c r="D1009" s="236"/>
      <c r="E1009" s="236"/>
      <c r="F1009" s="236"/>
      <c r="G1009" s="236"/>
      <c r="H1009" s="40">
        <f>SUM(Tabla132112416[[#This Row],[PRIMER TRIMESTRE]:[CUARTO TRIMESTRE]])</f>
        <v>0</v>
      </c>
      <c r="I1009" s="17">
        <v>1000</v>
      </c>
      <c r="J1009" s="17">
        <f t="shared" si="26"/>
        <v>0</v>
      </c>
      <c r="K1009" s="17"/>
      <c r="L1009" s="16" t="s">
        <v>18</v>
      </c>
      <c r="M1009" s="16" t="s">
        <v>22</v>
      </c>
      <c r="N1009" s="39" t="s">
        <v>418</v>
      </c>
    </row>
    <row r="1010" spans="1:14" s="12" customFormat="1" ht="30.75" customHeight="1">
      <c r="A1010" s="178" t="s">
        <v>99</v>
      </c>
      <c r="B1010" s="75" t="s">
        <v>1145</v>
      </c>
      <c r="C1010" s="39" t="s">
        <v>1067</v>
      </c>
      <c r="D1010" s="236"/>
      <c r="E1010" s="236"/>
      <c r="F1010" s="236"/>
      <c r="G1010" s="236"/>
      <c r="H1010" s="40">
        <f>SUM(Tabla132112416[[#This Row],[PRIMER TRIMESTRE]:[CUARTO TRIMESTRE]])</f>
        <v>0</v>
      </c>
      <c r="I1010" s="17">
        <v>184000</v>
      </c>
      <c r="J1010" s="17">
        <f t="shared" si="26"/>
        <v>0</v>
      </c>
      <c r="K1010" s="17"/>
      <c r="L1010" s="16" t="s">
        <v>18</v>
      </c>
      <c r="M1010" s="16" t="s">
        <v>22</v>
      </c>
      <c r="N1010" s="39" t="s">
        <v>418</v>
      </c>
    </row>
    <row r="1011" spans="1:14" s="26" customFormat="1" ht="30.75" customHeight="1">
      <c r="A1011" s="178" t="s">
        <v>99</v>
      </c>
      <c r="B1011" s="75" t="s">
        <v>1146</v>
      </c>
      <c r="C1011" s="39" t="s">
        <v>1067</v>
      </c>
      <c r="D1011" s="236"/>
      <c r="E1011" s="236"/>
      <c r="F1011" s="236"/>
      <c r="G1011" s="236"/>
      <c r="H1011" s="40">
        <f>SUM(Tabla132112416[[#This Row],[PRIMER TRIMESTRE]:[CUARTO TRIMESTRE]])</f>
        <v>0</v>
      </c>
      <c r="I1011" s="17">
        <v>85000</v>
      </c>
      <c r="J1011" s="17">
        <f t="shared" si="26"/>
        <v>0</v>
      </c>
      <c r="K1011" s="17"/>
      <c r="L1011" s="16" t="s">
        <v>18</v>
      </c>
      <c r="M1011" s="16" t="s">
        <v>22</v>
      </c>
      <c r="N1011" s="39" t="s">
        <v>418</v>
      </c>
    </row>
    <row r="1012" spans="1:14" s="12" customFormat="1" ht="30.75" customHeight="1">
      <c r="A1012" s="178" t="s">
        <v>99</v>
      </c>
      <c r="B1012" s="75" t="s">
        <v>1147</v>
      </c>
      <c r="C1012" s="39" t="s">
        <v>1067</v>
      </c>
      <c r="D1012" s="236"/>
      <c r="E1012" s="236"/>
      <c r="F1012" s="236"/>
      <c r="G1012" s="236"/>
      <c r="H1012" s="40">
        <f>SUM(Tabla132112416[[#This Row],[PRIMER TRIMESTRE]:[CUARTO TRIMESTRE]])</f>
        <v>0</v>
      </c>
      <c r="I1012" s="17">
        <v>10000</v>
      </c>
      <c r="J1012" s="17">
        <f t="shared" si="26"/>
        <v>0</v>
      </c>
      <c r="K1012" s="17"/>
      <c r="L1012" s="16" t="s">
        <v>18</v>
      </c>
      <c r="M1012" s="16" t="s">
        <v>22</v>
      </c>
      <c r="N1012" s="39" t="s">
        <v>418</v>
      </c>
    </row>
    <row r="1013" spans="1:14" s="12" customFormat="1" ht="30.75" customHeight="1">
      <c r="A1013" s="178" t="s">
        <v>99</v>
      </c>
      <c r="B1013" s="75" t="s">
        <v>1452</v>
      </c>
      <c r="C1013" s="39" t="s">
        <v>17</v>
      </c>
      <c r="D1013" s="236"/>
      <c r="E1013" s="236"/>
      <c r="F1013" s="236"/>
      <c r="G1013" s="236"/>
      <c r="H1013" s="236">
        <f>SUM(Tabla132112416[[#This Row],[PRIMER TRIMESTRE]:[CUARTO TRIMESTRE]])</f>
        <v>0</v>
      </c>
      <c r="I1013" s="17">
        <v>5589.05</v>
      </c>
      <c r="J1013" s="17">
        <f t="shared" si="26"/>
        <v>0</v>
      </c>
      <c r="K1013" s="17"/>
      <c r="L1013" s="16" t="s">
        <v>27</v>
      </c>
      <c r="M1013" s="16" t="s">
        <v>19</v>
      </c>
      <c r="N1013" s="39" t="s">
        <v>342</v>
      </c>
    </row>
    <row r="1014" spans="1:14" s="12" customFormat="1" ht="30.75" customHeight="1">
      <c r="A1014" s="178" t="s">
        <v>99</v>
      </c>
      <c r="B1014" s="75" t="s">
        <v>1453</v>
      </c>
      <c r="C1014" s="39" t="s">
        <v>17</v>
      </c>
      <c r="D1014" s="236"/>
      <c r="E1014" s="236"/>
      <c r="F1014" s="236"/>
      <c r="G1014" s="236"/>
      <c r="H1014" s="236">
        <f>SUM(Tabla132112416[[#This Row],[PRIMER TRIMESTRE]:[CUARTO TRIMESTRE]])</f>
        <v>0</v>
      </c>
      <c r="I1014" s="17">
        <v>15710.6</v>
      </c>
      <c r="J1014" s="17">
        <f t="shared" si="26"/>
        <v>0</v>
      </c>
      <c r="K1014" s="17"/>
      <c r="L1014" s="16" t="s">
        <v>27</v>
      </c>
      <c r="M1014" s="16" t="s">
        <v>19</v>
      </c>
      <c r="N1014" s="39" t="s">
        <v>342</v>
      </c>
    </row>
    <row r="1015" spans="1:14" s="12" customFormat="1" ht="30.75" customHeight="1">
      <c r="A1015" s="178" t="s">
        <v>99</v>
      </c>
      <c r="B1015" s="75" t="s">
        <v>1454</v>
      </c>
      <c r="C1015" s="39" t="s">
        <v>17</v>
      </c>
      <c r="D1015" s="236"/>
      <c r="E1015" s="236"/>
      <c r="F1015" s="236"/>
      <c r="G1015" s="236"/>
      <c r="H1015" s="236">
        <f>SUM(Tabla132112416[[#This Row],[PRIMER TRIMESTRE]:[CUARTO TRIMESTRE]])</f>
        <v>0</v>
      </c>
      <c r="I1015" s="17">
        <v>5347.87</v>
      </c>
      <c r="J1015" s="17">
        <f t="shared" si="26"/>
        <v>0</v>
      </c>
      <c r="K1015" s="17"/>
      <c r="L1015" s="16" t="s">
        <v>27</v>
      </c>
      <c r="M1015" s="16" t="s">
        <v>19</v>
      </c>
      <c r="N1015" s="39" t="s">
        <v>342</v>
      </c>
    </row>
    <row r="1016" spans="1:14" s="12" customFormat="1" ht="30.75" customHeight="1">
      <c r="A1016" s="178" t="s">
        <v>99</v>
      </c>
      <c r="B1016" s="75" t="s">
        <v>1455</v>
      </c>
      <c r="C1016" s="39" t="s">
        <v>17</v>
      </c>
      <c r="D1016" s="236"/>
      <c r="E1016" s="236"/>
      <c r="F1016" s="236"/>
      <c r="G1016" s="236"/>
      <c r="H1016" s="236">
        <f>SUM(Tabla132112416[[#This Row],[PRIMER TRIMESTRE]:[CUARTO TRIMESTRE]])</f>
        <v>0</v>
      </c>
      <c r="I1016" s="17">
        <v>213.48</v>
      </c>
      <c r="J1016" s="17">
        <f t="shared" si="26"/>
        <v>0</v>
      </c>
      <c r="K1016" s="17"/>
      <c r="L1016" s="16" t="s">
        <v>27</v>
      </c>
      <c r="M1016" s="16" t="s">
        <v>19</v>
      </c>
      <c r="N1016" s="39" t="s">
        <v>342</v>
      </c>
    </row>
    <row r="1017" spans="1:14" s="12" customFormat="1" ht="30.75" customHeight="1">
      <c r="A1017" s="178" t="s">
        <v>99</v>
      </c>
      <c r="B1017" s="75" t="s">
        <v>1456</v>
      </c>
      <c r="C1017" s="39" t="s">
        <v>17</v>
      </c>
      <c r="D1017" s="236"/>
      <c r="E1017" s="236"/>
      <c r="F1017" s="236"/>
      <c r="G1017" s="236"/>
      <c r="H1017" s="236">
        <f>SUM(Tabla132112416[[#This Row],[PRIMER TRIMESTRE]:[CUARTO TRIMESTRE]])</f>
        <v>0</v>
      </c>
      <c r="I1017" s="17">
        <v>719</v>
      </c>
      <c r="J1017" s="17">
        <f t="shared" si="26"/>
        <v>0</v>
      </c>
      <c r="K1017" s="17"/>
      <c r="L1017" s="16" t="s">
        <v>27</v>
      </c>
      <c r="M1017" s="16" t="s">
        <v>19</v>
      </c>
      <c r="N1017" s="39" t="s">
        <v>342</v>
      </c>
    </row>
    <row r="1018" spans="1:14" s="12" customFormat="1" ht="30.75" customHeight="1">
      <c r="A1018" s="178" t="s">
        <v>99</v>
      </c>
      <c r="B1018" s="75" t="s">
        <v>1457</v>
      </c>
      <c r="C1018" s="39" t="s">
        <v>17</v>
      </c>
      <c r="D1018" s="236"/>
      <c r="E1018" s="236"/>
      <c r="F1018" s="236"/>
      <c r="G1018" s="236"/>
      <c r="H1018" s="236">
        <f>SUM(Tabla132112416[[#This Row],[PRIMER TRIMESTRE]:[CUARTO TRIMESTRE]])</f>
        <v>0</v>
      </c>
      <c r="I1018" s="17">
        <v>213.48</v>
      </c>
      <c r="J1018" s="17">
        <f t="shared" si="26"/>
        <v>0</v>
      </c>
      <c r="K1018" s="17"/>
      <c r="L1018" s="16" t="s">
        <v>27</v>
      </c>
      <c r="M1018" s="16" t="s">
        <v>19</v>
      </c>
      <c r="N1018" s="39" t="s">
        <v>342</v>
      </c>
    </row>
    <row r="1019" spans="1:14" s="12" customFormat="1" ht="30.75" customHeight="1">
      <c r="A1019" s="178" t="s">
        <v>99</v>
      </c>
      <c r="B1019" s="75" t="s">
        <v>1458</v>
      </c>
      <c r="C1019" s="39" t="s">
        <v>17</v>
      </c>
      <c r="D1019" s="236"/>
      <c r="E1019" s="236"/>
      <c r="F1019" s="236"/>
      <c r="G1019" s="236"/>
      <c r="H1019" s="236">
        <f>SUM(Tabla132112416[[#This Row],[PRIMER TRIMESTRE]:[CUARTO TRIMESTRE]])</f>
        <v>0</v>
      </c>
      <c r="I1019" s="17">
        <v>1100</v>
      </c>
      <c r="J1019" s="17">
        <f t="shared" si="26"/>
        <v>0</v>
      </c>
      <c r="K1019" s="17"/>
      <c r="L1019" s="16" t="s">
        <v>27</v>
      </c>
      <c r="M1019" s="16" t="s">
        <v>19</v>
      </c>
      <c r="N1019" s="39" t="s">
        <v>342</v>
      </c>
    </row>
    <row r="1020" spans="1:14" s="26" customFormat="1" ht="30.75" customHeight="1">
      <c r="A1020" s="178" t="s">
        <v>99</v>
      </c>
      <c r="B1020" s="75" t="s">
        <v>1459</v>
      </c>
      <c r="C1020" s="39" t="s">
        <v>33</v>
      </c>
      <c r="D1020" s="236"/>
      <c r="E1020" s="236"/>
      <c r="F1020" s="236"/>
      <c r="G1020" s="236"/>
      <c r="H1020" s="236">
        <f>SUM(Tabla132112416[[#This Row],[PRIMER TRIMESTRE]:[CUARTO TRIMESTRE]])</f>
        <v>0</v>
      </c>
      <c r="I1020" s="17">
        <v>250</v>
      </c>
      <c r="J1020" s="17">
        <f t="shared" si="26"/>
        <v>0</v>
      </c>
      <c r="K1020" s="17"/>
      <c r="L1020" s="16" t="s">
        <v>27</v>
      </c>
      <c r="M1020" s="16" t="s">
        <v>19</v>
      </c>
      <c r="N1020" s="39" t="s">
        <v>342</v>
      </c>
    </row>
    <row r="1021" spans="1:14" s="12" customFormat="1" ht="30.75" customHeight="1">
      <c r="A1021" s="178" t="s">
        <v>99</v>
      </c>
      <c r="B1021" s="75" t="s">
        <v>1460</v>
      </c>
      <c r="C1021" s="39" t="s">
        <v>208</v>
      </c>
      <c r="D1021" s="236"/>
      <c r="E1021" s="236"/>
      <c r="F1021" s="236"/>
      <c r="G1021" s="236"/>
      <c r="H1021" s="236">
        <f>SUM(Tabla132112416[[#This Row],[PRIMER TRIMESTRE]:[CUARTO TRIMESTRE]])</f>
        <v>0</v>
      </c>
      <c r="I1021" s="17">
        <v>1130</v>
      </c>
      <c r="J1021" s="17">
        <f t="shared" si="26"/>
        <v>0</v>
      </c>
      <c r="K1021" s="17"/>
      <c r="L1021" s="16" t="s">
        <v>27</v>
      </c>
      <c r="M1021" s="16" t="s">
        <v>19</v>
      </c>
      <c r="N1021" s="39" t="s">
        <v>342</v>
      </c>
    </row>
    <row r="1022" spans="1:14" s="12" customFormat="1" ht="30.75" customHeight="1">
      <c r="A1022" s="179" t="s">
        <v>99</v>
      </c>
      <c r="B1022" s="76"/>
      <c r="C1022" s="42"/>
      <c r="D1022" s="237"/>
      <c r="E1022" s="237"/>
      <c r="F1022" s="237"/>
      <c r="G1022" s="237"/>
      <c r="H1022" s="43"/>
      <c r="I1022" s="24"/>
      <c r="J1022" s="24"/>
      <c r="K1022" s="25">
        <f>SUM(J891:J1021)</f>
        <v>0</v>
      </c>
      <c r="L1022" s="23"/>
      <c r="M1022" s="23"/>
      <c r="N1022" s="42"/>
    </row>
    <row r="1023" spans="1:14" s="12" customFormat="1" ht="30.75" customHeight="1">
      <c r="A1023" s="178" t="s">
        <v>113</v>
      </c>
      <c r="B1023" s="75" t="s">
        <v>236</v>
      </c>
      <c r="C1023" s="39" t="s">
        <v>17</v>
      </c>
      <c r="D1023" s="236"/>
      <c r="E1023" s="236"/>
      <c r="F1023" s="236"/>
      <c r="G1023" s="236"/>
      <c r="H1023" s="40">
        <f>SUM(Tabla132112416[[#This Row],[PRIMER TRIMESTRE]:[CUARTO TRIMESTRE]])</f>
        <v>0</v>
      </c>
      <c r="I1023" s="17">
        <v>806.2</v>
      </c>
      <c r="J1023" s="17">
        <f>+Tabla132112416[[#This Row],[CANTIDAD TOTAL]]*Tabla132112416[[#This Row],[PRECIO UNITARIO ESTIMADO]]</f>
        <v>0</v>
      </c>
      <c r="K1023" s="17"/>
      <c r="L1023" s="16" t="s">
        <v>15</v>
      </c>
      <c r="M1023" s="16" t="s">
        <v>22</v>
      </c>
      <c r="N1023" s="39" t="s">
        <v>418</v>
      </c>
    </row>
    <row r="1024" spans="1:14" s="12" customFormat="1" ht="30.75" customHeight="1">
      <c r="A1024" s="178" t="s">
        <v>113</v>
      </c>
      <c r="B1024" s="75" t="s">
        <v>233</v>
      </c>
      <c r="C1024" s="39" t="s">
        <v>234</v>
      </c>
      <c r="D1024" s="236"/>
      <c r="E1024" s="236"/>
      <c r="F1024" s="236"/>
      <c r="G1024" s="236"/>
      <c r="H1024" s="40">
        <f>SUM(Tabla132112416[[#This Row],[PRIMER TRIMESTRE]:[CUARTO TRIMESTRE]])</f>
        <v>0</v>
      </c>
      <c r="I1024" s="17">
        <v>7099.2</v>
      </c>
      <c r="J1024" s="17">
        <f>+Tabla132112416[[#This Row],[CANTIDAD TOTAL]]*Tabla132112416[[#This Row],[PRECIO UNITARIO ESTIMADO]]</f>
        <v>0</v>
      </c>
      <c r="K1024" s="17"/>
      <c r="L1024" s="16" t="s">
        <v>27</v>
      </c>
      <c r="M1024" s="16" t="s">
        <v>22</v>
      </c>
      <c r="N1024" s="39" t="s">
        <v>418</v>
      </c>
    </row>
    <row r="1025" spans="1:14" s="12" customFormat="1" ht="30.75" customHeight="1">
      <c r="A1025" s="178" t="s">
        <v>113</v>
      </c>
      <c r="B1025" s="75" t="s">
        <v>235</v>
      </c>
      <c r="C1025" s="39" t="s">
        <v>69</v>
      </c>
      <c r="D1025" s="236"/>
      <c r="E1025" s="236"/>
      <c r="F1025" s="236"/>
      <c r="G1025" s="236"/>
      <c r="H1025" s="40">
        <f>SUM(Tabla132112416[[#This Row],[PRIMER TRIMESTRE]:[CUARTO TRIMESTRE]])</f>
        <v>0</v>
      </c>
      <c r="I1025" s="17">
        <v>52.2</v>
      </c>
      <c r="J1025" s="17">
        <f>+Tabla132112416[[#This Row],[CANTIDAD TOTAL]]*Tabla132112416[[#This Row],[PRECIO UNITARIO ESTIMADO]]</f>
        <v>0</v>
      </c>
      <c r="K1025" s="17"/>
      <c r="L1025" s="16" t="s">
        <v>27</v>
      </c>
      <c r="M1025" s="16" t="s">
        <v>22</v>
      </c>
      <c r="N1025" s="39" t="s">
        <v>418</v>
      </c>
    </row>
    <row r="1026" spans="1:14" s="12" customFormat="1" ht="30">
      <c r="A1026" s="178" t="s">
        <v>113</v>
      </c>
      <c r="B1026" s="75" t="s">
        <v>320</v>
      </c>
      <c r="C1026" s="39" t="s">
        <v>17</v>
      </c>
      <c r="D1026" s="236"/>
      <c r="E1026" s="236"/>
      <c r="F1026" s="236"/>
      <c r="G1026" s="236"/>
      <c r="H1026" s="40">
        <f>SUM(Tabla132112416[[#This Row],[PRIMER TRIMESTRE]:[CUARTO TRIMESTRE]])</f>
        <v>0</v>
      </c>
      <c r="I1026" s="17">
        <f>41960.8/121</f>
        <v>346.7834710743802</v>
      </c>
      <c r="J1026" s="17">
        <f>+Tabla132112416[[#This Row],[CANTIDAD TOTAL]]*Tabla132112416[[#This Row],[PRECIO UNITARIO ESTIMADO]]</f>
        <v>0</v>
      </c>
      <c r="K1026" s="17"/>
      <c r="L1026" s="16" t="s">
        <v>15</v>
      </c>
      <c r="M1026" s="16" t="s">
        <v>22</v>
      </c>
      <c r="N1026" s="39" t="s">
        <v>418</v>
      </c>
    </row>
    <row r="1027" spans="1:14" s="26" customFormat="1" ht="30">
      <c r="A1027" s="178" t="s">
        <v>113</v>
      </c>
      <c r="B1027" s="75" t="s">
        <v>237</v>
      </c>
      <c r="C1027" s="39" t="s">
        <v>17</v>
      </c>
      <c r="D1027" s="236"/>
      <c r="E1027" s="236"/>
      <c r="F1027" s="236"/>
      <c r="G1027" s="236"/>
      <c r="H1027" s="40">
        <f>SUM(Tabla132112416[[#This Row],[PRIMER TRIMESTRE]:[CUARTO TRIMESTRE]])</f>
        <v>0</v>
      </c>
      <c r="I1027" s="17">
        <v>668</v>
      </c>
      <c r="J1027" s="17">
        <f>+Tabla132112416[[#This Row],[CANTIDAD TOTAL]]*Tabla132112416[[#This Row],[PRECIO UNITARIO ESTIMADO]]</f>
        <v>0</v>
      </c>
      <c r="K1027" s="17"/>
      <c r="L1027" s="16" t="s">
        <v>15</v>
      </c>
      <c r="M1027" s="16" t="s">
        <v>22</v>
      </c>
      <c r="N1027" s="39" t="s">
        <v>418</v>
      </c>
    </row>
    <row r="1028" spans="1:14" s="169" customFormat="1" ht="30">
      <c r="A1028" s="178" t="s">
        <v>113</v>
      </c>
      <c r="B1028" s="75" t="s">
        <v>238</v>
      </c>
      <c r="C1028" s="39" t="s">
        <v>208</v>
      </c>
      <c r="D1028" s="236"/>
      <c r="E1028" s="236"/>
      <c r="F1028" s="236"/>
      <c r="G1028" s="236"/>
      <c r="H1028" s="40">
        <f>SUM(Tabla132112416[[#This Row],[PRIMER TRIMESTRE]:[CUARTO TRIMESTRE]])</f>
        <v>0</v>
      </c>
      <c r="I1028" s="17">
        <v>754</v>
      </c>
      <c r="J1028" s="17">
        <f>+Tabla132112416[[#This Row],[CANTIDAD TOTAL]]*Tabla132112416[[#This Row],[PRECIO UNITARIO ESTIMADO]]</f>
        <v>0</v>
      </c>
      <c r="K1028" s="17"/>
      <c r="L1028" s="16" t="s">
        <v>27</v>
      </c>
      <c r="M1028" s="16" t="s">
        <v>22</v>
      </c>
      <c r="N1028" s="39" t="s">
        <v>418</v>
      </c>
    </row>
    <row r="1029" spans="1:14" s="12" customFormat="1" ht="31.5">
      <c r="A1029" s="179" t="s">
        <v>113</v>
      </c>
      <c r="B1029" s="76"/>
      <c r="C1029" s="42"/>
      <c r="D1029" s="237"/>
      <c r="E1029" s="237"/>
      <c r="F1029" s="237"/>
      <c r="G1029" s="237"/>
      <c r="H1029" s="43"/>
      <c r="I1029" s="24"/>
      <c r="J1029" s="24"/>
      <c r="K1029" s="25">
        <f>SUM(J1023:J1028)</f>
        <v>0</v>
      </c>
      <c r="L1029" s="23"/>
      <c r="M1029" s="23"/>
      <c r="N1029" s="42"/>
    </row>
    <row r="1030" spans="1:14" s="12" customFormat="1" ht="18">
      <c r="A1030" s="180" t="s">
        <v>115</v>
      </c>
      <c r="B1030" s="77" t="s">
        <v>319</v>
      </c>
      <c r="C1030" s="70" t="s">
        <v>17</v>
      </c>
      <c r="D1030" s="210"/>
      <c r="E1030" s="210"/>
      <c r="F1030" s="210"/>
      <c r="G1030" s="210"/>
      <c r="H1030" s="406">
        <v>0</v>
      </c>
      <c r="I1030" s="72">
        <f>544724/8</f>
        <v>68090.5</v>
      </c>
      <c r="J1030" s="72">
        <f>+Tabla132112416[[#This Row],[CANTIDAD TOTAL]]*Tabla132112416[[#This Row],[PRECIO UNITARIO ESTIMADO]]</f>
        <v>0</v>
      </c>
      <c r="K1030" s="72"/>
      <c r="L1030" s="73" t="s">
        <v>18</v>
      </c>
      <c r="M1030" s="73" t="s">
        <v>22</v>
      </c>
      <c r="N1030" s="70" t="s">
        <v>418</v>
      </c>
    </row>
    <row r="1031" spans="1:14" s="12" customFormat="1" ht="18">
      <c r="A1031" s="178" t="s">
        <v>115</v>
      </c>
      <c r="B1031" s="75" t="s">
        <v>428</v>
      </c>
      <c r="C1031" s="39" t="s">
        <v>17</v>
      </c>
      <c r="D1031" s="236"/>
      <c r="E1031" s="236">
        <v>1</v>
      </c>
      <c r="F1031" s="236"/>
      <c r="G1031" s="236"/>
      <c r="H1031" s="40">
        <v>1</v>
      </c>
      <c r="I1031" s="17">
        <v>3074</v>
      </c>
      <c r="J1031" s="17">
        <f>+Tabla132112416[[#This Row],[CANTIDAD TOTAL]]*Tabla132112416[[#This Row],[PRECIO UNITARIO ESTIMADO]]</f>
        <v>3074</v>
      </c>
      <c r="K1031" s="17"/>
      <c r="L1031" s="73" t="s">
        <v>18</v>
      </c>
      <c r="M1031" s="16" t="s">
        <v>22</v>
      </c>
      <c r="N1031" s="39" t="s">
        <v>418</v>
      </c>
    </row>
    <row r="1032" spans="1:14" s="12" customFormat="1" ht="18">
      <c r="A1032" s="178" t="s">
        <v>115</v>
      </c>
      <c r="B1032" s="75" t="s">
        <v>244</v>
      </c>
      <c r="C1032" s="39" t="s">
        <v>17</v>
      </c>
      <c r="D1032" s="236"/>
      <c r="E1032" s="236"/>
      <c r="F1032" s="236"/>
      <c r="G1032" s="236"/>
      <c r="H1032" s="40">
        <f>SUM(Tabla132112416[[#This Row],[PRIMER TRIMESTRE]:[CUARTO TRIMESTRE]])</f>
        <v>0</v>
      </c>
      <c r="I1032" s="17">
        <v>24940</v>
      </c>
      <c r="J1032" s="17">
        <f>+Tabla132112416[[#This Row],[CANTIDAD TOTAL]]*Tabla132112416[[#This Row],[PRECIO UNITARIO ESTIMADO]]</f>
        <v>0</v>
      </c>
      <c r="K1032" s="17"/>
      <c r="L1032" s="73" t="s">
        <v>18</v>
      </c>
      <c r="M1032" s="16" t="s">
        <v>22</v>
      </c>
      <c r="N1032" s="39" t="s">
        <v>418</v>
      </c>
    </row>
    <row r="1033" spans="1:14" s="169" customFormat="1" ht="18">
      <c r="A1033" s="178" t="s">
        <v>115</v>
      </c>
      <c r="B1033" s="75" t="s">
        <v>429</v>
      </c>
      <c r="C1033" s="39" t="s">
        <v>17</v>
      </c>
      <c r="D1033" s="236"/>
      <c r="E1033" s="236"/>
      <c r="F1033" s="236"/>
      <c r="G1033" s="236"/>
      <c r="H1033" s="40">
        <f>SUM(Tabla132112416[[#This Row],[PRIMER TRIMESTRE]:[CUARTO TRIMESTRE]])</f>
        <v>0</v>
      </c>
      <c r="I1033" s="17">
        <v>77185.240000000005</v>
      </c>
      <c r="J1033" s="17">
        <f>+Tabla132112416[[#This Row],[CANTIDAD TOTAL]]*Tabla132112416[[#This Row],[PRECIO UNITARIO ESTIMADO]]</f>
        <v>0</v>
      </c>
      <c r="K1033" s="17"/>
      <c r="L1033" s="73" t="s">
        <v>18</v>
      </c>
      <c r="M1033" s="16" t="s">
        <v>22</v>
      </c>
      <c r="N1033" s="39" t="s">
        <v>418</v>
      </c>
    </row>
    <row r="1034" spans="1:14" s="169" customFormat="1" ht="18">
      <c r="A1034" s="178" t="s">
        <v>115</v>
      </c>
      <c r="B1034" s="75" t="s">
        <v>321</v>
      </c>
      <c r="C1034" s="39" t="s">
        <v>17</v>
      </c>
      <c r="D1034" s="236"/>
      <c r="E1034" s="236">
        <v>1</v>
      </c>
      <c r="F1034" s="236"/>
      <c r="G1034" s="236"/>
      <c r="H1034" s="40">
        <v>1</v>
      </c>
      <c r="I1034" s="17">
        <f>31243.78/16</f>
        <v>1952.7362499999999</v>
      </c>
      <c r="J1034" s="17">
        <f>+Tabla132112416[[#This Row],[CANTIDAD TOTAL]]*Tabla132112416[[#This Row],[PRECIO UNITARIO ESTIMADO]]</f>
        <v>1952.7362499999999</v>
      </c>
      <c r="K1034" s="17"/>
      <c r="L1034" s="73" t="s">
        <v>18</v>
      </c>
      <c r="M1034" s="16" t="s">
        <v>22</v>
      </c>
      <c r="N1034" s="39" t="s">
        <v>418</v>
      </c>
    </row>
    <row r="1035" spans="1:14" s="169" customFormat="1" ht="38.25">
      <c r="A1035" s="180" t="s">
        <v>115</v>
      </c>
      <c r="B1035" s="77" t="s">
        <v>892</v>
      </c>
      <c r="C1035" s="70" t="s">
        <v>17</v>
      </c>
      <c r="D1035" s="210"/>
      <c r="E1035" s="210">
        <v>1</v>
      </c>
      <c r="F1035" s="210"/>
      <c r="G1035" s="210"/>
      <c r="H1035" s="406">
        <v>1</v>
      </c>
      <c r="I1035" s="72">
        <v>3519</v>
      </c>
      <c r="J1035" s="72">
        <f t="shared" ref="J1035:J1065" si="27">+H1035*I1035</f>
        <v>3519</v>
      </c>
      <c r="K1035" s="72"/>
      <c r="L1035" s="73" t="s">
        <v>18</v>
      </c>
      <c r="M1035" s="16" t="s">
        <v>22</v>
      </c>
      <c r="N1035" s="39" t="s">
        <v>418</v>
      </c>
    </row>
    <row r="1036" spans="1:14" s="169" customFormat="1" ht="25.5">
      <c r="A1036" s="180" t="s">
        <v>115</v>
      </c>
      <c r="B1036" s="77" t="s">
        <v>932</v>
      </c>
      <c r="C1036" s="70" t="s">
        <v>17</v>
      </c>
      <c r="D1036" s="210"/>
      <c r="E1036" s="210"/>
      <c r="F1036" s="210"/>
      <c r="G1036" s="210"/>
      <c r="H1036" s="406">
        <f>SUM(Tabla132112416[[#This Row],[PRIMER TRIMESTRE]:[CUARTO TRIMESTRE]])</f>
        <v>0</v>
      </c>
      <c r="I1036" s="72">
        <v>1500</v>
      </c>
      <c r="J1036" s="72">
        <f t="shared" si="27"/>
        <v>0</v>
      </c>
      <c r="K1036" s="72"/>
      <c r="L1036" s="73" t="s">
        <v>18</v>
      </c>
      <c r="M1036" s="16" t="s">
        <v>22</v>
      </c>
      <c r="N1036" s="39" t="s">
        <v>418</v>
      </c>
    </row>
    <row r="1037" spans="1:14" s="169" customFormat="1" ht="25.5">
      <c r="A1037" s="180" t="s">
        <v>115</v>
      </c>
      <c r="B1037" s="77" t="s">
        <v>894</v>
      </c>
      <c r="C1037" s="70" t="s">
        <v>17</v>
      </c>
      <c r="D1037" s="210"/>
      <c r="E1037" s="210"/>
      <c r="F1037" s="210"/>
      <c r="G1037" s="210"/>
      <c r="H1037" s="406">
        <f>SUM(Tabla132112416[[#This Row],[PRIMER TRIMESTRE]:[CUARTO TRIMESTRE]])</f>
        <v>0</v>
      </c>
      <c r="I1037" s="72">
        <v>600</v>
      </c>
      <c r="J1037" s="72">
        <f t="shared" si="27"/>
        <v>0</v>
      </c>
      <c r="K1037" s="72"/>
      <c r="L1037" s="73" t="s">
        <v>18</v>
      </c>
      <c r="M1037" s="16" t="s">
        <v>22</v>
      </c>
      <c r="N1037" s="39" t="s">
        <v>418</v>
      </c>
    </row>
    <row r="1038" spans="1:14" s="169" customFormat="1" ht="25.5">
      <c r="A1038" s="180" t="s">
        <v>115</v>
      </c>
      <c r="B1038" s="77" t="s">
        <v>895</v>
      </c>
      <c r="C1038" s="70" t="s">
        <v>17</v>
      </c>
      <c r="D1038" s="210"/>
      <c r="E1038" s="210"/>
      <c r="F1038" s="210"/>
      <c r="G1038" s="210"/>
      <c r="H1038" s="406">
        <f>SUM(Tabla132112416[[#This Row],[PRIMER TRIMESTRE]:[CUARTO TRIMESTRE]])</f>
        <v>0</v>
      </c>
      <c r="I1038" s="72">
        <v>450</v>
      </c>
      <c r="J1038" s="72">
        <f t="shared" si="27"/>
        <v>0</v>
      </c>
      <c r="K1038" s="72"/>
      <c r="L1038" s="73" t="s">
        <v>18</v>
      </c>
      <c r="M1038" s="16" t="s">
        <v>22</v>
      </c>
      <c r="N1038" s="39" t="s">
        <v>418</v>
      </c>
    </row>
    <row r="1039" spans="1:14" s="169" customFormat="1" ht="18">
      <c r="A1039" s="180" t="s">
        <v>115</v>
      </c>
      <c r="B1039" s="77" t="s">
        <v>897</v>
      </c>
      <c r="C1039" s="70" t="s">
        <v>17</v>
      </c>
      <c r="D1039" s="210"/>
      <c r="E1039" s="210"/>
      <c r="F1039" s="210"/>
      <c r="G1039" s="210"/>
      <c r="H1039" s="406">
        <f>SUM(Tabla132112416[[#This Row],[PRIMER TRIMESTRE]:[CUARTO TRIMESTRE]])</f>
        <v>0</v>
      </c>
      <c r="I1039" s="72">
        <v>85000</v>
      </c>
      <c r="J1039" s="72">
        <f t="shared" si="27"/>
        <v>0</v>
      </c>
      <c r="K1039" s="72"/>
      <c r="L1039" s="73" t="s">
        <v>18</v>
      </c>
      <c r="M1039" s="16" t="s">
        <v>22</v>
      </c>
      <c r="N1039" s="39" t="s">
        <v>418</v>
      </c>
    </row>
    <row r="1040" spans="1:14" s="169" customFormat="1" ht="25.5">
      <c r="A1040" s="180" t="s">
        <v>115</v>
      </c>
      <c r="B1040" s="77" t="s">
        <v>898</v>
      </c>
      <c r="C1040" s="70" t="s">
        <v>17</v>
      </c>
      <c r="D1040" s="210"/>
      <c r="E1040" s="210"/>
      <c r="F1040" s="210"/>
      <c r="G1040" s="210"/>
      <c r="H1040" s="406">
        <f>SUM(Tabla132112416[[#This Row],[PRIMER TRIMESTRE]:[CUARTO TRIMESTRE]])</f>
        <v>0</v>
      </c>
      <c r="I1040" s="72">
        <v>2500</v>
      </c>
      <c r="J1040" s="72">
        <f t="shared" si="27"/>
        <v>0</v>
      </c>
      <c r="K1040" s="72"/>
      <c r="L1040" s="73" t="s">
        <v>18</v>
      </c>
      <c r="M1040" s="16" t="s">
        <v>22</v>
      </c>
      <c r="N1040" s="39" t="s">
        <v>418</v>
      </c>
    </row>
    <row r="1041" spans="1:14" s="169" customFormat="1" ht="38.25">
      <c r="A1041" s="180" t="s">
        <v>115</v>
      </c>
      <c r="B1041" s="77" t="s">
        <v>933</v>
      </c>
      <c r="C1041" s="70" t="s">
        <v>17</v>
      </c>
      <c r="D1041" s="210"/>
      <c r="E1041" s="210"/>
      <c r="F1041" s="210"/>
      <c r="G1041" s="210"/>
      <c r="H1041" s="406">
        <f>SUM(Tabla132112416[[#This Row],[PRIMER TRIMESTRE]:[CUARTO TRIMESTRE]])</f>
        <v>0</v>
      </c>
      <c r="I1041" s="72">
        <v>420</v>
      </c>
      <c r="J1041" s="72">
        <f t="shared" si="27"/>
        <v>0</v>
      </c>
      <c r="K1041" s="72"/>
      <c r="L1041" s="73" t="s">
        <v>18</v>
      </c>
      <c r="M1041" s="16" t="s">
        <v>22</v>
      </c>
      <c r="N1041" s="39" t="s">
        <v>418</v>
      </c>
    </row>
    <row r="1042" spans="1:14" s="169" customFormat="1" ht="38.25">
      <c r="A1042" s="180" t="s">
        <v>115</v>
      </c>
      <c r="B1042" s="77" t="s">
        <v>902</v>
      </c>
      <c r="C1042" s="70" t="s">
        <v>17</v>
      </c>
      <c r="D1042" s="210"/>
      <c r="E1042" s="210"/>
      <c r="F1042" s="210"/>
      <c r="G1042" s="210"/>
      <c r="H1042" s="406">
        <f>SUM(Tabla132112416[[#This Row],[PRIMER TRIMESTRE]:[CUARTO TRIMESTRE]])</f>
        <v>0</v>
      </c>
      <c r="I1042" s="72">
        <v>450</v>
      </c>
      <c r="J1042" s="72">
        <f t="shared" si="27"/>
        <v>0</v>
      </c>
      <c r="K1042" s="72"/>
      <c r="L1042" s="73" t="s">
        <v>18</v>
      </c>
      <c r="M1042" s="16" t="s">
        <v>22</v>
      </c>
      <c r="N1042" s="39" t="s">
        <v>418</v>
      </c>
    </row>
    <row r="1043" spans="1:14" s="169" customFormat="1" ht="18">
      <c r="A1043" s="180" t="s">
        <v>115</v>
      </c>
      <c r="B1043" s="77" t="s">
        <v>934</v>
      </c>
      <c r="C1043" s="70" t="s">
        <v>17</v>
      </c>
      <c r="D1043" s="210"/>
      <c r="E1043" s="210"/>
      <c r="F1043" s="210"/>
      <c r="G1043" s="210"/>
      <c r="H1043" s="406">
        <f>SUM(Tabla132112416[[#This Row],[PRIMER TRIMESTRE]:[CUARTO TRIMESTRE]])</f>
        <v>0</v>
      </c>
      <c r="I1043" s="72">
        <v>125</v>
      </c>
      <c r="J1043" s="72">
        <f t="shared" si="27"/>
        <v>0</v>
      </c>
      <c r="K1043" s="72"/>
      <c r="L1043" s="73" t="s">
        <v>18</v>
      </c>
      <c r="M1043" s="16" t="s">
        <v>22</v>
      </c>
      <c r="N1043" s="39" t="s">
        <v>418</v>
      </c>
    </row>
    <row r="1044" spans="1:14" s="169" customFormat="1" ht="18">
      <c r="A1044" s="180" t="s">
        <v>115</v>
      </c>
      <c r="B1044" s="77" t="s">
        <v>935</v>
      </c>
      <c r="C1044" s="70" t="s">
        <v>208</v>
      </c>
      <c r="D1044" s="210"/>
      <c r="E1044" s="210"/>
      <c r="F1044" s="210"/>
      <c r="G1044" s="210"/>
      <c r="H1044" s="406">
        <f>SUM(Tabla132112416[[#This Row],[PRIMER TRIMESTRE]:[CUARTO TRIMESTRE]])</f>
        <v>0</v>
      </c>
      <c r="I1044" s="72">
        <v>4300</v>
      </c>
      <c r="J1044" s="72">
        <f t="shared" si="27"/>
        <v>0</v>
      </c>
      <c r="K1044" s="72"/>
      <c r="L1044" s="73" t="s">
        <v>18</v>
      </c>
      <c r="M1044" s="16" t="s">
        <v>22</v>
      </c>
      <c r="N1044" s="39" t="s">
        <v>418</v>
      </c>
    </row>
    <row r="1045" spans="1:14" s="169" customFormat="1" ht="25.5">
      <c r="A1045" s="180" t="s">
        <v>115</v>
      </c>
      <c r="B1045" s="77" t="s">
        <v>936</v>
      </c>
      <c r="C1045" s="70" t="s">
        <v>17</v>
      </c>
      <c r="D1045" s="210"/>
      <c r="E1045" s="210"/>
      <c r="F1045" s="210"/>
      <c r="G1045" s="210"/>
      <c r="H1045" s="406">
        <f>SUM(Tabla132112416[[#This Row],[PRIMER TRIMESTRE]:[CUARTO TRIMESTRE]])</f>
        <v>0</v>
      </c>
      <c r="I1045" s="72">
        <v>7300</v>
      </c>
      <c r="J1045" s="72">
        <f t="shared" si="27"/>
        <v>0</v>
      </c>
      <c r="K1045" s="72"/>
      <c r="L1045" s="16" t="s">
        <v>18</v>
      </c>
      <c r="M1045" s="16" t="s">
        <v>22</v>
      </c>
      <c r="N1045" s="39" t="s">
        <v>418</v>
      </c>
    </row>
    <row r="1046" spans="1:14" s="169" customFormat="1" ht="25.5">
      <c r="A1046" s="180" t="s">
        <v>115</v>
      </c>
      <c r="B1046" s="77" t="s">
        <v>937</v>
      </c>
      <c r="C1046" s="70" t="s">
        <v>17</v>
      </c>
      <c r="D1046" s="210"/>
      <c r="E1046" s="210"/>
      <c r="F1046" s="210"/>
      <c r="G1046" s="210"/>
      <c r="H1046" s="406">
        <f>SUM(Tabla132112416[[#This Row],[PRIMER TRIMESTRE]:[CUARTO TRIMESTRE]])</f>
        <v>0</v>
      </c>
      <c r="I1046" s="72">
        <v>14671</v>
      </c>
      <c r="J1046" s="72">
        <f t="shared" si="27"/>
        <v>0</v>
      </c>
      <c r="K1046" s="72"/>
      <c r="L1046" s="73" t="s">
        <v>18</v>
      </c>
      <c r="M1046" s="16" t="s">
        <v>22</v>
      </c>
      <c r="N1046" s="39" t="s">
        <v>418</v>
      </c>
    </row>
    <row r="1047" spans="1:14" s="169" customFormat="1" ht="25.5">
      <c r="A1047" s="180" t="s">
        <v>115</v>
      </c>
      <c r="B1047" s="77" t="s">
        <v>938</v>
      </c>
      <c r="C1047" s="70" t="s">
        <v>17</v>
      </c>
      <c r="D1047" s="210"/>
      <c r="E1047" s="210"/>
      <c r="F1047" s="210"/>
      <c r="G1047" s="210"/>
      <c r="H1047" s="406">
        <f>SUM(Tabla132112416[[#This Row],[PRIMER TRIMESTRE]:[CUARTO TRIMESTRE]])</f>
        <v>0</v>
      </c>
      <c r="I1047" s="72">
        <v>34000</v>
      </c>
      <c r="J1047" s="72">
        <f t="shared" si="27"/>
        <v>0</v>
      </c>
      <c r="K1047" s="72"/>
      <c r="L1047" s="73" t="s">
        <v>18</v>
      </c>
      <c r="M1047" s="16" t="s">
        <v>22</v>
      </c>
      <c r="N1047" s="39" t="s">
        <v>418</v>
      </c>
    </row>
    <row r="1048" spans="1:14" s="169" customFormat="1" ht="18">
      <c r="A1048" s="180" t="s">
        <v>115</v>
      </c>
      <c r="B1048" s="77" t="s">
        <v>1628</v>
      </c>
      <c r="C1048" s="70" t="s">
        <v>17</v>
      </c>
      <c r="D1048" s="210"/>
      <c r="E1048" s="210"/>
      <c r="F1048" s="406"/>
      <c r="G1048" s="406"/>
      <c r="H1048" s="406">
        <f>SUM(Tabla132112416[[#This Row],[PRIMER TRIMESTRE]:[CUARTO TRIMESTRE]])</f>
        <v>0</v>
      </c>
      <c r="I1048" s="72">
        <v>3500</v>
      </c>
      <c r="J1048" s="72">
        <f t="shared" si="27"/>
        <v>0</v>
      </c>
      <c r="K1048" s="72"/>
      <c r="L1048" s="73" t="s">
        <v>18</v>
      </c>
      <c r="M1048" s="16" t="s">
        <v>22</v>
      </c>
      <c r="N1048" s="39" t="s">
        <v>418</v>
      </c>
    </row>
    <row r="1049" spans="1:14" s="169" customFormat="1" ht="18">
      <c r="A1049" s="180" t="s">
        <v>115</v>
      </c>
      <c r="B1049" s="77" t="s">
        <v>1629</v>
      </c>
      <c r="C1049" s="70" t="s">
        <v>17</v>
      </c>
      <c r="D1049" s="210"/>
      <c r="E1049" s="210"/>
      <c r="F1049" s="249"/>
      <c r="G1049" s="249"/>
      <c r="H1049" s="406">
        <f>SUM(Tabla132112416[[#This Row],[PRIMER TRIMESTRE]:[CUARTO TRIMESTRE]])</f>
        <v>0</v>
      </c>
      <c r="I1049" s="72">
        <v>14000</v>
      </c>
      <c r="J1049" s="72">
        <f t="shared" si="27"/>
        <v>0</v>
      </c>
      <c r="K1049" s="72"/>
      <c r="L1049" s="16" t="s">
        <v>18</v>
      </c>
      <c r="M1049" s="16" t="s">
        <v>22</v>
      </c>
      <c r="N1049" s="39" t="s">
        <v>418</v>
      </c>
    </row>
    <row r="1050" spans="1:14" s="169" customFormat="1" ht="25.5">
      <c r="A1050" s="180" t="s">
        <v>115</v>
      </c>
      <c r="B1050" s="77" t="s">
        <v>939</v>
      </c>
      <c r="C1050" s="70" t="s">
        <v>17</v>
      </c>
      <c r="D1050" s="210"/>
      <c r="E1050" s="210"/>
      <c r="F1050" s="210"/>
      <c r="G1050" s="210"/>
      <c r="H1050" s="406">
        <f>SUM(Tabla132112416[[#This Row],[PRIMER TRIMESTRE]:[CUARTO TRIMESTRE]])</f>
        <v>0</v>
      </c>
      <c r="I1050" s="72">
        <v>34000</v>
      </c>
      <c r="J1050" s="72">
        <f t="shared" si="27"/>
        <v>0</v>
      </c>
      <c r="K1050" s="72"/>
      <c r="L1050" s="16" t="s">
        <v>18</v>
      </c>
      <c r="M1050" s="16" t="s">
        <v>22</v>
      </c>
      <c r="N1050" s="39" t="s">
        <v>418</v>
      </c>
    </row>
    <row r="1051" spans="1:14" s="169" customFormat="1" ht="18">
      <c r="A1051" s="180" t="s">
        <v>115</v>
      </c>
      <c r="B1051" s="77" t="s">
        <v>1630</v>
      </c>
      <c r="C1051" s="70" t="s">
        <v>17</v>
      </c>
      <c r="D1051" s="210"/>
      <c r="E1051" s="210"/>
      <c r="F1051" s="210"/>
      <c r="G1051" s="210"/>
      <c r="H1051" s="406">
        <f>SUM(Tabla132112416[[#This Row],[PRIMER TRIMESTRE]:[CUARTO TRIMESTRE]])</f>
        <v>0</v>
      </c>
      <c r="I1051" s="72">
        <v>4000</v>
      </c>
      <c r="J1051" s="72">
        <f t="shared" si="27"/>
        <v>0</v>
      </c>
      <c r="K1051" s="72"/>
      <c r="L1051" s="16" t="s">
        <v>18</v>
      </c>
      <c r="M1051" s="16" t="s">
        <v>22</v>
      </c>
      <c r="N1051" s="39" t="s">
        <v>418</v>
      </c>
    </row>
    <row r="1052" spans="1:14" s="169" customFormat="1" ht="18">
      <c r="A1052" s="180" t="s">
        <v>115</v>
      </c>
      <c r="B1052" s="77" t="s">
        <v>1631</v>
      </c>
      <c r="C1052" s="70" t="s">
        <v>17</v>
      </c>
      <c r="D1052" s="210"/>
      <c r="E1052" s="210">
        <v>1</v>
      </c>
      <c r="F1052" s="210"/>
      <c r="G1052" s="210"/>
      <c r="H1052" s="406">
        <v>1</v>
      </c>
      <c r="I1052" s="72">
        <v>20000</v>
      </c>
      <c r="J1052" s="72">
        <f t="shared" si="27"/>
        <v>20000</v>
      </c>
      <c r="K1052" s="72"/>
      <c r="L1052" s="16" t="s">
        <v>18</v>
      </c>
      <c r="M1052" s="16" t="s">
        <v>22</v>
      </c>
      <c r="N1052" s="39" t="s">
        <v>418</v>
      </c>
    </row>
    <row r="1053" spans="1:14" s="169" customFormat="1" ht="18">
      <c r="A1053" s="180" t="s">
        <v>115</v>
      </c>
      <c r="B1053" s="77" t="s">
        <v>2572</v>
      </c>
      <c r="C1053" s="70" t="s">
        <v>1773</v>
      </c>
      <c r="D1053" s="210"/>
      <c r="E1053" s="210">
        <v>1</v>
      </c>
      <c r="F1053" s="210"/>
      <c r="G1053" s="210"/>
      <c r="H1053" s="406">
        <v>1</v>
      </c>
      <c r="I1053" s="72"/>
      <c r="J1053" s="72"/>
      <c r="K1053" s="72"/>
      <c r="L1053" s="16"/>
      <c r="M1053" s="16"/>
      <c r="N1053" s="39"/>
    </row>
    <row r="1054" spans="1:14" s="169" customFormat="1" ht="18">
      <c r="A1054" s="180" t="s">
        <v>115</v>
      </c>
      <c r="B1054" s="77" t="s">
        <v>1632</v>
      </c>
      <c r="C1054" s="70" t="s">
        <v>17</v>
      </c>
      <c r="D1054" s="210"/>
      <c r="E1054" s="210"/>
      <c r="F1054" s="210"/>
      <c r="G1054" s="210"/>
      <c r="H1054" s="406">
        <f>SUM(Tabla132112416[[#This Row],[PRIMER TRIMESTRE]:[CUARTO TRIMESTRE]])</f>
        <v>0</v>
      </c>
      <c r="I1054" s="72">
        <v>300000</v>
      </c>
      <c r="J1054" s="72">
        <f t="shared" si="27"/>
        <v>0</v>
      </c>
      <c r="K1054" s="72"/>
      <c r="L1054" s="73" t="s">
        <v>18</v>
      </c>
      <c r="M1054" s="16" t="s">
        <v>22</v>
      </c>
      <c r="N1054" s="39" t="s">
        <v>418</v>
      </c>
    </row>
    <row r="1055" spans="1:14" s="12" customFormat="1" ht="25.5">
      <c r="A1055" s="180" t="s">
        <v>115</v>
      </c>
      <c r="B1055" s="77" t="s">
        <v>940</v>
      </c>
      <c r="C1055" s="70" t="s">
        <v>17</v>
      </c>
      <c r="D1055" s="210"/>
      <c r="E1055" s="210"/>
      <c r="F1055" s="210"/>
      <c r="G1055" s="210"/>
      <c r="H1055" s="406">
        <f>SUM(Tabla132112416[[#This Row],[PRIMER TRIMESTRE]:[CUARTO TRIMESTRE]])</f>
        <v>0</v>
      </c>
      <c r="I1055" s="72">
        <v>210000</v>
      </c>
      <c r="J1055" s="72">
        <f t="shared" si="27"/>
        <v>0</v>
      </c>
      <c r="K1055" s="72"/>
      <c r="L1055" s="16" t="s">
        <v>18</v>
      </c>
      <c r="M1055" s="16" t="s">
        <v>22</v>
      </c>
      <c r="N1055" s="39" t="s">
        <v>418</v>
      </c>
    </row>
    <row r="1056" spans="1:14" s="12" customFormat="1" ht="25.5">
      <c r="A1056" s="180" t="s">
        <v>115</v>
      </c>
      <c r="B1056" s="77" t="s">
        <v>1887</v>
      </c>
      <c r="C1056" s="70" t="s">
        <v>17</v>
      </c>
      <c r="D1056" s="210"/>
      <c r="E1056" s="210">
        <v>4</v>
      </c>
      <c r="F1056" s="210"/>
      <c r="G1056" s="210"/>
      <c r="H1056" s="406">
        <v>4</v>
      </c>
      <c r="I1056" s="72">
        <v>35000</v>
      </c>
      <c r="J1056" s="72">
        <f t="shared" si="27"/>
        <v>140000</v>
      </c>
      <c r="K1056" s="72"/>
      <c r="L1056" s="16" t="s">
        <v>18</v>
      </c>
      <c r="M1056" s="16" t="s">
        <v>22</v>
      </c>
      <c r="N1056" s="39" t="s">
        <v>418</v>
      </c>
    </row>
    <row r="1057" spans="1:14" s="12" customFormat="1" ht="25.5">
      <c r="A1057" s="178" t="s">
        <v>115</v>
      </c>
      <c r="B1057" s="75" t="s">
        <v>1752</v>
      </c>
      <c r="C1057" s="39" t="s">
        <v>17</v>
      </c>
      <c r="D1057" s="210"/>
      <c r="E1057" s="210"/>
      <c r="F1057" s="210"/>
      <c r="G1057" s="210"/>
      <c r="H1057" s="406">
        <v>0</v>
      </c>
      <c r="I1057" s="72">
        <v>0</v>
      </c>
      <c r="J1057" s="72">
        <v>0</v>
      </c>
      <c r="K1057" s="72"/>
      <c r="L1057" s="73" t="s">
        <v>18</v>
      </c>
      <c r="M1057" s="16" t="s">
        <v>22</v>
      </c>
      <c r="N1057" s="39" t="s">
        <v>418</v>
      </c>
    </row>
    <row r="1058" spans="1:14" s="12" customFormat="1" ht="18">
      <c r="A1058" s="178" t="s">
        <v>115</v>
      </c>
      <c r="B1058" s="75" t="s">
        <v>1888</v>
      </c>
      <c r="C1058" s="39" t="s">
        <v>17</v>
      </c>
      <c r="D1058" s="210"/>
      <c r="E1058" s="210"/>
      <c r="F1058" s="210"/>
      <c r="G1058" s="210"/>
      <c r="H1058" s="406">
        <v>0</v>
      </c>
      <c r="I1058" s="72">
        <v>0</v>
      </c>
      <c r="J1058" s="72">
        <v>0</v>
      </c>
      <c r="K1058" s="72"/>
      <c r="L1058" s="73" t="s">
        <v>18</v>
      </c>
      <c r="M1058" s="16" t="s">
        <v>22</v>
      </c>
      <c r="N1058" s="39" t="s">
        <v>418</v>
      </c>
    </row>
    <row r="1059" spans="1:14" s="12" customFormat="1" ht="30.75" customHeight="1">
      <c r="A1059" s="178" t="s">
        <v>115</v>
      </c>
      <c r="B1059" s="75" t="s">
        <v>945</v>
      </c>
      <c r="C1059" s="39" t="s">
        <v>17</v>
      </c>
      <c r="D1059" s="236"/>
      <c r="E1059" s="236"/>
      <c r="F1059" s="236"/>
      <c r="G1059" s="236"/>
      <c r="H1059" s="40">
        <f>SUM(Tabla132112416[[#This Row],[PRIMER TRIMESTRE]:[CUARTO TRIMESTRE]])</f>
        <v>0</v>
      </c>
      <c r="I1059" s="17">
        <v>7498</v>
      </c>
      <c r="J1059" s="17">
        <f t="shared" si="27"/>
        <v>0</v>
      </c>
      <c r="K1059" s="17"/>
      <c r="L1059" s="73" t="s">
        <v>18</v>
      </c>
      <c r="M1059" s="16" t="s">
        <v>22</v>
      </c>
      <c r="N1059" s="39" t="s">
        <v>418</v>
      </c>
    </row>
    <row r="1060" spans="1:14" s="12" customFormat="1" ht="30.75" customHeight="1">
      <c r="A1060" s="178" t="s">
        <v>115</v>
      </c>
      <c r="B1060" s="75" t="s">
        <v>946</v>
      </c>
      <c r="C1060" s="39" t="s">
        <v>17</v>
      </c>
      <c r="D1060" s="236"/>
      <c r="E1060" s="236"/>
      <c r="F1060" s="236"/>
      <c r="G1060" s="236"/>
      <c r="H1060" s="40">
        <f>SUM(Tabla132112416[[#This Row],[PRIMER TRIMESTRE]:[CUARTO TRIMESTRE]])</f>
        <v>0</v>
      </c>
      <c r="I1060" s="17">
        <v>4600</v>
      </c>
      <c r="J1060" s="17">
        <f t="shared" si="27"/>
        <v>0</v>
      </c>
      <c r="K1060" s="17"/>
      <c r="L1060" s="73" t="s">
        <v>18</v>
      </c>
      <c r="M1060" s="16" t="s">
        <v>22</v>
      </c>
      <c r="N1060" s="39" t="s">
        <v>418</v>
      </c>
    </row>
    <row r="1061" spans="1:14" s="12" customFormat="1" ht="30.75" customHeight="1">
      <c r="A1061" s="178" t="s">
        <v>115</v>
      </c>
      <c r="B1061" s="75" t="s">
        <v>947</v>
      </c>
      <c r="C1061" s="39" t="s">
        <v>17</v>
      </c>
      <c r="D1061" s="236">
        <v>1</v>
      </c>
      <c r="E1061" s="236"/>
      <c r="F1061" s="236"/>
      <c r="G1061" s="236"/>
      <c r="H1061" s="40">
        <v>1</v>
      </c>
      <c r="I1061" s="17">
        <v>3496</v>
      </c>
      <c r="J1061" s="17">
        <f t="shared" si="27"/>
        <v>3496</v>
      </c>
      <c r="K1061" s="17"/>
      <c r="L1061" s="73" t="s">
        <v>18</v>
      </c>
      <c r="M1061" s="16" t="s">
        <v>22</v>
      </c>
      <c r="N1061" s="39" t="s">
        <v>418</v>
      </c>
    </row>
    <row r="1062" spans="1:14" s="12" customFormat="1" ht="30.75" customHeight="1">
      <c r="A1062" s="178"/>
      <c r="B1062" s="75"/>
      <c r="C1062" s="39"/>
      <c r="D1062" s="236"/>
      <c r="E1062" s="236"/>
      <c r="F1062" s="236"/>
      <c r="G1062" s="236"/>
      <c r="H1062" s="40"/>
      <c r="I1062" s="17"/>
      <c r="J1062" s="17"/>
      <c r="K1062" s="17"/>
      <c r="L1062" s="73"/>
      <c r="M1062" s="16"/>
      <c r="N1062" s="39"/>
    </row>
    <row r="1063" spans="1:14" s="12" customFormat="1" ht="30.75" customHeight="1">
      <c r="A1063" s="178" t="s">
        <v>115</v>
      </c>
      <c r="B1063" s="75" t="s">
        <v>1440</v>
      </c>
      <c r="C1063" s="39" t="s">
        <v>17</v>
      </c>
      <c r="D1063" s="236"/>
      <c r="E1063" s="236"/>
      <c r="F1063" s="236"/>
      <c r="G1063" s="236"/>
      <c r="H1063" s="40">
        <f>SUM(Tabla132112416[[#This Row],[PRIMER TRIMESTRE]:[CUARTO TRIMESTRE]])</f>
        <v>0</v>
      </c>
      <c r="I1063" s="17">
        <v>5310</v>
      </c>
      <c r="J1063" s="17">
        <f t="shared" si="27"/>
        <v>0</v>
      </c>
      <c r="K1063" s="17"/>
      <c r="L1063" s="73" t="s">
        <v>15</v>
      </c>
      <c r="M1063" s="16" t="s">
        <v>22</v>
      </c>
      <c r="N1063" s="39" t="s">
        <v>418</v>
      </c>
    </row>
    <row r="1064" spans="1:14" s="26" customFormat="1" ht="30.75" customHeight="1">
      <c r="A1064" s="178" t="s">
        <v>115</v>
      </c>
      <c r="B1064" s="75" t="s">
        <v>1441</v>
      </c>
      <c r="C1064" s="39" t="s">
        <v>17</v>
      </c>
      <c r="D1064" s="236"/>
      <c r="E1064" s="236"/>
      <c r="F1064" s="236"/>
      <c r="G1064" s="236"/>
      <c r="H1064" s="40">
        <f>SUM(Tabla132112416[[#This Row],[PRIMER TRIMESTRE]:[CUARTO TRIMESTRE]])</f>
        <v>0</v>
      </c>
      <c r="I1064" s="17">
        <v>5310</v>
      </c>
      <c r="J1064" s="17">
        <f t="shared" si="27"/>
        <v>0</v>
      </c>
      <c r="K1064" s="17"/>
      <c r="L1064" s="73" t="s">
        <v>15</v>
      </c>
      <c r="M1064" s="16" t="s">
        <v>22</v>
      </c>
      <c r="N1064" s="39" t="s">
        <v>418</v>
      </c>
    </row>
    <row r="1065" spans="1:14" s="12" customFormat="1" ht="30.75" customHeight="1">
      <c r="A1065" s="178" t="s">
        <v>115</v>
      </c>
      <c r="B1065" s="75" t="s">
        <v>1442</v>
      </c>
      <c r="C1065" s="39" t="s">
        <v>17</v>
      </c>
      <c r="D1065" s="236"/>
      <c r="E1065" s="236"/>
      <c r="F1065" s="236"/>
      <c r="G1065" s="236"/>
      <c r="H1065" s="40">
        <f>SUM(Tabla132112416[[#This Row],[PRIMER TRIMESTRE]:[CUARTO TRIMESTRE]])</f>
        <v>0</v>
      </c>
      <c r="I1065" s="17">
        <v>5310</v>
      </c>
      <c r="J1065" s="17">
        <f t="shared" si="27"/>
        <v>0</v>
      </c>
      <c r="K1065" s="17"/>
      <c r="L1065" s="73" t="s">
        <v>15</v>
      </c>
      <c r="M1065" s="16" t="s">
        <v>22</v>
      </c>
      <c r="N1065" s="39" t="s">
        <v>418</v>
      </c>
    </row>
    <row r="1066" spans="1:14" s="12" customFormat="1" ht="30.75" customHeight="1">
      <c r="A1066" s="179" t="s">
        <v>115</v>
      </c>
      <c r="B1066" s="76"/>
      <c r="C1066" s="42"/>
      <c r="D1066" s="237"/>
      <c r="E1066" s="237"/>
      <c r="F1066" s="237"/>
      <c r="G1066" s="237"/>
      <c r="H1066" s="43"/>
      <c r="I1066" s="24"/>
      <c r="J1066" s="24"/>
      <c r="K1066" s="25">
        <f>SUM(J1030:J1065)</f>
        <v>172041.73625000002</v>
      </c>
      <c r="L1066" s="23"/>
      <c r="M1066" s="23"/>
      <c r="N1066" s="42"/>
    </row>
    <row r="1067" spans="1:14" s="12" customFormat="1" ht="30.75" customHeight="1">
      <c r="A1067" s="178" t="s">
        <v>117</v>
      </c>
      <c r="B1067" s="75" t="s">
        <v>941</v>
      </c>
      <c r="C1067" s="39" t="s">
        <v>17</v>
      </c>
      <c r="D1067" s="236"/>
      <c r="E1067" s="236"/>
      <c r="F1067" s="236"/>
      <c r="G1067" s="236"/>
      <c r="H1067" s="40">
        <f>SUM(Tabla132112416[[#This Row],[PRIMER TRIMESTRE]:[CUARTO TRIMESTRE]])</f>
        <v>0</v>
      </c>
      <c r="I1067" s="17">
        <v>900</v>
      </c>
      <c r="J1067" s="17">
        <f>+H1067*I1067</f>
        <v>0</v>
      </c>
      <c r="K1067" s="17"/>
      <c r="L1067" s="73" t="s">
        <v>18</v>
      </c>
      <c r="M1067" s="16" t="s">
        <v>22</v>
      </c>
      <c r="N1067" s="39"/>
    </row>
    <row r="1068" spans="1:14" s="12" customFormat="1" ht="30.75" customHeight="1">
      <c r="A1068" s="178" t="s">
        <v>117</v>
      </c>
      <c r="B1068" s="75" t="s">
        <v>942</v>
      </c>
      <c r="C1068" s="39" t="s">
        <v>17</v>
      </c>
      <c r="D1068" s="236"/>
      <c r="E1068" s="236"/>
      <c r="F1068" s="236"/>
      <c r="G1068" s="236"/>
      <c r="H1068" s="40">
        <f>SUM(Tabla132112416[[#This Row],[PRIMER TRIMESTRE]:[CUARTO TRIMESTRE]])</f>
        <v>0</v>
      </c>
      <c r="I1068" s="17">
        <v>900</v>
      </c>
      <c r="J1068" s="17">
        <f>+H1068*I1068</f>
        <v>0</v>
      </c>
      <c r="K1068" s="17"/>
      <c r="L1068" s="73" t="s">
        <v>18</v>
      </c>
      <c r="M1068" s="16" t="s">
        <v>22</v>
      </c>
      <c r="N1068" s="39" t="s">
        <v>418</v>
      </c>
    </row>
    <row r="1069" spans="1:14" s="12" customFormat="1" ht="30.75" customHeight="1">
      <c r="A1069" s="178" t="s">
        <v>117</v>
      </c>
      <c r="B1069" s="75" t="s">
        <v>943</v>
      </c>
      <c r="C1069" s="39" t="s">
        <v>17</v>
      </c>
      <c r="D1069" s="236"/>
      <c r="E1069" s="236"/>
      <c r="F1069" s="236"/>
      <c r="G1069" s="236"/>
      <c r="H1069" s="40">
        <f>SUM(Tabla132112416[[#This Row],[PRIMER TRIMESTRE]:[CUARTO TRIMESTRE]])</f>
        <v>0</v>
      </c>
      <c r="I1069" s="17">
        <v>800000</v>
      </c>
      <c r="J1069" s="17">
        <f>+H1069*I1069</f>
        <v>0</v>
      </c>
      <c r="K1069" s="17"/>
      <c r="L1069" s="16" t="s">
        <v>18</v>
      </c>
      <c r="M1069" s="16" t="s">
        <v>22</v>
      </c>
      <c r="N1069" s="39" t="s">
        <v>418</v>
      </c>
    </row>
    <row r="1070" spans="1:14" s="12" customFormat="1" ht="30.75" customHeight="1">
      <c r="A1070" s="178" t="s">
        <v>117</v>
      </c>
      <c r="B1070" s="75" t="s">
        <v>1402</v>
      </c>
      <c r="C1070" s="39" t="s">
        <v>17</v>
      </c>
      <c r="D1070" s="236"/>
      <c r="E1070" s="236"/>
      <c r="F1070" s="236"/>
      <c r="G1070" s="236"/>
      <c r="H1070" s="40">
        <f>SUM(Tabla132112416[[#This Row],[PRIMER TRIMESTRE]:[CUARTO TRIMESTRE]])</f>
        <v>0</v>
      </c>
      <c r="I1070" s="17">
        <v>758</v>
      </c>
      <c r="J1070" s="17">
        <f>+Tabla132112416[[#This Row],[CANTIDAD TOTAL]]*Tabla132112416[[#This Row],[PRECIO UNITARIO ESTIMADO]]</f>
        <v>0</v>
      </c>
      <c r="K1070" s="17"/>
      <c r="L1070" s="73" t="s">
        <v>18</v>
      </c>
      <c r="M1070" s="16" t="s">
        <v>22</v>
      </c>
      <c r="N1070" s="39" t="s">
        <v>418</v>
      </c>
    </row>
    <row r="1071" spans="1:14" s="12" customFormat="1" ht="30.75" customHeight="1">
      <c r="A1071" s="178" t="s">
        <v>117</v>
      </c>
      <c r="B1071" s="75" t="s">
        <v>944</v>
      </c>
      <c r="C1071" s="39" t="s">
        <v>17</v>
      </c>
      <c r="D1071" s="236"/>
      <c r="E1071" s="236"/>
      <c r="F1071" s="236"/>
      <c r="G1071" s="236"/>
      <c r="H1071" s="40">
        <f>SUM(Tabla132112416[[#This Row],[PRIMER TRIMESTRE]:[CUARTO TRIMESTRE]])</f>
        <v>0</v>
      </c>
      <c r="I1071" s="17">
        <v>12000</v>
      </c>
      <c r="J1071" s="17">
        <f t="shared" ref="J1071:J1080" si="28">+H1071*I1071</f>
        <v>0</v>
      </c>
      <c r="K1071" s="17"/>
      <c r="L1071" s="73" t="s">
        <v>18</v>
      </c>
      <c r="M1071" s="16" t="s">
        <v>22</v>
      </c>
      <c r="N1071" s="39" t="s">
        <v>418</v>
      </c>
    </row>
    <row r="1072" spans="1:14" s="12" customFormat="1" ht="30.75" customHeight="1">
      <c r="A1072" s="178" t="s">
        <v>117</v>
      </c>
      <c r="B1072" s="75" t="s">
        <v>1755</v>
      </c>
      <c r="C1072" s="39" t="s">
        <v>17</v>
      </c>
      <c r="D1072" s="236"/>
      <c r="E1072" s="236"/>
      <c r="F1072" s="236"/>
      <c r="G1072" s="236"/>
      <c r="H1072" s="40">
        <v>0</v>
      </c>
      <c r="I1072" s="17">
        <v>0</v>
      </c>
      <c r="J1072" s="17">
        <v>0</v>
      </c>
      <c r="K1072" s="17"/>
      <c r="L1072" s="73" t="s">
        <v>18</v>
      </c>
      <c r="M1072" s="16" t="s">
        <v>22</v>
      </c>
      <c r="N1072" s="39" t="s">
        <v>418</v>
      </c>
    </row>
    <row r="1073" spans="1:14" s="12" customFormat="1" ht="30.75" customHeight="1">
      <c r="A1073" s="178" t="s">
        <v>117</v>
      </c>
      <c r="B1073" s="75" t="s">
        <v>1756</v>
      </c>
      <c r="C1073" s="39" t="s">
        <v>17</v>
      </c>
      <c r="D1073" s="236"/>
      <c r="E1073" s="236"/>
      <c r="F1073" s="236"/>
      <c r="G1073" s="236"/>
      <c r="H1073" s="40">
        <v>0</v>
      </c>
      <c r="I1073" s="17">
        <v>0</v>
      </c>
      <c r="J1073" s="17">
        <v>0</v>
      </c>
      <c r="K1073" s="17"/>
      <c r="L1073" s="73" t="s">
        <v>18</v>
      </c>
      <c r="M1073" s="16" t="s">
        <v>22</v>
      </c>
      <c r="N1073" s="39" t="s">
        <v>418</v>
      </c>
    </row>
    <row r="1074" spans="1:14" s="12" customFormat="1" ht="30.75" customHeight="1">
      <c r="A1074" s="178" t="s">
        <v>117</v>
      </c>
      <c r="B1074" s="75" t="s">
        <v>1403</v>
      </c>
      <c r="C1074" s="39" t="s">
        <v>17</v>
      </c>
      <c r="D1074" s="236"/>
      <c r="E1074" s="236"/>
      <c r="F1074" s="236"/>
      <c r="G1074" s="236"/>
      <c r="H1074" s="40">
        <f>SUM(Tabla132112416[[#This Row],[PRIMER TRIMESTRE]:[CUARTO TRIMESTRE]])</f>
        <v>0</v>
      </c>
      <c r="I1074" s="17">
        <v>250000</v>
      </c>
      <c r="J1074" s="17">
        <f t="shared" si="28"/>
        <v>0</v>
      </c>
      <c r="K1074" s="17"/>
      <c r="L1074" s="73" t="s">
        <v>18</v>
      </c>
      <c r="M1074" s="16" t="s">
        <v>22</v>
      </c>
      <c r="N1074" s="39" t="s">
        <v>418</v>
      </c>
    </row>
    <row r="1075" spans="1:14" s="12" customFormat="1" ht="30.75" customHeight="1">
      <c r="A1075" s="178" t="s">
        <v>117</v>
      </c>
      <c r="B1075" s="75" t="s">
        <v>1420</v>
      </c>
      <c r="C1075" s="39" t="s">
        <v>17</v>
      </c>
      <c r="D1075" s="236"/>
      <c r="E1075" s="236"/>
      <c r="F1075" s="236"/>
      <c r="G1075" s="236"/>
      <c r="H1075" s="40">
        <f>SUM(Tabla132112416[[#This Row],[PRIMER TRIMESTRE]:[CUARTO TRIMESTRE]])</f>
        <v>0</v>
      </c>
      <c r="I1075" s="17">
        <v>25000000</v>
      </c>
      <c r="J1075" s="17">
        <f t="shared" si="28"/>
        <v>0</v>
      </c>
      <c r="K1075" s="17"/>
      <c r="L1075" s="16" t="s">
        <v>18</v>
      </c>
      <c r="M1075" s="16" t="s">
        <v>22</v>
      </c>
      <c r="N1075" s="39" t="s">
        <v>418</v>
      </c>
    </row>
    <row r="1076" spans="1:14" s="12" customFormat="1" ht="30.75" customHeight="1">
      <c r="A1076" s="178" t="s">
        <v>117</v>
      </c>
      <c r="B1076" s="75" t="s">
        <v>1404</v>
      </c>
      <c r="C1076" s="39" t="s">
        <v>17</v>
      </c>
      <c r="D1076" s="236"/>
      <c r="E1076" s="236"/>
      <c r="F1076" s="236"/>
      <c r="G1076" s="236"/>
      <c r="H1076" s="40">
        <f>SUM(Tabla132112416[[#This Row],[PRIMER TRIMESTRE]:[CUARTO TRIMESTRE]])</f>
        <v>0</v>
      </c>
      <c r="I1076" s="17">
        <v>327618.2</v>
      </c>
      <c r="J1076" s="17">
        <f t="shared" si="28"/>
        <v>0</v>
      </c>
      <c r="K1076" s="17"/>
      <c r="L1076" s="73" t="s">
        <v>18</v>
      </c>
      <c r="M1076" s="16" t="s">
        <v>22</v>
      </c>
      <c r="N1076" s="39" t="s">
        <v>418</v>
      </c>
    </row>
    <row r="1077" spans="1:14" s="12" customFormat="1" ht="30.75" customHeight="1">
      <c r="A1077" s="178" t="s">
        <v>117</v>
      </c>
      <c r="B1077" s="75" t="s">
        <v>1405</v>
      </c>
      <c r="C1077" s="39" t="s">
        <v>17</v>
      </c>
      <c r="D1077" s="236"/>
      <c r="E1077" s="236"/>
      <c r="F1077" s="236"/>
      <c r="G1077" s="236"/>
      <c r="H1077" s="40">
        <f>SUM(Tabla132112416[[#This Row],[PRIMER TRIMESTRE]:[CUARTO TRIMESTRE]])</f>
        <v>0</v>
      </c>
      <c r="I1077" s="17">
        <v>815223.95</v>
      </c>
      <c r="J1077" s="17">
        <f t="shared" si="28"/>
        <v>0</v>
      </c>
      <c r="K1077" s="17"/>
      <c r="L1077" s="16" t="s">
        <v>18</v>
      </c>
      <c r="M1077" s="16" t="s">
        <v>22</v>
      </c>
      <c r="N1077" s="39" t="s">
        <v>418</v>
      </c>
    </row>
    <row r="1078" spans="1:14" s="12" customFormat="1" ht="30.75" customHeight="1">
      <c r="A1078" s="178" t="s">
        <v>117</v>
      </c>
      <c r="B1078" s="75" t="s">
        <v>1406</v>
      </c>
      <c r="C1078" s="39" t="s">
        <v>17</v>
      </c>
      <c r="D1078" s="236"/>
      <c r="E1078" s="236"/>
      <c r="F1078" s="236"/>
      <c r="G1078" s="236"/>
      <c r="H1078" s="40">
        <f>SUM(Tabla132112416[[#This Row],[PRIMER TRIMESTRE]:[CUARTO TRIMESTRE]])</f>
        <v>0</v>
      </c>
      <c r="I1078" s="17">
        <v>341286.40000000002</v>
      </c>
      <c r="J1078" s="17">
        <f t="shared" si="28"/>
        <v>0</v>
      </c>
      <c r="K1078" s="17"/>
      <c r="L1078" s="73" t="s">
        <v>18</v>
      </c>
      <c r="M1078" s="16" t="s">
        <v>22</v>
      </c>
      <c r="N1078" s="39" t="s">
        <v>418</v>
      </c>
    </row>
    <row r="1079" spans="1:14" s="26" customFormat="1" ht="30.75" customHeight="1">
      <c r="A1079" s="178" t="s">
        <v>117</v>
      </c>
      <c r="B1079" s="75" t="s">
        <v>1407</v>
      </c>
      <c r="C1079" s="39" t="s">
        <v>17</v>
      </c>
      <c r="D1079" s="236"/>
      <c r="E1079" s="236"/>
      <c r="F1079" s="236"/>
      <c r="G1079" s="236"/>
      <c r="H1079" s="40">
        <f>SUM(Tabla132112416[[#This Row],[PRIMER TRIMESTRE]:[CUARTO TRIMESTRE]])</f>
        <v>0</v>
      </c>
      <c r="I1079" s="17">
        <v>498739.15</v>
      </c>
      <c r="J1079" s="17">
        <f t="shared" si="28"/>
        <v>0</v>
      </c>
      <c r="K1079" s="17"/>
      <c r="L1079" s="73" t="s">
        <v>18</v>
      </c>
      <c r="M1079" s="16" t="s">
        <v>22</v>
      </c>
      <c r="N1079" s="39" t="s">
        <v>418</v>
      </c>
    </row>
    <row r="1080" spans="1:14" s="12" customFormat="1" ht="30.75" customHeight="1">
      <c r="A1080" s="178" t="s">
        <v>117</v>
      </c>
      <c r="B1080" s="75" t="s">
        <v>1408</v>
      </c>
      <c r="C1080" s="39" t="s">
        <v>17</v>
      </c>
      <c r="D1080" s="236"/>
      <c r="E1080" s="236"/>
      <c r="F1080" s="236"/>
      <c r="G1080" s="236"/>
      <c r="H1080" s="40">
        <f>SUM(Tabla132112416[[#This Row],[PRIMER TRIMESTRE]:[CUARTO TRIMESTRE]])</f>
        <v>0</v>
      </c>
      <c r="I1080" s="17">
        <v>48163257.060000002</v>
      </c>
      <c r="J1080" s="17">
        <f t="shared" si="28"/>
        <v>0</v>
      </c>
      <c r="K1080" s="17"/>
      <c r="L1080" s="16" t="s">
        <v>18</v>
      </c>
      <c r="M1080" s="16" t="s">
        <v>22</v>
      </c>
      <c r="N1080" s="39" t="s">
        <v>418</v>
      </c>
    </row>
    <row r="1081" spans="1:14" s="12" customFormat="1" ht="30.75" customHeight="1">
      <c r="A1081" s="179" t="s">
        <v>117</v>
      </c>
      <c r="B1081" s="76" t="s">
        <v>891</v>
      </c>
      <c r="C1081" s="42"/>
      <c r="D1081" s="237"/>
      <c r="E1081" s="237"/>
      <c r="F1081" s="237"/>
      <c r="G1081" s="237"/>
      <c r="H1081" s="43"/>
      <c r="I1081" s="24"/>
      <c r="J1081" s="24"/>
      <c r="K1081" s="25">
        <f>SUM(J1067:J1080)</f>
        <v>0</v>
      </c>
      <c r="L1081" s="23"/>
      <c r="M1081" s="23"/>
      <c r="N1081" s="42"/>
    </row>
    <row r="1082" spans="1:14" s="12" customFormat="1" ht="30.75" customHeight="1">
      <c r="A1082" s="178" t="s">
        <v>118</v>
      </c>
      <c r="B1082" s="75" t="s">
        <v>2573</v>
      </c>
      <c r="C1082" s="39" t="s">
        <v>17</v>
      </c>
      <c r="D1082" s="236"/>
      <c r="E1082" s="236">
        <v>2</v>
      </c>
      <c r="F1082" s="236">
        <v>2</v>
      </c>
      <c r="G1082" s="236"/>
      <c r="H1082" s="40">
        <v>4</v>
      </c>
      <c r="I1082" s="17">
        <v>7544.8</v>
      </c>
      <c r="J1082" s="17">
        <f>+Tabla132112416[[#This Row],[CANTIDAD TOTAL]]*Tabla132112416[[#This Row],[PRECIO UNITARIO ESTIMADO]]</f>
        <v>30179.200000000001</v>
      </c>
      <c r="K1082" s="17"/>
      <c r="L1082" s="73" t="s">
        <v>27</v>
      </c>
      <c r="M1082" s="16" t="s">
        <v>22</v>
      </c>
      <c r="N1082" s="39" t="s">
        <v>418</v>
      </c>
    </row>
    <row r="1083" spans="1:14" s="12" customFormat="1" ht="30.75" customHeight="1">
      <c r="A1083" s="178" t="s">
        <v>118</v>
      </c>
      <c r="B1083" s="75" t="s">
        <v>2574</v>
      </c>
      <c r="C1083" s="39" t="s">
        <v>17</v>
      </c>
      <c r="D1083" s="236">
        <v>10</v>
      </c>
      <c r="E1083" s="236"/>
      <c r="F1083" s="236"/>
      <c r="G1083" s="236"/>
      <c r="H1083" s="40">
        <v>10</v>
      </c>
      <c r="I1083" s="17">
        <v>4756</v>
      </c>
      <c r="J1083" s="17">
        <f>+Tabla132112416[[#This Row],[CANTIDAD TOTAL]]*Tabla132112416[[#This Row],[PRECIO UNITARIO ESTIMADO]]</f>
        <v>47560</v>
      </c>
      <c r="K1083" s="17"/>
      <c r="L1083" s="73" t="s">
        <v>27</v>
      </c>
      <c r="M1083" s="16" t="s">
        <v>22</v>
      </c>
      <c r="N1083" s="39" t="s">
        <v>418</v>
      </c>
    </row>
    <row r="1084" spans="1:14" s="12" customFormat="1" ht="30.75" customHeight="1">
      <c r="A1084" s="178" t="s">
        <v>118</v>
      </c>
      <c r="B1084" s="75" t="s">
        <v>243</v>
      </c>
      <c r="C1084" s="39" t="s">
        <v>17</v>
      </c>
      <c r="D1084" s="236"/>
      <c r="E1084" s="236">
        <v>1</v>
      </c>
      <c r="F1084" s="236"/>
      <c r="G1084" s="236"/>
      <c r="H1084" s="40">
        <v>1</v>
      </c>
      <c r="I1084" s="17">
        <v>4610.34</v>
      </c>
      <c r="J1084" s="17">
        <f>+Tabla132112416[[#This Row],[CANTIDAD TOTAL]]*Tabla132112416[[#This Row],[PRECIO UNITARIO ESTIMADO]]</f>
        <v>4610.34</v>
      </c>
      <c r="K1084" s="17"/>
      <c r="L1084" s="73" t="s">
        <v>27</v>
      </c>
      <c r="M1084" s="16" t="s">
        <v>22</v>
      </c>
      <c r="N1084" s="39" t="s">
        <v>418</v>
      </c>
    </row>
    <row r="1085" spans="1:14" s="12" customFormat="1" ht="30.75" customHeight="1">
      <c r="A1085" s="178" t="s">
        <v>118</v>
      </c>
      <c r="B1085" s="75" t="s">
        <v>336</v>
      </c>
      <c r="C1085" s="39" t="s">
        <v>17</v>
      </c>
      <c r="D1085" s="236"/>
      <c r="E1085" s="236">
        <v>1</v>
      </c>
      <c r="F1085" s="236"/>
      <c r="G1085" s="236"/>
      <c r="H1085" s="40">
        <v>1</v>
      </c>
      <c r="I1085" s="17">
        <v>10115</v>
      </c>
      <c r="J1085" s="17">
        <f>+Tabla132112416[[#This Row],[CANTIDAD TOTAL]]*Tabla132112416[[#This Row],[PRECIO UNITARIO ESTIMADO]]</f>
        <v>10115</v>
      </c>
      <c r="K1085" s="17"/>
      <c r="L1085" s="73" t="s">
        <v>27</v>
      </c>
      <c r="M1085" s="16" t="s">
        <v>22</v>
      </c>
      <c r="N1085" s="39" t="s">
        <v>418</v>
      </c>
    </row>
    <row r="1086" spans="1:14" s="12" customFormat="1" ht="30.75" customHeight="1">
      <c r="A1086" s="178" t="s">
        <v>118</v>
      </c>
      <c r="B1086" s="75" t="s">
        <v>1322</v>
      </c>
      <c r="C1086" s="39" t="s">
        <v>17</v>
      </c>
      <c r="D1086" s="236"/>
      <c r="E1086" s="236"/>
      <c r="F1086" s="236"/>
      <c r="G1086" s="236"/>
      <c r="H1086" s="40">
        <f>SUM(Tabla132112416[[#This Row],[PRIMER TRIMESTRE]:[CUARTO TRIMESTRE]])</f>
        <v>0</v>
      </c>
      <c r="I1086" s="17">
        <f>+(5938.35+4838)/2</f>
        <v>5388.1750000000002</v>
      </c>
      <c r="J1086" s="17">
        <f>+Tabla132112416[[#This Row],[CANTIDAD TOTAL]]*Tabla132112416[[#This Row],[PRECIO UNITARIO ESTIMADO]]</f>
        <v>0</v>
      </c>
      <c r="K1086" s="17"/>
      <c r="L1086" s="73" t="s">
        <v>27</v>
      </c>
      <c r="M1086" s="16" t="s">
        <v>22</v>
      </c>
      <c r="N1086" s="39" t="s">
        <v>418</v>
      </c>
    </row>
    <row r="1087" spans="1:14" s="12" customFormat="1" ht="30.75" customHeight="1">
      <c r="A1087" s="178" t="s">
        <v>118</v>
      </c>
      <c r="B1087" s="75" t="s">
        <v>334</v>
      </c>
      <c r="C1087" s="39" t="s">
        <v>17</v>
      </c>
      <c r="D1087" s="236"/>
      <c r="E1087" s="236">
        <v>1</v>
      </c>
      <c r="F1087" s="236"/>
      <c r="G1087" s="236"/>
      <c r="H1087" s="40">
        <v>1</v>
      </c>
      <c r="I1087" s="17">
        <v>7080</v>
      </c>
      <c r="J1087" s="17">
        <f>+Tabla132112416[[#This Row],[CANTIDAD TOTAL]]*Tabla132112416[[#This Row],[PRECIO UNITARIO ESTIMADO]]</f>
        <v>7080</v>
      </c>
      <c r="K1087" s="17"/>
      <c r="L1087" s="73" t="s">
        <v>27</v>
      </c>
      <c r="M1087" s="16" t="s">
        <v>22</v>
      </c>
      <c r="N1087" s="39" t="s">
        <v>418</v>
      </c>
    </row>
    <row r="1088" spans="1:14" s="12" customFormat="1" ht="30.75" customHeight="1">
      <c r="A1088" s="178" t="s">
        <v>118</v>
      </c>
      <c r="B1088" s="75" t="s">
        <v>340</v>
      </c>
      <c r="C1088" s="39" t="s">
        <v>17</v>
      </c>
      <c r="D1088" s="236"/>
      <c r="E1088" s="236"/>
      <c r="F1088" s="236">
        <v>4</v>
      </c>
      <c r="G1088" s="236"/>
      <c r="H1088" s="40">
        <v>4</v>
      </c>
      <c r="I1088" s="17">
        <v>13684.27</v>
      </c>
      <c r="J1088" s="17">
        <f>+Tabla132112416[[#This Row],[CANTIDAD TOTAL]]*Tabla132112416[[#This Row],[PRECIO UNITARIO ESTIMADO]]</f>
        <v>54737.08</v>
      </c>
      <c r="K1088" s="17"/>
      <c r="L1088" s="73" t="s">
        <v>15</v>
      </c>
      <c r="M1088" s="16" t="s">
        <v>22</v>
      </c>
      <c r="N1088" s="39" t="s">
        <v>418</v>
      </c>
    </row>
    <row r="1089" spans="1:14" s="12" customFormat="1" ht="30.75" customHeight="1">
      <c r="A1089" s="178" t="s">
        <v>118</v>
      </c>
      <c r="B1089" s="75" t="s">
        <v>1138</v>
      </c>
      <c r="C1089" s="39" t="s">
        <v>1067</v>
      </c>
      <c r="D1089" s="236"/>
      <c r="E1089" s="236">
        <v>1</v>
      </c>
      <c r="F1089" s="236"/>
      <c r="G1089" s="236"/>
      <c r="H1089" s="40">
        <v>1</v>
      </c>
      <c r="I1089" s="17">
        <v>3000</v>
      </c>
      <c r="J1089" s="17">
        <f>+H1089*I1089</f>
        <v>3000</v>
      </c>
      <c r="K1089" s="17"/>
      <c r="L1089" s="73" t="s">
        <v>15</v>
      </c>
      <c r="M1089" s="16" t="s">
        <v>22</v>
      </c>
      <c r="N1089" s="39" t="s">
        <v>418</v>
      </c>
    </row>
    <row r="1090" spans="1:14" s="12" customFormat="1" ht="30.75" customHeight="1">
      <c r="A1090" s="178" t="s">
        <v>118</v>
      </c>
      <c r="B1090" s="75" t="s">
        <v>245</v>
      </c>
      <c r="C1090" s="39" t="s">
        <v>17</v>
      </c>
      <c r="D1090" s="236"/>
      <c r="E1090" s="236"/>
      <c r="F1090" s="236"/>
      <c r="G1090" s="236"/>
      <c r="H1090" s="40">
        <f>SUM(Tabla132112416[[#This Row],[PRIMER TRIMESTRE]:[CUARTO TRIMESTRE]])</f>
        <v>0</v>
      </c>
      <c r="I1090" s="17">
        <v>10788</v>
      </c>
      <c r="J1090" s="17">
        <f>+Tabla132112416[[#This Row],[CANTIDAD TOTAL]]*Tabla132112416[[#This Row],[PRECIO UNITARIO ESTIMADO]]</f>
        <v>0</v>
      </c>
      <c r="K1090" s="17"/>
      <c r="L1090" s="73" t="s">
        <v>15</v>
      </c>
      <c r="M1090" s="16" t="s">
        <v>22</v>
      </c>
      <c r="N1090" s="39" t="s">
        <v>418</v>
      </c>
    </row>
    <row r="1091" spans="1:14" s="12" customFormat="1" ht="30.75" customHeight="1">
      <c r="A1091" s="178" t="s">
        <v>118</v>
      </c>
      <c r="B1091" s="75" t="s">
        <v>246</v>
      </c>
      <c r="C1091" s="39" t="s">
        <v>17</v>
      </c>
      <c r="D1091" s="236"/>
      <c r="E1091" s="236"/>
      <c r="F1091" s="236"/>
      <c r="G1091" s="236"/>
      <c r="H1091" s="40">
        <f>SUM(Tabla132112416[[#This Row],[PRIMER TRIMESTRE]:[CUARTO TRIMESTRE]])</f>
        <v>0</v>
      </c>
      <c r="I1091" s="17">
        <v>2467.71</v>
      </c>
      <c r="J1091" s="17">
        <f>+Tabla132112416[[#This Row],[CANTIDAD TOTAL]]*Tabla132112416[[#This Row],[PRECIO UNITARIO ESTIMADO]]</f>
        <v>0</v>
      </c>
      <c r="K1091" s="17"/>
      <c r="L1091" s="73" t="s">
        <v>27</v>
      </c>
      <c r="M1091" s="16" t="s">
        <v>22</v>
      </c>
      <c r="N1091" s="39" t="s">
        <v>418</v>
      </c>
    </row>
    <row r="1092" spans="1:14" s="12" customFormat="1" ht="30.75" customHeight="1">
      <c r="A1092" s="178" t="s">
        <v>118</v>
      </c>
      <c r="B1092" s="75" t="s">
        <v>247</v>
      </c>
      <c r="C1092" s="39" t="s">
        <v>17</v>
      </c>
      <c r="D1092" s="236"/>
      <c r="E1092" s="236"/>
      <c r="F1092" s="236"/>
      <c r="G1092" s="236"/>
      <c r="H1092" s="40">
        <f>SUM(Tabla132112416[[#This Row],[PRIMER TRIMESTRE]:[CUARTO TRIMESTRE]])</f>
        <v>0</v>
      </c>
      <c r="I1092" s="17">
        <v>14434.48</v>
      </c>
      <c r="J1092" s="17">
        <f>+Tabla132112416[[#This Row],[CANTIDAD TOTAL]]*Tabla132112416[[#This Row],[PRECIO UNITARIO ESTIMADO]]</f>
        <v>0</v>
      </c>
      <c r="K1092" s="17"/>
      <c r="L1092" s="73" t="s">
        <v>15</v>
      </c>
      <c r="M1092" s="16" t="s">
        <v>22</v>
      </c>
      <c r="N1092" s="39" t="s">
        <v>418</v>
      </c>
    </row>
    <row r="1093" spans="1:14" s="12" customFormat="1" ht="30.75" customHeight="1">
      <c r="A1093" s="178" t="s">
        <v>118</v>
      </c>
      <c r="B1093" s="75" t="s">
        <v>1604</v>
      </c>
      <c r="C1093" s="39" t="s">
        <v>17</v>
      </c>
      <c r="D1093" s="236">
        <v>1</v>
      </c>
      <c r="E1093" s="236"/>
      <c r="F1093" s="236"/>
      <c r="G1093" s="236"/>
      <c r="H1093" s="40">
        <v>1</v>
      </c>
      <c r="I1093" s="17">
        <v>4800</v>
      </c>
      <c r="J1093" s="17">
        <f>+H1093*I1093</f>
        <v>4800</v>
      </c>
      <c r="K1093" s="17"/>
      <c r="L1093" s="73" t="s">
        <v>27</v>
      </c>
      <c r="M1093" s="16" t="s">
        <v>22</v>
      </c>
      <c r="N1093" s="39" t="s">
        <v>418</v>
      </c>
    </row>
    <row r="1094" spans="1:14" s="12" customFormat="1" ht="30.75" customHeight="1">
      <c r="A1094" s="178" t="s">
        <v>118</v>
      </c>
      <c r="B1094" s="75" t="s">
        <v>339</v>
      </c>
      <c r="C1094" s="39" t="s">
        <v>17</v>
      </c>
      <c r="D1094" s="236"/>
      <c r="E1094" s="236"/>
      <c r="F1094" s="236"/>
      <c r="G1094" s="236"/>
      <c r="H1094" s="40">
        <f>SUM(Tabla132112416[[#This Row],[PRIMER TRIMESTRE]:[CUARTO TRIMESTRE]])</f>
        <v>0</v>
      </c>
      <c r="I1094" s="17">
        <f>115079.5/24</f>
        <v>4794.979166666667</v>
      </c>
      <c r="J1094" s="17">
        <f>+Tabla132112416[[#This Row],[CANTIDAD TOTAL]]*Tabla132112416[[#This Row],[PRECIO UNITARIO ESTIMADO]]</f>
        <v>0</v>
      </c>
      <c r="K1094" s="17"/>
      <c r="L1094" s="73" t="s">
        <v>15</v>
      </c>
      <c r="M1094" s="16" t="s">
        <v>22</v>
      </c>
      <c r="N1094" s="39" t="s">
        <v>418</v>
      </c>
    </row>
    <row r="1095" spans="1:14" s="12" customFormat="1" ht="30.75" customHeight="1">
      <c r="A1095" s="178" t="s">
        <v>118</v>
      </c>
      <c r="B1095" s="75" t="s">
        <v>248</v>
      </c>
      <c r="C1095" s="39" t="s">
        <v>17</v>
      </c>
      <c r="D1095" s="236"/>
      <c r="E1095" s="236"/>
      <c r="F1095" s="236"/>
      <c r="G1095" s="236"/>
      <c r="H1095" s="40">
        <v>0</v>
      </c>
      <c r="I1095" s="17">
        <v>2262</v>
      </c>
      <c r="J1095" s="17">
        <f>+Tabla132112416[[#This Row],[CANTIDAD TOTAL]]*Tabla132112416[[#This Row],[PRECIO UNITARIO ESTIMADO]]</f>
        <v>0</v>
      </c>
      <c r="K1095" s="17"/>
      <c r="L1095" s="73" t="s">
        <v>15</v>
      </c>
      <c r="M1095" s="16" t="s">
        <v>22</v>
      </c>
      <c r="N1095" s="39" t="s">
        <v>418</v>
      </c>
    </row>
    <row r="1096" spans="1:14" s="12" customFormat="1" ht="30.75" customHeight="1">
      <c r="A1096" s="178" t="s">
        <v>118</v>
      </c>
      <c r="B1096" s="75" t="s">
        <v>249</v>
      </c>
      <c r="C1096" s="39" t="s">
        <v>17</v>
      </c>
      <c r="D1096" s="236">
        <v>10</v>
      </c>
      <c r="E1096" s="236"/>
      <c r="F1096" s="236"/>
      <c r="G1096" s="236"/>
      <c r="H1096" s="40">
        <v>10</v>
      </c>
      <c r="I1096" s="17">
        <v>3250</v>
      </c>
      <c r="J1096" s="17">
        <f>+Tabla132112416[[#This Row],[CANTIDAD TOTAL]]*Tabla132112416[[#This Row],[PRECIO UNITARIO ESTIMADO]]</f>
        <v>32500</v>
      </c>
      <c r="K1096" s="17"/>
      <c r="L1096" s="73" t="s">
        <v>27</v>
      </c>
      <c r="M1096" s="16" t="s">
        <v>22</v>
      </c>
      <c r="N1096" s="39" t="s">
        <v>418</v>
      </c>
    </row>
    <row r="1097" spans="1:14" s="26" customFormat="1" ht="30.75" customHeight="1">
      <c r="A1097" s="178" t="s">
        <v>118</v>
      </c>
      <c r="B1097" s="75" t="s">
        <v>250</v>
      </c>
      <c r="C1097" s="39" t="s">
        <v>17</v>
      </c>
      <c r="D1097" s="236">
        <v>3</v>
      </c>
      <c r="E1097" s="236"/>
      <c r="F1097" s="236"/>
      <c r="G1097" s="236"/>
      <c r="H1097" s="40">
        <v>3</v>
      </c>
      <c r="I1097" s="17">
        <v>3959.88</v>
      </c>
      <c r="J1097" s="17">
        <f>+Tabla132112416[[#This Row],[CANTIDAD TOTAL]]*Tabla132112416[[#This Row],[PRECIO UNITARIO ESTIMADO]]</f>
        <v>11879.64</v>
      </c>
      <c r="K1097" s="17"/>
      <c r="L1097" s="73" t="s">
        <v>27</v>
      </c>
      <c r="M1097" s="16" t="s">
        <v>22</v>
      </c>
      <c r="N1097" s="39" t="s">
        <v>418</v>
      </c>
    </row>
    <row r="1098" spans="1:14" s="12" customFormat="1" ht="30.75" customHeight="1">
      <c r="A1098" s="178" t="s">
        <v>118</v>
      </c>
      <c r="B1098" s="75" t="s">
        <v>323</v>
      </c>
      <c r="C1098" s="39" t="s">
        <v>17</v>
      </c>
      <c r="D1098" s="236"/>
      <c r="E1098" s="236"/>
      <c r="F1098" s="236"/>
      <c r="G1098" s="236"/>
      <c r="H1098" s="40">
        <f>SUM(Tabla132112416[[#This Row],[PRIMER TRIMESTRE]:[CUARTO TRIMESTRE]])</f>
        <v>0</v>
      </c>
      <c r="I1098" s="17">
        <f>16086.57/3</f>
        <v>5362.19</v>
      </c>
      <c r="J1098" s="17">
        <f>+Tabla132112416[[#This Row],[CANTIDAD TOTAL]]*Tabla132112416[[#This Row],[PRECIO UNITARIO ESTIMADO]]</f>
        <v>0</v>
      </c>
      <c r="K1098" s="17"/>
      <c r="L1098" s="73" t="s">
        <v>15</v>
      </c>
      <c r="M1098" s="16" t="s">
        <v>22</v>
      </c>
      <c r="N1098" s="39" t="s">
        <v>418</v>
      </c>
    </row>
    <row r="1099" spans="1:14" s="12" customFormat="1" ht="30.75" customHeight="1">
      <c r="A1099" s="179" t="s">
        <v>118</v>
      </c>
      <c r="B1099" s="76"/>
      <c r="C1099" s="42"/>
      <c r="D1099" s="237"/>
      <c r="E1099" s="237"/>
      <c r="F1099" s="237"/>
      <c r="G1099" s="237"/>
      <c r="H1099" s="43"/>
      <c r="I1099" s="24"/>
      <c r="J1099" s="24"/>
      <c r="K1099" s="25">
        <f>SUM(J1082:J1098)</f>
        <v>206461.26</v>
      </c>
      <c r="L1099" s="23"/>
      <c r="M1099" s="23"/>
      <c r="N1099" s="42"/>
    </row>
    <row r="1100" spans="1:14" s="12" customFormat="1" ht="30.75" customHeight="1">
      <c r="A1100" s="178" t="s">
        <v>119</v>
      </c>
      <c r="B1100" s="75" t="s">
        <v>341</v>
      </c>
      <c r="C1100" s="39" t="s">
        <v>17</v>
      </c>
      <c r="D1100" s="236"/>
      <c r="E1100" s="236"/>
      <c r="F1100" s="236"/>
      <c r="G1100" s="236"/>
      <c r="H1100" s="40">
        <f>SUM(Tabla132112416[[#This Row],[PRIMER TRIMESTRE]:[CUARTO TRIMESTRE]])</f>
        <v>0</v>
      </c>
      <c r="I1100" s="17">
        <f>2160.9+22288+501.5+6355.8+18041.9+5084.64+8389.8+3050.76+2466.06+1983.5+6203.28</f>
        <v>76526.14</v>
      </c>
      <c r="J1100" s="17">
        <f>+Tabla132112416[[#This Row],[CANTIDAD TOTAL]]*Tabla132112416[[#This Row],[PRECIO UNITARIO ESTIMADO]]</f>
        <v>0</v>
      </c>
      <c r="K1100" s="17"/>
      <c r="L1100" s="16" t="s">
        <v>15</v>
      </c>
      <c r="M1100" s="16" t="s">
        <v>22</v>
      </c>
      <c r="N1100" s="39" t="s">
        <v>418</v>
      </c>
    </row>
    <row r="1101" spans="1:14" s="12" customFormat="1" ht="30.75" customHeight="1">
      <c r="A1101" s="178" t="s">
        <v>119</v>
      </c>
      <c r="B1101" s="75" t="s">
        <v>252</v>
      </c>
      <c r="C1101" s="39" t="s">
        <v>17</v>
      </c>
      <c r="D1101" s="236"/>
      <c r="E1101" s="236"/>
      <c r="F1101" s="236"/>
      <c r="G1101" s="236"/>
      <c r="H1101" s="40">
        <f>SUM(Tabla132112416[[#This Row],[PRIMER TRIMESTRE]:[CUARTO TRIMESTRE]])</f>
        <v>0</v>
      </c>
      <c r="I1101" s="17">
        <v>26.45</v>
      </c>
      <c r="J1101" s="17">
        <f>+Tabla132112416[[#This Row],[CANTIDAD TOTAL]]*Tabla132112416[[#This Row],[PRECIO UNITARIO ESTIMADO]]</f>
        <v>0</v>
      </c>
      <c r="K1101" s="17"/>
      <c r="L1101" s="16" t="s">
        <v>15</v>
      </c>
      <c r="M1101" s="16" t="s">
        <v>22</v>
      </c>
      <c r="N1101" s="39" t="s">
        <v>418</v>
      </c>
    </row>
    <row r="1102" spans="1:14" s="12" customFormat="1" ht="30.75" customHeight="1">
      <c r="A1102" s="178" t="s">
        <v>119</v>
      </c>
      <c r="B1102" s="75" t="s">
        <v>1606</v>
      </c>
      <c r="C1102" s="39" t="s">
        <v>17</v>
      </c>
      <c r="D1102" s="236">
        <v>1</v>
      </c>
      <c r="E1102" s="236"/>
      <c r="F1102" s="236"/>
      <c r="G1102" s="236"/>
      <c r="H1102" s="40">
        <v>1</v>
      </c>
      <c r="I1102" s="17">
        <v>8000</v>
      </c>
      <c r="J1102" s="17">
        <f>+H1102*I1102</f>
        <v>8000</v>
      </c>
      <c r="K1102" s="17"/>
      <c r="L1102" s="16" t="s">
        <v>15</v>
      </c>
      <c r="M1102" s="16" t="s">
        <v>22</v>
      </c>
      <c r="N1102" s="39" t="s">
        <v>418</v>
      </c>
    </row>
    <row r="1103" spans="1:14" s="12" customFormat="1" ht="30.75" customHeight="1">
      <c r="A1103" s="178" t="s">
        <v>119</v>
      </c>
      <c r="B1103" s="75" t="s">
        <v>1605</v>
      </c>
      <c r="C1103" s="39" t="s">
        <v>17</v>
      </c>
      <c r="D1103" s="236"/>
      <c r="E1103" s="236"/>
      <c r="F1103" s="236"/>
      <c r="G1103" s="236"/>
      <c r="H1103" s="40">
        <f>SUM(Tabla132112416[[#This Row],[PRIMER TRIMESTRE]:[CUARTO TRIMESTRE]])</f>
        <v>0</v>
      </c>
      <c r="I1103" s="17">
        <v>12500</v>
      </c>
      <c r="J1103" s="17">
        <f>+H1103*I1103</f>
        <v>0</v>
      </c>
      <c r="K1103" s="17"/>
      <c r="L1103" s="16" t="s">
        <v>15</v>
      </c>
      <c r="M1103" s="16" t="s">
        <v>22</v>
      </c>
      <c r="N1103" s="39" t="s">
        <v>418</v>
      </c>
    </row>
    <row r="1104" spans="1:14" s="12" customFormat="1" ht="30.75" customHeight="1">
      <c r="A1104" s="178" t="s">
        <v>119</v>
      </c>
      <c r="B1104" s="75" t="s">
        <v>256</v>
      </c>
      <c r="C1104" s="39" t="s">
        <v>17</v>
      </c>
      <c r="D1104" s="236">
        <v>18</v>
      </c>
      <c r="E1104" s="236"/>
      <c r="F1104" s="236"/>
      <c r="G1104" s="236"/>
      <c r="H1104" s="40">
        <v>18</v>
      </c>
      <c r="I1104" s="17">
        <v>434.24</v>
      </c>
      <c r="J1104" s="17">
        <f>+Tabla132112416[[#This Row],[CANTIDAD TOTAL]]*Tabla132112416[[#This Row],[PRECIO UNITARIO ESTIMADO]]</f>
        <v>7816.32</v>
      </c>
      <c r="K1104" s="17"/>
      <c r="L1104" s="16" t="s">
        <v>15</v>
      </c>
      <c r="M1104" s="16" t="s">
        <v>22</v>
      </c>
      <c r="N1104" s="39" t="s">
        <v>418</v>
      </c>
    </row>
    <row r="1105" spans="1:14" s="26" customFormat="1" ht="30.75" customHeight="1">
      <c r="A1105" s="178" t="s">
        <v>119</v>
      </c>
      <c r="B1105" s="75" t="s">
        <v>324</v>
      </c>
      <c r="C1105" s="39" t="s">
        <v>17</v>
      </c>
      <c r="D1105" s="236"/>
      <c r="E1105" s="236"/>
      <c r="F1105" s="236"/>
      <c r="G1105" s="236"/>
      <c r="H1105" s="40">
        <f>SUM(Tabla132112416[[#This Row],[PRIMER TRIMESTRE]:[CUARTO TRIMESTRE]])</f>
        <v>0</v>
      </c>
      <c r="I1105" s="17">
        <f>3536.75/2</f>
        <v>1768.375</v>
      </c>
      <c r="J1105" s="17">
        <f>+Tabla132112416[[#This Row],[CANTIDAD TOTAL]]*Tabla132112416[[#This Row],[PRECIO UNITARIO ESTIMADO]]</f>
        <v>0</v>
      </c>
      <c r="K1105" s="17"/>
      <c r="L1105" s="16" t="s">
        <v>15</v>
      </c>
      <c r="M1105" s="16" t="s">
        <v>22</v>
      </c>
      <c r="N1105" s="39" t="s">
        <v>418</v>
      </c>
    </row>
    <row r="1106" spans="1:14" s="12" customFormat="1" ht="30.75" customHeight="1">
      <c r="A1106" s="178" t="s">
        <v>119</v>
      </c>
      <c r="B1106" s="75" t="s">
        <v>257</v>
      </c>
      <c r="C1106" s="39" t="s">
        <v>17</v>
      </c>
      <c r="D1106" s="236"/>
      <c r="E1106" s="236"/>
      <c r="F1106" s="236"/>
      <c r="G1106" s="236"/>
      <c r="H1106" s="40">
        <f>SUM(Tabla132112416[[#This Row],[PRIMER TRIMESTRE]:[CUARTO TRIMESTRE]])</f>
        <v>0</v>
      </c>
      <c r="I1106" s="17">
        <v>522</v>
      </c>
      <c r="J1106" s="17">
        <f>+Tabla132112416[[#This Row],[CANTIDAD TOTAL]]*Tabla132112416[[#This Row],[PRECIO UNITARIO ESTIMADO]]</f>
        <v>0</v>
      </c>
      <c r="K1106" s="17"/>
      <c r="L1106" s="16" t="s">
        <v>15</v>
      </c>
      <c r="M1106" s="16" t="s">
        <v>22</v>
      </c>
      <c r="N1106" s="39" t="s">
        <v>418</v>
      </c>
    </row>
    <row r="1107" spans="1:14" s="12" customFormat="1" ht="30.75" customHeight="1">
      <c r="A1107" s="178"/>
      <c r="B1107" s="75" t="s">
        <v>2575</v>
      </c>
      <c r="C1107" s="39" t="s">
        <v>1773</v>
      </c>
      <c r="D1107" s="236">
        <v>3</v>
      </c>
      <c r="E1107" s="236"/>
      <c r="F1107" s="236">
        <v>3</v>
      </c>
      <c r="G1107" s="236"/>
      <c r="H1107" s="40">
        <v>6</v>
      </c>
      <c r="I1107" s="17"/>
      <c r="J1107" s="17"/>
      <c r="K1107" s="17"/>
      <c r="L1107" s="16"/>
      <c r="M1107" s="16"/>
      <c r="N1107" s="39"/>
    </row>
    <row r="1108" spans="1:14" s="12" customFormat="1" ht="30.75" customHeight="1">
      <c r="A1108" s="179" t="s">
        <v>119</v>
      </c>
      <c r="B1108" s="76"/>
      <c r="C1108" s="42"/>
      <c r="D1108" s="237"/>
      <c r="E1108" s="237"/>
      <c r="F1108" s="237"/>
      <c r="G1108" s="237"/>
      <c r="H1108" s="43"/>
      <c r="I1108" s="24"/>
      <c r="J1108" s="24"/>
      <c r="K1108" s="25">
        <f>SUM(J1100:J1106)</f>
        <v>15816.32</v>
      </c>
      <c r="L1108" s="23"/>
      <c r="M1108" s="23"/>
      <c r="N1108" s="42"/>
    </row>
    <row r="1109" spans="1:14" s="12" customFormat="1" ht="18">
      <c r="A1109" s="178" t="s">
        <v>120</v>
      </c>
      <c r="B1109" s="75" t="s">
        <v>392</v>
      </c>
      <c r="C1109" s="39" t="s">
        <v>208</v>
      </c>
      <c r="D1109" s="236">
        <v>6</v>
      </c>
      <c r="E1109" s="236">
        <v>6</v>
      </c>
      <c r="F1109" s="236">
        <v>6</v>
      </c>
      <c r="G1109" s="236">
        <v>6</v>
      </c>
      <c r="H1109" s="510">
        <v>24</v>
      </c>
      <c r="I1109" s="17">
        <v>48.12</v>
      </c>
      <c r="J1109" s="17">
        <f>+H1109*I1109</f>
        <v>1154.8799999999999</v>
      </c>
      <c r="K1109" s="17"/>
      <c r="L1109" s="16" t="s">
        <v>18</v>
      </c>
      <c r="M1109" s="16" t="s">
        <v>22</v>
      </c>
      <c r="N1109" s="39" t="s">
        <v>418</v>
      </c>
    </row>
    <row r="1110" spans="1:14" s="12" customFormat="1" ht="18">
      <c r="A1110" s="178" t="s">
        <v>120</v>
      </c>
      <c r="B1110" s="75" t="s">
        <v>393</v>
      </c>
      <c r="C1110" s="39" t="s">
        <v>208</v>
      </c>
      <c r="D1110" s="236">
        <v>6</v>
      </c>
      <c r="E1110" s="236">
        <v>6</v>
      </c>
      <c r="F1110" s="236">
        <v>6</v>
      </c>
      <c r="G1110" s="236">
        <v>6</v>
      </c>
      <c r="H1110" s="510">
        <v>24</v>
      </c>
      <c r="I1110" s="17">
        <v>41.28</v>
      </c>
      <c r="J1110" s="17">
        <f>+H1110*I1110</f>
        <v>990.72</v>
      </c>
      <c r="K1110" s="17"/>
      <c r="L1110" s="16" t="s">
        <v>18</v>
      </c>
      <c r="M1110" s="16" t="s">
        <v>22</v>
      </c>
      <c r="N1110" s="39" t="s">
        <v>418</v>
      </c>
    </row>
    <row r="1111" spans="1:14" s="12" customFormat="1" ht="18">
      <c r="A1111" s="178" t="s">
        <v>120</v>
      </c>
      <c r="B1111" s="75" t="s">
        <v>743</v>
      </c>
      <c r="C1111" s="39" t="s">
        <v>208</v>
      </c>
      <c r="D1111" s="236">
        <v>3</v>
      </c>
      <c r="E1111" s="236"/>
      <c r="F1111" s="236">
        <v>3</v>
      </c>
      <c r="G1111" s="236"/>
      <c r="H1111" s="510">
        <v>6</v>
      </c>
      <c r="I1111" s="17">
        <f>4.42*12</f>
        <v>53.04</v>
      </c>
      <c r="J1111" s="17">
        <f>+H1111*I1111</f>
        <v>318.24</v>
      </c>
      <c r="K1111" s="17"/>
      <c r="L1111" s="16" t="s">
        <v>18</v>
      </c>
      <c r="M1111" s="16" t="s">
        <v>22</v>
      </c>
      <c r="N1111" s="39" t="s">
        <v>418</v>
      </c>
    </row>
    <row r="1112" spans="1:14" s="12" customFormat="1" ht="18">
      <c r="A1112" s="178" t="s">
        <v>120</v>
      </c>
      <c r="B1112" s="75" t="s">
        <v>398</v>
      </c>
      <c r="C1112" s="39" t="s">
        <v>208</v>
      </c>
      <c r="D1112" s="236">
        <v>9</v>
      </c>
      <c r="E1112" s="236"/>
      <c r="F1112" s="236">
        <v>9</v>
      </c>
      <c r="G1112" s="236"/>
      <c r="H1112" s="510">
        <v>18</v>
      </c>
      <c r="I1112" s="17">
        <v>22.42</v>
      </c>
      <c r="J1112" s="17">
        <f>+H1112*I1112</f>
        <v>403.56000000000006</v>
      </c>
      <c r="K1112" s="17"/>
      <c r="L1112" s="16" t="s">
        <v>18</v>
      </c>
      <c r="M1112" s="16" t="s">
        <v>22</v>
      </c>
      <c r="N1112" s="39" t="s">
        <v>418</v>
      </c>
    </row>
    <row r="1113" spans="1:14" s="12" customFormat="1" ht="18">
      <c r="A1113" s="178" t="s">
        <v>120</v>
      </c>
      <c r="B1113" s="75" t="s">
        <v>253</v>
      </c>
      <c r="C1113" s="39" t="s">
        <v>208</v>
      </c>
      <c r="D1113" s="236">
        <v>3</v>
      </c>
      <c r="E1113" s="236"/>
      <c r="F1113" s="236">
        <v>3</v>
      </c>
      <c r="G1113" s="236"/>
      <c r="H1113" s="40">
        <v>6</v>
      </c>
      <c r="I1113" s="17">
        <v>52.28</v>
      </c>
      <c r="J1113" s="17">
        <f>+Tabla132112416[[#This Row],[CANTIDAD TOTAL]]*Tabla132112416[[#This Row],[PRECIO UNITARIO ESTIMADO]]</f>
        <v>313.68</v>
      </c>
      <c r="K1113" s="17"/>
      <c r="L1113" s="16" t="s">
        <v>18</v>
      </c>
      <c r="M1113" s="16" t="s">
        <v>22</v>
      </c>
      <c r="N1113" s="39" t="s">
        <v>418</v>
      </c>
    </row>
    <row r="1114" spans="1:14" s="169" customFormat="1" ht="18">
      <c r="A1114" s="178" t="s">
        <v>120</v>
      </c>
      <c r="B1114" s="75" t="s">
        <v>402</v>
      </c>
      <c r="C1114" s="39" t="s">
        <v>17</v>
      </c>
      <c r="D1114" s="236">
        <v>10</v>
      </c>
      <c r="E1114" s="236"/>
      <c r="F1114" s="236">
        <v>10</v>
      </c>
      <c r="G1114" s="236"/>
      <c r="H1114" s="40">
        <v>20</v>
      </c>
      <c r="I1114" s="17">
        <v>182.9</v>
      </c>
      <c r="J1114" s="17">
        <f>+H1114*I1114</f>
        <v>3658</v>
      </c>
      <c r="K1114" s="17"/>
      <c r="L1114" s="16" t="s">
        <v>18</v>
      </c>
      <c r="M1114" s="16" t="s">
        <v>22</v>
      </c>
      <c r="N1114" s="39" t="s">
        <v>418</v>
      </c>
    </row>
    <row r="1115" spans="1:14" s="12" customFormat="1" ht="18">
      <c r="A1115" s="178" t="s">
        <v>120</v>
      </c>
      <c r="B1115" s="75" t="s">
        <v>260</v>
      </c>
      <c r="C1115" s="39" t="s">
        <v>17</v>
      </c>
      <c r="D1115" s="236">
        <v>6</v>
      </c>
      <c r="E1115" s="236">
        <v>6</v>
      </c>
      <c r="F1115" s="236">
        <v>6</v>
      </c>
      <c r="G1115" s="236">
        <v>6</v>
      </c>
      <c r="H1115" s="40">
        <v>24</v>
      </c>
      <c r="I1115" s="17">
        <v>29.28</v>
      </c>
      <c r="J1115" s="17">
        <f>+Tabla132112416[[#This Row],[CANTIDAD TOTAL]]*Tabla132112416[[#This Row],[PRECIO UNITARIO ESTIMADO]]</f>
        <v>702.72</v>
      </c>
      <c r="K1115" s="17"/>
      <c r="L1115" s="16" t="s">
        <v>18</v>
      </c>
      <c r="M1115" s="16" t="s">
        <v>22</v>
      </c>
      <c r="N1115" s="39" t="s">
        <v>418</v>
      </c>
    </row>
    <row r="1116" spans="1:14" s="169" customFormat="1" ht="18">
      <c r="A1116" s="180" t="s">
        <v>120</v>
      </c>
      <c r="B1116" s="75" t="s">
        <v>239</v>
      </c>
      <c r="C1116" s="70" t="s">
        <v>208</v>
      </c>
      <c r="D1116" s="415"/>
      <c r="E1116" s="210"/>
      <c r="F1116" s="210"/>
      <c r="G1116" s="210"/>
      <c r="H1116" s="406">
        <f>SUM(Tabla132112416[[#This Row],[PRIMER TRIMESTRE]:[CUARTO TRIMESTRE]])</f>
        <v>0</v>
      </c>
      <c r="I1116" s="72">
        <v>232</v>
      </c>
      <c r="J1116" s="72">
        <f>+Tabla132112416[[#This Row],[CANTIDAD TOTAL]]*Tabla132112416[[#This Row],[PRECIO UNITARIO ESTIMADO]]</f>
        <v>0</v>
      </c>
      <c r="K1116" s="72"/>
      <c r="L1116" s="16" t="s">
        <v>18</v>
      </c>
      <c r="M1116" s="73" t="s">
        <v>22</v>
      </c>
      <c r="N1116" s="70" t="s">
        <v>418</v>
      </c>
    </row>
    <row r="1117" spans="1:14" s="12" customFormat="1" ht="18">
      <c r="A1117" s="178" t="s">
        <v>120</v>
      </c>
      <c r="B1117" s="75" t="s">
        <v>414</v>
      </c>
      <c r="C1117" s="39" t="s">
        <v>417</v>
      </c>
      <c r="D1117" s="236">
        <v>250</v>
      </c>
      <c r="E1117" s="236">
        <v>250</v>
      </c>
      <c r="F1117" s="236">
        <v>250</v>
      </c>
      <c r="G1117" s="236">
        <v>250</v>
      </c>
      <c r="H1117" s="510">
        <v>1000</v>
      </c>
      <c r="I1117" s="17">
        <v>13.57</v>
      </c>
      <c r="J1117" s="17">
        <f>+H1117*I1117</f>
        <v>13570</v>
      </c>
      <c r="K1117" s="17"/>
      <c r="L1117" s="16" t="s">
        <v>18</v>
      </c>
      <c r="M1117" s="16" t="s">
        <v>22</v>
      </c>
      <c r="N1117" s="39" t="s">
        <v>418</v>
      </c>
    </row>
    <row r="1118" spans="1:14" s="12" customFormat="1" ht="18">
      <c r="A1118" s="180" t="s">
        <v>120</v>
      </c>
      <c r="B1118" s="75" t="s">
        <v>240</v>
      </c>
      <c r="C1118" s="70" t="s">
        <v>208</v>
      </c>
      <c r="D1118" s="210">
        <v>3</v>
      </c>
      <c r="E1118" s="210"/>
      <c r="F1118" s="210">
        <v>3</v>
      </c>
      <c r="G1118" s="210"/>
      <c r="H1118" s="406">
        <v>6</v>
      </c>
      <c r="I1118" s="72">
        <v>5341.57</v>
      </c>
      <c r="J1118" s="72">
        <f>+Tabla132112416[[#This Row],[CANTIDAD TOTAL]]*Tabla132112416[[#This Row],[PRECIO UNITARIO ESTIMADO]]</f>
        <v>32049.42</v>
      </c>
      <c r="K1118" s="72"/>
      <c r="L1118" s="16" t="s">
        <v>18</v>
      </c>
      <c r="M1118" s="73" t="s">
        <v>22</v>
      </c>
      <c r="N1118" s="70" t="s">
        <v>418</v>
      </c>
    </row>
    <row r="1119" spans="1:14" s="12" customFormat="1" ht="18">
      <c r="A1119" s="178" t="s">
        <v>120</v>
      </c>
      <c r="B1119" s="75" t="s">
        <v>748</v>
      </c>
      <c r="C1119" s="39" t="s">
        <v>17</v>
      </c>
      <c r="D1119" s="236"/>
      <c r="E1119" s="236"/>
      <c r="F1119" s="236"/>
      <c r="G1119" s="236"/>
      <c r="H1119" s="510" t="s">
        <v>2576</v>
      </c>
      <c r="I1119" s="17">
        <v>463.74</v>
      </c>
      <c r="J1119" s="17">
        <f>+H1119*I1119</f>
        <v>0</v>
      </c>
      <c r="K1119" s="17"/>
      <c r="L1119" s="16" t="s">
        <v>18</v>
      </c>
      <c r="M1119" s="16" t="s">
        <v>22</v>
      </c>
      <c r="N1119" s="39" t="s">
        <v>418</v>
      </c>
    </row>
    <row r="1120" spans="1:14" s="12" customFormat="1" ht="18">
      <c r="A1120" s="178" t="s">
        <v>120</v>
      </c>
      <c r="B1120" s="75" t="s">
        <v>263</v>
      </c>
      <c r="C1120" s="39" t="s">
        <v>17</v>
      </c>
      <c r="D1120" s="236">
        <v>3</v>
      </c>
      <c r="E1120" s="236"/>
      <c r="F1120" s="236">
        <v>3</v>
      </c>
      <c r="G1120" s="236"/>
      <c r="H1120" s="510">
        <v>6</v>
      </c>
      <c r="I1120" s="17">
        <v>217.02</v>
      </c>
      <c r="J1120" s="17">
        <f>+Tabla132112416[[#This Row],[CANTIDAD TOTAL]]*Tabla132112416[[#This Row],[PRECIO UNITARIO ESTIMADO]]</f>
        <v>1302.1200000000001</v>
      </c>
      <c r="K1120" s="17"/>
      <c r="L1120" s="16" t="s">
        <v>18</v>
      </c>
      <c r="M1120" s="16" t="s">
        <v>22</v>
      </c>
      <c r="N1120" s="39" t="s">
        <v>418</v>
      </c>
    </row>
    <row r="1121" spans="1:14" s="12" customFormat="1" ht="18">
      <c r="A1121" s="178" t="s">
        <v>120</v>
      </c>
      <c r="B1121" s="75" t="s">
        <v>749</v>
      </c>
      <c r="C1121" s="39" t="s">
        <v>17</v>
      </c>
      <c r="D1121" s="236">
        <v>3</v>
      </c>
      <c r="E1121" s="236">
        <v>3</v>
      </c>
      <c r="F1121" s="236">
        <v>3</v>
      </c>
      <c r="G1121" s="236">
        <v>3</v>
      </c>
      <c r="H1121" s="510">
        <v>12</v>
      </c>
      <c r="I1121" s="17">
        <v>186.44</v>
      </c>
      <c r="J1121" s="17">
        <f>+H1121*I1121</f>
        <v>2237.2799999999997</v>
      </c>
      <c r="K1121" s="17"/>
      <c r="L1121" s="16" t="s">
        <v>18</v>
      </c>
      <c r="M1121" s="16" t="s">
        <v>22</v>
      </c>
      <c r="N1121" s="39" t="s">
        <v>418</v>
      </c>
    </row>
    <row r="1122" spans="1:14" s="12" customFormat="1" ht="18">
      <c r="A1122" s="178" t="s">
        <v>120</v>
      </c>
      <c r="B1122" s="75" t="s">
        <v>750</v>
      </c>
      <c r="C1122" s="39" t="s">
        <v>17</v>
      </c>
      <c r="D1122" s="236">
        <v>3</v>
      </c>
      <c r="E1122" s="236">
        <v>3</v>
      </c>
      <c r="F1122" s="236">
        <v>3</v>
      </c>
      <c r="G1122" s="236">
        <v>3</v>
      </c>
      <c r="H1122" s="510">
        <v>12</v>
      </c>
      <c r="I1122" s="17">
        <v>129.80000000000001</v>
      </c>
      <c r="J1122" s="17">
        <f>+H1122*I1122</f>
        <v>1557.6000000000001</v>
      </c>
      <c r="K1122" s="17"/>
      <c r="L1122" s="16" t="s">
        <v>18</v>
      </c>
      <c r="M1122" s="16" t="s">
        <v>22</v>
      </c>
      <c r="N1122" s="39" t="s">
        <v>418</v>
      </c>
    </row>
    <row r="1123" spans="1:14" s="12" customFormat="1" ht="18">
      <c r="A1123" s="178" t="s">
        <v>120</v>
      </c>
      <c r="B1123" s="75" t="s">
        <v>403</v>
      </c>
      <c r="C1123" s="39" t="s">
        <v>416</v>
      </c>
      <c r="D1123" s="236">
        <v>9</v>
      </c>
      <c r="E1123" s="236">
        <v>9</v>
      </c>
      <c r="F1123" s="236">
        <v>9</v>
      </c>
      <c r="G1123" s="236">
        <v>9</v>
      </c>
      <c r="H1123" s="510" t="s">
        <v>2577</v>
      </c>
      <c r="I1123" s="17">
        <v>75</v>
      </c>
      <c r="J1123" s="17">
        <f>+H1123*I1123</f>
        <v>2700</v>
      </c>
      <c r="K1123" s="17"/>
      <c r="L1123" s="16" t="s">
        <v>18</v>
      </c>
      <c r="M1123" s="16" t="s">
        <v>22</v>
      </c>
      <c r="N1123" s="39" t="s">
        <v>418</v>
      </c>
    </row>
    <row r="1124" spans="1:14" s="12" customFormat="1" ht="18">
      <c r="A1124" s="178" t="s">
        <v>120</v>
      </c>
      <c r="B1124" s="75" t="s">
        <v>744</v>
      </c>
      <c r="C1124" s="39" t="s">
        <v>17</v>
      </c>
      <c r="D1124" s="236">
        <v>9</v>
      </c>
      <c r="E1124" s="236">
        <v>9</v>
      </c>
      <c r="F1124" s="236">
        <v>9</v>
      </c>
      <c r="G1124" s="236">
        <v>9</v>
      </c>
      <c r="H1124" s="510">
        <v>36</v>
      </c>
      <c r="I1124" s="17">
        <v>43.66</v>
      </c>
      <c r="J1124" s="17">
        <f>+H1124*I1124</f>
        <v>1571.7599999999998</v>
      </c>
      <c r="K1124" s="17"/>
      <c r="L1124" s="16" t="s">
        <v>18</v>
      </c>
      <c r="M1124" s="16" t="s">
        <v>22</v>
      </c>
      <c r="N1124" s="39" t="s">
        <v>418</v>
      </c>
    </row>
    <row r="1125" spans="1:14" s="12" customFormat="1" ht="18">
      <c r="A1125" s="178" t="s">
        <v>120</v>
      </c>
      <c r="B1125" s="75" t="s">
        <v>264</v>
      </c>
      <c r="C1125" s="39" t="s">
        <v>17</v>
      </c>
      <c r="D1125" s="236"/>
      <c r="E1125" s="236"/>
      <c r="F1125" s="236"/>
      <c r="G1125" s="236"/>
      <c r="H1125" s="510">
        <f>SUM(Tabla132112416[[#This Row],[PRIMER TRIMESTRE]:[CUARTO TRIMESTRE]])</f>
        <v>0</v>
      </c>
      <c r="I1125" s="17">
        <v>185</v>
      </c>
      <c r="J1125" s="17">
        <f>+Tabla132112416[[#This Row],[CANTIDAD TOTAL]]*Tabla132112416[[#This Row],[PRECIO UNITARIO ESTIMADO]]</f>
        <v>0</v>
      </c>
      <c r="K1125" s="17"/>
      <c r="L1125" s="16" t="s">
        <v>18</v>
      </c>
      <c r="M1125" s="16" t="s">
        <v>22</v>
      </c>
      <c r="N1125" s="39" t="s">
        <v>418</v>
      </c>
    </row>
    <row r="1126" spans="1:14" s="12" customFormat="1" ht="18">
      <c r="A1126" s="178" t="s">
        <v>120</v>
      </c>
      <c r="B1126" s="75" t="s">
        <v>745</v>
      </c>
      <c r="C1126" s="39" t="s">
        <v>208</v>
      </c>
      <c r="D1126" s="236">
        <v>3</v>
      </c>
      <c r="E1126" s="236"/>
      <c r="F1126" s="236">
        <v>3</v>
      </c>
      <c r="G1126" s="236"/>
      <c r="H1126" s="510">
        <v>6</v>
      </c>
      <c r="I1126" s="17">
        <v>43.66</v>
      </c>
      <c r="J1126" s="17">
        <f t="shared" ref="J1126:J1140" si="29">+H1126*I1126</f>
        <v>261.95999999999998</v>
      </c>
      <c r="K1126" s="17"/>
      <c r="L1126" s="16" t="s">
        <v>18</v>
      </c>
      <c r="M1126" s="16" t="s">
        <v>22</v>
      </c>
      <c r="N1126" s="39" t="s">
        <v>418</v>
      </c>
    </row>
    <row r="1127" spans="1:14" s="12" customFormat="1" ht="18">
      <c r="A1127" s="178" t="s">
        <v>120</v>
      </c>
      <c r="B1127" s="75" t="s">
        <v>760</v>
      </c>
      <c r="C1127" s="39" t="s">
        <v>208</v>
      </c>
      <c r="D1127" s="236">
        <v>6</v>
      </c>
      <c r="E1127" s="236">
        <v>6</v>
      </c>
      <c r="F1127" s="236">
        <v>6</v>
      </c>
      <c r="G1127" s="236">
        <v>6</v>
      </c>
      <c r="H1127" s="510">
        <v>24</v>
      </c>
      <c r="I1127" s="17">
        <v>43.66</v>
      </c>
      <c r="J1127" s="17">
        <f t="shared" si="29"/>
        <v>1047.8399999999999</v>
      </c>
      <c r="K1127" s="17"/>
      <c r="L1127" s="16" t="s">
        <v>18</v>
      </c>
      <c r="M1127" s="16" t="s">
        <v>22</v>
      </c>
      <c r="N1127" s="39" t="s">
        <v>418</v>
      </c>
    </row>
    <row r="1128" spans="1:14" s="12" customFormat="1" ht="18">
      <c r="A1128" s="178" t="s">
        <v>120</v>
      </c>
      <c r="B1128" s="75" t="s">
        <v>761</v>
      </c>
      <c r="C1128" s="39" t="s">
        <v>208</v>
      </c>
      <c r="D1128" s="236">
        <v>6</v>
      </c>
      <c r="E1128" s="236">
        <v>6</v>
      </c>
      <c r="F1128" s="236">
        <v>6</v>
      </c>
      <c r="G1128" s="236">
        <v>6</v>
      </c>
      <c r="H1128" s="510">
        <v>24</v>
      </c>
      <c r="I1128" s="17">
        <v>12.98</v>
      </c>
      <c r="J1128" s="17">
        <f t="shared" si="29"/>
        <v>311.52</v>
      </c>
      <c r="K1128" s="17"/>
      <c r="L1128" s="16" t="s">
        <v>18</v>
      </c>
      <c r="M1128" s="16" t="s">
        <v>22</v>
      </c>
      <c r="N1128" s="39" t="s">
        <v>418</v>
      </c>
    </row>
    <row r="1129" spans="1:14" s="12" customFormat="1" ht="18">
      <c r="A1129" s="178" t="s">
        <v>120</v>
      </c>
      <c r="B1129" s="75" t="s">
        <v>399</v>
      </c>
      <c r="C1129" s="39" t="s">
        <v>208</v>
      </c>
      <c r="D1129" s="236">
        <v>6</v>
      </c>
      <c r="E1129" s="236">
        <v>6</v>
      </c>
      <c r="F1129" s="236">
        <v>6</v>
      </c>
      <c r="G1129" s="236">
        <v>6</v>
      </c>
      <c r="H1129" s="510">
        <v>24</v>
      </c>
      <c r="I1129" s="17">
        <v>86.81</v>
      </c>
      <c r="J1129" s="17">
        <f t="shared" si="29"/>
        <v>2083.44</v>
      </c>
      <c r="K1129" s="17"/>
      <c r="L1129" s="16" t="s">
        <v>18</v>
      </c>
      <c r="M1129" s="16" t="s">
        <v>22</v>
      </c>
      <c r="N1129" s="39" t="s">
        <v>418</v>
      </c>
    </row>
    <row r="1130" spans="1:14" s="12" customFormat="1" ht="18">
      <c r="A1130" s="178" t="s">
        <v>120</v>
      </c>
      <c r="B1130" s="75" t="s">
        <v>400</v>
      </c>
      <c r="C1130" s="39" t="s">
        <v>208</v>
      </c>
      <c r="D1130" s="236">
        <v>6</v>
      </c>
      <c r="E1130" s="236">
        <v>6</v>
      </c>
      <c r="F1130" s="236">
        <v>6</v>
      </c>
      <c r="G1130" s="236">
        <v>6</v>
      </c>
      <c r="H1130" s="510">
        <v>24</v>
      </c>
      <c r="I1130" s="17">
        <v>25.4</v>
      </c>
      <c r="J1130" s="17">
        <f t="shared" si="29"/>
        <v>609.59999999999991</v>
      </c>
      <c r="K1130" s="17"/>
      <c r="L1130" s="16" t="s">
        <v>18</v>
      </c>
      <c r="M1130" s="16" t="s">
        <v>22</v>
      </c>
      <c r="N1130" s="39" t="s">
        <v>418</v>
      </c>
    </row>
    <row r="1131" spans="1:14" s="12" customFormat="1" ht="25.5">
      <c r="A1131" s="178" t="s">
        <v>120</v>
      </c>
      <c r="B1131" s="75" t="s">
        <v>395</v>
      </c>
      <c r="C1131" s="39" t="s">
        <v>208</v>
      </c>
      <c r="D1131" s="236">
        <v>1</v>
      </c>
      <c r="E1131" s="236"/>
      <c r="F1131" s="236">
        <v>1</v>
      </c>
      <c r="G1131" s="236"/>
      <c r="H1131" s="510">
        <v>2</v>
      </c>
      <c r="I1131" s="17">
        <v>235.20000000000002</v>
      </c>
      <c r="J1131" s="17">
        <f t="shared" si="29"/>
        <v>470.40000000000003</v>
      </c>
      <c r="K1131" s="17"/>
      <c r="L1131" s="16" t="s">
        <v>18</v>
      </c>
      <c r="M1131" s="16" t="s">
        <v>22</v>
      </c>
      <c r="N1131" s="39" t="s">
        <v>418</v>
      </c>
    </row>
    <row r="1132" spans="1:14" s="12" customFormat="1" ht="18">
      <c r="A1132" s="178" t="s">
        <v>120</v>
      </c>
      <c r="B1132" s="75" t="s">
        <v>746</v>
      </c>
      <c r="C1132" s="39" t="s">
        <v>17</v>
      </c>
      <c r="D1132" s="236">
        <v>12</v>
      </c>
      <c r="E1132" s="236">
        <v>12</v>
      </c>
      <c r="F1132" s="236">
        <v>12</v>
      </c>
      <c r="G1132" s="236">
        <v>12</v>
      </c>
      <c r="H1132" s="510">
        <v>48</v>
      </c>
      <c r="I1132" s="17">
        <v>23.32</v>
      </c>
      <c r="J1132" s="17">
        <f t="shared" si="29"/>
        <v>1119.3600000000001</v>
      </c>
      <c r="K1132" s="17"/>
      <c r="L1132" s="16" t="s">
        <v>18</v>
      </c>
      <c r="M1132" s="16" t="s">
        <v>22</v>
      </c>
      <c r="N1132" s="39" t="s">
        <v>418</v>
      </c>
    </row>
    <row r="1133" spans="1:14" s="12" customFormat="1" ht="18">
      <c r="A1133" s="178" t="s">
        <v>120</v>
      </c>
      <c r="B1133" s="75" t="s">
        <v>747</v>
      </c>
      <c r="C1133" s="39" t="s">
        <v>17</v>
      </c>
      <c r="D1133" s="236">
        <v>12</v>
      </c>
      <c r="E1133" s="236">
        <v>12</v>
      </c>
      <c r="F1133" s="236">
        <v>12</v>
      </c>
      <c r="G1133" s="236">
        <v>12</v>
      </c>
      <c r="H1133" s="510">
        <v>48</v>
      </c>
      <c r="I1133" s="17">
        <v>23.32</v>
      </c>
      <c r="J1133" s="17">
        <f t="shared" si="29"/>
        <v>1119.3600000000001</v>
      </c>
      <c r="K1133" s="17"/>
      <c r="L1133" s="16" t="s">
        <v>18</v>
      </c>
      <c r="M1133" s="16" t="s">
        <v>22</v>
      </c>
      <c r="N1133" s="39" t="s">
        <v>418</v>
      </c>
    </row>
    <row r="1134" spans="1:14" s="12" customFormat="1" ht="18">
      <c r="A1134" s="178" t="s">
        <v>120</v>
      </c>
      <c r="B1134" s="75" t="s">
        <v>396</v>
      </c>
      <c r="C1134" s="39" t="s">
        <v>208</v>
      </c>
      <c r="D1134" s="236">
        <v>5</v>
      </c>
      <c r="E1134" s="236"/>
      <c r="F1134" s="236">
        <v>5</v>
      </c>
      <c r="G1134" s="236"/>
      <c r="H1134" s="510">
        <v>10</v>
      </c>
      <c r="I1134" s="17">
        <v>194.7</v>
      </c>
      <c r="J1134" s="17">
        <f t="shared" si="29"/>
        <v>1947</v>
      </c>
      <c r="K1134" s="17"/>
      <c r="L1134" s="16" t="s">
        <v>18</v>
      </c>
      <c r="M1134" s="16" t="s">
        <v>22</v>
      </c>
      <c r="N1134" s="39" t="s">
        <v>418</v>
      </c>
    </row>
    <row r="1135" spans="1:14" s="12" customFormat="1" ht="18">
      <c r="A1135" s="178" t="s">
        <v>120</v>
      </c>
      <c r="B1135" s="75" t="s">
        <v>397</v>
      </c>
      <c r="C1135" s="39" t="s">
        <v>208</v>
      </c>
      <c r="D1135" s="236">
        <v>5</v>
      </c>
      <c r="E1135" s="236"/>
      <c r="F1135" s="236">
        <v>5</v>
      </c>
      <c r="G1135" s="236"/>
      <c r="H1135" s="510">
        <v>10</v>
      </c>
      <c r="I1135" s="17">
        <v>309.14</v>
      </c>
      <c r="J1135" s="17">
        <f t="shared" si="29"/>
        <v>3091.3999999999996</v>
      </c>
      <c r="K1135" s="17"/>
      <c r="L1135" s="16" t="s">
        <v>18</v>
      </c>
      <c r="M1135" s="16" t="s">
        <v>22</v>
      </c>
      <c r="N1135" s="39" t="s">
        <v>418</v>
      </c>
    </row>
    <row r="1136" spans="1:14" s="12" customFormat="1" ht="18">
      <c r="A1136" s="178" t="s">
        <v>120</v>
      </c>
      <c r="B1136" s="75" t="s">
        <v>404</v>
      </c>
      <c r="C1136" s="39" t="s">
        <v>255</v>
      </c>
      <c r="D1136" s="236">
        <v>9</v>
      </c>
      <c r="E1136" s="236">
        <v>9</v>
      </c>
      <c r="F1136" s="236">
        <v>9</v>
      </c>
      <c r="G1136" s="236">
        <v>9</v>
      </c>
      <c r="H1136" s="510">
        <v>36</v>
      </c>
      <c r="I1136" s="17">
        <v>29.5</v>
      </c>
      <c r="J1136" s="17">
        <f t="shared" si="29"/>
        <v>1062</v>
      </c>
      <c r="K1136" s="17"/>
      <c r="L1136" s="16" t="s">
        <v>18</v>
      </c>
      <c r="M1136" s="16" t="s">
        <v>22</v>
      </c>
      <c r="N1136" s="39" t="s">
        <v>418</v>
      </c>
    </row>
    <row r="1137" spans="1:14" s="12" customFormat="1" ht="18">
      <c r="A1137" s="178" t="s">
        <v>120</v>
      </c>
      <c r="B1137" s="75" t="s">
        <v>254</v>
      </c>
      <c r="C1137" s="39" t="s">
        <v>417</v>
      </c>
      <c r="D1137" s="236">
        <v>12</v>
      </c>
      <c r="E1137" s="236">
        <v>12</v>
      </c>
      <c r="F1137" s="236">
        <v>12</v>
      </c>
      <c r="G1137" s="236">
        <v>12</v>
      </c>
      <c r="H1137" s="510" t="s">
        <v>2578</v>
      </c>
      <c r="I1137" s="17">
        <v>12</v>
      </c>
      <c r="J1137" s="17">
        <f t="shared" si="29"/>
        <v>576</v>
      </c>
      <c r="K1137" s="17"/>
      <c r="L1137" s="16" t="s">
        <v>18</v>
      </c>
      <c r="M1137" s="16" t="s">
        <v>22</v>
      </c>
      <c r="N1137" s="39" t="s">
        <v>418</v>
      </c>
    </row>
    <row r="1138" spans="1:14" s="12" customFormat="1" ht="18">
      <c r="A1138" s="178" t="s">
        <v>120</v>
      </c>
      <c r="B1138" s="75" t="s">
        <v>394</v>
      </c>
      <c r="C1138" s="39" t="s">
        <v>208</v>
      </c>
      <c r="D1138" s="236">
        <v>6</v>
      </c>
      <c r="E1138" s="236">
        <v>6</v>
      </c>
      <c r="F1138" s="236">
        <v>6</v>
      </c>
      <c r="G1138" s="236">
        <v>6</v>
      </c>
      <c r="H1138" s="510">
        <v>24</v>
      </c>
      <c r="I1138" s="17">
        <v>69.599999999999994</v>
      </c>
      <c r="J1138" s="17">
        <f t="shared" si="29"/>
        <v>1670.3999999999999</v>
      </c>
      <c r="K1138" s="17"/>
      <c r="L1138" s="16" t="s">
        <v>18</v>
      </c>
      <c r="M1138" s="16" t="s">
        <v>22</v>
      </c>
      <c r="N1138" s="39" t="s">
        <v>418</v>
      </c>
    </row>
    <row r="1139" spans="1:14" s="12" customFormat="1" ht="18">
      <c r="A1139" s="178" t="s">
        <v>120</v>
      </c>
      <c r="B1139" s="75" t="s">
        <v>408</v>
      </c>
      <c r="C1139" s="39" t="s">
        <v>417</v>
      </c>
      <c r="D1139" s="236">
        <v>15</v>
      </c>
      <c r="E1139" s="236">
        <v>15</v>
      </c>
      <c r="F1139" s="236">
        <v>15</v>
      </c>
      <c r="G1139" s="236">
        <v>15</v>
      </c>
      <c r="H1139" s="510">
        <v>60</v>
      </c>
      <c r="I1139" s="17">
        <v>43.7</v>
      </c>
      <c r="J1139" s="17">
        <f t="shared" si="29"/>
        <v>2622</v>
      </c>
      <c r="K1139" s="17"/>
      <c r="L1139" s="16" t="s">
        <v>18</v>
      </c>
      <c r="M1139" s="16" t="s">
        <v>22</v>
      </c>
      <c r="N1139" s="39" t="s">
        <v>418</v>
      </c>
    </row>
    <row r="1140" spans="1:14" s="12" customFormat="1" ht="18">
      <c r="A1140" s="178" t="s">
        <v>120</v>
      </c>
      <c r="B1140" s="75" t="s">
        <v>409</v>
      </c>
      <c r="C1140" s="39" t="s">
        <v>417</v>
      </c>
      <c r="D1140" s="236">
        <v>15</v>
      </c>
      <c r="E1140" s="236">
        <v>15</v>
      </c>
      <c r="F1140" s="236">
        <v>15</v>
      </c>
      <c r="G1140" s="236">
        <v>15</v>
      </c>
      <c r="H1140" s="510">
        <v>60</v>
      </c>
      <c r="I1140" s="17">
        <v>15.21</v>
      </c>
      <c r="J1140" s="17">
        <f t="shared" si="29"/>
        <v>912.6</v>
      </c>
      <c r="K1140" s="17"/>
      <c r="L1140" s="16" t="s">
        <v>18</v>
      </c>
      <c r="M1140" s="16" t="s">
        <v>22</v>
      </c>
      <c r="N1140" s="39" t="s">
        <v>418</v>
      </c>
    </row>
    <row r="1141" spans="1:14" s="12" customFormat="1" ht="18">
      <c r="A1141" s="178" t="s">
        <v>120</v>
      </c>
      <c r="B1141" s="75" t="s">
        <v>265</v>
      </c>
      <c r="C1141" s="39" t="s">
        <v>17</v>
      </c>
      <c r="D1141" s="236">
        <v>3</v>
      </c>
      <c r="E1141" s="236"/>
      <c r="F1141" s="236">
        <v>3</v>
      </c>
      <c r="G1141" s="236"/>
      <c r="H1141" s="510">
        <v>6</v>
      </c>
      <c r="I1141" s="17">
        <v>185.6</v>
      </c>
      <c r="J1141" s="17">
        <f>+Tabla132112416[[#This Row],[CANTIDAD TOTAL]]*Tabla132112416[[#This Row],[PRECIO UNITARIO ESTIMADO]]</f>
        <v>1113.5999999999999</v>
      </c>
      <c r="K1141" s="17"/>
      <c r="L1141" s="16" t="s">
        <v>18</v>
      </c>
      <c r="M1141" s="16" t="s">
        <v>22</v>
      </c>
      <c r="N1141" s="39" t="s">
        <v>418</v>
      </c>
    </row>
    <row r="1142" spans="1:14" s="12" customFormat="1" ht="18">
      <c r="A1142" s="178" t="s">
        <v>120</v>
      </c>
      <c r="B1142" s="75" t="s">
        <v>261</v>
      </c>
      <c r="C1142" s="39" t="s">
        <v>17</v>
      </c>
      <c r="D1142" s="236"/>
      <c r="E1142" s="236"/>
      <c r="F1142" s="236"/>
      <c r="G1142" s="236"/>
      <c r="H1142" s="510">
        <f>SUM(Tabla132112416[[#This Row],[PRIMER TRIMESTRE]:[CUARTO TRIMESTRE]])</f>
        <v>0</v>
      </c>
      <c r="I1142" s="17">
        <v>148</v>
      </c>
      <c r="J1142" s="17">
        <f>+Tabla132112416[[#This Row],[CANTIDAD TOTAL]]*Tabla132112416[[#This Row],[PRECIO UNITARIO ESTIMADO]]</f>
        <v>0</v>
      </c>
      <c r="K1142" s="17"/>
      <c r="L1142" s="16" t="s">
        <v>18</v>
      </c>
      <c r="M1142" s="16" t="s">
        <v>22</v>
      </c>
      <c r="N1142" s="39" t="s">
        <v>418</v>
      </c>
    </row>
    <row r="1143" spans="1:14" s="12" customFormat="1" ht="18">
      <c r="A1143" s="178" t="s">
        <v>120</v>
      </c>
      <c r="B1143" s="75" t="s">
        <v>751</v>
      </c>
      <c r="C1143" s="39" t="s">
        <v>17</v>
      </c>
      <c r="D1143" s="236">
        <v>12</v>
      </c>
      <c r="E1143" s="236">
        <v>12</v>
      </c>
      <c r="F1143" s="236">
        <v>12</v>
      </c>
      <c r="G1143" s="236">
        <v>12</v>
      </c>
      <c r="H1143" s="510">
        <v>48</v>
      </c>
      <c r="I1143" s="17">
        <v>15.54</v>
      </c>
      <c r="J1143" s="17">
        <f>+H1143*I1143</f>
        <v>745.92</v>
      </c>
      <c r="K1143" s="17"/>
      <c r="L1143" s="16" t="s">
        <v>18</v>
      </c>
      <c r="M1143" s="16" t="s">
        <v>22</v>
      </c>
      <c r="N1143" s="39" t="s">
        <v>418</v>
      </c>
    </row>
    <row r="1144" spans="1:14" s="12" customFormat="1" ht="18">
      <c r="A1144" s="178" t="s">
        <v>120</v>
      </c>
      <c r="B1144" s="75" t="s">
        <v>754</v>
      </c>
      <c r="C1144" s="39" t="s">
        <v>17</v>
      </c>
      <c r="D1144" s="236">
        <v>12</v>
      </c>
      <c r="E1144" s="236">
        <v>12</v>
      </c>
      <c r="F1144" s="236">
        <v>12</v>
      </c>
      <c r="G1144" s="236">
        <v>12</v>
      </c>
      <c r="H1144" s="510">
        <v>48</v>
      </c>
      <c r="I1144" s="17">
        <v>15.54</v>
      </c>
      <c r="J1144" s="17">
        <f>+H1144*I1144</f>
        <v>745.92</v>
      </c>
      <c r="K1144" s="17"/>
      <c r="L1144" s="16" t="s">
        <v>18</v>
      </c>
      <c r="M1144" s="16" t="s">
        <v>22</v>
      </c>
      <c r="N1144" s="39" t="s">
        <v>418</v>
      </c>
    </row>
    <row r="1145" spans="1:14" s="12" customFormat="1" ht="18">
      <c r="A1145" s="178" t="s">
        <v>120</v>
      </c>
      <c r="B1145" s="75" t="s">
        <v>755</v>
      </c>
      <c r="C1145" s="39" t="s">
        <v>17</v>
      </c>
      <c r="D1145" s="236">
        <v>9</v>
      </c>
      <c r="E1145" s="236">
        <v>9</v>
      </c>
      <c r="F1145" s="236">
        <v>9</v>
      </c>
      <c r="G1145" s="236">
        <v>9</v>
      </c>
      <c r="H1145" s="510">
        <v>36</v>
      </c>
      <c r="I1145" s="17">
        <v>15.54</v>
      </c>
      <c r="J1145" s="17">
        <f>+H1145*I1145</f>
        <v>559.43999999999994</v>
      </c>
      <c r="K1145" s="17"/>
      <c r="L1145" s="16" t="s">
        <v>18</v>
      </c>
      <c r="M1145" s="16" t="s">
        <v>22</v>
      </c>
      <c r="N1145" s="39" t="s">
        <v>418</v>
      </c>
    </row>
    <row r="1146" spans="1:14" s="12" customFormat="1" ht="18">
      <c r="A1146" s="178" t="s">
        <v>752</v>
      </c>
      <c r="B1146" s="75" t="s">
        <v>390</v>
      </c>
      <c r="C1146" s="39" t="s">
        <v>266</v>
      </c>
      <c r="D1146" s="236">
        <v>150</v>
      </c>
      <c r="E1146" s="236">
        <v>150</v>
      </c>
      <c r="F1146" s="236">
        <v>150</v>
      </c>
      <c r="G1146" s="236">
        <v>150</v>
      </c>
      <c r="H1146" s="510">
        <v>600</v>
      </c>
      <c r="I1146" s="17">
        <v>145.13999999999999</v>
      </c>
      <c r="J1146" s="17">
        <f>+H1146*I1146</f>
        <v>87083.999999999985</v>
      </c>
      <c r="K1146" s="21"/>
      <c r="L1146" s="16" t="s">
        <v>18</v>
      </c>
      <c r="M1146" s="16" t="s">
        <v>22</v>
      </c>
      <c r="N1146" s="39" t="s">
        <v>418</v>
      </c>
    </row>
    <row r="1147" spans="1:14" s="12" customFormat="1" ht="18">
      <c r="A1147" s="178" t="s">
        <v>120</v>
      </c>
      <c r="B1147" s="75" t="s">
        <v>391</v>
      </c>
      <c r="C1147" s="39" t="s">
        <v>415</v>
      </c>
      <c r="D1147" s="236">
        <v>25</v>
      </c>
      <c r="E1147" s="236">
        <v>25</v>
      </c>
      <c r="F1147" s="236">
        <v>25</v>
      </c>
      <c r="G1147" s="236">
        <v>25</v>
      </c>
      <c r="H1147" s="510">
        <v>100</v>
      </c>
      <c r="I1147" s="17">
        <v>214.76</v>
      </c>
      <c r="J1147" s="17">
        <f>+H1147*I1147</f>
        <v>21476</v>
      </c>
      <c r="K1147" s="17"/>
      <c r="L1147" s="16" t="s">
        <v>18</v>
      </c>
      <c r="M1147" s="16" t="s">
        <v>22</v>
      </c>
      <c r="N1147" s="39" t="s">
        <v>418</v>
      </c>
    </row>
    <row r="1148" spans="1:14" s="12" customFormat="1" ht="18">
      <c r="A1148" s="178" t="s">
        <v>120</v>
      </c>
      <c r="B1148" s="75" t="s">
        <v>267</v>
      </c>
      <c r="C1148" s="39" t="s">
        <v>102</v>
      </c>
      <c r="D1148" s="236"/>
      <c r="E1148" s="236"/>
      <c r="F1148" s="236"/>
      <c r="G1148" s="236"/>
      <c r="H1148" s="510" t="s">
        <v>2576</v>
      </c>
      <c r="I1148" s="17">
        <v>1063.19</v>
      </c>
      <c r="J1148" s="17">
        <f>+Tabla132112416[[#This Row],[CANTIDAD TOTAL]]*Tabla132112416[[#This Row],[PRECIO UNITARIO ESTIMADO]]</f>
        <v>0</v>
      </c>
      <c r="K1148" s="17"/>
      <c r="L1148" s="16" t="s">
        <v>18</v>
      </c>
      <c r="M1148" s="16" t="s">
        <v>22</v>
      </c>
      <c r="N1148" s="39" t="s">
        <v>418</v>
      </c>
    </row>
    <row r="1149" spans="1:14" s="12" customFormat="1" ht="18">
      <c r="A1149" s="178" t="s">
        <v>120</v>
      </c>
      <c r="B1149" s="75" t="s">
        <v>759</v>
      </c>
      <c r="C1149" s="39" t="s">
        <v>208</v>
      </c>
      <c r="D1149" s="236"/>
      <c r="E1149" s="236"/>
      <c r="F1149" s="236"/>
      <c r="G1149" s="236"/>
      <c r="H1149" s="510">
        <f>SUM(Tabla132112416[[#This Row],[PRIMER TRIMESTRE]:[CUARTO TRIMESTRE]])</f>
        <v>0</v>
      </c>
      <c r="I1149" s="17">
        <v>161.66</v>
      </c>
      <c r="J1149" s="17">
        <f>+H1149*I1149</f>
        <v>0</v>
      </c>
      <c r="K1149" s="17"/>
      <c r="L1149" s="16" t="s">
        <v>18</v>
      </c>
      <c r="M1149" s="16" t="s">
        <v>22</v>
      </c>
      <c r="N1149" s="39" t="s">
        <v>418</v>
      </c>
    </row>
    <row r="1150" spans="1:14" s="12" customFormat="1" ht="18">
      <c r="A1150" s="178" t="s">
        <v>120</v>
      </c>
      <c r="B1150" s="75" t="s">
        <v>268</v>
      </c>
      <c r="C1150" s="39" t="s">
        <v>208</v>
      </c>
      <c r="D1150" s="236"/>
      <c r="E1150" s="236"/>
      <c r="F1150" s="236"/>
      <c r="G1150" s="236"/>
      <c r="H1150" s="510">
        <f>SUM(Tabla132112416[[#This Row],[PRIMER TRIMESTRE]:[CUARTO TRIMESTRE]])</f>
        <v>0</v>
      </c>
      <c r="I1150" s="17">
        <v>1450</v>
      </c>
      <c r="J1150" s="17">
        <f>+Tabla132112416[[#This Row],[CANTIDAD TOTAL]]*Tabla132112416[[#This Row],[PRECIO UNITARIO ESTIMADO]]</f>
        <v>0</v>
      </c>
      <c r="K1150" s="17"/>
      <c r="L1150" s="16" t="s">
        <v>18</v>
      </c>
      <c r="M1150" s="16" t="s">
        <v>22</v>
      </c>
      <c r="N1150" s="39" t="s">
        <v>418</v>
      </c>
    </row>
    <row r="1151" spans="1:14" s="12" customFormat="1" ht="18">
      <c r="A1151" s="178" t="s">
        <v>120</v>
      </c>
      <c r="B1151" s="75" t="s">
        <v>269</v>
      </c>
      <c r="C1151" s="39" t="s">
        <v>266</v>
      </c>
      <c r="D1151" s="236">
        <v>25</v>
      </c>
      <c r="E1151" s="236">
        <v>25</v>
      </c>
      <c r="F1151" s="236">
        <v>25</v>
      </c>
      <c r="G1151" s="236">
        <v>25</v>
      </c>
      <c r="H1151" s="510">
        <v>100</v>
      </c>
      <c r="I1151" s="17">
        <v>2552</v>
      </c>
      <c r="J1151" s="17">
        <f>+Tabla132112416[[#This Row],[CANTIDAD TOTAL]]*Tabla132112416[[#This Row],[PRECIO UNITARIO ESTIMADO]]</f>
        <v>255200</v>
      </c>
      <c r="K1151" s="17"/>
      <c r="L1151" s="16" t="s">
        <v>18</v>
      </c>
      <c r="M1151" s="16" t="s">
        <v>22</v>
      </c>
      <c r="N1151" s="39" t="s">
        <v>418</v>
      </c>
    </row>
    <row r="1152" spans="1:14" s="12" customFormat="1" ht="18">
      <c r="A1152" s="178" t="s">
        <v>120</v>
      </c>
      <c r="B1152" s="75" t="s">
        <v>756</v>
      </c>
      <c r="C1152" s="39" t="s">
        <v>234</v>
      </c>
      <c r="D1152" s="236"/>
      <c r="E1152" s="236"/>
      <c r="F1152" s="236"/>
      <c r="G1152" s="236"/>
      <c r="H1152" s="510">
        <f>SUM(Tabla132112416[[#This Row],[PRIMER TRIMESTRE]:[CUARTO TRIMESTRE]])</f>
        <v>0</v>
      </c>
      <c r="I1152" s="17">
        <v>24.78</v>
      </c>
      <c r="J1152" s="17">
        <f t="shared" ref="J1152:J1158" si="30">+H1152*I1152</f>
        <v>0</v>
      </c>
      <c r="K1152" s="17"/>
      <c r="L1152" s="16" t="s">
        <v>18</v>
      </c>
      <c r="M1152" s="16" t="s">
        <v>22</v>
      </c>
      <c r="N1152" s="39" t="s">
        <v>418</v>
      </c>
    </row>
    <row r="1153" spans="1:14" s="12" customFormat="1" ht="18">
      <c r="A1153" s="178" t="s">
        <v>120</v>
      </c>
      <c r="B1153" s="75" t="s">
        <v>763</v>
      </c>
      <c r="C1153" s="39" t="s">
        <v>17</v>
      </c>
      <c r="D1153" s="236">
        <v>3</v>
      </c>
      <c r="E1153" s="236"/>
      <c r="F1153" s="236"/>
      <c r="G1153" s="236"/>
      <c r="H1153" s="510">
        <v>3</v>
      </c>
      <c r="I1153" s="17">
        <v>186.44</v>
      </c>
      <c r="J1153" s="17">
        <f t="shared" si="30"/>
        <v>559.31999999999994</v>
      </c>
      <c r="K1153" s="17"/>
      <c r="L1153" s="16" t="s">
        <v>18</v>
      </c>
      <c r="M1153" s="16" t="s">
        <v>22</v>
      </c>
      <c r="N1153" s="39" t="s">
        <v>418</v>
      </c>
    </row>
    <row r="1154" spans="1:14" s="12" customFormat="1" ht="18">
      <c r="A1154" s="178" t="s">
        <v>120</v>
      </c>
      <c r="B1154" s="75" t="s">
        <v>410</v>
      </c>
      <c r="C1154" s="39" t="s">
        <v>417</v>
      </c>
      <c r="D1154" s="236">
        <v>25</v>
      </c>
      <c r="E1154" s="236">
        <v>25</v>
      </c>
      <c r="F1154" s="236">
        <v>25</v>
      </c>
      <c r="G1154" s="236">
        <v>25</v>
      </c>
      <c r="H1154" s="510">
        <v>100</v>
      </c>
      <c r="I1154" s="17">
        <v>10</v>
      </c>
      <c r="J1154" s="17">
        <f t="shared" si="30"/>
        <v>1000</v>
      </c>
      <c r="K1154" s="17"/>
      <c r="L1154" s="16" t="s">
        <v>18</v>
      </c>
      <c r="M1154" s="16" t="s">
        <v>22</v>
      </c>
      <c r="N1154" s="39" t="s">
        <v>418</v>
      </c>
    </row>
    <row r="1155" spans="1:14" s="12" customFormat="1" ht="18">
      <c r="A1155" s="178" t="s">
        <v>120</v>
      </c>
      <c r="B1155" s="75" t="s">
        <v>411</v>
      </c>
      <c r="C1155" s="39" t="s">
        <v>417</v>
      </c>
      <c r="D1155" s="236">
        <v>25</v>
      </c>
      <c r="E1155" s="236">
        <v>25</v>
      </c>
      <c r="F1155" s="236">
        <v>25</v>
      </c>
      <c r="G1155" s="236">
        <v>25</v>
      </c>
      <c r="H1155" s="510">
        <v>100</v>
      </c>
      <c r="I1155" s="17">
        <v>14.37</v>
      </c>
      <c r="J1155" s="17">
        <f t="shared" si="30"/>
        <v>1437</v>
      </c>
      <c r="K1155" s="17"/>
      <c r="L1155" s="16" t="s">
        <v>18</v>
      </c>
      <c r="M1155" s="16" t="s">
        <v>22</v>
      </c>
      <c r="N1155" s="39" t="s">
        <v>418</v>
      </c>
    </row>
    <row r="1156" spans="1:14" s="12" customFormat="1" ht="18">
      <c r="A1156" s="178" t="s">
        <v>120</v>
      </c>
      <c r="B1156" s="75" t="s">
        <v>412</v>
      </c>
      <c r="C1156" s="39" t="s">
        <v>417</v>
      </c>
      <c r="D1156" s="236">
        <v>25</v>
      </c>
      <c r="E1156" s="236">
        <v>25</v>
      </c>
      <c r="F1156" s="236">
        <v>25</v>
      </c>
      <c r="G1156" s="236">
        <v>25</v>
      </c>
      <c r="H1156" s="510">
        <v>100</v>
      </c>
      <c r="I1156" s="17">
        <v>24.79</v>
      </c>
      <c r="J1156" s="17">
        <f t="shared" si="30"/>
        <v>2479</v>
      </c>
      <c r="K1156" s="17"/>
      <c r="L1156" s="16" t="s">
        <v>18</v>
      </c>
      <c r="M1156" s="16" t="s">
        <v>22</v>
      </c>
      <c r="N1156" s="39" t="s">
        <v>418</v>
      </c>
    </row>
    <row r="1157" spans="1:14" s="12" customFormat="1" ht="18">
      <c r="A1157" s="178" t="s">
        <v>120</v>
      </c>
      <c r="B1157" s="75" t="s">
        <v>413</v>
      </c>
      <c r="C1157" s="39" t="s">
        <v>208</v>
      </c>
      <c r="D1157" s="236">
        <v>1</v>
      </c>
      <c r="E1157" s="236"/>
      <c r="F1157" s="236">
        <v>1</v>
      </c>
      <c r="G1157" s="236"/>
      <c r="H1157" s="510">
        <v>2</v>
      </c>
      <c r="I1157" s="17">
        <v>371.09</v>
      </c>
      <c r="J1157" s="17">
        <f t="shared" si="30"/>
        <v>742.18</v>
      </c>
      <c r="K1157" s="17"/>
      <c r="L1157" s="16" t="s">
        <v>18</v>
      </c>
      <c r="M1157" s="16" t="s">
        <v>22</v>
      </c>
      <c r="N1157" s="39" t="s">
        <v>418</v>
      </c>
    </row>
    <row r="1158" spans="1:14" s="12" customFormat="1" ht="18">
      <c r="A1158" s="178" t="s">
        <v>120</v>
      </c>
      <c r="B1158" s="75" t="s">
        <v>762</v>
      </c>
      <c r="C1158" s="39" t="s">
        <v>208</v>
      </c>
      <c r="D1158" s="236">
        <v>1</v>
      </c>
      <c r="E1158" s="236"/>
      <c r="F1158" s="236">
        <v>1</v>
      </c>
      <c r="G1158" s="236"/>
      <c r="H1158" s="510">
        <v>2</v>
      </c>
      <c r="I1158" s="17">
        <v>433.06</v>
      </c>
      <c r="J1158" s="17">
        <f t="shared" si="30"/>
        <v>866.12</v>
      </c>
      <c r="K1158" s="17"/>
      <c r="L1158" s="16" t="s">
        <v>18</v>
      </c>
      <c r="M1158" s="16" t="s">
        <v>22</v>
      </c>
      <c r="N1158" s="39" t="s">
        <v>418</v>
      </c>
    </row>
    <row r="1159" spans="1:14" s="12" customFormat="1" ht="18">
      <c r="A1159" s="178" t="s">
        <v>120</v>
      </c>
      <c r="B1159" s="75" t="s">
        <v>270</v>
      </c>
      <c r="C1159" s="39" t="s">
        <v>17</v>
      </c>
      <c r="D1159" s="236">
        <v>6</v>
      </c>
      <c r="E1159" s="236">
        <v>6</v>
      </c>
      <c r="F1159" s="236">
        <v>6</v>
      </c>
      <c r="G1159" s="236">
        <v>6</v>
      </c>
      <c r="H1159" s="510">
        <v>24</v>
      </c>
      <c r="I1159" s="17">
        <v>9.2799999999999994</v>
      </c>
      <c r="J1159" s="17">
        <f>+Tabla132112416[[#This Row],[CANTIDAD TOTAL]]*Tabla132112416[[#This Row],[PRECIO UNITARIO ESTIMADO]]</f>
        <v>222.71999999999997</v>
      </c>
      <c r="K1159" s="17"/>
      <c r="L1159" s="16" t="s">
        <v>18</v>
      </c>
      <c r="M1159" s="16" t="s">
        <v>22</v>
      </c>
      <c r="N1159" s="39" t="s">
        <v>418</v>
      </c>
    </row>
    <row r="1160" spans="1:14" s="12" customFormat="1" ht="18">
      <c r="A1160" s="178" t="s">
        <v>120</v>
      </c>
      <c r="B1160" s="75" t="s">
        <v>405</v>
      </c>
      <c r="C1160" s="39" t="s">
        <v>17</v>
      </c>
      <c r="D1160" s="236">
        <v>12</v>
      </c>
      <c r="E1160" s="236">
        <v>12</v>
      </c>
      <c r="F1160" s="236">
        <v>12</v>
      </c>
      <c r="G1160" s="236">
        <v>12</v>
      </c>
      <c r="H1160" s="510">
        <v>48</v>
      </c>
      <c r="I1160" s="17">
        <v>11.21</v>
      </c>
      <c r="J1160" s="17">
        <f>+H1160*I1160</f>
        <v>538.08000000000004</v>
      </c>
      <c r="K1160" s="17"/>
      <c r="L1160" s="16" t="s">
        <v>18</v>
      </c>
      <c r="M1160" s="16" t="s">
        <v>22</v>
      </c>
      <c r="N1160" s="39" t="s">
        <v>418</v>
      </c>
    </row>
    <row r="1161" spans="1:14" s="12" customFormat="1" ht="18">
      <c r="A1161" s="178" t="s">
        <v>120</v>
      </c>
      <c r="B1161" s="75" t="s">
        <v>406</v>
      </c>
      <c r="C1161" s="39" t="s">
        <v>17</v>
      </c>
      <c r="D1161" s="236">
        <v>12</v>
      </c>
      <c r="E1161" s="236">
        <v>12</v>
      </c>
      <c r="F1161" s="236">
        <v>12</v>
      </c>
      <c r="G1161" s="236">
        <v>12</v>
      </c>
      <c r="H1161" s="510">
        <v>48</v>
      </c>
      <c r="I1161" s="17">
        <v>10.56</v>
      </c>
      <c r="J1161" s="17">
        <f>+H1161*I1161</f>
        <v>506.88</v>
      </c>
      <c r="K1161" s="17"/>
      <c r="L1161" s="16" t="s">
        <v>18</v>
      </c>
      <c r="M1161" s="16" t="s">
        <v>22</v>
      </c>
      <c r="N1161" s="39" t="s">
        <v>418</v>
      </c>
    </row>
    <row r="1162" spans="1:14" s="12" customFormat="1" ht="18">
      <c r="A1162" s="178" t="s">
        <v>120</v>
      </c>
      <c r="B1162" s="75" t="s">
        <v>407</v>
      </c>
      <c r="C1162" s="39" t="s">
        <v>17</v>
      </c>
      <c r="D1162" s="236">
        <v>12</v>
      </c>
      <c r="E1162" s="236">
        <v>12</v>
      </c>
      <c r="F1162" s="236">
        <v>12</v>
      </c>
      <c r="G1162" s="236">
        <v>12</v>
      </c>
      <c r="H1162" s="510">
        <v>48</v>
      </c>
      <c r="I1162" s="17">
        <v>11.21</v>
      </c>
      <c r="J1162" s="17">
        <f>+H1162*I1162</f>
        <v>538.08000000000004</v>
      </c>
      <c r="K1162" s="17"/>
      <c r="L1162" s="16" t="s">
        <v>18</v>
      </c>
      <c r="M1162" s="16" t="s">
        <v>22</v>
      </c>
      <c r="N1162" s="39" t="s">
        <v>418</v>
      </c>
    </row>
    <row r="1163" spans="1:14" s="12" customFormat="1" ht="18">
      <c r="A1163" s="178" t="s">
        <v>120</v>
      </c>
      <c r="B1163" s="75" t="s">
        <v>742</v>
      </c>
      <c r="C1163" s="39" t="s">
        <v>17</v>
      </c>
      <c r="D1163" s="236"/>
      <c r="E1163" s="236"/>
      <c r="F1163" s="236"/>
      <c r="G1163" s="236"/>
      <c r="H1163" s="510">
        <f>SUM(Tabla132112416[[#This Row],[PRIMER TRIMESTRE]:[CUARTO TRIMESTRE]])</f>
        <v>0</v>
      </c>
      <c r="I1163" s="17">
        <v>53.1</v>
      </c>
      <c r="J1163" s="17">
        <f>+Tabla132112416[[#This Row],[CANTIDAD TOTAL]]*Tabla132112416[[#This Row],[PRECIO UNITARIO ESTIMADO]]</f>
        <v>0</v>
      </c>
      <c r="K1163" s="17"/>
      <c r="L1163" s="16" t="s">
        <v>18</v>
      </c>
      <c r="M1163" s="16" t="s">
        <v>22</v>
      </c>
      <c r="N1163" s="39" t="s">
        <v>418</v>
      </c>
    </row>
    <row r="1164" spans="1:14" s="12" customFormat="1" ht="18">
      <c r="A1164" s="178" t="s">
        <v>120</v>
      </c>
      <c r="B1164" s="75" t="s">
        <v>271</v>
      </c>
      <c r="C1164" s="39" t="s">
        <v>17</v>
      </c>
      <c r="D1164" s="236">
        <v>12</v>
      </c>
      <c r="E1164" s="236"/>
      <c r="F1164" s="236">
        <v>12</v>
      </c>
      <c r="G1164" s="236"/>
      <c r="H1164" s="510" t="s">
        <v>2579</v>
      </c>
      <c r="I1164" s="17">
        <v>18.399999999999999</v>
      </c>
      <c r="J1164" s="17">
        <f>+H1164*I1164</f>
        <v>441.59999999999997</v>
      </c>
      <c r="K1164" s="17"/>
      <c r="L1164" s="16" t="s">
        <v>18</v>
      </c>
      <c r="M1164" s="16" t="s">
        <v>22</v>
      </c>
      <c r="N1164" s="39" t="s">
        <v>418</v>
      </c>
    </row>
    <row r="1165" spans="1:14" s="12" customFormat="1" ht="18">
      <c r="A1165" s="178" t="s">
        <v>120</v>
      </c>
      <c r="B1165" s="75" t="s">
        <v>757</v>
      </c>
      <c r="C1165" s="39" t="s">
        <v>17</v>
      </c>
      <c r="D1165" s="236">
        <v>12</v>
      </c>
      <c r="E1165" s="236">
        <v>12</v>
      </c>
      <c r="F1165" s="236">
        <v>12</v>
      </c>
      <c r="G1165" s="236">
        <v>12</v>
      </c>
      <c r="H1165" s="510" t="s">
        <v>2578</v>
      </c>
      <c r="I1165" s="17">
        <v>12.92</v>
      </c>
      <c r="J1165" s="17">
        <f>+H1165*I1165</f>
        <v>620.16</v>
      </c>
      <c r="K1165" s="17"/>
      <c r="L1165" s="16" t="s">
        <v>18</v>
      </c>
      <c r="M1165" s="16" t="s">
        <v>22</v>
      </c>
      <c r="N1165" s="39" t="s">
        <v>418</v>
      </c>
    </row>
    <row r="1166" spans="1:14" s="12" customFormat="1" ht="18">
      <c r="A1166" s="178" t="s">
        <v>120</v>
      </c>
      <c r="B1166" s="75" t="s">
        <v>325</v>
      </c>
      <c r="C1166" s="39" t="s">
        <v>17</v>
      </c>
      <c r="D1166" s="236">
        <v>250</v>
      </c>
      <c r="E1166" s="236">
        <v>250</v>
      </c>
      <c r="F1166" s="236">
        <v>250</v>
      </c>
      <c r="G1166" s="236">
        <v>250</v>
      </c>
      <c r="H1166" s="510">
        <v>1000</v>
      </c>
      <c r="I1166" s="17">
        <f>337351.26/1251</f>
        <v>269.66527577937649</v>
      </c>
      <c r="J1166" s="17">
        <f>+Tabla132112416[[#This Row],[CANTIDAD TOTAL]]*Tabla132112416[[#This Row],[PRECIO UNITARIO ESTIMADO]]</f>
        <v>269665.2757793765</v>
      </c>
      <c r="K1166" s="17"/>
      <c r="L1166" s="16" t="s">
        <v>18</v>
      </c>
      <c r="M1166" s="16" t="s">
        <v>22</v>
      </c>
      <c r="N1166" s="39" t="s">
        <v>418</v>
      </c>
    </row>
    <row r="1167" spans="1:14" s="12" customFormat="1" ht="18">
      <c r="A1167" s="178" t="s">
        <v>120</v>
      </c>
      <c r="B1167" s="75" t="s">
        <v>784</v>
      </c>
      <c r="C1167" s="39" t="s">
        <v>17</v>
      </c>
      <c r="D1167" s="236">
        <v>250</v>
      </c>
      <c r="E1167" s="236">
        <v>250</v>
      </c>
      <c r="F1167" s="236">
        <v>250</v>
      </c>
      <c r="G1167" s="236">
        <v>250</v>
      </c>
      <c r="H1167" s="510">
        <v>1000</v>
      </c>
      <c r="I1167" s="72">
        <f>20*1.18</f>
        <v>23.599999999999998</v>
      </c>
      <c r="J1167" s="17">
        <f>+H1167*I1167</f>
        <v>23599.999999999996</v>
      </c>
      <c r="K1167" s="17"/>
      <c r="L1167" s="16" t="s">
        <v>18</v>
      </c>
      <c r="M1167" s="16" t="s">
        <v>22</v>
      </c>
      <c r="N1167" s="39" t="s">
        <v>418</v>
      </c>
    </row>
    <row r="1168" spans="1:14" s="12" customFormat="1" ht="18">
      <c r="A1168" s="178" t="s">
        <v>120</v>
      </c>
      <c r="B1168" s="75" t="s">
        <v>785</v>
      </c>
      <c r="C1168" s="39" t="s">
        <v>17</v>
      </c>
      <c r="D1168" s="236">
        <v>250</v>
      </c>
      <c r="E1168" s="236">
        <v>250</v>
      </c>
      <c r="F1168" s="236">
        <v>250</v>
      </c>
      <c r="G1168" s="236">
        <v>250</v>
      </c>
      <c r="H1168" s="510">
        <v>1000</v>
      </c>
      <c r="I1168" s="72">
        <f>4*1.18</f>
        <v>4.72</v>
      </c>
      <c r="J1168" s="17">
        <f>+H1168*I1168</f>
        <v>4720</v>
      </c>
      <c r="K1168" s="17"/>
      <c r="L1168" s="16" t="s">
        <v>18</v>
      </c>
      <c r="M1168" s="16" t="s">
        <v>22</v>
      </c>
      <c r="N1168" s="39" t="s">
        <v>418</v>
      </c>
    </row>
    <row r="1169" spans="1:14" s="12" customFormat="1" ht="18">
      <c r="A1169" s="178" t="s">
        <v>120</v>
      </c>
      <c r="B1169" s="75" t="s">
        <v>272</v>
      </c>
      <c r="C1169" s="39" t="s">
        <v>17</v>
      </c>
      <c r="D1169" s="236"/>
      <c r="E1169" s="236"/>
      <c r="F1169" s="236"/>
      <c r="G1169" s="236"/>
      <c r="H1169" s="510">
        <v>36</v>
      </c>
      <c r="I1169" s="17">
        <v>348</v>
      </c>
      <c r="J1169" s="17">
        <f>+Tabla132112416[[#This Row],[CANTIDAD TOTAL]]*Tabla132112416[[#This Row],[PRECIO UNITARIO ESTIMADO]]</f>
        <v>12528</v>
      </c>
      <c r="K1169" s="17"/>
      <c r="L1169" s="16" t="s">
        <v>18</v>
      </c>
      <c r="M1169" s="16" t="s">
        <v>22</v>
      </c>
      <c r="N1169" s="39" t="s">
        <v>418</v>
      </c>
    </row>
    <row r="1170" spans="1:14" s="12" customFormat="1" ht="18">
      <c r="A1170" s="178" t="s">
        <v>120</v>
      </c>
      <c r="B1170" s="75" t="s">
        <v>758</v>
      </c>
      <c r="C1170" s="39" t="s">
        <v>17</v>
      </c>
      <c r="D1170" s="236"/>
      <c r="E1170" s="236"/>
      <c r="F1170" s="236"/>
      <c r="G1170" s="236"/>
      <c r="H1170" s="41">
        <f>SUM(Tabla132112416[[#This Row],[PRIMER TRIMESTRE]:[CUARTO TRIMESTRE]])</f>
        <v>0</v>
      </c>
      <c r="I1170" s="17">
        <v>61.95</v>
      </c>
      <c r="J1170" s="17">
        <f t="shared" ref="J1170:J1233" si="31">+H1170*I1170</f>
        <v>0</v>
      </c>
      <c r="K1170" s="17"/>
      <c r="L1170" s="16" t="s">
        <v>18</v>
      </c>
      <c r="M1170" s="16" t="s">
        <v>22</v>
      </c>
      <c r="N1170" s="39" t="s">
        <v>418</v>
      </c>
    </row>
    <row r="1171" spans="1:14" s="12" customFormat="1" ht="18">
      <c r="A1171" s="178" t="s">
        <v>120</v>
      </c>
      <c r="B1171" s="75" t="s">
        <v>2580</v>
      </c>
      <c r="C1171" s="39" t="s">
        <v>417</v>
      </c>
      <c r="D1171" s="236">
        <v>1</v>
      </c>
      <c r="E1171" s="236"/>
      <c r="F1171" s="236">
        <v>1</v>
      </c>
      <c r="G1171" s="236"/>
      <c r="H1171" s="46">
        <v>2</v>
      </c>
      <c r="I1171" s="17">
        <v>0</v>
      </c>
      <c r="J1171" s="17">
        <v>0</v>
      </c>
      <c r="K1171" s="17"/>
      <c r="L1171" s="16" t="s">
        <v>18</v>
      </c>
      <c r="M1171" s="16" t="s">
        <v>22</v>
      </c>
      <c r="N1171" s="39" t="s">
        <v>418</v>
      </c>
    </row>
    <row r="1172" spans="1:14" s="12" customFormat="1" ht="18">
      <c r="A1172" s="178" t="s">
        <v>120</v>
      </c>
      <c r="B1172" s="184" t="s">
        <v>477</v>
      </c>
      <c r="C1172" s="39" t="s">
        <v>417</v>
      </c>
      <c r="D1172" s="236"/>
      <c r="E1172" s="236"/>
      <c r="F1172" s="236"/>
      <c r="G1172" s="236"/>
      <c r="H1172" s="41">
        <f>SUM(Tabla132112416[[#This Row],[PRIMER TRIMESTRE]:[CUARTO TRIMESTRE]])</f>
        <v>0</v>
      </c>
      <c r="I1172" s="17">
        <v>650</v>
      </c>
      <c r="J1172" s="17">
        <f t="shared" si="31"/>
        <v>0</v>
      </c>
      <c r="K1172" s="17"/>
      <c r="L1172" s="16" t="s">
        <v>18</v>
      </c>
      <c r="M1172" s="16" t="s">
        <v>22</v>
      </c>
      <c r="N1172" s="39" t="s">
        <v>418</v>
      </c>
    </row>
    <row r="1173" spans="1:14" s="12" customFormat="1" ht="18">
      <c r="A1173" s="178" t="s">
        <v>120</v>
      </c>
      <c r="B1173" s="184" t="s">
        <v>478</v>
      </c>
      <c r="C1173" s="39" t="s">
        <v>417</v>
      </c>
      <c r="D1173" s="236"/>
      <c r="E1173" s="236"/>
      <c r="F1173" s="236"/>
      <c r="G1173" s="236"/>
      <c r="H1173" s="41">
        <f>SUM(Tabla132112416[[#This Row],[PRIMER TRIMESTRE]:[CUARTO TRIMESTRE]])</f>
        <v>0</v>
      </c>
      <c r="I1173" s="17">
        <v>950</v>
      </c>
      <c r="J1173" s="17">
        <f t="shared" si="31"/>
        <v>0</v>
      </c>
      <c r="K1173" s="17"/>
      <c r="L1173" s="16" t="s">
        <v>18</v>
      </c>
      <c r="M1173" s="16" t="s">
        <v>22</v>
      </c>
      <c r="N1173" s="39" t="s">
        <v>418</v>
      </c>
    </row>
    <row r="1174" spans="1:14" s="12" customFormat="1" ht="18">
      <c r="A1174" s="178" t="s">
        <v>120</v>
      </c>
      <c r="B1174" s="185" t="s">
        <v>479</v>
      </c>
      <c r="C1174" s="39" t="s">
        <v>417</v>
      </c>
      <c r="D1174" s="236"/>
      <c r="E1174" s="236"/>
      <c r="F1174" s="236"/>
      <c r="G1174" s="236"/>
      <c r="H1174" s="41">
        <f>SUM(Tabla132112416[[#This Row],[PRIMER TRIMESTRE]:[CUARTO TRIMESTRE]])</f>
        <v>0</v>
      </c>
      <c r="I1174" s="17">
        <v>650</v>
      </c>
      <c r="J1174" s="17">
        <f t="shared" si="31"/>
        <v>0</v>
      </c>
      <c r="K1174" s="17"/>
      <c r="L1174" s="16" t="s">
        <v>18</v>
      </c>
      <c r="M1174" s="16" t="s">
        <v>22</v>
      </c>
      <c r="N1174" s="39" t="s">
        <v>418</v>
      </c>
    </row>
    <row r="1175" spans="1:14" s="12" customFormat="1" ht="18">
      <c r="A1175" s="178" t="s">
        <v>120</v>
      </c>
      <c r="B1175" s="184" t="s">
        <v>480</v>
      </c>
      <c r="C1175" s="39" t="s">
        <v>417</v>
      </c>
      <c r="D1175" s="236"/>
      <c r="E1175" s="236"/>
      <c r="F1175" s="236"/>
      <c r="G1175" s="236"/>
      <c r="H1175" s="41">
        <f>SUM(Tabla132112416[[#This Row],[PRIMER TRIMESTRE]:[CUARTO TRIMESTRE]])</f>
        <v>0</v>
      </c>
      <c r="I1175" s="17">
        <v>800</v>
      </c>
      <c r="J1175" s="17">
        <f t="shared" si="31"/>
        <v>0</v>
      </c>
      <c r="K1175" s="17"/>
      <c r="L1175" s="16" t="s">
        <v>18</v>
      </c>
      <c r="M1175" s="16" t="s">
        <v>22</v>
      </c>
      <c r="N1175" s="39" t="s">
        <v>418</v>
      </c>
    </row>
    <row r="1176" spans="1:14" s="12" customFormat="1" ht="18">
      <c r="A1176" s="178" t="s">
        <v>120</v>
      </c>
      <c r="B1176" s="184" t="s">
        <v>481</v>
      </c>
      <c r="C1176" s="39" t="s">
        <v>417</v>
      </c>
      <c r="D1176" s="236"/>
      <c r="E1176" s="236"/>
      <c r="F1176" s="236"/>
      <c r="G1176" s="236"/>
      <c r="H1176" s="41">
        <f>SUM(Tabla132112416[[#This Row],[PRIMER TRIMESTRE]:[CUARTO TRIMESTRE]])</f>
        <v>0</v>
      </c>
      <c r="I1176" s="17">
        <v>1190</v>
      </c>
      <c r="J1176" s="17">
        <f t="shared" si="31"/>
        <v>0</v>
      </c>
      <c r="K1176" s="17"/>
      <c r="L1176" s="16" t="s">
        <v>18</v>
      </c>
      <c r="M1176" s="16" t="s">
        <v>22</v>
      </c>
      <c r="N1176" s="39" t="s">
        <v>418</v>
      </c>
    </row>
    <row r="1177" spans="1:14" s="12" customFormat="1" ht="18">
      <c r="A1177" s="178" t="s">
        <v>120</v>
      </c>
      <c r="B1177" s="184" t="s">
        <v>482</v>
      </c>
      <c r="C1177" s="39" t="s">
        <v>417</v>
      </c>
      <c r="D1177" s="236"/>
      <c r="E1177" s="236"/>
      <c r="F1177" s="236"/>
      <c r="G1177" s="236"/>
      <c r="H1177" s="41">
        <f>SUM(Tabla132112416[[#This Row],[PRIMER TRIMESTRE]:[CUARTO TRIMESTRE]])</f>
        <v>0</v>
      </c>
      <c r="I1177" s="17">
        <v>1050</v>
      </c>
      <c r="J1177" s="17">
        <f t="shared" si="31"/>
        <v>0</v>
      </c>
      <c r="K1177" s="17"/>
      <c r="L1177" s="16" t="s">
        <v>18</v>
      </c>
      <c r="M1177" s="16" t="s">
        <v>22</v>
      </c>
      <c r="N1177" s="39" t="s">
        <v>418</v>
      </c>
    </row>
    <row r="1178" spans="1:14" s="12" customFormat="1" ht="18">
      <c r="A1178" s="178" t="s">
        <v>120</v>
      </c>
      <c r="B1178" s="184" t="s">
        <v>483</v>
      </c>
      <c r="C1178" s="39" t="s">
        <v>417</v>
      </c>
      <c r="D1178" s="236"/>
      <c r="E1178" s="236"/>
      <c r="F1178" s="236"/>
      <c r="G1178" s="236"/>
      <c r="H1178" s="41">
        <f>SUM(Tabla132112416[[#This Row],[PRIMER TRIMESTRE]:[CUARTO TRIMESTRE]])</f>
        <v>0</v>
      </c>
      <c r="I1178" s="17">
        <v>990</v>
      </c>
      <c r="J1178" s="17">
        <f t="shared" si="31"/>
        <v>0</v>
      </c>
      <c r="K1178" s="17"/>
      <c r="L1178" s="16" t="s">
        <v>18</v>
      </c>
      <c r="M1178" s="16" t="s">
        <v>22</v>
      </c>
      <c r="N1178" s="39" t="s">
        <v>418</v>
      </c>
    </row>
    <row r="1179" spans="1:14" s="12" customFormat="1" ht="18">
      <c r="A1179" s="178" t="s">
        <v>120</v>
      </c>
      <c r="B1179" s="184" t="s">
        <v>484</v>
      </c>
      <c r="C1179" s="39" t="s">
        <v>417</v>
      </c>
      <c r="D1179" s="236"/>
      <c r="E1179" s="236"/>
      <c r="F1179" s="236"/>
      <c r="G1179" s="236"/>
      <c r="H1179" s="41">
        <f>SUM(Tabla132112416[[#This Row],[PRIMER TRIMESTRE]:[CUARTO TRIMESTRE]])</f>
        <v>0</v>
      </c>
      <c r="I1179" s="17">
        <v>450</v>
      </c>
      <c r="J1179" s="17">
        <f t="shared" si="31"/>
        <v>0</v>
      </c>
      <c r="K1179" s="17"/>
      <c r="L1179" s="16" t="s">
        <v>18</v>
      </c>
      <c r="M1179" s="16" t="s">
        <v>22</v>
      </c>
      <c r="N1179" s="39" t="s">
        <v>418</v>
      </c>
    </row>
    <row r="1180" spans="1:14" s="12" customFormat="1" ht="18">
      <c r="A1180" s="178" t="s">
        <v>120</v>
      </c>
      <c r="B1180" s="184" t="s">
        <v>485</v>
      </c>
      <c r="C1180" s="39" t="s">
        <v>417</v>
      </c>
      <c r="D1180" s="236"/>
      <c r="E1180" s="236"/>
      <c r="F1180" s="236"/>
      <c r="G1180" s="236"/>
      <c r="H1180" s="41">
        <f>SUM(Tabla132112416[[#This Row],[PRIMER TRIMESTRE]:[CUARTO TRIMESTRE]])</f>
        <v>0</v>
      </c>
      <c r="I1180" s="17">
        <v>550</v>
      </c>
      <c r="J1180" s="17">
        <f t="shared" si="31"/>
        <v>0</v>
      </c>
      <c r="K1180" s="17"/>
      <c r="L1180" s="16" t="s">
        <v>18</v>
      </c>
      <c r="M1180" s="16" t="s">
        <v>22</v>
      </c>
      <c r="N1180" s="39" t="s">
        <v>418</v>
      </c>
    </row>
    <row r="1181" spans="1:14" s="12" customFormat="1" ht="18">
      <c r="A1181" s="178" t="s">
        <v>120</v>
      </c>
      <c r="B1181" s="184" t="s">
        <v>486</v>
      </c>
      <c r="C1181" s="39" t="s">
        <v>417</v>
      </c>
      <c r="D1181" s="236"/>
      <c r="E1181" s="236"/>
      <c r="F1181" s="236"/>
      <c r="G1181" s="236"/>
      <c r="H1181" s="41">
        <f>SUM(Tabla132112416[[#This Row],[PRIMER TRIMESTRE]:[CUARTO TRIMESTRE]])</f>
        <v>0</v>
      </c>
      <c r="I1181" s="17">
        <v>1000</v>
      </c>
      <c r="J1181" s="17">
        <f t="shared" si="31"/>
        <v>0</v>
      </c>
      <c r="K1181" s="17"/>
      <c r="L1181" s="16" t="s">
        <v>18</v>
      </c>
      <c r="M1181" s="16" t="s">
        <v>22</v>
      </c>
      <c r="N1181" s="39" t="s">
        <v>418</v>
      </c>
    </row>
    <row r="1182" spans="1:14" s="12" customFormat="1" ht="18">
      <c r="A1182" s="178" t="s">
        <v>120</v>
      </c>
      <c r="B1182" s="184" t="s">
        <v>487</v>
      </c>
      <c r="C1182" s="39" t="s">
        <v>417</v>
      </c>
      <c r="D1182" s="236"/>
      <c r="E1182" s="236"/>
      <c r="F1182" s="236"/>
      <c r="G1182" s="236"/>
      <c r="H1182" s="41">
        <f>SUM(Tabla132112416[[#This Row],[PRIMER TRIMESTRE]:[CUARTO TRIMESTRE]])</f>
        <v>0</v>
      </c>
      <c r="I1182" s="17">
        <v>850</v>
      </c>
      <c r="J1182" s="17">
        <f t="shared" si="31"/>
        <v>0</v>
      </c>
      <c r="K1182" s="17"/>
      <c r="L1182" s="16" t="s">
        <v>18</v>
      </c>
      <c r="M1182" s="16" t="s">
        <v>22</v>
      </c>
      <c r="N1182" s="39" t="s">
        <v>418</v>
      </c>
    </row>
    <row r="1183" spans="1:14" s="12" customFormat="1" ht="18">
      <c r="A1183" s="178" t="s">
        <v>120</v>
      </c>
      <c r="B1183" s="184" t="s">
        <v>488</v>
      </c>
      <c r="C1183" s="39" t="s">
        <v>417</v>
      </c>
      <c r="D1183" s="236"/>
      <c r="E1183" s="236"/>
      <c r="F1183" s="236"/>
      <c r="G1183" s="236"/>
      <c r="H1183" s="41">
        <f>SUM(Tabla132112416[[#This Row],[PRIMER TRIMESTRE]:[CUARTO TRIMESTRE]])</f>
        <v>0</v>
      </c>
      <c r="I1183" s="17">
        <v>850</v>
      </c>
      <c r="J1183" s="17">
        <f t="shared" si="31"/>
        <v>0</v>
      </c>
      <c r="K1183" s="17"/>
      <c r="L1183" s="16" t="s">
        <v>18</v>
      </c>
      <c r="M1183" s="16" t="s">
        <v>22</v>
      </c>
      <c r="N1183" s="39" t="s">
        <v>418</v>
      </c>
    </row>
    <row r="1184" spans="1:14" s="12" customFormat="1" ht="18">
      <c r="A1184" s="178" t="s">
        <v>120</v>
      </c>
      <c r="B1184" s="184" t="s">
        <v>489</v>
      </c>
      <c r="C1184" s="39" t="s">
        <v>417</v>
      </c>
      <c r="D1184" s="236"/>
      <c r="E1184" s="236"/>
      <c r="F1184" s="236"/>
      <c r="G1184" s="236"/>
      <c r="H1184" s="41">
        <f>SUM(Tabla132112416[[#This Row],[PRIMER TRIMESTRE]:[CUARTO TRIMESTRE]])</f>
        <v>0</v>
      </c>
      <c r="I1184" s="17">
        <v>650</v>
      </c>
      <c r="J1184" s="17">
        <f t="shared" si="31"/>
        <v>0</v>
      </c>
      <c r="K1184" s="17"/>
      <c r="L1184" s="16" t="s">
        <v>18</v>
      </c>
      <c r="M1184" s="16" t="s">
        <v>22</v>
      </c>
      <c r="N1184" s="39" t="s">
        <v>418</v>
      </c>
    </row>
    <row r="1185" spans="1:14" s="12" customFormat="1" ht="18">
      <c r="A1185" s="178" t="s">
        <v>120</v>
      </c>
      <c r="B1185" s="184" t="s">
        <v>490</v>
      </c>
      <c r="C1185" s="39" t="s">
        <v>417</v>
      </c>
      <c r="D1185" s="236"/>
      <c r="E1185" s="236"/>
      <c r="F1185" s="236"/>
      <c r="G1185" s="236"/>
      <c r="H1185" s="41">
        <f>SUM(Tabla132112416[[#This Row],[PRIMER TRIMESTRE]:[CUARTO TRIMESTRE]])</f>
        <v>0</v>
      </c>
      <c r="I1185" s="17">
        <v>1100</v>
      </c>
      <c r="J1185" s="17">
        <f t="shared" si="31"/>
        <v>0</v>
      </c>
      <c r="K1185" s="17"/>
      <c r="L1185" s="16" t="s">
        <v>18</v>
      </c>
      <c r="M1185" s="16" t="s">
        <v>22</v>
      </c>
      <c r="N1185" s="39" t="s">
        <v>418</v>
      </c>
    </row>
    <row r="1186" spans="1:14" s="12" customFormat="1" ht="18">
      <c r="A1186" s="178" t="s">
        <v>120</v>
      </c>
      <c r="B1186" s="184" t="s">
        <v>491</v>
      </c>
      <c r="C1186" s="39" t="s">
        <v>417</v>
      </c>
      <c r="D1186" s="236"/>
      <c r="E1186" s="236"/>
      <c r="F1186" s="236"/>
      <c r="G1186" s="236"/>
      <c r="H1186" s="41">
        <f>SUM(Tabla132112416[[#This Row],[PRIMER TRIMESTRE]:[CUARTO TRIMESTRE]])</f>
        <v>0</v>
      </c>
      <c r="I1186" s="17">
        <v>1100</v>
      </c>
      <c r="J1186" s="17">
        <f t="shared" si="31"/>
        <v>0</v>
      </c>
      <c r="K1186" s="17"/>
      <c r="L1186" s="16" t="s">
        <v>18</v>
      </c>
      <c r="M1186" s="16" t="s">
        <v>22</v>
      </c>
      <c r="N1186" s="39" t="s">
        <v>418</v>
      </c>
    </row>
    <row r="1187" spans="1:14" s="12" customFormat="1" ht="18">
      <c r="A1187" s="178" t="s">
        <v>120</v>
      </c>
      <c r="B1187" s="184" t="s">
        <v>492</v>
      </c>
      <c r="C1187" s="39" t="s">
        <v>417</v>
      </c>
      <c r="D1187" s="236"/>
      <c r="E1187" s="236"/>
      <c r="F1187" s="236"/>
      <c r="G1187" s="236"/>
      <c r="H1187" s="41">
        <f>SUM(Tabla132112416[[#This Row],[PRIMER TRIMESTRE]:[CUARTO TRIMESTRE]])</f>
        <v>0</v>
      </c>
      <c r="I1187" s="17">
        <v>1500</v>
      </c>
      <c r="J1187" s="17">
        <f t="shared" si="31"/>
        <v>0</v>
      </c>
      <c r="K1187" s="17"/>
      <c r="L1187" s="16" t="s">
        <v>18</v>
      </c>
      <c r="M1187" s="16" t="s">
        <v>22</v>
      </c>
      <c r="N1187" s="39" t="s">
        <v>418</v>
      </c>
    </row>
    <row r="1188" spans="1:14" s="12" customFormat="1" ht="18">
      <c r="A1188" s="178" t="s">
        <v>120</v>
      </c>
      <c r="B1188" s="184" t="s">
        <v>493</v>
      </c>
      <c r="C1188" s="39" t="s">
        <v>417</v>
      </c>
      <c r="D1188" s="236"/>
      <c r="E1188" s="236"/>
      <c r="F1188" s="236"/>
      <c r="G1188" s="236"/>
      <c r="H1188" s="41">
        <f>SUM(Tabla132112416[[#This Row],[PRIMER TRIMESTRE]:[CUARTO TRIMESTRE]])</f>
        <v>0</v>
      </c>
      <c r="I1188" s="17">
        <v>1650</v>
      </c>
      <c r="J1188" s="17">
        <f t="shared" si="31"/>
        <v>0</v>
      </c>
      <c r="K1188" s="17"/>
      <c r="L1188" s="16" t="s">
        <v>18</v>
      </c>
      <c r="M1188" s="16" t="s">
        <v>22</v>
      </c>
      <c r="N1188" s="39" t="s">
        <v>418</v>
      </c>
    </row>
    <row r="1189" spans="1:14" s="12" customFormat="1" ht="18">
      <c r="A1189" s="178" t="s">
        <v>120</v>
      </c>
      <c r="B1189" s="184" t="s">
        <v>494</v>
      </c>
      <c r="C1189" s="39" t="s">
        <v>417</v>
      </c>
      <c r="D1189" s="236"/>
      <c r="E1189" s="236"/>
      <c r="F1189" s="236"/>
      <c r="G1189" s="236"/>
      <c r="H1189" s="41">
        <f>SUM(Tabla132112416[[#This Row],[PRIMER TRIMESTRE]:[CUARTO TRIMESTRE]])</f>
        <v>0</v>
      </c>
      <c r="I1189" s="17">
        <v>1250</v>
      </c>
      <c r="J1189" s="17">
        <f t="shared" si="31"/>
        <v>0</v>
      </c>
      <c r="K1189" s="17"/>
      <c r="L1189" s="16" t="s">
        <v>18</v>
      </c>
      <c r="M1189" s="16" t="s">
        <v>22</v>
      </c>
      <c r="N1189" s="39" t="s">
        <v>418</v>
      </c>
    </row>
    <row r="1190" spans="1:14" s="12" customFormat="1" ht="18">
      <c r="A1190" s="178" t="s">
        <v>120</v>
      </c>
      <c r="B1190" s="185" t="s">
        <v>495</v>
      </c>
      <c r="C1190" s="39" t="s">
        <v>417</v>
      </c>
      <c r="D1190" s="236"/>
      <c r="E1190" s="236"/>
      <c r="F1190" s="236"/>
      <c r="G1190" s="236"/>
      <c r="H1190" s="41">
        <f>SUM(Tabla132112416[[#This Row],[PRIMER TRIMESTRE]:[CUARTO TRIMESTRE]])</f>
        <v>0</v>
      </c>
      <c r="I1190" s="17">
        <v>1672</v>
      </c>
      <c r="J1190" s="17">
        <f t="shared" si="31"/>
        <v>0</v>
      </c>
      <c r="K1190" s="17"/>
      <c r="L1190" s="16" t="s">
        <v>18</v>
      </c>
      <c r="M1190" s="16" t="s">
        <v>22</v>
      </c>
      <c r="N1190" s="39" t="s">
        <v>418</v>
      </c>
    </row>
    <row r="1191" spans="1:14" s="12" customFormat="1" ht="25.5">
      <c r="A1191" s="178" t="s">
        <v>120</v>
      </c>
      <c r="B1191" s="185" t="s">
        <v>533</v>
      </c>
      <c r="C1191" s="39" t="s">
        <v>417</v>
      </c>
      <c r="D1191" s="236"/>
      <c r="E1191" s="236"/>
      <c r="F1191" s="236"/>
      <c r="G1191" s="236"/>
      <c r="H1191" s="41">
        <f>SUM(Tabla132112416[[#This Row],[PRIMER TRIMESTRE]:[CUARTO TRIMESTRE]])</f>
        <v>0</v>
      </c>
      <c r="I1191" s="17">
        <v>720</v>
      </c>
      <c r="J1191" s="17">
        <f t="shared" si="31"/>
        <v>0</v>
      </c>
      <c r="K1191" s="17"/>
      <c r="L1191" s="16" t="s">
        <v>18</v>
      </c>
      <c r="M1191" s="16" t="s">
        <v>22</v>
      </c>
      <c r="N1191" s="39" t="s">
        <v>418</v>
      </c>
    </row>
    <row r="1192" spans="1:14" s="12" customFormat="1" ht="25.5">
      <c r="A1192" s="178" t="s">
        <v>120</v>
      </c>
      <c r="B1192" s="185" t="s">
        <v>534</v>
      </c>
      <c r="C1192" s="39" t="s">
        <v>417</v>
      </c>
      <c r="D1192" s="236"/>
      <c r="E1192" s="236"/>
      <c r="F1192" s="236"/>
      <c r="G1192" s="236"/>
      <c r="H1192" s="41">
        <f>SUM(Tabla132112416[[#This Row],[PRIMER TRIMESTRE]:[CUARTO TRIMESTRE]])</f>
        <v>0</v>
      </c>
      <c r="I1192" s="17">
        <v>1280</v>
      </c>
      <c r="J1192" s="17">
        <f t="shared" si="31"/>
        <v>0</v>
      </c>
      <c r="K1192" s="17"/>
      <c r="L1192" s="16" t="s">
        <v>18</v>
      </c>
      <c r="M1192" s="16" t="s">
        <v>22</v>
      </c>
      <c r="N1192" s="39" t="s">
        <v>418</v>
      </c>
    </row>
    <row r="1193" spans="1:14" s="12" customFormat="1" ht="18">
      <c r="A1193" s="178" t="s">
        <v>120</v>
      </c>
      <c r="B1193" s="185" t="s">
        <v>1443</v>
      </c>
      <c r="C1193" s="39" t="s">
        <v>417</v>
      </c>
      <c r="D1193" s="236"/>
      <c r="E1193" s="236"/>
      <c r="F1193" s="236"/>
      <c r="G1193" s="236"/>
      <c r="H1193" s="41">
        <f>SUM(Tabla132112416[[#This Row],[PRIMER TRIMESTRE]:[CUARTO TRIMESTRE]])</f>
        <v>0</v>
      </c>
      <c r="I1193" s="17">
        <v>4159.5</v>
      </c>
      <c r="J1193" s="17">
        <f t="shared" si="31"/>
        <v>0</v>
      </c>
      <c r="K1193" s="17"/>
      <c r="L1193" s="16" t="s">
        <v>15</v>
      </c>
      <c r="M1193" s="16" t="s">
        <v>22</v>
      </c>
      <c r="N1193" s="39" t="s">
        <v>418</v>
      </c>
    </row>
    <row r="1194" spans="1:14" s="12" customFormat="1" ht="18">
      <c r="A1194" s="178" t="s">
        <v>120</v>
      </c>
      <c r="B1194" s="185" t="s">
        <v>1444</v>
      </c>
      <c r="C1194" s="39" t="s">
        <v>417</v>
      </c>
      <c r="D1194" s="236"/>
      <c r="E1194" s="236"/>
      <c r="F1194" s="236"/>
      <c r="G1194" s="236"/>
      <c r="H1194" s="41">
        <f>SUM(Tabla132112416[[#This Row],[PRIMER TRIMESTRE]:[CUARTO TRIMESTRE]])</f>
        <v>0</v>
      </c>
      <c r="I1194" s="17">
        <v>4159.5</v>
      </c>
      <c r="J1194" s="17">
        <f t="shared" si="31"/>
        <v>0</v>
      </c>
      <c r="K1194" s="17"/>
      <c r="L1194" s="16" t="s">
        <v>15</v>
      </c>
      <c r="M1194" s="16" t="s">
        <v>22</v>
      </c>
      <c r="N1194" s="39" t="s">
        <v>418</v>
      </c>
    </row>
    <row r="1195" spans="1:14" s="12" customFormat="1" ht="18">
      <c r="A1195" s="178" t="s">
        <v>120</v>
      </c>
      <c r="B1195" s="185" t="s">
        <v>1445</v>
      </c>
      <c r="C1195" s="39" t="s">
        <v>417</v>
      </c>
      <c r="D1195" s="236"/>
      <c r="E1195" s="236"/>
      <c r="F1195" s="236"/>
      <c r="G1195" s="236"/>
      <c r="H1195" s="41">
        <f>SUM(Tabla132112416[[#This Row],[PRIMER TRIMESTRE]:[CUARTO TRIMESTRE]])</f>
        <v>0</v>
      </c>
      <c r="I1195" s="17">
        <v>4159.5</v>
      </c>
      <c r="J1195" s="17">
        <f t="shared" si="31"/>
        <v>0</v>
      </c>
      <c r="K1195" s="17"/>
      <c r="L1195" s="16" t="s">
        <v>15</v>
      </c>
      <c r="M1195" s="16" t="s">
        <v>22</v>
      </c>
      <c r="N1195" s="39" t="s">
        <v>418</v>
      </c>
    </row>
    <row r="1196" spans="1:14" s="12" customFormat="1" ht="18">
      <c r="A1196" s="178" t="s">
        <v>120</v>
      </c>
      <c r="B1196" s="185" t="s">
        <v>474</v>
      </c>
      <c r="C1196" s="39" t="s">
        <v>417</v>
      </c>
      <c r="D1196" s="236"/>
      <c r="E1196" s="236"/>
      <c r="F1196" s="236"/>
      <c r="G1196" s="236"/>
      <c r="H1196" s="41">
        <f>SUM(Tabla132112416[[#This Row],[PRIMER TRIMESTRE]:[CUARTO TRIMESTRE]])</f>
        <v>0</v>
      </c>
      <c r="I1196" s="17">
        <v>2900</v>
      </c>
      <c r="J1196" s="17">
        <f t="shared" si="31"/>
        <v>0</v>
      </c>
      <c r="K1196" s="17"/>
      <c r="L1196" s="16" t="s">
        <v>18</v>
      </c>
      <c r="M1196" s="16" t="s">
        <v>22</v>
      </c>
      <c r="N1196" s="39" t="s">
        <v>418</v>
      </c>
    </row>
    <row r="1197" spans="1:14" s="12" customFormat="1" ht="18">
      <c r="A1197" s="178" t="s">
        <v>120</v>
      </c>
      <c r="B1197" s="184" t="s">
        <v>475</v>
      </c>
      <c r="C1197" s="39" t="s">
        <v>417</v>
      </c>
      <c r="D1197" s="236"/>
      <c r="E1197" s="236"/>
      <c r="F1197" s="236"/>
      <c r="G1197" s="236"/>
      <c r="H1197" s="41">
        <f>SUM(Tabla132112416[[#This Row],[PRIMER TRIMESTRE]:[CUARTO TRIMESTRE]])</f>
        <v>0</v>
      </c>
      <c r="I1197" s="17">
        <v>2350</v>
      </c>
      <c r="J1197" s="17">
        <f t="shared" si="31"/>
        <v>0</v>
      </c>
      <c r="K1197" s="17"/>
      <c r="L1197" s="16" t="s">
        <v>18</v>
      </c>
      <c r="M1197" s="16" t="s">
        <v>22</v>
      </c>
      <c r="N1197" s="39" t="s">
        <v>418</v>
      </c>
    </row>
    <row r="1198" spans="1:14" s="12" customFormat="1" ht="18">
      <c r="A1198" s="178" t="s">
        <v>120</v>
      </c>
      <c r="B1198" s="184" t="s">
        <v>476</v>
      </c>
      <c r="C1198" s="39" t="s">
        <v>417</v>
      </c>
      <c r="D1198" s="236"/>
      <c r="E1198" s="236"/>
      <c r="F1198" s="236"/>
      <c r="G1198" s="236"/>
      <c r="H1198" s="41">
        <f>SUM(Tabla132112416[[#This Row],[PRIMER TRIMESTRE]:[CUARTO TRIMESTRE]])</f>
        <v>0</v>
      </c>
      <c r="I1198" s="17">
        <v>3990</v>
      </c>
      <c r="J1198" s="17">
        <f t="shared" si="31"/>
        <v>0</v>
      </c>
      <c r="K1198" s="17"/>
      <c r="L1198" s="16" t="s">
        <v>18</v>
      </c>
      <c r="M1198" s="16" t="s">
        <v>22</v>
      </c>
      <c r="N1198" s="39" t="s">
        <v>418</v>
      </c>
    </row>
    <row r="1199" spans="1:14" s="12" customFormat="1" ht="18">
      <c r="A1199" s="178" t="s">
        <v>120</v>
      </c>
      <c r="B1199" s="185" t="s">
        <v>496</v>
      </c>
      <c r="C1199" s="39" t="s">
        <v>417</v>
      </c>
      <c r="D1199" s="236"/>
      <c r="E1199" s="236"/>
      <c r="F1199" s="236"/>
      <c r="G1199" s="236"/>
      <c r="H1199" s="41">
        <f>SUM(Tabla132112416[[#This Row],[PRIMER TRIMESTRE]:[CUARTO TRIMESTRE]])</f>
        <v>0</v>
      </c>
      <c r="I1199" s="17">
        <v>4200</v>
      </c>
      <c r="J1199" s="17">
        <f t="shared" si="31"/>
        <v>0</v>
      </c>
      <c r="K1199" s="17"/>
      <c r="L1199" s="16" t="s">
        <v>18</v>
      </c>
      <c r="M1199" s="16" t="s">
        <v>22</v>
      </c>
      <c r="N1199" s="39" t="s">
        <v>418</v>
      </c>
    </row>
    <row r="1200" spans="1:14" s="12" customFormat="1" ht="18">
      <c r="A1200" s="178" t="s">
        <v>120</v>
      </c>
      <c r="B1200" s="184" t="s">
        <v>497</v>
      </c>
      <c r="C1200" s="39" t="s">
        <v>417</v>
      </c>
      <c r="D1200" s="236"/>
      <c r="E1200" s="236"/>
      <c r="F1200" s="236"/>
      <c r="G1200" s="236"/>
      <c r="H1200" s="41">
        <f>SUM(Tabla132112416[[#This Row],[PRIMER TRIMESTRE]:[CUARTO TRIMESTRE]])</f>
        <v>0</v>
      </c>
      <c r="I1200" s="17">
        <v>4200</v>
      </c>
      <c r="J1200" s="17">
        <f t="shared" si="31"/>
        <v>0</v>
      </c>
      <c r="K1200" s="17"/>
      <c r="L1200" s="16" t="s">
        <v>18</v>
      </c>
      <c r="M1200" s="16" t="s">
        <v>22</v>
      </c>
      <c r="N1200" s="39" t="s">
        <v>418</v>
      </c>
    </row>
    <row r="1201" spans="1:14" s="12" customFormat="1" ht="18">
      <c r="A1201" s="178" t="s">
        <v>120</v>
      </c>
      <c r="B1201" s="184" t="s">
        <v>498</v>
      </c>
      <c r="C1201" s="39" t="s">
        <v>417</v>
      </c>
      <c r="D1201" s="236"/>
      <c r="E1201" s="236"/>
      <c r="F1201" s="236"/>
      <c r="G1201" s="236"/>
      <c r="H1201" s="41">
        <f>SUM(Tabla132112416[[#This Row],[PRIMER TRIMESTRE]:[CUARTO TRIMESTRE]])</f>
        <v>0</v>
      </c>
      <c r="I1201" s="17">
        <v>4200</v>
      </c>
      <c r="J1201" s="17">
        <f t="shared" si="31"/>
        <v>0</v>
      </c>
      <c r="K1201" s="17"/>
      <c r="L1201" s="16" t="s">
        <v>18</v>
      </c>
      <c r="M1201" s="16" t="s">
        <v>22</v>
      </c>
      <c r="N1201" s="39" t="s">
        <v>418</v>
      </c>
    </row>
    <row r="1202" spans="1:14" s="12" customFormat="1" ht="18">
      <c r="A1202" s="178" t="s">
        <v>120</v>
      </c>
      <c r="B1202" s="184" t="s">
        <v>499</v>
      </c>
      <c r="C1202" s="39" t="s">
        <v>417</v>
      </c>
      <c r="D1202" s="236"/>
      <c r="E1202" s="236"/>
      <c r="F1202" s="236"/>
      <c r="G1202" s="236"/>
      <c r="H1202" s="41">
        <f>SUM(Tabla132112416[[#This Row],[PRIMER TRIMESTRE]:[CUARTO TRIMESTRE]])</f>
        <v>0</v>
      </c>
      <c r="I1202" s="17">
        <v>4200</v>
      </c>
      <c r="J1202" s="17">
        <f t="shared" si="31"/>
        <v>0</v>
      </c>
      <c r="K1202" s="17"/>
      <c r="L1202" s="16" t="s">
        <v>18</v>
      </c>
      <c r="M1202" s="16" t="s">
        <v>22</v>
      </c>
      <c r="N1202" s="39" t="s">
        <v>418</v>
      </c>
    </row>
    <row r="1203" spans="1:14" s="12" customFormat="1" ht="18">
      <c r="A1203" s="178" t="s">
        <v>120</v>
      </c>
      <c r="B1203" s="185" t="s">
        <v>500</v>
      </c>
      <c r="C1203" s="39" t="s">
        <v>417</v>
      </c>
      <c r="D1203" s="236"/>
      <c r="E1203" s="236"/>
      <c r="F1203" s="236"/>
      <c r="G1203" s="236"/>
      <c r="H1203" s="41">
        <f>SUM(Tabla132112416[[#This Row],[PRIMER TRIMESTRE]:[CUARTO TRIMESTRE]])</f>
        <v>0</v>
      </c>
      <c r="I1203" s="17">
        <v>8210.5</v>
      </c>
      <c r="J1203" s="17">
        <f t="shared" si="31"/>
        <v>0</v>
      </c>
      <c r="K1203" s="17"/>
      <c r="L1203" s="16" t="s">
        <v>18</v>
      </c>
      <c r="M1203" s="16" t="s">
        <v>22</v>
      </c>
      <c r="N1203" s="39" t="s">
        <v>418</v>
      </c>
    </row>
    <row r="1204" spans="1:14" s="12" customFormat="1" ht="18">
      <c r="A1204" s="178" t="s">
        <v>120</v>
      </c>
      <c r="B1204" s="185" t="s">
        <v>501</v>
      </c>
      <c r="C1204" s="39" t="s">
        <v>417</v>
      </c>
      <c r="D1204" s="236"/>
      <c r="E1204" s="236"/>
      <c r="F1204" s="236"/>
      <c r="G1204" s="236"/>
      <c r="H1204" s="41">
        <f>SUM(Tabla132112416[[#This Row],[PRIMER TRIMESTRE]:[CUARTO TRIMESTRE]])</f>
        <v>0</v>
      </c>
      <c r="I1204" s="17">
        <v>3250</v>
      </c>
      <c r="J1204" s="17">
        <f t="shared" si="31"/>
        <v>0</v>
      </c>
      <c r="K1204" s="17"/>
      <c r="L1204" s="16" t="s">
        <v>18</v>
      </c>
      <c r="M1204" s="16" t="s">
        <v>22</v>
      </c>
      <c r="N1204" s="39" t="s">
        <v>418</v>
      </c>
    </row>
    <row r="1205" spans="1:14" s="12" customFormat="1" ht="18">
      <c r="A1205" s="178" t="s">
        <v>120</v>
      </c>
      <c r="B1205" s="184" t="s">
        <v>502</v>
      </c>
      <c r="C1205" s="39" t="s">
        <v>417</v>
      </c>
      <c r="D1205" s="236"/>
      <c r="E1205" s="236"/>
      <c r="F1205" s="236"/>
      <c r="G1205" s="236"/>
      <c r="H1205" s="41">
        <f>SUM(Tabla132112416[[#This Row],[PRIMER TRIMESTRE]:[CUARTO TRIMESTRE]])</f>
        <v>0</v>
      </c>
      <c r="I1205" s="17">
        <v>450</v>
      </c>
      <c r="J1205" s="17">
        <f t="shared" si="31"/>
        <v>0</v>
      </c>
      <c r="K1205" s="17"/>
      <c r="L1205" s="16" t="s">
        <v>18</v>
      </c>
      <c r="M1205" s="16" t="s">
        <v>22</v>
      </c>
      <c r="N1205" s="39" t="s">
        <v>418</v>
      </c>
    </row>
    <row r="1206" spans="1:14" s="12" customFormat="1" ht="18">
      <c r="A1206" s="178" t="s">
        <v>120</v>
      </c>
      <c r="B1206" s="184" t="s">
        <v>503</v>
      </c>
      <c r="C1206" s="39" t="s">
        <v>417</v>
      </c>
      <c r="D1206" s="236"/>
      <c r="E1206" s="236"/>
      <c r="F1206" s="236"/>
      <c r="G1206" s="236"/>
      <c r="H1206" s="41">
        <f>SUM(Tabla132112416[[#This Row],[PRIMER TRIMESTRE]:[CUARTO TRIMESTRE]])</f>
        <v>0</v>
      </c>
      <c r="I1206" s="17">
        <v>450</v>
      </c>
      <c r="J1206" s="17">
        <f t="shared" si="31"/>
        <v>0</v>
      </c>
      <c r="K1206" s="17"/>
      <c r="L1206" s="16" t="s">
        <v>18</v>
      </c>
      <c r="M1206" s="16" t="s">
        <v>22</v>
      </c>
      <c r="N1206" s="39" t="s">
        <v>418</v>
      </c>
    </row>
    <row r="1207" spans="1:14" s="12" customFormat="1" ht="18">
      <c r="A1207" s="178" t="s">
        <v>120</v>
      </c>
      <c r="B1207" s="184" t="s">
        <v>504</v>
      </c>
      <c r="C1207" s="39" t="s">
        <v>417</v>
      </c>
      <c r="D1207" s="236"/>
      <c r="E1207" s="236"/>
      <c r="F1207" s="236"/>
      <c r="G1207" s="236"/>
      <c r="H1207" s="41">
        <f>SUM(Tabla132112416[[#This Row],[PRIMER TRIMESTRE]:[CUARTO TRIMESTRE]])</f>
        <v>0</v>
      </c>
      <c r="I1207" s="17">
        <v>450</v>
      </c>
      <c r="J1207" s="17">
        <f t="shared" si="31"/>
        <v>0</v>
      </c>
      <c r="K1207" s="17"/>
      <c r="L1207" s="16" t="s">
        <v>18</v>
      </c>
      <c r="M1207" s="16" t="s">
        <v>22</v>
      </c>
      <c r="N1207" s="39" t="s">
        <v>418</v>
      </c>
    </row>
    <row r="1208" spans="1:14" s="12" customFormat="1" ht="18">
      <c r="A1208" s="178" t="s">
        <v>120</v>
      </c>
      <c r="B1208" s="184" t="s">
        <v>505</v>
      </c>
      <c r="C1208" s="39" t="s">
        <v>417</v>
      </c>
      <c r="D1208" s="236"/>
      <c r="E1208" s="236"/>
      <c r="F1208" s="236"/>
      <c r="G1208" s="236"/>
      <c r="H1208" s="41">
        <f>SUM(Tabla132112416[[#This Row],[PRIMER TRIMESTRE]:[CUARTO TRIMESTRE]])</f>
        <v>0</v>
      </c>
      <c r="I1208" s="17">
        <v>450</v>
      </c>
      <c r="J1208" s="17">
        <f t="shared" si="31"/>
        <v>0</v>
      </c>
      <c r="K1208" s="17"/>
      <c r="L1208" s="16" t="s">
        <v>18</v>
      </c>
      <c r="M1208" s="16" t="s">
        <v>22</v>
      </c>
      <c r="N1208" s="39" t="s">
        <v>418</v>
      </c>
    </row>
    <row r="1209" spans="1:14" s="12" customFormat="1" ht="18">
      <c r="A1209" s="178" t="s">
        <v>120</v>
      </c>
      <c r="B1209" s="184" t="s">
        <v>506</v>
      </c>
      <c r="C1209" s="39" t="s">
        <v>417</v>
      </c>
      <c r="D1209" s="236"/>
      <c r="E1209" s="236"/>
      <c r="F1209" s="236"/>
      <c r="G1209" s="236"/>
      <c r="H1209" s="41">
        <f>SUM(Tabla132112416[[#This Row],[PRIMER TRIMESTRE]:[CUARTO TRIMESTRE]])</f>
        <v>0</v>
      </c>
      <c r="I1209" s="17">
        <v>5800</v>
      </c>
      <c r="J1209" s="17">
        <f t="shared" si="31"/>
        <v>0</v>
      </c>
      <c r="K1209" s="17"/>
      <c r="L1209" s="16" t="s">
        <v>18</v>
      </c>
      <c r="M1209" s="16" t="s">
        <v>22</v>
      </c>
      <c r="N1209" s="39" t="s">
        <v>418</v>
      </c>
    </row>
    <row r="1210" spans="1:14" s="12" customFormat="1" ht="18">
      <c r="A1210" s="178" t="s">
        <v>120</v>
      </c>
      <c r="B1210" s="184" t="s">
        <v>507</v>
      </c>
      <c r="C1210" s="39" t="s">
        <v>417</v>
      </c>
      <c r="D1210" s="236"/>
      <c r="E1210" s="236"/>
      <c r="F1210" s="236"/>
      <c r="G1210" s="236"/>
      <c r="H1210" s="41">
        <f>SUM(Tabla132112416[[#This Row],[PRIMER TRIMESTRE]:[CUARTO TRIMESTRE]])</f>
        <v>0</v>
      </c>
      <c r="I1210" s="17">
        <v>2800</v>
      </c>
      <c r="J1210" s="17">
        <f t="shared" si="31"/>
        <v>0</v>
      </c>
      <c r="K1210" s="17"/>
      <c r="L1210" s="16" t="s">
        <v>18</v>
      </c>
      <c r="M1210" s="16" t="s">
        <v>22</v>
      </c>
      <c r="N1210" s="39" t="s">
        <v>418</v>
      </c>
    </row>
    <row r="1211" spans="1:14" s="12" customFormat="1" ht="18">
      <c r="A1211" s="178" t="s">
        <v>120</v>
      </c>
      <c r="B1211" s="184" t="s">
        <v>508</v>
      </c>
      <c r="C1211" s="39" t="s">
        <v>417</v>
      </c>
      <c r="D1211" s="236"/>
      <c r="E1211" s="236"/>
      <c r="F1211" s="236"/>
      <c r="G1211" s="236"/>
      <c r="H1211" s="41">
        <f>SUM(Tabla132112416[[#This Row],[PRIMER TRIMESTRE]:[CUARTO TRIMESTRE]])</f>
        <v>0</v>
      </c>
      <c r="I1211" s="17">
        <v>5100</v>
      </c>
      <c r="J1211" s="17">
        <f t="shared" si="31"/>
        <v>0</v>
      </c>
      <c r="K1211" s="17"/>
      <c r="L1211" s="16" t="s">
        <v>18</v>
      </c>
      <c r="M1211" s="16" t="s">
        <v>22</v>
      </c>
      <c r="N1211" s="39" t="s">
        <v>418</v>
      </c>
    </row>
    <row r="1212" spans="1:14" s="12" customFormat="1" ht="18">
      <c r="A1212" s="178" t="s">
        <v>120</v>
      </c>
      <c r="B1212" s="184" t="s">
        <v>509</v>
      </c>
      <c r="C1212" s="39" t="s">
        <v>417</v>
      </c>
      <c r="D1212" s="236"/>
      <c r="E1212" s="236"/>
      <c r="F1212" s="236"/>
      <c r="G1212" s="236"/>
      <c r="H1212" s="41">
        <f>SUM(Tabla132112416[[#This Row],[PRIMER TRIMESTRE]:[CUARTO TRIMESTRE]])</f>
        <v>0</v>
      </c>
      <c r="I1212" s="17">
        <v>5100</v>
      </c>
      <c r="J1212" s="17">
        <f t="shared" si="31"/>
        <v>0</v>
      </c>
      <c r="K1212" s="17"/>
      <c r="L1212" s="16" t="s">
        <v>18</v>
      </c>
      <c r="M1212" s="16" t="s">
        <v>22</v>
      </c>
      <c r="N1212" s="39" t="s">
        <v>418</v>
      </c>
    </row>
    <row r="1213" spans="1:14" s="12" customFormat="1" ht="18">
      <c r="A1213" s="178" t="s">
        <v>120</v>
      </c>
      <c r="B1213" s="184" t="s">
        <v>510</v>
      </c>
      <c r="C1213" s="39" t="s">
        <v>417</v>
      </c>
      <c r="D1213" s="236"/>
      <c r="E1213" s="236"/>
      <c r="F1213" s="236"/>
      <c r="G1213" s="236"/>
      <c r="H1213" s="41">
        <f>SUM(Tabla132112416[[#This Row],[PRIMER TRIMESTRE]:[CUARTO TRIMESTRE]])</f>
        <v>0</v>
      </c>
      <c r="I1213" s="17">
        <v>5100</v>
      </c>
      <c r="J1213" s="17">
        <f t="shared" si="31"/>
        <v>0</v>
      </c>
      <c r="K1213" s="17"/>
      <c r="L1213" s="16" t="s">
        <v>18</v>
      </c>
      <c r="M1213" s="16" t="s">
        <v>22</v>
      </c>
      <c r="N1213" s="39" t="s">
        <v>418</v>
      </c>
    </row>
    <row r="1214" spans="1:14" s="12" customFormat="1" ht="18">
      <c r="A1214" s="178" t="s">
        <v>120</v>
      </c>
      <c r="B1214" s="184" t="s">
        <v>511</v>
      </c>
      <c r="C1214" s="39" t="s">
        <v>417</v>
      </c>
      <c r="D1214" s="236"/>
      <c r="E1214" s="236"/>
      <c r="F1214" s="236"/>
      <c r="G1214" s="236"/>
      <c r="H1214" s="41">
        <f>SUM(Tabla132112416[[#This Row],[PRIMER TRIMESTRE]:[CUARTO TRIMESTRE]])</f>
        <v>0</v>
      </c>
      <c r="I1214" s="17">
        <v>5100</v>
      </c>
      <c r="J1214" s="17">
        <f t="shared" si="31"/>
        <v>0</v>
      </c>
      <c r="K1214" s="17"/>
      <c r="L1214" s="16" t="s">
        <v>18</v>
      </c>
      <c r="M1214" s="16" t="s">
        <v>22</v>
      </c>
      <c r="N1214" s="39" t="s">
        <v>418</v>
      </c>
    </row>
    <row r="1215" spans="1:14" s="12" customFormat="1" ht="18">
      <c r="A1215" s="178" t="s">
        <v>120</v>
      </c>
      <c r="B1215" s="184" t="s">
        <v>512</v>
      </c>
      <c r="C1215" s="39" t="s">
        <v>417</v>
      </c>
      <c r="D1215" s="236"/>
      <c r="E1215" s="236"/>
      <c r="F1215" s="236"/>
      <c r="G1215" s="236"/>
      <c r="H1215" s="41">
        <f>SUM(Tabla132112416[[#This Row],[PRIMER TRIMESTRE]:[CUARTO TRIMESTRE]])</f>
        <v>0</v>
      </c>
      <c r="I1215" s="17">
        <v>2000</v>
      </c>
      <c r="J1215" s="17">
        <f t="shared" si="31"/>
        <v>0</v>
      </c>
      <c r="K1215" s="17"/>
      <c r="L1215" s="16" t="s">
        <v>18</v>
      </c>
      <c r="M1215" s="16" t="s">
        <v>22</v>
      </c>
      <c r="N1215" s="39" t="s">
        <v>418</v>
      </c>
    </row>
    <row r="1216" spans="1:14" s="12" customFormat="1" ht="18">
      <c r="A1216" s="178" t="s">
        <v>120</v>
      </c>
      <c r="B1216" s="184" t="s">
        <v>513</v>
      </c>
      <c r="C1216" s="39" t="s">
        <v>417</v>
      </c>
      <c r="D1216" s="236"/>
      <c r="E1216" s="236"/>
      <c r="F1216" s="236"/>
      <c r="G1216" s="236"/>
      <c r="H1216" s="41">
        <f>SUM(Tabla132112416[[#This Row],[PRIMER TRIMESTRE]:[CUARTO TRIMESTRE]])</f>
        <v>0</v>
      </c>
      <c r="I1216" s="17">
        <v>2500</v>
      </c>
      <c r="J1216" s="17">
        <f t="shared" si="31"/>
        <v>0</v>
      </c>
      <c r="K1216" s="17"/>
      <c r="L1216" s="16" t="s">
        <v>18</v>
      </c>
      <c r="M1216" s="16" t="s">
        <v>22</v>
      </c>
      <c r="N1216" s="39" t="s">
        <v>418</v>
      </c>
    </row>
    <row r="1217" spans="1:14" s="12" customFormat="1" ht="18">
      <c r="A1217" s="178" t="s">
        <v>120</v>
      </c>
      <c r="B1217" s="184" t="s">
        <v>514</v>
      </c>
      <c r="C1217" s="39" t="s">
        <v>417</v>
      </c>
      <c r="D1217" s="236"/>
      <c r="E1217" s="236"/>
      <c r="F1217" s="236"/>
      <c r="G1217" s="236"/>
      <c r="H1217" s="41">
        <f>SUM(Tabla132112416[[#This Row],[PRIMER TRIMESTRE]:[CUARTO TRIMESTRE]])</f>
        <v>0</v>
      </c>
      <c r="I1217" s="17">
        <v>2500</v>
      </c>
      <c r="J1217" s="17">
        <f t="shared" si="31"/>
        <v>0</v>
      </c>
      <c r="K1217" s="17"/>
      <c r="L1217" s="16" t="s">
        <v>18</v>
      </c>
      <c r="M1217" s="16" t="s">
        <v>22</v>
      </c>
      <c r="N1217" s="39" t="s">
        <v>418</v>
      </c>
    </row>
    <row r="1218" spans="1:14" s="12" customFormat="1" ht="18">
      <c r="A1218" s="178" t="s">
        <v>120</v>
      </c>
      <c r="B1218" s="184" t="s">
        <v>515</v>
      </c>
      <c r="C1218" s="39" t="s">
        <v>417</v>
      </c>
      <c r="D1218" s="236"/>
      <c r="E1218" s="236"/>
      <c r="F1218" s="236"/>
      <c r="G1218" s="236"/>
      <c r="H1218" s="41">
        <f>SUM(Tabla132112416[[#This Row],[PRIMER TRIMESTRE]:[CUARTO TRIMESTRE]])</f>
        <v>0</v>
      </c>
      <c r="I1218" s="17">
        <v>2500</v>
      </c>
      <c r="J1218" s="17">
        <f t="shared" si="31"/>
        <v>0</v>
      </c>
      <c r="K1218" s="17"/>
      <c r="L1218" s="16" t="s">
        <v>18</v>
      </c>
      <c r="M1218" s="16" t="s">
        <v>22</v>
      </c>
      <c r="N1218" s="39" t="s">
        <v>418</v>
      </c>
    </row>
    <row r="1219" spans="1:14" s="12" customFormat="1" ht="18">
      <c r="A1219" s="178" t="s">
        <v>120</v>
      </c>
      <c r="B1219" s="184" t="s">
        <v>516</v>
      </c>
      <c r="C1219" s="39" t="s">
        <v>417</v>
      </c>
      <c r="D1219" s="236"/>
      <c r="E1219" s="236"/>
      <c r="F1219" s="236"/>
      <c r="G1219" s="236"/>
      <c r="H1219" s="41">
        <f>SUM(Tabla132112416[[#This Row],[PRIMER TRIMESTRE]:[CUARTO TRIMESTRE]])</f>
        <v>0</v>
      </c>
      <c r="I1219" s="17">
        <v>2500</v>
      </c>
      <c r="J1219" s="17">
        <f t="shared" si="31"/>
        <v>0</v>
      </c>
      <c r="K1219" s="17"/>
      <c r="L1219" s="16" t="s">
        <v>18</v>
      </c>
      <c r="M1219" s="16" t="s">
        <v>22</v>
      </c>
      <c r="N1219" s="39" t="s">
        <v>418</v>
      </c>
    </row>
    <row r="1220" spans="1:14" s="12" customFormat="1" ht="18">
      <c r="A1220" s="178" t="s">
        <v>120</v>
      </c>
      <c r="B1220" s="184" t="s">
        <v>517</v>
      </c>
      <c r="C1220" s="39" t="s">
        <v>417</v>
      </c>
      <c r="D1220" s="236"/>
      <c r="E1220" s="236"/>
      <c r="F1220" s="236"/>
      <c r="G1220" s="236"/>
      <c r="H1220" s="41">
        <f>SUM(Tabla132112416[[#This Row],[PRIMER TRIMESTRE]:[CUARTO TRIMESTRE]])</f>
        <v>0</v>
      </c>
      <c r="I1220" s="17">
        <v>4100</v>
      </c>
      <c r="J1220" s="17">
        <f t="shared" si="31"/>
        <v>0</v>
      </c>
      <c r="K1220" s="17"/>
      <c r="L1220" s="16" t="s">
        <v>18</v>
      </c>
      <c r="M1220" s="16" t="s">
        <v>22</v>
      </c>
      <c r="N1220" s="39" t="s">
        <v>418</v>
      </c>
    </row>
    <row r="1221" spans="1:14" s="12" customFormat="1" ht="18">
      <c r="A1221" s="178" t="s">
        <v>120</v>
      </c>
      <c r="B1221" s="184" t="s">
        <v>518</v>
      </c>
      <c r="C1221" s="39" t="s">
        <v>417</v>
      </c>
      <c r="D1221" s="236"/>
      <c r="E1221" s="236"/>
      <c r="F1221" s="236"/>
      <c r="G1221" s="236"/>
      <c r="H1221" s="41">
        <f>SUM(Tabla132112416[[#This Row],[PRIMER TRIMESTRE]:[CUARTO TRIMESTRE]])</f>
        <v>0</v>
      </c>
      <c r="I1221" s="17">
        <v>3800</v>
      </c>
      <c r="J1221" s="17">
        <f t="shared" si="31"/>
        <v>0</v>
      </c>
      <c r="K1221" s="17"/>
      <c r="L1221" s="16" t="s">
        <v>18</v>
      </c>
      <c r="M1221" s="16" t="s">
        <v>22</v>
      </c>
      <c r="N1221" s="39" t="s">
        <v>418</v>
      </c>
    </row>
    <row r="1222" spans="1:14" s="12" customFormat="1" ht="18">
      <c r="A1222" s="178" t="s">
        <v>120</v>
      </c>
      <c r="B1222" s="184" t="s">
        <v>519</v>
      </c>
      <c r="C1222" s="39" t="s">
        <v>417</v>
      </c>
      <c r="D1222" s="236"/>
      <c r="E1222" s="236"/>
      <c r="F1222" s="236"/>
      <c r="G1222" s="236"/>
      <c r="H1222" s="41">
        <f>SUM(Tabla132112416[[#This Row],[PRIMER TRIMESTRE]:[CUARTO TRIMESTRE]])</f>
        <v>0</v>
      </c>
      <c r="I1222" s="17">
        <v>5400</v>
      </c>
      <c r="J1222" s="17">
        <f t="shared" si="31"/>
        <v>0</v>
      </c>
      <c r="K1222" s="17"/>
      <c r="L1222" s="16" t="s">
        <v>18</v>
      </c>
      <c r="M1222" s="16" t="s">
        <v>22</v>
      </c>
      <c r="N1222" s="39" t="s">
        <v>418</v>
      </c>
    </row>
    <row r="1223" spans="1:14" s="12" customFormat="1" ht="18">
      <c r="A1223" s="178" t="s">
        <v>120</v>
      </c>
      <c r="B1223" s="184" t="s">
        <v>520</v>
      </c>
      <c r="C1223" s="39" t="s">
        <v>417</v>
      </c>
      <c r="D1223" s="236"/>
      <c r="E1223" s="236"/>
      <c r="F1223" s="236"/>
      <c r="G1223" s="236"/>
      <c r="H1223" s="41">
        <f>SUM(Tabla132112416[[#This Row],[PRIMER TRIMESTRE]:[CUARTO TRIMESTRE]])</f>
        <v>0</v>
      </c>
      <c r="I1223" s="17">
        <v>5400</v>
      </c>
      <c r="J1223" s="17">
        <f t="shared" si="31"/>
        <v>0</v>
      </c>
      <c r="K1223" s="17"/>
      <c r="L1223" s="16" t="s">
        <v>18</v>
      </c>
      <c r="M1223" s="16" t="s">
        <v>22</v>
      </c>
      <c r="N1223" s="39" t="s">
        <v>418</v>
      </c>
    </row>
    <row r="1224" spans="1:14" s="12" customFormat="1" ht="18">
      <c r="A1224" s="178" t="s">
        <v>120</v>
      </c>
      <c r="B1224" s="184" t="s">
        <v>521</v>
      </c>
      <c r="C1224" s="39" t="s">
        <v>417</v>
      </c>
      <c r="D1224" s="236"/>
      <c r="E1224" s="236"/>
      <c r="F1224" s="236"/>
      <c r="G1224" s="236"/>
      <c r="H1224" s="41">
        <f>SUM(Tabla132112416[[#This Row],[PRIMER TRIMESTRE]:[CUARTO TRIMESTRE]])</f>
        <v>0</v>
      </c>
      <c r="I1224" s="17">
        <v>5400</v>
      </c>
      <c r="J1224" s="17">
        <f t="shared" si="31"/>
        <v>0</v>
      </c>
      <c r="K1224" s="17"/>
      <c r="L1224" s="16" t="s">
        <v>18</v>
      </c>
      <c r="M1224" s="16" t="s">
        <v>22</v>
      </c>
      <c r="N1224" s="39" t="s">
        <v>418</v>
      </c>
    </row>
    <row r="1225" spans="1:14" s="12" customFormat="1" ht="18">
      <c r="A1225" s="178" t="s">
        <v>120</v>
      </c>
      <c r="B1225" s="184" t="s">
        <v>522</v>
      </c>
      <c r="C1225" s="39" t="s">
        <v>417</v>
      </c>
      <c r="D1225" s="236"/>
      <c r="E1225" s="236"/>
      <c r="F1225" s="236"/>
      <c r="G1225" s="236"/>
      <c r="H1225" s="41">
        <f>SUM(Tabla132112416[[#This Row],[PRIMER TRIMESTRE]:[CUARTO TRIMESTRE]])</f>
        <v>0</v>
      </c>
      <c r="I1225" s="17">
        <v>3100</v>
      </c>
      <c r="J1225" s="17">
        <f t="shared" si="31"/>
        <v>0</v>
      </c>
      <c r="K1225" s="17"/>
      <c r="L1225" s="16" t="s">
        <v>18</v>
      </c>
      <c r="M1225" s="16" t="s">
        <v>22</v>
      </c>
      <c r="N1225" s="39" t="s">
        <v>418</v>
      </c>
    </row>
    <row r="1226" spans="1:14" s="12" customFormat="1" ht="18">
      <c r="A1226" s="178" t="s">
        <v>120</v>
      </c>
      <c r="B1226" s="184" t="s">
        <v>523</v>
      </c>
      <c r="C1226" s="39" t="s">
        <v>417</v>
      </c>
      <c r="D1226" s="236"/>
      <c r="E1226" s="236"/>
      <c r="F1226" s="236"/>
      <c r="G1226" s="236"/>
      <c r="H1226" s="41">
        <f>SUM(Tabla132112416[[#This Row],[PRIMER TRIMESTRE]:[CUARTO TRIMESTRE]])</f>
        <v>0</v>
      </c>
      <c r="I1226" s="17">
        <v>5100</v>
      </c>
      <c r="J1226" s="17">
        <f t="shared" si="31"/>
        <v>0</v>
      </c>
      <c r="K1226" s="17"/>
      <c r="L1226" s="16" t="s">
        <v>18</v>
      </c>
      <c r="M1226" s="16" t="s">
        <v>22</v>
      </c>
      <c r="N1226" s="39" t="s">
        <v>418</v>
      </c>
    </row>
    <row r="1227" spans="1:14" s="12" customFormat="1" ht="18">
      <c r="A1227" s="178" t="s">
        <v>120</v>
      </c>
      <c r="B1227" s="184" t="s">
        <v>524</v>
      </c>
      <c r="C1227" s="39" t="s">
        <v>417</v>
      </c>
      <c r="D1227" s="236"/>
      <c r="E1227" s="236"/>
      <c r="F1227" s="236"/>
      <c r="G1227" s="236"/>
      <c r="H1227" s="41">
        <f>SUM(Tabla132112416[[#This Row],[PRIMER TRIMESTRE]:[CUARTO TRIMESTRE]])</f>
        <v>0</v>
      </c>
      <c r="I1227" s="17">
        <v>3000</v>
      </c>
      <c r="J1227" s="17">
        <f t="shared" si="31"/>
        <v>0</v>
      </c>
      <c r="K1227" s="17"/>
      <c r="L1227" s="16" t="s">
        <v>18</v>
      </c>
      <c r="M1227" s="16" t="s">
        <v>22</v>
      </c>
      <c r="N1227" s="39" t="s">
        <v>418</v>
      </c>
    </row>
    <row r="1228" spans="1:14" s="12" customFormat="1" ht="18">
      <c r="A1228" s="178" t="s">
        <v>120</v>
      </c>
      <c r="B1228" s="184" t="s">
        <v>525</v>
      </c>
      <c r="C1228" s="39" t="s">
        <v>417</v>
      </c>
      <c r="D1228" s="236"/>
      <c r="E1228" s="236"/>
      <c r="F1228" s="236"/>
      <c r="G1228" s="236"/>
      <c r="H1228" s="41">
        <f>SUM(Tabla132112416[[#This Row],[PRIMER TRIMESTRE]:[CUARTO TRIMESTRE]])</f>
        <v>0</v>
      </c>
      <c r="I1228" s="17">
        <v>3800</v>
      </c>
      <c r="J1228" s="17">
        <f t="shared" si="31"/>
        <v>0</v>
      </c>
      <c r="K1228" s="17"/>
      <c r="L1228" s="16" t="s">
        <v>18</v>
      </c>
      <c r="M1228" s="16" t="s">
        <v>22</v>
      </c>
      <c r="N1228" s="39" t="s">
        <v>418</v>
      </c>
    </row>
    <row r="1229" spans="1:14" s="12" customFormat="1" ht="18">
      <c r="A1229" s="178" t="s">
        <v>120</v>
      </c>
      <c r="B1229" s="184" t="s">
        <v>526</v>
      </c>
      <c r="C1229" s="39" t="s">
        <v>417</v>
      </c>
      <c r="D1229" s="236"/>
      <c r="E1229" s="236"/>
      <c r="F1229" s="236"/>
      <c r="G1229" s="236"/>
      <c r="H1229" s="41">
        <f>SUM(Tabla132112416[[#This Row],[PRIMER TRIMESTRE]:[CUARTO TRIMESTRE]])</f>
        <v>0</v>
      </c>
      <c r="I1229" s="17">
        <v>3800</v>
      </c>
      <c r="J1229" s="17">
        <f t="shared" si="31"/>
        <v>0</v>
      </c>
      <c r="K1229" s="17"/>
      <c r="L1229" s="16" t="s">
        <v>18</v>
      </c>
      <c r="M1229" s="16" t="s">
        <v>22</v>
      </c>
      <c r="N1229" s="39" t="s">
        <v>418</v>
      </c>
    </row>
    <row r="1230" spans="1:14" s="12" customFormat="1" ht="18">
      <c r="A1230" s="178" t="s">
        <v>120</v>
      </c>
      <c r="B1230" s="184" t="s">
        <v>527</v>
      </c>
      <c r="C1230" s="39" t="s">
        <v>417</v>
      </c>
      <c r="D1230" s="236"/>
      <c r="E1230" s="236"/>
      <c r="F1230" s="236"/>
      <c r="G1230" s="236"/>
      <c r="H1230" s="41">
        <f>SUM(Tabla132112416[[#This Row],[PRIMER TRIMESTRE]:[CUARTO TRIMESTRE]])</f>
        <v>0</v>
      </c>
      <c r="I1230" s="17">
        <v>3800</v>
      </c>
      <c r="J1230" s="17">
        <f t="shared" si="31"/>
        <v>0</v>
      </c>
      <c r="K1230" s="17"/>
      <c r="L1230" s="16" t="s">
        <v>18</v>
      </c>
      <c r="M1230" s="16" t="s">
        <v>22</v>
      </c>
      <c r="N1230" s="39" t="s">
        <v>418</v>
      </c>
    </row>
    <row r="1231" spans="1:14" s="12" customFormat="1" ht="18">
      <c r="A1231" s="178" t="s">
        <v>120</v>
      </c>
      <c r="B1231" s="184" t="s">
        <v>528</v>
      </c>
      <c r="C1231" s="39" t="s">
        <v>417</v>
      </c>
      <c r="D1231" s="236"/>
      <c r="E1231" s="236"/>
      <c r="F1231" s="236"/>
      <c r="G1231" s="236"/>
      <c r="H1231" s="41">
        <f>SUM(Tabla132112416[[#This Row],[PRIMER TRIMESTRE]:[CUARTO TRIMESTRE]])</f>
        <v>0</v>
      </c>
      <c r="I1231" s="17">
        <v>6400</v>
      </c>
      <c r="J1231" s="17">
        <f t="shared" si="31"/>
        <v>0</v>
      </c>
      <c r="K1231" s="17"/>
      <c r="L1231" s="16" t="s">
        <v>18</v>
      </c>
      <c r="M1231" s="16" t="s">
        <v>22</v>
      </c>
      <c r="N1231" s="39" t="s">
        <v>418</v>
      </c>
    </row>
    <row r="1232" spans="1:14" s="12" customFormat="1" ht="33" customHeight="1">
      <c r="A1232" s="178" t="s">
        <v>120</v>
      </c>
      <c r="B1232" s="185" t="s">
        <v>529</v>
      </c>
      <c r="C1232" s="39" t="s">
        <v>417</v>
      </c>
      <c r="D1232" s="236">
        <v>9</v>
      </c>
      <c r="E1232" s="210"/>
      <c r="F1232" s="210">
        <v>9</v>
      </c>
      <c r="G1232" s="210"/>
      <c r="H1232" s="511">
        <v>18</v>
      </c>
      <c r="I1232" s="17">
        <f>9750*1.18</f>
        <v>11505</v>
      </c>
      <c r="J1232" s="17">
        <f t="shared" si="31"/>
        <v>207090</v>
      </c>
      <c r="K1232" s="17"/>
      <c r="L1232" s="16" t="s">
        <v>18</v>
      </c>
      <c r="M1232" s="16" t="s">
        <v>22</v>
      </c>
      <c r="N1232" s="39" t="s">
        <v>418</v>
      </c>
    </row>
    <row r="1233" spans="1:14" s="12" customFormat="1" ht="33" customHeight="1">
      <c r="A1233" s="178" t="s">
        <v>120</v>
      </c>
      <c r="B1233" s="185" t="s">
        <v>530</v>
      </c>
      <c r="C1233" s="39" t="s">
        <v>417</v>
      </c>
      <c r="D1233" s="236">
        <v>6</v>
      </c>
      <c r="E1233" s="210"/>
      <c r="F1233" s="210">
        <v>6</v>
      </c>
      <c r="G1233" s="210"/>
      <c r="H1233" s="510">
        <v>12</v>
      </c>
      <c r="I1233" s="17">
        <v>11505</v>
      </c>
      <c r="J1233" s="17">
        <f t="shared" si="31"/>
        <v>138060</v>
      </c>
      <c r="K1233" s="17"/>
      <c r="L1233" s="16" t="s">
        <v>18</v>
      </c>
      <c r="M1233" s="16" t="s">
        <v>22</v>
      </c>
      <c r="N1233" s="39" t="s">
        <v>418</v>
      </c>
    </row>
    <row r="1234" spans="1:14" s="12" customFormat="1" ht="33" customHeight="1">
      <c r="A1234" s="178" t="s">
        <v>120</v>
      </c>
      <c r="B1234" s="185" t="s">
        <v>531</v>
      </c>
      <c r="C1234" s="39" t="s">
        <v>417</v>
      </c>
      <c r="D1234" s="236">
        <v>6</v>
      </c>
      <c r="E1234" s="210"/>
      <c r="F1234" s="210">
        <v>6</v>
      </c>
      <c r="G1234" s="210"/>
      <c r="H1234" s="510">
        <v>12</v>
      </c>
      <c r="I1234" s="17">
        <v>11505</v>
      </c>
      <c r="J1234" s="17">
        <f t="shared" ref="J1234:J1247" si="32">+H1234*I1234</f>
        <v>138060</v>
      </c>
      <c r="K1234" s="17"/>
      <c r="L1234" s="16" t="s">
        <v>18</v>
      </c>
      <c r="M1234" s="16" t="s">
        <v>22</v>
      </c>
      <c r="N1234" s="39" t="s">
        <v>418</v>
      </c>
    </row>
    <row r="1235" spans="1:14" s="12" customFormat="1" ht="33" customHeight="1">
      <c r="A1235" s="178" t="s">
        <v>120</v>
      </c>
      <c r="B1235" s="185" t="s">
        <v>532</v>
      </c>
      <c r="C1235" s="39" t="s">
        <v>417</v>
      </c>
      <c r="D1235" s="236">
        <v>9</v>
      </c>
      <c r="E1235" s="210"/>
      <c r="F1235" s="210">
        <v>9</v>
      </c>
      <c r="G1235" s="210"/>
      <c r="H1235" s="510">
        <v>18</v>
      </c>
      <c r="I1235" s="17">
        <v>11505</v>
      </c>
      <c r="J1235" s="17">
        <f t="shared" si="32"/>
        <v>207090</v>
      </c>
      <c r="K1235" s="17"/>
      <c r="L1235" s="16" t="s">
        <v>18</v>
      </c>
      <c r="M1235" s="16" t="s">
        <v>22</v>
      </c>
      <c r="N1235" s="39" t="s">
        <v>418</v>
      </c>
    </row>
    <row r="1236" spans="1:14" s="12" customFormat="1" ht="33" customHeight="1">
      <c r="A1236" s="178" t="s">
        <v>120</v>
      </c>
      <c r="B1236" s="80" t="s">
        <v>790</v>
      </c>
      <c r="C1236" s="39" t="s">
        <v>417</v>
      </c>
      <c r="D1236" s="236">
        <v>9</v>
      </c>
      <c r="E1236" s="210"/>
      <c r="F1236" s="210">
        <v>9</v>
      </c>
      <c r="G1236" s="210"/>
      <c r="H1236" s="510">
        <v>18</v>
      </c>
      <c r="I1236" s="72">
        <v>3760.11</v>
      </c>
      <c r="J1236" s="17">
        <f t="shared" si="32"/>
        <v>67681.98</v>
      </c>
      <c r="K1236" s="17"/>
      <c r="L1236" s="16" t="s">
        <v>18</v>
      </c>
      <c r="M1236" s="16" t="s">
        <v>22</v>
      </c>
      <c r="N1236" s="39" t="s">
        <v>418</v>
      </c>
    </row>
    <row r="1237" spans="1:14" s="12" customFormat="1" ht="30.75" customHeight="1">
      <c r="A1237" s="178" t="s">
        <v>120</v>
      </c>
      <c r="B1237" s="80" t="s">
        <v>791</v>
      </c>
      <c r="C1237" s="39" t="s">
        <v>417</v>
      </c>
      <c r="D1237" s="236"/>
      <c r="E1237" s="210"/>
      <c r="F1237" s="210"/>
      <c r="G1237" s="210"/>
      <c r="H1237" s="41">
        <f>SUM(Tabla132112416[[#This Row],[PRIMER TRIMESTRE]:[CUARTO TRIMESTRE]])</f>
        <v>0</v>
      </c>
      <c r="I1237" s="72">
        <v>3914.09</v>
      </c>
      <c r="J1237" s="17">
        <f t="shared" si="32"/>
        <v>0</v>
      </c>
      <c r="K1237" s="17"/>
      <c r="L1237" s="16" t="s">
        <v>18</v>
      </c>
      <c r="M1237" s="16" t="s">
        <v>22</v>
      </c>
      <c r="N1237" s="39" t="s">
        <v>418</v>
      </c>
    </row>
    <row r="1238" spans="1:14" s="12" customFormat="1" ht="30.75" customHeight="1">
      <c r="A1238" s="178" t="s">
        <v>120</v>
      </c>
      <c r="B1238" s="80" t="s">
        <v>792</v>
      </c>
      <c r="C1238" s="39" t="s">
        <v>417</v>
      </c>
      <c r="D1238" s="236"/>
      <c r="E1238" s="210"/>
      <c r="F1238" s="210"/>
      <c r="G1238" s="210"/>
      <c r="H1238" s="41">
        <f>SUM(Tabla132112416[[#This Row],[PRIMER TRIMESTRE]:[CUARTO TRIMESTRE]])</f>
        <v>0</v>
      </c>
      <c r="I1238" s="72">
        <v>4257.1899999999996</v>
      </c>
      <c r="J1238" s="17">
        <f t="shared" si="32"/>
        <v>0</v>
      </c>
      <c r="K1238" s="17"/>
      <c r="L1238" s="16" t="s">
        <v>18</v>
      </c>
      <c r="M1238" s="16" t="s">
        <v>22</v>
      </c>
      <c r="N1238" s="39" t="s">
        <v>418</v>
      </c>
    </row>
    <row r="1239" spans="1:14" s="12" customFormat="1" ht="30.75" customHeight="1">
      <c r="A1239" s="178" t="s">
        <v>120</v>
      </c>
      <c r="B1239" s="80" t="s">
        <v>793</v>
      </c>
      <c r="C1239" s="39" t="s">
        <v>417</v>
      </c>
      <c r="D1239" s="236"/>
      <c r="E1239" s="210"/>
      <c r="F1239" s="210"/>
      <c r="G1239" s="210"/>
      <c r="H1239" s="41">
        <f>SUM(Tabla132112416[[#This Row],[PRIMER TRIMESTRE]:[CUARTO TRIMESTRE]])</f>
        <v>0</v>
      </c>
      <c r="I1239" s="72">
        <v>4257.1899999999996</v>
      </c>
      <c r="J1239" s="17">
        <f t="shared" si="32"/>
        <v>0</v>
      </c>
      <c r="K1239" s="17"/>
      <c r="L1239" s="16" t="s">
        <v>18</v>
      </c>
      <c r="M1239" s="16" t="s">
        <v>22</v>
      </c>
      <c r="N1239" s="39" t="s">
        <v>418</v>
      </c>
    </row>
    <row r="1240" spans="1:14" s="12" customFormat="1" ht="30.75" customHeight="1">
      <c r="A1240" s="178" t="s">
        <v>120</v>
      </c>
      <c r="B1240" s="80" t="s">
        <v>794</v>
      </c>
      <c r="C1240" s="39" t="s">
        <v>417</v>
      </c>
      <c r="D1240" s="236"/>
      <c r="E1240" s="210"/>
      <c r="F1240" s="210"/>
      <c r="G1240" s="210"/>
      <c r="H1240" s="41">
        <f>SUM(Tabla132112416[[#This Row],[PRIMER TRIMESTRE]:[CUARTO TRIMESTRE]])</f>
        <v>0</v>
      </c>
      <c r="I1240" s="72">
        <v>4257.8999999999996</v>
      </c>
      <c r="J1240" s="17">
        <f t="shared" si="32"/>
        <v>0</v>
      </c>
      <c r="K1240" s="17"/>
      <c r="L1240" s="16" t="s">
        <v>18</v>
      </c>
      <c r="M1240" s="16" t="s">
        <v>22</v>
      </c>
      <c r="N1240" s="39" t="s">
        <v>418</v>
      </c>
    </row>
    <row r="1241" spans="1:14" s="12" customFormat="1" ht="30.75" customHeight="1">
      <c r="A1241" s="178" t="s">
        <v>120</v>
      </c>
      <c r="B1241" s="80" t="s">
        <v>795</v>
      </c>
      <c r="C1241" s="39" t="s">
        <v>417</v>
      </c>
      <c r="D1241" s="236"/>
      <c r="E1241" s="210"/>
      <c r="F1241" s="210"/>
      <c r="G1241" s="210"/>
      <c r="H1241" s="41">
        <f>SUM(Tabla132112416[[#This Row],[PRIMER TRIMESTRE]:[CUARTO TRIMESTRE]])</f>
        <v>0</v>
      </c>
      <c r="I1241" s="72">
        <v>4238.76</v>
      </c>
      <c r="J1241" s="17">
        <f t="shared" si="32"/>
        <v>0</v>
      </c>
      <c r="K1241" s="17"/>
      <c r="L1241" s="16" t="s">
        <v>18</v>
      </c>
      <c r="M1241" s="16" t="s">
        <v>22</v>
      </c>
      <c r="N1241" s="39" t="s">
        <v>418</v>
      </c>
    </row>
    <row r="1242" spans="1:14" s="12" customFormat="1" ht="30.75" customHeight="1">
      <c r="A1242" s="178" t="s">
        <v>120</v>
      </c>
      <c r="B1242" s="80" t="s">
        <v>796</v>
      </c>
      <c r="C1242" s="39" t="s">
        <v>417</v>
      </c>
      <c r="D1242" s="236"/>
      <c r="E1242" s="210"/>
      <c r="F1242" s="210"/>
      <c r="G1242" s="210"/>
      <c r="H1242" s="41">
        <f>SUM(Tabla132112416[[#This Row],[PRIMER TRIMESTRE]:[CUARTO TRIMESTRE]])</f>
        <v>0</v>
      </c>
      <c r="I1242" s="72">
        <v>3199.82</v>
      </c>
      <c r="J1242" s="17">
        <f t="shared" si="32"/>
        <v>0</v>
      </c>
      <c r="K1242" s="17"/>
      <c r="L1242" s="16" t="s">
        <v>18</v>
      </c>
      <c r="M1242" s="16" t="s">
        <v>22</v>
      </c>
      <c r="N1242" s="39" t="s">
        <v>418</v>
      </c>
    </row>
    <row r="1243" spans="1:14" s="12" customFormat="1" ht="30.75" customHeight="1">
      <c r="A1243" s="178" t="s">
        <v>120</v>
      </c>
      <c r="B1243" s="80" t="s">
        <v>797</v>
      </c>
      <c r="C1243" s="39" t="s">
        <v>417</v>
      </c>
      <c r="D1243" s="236"/>
      <c r="E1243" s="210"/>
      <c r="F1243" s="210"/>
      <c r="G1243" s="210"/>
      <c r="H1243" s="41">
        <f>SUM(Tabla132112416[[#This Row],[PRIMER TRIMESTRE]:[CUARTO TRIMESTRE]])</f>
        <v>0</v>
      </c>
      <c r="I1243" s="72">
        <v>3679.8</v>
      </c>
      <c r="J1243" s="17">
        <f t="shared" si="32"/>
        <v>0</v>
      </c>
      <c r="K1243" s="17"/>
      <c r="L1243" s="16" t="s">
        <v>18</v>
      </c>
      <c r="M1243" s="16" t="s">
        <v>22</v>
      </c>
      <c r="N1243" s="39" t="s">
        <v>418</v>
      </c>
    </row>
    <row r="1244" spans="1:14" s="12" customFormat="1" ht="30.75" customHeight="1">
      <c r="A1244" s="178" t="s">
        <v>120</v>
      </c>
      <c r="B1244" s="80" t="s">
        <v>798</v>
      </c>
      <c r="C1244" s="39" t="s">
        <v>417</v>
      </c>
      <c r="D1244" s="236"/>
      <c r="E1244" s="210"/>
      <c r="F1244" s="210"/>
      <c r="G1244" s="210"/>
      <c r="H1244" s="41">
        <f>SUM(Tabla132112416[[#This Row],[PRIMER TRIMESTRE]:[CUARTO TRIMESTRE]])</f>
        <v>0</v>
      </c>
      <c r="I1244" s="72">
        <v>3304</v>
      </c>
      <c r="J1244" s="17">
        <f t="shared" si="32"/>
        <v>0</v>
      </c>
      <c r="K1244" s="17"/>
      <c r="L1244" s="16" t="s">
        <v>18</v>
      </c>
      <c r="M1244" s="16" t="s">
        <v>22</v>
      </c>
      <c r="N1244" s="39" t="s">
        <v>418</v>
      </c>
    </row>
    <row r="1245" spans="1:14" s="12" customFormat="1" ht="30.75" customHeight="1">
      <c r="A1245" s="178" t="s">
        <v>120</v>
      </c>
      <c r="B1245" s="80" t="s">
        <v>1409</v>
      </c>
      <c r="C1245" s="39" t="s">
        <v>417</v>
      </c>
      <c r="D1245" s="236"/>
      <c r="E1245" s="210"/>
      <c r="F1245" s="210"/>
      <c r="G1245" s="210"/>
      <c r="H1245" s="41">
        <f>SUM(Tabla132112416[[#This Row],[PRIMER TRIMESTRE]:[CUARTO TRIMESTRE]])</f>
        <v>0</v>
      </c>
      <c r="I1245" s="72">
        <v>5700</v>
      </c>
      <c r="J1245" s="17">
        <f t="shared" si="32"/>
        <v>0</v>
      </c>
      <c r="K1245" s="17"/>
      <c r="L1245" s="16" t="s">
        <v>18</v>
      </c>
      <c r="M1245" s="16" t="s">
        <v>22</v>
      </c>
      <c r="N1245" s="39" t="s">
        <v>418</v>
      </c>
    </row>
    <row r="1246" spans="1:14" s="26" customFormat="1" ht="30.75" customHeight="1">
      <c r="A1246" s="178" t="s">
        <v>120</v>
      </c>
      <c r="B1246" s="80" t="s">
        <v>1410</v>
      </c>
      <c r="C1246" s="39" t="s">
        <v>417</v>
      </c>
      <c r="D1246" s="236"/>
      <c r="E1246" s="210"/>
      <c r="F1246" s="210"/>
      <c r="G1246" s="210"/>
      <c r="H1246" s="41">
        <f>SUM(Tabla132112416[[#This Row],[PRIMER TRIMESTRE]:[CUARTO TRIMESTRE]])</f>
        <v>0</v>
      </c>
      <c r="I1246" s="72">
        <v>8500</v>
      </c>
      <c r="J1246" s="17">
        <f t="shared" si="32"/>
        <v>0</v>
      </c>
      <c r="K1246" s="17"/>
      <c r="L1246" s="16" t="s">
        <v>18</v>
      </c>
      <c r="M1246" s="16" t="s">
        <v>22</v>
      </c>
      <c r="N1246" s="39" t="s">
        <v>418</v>
      </c>
    </row>
    <row r="1247" spans="1:14" s="12" customFormat="1" ht="30.75" customHeight="1">
      <c r="A1247" s="178" t="s">
        <v>120</v>
      </c>
      <c r="B1247" s="80" t="s">
        <v>1421</v>
      </c>
      <c r="C1247" s="39" t="s">
        <v>417</v>
      </c>
      <c r="D1247" s="236"/>
      <c r="E1247" s="210"/>
      <c r="F1247" s="210"/>
      <c r="G1247" s="210"/>
      <c r="H1247" s="41">
        <f>SUM(Tabla132112416[[#This Row],[PRIMER TRIMESTRE]:[CUARTO TRIMESTRE]])</f>
        <v>0</v>
      </c>
      <c r="I1247" s="72">
        <v>3500</v>
      </c>
      <c r="J1247" s="17">
        <f t="shared" si="32"/>
        <v>0</v>
      </c>
      <c r="K1247" s="17"/>
      <c r="L1247" s="16" t="s">
        <v>18</v>
      </c>
      <c r="M1247" s="16" t="s">
        <v>22</v>
      </c>
      <c r="N1247" s="39" t="s">
        <v>418</v>
      </c>
    </row>
    <row r="1248" spans="1:14" s="12" customFormat="1" ht="30.75" customHeight="1">
      <c r="A1248" s="178"/>
      <c r="B1248" s="80"/>
      <c r="C1248" s="39"/>
      <c r="D1248" s="236"/>
      <c r="E1248" s="210"/>
      <c r="F1248" s="210"/>
      <c r="G1248" s="210"/>
      <c r="H1248" s="41"/>
      <c r="I1248" s="72"/>
      <c r="J1248" s="17"/>
      <c r="K1248" s="17"/>
      <c r="L1248" s="16"/>
      <c r="M1248" s="16"/>
      <c r="N1248" s="39"/>
    </row>
    <row r="1249" spans="1:14" s="12" customFormat="1" ht="30.75" customHeight="1">
      <c r="A1249" s="178"/>
      <c r="B1249" s="80" t="s">
        <v>2581</v>
      </c>
      <c r="C1249" s="39" t="s">
        <v>208</v>
      </c>
      <c r="D1249" s="236">
        <v>3</v>
      </c>
      <c r="E1249" s="210"/>
      <c r="F1249" s="210">
        <v>2</v>
      </c>
      <c r="G1249" s="210"/>
      <c r="H1249" s="46">
        <v>5</v>
      </c>
      <c r="I1249" s="72"/>
      <c r="J1249" s="17"/>
      <c r="K1249" s="17"/>
      <c r="L1249" s="16"/>
      <c r="M1249" s="16"/>
      <c r="N1249" s="39"/>
    </row>
    <row r="1250" spans="1:14" s="12" customFormat="1" ht="30.75" customHeight="1">
      <c r="A1250" s="178"/>
      <c r="B1250" s="80" t="s">
        <v>2582</v>
      </c>
      <c r="C1250" s="39" t="s">
        <v>1772</v>
      </c>
      <c r="D1250" s="236">
        <v>15</v>
      </c>
      <c r="E1250" s="210"/>
      <c r="F1250" s="210">
        <v>15</v>
      </c>
      <c r="G1250" s="210"/>
      <c r="H1250" s="46">
        <v>30</v>
      </c>
      <c r="I1250" s="72"/>
      <c r="J1250" s="17"/>
      <c r="K1250" s="17"/>
      <c r="L1250" s="16"/>
      <c r="M1250" s="16"/>
      <c r="N1250" s="39"/>
    </row>
    <row r="1251" spans="1:14" s="12" customFormat="1" ht="30.75" customHeight="1">
      <c r="A1251" s="178"/>
      <c r="B1251" s="80"/>
      <c r="C1251" s="39"/>
      <c r="D1251" s="236"/>
      <c r="E1251" s="210"/>
      <c r="F1251" s="210"/>
      <c r="G1251" s="210"/>
      <c r="H1251" s="41"/>
      <c r="I1251" s="72"/>
      <c r="J1251" s="17"/>
      <c r="K1251" s="17"/>
      <c r="L1251" s="16"/>
      <c r="M1251" s="16"/>
      <c r="N1251" s="39"/>
    </row>
    <row r="1252" spans="1:14" s="12" customFormat="1" ht="30.75" customHeight="1">
      <c r="A1252" s="179" t="s">
        <v>120</v>
      </c>
      <c r="B1252" s="76"/>
      <c r="C1252" s="42"/>
      <c r="D1252" s="237"/>
      <c r="E1252" s="237"/>
      <c r="F1252" s="237"/>
      <c r="G1252" s="237"/>
      <c r="H1252" s="237"/>
      <c r="I1252" s="24"/>
      <c r="J1252" s="24"/>
      <c r="K1252" s="25">
        <f>SUM(J1109:J1247)</f>
        <v>1526806.1357793764</v>
      </c>
      <c r="L1252" s="23"/>
      <c r="M1252" s="23"/>
      <c r="N1252" s="42"/>
    </row>
    <row r="1253" spans="1:14" s="12" customFormat="1" ht="30.75" customHeight="1">
      <c r="A1253" s="178" t="s">
        <v>121</v>
      </c>
      <c r="B1253" s="75" t="s">
        <v>273</v>
      </c>
      <c r="C1253" s="39" t="s">
        <v>17</v>
      </c>
      <c r="D1253" s="236"/>
      <c r="E1253" s="210"/>
      <c r="F1253" s="210"/>
      <c r="G1253" s="210"/>
      <c r="H1253" s="40">
        <f>SUM(Tabla132112416[[#This Row],[PRIMER TRIMESTRE]:[CUARTO TRIMESTRE]])</f>
        <v>0</v>
      </c>
      <c r="I1253" s="17">
        <v>5684</v>
      </c>
      <c r="J1253" s="17">
        <f>+Tabla132112416[[#This Row],[CANTIDAD TOTAL]]*Tabla132112416[[#This Row],[PRECIO UNITARIO ESTIMADO]]</f>
        <v>0</v>
      </c>
      <c r="K1253" s="17"/>
      <c r="L1253" s="16" t="s">
        <v>18</v>
      </c>
      <c r="M1253" s="16" t="s">
        <v>22</v>
      </c>
      <c r="N1253" s="39" t="s">
        <v>418</v>
      </c>
    </row>
    <row r="1254" spans="1:14" s="12" customFormat="1" ht="30.75" customHeight="1">
      <c r="A1254" s="178" t="s">
        <v>121</v>
      </c>
      <c r="B1254" s="75" t="s">
        <v>1757</v>
      </c>
      <c r="C1254" s="39" t="s">
        <v>17</v>
      </c>
      <c r="D1254" s="236">
        <v>6</v>
      </c>
      <c r="E1254" s="210"/>
      <c r="F1254" s="210">
        <v>6</v>
      </c>
      <c r="G1254" s="210"/>
      <c r="H1254" s="40">
        <v>12</v>
      </c>
      <c r="I1254" s="17">
        <v>0</v>
      </c>
      <c r="J1254" s="17">
        <v>0</v>
      </c>
      <c r="K1254" s="17"/>
      <c r="L1254" s="16"/>
      <c r="M1254" s="16"/>
      <c r="N1254" s="39"/>
    </row>
    <row r="1255" spans="1:14" s="12" customFormat="1" ht="30.75" customHeight="1">
      <c r="A1255" s="178" t="s">
        <v>121</v>
      </c>
      <c r="B1255" s="75" t="s">
        <v>2583</v>
      </c>
      <c r="C1255" s="39" t="s">
        <v>1773</v>
      </c>
      <c r="D1255" s="236"/>
      <c r="E1255" s="210"/>
      <c r="F1255" s="210">
        <v>1</v>
      </c>
      <c r="G1255" s="210"/>
      <c r="H1255" s="406">
        <v>1</v>
      </c>
      <c r="I1255" s="17"/>
      <c r="J1255" s="17"/>
      <c r="K1255" s="17"/>
      <c r="L1255" s="16"/>
      <c r="M1255" s="16"/>
      <c r="N1255" s="39"/>
    </row>
    <row r="1256" spans="1:14" s="12" customFormat="1" ht="30.75" customHeight="1">
      <c r="A1256" s="178" t="s">
        <v>121</v>
      </c>
      <c r="B1256" s="75" t="s">
        <v>2584</v>
      </c>
      <c r="C1256" s="39" t="s">
        <v>1773</v>
      </c>
      <c r="D1256" s="236"/>
      <c r="E1256" s="210"/>
      <c r="F1256" s="210">
        <v>1</v>
      </c>
      <c r="G1256" s="210"/>
      <c r="H1256" s="406">
        <v>1</v>
      </c>
      <c r="I1256" s="17"/>
      <c r="J1256" s="17"/>
      <c r="K1256" s="17"/>
      <c r="L1256" s="16"/>
      <c r="M1256" s="16"/>
      <c r="N1256" s="39"/>
    </row>
    <row r="1257" spans="1:14" s="12" customFormat="1" ht="30.75" customHeight="1">
      <c r="A1257" s="178" t="s">
        <v>121</v>
      </c>
      <c r="B1257" s="75" t="s">
        <v>2585</v>
      </c>
      <c r="C1257" s="39" t="s">
        <v>1773</v>
      </c>
      <c r="D1257" s="236"/>
      <c r="E1257" s="210"/>
      <c r="F1257" s="210">
        <v>1</v>
      </c>
      <c r="G1257" s="210"/>
      <c r="H1257" s="406">
        <v>1</v>
      </c>
      <c r="I1257" s="17"/>
      <c r="J1257" s="17"/>
      <c r="K1257" s="17"/>
      <c r="L1257" s="16"/>
      <c r="M1257" s="16"/>
      <c r="N1257" s="39"/>
    </row>
    <row r="1258" spans="1:14" s="12" customFormat="1" ht="30.75" customHeight="1">
      <c r="A1258" s="178" t="s">
        <v>121</v>
      </c>
      <c r="B1258" s="75" t="s">
        <v>2586</v>
      </c>
      <c r="C1258" s="39" t="s">
        <v>1773</v>
      </c>
      <c r="D1258" s="236"/>
      <c r="E1258" s="210"/>
      <c r="F1258" s="210">
        <v>2</v>
      </c>
      <c r="G1258" s="210"/>
      <c r="H1258" s="406">
        <v>2</v>
      </c>
      <c r="I1258" s="17"/>
      <c r="J1258" s="17"/>
      <c r="K1258" s="17"/>
      <c r="L1258" s="16"/>
      <c r="M1258" s="16"/>
      <c r="N1258" s="39"/>
    </row>
    <row r="1259" spans="1:14" s="12" customFormat="1" ht="30.75" customHeight="1">
      <c r="A1259" s="178" t="s">
        <v>121</v>
      </c>
      <c r="B1259" s="75" t="s">
        <v>2587</v>
      </c>
      <c r="C1259" s="39" t="s">
        <v>1773</v>
      </c>
      <c r="D1259" s="210">
        <v>10</v>
      </c>
      <c r="E1259" s="210"/>
      <c r="F1259" s="210">
        <v>10</v>
      </c>
      <c r="G1259" s="210"/>
      <c r="H1259" s="406">
        <v>20</v>
      </c>
      <c r="I1259" s="17"/>
      <c r="J1259" s="17"/>
      <c r="K1259" s="17"/>
      <c r="L1259" s="16"/>
      <c r="M1259" s="16"/>
      <c r="N1259" s="39"/>
    </row>
    <row r="1260" spans="1:14" s="12" customFormat="1" ht="30.75" customHeight="1">
      <c r="A1260" s="178" t="s">
        <v>121</v>
      </c>
      <c r="B1260" s="75" t="s">
        <v>2588</v>
      </c>
      <c r="C1260" s="39" t="s">
        <v>1773</v>
      </c>
      <c r="D1260" s="236">
        <v>6</v>
      </c>
      <c r="E1260" s="210"/>
      <c r="F1260" s="210">
        <v>6</v>
      </c>
      <c r="G1260" s="210"/>
      <c r="H1260" s="406">
        <v>12</v>
      </c>
      <c r="I1260" s="17"/>
      <c r="J1260" s="17"/>
      <c r="K1260" s="17"/>
      <c r="L1260" s="16"/>
      <c r="M1260" s="16"/>
      <c r="N1260" s="39"/>
    </row>
    <row r="1261" spans="1:14" s="12" customFormat="1" ht="30.75" customHeight="1">
      <c r="A1261" s="178" t="s">
        <v>121</v>
      </c>
      <c r="B1261" s="75" t="s">
        <v>2589</v>
      </c>
      <c r="C1261" s="39" t="s">
        <v>1773</v>
      </c>
      <c r="D1261" s="236"/>
      <c r="E1261" s="210">
        <v>2</v>
      </c>
      <c r="F1261" s="210"/>
      <c r="G1261" s="210"/>
      <c r="H1261" s="406">
        <v>2</v>
      </c>
      <c r="I1261" s="17"/>
      <c r="J1261" s="17"/>
      <c r="K1261" s="17"/>
      <c r="L1261" s="16"/>
      <c r="M1261" s="16"/>
      <c r="N1261" s="39"/>
    </row>
    <row r="1262" spans="1:14" s="12" customFormat="1" ht="30.75" customHeight="1">
      <c r="A1262" s="178" t="s">
        <v>121</v>
      </c>
      <c r="B1262" s="75" t="s">
        <v>2590</v>
      </c>
      <c r="C1262" s="39" t="s">
        <v>1773</v>
      </c>
      <c r="D1262" s="236"/>
      <c r="E1262" s="210">
        <v>2</v>
      </c>
      <c r="F1262" s="210"/>
      <c r="G1262" s="210"/>
      <c r="H1262" s="406">
        <v>2</v>
      </c>
      <c r="I1262" s="17"/>
      <c r="J1262" s="17"/>
      <c r="K1262" s="17"/>
      <c r="L1262" s="16"/>
      <c r="M1262" s="16"/>
      <c r="N1262" s="39"/>
    </row>
    <row r="1263" spans="1:14" s="12" customFormat="1" ht="30.75" customHeight="1">
      <c r="A1263" s="178"/>
      <c r="B1263" s="75"/>
      <c r="C1263" s="39"/>
      <c r="D1263" s="236"/>
      <c r="E1263" s="210"/>
      <c r="F1263" s="210"/>
      <c r="G1263" s="210"/>
      <c r="H1263" s="406"/>
      <c r="I1263" s="17"/>
      <c r="J1263" s="17"/>
      <c r="K1263" s="17"/>
      <c r="L1263" s="16"/>
      <c r="M1263" s="16"/>
      <c r="N1263" s="39"/>
    </row>
    <row r="1264" spans="1:14" s="12" customFormat="1" ht="30.75" customHeight="1">
      <c r="A1264" s="179" t="s">
        <v>121</v>
      </c>
      <c r="B1264" s="76"/>
      <c r="C1264" s="42"/>
      <c r="D1264" s="237"/>
      <c r="E1264" s="237"/>
      <c r="F1264" s="237"/>
      <c r="G1264" s="237"/>
      <c r="H1264" s="43"/>
      <c r="I1264" s="24"/>
      <c r="J1264" s="24"/>
      <c r="K1264" s="25">
        <f>SUM(J1253:J1258)</f>
        <v>0</v>
      </c>
      <c r="L1264" s="23"/>
      <c r="M1264" s="23"/>
      <c r="N1264" s="42"/>
    </row>
    <row r="1265" spans="1:14" s="12" customFormat="1" ht="30.75" customHeight="1">
      <c r="A1265" s="180" t="s">
        <v>122</v>
      </c>
      <c r="B1265" s="77" t="s">
        <v>274</v>
      </c>
      <c r="C1265" s="70" t="s">
        <v>17</v>
      </c>
      <c r="D1265" s="210"/>
      <c r="E1265" s="210"/>
      <c r="F1265" s="210"/>
      <c r="G1265" s="210"/>
      <c r="H1265" s="406">
        <f>SUM(Tabla132112416[[#This Row],[PRIMER TRIMESTRE]:[CUARTO TRIMESTRE]])</f>
        <v>0</v>
      </c>
      <c r="I1265" s="17">
        <v>133.47</v>
      </c>
      <c r="J1265" s="17">
        <f>+Tabla132112416[[#This Row],[CANTIDAD TOTAL]]*Tabla132112416[[#This Row],[PRECIO UNITARIO ESTIMADO]]</f>
        <v>0</v>
      </c>
      <c r="K1265" s="17"/>
      <c r="L1265" s="16" t="s">
        <v>27</v>
      </c>
      <c r="M1265" s="16" t="s">
        <v>22</v>
      </c>
      <c r="N1265" s="39" t="s">
        <v>418</v>
      </c>
    </row>
    <row r="1266" spans="1:14" s="12" customFormat="1" ht="30.75" customHeight="1">
      <c r="A1266" s="180" t="s">
        <v>122</v>
      </c>
      <c r="B1266" s="77" t="s">
        <v>275</v>
      </c>
      <c r="C1266" s="70" t="s">
        <v>17</v>
      </c>
      <c r="D1266" s="210"/>
      <c r="E1266" s="210"/>
      <c r="F1266" s="210"/>
      <c r="G1266" s="210"/>
      <c r="H1266" s="406">
        <f>SUM(Tabla132112416[[#This Row],[PRIMER TRIMESTRE]:[CUARTO TRIMESTRE]])</f>
        <v>0</v>
      </c>
      <c r="I1266" s="17">
        <v>115.24</v>
      </c>
      <c r="J1266" s="17">
        <f>+Tabla132112416[[#This Row],[CANTIDAD TOTAL]]*Tabla132112416[[#This Row],[PRECIO UNITARIO ESTIMADO]]</f>
        <v>0</v>
      </c>
      <c r="K1266" s="17"/>
      <c r="L1266" s="16" t="s">
        <v>27</v>
      </c>
      <c r="M1266" s="16" t="s">
        <v>22</v>
      </c>
      <c r="N1266" s="39" t="s">
        <v>418</v>
      </c>
    </row>
    <row r="1267" spans="1:14" s="12" customFormat="1" ht="30.75" customHeight="1">
      <c r="A1267" s="180" t="s">
        <v>122</v>
      </c>
      <c r="B1267" s="77" t="s">
        <v>125</v>
      </c>
      <c r="C1267" s="70" t="s">
        <v>17</v>
      </c>
      <c r="D1267" s="210"/>
      <c r="E1267" s="210"/>
      <c r="F1267" s="210"/>
      <c r="G1267" s="210"/>
      <c r="H1267" s="406">
        <f>SUM(Tabla132112416[[#This Row],[PRIMER TRIMESTRE]:[CUARTO TRIMESTRE]])</f>
        <v>0</v>
      </c>
      <c r="I1267" s="17">
        <v>1624</v>
      </c>
      <c r="J1267" s="17">
        <f>+Tabla132112416[[#This Row],[CANTIDAD TOTAL]]*Tabla132112416[[#This Row],[PRECIO UNITARIO ESTIMADO]]</f>
        <v>0</v>
      </c>
      <c r="K1267" s="17"/>
      <c r="L1267" s="16" t="s">
        <v>27</v>
      </c>
      <c r="M1267" s="16" t="s">
        <v>22</v>
      </c>
      <c r="N1267" s="39" t="s">
        <v>418</v>
      </c>
    </row>
    <row r="1268" spans="1:14" s="12" customFormat="1" ht="30.75" customHeight="1">
      <c r="A1268" s="180" t="s">
        <v>1588</v>
      </c>
      <c r="B1268" s="77" t="s">
        <v>1587</v>
      </c>
      <c r="C1268" s="70" t="s">
        <v>17</v>
      </c>
      <c r="D1268" s="210"/>
      <c r="E1268" s="210"/>
      <c r="F1268" s="210"/>
      <c r="G1268" s="210"/>
      <c r="H1268" s="210">
        <f>SUM(Tabla132112416[[#This Row],[PRIMER TRIMESTRE]:[CUARTO TRIMESTRE]])</f>
        <v>0</v>
      </c>
      <c r="I1268" s="17">
        <v>3500</v>
      </c>
      <c r="J1268" s="17">
        <f>+H1268*I1268</f>
        <v>0</v>
      </c>
      <c r="K1268" s="17"/>
      <c r="L1268" s="16" t="s">
        <v>15</v>
      </c>
      <c r="M1268" s="16" t="s">
        <v>22</v>
      </c>
      <c r="N1268" s="39" t="s">
        <v>418</v>
      </c>
    </row>
    <row r="1269" spans="1:14" s="12" customFormat="1" ht="30.75" customHeight="1">
      <c r="A1269" s="180" t="s">
        <v>122</v>
      </c>
      <c r="B1269" s="77" t="s">
        <v>276</v>
      </c>
      <c r="C1269" s="70" t="s">
        <v>17</v>
      </c>
      <c r="D1269" s="210"/>
      <c r="E1269" s="210"/>
      <c r="F1269" s="210"/>
      <c r="G1269" s="210"/>
      <c r="H1269" s="406">
        <f>SUM(Tabla132112416[[#This Row],[PRIMER TRIMESTRE]:[CUARTO TRIMESTRE]])</f>
        <v>0</v>
      </c>
      <c r="I1269" s="17">
        <v>101.68</v>
      </c>
      <c r="J1269" s="17">
        <f>+Tabla132112416[[#This Row],[CANTIDAD TOTAL]]*Tabla132112416[[#This Row],[PRECIO UNITARIO ESTIMADO]]</f>
        <v>0</v>
      </c>
      <c r="K1269" s="17"/>
      <c r="L1269" s="16" t="s">
        <v>27</v>
      </c>
      <c r="M1269" s="16" t="s">
        <v>22</v>
      </c>
      <c r="N1269" s="39" t="s">
        <v>418</v>
      </c>
    </row>
    <row r="1270" spans="1:14" s="12" customFormat="1" ht="30.75" customHeight="1">
      <c r="A1270" s="180" t="s">
        <v>122</v>
      </c>
      <c r="B1270" s="77" t="s">
        <v>277</v>
      </c>
      <c r="C1270" s="70" t="s">
        <v>17</v>
      </c>
      <c r="D1270" s="210"/>
      <c r="E1270" s="210"/>
      <c r="F1270" s="210"/>
      <c r="G1270" s="210"/>
      <c r="H1270" s="406">
        <f>SUM(Tabla132112416[[#This Row],[PRIMER TRIMESTRE]:[CUARTO TRIMESTRE]])</f>
        <v>0</v>
      </c>
      <c r="I1270" s="17">
        <v>27.14</v>
      </c>
      <c r="J1270" s="17">
        <f>+Tabla132112416[[#This Row],[CANTIDAD TOTAL]]*Tabla132112416[[#This Row],[PRECIO UNITARIO ESTIMADO]]</f>
        <v>0</v>
      </c>
      <c r="K1270" s="17"/>
      <c r="L1270" s="16" t="s">
        <v>27</v>
      </c>
      <c r="M1270" s="16" t="s">
        <v>22</v>
      </c>
      <c r="N1270" s="39" t="s">
        <v>418</v>
      </c>
    </row>
    <row r="1271" spans="1:14" s="12" customFormat="1" ht="30.75" customHeight="1">
      <c r="A1271" s="180" t="s">
        <v>122</v>
      </c>
      <c r="B1271" s="77" t="s">
        <v>327</v>
      </c>
      <c r="C1271" s="70" t="s">
        <v>102</v>
      </c>
      <c r="D1271" s="210"/>
      <c r="E1271" s="210"/>
      <c r="F1271" s="210"/>
      <c r="G1271" s="210"/>
      <c r="H1271" s="406">
        <f>SUM(Tabla132112416[[#This Row],[PRIMER TRIMESTRE]:[CUARTO TRIMESTRE]])</f>
        <v>0</v>
      </c>
      <c r="I1271" s="17">
        <f>43660/209</f>
        <v>208.89952153110048</v>
      </c>
      <c r="J1271" s="17">
        <f>+Tabla132112416[[#This Row],[CANTIDAD TOTAL]]*Tabla132112416[[#This Row],[PRECIO UNITARIO ESTIMADO]]</f>
        <v>0</v>
      </c>
      <c r="K1271" s="17"/>
      <c r="L1271" s="16" t="s">
        <v>27</v>
      </c>
      <c r="M1271" s="16" t="s">
        <v>22</v>
      </c>
      <c r="N1271" s="39" t="s">
        <v>418</v>
      </c>
    </row>
    <row r="1272" spans="1:14" s="12" customFormat="1" ht="30.75" customHeight="1">
      <c r="A1272" s="180" t="s">
        <v>122</v>
      </c>
      <c r="B1272" s="77" t="s">
        <v>1269</v>
      </c>
      <c r="C1272" s="70" t="s">
        <v>17</v>
      </c>
      <c r="D1272" s="210"/>
      <c r="E1272" s="210"/>
      <c r="F1272" s="210"/>
      <c r="G1272" s="210"/>
      <c r="H1272" s="406">
        <f>SUM(Tabla132112416[[#This Row],[PRIMER TRIMESTRE]:[CUARTO TRIMESTRE]])</f>
        <v>0</v>
      </c>
      <c r="I1272" s="17">
        <v>350</v>
      </c>
      <c r="J1272" s="17">
        <f>+H1272*I1272</f>
        <v>0</v>
      </c>
      <c r="K1272" s="17"/>
      <c r="L1272" s="16" t="s">
        <v>27</v>
      </c>
      <c r="M1272" s="16" t="s">
        <v>22</v>
      </c>
      <c r="N1272" s="39" t="s">
        <v>418</v>
      </c>
    </row>
    <row r="1273" spans="1:14" s="12" customFormat="1" ht="30.75" customHeight="1">
      <c r="A1273" s="180" t="s">
        <v>122</v>
      </c>
      <c r="B1273" s="77" t="s">
        <v>328</v>
      </c>
      <c r="C1273" s="70" t="s">
        <v>17</v>
      </c>
      <c r="D1273" s="210"/>
      <c r="E1273" s="210"/>
      <c r="F1273" s="210"/>
      <c r="G1273" s="210"/>
      <c r="H1273" s="406">
        <f>SUM(Tabla132112416[[#This Row],[PRIMER TRIMESTRE]:[CUARTO TRIMESTRE]])</f>
        <v>0</v>
      </c>
      <c r="I1273" s="17">
        <v>12626</v>
      </c>
      <c r="J1273" s="17">
        <f>+Tabla132112416[[#This Row],[CANTIDAD TOTAL]]*Tabla132112416[[#This Row],[PRECIO UNITARIO ESTIMADO]]</f>
        <v>0</v>
      </c>
      <c r="K1273" s="17"/>
      <c r="L1273" s="16" t="s">
        <v>27</v>
      </c>
      <c r="M1273" s="16" t="s">
        <v>22</v>
      </c>
      <c r="N1273" s="39" t="s">
        <v>418</v>
      </c>
    </row>
    <row r="1274" spans="1:14" s="12" customFormat="1" ht="30.75" customHeight="1">
      <c r="A1274" s="180" t="s">
        <v>122</v>
      </c>
      <c r="B1274" s="77" t="s">
        <v>329</v>
      </c>
      <c r="C1274" s="70" t="s">
        <v>17</v>
      </c>
      <c r="D1274" s="210"/>
      <c r="E1274" s="210"/>
      <c r="F1274" s="210"/>
      <c r="G1274" s="210"/>
      <c r="H1274" s="406">
        <f>SUM(Tabla132112416[[#This Row],[PRIMER TRIMESTRE]:[CUARTO TRIMESTRE]])</f>
        <v>0</v>
      </c>
      <c r="I1274" s="17">
        <f>1382216.68/118</f>
        <v>11713.700677966101</v>
      </c>
      <c r="J1274" s="17">
        <f>+Tabla132112416[[#This Row],[CANTIDAD TOTAL]]*Tabla132112416[[#This Row],[PRECIO UNITARIO ESTIMADO]]</f>
        <v>0</v>
      </c>
      <c r="K1274" s="17"/>
      <c r="L1274" s="16" t="s">
        <v>27</v>
      </c>
      <c r="M1274" s="16" t="s">
        <v>22</v>
      </c>
      <c r="N1274" s="39" t="s">
        <v>418</v>
      </c>
    </row>
    <row r="1275" spans="1:14" s="26" customFormat="1" ht="30.75" customHeight="1">
      <c r="A1275" s="180" t="s">
        <v>122</v>
      </c>
      <c r="B1275" s="77" t="s">
        <v>330</v>
      </c>
      <c r="C1275" s="70" t="s">
        <v>17</v>
      </c>
      <c r="D1275" s="210"/>
      <c r="E1275" s="210"/>
      <c r="F1275" s="210"/>
      <c r="G1275" s="210"/>
      <c r="H1275" s="406">
        <f>SUM(Tabla132112416[[#This Row],[PRIMER TRIMESTRE]:[CUARTO TRIMESTRE]])</f>
        <v>0</v>
      </c>
      <c r="I1275" s="17">
        <v>413</v>
      </c>
      <c r="J1275" s="17">
        <f>+Tabla132112416[[#This Row],[CANTIDAD TOTAL]]*Tabla132112416[[#This Row],[PRECIO UNITARIO ESTIMADO]]</f>
        <v>0</v>
      </c>
      <c r="K1275" s="17"/>
      <c r="L1275" s="16" t="s">
        <v>27</v>
      </c>
      <c r="M1275" s="16" t="s">
        <v>22</v>
      </c>
      <c r="N1275" s="39" t="s">
        <v>418</v>
      </c>
    </row>
    <row r="1276" spans="1:14" s="12" customFormat="1" ht="30.75" customHeight="1">
      <c r="A1276" s="179" t="s">
        <v>122</v>
      </c>
      <c r="B1276" s="76"/>
      <c r="C1276" s="42"/>
      <c r="D1276" s="237"/>
      <c r="E1276" s="237"/>
      <c r="F1276" s="237"/>
      <c r="G1276" s="237"/>
      <c r="H1276" s="43"/>
      <c r="I1276" s="24"/>
      <c r="J1276" s="24"/>
      <c r="K1276" s="25">
        <f>SUM(J1265:J1275)</f>
        <v>0</v>
      </c>
      <c r="L1276" s="23"/>
      <c r="M1276" s="23"/>
      <c r="N1276" s="42"/>
    </row>
    <row r="1277" spans="1:14" s="12" customFormat="1" ht="30.75" customHeight="1">
      <c r="A1277" s="178" t="s">
        <v>278</v>
      </c>
      <c r="B1277" s="75" t="s">
        <v>279</v>
      </c>
      <c r="C1277" s="39" t="s">
        <v>17</v>
      </c>
      <c r="D1277" s="236"/>
      <c r="E1277" s="236"/>
      <c r="F1277" s="236"/>
      <c r="G1277" s="236"/>
      <c r="H1277" s="40">
        <v>0</v>
      </c>
      <c r="I1277" s="17">
        <v>259.68</v>
      </c>
      <c r="J1277" s="17">
        <f>+Tabla132112416[[#This Row],[CANTIDAD TOTAL]]*Tabla132112416[[#This Row],[PRECIO UNITARIO ESTIMADO]]</f>
        <v>0</v>
      </c>
      <c r="K1277" s="17"/>
      <c r="L1277" s="16" t="s">
        <v>27</v>
      </c>
      <c r="M1277" s="16" t="s">
        <v>22</v>
      </c>
      <c r="N1277" s="39" t="s">
        <v>342</v>
      </c>
    </row>
    <row r="1278" spans="1:14" s="12" customFormat="1" ht="30.75" customHeight="1">
      <c r="A1278" s="178" t="s">
        <v>278</v>
      </c>
      <c r="B1278" s="75" t="s">
        <v>137</v>
      </c>
      <c r="C1278" s="39" t="s">
        <v>17</v>
      </c>
      <c r="D1278" s="236"/>
      <c r="E1278" s="236"/>
      <c r="F1278" s="236"/>
      <c r="G1278" s="236"/>
      <c r="H1278" s="40">
        <f>SUM(Tabla132112416[[#This Row],[PRIMER TRIMESTRE]:[CUARTO TRIMESTRE]])</f>
        <v>0</v>
      </c>
      <c r="I1278" s="17">
        <v>220.12</v>
      </c>
      <c r="J1278" s="17">
        <f>+Tabla132112416[[#This Row],[CANTIDAD TOTAL]]*Tabla132112416[[#This Row],[PRECIO UNITARIO ESTIMADO]]</f>
        <v>0</v>
      </c>
      <c r="K1278" s="17"/>
      <c r="L1278" s="16" t="s">
        <v>27</v>
      </c>
      <c r="M1278" s="16" t="s">
        <v>22</v>
      </c>
      <c r="N1278" s="39" t="s">
        <v>418</v>
      </c>
    </row>
    <row r="1279" spans="1:14" s="12" customFormat="1" ht="30.75" customHeight="1">
      <c r="A1279" s="178" t="s">
        <v>278</v>
      </c>
      <c r="B1279" s="75" t="s">
        <v>280</v>
      </c>
      <c r="C1279" s="39" t="s">
        <v>17</v>
      </c>
      <c r="D1279" s="236"/>
      <c r="E1279" s="236"/>
      <c r="F1279" s="236"/>
      <c r="G1279" s="236"/>
      <c r="H1279" s="40">
        <f>SUM(Tabla132112416[[#This Row],[PRIMER TRIMESTRE]:[CUARTO TRIMESTRE]])</f>
        <v>0</v>
      </c>
      <c r="I1279" s="17">
        <v>150</v>
      </c>
      <c r="J1279" s="17">
        <f>+Tabla132112416[[#This Row],[CANTIDAD TOTAL]]*Tabla132112416[[#This Row],[PRECIO UNITARIO ESTIMADO]]</f>
        <v>0</v>
      </c>
      <c r="K1279" s="17"/>
      <c r="L1279" s="16" t="s">
        <v>27</v>
      </c>
      <c r="M1279" s="16" t="s">
        <v>22</v>
      </c>
      <c r="N1279" s="39" t="s">
        <v>342</v>
      </c>
    </row>
    <row r="1280" spans="1:14" s="12" customFormat="1" ht="30.75" customHeight="1">
      <c r="A1280" s="178" t="s">
        <v>278</v>
      </c>
      <c r="B1280" s="75" t="s">
        <v>566</v>
      </c>
      <c r="C1280" s="39" t="s">
        <v>17</v>
      </c>
      <c r="D1280" s="236"/>
      <c r="E1280" s="236"/>
      <c r="F1280" s="236"/>
      <c r="G1280" s="236"/>
      <c r="H1280" s="40">
        <f>SUM(Tabla132112416[[#This Row],[PRIMER TRIMESTRE]:[CUARTO TRIMESTRE]])</f>
        <v>0</v>
      </c>
      <c r="I1280" s="17">
        <v>140</v>
      </c>
      <c r="J1280" s="17">
        <f>+Tabla132112416[[#This Row],[CANTIDAD TOTAL]]*Tabla132112416[[#This Row],[PRECIO UNITARIO ESTIMADO]]</f>
        <v>0</v>
      </c>
      <c r="K1280" s="17"/>
      <c r="L1280" s="16" t="s">
        <v>27</v>
      </c>
      <c r="M1280" s="16" t="s">
        <v>22</v>
      </c>
      <c r="N1280" s="39" t="s">
        <v>342</v>
      </c>
    </row>
    <row r="1281" spans="1:14" s="26" customFormat="1" ht="30.75" customHeight="1">
      <c r="A1281" s="178" t="s">
        <v>278</v>
      </c>
      <c r="B1281" s="75" t="s">
        <v>922</v>
      </c>
      <c r="C1281" s="39" t="s">
        <v>17</v>
      </c>
      <c r="D1281" s="236"/>
      <c r="E1281" s="236"/>
      <c r="F1281" s="236"/>
      <c r="G1281" s="236"/>
      <c r="H1281" s="40">
        <f>SUM(Tabla132112416[[#This Row],[PRIMER TRIMESTRE]:[CUARTO TRIMESTRE]])</f>
        <v>0</v>
      </c>
      <c r="I1281" s="17">
        <v>21895</v>
      </c>
      <c r="J1281" s="17">
        <f>+H1281*I1281</f>
        <v>0</v>
      </c>
      <c r="K1281" s="17"/>
      <c r="L1281" s="16" t="s">
        <v>27</v>
      </c>
      <c r="M1281" s="16" t="s">
        <v>22</v>
      </c>
      <c r="N1281" s="39" t="s">
        <v>342</v>
      </c>
    </row>
    <row r="1282" spans="1:14" s="12" customFormat="1" ht="30.75" customHeight="1">
      <c r="A1282" s="179" t="s">
        <v>278</v>
      </c>
      <c r="B1282" s="76"/>
      <c r="C1282" s="42"/>
      <c r="D1282" s="237"/>
      <c r="E1282" s="237"/>
      <c r="F1282" s="237"/>
      <c r="G1282" s="237"/>
      <c r="H1282" s="43"/>
      <c r="I1282" s="24"/>
      <c r="J1282" s="24"/>
      <c r="K1282" s="25">
        <f>SUM(J1277:J1281)</f>
        <v>0</v>
      </c>
      <c r="L1282" s="23" t="s">
        <v>27</v>
      </c>
      <c r="M1282" s="23"/>
      <c r="N1282" s="42"/>
    </row>
    <row r="1283" spans="1:14" s="12" customFormat="1" ht="30.75" customHeight="1">
      <c r="A1283" s="178" t="s">
        <v>124</v>
      </c>
      <c r="B1283" s="75" t="s">
        <v>281</v>
      </c>
      <c r="C1283" s="39" t="s">
        <v>102</v>
      </c>
      <c r="D1283" s="236"/>
      <c r="E1283" s="236"/>
      <c r="F1283" s="236"/>
      <c r="G1283" s="236"/>
      <c r="H1283" s="40">
        <f>SUM(Tabla132112416[[#This Row],[PRIMER TRIMESTRE]:[CUARTO TRIMESTRE]])</f>
        <v>0</v>
      </c>
      <c r="I1283" s="17">
        <v>191.84</v>
      </c>
      <c r="J1283" s="17">
        <f>+Tabla132112416[[#This Row],[CANTIDAD TOTAL]]*Tabla132112416[[#This Row],[PRECIO UNITARIO ESTIMADO]]</f>
        <v>0</v>
      </c>
      <c r="K1283" s="17"/>
      <c r="L1283" s="16" t="s">
        <v>27</v>
      </c>
      <c r="M1283" s="16" t="s">
        <v>22</v>
      </c>
      <c r="N1283" s="39" t="s">
        <v>342</v>
      </c>
    </row>
    <row r="1284" spans="1:14" s="12" customFormat="1" ht="30.75" customHeight="1">
      <c r="A1284" s="178" t="s">
        <v>124</v>
      </c>
      <c r="B1284" s="75" t="s">
        <v>282</v>
      </c>
      <c r="C1284" s="39" t="s">
        <v>69</v>
      </c>
      <c r="D1284" s="236"/>
      <c r="E1284" s="236"/>
      <c r="F1284" s="236"/>
      <c r="G1284" s="236"/>
      <c r="H1284" s="40">
        <f>SUM(Tabla132112416[[#This Row],[PRIMER TRIMESTRE]:[CUARTO TRIMESTRE]])</f>
        <v>0</v>
      </c>
      <c r="I1284" s="17">
        <v>83.78</v>
      </c>
      <c r="J1284" s="17">
        <f>+Tabla132112416[[#This Row],[CANTIDAD TOTAL]]*Tabla132112416[[#This Row],[PRECIO UNITARIO ESTIMADO]]</f>
        <v>0</v>
      </c>
      <c r="K1284" s="17"/>
      <c r="L1284" s="16" t="s">
        <v>27</v>
      </c>
      <c r="M1284" s="16" t="s">
        <v>22</v>
      </c>
      <c r="N1284" s="39" t="s">
        <v>342</v>
      </c>
    </row>
    <row r="1285" spans="1:14" s="12" customFormat="1" ht="30.75" customHeight="1">
      <c r="A1285" s="178" t="s">
        <v>124</v>
      </c>
      <c r="B1285" s="75" t="s">
        <v>283</v>
      </c>
      <c r="C1285" s="39" t="s">
        <v>17</v>
      </c>
      <c r="D1285" s="236"/>
      <c r="E1285" s="236"/>
      <c r="F1285" s="236"/>
      <c r="G1285" s="236"/>
      <c r="H1285" s="40">
        <f>SUM(Tabla132112416[[#This Row],[PRIMER TRIMESTRE]:[CUARTO TRIMESTRE]])</f>
        <v>0</v>
      </c>
      <c r="I1285" s="17">
        <v>82.94</v>
      </c>
      <c r="J1285" s="17">
        <f>+Tabla132112416[[#This Row],[CANTIDAD TOTAL]]*Tabla132112416[[#This Row],[PRECIO UNITARIO ESTIMADO]]</f>
        <v>0</v>
      </c>
      <c r="K1285" s="17"/>
      <c r="L1285" s="16" t="s">
        <v>27</v>
      </c>
      <c r="M1285" s="16" t="s">
        <v>22</v>
      </c>
      <c r="N1285" s="39" t="s">
        <v>342</v>
      </c>
    </row>
    <row r="1286" spans="1:14" s="12" customFormat="1" ht="30.75" customHeight="1">
      <c r="A1286" s="178" t="s">
        <v>124</v>
      </c>
      <c r="B1286" s="75" t="s">
        <v>284</v>
      </c>
      <c r="C1286" s="39" t="s">
        <v>17</v>
      </c>
      <c r="D1286" s="236"/>
      <c r="E1286" s="236"/>
      <c r="F1286" s="236"/>
      <c r="G1286" s="236"/>
      <c r="H1286" s="40">
        <f>SUM(Tabla132112416[[#This Row],[PRIMER TRIMESTRE]:[CUARTO TRIMESTRE]])</f>
        <v>0</v>
      </c>
      <c r="I1286" s="17">
        <v>26.67</v>
      </c>
      <c r="J1286" s="17">
        <f>+Tabla132112416[[#This Row],[CANTIDAD TOTAL]]*Tabla132112416[[#This Row],[PRECIO UNITARIO ESTIMADO]]</f>
        <v>0</v>
      </c>
      <c r="K1286" s="17"/>
      <c r="L1286" s="16" t="s">
        <v>27</v>
      </c>
      <c r="M1286" s="16" t="s">
        <v>22</v>
      </c>
      <c r="N1286" s="39" t="s">
        <v>342</v>
      </c>
    </row>
    <row r="1287" spans="1:14" s="12" customFormat="1" ht="30.75" customHeight="1">
      <c r="A1287" s="178" t="s">
        <v>124</v>
      </c>
      <c r="B1287" s="75" t="s">
        <v>726</v>
      </c>
      <c r="C1287" s="39" t="s">
        <v>17</v>
      </c>
      <c r="D1287" s="236"/>
      <c r="E1287" s="236"/>
      <c r="F1287" s="236"/>
      <c r="G1287" s="236"/>
      <c r="H1287" s="40">
        <f>SUM(Tabla132112416[[#This Row],[PRIMER TRIMESTRE]:[CUARTO TRIMESTRE]])</f>
        <v>0</v>
      </c>
      <c r="I1287" s="72">
        <v>50</v>
      </c>
      <c r="J1287" s="17">
        <f>+H1287*I1287</f>
        <v>0</v>
      </c>
      <c r="K1287" s="17"/>
      <c r="L1287" s="16" t="s">
        <v>27</v>
      </c>
      <c r="M1287" s="16" t="s">
        <v>22</v>
      </c>
      <c r="N1287" s="39" t="s">
        <v>342</v>
      </c>
    </row>
    <row r="1288" spans="1:14" s="12" customFormat="1" ht="30.75" customHeight="1">
      <c r="A1288" s="178" t="s">
        <v>124</v>
      </c>
      <c r="B1288" s="75" t="s">
        <v>285</v>
      </c>
      <c r="C1288" s="39" t="s">
        <v>33</v>
      </c>
      <c r="D1288" s="236"/>
      <c r="E1288" s="236"/>
      <c r="F1288" s="236"/>
      <c r="G1288" s="236"/>
      <c r="H1288" s="40">
        <f>SUM(Tabla132112416[[#This Row],[PRIMER TRIMESTRE]:[CUARTO TRIMESTRE]])</f>
        <v>0</v>
      </c>
      <c r="I1288" s="17">
        <v>115.94</v>
      </c>
      <c r="J1288" s="17">
        <f>+Tabla132112416[[#This Row],[CANTIDAD TOTAL]]*Tabla132112416[[#This Row],[PRECIO UNITARIO ESTIMADO]]</f>
        <v>0</v>
      </c>
      <c r="K1288" s="17"/>
      <c r="L1288" s="16" t="s">
        <v>27</v>
      </c>
      <c r="M1288" s="16" t="s">
        <v>22</v>
      </c>
      <c r="N1288" s="39" t="s">
        <v>342</v>
      </c>
    </row>
    <row r="1289" spans="1:14" s="12" customFormat="1" ht="30.75" customHeight="1">
      <c r="A1289" s="178" t="s">
        <v>124</v>
      </c>
      <c r="B1289" s="75" t="s">
        <v>287</v>
      </c>
      <c r="C1289" s="39" t="s">
        <v>288</v>
      </c>
      <c r="D1289" s="236"/>
      <c r="E1289" s="236"/>
      <c r="F1289" s="236"/>
      <c r="G1289" s="236"/>
      <c r="H1289" s="40">
        <f>SUM(Tabla132112416[[#This Row],[PRIMER TRIMESTRE]:[CUARTO TRIMESTRE]])</f>
        <v>0</v>
      </c>
      <c r="I1289" s="17">
        <v>255.31</v>
      </c>
      <c r="J1289" s="17">
        <f>+Tabla132112416[[#This Row],[CANTIDAD TOTAL]]*Tabla132112416[[#This Row],[PRECIO UNITARIO ESTIMADO]]</f>
        <v>0</v>
      </c>
      <c r="K1289" s="17"/>
      <c r="L1289" s="16" t="s">
        <v>27</v>
      </c>
      <c r="M1289" s="16" t="s">
        <v>22</v>
      </c>
      <c r="N1289" s="39" t="s">
        <v>342</v>
      </c>
    </row>
    <row r="1290" spans="1:14" s="12" customFormat="1" ht="30.75" customHeight="1">
      <c r="A1290" s="178" t="s">
        <v>124</v>
      </c>
      <c r="B1290" s="75" t="s">
        <v>293</v>
      </c>
      <c r="C1290" s="39" t="s">
        <v>290</v>
      </c>
      <c r="D1290" s="236"/>
      <c r="E1290" s="236"/>
      <c r="F1290" s="236"/>
      <c r="G1290" s="236"/>
      <c r="H1290" s="40">
        <f>SUM(Tabla132112416[[#This Row],[PRIMER TRIMESTRE]:[CUARTO TRIMESTRE]])</f>
        <v>0</v>
      </c>
      <c r="I1290" s="17">
        <v>160</v>
      </c>
      <c r="J1290" s="17">
        <f t="shared" ref="J1290:J1298" si="33">+H1290*I1290</f>
        <v>0</v>
      </c>
      <c r="K1290" s="17"/>
      <c r="L1290" s="16" t="s">
        <v>27</v>
      </c>
      <c r="M1290" s="16" t="s">
        <v>22</v>
      </c>
      <c r="N1290" s="39" t="s">
        <v>342</v>
      </c>
    </row>
    <row r="1291" spans="1:14" s="12" customFormat="1" ht="30.75" customHeight="1">
      <c r="A1291" s="178" t="s">
        <v>124</v>
      </c>
      <c r="B1291" s="75" t="s">
        <v>1411</v>
      </c>
      <c r="C1291" s="39" t="s">
        <v>290</v>
      </c>
      <c r="D1291" s="236"/>
      <c r="E1291" s="236"/>
      <c r="F1291" s="236"/>
      <c r="G1291" s="236"/>
      <c r="H1291" s="40">
        <f>SUM(Tabla132112416[[#This Row],[PRIMER TRIMESTRE]:[CUARTO TRIMESTRE]])</f>
        <v>0</v>
      </c>
      <c r="I1291" s="17">
        <v>450</v>
      </c>
      <c r="J1291" s="17">
        <f t="shared" si="33"/>
        <v>0</v>
      </c>
      <c r="K1291" s="17"/>
      <c r="L1291" s="16" t="s">
        <v>27</v>
      </c>
      <c r="M1291" s="16" t="s">
        <v>22</v>
      </c>
      <c r="N1291" s="39" t="s">
        <v>342</v>
      </c>
    </row>
    <row r="1292" spans="1:14" s="12" customFormat="1" ht="30.75" customHeight="1">
      <c r="A1292" s="178" t="s">
        <v>124</v>
      </c>
      <c r="B1292" s="75" t="s">
        <v>1451</v>
      </c>
      <c r="C1292" s="39" t="s">
        <v>17</v>
      </c>
      <c r="D1292" s="236"/>
      <c r="E1292" s="236"/>
      <c r="F1292" s="236"/>
      <c r="G1292" s="236"/>
      <c r="H1292" s="40">
        <f>SUM(Tabla132112416[[#This Row],[PRIMER TRIMESTRE]:[CUARTO TRIMESTRE]])</f>
        <v>0</v>
      </c>
      <c r="I1292" s="17">
        <v>469</v>
      </c>
      <c r="J1292" s="17">
        <f t="shared" si="33"/>
        <v>0</v>
      </c>
      <c r="K1292" s="17"/>
      <c r="L1292" s="16" t="s">
        <v>15</v>
      </c>
      <c r="M1292" s="16" t="s">
        <v>22</v>
      </c>
      <c r="N1292" s="39" t="s">
        <v>342</v>
      </c>
    </row>
    <row r="1293" spans="1:14" s="12" customFormat="1" ht="30.75" customHeight="1">
      <c r="A1293" s="178" t="s">
        <v>124</v>
      </c>
      <c r="B1293" s="75" t="s">
        <v>1906</v>
      </c>
      <c r="C1293" s="39" t="s">
        <v>17</v>
      </c>
      <c r="D1293" s="236"/>
      <c r="E1293" s="236"/>
      <c r="F1293" s="236"/>
      <c r="G1293" s="236"/>
      <c r="H1293" s="40">
        <v>0</v>
      </c>
      <c r="I1293" s="17">
        <v>250</v>
      </c>
      <c r="J1293" s="17">
        <f t="shared" si="33"/>
        <v>0</v>
      </c>
      <c r="K1293" s="17"/>
      <c r="L1293" s="16" t="s">
        <v>27</v>
      </c>
      <c r="M1293" s="16" t="s">
        <v>22</v>
      </c>
      <c r="N1293" s="39" t="s">
        <v>342</v>
      </c>
    </row>
    <row r="1294" spans="1:14" s="12" customFormat="1" ht="30.75" customHeight="1">
      <c r="A1294" s="178" t="s">
        <v>124</v>
      </c>
      <c r="B1294" s="75" t="s">
        <v>1907</v>
      </c>
      <c r="C1294" s="39" t="s">
        <v>17</v>
      </c>
      <c r="D1294" s="236"/>
      <c r="E1294" s="236"/>
      <c r="F1294" s="236"/>
      <c r="G1294" s="236"/>
      <c r="H1294" s="40">
        <v>0</v>
      </c>
      <c r="I1294" s="17">
        <v>0</v>
      </c>
      <c r="J1294" s="17">
        <v>0</v>
      </c>
      <c r="K1294" s="17"/>
      <c r="L1294" s="16" t="s">
        <v>27</v>
      </c>
      <c r="M1294" s="16" t="s">
        <v>22</v>
      </c>
      <c r="N1294" s="39" t="s">
        <v>342</v>
      </c>
    </row>
    <row r="1295" spans="1:14" s="12" customFormat="1" ht="30.75" customHeight="1">
      <c r="A1295" s="178" t="s">
        <v>124</v>
      </c>
      <c r="B1295" s="75" t="s">
        <v>1412</v>
      </c>
      <c r="C1295" s="39" t="s">
        <v>17</v>
      </c>
      <c r="D1295" s="236"/>
      <c r="E1295" s="236"/>
      <c r="F1295" s="236"/>
      <c r="G1295" s="236"/>
      <c r="H1295" s="40">
        <f>SUM(Tabla132112416[[#This Row],[PRIMER TRIMESTRE]:[CUARTO TRIMESTRE]])</f>
        <v>0</v>
      </c>
      <c r="I1295" s="17">
        <v>250</v>
      </c>
      <c r="J1295" s="17">
        <f t="shared" si="33"/>
        <v>0</v>
      </c>
      <c r="K1295" s="17"/>
      <c r="L1295" s="16" t="s">
        <v>27</v>
      </c>
      <c r="M1295" s="16" t="s">
        <v>22</v>
      </c>
      <c r="N1295" s="39" t="s">
        <v>342</v>
      </c>
    </row>
    <row r="1296" spans="1:14" s="12" customFormat="1" ht="30.75" customHeight="1">
      <c r="A1296" s="178" t="s">
        <v>124</v>
      </c>
      <c r="B1296" s="75" t="s">
        <v>1105</v>
      </c>
      <c r="C1296" s="39" t="s">
        <v>290</v>
      </c>
      <c r="D1296" s="236"/>
      <c r="E1296" s="236"/>
      <c r="F1296" s="236"/>
      <c r="G1296" s="236"/>
      <c r="H1296" s="40">
        <f>SUM(Tabla132112416[[#This Row],[PRIMER TRIMESTRE]:[CUARTO TRIMESTRE]])</f>
        <v>0</v>
      </c>
      <c r="I1296" s="17">
        <v>250</v>
      </c>
      <c r="J1296" s="17">
        <f t="shared" si="33"/>
        <v>0</v>
      </c>
      <c r="K1296" s="17"/>
      <c r="L1296" s="16" t="s">
        <v>27</v>
      </c>
      <c r="M1296" s="16" t="s">
        <v>22</v>
      </c>
      <c r="N1296" s="39" t="s">
        <v>342</v>
      </c>
    </row>
    <row r="1297" spans="1:14" s="12" customFormat="1" ht="30.75" customHeight="1">
      <c r="A1297" s="178" t="s">
        <v>124</v>
      </c>
      <c r="B1297" s="75" t="s">
        <v>1097</v>
      </c>
      <c r="C1297" s="39" t="s">
        <v>1067</v>
      </c>
      <c r="D1297" s="236"/>
      <c r="E1297" s="236"/>
      <c r="F1297" s="236"/>
      <c r="G1297" s="236"/>
      <c r="H1297" s="40">
        <f>SUM(Tabla132112416[[#This Row],[PRIMER TRIMESTRE]:[CUARTO TRIMESTRE]])</f>
        <v>0</v>
      </c>
      <c r="I1297" s="17">
        <v>53</v>
      </c>
      <c r="J1297" s="17">
        <f t="shared" si="33"/>
        <v>0</v>
      </c>
      <c r="K1297" s="17"/>
      <c r="L1297" s="16" t="s">
        <v>27</v>
      </c>
      <c r="M1297" s="16" t="s">
        <v>22</v>
      </c>
      <c r="N1297" s="39" t="s">
        <v>342</v>
      </c>
    </row>
    <row r="1298" spans="1:14" s="12" customFormat="1" ht="30.75" customHeight="1">
      <c r="A1298" s="178" t="s">
        <v>124</v>
      </c>
      <c r="B1298" s="75" t="s">
        <v>1413</v>
      </c>
      <c r="C1298" s="39" t="s">
        <v>1414</v>
      </c>
      <c r="D1298" s="236"/>
      <c r="E1298" s="236"/>
      <c r="F1298" s="236"/>
      <c r="G1298" s="236"/>
      <c r="H1298" s="40">
        <f>SUM(Tabla132112416[[#This Row],[PRIMER TRIMESTRE]:[CUARTO TRIMESTRE]])</f>
        <v>0</v>
      </c>
      <c r="I1298" s="17">
        <v>450</v>
      </c>
      <c r="J1298" s="17">
        <f t="shared" si="33"/>
        <v>0</v>
      </c>
      <c r="K1298" s="17"/>
      <c r="L1298" s="16" t="s">
        <v>27</v>
      </c>
      <c r="M1298" s="16" t="s">
        <v>22</v>
      </c>
      <c r="N1298" s="39" t="s">
        <v>342</v>
      </c>
    </row>
    <row r="1299" spans="1:14" s="12" customFormat="1" ht="30.75" customHeight="1">
      <c r="A1299" s="178" t="s">
        <v>124</v>
      </c>
      <c r="B1299" s="75" t="s">
        <v>291</v>
      </c>
      <c r="C1299" s="39" t="s">
        <v>290</v>
      </c>
      <c r="D1299" s="236"/>
      <c r="E1299" s="236"/>
      <c r="F1299" s="236"/>
      <c r="G1299" s="236"/>
      <c r="H1299" s="40">
        <f>SUM(Tabla132112416[[#This Row],[PRIMER TRIMESTRE]:[CUARTO TRIMESTRE]])</f>
        <v>0</v>
      </c>
      <c r="I1299" s="17">
        <v>121.8</v>
      </c>
      <c r="J1299" s="17">
        <f>+Tabla132112416[[#This Row],[CANTIDAD TOTAL]]*Tabla132112416[[#This Row],[PRECIO UNITARIO ESTIMADO]]</f>
        <v>0</v>
      </c>
      <c r="K1299" s="17"/>
      <c r="L1299" s="16" t="s">
        <v>27</v>
      </c>
      <c r="M1299" s="16" t="s">
        <v>22</v>
      </c>
      <c r="N1299" s="39" t="s">
        <v>342</v>
      </c>
    </row>
    <row r="1300" spans="1:14" s="12" customFormat="1" ht="30.75" customHeight="1">
      <c r="A1300" s="178" t="s">
        <v>124</v>
      </c>
      <c r="B1300" s="75" t="s">
        <v>469</v>
      </c>
      <c r="C1300" s="39" t="s">
        <v>17</v>
      </c>
      <c r="D1300" s="236"/>
      <c r="E1300" s="236"/>
      <c r="F1300" s="236"/>
      <c r="G1300" s="236"/>
      <c r="H1300" s="40">
        <f>SUM(Tabla132112416[[#This Row],[PRIMER TRIMESTRE]:[CUARTO TRIMESTRE]])</f>
        <v>0</v>
      </c>
      <c r="I1300" s="17">
        <v>217.18</v>
      </c>
      <c r="J1300" s="17">
        <f>+H1300*I1300</f>
        <v>0</v>
      </c>
      <c r="K1300" s="17"/>
      <c r="L1300" s="16" t="s">
        <v>27</v>
      </c>
      <c r="M1300" s="16" t="s">
        <v>22</v>
      </c>
      <c r="N1300" s="39" t="s">
        <v>342</v>
      </c>
    </row>
    <row r="1301" spans="1:14" s="12" customFormat="1" ht="30.75" customHeight="1">
      <c r="A1301" s="178" t="s">
        <v>124</v>
      </c>
      <c r="B1301" s="75" t="s">
        <v>741</v>
      </c>
      <c r="C1301" s="39" t="s">
        <v>17</v>
      </c>
      <c r="D1301" s="236"/>
      <c r="E1301" s="236"/>
      <c r="F1301" s="236"/>
      <c r="G1301" s="236"/>
      <c r="H1301" s="40">
        <f>SUM(Tabla132112416[[#This Row],[PRIMER TRIMESTRE]:[CUARTO TRIMESTRE]])</f>
        <v>0</v>
      </c>
      <c r="I1301" s="17">
        <v>217.18</v>
      </c>
      <c r="J1301" s="17">
        <f>+Tabla132112416[[#This Row],[CANTIDAD TOTAL]]*Tabla132112416[[#This Row],[PRECIO UNITARIO ESTIMADO]]</f>
        <v>0</v>
      </c>
      <c r="K1301" s="17"/>
      <c r="L1301" s="16" t="s">
        <v>27</v>
      </c>
      <c r="M1301" s="16" t="s">
        <v>22</v>
      </c>
      <c r="N1301" s="39" t="s">
        <v>342</v>
      </c>
    </row>
    <row r="1302" spans="1:14" s="12" customFormat="1" ht="30.75" customHeight="1">
      <c r="A1302" s="178" t="s">
        <v>124</v>
      </c>
      <c r="B1302" s="75" t="s">
        <v>292</v>
      </c>
      <c r="C1302" s="39" t="s">
        <v>17</v>
      </c>
      <c r="D1302" s="236"/>
      <c r="E1302" s="236"/>
      <c r="F1302" s="236"/>
      <c r="G1302" s="236"/>
      <c r="H1302" s="40">
        <f>SUM(Tabla132112416[[#This Row],[PRIMER TRIMESTRE]:[CUARTO TRIMESTRE]])</f>
        <v>0</v>
      </c>
      <c r="I1302" s="17">
        <v>377.54</v>
      </c>
      <c r="J1302" s="17">
        <f>+Tabla132112416[[#This Row],[CANTIDAD TOTAL]]*Tabla132112416[[#This Row],[PRECIO UNITARIO ESTIMADO]]</f>
        <v>0</v>
      </c>
      <c r="K1302" s="17"/>
      <c r="L1302" s="16" t="s">
        <v>27</v>
      </c>
      <c r="M1302" s="16" t="s">
        <v>22</v>
      </c>
      <c r="N1302" s="39" t="s">
        <v>342</v>
      </c>
    </row>
    <row r="1303" spans="1:14" s="12" customFormat="1" ht="30.75" customHeight="1">
      <c r="A1303" s="178" t="s">
        <v>124</v>
      </c>
      <c r="B1303" s="75" t="s">
        <v>725</v>
      </c>
      <c r="C1303" s="39" t="s">
        <v>17</v>
      </c>
      <c r="D1303" s="236"/>
      <c r="E1303" s="236"/>
      <c r="F1303" s="236"/>
      <c r="G1303" s="236"/>
      <c r="H1303" s="40">
        <f>SUM(Tabla132112416[[#This Row],[PRIMER TRIMESTRE]:[CUARTO TRIMESTRE]])</f>
        <v>0</v>
      </c>
      <c r="I1303" s="17">
        <v>90</v>
      </c>
      <c r="J1303" s="17">
        <f>+H1303*I1303</f>
        <v>0</v>
      </c>
      <c r="K1303" s="17"/>
      <c r="L1303" s="16" t="s">
        <v>27</v>
      </c>
      <c r="M1303" s="16" t="s">
        <v>22</v>
      </c>
      <c r="N1303" s="39" t="s">
        <v>342</v>
      </c>
    </row>
    <row r="1304" spans="1:14" s="12" customFormat="1" ht="30.75" customHeight="1">
      <c r="A1304" s="178" t="s">
        <v>124</v>
      </c>
      <c r="B1304" s="75" t="s">
        <v>294</v>
      </c>
      <c r="C1304" s="39" t="s">
        <v>17</v>
      </c>
      <c r="D1304" s="236"/>
      <c r="E1304" s="210"/>
      <c r="F1304" s="210"/>
      <c r="G1304" s="210"/>
      <c r="H1304" s="40">
        <f>SUM(Tabla132112416[[#This Row],[PRIMER TRIMESTRE]:[CUARTO TRIMESTRE]])</f>
        <v>0</v>
      </c>
      <c r="I1304" s="17">
        <v>424.95</v>
      </c>
      <c r="J1304" s="17">
        <f>+Tabla132112416[[#This Row],[CANTIDAD TOTAL]]*Tabla132112416[[#This Row],[PRECIO UNITARIO ESTIMADO]]</f>
        <v>0</v>
      </c>
      <c r="K1304" s="17"/>
      <c r="L1304" s="16" t="s">
        <v>27</v>
      </c>
      <c r="M1304" s="16" t="s">
        <v>22</v>
      </c>
      <c r="N1304" s="39" t="s">
        <v>342</v>
      </c>
    </row>
    <row r="1305" spans="1:14" s="12" customFormat="1" ht="30.75" customHeight="1">
      <c r="A1305" s="178" t="s">
        <v>124</v>
      </c>
      <c r="B1305" s="75" t="s">
        <v>331</v>
      </c>
      <c r="C1305" s="39" t="s">
        <v>33</v>
      </c>
      <c r="D1305" s="236"/>
      <c r="E1305" s="236"/>
      <c r="F1305" s="236"/>
      <c r="G1305" s="236"/>
      <c r="H1305" s="40">
        <f>SUM(Tabla132112416[[#This Row],[PRIMER TRIMESTRE]:[CUARTO TRIMESTRE]])</f>
        <v>0</v>
      </c>
      <c r="I1305" s="17">
        <v>404.45</v>
      </c>
      <c r="J1305" s="17">
        <f>+Tabla132112416[[#This Row],[CANTIDAD TOTAL]]*Tabla132112416[[#This Row],[PRECIO UNITARIO ESTIMADO]]</f>
        <v>0</v>
      </c>
      <c r="K1305" s="17"/>
      <c r="L1305" s="16" t="s">
        <v>27</v>
      </c>
      <c r="M1305" s="16" t="s">
        <v>22</v>
      </c>
      <c r="N1305" s="39" t="s">
        <v>342</v>
      </c>
    </row>
    <row r="1306" spans="1:14" s="12" customFormat="1" ht="30.75" customHeight="1">
      <c r="A1306" s="178" t="s">
        <v>124</v>
      </c>
      <c r="B1306" s="75" t="s">
        <v>724</v>
      </c>
      <c r="C1306" s="39" t="s">
        <v>17</v>
      </c>
      <c r="D1306" s="236"/>
      <c r="E1306" s="236"/>
      <c r="F1306" s="236"/>
      <c r="G1306" s="236"/>
      <c r="H1306" s="40">
        <f>SUM(Tabla132112416[[#This Row],[PRIMER TRIMESTRE]:[CUARTO TRIMESTRE]])</f>
        <v>0</v>
      </c>
      <c r="I1306" s="17">
        <v>140</v>
      </c>
      <c r="J1306" s="17">
        <f>+H1306*I1306</f>
        <v>0</v>
      </c>
      <c r="K1306" s="17"/>
      <c r="L1306" s="16" t="s">
        <v>27</v>
      </c>
      <c r="M1306" s="16" t="s">
        <v>22</v>
      </c>
      <c r="N1306" s="39" t="s">
        <v>342</v>
      </c>
    </row>
    <row r="1307" spans="1:14" s="12" customFormat="1" ht="30.75" customHeight="1">
      <c r="A1307" s="178" t="s">
        <v>124</v>
      </c>
      <c r="B1307" s="75" t="s">
        <v>1415</v>
      </c>
      <c r="C1307" s="39" t="s">
        <v>1461</v>
      </c>
      <c r="D1307" s="236"/>
      <c r="E1307" s="236"/>
      <c r="F1307" s="236"/>
      <c r="G1307" s="236"/>
      <c r="H1307" s="40">
        <f>SUM(Tabla132112416[[#This Row],[PRIMER TRIMESTRE]:[CUARTO TRIMESTRE]])</f>
        <v>0</v>
      </c>
      <c r="I1307" s="17">
        <v>55</v>
      </c>
      <c r="J1307" s="17">
        <f>+H1307*I1307</f>
        <v>0</v>
      </c>
      <c r="K1307" s="17"/>
      <c r="L1307" s="16" t="s">
        <v>27</v>
      </c>
      <c r="M1307" s="16" t="s">
        <v>22</v>
      </c>
      <c r="N1307" s="39" t="s">
        <v>342</v>
      </c>
    </row>
    <row r="1308" spans="1:14" s="12" customFormat="1" ht="30.75" customHeight="1">
      <c r="A1308" s="178" t="s">
        <v>124</v>
      </c>
      <c r="B1308" s="75" t="s">
        <v>1735</v>
      </c>
      <c r="C1308" s="39" t="s">
        <v>1461</v>
      </c>
      <c r="D1308" s="236"/>
      <c r="E1308" s="236"/>
      <c r="F1308" s="236"/>
      <c r="G1308" s="236"/>
      <c r="H1308" s="40">
        <v>0</v>
      </c>
      <c r="I1308" s="17">
        <v>0</v>
      </c>
      <c r="J1308" s="17">
        <v>0</v>
      </c>
      <c r="K1308" s="17"/>
      <c r="L1308" s="16" t="s">
        <v>27</v>
      </c>
      <c r="M1308" s="16" t="s">
        <v>22</v>
      </c>
      <c r="N1308" s="39" t="s">
        <v>342</v>
      </c>
    </row>
    <row r="1309" spans="1:14" s="26" customFormat="1" ht="30.75" customHeight="1">
      <c r="A1309" s="178" t="s">
        <v>124</v>
      </c>
      <c r="B1309" s="75" t="s">
        <v>1416</v>
      </c>
      <c r="C1309" s="39" t="s">
        <v>1461</v>
      </c>
      <c r="D1309" s="236"/>
      <c r="E1309" s="236"/>
      <c r="F1309" s="236"/>
      <c r="G1309" s="236"/>
      <c r="H1309" s="40">
        <f>SUM(Tabla132112416[[#This Row],[PRIMER TRIMESTRE]:[CUARTO TRIMESTRE]])</f>
        <v>0</v>
      </c>
      <c r="I1309" s="17">
        <v>100</v>
      </c>
      <c r="J1309" s="17">
        <f>+H1309*I1309</f>
        <v>0</v>
      </c>
      <c r="K1309" s="17"/>
      <c r="L1309" s="16" t="s">
        <v>27</v>
      </c>
      <c r="M1309" s="16" t="s">
        <v>22</v>
      </c>
      <c r="N1309" s="39" t="s">
        <v>342</v>
      </c>
    </row>
    <row r="1310" spans="1:14" s="12" customFormat="1" ht="30.75" customHeight="1">
      <c r="A1310" s="179" t="s">
        <v>124</v>
      </c>
      <c r="B1310" s="76"/>
      <c r="C1310" s="42"/>
      <c r="D1310" s="237"/>
      <c r="E1310" s="237"/>
      <c r="F1310" s="237"/>
      <c r="G1310" s="237"/>
      <c r="H1310" s="43"/>
      <c r="I1310" s="24"/>
      <c r="J1310" s="24"/>
      <c r="K1310" s="25">
        <f>SUM(J1283:J1309)</f>
        <v>0</v>
      </c>
      <c r="L1310" s="23"/>
      <c r="M1310" s="23"/>
      <c r="N1310" s="42"/>
    </row>
    <row r="1311" spans="1:14" s="12" customFormat="1" ht="30.75" customHeight="1">
      <c r="A1311" s="178" t="s">
        <v>295</v>
      </c>
      <c r="B1311" s="75" t="s">
        <v>296</v>
      </c>
      <c r="C1311" s="39" t="s">
        <v>17</v>
      </c>
      <c r="D1311" s="236"/>
      <c r="E1311" s="236"/>
      <c r="F1311" s="236"/>
      <c r="G1311" s="236"/>
      <c r="H1311" s="40">
        <f>SUM(Tabla132112416[[#This Row],[PRIMER TRIMESTRE]:[CUARTO TRIMESTRE]])</f>
        <v>0</v>
      </c>
      <c r="I1311" s="17">
        <v>5300.02</v>
      </c>
      <c r="J1311" s="17">
        <f>+Tabla132112416[[#This Row],[CANTIDAD TOTAL]]*Tabla132112416[[#This Row],[PRECIO UNITARIO ESTIMADO]]</f>
        <v>0</v>
      </c>
      <c r="K1311" s="17"/>
      <c r="L1311" s="16" t="s">
        <v>27</v>
      </c>
      <c r="M1311" s="16" t="s">
        <v>22</v>
      </c>
      <c r="N1311" s="39" t="s">
        <v>342</v>
      </c>
    </row>
    <row r="1312" spans="1:14" s="12" customFormat="1" ht="30.75" customHeight="1">
      <c r="A1312" s="178" t="s">
        <v>295</v>
      </c>
      <c r="B1312" s="75" t="s">
        <v>297</v>
      </c>
      <c r="C1312" s="39" t="s">
        <v>17</v>
      </c>
      <c r="D1312" s="236"/>
      <c r="E1312" s="236"/>
      <c r="F1312" s="236"/>
      <c r="G1312" s="236"/>
      <c r="H1312" s="40">
        <f>SUM(Tabla132112416[[#This Row],[PRIMER TRIMESTRE]:[CUARTO TRIMESTRE]])</f>
        <v>0</v>
      </c>
      <c r="I1312" s="17">
        <v>11775.77</v>
      </c>
      <c r="J1312" s="17">
        <f>+Tabla132112416[[#This Row],[CANTIDAD TOTAL]]*Tabla132112416[[#This Row],[PRECIO UNITARIO ESTIMADO]]</f>
        <v>0</v>
      </c>
      <c r="K1312" s="17"/>
      <c r="L1312" s="16" t="s">
        <v>27</v>
      </c>
      <c r="M1312" s="16" t="s">
        <v>22</v>
      </c>
      <c r="N1312" s="39" t="s">
        <v>342</v>
      </c>
    </row>
    <row r="1313" spans="1:14" s="12" customFormat="1" ht="30.75" customHeight="1">
      <c r="A1313" s="178" t="s">
        <v>295</v>
      </c>
      <c r="B1313" s="75" t="s">
        <v>298</v>
      </c>
      <c r="C1313" s="39" t="s">
        <v>17</v>
      </c>
      <c r="D1313" s="236"/>
      <c r="E1313" s="236"/>
      <c r="F1313" s="236"/>
      <c r="G1313" s="236"/>
      <c r="H1313" s="40">
        <f>SUM(Tabla132112416[[#This Row],[PRIMER TRIMESTRE]:[CUARTO TRIMESTRE]])</f>
        <v>0</v>
      </c>
      <c r="I1313" s="17">
        <v>18999.439999999999</v>
      </c>
      <c r="J1313" s="17">
        <f>+Tabla132112416[[#This Row],[CANTIDAD TOTAL]]*Tabla132112416[[#This Row],[PRECIO UNITARIO ESTIMADO]]</f>
        <v>0</v>
      </c>
      <c r="K1313" s="17"/>
      <c r="L1313" s="16" t="s">
        <v>27</v>
      </c>
      <c r="M1313" s="16" t="s">
        <v>22</v>
      </c>
      <c r="N1313" s="39" t="s">
        <v>342</v>
      </c>
    </row>
    <row r="1314" spans="1:14" s="12" customFormat="1" ht="30.75" customHeight="1">
      <c r="A1314" s="178" t="s">
        <v>295</v>
      </c>
      <c r="B1314" s="75" t="s">
        <v>2591</v>
      </c>
      <c r="C1314" s="39" t="s">
        <v>17</v>
      </c>
      <c r="D1314" s="236"/>
      <c r="E1314" s="236">
        <v>1</v>
      </c>
      <c r="F1314" s="236"/>
      <c r="G1314" s="236"/>
      <c r="H1314" s="40">
        <v>1</v>
      </c>
      <c r="I1314" s="17">
        <v>784</v>
      </c>
      <c r="J1314" s="17">
        <f>+Tabla132112416[[#This Row],[CANTIDAD TOTAL]]*Tabla132112416[[#This Row],[PRECIO UNITARIO ESTIMADO]]</f>
        <v>784</v>
      </c>
      <c r="K1314" s="17"/>
      <c r="L1314" s="16" t="s">
        <v>27</v>
      </c>
      <c r="M1314" s="16" t="s">
        <v>22</v>
      </c>
      <c r="N1314" s="39" t="s">
        <v>342</v>
      </c>
    </row>
    <row r="1315" spans="1:14" s="12" customFormat="1" ht="30.75" customHeight="1">
      <c r="A1315" s="178" t="s">
        <v>295</v>
      </c>
      <c r="B1315" s="75" t="s">
        <v>2592</v>
      </c>
      <c r="C1315" s="39" t="s">
        <v>17</v>
      </c>
      <c r="D1315" s="236">
        <v>1</v>
      </c>
      <c r="E1315" s="236"/>
      <c r="F1315" s="236"/>
      <c r="G1315" s="236"/>
      <c r="H1315" s="40">
        <v>1</v>
      </c>
      <c r="I1315" s="17">
        <v>784</v>
      </c>
      <c r="J1315" s="17">
        <f>+Tabla132112416[[#This Row],[CANTIDAD TOTAL]]*Tabla132112416[[#This Row],[PRECIO UNITARIO ESTIMADO]]</f>
        <v>784</v>
      </c>
      <c r="K1315" s="17"/>
      <c r="L1315" s="16" t="s">
        <v>27</v>
      </c>
      <c r="M1315" s="16" t="s">
        <v>22</v>
      </c>
      <c r="N1315" s="39" t="s">
        <v>342</v>
      </c>
    </row>
    <row r="1316" spans="1:14" s="12" customFormat="1" ht="30.75" customHeight="1">
      <c r="A1316" s="178" t="s">
        <v>295</v>
      </c>
      <c r="B1316" s="75" t="s">
        <v>300</v>
      </c>
      <c r="C1316" s="39" t="s">
        <v>17</v>
      </c>
      <c r="D1316" s="236"/>
      <c r="E1316" s="236"/>
      <c r="F1316" s="236"/>
      <c r="G1316" s="236"/>
      <c r="H1316" s="40">
        <v>0</v>
      </c>
      <c r="I1316" s="17">
        <v>21495</v>
      </c>
      <c r="J1316" s="17">
        <f>+Tabla132112416[[#This Row],[CANTIDAD TOTAL]]*Tabla132112416[[#This Row],[PRECIO UNITARIO ESTIMADO]]</f>
        <v>0</v>
      </c>
      <c r="K1316" s="17"/>
      <c r="L1316" s="16" t="s">
        <v>27</v>
      </c>
      <c r="M1316" s="16" t="s">
        <v>22</v>
      </c>
      <c r="N1316" s="39" t="s">
        <v>342</v>
      </c>
    </row>
    <row r="1317" spans="1:14" s="12" customFormat="1" ht="30.75" customHeight="1">
      <c r="A1317" s="178" t="s">
        <v>295</v>
      </c>
      <c r="B1317" s="75" t="s">
        <v>337</v>
      </c>
      <c r="C1317" s="39" t="s">
        <v>17</v>
      </c>
      <c r="D1317" s="236"/>
      <c r="E1317" s="236">
        <v>1</v>
      </c>
      <c r="F1317" s="236"/>
      <c r="G1317" s="236"/>
      <c r="H1317" s="40">
        <v>1</v>
      </c>
      <c r="I1317" s="17">
        <v>3225.3333333333335</v>
      </c>
      <c r="J1317" s="17">
        <f>+Tabla132112416[[#This Row],[CANTIDAD TOTAL]]*Tabla132112416[[#This Row],[PRECIO UNITARIO ESTIMADO]]</f>
        <v>3225.3333333333335</v>
      </c>
      <c r="K1317" s="17"/>
      <c r="L1317" s="16" t="s">
        <v>27</v>
      </c>
      <c r="M1317" s="16" t="s">
        <v>22</v>
      </c>
      <c r="N1317" s="39" t="s">
        <v>418</v>
      </c>
    </row>
    <row r="1318" spans="1:14" s="12" customFormat="1" ht="30.75" customHeight="1">
      <c r="A1318" s="178" t="s">
        <v>295</v>
      </c>
      <c r="B1318" s="75" t="s">
        <v>2593</v>
      </c>
      <c r="C1318" s="39" t="s">
        <v>17</v>
      </c>
      <c r="D1318" s="236">
        <v>1</v>
      </c>
      <c r="E1318" s="236">
        <v>1</v>
      </c>
      <c r="F1318" s="236"/>
      <c r="G1318" s="236"/>
      <c r="H1318" s="40">
        <v>2</v>
      </c>
      <c r="I1318" s="17">
        <v>9000</v>
      </c>
      <c r="J1318" s="17">
        <f>+H1318*I1318</f>
        <v>18000</v>
      </c>
      <c r="K1318" s="17"/>
      <c r="L1318" s="16" t="s">
        <v>27</v>
      </c>
      <c r="M1318" s="16" t="s">
        <v>22</v>
      </c>
      <c r="N1318" s="39" t="s">
        <v>342</v>
      </c>
    </row>
    <row r="1319" spans="1:14" s="12" customFormat="1" ht="30.75" customHeight="1">
      <c r="A1319" s="178" t="s">
        <v>295</v>
      </c>
      <c r="B1319" s="75" t="s">
        <v>2594</v>
      </c>
      <c r="C1319" s="39" t="s">
        <v>17</v>
      </c>
      <c r="D1319" s="236">
        <v>1</v>
      </c>
      <c r="E1319" s="236">
        <v>1</v>
      </c>
      <c r="F1319" s="236"/>
      <c r="G1319" s="236"/>
      <c r="H1319" s="40">
        <v>2</v>
      </c>
      <c r="I1319" s="17">
        <v>8004</v>
      </c>
      <c r="J1319" s="17">
        <f>+Tabla132112416[[#This Row],[CANTIDAD TOTAL]]*Tabla132112416[[#This Row],[PRECIO UNITARIO ESTIMADO]]</f>
        <v>16008</v>
      </c>
      <c r="K1319" s="17"/>
      <c r="L1319" s="16" t="s">
        <v>27</v>
      </c>
      <c r="M1319" s="16" t="s">
        <v>22</v>
      </c>
      <c r="N1319" s="39" t="s">
        <v>342</v>
      </c>
    </row>
    <row r="1320" spans="1:14" s="12" customFormat="1" ht="30.75" customHeight="1">
      <c r="A1320" s="178" t="s">
        <v>295</v>
      </c>
      <c r="B1320" s="75" t="s">
        <v>316</v>
      </c>
      <c r="C1320" s="39" t="s">
        <v>17</v>
      </c>
      <c r="D1320" s="236"/>
      <c r="E1320" s="236"/>
      <c r="F1320" s="236"/>
      <c r="G1320" s="236"/>
      <c r="H1320" s="40">
        <f>SUM(Tabla132112416[[#This Row],[PRIMER TRIMESTRE]:[CUARTO TRIMESTRE]])</f>
        <v>0</v>
      </c>
      <c r="I1320" s="17">
        <v>8802.7999999999993</v>
      </c>
      <c r="J1320" s="17">
        <f>+Tabla132112416[[#This Row],[CANTIDAD TOTAL]]*Tabla132112416[[#This Row],[PRECIO UNITARIO ESTIMADO]]</f>
        <v>0</v>
      </c>
      <c r="K1320" s="17"/>
      <c r="L1320" s="16" t="s">
        <v>27</v>
      </c>
      <c r="M1320" s="16" t="s">
        <v>22</v>
      </c>
      <c r="N1320" s="39" t="s">
        <v>342</v>
      </c>
    </row>
    <row r="1321" spans="1:14" s="12" customFormat="1" ht="30.75" customHeight="1">
      <c r="A1321" s="178" t="s">
        <v>295</v>
      </c>
      <c r="B1321" s="75" t="s">
        <v>322</v>
      </c>
      <c r="C1321" s="39" t="s">
        <v>17</v>
      </c>
      <c r="D1321" s="236"/>
      <c r="E1321" s="236"/>
      <c r="F1321" s="236"/>
      <c r="G1321" s="236"/>
      <c r="H1321" s="40">
        <f>SUM(Tabla132112416[[#This Row],[PRIMER TRIMESTRE]:[CUARTO TRIMESTRE]])</f>
        <v>0</v>
      </c>
      <c r="I1321" s="17">
        <v>64546</v>
      </c>
      <c r="J1321" s="17">
        <f>+Tabla132112416[[#This Row],[CANTIDAD TOTAL]]*Tabla132112416[[#This Row],[PRECIO UNITARIO ESTIMADO]]</f>
        <v>0</v>
      </c>
      <c r="K1321" s="17"/>
      <c r="L1321" s="16" t="s">
        <v>27</v>
      </c>
      <c r="M1321" s="16" t="s">
        <v>22</v>
      </c>
      <c r="N1321" s="39" t="s">
        <v>342</v>
      </c>
    </row>
    <row r="1322" spans="1:14" s="26" customFormat="1" ht="30.75" customHeight="1">
      <c r="A1322" s="178" t="s">
        <v>295</v>
      </c>
      <c r="B1322" s="75" t="s">
        <v>1423</v>
      </c>
      <c r="C1322" s="39" t="s">
        <v>17</v>
      </c>
      <c r="D1322" s="236"/>
      <c r="E1322" s="236">
        <v>1</v>
      </c>
      <c r="F1322" s="236"/>
      <c r="G1322" s="236"/>
      <c r="H1322" s="40">
        <v>1</v>
      </c>
      <c r="I1322" s="17">
        <v>24978.240000000002</v>
      </c>
      <c r="J1322" s="17">
        <f>+H1322*I1322</f>
        <v>24978.240000000002</v>
      </c>
      <c r="K1322" s="17"/>
      <c r="L1322" s="16" t="s">
        <v>15</v>
      </c>
      <c r="M1322" s="16" t="s">
        <v>22</v>
      </c>
      <c r="N1322" s="39" t="s">
        <v>342</v>
      </c>
    </row>
    <row r="1323" spans="1:14" s="12" customFormat="1" ht="30.75" customHeight="1">
      <c r="A1323" s="178" t="s">
        <v>295</v>
      </c>
      <c r="B1323" s="75" t="s">
        <v>2595</v>
      </c>
      <c r="C1323" s="39" t="s">
        <v>17</v>
      </c>
      <c r="D1323" s="236">
        <v>1</v>
      </c>
      <c r="E1323" s="236"/>
      <c r="F1323" s="236"/>
      <c r="G1323" s="236"/>
      <c r="H1323" s="40">
        <v>1</v>
      </c>
      <c r="I1323" s="17">
        <v>4500</v>
      </c>
      <c r="J1323" s="17">
        <f>+Tabla132112416[[#This Row],[CANTIDAD TOTAL]]*Tabla132112416[[#This Row],[PRECIO UNITARIO ESTIMADO]]</f>
        <v>4500</v>
      </c>
      <c r="K1323" s="17"/>
      <c r="L1323" s="16" t="s">
        <v>27</v>
      </c>
      <c r="M1323" s="16" t="s">
        <v>22</v>
      </c>
      <c r="N1323" s="39" t="s">
        <v>342</v>
      </c>
    </row>
    <row r="1324" spans="1:14" s="12" customFormat="1" ht="30.75" customHeight="1">
      <c r="A1324" s="178" t="s">
        <v>295</v>
      </c>
      <c r="B1324" s="75" t="s">
        <v>2596</v>
      </c>
      <c r="C1324" s="39" t="s">
        <v>17</v>
      </c>
      <c r="D1324" s="236">
        <v>1</v>
      </c>
      <c r="E1324" s="236"/>
      <c r="F1324" s="236"/>
      <c r="G1324" s="236"/>
      <c r="H1324" s="40">
        <v>1</v>
      </c>
      <c r="I1324" s="17">
        <v>8000</v>
      </c>
      <c r="J1324" s="17">
        <f>+H1324*I1324</f>
        <v>8000</v>
      </c>
      <c r="K1324" s="17"/>
      <c r="L1324" s="16" t="s">
        <v>15</v>
      </c>
      <c r="M1324" s="16" t="s">
        <v>22</v>
      </c>
      <c r="N1324" s="39" t="s">
        <v>342</v>
      </c>
    </row>
    <row r="1325" spans="1:14" s="12" customFormat="1" ht="30.75" customHeight="1">
      <c r="A1325" s="178"/>
      <c r="B1325" s="75"/>
      <c r="C1325" s="39"/>
      <c r="D1325" s="236"/>
      <c r="E1325" s="236"/>
      <c r="F1325" s="236"/>
      <c r="G1325" s="236"/>
      <c r="H1325" s="40"/>
      <c r="I1325" s="17"/>
      <c r="J1325" s="17"/>
      <c r="K1325" s="17"/>
      <c r="L1325" s="16"/>
      <c r="M1325" s="16"/>
      <c r="N1325" s="39"/>
    </row>
    <row r="1326" spans="1:14" s="12" customFormat="1" ht="30.75" customHeight="1">
      <c r="A1326" s="178"/>
      <c r="B1326" s="414" t="s">
        <v>2597</v>
      </c>
      <c r="C1326" s="39"/>
      <c r="D1326" s="236"/>
      <c r="E1326" s="236"/>
      <c r="F1326" s="236"/>
      <c r="G1326" s="236"/>
      <c r="H1326" s="40"/>
      <c r="I1326" s="17"/>
      <c r="J1326" s="17"/>
      <c r="K1326" s="17"/>
      <c r="L1326" s="16"/>
      <c r="M1326" s="16"/>
      <c r="N1326" s="39"/>
    </row>
    <row r="1327" spans="1:14" s="12" customFormat="1" ht="30.75" customHeight="1">
      <c r="A1327" s="178"/>
      <c r="B1327" s="75" t="s">
        <v>2598</v>
      </c>
      <c r="C1327" s="39" t="s">
        <v>1773</v>
      </c>
      <c r="D1327" s="236">
        <v>24</v>
      </c>
      <c r="E1327" s="236"/>
      <c r="F1327" s="236"/>
      <c r="G1327" s="236"/>
      <c r="H1327" s="40">
        <v>24</v>
      </c>
      <c r="I1327" s="17"/>
      <c r="J1327" s="17"/>
      <c r="K1327" s="17"/>
      <c r="L1327" s="16"/>
      <c r="M1327" s="16"/>
      <c r="N1327" s="39"/>
    </row>
    <row r="1328" spans="1:14" s="12" customFormat="1" ht="30.75" customHeight="1">
      <c r="A1328" s="178"/>
      <c r="B1328" s="75" t="s">
        <v>2599</v>
      </c>
      <c r="C1328" s="39" t="s">
        <v>1773</v>
      </c>
      <c r="D1328" s="236">
        <v>24</v>
      </c>
      <c r="E1328" s="236"/>
      <c r="F1328" s="236"/>
      <c r="G1328" s="236"/>
      <c r="H1328" s="40">
        <v>24</v>
      </c>
      <c r="I1328" s="17"/>
      <c r="J1328" s="17"/>
      <c r="K1328" s="17"/>
      <c r="L1328" s="16"/>
      <c r="M1328" s="16"/>
      <c r="N1328" s="39"/>
    </row>
    <row r="1329" spans="1:14" s="12" customFormat="1" ht="30.75" customHeight="1">
      <c r="A1329" s="178"/>
      <c r="B1329" s="75" t="s">
        <v>2600</v>
      </c>
      <c r="C1329" s="39" t="s">
        <v>1773</v>
      </c>
      <c r="D1329" s="236">
        <v>24</v>
      </c>
      <c r="E1329" s="236"/>
      <c r="F1329" s="236"/>
      <c r="G1329" s="236"/>
      <c r="H1329" s="40">
        <v>24</v>
      </c>
      <c r="I1329" s="17"/>
      <c r="J1329" s="17"/>
      <c r="K1329" s="17"/>
      <c r="L1329" s="16"/>
      <c r="M1329" s="16"/>
      <c r="N1329" s="39"/>
    </row>
    <row r="1330" spans="1:14" s="12" customFormat="1" ht="30.75" customHeight="1">
      <c r="A1330" s="178"/>
      <c r="B1330" s="75" t="s">
        <v>2601</v>
      </c>
      <c r="C1330" s="39" t="s">
        <v>1773</v>
      </c>
      <c r="D1330" s="236">
        <v>48</v>
      </c>
      <c r="E1330" s="236"/>
      <c r="F1330" s="236"/>
      <c r="G1330" s="236"/>
      <c r="H1330" s="40">
        <v>48</v>
      </c>
      <c r="I1330" s="17"/>
      <c r="J1330" s="17"/>
      <c r="K1330" s="17"/>
      <c r="L1330" s="16"/>
      <c r="M1330" s="16"/>
      <c r="N1330" s="39"/>
    </row>
    <row r="1331" spans="1:14" s="12" customFormat="1" ht="30.75" customHeight="1">
      <c r="A1331" s="178"/>
      <c r="B1331" s="75" t="s">
        <v>2602</v>
      </c>
      <c r="C1331" s="39" t="s">
        <v>1773</v>
      </c>
      <c r="D1331" s="236">
        <v>2</v>
      </c>
      <c r="E1331" s="236"/>
      <c r="F1331" s="236"/>
      <c r="G1331" s="236"/>
      <c r="H1331" s="40">
        <v>2</v>
      </c>
      <c r="I1331" s="17"/>
      <c r="J1331" s="17"/>
      <c r="K1331" s="17"/>
      <c r="L1331" s="16"/>
      <c r="M1331" s="16"/>
      <c r="N1331" s="39"/>
    </row>
    <row r="1332" spans="1:14" s="12" customFormat="1" ht="30.75" customHeight="1">
      <c r="A1332" s="178"/>
      <c r="B1332" s="75" t="s">
        <v>2603</v>
      </c>
      <c r="C1332" s="39" t="s">
        <v>1773</v>
      </c>
      <c r="D1332" s="236">
        <v>2</v>
      </c>
      <c r="E1332" s="236"/>
      <c r="F1332" s="236"/>
      <c r="G1332" s="236"/>
      <c r="H1332" s="40">
        <v>2</v>
      </c>
      <c r="I1332" s="17"/>
      <c r="J1332" s="17"/>
      <c r="K1332" s="17"/>
      <c r="L1332" s="16"/>
      <c r="M1332" s="16"/>
      <c r="N1332" s="39"/>
    </row>
    <row r="1333" spans="1:14" s="12" customFormat="1" ht="30.75" customHeight="1">
      <c r="A1333" s="178"/>
      <c r="B1333" s="75" t="s">
        <v>2604</v>
      </c>
      <c r="C1333" s="39" t="s">
        <v>1773</v>
      </c>
      <c r="D1333" s="236">
        <v>1</v>
      </c>
      <c r="E1333" s="236"/>
      <c r="F1333" s="236"/>
      <c r="G1333" s="236"/>
      <c r="H1333" s="40">
        <v>1</v>
      </c>
      <c r="I1333" s="17"/>
      <c r="J1333" s="17"/>
      <c r="K1333" s="17"/>
      <c r="L1333" s="16"/>
      <c r="M1333" s="16"/>
      <c r="N1333" s="39"/>
    </row>
    <row r="1334" spans="1:14" s="12" customFormat="1" ht="30.75" customHeight="1">
      <c r="A1334" s="178"/>
      <c r="B1334" s="75" t="s">
        <v>2605</v>
      </c>
      <c r="C1334" s="39" t="s">
        <v>1773</v>
      </c>
      <c r="D1334" s="236">
        <v>1</v>
      </c>
      <c r="E1334" s="236"/>
      <c r="F1334" s="236"/>
      <c r="G1334" s="236"/>
      <c r="H1334" s="40">
        <v>1</v>
      </c>
      <c r="I1334" s="17"/>
      <c r="J1334" s="17"/>
      <c r="K1334" s="17"/>
      <c r="L1334" s="16"/>
      <c r="M1334" s="16"/>
      <c r="N1334" s="39"/>
    </row>
    <row r="1335" spans="1:14" s="12" customFormat="1" ht="30.75" customHeight="1">
      <c r="A1335" s="179" t="s">
        <v>295</v>
      </c>
      <c r="B1335" s="76"/>
      <c r="C1335" s="42"/>
      <c r="D1335" s="237"/>
      <c r="E1335" s="237"/>
      <c r="F1335" s="237"/>
      <c r="G1335" s="237"/>
      <c r="H1335" s="43"/>
      <c r="I1335" s="24"/>
      <c r="J1335" s="24"/>
      <c r="K1335" s="25">
        <f>SUM(J1311:J1322)</f>
        <v>63779.573333333334</v>
      </c>
      <c r="L1335" s="23"/>
      <c r="M1335" s="23"/>
      <c r="N1335" s="42"/>
    </row>
    <row r="1336" spans="1:14" s="12" customFormat="1" ht="30.75" customHeight="1">
      <c r="A1336" s="178" t="s">
        <v>147</v>
      </c>
      <c r="B1336" s="75" t="s">
        <v>302</v>
      </c>
      <c r="C1336" s="39" t="s">
        <v>17</v>
      </c>
      <c r="D1336" s="236"/>
      <c r="E1336" s="236"/>
      <c r="F1336" s="236"/>
      <c r="G1336" s="236"/>
      <c r="H1336" s="40">
        <f>SUM(Tabla132112416[[#This Row],[PRIMER TRIMESTRE]:[CUARTO TRIMESTRE]])</f>
        <v>0</v>
      </c>
      <c r="I1336" s="17">
        <v>452.4</v>
      </c>
      <c r="J1336" s="17">
        <f>+Tabla132112416[[#This Row],[CANTIDAD TOTAL]]*Tabla132112416[[#This Row],[PRECIO UNITARIO ESTIMADO]]</f>
        <v>0</v>
      </c>
      <c r="K1336" s="17"/>
      <c r="L1336" s="16" t="s">
        <v>27</v>
      </c>
      <c r="M1336" s="16" t="s">
        <v>22</v>
      </c>
      <c r="N1336" s="39" t="s">
        <v>342</v>
      </c>
    </row>
    <row r="1337" spans="1:14" s="12" customFormat="1" ht="30.75" customHeight="1">
      <c r="A1337" s="178" t="s">
        <v>147</v>
      </c>
      <c r="B1337" s="75" t="s">
        <v>326</v>
      </c>
      <c r="C1337" s="39" t="s">
        <v>17</v>
      </c>
      <c r="D1337" s="236"/>
      <c r="E1337" s="236"/>
      <c r="F1337" s="236"/>
      <c r="G1337" s="236"/>
      <c r="H1337" s="40">
        <f>SUM(Tabla132112416[[#This Row],[PRIMER TRIMESTRE]:[CUARTO TRIMESTRE]])</f>
        <v>0</v>
      </c>
      <c r="I1337" s="17">
        <v>2596</v>
      </c>
      <c r="J1337" s="17">
        <f>+Tabla132112416[[#This Row],[CANTIDAD TOTAL]]*Tabla132112416[[#This Row],[PRECIO UNITARIO ESTIMADO]]</f>
        <v>0</v>
      </c>
      <c r="K1337" s="17"/>
      <c r="L1337" s="16" t="s">
        <v>27</v>
      </c>
      <c r="M1337" s="16" t="s">
        <v>22</v>
      </c>
      <c r="N1337" s="39" t="s">
        <v>342</v>
      </c>
    </row>
    <row r="1338" spans="1:14" s="12" customFormat="1" ht="30.75" customHeight="1">
      <c r="A1338" s="180" t="s">
        <v>147</v>
      </c>
      <c r="B1338" s="77" t="s">
        <v>332</v>
      </c>
      <c r="C1338" s="70" t="s">
        <v>17</v>
      </c>
      <c r="D1338" s="210"/>
      <c r="E1338" s="210"/>
      <c r="F1338" s="210"/>
      <c r="G1338" s="210"/>
      <c r="H1338" s="406">
        <f>SUM(Tabla132112416[[#This Row],[PRIMER TRIMESTRE]:[CUARTO TRIMESTRE]])</f>
        <v>0</v>
      </c>
      <c r="I1338" s="17">
        <v>460.2</v>
      </c>
      <c r="J1338" s="17">
        <f>+Tabla132112416[[#This Row],[CANTIDAD TOTAL]]*Tabla132112416[[#This Row],[PRECIO UNITARIO ESTIMADO]]</f>
        <v>0</v>
      </c>
      <c r="K1338" s="17"/>
      <c r="L1338" s="16" t="s">
        <v>27</v>
      </c>
      <c r="M1338" s="16" t="s">
        <v>22</v>
      </c>
      <c r="N1338" s="39" t="s">
        <v>342</v>
      </c>
    </row>
    <row r="1339" spans="1:14" s="12" customFormat="1" ht="30.75" customHeight="1">
      <c r="A1339" s="178" t="s">
        <v>147</v>
      </c>
      <c r="B1339" s="75" t="s">
        <v>333</v>
      </c>
      <c r="C1339" s="39" t="s">
        <v>17</v>
      </c>
      <c r="D1339" s="236"/>
      <c r="E1339" s="236"/>
      <c r="F1339" s="236"/>
      <c r="G1339" s="236"/>
      <c r="H1339" s="40">
        <f>SUM(Tabla132112416[[#This Row],[PRIMER TRIMESTRE]:[CUARTO TRIMESTRE]])</f>
        <v>0</v>
      </c>
      <c r="I1339" s="17">
        <f>76995/450</f>
        <v>171.1</v>
      </c>
      <c r="J1339" s="17">
        <f>+Tabla132112416[[#This Row],[CANTIDAD TOTAL]]*Tabla132112416[[#This Row],[PRECIO UNITARIO ESTIMADO]]</f>
        <v>0</v>
      </c>
      <c r="K1339" s="17"/>
      <c r="L1339" s="16" t="s">
        <v>27</v>
      </c>
      <c r="M1339" s="16" t="s">
        <v>22</v>
      </c>
      <c r="N1339" s="39" t="s">
        <v>342</v>
      </c>
    </row>
    <row r="1340" spans="1:14" s="12" customFormat="1" ht="30.75" customHeight="1">
      <c r="A1340" s="178" t="s">
        <v>147</v>
      </c>
      <c r="B1340" s="75" t="s">
        <v>1580</v>
      </c>
      <c r="C1340" s="39" t="s">
        <v>149</v>
      </c>
      <c r="D1340" s="236"/>
      <c r="E1340" s="236"/>
      <c r="F1340" s="236"/>
      <c r="G1340" s="236"/>
      <c r="H1340" s="236">
        <f>SUM(Tabla132112416[[#This Row],[PRIMER TRIMESTRE]:[CUARTO TRIMESTRE]])</f>
        <v>0</v>
      </c>
      <c r="I1340" s="17">
        <v>3250</v>
      </c>
      <c r="J1340" s="17">
        <f>+H1340*I1340</f>
        <v>0</v>
      </c>
      <c r="K1340" s="17"/>
      <c r="L1340" s="16" t="s">
        <v>27</v>
      </c>
      <c r="M1340" s="16" t="s">
        <v>22</v>
      </c>
      <c r="N1340" s="39" t="s">
        <v>342</v>
      </c>
    </row>
    <row r="1341" spans="1:14" s="12" customFormat="1" ht="30.75" customHeight="1">
      <c r="A1341" s="178" t="s">
        <v>147</v>
      </c>
      <c r="B1341" s="75" t="s">
        <v>1581</v>
      </c>
      <c r="C1341" s="39" t="s">
        <v>149</v>
      </c>
      <c r="D1341" s="236"/>
      <c r="E1341" s="236"/>
      <c r="F1341" s="236"/>
      <c r="G1341" s="236"/>
      <c r="H1341" s="236">
        <f>SUM(Tabla132112416[[#This Row],[PRIMER TRIMESTRE]:[CUARTO TRIMESTRE]])</f>
        <v>0</v>
      </c>
      <c r="I1341" s="17">
        <v>3250</v>
      </c>
      <c r="J1341" s="17">
        <f>+H1341*I1341</f>
        <v>0</v>
      </c>
      <c r="K1341" s="17"/>
      <c r="L1341" s="16" t="s">
        <v>27</v>
      </c>
      <c r="M1341" s="16" t="s">
        <v>22</v>
      </c>
      <c r="N1341" s="39" t="s">
        <v>342</v>
      </c>
    </row>
    <row r="1342" spans="1:14" s="12" customFormat="1" ht="30.75" customHeight="1">
      <c r="A1342" s="178" t="s">
        <v>147</v>
      </c>
      <c r="B1342" s="75" t="s">
        <v>1579</v>
      </c>
      <c r="C1342" s="39" t="s">
        <v>149</v>
      </c>
      <c r="D1342" s="236"/>
      <c r="E1342" s="236"/>
      <c r="F1342" s="236"/>
      <c r="G1342" s="236"/>
      <c r="H1342" s="236">
        <f>SUM(Tabla132112416[[#This Row],[PRIMER TRIMESTRE]:[CUARTO TRIMESTRE]])</f>
        <v>0</v>
      </c>
      <c r="I1342" s="17">
        <v>3250</v>
      </c>
      <c r="J1342" s="17">
        <f>+H1342*I1342</f>
        <v>0</v>
      </c>
      <c r="K1342" s="17"/>
      <c r="L1342" s="16" t="s">
        <v>27</v>
      </c>
      <c r="M1342" s="16" t="s">
        <v>22</v>
      </c>
      <c r="N1342" s="39" t="s">
        <v>342</v>
      </c>
    </row>
    <row r="1343" spans="1:14" s="12" customFormat="1" ht="30.75" customHeight="1">
      <c r="A1343" s="178" t="s">
        <v>147</v>
      </c>
      <c r="B1343" s="75" t="s">
        <v>303</v>
      </c>
      <c r="C1343" s="39" t="s">
        <v>149</v>
      </c>
      <c r="D1343" s="236"/>
      <c r="E1343" s="236"/>
      <c r="F1343" s="236"/>
      <c r="G1343" s="236"/>
      <c r="H1343" s="236">
        <f>SUM(Tabla132112416[[#This Row],[PRIMER TRIMESTRE]:[CUARTO TRIMESTRE]])</f>
        <v>0</v>
      </c>
      <c r="I1343" s="17">
        <v>1856</v>
      </c>
      <c r="J1343" s="17">
        <f>+Tabla132112416[[#This Row],[CANTIDAD TOTAL]]*Tabla132112416[[#This Row],[PRECIO UNITARIO ESTIMADO]]</f>
        <v>0</v>
      </c>
      <c r="K1343" s="17"/>
      <c r="L1343" s="16" t="s">
        <v>27</v>
      </c>
      <c r="M1343" s="16" t="s">
        <v>22</v>
      </c>
      <c r="N1343" s="39" t="s">
        <v>342</v>
      </c>
    </row>
    <row r="1344" spans="1:14" s="12" customFormat="1" ht="30.75" customHeight="1">
      <c r="A1344" s="178" t="s">
        <v>147</v>
      </c>
      <c r="B1344" s="75" t="s">
        <v>1582</v>
      </c>
      <c r="C1344" s="39" t="s">
        <v>149</v>
      </c>
      <c r="D1344" s="236"/>
      <c r="E1344" s="236"/>
      <c r="F1344" s="236"/>
      <c r="G1344" s="236"/>
      <c r="H1344" s="236">
        <f>SUM(Tabla132112416[[#This Row],[PRIMER TRIMESTRE]:[CUARTO TRIMESTRE]])</f>
        <v>0</v>
      </c>
      <c r="I1344" s="17">
        <v>1680</v>
      </c>
      <c r="J1344" s="17">
        <f>+H1344*I1344</f>
        <v>0</v>
      </c>
      <c r="K1344" s="17"/>
      <c r="L1344" s="16" t="s">
        <v>27</v>
      </c>
      <c r="M1344" s="16" t="s">
        <v>22</v>
      </c>
      <c r="N1344" s="39" t="s">
        <v>342</v>
      </c>
    </row>
    <row r="1345" spans="1:14" s="12" customFormat="1" ht="30.75" customHeight="1">
      <c r="A1345" s="178" t="s">
        <v>147</v>
      </c>
      <c r="B1345" s="75" t="s">
        <v>1583</v>
      </c>
      <c r="C1345" s="39" t="s">
        <v>149</v>
      </c>
      <c r="D1345" s="236"/>
      <c r="E1345" s="236"/>
      <c r="F1345" s="236"/>
      <c r="G1345" s="236"/>
      <c r="H1345" s="236">
        <f>SUM(Tabla132112416[[#This Row],[PRIMER TRIMESTRE]:[CUARTO TRIMESTRE]])</f>
        <v>0</v>
      </c>
      <c r="I1345" s="17">
        <v>1615</v>
      </c>
      <c r="J1345" s="17">
        <f>+H1345*I1345</f>
        <v>0</v>
      </c>
      <c r="K1345" s="17"/>
      <c r="L1345" s="16" t="s">
        <v>27</v>
      </c>
      <c r="M1345" s="16" t="s">
        <v>22</v>
      </c>
      <c r="N1345" s="39" t="s">
        <v>342</v>
      </c>
    </row>
    <row r="1346" spans="1:14" s="12" customFormat="1" ht="30.75" customHeight="1">
      <c r="A1346" s="178" t="s">
        <v>147</v>
      </c>
      <c r="B1346" s="75" t="s">
        <v>1584</v>
      </c>
      <c r="C1346" s="39" t="s">
        <v>149</v>
      </c>
      <c r="D1346" s="236"/>
      <c r="E1346" s="236"/>
      <c r="F1346" s="236"/>
      <c r="G1346" s="236"/>
      <c r="H1346" s="236">
        <f>SUM(Tabla132112416[[#This Row],[PRIMER TRIMESTRE]:[CUARTO TRIMESTRE]])</f>
        <v>0</v>
      </c>
      <c r="I1346" s="17">
        <v>1615</v>
      </c>
      <c r="J1346" s="17">
        <f>+H1346*I1346</f>
        <v>0</v>
      </c>
      <c r="K1346" s="17"/>
      <c r="L1346" s="16" t="s">
        <v>27</v>
      </c>
      <c r="M1346" s="16" t="s">
        <v>22</v>
      </c>
      <c r="N1346" s="39" t="s">
        <v>342</v>
      </c>
    </row>
    <row r="1347" spans="1:14" s="12" customFormat="1" ht="30.75" customHeight="1">
      <c r="A1347" s="178" t="s">
        <v>147</v>
      </c>
      <c r="B1347" s="75" t="s">
        <v>1585</v>
      </c>
      <c r="C1347" s="39" t="s">
        <v>149</v>
      </c>
      <c r="D1347" s="236"/>
      <c r="E1347" s="236"/>
      <c r="F1347" s="236"/>
      <c r="G1347" s="236"/>
      <c r="H1347" s="236">
        <f>SUM(Tabla132112416[[#This Row],[PRIMER TRIMESTRE]:[CUARTO TRIMESTRE]])</f>
        <v>0</v>
      </c>
      <c r="I1347" s="17">
        <v>1615</v>
      </c>
      <c r="J1347" s="17">
        <f>+H1347*I1347</f>
        <v>0</v>
      </c>
      <c r="K1347" s="17"/>
      <c r="L1347" s="16" t="s">
        <v>27</v>
      </c>
      <c r="M1347" s="16" t="s">
        <v>22</v>
      </c>
      <c r="N1347" s="39" t="s">
        <v>342</v>
      </c>
    </row>
    <row r="1348" spans="1:14" s="12" customFormat="1" ht="30.75" customHeight="1">
      <c r="A1348" s="178" t="s">
        <v>147</v>
      </c>
      <c r="B1348" s="75" t="s">
        <v>1586</v>
      </c>
      <c r="C1348" s="39" t="s">
        <v>149</v>
      </c>
      <c r="D1348" s="236"/>
      <c r="E1348" s="236"/>
      <c r="F1348" s="236"/>
      <c r="G1348" s="236"/>
      <c r="H1348" s="236">
        <f>SUM(Tabla132112416[[#This Row],[PRIMER TRIMESTRE]:[CUARTO TRIMESTRE]])</f>
        <v>0</v>
      </c>
      <c r="I1348" s="17">
        <v>1615</v>
      </c>
      <c r="J1348" s="17">
        <f>+H1348*I1348</f>
        <v>0</v>
      </c>
      <c r="K1348" s="17"/>
      <c r="L1348" s="16" t="s">
        <v>27</v>
      </c>
      <c r="M1348" s="16" t="s">
        <v>22</v>
      </c>
      <c r="N1348" s="39" t="s">
        <v>342</v>
      </c>
    </row>
    <row r="1349" spans="1:14" s="12" customFormat="1" ht="30.75" customHeight="1">
      <c r="A1349" s="178" t="s">
        <v>147</v>
      </c>
      <c r="B1349" s="75" t="s">
        <v>1272</v>
      </c>
      <c r="C1349" s="39" t="s">
        <v>149</v>
      </c>
      <c r="D1349" s="236"/>
      <c r="E1349" s="236"/>
      <c r="F1349" s="236"/>
      <c r="G1349" s="236"/>
      <c r="H1349" s="40">
        <f>SUM(Tabla132112416[[#This Row],[PRIMER TRIMESTRE]:[CUARTO TRIMESTRE]])</f>
        <v>0</v>
      </c>
      <c r="I1349" s="17">
        <v>488.31</v>
      </c>
      <c r="J1349" s="17">
        <f>+Tabla132112416[[#This Row],[CANTIDAD TOTAL]]*Tabla132112416[[#This Row],[PRECIO UNITARIO ESTIMADO]]</f>
        <v>0</v>
      </c>
      <c r="K1349" s="17"/>
      <c r="L1349" s="16" t="s">
        <v>27</v>
      </c>
      <c r="M1349" s="16" t="s">
        <v>22</v>
      </c>
      <c r="N1349" s="39" t="s">
        <v>342</v>
      </c>
    </row>
    <row r="1350" spans="1:14" s="12" customFormat="1" ht="30.75" customHeight="1">
      <c r="A1350" s="178" t="s">
        <v>147</v>
      </c>
      <c r="B1350" s="75" t="s">
        <v>1273</v>
      </c>
      <c r="C1350" s="39" t="s">
        <v>149</v>
      </c>
      <c r="D1350" s="236"/>
      <c r="E1350" s="241"/>
      <c r="F1350" s="236"/>
      <c r="G1350" s="236"/>
      <c r="H1350" s="40">
        <f>SUM(Tabla132112416[[#This Row],[PRIMER TRIMESTRE]:[CUARTO TRIMESTRE]])</f>
        <v>0</v>
      </c>
      <c r="I1350" s="17">
        <v>550.4</v>
      </c>
      <c r="J1350" s="17">
        <f>+H1350*I1350</f>
        <v>0</v>
      </c>
      <c r="K1350" s="17"/>
      <c r="L1350" s="16" t="s">
        <v>27</v>
      </c>
      <c r="M1350" s="16" t="s">
        <v>22</v>
      </c>
      <c r="N1350" s="39" t="s">
        <v>342</v>
      </c>
    </row>
    <row r="1351" spans="1:14" s="12" customFormat="1" ht="30.75" customHeight="1">
      <c r="A1351" s="178" t="s">
        <v>147</v>
      </c>
      <c r="B1351" s="75" t="s">
        <v>1274</v>
      </c>
      <c r="C1351" s="39" t="s">
        <v>17</v>
      </c>
      <c r="D1351" s="236"/>
      <c r="E1351" s="236"/>
      <c r="F1351" s="236"/>
      <c r="G1351" s="236"/>
      <c r="H1351" s="40">
        <f>SUM(Tabla132112416[[#This Row],[PRIMER TRIMESTRE]:[CUARTO TRIMESTRE]])</f>
        <v>0</v>
      </c>
      <c r="I1351" s="17">
        <v>450</v>
      </c>
      <c r="J1351" s="17">
        <f>+H1351*I1351</f>
        <v>0</v>
      </c>
      <c r="K1351" s="17"/>
      <c r="L1351" s="16" t="s">
        <v>27</v>
      </c>
      <c r="M1351" s="16" t="s">
        <v>22</v>
      </c>
      <c r="N1351" s="39" t="s">
        <v>342</v>
      </c>
    </row>
    <row r="1352" spans="1:14" s="12" customFormat="1" ht="30.75" customHeight="1">
      <c r="A1352" s="178" t="s">
        <v>147</v>
      </c>
      <c r="B1352" s="75" t="s">
        <v>1270</v>
      </c>
      <c r="C1352" s="39" t="s">
        <v>17</v>
      </c>
      <c r="D1352" s="236"/>
      <c r="E1352" s="236"/>
      <c r="F1352" s="236"/>
      <c r="G1352" s="236"/>
      <c r="H1352" s="40">
        <f>SUM(Tabla132112416[[#This Row],[PRIMER TRIMESTRE]:[CUARTO TRIMESTRE]])</f>
        <v>0</v>
      </c>
      <c r="I1352" s="17">
        <v>850</v>
      </c>
      <c r="J1352" s="17">
        <f>+H1352*I1352</f>
        <v>0</v>
      </c>
      <c r="K1352" s="17"/>
      <c r="L1352" s="16" t="s">
        <v>27</v>
      </c>
      <c r="M1352" s="16" t="s">
        <v>22</v>
      </c>
      <c r="N1352" s="39" t="s">
        <v>342</v>
      </c>
    </row>
    <row r="1353" spans="1:14" s="26" customFormat="1" ht="30.75" customHeight="1">
      <c r="A1353" s="178" t="s">
        <v>147</v>
      </c>
      <c r="B1353" s="75" t="s">
        <v>1271</v>
      </c>
      <c r="C1353" s="39" t="s">
        <v>17</v>
      </c>
      <c r="D1353" s="236"/>
      <c r="E1353" s="236"/>
      <c r="F1353" s="236"/>
      <c r="G1353" s="236"/>
      <c r="H1353" s="40">
        <f>SUM(Tabla132112416[[#This Row],[PRIMER TRIMESTRE]:[CUARTO TRIMESTRE]])</f>
        <v>0</v>
      </c>
      <c r="I1353" s="17">
        <v>250</v>
      </c>
      <c r="J1353" s="17">
        <f>+H1353*I1353</f>
        <v>0</v>
      </c>
      <c r="K1353" s="17"/>
      <c r="L1353" s="16" t="s">
        <v>27</v>
      </c>
      <c r="M1353" s="16" t="s">
        <v>22</v>
      </c>
      <c r="N1353" s="39" t="s">
        <v>342</v>
      </c>
    </row>
    <row r="1354" spans="1:14" s="12" customFormat="1" ht="30.75" customHeight="1">
      <c r="A1354" s="179" t="s">
        <v>147</v>
      </c>
      <c r="B1354" s="76"/>
      <c r="C1354" s="42"/>
      <c r="D1354" s="237"/>
      <c r="E1354" s="237"/>
      <c r="F1354" s="237"/>
      <c r="G1354" s="237"/>
      <c r="H1354" s="43"/>
      <c r="I1354" s="24"/>
      <c r="J1354" s="24"/>
      <c r="K1354" s="25">
        <f>SUM(J1336:J1353)</f>
        <v>0</v>
      </c>
      <c r="L1354" s="23"/>
      <c r="M1354" s="23"/>
      <c r="N1354" s="42"/>
    </row>
    <row r="1355" spans="1:14" s="12" customFormat="1" ht="30.75" customHeight="1">
      <c r="A1355" s="178" t="s">
        <v>153</v>
      </c>
      <c r="B1355" s="75" t="s">
        <v>1908</v>
      </c>
      <c r="C1355" s="412" t="s">
        <v>17</v>
      </c>
      <c r="D1355" s="236"/>
      <c r="E1355" s="236"/>
      <c r="F1355" s="236"/>
      <c r="G1355" s="236"/>
      <c r="H1355" s="244">
        <f>SUM(Tabla132112416[[#This Row],[PRIMER TRIMESTRE]:[CUARTO TRIMESTRE]])</f>
        <v>0</v>
      </c>
      <c r="I1355" s="17">
        <v>0</v>
      </c>
      <c r="J1355" s="286"/>
      <c r="K1355" s="286"/>
      <c r="L1355" s="16" t="s">
        <v>15</v>
      </c>
      <c r="M1355" s="16" t="s">
        <v>22</v>
      </c>
      <c r="N1355" s="39" t="s">
        <v>342</v>
      </c>
    </row>
    <row r="1356" spans="1:14" s="12" customFormat="1" ht="30.75" customHeight="1">
      <c r="A1356" s="178" t="s">
        <v>1909</v>
      </c>
      <c r="B1356" s="75" t="s">
        <v>1910</v>
      </c>
      <c r="C1356" s="412" t="s">
        <v>17</v>
      </c>
      <c r="D1356" s="236"/>
      <c r="E1356" s="236"/>
      <c r="F1356" s="236"/>
      <c r="G1356" s="236"/>
      <c r="H1356" s="244">
        <v>0</v>
      </c>
      <c r="I1356" s="17">
        <v>0</v>
      </c>
      <c r="J1356" s="286"/>
      <c r="K1356" s="286"/>
      <c r="L1356" s="16" t="s">
        <v>15</v>
      </c>
      <c r="M1356" s="16" t="s">
        <v>22</v>
      </c>
      <c r="N1356" s="39" t="s">
        <v>342</v>
      </c>
    </row>
    <row r="1357" spans="1:14" s="12" customFormat="1" ht="30.75" customHeight="1">
      <c r="A1357" s="178" t="s">
        <v>1909</v>
      </c>
      <c r="B1357" s="75" t="s">
        <v>1911</v>
      </c>
      <c r="C1357" s="412" t="s">
        <v>17</v>
      </c>
      <c r="D1357" s="236"/>
      <c r="E1357" s="236"/>
      <c r="F1357" s="236"/>
      <c r="G1357" s="236"/>
      <c r="H1357" s="244">
        <f>SUM(Tabla132112416[[#This Row],[PRIMER TRIMESTRE]:[CUARTO TRIMESTRE]])</f>
        <v>0</v>
      </c>
      <c r="I1357" s="17">
        <v>1</v>
      </c>
      <c r="J1357" s="17"/>
      <c r="K1357" s="17"/>
      <c r="L1357" s="16" t="s">
        <v>15</v>
      </c>
      <c r="M1357" s="16" t="s">
        <v>22</v>
      </c>
      <c r="N1357" s="39" t="s">
        <v>342</v>
      </c>
    </row>
    <row r="1358" spans="1:14" s="12" customFormat="1" ht="30.75" customHeight="1">
      <c r="A1358" s="178" t="s">
        <v>153</v>
      </c>
      <c r="B1358" s="75" t="s">
        <v>1664</v>
      </c>
      <c r="C1358" s="412" t="s">
        <v>17</v>
      </c>
      <c r="D1358" s="236"/>
      <c r="E1358" s="236"/>
      <c r="F1358" s="236"/>
      <c r="G1358" s="236"/>
      <c r="H1358" s="244">
        <f>SUM(Tabla132112416[[#This Row],[PRIMER TRIMESTRE]:[CUARTO TRIMESTRE]])</f>
        <v>0</v>
      </c>
      <c r="I1358" s="17">
        <v>1</v>
      </c>
      <c r="J1358" s="17"/>
      <c r="K1358" s="17"/>
      <c r="L1358" s="16" t="s">
        <v>15</v>
      </c>
      <c r="M1358" s="16" t="s">
        <v>22</v>
      </c>
      <c r="N1358" s="39" t="s">
        <v>342</v>
      </c>
    </row>
    <row r="1359" spans="1:14" s="12" customFormat="1" ht="30.75" customHeight="1">
      <c r="A1359" s="178" t="s">
        <v>153</v>
      </c>
      <c r="B1359" s="75" t="s">
        <v>1665</v>
      </c>
      <c r="C1359" s="412" t="s">
        <v>17</v>
      </c>
      <c r="D1359" s="236"/>
      <c r="E1359" s="236"/>
      <c r="F1359" s="236"/>
      <c r="G1359" s="236"/>
      <c r="H1359" s="244">
        <f>SUM(Tabla132112416[[#This Row],[PRIMER TRIMESTRE]:[CUARTO TRIMESTRE]])</f>
        <v>0</v>
      </c>
      <c r="I1359" s="17">
        <v>0</v>
      </c>
      <c r="J1359" s="286"/>
      <c r="K1359" s="286"/>
      <c r="L1359" s="16" t="s">
        <v>15</v>
      </c>
      <c r="M1359" s="16" t="s">
        <v>22</v>
      </c>
      <c r="N1359" s="39" t="s">
        <v>342</v>
      </c>
    </row>
    <row r="1360" spans="1:14" s="12" customFormat="1" ht="30.75" customHeight="1">
      <c r="A1360" s="178" t="s">
        <v>153</v>
      </c>
      <c r="B1360" s="75" t="s">
        <v>768</v>
      </c>
      <c r="C1360" s="39" t="s">
        <v>17</v>
      </c>
      <c r="D1360" s="236"/>
      <c r="E1360" s="236"/>
      <c r="F1360" s="236"/>
      <c r="G1360" s="236"/>
      <c r="H1360" s="244">
        <f>SUM(Tabla132112416[[#This Row],[PRIMER TRIMESTRE]:[CUARTO TRIMESTRE]])</f>
        <v>0</v>
      </c>
      <c r="I1360" s="17">
        <v>48.75</v>
      </c>
      <c r="J1360" s="17">
        <f>+H1360*I1360</f>
        <v>0</v>
      </c>
      <c r="K1360" s="17"/>
      <c r="L1360" s="16" t="s">
        <v>15</v>
      </c>
      <c r="M1360" s="16" t="s">
        <v>22</v>
      </c>
      <c r="N1360" s="39" t="s">
        <v>342</v>
      </c>
    </row>
    <row r="1361" spans="1:14" s="12" customFormat="1" ht="30.75" customHeight="1">
      <c r="A1361" s="178" t="s">
        <v>153</v>
      </c>
      <c r="B1361" s="75" t="s">
        <v>1417</v>
      </c>
      <c r="C1361" s="39" t="s">
        <v>17</v>
      </c>
      <c r="D1361" s="236"/>
      <c r="E1361" s="236"/>
      <c r="F1361" s="236"/>
      <c r="G1361" s="236"/>
      <c r="H1361" s="236">
        <f>SUM(Tabla132112416[[#This Row],[PRIMER TRIMESTRE]:[CUARTO TRIMESTRE]])</f>
        <v>0</v>
      </c>
      <c r="I1361" s="17">
        <v>9</v>
      </c>
      <c r="J1361" s="17">
        <f>+H1361*I1361</f>
        <v>0</v>
      </c>
      <c r="K1361" s="17"/>
      <c r="L1361" s="16" t="s">
        <v>18</v>
      </c>
      <c r="M1361" s="16" t="s">
        <v>22</v>
      </c>
      <c r="N1361" s="39" t="s">
        <v>342</v>
      </c>
    </row>
    <row r="1362" spans="1:14" s="12" customFormat="1" ht="30.75" customHeight="1">
      <c r="A1362" s="178" t="s">
        <v>153</v>
      </c>
      <c r="B1362" s="75" t="s">
        <v>1627</v>
      </c>
      <c r="C1362" s="39" t="s">
        <v>17</v>
      </c>
      <c r="D1362" s="236"/>
      <c r="E1362" s="236"/>
      <c r="F1362" s="236"/>
      <c r="G1362" s="236"/>
      <c r="H1362" s="236">
        <f>SUM(Tabla132112416[[#This Row],[PRIMER TRIMESTRE]:[CUARTO TRIMESTRE]])</f>
        <v>0</v>
      </c>
      <c r="I1362" s="17">
        <v>30</v>
      </c>
      <c r="J1362" s="17">
        <f>+H1362*I1362</f>
        <v>0</v>
      </c>
      <c r="K1362" s="178"/>
      <c r="L1362" s="16" t="s">
        <v>18</v>
      </c>
      <c r="M1362" s="16" t="s">
        <v>22</v>
      </c>
      <c r="N1362" s="39" t="s">
        <v>342</v>
      </c>
    </row>
    <row r="1363" spans="1:14" s="26" customFormat="1" ht="30.75" customHeight="1">
      <c r="A1363" s="178" t="s">
        <v>153</v>
      </c>
      <c r="B1363" s="75" t="s">
        <v>304</v>
      </c>
      <c r="C1363" s="39" t="s">
        <v>1773</v>
      </c>
      <c r="D1363" s="236"/>
      <c r="E1363" s="236">
        <v>500</v>
      </c>
      <c r="F1363" s="236"/>
      <c r="G1363" s="236"/>
      <c r="H1363" s="236">
        <v>500</v>
      </c>
      <c r="I1363" s="17"/>
      <c r="J1363" s="17"/>
      <c r="K1363" s="286"/>
      <c r="L1363" s="16"/>
      <c r="M1363" s="16"/>
      <c r="N1363" s="39"/>
    </row>
    <row r="1364" spans="1:14" s="26" customFormat="1" ht="30.75" customHeight="1">
      <c r="A1364" s="178" t="s">
        <v>153</v>
      </c>
      <c r="B1364" s="75" t="s">
        <v>2606</v>
      </c>
      <c r="C1364" s="39" t="s">
        <v>1773</v>
      </c>
      <c r="D1364" s="236">
        <v>100</v>
      </c>
      <c r="E1364" s="236"/>
      <c r="F1364" s="236"/>
      <c r="G1364" s="236"/>
      <c r="H1364" s="236">
        <v>100</v>
      </c>
      <c r="I1364" s="17"/>
      <c r="J1364" s="17"/>
      <c r="K1364" s="286"/>
      <c r="L1364" s="16"/>
      <c r="M1364" s="16"/>
      <c r="N1364" s="39"/>
    </row>
    <row r="1365" spans="1:14" s="26" customFormat="1" ht="30.75" customHeight="1">
      <c r="A1365" s="178" t="s">
        <v>153</v>
      </c>
      <c r="B1365" s="75" t="s">
        <v>1466</v>
      </c>
      <c r="C1365" s="39" t="s">
        <v>17</v>
      </c>
      <c r="D1365" s="236">
        <v>1</v>
      </c>
      <c r="E1365" s="236"/>
      <c r="F1365" s="236"/>
      <c r="G1365" s="236"/>
      <c r="H1365" s="244">
        <v>1</v>
      </c>
      <c r="I1365" s="17">
        <v>2200</v>
      </c>
      <c r="J1365" s="17">
        <f>+H1365*I1365</f>
        <v>2200</v>
      </c>
      <c r="K1365" s="17"/>
      <c r="L1365" s="16" t="s">
        <v>18</v>
      </c>
      <c r="M1365" s="16" t="s">
        <v>22</v>
      </c>
      <c r="N1365" s="39" t="s">
        <v>342</v>
      </c>
    </row>
    <row r="1366" spans="1:14" s="26" customFormat="1" ht="30.75" customHeight="1">
      <c r="A1366" s="178"/>
      <c r="B1366" s="75"/>
      <c r="C1366" s="39"/>
      <c r="D1366" s="236"/>
      <c r="E1366" s="236"/>
      <c r="F1366" s="236"/>
      <c r="G1366" s="236"/>
      <c r="H1366" s="244"/>
      <c r="I1366" s="17"/>
      <c r="J1366" s="17"/>
      <c r="K1366" s="17"/>
      <c r="L1366" s="16"/>
      <c r="M1366" s="16"/>
      <c r="N1366" s="39"/>
    </row>
    <row r="1367" spans="1:14" s="26" customFormat="1" ht="30.75" customHeight="1">
      <c r="A1367" s="178"/>
      <c r="B1367" s="414" t="s">
        <v>2607</v>
      </c>
      <c r="C1367" s="39"/>
      <c r="D1367" s="236"/>
      <c r="E1367" s="236"/>
      <c r="F1367" s="236"/>
      <c r="G1367" s="236"/>
      <c r="H1367" s="244"/>
      <c r="I1367" s="17"/>
      <c r="J1367" s="17"/>
      <c r="K1367" s="17"/>
      <c r="L1367" s="16"/>
      <c r="M1367" s="16"/>
      <c r="N1367" s="39"/>
    </row>
    <row r="1368" spans="1:14" s="26" customFormat="1" ht="30.75" customHeight="1">
      <c r="A1368" s="178"/>
      <c r="B1368" s="75" t="s">
        <v>2608</v>
      </c>
      <c r="C1368" s="39" t="s">
        <v>17</v>
      </c>
      <c r="D1368" s="236"/>
      <c r="E1368" s="236">
        <v>9</v>
      </c>
      <c r="F1368" s="236"/>
      <c r="G1368" s="236">
        <v>9</v>
      </c>
      <c r="H1368" s="244">
        <v>18</v>
      </c>
      <c r="I1368" s="17"/>
      <c r="J1368" s="17"/>
      <c r="K1368" s="17"/>
      <c r="L1368" s="16"/>
      <c r="M1368" s="16"/>
      <c r="N1368" s="39"/>
    </row>
    <row r="1369" spans="1:14" s="26" customFormat="1" ht="30.75" customHeight="1">
      <c r="A1369" s="178"/>
      <c r="B1369" s="75" t="s">
        <v>2609</v>
      </c>
      <c r="C1369" s="39" t="s">
        <v>17</v>
      </c>
      <c r="D1369" s="236"/>
      <c r="E1369" s="236">
        <v>9</v>
      </c>
      <c r="F1369" s="236"/>
      <c r="G1369" s="236">
        <v>9</v>
      </c>
      <c r="H1369" s="244">
        <v>18</v>
      </c>
      <c r="I1369" s="17"/>
      <c r="J1369" s="17"/>
      <c r="K1369" s="17"/>
      <c r="L1369" s="16"/>
      <c r="M1369" s="16"/>
      <c r="N1369" s="39"/>
    </row>
    <row r="1370" spans="1:14" s="169" customFormat="1" ht="30.75" customHeight="1">
      <c r="A1370" s="178"/>
      <c r="B1370" s="75"/>
      <c r="C1370" s="39"/>
      <c r="D1370" s="236"/>
      <c r="E1370" s="236"/>
      <c r="F1370" s="236"/>
      <c r="G1370" s="236"/>
      <c r="H1370" s="244"/>
      <c r="I1370" s="17"/>
      <c r="J1370" s="17"/>
      <c r="K1370" s="17"/>
      <c r="L1370" s="16"/>
      <c r="M1370" s="16"/>
      <c r="N1370" s="39"/>
    </row>
    <row r="1371" spans="1:14" s="169" customFormat="1" ht="30.75" customHeight="1">
      <c r="A1371" s="178"/>
      <c r="B1371" s="414" t="s">
        <v>2610</v>
      </c>
      <c r="C1371" s="39"/>
      <c r="D1371" s="236"/>
      <c r="E1371" s="236"/>
      <c r="F1371" s="236"/>
      <c r="G1371" s="236"/>
      <c r="H1371" s="244"/>
      <c r="I1371" s="17"/>
      <c r="J1371" s="17"/>
      <c r="K1371" s="17"/>
      <c r="L1371" s="16"/>
      <c r="M1371" s="16"/>
      <c r="N1371" s="39"/>
    </row>
    <row r="1372" spans="1:14" s="169" customFormat="1" ht="36.75" customHeight="1">
      <c r="A1372" s="178"/>
      <c r="B1372" s="75" t="s">
        <v>1282</v>
      </c>
      <c r="C1372" s="39" t="s">
        <v>17</v>
      </c>
      <c r="D1372" s="236">
        <v>2</v>
      </c>
      <c r="E1372" s="210">
        <v>2</v>
      </c>
      <c r="F1372" s="210">
        <v>2</v>
      </c>
      <c r="G1372" s="210">
        <v>2</v>
      </c>
      <c r="H1372" s="406">
        <v>8</v>
      </c>
      <c r="I1372" s="17">
        <v>25000</v>
      </c>
      <c r="J1372" s="17">
        <f>+H1372*I1372</f>
        <v>200000</v>
      </c>
      <c r="K1372" s="17"/>
      <c r="L1372" s="16" t="s">
        <v>18</v>
      </c>
      <c r="M1372" s="16" t="s">
        <v>22</v>
      </c>
      <c r="N1372" s="39" t="s">
        <v>418</v>
      </c>
    </row>
    <row r="1373" spans="1:14" s="169" customFormat="1" ht="30.75" customHeight="1">
      <c r="A1373" s="178"/>
      <c r="B1373" s="75" t="s">
        <v>1283</v>
      </c>
      <c r="C1373" s="39" t="s">
        <v>17</v>
      </c>
      <c r="D1373" s="236"/>
      <c r="E1373" s="210"/>
      <c r="F1373" s="210"/>
      <c r="G1373" s="210"/>
      <c r="H1373" s="406">
        <f>SUM(Tabla132112416[[#This Row],[PRIMER TRIMESTRE]:[CUARTO TRIMESTRE]])</f>
        <v>0</v>
      </c>
      <c r="I1373" s="17">
        <f>16685940/4</f>
        <v>4171485</v>
      </c>
      <c r="J1373" s="17">
        <f>+H1373*I1373</f>
        <v>0</v>
      </c>
      <c r="K1373" s="17"/>
      <c r="L1373" s="16" t="s">
        <v>18</v>
      </c>
      <c r="M1373" s="16" t="s">
        <v>22</v>
      </c>
      <c r="N1373" s="39" t="s">
        <v>418</v>
      </c>
    </row>
    <row r="1374" spans="1:14" s="169" customFormat="1" ht="30.75" customHeight="1">
      <c r="A1374" s="178"/>
      <c r="B1374" s="75" t="s">
        <v>2611</v>
      </c>
      <c r="C1374" s="39" t="s">
        <v>17</v>
      </c>
      <c r="D1374" s="236"/>
      <c r="E1374" s="210"/>
      <c r="F1374" s="210"/>
      <c r="G1374" s="210"/>
      <c r="H1374" s="406">
        <v>0</v>
      </c>
      <c r="I1374" s="17">
        <v>3500</v>
      </c>
      <c r="J1374" s="17">
        <f>+H1374*I1374</f>
        <v>0</v>
      </c>
      <c r="K1374" s="17"/>
      <c r="L1374" s="16" t="s">
        <v>18</v>
      </c>
      <c r="M1374" s="16" t="s">
        <v>22</v>
      </c>
      <c r="N1374" s="39" t="s">
        <v>418</v>
      </c>
    </row>
    <row r="1375" spans="1:14" s="169" customFormat="1" ht="30.75" customHeight="1">
      <c r="A1375" s="178"/>
      <c r="B1375" s="75" t="s">
        <v>2612</v>
      </c>
      <c r="C1375" s="39" t="s">
        <v>1773</v>
      </c>
      <c r="D1375" s="236"/>
      <c r="E1375" s="210">
        <v>1</v>
      </c>
      <c r="F1375" s="210"/>
      <c r="G1375" s="210"/>
      <c r="H1375" s="406">
        <v>1</v>
      </c>
      <c r="I1375" s="17">
        <v>289100</v>
      </c>
      <c r="J1375" s="17">
        <v>289100</v>
      </c>
      <c r="K1375" s="17"/>
      <c r="L1375" s="16"/>
      <c r="M1375" s="16"/>
      <c r="N1375" s="39"/>
    </row>
    <row r="1376" spans="1:14" s="169" customFormat="1" ht="30.75" customHeight="1">
      <c r="A1376" s="178"/>
      <c r="B1376" s="75" t="s">
        <v>2613</v>
      </c>
      <c r="C1376" s="39" t="s">
        <v>1773</v>
      </c>
      <c r="D1376" s="236">
        <v>5</v>
      </c>
      <c r="E1376" s="236"/>
      <c r="F1376" s="236"/>
      <c r="G1376" s="236"/>
      <c r="H1376" s="244">
        <v>5</v>
      </c>
      <c r="I1376" s="17">
        <v>600000</v>
      </c>
      <c r="J1376" s="17">
        <v>3000000</v>
      </c>
      <c r="K1376" s="17"/>
      <c r="L1376" s="16"/>
      <c r="M1376" s="16"/>
      <c r="N1376" s="39"/>
    </row>
    <row r="1377" spans="1:14" s="169" customFormat="1" ht="30.75" customHeight="1">
      <c r="A1377" s="178"/>
      <c r="B1377" s="75" t="s">
        <v>2614</v>
      </c>
      <c r="C1377" s="39" t="s">
        <v>1773</v>
      </c>
      <c r="D1377" s="236">
        <v>5</v>
      </c>
      <c r="E1377" s="236"/>
      <c r="F1377" s="236"/>
      <c r="G1377" s="236"/>
      <c r="H1377" s="244">
        <v>5</v>
      </c>
      <c r="I1377" s="17"/>
      <c r="J1377" s="17"/>
      <c r="K1377" s="17"/>
      <c r="L1377" s="16"/>
      <c r="M1377" s="16"/>
      <c r="N1377" s="39"/>
    </row>
    <row r="1378" spans="1:14" s="169" customFormat="1" ht="30.75" customHeight="1">
      <c r="A1378" s="178"/>
      <c r="B1378" s="75" t="s">
        <v>2615</v>
      </c>
      <c r="C1378" s="39"/>
      <c r="D1378" s="236">
        <v>10</v>
      </c>
      <c r="E1378" s="236"/>
      <c r="F1378" s="236"/>
      <c r="G1378" s="236"/>
      <c r="H1378" s="244">
        <v>10</v>
      </c>
      <c r="I1378" s="17"/>
      <c r="J1378" s="17"/>
      <c r="K1378" s="17"/>
      <c r="L1378" s="16"/>
      <c r="M1378" s="16"/>
      <c r="N1378" s="39"/>
    </row>
    <row r="1379" spans="1:14" s="169" customFormat="1" ht="30.75" customHeight="1">
      <c r="A1379" s="178"/>
      <c r="B1379" s="75" t="s">
        <v>2616</v>
      </c>
      <c r="C1379" s="39" t="s">
        <v>1773</v>
      </c>
      <c r="D1379" s="236">
        <v>25</v>
      </c>
      <c r="E1379" s="236">
        <v>25</v>
      </c>
      <c r="F1379" s="236">
        <v>25</v>
      </c>
      <c r="G1379" s="236">
        <v>25</v>
      </c>
      <c r="H1379" s="244">
        <v>100</v>
      </c>
      <c r="I1379" s="17">
        <v>40000</v>
      </c>
      <c r="J1379" s="17">
        <v>4000000</v>
      </c>
      <c r="K1379" s="17"/>
      <c r="L1379" s="16"/>
      <c r="M1379" s="16"/>
      <c r="N1379" s="39"/>
    </row>
    <row r="1380" spans="1:14" s="169" customFormat="1" ht="30.75" customHeight="1">
      <c r="A1380" s="178"/>
      <c r="B1380" s="414" t="s">
        <v>2617</v>
      </c>
      <c r="C1380" s="39"/>
      <c r="D1380" s="236"/>
      <c r="E1380" s="236"/>
      <c r="F1380" s="236"/>
      <c r="G1380" s="236"/>
      <c r="H1380" s="244"/>
      <c r="I1380" s="17"/>
      <c r="J1380" s="17"/>
      <c r="K1380" s="17"/>
      <c r="L1380" s="16"/>
      <c r="M1380" s="16"/>
      <c r="N1380" s="39"/>
    </row>
    <row r="1381" spans="1:14" s="169" customFormat="1" ht="30.75" customHeight="1">
      <c r="A1381" s="178"/>
      <c r="B1381" s="75" t="s">
        <v>2618</v>
      </c>
      <c r="C1381" s="39" t="s">
        <v>1773</v>
      </c>
      <c r="D1381" s="236"/>
      <c r="E1381" s="236"/>
      <c r="F1381" s="236"/>
      <c r="G1381" s="236"/>
      <c r="H1381" s="244">
        <v>365</v>
      </c>
      <c r="I1381" s="17">
        <v>9.4499999999999993</v>
      </c>
      <c r="J1381" s="17">
        <v>3450</v>
      </c>
      <c r="K1381" s="17"/>
      <c r="L1381" s="16"/>
      <c r="M1381" s="16"/>
      <c r="N1381" s="39"/>
    </row>
    <row r="1382" spans="1:14" s="169" customFormat="1" ht="30.75" customHeight="1">
      <c r="A1382" s="178"/>
      <c r="B1382" s="75" t="s">
        <v>2619</v>
      </c>
      <c r="C1382" s="39" t="s">
        <v>1773</v>
      </c>
      <c r="D1382" s="236"/>
      <c r="E1382" s="236"/>
      <c r="F1382" s="236"/>
      <c r="G1382" s="236"/>
      <c r="H1382" s="244">
        <v>365</v>
      </c>
      <c r="I1382" s="17">
        <v>7.4</v>
      </c>
      <c r="J1382" s="17">
        <v>2700</v>
      </c>
      <c r="K1382" s="17"/>
      <c r="L1382" s="16"/>
      <c r="M1382" s="16"/>
      <c r="N1382" s="39"/>
    </row>
    <row r="1383" spans="1:14" s="169" customFormat="1" ht="30.75" customHeight="1">
      <c r="A1383" s="178"/>
      <c r="B1383" s="75" t="s">
        <v>2620</v>
      </c>
      <c r="C1383" s="39" t="s">
        <v>1773</v>
      </c>
      <c r="D1383" s="236"/>
      <c r="E1383" s="236"/>
      <c r="F1383" s="236"/>
      <c r="G1383" s="236"/>
      <c r="H1383" s="244">
        <v>365</v>
      </c>
      <c r="I1383" s="17">
        <v>11.85</v>
      </c>
      <c r="J1383" s="17">
        <v>4325</v>
      </c>
      <c r="K1383" s="17"/>
      <c r="L1383" s="16"/>
      <c r="M1383" s="16"/>
      <c r="N1383" s="39"/>
    </row>
    <row r="1384" spans="1:14" s="169" customFormat="1" ht="30.75" customHeight="1">
      <c r="A1384" s="178"/>
      <c r="B1384" s="75" t="s">
        <v>2621</v>
      </c>
      <c r="C1384" s="39" t="s">
        <v>1773</v>
      </c>
      <c r="D1384" s="236"/>
      <c r="E1384" s="236"/>
      <c r="F1384" s="236"/>
      <c r="G1384" s="236"/>
      <c r="H1384" s="244">
        <v>365</v>
      </c>
      <c r="I1384" s="17">
        <v>8.5</v>
      </c>
      <c r="J1384" s="17">
        <v>3100</v>
      </c>
      <c r="K1384" s="17"/>
      <c r="L1384" s="16"/>
      <c r="M1384" s="16"/>
      <c r="N1384" s="39"/>
    </row>
    <row r="1385" spans="1:14" s="169" customFormat="1" ht="30.75" customHeight="1">
      <c r="A1385" s="178"/>
      <c r="B1385" s="75" t="s">
        <v>2622</v>
      </c>
      <c r="C1385" s="39" t="s">
        <v>1773</v>
      </c>
      <c r="D1385" s="236"/>
      <c r="E1385" s="236"/>
      <c r="F1385" s="236"/>
      <c r="G1385" s="236"/>
      <c r="H1385" s="244">
        <v>365</v>
      </c>
      <c r="I1385" s="17">
        <v>6</v>
      </c>
      <c r="J1385" s="17">
        <v>2191</v>
      </c>
      <c r="K1385" s="17"/>
      <c r="L1385" s="16"/>
      <c r="M1385" s="16"/>
      <c r="N1385" s="39"/>
    </row>
    <row r="1386" spans="1:14" s="169" customFormat="1" ht="30.75" customHeight="1">
      <c r="A1386" s="178"/>
      <c r="B1386" s="75" t="s">
        <v>2623</v>
      </c>
      <c r="C1386" s="39" t="s">
        <v>1773</v>
      </c>
      <c r="D1386" s="236"/>
      <c r="E1386" s="236"/>
      <c r="F1386" s="236"/>
      <c r="G1386" s="236"/>
      <c r="H1386" s="244">
        <v>365</v>
      </c>
      <c r="I1386" s="17">
        <v>4.3899999999999997</v>
      </c>
      <c r="J1386" s="17">
        <v>1600</v>
      </c>
      <c r="K1386" s="17"/>
      <c r="L1386" s="16"/>
      <c r="M1386" s="16"/>
      <c r="N1386" s="39"/>
    </row>
    <row r="1387" spans="1:14" s="169" customFormat="1" ht="30.75" customHeight="1">
      <c r="A1387" s="179" t="s">
        <v>153</v>
      </c>
      <c r="B1387" s="76"/>
      <c r="C1387" s="42"/>
      <c r="D1387" s="237"/>
      <c r="E1387" s="237"/>
      <c r="F1387" s="237"/>
      <c r="G1387" s="237"/>
      <c r="H1387" s="43"/>
      <c r="I1387" s="24"/>
      <c r="J1387" s="24"/>
      <c r="K1387" s="25">
        <f>SUM(J1360:J1365)</f>
        <v>2200</v>
      </c>
      <c r="L1387" s="23"/>
      <c r="M1387" s="23"/>
      <c r="N1387" s="42"/>
    </row>
    <row r="1388" spans="1:14" s="169" customFormat="1" ht="49.5" customHeight="1">
      <c r="A1388" s="180" t="s">
        <v>1024</v>
      </c>
      <c r="B1388" s="77" t="s">
        <v>1025</v>
      </c>
      <c r="C1388" s="70" t="s">
        <v>17</v>
      </c>
      <c r="D1388" s="210"/>
      <c r="E1388" s="210"/>
      <c r="F1388" s="210"/>
      <c r="G1388" s="210"/>
      <c r="H1388" s="406">
        <f>SUM(Tabla132112416[[#This Row],[PRIMER TRIMESTRE]:[CUARTO TRIMESTRE]])</f>
        <v>0</v>
      </c>
      <c r="I1388" s="72">
        <v>2465459.7599999998</v>
      </c>
      <c r="J1388" s="72">
        <f t="shared" ref="J1388:J1393" si="34">+H1388*I1388</f>
        <v>0</v>
      </c>
      <c r="K1388" s="72"/>
      <c r="L1388" s="73" t="s">
        <v>18</v>
      </c>
      <c r="M1388" s="73" t="s">
        <v>19</v>
      </c>
      <c r="N1388" s="70"/>
    </row>
    <row r="1389" spans="1:14" s="169" customFormat="1" ht="51.75" customHeight="1">
      <c r="A1389" s="180" t="s">
        <v>1024</v>
      </c>
      <c r="B1389" s="77" t="s">
        <v>1026</v>
      </c>
      <c r="C1389" s="70" t="s">
        <v>17</v>
      </c>
      <c r="D1389" s="210"/>
      <c r="E1389" s="210"/>
      <c r="F1389" s="210"/>
      <c r="G1389" s="210"/>
      <c r="H1389" s="406">
        <f>SUM(Tabla132112416[[#This Row],[PRIMER TRIMESTRE]:[CUARTO TRIMESTRE]])</f>
        <v>0</v>
      </c>
      <c r="I1389" s="72">
        <v>485677.62</v>
      </c>
      <c r="J1389" s="72">
        <f t="shared" si="34"/>
        <v>0</v>
      </c>
      <c r="K1389" s="72"/>
      <c r="L1389" s="73" t="s">
        <v>18</v>
      </c>
      <c r="M1389" s="73" t="s">
        <v>19</v>
      </c>
      <c r="N1389" s="70" t="s">
        <v>342</v>
      </c>
    </row>
    <row r="1390" spans="1:14" s="169" customFormat="1" ht="54" customHeight="1">
      <c r="A1390" s="180" t="s">
        <v>1024</v>
      </c>
      <c r="B1390" s="77" t="s">
        <v>1027</v>
      </c>
      <c r="C1390" s="70" t="s">
        <v>17</v>
      </c>
      <c r="D1390" s="210"/>
      <c r="E1390" s="210"/>
      <c r="F1390" s="210"/>
      <c r="G1390" s="210"/>
      <c r="H1390" s="406">
        <f>SUM(Tabla132112416[[#This Row],[PRIMER TRIMESTRE]:[CUARTO TRIMESTRE]])</f>
        <v>0</v>
      </c>
      <c r="I1390" s="72">
        <v>7126452.3600000003</v>
      </c>
      <c r="J1390" s="72">
        <f t="shared" si="34"/>
        <v>0</v>
      </c>
      <c r="K1390" s="72"/>
      <c r="L1390" s="73" t="s">
        <v>18</v>
      </c>
      <c r="M1390" s="73" t="s">
        <v>19</v>
      </c>
      <c r="N1390" s="70"/>
    </row>
    <row r="1391" spans="1:14" s="169" customFormat="1" ht="48.75" customHeight="1">
      <c r="A1391" s="180" t="s">
        <v>1024</v>
      </c>
      <c r="B1391" s="77" t="s">
        <v>1028</v>
      </c>
      <c r="C1391" s="70" t="s">
        <v>17</v>
      </c>
      <c r="D1391" s="210"/>
      <c r="E1391" s="210"/>
      <c r="F1391" s="210"/>
      <c r="G1391" s="210"/>
      <c r="H1391" s="406">
        <f>SUM(Tabla132112416[[#This Row],[PRIMER TRIMESTRE]:[CUARTO TRIMESTRE]])</f>
        <v>0</v>
      </c>
      <c r="I1391" s="72">
        <v>52892.2</v>
      </c>
      <c r="J1391" s="72">
        <f t="shared" si="34"/>
        <v>0</v>
      </c>
      <c r="K1391" s="72"/>
      <c r="L1391" s="73" t="s">
        <v>18</v>
      </c>
      <c r="M1391" s="73" t="s">
        <v>19</v>
      </c>
      <c r="N1391" s="70" t="s">
        <v>342</v>
      </c>
    </row>
    <row r="1392" spans="1:14" s="169" customFormat="1" ht="51" customHeight="1">
      <c r="A1392" s="180" t="s">
        <v>1024</v>
      </c>
      <c r="B1392" s="77" t="s">
        <v>1029</v>
      </c>
      <c r="C1392" s="70" t="s">
        <v>17</v>
      </c>
      <c r="D1392" s="210"/>
      <c r="E1392" s="210"/>
      <c r="F1392" s="210"/>
      <c r="G1392" s="210"/>
      <c r="H1392" s="406">
        <f>SUM(Tabla132112416[[#This Row],[PRIMER TRIMESTRE]:[CUARTO TRIMESTRE]])</f>
        <v>0</v>
      </c>
      <c r="I1392" s="72">
        <v>134185.97999999998</v>
      </c>
      <c r="J1392" s="72">
        <f t="shared" si="34"/>
        <v>0</v>
      </c>
      <c r="K1392" s="72"/>
      <c r="L1392" s="73" t="s">
        <v>18</v>
      </c>
      <c r="M1392" s="73" t="s">
        <v>19</v>
      </c>
      <c r="N1392" s="70"/>
    </row>
    <row r="1393" spans="1:14" s="169" customFormat="1" ht="48.75" customHeight="1">
      <c r="A1393" s="180" t="s">
        <v>1024</v>
      </c>
      <c r="B1393" s="77" t="s">
        <v>1030</v>
      </c>
      <c r="C1393" s="70" t="s">
        <v>17</v>
      </c>
      <c r="D1393" s="210"/>
      <c r="E1393" s="210"/>
      <c r="F1393" s="210"/>
      <c r="G1393" s="210"/>
      <c r="H1393" s="406">
        <f>SUM(Tabla132112416[[#This Row],[PRIMER TRIMESTRE]:[CUARTO TRIMESTRE]])</f>
        <v>0</v>
      </c>
      <c r="I1393" s="72">
        <v>624559.46</v>
      </c>
      <c r="J1393" s="72">
        <f t="shared" si="34"/>
        <v>0</v>
      </c>
      <c r="K1393" s="72"/>
      <c r="L1393" s="73" t="s">
        <v>18</v>
      </c>
      <c r="M1393" s="73" t="s">
        <v>19</v>
      </c>
      <c r="N1393" s="70"/>
    </row>
    <row r="1394" spans="1:14" s="12" customFormat="1" ht="30.75" customHeight="1">
      <c r="A1394" s="179" t="s">
        <v>1024</v>
      </c>
      <c r="B1394" s="76"/>
      <c r="C1394" s="42"/>
      <c r="D1394" s="237"/>
      <c r="E1394" s="237"/>
      <c r="F1394" s="237"/>
      <c r="G1394" s="237"/>
      <c r="H1394" s="43"/>
      <c r="I1394" s="24"/>
      <c r="J1394" s="24"/>
      <c r="K1394" s="25">
        <f>SUM(J1388:J1393)</f>
        <v>0</v>
      </c>
      <c r="L1394" s="23"/>
      <c r="M1394" s="23"/>
      <c r="N1394" s="42"/>
    </row>
    <row r="1395" spans="1:14" s="169" customFormat="1" ht="30.75" customHeight="1">
      <c r="A1395" s="180" t="s">
        <v>167</v>
      </c>
      <c r="B1395" s="77" t="s">
        <v>964</v>
      </c>
      <c r="C1395" s="70" t="s">
        <v>17</v>
      </c>
      <c r="D1395" s="210"/>
      <c r="E1395" s="210"/>
      <c r="F1395" s="210"/>
      <c r="G1395" s="210"/>
      <c r="H1395" s="406">
        <f>SUM(Tabla132112416[[#This Row],[PRIMER TRIMESTRE]:[CUARTO TRIMESTRE]])</f>
        <v>0</v>
      </c>
      <c r="I1395" s="72">
        <v>84508.178</v>
      </c>
      <c r="J1395" s="72">
        <f t="shared" ref="J1395:J1457" si="35">+H1395*I1395</f>
        <v>0</v>
      </c>
      <c r="K1395" s="72"/>
      <c r="L1395" s="73" t="s">
        <v>18</v>
      </c>
      <c r="M1395" s="73" t="s">
        <v>19</v>
      </c>
      <c r="N1395" s="70" t="s">
        <v>342</v>
      </c>
    </row>
    <row r="1396" spans="1:14" s="169" customFormat="1" ht="30.75" customHeight="1">
      <c r="A1396" s="180" t="s">
        <v>167</v>
      </c>
      <c r="B1396" s="77" t="s">
        <v>965</v>
      </c>
      <c r="C1396" s="70" t="s">
        <v>17</v>
      </c>
      <c r="D1396" s="210"/>
      <c r="E1396" s="210"/>
      <c r="F1396" s="210"/>
      <c r="G1396" s="210"/>
      <c r="H1396" s="406">
        <f>SUM(Tabla132112416[[#This Row],[PRIMER TRIMESTRE]:[CUARTO TRIMESTRE]])</f>
        <v>0</v>
      </c>
      <c r="I1396" s="72">
        <v>55372.68</v>
      </c>
      <c r="J1396" s="72">
        <f t="shared" si="35"/>
        <v>0</v>
      </c>
      <c r="K1396" s="72"/>
      <c r="L1396" s="73" t="s">
        <v>18</v>
      </c>
      <c r="M1396" s="73" t="s">
        <v>19</v>
      </c>
      <c r="N1396" s="70"/>
    </row>
    <row r="1397" spans="1:14" s="169" customFormat="1" ht="30.75" customHeight="1">
      <c r="A1397" s="180" t="s">
        <v>167</v>
      </c>
      <c r="B1397" s="77" t="s">
        <v>966</v>
      </c>
      <c r="C1397" s="70" t="s">
        <v>17</v>
      </c>
      <c r="D1397" s="210"/>
      <c r="E1397" s="210"/>
      <c r="F1397" s="210"/>
      <c r="G1397" s="210"/>
      <c r="H1397" s="406">
        <f>SUM(Tabla132112416[[#This Row],[PRIMER TRIMESTRE]:[CUARTO TRIMESTRE]])</f>
        <v>0</v>
      </c>
      <c r="I1397" s="72">
        <v>467752</v>
      </c>
      <c r="J1397" s="72">
        <f t="shared" si="35"/>
        <v>0</v>
      </c>
      <c r="K1397" s="72"/>
      <c r="L1397" s="73" t="s">
        <v>18</v>
      </c>
      <c r="M1397" s="73" t="s">
        <v>19</v>
      </c>
      <c r="N1397" s="70"/>
    </row>
    <row r="1398" spans="1:14" s="169" customFormat="1" ht="30.75" customHeight="1">
      <c r="A1398" s="180" t="s">
        <v>167</v>
      </c>
      <c r="B1398" s="77" t="s">
        <v>967</v>
      </c>
      <c r="C1398" s="70" t="s">
        <v>17</v>
      </c>
      <c r="D1398" s="210"/>
      <c r="E1398" s="210"/>
      <c r="F1398" s="210"/>
      <c r="G1398" s="210"/>
      <c r="H1398" s="406">
        <f>SUM(Tabla132112416[[#This Row],[PRIMER TRIMESTRE]:[CUARTO TRIMESTRE]])</f>
        <v>0</v>
      </c>
      <c r="I1398" s="72">
        <v>804524</v>
      </c>
      <c r="J1398" s="72">
        <f t="shared" si="35"/>
        <v>0</v>
      </c>
      <c r="K1398" s="72"/>
      <c r="L1398" s="73" t="s">
        <v>18</v>
      </c>
      <c r="M1398" s="73" t="s">
        <v>19</v>
      </c>
      <c r="N1398" s="70"/>
    </row>
    <row r="1399" spans="1:14" s="169" customFormat="1" ht="30.75" customHeight="1">
      <c r="A1399" s="180" t="s">
        <v>167</v>
      </c>
      <c r="B1399" s="77" t="s">
        <v>968</v>
      </c>
      <c r="C1399" s="70" t="s">
        <v>17</v>
      </c>
      <c r="D1399" s="210"/>
      <c r="E1399" s="210"/>
      <c r="F1399" s="210"/>
      <c r="G1399" s="210"/>
      <c r="H1399" s="406">
        <f>SUM(Tabla132112416[[#This Row],[PRIMER TRIMESTRE]:[CUARTO TRIMESTRE]])</f>
        <v>0</v>
      </c>
      <c r="I1399" s="72">
        <v>223315</v>
      </c>
      <c r="J1399" s="72">
        <f t="shared" si="35"/>
        <v>0</v>
      </c>
      <c r="K1399" s="72"/>
      <c r="L1399" s="73" t="s">
        <v>18</v>
      </c>
      <c r="M1399" s="73" t="s">
        <v>19</v>
      </c>
      <c r="N1399" s="70" t="s">
        <v>342</v>
      </c>
    </row>
    <row r="1400" spans="1:14" s="169" customFormat="1" ht="30.75" customHeight="1">
      <c r="A1400" s="180" t="s">
        <v>167</v>
      </c>
      <c r="B1400" s="77" t="s">
        <v>969</v>
      </c>
      <c r="C1400" s="70" t="s">
        <v>17</v>
      </c>
      <c r="D1400" s="210"/>
      <c r="E1400" s="210"/>
      <c r="F1400" s="210"/>
      <c r="G1400" s="210"/>
      <c r="H1400" s="406">
        <f>SUM(Tabla132112416[[#This Row],[PRIMER TRIMESTRE]:[CUARTO TRIMESTRE]])</f>
        <v>0</v>
      </c>
      <c r="I1400" s="72">
        <v>73588.34</v>
      </c>
      <c r="J1400" s="72">
        <f t="shared" si="35"/>
        <v>0</v>
      </c>
      <c r="K1400" s="72"/>
      <c r="L1400" s="73" t="s">
        <v>18</v>
      </c>
      <c r="M1400" s="73" t="s">
        <v>19</v>
      </c>
      <c r="N1400" s="70" t="s">
        <v>342</v>
      </c>
    </row>
    <row r="1401" spans="1:14" s="169" customFormat="1" ht="30.75" customHeight="1">
      <c r="A1401" s="180" t="s">
        <v>167</v>
      </c>
      <c r="B1401" s="77" t="s">
        <v>970</v>
      </c>
      <c r="C1401" s="70" t="s">
        <v>17</v>
      </c>
      <c r="D1401" s="210"/>
      <c r="E1401" s="210"/>
      <c r="F1401" s="210"/>
      <c r="G1401" s="210"/>
      <c r="H1401" s="406">
        <f>SUM(Tabla132112416[[#This Row],[PRIMER TRIMESTRE]:[CUARTO TRIMESTRE]])</f>
        <v>0</v>
      </c>
      <c r="I1401" s="72">
        <v>170392</v>
      </c>
      <c r="J1401" s="72">
        <f t="shared" si="35"/>
        <v>0</v>
      </c>
      <c r="K1401" s="72"/>
      <c r="L1401" s="73" t="s">
        <v>18</v>
      </c>
      <c r="M1401" s="73" t="s">
        <v>19</v>
      </c>
      <c r="N1401" s="70" t="s">
        <v>342</v>
      </c>
    </row>
    <row r="1402" spans="1:14" s="169" customFormat="1" ht="30.75" customHeight="1">
      <c r="A1402" s="180" t="s">
        <v>167</v>
      </c>
      <c r="B1402" s="77" t="s">
        <v>971</v>
      </c>
      <c r="C1402" s="70" t="s">
        <v>17</v>
      </c>
      <c r="D1402" s="210"/>
      <c r="E1402" s="210"/>
      <c r="F1402" s="210"/>
      <c r="G1402" s="210"/>
      <c r="H1402" s="406">
        <f>SUM(Tabla132112416[[#This Row],[PRIMER TRIMESTRE]:[CUARTO TRIMESTRE]])</f>
        <v>0</v>
      </c>
      <c r="I1402" s="72">
        <v>274350</v>
      </c>
      <c r="J1402" s="72">
        <f t="shared" si="35"/>
        <v>0</v>
      </c>
      <c r="K1402" s="72"/>
      <c r="L1402" s="73" t="s">
        <v>18</v>
      </c>
      <c r="M1402" s="73" t="s">
        <v>19</v>
      </c>
      <c r="N1402" s="70" t="s">
        <v>342</v>
      </c>
    </row>
    <row r="1403" spans="1:14" s="169" customFormat="1" ht="30.75" customHeight="1">
      <c r="A1403" s="180" t="s">
        <v>167</v>
      </c>
      <c r="B1403" s="77" t="s">
        <v>972</v>
      </c>
      <c r="C1403" s="70" t="s">
        <v>17</v>
      </c>
      <c r="D1403" s="210"/>
      <c r="E1403" s="210"/>
      <c r="F1403" s="210"/>
      <c r="G1403" s="210"/>
      <c r="H1403" s="406">
        <f>SUM(Tabla132112416[[#This Row],[PRIMER TRIMESTRE]:[CUARTO TRIMESTRE]])</f>
        <v>0</v>
      </c>
      <c r="I1403" s="72">
        <v>55460</v>
      </c>
      <c r="J1403" s="72">
        <f t="shared" si="35"/>
        <v>0</v>
      </c>
      <c r="K1403" s="72"/>
      <c r="L1403" s="73" t="s">
        <v>18</v>
      </c>
      <c r="M1403" s="73" t="s">
        <v>19</v>
      </c>
      <c r="N1403" s="70" t="s">
        <v>342</v>
      </c>
    </row>
    <row r="1404" spans="1:14" s="169" customFormat="1" ht="30.75" customHeight="1">
      <c r="A1404" s="180" t="s">
        <v>167</v>
      </c>
      <c r="B1404" s="77" t="s">
        <v>973</v>
      </c>
      <c r="C1404" s="70" t="s">
        <v>17</v>
      </c>
      <c r="D1404" s="210"/>
      <c r="E1404" s="210"/>
      <c r="F1404" s="210"/>
      <c r="G1404" s="210"/>
      <c r="H1404" s="406">
        <f>SUM(Tabla132112416[[#This Row],[PRIMER TRIMESTRE]:[CUARTO TRIMESTRE]])</f>
        <v>0</v>
      </c>
      <c r="I1404" s="72">
        <v>59000</v>
      </c>
      <c r="J1404" s="72">
        <f t="shared" si="35"/>
        <v>0</v>
      </c>
      <c r="K1404" s="72"/>
      <c r="L1404" s="73" t="s">
        <v>18</v>
      </c>
      <c r="M1404" s="73" t="s">
        <v>19</v>
      </c>
      <c r="N1404" s="70" t="s">
        <v>342</v>
      </c>
    </row>
    <row r="1405" spans="1:14" s="169" customFormat="1" ht="30.75" customHeight="1">
      <c r="A1405" s="180" t="s">
        <v>167</v>
      </c>
      <c r="B1405" s="77" t="s">
        <v>974</v>
      </c>
      <c r="C1405" s="70" t="s">
        <v>17</v>
      </c>
      <c r="D1405" s="210"/>
      <c r="E1405" s="210"/>
      <c r="F1405" s="210"/>
      <c r="G1405" s="210"/>
      <c r="H1405" s="406">
        <f>SUM(Tabla132112416[[#This Row],[PRIMER TRIMESTRE]:[CUARTO TRIMESTRE]])</f>
        <v>0</v>
      </c>
      <c r="I1405" s="72">
        <v>17700</v>
      </c>
      <c r="J1405" s="72">
        <f t="shared" si="35"/>
        <v>0</v>
      </c>
      <c r="K1405" s="72"/>
      <c r="L1405" s="73" t="s">
        <v>18</v>
      </c>
      <c r="M1405" s="73" t="s">
        <v>19</v>
      </c>
      <c r="N1405" s="70" t="s">
        <v>342</v>
      </c>
    </row>
    <row r="1406" spans="1:14" s="169" customFormat="1" ht="30.75" customHeight="1">
      <c r="A1406" s="180" t="s">
        <v>167</v>
      </c>
      <c r="B1406" s="77" t="s">
        <v>975</v>
      </c>
      <c r="C1406" s="70" t="s">
        <v>17</v>
      </c>
      <c r="D1406" s="210"/>
      <c r="E1406" s="210"/>
      <c r="F1406" s="210"/>
      <c r="G1406" s="210"/>
      <c r="H1406" s="406">
        <f>SUM(Tabla132112416[[#This Row],[PRIMER TRIMESTRE]:[CUARTO TRIMESTRE]])</f>
        <v>0</v>
      </c>
      <c r="I1406" s="72">
        <v>843572.93759999995</v>
      </c>
      <c r="J1406" s="72">
        <f t="shared" si="35"/>
        <v>0</v>
      </c>
      <c r="K1406" s="72"/>
      <c r="L1406" s="73" t="s">
        <v>18</v>
      </c>
      <c r="M1406" s="73" t="s">
        <v>19</v>
      </c>
      <c r="N1406" s="70" t="s">
        <v>342</v>
      </c>
    </row>
    <row r="1407" spans="1:14" s="169" customFormat="1" ht="30.75" customHeight="1">
      <c r="A1407" s="180" t="s">
        <v>167</v>
      </c>
      <c r="B1407" s="77" t="s">
        <v>976</v>
      </c>
      <c r="C1407" s="70" t="s">
        <v>17</v>
      </c>
      <c r="D1407" s="210"/>
      <c r="E1407" s="210"/>
      <c r="F1407" s="210"/>
      <c r="G1407" s="210"/>
      <c r="H1407" s="406">
        <f>SUM(Tabla132112416[[#This Row],[PRIMER TRIMESTRE]:[CUARTO TRIMESTRE]])</f>
        <v>0</v>
      </c>
      <c r="I1407" s="72">
        <v>46936.765599999999</v>
      </c>
      <c r="J1407" s="72">
        <f t="shared" si="35"/>
        <v>0</v>
      </c>
      <c r="K1407" s="72"/>
      <c r="L1407" s="73" t="s">
        <v>18</v>
      </c>
      <c r="M1407" s="73" t="s">
        <v>19</v>
      </c>
      <c r="N1407" s="70" t="s">
        <v>342</v>
      </c>
    </row>
    <row r="1408" spans="1:14" s="169" customFormat="1" ht="30.75" customHeight="1">
      <c r="A1408" s="180" t="s">
        <v>167</v>
      </c>
      <c r="B1408" s="77" t="s">
        <v>977</v>
      </c>
      <c r="C1408" s="70" t="s">
        <v>17</v>
      </c>
      <c r="D1408" s="210"/>
      <c r="E1408" s="210"/>
      <c r="F1408" s="210"/>
      <c r="G1408" s="210"/>
      <c r="H1408" s="406">
        <f>SUM(Tabla132112416[[#This Row],[PRIMER TRIMESTRE]:[CUARTO TRIMESTRE]])</f>
        <v>0</v>
      </c>
      <c r="I1408" s="72">
        <v>121535.63399999999</v>
      </c>
      <c r="J1408" s="72">
        <f t="shared" si="35"/>
        <v>0</v>
      </c>
      <c r="K1408" s="72"/>
      <c r="L1408" s="73" t="s">
        <v>18</v>
      </c>
      <c r="M1408" s="73" t="s">
        <v>19</v>
      </c>
      <c r="N1408" s="70" t="s">
        <v>342</v>
      </c>
    </row>
    <row r="1409" spans="1:14" s="169" customFormat="1" ht="42.75" customHeight="1">
      <c r="A1409" s="180" t="s">
        <v>167</v>
      </c>
      <c r="B1409" s="77" t="s">
        <v>978</v>
      </c>
      <c r="C1409" s="70" t="s">
        <v>17</v>
      </c>
      <c r="D1409" s="210"/>
      <c r="E1409" s="210"/>
      <c r="F1409" s="210"/>
      <c r="G1409" s="210"/>
      <c r="H1409" s="406">
        <f>SUM(Tabla132112416[[#This Row],[PRIMER TRIMESTRE]:[CUARTO TRIMESTRE]])</f>
        <v>0</v>
      </c>
      <c r="I1409" s="72">
        <v>1558708.1733999997</v>
      </c>
      <c r="J1409" s="72">
        <f t="shared" si="35"/>
        <v>0</v>
      </c>
      <c r="K1409" s="72"/>
      <c r="L1409" s="73" t="s">
        <v>18</v>
      </c>
      <c r="M1409" s="73" t="s">
        <v>19</v>
      </c>
      <c r="N1409" s="70" t="s">
        <v>342</v>
      </c>
    </row>
    <row r="1410" spans="1:14" s="169" customFormat="1" ht="30.75" customHeight="1">
      <c r="A1410" s="180" t="s">
        <v>167</v>
      </c>
      <c r="B1410" s="77" t="s">
        <v>979</v>
      </c>
      <c r="C1410" s="70" t="s">
        <v>17</v>
      </c>
      <c r="D1410" s="210"/>
      <c r="E1410" s="210"/>
      <c r="F1410" s="210"/>
      <c r="G1410" s="210"/>
      <c r="H1410" s="406">
        <f>SUM(Tabla132112416[[#This Row],[PRIMER TRIMESTRE]:[CUARTO TRIMESTRE]])</f>
        <v>0</v>
      </c>
      <c r="I1410" s="72">
        <v>125316</v>
      </c>
      <c r="J1410" s="72">
        <f t="shared" si="35"/>
        <v>0</v>
      </c>
      <c r="K1410" s="72"/>
      <c r="L1410" s="73" t="s">
        <v>18</v>
      </c>
      <c r="M1410" s="73" t="s">
        <v>19</v>
      </c>
      <c r="N1410" s="70" t="s">
        <v>342</v>
      </c>
    </row>
    <row r="1411" spans="1:14" s="169" customFormat="1" ht="30.75" customHeight="1">
      <c r="A1411" s="180" t="s">
        <v>167</v>
      </c>
      <c r="B1411" s="77" t="s">
        <v>980</v>
      </c>
      <c r="C1411" s="70" t="s">
        <v>17</v>
      </c>
      <c r="D1411" s="210"/>
      <c r="E1411" s="210"/>
      <c r="F1411" s="210"/>
      <c r="G1411" s="210"/>
      <c r="H1411" s="406">
        <f>SUM(Tabla132112416[[#This Row],[PRIMER TRIMESTRE]:[CUARTO TRIMESTRE]])</f>
        <v>0</v>
      </c>
      <c r="I1411" s="72">
        <v>953817.59999999998</v>
      </c>
      <c r="J1411" s="72">
        <f t="shared" si="35"/>
        <v>0</v>
      </c>
      <c r="K1411" s="72"/>
      <c r="L1411" s="73" t="s">
        <v>18</v>
      </c>
      <c r="M1411" s="73" t="s">
        <v>19</v>
      </c>
      <c r="N1411" s="70"/>
    </row>
    <row r="1412" spans="1:14" s="169" customFormat="1" ht="30.75" customHeight="1">
      <c r="A1412" s="180" t="s">
        <v>167</v>
      </c>
      <c r="B1412" s="77" t="s">
        <v>981</v>
      </c>
      <c r="C1412" s="70" t="s">
        <v>17</v>
      </c>
      <c r="D1412" s="210"/>
      <c r="E1412" s="210"/>
      <c r="F1412" s="210"/>
      <c r="G1412" s="210"/>
      <c r="H1412" s="406">
        <f>SUM(Tabla132112416[[#This Row],[PRIMER TRIMESTRE]:[CUARTO TRIMESTRE]])</f>
        <v>0</v>
      </c>
      <c r="I1412" s="72">
        <v>443739</v>
      </c>
      <c r="J1412" s="72">
        <f t="shared" si="35"/>
        <v>0</v>
      </c>
      <c r="K1412" s="72"/>
      <c r="L1412" s="73" t="s">
        <v>18</v>
      </c>
      <c r="M1412" s="73" t="s">
        <v>19</v>
      </c>
      <c r="N1412" s="70" t="s">
        <v>342</v>
      </c>
    </row>
    <row r="1413" spans="1:14" s="169" customFormat="1" ht="30.75" customHeight="1">
      <c r="A1413" s="180" t="s">
        <v>167</v>
      </c>
      <c r="B1413" s="77" t="s">
        <v>982</v>
      </c>
      <c r="C1413" s="70" t="s">
        <v>17</v>
      </c>
      <c r="D1413" s="210"/>
      <c r="E1413" s="210"/>
      <c r="F1413" s="210"/>
      <c r="G1413" s="210"/>
      <c r="H1413" s="406">
        <f>SUM(Tabla132112416[[#This Row],[PRIMER TRIMESTRE]:[CUARTO TRIMESTRE]])</f>
        <v>0</v>
      </c>
      <c r="I1413" s="72">
        <v>399194</v>
      </c>
      <c r="J1413" s="72">
        <f t="shared" si="35"/>
        <v>0</v>
      </c>
      <c r="K1413" s="72"/>
      <c r="L1413" s="73" t="s">
        <v>18</v>
      </c>
      <c r="M1413" s="73" t="s">
        <v>19</v>
      </c>
      <c r="N1413" s="70"/>
    </row>
    <row r="1414" spans="1:14" s="169" customFormat="1" ht="30.75" customHeight="1">
      <c r="A1414" s="180" t="s">
        <v>167</v>
      </c>
      <c r="B1414" s="77" t="s">
        <v>983</v>
      </c>
      <c r="C1414" s="70" t="s">
        <v>17</v>
      </c>
      <c r="D1414" s="210"/>
      <c r="E1414" s="210"/>
      <c r="F1414" s="210"/>
      <c r="G1414" s="210"/>
      <c r="H1414" s="406">
        <f>SUM(Tabla132112416[[#This Row],[PRIMER TRIMESTRE]:[CUARTO TRIMESTRE]])</f>
        <v>0</v>
      </c>
      <c r="I1414" s="72">
        <v>5763120</v>
      </c>
      <c r="J1414" s="72">
        <f t="shared" si="35"/>
        <v>0</v>
      </c>
      <c r="K1414" s="72"/>
      <c r="L1414" s="73" t="s">
        <v>18</v>
      </c>
      <c r="M1414" s="73" t="s">
        <v>19</v>
      </c>
      <c r="N1414" s="70"/>
    </row>
    <row r="1415" spans="1:14" s="169" customFormat="1" ht="30.75" customHeight="1">
      <c r="A1415" s="180" t="s">
        <v>167</v>
      </c>
      <c r="B1415" s="77" t="s">
        <v>984</v>
      </c>
      <c r="C1415" s="70" t="s">
        <v>17</v>
      </c>
      <c r="D1415" s="210"/>
      <c r="E1415" s="210"/>
      <c r="F1415" s="210"/>
      <c r="G1415" s="210"/>
      <c r="H1415" s="406">
        <f>SUM(Tabla132112416[[#This Row],[PRIMER TRIMESTRE]:[CUARTO TRIMESTRE]])</f>
        <v>0</v>
      </c>
      <c r="I1415" s="72">
        <v>399194</v>
      </c>
      <c r="J1415" s="72">
        <f t="shared" si="35"/>
        <v>0</v>
      </c>
      <c r="K1415" s="72"/>
      <c r="L1415" s="73" t="s">
        <v>18</v>
      </c>
      <c r="M1415" s="73" t="s">
        <v>19</v>
      </c>
      <c r="N1415" s="70" t="s">
        <v>342</v>
      </c>
    </row>
    <row r="1416" spans="1:14" s="169" customFormat="1" ht="30.75" customHeight="1">
      <c r="A1416" s="180" t="s">
        <v>167</v>
      </c>
      <c r="B1416" s="77" t="s">
        <v>985</v>
      </c>
      <c r="C1416" s="70" t="s">
        <v>17</v>
      </c>
      <c r="D1416" s="210"/>
      <c r="E1416" s="210"/>
      <c r="F1416" s="210"/>
      <c r="G1416" s="210"/>
      <c r="H1416" s="406">
        <f>SUM(Tabla132112416[[#This Row],[PRIMER TRIMESTRE]:[CUARTO TRIMESTRE]])</f>
        <v>0</v>
      </c>
      <c r="I1416" s="72">
        <v>130224.79999999999</v>
      </c>
      <c r="J1416" s="72">
        <f t="shared" si="35"/>
        <v>0</v>
      </c>
      <c r="K1416" s="72"/>
      <c r="L1416" s="73" t="s">
        <v>18</v>
      </c>
      <c r="M1416" s="73" t="s">
        <v>19</v>
      </c>
      <c r="N1416" s="70" t="s">
        <v>342</v>
      </c>
    </row>
    <row r="1417" spans="1:14" s="169" customFormat="1" ht="30.75" customHeight="1">
      <c r="A1417" s="180" t="s">
        <v>167</v>
      </c>
      <c r="B1417" s="77" t="s">
        <v>986</v>
      </c>
      <c r="C1417" s="70" t="s">
        <v>17</v>
      </c>
      <c r="D1417" s="210"/>
      <c r="E1417" s="210"/>
      <c r="F1417" s="210"/>
      <c r="G1417" s="210"/>
      <c r="H1417" s="406">
        <f>SUM(Tabla132112416[[#This Row],[PRIMER TRIMESTRE]:[CUARTO TRIMESTRE]])</f>
        <v>0</v>
      </c>
      <c r="I1417" s="72">
        <v>394438.6</v>
      </c>
      <c r="J1417" s="72">
        <f t="shared" si="35"/>
        <v>0</v>
      </c>
      <c r="K1417" s="72"/>
      <c r="L1417" s="73" t="s">
        <v>18</v>
      </c>
      <c r="M1417" s="73" t="s">
        <v>19</v>
      </c>
      <c r="N1417" s="70"/>
    </row>
    <row r="1418" spans="1:14" s="169" customFormat="1" ht="30.75" customHeight="1">
      <c r="A1418" s="180" t="s">
        <v>167</v>
      </c>
      <c r="B1418" s="77" t="s">
        <v>987</v>
      </c>
      <c r="C1418" s="70" t="s">
        <v>17</v>
      </c>
      <c r="D1418" s="210"/>
      <c r="E1418" s="210"/>
      <c r="F1418" s="210"/>
      <c r="G1418" s="210"/>
      <c r="H1418" s="406">
        <f>SUM(Tabla132112416[[#This Row],[PRIMER TRIMESTRE]:[CUARTO TRIMESTRE]])</f>
        <v>0</v>
      </c>
      <c r="I1418" s="72">
        <v>554027.69999999995</v>
      </c>
      <c r="J1418" s="72">
        <f t="shared" si="35"/>
        <v>0</v>
      </c>
      <c r="K1418" s="72"/>
      <c r="L1418" s="73" t="s">
        <v>18</v>
      </c>
      <c r="M1418" s="73" t="s">
        <v>19</v>
      </c>
      <c r="N1418" s="70"/>
    </row>
    <row r="1419" spans="1:14" s="169" customFormat="1" ht="30.75" customHeight="1">
      <c r="A1419" s="180" t="s">
        <v>167</v>
      </c>
      <c r="B1419" s="77" t="s">
        <v>988</v>
      </c>
      <c r="C1419" s="70" t="s">
        <v>17</v>
      </c>
      <c r="D1419" s="210"/>
      <c r="E1419" s="210"/>
      <c r="F1419" s="210"/>
      <c r="G1419" s="210"/>
      <c r="H1419" s="406">
        <f>SUM(Tabla132112416[[#This Row],[PRIMER TRIMESTRE]:[CUARTO TRIMESTRE]])</f>
        <v>0</v>
      </c>
      <c r="I1419" s="72">
        <v>406250.39999999997</v>
      </c>
      <c r="J1419" s="72">
        <f t="shared" si="35"/>
        <v>0</v>
      </c>
      <c r="K1419" s="72"/>
      <c r="L1419" s="73" t="s">
        <v>18</v>
      </c>
      <c r="M1419" s="73" t="s">
        <v>19</v>
      </c>
      <c r="N1419" s="70" t="s">
        <v>342</v>
      </c>
    </row>
    <row r="1420" spans="1:14" s="169" customFormat="1" ht="30.75" customHeight="1">
      <c r="A1420" s="180" t="s">
        <v>167</v>
      </c>
      <c r="B1420" s="77" t="s">
        <v>989</v>
      </c>
      <c r="C1420" s="70" t="s">
        <v>17</v>
      </c>
      <c r="D1420" s="210"/>
      <c r="E1420" s="210"/>
      <c r="F1420" s="210"/>
      <c r="G1420" s="210"/>
      <c r="H1420" s="406">
        <f>SUM(Tabla132112416[[#This Row],[PRIMER TRIMESTRE]:[CUARTO TRIMESTRE]])</f>
        <v>0</v>
      </c>
      <c r="I1420" s="72">
        <v>71148.099999999991</v>
      </c>
      <c r="J1420" s="72">
        <f t="shared" si="35"/>
        <v>0</v>
      </c>
      <c r="K1420" s="72"/>
      <c r="L1420" s="73" t="s">
        <v>18</v>
      </c>
      <c r="M1420" s="73" t="s">
        <v>19</v>
      </c>
      <c r="N1420" s="70"/>
    </row>
    <row r="1421" spans="1:14" s="169" customFormat="1" ht="53.25" customHeight="1">
      <c r="A1421" s="180" t="s">
        <v>167</v>
      </c>
      <c r="B1421" s="77" t="s">
        <v>990</v>
      </c>
      <c r="C1421" s="70" t="s">
        <v>17</v>
      </c>
      <c r="D1421" s="210"/>
      <c r="E1421" s="210"/>
      <c r="F1421" s="210"/>
      <c r="G1421" s="210"/>
      <c r="H1421" s="406">
        <f>SUM(Tabla132112416[[#This Row],[PRIMER TRIMESTRE]:[CUARTO TRIMESTRE]])</f>
        <v>0</v>
      </c>
      <c r="I1421" s="72">
        <v>283158.7</v>
      </c>
      <c r="J1421" s="72">
        <f t="shared" si="35"/>
        <v>0</v>
      </c>
      <c r="K1421" s="72"/>
      <c r="L1421" s="73" t="s">
        <v>18</v>
      </c>
      <c r="M1421" s="73" t="s">
        <v>19</v>
      </c>
      <c r="N1421" s="70" t="s">
        <v>342</v>
      </c>
    </row>
    <row r="1422" spans="1:14" s="169" customFormat="1" ht="30.75" customHeight="1">
      <c r="A1422" s="180" t="s">
        <v>167</v>
      </c>
      <c r="B1422" s="77" t="s">
        <v>991</v>
      </c>
      <c r="C1422" s="70" t="s">
        <v>17</v>
      </c>
      <c r="D1422" s="210"/>
      <c r="E1422" s="210"/>
      <c r="F1422" s="210"/>
      <c r="G1422" s="210"/>
      <c r="H1422" s="406">
        <f>SUM(Tabla132112416[[#This Row],[PRIMER TRIMESTRE]:[CUARTO TRIMESTRE]])</f>
        <v>0</v>
      </c>
      <c r="I1422" s="72">
        <v>4687668</v>
      </c>
      <c r="J1422" s="72">
        <f t="shared" si="35"/>
        <v>0</v>
      </c>
      <c r="K1422" s="72"/>
      <c r="L1422" s="73" t="s">
        <v>18</v>
      </c>
      <c r="M1422" s="73" t="s">
        <v>19</v>
      </c>
      <c r="N1422" s="70"/>
    </row>
    <row r="1423" spans="1:14" s="169" customFormat="1" ht="30.75" customHeight="1">
      <c r="A1423" s="180" t="s">
        <v>167</v>
      </c>
      <c r="B1423" s="77" t="s">
        <v>992</v>
      </c>
      <c r="C1423" s="70" t="s">
        <v>17</v>
      </c>
      <c r="D1423" s="210"/>
      <c r="E1423" s="210"/>
      <c r="F1423" s="210"/>
      <c r="G1423" s="210"/>
      <c r="H1423" s="406">
        <f>SUM(Tabla132112416[[#This Row],[PRIMER TRIMESTRE]:[CUARTO TRIMESTRE]])</f>
        <v>0</v>
      </c>
      <c r="I1423" s="72">
        <v>140862.5</v>
      </c>
      <c r="J1423" s="72">
        <f t="shared" si="35"/>
        <v>0</v>
      </c>
      <c r="K1423" s="72"/>
      <c r="L1423" s="73" t="s">
        <v>18</v>
      </c>
      <c r="M1423" s="73" t="s">
        <v>19</v>
      </c>
      <c r="N1423" s="70" t="s">
        <v>342</v>
      </c>
    </row>
    <row r="1424" spans="1:14" s="169" customFormat="1" ht="39.75" customHeight="1">
      <c r="A1424" s="180" t="s">
        <v>167</v>
      </c>
      <c r="B1424" s="77" t="s">
        <v>993</v>
      </c>
      <c r="C1424" s="70" t="s">
        <v>17</v>
      </c>
      <c r="D1424" s="210"/>
      <c r="E1424" s="210"/>
      <c r="F1424" s="210"/>
      <c r="G1424" s="210"/>
      <c r="H1424" s="406">
        <f>SUM(Tabla132112416[[#This Row],[PRIMER TRIMESTRE]:[CUARTO TRIMESTRE]])</f>
        <v>0</v>
      </c>
      <c r="I1424" s="72">
        <v>109622</v>
      </c>
      <c r="J1424" s="72">
        <f t="shared" si="35"/>
        <v>0</v>
      </c>
      <c r="K1424" s="72"/>
      <c r="L1424" s="73" t="s">
        <v>18</v>
      </c>
      <c r="M1424" s="73" t="s">
        <v>19</v>
      </c>
      <c r="N1424" s="70" t="s">
        <v>342</v>
      </c>
    </row>
    <row r="1425" spans="1:14" s="169" customFormat="1" ht="30.75" customHeight="1">
      <c r="A1425" s="180" t="s">
        <v>167</v>
      </c>
      <c r="B1425" s="77" t="s">
        <v>994</v>
      </c>
      <c r="C1425" s="70" t="s">
        <v>17</v>
      </c>
      <c r="D1425" s="210"/>
      <c r="E1425" s="210"/>
      <c r="F1425" s="210"/>
      <c r="G1425" s="210"/>
      <c r="H1425" s="406">
        <f>SUM(Tabla132112416[[#This Row],[PRIMER TRIMESTRE]:[CUARTO TRIMESTRE]])</f>
        <v>0</v>
      </c>
      <c r="I1425" s="72">
        <v>567462</v>
      </c>
      <c r="J1425" s="72">
        <f t="shared" si="35"/>
        <v>0</v>
      </c>
      <c r="K1425" s="72"/>
      <c r="L1425" s="73" t="s">
        <v>18</v>
      </c>
      <c r="M1425" s="73" t="s">
        <v>19</v>
      </c>
      <c r="N1425" s="70" t="s">
        <v>342</v>
      </c>
    </row>
    <row r="1426" spans="1:14" s="169" customFormat="1" ht="30.75" customHeight="1">
      <c r="A1426" s="180" t="s">
        <v>167</v>
      </c>
      <c r="B1426" s="77" t="s">
        <v>995</v>
      </c>
      <c r="C1426" s="70" t="s">
        <v>17</v>
      </c>
      <c r="D1426" s="210"/>
      <c r="E1426" s="210"/>
      <c r="F1426" s="210"/>
      <c r="G1426" s="210"/>
      <c r="H1426" s="406">
        <f>SUM(Tabla132112416[[#This Row],[PRIMER TRIMESTRE]:[CUARTO TRIMESTRE]])</f>
        <v>0</v>
      </c>
      <c r="I1426" s="72">
        <v>36580</v>
      </c>
      <c r="J1426" s="72">
        <f t="shared" si="35"/>
        <v>0</v>
      </c>
      <c r="K1426" s="72"/>
      <c r="L1426" s="73" t="s">
        <v>18</v>
      </c>
      <c r="M1426" s="73" t="s">
        <v>19</v>
      </c>
      <c r="N1426" s="70"/>
    </row>
    <row r="1427" spans="1:14" s="169" customFormat="1" ht="30.75" customHeight="1">
      <c r="A1427" s="180" t="s">
        <v>167</v>
      </c>
      <c r="B1427" s="77" t="s">
        <v>996</v>
      </c>
      <c r="C1427" s="70" t="s">
        <v>17</v>
      </c>
      <c r="D1427" s="210"/>
      <c r="E1427" s="210"/>
      <c r="F1427" s="210"/>
      <c r="G1427" s="210"/>
      <c r="H1427" s="406">
        <f>SUM(Tabla132112416[[#This Row],[PRIMER TRIMESTRE]:[CUARTO TRIMESTRE]])</f>
        <v>0</v>
      </c>
      <c r="I1427" s="72">
        <v>160775</v>
      </c>
      <c r="J1427" s="72">
        <f t="shared" si="35"/>
        <v>0</v>
      </c>
      <c r="K1427" s="72"/>
      <c r="L1427" s="73" t="s">
        <v>18</v>
      </c>
      <c r="M1427" s="73" t="s">
        <v>19</v>
      </c>
      <c r="N1427" s="70" t="s">
        <v>342</v>
      </c>
    </row>
    <row r="1428" spans="1:14" s="169" customFormat="1" ht="30.75" customHeight="1">
      <c r="A1428" s="180" t="s">
        <v>167</v>
      </c>
      <c r="B1428" s="77" t="s">
        <v>997</v>
      </c>
      <c r="C1428" s="70" t="s">
        <v>17</v>
      </c>
      <c r="D1428" s="210"/>
      <c r="E1428" s="210"/>
      <c r="F1428" s="210"/>
      <c r="G1428" s="210"/>
      <c r="H1428" s="406">
        <f>SUM(Tabla132112416[[#This Row],[PRIMER TRIMESTRE]:[CUARTO TRIMESTRE]])</f>
        <v>0</v>
      </c>
      <c r="I1428" s="72">
        <v>216608.47</v>
      </c>
      <c r="J1428" s="72">
        <f t="shared" si="35"/>
        <v>0</v>
      </c>
      <c r="K1428" s="72"/>
      <c r="L1428" s="73" t="s">
        <v>18</v>
      </c>
      <c r="M1428" s="73" t="s">
        <v>19</v>
      </c>
      <c r="N1428" s="70" t="s">
        <v>342</v>
      </c>
    </row>
    <row r="1429" spans="1:14" s="169" customFormat="1" ht="30.75" customHeight="1">
      <c r="A1429" s="180" t="s">
        <v>167</v>
      </c>
      <c r="B1429" s="77" t="s">
        <v>998</v>
      </c>
      <c r="C1429" s="70" t="s">
        <v>17</v>
      </c>
      <c r="D1429" s="210"/>
      <c r="E1429" s="210"/>
      <c r="F1429" s="210"/>
      <c r="G1429" s="210"/>
      <c r="H1429" s="406">
        <f>SUM(Tabla132112416[[#This Row],[PRIMER TRIMESTRE]:[CUARTO TRIMESTRE]])</f>
        <v>0</v>
      </c>
      <c r="I1429" s="72">
        <v>294752.2</v>
      </c>
      <c r="J1429" s="72">
        <f t="shared" si="35"/>
        <v>0</v>
      </c>
      <c r="K1429" s="72"/>
      <c r="L1429" s="73" t="s">
        <v>18</v>
      </c>
      <c r="M1429" s="73" t="s">
        <v>19</v>
      </c>
      <c r="N1429" s="70" t="s">
        <v>342</v>
      </c>
    </row>
    <row r="1430" spans="1:14" s="169" customFormat="1" ht="30.75" customHeight="1">
      <c r="A1430" s="180" t="s">
        <v>167</v>
      </c>
      <c r="B1430" s="77" t="s">
        <v>999</v>
      </c>
      <c r="C1430" s="70" t="s">
        <v>17</v>
      </c>
      <c r="D1430" s="210"/>
      <c r="E1430" s="210"/>
      <c r="F1430" s="210"/>
      <c r="G1430" s="210"/>
      <c r="H1430" s="406">
        <f>SUM(Tabla132112416[[#This Row],[PRIMER TRIMESTRE]:[CUARTO TRIMESTRE]])</f>
        <v>0</v>
      </c>
      <c r="I1430" s="72">
        <v>230554.3</v>
      </c>
      <c r="J1430" s="72">
        <f t="shared" si="35"/>
        <v>0</v>
      </c>
      <c r="K1430" s="72"/>
      <c r="L1430" s="73" t="s">
        <v>18</v>
      </c>
      <c r="M1430" s="73" t="s">
        <v>19</v>
      </c>
      <c r="N1430" s="70" t="s">
        <v>342</v>
      </c>
    </row>
    <row r="1431" spans="1:14" s="169" customFormat="1" ht="30.75" customHeight="1">
      <c r="A1431" s="180" t="s">
        <v>167</v>
      </c>
      <c r="B1431" s="77" t="s">
        <v>1000</v>
      </c>
      <c r="C1431" s="70" t="s">
        <v>17</v>
      </c>
      <c r="D1431" s="210"/>
      <c r="E1431" s="210"/>
      <c r="F1431" s="210"/>
      <c r="G1431" s="210"/>
      <c r="H1431" s="406">
        <f>SUM(Tabla132112416[[#This Row],[PRIMER TRIMESTRE]:[CUARTO TRIMESTRE]])</f>
        <v>0</v>
      </c>
      <c r="I1431" s="72">
        <v>494992.3</v>
      </c>
      <c r="J1431" s="72">
        <f t="shared" si="35"/>
        <v>0</v>
      </c>
      <c r="K1431" s="72"/>
      <c r="L1431" s="73" t="s">
        <v>18</v>
      </c>
      <c r="M1431" s="73" t="s">
        <v>19</v>
      </c>
      <c r="N1431" s="70" t="s">
        <v>342</v>
      </c>
    </row>
    <row r="1432" spans="1:14" s="169" customFormat="1" ht="30.75" customHeight="1">
      <c r="A1432" s="180" t="s">
        <v>167</v>
      </c>
      <c r="B1432" s="77" t="s">
        <v>1001</v>
      </c>
      <c r="C1432" s="70" t="s">
        <v>17</v>
      </c>
      <c r="D1432" s="210"/>
      <c r="E1432" s="210"/>
      <c r="F1432" s="210"/>
      <c r="G1432" s="210"/>
      <c r="H1432" s="406">
        <f>SUM(Tabla132112416[[#This Row],[PRIMER TRIMESTRE]:[CUARTO TRIMESTRE]])</f>
        <v>0</v>
      </c>
      <c r="I1432" s="72">
        <v>211166.9</v>
      </c>
      <c r="J1432" s="72">
        <f t="shared" si="35"/>
        <v>0</v>
      </c>
      <c r="K1432" s="72"/>
      <c r="L1432" s="73" t="s">
        <v>18</v>
      </c>
      <c r="M1432" s="73" t="s">
        <v>19</v>
      </c>
      <c r="N1432" s="70" t="s">
        <v>342</v>
      </c>
    </row>
    <row r="1433" spans="1:14" s="169" customFormat="1" ht="30.75" customHeight="1">
      <c r="A1433" s="180" t="s">
        <v>167</v>
      </c>
      <c r="B1433" s="77" t="s">
        <v>1002</v>
      </c>
      <c r="C1433" s="70" t="s">
        <v>17</v>
      </c>
      <c r="D1433" s="210"/>
      <c r="E1433" s="210"/>
      <c r="F1433" s="210"/>
      <c r="G1433" s="210"/>
      <c r="H1433" s="406">
        <f>SUM(Tabla132112416[[#This Row],[PRIMER TRIMESTRE]:[CUARTO TRIMESTRE]])</f>
        <v>0</v>
      </c>
      <c r="I1433" s="72">
        <v>62368.899999999994</v>
      </c>
      <c r="J1433" s="72">
        <f t="shared" si="35"/>
        <v>0</v>
      </c>
      <c r="K1433" s="72"/>
      <c r="L1433" s="73" t="s">
        <v>18</v>
      </c>
      <c r="M1433" s="73" t="s">
        <v>19</v>
      </c>
      <c r="N1433" s="70" t="s">
        <v>342</v>
      </c>
    </row>
    <row r="1434" spans="1:14" s="169" customFormat="1" ht="30.75" customHeight="1">
      <c r="A1434" s="180" t="s">
        <v>167</v>
      </c>
      <c r="B1434" s="77" t="s">
        <v>1003</v>
      </c>
      <c r="C1434" s="70" t="s">
        <v>17</v>
      </c>
      <c r="D1434" s="210"/>
      <c r="E1434" s="210"/>
      <c r="F1434" s="210"/>
      <c r="G1434" s="210"/>
      <c r="H1434" s="406">
        <f>SUM(Tabla132112416[[#This Row],[PRIMER TRIMESTRE]:[CUARTO TRIMESTRE]])</f>
        <v>0</v>
      </c>
      <c r="I1434" s="72">
        <v>105533.29999999999</v>
      </c>
      <c r="J1434" s="72">
        <f t="shared" si="35"/>
        <v>0</v>
      </c>
      <c r="K1434" s="72"/>
      <c r="L1434" s="73" t="s">
        <v>18</v>
      </c>
      <c r="M1434" s="73" t="s">
        <v>19</v>
      </c>
      <c r="N1434" s="70" t="s">
        <v>342</v>
      </c>
    </row>
    <row r="1435" spans="1:14" s="169" customFormat="1" ht="30.75" customHeight="1">
      <c r="A1435" s="180" t="s">
        <v>167</v>
      </c>
      <c r="B1435" s="77" t="s">
        <v>1004</v>
      </c>
      <c r="C1435" s="70" t="s">
        <v>17</v>
      </c>
      <c r="D1435" s="210"/>
      <c r="E1435" s="210"/>
      <c r="F1435" s="210"/>
      <c r="G1435" s="210"/>
      <c r="H1435" s="406">
        <f>SUM(Tabla132112416[[#This Row],[PRIMER TRIMESTRE]:[CUARTO TRIMESTRE]])</f>
        <v>0</v>
      </c>
      <c r="I1435" s="72">
        <v>98618.5</v>
      </c>
      <c r="J1435" s="72">
        <f t="shared" si="35"/>
        <v>0</v>
      </c>
      <c r="K1435" s="72"/>
      <c r="L1435" s="73" t="s">
        <v>18</v>
      </c>
      <c r="M1435" s="73" t="s">
        <v>19</v>
      </c>
      <c r="N1435" s="70"/>
    </row>
    <row r="1436" spans="1:14" s="169" customFormat="1" ht="30.75" customHeight="1">
      <c r="A1436" s="180" t="s">
        <v>167</v>
      </c>
      <c r="B1436" s="77" t="s">
        <v>1005</v>
      </c>
      <c r="C1436" s="70" t="s">
        <v>17</v>
      </c>
      <c r="D1436" s="210"/>
      <c r="E1436" s="210"/>
      <c r="F1436" s="210"/>
      <c r="G1436" s="210"/>
      <c r="H1436" s="406">
        <f>SUM(Tabla132112416[[#This Row],[PRIMER TRIMESTRE]:[CUARTO TRIMESTRE]])</f>
        <v>0</v>
      </c>
      <c r="I1436" s="72">
        <v>135818</v>
      </c>
      <c r="J1436" s="72">
        <f t="shared" si="35"/>
        <v>0</v>
      </c>
      <c r="K1436" s="72"/>
      <c r="L1436" s="73" t="s">
        <v>18</v>
      </c>
      <c r="M1436" s="73" t="s">
        <v>19</v>
      </c>
      <c r="N1436" s="70" t="s">
        <v>342</v>
      </c>
    </row>
    <row r="1437" spans="1:14" s="169" customFormat="1" ht="30.75" customHeight="1">
      <c r="A1437" s="180" t="s">
        <v>167</v>
      </c>
      <c r="B1437" s="77" t="s">
        <v>1006</v>
      </c>
      <c r="C1437" s="70" t="s">
        <v>17</v>
      </c>
      <c r="D1437" s="210"/>
      <c r="E1437" s="210"/>
      <c r="F1437" s="210"/>
      <c r="G1437" s="210"/>
      <c r="H1437" s="406">
        <f>SUM(Tabla132112416[[#This Row],[PRIMER TRIMESTRE]:[CUARTO TRIMESTRE]])</f>
        <v>0</v>
      </c>
      <c r="I1437" s="72">
        <v>114460</v>
      </c>
      <c r="J1437" s="72">
        <f t="shared" si="35"/>
        <v>0</v>
      </c>
      <c r="K1437" s="72"/>
      <c r="L1437" s="73" t="s">
        <v>18</v>
      </c>
      <c r="M1437" s="73" t="s">
        <v>19</v>
      </c>
      <c r="N1437" s="70" t="s">
        <v>342</v>
      </c>
    </row>
    <row r="1438" spans="1:14" s="169" customFormat="1" ht="30.75" customHeight="1">
      <c r="A1438" s="180" t="s">
        <v>167</v>
      </c>
      <c r="B1438" s="77" t="s">
        <v>1007</v>
      </c>
      <c r="C1438" s="70" t="s">
        <v>17</v>
      </c>
      <c r="D1438" s="210"/>
      <c r="E1438" s="210"/>
      <c r="F1438" s="210"/>
      <c r="G1438" s="210"/>
      <c r="H1438" s="406">
        <f>SUM(Tabla132112416[[#This Row],[PRIMER TRIMESTRE]:[CUARTO TRIMESTRE]])</f>
        <v>0</v>
      </c>
      <c r="I1438" s="72">
        <v>164374</v>
      </c>
      <c r="J1438" s="72">
        <f t="shared" si="35"/>
        <v>0</v>
      </c>
      <c r="K1438" s="72"/>
      <c r="L1438" s="73" t="s">
        <v>18</v>
      </c>
      <c r="M1438" s="73" t="s">
        <v>19</v>
      </c>
      <c r="N1438" s="70" t="s">
        <v>342</v>
      </c>
    </row>
    <row r="1439" spans="1:14" s="169" customFormat="1" ht="30.75" customHeight="1">
      <c r="A1439" s="180" t="s">
        <v>167</v>
      </c>
      <c r="B1439" s="77" t="s">
        <v>1008</v>
      </c>
      <c r="C1439" s="70" t="s">
        <v>17</v>
      </c>
      <c r="D1439" s="210"/>
      <c r="E1439" s="210"/>
      <c r="F1439" s="210"/>
      <c r="G1439" s="210"/>
      <c r="H1439" s="406">
        <f>SUM(Tabla132112416[[#This Row],[PRIMER TRIMESTRE]:[CUARTO TRIMESTRE]])</f>
        <v>0</v>
      </c>
      <c r="I1439" s="72">
        <v>24691.5</v>
      </c>
      <c r="J1439" s="72">
        <f t="shared" si="35"/>
        <v>0</v>
      </c>
      <c r="K1439" s="72"/>
      <c r="L1439" s="73" t="s">
        <v>18</v>
      </c>
      <c r="M1439" s="73" t="s">
        <v>19</v>
      </c>
      <c r="N1439" s="70"/>
    </row>
    <row r="1440" spans="1:14" s="169" customFormat="1" ht="30.75" customHeight="1">
      <c r="A1440" s="180" t="s">
        <v>167</v>
      </c>
      <c r="B1440" s="77" t="s">
        <v>1009</v>
      </c>
      <c r="C1440" s="70" t="s">
        <v>17</v>
      </c>
      <c r="D1440" s="210"/>
      <c r="E1440" s="210"/>
      <c r="F1440" s="210"/>
      <c r="G1440" s="210"/>
      <c r="H1440" s="406">
        <f>SUM(Tabla132112416[[#This Row],[PRIMER TRIMESTRE]:[CUARTO TRIMESTRE]])</f>
        <v>0</v>
      </c>
      <c r="I1440" s="72">
        <v>192045</v>
      </c>
      <c r="J1440" s="72">
        <f t="shared" si="35"/>
        <v>0</v>
      </c>
      <c r="K1440" s="72"/>
      <c r="L1440" s="73" t="s">
        <v>18</v>
      </c>
      <c r="M1440" s="73" t="s">
        <v>19</v>
      </c>
      <c r="N1440" s="70" t="s">
        <v>342</v>
      </c>
    </row>
    <row r="1441" spans="1:14" s="169" customFormat="1" ht="30.75" customHeight="1">
      <c r="A1441" s="180" t="s">
        <v>167</v>
      </c>
      <c r="B1441" s="77" t="s">
        <v>1010</v>
      </c>
      <c r="C1441" s="70" t="s">
        <v>17</v>
      </c>
      <c r="D1441" s="210"/>
      <c r="E1441" s="210"/>
      <c r="F1441" s="210"/>
      <c r="G1441" s="210"/>
      <c r="H1441" s="406">
        <f>SUM(Tabla132112416[[#This Row],[PRIMER TRIMESTRE]:[CUARTO TRIMESTRE]])</f>
        <v>0</v>
      </c>
      <c r="I1441" s="72">
        <v>164374</v>
      </c>
      <c r="J1441" s="72">
        <f t="shared" si="35"/>
        <v>0</v>
      </c>
      <c r="K1441" s="72"/>
      <c r="L1441" s="73" t="s">
        <v>18</v>
      </c>
      <c r="M1441" s="73" t="s">
        <v>19</v>
      </c>
      <c r="N1441" s="70" t="s">
        <v>342</v>
      </c>
    </row>
    <row r="1442" spans="1:14" s="169" customFormat="1" ht="30.75" customHeight="1">
      <c r="A1442" s="180" t="s">
        <v>167</v>
      </c>
      <c r="B1442" s="77" t="s">
        <v>1011</v>
      </c>
      <c r="C1442" s="70" t="s">
        <v>17</v>
      </c>
      <c r="D1442" s="210"/>
      <c r="E1442" s="210"/>
      <c r="F1442" s="210"/>
      <c r="G1442" s="210"/>
      <c r="H1442" s="406">
        <f>SUM(Tabla132112416[[#This Row],[PRIMER TRIMESTRE]:[CUARTO TRIMESTRE]])</f>
        <v>0</v>
      </c>
      <c r="I1442" s="72">
        <v>35145.119999999995</v>
      </c>
      <c r="J1442" s="72">
        <f t="shared" si="35"/>
        <v>0</v>
      </c>
      <c r="K1442" s="72"/>
      <c r="L1442" s="73" t="s">
        <v>18</v>
      </c>
      <c r="M1442" s="73" t="s">
        <v>19</v>
      </c>
      <c r="N1442" s="70"/>
    </row>
    <row r="1443" spans="1:14" s="169" customFormat="1" ht="30.75" customHeight="1">
      <c r="A1443" s="180" t="s">
        <v>167</v>
      </c>
      <c r="B1443" s="77" t="s">
        <v>1012</v>
      </c>
      <c r="C1443" s="70" t="s">
        <v>17</v>
      </c>
      <c r="D1443" s="210"/>
      <c r="E1443" s="210"/>
      <c r="F1443" s="210"/>
      <c r="G1443" s="210"/>
      <c r="H1443" s="406">
        <f>SUM(Tabla132112416[[#This Row],[PRIMER TRIMESTRE]:[CUARTO TRIMESTRE]])</f>
        <v>0</v>
      </c>
      <c r="I1443" s="72">
        <v>926960.79999999993</v>
      </c>
      <c r="J1443" s="72">
        <f t="shared" si="35"/>
        <v>0</v>
      </c>
      <c r="K1443" s="72"/>
      <c r="L1443" s="73" t="s">
        <v>18</v>
      </c>
      <c r="M1443" s="73" t="s">
        <v>19</v>
      </c>
      <c r="N1443" s="70" t="s">
        <v>342</v>
      </c>
    </row>
    <row r="1444" spans="1:14" s="169" customFormat="1" ht="30.75" customHeight="1">
      <c r="A1444" s="180" t="s">
        <v>167</v>
      </c>
      <c r="B1444" s="77" t="s">
        <v>1013</v>
      </c>
      <c r="C1444" s="70" t="s">
        <v>17</v>
      </c>
      <c r="D1444" s="210"/>
      <c r="E1444" s="210"/>
      <c r="F1444" s="210"/>
      <c r="G1444" s="210"/>
      <c r="H1444" s="406">
        <f>SUM(Tabla132112416[[#This Row],[PRIMER TRIMESTRE]:[CUARTO TRIMESTRE]])</f>
        <v>0</v>
      </c>
      <c r="I1444" s="72">
        <v>266798</v>
      </c>
      <c r="J1444" s="72">
        <f t="shared" si="35"/>
        <v>0</v>
      </c>
      <c r="K1444" s="72"/>
      <c r="L1444" s="73" t="s">
        <v>18</v>
      </c>
      <c r="M1444" s="73" t="s">
        <v>19</v>
      </c>
      <c r="N1444" s="70" t="s">
        <v>342</v>
      </c>
    </row>
    <row r="1445" spans="1:14" s="169" customFormat="1" ht="30.75" customHeight="1">
      <c r="A1445" s="180" t="s">
        <v>167</v>
      </c>
      <c r="B1445" s="77" t="s">
        <v>1014</v>
      </c>
      <c r="C1445" s="70" t="s">
        <v>17</v>
      </c>
      <c r="D1445" s="210"/>
      <c r="E1445" s="210"/>
      <c r="F1445" s="210"/>
      <c r="G1445" s="210"/>
      <c r="H1445" s="406">
        <f>SUM(Tabla132112416[[#This Row],[PRIMER TRIMESTRE]:[CUARTO TRIMESTRE]])</f>
        <v>0</v>
      </c>
      <c r="I1445" s="72">
        <v>77555.5</v>
      </c>
      <c r="J1445" s="72">
        <f t="shared" si="35"/>
        <v>0</v>
      </c>
      <c r="K1445" s="72"/>
      <c r="L1445" s="73" t="s">
        <v>18</v>
      </c>
      <c r="M1445" s="73" t="s">
        <v>19</v>
      </c>
      <c r="N1445" s="70"/>
    </row>
    <row r="1446" spans="1:14" s="169" customFormat="1" ht="30.75" customHeight="1">
      <c r="A1446" s="180" t="s">
        <v>167</v>
      </c>
      <c r="B1446" s="77" t="s">
        <v>1015</v>
      </c>
      <c r="C1446" s="70" t="s">
        <v>17</v>
      </c>
      <c r="D1446" s="210"/>
      <c r="E1446" s="210"/>
      <c r="F1446" s="210"/>
      <c r="G1446" s="210"/>
      <c r="H1446" s="406">
        <f>SUM(Tabla132112416[[#This Row],[PRIMER TRIMESTRE]:[CUARTO TRIMESTRE]])</f>
        <v>0</v>
      </c>
      <c r="I1446" s="72">
        <v>100595</v>
      </c>
      <c r="J1446" s="72">
        <f t="shared" si="35"/>
        <v>0</v>
      </c>
      <c r="K1446" s="72"/>
      <c r="L1446" s="73" t="s">
        <v>18</v>
      </c>
      <c r="M1446" s="73" t="s">
        <v>19</v>
      </c>
      <c r="N1446" s="70" t="s">
        <v>342</v>
      </c>
    </row>
    <row r="1447" spans="1:14" s="169" customFormat="1" ht="38.25" customHeight="1">
      <c r="A1447" s="180" t="s">
        <v>167</v>
      </c>
      <c r="B1447" s="77" t="s">
        <v>1016</v>
      </c>
      <c r="C1447" s="70" t="s">
        <v>17</v>
      </c>
      <c r="D1447" s="210"/>
      <c r="E1447" s="210"/>
      <c r="F1447" s="210"/>
      <c r="G1447" s="210"/>
      <c r="H1447" s="406">
        <f>SUM(Tabla132112416[[#This Row],[PRIMER TRIMESTRE]:[CUARTO TRIMESTRE]])</f>
        <v>0</v>
      </c>
      <c r="I1447" s="72">
        <v>106173.45</v>
      </c>
      <c r="J1447" s="72">
        <f t="shared" si="35"/>
        <v>0</v>
      </c>
      <c r="K1447" s="72"/>
      <c r="L1447" s="73" t="s">
        <v>18</v>
      </c>
      <c r="M1447" s="73" t="s">
        <v>19</v>
      </c>
      <c r="N1447" s="70" t="s">
        <v>342</v>
      </c>
    </row>
    <row r="1448" spans="1:14" s="169" customFormat="1" ht="39.75" customHeight="1">
      <c r="A1448" s="180" t="s">
        <v>167</v>
      </c>
      <c r="B1448" s="77" t="s">
        <v>1017</v>
      </c>
      <c r="C1448" s="70" t="s">
        <v>17</v>
      </c>
      <c r="D1448" s="210"/>
      <c r="E1448" s="210"/>
      <c r="F1448" s="210"/>
      <c r="G1448" s="210"/>
      <c r="H1448" s="406">
        <f>SUM(Tabla132112416[[#This Row],[PRIMER TRIMESTRE]:[CUARTO TRIMESTRE]])</f>
        <v>0</v>
      </c>
      <c r="I1448" s="72">
        <v>111156</v>
      </c>
      <c r="J1448" s="72">
        <f t="shared" si="35"/>
        <v>0</v>
      </c>
      <c r="K1448" s="72"/>
      <c r="L1448" s="73" t="s">
        <v>18</v>
      </c>
      <c r="M1448" s="73" t="s">
        <v>19</v>
      </c>
      <c r="N1448" s="70" t="s">
        <v>342</v>
      </c>
    </row>
    <row r="1449" spans="1:14" s="169" customFormat="1" ht="30.75" customHeight="1">
      <c r="A1449" s="180" t="s">
        <v>167</v>
      </c>
      <c r="B1449" s="77" t="s">
        <v>1018</v>
      </c>
      <c r="C1449" s="70" t="s">
        <v>17</v>
      </c>
      <c r="D1449" s="210"/>
      <c r="E1449" s="210"/>
      <c r="F1449" s="210"/>
      <c r="G1449" s="210"/>
      <c r="H1449" s="406">
        <f>SUM(Tabla132112416[[#This Row],[PRIMER TRIMESTRE]:[CUARTO TRIMESTRE]])</f>
        <v>0</v>
      </c>
      <c r="I1449" s="72">
        <v>62186</v>
      </c>
      <c r="J1449" s="72">
        <f t="shared" si="35"/>
        <v>0</v>
      </c>
      <c r="K1449" s="72"/>
      <c r="L1449" s="73" t="s">
        <v>18</v>
      </c>
      <c r="M1449" s="73" t="s">
        <v>19</v>
      </c>
      <c r="N1449" s="70" t="s">
        <v>342</v>
      </c>
    </row>
    <row r="1450" spans="1:14" s="169" customFormat="1" ht="44.25" customHeight="1">
      <c r="A1450" s="180" t="s">
        <v>167</v>
      </c>
      <c r="B1450" s="77" t="s">
        <v>1019</v>
      </c>
      <c r="C1450" s="70" t="s">
        <v>17</v>
      </c>
      <c r="D1450" s="210"/>
      <c r="E1450" s="210"/>
      <c r="F1450" s="210"/>
      <c r="G1450" s="210"/>
      <c r="H1450" s="406">
        <f>SUM(Tabla132112416[[#This Row],[PRIMER TRIMESTRE]:[CUARTO TRIMESTRE]])</f>
        <v>0</v>
      </c>
      <c r="I1450" s="72">
        <v>306800</v>
      </c>
      <c r="J1450" s="72">
        <f t="shared" si="35"/>
        <v>0</v>
      </c>
      <c r="K1450" s="72"/>
      <c r="L1450" s="73" t="s">
        <v>18</v>
      </c>
      <c r="M1450" s="73" t="s">
        <v>19</v>
      </c>
      <c r="N1450" s="70" t="s">
        <v>342</v>
      </c>
    </row>
    <row r="1451" spans="1:14" s="169" customFormat="1" ht="30.75" customHeight="1">
      <c r="A1451" s="180" t="s">
        <v>167</v>
      </c>
      <c r="B1451" s="77" t="s">
        <v>1020</v>
      </c>
      <c r="C1451" s="70" t="s">
        <v>17</v>
      </c>
      <c r="D1451" s="210"/>
      <c r="E1451" s="210"/>
      <c r="F1451" s="210"/>
      <c r="G1451" s="210"/>
      <c r="H1451" s="406">
        <f>SUM(Tabla132112416[[#This Row],[PRIMER TRIMESTRE]:[CUARTO TRIMESTRE]])</f>
        <v>0</v>
      </c>
      <c r="I1451" s="72">
        <v>31093</v>
      </c>
      <c r="J1451" s="72">
        <f t="shared" si="35"/>
        <v>0</v>
      </c>
      <c r="K1451" s="72"/>
      <c r="L1451" s="73" t="s">
        <v>18</v>
      </c>
      <c r="M1451" s="73" t="s">
        <v>19</v>
      </c>
      <c r="N1451" s="70" t="s">
        <v>342</v>
      </c>
    </row>
    <row r="1452" spans="1:14" s="169" customFormat="1" ht="52.5" customHeight="1">
      <c r="A1452" s="180" t="s">
        <v>167</v>
      </c>
      <c r="B1452" s="77" t="s">
        <v>1021</v>
      </c>
      <c r="C1452" s="70" t="s">
        <v>17</v>
      </c>
      <c r="D1452" s="210"/>
      <c r="E1452" s="210"/>
      <c r="F1452" s="210"/>
      <c r="G1452" s="210"/>
      <c r="H1452" s="406">
        <f>SUM(Tabla132112416[[#This Row],[PRIMER TRIMESTRE]:[CUARTO TRIMESTRE]])</f>
        <v>0</v>
      </c>
      <c r="I1452" s="72">
        <v>329220</v>
      </c>
      <c r="J1452" s="72">
        <f t="shared" si="35"/>
        <v>0</v>
      </c>
      <c r="K1452" s="72"/>
      <c r="L1452" s="73" t="s">
        <v>18</v>
      </c>
      <c r="M1452" s="73" t="s">
        <v>19</v>
      </c>
      <c r="N1452" s="70" t="s">
        <v>342</v>
      </c>
    </row>
    <row r="1453" spans="1:14" s="169" customFormat="1" ht="90" customHeight="1">
      <c r="A1453" s="180" t="s">
        <v>167</v>
      </c>
      <c r="B1453" s="77" t="s">
        <v>1700</v>
      </c>
      <c r="C1453" s="70" t="s">
        <v>17</v>
      </c>
      <c r="D1453" s="210"/>
      <c r="E1453" s="210"/>
      <c r="F1453" s="210"/>
      <c r="G1453" s="210"/>
      <c r="H1453" s="406">
        <v>0</v>
      </c>
      <c r="I1453" s="72">
        <v>0</v>
      </c>
      <c r="J1453" s="72">
        <v>0</v>
      </c>
      <c r="K1453" s="72"/>
      <c r="L1453" s="73" t="s">
        <v>18</v>
      </c>
      <c r="M1453" s="73" t="s">
        <v>19</v>
      </c>
      <c r="N1453" s="70" t="s">
        <v>342</v>
      </c>
    </row>
    <row r="1454" spans="1:14" s="169" customFormat="1" ht="103.5" customHeight="1">
      <c r="A1454" s="180" t="s">
        <v>167</v>
      </c>
      <c r="B1454" s="77" t="s">
        <v>1762</v>
      </c>
      <c r="C1454" s="70" t="s">
        <v>17</v>
      </c>
      <c r="D1454" s="210"/>
      <c r="E1454" s="210"/>
      <c r="F1454" s="210"/>
      <c r="G1454" s="210"/>
      <c r="H1454" s="406">
        <v>0</v>
      </c>
      <c r="I1454" s="72">
        <v>0</v>
      </c>
      <c r="J1454" s="72">
        <v>0</v>
      </c>
      <c r="K1454" s="72"/>
      <c r="L1454" s="73" t="s">
        <v>18</v>
      </c>
      <c r="M1454" s="73" t="s">
        <v>19</v>
      </c>
      <c r="N1454" s="70"/>
    </row>
    <row r="1455" spans="1:14" s="169" customFormat="1" ht="103.5" customHeight="1">
      <c r="A1455" s="180" t="s">
        <v>167</v>
      </c>
      <c r="B1455" s="77" t="s">
        <v>1022</v>
      </c>
      <c r="C1455" s="70" t="s">
        <v>17</v>
      </c>
      <c r="D1455" s="210"/>
      <c r="E1455" s="210"/>
      <c r="F1455" s="210"/>
      <c r="G1455" s="210"/>
      <c r="H1455" s="406">
        <f>SUM(Tabla132112416[[#This Row],[PRIMER TRIMESTRE]:[CUARTO TRIMESTRE]])</f>
        <v>0</v>
      </c>
      <c r="I1455" s="72">
        <v>235000</v>
      </c>
      <c r="J1455" s="72">
        <f t="shared" si="35"/>
        <v>0</v>
      </c>
      <c r="K1455" s="72"/>
      <c r="L1455" s="73" t="s">
        <v>18</v>
      </c>
      <c r="M1455" s="73" t="s">
        <v>19</v>
      </c>
      <c r="N1455" s="70"/>
    </row>
    <row r="1456" spans="1:14" s="169" customFormat="1" ht="71.25" customHeight="1">
      <c r="A1456" s="180" t="s">
        <v>167</v>
      </c>
      <c r="B1456" s="77" t="s">
        <v>1023</v>
      </c>
      <c r="C1456" s="70" t="s">
        <v>17</v>
      </c>
      <c r="D1456" s="210"/>
      <c r="E1456" s="210"/>
      <c r="F1456" s="210"/>
      <c r="G1456" s="210"/>
      <c r="H1456" s="406">
        <f>SUM(Tabla132112416[[#This Row],[PRIMER TRIMESTRE]:[CUARTO TRIMESTRE]])</f>
        <v>0</v>
      </c>
      <c r="I1456" s="72">
        <v>803877.81</v>
      </c>
      <c r="J1456" s="72">
        <f t="shared" si="35"/>
        <v>0</v>
      </c>
      <c r="K1456" s="72"/>
      <c r="L1456" s="73" t="s">
        <v>18</v>
      </c>
      <c r="M1456" s="73" t="s">
        <v>19</v>
      </c>
      <c r="N1456" s="70" t="s">
        <v>342</v>
      </c>
    </row>
    <row r="1457" spans="1:14" s="169" customFormat="1" ht="31.5">
      <c r="A1457" s="180" t="s">
        <v>167</v>
      </c>
      <c r="B1457" s="77" t="s">
        <v>1418</v>
      </c>
      <c r="C1457" s="70" t="s">
        <v>17</v>
      </c>
      <c r="D1457" s="210"/>
      <c r="E1457" s="210"/>
      <c r="F1457" s="210"/>
      <c r="G1457" s="210"/>
      <c r="H1457" s="406">
        <v>0</v>
      </c>
      <c r="I1457" s="72">
        <v>265000</v>
      </c>
      <c r="J1457" s="72">
        <f t="shared" si="35"/>
        <v>0</v>
      </c>
      <c r="K1457" s="72"/>
      <c r="L1457" s="73" t="s">
        <v>18</v>
      </c>
      <c r="M1457" s="73" t="s">
        <v>19</v>
      </c>
      <c r="N1457" s="70" t="s">
        <v>342</v>
      </c>
    </row>
    <row r="1458" spans="1:14" s="55" customFormat="1" ht="30.75" customHeight="1">
      <c r="A1458" s="179" t="s">
        <v>167</v>
      </c>
      <c r="B1458" s="76" t="s">
        <v>891</v>
      </c>
      <c r="C1458" s="42"/>
      <c r="D1458" s="237"/>
      <c r="E1458" s="237"/>
      <c r="F1458" s="237"/>
      <c r="G1458" s="237"/>
      <c r="H1458" s="43"/>
      <c r="I1458" s="24"/>
      <c r="J1458" s="24"/>
      <c r="K1458" s="25">
        <f>SUM(J1395:J1457)</f>
        <v>0</v>
      </c>
      <c r="L1458" s="23"/>
      <c r="M1458" s="23"/>
      <c r="N1458" s="42"/>
    </row>
    <row r="1459" spans="1:14" s="55" customFormat="1" ht="30.75" customHeight="1">
      <c r="A1459" s="178" t="s">
        <v>573</v>
      </c>
      <c r="B1459" s="75" t="s">
        <v>574</v>
      </c>
      <c r="C1459" s="39" t="s">
        <v>17</v>
      </c>
      <c r="D1459" s="410"/>
      <c r="E1459" s="410"/>
      <c r="F1459" s="410"/>
      <c r="G1459" s="241">
        <v>200</v>
      </c>
      <c r="H1459" s="512" t="s">
        <v>2624</v>
      </c>
      <c r="I1459" s="52">
        <v>500</v>
      </c>
      <c r="J1459" s="52">
        <f>+Tabla132112416[[#This Row],[CANTIDAD TOTAL]]*Tabla132112416[[#This Row],[PRECIO UNITARIO ESTIMADO]]</f>
        <v>100000</v>
      </c>
      <c r="K1459" s="50"/>
      <c r="L1459" s="411" t="s">
        <v>18</v>
      </c>
      <c r="M1459" s="411" t="s">
        <v>22</v>
      </c>
      <c r="N1459" s="53"/>
    </row>
    <row r="1460" spans="1:14" s="55" customFormat="1" ht="18">
      <c r="A1460" s="178" t="s">
        <v>573</v>
      </c>
      <c r="B1460" s="75" t="s">
        <v>575</v>
      </c>
      <c r="C1460" s="39" t="s">
        <v>17</v>
      </c>
      <c r="D1460" s="410"/>
      <c r="E1460" s="410"/>
      <c r="F1460" s="410"/>
      <c r="G1460" s="241">
        <v>100</v>
      </c>
      <c r="H1460" s="512" t="s">
        <v>2625</v>
      </c>
      <c r="I1460" s="52">
        <v>1000</v>
      </c>
      <c r="J1460" s="52">
        <f>+Tabla132112416[[#This Row],[CANTIDAD TOTAL]]*Tabla132112416[[#This Row],[PRECIO UNITARIO ESTIMADO]]</f>
        <v>100000</v>
      </c>
      <c r="K1460" s="50"/>
      <c r="L1460" s="411" t="s">
        <v>18</v>
      </c>
      <c r="M1460" s="411" t="s">
        <v>22</v>
      </c>
      <c r="N1460" s="53"/>
    </row>
    <row r="1461" spans="1:14" s="12" customFormat="1" ht="18">
      <c r="A1461" s="178" t="s">
        <v>573</v>
      </c>
      <c r="B1461" s="75" t="s">
        <v>576</v>
      </c>
      <c r="C1461" s="39" t="s">
        <v>17</v>
      </c>
      <c r="D1461" s="410"/>
      <c r="E1461" s="410"/>
      <c r="F1461" s="410"/>
      <c r="G1461" s="241">
        <v>50</v>
      </c>
      <c r="H1461" s="512" t="s">
        <v>2626</v>
      </c>
      <c r="I1461" s="52">
        <v>2000</v>
      </c>
      <c r="J1461" s="52">
        <f>+Tabla132112416[[#This Row],[CANTIDAD TOTAL]]*Tabla132112416[[#This Row],[PRECIO UNITARIO ESTIMADO]]</f>
        <v>100000</v>
      </c>
      <c r="K1461" s="50"/>
      <c r="L1461" s="16" t="s">
        <v>18</v>
      </c>
      <c r="M1461" s="411" t="s">
        <v>22</v>
      </c>
      <c r="N1461" s="53"/>
    </row>
    <row r="1462" spans="1:14" s="12" customFormat="1" ht="18">
      <c r="A1462" s="178" t="s">
        <v>573</v>
      </c>
      <c r="B1462" s="75" t="s">
        <v>1331</v>
      </c>
      <c r="C1462" s="39" t="s">
        <v>17</v>
      </c>
      <c r="D1462" s="236"/>
      <c r="E1462" s="236"/>
      <c r="F1462" s="236"/>
      <c r="G1462" s="236"/>
      <c r="H1462" s="513">
        <f>SUM(Tabla132112416[[#This Row],[PRIMER TRIMESTRE]:[CUARTO TRIMESTRE]])</f>
        <v>0</v>
      </c>
      <c r="I1462" s="17">
        <v>40000</v>
      </c>
      <c r="J1462" s="17">
        <f t="shared" ref="J1462:J1471" si="36">+H1462*I1462</f>
        <v>0</v>
      </c>
      <c r="K1462" s="17"/>
      <c r="L1462" s="411" t="s">
        <v>18</v>
      </c>
      <c r="M1462" s="411" t="s">
        <v>22</v>
      </c>
      <c r="N1462" s="39"/>
    </row>
    <row r="1463" spans="1:14" s="12" customFormat="1" ht="18">
      <c r="A1463" s="178" t="s">
        <v>573</v>
      </c>
      <c r="B1463" s="75" t="s">
        <v>1751</v>
      </c>
      <c r="C1463" s="39" t="s">
        <v>17</v>
      </c>
      <c r="D1463" s="236"/>
      <c r="E1463" s="236"/>
      <c r="F1463" s="236"/>
      <c r="G1463" s="236"/>
      <c r="H1463" s="40">
        <v>0</v>
      </c>
      <c r="I1463" s="17"/>
      <c r="J1463" s="17"/>
      <c r="K1463" s="17"/>
      <c r="L1463" s="411" t="s">
        <v>18</v>
      </c>
      <c r="M1463" s="411" t="s">
        <v>22</v>
      </c>
      <c r="N1463" s="39"/>
    </row>
    <row r="1464" spans="1:14" s="12" customFormat="1" ht="18">
      <c r="A1464" s="178" t="s">
        <v>573</v>
      </c>
      <c r="B1464" s="75" t="s">
        <v>1747</v>
      </c>
      <c r="C1464" s="39" t="s">
        <v>17</v>
      </c>
      <c r="D1464" s="236"/>
      <c r="E1464" s="236"/>
      <c r="F1464" s="236"/>
      <c r="G1464" s="236"/>
      <c r="H1464" s="40">
        <v>0</v>
      </c>
      <c r="I1464" s="17"/>
      <c r="J1464" s="17"/>
      <c r="K1464" s="17"/>
      <c r="L1464" s="411" t="s">
        <v>18</v>
      </c>
      <c r="M1464" s="411" t="s">
        <v>22</v>
      </c>
      <c r="N1464" s="39"/>
    </row>
    <row r="1465" spans="1:14" s="12" customFormat="1" ht="18">
      <c r="A1465" s="178" t="s">
        <v>573</v>
      </c>
      <c r="B1465" s="75" t="s">
        <v>1332</v>
      </c>
      <c r="C1465" s="39" t="s">
        <v>17</v>
      </c>
      <c r="D1465" s="236"/>
      <c r="E1465" s="236"/>
      <c r="F1465" s="236"/>
      <c r="G1465" s="236"/>
      <c r="H1465" s="514">
        <f>SUM(Tabla132112416[[#This Row],[PRIMER TRIMESTRE]:[CUARTO TRIMESTRE]])</f>
        <v>0</v>
      </c>
      <c r="I1465" s="17">
        <v>30000</v>
      </c>
      <c r="J1465" s="17">
        <f t="shared" si="36"/>
        <v>0</v>
      </c>
      <c r="K1465" s="17"/>
      <c r="L1465" s="411" t="s">
        <v>18</v>
      </c>
      <c r="M1465" s="411" t="s">
        <v>22</v>
      </c>
      <c r="N1465" s="39"/>
    </row>
    <row r="1466" spans="1:14" s="12" customFormat="1" ht="18">
      <c r="A1466" s="178" t="s">
        <v>573</v>
      </c>
      <c r="B1466" s="75" t="s">
        <v>1749</v>
      </c>
      <c r="C1466" s="39" t="s">
        <v>17</v>
      </c>
      <c r="D1466" s="236"/>
      <c r="E1466" s="236"/>
      <c r="F1466" s="236"/>
      <c r="G1466" s="236"/>
      <c r="H1466" s="515">
        <f>Tabla132112416[[#This Row],[CUARTO TRIMESTRE]]+Tabla132112416[[#This Row],[TERCER TRIMESTRE]]+Tabla132112416[[#This Row],[SEGUNDO TRIMESTRE]]+Tabla132112416[[#This Row],[PRIMER TRIMESTRE]]</f>
        <v>0</v>
      </c>
      <c r="I1466" s="17">
        <v>75000</v>
      </c>
      <c r="J1466" s="17">
        <f>Tabla132112416[[#This Row],[PRECIO UNITARIO ESTIMADO]]*Tabla132112416[[#This Row],[CANTIDAD TOTAL]]</f>
        <v>0</v>
      </c>
      <c r="K1466" s="17"/>
      <c r="L1466" s="16" t="s">
        <v>18</v>
      </c>
      <c r="M1466" s="16" t="s">
        <v>22</v>
      </c>
      <c r="N1466" s="39"/>
    </row>
    <row r="1467" spans="1:14" s="12" customFormat="1" ht="18">
      <c r="A1467" s="178" t="s">
        <v>573</v>
      </c>
      <c r="B1467" s="75" t="s">
        <v>1333</v>
      </c>
      <c r="C1467" s="39" t="s">
        <v>17</v>
      </c>
      <c r="D1467" s="236"/>
      <c r="E1467" s="236"/>
      <c r="F1467" s="236"/>
      <c r="G1467" s="236"/>
      <c r="H1467" s="514">
        <f>SUM(Tabla132112416[[#This Row],[PRIMER TRIMESTRE]:[CUARTO TRIMESTRE]])</f>
        <v>0</v>
      </c>
      <c r="I1467" s="17">
        <v>1500000</v>
      </c>
      <c r="J1467" s="17">
        <f>+H1467*I1467</f>
        <v>0</v>
      </c>
      <c r="K1467" s="17"/>
      <c r="L1467" s="16" t="s">
        <v>18</v>
      </c>
      <c r="M1467" s="411" t="s">
        <v>22</v>
      </c>
      <c r="N1467" s="39"/>
    </row>
    <row r="1468" spans="1:14" s="12" customFormat="1" ht="18">
      <c r="A1468" s="178" t="s">
        <v>573</v>
      </c>
      <c r="B1468" s="75" t="s">
        <v>1750</v>
      </c>
      <c r="C1468" s="39" t="s">
        <v>17</v>
      </c>
      <c r="D1468" s="236"/>
      <c r="E1468" s="236"/>
      <c r="F1468" s="236"/>
      <c r="G1468" s="236"/>
      <c r="H1468" s="515">
        <v>0</v>
      </c>
      <c r="I1468" s="17"/>
      <c r="J1468" s="17">
        <f>Tabla132112416[[#This Row],[PRECIO UNITARIO ESTIMADO]]*Tabla132112416[[#This Row],[CANTIDAD TOTAL]]</f>
        <v>0</v>
      </c>
      <c r="K1468" s="17"/>
      <c r="L1468" s="16" t="s">
        <v>18</v>
      </c>
      <c r="M1468" s="411" t="s">
        <v>22</v>
      </c>
      <c r="N1468" s="39"/>
    </row>
    <row r="1469" spans="1:14" s="12" customFormat="1" ht="18">
      <c r="A1469" s="178" t="s">
        <v>573</v>
      </c>
      <c r="B1469" s="75" t="s">
        <v>1464</v>
      </c>
      <c r="C1469" s="39" t="s">
        <v>17</v>
      </c>
      <c r="D1469" s="236"/>
      <c r="E1469" s="236"/>
      <c r="F1469" s="236"/>
      <c r="G1469" s="236"/>
      <c r="H1469" s="514">
        <f>SUM(Tabla132112416[[#This Row],[PRIMER TRIMESTRE]:[CUARTO TRIMESTRE]])</f>
        <v>0</v>
      </c>
      <c r="I1469" s="17">
        <v>87000</v>
      </c>
      <c r="J1469" s="17">
        <f t="shared" si="36"/>
        <v>0</v>
      </c>
      <c r="K1469" s="17"/>
      <c r="L1469" s="16" t="s">
        <v>18</v>
      </c>
      <c r="M1469" s="411" t="s">
        <v>22</v>
      </c>
      <c r="N1469" s="39"/>
    </row>
    <row r="1470" spans="1:14" s="12" customFormat="1" ht="18">
      <c r="A1470" s="178" t="s">
        <v>573</v>
      </c>
      <c r="B1470" s="75" t="s">
        <v>1465</v>
      </c>
      <c r="C1470" s="39" t="s">
        <v>17</v>
      </c>
      <c r="D1470" s="236">
        <v>36</v>
      </c>
      <c r="E1470" s="236"/>
      <c r="F1470" s="236"/>
      <c r="G1470" s="236"/>
      <c r="H1470" s="514">
        <v>36</v>
      </c>
      <c r="I1470" s="17">
        <v>15</v>
      </c>
      <c r="J1470" s="17">
        <f t="shared" si="36"/>
        <v>540</v>
      </c>
      <c r="K1470" s="17"/>
      <c r="L1470" s="16" t="s">
        <v>18</v>
      </c>
      <c r="M1470" s="411" t="s">
        <v>22</v>
      </c>
      <c r="N1470" s="39"/>
    </row>
    <row r="1471" spans="1:14" s="64" customFormat="1" ht="18">
      <c r="A1471" s="178" t="s">
        <v>573</v>
      </c>
      <c r="B1471" s="75" t="s">
        <v>1419</v>
      </c>
      <c r="C1471" s="39" t="s">
        <v>17</v>
      </c>
      <c r="D1471" s="236"/>
      <c r="E1471" s="236"/>
      <c r="F1471" s="236"/>
      <c r="G1471" s="236"/>
      <c r="H1471" s="514">
        <f>SUM(Tabla132112416[[#This Row],[PRIMER TRIMESTRE]:[CUARTO TRIMESTRE]])</f>
        <v>0</v>
      </c>
      <c r="I1471" s="17">
        <v>6000000</v>
      </c>
      <c r="J1471" s="17">
        <f t="shared" si="36"/>
        <v>0</v>
      </c>
      <c r="K1471" s="17"/>
      <c r="L1471" s="16" t="s">
        <v>18</v>
      </c>
      <c r="M1471" s="411" t="s">
        <v>22</v>
      </c>
      <c r="N1471" s="39"/>
    </row>
    <row r="1472" spans="1:14" s="34" customFormat="1" ht="24" thickBot="1">
      <c r="A1472" s="181" t="s">
        <v>573</v>
      </c>
      <c r="B1472" s="76"/>
      <c r="C1472" s="62"/>
      <c r="D1472" s="418"/>
      <c r="E1472" s="418"/>
      <c r="F1472" s="418"/>
      <c r="G1472" s="418"/>
      <c r="H1472" s="59"/>
      <c r="I1472" s="288"/>
      <c r="J1472" s="419"/>
      <c r="K1472" s="25">
        <f>+SUM($J$1459:$J$1471)</f>
        <v>300540</v>
      </c>
      <c r="L1472" s="61"/>
      <c r="M1472" s="61"/>
      <c r="N1472" s="62"/>
    </row>
    <row r="1473" spans="1:14" ht="30.75" customHeight="1" thickBot="1">
      <c r="A1473" s="182"/>
      <c r="B1473" s="83" t="s">
        <v>1912</v>
      </c>
      <c r="C1473" s="47"/>
      <c r="D1473" s="242"/>
      <c r="E1473" s="242"/>
      <c r="F1473" s="242"/>
      <c r="G1473" s="242"/>
      <c r="H1473" s="48"/>
      <c r="I1473" s="35"/>
      <c r="J1473" s="183">
        <f>SUM(J13:J1472)</f>
        <v>11070304.195362711</v>
      </c>
      <c r="K1473" s="183">
        <f>SUM(K13:K1472)</f>
        <v>3551338.1953627095</v>
      </c>
      <c r="L1473" s="34"/>
      <c r="M1473" s="34"/>
      <c r="N1473" s="47"/>
    </row>
    <row r="1476" spans="1:14" ht="30.75" customHeight="1">
      <c r="K1476" s="250"/>
    </row>
    <row r="1477" spans="1:14" ht="18"/>
    <row r="1480" spans="1:14" ht="30.75" customHeight="1">
      <c r="C1480" s="400"/>
      <c r="D1480" s="400"/>
      <c r="E1480" s="400"/>
      <c r="F1480" s="400"/>
      <c r="G1480" s="400"/>
      <c r="H1480" s="400"/>
      <c r="N1480" s="400"/>
    </row>
    <row r="1481" spans="1:14" ht="18">
      <c r="C1481" s="400"/>
      <c r="D1481" s="400"/>
      <c r="E1481" s="400"/>
      <c r="F1481" s="400"/>
      <c r="G1481" s="400"/>
      <c r="H1481" s="400"/>
      <c r="N1481" s="400"/>
    </row>
    <row r="1482" spans="1:14" ht="18">
      <c r="C1482" s="400"/>
      <c r="D1482" s="400"/>
      <c r="E1482" s="400"/>
      <c r="F1482" s="400"/>
      <c r="G1482" s="400"/>
      <c r="H1482" s="400"/>
      <c r="N1482" s="400"/>
    </row>
    <row r="1483" spans="1:14" ht="18">
      <c r="C1483" s="400"/>
      <c r="D1483" s="400"/>
      <c r="E1483" s="400"/>
      <c r="F1483" s="400"/>
      <c r="G1483" s="400"/>
      <c r="H1483" s="400"/>
      <c r="N1483" s="400"/>
    </row>
    <row r="1484" spans="1:14" ht="18">
      <c r="C1484" s="400"/>
      <c r="D1484" s="400"/>
      <c r="E1484" s="400"/>
      <c r="F1484" s="400"/>
      <c r="G1484" s="400"/>
      <c r="H1484" s="400"/>
      <c r="N1484" s="400"/>
    </row>
    <row r="1485" spans="1:14" ht="18">
      <c r="C1485" s="400"/>
      <c r="D1485" s="400"/>
      <c r="E1485" s="400"/>
      <c r="F1485" s="400"/>
      <c r="G1485" s="400"/>
      <c r="H1485" s="400"/>
      <c r="N1485" s="400"/>
    </row>
    <row r="1486" spans="1:14" ht="18">
      <c r="C1486" s="400"/>
      <c r="D1486" s="400"/>
      <c r="E1486" s="400"/>
      <c r="F1486" s="400"/>
      <c r="G1486" s="400"/>
      <c r="H1486" s="400"/>
      <c r="N1486" s="400"/>
    </row>
    <row r="1487" spans="1:14" ht="18">
      <c r="C1487" s="400"/>
      <c r="D1487" s="400"/>
      <c r="E1487" s="400"/>
      <c r="F1487" s="400"/>
      <c r="G1487" s="400"/>
      <c r="H1487" s="400"/>
      <c r="N1487" s="400"/>
    </row>
    <row r="1488" spans="1:14" ht="18">
      <c r="C1488" s="400"/>
      <c r="D1488" s="400"/>
      <c r="E1488" s="400"/>
      <c r="F1488" s="400"/>
      <c r="G1488" s="400"/>
      <c r="H1488" s="400"/>
      <c r="N1488" s="400"/>
    </row>
    <row r="1489" ht="18"/>
    <row r="1490" ht="18"/>
  </sheetData>
  <mergeCells count="4">
    <mergeCell ref="A3:A5"/>
    <mergeCell ref="A6:N6"/>
    <mergeCell ref="A7:B7"/>
    <mergeCell ref="D9:G9"/>
  </mergeCells>
  <dataValidations count="12">
    <dataValidation allowBlank="1" showInputMessage="1" showErrorMessage="1" promptTitle="PACC" prompt="Digite la cantidad requerida en este período._x000a_" sqref="F674:G677 D1462:G1471 F815:G822 E704:E762 E408:F408 F775:G777 F662:G672 F831:G831 D125:G127 E130:G140 D204:G204 E150:G150 D1278:E1278 D1306:G1309 D415:E415 F1104:G1104 E836:E872 D629:G629 D634:G634 F836:G844 E102:G102 F876:F917 F874:G874 D833:G835 D202:E203 E703:G703 E630:G633 F223:G225 D873:G873 E874:E907 E218:F222 F720:G731 F145:G149 E1459:G1461 E352:G354 D15:F15 D1101:E1105 E538:G559 F350:G351 E1277 E689:G691 D1136:G1142 E14:F14 D151:E160 E1280:G1281 F236:G242 E830:E832 D1154:E1154 F141:G141 E764:E777 D1081:D1095 D1497:E1497 G1490:G1491 E1490:E1496 F1492:G1497 D1269:E1276 H1432 H1419 F1490 E786:E828 F1114:G1117 E662:E688 D1114:E1116 D409:D414 D1152:E1152 E763:G763 F1265:F1277 E1474:G1489 F489:F537 F1416:G1421 D1109:E1110 D1055:G1058 D1419:E1421 F176:G189 E161:F175 F560:F590 F606:G628 F409:F414 D1498:G1507 F205:F217 D1473:G1473 F1094 F846:G872 F1101:F1103 D36:G43 G1022:G1035 F1108:G1112 F355:F402 H1252 D475:D478 D1098:D1100 D876:D879 D177:D196 E243:F331 D881:D890 F403:G403 F464:F483 F1059:G1080 F419:G458 F1036:G1054 D1298:E1298 F1279:G1279 D22:G22 E1085:E1100 E348:E349 E1267:E1268 E479:E484 E1416:E1418 E783 E1117:E1135 E1111:E1113 E1041:E1054 E1106:E1108 E332:E334 E692:E702 E355:E374 E1036 E1039 E1060:E1081 D829:G829 D1282:G1297 D1299:G1301 E416:G417 E419:E474 E395:E404 D1422:G1458 E1472:G1472 D1388:G1415 E105:G122 D1474:D1491 D197:G201 E635:G660 E226:G235 E564:E628 E176:E196 E1155:G1163 E1153:G1153 E1143:G1147 D1148:G1149 E1302:G1305 E1150:G1151 E96:G99 E142:G144 F684:G686 G673 G678:G683 G832 G687:G688 G1298 G845 G1105:G1107 G13:G15 G348:G349 G479:G484 G560:G605 G764:G774 G459:G474 G732:G762 G205:G222 G704:G719 G830 G692:G702 G823:G828 G151:G160 G404:G415 G783 G1113 G1118:G1135 G1152 G1154 G190:G196 G202:G203 G382 G243:G334 G395:G398 G1081:G1103 G786:G814 G875:G1012 D908:E1012 D1022:E1035 D1013:G1021 D17:G20 F1165:G1168 D1259 E1165:E1263 D1264:E1266 D1374:G1374 G1169:G1278 E1375:G1387 F1169:F1263 E1310:G1373"/>
    <dataValidation allowBlank="1" showInputMessage="1" showErrorMessage="1" promptTitle="PACC" prompt="La cantidad total resultará de la suma de las cantidades requeridas en cada trimestre. " sqref="G383:G394 I622:I628 F459:F463 H1420:H1431 I582:I590 I606:I620 G399:G402 G355:G381 H1433:H1507 H13:H43 H45:H1251 H1253:H1418"/>
    <dataValidation allowBlank="1" showInputMessage="1" showErrorMessage="1" promptTitle="PACC" prompt="Este valor se calculará automáticamente, resultado de la multiplicación de la cantidad total por el precio unitario estimado." sqref="J409:J414 J284:J300 J177:J178 J415:K415 I1412:I1414 K22:K23 J831:K831 J630:K634 J202:K235 J720:K722 J1503:K1507 J832:J835 J355:J400 J401:K408 J243:K283 J236:J242 I1415:J1415 I1491:K1491 J1492:J1497 I1498:J1500 J1150 J1136:J1147 J1148:K1149 J1113:K1135 J1151:K1152 J1154:K1154 J1153 J125:J127 J723:J830 J1501:J1502 J1056:J1066 J1155:J1252 K57:K59 K582:K590 K606:K628 J429:K458 J1109:J1112 J179:K196 J60:K124 J197:J201 J1395:K1411 J128:K176 K27:K35 J416:J428 J1067:K1108 J1473:J1490 J301:K354 J1416:J1469 J1471 K641:K671 J635:J719 J1376:J1394 J459:J629 J836:K1055 J13:K21 I1293:I1294 J22:J43 J45:J59 K45:K46 J1360:J1371 J1253:K1310 J1372:K1375 J1311:J1354"/>
    <dataValidation allowBlank="1" showInputMessage="1" showErrorMessage="1" promptTitle="PACC" prompt="Digite el precio unitario estimado._x000a_" sqref="I1490 I1497 I1416:I1432 I1501:I1507 I591:I605 I1472:J1472 I1395:I1411 I1459:I1461 I202:I581 I13:I35 I45:I196 I629:I1292 I1295:I1387"/>
    <dataValidation allowBlank="1" showInputMessage="1" showErrorMessage="1" promptTitle="PACC" prompt="Digite la fuente de financiamiento del procedimiento de referencia." sqref="N1413:N1414 N1498:N1500 M1501:M1507 M1416:M1497 N606:N628 M587:M605 N588 N586 M13:M585 M632:M1411"/>
    <dataValidation allowBlank="1" showInputMessage="1" showErrorMessage="1" promptTitle="PACC" prompt="Este valor se calculará sumando los costos totales que posean el mismo Código de Catálogo de Bienes y Servicios." sqref="K24:K26 J1412:J1414 K409:K414 K284:K300 K177:K178 K629:L629 K47:K56 K832:K835 K635:K640 L703 K355:K400 K459:K581 K236:K242 K1150 K1492:K1497 I1492:I1496 K1136:K1147 K1153 K125:K127 K1501:K1502 L586 K591:K605 K1109:K1112 K1056:K1066 K197:K201 I197:I201 K1376:K1394 I36:I43 I1388:I1394 I1433:I1458 K416:K428 K672:K719 K1155:K1252 J1470 L675:L683 I1473:I1489 K723:K830 L606:L628 K36:K43 L604 I1462:I1471 K1416:K1490 K1360:K1371 K1311:K1354"/>
    <dataValidation allowBlank="1" showInputMessage="1" showErrorMessage="1" promptTitle="PACC" prompt="Digite las observaciones que considere." sqref="N1501:N1507 N589:N605 N587 N13:N43 N1415:N1497 N45:N585 N629:N1412"/>
    <dataValidation allowBlank="1" showInputMessage="1" showErrorMessage="1" promptTitle="PACC" prompt="Digite la unidad de medida._x000a__x000a_" sqref="E560:E563 C587:C605 C13:C562 C1360:C1507 C629:C1354"/>
    <dataValidation allowBlank="1" showInputMessage="1" showErrorMessage="1" promptTitle="PACC" prompt="Digite la descripción de la compra o contratación." sqref="B1490:B1507 B1472 B1395:B1432 B1459:B1461 B13:B35 A78 B44:B196 B202:B1387"/>
    <dataValidation type="list" allowBlank="1" showInputMessage="1" showErrorMessage="1" promptTitle="PACC" prompt="Seleccione el Código de Bienes y Servicios._x000a_" sqref="A60:A77 C1355:C1359 J1355:K1359 A1498:A1507 A13:A46 A79:A1490">
      <formula1>#REF!</formula1>
    </dataValidation>
    <dataValidation type="list" allowBlank="1" showInputMessage="1" showErrorMessage="1" promptTitle="PACC" prompt="Seleccione el procedimiento de selección." sqref="K1412:K1415 K1498:K1500 L684:L702 L605 L1501:L1507 L630:L674 L587:L603 L13:L43 M606:M631 M586 L45:L585 L704:L1497">
      <formula1>#REF!</formula1>
    </dataValidation>
    <dataValidation type="list" allowBlank="1" showInputMessage="1" showErrorMessage="1" promptTitle="PACC" prompt="Seleccione el Código de Bienes y Servicios._x000a_" sqref="A47:A59">
      <formula1>#REF!</formula1>
    </dataValidation>
  </dataValidations>
  <pageMargins left="0.7" right="0.7" top="0.75" bottom="0.75" header="0.3" footer="0.3"/>
  <pageSetup orientation="landscape" r:id="rId1"/>
  <drawing r:id="rId2"/>
  <legacyDrawing r:id="rId3"/>
  <tableParts count="1">
    <tablePart r:id="rId4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0099"/>
    <pageSetUpPr fitToPage="1"/>
  </sheetPr>
  <dimension ref="A1:V794"/>
  <sheetViews>
    <sheetView view="pageBreakPreview" topLeftCell="H767" zoomScale="70" zoomScaleNormal="80" zoomScaleSheetLayoutView="70" workbookViewId="0">
      <selection activeCell="J774" sqref="J774"/>
    </sheetView>
  </sheetViews>
  <sheetFormatPr baseColWidth="10" defaultColWidth="11.42578125" defaultRowHeight="18"/>
  <cols>
    <col min="1" max="1" width="38.42578125" style="400" customWidth="1"/>
    <col min="2" max="2" width="48.42578125" style="400" customWidth="1"/>
    <col min="3" max="3" width="13.28515625" style="37" customWidth="1"/>
    <col min="4" max="4" width="17.7109375" style="37" customWidth="1"/>
    <col min="5" max="5" width="17.28515625" style="37" customWidth="1"/>
    <col min="6" max="7" width="18.140625" style="37" bestFit="1" customWidth="1"/>
    <col min="8" max="8" width="17.7109375" style="37" bestFit="1" customWidth="1"/>
    <col min="9" max="9" width="19.7109375" style="400" customWidth="1"/>
    <col min="10" max="10" width="20.7109375" style="400" customWidth="1"/>
    <col min="11" max="11" width="32.42578125" style="400" customWidth="1"/>
    <col min="12" max="12" width="30.85546875" style="400" customWidth="1"/>
    <col min="13" max="13" width="25.85546875" style="400" customWidth="1"/>
    <col min="14" max="14" width="12.5703125" style="37" customWidth="1"/>
    <col min="15" max="15" width="17.140625" style="400" customWidth="1"/>
    <col min="16" max="16" width="21.42578125" style="400" customWidth="1"/>
    <col min="17" max="17" width="64.5703125" style="400" hidden="1" customWidth="1"/>
    <col min="18" max="18" width="20.85546875" style="400" customWidth="1"/>
    <col min="19" max="19" width="0" style="400" hidden="1" customWidth="1"/>
    <col min="20" max="20" width="52.28515625" style="400" hidden="1" customWidth="1"/>
    <col min="21" max="21" width="17.7109375" style="400" customWidth="1"/>
    <col min="22" max="16384" width="11.42578125" style="400"/>
  </cols>
  <sheetData>
    <row r="1" spans="1:20" ht="18.75" thickBot="1"/>
    <row r="2" spans="1:20">
      <c r="A2" s="7" t="s">
        <v>0</v>
      </c>
      <c r="N2" s="8">
        <f ca="1">TODAY()</f>
        <v>43686</v>
      </c>
    </row>
    <row r="3" spans="1:20">
      <c r="A3" s="554"/>
      <c r="N3" s="9"/>
    </row>
    <row r="4" spans="1:20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20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20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20" s="172" customFormat="1" ht="15.75">
      <c r="A7" s="556" t="s">
        <v>1841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20" ht="18.75" thickBot="1"/>
    <row r="9" spans="1:20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20" s="14" customFormat="1" ht="54">
      <c r="A10" s="2" t="s">
        <v>3</v>
      </c>
      <c r="B10" s="3" t="s">
        <v>4</v>
      </c>
      <c r="C10" s="3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3" t="s">
        <v>10</v>
      </c>
      <c r="I10" s="3" t="s">
        <v>11</v>
      </c>
      <c r="J10" s="3" t="s">
        <v>12</v>
      </c>
      <c r="K10" s="3" t="s">
        <v>442</v>
      </c>
      <c r="L10" s="3" t="s">
        <v>13</v>
      </c>
      <c r="M10" s="3" t="s">
        <v>14</v>
      </c>
      <c r="N10" s="3" t="s">
        <v>305</v>
      </c>
      <c r="O10" s="5"/>
      <c r="P10" s="5"/>
      <c r="Q10" s="5"/>
      <c r="R10" s="5"/>
    </row>
    <row r="11" spans="1:20" s="12" customFormat="1" ht="31.5">
      <c r="A11" s="15" t="s">
        <v>16</v>
      </c>
      <c r="B11" s="75" t="s">
        <v>427</v>
      </c>
      <c r="C11" s="39" t="s">
        <v>17</v>
      </c>
      <c r="D11" s="39">
        <v>0</v>
      </c>
      <c r="E11" s="39">
        <v>0</v>
      </c>
      <c r="F11" s="39">
        <v>0</v>
      </c>
      <c r="G11" s="39">
        <v>0</v>
      </c>
      <c r="H11" s="46">
        <f>SUM(Tabla1325[[#This Row],[PRIMER TRIMESTRE]:[CUARTO TRIMESTRE]])</f>
        <v>0</v>
      </c>
      <c r="I11" s="17">
        <v>4568.04</v>
      </c>
      <c r="J11" s="17">
        <f>+Tabla1325[[#This Row],[CANTIDAD TOTAL]]*Tabla1325[[#This Row],[PRECIO UNITARIO ESTIMADO]]</f>
        <v>0</v>
      </c>
      <c r="K11" s="21"/>
      <c r="L11" s="16" t="s">
        <v>27</v>
      </c>
      <c r="M11" s="16" t="s">
        <v>19</v>
      </c>
      <c r="N11" s="39"/>
      <c r="Q11" s="19"/>
      <c r="T11" s="16"/>
    </row>
    <row r="12" spans="1:20" s="12" customFormat="1" ht="31.5">
      <c r="A12" s="15" t="s">
        <v>16</v>
      </c>
      <c r="B12" s="75" t="s">
        <v>426</v>
      </c>
      <c r="C12" s="39" t="s">
        <v>17</v>
      </c>
      <c r="D12" s="39">
        <v>0</v>
      </c>
      <c r="E12" s="39">
        <v>0</v>
      </c>
      <c r="F12" s="39">
        <v>0</v>
      </c>
      <c r="G12" s="39">
        <v>0</v>
      </c>
      <c r="H12" s="46">
        <f>SUM(Tabla1325[[#This Row],[PRIMER TRIMESTRE]:[CUARTO TRIMESTRE]])</f>
        <v>0</v>
      </c>
      <c r="I12" s="17">
        <v>33696</v>
      </c>
      <c r="J12" s="17">
        <f>+Tabla1325[[#This Row],[CANTIDAD TOTAL]]*Tabla1325[[#This Row],[PRECIO UNITARIO ESTIMADO]]</f>
        <v>0</v>
      </c>
      <c r="K12" s="17"/>
      <c r="L12" s="16" t="s">
        <v>18</v>
      </c>
      <c r="M12" s="16" t="s">
        <v>19</v>
      </c>
      <c r="N12" s="39"/>
      <c r="Q12" s="19" t="s">
        <v>20</v>
      </c>
      <c r="T12" s="16" t="s">
        <v>21</v>
      </c>
    </row>
    <row r="13" spans="1:20" s="12" customFormat="1" ht="31.5">
      <c r="A13" s="15" t="s">
        <v>16</v>
      </c>
      <c r="B13" s="75" t="s">
        <v>24</v>
      </c>
      <c r="C13" s="39" t="s">
        <v>25</v>
      </c>
      <c r="D13" s="39">
        <v>0</v>
      </c>
      <c r="E13" s="39">
        <v>0</v>
      </c>
      <c r="F13" s="39">
        <v>0</v>
      </c>
      <c r="G13" s="39">
        <v>0</v>
      </c>
      <c r="H13" s="46">
        <f>SUM(Tabla1325[[#This Row],[PRIMER TRIMESTRE]:[CUARTO TRIMESTRE]])</f>
        <v>0</v>
      </c>
      <c r="I13" s="17">
        <v>3628</v>
      </c>
      <c r="J13" s="17">
        <f>+Tabla1325[[#This Row],[CANTIDAD TOTAL]]*Tabla1325[[#This Row],[PRECIO UNITARIO ESTIMADO]]</f>
        <v>0</v>
      </c>
      <c r="K13" s="17"/>
      <c r="L13" s="16" t="s">
        <v>18</v>
      </c>
      <c r="M13" s="16" t="s">
        <v>19</v>
      </c>
      <c r="N13" s="39"/>
      <c r="Q13" s="12" t="s">
        <v>26</v>
      </c>
      <c r="T13" s="12" t="s">
        <v>27</v>
      </c>
    </row>
    <row r="14" spans="1:20" s="12" customFormat="1" ht="31.5">
      <c r="A14" s="15" t="s">
        <v>16</v>
      </c>
      <c r="B14" s="75" t="s">
        <v>769</v>
      </c>
      <c r="C14" s="39" t="s">
        <v>23</v>
      </c>
      <c r="D14" s="39">
        <v>0</v>
      </c>
      <c r="E14" s="39">
        <v>0</v>
      </c>
      <c r="F14" s="39">
        <v>0</v>
      </c>
      <c r="G14" s="39">
        <v>0</v>
      </c>
      <c r="H14" s="46">
        <f>SUM(Tabla1325[[#This Row],[PRIMER TRIMESTRE]:[CUARTO TRIMESTRE]])</f>
        <v>0</v>
      </c>
      <c r="I14" s="17">
        <v>28440</v>
      </c>
      <c r="J14" s="17">
        <f>+Tabla1325[[#This Row],[CANTIDAD TOTAL]]*Tabla1325[[#This Row],[PRECIO UNITARIO ESTIMADO]]</f>
        <v>0</v>
      </c>
      <c r="K14" s="17"/>
      <c r="L14" s="16" t="s">
        <v>15</v>
      </c>
      <c r="M14" s="16" t="s">
        <v>19</v>
      </c>
      <c r="N14" s="39" t="s">
        <v>342</v>
      </c>
      <c r="Q14" s="19" t="s">
        <v>28</v>
      </c>
      <c r="T14" s="16" t="s">
        <v>15</v>
      </c>
    </row>
    <row r="15" spans="1:20" s="12" customFormat="1" ht="31.5">
      <c r="A15" s="15" t="s">
        <v>16</v>
      </c>
      <c r="B15" s="75" t="s">
        <v>29</v>
      </c>
      <c r="C15" s="39" t="s">
        <v>30</v>
      </c>
      <c r="D15" s="39">
        <v>0</v>
      </c>
      <c r="E15" s="39">
        <v>0</v>
      </c>
      <c r="F15" s="39">
        <v>0</v>
      </c>
      <c r="G15" s="39">
        <v>0</v>
      </c>
      <c r="H15" s="46">
        <f>SUM(Tabla1325[[#This Row],[PRIMER TRIMESTRE]:[CUARTO TRIMESTRE]])</f>
        <v>0</v>
      </c>
      <c r="I15" s="17">
        <v>862.27</v>
      </c>
      <c r="J15" s="17">
        <f>+Tabla1325[[#This Row],[CANTIDAD TOTAL]]*Tabla1325[[#This Row],[PRECIO UNITARIO ESTIMADO]]</f>
        <v>0</v>
      </c>
      <c r="K15" s="17"/>
      <c r="L15" s="16" t="s">
        <v>18</v>
      </c>
      <c r="M15" s="16" t="s">
        <v>19</v>
      </c>
      <c r="N15" s="39"/>
      <c r="Q15" s="19" t="s">
        <v>31</v>
      </c>
      <c r="T15" s="16" t="s">
        <v>32</v>
      </c>
    </row>
    <row r="16" spans="1:20" s="26" customFormat="1">
      <c r="A16" s="22" t="s">
        <v>16</v>
      </c>
      <c r="B16" s="76" t="s">
        <v>443</v>
      </c>
      <c r="C16" s="42"/>
      <c r="D16" s="39">
        <v>0</v>
      </c>
      <c r="E16" s="39">
        <v>0</v>
      </c>
      <c r="F16" s="39">
        <v>0</v>
      </c>
      <c r="G16" s="39">
        <v>0</v>
      </c>
      <c r="H16" s="43">
        <f>SUM(Tabla1325[[#This Row],[PRIMER TRIMESTRE]:[CUARTO TRIMESTRE]])</f>
        <v>0</v>
      </c>
      <c r="I16" s="24"/>
      <c r="J16" s="24"/>
      <c r="K16" s="25">
        <f>SUM(J11:J15)</f>
        <v>0</v>
      </c>
      <c r="L16" s="23"/>
      <c r="M16" s="23"/>
      <c r="N16" s="42"/>
      <c r="Q16" s="27"/>
      <c r="T16" s="23"/>
    </row>
    <row r="17" spans="1:22" s="169" customFormat="1" ht="31.5">
      <c r="A17" s="407" t="s">
        <v>34</v>
      </c>
      <c r="B17" s="77" t="s">
        <v>717</v>
      </c>
      <c r="C17" s="70" t="s">
        <v>35</v>
      </c>
      <c r="D17" s="39">
        <v>0</v>
      </c>
      <c r="E17" s="39">
        <v>0</v>
      </c>
      <c r="F17" s="39">
        <v>0</v>
      </c>
      <c r="G17" s="39">
        <v>0</v>
      </c>
      <c r="H17" s="406">
        <f>SUM(Tabla1325[[#This Row],[PRIMER TRIMESTRE]:[CUARTO TRIMESTRE]])</f>
        <v>0</v>
      </c>
      <c r="I17" s="72">
        <v>31896.55</v>
      </c>
      <c r="J17" s="72">
        <f>+Tabla1325[[#This Row],[CANTIDAD TOTAL]]*Tabla1325[[#This Row],[PRECIO UNITARIO ESTIMADO]]</f>
        <v>0</v>
      </c>
      <c r="K17" s="72"/>
      <c r="L17" s="73" t="s">
        <v>15</v>
      </c>
      <c r="M17" s="73" t="s">
        <v>22</v>
      </c>
      <c r="N17" s="70" t="s">
        <v>418</v>
      </c>
      <c r="Q17" s="19" t="s">
        <v>37</v>
      </c>
      <c r="T17" s="73"/>
    </row>
    <row r="18" spans="1:22" s="169" customFormat="1" ht="31.5">
      <c r="A18" s="407" t="s">
        <v>34</v>
      </c>
      <c r="B18" s="77" t="s">
        <v>714</v>
      </c>
      <c r="C18" s="70" t="s">
        <v>35</v>
      </c>
      <c r="D18" s="39">
        <v>0</v>
      </c>
      <c r="E18" s="39">
        <v>0</v>
      </c>
      <c r="F18" s="39">
        <v>0</v>
      </c>
      <c r="G18" s="39">
        <v>0</v>
      </c>
      <c r="H18" s="406">
        <f>SUM(Tabla1325[[#This Row],[PRIMER TRIMESTRE]:[CUARTO TRIMESTRE]])</f>
        <v>0</v>
      </c>
      <c r="I18" s="72">
        <v>28017.24</v>
      </c>
      <c r="J18" s="72">
        <f>+H18*I18</f>
        <v>0</v>
      </c>
      <c r="K18" s="171"/>
      <c r="L18" s="73" t="s">
        <v>15</v>
      </c>
      <c r="M18" s="73" t="s">
        <v>22</v>
      </c>
      <c r="N18" s="70" t="s">
        <v>418</v>
      </c>
      <c r="Q18" s="19" t="s">
        <v>36</v>
      </c>
      <c r="T18" s="73"/>
    </row>
    <row r="19" spans="1:22" s="169" customFormat="1" ht="31.5">
      <c r="A19" s="407" t="s">
        <v>34</v>
      </c>
      <c r="B19" s="77" t="s">
        <v>715</v>
      </c>
      <c r="C19" s="70" t="s">
        <v>35</v>
      </c>
      <c r="D19" s="39">
        <v>0</v>
      </c>
      <c r="E19" s="39">
        <v>0</v>
      </c>
      <c r="F19" s="39">
        <v>0</v>
      </c>
      <c r="G19" s="39">
        <v>0</v>
      </c>
      <c r="H19" s="406">
        <f>SUM(Tabla1325[[#This Row],[PRIMER TRIMESTRE]:[CUARTO TRIMESTRE]])</f>
        <v>0</v>
      </c>
      <c r="I19" s="72">
        <v>23612</v>
      </c>
      <c r="J19" s="72">
        <f>+H19*I19</f>
        <v>0</v>
      </c>
      <c r="K19" s="72"/>
      <c r="L19" s="73" t="s">
        <v>15</v>
      </c>
      <c r="M19" s="73" t="s">
        <v>22</v>
      </c>
      <c r="N19" s="70" t="s">
        <v>418</v>
      </c>
      <c r="Q19" s="19"/>
      <c r="T19" s="73"/>
    </row>
    <row r="20" spans="1:22" s="169" customFormat="1" ht="31.5">
      <c r="A20" s="407" t="s">
        <v>34</v>
      </c>
      <c r="B20" s="77" t="s">
        <v>716</v>
      </c>
      <c r="C20" s="70" t="s">
        <v>35</v>
      </c>
      <c r="D20" s="39">
        <v>0</v>
      </c>
      <c r="E20" s="39">
        <v>0</v>
      </c>
      <c r="F20" s="39">
        <v>0</v>
      </c>
      <c r="G20" s="39">
        <v>0</v>
      </c>
      <c r="H20" s="406">
        <f>SUM(Tabla1325[[#This Row],[PRIMER TRIMESTRE]:[CUARTO TRIMESTRE]])</f>
        <v>0</v>
      </c>
      <c r="I20" s="72">
        <v>23112.13</v>
      </c>
      <c r="J20" s="72">
        <f>+H20*I20</f>
        <v>0</v>
      </c>
      <c r="K20" s="72"/>
      <c r="L20" s="73" t="s">
        <v>15</v>
      </c>
      <c r="M20" s="73" t="s">
        <v>22</v>
      </c>
      <c r="N20" s="70" t="s">
        <v>418</v>
      </c>
      <c r="Q20" s="19"/>
      <c r="T20" s="73"/>
    </row>
    <row r="21" spans="1:22" s="169" customFormat="1" ht="31.5">
      <c r="A21" s="407" t="s">
        <v>34</v>
      </c>
      <c r="B21" s="77" t="s">
        <v>787</v>
      </c>
      <c r="C21" s="70" t="s">
        <v>35</v>
      </c>
      <c r="D21" s="39">
        <v>0</v>
      </c>
      <c r="E21" s="39">
        <v>0</v>
      </c>
      <c r="F21" s="39">
        <v>0</v>
      </c>
      <c r="G21" s="39">
        <v>0</v>
      </c>
      <c r="H21" s="406">
        <f>SUM(Tabla1325[[#This Row],[PRIMER TRIMESTRE]:[CUARTO TRIMESTRE]])</f>
        <v>0</v>
      </c>
      <c r="I21" s="72">
        <v>24630.67</v>
      </c>
      <c r="J21" s="72">
        <f>+Tabla1325[[#This Row],[CANTIDAD TOTAL]]*Tabla1325[[#This Row],[PRECIO UNITARIO ESTIMADO]]</f>
        <v>0</v>
      </c>
      <c r="K21" s="72"/>
      <c r="L21" s="73" t="s">
        <v>15</v>
      </c>
      <c r="M21" s="73" t="s">
        <v>22</v>
      </c>
      <c r="N21" s="70" t="s">
        <v>418</v>
      </c>
      <c r="Q21" s="19" t="s">
        <v>38</v>
      </c>
      <c r="T21" s="73"/>
    </row>
    <row r="22" spans="1:22" s="169" customFormat="1" ht="31.5">
      <c r="A22" s="407" t="s">
        <v>34</v>
      </c>
      <c r="B22" s="77" t="s">
        <v>786</v>
      </c>
      <c r="C22" s="70" t="s">
        <v>35</v>
      </c>
      <c r="D22" s="39">
        <v>0</v>
      </c>
      <c r="E22" s="39">
        <v>0</v>
      </c>
      <c r="F22" s="39">
        <v>0</v>
      </c>
      <c r="G22" s="39">
        <v>0</v>
      </c>
      <c r="H22" s="406">
        <f>SUM(Tabla1325[[#This Row],[PRIMER TRIMESTRE]:[CUARTO TRIMESTRE]])</f>
        <v>0</v>
      </c>
      <c r="I22" s="72">
        <f>+I21*1.05</f>
        <v>25862.2035</v>
      </c>
      <c r="J22" s="72">
        <f>+H22*I22</f>
        <v>0</v>
      </c>
      <c r="K22" s="72"/>
      <c r="L22" s="73" t="s">
        <v>15</v>
      </c>
      <c r="M22" s="73" t="s">
        <v>22</v>
      </c>
      <c r="N22" s="70" t="s">
        <v>418</v>
      </c>
      <c r="Q22" s="19"/>
      <c r="T22" s="73"/>
    </row>
    <row r="23" spans="1:22" s="169" customFormat="1" ht="31.5">
      <c r="A23" s="407" t="s">
        <v>34</v>
      </c>
      <c r="B23" s="77" t="s">
        <v>720</v>
      </c>
      <c r="C23" s="70" t="s">
        <v>721</v>
      </c>
      <c r="D23" s="39">
        <v>0</v>
      </c>
      <c r="E23" s="39">
        <v>0</v>
      </c>
      <c r="F23" s="39">
        <v>0</v>
      </c>
      <c r="G23" s="39">
        <v>0</v>
      </c>
      <c r="H23" s="406">
        <f>SUM(Tabla1325[[#This Row],[PRIMER TRIMESTRE]:[CUARTO TRIMESTRE]])</f>
        <v>0</v>
      </c>
      <c r="I23" s="72">
        <v>3700</v>
      </c>
      <c r="J23" s="72">
        <f>+Tabla1325[[#This Row],[CANTIDAD TOTAL]]*Tabla1325[[#This Row],[PRECIO UNITARIO ESTIMADO]]</f>
        <v>0</v>
      </c>
      <c r="K23" s="72"/>
      <c r="L23" s="73" t="s">
        <v>15</v>
      </c>
      <c r="M23" s="73" t="s">
        <v>22</v>
      </c>
      <c r="N23" s="70" t="s">
        <v>418</v>
      </c>
      <c r="Q23" s="19" t="s">
        <v>39</v>
      </c>
      <c r="T23" s="73"/>
    </row>
    <row r="24" spans="1:22" s="169" customFormat="1" ht="31.5">
      <c r="A24" s="407" t="s">
        <v>34</v>
      </c>
      <c r="B24" s="77" t="s">
        <v>719</v>
      </c>
      <c r="C24" s="70" t="s">
        <v>718</v>
      </c>
      <c r="D24" s="39">
        <v>0</v>
      </c>
      <c r="E24" s="39">
        <v>0</v>
      </c>
      <c r="F24" s="39">
        <v>0</v>
      </c>
      <c r="G24" s="39">
        <v>0</v>
      </c>
      <c r="H24" s="406">
        <f>SUM(Tabla1325[[#This Row],[PRIMER TRIMESTRE]:[CUARTO TRIMESTRE]])</f>
        <v>0</v>
      </c>
      <c r="I24" s="72">
        <v>800</v>
      </c>
      <c r="J24" s="72">
        <f>+Tabla1325[[#This Row],[CANTIDAD TOTAL]]*Tabla1325[[#This Row],[PRECIO UNITARIO ESTIMADO]]</f>
        <v>0</v>
      </c>
      <c r="K24" s="72"/>
      <c r="L24" s="73" t="s">
        <v>15</v>
      </c>
      <c r="M24" s="73" t="s">
        <v>22</v>
      </c>
      <c r="N24" s="70" t="s">
        <v>418</v>
      </c>
      <c r="Q24" s="19" t="s">
        <v>40</v>
      </c>
      <c r="T24" s="73"/>
    </row>
    <row r="25" spans="1:22" s="26" customFormat="1" ht="31.5">
      <c r="A25" s="22" t="s">
        <v>34</v>
      </c>
      <c r="B25" s="76" t="s">
        <v>444</v>
      </c>
      <c r="C25" s="42"/>
      <c r="D25" s="42"/>
      <c r="E25" s="42"/>
      <c r="F25" s="42"/>
      <c r="G25" s="42"/>
      <c r="H25" s="42"/>
      <c r="I25" s="24"/>
      <c r="J25" s="24">
        <f>+Tabla1325[[#This Row],[COSTO TOTAL POR CÓDIGO DE CATÁLOGO DE BIENES Y SERVICIOS (CBS)]]/2</f>
        <v>0</v>
      </c>
      <c r="K25" s="25">
        <f>SUBTOTAL(109,J17:J24)</f>
        <v>0</v>
      </c>
      <c r="L25" s="23"/>
      <c r="M25" s="23"/>
      <c r="N25" s="42"/>
      <c r="Q25" s="27"/>
      <c r="T25" s="23"/>
    </row>
    <row r="26" spans="1:22" s="12" customFormat="1" ht="31.5">
      <c r="A26" s="15" t="s">
        <v>41</v>
      </c>
      <c r="B26" s="75" t="s">
        <v>42</v>
      </c>
      <c r="C26" s="39" t="s">
        <v>17</v>
      </c>
      <c r="D26" s="39">
        <v>0</v>
      </c>
      <c r="E26" s="39">
        <v>0</v>
      </c>
      <c r="F26" s="39">
        <v>0</v>
      </c>
      <c r="G26" s="39">
        <v>0</v>
      </c>
      <c r="H26" s="40">
        <f>SUM(Tabla1325[[#This Row],[PRIMER TRIMESTRE]:[CUARTO TRIMESTRE]])</f>
        <v>0</v>
      </c>
      <c r="I26" s="17">
        <v>26999</v>
      </c>
      <c r="J26" s="17">
        <f>+Tabla1325[[#This Row],[CANTIDAD TOTAL]]*Tabla1325[[#This Row],[PRECIO UNITARIO ESTIMADO]]</f>
        <v>0</v>
      </c>
      <c r="K26" s="17"/>
      <c r="L26" s="16" t="s">
        <v>15</v>
      </c>
      <c r="M26" s="16" t="s">
        <v>22</v>
      </c>
      <c r="N26" s="39" t="s">
        <v>418</v>
      </c>
      <c r="Q26" s="19" t="s">
        <v>43</v>
      </c>
      <c r="T26" s="16"/>
    </row>
    <row r="27" spans="1:22" s="12" customFormat="1" ht="31.5">
      <c r="A27" s="15" t="s">
        <v>41</v>
      </c>
      <c r="B27" s="75" t="s">
        <v>44</v>
      </c>
      <c r="C27" s="39" t="s">
        <v>17</v>
      </c>
      <c r="D27" s="39">
        <v>0</v>
      </c>
      <c r="E27" s="39">
        <v>0</v>
      </c>
      <c r="F27" s="39">
        <v>0</v>
      </c>
      <c r="G27" s="39">
        <v>0</v>
      </c>
      <c r="H27" s="40">
        <f>SUM(Tabla1325[[#This Row],[PRIMER TRIMESTRE]:[CUARTO TRIMESTRE]])</f>
        <v>0</v>
      </c>
      <c r="I27" s="17">
        <v>90854.41</v>
      </c>
      <c r="J27" s="17">
        <f>+Tabla1325[[#This Row],[CANTIDAD TOTAL]]*Tabla1325[[#This Row],[PRECIO UNITARIO ESTIMADO]]</f>
        <v>0</v>
      </c>
      <c r="K27" s="17"/>
      <c r="L27" s="16" t="s">
        <v>15</v>
      </c>
      <c r="M27" s="16" t="s">
        <v>22</v>
      </c>
      <c r="N27" s="39" t="s">
        <v>418</v>
      </c>
      <c r="Q27" s="19" t="s">
        <v>45</v>
      </c>
      <c r="T27" s="16"/>
    </row>
    <row r="28" spans="1:22" s="26" customFormat="1" ht="31.5">
      <c r="A28" s="22" t="s">
        <v>41</v>
      </c>
      <c r="B28" s="76"/>
      <c r="C28" s="42"/>
      <c r="D28" s="43"/>
      <c r="E28" s="43"/>
      <c r="F28" s="43"/>
      <c r="G28" s="43"/>
      <c r="H28" s="43"/>
      <c r="I28" s="24"/>
      <c r="J28" s="24"/>
      <c r="K28" s="25">
        <f>SUBTOTAL(109,J26:J27)</f>
        <v>0</v>
      </c>
      <c r="L28" s="23"/>
      <c r="M28" s="23"/>
      <c r="N28" s="42"/>
      <c r="Q28" s="27"/>
      <c r="T28" s="23"/>
    </row>
    <row r="29" spans="1:22" s="169" customFormat="1">
      <c r="A29" s="407" t="s">
        <v>46</v>
      </c>
      <c r="B29" s="77" t="s">
        <v>778</v>
      </c>
      <c r="C29" s="70" t="s">
        <v>17</v>
      </c>
      <c r="D29" s="39">
        <v>0</v>
      </c>
      <c r="E29" s="39">
        <v>0</v>
      </c>
      <c r="F29" s="39">
        <v>0</v>
      </c>
      <c r="G29" s="39">
        <v>0</v>
      </c>
      <c r="H29" s="406">
        <f>SUM(Tabla1325[[#This Row],[PRIMER TRIMESTRE]:[CUARTO TRIMESTRE]])</f>
        <v>0</v>
      </c>
      <c r="I29" s="72">
        <v>1800000</v>
      </c>
      <c r="J29" s="72">
        <f>+H29*I29</f>
        <v>0</v>
      </c>
      <c r="K29" s="72"/>
      <c r="L29" s="73" t="s">
        <v>27</v>
      </c>
      <c r="M29" s="73" t="s">
        <v>22</v>
      </c>
      <c r="N29" s="70"/>
      <c r="S29" s="19"/>
      <c r="V29" s="73"/>
    </row>
    <row r="30" spans="1:22" s="169" customFormat="1" ht="47.25">
      <c r="A30" s="407" t="s">
        <v>46</v>
      </c>
      <c r="B30" s="77" t="s">
        <v>445</v>
      </c>
      <c r="C30" s="70" t="s">
        <v>17</v>
      </c>
      <c r="D30" s="39">
        <v>5</v>
      </c>
      <c r="E30" s="39">
        <v>5</v>
      </c>
      <c r="F30" s="39">
        <v>5</v>
      </c>
      <c r="G30" s="39">
        <v>5</v>
      </c>
      <c r="H30" s="406">
        <f>SUM(Tabla1325[[#This Row],[PRIMER TRIMESTRE]:[CUARTO TRIMESTRE]])</f>
        <v>20</v>
      </c>
      <c r="I30" s="72">
        <v>1136476.48</v>
      </c>
      <c r="J30" s="72">
        <f>+H30*I30</f>
        <v>22729529.600000001</v>
      </c>
      <c r="K30" s="72"/>
      <c r="L30" s="73" t="s">
        <v>27</v>
      </c>
      <c r="M30" s="73" t="s">
        <v>22</v>
      </c>
      <c r="N30" s="70"/>
      <c r="S30" s="19" t="s">
        <v>446</v>
      </c>
      <c r="V30" s="73"/>
    </row>
    <row r="31" spans="1:22" s="169" customFormat="1" ht="63">
      <c r="A31" s="407" t="s">
        <v>46</v>
      </c>
      <c r="B31" s="77" t="s">
        <v>447</v>
      </c>
      <c r="C31" s="70" t="s">
        <v>17</v>
      </c>
      <c r="D31" s="39">
        <v>0</v>
      </c>
      <c r="E31" s="39">
        <v>0</v>
      </c>
      <c r="F31" s="39">
        <v>0</v>
      </c>
      <c r="G31" s="39">
        <v>0</v>
      </c>
      <c r="H31" s="406">
        <f>SUM(Tabla1325[[#This Row],[PRIMER TRIMESTRE]:[CUARTO TRIMESTRE]])</f>
        <v>0</v>
      </c>
      <c r="I31" s="72">
        <v>440000</v>
      </c>
      <c r="J31" s="72">
        <f>+H31*I31</f>
        <v>0</v>
      </c>
      <c r="K31" s="72"/>
      <c r="L31" s="73" t="s">
        <v>27</v>
      </c>
      <c r="M31" s="73" t="s">
        <v>22</v>
      </c>
      <c r="N31" s="70"/>
      <c r="S31" s="19" t="s">
        <v>448</v>
      </c>
      <c r="V31" s="73"/>
    </row>
    <row r="32" spans="1:22" s="169" customFormat="1">
      <c r="A32" s="407" t="s">
        <v>46</v>
      </c>
      <c r="B32" s="77" t="s">
        <v>47</v>
      </c>
      <c r="C32" s="70" t="s">
        <v>17</v>
      </c>
      <c r="D32" s="39">
        <v>0</v>
      </c>
      <c r="E32" s="39">
        <v>0</v>
      </c>
      <c r="F32" s="39">
        <v>0</v>
      </c>
      <c r="G32" s="39">
        <v>0</v>
      </c>
      <c r="H32" s="406">
        <f>SUM(Tabla1325[[#This Row],[PRIMER TRIMESTRE]:[CUARTO TRIMESTRE]])</f>
        <v>0</v>
      </c>
      <c r="I32" s="72">
        <v>3103.38</v>
      </c>
      <c r="J32" s="72">
        <f>+Tabla1325[[#This Row],[CANTIDAD TOTAL]]*Tabla1325[[#This Row],[PRECIO UNITARIO ESTIMADO]]</f>
        <v>0</v>
      </c>
      <c r="K32" s="72"/>
      <c r="L32" s="73" t="s">
        <v>27</v>
      </c>
      <c r="M32" s="73" t="s">
        <v>22</v>
      </c>
      <c r="N32" s="70" t="s">
        <v>418</v>
      </c>
      <c r="Q32" s="19" t="s">
        <v>48</v>
      </c>
      <c r="T32" s="73"/>
    </row>
    <row r="33" spans="1:20" s="169" customFormat="1">
      <c r="A33" s="407" t="s">
        <v>46</v>
      </c>
      <c r="B33" s="77" t="s">
        <v>49</v>
      </c>
      <c r="C33" s="70" t="s">
        <v>17</v>
      </c>
      <c r="D33" s="39">
        <v>0</v>
      </c>
      <c r="E33" s="39">
        <v>0</v>
      </c>
      <c r="F33" s="39">
        <v>0</v>
      </c>
      <c r="G33" s="39">
        <v>0</v>
      </c>
      <c r="H33" s="406">
        <f>SUM(Tabla1325[[#This Row],[PRIMER TRIMESTRE]:[CUARTO TRIMESTRE]])</f>
        <v>0</v>
      </c>
      <c r="I33" s="72">
        <v>59999.99</v>
      </c>
      <c r="J33" s="72">
        <f>+Tabla1325[[#This Row],[CANTIDAD TOTAL]]*Tabla1325[[#This Row],[PRECIO UNITARIO ESTIMADO]]</f>
        <v>0</v>
      </c>
      <c r="K33" s="72"/>
      <c r="L33" s="73" t="s">
        <v>27</v>
      </c>
      <c r="M33" s="73" t="s">
        <v>22</v>
      </c>
      <c r="N33" s="70" t="s">
        <v>418</v>
      </c>
      <c r="Q33" s="19" t="s">
        <v>50</v>
      </c>
      <c r="T33" s="73"/>
    </row>
    <row r="34" spans="1:20" s="169" customFormat="1">
      <c r="A34" s="407" t="s">
        <v>46</v>
      </c>
      <c r="B34" s="77" t="s">
        <v>51</v>
      </c>
      <c r="C34" s="70" t="s">
        <v>17</v>
      </c>
      <c r="D34" s="39">
        <v>0</v>
      </c>
      <c r="E34" s="39">
        <v>0</v>
      </c>
      <c r="F34" s="39">
        <v>0</v>
      </c>
      <c r="G34" s="39">
        <v>0</v>
      </c>
      <c r="H34" s="406">
        <f>SUM(Tabla1325[[#This Row],[PRIMER TRIMESTRE]:[CUARTO TRIMESTRE]])</f>
        <v>0</v>
      </c>
      <c r="I34" s="72">
        <v>7733.6</v>
      </c>
      <c r="J34" s="72">
        <f>+Tabla1325[[#This Row],[CANTIDAD TOTAL]]*Tabla1325[[#This Row],[PRECIO UNITARIO ESTIMADO]]</f>
        <v>0</v>
      </c>
      <c r="K34" s="72"/>
      <c r="L34" s="73" t="s">
        <v>27</v>
      </c>
      <c r="M34" s="73" t="s">
        <v>22</v>
      </c>
      <c r="N34" s="70" t="s">
        <v>418</v>
      </c>
      <c r="Q34" s="19" t="s">
        <v>52</v>
      </c>
      <c r="T34" s="73"/>
    </row>
    <row r="35" spans="1:20" s="169" customFormat="1">
      <c r="A35" s="407" t="s">
        <v>46</v>
      </c>
      <c r="B35" s="77" t="s">
        <v>55</v>
      </c>
      <c r="C35" s="70" t="s">
        <v>17</v>
      </c>
      <c r="D35" s="39">
        <v>0</v>
      </c>
      <c r="E35" s="39">
        <v>0</v>
      </c>
      <c r="F35" s="39">
        <v>0</v>
      </c>
      <c r="G35" s="39">
        <v>0</v>
      </c>
      <c r="H35" s="406">
        <f>SUM(Tabla1325[[#This Row],[PRIMER TRIMESTRE]:[CUARTO TRIMESTRE]])</f>
        <v>0</v>
      </c>
      <c r="I35" s="72">
        <v>7014.5</v>
      </c>
      <c r="J35" s="72">
        <f>+Tabla1325[[#This Row],[CANTIDAD TOTAL]]*Tabla1325[[#This Row],[PRECIO UNITARIO ESTIMADO]]</f>
        <v>0</v>
      </c>
      <c r="K35" s="72"/>
      <c r="L35" s="73" t="s">
        <v>27</v>
      </c>
      <c r="M35" s="73" t="s">
        <v>22</v>
      </c>
      <c r="N35" s="70" t="s">
        <v>418</v>
      </c>
      <c r="Q35" s="19" t="s">
        <v>56</v>
      </c>
      <c r="T35" s="73"/>
    </row>
    <row r="36" spans="1:20" s="169" customFormat="1">
      <c r="A36" s="407" t="s">
        <v>46</v>
      </c>
      <c r="B36" s="77" t="s">
        <v>57</v>
      </c>
      <c r="C36" s="70" t="s">
        <v>17</v>
      </c>
      <c r="D36" s="39">
        <v>0</v>
      </c>
      <c r="E36" s="39">
        <v>0</v>
      </c>
      <c r="F36" s="39">
        <v>0</v>
      </c>
      <c r="G36" s="39">
        <v>0</v>
      </c>
      <c r="H36" s="406">
        <f>SUM(Tabla1325[[#This Row],[PRIMER TRIMESTRE]:[CUARTO TRIMESTRE]])</f>
        <v>0</v>
      </c>
      <c r="I36" s="72">
        <v>12138.01</v>
      </c>
      <c r="J36" s="72">
        <f>+Tabla1325[[#This Row],[CANTIDAD TOTAL]]*Tabla1325[[#This Row],[PRECIO UNITARIO ESTIMADO]]</f>
        <v>0</v>
      </c>
      <c r="K36" s="72"/>
      <c r="L36" s="73" t="s">
        <v>27</v>
      </c>
      <c r="M36" s="73" t="s">
        <v>22</v>
      </c>
      <c r="N36" s="70" t="s">
        <v>418</v>
      </c>
      <c r="Q36" s="19" t="s">
        <v>58</v>
      </c>
      <c r="T36" s="73"/>
    </row>
    <row r="37" spans="1:20" s="169" customFormat="1">
      <c r="A37" s="407" t="s">
        <v>46</v>
      </c>
      <c r="B37" s="77" t="s">
        <v>59</v>
      </c>
      <c r="C37" s="70" t="s">
        <v>17</v>
      </c>
      <c r="D37" s="39">
        <v>0</v>
      </c>
      <c r="E37" s="39">
        <v>0</v>
      </c>
      <c r="F37" s="39">
        <v>0</v>
      </c>
      <c r="G37" s="39">
        <v>0</v>
      </c>
      <c r="H37" s="406">
        <f>SUM(Tabla1325[[#This Row],[PRIMER TRIMESTRE]:[CUARTO TRIMESTRE]])</f>
        <v>0</v>
      </c>
      <c r="I37" s="72">
        <v>2122.8000000000002</v>
      </c>
      <c r="J37" s="72">
        <f>+Tabla1325[[#This Row],[CANTIDAD TOTAL]]*Tabla1325[[#This Row],[PRECIO UNITARIO ESTIMADO]]</f>
        <v>0</v>
      </c>
      <c r="K37" s="72"/>
      <c r="L37" s="73" t="s">
        <v>27</v>
      </c>
      <c r="M37" s="73" t="s">
        <v>22</v>
      </c>
      <c r="N37" s="70" t="s">
        <v>418</v>
      </c>
      <c r="Q37" s="19" t="s">
        <v>60</v>
      </c>
      <c r="T37" s="73"/>
    </row>
    <row r="38" spans="1:20" s="169" customFormat="1">
      <c r="A38" s="407" t="s">
        <v>46</v>
      </c>
      <c r="B38" s="77" t="s">
        <v>550</v>
      </c>
      <c r="C38" s="70" t="s">
        <v>17</v>
      </c>
      <c r="D38" s="39">
        <v>0</v>
      </c>
      <c r="E38" s="39">
        <v>0</v>
      </c>
      <c r="F38" s="39">
        <v>0</v>
      </c>
      <c r="G38" s="39">
        <v>0</v>
      </c>
      <c r="H38" s="406">
        <f>SUM(Tabla1325[[#This Row],[PRIMER TRIMESTRE]:[CUARTO TRIMESTRE]])</f>
        <v>0</v>
      </c>
      <c r="I38" s="72">
        <v>9480</v>
      </c>
      <c r="J38" s="72">
        <f t="shared" ref="J38:J67" si="0">+H38*I38</f>
        <v>0</v>
      </c>
      <c r="K38" s="72"/>
      <c r="L38" s="73" t="s">
        <v>27</v>
      </c>
      <c r="M38" s="73" t="s">
        <v>22</v>
      </c>
      <c r="N38" s="70" t="s">
        <v>418</v>
      </c>
      <c r="Q38" s="19"/>
      <c r="T38" s="73"/>
    </row>
    <row r="39" spans="1:20" s="169" customFormat="1">
      <c r="A39" s="407" t="s">
        <v>46</v>
      </c>
      <c r="B39" s="77" t="s">
        <v>551</v>
      </c>
      <c r="C39" s="70" t="s">
        <v>17</v>
      </c>
      <c r="D39" s="39">
        <v>0</v>
      </c>
      <c r="E39" s="39">
        <v>0</v>
      </c>
      <c r="F39" s="39">
        <v>0</v>
      </c>
      <c r="G39" s="39">
        <v>0</v>
      </c>
      <c r="H39" s="406">
        <f>SUM(Tabla1325[[#This Row],[PRIMER TRIMESTRE]:[CUARTO TRIMESTRE]])</f>
        <v>0</v>
      </c>
      <c r="I39" s="72">
        <v>31680</v>
      </c>
      <c r="J39" s="72">
        <f>+H39*I39</f>
        <v>0</v>
      </c>
      <c r="K39" s="72"/>
      <c r="L39" s="73" t="s">
        <v>27</v>
      </c>
      <c r="M39" s="73" t="s">
        <v>22</v>
      </c>
      <c r="N39" s="70" t="s">
        <v>418</v>
      </c>
      <c r="Q39" s="19"/>
      <c r="T39" s="73"/>
    </row>
    <row r="40" spans="1:20" s="169" customFormat="1">
      <c r="A40" s="407" t="s">
        <v>46</v>
      </c>
      <c r="B40" s="77" t="s">
        <v>552</v>
      </c>
      <c r="C40" s="70" t="s">
        <v>17</v>
      </c>
      <c r="D40" s="39">
        <v>0</v>
      </c>
      <c r="E40" s="39">
        <v>0</v>
      </c>
      <c r="F40" s="39">
        <v>0</v>
      </c>
      <c r="G40" s="39">
        <v>0</v>
      </c>
      <c r="H40" s="406">
        <f>SUM(Tabla1325[[#This Row],[PRIMER TRIMESTRE]:[CUARTO TRIMESTRE]])</f>
        <v>0</v>
      </c>
      <c r="I40" s="72">
        <v>9279.9</v>
      </c>
      <c r="J40" s="72">
        <f t="shared" si="0"/>
        <v>0</v>
      </c>
      <c r="K40" s="72"/>
      <c r="L40" s="73" t="s">
        <v>27</v>
      </c>
      <c r="M40" s="73" t="s">
        <v>22</v>
      </c>
      <c r="N40" s="70" t="s">
        <v>418</v>
      </c>
      <c r="Q40" s="19"/>
      <c r="T40" s="73"/>
    </row>
    <row r="41" spans="1:20" s="169" customFormat="1">
      <c r="A41" s="407" t="s">
        <v>46</v>
      </c>
      <c r="B41" s="77" t="s">
        <v>54</v>
      </c>
      <c r="C41" s="70" t="s">
        <v>17</v>
      </c>
      <c r="D41" s="39">
        <v>0</v>
      </c>
      <c r="E41" s="39">
        <v>0</v>
      </c>
      <c r="F41" s="39">
        <v>0</v>
      </c>
      <c r="G41" s="39">
        <v>0</v>
      </c>
      <c r="H41" s="406">
        <f>SUM(Tabla1325[[#This Row],[PRIMER TRIMESTRE]:[CUARTO TRIMESTRE]])</f>
        <v>0</v>
      </c>
      <c r="I41" s="72">
        <v>9079.9</v>
      </c>
      <c r="J41" s="72">
        <f t="shared" si="0"/>
        <v>0</v>
      </c>
      <c r="K41" s="72"/>
      <c r="L41" s="73" t="s">
        <v>27</v>
      </c>
      <c r="M41" s="73" t="s">
        <v>22</v>
      </c>
      <c r="N41" s="70" t="s">
        <v>418</v>
      </c>
      <c r="Q41" s="19"/>
      <c r="T41" s="73"/>
    </row>
    <row r="42" spans="1:20" s="169" customFormat="1">
      <c r="A42" s="407" t="s">
        <v>46</v>
      </c>
      <c r="B42" s="77" t="s">
        <v>53</v>
      </c>
      <c r="C42" s="70" t="s">
        <v>17</v>
      </c>
      <c r="D42" s="39">
        <v>0</v>
      </c>
      <c r="E42" s="39">
        <v>0</v>
      </c>
      <c r="F42" s="39">
        <v>0</v>
      </c>
      <c r="G42" s="39">
        <v>0</v>
      </c>
      <c r="H42" s="406">
        <f>SUM(Tabla1325[[#This Row],[PRIMER TRIMESTRE]:[CUARTO TRIMESTRE]])</f>
        <v>0</v>
      </c>
      <c r="I42" s="72">
        <v>9048</v>
      </c>
      <c r="J42" s="72">
        <f t="shared" si="0"/>
        <v>0</v>
      </c>
      <c r="K42" s="72"/>
      <c r="L42" s="73" t="s">
        <v>27</v>
      </c>
      <c r="M42" s="73" t="s">
        <v>22</v>
      </c>
      <c r="N42" s="70" t="s">
        <v>418</v>
      </c>
      <c r="Q42" s="19"/>
      <c r="T42" s="73"/>
    </row>
    <row r="43" spans="1:20" s="169" customFormat="1">
      <c r="A43" s="407" t="s">
        <v>46</v>
      </c>
      <c r="B43" s="77" t="s">
        <v>553</v>
      </c>
      <c r="C43" s="70" t="s">
        <v>17</v>
      </c>
      <c r="D43" s="39">
        <v>0</v>
      </c>
      <c r="E43" s="39">
        <v>0</v>
      </c>
      <c r="F43" s="39">
        <v>0</v>
      </c>
      <c r="G43" s="39">
        <v>0</v>
      </c>
      <c r="H43" s="406">
        <f>SUM(Tabla1325[[#This Row],[PRIMER TRIMESTRE]:[CUARTO TRIMESTRE]])</f>
        <v>0</v>
      </c>
      <c r="I43" s="72">
        <v>7043.16</v>
      </c>
      <c r="J43" s="72">
        <f t="shared" si="0"/>
        <v>0</v>
      </c>
      <c r="K43" s="72"/>
      <c r="L43" s="73" t="s">
        <v>27</v>
      </c>
      <c r="M43" s="73" t="s">
        <v>22</v>
      </c>
      <c r="N43" s="70" t="s">
        <v>418</v>
      </c>
      <c r="Q43" s="19"/>
      <c r="T43" s="73"/>
    </row>
    <row r="44" spans="1:20" s="169" customFormat="1">
      <c r="A44" s="407" t="s">
        <v>46</v>
      </c>
      <c r="B44" s="77" t="s">
        <v>554</v>
      </c>
      <c r="C44" s="70" t="s">
        <v>17</v>
      </c>
      <c r="D44" s="39">
        <v>0</v>
      </c>
      <c r="E44" s="39">
        <v>0</v>
      </c>
      <c r="F44" s="39">
        <v>0</v>
      </c>
      <c r="G44" s="39">
        <v>0</v>
      </c>
      <c r="H44" s="406">
        <f>SUM(Tabla1325[[#This Row],[PRIMER TRIMESTRE]:[CUARTO TRIMESTRE]])</f>
        <v>0</v>
      </c>
      <c r="I44" s="72">
        <v>12210</v>
      </c>
      <c r="J44" s="72">
        <f t="shared" si="0"/>
        <v>0</v>
      </c>
      <c r="K44" s="72"/>
      <c r="L44" s="73" t="s">
        <v>27</v>
      </c>
      <c r="M44" s="73" t="s">
        <v>22</v>
      </c>
      <c r="N44" s="70" t="s">
        <v>418</v>
      </c>
      <c r="Q44" s="19"/>
      <c r="T44" s="73"/>
    </row>
    <row r="45" spans="1:20" s="169" customFormat="1">
      <c r="A45" s="407" t="s">
        <v>46</v>
      </c>
      <c r="B45" s="77" t="s">
        <v>555</v>
      </c>
      <c r="C45" s="70" t="s">
        <v>17</v>
      </c>
      <c r="D45" s="39">
        <v>0</v>
      </c>
      <c r="E45" s="39">
        <v>0</v>
      </c>
      <c r="F45" s="39">
        <v>0</v>
      </c>
      <c r="G45" s="39">
        <v>0</v>
      </c>
      <c r="H45" s="406">
        <f>SUM(Tabla1325[[#This Row],[PRIMER TRIMESTRE]:[CUARTO TRIMESTRE]])</f>
        <v>0</v>
      </c>
      <c r="I45" s="72">
        <v>4029.25</v>
      </c>
      <c r="J45" s="72">
        <f t="shared" si="0"/>
        <v>0</v>
      </c>
      <c r="K45" s="72"/>
      <c r="L45" s="73" t="s">
        <v>27</v>
      </c>
      <c r="M45" s="73" t="s">
        <v>22</v>
      </c>
      <c r="N45" s="70" t="s">
        <v>418</v>
      </c>
      <c r="Q45" s="19"/>
      <c r="T45" s="73"/>
    </row>
    <row r="46" spans="1:20" s="169" customFormat="1">
      <c r="A46" s="407" t="s">
        <v>46</v>
      </c>
      <c r="B46" s="77" t="s">
        <v>556</v>
      </c>
      <c r="C46" s="70" t="s">
        <v>17</v>
      </c>
      <c r="D46" s="39">
        <v>0</v>
      </c>
      <c r="E46" s="39">
        <v>0</v>
      </c>
      <c r="F46" s="39">
        <v>0</v>
      </c>
      <c r="G46" s="39">
        <v>0</v>
      </c>
      <c r="H46" s="406">
        <f>SUM(Tabla1325[[#This Row],[PRIMER TRIMESTRE]:[CUARTO TRIMESTRE]])</f>
        <v>0</v>
      </c>
      <c r="I46" s="72">
        <v>33660</v>
      </c>
      <c r="J46" s="72">
        <f t="shared" si="0"/>
        <v>0</v>
      </c>
      <c r="K46" s="72"/>
      <c r="L46" s="73" t="s">
        <v>27</v>
      </c>
      <c r="M46" s="73" t="s">
        <v>22</v>
      </c>
      <c r="N46" s="70" t="s">
        <v>418</v>
      </c>
      <c r="Q46" s="19"/>
      <c r="T46" s="73"/>
    </row>
    <row r="47" spans="1:20" s="169" customFormat="1">
      <c r="A47" s="407" t="s">
        <v>46</v>
      </c>
      <c r="B47" s="77" t="s">
        <v>557</v>
      </c>
      <c r="C47" s="70" t="s">
        <v>17</v>
      </c>
      <c r="D47" s="39">
        <v>0</v>
      </c>
      <c r="E47" s="39">
        <v>0</v>
      </c>
      <c r="F47" s="39">
        <v>0</v>
      </c>
      <c r="G47" s="39">
        <v>0</v>
      </c>
      <c r="H47" s="406">
        <f>SUM(Tabla1325[[#This Row],[PRIMER TRIMESTRE]:[CUARTO TRIMESTRE]])</f>
        <v>0</v>
      </c>
      <c r="I47" s="72">
        <v>27205.48</v>
      </c>
      <c r="J47" s="72">
        <f t="shared" si="0"/>
        <v>0</v>
      </c>
      <c r="K47" s="72"/>
      <c r="L47" s="73" t="s">
        <v>27</v>
      </c>
      <c r="M47" s="73" t="s">
        <v>22</v>
      </c>
      <c r="N47" s="70" t="s">
        <v>418</v>
      </c>
      <c r="Q47" s="19"/>
      <c r="T47" s="73"/>
    </row>
    <row r="48" spans="1:20" s="169" customFormat="1">
      <c r="A48" s="407" t="s">
        <v>46</v>
      </c>
      <c r="B48" s="77" t="s">
        <v>558</v>
      </c>
      <c r="C48" s="70" t="s">
        <v>17</v>
      </c>
      <c r="D48" s="39">
        <v>0</v>
      </c>
      <c r="E48" s="39">
        <v>0</v>
      </c>
      <c r="F48" s="39">
        <v>0</v>
      </c>
      <c r="G48" s="39">
        <v>0</v>
      </c>
      <c r="H48" s="406">
        <f>SUM(Tabla1325[[#This Row],[PRIMER TRIMESTRE]:[CUARTO TRIMESTRE]])</f>
        <v>0</v>
      </c>
      <c r="I48" s="72">
        <v>14272.5</v>
      </c>
      <c r="J48" s="72">
        <f>+H48*I48</f>
        <v>0</v>
      </c>
      <c r="K48" s="72"/>
      <c r="L48" s="73" t="s">
        <v>27</v>
      </c>
      <c r="M48" s="73" t="s">
        <v>22</v>
      </c>
      <c r="N48" s="70" t="s">
        <v>418</v>
      </c>
      <c r="Q48" s="19"/>
      <c r="T48" s="73"/>
    </row>
    <row r="49" spans="1:20" s="169" customFormat="1">
      <c r="A49" s="407" t="s">
        <v>46</v>
      </c>
      <c r="B49" s="77" t="s">
        <v>559</v>
      </c>
      <c r="C49" s="70" t="s">
        <v>17</v>
      </c>
      <c r="D49" s="39">
        <v>0</v>
      </c>
      <c r="E49" s="39">
        <v>0</v>
      </c>
      <c r="F49" s="39">
        <v>0</v>
      </c>
      <c r="G49" s="39">
        <v>0</v>
      </c>
      <c r="H49" s="406">
        <f>SUM(Tabla1325[[#This Row],[PRIMER TRIMESTRE]:[CUARTO TRIMESTRE]])</f>
        <v>0</v>
      </c>
      <c r="I49" s="72">
        <v>14272.5</v>
      </c>
      <c r="J49" s="72">
        <f t="shared" si="0"/>
        <v>0</v>
      </c>
      <c r="K49" s="72"/>
      <c r="L49" s="73" t="s">
        <v>27</v>
      </c>
      <c r="M49" s="73" t="s">
        <v>22</v>
      </c>
      <c r="N49" s="70" t="s">
        <v>418</v>
      </c>
      <c r="Q49" s="19"/>
      <c r="T49" s="73"/>
    </row>
    <row r="50" spans="1:20" s="169" customFormat="1">
      <c r="A50" s="407" t="s">
        <v>46</v>
      </c>
      <c r="B50" s="77" t="s">
        <v>560</v>
      </c>
      <c r="C50" s="70" t="s">
        <v>17</v>
      </c>
      <c r="D50" s="39">
        <v>0</v>
      </c>
      <c r="E50" s="39">
        <v>0</v>
      </c>
      <c r="F50" s="39">
        <v>0</v>
      </c>
      <c r="G50" s="39">
        <v>0</v>
      </c>
      <c r="H50" s="406">
        <f>SUM(Tabla1325[[#This Row],[PRIMER TRIMESTRE]:[CUARTO TRIMESTRE]])</f>
        <v>0</v>
      </c>
      <c r="I50" s="72">
        <v>14190</v>
      </c>
      <c r="J50" s="72">
        <f t="shared" si="0"/>
        <v>0</v>
      </c>
      <c r="K50" s="72"/>
      <c r="L50" s="73" t="s">
        <v>27</v>
      </c>
      <c r="M50" s="73" t="s">
        <v>22</v>
      </c>
      <c r="N50" s="70" t="s">
        <v>418</v>
      </c>
      <c r="Q50" s="19"/>
      <c r="T50" s="73"/>
    </row>
    <row r="51" spans="1:20" s="169" customFormat="1">
      <c r="A51" s="407" t="s">
        <v>46</v>
      </c>
      <c r="B51" s="77" t="s">
        <v>561</v>
      </c>
      <c r="C51" s="70" t="s">
        <v>17</v>
      </c>
      <c r="D51" s="39">
        <v>0</v>
      </c>
      <c r="E51" s="39">
        <v>0</v>
      </c>
      <c r="F51" s="39">
        <v>0</v>
      </c>
      <c r="G51" s="39">
        <v>0</v>
      </c>
      <c r="H51" s="406">
        <f>SUM(Tabla1325[[#This Row],[PRIMER TRIMESTRE]:[CUARTO TRIMESTRE]])</f>
        <v>0</v>
      </c>
      <c r="I51" s="72">
        <v>4200</v>
      </c>
      <c r="J51" s="72">
        <f t="shared" si="0"/>
        <v>0</v>
      </c>
      <c r="K51" s="72"/>
      <c r="L51" s="73" t="s">
        <v>27</v>
      </c>
      <c r="M51" s="73" t="s">
        <v>22</v>
      </c>
      <c r="N51" s="70" t="s">
        <v>418</v>
      </c>
      <c r="Q51" s="19"/>
      <c r="T51" s="73"/>
    </row>
    <row r="52" spans="1:20" s="169" customFormat="1">
      <c r="A52" s="407" t="s">
        <v>46</v>
      </c>
      <c r="B52" s="77" t="s">
        <v>764</v>
      </c>
      <c r="C52" s="70" t="s">
        <v>17</v>
      </c>
      <c r="D52" s="39">
        <v>0</v>
      </c>
      <c r="E52" s="39">
        <v>0</v>
      </c>
      <c r="F52" s="39">
        <v>0</v>
      </c>
      <c r="G52" s="39">
        <v>0</v>
      </c>
      <c r="H52" s="406">
        <f>SUM(Tabla1325[[#This Row],[PRIMER TRIMESTRE]:[CUARTO TRIMESTRE]])</f>
        <v>0</v>
      </c>
      <c r="I52" s="72">
        <v>12650</v>
      </c>
      <c r="J52" s="72">
        <f>+H52*I52</f>
        <v>0</v>
      </c>
      <c r="K52" s="72"/>
      <c r="L52" s="73" t="s">
        <v>27</v>
      </c>
      <c r="M52" s="73" t="s">
        <v>22</v>
      </c>
      <c r="N52" s="70" t="s">
        <v>418</v>
      </c>
      <c r="Q52" s="19"/>
      <c r="T52" s="73"/>
    </row>
    <row r="53" spans="1:20" s="169" customFormat="1">
      <c r="A53" s="407" t="s">
        <v>46</v>
      </c>
      <c r="B53" s="77" t="s">
        <v>535</v>
      </c>
      <c r="C53" s="70" t="s">
        <v>17</v>
      </c>
      <c r="D53" s="39">
        <v>0</v>
      </c>
      <c r="E53" s="39">
        <v>0</v>
      </c>
      <c r="F53" s="39">
        <v>0</v>
      </c>
      <c r="G53" s="39">
        <v>0</v>
      </c>
      <c r="H53" s="406">
        <f>SUM(Tabla1325[[#This Row],[PRIMER TRIMESTRE]:[CUARTO TRIMESTRE]])</f>
        <v>0</v>
      </c>
      <c r="I53" s="72">
        <v>180</v>
      </c>
      <c r="J53" s="72">
        <f t="shared" si="0"/>
        <v>0</v>
      </c>
      <c r="K53" s="72"/>
      <c r="L53" s="73" t="s">
        <v>15</v>
      </c>
      <c r="M53" s="73" t="s">
        <v>22</v>
      </c>
      <c r="N53" s="70" t="s">
        <v>418</v>
      </c>
      <c r="Q53" s="19"/>
      <c r="T53" s="73"/>
    </row>
    <row r="54" spans="1:20" s="169" customFormat="1">
      <c r="A54" s="407" t="s">
        <v>46</v>
      </c>
      <c r="B54" s="77" t="s">
        <v>536</v>
      </c>
      <c r="C54" s="70" t="s">
        <v>17</v>
      </c>
      <c r="D54" s="39">
        <v>0</v>
      </c>
      <c r="E54" s="39">
        <v>0</v>
      </c>
      <c r="F54" s="39">
        <v>0</v>
      </c>
      <c r="G54" s="39">
        <v>0</v>
      </c>
      <c r="H54" s="406">
        <f>SUM(Tabla1325[[#This Row],[PRIMER TRIMESTRE]:[CUARTO TRIMESTRE]])</f>
        <v>0</v>
      </c>
      <c r="I54" s="72">
        <v>225</v>
      </c>
      <c r="J54" s="72">
        <f t="shared" si="0"/>
        <v>0</v>
      </c>
      <c r="K54" s="72"/>
      <c r="L54" s="73" t="s">
        <v>15</v>
      </c>
      <c r="M54" s="73" t="s">
        <v>22</v>
      </c>
      <c r="N54" s="70" t="s">
        <v>418</v>
      </c>
      <c r="Q54" s="19"/>
      <c r="T54" s="73"/>
    </row>
    <row r="55" spans="1:20" s="169" customFormat="1">
      <c r="A55" s="407" t="s">
        <v>46</v>
      </c>
      <c r="B55" s="77" t="s">
        <v>537</v>
      </c>
      <c r="C55" s="70" t="s">
        <v>17</v>
      </c>
      <c r="D55" s="39">
        <v>0</v>
      </c>
      <c r="E55" s="39">
        <v>0</v>
      </c>
      <c r="F55" s="39">
        <v>0</v>
      </c>
      <c r="G55" s="39">
        <v>0</v>
      </c>
      <c r="H55" s="406">
        <f>SUM(Tabla1325[[#This Row],[PRIMER TRIMESTRE]:[CUARTO TRIMESTRE]])</f>
        <v>0</v>
      </c>
      <c r="I55" s="72">
        <v>250</v>
      </c>
      <c r="J55" s="72">
        <f t="shared" si="0"/>
        <v>0</v>
      </c>
      <c r="K55" s="72"/>
      <c r="L55" s="73" t="s">
        <v>15</v>
      </c>
      <c r="M55" s="73" t="s">
        <v>22</v>
      </c>
      <c r="N55" s="70" t="s">
        <v>418</v>
      </c>
      <c r="Q55" s="19"/>
      <c r="T55" s="73"/>
    </row>
    <row r="56" spans="1:20" s="169" customFormat="1">
      <c r="A56" s="407" t="s">
        <v>46</v>
      </c>
      <c r="B56" s="77" t="s">
        <v>538</v>
      </c>
      <c r="C56" s="70" t="s">
        <v>17</v>
      </c>
      <c r="D56" s="39">
        <v>0</v>
      </c>
      <c r="E56" s="39">
        <v>0</v>
      </c>
      <c r="F56" s="39">
        <v>0</v>
      </c>
      <c r="G56" s="39">
        <v>0</v>
      </c>
      <c r="H56" s="406">
        <f>SUM(Tabla1325[[#This Row],[PRIMER TRIMESTRE]:[CUARTO TRIMESTRE]])</f>
        <v>0</v>
      </c>
      <c r="I56" s="72">
        <v>350</v>
      </c>
      <c r="J56" s="72">
        <f t="shared" si="0"/>
        <v>0</v>
      </c>
      <c r="K56" s="72"/>
      <c r="L56" s="73" t="s">
        <v>15</v>
      </c>
      <c r="M56" s="73" t="s">
        <v>22</v>
      </c>
      <c r="N56" s="70" t="s">
        <v>418</v>
      </c>
      <c r="Q56" s="19"/>
      <c r="T56" s="73"/>
    </row>
    <row r="57" spans="1:20" s="169" customFormat="1">
      <c r="A57" s="407" t="s">
        <v>46</v>
      </c>
      <c r="B57" s="77" t="s">
        <v>539</v>
      </c>
      <c r="C57" s="70" t="s">
        <v>17</v>
      </c>
      <c r="D57" s="39">
        <v>0</v>
      </c>
      <c r="E57" s="39">
        <v>0</v>
      </c>
      <c r="F57" s="39">
        <v>0</v>
      </c>
      <c r="G57" s="39">
        <v>0</v>
      </c>
      <c r="H57" s="406">
        <f>SUM(Tabla1325[[#This Row],[PRIMER TRIMESTRE]:[CUARTO TRIMESTRE]])</f>
        <v>0</v>
      </c>
      <c r="I57" s="72">
        <v>550</v>
      </c>
      <c r="J57" s="72">
        <f t="shared" si="0"/>
        <v>0</v>
      </c>
      <c r="K57" s="72"/>
      <c r="L57" s="73" t="s">
        <v>15</v>
      </c>
      <c r="M57" s="73" t="s">
        <v>22</v>
      </c>
      <c r="N57" s="70" t="s">
        <v>418</v>
      </c>
      <c r="Q57" s="19"/>
      <c r="T57" s="73"/>
    </row>
    <row r="58" spans="1:20" s="169" customFormat="1">
      <c r="A58" s="407" t="s">
        <v>46</v>
      </c>
      <c r="B58" s="77" t="s">
        <v>540</v>
      </c>
      <c r="C58" s="70" t="s">
        <v>17</v>
      </c>
      <c r="D58" s="39">
        <v>0</v>
      </c>
      <c r="E58" s="39">
        <v>0</v>
      </c>
      <c r="F58" s="39">
        <v>0</v>
      </c>
      <c r="G58" s="39">
        <v>0</v>
      </c>
      <c r="H58" s="406">
        <f>SUM(Tabla1325[[#This Row],[PRIMER TRIMESTRE]:[CUARTO TRIMESTRE]])</f>
        <v>0</v>
      </c>
      <c r="I58" s="72">
        <v>450</v>
      </c>
      <c r="J58" s="72">
        <f t="shared" si="0"/>
        <v>0</v>
      </c>
      <c r="K58" s="72"/>
      <c r="L58" s="73" t="s">
        <v>15</v>
      </c>
      <c r="M58" s="73" t="s">
        <v>22</v>
      </c>
      <c r="N58" s="70" t="s">
        <v>418</v>
      </c>
      <c r="Q58" s="19"/>
      <c r="T58" s="73"/>
    </row>
    <row r="59" spans="1:20" s="169" customFormat="1">
      <c r="A59" s="407" t="s">
        <v>46</v>
      </c>
      <c r="B59" s="77" t="s">
        <v>541</v>
      </c>
      <c r="C59" s="70" t="s">
        <v>17</v>
      </c>
      <c r="D59" s="39">
        <v>0</v>
      </c>
      <c r="E59" s="39">
        <v>0</v>
      </c>
      <c r="F59" s="39">
        <v>0</v>
      </c>
      <c r="G59" s="39">
        <v>0</v>
      </c>
      <c r="H59" s="406">
        <f>SUM(Tabla1325[[#This Row],[PRIMER TRIMESTRE]:[CUARTO TRIMESTRE]])</f>
        <v>0</v>
      </c>
      <c r="I59" s="72">
        <v>450</v>
      </c>
      <c r="J59" s="72">
        <f t="shared" si="0"/>
        <v>0</v>
      </c>
      <c r="K59" s="72"/>
      <c r="L59" s="73" t="s">
        <v>15</v>
      </c>
      <c r="M59" s="73" t="s">
        <v>22</v>
      </c>
      <c r="N59" s="70" t="s">
        <v>418</v>
      </c>
      <c r="Q59" s="19"/>
      <c r="T59" s="73"/>
    </row>
    <row r="60" spans="1:20" s="169" customFormat="1">
      <c r="A60" s="407" t="s">
        <v>46</v>
      </c>
      <c r="B60" s="77" t="s">
        <v>542</v>
      </c>
      <c r="C60" s="70" t="s">
        <v>17</v>
      </c>
      <c r="D60" s="39">
        <v>0</v>
      </c>
      <c r="E60" s="39">
        <v>0</v>
      </c>
      <c r="F60" s="39">
        <v>0</v>
      </c>
      <c r="G60" s="39">
        <v>0</v>
      </c>
      <c r="H60" s="406">
        <f>SUM(Tabla1325[[#This Row],[PRIMER TRIMESTRE]:[CUARTO TRIMESTRE]])</f>
        <v>0</v>
      </c>
      <c r="I60" s="72">
        <v>500</v>
      </c>
      <c r="J60" s="72">
        <f t="shared" si="0"/>
        <v>0</v>
      </c>
      <c r="K60" s="72"/>
      <c r="L60" s="73" t="s">
        <v>15</v>
      </c>
      <c r="M60" s="73" t="s">
        <v>22</v>
      </c>
      <c r="N60" s="70" t="s">
        <v>418</v>
      </c>
      <c r="Q60" s="19"/>
      <c r="T60" s="73"/>
    </row>
    <row r="61" spans="1:20" s="169" customFormat="1">
      <c r="A61" s="407" t="s">
        <v>46</v>
      </c>
      <c r="B61" s="77" t="s">
        <v>543</v>
      </c>
      <c r="C61" s="70" t="s">
        <v>17</v>
      </c>
      <c r="D61" s="39">
        <v>0</v>
      </c>
      <c r="E61" s="39">
        <v>0</v>
      </c>
      <c r="F61" s="39">
        <v>0</v>
      </c>
      <c r="G61" s="39">
        <v>0</v>
      </c>
      <c r="H61" s="406">
        <f>SUM(Tabla1325[[#This Row],[PRIMER TRIMESTRE]:[CUARTO TRIMESTRE]])</f>
        <v>0</v>
      </c>
      <c r="I61" s="72">
        <v>500</v>
      </c>
      <c r="J61" s="72">
        <f t="shared" si="0"/>
        <v>0</v>
      </c>
      <c r="K61" s="72"/>
      <c r="L61" s="73" t="s">
        <v>15</v>
      </c>
      <c r="M61" s="73" t="s">
        <v>22</v>
      </c>
      <c r="N61" s="70" t="s">
        <v>418</v>
      </c>
      <c r="Q61" s="19"/>
      <c r="T61" s="73"/>
    </row>
    <row r="62" spans="1:20" s="169" customFormat="1">
      <c r="A62" s="407" t="s">
        <v>46</v>
      </c>
      <c r="B62" s="77" t="s">
        <v>544</v>
      </c>
      <c r="C62" s="70" t="s">
        <v>17</v>
      </c>
      <c r="D62" s="39">
        <v>0</v>
      </c>
      <c r="E62" s="39">
        <v>0</v>
      </c>
      <c r="F62" s="39">
        <v>0</v>
      </c>
      <c r="G62" s="39">
        <v>0</v>
      </c>
      <c r="H62" s="406">
        <f>SUM(Tabla1325[[#This Row],[PRIMER TRIMESTRE]:[CUARTO TRIMESTRE]])</f>
        <v>0</v>
      </c>
      <c r="I62" s="72">
        <v>400</v>
      </c>
      <c r="J62" s="72">
        <f t="shared" si="0"/>
        <v>0</v>
      </c>
      <c r="K62" s="72"/>
      <c r="L62" s="73" t="s">
        <v>15</v>
      </c>
      <c r="M62" s="73" t="s">
        <v>22</v>
      </c>
      <c r="N62" s="70" t="s">
        <v>418</v>
      </c>
      <c r="Q62" s="19"/>
      <c r="T62" s="73"/>
    </row>
    <row r="63" spans="1:20" s="169" customFormat="1">
      <c r="A63" s="407" t="s">
        <v>46</v>
      </c>
      <c r="B63" s="77" t="s">
        <v>545</v>
      </c>
      <c r="C63" s="70" t="s">
        <v>17</v>
      </c>
      <c r="D63" s="39">
        <v>0</v>
      </c>
      <c r="E63" s="39">
        <v>0</v>
      </c>
      <c r="F63" s="39">
        <v>0</v>
      </c>
      <c r="G63" s="39">
        <v>0</v>
      </c>
      <c r="H63" s="406">
        <f>SUM(Tabla1325[[#This Row],[PRIMER TRIMESTRE]:[CUARTO TRIMESTRE]])</f>
        <v>0</v>
      </c>
      <c r="I63" s="72">
        <v>400</v>
      </c>
      <c r="J63" s="72">
        <f t="shared" si="0"/>
        <v>0</v>
      </c>
      <c r="K63" s="72"/>
      <c r="L63" s="73" t="s">
        <v>15</v>
      </c>
      <c r="M63" s="73" t="s">
        <v>22</v>
      </c>
      <c r="N63" s="70" t="s">
        <v>418</v>
      </c>
      <c r="Q63" s="19"/>
      <c r="T63" s="73"/>
    </row>
    <row r="64" spans="1:20" s="169" customFormat="1">
      <c r="A64" s="407" t="s">
        <v>46</v>
      </c>
      <c r="B64" s="77" t="s">
        <v>546</v>
      </c>
      <c r="C64" s="70" t="s">
        <v>17</v>
      </c>
      <c r="D64" s="39">
        <v>0</v>
      </c>
      <c r="E64" s="39">
        <v>0</v>
      </c>
      <c r="F64" s="39">
        <v>0</v>
      </c>
      <c r="G64" s="39">
        <v>0</v>
      </c>
      <c r="H64" s="406">
        <f>SUM(Tabla1325[[#This Row],[PRIMER TRIMESTRE]:[CUARTO TRIMESTRE]])</f>
        <v>0</v>
      </c>
      <c r="I64" s="72">
        <v>400</v>
      </c>
      <c r="J64" s="72">
        <f t="shared" si="0"/>
        <v>0</v>
      </c>
      <c r="K64" s="72"/>
      <c r="L64" s="73" t="s">
        <v>15</v>
      </c>
      <c r="M64" s="73" t="s">
        <v>22</v>
      </c>
      <c r="N64" s="70" t="s">
        <v>418</v>
      </c>
      <c r="Q64" s="19"/>
      <c r="T64" s="73"/>
    </row>
    <row r="65" spans="1:20" s="169" customFormat="1">
      <c r="A65" s="407" t="s">
        <v>46</v>
      </c>
      <c r="B65" s="77" t="s">
        <v>547</v>
      </c>
      <c r="C65" s="70" t="s">
        <v>17</v>
      </c>
      <c r="D65" s="39">
        <v>0</v>
      </c>
      <c r="E65" s="39">
        <v>0</v>
      </c>
      <c r="F65" s="39">
        <v>0</v>
      </c>
      <c r="G65" s="39">
        <v>0</v>
      </c>
      <c r="H65" s="406">
        <f>SUM(Tabla1325[[#This Row],[PRIMER TRIMESTRE]:[CUARTO TRIMESTRE]])</f>
        <v>0</v>
      </c>
      <c r="I65" s="72">
        <v>375</v>
      </c>
      <c r="J65" s="72">
        <f t="shared" si="0"/>
        <v>0</v>
      </c>
      <c r="K65" s="72"/>
      <c r="L65" s="73" t="s">
        <v>15</v>
      </c>
      <c r="M65" s="73" t="s">
        <v>22</v>
      </c>
      <c r="N65" s="70" t="s">
        <v>418</v>
      </c>
      <c r="Q65" s="19"/>
      <c r="T65" s="73"/>
    </row>
    <row r="66" spans="1:20" s="169" customFormat="1">
      <c r="A66" s="407" t="s">
        <v>46</v>
      </c>
      <c r="B66" s="77" t="s">
        <v>548</v>
      </c>
      <c r="C66" s="70" t="s">
        <v>17</v>
      </c>
      <c r="D66" s="39">
        <v>0</v>
      </c>
      <c r="E66" s="39">
        <v>0</v>
      </c>
      <c r="F66" s="39">
        <v>0</v>
      </c>
      <c r="G66" s="39">
        <v>0</v>
      </c>
      <c r="H66" s="406">
        <f>SUM(Tabla1325[[#This Row],[PRIMER TRIMESTRE]:[CUARTO TRIMESTRE]])</f>
        <v>0</v>
      </c>
      <c r="I66" s="72">
        <v>300</v>
      </c>
      <c r="J66" s="72">
        <f t="shared" si="0"/>
        <v>0</v>
      </c>
      <c r="K66" s="72"/>
      <c r="L66" s="73" t="s">
        <v>15</v>
      </c>
      <c r="M66" s="73" t="s">
        <v>22</v>
      </c>
      <c r="N66" s="70" t="s">
        <v>418</v>
      </c>
      <c r="Q66" s="19"/>
      <c r="T66" s="73"/>
    </row>
    <row r="67" spans="1:20" s="169" customFormat="1">
      <c r="A67" s="407" t="s">
        <v>46</v>
      </c>
      <c r="B67" s="77" t="s">
        <v>549</v>
      </c>
      <c r="C67" s="70" t="s">
        <v>17</v>
      </c>
      <c r="D67" s="39">
        <v>0</v>
      </c>
      <c r="E67" s="39">
        <v>0</v>
      </c>
      <c r="F67" s="39">
        <v>0</v>
      </c>
      <c r="G67" s="39">
        <v>0</v>
      </c>
      <c r="H67" s="406">
        <f>SUM(Tabla1325[[#This Row],[PRIMER TRIMESTRE]:[CUARTO TRIMESTRE]])</f>
        <v>0</v>
      </c>
      <c r="I67" s="72">
        <v>400</v>
      </c>
      <c r="J67" s="72">
        <f t="shared" si="0"/>
        <v>0</v>
      </c>
      <c r="K67" s="72"/>
      <c r="L67" s="73" t="s">
        <v>15</v>
      </c>
      <c r="M67" s="73" t="s">
        <v>22</v>
      </c>
      <c r="N67" s="70" t="s">
        <v>418</v>
      </c>
      <c r="Q67" s="19"/>
      <c r="T67" s="73"/>
    </row>
    <row r="68" spans="1:20" s="26" customFormat="1">
      <c r="A68" s="22" t="s">
        <v>46</v>
      </c>
      <c r="B68" s="76"/>
      <c r="C68" s="42"/>
      <c r="D68" s="39">
        <v>0</v>
      </c>
      <c r="E68" s="39">
        <v>0</v>
      </c>
      <c r="F68" s="39">
        <v>0</v>
      </c>
      <c r="G68" s="39">
        <v>0</v>
      </c>
      <c r="H68" s="43">
        <f>SUM(Tabla1325[[#This Row],[PRIMER TRIMESTRE]:[CUARTO TRIMESTRE]])</f>
        <v>0</v>
      </c>
      <c r="I68" s="24"/>
      <c r="J68" s="24"/>
      <c r="K68" s="25">
        <f>SUBTOTAL(109,J29:J67)</f>
        <v>22729529.600000001</v>
      </c>
      <c r="L68" s="23"/>
      <c r="M68" s="23"/>
      <c r="N68" s="42"/>
      <c r="Q68" s="27"/>
      <c r="T68" s="23"/>
    </row>
    <row r="69" spans="1:20" s="169" customFormat="1" ht="31.5">
      <c r="A69" s="407" t="s">
        <v>56</v>
      </c>
      <c r="B69" s="77" t="s">
        <v>563</v>
      </c>
      <c r="C69" s="70" t="s">
        <v>17</v>
      </c>
      <c r="D69" s="39">
        <v>0</v>
      </c>
      <c r="E69" s="39">
        <v>0</v>
      </c>
      <c r="F69" s="39">
        <v>0</v>
      </c>
      <c r="G69" s="39">
        <v>0</v>
      </c>
      <c r="H69" s="406">
        <f>SUM(Tabla1325[[#This Row],[PRIMER TRIMESTRE]:[CUARTO TRIMESTRE]])</f>
        <v>0</v>
      </c>
      <c r="I69" s="72">
        <v>4500</v>
      </c>
      <c r="J69" s="72">
        <f>+H69*I69</f>
        <v>0</v>
      </c>
      <c r="K69" s="72"/>
      <c r="L69" s="73" t="s">
        <v>27</v>
      </c>
      <c r="M69" s="73" t="s">
        <v>22</v>
      </c>
      <c r="N69" s="70" t="s">
        <v>418</v>
      </c>
      <c r="Q69" s="19"/>
      <c r="T69" s="73"/>
    </row>
    <row r="70" spans="1:20" s="169" customFormat="1" ht="31.5">
      <c r="A70" s="407" t="s">
        <v>56</v>
      </c>
      <c r="B70" s="77" t="s">
        <v>562</v>
      </c>
      <c r="C70" s="70" t="s">
        <v>17</v>
      </c>
      <c r="D70" s="39">
        <v>0</v>
      </c>
      <c r="E70" s="39">
        <v>0</v>
      </c>
      <c r="F70" s="39">
        <v>0</v>
      </c>
      <c r="G70" s="39">
        <v>0</v>
      </c>
      <c r="H70" s="406">
        <f>SUM(Tabla1325[[#This Row],[PRIMER TRIMESTRE]:[CUARTO TRIMESTRE]])</f>
        <v>0</v>
      </c>
      <c r="I70" s="72">
        <v>6800</v>
      </c>
      <c r="J70" s="72">
        <f>+H70*I70</f>
        <v>0</v>
      </c>
      <c r="K70" s="72"/>
      <c r="L70" s="73" t="s">
        <v>27</v>
      </c>
      <c r="M70" s="73" t="s">
        <v>22</v>
      </c>
      <c r="N70" s="70" t="s">
        <v>418</v>
      </c>
      <c r="Q70" s="19"/>
      <c r="T70" s="73"/>
    </row>
    <row r="71" spans="1:20" s="169" customFormat="1" ht="31.5">
      <c r="A71" s="407" t="s">
        <v>56</v>
      </c>
      <c r="B71" s="77" t="s">
        <v>61</v>
      </c>
      <c r="C71" s="70" t="s">
        <v>17</v>
      </c>
      <c r="D71" s="39">
        <v>0</v>
      </c>
      <c r="E71" s="39">
        <v>0</v>
      </c>
      <c r="F71" s="39">
        <v>0</v>
      </c>
      <c r="G71" s="39">
        <v>0</v>
      </c>
      <c r="H71" s="406">
        <f>SUM(Tabla1325[[#This Row],[PRIMER TRIMESTRE]:[CUARTO TRIMESTRE]])</f>
        <v>0</v>
      </c>
      <c r="I71" s="72">
        <f>3600*1.2</f>
        <v>4320</v>
      </c>
      <c r="J71" s="72">
        <f>+Tabla1325[[#This Row],[CANTIDAD TOTAL]]*Tabla1325[[#This Row],[PRECIO UNITARIO ESTIMADO]]</f>
        <v>0</v>
      </c>
      <c r="K71" s="72"/>
      <c r="L71" s="73" t="s">
        <v>27</v>
      </c>
      <c r="M71" s="73" t="s">
        <v>22</v>
      </c>
      <c r="N71" s="70" t="s">
        <v>418</v>
      </c>
      <c r="Q71" s="19" t="s">
        <v>62</v>
      </c>
      <c r="T71" s="73"/>
    </row>
    <row r="72" spans="1:20" s="169" customFormat="1" ht="31.5">
      <c r="A72" s="407" t="s">
        <v>56</v>
      </c>
      <c r="B72" s="77" t="s">
        <v>63</v>
      </c>
      <c r="C72" s="70" t="s">
        <v>17</v>
      </c>
      <c r="D72" s="39">
        <v>0</v>
      </c>
      <c r="E72" s="39">
        <v>0</v>
      </c>
      <c r="F72" s="39">
        <v>0</v>
      </c>
      <c r="G72" s="39">
        <v>0</v>
      </c>
      <c r="H72" s="406">
        <f>SUM(Tabla1325[[#This Row],[PRIMER TRIMESTRE]:[CUARTO TRIMESTRE]])</f>
        <v>0</v>
      </c>
      <c r="I72" s="72">
        <v>6409</v>
      </c>
      <c r="J72" s="72">
        <f>+Tabla1325[[#This Row],[CANTIDAD TOTAL]]*Tabla1325[[#This Row],[PRECIO UNITARIO ESTIMADO]]</f>
        <v>0</v>
      </c>
      <c r="K72" s="72"/>
      <c r="L72" s="73" t="s">
        <v>27</v>
      </c>
      <c r="M72" s="73" t="s">
        <v>22</v>
      </c>
      <c r="N72" s="70" t="s">
        <v>418</v>
      </c>
      <c r="Q72" s="19"/>
      <c r="T72" s="73"/>
    </row>
    <row r="73" spans="1:20" s="169" customFormat="1" ht="31.5">
      <c r="A73" s="407" t="s">
        <v>56</v>
      </c>
      <c r="B73" s="77" t="s">
        <v>64</v>
      </c>
      <c r="C73" s="70" t="s">
        <v>17</v>
      </c>
      <c r="D73" s="39">
        <v>0</v>
      </c>
      <c r="E73" s="39">
        <v>0</v>
      </c>
      <c r="F73" s="39">
        <v>0</v>
      </c>
      <c r="G73" s="39">
        <v>0</v>
      </c>
      <c r="H73" s="406">
        <f>SUM(Tabla1325[[#This Row],[PRIMER TRIMESTRE]:[CUARTO TRIMESTRE]])</f>
        <v>0</v>
      </c>
      <c r="I73" s="72">
        <v>6500</v>
      </c>
      <c r="J73" s="72">
        <f>+Tabla1325[[#This Row],[CANTIDAD TOTAL]]*Tabla1325[[#This Row],[PRECIO UNITARIO ESTIMADO]]</f>
        <v>0</v>
      </c>
      <c r="K73" s="72"/>
      <c r="L73" s="73" t="s">
        <v>27</v>
      </c>
      <c r="M73" s="73" t="s">
        <v>22</v>
      </c>
      <c r="N73" s="70" t="s">
        <v>418</v>
      </c>
      <c r="Q73" s="19"/>
      <c r="T73" s="73"/>
    </row>
    <row r="74" spans="1:20" s="169" customFormat="1" ht="31.5">
      <c r="A74" s="407" t="s">
        <v>56</v>
      </c>
      <c r="B74" s="77" t="s">
        <v>65</v>
      </c>
      <c r="C74" s="70" t="s">
        <v>17</v>
      </c>
      <c r="D74" s="39">
        <v>0</v>
      </c>
      <c r="E74" s="39">
        <v>0</v>
      </c>
      <c r="F74" s="39">
        <v>0</v>
      </c>
      <c r="G74" s="39">
        <v>0</v>
      </c>
      <c r="H74" s="406">
        <f>SUM(Tabla1325[[#This Row],[PRIMER TRIMESTRE]:[CUARTO TRIMESTRE]])</f>
        <v>0</v>
      </c>
      <c r="I74" s="72">
        <v>7965.33</v>
      </c>
      <c r="J74" s="72">
        <f>+Tabla1325[[#This Row],[CANTIDAD TOTAL]]*Tabla1325[[#This Row],[PRECIO UNITARIO ESTIMADO]]</f>
        <v>0</v>
      </c>
      <c r="K74" s="72"/>
      <c r="L74" s="73" t="s">
        <v>27</v>
      </c>
      <c r="M74" s="73" t="s">
        <v>22</v>
      </c>
      <c r="N74" s="70" t="s">
        <v>418</v>
      </c>
      <c r="Q74" s="19"/>
      <c r="T74" s="73"/>
    </row>
    <row r="75" spans="1:20" s="169" customFormat="1" ht="31.5">
      <c r="A75" s="407" t="s">
        <v>56</v>
      </c>
      <c r="B75" s="77" t="s">
        <v>66</v>
      </c>
      <c r="C75" s="70" t="s">
        <v>17</v>
      </c>
      <c r="D75" s="39">
        <v>0</v>
      </c>
      <c r="E75" s="39">
        <v>0</v>
      </c>
      <c r="F75" s="39">
        <v>0</v>
      </c>
      <c r="G75" s="39">
        <v>0</v>
      </c>
      <c r="H75" s="406">
        <f>SUM(Tabla1325[[#This Row],[PRIMER TRIMESTRE]:[CUARTO TRIMESTRE]])</f>
        <v>0</v>
      </c>
      <c r="I75" s="72">
        <v>9976</v>
      </c>
      <c r="J75" s="72">
        <f>+Tabla1325[[#This Row],[CANTIDAD TOTAL]]*Tabla1325[[#This Row],[PRECIO UNITARIO ESTIMADO]]</f>
        <v>0</v>
      </c>
      <c r="K75" s="72"/>
      <c r="L75" s="73" t="s">
        <v>27</v>
      </c>
      <c r="M75" s="73" t="s">
        <v>22</v>
      </c>
      <c r="N75" s="70" t="s">
        <v>418</v>
      </c>
      <c r="Q75" s="19" t="s">
        <v>67</v>
      </c>
      <c r="T75" s="73"/>
    </row>
    <row r="76" spans="1:20" s="169" customFormat="1" ht="31.5">
      <c r="A76" s="407" t="s">
        <v>56</v>
      </c>
      <c r="B76" s="77" t="s">
        <v>765</v>
      </c>
      <c r="C76" s="70" t="s">
        <v>17</v>
      </c>
      <c r="D76" s="39">
        <v>0</v>
      </c>
      <c r="E76" s="39">
        <v>0</v>
      </c>
      <c r="F76" s="39">
        <v>0</v>
      </c>
      <c r="G76" s="39">
        <v>0</v>
      </c>
      <c r="H76" s="406">
        <f>SUM(Tabla1325[[#This Row],[PRIMER TRIMESTRE]:[CUARTO TRIMESTRE]])</f>
        <v>0</v>
      </c>
      <c r="I76" s="72">
        <v>11500</v>
      </c>
      <c r="J76" s="72">
        <f>+H76*I76</f>
        <v>0</v>
      </c>
      <c r="K76" s="72"/>
      <c r="L76" s="73" t="s">
        <v>27</v>
      </c>
      <c r="M76" s="73" t="s">
        <v>22</v>
      </c>
      <c r="N76" s="70" t="s">
        <v>418</v>
      </c>
      <c r="Q76" s="19"/>
      <c r="T76" s="73"/>
    </row>
    <row r="77" spans="1:20" s="26" customFormat="1" ht="31.5">
      <c r="A77" s="22" t="s">
        <v>56</v>
      </c>
      <c r="B77" s="76"/>
      <c r="C77" s="42"/>
      <c r="D77" s="39">
        <v>0</v>
      </c>
      <c r="E77" s="39">
        <v>0</v>
      </c>
      <c r="F77" s="39">
        <v>0</v>
      </c>
      <c r="G77" s="39">
        <v>0</v>
      </c>
      <c r="H77" s="43">
        <f>SUM(Tabla1325[[#This Row],[PRIMER TRIMESTRE]:[CUARTO TRIMESTRE]])</f>
        <v>0</v>
      </c>
      <c r="I77" s="24"/>
      <c r="J77" s="24"/>
      <c r="K77" s="25">
        <f>SUM(J69:J76)</f>
        <v>0</v>
      </c>
      <c r="L77" s="23"/>
      <c r="M77" s="23"/>
      <c r="N77" s="42"/>
      <c r="Q77" s="27"/>
      <c r="T77" s="23"/>
    </row>
    <row r="78" spans="1:20" s="12" customFormat="1">
      <c r="A78" s="15" t="s">
        <v>62</v>
      </c>
      <c r="B78" s="75" t="s">
        <v>68</v>
      </c>
      <c r="C78" s="39" t="s">
        <v>69</v>
      </c>
      <c r="D78" s="39">
        <v>0</v>
      </c>
      <c r="E78" s="39">
        <v>0</v>
      </c>
      <c r="F78" s="39">
        <v>0</v>
      </c>
      <c r="G78" s="39">
        <v>0</v>
      </c>
      <c r="H78" s="40">
        <f>SUM(Tabla1325[[#This Row],[PRIMER TRIMESTRE]:[CUARTO TRIMESTRE]])</f>
        <v>0</v>
      </c>
      <c r="I78" s="17">
        <v>320.89999999999998</v>
      </c>
      <c r="J78" s="17">
        <f>+Tabla1325[[#This Row],[CANTIDAD TOTAL]]*Tabla1325[[#This Row],[PRECIO UNITARIO ESTIMADO]]</f>
        <v>0</v>
      </c>
      <c r="K78" s="17"/>
      <c r="L78" s="16" t="s">
        <v>15</v>
      </c>
      <c r="M78" s="16" t="s">
        <v>22</v>
      </c>
      <c r="N78" s="39" t="s">
        <v>418</v>
      </c>
      <c r="Q78" s="19" t="s">
        <v>70</v>
      </c>
      <c r="T78" s="16"/>
    </row>
    <row r="79" spans="1:20" s="12" customFormat="1">
      <c r="A79" s="15" t="s">
        <v>62</v>
      </c>
      <c r="B79" s="75" t="s">
        <v>461</v>
      </c>
      <c r="C79" s="39" t="s">
        <v>69</v>
      </c>
      <c r="D79" s="39">
        <v>0</v>
      </c>
      <c r="E79" s="39">
        <v>0</v>
      </c>
      <c r="F79" s="39">
        <v>0</v>
      </c>
      <c r="G79" s="39">
        <v>0</v>
      </c>
      <c r="H79" s="40">
        <f>SUM(Tabla1325[[#This Row],[PRIMER TRIMESTRE]:[CUARTO TRIMESTRE]])</f>
        <v>0</v>
      </c>
      <c r="I79" s="17">
        <v>561.17999999999995</v>
      </c>
      <c r="J79" s="17">
        <f>+H79*I79</f>
        <v>0</v>
      </c>
      <c r="K79" s="17"/>
      <c r="L79" s="16" t="s">
        <v>15</v>
      </c>
      <c r="M79" s="16" t="s">
        <v>22</v>
      </c>
      <c r="N79" s="39" t="s">
        <v>418</v>
      </c>
      <c r="Q79" s="19"/>
      <c r="T79" s="16"/>
    </row>
    <row r="80" spans="1:20" s="12" customFormat="1">
      <c r="A80" s="15" t="s">
        <v>62</v>
      </c>
      <c r="B80" s="75" t="s">
        <v>567</v>
      </c>
      <c r="C80" s="39" t="s">
        <v>17</v>
      </c>
      <c r="D80" s="39">
        <v>0</v>
      </c>
      <c r="E80" s="39">
        <v>0</v>
      </c>
      <c r="F80" s="39">
        <v>0</v>
      </c>
      <c r="G80" s="39">
        <v>0</v>
      </c>
      <c r="H80" s="40">
        <f>SUM(Tabla1325[[#This Row],[PRIMER TRIMESTRE]:[CUARTO TRIMESTRE]])</f>
        <v>0</v>
      </c>
      <c r="I80" s="17">
        <v>350</v>
      </c>
      <c r="J80" s="17">
        <f>+Tabla1325[[#This Row],[CANTIDAD TOTAL]]*Tabla1325[[#This Row],[PRECIO UNITARIO ESTIMADO]]</f>
        <v>0</v>
      </c>
      <c r="K80" s="17"/>
      <c r="L80" s="16" t="s">
        <v>15</v>
      </c>
      <c r="M80" s="16" t="s">
        <v>22</v>
      </c>
      <c r="N80" s="39" t="s">
        <v>418</v>
      </c>
      <c r="Q80" s="19"/>
    </row>
    <row r="81" spans="1:20" s="12" customFormat="1">
      <c r="A81" s="15" t="s">
        <v>62</v>
      </c>
      <c r="B81" s="106" t="s">
        <v>472</v>
      </c>
      <c r="C81" s="39" t="s">
        <v>17</v>
      </c>
      <c r="D81" s="39">
        <v>500</v>
      </c>
      <c r="E81" s="39">
        <v>500</v>
      </c>
      <c r="F81" s="39">
        <v>500</v>
      </c>
      <c r="G81" s="39">
        <v>500</v>
      </c>
      <c r="H81" s="40">
        <f>SUM(Tabla1325[[#This Row],[PRIMER TRIMESTRE]:[CUARTO TRIMESTRE]])</f>
        <v>2000</v>
      </c>
      <c r="I81" s="17">
        <v>450.4</v>
      </c>
      <c r="J81" s="17">
        <f>+H81*I81</f>
        <v>900800</v>
      </c>
      <c r="K81" s="17"/>
      <c r="L81" s="16" t="s">
        <v>15</v>
      </c>
      <c r="M81" s="16" t="s">
        <v>22</v>
      </c>
      <c r="N81" s="39" t="s">
        <v>418</v>
      </c>
      <c r="Q81" s="19"/>
    </row>
    <row r="82" spans="1:20" s="12" customFormat="1">
      <c r="A82" s="15" t="s">
        <v>62</v>
      </c>
      <c r="B82" s="75" t="s">
        <v>440</v>
      </c>
      <c r="C82" s="39" t="s">
        <v>17</v>
      </c>
      <c r="D82" s="39">
        <v>0</v>
      </c>
      <c r="E82" s="39">
        <v>0</v>
      </c>
      <c r="F82" s="39">
        <v>0</v>
      </c>
      <c r="G82" s="39">
        <v>0</v>
      </c>
      <c r="H82" s="40">
        <f>SUM(Tabla1325[[#This Row],[PRIMER TRIMESTRE]:[CUARTO TRIMESTRE]])</f>
        <v>0</v>
      </c>
      <c r="I82" s="17">
        <v>7000</v>
      </c>
      <c r="J82" s="17">
        <f>+H82*I82</f>
        <v>0</v>
      </c>
      <c r="K82" s="17"/>
      <c r="L82" s="16" t="s">
        <v>15</v>
      </c>
      <c r="M82" s="16" t="s">
        <v>22</v>
      </c>
      <c r="N82" s="39" t="s">
        <v>418</v>
      </c>
      <c r="Q82" s="19"/>
    </row>
    <row r="83" spans="1:20" s="12" customFormat="1">
      <c r="A83" s="15" t="s">
        <v>62</v>
      </c>
      <c r="B83" s="75" t="s">
        <v>435</v>
      </c>
      <c r="C83" s="39" t="s">
        <v>17</v>
      </c>
      <c r="D83" s="39">
        <v>0</v>
      </c>
      <c r="E83" s="39">
        <v>0</v>
      </c>
      <c r="F83" s="39">
        <v>0</v>
      </c>
      <c r="G83" s="39">
        <v>0</v>
      </c>
      <c r="H83" s="40">
        <f>SUM(Tabla1325[[#This Row],[PRIMER TRIMESTRE]:[CUARTO TRIMESTRE]])</f>
        <v>0</v>
      </c>
      <c r="I83" s="17">
        <v>110</v>
      </c>
      <c r="J83" s="17">
        <f>+Tabla1325[[#This Row],[CANTIDAD TOTAL]]*Tabla1325[[#This Row],[PRECIO UNITARIO ESTIMADO]]</f>
        <v>0</v>
      </c>
      <c r="K83" s="17"/>
      <c r="L83" s="16" t="s">
        <v>15</v>
      </c>
      <c r="M83" s="16" t="s">
        <v>22</v>
      </c>
      <c r="N83" s="39" t="s">
        <v>418</v>
      </c>
      <c r="Q83" s="19"/>
    </row>
    <row r="84" spans="1:20" s="12" customFormat="1">
      <c r="A84" s="15" t="s">
        <v>62</v>
      </c>
      <c r="B84" s="75" t="s">
        <v>729</v>
      </c>
      <c r="C84" s="39" t="s">
        <v>17</v>
      </c>
      <c r="D84" s="39">
        <v>0</v>
      </c>
      <c r="E84" s="39">
        <v>0</v>
      </c>
      <c r="F84" s="39">
        <v>0</v>
      </c>
      <c r="G84" s="39">
        <v>0</v>
      </c>
      <c r="H84" s="40">
        <f>SUM(Tabla1325[[#This Row],[PRIMER TRIMESTRE]:[CUARTO TRIMESTRE]])</f>
        <v>0</v>
      </c>
      <c r="I84" s="17">
        <v>260</v>
      </c>
      <c r="J84" s="17">
        <f>+Tabla1325[[#This Row],[CANTIDAD TOTAL]]*Tabla1325[[#This Row],[PRECIO UNITARIO ESTIMADO]]</f>
        <v>0</v>
      </c>
      <c r="K84" s="17"/>
      <c r="L84" s="16" t="s">
        <v>15</v>
      </c>
      <c r="M84" s="16" t="s">
        <v>22</v>
      </c>
      <c r="N84" s="39" t="s">
        <v>418</v>
      </c>
      <c r="Q84" s="19" t="s">
        <v>176</v>
      </c>
    </row>
    <row r="85" spans="1:20" s="12" customFormat="1">
      <c r="A85" s="15" t="s">
        <v>62</v>
      </c>
      <c r="B85" s="106" t="s">
        <v>731</v>
      </c>
      <c r="C85" s="39" t="s">
        <v>17</v>
      </c>
      <c r="D85" s="39">
        <v>90</v>
      </c>
      <c r="E85" s="39">
        <v>90</v>
      </c>
      <c r="F85" s="39">
        <v>90</v>
      </c>
      <c r="G85" s="39">
        <v>90</v>
      </c>
      <c r="H85" s="40">
        <f>SUM(Tabla1325[[#This Row],[PRIMER TRIMESTRE]:[CUARTO TRIMESTRE]])</f>
        <v>360</v>
      </c>
      <c r="I85" s="17">
        <v>375</v>
      </c>
      <c r="J85" s="17">
        <f>+Tabla1325[[#This Row],[CANTIDAD TOTAL]]*Tabla1325[[#This Row],[PRECIO UNITARIO ESTIMADO]]</f>
        <v>135000</v>
      </c>
      <c r="K85" s="17"/>
      <c r="L85" s="16" t="s">
        <v>15</v>
      </c>
      <c r="M85" s="16" t="s">
        <v>22</v>
      </c>
      <c r="N85" s="39" t="s">
        <v>418</v>
      </c>
      <c r="Q85" s="19" t="s">
        <v>71</v>
      </c>
      <c r="T85" s="16"/>
    </row>
    <row r="86" spans="1:20" s="12" customFormat="1">
      <c r="A86" s="15" t="s">
        <v>62</v>
      </c>
      <c r="B86" s="106" t="s">
        <v>72</v>
      </c>
      <c r="C86" s="39" t="s">
        <v>17</v>
      </c>
      <c r="D86" s="39">
        <v>2000</v>
      </c>
      <c r="E86" s="39">
        <v>2000</v>
      </c>
      <c r="F86" s="39">
        <v>2000</v>
      </c>
      <c r="G86" s="39">
        <v>2000</v>
      </c>
      <c r="H86" s="40">
        <f>SUM(Tabla1325[[#This Row],[PRIMER TRIMESTRE]:[CUARTO TRIMESTRE]])</f>
        <v>8000</v>
      </c>
      <c r="I86" s="72">
        <v>295</v>
      </c>
      <c r="J86" s="17">
        <f>+Tabla1325[[#This Row],[CANTIDAD TOTAL]]*Tabla1325[[#This Row],[PRECIO UNITARIO ESTIMADO]]</f>
        <v>2360000</v>
      </c>
      <c r="K86" s="17"/>
      <c r="L86" s="16" t="s">
        <v>15</v>
      </c>
      <c r="M86" s="16" t="s">
        <v>22</v>
      </c>
      <c r="N86" s="39" t="s">
        <v>418</v>
      </c>
      <c r="Q86" s="19" t="s">
        <v>73</v>
      </c>
      <c r="T86" s="16"/>
    </row>
    <row r="87" spans="1:20" s="12" customFormat="1">
      <c r="A87" s="15" t="s">
        <v>62</v>
      </c>
      <c r="B87" s="75" t="s">
        <v>467</v>
      </c>
      <c r="C87" s="39" t="s">
        <v>17</v>
      </c>
      <c r="D87" s="39">
        <v>0</v>
      </c>
      <c r="E87" s="39">
        <v>0</v>
      </c>
      <c r="F87" s="39">
        <v>0</v>
      </c>
      <c r="G87" s="39">
        <v>0</v>
      </c>
      <c r="H87" s="40">
        <f>SUM(Tabla1325[[#This Row],[PRIMER TRIMESTRE]:[CUARTO TRIMESTRE]])</f>
        <v>0</v>
      </c>
      <c r="I87" s="72">
        <v>852.71</v>
      </c>
      <c r="J87" s="17">
        <f>+H87*I87</f>
        <v>0</v>
      </c>
      <c r="K87" s="17"/>
      <c r="L87" s="16" t="s">
        <v>15</v>
      </c>
      <c r="M87" s="16"/>
      <c r="N87" s="39" t="s">
        <v>418</v>
      </c>
      <c r="Q87" s="19"/>
    </row>
    <row r="88" spans="1:20" s="12" customFormat="1">
      <c r="A88" s="15" t="s">
        <v>62</v>
      </c>
      <c r="B88" s="75" t="s">
        <v>432</v>
      </c>
      <c r="C88" s="39" t="s">
        <v>17</v>
      </c>
      <c r="D88" s="39">
        <v>0</v>
      </c>
      <c r="E88" s="39">
        <v>0</v>
      </c>
      <c r="F88" s="39">
        <v>0</v>
      </c>
      <c r="G88" s="39">
        <v>0</v>
      </c>
      <c r="H88" s="40">
        <f>SUM(Tabla1325[[#This Row],[PRIMER TRIMESTRE]:[CUARTO TRIMESTRE]])</f>
        <v>0</v>
      </c>
      <c r="I88" s="72">
        <v>350</v>
      </c>
      <c r="J88" s="17">
        <f>+Tabla1325[[#This Row],[CANTIDAD TOTAL]]*Tabla1325[[#This Row],[PRECIO UNITARIO ESTIMADO]]</f>
        <v>0</v>
      </c>
      <c r="K88" s="17"/>
      <c r="L88" s="16" t="s">
        <v>15</v>
      </c>
      <c r="M88" s="16" t="s">
        <v>22</v>
      </c>
      <c r="N88" s="39" t="s">
        <v>418</v>
      </c>
      <c r="Q88" s="19"/>
      <c r="T88" s="16"/>
    </row>
    <row r="89" spans="1:20" s="12" customFormat="1">
      <c r="A89" s="15" t="s">
        <v>62</v>
      </c>
      <c r="B89" s="106" t="s">
        <v>431</v>
      </c>
      <c r="C89" s="39" t="s">
        <v>17</v>
      </c>
      <c r="D89" s="39">
        <v>750</v>
      </c>
      <c r="E89" s="39">
        <v>750</v>
      </c>
      <c r="F89" s="39">
        <v>750</v>
      </c>
      <c r="G89" s="39">
        <v>750</v>
      </c>
      <c r="H89" s="40">
        <f>SUM(Tabla1325[[#This Row],[PRIMER TRIMESTRE]:[CUARTO TRIMESTRE]])</f>
        <v>3000</v>
      </c>
      <c r="I89" s="72">
        <v>397.45</v>
      </c>
      <c r="J89" s="17">
        <f>+Tabla1325[[#This Row],[CANTIDAD TOTAL]]*Tabla1325[[#This Row],[PRECIO UNITARIO ESTIMADO]]</f>
        <v>1192350</v>
      </c>
      <c r="K89" s="17"/>
      <c r="L89" s="16" t="s">
        <v>15</v>
      </c>
      <c r="M89" s="16" t="s">
        <v>22</v>
      </c>
      <c r="N89" s="39" t="s">
        <v>418</v>
      </c>
      <c r="Q89" s="19" t="s">
        <v>74</v>
      </c>
      <c r="T89" s="16"/>
    </row>
    <row r="90" spans="1:20" s="12" customFormat="1">
      <c r="A90" s="15" t="s">
        <v>62</v>
      </c>
      <c r="B90" s="106" t="s">
        <v>434</v>
      </c>
      <c r="C90" s="39" t="s">
        <v>17</v>
      </c>
      <c r="D90" s="39">
        <v>750</v>
      </c>
      <c r="E90" s="39">
        <v>750</v>
      </c>
      <c r="F90" s="39">
        <v>750</v>
      </c>
      <c r="G90" s="39">
        <v>750</v>
      </c>
      <c r="H90" s="40">
        <f>SUM(Tabla1325[[#This Row],[PRIMER TRIMESTRE]:[CUARTO TRIMESTRE]])</f>
        <v>3000</v>
      </c>
      <c r="I90" s="72">
        <v>1120.9100000000001</v>
      </c>
      <c r="J90" s="17">
        <f>+Tabla1325[[#This Row],[CANTIDAD TOTAL]]*Tabla1325[[#This Row],[PRECIO UNITARIO ESTIMADO]]</f>
        <v>3362730.0000000005</v>
      </c>
      <c r="K90" s="17"/>
      <c r="L90" s="16" t="s">
        <v>15</v>
      </c>
      <c r="M90" s="16" t="s">
        <v>22</v>
      </c>
      <c r="N90" s="39" t="s">
        <v>418</v>
      </c>
      <c r="Q90" s="19" t="s">
        <v>75</v>
      </c>
      <c r="T90" s="16"/>
    </row>
    <row r="91" spans="1:20" s="12" customFormat="1">
      <c r="A91" s="15" t="s">
        <v>62</v>
      </c>
      <c r="B91" s="75" t="s">
        <v>76</v>
      </c>
      <c r="C91" s="39" t="s">
        <v>17</v>
      </c>
      <c r="D91" s="39">
        <v>0</v>
      </c>
      <c r="E91" s="39">
        <v>0</v>
      </c>
      <c r="F91" s="39">
        <v>0</v>
      </c>
      <c r="G91" s="39">
        <v>0</v>
      </c>
      <c r="H91" s="40">
        <f>SUM(Tabla1325[[#This Row],[PRIMER TRIMESTRE]:[CUARTO TRIMESTRE]])</f>
        <v>0</v>
      </c>
      <c r="I91" s="17">
        <v>100.57</v>
      </c>
      <c r="J91" s="17">
        <f>+Tabla1325[[#This Row],[CANTIDAD TOTAL]]*Tabla1325[[#This Row],[PRECIO UNITARIO ESTIMADO]]</f>
        <v>0</v>
      </c>
      <c r="K91" s="17"/>
      <c r="L91" s="16" t="s">
        <v>15</v>
      </c>
      <c r="M91" s="16" t="s">
        <v>22</v>
      </c>
      <c r="N91" s="39" t="s">
        <v>418</v>
      </c>
      <c r="Q91" s="19" t="s">
        <v>77</v>
      </c>
    </row>
    <row r="92" spans="1:20" s="12" customFormat="1">
      <c r="A92" s="15" t="s">
        <v>62</v>
      </c>
      <c r="B92" s="75" t="s">
        <v>433</v>
      </c>
      <c r="C92" s="39" t="s">
        <v>17</v>
      </c>
      <c r="D92" s="39">
        <v>0</v>
      </c>
      <c r="E92" s="39">
        <v>0</v>
      </c>
      <c r="F92" s="39">
        <v>0</v>
      </c>
      <c r="G92" s="39">
        <v>0</v>
      </c>
      <c r="H92" s="40">
        <f>SUM(Tabla1325[[#This Row],[PRIMER TRIMESTRE]:[CUARTO TRIMESTRE]])</f>
        <v>0</v>
      </c>
      <c r="I92" s="17">
        <v>1144.23</v>
      </c>
      <c r="J92" s="17">
        <f>+Tabla1325[[#This Row],[CANTIDAD TOTAL]]*Tabla1325[[#This Row],[PRECIO UNITARIO ESTIMADO]]</f>
        <v>0</v>
      </c>
      <c r="K92" s="17"/>
      <c r="L92" s="16" t="s">
        <v>15</v>
      </c>
      <c r="M92" s="16" t="s">
        <v>22</v>
      </c>
      <c r="N92" s="39" t="s">
        <v>418</v>
      </c>
      <c r="Q92" s="19"/>
    </row>
    <row r="93" spans="1:20" s="12" customFormat="1">
      <c r="A93" s="15" t="s">
        <v>62</v>
      </c>
      <c r="B93" s="106" t="s">
        <v>78</v>
      </c>
      <c r="C93" s="39" t="s">
        <v>17</v>
      </c>
      <c r="D93" s="39">
        <v>88</v>
      </c>
      <c r="E93" s="39">
        <v>88</v>
      </c>
      <c r="F93" s="39">
        <v>88</v>
      </c>
      <c r="G93" s="39">
        <v>88</v>
      </c>
      <c r="H93" s="40">
        <f>SUM(Tabla1325[[#This Row],[PRIMER TRIMESTRE]:[CUARTO TRIMESTRE]])</f>
        <v>352</v>
      </c>
      <c r="I93" s="17">
        <v>377</v>
      </c>
      <c r="J93" s="17">
        <f>+Tabla1325[[#This Row],[CANTIDAD TOTAL]]*Tabla1325[[#This Row],[PRECIO UNITARIO ESTIMADO]]</f>
        <v>132704</v>
      </c>
      <c r="K93" s="17"/>
      <c r="L93" s="16" t="s">
        <v>15</v>
      </c>
      <c r="M93" s="16" t="s">
        <v>22</v>
      </c>
      <c r="N93" s="39" t="s">
        <v>418</v>
      </c>
      <c r="Q93" s="19" t="s">
        <v>79</v>
      </c>
    </row>
    <row r="94" spans="1:20" s="12" customFormat="1">
      <c r="A94" s="15" t="s">
        <v>62</v>
      </c>
      <c r="B94" s="75" t="s">
        <v>437</v>
      </c>
      <c r="C94" s="70" t="s">
        <v>17</v>
      </c>
      <c r="D94" s="70">
        <v>0</v>
      </c>
      <c r="E94" s="70">
        <v>0</v>
      </c>
      <c r="F94" s="70">
        <v>0</v>
      </c>
      <c r="G94" s="70">
        <v>0</v>
      </c>
      <c r="H94" s="40">
        <f>SUM(Tabla1325[[#This Row],[PRIMER TRIMESTRE]:[CUARTO TRIMESTRE]])</f>
        <v>0</v>
      </c>
      <c r="I94" s="17">
        <v>125</v>
      </c>
      <c r="J94" s="17">
        <f>+Tabla1325[[#This Row],[CANTIDAD TOTAL]]*Tabla1325[[#This Row],[PRECIO UNITARIO ESTIMADO]]</f>
        <v>0</v>
      </c>
      <c r="K94" s="17"/>
      <c r="L94" s="16" t="s">
        <v>15</v>
      </c>
      <c r="M94" s="16" t="s">
        <v>22</v>
      </c>
      <c r="N94" s="39" t="s">
        <v>418</v>
      </c>
      <c r="Q94" s="19" t="s">
        <v>116</v>
      </c>
    </row>
    <row r="95" spans="1:20" s="12" customFormat="1">
      <c r="A95" s="15" t="s">
        <v>62</v>
      </c>
      <c r="B95" s="75" t="s">
        <v>438</v>
      </c>
      <c r="C95" s="70" t="s">
        <v>17</v>
      </c>
      <c r="D95" s="70">
        <v>0</v>
      </c>
      <c r="E95" s="70">
        <v>0</v>
      </c>
      <c r="F95" s="70">
        <v>0</v>
      </c>
      <c r="G95" s="70">
        <v>0</v>
      </c>
      <c r="H95" s="40">
        <f>SUM(Tabla1325[[#This Row],[PRIMER TRIMESTRE]:[CUARTO TRIMESTRE]])</f>
        <v>0</v>
      </c>
      <c r="I95" s="17">
        <v>80</v>
      </c>
      <c r="J95" s="17">
        <f>+Tabla1325[[#This Row],[CANTIDAD TOTAL]]*Tabla1325[[#This Row],[PRECIO UNITARIO ESTIMADO]]</f>
        <v>0</v>
      </c>
      <c r="K95" s="17"/>
      <c r="L95" s="16" t="s">
        <v>15</v>
      </c>
      <c r="M95" s="16" t="s">
        <v>22</v>
      </c>
      <c r="N95" s="39" t="s">
        <v>418</v>
      </c>
      <c r="Q95" s="19"/>
    </row>
    <row r="96" spans="1:20" s="12" customFormat="1">
      <c r="A96" s="15" t="s">
        <v>62</v>
      </c>
      <c r="B96" s="75" t="s">
        <v>430</v>
      </c>
      <c r="C96" s="70" t="s">
        <v>17</v>
      </c>
      <c r="D96" s="70">
        <v>0</v>
      </c>
      <c r="E96" s="70">
        <v>0</v>
      </c>
      <c r="F96" s="70">
        <v>0</v>
      </c>
      <c r="G96" s="70">
        <v>0</v>
      </c>
      <c r="H96" s="40">
        <f>SUM(Tabla1325[[#This Row],[PRIMER TRIMESTRE]:[CUARTO TRIMESTRE]])</f>
        <v>0</v>
      </c>
      <c r="I96" s="17">
        <v>46.8</v>
      </c>
      <c r="J96" s="17">
        <f>+Tabla1325[[#This Row],[CANTIDAD TOTAL]]*Tabla1325[[#This Row],[PRECIO UNITARIO ESTIMADO]]</f>
        <v>0</v>
      </c>
      <c r="K96" s="17"/>
      <c r="L96" s="16" t="s">
        <v>15</v>
      </c>
      <c r="M96" s="16" t="s">
        <v>22</v>
      </c>
      <c r="N96" s="39" t="s">
        <v>418</v>
      </c>
      <c r="Q96" s="19" t="s">
        <v>117</v>
      </c>
    </row>
    <row r="97" spans="1:17" s="12" customFormat="1">
      <c r="A97" s="15" t="s">
        <v>62</v>
      </c>
      <c r="B97" s="75" t="s">
        <v>139</v>
      </c>
      <c r="C97" s="39" t="s">
        <v>17</v>
      </c>
      <c r="D97" s="70">
        <v>0</v>
      </c>
      <c r="E97" s="70">
        <v>0</v>
      </c>
      <c r="F97" s="70">
        <v>0</v>
      </c>
      <c r="G97" s="70">
        <v>0</v>
      </c>
      <c r="H97" s="40">
        <f>SUM(Tabla1325[[#This Row],[PRIMER TRIMESTRE]:[CUARTO TRIMESTRE]])</f>
        <v>0</v>
      </c>
      <c r="I97" s="17">
        <v>180</v>
      </c>
      <c r="J97" s="17">
        <f>+Tabla1325[[#This Row],[CANTIDAD TOTAL]]*Tabla1325[[#This Row],[PRECIO UNITARIO ESTIMADO]]</f>
        <v>0</v>
      </c>
      <c r="K97" s="17"/>
      <c r="L97" s="16" t="s">
        <v>15</v>
      </c>
      <c r="M97" s="16" t="s">
        <v>22</v>
      </c>
      <c r="N97" s="39" t="s">
        <v>418</v>
      </c>
      <c r="Q97" s="19" t="s">
        <v>140</v>
      </c>
    </row>
    <row r="98" spans="1:17" s="169" customFormat="1">
      <c r="A98" s="407" t="s">
        <v>62</v>
      </c>
      <c r="B98" s="77" t="s">
        <v>107</v>
      </c>
      <c r="C98" s="70" t="s">
        <v>17</v>
      </c>
      <c r="D98" s="70">
        <v>0</v>
      </c>
      <c r="E98" s="70">
        <v>0</v>
      </c>
      <c r="F98" s="70">
        <v>0</v>
      </c>
      <c r="G98" s="70">
        <v>0</v>
      </c>
      <c r="H98" s="406">
        <f>SUM(Tabla1325[[#This Row],[PRIMER TRIMESTRE]:[CUARTO TRIMESTRE]])</f>
        <v>0</v>
      </c>
      <c r="I98" s="72">
        <v>86.24</v>
      </c>
      <c r="J98" s="72">
        <f>+Tabla1325[[#This Row],[CANTIDAD TOTAL]]*Tabla1325[[#This Row],[PRECIO UNITARIO ESTIMADO]]</f>
        <v>0</v>
      </c>
      <c r="K98" s="72"/>
      <c r="L98" s="16" t="s">
        <v>15</v>
      </c>
      <c r="M98" s="73" t="s">
        <v>22</v>
      </c>
      <c r="N98" s="70" t="s">
        <v>418</v>
      </c>
      <c r="Q98" s="19" t="s">
        <v>108</v>
      </c>
    </row>
    <row r="99" spans="1:17" s="12" customFormat="1">
      <c r="A99" s="15" t="s">
        <v>62</v>
      </c>
      <c r="B99" s="75" t="s">
        <v>598</v>
      </c>
      <c r="C99" s="39" t="s">
        <v>17</v>
      </c>
      <c r="D99" s="70">
        <v>0</v>
      </c>
      <c r="E99" s="70">
        <v>0</v>
      </c>
      <c r="F99" s="70">
        <v>0</v>
      </c>
      <c r="G99" s="70">
        <v>0</v>
      </c>
      <c r="H99" s="40">
        <f>SUM(Tabla1325[[#This Row],[PRIMER TRIMESTRE]:[CUARTO TRIMESTRE]])</f>
        <v>0</v>
      </c>
      <c r="I99" s="17">
        <v>153.05000000000001</v>
      </c>
      <c r="J99" s="17">
        <f>+Tabla1325[[#This Row],[CANTIDAD TOTAL]]*Tabla1325[[#This Row],[PRECIO UNITARIO ESTIMADO]]</f>
        <v>0</v>
      </c>
      <c r="K99" s="17"/>
      <c r="L99" s="16" t="s">
        <v>15</v>
      </c>
      <c r="M99" s="16" t="s">
        <v>22</v>
      </c>
      <c r="N99" s="39" t="s">
        <v>418</v>
      </c>
      <c r="Q99" s="19" t="s">
        <v>141</v>
      </c>
    </row>
    <row r="100" spans="1:17" s="12" customFormat="1">
      <c r="A100" s="15" t="s">
        <v>62</v>
      </c>
      <c r="B100" s="75" t="s">
        <v>599</v>
      </c>
      <c r="C100" s="39" t="s">
        <v>17</v>
      </c>
      <c r="D100" s="70">
        <v>0</v>
      </c>
      <c r="E100" s="70">
        <v>0</v>
      </c>
      <c r="F100" s="70">
        <v>0</v>
      </c>
      <c r="G100" s="70">
        <v>0</v>
      </c>
      <c r="H100" s="40">
        <f>SUM(Tabla1325[[#This Row],[PRIMER TRIMESTRE]:[CUARTO TRIMESTRE]])</f>
        <v>0</v>
      </c>
      <c r="I100" s="17">
        <v>72.88</v>
      </c>
      <c r="J100" s="17">
        <f>+H100*I100</f>
        <v>0</v>
      </c>
      <c r="K100" s="17"/>
      <c r="L100" s="16" t="s">
        <v>15</v>
      </c>
      <c r="M100" s="16" t="s">
        <v>22</v>
      </c>
      <c r="N100" s="39" t="s">
        <v>418</v>
      </c>
      <c r="Q100" s="19"/>
    </row>
    <row r="101" spans="1:17" s="12" customFormat="1">
      <c r="A101" s="15" t="s">
        <v>62</v>
      </c>
      <c r="B101" s="75" t="s">
        <v>600</v>
      </c>
      <c r="C101" s="39" t="s">
        <v>17</v>
      </c>
      <c r="D101" s="70">
        <v>0</v>
      </c>
      <c r="E101" s="70">
        <v>0</v>
      </c>
      <c r="F101" s="70">
        <v>0</v>
      </c>
      <c r="G101" s="70">
        <v>0</v>
      </c>
      <c r="H101" s="40">
        <f>SUM(Tabla1325[[#This Row],[PRIMER TRIMESTRE]:[CUARTO TRIMESTRE]])</f>
        <v>0</v>
      </c>
      <c r="I101" s="17">
        <v>86</v>
      </c>
      <c r="J101" s="17">
        <f>+Tabla1325[[#This Row],[CANTIDAD TOTAL]]*Tabla1325[[#This Row],[PRECIO UNITARIO ESTIMADO]]</f>
        <v>0</v>
      </c>
      <c r="K101" s="17"/>
      <c r="L101" s="16" t="s">
        <v>15</v>
      </c>
      <c r="M101" s="16" t="s">
        <v>22</v>
      </c>
      <c r="N101" s="39" t="s">
        <v>418</v>
      </c>
      <c r="Q101" s="19" t="s">
        <v>142</v>
      </c>
    </row>
    <row r="102" spans="1:17" s="12" customFormat="1">
      <c r="A102" s="15" t="s">
        <v>62</v>
      </c>
      <c r="B102" s="75" t="s">
        <v>601</v>
      </c>
      <c r="C102" s="39" t="s">
        <v>17</v>
      </c>
      <c r="D102" s="70">
        <v>0</v>
      </c>
      <c r="E102" s="70">
        <v>0</v>
      </c>
      <c r="F102" s="70">
        <v>0</v>
      </c>
      <c r="G102" s="70">
        <v>0</v>
      </c>
      <c r="H102" s="40">
        <f>SUM(Tabla1325[[#This Row],[PRIMER TRIMESTRE]:[CUARTO TRIMESTRE]])</f>
        <v>0</v>
      </c>
      <c r="I102" s="17">
        <v>158.88</v>
      </c>
      <c r="J102" s="17">
        <f>+H102*I102</f>
        <v>0</v>
      </c>
      <c r="K102" s="17"/>
      <c r="L102" s="16" t="s">
        <v>15</v>
      </c>
      <c r="M102" s="16" t="s">
        <v>22</v>
      </c>
      <c r="N102" s="39" t="s">
        <v>418</v>
      </c>
      <c r="Q102" s="19"/>
    </row>
    <row r="103" spans="1:17" s="12" customFormat="1">
      <c r="A103" s="15" t="s">
        <v>62</v>
      </c>
      <c r="B103" s="75" t="s">
        <v>144</v>
      </c>
      <c r="C103" s="39" t="s">
        <v>17</v>
      </c>
      <c r="D103" s="70">
        <v>0</v>
      </c>
      <c r="E103" s="70">
        <v>0</v>
      </c>
      <c r="F103" s="70">
        <v>0</v>
      </c>
      <c r="G103" s="70">
        <v>0</v>
      </c>
      <c r="H103" s="40">
        <f>SUM(Tabla1325[[#This Row],[PRIMER TRIMESTRE]:[CUARTO TRIMESTRE]])</f>
        <v>0</v>
      </c>
      <c r="I103" s="17">
        <v>62.87</v>
      </c>
      <c r="J103" s="17">
        <f>+Tabla1325[[#This Row],[CANTIDAD TOTAL]]*Tabla1325[[#This Row],[PRECIO UNITARIO ESTIMADO]]</f>
        <v>0</v>
      </c>
      <c r="K103" s="17"/>
      <c r="L103" s="16" t="s">
        <v>15</v>
      </c>
      <c r="M103" s="16" t="s">
        <v>22</v>
      </c>
      <c r="N103" s="39" t="s">
        <v>418</v>
      </c>
      <c r="Q103" s="19" t="s">
        <v>145</v>
      </c>
    </row>
    <row r="104" spans="1:17" s="12" customFormat="1" ht="31.5">
      <c r="A104" s="15" t="s">
        <v>62</v>
      </c>
      <c r="B104" s="75" t="s">
        <v>158</v>
      </c>
      <c r="C104" s="39" t="s">
        <v>17</v>
      </c>
      <c r="D104" s="70">
        <v>0</v>
      </c>
      <c r="E104" s="70">
        <v>0</v>
      </c>
      <c r="F104" s="70">
        <v>0</v>
      </c>
      <c r="G104" s="70">
        <v>0</v>
      </c>
      <c r="H104" s="40">
        <f>SUM(Tabla1325[[#This Row],[PRIMER TRIMESTRE]:[CUARTO TRIMESTRE]])</f>
        <v>0</v>
      </c>
      <c r="I104" s="17">
        <v>1120</v>
      </c>
      <c r="J104" s="17">
        <f>+Tabla1325[[#This Row],[CANTIDAD TOTAL]]*Tabla1325[[#This Row],[PRECIO UNITARIO ESTIMADO]]</f>
        <v>0</v>
      </c>
      <c r="K104" s="17"/>
      <c r="L104" s="16" t="s">
        <v>15</v>
      </c>
      <c r="M104" s="16" t="s">
        <v>22</v>
      </c>
      <c r="N104" s="39" t="s">
        <v>418</v>
      </c>
      <c r="Q104" s="19" t="s">
        <v>159</v>
      </c>
    </row>
    <row r="105" spans="1:17" s="12" customFormat="1" ht="31.5">
      <c r="A105" s="15" t="s">
        <v>62</v>
      </c>
      <c r="B105" s="106" t="s">
        <v>160</v>
      </c>
      <c r="C105" s="39" t="s">
        <v>17</v>
      </c>
      <c r="D105" s="39">
        <v>5</v>
      </c>
      <c r="E105" s="39">
        <v>0</v>
      </c>
      <c r="F105" s="39">
        <v>0</v>
      </c>
      <c r="G105" s="39">
        <v>0</v>
      </c>
      <c r="H105" s="40">
        <f>SUM(Tabla1325[[#This Row],[PRIMER TRIMESTRE]:[CUARTO TRIMESTRE]])</f>
        <v>5</v>
      </c>
      <c r="I105" s="17">
        <v>1908</v>
      </c>
      <c r="J105" s="17">
        <f>+Tabla1325[[#This Row],[CANTIDAD TOTAL]]*Tabla1325[[#This Row],[PRECIO UNITARIO ESTIMADO]]</f>
        <v>9540</v>
      </c>
      <c r="K105" s="17"/>
      <c r="L105" s="16" t="s">
        <v>15</v>
      </c>
      <c r="M105" s="16" t="s">
        <v>22</v>
      </c>
      <c r="N105" s="39" t="s">
        <v>418</v>
      </c>
      <c r="Q105" s="19" t="s">
        <v>161</v>
      </c>
    </row>
    <row r="106" spans="1:17" s="12" customFormat="1">
      <c r="A106" s="15" t="s">
        <v>62</v>
      </c>
      <c r="B106" s="75" t="s">
        <v>162</v>
      </c>
      <c r="C106" s="39" t="s">
        <v>17</v>
      </c>
      <c r="D106" s="39">
        <v>0</v>
      </c>
      <c r="E106" s="39">
        <v>0</v>
      </c>
      <c r="F106" s="39">
        <v>0</v>
      </c>
      <c r="G106" s="39">
        <v>0</v>
      </c>
      <c r="H106" s="40">
        <f>SUM(Tabla1325[[#This Row],[PRIMER TRIMESTRE]:[CUARTO TRIMESTRE]])</f>
        <v>0</v>
      </c>
      <c r="I106" s="17">
        <v>29</v>
      </c>
      <c r="J106" s="17">
        <f>+Tabla1325[[#This Row],[CANTIDAD TOTAL]]*Tabla1325[[#This Row],[PRECIO UNITARIO ESTIMADO]]</f>
        <v>0</v>
      </c>
      <c r="K106" s="17"/>
      <c r="L106" s="16" t="s">
        <v>15</v>
      </c>
      <c r="M106" s="16" t="s">
        <v>22</v>
      </c>
      <c r="N106" s="39" t="s">
        <v>418</v>
      </c>
      <c r="Q106" s="19" t="s">
        <v>163</v>
      </c>
    </row>
    <row r="107" spans="1:17" s="12" customFormat="1">
      <c r="A107" s="15" t="s">
        <v>62</v>
      </c>
      <c r="B107" s="75" t="s">
        <v>368</v>
      </c>
      <c r="C107" s="39" t="s">
        <v>17</v>
      </c>
      <c r="D107" s="39">
        <v>0</v>
      </c>
      <c r="E107" s="39">
        <v>0</v>
      </c>
      <c r="F107" s="39">
        <v>0</v>
      </c>
      <c r="G107" s="39">
        <v>0</v>
      </c>
      <c r="H107" s="40">
        <f>SUM(Tabla1325[[#This Row],[PRIMER TRIMESTRE]:[CUARTO TRIMESTRE]])</f>
        <v>0</v>
      </c>
      <c r="I107" s="17">
        <v>75.400000000000006</v>
      </c>
      <c r="J107" s="17">
        <f>+H107*I107</f>
        <v>0</v>
      </c>
      <c r="K107" s="17"/>
      <c r="L107" s="16" t="s">
        <v>15</v>
      </c>
      <c r="M107" s="16" t="s">
        <v>22</v>
      </c>
      <c r="N107" s="39" t="s">
        <v>418</v>
      </c>
    </row>
    <row r="108" spans="1:17" s="12" customFormat="1">
      <c r="A108" s="15" t="s">
        <v>62</v>
      </c>
      <c r="B108" s="75" t="s">
        <v>602</v>
      </c>
      <c r="C108" s="39" t="s">
        <v>17</v>
      </c>
      <c r="D108" s="39">
        <v>0</v>
      </c>
      <c r="E108" s="39">
        <v>0</v>
      </c>
      <c r="F108" s="39">
        <v>0</v>
      </c>
      <c r="G108" s="39">
        <v>0</v>
      </c>
      <c r="H108" s="40">
        <f>SUM(Tabla1325[[#This Row],[PRIMER TRIMESTRE]:[CUARTO TRIMESTRE]])</f>
        <v>0</v>
      </c>
      <c r="I108" s="17">
        <v>90</v>
      </c>
      <c r="J108" s="17">
        <f>+H108*I108</f>
        <v>0</v>
      </c>
      <c r="K108" s="17"/>
      <c r="L108" s="16" t="s">
        <v>15</v>
      </c>
      <c r="M108" s="16" t="s">
        <v>22</v>
      </c>
      <c r="N108" s="39" t="s">
        <v>418</v>
      </c>
    </row>
    <row r="109" spans="1:17" s="12" customFormat="1">
      <c r="A109" s="15" t="s">
        <v>62</v>
      </c>
      <c r="B109" s="75" t="s">
        <v>164</v>
      </c>
      <c r="C109" s="39" t="s">
        <v>17</v>
      </c>
      <c r="D109" s="39">
        <v>0</v>
      </c>
      <c r="E109" s="39">
        <v>0</v>
      </c>
      <c r="F109" s="39">
        <v>0</v>
      </c>
      <c r="G109" s="39">
        <v>0</v>
      </c>
      <c r="H109" s="40">
        <f>SUM(Tabla1325[[#This Row],[PRIMER TRIMESTRE]:[CUARTO TRIMESTRE]])</f>
        <v>0</v>
      </c>
      <c r="I109" s="17">
        <v>3419.05</v>
      </c>
      <c r="J109" s="17">
        <f>+Tabla1325[[#This Row],[CANTIDAD TOTAL]]*Tabla1325[[#This Row],[PRECIO UNITARIO ESTIMADO]]</f>
        <v>0</v>
      </c>
      <c r="K109" s="17"/>
      <c r="L109" s="16" t="s">
        <v>15</v>
      </c>
      <c r="M109" s="16" t="s">
        <v>22</v>
      </c>
      <c r="N109" s="39" t="s">
        <v>418</v>
      </c>
      <c r="Q109" s="19" t="s">
        <v>165</v>
      </c>
    </row>
    <row r="110" spans="1:17" s="12" customFormat="1">
      <c r="A110" s="15" t="s">
        <v>62</v>
      </c>
      <c r="B110" s="106" t="s">
        <v>462</v>
      </c>
      <c r="C110" s="39" t="s">
        <v>17</v>
      </c>
      <c r="D110" s="39">
        <v>80</v>
      </c>
      <c r="E110" s="39">
        <v>80</v>
      </c>
      <c r="F110" s="39">
        <v>80</v>
      </c>
      <c r="G110" s="39">
        <v>80</v>
      </c>
      <c r="H110" s="40">
        <f>SUM(Tabla1325[[#This Row],[PRIMER TRIMESTRE]:[CUARTO TRIMESTRE]])</f>
        <v>320</v>
      </c>
      <c r="I110" s="17">
        <v>1896.06</v>
      </c>
      <c r="J110" s="17">
        <f>+H110*I110</f>
        <v>606739.19999999995</v>
      </c>
      <c r="K110" s="17"/>
      <c r="L110" s="16" t="s">
        <v>15</v>
      </c>
      <c r="M110" s="16" t="s">
        <v>22</v>
      </c>
      <c r="N110" s="39" t="s">
        <v>418</v>
      </c>
      <c r="Q110" s="19"/>
    </row>
    <row r="111" spans="1:17" s="12" customFormat="1" ht="31.5">
      <c r="A111" s="15" t="s">
        <v>62</v>
      </c>
      <c r="B111" s="106" t="s">
        <v>463</v>
      </c>
      <c r="C111" s="39" t="s">
        <v>17</v>
      </c>
      <c r="D111" s="39">
        <v>80</v>
      </c>
      <c r="E111" s="39">
        <v>80</v>
      </c>
      <c r="F111" s="39">
        <v>80</v>
      </c>
      <c r="G111" s="39">
        <v>80</v>
      </c>
      <c r="H111" s="40">
        <f>SUM(Tabla1325[[#This Row],[PRIMER TRIMESTRE]:[CUARTO TRIMESTRE]])</f>
        <v>320</v>
      </c>
      <c r="I111" s="17">
        <v>2320</v>
      </c>
      <c r="J111" s="17">
        <f>+Tabla1325[[#This Row],[CANTIDAD TOTAL]]*Tabla1325[[#This Row],[PRECIO UNITARIO ESTIMADO]]</f>
        <v>742400</v>
      </c>
      <c r="K111" s="17"/>
      <c r="L111" s="16" t="s">
        <v>15</v>
      </c>
      <c r="M111" s="16" t="s">
        <v>22</v>
      </c>
      <c r="N111" s="39" t="s">
        <v>418</v>
      </c>
      <c r="Q111" s="19" t="s">
        <v>166</v>
      </c>
    </row>
    <row r="112" spans="1:17" s="12" customFormat="1">
      <c r="A112" s="15" t="s">
        <v>62</v>
      </c>
      <c r="B112" s="75" t="s">
        <v>465</v>
      </c>
      <c r="C112" s="39" t="s">
        <v>17</v>
      </c>
      <c r="D112" s="39">
        <v>0</v>
      </c>
      <c r="E112" s="39">
        <v>0</v>
      </c>
      <c r="F112" s="39">
        <v>0</v>
      </c>
      <c r="G112" s="39">
        <v>0</v>
      </c>
      <c r="H112" s="40">
        <f>SUM(Tabla1325[[#This Row],[PRIMER TRIMESTRE]:[CUARTO TRIMESTRE]])</f>
        <v>0</v>
      </c>
      <c r="I112" s="17">
        <v>2682</v>
      </c>
      <c r="J112" s="17">
        <f>+Tabla1325[[#This Row],[CANTIDAD TOTAL]]*Tabla1325[[#This Row],[PRECIO UNITARIO ESTIMADO]]</f>
        <v>0</v>
      </c>
      <c r="K112" s="17"/>
      <c r="L112" s="16" t="s">
        <v>15</v>
      </c>
      <c r="M112" s="16" t="s">
        <v>22</v>
      </c>
      <c r="N112" s="39" t="s">
        <v>418</v>
      </c>
      <c r="Q112" s="19" t="s">
        <v>168</v>
      </c>
    </row>
    <row r="113" spans="1:20" s="12" customFormat="1">
      <c r="A113" s="15" t="s">
        <v>62</v>
      </c>
      <c r="B113" s="106" t="s">
        <v>464</v>
      </c>
      <c r="C113" s="39" t="s">
        <v>17</v>
      </c>
      <c r="D113" s="39">
        <v>10</v>
      </c>
      <c r="E113" s="39">
        <v>10</v>
      </c>
      <c r="F113" s="39">
        <v>10</v>
      </c>
      <c r="G113" s="39">
        <v>10</v>
      </c>
      <c r="H113" s="40">
        <f>SUM(Tabla1325[[#This Row],[PRIMER TRIMESTRE]:[CUARTO TRIMESTRE]])</f>
        <v>40</v>
      </c>
      <c r="I113" s="17">
        <v>50</v>
      </c>
      <c r="J113" s="17">
        <f>+Tabla1325[[#This Row],[CANTIDAD TOTAL]]*Tabla1325[[#This Row],[PRECIO UNITARIO ESTIMADO]]</f>
        <v>2000</v>
      </c>
      <c r="K113" s="17"/>
      <c r="L113" s="16" t="s">
        <v>15</v>
      </c>
      <c r="M113" s="16" t="s">
        <v>22</v>
      </c>
      <c r="N113" s="39" t="s">
        <v>418</v>
      </c>
      <c r="Q113" s="19" t="s">
        <v>167</v>
      </c>
    </row>
    <row r="114" spans="1:20" s="12" customFormat="1">
      <c r="A114" s="15" t="s">
        <v>62</v>
      </c>
      <c r="B114" s="75" t="s">
        <v>466</v>
      </c>
      <c r="C114" s="39" t="s">
        <v>17</v>
      </c>
      <c r="D114" s="39">
        <v>0</v>
      </c>
      <c r="E114" s="39">
        <v>0</v>
      </c>
      <c r="F114" s="39">
        <v>0</v>
      </c>
      <c r="G114" s="39">
        <v>0</v>
      </c>
      <c r="H114" s="40">
        <f>SUM(Tabla1325[[#This Row],[PRIMER TRIMESTRE]:[CUARTO TRIMESTRE]])</f>
        <v>0</v>
      </c>
      <c r="I114" s="17">
        <v>1746.26</v>
      </c>
      <c r="J114" s="17">
        <f>+Tabla1325[[#This Row],[CANTIDAD TOTAL]]*Tabla1325[[#This Row],[PRECIO UNITARIO ESTIMADO]]</f>
        <v>0</v>
      </c>
      <c r="K114" s="17"/>
      <c r="L114" s="16" t="s">
        <v>15</v>
      </c>
      <c r="M114" s="16" t="s">
        <v>22</v>
      </c>
      <c r="N114" s="39" t="s">
        <v>418</v>
      </c>
      <c r="Q114" s="19" t="s">
        <v>169</v>
      </c>
    </row>
    <row r="115" spans="1:20" s="12" customFormat="1">
      <c r="A115" s="15" t="s">
        <v>62</v>
      </c>
      <c r="B115" s="75" t="s">
        <v>170</v>
      </c>
      <c r="C115" s="39" t="s">
        <v>17</v>
      </c>
      <c r="D115" s="39">
        <v>0</v>
      </c>
      <c r="E115" s="39">
        <v>0</v>
      </c>
      <c r="F115" s="39">
        <v>0</v>
      </c>
      <c r="G115" s="39">
        <v>0</v>
      </c>
      <c r="H115" s="40">
        <f>SUM(Tabla1325[[#This Row],[PRIMER TRIMESTRE]:[CUARTO TRIMESTRE]])</f>
        <v>0</v>
      </c>
      <c r="I115" s="17">
        <v>458.2</v>
      </c>
      <c r="J115" s="17">
        <f>+Tabla1325[[#This Row],[CANTIDAD TOTAL]]*Tabla1325[[#This Row],[PRECIO UNITARIO ESTIMADO]]</f>
        <v>0</v>
      </c>
      <c r="K115" s="17"/>
      <c r="L115" s="16" t="s">
        <v>15</v>
      </c>
      <c r="M115" s="16" t="s">
        <v>22</v>
      </c>
      <c r="N115" s="39" t="s">
        <v>418</v>
      </c>
      <c r="Q115" s="19" t="s">
        <v>171</v>
      </c>
    </row>
    <row r="116" spans="1:20" s="12" customFormat="1">
      <c r="A116" s="15" t="s">
        <v>62</v>
      </c>
      <c r="B116" s="75" t="s">
        <v>172</v>
      </c>
      <c r="C116" s="39" t="s">
        <v>17</v>
      </c>
      <c r="D116" s="39">
        <v>0</v>
      </c>
      <c r="E116" s="39">
        <v>0</v>
      </c>
      <c r="F116" s="39">
        <v>0</v>
      </c>
      <c r="G116" s="39">
        <v>0</v>
      </c>
      <c r="H116" s="40">
        <f>SUM(Tabla1325[[#This Row],[PRIMER TRIMESTRE]:[CUARTO TRIMESTRE]])</f>
        <v>0</v>
      </c>
      <c r="I116" s="17">
        <v>90</v>
      </c>
      <c r="J116" s="17">
        <f>+Tabla1325[[#This Row],[CANTIDAD TOTAL]]*Tabla1325[[#This Row],[PRECIO UNITARIO ESTIMADO]]</f>
        <v>0</v>
      </c>
      <c r="K116" s="17"/>
      <c r="L116" s="16" t="s">
        <v>15</v>
      </c>
      <c r="M116" s="16" t="s">
        <v>22</v>
      </c>
      <c r="N116" s="39" t="s">
        <v>418</v>
      </c>
      <c r="Q116" s="19" t="s">
        <v>173</v>
      </c>
    </row>
    <row r="117" spans="1:20" s="12" customFormat="1">
      <c r="A117" s="15" t="s">
        <v>62</v>
      </c>
      <c r="B117" s="75" t="s">
        <v>732</v>
      </c>
      <c r="C117" s="39" t="s">
        <v>17</v>
      </c>
      <c r="D117" s="39">
        <v>0</v>
      </c>
      <c r="E117" s="39">
        <v>0</v>
      </c>
      <c r="F117" s="39">
        <v>0</v>
      </c>
      <c r="G117" s="39">
        <v>0</v>
      </c>
      <c r="H117" s="40">
        <f>SUM(Tabla1325[[#This Row],[PRIMER TRIMESTRE]:[CUARTO TRIMESTRE]])</f>
        <v>0</v>
      </c>
      <c r="I117" s="72">
        <v>142.85</v>
      </c>
      <c r="J117" s="17">
        <f>+H117*I117</f>
        <v>0</v>
      </c>
      <c r="K117" s="17"/>
      <c r="L117" s="16" t="s">
        <v>15</v>
      </c>
      <c r="M117" s="16" t="s">
        <v>22</v>
      </c>
      <c r="N117" s="39" t="s">
        <v>418</v>
      </c>
      <c r="Q117" s="19"/>
    </row>
    <row r="118" spans="1:20" s="12" customFormat="1">
      <c r="A118" s="15" t="s">
        <v>62</v>
      </c>
      <c r="B118" s="75" t="s">
        <v>733</v>
      </c>
      <c r="C118" s="39" t="s">
        <v>17</v>
      </c>
      <c r="D118" s="39">
        <v>0</v>
      </c>
      <c r="E118" s="39">
        <v>0</v>
      </c>
      <c r="F118" s="39">
        <v>0</v>
      </c>
      <c r="G118" s="39">
        <v>0</v>
      </c>
      <c r="H118" s="40">
        <f>SUM(Tabla1325[[#This Row],[PRIMER TRIMESTRE]:[CUARTO TRIMESTRE]])</f>
        <v>0</v>
      </c>
      <c r="I118" s="17">
        <v>39.56</v>
      </c>
      <c r="J118" s="17">
        <f t="shared" ref="J118:J123" si="1">+H118*I118</f>
        <v>0</v>
      </c>
      <c r="K118" s="17"/>
      <c r="L118" s="16" t="s">
        <v>15</v>
      </c>
      <c r="M118" s="16" t="s">
        <v>22</v>
      </c>
      <c r="N118" s="39" t="s">
        <v>418</v>
      </c>
      <c r="Q118" s="19"/>
    </row>
    <row r="119" spans="1:20" s="12" customFormat="1">
      <c r="A119" s="15" t="s">
        <v>62</v>
      </c>
      <c r="B119" s="75" t="s">
        <v>734</v>
      </c>
      <c r="C119" s="39" t="s">
        <v>17</v>
      </c>
      <c r="D119" s="39">
        <v>0</v>
      </c>
      <c r="E119" s="39">
        <v>0</v>
      </c>
      <c r="F119" s="39">
        <v>0</v>
      </c>
      <c r="G119" s="39">
        <v>0</v>
      </c>
      <c r="H119" s="40">
        <f>SUM(Tabla1325[[#This Row],[PRIMER TRIMESTRE]:[CUARTO TRIMESTRE]])</f>
        <v>0</v>
      </c>
      <c r="I119" s="17">
        <v>41.8</v>
      </c>
      <c r="J119" s="17">
        <f t="shared" si="1"/>
        <v>0</v>
      </c>
      <c r="K119" s="17"/>
      <c r="L119" s="16" t="s">
        <v>15</v>
      </c>
      <c r="M119" s="16" t="s">
        <v>22</v>
      </c>
      <c r="N119" s="39" t="s">
        <v>418</v>
      </c>
      <c r="Q119" s="19"/>
    </row>
    <row r="120" spans="1:20" s="12" customFormat="1">
      <c r="A120" s="15" t="s">
        <v>62</v>
      </c>
      <c r="B120" s="75" t="s">
        <v>735</v>
      </c>
      <c r="C120" s="39" t="s">
        <v>17</v>
      </c>
      <c r="D120" s="39">
        <v>0</v>
      </c>
      <c r="E120" s="39">
        <v>0</v>
      </c>
      <c r="F120" s="39">
        <v>0</v>
      </c>
      <c r="G120" s="39">
        <v>0</v>
      </c>
      <c r="H120" s="40">
        <f>SUM(Tabla1325[[#This Row],[PRIMER TRIMESTRE]:[CUARTO TRIMESTRE]])</f>
        <v>0</v>
      </c>
      <c r="I120" s="17">
        <v>50.27</v>
      </c>
      <c r="J120" s="17">
        <f t="shared" si="1"/>
        <v>0</v>
      </c>
      <c r="K120" s="17"/>
      <c r="L120" s="16" t="s">
        <v>15</v>
      </c>
      <c r="M120" s="16" t="s">
        <v>22</v>
      </c>
      <c r="N120" s="39" t="s">
        <v>418</v>
      </c>
      <c r="Q120" s="19"/>
    </row>
    <row r="121" spans="1:20" s="12" customFormat="1">
      <c r="A121" s="15" t="s">
        <v>62</v>
      </c>
      <c r="B121" s="75" t="s">
        <v>736</v>
      </c>
      <c r="C121" s="39" t="s">
        <v>17</v>
      </c>
      <c r="D121" s="39">
        <v>0</v>
      </c>
      <c r="E121" s="39">
        <v>0</v>
      </c>
      <c r="F121" s="39">
        <v>0</v>
      </c>
      <c r="G121" s="39">
        <v>0</v>
      </c>
      <c r="H121" s="40">
        <f>SUM(Tabla1325[[#This Row],[PRIMER TRIMESTRE]:[CUARTO TRIMESTRE]])</f>
        <v>0</v>
      </c>
      <c r="I121" s="17">
        <v>60.89</v>
      </c>
      <c r="J121" s="17">
        <f t="shared" si="1"/>
        <v>0</v>
      </c>
      <c r="K121" s="17"/>
      <c r="L121" s="16" t="s">
        <v>15</v>
      </c>
      <c r="M121" s="16" t="s">
        <v>22</v>
      </c>
      <c r="N121" s="39" t="s">
        <v>418</v>
      </c>
      <c r="Q121" s="19"/>
    </row>
    <row r="122" spans="1:20" s="12" customFormat="1">
      <c r="A122" s="15" t="s">
        <v>62</v>
      </c>
      <c r="B122" s="75" t="s">
        <v>737</v>
      </c>
      <c r="C122" s="39" t="s">
        <v>17</v>
      </c>
      <c r="D122" s="39">
        <v>0</v>
      </c>
      <c r="E122" s="39">
        <v>0</v>
      </c>
      <c r="F122" s="39">
        <v>0</v>
      </c>
      <c r="G122" s="39">
        <v>0</v>
      </c>
      <c r="H122" s="40">
        <f>SUM(Tabla1325[[#This Row],[PRIMER TRIMESTRE]:[CUARTO TRIMESTRE]])</f>
        <v>0</v>
      </c>
      <c r="I122" s="17">
        <v>65.36</v>
      </c>
      <c r="J122" s="17">
        <f t="shared" si="1"/>
        <v>0</v>
      </c>
      <c r="K122" s="17"/>
      <c r="L122" s="16" t="s">
        <v>15</v>
      </c>
      <c r="M122" s="16" t="s">
        <v>22</v>
      </c>
      <c r="N122" s="39" t="s">
        <v>418</v>
      </c>
      <c r="Q122" s="19"/>
    </row>
    <row r="123" spans="1:20" s="12" customFormat="1">
      <c r="A123" s="15" t="s">
        <v>62</v>
      </c>
      <c r="B123" s="75" t="s">
        <v>738</v>
      </c>
      <c r="C123" s="39" t="s">
        <v>17</v>
      </c>
      <c r="D123" s="39">
        <v>0</v>
      </c>
      <c r="E123" s="39">
        <v>0</v>
      </c>
      <c r="F123" s="39">
        <v>0</v>
      </c>
      <c r="G123" s="39">
        <v>0</v>
      </c>
      <c r="H123" s="40">
        <f>SUM(Tabla1325[[#This Row],[PRIMER TRIMESTRE]:[CUARTO TRIMESTRE]])</f>
        <v>0</v>
      </c>
      <c r="I123" s="17">
        <v>352.74</v>
      </c>
      <c r="J123" s="17">
        <f t="shared" si="1"/>
        <v>0</v>
      </c>
      <c r="K123" s="17"/>
      <c r="L123" s="16" t="s">
        <v>15</v>
      </c>
      <c r="M123" s="16" t="s">
        <v>22</v>
      </c>
      <c r="N123" s="39" t="s">
        <v>418</v>
      </c>
      <c r="Q123" s="19"/>
    </row>
    <row r="124" spans="1:20" s="26" customFormat="1">
      <c r="A124" s="22" t="s">
        <v>62</v>
      </c>
      <c r="B124" s="76"/>
      <c r="C124" s="42"/>
      <c r="D124" s="39"/>
      <c r="E124" s="39"/>
      <c r="F124" s="39"/>
      <c r="G124" s="39"/>
      <c r="H124" s="43"/>
      <c r="I124" s="24"/>
      <c r="J124" s="24"/>
      <c r="K124" s="25">
        <f>SUM(J78:J123)</f>
        <v>9444263.1999999993</v>
      </c>
      <c r="L124" s="23"/>
      <c r="M124" s="23"/>
      <c r="N124" s="42"/>
      <c r="Q124" s="27"/>
      <c r="T124" s="23"/>
    </row>
    <row r="125" spans="1:20" s="12" customFormat="1">
      <c r="A125" s="15" t="s">
        <v>80</v>
      </c>
      <c r="B125" s="106" t="s">
        <v>788</v>
      </c>
      <c r="C125" s="39" t="s">
        <v>69</v>
      </c>
      <c r="D125" s="39">
        <v>11600</v>
      </c>
      <c r="E125" s="39">
        <v>11600</v>
      </c>
      <c r="F125" s="39">
        <v>11600</v>
      </c>
      <c r="G125" s="39">
        <v>11600</v>
      </c>
      <c r="H125" s="40">
        <f>SUM(Tabla1325[[#This Row],[PRIMER TRIMESTRE]:[CUARTO TRIMESTRE]])</f>
        <v>46400</v>
      </c>
      <c r="I125" s="17">
        <v>5.46</v>
      </c>
      <c r="J125" s="17">
        <f>+Tabla1325[[#This Row],[CANTIDAD TOTAL]]*Tabla1325[[#This Row],[PRECIO UNITARIO ESTIMADO]]</f>
        <v>253344</v>
      </c>
      <c r="K125" s="17"/>
      <c r="L125" s="16" t="s">
        <v>18</v>
      </c>
      <c r="M125" s="16" t="s">
        <v>22</v>
      </c>
      <c r="N125" s="39" t="s">
        <v>418</v>
      </c>
      <c r="Q125" s="19" t="s">
        <v>81</v>
      </c>
    </row>
    <row r="126" spans="1:20" s="12" customFormat="1">
      <c r="A126" s="15" t="s">
        <v>80</v>
      </c>
      <c r="B126" s="106" t="s">
        <v>789</v>
      </c>
      <c r="C126" s="39" t="s">
        <v>69</v>
      </c>
      <c r="D126" s="39">
        <v>11600</v>
      </c>
      <c r="E126" s="39">
        <v>11600</v>
      </c>
      <c r="F126" s="39">
        <v>11600</v>
      </c>
      <c r="G126" s="39">
        <v>11600</v>
      </c>
      <c r="H126" s="40">
        <f>SUM(Tabla1325[[#This Row],[PRIMER TRIMESTRE]:[CUARTO TRIMESTRE]])</f>
        <v>46400</v>
      </c>
      <c r="I126" s="17">
        <v>6.4</v>
      </c>
      <c r="J126" s="17">
        <f>+Tabla1325[[#This Row],[CANTIDAD TOTAL]]*Tabla1325[[#This Row],[PRECIO UNITARIO ESTIMADO]]</f>
        <v>296960</v>
      </c>
      <c r="K126" s="17"/>
      <c r="L126" s="16" t="s">
        <v>18</v>
      </c>
      <c r="M126" s="16" t="s">
        <v>22</v>
      </c>
      <c r="N126" s="39" t="s">
        <v>418</v>
      </c>
      <c r="Q126" s="19" t="s">
        <v>82</v>
      </c>
    </row>
    <row r="127" spans="1:20" s="12" customFormat="1">
      <c r="A127" s="15" t="s">
        <v>80</v>
      </c>
      <c r="B127" s="106" t="s">
        <v>83</v>
      </c>
      <c r="C127" s="39" t="s">
        <v>69</v>
      </c>
      <c r="D127" s="39">
        <v>375</v>
      </c>
      <c r="E127" s="39">
        <v>375</v>
      </c>
      <c r="F127" s="39">
        <v>375</v>
      </c>
      <c r="G127" s="39">
        <v>375</v>
      </c>
      <c r="H127" s="40">
        <f>SUM(Tabla1325[[#This Row],[PRIMER TRIMESTRE]:[CUARTO TRIMESTRE]])</f>
        <v>1500</v>
      </c>
      <c r="I127" s="17">
        <v>290</v>
      </c>
      <c r="J127" s="17">
        <f>+Tabla1325[[#This Row],[CANTIDAD TOTAL]]*Tabla1325[[#This Row],[PRECIO UNITARIO ESTIMADO]]</f>
        <v>435000</v>
      </c>
      <c r="K127" s="17"/>
      <c r="L127" s="16" t="s">
        <v>18</v>
      </c>
      <c r="M127" s="16" t="s">
        <v>22</v>
      </c>
      <c r="N127" s="39" t="s">
        <v>418</v>
      </c>
      <c r="Q127" s="19" t="s">
        <v>84</v>
      </c>
    </row>
    <row r="128" spans="1:20" s="12" customFormat="1">
      <c r="A128" s="15" t="s">
        <v>80</v>
      </c>
      <c r="B128" s="106" t="s">
        <v>85</v>
      </c>
      <c r="C128" s="39" t="s">
        <v>69</v>
      </c>
      <c r="D128" s="39">
        <v>8625</v>
      </c>
      <c r="E128" s="39">
        <v>8625</v>
      </c>
      <c r="F128" s="39">
        <v>8625</v>
      </c>
      <c r="G128" s="39">
        <v>8625</v>
      </c>
      <c r="H128" s="40">
        <f>SUM(Tabla1325[[#This Row],[PRIMER TRIMESTRE]:[CUARTO TRIMESTRE]])</f>
        <v>34500</v>
      </c>
      <c r="I128" s="17">
        <v>4.0599999999999996</v>
      </c>
      <c r="J128" s="17">
        <f>+Tabla1325[[#This Row],[CANTIDAD TOTAL]]*Tabla1325[[#This Row],[PRECIO UNITARIO ESTIMADO]]</f>
        <v>140070</v>
      </c>
      <c r="K128" s="17"/>
      <c r="L128" s="16" t="s">
        <v>18</v>
      </c>
      <c r="M128" s="16" t="s">
        <v>22</v>
      </c>
      <c r="N128" s="39" t="s">
        <v>418</v>
      </c>
      <c r="Q128" s="19" t="s">
        <v>86</v>
      </c>
    </row>
    <row r="129" spans="1:17" s="12" customFormat="1">
      <c r="A129" s="15" t="s">
        <v>80</v>
      </c>
      <c r="B129" s="106" t="s">
        <v>87</v>
      </c>
      <c r="C129" s="39" t="s">
        <v>69</v>
      </c>
      <c r="D129" s="39">
        <v>8600</v>
      </c>
      <c r="E129" s="39">
        <v>8600</v>
      </c>
      <c r="F129" s="39">
        <v>8600</v>
      </c>
      <c r="G129" s="39">
        <v>8600</v>
      </c>
      <c r="H129" s="40">
        <f>SUM(Tabla1325[[#This Row],[PRIMER TRIMESTRE]:[CUARTO TRIMESTRE]])</f>
        <v>34400</v>
      </c>
      <c r="I129" s="17">
        <v>3.71</v>
      </c>
      <c r="J129" s="17">
        <f>+Tabla1325[[#This Row],[CANTIDAD TOTAL]]*Tabla1325[[#This Row],[PRECIO UNITARIO ESTIMADO]]</f>
        <v>127624</v>
      </c>
      <c r="K129" s="17"/>
      <c r="L129" s="16" t="s">
        <v>18</v>
      </c>
      <c r="M129" s="16" t="s">
        <v>22</v>
      </c>
      <c r="N129" s="39" t="s">
        <v>418</v>
      </c>
      <c r="Q129" s="19" t="s">
        <v>88</v>
      </c>
    </row>
    <row r="130" spans="1:17" s="12" customFormat="1">
      <c r="A130" s="15" t="s">
        <v>80</v>
      </c>
      <c r="B130" s="106" t="s">
        <v>89</v>
      </c>
      <c r="C130" s="39" t="s">
        <v>69</v>
      </c>
      <c r="D130" s="39">
        <v>11250</v>
      </c>
      <c r="E130" s="39">
        <v>11250</v>
      </c>
      <c r="F130" s="39">
        <v>11250</v>
      </c>
      <c r="G130" s="39">
        <v>11250</v>
      </c>
      <c r="H130" s="40">
        <f>SUM(Tabla1325[[#This Row],[PRIMER TRIMESTRE]:[CUARTO TRIMESTRE]])</f>
        <v>45000</v>
      </c>
      <c r="I130" s="17">
        <v>7.3</v>
      </c>
      <c r="J130" s="17">
        <f>+Tabla1325[[#This Row],[CANTIDAD TOTAL]]*Tabla1325[[#This Row],[PRECIO UNITARIO ESTIMADO]]</f>
        <v>328500</v>
      </c>
      <c r="K130" s="17"/>
      <c r="L130" s="16" t="s">
        <v>18</v>
      </c>
      <c r="M130" s="16" t="s">
        <v>22</v>
      </c>
      <c r="N130" s="39" t="s">
        <v>418</v>
      </c>
      <c r="Q130" s="19" t="s">
        <v>90</v>
      </c>
    </row>
    <row r="131" spans="1:17" s="12" customFormat="1">
      <c r="A131" s="15" t="s">
        <v>80</v>
      </c>
      <c r="B131" s="106" t="s">
        <v>91</v>
      </c>
      <c r="C131" s="39" t="s">
        <v>69</v>
      </c>
      <c r="D131" s="39">
        <v>375</v>
      </c>
      <c r="E131" s="39">
        <v>375</v>
      </c>
      <c r="F131" s="39">
        <v>375</v>
      </c>
      <c r="G131" s="39">
        <v>375</v>
      </c>
      <c r="H131" s="40">
        <f>SUM(Tabla1325[[#This Row],[PRIMER TRIMESTRE]:[CUARTO TRIMESTRE]])</f>
        <v>1500</v>
      </c>
      <c r="I131" s="17">
        <v>169.82</v>
      </c>
      <c r="J131" s="17">
        <f>+Tabla1325[[#This Row],[CANTIDAD TOTAL]]*Tabla1325[[#This Row],[PRECIO UNITARIO ESTIMADO]]</f>
        <v>254730</v>
      </c>
      <c r="K131" s="17"/>
      <c r="L131" s="16" t="s">
        <v>18</v>
      </c>
      <c r="M131" s="16" t="s">
        <v>22</v>
      </c>
      <c r="N131" s="39" t="s">
        <v>418</v>
      </c>
      <c r="Q131" s="19" t="s">
        <v>92</v>
      </c>
    </row>
    <row r="132" spans="1:17" s="12" customFormat="1">
      <c r="A132" s="15" t="s">
        <v>80</v>
      </c>
      <c r="B132" s="75" t="s">
        <v>98</v>
      </c>
      <c r="C132" s="39" t="s">
        <v>93</v>
      </c>
      <c r="D132" s="39">
        <v>0</v>
      </c>
      <c r="E132" s="39">
        <v>0</v>
      </c>
      <c r="F132" s="39">
        <v>0</v>
      </c>
      <c r="G132" s="39">
        <v>0</v>
      </c>
      <c r="H132" s="40">
        <f>SUM(Tabla1325[[#This Row],[PRIMER TRIMESTRE]:[CUARTO TRIMESTRE]])</f>
        <v>0</v>
      </c>
      <c r="I132" s="17">
        <v>272.60000000000002</v>
      </c>
      <c r="J132" s="17">
        <f>+Tabla1325[[#This Row],[CANTIDAD TOTAL]]*Tabla1325[[#This Row],[PRECIO UNITARIO ESTIMADO]]</f>
        <v>0</v>
      </c>
      <c r="K132" s="17"/>
      <c r="L132" s="16" t="s">
        <v>18</v>
      </c>
      <c r="M132" s="16" t="s">
        <v>22</v>
      </c>
      <c r="N132" s="39" t="s">
        <v>418</v>
      </c>
      <c r="Q132" s="19" t="s">
        <v>99</v>
      </c>
    </row>
    <row r="133" spans="1:17" s="12" customFormat="1">
      <c r="A133" s="15" t="s">
        <v>80</v>
      </c>
      <c r="B133" s="75" t="s">
        <v>100</v>
      </c>
      <c r="C133" s="39" t="s">
        <v>93</v>
      </c>
      <c r="D133" s="39">
        <v>0</v>
      </c>
      <c r="E133" s="39">
        <v>0</v>
      </c>
      <c r="F133" s="39">
        <v>0</v>
      </c>
      <c r="G133" s="39">
        <v>0</v>
      </c>
      <c r="H133" s="40">
        <f>SUM(Tabla1325[[#This Row],[PRIMER TRIMESTRE]:[CUARTO TRIMESTRE]])</f>
        <v>0</v>
      </c>
      <c r="I133" s="17">
        <v>30.16</v>
      </c>
      <c r="J133" s="17">
        <f>+Tabla1325[[#This Row],[CANTIDAD TOTAL]]*Tabla1325[[#This Row],[PRECIO UNITARIO ESTIMADO]]</f>
        <v>0</v>
      </c>
      <c r="K133" s="17"/>
      <c r="L133" s="16" t="s">
        <v>18</v>
      </c>
      <c r="M133" s="16" t="s">
        <v>22</v>
      </c>
      <c r="N133" s="39" t="s">
        <v>418</v>
      </c>
      <c r="Q133" s="19" t="s">
        <v>101</v>
      </c>
    </row>
    <row r="134" spans="1:17" s="12" customFormat="1">
      <c r="A134" s="15" t="s">
        <v>80</v>
      </c>
      <c r="B134" s="75" t="s">
        <v>105</v>
      </c>
      <c r="C134" s="39" t="s">
        <v>17</v>
      </c>
      <c r="D134" s="39">
        <v>0</v>
      </c>
      <c r="E134" s="39">
        <v>0</v>
      </c>
      <c r="F134" s="39">
        <v>0</v>
      </c>
      <c r="G134" s="39">
        <v>0</v>
      </c>
      <c r="H134" s="40">
        <f>SUM(Tabla1325[[#This Row],[PRIMER TRIMESTRE]:[CUARTO TRIMESTRE]])</f>
        <v>0</v>
      </c>
      <c r="I134" s="17">
        <v>33.64</v>
      </c>
      <c r="J134" s="17">
        <f>+Tabla1325[[#This Row],[CANTIDAD TOTAL]]*Tabla1325[[#This Row],[PRECIO UNITARIO ESTIMADO]]</f>
        <v>0</v>
      </c>
      <c r="K134" s="17"/>
      <c r="L134" s="16" t="s">
        <v>18</v>
      </c>
      <c r="M134" s="16" t="s">
        <v>22</v>
      </c>
      <c r="N134" s="39" t="s">
        <v>418</v>
      </c>
      <c r="Q134" s="19" t="s">
        <v>106</v>
      </c>
    </row>
    <row r="135" spans="1:17" s="12" customFormat="1">
      <c r="A135" s="15" t="s">
        <v>80</v>
      </c>
      <c r="B135" s="75" t="s">
        <v>110</v>
      </c>
      <c r="C135" s="70" t="s">
        <v>17</v>
      </c>
      <c r="D135" s="39">
        <v>0</v>
      </c>
      <c r="E135" s="39">
        <v>0</v>
      </c>
      <c r="F135" s="39">
        <v>0</v>
      </c>
      <c r="G135" s="39">
        <v>0</v>
      </c>
      <c r="H135" s="40">
        <f>SUM(Tabla1325[[#This Row],[PRIMER TRIMESTRE]:[CUARTO TRIMESTRE]])</f>
        <v>0</v>
      </c>
      <c r="I135" s="17">
        <v>5823.23</v>
      </c>
      <c r="J135" s="17">
        <f>+Tabla1325[[#This Row],[CANTIDAD TOTAL]]*Tabla1325[[#This Row],[PRECIO UNITARIO ESTIMADO]]</f>
        <v>0</v>
      </c>
      <c r="K135" s="17"/>
      <c r="L135" s="16" t="s">
        <v>15</v>
      </c>
      <c r="M135" s="16" t="s">
        <v>22</v>
      </c>
      <c r="N135" s="39" t="s">
        <v>418</v>
      </c>
      <c r="Q135" s="19" t="s">
        <v>111</v>
      </c>
    </row>
    <row r="136" spans="1:17" s="12" customFormat="1">
      <c r="A136" s="15" t="s">
        <v>80</v>
      </c>
      <c r="B136" s="77" t="s">
        <v>112</v>
      </c>
      <c r="C136" s="70" t="s">
        <v>288</v>
      </c>
      <c r="D136" s="39">
        <v>0</v>
      </c>
      <c r="E136" s="39">
        <v>0</v>
      </c>
      <c r="F136" s="39">
        <v>0</v>
      </c>
      <c r="G136" s="39">
        <v>0</v>
      </c>
      <c r="H136" s="40">
        <f>SUM(Tabla1325[[#This Row],[PRIMER TRIMESTRE]:[CUARTO TRIMESTRE]])</f>
        <v>0</v>
      </c>
      <c r="I136" s="17">
        <v>1624</v>
      </c>
      <c r="J136" s="17">
        <f>+Tabla1325[[#This Row],[CANTIDAD TOTAL]]*Tabla1325[[#This Row],[PRECIO UNITARIO ESTIMADO]]</f>
        <v>0</v>
      </c>
      <c r="K136" s="17"/>
      <c r="L136" s="16" t="s">
        <v>15</v>
      </c>
      <c r="M136" s="16" t="s">
        <v>22</v>
      </c>
      <c r="N136" s="39" t="s">
        <v>418</v>
      </c>
      <c r="Q136" s="19" t="s">
        <v>113</v>
      </c>
    </row>
    <row r="137" spans="1:17" s="12" customFormat="1" ht="31.5">
      <c r="A137" s="15" t="s">
        <v>80</v>
      </c>
      <c r="B137" s="106" t="s">
        <v>766</v>
      </c>
      <c r="C137" s="70" t="s">
        <v>767</v>
      </c>
      <c r="D137" s="70">
        <v>1500</v>
      </c>
      <c r="E137" s="70">
        <v>1500</v>
      </c>
      <c r="F137" s="70">
        <v>1000</v>
      </c>
      <c r="G137" s="70">
        <v>1000</v>
      </c>
      <c r="H137" s="40">
        <f>SUM(Tabla1325[[#This Row],[PRIMER TRIMESTRE]:[CUARTO TRIMESTRE]])</f>
        <v>5000</v>
      </c>
      <c r="I137" s="17">
        <v>470</v>
      </c>
      <c r="J137" s="17">
        <f>+Tabla1325[[#This Row],[CANTIDAD TOTAL]]*Tabla1325[[#This Row],[PRECIO UNITARIO ESTIMADO]]</f>
        <v>2350000</v>
      </c>
      <c r="K137" s="17"/>
      <c r="L137" s="16" t="s">
        <v>15</v>
      </c>
      <c r="M137" s="16" t="s">
        <v>22</v>
      </c>
      <c r="N137" s="39" t="s">
        <v>418</v>
      </c>
      <c r="Q137" s="19" t="s">
        <v>114</v>
      </c>
    </row>
    <row r="138" spans="1:17" s="12" customFormat="1">
      <c r="A138" s="15" t="s">
        <v>80</v>
      </c>
      <c r="B138" s="75" t="s">
        <v>730</v>
      </c>
      <c r="C138" s="70" t="s">
        <v>17</v>
      </c>
      <c r="D138" s="70">
        <v>0</v>
      </c>
      <c r="E138" s="70">
        <v>0</v>
      </c>
      <c r="F138" s="70">
        <v>0</v>
      </c>
      <c r="G138" s="70">
        <v>0</v>
      </c>
      <c r="H138" s="40">
        <f>SUM(Tabla1325[[#This Row],[PRIMER TRIMESTRE]:[CUARTO TRIMESTRE]])</f>
        <v>0</v>
      </c>
      <c r="I138" s="17">
        <v>246.34</v>
      </c>
      <c r="J138" s="17">
        <f t="shared" ref="J138:J146" si="2">+H138*I138</f>
        <v>0</v>
      </c>
      <c r="K138" s="17"/>
      <c r="L138" s="16" t="s">
        <v>15</v>
      </c>
      <c r="M138" s="16" t="s">
        <v>22</v>
      </c>
      <c r="N138" s="39" t="s">
        <v>418</v>
      </c>
      <c r="Q138" s="19"/>
    </row>
    <row r="139" spans="1:17" s="12" customFormat="1">
      <c r="A139" s="15" t="s">
        <v>80</v>
      </c>
      <c r="B139" s="75" t="s">
        <v>570</v>
      </c>
      <c r="C139" s="70" t="s">
        <v>17</v>
      </c>
      <c r="D139" s="70">
        <v>0</v>
      </c>
      <c r="E139" s="70">
        <v>0</v>
      </c>
      <c r="F139" s="70">
        <v>0</v>
      </c>
      <c r="G139" s="70">
        <v>0</v>
      </c>
      <c r="H139" s="40">
        <f>SUM(Tabla1325[[#This Row],[PRIMER TRIMESTRE]:[CUARTO TRIMESTRE]])</f>
        <v>0</v>
      </c>
      <c r="I139" s="17">
        <v>4100</v>
      </c>
      <c r="J139" s="17">
        <f t="shared" si="2"/>
        <v>0</v>
      </c>
      <c r="K139" s="17"/>
      <c r="L139" s="16" t="s">
        <v>15</v>
      </c>
      <c r="M139" s="16" t="s">
        <v>22</v>
      </c>
      <c r="N139" s="39" t="s">
        <v>418</v>
      </c>
      <c r="Q139" s="19"/>
    </row>
    <row r="140" spans="1:17" s="12" customFormat="1" ht="30" customHeight="1">
      <c r="A140" s="15" t="s">
        <v>80</v>
      </c>
      <c r="B140" s="75" t="s">
        <v>919</v>
      </c>
      <c r="C140" s="70" t="s">
        <v>17</v>
      </c>
      <c r="D140" s="70">
        <v>0</v>
      </c>
      <c r="E140" s="70">
        <v>0</v>
      </c>
      <c r="F140" s="70">
        <v>0</v>
      </c>
      <c r="G140" s="70">
        <v>0</v>
      </c>
      <c r="H140" s="40">
        <f>SUM(Tabla1325[[#This Row],[PRIMER TRIMESTRE]:[CUARTO TRIMESTRE]])</f>
        <v>0</v>
      </c>
      <c r="I140" s="17">
        <v>31500</v>
      </c>
      <c r="J140" s="17">
        <f t="shared" si="2"/>
        <v>0</v>
      </c>
      <c r="K140" s="17"/>
      <c r="L140" s="16" t="s">
        <v>27</v>
      </c>
      <c r="M140" s="16" t="s">
        <v>22</v>
      </c>
      <c r="N140" s="39"/>
      <c r="Q140" s="19"/>
    </row>
    <row r="141" spans="1:17" s="12" customFormat="1">
      <c r="A141" s="15" t="s">
        <v>80</v>
      </c>
      <c r="B141" s="75" t="s">
        <v>694</v>
      </c>
      <c r="C141" s="70" t="s">
        <v>17</v>
      </c>
      <c r="D141" s="70">
        <v>0</v>
      </c>
      <c r="E141" s="70">
        <v>0</v>
      </c>
      <c r="F141" s="70">
        <v>0</v>
      </c>
      <c r="G141" s="70">
        <v>0</v>
      </c>
      <c r="H141" s="40">
        <f>SUM(Tabla1325[[#This Row],[PRIMER TRIMESTRE]:[CUARTO TRIMESTRE]])</f>
        <v>0</v>
      </c>
      <c r="I141" s="72">
        <v>850</v>
      </c>
      <c r="J141" s="17">
        <f t="shared" si="2"/>
        <v>0</v>
      </c>
      <c r="K141" s="17"/>
      <c r="L141" s="16" t="s">
        <v>18</v>
      </c>
      <c r="M141" s="16" t="s">
        <v>22</v>
      </c>
      <c r="N141" s="39" t="s">
        <v>418</v>
      </c>
      <c r="Q141" s="19"/>
    </row>
    <row r="142" spans="1:17" s="12" customFormat="1">
      <c r="A142" s="15" t="s">
        <v>80</v>
      </c>
      <c r="B142" s="75" t="s">
        <v>695</v>
      </c>
      <c r="C142" s="70" t="s">
        <v>17</v>
      </c>
      <c r="D142" s="70">
        <v>0</v>
      </c>
      <c r="E142" s="70">
        <v>0</v>
      </c>
      <c r="F142" s="70">
        <v>0</v>
      </c>
      <c r="G142" s="70">
        <v>0</v>
      </c>
      <c r="H142" s="40">
        <f>SUM(Tabla1325[[#This Row],[PRIMER TRIMESTRE]:[CUARTO TRIMESTRE]])</f>
        <v>0</v>
      </c>
      <c r="I142" s="72">
        <v>850</v>
      </c>
      <c r="J142" s="17">
        <f t="shared" si="2"/>
        <v>0</v>
      </c>
      <c r="K142" s="17"/>
      <c r="L142" s="16" t="s">
        <v>18</v>
      </c>
      <c r="M142" s="16" t="s">
        <v>22</v>
      </c>
      <c r="N142" s="39" t="s">
        <v>418</v>
      </c>
      <c r="Q142" s="19"/>
    </row>
    <row r="143" spans="1:17" s="12" customFormat="1">
      <c r="A143" s="15" t="s">
        <v>80</v>
      </c>
      <c r="B143" s="75" t="s">
        <v>696</v>
      </c>
      <c r="C143" s="70" t="s">
        <v>17</v>
      </c>
      <c r="D143" s="70">
        <v>0</v>
      </c>
      <c r="E143" s="70">
        <v>0</v>
      </c>
      <c r="F143" s="70">
        <v>0</v>
      </c>
      <c r="G143" s="70">
        <v>0</v>
      </c>
      <c r="H143" s="40">
        <f>SUM(Tabla1325[[#This Row],[PRIMER TRIMESTRE]:[CUARTO TRIMESTRE]])</f>
        <v>0</v>
      </c>
      <c r="I143" s="72">
        <v>970</v>
      </c>
      <c r="J143" s="17">
        <f t="shared" si="2"/>
        <v>0</v>
      </c>
      <c r="K143" s="17"/>
      <c r="L143" s="16" t="s">
        <v>18</v>
      </c>
      <c r="M143" s="16" t="s">
        <v>22</v>
      </c>
      <c r="N143" s="39" t="s">
        <v>418</v>
      </c>
      <c r="Q143" s="19"/>
    </row>
    <row r="144" spans="1:17" s="12" customFormat="1">
      <c r="A144" s="15" t="s">
        <v>80</v>
      </c>
      <c r="B144" s="75" t="s">
        <v>697</v>
      </c>
      <c r="C144" s="70" t="s">
        <v>17</v>
      </c>
      <c r="D144" s="70">
        <v>0</v>
      </c>
      <c r="E144" s="70">
        <v>0</v>
      </c>
      <c r="F144" s="70">
        <v>0</v>
      </c>
      <c r="G144" s="70">
        <v>0</v>
      </c>
      <c r="H144" s="40">
        <f>SUM(Tabla1325[[#This Row],[PRIMER TRIMESTRE]:[CUARTO TRIMESTRE]])</f>
        <v>0</v>
      </c>
      <c r="I144" s="72">
        <v>1870</v>
      </c>
      <c r="J144" s="17">
        <f t="shared" si="2"/>
        <v>0</v>
      </c>
      <c r="K144" s="17"/>
      <c r="L144" s="16" t="s">
        <v>18</v>
      </c>
      <c r="M144" s="16" t="s">
        <v>22</v>
      </c>
      <c r="N144" s="39" t="s">
        <v>418</v>
      </c>
      <c r="Q144" s="19"/>
    </row>
    <row r="145" spans="1:17" s="12" customFormat="1">
      <c r="A145" s="15" t="s">
        <v>80</v>
      </c>
      <c r="B145" s="75" t="s">
        <v>698</v>
      </c>
      <c r="C145" s="39" t="s">
        <v>17</v>
      </c>
      <c r="D145" s="70">
        <v>0</v>
      </c>
      <c r="E145" s="70">
        <v>0</v>
      </c>
      <c r="F145" s="70">
        <v>0</v>
      </c>
      <c r="G145" s="70">
        <v>0</v>
      </c>
      <c r="H145" s="40">
        <f>SUM(Tabla1325[[#This Row],[PRIMER TRIMESTRE]:[CUARTO TRIMESTRE]])</f>
        <v>0</v>
      </c>
      <c r="I145" s="72">
        <v>2150</v>
      </c>
      <c r="J145" s="17">
        <f t="shared" si="2"/>
        <v>0</v>
      </c>
      <c r="K145" s="17"/>
      <c r="L145" s="16" t="s">
        <v>18</v>
      </c>
      <c r="M145" s="16" t="s">
        <v>22</v>
      </c>
      <c r="N145" s="39" t="s">
        <v>418</v>
      </c>
      <c r="Q145" s="19"/>
    </row>
    <row r="146" spans="1:17" s="12" customFormat="1">
      <c r="A146" s="15" t="s">
        <v>80</v>
      </c>
      <c r="B146" s="75" t="s">
        <v>699</v>
      </c>
      <c r="C146" s="39" t="s">
        <v>17</v>
      </c>
      <c r="D146" s="70">
        <v>0</v>
      </c>
      <c r="E146" s="70">
        <v>0</v>
      </c>
      <c r="F146" s="70">
        <v>0</v>
      </c>
      <c r="G146" s="70">
        <v>0</v>
      </c>
      <c r="H146" s="40">
        <f>SUM(Tabla1325[[#This Row],[PRIMER TRIMESTRE]:[CUARTO TRIMESTRE]])</f>
        <v>0</v>
      </c>
      <c r="I146" s="72">
        <v>2860</v>
      </c>
      <c r="J146" s="17">
        <f t="shared" si="2"/>
        <v>0</v>
      </c>
      <c r="K146" s="17"/>
      <c r="L146" s="16" t="s">
        <v>18</v>
      </c>
      <c r="M146" s="16" t="s">
        <v>22</v>
      </c>
      <c r="N146" s="39" t="s">
        <v>418</v>
      </c>
      <c r="Q146" s="19"/>
    </row>
    <row r="147" spans="1:17" s="12" customFormat="1">
      <c r="A147" s="15" t="s">
        <v>80</v>
      </c>
      <c r="B147" s="75" t="s">
        <v>577</v>
      </c>
      <c r="C147" s="39" t="s">
        <v>17</v>
      </c>
      <c r="D147" s="70">
        <v>0</v>
      </c>
      <c r="E147" s="70">
        <v>0</v>
      </c>
      <c r="F147" s="70">
        <v>0</v>
      </c>
      <c r="G147" s="70">
        <v>0</v>
      </c>
      <c r="H147" s="40">
        <f>SUM(Tabla1325[[#This Row],[PRIMER TRIMESTRE]:[CUARTO TRIMESTRE]])</f>
        <v>0</v>
      </c>
      <c r="I147" s="17">
        <v>1232.8699999999999</v>
      </c>
      <c r="J147" s="17">
        <f>+Tabla1325[[#This Row],[CANTIDAD TOTAL]]*Tabla1325[[#This Row],[PRECIO UNITARIO ESTIMADO]]</f>
        <v>0</v>
      </c>
      <c r="K147" s="17"/>
      <c r="L147" s="16" t="s">
        <v>18</v>
      </c>
      <c r="M147" s="16" t="s">
        <v>22</v>
      </c>
      <c r="N147" s="39" t="s">
        <v>418</v>
      </c>
      <c r="Q147" s="19" t="s">
        <v>123</v>
      </c>
    </row>
    <row r="148" spans="1:17" s="12" customFormat="1">
      <c r="A148" s="15" t="s">
        <v>80</v>
      </c>
      <c r="B148" s="75" t="s">
        <v>578</v>
      </c>
      <c r="C148" s="39" t="s">
        <v>17</v>
      </c>
      <c r="D148" s="70">
        <v>0</v>
      </c>
      <c r="E148" s="70">
        <v>0</v>
      </c>
      <c r="F148" s="70">
        <v>0</v>
      </c>
      <c r="G148" s="70">
        <v>0</v>
      </c>
      <c r="H148" s="40">
        <f>SUM(Tabla1325[[#This Row],[PRIMER TRIMESTRE]:[CUARTO TRIMESTRE]])</f>
        <v>0</v>
      </c>
      <c r="I148" s="17">
        <v>2186.6</v>
      </c>
      <c r="J148" s="17">
        <f>+Tabla1325[[#This Row],[CANTIDAD TOTAL]]*Tabla1325[[#This Row],[PRECIO UNITARIO ESTIMADO]]</f>
        <v>0</v>
      </c>
      <c r="K148" s="17"/>
      <c r="L148" s="16" t="s">
        <v>18</v>
      </c>
      <c r="M148" s="16" t="s">
        <v>22</v>
      </c>
      <c r="N148" s="39" t="s">
        <v>418</v>
      </c>
      <c r="Q148" s="19"/>
    </row>
    <row r="149" spans="1:17" s="12" customFormat="1">
      <c r="A149" s="15" t="s">
        <v>80</v>
      </c>
      <c r="B149" s="75" t="s">
        <v>700</v>
      </c>
      <c r="C149" s="39" t="s">
        <v>17</v>
      </c>
      <c r="D149" s="70">
        <v>0</v>
      </c>
      <c r="E149" s="70">
        <v>0</v>
      </c>
      <c r="F149" s="70">
        <v>0</v>
      </c>
      <c r="G149" s="70">
        <v>0</v>
      </c>
      <c r="H149" s="40">
        <f>SUM(Tabla1325[[#This Row],[PRIMER TRIMESTRE]:[CUARTO TRIMESTRE]])</f>
        <v>0</v>
      </c>
      <c r="I149" s="17">
        <v>4484</v>
      </c>
      <c r="J149" s="17">
        <f>+Tabla1325[[#This Row],[CANTIDAD TOTAL]]*Tabla1325[[#This Row],[PRECIO UNITARIO ESTIMADO]]</f>
        <v>0</v>
      </c>
      <c r="K149" s="17"/>
      <c r="L149" s="16" t="s">
        <v>18</v>
      </c>
      <c r="M149" s="16" t="s">
        <v>22</v>
      </c>
      <c r="N149" s="39" t="s">
        <v>418</v>
      </c>
      <c r="Q149" s="19"/>
    </row>
    <row r="150" spans="1:17" s="12" customFormat="1">
      <c r="A150" s="15" t="s">
        <v>80</v>
      </c>
      <c r="B150" s="75" t="s">
        <v>701</v>
      </c>
      <c r="C150" s="39" t="s">
        <v>17</v>
      </c>
      <c r="D150" s="70">
        <v>0</v>
      </c>
      <c r="E150" s="70">
        <v>0</v>
      </c>
      <c r="F150" s="70">
        <v>0</v>
      </c>
      <c r="G150" s="70">
        <v>0</v>
      </c>
      <c r="H150" s="40">
        <f>SUM(Tabla1325[[#This Row],[PRIMER TRIMESTRE]:[CUARTO TRIMESTRE]])</f>
        <v>0</v>
      </c>
      <c r="I150" s="72">
        <f>+I149*1.25</f>
        <v>5605</v>
      </c>
      <c r="J150" s="17">
        <f>+H150*I150</f>
        <v>0</v>
      </c>
      <c r="K150" s="17"/>
      <c r="L150" s="16" t="s">
        <v>18</v>
      </c>
      <c r="M150" s="16" t="s">
        <v>22</v>
      </c>
      <c r="N150" s="39" t="s">
        <v>418</v>
      </c>
      <c r="Q150" s="19"/>
    </row>
    <row r="151" spans="1:17" s="12" customFormat="1">
      <c r="A151" s="15" t="s">
        <v>80</v>
      </c>
      <c r="B151" s="75" t="s">
        <v>580</v>
      </c>
      <c r="C151" s="39" t="s">
        <v>17</v>
      </c>
      <c r="D151" s="70">
        <v>0</v>
      </c>
      <c r="E151" s="70">
        <v>0</v>
      </c>
      <c r="F151" s="70">
        <v>0</v>
      </c>
      <c r="G151" s="70">
        <v>0</v>
      </c>
      <c r="H151" s="40">
        <f>SUM(Tabla1325[[#This Row],[PRIMER TRIMESTRE]:[CUARTO TRIMESTRE]])</f>
        <v>0</v>
      </c>
      <c r="I151" s="17">
        <v>29</v>
      </c>
      <c r="J151" s="17">
        <f t="shared" ref="J151:J165" si="3">+H151*I151</f>
        <v>0</v>
      </c>
      <c r="K151" s="17"/>
      <c r="L151" s="16" t="s">
        <v>18</v>
      </c>
      <c r="M151" s="16" t="s">
        <v>22</v>
      </c>
      <c r="N151" s="39" t="s">
        <v>418</v>
      </c>
    </row>
    <row r="152" spans="1:17" s="12" customFormat="1">
      <c r="A152" s="15" t="s">
        <v>80</v>
      </c>
      <c r="B152" s="75" t="s">
        <v>579</v>
      </c>
      <c r="C152" s="39" t="s">
        <v>17</v>
      </c>
      <c r="D152" s="70">
        <v>0</v>
      </c>
      <c r="E152" s="70">
        <v>0</v>
      </c>
      <c r="F152" s="70">
        <v>0</v>
      </c>
      <c r="G152" s="70">
        <v>0</v>
      </c>
      <c r="H152" s="40">
        <f>SUM(Tabla1325[[#This Row],[PRIMER TRIMESTRE]:[CUARTO TRIMESTRE]])</f>
        <v>0</v>
      </c>
      <c r="I152" s="17">
        <v>31.16</v>
      </c>
      <c r="J152" s="17">
        <f t="shared" si="3"/>
        <v>0</v>
      </c>
      <c r="K152" s="17"/>
      <c r="L152" s="16" t="s">
        <v>18</v>
      </c>
      <c r="M152" s="16" t="s">
        <v>22</v>
      </c>
      <c r="N152" s="39" t="s">
        <v>418</v>
      </c>
    </row>
    <row r="153" spans="1:17" s="12" customFormat="1">
      <c r="A153" s="15" t="s">
        <v>80</v>
      </c>
      <c r="B153" s="75" t="s">
        <v>581</v>
      </c>
      <c r="C153" s="39" t="s">
        <v>17</v>
      </c>
      <c r="D153" s="70">
        <v>0</v>
      </c>
      <c r="E153" s="70">
        <v>0</v>
      </c>
      <c r="F153" s="70">
        <v>0</v>
      </c>
      <c r="G153" s="70">
        <v>0</v>
      </c>
      <c r="H153" s="40">
        <f>SUM(Tabla1325[[#This Row],[PRIMER TRIMESTRE]:[CUARTO TRIMESTRE]])</f>
        <v>0</v>
      </c>
      <c r="I153" s="17">
        <v>54.52</v>
      </c>
      <c r="J153" s="17">
        <f t="shared" si="3"/>
        <v>0</v>
      </c>
      <c r="K153" s="17"/>
      <c r="L153" s="16" t="s">
        <v>18</v>
      </c>
      <c r="M153" s="16" t="s">
        <v>22</v>
      </c>
      <c r="N153" s="39" t="s">
        <v>418</v>
      </c>
    </row>
    <row r="154" spans="1:17" s="12" customFormat="1">
      <c r="A154" s="15" t="s">
        <v>80</v>
      </c>
      <c r="B154" s="75" t="s">
        <v>582</v>
      </c>
      <c r="C154" s="39" t="s">
        <v>17</v>
      </c>
      <c r="D154" s="70">
        <v>0</v>
      </c>
      <c r="E154" s="70">
        <v>0</v>
      </c>
      <c r="F154" s="70">
        <v>0</v>
      </c>
      <c r="G154" s="70">
        <v>0</v>
      </c>
      <c r="H154" s="40">
        <f>SUM(Tabla1325[[#This Row],[PRIMER TRIMESTRE]:[CUARTO TRIMESTRE]])</f>
        <v>0</v>
      </c>
      <c r="I154" s="17">
        <v>55.84</v>
      </c>
      <c r="J154" s="17">
        <f t="shared" si="3"/>
        <v>0</v>
      </c>
      <c r="K154" s="17"/>
      <c r="L154" s="16" t="s">
        <v>18</v>
      </c>
      <c r="M154" s="16" t="s">
        <v>22</v>
      </c>
      <c r="N154" s="39" t="s">
        <v>418</v>
      </c>
    </row>
    <row r="155" spans="1:17" s="12" customFormat="1">
      <c r="A155" s="15" t="s">
        <v>80</v>
      </c>
      <c r="B155" s="75" t="s">
        <v>583</v>
      </c>
      <c r="C155" s="39" t="s">
        <v>17</v>
      </c>
      <c r="D155" s="70">
        <v>0</v>
      </c>
      <c r="E155" s="70">
        <v>0</v>
      </c>
      <c r="F155" s="70">
        <v>0</v>
      </c>
      <c r="G155" s="70">
        <v>0</v>
      </c>
      <c r="H155" s="40">
        <f>SUM(Tabla1325[[#This Row],[PRIMER TRIMESTRE]:[CUARTO TRIMESTRE]])</f>
        <v>0</v>
      </c>
      <c r="I155" s="17">
        <v>67.28</v>
      </c>
      <c r="J155" s="17">
        <f t="shared" si="3"/>
        <v>0</v>
      </c>
      <c r="K155" s="17"/>
      <c r="L155" s="16" t="s">
        <v>18</v>
      </c>
      <c r="M155" s="16" t="s">
        <v>22</v>
      </c>
      <c r="N155" s="39" t="s">
        <v>418</v>
      </c>
    </row>
    <row r="156" spans="1:17" s="12" customFormat="1">
      <c r="A156" s="15" t="s">
        <v>80</v>
      </c>
      <c r="B156" s="75" t="s">
        <v>584</v>
      </c>
      <c r="C156" s="39" t="s">
        <v>17</v>
      </c>
      <c r="D156" s="70">
        <v>0</v>
      </c>
      <c r="E156" s="70">
        <v>0</v>
      </c>
      <c r="F156" s="70">
        <v>0</v>
      </c>
      <c r="G156" s="70">
        <v>0</v>
      </c>
      <c r="H156" s="40">
        <f>SUM(Tabla1325[[#This Row],[PRIMER TRIMESTRE]:[CUARTO TRIMESTRE]])</f>
        <v>0</v>
      </c>
      <c r="I156" s="17">
        <v>68.28</v>
      </c>
      <c r="J156" s="17">
        <f t="shared" si="3"/>
        <v>0</v>
      </c>
      <c r="K156" s="17"/>
      <c r="L156" s="16" t="s">
        <v>18</v>
      </c>
      <c r="M156" s="16" t="s">
        <v>22</v>
      </c>
      <c r="N156" s="39" t="s">
        <v>418</v>
      </c>
    </row>
    <row r="157" spans="1:17" s="12" customFormat="1">
      <c r="A157" s="15" t="s">
        <v>80</v>
      </c>
      <c r="B157" s="75" t="s">
        <v>585</v>
      </c>
      <c r="C157" s="39" t="s">
        <v>17</v>
      </c>
      <c r="D157" s="70">
        <v>0</v>
      </c>
      <c r="E157" s="70">
        <v>0</v>
      </c>
      <c r="F157" s="70">
        <v>0</v>
      </c>
      <c r="G157" s="70">
        <v>0</v>
      </c>
      <c r="H157" s="40">
        <f>SUM(Tabla1325[[#This Row],[PRIMER TRIMESTRE]:[CUARTO TRIMESTRE]])</f>
        <v>0</v>
      </c>
      <c r="I157" s="17">
        <v>80</v>
      </c>
      <c r="J157" s="17">
        <f t="shared" si="3"/>
        <v>0</v>
      </c>
      <c r="K157" s="17"/>
      <c r="L157" s="16" t="s">
        <v>18</v>
      </c>
      <c r="M157" s="16" t="s">
        <v>22</v>
      </c>
      <c r="N157" s="39" t="s">
        <v>418</v>
      </c>
    </row>
    <row r="158" spans="1:17" s="12" customFormat="1">
      <c r="A158" s="15" t="s">
        <v>80</v>
      </c>
      <c r="B158" s="75" t="s">
        <v>586</v>
      </c>
      <c r="C158" s="39" t="s">
        <v>17</v>
      </c>
      <c r="D158" s="70">
        <v>0</v>
      </c>
      <c r="E158" s="70">
        <v>0</v>
      </c>
      <c r="F158" s="70">
        <v>0</v>
      </c>
      <c r="G158" s="70">
        <v>0</v>
      </c>
      <c r="H158" s="40">
        <f>SUM(Tabla1325[[#This Row],[PRIMER TRIMESTRE]:[CUARTO TRIMESTRE]])</f>
        <v>0</v>
      </c>
      <c r="I158" s="72">
        <v>85</v>
      </c>
      <c r="J158" s="17">
        <f t="shared" si="3"/>
        <v>0</v>
      </c>
      <c r="K158" s="17"/>
      <c r="L158" s="16" t="s">
        <v>18</v>
      </c>
      <c r="M158" s="16" t="s">
        <v>22</v>
      </c>
      <c r="N158" s="39" t="s">
        <v>418</v>
      </c>
    </row>
    <row r="159" spans="1:17" s="12" customFormat="1">
      <c r="A159" s="15" t="s">
        <v>80</v>
      </c>
      <c r="B159" s="75" t="s">
        <v>587</v>
      </c>
      <c r="C159" s="39" t="s">
        <v>17</v>
      </c>
      <c r="D159" s="70">
        <v>0</v>
      </c>
      <c r="E159" s="70">
        <v>0</v>
      </c>
      <c r="F159" s="70">
        <v>0</v>
      </c>
      <c r="G159" s="70">
        <v>0</v>
      </c>
      <c r="H159" s="40">
        <f>SUM(Tabla1325[[#This Row],[PRIMER TRIMESTRE]:[CUARTO TRIMESTRE]])</f>
        <v>0</v>
      </c>
      <c r="I159" s="72">
        <v>1044.3</v>
      </c>
      <c r="J159" s="17">
        <f t="shared" si="3"/>
        <v>0</v>
      </c>
      <c r="K159" s="17"/>
      <c r="L159" s="16" t="s">
        <v>18</v>
      </c>
      <c r="M159" s="16" t="s">
        <v>22</v>
      </c>
      <c r="N159" s="39" t="s">
        <v>418</v>
      </c>
    </row>
    <row r="160" spans="1:17" s="12" customFormat="1">
      <c r="A160" s="15" t="s">
        <v>80</v>
      </c>
      <c r="B160" s="75" t="s">
        <v>588</v>
      </c>
      <c r="C160" s="39" t="s">
        <v>17</v>
      </c>
      <c r="D160" s="70">
        <v>0</v>
      </c>
      <c r="E160" s="70">
        <v>0</v>
      </c>
      <c r="F160" s="70">
        <v>0</v>
      </c>
      <c r="G160" s="70">
        <v>0</v>
      </c>
      <c r="H160" s="40">
        <f>SUM(Tabla1325[[#This Row],[PRIMER TRIMESTRE]:[CUARTO TRIMESTRE]])</f>
        <v>0</v>
      </c>
      <c r="I160" s="17">
        <v>1000</v>
      </c>
      <c r="J160" s="17">
        <f t="shared" si="3"/>
        <v>0</v>
      </c>
      <c r="K160" s="17"/>
      <c r="L160" s="16" t="s">
        <v>18</v>
      </c>
      <c r="M160" s="16" t="s">
        <v>22</v>
      </c>
      <c r="N160" s="39" t="s">
        <v>418</v>
      </c>
    </row>
    <row r="161" spans="1:17" s="12" customFormat="1">
      <c r="A161" s="15" t="s">
        <v>80</v>
      </c>
      <c r="B161" s="75" t="s">
        <v>589</v>
      </c>
      <c r="C161" s="39" t="s">
        <v>17</v>
      </c>
      <c r="D161" s="70">
        <v>0</v>
      </c>
      <c r="E161" s="70">
        <v>0</v>
      </c>
      <c r="F161" s="70">
        <v>0</v>
      </c>
      <c r="G161" s="70">
        <v>0</v>
      </c>
      <c r="H161" s="40">
        <f>SUM(Tabla1325[[#This Row],[PRIMER TRIMESTRE]:[CUARTO TRIMESTRE]])</f>
        <v>0</v>
      </c>
      <c r="I161" s="72">
        <v>1144.5999999999999</v>
      </c>
      <c r="J161" s="17">
        <f t="shared" si="3"/>
        <v>0</v>
      </c>
      <c r="K161" s="17"/>
      <c r="L161" s="16" t="s">
        <v>18</v>
      </c>
      <c r="M161" s="16" t="s">
        <v>22</v>
      </c>
      <c r="N161" s="39" t="s">
        <v>418</v>
      </c>
    </row>
    <row r="162" spans="1:17" s="12" customFormat="1">
      <c r="A162" s="15" t="s">
        <v>80</v>
      </c>
      <c r="B162" s="75" t="s">
        <v>590</v>
      </c>
      <c r="C162" s="39" t="s">
        <v>17</v>
      </c>
      <c r="D162" s="70">
        <v>0</v>
      </c>
      <c r="E162" s="70">
        <v>0</v>
      </c>
      <c r="F162" s="70">
        <v>0</v>
      </c>
      <c r="G162" s="70">
        <v>0</v>
      </c>
      <c r="H162" s="40">
        <f>SUM(Tabla1325[[#This Row],[PRIMER TRIMESTRE]:[CUARTO TRIMESTRE]])</f>
        <v>0</v>
      </c>
      <c r="I162" s="72">
        <v>1534</v>
      </c>
      <c r="J162" s="17">
        <f t="shared" si="3"/>
        <v>0</v>
      </c>
      <c r="K162" s="17"/>
      <c r="L162" s="16" t="s">
        <v>18</v>
      </c>
      <c r="M162" s="16" t="s">
        <v>22</v>
      </c>
      <c r="N162" s="39" t="s">
        <v>418</v>
      </c>
    </row>
    <row r="163" spans="1:17" s="12" customFormat="1">
      <c r="A163" s="15" t="s">
        <v>80</v>
      </c>
      <c r="B163" s="75" t="s">
        <v>594</v>
      </c>
      <c r="C163" s="39" t="s">
        <v>17</v>
      </c>
      <c r="D163" s="70">
        <v>0</v>
      </c>
      <c r="E163" s="70">
        <v>0</v>
      </c>
      <c r="F163" s="70">
        <v>0</v>
      </c>
      <c r="G163" s="70">
        <v>0</v>
      </c>
      <c r="H163" s="40">
        <f>SUM(Tabla1325[[#This Row],[PRIMER TRIMESTRE]:[CUARTO TRIMESTRE]])</f>
        <v>0</v>
      </c>
      <c r="I163" s="17">
        <v>6.37</v>
      </c>
      <c r="J163" s="17">
        <f t="shared" si="3"/>
        <v>0</v>
      </c>
      <c r="K163" s="17"/>
      <c r="L163" s="16" t="s">
        <v>18</v>
      </c>
      <c r="M163" s="16" t="s">
        <v>22</v>
      </c>
      <c r="N163" s="39" t="s">
        <v>418</v>
      </c>
    </row>
    <row r="164" spans="1:17" s="12" customFormat="1">
      <c r="A164" s="15" t="s">
        <v>80</v>
      </c>
      <c r="B164" s="75" t="s">
        <v>595</v>
      </c>
      <c r="C164" s="39" t="s">
        <v>17</v>
      </c>
      <c r="D164" s="70">
        <v>0</v>
      </c>
      <c r="E164" s="70">
        <v>0</v>
      </c>
      <c r="F164" s="70">
        <v>0</v>
      </c>
      <c r="G164" s="70">
        <v>0</v>
      </c>
      <c r="H164" s="40">
        <f>SUM(Tabla1325[[#This Row],[PRIMER TRIMESTRE]:[CUARTO TRIMESTRE]])</f>
        <v>0</v>
      </c>
      <c r="I164" s="17">
        <v>11.82</v>
      </c>
      <c r="J164" s="17">
        <f t="shared" si="3"/>
        <v>0</v>
      </c>
      <c r="K164" s="17"/>
      <c r="L164" s="16" t="s">
        <v>18</v>
      </c>
      <c r="M164" s="16" t="s">
        <v>22</v>
      </c>
      <c r="N164" s="39" t="s">
        <v>418</v>
      </c>
    </row>
    <row r="165" spans="1:17" s="12" customFormat="1">
      <c r="A165" s="15" t="s">
        <v>80</v>
      </c>
      <c r="B165" s="75" t="s">
        <v>596</v>
      </c>
      <c r="C165" s="39" t="s">
        <v>17</v>
      </c>
      <c r="D165" s="70">
        <v>0</v>
      </c>
      <c r="E165" s="70">
        <v>0</v>
      </c>
      <c r="F165" s="70">
        <v>0</v>
      </c>
      <c r="G165" s="70">
        <v>0</v>
      </c>
      <c r="H165" s="40">
        <f>SUM(Tabla1325[[#This Row],[PRIMER TRIMESTRE]:[CUARTO TRIMESTRE]])</f>
        <v>0</v>
      </c>
      <c r="I165" s="17">
        <v>15.46</v>
      </c>
      <c r="J165" s="17">
        <f t="shared" si="3"/>
        <v>0</v>
      </c>
      <c r="K165" s="17"/>
      <c r="L165" s="16" t="s">
        <v>18</v>
      </c>
      <c r="M165" s="16" t="s">
        <v>22</v>
      </c>
      <c r="N165" s="39" t="s">
        <v>418</v>
      </c>
    </row>
    <row r="166" spans="1:17" s="12" customFormat="1">
      <c r="A166" s="15" t="s">
        <v>80</v>
      </c>
      <c r="B166" s="75" t="s">
        <v>592</v>
      </c>
      <c r="C166" s="39" t="s">
        <v>17</v>
      </c>
      <c r="D166" s="70">
        <v>0</v>
      </c>
      <c r="E166" s="70">
        <v>0</v>
      </c>
      <c r="F166" s="70">
        <v>0</v>
      </c>
      <c r="G166" s="70">
        <v>0</v>
      </c>
      <c r="H166" s="40">
        <f>SUM(Tabla1325[[#This Row],[PRIMER TRIMESTRE]:[CUARTO TRIMESTRE]])</f>
        <v>0</v>
      </c>
      <c r="I166" s="17">
        <v>103.84</v>
      </c>
      <c r="J166" s="17">
        <f>+Tabla1325[[#This Row],[CANTIDAD TOTAL]]*Tabla1325[[#This Row],[PRECIO UNITARIO ESTIMADO]]</f>
        <v>0</v>
      </c>
      <c r="K166" s="17"/>
      <c r="L166" s="16" t="s">
        <v>18</v>
      </c>
      <c r="M166" s="16" t="s">
        <v>22</v>
      </c>
      <c r="N166" s="39" t="s">
        <v>418</v>
      </c>
      <c r="Q166" s="19"/>
    </row>
    <row r="167" spans="1:17" s="12" customFormat="1">
      <c r="A167" s="15" t="s">
        <v>80</v>
      </c>
      <c r="B167" s="75" t="s">
        <v>593</v>
      </c>
      <c r="C167" s="39" t="s">
        <v>17</v>
      </c>
      <c r="D167" s="70">
        <v>0</v>
      </c>
      <c r="E167" s="70">
        <v>0</v>
      </c>
      <c r="F167" s="70">
        <v>0</v>
      </c>
      <c r="G167" s="70">
        <v>0</v>
      </c>
      <c r="H167" s="40">
        <f>SUM(Tabla1325[[#This Row],[PRIMER TRIMESTRE]:[CUARTO TRIMESTRE]])</f>
        <v>0</v>
      </c>
      <c r="I167" s="17">
        <v>22.42</v>
      </c>
      <c r="J167" s="17">
        <f>+Tabla1325[[#This Row],[CANTIDAD TOTAL]]*Tabla1325[[#This Row],[PRECIO UNITARIO ESTIMADO]]</f>
        <v>0</v>
      </c>
      <c r="K167" s="17"/>
      <c r="L167" s="16" t="s">
        <v>18</v>
      </c>
      <c r="M167" s="16" t="s">
        <v>22</v>
      </c>
      <c r="N167" s="39" t="s">
        <v>418</v>
      </c>
      <c r="Q167" s="19"/>
    </row>
    <row r="168" spans="1:17" s="12" customFormat="1">
      <c r="A168" s="15" t="s">
        <v>80</v>
      </c>
      <c r="B168" s="75" t="s">
        <v>591</v>
      </c>
      <c r="C168" s="39" t="s">
        <v>17</v>
      </c>
      <c r="D168" s="70">
        <v>0</v>
      </c>
      <c r="E168" s="70">
        <v>0</v>
      </c>
      <c r="F168" s="70">
        <v>0</v>
      </c>
      <c r="G168" s="70">
        <v>0</v>
      </c>
      <c r="H168" s="40">
        <f>SUM(Tabla1325[[#This Row],[PRIMER TRIMESTRE]:[CUARTO TRIMESTRE]])</f>
        <v>0</v>
      </c>
      <c r="I168" s="17">
        <v>489.7</v>
      </c>
      <c r="J168" s="17">
        <f>+Tabla1325[[#This Row],[CANTIDAD TOTAL]]*Tabla1325[[#This Row],[PRECIO UNITARIO ESTIMADO]]</f>
        <v>0</v>
      </c>
      <c r="K168" s="17"/>
      <c r="L168" s="16" t="s">
        <v>18</v>
      </c>
      <c r="M168" s="16" t="s">
        <v>22</v>
      </c>
      <c r="N168" s="39" t="s">
        <v>418</v>
      </c>
      <c r="Q168" s="19"/>
    </row>
    <row r="169" spans="1:17" s="12" customFormat="1">
      <c r="A169" s="15" t="s">
        <v>80</v>
      </c>
      <c r="B169" s="75" t="s">
        <v>616</v>
      </c>
      <c r="C169" s="39" t="s">
        <v>17</v>
      </c>
      <c r="D169" s="70">
        <v>0</v>
      </c>
      <c r="E169" s="70">
        <v>0</v>
      </c>
      <c r="F169" s="70">
        <v>0</v>
      </c>
      <c r="G169" s="70">
        <v>0</v>
      </c>
      <c r="H169" s="40">
        <f>SUM(Tabla1325[[#This Row],[PRIMER TRIMESTRE]:[CUARTO TRIMESTRE]])</f>
        <v>0</v>
      </c>
      <c r="I169" s="17">
        <v>767</v>
      </c>
      <c r="J169" s="17">
        <f>+Tabla1325[[#This Row],[CANTIDAD TOTAL]]*Tabla1325[[#This Row],[PRECIO UNITARIO ESTIMADO]]</f>
        <v>0</v>
      </c>
      <c r="K169" s="17"/>
      <c r="L169" s="16" t="s">
        <v>18</v>
      </c>
      <c r="M169" s="16" t="s">
        <v>22</v>
      </c>
      <c r="N169" s="39" t="s">
        <v>418</v>
      </c>
      <c r="Q169" s="19"/>
    </row>
    <row r="170" spans="1:17" s="12" customFormat="1">
      <c r="A170" s="15" t="s">
        <v>80</v>
      </c>
      <c r="B170" s="75" t="s">
        <v>617</v>
      </c>
      <c r="C170" s="39" t="s">
        <v>17</v>
      </c>
      <c r="D170" s="70">
        <v>0</v>
      </c>
      <c r="E170" s="70">
        <v>0</v>
      </c>
      <c r="F170" s="70">
        <v>0</v>
      </c>
      <c r="G170" s="70">
        <v>0</v>
      </c>
      <c r="H170" s="40">
        <f>SUM(Tabla1325[[#This Row],[PRIMER TRIMESTRE]:[CUARTO TRIMESTRE]])</f>
        <v>0</v>
      </c>
      <c r="I170" s="17">
        <v>1003</v>
      </c>
      <c r="J170" s="17">
        <f t="shared" ref="J170:J186" si="4">+H170*I170</f>
        <v>0</v>
      </c>
      <c r="K170" s="17"/>
      <c r="L170" s="16" t="s">
        <v>18</v>
      </c>
      <c r="M170" s="16" t="s">
        <v>22</v>
      </c>
      <c r="N170" s="39" t="s">
        <v>418</v>
      </c>
      <c r="Q170" s="19"/>
    </row>
    <row r="171" spans="1:17" s="12" customFormat="1">
      <c r="A171" s="15" t="s">
        <v>80</v>
      </c>
      <c r="B171" s="75" t="s">
        <v>618</v>
      </c>
      <c r="C171" s="39" t="s">
        <v>17</v>
      </c>
      <c r="D171" s="70">
        <v>0</v>
      </c>
      <c r="E171" s="70">
        <v>0</v>
      </c>
      <c r="F171" s="70">
        <v>0</v>
      </c>
      <c r="G171" s="70">
        <v>0</v>
      </c>
      <c r="H171" s="40">
        <f>SUM(Tabla1325[[#This Row],[PRIMER TRIMESTRE]:[CUARTO TRIMESTRE]])</f>
        <v>0</v>
      </c>
      <c r="I171" s="17">
        <v>1357</v>
      </c>
      <c r="J171" s="17">
        <f t="shared" si="4"/>
        <v>0</v>
      </c>
      <c r="K171" s="17"/>
      <c r="L171" s="16" t="s">
        <v>18</v>
      </c>
      <c r="M171" s="16" t="s">
        <v>22</v>
      </c>
      <c r="N171" s="39" t="s">
        <v>418</v>
      </c>
      <c r="Q171" s="19"/>
    </row>
    <row r="172" spans="1:17" s="12" customFormat="1">
      <c r="A172" s="15" t="s">
        <v>80</v>
      </c>
      <c r="B172" s="75" t="s">
        <v>619</v>
      </c>
      <c r="C172" s="39" t="s">
        <v>17</v>
      </c>
      <c r="D172" s="70">
        <v>0</v>
      </c>
      <c r="E172" s="70">
        <v>0</v>
      </c>
      <c r="F172" s="70">
        <v>0</v>
      </c>
      <c r="G172" s="70">
        <v>0</v>
      </c>
      <c r="H172" s="40">
        <f>SUM(Tabla1325[[#This Row],[PRIMER TRIMESTRE]:[CUARTO TRIMESTRE]])</f>
        <v>0</v>
      </c>
      <c r="I172" s="17">
        <v>2950</v>
      </c>
      <c r="J172" s="17">
        <f t="shared" si="4"/>
        <v>0</v>
      </c>
      <c r="K172" s="17"/>
      <c r="L172" s="16" t="s">
        <v>18</v>
      </c>
      <c r="M172" s="16" t="s">
        <v>22</v>
      </c>
      <c r="N172" s="39" t="s">
        <v>418</v>
      </c>
      <c r="Q172" s="19"/>
    </row>
    <row r="173" spans="1:17" s="12" customFormat="1">
      <c r="A173" s="15" t="s">
        <v>80</v>
      </c>
      <c r="B173" s="75" t="s">
        <v>620</v>
      </c>
      <c r="C173" s="39" t="s">
        <v>17</v>
      </c>
      <c r="D173" s="70">
        <v>0</v>
      </c>
      <c r="E173" s="70">
        <v>0</v>
      </c>
      <c r="F173" s="70">
        <v>0</v>
      </c>
      <c r="G173" s="70">
        <v>0</v>
      </c>
      <c r="H173" s="40">
        <f>SUM(Tabla1325[[#This Row],[PRIMER TRIMESTRE]:[CUARTO TRIMESTRE]])</f>
        <v>0</v>
      </c>
      <c r="I173" s="17">
        <v>4484</v>
      </c>
      <c r="J173" s="17">
        <f t="shared" si="4"/>
        <v>0</v>
      </c>
      <c r="K173" s="17"/>
      <c r="L173" s="16" t="s">
        <v>18</v>
      </c>
      <c r="M173" s="16" t="s">
        <v>22</v>
      </c>
      <c r="N173" s="39" t="s">
        <v>418</v>
      </c>
      <c r="Q173" s="19"/>
    </row>
    <row r="174" spans="1:17" s="12" customFormat="1">
      <c r="A174" s="15" t="s">
        <v>80</v>
      </c>
      <c r="B174" s="75" t="s">
        <v>621</v>
      </c>
      <c r="C174" s="39" t="s">
        <v>17</v>
      </c>
      <c r="D174" s="70">
        <v>0</v>
      </c>
      <c r="E174" s="70">
        <v>0</v>
      </c>
      <c r="F174" s="70">
        <v>0</v>
      </c>
      <c r="G174" s="70">
        <v>0</v>
      </c>
      <c r="H174" s="40">
        <f>SUM(Tabla1325[[#This Row],[PRIMER TRIMESTRE]:[CUARTO TRIMESTRE]])</f>
        <v>0</v>
      </c>
      <c r="I174" s="17">
        <v>6372</v>
      </c>
      <c r="J174" s="17">
        <f t="shared" si="4"/>
        <v>0</v>
      </c>
      <c r="K174" s="17"/>
      <c r="L174" s="16" t="s">
        <v>18</v>
      </c>
      <c r="M174" s="16" t="s">
        <v>22</v>
      </c>
      <c r="N174" s="39" t="s">
        <v>418</v>
      </c>
      <c r="Q174" s="19"/>
    </row>
    <row r="175" spans="1:17" s="12" customFormat="1">
      <c r="A175" s="15" t="s">
        <v>80</v>
      </c>
      <c r="B175" s="75" t="s">
        <v>622</v>
      </c>
      <c r="C175" s="39" t="s">
        <v>17</v>
      </c>
      <c r="D175" s="70">
        <v>0</v>
      </c>
      <c r="E175" s="70">
        <v>0</v>
      </c>
      <c r="F175" s="70">
        <v>0</v>
      </c>
      <c r="G175" s="70">
        <v>0</v>
      </c>
      <c r="H175" s="40">
        <f>SUM(Tabla1325[[#This Row],[PRIMER TRIMESTRE]:[CUARTO TRIMESTRE]])</f>
        <v>0</v>
      </c>
      <c r="I175" s="17">
        <v>11092</v>
      </c>
      <c r="J175" s="17">
        <f t="shared" si="4"/>
        <v>0</v>
      </c>
      <c r="K175" s="17"/>
      <c r="L175" s="16" t="s">
        <v>18</v>
      </c>
      <c r="M175" s="16" t="s">
        <v>22</v>
      </c>
      <c r="N175" s="39" t="s">
        <v>418</v>
      </c>
      <c r="Q175" s="19"/>
    </row>
    <row r="176" spans="1:17" s="12" customFormat="1">
      <c r="A176" s="15" t="s">
        <v>80</v>
      </c>
      <c r="B176" s="75" t="s">
        <v>623</v>
      </c>
      <c r="C176" s="39" t="s">
        <v>17</v>
      </c>
      <c r="D176" s="70">
        <v>0</v>
      </c>
      <c r="E176" s="70">
        <v>0</v>
      </c>
      <c r="F176" s="70">
        <v>0</v>
      </c>
      <c r="G176" s="70">
        <v>0</v>
      </c>
      <c r="H176" s="40">
        <f>SUM(Tabla1325[[#This Row],[PRIMER TRIMESTRE]:[CUARTO TRIMESTRE]])</f>
        <v>0</v>
      </c>
      <c r="I176" s="17">
        <v>13924</v>
      </c>
      <c r="J176" s="17">
        <f t="shared" si="4"/>
        <v>0</v>
      </c>
      <c r="K176" s="17"/>
      <c r="L176" s="16" t="s">
        <v>18</v>
      </c>
      <c r="M176" s="16" t="s">
        <v>22</v>
      </c>
      <c r="N176" s="39" t="s">
        <v>418</v>
      </c>
      <c r="Q176" s="19"/>
    </row>
    <row r="177" spans="1:17" s="12" customFormat="1">
      <c r="A177" s="15" t="s">
        <v>80</v>
      </c>
      <c r="B177" s="75" t="s">
        <v>624</v>
      </c>
      <c r="C177" s="39" t="s">
        <v>17</v>
      </c>
      <c r="D177" s="70">
        <v>0</v>
      </c>
      <c r="E177" s="70">
        <v>0</v>
      </c>
      <c r="F177" s="70">
        <v>0</v>
      </c>
      <c r="G177" s="70">
        <v>0</v>
      </c>
      <c r="H177" s="40">
        <f>SUM(Tabla1325[[#This Row],[PRIMER TRIMESTRE]:[CUARTO TRIMESTRE]])</f>
        <v>0</v>
      </c>
      <c r="I177" s="17">
        <v>20886</v>
      </c>
      <c r="J177" s="17">
        <f t="shared" si="4"/>
        <v>0</v>
      </c>
      <c r="K177" s="17"/>
      <c r="L177" s="16" t="s">
        <v>18</v>
      </c>
      <c r="M177" s="16" t="s">
        <v>22</v>
      </c>
      <c r="N177" s="39" t="s">
        <v>418</v>
      </c>
      <c r="Q177" s="19"/>
    </row>
    <row r="178" spans="1:17" s="12" customFormat="1">
      <c r="A178" s="15" t="s">
        <v>80</v>
      </c>
      <c r="B178" s="75" t="s">
        <v>625</v>
      </c>
      <c r="C178" s="39" t="s">
        <v>17</v>
      </c>
      <c r="D178" s="70">
        <v>0</v>
      </c>
      <c r="E178" s="70">
        <v>0</v>
      </c>
      <c r="F178" s="70">
        <v>0</v>
      </c>
      <c r="G178" s="70">
        <v>0</v>
      </c>
      <c r="H178" s="40">
        <f>SUM(Tabla1325[[#This Row],[PRIMER TRIMESTRE]:[CUARTO TRIMESTRE]])</f>
        <v>0</v>
      </c>
      <c r="I178" s="17">
        <v>1121</v>
      </c>
      <c r="J178" s="17">
        <f t="shared" si="4"/>
        <v>0</v>
      </c>
      <c r="K178" s="17"/>
      <c r="L178" s="16" t="s">
        <v>18</v>
      </c>
      <c r="M178" s="16" t="s">
        <v>22</v>
      </c>
      <c r="N178" s="39" t="s">
        <v>418</v>
      </c>
      <c r="Q178" s="19"/>
    </row>
    <row r="179" spans="1:17" s="12" customFormat="1">
      <c r="A179" s="15" t="s">
        <v>80</v>
      </c>
      <c r="B179" s="75" t="s">
        <v>626</v>
      </c>
      <c r="C179" s="39" t="s">
        <v>17</v>
      </c>
      <c r="D179" s="70">
        <v>0</v>
      </c>
      <c r="E179" s="70">
        <v>0</v>
      </c>
      <c r="F179" s="70">
        <v>0</v>
      </c>
      <c r="G179" s="70">
        <v>0</v>
      </c>
      <c r="H179" s="40">
        <f>SUM(Tabla1325[[#This Row],[PRIMER TRIMESTRE]:[CUARTO TRIMESTRE]])</f>
        <v>0</v>
      </c>
      <c r="I179" s="17">
        <v>1239</v>
      </c>
      <c r="J179" s="17">
        <f t="shared" si="4"/>
        <v>0</v>
      </c>
      <c r="K179" s="17"/>
      <c r="L179" s="16" t="s">
        <v>18</v>
      </c>
      <c r="M179" s="16" t="s">
        <v>22</v>
      </c>
      <c r="N179" s="39" t="s">
        <v>418</v>
      </c>
      <c r="Q179" s="19"/>
    </row>
    <row r="180" spans="1:17" s="12" customFormat="1">
      <c r="A180" s="15" t="s">
        <v>80</v>
      </c>
      <c r="B180" s="75" t="s">
        <v>627</v>
      </c>
      <c r="C180" s="39" t="s">
        <v>17</v>
      </c>
      <c r="D180" s="70">
        <v>0</v>
      </c>
      <c r="E180" s="70">
        <v>0</v>
      </c>
      <c r="F180" s="70">
        <v>0</v>
      </c>
      <c r="G180" s="70">
        <v>0</v>
      </c>
      <c r="H180" s="40">
        <f>SUM(Tabla1325[[#This Row],[PRIMER TRIMESTRE]:[CUARTO TRIMESTRE]])</f>
        <v>0</v>
      </c>
      <c r="I180" s="17">
        <v>1593</v>
      </c>
      <c r="J180" s="17">
        <f t="shared" si="4"/>
        <v>0</v>
      </c>
      <c r="K180" s="17"/>
      <c r="L180" s="16" t="s">
        <v>18</v>
      </c>
      <c r="M180" s="16" t="s">
        <v>22</v>
      </c>
      <c r="N180" s="39" t="s">
        <v>418</v>
      </c>
      <c r="Q180" s="19"/>
    </row>
    <row r="181" spans="1:17" s="12" customFormat="1">
      <c r="A181" s="15" t="s">
        <v>80</v>
      </c>
      <c r="B181" s="75" t="s">
        <v>628</v>
      </c>
      <c r="C181" s="39" t="s">
        <v>17</v>
      </c>
      <c r="D181" s="70">
        <v>0</v>
      </c>
      <c r="E181" s="70">
        <v>0</v>
      </c>
      <c r="F181" s="70">
        <v>0</v>
      </c>
      <c r="G181" s="70">
        <v>0</v>
      </c>
      <c r="H181" s="40">
        <f>SUM(Tabla1325[[#This Row],[PRIMER TRIMESTRE]:[CUARTO TRIMESTRE]])</f>
        <v>0</v>
      </c>
      <c r="I181" s="17">
        <v>3717</v>
      </c>
      <c r="J181" s="17">
        <f t="shared" si="4"/>
        <v>0</v>
      </c>
      <c r="K181" s="17"/>
      <c r="L181" s="16" t="s">
        <v>18</v>
      </c>
      <c r="M181" s="16" t="s">
        <v>22</v>
      </c>
      <c r="N181" s="39" t="s">
        <v>418</v>
      </c>
      <c r="Q181" s="19"/>
    </row>
    <row r="182" spans="1:17" s="12" customFormat="1">
      <c r="A182" s="15" t="s">
        <v>80</v>
      </c>
      <c r="B182" s="75" t="s">
        <v>629</v>
      </c>
      <c r="C182" s="39" t="s">
        <v>17</v>
      </c>
      <c r="D182" s="70">
        <v>0</v>
      </c>
      <c r="E182" s="70">
        <v>0</v>
      </c>
      <c r="F182" s="70">
        <v>0</v>
      </c>
      <c r="G182" s="70">
        <v>0</v>
      </c>
      <c r="H182" s="40">
        <f>SUM(Tabla1325[[#This Row],[PRIMER TRIMESTRE]:[CUARTO TRIMESTRE]])</f>
        <v>0</v>
      </c>
      <c r="I182" s="17">
        <v>5133</v>
      </c>
      <c r="J182" s="17">
        <f t="shared" si="4"/>
        <v>0</v>
      </c>
      <c r="K182" s="17"/>
      <c r="L182" s="16" t="s">
        <v>18</v>
      </c>
      <c r="M182" s="16" t="s">
        <v>22</v>
      </c>
      <c r="N182" s="39" t="s">
        <v>418</v>
      </c>
      <c r="Q182" s="19"/>
    </row>
    <row r="183" spans="1:17" s="12" customFormat="1">
      <c r="A183" s="15" t="s">
        <v>80</v>
      </c>
      <c r="B183" s="75" t="s">
        <v>630</v>
      </c>
      <c r="C183" s="39" t="s">
        <v>17</v>
      </c>
      <c r="D183" s="70">
        <v>0</v>
      </c>
      <c r="E183" s="70">
        <v>0</v>
      </c>
      <c r="F183" s="70">
        <v>0</v>
      </c>
      <c r="G183" s="70">
        <v>0</v>
      </c>
      <c r="H183" s="40">
        <f>SUM(Tabla1325[[#This Row],[PRIMER TRIMESTRE]:[CUARTO TRIMESTRE]])</f>
        <v>0</v>
      </c>
      <c r="I183" s="17">
        <v>7127</v>
      </c>
      <c r="J183" s="17">
        <f t="shared" si="4"/>
        <v>0</v>
      </c>
      <c r="K183" s="17"/>
      <c r="L183" s="16" t="s">
        <v>18</v>
      </c>
      <c r="M183" s="16" t="s">
        <v>22</v>
      </c>
      <c r="N183" s="39" t="s">
        <v>418</v>
      </c>
      <c r="Q183" s="19"/>
    </row>
    <row r="184" spans="1:17" s="12" customFormat="1">
      <c r="A184" s="15" t="s">
        <v>80</v>
      </c>
      <c r="B184" s="75" t="s">
        <v>631</v>
      </c>
      <c r="C184" s="39" t="s">
        <v>17</v>
      </c>
      <c r="D184" s="70">
        <v>0</v>
      </c>
      <c r="E184" s="70">
        <v>0</v>
      </c>
      <c r="F184" s="70">
        <v>0</v>
      </c>
      <c r="G184" s="70">
        <v>0</v>
      </c>
      <c r="H184" s="40">
        <f>SUM(Tabla1325[[#This Row],[PRIMER TRIMESTRE]:[CUARTO TRIMESTRE]])</f>
        <v>0</v>
      </c>
      <c r="I184" s="17">
        <v>12580</v>
      </c>
      <c r="J184" s="17">
        <f t="shared" si="4"/>
        <v>0</v>
      </c>
      <c r="K184" s="17"/>
      <c r="L184" s="16" t="s">
        <v>18</v>
      </c>
      <c r="M184" s="16" t="s">
        <v>22</v>
      </c>
      <c r="N184" s="39" t="s">
        <v>418</v>
      </c>
      <c r="Q184" s="19"/>
    </row>
    <row r="185" spans="1:17" s="12" customFormat="1">
      <c r="A185" s="15" t="s">
        <v>80</v>
      </c>
      <c r="B185" s="75" t="s">
        <v>632</v>
      </c>
      <c r="C185" s="39" t="s">
        <v>17</v>
      </c>
      <c r="D185" s="70">
        <v>0</v>
      </c>
      <c r="E185" s="70">
        <v>0</v>
      </c>
      <c r="F185" s="70">
        <v>0</v>
      </c>
      <c r="G185" s="70">
        <v>0</v>
      </c>
      <c r="H185" s="40">
        <f>SUM(Tabla1325[[#This Row],[PRIMER TRIMESTRE]:[CUARTO TRIMESTRE]])</f>
        <v>0</v>
      </c>
      <c r="I185" s="17">
        <v>15045</v>
      </c>
      <c r="J185" s="17">
        <f t="shared" si="4"/>
        <v>0</v>
      </c>
      <c r="K185" s="17"/>
      <c r="L185" s="16" t="s">
        <v>18</v>
      </c>
      <c r="M185" s="16" t="s">
        <v>22</v>
      </c>
      <c r="N185" s="39" t="s">
        <v>418</v>
      </c>
      <c r="Q185" s="19"/>
    </row>
    <row r="186" spans="1:17" s="12" customFormat="1">
      <c r="A186" s="15" t="s">
        <v>80</v>
      </c>
      <c r="B186" s="75" t="s">
        <v>633</v>
      </c>
      <c r="C186" s="39" t="s">
        <v>17</v>
      </c>
      <c r="D186" s="70">
        <v>0</v>
      </c>
      <c r="E186" s="70">
        <v>0</v>
      </c>
      <c r="F186" s="70">
        <v>0</v>
      </c>
      <c r="G186" s="70">
        <v>0</v>
      </c>
      <c r="H186" s="40">
        <f>SUM(Tabla1325[[#This Row],[PRIMER TRIMESTRE]:[CUARTO TRIMESTRE]])</f>
        <v>0</v>
      </c>
      <c r="I186" s="17">
        <v>22396.400000000001</v>
      </c>
      <c r="J186" s="17">
        <f t="shared" si="4"/>
        <v>0</v>
      </c>
      <c r="K186" s="17"/>
      <c r="L186" s="16" t="s">
        <v>18</v>
      </c>
      <c r="M186" s="16" t="s">
        <v>22</v>
      </c>
      <c r="N186" s="39" t="s">
        <v>418</v>
      </c>
      <c r="Q186" s="19"/>
    </row>
    <row r="187" spans="1:17" s="12" customFormat="1">
      <c r="A187" s="15" t="s">
        <v>80</v>
      </c>
      <c r="B187" s="106" t="s">
        <v>129</v>
      </c>
      <c r="C187" s="39" t="s">
        <v>17</v>
      </c>
      <c r="D187" s="39">
        <v>20225</v>
      </c>
      <c r="E187" s="39">
        <v>20225</v>
      </c>
      <c r="F187" s="39">
        <v>20225</v>
      </c>
      <c r="G187" s="39">
        <v>20225</v>
      </c>
      <c r="H187" s="40">
        <f>SUM(Tabla1325[[#This Row],[PRIMER TRIMESTRE]:[CUARTO TRIMESTRE]])</f>
        <v>80900</v>
      </c>
      <c r="I187" s="17">
        <v>3.52</v>
      </c>
      <c r="J187" s="17">
        <f>+Tabla1325[[#This Row],[CANTIDAD TOTAL]]*Tabla1325[[#This Row],[PRECIO UNITARIO ESTIMADO]]</f>
        <v>284768</v>
      </c>
      <c r="K187" s="17"/>
      <c r="L187" s="16" t="s">
        <v>15</v>
      </c>
      <c r="M187" s="16" t="s">
        <v>22</v>
      </c>
      <c r="N187" s="39" t="s">
        <v>418</v>
      </c>
      <c r="Q187" s="19" t="s">
        <v>130</v>
      </c>
    </row>
    <row r="188" spans="1:17" s="12" customFormat="1">
      <c r="A188" s="15" t="s">
        <v>80</v>
      </c>
      <c r="B188" s="106" t="s">
        <v>131</v>
      </c>
      <c r="C188" s="39" t="s">
        <v>17</v>
      </c>
      <c r="D188" s="39">
        <v>14225</v>
      </c>
      <c r="E188" s="39">
        <v>14225</v>
      </c>
      <c r="F188" s="39">
        <v>14225</v>
      </c>
      <c r="G188" s="39">
        <v>14225</v>
      </c>
      <c r="H188" s="40">
        <f>SUM(Tabla1325[[#This Row],[PRIMER TRIMESTRE]:[CUARTO TRIMESTRE]])</f>
        <v>56900</v>
      </c>
      <c r="I188" s="17">
        <v>5.86</v>
      </c>
      <c r="J188" s="17">
        <f>+Tabla1325[[#This Row],[CANTIDAD TOTAL]]*Tabla1325[[#This Row],[PRECIO UNITARIO ESTIMADO]]</f>
        <v>333434</v>
      </c>
      <c r="K188" s="17"/>
      <c r="L188" s="16" t="s">
        <v>15</v>
      </c>
      <c r="M188" s="16" t="s">
        <v>22</v>
      </c>
      <c r="N188" s="39" t="s">
        <v>418</v>
      </c>
      <c r="Q188" s="19" t="s">
        <v>132</v>
      </c>
    </row>
    <row r="189" spans="1:17" s="12" customFormat="1">
      <c r="A189" s="15" t="s">
        <v>80</v>
      </c>
      <c r="B189" s="106" t="s">
        <v>473</v>
      </c>
      <c r="C189" s="39" t="s">
        <v>17</v>
      </c>
      <c r="D189" s="39">
        <v>2000</v>
      </c>
      <c r="E189" s="39">
        <v>2000</v>
      </c>
      <c r="F189" s="39">
        <v>1000</v>
      </c>
      <c r="G189" s="39">
        <v>1000</v>
      </c>
      <c r="H189" s="40">
        <f>SUM(Tabla1325[[#This Row],[PRIMER TRIMESTRE]:[CUARTO TRIMESTRE]])</f>
        <v>6000</v>
      </c>
      <c r="I189" s="17">
        <v>15.46</v>
      </c>
      <c r="J189" s="17">
        <f>+H189*I189</f>
        <v>92760</v>
      </c>
      <c r="K189" s="17"/>
      <c r="L189" s="16" t="s">
        <v>15</v>
      </c>
      <c r="M189" s="16" t="s">
        <v>22</v>
      </c>
      <c r="N189" s="39" t="s">
        <v>418</v>
      </c>
      <c r="Q189" s="19"/>
    </row>
    <row r="190" spans="1:17" s="12" customFormat="1">
      <c r="A190" s="15" t="s">
        <v>80</v>
      </c>
      <c r="B190" s="75" t="s">
        <v>661</v>
      </c>
      <c r="C190" s="39" t="s">
        <v>17</v>
      </c>
      <c r="D190" s="39">
        <v>0</v>
      </c>
      <c r="E190" s="39">
        <v>0</v>
      </c>
      <c r="F190" s="39">
        <v>0</v>
      </c>
      <c r="G190" s="39">
        <v>0</v>
      </c>
      <c r="H190" s="40">
        <f>SUM(Tabla1325[[#This Row],[PRIMER TRIMESTRE]:[CUARTO TRIMESTRE]])</f>
        <v>0</v>
      </c>
      <c r="I190" s="72">
        <v>15.46</v>
      </c>
      <c r="J190" s="17">
        <f>+H190*I190</f>
        <v>0</v>
      </c>
      <c r="K190" s="17"/>
      <c r="L190" s="16" t="s">
        <v>27</v>
      </c>
      <c r="M190" s="16" t="s">
        <v>22</v>
      </c>
      <c r="N190" s="39" t="s">
        <v>418</v>
      </c>
      <c r="Q190" s="19"/>
    </row>
    <row r="191" spans="1:17" s="12" customFormat="1">
      <c r="A191" s="15" t="s">
        <v>80</v>
      </c>
      <c r="B191" s="106" t="s">
        <v>133</v>
      </c>
      <c r="C191" s="39" t="s">
        <v>17</v>
      </c>
      <c r="D191" s="39">
        <v>1500</v>
      </c>
      <c r="E191" s="39">
        <v>1500</v>
      </c>
      <c r="F191" s="39">
        <v>0</v>
      </c>
      <c r="G191" s="39">
        <v>0</v>
      </c>
      <c r="H191" s="40">
        <f>SUM(Tabla1325[[#This Row],[PRIMER TRIMESTRE]:[CUARTO TRIMESTRE]])</f>
        <v>3000</v>
      </c>
      <c r="I191" s="17">
        <v>40.17</v>
      </c>
      <c r="J191" s="17">
        <f>+Tabla1325[[#This Row],[CANTIDAD TOTAL]]*Tabla1325[[#This Row],[PRECIO UNITARIO ESTIMADO]]</f>
        <v>120510</v>
      </c>
      <c r="K191" s="17"/>
      <c r="L191" s="16" t="s">
        <v>27</v>
      </c>
      <c r="M191" s="16" t="s">
        <v>22</v>
      </c>
      <c r="N191" s="39" t="s">
        <v>418</v>
      </c>
      <c r="Q191" s="19" t="s">
        <v>134</v>
      </c>
    </row>
    <row r="192" spans="1:17" s="12" customFormat="1">
      <c r="A192" s="15" t="s">
        <v>80</v>
      </c>
      <c r="B192" s="75" t="s">
        <v>135</v>
      </c>
      <c r="C192" s="39" t="s">
        <v>17</v>
      </c>
      <c r="D192" s="39">
        <v>0</v>
      </c>
      <c r="E192" s="39">
        <v>0</v>
      </c>
      <c r="F192" s="39">
        <v>0</v>
      </c>
      <c r="G192" s="39">
        <v>0</v>
      </c>
      <c r="H192" s="40">
        <f>SUM(Tabla1325[[#This Row],[PRIMER TRIMESTRE]:[CUARTO TRIMESTRE]])</f>
        <v>0</v>
      </c>
      <c r="I192" s="17">
        <v>116.85</v>
      </c>
      <c r="J192" s="17">
        <f>+Tabla1325[[#This Row],[CANTIDAD TOTAL]]*Tabla1325[[#This Row],[PRECIO UNITARIO ESTIMADO]]</f>
        <v>0</v>
      </c>
      <c r="K192" s="17"/>
      <c r="L192" s="16" t="s">
        <v>27</v>
      </c>
      <c r="M192" s="16" t="s">
        <v>22</v>
      </c>
      <c r="N192" s="39" t="s">
        <v>418</v>
      </c>
      <c r="Q192" s="19" t="s">
        <v>136</v>
      </c>
    </row>
    <row r="193" spans="1:17" s="12" customFormat="1">
      <c r="A193" s="15" t="s">
        <v>80</v>
      </c>
      <c r="B193" s="75" t="s">
        <v>597</v>
      </c>
      <c r="C193" s="39" t="s">
        <v>17</v>
      </c>
      <c r="D193" s="39">
        <v>0</v>
      </c>
      <c r="E193" s="39">
        <v>0</v>
      </c>
      <c r="F193" s="39">
        <v>0</v>
      </c>
      <c r="G193" s="39">
        <v>0</v>
      </c>
      <c r="H193" s="40">
        <f>SUM(Tabla1325[[#This Row],[PRIMER TRIMESTRE]:[CUARTO TRIMESTRE]])</f>
        <v>0</v>
      </c>
      <c r="I193" s="72">
        <v>107.31</v>
      </c>
      <c r="J193" s="17">
        <f>+H193*I193</f>
        <v>0</v>
      </c>
      <c r="K193" s="17"/>
      <c r="L193" s="16" t="s">
        <v>27</v>
      </c>
      <c r="M193" s="16" t="s">
        <v>22</v>
      </c>
      <c r="N193" s="39" t="s">
        <v>418</v>
      </c>
      <c r="Q193" s="19"/>
    </row>
    <row r="194" spans="1:17" s="12" customFormat="1">
      <c r="A194" s="15" t="s">
        <v>80</v>
      </c>
      <c r="B194" s="75" t="s">
        <v>571</v>
      </c>
      <c r="C194" s="39" t="s">
        <v>17</v>
      </c>
      <c r="D194" s="39">
        <v>0</v>
      </c>
      <c r="E194" s="39">
        <v>0</v>
      </c>
      <c r="F194" s="39">
        <v>0</v>
      </c>
      <c r="G194" s="39">
        <v>0</v>
      </c>
      <c r="H194" s="40">
        <f>SUM(Tabla1325[[#This Row],[PRIMER TRIMESTRE]:[CUARTO TRIMESTRE]])</f>
        <v>0</v>
      </c>
      <c r="I194" s="17">
        <v>12159.7</v>
      </c>
      <c r="J194" s="17">
        <f>+Tabla1325[[#This Row],[CANTIDAD TOTAL]]*Tabla1325[[#This Row],[PRECIO UNITARIO ESTIMADO]]</f>
        <v>0</v>
      </c>
      <c r="K194" s="17"/>
      <c r="L194" s="16" t="s">
        <v>15</v>
      </c>
      <c r="M194" s="16" t="s">
        <v>22</v>
      </c>
      <c r="N194" s="39" t="s">
        <v>418</v>
      </c>
      <c r="Q194" s="19" t="s">
        <v>143</v>
      </c>
    </row>
    <row r="195" spans="1:17" s="12" customFormat="1">
      <c r="A195" s="15" t="s">
        <v>80</v>
      </c>
      <c r="B195" s="75" t="s">
        <v>186</v>
      </c>
      <c r="C195" s="39" t="s">
        <v>17</v>
      </c>
      <c r="D195" s="39">
        <v>0</v>
      </c>
      <c r="E195" s="39">
        <v>0</v>
      </c>
      <c r="F195" s="39">
        <v>0</v>
      </c>
      <c r="G195" s="39">
        <v>0</v>
      </c>
      <c r="H195" s="40">
        <f>SUM(Tabla1325[[#This Row],[PRIMER TRIMESTRE]:[CUARTO TRIMESTRE]])</f>
        <v>0</v>
      </c>
      <c r="I195" s="17">
        <v>2600</v>
      </c>
      <c r="J195" s="17">
        <f>+Tabla1325[[#This Row],[CANTIDAD TOTAL]]*Tabla1325[[#This Row],[PRECIO UNITARIO ESTIMADO]]</f>
        <v>0</v>
      </c>
      <c r="K195" s="17"/>
      <c r="L195" s="16" t="s">
        <v>15</v>
      </c>
      <c r="M195" s="16" t="s">
        <v>22</v>
      </c>
      <c r="N195" s="39" t="s">
        <v>418</v>
      </c>
      <c r="Q195" s="19" t="s">
        <v>187</v>
      </c>
    </row>
    <row r="196" spans="1:17" s="12" customFormat="1">
      <c r="A196" s="15" t="s">
        <v>80</v>
      </c>
      <c r="B196" s="75" t="s">
        <v>148</v>
      </c>
      <c r="C196" s="39" t="s">
        <v>149</v>
      </c>
      <c r="D196" s="39">
        <v>0</v>
      </c>
      <c r="E196" s="39">
        <v>0</v>
      </c>
      <c r="F196" s="39">
        <v>0</v>
      </c>
      <c r="G196" s="39">
        <v>0</v>
      </c>
      <c r="H196" s="40">
        <f>SUM(Tabla1325[[#This Row],[PRIMER TRIMESTRE]:[CUARTO TRIMESTRE]])</f>
        <v>0</v>
      </c>
      <c r="I196" s="17">
        <v>127.6</v>
      </c>
      <c r="J196" s="17">
        <f>+Tabla1325[[#This Row],[CANTIDAD TOTAL]]*Tabla1325[[#This Row],[PRECIO UNITARIO ESTIMADO]]</f>
        <v>0</v>
      </c>
      <c r="K196" s="17"/>
      <c r="L196" s="16" t="s">
        <v>15</v>
      </c>
      <c r="M196" s="16" t="s">
        <v>22</v>
      </c>
      <c r="N196" s="39" t="s">
        <v>418</v>
      </c>
      <c r="Q196" s="19" t="s">
        <v>150</v>
      </c>
    </row>
    <row r="197" spans="1:17" s="12" customFormat="1">
      <c r="A197" s="15" t="s">
        <v>80</v>
      </c>
      <c r="B197" s="106" t="s">
        <v>439</v>
      </c>
      <c r="C197" s="39" t="s">
        <v>149</v>
      </c>
      <c r="D197" s="39">
        <v>500</v>
      </c>
      <c r="E197" s="39">
        <v>500</v>
      </c>
      <c r="F197" s="39">
        <v>500</v>
      </c>
      <c r="G197" s="39">
        <v>500</v>
      </c>
      <c r="H197" s="40">
        <f>SUM(Tabla1325[[#This Row],[PRIMER TRIMESTRE]:[CUARTO TRIMESTRE]])</f>
        <v>2000</v>
      </c>
      <c r="I197" s="17">
        <v>123.91</v>
      </c>
      <c r="J197" s="17">
        <f>+Tabla1325[[#This Row],[CANTIDAD TOTAL]]*Tabla1325[[#This Row],[PRECIO UNITARIO ESTIMADO]]</f>
        <v>247820</v>
      </c>
      <c r="K197" s="17"/>
      <c r="L197" s="16" t="s">
        <v>15</v>
      </c>
      <c r="M197" s="16" t="s">
        <v>22</v>
      </c>
      <c r="N197" s="39" t="s">
        <v>418</v>
      </c>
      <c r="Q197" s="19" t="s">
        <v>151</v>
      </c>
    </row>
    <row r="198" spans="1:17" s="12" customFormat="1">
      <c r="A198" s="15" t="s">
        <v>80</v>
      </c>
      <c r="B198" s="75" t="s">
        <v>471</v>
      </c>
      <c r="C198" s="39" t="s">
        <v>17</v>
      </c>
      <c r="D198" s="39">
        <v>0</v>
      </c>
      <c r="E198" s="39">
        <v>0</v>
      </c>
      <c r="F198" s="39">
        <v>0</v>
      </c>
      <c r="G198" s="39">
        <v>0</v>
      </c>
      <c r="H198" s="40">
        <f>SUM(Tabla1325[[#This Row],[PRIMER TRIMESTRE]:[CUARTO TRIMESTRE]])</f>
        <v>0</v>
      </c>
      <c r="I198" s="17">
        <v>55.38</v>
      </c>
      <c r="J198" s="17">
        <f>+Tabla1325[[#This Row],[CANTIDAD TOTAL]]*Tabla1325[[#This Row],[PRECIO UNITARIO ESTIMADO]]</f>
        <v>0</v>
      </c>
      <c r="K198" s="17"/>
      <c r="L198" s="16" t="s">
        <v>15</v>
      </c>
      <c r="M198" s="16" t="s">
        <v>22</v>
      </c>
      <c r="N198" s="39" t="s">
        <v>418</v>
      </c>
      <c r="Q198" s="19" t="s">
        <v>152</v>
      </c>
    </row>
    <row r="199" spans="1:17" s="12" customFormat="1">
      <c r="A199" s="15" t="s">
        <v>80</v>
      </c>
      <c r="B199" s="75" t="s">
        <v>644</v>
      </c>
      <c r="C199" s="39" t="s">
        <v>17</v>
      </c>
      <c r="D199" s="39">
        <v>0</v>
      </c>
      <c r="E199" s="39">
        <v>0</v>
      </c>
      <c r="F199" s="39">
        <v>0</v>
      </c>
      <c r="G199" s="39">
        <v>0</v>
      </c>
      <c r="H199" s="40">
        <f>SUM(Tabla1325[[#This Row],[PRIMER TRIMESTRE]:[CUARTO TRIMESTRE]])</f>
        <v>0</v>
      </c>
      <c r="I199" s="17">
        <v>731.35</v>
      </c>
      <c r="J199" s="17">
        <f t="shared" ref="J199:J228" si="5">+H199*I199</f>
        <v>0</v>
      </c>
      <c r="K199" s="17"/>
      <c r="L199" s="16" t="s">
        <v>27</v>
      </c>
      <c r="M199" s="16" t="s">
        <v>22</v>
      </c>
      <c r="N199" s="39"/>
    </row>
    <row r="200" spans="1:17" s="12" customFormat="1">
      <c r="A200" s="15" t="s">
        <v>80</v>
      </c>
      <c r="B200" s="75" t="s">
        <v>645</v>
      </c>
      <c r="C200" s="39" t="s">
        <v>17</v>
      </c>
      <c r="D200" s="39">
        <v>0</v>
      </c>
      <c r="E200" s="39">
        <v>0</v>
      </c>
      <c r="F200" s="39">
        <v>0</v>
      </c>
      <c r="G200" s="39">
        <v>0</v>
      </c>
      <c r="H200" s="40">
        <f>SUM(Tabla1325[[#This Row],[PRIMER TRIMESTRE]:[CUARTO TRIMESTRE]])</f>
        <v>0</v>
      </c>
      <c r="I200" s="17">
        <v>1013.28</v>
      </c>
      <c r="J200" s="17">
        <f t="shared" si="5"/>
        <v>0</v>
      </c>
      <c r="K200" s="17"/>
      <c r="L200" s="16" t="s">
        <v>27</v>
      </c>
      <c r="M200" s="16" t="s">
        <v>22</v>
      </c>
      <c r="N200" s="39"/>
    </row>
    <row r="201" spans="1:17" s="12" customFormat="1">
      <c r="A201" s="15" t="s">
        <v>80</v>
      </c>
      <c r="B201" s="75" t="s">
        <v>646</v>
      </c>
      <c r="C201" s="39" t="s">
        <v>17</v>
      </c>
      <c r="D201" s="39">
        <v>0</v>
      </c>
      <c r="E201" s="39">
        <v>0</v>
      </c>
      <c r="F201" s="39">
        <v>0</v>
      </c>
      <c r="G201" s="39">
        <v>0</v>
      </c>
      <c r="H201" s="40">
        <f>SUM(Tabla1325[[#This Row],[PRIMER TRIMESTRE]:[CUARTO TRIMESTRE]])</f>
        <v>0</v>
      </c>
      <c r="I201" s="17">
        <v>1196.97</v>
      </c>
      <c r="J201" s="17">
        <f t="shared" si="5"/>
        <v>0</v>
      </c>
      <c r="K201" s="17"/>
      <c r="L201" s="16" t="s">
        <v>27</v>
      </c>
      <c r="M201" s="16" t="s">
        <v>22</v>
      </c>
      <c r="N201" s="39"/>
    </row>
    <row r="202" spans="1:17" s="12" customFormat="1">
      <c r="A202" s="15" t="s">
        <v>80</v>
      </c>
      <c r="B202" s="75" t="s">
        <v>647</v>
      </c>
      <c r="C202" s="39" t="s">
        <v>17</v>
      </c>
      <c r="D202" s="39">
        <v>0</v>
      </c>
      <c r="E202" s="39">
        <v>0</v>
      </c>
      <c r="F202" s="39">
        <v>0</v>
      </c>
      <c r="G202" s="39">
        <v>0</v>
      </c>
      <c r="H202" s="40">
        <f>SUM(Tabla1325[[#This Row],[PRIMER TRIMESTRE]:[CUARTO TRIMESTRE]])</f>
        <v>0</v>
      </c>
      <c r="I202" s="17">
        <v>1882.41</v>
      </c>
      <c r="J202" s="17">
        <f t="shared" si="5"/>
        <v>0</v>
      </c>
      <c r="K202" s="17"/>
      <c r="L202" s="16" t="s">
        <v>27</v>
      </c>
      <c r="M202" s="16" t="s">
        <v>22</v>
      </c>
      <c r="N202" s="39"/>
    </row>
    <row r="203" spans="1:17" s="12" customFormat="1">
      <c r="A203" s="15" t="s">
        <v>80</v>
      </c>
      <c r="B203" s="75" t="s">
        <v>648</v>
      </c>
      <c r="C203" s="39" t="s">
        <v>17</v>
      </c>
      <c r="D203" s="39">
        <v>0</v>
      </c>
      <c r="E203" s="39">
        <v>0</v>
      </c>
      <c r="F203" s="39">
        <v>0</v>
      </c>
      <c r="G203" s="39">
        <v>0</v>
      </c>
      <c r="H203" s="40">
        <f>SUM(Tabla1325[[#This Row],[PRIMER TRIMESTRE]:[CUARTO TRIMESTRE]])</f>
        <v>0</v>
      </c>
      <c r="I203" s="17">
        <v>2110.4699999999998</v>
      </c>
      <c r="J203" s="17">
        <f t="shared" si="5"/>
        <v>0</v>
      </c>
      <c r="K203" s="17"/>
      <c r="L203" s="16" t="s">
        <v>27</v>
      </c>
      <c r="M203" s="16" t="s">
        <v>22</v>
      </c>
      <c r="N203" s="39"/>
    </row>
    <row r="204" spans="1:17" s="12" customFormat="1">
      <c r="A204" s="15" t="s">
        <v>80</v>
      </c>
      <c r="B204" s="75" t="s">
        <v>649</v>
      </c>
      <c r="C204" s="39" t="s">
        <v>17</v>
      </c>
      <c r="D204" s="39">
        <v>0</v>
      </c>
      <c r="E204" s="39">
        <v>0</v>
      </c>
      <c r="F204" s="39">
        <v>0</v>
      </c>
      <c r="G204" s="39">
        <v>0</v>
      </c>
      <c r="H204" s="40">
        <f>SUM(Tabla1325[[#This Row],[PRIMER TRIMESTRE]:[CUARTO TRIMESTRE]])</f>
        <v>0</v>
      </c>
      <c r="I204" s="17">
        <v>2920.5</v>
      </c>
      <c r="J204" s="17">
        <f t="shared" si="5"/>
        <v>0</v>
      </c>
      <c r="K204" s="17"/>
      <c r="L204" s="16" t="s">
        <v>27</v>
      </c>
      <c r="M204" s="16" t="s">
        <v>22</v>
      </c>
      <c r="N204" s="39"/>
    </row>
    <row r="205" spans="1:17" s="12" customFormat="1">
      <c r="A205" s="15" t="s">
        <v>80</v>
      </c>
      <c r="B205" s="75" t="s">
        <v>650</v>
      </c>
      <c r="C205" s="39" t="s">
        <v>17</v>
      </c>
      <c r="D205" s="39">
        <v>0</v>
      </c>
      <c r="E205" s="39">
        <v>0</v>
      </c>
      <c r="F205" s="39">
        <v>0</v>
      </c>
      <c r="G205" s="39">
        <v>0</v>
      </c>
      <c r="H205" s="40">
        <f>SUM(Tabla1325[[#This Row],[PRIMER TRIMESTRE]:[CUARTO TRIMESTRE]])</f>
        <v>0</v>
      </c>
      <c r="I205" s="17">
        <v>2919.76</v>
      </c>
      <c r="J205" s="17">
        <f t="shared" si="5"/>
        <v>0</v>
      </c>
      <c r="K205" s="17"/>
      <c r="L205" s="16" t="s">
        <v>27</v>
      </c>
      <c r="M205" s="16" t="s">
        <v>22</v>
      </c>
      <c r="N205" s="39"/>
    </row>
    <row r="206" spans="1:17" s="12" customFormat="1">
      <c r="A206" s="15" t="s">
        <v>80</v>
      </c>
      <c r="B206" s="75" t="s">
        <v>651</v>
      </c>
      <c r="C206" s="39" t="s">
        <v>17</v>
      </c>
      <c r="D206" s="39">
        <v>0</v>
      </c>
      <c r="E206" s="39">
        <v>0</v>
      </c>
      <c r="F206" s="39">
        <v>0</v>
      </c>
      <c r="G206" s="39">
        <v>0</v>
      </c>
      <c r="H206" s="40">
        <f>SUM(Tabla1325[[#This Row],[PRIMER TRIMESTRE]:[CUARTO TRIMESTRE]])</f>
        <v>0</v>
      </c>
      <c r="I206" s="17">
        <v>5347.76</v>
      </c>
      <c r="J206" s="17">
        <f t="shared" si="5"/>
        <v>0</v>
      </c>
      <c r="K206" s="17"/>
      <c r="L206" s="16" t="s">
        <v>27</v>
      </c>
      <c r="M206" s="16" t="s">
        <v>22</v>
      </c>
      <c r="N206" s="39"/>
    </row>
    <row r="207" spans="1:17" s="12" customFormat="1">
      <c r="A207" s="15" t="s">
        <v>80</v>
      </c>
      <c r="B207" s="75" t="s">
        <v>652</v>
      </c>
      <c r="C207" s="39" t="s">
        <v>17</v>
      </c>
      <c r="D207" s="39">
        <v>0</v>
      </c>
      <c r="E207" s="39">
        <v>0</v>
      </c>
      <c r="F207" s="39">
        <v>0</v>
      </c>
      <c r="G207" s="39">
        <v>0</v>
      </c>
      <c r="H207" s="40">
        <f>SUM(Tabla1325[[#This Row],[PRIMER TRIMESTRE]:[CUARTO TRIMESTRE]])</f>
        <v>0</v>
      </c>
      <c r="I207" s="17">
        <v>9696.06</v>
      </c>
      <c r="J207" s="17">
        <f t="shared" si="5"/>
        <v>0</v>
      </c>
      <c r="K207" s="17"/>
      <c r="L207" s="16" t="s">
        <v>27</v>
      </c>
      <c r="M207" s="16" t="s">
        <v>22</v>
      </c>
      <c r="N207" s="39"/>
    </row>
    <row r="208" spans="1:17" s="12" customFormat="1">
      <c r="A208" s="15" t="s">
        <v>80</v>
      </c>
      <c r="B208" s="75" t="s">
        <v>653</v>
      </c>
      <c r="C208" s="39" t="s">
        <v>17</v>
      </c>
      <c r="D208" s="39">
        <v>0</v>
      </c>
      <c r="E208" s="39">
        <v>0</v>
      </c>
      <c r="F208" s="39">
        <v>0</v>
      </c>
      <c r="G208" s="39">
        <v>0</v>
      </c>
      <c r="H208" s="40">
        <f>SUM(Tabla1325[[#This Row],[PRIMER TRIMESTRE]:[CUARTO TRIMESTRE]])</f>
        <v>0</v>
      </c>
      <c r="I208" s="17">
        <v>13263.2</v>
      </c>
      <c r="J208" s="17">
        <f t="shared" si="5"/>
        <v>0</v>
      </c>
      <c r="K208" s="17"/>
      <c r="L208" s="16" t="s">
        <v>27</v>
      </c>
      <c r="M208" s="16" t="s">
        <v>22</v>
      </c>
      <c r="N208" s="39"/>
    </row>
    <row r="209" spans="1:14" s="12" customFormat="1">
      <c r="A209" s="15" t="s">
        <v>80</v>
      </c>
      <c r="B209" s="75" t="s">
        <v>351</v>
      </c>
      <c r="C209" s="39" t="s">
        <v>17</v>
      </c>
      <c r="D209" s="39">
        <v>0</v>
      </c>
      <c r="E209" s="39">
        <v>0</v>
      </c>
      <c r="F209" s="39">
        <v>0</v>
      </c>
      <c r="G209" s="39">
        <v>0</v>
      </c>
      <c r="H209" s="40">
        <f>SUM(Tabla1325[[#This Row],[PRIMER TRIMESTRE]:[CUARTO TRIMESTRE]])</f>
        <v>0</v>
      </c>
      <c r="I209" s="17">
        <v>1800</v>
      </c>
      <c r="J209" s="17">
        <f t="shared" si="5"/>
        <v>0</v>
      </c>
      <c r="K209" s="17"/>
      <c r="L209" s="16" t="s">
        <v>27</v>
      </c>
      <c r="M209" s="16" t="s">
        <v>22</v>
      </c>
      <c r="N209" s="39"/>
    </row>
    <row r="210" spans="1:14" s="12" customFormat="1">
      <c r="A210" s="15" t="s">
        <v>80</v>
      </c>
      <c r="B210" s="75" t="s">
        <v>352</v>
      </c>
      <c r="C210" s="39" t="s">
        <v>17</v>
      </c>
      <c r="D210" s="39">
        <v>0</v>
      </c>
      <c r="E210" s="39">
        <v>0</v>
      </c>
      <c r="F210" s="39">
        <v>0</v>
      </c>
      <c r="G210" s="39">
        <v>0</v>
      </c>
      <c r="H210" s="40">
        <f>SUM(Tabla1325[[#This Row],[PRIMER TRIMESTRE]:[CUARTO TRIMESTRE]])</f>
        <v>0</v>
      </c>
      <c r="I210" s="17">
        <v>2000</v>
      </c>
      <c r="J210" s="17">
        <f t="shared" si="5"/>
        <v>0</v>
      </c>
      <c r="K210" s="17"/>
      <c r="L210" s="16" t="s">
        <v>27</v>
      </c>
      <c r="M210" s="16" t="s">
        <v>22</v>
      </c>
      <c r="N210" s="39"/>
    </row>
    <row r="211" spans="1:14" s="12" customFormat="1">
      <c r="A211" s="15" t="s">
        <v>80</v>
      </c>
      <c r="B211" s="75" t="s">
        <v>345</v>
      </c>
      <c r="C211" s="39" t="s">
        <v>17</v>
      </c>
      <c r="D211" s="39">
        <v>0</v>
      </c>
      <c r="E211" s="39">
        <v>0</v>
      </c>
      <c r="F211" s="39">
        <v>0</v>
      </c>
      <c r="G211" s="39">
        <v>0</v>
      </c>
      <c r="H211" s="40">
        <f>SUM(Tabla1325[[#This Row],[PRIMER TRIMESTRE]:[CUARTO TRIMESTRE]])</f>
        <v>0</v>
      </c>
      <c r="I211" s="17">
        <v>2500</v>
      </c>
      <c r="J211" s="17">
        <f t="shared" si="5"/>
        <v>0</v>
      </c>
      <c r="K211" s="17"/>
      <c r="L211" s="16" t="s">
        <v>27</v>
      </c>
      <c r="M211" s="16" t="s">
        <v>22</v>
      </c>
      <c r="N211" s="39"/>
    </row>
    <row r="212" spans="1:14" s="12" customFormat="1">
      <c r="A212" s="15" t="s">
        <v>80</v>
      </c>
      <c r="B212" s="75" t="s">
        <v>346</v>
      </c>
      <c r="C212" s="39" t="s">
        <v>17</v>
      </c>
      <c r="D212" s="39">
        <v>0</v>
      </c>
      <c r="E212" s="39">
        <v>0</v>
      </c>
      <c r="F212" s="39">
        <v>0</v>
      </c>
      <c r="G212" s="39">
        <v>0</v>
      </c>
      <c r="H212" s="40">
        <f>SUM(Tabla1325[[#This Row],[PRIMER TRIMESTRE]:[CUARTO TRIMESTRE]])</f>
        <v>0</v>
      </c>
      <c r="I212" s="17">
        <v>3100</v>
      </c>
      <c r="J212" s="17">
        <f t="shared" si="5"/>
        <v>0</v>
      </c>
      <c r="K212" s="17"/>
      <c r="L212" s="16" t="s">
        <v>27</v>
      </c>
      <c r="M212" s="16" t="s">
        <v>22</v>
      </c>
      <c r="N212" s="39"/>
    </row>
    <row r="213" spans="1:14" s="12" customFormat="1">
      <c r="A213" s="15" t="s">
        <v>80</v>
      </c>
      <c r="B213" s="75" t="s">
        <v>347</v>
      </c>
      <c r="C213" s="39" t="s">
        <v>17</v>
      </c>
      <c r="D213" s="39">
        <v>0</v>
      </c>
      <c r="E213" s="39">
        <v>0</v>
      </c>
      <c r="F213" s="39">
        <v>0</v>
      </c>
      <c r="G213" s="39">
        <v>0</v>
      </c>
      <c r="H213" s="40">
        <f>SUM(Tabla1325[[#This Row],[PRIMER TRIMESTRE]:[CUARTO TRIMESTRE]])</f>
        <v>0</v>
      </c>
      <c r="I213" s="17">
        <v>4100</v>
      </c>
      <c r="J213" s="17">
        <f t="shared" si="5"/>
        <v>0</v>
      </c>
      <c r="K213" s="17"/>
      <c r="L213" s="16" t="s">
        <v>27</v>
      </c>
      <c r="M213" s="16" t="s">
        <v>22</v>
      </c>
      <c r="N213" s="39"/>
    </row>
    <row r="214" spans="1:14" s="12" customFormat="1">
      <c r="A214" s="15" t="s">
        <v>80</v>
      </c>
      <c r="B214" s="75" t="s">
        <v>356</v>
      </c>
      <c r="C214" s="39" t="s">
        <v>17</v>
      </c>
      <c r="D214" s="39">
        <v>0</v>
      </c>
      <c r="E214" s="39">
        <v>0</v>
      </c>
      <c r="F214" s="39">
        <v>0</v>
      </c>
      <c r="G214" s="39">
        <v>0</v>
      </c>
      <c r="H214" s="40">
        <f>SUM(Tabla1325[[#This Row],[PRIMER TRIMESTRE]:[CUARTO TRIMESTRE]])</f>
        <v>0</v>
      </c>
      <c r="I214" s="17">
        <v>1200</v>
      </c>
      <c r="J214" s="17">
        <f t="shared" si="5"/>
        <v>0</v>
      </c>
      <c r="K214" s="17"/>
      <c r="L214" s="16" t="s">
        <v>27</v>
      </c>
      <c r="M214" s="16" t="s">
        <v>22</v>
      </c>
      <c r="N214" s="39"/>
    </row>
    <row r="215" spans="1:14" s="12" customFormat="1">
      <c r="A215" s="15" t="s">
        <v>80</v>
      </c>
      <c r="B215" s="75" t="s">
        <v>357</v>
      </c>
      <c r="C215" s="39" t="s">
        <v>17</v>
      </c>
      <c r="D215" s="39">
        <v>0</v>
      </c>
      <c r="E215" s="39">
        <v>0</v>
      </c>
      <c r="F215" s="39">
        <v>0</v>
      </c>
      <c r="G215" s="39">
        <v>0</v>
      </c>
      <c r="H215" s="40">
        <f>SUM(Tabla1325[[#This Row],[PRIMER TRIMESTRE]:[CUARTO TRIMESTRE]])</f>
        <v>0</v>
      </c>
      <c r="I215" s="17">
        <v>1400</v>
      </c>
      <c r="J215" s="17">
        <f t="shared" si="5"/>
        <v>0</v>
      </c>
      <c r="K215" s="17"/>
      <c r="L215" s="16" t="s">
        <v>27</v>
      </c>
      <c r="M215" s="16" t="s">
        <v>22</v>
      </c>
      <c r="N215" s="39"/>
    </row>
    <row r="216" spans="1:14" s="12" customFormat="1">
      <c r="A216" s="15" t="s">
        <v>80</v>
      </c>
      <c r="B216" s="75" t="s">
        <v>358</v>
      </c>
      <c r="C216" s="39" t="s">
        <v>17</v>
      </c>
      <c r="D216" s="39">
        <v>0</v>
      </c>
      <c r="E216" s="39">
        <v>0</v>
      </c>
      <c r="F216" s="39">
        <v>0</v>
      </c>
      <c r="G216" s="39">
        <v>0</v>
      </c>
      <c r="H216" s="40">
        <f>SUM(Tabla1325[[#This Row],[PRIMER TRIMESTRE]:[CUARTO TRIMESTRE]])</f>
        <v>0</v>
      </c>
      <c r="I216" s="17">
        <v>1600</v>
      </c>
      <c r="J216" s="17">
        <f t="shared" si="5"/>
        <v>0</v>
      </c>
      <c r="K216" s="17"/>
      <c r="L216" s="16" t="s">
        <v>27</v>
      </c>
      <c r="M216" s="16" t="s">
        <v>22</v>
      </c>
      <c r="N216" s="39"/>
    </row>
    <row r="217" spans="1:14" s="12" customFormat="1">
      <c r="A217" s="15" t="s">
        <v>80</v>
      </c>
      <c r="B217" s="75" t="s">
        <v>359</v>
      </c>
      <c r="C217" s="39" t="s">
        <v>17</v>
      </c>
      <c r="D217" s="39">
        <v>0</v>
      </c>
      <c r="E217" s="39">
        <v>0</v>
      </c>
      <c r="F217" s="39">
        <v>0</v>
      </c>
      <c r="G217" s="39">
        <v>0</v>
      </c>
      <c r="H217" s="40">
        <f>SUM(Tabla1325[[#This Row],[PRIMER TRIMESTRE]:[CUARTO TRIMESTRE]])</f>
        <v>0</v>
      </c>
      <c r="I217" s="17">
        <v>1800</v>
      </c>
      <c r="J217" s="17">
        <f t="shared" si="5"/>
        <v>0</v>
      </c>
      <c r="K217" s="17"/>
      <c r="L217" s="16" t="s">
        <v>27</v>
      </c>
      <c r="M217" s="16" t="s">
        <v>22</v>
      </c>
      <c r="N217" s="39"/>
    </row>
    <row r="218" spans="1:14" s="12" customFormat="1">
      <c r="A218" s="15" t="s">
        <v>80</v>
      </c>
      <c r="B218" s="75" t="s">
        <v>360</v>
      </c>
      <c r="C218" s="39" t="s">
        <v>17</v>
      </c>
      <c r="D218" s="39">
        <v>0</v>
      </c>
      <c r="E218" s="39">
        <v>0</v>
      </c>
      <c r="F218" s="39">
        <v>0</v>
      </c>
      <c r="G218" s="39">
        <v>0</v>
      </c>
      <c r="H218" s="40">
        <f>SUM(Tabla1325[[#This Row],[PRIMER TRIMESTRE]:[CUARTO TRIMESTRE]])</f>
        <v>0</v>
      </c>
      <c r="I218" s="17">
        <v>2000</v>
      </c>
      <c r="J218" s="17">
        <f t="shared" si="5"/>
        <v>0</v>
      </c>
      <c r="K218" s="17"/>
      <c r="L218" s="16" t="s">
        <v>27</v>
      </c>
      <c r="M218" s="16" t="s">
        <v>22</v>
      </c>
      <c r="N218" s="39"/>
    </row>
    <row r="219" spans="1:14" s="12" customFormat="1">
      <c r="A219" s="15" t="s">
        <v>80</v>
      </c>
      <c r="B219" s="75" t="s">
        <v>353</v>
      </c>
      <c r="C219" s="39" t="s">
        <v>17</v>
      </c>
      <c r="D219" s="39">
        <v>0</v>
      </c>
      <c r="E219" s="39">
        <v>0</v>
      </c>
      <c r="F219" s="39">
        <v>0</v>
      </c>
      <c r="G219" s="39">
        <v>0</v>
      </c>
      <c r="H219" s="40">
        <f>SUM(Tabla1325[[#This Row],[PRIMER TRIMESTRE]:[CUARTO TRIMESTRE]])</f>
        <v>0</v>
      </c>
      <c r="I219" s="17">
        <v>2500</v>
      </c>
      <c r="J219" s="17">
        <f t="shared" si="5"/>
        <v>0</v>
      </c>
      <c r="K219" s="17"/>
      <c r="L219" s="16" t="s">
        <v>27</v>
      </c>
      <c r="M219" s="16" t="s">
        <v>22</v>
      </c>
      <c r="N219" s="39"/>
    </row>
    <row r="220" spans="1:14" s="12" customFormat="1">
      <c r="A220" s="15" t="s">
        <v>80</v>
      </c>
      <c r="B220" s="75" t="s">
        <v>354</v>
      </c>
      <c r="C220" s="39" t="s">
        <v>17</v>
      </c>
      <c r="D220" s="39">
        <v>0</v>
      </c>
      <c r="E220" s="39">
        <v>0</v>
      </c>
      <c r="F220" s="39">
        <v>0</v>
      </c>
      <c r="G220" s="39">
        <v>0</v>
      </c>
      <c r="H220" s="40">
        <f>SUM(Tabla1325[[#This Row],[PRIMER TRIMESTRE]:[CUARTO TRIMESTRE]])</f>
        <v>0</v>
      </c>
      <c r="I220" s="17">
        <v>8502.7999999999993</v>
      </c>
      <c r="J220" s="17">
        <f t="shared" si="5"/>
        <v>0</v>
      </c>
      <c r="K220" s="17"/>
      <c r="L220" s="16" t="s">
        <v>27</v>
      </c>
      <c r="M220" s="16" t="s">
        <v>22</v>
      </c>
      <c r="N220" s="39"/>
    </row>
    <row r="221" spans="1:14" s="12" customFormat="1">
      <c r="A221" s="15" t="s">
        <v>80</v>
      </c>
      <c r="B221" s="75" t="s">
        <v>355</v>
      </c>
      <c r="C221" s="39" t="s">
        <v>17</v>
      </c>
      <c r="D221" s="39">
        <v>0</v>
      </c>
      <c r="E221" s="39">
        <v>0</v>
      </c>
      <c r="F221" s="39">
        <v>0</v>
      </c>
      <c r="G221" s="39">
        <v>0</v>
      </c>
      <c r="H221" s="40">
        <f>SUM(Tabla1325[[#This Row],[PRIMER TRIMESTRE]:[CUARTO TRIMESTRE]])</f>
        <v>0</v>
      </c>
      <c r="I221" s="17">
        <v>12180</v>
      </c>
      <c r="J221" s="17">
        <f t="shared" si="5"/>
        <v>0</v>
      </c>
      <c r="K221" s="17"/>
      <c r="L221" s="16" t="s">
        <v>27</v>
      </c>
      <c r="M221" s="16" t="s">
        <v>22</v>
      </c>
      <c r="N221" s="39"/>
    </row>
    <row r="222" spans="1:14" s="12" customFormat="1">
      <c r="A222" s="15" t="s">
        <v>80</v>
      </c>
      <c r="B222" s="75" t="s">
        <v>363</v>
      </c>
      <c r="C222" s="39" t="s">
        <v>17</v>
      </c>
      <c r="D222" s="39">
        <v>0</v>
      </c>
      <c r="E222" s="39">
        <v>0</v>
      </c>
      <c r="F222" s="39">
        <v>0</v>
      </c>
      <c r="G222" s="39">
        <v>0</v>
      </c>
      <c r="H222" s="40">
        <f>SUM(Tabla1325[[#This Row],[PRIMER TRIMESTRE]:[CUARTO TRIMESTRE]])</f>
        <v>0</v>
      </c>
      <c r="I222" s="17">
        <v>1200</v>
      </c>
      <c r="J222" s="17">
        <f t="shared" si="5"/>
        <v>0</v>
      </c>
      <c r="K222" s="17"/>
      <c r="L222" s="16" t="s">
        <v>27</v>
      </c>
      <c r="M222" s="16" t="s">
        <v>22</v>
      </c>
      <c r="N222" s="39"/>
    </row>
    <row r="223" spans="1:14" s="12" customFormat="1">
      <c r="A223" s="15" t="s">
        <v>80</v>
      </c>
      <c r="B223" s="75" t="s">
        <v>364</v>
      </c>
      <c r="C223" s="39" t="s">
        <v>17</v>
      </c>
      <c r="D223" s="39">
        <v>0</v>
      </c>
      <c r="E223" s="39">
        <v>0</v>
      </c>
      <c r="F223" s="39">
        <v>0</v>
      </c>
      <c r="G223" s="39">
        <v>0</v>
      </c>
      <c r="H223" s="40">
        <f>SUM(Tabla1325[[#This Row],[PRIMER TRIMESTRE]:[CUARTO TRIMESTRE]])</f>
        <v>0</v>
      </c>
      <c r="I223" s="17">
        <v>1400</v>
      </c>
      <c r="J223" s="17">
        <f t="shared" si="5"/>
        <v>0</v>
      </c>
      <c r="K223" s="17"/>
      <c r="L223" s="16" t="s">
        <v>27</v>
      </c>
      <c r="M223" s="16" t="s">
        <v>22</v>
      </c>
      <c r="N223" s="39"/>
    </row>
    <row r="224" spans="1:14" s="12" customFormat="1">
      <c r="A224" s="15" t="s">
        <v>80</v>
      </c>
      <c r="B224" s="75" t="s">
        <v>365</v>
      </c>
      <c r="C224" s="39" t="s">
        <v>17</v>
      </c>
      <c r="D224" s="39">
        <v>0</v>
      </c>
      <c r="E224" s="39">
        <v>0</v>
      </c>
      <c r="F224" s="39">
        <v>0</v>
      </c>
      <c r="G224" s="39">
        <v>0</v>
      </c>
      <c r="H224" s="40">
        <f>SUM(Tabla1325[[#This Row],[PRIMER TRIMESTRE]:[CUARTO TRIMESTRE]])</f>
        <v>0</v>
      </c>
      <c r="I224" s="17">
        <v>1600</v>
      </c>
      <c r="J224" s="17">
        <f t="shared" si="5"/>
        <v>0</v>
      </c>
      <c r="K224" s="17"/>
      <c r="L224" s="16" t="s">
        <v>27</v>
      </c>
      <c r="M224" s="16" t="s">
        <v>22</v>
      </c>
      <c r="N224" s="39"/>
    </row>
    <row r="225" spans="1:17" s="12" customFormat="1">
      <c r="A225" s="15" t="s">
        <v>80</v>
      </c>
      <c r="B225" s="75" t="s">
        <v>366</v>
      </c>
      <c r="C225" s="39" t="s">
        <v>17</v>
      </c>
      <c r="D225" s="39">
        <v>0</v>
      </c>
      <c r="E225" s="39">
        <v>0</v>
      </c>
      <c r="F225" s="39">
        <v>0</v>
      </c>
      <c r="G225" s="39">
        <v>0</v>
      </c>
      <c r="H225" s="40">
        <f>SUM(Tabla1325[[#This Row],[PRIMER TRIMESTRE]:[CUARTO TRIMESTRE]])</f>
        <v>0</v>
      </c>
      <c r="I225" s="17">
        <v>1800</v>
      </c>
      <c r="J225" s="17">
        <f t="shared" si="5"/>
        <v>0</v>
      </c>
      <c r="K225" s="17"/>
      <c r="L225" s="16" t="s">
        <v>27</v>
      </c>
      <c r="M225" s="16" t="s">
        <v>22</v>
      </c>
      <c r="N225" s="39"/>
    </row>
    <row r="226" spans="1:17" s="12" customFormat="1">
      <c r="A226" s="15" t="s">
        <v>80</v>
      </c>
      <c r="B226" s="75" t="s">
        <v>367</v>
      </c>
      <c r="C226" s="39" t="s">
        <v>17</v>
      </c>
      <c r="D226" s="39">
        <v>0</v>
      </c>
      <c r="E226" s="39">
        <v>0</v>
      </c>
      <c r="F226" s="39">
        <v>0</v>
      </c>
      <c r="G226" s="39">
        <v>0</v>
      </c>
      <c r="H226" s="40">
        <f>SUM(Tabla1325[[#This Row],[PRIMER TRIMESTRE]:[CUARTO TRIMESTRE]])</f>
        <v>0</v>
      </c>
      <c r="I226" s="17">
        <v>2000</v>
      </c>
      <c r="J226" s="17">
        <f t="shared" si="5"/>
        <v>0</v>
      </c>
      <c r="K226" s="17"/>
      <c r="L226" s="16" t="s">
        <v>27</v>
      </c>
      <c r="M226" s="16" t="s">
        <v>22</v>
      </c>
      <c r="N226" s="39"/>
    </row>
    <row r="227" spans="1:17" s="12" customFormat="1">
      <c r="A227" s="15" t="s">
        <v>80</v>
      </c>
      <c r="B227" s="75" t="s">
        <v>361</v>
      </c>
      <c r="C227" s="39" t="s">
        <v>17</v>
      </c>
      <c r="D227" s="39">
        <v>0</v>
      </c>
      <c r="E227" s="39">
        <v>0</v>
      </c>
      <c r="F227" s="39">
        <v>0</v>
      </c>
      <c r="G227" s="39">
        <v>0</v>
      </c>
      <c r="H227" s="40">
        <f>SUM(Tabla1325[[#This Row],[PRIMER TRIMESTRE]:[CUARTO TRIMESTRE]])</f>
        <v>0</v>
      </c>
      <c r="I227" s="17">
        <v>2500</v>
      </c>
      <c r="J227" s="17">
        <f t="shared" si="5"/>
        <v>0</v>
      </c>
      <c r="K227" s="17"/>
      <c r="L227" s="16" t="s">
        <v>27</v>
      </c>
      <c r="M227" s="16" t="s">
        <v>22</v>
      </c>
      <c r="N227" s="39"/>
    </row>
    <row r="228" spans="1:17" s="12" customFormat="1">
      <c r="A228" s="15" t="s">
        <v>80</v>
      </c>
      <c r="B228" s="75" t="s">
        <v>362</v>
      </c>
      <c r="C228" s="39" t="s">
        <v>17</v>
      </c>
      <c r="D228" s="39">
        <v>0</v>
      </c>
      <c r="E228" s="39">
        <v>0</v>
      </c>
      <c r="F228" s="39">
        <v>0</v>
      </c>
      <c r="G228" s="39">
        <v>0</v>
      </c>
      <c r="H228" s="40">
        <f>SUM(Tabla1325[[#This Row],[PRIMER TRIMESTRE]:[CUARTO TRIMESTRE]])</f>
        <v>0</v>
      </c>
      <c r="I228" s="17">
        <v>3100</v>
      </c>
      <c r="J228" s="17">
        <f t="shared" si="5"/>
        <v>0</v>
      </c>
      <c r="K228" s="17"/>
      <c r="L228" s="16" t="s">
        <v>27</v>
      </c>
      <c r="M228" s="16" t="s">
        <v>22</v>
      </c>
      <c r="N228" s="39"/>
    </row>
    <row r="229" spans="1:17" s="12" customFormat="1">
      <c r="A229" s="15" t="s">
        <v>80</v>
      </c>
      <c r="B229" s="75" t="s">
        <v>154</v>
      </c>
      <c r="C229" s="39" t="s">
        <v>470</v>
      </c>
      <c r="D229" s="39">
        <v>0</v>
      </c>
      <c r="E229" s="39">
        <v>0</v>
      </c>
      <c r="F229" s="39">
        <v>0</v>
      </c>
      <c r="G229" s="39">
        <v>0</v>
      </c>
      <c r="H229" s="40">
        <f>SUM(Tabla1325[[#This Row],[PRIMER TRIMESTRE]:[CUARTO TRIMESTRE]])</f>
        <v>0</v>
      </c>
      <c r="I229" s="17">
        <v>100</v>
      </c>
      <c r="J229" s="17">
        <f>+Tabla1325[[#This Row],[CANTIDAD TOTAL]]*Tabla1325[[#This Row],[PRECIO UNITARIO ESTIMADO]]</f>
        <v>0</v>
      </c>
      <c r="K229" s="17"/>
      <c r="L229" s="16" t="s">
        <v>27</v>
      </c>
      <c r="M229" s="16" t="s">
        <v>22</v>
      </c>
      <c r="N229" s="39" t="s">
        <v>418</v>
      </c>
      <c r="Q229" s="19" t="s">
        <v>155</v>
      </c>
    </row>
    <row r="230" spans="1:17" s="12" customFormat="1">
      <c r="A230" s="15" t="s">
        <v>80</v>
      </c>
      <c r="B230" s="75" t="s">
        <v>177</v>
      </c>
      <c r="C230" s="39" t="s">
        <v>93</v>
      </c>
      <c r="D230" s="39">
        <v>0</v>
      </c>
      <c r="E230" s="39">
        <v>0</v>
      </c>
      <c r="F230" s="39">
        <v>0</v>
      </c>
      <c r="G230" s="39">
        <v>0</v>
      </c>
      <c r="H230" s="40">
        <f>SUM(Tabla1325[[#This Row],[PRIMER TRIMESTRE]:[CUARTO TRIMESTRE]])</f>
        <v>0</v>
      </c>
      <c r="I230" s="17">
        <v>226.78</v>
      </c>
      <c r="J230" s="17">
        <f>+Tabla1325[[#This Row],[CANTIDAD TOTAL]]*Tabla1325[[#This Row],[PRECIO UNITARIO ESTIMADO]]</f>
        <v>0</v>
      </c>
      <c r="K230" s="17"/>
      <c r="L230" s="16" t="s">
        <v>27</v>
      </c>
      <c r="M230" s="16" t="s">
        <v>22</v>
      </c>
      <c r="N230" s="39" t="s">
        <v>418</v>
      </c>
      <c r="Q230" s="19" t="s">
        <v>178</v>
      </c>
    </row>
    <row r="231" spans="1:17" s="12" customFormat="1">
      <c r="A231" s="15" t="s">
        <v>80</v>
      </c>
      <c r="B231" s="75" t="s">
        <v>460</v>
      </c>
      <c r="C231" s="39" t="s">
        <v>93</v>
      </c>
      <c r="D231" s="39">
        <v>0</v>
      </c>
      <c r="E231" s="39">
        <v>0</v>
      </c>
      <c r="F231" s="39">
        <v>0</v>
      </c>
      <c r="G231" s="39">
        <v>0</v>
      </c>
      <c r="H231" s="40">
        <f>SUM(Tabla1325[[#This Row],[PRIMER TRIMESTRE]:[CUARTO TRIMESTRE]])</f>
        <v>0</v>
      </c>
      <c r="I231" s="17">
        <v>2055.4</v>
      </c>
      <c r="J231" s="17">
        <f>+H231*I231</f>
        <v>0</v>
      </c>
      <c r="K231" s="17"/>
      <c r="L231" s="16" t="s">
        <v>27</v>
      </c>
      <c r="M231" s="16" t="s">
        <v>22</v>
      </c>
      <c r="N231" s="39" t="s">
        <v>418</v>
      </c>
      <c r="Q231" s="19"/>
    </row>
    <row r="232" spans="1:17" s="12" customFormat="1">
      <c r="A232" s="15" t="s">
        <v>80</v>
      </c>
      <c r="B232" s="75" t="s">
        <v>179</v>
      </c>
      <c r="C232" s="39" t="s">
        <v>93</v>
      </c>
      <c r="D232" s="39">
        <v>0</v>
      </c>
      <c r="E232" s="39">
        <v>0</v>
      </c>
      <c r="F232" s="39">
        <v>0</v>
      </c>
      <c r="G232" s="39">
        <v>0</v>
      </c>
      <c r="H232" s="40">
        <f>SUM(Tabla1325[[#This Row],[PRIMER TRIMESTRE]:[CUARTO TRIMESTRE]])</f>
        <v>0</v>
      </c>
      <c r="I232" s="17">
        <v>222.14</v>
      </c>
      <c r="J232" s="17">
        <f>+Tabla1325[[#This Row],[CANTIDAD TOTAL]]*Tabla1325[[#This Row],[PRECIO UNITARIO ESTIMADO]]</f>
        <v>0</v>
      </c>
      <c r="K232" s="17"/>
      <c r="L232" s="16" t="s">
        <v>27</v>
      </c>
      <c r="M232" s="16" t="s">
        <v>22</v>
      </c>
      <c r="N232" s="39" t="s">
        <v>418</v>
      </c>
      <c r="Q232" s="19" t="s">
        <v>180</v>
      </c>
    </row>
    <row r="233" spans="1:17" s="12" customFormat="1">
      <c r="A233" s="15" t="s">
        <v>80</v>
      </c>
      <c r="B233" s="75" t="s">
        <v>181</v>
      </c>
      <c r="C233" s="39" t="s">
        <v>69</v>
      </c>
      <c r="D233" s="39">
        <v>0</v>
      </c>
      <c r="E233" s="39">
        <v>0</v>
      </c>
      <c r="F233" s="39">
        <v>0</v>
      </c>
      <c r="G233" s="39">
        <v>0</v>
      </c>
      <c r="H233" s="40">
        <f>SUM(Tabla1325[[#This Row],[PRIMER TRIMESTRE]:[CUARTO TRIMESTRE]])</f>
        <v>0</v>
      </c>
      <c r="I233" s="17">
        <v>6206</v>
      </c>
      <c r="J233" s="17">
        <f>+Tabla1325[[#This Row],[CANTIDAD TOTAL]]*Tabla1325[[#This Row],[PRECIO UNITARIO ESTIMADO]]</f>
        <v>0</v>
      </c>
      <c r="K233" s="17"/>
      <c r="L233" s="16" t="s">
        <v>27</v>
      </c>
      <c r="M233" s="16" t="s">
        <v>22</v>
      </c>
      <c r="N233" s="39" t="s">
        <v>418</v>
      </c>
      <c r="Q233" s="19" t="s">
        <v>182</v>
      </c>
    </row>
    <row r="234" spans="1:17" s="12" customFormat="1" ht="25.5">
      <c r="A234" s="15" t="s">
        <v>80</v>
      </c>
      <c r="B234" s="75" t="s">
        <v>468</v>
      </c>
      <c r="C234" s="39" t="s">
        <v>17</v>
      </c>
      <c r="D234" s="39">
        <v>0</v>
      </c>
      <c r="E234" s="39">
        <v>0</v>
      </c>
      <c r="F234" s="39">
        <v>0</v>
      </c>
      <c r="G234" s="39">
        <v>0</v>
      </c>
      <c r="H234" s="40">
        <f>SUM(Tabla1325[[#This Row],[PRIMER TRIMESTRE]:[CUARTO TRIMESTRE]])</f>
        <v>0</v>
      </c>
      <c r="I234" s="17">
        <v>4827</v>
      </c>
      <c r="J234" s="17">
        <f>+Tabla1325[[#This Row],[CANTIDAD TOTAL]]*Tabla1325[[#This Row],[PRECIO UNITARIO ESTIMADO]]</f>
        <v>0</v>
      </c>
      <c r="K234" s="17"/>
      <c r="L234" s="16" t="s">
        <v>27</v>
      </c>
      <c r="M234" s="16" t="s">
        <v>22</v>
      </c>
      <c r="N234" s="39" t="s">
        <v>418</v>
      </c>
      <c r="Q234" s="19" t="s">
        <v>183</v>
      </c>
    </row>
    <row r="235" spans="1:17" s="12" customFormat="1">
      <c r="A235" s="15" t="s">
        <v>80</v>
      </c>
      <c r="B235" s="75" t="s">
        <v>420</v>
      </c>
      <c r="C235" s="39" t="s">
        <v>17</v>
      </c>
      <c r="D235" s="39">
        <v>0</v>
      </c>
      <c r="E235" s="39">
        <v>0</v>
      </c>
      <c r="F235" s="39">
        <v>0</v>
      </c>
      <c r="G235" s="39">
        <v>0</v>
      </c>
      <c r="H235" s="40">
        <f>SUM(Tabla1325[[#This Row],[PRIMER TRIMESTRE]:[CUARTO TRIMESTRE]])</f>
        <v>0</v>
      </c>
      <c r="I235" s="17">
        <v>2171.81</v>
      </c>
      <c r="J235" s="17">
        <f>+H235*I235</f>
        <v>0</v>
      </c>
      <c r="K235" s="17"/>
      <c r="L235" s="16" t="s">
        <v>18</v>
      </c>
      <c r="M235" s="16" t="s">
        <v>22</v>
      </c>
      <c r="N235" s="39"/>
    </row>
    <row r="236" spans="1:17" s="12" customFormat="1">
      <c r="A236" s="15" t="s">
        <v>80</v>
      </c>
      <c r="B236" s="75" t="s">
        <v>421</v>
      </c>
      <c r="C236" s="39" t="s">
        <v>17</v>
      </c>
      <c r="D236" s="39">
        <v>0</v>
      </c>
      <c r="E236" s="39">
        <v>0</v>
      </c>
      <c r="F236" s="39">
        <v>0</v>
      </c>
      <c r="G236" s="39">
        <v>0</v>
      </c>
      <c r="H236" s="46">
        <f>SUM(Tabla1325[[#This Row],[PRIMER TRIMESTRE]:[CUARTO TRIMESTRE]])</f>
        <v>0</v>
      </c>
      <c r="I236" s="17">
        <v>3225.53</v>
      </c>
      <c r="J236" s="17">
        <f>+H236*I236</f>
        <v>0</v>
      </c>
      <c r="K236" s="17"/>
      <c r="L236" s="16" t="s">
        <v>18</v>
      </c>
      <c r="M236" s="16" t="s">
        <v>22</v>
      </c>
      <c r="N236" s="39"/>
    </row>
    <row r="237" spans="1:17" s="12" customFormat="1">
      <c r="A237" s="15" t="s">
        <v>80</v>
      </c>
      <c r="B237" s="75" t="s">
        <v>422</v>
      </c>
      <c r="C237" s="39" t="s">
        <v>17</v>
      </c>
      <c r="D237" s="39">
        <v>0</v>
      </c>
      <c r="E237" s="39">
        <v>0</v>
      </c>
      <c r="F237" s="39">
        <v>0</v>
      </c>
      <c r="G237" s="39">
        <v>0</v>
      </c>
      <c r="H237" s="46">
        <f>SUM(Tabla1325[[#This Row],[PRIMER TRIMESTRE]:[CUARTO TRIMESTRE]])</f>
        <v>0</v>
      </c>
      <c r="I237" s="17">
        <v>4361.28</v>
      </c>
      <c r="J237" s="17">
        <f>+H237*I237</f>
        <v>0</v>
      </c>
      <c r="K237" s="17"/>
      <c r="L237" s="16" t="s">
        <v>18</v>
      </c>
      <c r="M237" s="16" t="s">
        <v>22</v>
      </c>
      <c r="N237" s="39"/>
    </row>
    <row r="238" spans="1:17" s="12" customFormat="1">
      <c r="A238" s="15" t="s">
        <v>80</v>
      </c>
      <c r="B238" s="75" t="s">
        <v>423</v>
      </c>
      <c r="C238" s="39" t="s">
        <v>17</v>
      </c>
      <c r="D238" s="39">
        <v>0</v>
      </c>
      <c r="E238" s="39">
        <v>0</v>
      </c>
      <c r="F238" s="39">
        <v>0</v>
      </c>
      <c r="G238" s="39">
        <v>0</v>
      </c>
      <c r="H238" s="46">
        <f>SUM(Tabla1325[[#This Row],[PRIMER TRIMESTRE]:[CUARTO TRIMESTRE]])</f>
        <v>0</v>
      </c>
      <c r="I238" s="17">
        <v>6561.39</v>
      </c>
      <c r="J238" s="17">
        <f>+H238*I238</f>
        <v>0</v>
      </c>
      <c r="K238" s="17"/>
      <c r="L238" s="16" t="s">
        <v>18</v>
      </c>
      <c r="M238" s="16" t="s">
        <v>22</v>
      </c>
      <c r="N238" s="39"/>
    </row>
    <row r="239" spans="1:17" s="12" customFormat="1">
      <c r="A239" s="15" t="s">
        <v>80</v>
      </c>
      <c r="B239" s="75" t="s">
        <v>424</v>
      </c>
      <c r="C239" s="39" t="s">
        <v>17</v>
      </c>
      <c r="D239" s="39">
        <v>0</v>
      </c>
      <c r="E239" s="39">
        <v>0</v>
      </c>
      <c r="F239" s="39">
        <v>0</v>
      </c>
      <c r="G239" s="39">
        <v>0</v>
      </c>
      <c r="H239" s="46">
        <f>SUM(Tabla1325[[#This Row],[PRIMER TRIMESTRE]:[CUARTO TRIMESTRE]])</f>
        <v>0</v>
      </c>
      <c r="I239" s="17">
        <v>12136.3</v>
      </c>
      <c r="J239" s="17">
        <f>+H239*I239</f>
        <v>0</v>
      </c>
      <c r="K239" s="17"/>
      <c r="L239" s="16" t="s">
        <v>18</v>
      </c>
      <c r="M239" s="16" t="s">
        <v>22</v>
      </c>
      <c r="N239" s="39"/>
    </row>
    <row r="240" spans="1:17" s="12" customFormat="1">
      <c r="A240" s="15" t="s">
        <v>80</v>
      </c>
      <c r="B240" s="75" t="s">
        <v>184</v>
      </c>
      <c r="C240" s="39" t="s">
        <v>17</v>
      </c>
      <c r="D240" s="39">
        <v>0</v>
      </c>
      <c r="E240" s="39">
        <v>0</v>
      </c>
      <c r="F240" s="39">
        <v>0</v>
      </c>
      <c r="G240" s="39">
        <v>0</v>
      </c>
      <c r="H240" s="40">
        <f>SUM(Tabla1325[[#This Row],[PRIMER TRIMESTRE]:[CUARTO TRIMESTRE]])</f>
        <v>0</v>
      </c>
      <c r="I240" s="17">
        <v>1347.46</v>
      </c>
      <c r="J240" s="17">
        <f>+Tabla1325[[#This Row],[CANTIDAD TOTAL]]*Tabla1325[[#This Row],[PRECIO UNITARIO ESTIMADO]]</f>
        <v>0</v>
      </c>
      <c r="K240" s="17"/>
      <c r="L240" s="16" t="s">
        <v>27</v>
      </c>
      <c r="M240" s="16" t="s">
        <v>22</v>
      </c>
      <c r="N240" s="39" t="s">
        <v>418</v>
      </c>
      <c r="Q240" s="19" t="s">
        <v>185</v>
      </c>
    </row>
    <row r="241" spans="1:17" s="12" customFormat="1">
      <c r="A241" s="15" t="s">
        <v>80</v>
      </c>
      <c r="B241" s="106" t="s">
        <v>369</v>
      </c>
      <c r="C241" s="39" t="s">
        <v>17</v>
      </c>
      <c r="D241" s="39">
        <v>500</v>
      </c>
      <c r="E241" s="39">
        <v>500</v>
      </c>
      <c r="F241" s="39">
        <v>0</v>
      </c>
      <c r="G241" s="39">
        <v>0</v>
      </c>
      <c r="H241" s="40">
        <f>SUM(Tabla1325[[#This Row],[PRIMER TRIMESTRE]:[CUARTO TRIMESTRE]])</f>
        <v>1000</v>
      </c>
      <c r="I241" s="17">
        <v>4.55</v>
      </c>
      <c r="J241" s="17">
        <f t="shared" ref="J241:J250" si="6">+H241*I241</f>
        <v>4550</v>
      </c>
      <c r="K241" s="17"/>
      <c r="L241" s="16" t="s">
        <v>18</v>
      </c>
      <c r="M241" s="16" t="s">
        <v>22</v>
      </c>
      <c r="N241" s="39" t="s">
        <v>418</v>
      </c>
    </row>
    <row r="242" spans="1:17" s="12" customFormat="1">
      <c r="A242" s="15" t="s">
        <v>80</v>
      </c>
      <c r="B242" s="106" t="s">
        <v>449</v>
      </c>
      <c r="C242" s="39" t="s">
        <v>17</v>
      </c>
      <c r="D242" s="39">
        <v>200</v>
      </c>
      <c r="E242" s="39">
        <v>200</v>
      </c>
      <c r="F242" s="39">
        <v>0</v>
      </c>
      <c r="G242" s="39">
        <v>0</v>
      </c>
      <c r="H242" s="40">
        <f>SUM(Tabla1325[[#This Row],[PRIMER TRIMESTRE]:[CUARTO TRIMESTRE]])</f>
        <v>400</v>
      </c>
      <c r="I242" s="17">
        <v>4.55</v>
      </c>
      <c r="J242" s="17">
        <f t="shared" si="6"/>
        <v>1820</v>
      </c>
      <c r="K242" s="17"/>
      <c r="L242" s="16" t="s">
        <v>18</v>
      </c>
      <c r="M242" s="16" t="s">
        <v>22</v>
      </c>
      <c r="N242" s="39" t="s">
        <v>418</v>
      </c>
    </row>
    <row r="243" spans="1:17" s="12" customFormat="1">
      <c r="A243" s="15" t="s">
        <v>80</v>
      </c>
      <c r="B243" s="106" t="s">
        <v>450</v>
      </c>
      <c r="C243" s="39" t="s">
        <v>17</v>
      </c>
      <c r="D243" s="39">
        <v>200</v>
      </c>
      <c r="E243" s="39">
        <v>200</v>
      </c>
      <c r="F243" s="39">
        <v>0</v>
      </c>
      <c r="G243" s="39">
        <v>0</v>
      </c>
      <c r="H243" s="40">
        <f>SUM(Tabla1325[[#This Row],[PRIMER TRIMESTRE]:[CUARTO TRIMESTRE]])</f>
        <v>400</v>
      </c>
      <c r="I243" s="17">
        <v>4.55</v>
      </c>
      <c r="J243" s="17">
        <f t="shared" si="6"/>
        <v>1820</v>
      </c>
      <c r="K243" s="17"/>
      <c r="L243" s="16" t="s">
        <v>18</v>
      </c>
      <c r="M243" s="16" t="s">
        <v>22</v>
      </c>
      <c r="N243" s="39" t="s">
        <v>418</v>
      </c>
    </row>
    <row r="244" spans="1:17" s="12" customFormat="1">
      <c r="A244" s="15" t="s">
        <v>80</v>
      </c>
      <c r="B244" s="106" t="s">
        <v>451</v>
      </c>
      <c r="C244" s="39" t="s">
        <v>17</v>
      </c>
      <c r="D244" s="39">
        <v>200</v>
      </c>
      <c r="E244" s="39">
        <v>200</v>
      </c>
      <c r="F244" s="39">
        <v>0</v>
      </c>
      <c r="G244" s="39">
        <v>0</v>
      </c>
      <c r="H244" s="40">
        <f>SUM(Tabla1325[[#This Row],[PRIMER TRIMESTRE]:[CUARTO TRIMESTRE]])</f>
        <v>400</v>
      </c>
      <c r="I244" s="17">
        <v>4.55</v>
      </c>
      <c r="J244" s="17">
        <f t="shared" si="6"/>
        <v>1820</v>
      </c>
      <c r="K244" s="17"/>
      <c r="L244" s="16" t="s">
        <v>18</v>
      </c>
      <c r="M244" s="16" t="s">
        <v>22</v>
      </c>
      <c r="N244" s="39" t="s">
        <v>418</v>
      </c>
    </row>
    <row r="245" spans="1:17" s="12" customFormat="1">
      <c r="A245" s="15" t="s">
        <v>80</v>
      </c>
      <c r="B245" s="75" t="s">
        <v>453</v>
      </c>
      <c r="C245" s="39" t="s">
        <v>17</v>
      </c>
      <c r="D245" s="39">
        <v>0</v>
      </c>
      <c r="E245" s="39">
        <v>0</v>
      </c>
      <c r="F245" s="39">
        <v>0</v>
      </c>
      <c r="G245" s="39">
        <v>0</v>
      </c>
      <c r="H245" s="40">
        <f>SUM(Tabla1325[[#This Row],[PRIMER TRIMESTRE]:[CUARTO TRIMESTRE]])</f>
        <v>0</v>
      </c>
      <c r="I245" s="17">
        <v>4.55</v>
      </c>
      <c r="J245" s="17">
        <f t="shared" si="6"/>
        <v>0</v>
      </c>
      <c r="K245" s="17"/>
      <c r="L245" s="16" t="s">
        <v>18</v>
      </c>
      <c r="M245" s="16" t="s">
        <v>22</v>
      </c>
      <c r="N245" s="39" t="s">
        <v>418</v>
      </c>
    </row>
    <row r="246" spans="1:17" s="12" customFormat="1">
      <c r="A246" s="15" t="s">
        <v>80</v>
      </c>
      <c r="B246" s="75" t="s">
        <v>452</v>
      </c>
      <c r="C246" s="39" t="s">
        <v>17</v>
      </c>
      <c r="D246" s="39">
        <v>0</v>
      </c>
      <c r="E246" s="39">
        <v>0</v>
      </c>
      <c r="F246" s="39">
        <v>0</v>
      </c>
      <c r="G246" s="39">
        <v>0</v>
      </c>
      <c r="H246" s="40">
        <f>SUM(Tabla1325[[#This Row],[PRIMER TRIMESTRE]:[CUARTO TRIMESTRE]])</f>
        <v>0</v>
      </c>
      <c r="I246" s="17">
        <v>4.55</v>
      </c>
      <c r="J246" s="17">
        <f t="shared" si="6"/>
        <v>0</v>
      </c>
      <c r="K246" s="17"/>
      <c r="L246" s="16" t="s">
        <v>18</v>
      </c>
      <c r="M246" s="16" t="s">
        <v>22</v>
      </c>
      <c r="N246" s="39" t="s">
        <v>418</v>
      </c>
    </row>
    <row r="247" spans="1:17" s="12" customFormat="1">
      <c r="A247" s="15" t="s">
        <v>80</v>
      </c>
      <c r="B247" s="75" t="s">
        <v>603</v>
      </c>
      <c r="C247" s="39" t="s">
        <v>17</v>
      </c>
      <c r="D247" s="39">
        <v>0</v>
      </c>
      <c r="E247" s="39">
        <v>0</v>
      </c>
      <c r="F247" s="39">
        <v>0</v>
      </c>
      <c r="G247" s="39">
        <v>0</v>
      </c>
      <c r="H247" s="40">
        <f>SUM(Tabla1325[[#This Row],[PRIMER TRIMESTRE]:[CUARTO TRIMESTRE]])</f>
        <v>0</v>
      </c>
      <c r="I247" s="17">
        <v>737.74</v>
      </c>
      <c r="J247" s="17">
        <f t="shared" si="6"/>
        <v>0</v>
      </c>
      <c r="K247" s="17"/>
      <c r="L247" s="16" t="s">
        <v>18</v>
      </c>
      <c r="M247" s="16" t="s">
        <v>22</v>
      </c>
      <c r="N247" s="39" t="s">
        <v>418</v>
      </c>
    </row>
    <row r="248" spans="1:17" s="12" customFormat="1">
      <c r="A248" s="15" t="s">
        <v>80</v>
      </c>
      <c r="B248" s="75" t="s">
        <v>604</v>
      </c>
      <c r="C248" s="39" t="s">
        <v>17</v>
      </c>
      <c r="D248" s="39">
        <v>0</v>
      </c>
      <c r="E248" s="39">
        <v>0</v>
      </c>
      <c r="F248" s="39">
        <v>0</v>
      </c>
      <c r="G248" s="39">
        <v>0</v>
      </c>
      <c r="H248" s="40">
        <f>SUM(Tabla1325[[#This Row],[PRIMER TRIMESTRE]:[CUARTO TRIMESTRE]])</f>
        <v>0</v>
      </c>
      <c r="I248" s="17">
        <v>2121.4499999999998</v>
      </c>
      <c r="J248" s="17">
        <f t="shared" si="6"/>
        <v>0</v>
      </c>
      <c r="K248" s="17"/>
      <c r="L248" s="16" t="s">
        <v>18</v>
      </c>
      <c r="M248" s="16" t="s">
        <v>22</v>
      </c>
      <c r="N248" s="39" t="s">
        <v>418</v>
      </c>
    </row>
    <row r="249" spans="1:17" s="12" customFormat="1">
      <c r="A249" s="15" t="s">
        <v>80</v>
      </c>
      <c r="B249" s="75" t="s">
        <v>605</v>
      </c>
      <c r="C249" s="39" t="s">
        <v>17</v>
      </c>
      <c r="D249" s="39">
        <v>0</v>
      </c>
      <c r="E249" s="39">
        <v>0</v>
      </c>
      <c r="F249" s="39">
        <v>0</v>
      </c>
      <c r="G249" s="39">
        <v>0</v>
      </c>
      <c r="H249" s="40">
        <f>SUM(Tabla1325[[#This Row],[PRIMER TRIMESTRE]:[CUARTO TRIMESTRE]])</f>
        <v>0</v>
      </c>
      <c r="I249" s="17">
        <v>2121.4499999999998</v>
      </c>
      <c r="J249" s="17">
        <f t="shared" si="6"/>
        <v>0</v>
      </c>
      <c r="K249" s="17"/>
      <c r="L249" s="16" t="s">
        <v>18</v>
      </c>
      <c r="M249" s="16" t="s">
        <v>22</v>
      </c>
      <c r="N249" s="39" t="s">
        <v>418</v>
      </c>
    </row>
    <row r="250" spans="1:17" s="12" customFormat="1">
      <c r="A250" s="15" t="s">
        <v>80</v>
      </c>
      <c r="B250" s="75" t="s">
        <v>606</v>
      </c>
      <c r="C250" s="39" t="s">
        <v>17</v>
      </c>
      <c r="D250" s="39">
        <v>0</v>
      </c>
      <c r="E250" s="39">
        <v>0</v>
      </c>
      <c r="F250" s="39">
        <v>0</v>
      </c>
      <c r="G250" s="39">
        <v>0</v>
      </c>
      <c r="H250" s="40">
        <f>SUM(Tabla1325[[#This Row],[PRIMER TRIMESTRE]:[CUARTO TRIMESTRE]])</f>
        <v>0</v>
      </c>
      <c r="I250" s="17">
        <v>3601.69</v>
      </c>
      <c r="J250" s="17">
        <f t="shared" si="6"/>
        <v>0</v>
      </c>
      <c r="K250" s="17"/>
      <c r="L250" s="16" t="s">
        <v>18</v>
      </c>
      <c r="M250" s="16" t="s">
        <v>22</v>
      </c>
      <c r="N250" s="39" t="s">
        <v>418</v>
      </c>
    </row>
    <row r="251" spans="1:17" s="12" customFormat="1">
      <c r="A251" s="15" t="s">
        <v>80</v>
      </c>
      <c r="B251" s="75" t="s">
        <v>188</v>
      </c>
      <c r="C251" s="39" t="s">
        <v>189</v>
      </c>
      <c r="D251" s="39">
        <v>0</v>
      </c>
      <c r="E251" s="39">
        <v>0</v>
      </c>
      <c r="F251" s="39">
        <v>0</v>
      </c>
      <c r="G251" s="39">
        <v>0</v>
      </c>
      <c r="H251" s="40">
        <f>SUM(Tabla1325[[#This Row],[PRIMER TRIMESTRE]:[CUARTO TRIMESTRE]])</f>
        <v>0</v>
      </c>
      <c r="I251" s="17">
        <v>104.4</v>
      </c>
      <c r="J251" s="17">
        <f>+Tabla1325[[#This Row],[CANTIDAD TOTAL]]*Tabla1325[[#This Row],[PRECIO UNITARIO ESTIMADO]]</f>
        <v>0</v>
      </c>
      <c r="K251" s="17"/>
      <c r="L251" s="16" t="s">
        <v>15</v>
      </c>
      <c r="M251" s="16" t="s">
        <v>22</v>
      </c>
      <c r="N251" s="39" t="s">
        <v>418</v>
      </c>
      <c r="Q251" s="19" t="s">
        <v>190</v>
      </c>
    </row>
    <row r="252" spans="1:17" s="12" customFormat="1">
      <c r="A252" s="15" t="s">
        <v>80</v>
      </c>
      <c r="B252" s="75" t="s">
        <v>191</v>
      </c>
      <c r="C252" s="39" t="s">
        <v>17</v>
      </c>
      <c r="D252" s="39">
        <v>0</v>
      </c>
      <c r="E252" s="39">
        <v>0</v>
      </c>
      <c r="F252" s="39">
        <v>0</v>
      </c>
      <c r="G252" s="39">
        <v>0</v>
      </c>
      <c r="H252" s="40">
        <f>SUM(Tabla1325[[#This Row],[PRIMER TRIMESTRE]:[CUARTO TRIMESTRE]])</f>
        <v>0</v>
      </c>
      <c r="I252" s="17">
        <v>754</v>
      </c>
      <c r="J252" s="17">
        <f>+Tabla1325[[#This Row],[CANTIDAD TOTAL]]*Tabla1325[[#This Row],[PRECIO UNITARIO ESTIMADO]]</f>
        <v>0</v>
      </c>
      <c r="K252" s="17"/>
      <c r="L252" s="16" t="s">
        <v>15</v>
      </c>
      <c r="M252" s="16" t="s">
        <v>22</v>
      </c>
      <c r="N252" s="39" t="s">
        <v>418</v>
      </c>
      <c r="Q252" s="19" t="s">
        <v>192</v>
      </c>
    </row>
    <row r="253" spans="1:17" s="12" customFormat="1">
      <c r="A253" s="15" t="s">
        <v>80</v>
      </c>
      <c r="B253" s="75" t="s">
        <v>193</v>
      </c>
      <c r="C253" s="39" t="s">
        <v>17</v>
      </c>
      <c r="D253" s="39">
        <v>0</v>
      </c>
      <c r="E253" s="39">
        <v>0</v>
      </c>
      <c r="F253" s="39">
        <v>0</v>
      </c>
      <c r="G253" s="39">
        <v>0</v>
      </c>
      <c r="H253" s="40">
        <f>SUM(Tabla1325[[#This Row],[PRIMER TRIMESTRE]:[CUARTO TRIMESTRE]])</f>
        <v>0</v>
      </c>
      <c r="I253" s="17">
        <v>222.06</v>
      </c>
      <c r="J253" s="17">
        <f>+Tabla1325[[#This Row],[CANTIDAD TOTAL]]*Tabla1325[[#This Row],[PRECIO UNITARIO ESTIMADO]]</f>
        <v>0</v>
      </c>
      <c r="K253" s="17"/>
      <c r="L253" s="16" t="s">
        <v>15</v>
      </c>
      <c r="M253" s="16" t="s">
        <v>22</v>
      </c>
      <c r="N253" s="39" t="s">
        <v>418</v>
      </c>
      <c r="Q253" s="19" t="s">
        <v>194</v>
      </c>
    </row>
    <row r="254" spans="1:17" s="12" customFormat="1">
      <c r="A254" s="15" t="s">
        <v>80</v>
      </c>
      <c r="B254" s="106" t="s">
        <v>654</v>
      </c>
      <c r="C254" s="39" t="s">
        <v>17</v>
      </c>
      <c r="D254" s="39">
        <v>10000</v>
      </c>
      <c r="E254" s="39">
        <v>10000</v>
      </c>
      <c r="F254" s="39">
        <v>10000</v>
      </c>
      <c r="G254" s="39">
        <v>10000</v>
      </c>
      <c r="H254" s="40">
        <f>SUM(Tabla1325[[#This Row],[PRIMER TRIMESTRE]:[CUARTO TRIMESTRE]])</f>
        <v>40000</v>
      </c>
      <c r="I254" s="17">
        <v>2.86</v>
      </c>
      <c r="J254" s="17">
        <f>+Tabla1325[[#This Row],[CANTIDAD TOTAL]]*Tabla1325[[#This Row],[PRECIO UNITARIO ESTIMADO]]</f>
        <v>114400</v>
      </c>
      <c r="K254" s="17"/>
      <c r="L254" s="16" t="s">
        <v>15</v>
      </c>
      <c r="M254" s="16" t="s">
        <v>22</v>
      </c>
      <c r="N254" s="39" t="s">
        <v>418</v>
      </c>
      <c r="Q254" s="19" t="s">
        <v>197</v>
      </c>
    </row>
    <row r="255" spans="1:17" s="12" customFormat="1">
      <c r="A255" s="15" t="s">
        <v>80</v>
      </c>
      <c r="B255" s="106" t="s">
        <v>655</v>
      </c>
      <c r="C255" s="39" t="s">
        <v>17</v>
      </c>
      <c r="D255" s="39">
        <v>11250</v>
      </c>
      <c r="E255" s="39">
        <v>11250</v>
      </c>
      <c r="F255" s="39">
        <v>11250</v>
      </c>
      <c r="G255" s="39">
        <v>11250</v>
      </c>
      <c r="H255" s="40">
        <f>SUM(Tabla1325[[#This Row],[PRIMER TRIMESTRE]:[CUARTO TRIMESTRE]])</f>
        <v>45000</v>
      </c>
      <c r="I255" s="17">
        <v>4.09</v>
      </c>
      <c r="J255" s="17">
        <f>+Tabla1325[[#This Row],[CANTIDAD TOTAL]]*Tabla1325[[#This Row],[PRECIO UNITARIO ESTIMADO]]</f>
        <v>184050</v>
      </c>
      <c r="K255" s="17"/>
      <c r="L255" s="16" t="s">
        <v>15</v>
      </c>
      <c r="M255" s="16" t="s">
        <v>22</v>
      </c>
      <c r="N255" s="39" t="s">
        <v>418</v>
      </c>
      <c r="Q255" s="19" t="s">
        <v>198</v>
      </c>
    </row>
    <row r="256" spans="1:17" s="12" customFormat="1">
      <c r="A256" s="15" t="s">
        <v>80</v>
      </c>
      <c r="B256" s="106" t="s">
        <v>659</v>
      </c>
      <c r="C256" s="39" t="s">
        <v>17</v>
      </c>
      <c r="D256" s="39">
        <v>7813</v>
      </c>
      <c r="E256" s="39">
        <v>7813</v>
      </c>
      <c r="F256" s="39">
        <v>7813</v>
      </c>
      <c r="G256" s="39">
        <v>7813</v>
      </c>
      <c r="H256" s="40">
        <f>SUM(Tabla1325[[#This Row],[PRIMER TRIMESTRE]:[CUARTO TRIMESTRE]])</f>
        <v>31252</v>
      </c>
      <c r="I256" s="72">
        <v>11.82</v>
      </c>
      <c r="J256" s="17">
        <f>+H256*I256</f>
        <v>369398.64</v>
      </c>
      <c r="K256" s="17"/>
      <c r="L256" s="16" t="s">
        <v>15</v>
      </c>
      <c r="M256" s="16" t="s">
        <v>22</v>
      </c>
      <c r="N256" s="39" t="s">
        <v>418</v>
      </c>
      <c r="Q256" s="19"/>
    </row>
    <row r="257" spans="1:17" s="12" customFormat="1">
      <c r="A257" s="15" t="s">
        <v>80</v>
      </c>
      <c r="B257" s="106" t="s">
        <v>660</v>
      </c>
      <c r="C257" s="39" t="s">
        <v>17</v>
      </c>
      <c r="D257" s="39">
        <v>8625</v>
      </c>
      <c r="E257" s="39">
        <v>8625</v>
      </c>
      <c r="F257" s="39">
        <v>8625</v>
      </c>
      <c r="G257" s="39">
        <v>8625</v>
      </c>
      <c r="H257" s="40">
        <f>SUM(Tabla1325[[#This Row],[PRIMER TRIMESTRE]:[CUARTO TRIMESTRE]])</f>
        <v>34500</v>
      </c>
      <c r="I257" s="72">
        <v>13.65</v>
      </c>
      <c r="J257" s="17">
        <f>+H257*I257</f>
        <v>470925</v>
      </c>
      <c r="K257" s="17"/>
      <c r="L257" s="16" t="s">
        <v>18</v>
      </c>
      <c r="M257" s="16" t="s">
        <v>22</v>
      </c>
      <c r="N257" s="39" t="s">
        <v>418</v>
      </c>
      <c r="Q257" s="19"/>
    </row>
    <row r="258" spans="1:17" s="12" customFormat="1">
      <c r="A258" s="15" t="s">
        <v>80</v>
      </c>
      <c r="B258" s="106" t="s">
        <v>656</v>
      </c>
      <c r="C258" s="39" t="s">
        <v>17</v>
      </c>
      <c r="D258" s="39">
        <v>8938</v>
      </c>
      <c r="E258" s="39">
        <v>8938</v>
      </c>
      <c r="F258" s="39">
        <v>8938</v>
      </c>
      <c r="G258" s="39">
        <v>8938</v>
      </c>
      <c r="H258" s="40">
        <f>SUM(Tabla1325[[#This Row],[PRIMER TRIMESTRE]:[CUARTO TRIMESTRE]])</f>
        <v>35752</v>
      </c>
      <c r="I258" s="17">
        <v>22.39</v>
      </c>
      <c r="J258" s="17">
        <f>+Tabla1325[[#This Row],[CANTIDAD TOTAL]]*Tabla1325[[#This Row],[PRECIO UNITARIO ESTIMADO]]</f>
        <v>800487.28</v>
      </c>
      <c r="K258" s="17"/>
      <c r="L258" s="16" t="s">
        <v>18</v>
      </c>
      <c r="M258" s="16" t="s">
        <v>22</v>
      </c>
      <c r="N258" s="39" t="s">
        <v>418</v>
      </c>
      <c r="Q258" s="19" t="s">
        <v>199</v>
      </c>
    </row>
    <row r="259" spans="1:17" s="12" customFormat="1">
      <c r="A259" s="15" t="s">
        <v>80</v>
      </c>
      <c r="B259" s="106" t="s">
        <v>657</v>
      </c>
      <c r="C259" s="39" t="s">
        <v>17</v>
      </c>
      <c r="D259" s="39">
        <v>2563</v>
      </c>
      <c r="E259" s="39">
        <v>2563</v>
      </c>
      <c r="F259" s="39">
        <v>2563</v>
      </c>
      <c r="G259" s="39">
        <v>2563</v>
      </c>
      <c r="H259" s="40">
        <f>SUM(Tabla1325[[#This Row],[PRIMER TRIMESTRE]:[CUARTO TRIMESTRE]])</f>
        <v>10252</v>
      </c>
      <c r="I259" s="17">
        <v>59.97</v>
      </c>
      <c r="J259" s="17">
        <f>+Tabla1325[[#This Row],[CANTIDAD TOTAL]]*Tabla1325[[#This Row],[PRECIO UNITARIO ESTIMADO]]</f>
        <v>614812.43999999994</v>
      </c>
      <c r="K259" s="17"/>
      <c r="L259" s="16" t="s">
        <v>18</v>
      </c>
      <c r="M259" s="16" t="s">
        <v>22</v>
      </c>
      <c r="N259" s="39" t="s">
        <v>418</v>
      </c>
      <c r="Q259" s="19" t="s">
        <v>200</v>
      </c>
    </row>
    <row r="260" spans="1:17" s="12" customFormat="1">
      <c r="A260" s="15" t="s">
        <v>80</v>
      </c>
      <c r="B260" s="106" t="s">
        <v>658</v>
      </c>
      <c r="C260" s="39" t="s">
        <v>17</v>
      </c>
      <c r="D260" s="39">
        <v>2563</v>
      </c>
      <c r="E260" s="39">
        <v>2563</v>
      </c>
      <c r="F260" s="39">
        <v>2563</v>
      </c>
      <c r="G260" s="39">
        <v>2563</v>
      </c>
      <c r="H260" s="40">
        <f>SUM(Tabla1325[[#This Row],[PRIMER TRIMESTRE]:[CUARTO TRIMESTRE]])</f>
        <v>10252</v>
      </c>
      <c r="I260" s="17">
        <v>101.5</v>
      </c>
      <c r="J260" s="17">
        <f>+Tabla1325[[#This Row],[CANTIDAD TOTAL]]*Tabla1325[[#This Row],[PRECIO UNITARIO ESTIMADO]]</f>
        <v>1040578</v>
      </c>
      <c r="K260" s="17"/>
      <c r="L260" s="16" t="s">
        <v>18</v>
      </c>
      <c r="M260" s="16" t="s">
        <v>22</v>
      </c>
      <c r="N260" s="39" t="s">
        <v>418</v>
      </c>
      <c r="Q260" s="19" t="s">
        <v>201</v>
      </c>
    </row>
    <row r="261" spans="1:17" s="12" customFormat="1">
      <c r="A261" s="15" t="s">
        <v>80</v>
      </c>
      <c r="B261" s="75" t="s">
        <v>202</v>
      </c>
      <c r="C261" s="39" t="s">
        <v>17</v>
      </c>
      <c r="D261" s="39">
        <v>0</v>
      </c>
      <c r="E261" s="39">
        <v>0</v>
      </c>
      <c r="F261" s="39">
        <v>0</v>
      </c>
      <c r="G261" s="39">
        <v>0</v>
      </c>
      <c r="H261" s="40">
        <f>SUM(Tabla1325[[#This Row],[PRIMER TRIMESTRE]:[CUARTO TRIMESTRE]])</f>
        <v>0</v>
      </c>
      <c r="I261" s="17">
        <v>3364</v>
      </c>
      <c r="J261" s="17">
        <f>+Tabla1325[[#This Row],[CANTIDAD TOTAL]]*Tabla1325[[#This Row],[PRECIO UNITARIO ESTIMADO]]</f>
        <v>0</v>
      </c>
      <c r="K261" s="17"/>
      <c r="L261" s="16" t="s">
        <v>18</v>
      </c>
      <c r="M261" s="16" t="s">
        <v>22</v>
      </c>
      <c r="N261" s="39" t="s">
        <v>418</v>
      </c>
      <c r="Q261" s="19" t="s">
        <v>203</v>
      </c>
    </row>
    <row r="262" spans="1:17" s="12" customFormat="1">
      <c r="A262" s="15" t="s">
        <v>80</v>
      </c>
      <c r="B262" s="75" t="s">
        <v>776</v>
      </c>
      <c r="C262" s="39" t="s">
        <v>17</v>
      </c>
      <c r="D262" s="39">
        <v>0</v>
      </c>
      <c r="E262" s="39">
        <v>0</v>
      </c>
      <c r="F262" s="39">
        <v>0</v>
      </c>
      <c r="G262" s="39">
        <v>0</v>
      </c>
      <c r="H262" s="40">
        <f>SUM(Tabla1325[[#This Row],[PRIMER TRIMESTRE]:[CUARTO TRIMESTRE]])</f>
        <v>0</v>
      </c>
      <c r="I262" s="17">
        <v>32.479999999999997</v>
      </c>
      <c r="J262" s="17">
        <f>+Tabla1325[[#This Row],[CANTIDAD TOTAL]]*Tabla1325[[#This Row],[PRECIO UNITARIO ESTIMADO]]</f>
        <v>0</v>
      </c>
      <c r="K262" s="17"/>
      <c r="L262" s="16" t="s">
        <v>15</v>
      </c>
      <c r="M262" s="16" t="s">
        <v>22</v>
      </c>
      <c r="N262" s="39" t="s">
        <v>418</v>
      </c>
      <c r="Q262" s="19" t="s">
        <v>204</v>
      </c>
    </row>
    <row r="263" spans="1:17" s="12" customFormat="1">
      <c r="A263" s="15" t="s">
        <v>80</v>
      </c>
      <c r="B263" s="75" t="s">
        <v>205</v>
      </c>
      <c r="C263" s="39" t="s">
        <v>17</v>
      </c>
      <c r="D263" s="39">
        <v>0</v>
      </c>
      <c r="E263" s="39">
        <v>0</v>
      </c>
      <c r="F263" s="39">
        <v>0</v>
      </c>
      <c r="G263" s="39">
        <v>0</v>
      </c>
      <c r="H263" s="40">
        <f>SUM(Tabla1325[[#This Row],[PRIMER TRIMESTRE]:[CUARTO TRIMESTRE]])</f>
        <v>0</v>
      </c>
      <c r="I263" s="17">
        <v>2.3199999999999998</v>
      </c>
      <c r="J263" s="17">
        <f>+Tabla1325[[#This Row],[CANTIDAD TOTAL]]*Tabla1325[[#This Row],[PRECIO UNITARIO ESTIMADO]]</f>
        <v>0</v>
      </c>
      <c r="K263" s="17"/>
      <c r="L263" s="16" t="s">
        <v>18</v>
      </c>
      <c r="M263" s="16" t="s">
        <v>22</v>
      </c>
      <c r="N263" s="39" t="s">
        <v>418</v>
      </c>
    </row>
    <row r="264" spans="1:17" s="12" customFormat="1">
      <c r="A264" s="15" t="s">
        <v>80</v>
      </c>
      <c r="B264" s="75" t="s">
        <v>206</v>
      </c>
      <c r="C264" s="39" t="s">
        <v>17</v>
      </c>
      <c r="D264" s="39">
        <v>0</v>
      </c>
      <c r="E264" s="39">
        <v>0</v>
      </c>
      <c r="F264" s="39">
        <v>0</v>
      </c>
      <c r="G264" s="39">
        <v>0</v>
      </c>
      <c r="H264" s="40">
        <f>SUM(Tabla1325[[#This Row],[PRIMER TRIMESTRE]:[CUARTO TRIMESTRE]])</f>
        <v>0</v>
      </c>
      <c r="I264" s="17">
        <v>3.48</v>
      </c>
      <c r="J264" s="17">
        <f>+Tabla1325[[#This Row],[CANTIDAD TOTAL]]*Tabla1325[[#This Row],[PRECIO UNITARIO ESTIMADO]]</f>
        <v>0</v>
      </c>
      <c r="K264" s="17"/>
      <c r="L264" s="16" t="s">
        <v>18</v>
      </c>
      <c r="M264" s="16" t="s">
        <v>22</v>
      </c>
      <c r="N264" s="39" t="s">
        <v>418</v>
      </c>
    </row>
    <row r="265" spans="1:17" s="12" customFormat="1">
      <c r="A265" s="15" t="s">
        <v>80</v>
      </c>
      <c r="B265" s="75" t="s">
        <v>638</v>
      </c>
      <c r="C265" s="39" t="s">
        <v>17</v>
      </c>
      <c r="D265" s="39">
        <v>0</v>
      </c>
      <c r="E265" s="39">
        <v>0</v>
      </c>
      <c r="F265" s="39">
        <v>0</v>
      </c>
      <c r="G265" s="39">
        <v>0</v>
      </c>
      <c r="H265" s="40">
        <f>SUM(Tabla1325[[#This Row],[PRIMER TRIMESTRE]:[CUARTO TRIMESTRE]])</f>
        <v>0</v>
      </c>
      <c r="I265" s="72">
        <v>7.28</v>
      </c>
      <c r="J265" s="17">
        <f t="shared" ref="J265:J328" si="7">+H265*I265</f>
        <v>0</v>
      </c>
      <c r="K265" s="17"/>
      <c r="L265" s="16" t="s">
        <v>18</v>
      </c>
      <c r="M265" s="16" t="s">
        <v>22</v>
      </c>
      <c r="N265" s="39"/>
    </row>
    <row r="266" spans="1:17" s="12" customFormat="1">
      <c r="A266" s="15" t="s">
        <v>80</v>
      </c>
      <c r="B266" s="75" t="s">
        <v>639</v>
      </c>
      <c r="C266" s="39" t="s">
        <v>17</v>
      </c>
      <c r="D266" s="39">
        <v>0</v>
      </c>
      <c r="E266" s="39">
        <v>0</v>
      </c>
      <c r="F266" s="39">
        <v>0</v>
      </c>
      <c r="G266" s="39">
        <v>0</v>
      </c>
      <c r="H266" s="40">
        <f>SUM(Tabla1325[[#This Row],[PRIMER TRIMESTRE]:[CUARTO TRIMESTRE]])</f>
        <v>0</v>
      </c>
      <c r="I266" s="72">
        <v>11.82</v>
      </c>
      <c r="J266" s="17">
        <f t="shared" si="7"/>
        <v>0</v>
      </c>
      <c r="K266" s="17"/>
      <c r="L266" s="16" t="s">
        <v>18</v>
      </c>
      <c r="M266" s="16" t="s">
        <v>22</v>
      </c>
      <c r="N266" s="39"/>
    </row>
    <row r="267" spans="1:17" s="12" customFormat="1">
      <c r="A267" s="15" t="s">
        <v>80</v>
      </c>
      <c r="B267" s="75" t="s">
        <v>642</v>
      </c>
      <c r="C267" s="39" t="s">
        <v>17</v>
      </c>
      <c r="D267" s="39">
        <v>0</v>
      </c>
      <c r="E267" s="39">
        <v>0</v>
      </c>
      <c r="F267" s="39">
        <v>0</v>
      </c>
      <c r="G267" s="39">
        <v>0</v>
      </c>
      <c r="H267" s="40">
        <f>SUM(Tabla1325[[#This Row],[PRIMER TRIMESTRE]:[CUARTO TRIMESTRE]])</f>
        <v>0</v>
      </c>
      <c r="I267" s="72">
        <v>22.74</v>
      </c>
      <c r="J267" s="17">
        <f t="shared" si="7"/>
        <v>0</v>
      </c>
      <c r="K267" s="17"/>
      <c r="L267" s="16" t="s">
        <v>18</v>
      </c>
      <c r="M267" s="16" t="s">
        <v>22</v>
      </c>
      <c r="N267" s="39"/>
    </row>
    <row r="268" spans="1:17" s="12" customFormat="1">
      <c r="A268" s="15" t="s">
        <v>80</v>
      </c>
      <c r="B268" s="75" t="s">
        <v>643</v>
      </c>
      <c r="C268" s="39" t="s">
        <v>17</v>
      </c>
      <c r="D268" s="39">
        <v>0</v>
      </c>
      <c r="E268" s="39">
        <v>0</v>
      </c>
      <c r="F268" s="39">
        <v>0</v>
      </c>
      <c r="G268" s="39">
        <v>0</v>
      </c>
      <c r="H268" s="40">
        <f>SUM(Tabla1325[[#This Row],[PRIMER TRIMESTRE]:[CUARTO TRIMESTRE]])</f>
        <v>0</v>
      </c>
      <c r="I268" s="72">
        <v>53.66</v>
      </c>
      <c r="J268" s="17">
        <f t="shared" si="7"/>
        <v>0</v>
      </c>
      <c r="K268" s="17"/>
      <c r="L268" s="16" t="s">
        <v>18</v>
      </c>
      <c r="M268" s="16" t="s">
        <v>22</v>
      </c>
      <c r="N268" s="39"/>
    </row>
    <row r="269" spans="1:17" s="12" customFormat="1">
      <c r="A269" s="15" t="s">
        <v>80</v>
      </c>
      <c r="B269" s="75" t="s">
        <v>640</v>
      </c>
      <c r="C269" s="39" t="s">
        <v>17</v>
      </c>
      <c r="D269" s="39">
        <v>0</v>
      </c>
      <c r="E269" s="39">
        <v>0</v>
      </c>
      <c r="F269" s="39">
        <v>0</v>
      </c>
      <c r="G269" s="39">
        <v>0</v>
      </c>
      <c r="H269" s="40">
        <f>SUM(Tabla1325[[#This Row],[PRIMER TRIMESTRE]:[CUARTO TRIMESTRE]])</f>
        <v>0</v>
      </c>
      <c r="I269" s="72">
        <v>90</v>
      </c>
      <c r="J269" s="17">
        <f t="shared" si="7"/>
        <v>0</v>
      </c>
      <c r="K269" s="17"/>
      <c r="L269" s="16" t="s">
        <v>18</v>
      </c>
      <c r="M269" s="16" t="s">
        <v>22</v>
      </c>
      <c r="N269" s="39"/>
    </row>
    <row r="270" spans="1:17" s="12" customFormat="1">
      <c r="A270" s="15" t="s">
        <v>80</v>
      </c>
      <c r="B270" s="75" t="s">
        <v>641</v>
      </c>
      <c r="C270" s="39" t="s">
        <v>17</v>
      </c>
      <c r="D270" s="39">
        <v>0</v>
      </c>
      <c r="E270" s="39">
        <v>0</v>
      </c>
      <c r="F270" s="39">
        <v>0</v>
      </c>
      <c r="G270" s="39">
        <v>0</v>
      </c>
      <c r="H270" s="40">
        <f>SUM(Tabla1325[[#This Row],[PRIMER TRIMESTRE]:[CUARTO TRIMESTRE]])</f>
        <v>0</v>
      </c>
      <c r="I270" s="72">
        <v>1799.03</v>
      </c>
      <c r="J270" s="17">
        <f t="shared" si="7"/>
        <v>0</v>
      </c>
      <c r="K270" s="17"/>
      <c r="L270" s="16" t="s">
        <v>18</v>
      </c>
      <c r="M270" s="16" t="s">
        <v>22</v>
      </c>
      <c r="N270" s="39"/>
    </row>
    <row r="271" spans="1:17" s="12" customFormat="1">
      <c r="A271" s="15" t="s">
        <v>80</v>
      </c>
      <c r="B271" s="75" t="s">
        <v>607</v>
      </c>
      <c r="C271" s="39" t="s">
        <v>17</v>
      </c>
      <c r="D271" s="39">
        <v>0</v>
      </c>
      <c r="E271" s="39">
        <v>0</v>
      </c>
      <c r="F271" s="39">
        <v>0</v>
      </c>
      <c r="G271" s="39">
        <v>0</v>
      </c>
      <c r="H271" s="40">
        <f>SUM(Tabla1325[[#This Row],[PRIMER TRIMESTRE]:[CUARTO TRIMESTRE]])</f>
        <v>0</v>
      </c>
      <c r="I271" s="17">
        <v>3068</v>
      </c>
      <c r="J271" s="17">
        <f t="shared" si="7"/>
        <v>0</v>
      </c>
      <c r="K271" s="17"/>
      <c r="L271" s="16" t="s">
        <v>18</v>
      </c>
      <c r="M271" s="16" t="s">
        <v>22</v>
      </c>
      <c r="N271" s="39"/>
    </row>
    <row r="272" spans="1:17" s="12" customFormat="1">
      <c r="A272" s="15" t="s">
        <v>80</v>
      </c>
      <c r="B272" s="75" t="s">
        <v>608</v>
      </c>
      <c r="C272" s="39" t="s">
        <v>17</v>
      </c>
      <c r="D272" s="39">
        <v>0</v>
      </c>
      <c r="E272" s="39">
        <v>0</v>
      </c>
      <c r="F272" s="39">
        <v>0</v>
      </c>
      <c r="G272" s="39">
        <v>0</v>
      </c>
      <c r="H272" s="40">
        <f>SUM(Tabla1325[[#This Row],[PRIMER TRIMESTRE]:[CUARTO TRIMESTRE]])</f>
        <v>0</v>
      </c>
      <c r="I272" s="17">
        <v>4425</v>
      </c>
      <c r="J272" s="17">
        <f t="shared" si="7"/>
        <v>0</v>
      </c>
      <c r="K272" s="17"/>
      <c r="L272" s="16" t="s">
        <v>18</v>
      </c>
      <c r="M272" s="16" t="s">
        <v>22</v>
      </c>
      <c r="N272" s="39"/>
    </row>
    <row r="273" spans="1:14" s="12" customFormat="1">
      <c r="A273" s="15" t="s">
        <v>80</v>
      </c>
      <c r="B273" s="75" t="s">
        <v>609</v>
      </c>
      <c r="C273" s="39" t="s">
        <v>17</v>
      </c>
      <c r="D273" s="39">
        <v>0</v>
      </c>
      <c r="E273" s="39">
        <v>0</v>
      </c>
      <c r="F273" s="39">
        <v>0</v>
      </c>
      <c r="G273" s="39">
        <v>0</v>
      </c>
      <c r="H273" s="40">
        <f>SUM(Tabla1325[[#This Row],[PRIMER TRIMESTRE]:[CUARTO TRIMESTRE]])</f>
        <v>0</v>
      </c>
      <c r="I273" s="17">
        <v>5074</v>
      </c>
      <c r="J273" s="17">
        <f t="shared" si="7"/>
        <v>0</v>
      </c>
      <c r="K273" s="17"/>
      <c r="L273" s="16" t="s">
        <v>18</v>
      </c>
      <c r="M273" s="16" t="s">
        <v>22</v>
      </c>
      <c r="N273" s="39"/>
    </row>
    <row r="274" spans="1:14" s="12" customFormat="1">
      <c r="A274" s="15" t="s">
        <v>80</v>
      </c>
      <c r="B274" s="75" t="s">
        <v>610</v>
      </c>
      <c r="C274" s="39" t="s">
        <v>17</v>
      </c>
      <c r="D274" s="39">
        <v>0</v>
      </c>
      <c r="E274" s="39">
        <v>0</v>
      </c>
      <c r="F274" s="39">
        <v>0</v>
      </c>
      <c r="G274" s="39">
        <v>0</v>
      </c>
      <c r="H274" s="40">
        <f>SUM(Tabla1325[[#This Row],[PRIMER TRIMESTRE]:[CUARTO TRIMESTRE]])</f>
        <v>0</v>
      </c>
      <c r="I274" s="17">
        <v>6431</v>
      </c>
      <c r="J274" s="17">
        <f t="shared" si="7"/>
        <v>0</v>
      </c>
      <c r="K274" s="17"/>
      <c r="L274" s="16" t="s">
        <v>18</v>
      </c>
      <c r="M274" s="16" t="s">
        <v>22</v>
      </c>
      <c r="N274" s="39"/>
    </row>
    <row r="275" spans="1:14" s="12" customFormat="1">
      <c r="A275" s="15" t="s">
        <v>80</v>
      </c>
      <c r="B275" s="75" t="s">
        <v>611</v>
      </c>
      <c r="C275" s="39" t="s">
        <v>17</v>
      </c>
      <c r="D275" s="39">
        <v>0</v>
      </c>
      <c r="E275" s="39">
        <v>0</v>
      </c>
      <c r="F275" s="39">
        <v>0</v>
      </c>
      <c r="G275" s="39">
        <v>0</v>
      </c>
      <c r="H275" s="40">
        <f>SUM(Tabla1325[[#This Row],[PRIMER TRIMESTRE]:[CUARTO TRIMESTRE]])</f>
        <v>0</v>
      </c>
      <c r="I275" s="17">
        <v>7943</v>
      </c>
      <c r="J275" s="17">
        <f t="shared" si="7"/>
        <v>0</v>
      </c>
      <c r="K275" s="17"/>
      <c r="L275" s="16" t="s">
        <v>18</v>
      </c>
      <c r="M275" s="16" t="s">
        <v>22</v>
      </c>
      <c r="N275" s="39"/>
    </row>
    <row r="276" spans="1:14" s="12" customFormat="1">
      <c r="A276" s="15" t="s">
        <v>80</v>
      </c>
      <c r="B276" s="75" t="s">
        <v>612</v>
      </c>
      <c r="C276" s="39" t="s">
        <v>17</v>
      </c>
      <c r="D276" s="39">
        <v>0</v>
      </c>
      <c r="E276" s="39">
        <v>0</v>
      </c>
      <c r="F276" s="39">
        <v>0</v>
      </c>
      <c r="G276" s="39">
        <v>0</v>
      </c>
      <c r="H276" s="40">
        <f>SUM(Tabla1325[[#This Row],[PRIMER TRIMESTRE]:[CUARTO TRIMESTRE]])</f>
        <v>0</v>
      </c>
      <c r="I276" s="17">
        <v>9145</v>
      </c>
      <c r="J276" s="17">
        <f t="shared" si="7"/>
        <v>0</v>
      </c>
      <c r="K276" s="17"/>
      <c r="L276" s="16" t="s">
        <v>18</v>
      </c>
      <c r="M276" s="16" t="s">
        <v>22</v>
      </c>
      <c r="N276" s="39"/>
    </row>
    <row r="277" spans="1:14" s="12" customFormat="1">
      <c r="A277" s="15" t="s">
        <v>80</v>
      </c>
      <c r="B277" s="75" t="s">
        <v>613</v>
      </c>
      <c r="C277" s="39" t="s">
        <v>17</v>
      </c>
      <c r="D277" s="39">
        <v>0</v>
      </c>
      <c r="E277" s="39">
        <v>0</v>
      </c>
      <c r="F277" s="39">
        <v>0</v>
      </c>
      <c r="G277" s="39">
        <v>0</v>
      </c>
      <c r="H277" s="40">
        <f>SUM(Tabla1325[[#This Row],[PRIMER TRIMESTRE]:[CUARTO TRIMESTRE]])</f>
        <v>0</v>
      </c>
      <c r="I277" s="17">
        <v>10502</v>
      </c>
      <c r="J277" s="17">
        <f t="shared" si="7"/>
        <v>0</v>
      </c>
      <c r="K277" s="17"/>
      <c r="L277" s="16" t="s">
        <v>18</v>
      </c>
      <c r="M277" s="16" t="s">
        <v>22</v>
      </c>
      <c r="N277" s="39"/>
    </row>
    <row r="278" spans="1:14" s="12" customFormat="1">
      <c r="A278" s="15" t="s">
        <v>80</v>
      </c>
      <c r="B278" s="75" t="s">
        <v>614</v>
      </c>
      <c r="C278" s="39" t="s">
        <v>17</v>
      </c>
      <c r="D278" s="39">
        <v>0</v>
      </c>
      <c r="E278" s="39">
        <v>0</v>
      </c>
      <c r="F278" s="39">
        <v>0</v>
      </c>
      <c r="G278" s="39">
        <v>0</v>
      </c>
      <c r="H278" s="40">
        <f>SUM(Tabla1325[[#This Row],[PRIMER TRIMESTRE]:[CUARTO TRIMESTRE]])</f>
        <v>0</v>
      </c>
      <c r="I278" s="17">
        <v>11564</v>
      </c>
      <c r="J278" s="17">
        <f t="shared" si="7"/>
        <v>0</v>
      </c>
      <c r="K278" s="17"/>
      <c r="L278" s="16" t="s">
        <v>18</v>
      </c>
      <c r="M278" s="16" t="s">
        <v>22</v>
      </c>
      <c r="N278" s="39"/>
    </row>
    <row r="279" spans="1:14" s="12" customFormat="1">
      <c r="A279" s="15" t="s">
        <v>80</v>
      </c>
      <c r="B279" s="75" t="s">
        <v>615</v>
      </c>
      <c r="C279" s="39" t="s">
        <v>17</v>
      </c>
      <c r="D279" s="39">
        <v>0</v>
      </c>
      <c r="E279" s="39">
        <v>0</v>
      </c>
      <c r="F279" s="39">
        <v>0</v>
      </c>
      <c r="G279" s="39">
        <v>0</v>
      </c>
      <c r="H279" s="40">
        <f>SUM(Tabla1325[[#This Row],[PRIMER TRIMESTRE]:[CUARTO TRIMESTRE]])</f>
        <v>0</v>
      </c>
      <c r="I279" s="17">
        <v>13747</v>
      </c>
      <c r="J279" s="17">
        <f t="shared" si="7"/>
        <v>0</v>
      </c>
      <c r="K279" s="17"/>
      <c r="L279" s="16" t="s">
        <v>18</v>
      </c>
      <c r="M279" s="16" t="s">
        <v>22</v>
      </c>
      <c r="N279" s="39"/>
    </row>
    <row r="280" spans="1:14" s="12" customFormat="1">
      <c r="A280" s="15" t="s">
        <v>80</v>
      </c>
      <c r="B280" s="75" t="s">
        <v>702</v>
      </c>
      <c r="C280" s="39" t="s">
        <v>17</v>
      </c>
      <c r="D280" s="39">
        <v>0</v>
      </c>
      <c r="E280" s="39">
        <v>0</v>
      </c>
      <c r="F280" s="39">
        <v>0</v>
      </c>
      <c r="G280" s="39">
        <v>0</v>
      </c>
      <c r="H280" s="40">
        <f>SUM(Tabla1325[[#This Row],[PRIMER TRIMESTRE]:[CUARTO TRIMESTRE]])</f>
        <v>0</v>
      </c>
      <c r="I280" s="17">
        <v>1052.51</v>
      </c>
      <c r="J280" s="17">
        <f t="shared" si="7"/>
        <v>0</v>
      </c>
      <c r="K280" s="17"/>
      <c r="L280" s="16" t="s">
        <v>27</v>
      </c>
      <c r="M280" s="16" t="s">
        <v>22</v>
      </c>
      <c r="N280" s="39"/>
    </row>
    <row r="281" spans="1:14" s="12" customFormat="1">
      <c r="A281" s="15" t="s">
        <v>80</v>
      </c>
      <c r="B281" s="75" t="s">
        <v>370</v>
      </c>
      <c r="C281" s="39" t="s">
        <v>17</v>
      </c>
      <c r="D281" s="39">
        <v>0</v>
      </c>
      <c r="E281" s="39">
        <v>0</v>
      </c>
      <c r="F281" s="39">
        <v>0</v>
      </c>
      <c r="G281" s="39">
        <v>0</v>
      </c>
      <c r="H281" s="40">
        <f>SUM(Tabla1325[[#This Row],[PRIMER TRIMESTRE]:[CUARTO TRIMESTRE]])</f>
        <v>0</v>
      </c>
      <c r="I281" s="17">
        <v>3302.0937420000005</v>
      </c>
      <c r="J281" s="17">
        <f t="shared" si="7"/>
        <v>0</v>
      </c>
      <c r="K281" s="17"/>
      <c r="L281" s="16" t="s">
        <v>27</v>
      </c>
      <c r="M281" s="16" t="s">
        <v>22</v>
      </c>
      <c r="N281" s="39"/>
    </row>
    <row r="282" spans="1:14" s="12" customFormat="1">
      <c r="A282" s="15" t="s">
        <v>80</v>
      </c>
      <c r="B282" s="75" t="s">
        <v>371</v>
      </c>
      <c r="C282" s="39" t="s">
        <v>17</v>
      </c>
      <c r="D282" s="39">
        <v>0</v>
      </c>
      <c r="E282" s="39">
        <v>0</v>
      </c>
      <c r="F282" s="39">
        <v>0</v>
      </c>
      <c r="G282" s="39">
        <v>0</v>
      </c>
      <c r="H282" s="40">
        <f>SUM(Tabla1325[[#This Row],[PRIMER TRIMESTRE]:[CUARTO TRIMESTRE]])</f>
        <v>0</v>
      </c>
      <c r="I282" s="17">
        <v>5605.3296870000004</v>
      </c>
      <c r="J282" s="17">
        <f t="shared" si="7"/>
        <v>0</v>
      </c>
      <c r="K282" s="17"/>
      <c r="L282" s="16" t="s">
        <v>27</v>
      </c>
      <c r="M282" s="16" t="s">
        <v>22</v>
      </c>
      <c r="N282" s="39"/>
    </row>
    <row r="283" spans="1:14" s="12" customFormat="1">
      <c r="A283" s="15" t="s">
        <v>80</v>
      </c>
      <c r="B283" s="75" t="s">
        <v>799</v>
      </c>
      <c r="C283" s="39" t="s">
        <v>17</v>
      </c>
      <c r="D283" s="39">
        <v>0</v>
      </c>
      <c r="E283" s="39">
        <v>0</v>
      </c>
      <c r="F283" s="39">
        <v>0</v>
      </c>
      <c r="G283" s="39">
        <v>0</v>
      </c>
      <c r="H283" s="40">
        <f>SUM(Tabla1325[[#This Row],[PRIMER TRIMESTRE]:[CUARTO TRIMESTRE]])</f>
        <v>0</v>
      </c>
      <c r="I283" s="17">
        <v>12700</v>
      </c>
      <c r="J283" s="17">
        <f>+H283*I283</f>
        <v>0</v>
      </c>
      <c r="K283" s="17"/>
      <c r="L283" s="16" t="s">
        <v>27</v>
      </c>
      <c r="M283" s="16"/>
      <c r="N283" s="39"/>
    </row>
    <row r="284" spans="1:14" s="12" customFormat="1">
      <c r="A284" s="15" t="s">
        <v>80</v>
      </c>
      <c r="B284" s="75" t="s">
        <v>372</v>
      </c>
      <c r="C284" s="39" t="s">
        <v>17</v>
      </c>
      <c r="D284" s="39">
        <v>0</v>
      </c>
      <c r="E284" s="39">
        <v>0</v>
      </c>
      <c r="F284" s="39">
        <v>0</v>
      </c>
      <c r="G284" s="39">
        <v>0</v>
      </c>
      <c r="H284" s="40">
        <f>SUM(Tabla1325[[#This Row],[PRIMER TRIMESTRE]:[CUARTO TRIMESTRE]])</f>
        <v>0</v>
      </c>
      <c r="I284" s="17">
        <v>256.14999999999998</v>
      </c>
      <c r="J284" s="17">
        <f t="shared" si="7"/>
        <v>0</v>
      </c>
      <c r="K284" s="17"/>
      <c r="L284" s="16" t="s">
        <v>27</v>
      </c>
      <c r="M284" s="16" t="s">
        <v>22</v>
      </c>
      <c r="N284" s="39"/>
    </row>
    <row r="285" spans="1:14" s="12" customFormat="1">
      <c r="A285" s="15" t="s">
        <v>80</v>
      </c>
      <c r="B285" s="75" t="s">
        <v>373</v>
      </c>
      <c r="C285" s="39" t="s">
        <v>17</v>
      </c>
      <c r="D285" s="39">
        <v>0</v>
      </c>
      <c r="E285" s="39">
        <v>0</v>
      </c>
      <c r="F285" s="39">
        <v>0</v>
      </c>
      <c r="G285" s="39">
        <v>0</v>
      </c>
      <c r="H285" s="40">
        <f>SUM(Tabla1325[[#This Row],[PRIMER TRIMESTRE]:[CUARTO TRIMESTRE]])</f>
        <v>0</v>
      </c>
      <c r="I285" s="17">
        <v>260.58531900000003</v>
      </c>
      <c r="J285" s="17">
        <f t="shared" si="7"/>
        <v>0</v>
      </c>
      <c r="K285" s="17"/>
      <c r="L285" s="16" t="s">
        <v>27</v>
      </c>
      <c r="M285" s="16" t="s">
        <v>22</v>
      </c>
      <c r="N285" s="39"/>
    </row>
    <row r="286" spans="1:14" s="12" customFormat="1">
      <c r="A286" s="15" t="s">
        <v>80</v>
      </c>
      <c r="B286" s="75" t="s">
        <v>374</v>
      </c>
      <c r="C286" s="39" t="s">
        <v>17</v>
      </c>
      <c r="D286" s="39">
        <v>0</v>
      </c>
      <c r="E286" s="39">
        <v>0</v>
      </c>
      <c r="F286" s="39">
        <v>0</v>
      </c>
      <c r="G286" s="39">
        <v>0</v>
      </c>
      <c r="H286" s="40">
        <f>SUM(Tabla1325[[#This Row],[PRIMER TRIMESTRE]:[CUARTO TRIMESTRE]])</f>
        <v>0</v>
      </c>
      <c r="I286" s="17">
        <v>383.08377000000007</v>
      </c>
      <c r="J286" s="17">
        <f t="shared" si="7"/>
        <v>0</v>
      </c>
      <c r="K286" s="17"/>
      <c r="L286" s="16" t="s">
        <v>27</v>
      </c>
      <c r="M286" s="16" t="s">
        <v>22</v>
      </c>
      <c r="N286" s="39"/>
    </row>
    <row r="287" spans="1:14" s="12" customFormat="1">
      <c r="A287" s="15" t="s">
        <v>80</v>
      </c>
      <c r="B287" s="75" t="s">
        <v>375</v>
      </c>
      <c r="C287" s="39" t="s">
        <v>17</v>
      </c>
      <c r="D287" s="39">
        <v>0</v>
      </c>
      <c r="E287" s="39">
        <v>0</v>
      </c>
      <c r="F287" s="39">
        <v>0</v>
      </c>
      <c r="G287" s="39">
        <v>0</v>
      </c>
      <c r="H287" s="40">
        <f>SUM(Tabla1325[[#This Row],[PRIMER TRIMESTRE]:[CUARTO TRIMESTRE]])</f>
        <v>0</v>
      </c>
      <c r="I287" s="17">
        <v>450</v>
      </c>
      <c r="J287" s="17">
        <f t="shared" si="7"/>
        <v>0</v>
      </c>
      <c r="K287" s="17"/>
      <c r="L287" s="16" t="s">
        <v>27</v>
      </c>
      <c r="M287" s="16" t="s">
        <v>22</v>
      </c>
      <c r="N287" s="39"/>
    </row>
    <row r="288" spans="1:14" s="12" customFormat="1">
      <c r="A288" s="15" t="s">
        <v>80</v>
      </c>
      <c r="B288" s="75" t="s">
        <v>376</v>
      </c>
      <c r="C288" s="39" t="s">
        <v>17</v>
      </c>
      <c r="D288" s="39">
        <v>0</v>
      </c>
      <c r="E288" s="39">
        <v>0</v>
      </c>
      <c r="F288" s="39">
        <v>0</v>
      </c>
      <c r="G288" s="39">
        <v>0</v>
      </c>
      <c r="H288" s="40">
        <f>SUM(Tabla1325[[#This Row],[PRIMER TRIMESTRE]:[CUARTO TRIMESTRE]])</f>
        <v>0</v>
      </c>
      <c r="I288" s="17">
        <v>667.77</v>
      </c>
      <c r="J288" s="17">
        <f t="shared" si="7"/>
        <v>0</v>
      </c>
      <c r="K288" s="17"/>
      <c r="L288" s="16" t="s">
        <v>27</v>
      </c>
      <c r="M288" s="16" t="s">
        <v>22</v>
      </c>
      <c r="N288" s="39"/>
    </row>
    <row r="289" spans="1:14" s="12" customFormat="1">
      <c r="A289" s="15" t="s">
        <v>80</v>
      </c>
      <c r="B289" s="75" t="s">
        <v>377</v>
      </c>
      <c r="C289" s="39" t="s">
        <v>17</v>
      </c>
      <c r="D289" s="39">
        <v>0</v>
      </c>
      <c r="E289" s="39">
        <v>0</v>
      </c>
      <c r="F289" s="39">
        <v>0</v>
      </c>
      <c r="G289" s="39">
        <v>0</v>
      </c>
      <c r="H289" s="40">
        <f>SUM(Tabla1325[[#This Row],[PRIMER TRIMESTRE]:[CUARTO TRIMESTRE]])</f>
        <v>0</v>
      </c>
      <c r="I289" s="17">
        <v>160.61749500000002</v>
      </c>
      <c r="J289" s="17">
        <f t="shared" si="7"/>
        <v>0</v>
      </c>
      <c r="K289" s="17"/>
      <c r="L289" s="16" t="s">
        <v>27</v>
      </c>
      <c r="M289" s="16" t="s">
        <v>22</v>
      </c>
      <c r="N289" s="39"/>
    </row>
    <row r="290" spans="1:14" s="12" customFormat="1">
      <c r="A290" s="15" t="s">
        <v>80</v>
      </c>
      <c r="B290" s="75" t="s">
        <v>378</v>
      </c>
      <c r="C290" s="39" t="s">
        <v>17</v>
      </c>
      <c r="D290" s="39">
        <v>0</v>
      </c>
      <c r="E290" s="39">
        <v>0</v>
      </c>
      <c r="F290" s="39">
        <v>0</v>
      </c>
      <c r="G290" s="39">
        <v>0</v>
      </c>
      <c r="H290" s="40">
        <f>SUM(Tabla1325[[#This Row],[PRIMER TRIMESTRE]:[CUARTO TRIMESTRE]])</f>
        <v>0</v>
      </c>
      <c r="I290" s="17">
        <v>631.80422099999998</v>
      </c>
      <c r="J290" s="17">
        <f t="shared" si="7"/>
        <v>0</v>
      </c>
      <c r="K290" s="17"/>
      <c r="L290" s="16" t="s">
        <v>27</v>
      </c>
      <c r="M290" s="16" t="s">
        <v>22</v>
      </c>
      <c r="N290" s="39"/>
    </row>
    <row r="291" spans="1:14" s="12" customFormat="1">
      <c r="A291" s="15" t="s">
        <v>80</v>
      </c>
      <c r="B291" s="75" t="s">
        <v>379</v>
      </c>
      <c r="C291" s="39" t="s">
        <v>17</v>
      </c>
      <c r="D291" s="39">
        <v>0</v>
      </c>
      <c r="E291" s="39">
        <v>0</v>
      </c>
      <c r="F291" s="39">
        <v>0</v>
      </c>
      <c r="G291" s="39">
        <v>0</v>
      </c>
      <c r="H291" s="40">
        <f>SUM(Tabla1325[[#This Row],[PRIMER TRIMESTRE]:[CUARTO TRIMESTRE]])</f>
        <v>0</v>
      </c>
      <c r="I291" s="17">
        <v>1565.22</v>
      </c>
      <c r="J291" s="17">
        <f t="shared" si="7"/>
        <v>0</v>
      </c>
      <c r="K291" s="17"/>
      <c r="L291" s="16" t="s">
        <v>27</v>
      </c>
      <c r="M291" s="16" t="s">
        <v>22</v>
      </c>
      <c r="N291" s="39"/>
    </row>
    <row r="292" spans="1:14" s="12" customFormat="1">
      <c r="A292" s="15" t="s">
        <v>80</v>
      </c>
      <c r="B292" s="75" t="s">
        <v>380</v>
      </c>
      <c r="C292" s="39" t="s">
        <v>17</v>
      </c>
      <c r="D292" s="39">
        <v>0</v>
      </c>
      <c r="E292" s="39">
        <v>0</v>
      </c>
      <c r="F292" s="39">
        <v>0</v>
      </c>
      <c r="G292" s="39">
        <v>0</v>
      </c>
      <c r="H292" s="40">
        <f>SUM(Tabla1325[[#This Row],[PRIMER TRIMESTRE]:[CUARTO TRIMESTRE]])</f>
        <v>0</v>
      </c>
      <c r="I292" s="17">
        <v>2310.9299999999998</v>
      </c>
      <c r="J292" s="17">
        <f t="shared" si="7"/>
        <v>0</v>
      </c>
      <c r="K292" s="17"/>
      <c r="L292" s="16" t="s">
        <v>27</v>
      </c>
      <c r="M292" s="16" t="s">
        <v>22</v>
      </c>
      <c r="N292" s="39"/>
    </row>
    <row r="293" spans="1:14" s="12" customFormat="1">
      <c r="A293" s="15" t="s">
        <v>80</v>
      </c>
      <c r="B293" s="75" t="s">
        <v>381</v>
      </c>
      <c r="C293" s="39" t="s">
        <v>17</v>
      </c>
      <c r="D293" s="39">
        <v>0</v>
      </c>
      <c r="E293" s="39">
        <v>0</v>
      </c>
      <c r="F293" s="39">
        <v>0</v>
      </c>
      <c r="G293" s="39">
        <v>0</v>
      </c>
      <c r="H293" s="40">
        <f>SUM(Tabla1325[[#This Row],[PRIMER TRIMESTRE]:[CUARTO TRIMESTRE]])</f>
        <v>0</v>
      </c>
      <c r="I293" s="17">
        <v>4630.1499999999996</v>
      </c>
      <c r="J293" s="17">
        <f t="shared" si="7"/>
        <v>0</v>
      </c>
      <c r="K293" s="17"/>
      <c r="L293" s="16" t="s">
        <v>27</v>
      </c>
      <c r="M293" s="16" t="s">
        <v>22</v>
      </c>
      <c r="N293" s="39"/>
    </row>
    <row r="294" spans="1:14" s="12" customFormat="1">
      <c r="A294" s="15" t="s">
        <v>80</v>
      </c>
      <c r="B294" s="75" t="s">
        <v>382</v>
      </c>
      <c r="C294" s="39" t="s">
        <v>17</v>
      </c>
      <c r="D294" s="39">
        <v>0</v>
      </c>
      <c r="E294" s="39">
        <v>0</v>
      </c>
      <c r="F294" s="39">
        <v>0</v>
      </c>
      <c r="G294" s="39">
        <v>0</v>
      </c>
      <c r="H294" s="40">
        <f>SUM(Tabla1325[[#This Row],[PRIMER TRIMESTRE]:[CUARTO TRIMESTRE]])</f>
        <v>0</v>
      </c>
      <c r="I294" s="17">
        <v>6410</v>
      </c>
      <c r="J294" s="17">
        <f t="shared" si="7"/>
        <v>0</v>
      </c>
      <c r="K294" s="17"/>
      <c r="L294" s="16" t="s">
        <v>27</v>
      </c>
      <c r="M294" s="16" t="s">
        <v>22</v>
      </c>
      <c r="N294" s="39"/>
    </row>
    <row r="295" spans="1:14" s="12" customFormat="1">
      <c r="A295" s="15" t="s">
        <v>80</v>
      </c>
      <c r="B295" s="75" t="s">
        <v>383</v>
      </c>
      <c r="C295" s="39" t="s">
        <v>17</v>
      </c>
      <c r="D295" s="39">
        <v>0</v>
      </c>
      <c r="E295" s="39">
        <v>0</v>
      </c>
      <c r="F295" s="39">
        <v>0</v>
      </c>
      <c r="G295" s="39">
        <v>0</v>
      </c>
      <c r="H295" s="40">
        <f>SUM(Tabla1325[[#This Row],[PRIMER TRIMESTRE]:[CUARTO TRIMESTRE]])</f>
        <v>0</v>
      </c>
      <c r="I295" s="17">
        <v>10255.09</v>
      </c>
      <c r="J295" s="17">
        <f t="shared" si="7"/>
        <v>0</v>
      </c>
      <c r="K295" s="17"/>
      <c r="L295" s="16" t="s">
        <v>27</v>
      </c>
      <c r="M295" s="16" t="s">
        <v>22</v>
      </c>
      <c r="N295" s="39"/>
    </row>
    <row r="296" spans="1:14" s="12" customFormat="1">
      <c r="A296" s="15" t="s">
        <v>80</v>
      </c>
      <c r="B296" s="75" t="s">
        <v>384</v>
      </c>
      <c r="C296" s="39" t="s">
        <v>17</v>
      </c>
      <c r="D296" s="39">
        <v>0</v>
      </c>
      <c r="E296" s="39">
        <v>0</v>
      </c>
      <c r="F296" s="39">
        <v>0</v>
      </c>
      <c r="G296" s="39">
        <v>0</v>
      </c>
      <c r="H296" s="40">
        <f>SUM(Tabla1325[[#This Row],[PRIMER TRIMESTRE]:[CUARTO TRIMESTRE]])</f>
        <v>0</v>
      </c>
      <c r="I296" s="17">
        <v>14777.68</v>
      </c>
      <c r="J296" s="17">
        <f t="shared" si="7"/>
        <v>0</v>
      </c>
      <c r="K296" s="17"/>
      <c r="L296" s="16" t="s">
        <v>27</v>
      </c>
      <c r="M296" s="16" t="s">
        <v>22</v>
      </c>
      <c r="N296" s="39"/>
    </row>
    <row r="297" spans="1:14" s="12" customFormat="1">
      <c r="A297" s="15" t="s">
        <v>80</v>
      </c>
      <c r="B297" s="75" t="s">
        <v>385</v>
      </c>
      <c r="C297" s="39" t="s">
        <v>17</v>
      </c>
      <c r="D297" s="39">
        <v>0</v>
      </c>
      <c r="E297" s="39">
        <v>0</v>
      </c>
      <c r="F297" s="39">
        <v>0</v>
      </c>
      <c r="G297" s="39">
        <v>0</v>
      </c>
      <c r="H297" s="40">
        <f>SUM(Tabla1325[[#This Row],[PRIMER TRIMESTRE]:[CUARTO TRIMESTRE]])</f>
        <v>0</v>
      </c>
      <c r="I297" s="17">
        <v>24012.400000000001</v>
      </c>
      <c r="J297" s="17">
        <f t="shared" si="7"/>
        <v>0</v>
      </c>
      <c r="K297" s="17"/>
      <c r="L297" s="16" t="s">
        <v>27</v>
      </c>
      <c r="M297" s="16" t="s">
        <v>22</v>
      </c>
      <c r="N297" s="39"/>
    </row>
    <row r="298" spans="1:14" s="12" customFormat="1">
      <c r="A298" s="15" t="s">
        <v>80</v>
      </c>
      <c r="B298" s="75" t="s">
        <v>386</v>
      </c>
      <c r="C298" s="39" t="s">
        <v>17</v>
      </c>
      <c r="D298" s="39">
        <v>0</v>
      </c>
      <c r="E298" s="39">
        <v>0</v>
      </c>
      <c r="F298" s="39">
        <v>0</v>
      </c>
      <c r="G298" s="39">
        <v>0</v>
      </c>
      <c r="H298" s="40">
        <f>SUM(Tabla1325[[#This Row],[PRIMER TRIMESTRE]:[CUARTO TRIMESTRE]])</f>
        <v>0</v>
      </c>
      <c r="I298" s="17">
        <v>37525.1</v>
      </c>
      <c r="J298" s="17">
        <f t="shared" si="7"/>
        <v>0</v>
      </c>
      <c r="K298" s="17"/>
      <c r="L298" s="16" t="s">
        <v>27</v>
      </c>
      <c r="M298" s="16" t="s">
        <v>22</v>
      </c>
      <c r="N298" s="39"/>
    </row>
    <row r="299" spans="1:14" s="12" customFormat="1">
      <c r="A299" s="15" t="s">
        <v>80</v>
      </c>
      <c r="B299" s="75" t="s">
        <v>800</v>
      </c>
      <c r="C299" s="39" t="s">
        <v>17</v>
      </c>
      <c r="D299" s="39">
        <v>0</v>
      </c>
      <c r="E299" s="39">
        <v>0</v>
      </c>
      <c r="F299" s="39">
        <v>0</v>
      </c>
      <c r="G299" s="39">
        <v>0</v>
      </c>
      <c r="H299" s="40">
        <f>SUM(Tabla1325[[#This Row],[PRIMER TRIMESTRE]:[CUARTO TRIMESTRE]])</f>
        <v>0</v>
      </c>
      <c r="I299" s="17">
        <v>4500</v>
      </c>
      <c r="J299" s="17">
        <f>+H299*I299</f>
        <v>0</v>
      </c>
      <c r="K299" s="17"/>
      <c r="L299" s="16" t="s">
        <v>27</v>
      </c>
      <c r="M299" s="16" t="s">
        <v>22</v>
      </c>
      <c r="N299" s="39"/>
    </row>
    <row r="300" spans="1:14" s="12" customFormat="1">
      <c r="A300" s="15" t="s">
        <v>80</v>
      </c>
      <c r="B300" s="75" t="s">
        <v>713</v>
      </c>
      <c r="C300" s="39" t="s">
        <v>17</v>
      </c>
      <c r="D300" s="39">
        <v>0</v>
      </c>
      <c r="E300" s="39">
        <v>0</v>
      </c>
      <c r="F300" s="39">
        <v>0</v>
      </c>
      <c r="G300" s="39">
        <v>0</v>
      </c>
      <c r="H300" s="40">
        <f>SUM(Tabla1325[[#This Row],[PRIMER TRIMESTRE]:[CUARTO TRIMESTRE]])</f>
        <v>0</v>
      </c>
      <c r="I300" s="72">
        <v>6000</v>
      </c>
      <c r="J300" s="17">
        <f>+H300*I300</f>
        <v>0</v>
      </c>
      <c r="K300" s="17"/>
      <c r="L300" s="16" t="s">
        <v>27</v>
      </c>
      <c r="M300" s="16" t="s">
        <v>22</v>
      </c>
      <c r="N300" s="39"/>
    </row>
    <row r="301" spans="1:14" s="12" customFormat="1">
      <c r="A301" s="15" t="s">
        <v>80</v>
      </c>
      <c r="B301" s="75" t="s">
        <v>712</v>
      </c>
      <c r="C301" s="39" t="s">
        <v>17</v>
      </c>
      <c r="D301" s="39">
        <v>0</v>
      </c>
      <c r="E301" s="39">
        <v>0</v>
      </c>
      <c r="F301" s="39">
        <v>0</v>
      </c>
      <c r="G301" s="39">
        <v>0</v>
      </c>
      <c r="H301" s="40">
        <f>SUM(Tabla1325[[#This Row],[PRIMER TRIMESTRE]:[CUARTO TRIMESTRE]])</f>
        <v>0</v>
      </c>
      <c r="I301" s="17">
        <v>15544</v>
      </c>
      <c r="J301" s="17">
        <f t="shared" si="7"/>
        <v>0</v>
      </c>
      <c r="K301" s="17"/>
      <c r="L301" s="16" t="s">
        <v>27</v>
      </c>
      <c r="M301" s="16" t="s">
        <v>22</v>
      </c>
      <c r="N301" s="39"/>
    </row>
    <row r="302" spans="1:14" s="12" customFormat="1">
      <c r="A302" s="15" t="s">
        <v>80</v>
      </c>
      <c r="B302" s="75" t="s">
        <v>711</v>
      </c>
      <c r="C302" s="39" t="s">
        <v>17</v>
      </c>
      <c r="D302" s="39">
        <v>0</v>
      </c>
      <c r="E302" s="39">
        <v>0</v>
      </c>
      <c r="F302" s="39">
        <v>0</v>
      </c>
      <c r="G302" s="39">
        <v>0</v>
      </c>
      <c r="H302" s="40">
        <f>SUM(Tabla1325[[#This Row],[PRIMER TRIMESTRE]:[CUARTO TRIMESTRE]])</f>
        <v>0</v>
      </c>
      <c r="I302" s="72">
        <v>20650.03</v>
      </c>
      <c r="J302" s="17">
        <f>+H302*I302</f>
        <v>0</v>
      </c>
      <c r="K302" s="17"/>
      <c r="L302" s="16" t="s">
        <v>27</v>
      </c>
      <c r="M302" s="16" t="s">
        <v>22</v>
      </c>
      <c r="N302" s="39"/>
    </row>
    <row r="303" spans="1:14" s="12" customFormat="1">
      <c r="A303" s="15" t="s">
        <v>80</v>
      </c>
      <c r="B303" s="75" t="s">
        <v>710</v>
      </c>
      <c r="C303" s="39" t="s">
        <v>17</v>
      </c>
      <c r="D303" s="39">
        <v>0</v>
      </c>
      <c r="E303" s="39">
        <v>0</v>
      </c>
      <c r="F303" s="39">
        <v>0</v>
      </c>
      <c r="G303" s="39">
        <v>0</v>
      </c>
      <c r="H303" s="40">
        <f>SUM(Tabla1325[[#This Row],[PRIMER TRIMESTRE]:[CUARTO TRIMESTRE]])</f>
        <v>0</v>
      </c>
      <c r="I303" s="17">
        <v>39221.919999999998</v>
      </c>
      <c r="J303" s="17">
        <f t="shared" si="7"/>
        <v>0</v>
      </c>
      <c r="K303" s="17"/>
      <c r="L303" s="16" t="s">
        <v>27</v>
      </c>
      <c r="M303" s="16" t="s">
        <v>22</v>
      </c>
      <c r="N303" s="39"/>
    </row>
    <row r="304" spans="1:14" s="12" customFormat="1">
      <c r="A304" s="15" t="s">
        <v>80</v>
      </c>
      <c r="B304" s="75" t="s">
        <v>709</v>
      </c>
      <c r="C304" s="39" t="s">
        <v>17</v>
      </c>
      <c r="D304" s="39">
        <v>0</v>
      </c>
      <c r="E304" s="39">
        <v>0</v>
      </c>
      <c r="F304" s="39">
        <v>0</v>
      </c>
      <c r="G304" s="39">
        <v>0</v>
      </c>
      <c r="H304" s="40">
        <f>SUM(Tabla1325[[#This Row],[PRIMER TRIMESTRE]:[CUARTO TRIMESTRE]])</f>
        <v>0</v>
      </c>
      <c r="I304" s="72">
        <f>17500*1.18</f>
        <v>20650</v>
      </c>
      <c r="J304" s="17">
        <f>+H304*I304</f>
        <v>0</v>
      </c>
      <c r="K304" s="17"/>
      <c r="L304" s="16" t="s">
        <v>27</v>
      </c>
      <c r="M304" s="16" t="s">
        <v>22</v>
      </c>
      <c r="N304" s="39"/>
    </row>
    <row r="305" spans="1:14" s="12" customFormat="1">
      <c r="A305" s="15" t="s">
        <v>80</v>
      </c>
      <c r="B305" s="75" t="s">
        <v>708</v>
      </c>
      <c r="C305" s="39" t="s">
        <v>17</v>
      </c>
      <c r="D305" s="39">
        <v>0</v>
      </c>
      <c r="E305" s="39">
        <v>0</v>
      </c>
      <c r="F305" s="39">
        <v>0</v>
      </c>
      <c r="G305" s="39">
        <v>0</v>
      </c>
      <c r="H305" s="40">
        <f>SUM(Tabla1325[[#This Row],[PRIMER TRIMESTRE]:[CUARTO TRIMESTRE]])</f>
        <v>0</v>
      </c>
      <c r="I305" s="72">
        <f>25175*1.18</f>
        <v>29706.5</v>
      </c>
      <c r="J305" s="17">
        <f>+H305*I305</f>
        <v>0</v>
      </c>
      <c r="K305" s="17"/>
      <c r="L305" s="16" t="s">
        <v>27</v>
      </c>
      <c r="M305" s="16" t="s">
        <v>22</v>
      </c>
      <c r="N305" s="39"/>
    </row>
    <row r="306" spans="1:14" s="12" customFormat="1">
      <c r="A306" s="15" t="s">
        <v>80</v>
      </c>
      <c r="B306" s="75" t="s">
        <v>707</v>
      </c>
      <c r="C306" s="39" t="s">
        <v>17</v>
      </c>
      <c r="D306" s="39">
        <v>0</v>
      </c>
      <c r="E306" s="39">
        <v>0</v>
      </c>
      <c r="F306" s="39">
        <v>0</v>
      </c>
      <c r="G306" s="39">
        <v>0</v>
      </c>
      <c r="H306" s="40">
        <f>SUM(Tabla1325[[#This Row],[PRIMER TRIMESTRE]:[CUARTO TRIMESTRE]])</f>
        <v>0</v>
      </c>
      <c r="I306" s="17">
        <f>34500*1.18</f>
        <v>40710</v>
      </c>
      <c r="J306" s="17">
        <f t="shared" si="7"/>
        <v>0</v>
      </c>
      <c r="K306" s="17"/>
      <c r="L306" s="16" t="s">
        <v>27</v>
      </c>
      <c r="M306" s="16" t="s">
        <v>22</v>
      </c>
      <c r="N306" s="39"/>
    </row>
    <row r="307" spans="1:14" s="12" customFormat="1">
      <c r="A307" s="15" t="s">
        <v>80</v>
      </c>
      <c r="B307" s="75" t="s">
        <v>706</v>
      </c>
      <c r="C307" s="39" t="s">
        <v>17</v>
      </c>
      <c r="D307" s="39">
        <v>0</v>
      </c>
      <c r="E307" s="39">
        <v>0</v>
      </c>
      <c r="F307" s="39">
        <v>0</v>
      </c>
      <c r="G307" s="39">
        <v>0</v>
      </c>
      <c r="H307" s="40">
        <f>SUM(Tabla1325[[#This Row],[PRIMER TRIMESTRE]:[CUARTO TRIMESTRE]])</f>
        <v>0</v>
      </c>
      <c r="I307" s="72">
        <v>51330</v>
      </c>
      <c r="J307" s="17">
        <f t="shared" si="7"/>
        <v>0</v>
      </c>
      <c r="K307" s="17"/>
      <c r="L307" s="16" t="s">
        <v>27</v>
      </c>
      <c r="M307" s="16" t="s">
        <v>22</v>
      </c>
      <c r="N307" s="39"/>
    </row>
    <row r="308" spans="1:14" s="12" customFormat="1">
      <c r="A308" s="15" t="s">
        <v>80</v>
      </c>
      <c r="B308" s="75" t="s">
        <v>705</v>
      </c>
      <c r="C308" s="39" t="s">
        <v>17</v>
      </c>
      <c r="D308" s="39">
        <v>0</v>
      </c>
      <c r="E308" s="39">
        <v>0</v>
      </c>
      <c r="F308" s="39">
        <v>0</v>
      </c>
      <c r="G308" s="39">
        <v>0</v>
      </c>
      <c r="H308" s="40">
        <f>SUM(Tabla1325[[#This Row],[PRIMER TRIMESTRE]:[CUARTO TRIMESTRE]])</f>
        <v>0</v>
      </c>
      <c r="I308" s="72">
        <v>61360</v>
      </c>
      <c r="J308" s="17">
        <f t="shared" si="7"/>
        <v>0</v>
      </c>
      <c r="K308" s="17"/>
      <c r="L308" s="16" t="s">
        <v>27</v>
      </c>
      <c r="M308" s="16" t="s">
        <v>22</v>
      </c>
      <c r="N308" s="39"/>
    </row>
    <row r="309" spans="1:14" s="12" customFormat="1">
      <c r="A309" s="15" t="s">
        <v>80</v>
      </c>
      <c r="B309" s="75" t="s">
        <v>703</v>
      </c>
      <c r="C309" s="39" t="s">
        <v>17</v>
      </c>
      <c r="D309" s="39">
        <v>0</v>
      </c>
      <c r="E309" s="39">
        <v>0</v>
      </c>
      <c r="F309" s="39">
        <v>0</v>
      </c>
      <c r="G309" s="39">
        <v>0</v>
      </c>
      <c r="H309" s="40">
        <f>SUM(Tabla1325[[#This Row],[PRIMER TRIMESTRE]:[CUARTO TRIMESTRE]])</f>
        <v>0</v>
      </c>
      <c r="I309" s="72">
        <v>1926.1</v>
      </c>
      <c r="J309" s="17">
        <f t="shared" si="7"/>
        <v>0</v>
      </c>
      <c r="K309" s="17"/>
      <c r="L309" s="16" t="s">
        <v>18</v>
      </c>
      <c r="M309" s="16" t="s">
        <v>22</v>
      </c>
      <c r="N309" s="39"/>
    </row>
    <row r="310" spans="1:14" s="12" customFormat="1">
      <c r="A310" s="15" t="s">
        <v>80</v>
      </c>
      <c r="B310" s="75" t="s">
        <v>704</v>
      </c>
      <c r="C310" s="39" t="s">
        <v>17</v>
      </c>
      <c r="D310" s="39">
        <v>0</v>
      </c>
      <c r="E310" s="39">
        <v>0</v>
      </c>
      <c r="F310" s="39">
        <v>0</v>
      </c>
      <c r="G310" s="39">
        <v>0</v>
      </c>
      <c r="H310" s="40">
        <f>SUM(Tabla1325[[#This Row],[PRIMER TRIMESTRE]:[CUARTO TRIMESTRE]])</f>
        <v>0</v>
      </c>
      <c r="I310" s="72">
        <v>3940</v>
      </c>
      <c r="J310" s="17">
        <f t="shared" si="7"/>
        <v>0</v>
      </c>
      <c r="K310" s="17"/>
      <c r="L310" s="16" t="s">
        <v>18</v>
      </c>
      <c r="M310" s="16" t="s">
        <v>22</v>
      </c>
      <c r="N310" s="39"/>
    </row>
    <row r="311" spans="1:14" s="12" customFormat="1">
      <c r="A311" s="15" t="s">
        <v>80</v>
      </c>
      <c r="B311" s="75" t="s">
        <v>387</v>
      </c>
      <c r="C311" s="39" t="s">
        <v>17</v>
      </c>
      <c r="D311" s="39">
        <v>0</v>
      </c>
      <c r="E311" s="39">
        <v>0</v>
      </c>
      <c r="F311" s="39">
        <v>0</v>
      </c>
      <c r="G311" s="39">
        <v>0</v>
      </c>
      <c r="H311" s="40">
        <f>SUM(Tabla1325[[#This Row],[PRIMER TRIMESTRE]:[CUARTO TRIMESTRE]])</f>
        <v>0</v>
      </c>
      <c r="I311" s="17">
        <v>4.1100000000000003</v>
      </c>
      <c r="J311" s="17">
        <f t="shared" si="7"/>
        <v>0</v>
      </c>
      <c r="K311" s="17"/>
      <c r="L311" s="16" t="s">
        <v>15</v>
      </c>
      <c r="M311" s="16" t="s">
        <v>22</v>
      </c>
      <c r="N311" s="39"/>
    </row>
    <row r="312" spans="1:14" s="12" customFormat="1">
      <c r="A312" s="15" t="s">
        <v>80</v>
      </c>
      <c r="B312" s="75" t="s">
        <v>388</v>
      </c>
      <c r="C312" s="39" t="s">
        <v>17</v>
      </c>
      <c r="D312" s="39">
        <v>0</v>
      </c>
      <c r="E312" s="39">
        <v>0</v>
      </c>
      <c r="F312" s="39">
        <v>0</v>
      </c>
      <c r="G312" s="39">
        <v>0</v>
      </c>
      <c r="H312" s="40">
        <f>SUM(Tabla1325[[#This Row],[PRIMER TRIMESTRE]:[CUARTO TRIMESTRE]])</f>
        <v>0</v>
      </c>
      <c r="I312" s="17">
        <v>5.25</v>
      </c>
      <c r="J312" s="17">
        <f t="shared" si="7"/>
        <v>0</v>
      </c>
      <c r="K312" s="17"/>
      <c r="L312" s="16" t="s">
        <v>15</v>
      </c>
      <c r="M312" s="16" t="s">
        <v>22</v>
      </c>
      <c r="N312" s="39"/>
    </row>
    <row r="313" spans="1:14" s="12" customFormat="1">
      <c r="A313" s="15" t="s">
        <v>80</v>
      </c>
      <c r="B313" s="75" t="s">
        <v>389</v>
      </c>
      <c r="C313" s="39" t="s">
        <v>17</v>
      </c>
      <c r="D313" s="39">
        <v>0</v>
      </c>
      <c r="E313" s="39">
        <v>0</v>
      </c>
      <c r="F313" s="39">
        <v>0</v>
      </c>
      <c r="G313" s="39">
        <v>0</v>
      </c>
      <c r="H313" s="40">
        <f>SUM(Tabla1325[[#This Row],[PRIMER TRIMESTRE]:[CUARTO TRIMESTRE]])</f>
        <v>0</v>
      </c>
      <c r="I313" s="17">
        <v>11</v>
      </c>
      <c r="J313" s="17">
        <f t="shared" si="7"/>
        <v>0</v>
      </c>
      <c r="K313" s="17"/>
      <c r="L313" s="16" t="s">
        <v>15</v>
      </c>
      <c r="M313" s="16" t="s">
        <v>22</v>
      </c>
      <c r="N313" s="39"/>
    </row>
    <row r="314" spans="1:14" s="12" customFormat="1" ht="25.5">
      <c r="A314" s="15" t="s">
        <v>80</v>
      </c>
      <c r="B314" s="75" t="s">
        <v>663</v>
      </c>
      <c r="C314" s="39" t="s">
        <v>17</v>
      </c>
      <c r="D314" s="39">
        <v>0</v>
      </c>
      <c r="E314" s="39">
        <v>0</v>
      </c>
      <c r="F314" s="39">
        <v>0</v>
      </c>
      <c r="G314" s="39">
        <v>0</v>
      </c>
      <c r="H314" s="40">
        <f>SUM(Tabla1325[[#This Row],[PRIMER TRIMESTRE]:[CUARTO TRIMESTRE]])</f>
        <v>0</v>
      </c>
      <c r="I314" s="72">
        <v>15930</v>
      </c>
      <c r="J314" s="17">
        <f t="shared" si="7"/>
        <v>0</v>
      </c>
      <c r="K314" s="17"/>
      <c r="L314" s="16" t="s">
        <v>27</v>
      </c>
      <c r="M314" s="16" t="s">
        <v>22</v>
      </c>
      <c r="N314" s="39"/>
    </row>
    <row r="315" spans="1:14" s="12" customFormat="1" ht="25.5">
      <c r="A315" s="15" t="s">
        <v>80</v>
      </c>
      <c r="B315" s="75" t="s">
        <v>662</v>
      </c>
      <c r="C315" s="39" t="s">
        <v>17</v>
      </c>
      <c r="D315" s="39">
        <v>0</v>
      </c>
      <c r="E315" s="39">
        <v>0</v>
      </c>
      <c r="F315" s="39">
        <v>0</v>
      </c>
      <c r="G315" s="39">
        <v>0</v>
      </c>
      <c r="H315" s="40">
        <f>SUM(Tabla1325[[#This Row],[PRIMER TRIMESTRE]:[CUARTO TRIMESTRE]])</f>
        <v>0</v>
      </c>
      <c r="I315" s="72">
        <f>15500*1.18</f>
        <v>18290</v>
      </c>
      <c r="J315" s="17">
        <f t="shared" si="7"/>
        <v>0</v>
      </c>
      <c r="K315" s="17"/>
      <c r="L315" s="16" t="s">
        <v>27</v>
      </c>
      <c r="M315" s="16" t="s">
        <v>22</v>
      </c>
      <c r="N315" s="39"/>
    </row>
    <row r="316" spans="1:14" s="12" customFormat="1" ht="25.5">
      <c r="A316" s="15" t="s">
        <v>80</v>
      </c>
      <c r="B316" s="75" t="s">
        <v>664</v>
      </c>
      <c r="C316" s="39" t="s">
        <v>17</v>
      </c>
      <c r="D316" s="39">
        <v>0</v>
      </c>
      <c r="E316" s="39">
        <v>0</v>
      </c>
      <c r="F316" s="39">
        <v>0</v>
      </c>
      <c r="G316" s="39">
        <v>0</v>
      </c>
      <c r="H316" s="40">
        <f>SUM(Tabla1325[[#This Row],[PRIMER TRIMESTRE]:[CUARTO TRIMESTRE]])</f>
        <v>0</v>
      </c>
      <c r="I316" s="72">
        <f>18500*1.18</f>
        <v>21830</v>
      </c>
      <c r="J316" s="17">
        <f t="shared" si="7"/>
        <v>0</v>
      </c>
      <c r="K316" s="17"/>
      <c r="L316" s="16" t="s">
        <v>27</v>
      </c>
      <c r="M316" s="16" t="s">
        <v>22</v>
      </c>
      <c r="N316" s="39"/>
    </row>
    <row r="317" spans="1:14" s="12" customFormat="1" ht="38.25">
      <c r="A317" s="15" t="s">
        <v>80</v>
      </c>
      <c r="B317" s="75" t="s">
        <v>672</v>
      </c>
      <c r="C317" s="39" t="s">
        <v>17</v>
      </c>
      <c r="D317" s="39">
        <v>0</v>
      </c>
      <c r="E317" s="39">
        <v>0</v>
      </c>
      <c r="F317" s="39">
        <v>0</v>
      </c>
      <c r="G317" s="39">
        <v>0</v>
      </c>
      <c r="H317" s="40">
        <f>SUM(Tabla1325[[#This Row],[PRIMER TRIMESTRE]:[CUARTO TRIMESTRE]])</f>
        <v>0</v>
      </c>
      <c r="I317" s="72">
        <f>13800*1.18</f>
        <v>16284</v>
      </c>
      <c r="J317" s="17">
        <f>+H317*I317</f>
        <v>0</v>
      </c>
      <c r="K317" s="17"/>
      <c r="L317" s="16" t="s">
        <v>27</v>
      </c>
      <c r="M317" s="16" t="s">
        <v>22</v>
      </c>
      <c r="N317" s="39"/>
    </row>
    <row r="318" spans="1:14" s="12" customFormat="1" ht="38.25">
      <c r="A318" s="15" t="s">
        <v>80</v>
      </c>
      <c r="B318" s="75" t="s">
        <v>665</v>
      </c>
      <c r="C318" s="39" t="s">
        <v>17</v>
      </c>
      <c r="D318" s="39">
        <v>0</v>
      </c>
      <c r="E318" s="39">
        <v>0</v>
      </c>
      <c r="F318" s="39">
        <v>0</v>
      </c>
      <c r="G318" s="39">
        <v>0</v>
      </c>
      <c r="H318" s="46">
        <f>SUM(Tabla1325[[#This Row],[PRIMER TRIMESTRE]:[CUARTO TRIMESTRE]])</f>
        <v>0</v>
      </c>
      <c r="I318" s="17">
        <f>15950*1.18</f>
        <v>18821</v>
      </c>
      <c r="J318" s="17">
        <f t="shared" si="7"/>
        <v>0</v>
      </c>
      <c r="K318" s="17"/>
      <c r="L318" s="16" t="s">
        <v>27</v>
      </c>
      <c r="M318" s="16" t="s">
        <v>22</v>
      </c>
      <c r="N318" s="39"/>
    </row>
    <row r="319" spans="1:14" s="12" customFormat="1" ht="38.25">
      <c r="A319" s="15" t="s">
        <v>80</v>
      </c>
      <c r="B319" s="75" t="s">
        <v>666</v>
      </c>
      <c r="C319" s="39" t="s">
        <v>17</v>
      </c>
      <c r="D319" s="39">
        <v>0</v>
      </c>
      <c r="E319" s="39">
        <v>0</v>
      </c>
      <c r="F319" s="39">
        <v>0</v>
      </c>
      <c r="G319" s="39">
        <v>0</v>
      </c>
      <c r="H319" s="46">
        <f>SUM(Tabla1325[[#This Row],[PRIMER TRIMESTRE]:[CUARTO TRIMESTRE]])</f>
        <v>0</v>
      </c>
      <c r="I319" s="17">
        <f>18950*1.18</f>
        <v>22361</v>
      </c>
      <c r="J319" s="17">
        <f t="shared" si="7"/>
        <v>0</v>
      </c>
      <c r="K319" s="17"/>
      <c r="L319" s="16" t="s">
        <v>27</v>
      </c>
      <c r="M319" s="16" t="s">
        <v>22</v>
      </c>
      <c r="N319" s="39"/>
    </row>
    <row r="320" spans="1:14" s="12" customFormat="1" ht="38.25">
      <c r="A320" s="15" t="s">
        <v>80</v>
      </c>
      <c r="B320" s="75" t="s">
        <v>667</v>
      </c>
      <c r="C320" s="39" t="s">
        <v>17</v>
      </c>
      <c r="D320" s="39">
        <v>0</v>
      </c>
      <c r="E320" s="39">
        <v>0</v>
      </c>
      <c r="F320" s="39">
        <v>0</v>
      </c>
      <c r="G320" s="39">
        <v>0</v>
      </c>
      <c r="H320" s="46">
        <f>SUM(Tabla1325[[#This Row],[PRIMER TRIMESTRE]:[CUARTO TRIMESTRE]])</f>
        <v>0</v>
      </c>
      <c r="I320" s="17">
        <f>23500*1.18</f>
        <v>27730</v>
      </c>
      <c r="J320" s="17">
        <f t="shared" si="7"/>
        <v>0</v>
      </c>
      <c r="K320" s="17"/>
      <c r="L320" s="16" t="s">
        <v>27</v>
      </c>
      <c r="M320" s="16" t="s">
        <v>22</v>
      </c>
      <c r="N320" s="39"/>
    </row>
    <row r="321" spans="1:14" s="12" customFormat="1" ht="38.25">
      <c r="A321" s="15" t="s">
        <v>80</v>
      </c>
      <c r="B321" s="75" t="s">
        <v>668</v>
      </c>
      <c r="C321" s="39" t="s">
        <v>17</v>
      </c>
      <c r="D321" s="39">
        <v>0</v>
      </c>
      <c r="E321" s="39">
        <v>0</v>
      </c>
      <c r="F321" s="39">
        <v>0</v>
      </c>
      <c r="G321" s="39">
        <v>0</v>
      </c>
      <c r="H321" s="46">
        <f>SUM(Tabla1325[[#This Row],[PRIMER TRIMESTRE]:[CUARTO TRIMESTRE]])</f>
        <v>0</v>
      </c>
      <c r="I321" s="17">
        <f>32800*1.18</f>
        <v>38704</v>
      </c>
      <c r="J321" s="17">
        <f t="shared" si="7"/>
        <v>0</v>
      </c>
      <c r="K321" s="17"/>
      <c r="L321" s="16" t="s">
        <v>27</v>
      </c>
      <c r="M321" s="16" t="s">
        <v>22</v>
      </c>
      <c r="N321" s="39"/>
    </row>
    <row r="322" spans="1:14" s="12" customFormat="1" ht="38.25">
      <c r="A322" s="15" t="s">
        <v>80</v>
      </c>
      <c r="B322" s="75" t="s">
        <v>669</v>
      </c>
      <c r="C322" s="39" t="s">
        <v>17</v>
      </c>
      <c r="D322" s="39">
        <v>0</v>
      </c>
      <c r="E322" s="39">
        <v>0</v>
      </c>
      <c r="F322" s="39">
        <v>0</v>
      </c>
      <c r="G322" s="39">
        <v>0</v>
      </c>
      <c r="H322" s="46">
        <f>SUM(Tabla1325[[#This Row],[PRIMER TRIMESTRE]:[CUARTO TRIMESTRE]])</f>
        <v>0</v>
      </c>
      <c r="I322" s="17">
        <f>56500*1.18</f>
        <v>66670</v>
      </c>
      <c r="J322" s="17">
        <f t="shared" si="7"/>
        <v>0</v>
      </c>
      <c r="K322" s="17"/>
      <c r="L322" s="16" t="s">
        <v>27</v>
      </c>
      <c r="M322" s="16" t="s">
        <v>22</v>
      </c>
      <c r="N322" s="39"/>
    </row>
    <row r="323" spans="1:14" s="12" customFormat="1" ht="38.25">
      <c r="A323" s="15" t="s">
        <v>80</v>
      </c>
      <c r="B323" s="75" t="s">
        <v>670</v>
      </c>
      <c r="C323" s="39" t="s">
        <v>17</v>
      </c>
      <c r="D323" s="39">
        <v>0</v>
      </c>
      <c r="E323" s="39">
        <v>0</v>
      </c>
      <c r="F323" s="39">
        <v>0</v>
      </c>
      <c r="G323" s="39">
        <v>0</v>
      </c>
      <c r="H323" s="46">
        <f>SUM(Tabla1325[[#This Row],[PRIMER TRIMESTRE]:[CUARTO TRIMESTRE]])</f>
        <v>0</v>
      </c>
      <c r="I323" s="17">
        <f>74000*1.18</f>
        <v>87320</v>
      </c>
      <c r="J323" s="17">
        <f t="shared" si="7"/>
        <v>0</v>
      </c>
      <c r="K323" s="17"/>
      <c r="L323" s="16" t="s">
        <v>27</v>
      </c>
      <c r="M323" s="16" t="s">
        <v>22</v>
      </c>
      <c r="N323" s="39"/>
    </row>
    <row r="324" spans="1:14" s="12" customFormat="1" ht="38.25">
      <c r="A324" s="15" t="s">
        <v>80</v>
      </c>
      <c r="B324" s="75" t="s">
        <v>671</v>
      </c>
      <c r="C324" s="39" t="s">
        <v>17</v>
      </c>
      <c r="D324" s="39">
        <v>0</v>
      </c>
      <c r="E324" s="39">
        <v>0</v>
      </c>
      <c r="F324" s="39">
        <v>0</v>
      </c>
      <c r="G324" s="39">
        <v>0</v>
      </c>
      <c r="H324" s="46">
        <f>SUM(Tabla1325[[#This Row],[PRIMER TRIMESTRE]:[CUARTO TRIMESTRE]])</f>
        <v>0</v>
      </c>
      <c r="I324" s="17">
        <f>245000*1.18</f>
        <v>289100</v>
      </c>
      <c r="J324" s="17">
        <f t="shared" si="7"/>
        <v>0</v>
      </c>
      <c r="K324" s="17"/>
      <c r="L324" s="16" t="s">
        <v>27</v>
      </c>
      <c r="M324" s="16" t="s">
        <v>22</v>
      </c>
      <c r="N324" s="39"/>
    </row>
    <row r="325" spans="1:14" s="12" customFormat="1" ht="38.25">
      <c r="A325" s="15" t="s">
        <v>80</v>
      </c>
      <c r="B325" s="75" t="s">
        <v>676</v>
      </c>
      <c r="C325" s="39" t="s">
        <v>17</v>
      </c>
      <c r="D325" s="39">
        <v>0</v>
      </c>
      <c r="E325" s="39">
        <v>0</v>
      </c>
      <c r="F325" s="39">
        <v>0</v>
      </c>
      <c r="G325" s="39">
        <v>0</v>
      </c>
      <c r="H325" s="46">
        <f>SUM(Tabla1325[[#This Row],[PRIMER TRIMESTRE]:[CUARTO TRIMESTRE]])</f>
        <v>0</v>
      </c>
      <c r="I325" s="17">
        <v>40200</v>
      </c>
      <c r="J325" s="17">
        <f t="shared" si="7"/>
        <v>0</v>
      </c>
      <c r="K325" s="17"/>
      <c r="L325" s="16" t="s">
        <v>27</v>
      </c>
      <c r="M325" s="16" t="s">
        <v>22</v>
      </c>
      <c r="N325" s="39"/>
    </row>
    <row r="326" spans="1:14" s="12" customFormat="1" ht="38.25">
      <c r="A326" s="15" t="s">
        <v>80</v>
      </c>
      <c r="B326" s="75" t="s">
        <v>677</v>
      </c>
      <c r="C326" s="39" t="s">
        <v>17</v>
      </c>
      <c r="D326" s="39">
        <v>0</v>
      </c>
      <c r="E326" s="39">
        <v>0</v>
      </c>
      <c r="F326" s="39">
        <v>0</v>
      </c>
      <c r="G326" s="39">
        <v>0</v>
      </c>
      <c r="H326" s="46">
        <f>SUM(Tabla1325[[#This Row],[PRIMER TRIMESTRE]:[CUARTO TRIMESTRE]])</f>
        <v>0</v>
      </c>
      <c r="I326" s="17">
        <v>49500</v>
      </c>
      <c r="J326" s="17">
        <f t="shared" si="7"/>
        <v>0</v>
      </c>
      <c r="K326" s="17"/>
      <c r="L326" s="16" t="s">
        <v>27</v>
      </c>
      <c r="M326" s="16" t="s">
        <v>22</v>
      </c>
      <c r="N326" s="39"/>
    </row>
    <row r="327" spans="1:14" s="12" customFormat="1" ht="38.25">
      <c r="A327" s="15" t="s">
        <v>80</v>
      </c>
      <c r="B327" s="75" t="s">
        <v>678</v>
      </c>
      <c r="C327" s="39" t="s">
        <v>17</v>
      </c>
      <c r="D327" s="39">
        <v>0</v>
      </c>
      <c r="E327" s="39">
        <v>0</v>
      </c>
      <c r="F327" s="39">
        <v>0</v>
      </c>
      <c r="G327" s="39">
        <v>0</v>
      </c>
      <c r="H327" s="46">
        <f>SUM(Tabla1325[[#This Row],[PRIMER TRIMESTRE]:[CUARTO TRIMESTRE]])</f>
        <v>0</v>
      </c>
      <c r="I327" s="17">
        <v>73250</v>
      </c>
      <c r="J327" s="17">
        <f t="shared" si="7"/>
        <v>0</v>
      </c>
      <c r="K327" s="17"/>
      <c r="L327" s="16" t="s">
        <v>27</v>
      </c>
      <c r="M327" s="16" t="s">
        <v>22</v>
      </c>
      <c r="N327" s="39"/>
    </row>
    <row r="328" spans="1:14" s="12" customFormat="1" ht="38.25">
      <c r="A328" s="15" t="s">
        <v>80</v>
      </c>
      <c r="B328" s="75" t="s">
        <v>679</v>
      </c>
      <c r="C328" s="39" t="s">
        <v>17</v>
      </c>
      <c r="D328" s="39">
        <v>0</v>
      </c>
      <c r="E328" s="39">
        <v>0</v>
      </c>
      <c r="F328" s="39">
        <v>0</v>
      </c>
      <c r="G328" s="39">
        <v>0</v>
      </c>
      <c r="H328" s="46">
        <f>SUM(Tabla1325[[#This Row],[PRIMER TRIMESTRE]:[CUARTO TRIMESTRE]])</f>
        <v>0</v>
      </c>
      <c r="I328" s="72">
        <v>289000</v>
      </c>
      <c r="J328" s="17">
        <f t="shared" si="7"/>
        <v>0</v>
      </c>
      <c r="K328" s="17"/>
      <c r="L328" s="16" t="s">
        <v>27</v>
      </c>
      <c r="M328" s="16" t="s">
        <v>22</v>
      </c>
      <c r="N328" s="39"/>
    </row>
    <row r="329" spans="1:14" s="12" customFormat="1" ht="51">
      <c r="A329" s="15" t="s">
        <v>80</v>
      </c>
      <c r="B329" s="75" t="s">
        <v>680</v>
      </c>
      <c r="C329" s="39" t="s">
        <v>17</v>
      </c>
      <c r="D329" s="39">
        <v>0</v>
      </c>
      <c r="E329" s="39">
        <v>0</v>
      </c>
      <c r="F329" s="39">
        <v>0</v>
      </c>
      <c r="G329" s="39">
        <v>0</v>
      </c>
      <c r="H329" s="46">
        <f>SUM(Tabla1325[[#This Row],[PRIMER TRIMESTRE]:[CUARTO TRIMESTRE]])</f>
        <v>0</v>
      </c>
      <c r="I329" s="72">
        <f>26800*1.18</f>
        <v>31624</v>
      </c>
      <c r="J329" s="17">
        <f t="shared" ref="J329:J346" si="8">+H329*I329</f>
        <v>0</v>
      </c>
      <c r="K329" s="17"/>
      <c r="L329" s="16" t="s">
        <v>27</v>
      </c>
      <c r="M329" s="16" t="s">
        <v>22</v>
      </c>
      <c r="N329" s="39"/>
    </row>
    <row r="330" spans="1:14" s="12" customFormat="1" ht="51">
      <c r="A330" s="15" t="s">
        <v>80</v>
      </c>
      <c r="B330" s="75" t="s">
        <v>681</v>
      </c>
      <c r="C330" s="39" t="s">
        <v>17</v>
      </c>
      <c r="D330" s="39">
        <v>0</v>
      </c>
      <c r="E330" s="39">
        <v>0</v>
      </c>
      <c r="F330" s="39">
        <v>0</v>
      </c>
      <c r="G330" s="39">
        <v>0</v>
      </c>
      <c r="H330" s="46">
        <f>SUM(Tabla1325[[#This Row],[PRIMER TRIMESTRE]:[CUARTO TRIMESTRE]])</f>
        <v>0</v>
      </c>
      <c r="I330" s="17">
        <f>39500*1.18</f>
        <v>46610</v>
      </c>
      <c r="J330" s="17">
        <f t="shared" si="8"/>
        <v>0</v>
      </c>
      <c r="K330" s="17"/>
      <c r="L330" s="16" t="s">
        <v>27</v>
      </c>
      <c r="M330" s="16" t="s">
        <v>22</v>
      </c>
      <c r="N330" s="39"/>
    </row>
    <row r="331" spans="1:14" s="12" customFormat="1" ht="51">
      <c r="A331" s="15" t="s">
        <v>80</v>
      </c>
      <c r="B331" s="75" t="s">
        <v>683</v>
      </c>
      <c r="C331" s="39" t="s">
        <v>17</v>
      </c>
      <c r="D331" s="39">
        <v>0</v>
      </c>
      <c r="E331" s="39">
        <v>0</v>
      </c>
      <c r="F331" s="39">
        <v>0</v>
      </c>
      <c r="G331" s="39">
        <v>0</v>
      </c>
      <c r="H331" s="46">
        <f>SUM(Tabla1325[[#This Row],[PRIMER TRIMESTRE]:[CUARTO TRIMESTRE]])</f>
        <v>0</v>
      </c>
      <c r="I331" s="72">
        <v>68487.199999999997</v>
      </c>
      <c r="J331" s="17">
        <f t="shared" si="8"/>
        <v>0</v>
      </c>
      <c r="K331" s="17"/>
      <c r="L331" s="16" t="s">
        <v>27</v>
      </c>
      <c r="M331" s="16" t="s">
        <v>22</v>
      </c>
      <c r="N331" s="39"/>
    </row>
    <row r="332" spans="1:14" s="12" customFormat="1" ht="51">
      <c r="A332" s="15" t="s">
        <v>80</v>
      </c>
      <c r="B332" s="75" t="s">
        <v>682</v>
      </c>
      <c r="C332" s="39" t="s">
        <v>17</v>
      </c>
      <c r="D332" s="39">
        <v>0</v>
      </c>
      <c r="E332" s="39">
        <v>0</v>
      </c>
      <c r="F332" s="39">
        <v>0</v>
      </c>
      <c r="G332" s="39">
        <v>0</v>
      </c>
      <c r="H332" s="46">
        <f>SUM(Tabla1325[[#This Row],[PRIMER TRIMESTRE]:[CUARTO TRIMESTRE]])</f>
        <v>0</v>
      </c>
      <c r="I332" s="72">
        <v>304100</v>
      </c>
      <c r="J332" s="17">
        <f t="shared" si="8"/>
        <v>0</v>
      </c>
      <c r="K332" s="17"/>
      <c r="L332" s="16" t="s">
        <v>27</v>
      </c>
      <c r="M332" s="16" t="s">
        <v>22</v>
      </c>
      <c r="N332" s="39"/>
    </row>
    <row r="333" spans="1:14" s="12" customFormat="1">
      <c r="A333" s="15" t="s">
        <v>80</v>
      </c>
      <c r="B333" s="75" t="s">
        <v>635</v>
      </c>
      <c r="C333" s="39"/>
      <c r="D333" s="39">
        <v>0</v>
      </c>
      <c r="E333" s="39">
        <v>0</v>
      </c>
      <c r="F333" s="39">
        <v>0</v>
      </c>
      <c r="G333" s="39">
        <v>0</v>
      </c>
      <c r="H333" s="46">
        <f>SUM(Tabla1325[[#This Row],[PRIMER TRIMESTRE]:[CUARTO TRIMESTRE]])</f>
        <v>0</v>
      </c>
      <c r="I333" s="17">
        <v>94400</v>
      </c>
      <c r="J333" s="17">
        <f t="shared" si="8"/>
        <v>0</v>
      </c>
      <c r="K333" s="17"/>
      <c r="L333" s="16" t="s">
        <v>27</v>
      </c>
      <c r="M333" s="16" t="s">
        <v>22</v>
      </c>
      <c r="N333" s="39"/>
    </row>
    <row r="334" spans="1:14" s="12" customFormat="1">
      <c r="A334" s="15" t="s">
        <v>80</v>
      </c>
      <c r="B334" s="75" t="s">
        <v>636</v>
      </c>
      <c r="C334" s="39"/>
      <c r="D334" s="39">
        <v>0</v>
      </c>
      <c r="E334" s="39">
        <v>0</v>
      </c>
      <c r="F334" s="39">
        <v>0</v>
      </c>
      <c r="G334" s="39">
        <v>0</v>
      </c>
      <c r="H334" s="46">
        <f>SUM(Tabla1325[[#This Row],[PRIMER TRIMESTRE]:[CUARTO TRIMESTRE]])</f>
        <v>0</v>
      </c>
      <c r="I334" s="17">
        <v>106200</v>
      </c>
      <c r="J334" s="17">
        <f t="shared" si="8"/>
        <v>0</v>
      </c>
      <c r="K334" s="17"/>
      <c r="L334" s="16" t="s">
        <v>27</v>
      </c>
      <c r="M334" s="16" t="s">
        <v>22</v>
      </c>
      <c r="N334" s="39"/>
    </row>
    <row r="335" spans="1:14" s="12" customFormat="1">
      <c r="A335" s="15" t="s">
        <v>80</v>
      </c>
      <c r="B335" s="75" t="s">
        <v>637</v>
      </c>
      <c r="C335" s="39"/>
      <c r="D335" s="39">
        <v>0</v>
      </c>
      <c r="E335" s="39">
        <v>0</v>
      </c>
      <c r="F335" s="39">
        <v>0</v>
      </c>
      <c r="G335" s="39">
        <v>0</v>
      </c>
      <c r="H335" s="46">
        <f>SUM(Tabla1325[[#This Row],[PRIMER TRIMESTRE]:[CUARTO TRIMESTRE]])</f>
        <v>0</v>
      </c>
      <c r="I335" s="17">
        <v>112100</v>
      </c>
      <c r="J335" s="17">
        <f t="shared" si="8"/>
        <v>0</v>
      </c>
      <c r="K335" s="17"/>
      <c r="L335" s="16" t="s">
        <v>27</v>
      </c>
      <c r="M335" s="16" t="s">
        <v>22</v>
      </c>
      <c r="N335" s="39"/>
    </row>
    <row r="336" spans="1:14" s="12" customFormat="1" ht="38.25">
      <c r="A336" s="15" t="s">
        <v>80</v>
      </c>
      <c r="B336" s="75" t="s">
        <v>685</v>
      </c>
      <c r="C336" s="39"/>
      <c r="D336" s="39">
        <v>0</v>
      </c>
      <c r="E336" s="39">
        <v>0</v>
      </c>
      <c r="F336" s="39">
        <v>0</v>
      </c>
      <c r="G336" s="39">
        <v>0</v>
      </c>
      <c r="H336" s="46">
        <f>SUM(Tabla1325[[#This Row],[PRIMER TRIMESTRE]:[CUARTO TRIMESTRE]])</f>
        <v>0</v>
      </c>
      <c r="I336" s="17">
        <v>42480</v>
      </c>
      <c r="J336" s="17">
        <f t="shared" si="8"/>
        <v>0</v>
      </c>
      <c r="K336" s="17"/>
      <c r="L336" s="16" t="s">
        <v>27</v>
      </c>
      <c r="M336" s="16" t="s">
        <v>22</v>
      </c>
      <c r="N336" s="39"/>
    </row>
    <row r="337" spans="1:15" s="12" customFormat="1" ht="38.25">
      <c r="A337" s="15" t="s">
        <v>80</v>
      </c>
      <c r="B337" s="75" t="s">
        <v>686</v>
      </c>
      <c r="C337" s="39"/>
      <c r="D337" s="39">
        <v>0</v>
      </c>
      <c r="E337" s="39">
        <v>0</v>
      </c>
      <c r="F337" s="39">
        <v>0</v>
      </c>
      <c r="G337" s="39">
        <v>0</v>
      </c>
      <c r="H337" s="46">
        <f>SUM(Tabla1325[[#This Row],[PRIMER TRIMESTRE]:[CUARTO TRIMESTRE]])</f>
        <v>0</v>
      </c>
      <c r="I337" s="17">
        <v>64900</v>
      </c>
      <c r="J337" s="17">
        <f t="shared" si="8"/>
        <v>0</v>
      </c>
      <c r="K337" s="17"/>
      <c r="L337" s="16" t="s">
        <v>27</v>
      </c>
      <c r="M337" s="16" t="s">
        <v>22</v>
      </c>
      <c r="N337" s="39"/>
    </row>
    <row r="338" spans="1:15" s="12" customFormat="1" ht="38.25">
      <c r="A338" s="15" t="s">
        <v>80</v>
      </c>
      <c r="B338" s="75" t="s">
        <v>687</v>
      </c>
      <c r="C338" s="39"/>
      <c r="D338" s="39">
        <v>0</v>
      </c>
      <c r="E338" s="39">
        <v>0</v>
      </c>
      <c r="F338" s="39">
        <v>0</v>
      </c>
      <c r="G338" s="39">
        <v>0</v>
      </c>
      <c r="H338" s="46">
        <f>SUM(Tabla1325[[#This Row],[PRIMER TRIMESTRE]:[CUARTO TRIMESTRE]])</f>
        <v>0</v>
      </c>
      <c r="I338" s="17">
        <v>92040</v>
      </c>
      <c r="J338" s="17">
        <f t="shared" si="8"/>
        <v>0</v>
      </c>
      <c r="K338" s="17"/>
      <c r="L338" s="16" t="s">
        <v>27</v>
      </c>
      <c r="M338" s="16" t="s">
        <v>22</v>
      </c>
      <c r="N338" s="39"/>
    </row>
    <row r="339" spans="1:15" s="12" customFormat="1" ht="25.5">
      <c r="A339" s="15" t="s">
        <v>80</v>
      </c>
      <c r="B339" s="75" t="s">
        <v>688</v>
      </c>
      <c r="C339" s="39" t="s">
        <v>17</v>
      </c>
      <c r="D339" s="39">
        <v>0</v>
      </c>
      <c r="E339" s="39">
        <v>0</v>
      </c>
      <c r="F339" s="39">
        <v>0</v>
      </c>
      <c r="G339" s="39">
        <v>0</v>
      </c>
      <c r="H339" s="46">
        <f>SUM(Tabla1325[[#This Row],[PRIMER TRIMESTRE]:[CUARTO TRIMESTRE]])</f>
        <v>0</v>
      </c>
      <c r="I339" s="17">
        <v>6377.7</v>
      </c>
      <c r="J339" s="17">
        <f t="shared" si="8"/>
        <v>0</v>
      </c>
      <c r="K339" s="17"/>
      <c r="L339" s="17" t="s">
        <v>27</v>
      </c>
      <c r="M339" s="16" t="s">
        <v>22</v>
      </c>
      <c r="N339" s="39"/>
      <c r="O339" s="18"/>
    </row>
    <row r="340" spans="1:15" s="12" customFormat="1" ht="25.5">
      <c r="A340" s="15" t="s">
        <v>80</v>
      </c>
      <c r="B340" s="75" t="s">
        <v>689</v>
      </c>
      <c r="C340" s="39" t="s">
        <v>17</v>
      </c>
      <c r="D340" s="39">
        <v>0</v>
      </c>
      <c r="E340" s="39">
        <v>0</v>
      </c>
      <c r="F340" s="39">
        <v>0</v>
      </c>
      <c r="G340" s="39">
        <v>0</v>
      </c>
      <c r="H340" s="46">
        <f>SUM(Tabla1325[[#This Row],[PRIMER TRIMESTRE]:[CUARTO TRIMESTRE]])</f>
        <v>0</v>
      </c>
      <c r="I340" s="72">
        <v>6769.1</v>
      </c>
      <c r="J340" s="17">
        <f t="shared" si="8"/>
        <v>0</v>
      </c>
      <c r="K340" s="17"/>
      <c r="L340" s="17" t="s">
        <v>27</v>
      </c>
      <c r="M340" s="16" t="s">
        <v>22</v>
      </c>
      <c r="N340" s="39"/>
      <c r="O340" s="18"/>
    </row>
    <row r="341" spans="1:15" s="12" customFormat="1" ht="25.5">
      <c r="A341" s="15" t="s">
        <v>80</v>
      </c>
      <c r="B341" s="75" t="s">
        <v>690</v>
      </c>
      <c r="C341" s="39" t="s">
        <v>17</v>
      </c>
      <c r="D341" s="39">
        <v>0</v>
      </c>
      <c r="E341" s="39">
        <v>0</v>
      </c>
      <c r="F341" s="39">
        <v>0</v>
      </c>
      <c r="G341" s="39">
        <v>0</v>
      </c>
      <c r="H341" s="46">
        <f>SUM(Tabla1325[[#This Row],[PRIMER TRIMESTRE]:[CUARTO TRIMESTRE]])</f>
        <v>0</v>
      </c>
      <c r="I341" s="72">
        <v>6890.2</v>
      </c>
      <c r="J341" s="17">
        <f t="shared" si="8"/>
        <v>0</v>
      </c>
      <c r="K341" s="17"/>
      <c r="L341" s="17" t="s">
        <v>27</v>
      </c>
      <c r="M341" s="16" t="s">
        <v>22</v>
      </c>
      <c r="N341" s="39"/>
      <c r="O341" s="18"/>
    </row>
    <row r="342" spans="1:15" s="12" customFormat="1" ht="25.5">
      <c r="A342" s="15" t="s">
        <v>80</v>
      </c>
      <c r="B342" s="75" t="s">
        <v>905</v>
      </c>
      <c r="C342" s="39" t="s">
        <v>17</v>
      </c>
      <c r="D342" s="39">
        <v>0</v>
      </c>
      <c r="E342" s="39">
        <v>0</v>
      </c>
      <c r="F342" s="39">
        <v>0</v>
      </c>
      <c r="G342" s="39">
        <v>0</v>
      </c>
      <c r="H342" s="46">
        <f>SUM(Tabla1325[[#This Row],[PRIMER TRIMESTRE]:[CUARTO TRIMESTRE]])</f>
        <v>0</v>
      </c>
      <c r="I342" s="72">
        <f>+I341*1.15</f>
        <v>7923.73</v>
      </c>
      <c r="J342" s="17">
        <f>+H342*I342</f>
        <v>0</v>
      </c>
      <c r="K342" s="17"/>
      <c r="L342" s="17" t="s">
        <v>27</v>
      </c>
      <c r="M342" s="16" t="s">
        <v>22</v>
      </c>
      <c r="N342" s="39"/>
      <c r="O342" s="18"/>
    </row>
    <row r="343" spans="1:15" s="12" customFormat="1" ht="25.5">
      <c r="A343" s="15" t="s">
        <v>80</v>
      </c>
      <c r="B343" s="75" t="s">
        <v>691</v>
      </c>
      <c r="C343" s="39" t="s">
        <v>17</v>
      </c>
      <c r="D343" s="39">
        <v>0</v>
      </c>
      <c r="E343" s="39">
        <v>0</v>
      </c>
      <c r="F343" s="39">
        <v>0</v>
      </c>
      <c r="G343" s="39">
        <v>0</v>
      </c>
      <c r="H343" s="46">
        <f>SUM(Tabla1325[[#This Row],[PRIMER TRIMESTRE]:[CUARTO TRIMESTRE]])</f>
        <v>0</v>
      </c>
      <c r="I343" s="72">
        <f>2500*1.18</f>
        <v>2950</v>
      </c>
      <c r="J343" s="17">
        <f t="shared" si="8"/>
        <v>0</v>
      </c>
      <c r="K343" s="17"/>
      <c r="L343" s="17" t="s">
        <v>27</v>
      </c>
      <c r="M343" s="16" t="s">
        <v>22</v>
      </c>
      <c r="N343" s="39"/>
      <c r="O343" s="18"/>
    </row>
    <row r="344" spans="1:15" s="12" customFormat="1" ht="25.5">
      <c r="A344" s="15" t="s">
        <v>80</v>
      </c>
      <c r="B344" s="75" t="s">
        <v>692</v>
      </c>
      <c r="C344" s="39" t="s">
        <v>17</v>
      </c>
      <c r="D344" s="39">
        <v>0</v>
      </c>
      <c r="E344" s="39">
        <v>0</v>
      </c>
      <c r="F344" s="39">
        <v>0</v>
      </c>
      <c r="G344" s="39">
        <v>0</v>
      </c>
      <c r="H344" s="46">
        <f>SUM(Tabla1325[[#This Row],[PRIMER TRIMESTRE]:[CUARTO TRIMESTRE]])</f>
        <v>0</v>
      </c>
      <c r="I344" s="72">
        <v>20380.96</v>
      </c>
      <c r="J344" s="17">
        <f t="shared" si="8"/>
        <v>0</v>
      </c>
      <c r="K344" s="17"/>
      <c r="L344" s="17" t="s">
        <v>27</v>
      </c>
      <c r="M344" s="16" t="s">
        <v>22</v>
      </c>
      <c r="N344" s="39"/>
      <c r="O344" s="18"/>
    </row>
    <row r="345" spans="1:15" s="12" customFormat="1" ht="25.5">
      <c r="A345" s="15" t="s">
        <v>80</v>
      </c>
      <c r="B345" s="75" t="s">
        <v>693</v>
      </c>
      <c r="C345" s="39" t="s">
        <v>17</v>
      </c>
      <c r="D345" s="39">
        <v>0</v>
      </c>
      <c r="E345" s="39">
        <v>0</v>
      </c>
      <c r="F345" s="39">
        <v>0</v>
      </c>
      <c r="G345" s="39">
        <v>0</v>
      </c>
      <c r="H345" s="46">
        <f>SUM(Tabla1325[[#This Row],[PRIMER TRIMESTRE]:[CUARTO TRIMESTRE]])</f>
        <v>0</v>
      </c>
      <c r="I345" s="72">
        <v>29236.86</v>
      </c>
      <c r="J345" s="17">
        <f t="shared" si="8"/>
        <v>0</v>
      </c>
      <c r="K345" s="17"/>
      <c r="L345" s="17" t="s">
        <v>27</v>
      </c>
      <c r="M345" s="16" t="s">
        <v>22</v>
      </c>
      <c r="N345" s="39"/>
      <c r="O345" s="18"/>
    </row>
    <row r="346" spans="1:15" s="12" customFormat="1">
      <c r="A346" s="15" t="s">
        <v>80</v>
      </c>
      <c r="B346" s="75" t="s">
        <v>454</v>
      </c>
      <c r="C346" s="39" t="s">
        <v>17</v>
      </c>
      <c r="D346" s="39">
        <v>0</v>
      </c>
      <c r="E346" s="39">
        <v>0</v>
      </c>
      <c r="F346" s="39">
        <v>0</v>
      </c>
      <c r="G346" s="39">
        <v>0</v>
      </c>
      <c r="H346" s="46">
        <f>SUM(Tabla1325[[#This Row],[PRIMER TRIMESTRE]:[CUARTO TRIMESTRE]])</f>
        <v>0</v>
      </c>
      <c r="I346" s="72">
        <v>236</v>
      </c>
      <c r="J346" s="17">
        <f t="shared" si="8"/>
        <v>0</v>
      </c>
      <c r="K346" s="17"/>
      <c r="L346" s="17" t="s">
        <v>27</v>
      </c>
      <c r="M346" s="16" t="s">
        <v>22</v>
      </c>
      <c r="N346" s="39"/>
      <c r="O346" s="18"/>
    </row>
    <row r="347" spans="1:15" s="12" customFormat="1">
      <c r="A347" s="15" t="s">
        <v>80</v>
      </c>
      <c r="B347" s="75" t="s">
        <v>455</v>
      </c>
      <c r="C347" s="39" t="s">
        <v>17</v>
      </c>
      <c r="D347" s="39">
        <v>0</v>
      </c>
      <c r="E347" s="39">
        <v>0</v>
      </c>
      <c r="F347" s="39">
        <v>0</v>
      </c>
      <c r="G347" s="39">
        <v>0</v>
      </c>
      <c r="H347" s="46">
        <f>SUM(Tabla1325[[#This Row],[PRIMER TRIMESTRE]:[CUARTO TRIMESTRE]])</f>
        <v>0</v>
      </c>
      <c r="I347" s="72">
        <v>344.56</v>
      </c>
      <c r="J347" s="17">
        <f>+Tabla1325[[#This Row],[CANTIDAD TOTAL]]*Tabla1325[[#This Row],[PRECIO UNITARIO ESTIMADO]]</f>
        <v>0</v>
      </c>
      <c r="K347" s="17"/>
      <c r="L347" s="17" t="s">
        <v>27</v>
      </c>
      <c r="M347" s="16" t="s">
        <v>22</v>
      </c>
      <c r="N347" s="39"/>
      <c r="O347" s="18"/>
    </row>
    <row r="348" spans="1:15" s="12" customFormat="1">
      <c r="A348" s="15" t="s">
        <v>80</v>
      </c>
      <c r="B348" s="75" t="s">
        <v>456</v>
      </c>
      <c r="C348" s="39" t="s">
        <v>17</v>
      </c>
      <c r="D348" s="39">
        <v>0</v>
      </c>
      <c r="E348" s="39">
        <v>0</v>
      </c>
      <c r="F348" s="39">
        <v>0</v>
      </c>
      <c r="G348" s="39">
        <v>0</v>
      </c>
      <c r="H348" s="46">
        <f>SUM(Tabla1325[[#This Row],[PRIMER TRIMESTRE]:[CUARTO TRIMESTRE]])</f>
        <v>0</v>
      </c>
      <c r="I348" s="72">
        <v>499.14</v>
      </c>
      <c r="J348" s="17">
        <f>+Tabla1325[[#This Row],[CANTIDAD TOTAL]]*Tabla1325[[#This Row],[PRECIO UNITARIO ESTIMADO]]</f>
        <v>0</v>
      </c>
      <c r="K348" s="17"/>
      <c r="L348" s="17" t="s">
        <v>27</v>
      </c>
      <c r="M348" s="16" t="s">
        <v>22</v>
      </c>
      <c r="N348" s="39"/>
      <c r="O348" s="18"/>
    </row>
    <row r="349" spans="1:15" s="12" customFormat="1">
      <c r="A349" s="15" t="s">
        <v>80</v>
      </c>
      <c r="B349" s="75" t="s">
        <v>457</v>
      </c>
      <c r="C349" s="39" t="s">
        <v>17</v>
      </c>
      <c r="D349" s="39">
        <v>0</v>
      </c>
      <c r="E349" s="39">
        <v>0</v>
      </c>
      <c r="F349" s="39">
        <v>0</v>
      </c>
      <c r="G349" s="39">
        <v>0</v>
      </c>
      <c r="H349" s="46">
        <f>SUM(Tabla1325[[#This Row],[PRIMER TRIMESTRE]:[CUARTO TRIMESTRE]])</f>
        <v>0</v>
      </c>
      <c r="I349" s="72">
        <v>1598.9</v>
      </c>
      <c r="J349" s="17">
        <f>+Tabla1325[[#This Row],[CANTIDAD TOTAL]]*Tabla1325[[#This Row],[PRECIO UNITARIO ESTIMADO]]</f>
        <v>0</v>
      </c>
      <c r="K349" s="17"/>
      <c r="L349" s="17" t="s">
        <v>27</v>
      </c>
      <c r="M349" s="16" t="s">
        <v>22</v>
      </c>
      <c r="N349" s="39"/>
      <c r="O349" s="18"/>
    </row>
    <row r="350" spans="1:15" s="12" customFormat="1">
      <c r="A350" s="15" t="s">
        <v>80</v>
      </c>
      <c r="B350" s="75" t="s">
        <v>458</v>
      </c>
      <c r="C350" s="39" t="s">
        <v>17</v>
      </c>
      <c r="D350" s="39">
        <v>0</v>
      </c>
      <c r="E350" s="39">
        <v>0</v>
      </c>
      <c r="F350" s="39">
        <v>0</v>
      </c>
      <c r="G350" s="39">
        <v>0</v>
      </c>
      <c r="H350" s="46">
        <f>SUM(Tabla1325[[#This Row],[PRIMER TRIMESTRE]:[CUARTO TRIMESTRE]])</f>
        <v>0</v>
      </c>
      <c r="I350" s="72">
        <v>1849.06</v>
      </c>
      <c r="J350" s="17">
        <f>+Tabla1325[[#This Row],[CANTIDAD TOTAL]]*Tabla1325[[#This Row],[PRECIO UNITARIO ESTIMADO]]</f>
        <v>0</v>
      </c>
      <c r="K350" s="17"/>
      <c r="L350" s="17" t="s">
        <v>27</v>
      </c>
      <c r="M350" s="16" t="s">
        <v>22</v>
      </c>
      <c r="N350" s="39"/>
      <c r="O350" s="18"/>
    </row>
    <row r="351" spans="1:15" s="12" customFormat="1">
      <c r="A351" s="15" t="s">
        <v>80</v>
      </c>
      <c r="B351" s="75" t="s">
        <v>801</v>
      </c>
      <c r="C351" s="39" t="s">
        <v>17</v>
      </c>
      <c r="D351" s="39">
        <v>0</v>
      </c>
      <c r="E351" s="39">
        <v>0</v>
      </c>
      <c r="F351" s="39">
        <v>0</v>
      </c>
      <c r="G351" s="39">
        <v>0</v>
      </c>
      <c r="H351" s="46">
        <f>SUM(Tabla1325[[#This Row],[PRIMER TRIMESTRE]:[CUARTO TRIMESTRE]])</f>
        <v>0</v>
      </c>
      <c r="I351" s="72">
        <v>5444</v>
      </c>
      <c r="J351" s="17">
        <f>+Tabla1325[[#This Row],[CANTIDAD TOTAL]]*Tabla1325[[#This Row],[PRECIO UNITARIO ESTIMADO]]</f>
        <v>0</v>
      </c>
      <c r="K351" s="17"/>
      <c r="L351" s="17" t="s">
        <v>27</v>
      </c>
      <c r="M351" s="16" t="s">
        <v>22</v>
      </c>
      <c r="N351" s="39"/>
      <c r="O351" s="18"/>
    </row>
    <row r="352" spans="1:15" s="12" customFormat="1">
      <c r="A352" s="15" t="s">
        <v>80</v>
      </c>
      <c r="B352" s="75" t="s">
        <v>802</v>
      </c>
      <c r="C352" s="39" t="s">
        <v>17</v>
      </c>
      <c r="D352" s="39">
        <v>0</v>
      </c>
      <c r="E352" s="39">
        <v>0</v>
      </c>
      <c r="F352" s="39">
        <v>0</v>
      </c>
      <c r="G352" s="39">
        <v>0</v>
      </c>
      <c r="H352" s="46">
        <f>SUM(Tabla1325[[#This Row],[PRIMER TRIMESTRE]:[CUARTO TRIMESTRE]])</f>
        <v>0</v>
      </c>
      <c r="I352" s="72">
        <v>6844</v>
      </c>
      <c r="J352" s="17">
        <f>+Tabla1325[[#This Row],[CANTIDAD TOTAL]]*Tabla1325[[#This Row],[PRECIO UNITARIO ESTIMADO]]</f>
        <v>0</v>
      </c>
      <c r="K352" s="17"/>
      <c r="L352" s="17" t="s">
        <v>27</v>
      </c>
      <c r="M352" s="16" t="s">
        <v>22</v>
      </c>
      <c r="N352" s="39"/>
      <c r="O352" s="18"/>
    </row>
    <row r="353" spans="1:20" s="12" customFormat="1">
      <c r="A353" s="15" t="s">
        <v>80</v>
      </c>
      <c r="B353" s="75" t="s">
        <v>2627</v>
      </c>
      <c r="C353" s="39" t="s">
        <v>17</v>
      </c>
      <c r="D353" s="39">
        <v>0</v>
      </c>
      <c r="E353" s="39">
        <v>0</v>
      </c>
      <c r="F353" s="39">
        <v>0</v>
      </c>
      <c r="G353" s="39">
        <v>0</v>
      </c>
      <c r="H353" s="46">
        <f>SUM(Tabla1325[[#This Row],[PRIMER TRIMESTRE]:[CUARTO TRIMESTRE]])</f>
        <v>0</v>
      </c>
      <c r="I353" s="72">
        <v>7123.5510911999991</v>
      </c>
      <c r="J353" s="17">
        <f t="shared" ref="J353:J361" si="9">+H353*I353</f>
        <v>0</v>
      </c>
      <c r="K353" s="17"/>
      <c r="L353" s="17"/>
      <c r="M353" s="16"/>
      <c r="N353" s="39"/>
      <c r="O353" s="18"/>
    </row>
    <row r="354" spans="1:20" s="12" customFormat="1">
      <c r="A354" s="15" t="s">
        <v>80</v>
      </c>
      <c r="B354" s="75" t="s">
        <v>2628</v>
      </c>
      <c r="C354" s="39" t="s">
        <v>17</v>
      </c>
      <c r="D354" s="39">
        <v>0</v>
      </c>
      <c r="E354" s="39">
        <v>0</v>
      </c>
      <c r="F354" s="39">
        <v>0</v>
      </c>
      <c r="G354" s="39">
        <v>0</v>
      </c>
      <c r="H354" s="46">
        <f>SUM(Tabla1325[[#This Row],[PRIMER TRIMESTRE]:[CUARTO TRIMESTRE]])</f>
        <v>0</v>
      </c>
      <c r="I354" s="72">
        <v>8904.4388639999979</v>
      </c>
      <c r="J354" s="17">
        <f t="shared" si="9"/>
        <v>0</v>
      </c>
      <c r="K354" s="17"/>
      <c r="L354" s="17"/>
      <c r="M354" s="16"/>
      <c r="N354" s="39"/>
      <c r="O354" s="18"/>
    </row>
    <row r="355" spans="1:20" s="12" customFormat="1">
      <c r="A355" s="15" t="s">
        <v>80</v>
      </c>
      <c r="B355" s="75" t="s">
        <v>2629</v>
      </c>
      <c r="C355" s="39" t="s">
        <v>17</v>
      </c>
      <c r="D355" s="39">
        <v>0</v>
      </c>
      <c r="E355" s="39">
        <v>0</v>
      </c>
      <c r="F355" s="39">
        <v>0</v>
      </c>
      <c r="G355" s="39">
        <v>0</v>
      </c>
      <c r="H355" s="46">
        <f>SUM(Tabla1325[[#This Row],[PRIMER TRIMESTRE]:[CUARTO TRIMESTRE]])</f>
        <v>0</v>
      </c>
      <c r="I355" s="72">
        <v>14840.731439999998</v>
      </c>
      <c r="J355" s="17">
        <f t="shared" si="9"/>
        <v>0</v>
      </c>
      <c r="K355" s="17"/>
      <c r="L355" s="17"/>
      <c r="M355" s="16"/>
      <c r="N355" s="39"/>
      <c r="O355" s="18"/>
    </row>
    <row r="356" spans="1:20" s="12" customFormat="1">
      <c r="A356" s="15" t="s">
        <v>80</v>
      </c>
      <c r="B356" s="75" t="s">
        <v>2630</v>
      </c>
      <c r="C356" s="39" t="s">
        <v>17</v>
      </c>
      <c r="D356" s="39">
        <v>0</v>
      </c>
      <c r="E356" s="39">
        <v>0</v>
      </c>
      <c r="F356" s="39">
        <v>0</v>
      </c>
      <c r="G356" s="39">
        <v>0</v>
      </c>
      <c r="H356" s="46">
        <f>SUM(Tabla1325[[#This Row],[PRIMER TRIMESTRE]:[CUARTO TRIMESTRE]])</f>
        <v>0</v>
      </c>
      <c r="I356" s="72">
        <v>24734.552399999997</v>
      </c>
      <c r="J356" s="17">
        <f t="shared" si="9"/>
        <v>0</v>
      </c>
      <c r="K356" s="17"/>
      <c r="L356" s="17"/>
      <c r="M356" s="16"/>
      <c r="N356" s="39"/>
      <c r="O356" s="18"/>
    </row>
    <row r="357" spans="1:20" s="12" customFormat="1">
      <c r="A357" s="15" t="s">
        <v>80</v>
      </c>
      <c r="B357" s="75" t="s">
        <v>2631</v>
      </c>
      <c r="C357" s="39" t="s">
        <v>17</v>
      </c>
      <c r="D357" s="39">
        <v>0</v>
      </c>
      <c r="E357" s="39">
        <v>0</v>
      </c>
      <c r="F357" s="39">
        <v>0</v>
      </c>
      <c r="G357" s="39">
        <v>0</v>
      </c>
      <c r="H357" s="46">
        <f>SUM(Tabla1325[[#This Row],[PRIMER TRIMESTRE]:[CUARTO TRIMESTRE]])</f>
        <v>0</v>
      </c>
      <c r="I357" s="72">
        <v>41224.253999999994</v>
      </c>
      <c r="J357" s="17">
        <f t="shared" si="9"/>
        <v>0</v>
      </c>
      <c r="K357" s="17"/>
      <c r="L357" s="17"/>
      <c r="M357" s="16"/>
      <c r="N357" s="39"/>
      <c r="O357" s="18"/>
    </row>
    <row r="358" spans="1:20" s="12" customFormat="1">
      <c r="A358" s="15" t="s">
        <v>80</v>
      </c>
      <c r="B358" s="75" t="s">
        <v>2632</v>
      </c>
      <c r="C358" s="39" t="s">
        <v>17</v>
      </c>
      <c r="D358" s="39">
        <v>0</v>
      </c>
      <c r="E358" s="39">
        <v>0</v>
      </c>
      <c r="F358" s="39">
        <v>0</v>
      </c>
      <c r="G358" s="39">
        <v>0</v>
      </c>
      <c r="H358" s="46">
        <f>SUM(Tabla1325[[#This Row],[PRIMER TRIMESTRE]:[CUARTO TRIMESTRE]])</f>
        <v>0</v>
      </c>
      <c r="I358" s="72">
        <v>68707.09</v>
      </c>
      <c r="J358" s="17">
        <f t="shared" si="9"/>
        <v>0</v>
      </c>
      <c r="K358" s="17"/>
      <c r="L358" s="17"/>
      <c r="M358" s="16"/>
      <c r="N358" s="39"/>
      <c r="O358" s="18"/>
    </row>
    <row r="359" spans="1:20" s="12" customFormat="1">
      <c r="A359" s="15" t="s">
        <v>80</v>
      </c>
      <c r="B359" s="75" t="s">
        <v>2633</v>
      </c>
      <c r="C359" s="39" t="s">
        <v>17</v>
      </c>
      <c r="D359" s="39">
        <v>0</v>
      </c>
      <c r="E359" s="39">
        <v>0</v>
      </c>
      <c r="F359" s="39">
        <v>0</v>
      </c>
      <c r="G359" s="39">
        <v>0</v>
      </c>
      <c r="H359" s="46">
        <f>SUM(Tabla1325[[#This Row],[PRIMER TRIMESTRE]:[CUARTO TRIMESTRE]])</f>
        <v>0</v>
      </c>
      <c r="I359" s="72">
        <v>75577.798999999999</v>
      </c>
      <c r="J359" s="17">
        <f t="shared" si="9"/>
        <v>0</v>
      </c>
      <c r="K359" s="17"/>
      <c r="L359" s="17"/>
      <c r="M359" s="16"/>
      <c r="N359" s="39"/>
      <c r="O359" s="18"/>
    </row>
    <row r="360" spans="1:20" s="12" customFormat="1">
      <c r="A360" s="15" t="s">
        <v>80</v>
      </c>
      <c r="B360" s="75" t="s">
        <v>2634</v>
      </c>
      <c r="C360" s="39" t="s">
        <v>17</v>
      </c>
      <c r="D360" s="39">
        <v>0</v>
      </c>
      <c r="E360" s="39">
        <v>0</v>
      </c>
      <c r="F360" s="39">
        <v>0</v>
      </c>
      <c r="G360" s="39">
        <v>0</v>
      </c>
      <c r="H360" s="46">
        <f>SUM(Tabla1325[[#This Row],[PRIMER TRIMESTRE]:[CUARTO TRIMESTRE]])</f>
        <v>0</v>
      </c>
      <c r="I360" s="72">
        <v>83135.578900000008</v>
      </c>
      <c r="J360" s="17">
        <f t="shared" si="9"/>
        <v>0</v>
      </c>
      <c r="K360" s="17"/>
      <c r="L360" s="17"/>
      <c r="M360" s="16"/>
      <c r="N360" s="39"/>
      <c r="O360" s="18"/>
    </row>
    <row r="361" spans="1:20" s="12" customFormat="1">
      <c r="A361" s="15" t="s">
        <v>80</v>
      </c>
      <c r="B361" s="75" t="s">
        <v>2635</v>
      </c>
      <c r="C361" s="39" t="s">
        <v>17</v>
      </c>
      <c r="D361" s="39">
        <v>0</v>
      </c>
      <c r="E361" s="39">
        <v>0</v>
      </c>
      <c r="F361" s="39">
        <v>0</v>
      </c>
      <c r="G361" s="39">
        <v>0</v>
      </c>
      <c r="H361" s="46">
        <f>SUM(Tabla1325[[#This Row],[PRIMER TRIMESTRE]:[CUARTO TRIMESTRE]])</f>
        <v>0</v>
      </c>
      <c r="I361" s="72">
        <v>91449.136790000019</v>
      </c>
      <c r="J361" s="17">
        <f t="shared" si="9"/>
        <v>0</v>
      </c>
      <c r="K361" s="17"/>
      <c r="L361" s="17"/>
      <c r="M361" s="16"/>
      <c r="N361" s="39"/>
      <c r="O361" s="18"/>
    </row>
    <row r="362" spans="1:20" s="26" customFormat="1">
      <c r="A362" s="22" t="s">
        <v>80</v>
      </c>
      <c r="B362" s="76"/>
      <c r="C362" s="42"/>
      <c r="D362" s="42"/>
      <c r="E362" s="42"/>
      <c r="F362" s="42"/>
      <c r="G362" s="42"/>
      <c r="H362" s="43"/>
      <c r="I362" s="24"/>
      <c r="J362" s="24"/>
      <c r="K362" s="25">
        <f>SUM(J125:J361)</f>
        <v>8870181.3599999994</v>
      </c>
      <c r="L362" s="23"/>
      <c r="M362" s="23"/>
      <c r="N362" s="42"/>
      <c r="Q362" s="27"/>
      <c r="T362" s="23"/>
    </row>
    <row r="363" spans="1:20" s="12" customFormat="1">
      <c r="A363" s="15" t="s">
        <v>81</v>
      </c>
      <c r="B363" s="75" t="s">
        <v>207</v>
      </c>
      <c r="C363" s="39" t="s">
        <v>33</v>
      </c>
      <c r="D363" s="42">
        <v>0</v>
      </c>
      <c r="E363" s="42">
        <v>0</v>
      </c>
      <c r="F363" s="42">
        <v>0</v>
      </c>
      <c r="G363" s="42">
        <v>0</v>
      </c>
      <c r="H363" s="40">
        <f>SUM(Tabla1325[[#This Row],[PRIMER TRIMESTRE]:[CUARTO TRIMESTRE]])</f>
        <v>0</v>
      </c>
      <c r="I363" s="17">
        <v>871.93</v>
      </c>
      <c r="J363" s="17">
        <f>+Tabla1325[[#This Row],[CANTIDAD TOTAL]]*Tabla1325[[#This Row],[PRECIO UNITARIO ESTIMADO]]</f>
        <v>0</v>
      </c>
      <c r="K363" s="17"/>
      <c r="L363" s="16" t="s">
        <v>15</v>
      </c>
      <c r="M363" s="16" t="s">
        <v>22</v>
      </c>
      <c r="N363" s="39" t="s">
        <v>418</v>
      </c>
    </row>
    <row r="364" spans="1:20" s="12" customFormat="1">
      <c r="A364" s="15" t="s">
        <v>81</v>
      </c>
      <c r="B364" s="106" t="s">
        <v>1279</v>
      </c>
      <c r="C364" s="39" t="s">
        <v>33</v>
      </c>
      <c r="D364" s="42">
        <v>100</v>
      </c>
      <c r="E364" s="42">
        <v>0</v>
      </c>
      <c r="F364" s="42">
        <v>0</v>
      </c>
      <c r="G364" s="42">
        <v>0</v>
      </c>
      <c r="H364" s="40">
        <f>SUM(Tabla1325[[#This Row],[PRIMER TRIMESTRE]:[CUARTO TRIMESTRE]])</f>
        <v>100</v>
      </c>
      <c r="I364" s="17">
        <v>871.93</v>
      </c>
      <c r="J364" s="17">
        <f>+H364*I364</f>
        <v>87193</v>
      </c>
      <c r="K364" s="17"/>
      <c r="L364" s="16"/>
      <c r="M364" s="16"/>
      <c r="N364" s="39"/>
    </row>
    <row r="365" spans="1:20" s="12" customFormat="1">
      <c r="A365" s="15" t="s">
        <v>81</v>
      </c>
      <c r="B365" s="106" t="s">
        <v>2636</v>
      </c>
      <c r="C365" s="39" t="s">
        <v>33</v>
      </c>
      <c r="D365" s="42">
        <v>100</v>
      </c>
      <c r="E365" s="42">
        <v>0</v>
      </c>
      <c r="F365" s="42">
        <v>0</v>
      </c>
      <c r="G365" s="42">
        <v>0</v>
      </c>
      <c r="H365" s="40">
        <f>SUM(Tabla1325[[#This Row],[PRIMER TRIMESTRE]:[CUARTO TRIMESTRE]])</f>
        <v>100</v>
      </c>
      <c r="I365" s="17">
        <v>871.93</v>
      </c>
      <c r="J365" s="17">
        <f>+H365*I365</f>
        <v>87193</v>
      </c>
      <c r="K365" s="17"/>
      <c r="L365" s="16"/>
      <c r="M365" s="16"/>
      <c r="N365" s="39"/>
    </row>
    <row r="366" spans="1:20" s="12" customFormat="1">
      <c r="A366" s="15" t="s">
        <v>81</v>
      </c>
      <c r="B366" s="106" t="s">
        <v>1280</v>
      </c>
      <c r="C366" s="39" t="s">
        <v>33</v>
      </c>
      <c r="D366" s="42">
        <v>100</v>
      </c>
      <c r="E366" s="42">
        <v>0</v>
      </c>
      <c r="F366" s="42">
        <v>0</v>
      </c>
      <c r="G366" s="42">
        <v>0</v>
      </c>
      <c r="H366" s="40">
        <f>SUM(Tabla1325[[#This Row],[PRIMER TRIMESTRE]:[CUARTO TRIMESTRE]])</f>
        <v>100</v>
      </c>
      <c r="I366" s="17">
        <v>871.93</v>
      </c>
      <c r="J366" s="17">
        <f>+H366*I366</f>
        <v>87193</v>
      </c>
      <c r="K366" s="17"/>
      <c r="L366" s="16"/>
      <c r="M366" s="16"/>
      <c r="N366" s="39"/>
    </row>
    <row r="367" spans="1:20" s="26" customFormat="1">
      <c r="A367" s="22" t="s">
        <v>81</v>
      </c>
      <c r="B367" s="76"/>
      <c r="C367" s="42"/>
      <c r="D367" s="42"/>
      <c r="E367" s="42"/>
      <c r="F367" s="42"/>
      <c r="G367" s="42"/>
      <c r="H367" s="43">
        <f>SUM(Tabla1325[[#This Row],[PRIMER TRIMESTRE]:[CUARTO TRIMESTRE]])</f>
        <v>0</v>
      </c>
      <c r="I367" s="24"/>
      <c r="J367" s="24"/>
      <c r="K367" s="25">
        <f>SUM(J363:J366)</f>
        <v>261579</v>
      </c>
      <c r="L367" s="23"/>
      <c r="M367" s="23"/>
      <c r="N367" s="42"/>
      <c r="Q367" s="27"/>
      <c r="T367" s="23"/>
    </row>
    <row r="368" spans="1:20" s="12" customFormat="1" ht="31.5">
      <c r="A368" s="15" t="s">
        <v>96</v>
      </c>
      <c r="B368" s="75" t="str">
        <f ca="1">+UPPER(Tabla1325[[#This Row],[DESCRIPCIÓN DE LA COMPRA O CONTRATACIÓN]])</f>
        <v>CUT-OUTS 15 KV 200 AMPERES</v>
      </c>
      <c r="C368" s="39" t="s">
        <v>17</v>
      </c>
      <c r="D368" s="42">
        <v>0</v>
      </c>
      <c r="E368" s="42">
        <v>0</v>
      </c>
      <c r="F368" s="42">
        <v>0</v>
      </c>
      <c r="G368" s="42">
        <v>0</v>
      </c>
      <c r="H368" s="40">
        <f>SUM(Tabla1325[[#This Row],[PRIMER TRIMESTRE]:[CUARTO TRIMESTRE]])</f>
        <v>0</v>
      </c>
      <c r="I368" s="17">
        <v>7354.4</v>
      </c>
      <c r="J368" s="17">
        <f>+H368*I368</f>
        <v>0</v>
      </c>
      <c r="K368" s="17"/>
      <c r="L368" s="16" t="s">
        <v>27</v>
      </c>
      <c r="M368" s="16" t="s">
        <v>22</v>
      </c>
      <c r="N368" s="39"/>
    </row>
    <row r="369" spans="1:14" s="12" customFormat="1" ht="31.5">
      <c r="A369" s="15" t="s">
        <v>96</v>
      </c>
      <c r="B369" s="75" t="str">
        <f ca="1">+UPPER(Tabla1325[[#This Row],[DESCRIPCIÓN DE LA COMPRA O CONTRATACIÓN]])</f>
        <v>CUT-OUTS 15 KV 100 AMPERES</v>
      </c>
      <c r="C369" s="39" t="s">
        <v>17</v>
      </c>
      <c r="D369" s="42">
        <v>0</v>
      </c>
      <c r="E369" s="42">
        <v>0</v>
      </c>
      <c r="F369" s="42">
        <v>0</v>
      </c>
      <c r="G369" s="42">
        <v>0</v>
      </c>
      <c r="H369" s="40">
        <f>SUM(Tabla1325[[#This Row],[PRIMER TRIMESTRE]:[CUARTO TRIMESTRE]])</f>
        <v>0</v>
      </c>
      <c r="I369" s="17">
        <v>5452</v>
      </c>
      <c r="J369" s="17">
        <f>+H369*I369</f>
        <v>0</v>
      </c>
      <c r="K369" s="17"/>
      <c r="L369" s="16" t="s">
        <v>27</v>
      </c>
      <c r="M369" s="16" t="s">
        <v>22</v>
      </c>
      <c r="N369" s="39"/>
    </row>
    <row r="370" spans="1:14" s="12" customFormat="1" ht="31.5">
      <c r="A370" s="15" t="s">
        <v>96</v>
      </c>
      <c r="B370" s="75" t="str">
        <f ca="1">+UPPER(Tabla1325[[#This Row],[DESCRIPCIÓN DE LA COMPRA O CONTRATACIÓN]])</f>
        <v>APARTARRAYOS DE 9KV</v>
      </c>
      <c r="C370" s="39" t="s">
        <v>17</v>
      </c>
      <c r="D370" s="42">
        <v>0</v>
      </c>
      <c r="E370" s="42">
        <v>0</v>
      </c>
      <c r="F370" s="42">
        <v>0</v>
      </c>
      <c r="G370" s="42">
        <v>0</v>
      </c>
      <c r="H370" s="40">
        <f>SUM(Tabla1325[[#This Row],[PRIMER TRIMESTRE]:[CUARTO TRIMESTRE]])</f>
        <v>0</v>
      </c>
      <c r="I370" s="17">
        <v>2842</v>
      </c>
      <c r="J370" s="17">
        <f>+H370*I370</f>
        <v>0</v>
      </c>
      <c r="K370" s="17"/>
      <c r="L370" s="16" t="s">
        <v>27</v>
      </c>
      <c r="M370" s="16" t="s">
        <v>22</v>
      </c>
      <c r="N370" s="39"/>
    </row>
    <row r="371" spans="1:14" s="12" customFormat="1" ht="31.5">
      <c r="A371" s="15" t="s">
        <v>96</v>
      </c>
      <c r="B371" s="75" t="str">
        <f ca="1">+UPPER(Tabla1325[[#This Row],[DESCRIPCIÓN DE LA COMPRA O CONTRATACIÓN]])</f>
        <v>APARTARRAYOS DE 220V, SECUNDARIO</v>
      </c>
      <c r="C371" s="39" t="s">
        <v>17</v>
      </c>
      <c r="D371" s="42">
        <v>0</v>
      </c>
      <c r="E371" s="42">
        <v>0</v>
      </c>
      <c r="F371" s="42">
        <v>0</v>
      </c>
      <c r="G371" s="42">
        <v>0</v>
      </c>
      <c r="H371" s="40">
        <f>SUM(Tabla1325[[#This Row],[PRIMER TRIMESTRE]:[CUARTO TRIMESTRE]])</f>
        <v>0</v>
      </c>
      <c r="I371" s="17">
        <v>4500</v>
      </c>
      <c r="J371" s="17">
        <f>+H371*I371</f>
        <v>0</v>
      </c>
      <c r="K371" s="17"/>
      <c r="L371" s="16" t="s">
        <v>27</v>
      </c>
      <c r="M371" s="16" t="s">
        <v>22</v>
      </c>
      <c r="N371" s="39"/>
    </row>
    <row r="372" spans="1:14" s="12" customFormat="1" ht="31.5">
      <c r="A372" s="15" t="s">
        <v>96</v>
      </c>
      <c r="B372" s="75" t="str">
        <f ca="1">+UPPER(Tabla1325[[#This Row],[DESCRIPCIÓN DE LA COMPRA O CONTRATACIÓN]])</f>
        <v>APARTARRAYOS DE 480V, SECUNDARIO</v>
      </c>
      <c r="C372" s="39" t="s">
        <v>17</v>
      </c>
      <c r="D372" s="42">
        <v>0</v>
      </c>
      <c r="E372" s="42">
        <v>0</v>
      </c>
      <c r="F372" s="42">
        <v>0</v>
      </c>
      <c r="G372" s="42">
        <v>0</v>
      </c>
      <c r="H372" s="40">
        <f>SUM(Tabla1325[[#This Row],[PRIMER TRIMESTRE]:[CUARTO TRIMESTRE]])</f>
        <v>0</v>
      </c>
      <c r="I372" s="72">
        <v>4500</v>
      </c>
      <c r="J372" s="17">
        <f>+H372*I372</f>
        <v>0</v>
      </c>
      <c r="K372" s="17"/>
      <c r="L372" s="16" t="s">
        <v>27</v>
      </c>
      <c r="M372" s="16" t="s">
        <v>22</v>
      </c>
      <c r="N372" s="39"/>
    </row>
    <row r="373" spans="1:14" s="12" customFormat="1" ht="31.5">
      <c r="A373" s="15" t="s">
        <v>96</v>
      </c>
      <c r="B373" s="75" t="s">
        <v>777</v>
      </c>
      <c r="C373" s="39" t="s">
        <v>17</v>
      </c>
      <c r="D373" s="42">
        <v>0</v>
      </c>
      <c r="E373" s="42">
        <v>0</v>
      </c>
      <c r="F373" s="42">
        <v>0</v>
      </c>
      <c r="G373" s="42">
        <v>0</v>
      </c>
      <c r="H373" s="40">
        <f>SUM(Tabla1325[[#This Row],[PRIMER TRIMESTRE]:[CUARTO TRIMESTRE]])</f>
        <v>0</v>
      </c>
      <c r="I373" s="17">
        <v>275.5</v>
      </c>
      <c r="J373" s="17">
        <f>+Tabla1325[[#This Row],[CANTIDAD TOTAL]]*Tabla1325[[#This Row],[PRECIO UNITARIO ESTIMADO]]</f>
        <v>0</v>
      </c>
      <c r="K373" s="17"/>
      <c r="L373" s="16" t="s">
        <v>27</v>
      </c>
      <c r="M373" s="16" t="s">
        <v>22</v>
      </c>
      <c r="N373" s="39" t="s">
        <v>418</v>
      </c>
    </row>
    <row r="374" spans="1:14" s="12" customFormat="1" ht="31.5">
      <c r="A374" s="15" t="s">
        <v>96</v>
      </c>
      <c r="B374" s="75" t="s">
        <v>210</v>
      </c>
      <c r="C374" s="39" t="s">
        <v>17</v>
      </c>
      <c r="D374" s="42">
        <v>0</v>
      </c>
      <c r="E374" s="42">
        <v>0</v>
      </c>
      <c r="F374" s="42">
        <v>0</v>
      </c>
      <c r="G374" s="42">
        <v>0</v>
      </c>
      <c r="H374" s="40">
        <f>SUM(Tabla1325[[#This Row],[PRIMER TRIMESTRE]:[CUARTO TRIMESTRE]])</f>
        <v>0</v>
      </c>
      <c r="I374" s="17">
        <v>194.88</v>
      </c>
      <c r="J374" s="17">
        <f>+Tabla1325[[#This Row],[CANTIDAD TOTAL]]*Tabla1325[[#This Row],[PRECIO UNITARIO ESTIMADO]]</f>
        <v>0</v>
      </c>
      <c r="K374" s="17"/>
      <c r="L374" s="16" t="s">
        <v>27</v>
      </c>
      <c r="M374" s="16" t="s">
        <v>22</v>
      </c>
      <c r="N374" s="39" t="s">
        <v>418</v>
      </c>
    </row>
    <row r="375" spans="1:14" s="12" customFormat="1" ht="31.5">
      <c r="A375" s="15" t="s">
        <v>96</v>
      </c>
      <c r="B375" s="75" t="s">
        <v>211</v>
      </c>
      <c r="C375" s="39" t="s">
        <v>17</v>
      </c>
      <c r="D375" s="42">
        <v>0</v>
      </c>
      <c r="E375" s="42">
        <v>0</v>
      </c>
      <c r="F375" s="42">
        <v>0</v>
      </c>
      <c r="G375" s="42">
        <v>0</v>
      </c>
      <c r="H375" s="40">
        <f>SUM(Tabla1325[[#This Row],[PRIMER TRIMESTRE]:[CUARTO TRIMESTRE]])</f>
        <v>0</v>
      </c>
      <c r="I375" s="17">
        <v>313.2</v>
      </c>
      <c r="J375" s="17">
        <f>+Tabla1325[[#This Row],[CANTIDAD TOTAL]]*Tabla1325[[#This Row],[PRECIO UNITARIO ESTIMADO]]</f>
        <v>0</v>
      </c>
      <c r="K375" s="17"/>
      <c r="L375" s="16" t="s">
        <v>27</v>
      </c>
      <c r="M375" s="16" t="s">
        <v>22</v>
      </c>
      <c r="N375" s="39" t="s">
        <v>418</v>
      </c>
    </row>
    <row r="376" spans="1:14" s="12" customFormat="1" ht="31.5">
      <c r="A376" s="15" t="s">
        <v>96</v>
      </c>
      <c r="B376" s="75" t="s">
        <v>772</v>
      </c>
      <c r="C376" s="39" t="s">
        <v>17</v>
      </c>
      <c r="D376" s="42">
        <v>0</v>
      </c>
      <c r="E376" s="42">
        <v>0</v>
      </c>
      <c r="F376" s="42">
        <v>0</v>
      </c>
      <c r="G376" s="42">
        <v>0</v>
      </c>
      <c r="H376" s="40">
        <f>SUM(Tabla1325[[#This Row],[PRIMER TRIMESTRE]:[CUARTO TRIMESTRE]])</f>
        <v>0</v>
      </c>
      <c r="I376" s="72">
        <v>3428.95</v>
      </c>
      <c r="J376" s="17">
        <f>+H376*I376</f>
        <v>0</v>
      </c>
      <c r="K376" s="17"/>
      <c r="L376" s="16" t="s">
        <v>27</v>
      </c>
      <c r="M376" s="16" t="s">
        <v>22</v>
      </c>
      <c r="N376" s="39"/>
    </row>
    <row r="377" spans="1:14" s="12" customFormat="1" ht="31.5">
      <c r="A377" s="15" t="s">
        <v>96</v>
      </c>
      <c r="B377" s="75" t="s">
        <v>229</v>
      </c>
      <c r="C377" s="39" t="s">
        <v>17</v>
      </c>
      <c r="D377" s="42">
        <v>0</v>
      </c>
      <c r="E377" s="42">
        <v>0</v>
      </c>
      <c r="F377" s="42">
        <v>0</v>
      </c>
      <c r="G377" s="42">
        <v>0</v>
      </c>
      <c r="H377" s="40">
        <f>SUM(Tabla1325[[#This Row],[PRIMER TRIMESTRE]:[CUARTO TRIMESTRE]])</f>
        <v>0</v>
      </c>
      <c r="I377" s="17">
        <v>3040.44</v>
      </c>
      <c r="J377" s="17">
        <f>+Tabla1325[[#This Row],[CANTIDAD TOTAL]]*Tabla1325[[#This Row],[PRECIO UNITARIO ESTIMADO]]</f>
        <v>0</v>
      </c>
      <c r="K377" s="17"/>
      <c r="L377" s="16" t="s">
        <v>27</v>
      </c>
      <c r="M377" s="16" t="s">
        <v>22</v>
      </c>
      <c r="N377" s="39"/>
    </row>
    <row r="378" spans="1:14" s="12" customFormat="1" ht="31.5">
      <c r="A378" s="15" t="s">
        <v>96</v>
      </c>
      <c r="B378" s="75" t="s">
        <v>770</v>
      </c>
      <c r="C378" s="39" t="s">
        <v>17</v>
      </c>
      <c r="D378" s="42">
        <v>0</v>
      </c>
      <c r="E378" s="42">
        <v>0</v>
      </c>
      <c r="F378" s="42">
        <v>0</v>
      </c>
      <c r="G378" s="42">
        <v>0</v>
      </c>
      <c r="H378" s="40">
        <f>SUM(Tabla1325[[#This Row],[PRIMER TRIMESTRE]:[CUARTO TRIMESTRE]])</f>
        <v>0</v>
      </c>
      <c r="I378" s="17">
        <v>12528</v>
      </c>
      <c r="J378" s="17">
        <f>+Tabla1325[[#This Row],[CANTIDAD TOTAL]]*Tabla1325[[#This Row],[PRECIO UNITARIO ESTIMADO]]</f>
        <v>0</v>
      </c>
      <c r="K378" s="17"/>
      <c r="L378" s="16" t="s">
        <v>27</v>
      </c>
      <c r="M378" s="16" t="s">
        <v>22</v>
      </c>
      <c r="N378" s="39"/>
    </row>
    <row r="379" spans="1:14" s="12" customFormat="1" ht="31.5">
      <c r="A379" s="15" t="s">
        <v>96</v>
      </c>
      <c r="B379" s="75" t="s">
        <v>771</v>
      </c>
      <c r="C379" s="39" t="s">
        <v>17</v>
      </c>
      <c r="D379" s="42">
        <v>0</v>
      </c>
      <c r="E379" s="42">
        <v>0</v>
      </c>
      <c r="F379" s="42">
        <v>0</v>
      </c>
      <c r="G379" s="42">
        <v>0</v>
      </c>
      <c r="H379" s="40">
        <f>SUM(Tabla1325[[#This Row],[PRIMER TRIMESTRE]:[CUARTO TRIMESTRE]])</f>
        <v>0</v>
      </c>
      <c r="I379" s="72">
        <v>42303</v>
      </c>
      <c r="J379" s="17">
        <f>+H379*I379</f>
        <v>0</v>
      </c>
      <c r="K379" s="17"/>
      <c r="L379" s="16" t="s">
        <v>27</v>
      </c>
      <c r="M379" s="16" t="s">
        <v>22</v>
      </c>
      <c r="N379" s="39"/>
    </row>
    <row r="380" spans="1:14" s="12" customFormat="1" ht="31.5">
      <c r="A380" s="15" t="s">
        <v>96</v>
      </c>
      <c r="B380" s="75" t="s">
        <v>803</v>
      </c>
      <c r="C380" s="39" t="s">
        <v>343</v>
      </c>
      <c r="D380" s="42">
        <v>0</v>
      </c>
      <c r="E380" s="42">
        <v>0</v>
      </c>
      <c r="F380" s="42">
        <v>0</v>
      </c>
      <c r="G380" s="42">
        <v>0</v>
      </c>
      <c r="H380" s="40">
        <f>SUM(Tabla1325[[#This Row],[PRIMER TRIMESTRE]:[CUARTO TRIMESTRE]])</f>
        <v>0</v>
      </c>
      <c r="I380" s="72">
        <v>4.41</v>
      </c>
      <c r="J380" s="17">
        <f t="shared" ref="J380:J443" si="10">+H380*I380</f>
        <v>0</v>
      </c>
      <c r="K380" s="17"/>
      <c r="L380" s="17" t="s">
        <v>27</v>
      </c>
      <c r="M380" s="16" t="s">
        <v>22</v>
      </c>
      <c r="N380" s="39" t="s">
        <v>418</v>
      </c>
    </row>
    <row r="381" spans="1:14" s="12" customFormat="1" ht="31.5">
      <c r="A381" s="15" t="s">
        <v>96</v>
      </c>
      <c r="B381" s="75" t="s">
        <v>804</v>
      </c>
      <c r="C381" s="39" t="s">
        <v>343</v>
      </c>
      <c r="D381" s="42">
        <v>0</v>
      </c>
      <c r="E381" s="42">
        <v>0</v>
      </c>
      <c r="F381" s="42">
        <v>0</v>
      </c>
      <c r="G381" s="42">
        <v>0</v>
      </c>
      <c r="H381" s="40">
        <f>SUM(Tabla1325[[#This Row],[PRIMER TRIMESTRE]:[CUARTO TRIMESTRE]])</f>
        <v>0</v>
      </c>
      <c r="I381" s="17">
        <v>10.54</v>
      </c>
      <c r="J381" s="17">
        <f t="shared" si="10"/>
        <v>0</v>
      </c>
      <c r="K381" s="17"/>
      <c r="L381" s="17" t="s">
        <v>27</v>
      </c>
      <c r="M381" s="16" t="s">
        <v>22</v>
      </c>
      <c r="N381" s="39" t="s">
        <v>418</v>
      </c>
    </row>
    <row r="382" spans="1:14" s="12" customFormat="1" ht="31.5">
      <c r="A382" s="15" t="s">
        <v>96</v>
      </c>
      <c r="B382" s="75" t="s">
        <v>805</v>
      </c>
      <c r="C382" s="39" t="s">
        <v>343</v>
      </c>
      <c r="D382" s="42">
        <v>0</v>
      </c>
      <c r="E382" s="42">
        <v>0</v>
      </c>
      <c r="F382" s="42">
        <v>0</v>
      </c>
      <c r="G382" s="42">
        <v>0</v>
      </c>
      <c r="H382" s="40">
        <f>SUM(Tabla1325[[#This Row],[PRIMER TRIMESTRE]:[CUARTO TRIMESTRE]])</f>
        <v>0</v>
      </c>
      <c r="I382" s="72">
        <v>16.41</v>
      </c>
      <c r="J382" s="17">
        <f t="shared" si="10"/>
        <v>0</v>
      </c>
      <c r="K382" s="17"/>
      <c r="L382" s="17" t="s">
        <v>27</v>
      </c>
      <c r="M382" s="16" t="s">
        <v>22</v>
      </c>
      <c r="N382" s="39" t="s">
        <v>418</v>
      </c>
    </row>
    <row r="383" spans="1:14" s="12" customFormat="1" ht="31.5">
      <c r="A383" s="15" t="s">
        <v>96</v>
      </c>
      <c r="B383" s="75" t="s">
        <v>806</v>
      </c>
      <c r="C383" s="39" t="s">
        <v>343</v>
      </c>
      <c r="D383" s="42">
        <v>0</v>
      </c>
      <c r="E383" s="42">
        <v>0</v>
      </c>
      <c r="F383" s="42">
        <v>0</v>
      </c>
      <c r="G383" s="42">
        <v>0</v>
      </c>
      <c r="H383" s="40">
        <f>SUM(Tabla1325[[#This Row],[PRIMER TRIMESTRE]:[CUARTO TRIMESTRE]])</f>
        <v>0</v>
      </c>
      <c r="I383" s="72">
        <v>25.61</v>
      </c>
      <c r="J383" s="17">
        <f t="shared" si="10"/>
        <v>0</v>
      </c>
      <c r="K383" s="17"/>
      <c r="L383" s="17" t="s">
        <v>27</v>
      </c>
      <c r="M383" s="16" t="s">
        <v>22</v>
      </c>
      <c r="N383" s="39" t="s">
        <v>418</v>
      </c>
    </row>
    <row r="384" spans="1:14" s="12" customFormat="1" ht="31.5">
      <c r="A384" s="15" t="s">
        <v>96</v>
      </c>
      <c r="B384" s="75" t="s">
        <v>807</v>
      </c>
      <c r="C384" s="39" t="s">
        <v>343</v>
      </c>
      <c r="D384" s="42">
        <v>0</v>
      </c>
      <c r="E384" s="42">
        <v>0</v>
      </c>
      <c r="F384" s="42">
        <v>0</v>
      </c>
      <c r="G384" s="42">
        <v>0</v>
      </c>
      <c r="H384" s="40">
        <f>SUM(Tabla1325[[#This Row],[PRIMER TRIMESTRE]:[CUARTO TRIMESTRE]])</f>
        <v>0</v>
      </c>
      <c r="I384" s="72">
        <v>40.869999999999997</v>
      </c>
      <c r="J384" s="17">
        <f t="shared" si="10"/>
        <v>0</v>
      </c>
      <c r="K384" s="17"/>
      <c r="L384" s="17" t="s">
        <v>27</v>
      </c>
      <c r="M384" s="16" t="s">
        <v>22</v>
      </c>
      <c r="N384" s="39" t="s">
        <v>418</v>
      </c>
    </row>
    <row r="385" spans="1:14" s="12" customFormat="1" ht="31.5">
      <c r="A385" s="15" t="s">
        <v>96</v>
      </c>
      <c r="B385" s="75" t="s">
        <v>808</v>
      </c>
      <c r="C385" s="39" t="s">
        <v>343</v>
      </c>
      <c r="D385" s="42">
        <v>0</v>
      </c>
      <c r="E385" s="42">
        <v>0</v>
      </c>
      <c r="F385" s="42">
        <v>0</v>
      </c>
      <c r="G385" s="42">
        <v>0</v>
      </c>
      <c r="H385" s="40">
        <f>SUM(Tabla1325[[#This Row],[PRIMER TRIMESTRE]:[CUARTO TRIMESTRE]])</f>
        <v>0</v>
      </c>
      <c r="I385" s="72">
        <v>64.05</v>
      </c>
      <c r="J385" s="17">
        <f t="shared" si="10"/>
        <v>0</v>
      </c>
      <c r="K385" s="17"/>
      <c r="L385" s="17" t="s">
        <v>27</v>
      </c>
      <c r="M385" s="16" t="s">
        <v>22</v>
      </c>
      <c r="N385" s="39" t="s">
        <v>418</v>
      </c>
    </row>
    <row r="386" spans="1:14" s="12" customFormat="1" ht="31.5">
      <c r="A386" s="15" t="s">
        <v>96</v>
      </c>
      <c r="B386" s="75" t="s">
        <v>809</v>
      </c>
      <c r="C386" s="39" t="s">
        <v>343</v>
      </c>
      <c r="D386" s="42">
        <v>0</v>
      </c>
      <c r="E386" s="42">
        <v>0</v>
      </c>
      <c r="F386" s="42">
        <v>0</v>
      </c>
      <c r="G386" s="42">
        <v>0</v>
      </c>
      <c r="H386" s="40">
        <f>SUM(Tabla1325[[#This Row],[PRIMER TRIMESTRE]:[CUARTO TRIMESTRE]])</f>
        <v>0</v>
      </c>
      <c r="I386" s="72">
        <v>103.14</v>
      </c>
      <c r="J386" s="17">
        <f t="shared" si="10"/>
        <v>0</v>
      </c>
      <c r="K386" s="17"/>
      <c r="L386" s="17" t="s">
        <v>27</v>
      </c>
      <c r="M386" s="16" t="s">
        <v>22</v>
      </c>
      <c r="N386" s="39" t="s">
        <v>418</v>
      </c>
    </row>
    <row r="387" spans="1:14" s="12" customFormat="1" ht="31.5">
      <c r="A387" s="15" t="s">
        <v>96</v>
      </c>
      <c r="B387" s="75" t="s">
        <v>810</v>
      </c>
      <c r="C387" s="39" t="s">
        <v>343</v>
      </c>
      <c r="D387" s="42">
        <v>0</v>
      </c>
      <c r="E387" s="42">
        <v>0</v>
      </c>
      <c r="F387" s="42">
        <v>0</v>
      </c>
      <c r="G387" s="42">
        <v>0</v>
      </c>
      <c r="H387" s="40">
        <f>SUM(Tabla1325[[#This Row],[PRIMER TRIMESTRE]:[CUARTO TRIMESTRE]])</f>
        <v>0</v>
      </c>
      <c r="I387" s="17">
        <v>127.96</v>
      </c>
      <c r="J387" s="17">
        <f t="shared" si="10"/>
        <v>0</v>
      </c>
      <c r="K387" s="17"/>
      <c r="L387" s="17" t="s">
        <v>27</v>
      </c>
      <c r="M387" s="16" t="s">
        <v>22</v>
      </c>
      <c r="N387" s="39" t="s">
        <v>418</v>
      </c>
    </row>
    <row r="388" spans="1:14" s="12" customFormat="1" ht="31.5">
      <c r="A388" s="15" t="s">
        <v>96</v>
      </c>
      <c r="B388" s="75" t="s">
        <v>811</v>
      </c>
      <c r="C388" s="39" t="s">
        <v>343</v>
      </c>
      <c r="D388" s="42">
        <v>0</v>
      </c>
      <c r="E388" s="42">
        <v>0</v>
      </c>
      <c r="F388" s="42">
        <v>0</v>
      </c>
      <c r="G388" s="42">
        <v>0</v>
      </c>
      <c r="H388" s="40">
        <f>SUM(Tabla1325[[#This Row],[PRIMER TRIMESTRE]:[CUARTO TRIMESTRE]])</f>
        <v>0</v>
      </c>
      <c r="I388" s="17">
        <v>159.21</v>
      </c>
      <c r="J388" s="17">
        <f t="shared" si="10"/>
        <v>0</v>
      </c>
      <c r="K388" s="17"/>
      <c r="L388" s="17" t="s">
        <v>27</v>
      </c>
      <c r="M388" s="16" t="s">
        <v>22</v>
      </c>
      <c r="N388" s="39" t="s">
        <v>418</v>
      </c>
    </row>
    <row r="389" spans="1:14" s="12" customFormat="1" ht="31.5">
      <c r="A389" s="15" t="s">
        <v>96</v>
      </c>
      <c r="B389" s="75" t="s">
        <v>812</v>
      </c>
      <c r="C389" s="39" t="s">
        <v>343</v>
      </c>
      <c r="D389" s="42">
        <v>0</v>
      </c>
      <c r="E389" s="42">
        <v>0</v>
      </c>
      <c r="F389" s="42">
        <v>0</v>
      </c>
      <c r="G389" s="42">
        <v>0</v>
      </c>
      <c r="H389" s="40">
        <f>SUM(Tabla1325[[#This Row],[PRIMER TRIMESTRE]:[CUARTO TRIMESTRE]])</f>
        <v>0</v>
      </c>
      <c r="I389" s="17">
        <v>198.41</v>
      </c>
      <c r="J389" s="17">
        <f t="shared" si="10"/>
        <v>0</v>
      </c>
      <c r="K389" s="17"/>
      <c r="L389" s="17" t="s">
        <v>27</v>
      </c>
      <c r="M389" s="16" t="s">
        <v>22</v>
      </c>
      <c r="N389" s="39" t="s">
        <v>418</v>
      </c>
    </row>
    <row r="390" spans="1:14" s="12" customFormat="1" ht="31.5">
      <c r="A390" s="15" t="s">
        <v>96</v>
      </c>
      <c r="B390" s="75" t="s">
        <v>813</v>
      </c>
      <c r="C390" s="39" t="s">
        <v>343</v>
      </c>
      <c r="D390" s="42">
        <v>0</v>
      </c>
      <c r="E390" s="42">
        <v>0</v>
      </c>
      <c r="F390" s="42">
        <v>0</v>
      </c>
      <c r="G390" s="42">
        <v>0</v>
      </c>
      <c r="H390" s="40">
        <f>SUM(Tabla1325[[#This Row],[PRIMER TRIMESTRE]:[CUARTO TRIMESTRE]])</f>
        <v>0</v>
      </c>
      <c r="I390" s="17">
        <v>237.63</v>
      </c>
      <c r="J390" s="17">
        <f t="shared" si="10"/>
        <v>0</v>
      </c>
      <c r="K390" s="17"/>
      <c r="L390" s="17" t="s">
        <v>27</v>
      </c>
      <c r="M390" s="16" t="s">
        <v>22</v>
      </c>
      <c r="N390" s="39" t="s">
        <v>418</v>
      </c>
    </row>
    <row r="391" spans="1:14" s="12" customFormat="1" ht="31.5">
      <c r="A391" s="15" t="s">
        <v>96</v>
      </c>
      <c r="B391" s="75" t="s">
        <v>814</v>
      </c>
      <c r="C391" s="39" t="s">
        <v>343</v>
      </c>
      <c r="D391" s="42">
        <v>0</v>
      </c>
      <c r="E391" s="42">
        <v>0</v>
      </c>
      <c r="F391" s="42">
        <v>0</v>
      </c>
      <c r="G391" s="42">
        <v>0</v>
      </c>
      <c r="H391" s="40">
        <f>SUM(Tabla1325[[#This Row],[PRIMER TRIMESTRE]:[CUARTO TRIMESTRE]])</f>
        <v>0</v>
      </c>
      <c r="I391" s="17">
        <v>333.78</v>
      </c>
      <c r="J391" s="17">
        <f t="shared" si="10"/>
        <v>0</v>
      </c>
      <c r="K391" s="17"/>
      <c r="L391" s="17" t="s">
        <v>27</v>
      </c>
      <c r="M391" s="16" t="s">
        <v>22</v>
      </c>
      <c r="N391" s="39" t="s">
        <v>418</v>
      </c>
    </row>
    <row r="392" spans="1:14" s="12" customFormat="1" ht="31.5">
      <c r="A392" s="15" t="s">
        <v>96</v>
      </c>
      <c r="B392" s="77" t="s">
        <v>874</v>
      </c>
      <c r="C392" s="39" t="s">
        <v>17</v>
      </c>
      <c r="D392" s="42">
        <v>0</v>
      </c>
      <c r="E392" s="42">
        <v>0</v>
      </c>
      <c r="F392" s="42">
        <v>0</v>
      </c>
      <c r="G392" s="42">
        <v>0</v>
      </c>
      <c r="H392" s="40">
        <f>SUM(Tabla1325[[#This Row],[PRIMER TRIMESTRE]:[CUARTO TRIMESTRE]])</f>
        <v>0</v>
      </c>
      <c r="I392" s="17">
        <v>9.84</v>
      </c>
      <c r="J392" s="17">
        <f t="shared" si="10"/>
        <v>0</v>
      </c>
      <c r="K392" s="17"/>
      <c r="L392" s="16" t="s">
        <v>27</v>
      </c>
      <c r="M392" s="16" t="s">
        <v>22</v>
      </c>
      <c r="N392" s="39"/>
    </row>
    <row r="393" spans="1:14" s="12" customFormat="1" ht="31.5">
      <c r="A393" s="15" t="s">
        <v>96</v>
      </c>
      <c r="B393" s="77" t="s">
        <v>875</v>
      </c>
      <c r="C393" s="39" t="s">
        <v>17</v>
      </c>
      <c r="D393" s="42">
        <v>0</v>
      </c>
      <c r="E393" s="42">
        <v>0</v>
      </c>
      <c r="F393" s="42">
        <v>0</v>
      </c>
      <c r="G393" s="42">
        <v>0</v>
      </c>
      <c r="H393" s="40">
        <f>SUM(Tabla1325[[#This Row],[PRIMER TRIMESTRE]:[CUARTO TRIMESTRE]])</f>
        <v>0</v>
      </c>
      <c r="I393" s="17">
        <v>26.3</v>
      </c>
      <c r="J393" s="17">
        <f t="shared" si="10"/>
        <v>0</v>
      </c>
      <c r="K393" s="17"/>
      <c r="L393" s="16" t="s">
        <v>27</v>
      </c>
      <c r="M393" s="16" t="s">
        <v>22</v>
      </c>
      <c r="N393" s="39"/>
    </row>
    <row r="394" spans="1:14" s="12" customFormat="1" ht="31.5">
      <c r="A394" s="15" t="s">
        <v>96</v>
      </c>
      <c r="B394" s="77" t="s">
        <v>876</v>
      </c>
      <c r="C394" s="39" t="s">
        <v>17</v>
      </c>
      <c r="D394" s="42">
        <v>0</v>
      </c>
      <c r="E394" s="42">
        <v>0</v>
      </c>
      <c r="F394" s="42">
        <v>0</v>
      </c>
      <c r="G394" s="42">
        <v>0</v>
      </c>
      <c r="H394" s="40">
        <f>SUM(Tabla1325[[#This Row],[PRIMER TRIMESTRE]:[CUARTO TRIMESTRE]])</f>
        <v>0</v>
      </c>
      <c r="I394" s="17">
        <v>60.07</v>
      </c>
      <c r="J394" s="17">
        <f t="shared" si="10"/>
        <v>0</v>
      </c>
      <c r="K394" s="17"/>
      <c r="L394" s="16" t="s">
        <v>27</v>
      </c>
      <c r="M394" s="16" t="s">
        <v>22</v>
      </c>
      <c r="N394" s="39"/>
    </row>
    <row r="395" spans="1:14" s="12" customFormat="1" ht="31.5">
      <c r="A395" s="15" t="s">
        <v>96</v>
      </c>
      <c r="B395" s="77" t="s">
        <v>877</v>
      </c>
      <c r="C395" s="39" t="s">
        <v>17</v>
      </c>
      <c r="D395" s="42">
        <v>0</v>
      </c>
      <c r="E395" s="42">
        <v>0</v>
      </c>
      <c r="F395" s="42">
        <v>0</v>
      </c>
      <c r="G395" s="42">
        <v>0</v>
      </c>
      <c r="H395" s="40">
        <f>SUM(Tabla1325[[#This Row],[PRIMER TRIMESTRE]:[CUARTO TRIMESTRE]])</f>
        <v>0</v>
      </c>
      <c r="I395" s="17">
        <v>153.30000000000001</v>
      </c>
      <c r="J395" s="17">
        <f t="shared" si="10"/>
        <v>0</v>
      </c>
      <c r="K395" s="17"/>
      <c r="L395" s="16" t="s">
        <v>27</v>
      </c>
      <c r="M395" s="16" t="s">
        <v>22</v>
      </c>
      <c r="N395" s="39"/>
    </row>
    <row r="396" spans="1:14" s="12" customFormat="1" ht="31.5">
      <c r="A396" s="15" t="s">
        <v>96</v>
      </c>
      <c r="B396" s="77" t="s">
        <v>878</v>
      </c>
      <c r="C396" s="39" t="s">
        <v>17</v>
      </c>
      <c r="D396" s="42">
        <v>0</v>
      </c>
      <c r="E396" s="42">
        <v>0</v>
      </c>
      <c r="F396" s="42">
        <v>0</v>
      </c>
      <c r="G396" s="42">
        <v>0</v>
      </c>
      <c r="H396" s="40">
        <f>SUM(Tabla1325[[#This Row],[PRIMER TRIMESTRE]:[CUARTO TRIMESTRE]])</f>
        <v>0</v>
      </c>
      <c r="I396" s="17">
        <v>169.36</v>
      </c>
      <c r="J396" s="17">
        <f t="shared" si="10"/>
        <v>0</v>
      </c>
      <c r="K396" s="17"/>
      <c r="L396" s="16" t="s">
        <v>27</v>
      </c>
      <c r="M396" s="16" t="s">
        <v>22</v>
      </c>
      <c r="N396" s="39"/>
    </row>
    <row r="397" spans="1:14" s="12" customFormat="1" ht="31.5">
      <c r="A397" s="15" t="s">
        <v>96</v>
      </c>
      <c r="B397" s="77" t="s">
        <v>879</v>
      </c>
      <c r="C397" s="39" t="s">
        <v>17</v>
      </c>
      <c r="D397" s="42">
        <v>0</v>
      </c>
      <c r="E397" s="42">
        <v>0</v>
      </c>
      <c r="F397" s="42">
        <v>0</v>
      </c>
      <c r="G397" s="42">
        <v>0</v>
      </c>
      <c r="H397" s="40">
        <f>SUM(Tabla1325[[#This Row],[PRIMER TRIMESTRE]:[CUARTO TRIMESTRE]])</f>
        <v>0</v>
      </c>
      <c r="I397" s="17">
        <v>6948.2</v>
      </c>
      <c r="J397" s="17">
        <f>+H397*I397</f>
        <v>0</v>
      </c>
      <c r="K397" s="17"/>
      <c r="L397" s="16" t="s">
        <v>27</v>
      </c>
      <c r="M397" s="16" t="s">
        <v>22</v>
      </c>
      <c r="N397" s="39"/>
    </row>
    <row r="398" spans="1:14" s="12" customFormat="1" ht="31.5">
      <c r="A398" s="15" t="s">
        <v>96</v>
      </c>
      <c r="B398" s="77" t="s">
        <v>880</v>
      </c>
      <c r="C398" s="39" t="s">
        <v>17</v>
      </c>
      <c r="D398" s="42">
        <v>0</v>
      </c>
      <c r="E398" s="42">
        <v>0</v>
      </c>
      <c r="F398" s="42">
        <v>0</v>
      </c>
      <c r="G398" s="42">
        <v>0</v>
      </c>
      <c r="H398" s="40">
        <f>SUM(Tabla1325[[#This Row],[PRIMER TRIMESTRE]:[CUARTO TRIMESTRE]])</f>
        <v>0</v>
      </c>
      <c r="I398" s="17">
        <v>14000</v>
      </c>
      <c r="J398" s="17">
        <f>+H398*I398</f>
        <v>0</v>
      </c>
      <c r="K398" s="17"/>
      <c r="L398" s="16" t="s">
        <v>27</v>
      </c>
      <c r="M398" s="16" t="s">
        <v>22</v>
      </c>
      <c r="N398" s="39"/>
    </row>
    <row r="399" spans="1:14" s="12" customFormat="1" ht="31.5">
      <c r="A399" s="15" t="s">
        <v>96</v>
      </c>
      <c r="B399" s="75" t="s">
        <v>882</v>
      </c>
      <c r="C399" s="39" t="s">
        <v>17</v>
      </c>
      <c r="D399" s="42">
        <v>0</v>
      </c>
      <c r="E399" s="42">
        <v>0</v>
      </c>
      <c r="F399" s="42">
        <v>0</v>
      </c>
      <c r="G399" s="42">
        <v>0</v>
      </c>
      <c r="H399" s="40">
        <f>SUM(Tabla1325[[#This Row],[PRIMER TRIMESTRE]:[CUARTO TRIMESTRE]])</f>
        <v>0</v>
      </c>
      <c r="I399" s="17">
        <v>477.41</v>
      </c>
      <c r="J399" s="17">
        <f t="shared" si="10"/>
        <v>0</v>
      </c>
      <c r="K399" s="17"/>
      <c r="L399" s="16" t="s">
        <v>27</v>
      </c>
      <c r="M399" s="16" t="s">
        <v>22</v>
      </c>
      <c r="N399" s="39"/>
    </row>
    <row r="400" spans="1:14" s="12" customFormat="1" ht="31.5">
      <c r="A400" s="15" t="s">
        <v>96</v>
      </c>
      <c r="B400" s="75" t="s">
        <v>883</v>
      </c>
      <c r="C400" s="39" t="s">
        <v>17</v>
      </c>
      <c r="D400" s="42">
        <v>0</v>
      </c>
      <c r="E400" s="42">
        <v>0</v>
      </c>
      <c r="F400" s="42">
        <v>0</v>
      </c>
      <c r="G400" s="42">
        <v>0</v>
      </c>
      <c r="H400" s="40">
        <f>SUM(Tabla1325[[#This Row],[PRIMER TRIMESTRE]:[CUARTO TRIMESTRE]])</f>
        <v>0</v>
      </c>
      <c r="I400" s="17">
        <v>223.74</v>
      </c>
      <c r="J400" s="17">
        <f t="shared" si="10"/>
        <v>0</v>
      </c>
      <c r="K400" s="17"/>
      <c r="L400" s="16" t="s">
        <v>27</v>
      </c>
      <c r="M400" s="16" t="s">
        <v>22</v>
      </c>
      <c r="N400" s="39"/>
    </row>
    <row r="401" spans="1:17" s="12" customFormat="1" ht="31.5">
      <c r="A401" s="15" t="s">
        <v>96</v>
      </c>
      <c r="B401" s="75" t="s">
        <v>884</v>
      </c>
      <c r="C401" s="39" t="s">
        <v>17</v>
      </c>
      <c r="D401" s="42">
        <v>0</v>
      </c>
      <c r="E401" s="42">
        <v>0</v>
      </c>
      <c r="F401" s="42">
        <v>0</v>
      </c>
      <c r="G401" s="42">
        <v>0</v>
      </c>
      <c r="H401" s="40">
        <f>SUM(Tabla1325[[#This Row],[PRIMER TRIMESTRE]:[CUARTO TRIMESTRE]])</f>
        <v>0</v>
      </c>
      <c r="I401" s="17">
        <v>562.6</v>
      </c>
      <c r="J401" s="17">
        <f t="shared" si="10"/>
        <v>0</v>
      </c>
      <c r="K401" s="17"/>
      <c r="L401" s="16" t="s">
        <v>27</v>
      </c>
      <c r="M401" s="16" t="s">
        <v>22</v>
      </c>
      <c r="N401" s="39"/>
    </row>
    <row r="402" spans="1:17" s="12" customFormat="1" ht="31.5">
      <c r="A402" s="15" t="s">
        <v>96</v>
      </c>
      <c r="B402" s="75" t="s">
        <v>885</v>
      </c>
      <c r="C402" s="39" t="s">
        <v>344</v>
      </c>
      <c r="D402" s="42">
        <v>0</v>
      </c>
      <c r="E402" s="42">
        <v>0</v>
      </c>
      <c r="F402" s="42">
        <v>0</v>
      </c>
      <c r="G402" s="42">
        <v>0</v>
      </c>
      <c r="H402" s="40">
        <f>SUM(Tabla1325[[#This Row],[PRIMER TRIMESTRE]:[CUARTO TRIMESTRE]])</f>
        <v>0</v>
      </c>
      <c r="I402" s="17">
        <v>572</v>
      </c>
      <c r="J402" s="17">
        <f t="shared" si="10"/>
        <v>0</v>
      </c>
      <c r="K402" s="17"/>
      <c r="L402" s="16" t="s">
        <v>27</v>
      </c>
      <c r="M402" s="16" t="s">
        <v>22</v>
      </c>
      <c r="N402" s="39"/>
    </row>
    <row r="403" spans="1:17" s="12" customFormat="1" ht="31.5">
      <c r="A403" s="15" t="s">
        <v>96</v>
      </c>
      <c r="B403" s="75" t="s">
        <v>886</v>
      </c>
      <c r="C403" s="39" t="s">
        <v>344</v>
      </c>
      <c r="D403" s="42">
        <v>0</v>
      </c>
      <c r="E403" s="42">
        <v>0</v>
      </c>
      <c r="F403" s="42">
        <v>0</v>
      </c>
      <c r="G403" s="42">
        <v>0</v>
      </c>
      <c r="H403" s="40">
        <f>SUM(Tabla1325[[#This Row],[PRIMER TRIMESTRE]:[CUARTO TRIMESTRE]])</f>
        <v>0</v>
      </c>
      <c r="I403" s="17">
        <v>1216</v>
      </c>
      <c r="J403" s="17">
        <f t="shared" si="10"/>
        <v>0</v>
      </c>
      <c r="K403" s="17"/>
      <c r="L403" s="16" t="s">
        <v>27</v>
      </c>
      <c r="M403" s="16" t="s">
        <v>22</v>
      </c>
      <c r="N403" s="39"/>
    </row>
    <row r="404" spans="1:17" s="12" customFormat="1" ht="31.5">
      <c r="A404" s="15" t="s">
        <v>96</v>
      </c>
      <c r="B404" s="75" t="s">
        <v>887</v>
      </c>
      <c r="C404" s="39" t="s">
        <v>344</v>
      </c>
      <c r="D404" s="42">
        <v>0</v>
      </c>
      <c r="E404" s="42">
        <v>0</v>
      </c>
      <c r="F404" s="42">
        <v>0</v>
      </c>
      <c r="G404" s="42">
        <v>0</v>
      </c>
      <c r="H404" s="40">
        <f>SUM(Tabla1325[[#This Row],[PRIMER TRIMESTRE]:[CUARTO TRIMESTRE]])</f>
        <v>0</v>
      </c>
      <c r="I404" s="17">
        <v>1860</v>
      </c>
      <c r="J404" s="17">
        <f t="shared" si="10"/>
        <v>0</v>
      </c>
      <c r="K404" s="17"/>
      <c r="L404" s="16" t="s">
        <v>27</v>
      </c>
      <c r="M404" s="16" t="s">
        <v>22</v>
      </c>
      <c r="N404" s="39"/>
    </row>
    <row r="405" spans="1:17" s="12" customFormat="1" ht="31.5">
      <c r="A405" s="15" t="s">
        <v>96</v>
      </c>
      <c r="B405" s="75" t="s">
        <v>888</v>
      </c>
      <c r="C405" s="39" t="s">
        <v>344</v>
      </c>
      <c r="D405" s="42">
        <v>0</v>
      </c>
      <c r="E405" s="42">
        <v>0</v>
      </c>
      <c r="F405" s="42">
        <v>0</v>
      </c>
      <c r="G405" s="42">
        <v>0</v>
      </c>
      <c r="H405" s="40">
        <f>SUM(Tabla1325[[#This Row],[PRIMER TRIMESTRE]:[CUARTO TRIMESTRE]])</f>
        <v>0</v>
      </c>
      <c r="I405" s="17">
        <v>406</v>
      </c>
      <c r="J405" s="17">
        <f t="shared" si="10"/>
        <v>0</v>
      </c>
      <c r="K405" s="17"/>
      <c r="L405" s="16" t="s">
        <v>27</v>
      </c>
      <c r="M405" s="16" t="s">
        <v>22</v>
      </c>
      <c r="N405" s="39"/>
    </row>
    <row r="406" spans="1:17" s="12" customFormat="1" ht="31.5">
      <c r="A406" s="15" t="s">
        <v>96</v>
      </c>
      <c r="B406" s="75" t="s">
        <v>815</v>
      </c>
      <c r="C406" s="39" t="s">
        <v>17</v>
      </c>
      <c r="D406" s="42">
        <v>0</v>
      </c>
      <c r="E406" s="42">
        <v>0</v>
      </c>
      <c r="F406" s="42">
        <v>0</v>
      </c>
      <c r="G406" s="42">
        <v>0</v>
      </c>
      <c r="H406" s="40">
        <f>SUM(Tabla1325[[#This Row],[PRIMER TRIMESTRE]:[CUARTO TRIMESTRE]])</f>
        <v>0</v>
      </c>
      <c r="I406" s="17">
        <v>3213.2</v>
      </c>
      <c r="J406" s="17">
        <f t="shared" si="10"/>
        <v>0</v>
      </c>
      <c r="K406" s="17"/>
      <c r="L406" s="17" t="s">
        <v>27</v>
      </c>
      <c r="M406" s="16" t="s">
        <v>22</v>
      </c>
      <c r="N406" s="39"/>
    </row>
    <row r="407" spans="1:17" s="12" customFormat="1" ht="31.5">
      <c r="A407" s="15" t="s">
        <v>96</v>
      </c>
      <c r="B407" s="75" t="s">
        <v>913</v>
      </c>
      <c r="C407" s="39" t="s">
        <v>343</v>
      </c>
      <c r="D407" s="42">
        <v>0</v>
      </c>
      <c r="E407" s="42">
        <v>0</v>
      </c>
      <c r="F407" s="42">
        <v>0</v>
      </c>
      <c r="G407" s="42">
        <v>0</v>
      </c>
      <c r="H407" s="40">
        <f>SUM(Tabla1325[[#This Row],[PRIMER TRIMESTRE]:[CUARTO TRIMESTRE]])</f>
        <v>0</v>
      </c>
      <c r="I407" s="72">
        <v>17</v>
      </c>
      <c r="J407" s="17">
        <f t="shared" si="10"/>
        <v>0</v>
      </c>
      <c r="K407" s="17"/>
      <c r="L407" s="16" t="s">
        <v>18</v>
      </c>
      <c r="M407" s="16" t="s">
        <v>22</v>
      </c>
      <c r="N407" s="39"/>
    </row>
    <row r="408" spans="1:17" s="12" customFormat="1" ht="31.5">
      <c r="A408" s="15" t="s">
        <v>96</v>
      </c>
      <c r="B408" s="75" t="s">
        <v>914</v>
      </c>
      <c r="C408" s="39" t="s">
        <v>343</v>
      </c>
      <c r="D408" s="42">
        <v>0</v>
      </c>
      <c r="E408" s="42">
        <v>0</v>
      </c>
      <c r="F408" s="42">
        <v>0</v>
      </c>
      <c r="G408" s="42">
        <v>0</v>
      </c>
      <c r="H408" s="40">
        <f>SUM(Tabla1325[[#This Row],[PRIMER TRIMESTRE]:[CUARTO TRIMESTRE]])</f>
        <v>0</v>
      </c>
      <c r="I408" s="17">
        <v>92.28</v>
      </c>
      <c r="J408" s="17">
        <f t="shared" si="10"/>
        <v>0</v>
      </c>
      <c r="K408" s="17"/>
      <c r="L408" s="16" t="s">
        <v>18</v>
      </c>
      <c r="M408" s="16" t="s">
        <v>22</v>
      </c>
      <c r="N408" s="39"/>
    </row>
    <row r="409" spans="1:17" s="12" customFormat="1" ht="31.5">
      <c r="A409" s="15" t="s">
        <v>96</v>
      </c>
      <c r="B409" s="75" t="s">
        <v>915</v>
      </c>
      <c r="C409" s="39" t="s">
        <v>343</v>
      </c>
      <c r="D409" s="42">
        <v>0</v>
      </c>
      <c r="E409" s="42">
        <v>0</v>
      </c>
      <c r="F409" s="42">
        <v>0</v>
      </c>
      <c r="G409" s="42">
        <v>0</v>
      </c>
      <c r="H409" s="40">
        <f>SUM(Tabla1325[[#This Row],[PRIMER TRIMESTRE]:[CUARTO TRIMESTRE]])</f>
        <v>0</v>
      </c>
      <c r="I409" s="17">
        <v>131.91999999999999</v>
      </c>
      <c r="J409" s="17">
        <f t="shared" si="10"/>
        <v>0</v>
      </c>
      <c r="K409" s="17"/>
      <c r="L409" s="16" t="s">
        <v>18</v>
      </c>
      <c r="M409" s="16" t="s">
        <v>22</v>
      </c>
      <c r="N409" s="39"/>
    </row>
    <row r="410" spans="1:17" s="12" customFormat="1" ht="31.5">
      <c r="A410" s="15" t="s">
        <v>96</v>
      </c>
      <c r="B410" s="75" t="s">
        <v>916</v>
      </c>
      <c r="C410" s="39" t="s">
        <v>343</v>
      </c>
      <c r="D410" s="42">
        <v>0</v>
      </c>
      <c r="E410" s="42">
        <v>0</v>
      </c>
      <c r="F410" s="42">
        <v>0</v>
      </c>
      <c r="G410" s="42">
        <v>0</v>
      </c>
      <c r="H410" s="40">
        <f>SUM(Tabla1325[[#This Row],[PRIMER TRIMESTRE]:[CUARTO TRIMESTRE]])</f>
        <v>0</v>
      </c>
      <c r="I410" s="17">
        <v>200.68</v>
      </c>
      <c r="J410" s="17">
        <f t="shared" si="10"/>
        <v>0</v>
      </c>
      <c r="K410" s="17"/>
      <c r="L410" s="16" t="s">
        <v>18</v>
      </c>
      <c r="M410" s="16" t="s">
        <v>22</v>
      </c>
      <c r="N410" s="39"/>
    </row>
    <row r="411" spans="1:17" s="12" customFormat="1" ht="31.5">
      <c r="A411" s="15" t="s">
        <v>96</v>
      </c>
      <c r="B411" s="75" t="s">
        <v>917</v>
      </c>
      <c r="C411" s="39" t="s">
        <v>343</v>
      </c>
      <c r="D411" s="42">
        <v>0</v>
      </c>
      <c r="E411" s="42">
        <v>0</v>
      </c>
      <c r="F411" s="42">
        <v>0</v>
      </c>
      <c r="G411" s="42">
        <v>0</v>
      </c>
      <c r="H411" s="40">
        <f>SUM(Tabla1325[[#This Row],[PRIMER TRIMESTRE]:[CUARTO TRIMESTRE]])</f>
        <v>0</v>
      </c>
      <c r="I411" s="17">
        <v>329.66</v>
      </c>
      <c r="J411" s="17">
        <f t="shared" si="10"/>
        <v>0</v>
      </c>
      <c r="K411" s="17"/>
      <c r="L411" s="16" t="s">
        <v>18</v>
      </c>
      <c r="M411" s="16" t="s">
        <v>22</v>
      </c>
      <c r="N411" s="39"/>
    </row>
    <row r="412" spans="1:17" s="12" customFormat="1" ht="31.5">
      <c r="A412" s="15" t="s">
        <v>96</v>
      </c>
      <c r="B412" s="75" t="s">
        <v>918</v>
      </c>
      <c r="C412" s="39" t="s">
        <v>343</v>
      </c>
      <c r="D412" s="42">
        <v>0</v>
      </c>
      <c r="E412" s="42">
        <v>0</v>
      </c>
      <c r="F412" s="42">
        <v>0</v>
      </c>
      <c r="G412" s="42">
        <v>0</v>
      </c>
      <c r="H412" s="40">
        <f>SUM(Tabla1325[[#This Row],[PRIMER TRIMESTRE]:[CUARTO TRIMESTRE]])</f>
        <v>0</v>
      </c>
      <c r="I412" s="17">
        <v>569.70000000000005</v>
      </c>
      <c r="J412" s="17">
        <f t="shared" si="10"/>
        <v>0</v>
      </c>
      <c r="K412" s="17"/>
      <c r="L412" s="16" t="s">
        <v>18</v>
      </c>
      <c r="M412" s="16" t="s">
        <v>22</v>
      </c>
      <c r="N412" s="39"/>
    </row>
    <row r="413" spans="1:17" s="12" customFormat="1" ht="31.5">
      <c r="A413" s="15" t="s">
        <v>96</v>
      </c>
      <c r="B413" s="75" t="s">
        <v>773</v>
      </c>
      <c r="C413" s="39" t="s">
        <v>17</v>
      </c>
      <c r="D413" s="42">
        <v>0</v>
      </c>
      <c r="E413" s="42">
        <v>0</v>
      </c>
      <c r="F413" s="42">
        <v>0</v>
      </c>
      <c r="G413" s="42">
        <v>0</v>
      </c>
      <c r="H413" s="40">
        <f>SUM(Tabla1325[[#This Row],[PRIMER TRIMESTRE]:[CUARTO TRIMESTRE]])</f>
        <v>0</v>
      </c>
      <c r="I413" s="72">
        <v>500</v>
      </c>
      <c r="J413" s="17">
        <f>+H413*I413</f>
        <v>0</v>
      </c>
      <c r="K413" s="17"/>
      <c r="L413" s="16" t="s">
        <v>27</v>
      </c>
      <c r="M413" s="16" t="s">
        <v>22</v>
      </c>
      <c r="N413" s="39" t="s">
        <v>418</v>
      </c>
      <c r="Q413" s="19"/>
    </row>
    <row r="414" spans="1:17" s="12" customFormat="1" ht="31.5">
      <c r="A414" s="15" t="s">
        <v>96</v>
      </c>
      <c r="B414" s="75" t="s">
        <v>774</v>
      </c>
      <c r="C414" s="39" t="s">
        <v>17</v>
      </c>
      <c r="D414" s="42">
        <v>0</v>
      </c>
      <c r="E414" s="42">
        <v>0</v>
      </c>
      <c r="F414" s="42">
        <v>0</v>
      </c>
      <c r="G414" s="42">
        <v>0</v>
      </c>
      <c r="H414" s="40">
        <f>SUM(Tabla1325[[#This Row],[PRIMER TRIMESTRE]:[CUARTO TRIMESTRE]])</f>
        <v>0</v>
      </c>
      <c r="I414" s="72">
        <v>1380</v>
      </c>
      <c r="J414" s="17">
        <f>+H414*I414</f>
        <v>0</v>
      </c>
      <c r="K414" s="17"/>
      <c r="L414" s="16" t="s">
        <v>27</v>
      </c>
      <c r="M414" s="16" t="s">
        <v>22</v>
      </c>
      <c r="N414" s="39" t="s">
        <v>418</v>
      </c>
      <c r="Q414" s="19"/>
    </row>
    <row r="415" spans="1:17" s="12" customFormat="1" ht="31.5">
      <c r="A415" s="15" t="s">
        <v>96</v>
      </c>
      <c r="B415" s="75" t="s">
        <v>775</v>
      </c>
      <c r="C415" s="39" t="s">
        <v>17</v>
      </c>
      <c r="D415" s="42">
        <v>0</v>
      </c>
      <c r="E415" s="42">
        <v>0</v>
      </c>
      <c r="F415" s="42">
        <v>0</v>
      </c>
      <c r="G415" s="42">
        <v>0</v>
      </c>
      <c r="H415" s="40">
        <f>SUM(Tabla1325[[#This Row],[PRIMER TRIMESTRE]:[CUARTO TRIMESTRE]])</f>
        <v>0</v>
      </c>
      <c r="I415" s="72">
        <v>3200</v>
      </c>
      <c r="J415" s="17">
        <f>+H415*I415</f>
        <v>0</v>
      </c>
      <c r="K415" s="17"/>
      <c r="L415" s="16" t="s">
        <v>27</v>
      </c>
      <c r="M415" s="16" t="s">
        <v>22</v>
      </c>
      <c r="N415" s="39" t="s">
        <v>418</v>
      </c>
      <c r="Q415" s="19"/>
    </row>
    <row r="416" spans="1:17" s="12" customFormat="1" ht="38.25">
      <c r="A416" s="15" t="s">
        <v>96</v>
      </c>
      <c r="B416" s="75" t="s">
        <v>816</v>
      </c>
      <c r="C416" s="39" t="s">
        <v>17</v>
      </c>
      <c r="D416" s="42">
        <v>0</v>
      </c>
      <c r="E416" s="42">
        <v>0</v>
      </c>
      <c r="F416" s="42">
        <v>0</v>
      </c>
      <c r="G416" s="42">
        <v>0</v>
      </c>
      <c r="H416" s="40">
        <f>SUM(Tabla1325[[#This Row],[PRIMER TRIMESTRE]:[CUARTO TRIMESTRE]])</f>
        <v>0</v>
      </c>
      <c r="I416" s="72">
        <v>565000</v>
      </c>
      <c r="J416" s="17">
        <f t="shared" si="10"/>
        <v>0</v>
      </c>
      <c r="K416" s="17"/>
      <c r="L416" s="16" t="s">
        <v>18</v>
      </c>
      <c r="M416" s="16" t="s">
        <v>19</v>
      </c>
      <c r="N416" s="39"/>
    </row>
    <row r="417" spans="1:14" s="12" customFormat="1" ht="38.25">
      <c r="A417" s="15" t="s">
        <v>96</v>
      </c>
      <c r="B417" s="75" t="s">
        <v>817</v>
      </c>
      <c r="C417" s="39" t="s">
        <v>17</v>
      </c>
      <c r="D417" s="42">
        <v>0</v>
      </c>
      <c r="E417" s="42">
        <v>0</v>
      </c>
      <c r="F417" s="42">
        <v>0</v>
      </c>
      <c r="G417" s="42">
        <v>0</v>
      </c>
      <c r="H417" s="40">
        <f>SUM(Tabla1325[[#This Row],[PRIMER TRIMESTRE]:[CUARTO TRIMESTRE]])</f>
        <v>0</v>
      </c>
      <c r="I417" s="17">
        <v>461958.2</v>
      </c>
      <c r="J417" s="17">
        <f t="shared" si="10"/>
        <v>0</v>
      </c>
      <c r="K417" s="17"/>
      <c r="L417" s="16" t="s">
        <v>18</v>
      </c>
      <c r="M417" s="16" t="s">
        <v>19</v>
      </c>
      <c r="N417" s="39"/>
    </row>
    <row r="418" spans="1:14" s="12" customFormat="1" ht="38.25">
      <c r="A418" s="15" t="s">
        <v>96</v>
      </c>
      <c r="B418" s="75" t="s">
        <v>818</v>
      </c>
      <c r="C418" s="39" t="s">
        <v>17</v>
      </c>
      <c r="D418" s="42">
        <v>0</v>
      </c>
      <c r="E418" s="42">
        <v>0</v>
      </c>
      <c r="F418" s="42">
        <v>0</v>
      </c>
      <c r="G418" s="42">
        <v>0</v>
      </c>
      <c r="H418" s="40">
        <f>SUM(Tabla1325[[#This Row],[PRIMER TRIMESTRE]:[CUARTO TRIMESTRE]])</f>
        <v>0</v>
      </c>
      <c r="I418" s="17">
        <v>580000</v>
      </c>
      <c r="J418" s="17">
        <f t="shared" si="10"/>
        <v>0</v>
      </c>
      <c r="K418" s="17"/>
      <c r="L418" s="16" t="s">
        <v>18</v>
      </c>
      <c r="M418" s="16" t="s">
        <v>19</v>
      </c>
      <c r="N418" s="39"/>
    </row>
    <row r="419" spans="1:14" s="12" customFormat="1" ht="38.25">
      <c r="A419" s="15" t="s">
        <v>96</v>
      </c>
      <c r="B419" s="75" t="s">
        <v>819</v>
      </c>
      <c r="C419" s="39" t="s">
        <v>17</v>
      </c>
      <c r="D419" s="42">
        <v>0</v>
      </c>
      <c r="E419" s="42">
        <v>0</v>
      </c>
      <c r="F419" s="42">
        <v>0</v>
      </c>
      <c r="G419" s="42">
        <v>0</v>
      </c>
      <c r="H419" s="40">
        <f>SUM(Tabla1325[[#This Row],[PRIMER TRIMESTRE]:[CUARTO TRIMESTRE]])</f>
        <v>0</v>
      </c>
      <c r="I419" s="17">
        <v>69429</v>
      </c>
      <c r="J419" s="17">
        <f t="shared" si="10"/>
        <v>0</v>
      </c>
      <c r="K419" s="17"/>
      <c r="L419" s="16" t="s">
        <v>18</v>
      </c>
      <c r="M419" s="16" t="s">
        <v>19</v>
      </c>
      <c r="N419" s="39"/>
    </row>
    <row r="420" spans="1:14" s="12" customFormat="1" ht="38.25">
      <c r="A420" s="15" t="s">
        <v>96</v>
      </c>
      <c r="B420" s="75" t="s">
        <v>820</v>
      </c>
      <c r="C420" s="39" t="s">
        <v>17</v>
      </c>
      <c r="D420" s="42">
        <v>0</v>
      </c>
      <c r="E420" s="42">
        <v>0</v>
      </c>
      <c r="F420" s="42">
        <v>0</v>
      </c>
      <c r="G420" s="42">
        <v>0</v>
      </c>
      <c r="H420" s="40">
        <f>SUM(Tabla1325[[#This Row],[PRIMER TRIMESTRE]:[CUARTO TRIMESTRE]])</f>
        <v>0</v>
      </c>
      <c r="I420" s="17">
        <v>70038.45</v>
      </c>
      <c r="J420" s="17">
        <f t="shared" si="10"/>
        <v>0</v>
      </c>
      <c r="K420" s="17"/>
      <c r="L420" s="16" t="s">
        <v>18</v>
      </c>
      <c r="M420" s="16" t="s">
        <v>19</v>
      </c>
      <c r="N420" s="39"/>
    </row>
    <row r="421" spans="1:14" s="12" customFormat="1" ht="38.25">
      <c r="A421" s="15" t="s">
        <v>96</v>
      </c>
      <c r="B421" s="75" t="s">
        <v>821</v>
      </c>
      <c r="C421" s="39" t="s">
        <v>17</v>
      </c>
      <c r="D421" s="42">
        <v>0</v>
      </c>
      <c r="E421" s="42">
        <v>0</v>
      </c>
      <c r="F421" s="42">
        <v>0</v>
      </c>
      <c r="G421" s="42">
        <v>0</v>
      </c>
      <c r="H421" s="40">
        <f>SUM(Tabla1325[[#This Row],[PRIMER TRIMESTRE]:[CUARTO TRIMESTRE]])</f>
        <v>0</v>
      </c>
      <c r="I421" s="17">
        <v>61630.63</v>
      </c>
      <c r="J421" s="17">
        <f t="shared" si="10"/>
        <v>0</v>
      </c>
      <c r="K421" s="17"/>
      <c r="L421" s="16" t="s">
        <v>18</v>
      </c>
      <c r="M421" s="16" t="s">
        <v>19</v>
      </c>
      <c r="N421" s="39"/>
    </row>
    <row r="422" spans="1:14" s="12" customFormat="1" ht="38.25">
      <c r="A422" s="15" t="s">
        <v>96</v>
      </c>
      <c r="B422" s="75" t="s">
        <v>822</v>
      </c>
      <c r="C422" s="39" t="s">
        <v>17</v>
      </c>
      <c r="D422" s="42">
        <v>0</v>
      </c>
      <c r="E422" s="42">
        <v>0</v>
      </c>
      <c r="F422" s="42">
        <v>0</v>
      </c>
      <c r="G422" s="42">
        <v>0</v>
      </c>
      <c r="H422" s="40">
        <f>SUM(Tabla1325[[#This Row],[PRIMER TRIMESTRE]:[CUARTO TRIMESTRE]])</f>
        <v>0</v>
      </c>
      <c r="I422" s="17">
        <v>54792</v>
      </c>
      <c r="J422" s="17">
        <f t="shared" si="10"/>
        <v>0</v>
      </c>
      <c r="K422" s="17"/>
      <c r="L422" s="16" t="s">
        <v>18</v>
      </c>
      <c r="M422" s="16" t="s">
        <v>19</v>
      </c>
      <c r="N422" s="39"/>
    </row>
    <row r="423" spans="1:14" s="12" customFormat="1" ht="38.25">
      <c r="A423" s="15" t="s">
        <v>96</v>
      </c>
      <c r="B423" s="75" t="s">
        <v>823</v>
      </c>
      <c r="C423" s="39" t="s">
        <v>17</v>
      </c>
      <c r="D423" s="42">
        <v>0</v>
      </c>
      <c r="E423" s="42">
        <v>0</v>
      </c>
      <c r="F423" s="42">
        <v>0</v>
      </c>
      <c r="G423" s="42">
        <v>0</v>
      </c>
      <c r="H423" s="40">
        <f>SUM(Tabla1325[[#This Row],[PRIMER TRIMESTRE]:[CUARTO TRIMESTRE]])</f>
        <v>0</v>
      </c>
      <c r="I423" s="17">
        <v>49560</v>
      </c>
      <c r="J423" s="17">
        <f t="shared" si="10"/>
        <v>0</v>
      </c>
      <c r="K423" s="17"/>
      <c r="L423" s="16" t="s">
        <v>18</v>
      </c>
      <c r="M423" s="16" t="s">
        <v>19</v>
      </c>
      <c r="N423" s="39"/>
    </row>
    <row r="424" spans="1:14" s="12" customFormat="1" ht="31.5">
      <c r="A424" s="15" t="s">
        <v>96</v>
      </c>
      <c r="B424" s="75" t="s">
        <v>824</v>
      </c>
      <c r="C424" s="39" t="s">
        <v>17</v>
      </c>
      <c r="D424" s="42">
        <v>0</v>
      </c>
      <c r="E424" s="42">
        <v>0</v>
      </c>
      <c r="F424" s="42">
        <v>0</v>
      </c>
      <c r="G424" s="42">
        <v>0</v>
      </c>
      <c r="H424" s="40">
        <f>SUM(Tabla1325[[#This Row],[PRIMER TRIMESTRE]:[CUARTO TRIMESTRE]])</f>
        <v>0</v>
      </c>
      <c r="I424" s="17">
        <v>46658.86</v>
      </c>
      <c r="J424" s="17">
        <f t="shared" si="10"/>
        <v>0</v>
      </c>
      <c r="K424" s="17"/>
      <c r="L424" s="16" t="s">
        <v>18</v>
      </c>
      <c r="M424" s="16" t="s">
        <v>19</v>
      </c>
      <c r="N424" s="39"/>
    </row>
    <row r="425" spans="1:14" s="12" customFormat="1" ht="31.5">
      <c r="A425" s="15" t="s">
        <v>96</v>
      </c>
      <c r="B425" s="75" t="s">
        <v>825</v>
      </c>
      <c r="C425" s="39"/>
      <c r="D425" s="42">
        <v>0</v>
      </c>
      <c r="E425" s="42">
        <v>0</v>
      </c>
      <c r="F425" s="42">
        <v>0</v>
      </c>
      <c r="G425" s="42">
        <v>0</v>
      </c>
      <c r="H425" s="40">
        <f>SUM(Tabla1325[[#This Row],[PRIMER TRIMESTRE]:[CUARTO TRIMESTRE]])</f>
        <v>0</v>
      </c>
      <c r="I425" s="17">
        <v>47216.69</v>
      </c>
      <c r="J425" s="17">
        <v>47216.69</v>
      </c>
      <c r="K425" s="17"/>
      <c r="L425" s="16" t="s">
        <v>18</v>
      </c>
      <c r="M425" s="16" t="s">
        <v>19</v>
      </c>
      <c r="N425" s="39"/>
    </row>
    <row r="426" spans="1:14" s="12" customFormat="1" ht="31.5">
      <c r="A426" s="15" t="s">
        <v>96</v>
      </c>
      <c r="B426" s="75" t="s">
        <v>826</v>
      </c>
      <c r="C426" s="39" t="s">
        <v>17</v>
      </c>
      <c r="D426" s="42">
        <v>0</v>
      </c>
      <c r="E426" s="42">
        <v>0</v>
      </c>
      <c r="F426" s="42">
        <v>0</v>
      </c>
      <c r="G426" s="42">
        <v>0</v>
      </c>
      <c r="H426" s="40">
        <f>SUM(Tabla1325[[#This Row],[PRIMER TRIMESTRE]:[CUARTO TRIMESTRE]])</f>
        <v>0</v>
      </c>
      <c r="I426" s="17">
        <v>59766.34</v>
      </c>
      <c r="J426" s="17">
        <f t="shared" si="10"/>
        <v>0</v>
      </c>
      <c r="K426" s="17"/>
      <c r="L426" s="16" t="s">
        <v>18</v>
      </c>
      <c r="M426" s="16" t="s">
        <v>19</v>
      </c>
      <c r="N426" s="39"/>
    </row>
    <row r="427" spans="1:14" s="12" customFormat="1" ht="31.5">
      <c r="A427" s="15" t="s">
        <v>96</v>
      </c>
      <c r="B427" s="75" t="s">
        <v>827</v>
      </c>
      <c r="C427" s="39" t="s">
        <v>17</v>
      </c>
      <c r="D427" s="42">
        <v>0</v>
      </c>
      <c r="E427" s="42">
        <v>0</v>
      </c>
      <c r="F427" s="42">
        <v>0</v>
      </c>
      <c r="G427" s="42">
        <v>0</v>
      </c>
      <c r="H427" s="40">
        <f>SUM(Tabla1325[[#This Row],[PRIMER TRIMESTRE]:[CUARTO TRIMESTRE]])</f>
        <v>0</v>
      </c>
      <c r="I427" s="17">
        <v>2266.44</v>
      </c>
      <c r="J427" s="17">
        <f t="shared" si="10"/>
        <v>0</v>
      </c>
      <c r="K427" s="17"/>
      <c r="L427" s="16" t="s">
        <v>18</v>
      </c>
      <c r="M427" s="16" t="s">
        <v>22</v>
      </c>
      <c r="N427" s="39"/>
    </row>
    <row r="428" spans="1:14" s="12" customFormat="1" ht="31.5">
      <c r="A428" s="15" t="s">
        <v>96</v>
      </c>
      <c r="B428" s="75" t="s">
        <v>828</v>
      </c>
      <c r="C428" s="39" t="s">
        <v>17</v>
      </c>
      <c r="D428" s="42">
        <v>0</v>
      </c>
      <c r="E428" s="42">
        <v>0</v>
      </c>
      <c r="F428" s="42">
        <v>0</v>
      </c>
      <c r="G428" s="42">
        <v>0</v>
      </c>
      <c r="H428" s="40">
        <f>SUM(Tabla1325[[#This Row],[PRIMER TRIMESTRE]:[CUARTO TRIMESTRE]])</f>
        <v>0</v>
      </c>
      <c r="I428" s="17">
        <v>3112.58</v>
      </c>
      <c r="J428" s="17">
        <f t="shared" si="10"/>
        <v>0</v>
      </c>
      <c r="K428" s="17"/>
      <c r="L428" s="16" t="s">
        <v>18</v>
      </c>
      <c r="M428" s="16" t="s">
        <v>22</v>
      </c>
      <c r="N428" s="39"/>
    </row>
    <row r="429" spans="1:14" s="12" customFormat="1" ht="31.5">
      <c r="A429" s="15" t="s">
        <v>96</v>
      </c>
      <c r="B429" s="75" t="s">
        <v>829</v>
      </c>
      <c r="C429" s="39" t="s">
        <v>17</v>
      </c>
      <c r="D429" s="42">
        <v>0</v>
      </c>
      <c r="E429" s="42">
        <v>0</v>
      </c>
      <c r="F429" s="42">
        <v>0</v>
      </c>
      <c r="G429" s="42">
        <v>0</v>
      </c>
      <c r="H429" s="40">
        <f>SUM(Tabla1325[[#This Row],[PRIMER TRIMESTRE]:[CUARTO TRIMESTRE]])</f>
        <v>0</v>
      </c>
      <c r="I429" s="17">
        <v>4036</v>
      </c>
      <c r="J429" s="17">
        <f t="shared" si="10"/>
        <v>0</v>
      </c>
      <c r="K429" s="17"/>
      <c r="L429" s="16" t="s">
        <v>18</v>
      </c>
      <c r="M429" s="16" t="s">
        <v>22</v>
      </c>
      <c r="N429" s="39"/>
    </row>
    <row r="430" spans="1:14" s="12" customFormat="1" ht="31.5">
      <c r="A430" s="15" t="s">
        <v>96</v>
      </c>
      <c r="B430" s="75" t="s">
        <v>830</v>
      </c>
      <c r="C430" s="39" t="s">
        <v>17</v>
      </c>
      <c r="D430" s="42">
        <v>0</v>
      </c>
      <c r="E430" s="42">
        <v>0</v>
      </c>
      <c r="F430" s="42">
        <v>0</v>
      </c>
      <c r="G430" s="42">
        <v>0</v>
      </c>
      <c r="H430" s="40">
        <f>SUM(Tabla1325[[#This Row],[PRIMER TRIMESTRE]:[CUARTO TRIMESTRE]])</f>
        <v>0</v>
      </c>
      <c r="I430" s="17">
        <v>4200</v>
      </c>
      <c r="J430" s="17">
        <f t="shared" si="10"/>
        <v>0</v>
      </c>
      <c r="K430" s="17"/>
      <c r="L430" s="16" t="s">
        <v>18</v>
      </c>
      <c r="M430" s="16" t="s">
        <v>22</v>
      </c>
      <c r="N430" s="39"/>
    </row>
    <row r="431" spans="1:14" s="12" customFormat="1" ht="31.5">
      <c r="A431" s="15" t="s">
        <v>96</v>
      </c>
      <c r="B431" s="75" t="s">
        <v>831</v>
      </c>
      <c r="C431" s="39" t="s">
        <v>17</v>
      </c>
      <c r="D431" s="42">
        <v>0</v>
      </c>
      <c r="E431" s="42">
        <v>0</v>
      </c>
      <c r="F431" s="42">
        <v>0</v>
      </c>
      <c r="G431" s="42">
        <v>0</v>
      </c>
      <c r="H431" s="40">
        <f>SUM(Tabla1325[[#This Row],[PRIMER TRIMESTRE]:[CUARTO TRIMESTRE]])</f>
        <v>0</v>
      </c>
      <c r="I431" s="17">
        <v>14785.13</v>
      </c>
      <c r="J431" s="17">
        <f t="shared" si="10"/>
        <v>0</v>
      </c>
      <c r="K431" s="17"/>
      <c r="L431" s="16" t="s">
        <v>18</v>
      </c>
      <c r="M431" s="16" t="s">
        <v>22</v>
      </c>
      <c r="N431" s="39"/>
    </row>
    <row r="432" spans="1:14" s="12" customFormat="1" ht="31.5">
      <c r="A432" s="15" t="s">
        <v>96</v>
      </c>
      <c r="B432" s="75" t="s">
        <v>832</v>
      </c>
      <c r="C432" s="39" t="s">
        <v>17</v>
      </c>
      <c r="D432" s="42">
        <v>0</v>
      </c>
      <c r="E432" s="42">
        <v>0</v>
      </c>
      <c r="F432" s="42">
        <v>0</v>
      </c>
      <c r="G432" s="42">
        <v>0</v>
      </c>
      <c r="H432" s="40">
        <f>SUM(Tabla1325[[#This Row],[PRIMER TRIMESTRE]:[CUARTO TRIMESTRE]])</f>
        <v>0</v>
      </c>
      <c r="I432" s="17">
        <v>18762</v>
      </c>
      <c r="J432" s="17">
        <f t="shared" si="10"/>
        <v>0</v>
      </c>
      <c r="K432" s="17"/>
      <c r="L432" s="16" t="s">
        <v>18</v>
      </c>
      <c r="M432" s="16" t="s">
        <v>22</v>
      </c>
      <c r="N432" s="39"/>
    </row>
    <row r="433" spans="1:14" s="12" customFormat="1" ht="31.5">
      <c r="A433" s="15" t="s">
        <v>96</v>
      </c>
      <c r="B433" s="75" t="s">
        <v>833</v>
      </c>
      <c r="C433" s="39" t="s">
        <v>17</v>
      </c>
      <c r="D433" s="42">
        <v>0</v>
      </c>
      <c r="E433" s="42">
        <v>0</v>
      </c>
      <c r="F433" s="42">
        <v>0</v>
      </c>
      <c r="G433" s="42">
        <v>0</v>
      </c>
      <c r="H433" s="40">
        <f>SUM(Tabla1325[[#This Row],[PRIMER TRIMESTRE]:[CUARTO TRIMESTRE]])</f>
        <v>0</v>
      </c>
      <c r="I433" s="17">
        <v>20692.080000000002</v>
      </c>
      <c r="J433" s="17">
        <f t="shared" si="10"/>
        <v>0</v>
      </c>
      <c r="K433" s="17"/>
      <c r="L433" s="16" t="s">
        <v>18</v>
      </c>
      <c r="M433" s="16" t="s">
        <v>22</v>
      </c>
      <c r="N433" s="39"/>
    </row>
    <row r="434" spans="1:14" s="12" customFormat="1" ht="31.5">
      <c r="A434" s="15" t="s">
        <v>96</v>
      </c>
      <c r="B434" s="75" t="s">
        <v>834</v>
      </c>
      <c r="C434" s="39" t="s">
        <v>17</v>
      </c>
      <c r="D434" s="42">
        <v>0</v>
      </c>
      <c r="E434" s="42">
        <v>0</v>
      </c>
      <c r="F434" s="42">
        <v>0</v>
      </c>
      <c r="G434" s="42">
        <v>0</v>
      </c>
      <c r="H434" s="40">
        <f>SUM(Tabla1325[[#This Row],[PRIMER TRIMESTRE]:[CUARTO TRIMESTRE]])</f>
        <v>0</v>
      </c>
      <c r="I434" s="17">
        <v>24187.57</v>
      </c>
      <c r="J434" s="17">
        <f t="shared" si="10"/>
        <v>0</v>
      </c>
      <c r="K434" s="17"/>
      <c r="L434" s="16" t="s">
        <v>18</v>
      </c>
      <c r="M434" s="16" t="s">
        <v>22</v>
      </c>
      <c r="N434" s="39"/>
    </row>
    <row r="435" spans="1:14" s="12" customFormat="1" ht="31.5">
      <c r="A435" s="15" t="s">
        <v>96</v>
      </c>
      <c r="B435" s="75" t="s">
        <v>835</v>
      </c>
      <c r="C435" s="39" t="s">
        <v>17</v>
      </c>
      <c r="D435" s="42">
        <v>0</v>
      </c>
      <c r="E435" s="42">
        <v>0</v>
      </c>
      <c r="F435" s="42">
        <v>0</v>
      </c>
      <c r="G435" s="42">
        <v>0</v>
      </c>
      <c r="H435" s="40">
        <f>SUM(Tabla1325[[#This Row],[PRIMER TRIMESTRE]:[CUARTO TRIMESTRE]])</f>
        <v>0</v>
      </c>
      <c r="I435" s="17">
        <v>29750.19</v>
      </c>
      <c r="J435" s="17">
        <f t="shared" si="10"/>
        <v>0</v>
      </c>
      <c r="K435" s="17"/>
      <c r="L435" s="16" t="s">
        <v>18</v>
      </c>
      <c r="M435" s="16" t="s">
        <v>22</v>
      </c>
      <c r="N435" s="39"/>
    </row>
    <row r="436" spans="1:14" s="12" customFormat="1" ht="31.5">
      <c r="A436" s="15" t="s">
        <v>96</v>
      </c>
      <c r="B436" s="75" t="s">
        <v>836</v>
      </c>
      <c r="C436" s="39" t="s">
        <v>17</v>
      </c>
      <c r="D436" s="42">
        <v>0</v>
      </c>
      <c r="E436" s="42">
        <v>0</v>
      </c>
      <c r="F436" s="42">
        <v>0</v>
      </c>
      <c r="G436" s="42">
        <v>0</v>
      </c>
      <c r="H436" s="40">
        <f>SUM(Tabla1325[[#This Row],[PRIMER TRIMESTRE]:[CUARTO TRIMESTRE]])</f>
        <v>0</v>
      </c>
      <c r="I436" s="17">
        <v>33000</v>
      </c>
      <c r="J436" s="17">
        <f t="shared" si="10"/>
        <v>0</v>
      </c>
      <c r="K436" s="17"/>
      <c r="L436" s="16" t="s">
        <v>18</v>
      </c>
      <c r="M436" s="16" t="s">
        <v>22</v>
      </c>
      <c r="N436" s="39"/>
    </row>
    <row r="437" spans="1:14" s="12" customFormat="1" ht="38.25">
      <c r="A437" s="15" t="s">
        <v>96</v>
      </c>
      <c r="B437" s="75" t="s">
        <v>843</v>
      </c>
      <c r="C437" s="39" t="s">
        <v>17</v>
      </c>
      <c r="D437" s="42">
        <v>0</v>
      </c>
      <c r="E437" s="42">
        <v>0</v>
      </c>
      <c r="F437" s="42">
        <v>0</v>
      </c>
      <c r="G437" s="42">
        <v>0</v>
      </c>
      <c r="H437" s="40">
        <f>SUM(Tabla1325[[#This Row],[PRIMER TRIMESTRE]:[CUARTO TRIMESTRE]])</f>
        <v>0</v>
      </c>
      <c r="I437" s="17">
        <v>4270</v>
      </c>
      <c r="J437" s="17">
        <f t="shared" si="10"/>
        <v>0</v>
      </c>
      <c r="K437" s="17"/>
      <c r="L437" s="16" t="s">
        <v>18</v>
      </c>
      <c r="M437" s="16" t="s">
        <v>22</v>
      </c>
      <c r="N437" s="39"/>
    </row>
    <row r="438" spans="1:14" s="12" customFormat="1" ht="38.25">
      <c r="A438" s="15" t="s">
        <v>96</v>
      </c>
      <c r="B438" s="75" t="s">
        <v>844</v>
      </c>
      <c r="C438" s="39" t="s">
        <v>17</v>
      </c>
      <c r="D438" s="42">
        <v>0</v>
      </c>
      <c r="E438" s="42">
        <v>0</v>
      </c>
      <c r="F438" s="42">
        <v>0</v>
      </c>
      <c r="G438" s="42">
        <v>0</v>
      </c>
      <c r="H438" s="40">
        <f>SUM(Tabla1325[[#This Row],[PRIMER TRIMESTRE]:[CUARTO TRIMESTRE]])</f>
        <v>0</v>
      </c>
      <c r="I438" s="17">
        <v>4320</v>
      </c>
      <c r="J438" s="17">
        <f t="shared" si="10"/>
        <v>0</v>
      </c>
      <c r="K438" s="17"/>
      <c r="L438" s="16" t="s">
        <v>18</v>
      </c>
      <c r="M438" s="16" t="s">
        <v>22</v>
      </c>
      <c r="N438" s="39"/>
    </row>
    <row r="439" spans="1:14" s="12" customFormat="1" ht="38.25">
      <c r="A439" s="15" t="s">
        <v>96</v>
      </c>
      <c r="B439" s="75" t="s">
        <v>845</v>
      </c>
      <c r="C439" s="39" t="s">
        <v>17</v>
      </c>
      <c r="D439" s="42">
        <v>0</v>
      </c>
      <c r="E439" s="42">
        <v>0</v>
      </c>
      <c r="F439" s="42">
        <v>0</v>
      </c>
      <c r="G439" s="42">
        <v>0</v>
      </c>
      <c r="H439" s="40">
        <f>SUM(Tabla1325[[#This Row],[PRIMER TRIMESTRE]:[CUARTO TRIMESTRE]])</f>
        <v>0</v>
      </c>
      <c r="I439" s="17">
        <v>4560</v>
      </c>
      <c r="J439" s="17">
        <f t="shared" si="10"/>
        <v>0</v>
      </c>
      <c r="K439" s="17"/>
      <c r="L439" s="16" t="s">
        <v>18</v>
      </c>
      <c r="M439" s="16" t="s">
        <v>22</v>
      </c>
      <c r="N439" s="39"/>
    </row>
    <row r="440" spans="1:14" s="12" customFormat="1" ht="38.25">
      <c r="A440" s="15" t="s">
        <v>96</v>
      </c>
      <c r="B440" s="75" t="s">
        <v>846</v>
      </c>
      <c r="C440" s="39" t="s">
        <v>17</v>
      </c>
      <c r="D440" s="42">
        <v>0</v>
      </c>
      <c r="E440" s="42">
        <v>0</v>
      </c>
      <c r="F440" s="42">
        <v>0</v>
      </c>
      <c r="G440" s="42">
        <v>0</v>
      </c>
      <c r="H440" s="40">
        <f>SUM(Tabla1325[[#This Row],[PRIMER TRIMESTRE]:[CUARTO TRIMESTRE]])</f>
        <v>0</v>
      </c>
      <c r="I440" s="17">
        <v>5684</v>
      </c>
      <c r="J440" s="17">
        <f t="shared" si="10"/>
        <v>0</v>
      </c>
      <c r="K440" s="17"/>
      <c r="L440" s="16" t="s">
        <v>18</v>
      </c>
      <c r="M440" s="16" t="s">
        <v>22</v>
      </c>
      <c r="N440" s="39"/>
    </row>
    <row r="441" spans="1:14" s="12" customFormat="1" ht="38.25">
      <c r="A441" s="15" t="s">
        <v>96</v>
      </c>
      <c r="B441" s="75" t="s">
        <v>847</v>
      </c>
      <c r="C441" s="39" t="s">
        <v>17</v>
      </c>
      <c r="D441" s="42">
        <v>0</v>
      </c>
      <c r="E441" s="42">
        <v>0</v>
      </c>
      <c r="F441" s="42">
        <v>0</v>
      </c>
      <c r="G441" s="42">
        <v>0</v>
      </c>
      <c r="H441" s="40">
        <f>SUM(Tabla1325[[#This Row],[PRIMER TRIMESTRE]:[CUARTO TRIMESTRE]])</f>
        <v>0</v>
      </c>
      <c r="I441" s="17">
        <v>5300</v>
      </c>
      <c r="J441" s="17">
        <f t="shared" si="10"/>
        <v>0</v>
      </c>
      <c r="K441" s="17"/>
      <c r="L441" s="16" t="s">
        <v>18</v>
      </c>
      <c r="M441" s="16" t="s">
        <v>22</v>
      </c>
      <c r="N441" s="39"/>
    </row>
    <row r="442" spans="1:14" s="12" customFormat="1" ht="38.25">
      <c r="A442" s="15" t="s">
        <v>96</v>
      </c>
      <c r="B442" s="75" t="s">
        <v>848</v>
      </c>
      <c r="C442" s="39" t="s">
        <v>17</v>
      </c>
      <c r="D442" s="42">
        <v>0</v>
      </c>
      <c r="E442" s="42">
        <v>0</v>
      </c>
      <c r="F442" s="42">
        <v>0</v>
      </c>
      <c r="G442" s="42">
        <v>0</v>
      </c>
      <c r="H442" s="40">
        <f>SUM(Tabla1325[[#This Row],[PRIMER TRIMESTRE]:[CUARTO TRIMESTRE]])</f>
        <v>0</v>
      </c>
      <c r="I442" s="17">
        <v>4958</v>
      </c>
      <c r="J442" s="17">
        <f t="shared" si="10"/>
        <v>0</v>
      </c>
      <c r="K442" s="17"/>
      <c r="L442" s="16" t="s">
        <v>18</v>
      </c>
      <c r="M442" s="16" t="s">
        <v>22</v>
      </c>
      <c r="N442" s="39"/>
    </row>
    <row r="443" spans="1:14" s="12" customFormat="1" ht="38.25">
      <c r="A443" s="15" t="s">
        <v>96</v>
      </c>
      <c r="B443" s="75" t="s">
        <v>849</v>
      </c>
      <c r="C443" s="39" t="s">
        <v>17</v>
      </c>
      <c r="D443" s="42">
        <v>0</v>
      </c>
      <c r="E443" s="42">
        <v>0</v>
      </c>
      <c r="F443" s="42">
        <v>0</v>
      </c>
      <c r="G443" s="42">
        <v>0</v>
      </c>
      <c r="H443" s="40">
        <f>SUM(Tabla1325[[#This Row],[PRIMER TRIMESTRE]:[CUARTO TRIMESTRE]])</f>
        <v>0</v>
      </c>
      <c r="I443" s="17">
        <v>6958</v>
      </c>
      <c r="J443" s="17">
        <f t="shared" si="10"/>
        <v>0</v>
      </c>
      <c r="K443" s="17"/>
      <c r="L443" s="16" t="s">
        <v>18</v>
      </c>
      <c r="M443" s="16" t="s">
        <v>22</v>
      </c>
      <c r="N443" s="39"/>
    </row>
    <row r="444" spans="1:14" s="12" customFormat="1" ht="38.25">
      <c r="A444" s="15" t="s">
        <v>96</v>
      </c>
      <c r="B444" s="75" t="s">
        <v>850</v>
      </c>
      <c r="C444" s="39" t="s">
        <v>17</v>
      </c>
      <c r="D444" s="42">
        <v>0</v>
      </c>
      <c r="E444" s="42">
        <v>0</v>
      </c>
      <c r="F444" s="42">
        <v>0</v>
      </c>
      <c r="G444" s="42">
        <v>0</v>
      </c>
      <c r="H444" s="40">
        <f>SUM(Tabla1325[[#This Row],[PRIMER TRIMESTRE]:[CUARTO TRIMESTRE]])</f>
        <v>0</v>
      </c>
      <c r="I444" s="17">
        <v>7050</v>
      </c>
      <c r="J444" s="17">
        <f t="shared" ref="J444:J451" si="11">+H444*I444</f>
        <v>0</v>
      </c>
      <c r="K444" s="17"/>
      <c r="L444" s="16" t="s">
        <v>18</v>
      </c>
      <c r="M444" s="16" t="s">
        <v>22</v>
      </c>
      <c r="N444" s="39"/>
    </row>
    <row r="445" spans="1:14" s="12" customFormat="1" ht="38.25">
      <c r="A445" s="15" t="s">
        <v>96</v>
      </c>
      <c r="B445" s="75" t="s">
        <v>851</v>
      </c>
      <c r="C445" s="39" t="s">
        <v>17</v>
      </c>
      <c r="D445" s="42">
        <v>0</v>
      </c>
      <c r="E445" s="42">
        <v>0</v>
      </c>
      <c r="F445" s="42">
        <v>0</v>
      </c>
      <c r="G445" s="42">
        <v>0</v>
      </c>
      <c r="H445" s="40">
        <f>SUM(Tabla1325[[#This Row],[PRIMER TRIMESTRE]:[CUARTO TRIMESTRE]])</f>
        <v>0</v>
      </c>
      <c r="I445" s="17">
        <v>7950</v>
      </c>
      <c r="J445" s="17">
        <f t="shared" si="11"/>
        <v>0</v>
      </c>
      <c r="K445" s="17"/>
      <c r="L445" s="16" t="s">
        <v>18</v>
      </c>
      <c r="M445" s="16" t="s">
        <v>22</v>
      </c>
      <c r="N445" s="39"/>
    </row>
    <row r="446" spans="1:14" s="12" customFormat="1" ht="38.25">
      <c r="A446" s="15" t="s">
        <v>96</v>
      </c>
      <c r="B446" s="75" t="s">
        <v>852</v>
      </c>
      <c r="C446" s="39" t="s">
        <v>17</v>
      </c>
      <c r="D446" s="42">
        <v>0</v>
      </c>
      <c r="E446" s="42">
        <v>0</v>
      </c>
      <c r="F446" s="42">
        <v>0</v>
      </c>
      <c r="G446" s="42">
        <v>0</v>
      </c>
      <c r="H446" s="40">
        <f>SUM(Tabla1325[[#This Row],[PRIMER TRIMESTRE]:[CUARTO TRIMESTRE]])</f>
        <v>0</v>
      </c>
      <c r="I446" s="17">
        <v>8338.15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</row>
    <row r="447" spans="1:14" s="12" customFormat="1" ht="38.25">
      <c r="A447" s="15" t="s">
        <v>96</v>
      </c>
      <c r="B447" s="75" t="s">
        <v>853</v>
      </c>
      <c r="C447" s="39" t="s">
        <v>17</v>
      </c>
      <c r="D447" s="42">
        <v>0</v>
      </c>
      <c r="E447" s="42">
        <v>0</v>
      </c>
      <c r="F447" s="42">
        <v>0</v>
      </c>
      <c r="G447" s="42">
        <v>0</v>
      </c>
      <c r="H447" s="40">
        <f>SUM(Tabla1325[[#This Row],[PRIMER TRIMESTRE]:[CUARTO TRIMESTRE]])</f>
        <v>0</v>
      </c>
      <c r="I447" s="17">
        <v>9900.17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</row>
    <row r="448" spans="1:14" s="12" customFormat="1" ht="47.25">
      <c r="A448" s="15" t="s">
        <v>96</v>
      </c>
      <c r="B448" s="16" t="str">
        <f ca="1">+UPPER(Tabla1325[[#This Row],[DESCRIPCIÓN DE LA COMPRA O CONTRATACIÓN]])</f>
        <v>MONITORES DE FASE A 460 VOLTIOS, CONTRA PÉRDIDA DE FASE E INVERSIÓN DE GIRO CON SU BASE</v>
      </c>
      <c r="C448" s="39" t="s">
        <v>17</v>
      </c>
      <c r="D448" s="42">
        <v>0</v>
      </c>
      <c r="E448" s="42">
        <v>0</v>
      </c>
      <c r="F448" s="42">
        <v>0</v>
      </c>
      <c r="G448" s="42">
        <v>0</v>
      </c>
      <c r="H448" s="40">
        <f>SUM(Tabla1325[[#This Row],[PRIMER TRIMESTRE]:[CUARTO TRIMESTRE]])</f>
        <v>0</v>
      </c>
      <c r="I448" s="17">
        <v>2018.4</v>
      </c>
      <c r="J448" s="17">
        <f t="shared" si="11"/>
        <v>0</v>
      </c>
      <c r="K448" s="17"/>
      <c r="L448" s="16" t="s">
        <v>18</v>
      </c>
      <c r="M448" s="16" t="s">
        <v>22</v>
      </c>
      <c r="N448" s="39"/>
    </row>
    <row r="449" spans="1:14" s="12" customFormat="1" ht="47.25">
      <c r="A449" s="15" t="s">
        <v>96</v>
      </c>
      <c r="B449" s="16" t="str">
        <f ca="1">+UPPER(Tabla1325[[#This Row],[DESCRIPCIÓN DE LA COMPRA O CONTRATACIÓN]])</f>
        <v>MONITORES DE FASE A 230 VOLTIOS, CONTRA PÉRDIDA DE FASE E INVERSIÓN DE GIRO CON SU BASE</v>
      </c>
      <c r="C449" s="39" t="s">
        <v>17</v>
      </c>
      <c r="D449" s="42">
        <v>0</v>
      </c>
      <c r="E449" s="42">
        <v>0</v>
      </c>
      <c r="F449" s="42">
        <v>0</v>
      </c>
      <c r="G449" s="42">
        <v>0</v>
      </c>
      <c r="H449" s="40">
        <f>SUM(Tabla1325[[#This Row],[PRIMER TRIMESTRE]:[CUARTO TRIMESTRE]])</f>
        <v>0</v>
      </c>
      <c r="I449" s="17">
        <v>2540.06</v>
      </c>
      <c r="J449" s="17">
        <f t="shared" si="11"/>
        <v>0</v>
      </c>
      <c r="K449" s="17"/>
      <c r="L449" s="16" t="s">
        <v>18</v>
      </c>
      <c r="M449" s="16" t="s">
        <v>22</v>
      </c>
      <c r="N449" s="39"/>
    </row>
    <row r="450" spans="1:14" s="12" customFormat="1" ht="31.5">
      <c r="A450" s="15" t="s">
        <v>96</v>
      </c>
      <c r="B450" s="75" t="s">
        <v>854</v>
      </c>
      <c r="C450" s="39" t="s">
        <v>17</v>
      </c>
      <c r="D450" s="42">
        <v>0</v>
      </c>
      <c r="E450" s="42">
        <v>0</v>
      </c>
      <c r="F450" s="42">
        <v>0</v>
      </c>
      <c r="G450" s="42">
        <v>0</v>
      </c>
      <c r="H450" s="40">
        <f>SUM(Tabla1325[[#This Row],[PRIMER TRIMESTRE]:[CUARTO TRIMESTRE]])</f>
        <v>0</v>
      </c>
      <c r="I450" s="72">
        <v>21949.98</v>
      </c>
      <c r="J450" s="17">
        <f t="shared" si="11"/>
        <v>0</v>
      </c>
      <c r="K450" s="17"/>
      <c r="L450" s="16" t="s">
        <v>18</v>
      </c>
      <c r="M450" s="16" t="s">
        <v>19</v>
      </c>
      <c r="N450" s="39"/>
    </row>
    <row r="451" spans="1:14" s="12" customFormat="1" ht="31.5">
      <c r="A451" s="15" t="s">
        <v>96</v>
      </c>
      <c r="B451" s="75" t="s">
        <v>855</v>
      </c>
      <c r="C451" s="39" t="s">
        <v>17</v>
      </c>
      <c r="D451" s="42">
        <v>0</v>
      </c>
      <c r="E451" s="42">
        <v>0</v>
      </c>
      <c r="F451" s="42">
        <v>0</v>
      </c>
      <c r="G451" s="42">
        <v>0</v>
      </c>
      <c r="H451" s="40">
        <f>SUM(Tabla1325[[#This Row],[PRIMER TRIMESTRE]:[CUARTO TRIMESTRE]])</f>
        <v>0</v>
      </c>
      <c r="I451" s="72">
        <v>28382.54</v>
      </c>
      <c r="J451" s="17">
        <f t="shared" si="11"/>
        <v>0</v>
      </c>
      <c r="K451" s="17"/>
      <c r="L451" s="16" t="s">
        <v>18</v>
      </c>
      <c r="M451" s="16" t="s">
        <v>19</v>
      </c>
      <c r="N451" s="39"/>
    </row>
    <row r="452" spans="1:14" s="12" customFormat="1" ht="47.25">
      <c r="A452" s="15" t="s">
        <v>96</v>
      </c>
      <c r="B452" s="16" t="str">
        <f ca="1">+UPPER(Tabla1325[[#This Row],[DESCRIPCIÓN DE LA COMPRA O CONTRATACIÓN]])</f>
        <v>MOTORES ELÉCTRICOS SUMERGIBLES, 3Ø, 230 /460 VOLTIOS, 60HZ, 1.15 FS, 3,450 RPM 7.5 HP NEMA 6</v>
      </c>
      <c r="C452" s="39" t="s">
        <v>17</v>
      </c>
      <c r="D452" s="42">
        <v>0</v>
      </c>
      <c r="E452" s="42">
        <v>0</v>
      </c>
      <c r="F452" s="42">
        <v>0</v>
      </c>
      <c r="G452" s="42">
        <v>0</v>
      </c>
      <c r="H452" s="40">
        <f>SUM(Tabla1325[[#This Row],[PRIMER TRIMESTRE]:[CUARTO TRIMESTRE]])</f>
        <v>0</v>
      </c>
      <c r="I452" s="72">
        <v>112200</v>
      </c>
      <c r="J452" s="17">
        <f>+H452*I452</f>
        <v>0</v>
      </c>
      <c r="K452" s="17"/>
      <c r="L452" s="16" t="s">
        <v>18</v>
      </c>
      <c r="M452" s="16" t="s">
        <v>19</v>
      </c>
      <c r="N452" s="39"/>
    </row>
    <row r="453" spans="1:14" s="12" customFormat="1" ht="47.25">
      <c r="A453" s="15" t="s">
        <v>96</v>
      </c>
      <c r="B453" s="16" t="str">
        <f ca="1">+UPPER(Tabla1325[[#This Row],[DESCRIPCIÓN DE LA COMPRA O CONTRATACIÓN]])</f>
        <v>MOTORES ELÉCTRICOS SUMERGIBLES, 3Ø, 230 /460 VOLTIOS, 60HZ, 1.15 FS, 3,450 RPM 20 HP NEMA 6</v>
      </c>
      <c r="C453" s="39" t="s">
        <v>17</v>
      </c>
      <c r="D453" s="42">
        <v>0</v>
      </c>
      <c r="E453" s="42">
        <v>0</v>
      </c>
      <c r="F453" s="42">
        <v>0</v>
      </c>
      <c r="G453" s="42">
        <v>0</v>
      </c>
      <c r="H453" s="40">
        <f>SUM(Tabla1325[[#This Row],[PRIMER TRIMESTRE]:[CUARTO TRIMESTRE]])</f>
        <v>0</v>
      </c>
      <c r="I453" s="17">
        <v>63826.21</v>
      </c>
      <c r="J453" s="17">
        <f t="shared" ref="J453:J479" si="12">+H453*I453</f>
        <v>0</v>
      </c>
      <c r="K453" s="17"/>
      <c r="L453" s="16" t="s">
        <v>18</v>
      </c>
      <c r="M453" s="16" t="s">
        <v>19</v>
      </c>
      <c r="N453" s="39"/>
    </row>
    <row r="454" spans="1:14" s="12" customFormat="1" ht="31.5">
      <c r="A454" s="15" t="s">
        <v>96</v>
      </c>
      <c r="B454" s="75" t="s">
        <v>856</v>
      </c>
      <c r="C454" s="39" t="s">
        <v>17</v>
      </c>
      <c r="D454" s="42">
        <v>0</v>
      </c>
      <c r="E454" s="42">
        <v>0</v>
      </c>
      <c r="F454" s="42">
        <v>0</v>
      </c>
      <c r="G454" s="42">
        <v>0</v>
      </c>
      <c r="H454" s="40">
        <f>SUM(Tabla1325[[#This Row],[PRIMER TRIMESTRE]:[CUARTO TRIMESTRE]])</f>
        <v>0</v>
      </c>
      <c r="I454" s="17">
        <v>79201.600000000006</v>
      </c>
      <c r="J454" s="17">
        <f t="shared" si="12"/>
        <v>0</v>
      </c>
      <c r="K454" s="17"/>
      <c r="L454" s="16" t="s">
        <v>18</v>
      </c>
      <c r="M454" s="16" t="s">
        <v>19</v>
      </c>
      <c r="N454" s="39"/>
    </row>
    <row r="455" spans="1:14" s="12" customFormat="1" ht="31.5">
      <c r="A455" s="15" t="s">
        <v>96</v>
      </c>
      <c r="B455" s="75" t="s">
        <v>857</v>
      </c>
      <c r="C455" s="39" t="s">
        <v>17</v>
      </c>
      <c r="D455" s="42">
        <v>0</v>
      </c>
      <c r="E455" s="42">
        <v>0</v>
      </c>
      <c r="F455" s="42">
        <v>0</v>
      </c>
      <c r="G455" s="42">
        <v>0</v>
      </c>
      <c r="H455" s="40">
        <f>SUM(Tabla1325[[#This Row],[PRIMER TRIMESTRE]:[CUARTO TRIMESTRE]])</f>
        <v>0</v>
      </c>
      <c r="I455" s="17">
        <v>96701</v>
      </c>
      <c r="J455" s="17">
        <f t="shared" si="12"/>
        <v>0</v>
      </c>
      <c r="K455" s="17"/>
      <c r="L455" s="16" t="s">
        <v>18</v>
      </c>
      <c r="M455" s="16" t="s">
        <v>19</v>
      </c>
      <c r="N455" s="39"/>
    </row>
    <row r="456" spans="1:14" s="12" customFormat="1" ht="31.5">
      <c r="A456" s="15" t="s">
        <v>96</v>
      </c>
      <c r="B456" s="75" t="s">
        <v>858</v>
      </c>
      <c r="C456" s="39" t="s">
        <v>17</v>
      </c>
      <c r="D456" s="42">
        <v>0</v>
      </c>
      <c r="E456" s="42">
        <v>0</v>
      </c>
      <c r="F456" s="42">
        <v>0</v>
      </c>
      <c r="G456" s="42">
        <v>0</v>
      </c>
      <c r="H456" s="40">
        <f>SUM(Tabla1325[[#This Row],[PRIMER TRIMESTRE]:[CUARTO TRIMESTRE]])</f>
        <v>0</v>
      </c>
      <c r="I456" s="17">
        <v>120944.77</v>
      </c>
      <c r="J456" s="17">
        <f t="shared" si="12"/>
        <v>0</v>
      </c>
      <c r="K456" s="17"/>
      <c r="L456" s="16" t="s">
        <v>18</v>
      </c>
      <c r="M456" s="16" t="s">
        <v>19</v>
      </c>
      <c r="N456" s="39"/>
    </row>
    <row r="457" spans="1:14" s="12" customFormat="1" ht="31.5">
      <c r="A457" s="15" t="s">
        <v>96</v>
      </c>
      <c r="B457" s="75" t="s">
        <v>859</v>
      </c>
      <c r="C457" s="39" t="s">
        <v>17</v>
      </c>
      <c r="D457" s="42">
        <v>0</v>
      </c>
      <c r="E457" s="42">
        <v>0</v>
      </c>
      <c r="F457" s="42">
        <v>0</v>
      </c>
      <c r="G457" s="42">
        <v>0</v>
      </c>
      <c r="H457" s="40">
        <f>SUM(Tabla1325[[#This Row],[PRIMER TRIMESTRE]:[CUARTO TRIMESTRE]])</f>
        <v>0</v>
      </c>
      <c r="I457" s="17">
        <v>143968.70000000001</v>
      </c>
      <c r="J457" s="17">
        <f t="shared" si="12"/>
        <v>0</v>
      </c>
      <c r="K457" s="17"/>
      <c r="L457" s="16" t="s">
        <v>18</v>
      </c>
      <c r="M457" s="16" t="s">
        <v>19</v>
      </c>
      <c r="N457" s="39"/>
    </row>
    <row r="458" spans="1:14" s="12" customFormat="1" ht="31.5">
      <c r="A458" s="15" t="s">
        <v>96</v>
      </c>
      <c r="B458" s="75" t="s">
        <v>860</v>
      </c>
      <c r="C458" s="39" t="s">
        <v>17</v>
      </c>
      <c r="D458" s="42">
        <v>0</v>
      </c>
      <c r="E458" s="42">
        <v>0</v>
      </c>
      <c r="F458" s="42">
        <v>0</v>
      </c>
      <c r="G458" s="42">
        <v>0</v>
      </c>
      <c r="H458" s="40">
        <f>SUM(Tabla1325[[#This Row],[PRIMER TRIMESTRE]:[CUARTO TRIMESTRE]])</f>
        <v>0</v>
      </c>
      <c r="I458" s="72">
        <v>856370.9</v>
      </c>
      <c r="J458" s="17">
        <f>+H458*I458</f>
        <v>0</v>
      </c>
      <c r="K458" s="17"/>
      <c r="L458" s="16" t="s">
        <v>18</v>
      </c>
      <c r="M458" s="16" t="s">
        <v>19</v>
      </c>
      <c r="N458" s="39"/>
    </row>
    <row r="459" spans="1:14" s="12" customFormat="1" ht="31.5">
      <c r="A459" s="15" t="s">
        <v>96</v>
      </c>
      <c r="B459" s="75" t="s">
        <v>861</v>
      </c>
      <c r="C459" s="39" t="s">
        <v>17</v>
      </c>
      <c r="D459" s="42">
        <v>0</v>
      </c>
      <c r="E459" s="42">
        <v>0</v>
      </c>
      <c r="F459" s="42">
        <v>0</v>
      </c>
      <c r="G459" s="42">
        <v>0</v>
      </c>
      <c r="H459" s="40">
        <f>SUM(Tabla1325[[#This Row],[PRIMER TRIMESTRE]:[CUARTO TRIMESTRE]])</f>
        <v>0</v>
      </c>
      <c r="I459" s="17">
        <v>216363.42</v>
      </c>
      <c r="J459" s="17">
        <f t="shared" si="12"/>
        <v>0</v>
      </c>
      <c r="K459" s="17"/>
      <c r="L459" s="16" t="s">
        <v>18</v>
      </c>
      <c r="M459" s="16" t="s">
        <v>19</v>
      </c>
      <c r="N459" s="39"/>
    </row>
    <row r="460" spans="1:14" s="12" customFormat="1" ht="31.5">
      <c r="A460" s="15" t="s">
        <v>96</v>
      </c>
      <c r="B460" s="75" t="s">
        <v>862</v>
      </c>
      <c r="C460" s="39" t="s">
        <v>17</v>
      </c>
      <c r="D460" s="42">
        <v>0</v>
      </c>
      <c r="E460" s="42">
        <v>0</v>
      </c>
      <c r="F460" s="42">
        <v>0</v>
      </c>
      <c r="G460" s="42">
        <v>0</v>
      </c>
      <c r="H460" s="40">
        <f>SUM(Tabla1325[[#This Row],[PRIMER TRIMESTRE]:[CUARTO TRIMESTRE]])</f>
        <v>0</v>
      </c>
      <c r="I460" s="17">
        <v>339848.52</v>
      </c>
      <c r="J460" s="17">
        <f t="shared" si="12"/>
        <v>0</v>
      </c>
      <c r="K460" s="17"/>
      <c r="L460" s="16" t="s">
        <v>18</v>
      </c>
      <c r="M460" s="16" t="s">
        <v>19</v>
      </c>
      <c r="N460" s="39"/>
    </row>
    <row r="461" spans="1:14" s="12" customFormat="1" ht="47.25">
      <c r="A461" s="15" t="s">
        <v>96</v>
      </c>
      <c r="B461" s="16" t="str">
        <f ca="1">+UPPER(Tabla1325[[#This Row],[DESCRIPCIÓN DE LA COMPRA O CONTRATACIÓN]])</f>
        <v xml:space="preserve">MOTORES ELÉCTRICOS MONOFASICO SUMERGIBLES, 230 VOLTIOS, 3,450 RPM  3 HP CON CAJA DE CONTROLS </v>
      </c>
      <c r="C461" s="39" t="s">
        <v>17</v>
      </c>
      <c r="D461" s="42">
        <v>0</v>
      </c>
      <c r="E461" s="42">
        <v>0</v>
      </c>
      <c r="F461" s="42">
        <v>0</v>
      </c>
      <c r="G461" s="42">
        <v>0</v>
      </c>
      <c r="H461" s="40">
        <f>SUM(Tabla1325[[#This Row],[PRIMER TRIMESTRE]:[CUARTO TRIMESTRE]])</f>
        <v>0</v>
      </c>
      <c r="I461" s="17">
        <v>16820</v>
      </c>
      <c r="J461" s="17">
        <f t="shared" si="12"/>
        <v>0</v>
      </c>
      <c r="K461" s="17"/>
      <c r="L461" s="16" t="s">
        <v>18</v>
      </c>
      <c r="M461" s="16" t="s">
        <v>19</v>
      </c>
      <c r="N461" s="39"/>
    </row>
    <row r="462" spans="1:14" s="12" customFormat="1" ht="47.25">
      <c r="A462" s="15" t="s">
        <v>96</v>
      </c>
      <c r="B462" s="16" t="str">
        <f ca="1">+UPPER(Tabla1325[[#This Row],[DESCRIPCIÓN DE LA COMPRA O CONTRATACIÓN]])</f>
        <v xml:space="preserve">MOTORES ELÉCTRICOS MONOFASICO SUMERGIBLES, 230 VOLTIOS, 3,450 RPM  5 HP CON CAJA DE CONTROLS </v>
      </c>
      <c r="C462" s="39" t="s">
        <v>17</v>
      </c>
      <c r="D462" s="42">
        <v>0</v>
      </c>
      <c r="E462" s="42">
        <v>0</v>
      </c>
      <c r="F462" s="42">
        <v>0</v>
      </c>
      <c r="G462" s="42">
        <v>0</v>
      </c>
      <c r="H462" s="40">
        <f>SUM(Tabla1325[[#This Row],[PRIMER TRIMESTRE]:[CUARTO TRIMESTRE]])</f>
        <v>0</v>
      </c>
      <c r="I462" s="17">
        <v>20517.099999999999</v>
      </c>
      <c r="J462" s="17">
        <f t="shared" si="12"/>
        <v>0</v>
      </c>
      <c r="K462" s="17"/>
      <c r="L462" s="16" t="s">
        <v>18</v>
      </c>
      <c r="M462" s="16" t="s">
        <v>19</v>
      </c>
      <c r="N462" s="39"/>
    </row>
    <row r="463" spans="1:14" s="12" customFormat="1" ht="47.25">
      <c r="A463" s="15" t="s">
        <v>96</v>
      </c>
      <c r="B463" s="16" t="str">
        <f ca="1">+UPPER(Tabla1325[[#This Row],[DESCRIPCIÓN DE LA COMPRA O CONTRATACIÓN]])</f>
        <v xml:space="preserve">MOTORES ELÉCTRICOS MONOFASICO SUMERGIBLES, 230 VOLTIOS, 3,450 RPM  7.5 HP CON CAJA DE CONTROLS </v>
      </c>
      <c r="C463" s="39" t="s">
        <v>17</v>
      </c>
      <c r="D463" s="42">
        <v>0</v>
      </c>
      <c r="E463" s="42">
        <v>0</v>
      </c>
      <c r="F463" s="42">
        <v>0</v>
      </c>
      <c r="G463" s="42">
        <v>0</v>
      </c>
      <c r="H463" s="40">
        <f>SUM(Tabla1325[[#This Row],[PRIMER TRIMESTRE]:[CUARTO TRIMESTRE]])</f>
        <v>0</v>
      </c>
      <c r="I463" s="17">
        <v>36619.75</v>
      </c>
      <c r="J463" s="17">
        <f t="shared" si="12"/>
        <v>0</v>
      </c>
      <c r="K463" s="17"/>
      <c r="L463" s="16" t="s">
        <v>18</v>
      </c>
      <c r="M463" s="16" t="s">
        <v>19</v>
      </c>
      <c r="N463" s="39"/>
    </row>
    <row r="464" spans="1:14" s="12" customFormat="1" ht="47.25">
      <c r="A464" s="15" t="s">
        <v>96</v>
      </c>
      <c r="B464" s="16" t="str">
        <f ca="1">+UPPER(Tabla1325[[#This Row],[DESCRIPCIÓN DE LA COMPRA O CONTRATACIÓN]])</f>
        <v>ELECTROBOMBAS HORIZONTAL, 0.75HP, 1Ø, 115/230V, TIPO MONOBLOCK,3500 RPM, 20 GPM VS 100 PIES TDH</v>
      </c>
      <c r="C464" s="39" t="s">
        <v>17</v>
      </c>
      <c r="D464" s="42">
        <v>0</v>
      </c>
      <c r="E464" s="42">
        <v>0</v>
      </c>
      <c r="F464" s="42">
        <v>0</v>
      </c>
      <c r="G464" s="42">
        <v>0</v>
      </c>
      <c r="H464" s="40">
        <f>SUM(Tabla1325[[#This Row],[PRIMER TRIMESTRE]:[CUARTO TRIMESTRE]])</f>
        <v>0</v>
      </c>
      <c r="I464" s="17">
        <v>15370.13</v>
      </c>
      <c r="J464" s="17">
        <f t="shared" si="12"/>
        <v>0</v>
      </c>
      <c r="K464" s="17"/>
      <c r="L464" s="16" t="s">
        <v>18</v>
      </c>
      <c r="M464" s="16" t="s">
        <v>19</v>
      </c>
      <c r="N464" s="39"/>
    </row>
    <row r="465" spans="1:20" s="12" customFormat="1" ht="31.5">
      <c r="A465" s="15" t="s">
        <v>96</v>
      </c>
      <c r="B465" s="16" t="str">
        <f ca="1">+UPPER(Tabla1325[[#This Row],[DESCRIPCIÓN DE LA COMPRA O CONTRATACIÓN]])</f>
        <v>ELECTROBOMBAS SUMERGIBLE, 1.00HP, 230V, 1Ø, 60HZ, CON SU CAJA DE CONTROL, 3500 RPM</v>
      </c>
      <c r="C465" s="39" t="s">
        <v>17</v>
      </c>
      <c r="D465" s="42">
        <v>0</v>
      </c>
      <c r="E465" s="42">
        <v>0</v>
      </c>
      <c r="F465" s="42">
        <v>0</v>
      </c>
      <c r="G465" s="42">
        <v>0</v>
      </c>
      <c r="H465" s="40">
        <f>SUM(Tabla1325[[#This Row],[PRIMER TRIMESTRE]:[CUARTO TRIMESTRE]])</f>
        <v>0</v>
      </c>
      <c r="I465" s="17">
        <v>42000</v>
      </c>
      <c r="J465" s="17">
        <f t="shared" si="12"/>
        <v>0</v>
      </c>
      <c r="K465" s="17"/>
      <c r="L465" s="16" t="s">
        <v>18</v>
      </c>
      <c r="M465" s="16" t="s">
        <v>19</v>
      </c>
      <c r="N465" s="39"/>
    </row>
    <row r="466" spans="1:20" s="12" customFormat="1" ht="47.25">
      <c r="A466" s="15" t="s">
        <v>96</v>
      </c>
      <c r="B466" s="16" t="s">
        <v>863</v>
      </c>
      <c r="C466" s="39" t="s">
        <v>17</v>
      </c>
      <c r="D466" s="42">
        <v>0</v>
      </c>
      <c r="E466" s="42">
        <v>0</v>
      </c>
      <c r="F466" s="42">
        <v>0</v>
      </c>
      <c r="G466" s="42">
        <v>0</v>
      </c>
      <c r="H466" s="40">
        <f>SUM(Tabla1325[[#This Row],[PRIMER TRIMESTRE]:[CUARTO TRIMESTRE]])</f>
        <v>0</v>
      </c>
      <c r="I466" s="17">
        <v>24051.94</v>
      </c>
      <c r="J466" s="17">
        <f t="shared" si="12"/>
        <v>0</v>
      </c>
      <c r="K466" s="17"/>
      <c r="L466" s="16" t="s">
        <v>18</v>
      </c>
      <c r="M466" s="16" t="s">
        <v>22</v>
      </c>
      <c r="N466" s="39"/>
    </row>
    <row r="467" spans="1:20" s="12" customFormat="1" ht="47.25">
      <c r="A467" s="15" t="s">
        <v>96</v>
      </c>
      <c r="B467" s="16" t="str">
        <f ca="1">+UPPER(Tabla1325[[#This Row],[DESCRIPCIÓN DE LA COMPRA O CONTRATACIÓN]])</f>
        <v>TRANSFORMADORES 1Ø, 60HZ, SUMERGIDOS EN ACEITE, 7.2/12.47 KV, 120/240V, TIPO POSTE, HOMOLGADOS CON IDÉNTICA IMPEDANCIA 25 KVA</v>
      </c>
      <c r="C467" s="39" t="s">
        <v>17</v>
      </c>
      <c r="D467" s="42">
        <v>0</v>
      </c>
      <c r="E467" s="42">
        <v>0</v>
      </c>
      <c r="F467" s="42">
        <v>0</v>
      </c>
      <c r="G467" s="42">
        <v>0</v>
      </c>
      <c r="H467" s="40">
        <f>SUM(Tabla1325[[#This Row],[PRIMER TRIMESTRE]:[CUARTO TRIMESTRE]])</f>
        <v>0</v>
      </c>
      <c r="I467" s="17">
        <v>34220</v>
      </c>
      <c r="J467" s="17">
        <f t="shared" si="12"/>
        <v>0</v>
      </c>
      <c r="K467" s="17"/>
      <c r="L467" s="16" t="s">
        <v>18</v>
      </c>
      <c r="M467" s="16" t="s">
        <v>22</v>
      </c>
      <c r="N467" s="39"/>
    </row>
    <row r="468" spans="1:20" s="12" customFormat="1" ht="63">
      <c r="A468" s="15" t="s">
        <v>96</v>
      </c>
      <c r="B468" s="16" t="str">
        <f ca="1">+UPPER(Tabla1325[[#This Row],[DESCRIPCIÓN DE LA COMPRA O CONTRATACIÓN]])</f>
        <v>TRANSFORMADORES 1Ø, 60HZ, SUMERGIDOS EN ACEITE, 7.2/12.47 KV, 120/240V, TIPO POSTE, HOMOLGADOS CON IDÉNTICA IMPEDANCIA 37.5 KVA</v>
      </c>
      <c r="C468" s="39" t="s">
        <v>17</v>
      </c>
      <c r="D468" s="42">
        <v>0</v>
      </c>
      <c r="E468" s="42">
        <v>0</v>
      </c>
      <c r="F468" s="42">
        <v>0</v>
      </c>
      <c r="G468" s="42">
        <v>0</v>
      </c>
      <c r="H468" s="40">
        <f>SUM(Tabla1325[[#This Row],[PRIMER TRIMESTRE]:[CUARTO TRIMESTRE]])</f>
        <v>0</v>
      </c>
      <c r="I468" s="17">
        <v>58875.22</v>
      </c>
      <c r="J468" s="17">
        <f t="shared" si="12"/>
        <v>0</v>
      </c>
      <c r="K468" s="17"/>
      <c r="L468" s="16" t="s">
        <v>18</v>
      </c>
      <c r="M468" s="16" t="s">
        <v>22</v>
      </c>
      <c r="N468" s="39"/>
    </row>
    <row r="469" spans="1:20" s="12" customFormat="1" ht="47.25">
      <c r="A469" s="15" t="s">
        <v>96</v>
      </c>
      <c r="B469" s="73" t="str">
        <f ca="1">+UPPER(Tabla1325[[#This Row],[DESCRIPCIÓN DE LA COMPRA O CONTRATACIÓN]])</f>
        <v>TRANSFORMADORES 1Ø, 60HZ, SUMERGIDOS EN ACEITE, 7.2/12.47 KV, 240/480V, TIPO POSTE HOMOLGADOS CON IDÉNTICA IMPEDANCIA 15 KVA</v>
      </c>
      <c r="C469" s="39" t="s">
        <v>17</v>
      </c>
      <c r="D469" s="42">
        <v>0</v>
      </c>
      <c r="E469" s="42">
        <v>0</v>
      </c>
      <c r="F469" s="42">
        <v>0</v>
      </c>
      <c r="G469" s="42">
        <v>0</v>
      </c>
      <c r="H469" s="40">
        <f>SUM(Tabla1325[[#This Row],[PRIMER TRIMESTRE]:[CUARTO TRIMESTRE]])</f>
        <v>0</v>
      </c>
      <c r="I469" s="17">
        <v>25498.09</v>
      </c>
      <c r="J469" s="17">
        <f t="shared" si="12"/>
        <v>0</v>
      </c>
      <c r="K469" s="17"/>
      <c r="L469" s="16" t="s">
        <v>18</v>
      </c>
      <c r="M469" s="16" t="s">
        <v>22</v>
      </c>
      <c r="N469" s="39"/>
    </row>
    <row r="470" spans="1:20" s="12" customFormat="1" ht="47.25">
      <c r="A470" s="15" t="s">
        <v>96</v>
      </c>
      <c r="B470" s="73" t="str">
        <f ca="1">+UPPER(Tabla1325[[#This Row],[DESCRIPCIÓN DE LA COMPRA O CONTRATACIÓN]])</f>
        <v>TRANSFORMADORES 1Ø, 60HZ, SUMERGIDOS EN ACEITE, 7.2/12.47 KV, 240/480V, TIPO POSTE HOMOLGADOS CON IDÉNTICA IMPEDANCIA 25 KVA</v>
      </c>
      <c r="C470" s="39" t="s">
        <v>17</v>
      </c>
      <c r="D470" s="42">
        <v>0</v>
      </c>
      <c r="E470" s="42">
        <v>0</v>
      </c>
      <c r="F470" s="42">
        <v>0</v>
      </c>
      <c r="G470" s="42">
        <v>0</v>
      </c>
      <c r="H470" s="40">
        <f>SUM(Tabla1325[[#This Row],[PRIMER TRIMESTRE]:[CUARTO TRIMESTRE]])</f>
        <v>0</v>
      </c>
      <c r="I470" s="17">
        <v>37186.82</v>
      </c>
      <c r="J470" s="17">
        <f t="shared" si="12"/>
        <v>0</v>
      </c>
      <c r="K470" s="17"/>
      <c r="L470" s="16" t="s">
        <v>18</v>
      </c>
      <c r="M470" s="16" t="s">
        <v>22</v>
      </c>
      <c r="N470" s="39"/>
    </row>
    <row r="471" spans="1:20" s="12" customFormat="1" ht="38.25">
      <c r="A471" s="15" t="s">
        <v>96</v>
      </c>
      <c r="B471" s="77" t="s">
        <v>864</v>
      </c>
      <c r="C471" s="39" t="s">
        <v>17</v>
      </c>
      <c r="D471" s="42">
        <v>0</v>
      </c>
      <c r="E471" s="42">
        <v>0</v>
      </c>
      <c r="F471" s="42">
        <v>0</v>
      </c>
      <c r="G471" s="42">
        <v>0</v>
      </c>
      <c r="H471" s="40">
        <f>SUM(Tabla1325[[#This Row],[PRIMER TRIMESTRE]:[CUARTO TRIMESTRE]])</f>
        <v>0</v>
      </c>
      <c r="I471" s="17">
        <v>44076.54</v>
      </c>
      <c r="J471" s="17">
        <f t="shared" si="12"/>
        <v>0</v>
      </c>
      <c r="K471" s="17"/>
      <c r="L471" s="16" t="s">
        <v>18</v>
      </c>
      <c r="M471" s="16" t="s">
        <v>22</v>
      </c>
      <c r="N471" s="39"/>
    </row>
    <row r="472" spans="1:20" s="12" customFormat="1" ht="38.25">
      <c r="A472" s="15" t="s">
        <v>96</v>
      </c>
      <c r="B472" s="75" t="s">
        <v>865</v>
      </c>
      <c r="C472" s="39" t="s">
        <v>17</v>
      </c>
      <c r="D472" s="42">
        <v>0</v>
      </c>
      <c r="E472" s="42">
        <v>0</v>
      </c>
      <c r="F472" s="42">
        <v>0</v>
      </c>
      <c r="G472" s="42">
        <v>0</v>
      </c>
      <c r="H472" s="40">
        <f>SUM(Tabla1325[[#This Row],[PRIMER TRIMESTRE]:[CUARTO TRIMESTRE]])</f>
        <v>0</v>
      </c>
      <c r="I472" s="17">
        <v>54061.7</v>
      </c>
      <c r="J472" s="17">
        <f t="shared" si="12"/>
        <v>0</v>
      </c>
      <c r="K472" s="17"/>
      <c r="L472" s="16" t="s">
        <v>18</v>
      </c>
      <c r="M472" s="16" t="s">
        <v>22</v>
      </c>
      <c r="N472" s="39"/>
    </row>
    <row r="473" spans="1:20" s="12" customFormat="1" ht="38.25">
      <c r="A473" s="15" t="s">
        <v>96</v>
      </c>
      <c r="B473" s="75" t="s">
        <v>866</v>
      </c>
      <c r="C473" s="39" t="s">
        <v>17</v>
      </c>
      <c r="D473" s="42">
        <v>0</v>
      </c>
      <c r="E473" s="42">
        <v>0</v>
      </c>
      <c r="F473" s="42">
        <v>0</v>
      </c>
      <c r="G473" s="42">
        <v>0</v>
      </c>
      <c r="H473" s="40">
        <f>SUM(Tabla1325[[#This Row],[PRIMER TRIMESTRE]:[CUARTO TRIMESTRE]])</f>
        <v>0</v>
      </c>
      <c r="I473" s="17">
        <v>81423.539999999994</v>
      </c>
      <c r="J473" s="17">
        <f t="shared" si="12"/>
        <v>0</v>
      </c>
      <c r="K473" s="17"/>
      <c r="L473" s="16" t="s">
        <v>18</v>
      </c>
      <c r="M473" s="16" t="s">
        <v>22</v>
      </c>
      <c r="N473" s="39"/>
    </row>
    <row r="474" spans="1:20" s="12" customFormat="1" ht="63">
      <c r="A474" s="15" t="s">
        <v>96</v>
      </c>
      <c r="B474" s="16" t="str">
        <f ca="1">+UPPER(Tabla1325[[#This Row],[DESCRIPCIÓN DE LA COMPRA O CONTRATACIÓN]])</f>
        <v>TRANSFORMADORES 1Ø, 60HZ, SUMERGIDOS EN ACEITE, 7.2/12.47 KV, 240/480V, TIPO POSTE HOMOLGADOS CON IDÉNTICA IMPEDANCIA 100 KVA</v>
      </c>
      <c r="C474" s="39" t="s">
        <v>17</v>
      </c>
      <c r="D474" s="42">
        <v>0</v>
      </c>
      <c r="E474" s="42">
        <v>0</v>
      </c>
      <c r="F474" s="42">
        <v>0</v>
      </c>
      <c r="G474" s="42">
        <v>0</v>
      </c>
      <c r="H474" s="40">
        <f>SUM(Tabla1325[[#This Row],[PRIMER TRIMESTRE]:[CUARTO TRIMESTRE]])</f>
        <v>0</v>
      </c>
      <c r="I474" s="17">
        <v>108938.74</v>
      </c>
      <c r="J474" s="17">
        <f t="shared" si="12"/>
        <v>0</v>
      </c>
      <c r="K474" s="17"/>
      <c r="L474" s="16" t="s">
        <v>18</v>
      </c>
      <c r="M474" s="16" t="s">
        <v>22</v>
      </c>
      <c r="N474" s="39"/>
    </row>
    <row r="475" spans="1:20" s="12" customFormat="1" ht="38.25">
      <c r="A475" s="15" t="s">
        <v>96</v>
      </c>
      <c r="B475" s="75" t="s">
        <v>867</v>
      </c>
      <c r="C475" s="39" t="s">
        <v>17</v>
      </c>
      <c r="D475" s="42">
        <v>0</v>
      </c>
      <c r="E475" s="42">
        <v>0</v>
      </c>
      <c r="F475" s="42">
        <v>0</v>
      </c>
      <c r="G475" s="42">
        <v>0</v>
      </c>
      <c r="H475" s="40">
        <f>SUM(Tabla1325[[#This Row],[PRIMER TRIMESTRE]:[CUARTO TRIMESTRE]])</f>
        <v>0</v>
      </c>
      <c r="I475" s="17">
        <v>160529.56</v>
      </c>
      <c r="J475" s="17">
        <f t="shared" si="12"/>
        <v>0</v>
      </c>
      <c r="K475" s="17"/>
      <c r="L475" s="16" t="s">
        <v>18</v>
      </c>
      <c r="M475" s="16" t="s">
        <v>22</v>
      </c>
      <c r="N475" s="39"/>
    </row>
    <row r="476" spans="1:20" s="12" customFormat="1" ht="38.25">
      <c r="A476" s="15" t="s">
        <v>96</v>
      </c>
      <c r="B476" s="75" t="s">
        <v>871</v>
      </c>
      <c r="C476" s="39" t="s">
        <v>17</v>
      </c>
      <c r="D476" s="42">
        <v>0</v>
      </c>
      <c r="E476" s="42">
        <v>0</v>
      </c>
      <c r="F476" s="42">
        <v>0</v>
      </c>
      <c r="G476" s="42">
        <v>0</v>
      </c>
      <c r="H476" s="40">
        <f>SUM(Tabla1325[[#This Row],[PRIMER TRIMESTRE]:[CUARTO TRIMESTRE]])</f>
        <v>0</v>
      </c>
      <c r="I476" s="17">
        <v>2995.96</v>
      </c>
      <c r="J476" s="17">
        <f t="shared" si="12"/>
        <v>0</v>
      </c>
      <c r="K476" s="17"/>
      <c r="L476" s="16" t="s">
        <v>18</v>
      </c>
      <c r="M476" s="16" t="s">
        <v>22</v>
      </c>
      <c r="N476" s="39"/>
    </row>
    <row r="477" spans="1:20" s="12" customFormat="1" ht="38.25">
      <c r="A477" s="15" t="s">
        <v>96</v>
      </c>
      <c r="B477" s="75" t="s">
        <v>872</v>
      </c>
      <c r="C477" s="39" t="s">
        <v>17</v>
      </c>
      <c r="D477" s="42">
        <v>0</v>
      </c>
      <c r="E477" s="42">
        <v>0</v>
      </c>
      <c r="F477" s="42">
        <v>0</v>
      </c>
      <c r="G477" s="42">
        <v>0</v>
      </c>
      <c r="H477" s="40">
        <f>SUM(Tabla1325[[#This Row],[PRIMER TRIMESTRE]:[CUARTO TRIMESTRE]])</f>
        <v>0</v>
      </c>
      <c r="I477" s="17">
        <v>3986.24</v>
      </c>
      <c r="J477" s="17">
        <f t="shared" si="12"/>
        <v>0</v>
      </c>
      <c r="K477" s="17"/>
      <c r="L477" s="16" t="s">
        <v>18</v>
      </c>
      <c r="M477" s="16" t="s">
        <v>22</v>
      </c>
      <c r="N477" s="39"/>
    </row>
    <row r="478" spans="1:20" s="12" customFormat="1" ht="38.25">
      <c r="A478" s="15" t="s">
        <v>96</v>
      </c>
      <c r="B478" s="75" t="s">
        <v>873</v>
      </c>
      <c r="C478" s="39" t="s">
        <v>17</v>
      </c>
      <c r="D478" s="42">
        <v>0</v>
      </c>
      <c r="E478" s="42">
        <v>0</v>
      </c>
      <c r="F478" s="42">
        <v>0</v>
      </c>
      <c r="G478" s="42">
        <v>0</v>
      </c>
      <c r="H478" s="40">
        <f>SUM(Tabla1325[[#This Row],[PRIMER TRIMESTRE]:[CUARTO TRIMESTRE]])</f>
        <v>0</v>
      </c>
      <c r="I478" s="17">
        <v>6982.2</v>
      </c>
      <c r="J478" s="17">
        <f t="shared" si="12"/>
        <v>0</v>
      </c>
      <c r="K478" s="17"/>
      <c r="L478" s="16" t="s">
        <v>18</v>
      </c>
      <c r="M478" s="16" t="s">
        <v>22</v>
      </c>
      <c r="N478" s="39"/>
    </row>
    <row r="479" spans="1:20" s="12" customFormat="1" ht="51">
      <c r="A479" s="178" t="s">
        <v>96</v>
      </c>
      <c r="B479" s="106" t="s">
        <v>1525</v>
      </c>
      <c r="C479" s="39" t="s">
        <v>17</v>
      </c>
      <c r="D479" s="236">
        <v>10</v>
      </c>
      <c r="E479" s="236"/>
      <c r="F479" s="236"/>
      <c r="G479" s="236"/>
      <c r="H479" s="40">
        <f>SUM(Tabla1325[[#This Row],[PRIMER TRIMESTRE]:[CUARTO TRIMESTRE]])</f>
        <v>10</v>
      </c>
      <c r="I479" s="17">
        <v>251461</v>
      </c>
      <c r="J479" s="17">
        <f t="shared" si="12"/>
        <v>2514610</v>
      </c>
      <c r="K479" s="17"/>
      <c r="L479" s="16" t="s">
        <v>18</v>
      </c>
      <c r="M479" s="16" t="s">
        <v>22</v>
      </c>
      <c r="N479" s="39"/>
    </row>
    <row r="480" spans="1:20" s="26" customFormat="1" ht="31.5">
      <c r="A480" s="22" t="s">
        <v>96</v>
      </c>
      <c r="B480" s="76"/>
      <c r="C480" s="42"/>
      <c r="D480" s="42">
        <v>0</v>
      </c>
      <c r="E480" s="42">
        <v>0</v>
      </c>
      <c r="F480" s="42">
        <v>0</v>
      </c>
      <c r="G480" s="42">
        <v>0</v>
      </c>
      <c r="H480" s="43">
        <f>SUM(Tabla1325[[#This Row],[PRIMER TRIMESTRE]:[CUARTO TRIMESTRE]])</f>
        <v>0</v>
      </c>
      <c r="I480" s="24"/>
      <c r="J480" s="24"/>
      <c r="K480" s="25">
        <f>SUM(J368:J478)</f>
        <v>47216.69</v>
      </c>
      <c r="L480" s="23"/>
      <c r="M480" s="23"/>
      <c r="N480" s="42"/>
      <c r="Q480" s="27"/>
      <c r="T480" s="23"/>
    </row>
    <row r="481" spans="1:20" s="12" customFormat="1" ht="25.5">
      <c r="A481" s="15" t="s">
        <v>95</v>
      </c>
      <c r="B481" s="77" t="str">
        <f ca="1">+UPPER(Tabla1325[[#This Row],[DESCRIPCIÓN DE LA COMPRA O CONTRATACIÓN]])</f>
        <v>LÁMPARA FLUORESCENTE, DE 2 X 4 PIES, 32 WATTS, COMPLETA</v>
      </c>
      <c r="C481" s="39" t="s">
        <v>17</v>
      </c>
      <c r="D481" s="42">
        <v>0</v>
      </c>
      <c r="E481" s="42">
        <v>0</v>
      </c>
      <c r="F481" s="42">
        <v>0</v>
      </c>
      <c r="G481" s="42">
        <v>0</v>
      </c>
      <c r="H481" s="40">
        <f>SUM(Tabla1325[[#This Row],[PRIMER TRIMESTRE]:[CUARTO TRIMESTRE]])</f>
        <v>0</v>
      </c>
      <c r="I481" s="17">
        <v>63.44</v>
      </c>
      <c r="J481" s="17">
        <f>+H481*I481</f>
        <v>0</v>
      </c>
      <c r="K481" s="17"/>
      <c r="L481" s="16" t="s">
        <v>27</v>
      </c>
      <c r="M481" s="16" t="s">
        <v>22</v>
      </c>
      <c r="N481" s="39"/>
    </row>
    <row r="482" spans="1:20" s="12" customFormat="1">
      <c r="A482" s="15" t="s">
        <v>95</v>
      </c>
      <c r="B482" s="75" t="s">
        <v>209</v>
      </c>
      <c r="C482" s="39" t="s">
        <v>17</v>
      </c>
      <c r="D482" s="42">
        <v>0</v>
      </c>
      <c r="E482" s="42">
        <v>0</v>
      </c>
      <c r="F482" s="42">
        <v>0</v>
      </c>
      <c r="G482" s="42">
        <v>0</v>
      </c>
      <c r="H482" s="40">
        <f>SUM(Tabla1325[[#This Row],[PRIMER TRIMESTRE]:[CUARTO TRIMESTRE]])</f>
        <v>0</v>
      </c>
      <c r="I482" s="17">
        <v>1417.52</v>
      </c>
      <c r="J482" s="17">
        <f>+Tabla1325[[#This Row],[CANTIDAD TOTAL]]*Tabla1325[[#This Row],[PRECIO UNITARIO ESTIMADO]]</f>
        <v>0</v>
      </c>
      <c r="K482" s="17"/>
      <c r="L482" s="16" t="s">
        <v>27</v>
      </c>
      <c r="M482" s="16" t="s">
        <v>22</v>
      </c>
      <c r="N482" s="39"/>
    </row>
    <row r="483" spans="1:20" s="12" customFormat="1" ht="25.5">
      <c r="A483" s="15" t="s">
        <v>95</v>
      </c>
      <c r="B483" s="77" t="s">
        <v>881</v>
      </c>
      <c r="C483" s="39" t="s">
        <v>17</v>
      </c>
      <c r="D483" s="42">
        <v>0</v>
      </c>
      <c r="E483" s="42">
        <v>0</v>
      </c>
      <c r="F483" s="42">
        <v>0</v>
      </c>
      <c r="G483" s="42">
        <v>0</v>
      </c>
      <c r="H483" s="40">
        <f>SUM(Tabla1325[[#This Row],[PRIMER TRIMESTRE]:[CUARTO TRIMESTRE]])</f>
        <v>0</v>
      </c>
      <c r="I483" s="17">
        <v>877.77</v>
      </c>
      <c r="J483" s="17">
        <f>+H483*I483</f>
        <v>0</v>
      </c>
      <c r="K483" s="17"/>
      <c r="L483" s="16" t="s">
        <v>27</v>
      </c>
      <c r="M483" s="16" t="s">
        <v>22</v>
      </c>
      <c r="N483" s="39"/>
    </row>
    <row r="484" spans="1:20" s="26" customFormat="1" ht="31.5">
      <c r="A484" s="22" t="s">
        <v>95</v>
      </c>
      <c r="B484" s="76"/>
      <c r="C484" s="42"/>
      <c r="D484" s="42">
        <v>0</v>
      </c>
      <c r="E484" s="42">
        <v>0</v>
      </c>
      <c r="F484" s="42">
        <v>0</v>
      </c>
      <c r="G484" s="42">
        <v>0</v>
      </c>
      <c r="H484" s="43">
        <f>SUM(Tabla1325[[#This Row],[PRIMER TRIMESTRE]:[CUARTO TRIMESTRE]])</f>
        <v>0</v>
      </c>
      <c r="I484" s="24"/>
      <c r="J484" s="24"/>
      <c r="K484" s="25">
        <f>SUM(J481:J483)</f>
        <v>0</v>
      </c>
      <c r="L484" s="23"/>
      <c r="M484" s="23"/>
      <c r="N484" s="42"/>
      <c r="Q484" s="27"/>
      <c r="T484" s="23"/>
    </row>
    <row r="485" spans="1:20" s="12" customFormat="1">
      <c r="A485" s="15" t="s">
        <v>97</v>
      </c>
      <c r="B485" s="75" t="s">
        <v>227</v>
      </c>
      <c r="C485" s="39" t="s">
        <v>17</v>
      </c>
      <c r="D485" s="42">
        <v>0</v>
      </c>
      <c r="E485" s="42">
        <v>0</v>
      </c>
      <c r="F485" s="42">
        <v>0</v>
      </c>
      <c r="G485" s="42">
        <v>0</v>
      </c>
      <c r="H485" s="40">
        <f>SUM(Tabla1325[[#This Row],[PRIMER TRIMESTRE]:[CUARTO TRIMESTRE]])</f>
        <v>0</v>
      </c>
      <c r="I485" s="17">
        <v>110.2</v>
      </c>
      <c r="J485" s="17">
        <f>+Tabla1325[[#This Row],[CANTIDAD TOTAL]]*Tabla1325[[#This Row],[PRECIO UNITARIO ESTIMADO]]</f>
        <v>0</v>
      </c>
      <c r="K485" s="17"/>
      <c r="L485" s="16" t="s">
        <v>27</v>
      </c>
      <c r="M485" s="16" t="s">
        <v>22</v>
      </c>
      <c r="N485" s="39"/>
    </row>
    <row r="486" spans="1:20" s="12" customFormat="1">
      <c r="A486" s="15" t="s">
        <v>97</v>
      </c>
      <c r="B486" s="75" t="s">
        <v>228</v>
      </c>
      <c r="C486" s="39" t="s">
        <v>17</v>
      </c>
      <c r="D486" s="42">
        <v>0</v>
      </c>
      <c r="E486" s="42">
        <v>0</v>
      </c>
      <c r="F486" s="42">
        <v>0</v>
      </c>
      <c r="G486" s="42">
        <v>0</v>
      </c>
      <c r="H486" s="40">
        <f>SUM(Tabla1325[[#This Row],[PRIMER TRIMESTRE]:[CUARTO TRIMESTRE]])</f>
        <v>0</v>
      </c>
      <c r="I486" s="17">
        <v>156.5</v>
      </c>
      <c r="J486" s="17">
        <f>+Tabla1325[[#This Row],[CANTIDAD TOTAL]]*Tabla1325[[#This Row],[PRECIO UNITARIO ESTIMADO]]</f>
        <v>0</v>
      </c>
      <c r="K486" s="17"/>
      <c r="L486" s="16" t="s">
        <v>27</v>
      </c>
      <c r="M486" s="16" t="s">
        <v>22</v>
      </c>
      <c r="N486" s="39"/>
    </row>
    <row r="487" spans="1:20" s="12" customFormat="1">
      <c r="A487" s="15" t="s">
        <v>97</v>
      </c>
      <c r="B487" s="75" t="s">
        <v>572</v>
      </c>
      <c r="C487" s="39" t="s">
        <v>17</v>
      </c>
      <c r="D487" s="42">
        <v>0</v>
      </c>
      <c r="E487" s="42">
        <v>0</v>
      </c>
      <c r="F487" s="42">
        <v>0</v>
      </c>
      <c r="G487" s="42">
        <v>0</v>
      </c>
      <c r="H487" s="40">
        <f>SUM(Tabla1325[[#This Row],[PRIMER TRIMESTRE]:[CUARTO TRIMESTRE]])</f>
        <v>0</v>
      </c>
      <c r="I487" s="17">
        <v>14500</v>
      </c>
      <c r="J487" s="17">
        <f>+H487*I487</f>
        <v>0</v>
      </c>
      <c r="K487" s="17"/>
      <c r="L487" s="16" t="s">
        <v>27</v>
      </c>
      <c r="M487" s="16" t="s">
        <v>22</v>
      </c>
      <c r="N487" s="39"/>
    </row>
    <row r="488" spans="1:20" s="12" customFormat="1">
      <c r="A488" s="15" t="s">
        <v>97</v>
      </c>
      <c r="B488" s="75" t="s">
        <v>220</v>
      </c>
      <c r="C488" s="39" t="s">
        <v>17</v>
      </c>
      <c r="D488" s="42">
        <v>0</v>
      </c>
      <c r="E488" s="42">
        <v>0</v>
      </c>
      <c r="F488" s="42">
        <v>0</v>
      </c>
      <c r="G488" s="42">
        <v>0</v>
      </c>
      <c r="H488" s="40">
        <f>SUM(Tabla1325[[#This Row],[PRIMER TRIMESTRE]:[CUARTO TRIMESTRE]])</f>
        <v>0</v>
      </c>
      <c r="I488" s="17">
        <v>40165</v>
      </c>
      <c r="J488" s="17">
        <f>+Tabla1325[[#This Row],[CANTIDAD TOTAL]]*Tabla1325[[#This Row],[PRECIO UNITARIO ESTIMADO]]</f>
        <v>0</v>
      </c>
      <c r="K488" s="17"/>
      <c r="L488" s="16" t="s">
        <v>27</v>
      </c>
      <c r="M488" s="16" t="s">
        <v>22</v>
      </c>
      <c r="N488" s="39"/>
    </row>
    <row r="489" spans="1:20" s="12" customFormat="1">
      <c r="A489" s="15" t="s">
        <v>97</v>
      </c>
      <c r="B489" s="75" t="s">
        <v>213</v>
      </c>
      <c r="C489" s="39" t="s">
        <v>17</v>
      </c>
      <c r="D489" s="42">
        <v>0</v>
      </c>
      <c r="E489" s="42">
        <v>0</v>
      </c>
      <c r="F489" s="42">
        <v>0</v>
      </c>
      <c r="G489" s="42">
        <v>0</v>
      </c>
      <c r="H489" s="40">
        <f>SUM(Tabla1325[[#This Row],[PRIMER TRIMESTRE]:[CUARTO TRIMESTRE]])</f>
        <v>0</v>
      </c>
      <c r="I489" s="17">
        <v>30999.38</v>
      </c>
      <c r="J489" s="17">
        <f>+Tabla1325[[#This Row],[CANTIDAD TOTAL]]*Tabla1325[[#This Row],[PRECIO UNITARIO ESTIMADO]]</f>
        <v>0</v>
      </c>
      <c r="K489" s="17"/>
      <c r="L489" s="16" t="s">
        <v>27</v>
      </c>
      <c r="M489" s="16" t="s">
        <v>22</v>
      </c>
      <c r="N489" s="39"/>
    </row>
    <row r="490" spans="1:20" s="12" customFormat="1">
      <c r="A490" s="15" t="s">
        <v>97</v>
      </c>
      <c r="B490" s="75" t="s">
        <v>226</v>
      </c>
      <c r="C490" s="39" t="s">
        <v>17</v>
      </c>
      <c r="D490" s="42">
        <v>0</v>
      </c>
      <c r="E490" s="42">
        <v>0</v>
      </c>
      <c r="F490" s="42">
        <v>0</v>
      </c>
      <c r="G490" s="42">
        <v>0</v>
      </c>
      <c r="H490" s="40">
        <f>SUM(Tabla1325[[#This Row],[PRIMER TRIMESTRE]:[CUARTO TRIMESTRE]])</f>
        <v>0</v>
      </c>
      <c r="I490" s="17">
        <v>14929.2</v>
      </c>
      <c r="J490" s="17">
        <f>+Tabla1325[[#This Row],[CANTIDAD TOTAL]]*Tabla1325[[#This Row],[PRECIO UNITARIO ESTIMADO]]</f>
        <v>0</v>
      </c>
      <c r="K490" s="17"/>
      <c r="L490" s="16" t="s">
        <v>27</v>
      </c>
      <c r="M490" s="16" t="s">
        <v>22</v>
      </c>
      <c r="N490" s="39"/>
    </row>
    <row r="491" spans="1:20" s="12" customFormat="1">
      <c r="A491" s="15" t="s">
        <v>97</v>
      </c>
      <c r="B491" s="75" t="s">
        <v>212</v>
      </c>
      <c r="C491" s="39" t="s">
        <v>17</v>
      </c>
      <c r="D491" s="42">
        <v>0</v>
      </c>
      <c r="E491" s="42">
        <v>0</v>
      </c>
      <c r="F491" s="42">
        <v>0</v>
      </c>
      <c r="G491" s="42">
        <v>0</v>
      </c>
      <c r="H491" s="40">
        <f>SUM(Tabla1325[[#This Row],[PRIMER TRIMESTRE]:[CUARTO TRIMESTRE]])</f>
        <v>0</v>
      </c>
      <c r="I491" s="17">
        <v>280500</v>
      </c>
      <c r="J491" s="17">
        <f>+Tabla1325[[#This Row],[CANTIDAD TOTAL]]*Tabla1325[[#This Row],[PRECIO UNITARIO ESTIMADO]]</f>
        <v>0</v>
      </c>
      <c r="K491" s="17"/>
      <c r="L491" s="16" t="s">
        <v>27</v>
      </c>
      <c r="M491" s="16" t="s">
        <v>22</v>
      </c>
      <c r="N491" s="39"/>
    </row>
    <row r="492" spans="1:20" s="12" customFormat="1">
      <c r="A492" s="15" t="s">
        <v>97</v>
      </c>
      <c r="B492" s="75" t="s">
        <v>214</v>
      </c>
      <c r="C492" s="39" t="s">
        <v>17</v>
      </c>
      <c r="D492" s="42">
        <v>0</v>
      </c>
      <c r="E492" s="42">
        <v>0</v>
      </c>
      <c r="F492" s="42">
        <v>0</v>
      </c>
      <c r="G492" s="42">
        <v>0</v>
      </c>
      <c r="H492" s="40">
        <f>SUM(Tabla1325[[#This Row],[PRIMER TRIMESTRE]:[CUARTO TRIMESTRE]])</f>
        <v>0</v>
      </c>
      <c r="I492" s="17">
        <v>62762.6</v>
      </c>
      <c r="J492" s="17">
        <f>+Tabla1325[[#This Row],[CANTIDAD TOTAL]]*Tabla1325[[#This Row],[PRECIO UNITARIO ESTIMADO]]</f>
        <v>0</v>
      </c>
      <c r="K492" s="17"/>
      <c r="L492" s="16" t="s">
        <v>27</v>
      </c>
      <c r="M492" s="16" t="s">
        <v>22</v>
      </c>
      <c r="N492" s="39"/>
    </row>
    <row r="493" spans="1:20" s="12" customFormat="1">
      <c r="A493" s="15" t="s">
        <v>97</v>
      </c>
      <c r="B493" s="75" t="s">
        <v>215</v>
      </c>
      <c r="C493" s="39" t="s">
        <v>17</v>
      </c>
      <c r="D493" s="42">
        <v>0</v>
      </c>
      <c r="E493" s="42">
        <v>0</v>
      </c>
      <c r="F493" s="42">
        <v>0</v>
      </c>
      <c r="G493" s="42">
        <v>0</v>
      </c>
      <c r="H493" s="40">
        <f>SUM(Tabla1325[[#This Row],[PRIMER TRIMESTRE]:[CUARTO TRIMESTRE]])</f>
        <v>0</v>
      </c>
      <c r="I493" s="17">
        <v>14453.6</v>
      </c>
      <c r="J493" s="17">
        <f>+Tabla1325[[#This Row],[CANTIDAD TOTAL]]*Tabla1325[[#This Row],[PRECIO UNITARIO ESTIMADO]]</f>
        <v>0</v>
      </c>
      <c r="K493" s="17"/>
      <c r="L493" s="16" t="s">
        <v>27</v>
      </c>
      <c r="M493" s="16" t="s">
        <v>22</v>
      </c>
      <c r="N493" s="39"/>
    </row>
    <row r="494" spans="1:20" s="12" customFormat="1">
      <c r="A494" s="15" t="s">
        <v>97</v>
      </c>
      <c r="B494" s="75" t="s">
        <v>216</v>
      </c>
      <c r="C494" s="39" t="s">
        <v>17</v>
      </c>
      <c r="D494" s="42">
        <v>0</v>
      </c>
      <c r="E494" s="42">
        <v>0</v>
      </c>
      <c r="F494" s="42">
        <v>0</v>
      </c>
      <c r="G494" s="42">
        <v>0</v>
      </c>
      <c r="H494" s="40">
        <f>SUM(Tabla1325[[#This Row],[PRIMER TRIMESTRE]:[CUARTO TRIMESTRE]])</f>
        <v>0</v>
      </c>
      <c r="I494" s="17">
        <v>58701.8</v>
      </c>
      <c r="J494" s="17">
        <f>+Tabla1325[[#This Row],[CANTIDAD TOTAL]]*Tabla1325[[#This Row],[PRECIO UNITARIO ESTIMADO]]</f>
        <v>0</v>
      </c>
      <c r="K494" s="17"/>
      <c r="L494" s="16" t="s">
        <v>27</v>
      </c>
      <c r="M494" s="16" t="s">
        <v>22</v>
      </c>
      <c r="N494" s="39"/>
    </row>
    <row r="495" spans="1:20" s="12" customFormat="1" ht="25.5">
      <c r="A495" s="15" t="s">
        <v>97</v>
      </c>
      <c r="B495" s="75" t="s">
        <v>217</v>
      </c>
      <c r="C495" s="39" t="s">
        <v>17</v>
      </c>
      <c r="D495" s="42">
        <v>0</v>
      </c>
      <c r="E495" s="42">
        <v>0</v>
      </c>
      <c r="F495" s="42">
        <v>0</v>
      </c>
      <c r="G495" s="42">
        <v>0</v>
      </c>
      <c r="H495" s="40">
        <f>SUM(Tabla1325[[#This Row],[PRIMER TRIMESTRE]:[CUARTO TRIMESTRE]])</f>
        <v>0</v>
      </c>
      <c r="I495" s="17">
        <v>36540</v>
      </c>
      <c r="J495" s="17">
        <f>+Tabla1325[[#This Row],[CANTIDAD TOTAL]]*Tabla1325[[#This Row],[PRECIO UNITARIO ESTIMADO]]</f>
        <v>0</v>
      </c>
      <c r="K495" s="17"/>
      <c r="L495" s="16" t="s">
        <v>27</v>
      </c>
      <c r="M495" s="16" t="s">
        <v>22</v>
      </c>
      <c r="N495" s="39"/>
    </row>
    <row r="496" spans="1:20" s="12" customFormat="1" ht="25.5">
      <c r="A496" s="15" t="s">
        <v>97</v>
      </c>
      <c r="B496" s="75" t="s">
        <v>218</v>
      </c>
      <c r="C496" s="39" t="s">
        <v>17</v>
      </c>
      <c r="D496" s="42">
        <v>0</v>
      </c>
      <c r="E496" s="42">
        <v>0</v>
      </c>
      <c r="F496" s="42">
        <v>0</v>
      </c>
      <c r="G496" s="42">
        <v>0</v>
      </c>
      <c r="H496" s="40">
        <f>SUM(Tabla1325[[#This Row],[PRIMER TRIMESTRE]:[CUARTO TRIMESTRE]])</f>
        <v>0</v>
      </c>
      <c r="I496" s="17">
        <v>60262</v>
      </c>
      <c r="J496" s="17">
        <f>+Tabla1325[[#This Row],[CANTIDAD TOTAL]]*Tabla1325[[#This Row],[PRECIO UNITARIO ESTIMADO]]</f>
        <v>0</v>
      </c>
      <c r="K496" s="17"/>
      <c r="L496" s="16" t="s">
        <v>27</v>
      </c>
      <c r="M496" s="16" t="s">
        <v>22</v>
      </c>
      <c r="N496" s="39"/>
    </row>
    <row r="497" spans="1:20" s="12" customFormat="1" ht="25.5">
      <c r="A497" s="15" t="s">
        <v>97</v>
      </c>
      <c r="B497" s="75" t="s">
        <v>219</v>
      </c>
      <c r="C497" s="39" t="s">
        <v>17</v>
      </c>
      <c r="D497" s="42">
        <v>0</v>
      </c>
      <c r="E497" s="42">
        <v>0</v>
      </c>
      <c r="F497" s="42">
        <v>0</v>
      </c>
      <c r="G497" s="42">
        <v>0</v>
      </c>
      <c r="H497" s="40">
        <f>SUM(Tabla1325[[#This Row],[PRIMER TRIMESTRE]:[CUARTO TRIMESTRE]])</f>
        <v>0</v>
      </c>
      <c r="I497" s="17">
        <v>59757.4</v>
      </c>
      <c r="J497" s="17">
        <f>+Tabla1325[[#This Row],[CANTIDAD TOTAL]]*Tabla1325[[#This Row],[PRECIO UNITARIO ESTIMADO]]</f>
        <v>0</v>
      </c>
      <c r="K497" s="17"/>
      <c r="L497" s="16" t="s">
        <v>27</v>
      </c>
      <c r="M497" s="16" t="s">
        <v>22</v>
      </c>
      <c r="N497" s="39"/>
    </row>
    <row r="498" spans="1:20" s="12" customFormat="1">
      <c r="A498" s="15" t="s">
        <v>97</v>
      </c>
      <c r="B498" s="75" t="s">
        <v>317</v>
      </c>
      <c r="C498" s="39" t="s">
        <v>17</v>
      </c>
      <c r="D498" s="42">
        <v>0</v>
      </c>
      <c r="E498" s="42">
        <v>0</v>
      </c>
      <c r="F498" s="42">
        <v>0</v>
      </c>
      <c r="G498" s="42">
        <v>0</v>
      </c>
      <c r="H498" s="40">
        <f>SUM(Tabla1325[[#This Row],[PRIMER TRIMESTRE]:[CUARTO TRIMESTRE]])</f>
        <v>0</v>
      </c>
      <c r="I498" s="17">
        <f>1252664.4/5</f>
        <v>250532.87999999998</v>
      </c>
      <c r="J498" s="17">
        <f>+Tabla1325[[#This Row],[CANTIDAD TOTAL]]*Tabla1325[[#This Row],[PRECIO UNITARIO ESTIMADO]]</f>
        <v>0</v>
      </c>
      <c r="K498" s="17"/>
      <c r="L498" s="16" t="s">
        <v>27</v>
      </c>
      <c r="M498" s="16" t="s">
        <v>22</v>
      </c>
      <c r="N498" s="39"/>
    </row>
    <row r="499" spans="1:20" s="12" customFormat="1">
      <c r="A499" s="15" t="s">
        <v>97</v>
      </c>
      <c r="B499" s="75" t="s">
        <v>221</v>
      </c>
      <c r="C499" s="39" t="s">
        <v>17</v>
      </c>
      <c r="D499" s="42">
        <v>0</v>
      </c>
      <c r="E499" s="42">
        <v>0</v>
      </c>
      <c r="F499" s="42">
        <v>0</v>
      </c>
      <c r="G499" s="42">
        <v>0</v>
      </c>
      <c r="H499" s="40">
        <f>SUM(Tabla1325[[#This Row],[PRIMER TRIMESTRE]:[CUARTO TRIMESTRE]])</f>
        <v>0</v>
      </c>
      <c r="I499" s="17">
        <v>100060.44</v>
      </c>
      <c r="J499" s="17">
        <f>+Tabla1325[[#This Row],[CANTIDAD TOTAL]]*Tabla1325[[#This Row],[PRECIO UNITARIO ESTIMADO]]</f>
        <v>0</v>
      </c>
      <c r="K499" s="17"/>
      <c r="L499" s="16" t="s">
        <v>27</v>
      </c>
      <c r="M499" s="16" t="s">
        <v>22</v>
      </c>
      <c r="N499" s="39"/>
    </row>
    <row r="500" spans="1:20" s="12" customFormat="1" ht="25.5">
      <c r="A500" s="15" t="s">
        <v>97</v>
      </c>
      <c r="B500" s="75" t="s">
        <v>222</v>
      </c>
      <c r="C500" s="39" t="s">
        <v>17</v>
      </c>
      <c r="D500" s="42">
        <v>0</v>
      </c>
      <c r="E500" s="42">
        <v>0</v>
      </c>
      <c r="F500" s="42">
        <v>0</v>
      </c>
      <c r="G500" s="42">
        <v>0</v>
      </c>
      <c r="H500" s="40">
        <f>SUM(Tabla1325[[#This Row],[PRIMER TRIMESTRE]:[CUARTO TRIMESTRE]])</f>
        <v>0</v>
      </c>
      <c r="I500" s="17">
        <v>327948.84999999998</v>
      </c>
      <c r="J500" s="17">
        <f>+Tabla1325[[#This Row],[CANTIDAD TOTAL]]*Tabla1325[[#This Row],[PRECIO UNITARIO ESTIMADO]]</f>
        <v>0</v>
      </c>
      <c r="K500" s="17"/>
      <c r="L500" s="16" t="s">
        <v>27</v>
      </c>
      <c r="M500" s="16" t="s">
        <v>22</v>
      </c>
      <c r="N500" s="39"/>
    </row>
    <row r="501" spans="1:20" s="12" customFormat="1" ht="25.5">
      <c r="A501" s="15" t="s">
        <v>97</v>
      </c>
      <c r="B501" s="75" t="s">
        <v>223</v>
      </c>
      <c r="C501" s="39" t="s">
        <v>17</v>
      </c>
      <c r="D501" s="42">
        <v>0</v>
      </c>
      <c r="E501" s="42">
        <v>0</v>
      </c>
      <c r="F501" s="42">
        <v>0</v>
      </c>
      <c r="G501" s="42">
        <v>0</v>
      </c>
      <c r="H501" s="40">
        <f>SUM(Tabla1325[[#This Row],[PRIMER TRIMESTRE]:[CUARTO TRIMESTRE]])</f>
        <v>0</v>
      </c>
      <c r="I501" s="17">
        <v>16744.599999999999</v>
      </c>
      <c r="J501" s="17">
        <f>+Tabla1325[[#This Row],[CANTIDAD TOTAL]]*Tabla1325[[#This Row],[PRECIO UNITARIO ESTIMADO]]</f>
        <v>0</v>
      </c>
      <c r="K501" s="17"/>
      <c r="L501" s="16" t="s">
        <v>27</v>
      </c>
      <c r="M501" s="16" t="s">
        <v>22</v>
      </c>
      <c r="N501" s="39"/>
    </row>
    <row r="502" spans="1:20" s="12" customFormat="1">
      <c r="A502" s="15" t="s">
        <v>97</v>
      </c>
      <c r="B502" s="75" t="s">
        <v>224</v>
      </c>
      <c r="C502" s="39" t="s">
        <v>17</v>
      </c>
      <c r="D502" s="42">
        <v>0</v>
      </c>
      <c r="E502" s="42">
        <v>0</v>
      </c>
      <c r="F502" s="42">
        <v>0</v>
      </c>
      <c r="G502" s="42">
        <v>0</v>
      </c>
      <c r="H502" s="40">
        <f>SUM(Tabla1325[[#This Row],[PRIMER TRIMESTRE]:[CUARTO TRIMESTRE]])</f>
        <v>0</v>
      </c>
      <c r="I502" s="17">
        <v>52380.2</v>
      </c>
      <c r="J502" s="17">
        <f>+Tabla1325[[#This Row],[CANTIDAD TOTAL]]*Tabla1325[[#This Row],[PRECIO UNITARIO ESTIMADO]]</f>
        <v>0</v>
      </c>
      <c r="K502" s="17"/>
      <c r="L502" s="16" t="s">
        <v>27</v>
      </c>
      <c r="M502" s="16" t="s">
        <v>22</v>
      </c>
      <c r="N502" s="39"/>
    </row>
    <row r="503" spans="1:20" s="12" customFormat="1">
      <c r="A503" s="15" t="s">
        <v>97</v>
      </c>
      <c r="B503" s="75" t="s">
        <v>225</v>
      </c>
      <c r="C503" s="39" t="s">
        <v>17</v>
      </c>
      <c r="D503" s="42">
        <v>0</v>
      </c>
      <c r="E503" s="42">
        <v>0</v>
      </c>
      <c r="F503" s="42">
        <v>0</v>
      </c>
      <c r="G503" s="42">
        <v>0</v>
      </c>
      <c r="H503" s="40">
        <f>SUM(Tabla1325[[#This Row],[PRIMER TRIMESTRE]:[CUARTO TRIMESTRE]])</f>
        <v>0</v>
      </c>
      <c r="I503" s="17">
        <v>99342.399999999994</v>
      </c>
      <c r="J503" s="17">
        <f>+Tabla1325[[#This Row],[CANTIDAD TOTAL]]*Tabla1325[[#This Row],[PRECIO UNITARIO ESTIMADO]]</f>
        <v>0</v>
      </c>
      <c r="K503" s="17"/>
      <c r="L503" s="16" t="s">
        <v>27</v>
      </c>
      <c r="M503" s="16" t="s">
        <v>22</v>
      </c>
      <c r="N503" s="39"/>
    </row>
    <row r="504" spans="1:20" s="26" customFormat="1" ht="31.5">
      <c r="A504" s="22" t="s">
        <v>97</v>
      </c>
      <c r="B504" s="76"/>
      <c r="C504" s="42"/>
      <c r="D504" s="42">
        <v>0</v>
      </c>
      <c r="E504" s="42">
        <v>0</v>
      </c>
      <c r="F504" s="42">
        <v>0</v>
      </c>
      <c r="G504" s="42">
        <v>0</v>
      </c>
      <c r="H504" s="43">
        <f>SUM(Tabla1325[[#This Row],[PRIMER TRIMESTRE]:[CUARTO TRIMESTRE]])</f>
        <v>0</v>
      </c>
      <c r="I504" s="24"/>
      <c r="J504" s="24"/>
      <c r="K504" s="25">
        <f>SUM(J485:J503)</f>
        <v>0</v>
      </c>
      <c r="L504" s="23"/>
      <c r="M504" s="23"/>
      <c r="N504" s="42"/>
      <c r="Q504" s="27"/>
      <c r="T504" s="23"/>
    </row>
    <row r="505" spans="1:20" s="12" customFormat="1" ht="31.5">
      <c r="A505" s="15" t="s">
        <v>99</v>
      </c>
      <c r="B505" s="75" t="s">
        <v>306</v>
      </c>
      <c r="C505" s="39" t="s">
        <v>33</v>
      </c>
      <c r="D505" s="42">
        <v>0</v>
      </c>
      <c r="E505" s="42">
        <v>0</v>
      </c>
      <c r="F505" s="42">
        <v>0</v>
      </c>
      <c r="G505" s="42">
        <v>0</v>
      </c>
      <c r="H505" s="40">
        <f>SUM(Tabla1325[[#This Row],[PRIMER TRIMESTRE]:[CUARTO TRIMESTRE]])</f>
        <v>0</v>
      </c>
      <c r="I505" s="17">
        <v>260</v>
      </c>
      <c r="J505" s="17">
        <f>+Tabla1325[[#This Row],[CANTIDAD TOTAL]]*Tabla1325[[#This Row],[PRECIO UNITARIO ESTIMADO]]</f>
        <v>0</v>
      </c>
      <c r="K505" s="17"/>
      <c r="L505" s="16" t="s">
        <v>15</v>
      </c>
      <c r="M505" s="16" t="s">
        <v>22</v>
      </c>
      <c r="N505" s="39" t="s">
        <v>418</v>
      </c>
    </row>
    <row r="506" spans="1:20" s="12" customFormat="1" ht="31.5">
      <c r="A506" s="15" t="s">
        <v>99</v>
      </c>
      <c r="B506" s="75" t="s">
        <v>307</v>
      </c>
      <c r="C506" s="39" t="s">
        <v>308</v>
      </c>
      <c r="D506" s="42">
        <v>0</v>
      </c>
      <c r="E506" s="42">
        <v>0</v>
      </c>
      <c r="F506" s="42">
        <v>0</v>
      </c>
      <c r="G506" s="42">
        <v>0</v>
      </c>
      <c r="H506" s="40">
        <f>SUM(Tabla1325[[#This Row],[PRIMER TRIMESTRE]:[CUARTO TRIMESTRE]])</f>
        <v>0</v>
      </c>
      <c r="I506" s="17">
        <v>1237.82</v>
      </c>
      <c r="J506" s="17">
        <f>+Tabla1325[[#This Row],[CANTIDAD TOTAL]]*Tabla1325[[#This Row],[PRECIO UNITARIO ESTIMADO]]</f>
        <v>0</v>
      </c>
      <c r="K506" s="17"/>
      <c r="L506" s="16" t="s">
        <v>15</v>
      </c>
      <c r="M506" s="16" t="s">
        <v>22</v>
      </c>
      <c r="N506" s="39" t="s">
        <v>418</v>
      </c>
    </row>
    <row r="507" spans="1:20" s="12" customFormat="1" ht="31.5">
      <c r="A507" s="15" t="s">
        <v>99</v>
      </c>
      <c r="B507" s="75" t="s">
        <v>309</v>
      </c>
      <c r="C507" s="39" t="s">
        <v>308</v>
      </c>
      <c r="D507" s="42">
        <v>0</v>
      </c>
      <c r="E507" s="42">
        <v>0</v>
      </c>
      <c r="F507" s="42">
        <v>0</v>
      </c>
      <c r="G507" s="42">
        <v>0</v>
      </c>
      <c r="H507" s="40">
        <f>SUM(Tabla1325[[#This Row],[PRIMER TRIMESTRE]:[CUARTO TRIMESTRE]])</f>
        <v>0</v>
      </c>
      <c r="I507" s="17">
        <v>1770</v>
      </c>
      <c r="J507" s="17">
        <f>+Tabla1325[[#This Row],[CANTIDAD TOTAL]]*Tabla1325[[#This Row],[PRECIO UNITARIO ESTIMADO]]</f>
        <v>0</v>
      </c>
      <c r="K507" s="17"/>
      <c r="L507" s="16" t="s">
        <v>15</v>
      </c>
      <c r="M507" s="16" t="s">
        <v>22</v>
      </c>
      <c r="N507" s="39" t="s">
        <v>418</v>
      </c>
    </row>
    <row r="508" spans="1:20" s="12" customFormat="1" ht="31.5">
      <c r="A508" s="15" t="s">
        <v>99</v>
      </c>
      <c r="B508" s="75" t="s">
        <v>230</v>
      </c>
      <c r="C508" s="39" t="s">
        <v>17</v>
      </c>
      <c r="D508" s="42">
        <v>0</v>
      </c>
      <c r="E508" s="42">
        <v>0</v>
      </c>
      <c r="F508" s="42">
        <v>0</v>
      </c>
      <c r="G508" s="42">
        <v>0</v>
      </c>
      <c r="H508" s="40">
        <f>SUM(Tabla1325[[#This Row],[PRIMER TRIMESTRE]:[CUARTO TRIMESTRE]])</f>
        <v>0</v>
      </c>
      <c r="I508" s="17">
        <v>1740</v>
      </c>
      <c r="J508" s="17">
        <f>+Tabla1325[[#This Row],[CANTIDAD TOTAL]]*Tabla1325[[#This Row],[PRECIO UNITARIO ESTIMADO]]</f>
        <v>0</v>
      </c>
      <c r="K508" s="17"/>
      <c r="L508" s="16" t="s">
        <v>15</v>
      </c>
      <c r="M508" s="16" t="s">
        <v>22</v>
      </c>
      <c r="N508" s="39" t="s">
        <v>418</v>
      </c>
    </row>
    <row r="509" spans="1:20" s="12" customFormat="1" ht="31.5">
      <c r="A509" s="15" t="s">
        <v>99</v>
      </c>
      <c r="B509" s="75" t="s">
        <v>310</v>
      </c>
      <c r="C509" s="39" t="s">
        <v>308</v>
      </c>
      <c r="D509" s="42">
        <v>0</v>
      </c>
      <c r="E509" s="42">
        <v>0</v>
      </c>
      <c r="F509" s="42">
        <v>0</v>
      </c>
      <c r="G509" s="42">
        <v>0</v>
      </c>
      <c r="H509" s="40">
        <f>SUM(Tabla1325[[#This Row],[PRIMER TRIMESTRE]:[CUARTO TRIMESTRE]])</f>
        <v>0</v>
      </c>
      <c r="I509" s="17">
        <v>1298</v>
      </c>
      <c r="J509" s="17">
        <f>+Tabla1325[[#This Row],[CANTIDAD TOTAL]]*Tabla1325[[#This Row],[PRECIO UNITARIO ESTIMADO]]</f>
        <v>0</v>
      </c>
      <c r="K509" s="17"/>
      <c r="L509" s="16" t="s">
        <v>15</v>
      </c>
      <c r="M509" s="16" t="s">
        <v>22</v>
      </c>
      <c r="N509" s="39" t="s">
        <v>418</v>
      </c>
    </row>
    <row r="510" spans="1:20" s="12" customFormat="1" ht="31.5">
      <c r="A510" s="15" t="s">
        <v>99</v>
      </c>
      <c r="B510" s="75" t="s">
        <v>311</v>
      </c>
      <c r="C510" s="39" t="s">
        <v>312</v>
      </c>
      <c r="D510" s="42">
        <v>0</v>
      </c>
      <c r="E510" s="42">
        <v>0</v>
      </c>
      <c r="F510" s="42">
        <v>0</v>
      </c>
      <c r="G510" s="42">
        <v>0</v>
      </c>
      <c r="H510" s="40">
        <f>SUM(Tabla1325[[#This Row],[PRIMER TRIMESTRE]:[CUARTO TRIMESTRE]])</f>
        <v>0</v>
      </c>
      <c r="I510" s="17">
        <v>3418.58</v>
      </c>
      <c r="J510" s="17">
        <f>+Tabla1325[[#This Row],[CANTIDAD TOTAL]]*Tabla1325[[#This Row],[PRECIO UNITARIO ESTIMADO]]</f>
        <v>0</v>
      </c>
      <c r="K510" s="17"/>
      <c r="L510" s="16" t="s">
        <v>15</v>
      </c>
      <c r="M510" s="16" t="s">
        <v>22</v>
      </c>
      <c r="N510" s="39" t="s">
        <v>418</v>
      </c>
    </row>
    <row r="511" spans="1:20" s="12" customFormat="1" ht="31.5">
      <c r="A511" s="15" t="s">
        <v>99</v>
      </c>
      <c r="B511" s="75" t="s">
        <v>314</v>
      </c>
      <c r="C511" s="39" t="s">
        <v>315</v>
      </c>
      <c r="D511" s="42">
        <v>0</v>
      </c>
      <c r="E511" s="42">
        <v>0</v>
      </c>
      <c r="F511" s="42">
        <v>0</v>
      </c>
      <c r="G511" s="42">
        <v>0</v>
      </c>
      <c r="H511" s="40">
        <f>SUM(Tabla1325[[#This Row],[PRIMER TRIMESTRE]:[CUARTO TRIMESTRE]])</f>
        <v>0</v>
      </c>
      <c r="I511" s="17">
        <v>1569.4</v>
      </c>
      <c r="J511" s="17">
        <f>+Tabla1325[[#This Row],[CANTIDAD TOTAL]]*Tabla1325[[#This Row],[PRECIO UNITARIO ESTIMADO]]</f>
        <v>0</v>
      </c>
      <c r="K511" s="17"/>
      <c r="L511" s="16" t="s">
        <v>15</v>
      </c>
      <c r="M511" s="16" t="s">
        <v>22</v>
      </c>
      <c r="N511" s="39" t="s">
        <v>418</v>
      </c>
    </row>
    <row r="512" spans="1:20" s="12" customFormat="1" ht="31.5">
      <c r="A512" s="15" t="s">
        <v>99</v>
      </c>
      <c r="B512" s="75" t="s">
        <v>313</v>
      </c>
      <c r="C512" s="39" t="s">
        <v>308</v>
      </c>
      <c r="D512" s="42">
        <v>0</v>
      </c>
      <c r="E512" s="42">
        <v>0</v>
      </c>
      <c r="F512" s="42">
        <v>0</v>
      </c>
      <c r="G512" s="42">
        <v>0</v>
      </c>
      <c r="H512" s="40">
        <f>SUM(Tabla1325[[#This Row],[PRIMER TRIMESTRE]:[CUARTO TRIMESTRE]])</f>
        <v>0</v>
      </c>
      <c r="I512" s="17">
        <v>3651.69</v>
      </c>
      <c r="J512" s="17">
        <f>+Tabla1325[[#This Row],[CANTIDAD TOTAL]]*Tabla1325[[#This Row],[PRECIO UNITARIO ESTIMADO]]</f>
        <v>0</v>
      </c>
      <c r="K512" s="17"/>
      <c r="L512" s="16" t="s">
        <v>15</v>
      </c>
      <c r="M512" s="16" t="s">
        <v>22</v>
      </c>
      <c r="N512" s="39" t="s">
        <v>418</v>
      </c>
    </row>
    <row r="513" spans="1:20" s="12" customFormat="1" ht="31.5">
      <c r="A513" s="15" t="s">
        <v>99</v>
      </c>
      <c r="B513" s="75" t="s">
        <v>231</v>
      </c>
      <c r="C513" s="39" t="s">
        <v>17</v>
      </c>
      <c r="D513" s="42">
        <v>0</v>
      </c>
      <c r="E513" s="42">
        <v>0</v>
      </c>
      <c r="F513" s="42">
        <v>0</v>
      </c>
      <c r="G513" s="42">
        <v>0</v>
      </c>
      <c r="H513" s="40">
        <f>SUM(Tabla1325[[#This Row],[PRIMER TRIMESTRE]:[CUARTO TRIMESTRE]])</f>
        <v>0</v>
      </c>
      <c r="I513" s="17">
        <v>574.20000000000005</v>
      </c>
      <c r="J513" s="17">
        <f>+Tabla1325[[#This Row],[CANTIDAD TOTAL]]*Tabla1325[[#This Row],[PRECIO UNITARIO ESTIMADO]]</f>
        <v>0</v>
      </c>
      <c r="K513" s="17"/>
      <c r="L513" s="16" t="s">
        <v>15</v>
      </c>
      <c r="M513" s="16" t="s">
        <v>22</v>
      </c>
      <c r="N513" s="39" t="s">
        <v>418</v>
      </c>
    </row>
    <row r="514" spans="1:20" s="12" customFormat="1" ht="31.5">
      <c r="A514" s="15" t="s">
        <v>99</v>
      </c>
      <c r="B514" s="75" t="s">
        <v>232</v>
      </c>
      <c r="C514" s="39" t="s">
        <v>17</v>
      </c>
      <c r="D514" s="42">
        <v>0</v>
      </c>
      <c r="E514" s="42">
        <v>0</v>
      </c>
      <c r="F514" s="42">
        <v>0</v>
      </c>
      <c r="G514" s="42">
        <v>0</v>
      </c>
      <c r="H514" s="40">
        <f>SUM(Tabla1325[[#This Row],[PRIMER TRIMESTRE]:[CUARTO TRIMESTRE]])</f>
        <v>0</v>
      </c>
      <c r="I514" s="17">
        <v>1035</v>
      </c>
      <c r="J514" s="17">
        <f>+Tabla1325[[#This Row],[CANTIDAD TOTAL]]*Tabla1325[[#This Row],[PRECIO UNITARIO ESTIMADO]]</f>
        <v>0</v>
      </c>
      <c r="K514" s="17"/>
      <c r="L514" s="16" t="s">
        <v>15</v>
      </c>
      <c r="M514" s="16" t="s">
        <v>22</v>
      </c>
      <c r="N514" s="39" t="s">
        <v>418</v>
      </c>
    </row>
    <row r="515" spans="1:20" s="26" customFormat="1" ht="31.5">
      <c r="A515" s="22" t="s">
        <v>99</v>
      </c>
      <c r="B515" s="76"/>
      <c r="C515" s="42"/>
      <c r="D515" s="42"/>
      <c r="E515" s="42"/>
      <c r="F515" s="42"/>
      <c r="G515" s="42"/>
      <c r="H515" s="43"/>
      <c r="I515" s="24"/>
      <c r="J515" s="24"/>
      <c r="K515" s="25">
        <f>SUM(J505:J514)</f>
        <v>0</v>
      </c>
      <c r="L515" s="23"/>
      <c r="M515" s="23"/>
      <c r="N515" s="42"/>
      <c r="Q515" s="27"/>
      <c r="T515" s="23"/>
    </row>
    <row r="516" spans="1:20" s="12" customFormat="1" ht="31.5">
      <c r="A516" s="15" t="s">
        <v>113</v>
      </c>
      <c r="B516" s="106" t="s">
        <v>236</v>
      </c>
      <c r="C516" s="39" t="s">
        <v>17</v>
      </c>
      <c r="D516" s="39">
        <v>72</v>
      </c>
      <c r="E516" s="39">
        <v>72</v>
      </c>
      <c r="F516" s="39">
        <v>72</v>
      </c>
      <c r="G516" s="39">
        <v>72</v>
      </c>
      <c r="H516" s="40">
        <f>SUM(Tabla1325[[#This Row],[PRIMER TRIMESTRE]:[CUARTO TRIMESTRE]])</f>
        <v>288</v>
      </c>
      <c r="I516" s="17">
        <v>806.2</v>
      </c>
      <c r="J516" s="17">
        <f>+Tabla1325[[#This Row],[CANTIDAD TOTAL]]*Tabla1325[[#This Row],[PRECIO UNITARIO ESTIMADO]]</f>
        <v>232185.60000000001</v>
      </c>
      <c r="K516" s="17"/>
      <c r="L516" s="16" t="s">
        <v>15</v>
      </c>
      <c r="M516" s="16" t="s">
        <v>22</v>
      </c>
      <c r="N516" s="39" t="s">
        <v>418</v>
      </c>
    </row>
    <row r="517" spans="1:20" s="12" customFormat="1" ht="31.5">
      <c r="A517" s="15" t="s">
        <v>113</v>
      </c>
      <c r="B517" s="106" t="s">
        <v>233</v>
      </c>
      <c r="C517" s="39" t="s">
        <v>234</v>
      </c>
      <c r="D517" s="39">
        <v>46</v>
      </c>
      <c r="E517" s="39">
        <v>46</v>
      </c>
      <c r="F517" s="39">
        <v>46</v>
      </c>
      <c r="G517" s="39">
        <v>46</v>
      </c>
      <c r="H517" s="40">
        <f>SUM(Tabla1325[[#This Row],[PRIMER TRIMESTRE]:[CUARTO TRIMESTRE]])</f>
        <v>184</v>
      </c>
      <c r="I517" s="17">
        <v>7099.2</v>
      </c>
      <c r="J517" s="17">
        <f>+Tabla1325[[#This Row],[CANTIDAD TOTAL]]*Tabla1325[[#This Row],[PRECIO UNITARIO ESTIMADO]]</f>
        <v>1306252.8</v>
      </c>
      <c r="K517" s="17"/>
      <c r="L517" s="16" t="s">
        <v>15</v>
      </c>
      <c r="M517" s="16" t="s">
        <v>22</v>
      </c>
      <c r="N517" s="39" t="s">
        <v>418</v>
      </c>
    </row>
    <row r="518" spans="1:20" s="12" customFormat="1" ht="31.5">
      <c r="A518" s="15" t="s">
        <v>113</v>
      </c>
      <c r="B518" s="106" t="s">
        <v>235</v>
      </c>
      <c r="C518" s="39" t="s">
        <v>69</v>
      </c>
      <c r="D518" s="39">
        <v>100</v>
      </c>
      <c r="E518" s="39">
        <v>0</v>
      </c>
      <c r="F518" s="39">
        <v>0</v>
      </c>
      <c r="G518" s="39">
        <v>0</v>
      </c>
      <c r="H518" s="40">
        <f>SUM(Tabla1325[[#This Row],[PRIMER TRIMESTRE]:[CUARTO TRIMESTRE]])</f>
        <v>100</v>
      </c>
      <c r="I518" s="17">
        <v>52.2</v>
      </c>
      <c r="J518" s="17">
        <f>+Tabla1325[[#This Row],[CANTIDAD TOTAL]]*Tabla1325[[#This Row],[PRECIO UNITARIO ESTIMADO]]</f>
        <v>5220</v>
      </c>
      <c r="K518" s="17"/>
      <c r="L518" s="16" t="s">
        <v>15</v>
      </c>
      <c r="M518" s="16" t="s">
        <v>22</v>
      </c>
      <c r="N518" s="39" t="s">
        <v>418</v>
      </c>
    </row>
    <row r="519" spans="1:20" s="12" customFormat="1" ht="31.5">
      <c r="A519" s="15" t="s">
        <v>113</v>
      </c>
      <c r="B519" s="75" t="s">
        <v>320</v>
      </c>
      <c r="C519" s="39" t="s">
        <v>17</v>
      </c>
      <c r="D519" s="39">
        <v>0</v>
      </c>
      <c r="E519" s="39">
        <v>0</v>
      </c>
      <c r="F519" s="39">
        <v>0</v>
      </c>
      <c r="G519" s="39">
        <v>0</v>
      </c>
      <c r="H519" s="40">
        <f>SUM(Tabla1325[[#This Row],[PRIMER TRIMESTRE]:[CUARTO TRIMESTRE]])</f>
        <v>0</v>
      </c>
      <c r="I519" s="17">
        <f>41960.8/121</f>
        <v>346.7834710743802</v>
      </c>
      <c r="J519" s="17">
        <f>+Tabla1325[[#This Row],[CANTIDAD TOTAL]]*Tabla1325[[#This Row],[PRECIO UNITARIO ESTIMADO]]</f>
        <v>0</v>
      </c>
      <c r="K519" s="17"/>
      <c r="L519" s="16" t="s">
        <v>15</v>
      </c>
      <c r="M519" s="16" t="s">
        <v>22</v>
      </c>
      <c r="N519" s="39" t="s">
        <v>418</v>
      </c>
    </row>
    <row r="520" spans="1:20" s="12" customFormat="1" ht="31.5">
      <c r="A520" s="15" t="s">
        <v>113</v>
      </c>
      <c r="B520" s="75" t="s">
        <v>237</v>
      </c>
      <c r="C520" s="39" t="s">
        <v>17</v>
      </c>
      <c r="D520" s="39">
        <v>0</v>
      </c>
      <c r="E520" s="39">
        <v>0</v>
      </c>
      <c r="F520" s="39">
        <v>0</v>
      </c>
      <c r="G520" s="39">
        <v>0</v>
      </c>
      <c r="H520" s="40">
        <f>SUM(Tabla1325[[#This Row],[PRIMER TRIMESTRE]:[CUARTO TRIMESTRE]])</f>
        <v>0</v>
      </c>
      <c r="I520" s="17">
        <v>668</v>
      </c>
      <c r="J520" s="17">
        <f>+Tabla1325[[#This Row],[CANTIDAD TOTAL]]*Tabla1325[[#This Row],[PRECIO UNITARIO ESTIMADO]]</f>
        <v>0</v>
      </c>
      <c r="K520" s="17"/>
      <c r="L520" s="16" t="s">
        <v>15</v>
      </c>
      <c r="M520" s="16" t="s">
        <v>22</v>
      </c>
      <c r="N520" s="39" t="s">
        <v>418</v>
      </c>
    </row>
    <row r="521" spans="1:20" s="12" customFormat="1" ht="31.5">
      <c r="A521" s="15" t="s">
        <v>113</v>
      </c>
      <c r="B521" s="75" t="s">
        <v>238</v>
      </c>
      <c r="C521" s="39" t="s">
        <v>208</v>
      </c>
      <c r="D521" s="39">
        <v>0</v>
      </c>
      <c r="E521" s="39">
        <v>0</v>
      </c>
      <c r="F521" s="39">
        <v>0</v>
      </c>
      <c r="G521" s="39">
        <v>0</v>
      </c>
      <c r="H521" s="40">
        <f>SUM(Tabla1325[[#This Row],[PRIMER TRIMESTRE]:[CUARTO TRIMESTRE]])</f>
        <v>0</v>
      </c>
      <c r="I521" s="17">
        <v>754</v>
      </c>
      <c r="J521" s="17">
        <f>+Tabla1325[[#This Row],[CANTIDAD TOTAL]]*Tabla1325[[#This Row],[PRECIO UNITARIO ESTIMADO]]</f>
        <v>0</v>
      </c>
      <c r="K521" s="17"/>
      <c r="L521" s="16" t="s">
        <v>15</v>
      </c>
      <c r="M521" s="16" t="s">
        <v>22</v>
      </c>
      <c r="N521" s="39" t="s">
        <v>418</v>
      </c>
    </row>
    <row r="522" spans="1:20" s="26" customFormat="1" ht="31.5">
      <c r="A522" s="22" t="s">
        <v>113</v>
      </c>
      <c r="B522" s="76"/>
      <c r="C522" s="42"/>
      <c r="D522" s="42"/>
      <c r="E522" s="42"/>
      <c r="F522" s="42"/>
      <c r="G522" s="42"/>
      <c r="H522" s="43"/>
      <c r="I522" s="24"/>
      <c r="J522" s="24"/>
      <c r="K522" s="25">
        <f>SUM(J516:J521)</f>
        <v>1543658.4000000001</v>
      </c>
      <c r="L522" s="23"/>
      <c r="M522" s="23"/>
      <c r="N522" s="42"/>
      <c r="Q522" s="27"/>
      <c r="T522" s="23"/>
    </row>
    <row r="523" spans="1:20" s="12" customFormat="1" ht="31.5">
      <c r="A523" s="15" t="s">
        <v>118</v>
      </c>
      <c r="B523" s="106" t="s">
        <v>241</v>
      </c>
      <c r="C523" s="39" t="s">
        <v>17</v>
      </c>
      <c r="D523" s="39">
        <v>48</v>
      </c>
      <c r="E523" s="39">
        <v>48</v>
      </c>
      <c r="F523" s="39">
        <v>48</v>
      </c>
      <c r="G523" s="39">
        <v>48</v>
      </c>
      <c r="H523" s="40">
        <f>SUM(Tabla1325[[#This Row],[PRIMER TRIMESTRE]:[CUARTO TRIMESTRE]])</f>
        <v>192</v>
      </c>
      <c r="I523" s="17">
        <v>7544.8</v>
      </c>
      <c r="J523" s="17">
        <f>+Tabla1325[[#This Row],[CANTIDAD TOTAL]]*Tabla1325[[#This Row],[PRECIO UNITARIO ESTIMADO]]</f>
        <v>1448601.6000000001</v>
      </c>
      <c r="K523" s="17"/>
      <c r="L523" s="16" t="s">
        <v>27</v>
      </c>
      <c r="M523" s="16" t="s">
        <v>22</v>
      </c>
      <c r="N523" s="39" t="s">
        <v>418</v>
      </c>
    </row>
    <row r="524" spans="1:20" s="12" customFormat="1" ht="31.5">
      <c r="A524" s="15" t="s">
        <v>118</v>
      </c>
      <c r="B524" s="106" t="s">
        <v>242</v>
      </c>
      <c r="C524" s="39" t="s">
        <v>17</v>
      </c>
      <c r="D524" s="39">
        <v>48</v>
      </c>
      <c r="E524" s="39">
        <v>48</v>
      </c>
      <c r="F524" s="39">
        <v>48</v>
      </c>
      <c r="G524" s="39">
        <v>48</v>
      </c>
      <c r="H524" s="40">
        <f>SUM(Tabla1325[[#This Row],[PRIMER TRIMESTRE]:[CUARTO TRIMESTRE]])</f>
        <v>192</v>
      </c>
      <c r="I524" s="17">
        <v>4756</v>
      </c>
      <c r="J524" s="17">
        <f>+Tabla1325[[#This Row],[CANTIDAD TOTAL]]*Tabla1325[[#This Row],[PRECIO UNITARIO ESTIMADO]]</f>
        <v>913152</v>
      </c>
      <c r="K524" s="17"/>
      <c r="L524" s="16" t="s">
        <v>27</v>
      </c>
      <c r="M524" s="16" t="s">
        <v>22</v>
      </c>
      <c r="N524" s="39" t="s">
        <v>418</v>
      </c>
    </row>
    <row r="525" spans="1:20" s="12" customFormat="1" ht="31.5">
      <c r="A525" s="15" t="s">
        <v>118</v>
      </c>
      <c r="B525" s="106" t="s">
        <v>243</v>
      </c>
      <c r="C525" s="39" t="s">
        <v>17</v>
      </c>
      <c r="D525" s="39">
        <v>2</v>
      </c>
      <c r="E525" s="39">
        <v>2</v>
      </c>
      <c r="F525" s="39">
        <v>2</v>
      </c>
      <c r="G525" s="39">
        <v>2</v>
      </c>
      <c r="H525" s="40">
        <f>SUM(Tabla1325[[#This Row],[PRIMER TRIMESTRE]:[CUARTO TRIMESTRE]])</f>
        <v>8</v>
      </c>
      <c r="I525" s="17">
        <v>4610.34</v>
      </c>
      <c r="J525" s="17">
        <f>+Tabla1325[[#This Row],[CANTIDAD TOTAL]]*Tabla1325[[#This Row],[PRECIO UNITARIO ESTIMADO]]</f>
        <v>36882.720000000001</v>
      </c>
      <c r="K525" s="17"/>
      <c r="L525" s="16" t="s">
        <v>27</v>
      </c>
      <c r="M525" s="16" t="s">
        <v>22</v>
      </c>
      <c r="N525" s="39" t="s">
        <v>418</v>
      </c>
    </row>
    <row r="526" spans="1:20" s="12" customFormat="1" ht="31.5">
      <c r="A526" s="15" t="s">
        <v>118</v>
      </c>
      <c r="B526" s="106" t="s">
        <v>336</v>
      </c>
      <c r="C526" s="39" t="s">
        <v>17</v>
      </c>
      <c r="D526" s="39">
        <v>20</v>
      </c>
      <c r="E526" s="39">
        <v>20</v>
      </c>
      <c r="F526" s="39">
        <v>20</v>
      </c>
      <c r="G526" s="39">
        <v>20</v>
      </c>
      <c r="H526" s="40">
        <f>SUM(Tabla1325[[#This Row],[PRIMER TRIMESTRE]:[CUARTO TRIMESTRE]])</f>
        <v>80</v>
      </c>
      <c r="I526" s="17">
        <v>10115</v>
      </c>
      <c r="J526" s="17">
        <f>+Tabla1325[[#This Row],[CANTIDAD TOTAL]]*Tabla1325[[#This Row],[PRECIO UNITARIO ESTIMADO]]</f>
        <v>809200</v>
      </c>
      <c r="K526" s="17"/>
      <c r="L526" s="16" t="s">
        <v>27</v>
      </c>
      <c r="M526" s="16" t="s">
        <v>22</v>
      </c>
      <c r="N526" s="39" t="s">
        <v>418</v>
      </c>
    </row>
    <row r="527" spans="1:20" s="12" customFormat="1" ht="31.5">
      <c r="A527" s="15" t="s">
        <v>118</v>
      </c>
      <c r="B527" s="75" t="s">
        <v>337</v>
      </c>
      <c r="C527" s="39" t="s">
        <v>17</v>
      </c>
      <c r="D527" s="39">
        <v>0</v>
      </c>
      <c r="E527" s="39">
        <v>0</v>
      </c>
      <c r="F527" s="39">
        <v>0</v>
      </c>
      <c r="G527" s="39">
        <v>0</v>
      </c>
      <c r="H527" s="40">
        <f>SUM(Tabla1325[[#This Row],[PRIMER TRIMESTRE]:[CUARTO TRIMESTRE]])</f>
        <v>0</v>
      </c>
      <c r="I527" s="17">
        <v>3225.3333333333335</v>
      </c>
      <c r="J527" s="17">
        <f>+Tabla1325[[#This Row],[CANTIDAD TOTAL]]*Tabla1325[[#This Row],[PRECIO UNITARIO ESTIMADO]]</f>
        <v>0</v>
      </c>
      <c r="K527" s="17"/>
      <c r="L527" s="16" t="s">
        <v>27</v>
      </c>
      <c r="M527" s="16" t="s">
        <v>22</v>
      </c>
      <c r="N527" s="39" t="s">
        <v>418</v>
      </c>
    </row>
    <row r="528" spans="1:20" s="12" customFormat="1" ht="31.5">
      <c r="A528" s="15" t="s">
        <v>118</v>
      </c>
      <c r="B528" s="75" t="s">
        <v>338</v>
      </c>
      <c r="C528" s="39" t="s">
        <v>17</v>
      </c>
      <c r="D528" s="39">
        <v>0</v>
      </c>
      <c r="E528" s="39">
        <v>0</v>
      </c>
      <c r="F528" s="39">
        <v>0</v>
      </c>
      <c r="G528" s="39">
        <v>0</v>
      </c>
      <c r="H528" s="40">
        <f>SUM(Tabla1325[[#This Row],[PRIMER TRIMESTRE]:[CUARTO TRIMESTRE]])</f>
        <v>0</v>
      </c>
      <c r="I528" s="17">
        <f>+(5938.35+4838)/2</f>
        <v>5388.1750000000002</v>
      </c>
      <c r="J528" s="17">
        <f>+Tabla1325[[#This Row],[CANTIDAD TOTAL]]*Tabla1325[[#This Row],[PRECIO UNITARIO ESTIMADO]]</f>
        <v>0</v>
      </c>
      <c r="K528" s="17"/>
      <c r="L528" s="16" t="s">
        <v>27</v>
      </c>
      <c r="M528" s="16" t="s">
        <v>22</v>
      </c>
      <c r="N528" s="39" t="s">
        <v>418</v>
      </c>
    </row>
    <row r="529" spans="1:20" s="12" customFormat="1" ht="31.5">
      <c r="A529" s="15" t="s">
        <v>118</v>
      </c>
      <c r="B529" s="106" t="s">
        <v>334</v>
      </c>
      <c r="C529" s="39" t="s">
        <v>17</v>
      </c>
      <c r="D529" s="39">
        <v>10</v>
      </c>
      <c r="E529" s="39">
        <v>10</v>
      </c>
      <c r="F529" s="39">
        <v>10</v>
      </c>
      <c r="G529" s="39">
        <v>10</v>
      </c>
      <c r="H529" s="40">
        <f>SUM(Tabla1325[[#This Row],[PRIMER TRIMESTRE]:[CUARTO TRIMESTRE]])</f>
        <v>40</v>
      </c>
      <c r="I529" s="17">
        <v>7080</v>
      </c>
      <c r="J529" s="17">
        <f>+Tabla1325[[#This Row],[CANTIDAD TOTAL]]*Tabla1325[[#This Row],[PRECIO UNITARIO ESTIMADO]]</f>
        <v>283200</v>
      </c>
      <c r="K529" s="17"/>
      <c r="L529" s="16" t="s">
        <v>27</v>
      </c>
      <c r="M529" s="16" t="s">
        <v>22</v>
      </c>
      <c r="N529" s="39" t="s">
        <v>418</v>
      </c>
    </row>
    <row r="530" spans="1:20" s="12" customFormat="1" ht="31.5">
      <c r="A530" s="15" t="s">
        <v>118</v>
      </c>
      <c r="B530" s="75" t="s">
        <v>340</v>
      </c>
      <c r="C530" s="39" t="s">
        <v>17</v>
      </c>
      <c r="D530" s="39">
        <v>0</v>
      </c>
      <c r="E530" s="39">
        <v>0</v>
      </c>
      <c r="F530" s="39">
        <v>0</v>
      </c>
      <c r="G530" s="39">
        <v>0</v>
      </c>
      <c r="H530" s="40">
        <f>SUM(Tabla1325[[#This Row],[PRIMER TRIMESTRE]:[CUARTO TRIMESTRE]])</f>
        <v>0</v>
      </c>
      <c r="I530" s="17">
        <v>13684.27</v>
      </c>
      <c r="J530" s="17">
        <f>+Tabla1325[[#This Row],[CANTIDAD TOTAL]]*Tabla1325[[#This Row],[PRECIO UNITARIO ESTIMADO]]</f>
        <v>0</v>
      </c>
      <c r="K530" s="17"/>
      <c r="L530" s="16" t="s">
        <v>27</v>
      </c>
      <c r="M530" s="16" t="s">
        <v>22</v>
      </c>
      <c r="N530" s="39" t="s">
        <v>418</v>
      </c>
    </row>
    <row r="531" spans="1:20" s="12" customFormat="1" ht="31.5">
      <c r="A531" s="15" t="s">
        <v>118</v>
      </c>
      <c r="B531" s="106" t="s">
        <v>251</v>
      </c>
      <c r="C531" s="39" t="s">
        <v>17</v>
      </c>
      <c r="D531" s="39">
        <v>10</v>
      </c>
      <c r="E531" s="39">
        <v>10</v>
      </c>
      <c r="F531" s="39">
        <v>10</v>
      </c>
      <c r="G531" s="39">
        <v>10</v>
      </c>
      <c r="H531" s="40">
        <f>SUM(Tabla1325[[#This Row],[PRIMER TRIMESTRE]:[CUARTO TRIMESTRE]])</f>
        <v>40</v>
      </c>
      <c r="I531" s="17">
        <v>9118.43</v>
      </c>
      <c r="J531" s="17">
        <f>+Tabla1325[[#This Row],[CANTIDAD TOTAL]]*Tabla1325[[#This Row],[PRECIO UNITARIO ESTIMADO]]</f>
        <v>364737.2</v>
      </c>
      <c r="K531" s="17"/>
      <c r="L531" s="16" t="s">
        <v>27</v>
      </c>
      <c r="M531" s="16" t="s">
        <v>22</v>
      </c>
      <c r="N531" s="39" t="s">
        <v>418</v>
      </c>
    </row>
    <row r="532" spans="1:20" s="12" customFormat="1" ht="31.5">
      <c r="A532" s="15" t="s">
        <v>118</v>
      </c>
      <c r="B532" s="75" t="s">
        <v>428</v>
      </c>
      <c r="C532" s="39" t="s">
        <v>17</v>
      </c>
      <c r="D532" s="39">
        <v>0</v>
      </c>
      <c r="E532" s="39">
        <v>0</v>
      </c>
      <c r="F532" s="39">
        <v>0</v>
      </c>
      <c r="G532" s="39">
        <v>0</v>
      </c>
      <c r="H532" s="40">
        <f>SUM(Tabla1325[[#This Row],[PRIMER TRIMESTRE]:[CUARTO TRIMESTRE]])</f>
        <v>0</v>
      </c>
      <c r="I532" s="17">
        <v>3074</v>
      </c>
      <c r="J532" s="17">
        <f>+Tabla1325[[#This Row],[CANTIDAD TOTAL]]*Tabla1325[[#This Row],[PRECIO UNITARIO ESTIMADO]]</f>
        <v>0</v>
      </c>
      <c r="K532" s="17"/>
      <c r="L532" s="16" t="s">
        <v>27</v>
      </c>
      <c r="M532" s="16" t="s">
        <v>22</v>
      </c>
      <c r="N532" s="39" t="s">
        <v>418</v>
      </c>
    </row>
    <row r="533" spans="1:20" s="12" customFormat="1" ht="31.5">
      <c r="A533" s="15" t="s">
        <v>118</v>
      </c>
      <c r="B533" s="106" t="s">
        <v>244</v>
      </c>
      <c r="C533" s="39" t="s">
        <v>17</v>
      </c>
      <c r="D533" s="39">
        <v>20</v>
      </c>
      <c r="E533" s="39">
        <v>20</v>
      </c>
      <c r="F533" s="39">
        <v>20</v>
      </c>
      <c r="G533" s="39">
        <v>20</v>
      </c>
      <c r="H533" s="40">
        <f>SUM(Tabla1325[[#This Row],[PRIMER TRIMESTRE]:[CUARTO TRIMESTRE]])</f>
        <v>80</v>
      </c>
      <c r="I533" s="17">
        <v>24940</v>
      </c>
      <c r="J533" s="17">
        <f>+Tabla1325[[#This Row],[CANTIDAD TOTAL]]*Tabla1325[[#This Row],[PRECIO UNITARIO ESTIMADO]]</f>
        <v>1995200</v>
      </c>
      <c r="K533" s="17"/>
      <c r="L533" s="16" t="s">
        <v>27</v>
      </c>
      <c r="M533" s="16" t="s">
        <v>22</v>
      </c>
      <c r="N533" s="39" t="s">
        <v>418</v>
      </c>
    </row>
    <row r="534" spans="1:20" s="12" customFormat="1" ht="31.5">
      <c r="A534" s="15" t="s">
        <v>118</v>
      </c>
      <c r="B534" s="75" t="s">
        <v>429</v>
      </c>
      <c r="C534" s="39" t="s">
        <v>17</v>
      </c>
      <c r="D534" s="39">
        <v>0</v>
      </c>
      <c r="E534" s="39">
        <v>0</v>
      </c>
      <c r="F534" s="39">
        <v>0</v>
      </c>
      <c r="G534" s="39">
        <v>0</v>
      </c>
      <c r="H534" s="40">
        <f>SUM(Tabla1325[[#This Row],[PRIMER TRIMESTRE]:[CUARTO TRIMESTRE]])</f>
        <v>0</v>
      </c>
      <c r="I534" s="17">
        <v>77185.240000000005</v>
      </c>
      <c r="J534" s="17">
        <f>+Tabla1325[[#This Row],[CANTIDAD TOTAL]]*Tabla1325[[#This Row],[PRECIO UNITARIO ESTIMADO]]</f>
        <v>0</v>
      </c>
      <c r="K534" s="17"/>
      <c r="L534" s="16" t="s">
        <v>27</v>
      </c>
      <c r="M534" s="16" t="s">
        <v>22</v>
      </c>
      <c r="N534" s="39" t="s">
        <v>418</v>
      </c>
    </row>
    <row r="535" spans="1:20" s="12" customFormat="1" ht="31.5">
      <c r="A535" s="15" t="s">
        <v>118</v>
      </c>
      <c r="B535" s="75" t="s">
        <v>245</v>
      </c>
      <c r="C535" s="39" t="s">
        <v>17</v>
      </c>
      <c r="D535" s="39">
        <v>0</v>
      </c>
      <c r="E535" s="39">
        <v>0</v>
      </c>
      <c r="F535" s="39">
        <v>0</v>
      </c>
      <c r="G535" s="39">
        <v>0</v>
      </c>
      <c r="H535" s="40">
        <f>SUM(Tabla1325[[#This Row],[PRIMER TRIMESTRE]:[CUARTO TRIMESTRE]])</f>
        <v>0</v>
      </c>
      <c r="I535" s="17">
        <v>10788</v>
      </c>
      <c r="J535" s="17">
        <f>+Tabla1325[[#This Row],[CANTIDAD TOTAL]]*Tabla1325[[#This Row],[PRECIO UNITARIO ESTIMADO]]</f>
        <v>0</v>
      </c>
      <c r="K535" s="17"/>
      <c r="L535" s="16" t="s">
        <v>27</v>
      </c>
      <c r="M535" s="16" t="s">
        <v>22</v>
      </c>
      <c r="N535" s="39" t="s">
        <v>418</v>
      </c>
    </row>
    <row r="536" spans="1:20" s="12" customFormat="1" ht="31.5">
      <c r="A536" s="15" t="s">
        <v>118</v>
      </c>
      <c r="B536" s="106" t="s">
        <v>246</v>
      </c>
      <c r="C536" s="39" t="s">
        <v>17</v>
      </c>
      <c r="D536" s="39">
        <v>10</v>
      </c>
      <c r="E536" s="39">
        <v>10</v>
      </c>
      <c r="F536" s="39">
        <v>10</v>
      </c>
      <c r="G536" s="39">
        <v>10</v>
      </c>
      <c r="H536" s="40">
        <f>SUM(Tabla1325[[#This Row],[PRIMER TRIMESTRE]:[CUARTO TRIMESTRE]])</f>
        <v>40</v>
      </c>
      <c r="I536" s="17">
        <v>2467.71</v>
      </c>
      <c r="J536" s="17">
        <f>+Tabla1325[[#This Row],[CANTIDAD TOTAL]]*Tabla1325[[#This Row],[PRECIO UNITARIO ESTIMADO]]</f>
        <v>98708.4</v>
      </c>
      <c r="K536" s="17"/>
      <c r="L536" s="16" t="s">
        <v>27</v>
      </c>
      <c r="M536" s="16" t="s">
        <v>22</v>
      </c>
      <c r="N536" s="39" t="s">
        <v>418</v>
      </c>
    </row>
    <row r="537" spans="1:20" s="12" customFormat="1" ht="31.5">
      <c r="A537" s="15" t="s">
        <v>118</v>
      </c>
      <c r="B537" s="75" t="s">
        <v>247</v>
      </c>
      <c r="C537" s="39" t="s">
        <v>17</v>
      </c>
      <c r="D537" s="39">
        <v>0</v>
      </c>
      <c r="E537" s="39">
        <v>0</v>
      </c>
      <c r="F537" s="39">
        <v>0</v>
      </c>
      <c r="G537" s="39">
        <v>0</v>
      </c>
      <c r="H537" s="40">
        <f>SUM(Tabla1325[[#This Row],[PRIMER TRIMESTRE]:[CUARTO TRIMESTRE]])</f>
        <v>0</v>
      </c>
      <c r="I537" s="17">
        <v>14434.48</v>
      </c>
      <c r="J537" s="17">
        <f>+Tabla1325[[#This Row],[CANTIDAD TOTAL]]*Tabla1325[[#This Row],[PRECIO UNITARIO ESTIMADO]]</f>
        <v>0</v>
      </c>
      <c r="K537" s="17"/>
      <c r="L537" s="16" t="s">
        <v>27</v>
      </c>
      <c r="M537" s="16" t="s">
        <v>22</v>
      </c>
      <c r="N537" s="39" t="s">
        <v>418</v>
      </c>
    </row>
    <row r="538" spans="1:20" s="12" customFormat="1" ht="31.5">
      <c r="A538" s="15" t="s">
        <v>118</v>
      </c>
      <c r="B538" s="75" t="s">
        <v>339</v>
      </c>
      <c r="C538" s="39" t="s">
        <v>17</v>
      </c>
      <c r="D538" s="39">
        <v>0</v>
      </c>
      <c r="E538" s="39">
        <v>0</v>
      </c>
      <c r="F538" s="39">
        <v>0</v>
      </c>
      <c r="G538" s="39">
        <v>0</v>
      </c>
      <c r="H538" s="40">
        <f>SUM(Tabla1325[[#This Row],[PRIMER TRIMESTRE]:[CUARTO TRIMESTRE]])</f>
        <v>0</v>
      </c>
      <c r="I538" s="17">
        <f>115079.5/24</f>
        <v>4794.979166666667</v>
      </c>
      <c r="J538" s="17">
        <f>+Tabla1325[[#This Row],[CANTIDAD TOTAL]]*Tabla1325[[#This Row],[PRECIO UNITARIO ESTIMADO]]</f>
        <v>0</v>
      </c>
      <c r="K538" s="17"/>
      <c r="L538" s="16" t="s">
        <v>27</v>
      </c>
      <c r="M538" s="16" t="s">
        <v>22</v>
      </c>
      <c r="N538" s="39" t="s">
        <v>418</v>
      </c>
    </row>
    <row r="539" spans="1:20" s="12" customFormat="1" ht="31.5">
      <c r="A539" s="15" t="s">
        <v>118</v>
      </c>
      <c r="B539" s="106" t="s">
        <v>248</v>
      </c>
      <c r="C539" s="39" t="s">
        <v>17</v>
      </c>
      <c r="D539" s="39">
        <v>25</v>
      </c>
      <c r="E539" s="39">
        <v>25</v>
      </c>
      <c r="F539" s="39">
        <v>25</v>
      </c>
      <c r="G539" s="39">
        <v>25</v>
      </c>
      <c r="H539" s="40">
        <f>SUM(Tabla1325[[#This Row],[PRIMER TRIMESTRE]:[CUARTO TRIMESTRE]])</f>
        <v>100</v>
      </c>
      <c r="I539" s="17">
        <v>2262</v>
      </c>
      <c r="J539" s="17">
        <f>+Tabla1325[[#This Row],[CANTIDAD TOTAL]]*Tabla1325[[#This Row],[PRECIO UNITARIO ESTIMADO]]</f>
        <v>226200</v>
      </c>
      <c r="K539" s="17"/>
      <c r="L539" s="16" t="s">
        <v>27</v>
      </c>
      <c r="M539" s="16" t="s">
        <v>22</v>
      </c>
      <c r="N539" s="39" t="s">
        <v>418</v>
      </c>
    </row>
    <row r="540" spans="1:20" s="12" customFormat="1" ht="31.5">
      <c r="A540" s="15" t="s">
        <v>118</v>
      </c>
      <c r="B540" s="106" t="s">
        <v>249</v>
      </c>
      <c r="C540" s="39" t="s">
        <v>17</v>
      </c>
      <c r="D540" s="39">
        <v>102</v>
      </c>
      <c r="E540" s="39">
        <v>102</v>
      </c>
      <c r="F540" s="39">
        <v>102</v>
      </c>
      <c r="G540" s="39">
        <v>102</v>
      </c>
      <c r="H540" s="40">
        <f>SUM(Tabla1325[[#This Row],[PRIMER TRIMESTRE]:[CUARTO TRIMESTRE]])</f>
        <v>408</v>
      </c>
      <c r="I540" s="17">
        <v>3250</v>
      </c>
      <c r="J540" s="17">
        <f>+Tabla1325[[#This Row],[CANTIDAD TOTAL]]*Tabla1325[[#This Row],[PRECIO UNITARIO ESTIMADO]]</f>
        <v>1326000</v>
      </c>
      <c r="K540" s="17"/>
      <c r="L540" s="16" t="s">
        <v>27</v>
      </c>
      <c r="M540" s="16" t="s">
        <v>22</v>
      </c>
      <c r="N540" s="39" t="s">
        <v>418</v>
      </c>
    </row>
    <row r="541" spans="1:20" s="12" customFormat="1" ht="31.5">
      <c r="A541" s="15" t="s">
        <v>118</v>
      </c>
      <c r="B541" s="106" t="s">
        <v>250</v>
      </c>
      <c r="C541" s="39" t="s">
        <v>17</v>
      </c>
      <c r="D541" s="39">
        <v>25</v>
      </c>
      <c r="E541" s="39">
        <v>25</v>
      </c>
      <c r="F541" s="39">
        <v>25</v>
      </c>
      <c r="G541" s="39">
        <v>25</v>
      </c>
      <c r="H541" s="40">
        <f>SUM(Tabla1325[[#This Row],[PRIMER TRIMESTRE]:[CUARTO TRIMESTRE]])</f>
        <v>100</v>
      </c>
      <c r="I541" s="17">
        <v>3959.88</v>
      </c>
      <c r="J541" s="17">
        <f>+Tabla1325[[#This Row],[CANTIDAD TOTAL]]*Tabla1325[[#This Row],[PRECIO UNITARIO ESTIMADO]]</f>
        <v>395988</v>
      </c>
      <c r="K541" s="17"/>
      <c r="L541" s="16" t="s">
        <v>27</v>
      </c>
      <c r="M541" s="16" t="s">
        <v>22</v>
      </c>
      <c r="N541" s="39" t="s">
        <v>418</v>
      </c>
    </row>
    <row r="542" spans="1:20" s="12" customFormat="1" ht="31.5">
      <c r="A542" s="15" t="s">
        <v>118</v>
      </c>
      <c r="B542" s="106" t="s">
        <v>321</v>
      </c>
      <c r="C542" s="39" t="s">
        <v>17</v>
      </c>
      <c r="D542" s="39">
        <v>20</v>
      </c>
      <c r="E542" s="39">
        <v>20</v>
      </c>
      <c r="F542" s="39">
        <v>20</v>
      </c>
      <c r="G542" s="39">
        <v>20</v>
      </c>
      <c r="H542" s="40">
        <f>SUM(Tabla1325[[#This Row],[PRIMER TRIMESTRE]:[CUARTO TRIMESTRE]])</f>
        <v>80</v>
      </c>
      <c r="I542" s="17">
        <f>31243.78/16</f>
        <v>1952.7362499999999</v>
      </c>
      <c r="J542" s="17">
        <f>+Tabla1325[[#This Row],[CANTIDAD TOTAL]]*Tabla1325[[#This Row],[PRECIO UNITARIO ESTIMADO]]</f>
        <v>156218.9</v>
      </c>
      <c r="K542" s="17"/>
      <c r="L542" s="16" t="s">
        <v>27</v>
      </c>
      <c r="M542" s="16" t="s">
        <v>22</v>
      </c>
      <c r="N542" s="39" t="s">
        <v>418</v>
      </c>
    </row>
    <row r="543" spans="1:20" s="12" customFormat="1" ht="31.5">
      <c r="A543" s="15" t="s">
        <v>118</v>
      </c>
      <c r="B543" s="75" t="s">
        <v>323</v>
      </c>
      <c r="C543" s="39" t="s">
        <v>17</v>
      </c>
      <c r="D543" s="39">
        <v>0</v>
      </c>
      <c r="E543" s="39">
        <v>0</v>
      </c>
      <c r="F543" s="39">
        <v>0</v>
      </c>
      <c r="G543" s="39">
        <v>0</v>
      </c>
      <c r="H543" s="40">
        <f>SUM(Tabla1325[[#This Row],[PRIMER TRIMESTRE]:[CUARTO TRIMESTRE]])</f>
        <v>0</v>
      </c>
      <c r="I543" s="17">
        <f>16086.57/3</f>
        <v>5362.19</v>
      </c>
      <c r="J543" s="17">
        <f>+Tabla1325[[#This Row],[CANTIDAD TOTAL]]*Tabla1325[[#This Row],[PRECIO UNITARIO ESTIMADO]]</f>
        <v>0</v>
      </c>
      <c r="K543" s="17"/>
      <c r="L543" s="16" t="s">
        <v>27</v>
      </c>
      <c r="M543" s="16" t="s">
        <v>22</v>
      </c>
      <c r="N543" s="39" t="s">
        <v>418</v>
      </c>
    </row>
    <row r="544" spans="1:20" s="26" customFormat="1" ht="31.5">
      <c r="A544" s="22" t="s">
        <v>118</v>
      </c>
      <c r="B544" s="76"/>
      <c r="C544" s="42"/>
      <c r="D544" s="42"/>
      <c r="E544" s="42"/>
      <c r="F544" s="42"/>
      <c r="G544" s="42"/>
      <c r="H544" s="43"/>
      <c r="I544" s="24"/>
      <c r="J544" s="24"/>
      <c r="K544" s="25">
        <f>SUM(J523:J543)</f>
        <v>8054088.8200000012</v>
      </c>
      <c r="L544" s="23"/>
      <c r="M544" s="23"/>
      <c r="N544" s="42"/>
      <c r="Q544" s="27"/>
      <c r="T544" s="23"/>
    </row>
    <row r="545" spans="1:20" s="12" customFormat="1">
      <c r="A545" s="15" t="s">
        <v>119</v>
      </c>
      <c r="B545" s="75" t="s">
        <v>341</v>
      </c>
      <c r="C545" s="39" t="s">
        <v>17</v>
      </c>
      <c r="D545" s="39">
        <v>0</v>
      </c>
      <c r="E545" s="39">
        <v>0</v>
      </c>
      <c r="F545" s="39">
        <v>0</v>
      </c>
      <c r="G545" s="39">
        <v>100</v>
      </c>
      <c r="H545" s="40">
        <f>SUM(Tabla1325[[#This Row],[PRIMER TRIMESTRE]:[CUARTO TRIMESTRE]])</f>
        <v>100</v>
      </c>
      <c r="I545" s="17">
        <f>2160.9+22288+501.5+6355.8+18041.9+5084.64+8389.8+3050.76+2466.06+1983.5+6203.28</f>
        <v>76526.14</v>
      </c>
      <c r="J545" s="17">
        <f>+Tabla1325[[#This Row],[CANTIDAD TOTAL]]*Tabla1325[[#This Row],[PRECIO UNITARIO ESTIMADO]]</f>
        <v>7652614</v>
      </c>
      <c r="K545" s="17"/>
      <c r="L545" s="16" t="s">
        <v>15</v>
      </c>
      <c r="M545" s="16" t="s">
        <v>22</v>
      </c>
      <c r="N545" s="39" t="s">
        <v>418</v>
      </c>
    </row>
    <row r="546" spans="1:20" s="12" customFormat="1">
      <c r="A546" s="15" t="s">
        <v>119</v>
      </c>
      <c r="B546" s="75" t="s">
        <v>252</v>
      </c>
      <c r="C546" s="39" t="s">
        <v>17</v>
      </c>
      <c r="D546" s="39">
        <v>0</v>
      </c>
      <c r="E546" s="39">
        <v>0</v>
      </c>
      <c r="F546" s="39">
        <v>0</v>
      </c>
      <c r="G546" s="39">
        <v>0</v>
      </c>
      <c r="H546" s="40">
        <f>SUM(Tabla1325[[#This Row],[PRIMER TRIMESTRE]:[CUARTO TRIMESTRE]])</f>
        <v>0</v>
      </c>
      <c r="I546" s="17">
        <v>26.45</v>
      </c>
      <c r="J546" s="17">
        <f>+Tabla1325[[#This Row],[CANTIDAD TOTAL]]*Tabla1325[[#This Row],[PRECIO UNITARIO ESTIMADO]]</f>
        <v>0</v>
      </c>
      <c r="K546" s="17"/>
      <c r="L546" s="16" t="s">
        <v>15</v>
      </c>
      <c r="M546" s="16" t="s">
        <v>22</v>
      </c>
      <c r="N546" s="39" t="s">
        <v>418</v>
      </c>
    </row>
    <row r="547" spans="1:20" s="12" customFormat="1">
      <c r="A547" s="15" t="s">
        <v>119</v>
      </c>
      <c r="B547" s="106" t="s">
        <v>253</v>
      </c>
      <c r="C547" s="39" t="s">
        <v>208</v>
      </c>
      <c r="D547" s="39">
        <v>50</v>
      </c>
      <c r="E547" s="39">
        <v>50</v>
      </c>
      <c r="F547" s="39">
        <v>50</v>
      </c>
      <c r="G547" s="39">
        <v>50</v>
      </c>
      <c r="H547" s="40">
        <f>SUM(Tabla1325[[#This Row],[PRIMER TRIMESTRE]:[CUARTO TRIMESTRE]])</f>
        <v>200</v>
      </c>
      <c r="I547" s="17">
        <v>52.28</v>
      </c>
      <c r="J547" s="17">
        <f>+Tabla1325[[#This Row],[CANTIDAD TOTAL]]*Tabla1325[[#This Row],[PRECIO UNITARIO ESTIMADO]]</f>
        <v>10456</v>
      </c>
      <c r="K547" s="17"/>
      <c r="L547" s="16" t="s">
        <v>15</v>
      </c>
      <c r="M547" s="16" t="s">
        <v>22</v>
      </c>
      <c r="N547" s="39" t="s">
        <v>418</v>
      </c>
    </row>
    <row r="548" spans="1:20" s="12" customFormat="1">
      <c r="A548" s="15" t="s">
        <v>119</v>
      </c>
      <c r="B548" s="106" t="s">
        <v>402</v>
      </c>
      <c r="C548" s="39" t="s">
        <v>17</v>
      </c>
      <c r="D548" s="39">
        <v>101</v>
      </c>
      <c r="E548" s="39">
        <v>101</v>
      </c>
      <c r="F548" s="39">
        <v>101</v>
      </c>
      <c r="G548" s="39">
        <v>101</v>
      </c>
      <c r="H548" s="40">
        <f>SUM(Tabla1325[[#This Row],[PRIMER TRIMESTRE]:[CUARTO TRIMESTRE]])</f>
        <v>404</v>
      </c>
      <c r="I548" s="17">
        <v>182.9</v>
      </c>
      <c r="J548" s="17">
        <f>+H548*I548</f>
        <v>73891.600000000006</v>
      </c>
      <c r="K548" s="17"/>
      <c r="L548" s="16" t="s">
        <v>15</v>
      </c>
      <c r="M548" s="16" t="s">
        <v>22</v>
      </c>
      <c r="N548" s="39" t="s">
        <v>418</v>
      </c>
    </row>
    <row r="549" spans="1:20" s="12" customFormat="1">
      <c r="A549" s="15" t="s">
        <v>119</v>
      </c>
      <c r="B549" s="106" t="s">
        <v>256</v>
      </c>
      <c r="C549" s="39" t="s">
        <v>17</v>
      </c>
      <c r="D549" s="39">
        <v>10</v>
      </c>
      <c r="E549" s="39">
        <v>10</v>
      </c>
      <c r="F549" s="39">
        <v>10</v>
      </c>
      <c r="G549" s="39">
        <v>10</v>
      </c>
      <c r="H549" s="40">
        <f>SUM(Tabla1325[[#This Row],[PRIMER TRIMESTRE]:[CUARTO TRIMESTRE]])</f>
        <v>40</v>
      </c>
      <c r="I549" s="17">
        <v>434.24</v>
      </c>
      <c r="J549" s="17">
        <f>+Tabla1325[[#This Row],[CANTIDAD TOTAL]]*Tabla1325[[#This Row],[PRECIO UNITARIO ESTIMADO]]</f>
        <v>17369.599999999999</v>
      </c>
      <c r="K549" s="17"/>
      <c r="L549" s="16" t="s">
        <v>15</v>
      </c>
      <c r="M549" s="16" t="s">
        <v>22</v>
      </c>
      <c r="N549" s="39" t="s">
        <v>418</v>
      </c>
    </row>
    <row r="550" spans="1:20" s="12" customFormat="1">
      <c r="A550" s="15" t="s">
        <v>119</v>
      </c>
      <c r="B550" s="106" t="s">
        <v>324</v>
      </c>
      <c r="C550" s="39" t="s">
        <v>17</v>
      </c>
      <c r="D550" s="39">
        <v>10</v>
      </c>
      <c r="E550" s="39">
        <v>10</v>
      </c>
      <c r="F550" s="39">
        <v>10</v>
      </c>
      <c r="G550" s="39">
        <v>10</v>
      </c>
      <c r="H550" s="40">
        <f>SUM(Tabla1325[[#This Row],[PRIMER TRIMESTRE]:[CUARTO TRIMESTRE]])</f>
        <v>40</v>
      </c>
      <c r="I550" s="17">
        <f>3536.75/2</f>
        <v>1768.375</v>
      </c>
      <c r="J550" s="17">
        <f>+Tabla1325[[#This Row],[CANTIDAD TOTAL]]*Tabla1325[[#This Row],[PRECIO UNITARIO ESTIMADO]]</f>
        <v>70735</v>
      </c>
      <c r="K550" s="17"/>
      <c r="L550" s="16" t="s">
        <v>15</v>
      </c>
      <c r="M550" s="16" t="s">
        <v>22</v>
      </c>
      <c r="N550" s="39" t="s">
        <v>418</v>
      </c>
    </row>
    <row r="551" spans="1:20" s="12" customFormat="1">
      <c r="A551" s="15" t="s">
        <v>119</v>
      </c>
      <c r="B551" s="106" t="s">
        <v>257</v>
      </c>
      <c r="C551" s="39" t="s">
        <v>17</v>
      </c>
      <c r="D551" s="39">
        <v>8</v>
      </c>
      <c r="E551" s="39">
        <v>8</v>
      </c>
      <c r="F551" s="39">
        <v>8</v>
      </c>
      <c r="G551" s="39">
        <v>8</v>
      </c>
      <c r="H551" s="40">
        <f>SUM(Tabla1325[[#This Row],[PRIMER TRIMESTRE]:[CUARTO TRIMESTRE]])</f>
        <v>32</v>
      </c>
      <c r="I551" s="17">
        <v>522</v>
      </c>
      <c r="J551" s="17">
        <f>+Tabla1325[[#This Row],[CANTIDAD TOTAL]]*Tabla1325[[#This Row],[PRECIO UNITARIO ESTIMADO]]</f>
        <v>16704</v>
      </c>
      <c r="K551" s="17"/>
      <c r="L551" s="16" t="s">
        <v>15</v>
      </c>
      <c r="M551" s="16" t="s">
        <v>22</v>
      </c>
      <c r="N551" s="39" t="s">
        <v>418</v>
      </c>
    </row>
    <row r="552" spans="1:20" s="12" customFormat="1">
      <c r="A552" s="15" t="s">
        <v>119</v>
      </c>
      <c r="B552" s="75" t="s">
        <v>258</v>
      </c>
      <c r="C552" s="39" t="s">
        <v>17</v>
      </c>
      <c r="D552" s="39">
        <v>0</v>
      </c>
      <c r="E552" s="39">
        <v>0</v>
      </c>
      <c r="F552" s="39">
        <v>0</v>
      </c>
      <c r="G552" s="39">
        <v>0</v>
      </c>
      <c r="H552" s="40">
        <f>SUM(Tabla1325[[#This Row],[PRIMER TRIMESTRE]:[CUARTO TRIMESTRE]])</f>
        <v>0</v>
      </c>
      <c r="I552" s="17">
        <v>1250</v>
      </c>
      <c r="J552" s="17">
        <f>+Tabla1325[[#This Row],[CANTIDAD TOTAL]]*Tabla1325[[#This Row],[PRECIO UNITARIO ESTIMADO]]</f>
        <v>0</v>
      </c>
      <c r="K552" s="17"/>
      <c r="L552" s="16" t="s">
        <v>15</v>
      </c>
      <c r="M552" s="16" t="s">
        <v>22</v>
      </c>
      <c r="N552" s="39" t="s">
        <v>418</v>
      </c>
    </row>
    <row r="553" spans="1:20" s="12" customFormat="1">
      <c r="A553" s="15" t="s">
        <v>119</v>
      </c>
      <c r="B553" s="106" t="s">
        <v>259</v>
      </c>
      <c r="C553" s="39" t="s">
        <v>17</v>
      </c>
      <c r="D553" s="39">
        <v>50</v>
      </c>
      <c r="E553" s="39">
        <v>50</v>
      </c>
      <c r="F553" s="39">
        <v>50</v>
      </c>
      <c r="G553" s="39">
        <v>50</v>
      </c>
      <c r="H553" s="40">
        <f>SUM(Tabla1325[[#This Row],[PRIMER TRIMESTRE]:[CUARTO TRIMESTRE]])</f>
        <v>200</v>
      </c>
      <c r="I553" s="17">
        <v>1245.07</v>
      </c>
      <c r="J553" s="17">
        <f>+Tabla1325[[#This Row],[CANTIDAD TOTAL]]*Tabla1325[[#This Row],[PRECIO UNITARIO ESTIMADO]]</f>
        <v>249014</v>
      </c>
      <c r="K553" s="17"/>
      <c r="L553" s="16" t="s">
        <v>15</v>
      </c>
      <c r="M553" s="16" t="s">
        <v>22</v>
      </c>
      <c r="N553" s="39" t="s">
        <v>418</v>
      </c>
    </row>
    <row r="554" spans="1:20" s="12" customFormat="1">
      <c r="A554" s="15" t="s">
        <v>119</v>
      </c>
      <c r="B554" s="106" t="s">
        <v>260</v>
      </c>
      <c r="C554" s="39" t="s">
        <v>17</v>
      </c>
      <c r="D554" s="39">
        <v>90</v>
      </c>
      <c r="E554" s="39">
        <v>90</v>
      </c>
      <c r="F554" s="39">
        <v>90</v>
      </c>
      <c r="G554" s="39">
        <v>90</v>
      </c>
      <c r="H554" s="40">
        <f>SUM(Tabla1325[[#This Row],[PRIMER TRIMESTRE]:[CUARTO TRIMESTRE]])</f>
        <v>360</v>
      </c>
      <c r="I554" s="17">
        <v>29.28</v>
      </c>
      <c r="J554" s="17">
        <f>+Tabla1325[[#This Row],[CANTIDAD TOTAL]]*Tabla1325[[#This Row],[PRECIO UNITARIO ESTIMADO]]</f>
        <v>10540.800000000001</v>
      </c>
      <c r="K554" s="17"/>
      <c r="L554" s="16" t="s">
        <v>15</v>
      </c>
      <c r="M554" s="16" t="s">
        <v>22</v>
      </c>
      <c r="N554" s="39" t="s">
        <v>418</v>
      </c>
    </row>
    <row r="555" spans="1:20" s="26" customFormat="1">
      <c r="A555" s="22" t="s">
        <v>119</v>
      </c>
      <c r="B555" s="76"/>
      <c r="C555" s="42"/>
      <c r="D555" s="42"/>
      <c r="E555" s="42"/>
      <c r="F555" s="42"/>
      <c r="G555" s="42"/>
      <c r="H555" s="43">
        <f>SUM(Tabla1325[[#This Row],[PRIMER TRIMESTRE]:[CUARTO TRIMESTRE]])</f>
        <v>0</v>
      </c>
      <c r="I555" s="24"/>
      <c r="J555" s="24"/>
      <c r="K555" s="25">
        <f>SUM(J545:J554)</f>
        <v>8101324.9999999991</v>
      </c>
      <c r="L555" s="23"/>
      <c r="M555" s="23"/>
      <c r="N555" s="42"/>
      <c r="Q555" s="27"/>
      <c r="T555" s="23"/>
    </row>
    <row r="556" spans="1:20" s="12" customFormat="1" ht="31.5">
      <c r="A556" s="15" t="s">
        <v>121</v>
      </c>
      <c r="B556" s="75" t="s">
        <v>273</v>
      </c>
      <c r="C556" s="39" t="s">
        <v>17</v>
      </c>
      <c r="D556" s="70">
        <v>0</v>
      </c>
      <c r="E556" s="70">
        <v>0</v>
      </c>
      <c r="F556" s="70">
        <v>0</v>
      </c>
      <c r="G556" s="70">
        <v>0</v>
      </c>
      <c r="H556" s="40">
        <f>SUM(Tabla1325[[#This Row],[PRIMER TRIMESTRE]:[CUARTO TRIMESTRE]])</f>
        <v>0</v>
      </c>
      <c r="I556" s="17">
        <v>5684</v>
      </c>
      <c r="J556" s="17">
        <f>+Tabla1325[[#This Row],[CANTIDAD TOTAL]]*Tabla1325[[#This Row],[PRECIO UNITARIO ESTIMADO]]</f>
        <v>0</v>
      </c>
      <c r="K556" s="17"/>
      <c r="L556" s="16" t="s">
        <v>15</v>
      </c>
      <c r="M556" s="16" t="s">
        <v>22</v>
      </c>
      <c r="N556" s="39" t="s">
        <v>418</v>
      </c>
    </row>
    <row r="557" spans="1:20" s="26" customFormat="1" ht="31.5">
      <c r="A557" s="22" t="s">
        <v>121</v>
      </c>
      <c r="B557" s="76"/>
      <c r="C557" s="42"/>
      <c r="D557" s="42"/>
      <c r="E557" s="42"/>
      <c r="F557" s="42"/>
      <c r="G557" s="42"/>
      <c r="H557" s="43"/>
      <c r="I557" s="24"/>
      <c r="J557" s="24"/>
      <c r="K557" s="25">
        <f>SUM(J556)</f>
        <v>0</v>
      </c>
      <c r="L557" s="23"/>
      <c r="M557" s="23"/>
      <c r="N557" s="42"/>
      <c r="Q557" s="27"/>
      <c r="T557" s="23"/>
    </row>
    <row r="558" spans="1:20" s="12" customFormat="1">
      <c r="A558" s="15" t="s">
        <v>122</v>
      </c>
      <c r="B558" s="75" t="s">
        <v>274</v>
      </c>
      <c r="C558" s="39" t="s">
        <v>17</v>
      </c>
      <c r="D558" s="70">
        <v>0</v>
      </c>
      <c r="E558" s="70">
        <v>0</v>
      </c>
      <c r="F558" s="70">
        <v>0</v>
      </c>
      <c r="G558" s="70">
        <v>0</v>
      </c>
      <c r="H558" s="70">
        <v>0</v>
      </c>
      <c r="I558" s="17">
        <v>133.47</v>
      </c>
      <c r="J558" s="17">
        <f>+Tabla1325[[#This Row],[CANTIDAD TOTAL]]*Tabla1325[[#This Row],[PRECIO UNITARIO ESTIMADO]]</f>
        <v>0</v>
      </c>
      <c r="K558" s="17"/>
      <c r="L558" s="16" t="s">
        <v>15</v>
      </c>
      <c r="M558" s="16" t="s">
        <v>22</v>
      </c>
      <c r="N558" s="39" t="s">
        <v>418</v>
      </c>
    </row>
    <row r="559" spans="1:20" s="12" customFormat="1">
      <c r="A559" s="15" t="s">
        <v>122</v>
      </c>
      <c r="B559" s="106" t="s">
        <v>275</v>
      </c>
      <c r="C559" s="39" t="s">
        <v>17</v>
      </c>
      <c r="D559" s="70">
        <v>150</v>
      </c>
      <c r="E559" s="70">
        <v>150</v>
      </c>
      <c r="F559" s="70">
        <v>150</v>
      </c>
      <c r="G559" s="70">
        <v>150</v>
      </c>
      <c r="H559" s="40">
        <f>SUM(Tabla1325[[#This Row],[PRIMER TRIMESTRE]:[CUARTO TRIMESTRE]])</f>
        <v>600</v>
      </c>
      <c r="I559" s="17">
        <v>115.24</v>
      </c>
      <c r="J559" s="17">
        <f>+Tabla1325[[#This Row],[CANTIDAD TOTAL]]*Tabla1325[[#This Row],[PRECIO UNITARIO ESTIMADO]]</f>
        <v>69144</v>
      </c>
      <c r="K559" s="17"/>
      <c r="L559" s="16" t="s">
        <v>15</v>
      </c>
      <c r="M559" s="16" t="s">
        <v>22</v>
      </c>
      <c r="N559" s="39" t="s">
        <v>418</v>
      </c>
    </row>
    <row r="560" spans="1:20" s="12" customFormat="1" ht="31.5">
      <c r="A560" s="15" t="s">
        <v>122</v>
      </c>
      <c r="B560" s="106" t="s">
        <v>125</v>
      </c>
      <c r="C560" s="39" t="s">
        <v>17</v>
      </c>
      <c r="D560" s="70">
        <v>40</v>
      </c>
      <c r="E560" s="70">
        <v>40</v>
      </c>
      <c r="F560" s="70">
        <v>40</v>
      </c>
      <c r="G560" s="70">
        <v>40</v>
      </c>
      <c r="H560" s="40">
        <f>SUM(Tabla1325[[#This Row],[PRIMER TRIMESTRE]:[CUARTO TRIMESTRE]])</f>
        <v>160</v>
      </c>
      <c r="I560" s="17">
        <v>1624</v>
      </c>
      <c r="J560" s="17">
        <f>+Tabla1325[[#This Row],[CANTIDAD TOTAL]]*Tabla1325[[#This Row],[PRECIO UNITARIO ESTIMADO]]</f>
        <v>259840</v>
      </c>
      <c r="K560" s="17"/>
      <c r="L560" s="16" t="s">
        <v>15</v>
      </c>
      <c r="M560" s="16" t="s">
        <v>22</v>
      </c>
      <c r="N560" s="39" t="s">
        <v>418</v>
      </c>
      <c r="Q560" s="19" t="s">
        <v>126</v>
      </c>
    </row>
    <row r="561" spans="1:20" s="12" customFormat="1">
      <c r="A561" s="15" t="s">
        <v>122</v>
      </c>
      <c r="B561" s="106" t="s">
        <v>276</v>
      </c>
      <c r="C561" s="39" t="s">
        <v>17</v>
      </c>
      <c r="D561" s="70">
        <v>200</v>
      </c>
      <c r="E561" s="70">
        <v>200</v>
      </c>
      <c r="F561" s="70">
        <v>200</v>
      </c>
      <c r="G561" s="70">
        <v>200</v>
      </c>
      <c r="H561" s="40">
        <f>SUM(Tabla1325[[#This Row],[PRIMER TRIMESTRE]:[CUARTO TRIMESTRE]])</f>
        <v>800</v>
      </c>
      <c r="I561" s="17">
        <v>101.68</v>
      </c>
      <c r="J561" s="17">
        <f>+Tabla1325[[#This Row],[CANTIDAD TOTAL]]*Tabla1325[[#This Row],[PRECIO UNITARIO ESTIMADO]]</f>
        <v>81344</v>
      </c>
      <c r="K561" s="17"/>
      <c r="L561" s="16" t="s">
        <v>15</v>
      </c>
      <c r="M561" s="16" t="s">
        <v>22</v>
      </c>
      <c r="N561" s="39" t="s">
        <v>418</v>
      </c>
    </row>
    <row r="562" spans="1:20" s="12" customFormat="1">
      <c r="A562" s="15" t="s">
        <v>122</v>
      </c>
      <c r="B562" s="75" t="s">
        <v>277</v>
      </c>
      <c r="C562" s="39" t="s">
        <v>17</v>
      </c>
      <c r="D562" s="70">
        <v>0</v>
      </c>
      <c r="E562" s="70">
        <v>0</v>
      </c>
      <c r="F562" s="70">
        <v>0</v>
      </c>
      <c r="G562" s="70">
        <v>0</v>
      </c>
      <c r="H562" s="70">
        <v>0</v>
      </c>
      <c r="I562" s="17">
        <v>27.14</v>
      </c>
      <c r="J562" s="17">
        <f>+Tabla1325[[#This Row],[CANTIDAD TOTAL]]*Tabla1325[[#This Row],[PRECIO UNITARIO ESTIMADO]]</f>
        <v>0</v>
      </c>
      <c r="K562" s="17"/>
      <c r="L562" s="16" t="s">
        <v>15</v>
      </c>
      <c r="M562" s="16" t="s">
        <v>22</v>
      </c>
      <c r="N562" s="39" t="s">
        <v>418</v>
      </c>
    </row>
    <row r="563" spans="1:20" s="12" customFormat="1">
      <c r="A563" s="15" t="s">
        <v>122</v>
      </c>
      <c r="B563" s="106" t="s">
        <v>327</v>
      </c>
      <c r="C563" s="39" t="s">
        <v>102</v>
      </c>
      <c r="D563" s="70">
        <v>45</v>
      </c>
      <c r="E563" s="70">
        <v>45</v>
      </c>
      <c r="F563" s="70">
        <v>45</v>
      </c>
      <c r="G563" s="70">
        <v>45</v>
      </c>
      <c r="H563" s="40">
        <f>SUM(Tabla1325[[#This Row],[PRIMER TRIMESTRE]:[CUARTO TRIMESTRE]])</f>
        <v>180</v>
      </c>
      <c r="I563" s="17">
        <f>43660/209</f>
        <v>208.89952153110048</v>
      </c>
      <c r="J563" s="17">
        <f>+Tabla1325[[#This Row],[CANTIDAD TOTAL]]*Tabla1325[[#This Row],[PRECIO UNITARIO ESTIMADO]]</f>
        <v>37601.913875598082</v>
      </c>
      <c r="K563" s="17"/>
      <c r="L563" s="16" t="s">
        <v>15</v>
      </c>
      <c r="M563" s="16" t="s">
        <v>22</v>
      </c>
      <c r="N563" s="39" t="s">
        <v>418</v>
      </c>
    </row>
    <row r="564" spans="1:20" s="12" customFormat="1">
      <c r="A564" s="15" t="s">
        <v>122</v>
      </c>
      <c r="B564" s="75" t="s">
        <v>328</v>
      </c>
      <c r="C564" s="39" t="s">
        <v>17</v>
      </c>
      <c r="D564" s="70">
        <v>0</v>
      </c>
      <c r="E564" s="70">
        <v>0</v>
      </c>
      <c r="F564" s="70">
        <v>0</v>
      </c>
      <c r="G564" s="70">
        <v>0</v>
      </c>
      <c r="H564" s="40">
        <f>SUM(Tabla1325[[#This Row],[PRIMER TRIMESTRE]:[CUARTO TRIMESTRE]])</f>
        <v>0</v>
      </c>
      <c r="I564" s="17">
        <v>12626</v>
      </c>
      <c r="J564" s="17">
        <f>+Tabla1325[[#This Row],[CANTIDAD TOTAL]]*Tabla1325[[#This Row],[PRECIO UNITARIO ESTIMADO]]</f>
        <v>0</v>
      </c>
      <c r="K564" s="17"/>
      <c r="L564" s="16" t="s">
        <v>15</v>
      </c>
      <c r="M564" s="16" t="s">
        <v>22</v>
      </c>
      <c r="N564" s="39" t="s">
        <v>418</v>
      </c>
    </row>
    <row r="565" spans="1:20" s="12" customFormat="1">
      <c r="A565" s="15" t="s">
        <v>122</v>
      </c>
      <c r="B565" s="106" t="s">
        <v>329</v>
      </c>
      <c r="C565" s="39" t="s">
        <v>17</v>
      </c>
      <c r="D565" s="70">
        <v>50</v>
      </c>
      <c r="E565" s="70">
        <v>50</v>
      </c>
      <c r="F565" s="70">
        <v>50</v>
      </c>
      <c r="G565" s="70">
        <v>50</v>
      </c>
      <c r="H565" s="40">
        <f>SUM(Tabla1325[[#This Row],[PRIMER TRIMESTRE]:[CUARTO TRIMESTRE]])</f>
        <v>200</v>
      </c>
      <c r="I565" s="17">
        <f>1382216.68/118</f>
        <v>11713.700677966101</v>
      </c>
      <c r="J565" s="17">
        <f>+Tabla1325[[#This Row],[CANTIDAD TOTAL]]*Tabla1325[[#This Row],[PRECIO UNITARIO ESTIMADO]]</f>
        <v>2342740.1355932201</v>
      </c>
      <c r="K565" s="17"/>
      <c r="L565" s="16" t="s">
        <v>15</v>
      </c>
      <c r="M565" s="16" t="s">
        <v>22</v>
      </c>
      <c r="N565" s="39" t="s">
        <v>418</v>
      </c>
    </row>
    <row r="566" spans="1:20" s="12" customFormat="1">
      <c r="A566" s="15" t="s">
        <v>122</v>
      </c>
      <c r="B566" s="106" t="s">
        <v>330</v>
      </c>
      <c r="C566" s="39" t="s">
        <v>17</v>
      </c>
      <c r="D566" s="70">
        <v>50</v>
      </c>
      <c r="E566" s="70">
        <v>50</v>
      </c>
      <c r="F566" s="70">
        <v>50</v>
      </c>
      <c r="G566" s="70">
        <v>50</v>
      </c>
      <c r="H566" s="40">
        <f>SUM(Tabla1325[[#This Row],[PRIMER TRIMESTRE]:[CUARTO TRIMESTRE]])</f>
        <v>200</v>
      </c>
      <c r="I566" s="17">
        <v>413</v>
      </c>
      <c r="J566" s="17">
        <f>+Tabla1325[[#This Row],[CANTIDAD TOTAL]]*Tabla1325[[#This Row],[PRECIO UNITARIO ESTIMADO]]</f>
        <v>82600</v>
      </c>
      <c r="K566" s="17"/>
      <c r="L566" s="16" t="s">
        <v>15</v>
      </c>
      <c r="M566" s="16" t="s">
        <v>22</v>
      </c>
      <c r="N566" s="39" t="s">
        <v>418</v>
      </c>
    </row>
    <row r="567" spans="1:20" s="26" customFormat="1">
      <c r="A567" s="22" t="s">
        <v>122</v>
      </c>
      <c r="B567" s="76"/>
      <c r="C567" s="42"/>
      <c r="D567" s="42"/>
      <c r="E567" s="42"/>
      <c r="F567" s="42"/>
      <c r="G567" s="42"/>
      <c r="H567" s="43"/>
      <c r="I567" s="24"/>
      <c r="J567" s="24"/>
      <c r="K567" s="25">
        <f>SUM(J558:J566)</f>
        <v>2873270.0494688181</v>
      </c>
      <c r="L567" s="23"/>
      <c r="M567" s="23"/>
      <c r="N567" s="42"/>
      <c r="Q567" s="27"/>
      <c r="T567" s="23"/>
    </row>
    <row r="568" spans="1:20" s="12" customFormat="1">
      <c r="A568" s="15" t="s">
        <v>278</v>
      </c>
      <c r="B568" s="106" t="s">
        <v>279</v>
      </c>
      <c r="C568" s="39" t="s">
        <v>17</v>
      </c>
      <c r="D568" s="39">
        <v>260</v>
      </c>
      <c r="E568" s="39">
        <v>260</v>
      </c>
      <c r="F568" s="39">
        <v>260</v>
      </c>
      <c r="G568" s="39">
        <v>260</v>
      </c>
      <c r="H568" s="40">
        <f>SUM(Tabla1325[[#This Row],[PRIMER TRIMESTRE]:[CUARTO TRIMESTRE]])</f>
        <v>1040</v>
      </c>
      <c r="I568" s="17">
        <v>259.68</v>
      </c>
      <c r="J568" s="17">
        <f>+Tabla1325[[#This Row],[CANTIDAD TOTAL]]*Tabla1325[[#This Row],[PRECIO UNITARIO ESTIMADO]]</f>
        <v>270067.20000000001</v>
      </c>
      <c r="K568" s="17"/>
      <c r="L568" s="16" t="s">
        <v>15</v>
      </c>
      <c r="M568" s="16" t="s">
        <v>22</v>
      </c>
      <c r="N568" s="39" t="s">
        <v>342</v>
      </c>
    </row>
    <row r="569" spans="1:20" s="12" customFormat="1">
      <c r="A569" s="15" t="s">
        <v>278</v>
      </c>
      <c r="B569" s="106" t="s">
        <v>137</v>
      </c>
      <c r="C569" s="39" t="s">
        <v>17</v>
      </c>
      <c r="D569" s="39">
        <v>153</v>
      </c>
      <c r="E569" s="39">
        <v>153</v>
      </c>
      <c r="F569" s="39">
        <v>153</v>
      </c>
      <c r="G569" s="39">
        <v>153</v>
      </c>
      <c r="H569" s="40">
        <f>SUM(Tabla1325[[#This Row],[PRIMER TRIMESTRE]:[CUARTO TRIMESTRE]])</f>
        <v>612</v>
      </c>
      <c r="I569" s="17">
        <v>220.12</v>
      </c>
      <c r="J569" s="17">
        <f>+Tabla1325[[#This Row],[CANTIDAD TOTAL]]*Tabla1325[[#This Row],[PRECIO UNITARIO ESTIMADO]]</f>
        <v>134713.44</v>
      </c>
      <c r="K569" s="17"/>
      <c r="L569" s="16" t="s">
        <v>15</v>
      </c>
      <c r="M569" s="16" t="s">
        <v>22</v>
      </c>
      <c r="N569" s="39" t="s">
        <v>418</v>
      </c>
      <c r="Q569" s="19" t="s">
        <v>138</v>
      </c>
    </row>
    <row r="570" spans="1:20" s="12" customFormat="1">
      <c r="A570" s="15" t="s">
        <v>278</v>
      </c>
      <c r="B570" s="106" t="s">
        <v>280</v>
      </c>
      <c r="C570" s="39" t="s">
        <v>17</v>
      </c>
      <c r="D570" s="39">
        <v>175</v>
      </c>
      <c r="E570" s="39">
        <v>175</v>
      </c>
      <c r="F570" s="39">
        <v>175</v>
      </c>
      <c r="G570" s="39">
        <v>175</v>
      </c>
      <c r="H570" s="40">
        <f>SUM(Tabla1325[[#This Row],[PRIMER TRIMESTRE]:[CUARTO TRIMESTRE]])</f>
        <v>700</v>
      </c>
      <c r="I570" s="17">
        <v>150</v>
      </c>
      <c r="J570" s="17">
        <f>+Tabla1325[[#This Row],[CANTIDAD TOTAL]]*Tabla1325[[#This Row],[PRECIO UNITARIO ESTIMADO]]</f>
        <v>105000</v>
      </c>
      <c r="K570" s="17"/>
      <c r="L570" s="16" t="s">
        <v>15</v>
      </c>
      <c r="M570" s="16" t="s">
        <v>22</v>
      </c>
      <c r="N570" s="39" t="s">
        <v>342</v>
      </c>
    </row>
    <row r="571" spans="1:20" s="12" customFormat="1">
      <c r="A571" s="15" t="s">
        <v>278</v>
      </c>
      <c r="B571" s="75" t="s">
        <v>566</v>
      </c>
      <c r="C571" s="39" t="s">
        <v>17</v>
      </c>
      <c r="D571" s="39">
        <v>0</v>
      </c>
      <c r="E571" s="39">
        <v>0</v>
      </c>
      <c r="F571" s="39">
        <v>0</v>
      </c>
      <c r="G571" s="39">
        <v>0</v>
      </c>
      <c r="H571" s="40">
        <f>SUM(Tabla1325[[#This Row],[PRIMER TRIMESTRE]:[CUARTO TRIMESTRE]])</f>
        <v>0</v>
      </c>
      <c r="I571" s="17">
        <v>140</v>
      </c>
      <c r="J571" s="17">
        <f>+Tabla1325[[#This Row],[CANTIDAD TOTAL]]*Tabla1325[[#This Row],[PRECIO UNITARIO ESTIMADO]]</f>
        <v>0</v>
      </c>
      <c r="K571" s="17"/>
      <c r="L571" s="16" t="s">
        <v>15</v>
      </c>
      <c r="M571" s="16" t="s">
        <v>22</v>
      </c>
      <c r="N571" s="39" t="s">
        <v>342</v>
      </c>
    </row>
    <row r="572" spans="1:20" s="12" customFormat="1">
      <c r="A572" s="15" t="s">
        <v>278</v>
      </c>
      <c r="B572" s="75" t="s">
        <v>727</v>
      </c>
      <c r="C572" s="39" t="s">
        <v>17</v>
      </c>
      <c r="D572" s="39">
        <v>0</v>
      </c>
      <c r="E572" s="39">
        <v>0</v>
      </c>
      <c r="F572" s="39">
        <v>0</v>
      </c>
      <c r="G572" s="39">
        <v>0</v>
      </c>
      <c r="H572" s="40">
        <f>SUM(Tabla1325[[#This Row],[PRIMER TRIMESTRE]:[CUARTO TRIMESTRE]])</f>
        <v>0</v>
      </c>
      <c r="I572" s="17">
        <v>21895</v>
      </c>
      <c r="J572" s="17">
        <f>+H572*I572</f>
        <v>0</v>
      </c>
      <c r="K572" s="17"/>
      <c r="L572" s="16" t="s">
        <v>15</v>
      </c>
      <c r="M572" s="16" t="s">
        <v>22</v>
      </c>
      <c r="N572" s="39" t="s">
        <v>342</v>
      </c>
    </row>
    <row r="573" spans="1:20" s="26" customFormat="1">
      <c r="A573" s="22" t="s">
        <v>278</v>
      </c>
      <c r="B573" s="76"/>
      <c r="C573" s="42"/>
      <c r="D573" s="42">
        <v>0</v>
      </c>
      <c r="E573" s="42">
        <v>0</v>
      </c>
      <c r="F573" s="42">
        <v>0</v>
      </c>
      <c r="G573" s="42">
        <v>0</v>
      </c>
      <c r="H573" s="43">
        <f>SUM(Tabla1325[[#This Row],[PRIMER TRIMESTRE]:[CUARTO TRIMESTRE]])</f>
        <v>0</v>
      </c>
      <c r="I573" s="24"/>
      <c r="J573" s="24"/>
      <c r="K573" s="25">
        <f>SUM(J568:J572)</f>
        <v>509780.64</v>
      </c>
      <c r="L573" s="23"/>
      <c r="M573" s="23"/>
      <c r="N573" s="42"/>
      <c r="Q573" s="27"/>
      <c r="T573" s="23"/>
    </row>
    <row r="574" spans="1:20" s="12" customFormat="1">
      <c r="A574" s="15" t="s">
        <v>124</v>
      </c>
      <c r="B574" s="106" t="s">
        <v>281</v>
      </c>
      <c r="C574" s="39" t="s">
        <v>102</v>
      </c>
      <c r="D574" s="39">
        <v>175</v>
      </c>
      <c r="E574" s="39">
        <v>175</v>
      </c>
      <c r="F574" s="39">
        <v>175</v>
      </c>
      <c r="G574" s="39">
        <v>175</v>
      </c>
      <c r="H574" s="40">
        <f>SUM(Tabla1325[[#This Row],[PRIMER TRIMESTRE]:[CUARTO TRIMESTRE]])</f>
        <v>700</v>
      </c>
      <c r="I574" s="17">
        <v>191.84</v>
      </c>
      <c r="J574" s="17">
        <f>+Tabla1325[[#This Row],[CANTIDAD TOTAL]]*Tabla1325[[#This Row],[PRECIO UNITARIO ESTIMADO]]</f>
        <v>134288</v>
      </c>
      <c r="K574" s="17"/>
      <c r="L574" s="16" t="s">
        <v>15</v>
      </c>
      <c r="M574" s="16" t="s">
        <v>22</v>
      </c>
      <c r="N574" s="39" t="s">
        <v>342</v>
      </c>
    </row>
    <row r="575" spans="1:20" s="12" customFormat="1">
      <c r="A575" s="15" t="s">
        <v>124</v>
      </c>
      <c r="B575" s="106" t="s">
        <v>282</v>
      </c>
      <c r="C575" s="39" t="s">
        <v>69</v>
      </c>
      <c r="D575" s="39">
        <v>175</v>
      </c>
      <c r="E575" s="39">
        <v>175</v>
      </c>
      <c r="F575" s="39">
        <v>175</v>
      </c>
      <c r="G575" s="39">
        <v>175</v>
      </c>
      <c r="H575" s="40">
        <f>SUM(Tabla1325[[#This Row],[PRIMER TRIMESTRE]:[CUARTO TRIMESTRE]])</f>
        <v>700</v>
      </c>
      <c r="I575" s="17">
        <v>83.78</v>
      </c>
      <c r="J575" s="17">
        <f>+Tabla1325[[#This Row],[CANTIDAD TOTAL]]*Tabla1325[[#This Row],[PRECIO UNITARIO ESTIMADO]]</f>
        <v>58646</v>
      </c>
      <c r="K575" s="17"/>
      <c r="L575" s="16" t="s">
        <v>15</v>
      </c>
      <c r="M575" s="16" t="s">
        <v>22</v>
      </c>
      <c r="N575" s="39" t="s">
        <v>342</v>
      </c>
    </row>
    <row r="576" spans="1:20" s="12" customFormat="1">
      <c r="A576" s="15" t="s">
        <v>124</v>
      </c>
      <c r="B576" s="75" t="s">
        <v>283</v>
      </c>
      <c r="C576" s="39" t="s">
        <v>17</v>
      </c>
      <c r="D576" s="39">
        <v>0</v>
      </c>
      <c r="E576" s="39">
        <v>0</v>
      </c>
      <c r="F576" s="39">
        <v>0</v>
      </c>
      <c r="G576" s="39">
        <v>0</v>
      </c>
      <c r="H576" s="40">
        <f>SUM(Tabla1325[[#This Row],[PRIMER TRIMESTRE]:[CUARTO TRIMESTRE]])</f>
        <v>0</v>
      </c>
      <c r="I576" s="17">
        <v>82.94</v>
      </c>
      <c r="J576" s="17">
        <f>+Tabla1325[[#This Row],[CANTIDAD TOTAL]]*Tabla1325[[#This Row],[PRECIO UNITARIO ESTIMADO]]</f>
        <v>0</v>
      </c>
      <c r="K576" s="17"/>
      <c r="L576" s="16" t="s">
        <v>15</v>
      </c>
      <c r="M576" s="16" t="s">
        <v>22</v>
      </c>
      <c r="N576" s="39" t="s">
        <v>342</v>
      </c>
    </row>
    <row r="577" spans="1:14" s="12" customFormat="1">
      <c r="A577" s="15" t="s">
        <v>124</v>
      </c>
      <c r="B577" s="106" t="s">
        <v>284</v>
      </c>
      <c r="C577" s="39" t="s">
        <v>17</v>
      </c>
      <c r="D577" s="39">
        <v>263</v>
      </c>
      <c r="E577" s="39">
        <v>263</v>
      </c>
      <c r="F577" s="39">
        <v>263</v>
      </c>
      <c r="G577" s="39">
        <v>263</v>
      </c>
      <c r="H577" s="40">
        <f>SUM(Tabla1325[[#This Row],[PRIMER TRIMESTRE]:[CUARTO TRIMESTRE]])</f>
        <v>1052</v>
      </c>
      <c r="I577" s="17">
        <v>26.67</v>
      </c>
      <c r="J577" s="17">
        <f>+Tabla1325[[#This Row],[CANTIDAD TOTAL]]*Tabla1325[[#This Row],[PRECIO UNITARIO ESTIMADO]]</f>
        <v>28056.84</v>
      </c>
      <c r="K577" s="17"/>
      <c r="L577" s="16" t="s">
        <v>15</v>
      </c>
      <c r="M577" s="16" t="s">
        <v>22</v>
      </c>
      <c r="N577" s="39" t="s">
        <v>342</v>
      </c>
    </row>
    <row r="578" spans="1:14" s="12" customFormat="1">
      <c r="A578" s="15" t="s">
        <v>124</v>
      </c>
      <c r="B578" s="106" t="s">
        <v>726</v>
      </c>
      <c r="C578" s="39" t="s">
        <v>17</v>
      </c>
      <c r="D578" s="39">
        <v>110</v>
      </c>
      <c r="E578" s="39">
        <v>110</v>
      </c>
      <c r="F578" s="39">
        <v>110</v>
      </c>
      <c r="G578" s="39">
        <v>110</v>
      </c>
      <c r="H578" s="40">
        <f>SUM(Tabla1325[[#This Row],[PRIMER TRIMESTRE]:[CUARTO TRIMESTRE]])</f>
        <v>440</v>
      </c>
      <c r="I578" s="72">
        <v>50</v>
      </c>
      <c r="J578" s="17">
        <f>+H578*I578</f>
        <v>22000</v>
      </c>
      <c r="K578" s="17"/>
      <c r="L578" s="16" t="s">
        <v>15</v>
      </c>
      <c r="M578" s="16" t="s">
        <v>22</v>
      </c>
      <c r="N578" s="39" t="s">
        <v>342</v>
      </c>
    </row>
    <row r="579" spans="1:14" s="12" customFormat="1">
      <c r="A579" s="15" t="s">
        <v>124</v>
      </c>
      <c r="B579" s="106" t="s">
        <v>285</v>
      </c>
      <c r="C579" s="39" t="s">
        <v>33</v>
      </c>
      <c r="D579" s="39">
        <v>175</v>
      </c>
      <c r="E579" s="39">
        <v>175</v>
      </c>
      <c r="F579" s="39">
        <v>175</v>
      </c>
      <c r="G579" s="39">
        <v>175</v>
      </c>
      <c r="H579" s="40">
        <f>SUM(Tabla1325[[#This Row],[PRIMER TRIMESTRE]:[CUARTO TRIMESTRE]])</f>
        <v>700</v>
      </c>
      <c r="I579" s="17">
        <v>115.94</v>
      </c>
      <c r="J579" s="17">
        <f>+Tabla1325[[#This Row],[CANTIDAD TOTAL]]*Tabla1325[[#This Row],[PRECIO UNITARIO ESTIMADO]]</f>
        <v>81158</v>
      </c>
      <c r="K579" s="17"/>
      <c r="L579" s="16" t="s">
        <v>15</v>
      </c>
      <c r="M579" s="16" t="s">
        <v>22</v>
      </c>
      <c r="N579" s="39" t="s">
        <v>342</v>
      </c>
    </row>
    <row r="580" spans="1:14" s="12" customFormat="1">
      <c r="A580" s="15" t="s">
        <v>124</v>
      </c>
      <c r="B580" s="75" t="s">
        <v>287</v>
      </c>
      <c r="C580" s="39" t="s">
        <v>288</v>
      </c>
      <c r="D580" s="39">
        <v>0</v>
      </c>
      <c r="E580" s="39">
        <v>0</v>
      </c>
      <c r="F580" s="39">
        <v>0</v>
      </c>
      <c r="G580" s="39">
        <v>0</v>
      </c>
      <c r="H580" s="40">
        <f>SUM(Tabla1325[[#This Row],[PRIMER TRIMESTRE]:[CUARTO TRIMESTRE]])</f>
        <v>0</v>
      </c>
      <c r="I580" s="17">
        <v>255.31</v>
      </c>
      <c r="J580" s="17">
        <f>+Tabla1325[[#This Row],[CANTIDAD TOTAL]]*Tabla1325[[#This Row],[PRECIO UNITARIO ESTIMADO]]</f>
        <v>0</v>
      </c>
      <c r="K580" s="17"/>
      <c r="L580" s="16" t="s">
        <v>15</v>
      </c>
      <c r="M580" s="16" t="s">
        <v>22</v>
      </c>
      <c r="N580" s="39" t="s">
        <v>342</v>
      </c>
    </row>
    <row r="581" spans="1:14" s="12" customFormat="1">
      <c r="A581" s="15" t="s">
        <v>124</v>
      </c>
      <c r="B581" s="106" t="s">
        <v>723</v>
      </c>
      <c r="C581" s="39" t="s">
        <v>722</v>
      </c>
      <c r="D581" s="39">
        <v>175</v>
      </c>
      <c r="E581" s="39">
        <v>175</v>
      </c>
      <c r="F581" s="39">
        <v>175</v>
      </c>
      <c r="G581" s="39">
        <v>175</v>
      </c>
      <c r="H581" s="40">
        <f>SUM(Tabla1325[[#This Row],[PRIMER TRIMESTRE]:[CUARTO TRIMESTRE]])</f>
        <v>700</v>
      </c>
      <c r="I581" s="17">
        <v>945</v>
      </c>
      <c r="J581" s="17">
        <f>+Tabla1325[[#This Row],[CANTIDAD TOTAL]]*Tabla1325[[#This Row],[PRECIO UNITARIO ESTIMADO]]</f>
        <v>661500</v>
      </c>
      <c r="K581" s="17"/>
      <c r="L581" s="16" t="s">
        <v>15</v>
      </c>
      <c r="M581" s="16" t="s">
        <v>22</v>
      </c>
      <c r="N581" s="39" t="s">
        <v>342</v>
      </c>
    </row>
    <row r="582" spans="1:14" s="12" customFormat="1">
      <c r="A582" s="15" t="s">
        <v>124</v>
      </c>
      <c r="B582" s="75" t="s">
        <v>739</v>
      </c>
      <c r="C582" s="39" t="s">
        <v>740</v>
      </c>
      <c r="D582" s="39">
        <v>0</v>
      </c>
      <c r="E582" s="39">
        <v>0</v>
      </c>
      <c r="F582" s="39">
        <v>0</v>
      </c>
      <c r="G582" s="39">
        <v>0</v>
      </c>
      <c r="H582" s="40">
        <f>SUM(Tabla1325[[#This Row],[PRIMER TRIMESTRE]:[CUARTO TRIMESTRE]])</f>
        <v>0</v>
      </c>
      <c r="I582" s="17">
        <v>174.91</v>
      </c>
      <c r="J582" s="17">
        <f>+H582*I582</f>
        <v>0</v>
      </c>
      <c r="K582" s="17"/>
      <c r="L582" s="16" t="s">
        <v>15</v>
      </c>
      <c r="M582" s="16" t="s">
        <v>22</v>
      </c>
      <c r="N582" s="39" t="s">
        <v>342</v>
      </c>
    </row>
    <row r="583" spans="1:14" s="12" customFormat="1">
      <c r="A583" s="15" t="s">
        <v>124</v>
      </c>
      <c r="B583" s="106" t="s">
        <v>289</v>
      </c>
      <c r="C583" s="39" t="s">
        <v>290</v>
      </c>
      <c r="D583" s="39">
        <v>180</v>
      </c>
      <c r="E583" s="39">
        <v>180</v>
      </c>
      <c r="F583" s="39">
        <v>180</v>
      </c>
      <c r="G583" s="39">
        <v>180</v>
      </c>
      <c r="H583" s="40">
        <f>SUM(Tabla1325[[#This Row],[PRIMER TRIMESTRE]:[CUARTO TRIMESTRE]])</f>
        <v>720</v>
      </c>
      <c r="I583" s="17">
        <v>240</v>
      </c>
      <c r="J583" s="17">
        <f>+Tabla1325[[#This Row],[CANTIDAD TOTAL]]*Tabla1325[[#This Row],[PRECIO UNITARIO ESTIMADO]]</f>
        <v>172800</v>
      </c>
      <c r="K583" s="17"/>
      <c r="L583" s="16" t="s">
        <v>15</v>
      </c>
      <c r="M583" s="16" t="s">
        <v>22</v>
      </c>
      <c r="N583" s="39" t="s">
        <v>342</v>
      </c>
    </row>
    <row r="584" spans="1:14" s="12" customFormat="1">
      <c r="A584" s="15" t="s">
        <v>124</v>
      </c>
      <c r="B584" s="106" t="s">
        <v>291</v>
      </c>
      <c r="C584" s="39" t="s">
        <v>290</v>
      </c>
      <c r="D584" s="39">
        <v>175</v>
      </c>
      <c r="E584" s="39">
        <v>175</v>
      </c>
      <c r="F584" s="39">
        <v>175</v>
      </c>
      <c r="G584" s="39">
        <v>175</v>
      </c>
      <c r="H584" s="40">
        <f>SUM(Tabla1325[[#This Row],[PRIMER TRIMESTRE]:[CUARTO TRIMESTRE]])</f>
        <v>700</v>
      </c>
      <c r="I584" s="17">
        <v>121.8</v>
      </c>
      <c r="J584" s="17">
        <f>+Tabla1325[[#This Row],[CANTIDAD TOTAL]]*Tabla1325[[#This Row],[PRECIO UNITARIO ESTIMADO]]</f>
        <v>85260</v>
      </c>
      <c r="K584" s="17"/>
      <c r="L584" s="16" t="s">
        <v>15</v>
      </c>
      <c r="M584" s="16" t="s">
        <v>22</v>
      </c>
      <c r="N584" s="39" t="s">
        <v>342</v>
      </c>
    </row>
    <row r="585" spans="1:14" s="12" customFormat="1">
      <c r="A585" s="15" t="s">
        <v>124</v>
      </c>
      <c r="B585" s="75" t="s">
        <v>469</v>
      </c>
      <c r="C585" s="39" t="s">
        <v>17</v>
      </c>
      <c r="D585" s="39">
        <v>0</v>
      </c>
      <c r="E585" s="39">
        <v>0</v>
      </c>
      <c r="F585" s="39">
        <v>0</v>
      </c>
      <c r="G585" s="39">
        <v>0</v>
      </c>
      <c r="H585" s="40">
        <f>SUM(Tabla1325[[#This Row],[PRIMER TRIMESTRE]:[CUARTO TRIMESTRE]])</f>
        <v>0</v>
      </c>
      <c r="I585" s="17">
        <v>217.18</v>
      </c>
      <c r="J585" s="17">
        <f>+H585*I585</f>
        <v>0</v>
      </c>
      <c r="K585" s="17"/>
      <c r="L585" s="16" t="s">
        <v>15</v>
      </c>
      <c r="M585" s="16" t="s">
        <v>22</v>
      </c>
      <c r="N585" s="39" t="s">
        <v>342</v>
      </c>
    </row>
    <row r="586" spans="1:14" s="12" customFormat="1">
      <c r="A586" s="15" t="s">
        <v>124</v>
      </c>
      <c r="B586" s="75" t="s">
        <v>564</v>
      </c>
      <c r="C586" s="39" t="s">
        <v>17</v>
      </c>
      <c r="D586" s="39">
        <v>0</v>
      </c>
      <c r="E586" s="39">
        <v>0</v>
      </c>
      <c r="F586" s="39">
        <v>0</v>
      </c>
      <c r="G586" s="39">
        <v>0</v>
      </c>
      <c r="H586" s="40">
        <f>SUM(Tabla1325[[#This Row],[PRIMER TRIMESTRE]:[CUARTO TRIMESTRE]])</f>
        <v>0</v>
      </c>
      <c r="I586" s="17">
        <v>130</v>
      </c>
      <c r="J586" s="17">
        <f>+H586*I586</f>
        <v>0</v>
      </c>
      <c r="K586" s="17"/>
      <c r="L586" s="16" t="s">
        <v>15</v>
      </c>
      <c r="M586" s="16" t="s">
        <v>22</v>
      </c>
      <c r="N586" s="39" t="s">
        <v>342</v>
      </c>
    </row>
    <row r="587" spans="1:14" s="12" customFormat="1">
      <c r="A587" s="15" t="s">
        <v>124</v>
      </c>
      <c r="B587" s="106" t="s">
        <v>741</v>
      </c>
      <c r="C587" s="39" t="s">
        <v>17</v>
      </c>
      <c r="D587" s="39">
        <v>110</v>
      </c>
      <c r="E587" s="39">
        <v>110</v>
      </c>
      <c r="F587" s="39">
        <v>110</v>
      </c>
      <c r="G587" s="39">
        <v>110</v>
      </c>
      <c r="H587" s="40">
        <f>SUM(Tabla1325[[#This Row],[PRIMER TRIMESTRE]:[CUARTO TRIMESTRE]])</f>
        <v>440</v>
      </c>
      <c r="I587" s="17">
        <v>217.18</v>
      </c>
      <c r="J587" s="17">
        <f>+Tabla1325[[#This Row],[CANTIDAD TOTAL]]*Tabla1325[[#This Row],[PRECIO UNITARIO ESTIMADO]]</f>
        <v>95559.2</v>
      </c>
      <c r="K587" s="17"/>
      <c r="L587" s="16" t="s">
        <v>15</v>
      </c>
      <c r="M587" s="16" t="s">
        <v>22</v>
      </c>
      <c r="N587" s="39" t="s">
        <v>342</v>
      </c>
    </row>
    <row r="588" spans="1:14" s="12" customFormat="1">
      <c r="A588" s="15" t="s">
        <v>124</v>
      </c>
      <c r="B588" s="75" t="s">
        <v>292</v>
      </c>
      <c r="C588" s="39" t="s">
        <v>17</v>
      </c>
      <c r="D588" s="39">
        <v>0</v>
      </c>
      <c r="E588" s="39">
        <v>0</v>
      </c>
      <c r="F588" s="39">
        <v>0</v>
      </c>
      <c r="G588" s="39">
        <v>0</v>
      </c>
      <c r="H588" s="40">
        <f>SUM(Tabla1325[[#This Row],[PRIMER TRIMESTRE]:[CUARTO TRIMESTRE]])</f>
        <v>0</v>
      </c>
      <c r="I588" s="17">
        <v>377.54</v>
      </c>
      <c r="J588" s="17">
        <f>+Tabla1325[[#This Row],[CANTIDAD TOTAL]]*Tabla1325[[#This Row],[PRECIO UNITARIO ESTIMADO]]</f>
        <v>0</v>
      </c>
      <c r="K588" s="17"/>
      <c r="L588" s="16" t="s">
        <v>15</v>
      </c>
      <c r="M588" s="16" t="s">
        <v>22</v>
      </c>
      <c r="N588" s="39" t="s">
        <v>342</v>
      </c>
    </row>
    <row r="589" spans="1:14" s="12" customFormat="1">
      <c r="A589" s="15" t="s">
        <v>124</v>
      </c>
      <c r="B589" s="106" t="s">
        <v>725</v>
      </c>
      <c r="C589" s="39" t="s">
        <v>17</v>
      </c>
      <c r="D589" s="39">
        <v>110</v>
      </c>
      <c r="E589" s="39">
        <v>110</v>
      </c>
      <c r="F589" s="39">
        <v>110</v>
      </c>
      <c r="G589" s="39">
        <v>110</v>
      </c>
      <c r="H589" s="40">
        <f>SUM(Tabla1325[[#This Row],[PRIMER TRIMESTRE]:[CUARTO TRIMESTRE]])</f>
        <v>440</v>
      </c>
      <c r="I589" s="17">
        <v>90</v>
      </c>
      <c r="J589" s="17">
        <f>+H589*I589</f>
        <v>39600</v>
      </c>
      <c r="K589" s="17"/>
      <c r="L589" s="16" t="s">
        <v>15</v>
      </c>
      <c r="M589" s="16" t="s">
        <v>22</v>
      </c>
      <c r="N589" s="39" t="s">
        <v>342</v>
      </c>
    </row>
    <row r="590" spans="1:14" s="12" customFormat="1">
      <c r="A590" s="15" t="s">
        <v>124</v>
      </c>
      <c r="B590" s="106" t="s">
        <v>293</v>
      </c>
      <c r="C590" s="39" t="s">
        <v>33</v>
      </c>
      <c r="D590" s="39">
        <v>175</v>
      </c>
      <c r="E590" s="39">
        <v>175</v>
      </c>
      <c r="F590" s="39">
        <v>175</v>
      </c>
      <c r="G590" s="39">
        <v>175</v>
      </c>
      <c r="H590" s="40">
        <f>SUM(Tabla1325[[#This Row],[PRIMER TRIMESTRE]:[CUARTO TRIMESTRE]])</f>
        <v>700</v>
      </c>
      <c r="I590" s="17">
        <v>214.6</v>
      </c>
      <c r="J590" s="17">
        <f>+Tabla1325[[#This Row],[CANTIDAD TOTAL]]*Tabla1325[[#This Row],[PRECIO UNITARIO ESTIMADO]]</f>
        <v>150220</v>
      </c>
      <c r="K590" s="17"/>
      <c r="L590" s="16" t="s">
        <v>15</v>
      </c>
      <c r="M590" s="16" t="s">
        <v>22</v>
      </c>
      <c r="N590" s="39" t="s">
        <v>342</v>
      </c>
    </row>
    <row r="591" spans="1:14" s="12" customFormat="1">
      <c r="A591" s="15" t="s">
        <v>124</v>
      </c>
      <c r="B591" s="75" t="s">
        <v>294</v>
      </c>
      <c r="C591" s="39" t="s">
        <v>17</v>
      </c>
      <c r="D591" s="70">
        <v>0</v>
      </c>
      <c r="E591" s="70">
        <v>0</v>
      </c>
      <c r="F591" s="70">
        <v>0</v>
      </c>
      <c r="G591" s="70">
        <v>0</v>
      </c>
      <c r="H591" s="40">
        <f>SUM(Tabla1325[[#This Row],[PRIMER TRIMESTRE]:[CUARTO TRIMESTRE]])</f>
        <v>0</v>
      </c>
      <c r="I591" s="17">
        <v>424.95</v>
      </c>
      <c r="J591" s="17">
        <f>+Tabla1325[[#This Row],[CANTIDAD TOTAL]]*Tabla1325[[#This Row],[PRECIO UNITARIO ESTIMADO]]</f>
        <v>0</v>
      </c>
      <c r="K591" s="17"/>
      <c r="L591" s="16" t="s">
        <v>15</v>
      </c>
      <c r="M591" s="16" t="s">
        <v>22</v>
      </c>
      <c r="N591" s="39" t="s">
        <v>342</v>
      </c>
    </row>
    <row r="592" spans="1:14" s="12" customFormat="1">
      <c r="A592" s="15" t="s">
        <v>124</v>
      </c>
      <c r="B592" s="106" t="s">
        <v>331</v>
      </c>
      <c r="C592" s="39" t="s">
        <v>33</v>
      </c>
      <c r="D592" s="39">
        <v>88</v>
      </c>
      <c r="E592" s="39">
        <v>88</v>
      </c>
      <c r="F592" s="39">
        <v>88</v>
      </c>
      <c r="G592" s="39">
        <v>88</v>
      </c>
      <c r="H592" s="40">
        <f>SUM(Tabla1325[[#This Row],[PRIMER TRIMESTRE]:[CUARTO TRIMESTRE]])</f>
        <v>352</v>
      </c>
      <c r="I592" s="17">
        <v>404.45</v>
      </c>
      <c r="J592" s="17">
        <f>+Tabla1325[[#This Row],[CANTIDAD TOTAL]]*Tabla1325[[#This Row],[PRECIO UNITARIO ESTIMADO]]</f>
        <v>142366.39999999999</v>
      </c>
      <c r="K592" s="17"/>
      <c r="L592" s="16" t="s">
        <v>15</v>
      </c>
      <c r="M592" s="16" t="s">
        <v>22</v>
      </c>
      <c r="N592" s="39" t="s">
        <v>342</v>
      </c>
    </row>
    <row r="593" spans="1:20" s="12" customFormat="1">
      <c r="A593" s="15" t="s">
        <v>124</v>
      </c>
      <c r="B593" s="106" t="s">
        <v>724</v>
      </c>
      <c r="C593" s="39" t="s">
        <v>17</v>
      </c>
      <c r="D593" s="39">
        <v>110</v>
      </c>
      <c r="E593" s="39">
        <v>110</v>
      </c>
      <c r="F593" s="39">
        <v>110</v>
      </c>
      <c r="G593" s="39">
        <v>110</v>
      </c>
      <c r="H593" s="40">
        <f>SUM(Tabla1325[[#This Row],[PRIMER TRIMESTRE]:[CUARTO TRIMESTRE]])</f>
        <v>440</v>
      </c>
      <c r="I593" s="17">
        <v>140</v>
      </c>
      <c r="J593" s="17">
        <f>+H593*I593</f>
        <v>61600</v>
      </c>
      <c r="K593" s="17"/>
      <c r="L593" s="16" t="s">
        <v>15</v>
      </c>
      <c r="M593" s="16" t="s">
        <v>22</v>
      </c>
      <c r="N593" s="39" t="s">
        <v>342</v>
      </c>
    </row>
    <row r="594" spans="1:20" s="26" customFormat="1">
      <c r="A594" s="22" t="s">
        <v>124</v>
      </c>
      <c r="B594" s="76"/>
      <c r="C594" s="42"/>
      <c r="D594" s="42"/>
      <c r="E594" s="42"/>
      <c r="F594" s="42"/>
      <c r="G594" s="42"/>
      <c r="H594" s="43"/>
      <c r="I594" s="24"/>
      <c r="J594" s="24"/>
      <c r="K594" s="25">
        <f>SUM(J574:J593)</f>
        <v>1733054.4399999997</v>
      </c>
      <c r="L594" s="23"/>
      <c r="M594" s="23"/>
      <c r="N594" s="42"/>
      <c r="Q594" s="27"/>
      <c r="T594" s="23"/>
    </row>
    <row r="595" spans="1:20" s="12" customFormat="1" ht="31.5">
      <c r="A595" s="15" t="s">
        <v>117</v>
      </c>
      <c r="B595" s="75" t="s">
        <v>781</v>
      </c>
      <c r="C595" s="39" t="s">
        <v>17</v>
      </c>
      <c r="D595" s="39">
        <v>0</v>
      </c>
      <c r="E595" s="39">
        <v>0</v>
      </c>
      <c r="F595" s="39">
        <v>0</v>
      </c>
      <c r="G595" s="39">
        <v>0</v>
      </c>
      <c r="H595" s="40">
        <f>SUM(Tabla1325[[#This Row],[PRIMER TRIMESTRE]:[CUARTO TRIMESTRE]])</f>
        <v>0</v>
      </c>
      <c r="I595" s="17">
        <v>15000000</v>
      </c>
      <c r="J595" s="17">
        <f>+H595*I595</f>
        <v>0</v>
      </c>
      <c r="K595" s="17"/>
      <c r="L595" s="16" t="s">
        <v>18</v>
      </c>
      <c r="M595" s="16" t="s">
        <v>19</v>
      </c>
      <c r="N595" s="39"/>
      <c r="Q595" s="19"/>
      <c r="T595" s="16"/>
    </row>
    <row r="596" spans="1:20" s="12" customFormat="1" ht="25.5">
      <c r="A596" s="15" t="s">
        <v>117</v>
      </c>
      <c r="B596" s="75" t="s">
        <v>779</v>
      </c>
      <c r="C596" s="39" t="s">
        <v>17</v>
      </c>
      <c r="D596" s="39">
        <v>0</v>
      </c>
      <c r="E596" s="39">
        <v>0</v>
      </c>
      <c r="F596" s="39">
        <v>0</v>
      </c>
      <c r="G596" s="39">
        <v>0</v>
      </c>
      <c r="H596" s="40">
        <f>SUM(Tabla1325[[#This Row],[PRIMER TRIMESTRE]:[CUARTO TRIMESTRE]])</f>
        <v>0</v>
      </c>
      <c r="I596" s="17">
        <v>1500000</v>
      </c>
      <c r="J596" s="17">
        <f>+H596*I596</f>
        <v>0</v>
      </c>
      <c r="K596" s="17"/>
      <c r="L596" s="16" t="s">
        <v>18</v>
      </c>
      <c r="M596" s="16" t="s">
        <v>22</v>
      </c>
      <c r="N596" s="39" t="s">
        <v>418</v>
      </c>
      <c r="Q596" s="19"/>
      <c r="T596" s="16"/>
    </row>
    <row r="597" spans="1:20" s="12" customFormat="1">
      <c r="A597" s="15" t="s">
        <v>117</v>
      </c>
      <c r="B597" s="75" t="s">
        <v>780</v>
      </c>
      <c r="C597" s="39" t="s">
        <v>17</v>
      </c>
      <c r="D597" s="39">
        <v>0</v>
      </c>
      <c r="E597" s="39">
        <v>0</v>
      </c>
      <c r="F597" s="39">
        <v>0</v>
      </c>
      <c r="G597" s="39">
        <v>0</v>
      </c>
      <c r="H597" s="40">
        <f>SUM(Tabla1325[[#This Row],[PRIMER TRIMESTRE]:[CUARTO TRIMESTRE]])</f>
        <v>0</v>
      </c>
      <c r="I597" s="17">
        <v>2500000</v>
      </c>
      <c r="J597" s="17">
        <f>+H597*I597</f>
        <v>0</v>
      </c>
      <c r="K597" s="17"/>
      <c r="L597" s="16" t="s">
        <v>18</v>
      </c>
      <c r="M597" s="16" t="s">
        <v>22</v>
      </c>
      <c r="N597" s="39" t="s">
        <v>418</v>
      </c>
      <c r="Q597" s="19"/>
      <c r="T597" s="16"/>
    </row>
    <row r="598" spans="1:20" s="12" customFormat="1">
      <c r="A598" s="15" t="s">
        <v>117</v>
      </c>
      <c r="B598" s="75" t="s">
        <v>889</v>
      </c>
      <c r="C598" s="39" t="s">
        <v>17</v>
      </c>
      <c r="D598" s="39">
        <v>0</v>
      </c>
      <c r="E598" s="39">
        <v>0</v>
      </c>
      <c r="F598" s="39">
        <v>0</v>
      </c>
      <c r="G598" s="39">
        <v>0</v>
      </c>
      <c r="H598" s="40">
        <f>SUM(Tabla1325[[#This Row],[PRIMER TRIMESTRE]:[CUARTO TRIMESTRE]])</f>
        <v>0</v>
      </c>
      <c r="I598" s="17">
        <v>42500</v>
      </c>
      <c r="J598" s="17">
        <f>+H598*I598</f>
        <v>0</v>
      </c>
      <c r="K598" s="17"/>
      <c r="L598" s="16" t="s">
        <v>27</v>
      </c>
      <c r="M598" s="16" t="s">
        <v>22</v>
      </c>
      <c r="N598" s="39" t="s">
        <v>418</v>
      </c>
      <c r="Q598" s="19"/>
      <c r="T598" s="16"/>
    </row>
    <row r="599" spans="1:20" s="12" customFormat="1" ht="25.5">
      <c r="A599" s="15" t="s">
        <v>117</v>
      </c>
      <c r="B599" s="75" t="s">
        <v>890</v>
      </c>
      <c r="C599" s="39" t="s">
        <v>17</v>
      </c>
      <c r="D599" s="39">
        <v>0</v>
      </c>
      <c r="E599" s="39">
        <v>0</v>
      </c>
      <c r="F599" s="39">
        <v>0</v>
      </c>
      <c r="G599" s="39">
        <v>0</v>
      </c>
      <c r="H599" s="40">
        <f>SUM(Tabla1325[[#This Row],[PRIMER TRIMESTRE]:[CUARTO TRIMESTRE]])</f>
        <v>0</v>
      </c>
      <c r="I599" s="17">
        <v>5350</v>
      </c>
      <c r="J599" s="17">
        <f>+Tabla1325[[#This Row],[CANTIDAD TOTAL]]*Tabla1325[[#This Row],[PRECIO UNITARIO ESTIMADO]]</f>
        <v>0</v>
      </c>
      <c r="K599" s="17"/>
      <c r="L599" s="16" t="s">
        <v>27</v>
      </c>
      <c r="M599" s="16" t="s">
        <v>22</v>
      </c>
      <c r="N599" s="39" t="s">
        <v>418</v>
      </c>
    </row>
    <row r="600" spans="1:20" s="12" customFormat="1">
      <c r="A600" s="15" t="s">
        <v>117</v>
      </c>
      <c r="B600" s="106" t="s">
        <v>2637</v>
      </c>
      <c r="C600" s="39" t="s">
        <v>17</v>
      </c>
      <c r="D600" s="39">
        <v>2</v>
      </c>
      <c r="E600" s="39">
        <v>0</v>
      </c>
      <c r="F600" s="39">
        <v>0</v>
      </c>
      <c r="G600" s="39">
        <v>0</v>
      </c>
      <c r="H600" s="40">
        <f>SUM(Tabla1325[[#This Row],[PRIMER TRIMESTRE]:[CUARTO TRIMESTRE]])</f>
        <v>2</v>
      </c>
      <c r="I600" s="17">
        <v>250000</v>
      </c>
      <c r="J600" s="17">
        <f>+H600*I600</f>
        <v>500000</v>
      </c>
      <c r="K600" s="17">
        <f>SUM(J600:J600)</f>
        <v>500000</v>
      </c>
      <c r="L600" s="16"/>
      <c r="M600" s="16"/>
      <c r="N600" s="39"/>
    </row>
    <row r="601" spans="1:20" s="12" customFormat="1">
      <c r="A601" s="15" t="s">
        <v>117</v>
      </c>
      <c r="B601" s="106" t="s">
        <v>2638</v>
      </c>
      <c r="C601" s="39" t="s">
        <v>17</v>
      </c>
      <c r="D601" s="40">
        <v>10</v>
      </c>
      <c r="E601" s="40">
        <v>0</v>
      </c>
      <c r="F601" s="40">
        <v>0</v>
      </c>
      <c r="G601" s="40">
        <v>0</v>
      </c>
      <c r="H601" s="40">
        <f>SUM(Tabla1325[[#This Row],[PRIMER TRIMESTRE]:[CUARTO TRIMESTRE]])</f>
        <v>10</v>
      </c>
      <c r="I601" s="17">
        <v>322000</v>
      </c>
      <c r="J601" s="17">
        <f>+H601*I601</f>
        <v>3220000</v>
      </c>
      <c r="K601" s="17">
        <f>SUM(J601:J601)</f>
        <v>3220000</v>
      </c>
      <c r="L601" s="16"/>
      <c r="M601" s="16"/>
      <c r="N601" s="39"/>
    </row>
    <row r="602" spans="1:20" s="26" customFormat="1">
      <c r="A602" s="22" t="s">
        <v>117</v>
      </c>
      <c r="B602" s="76" t="s">
        <v>891</v>
      </c>
      <c r="C602" s="42"/>
      <c r="D602" s="42"/>
      <c r="E602" s="42"/>
      <c r="F602" s="42"/>
      <c r="G602" s="42"/>
      <c r="H602" s="43"/>
      <c r="I602" s="24"/>
      <c r="J602" s="24"/>
      <c r="K602" s="25">
        <f>SUM(J595:J600)</f>
        <v>500000</v>
      </c>
      <c r="L602" s="23"/>
      <c r="M602" s="23"/>
      <c r="N602" s="42"/>
      <c r="Q602" s="27"/>
      <c r="T602" s="23"/>
    </row>
    <row r="603" spans="1:20" s="169" customFormat="1">
      <c r="A603" s="407" t="s">
        <v>115</v>
      </c>
      <c r="B603" s="106" t="s">
        <v>239</v>
      </c>
      <c r="C603" s="70" t="s">
        <v>208</v>
      </c>
      <c r="D603" s="70">
        <v>10</v>
      </c>
      <c r="E603" s="70">
        <v>10</v>
      </c>
      <c r="F603" s="70">
        <v>10</v>
      </c>
      <c r="G603" s="70">
        <v>10</v>
      </c>
      <c r="H603" s="406">
        <f>SUM(Tabla1325[[#This Row],[PRIMER TRIMESTRE]:[CUARTO TRIMESTRE]])</f>
        <v>40</v>
      </c>
      <c r="I603" s="72">
        <v>232</v>
      </c>
      <c r="J603" s="72">
        <f>+Tabla1325[[#This Row],[CANTIDAD TOTAL]]*Tabla1325[[#This Row],[PRECIO UNITARIO ESTIMADO]]</f>
        <v>9280</v>
      </c>
      <c r="K603" s="72"/>
      <c r="L603" s="73" t="s">
        <v>15</v>
      </c>
      <c r="M603" s="73" t="s">
        <v>22</v>
      </c>
      <c r="N603" s="70" t="s">
        <v>418</v>
      </c>
    </row>
    <row r="604" spans="1:20" s="169" customFormat="1">
      <c r="A604" s="407" t="s">
        <v>115</v>
      </c>
      <c r="B604" s="106" t="s">
        <v>240</v>
      </c>
      <c r="C604" s="70" t="s">
        <v>208</v>
      </c>
      <c r="D604" s="70">
        <v>341</v>
      </c>
      <c r="E604" s="70">
        <v>341</v>
      </c>
      <c r="F604" s="70">
        <v>341</v>
      </c>
      <c r="G604" s="70">
        <v>341</v>
      </c>
      <c r="H604" s="406">
        <f>SUM(Tabla1325[[#This Row],[PRIMER TRIMESTRE]:[CUARTO TRIMESTRE]])</f>
        <v>1364</v>
      </c>
      <c r="I604" s="72">
        <v>5341.57</v>
      </c>
      <c r="J604" s="72">
        <f>+Tabla1325[[#This Row],[CANTIDAD TOTAL]]*Tabla1325[[#This Row],[PRECIO UNITARIO ESTIMADO]]</f>
        <v>7285901.4799999995</v>
      </c>
      <c r="K604" s="72"/>
      <c r="L604" s="73" t="s">
        <v>15</v>
      </c>
      <c r="M604" s="73" t="s">
        <v>22</v>
      </c>
      <c r="N604" s="70" t="s">
        <v>418</v>
      </c>
    </row>
    <row r="605" spans="1:20" s="169" customFormat="1">
      <c r="A605" s="407" t="s">
        <v>115</v>
      </c>
      <c r="B605" s="106" t="s">
        <v>319</v>
      </c>
      <c r="C605" s="70" t="s">
        <v>17</v>
      </c>
      <c r="D605" s="70">
        <v>2</v>
      </c>
      <c r="E605" s="70">
        <v>2</v>
      </c>
      <c r="F605" s="70">
        <v>2</v>
      </c>
      <c r="G605" s="70">
        <v>2</v>
      </c>
      <c r="H605" s="406">
        <f>SUM(Tabla1325[[#This Row],[PRIMER TRIMESTRE]:[CUARTO TRIMESTRE]])</f>
        <v>8</v>
      </c>
      <c r="I605" s="72">
        <f>544724/8</f>
        <v>68090.5</v>
      </c>
      <c r="J605" s="72">
        <f>+Tabla1325[[#This Row],[CANTIDAD TOTAL]]*Tabla1325[[#This Row],[PRECIO UNITARIO ESTIMADO]]</f>
        <v>544724</v>
      </c>
      <c r="K605" s="72"/>
      <c r="L605" s="73" t="s">
        <v>15</v>
      </c>
      <c r="M605" s="73" t="s">
        <v>22</v>
      </c>
      <c r="N605" s="70" t="s">
        <v>418</v>
      </c>
    </row>
    <row r="606" spans="1:20" s="12" customFormat="1" ht="38.25">
      <c r="A606" s="15" t="s">
        <v>115</v>
      </c>
      <c r="B606" s="77" t="s">
        <v>892</v>
      </c>
      <c r="C606" s="39" t="s">
        <v>17</v>
      </c>
      <c r="D606" s="39">
        <v>0</v>
      </c>
      <c r="E606" s="39">
        <v>0</v>
      </c>
      <c r="F606" s="39">
        <v>0</v>
      </c>
      <c r="G606" s="39">
        <v>0</v>
      </c>
      <c r="H606" s="46">
        <f>SUM(Tabla1325[[#This Row],[PRIMER TRIMESTRE]:[CUARTO TRIMESTRE]])</f>
        <v>0</v>
      </c>
      <c r="I606" s="17">
        <v>3519</v>
      </c>
      <c r="J606" s="17">
        <f>+Tabla1325[[#This Row],[CANTIDAD TOTAL]]*Tabla1325[[#This Row],[PRECIO UNITARIO ESTIMADO]]</f>
        <v>0</v>
      </c>
      <c r="K606" s="17"/>
      <c r="L606" s="16" t="s">
        <v>27</v>
      </c>
      <c r="M606" s="16" t="s">
        <v>22</v>
      </c>
      <c r="N606" s="39" t="s">
        <v>418</v>
      </c>
      <c r="Q606" s="19"/>
      <c r="T606" s="16"/>
    </row>
    <row r="607" spans="1:20" s="12" customFormat="1" ht="25.5">
      <c r="A607" s="15" t="s">
        <v>115</v>
      </c>
      <c r="B607" s="77" t="s">
        <v>893</v>
      </c>
      <c r="C607" s="39" t="s">
        <v>17</v>
      </c>
      <c r="D607" s="39">
        <v>0</v>
      </c>
      <c r="E607" s="39">
        <v>0</v>
      </c>
      <c r="F607" s="39">
        <v>0</v>
      </c>
      <c r="G607" s="39">
        <v>0</v>
      </c>
      <c r="H607" s="46">
        <f>SUM(Tabla1325[[#This Row],[PRIMER TRIMESTRE]:[CUARTO TRIMESTRE]])</f>
        <v>0</v>
      </c>
      <c r="I607" s="17">
        <v>1564</v>
      </c>
      <c r="J607" s="17">
        <f>+Tabla1325[[#This Row],[CANTIDAD TOTAL]]*Tabla1325[[#This Row],[PRECIO UNITARIO ESTIMADO]]</f>
        <v>0</v>
      </c>
      <c r="K607" s="17"/>
      <c r="L607" s="16" t="s">
        <v>27</v>
      </c>
      <c r="M607" s="16" t="s">
        <v>22</v>
      </c>
      <c r="N607" s="39" t="s">
        <v>418</v>
      </c>
    </row>
    <row r="608" spans="1:20" s="12" customFormat="1" ht="25.5">
      <c r="A608" s="15" t="s">
        <v>115</v>
      </c>
      <c r="B608" s="106" t="s">
        <v>894</v>
      </c>
      <c r="C608" s="39" t="s">
        <v>17</v>
      </c>
      <c r="D608" s="39">
        <v>18</v>
      </c>
      <c r="E608" s="39">
        <v>18</v>
      </c>
      <c r="F608" s="39">
        <v>18</v>
      </c>
      <c r="G608" s="39">
        <v>18</v>
      </c>
      <c r="H608" s="46">
        <f>SUM(Tabla1325[[#This Row],[PRIMER TRIMESTRE]:[CUARTO TRIMESTRE]])</f>
        <v>72</v>
      </c>
      <c r="I608" s="17">
        <v>586.5</v>
      </c>
      <c r="J608" s="17">
        <f>+Tabla1325[[#This Row],[CANTIDAD TOTAL]]*Tabla1325[[#This Row],[PRECIO UNITARIO ESTIMADO]]</f>
        <v>42228</v>
      </c>
      <c r="K608" s="17"/>
      <c r="L608" s="16" t="s">
        <v>27</v>
      </c>
      <c r="M608" s="16" t="s">
        <v>22</v>
      </c>
      <c r="N608" s="39" t="s">
        <v>418</v>
      </c>
    </row>
    <row r="609" spans="1:14" s="12" customFormat="1" ht="25.5">
      <c r="A609" s="15" t="s">
        <v>115</v>
      </c>
      <c r="B609" s="106" t="s">
        <v>895</v>
      </c>
      <c r="C609" s="39" t="s">
        <v>17</v>
      </c>
      <c r="D609" s="39">
        <v>10</v>
      </c>
      <c r="E609" s="39">
        <v>10</v>
      </c>
      <c r="F609" s="39">
        <v>10</v>
      </c>
      <c r="G609" s="39">
        <v>10</v>
      </c>
      <c r="H609" s="46">
        <f>SUM(Tabla1325[[#This Row],[PRIMER TRIMESTRE]:[CUARTO TRIMESTRE]])</f>
        <v>40</v>
      </c>
      <c r="I609" s="17">
        <v>586.5</v>
      </c>
      <c r="J609" s="17">
        <f>+Tabla1325[[#This Row],[CANTIDAD TOTAL]]*Tabla1325[[#This Row],[PRECIO UNITARIO ESTIMADO]]</f>
        <v>23460</v>
      </c>
      <c r="K609" s="17"/>
      <c r="L609" s="16" t="s">
        <v>27</v>
      </c>
      <c r="M609" s="16" t="s">
        <v>22</v>
      </c>
      <c r="N609" s="39" t="s">
        <v>418</v>
      </c>
    </row>
    <row r="610" spans="1:14" s="12" customFormat="1" ht="25.5">
      <c r="A610" s="15" t="s">
        <v>115</v>
      </c>
      <c r="B610" s="106" t="str">
        <f ca="1">+UPPER(Tabla1325[[#This Row],[DESCRIPCIÓN DE LA COMPRA O CONTRATACIÓN]])</f>
        <v>DISCOS EXTERNOS PARA EL STOCK DE EQUIPOS Y SUPLIR LAS NECESIDADES  DE LAS DIFERENTES DEPENDENCIAS</v>
      </c>
      <c r="C610" s="39" t="s">
        <v>17</v>
      </c>
      <c r="D610" s="39">
        <v>2</v>
      </c>
      <c r="E610" s="39">
        <v>0</v>
      </c>
      <c r="F610" s="39">
        <v>0</v>
      </c>
      <c r="G610" s="39">
        <v>0</v>
      </c>
      <c r="H610" s="46">
        <f>SUM(Tabla1325[[#This Row],[PRIMER TRIMESTRE]:[CUARTO TRIMESTRE]])</f>
        <v>2</v>
      </c>
      <c r="I610" s="17">
        <v>5083</v>
      </c>
      <c r="J610" s="17">
        <f>+Tabla1325[[#This Row],[CANTIDAD TOTAL]]*Tabla1325[[#This Row],[PRECIO UNITARIO ESTIMADO]]</f>
        <v>10166</v>
      </c>
      <c r="K610" s="17"/>
      <c r="L610" s="16" t="s">
        <v>27</v>
      </c>
      <c r="M610" s="16" t="s">
        <v>22</v>
      </c>
      <c r="N610" s="39" t="s">
        <v>418</v>
      </c>
    </row>
    <row r="611" spans="1:14" s="12" customFormat="1" ht="38.25">
      <c r="A611" s="15" t="s">
        <v>115</v>
      </c>
      <c r="B611" s="106" t="str">
        <f ca="1">+UPPER(Tabla1325[[#This Row],[DESCRIPCIÓN DE LA COMPRA O CONTRATACIÓN]])</f>
        <v>ADQUISICIÓN DE10 POWER SUPPLAY PARA EL STOCK DE EQUIPOS Y SUPLIR LAS NECESIDADES  DE LAS DIFERENTES DEPENDENCIAS</v>
      </c>
      <c r="C611" s="39" t="s">
        <v>17</v>
      </c>
      <c r="D611" s="39">
        <v>10</v>
      </c>
      <c r="E611" s="39">
        <v>0</v>
      </c>
      <c r="F611" s="39">
        <v>0</v>
      </c>
      <c r="G611" s="39">
        <v>0</v>
      </c>
      <c r="H611" s="46">
        <f>SUM(Tabla1325[[#This Row],[PRIMER TRIMESTRE]:[CUARTO TRIMESTRE]])</f>
        <v>10</v>
      </c>
      <c r="I611" s="17">
        <v>1955</v>
      </c>
      <c r="J611" s="17">
        <f>+Tabla1325[[#This Row],[CANTIDAD TOTAL]]*Tabla1325[[#This Row],[PRECIO UNITARIO ESTIMADO]]</f>
        <v>19550</v>
      </c>
      <c r="K611" s="17"/>
      <c r="L611" s="16" t="s">
        <v>27</v>
      </c>
      <c r="M611" s="16" t="s">
        <v>22</v>
      </c>
      <c r="N611" s="39" t="s">
        <v>418</v>
      </c>
    </row>
    <row r="612" spans="1:14" s="12" customFormat="1" ht="38.25">
      <c r="A612" s="15" t="s">
        <v>115</v>
      </c>
      <c r="B612" s="77" t="s">
        <v>901</v>
      </c>
      <c r="C612" s="39" t="s">
        <v>17</v>
      </c>
      <c r="D612" s="39">
        <v>0</v>
      </c>
      <c r="E612" s="39">
        <v>0</v>
      </c>
      <c r="F612" s="39">
        <v>0</v>
      </c>
      <c r="G612" s="39">
        <v>0</v>
      </c>
      <c r="H612" s="46">
        <f>SUM(Tabla1325[[#This Row],[PRIMER TRIMESTRE]:[CUARTO TRIMESTRE]])</f>
        <v>0</v>
      </c>
      <c r="I612" s="17">
        <v>1368.5</v>
      </c>
      <c r="J612" s="17">
        <f>+Tabla1325[[#This Row],[CANTIDAD TOTAL]]*Tabla1325[[#This Row],[PRECIO UNITARIO ESTIMADO]]</f>
        <v>0</v>
      </c>
      <c r="K612" s="17"/>
      <c r="L612" s="16" t="s">
        <v>27</v>
      </c>
      <c r="M612" s="16" t="s">
        <v>22</v>
      </c>
      <c r="N612" s="39" t="s">
        <v>418</v>
      </c>
    </row>
    <row r="613" spans="1:14" s="12" customFormat="1" ht="38.25">
      <c r="A613" s="15" t="s">
        <v>115</v>
      </c>
      <c r="B613" s="77" t="s">
        <v>902</v>
      </c>
      <c r="C613" s="39" t="s">
        <v>17</v>
      </c>
      <c r="D613" s="39">
        <v>0</v>
      </c>
      <c r="E613" s="39">
        <v>0</v>
      </c>
      <c r="F613" s="39">
        <v>0</v>
      </c>
      <c r="G613" s="39">
        <v>0</v>
      </c>
      <c r="H613" s="46">
        <f>SUM(Tabla1325[[#This Row],[PRIMER TRIMESTRE]:[CUARTO TRIMESTRE]])</f>
        <v>0</v>
      </c>
      <c r="I613" s="17">
        <v>156.4</v>
      </c>
      <c r="J613" s="17">
        <f>+Tabla1325[[#This Row],[CANTIDAD TOTAL]]*Tabla1325[[#This Row],[PRECIO UNITARIO ESTIMADO]]</f>
        <v>0</v>
      </c>
      <c r="K613" s="17"/>
      <c r="L613" s="16" t="s">
        <v>27</v>
      </c>
      <c r="M613" s="16" t="s">
        <v>22</v>
      </c>
      <c r="N613" s="39" t="s">
        <v>418</v>
      </c>
    </row>
    <row r="614" spans="1:14" s="12" customFormat="1" ht="44.25" customHeight="1">
      <c r="A614" s="15" t="s">
        <v>115</v>
      </c>
      <c r="B614" s="106" t="s">
        <v>896</v>
      </c>
      <c r="C614" s="39" t="s">
        <v>17</v>
      </c>
      <c r="D614" s="39">
        <v>54</v>
      </c>
      <c r="E614" s="39">
        <v>54</v>
      </c>
      <c r="F614" s="39">
        <v>54</v>
      </c>
      <c r="G614" s="39">
        <v>54</v>
      </c>
      <c r="H614" s="46">
        <f>SUM(Tabla1325[[#This Row],[PRIMER TRIMESTRE]:[CUARTO TRIMESTRE]])</f>
        <v>216</v>
      </c>
      <c r="I614" s="17">
        <v>50000</v>
      </c>
      <c r="J614" s="17">
        <f>+Tabla1325[[#This Row],[CANTIDAD TOTAL]]*Tabla1325[[#This Row],[PRECIO UNITARIO ESTIMADO]]</f>
        <v>10800000</v>
      </c>
      <c r="K614" s="17"/>
      <c r="L614" s="16" t="s">
        <v>27</v>
      </c>
      <c r="M614" s="16" t="s">
        <v>22</v>
      </c>
      <c r="N614" s="39" t="s">
        <v>418</v>
      </c>
    </row>
    <row r="615" spans="1:14" s="12" customFormat="1">
      <c r="A615" s="15" t="s">
        <v>115</v>
      </c>
      <c r="B615" s="75" t="s">
        <v>897</v>
      </c>
      <c r="C615" s="39" t="s">
        <v>17</v>
      </c>
      <c r="D615" s="39">
        <v>0</v>
      </c>
      <c r="E615" s="39">
        <v>0</v>
      </c>
      <c r="F615" s="39">
        <v>0</v>
      </c>
      <c r="G615" s="39">
        <v>0</v>
      </c>
      <c r="H615" s="46">
        <f>SUM(Tabla1325[[#This Row],[PRIMER TRIMESTRE]:[CUARTO TRIMESTRE]])</f>
        <v>0</v>
      </c>
      <c r="I615" s="17">
        <v>85000</v>
      </c>
      <c r="J615" s="17">
        <f>+Tabla1325[[#This Row],[CANTIDAD TOTAL]]*Tabla1325[[#This Row],[PRECIO UNITARIO ESTIMADO]]</f>
        <v>0</v>
      </c>
      <c r="K615" s="17"/>
      <c r="L615" s="16" t="s">
        <v>27</v>
      </c>
      <c r="M615" s="16" t="s">
        <v>22</v>
      </c>
      <c r="N615" s="39" t="s">
        <v>418</v>
      </c>
    </row>
    <row r="616" spans="1:14" s="12" customFormat="1" ht="25.5">
      <c r="A616" s="15" t="s">
        <v>115</v>
      </c>
      <c r="B616" s="106" t="s">
        <v>898</v>
      </c>
      <c r="C616" s="39" t="s">
        <v>17</v>
      </c>
      <c r="D616" s="39">
        <v>54</v>
      </c>
      <c r="E616" s="39">
        <v>54</v>
      </c>
      <c r="F616" s="39">
        <v>54</v>
      </c>
      <c r="G616" s="39">
        <v>54</v>
      </c>
      <c r="H616" s="46">
        <f>SUM(Tabla1325[[#This Row],[PRIMER TRIMESTRE]:[CUARTO TRIMESTRE]])</f>
        <v>216</v>
      </c>
      <c r="I616" s="17">
        <v>6000</v>
      </c>
      <c r="J616" s="17">
        <f>+Tabla1325[[#This Row],[CANTIDAD TOTAL]]*Tabla1325[[#This Row],[PRECIO UNITARIO ESTIMADO]]</f>
        <v>1296000</v>
      </c>
      <c r="K616" s="17"/>
      <c r="L616" s="16" t="s">
        <v>27</v>
      </c>
      <c r="M616" s="16" t="s">
        <v>22</v>
      </c>
      <c r="N616" s="39" t="s">
        <v>418</v>
      </c>
    </row>
    <row r="617" spans="1:14" s="12" customFormat="1">
      <c r="A617" s="15" t="s">
        <v>115</v>
      </c>
      <c r="B617" s="75" t="str">
        <f ca="1">+UPPER(Tabla1325[[#This Row],[DESCRIPCIÓN DE LA COMPRA O CONTRATACIÓN]])</f>
        <v xml:space="preserve">CABLE UTP </v>
      </c>
      <c r="C617" s="39" t="s">
        <v>208</v>
      </c>
      <c r="D617" s="39">
        <v>0</v>
      </c>
      <c r="E617" s="39">
        <v>0</v>
      </c>
      <c r="F617" s="39">
        <v>0</v>
      </c>
      <c r="G617" s="39">
        <v>0</v>
      </c>
      <c r="H617" s="46">
        <f>SUM(Tabla1325[[#This Row],[PRIMER TRIMESTRE]:[CUARTO TRIMESTRE]])</f>
        <v>0</v>
      </c>
      <c r="I617" s="17">
        <v>4000</v>
      </c>
      <c r="J617" s="17">
        <f>+Tabla1325[[#This Row],[CANTIDAD TOTAL]]*Tabla1325[[#This Row],[PRECIO UNITARIO ESTIMADO]]</f>
        <v>0</v>
      </c>
      <c r="K617" s="17"/>
      <c r="L617" s="16" t="s">
        <v>27</v>
      </c>
      <c r="M617" s="16" t="s">
        <v>22</v>
      </c>
      <c r="N617" s="39" t="s">
        <v>418</v>
      </c>
    </row>
    <row r="618" spans="1:14" s="12" customFormat="1">
      <c r="A618" s="15" t="s">
        <v>115</v>
      </c>
      <c r="B618" s="75" t="str">
        <f ca="1">+UPPER(Tabla1325[[#This Row],[DESCRIPCIÓN DE LA COMPRA O CONTRATACIÓN]])</f>
        <v>FACEPLATE</v>
      </c>
      <c r="C618" s="39" t="s">
        <v>17</v>
      </c>
      <c r="D618" s="39">
        <v>0</v>
      </c>
      <c r="E618" s="39">
        <v>0</v>
      </c>
      <c r="F618" s="39">
        <v>0</v>
      </c>
      <c r="G618" s="39">
        <v>0</v>
      </c>
      <c r="H618" s="46">
        <f>SUM(Tabla1325[[#This Row],[PRIMER TRIMESTRE]:[CUARTO TRIMESTRE]])</f>
        <v>0</v>
      </c>
      <c r="I618" s="17">
        <v>15</v>
      </c>
      <c r="J618" s="17">
        <f>+Tabla1325[[#This Row],[CANTIDAD TOTAL]]*Tabla1325[[#This Row],[PRECIO UNITARIO ESTIMADO]]</f>
        <v>0</v>
      </c>
      <c r="K618" s="17"/>
      <c r="L618" s="16" t="s">
        <v>27</v>
      </c>
      <c r="M618" s="16" t="s">
        <v>22</v>
      </c>
      <c r="N618" s="39" t="s">
        <v>418</v>
      </c>
    </row>
    <row r="619" spans="1:14" s="12" customFormat="1">
      <c r="A619" s="15" t="s">
        <v>115</v>
      </c>
      <c r="B619" s="75" t="str">
        <f ca="1">+UPPER(Tabla1325[[#This Row],[DESCRIPCIÓN DE LA COMPRA O CONTRATACIÓN]])</f>
        <v>CONECTORES JACK</v>
      </c>
      <c r="C619" s="39" t="s">
        <v>17</v>
      </c>
      <c r="D619" s="39">
        <v>0</v>
      </c>
      <c r="E619" s="39">
        <v>0</v>
      </c>
      <c r="F619" s="39">
        <v>0</v>
      </c>
      <c r="G619" s="39">
        <v>0</v>
      </c>
      <c r="H619" s="46">
        <f>SUM(Tabla1325[[#This Row],[PRIMER TRIMESTRE]:[CUARTO TRIMESTRE]])</f>
        <v>0</v>
      </c>
      <c r="I619" s="17">
        <v>125</v>
      </c>
      <c r="J619" s="17">
        <f>+Tabla1325[[#This Row],[CANTIDAD TOTAL]]*Tabla1325[[#This Row],[PRECIO UNITARIO ESTIMADO]]</f>
        <v>0</v>
      </c>
      <c r="K619" s="17"/>
      <c r="L619" s="16" t="s">
        <v>27</v>
      </c>
      <c r="M619" s="16" t="s">
        <v>22</v>
      </c>
      <c r="N619" s="39" t="s">
        <v>418</v>
      </c>
    </row>
    <row r="620" spans="1:14" s="12" customFormat="1">
      <c r="A620" s="15" t="s">
        <v>115</v>
      </c>
      <c r="B620" s="75" t="str">
        <f ca="1">+UPPER(Tabla1325[[#This Row],[DESCRIPCIÓN DE LA COMPRA O CONTRATACIÓN]])</f>
        <v>CAJAS 2X4 PARA FACEPLATE</v>
      </c>
      <c r="C620" s="39" t="s">
        <v>208</v>
      </c>
      <c r="D620" s="39">
        <v>0</v>
      </c>
      <c r="E620" s="39">
        <v>0</v>
      </c>
      <c r="F620" s="39">
        <v>0</v>
      </c>
      <c r="G620" s="39">
        <v>0</v>
      </c>
      <c r="H620" s="46">
        <f>SUM(Tabla1325[[#This Row],[PRIMER TRIMESTRE]:[CUARTO TRIMESTRE]])</f>
        <v>0</v>
      </c>
      <c r="I620" s="17">
        <v>30</v>
      </c>
      <c r="J620" s="17">
        <f>+Tabla1325[[#This Row],[CANTIDAD TOTAL]]*Tabla1325[[#This Row],[PRECIO UNITARIO ESTIMADO]]</f>
        <v>0</v>
      </c>
      <c r="K620" s="17"/>
      <c r="L620" s="16" t="s">
        <v>27</v>
      </c>
      <c r="M620" s="16" t="s">
        <v>22</v>
      </c>
      <c r="N620" s="39" t="s">
        <v>418</v>
      </c>
    </row>
    <row r="621" spans="1:14" s="12" customFormat="1">
      <c r="A621" s="15" t="s">
        <v>115</v>
      </c>
      <c r="B621" s="75" t="str">
        <f ca="1">+UPPER(Tabla1325[[#This Row],[DESCRIPCIÓN DE LA COMPRA O CONTRATACIÓN]])</f>
        <v>PATCHCORD DE 1 PIE</v>
      </c>
      <c r="C621" s="39" t="s">
        <v>17</v>
      </c>
      <c r="D621" s="39">
        <v>0</v>
      </c>
      <c r="E621" s="39">
        <v>0</v>
      </c>
      <c r="F621" s="39">
        <v>0</v>
      </c>
      <c r="G621" s="39">
        <v>0</v>
      </c>
      <c r="H621" s="46">
        <f>SUM(Tabla1325[[#This Row],[PRIMER TRIMESTRE]:[CUARTO TRIMESTRE]])</f>
        <v>0</v>
      </c>
      <c r="I621" s="17">
        <v>15</v>
      </c>
      <c r="J621" s="17">
        <f>+Tabla1325[[#This Row],[CANTIDAD TOTAL]]*Tabla1325[[#This Row],[PRECIO UNITARIO ESTIMADO]]</f>
        <v>0</v>
      </c>
      <c r="K621" s="17"/>
      <c r="L621" s="16" t="s">
        <v>27</v>
      </c>
      <c r="M621" s="16" t="s">
        <v>22</v>
      </c>
      <c r="N621" s="39" t="s">
        <v>418</v>
      </c>
    </row>
    <row r="622" spans="1:14" s="12" customFormat="1">
      <c r="A622" s="15" t="s">
        <v>115</v>
      </c>
      <c r="B622" s="75" t="str">
        <f ca="1">+UPPER(Tabla1325[[#This Row],[DESCRIPCIÓN DE LA COMPRA O CONTRATACIÓN]])</f>
        <v>PATCHCORDS DE 3 PIE</v>
      </c>
      <c r="C622" s="39" t="s">
        <v>17</v>
      </c>
      <c r="D622" s="39">
        <v>0</v>
      </c>
      <c r="E622" s="39">
        <v>0</v>
      </c>
      <c r="F622" s="39">
        <v>0</v>
      </c>
      <c r="G622" s="39">
        <v>0</v>
      </c>
      <c r="H622" s="46">
        <f>SUM(Tabla1325[[#This Row],[PRIMER TRIMESTRE]:[CUARTO TRIMESTRE]])</f>
        <v>0</v>
      </c>
      <c r="I622" s="17">
        <v>35</v>
      </c>
      <c r="J622" s="17">
        <f>+Tabla1325[[#This Row],[CANTIDAD TOTAL]]*Tabla1325[[#This Row],[PRECIO UNITARIO ESTIMADO]]</f>
        <v>0</v>
      </c>
      <c r="K622" s="17"/>
      <c r="L622" s="16" t="s">
        <v>27</v>
      </c>
      <c r="M622" s="16" t="s">
        <v>22</v>
      </c>
      <c r="N622" s="39" t="s">
        <v>418</v>
      </c>
    </row>
    <row r="623" spans="1:14" s="12" customFormat="1">
      <c r="A623" s="15" t="s">
        <v>115</v>
      </c>
      <c r="B623" s="75" t="str">
        <f ca="1">+UPPER(Tabla1325[[#This Row],[DESCRIPCIÓN DE LA COMPRA O CONTRATACIÓN]])</f>
        <v>CINTAS PARA BACKUP</v>
      </c>
      <c r="C623" s="39" t="s">
        <v>17</v>
      </c>
      <c r="D623" s="39">
        <v>0</v>
      </c>
      <c r="E623" s="39">
        <v>0</v>
      </c>
      <c r="F623" s="39">
        <v>0</v>
      </c>
      <c r="G623" s="39">
        <v>0</v>
      </c>
      <c r="H623" s="46">
        <f>SUM(Tabla1325[[#This Row],[PRIMER TRIMESTRE]:[CUARTO TRIMESTRE]])</f>
        <v>0</v>
      </c>
      <c r="I623" s="17">
        <v>1500</v>
      </c>
      <c r="J623" s="17">
        <f>+Tabla1325[[#This Row],[CANTIDAD TOTAL]]*Tabla1325[[#This Row],[PRECIO UNITARIO ESTIMADO]]</f>
        <v>0</v>
      </c>
      <c r="K623" s="17"/>
      <c r="L623" s="16" t="s">
        <v>27</v>
      </c>
      <c r="M623" s="16" t="s">
        <v>22</v>
      </c>
      <c r="N623" s="39" t="s">
        <v>418</v>
      </c>
    </row>
    <row r="624" spans="1:14" s="12" customFormat="1">
      <c r="A624" s="15" t="s">
        <v>115</v>
      </c>
      <c r="B624" s="75" t="str">
        <f ca="1">+UPPER(Tabla1325[[#This Row],[DESCRIPCIÓN DE LA COMPRA O CONTRATACIÓN]])</f>
        <v>SOFTWARE DE MONITOREO DE LA RED LAN/WAN</v>
      </c>
      <c r="C624" s="39" t="s">
        <v>17</v>
      </c>
      <c r="D624" s="39">
        <v>0</v>
      </c>
      <c r="E624" s="39">
        <v>0</v>
      </c>
      <c r="F624" s="39">
        <v>0</v>
      </c>
      <c r="G624" s="39">
        <v>0</v>
      </c>
      <c r="H624" s="46">
        <f>SUM(Tabla1325[[#This Row],[PRIMER TRIMESTRE]:[CUARTO TRIMESTRE]])</f>
        <v>0</v>
      </c>
      <c r="I624" s="17">
        <v>1230000</v>
      </c>
      <c r="J624" s="17">
        <f>+Tabla1325[[#This Row],[CANTIDAD TOTAL]]*Tabla1325[[#This Row],[PRECIO UNITARIO ESTIMADO]]</f>
        <v>0</v>
      </c>
      <c r="K624" s="17"/>
      <c r="L624" s="16" t="s">
        <v>27</v>
      </c>
      <c r="M624" s="16" t="s">
        <v>22</v>
      </c>
      <c r="N624" s="39" t="s">
        <v>418</v>
      </c>
    </row>
    <row r="625" spans="1:20" s="12" customFormat="1" ht="31.5">
      <c r="A625" s="15" t="s">
        <v>115</v>
      </c>
      <c r="B625" s="75" t="str">
        <f ca="1">+UPPER(Tabla1325[[#This Row],[DESCRIPCIÓN DE LA COMPRA O CONTRATACIÓN]])</f>
        <v>DISCOS DUROS HP 1TB PARA AUMENTAR LA CAPACIDAD DE ALMACENAMIENTO.</v>
      </c>
      <c r="C625" s="39" t="s">
        <v>17</v>
      </c>
      <c r="D625" s="39">
        <v>0</v>
      </c>
      <c r="E625" s="39">
        <v>0</v>
      </c>
      <c r="F625" s="39">
        <v>0</v>
      </c>
      <c r="G625" s="39">
        <v>0</v>
      </c>
      <c r="H625" s="46">
        <f>SUM(Tabla1325[[#This Row],[PRIMER TRIMESTRE]:[CUARTO TRIMESTRE]])</f>
        <v>0</v>
      </c>
      <c r="I625" s="72">
        <v>33800</v>
      </c>
      <c r="J625" s="17">
        <f>+Tabla1325[[#This Row],[CANTIDAD TOTAL]]*Tabla1325[[#This Row],[PRECIO UNITARIO ESTIMADO]]</f>
        <v>0</v>
      </c>
      <c r="K625" s="17"/>
      <c r="L625" s="16" t="s">
        <v>27</v>
      </c>
      <c r="M625" s="16" t="s">
        <v>19</v>
      </c>
      <c r="N625" s="39" t="s">
        <v>418</v>
      </c>
    </row>
    <row r="626" spans="1:20" s="12" customFormat="1">
      <c r="A626" s="15" t="s">
        <v>115</v>
      </c>
      <c r="B626" s="75" t="s">
        <v>899</v>
      </c>
      <c r="C626" s="39" t="s">
        <v>17</v>
      </c>
      <c r="D626" s="39">
        <v>0</v>
      </c>
      <c r="E626" s="39">
        <v>0</v>
      </c>
      <c r="F626" s="39">
        <v>0</v>
      </c>
      <c r="G626" s="39">
        <v>0</v>
      </c>
      <c r="H626" s="46">
        <f>SUM(Tabla1325[[#This Row],[PRIMER TRIMESTRE]:[CUARTO TRIMESTRE]])</f>
        <v>0</v>
      </c>
      <c r="I626" s="17">
        <v>945000</v>
      </c>
      <c r="J626" s="17">
        <f>+Tabla1325[[#This Row],[CANTIDAD TOTAL]]*Tabla1325[[#This Row],[PRECIO UNITARIO ESTIMADO]]</f>
        <v>0</v>
      </c>
      <c r="K626" s="17"/>
      <c r="L626" s="16" t="s">
        <v>27</v>
      </c>
      <c r="M626" s="16" t="s">
        <v>22</v>
      </c>
      <c r="N626" s="39" t="s">
        <v>418</v>
      </c>
    </row>
    <row r="627" spans="1:20" s="12" customFormat="1">
      <c r="A627" s="15" t="s">
        <v>115</v>
      </c>
      <c r="B627" s="75" t="s">
        <v>900</v>
      </c>
      <c r="C627" s="39" t="s">
        <v>17</v>
      </c>
      <c r="D627" s="39">
        <v>0</v>
      </c>
      <c r="E627" s="39">
        <v>0</v>
      </c>
      <c r="F627" s="39">
        <v>0</v>
      </c>
      <c r="G627" s="39">
        <v>0</v>
      </c>
      <c r="H627" s="46">
        <f>SUM(Tabla1325[[#This Row],[PRIMER TRIMESTRE]:[CUARTO TRIMESTRE]])</f>
        <v>0</v>
      </c>
      <c r="I627" s="17">
        <v>1115000</v>
      </c>
      <c r="J627" s="17">
        <f>+Tabla1325[[#This Row],[CANTIDAD TOTAL]]*Tabla1325[[#This Row],[PRECIO UNITARIO ESTIMADO]]</f>
        <v>0</v>
      </c>
      <c r="K627" s="17"/>
      <c r="L627" s="16" t="s">
        <v>27</v>
      </c>
      <c r="M627" s="16" t="s">
        <v>22</v>
      </c>
      <c r="N627" s="39" t="s">
        <v>418</v>
      </c>
    </row>
    <row r="628" spans="1:20" s="12" customFormat="1">
      <c r="A628" s="15" t="s">
        <v>115</v>
      </c>
      <c r="B628" s="75" t="s">
        <v>782</v>
      </c>
      <c r="C628" s="39" t="s">
        <v>17</v>
      </c>
      <c r="D628" s="39">
        <v>0</v>
      </c>
      <c r="E628" s="39">
        <v>0</v>
      </c>
      <c r="F628" s="39">
        <v>0</v>
      </c>
      <c r="G628" s="39">
        <v>0</v>
      </c>
      <c r="H628" s="46">
        <f>SUM(Tabla1325[[#This Row],[PRIMER TRIMESTRE]:[CUARTO TRIMESTRE]])</f>
        <v>0</v>
      </c>
      <c r="I628" s="17">
        <v>5000</v>
      </c>
      <c r="J628" s="17">
        <f>+Tabla1325[[#This Row],[CANTIDAD TOTAL]]*Tabla1325[[#This Row],[PRECIO UNITARIO ESTIMADO]]</f>
        <v>0</v>
      </c>
      <c r="K628" s="17"/>
      <c r="L628" s="16" t="s">
        <v>27</v>
      </c>
      <c r="M628" s="16" t="s">
        <v>22</v>
      </c>
      <c r="N628" s="39" t="s">
        <v>418</v>
      </c>
    </row>
    <row r="629" spans="1:20" s="12" customFormat="1" ht="25.5">
      <c r="A629" s="15" t="s">
        <v>115</v>
      </c>
      <c r="B629" s="75" t="s">
        <v>783</v>
      </c>
      <c r="C629" s="39" t="s">
        <v>17</v>
      </c>
      <c r="D629" s="39">
        <v>0</v>
      </c>
      <c r="E629" s="39">
        <v>0</v>
      </c>
      <c r="F629" s="39">
        <v>0</v>
      </c>
      <c r="G629" s="39">
        <v>0</v>
      </c>
      <c r="H629" s="46">
        <f>SUM(Tabla1325[[#This Row],[PRIMER TRIMESTRE]:[CUARTO TRIMESTRE]])</f>
        <v>0</v>
      </c>
      <c r="I629" s="17">
        <v>62000</v>
      </c>
      <c r="J629" s="17">
        <f>+Tabla1325[[#This Row],[CANTIDAD TOTAL]]*Tabla1325[[#This Row],[PRECIO UNITARIO ESTIMADO]]</f>
        <v>0</v>
      </c>
      <c r="K629" s="17"/>
      <c r="L629" s="16" t="s">
        <v>27</v>
      </c>
      <c r="M629" s="16" t="s">
        <v>22</v>
      </c>
      <c r="N629" s="39" t="s">
        <v>418</v>
      </c>
    </row>
    <row r="630" spans="1:20" s="26" customFormat="1">
      <c r="A630" s="22" t="s">
        <v>115</v>
      </c>
      <c r="B630" s="76"/>
      <c r="C630" s="42"/>
      <c r="D630" s="42"/>
      <c r="E630" s="42"/>
      <c r="F630" s="42"/>
      <c r="G630" s="42"/>
      <c r="H630" s="43"/>
      <c r="I630" s="24"/>
      <c r="J630" s="24"/>
      <c r="K630" s="25">
        <f>SUM(J603:J629)</f>
        <v>20031309.48</v>
      </c>
      <c r="L630" s="23"/>
      <c r="M630" s="23"/>
      <c r="N630" s="42"/>
      <c r="Q630" s="27"/>
      <c r="T630" s="23"/>
    </row>
    <row r="631" spans="1:20" s="12" customFormat="1">
      <c r="A631" s="15" t="s">
        <v>120</v>
      </c>
      <c r="B631" s="106" t="s">
        <v>392</v>
      </c>
      <c r="C631" s="39" t="s">
        <v>208</v>
      </c>
      <c r="D631" s="39">
        <v>190</v>
      </c>
      <c r="E631" s="39">
        <v>190</v>
      </c>
      <c r="F631" s="39">
        <v>190</v>
      </c>
      <c r="G631" s="39">
        <v>190</v>
      </c>
      <c r="H631" s="46">
        <f>SUM(Tabla1325[[#This Row],[PRIMER TRIMESTRE]:[CUARTO TRIMESTRE]])</f>
        <v>760</v>
      </c>
      <c r="I631" s="17">
        <v>48.12</v>
      </c>
      <c r="J631" s="17">
        <f>+H631*I631</f>
        <v>36571.199999999997</v>
      </c>
      <c r="K631" s="17"/>
      <c r="L631" s="16" t="s">
        <v>27</v>
      </c>
      <c r="M631" s="16" t="s">
        <v>22</v>
      </c>
      <c r="N631" s="39" t="s">
        <v>418</v>
      </c>
    </row>
    <row r="632" spans="1:20" s="12" customFormat="1">
      <c r="A632" s="15" t="s">
        <v>120</v>
      </c>
      <c r="B632" s="106" t="s">
        <v>393</v>
      </c>
      <c r="C632" s="39" t="s">
        <v>208</v>
      </c>
      <c r="D632" s="39">
        <v>140</v>
      </c>
      <c r="E632" s="39">
        <v>140</v>
      </c>
      <c r="F632" s="39">
        <v>140</v>
      </c>
      <c r="G632" s="39">
        <v>140</v>
      </c>
      <c r="H632" s="46">
        <f>SUM(Tabla1325[[#This Row],[PRIMER TRIMESTRE]:[CUARTO TRIMESTRE]])</f>
        <v>560</v>
      </c>
      <c r="I632" s="17">
        <v>41.28</v>
      </c>
      <c r="J632" s="17">
        <f>+H632*I632</f>
        <v>23116.799999999999</v>
      </c>
      <c r="K632" s="17"/>
      <c r="L632" s="16" t="s">
        <v>27</v>
      </c>
      <c r="M632" s="16" t="s">
        <v>22</v>
      </c>
      <c r="N632" s="39" t="s">
        <v>418</v>
      </c>
    </row>
    <row r="633" spans="1:20" s="12" customFormat="1">
      <c r="A633" s="15" t="s">
        <v>120</v>
      </c>
      <c r="B633" s="106" t="s">
        <v>743</v>
      </c>
      <c r="C633" s="39" t="s">
        <v>208</v>
      </c>
      <c r="D633" s="39">
        <v>140</v>
      </c>
      <c r="E633" s="39">
        <v>140</v>
      </c>
      <c r="F633" s="39">
        <v>140</v>
      </c>
      <c r="G633" s="39">
        <v>140</v>
      </c>
      <c r="H633" s="46">
        <f>SUM(Tabla1325[[#This Row],[PRIMER TRIMESTRE]:[CUARTO TRIMESTRE]])</f>
        <v>560</v>
      </c>
      <c r="I633" s="17">
        <f>4.42*12</f>
        <v>53.04</v>
      </c>
      <c r="J633" s="17">
        <f>+H633*I633</f>
        <v>29702.399999999998</v>
      </c>
      <c r="K633" s="17"/>
      <c r="L633" s="16" t="s">
        <v>27</v>
      </c>
      <c r="M633" s="16" t="s">
        <v>22</v>
      </c>
      <c r="N633" s="39" t="s">
        <v>418</v>
      </c>
    </row>
    <row r="634" spans="1:20" s="12" customFormat="1">
      <c r="A634" s="15" t="s">
        <v>120</v>
      </c>
      <c r="B634" s="106" t="s">
        <v>398</v>
      </c>
      <c r="C634" s="39" t="s">
        <v>208</v>
      </c>
      <c r="D634" s="39">
        <v>96</v>
      </c>
      <c r="E634" s="39">
        <v>96</v>
      </c>
      <c r="F634" s="39">
        <v>96</v>
      </c>
      <c r="G634" s="39">
        <v>96</v>
      </c>
      <c r="H634" s="46">
        <f>SUM(Tabla1325[[#This Row],[PRIMER TRIMESTRE]:[CUARTO TRIMESTRE]])</f>
        <v>384</v>
      </c>
      <c r="I634" s="17">
        <v>22.42</v>
      </c>
      <c r="J634" s="17">
        <f>+H634*I634</f>
        <v>8609.2800000000007</v>
      </c>
      <c r="K634" s="17"/>
      <c r="L634" s="16" t="s">
        <v>27</v>
      </c>
      <c r="M634" s="16" t="s">
        <v>22</v>
      </c>
      <c r="N634" s="39" t="s">
        <v>418</v>
      </c>
    </row>
    <row r="635" spans="1:20" s="12" customFormat="1">
      <c r="A635" s="15" t="s">
        <v>120</v>
      </c>
      <c r="B635" s="75" t="s">
        <v>262</v>
      </c>
      <c r="C635" s="39" t="s">
        <v>17</v>
      </c>
      <c r="D635" s="39">
        <v>0</v>
      </c>
      <c r="E635" s="39">
        <v>0</v>
      </c>
      <c r="F635" s="39">
        <v>0</v>
      </c>
      <c r="G635" s="39">
        <v>0</v>
      </c>
      <c r="H635" s="46">
        <f>SUM(Tabla1325[[#This Row],[PRIMER TRIMESTRE]:[CUARTO TRIMESTRE]])</f>
        <v>0</v>
      </c>
      <c r="I635" s="17">
        <v>88.16</v>
      </c>
      <c r="J635" s="17">
        <f>+Tabla1325[[#This Row],[CANTIDAD TOTAL]]*Tabla1325[[#This Row],[PRECIO UNITARIO ESTIMADO]]</f>
        <v>0</v>
      </c>
      <c r="K635" s="17"/>
      <c r="L635" s="16" t="s">
        <v>27</v>
      </c>
      <c r="M635" s="16" t="s">
        <v>22</v>
      </c>
      <c r="N635" s="39" t="s">
        <v>418</v>
      </c>
    </row>
    <row r="636" spans="1:20" s="12" customFormat="1">
      <c r="A636" s="15" t="s">
        <v>120</v>
      </c>
      <c r="B636" s="106" t="s">
        <v>748</v>
      </c>
      <c r="C636" s="39" t="s">
        <v>17</v>
      </c>
      <c r="D636" s="39">
        <v>102</v>
      </c>
      <c r="E636" s="39">
        <v>102</v>
      </c>
      <c r="F636" s="39">
        <v>102</v>
      </c>
      <c r="G636" s="39">
        <v>102</v>
      </c>
      <c r="H636" s="46">
        <f>SUM(Tabla1325[[#This Row],[PRIMER TRIMESTRE]:[CUARTO TRIMESTRE]])</f>
        <v>408</v>
      </c>
      <c r="I636" s="17">
        <v>463.74</v>
      </c>
      <c r="J636" s="17">
        <f>+H636*I636</f>
        <v>189205.92</v>
      </c>
      <c r="K636" s="17"/>
      <c r="L636" s="16" t="s">
        <v>27</v>
      </c>
      <c r="M636" s="16" t="s">
        <v>22</v>
      </c>
      <c r="N636" s="39" t="s">
        <v>418</v>
      </c>
    </row>
    <row r="637" spans="1:20" s="12" customFormat="1">
      <c r="A637" s="15" t="s">
        <v>120</v>
      </c>
      <c r="B637" s="106" t="s">
        <v>263</v>
      </c>
      <c r="C637" s="39" t="s">
        <v>17</v>
      </c>
      <c r="D637" s="39">
        <v>117</v>
      </c>
      <c r="E637" s="39">
        <v>117</v>
      </c>
      <c r="F637" s="39">
        <v>117</v>
      </c>
      <c r="G637" s="39">
        <v>117</v>
      </c>
      <c r="H637" s="46">
        <f>SUM(Tabla1325[[#This Row],[PRIMER TRIMESTRE]:[CUARTO TRIMESTRE]])</f>
        <v>468</v>
      </c>
      <c r="I637" s="17">
        <v>217.02</v>
      </c>
      <c r="J637" s="17">
        <f>+Tabla1325[[#This Row],[CANTIDAD TOTAL]]*Tabla1325[[#This Row],[PRECIO UNITARIO ESTIMADO]]</f>
        <v>101565.36</v>
      </c>
      <c r="K637" s="17"/>
      <c r="L637" s="16" t="s">
        <v>27</v>
      </c>
      <c r="M637" s="16" t="s">
        <v>22</v>
      </c>
      <c r="N637" s="39" t="s">
        <v>418</v>
      </c>
    </row>
    <row r="638" spans="1:20" s="12" customFormat="1">
      <c r="A638" s="15" t="s">
        <v>120</v>
      </c>
      <c r="B638" s="106" t="s">
        <v>749</v>
      </c>
      <c r="C638" s="39" t="s">
        <v>17</v>
      </c>
      <c r="D638" s="39">
        <v>60</v>
      </c>
      <c r="E638" s="39">
        <v>60</v>
      </c>
      <c r="F638" s="39">
        <v>60</v>
      </c>
      <c r="G638" s="39">
        <v>60</v>
      </c>
      <c r="H638" s="46">
        <f>SUM(Tabla1325[[#This Row],[PRIMER TRIMESTRE]:[CUARTO TRIMESTRE]])</f>
        <v>240</v>
      </c>
      <c r="I638" s="17">
        <v>186.44</v>
      </c>
      <c r="J638" s="17">
        <f>+H638*I638</f>
        <v>44745.599999999999</v>
      </c>
      <c r="K638" s="17"/>
      <c r="L638" s="16" t="s">
        <v>27</v>
      </c>
      <c r="M638" s="16" t="s">
        <v>22</v>
      </c>
      <c r="N638" s="39" t="s">
        <v>418</v>
      </c>
    </row>
    <row r="639" spans="1:20" s="12" customFormat="1">
      <c r="A639" s="15" t="s">
        <v>120</v>
      </c>
      <c r="B639" s="106" t="s">
        <v>750</v>
      </c>
      <c r="C639" s="39" t="s">
        <v>17</v>
      </c>
      <c r="D639" s="39">
        <v>55</v>
      </c>
      <c r="E639" s="39">
        <v>55</v>
      </c>
      <c r="F639" s="39">
        <v>55</v>
      </c>
      <c r="G639" s="39">
        <v>55</v>
      </c>
      <c r="H639" s="46">
        <f>SUM(Tabla1325[[#This Row],[PRIMER TRIMESTRE]:[CUARTO TRIMESTRE]])</f>
        <v>220</v>
      </c>
      <c r="I639" s="17">
        <v>129.80000000000001</v>
      </c>
      <c r="J639" s="17">
        <f>+H639*I639</f>
        <v>28556.000000000004</v>
      </c>
      <c r="K639" s="17"/>
      <c r="L639" s="16" t="s">
        <v>27</v>
      </c>
      <c r="M639" s="16" t="s">
        <v>22</v>
      </c>
      <c r="N639" s="39" t="s">
        <v>418</v>
      </c>
    </row>
    <row r="640" spans="1:20" s="12" customFormat="1">
      <c r="A640" s="15" t="s">
        <v>120</v>
      </c>
      <c r="B640" s="106" t="s">
        <v>403</v>
      </c>
      <c r="C640" s="39" t="s">
        <v>416</v>
      </c>
      <c r="D640" s="39">
        <v>273</v>
      </c>
      <c r="E640" s="39">
        <v>273</v>
      </c>
      <c r="F640" s="39">
        <v>273</v>
      </c>
      <c r="G640" s="39">
        <v>273</v>
      </c>
      <c r="H640" s="46">
        <f>SUM(Tabla1325[[#This Row],[PRIMER TRIMESTRE]:[CUARTO TRIMESTRE]])</f>
        <v>1092</v>
      </c>
      <c r="I640" s="17">
        <v>75</v>
      </c>
      <c r="J640" s="17">
        <f>+H640*I640</f>
        <v>81900</v>
      </c>
      <c r="K640" s="17"/>
      <c r="L640" s="16" t="s">
        <v>27</v>
      </c>
      <c r="M640" s="16" t="s">
        <v>22</v>
      </c>
      <c r="N640" s="39" t="s">
        <v>418</v>
      </c>
    </row>
    <row r="641" spans="1:14" s="12" customFormat="1">
      <c r="A641" s="15" t="s">
        <v>120</v>
      </c>
      <c r="B641" s="106" t="s">
        <v>744</v>
      </c>
      <c r="C641" s="39" t="s">
        <v>17</v>
      </c>
      <c r="D641" s="39">
        <v>157</v>
      </c>
      <c r="E641" s="39">
        <v>157</v>
      </c>
      <c r="F641" s="39">
        <v>157</v>
      </c>
      <c r="G641" s="39">
        <v>157</v>
      </c>
      <c r="H641" s="46">
        <f>SUM(Tabla1325[[#This Row],[PRIMER TRIMESTRE]:[CUARTO TRIMESTRE]])</f>
        <v>628</v>
      </c>
      <c r="I641" s="17">
        <v>43.66</v>
      </c>
      <c r="J641" s="17">
        <f>+H641*I641</f>
        <v>27418.48</v>
      </c>
      <c r="K641" s="17"/>
      <c r="L641" s="16" t="s">
        <v>27</v>
      </c>
      <c r="M641" s="16" t="s">
        <v>22</v>
      </c>
      <c r="N641" s="39" t="s">
        <v>418</v>
      </c>
    </row>
    <row r="642" spans="1:14" s="12" customFormat="1">
      <c r="A642" s="15" t="s">
        <v>120</v>
      </c>
      <c r="B642" s="75" t="s">
        <v>264</v>
      </c>
      <c r="C642" s="39" t="s">
        <v>17</v>
      </c>
      <c r="D642" s="39">
        <v>0</v>
      </c>
      <c r="E642" s="39">
        <v>0</v>
      </c>
      <c r="F642" s="39">
        <v>0</v>
      </c>
      <c r="G642" s="39">
        <v>0</v>
      </c>
      <c r="H642" s="46">
        <f>SUM(Tabla1325[[#This Row],[PRIMER TRIMESTRE]:[CUARTO TRIMESTRE]])</f>
        <v>0</v>
      </c>
      <c r="I642" s="17">
        <v>185</v>
      </c>
      <c r="J642" s="17">
        <f>+Tabla1325[[#This Row],[CANTIDAD TOTAL]]*Tabla1325[[#This Row],[PRECIO UNITARIO ESTIMADO]]</f>
        <v>0</v>
      </c>
      <c r="K642" s="17"/>
      <c r="L642" s="16" t="s">
        <v>27</v>
      </c>
      <c r="M642" s="16" t="s">
        <v>22</v>
      </c>
      <c r="N642" s="39" t="s">
        <v>418</v>
      </c>
    </row>
    <row r="643" spans="1:14" s="12" customFormat="1">
      <c r="A643" s="15" t="s">
        <v>120</v>
      </c>
      <c r="B643" s="106" t="s">
        <v>745</v>
      </c>
      <c r="C643" s="39" t="s">
        <v>208</v>
      </c>
      <c r="D643" s="39">
        <v>44</v>
      </c>
      <c r="E643" s="39">
        <v>44</v>
      </c>
      <c r="F643" s="39">
        <v>44</v>
      </c>
      <c r="G643" s="39">
        <v>44</v>
      </c>
      <c r="H643" s="46">
        <f>SUM(Tabla1325[[#This Row],[PRIMER TRIMESTRE]:[CUARTO TRIMESTRE]])</f>
        <v>176</v>
      </c>
      <c r="I643" s="17">
        <v>43.66</v>
      </c>
      <c r="J643" s="17">
        <f t="shared" ref="J643:J658" si="13">+H643*I643</f>
        <v>7684.16</v>
      </c>
      <c r="K643" s="17"/>
      <c r="L643" s="16" t="s">
        <v>27</v>
      </c>
      <c r="M643" s="16" t="s">
        <v>22</v>
      </c>
      <c r="N643" s="39" t="s">
        <v>418</v>
      </c>
    </row>
    <row r="644" spans="1:14" s="12" customFormat="1">
      <c r="A644" s="15" t="s">
        <v>120</v>
      </c>
      <c r="B644" s="106" t="s">
        <v>414</v>
      </c>
      <c r="C644" s="39" t="s">
        <v>417</v>
      </c>
      <c r="D644" s="39">
        <v>246</v>
      </c>
      <c r="E644" s="39">
        <v>246</v>
      </c>
      <c r="F644" s="39">
        <v>246</v>
      </c>
      <c r="G644" s="39">
        <v>246</v>
      </c>
      <c r="H644" s="46">
        <f>SUM(Tabla1325[[#This Row],[PRIMER TRIMESTRE]:[CUARTO TRIMESTRE]])</f>
        <v>984</v>
      </c>
      <c r="I644" s="17">
        <v>13.57</v>
      </c>
      <c r="J644" s="17">
        <f t="shared" si="13"/>
        <v>13352.880000000001</v>
      </c>
      <c r="K644" s="17"/>
      <c r="L644" s="16" t="s">
        <v>27</v>
      </c>
      <c r="M644" s="16" t="s">
        <v>22</v>
      </c>
      <c r="N644" s="39" t="s">
        <v>418</v>
      </c>
    </row>
    <row r="645" spans="1:14" s="12" customFormat="1">
      <c r="A645" s="15" t="s">
        <v>120</v>
      </c>
      <c r="B645" s="106" t="s">
        <v>760</v>
      </c>
      <c r="C645" s="39" t="s">
        <v>208</v>
      </c>
      <c r="D645" s="39">
        <v>379</v>
      </c>
      <c r="E645" s="39">
        <v>379</v>
      </c>
      <c r="F645" s="39">
        <v>379</v>
      </c>
      <c r="G645" s="39">
        <v>379</v>
      </c>
      <c r="H645" s="46">
        <f>SUM(Tabla1325[[#This Row],[PRIMER TRIMESTRE]:[CUARTO TRIMESTRE]])</f>
        <v>1516</v>
      </c>
      <c r="I645" s="17">
        <v>43.66</v>
      </c>
      <c r="J645" s="17">
        <f t="shared" si="13"/>
        <v>66188.56</v>
      </c>
      <c r="K645" s="17"/>
      <c r="L645" s="16" t="s">
        <v>27</v>
      </c>
      <c r="M645" s="16" t="s">
        <v>22</v>
      </c>
      <c r="N645" s="39" t="s">
        <v>418</v>
      </c>
    </row>
    <row r="646" spans="1:14" s="12" customFormat="1">
      <c r="A646" s="15" t="s">
        <v>120</v>
      </c>
      <c r="B646" s="106" t="s">
        <v>761</v>
      </c>
      <c r="C646" s="39" t="s">
        <v>208</v>
      </c>
      <c r="D646" s="39">
        <v>554</v>
      </c>
      <c r="E646" s="39">
        <v>554</v>
      </c>
      <c r="F646" s="39">
        <v>554</v>
      </c>
      <c r="G646" s="39">
        <v>554</v>
      </c>
      <c r="H646" s="46">
        <f>SUM(Tabla1325[[#This Row],[PRIMER TRIMESTRE]:[CUARTO TRIMESTRE]])</f>
        <v>2216</v>
      </c>
      <c r="I646" s="17">
        <v>12.98</v>
      </c>
      <c r="J646" s="17">
        <f t="shared" si="13"/>
        <v>28763.68</v>
      </c>
      <c r="K646" s="17"/>
      <c r="L646" s="16" t="s">
        <v>27</v>
      </c>
      <c r="M646" s="16" t="s">
        <v>22</v>
      </c>
      <c r="N646" s="39" t="s">
        <v>418</v>
      </c>
    </row>
    <row r="647" spans="1:14" s="12" customFormat="1" ht="38.25" customHeight="1">
      <c r="A647" s="15" t="s">
        <v>120</v>
      </c>
      <c r="B647" s="106" t="s">
        <v>399</v>
      </c>
      <c r="C647" s="39" t="s">
        <v>208</v>
      </c>
      <c r="D647" s="39">
        <v>292</v>
      </c>
      <c r="E647" s="39">
        <v>292</v>
      </c>
      <c r="F647" s="39">
        <v>292</v>
      </c>
      <c r="G647" s="39">
        <v>292</v>
      </c>
      <c r="H647" s="46">
        <f>SUM(Tabla1325[[#This Row],[PRIMER TRIMESTRE]:[CUARTO TRIMESTRE]])</f>
        <v>1168</v>
      </c>
      <c r="I647" s="17">
        <v>86.81</v>
      </c>
      <c r="J647" s="17">
        <f t="shared" si="13"/>
        <v>101394.08</v>
      </c>
      <c r="K647" s="17"/>
      <c r="L647" s="16" t="s">
        <v>27</v>
      </c>
      <c r="M647" s="16" t="s">
        <v>22</v>
      </c>
      <c r="N647" s="39" t="s">
        <v>418</v>
      </c>
    </row>
    <row r="648" spans="1:14" s="12" customFormat="1" ht="32.25" customHeight="1">
      <c r="A648" s="15" t="s">
        <v>120</v>
      </c>
      <c r="B648" s="106" t="s">
        <v>400</v>
      </c>
      <c r="C648" s="39" t="s">
        <v>208</v>
      </c>
      <c r="D648" s="39">
        <v>283</v>
      </c>
      <c r="E648" s="39">
        <v>283</v>
      </c>
      <c r="F648" s="39">
        <v>283</v>
      </c>
      <c r="G648" s="39">
        <v>283</v>
      </c>
      <c r="H648" s="46">
        <f>SUM(Tabla1325[[#This Row],[PRIMER TRIMESTRE]:[CUARTO TRIMESTRE]])</f>
        <v>1132</v>
      </c>
      <c r="I648" s="17">
        <v>25.4</v>
      </c>
      <c r="J648" s="17">
        <f t="shared" si="13"/>
        <v>28752.799999999999</v>
      </c>
      <c r="K648" s="17"/>
      <c r="L648" s="16" t="s">
        <v>27</v>
      </c>
      <c r="M648" s="16" t="s">
        <v>22</v>
      </c>
      <c r="N648" s="39" t="s">
        <v>418</v>
      </c>
    </row>
    <row r="649" spans="1:14" s="12" customFormat="1" ht="25.5">
      <c r="A649" s="15" t="s">
        <v>120</v>
      </c>
      <c r="B649" s="106" t="s">
        <v>395</v>
      </c>
      <c r="C649" s="39" t="s">
        <v>208</v>
      </c>
      <c r="D649" s="39">
        <v>288</v>
      </c>
      <c r="E649" s="39">
        <v>288</v>
      </c>
      <c r="F649" s="39">
        <v>288</v>
      </c>
      <c r="G649" s="39">
        <v>288</v>
      </c>
      <c r="H649" s="46">
        <f>SUM(Tabla1325[[#This Row],[PRIMER TRIMESTRE]:[CUARTO TRIMESTRE]])</f>
        <v>1152</v>
      </c>
      <c r="I649" s="17">
        <v>235.20000000000002</v>
      </c>
      <c r="J649" s="17">
        <f t="shared" si="13"/>
        <v>270950.40000000002</v>
      </c>
      <c r="K649" s="17"/>
      <c r="L649" s="16" t="s">
        <v>27</v>
      </c>
      <c r="M649" s="16" t="s">
        <v>22</v>
      </c>
      <c r="N649" s="39" t="s">
        <v>418</v>
      </c>
    </row>
    <row r="650" spans="1:14" s="12" customFormat="1">
      <c r="A650" s="15" t="s">
        <v>120</v>
      </c>
      <c r="B650" s="106" t="s">
        <v>746</v>
      </c>
      <c r="C650" s="39" t="s">
        <v>17</v>
      </c>
      <c r="D650" s="39">
        <v>25</v>
      </c>
      <c r="E650" s="39">
        <v>25</v>
      </c>
      <c r="F650" s="39">
        <v>25</v>
      </c>
      <c r="G650" s="39">
        <v>25</v>
      </c>
      <c r="H650" s="46">
        <f>SUM(Tabla1325[[#This Row],[PRIMER TRIMESTRE]:[CUARTO TRIMESTRE]])</f>
        <v>100</v>
      </c>
      <c r="I650" s="17">
        <v>23.32</v>
      </c>
      <c r="J650" s="17">
        <f t="shared" si="13"/>
        <v>2332</v>
      </c>
      <c r="K650" s="17"/>
      <c r="L650" s="16" t="s">
        <v>27</v>
      </c>
      <c r="M650" s="16" t="s">
        <v>22</v>
      </c>
      <c r="N650" s="39" t="s">
        <v>418</v>
      </c>
    </row>
    <row r="651" spans="1:14" s="12" customFormat="1">
      <c r="A651" s="15" t="s">
        <v>120</v>
      </c>
      <c r="B651" s="106" t="s">
        <v>747</v>
      </c>
      <c r="C651" s="39" t="s">
        <v>17</v>
      </c>
      <c r="D651" s="39">
        <v>50</v>
      </c>
      <c r="E651" s="39">
        <v>50</v>
      </c>
      <c r="F651" s="39">
        <v>50</v>
      </c>
      <c r="G651" s="39">
        <v>50</v>
      </c>
      <c r="H651" s="46">
        <f>SUM(Tabla1325[[#This Row],[PRIMER TRIMESTRE]:[CUARTO TRIMESTRE]])</f>
        <v>200</v>
      </c>
      <c r="I651" s="17">
        <v>23.32</v>
      </c>
      <c r="J651" s="17">
        <f t="shared" si="13"/>
        <v>4664</v>
      </c>
      <c r="K651" s="17"/>
      <c r="L651" s="16" t="s">
        <v>27</v>
      </c>
      <c r="M651" s="16" t="s">
        <v>22</v>
      </c>
      <c r="N651" s="39" t="s">
        <v>418</v>
      </c>
    </row>
    <row r="652" spans="1:14" s="12" customFormat="1">
      <c r="A652" s="15" t="s">
        <v>120</v>
      </c>
      <c r="B652" s="106" t="s">
        <v>396</v>
      </c>
      <c r="C652" s="39" t="s">
        <v>208</v>
      </c>
      <c r="D652" s="39">
        <v>264</v>
      </c>
      <c r="E652" s="39">
        <v>264</v>
      </c>
      <c r="F652" s="39">
        <v>264</v>
      </c>
      <c r="G652" s="39">
        <v>264</v>
      </c>
      <c r="H652" s="46">
        <f>SUM(Tabla1325[[#This Row],[PRIMER TRIMESTRE]:[CUARTO TRIMESTRE]])</f>
        <v>1056</v>
      </c>
      <c r="I652" s="17">
        <v>194.7</v>
      </c>
      <c r="J652" s="17">
        <f t="shared" si="13"/>
        <v>205603.19999999998</v>
      </c>
      <c r="K652" s="17"/>
      <c r="L652" s="16" t="s">
        <v>27</v>
      </c>
      <c r="M652" s="16" t="s">
        <v>22</v>
      </c>
      <c r="N652" s="39" t="s">
        <v>418</v>
      </c>
    </row>
    <row r="653" spans="1:14" s="12" customFormat="1">
      <c r="A653" s="15" t="s">
        <v>120</v>
      </c>
      <c r="B653" s="106" t="s">
        <v>397</v>
      </c>
      <c r="C653" s="39" t="s">
        <v>208</v>
      </c>
      <c r="D653" s="39">
        <v>160</v>
      </c>
      <c r="E653" s="39">
        <v>160</v>
      </c>
      <c r="F653" s="39">
        <v>160</v>
      </c>
      <c r="G653" s="39">
        <v>160</v>
      </c>
      <c r="H653" s="46">
        <f>SUM(Tabla1325[[#This Row],[PRIMER TRIMESTRE]:[CUARTO TRIMESTRE]])</f>
        <v>640</v>
      </c>
      <c r="I653" s="17">
        <v>309.14</v>
      </c>
      <c r="J653" s="17">
        <f t="shared" si="13"/>
        <v>197849.59999999998</v>
      </c>
      <c r="K653" s="17"/>
      <c r="L653" s="16" t="s">
        <v>27</v>
      </c>
      <c r="M653" s="16" t="s">
        <v>22</v>
      </c>
      <c r="N653" s="39" t="s">
        <v>418</v>
      </c>
    </row>
    <row r="654" spans="1:14" s="12" customFormat="1">
      <c r="A654" s="15" t="s">
        <v>120</v>
      </c>
      <c r="B654" s="106" t="s">
        <v>404</v>
      </c>
      <c r="C654" s="39" t="s">
        <v>255</v>
      </c>
      <c r="D654" s="39">
        <v>312</v>
      </c>
      <c r="E654" s="39">
        <v>312</v>
      </c>
      <c r="F654" s="39">
        <v>312</v>
      </c>
      <c r="G654" s="39">
        <v>312</v>
      </c>
      <c r="H654" s="46">
        <f>SUM(Tabla1325[[#This Row],[PRIMER TRIMESTRE]:[CUARTO TRIMESTRE]])</f>
        <v>1248</v>
      </c>
      <c r="I654" s="17">
        <v>29.5</v>
      </c>
      <c r="J654" s="17">
        <f t="shared" si="13"/>
        <v>36816</v>
      </c>
      <c r="K654" s="17"/>
      <c r="L654" s="16" t="s">
        <v>27</v>
      </c>
      <c r="M654" s="16" t="s">
        <v>22</v>
      </c>
      <c r="N654" s="39" t="s">
        <v>418</v>
      </c>
    </row>
    <row r="655" spans="1:14" s="12" customFormat="1">
      <c r="A655" s="15" t="s">
        <v>120</v>
      </c>
      <c r="B655" s="106" t="s">
        <v>254</v>
      </c>
      <c r="C655" s="39" t="s">
        <v>417</v>
      </c>
      <c r="D655" s="39">
        <v>156</v>
      </c>
      <c r="E655" s="39">
        <v>156</v>
      </c>
      <c r="F655" s="39">
        <v>156</v>
      </c>
      <c r="G655" s="39">
        <v>156</v>
      </c>
      <c r="H655" s="46">
        <f>SUM(Tabla1325[[#This Row],[PRIMER TRIMESTRE]:[CUARTO TRIMESTRE]])</f>
        <v>624</v>
      </c>
      <c r="I655" s="17">
        <v>12</v>
      </c>
      <c r="J655" s="17">
        <f t="shared" si="13"/>
        <v>7488</v>
      </c>
      <c r="K655" s="17"/>
      <c r="L655" s="16" t="s">
        <v>27</v>
      </c>
      <c r="M655" s="16" t="s">
        <v>22</v>
      </c>
      <c r="N655" s="39" t="s">
        <v>418</v>
      </c>
    </row>
    <row r="656" spans="1:14" s="12" customFormat="1">
      <c r="A656" s="15" t="s">
        <v>120</v>
      </c>
      <c r="B656" s="106" t="s">
        <v>394</v>
      </c>
      <c r="C656" s="39" t="s">
        <v>208</v>
      </c>
      <c r="D656" s="39">
        <v>359</v>
      </c>
      <c r="E656" s="39">
        <v>359</v>
      </c>
      <c r="F656" s="39">
        <v>359</v>
      </c>
      <c r="G656" s="39">
        <v>359</v>
      </c>
      <c r="H656" s="46">
        <f>SUM(Tabla1325[[#This Row],[PRIMER TRIMESTRE]:[CUARTO TRIMESTRE]])</f>
        <v>1436</v>
      </c>
      <c r="I656" s="17">
        <v>69.599999999999994</v>
      </c>
      <c r="J656" s="17">
        <f t="shared" si="13"/>
        <v>99945.599999999991</v>
      </c>
      <c r="K656" s="17"/>
      <c r="L656" s="16" t="s">
        <v>27</v>
      </c>
      <c r="M656" s="16" t="s">
        <v>22</v>
      </c>
      <c r="N656" s="39" t="s">
        <v>418</v>
      </c>
    </row>
    <row r="657" spans="1:14" s="12" customFormat="1">
      <c r="A657" s="15" t="s">
        <v>120</v>
      </c>
      <c r="B657" s="106" t="s">
        <v>408</v>
      </c>
      <c r="C657" s="39" t="s">
        <v>417</v>
      </c>
      <c r="D657" s="39">
        <v>325</v>
      </c>
      <c r="E657" s="39">
        <v>325</v>
      </c>
      <c r="F657" s="39">
        <v>325</v>
      </c>
      <c r="G657" s="39">
        <v>325</v>
      </c>
      <c r="H657" s="46">
        <f>SUM(Tabla1325[[#This Row],[PRIMER TRIMESTRE]:[CUARTO TRIMESTRE]])</f>
        <v>1300</v>
      </c>
      <c r="I657" s="17">
        <v>43.7</v>
      </c>
      <c r="J657" s="17">
        <f t="shared" si="13"/>
        <v>56810.000000000007</v>
      </c>
      <c r="K657" s="17"/>
      <c r="L657" s="16" t="s">
        <v>27</v>
      </c>
      <c r="M657" s="16" t="s">
        <v>22</v>
      </c>
      <c r="N657" s="39" t="s">
        <v>418</v>
      </c>
    </row>
    <row r="658" spans="1:14" s="12" customFormat="1">
      <c r="A658" s="15" t="s">
        <v>120</v>
      </c>
      <c r="B658" s="106" t="s">
        <v>409</v>
      </c>
      <c r="C658" s="39" t="s">
        <v>417</v>
      </c>
      <c r="D658" s="39">
        <v>330</v>
      </c>
      <c r="E658" s="39">
        <v>330</v>
      </c>
      <c r="F658" s="39">
        <v>330</v>
      </c>
      <c r="G658" s="39">
        <v>330</v>
      </c>
      <c r="H658" s="46">
        <f>SUM(Tabla1325[[#This Row],[PRIMER TRIMESTRE]:[CUARTO TRIMESTRE]])</f>
        <v>1320</v>
      </c>
      <c r="I658" s="17">
        <v>15.21</v>
      </c>
      <c r="J658" s="17">
        <f t="shared" si="13"/>
        <v>20077.2</v>
      </c>
      <c r="K658" s="17"/>
      <c r="L658" s="16" t="s">
        <v>27</v>
      </c>
      <c r="M658" s="16" t="s">
        <v>22</v>
      </c>
      <c r="N658" s="39" t="s">
        <v>418</v>
      </c>
    </row>
    <row r="659" spans="1:14" s="12" customFormat="1">
      <c r="A659" s="15" t="s">
        <v>120</v>
      </c>
      <c r="B659" s="106" t="s">
        <v>265</v>
      </c>
      <c r="C659" s="39" t="s">
        <v>17</v>
      </c>
      <c r="D659" s="39">
        <v>239</v>
      </c>
      <c r="E659" s="39">
        <v>239</v>
      </c>
      <c r="F659" s="39">
        <v>239</v>
      </c>
      <c r="G659" s="39">
        <v>239</v>
      </c>
      <c r="H659" s="46">
        <f>SUM(Tabla1325[[#This Row],[PRIMER TRIMESTRE]:[CUARTO TRIMESTRE]])</f>
        <v>956</v>
      </c>
      <c r="I659" s="17">
        <v>185.6</v>
      </c>
      <c r="J659" s="17">
        <f>+Tabla1325[[#This Row],[CANTIDAD TOTAL]]*Tabla1325[[#This Row],[PRECIO UNITARIO ESTIMADO]]</f>
        <v>177433.60000000001</v>
      </c>
      <c r="K659" s="17"/>
      <c r="L659" s="16" t="s">
        <v>27</v>
      </c>
      <c r="M659" s="16" t="s">
        <v>22</v>
      </c>
      <c r="N659" s="39" t="s">
        <v>418</v>
      </c>
    </row>
    <row r="660" spans="1:14" s="12" customFormat="1">
      <c r="A660" s="15" t="s">
        <v>120</v>
      </c>
      <c r="B660" s="106" t="s">
        <v>261</v>
      </c>
      <c r="C660" s="39" t="s">
        <v>17</v>
      </c>
      <c r="D660" s="39">
        <v>50</v>
      </c>
      <c r="E660" s="39"/>
      <c r="F660" s="39"/>
      <c r="G660" s="39"/>
      <c r="H660" s="46">
        <f>SUM(Tabla1325[[#This Row],[PRIMER TRIMESTRE]:[CUARTO TRIMESTRE]])</f>
        <v>50</v>
      </c>
      <c r="I660" s="17">
        <v>148</v>
      </c>
      <c r="J660" s="17">
        <f>+Tabla1325[[#This Row],[CANTIDAD TOTAL]]*Tabla1325[[#This Row],[PRECIO UNITARIO ESTIMADO]]</f>
        <v>7400</v>
      </c>
      <c r="K660" s="17"/>
      <c r="L660" s="16" t="s">
        <v>27</v>
      </c>
      <c r="M660" s="16" t="s">
        <v>22</v>
      </c>
      <c r="N660" s="39" t="s">
        <v>418</v>
      </c>
    </row>
    <row r="661" spans="1:14" s="12" customFormat="1">
      <c r="A661" s="15" t="s">
        <v>120</v>
      </c>
      <c r="B661" s="106" t="s">
        <v>751</v>
      </c>
      <c r="C661" s="39" t="s">
        <v>17</v>
      </c>
      <c r="D661" s="39">
        <v>278</v>
      </c>
      <c r="E661" s="39">
        <v>278</v>
      </c>
      <c r="F661" s="39">
        <v>278</v>
      </c>
      <c r="G661" s="39">
        <v>278</v>
      </c>
      <c r="H661" s="46">
        <f>SUM(Tabla1325[[#This Row],[PRIMER TRIMESTRE]:[CUARTO TRIMESTRE]])</f>
        <v>1112</v>
      </c>
      <c r="I661" s="17">
        <v>15.54</v>
      </c>
      <c r="J661" s="17">
        <f>+H661*I661</f>
        <v>17280.48</v>
      </c>
      <c r="K661" s="17"/>
      <c r="L661" s="16" t="s">
        <v>27</v>
      </c>
      <c r="M661" s="16" t="s">
        <v>22</v>
      </c>
      <c r="N661" s="39" t="s">
        <v>418</v>
      </c>
    </row>
    <row r="662" spans="1:14" s="12" customFormat="1">
      <c r="A662" s="15" t="s">
        <v>752</v>
      </c>
      <c r="B662" s="106" t="s">
        <v>754</v>
      </c>
      <c r="C662" s="39" t="s">
        <v>17</v>
      </c>
      <c r="D662" s="39">
        <v>275</v>
      </c>
      <c r="E662" s="39">
        <v>275</v>
      </c>
      <c r="F662" s="39">
        <v>275</v>
      </c>
      <c r="G662" s="39">
        <v>275</v>
      </c>
      <c r="H662" s="46">
        <f>SUM(Tabla1325[[#This Row],[PRIMER TRIMESTRE]:[CUARTO TRIMESTRE]])</f>
        <v>1100</v>
      </c>
      <c r="I662" s="17">
        <v>15.54</v>
      </c>
      <c r="J662" s="17">
        <f>+H662*I662</f>
        <v>17094</v>
      </c>
      <c r="K662" s="17"/>
      <c r="L662" s="16" t="s">
        <v>27</v>
      </c>
      <c r="M662" s="16" t="s">
        <v>22</v>
      </c>
      <c r="N662" s="39" t="s">
        <v>418</v>
      </c>
    </row>
    <row r="663" spans="1:14" s="12" customFormat="1">
      <c r="A663" s="15" t="s">
        <v>753</v>
      </c>
      <c r="B663" s="106" t="s">
        <v>755</v>
      </c>
      <c r="C663" s="39" t="s">
        <v>17</v>
      </c>
      <c r="D663" s="39">
        <v>262</v>
      </c>
      <c r="E663" s="39">
        <v>262</v>
      </c>
      <c r="F663" s="39">
        <v>262</v>
      </c>
      <c r="G663" s="39">
        <v>262</v>
      </c>
      <c r="H663" s="46">
        <f>SUM(Tabla1325[[#This Row],[PRIMER TRIMESTRE]:[CUARTO TRIMESTRE]])</f>
        <v>1048</v>
      </c>
      <c r="I663" s="17">
        <v>15.54</v>
      </c>
      <c r="J663" s="17">
        <f>+H663*I663</f>
        <v>16285.919999999998</v>
      </c>
      <c r="K663" s="17"/>
      <c r="L663" s="16" t="s">
        <v>27</v>
      </c>
      <c r="M663" s="16" t="s">
        <v>22</v>
      </c>
      <c r="N663" s="39" t="s">
        <v>418</v>
      </c>
    </row>
    <row r="664" spans="1:14" s="12" customFormat="1">
      <c r="A664" s="15" t="s">
        <v>120</v>
      </c>
      <c r="B664" s="106" t="s">
        <v>390</v>
      </c>
      <c r="C664" s="39" t="s">
        <v>266</v>
      </c>
      <c r="D664" s="39">
        <v>2599</v>
      </c>
      <c r="E664" s="39">
        <v>2599</v>
      </c>
      <c r="F664" s="39">
        <v>2599</v>
      </c>
      <c r="G664" s="39">
        <v>2599</v>
      </c>
      <c r="H664" s="46">
        <f>SUM(Tabla1325[[#This Row],[PRIMER TRIMESTRE]:[CUARTO TRIMESTRE]])</f>
        <v>10396</v>
      </c>
      <c r="I664" s="17">
        <v>145.13999999999999</v>
      </c>
      <c r="J664" s="17">
        <f>+H664*I664</f>
        <v>1508875.44</v>
      </c>
      <c r="K664" s="17"/>
      <c r="L664" s="16" t="s">
        <v>27</v>
      </c>
      <c r="M664" s="16" t="s">
        <v>22</v>
      </c>
      <c r="N664" s="39" t="s">
        <v>418</v>
      </c>
    </row>
    <row r="665" spans="1:14" s="12" customFormat="1">
      <c r="A665" s="15" t="s">
        <v>120</v>
      </c>
      <c r="B665" s="106" t="s">
        <v>391</v>
      </c>
      <c r="C665" s="39" t="s">
        <v>415</v>
      </c>
      <c r="D665" s="39">
        <v>345</v>
      </c>
      <c r="E665" s="39">
        <v>345</v>
      </c>
      <c r="F665" s="39">
        <v>345</v>
      </c>
      <c r="G665" s="39">
        <v>345</v>
      </c>
      <c r="H665" s="46">
        <f>SUM(Tabla1325[[#This Row],[PRIMER TRIMESTRE]:[CUARTO TRIMESTRE]])</f>
        <v>1380</v>
      </c>
      <c r="I665" s="17">
        <v>214.76</v>
      </c>
      <c r="J665" s="17">
        <f>+H665*I665</f>
        <v>296368.8</v>
      </c>
      <c r="K665" s="17"/>
      <c r="L665" s="16" t="s">
        <v>27</v>
      </c>
      <c r="M665" s="16" t="s">
        <v>22</v>
      </c>
      <c r="N665" s="39" t="s">
        <v>418</v>
      </c>
    </row>
    <row r="666" spans="1:14" s="12" customFormat="1">
      <c r="A666" s="15" t="s">
        <v>120</v>
      </c>
      <c r="B666" s="106" t="s">
        <v>267</v>
      </c>
      <c r="C666" s="39" t="s">
        <v>102</v>
      </c>
      <c r="D666" s="39">
        <v>10</v>
      </c>
      <c r="E666" s="39">
        <v>10</v>
      </c>
      <c r="F666" s="39">
        <v>10</v>
      </c>
      <c r="G666" s="39">
        <v>10</v>
      </c>
      <c r="H666" s="46">
        <f>SUM(Tabla1325[[#This Row],[PRIMER TRIMESTRE]:[CUARTO TRIMESTRE]])</f>
        <v>40</v>
      </c>
      <c r="I666" s="17">
        <v>1063.19</v>
      </c>
      <c r="J666" s="17">
        <f>+Tabla1325[[#This Row],[CANTIDAD TOTAL]]*Tabla1325[[#This Row],[PRECIO UNITARIO ESTIMADO]]</f>
        <v>42527.600000000006</v>
      </c>
      <c r="K666" s="17"/>
      <c r="L666" s="16" t="s">
        <v>27</v>
      </c>
      <c r="M666" s="16" t="s">
        <v>22</v>
      </c>
      <c r="N666" s="39" t="s">
        <v>418</v>
      </c>
    </row>
    <row r="667" spans="1:14" s="12" customFormat="1">
      <c r="A667" s="15" t="s">
        <v>120</v>
      </c>
      <c r="B667" s="106" t="s">
        <v>759</v>
      </c>
      <c r="C667" s="39" t="s">
        <v>208</v>
      </c>
      <c r="D667" s="39">
        <v>10</v>
      </c>
      <c r="E667" s="39">
        <v>10</v>
      </c>
      <c r="F667" s="39">
        <v>10</v>
      </c>
      <c r="G667" s="39">
        <v>10</v>
      </c>
      <c r="H667" s="46">
        <f>SUM(Tabla1325[[#This Row],[PRIMER TRIMESTRE]:[CUARTO TRIMESTRE]])</f>
        <v>40</v>
      </c>
      <c r="I667" s="17">
        <v>161.66</v>
      </c>
      <c r="J667" s="17">
        <f>+H667*I667</f>
        <v>6466.4</v>
      </c>
      <c r="K667" s="17"/>
      <c r="L667" s="16" t="s">
        <v>27</v>
      </c>
      <c r="M667" s="16" t="s">
        <v>22</v>
      </c>
      <c r="N667" s="39" t="s">
        <v>418</v>
      </c>
    </row>
    <row r="668" spans="1:14" s="12" customFormat="1">
      <c r="A668" s="15" t="s">
        <v>120</v>
      </c>
      <c r="B668" s="106" t="s">
        <v>268</v>
      </c>
      <c r="C668" s="39" t="s">
        <v>208</v>
      </c>
      <c r="D668" s="39">
        <v>0</v>
      </c>
      <c r="E668" s="39">
        <v>0</v>
      </c>
      <c r="F668" s="39">
        <v>0</v>
      </c>
      <c r="G668" s="39">
        <v>0</v>
      </c>
      <c r="H668" s="46">
        <f>SUM(Tabla1325[[#This Row],[PRIMER TRIMESTRE]:[CUARTO TRIMESTRE]])</f>
        <v>0</v>
      </c>
      <c r="I668" s="17">
        <v>1450</v>
      </c>
      <c r="J668" s="17">
        <f>+Tabla1325[[#This Row],[CANTIDAD TOTAL]]*Tabla1325[[#This Row],[PRECIO UNITARIO ESTIMADO]]</f>
        <v>0</v>
      </c>
      <c r="K668" s="17"/>
      <c r="L668" s="16" t="s">
        <v>27</v>
      </c>
      <c r="M668" s="16" t="s">
        <v>22</v>
      </c>
      <c r="N668" s="39" t="s">
        <v>418</v>
      </c>
    </row>
    <row r="669" spans="1:14" s="12" customFormat="1">
      <c r="A669" s="15" t="s">
        <v>120</v>
      </c>
      <c r="B669" s="106" t="s">
        <v>269</v>
      </c>
      <c r="C669" s="39" t="s">
        <v>266</v>
      </c>
      <c r="D669" s="39">
        <v>341</v>
      </c>
      <c r="E669" s="39">
        <v>341</v>
      </c>
      <c r="F669" s="39">
        <v>341</v>
      </c>
      <c r="G669" s="39">
        <v>341</v>
      </c>
      <c r="H669" s="46">
        <f>SUM(Tabla1325[[#This Row],[PRIMER TRIMESTRE]:[CUARTO TRIMESTRE]])</f>
        <v>1364</v>
      </c>
      <c r="I669" s="17">
        <v>2552</v>
      </c>
      <c r="J669" s="17">
        <f>+Tabla1325[[#This Row],[CANTIDAD TOTAL]]*Tabla1325[[#This Row],[PRECIO UNITARIO ESTIMADO]]</f>
        <v>3480928</v>
      </c>
      <c r="K669" s="17"/>
      <c r="L669" s="16" t="s">
        <v>27</v>
      </c>
      <c r="M669" s="16" t="s">
        <v>22</v>
      </c>
      <c r="N669" s="39" t="s">
        <v>418</v>
      </c>
    </row>
    <row r="670" spans="1:14" s="12" customFormat="1">
      <c r="A670" s="15" t="s">
        <v>120</v>
      </c>
      <c r="B670" s="106" t="s">
        <v>756</v>
      </c>
      <c r="C670" s="39" t="s">
        <v>234</v>
      </c>
      <c r="D670" s="39">
        <v>112</v>
      </c>
      <c r="E670" s="39">
        <v>112</v>
      </c>
      <c r="F670" s="39">
        <v>112</v>
      </c>
      <c r="G670" s="39">
        <v>112</v>
      </c>
      <c r="H670" s="46">
        <f>SUM(Tabla1325[[#This Row],[PRIMER TRIMESTRE]:[CUARTO TRIMESTRE]])</f>
        <v>448</v>
      </c>
      <c r="I670" s="17">
        <v>24.78</v>
      </c>
      <c r="J670" s="17">
        <f t="shared" ref="J670:J676" si="14">+H670*I670</f>
        <v>11101.44</v>
      </c>
      <c r="K670" s="17"/>
      <c r="L670" s="16" t="s">
        <v>27</v>
      </c>
      <c r="M670" s="16" t="s">
        <v>22</v>
      </c>
      <c r="N670" s="39" t="s">
        <v>418</v>
      </c>
    </row>
    <row r="671" spans="1:14" s="12" customFormat="1">
      <c r="A671" s="15" t="s">
        <v>120</v>
      </c>
      <c r="B671" s="106" t="s">
        <v>763</v>
      </c>
      <c r="C671" s="39" t="s">
        <v>17</v>
      </c>
      <c r="D671" s="39">
        <v>177</v>
      </c>
      <c r="E671" s="39">
        <v>177</v>
      </c>
      <c r="F671" s="39">
        <v>177</v>
      </c>
      <c r="G671" s="39">
        <v>177</v>
      </c>
      <c r="H671" s="46">
        <f>SUM(Tabla1325[[#This Row],[PRIMER TRIMESTRE]:[CUARTO TRIMESTRE]])</f>
        <v>708</v>
      </c>
      <c r="I671" s="17">
        <v>186.44</v>
      </c>
      <c r="J671" s="17">
        <f t="shared" si="14"/>
        <v>131999.51999999999</v>
      </c>
      <c r="K671" s="17"/>
      <c r="L671" s="16" t="s">
        <v>27</v>
      </c>
      <c r="M671" s="16" t="s">
        <v>22</v>
      </c>
      <c r="N671" s="39" t="s">
        <v>418</v>
      </c>
    </row>
    <row r="672" spans="1:14" s="12" customFormat="1">
      <c r="A672" s="15" t="s">
        <v>120</v>
      </c>
      <c r="B672" s="106" t="s">
        <v>410</v>
      </c>
      <c r="C672" s="39" t="s">
        <v>417</v>
      </c>
      <c r="D672" s="39">
        <v>772</v>
      </c>
      <c r="E672" s="39">
        <v>772</v>
      </c>
      <c r="F672" s="39">
        <v>772</v>
      </c>
      <c r="G672" s="39">
        <v>772</v>
      </c>
      <c r="H672" s="46">
        <f>SUM(Tabla1325[[#This Row],[PRIMER TRIMESTRE]:[CUARTO TRIMESTRE]])</f>
        <v>3088</v>
      </c>
      <c r="I672" s="17">
        <v>10</v>
      </c>
      <c r="J672" s="17">
        <f t="shared" si="14"/>
        <v>30880</v>
      </c>
      <c r="K672" s="17"/>
      <c r="L672" s="16" t="s">
        <v>27</v>
      </c>
      <c r="M672" s="16" t="s">
        <v>22</v>
      </c>
      <c r="N672" s="39" t="s">
        <v>418</v>
      </c>
    </row>
    <row r="673" spans="1:14" s="12" customFormat="1">
      <c r="A673" s="15" t="s">
        <v>120</v>
      </c>
      <c r="B673" s="106" t="s">
        <v>411</v>
      </c>
      <c r="C673" s="39" t="s">
        <v>417</v>
      </c>
      <c r="D673" s="39">
        <v>773</v>
      </c>
      <c r="E673" s="39">
        <v>773</v>
      </c>
      <c r="F673" s="39">
        <v>773</v>
      </c>
      <c r="G673" s="39">
        <v>773</v>
      </c>
      <c r="H673" s="46">
        <f>SUM(Tabla1325[[#This Row],[PRIMER TRIMESTRE]:[CUARTO TRIMESTRE]])</f>
        <v>3092</v>
      </c>
      <c r="I673" s="17">
        <v>14.37</v>
      </c>
      <c r="J673" s="17">
        <f t="shared" si="14"/>
        <v>44432.04</v>
      </c>
      <c r="K673" s="17"/>
      <c r="L673" s="16" t="s">
        <v>27</v>
      </c>
      <c r="M673" s="16" t="s">
        <v>22</v>
      </c>
      <c r="N673" s="39" t="s">
        <v>418</v>
      </c>
    </row>
    <row r="674" spans="1:14" s="12" customFormat="1">
      <c r="A674" s="15" t="s">
        <v>120</v>
      </c>
      <c r="B674" s="106" t="s">
        <v>412</v>
      </c>
      <c r="C674" s="39" t="s">
        <v>417</v>
      </c>
      <c r="D674" s="39">
        <v>769</v>
      </c>
      <c r="E674" s="39">
        <v>769</v>
      </c>
      <c r="F674" s="39">
        <v>769</v>
      </c>
      <c r="G674" s="39">
        <v>769</v>
      </c>
      <c r="H674" s="46">
        <f>SUM(Tabla1325[[#This Row],[PRIMER TRIMESTRE]:[CUARTO TRIMESTRE]])</f>
        <v>3076</v>
      </c>
      <c r="I674" s="17">
        <v>24.79</v>
      </c>
      <c r="J674" s="17">
        <f t="shared" si="14"/>
        <v>76254.039999999994</v>
      </c>
      <c r="K674" s="17"/>
      <c r="L674" s="16" t="s">
        <v>27</v>
      </c>
      <c r="M674" s="16" t="s">
        <v>22</v>
      </c>
      <c r="N674" s="39" t="s">
        <v>418</v>
      </c>
    </row>
    <row r="675" spans="1:14" s="12" customFormat="1">
      <c r="A675" s="15" t="s">
        <v>120</v>
      </c>
      <c r="B675" s="106" t="s">
        <v>413</v>
      </c>
      <c r="C675" s="39" t="s">
        <v>208</v>
      </c>
      <c r="D675" s="39">
        <v>111</v>
      </c>
      <c r="E675" s="39">
        <v>111</v>
      </c>
      <c r="F675" s="39">
        <v>111</v>
      </c>
      <c r="G675" s="39">
        <v>111</v>
      </c>
      <c r="H675" s="46">
        <f>SUM(Tabla1325[[#This Row],[PRIMER TRIMESTRE]:[CUARTO TRIMESTRE]])</f>
        <v>444</v>
      </c>
      <c r="I675" s="17">
        <v>371.09</v>
      </c>
      <c r="J675" s="17">
        <f t="shared" si="14"/>
        <v>164763.96</v>
      </c>
      <c r="K675" s="17"/>
      <c r="L675" s="16" t="s">
        <v>27</v>
      </c>
      <c r="M675" s="16" t="s">
        <v>22</v>
      </c>
      <c r="N675" s="39" t="s">
        <v>418</v>
      </c>
    </row>
    <row r="676" spans="1:14" s="12" customFormat="1">
      <c r="A676" s="15" t="s">
        <v>120</v>
      </c>
      <c r="B676" s="106" t="s">
        <v>762</v>
      </c>
      <c r="C676" s="39" t="s">
        <v>208</v>
      </c>
      <c r="D676" s="39">
        <v>81</v>
      </c>
      <c r="E676" s="39">
        <v>81</v>
      </c>
      <c r="F676" s="39">
        <v>81</v>
      </c>
      <c r="G676" s="39">
        <v>81</v>
      </c>
      <c r="H676" s="46">
        <f>SUM(Tabla1325[[#This Row],[PRIMER TRIMESTRE]:[CUARTO TRIMESTRE]])</f>
        <v>324</v>
      </c>
      <c r="I676" s="17">
        <v>433.06</v>
      </c>
      <c r="J676" s="17">
        <f t="shared" si="14"/>
        <v>140311.44</v>
      </c>
      <c r="K676" s="17"/>
      <c r="L676" s="16" t="s">
        <v>27</v>
      </c>
      <c r="M676" s="16" t="s">
        <v>22</v>
      </c>
      <c r="N676" s="39" t="s">
        <v>418</v>
      </c>
    </row>
    <row r="677" spans="1:14" s="12" customFormat="1">
      <c r="A677" s="15" t="s">
        <v>120</v>
      </c>
      <c r="B677" s="106" t="s">
        <v>270</v>
      </c>
      <c r="C677" s="39" t="s">
        <v>17</v>
      </c>
      <c r="D677" s="39">
        <v>80</v>
      </c>
      <c r="E677" s="39">
        <v>80</v>
      </c>
      <c r="F677" s="39">
        <v>80</v>
      </c>
      <c r="G677" s="39">
        <v>80</v>
      </c>
      <c r="H677" s="46">
        <f>SUM(Tabla1325[[#This Row],[PRIMER TRIMESTRE]:[CUARTO TRIMESTRE]])</f>
        <v>320</v>
      </c>
      <c r="I677" s="17">
        <v>9.2799999999999994</v>
      </c>
      <c r="J677" s="17">
        <f>+Tabla1325[[#This Row],[CANTIDAD TOTAL]]*Tabla1325[[#This Row],[PRECIO UNITARIO ESTIMADO]]</f>
        <v>2969.6</v>
      </c>
      <c r="K677" s="17"/>
      <c r="L677" s="16" t="s">
        <v>27</v>
      </c>
      <c r="M677" s="16" t="s">
        <v>22</v>
      </c>
      <c r="N677" s="39" t="s">
        <v>418</v>
      </c>
    </row>
    <row r="678" spans="1:14" s="12" customFormat="1">
      <c r="A678" s="15" t="s">
        <v>120</v>
      </c>
      <c r="B678" s="106" t="s">
        <v>405</v>
      </c>
      <c r="C678" s="39" t="s">
        <v>17</v>
      </c>
      <c r="D678" s="39">
        <v>351</v>
      </c>
      <c r="E678" s="39">
        <v>351</v>
      </c>
      <c r="F678" s="39">
        <v>351</v>
      </c>
      <c r="G678" s="39">
        <v>351</v>
      </c>
      <c r="H678" s="46">
        <f>SUM(Tabla1325[[#This Row],[PRIMER TRIMESTRE]:[CUARTO TRIMESTRE]])</f>
        <v>1404</v>
      </c>
      <c r="I678" s="17">
        <v>11.21</v>
      </c>
      <c r="J678" s="17">
        <f>+H678*I678</f>
        <v>15738.840000000002</v>
      </c>
      <c r="K678" s="17"/>
      <c r="L678" s="16" t="s">
        <v>27</v>
      </c>
      <c r="M678" s="16" t="s">
        <v>22</v>
      </c>
      <c r="N678" s="39" t="s">
        <v>418</v>
      </c>
    </row>
    <row r="679" spans="1:14" s="12" customFormat="1">
      <c r="A679" s="15" t="s">
        <v>120</v>
      </c>
      <c r="B679" s="106" t="s">
        <v>406</v>
      </c>
      <c r="C679" s="39" t="s">
        <v>17</v>
      </c>
      <c r="D679" s="39">
        <v>396</v>
      </c>
      <c r="E679" s="39">
        <v>396</v>
      </c>
      <c r="F679" s="39">
        <v>396</v>
      </c>
      <c r="G679" s="39">
        <v>396</v>
      </c>
      <c r="H679" s="46">
        <f>SUM(Tabla1325[[#This Row],[PRIMER TRIMESTRE]:[CUARTO TRIMESTRE]])</f>
        <v>1584</v>
      </c>
      <c r="I679" s="17">
        <v>10.56</v>
      </c>
      <c r="J679" s="17">
        <f>+H679*I679</f>
        <v>16727.04</v>
      </c>
      <c r="K679" s="17"/>
      <c r="L679" s="16" t="s">
        <v>27</v>
      </c>
      <c r="M679" s="16" t="s">
        <v>22</v>
      </c>
      <c r="N679" s="39" t="s">
        <v>418</v>
      </c>
    </row>
    <row r="680" spans="1:14" s="12" customFormat="1">
      <c r="A680" s="15" t="s">
        <v>120</v>
      </c>
      <c r="B680" s="106" t="s">
        <v>407</v>
      </c>
      <c r="C680" s="39" t="s">
        <v>17</v>
      </c>
      <c r="D680" s="39">
        <v>351</v>
      </c>
      <c r="E680" s="39">
        <v>351</v>
      </c>
      <c r="F680" s="39">
        <v>351</v>
      </c>
      <c r="G680" s="39">
        <v>351</v>
      </c>
      <c r="H680" s="46">
        <f>SUM(Tabla1325[[#This Row],[PRIMER TRIMESTRE]:[CUARTO TRIMESTRE]])</f>
        <v>1404</v>
      </c>
      <c r="I680" s="17">
        <v>11.21</v>
      </c>
      <c r="J680" s="17">
        <f>+H680*I680</f>
        <v>15738.840000000002</v>
      </c>
      <c r="K680" s="17"/>
      <c r="L680" s="16" t="s">
        <v>27</v>
      </c>
      <c r="M680" s="16" t="s">
        <v>22</v>
      </c>
      <c r="N680" s="39" t="s">
        <v>418</v>
      </c>
    </row>
    <row r="681" spans="1:14" s="12" customFormat="1">
      <c r="A681" s="15" t="s">
        <v>120</v>
      </c>
      <c r="B681" s="106" t="s">
        <v>742</v>
      </c>
      <c r="C681" s="39" t="s">
        <v>17</v>
      </c>
      <c r="D681" s="39">
        <v>9</v>
      </c>
      <c r="E681" s="39">
        <v>9</v>
      </c>
      <c r="F681" s="39">
        <v>9</v>
      </c>
      <c r="G681" s="39">
        <v>9</v>
      </c>
      <c r="H681" s="46">
        <f>SUM(Tabla1325[[#This Row],[PRIMER TRIMESTRE]:[CUARTO TRIMESTRE]])</f>
        <v>36</v>
      </c>
      <c r="I681" s="17">
        <v>53.1</v>
      </c>
      <c r="J681" s="17">
        <f>+Tabla1325[[#This Row],[CANTIDAD TOTAL]]*Tabla1325[[#This Row],[PRECIO UNITARIO ESTIMADO]]</f>
        <v>1911.6000000000001</v>
      </c>
      <c r="K681" s="17"/>
      <c r="L681" s="16" t="s">
        <v>27</v>
      </c>
      <c r="M681" s="16" t="s">
        <v>22</v>
      </c>
      <c r="N681" s="39" t="s">
        <v>418</v>
      </c>
    </row>
    <row r="682" spans="1:14" s="12" customFormat="1">
      <c r="A682" s="15" t="s">
        <v>120</v>
      </c>
      <c r="B682" s="106" t="s">
        <v>271</v>
      </c>
      <c r="C682" s="39" t="s">
        <v>17</v>
      </c>
      <c r="D682" s="39">
        <v>134</v>
      </c>
      <c r="E682" s="39">
        <v>134</v>
      </c>
      <c r="F682" s="39">
        <v>134</v>
      </c>
      <c r="G682" s="39">
        <v>134</v>
      </c>
      <c r="H682" s="46">
        <f>SUM(Tabla1325[[#This Row],[PRIMER TRIMESTRE]:[CUARTO TRIMESTRE]])</f>
        <v>536</v>
      </c>
      <c r="I682" s="17">
        <v>18.399999999999999</v>
      </c>
      <c r="J682" s="17">
        <f>+H682*I682</f>
        <v>9862.4</v>
      </c>
      <c r="K682" s="17"/>
      <c r="L682" s="16" t="s">
        <v>27</v>
      </c>
      <c r="M682" s="16" t="s">
        <v>22</v>
      </c>
      <c r="N682" s="39" t="s">
        <v>418</v>
      </c>
    </row>
    <row r="683" spans="1:14" s="12" customFormat="1">
      <c r="A683" s="15" t="s">
        <v>120</v>
      </c>
      <c r="B683" s="106" t="s">
        <v>757</v>
      </c>
      <c r="C683" s="39" t="s">
        <v>17</v>
      </c>
      <c r="D683" s="39">
        <v>139</v>
      </c>
      <c r="E683" s="39">
        <v>139</v>
      </c>
      <c r="F683" s="39">
        <v>139</v>
      </c>
      <c r="G683" s="39">
        <v>139</v>
      </c>
      <c r="H683" s="46">
        <f>SUM(Tabla1325[[#This Row],[PRIMER TRIMESTRE]:[CUARTO TRIMESTRE]])</f>
        <v>556</v>
      </c>
      <c r="I683" s="17">
        <v>12.92</v>
      </c>
      <c r="J683" s="17">
        <f>+H683*I683</f>
        <v>7183.5199999999995</v>
      </c>
      <c r="K683" s="17"/>
      <c r="L683" s="16" t="s">
        <v>27</v>
      </c>
      <c r="M683" s="16" t="s">
        <v>22</v>
      </c>
      <c r="N683" s="39" t="s">
        <v>418</v>
      </c>
    </row>
    <row r="684" spans="1:14" s="12" customFormat="1">
      <c r="A684" s="15" t="s">
        <v>120</v>
      </c>
      <c r="B684" s="106" t="s">
        <v>325</v>
      </c>
      <c r="C684" s="39" t="s">
        <v>17</v>
      </c>
      <c r="D684" s="39">
        <v>636</v>
      </c>
      <c r="E684" s="39">
        <v>636</v>
      </c>
      <c r="F684" s="39">
        <v>636</v>
      </c>
      <c r="G684" s="39">
        <v>636</v>
      </c>
      <c r="H684" s="46">
        <f>SUM(Tabla1325[[#This Row],[PRIMER TRIMESTRE]:[CUARTO TRIMESTRE]])</f>
        <v>2544</v>
      </c>
      <c r="I684" s="17">
        <f>337351.26/1251</f>
        <v>269.66527577937649</v>
      </c>
      <c r="J684" s="17">
        <f>+Tabla1325[[#This Row],[CANTIDAD TOTAL]]*Tabla1325[[#This Row],[PRECIO UNITARIO ESTIMADO]]</f>
        <v>686028.46158273378</v>
      </c>
      <c r="K684" s="17"/>
      <c r="L684" s="16" t="s">
        <v>27</v>
      </c>
      <c r="M684" s="16" t="s">
        <v>22</v>
      </c>
      <c r="N684" s="39" t="s">
        <v>418</v>
      </c>
    </row>
    <row r="685" spans="1:14" s="12" customFormat="1">
      <c r="A685" s="15" t="s">
        <v>120</v>
      </c>
      <c r="B685" s="106" t="s">
        <v>784</v>
      </c>
      <c r="C685" s="39" t="s">
        <v>17</v>
      </c>
      <c r="D685" s="39">
        <v>222</v>
      </c>
      <c r="E685" s="39">
        <v>222</v>
      </c>
      <c r="F685" s="39">
        <v>222</v>
      </c>
      <c r="G685" s="39">
        <v>222</v>
      </c>
      <c r="H685" s="46">
        <f>SUM(Tabla1325[[#This Row],[PRIMER TRIMESTRE]:[CUARTO TRIMESTRE]])</f>
        <v>888</v>
      </c>
      <c r="I685" s="72">
        <f>20*1.18</f>
        <v>23.599999999999998</v>
      </c>
      <c r="J685" s="17">
        <f>+H685*I685</f>
        <v>20956.8</v>
      </c>
      <c r="K685" s="17"/>
      <c r="L685" s="16" t="s">
        <v>27</v>
      </c>
      <c r="M685" s="16" t="s">
        <v>22</v>
      </c>
      <c r="N685" s="39" t="s">
        <v>418</v>
      </c>
    </row>
    <row r="686" spans="1:14" s="12" customFormat="1">
      <c r="A686" s="15" t="s">
        <v>120</v>
      </c>
      <c r="B686" s="106" t="s">
        <v>785</v>
      </c>
      <c r="C686" s="39" t="s">
        <v>17</v>
      </c>
      <c r="D686" s="39">
        <v>222</v>
      </c>
      <c r="E686" s="39">
        <v>222</v>
      </c>
      <c r="F686" s="39">
        <v>222</v>
      </c>
      <c r="G686" s="39">
        <v>222</v>
      </c>
      <c r="H686" s="46">
        <f>SUM(Tabla1325[[#This Row],[PRIMER TRIMESTRE]:[CUARTO TRIMESTRE]])</f>
        <v>888</v>
      </c>
      <c r="I686" s="72">
        <f>4*1.18</f>
        <v>4.72</v>
      </c>
      <c r="J686" s="17">
        <f>+H686*I686</f>
        <v>4191.3599999999997</v>
      </c>
      <c r="K686" s="17"/>
      <c r="L686" s="16" t="s">
        <v>27</v>
      </c>
      <c r="M686" s="16" t="s">
        <v>22</v>
      </c>
      <c r="N686" s="39" t="s">
        <v>418</v>
      </c>
    </row>
    <row r="687" spans="1:14" s="12" customFormat="1">
      <c r="A687" s="15" t="s">
        <v>120</v>
      </c>
      <c r="B687" s="106" t="s">
        <v>272</v>
      </c>
      <c r="C687" s="39" t="s">
        <v>17</v>
      </c>
      <c r="D687" s="39">
        <v>50</v>
      </c>
      <c r="E687" s="39">
        <v>50</v>
      </c>
      <c r="F687" s="39">
        <v>50</v>
      </c>
      <c r="G687" s="39">
        <v>50</v>
      </c>
      <c r="H687" s="46">
        <f>SUM(Tabla1325[[#This Row],[PRIMER TRIMESTRE]:[CUARTO TRIMESTRE]])</f>
        <v>200</v>
      </c>
      <c r="I687" s="17">
        <v>348</v>
      </c>
      <c r="J687" s="17">
        <f>+Tabla1325[[#This Row],[CANTIDAD TOTAL]]*Tabla1325[[#This Row],[PRECIO UNITARIO ESTIMADO]]</f>
        <v>69600</v>
      </c>
      <c r="K687" s="17"/>
      <c r="L687" s="16" t="s">
        <v>27</v>
      </c>
      <c r="M687" s="16" t="s">
        <v>22</v>
      </c>
      <c r="N687" s="39" t="s">
        <v>418</v>
      </c>
    </row>
    <row r="688" spans="1:14" s="12" customFormat="1">
      <c r="A688" s="15" t="s">
        <v>120</v>
      </c>
      <c r="B688" s="106" t="s">
        <v>758</v>
      </c>
      <c r="C688" s="39" t="s">
        <v>17</v>
      </c>
      <c r="D688" s="39">
        <v>90</v>
      </c>
      <c r="E688" s="39">
        <v>90</v>
      </c>
      <c r="F688" s="39">
        <v>90</v>
      </c>
      <c r="G688" s="39">
        <v>90</v>
      </c>
      <c r="H688" s="46">
        <f>SUM(Tabla1325[[#This Row],[PRIMER TRIMESTRE]:[CUARTO TRIMESTRE]])</f>
        <v>360</v>
      </c>
      <c r="I688" s="17">
        <v>61.95</v>
      </c>
      <c r="J688" s="17">
        <f>+H688*I688</f>
        <v>22302</v>
      </c>
      <c r="K688" s="17"/>
      <c r="L688" s="16" t="s">
        <v>27</v>
      </c>
      <c r="M688" s="16" t="s">
        <v>22</v>
      </c>
      <c r="N688" s="39" t="s">
        <v>418</v>
      </c>
    </row>
    <row r="689" spans="1:14" s="12" customFormat="1">
      <c r="A689" s="15" t="s">
        <v>120</v>
      </c>
      <c r="B689" s="78" t="s">
        <v>477</v>
      </c>
      <c r="C689" s="39" t="s">
        <v>417</v>
      </c>
      <c r="D689" s="39"/>
      <c r="E689" s="39"/>
      <c r="F689" s="39"/>
      <c r="G689" s="39"/>
      <c r="H689" s="46">
        <f>SUM(Tabla1325[[#This Row],[PRIMER TRIMESTRE]:[CUARTO TRIMESTRE]])</f>
        <v>0</v>
      </c>
      <c r="I689" s="17">
        <v>650</v>
      </c>
      <c r="J689" s="17">
        <f>+H689*I689</f>
        <v>0</v>
      </c>
      <c r="K689" s="17"/>
      <c r="L689" s="16" t="s">
        <v>27</v>
      </c>
      <c r="M689" s="16" t="s">
        <v>22</v>
      </c>
      <c r="N689" s="39" t="s">
        <v>418</v>
      </c>
    </row>
    <row r="690" spans="1:14" s="12" customFormat="1">
      <c r="A690" s="15" t="s">
        <v>120</v>
      </c>
      <c r="B690" s="78" t="s">
        <v>478</v>
      </c>
      <c r="C690" s="39" t="s">
        <v>417</v>
      </c>
      <c r="D690" s="39"/>
      <c r="E690" s="39"/>
      <c r="F690" s="39"/>
      <c r="G690" s="39"/>
      <c r="H690" s="46">
        <f>SUM(Tabla1325[[#This Row],[PRIMER TRIMESTRE]:[CUARTO TRIMESTRE]])</f>
        <v>0</v>
      </c>
      <c r="I690" s="17">
        <v>950</v>
      </c>
      <c r="J690" s="17">
        <f>+H690*I690</f>
        <v>0</v>
      </c>
      <c r="K690" s="17"/>
      <c r="L690" s="16" t="s">
        <v>27</v>
      </c>
      <c r="M690" s="16" t="s">
        <v>22</v>
      </c>
      <c r="N690" s="39" t="s">
        <v>418</v>
      </c>
    </row>
    <row r="691" spans="1:14" s="12" customFormat="1">
      <c r="A691" s="15" t="s">
        <v>120</v>
      </c>
      <c r="B691" s="79" t="s">
        <v>479</v>
      </c>
      <c r="C691" s="39" t="s">
        <v>417</v>
      </c>
      <c r="D691" s="39"/>
      <c r="E691" s="39"/>
      <c r="F691" s="39"/>
      <c r="G691" s="39"/>
      <c r="H691" s="46">
        <f>SUM(Tabla1325[[#This Row],[PRIMER TRIMESTRE]:[CUARTO TRIMESTRE]])</f>
        <v>0</v>
      </c>
      <c r="I691" s="17">
        <v>650</v>
      </c>
      <c r="J691" s="17">
        <f t="shared" ref="J691:J754" si="15">+H691*I691</f>
        <v>0</v>
      </c>
      <c r="K691" s="17"/>
      <c r="L691" s="16" t="s">
        <v>27</v>
      </c>
      <c r="M691" s="16" t="s">
        <v>22</v>
      </c>
      <c r="N691" s="39" t="s">
        <v>418</v>
      </c>
    </row>
    <row r="692" spans="1:14" s="12" customFormat="1">
      <c r="A692" s="15" t="s">
        <v>120</v>
      </c>
      <c r="B692" s="78" t="s">
        <v>480</v>
      </c>
      <c r="C692" s="39" t="s">
        <v>417</v>
      </c>
      <c r="D692" s="39"/>
      <c r="E692" s="39"/>
      <c r="F692" s="39"/>
      <c r="G692" s="39"/>
      <c r="H692" s="46">
        <f>SUM(Tabla1325[[#This Row],[PRIMER TRIMESTRE]:[CUARTO TRIMESTRE]])</f>
        <v>0</v>
      </c>
      <c r="I692" s="17">
        <v>800</v>
      </c>
      <c r="J692" s="17">
        <f t="shared" si="15"/>
        <v>0</v>
      </c>
      <c r="K692" s="17"/>
      <c r="L692" s="16" t="s">
        <v>27</v>
      </c>
      <c r="M692" s="16" t="s">
        <v>22</v>
      </c>
      <c r="N692" s="39" t="s">
        <v>418</v>
      </c>
    </row>
    <row r="693" spans="1:14" s="12" customFormat="1">
      <c r="A693" s="15" t="s">
        <v>120</v>
      </c>
      <c r="B693" s="78" t="s">
        <v>481</v>
      </c>
      <c r="C693" s="39" t="s">
        <v>417</v>
      </c>
      <c r="D693" s="39"/>
      <c r="E693" s="39"/>
      <c r="F693" s="39"/>
      <c r="G693" s="39"/>
      <c r="H693" s="46">
        <f>SUM(Tabla1325[[#This Row],[PRIMER TRIMESTRE]:[CUARTO TRIMESTRE]])</f>
        <v>0</v>
      </c>
      <c r="I693" s="17">
        <v>1190</v>
      </c>
      <c r="J693" s="17">
        <f t="shared" si="15"/>
        <v>0</v>
      </c>
      <c r="K693" s="17"/>
      <c r="L693" s="16" t="s">
        <v>27</v>
      </c>
      <c r="M693" s="16" t="s">
        <v>22</v>
      </c>
      <c r="N693" s="39" t="s">
        <v>418</v>
      </c>
    </row>
    <row r="694" spans="1:14" s="12" customFormat="1">
      <c r="A694" s="15" t="s">
        <v>120</v>
      </c>
      <c r="B694" s="78" t="s">
        <v>482</v>
      </c>
      <c r="C694" s="39" t="s">
        <v>417</v>
      </c>
      <c r="D694" s="39"/>
      <c r="E694" s="39"/>
      <c r="F694" s="39"/>
      <c r="G694" s="39"/>
      <c r="H694" s="46">
        <f>SUM(Tabla1325[[#This Row],[PRIMER TRIMESTRE]:[CUARTO TRIMESTRE]])</f>
        <v>0</v>
      </c>
      <c r="I694" s="17">
        <v>1050</v>
      </c>
      <c r="J694" s="17">
        <f t="shared" si="15"/>
        <v>0</v>
      </c>
      <c r="K694" s="17"/>
      <c r="L694" s="16" t="s">
        <v>27</v>
      </c>
      <c r="M694" s="16" t="s">
        <v>22</v>
      </c>
      <c r="N694" s="39" t="s">
        <v>418</v>
      </c>
    </row>
    <row r="695" spans="1:14" s="12" customFormat="1">
      <c r="A695" s="15" t="s">
        <v>120</v>
      </c>
      <c r="B695" s="78" t="s">
        <v>483</v>
      </c>
      <c r="C695" s="39" t="s">
        <v>417</v>
      </c>
      <c r="D695" s="39"/>
      <c r="E695" s="39"/>
      <c r="F695" s="39"/>
      <c r="G695" s="39"/>
      <c r="H695" s="46">
        <f>SUM(Tabla1325[[#This Row],[PRIMER TRIMESTRE]:[CUARTO TRIMESTRE]])</f>
        <v>0</v>
      </c>
      <c r="I695" s="17">
        <v>990</v>
      </c>
      <c r="J695" s="17">
        <f t="shared" si="15"/>
        <v>0</v>
      </c>
      <c r="K695" s="17"/>
      <c r="L695" s="16" t="s">
        <v>27</v>
      </c>
      <c r="M695" s="16" t="s">
        <v>22</v>
      </c>
      <c r="N695" s="39" t="s">
        <v>418</v>
      </c>
    </row>
    <row r="696" spans="1:14" s="12" customFormat="1">
      <c r="A696" s="15" t="s">
        <v>120</v>
      </c>
      <c r="B696" s="78" t="s">
        <v>484</v>
      </c>
      <c r="C696" s="39" t="s">
        <v>417</v>
      </c>
      <c r="D696" s="39"/>
      <c r="E696" s="39"/>
      <c r="F696" s="39"/>
      <c r="G696" s="39"/>
      <c r="H696" s="46">
        <f>SUM(Tabla1325[[#This Row],[PRIMER TRIMESTRE]:[CUARTO TRIMESTRE]])</f>
        <v>0</v>
      </c>
      <c r="I696" s="17">
        <v>450</v>
      </c>
      <c r="J696" s="17">
        <f t="shared" si="15"/>
        <v>0</v>
      </c>
      <c r="K696" s="17"/>
      <c r="L696" s="16" t="s">
        <v>27</v>
      </c>
      <c r="M696" s="16" t="s">
        <v>22</v>
      </c>
      <c r="N696" s="39" t="s">
        <v>418</v>
      </c>
    </row>
    <row r="697" spans="1:14" s="12" customFormat="1">
      <c r="A697" s="15" t="s">
        <v>120</v>
      </c>
      <c r="B697" s="78" t="s">
        <v>485</v>
      </c>
      <c r="C697" s="39" t="s">
        <v>417</v>
      </c>
      <c r="D697" s="39"/>
      <c r="E697" s="39"/>
      <c r="F697" s="39"/>
      <c r="G697" s="39"/>
      <c r="H697" s="46">
        <f>SUM(Tabla1325[[#This Row],[PRIMER TRIMESTRE]:[CUARTO TRIMESTRE]])</f>
        <v>0</v>
      </c>
      <c r="I697" s="17">
        <v>550</v>
      </c>
      <c r="J697" s="17">
        <f t="shared" si="15"/>
        <v>0</v>
      </c>
      <c r="K697" s="17"/>
      <c r="L697" s="16" t="s">
        <v>27</v>
      </c>
      <c r="M697" s="16" t="s">
        <v>22</v>
      </c>
      <c r="N697" s="39" t="s">
        <v>418</v>
      </c>
    </row>
    <row r="698" spans="1:14" s="12" customFormat="1">
      <c r="A698" s="15" t="s">
        <v>120</v>
      </c>
      <c r="B698" s="78" t="s">
        <v>486</v>
      </c>
      <c r="C698" s="39" t="s">
        <v>417</v>
      </c>
      <c r="D698" s="39"/>
      <c r="E698" s="39"/>
      <c r="F698" s="39"/>
      <c r="G698" s="39"/>
      <c r="H698" s="46">
        <f>SUM(Tabla1325[[#This Row],[PRIMER TRIMESTRE]:[CUARTO TRIMESTRE]])</f>
        <v>0</v>
      </c>
      <c r="I698" s="17">
        <v>1000</v>
      </c>
      <c r="J698" s="17">
        <f t="shared" si="15"/>
        <v>0</v>
      </c>
      <c r="K698" s="17"/>
      <c r="L698" s="16" t="s">
        <v>27</v>
      </c>
      <c r="M698" s="16" t="s">
        <v>22</v>
      </c>
      <c r="N698" s="39" t="s">
        <v>418</v>
      </c>
    </row>
    <row r="699" spans="1:14" s="12" customFormat="1">
      <c r="A699" s="15" t="s">
        <v>120</v>
      </c>
      <c r="B699" s="78" t="s">
        <v>487</v>
      </c>
      <c r="C699" s="39" t="s">
        <v>417</v>
      </c>
      <c r="D699" s="39"/>
      <c r="E699" s="39"/>
      <c r="F699" s="39"/>
      <c r="G699" s="39"/>
      <c r="H699" s="46">
        <f>SUM(Tabla1325[[#This Row],[PRIMER TRIMESTRE]:[CUARTO TRIMESTRE]])</f>
        <v>0</v>
      </c>
      <c r="I699" s="17">
        <v>850</v>
      </c>
      <c r="J699" s="17">
        <f t="shared" si="15"/>
        <v>0</v>
      </c>
      <c r="K699" s="17"/>
      <c r="L699" s="16" t="s">
        <v>27</v>
      </c>
      <c r="M699" s="16" t="s">
        <v>22</v>
      </c>
      <c r="N699" s="39" t="s">
        <v>418</v>
      </c>
    </row>
    <row r="700" spans="1:14" s="12" customFormat="1">
      <c r="A700" s="15" t="s">
        <v>120</v>
      </c>
      <c r="B700" s="78" t="s">
        <v>488</v>
      </c>
      <c r="C700" s="39" t="s">
        <v>417</v>
      </c>
      <c r="D700" s="39"/>
      <c r="E700" s="39"/>
      <c r="F700" s="39"/>
      <c r="G700" s="39"/>
      <c r="H700" s="46">
        <f>SUM(Tabla1325[[#This Row],[PRIMER TRIMESTRE]:[CUARTO TRIMESTRE]])</f>
        <v>0</v>
      </c>
      <c r="I700" s="17">
        <v>850</v>
      </c>
      <c r="J700" s="17">
        <f t="shared" si="15"/>
        <v>0</v>
      </c>
      <c r="K700" s="17"/>
      <c r="L700" s="16" t="s">
        <v>27</v>
      </c>
      <c r="M700" s="16" t="s">
        <v>22</v>
      </c>
      <c r="N700" s="39" t="s">
        <v>418</v>
      </c>
    </row>
    <row r="701" spans="1:14" s="12" customFormat="1">
      <c r="A701" s="15" t="s">
        <v>120</v>
      </c>
      <c r="B701" s="78" t="s">
        <v>489</v>
      </c>
      <c r="C701" s="39" t="s">
        <v>417</v>
      </c>
      <c r="D701" s="39"/>
      <c r="E701" s="39"/>
      <c r="F701" s="39"/>
      <c r="G701" s="39"/>
      <c r="H701" s="46">
        <f>SUM(Tabla1325[[#This Row],[PRIMER TRIMESTRE]:[CUARTO TRIMESTRE]])</f>
        <v>0</v>
      </c>
      <c r="I701" s="17">
        <v>650</v>
      </c>
      <c r="J701" s="17">
        <f t="shared" si="15"/>
        <v>0</v>
      </c>
      <c r="K701" s="17"/>
      <c r="L701" s="16" t="s">
        <v>27</v>
      </c>
      <c r="M701" s="16" t="s">
        <v>22</v>
      </c>
      <c r="N701" s="39" t="s">
        <v>418</v>
      </c>
    </row>
    <row r="702" spans="1:14" s="12" customFormat="1">
      <c r="A702" s="15" t="s">
        <v>120</v>
      </c>
      <c r="B702" s="78" t="s">
        <v>490</v>
      </c>
      <c r="C702" s="39" t="s">
        <v>417</v>
      </c>
      <c r="D702" s="39"/>
      <c r="E702" s="39"/>
      <c r="F702" s="39"/>
      <c r="G702" s="39"/>
      <c r="H702" s="46">
        <f>SUM(Tabla1325[[#This Row],[PRIMER TRIMESTRE]:[CUARTO TRIMESTRE]])</f>
        <v>0</v>
      </c>
      <c r="I702" s="17">
        <v>1100</v>
      </c>
      <c r="J702" s="17">
        <f t="shared" si="15"/>
        <v>0</v>
      </c>
      <c r="K702" s="17"/>
      <c r="L702" s="16" t="s">
        <v>27</v>
      </c>
      <c r="M702" s="16" t="s">
        <v>22</v>
      </c>
      <c r="N702" s="39" t="s">
        <v>418</v>
      </c>
    </row>
    <row r="703" spans="1:14" s="12" customFormat="1">
      <c r="A703" s="15" t="s">
        <v>120</v>
      </c>
      <c r="B703" s="78" t="s">
        <v>491</v>
      </c>
      <c r="C703" s="39" t="s">
        <v>417</v>
      </c>
      <c r="D703" s="39"/>
      <c r="E703" s="39"/>
      <c r="F703" s="39"/>
      <c r="G703" s="39"/>
      <c r="H703" s="46">
        <f>SUM(Tabla1325[[#This Row],[PRIMER TRIMESTRE]:[CUARTO TRIMESTRE]])</f>
        <v>0</v>
      </c>
      <c r="I703" s="17">
        <v>1100</v>
      </c>
      <c r="J703" s="17">
        <f t="shared" si="15"/>
        <v>0</v>
      </c>
      <c r="K703" s="17"/>
      <c r="L703" s="16" t="s">
        <v>27</v>
      </c>
      <c r="M703" s="16" t="s">
        <v>22</v>
      </c>
      <c r="N703" s="39" t="s">
        <v>418</v>
      </c>
    </row>
    <row r="704" spans="1:14" s="12" customFormat="1">
      <c r="A704" s="15" t="s">
        <v>120</v>
      </c>
      <c r="B704" s="78" t="s">
        <v>492</v>
      </c>
      <c r="C704" s="39" t="s">
        <v>417</v>
      </c>
      <c r="D704" s="39"/>
      <c r="E704" s="39"/>
      <c r="F704" s="39"/>
      <c r="G704" s="39"/>
      <c r="H704" s="46">
        <f>SUM(Tabla1325[[#This Row],[PRIMER TRIMESTRE]:[CUARTO TRIMESTRE]])</f>
        <v>0</v>
      </c>
      <c r="I704" s="17">
        <v>1500</v>
      </c>
      <c r="J704" s="17">
        <f t="shared" si="15"/>
        <v>0</v>
      </c>
      <c r="K704" s="17"/>
      <c r="L704" s="16" t="s">
        <v>27</v>
      </c>
      <c r="M704" s="16" t="s">
        <v>22</v>
      </c>
      <c r="N704" s="39" t="s">
        <v>418</v>
      </c>
    </row>
    <row r="705" spans="1:14" s="12" customFormat="1">
      <c r="A705" s="15" t="s">
        <v>120</v>
      </c>
      <c r="B705" s="78" t="s">
        <v>493</v>
      </c>
      <c r="C705" s="39" t="s">
        <v>417</v>
      </c>
      <c r="D705" s="39"/>
      <c r="E705" s="39"/>
      <c r="F705" s="39"/>
      <c r="G705" s="39"/>
      <c r="H705" s="46">
        <f>SUM(Tabla1325[[#This Row],[PRIMER TRIMESTRE]:[CUARTO TRIMESTRE]])</f>
        <v>0</v>
      </c>
      <c r="I705" s="17">
        <v>1650</v>
      </c>
      <c r="J705" s="17">
        <f t="shared" si="15"/>
        <v>0</v>
      </c>
      <c r="K705" s="17"/>
      <c r="L705" s="16" t="s">
        <v>27</v>
      </c>
      <c r="M705" s="16" t="s">
        <v>22</v>
      </c>
      <c r="N705" s="39" t="s">
        <v>418</v>
      </c>
    </row>
    <row r="706" spans="1:14" s="12" customFormat="1">
      <c r="A706" s="15" t="s">
        <v>120</v>
      </c>
      <c r="B706" s="78" t="s">
        <v>494</v>
      </c>
      <c r="C706" s="39" t="s">
        <v>417</v>
      </c>
      <c r="D706" s="39"/>
      <c r="E706" s="39"/>
      <c r="F706" s="39"/>
      <c r="G706" s="39"/>
      <c r="H706" s="46">
        <f>SUM(Tabla1325[[#This Row],[PRIMER TRIMESTRE]:[CUARTO TRIMESTRE]])</f>
        <v>0</v>
      </c>
      <c r="I706" s="17">
        <v>1250</v>
      </c>
      <c r="J706" s="17">
        <f t="shared" si="15"/>
        <v>0</v>
      </c>
      <c r="K706" s="17"/>
      <c r="L706" s="16" t="s">
        <v>27</v>
      </c>
      <c r="M706" s="16" t="s">
        <v>22</v>
      </c>
      <c r="N706" s="39" t="s">
        <v>418</v>
      </c>
    </row>
    <row r="707" spans="1:14" s="12" customFormat="1">
      <c r="A707" s="15" t="s">
        <v>120</v>
      </c>
      <c r="B707" s="79" t="s">
        <v>495</v>
      </c>
      <c r="C707" s="39" t="s">
        <v>417</v>
      </c>
      <c r="D707" s="39"/>
      <c r="E707" s="39"/>
      <c r="F707" s="39"/>
      <c r="G707" s="39"/>
      <c r="H707" s="46">
        <f>SUM(Tabla1325[[#This Row],[PRIMER TRIMESTRE]:[CUARTO TRIMESTRE]])</f>
        <v>0</v>
      </c>
      <c r="I707" s="17">
        <v>1672</v>
      </c>
      <c r="J707" s="17">
        <f t="shared" si="15"/>
        <v>0</v>
      </c>
      <c r="K707" s="17"/>
      <c r="L707" s="16" t="s">
        <v>27</v>
      </c>
      <c r="M707" s="16" t="s">
        <v>22</v>
      </c>
      <c r="N707" s="39" t="s">
        <v>418</v>
      </c>
    </row>
    <row r="708" spans="1:14" s="12" customFormat="1" ht="25.5">
      <c r="A708" s="15" t="s">
        <v>120</v>
      </c>
      <c r="B708" s="79" t="s">
        <v>533</v>
      </c>
      <c r="C708" s="39" t="s">
        <v>417</v>
      </c>
      <c r="D708" s="39"/>
      <c r="E708" s="39"/>
      <c r="F708" s="39"/>
      <c r="G708" s="39"/>
      <c r="H708" s="46">
        <f>SUM(Tabla1325[[#This Row],[PRIMER TRIMESTRE]:[CUARTO TRIMESTRE]])</f>
        <v>0</v>
      </c>
      <c r="I708" s="17">
        <v>720</v>
      </c>
      <c r="J708" s="17">
        <f>+H708*I708</f>
        <v>0</v>
      </c>
      <c r="K708" s="17"/>
      <c r="L708" s="16" t="s">
        <v>27</v>
      </c>
      <c r="M708" s="16" t="s">
        <v>22</v>
      </c>
      <c r="N708" s="39" t="s">
        <v>418</v>
      </c>
    </row>
    <row r="709" spans="1:14" s="12" customFormat="1" ht="25.5">
      <c r="A709" s="15" t="s">
        <v>120</v>
      </c>
      <c r="B709" s="79" t="s">
        <v>534</v>
      </c>
      <c r="C709" s="39" t="s">
        <v>417</v>
      </c>
      <c r="D709" s="39"/>
      <c r="E709" s="39"/>
      <c r="F709" s="39"/>
      <c r="G709" s="39"/>
      <c r="H709" s="46">
        <f>SUM(Tabla1325[[#This Row],[PRIMER TRIMESTRE]:[CUARTO TRIMESTRE]])</f>
        <v>0</v>
      </c>
      <c r="I709" s="17">
        <v>1280</v>
      </c>
      <c r="J709" s="17">
        <f>+H709*I709</f>
        <v>0</v>
      </c>
      <c r="K709" s="17"/>
      <c r="L709" s="16" t="s">
        <v>27</v>
      </c>
      <c r="M709" s="16" t="s">
        <v>22</v>
      </c>
      <c r="N709" s="39" t="s">
        <v>418</v>
      </c>
    </row>
    <row r="710" spans="1:14" s="12" customFormat="1">
      <c r="A710" s="15" t="s">
        <v>120</v>
      </c>
      <c r="B710" s="516" t="s">
        <v>474</v>
      </c>
      <c r="C710" s="39" t="s">
        <v>417</v>
      </c>
      <c r="D710" s="39">
        <v>15</v>
      </c>
      <c r="E710" s="39">
        <v>15</v>
      </c>
      <c r="F710" s="39">
        <v>15</v>
      </c>
      <c r="G710" s="39">
        <v>15</v>
      </c>
      <c r="H710" s="46">
        <f>SUM(Tabla1325[[#This Row],[PRIMER TRIMESTRE]:[CUARTO TRIMESTRE]])</f>
        <v>60</v>
      </c>
      <c r="I710" s="17">
        <v>2900</v>
      </c>
      <c r="J710" s="17">
        <f>+H710*I710</f>
        <v>174000</v>
      </c>
      <c r="K710" s="17"/>
      <c r="L710" s="16" t="s">
        <v>27</v>
      </c>
      <c r="M710" s="16" t="s">
        <v>22</v>
      </c>
      <c r="N710" s="39" t="s">
        <v>418</v>
      </c>
    </row>
    <row r="711" spans="1:14" s="12" customFormat="1">
      <c r="A711" s="15" t="s">
        <v>120</v>
      </c>
      <c r="B711" s="517" t="s">
        <v>475</v>
      </c>
      <c r="C711" s="39" t="s">
        <v>417</v>
      </c>
      <c r="D711" s="39">
        <v>10</v>
      </c>
      <c r="E711" s="39">
        <v>10</v>
      </c>
      <c r="F711" s="39">
        <v>10</v>
      </c>
      <c r="G711" s="39">
        <v>10</v>
      </c>
      <c r="H711" s="46">
        <f>SUM(Tabla1325[[#This Row],[PRIMER TRIMESTRE]:[CUARTO TRIMESTRE]])</f>
        <v>40</v>
      </c>
      <c r="I711" s="17">
        <v>2350</v>
      </c>
      <c r="J711" s="17">
        <f>+H711*I711</f>
        <v>94000</v>
      </c>
      <c r="K711" s="17"/>
      <c r="L711" s="16" t="s">
        <v>27</v>
      </c>
      <c r="M711" s="16" t="s">
        <v>22</v>
      </c>
      <c r="N711" s="39" t="s">
        <v>418</v>
      </c>
    </row>
    <row r="712" spans="1:14" s="12" customFormat="1">
      <c r="A712" s="15" t="s">
        <v>120</v>
      </c>
      <c r="B712" s="517" t="s">
        <v>476</v>
      </c>
      <c r="C712" s="39" t="s">
        <v>417</v>
      </c>
      <c r="D712" s="39">
        <v>2</v>
      </c>
      <c r="E712" s="39">
        <v>2</v>
      </c>
      <c r="F712" s="39">
        <v>2</v>
      </c>
      <c r="G712" s="39">
        <v>2</v>
      </c>
      <c r="H712" s="46">
        <f>SUM(Tabla1325[[#This Row],[PRIMER TRIMESTRE]:[CUARTO TRIMESTRE]])</f>
        <v>8</v>
      </c>
      <c r="I712" s="17">
        <v>3990</v>
      </c>
      <c r="J712" s="17">
        <f>+H712*I712</f>
        <v>31920</v>
      </c>
      <c r="K712" s="17"/>
      <c r="L712" s="16" t="s">
        <v>27</v>
      </c>
      <c r="M712" s="16" t="s">
        <v>22</v>
      </c>
      <c r="N712" s="39" t="s">
        <v>418</v>
      </c>
    </row>
    <row r="713" spans="1:14" s="12" customFormat="1">
      <c r="A713" s="15" t="s">
        <v>120</v>
      </c>
      <c r="B713" s="79" t="s">
        <v>496</v>
      </c>
      <c r="C713" s="39" t="s">
        <v>417</v>
      </c>
      <c r="D713" s="39"/>
      <c r="E713" s="39"/>
      <c r="F713" s="39"/>
      <c r="G713" s="39"/>
      <c r="H713" s="46">
        <f>SUM(Tabla1325[[#This Row],[PRIMER TRIMESTRE]:[CUARTO TRIMESTRE]])</f>
        <v>0</v>
      </c>
      <c r="I713" s="17">
        <v>4200</v>
      </c>
      <c r="J713" s="17">
        <f t="shared" si="15"/>
        <v>0</v>
      </c>
      <c r="K713" s="17"/>
      <c r="L713" s="16" t="s">
        <v>27</v>
      </c>
      <c r="M713" s="16" t="s">
        <v>22</v>
      </c>
      <c r="N713" s="39" t="s">
        <v>418</v>
      </c>
    </row>
    <row r="714" spans="1:14" s="12" customFormat="1">
      <c r="A714" s="15" t="s">
        <v>120</v>
      </c>
      <c r="B714" s="78" t="s">
        <v>497</v>
      </c>
      <c r="C714" s="39" t="s">
        <v>417</v>
      </c>
      <c r="D714" s="39"/>
      <c r="E714" s="39"/>
      <c r="F714" s="39"/>
      <c r="G714" s="39"/>
      <c r="H714" s="46">
        <f>SUM(Tabla1325[[#This Row],[PRIMER TRIMESTRE]:[CUARTO TRIMESTRE]])</f>
        <v>0</v>
      </c>
      <c r="I714" s="17">
        <v>4200</v>
      </c>
      <c r="J714" s="17">
        <f t="shared" si="15"/>
        <v>0</v>
      </c>
      <c r="K714" s="17"/>
      <c r="L714" s="16" t="s">
        <v>27</v>
      </c>
      <c r="M714" s="16" t="s">
        <v>22</v>
      </c>
      <c r="N714" s="39" t="s">
        <v>418</v>
      </c>
    </row>
    <row r="715" spans="1:14" s="12" customFormat="1">
      <c r="A715" s="15" t="s">
        <v>120</v>
      </c>
      <c r="B715" s="78" t="s">
        <v>498</v>
      </c>
      <c r="C715" s="39" t="s">
        <v>417</v>
      </c>
      <c r="D715" s="39"/>
      <c r="E715" s="39"/>
      <c r="F715" s="39"/>
      <c r="G715" s="39"/>
      <c r="H715" s="46">
        <f>SUM(Tabla1325[[#This Row],[PRIMER TRIMESTRE]:[CUARTO TRIMESTRE]])</f>
        <v>0</v>
      </c>
      <c r="I715" s="17">
        <v>4200</v>
      </c>
      <c r="J715" s="17">
        <f t="shared" si="15"/>
        <v>0</v>
      </c>
      <c r="K715" s="17"/>
      <c r="L715" s="16" t="s">
        <v>27</v>
      </c>
      <c r="M715" s="16" t="s">
        <v>22</v>
      </c>
      <c r="N715" s="39" t="s">
        <v>418</v>
      </c>
    </row>
    <row r="716" spans="1:14" s="12" customFormat="1">
      <c r="A716" s="15" t="s">
        <v>120</v>
      </c>
      <c r="B716" s="78" t="s">
        <v>499</v>
      </c>
      <c r="C716" s="39" t="s">
        <v>417</v>
      </c>
      <c r="D716" s="39"/>
      <c r="E716" s="39"/>
      <c r="F716" s="39"/>
      <c r="G716" s="39"/>
      <c r="H716" s="46">
        <f>SUM(Tabla1325[[#This Row],[PRIMER TRIMESTRE]:[CUARTO TRIMESTRE]])</f>
        <v>0</v>
      </c>
      <c r="I716" s="17">
        <v>4200</v>
      </c>
      <c r="J716" s="17">
        <f t="shared" si="15"/>
        <v>0</v>
      </c>
      <c r="K716" s="17"/>
      <c r="L716" s="16" t="s">
        <v>27</v>
      </c>
      <c r="M716" s="16" t="s">
        <v>22</v>
      </c>
      <c r="N716" s="39" t="s">
        <v>418</v>
      </c>
    </row>
    <row r="717" spans="1:14" s="12" customFormat="1">
      <c r="A717" s="15" t="s">
        <v>120</v>
      </c>
      <c r="B717" s="516" t="s">
        <v>500</v>
      </c>
      <c r="C717" s="39" t="s">
        <v>417</v>
      </c>
      <c r="D717" s="39">
        <v>9</v>
      </c>
      <c r="E717" s="39">
        <v>9</v>
      </c>
      <c r="F717" s="39">
        <v>9</v>
      </c>
      <c r="G717" s="39">
        <v>9</v>
      </c>
      <c r="H717" s="46">
        <f>SUM(Tabla1325[[#This Row],[PRIMER TRIMESTRE]:[CUARTO TRIMESTRE]])</f>
        <v>36</v>
      </c>
      <c r="I717" s="17">
        <v>11500</v>
      </c>
      <c r="J717" s="17">
        <f t="shared" si="15"/>
        <v>414000</v>
      </c>
      <c r="K717" s="17"/>
      <c r="L717" s="16" t="s">
        <v>27</v>
      </c>
      <c r="M717" s="16" t="s">
        <v>22</v>
      </c>
      <c r="N717" s="39" t="s">
        <v>418</v>
      </c>
    </row>
    <row r="718" spans="1:14" s="12" customFormat="1">
      <c r="A718" s="15" t="s">
        <v>120</v>
      </c>
      <c r="B718" s="79" t="s">
        <v>501</v>
      </c>
      <c r="C718" s="39" t="s">
        <v>417</v>
      </c>
      <c r="D718" s="39"/>
      <c r="E718" s="39"/>
      <c r="F718" s="39"/>
      <c r="G718" s="39"/>
      <c r="H718" s="46">
        <f>SUM(Tabla1325[[#This Row],[PRIMER TRIMESTRE]:[CUARTO TRIMESTRE]])</f>
        <v>0</v>
      </c>
      <c r="I718" s="17">
        <v>3250</v>
      </c>
      <c r="J718" s="17">
        <f t="shared" si="15"/>
        <v>0</v>
      </c>
      <c r="K718" s="17"/>
      <c r="L718" s="16" t="s">
        <v>27</v>
      </c>
      <c r="M718" s="16" t="s">
        <v>22</v>
      </c>
      <c r="N718" s="39" t="s">
        <v>418</v>
      </c>
    </row>
    <row r="719" spans="1:14" s="12" customFormat="1">
      <c r="A719" s="15" t="s">
        <v>120</v>
      </c>
      <c r="B719" s="78" t="s">
        <v>502</v>
      </c>
      <c r="C719" s="39" t="s">
        <v>417</v>
      </c>
      <c r="D719" s="39"/>
      <c r="E719" s="39"/>
      <c r="F719" s="39"/>
      <c r="G719" s="39"/>
      <c r="H719" s="46">
        <f>SUM(Tabla1325[[#This Row],[PRIMER TRIMESTRE]:[CUARTO TRIMESTRE]])</f>
        <v>0</v>
      </c>
      <c r="I719" s="17">
        <v>450</v>
      </c>
      <c r="J719" s="17">
        <f t="shared" si="15"/>
        <v>0</v>
      </c>
      <c r="K719" s="17"/>
      <c r="L719" s="16" t="s">
        <v>27</v>
      </c>
      <c r="M719" s="16" t="s">
        <v>22</v>
      </c>
      <c r="N719" s="39" t="s">
        <v>418</v>
      </c>
    </row>
    <row r="720" spans="1:14" s="12" customFormat="1">
      <c r="A720" s="15" t="s">
        <v>120</v>
      </c>
      <c r="B720" s="78" t="s">
        <v>503</v>
      </c>
      <c r="C720" s="39" t="s">
        <v>417</v>
      </c>
      <c r="D720" s="39"/>
      <c r="E720" s="39"/>
      <c r="F720" s="39"/>
      <c r="G720" s="39"/>
      <c r="H720" s="46">
        <f>SUM(Tabla1325[[#This Row],[PRIMER TRIMESTRE]:[CUARTO TRIMESTRE]])</f>
        <v>0</v>
      </c>
      <c r="I720" s="17">
        <v>450</v>
      </c>
      <c r="J720" s="17">
        <f t="shared" si="15"/>
        <v>0</v>
      </c>
      <c r="K720" s="17"/>
      <c r="L720" s="16" t="s">
        <v>27</v>
      </c>
      <c r="M720" s="16" t="s">
        <v>22</v>
      </c>
      <c r="N720" s="39" t="s">
        <v>418</v>
      </c>
    </row>
    <row r="721" spans="1:14" s="12" customFormat="1">
      <c r="A721" s="15" t="s">
        <v>120</v>
      </c>
      <c r="B721" s="78" t="s">
        <v>504</v>
      </c>
      <c r="C721" s="39" t="s">
        <v>417</v>
      </c>
      <c r="D721" s="39"/>
      <c r="E721" s="39"/>
      <c r="F721" s="39"/>
      <c r="G721" s="39"/>
      <c r="H721" s="46">
        <f>SUM(Tabla1325[[#This Row],[PRIMER TRIMESTRE]:[CUARTO TRIMESTRE]])</f>
        <v>0</v>
      </c>
      <c r="I721" s="17">
        <v>450</v>
      </c>
      <c r="J721" s="17">
        <f t="shared" si="15"/>
        <v>0</v>
      </c>
      <c r="K721" s="17"/>
      <c r="L721" s="16" t="s">
        <v>27</v>
      </c>
      <c r="M721" s="16" t="s">
        <v>22</v>
      </c>
      <c r="N721" s="39" t="s">
        <v>418</v>
      </c>
    </row>
    <row r="722" spans="1:14" s="12" customFormat="1">
      <c r="A722" s="15" t="s">
        <v>120</v>
      </c>
      <c r="B722" s="78" t="s">
        <v>505</v>
      </c>
      <c r="C722" s="39" t="s">
        <v>417</v>
      </c>
      <c r="D722" s="39"/>
      <c r="E722" s="39"/>
      <c r="F722" s="39"/>
      <c r="G722" s="39"/>
      <c r="H722" s="46">
        <f>SUM(Tabla1325[[#This Row],[PRIMER TRIMESTRE]:[CUARTO TRIMESTRE]])</f>
        <v>0</v>
      </c>
      <c r="I722" s="17">
        <v>450</v>
      </c>
      <c r="J722" s="17">
        <f t="shared" si="15"/>
        <v>0</v>
      </c>
      <c r="K722" s="17"/>
      <c r="L722" s="16" t="s">
        <v>27</v>
      </c>
      <c r="M722" s="16" t="s">
        <v>22</v>
      </c>
      <c r="N722" s="39" t="s">
        <v>418</v>
      </c>
    </row>
    <row r="723" spans="1:14" s="12" customFormat="1">
      <c r="A723" s="15" t="s">
        <v>120</v>
      </c>
      <c r="B723" s="78" t="s">
        <v>506</v>
      </c>
      <c r="C723" s="39" t="s">
        <v>417</v>
      </c>
      <c r="D723" s="39"/>
      <c r="E723" s="39"/>
      <c r="F723" s="39"/>
      <c r="G723" s="39"/>
      <c r="H723" s="46">
        <f>SUM(Tabla1325[[#This Row],[PRIMER TRIMESTRE]:[CUARTO TRIMESTRE]])</f>
        <v>0</v>
      </c>
      <c r="I723" s="17">
        <v>5800</v>
      </c>
      <c r="J723" s="17">
        <f t="shared" si="15"/>
        <v>0</v>
      </c>
      <c r="K723" s="17"/>
      <c r="L723" s="16" t="s">
        <v>27</v>
      </c>
      <c r="M723" s="16" t="s">
        <v>22</v>
      </c>
      <c r="N723" s="39" t="s">
        <v>418</v>
      </c>
    </row>
    <row r="724" spans="1:14" s="12" customFormat="1">
      <c r="A724" s="15" t="s">
        <v>120</v>
      </c>
      <c r="B724" s="78" t="s">
        <v>507</v>
      </c>
      <c r="C724" s="39" t="s">
        <v>417</v>
      </c>
      <c r="D724" s="39"/>
      <c r="E724" s="39"/>
      <c r="F724" s="39"/>
      <c r="G724" s="39"/>
      <c r="H724" s="46">
        <f>SUM(Tabla1325[[#This Row],[PRIMER TRIMESTRE]:[CUARTO TRIMESTRE]])</f>
        <v>0</v>
      </c>
      <c r="I724" s="17">
        <v>2800</v>
      </c>
      <c r="J724" s="17">
        <f t="shared" si="15"/>
        <v>0</v>
      </c>
      <c r="K724" s="17"/>
      <c r="L724" s="16" t="s">
        <v>27</v>
      </c>
      <c r="M724" s="16" t="s">
        <v>22</v>
      </c>
      <c r="N724" s="39" t="s">
        <v>418</v>
      </c>
    </row>
    <row r="725" spans="1:14" s="12" customFormat="1">
      <c r="A725" s="15" t="s">
        <v>120</v>
      </c>
      <c r="B725" s="78" t="s">
        <v>508</v>
      </c>
      <c r="C725" s="39" t="s">
        <v>417</v>
      </c>
      <c r="D725" s="39"/>
      <c r="E725" s="39"/>
      <c r="F725" s="39"/>
      <c r="G725" s="39"/>
      <c r="H725" s="46">
        <f>SUM(Tabla1325[[#This Row],[PRIMER TRIMESTRE]:[CUARTO TRIMESTRE]])</f>
        <v>0</v>
      </c>
      <c r="I725" s="17">
        <v>5100</v>
      </c>
      <c r="J725" s="17">
        <f t="shared" si="15"/>
        <v>0</v>
      </c>
      <c r="K725" s="17"/>
      <c r="L725" s="16" t="s">
        <v>27</v>
      </c>
      <c r="M725" s="16" t="s">
        <v>22</v>
      </c>
      <c r="N725" s="39" t="s">
        <v>418</v>
      </c>
    </row>
    <row r="726" spans="1:14" s="12" customFormat="1">
      <c r="A726" s="15" t="s">
        <v>120</v>
      </c>
      <c r="B726" s="78" t="s">
        <v>509</v>
      </c>
      <c r="C726" s="39" t="s">
        <v>417</v>
      </c>
      <c r="D726" s="39"/>
      <c r="E726" s="39"/>
      <c r="F726" s="39"/>
      <c r="G726" s="39"/>
      <c r="H726" s="46">
        <f>SUM(Tabla1325[[#This Row],[PRIMER TRIMESTRE]:[CUARTO TRIMESTRE]])</f>
        <v>0</v>
      </c>
      <c r="I726" s="17">
        <v>5100</v>
      </c>
      <c r="J726" s="17">
        <f t="shared" si="15"/>
        <v>0</v>
      </c>
      <c r="K726" s="17"/>
      <c r="L726" s="16" t="s">
        <v>27</v>
      </c>
      <c r="M726" s="16" t="s">
        <v>22</v>
      </c>
      <c r="N726" s="39" t="s">
        <v>418</v>
      </c>
    </row>
    <row r="727" spans="1:14" s="12" customFormat="1">
      <c r="A727" s="15" t="s">
        <v>120</v>
      </c>
      <c r="B727" s="78" t="s">
        <v>510</v>
      </c>
      <c r="C727" s="39" t="s">
        <v>417</v>
      </c>
      <c r="D727" s="39"/>
      <c r="E727" s="39"/>
      <c r="F727" s="39"/>
      <c r="G727" s="39"/>
      <c r="H727" s="46">
        <f>SUM(Tabla1325[[#This Row],[PRIMER TRIMESTRE]:[CUARTO TRIMESTRE]])</f>
        <v>0</v>
      </c>
      <c r="I727" s="17">
        <v>5100</v>
      </c>
      <c r="J727" s="17">
        <f t="shared" si="15"/>
        <v>0</v>
      </c>
      <c r="K727" s="17"/>
      <c r="L727" s="16" t="s">
        <v>27</v>
      </c>
      <c r="M727" s="16" t="s">
        <v>22</v>
      </c>
      <c r="N727" s="39" t="s">
        <v>418</v>
      </c>
    </row>
    <row r="728" spans="1:14" s="12" customFormat="1">
      <c r="A728" s="15" t="s">
        <v>120</v>
      </c>
      <c r="B728" s="78" t="s">
        <v>511</v>
      </c>
      <c r="C728" s="39" t="s">
        <v>417</v>
      </c>
      <c r="D728" s="39"/>
      <c r="E728" s="39"/>
      <c r="F728" s="39"/>
      <c r="G728" s="39"/>
      <c r="H728" s="46">
        <f>SUM(Tabla1325[[#This Row],[PRIMER TRIMESTRE]:[CUARTO TRIMESTRE]])</f>
        <v>0</v>
      </c>
      <c r="I728" s="17">
        <v>5100</v>
      </c>
      <c r="J728" s="17">
        <f t="shared" si="15"/>
        <v>0</v>
      </c>
      <c r="K728" s="17"/>
      <c r="L728" s="16" t="s">
        <v>27</v>
      </c>
      <c r="M728" s="16" t="s">
        <v>22</v>
      </c>
      <c r="N728" s="39" t="s">
        <v>418</v>
      </c>
    </row>
    <row r="729" spans="1:14" s="12" customFormat="1">
      <c r="A729" s="15" t="s">
        <v>120</v>
      </c>
      <c r="B729" s="78" t="s">
        <v>512</v>
      </c>
      <c r="C729" s="39" t="s">
        <v>417</v>
      </c>
      <c r="D729" s="39"/>
      <c r="E729" s="39"/>
      <c r="F729" s="39"/>
      <c r="G729" s="39"/>
      <c r="H729" s="46">
        <f>SUM(Tabla1325[[#This Row],[PRIMER TRIMESTRE]:[CUARTO TRIMESTRE]])</f>
        <v>0</v>
      </c>
      <c r="I729" s="17">
        <v>2000</v>
      </c>
      <c r="J729" s="17">
        <f t="shared" si="15"/>
        <v>0</v>
      </c>
      <c r="K729" s="17"/>
      <c r="L729" s="16" t="s">
        <v>27</v>
      </c>
      <c r="M729" s="16" t="s">
        <v>22</v>
      </c>
      <c r="N729" s="39" t="s">
        <v>418</v>
      </c>
    </row>
    <row r="730" spans="1:14" s="12" customFormat="1">
      <c r="A730" s="15" t="s">
        <v>120</v>
      </c>
      <c r="B730" s="78" t="s">
        <v>513</v>
      </c>
      <c r="C730" s="39" t="s">
        <v>417</v>
      </c>
      <c r="D730" s="39"/>
      <c r="E730" s="39"/>
      <c r="F730" s="39"/>
      <c r="G730" s="39"/>
      <c r="H730" s="46">
        <f>SUM(Tabla1325[[#This Row],[PRIMER TRIMESTRE]:[CUARTO TRIMESTRE]])</f>
        <v>0</v>
      </c>
      <c r="I730" s="17">
        <v>2500</v>
      </c>
      <c r="J730" s="17">
        <f t="shared" si="15"/>
        <v>0</v>
      </c>
      <c r="K730" s="17"/>
      <c r="L730" s="16" t="s">
        <v>27</v>
      </c>
      <c r="M730" s="16" t="s">
        <v>22</v>
      </c>
      <c r="N730" s="39" t="s">
        <v>418</v>
      </c>
    </row>
    <row r="731" spans="1:14" s="12" customFormat="1">
      <c r="A731" s="15" t="s">
        <v>120</v>
      </c>
      <c r="B731" s="78" t="s">
        <v>514</v>
      </c>
      <c r="C731" s="39" t="s">
        <v>417</v>
      </c>
      <c r="D731" s="39"/>
      <c r="E731" s="39"/>
      <c r="F731" s="39"/>
      <c r="G731" s="39"/>
      <c r="H731" s="46">
        <f>SUM(Tabla1325[[#This Row],[PRIMER TRIMESTRE]:[CUARTO TRIMESTRE]])</f>
        <v>0</v>
      </c>
      <c r="I731" s="17">
        <v>2500</v>
      </c>
      <c r="J731" s="17">
        <f t="shared" si="15"/>
        <v>0</v>
      </c>
      <c r="K731" s="17"/>
      <c r="L731" s="16" t="s">
        <v>27</v>
      </c>
      <c r="M731" s="16" t="s">
        <v>22</v>
      </c>
      <c r="N731" s="39" t="s">
        <v>418</v>
      </c>
    </row>
    <row r="732" spans="1:14" s="12" customFormat="1">
      <c r="A732" s="15" t="s">
        <v>120</v>
      </c>
      <c r="B732" s="78" t="s">
        <v>515</v>
      </c>
      <c r="C732" s="39" t="s">
        <v>417</v>
      </c>
      <c r="D732" s="39"/>
      <c r="E732" s="39"/>
      <c r="F732" s="39"/>
      <c r="G732" s="39"/>
      <c r="H732" s="46">
        <f>SUM(Tabla1325[[#This Row],[PRIMER TRIMESTRE]:[CUARTO TRIMESTRE]])</f>
        <v>0</v>
      </c>
      <c r="I732" s="17">
        <v>2500</v>
      </c>
      <c r="J732" s="17">
        <f t="shared" si="15"/>
        <v>0</v>
      </c>
      <c r="K732" s="17"/>
      <c r="L732" s="16" t="s">
        <v>27</v>
      </c>
      <c r="M732" s="16" t="s">
        <v>22</v>
      </c>
      <c r="N732" s="39" t="s">
        <v>418</v>
      </c>
    </row>
    <row r="733" spans="1:14" s="12" customFormat="1">
      <c r="A733" s="15" t="s">
        <v>120</v>
      </c>
      <c r="B733" s="78" t="s">
        <v>516</v>
      </c>
      <c r="C733" s="39" t="s">
        <v>417</v>
      </c>
      <c r="D733" s="39"/>
      <c r="E733" s="39"/>
      <c r="F733" s="39"/>
      <c r="G733" s="39"/>
      <c r="H733" s="46">
        <f>SUM(Tabla1325[[#This Row],[PRIMER TRIMESTRE]:[CUARTO TRIMESTRE]])</f>
        <v>0</v>
      </c>
      <c r="I733" s="17">
        <v>2500</v>
      </c>
      <c r="J733" s="17">
        <f t="shared" si="15"/>
        <v>0</v>
      </c>
      <c r="K733" s="17"/>
      <c r="L733" s="16" t="s">
        <v>27</v>
      </c>
      <c r="M733" s="16" t="s">
        <v>22</v>
      </c>
      <c r="N733" s="39" t="s">
        <v>418</v>
      </c>
    </row>
    <row r="734" spans="1:14" s="12" customFormat="1">
      <c r="A734" s="15" t="s">
        <v>120</v>
      </c>
      <c r="B734" s="78" t="s">
        <v>517</v>
      </c>
      <c r="C734" s="39" t="s">
        <v>417</v>
      </c>
      <c r="D734" s="39"/>
      <c r="E734" s="39"/>
      <c r="F734" s="39"/>
      <c r="G734" s="39"/>
      <c r="H734" s="46">
        <f>SUM(Tabla1325[[#This Row],[PRIMER TRIMESTRE]:[CUARTO TRIMESTRE]])</f>
        <v>0</v>
      </c>
      <c r="I734" s="17">
        <v>4100</v>
      </c>
      <c r="J734" s="17">
        <f t="shared" si="15"/>
        <v>0</v>
      </c>
      <c r="K734" s="17"/>
      <c r="L734" s="16" t="s">
        <v>27</v>
      </c>
      <c r="M734" s="16" t="s">
        <v>22</v>
      </c>
      <c r="N734" s="39" t="s">
        <v>418</v>
      </c>
    </row>
    <row r="735" spans="1:14" s="12" customFormat="1">
      <c r="A735" s="15" t="s">
        <v>120</v>
      </c>
      <c r="B735" s="78" t="s">
        <v>518</v>
      </c>
      <c r="C735" s="39" t="s">
        <v>417</v>
      </c>
      <c r="D735" s="39"/>
      <c r="E735" s="39"/>
      <c r="F735" s="39"/>
      <c r="G735" s="39"/>
      <c r="H735" s="46">
        <f>SUM(Tabla1325[[#This Row],[PRIMER TRIMESTRE]:[CUARTO TRIMESTRE]])</f>
        <v>0</v>
      </c>
      <c r="I735" s="17">
        <v>3800</v>
      </c>
      <c r="J735" s="17">
        <f t="shared" si="15"/>
        <v>0</v>
      </c>
      <c r="K735" s="17"/>
      <c r="L735" s="16" t="s">
        <v>27</v>
      </c>
      <c r="M735" s="16" t="s">
        <v>22</v>
      </c>
      <c r="N735" s="39" t="s">
        <v>418</v>
      </c>
    </row>
    <row r="736" spans="1:14" s="12" customFormat="1">
      <c r="A736" s="15" t="s">
        <v>120</v>
      </c>
      <c r="B736" s="78" t="s">
        <v>519</v>
      </c>
      <c r="C736" s="39" t="s">
        <v>417</v>
      </c>
      <c r="D736" s="39"/>
      <c r="E736" s="39"/>
      <c r="F736" s="39"/>
      <c r="G736" s="39"/>
      <c r="H736" s="46">
        <f>SUM(Tabla1325[[#This Row],[PRIMER TRIMESTRE]:[CUARTO TRIMESTRE]])</f>
        <v>0</v>
      </c>
      <c r="I736" s="17">
        <v>5400</v>
      </c>
      <c r="J736" s="17">
        <f t="shared" si="15"/>
        <v>0</v>
      </c>
      <c r="K736" s="17"/>
      <c r="L736" s="16" t="s">
        <v>27</v>
      </c>
      <c r="M736" s="16" t="s">
        <v>22</v>
      </c>
      <c r="N736" s="39" t="s">
        <v>418</v>
      </c>
    </row>
    <row r="737" spans="1:14" s="12" customFormat="1">
      <c r="A737" s="15" t="s">
        <v>120</v>
      </c>
      <c r="B737" s="78" t="s">
        <v>520</v>
      </c>
      <c r="C737" s="39" t="s">
        <v>417</v>
      </c>
      <c r="D737" s="39"/>
      <c r="E737" s="39"/>
      <c r="F737" s="39"/>
      <c r="G737" s="39"/>
      <c r="H737" s="46">
        <f>SUM(Tabla1325[[#This Row],[PRIMER TRIMESTRE]:[CUARTO TRIMESTRE]])</f>
        <v>0</v>
      </c>
      <c r="I737" s="17">
        <v>5400</v>
      </c>
      <c r="J737" s="17">
        <f t="shared" si="15"/>
        <v>0</v>
      </c>
      <c r="K737" s="17"/>
      <c r="L737" s="16" t="s">
        <v>27</v>
      </c>
      <c r="M737" s="16" t="s">
        <v>22</v>
      </c>
      <c r="N737" s="39" t="s">
        <v>418</v>
      </c>
    </row>
    <row r="738" spans="1:14" s="12" customFormat="1">
      <c r="A738" s="15" t="s">
        <v>120</v>
      </c>
      <c r="B738" s="78" t="s">
        <v>521</v>
      </c>
      <c r="C738" s="39" t="s">
        <v>417</v>
      </c>
      <c r="D738" s="39"/>
      <c r="E738" s="39"/>
      <c r="F738" s="39"/>
      <c r="G738" s="39"/>
      <c r="H738" s="46">
        <f>SUM(Tabla1325[[#This Row],[PRIMER TRIMESTRE]:[CUARTO TRIMESTRE]])</f>
        <v>0</v>
      </c>
      <c r="I738" s="17">
        <v>5400</v>
      </c>
      <c r="J738" s="17">
        <f t="shared" si="15"/>
        <v>0</v>
      </c>
      <c r="K738" s="17"/>
      <c r="L738" s="16" t="s">
        <v>27</v>
      </c>
      <c r="M738" s="16" t="s">
        <v>22</v>
      </c>
      <c r="N738" s="39" t="s">
        <v>418</v>
      </c>
    </row>
    <row r="739" spans="1:14" s="12" customFormat="1">
      <c r="A739" s="15" t="s">
        <v>120</v>
      </c>
      <c r="B739" s="517" t="s">
        <v>522</v>
      </c>
      <c r="C739" s="39" t="s">
        <v>417</v>
      </c>
      <c r="D739" s="39">
        <v>80</v>
      </c>
      <c r="E739" s="39">
        <v>80</v>
      </c>
      <c r="F739" s="39">
        <v>80</v>
      </c>
      <c r="G739" s="39">
        <v>80</v>
      </c>
      <c r="H739" s="46">
        <f>SUM(Tabla1325[[#This Row],[PRIMER TRIMESTRE]:[CUARTO TRIMESTRE]])</f>
        <v>320</v>
      </c>
      <c r="I739" s="17">
        <v>3100</v>
      </c>
      <c r="J739" s="17">
        <f t="shared" si="15"/>
        <v>992000</v>
      </c>
      <c r="K739" s="17"/>
      <c r="L739" s="16" t="s">
        <v>27</v>
      </c>
      <c r="M739" s="16" t="s">
        <v>22</v>
      </c>
      <c r="N739" s="39" t="s">
        <v>418</v>
      </c>
    </row>
    <row r="740" spans="1:14" s="12" customFormat="1">
      <c r="A740" s="15" t="s">
        <v>120</v>
      </c>
      <c r="B740" s="78" t="s">
        <v>523</v>
      </c>
      <c r="C740" s="39" t="s">
        <v>417</v>
      </c>
      <c r="D740" s="39"/>
      <c r="E740" s="39"/>
      <c r="F740" s="39"/>
      <c r="G740" s="39"/>
      <c r="H740" s="46">
        <f>SUM(Tabla1325[[#This Row],[PRIMER TRIMESTRE]:[CUARTO TRIMESTRE]])</f>
        <v>0</v>
      </c>
      <c r="I740" s="17">
        <v>5100</v>
      </c>
      <c r="J740" s="17">
        <f t="shared" si="15"/>
        <v>0</v>
      </c>
      <c r="K740" s="17"/>
      <c r="L740" s="16" t="s">
        <v>27</v>
      </c>
      <c r="M740" s="16" t="s">
        <v>22</v>
      </c>
      <c r="N740" s="39" t="s">
        <v>418</v>
      </c>
    </row>
    <row r="741" spans="1:14" s="12" customFormat="1">
      <c r="A741" s="15" t="s">
        <v>120</v>
      </c>
      <c r="B741" s="78" t="s">
        <v>524</v>
      </c>
      <c r="C741" s="39" t="s">
        <v>417</v>
      </c>
      <c r="D741" s="39"/>
      <c r="E741" s="39"/>
      <c r="F741" s="39"/>
      <c r="G741" s="39"/>
      <c r="H741" s="46">
        <f>SUM(Tabla1325[[#This Row],[PRIMER TRIMESTRE]:[CUARTO TRIMESTRE]])</f>
        <v>0</v>
      </c>
      <c r="I741" s="17">
        <v>3000</v>
      </c>
      <c r="J741" s="17">
        <f t="shared" si="15"/>
        <v>0</v>
      </c>
      <c r="K741" s="17"/>
      <c r="L741" s="16" t="s">
        <v>27</v>
      </c>
      <c r="M741" s="16" t="s">
        <v>22</v>
      </c>
      <c r="N741" s="39" t="s">
        <v>418</v>
      </c>
    </row>
    <row r="742" spans="1:14" s="12" customFormat="1">
      <c r="A742" s="15" t="s">
        <v>120</v>
      </c>
      <c r="B742" s="78" t="s">
        <v>525</v>
      </c>
      <c r="C742" s="39" t="s">
        <v>417</v>
      </c>
      <c r="D742" s="39"/>
      <c r="E742" s="39"/>
      <c r="F742" s="39"/>
      <c r="G742" s="39"/>
      <c r="H742" s="46">
        <f>SUM(Tabla1325[[#This Row],[PRIMER TRIMESTRE]:[CUARTO TRIMESTRE]])</f>
        <v>0</v>
      </c>
      <c r="I742" s="17">
        <v>3800</v>
      </c>
      <c r="J742" s="17">
        <f t="shared" si="15"/>
        <v>0</v>
      </c>
      <c r="K742" s="17"/>
      <c r="L742" s="16" t="s">
        <v>27</v>
      </c>
      <c r="M742" s="16" t="s">
        <v>22</v>
      </c>
      <c r="N742" s="39" t="s">
        <v>418</v>
      </c>
    </row>
    <row r="743" spans="1:14" s="12" customFormat="1">
      <c r="A743" s="15" t="s">
        <v>120</v>
      </c>
      <c r="B743" s="78" t="s">
        <v>526</v>
      </c>
      <c r="C743" s="39" t="s">
        <v>417</v>
      </c>
      <c r="D743" s="39"/>
      <c r="E743" s="39"/>
      <c r="F743" s="39"/>
      <c r="G743" s="39"/>
      <c r="H743" s="46">
        <f>SUM(Tabla1325[[#This Row],[PRIMER TRIMESTRE]:[CUARTO TRIMESTRE]])</f>
        <v>0</v>
      </c>
      <c r="I743" s="17">
        <v>3800</v>
      </c>
      <c r="J743" s="17">
        <f t="shared" si="15"/>
        <v>0</v>
      </c>
      <c r="K743" s="17"/>
      <c r="L743" s="16" t="s">
        <v>27</v>
      </c>
      <c r="M743" s="16" t="s">
        <v>22</v>
      </c>
      <c r="N743" s="39" t="s">
        <v>418</v>
      </c>
    </row>
    <row r="744" spans="1:14" s="12" customFormat="1">
      <c r="A744" s="15" t="s">
        <v>120</v>
      </c>
      <c r="B744" s="78" t="s">
        <v>527</v>
      </c>
      <c r="C744" s="39" t="s">
        <v>417</v>
      </c>
      <c r="D744" s="39"/>
      <c r="E744" s="39"/>
      <c r="F744" s="39"/>
      <c r="G744" s="39"/>
      <c r="H744" s="46">
        <f>SUM(Tabla1325[[#This Row],[PRIMER TRIMESTRE]:[CUARTO TRIMESTRE]])</f>
        <v>0</v>
      </c>
      <c r="I744" s="17">
        <v>3800</v>
      </c>
      <c r="J744" s="17">
        <f t="shared" si="15"/>
        <v>0</v>
      </c>
      <c r="K744" s="17"/>
      <c r="L744" s="16" t="s">
        <v>27</v>
      </c>
      <c r="M744" s="16" t="s">
        <v>22</v>
      </c>
      <c r="N744" s="39" t="s">
        <v>418</v>
      </c>
    </row>
    <row r="745" spans="1:14" s="12" customFormat="1">
      <c r="A745" s="15" t="s">
        <v>120</v>
      </c>
      <c r="B745" s="78" t="s">
        <v>528</v>
      </c>
      <c r="C745" s="39" t="s">
        <v>417</v>
      </c>
      <c r="D745" s="39"/>
      <c r="E745" s="39"/>
      <c r="F745" s="39"/>
      <c r="G745" s="39"/>
      <c r="H745" s="46">
        <f>SUM(Tabla1325[[#This Row],[PRIMER TRIMESTRE]:[CUARTO TRIMESTRE]])</f>
        <v>0</v>
      </c>
      <c r="I745" s="17">
        <v>6400</v>
      </c>
      <c r="J745" s="17">
        <f t="shared" si="15"/>
        <v>0</v>
      </c>
      <c r="K745" s="17"/>
      <c r="L745" s="16" t="s">
        <v>27</v>
      </c>
      <c r="M745" s="16" t="s">
        <v>22</v>
      </c>
      <c r="N745" s="39" t="s">
        <v>418</v>
      </c>
    </row>
    <row r="746" spans="1:14" s="12" customFormat="1">
      <c r="A746" s="15" t="s">
        <v>120</v>
      </c>
      <c r="B746" s="79" t="s">
        <v>529</v>
      </c>
      <c r="C746" s="39" t="s">
        <v>417</v>
      </c>
      <c r="D746" s="70"/>
      <c r="E746" s="70"/>
      <c r="F746" s="70"/>
      <c r="G746" s="70"/>
      <c r="H746" s="518">
        <f>SUM(Tabla1325[[#This Row],[PRIMER TRIMESTRE]:[CUARTO TRIMESTRE]])</f>
        <v>0</v>
      </c>
      <c r="I746" s="17">
        <f>9750*1.18</f>
        <v>11505</v>
      </c>
      <c r="J746" s="17">
        <f t="shared" si="15"/>
        <v>0</v>
      </c>
      <c r="K746" s="17"/>
      <c r="L746" s="16" t="s">
        <v>27</v>
      </c>
      <c r="M746" s="16" t="s">
        <v>22</v>
      </c>
      <c r="N746" s="39" t="s">
        <v>418</v>
      </c>
    </row>
    <row r="747" spans="1:14" s="12" customFormat="1">
      <c r="A747" s="15" t="s">
        <v>120</v>
      </c>
      <c r="B747" s="79" t="s">
        <v>530</v>
      </c>
      <c r="C747" s="39" t="s">
        <v>417</v>
      </c>
      <c r="D747" s="70"/>
      <c r="E747" s="70"/>
      <c r="F747" s="70"/>
      <c r="G747" s="70"/>
      <c r="H747" s="46">
        <f>SUM(Tabla1325[[#This Row],[PRIMER TRIMESTRE]:[CUARTO TRIMESTRE]])</f>
        <v>0</v>
      </c>
      <c r="I747" s="17">
        <v>11505</v>
      </c>
      <c r="J747" s="17">
        <f t="shared" si="15"/>
        <v>0</v>
      </c>
      <c r="K747" s="17"/>
      <c r="L747" s="16" t="s">
        <v>27</v>
      </c>
      <c r="M747" s="16" t="s">
        <v>22</v>
      </c>
      <c r="N747" s="39" t="s">
        <v>418</v>
      </c>
    </row>
    <row r="748" spans="1:14" s="12" customFormat="1">
      <c r="A748" s="15" t="s">
        <v>120</v>
      </c>
      <c r="B748" s="79" t="s">
        <v>531</v>
      </c>
      <c r="C748" s="39" t="s">
        <v>417</v>
      </c>
      <c r="D748" s="70"/>
      <c r="E748" s="70"/>
      <c r="F748" s="70"/>
      <c r="G748" s="70"/>
      <c r="H748" s="46">
        <f>SUM(Tabla1325[[#This Row],[PRIMER TRIMESTRE]:[CUARTO TRIMESTRE]])</f>
        <v>0</v>
      </c>
      <c r="I748" s="17">
        <v>11505</v>
      </c>
      <c r="J748" s="17">
        <f t="shared" si="15"/>
        <v>0</v>
      </c>
      <c r="K748" s="17"/>
      <c r="L748" s="16" t="s">
        <v>27</v>
      </c>
      <c r="M748" s="16" t="s">
        <v>22</v>
      </c>
      <c r="N748" s="39" t="s">
        <v>418</v>
      </c>
    </row>
    <row r="749" spans="1:14" s="12" customFormat="1">
      <c r="A749" s="15" t="s">
        <v>120</v>
      </c>
      <c r="B749" s="79" t="s">
        <v>532</v>
      </c>
      <c r="C749" s="39" t="s">
        <v>417</v>
      </c>
      <c r="D749" s="70"/>
      <c r="E749" s="70"/>
      <c r="F749" s="70"/>
      <c r="G749" s="70"/>
      <c r="H749" s="46">
        <f>SUM(Tabla1325[[#This Row],[PRIMER TRIMESTRE]:[CUARTO TRIMESTRE]])</f>
        <v>0</v>
      </c>
      <c r="I749" s="17">
        <v>11505</v>
      </c>
      <c r="J749" s="17">
        <f t="shared" si="15"/>
        <v>0</v>
      </c>
      <c r="K749" s="17"/>
      <c r="L749" s="16" t="s">
        <v>27</v>
      </c>
      <c r="M749" s="16" t="s">
        <v>22</v>
      </c>
      <c r="N749" s="39" t="s">
        <v>418</v>
      </c>
    </row>
    <row r="750" spans="1:14" s="12" customFormat="1">
      <c r="A750" s="15" t="s">
        <v>120</v>
      </c>
      <c r="B750" s="80" t="s">
        <v>790</v>
      </c>
      <c r="C750" s="39" t="s">
        <v>417</v>
      </c>
      <c r="D750" s="70"/>
      <c r="E750" s="70"/>
      <c r="F750" s="70"/>
      <c r="G750" s="70"/>
      <c r="H750" s="46">
        <f>SUM(Tabla1325[[#This Row],[PRIMER TRIMESTRE]:[CUARTO TRIMESTRE]])</f>
        <v>0</v>
      </c>
      <c r="I750" s="72">
        <v>3760.11</v>
      </c>
      <c r="J750" s="17">
        <f t="shared" si="15"/>
        <v>0</v>
      </c>
      <c r="K750" s="17"/>
      <c r="L750" s="16" t="s">
        <v>27</v>
      </c>
      <c r="M750" s="16" t="s">
        <v>22</v>
      </c>
      <c r="N750" s="39" t="s">
        <v>418</v>
      </c>
    </row>
    <row r="751" spans="1:14" s="12" customFormat="1">
      <c r="A751" s="15" t="s">
        <v>120</v>
      </c>
      <c r="B751" s="80" t="s">
        <v>791</v>
      </c>
      <c r="C751" s="39" t="s">
        <v>417</v>
      </c>
      <c r="D751" s="70"/>
      <c r="E751" s="70"/>
      <c r="F751" s="70"/>
      <c r="G751" s="70"/>
      <c r="H751" s="46">
        <f>SUM(Tabla1325[[#This Row],[PRIMER TRIMESTRE]:[CUARTO TRIMESTRE]])</f>
        <v>0</v>
      </c>
      <c r="I751" s="72">
        <v>3914.09</v>
      </c>
      <c r="J751" s="17">
        <f t="shared" si="15"/>
        <v>0</v>
      </c>
      <c r="K751" s="17"/>
      <c r="L751" s="16" t="s">
        <v>27</v>
      </c>
      <c r="M751" s="16" t="s">
        <v>22</v>
      </c>
      <c r="N751" s="39" t="s">
        <v>418</v>
      </c>
    </row>
    <row r="752" spans="1:14" s="12" customFormat="1">
      <c r="A752" s="15" t="s">
        <v>120</v>
      </c>
      <c r="B752" s="80" t="s">
        <v>792</v>
      </c>
      <c r="C752" s="39" t="s">
        <v>417</v>
      </c>
      <c r="D752" s="70"/>
      <c r="E752" s="70"/>
      <c r="F752" s="70"/>
      <c r="G752" s="70"/>
      <c r="H752" s="46">
        <f>SUM(Tabla1325[[#This Row],[PRIMER TRIMESTRE]:[CUARTO TRIMESTRE]])</f>
        <v>0</v>
      </c>
      <c r="I752" s="72">
        <v>4257.1899999999996</v>
      </c>
      <c r="J752" s="17">
        <f t="shared" si="15"/>
        <v>0</v>
      </c>
      <c r="K752" s="17"/>
      <c r="L752" s="16" t="s">
        <v>27</v>
      </c>
      <c r="M752" s="16" t="s">
        <v>22</v>
      </c>
      <c r="N752" s="39" t="s">
        <v>418</v>
      </c>
    </row>
    <row r="753" spans="1:20" s="12" customFormat="1">
      <c r="A753" s="15" t="s">
        <v>120</v>
      </c>
      <c r="B753" s="80" t="s">
        <v>793</v>
      </c>
      <c r="C753" s="39" t="s">
        <v>417</v>
      </c>
      <c r="D753" s="70"/>
      <c r="E753" s="70"/>
      <c r="F753" s="70"/>
      <c r="G753" s="70"/>
      <c r="H753" s="46">
        <f>SUM(Tabla1325[[#This Row],[PRIMER TRIMESTRE]:[CUARTO TRIMESTRE]])</f>
        <v>0</v>
      </c>
      <c r="I753" s="72">
        <v>4257.1899999999996</v>
      </c>
      <c r="J753" s="17">
        <f t="shared" si="15"/>
        <v>0</v>
      </c>
      <c r="K753" s="17"/>
      <c r="L753" s="16" t="s">
        <v>27</v>
      </c>
      <c r="M753" s="16" t="s">
        <v>22</v>
      </c>
      <c r="N753" s="39" t="s">
        <v>418</v>
      </c>
    </row>
    <row r="754" spans="1:20" s="12" customFormat="1">
      <c r="A754" s="15" t="s">
        <v>120</v>
      </c>
      <c r="B754" s="80" t="s">
        <v>794</v>
      </c>
      <c r="C754" s="39" t="s">
        <v>417</v>
      </c>
      <c r="D754" s="70"/>
      <c r="E754" s="70"/>
      <c r="F754" s="70"/>
      <c r="G754" s="70"/>
      <c r="H754" s="46">
        <f>SUM(Tabla1325[[#This Row],[PRIMER TRIMESTRE]:[CUARTO TRIMESTRE]])</f>
        <v>0</v>
      </c>
      <c r="I754" s="72">
        <v>4257.8999999999996</v>
      </c>
      <c r="J754" s="17">
        <f t="shared" si="15"/>
        <v>0</v>
      </c>
      <c r="K754" s="17"/>
      <c r="L754" s="16" t="s">
        <v>27</v>
      </c>
      <c r="M754" s="16" t="s">
        <v>22</v>
      </c>
      <c r="N754" s="39" t="s">
        <v>418</v>
      </c>
    </row>
    <row r="755" spans="1:20" s="12" customFormat="1">
      <c r="A755" s="15" t="s">
        <v>120</v>
      </c>
      <c r="B755" s="80" t="s">
        <v>795</v>
      </c>
      <c r="C755" s="39" t="s">
        <v>417</v>
      </c>
      <c r="D755" s="70"/>
      <c r="E755" s="70"/>
      <c r="F755" s="70"/>
      <c r="G755" s="70"/>
      <c r="H755" s="46">
        <f>SUM(Tabla1325[[#This Row],[PRIMER TRIMESTRE]:[CUARTO TRIMESTRE]])</f>
        <v>0</v>
      </c>
      <c r="I755" s="72">
        <v>4238.76</v>
      </c>
      <c r="J755" s="17">
        <f t="shared" ref="J755:J763" si="16">+H755*I755</f>
        <v>0</v>
      </c>
      <c r="K755" s="17"/>
      <c r="L755" s="16" t="s">
        <v>27</v>
      </c>
      <c r="M755" s="16" t="s">
        <v>22</v>
      </c>
      <c r="N755" s="39" t="s">
        <v>418</v>
      </c>
    </row>
    <row r="756" spans="1:20" s="12" customFormat="1">
      <c r="A756" s="15" t="s">
        <v>120</v>
      </c>
      <c r="B756" s="80" t="s">
        <v>796</v>
      </c>
      <c r="C756" s="39" t="s">
        <v>417</v>
      </c>
      <c r="D756" s="70"/>
      <c r="E756" s="70"/>
      <c r="F756" s="70"/>
      <c r="G756" s="70"/>
      <c r="H756" s="46">
        <f>SUM(Tabla1325[[#This Row],[PRIMER TRIMESTRE]:[CUARTO TRIMESTRE]])</f>
        <v>0</v>
      </c>
      <c r="I756" s="72">
        <v>3199.82</v>
      </c>
      <c r="J756" s="17">
        <f t="shared" si="16"/>
        <v>0</v>
      </c>
      <c r="K756" s="17"/>
      <c r="L756" s="16" t="s">
        <v>27</v>
      </c>
      <c r="M756" s="16" t="s">
        <v>22</v>
      </c>
      <c r="N756" s="39" t="s">
        <v>418</v>
      </c>
    </row>
    <row r="757" spans="1:20" s="12" customFormat="1">
      <c r="A757" s="15" t="s">
        <v>120</v>
      </c>
      <c r="B757" s="80" t="s">
        <v>797</v>
      </c>
      <c r="C757" s="39" t="s">
        <v>417</v>
      </c>
      <c r="D757" s="70"/>
      <c r="E757" s="70"/>
      <c r="F757" s="70"/>
      <c r="G757" s="70"/>
      <c r="H757" s="46">
        <f>SUM(Tabla1325[[#This Row],[PRIMER TRIMESTRE]:[CUARTO TRIMESTRE]])</f>
        <v>0</v>
      </c>
      <c r="I757" s="72">
        <v>3679.8</v>
      </c>
      <c r="J757" s="17">
        <f t="shared" si="16"/>
        <v>0</v>
      </c>
      <c r="K757" s="17"/>
      <c r="L757" s="16" t="s">
        <v>27</v>
      </c>
      <c r="M757" s="16" t="s">
        <v>22</v>
      </c>
      <c r="N757" s="39" t="s">
        <v>418</v>
      </c>
    </row>
    <row r="758" spans="1:20" s="12" customFormat="1">
      <c r="A758" s="15" t="s">
        <v>120</v>
      </c>
      <c r="B758" s="80" t="s">
        <v>798</v>
      </c>
      <c r="C758" s="39" t="s">
        <v>417</v>
      </c>
      <c r="D758" s="70"/>
      <c r="E758" s="70"/>
      <c r="F758" s="70"/>
      <c r="G758" s="70"/>
      <c r="H758" s="46">
        <f>SUM(Tabla1325[[#This Row],[PRIMER TRIMESTRE]:[CUARTO TRIMESTRE]])</f>
        <v>0</v>
      </c>
      <c r="I758" s="72">
        <v>3304</v>
      </c>
      <c r="J758" s="17">
        <f t="shared" si="16"/>
        <v>0</v>
      </c>
      <c r="K758" s="17"/>
      <c r="L758" s="16" t="s">
        <v>27</v>
      </c>
      <c r="M758" s="16" t="s">
        <v>22</v>
      </c>
      <c r="N758" s="39" t="s">
        <v>418</v>
      </c>
    </row>
    <row r="759" spans="1:20" s="12" customFormat="1">
      <c r="A759" s="15" t="s">
        <v>120</v>
      </c>
      <c r="B759" s="519" t="s">
        <v>2639</v>
      </c>
      <c r="C759" s="39" t="s">
        <v>417</v>
      </c>
      <c r="D759" s="70">
        <v>6</v>
      </c>
      <c r="E759" s="70">
        <v>6</v>
      </c>
      <c r="F759" s="70">
        <v>6</v>
      </c>
      <c r="G759" s="70">
        <v>6</v>
      </c>
      <c r="H759" s="46">
        <f>SUM(Tabla1325[[#This Row],[PRIMER TRIMESTRE]:[CUARTO TRIMESTRE]])</f>
        <v>24</v>
      </c>
      <c r="I759" s="72">
        <v>2200</v>
      </c>
      <c r="J759" s="17">
        <f t="shared" si="16"/>
        <v>52800</v>
      </c>
      <c r="K759" s="17"/>
      <c r="L759" s="16" t="s">
        <v>27</v>
      </c>
      <c r="M759" s="16" t="s">
        <v>22</v>
      </c>
      <c r="N759" s="39" t="s">
        <v>418</v>
      </c>
    </row>
    <row r="760" spans="1:20" s="12" customFormat="1">
      <c r="A760" s="15" t="s">
        <v>120</v>
      </c>
      <c r="B760" s="519" t="s">
        <v>2640</v>
      </c>
      <c r="C760" s="39" t="s">
        <v>417</v>
      </c>
      <c r="D760" s="70">
        <v>6</v>
      </c>
      <c r="E760" s="70">
        <v>6</v>
      </c>
      <c r="F760" s="70">
        <v>6</v>
      </c>
      <c r="G760" s="70">
        <v>6</v>
      </c>
      <c r="H760" s="46">
        <f>SUM(Tabla1325[[#This Row],[PRIMER TRIMESTRE]:[CUARTO TRIMESTRE]])</f>
        <v>24</v>
      </c>
      <c r="I760" s="72">
        <v>2200</v>
      </c>
      <c r="J760" s="17">
        <f t="shared" si="16"/>
        <v>52800</v>
      </c>
      <c r="K760" s="17"/>
      <c r="L760" s="16" t="s">
        <v>27</v>
      </c>
      <c r="M760" s="16" t="s">
        <v>22</v>
      </c>
      <c r="N760" s="39" t="s">
        <v>418</v>
      </c>
    </row>
    <row r="761" spans="1:20" s="12" customFormat="1">
      <c r="A761" s="15" t="s">
        <v>120</v>
      </c>
      <c r="B761" s="519" t="s">
        <v>2641</v>
      </c>
      <c r="C761" s="39" t="s">
        <v>417</v>
      </c>
      <c r="D761" s="70">
        <v>6</v>
      </c>
      <c r="E761" s="70">
        <v>6</v>
      </c>
      <c r="F761" s="70">
        <v>6</v>
      </c>
      <c r="G761" s="70">
        <v>6</v>
      </c>
      <c r="H761" s="46">
        <f>SUM(Tabla1325[[#This Row],[PRIMER TRIMESTRE]:[CUARTO TRIMESTRE]])</f>
        <v>24</v>
      </c>
      <c r="I761" s="72">
        <v>2200</v>
      </c>
      <c r="J761" s="17">
        <f t="shared" si="16"/>
        <v>52800</v>
      </c>
      <c r="K761" s="17"/>
      <c r="L761" s="16" t="s">
        <v>27</v>
      </c>
      <c r="M761" s="16" t="s">
        <v>22</v>
      </c>
      <c r="N761" s="39" t="s">
        <v>418</v>
      </c>
    </row>
    <row r="762" spans="1:20" s="12" customFormat="1">
      <c r="A762" s="15" t="s">
        <v>120</v>
      </c>
      <c r="B762" s="519" t="s">
        <v>2642</v>
      </c>
      <c r="C762" s="39" t="s">
        <v>417</v>
      </c>
      <c r="D762" s="70">
        <v>6</v>
      </c>
      <c r="E762" s="70">
        <v>6</v>
      </c>
      <c r="F762" s="70">
        <v>6</v>
      </c>
      <c r="G762" s="70">
        <v>6</v>
      </c>
      <c r="H762" s="46">
        <f>SUM(Tabla1325[[#This Row],[PRIMER TRIMESTRE]:[CUARTO TRIMESTRE]])</f>
        <v>24</v>
      </c>
      <c r="I762" s="72">
        <v>2200</v>
      </c>
      <c r="J762" s="17">
        <f t="shared" si="16"/>
        <v>52800</v>
      </c>
      <c r="K762" s="17"/>
      <c r="L762" s="16" t="s">
        <v>27</v>
      </c>
      <c r="M762" s="16" t="s">
        <v>22</v>
      </c>
      <c r="N762" s="39" t="s">
        <v>418</v>
      </c>
    </row>
    <row r="763" spans="1:20" s="12" customFormat="1">
      <c r="A763" s="15" t="s">
        <v>120</v>
      </c>
      <c r="B763" s="519" t="s">
        <v>2643</v>
      </c>
      <c r="C763" s="39" t="s">
        <v>417</v>
      </c>
      <c r="D763" s="70">
        <v>9</v>
      </c>
      <c r="E763" s="70">
        <v>9</v>
      </c>
      <c r="F763" s="70">
        <v>9</v>
      </c>
      <c r="G763" s="70">
        <v>9</v>
      </c>
      <c r="H763" s="46">
        <f>SUM(Tabla1325[[#This Row],[PRIMER TRIMESTRE]:[CUARTO TRIMESTRE]])</f>
        <v>36</v>
      </c>
      <c r="I763" s="72">
        <v>19000</v>
      </c>
      <c r="J763" s="17">
        <f t="shared" si="16"/>
        <v>684000</v>
      </c>
      <c r="K763" s="17"/>
      <c r="L763" s="16" t="s">
        <v>27</v>
      </c>
      <c r="M763" s="16" t="s">
        <v>22</v>
      </c>
      <c r="N763" s="39" t="s">
        <v>418</v>
      </c>
    </row>
    <row r="764" spans="1:20" s="12" customFormat="1">
      <c r="A764" s="15" t="s">
        <v>120</v>
      </c>
      <c r="B764" s="519" t="s">
        <v>2644</v>
      </c>
      <c r="C764" s="39" t="s">
        <v>417</v>
      </c>
      <c r="D764" s="70">
        <v>80</v>
      </c>
      <c r="E764" s="70">
        <v>80</v>
      </c>
      <c r="F764" s="70">
        <v>80</v>
      </c>
      <c r="G764" s="70">
        <v>80</v>
      </c>
      <c r="H764" s="46">
        <f>SUM(Tabla1325[[#This Row],[PRIMER TRIMESTRE]:[CUARTO TRIMESTRE]])</f>
        <v>320</v>
      </c>
      <c r="I764" s="72">
        <v>3304</v>
      </c>
      <c r="J764" s="17">
        <f>+H764*I764</f>
        <v>1057280</v>
      </c>
      <c r="K764" s="17"/>
      <c r="L764" s="16"/>
      <c r="M764" s="16"/>
      <c r="N764" s="39"/>
    </row>
    <row r="765" spans="1:20" s="26" customFormat="1">
      <c r="A765" s="22" t="s">
        <v>120</v>
      </c>
      <c r="B765" s="76"/>
      <c r="C765" s="42"/>
      <c r="D765" s="42"/>
      <c r="E765" s="42"/>
      <c r="F765" s="42"/>
      <c r="G765" s="42"/>
      <c r="H765" s="520"/>
      <c r="I765" s="24"/>
      <c r="J765" s="24"/>
      <c r="K765" s="25">
        <f>SUM(J631:J764)</f>
        <v>12422076.341582732</v>
      </c>
      <c r="L765" s="23"/>
      <c r="M765" s="23"/>
      <c r="N765" s="42"/>
      <c r="Q765" s="27"/>
      <c r="T765" s="23"/>
    </row>
    <row r="766" spans="1:20" s="12" customFormat="1">
      <c r="A766" s="15" t="s">
        <v>295</v>
      </c>
      <c r="B766" s="106" t="s">
        <v>296</v>
      </c>
      <c r="C766" s="39" t="s">
        <v>17</v>
      </c>
      <c r="D766" s="39">
        <v>3</v>
      </c>
      <c r="E766" s="39">
        <v>3</v>
      </c>
      <c r="F766" s="39">
        <v>4</v>
      </c>
      <c r="G766" s="39">
        <v>4</v>
      </c>
      <c r="H766" s="40">
        <f>SUM(Tabla1325[[#This Row],[PRIMER TRIMESTRE]:[CUARTO TRIMESTRE]])</f>
        <v>14</v>
      </c>
      <c r="I766" s="17">
        <v>5300.02</v>
      </c>
      <c r="J766" s="17">
        <f>+Tabla1325[[#This Row],[CANTIDAD TOTAL]]*Tabla1325[[#This Row],[PRECIO UNITARIO ESTIMADO]]</f>
        <v>74200.28</v>
      </c>
      <c r="K766" s="17"/>
      <c r="L766" s="16" t="s">
        <v>15</v>
      </c>
      <c r="M766" s="16" t="s">
        <v>22</v>
      </c>
      <c r="N766" s="39" t="s">
        <v>342</v>
      </c>
    </row>
    <row r="767" spans="1:20" s="12" customFormat="1">
      <c r="A767" s="15" t="s">
        <v>295</v>
      </c>
      <c r="B767" s="106" t="s">
        <v>297</v>
      </c>
      <c r="C767" s="39" t="s">
        <v>17</v>
      </c>
      <c r="D767" s="39">
        <v>2</v>
      </c>
      <c r="E767" s="39">
        <v>2</v>
      </c>
      <c r="F767" s="39">
        <v>2</v>
      </c>
      <c r="G767" s="39">
        <v>2</v>
      </c>
      <c r="H767" s="40">
        <f>SUM(Tabla1325[[#This Row],[PRIMER TRIMESTRE]:[CUARTO TRIMESTRE]])</f>
        <v>8</v>
      </c>
      <c r="I767" s="17">
        <v>11775.77</v>
      </c>
      <c r="J767" s="17">
        <f>+Tabla1325[[#This Row],[CANTIDAD TOTAL]]*Tabla1325[[#This Row],[PRECIO UNITARIO ESTIMADO]]</f>
        <v>94206.16</v>
      </c>
      <c r="K767" s="17"/>
      <c r="L767" s="16" t="s">
        <v>15</v>
      </c>
      <c r="M767" s="16" t="s">
        <v>22</v>
      </c>
      <c r="N767" s="39" t="s">
        <v>342</v>
      </c>
    </row>
    <row r="768" spans="1:20" s="12" customFormat="1">
      <c r="A768" s="15" t="s">
        <v>295</v>
      </c>
      <c r="B768" s="106" t="s">
        <v>298</v>
      </c>
      <c r="C768" s="39" t="s">
        <v>17</v>
      </c>
      <c r="D768" s="39">
        <v>6</v>
      </c>
      <c r="E768" s="39">
        <v>6</v>
      </c>
      <c r="F768" s="39">
        <v>6</v>
      </c>
      <c r="G768" s="39">
        <v>6</v>
      </c>
      <c r="H768" s="40">
        <f>SUM(Tabla1325[[#This Row],[PRIMER TRIMESTRE]:[CUARTO TRIMESTRE]])</f>
        <v>24</v>
      </c>
      <c r="I768" s="17">
        <v>18999.439999999999</v>
      </c>
      <c r="J768" s="17">
        <f>+Tabla1325[[#This Row],[CANTIDAD TOTAL]]*Tabla1325[[#This Row],[PRECIO UNITARIO ESTIMADO]]</f>
        <v>455986.55999999994</v>
      </c>
      <c r="K768" s="17"/>
      <c r="L768" s="16" t="s">
        <v>15</v>
      </c>
      <c r="M768" s="16" t="s">
        <v>22</v>
      </c>
      <c r="N768" s="39" t="s">
        <v>342</v>
      </c>
    </row>
    <row r="769" spans="1:20" s="12" customFormat="1">
      <c r="A769" s="15" t="s">
        <v>295</v>
      </c>
      <c r="B769" s="106" t="s">
        <v>299</v>
      </c>
      <c r="C769" s="39" t="s">
        <v>17</v>
      </c>
      <c r="D769" s="39">
        <v>34</v>
      </c>
      <c r="E769" s="39">
        <v>34</v>
      </c>
      <c r="F769" s="39">
        <v>34</v>
      </c>
      <c r="G769" s="39">
        <v>34</v>
      </c>
      <c r="H769" s="40">
        <f>SUM(Tabla1325[[#This Row],[PRIMER TRIMESTRE]:[CUARTO TRIMESTRE]])</f>
        <v>136</v>
      </c>
      <c r="I769" s="17">
        <v>784</v>
      </c>
      <c r="J769" s="17">
        <f>+Tabla1325[[#This Row],[CANTIDAD TOTAL]]*Tabla1325[[#This Row],[PRECIO UNITARIO ESTIMADO]]</f>
        <v>106624</v>
      </c>
      <c r="K769" s="17"/>
      <c r="L769" s="16" t="s">
        <v>15</v>
      </c>
      <c r="M769" s="16" t="s">
        <v>22</v>
      </c>
      <c r="N769" s="39" t="s">
        <v>342</v>
      </c>
    </row>
    <row r="770" spans="1:20" s="12" customFormat="1">
      <c r="A770" s="15" t="s">
        <v>295</v>
      </c>
      <c r="B770" s="106" t="s">
        <v>300</v>
      </c>
      <c r="C770" s="39" t="s">
        <v>17</v>
      </c>
      <c r="D770" s="39">
        <v>2</v>
      </c>
      <c r="E770" s="39">
        <v>2</v>
      </c>
      <c r="F770" s="39">
        <v>2</v>
      </c>
      <c r="G770" s="39">
        <v>2</v>
      </c>
      <c r="H770" s="40">
        <f>SUM(Tabla1325[[#This Row],[PRIMER TRIMESTRE]:[CUARTO TRIMESTRE]])</f>
        <v>8</v>
      </c>
      <c r="I770" s="17">
        <v>21495</v>
      </c>
      <c r="J770" s="17">
        <f>+Tabla1325[[#This Row],[CANTIDAD TOTAL]]*Tabla1325[[#This Row],[PRECIO UNITARIO ESTIMADO]]</f>
        <v>171960</v>
      </c>
      <c r="K770" s="17"/>
      <c r="L770" s="16" t="s">
        <v>15</v>
      </c>
      <c r="M770" s="16" t="s">
        <v>22</v>
      </c>
      <c r="N770" s="39" t="s">
        <v>342</v>
      </c>
    </row>
    <row r="771" spans="1:20" s="12" customFormat="1">
      <c r="A771" s="15" t="s">
        <v>295</v>
      </c>
      <c r="B771" s="106" t="s">
        <v>441</v>
      </c>
      <c r="C771" s="39" t="s">
        <v>17</v>
      </c>
      <c r="D771" s="39">
        <v>10</v>
      </c>
      <c r="E771" s="39">
        <v>10</v>
      </c>
      <c r="F771" s="39">
        <v>10</v>
      </c>
      <c r="G771" s="39">
        <v>10</v>
      </c>
      <c r="H771" s="40">
        <f>SUM(Tabla1325[[#This Row],[PRIMER TRIMESTRE]:[CUARTO TRIMESTRE]])</f>
        <v>40</v>
      </c>
      <c r="I771" s="17">
        <v>9000</v>
      </c>
      <c r="J771" s="17">
        <f>+H771*I771</f>
        <v>360000</v>
      </c>
      <c r="K771" s="17"/>
      <c r="L771" s="16" t="s">
        <v>15</v>
      </c>
      <c r="M771" s="16" t="s">
        <v>22</v>
      </c>
      <c r="N771" s="39" t="s">
        <v>342</v>
      </c>
    </row>
    <row r="772" spans="1:20" s="12" customFormat="1">
      <c r="A772" s="15" t="s">
        <v>295</v>
      </c>
      <c r="B772" s="106" t="s">
        <v>301</v>
      </c>
      <c r="C772" s="39" t="s">
        <v>17</v>
      </c>
      <c r="D772" s="39">
        <v>10</v>
      </c>
      <c r="E772" s="39">
        <v>10</v>
      </c>
      <c r="F772" s="39">
        <v>10</v>
      </c>
      <c r="G772" s="39">
        <v>10</v>
      </c>
      <c r="H772" s="40">
        <f>SUM(Tabla1325[[#This Row],[PRIMER TRIMESTRE]:[CUARTO TRIMESTRE]])</f>
        <v>40</v>
      </c>
      <c r="I772" s="17">
        <v>8004</v>
      </c>
      <c r="J772" s="17">
        <f>+Tabla1325[[#This Row],[CANTIDAD TOTAL]]*Tabla1325[[#This Row],[PRECIO UNITARIO ESTIMADO]]</f>
        <v>320160</v>
      </c>
      <c r="K772" s="17"/>
      <c r="L772" s="16" t="s">
        <v>15</v>
      </c>
      <c r="M772" s="16" t="s">
        <v>22</v>
      </c>
      <c r="N772" s="39" t="s">
        <v>342</v>
      </c>
    </row>
    <row r="773" spans="1:20" s="12" customFormat="1">
      <c r="A773" s="15" t="s">
        <v>295</v>
      </c>
      <c r="B773" s="75" t="s">
        <v>316</v>
      </c>
      <c r="C773" s="39" t="s">
        <v>17</v>
      </c>
      <c r="D773" s="39">
        <v>0</v>
      </c>
      <c r="E773" s="39">
        <v>0</v>
      </c>
      <c r="F773" s="39">
        <v>0</v>
      </c>
      <c r="G773" s="39">
        <v>0</v>
      </c>
      <c r="H773" s="40">
        <f>SUM(Tabla1325[[#This Row],[PRIMER TRIMESTRE]:[CUARTO TRIMESTRE]])</f>
        <v>0</v>
      </c>
      <c r="I773" s="17">
        <v>8802.7999999999993</v>
      </c>
      <c r="J773" s="17">
        <f>+Tabla1325[[#This Row],[CANTIDAD TOTAL]]*Tabla1325[[#This Row],[PRECIO UNITARIO ESTIMADO]]</f>
        <v>0</v>
      </c>
      <c r="K773" s="17"/>
      <c r="L773" s="16" t="s">
        <v>15</v>
      </c>
      <c r="M773" s="16" t="s">
        <v>22</v>
      </c>
      <c r="N773" s="39" t="s">
        <v>342</v>
      </c>
    </row>
    <row r="774" spans="1:20" s="12" customFormat="1">
      <c r="A774" s="15" t="s">
        <v>295</v>
      </c>
      <c r="B774" s="75" t="s">
        <v>322</v>
      </c>
      <c r="C774" s="39" t="s">
        <v>17</v>
      </c>
      <c r="D774" s="39">
        <v>0</v>
      </c>
      <c r="E774" s="39">
        <v>0</v>
      </c>
      <c r="F774" s="39">
        <v>0</v>
      </c>
      <c r="G774" s="39">
        <v>0</v>
      </c>
      <c r="H774" s="40">
        <f>SUM(Tabla1325[[#This Row],[PRIMER TRIMESTRE]:[CUARTO TRIMESTRE]])</f>
        <v>0</v>
      </c>
      <c r="I774" s="17">
        <v>64546</v>
      </c>
      <c r="J774" s="17">
        <f>+Tabla1325[[#This Row],[CANTIDAD TOTAL]]*Tabla1325[[#This Row],[PRECIO UNITARIO ESTIMADO]]</f>
        <v>0</v>
      </c>
      <c r="K774" s="17"/>
      <c r="L774" s="16" t="s">
        <v>15</v>
      </c>
      <c r="M774" s="16" t="s">
        <v>22</v>
      </c>
      <c r="N774" s="39" t="s">
        <v>342</v>
      </c>
    </row>
    <row r="775" spans="1:20" s="26" customFormat="1">
      <c r="A775" s="22" t="s">
        <v>295</v>
      </c>
      <c r="B775" s="76"/>
      <c r="C775" s="42"/>
      <c r="D775" s="42"/>
      <c r="E775" s="42"/>
      <c r="F775" s="42"/>
      <c r="G775" s="42"/>
      <c r="H775" s="43"/>
      <c r="I775" s="24"/>
      <c r="J775" s="24"/>
      <c r="K775" s="25">
        <f>SUM(J766:J774)</f>
        <v>1583137</v>
      </c>
      <c r="L775" s="23"/>
      <c r="M775" s="23"/>
      <c r="N775" s="42"/>
      <c r="Q775" s="27"/>
      <c r="T775" s="23"/>
    </row>
    <row r="776" spans="1:20" s="12" customFormat="1">
      <c r="A776" s="15" t="s">
        <v>147</v>
      </c>
      <c r="B776" s="106" t="s">
        <v>302</v>
      </c>
      <c r="C776" s="39" t="s">
        <v>17</v>
      </c>
      <c r="D776" s="39">
        <v>300</v>
      </c>
      <c r="E776" s="39">
        <v>300</v>
      </c>
      <c r="F776" s="39">
        <v>300</v>
      </c>
      <c r="G776" s="39">
        <v>300</v>
      </c>
      <c r="H776" s="40">
        <f>SUM(Tabla1325[[#This Row],[PRIMER TRIMESTRE]:[CUARTO TRIMESTRE]])</f>
        <v>1200</v>
      </c>
      <c r="I776" s="17">
        <v>452.4</v>
      </c>
      <c r="J776" s="17">
        <f>+Tabla1325[[#This Row],[CANTIDAD TOTAL]]*Tabla1325[[#This Row],[PRECIO UNITARIO ESTIMADO]]</f>
        <v>542880</v>
      </c>
      <c r="K776" s="17"/>
      <c r="L776" s="16" t="s">
        <v>15</v>
      </c>
      <c r="M776" s="16" t="s">
        <v>22</v>
      </c>
      <c r="N776" s="39" t="s">
        <v>342</v>
      </c>
    </row>
    <row r="777" spans="1:20" s="12" customFormat="1">
      <c r="A777" s="15" t="s">
        <v>147</v>
      </c>
      <c r="B777" s="75" t="s">
        <v>326</v>
      </c>
      <c r="C777" s="39" t="s">
        <v>17</v>
      </c>
      <c r="D777" s="39">
        <v>0</v>
      </c>
      <c r="E777" s="39">
        <v>0</v>
      </c>
      <c r="F777" s="39">
        <v>0</v>
      </c>
      <c r="G777" s="39">
        <v>0</v>
      </c>
      <c r="H777" s="40">
        <f>SUM(Tabla1325[[#This Row],[PRIMER TRIMESTRE]:[CUARTO TRIMESTRE]])</f>
        <v>0</v>
      </c>
      <c r="I777" s="17">
        <v>2596</v>
      </c>
      <c r="J777" s="17">
        <f>+Tabla1325[[#This Row],[CANTIDAD TOTAL]]*Tabla1325[[#This Row],[PRECIO UNITARIO ESTIMADO]]</f>
        <v>0</v>
      </c>
      <c r="K777" s="17"/>
      <c r="L777" s="16" t="s">
        <v>15</v>
      </c>
      <c r="M777" s="16" t="s">
        <v>22</v>
      </c>
      <c r="N777" s="39" t="s">
        <v>342</v>
      </c>
    </row>
    <row r="778" spans="1:20" s="12" customFormat="1">
      <c r="A778" s="15" t="s">
        <v>147</v>
      </c>
      <c r="B778" s="106" t="s">
        <v>332</v>
      </c>
      <c r="C778" s="39" t="s">
        <v>17</v>
      </c>
      <c r="D778" s="39">
        <v>213</v>
      </c>
      <c r="E778" s="39">
        <v>213</v>
      </c>
      <c r="F778" s="39">
        <v>213</v>
      </c>
      <c r="G778" s="39">
        <v>213</v>
      </c>
      <c r="H778" s="40">
        <f>SUM(Tabla1325[[#This Row],[PRIMER TRIMESTRE]:[CUARTO TRIMESTRE]])</f>
        <v>852</v>
      </c>
      <c r="I778" s="17">
        <v>460.2</v>
      </c>
      <c r="J778" s="17">
        <f>+Tabla1325[[#This Row],[CANTIDAD TOTAL]]*Tabla1325[[#This Row],[PRECIO UNITARIO ESTIMADO]]</f>
        <v>392090.39999999997</v>
      </c>
      <c r="K778" s="17"/>
      <c r="L778" s="16" t="s">
        <v>15</v>
      </c>
      <c r="M778" s="16" t="s">
        <v>22</v>
      </c>
      <c r="N778" s="39" t="s">
        <v>342</v>
      </c>
    </row>
    <row r="779" spans="1:20" s="12" customFormat="1">
      <c r="A779" s="15" t="s">
        <v>147</v>
      </c>
      <c r="B779" s="106" t="s">
        <v>333</v>
      </c>
      <c r="C779" s="39" t="s">
        <v>17</v>
      </c>
      <c r="D779" s="39">
        <v>300</v>
      </c>
      <c r="E779" s="39">
        <v>300</v>
      </c>
      <c r="F779" s="39">
        <v>300</v>
      </c>
      <c r="G779" s="39">
        <v>300</v>
      </c>
      <c r="H779" s="40">
        <f>SUM(Tabla1325[[#This Row],[PRIMER TRIMESTRE]:[CUARTO TRIMESTRE]])</f>
        <v>1200</v>
      </c>
      <c r="I779" s="17">
        <f>76995/450</f>
        <v>171.1</v>
      </c>
      <c r="J779" s="17">
        <f>+Tabla1325[[#This Row],[CANTIDAD TOTAL]]*Tabla1325[[#This Row],[PRECIO UNITARIO ESTIMADO]]</f>
        <v>205320</v>
      </c>
      <c r="K779" s="17"/>
      <c r="L779" s="16" t="s">
        <v>15</v>
      </c>
      <c r="M779" s="16" t="s">
        <v>22</v>
      </c>
      <c r="N779" s="39" t="s">
        <v>342</v>
      </c>
    </row>
    <row r="780" spans="1:20" s="12" customFormat="1">
      <c r="A780" s="15" t="s">
        <v>147</v>
      </c>
      <c r="B780" s="75" t="s">
        <v>303</v>
      </c>
      <c r="C780" s="39" t="s">
        <v>149</v>
      </c>
      <c r="D780" s="39">
        <v>0</v>
      </c>
      <c r="E780" s="39">
        <v>0</v>
      </c>
      <c r="F780" s="39">
        <v>0</v>
      </c>
      <c r="G780" s="39">
        <v>0</v>
      </c>
      <c r="H780" s="40">
        <f>SUM(Tabla1325[[#This Row],[PRIMER TRIMESTRE]:[CUARTO TRIMESTRE]])</f>
        <v>0</v>
      </c>
      <c r="I780" s="17">
        <v>1856</v>
      </c>
      <c r="J780" s="17">
        <f>+Tabla1325[[#This Row],[CANTIDAD TOTAL]]*Tabla1325[[#This Row],[PRECIO UNITARIO ESTIMADO]]</f>
        <v>0</v>
      </c>
      <c r="K780" s="17"/>
      <c r="L780" s="16" t="s">
        <v>15</v>
      </c>
      <c r="M780" s="16" t="s">
        <v>22</v>
      </c>
      <c r="N780" s="39" t="s">
        <v>342</v>
      </c>
    </row>
    <row r="781" spans="1:20" s="12" customFormat="1">
      <c r="A781" s="15" t="s">
        <v>147</v>
      </c>
      <c r="B781" s="75" t="s">
        <v>568</v>
      </c>
      <c r="C781" s="39" t="s">
        <v>149</v>
      </c>
      <c r="D781" s="39">
        <v>0</v>
      </c>
      <c r="E781" s="39">
        <v>0</v>
      </c>
      <c r="F781" s="39">
        <v>0</v>
      </c>
      <c r="G781" s="39">
        <v>0</v>
      </c>
      <c r="H781" s="40">
        <f>SUM(Tabla1325[[#This Row],[PRIMER TRIMESTRE]:[CUARTO TRIMESTRE]])</f>
        <v>0</v>
      </c>
      <c r="I781" s="17">
        <v>488.31</v>
      </c>
      <c r="J781" s="17">
        <f>+Tabla1325[[#This Row],[CANTIDAD TOTAL]]*Tabla1325[[#This Row],[PRECIO UNITARIO ESTIMADO]]</f>
        <v>0</v>
      </c>
      <c r="K781" s="17"/>
      <c r="L781" s="16" t="s">
        <v>15</v>
      </c>
      <c r="M781" s="16" t="s">
        <v>22</v>
      </c>
      <c r="N781" s="39" t="s">
        <v>342</v>
      </c>
    </row>
    <row r="782" spans="1:20" s="12" customFormat="1">
      <c r="A782" s="15" t="s">
        <v>147</v>
      </c>
      <c r="B782" s="75" t="s">
        <v>569</v>
      </c>
      <c r="C782" s="39" t="s">
        <v>149</v>
      </c>
      <c r="D782" s="39">
        <v>0</v>
      </c>
      <c r="E782" s="39">
        <v>0</v>
      </c>
      <c r="F782" s="39">
        <v>0</v>
      </c>
      <c r="G782" s="39">
        <v>0</v>
      </c>
      <c r="H782" s="40">
        <f>SUM(Tabla1325[[#This Row],[PRIMER TRIMESTRE]:[CUARTO TRIMESTRE]])</f>
        <v>0</v>
      </c>
      <c r="I782" s="17">
        <v>550.4</v>
      </c>
      <c r="J782" s="17">
        <f>+H782*I782</f>
        <v>0</v>
      </c>
      <c r="K782" s="17"/>
      <c r="L782" s="16" t="s">
        <v>15</v>
      </c>
      <c r="M782" s="16" t="s">
        <v>22</v>
      </c>
      <c r="N782" s="39" t="s">
        <v>342</v>
      </c>
    </row>
    <row r="783" spans="1:20" s="26" customFormat="1">
      <c r="A783" s="22" t="s">
        <v>147</v>
      </c>
      <c r="B783" s="76"/>
      <c r="C783" s="42"/>
      <c r="D783" s="42">
        <v>0</v>
      </c>
      <c r="E783" s="42">
        <v>0</v>
      </c>
      <c r="F783" s="42">
        <v>0</v>
      </c>
      <c r="G783" s="42">
        <v>0</v>
      </c>
      <c r="H783" s="43">
        <f>SUM(Tabla1325[[#This Row],[PRIMER TRIMESTRE]:[CUARTO TRIMESTRE]])</f>
        <v>0</v>
      </c>
      <c r="I783" s="24"/>
      <c r="J783" s="24"/>
      <c r="K783" s="25">
        <f>SUM(J776:J782)</f>
        <v>1140290.3999999999</v>
      </c>
      <c r="L783" s="23"/>
      <c r="M783" s="23"/>
      <c r="N783" s="42"/>
      <c r="Q783" s="27"/>
      <c r="T783" s="23"/>
    </row>
    <row r="784" spans="1:20" s="12" customFormat="1">
      <c r="A784" s="15" t="s">
        <v>153</v>
      </c>
      <c r="B784" s="106" t="s">
        <v>304</v>
      </c>
      <c r="C784" s="39" t="s">
        <v>17</v>
      </c>
      <c r="D784" s="39">
        <v>6000</v>
      </c>
      <c r="E784" s="39">
        <v>6000</v>
      </c>
      <c r="F784" s="39">
        <v>6000</v>
      </c>
      <c r="G784" s="39">
        <v>6000</v>
      </c>
      <c r="H784" s="51">
        <f>SUM(Tabla1325[[#This Row],[PRIMER TRIMESTRE]:[CUARTO TRIMESTRE]])</f>
        <v>24000</v>
      </c>
      <c r="I784" s="17">
        <v>5.4</v>
      </c>
      <c r="J784" s="17">
        <f>+H784*I784</f>
        <v>129600.00000000001</v>
      </c>
      <c r="K784" s="17"/>
      <c r="L784" s="16" t="s">
        <v>15</v>
      </c>
      <c r="M784" s="16" t="s">
        <v>22</v>
      </c>
      <c r="N784" s="39" t="s">
        <v>342</v>
      </c>
    </row>
    <row r="785" spans="1:22" s="12" customFormat="1">
      <c r="A785" s="15" t="s">
        <v>1909</v>
      </c>
      <c r="B785" s="106" t="s">
        <v>2645</v>
      </c>
      <c r="C785" s="39" t="s">
        <v>17</v>
      </c>
      <c r="D785" s="39">
        <v>60000</v>
      </c>
      <c r="E785" s="39">
        <v>60000</v>
      </c>
      <c r="F785" s="39">
        <v>60000</v>
      </c>
      <c r="G785" s="39">
        <v>60000</v>
      </c>
      <c r="H785" s="51">
        <f>SUM(Tabla1325[[#This Row],[PRIMER TRIMESTRE]:[CUARTO TRIMESTRE]])</f>
        <v>240000</v>
      </c>
      <c r="I785" s="17">
        <v>5.4</v>
      </c>
      <c r="J785" s="17">
        <f>+H785*I785</f>
        <v>1296000</v>
      </c>
      <c r="K785" s="17"/>
      <c r="L785" s="16" t="s">
        <v>15</v>
      </c>
      <c r="M785" s="16" t="s">
        <v>22</v>
      </c>
      <c r="N785" s="39" t="s">
        <v>342</v>
      </c>
    </row>
    <row r="786" spans="1:22" s="12" customFormat="1">
      <c r="A786" s="15" t="s">
        <v>153</v>
      </c>
      <c r="B786" s="106" t="s">
        <v>768</v>
      </c>
      <c r="C786" s="39" t="s">
        <v>17</v>
      </c>
      <c r="D786" s="39">
        <v>6250</v>
      </c>
      <c r="E786" s="39">
        <v>6250</v>
      </c>
      <c r="F786" s="39">
        <v>6250</v>
      </c>
      <c r="G786" s="39">
        <v>6250</v>
      </c>
      <c r="H786" s="51">
        <f>SUM(Tabla1325[[#This Row],[PRIMER TRIMESTRE]:[CUARTO TRIMESTRE]])</f>
        <v>25000</v>
      </c>
      <c r="I786" s="17">
        <v>48.75</v>
      </c>
      <c r="J786" s="17">
        <f>+H786*I786</f>
        <v>1218750</v>
      </c>
      <c r="K786" s="17"/>
      <c r="L786" s="16" t="s">
        <v>15</v>
      </c>
      <c r="M786" s="16" t="s">
        <v>22</v>
      </c>
      <c r="N786" s="39" t="s">
        <v>342</v>
      </c>
    </row>
    <row r="787" spans="1:22" s="26" customFormat="1">
      <c r="A787" s="22" t="s">
        <v>153</v>
      </c>
      <c r="B787" s="76"/>
      <c r="C787" s="42"/>
      <c r="D787" s="42"/>
      <c r="E787" s="42"/>
      <c r="F787" s="42"/>
      <c r="G787" s="42"/>
      <c r="H787" s="43"/>
      <c r="I787" s="24"/>
      <c r="J787" s="24"/>
      <c r="K787" s="25">
        <f>SUM(J784:J786)</f>
        <v>2644350</v>
      </c>
      <c r="L787" s="23"/>
      <c r="M787" s="23"/>
      <c r="N787" s="42"/>
      <c r="Q787" s="27"/>
      <c r="T787" s="23"/>
    </row>
    <row r="788" spans="1:22" s="55" customFormat="1">
      <c r="A788" s="49" t="s">
        <v>573</v>
      </c>
      <c r="B788" s="81" t="s">
        <v>574</v>
      </c>
      <c r="C788" s="50" t="s">
        <v>17</v>
      </c>
      <c r="D788" s="50">
        <v>0</v>
      </c>
      <c r="E788" s="50">
        <v>0</v>
      </c>
      <c r="F788" s="50">
        <v>0</v>
      </c>
      <c r="G788" s="50">
        <v>0</v>
      </c>
      <c r="H788" s="51">
        <f>SUM(Tabla1325[[#This Row],[PRIMER TRIMESTRE]:[CUARTO TRIMESTRE]])</f>
        <v>0</v>
      </c>
      <c r="I788" s="52">
        <v>500</v>
      </c>
      <c r="J788" s="52">
        <f>+Tabla1325[[#This Row],[CANTIDAD TOTAL]]*Tabla1325[[#This Row],[PRECIO UNITARIO ESTIMADO]]</f>
        <v>0</v>
      </c>
      <c r="K788" s="50"/>
      <c r="L788" s="411" t="s">
        <v>27</v>
      </c>
      <c r="M788" s="411" t="s">
        <v>22</v>
      </c>
      <c r="N788" s="53"/>
      <c r="O788" s="39"/>
      <c r="P788" s="54"/>
      <c r="R788"/>
      <c r="S788" s="56"/>
      <c r="T788" s="56"/>
      <c r="U788" s="56"/>
      <c r="V788" s="56"/>
    </row>
    <row r="789" spans="1:22" s="55" customFormat="1">
      <c r="A789" s="49" t="s">
        <v>573</v>
      </c>
      <c r="B789" s="81" t="s">
        <v>575</v>
      </c>
      <c r="C789" s="50" t="s">
        <v>17</v>
      </c>
      <c r="D789" s="50">
        <v>0</v>
      </c>
      <c r="E789" s="50">
        <v>0</v>
      </c>
      <c r="F789" s="50">
        <v>0</v>
      </c>
      <c r="G789" s="50">
        <v>0</v>
      </c>
      <c r="H789" s="51">
        <f>SUM(Tabla1325[[#This Row],[PRIMER TRIMESTRE]:[CUARTO TRIMESTRE]])</f>
        <v>0</v>
      </c>
      <c r="I789" s="52">
        <v>1000</v>
      </c>
      <c r="J789" s="52">
        <f>+Tabla1325[[#This Row],[CANTIDAD TOTAL]]*Tabla1325[[#This Row],[PRECIO UNITARIO ESTIMADO]]</f>
        <v>0</v>
      </c>
      <c r="K789" s="50"/>
      <c r="L789" s="411" t="s">
        <v>27</v>
      </c>
      <c r="M789" s="411" t="s">
        <v>22</v>
      </c>
      <c r="N789" s="53"/>
      <c r="O789" s="39"/>
      <c r="P789" s="54"/>
      <c r="R789"/>
      <c r="S789" s="56"/>
      <c r="T789" s="56"/>
      <c r="U789" s="56"/>
      <c r="V789" s="56"/>
    </row>
    <row r="790" spans="1:22" s="55" customFormat="1">
      <c r="A790" s="49" t="s">
        <v>573</v>
      </c>
      <c r="B790" s="81" t="s">
        <v>576</v>
      </c>
      <c r="C790" s="50" t="s">
        <v>17</v>
      </c>
      <c r="D790" s="50">
        <v>0</v>
      </c>
      <c r="E790" s="50">
        <v>0</v>
      </c>
      <c r="F790" s="50">
        <v>0</v>
      </c>
      <c r="G790" s="50">
        <v>0</v>
      </c>
      <c r="H790" s="51">
        <f>SUM(Tabla1325[[#This Row],[PRIMER TRIMESTRE]:[CUARTO TRIMESTRE]])</f>
        <v>0</v>
      </c>
      <c r="I790" s="52">
        <v>2000</v>
      </c>
      <c r="J790" s="52">
        <f>+Tabla1325[[#This Row],[CANTIDAD TOTAL]]*Tabla1325[[#This Row],[PRECIO UNITARIO ESTIMADO]]</f>
        <v>0</v>
      </c>
      <c r="K790" s="50"/>
      <c r="L790" s="411" t="s">
        <v>27</v>
      </c>
      <c r="M790" s="411" t="s">
        <v>22</v>
      </c>
      <c r="N790" s="53"/>
      <c r="O790" s="39"/>
      <c r="P790" s="54"/>
      <c r="R790"/>
      <c r="S790" s="56"/>
      <c r="T790" s="56"/>
      <c r="U790" s="56"/>
      <c r="V790" s="56"/>
    </row>
    <row r="791" spans="1:22" s="64" customFormat="1">
      <c r="A791" s="57" t="s">
        <v>573</v>
      </c>
      <c r="B791" s="82"/>
      <c r="C791" s="58"/>
      <c r="D791" s="58"/>
      <c r="E791" s="58"/>
      <c r="F791" s="58"/>
      <c r="G791" s="58"/>
      <c r="H791" s="59"/>
      <c r="I791" s="57"/>
      <c r="J791" s="60"/>
      <c r="K791" s="25">
        <f>+SUM($J$788:$J$790)</f>
        <v>0</v>
      </c>
      <c r="L791" s="61"/>
      <c r="M791" s="61"/>
      <c r="N791" s="62"/>
      <c r="O791" s="63"/>
      <c r="P791" s="58"/>
      <c r="R791"/>
      <c r="S791" s="56"/>
      <c r="T791" s="56"/>
      <c r="U791" s="56"/>
      <c r="V791" s="56"/>
    </row>
    <row r="792" spans="1:22" s="12" customFormat="1">
      <c r="A792" s="15"/>
      <c r="B792" s="75"/>
      <c r="C792" s="39"/>
      <c r="D792" s="39"/>
      <c r="E792" s="39"/>
      <c r="F792" s="39"/>
      <c r="G792" s="39"/>
      <c r="H792" s="46"/>
      <c r="I792" s="17"/>
      <c r="J792" s="17"/>
      <c r="K792" s="17"/>
      <c r="L792" s="16"/>
      <c r="M792" s="16"/>
      <c r="N792" s="39"/>
    </row>
    <row r="793" spans="1:22" s="34" customFormat="1" ht="24" thickBot="1">
      <c r="A793" s="33"/>
      <c r="B793" s="83" t="s">
        <v>908</v>
      </c>
      <c r="C793" s="47"/>
      <c r="D793" s="521">
        <f>SUBTOTAL(109,D11:D792)</f>
        <v>243069</v>
      </c>
      <c r="E793" s="521">
        <f>SUBTOTAL(109,E11:E792)</f>
        <v>242580</v>
      </c>
      <c r="F793" s="521">
        <f>SUBTOTAL(109,F11:F792)</f>
        <v>238481</v>
      </c>
      <c r="G793" s="521">
        <f>SUBTOTAL(109,G11:G792)</f>
        <v>238581</v>
      </c>
      <c r="H793" s="521">
        <f>SUM(Tabla1325[[#This Row],[PRIMER TRIMESTRE]:[CUARTO TRIMESTRE]])</f>
        <v>962711</v>
      </c>
      <c r="I793" s="35"/>
      <c r="J793" s="35"/>
      <c r="K793" s="74">
        <f>SUM(K11:K792)</f>
        <v>106209110.42105155</v>
      </c>
      <c r="N793" s="47"/>
    </row>
    <row r="794" spans="1:22">
      <c r="A794" s="172"/>
      <c r="B794" s="421"/>
      <c r="C794" s="173"/>
      <c r="D794" s="173"/>
      <c r="E794" s="173"/>
      <c r="F794" s="173"/>
      <c r="G794" s="173"/>
      <c r="H794" s="422"/>
      <c r="I794" s="423"/>
      <c r="J794" s="423"/>
      <c r="K794" s="423"/>
      <c r="L794" s="172"/>
      <c r="M794" s="172"/>
      <c r="N794" s="173"/>
    </row>
  </sheetData>
  <mergeCells count="4">
    <mergeCell ref="A3:A5"/>
    <mergeCell ref="A6:N6"/>
    <mergeCell ref="A7:B7"/>
    <mergeCell ref="D9:G9"/>
  </mergeCells>
  <dataValidations count="20">
    <dataValidation type="list" allowBlank="1" showInputMessage="1" showErrorMessage="1" promptTitle="PACC" prompt="Seleccione el Código de Bienes y Servicios._x000a_" sqref="A29:A31">
      <formula1>$S$14:$S$619</formula1>
    </dataValidation>
    <dataValidation type="list" allowBlank="1" showInputMessage="1" showErrorMessage="1" promptTitle="PACC" prompt="Seleccione el Código de Bienes y Servicios._x000a_" sqref="A346:A361">
      <formula1>$R$14:$R$675</formula1>
    </dataValidation>
    <dataValidation type="list" allowBlank="1" showInputMessage="1" showErrorMessage="1" promptTitle="PACC" prompt="Seleccione el Código de Bienes y Servicios._x000a_" sqref="A339:A345">
      <formula1>$R$14:$R$649</formula1>
    </dataValidation>
    <dataValidation type="list" allowBlank="1" showInputMessage="1" showErrorMessage="1" promptTitle="PACC" prompt="Seleccione el procedimiento de selección." sqref="L479">
      <formula1>#REF!</formula1>
    </dataValidation>
    <dataValidation type="list" allowBlank="1" showInputMessage="1" showErrorMessage="1" promptTitle="PACC" prompt="Seleccione el Código de Bienes y Servicios._x000a_" sqref="A479 A364:A366 A764 A600">
      <formula1>#REF!</formula1>
    </dataValidation>
    <dataValidation allowBlank="1" showInputMessage="1" showErrorMessage="1" promptTitle="PACC" prompt="Digite la descripción de la compra o contratación." sqref="B11:B352 B362:B793"/>
    <dataValidation type="list" allowBlank="1" showInputMessage="1" showErrorMessage="1" promptTitle="PACC" prompt="Seleccione el Código de Bienes y Servicios._x000a_" sqref="A788:A791">
      <formula1>$R$9:$R$302</formula1>
    </dataValidation>
    <dataValidation type="list" allowBlank="1" showInputMessage="1" showErrorMessage="1" promptTitle="PACC" prompt="Seleccione el Código de Bienes y Servicios._x000a_" sqref="A792:A793 A11:A28 A32:A338 A601:A763 A765:A787 A362:A363 A367:A478 A480:A599">
      <formula1>$Q$14:$Q$313</formula1>
    </dataValidation>
    <dataValidation type="list" allowBlank="1" showInputMessage="1" showErrorMessage="1" promptTitle="PACC" prompt="Seleccione el procedimiento de selección." sqref="M339:M361">
      <formula1>$U$14:$U$15</formula1>
    </dataValidation>
    <dataValidation type="list" allowBlank="1" showInputMessage="1" showErrorMessage="1" promptTitle="PACC" prompt="Seleccione el procedimiento de selección." sqref="L30:L31">
      <formula1>$V$14:$V$17</formula1>
    </dataValidation>
    <dataValidation type="list" allowBlank="1" showInputMessage="1" showErrorMessage="1" promptTitle="PACC" prompt="Seleccione el procedimiento de selección." sqref="M606 L32:L338 L792:L793 L362:L379 L11:L29 L392:L405 L407:L478 L480:L787">
      <formula1>$T$14:$T$15</formula1>
    </dataValidation>
    <dataValidation type="list" allowBlank="1" showInputMessage="1" showErrorMessage="1" promptTitle="PACC" prompt="Seleccione el procedimiento de selección." sqref="K788:K791">
      <formula1>#REF!</formula1>
    </dataValidation>
    <dataValidation allowBlank="1" showInputMessage="1" showErrorMessage="1" promptTitle="PACC" prompt="Digite la unidad de medida._x000a__x000a_" sqref="C11:C317 C362:C793 D25:H25"/>
    <dataValidation allowBlank="1" showInputMessage="1" showErrorMessage="1" promptTitle="PACC" prompt="Digite las observaciones que considere." sqref="N792:N793 N11:N338 N362:N787"/>
    <dataValidation allowBlank="1" showInputMessage="1" showErrorMessage="1" promptTitle="PACC" prompt="Este valor se calculará sumando los costos totales que posean el mismo Código de Catálogo de Bienes y Servicios." sqref="K18:K20 J788:J790 K235:K239 K151:K165 K107:K108 K241:K250 K362 L339:L361 K792:K793 K483:K484 K548 K367:K372 L380:L391 L406 K380:K412 K29:K31 K595:K602 K265:K338 K199:K228 K606:K764 K416:K481"/>
    <dataValidation allowBlank="1" showInputMessage="1" showErrorMessage="1" promptTitle="PACC" prompt="Digite la fuente de financiamiento del procedimiento de referencia." sqref="N788:N791 M792:M793 N339:N361 M11:M338 M607:M787 M362:M605"/>
    <dataValidation allowBlank="1" showInputMessage="1" showErrorMessage="1" promptTitle="PACC" prompt="Digite el precio unitario estimado._x000a_" sqref="I792:I793 I11:I338 I362:I787"/>
    <dataValidation allowBlank="1" showInputMessage="1" showErrorMessage="1" promptTitle="PACC" prompt="Este valor se calculará automáticamente, resultado de la multiplicación de la cantidad total por el precio unitario estimado." sqref="I791:J791 J235:J239 J151:J165 J107:J108 J240:K240 J241:J250 I788:I790 K16:K17 J11:K15 J265:J372 J792:J793 K339:K361 K32:K67 J482:K482 J548 J549:K594 J373:K379 J166:K198 J380:J412 J413:K415 K21:K28 J16:J67 J483:J484 J595:J602 K363:K366 J603:K605 J485:K547 J199:J228 J229:K234 J251:K264 J109:K150 J68:K106 J765:K787 J606:J764 J416:J481"/>
    <dataValidation allowBlank="1" showInputMessage="1" showErrorMessage="1" promptTitle="PACC" prompt="La cantidad total resultará de la suma de las cantidades requeridas en cada trimestre. " sqref="H563:H793 I350:I361 I339:I348 H559:H561 D28:G28 H11:H24 H26:H557"/>
    <dataValidation allowBlank="1" showInputMessage="1" showErrorMessage="1" promptTitle="PACC" prompt="Digite la cantidad requerida en este período._x000a_" sqref="D480:G552 D628:G645 D113:G124 D91:G109 D87:G88 E563:G626 E559:G561 D647:G793 E558:H558 E562:H562 E553:G557 D553:D626 D132:G478 E479 G479 D29:G84 D11:G24 D26:G27"/>
  </dataValidations>
  <printOptions horizontalCentered="1"/>
  <pageMargins left="0.31496062992125984" right="0.19685039370078741" top="0.19685039370078741" bottom="0.39370078740157483" header="0.31496062992125984" footer="0.31496062992125984"/>
  <pageSetup paperSize="5" scale="51" fitToHeight="0" orientation="landscape" r:id="rId1"/>
  <headerFooter>
    <oddFooter>&amp;C&amp;P/&amp;N</oddFooter>
  </headerFooter>
  <rowBreaks count="3" manualBreakCount="3">
    <brk id="541" max="13" man="1"/>
    <brk id="602" max="13" man="1"/>
    <brk id="627" max="13" man="1"/>
  </rowBreaks>
  <drawing r:id="rId2"/>
  <tableParts count="1">
    <tablePart r:id="rId3"/>
  </tablePar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FF66"/>
  </sheetPr>
  <dimension ref="A1:N1447"/>
  <sheetViews>
    <sheetView topLeftCell="B1414" zoomScale="70" zoomScaleNormal="70" workbookViewId="0">
      <selection activeCell="C1433" sqref="C1433"/>
    </sheetView>
  </sheetViews>
  <sheetFormatPr baseColWidth="10" defaultColWidth="11.42578125" defaultRowHeight="30.75" customHeight="1"/>
  <cols>
    <col min="1" max="1" width="47.140625" style="400" customWidth="1"/>
    <col min="2" max="2" width="48.42578125" style="400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400" customWidth="1"/>
    <col min="10" max="10" width="22" style="400" customWidth="1"/>
    <col min="11" max="11" width="32.42578125" style="400" customWidth="1"/>
    <col min="12" max="12" width="32.140625" style="400" customWidth="1"/>
    <col min="13" max="13" width="25.85546875" style="400" customWidth="1"/>
    <col min="14" max="14" width="12.5703125" style="37" customWidth="1"/>
    <col min="15" max="16384" width="11.42578125" style="400"/>
  </cols>
  <sheetData>
    <row r="1" spans="1:14" ht="18.75" thickBot="1"/>
    <row r="2" spans="1:14" ht="18">
      <c r="A2" s="7" t="s">
        <v>0</v>
      </c>
      <c r="N2" s="8">
        <v>42332</v>
      </c>
    </row>
    <row r="3" spans="1:14" ht="18">
      <c r="A3" s="554"/>
      <c r="N3" s="9"/>
    </row>
    <row r="4" spans="1:14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14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14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172" customFormat="1" ht="15.75">
      <c r="A7" s="556" t="s">
        <v>1281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14" ht="18.75" thickBot="1"/>
    <row r="9" spans="1:14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14" s="14" customFormat="1" ht="18"/>
    <row r="11" spans="1:14" s="12" customFormat="1" ht="18.75" customHeight="1" thickBot="1"/>
    <row r="12" spans="1:14" s="12" customFormat="1" ht="78">
      <c r="A12" s="2" t="s">
        <v>3</v>
      </c>
      <c r="B12" s="3" t="s">
        <v>4</v>
      </c>
      <c r="C12" s="3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3" t="s">
        <v>10</v>
      </c>
      <c r="I12" s="3" t="s">
        <v>11</v>
      </c>
      <c r="J12" s="3" t="s">
        <v>12</v>
      </c>
      <c r="K12" s="3" t="s">
        <v>442</v>
      </c>
      <c r="L12" s="3" t="s">
        <v>13</v>
      </c>
      <c r="M12" s="3" t="s">
        <v>14</v>
      </c>
      <c r="N12" s="3" t="s">
        <v>305</v>
      </c>
    </row>
    <row r="13" spans="1:14" s="12" customFormat="1" ht="31.5">
      <c r="A13" s="178" t="s">
        <v>16</v>
      </c>
      <c r="B13" s="75" t="s">
        <v>427</v>
      </c>
      <c r="C13" s="39" t="s">
        <v>17</v>
      </c>
      <c r="D13" s="236"/>
      <c r="E13" s="236"/>
      <c r="F13" s="236"/>
      <c r="G13" s="236"/>
      <c r="H13" s="236">
        <f>SUM(Tabla132112418[[#This Row],[PRIMER TRIMESTRE]:[CUARTO TRIMESTRE]])</f>
        <v>0</v>
      </c>
      <c r="I13" s="17">
        <v>4568.04</v>
      </c>
      <c r="J13" s="17">
        <f>+Tabla132112418[[#This Row],[CANTIDAD TOTAL]]*Tabla132112418[[#This Row],[PRECIO UNITARIO ESTIMADO]]</f>
        <v>0</v>
      </c>
      <c r="K13" s="21"/>
      <c r="L13" s="16" t="s">
        <v>18</v>
      </c>
      <c r="M13" s="16" t="s">
        <v>19</v>
      </c>
      <c r="N13" s="39"/>
    </row>
    <row r="14" spans="1:14" s="12" customFormat="1" ht="31.5">
      <c r="A14" s="178" t="s">
        <v>16</v>
      </c>
      <c r="B14" s="75" t="s">
        <v>426</v>
      </c>
      <c r="C14" s="39" t="s">
        <v>17</v>
      </c>
      <c r="D14" s="236"/>
      <c r="E14" s="236"/>
      <c r="F14" s="236"/>
      <c r="G14" s="236"/>
      <c r="H14" s="236">
        <f>SUM(Tabla132112418[[#This Row],[PRIMER TRIMESTRE]:[CUARTO TRIMESTRE]])</f>
        <v>0</v>
      </c>
      <c r="I14" s="17">
        <v>33696</v>
      </c>
      <c r="J14" s="17">
        <f>+Tabla132112418[[#This Row],[CANTIDAD TOTAL]]*Tabla132112418[[#This Row],[PRECIO UNITARIO ESTIMADO]]</f>
        <v>0</v>
      </c>
      <c r="K14" s="17"/>
      <c r="L14" s="16" t="s">
        <v>18</v>
      </c>
      <c r="M14" s="16" t="s">
        <v>19</v>
      </c>
      <c r="N14" s="39"/>
    </row>
    <row r="15" spans="1:14" s="12" customFormat="1" ht="31.5">
      <c r="A15" s="178" t="s">
        <v>16</v>
      </c>
      <c r="B15" s="75" t="s">
        <v>24</v>
      </c>
      <c r="C15" s="39" t="s">
        <v>25</v>
      </c>
      <c r="D15" s="210"/>
      <c r="E15" s="210"/>
      <c r="F15" s="210"/>
      <c r="G15" s="210"/>
      <c r="H15" s="236">
        <f>SUM(Tabla132112418[[#This Row],[PRIMER TRIMESTRE]:[CUARTO TRIMESTRE]])</f>
        <v>0</v>
      </c>
      <c r="I15" s="17">
        <v>3628</v>
      </c>
      <c r="J15" s="17">
        <f>+Tabla132112418[[#This Row],[CANTIDAD TOTAL]]*Tabla132112418[[#This Row],[PRECIO UNITARIO ESTIMADO]]</f>
        <v>0</v>
      </c>
      <c r="K15" s="17"/>
      <c r="L15" s="16" t="s">
        <v>18</v>
      </c>
      <c r="M15" s="16" t="s">
        <v>19</v>
      </c>
      <c r="N15" s="39"/>
    </row>
    <row r="16" spans="1:14" s="12" customFormat="1" ht="31.5">
      <c r="A16" s="178" t="s">
        <v>16</v>
      </c>
      <c r="B16" s="75" t="s">
        <v>1385</v>
      </c>
      <c r="C16" s="39" t="s">
        <v>23</v>
      </c>
      <c r="D16" s="210"/>
      <c r="E16" s="210"/>
      <c r="F16" s="210"/>
      <c r="G16" s="210"/>
      <c r="H16" s="236">
        <f>SUM(Tabla132112418[[#This Row],[PRIMER TRIMESTRE]:[CUARTO TRIMESTRE]])</f>
        <v>0</v>
      </c>
      <c r="I16" s="17">
        <v>28440</v>
      </c>
      <c r="J16" s="17">
        <f>+Tabla132112418[[#This Row],[CANTIDAD TOTAL]]*Tabla132112418[[#This Row],[PRECIO UNITARIO ESTIMADO]]</f>
        <v>0</v>
      </c>
      <c r="K16" s="17"/>
      <c r="L16" s="16" t="s">
        <v>15</v>
      </c>
      <c r="M16" s="16" t="s">
        <v>19</v>
      </c>
      <c r="N16" s="39" t="s">
        <v>342</v>
      </c>
    </row>
    <row r="17" spans="1:14" s="12" customFormat="1" ht="31.5">
      <c r="A17" s="178" t="s">
        <v>16</v>
      </c>
      <c r="B17" s="75" t="s">
        <v>29</v>
      </c>
      <c r="C17" s="39" t="s">
        <v>30</v>
      </c>
      <c r="D17" s="236"/>
      <c r="E17" s="236"/>
      <c r="F17" s="236"/>
      <c r="G17" s="236"/>
      <c r="H17" s="236">
        <f>SUM(Tabla132112418[[#This Row],[PRIMER TRIMESTRE]:[CUARTO TRIMESTRE]])</f>
        <v>0</v>
      </c>
      <c r="I17" s="17">
        <v>862.27</v>
      </c>
      <c r="J17" s="17">
        <f>+Tabla132112418[[#This Row],[CANTIDAD TOTAL]]*Tabla132112418[[#This Row],[PRECIO UNITARIO ESTIMADO]]</f>
        <v>0</v>
      </c>
      <c r="K17" s="17"/>
      <c r="L17" s="16" t="s">
        <v>18</v>
      </c>
      <c r="M17" s="16" t="s">
        <v>19</v>
      </c>
      <c r="N17" s="39"/>
    </row>
    <row r="18" spans="1:14" s="12" customFormat="1" ht="31.5">
      <c r="A18" s="178" t="s">
        <v>16</v>
      </c>
      <c r="B18" s="75" t="s">
        <v>1842</v>
      </c>
      <c r="C18" s="39" t="s">
        <v>30</v>
      </c>
      <c r="D18" s="236"/>
      <c r="E18" s="236"/>
      <c r="F18" s="236"/>
      <c r="G18" s="236"/>
      <c r="H18" s="236">
        <f>SUM(Tabla132112418[[#This Row],[PRIMER TRIMESTRE]:[CUARTO TRIMESTRE]])</f>
        <v>0</v>
      </c>
      <c r="I18" s="17">
        <v>24.68</v>
      </c>
      <c r="J18" s="17">
        <f>+H18*I18</f>
        <v>0</v>
      </c>
      <c r="K18" s="17"/>
      <c r="L18" s="16" t="s">
        <v>18</v>
      </c>
      <c r="M18" s="16" t="s">
        <v>19</v>
      </c>
      <c r="N18" s="39"/>
    </row>
    <row r="19" spans="1:14" s="169" customFormat="1" ht="31.5">
      <c r="A19" s="178" t="s">
        <v>16</v>
      </c>
      <c r="B19" s="75" t="s">
        <v>1843</v>
      </c>
      <c r="C19" s="39" t="s">
        <v>17</v>
      </c>
      <c r="D19" s="236"/>
      <c r="E19" s="236"/>
      <c r="F19" s="236"/>
      <c r="G19" s="236"/>
      <c r="H19" s="236">
        <f>SUM(Tabla132112418[[#This Row],[PRIMER TRIMESTRE]:[CUARTO TRIMESTRE]])</f>
        <v>0</v>
      </c>
      <c r="I19" s="17">
        <v>15000</v>
      </c>
      <c r="J19" s="17">
        <f>+H19*I19</f>
        <v>0</v>
      </c>
      <c r="K19" s="17"/>
      <c r="L19" s="16" t="s">
        <v>27</v>
      </c>
      <c r="M19" s="16" t="s">
        <v>19</v>
      </c>
      <c r="N19" s="39"/>
    </row>
    <row r="20" spans="1:14" s="169" customFormat="1" ht="18">
      <c r="A20" s="179" t="s">
        <v>16</v>
      </c>
      <c r="B20" s="405" t="s">
        <v>443</v>
      </c>
      <c r="C20" s="42"/>
      <c r="D20" s="237"/>
      <c r="E20" s="237"/>
      <c r="F20" s="237"/>
      <c r="G20" s="237"/>
      <c r="H20" s="43"/>
      <c r="I20" s="24"/>
      <c r="J20" s="24"/>
      <c r="K20" s="25">
        <f>SUM(J13:J19)</f>
        <v>0</v>
      </c>
      <c r="L20" s="23"/>
      <c r="M20" s="23"/>
      <c r="N20" s="42"/>
    </row>
    <row r="21" spans="1:14" s="169" customFormat="1" ht="30">
      <c r="A21" s="180" t="s">
        <v>34</v>
      </c>
      <c r="B21" s="77" t="s">
        <v>717</v>
      </c>
      <c r="C21" s="70" t="s">
        <v>35</v>
      </c>
      <c r="D21" s="210"/>
      <c r="E21" s="210"/>
      <c r="F21" s="210"/>
      <c r="G21" s="210"/>
      <c r="H21" s="406">
        <f>SUM(Tabla132112418[[#This Row],[PRIMER TRIMESTRE]:[CUARTO TRIMESTRE]])</f>
        <v>0</v>
      </c>
      <c r="I21" s="72">
        <v>31896.55</v>
      </c>
      <c r="J21" s="72">
        <f>+Tabla132112418[[#This Row],[CANTIDAD TOTAL]]*Tabla132112418[[#This Row],[PRECIO UNITARIO ESTIMADO]]</f>
        <v>0</v>
      </c>
      <c r="K21" s="72"/>
      <c r="L21" s="77" t="s">
        <v>27</v>
      </c>
      <c r="M21" s="73" t="s">
        <v>22</v>
      </c>
      <c r="N21" s="70" t="s">
        <v>418</v>
      </c>
    </row>
    <row r="22" spans="1:14" s="169" customFormat="1" ht="30">
      <c r="A22" s="180" t="s">
        <v>34</v>
      </c>
      <c r="B22" s="77" t="s">
        <v>714</v>
      </c>
      <c r="C22" s="70" t="s">
        <v>35</v>
      </c>
      <c r="D22" s="210"/>
      <c r="E22" s="210"/>
      <c r="F22" s="210"/>
      <c r="G22" s="210"/>
      <c r="H22" s="406">
        <f>SUM(Tabla132112418[[#This Row],[PRIMER TRIMESTRE]:[CUARTO TRIMESTRE]])</f>
        <v>0</v>
      </c>
      <c r="I22" s="72">
        <v>28017.24</v>
      </c>
      <c r="J22" s="72">
        <f>+H22*I22</f>
        <v>0</v>
      </c>
      <c r="K22" s="171"/>
      <c r="L22" s="77" t="s">
        <v>27</v>
      </c>
      <c r="M22" s="73" t="s">
        <v>22</v>
      </c>
      <c r="N22" s="70" t="s">
        <v>418</v>
      </c>
    </row>
    <row r="23" spans="1:14" s="169" customFormat="1" ht="30">
      <c r="A23" s="180" t="s">
        <v>34</v>
      </c>
      <c r="B23" s="77" t="s">
        <v>715</v>
      </c>
      <c r="C23" s="70" t="s">
        <v>35</v>
      </c>
      <c r="D23" s="210"/>
      <c r="E23" s="210"/>
      <c r="F23" s="210"/>
      <c r="G23" s="210"/>
      <c r="H23" s="406">
        <f>SUM(Tabla132112418[[#This Row],[PRIMER TRIMESTRE]:[CUARTO TRIMESTRE]])</f>
        <v>0</v>
      </c>
      <c r="I23" s="72">
        <v>23612</v>
      </c>
      <c r="J23" s="72">
        <f>+H23*I23</f>
        <v>0</v>
      </c>
      <c r="K23" s="72"/>
      <c r="L23" s="77" t="s">
        <v>27</v>
      </c>
      <c r="M23" s="73" t="s">
        <v>22</v>
      </c>
      <c r="N23" s="70" t="s">
        <v>418</v>
      </c>
    </row>
    <row r="24" spans="1:14" s="169" customFormat="1" ht="30">
      <c r="A24" s="180" t="s">
        <v>34</v>
      </c>
      <c r="B24" s="77" t="s">
        <v>716</v>
      </c>
      <c r="C24" s="70" t="s">
        <v>35</v>
      </c>
      <c r="D24" s="210"/>
      <c r="E24" s="210"/>
      <c r="F24" s="210"/>
      <c r="G24" s="210"/>
      <c r="H24" s="406">
        <f>SUM(Tabla132112418[[#This Row],[PRIMER TRIMESTRE]:[CUARTO TRIMESTRE]])</f>
        <v>0</v>
      </c>
      <c r="I24" s="72">
        <v>23112.13</v>
      </c>
      <c r="J24" s="72">
        <f>+H24*I24</f>
        <v>0</v>
      </c>
      <c r="K24" s="72"/>
      <c r="L24" s="77" t="s">
        <v>27</v>
      </c>
      <c r="M24" s="73" t="s">
        <v>22</v>
      </c>
      <c r="N24" s="70" t="s">
        <v>418</v>
      </c>
    </row>
    <row r="25" spans="1:14" s="169" customFormat="1" ht="30">
      <c r="A25" s="180" t="s">
        <v>34</v>
      </c>
      <c r="B25" s="77" t="s">
        <v>787</v>
      </c>
      <c r="C25" s="70" t="s">
        <v>35</v>
      </c>
      <c r="D25" s="210"/>
      <c r="E25" s="210"/>
      <c r="F25" s="210"/>
      <c r="G25" s="210"/>
      <c r="H25" s="406">
        <f>SUM(Tabla132112418[[#This Row],[PRIMER TRIMESTRE]:[CUARTO TRIMESTRE]])</f>
        <v>0</v>
      </c>
      <c r="I25" s="72">
        <v>24630.67</v>
      </c>
      <c r="J25" s="72">
        <f>+Tabla132112418[[#This Row],[CANTIDAD TOTAL]]*Tabla132112418[[#This Row],[PRECIO UNITARIO ESTIMADO]]</f>
        <v>0</v>
      </c>
      <c r="K25" s="72"/>
      <c r="L25" s="77" t="s">
        <v>27</v>
      </c>
      <c r="M25" s="73" t="s">
        <v>22</v>
      </c>
      <c r="N25" s="70" t="s">
        <v>418</v>
      </c>
    </row>
    <row r="26" spans="1:14" s="169" customFormat="1" ht="30">
      <c r="A26" s="180" t="s">
        <v>34</v>
      </c>
      <c r="B26" s="77" t="s">
        <v>786</v>
      </c>
      <c r="C26" s="70" t="s">
        <v>35</v>
      </c>
      <c r="D26" s="210"/>
      <c r="E26" s="210"/>
      <c r="F26" s="210"/>
      <c r="G26" s="210"/>
      <c r="H26" s="406">
        <f>SUM(Tabla132112418[[#This Row],[PRIMER TRIMESTRE]:[CUARTO TRIMESTRE]])</f>
        <v>0</v>
      </c>
      <c r="I26" s="72">
        <f>+I25*1.05</f>
        <v>25862.2035</v>
      </c>
      <c r="J26" s="72">
        <f>+H26*I26</f>
        <v>0</v>
      </c>
      <c r="K26" s="72"/>
      <c r="L26" s="77" t="s">
        <v>27</v>
      </c>
      <c r="M26" s="73" t="s">
        <v>22</v>
      </c>
      <c r="N26" s="70" t="s">
        <v>418</v>
      </c>
    </row>
    <row r="27" spans="1:14" s="26" customFormat="1" ht="30">
      <c r="A27" s="180" t="s">
        <v>34</v>
      </c>
      <c r="B27" s="77" t="s">
        <v>720</v>
      </c>
      <c r="C27" s="70" t="s">
        <v>721</v>
      </c>
      <c r="D27" s="210"/>
      <c r="E27" s="210"/>
      <c r="F27" s="210"/>
      <c r="G27" s="210"/>
      <c r="H27" s="406">
        <f>SUM(Tabla132112418[[#This Row],[PRIMER TRIMESTRE]:[CUARTO TRIMESTRE]])</f>
        <v>0</v>
      </c>
      <c r="I27" s="72">
        <v>3700</v>
      </c>
      <c r="J27" s="72">
        <f>+Tabla132112418[[#This Row],[CANTIDAD TOTAL]]*Tabla132112418[[#This Row],[PRECIO UNITARIO ESTIMADO]]</f>
        <v>0</v>
      </c>
      <c r="K27" s="72"/>
      <c r="L27" s="77" t="s">
        <v>27</v>
      </c>
      <c r="M27" s="73" t="s">
        <v>22</v>
      </c>
      <c r="N27" s="70" t="s">
        <v>418</v>
      </c>
    </row>
    <row r="28" spans="1:14" s="169" customFormat="1" ht="30">
      <c r="A28" s="180" t="s">
        <v>34</v>
      </c>
      <c r="B28" s="77" t="s">
        <v>719</v>
      </c>
      <c r="C28" s="70" t="s">
        <v>718</v>
      </c>
      <c r="D28" s="210"/>
      <c r="E28" s="210"/>
      <c r="F28" s="210"/>
      <c r="G28" s="210"/>
      <c r="H28" s="406">
        <f>SUM(Tabla132112418[[#This Row],[PRIMER TRIMESTRE]:[CUARTO TRIMESTRE]])</f>
        <v>0</v>
      </c>
      <c r="I28" s="72">
        <v>800</v>
      </c>
      <c r="J28" s="72">
        <f>+Tabla132112418[[#This Row],[CANTIDAD TOTAL]]*Tabla132112418[[#This Row],[PRECIO UNITARIO ESTIMADO]]</f>
        <v>0</v>
      </c>
      <c r="K28" s="72"/>
      <c r="L28" s="77" t="s">
        <v>27</v>
      </c>
      <c r="M28" s="73" t="s">
        <v>22</v>
      </c>
      <c r="N28" s="70" t="s">
        <v>418</v>
      </c>
    </row>
    <row r="29" spans="1:14" s="169" customFormat="1" ht="31.5">
      <c r="A29" s="179" t="s">
        <v>34</v>
      </c>
      <c r="B29" s="76" t="s">
        <v>444</v>
      </c>
      <c r="C29" s="42"/>
      <c r="D29" s="237"/>
      <c r="E29" s="237"/>
      <c r="F29" s="237"/>
      <c r="G29" s="237"/>
      <c r="H29" s="43"/>
      <c r="I29" s="24"/>
      <c r="J29" s="24"/>
      <c r="K29" s="25">
        <f>SUBTOTAL(109,J21:J28)</f>
        <v>0</v>
      </c>
      <c r="L29" s="23"/>
      <c r="M29" s="23"/>
      <c r="N29" s="42"/>
    </row>
    <row r="30" spans="1:14" s="26" customFormat="1" ht="31.5">
      <c r="A30" s="180" t="s">
        <v>1288</v>
      </c>
      <c r="B30" s="77" t="s">
        <v>1290</v>
      </c>
      <c r="C30" s="70" t="s">
        <v>33</v>
      </c>
      <c r="D30" s="210"/>
      <c r="E30" s="210"/>
      <c r="F30" s="210"/>
      <c r="G30" s="210"/>
      <c r="H30" s="406">
        <f>SUM(Tabla132112418[[#This Row],[PRIMER TRIMESTRE]:[CUARTO TRIMESTRE]])</f>
        <v>0</v>
      </c>
      <c r="I30" s="72">
        <v>144.9</v>
      </c>
      <c r="J30" s="72">
        <f>+H30*I30</f>
        <v>0</v>
      </c>
      <c r="K30" s="72"/>
      <c r="L30" s="16" t="s">
        <v>18</v>
      </c>
      <c r="M30" s="73" t="s">
        <v>19</v>
      </c>
      <c r="N30" s="70"/>
    </row>
    <row r="31" spans="1:14" s="12" customFormat="1" ht="31.5">
      <c r="A31" s="180" t="s">
        <v>1288</v>
      </c>
      <c r="B31" s="77" t="s">
        <v>1289</v>
      </c>
      <c r="C31" s="70" t="s">
        <v>33</v>
      </c>
      <c r="D31" s="210"/>
      <c r="E31" s="210"/>
      <c r="F31" s="210"/>
      <c r="G31" s="210"/>
      <c r="H31" s="406">
        <f>SUM(Tabla132112418[[#This Row],[PRIMER TRIMESTRE]:[CUARTO TRIMESTRE]])</f>
        <v>0</v>
      </c>
      <c r="I31" s="72">
        <v>144.9</v>
      </c>
      <c r="J31" s="72">
        <f>+H31*I31</f>
        <v>0</v>
      </c>
      <c r="K31" s="72"/>
      <c r="L31" s="16" t="s">
        <v>18</v>
      </c>
      <c r="M31" s="73" t="s">
        <v>19</v>
      </c>
      <c r="N31" s="70"/>
    </row>
    <row r="32" spans="1:14" s="12" customFormat="1" ht="18">
      <c r="A32" s="179" t="s">
        <v>1288</v>
      </c>
      <c r="B32" s="76"/>
      <c r="C32" s="42"/>
      <c r="D32" s="237"/>
      <c r="E32" s="237"/>
      <c r="F32" s="237"/>
      <c r="G32" s="237"/>
      <c r="H32" s="43"/>
      <c r="I32" s="24"/>
      <c r="J32" s="24"/>
      <c r="K32" s="25">
        <f>SUBTOTAL(109,J30:J31)</f>
        <v>0</v>
      </c>
      <c r="L32" s="23"/>
      <c r="M32" s="23"/>
      <c r="N32" s="42"/>
    </row>
    <row r="33" spans="1:14" s="26" customFormat="1" ht="30">
      <c r="A33" s="180" t="s">
        <v>41</v>
      </c>
      <c r="B33" s="77" t="s">
        <v>42</v>
      </c>
      <c r="C33" s="70" t="s">
        <v>17</v>
      </c>
      <c r="D33" s="210"/>
      <c r="E33" s="210"/>
      <c r="F33" s="210"/>
      <c r="G33" s="210"/>
      <c r="H33" s="40">
        <f>SUM(Tabla132112418[[#This Row],[PRIMER TRIMESTRE]:[CUARTO TRIMESTRE]])</f>
        <v>0</v>
      </c>
      <c r="I33" s="17">
        <v>26999</v>
      </c>
      <c r="J33" s="17">
        <f>+Tabla132112418[[#This Row],[CANTIDAD TOTAL]]*Tabla132112418[[#This Row],[PRECIO UNITARIO ESTIMADO]]</f>
        <v>0</v>
      </c>
      <c r="K33" s="17"/>
      <c r="L33" s="16" t="s">
        <v>15</v>
      </c>
      <c r="M33" s="16" t="s">
        <v>22</v>
      </c>
      <c r="N33" s="39" t="s">
        <v>418</v>
      </c>
    </row>
    <row r="34" spans="1:14" s="55" customFormat="1" ht="30">
      <c r="A34" s="180" t="s">
        <v>41</v>
      </c>
      <c r="B34" s="77" t="s">
        <v>44</v>
      </c>
      <c r="C34" s="70" t="s">
        <v>17</v>
      </c>
      <c r="D34" s="210"/>
      <c r="E34" s="210"/>
      <c r="F34" s="210"/>
      <c r="G34" s="210"/>
      <c r="H34" s="40">
        <f>SUM(Tabla132112418[[#This Row],[PRIMER TRIMESTRE]:[CUARTO TRIMESTRE]])</f>
        <v>0</v>
      </c>
      <c r="I34" s="17">
        <v>90854.41</v>
      </c>
      <c r="J34" s="17">
        <f>+Tabla132112418[[#This Row],[CANTIDAD TOTAL]]*Tabla132112418[[#This Row],[PRECIO UNITARIO ESTIMADO]]</f>
        <v>0</v>
      </c>
      <c r="K34" s="17"/>
      <c r="L34" s="16" t="s">
        <v>15</v>
      </c>
      <c r="M34" s="16" t="s">
        <v>22</v>
      </c>
      <c r="N34" s="39" t="s">
        <v>418</v>
      </c>
    </row>
    <row r="35" spans="1:14" s="55" customFormat="1" ht="31.5">
      <c r="A35" s="179" t="s">
        <v>41</v>
      </c>
      <c r="B35" s="76"/>
      <c r="C35" s="42"/>
      <c r="D35" s="237"/>
      <c r="E35" s="237"/>
      <c r="F35" s="237"/>
      <c r="G35" s="237"/>
      <c r="H35" s="43"/>
      <c r="I35" s="24"/>
      <c r="J35" s="24"/>
      <c r="K35" s="25">
        <f>SUBTOTAL(109,J33:J34)</f>
        <v>0</v>
      </c>
      <c r="L35" s="23"/>
      <c r="M35" s="23"/>
      <c r="N35" s="42"/>
    </row>
    <row r="36" spans="1:14" s="55" customFormat="1" ht="30">
      <c r="A36" s="178" t="s">
        <v>1386</v>
      </c>
      <c r="B36" s="75" t="s">
        <v>1387</v>
      </c>
      <c r="C36" s="53" t="s">
        <v>1388</v>
      </c>
      <c r="D36" s="241"/>
      <c r="E36" s="241"/>
      <c r="F36" s="241"/>
      <c r="G36" s="241"/>
      <c r="H36" s="244">
        <f>SUM(Tabla132112418[[#This Row],[PRIMER TRIMESTRE]:[CUARTO TRIMESTRE]])</f>
        <v>0</v>
      </c>
      <c r="I36" s="245">
        <v>2500</v>
      </c>
      <c r="J36" s="245">
        <f>+H36*I36</f>
        <v>0</v>
      </c>
      <c r="K36" s="50"/>
      <c r="L36" s="77" t="s">
        <v>27</v>
      </c>
      <c r="M36" s="77" t="s">
        <v>22</v>
      </c>
      <c r="N36" s="53"/>
    </row>
    <row r="37" spans="1:14" s="55" customFormat="1" ht="31.5">
      <c r="A37" s="16" t="s">
        <v>1386</v>
      </c>
      <c r="B37" s="75" t="s">
        <v>1551</v>
      </c>
      <c r="C37" s="176" t="s">
        <v>35</v>
      </c>
      <c r="D37" s="244"/>
      <c r="E37" s="244"/>
      <c r="F37" s="244"/>
      <c r="G37" s="244"/>
      <c r="H37" s="244">
        <f>SUM(Tabla132112418[[#This Row],[PRIMER TRIMESTRE]:[CUARTO TRIMESTRE]])</f>
        <v>0</v>
      </c>
      <c r="I37" s="245">
        <v>29000</v>
      </c>
      <c r="J37" s="245">
        <f>+H37*I37</f>
        <v>0</v>
      </c>
      <c r="K37" s="17"/>
      <c r="L37" s="16" t="s">
        <v>15</v>
      </c>
      <c r="M37" s="16" t="s">
        <v>22</v>
      </c>
      <c r="N37" s="39" t="s">
        <v>418</v>
      </c>
    </row>
    <row r="38" spans="1:14" s="55" customFormat="1" ht="31.5">
      <c r="A38" s="16" t="s">
        <v>1386</v>
      </c>
      <c r="B38" s="75" t="s">
        <v>1844</v>
      </c>
      <c r="C38" s="53" t="s">
        <v>17</v>
      </c>
      <c r="D38" s="299"/>
      <c r="E38" s="299"/>
      <c r="F38" s="299"/>
      <c r="G38" s="299"/>
      <c r="H38" s="244">
        <f>SUM(Tabla132112418[[#This Row],[PRIMER TRIMESTRE]:[CUARTO TRIMESTRE]])</f>
        <v>0</v>
      </c>
      <c r="I38" s="248">
        <v>4000000</v>
      </c>
      <c r="J38" s="245">
        <f>+H38*I38</f>
        <v>0</v>
      </c>
      <c r="K38" s="17"/>
      <c r="L38" s="16" t="s">
        <v>18</v>
      </c>
      <c r="M38" s="16" t="s">
        <v>22</v>
      </c>
      <c r="N38" s="39"/>
    </row>
    <row r="39" spans="1:14" s="55" customFormat="1" ht="30">
      <c r="A39" s="178" t="s">
        <v>1386</v>
      </c>
      <c r="B39" s="75" t="s">
        <v>1699</v>
      </c>
      <c r="C39" s="53" t="s">
        <v>17</v>
      </c>
      <c r="D39" s="299"/>
      <c r="E39" s="299"/>
      <c r="F39" s="299"/>
      <c r="G39" s="299"/>
      <c r="H39" s="46">
        <v>0</v>
      </c>
      <c r="I39" s="248">
        <v>0</v>
      </c>
      <c r="J39" s="248">
        <v>0</v>
      </c>
      <c r="K39" s="17"/>
      <c r="L39" s="16" t="s">
        <v>18</v>
      </c>
      <c r="M39" s="16" t="s">
        <v>22</v>
      </c>
      <c r="N39" s="39"/>
    </row>
    <row r="40" spans="1:14" s="26" customFormat="1" ht="30">
      <c r="A40" s="178" t="s">
        <v>1386</v>
      </c>
      <c r="B40" s="75" t="s">
        <v>1701</v>
      </c>
      <c r="C40" s="53" t="s">
        <v>17</v>
      </c>
      <c r="D40" s="299"/>
      <c r="E40" s="299"/>
      <c r="F40" s="299"/>
      <c r="G40" s="299"/>
      <c r="H40" s="46">
        <v>0</v>
      </c>
      <c r="I40" s="248">
        <v>0</v>
      </c>
      <c r="J40" s="248">
        <v>0</v>
      </c>
      <c r="K40" s="17"/>
      <c r="L40" s="16" t="s">
        <v>18</v>
      </c>
      <c r="M40" s="77" t="s">
        <v>22</v>
      </c>
      <c r="N40" s="39"/>
    </row>
    <row r="41" spans="1:14" s="26" customFormat="1" ht="30">
      <c r="A41" s="178" t="s">
        <v>1386</v>
      </c>
      <c r="B41" s="75" t="s">
        <v>1764</v>
      </c>
      <c r="C41" s="53" t="s">
        <v>17</v>
      </c>
      <c r="D41" s="299"/>
      <c r="E41" s="299"/>
      <c r="F41" s="299"/>
      <c r="G41" s="299"/>
      <c r="H41" s="46">
        <v>0</v>
      </c>
      <c r="I41" s="248">
        <v>0</v>
      </c>
      <c r="J41" s="248">
        <v>0</v>
      </c>
      <c r="K41" s="17"/>
      <c r="L41" s="77" t="s">
        <v>27</v>
      </c>
      <c r="M41" s="77" t="s">
        <v>22</v>
      </c>
      <c r="N41" s="39"/>
    </row>
    <row r="42" spans="1:14" s="111" customFormat="1" ht="30">
      <c r="A42" s="178" t="s">
        <v>1386</v>
      </c>
      <c r="B42" s="75" t="s">
        <v>1389</v>
      </c>
      <c r="C42" s="53" t="s">
        <v>1390</v>
      </c>
      <c r="D42" s="241"/>
      <c r="E42" s="241"/>
      <c r="F42" s="241"/>
      <c r="G42" s="241"/>
      <c r="H42" s="244">
        <f>SUM(Tabla132112418[[#This Row],[PRIMER TRIMESTRE]:[CUARTO TRIMESTRE]])</f>
        <v>0</v>
      </c>
      <c r="I42" s="245">
        <v>277</v>
      </c>
      <c r="J42" s="245">
        <f>+H42*I42</f>
        <v>0</v>
      </c>
      <c r="K42" s="50"/>
      <c r="L42" s="77" t="s">
        <v>27</v>
      </c>
      <c r="M42" s="77" t="s">
        <v>22</v>
      </c>
      <c r="N42" s="53"/>
    </row>
    <row r="43" spans="1:14" s="111" customFormat="1" ht="31.5">
      <c r="A43" s="179" t="s">
        <v>1386</v>
      </c>
      <c r="B43" s="76"/>
      <c r="C43" s="42"/>
      <c r="D43" s="237"/>
      <c r="E43" s="237"/>
      <c r="F43" s="237"/>
      <c r="G43" s="237"/>
      <c r="H43" s="43"/>
      <c r="I43" s="24"/>
      <c r="J43" s="24"/>
      <c r="K43" s="25">
        <f>SUM(J36:J42)</f>
        <v>0</v>
      </c>
      <c r="L43" s="23"/>
      <c r="M43" s="23"/>
      <c r="N43" s="42"/>
    </row>
    <row r="44" spans="1:14" s="111" customFormat="1" ht="23.25" customHeight="1">
      <c r="A44" s="180" t="s">
        <v>1672</v>
      </c>
      <c r="B44" s="77" t="s">
        <v>1845</v>
      </c>
      <c r="C44" s="244" t="s">
        <v>17</v>
      </c>
      <c r="D44" s="244"/>
      <c r="E44" s="244"/>
      <c r="F44" s="244"/>
      <c r="G44" s="244"/>
      <c r="H44" s="244">
        <v>0</v>
      </c>
      <c r="I44" s="244">
        <v>0</v>
      </c>
      <c r="J44" s="244">
        <v>0</v>
      </c>
      <c r="K44" s="244"/>
      <c r="L44" s="244" t="s">
        <v>1663</v>
      </c>
      <c r="M44" s="16" t="s">
        <v>22</v>
      </c>
      <c r="N44" s="244"/>
    </row>
    <row r="45" spans="1:14" s="111" customFormat="1" ht="28.5" customHeight="1">
      <c r="A45" s="180" t="s">
        <v>46</v>
      </c>
      <c r="B45" s="77" t="s">
        <v>1391</v>
      </c>
      <c r="C45" s="244" t="s">
        <v>17</v>
      </c>
      <c r="D45" s="244"/>
      <c r="E45" s="244"/>
      <c r="F45" s="244"/>
      <c r="G45" s="244"/>
      <c r="H45" s="244">
        <f>SUM(Tabla132112418[[#This Row],[PRIMER TRIMESTRE]:[CUARTO TRIMESTRE]])</f>
        <v>0</v>
      </c>
      <c r="I45" s="246">
        <v>1136476.48</v>
      </c>
      <c r="J45" s="246">
        <f t="shared" ref="J45:J76" si="0">+H45*I45</f>
        <v>0</v>
      </c>
      <c r="K45" s="77"/>
      <c r="L45" s="16" t="s">
        <v>18</v>
      </c>
      <c r="M45" s="16" t="s">
        <v>22</v>
      </c>
      <c r="N45" s="77"/>
    </row>
    <row r="46" spans="1:14" s="111" customFormat="1" ht="18">
      <c r="A46" s="180" t="s">
        <v>46</v>
      </c>
      <c r="B46" s="77" t="s">
        <v>1392</v>
      </c>
      <c r="C46" s="177" t="s">
        <v>17</v>
      </c>
      <c r="D46" s="177"/>
      <c r="E46" s="177"/>
      <c r="F46" s="177"/>
      <c r="G46" s="177"/>
      <c r="H46" s="177">
        <f>SUM(Tabla132112418[[#This Row],[PRIMER TRIMESTRE]:[CUARTO TRIMESTRE]])</f>
        <v>0</v>
      </c>
      <c r="I46" s="246">
        <v>2600000</v>
      </c>
      <c r="J46" s="246">
        <f t="shared" si="0"/>
        <v>0</v>
      </c>
      <c r="K46" s="77"/>
      <c r="L46" s="16" t="s">
        <v>18</v>
      </c>
      <c r="M46" s="16" t="s">
        <v>22</v>
      </c>
      <c r="N46" s="77"/>
    </row>
    <row r="47" spans="1:14" s="111" customFormat="1" ht="18">
      <c r="A47" s="180" t="s">
        <v>1666</v>
      </c>
      <c r="B47" s="77" t="s">
        <v>1669</v>
      </c>
      <c r="C47" s="177" t="s">
        <v>17</v>
      </c>
      <c r="D47" s="210"/>
      <c r="E47" s="210"/>
      <c r="F47" s="210"/>
      <c r="G47" s="210"/>
      <c r="H47" s="406">
        <v>0</v>
      </c>
      <c r="I47" s="247">
        <v>0</v>
      </c>
      <c r="J47" s="247">
        <v>0</v>
      </c>
      <c r="K47" s="72"/>
      <c r="L47" s="16" t="s">
        <v>18</v>
      </c>
      <c r="M47" s="16" t="s">
        <v>22</v>
      </c>
      <c r="N47" s="70"/>
    </row>
    <row r="48" spans="1:14" s="111" customFormat="1" ht="18">
      <c r="A48" s="180" t="s">
        <v>1667</v>
      </c>
      <c r="B48" s="77" t="s">
        <v>1670</v>
      </c>
      <c r="C48" s="177" t="s">
        <v>17</v>
      </c>
      <c r="D48" s="210"/>
      <c r="E48" s="210"/>
      <c r="F48" s="210"/>
      <c r="G48" s="210"/>
      <c r="H48" s="406">
        <v>0</v>
      </c>
      <c r="I48" s="247">
        <v>0</v>
      </c>
      <c r="J48" s="247">
        <v>0</v>
      </c>
      <c r="K48" s="72"/>
      <c r="L48" s="16" t="s">
        <v>18</v>
      </c>
      <c r="M48" s="16" t="s">
        <v>22</v>
      </c>
      <c r="N48" s="70"/>
    </row>
    <row r="49" spans="1:14" s="111" customFormat="1" ht="18">
      <c r="A49" s="180" t="s">
        <v>1668</v>
      </c>
      <c r="B49" s="77" t="s">
        <v>1846</v>
      </c>
      <c r="C49" s="177" t="s">
        <v>17</v>
      </c>
      <c r="D49" s="210"/>
      <c r="E49" s="210"/>
      <c r="F49" s="210"/>
      <c r="G49" s="210"/>
      <c r="H49" s="406">
        <v>0</v>
      </c>
      <c r="I49" s="247">
        <v>0</v>
      </c>
      <c r="J49" s="247">
        <v>0</v>
      </c>
      <c r="K49" s="72"/>
      <c r="L49" s="16" t="s">
        <v>18</v>
      </c>
      <c r="M49" s="16" t="s">
        <v>22</v>
      </c>
      <c r="N49" s="70"/>
    </row>
    <row r="50" spans="1:14" s="111" customFormat="1" ht="18">
      <c r="A50" s="180" t="s">
        <v>1668</v>
      </c>
      <c r="B50" s="77" t="s">
        <v>1847</v>
      </c>
      <c r="C50" s="177" t="s">
        <v>17</v>
      </c>
      <c r="D50" s="210"/>
      <c r="E50" s="210"/>
      <c r="F50" s="210"/>
      <c r="G50" s="210"/>
      <c r="H50" s="406">
        <v>0</v>
      </c>
      <c r="I50" s="247">
        <v>0</v>
      </c>
      <c r="J50" s="247">
        <v>0</v>
      </c>
      <c r="K50" s="72"/>
      <c r="L50" s="16" t="s">
        <v>18</v>
      </c>
      <c r="M50" s="16" t="s">
        <v>22</v>
      </c>
      <c r="N50" s="70"/>
    </row>
    <row r="51" spans="1:14" s="111" customFormat="1" ht="25.5">
      <c r="A51" s="180" t="s">
        <v>46</v>
      </c>
      <c r="B51" s="77" t="s">
        <v>1693</v>
      </c>
      <c r="C51" s="70" t="s">
        <v>17</v>
      </c>
      <c r="D51" s="210"/>
      <c r="E51" s="210"/>
      <c r="F51" s="210"/>
      <c r="G51" s="210"/>
      <c r="H51" s="406">
        <v>0</v>
      </c>
      <c r="I51" s="247">
        <v>0</v>
      </c>
      <c r="J51" s="247">
        <v>0</v>
      </c>
      <c r="K51" s="72"/>
      <c r="L51" s="16" t="s">
        <v>18</v>
      </c>
      <c r="M51" s="16" t="s">
        <v>22</v>
      </c>
      <c r="N51" s="70"/>
    </row>
    <row r="52" spans="1:14" s="111" customFormat="1" ht="25.5">
      <c r="A52" s="180" t="s">
        <v>46</v>
      </c>
      <c r="B52" s="77" t="s">
        <v>1694</v>
      </c>
      <c r="C52" s="177" t="s">
        <v>17</v>
      </c>
      <c r="D52" s="210"/>
      <c r="E52" s="210"/>
      <c r="F52" s="210"/>
      <c r="G52" s="210"/>
      <c r="H52" s="406">
        <v>0</v>
      </c>
      <c r="I52" s="247">
        <v>0</v>
      </c>
      <c r="J52" s="247">
        <v>0</v>
      </c>
      <c r="K52" s="72"/>
      <c r="L52" s="16" t="s">
        <v>18</v>
      </c>
      <c r="M52" s="16" t="s">
        <v>22</v>
      </c>
      <c r="N52" s="70"/>
    </row>
    <row r="53" spans="1:14" s="111" customFormat="1" ht="18">
      <c r="A53" s="180" t="s">
        <v>46</v>
      </c>
      <c r="B53" s="77" t="s">
        <v>1393</v>
      </c>
      <c r="C53" s="177" t="s">
        <v>17</v>
      </c>
      <c r="D53" s="77"/>
      <c r="E53" s="177"/>
      <c r="F53" s="177"/>
      <c r="G53" s="177"/>
      <c r="H53" s="177">
        <f>SUM(Tabla132112418[[#This Row],[PRIMER TRIMESTRE]:[CUARTO TRIMESTRE]])</f>
        <v>0</v>
      </c>
      <c r="I53" s="246">
        <v>1800000</v>
      </c>
      <c r="J53" s="246">
        <f t="shared" si="0"/>
        <v>0</v>
      </c>
      <c r="K53" s="77"/>
      <c r="L53" s="16" t="s">
        <v>18</v>
      </c>
      <c r="M53" s="16" t="s">
        <v>22</v>
      </c>
      <c r="N53" s="77"/>
    </row>
    <row r="54" spans="1:14" s="111" customFormat="1" ht="18">
      <c r="A54" s="180" t="s">
        <v>46</v>
      </c>
      <c r="B54" s="77" t="s">
        <v>1394</v>
      </c>
      <c r="C54" s="177" t="s">
        <v>17</v>
      </c>
      <c r="D54" s="77"/>
      <c r="E54" s="177"/>
      <c r="F54" s="177"/>
      <c r="G54" s="177"/>
      <c r="H54" s="177">
        <f>SUM(Tabla132112418[[#This Row],[PRIMER TRIMESTRE]:[CUARTO TRIMESTRE]])</f>
        <v>0</v>
      </c>
      <c r="I54" s="246">
        <v>1800000</v>
      </c>
      <c r="J54" s="246">
        <f t="shared" si="0"/>
        <v>0</v>
      </c>
      <c r="K54" s="77"/>
      <c r="L54" s="16" t="s">
        <v>18</v>
      </c>
      <c r="M54" s="16" t="s">
        <v>22</v>
      </c>
      <c r="N54" s="77"/>
    </row>
    <row r="55" spans="1:14" s="111" customFormat="1" ht="18">
      <c r="A55" s="180" t="s">
        <v>46</v>
      </c>
      <c r="B55" s="77" t="s">
        <v>1395</v>
      </c>
      <c r="C55" s="177" t="s">
        <v>17</v>
      </c>
      <c r="D55" s="77"/>
      <c r="E55" s="177"/>
      <c r="F55" s="177"/>
      <c r="G55" s="177"/>
      <c r="H55" s="177">
        <f>SUM(Tabla132112418[[#This Row],[PRIMER TRIMESTRE]:[CUARTO TRIMESTRE]])</f>
        <v>0</v>
      </c>
      <c r="I55" s="246">
        <v>11500000</v>
      </c>
      <c r="J55" s="246">
        <f t="shared" si="0"/>
        <v>0</v>
      </c>
      <c r="K55" s="77"/>
      <c r="L55" s="16" t="s">
        <v>18</v>
      </c>
      <c r="M55" s="16" t="s">
        <v>22</v>
      </c>
      <c r="N55" s="77"/>
    </row>
    <row r="56" spans="1:14" s="111" customFormat="1" ht="18">
      <c r="A56" s="180" t="s">
        <v>46</v>
      </c>
      <c r="B56" s="77" t="s">
        <v>1396</v>
      </c>
      <c r="C56" s="177" t="s">
        <v>17</v>
      </c>
      <c r="D56" s="77"/>
      <c r="E56" s="177"/>
      <c r="F56" s="177"/>
      <c r="G56" s="177"/>
      <c r="H56" s="177">
        <f>SUM(Tabla132112418[[#This Row],[PRIMER TRIMESTRE]:[CUARTO TRIMESTRE]])</f>
        <v>0</v>
      </c>
      <c r="I56" s="246">
        <v>8120000</v>
      </c>
      <c r="J56" s="246">
        <f t="shared" si="0"/>
        <v>0</v>
      </c>
      <c r="K56" s="77"/>
      <c r="L56" s="16" t="s">
        <v>18</v>
      </c>
      <c r="M56" s="16" t="s">
        <v>22</v>
      </c>
      <c r="N56" s="77"/>
    </row>
    <row r="57" spans="1:14" s="169" customFormat="1" ht="18">
      <c r="A57" s="180" t="s">
        <v>46</v>
      </c>
      <c r="B57" s="77" t="s">
        <v>1622</v>
      </c>
      <c r="C57" s="177" t="s">
        <v>17</v>
      </c>
      <c r="D57" s="210"/>
      <c r="E57" s="177"/>
      <c r="F57" s="177"/>
      <c r="G57" s="210"/>
      <c r="H57" s="177">
        <f>SUM(Tabla132112418[[#This Row],[PRIMER TRIMESTRE]:[CUARTO TRIMESTRE]])</f>
        <v>0</v>
      </c>
      <c r="I57" s="247">
        <v>58223</v>
      </c>
      <c r="J57" s="247">
        <f t="shared" si="0"/>
        <v>0</v>
      </c>
      <c r="K57" s="72"/>
      <c r="L57" s="16" t="s">
        <v>18</v>
      </c>
      <c r="M57" s="16" t="s">
        <v>22</v>
      </c>
      <c r="N57" s="39" t="s">
        <v>418</v>
      </c>
    </row>
    <row r="58" spans="1:14" s="169" customFormat="1" ht="18">
      <c r="A58" s="180" t="s">
        <v>46</v>
      </c>
      <c r="B58" s="77" t="s">
        <v>1397</v>
      </c>
      <c r="C58" s="177" t="s">
        <v>17</v>
      </c>
      <c r="D58" s="77"/>
      <c r="E58" s="177"/>
      <c r="F58" s="177"/>
      <c r="G58" s="177"/>
      <c r="H58" s="177">
        <f>SUM(Tabla132112418[[#This Row],[PRIMER TRIMESTRE]:[CUARTO TRIMESTRE]])</f>
        <v>0</v>
      </c>
      <c r="I58" s="246">
        <v>55000</v>
      </c>
      <c r="J58" s="246">
        <f t="shared" si="0"/>
        <v>0</v>
      </c>
      <c r="K58" s="77"/>
      <c r="L58" s="16" t="s">
        <v>18</v>
      </c>
      <c r="M58" s="16" t="s">
        <v>22</v>
      </c>
      <c r="N58" s="39" t="s">
        <v>418</v>
      </c>
    </row>
    <row r="59" spans="1:14" s="169" customFormat="1" ht="18">
      <c r="A59" s="180" t="s">
        <v>46</v>
      </c>
      <c r="B59" s="77" t="s">
        <v>550</v>
      </c>
      <c r="C59" s="70" t="s">
        <v>17</v>
      </c>
      <c r="D59" s="210"/>
      <c r="E59" s="210"/>
      <c r="F59" s="210"/>
      <c r="G59" s="210"/>
      <c r="H59" s="406">
        <f>SUM(Tabla132112418[[#This Row],[PRIMER TRIMESTRE]:[CUARTO TRIMESTRE]])</f>
        <v>0</v>
      </c>
      <c r="I59" s="72">
        <v>9480</v>
      </c>
      <c r="J59" s="72">
        <f t="shared" si="0"/>
        <v>0</v>
      </c>
      <c r="K59" s="72"/>
      <c r="L59" s="16" t="s">
        <v>18</v>
      </c>
      <c r="M59" s="73" t="s">
        <v>22</v>
      </c>
      <c r="N59" s="70" t="s">
        <v>418</v>
      </c>
    </row>
    <row r="60" spans="1:14" s="169" customFormat="1" ht="18">
      <c r="A60" s="180" t="s">
        <v>46</v>
      </c>
      <c r="B60" s="77" t="s">
        <v>551</v>
      </c>
      <c r="C60" s="70" t="s">
        <v>17</v>
      </c>
      <c r="D60" s="210"/>
      <c r="E60" s="210"/>
      <c r="F60" s="210"/>
      <c r="G60" s="210"/>
      <c r="H60" s="406">
        <f>SUM(Tabla132112418[[#This Row],[PRIMER TRIMESTRE]:[CUARTO TRIMESTRE]])</f>
        <v>0</v>
      </c>
      <c r="I60" s="72">
        <v>31680</v>
      </c>
      <c r="J60" s="72">
        <f t="shared" si="0"/>
        <v>0</v>
      </c>
      <c r="K60" s="72"/>
      <c r="L60" s="16" t="s">
        <v>18</v>
      </c>
      <c r="M60" s="73" t="s">
        <v>22</v>
      </c>
      <c r="N60" s="70" t="s">
        <v>418</v>
      </c>
    </row>
    <row r="61" spans="1:14" s="169" customFormat="1" ht="18">
      <c r="A61" s="180" t="s">
        <v>46</v>
      </c>
      <c r="B61" s="77" t="s">
        <v>552</v>
      </c>
      <c r="C61" s="70" t="s">
        <v>17</v>
      </c>
      <c r="D61" s="210"/>
      <c r="E61" s="210"/>
      <c r="F61" s="210"/>
      <c r="G61" s="210"/>
      <c r="H61" s="406">
        <f>SUM(Tabla132112418[[#This Row],[PRIMER TRIMESTRE]:[CUARTO TRIMESTRE]])</f>
        <v>0</v>
      </c>
      <c r="I61" s="72">
        <v>9279.9</v>
      </c>
      <c r="J61" s="72">
        <f t="shared" si="0"/>
        <v>0</v>
      </c>
      <c r="K61" s="72"/>
      <c r="L61" s="16" t="s">
        <v>18</v>
      </c>
      <c r="M61" s="73" t="s">
        <v>22</v>
      </c>
      <c r="N61" s="70" t="s">
        <v>418</v>
      </c>
    </row>
    <row r="62" spans="1:14" s="169" customFormat="1" ht="18">
      <c r="A62" s="180" t="s">
        <v>46</v>
      </c>
      <c r="B62" s="77" t="s">
        <v>54</v>
      </c>
      <c r="C62" s="70" t="s">
        <v>17</v>
      </c>
      <c r="D62" s="210"/>
      <c r="E62" s="210"/>
      <c r="F62" s="210"/>
      <c r="G62" s="210"/>
      <c r="H62" s="406">
        <f>SUM(Tabla132112418[[#This Row],[PRIMER TRIMESTRE]:[CUARTO TRIMESTRE]])</f>
        <v>0</v>
      </c>
      <c r="I62" s="72">
        <v>9079.9</v>
      </c>
      <c r="J62" s="72">
        <f t="shared" si="0"/>
        <v>0</v>
      </c>
      <c r="K62" s="72"/>
      <c r="L62" s="16" t="s">
        <v>18</v>
      </c>
      <c r="M62" s="73" t="s">
        <v>22</v>
      </c>
      <c r="N62" s="70" t="s">
        <v>418</v>
      </c>
    </row>
    <row r="63" spans="1:14" s="169" customFormat="1" ht="18">
      <c r="A63" s="180" t="s">
        <v>46</v>
      </c>
      <c r="B63" s="77" t="s">
        <v>53</v>
      </c>
      <c r="C63" s="70" t="s">
        <v>17</v>
      </c>
      <c r="D63" s="210"/>
      <c r="E63" s="210"/>
      <c r="F63" s="210"/>
      <c r="G63" s="210"/>
      <c r="H63" s="406">
        <f>SUM(Tabla132112418[[#This Row],[PRIMER TRIMESTRE]:[CUARTO TRIMESTRE]])</f>
        <v>0</v>
      </c>
      <c r="I63" s="72">
        <v>9048</v>
      </c>
      <c r="J63" s="72">
        <f t="shared" si="0"/>
        <v>0</v>
      </c>
      <c r="K63" s="72"/>
      <c r="L63" s="16" t="s">
        <v>18</v>
      </c>
      <c r="M63" s="73" t="s">
        <v>22</v>
      </c>
      <c r="N63" s="70" t="s">
        <v>418</v>
      </c>
    </row>
    <row r="64" spans="1:14" s="169" customFormat="1" ht="18">
      <c r="A64" s="180" t="s">
        <v>46</v>
      </c>
      <c r="B64" s="77" t="s">
        <v>553</v>
      </c>
      <c r="C64" s="70" t="s">
        <v>17</v>
      </c>
      <c r="D64" s="210"/>
      <c r="E64" s="210"/>
      <c r="F64" s="210"/>
      <c r="G64" s="210"/>
      <c r="H64" s="406">
        <f>SUM(Tabla132112418[[#This Row],[PRIMER TRIMESTRE]:[CUARTO TRIMESTRE]])</f>
        <v>0</v>
      </c>
      <c r="I64" s="72">
        <v>7043.16</v>
      </c>
      <c r="J64" s="72">
        <f t="shared" si="0"/>
        <v>0</v>
      </c>
      <c r="K64" s="72"/>
      <c r="L64" s="16" t="s">
        <v>18</v>
      </c>
      <c r="M64" s="73" t="s">
        <v>22</v>
      </c>
      <c r="N64" s="70" t="s">
        <v>418</v>
      </c>
    </row>
    <row r="65" spans="1:14" s="169" customFormat="1" ht="18">
      <c r="A65" s="180" t="s">
        <v>46</v>
      </c>
      <c r="B65" s="77" t="s">
        <v>554</v>
      </c>
      <c r="C65" s="70" t="s">
        <v>17</v>
      </c>
      <c r="D65" s="210"/>
      <c r="E65" s="210"/>
      <c r="F65" s="210"/>
      <c r="G65" s="210"/>
      <c r="H65" s="406">
        <f>SUM(Tabla132112418[[#This Row],[PRIMER TRIMESTRE]:[CUARTO TRIMESTRE]])</f>
        <v>0</v>
      </c>
      <c r="I65" s="72">
        <v>12210</v>
      </c>
      <c r="J65" s="72">
        <f t="shared" si="0"/>
        <v>0</v>
      </c>
      <c r="K65" s="72"/>
      <c r="L65" s="16" t="s">
        <v>18</v>
      </c>
      <c r="M65" s="73" t="s">
        <v>22</v>
      </c>
      <c r="N65" s="70" t="s">
        <v>418</v>
      </c>
    </row>
    <row r="66" spans="1:14" s="169" customFormat="1" ht="18">
      <c r="A66" s="180" t="s">
        <v>46</v>
      </c>
      <c r="B66" s="77" t="s">
        <v>555</v>
      </c>
      <c r="C66" s="70" t="s">
        <v>17</v>
      </c>
      <c r="D66" s="210"/>
      <c r="E66" s="210"/>
      <c r="F66" s="210"/>
      <c r="G66" s="210"/>
      <c r="H66" s="406">
        <f>SUM(Tabla132112418[[#This Row],[PRIMER TRIMESTRE]:[CUARTO TRIMESTRE]])</f>
        <v>0</v>
      </c>
      <c r="I66" s="72">
        <v>4029.25</v>
      </c>
      <c r="J66" s="72">
        <f t="shared" si="0"/>
        <v>0</v>
      </c>
      <c r="K66" s="72"/>
      <c r="L66" s="16" t="s">
        <v>18</v>
      </c>
      <c r="M66" s="73" t="s">
        <v>22</v>
      </c>
      <c r="N66" s="70" t="s">
        <v>418</v>
      </c>
    </row>
    <row r="67" spans="1:14" s="169" customFormat="1" ht="18">
      <c r="A67" s="407"/>
      <c r="B67" s="77"/>
      <c r="C67" s="70"/>
      <c r="D67" s="210"/>
      <c r="E67" s="210"/>
      <c r="F67" s="210"/>
      <c r="G67" s="210"/>
      <c r="H67" s="406"/>
      <c r="I67" s="72"/>
      <c r="J67" s="72"/>
      <c r="K67" s="72"/>
      <c r="L67" s="16"/>
      <c r="M67" s="73"/>
      <c r="N67" s="70"/>
    </row>
    <row r="68" spans="1:14" s="169" customFormat="1" ht="18">
      <c r="A68" s="180" t="s">
        <v>46</v>
      </c>
      <c r="B68" s="77" t="s">
        <v>556</v>
      </c>
      <c r="C68" s="70" t="s">
        <v>17</v>
      </c>
      <c r="D68" s="210"/>
      <c r="E68" s="210"/>
      <c r="F68" s="210"/>
      <c r="G68" s="210"/>
      <c r="H68" s="406">
        <f>SUM(Tabla132112418[[#This Row],[PRIMER TRIMESTRE]:[CUARTO TRIMESTRE]])</f>
        <v>0</v>
      </c>
      <c r="I68" s="72">
        <v>33660</v>
      </c>
      <c r="J68" s="72">
        <f t="shared" si="0"/>
        <v>0</v>
      </c>
      <c r="K68" s="72"/>
      <c r="L68" s="16" t="s">
        <v>18</v>
      </c>
      <c r="M68" s="73" t="s">
        <v>22</v>
      </c>
      <c r="N68" s="70" t="s">
        <v>418</v>
      </c>
    </row>
    <row r="69" spans="1:14" s="243" customFormat="1" ht="18">
      <c r="A69" s="180" t="s">
        <v>46</v>
      </c>
      <c r="B69" s="77" t="s">
        <v>557</v>
      </c>
      <c r="C69" s="70" t="s">
        <v>17</v>
      </c>
      <c r="D69" s="210"/>
      <c r="E69" s="210"/>
      <c r="F69" s="210"/>
      <c r="G69" s="210"/>
      <c r="H69" s="406">
        <f>SUM(Tabla132112418[[#This Row],[PRIMER TRIMESTRE]:[CUARTO TRIMESTRE]])</f>
        <v>0</v>
      </c>
      <c r="I69" s="72">
        <v>27205.48</v>
      </c>
      <c r="J69" s="72">
        <f t="shared" si="0"/>
        <v>0</v>
      </c>
      <c r="K69" s="72"/>
      <c r="L69" s="16" t="s">
        <v>18</v>
      </c>
      <c r="M69" s="73" t="s">
        <v>22</v>
      </c>
      <c r="N69" s="70" t="s">
        <v>418</v>
      </c>
    </row>
    <row r="70" spans="1:14" s="169" customFormat="1" ht="18">
      <c r="A70" s="180" t="s">
        <v>46</v>
      </c>
      <c r="B70" s="77" t="s">
        <v>558</v>
      </c>
      <c r="C70" s="70" t="s">
        <v>17</v>
      </c>
      <c r="D70" s="210"/>
      <c r="E70" s="210"/>
      <c r="F70" s="210"/>
      <c r="G70" s="210"/>
      <c r="H70" s="406">
        <f>SUM(Tabla132112418[[#This Row],[PRIMER TRIMESTRE]:[CUARTO TRIMESTRE]])</f>
        <v>0</v>
      </c>
      <c r="I70" s="72">
        <v>14272.5</v>
      </c>
      <c r="J70" s="72">
        <f t="shared" si="0"/>
        <v>0</v>
      </c>
      <c r="K70" s="72"/>
      <c r="L70" s="16" t="s">
        <v>18</v>
      </c>
      <c r="M70" s="73" t="s">
        <v>22</v>
      </c>
      <c r="N70" s="70" t="s">
        <v>418</v>
      </c>
    </row>
    <row r="71" spans="1:14" s="169" customFormat="1" ht="18">
      <c r="A71" s="180" t="s">
        <v>46</v>
      </c>
      <c r="B71" s="77" t="s">
        <v>1398</v>
      </c>
      <c r="C71" s="70" t="s">
        <v>17</v>
      </c>
      <c r="D71" s="70"/>
      <c r="E71" s="70"/>
      <c r="F71" s="70"/>
      <c r="G71" s="70"/>
      <c r="H71" s="70">
        <f>SUM(Tabla132112418[[#This Row],[PRIMER TRIMESTRE]:[CUARTO TRIMESTRE]])</f>
        <v>0</v>
      </c>
      <c r="I71" s="72">
        <v>9279.9</v>
      </c>
      <c r="J71" s="72">
        <f t="shared" si="0"/>
        <v>0</v>
      </c>
      <c r="K71" s="72"/>
      <c r="L71" s="16" t="s">
        <v>18</v>
      </c>
      <c r="M71" s="73" t="s">
        <v>22</v>
      </c>
      <c r="N71" s="70" t="s">
        <v>418</v>
      </c>
    </row>
    <row r="72" spans="1:14" s="169" customFormat="1" ht="18">
      <c r="A72" s="180" t="s">
        <v>46</v>
      </c>
      <c r="B72" s="77" t="s">
        <v>560</v>
      </c>
      <c r="C72" s="70" t="s">
        <v>17</v>
      </c>
      <c r="D72" s="210"/>
      <c r="E72" s="210"/>
      <c r="F72" s="210"/>
      <c r="G72" s="210"/>
      <c r="H72" s="406">
        <f>SUM(Tabla132112418[[#This Row],[PRIMER TRIMESTRE]:[CUARTO TRIMESTRE]])</f>
        <v>0</v>
      </c>
      <c r="I72" s="72">
        <v>14190</v>
      </c>
      <c r="J72" s="72">
        <f t="shared" si="0"/>
        <v>0</v>
      </c>
      <c r="K72" s="72"/>
      <c r="L72" s="16" t="s">
        <v>18</v>
      </c>
      <c r="M72" s="73" t="s">
        <v>22</v>
      </c>
      <c r="N72" s="70" t="s">
        <v>418</v>
      </c>
    </row>
    <row r="73" spans="1:14" s="169" customFormat="1" ht="18">
      <c r="A73" s="180" t="s">
        <v>46</v>
      </c>
      <c r="B73" s="77" t="s">
        <v>561</v>
      </c>
      <c r="C73" s="70" t="s">
        <v>17</v>
      </c>
      <c r="D73" s="210"/>
      <c r="E73" s="210"/>
      <c r="F73" s="210"/>
      <c r="G73" s="210"/>
      <c r="H73" s="406">
        <f>SUM(Tabla132112418[[#This Row],[PRIMER TRIMESTRE]:[CUARTO TRIMESTRE]])</f>
        <v>0</v>
      </c>
      <c r="I73" s="72">
        <v>4200</v>
      </c>
      <c r="J73" s="72">
        <f t="shared" si="0"/>
        <v>0</v>
      </c>
      <c r="K73" s="72"/>
      <c r="L73" s="16" t="s">
        <v>18</v>
      </c>
      <c r="M73" s="73" t="s">
        <v>22</v>
      </c>
      <c r="N73" s="70" t="s">
        <v>418</v>
      </c>
    </row>
    <row r="74" spans="1:14" s="169" customFormat="1" ht="18">
      <c r="A74" s="180" t="s">
        <v>46</v>
      </c>
      <c r="B74" s="77" t="s">
        <v>764</v>
      </c>
      <c r="C74" s="70" t="s">
        <v>17</v>
      </c>
      <c r="D74" s="210"/>
      <c r="E74" s="210"/>
      <c r="F74" s="210"/>
      <c r="G74" s="210"/>
      <c r="H74" s="406">
        <f>SUM(Tabla132112418[[#This Row],[PRIMER TRIMESTRE]:[CUARTO TRIMESTRE]])</f>
        <v>0</v>
      </c>
      <c r="I74" s="72">
        <v>12650</v>
      </c>
      <c r="J74" s="72">
        <f t="shared" si="0"/>
        <v>0</v>
      </c>
      <c r="K74" s="72"/>
      <c r="L74" s="16" t="s">
        <v>18</v>
      </c>
      <c r="M74" s="73" t="s">
        <v>22</v>
      </c>
      <c r="N74" s="70" t="s">
        <v>418</v>
      </c>
    </row>
    <row r="75" spans="1:14" s="26" customFormat="1" ht="18">
      <c r="A75" s="180" t="s">
        <v>46</v>
      </c>
      <c r="B75" s="77" t="s">
        <v>1399</v>
      </c>
      <c r="C75" s="70" t="s">
        <v>17</v>
      </c>
      <c r="D75" s="210"/>
      <c r="E75" s="210"/>
      <c r="F75" s="210"/>
      <c r="G75" s="210"/>
      <c r="H75" s="406">
        <f>SUM(Tabla132112418[[#This Row],[PRIMER TRIMESTRE]:[CUARTO TRIMESTRE]])</f>
        <v>0</v>
      </c>
      <c r="I75" s="72">
        <v>8500</v>
      </c>
      <c r="J75" s="72">
        <f t="shared" si="0"/>
        <v>0</v>
      </c>
      <c r="K75" s="72"/>
      <c r="L75" s="16" t="s">
        <v>18</v>
      </c>
      <c r="M75" s="73" t="s">
        <v>22</v>
      </c>
      <c r="N75" s="70" t="s">
        <v>418</v>
      </c>
    </row>
    <row r="76" spans="1:14" s="169" customFormat="1" ht="18">
      <c r="A76" s="180" t="s">
        <v>46</v>
      </c>
      <c r="B76" s="77" t="s">
        <v>1400</v>
      </c>
      <c r="C76" s="70" t="s">
        <v>17</v>
      </c>
      <c r="D76" s="210"/>
      <c r="E76" s="210"/>
      <c r="F76" s="210"/>
      <c r="G76" s="210"/>
      <c r="H76" s="406">
        <f>SUM(Tabla132112418[[#This Row],[PRIMER TRIMESTRE]:[CUARTO TRIMESTRE]])</f>
        <v>0</v>
      </c>
      <c r="I76" s="72">
        <v>9500</v>
      </c>
      <c r="J76" s="72">
        <f t="shared" si="0"/>
        <v>0</v>
      </c>
      <c r="K76" s="72"/>
      <c r="L76" s="16" t="s">
        <v>18</v>
      </c>
      <c r="M76" s="73" t="s">
        <v>22</v>
      </c>
      <c r="N76" s="70" t="s">
        <v>418</v>
      </c>
    </row>
    <row r="77" spans="1:14" s="169" customFormat="1" ht="18">
      <c r="A77" s="409" t="s">
        <v>46</v>
      </c>
      <c r="B77" s="43"/>
      <c r="C77" s="43"/>
      <c r="D77" s="238"/>
      <c r="E77" s="238"/>
      <c r="F77" s="238"/>
      <c r="G77" s="238"/>
      <c r="H77" s="43"/>
      <c r="I77" s="24"/>
      <c r="J77" s="24"/>
      <c r="K77" s="25">
        <f>SUBTOTAL(109,J45:J76)</f>
        <v>0</v>
      </c>
      <c r="L77" s="23"/>
      <c r="M77" s="23"/>
      <c r="N77" s="42"/>
    </row>
    <row r="78" spans="1:14" s="169" customFormat="1" ht="30">
      <c r="A78" s="180" t="s">
        <v>56</v>
      </c>
      <c r="B78" s="77" t="s">
        <v>563</v>
      </c>
      <c r="C78" s="70" t="s">
        <v>17</v>
      </c>
      <c r="D78" s="210"/>
      <c r="E78" s="210"/>
      <c r="F78" s="210"/>
      <c r="G78" s="210"/>
      <c r="H78" s="406">
        <f>SUM(Tabla132112418[[#This Row],[PRIMER TRIMESTRE]:[CUARTO TRIMESTRE]])</f>
        <v>0</v>
      </c>
      <c r="I78" s="72">
        <v>4500</v>
      </c>
      <c r="J78" s="72">
        <f>+H78*I78</f>
        <v>0</v>
      </c>
      <c r="K78" s="72"/>
      <c r="L78" s="73" t="s">
        <v>27</v>
      </c>
      <c r="M78" s="73" t="s">
        <v>22</v>
      </c>
      <c r="N78" s="70" t="s">
        <v>418</v>
      </c>
    </row>
    <row r="79" spans="1:14" s="169" customFormat="1" ht="30">
      <c r="A79" s="180" t="s">
        <v>56</v>
      </c>
      <c r="B79" s="77" t="s">
        <v>562</v>
      </c>
      <c r="C79" s="70" t="s">
        <v>17</v>
      </c>
      <c r="D79" s="210"/>
      <c r="E79" s="210"/>
      <c r="F79" s="210"/>
      <c r="G79" s="210"/>
      <c r="H79" s="406">
        <f>SUM(Tabla132112418[[#This Row],[PRIMER TRIMESTRE]:[CUARTO TRIMESTRE]])</f>
        <v>0</v>
      </c>
      <c r="I79" s="72">
        <v>6800</v>
      </c>
      <c r="J79" s="72">
        <f>+H79*I79</f>
        <v>0</v>
      </c>
      <c r="K79" s="72"/>
      <c r="L79" s="73" t="s">
        <v>27</v>
      </c>
      <c r="M79" s="73" t="s">
        <v>22</v>
      </c>
      <c r="N79" s="70" t="s">
        <v>418</v>
      </c>
    </row>
    <row r="80" spans="1:14" s="169" customFormat="1" ht="30">
      <c r="A80" s="180" t="s">
        <v>56</v>
      </c>
      <c r="B80" s="77" t="s">
        <v>61</v>
      </c>
      <c r="C80" s="70" t="s">
        <v>17</v>
      </c>
      <c r="D80" s="210"/>
      <c r="E80" s="210"/>
      <c r="F80" s="210"/>
      <c r="G80" s="210"/>
      <c r="H80" s="406">
        <f>SUM(Tabla132112418[[#This Row],[PRIMER TRIMESTRE]:[CUARTO TRIMESTRE]])</f>
        <v>0</v>
      </c>
      <c r="I80" s="72">
        <f>3600*1.2</f>
        <v>4320</v>
      </c>
      <c r="J80" s="72">
        <f>+Tabla132112418[[#This Row],[CANTIDAD TOTAL]]*Tabla132112418[[#This Row],[PRECIO UNITARIO ESTIMADO]]</f>
        <v>0</v>
      </c>
      <c r="K80" s="72"/>
      <c r="L80" s="73" t="s">
        <v>27</v>
      </c>
      <c r="M80" s="73" t="s">
        <v>22</v>
      </c>
      <c r="N80" s="70" t="s">
        <v>418</v>
      </c>
    </row>
    <row r="81" spans="1:14" s="169" customFormat="1" ht="30">
      <c r="A81" s="180" t="s">
        <v>56</v>
      </c>
      <c r="B81" s="77" t="s">
        <v>63</v>
      </c>
      <c r="C81" s="70" t="s">
        <v>17</v>
      </c>
      <c r="D81" s="210"/>
      <c r="E81" s="210"/>
      <c r="F81" s="210"/>
      <c r="G81" s="210"/>
      <c r="H81" s="406">
        <f>SUM(Tabla132112418[[#This Row],[PRIMER TRIMESTRE]:[CUARTO TRIMESTRE]])</f>
        <v>0</v>
      </c>
      <c r="I81" s="72">
        <v>6409</v>
      </c>
      <c r="J81" s="72">
        <f>+Tabla132112418[[#This Row],[CANTIDAD TOTAL]]*Tabla132112418[[#This Row],[PRECIO UNITARIO ESTIMADO]]</f>
        <v>0</v>
      </c>
      <c r="K81" s="72"/>
      <c r="L81" s="73" t="s">
        <v>27</v>
      </c>
      <c r="M81" s="73" t="s">
        <v>22</v>
      </c>
      <c r="N81" s="70" t="s">
        <v>418</v>
      </c>
    </row>
    <row r="82" spans="1:14" s="169" customFormat="1" ht="30">
      <c r="A82" s="180" t="s">
        <v>56</v>
      </c>
      <c r="B82" s="77" t="s">
        <v>64</v>
      </c>
      <c r="C82" s="70" t="s">
        <v>17</v>
      </c>
      <c r="D82" s="210"/>
      <c r="E82" s="210"/>
      <c r="F82" s="210"/>
      <c r="G82" s="210"/>
      <c r="H82" s="406">
        <f>SUM(Tabla132112418[[#This Row],[PRIMER TRIMESTRE]:[CUARTO TRIMESTRE]])</f>
        <v>0</v>
      </c>
      <c r="I82" s="72">
        <v>6500</v>
      </c>
      <c r="J82" s="72">
        <f>+Tabla132112418[[#This Row],[CANTIDAD TOTAL]]*Tabla132112418[[#This Row],[PRECIO UNITARIO ESTIMADO]]</f>
        <v>0</v>
      </c>
      <c r="K82" s="72"/>
      <c r="L82" s="73" t="s">
        <v>27</v>
      </c>
      <c r="M82" s="73" t="s">
        <v>22</v>
      </c>
      <c r="N82" s="70" t="s">
        <v>418</v>
      </c>
    </row>
    <row r="83" spans="1:14" s="169" customFormat="1" ht="30">
      <c r="A83" s="180" t="s">
        <v>56</v>
      </c>
      <c r="B83" s="77" t="s">
        <v>65</v>
      </c>
      <c r="C83" s="70" t="s">
        <v>17</v>
      </c>
      <c r="D83" s="210"/>
      <c r="E83" s="210"/>
      <c r="F83" s="210"/>
      <c r="G83" s="210"/>
      <c r="H83" s="406">
        <f>SUM(Tabla132112418[[#This Row],[PRIMER TRIMESTRE]:[CUARTO TRIMESTRE]])</f>
        <v>0</v>
      </c>
      <c r="I83" s="72">
        <v>6500</v>
      </c>
      <c r="J83" s="72">
        <f>+H83*I83</f>
        <v>0</v>
      </c>
      <c r="K83" s="72"/>
      <c r="L83" s="73" t="s">
        <v>27</v>
      </c>
      <c r="M83" s="73" t="s">
        <v>22</v>
      </c>
      <c r="N83" s="70" t="s">
        <v>418</v>
      </c>
    </row>
    <row r="84" spans="1:14" s="169" customFormat="1" ht="30">
      <c r="A84" s="180" t="s">
        <v>56</v>
      </c>
      <c r="B84" s="77" t="s">
        <v>1422</v>
      </c>
      <c r="C84" s="70" t="s">
        <v>17</v>
      </c>
      <c r="D84" s="210"/>
      <c r="E84" s="210"/>
      <c r="F84" s="210"/>
      <c r="G84" s="210"/>
      <c r="H84" s="406">
        <f>SUM(Tabla132112418[[#This Row],[PRIMER TRIMESTRE]:[CUARTO TRIMESTRE]])</f>
        <v>0</v>
      </c>
      <c r="I84" s="72">
        <v>7965.33</v>
      </c>
      <c r="J84" s="72">
        <f>+Tabla132112418[[#This Row],[CANTIDAD TOTAL]]*Tabla132112418[[#This Row],[PRECIO UNITARIO ESTIMADO]]</f>
        <v>0</v>
      </c>
      <c r="K84" s="72"/>
      <c r="L84" s="73" t="s">
        <v>27</v>
      </c>
      <c r="M84" s="73" t="s">
        <v>22</v>
      </c>
      <c r="N84" s="70" t="s">
        <v>418</v>
      </c>
    </row>
    <row r="85" spans="1:14" s="111" customFormat="1" ht="30">
      <c r="A85" s="180" t="s">
        <v>56</v>
      </c>
      <c r="B85" s="77" t="s">
        <v>66</v>
      </c>
      <c r="C85" s="70" t="s">
        <v>17</v>
      </c>
      <c r="D85" s="210"/>
      <c r="E85" s="210"/>
      <c r="F85" s="210"/>
      <c r="G85" s="210"/>
      <c r="H85" s="406">
        <f>SUM(Tabla132112418[[#This Row],[PRIMER TRIMESTRE]:[CUARTO TRIMESTRE]])</f>
        <v>0</v>
      </c>
      <c r="I85" s="72">
        <v>9976</v>
      </c>
      <c r="J85" s="72">
        <f>+Tabla132112418[[#This Row],[CANTIDAD TOTAL]]*Tabla132112418[[#This Row],[PRECIO UNITARIO ESTIMADO]]</f>
        <v>0</v>
      </c>
      <c r="K85" s="72"/>
      <c r="L85" s="73" t="s">
        <v>27</v>
      </c>
      <c r="M85" s="73" t="s">
        <v>22</v>
      </c>
      <c r="N85" s="70" t="s">
        <v>418</v>
      </c>
    </row>
    <row r="86" spans="1:14" s="111" customFormat="1" ht="30">
      <c r="A86" s="180" t="s">
        <v>56</v>
      </c>
      <c r="B86" s="77" t="s">
        <v>1848</v>
      </c>
      <c r="C86" s="70" t="s">
        <v>17</v>
      </c>
      <c r="D86" s="210"/>
      <c r="E86" s="210"/>
      <c r="F86" s="210"/>
      <c r="G86" s="210"/>
      <c r="H86" s="406">
        <v>0</v>
      </c>
      <c r="I86" s="72">
        <v>0</v>
      </c>
      <c r="J86" s="72">
        <v>0</v>
      </c>
      <c r="K86" s="72"/>
      <c r="L86" s="73" t="s">
        <v>27</v>
      </c>
      <c r="M86" s="73" t="s">
        <v>22</v>
      </c>
      <c r="N86" s="70" t="s">
        <v>418</v>
      </c>
    </row>
    <row r="87" spans="1:14" s="26" customFormat="1" ht="30">
      <c r="A87" s="180" t="s">
        <v>56</v>
      </c>
      <c r="B87" s="77" t="s">
        <v>765</v>
      </c>
      <c r="C87" s="70" t="s">
        <v>17</v>
      </c>
      <c r="D87" s="210"/>
      <c r="E87" s="210"/>
      <c r="F87" s="210"/>
      <c r="G87" s="210"/>
      <c r="H87" s="406">
        <f>SUM(Tabla132112418[[#This Row],[PRIMER TRIMESTRE]:[CUARTO TRIMESTRE]])</f>
        <v>0</v>
      </c>
      <c r="I87" s="72">
        <v>11500</v>
      </c>
      <c r="J87" s="72">
        <f>+H87*I87</f>
        <v>0</v>
      </c>
      <c r="K87" s="72"/>
      <c r="L87" s="73" t="s">
        <v>27</v>
      </c>
      <c r="M87" s="73" t="s">
        <v>22</v>
      </c>
      <c r="N87" s="70" t="s">
        <v>418</v>
      </c>
    </row>
    <row r="88" spans="1:14" s="12" customFormat="1" ht="18">
      <c r="A88" s="70" t="s">
        <v>56</v>
      </c>
      <c r="B88" s="77" t="s">
        <v>1401</v>
      </c>
      <c r="C88" s="70" t="s">
        <v>17</v>
      </c>
      <c r="D88" s="70"/>
      <c r="E88" s="70"/>
      <c r="F88" s="70"/>
      <c r="G88" s="70"/>
      <c r="H88" s="70">
        <f>SUM(Tabla132112418[[#This Row],[PRIMER TRIMESTRE]:[CUARTO TRIMESTRE]])</f>
        <v>0</v>
      </c>
      <c r="I88" s="72">
        <v>250</v>
      </c>
      <c r="J88" s="72">
        <f>+H88*I88</f>
        <v>0</v>
      </c>
      <c r="K88" s="72"/>
      <c r="L88" s="73" t="s">
        <v>27</v>
      </c>
      <c r="M88" s="73" t="s">
        <v>22</v>
      </c>
      <c r="N88" s="70" t="s">
        <v>418</v>
      </c>
    </row>
    <row r="89" spans="1:14" s="12" customFormat="1" ht="31.5">
      <c r="A89" s="179" t="s">
        <v>56</v>
      </c>
      <c r="B89" s="76"/>
      <c r="C89" s="42"/>
      <c r="D89" s="237"/>
      <c r="E89" s="237"/>
      <c r="F89" s="237"/>
      <c r="G89" s="237"/>
      <c r="H89" s="43"/>
      <c r="I89" s="24"/>
      <c r="J89" s="24"/>
      <c r="K89" s="25">
        <f>SUM(J78:J88)</f>
        <v>0</v>
      </c>
      <c r="L89" s="23"/>
      <c r="M89" s="23"/>
      <c r="N89" s="42"/>
    </row>
    <row r="90" spans="1:14" s="12" customFormat="1" ht="18">
      <c r="A90" s="180" t="s">
        <v>62</v>
      </c>
      <c r="B90" s="77" t="s">
        <v>68</v>
      </c>
      <c r="C90" s="70" t="s">
        <v>69</v>
      </c>
      <c r="D90" s="210"/>
      <c r="E90" s="210"/>
      <c r="F90" s="210"/>
      <c r="G90" s="210"/>
      <c r="H90" s="406">
        <f>SUM(Tabla132112418[[#This Row],[PRIMER TRIMESTRE]:[CUARTO TRIMESTRE]])</f>
        <v>0</v>
      </c>
      <c r="I90" s="17">
        <v>320.89999999999998</v>
      </c>
      <c r="J90" s="17">
        <f>+Tabla132112418[[#This Row],[CANTIDAD TOTAL]]*Tabla132112418[[#This Row],[PRECIO UNITARIO ESTIMADO]]</f>
        <v>0</v>
      </c>
      <c r="K90" s="17"/>
      <c r="L90" s="16" t="s">
        <v>27</v>
      </c>
      <c r="M90" s="16" t="s">
        <v>22</v>
      </c>
      <c r="N90" s="39" t="s">
        <v>418</v>
      </c>
    </row>
    <row r="91" spans="1:14" s="12" customFormat="1" ht="18">
      <c r="A91" s="180" t="s">
        <v>62</v>
      </c>
      <c r="B91" s="77" t="s">
        <v>461</v>
      </c>
      <c r="C91" s="70" t="s">
        <v>69</v>
      </c>
      <c r="D91" s="210"/>
      <c r="E91" s="210"/>
      <c r="F91" s="210"/>
      <c r="G91" s="210"/>
      <c r="H91" s="406">
        <f>SUM(Tabla132112418[[#This Row],[PRIMER TRIMESTRE]:[CUARTO TRIMESTRE]])</f>
        <v>0</v>
      </c>
      <c r="I91" s="17">
        <v>561.17999999999995</v>
      </c>
      <c r="J91" s="17">
        <f>+H91*I91</f>
        <v>0</v>
      </c>
      <c r="K91" s="17"/>
      <c r="L91" s="16" t="s">
        <v>27</v>
      </c>
      <c r="M91" s="16" t="s">
        <v>22</v>
      </c>
      <c r="N91" s="39" t="s">
        <v>418</v>
      </c>
    </row>
    <row r="92" spans="1:14" s="12" customFormat="1" ht="18">
      <c r="A92" s="180" t="s">
        <v>62</v>
      </c>
      <c r="B92" s="77" t="s">
        <v>1149</v>
      </c>
      <c r="C92" s="70" t="s">
        <v>69</v>
      </c>
      <c r="D92" s="210"/>
      <c r="E92" s="210"/>
      <c r="F92" s="210"/>
      <c r="G92" s="210"/>
      <c r="H92" s="406">
        <f>SUM(Tabla132112418[[#This Row],[PRIMER TRIMESTRE]:[CUARTO TRIMESTRE]])</f>
        <v>0</v>
      </c>
      <c r="I92" s="17">
        <v>1900</v>
      </c>
      <c r="J92" s="17">
        <f>+H92*I92</f>
        <v>0</v>
      </c>
      <c r="K92" s="17"/>
      <c r="L92" s="16" t="s">
        <v>27</v>
      </c>
      <c r="M92" s="16" t="s">
        <v>22</v>
      </c>
      <c r="N92" s="39" t="s">
        <v>418</v>
      </c>
    </row>
    <row r="93" spans="1:14" s="12" customFormat="1" ht="18">
      <c r="A93" s="180" t="s">
        <v>62</v>
      </c>
      <c r="B93" s="77" t="s">
        <v>567</v>
      </c>
      <c r="C93" s="70" t="s">
        <v>17</v>
      </c>
      <c r="D93" s="210"/>
      <c r="E93" s="210"/>
      <c r="F93" s="210"/>
      <c r="G93" s="210"/>
      <c r="H93" s="406">
        <f>SUM(Tabla132112418[[#This Row],[PRIMER TRIMESTRE]:[CUARTO TRIMESTRE]])</f>
        <v>0</v>
      </c>
      <c r="I93" s="17">
        <v>350</v>
      </c>
      <c r="J93" s="17">
        <f>+Tabla132112418[[#This Row],[CANTIDAD TOTAL]]*Tabla132112418[[#This Row],[PRECIO UNITARIO ESTIMADO]]</f>
        <v>0</v>
      </c>
      <c r="K93" s="17"/>
      <c r="L93" s="16" t="s">
        <v>27</v>
      </c>
      <c r="M93" s="16" t="s">
        <v>22</v>
      </c>
      <c r="N93" s="39" t="s">
        <v>418</v>
      </c>
    </row>
    <row r="94" spans="1:14" s="12" customFormat="1" ht="18">
      <c r="A94" s="180" t="s">
        <v>62</v>
      </c>
      <c r="B94" s="77" t="s">
        <v>472</v>
      </c>
      <c r="C94" s="70" t="s">
        <v>17</v>
      </c>
      <c r="D94" s="210"/>
      <c r="E94" s="210"/>
      <c r="F94" s="210"/>
      <c r="G94" s="210"/>
      <c r="H94" s="406">
        <f>SUM(Tabla132112418[[#This Row],[PRIMER TRIMESTRE]:[CUARTO TRIMESTRE]])</f>
        <v>0</v>
      </c>
      <c r="I94" s="17">
        <v>450.4</v>
      </c>
      <c r="J94" s="17">
        <f>+H94*I94</f>
        <v>0</v>
      </c>
      <c r="K94" s="17"/>
      <c r="L94" s="16" t="s">
        <v>27</v>
      </c>
      <c r="M94" s="16" t="s">
        <v>22</v>
      </c>
      <c r="N94" s="39" t="s">
        <v>418</v>
      </c>
    </row>
    <row r="95" spans="1:14" s="12" customFormat="1" ht="18">
      <c r="A95" s="180" t="s">
        <v>62</v>
      </c>
      <c r="B95" s="77" t="s">
        <v>1150</v>
      </c>
      <c r="C95" s="70" t="s">
        <v>17</v>
      </c>
      <c r="D95" s="210"/>
      <c r="E95" s="210"/>
      <c r="F95" s="210"/>
      <c r="G95" s="210"/>
      <c r="H95" s="406">
        <f>SUM(Tabla132112418[[#This Row],[PRIMER TRIMESTRE]:[CUARTO TRIMESTRE]])</f>
        <v>0</v>
      </c>
      <c r="I95" s="17">
        <v>450.4</v>
      </c>
      <c r="J95" s="17">
        <f>+H95*I95</f>
        <v>0</v>
      </c>
      <c r="K95" s="17"/>
      <c r="L95" s="16" t="s">
        <v>27</v>
      </c>
      <c r="M95" s="16" t="s">
        <v>22</v>
      </c>
      <c r="N95" s="39" t="s">
        <v>418</v>
      </c>
    </row>
    <row r="96" spans="1:14" s="12" customFormat="1" ht="18">
      <c r="A96" s="180" t="s">
        <v>62</v>
      </c>
      <c r="B96" s="77" t="s">
        <v>440</v>
      </c>
      <c r="C96" s="70" t="s">
        <v>17</v>
      </c>
      <c r="D96" s="210"/>
      <c r="E96" s="210"/>
      <c r="F96" s="210"/>
      <c r="G96" s="210"/>
      <c r="H96" s="406">
        <f>SUM(Tabla132112418[[#This Row],[PRIMER TRIMESTRE]:[CUARTO TRIMESTRE]])</f>
        <v>0</v>
      </c>
      <c r="I96" s="17">
        <v>7000</v>
      </c>
      <c r="J96" s="17">
        <f>+H96*I96</f>
        <v>0</v>
      </c>
      <c r="K96" s="17"/>
      <c r="L96" s="16" t="s">
        <v>27</v>
      </c>
      <c r="M96" s="16" t="s">
        <v>22</v>
      </c>
      <c r="N96" s="39" t="s">
        <v>418</v>
      </c>
    </row>
    <row r="97" spans="1:14" s="12" customFormat="1" ht="18">
      <c r="A97" s="180" t="s">
        <v>62</v>
      </c>
      <c r="B97" s="77" t="s">
        <v>435</v>
      </c>
      <c r="C97" s="70" t="s">
        <v>17</v>
      </c>
      <c r="D97" s="210"/>
      <c r="E97" s="210"/>
      <c r="F97" s="210"/>
      <c r="G97" s="210"/>
      <c r="H97" s="406">
        <f>SUM(Tabla132112418[[#This Row],[PRIMER TRIMESTRE]:[CUARTO TRIMESTRE]])</f>
        <v>0</v>
      </c>
      <c r="I97" s="17">
        <v>110</v>
      </c>
      <c r="J97" s="17">
        <f>+Tabla132112418[[#This Row],[CANTIDAD TOTAL]]*Tabla132112418[[#This Row],[PRECIO UNITARIO ESTIMADO]]</f>
        <v>0</v>
      </c>
      <c r="K97" s="17"/>
      <c r="L97" s="16" t="s">
        <v>27</v>
      </c>
      <c r="M97" s="16" t="s">
        <v>22</v>
      </c>
      <c r="N97" s="39" t="s">
        <v>418</v>
      </c>
    </row>
    <row r="98" spans="1:14" s="12" customFormat="1" ht="18">
      <c r="A98" s="180" t="s">
        <v>62</v>
      </c>
      <c r="B98" s="77" t="s">
        <v>729</v>
      </c>
      <c r="C98" s="70" t="s">
        <v>17</v>
      </c>
      <c r="D98" s="210"/>
      <c r="E98" s="210"/>
      <c r="F98" s="210"/>
      <c r="G98" s="210"/>
      <c r="H98" s="406">
        <f>SUM(Tabla132112418[[#This Row],[PRIMER TRIMESTRE]:[CUARTO TRIMESTRE]])</f>
        <v>0</v>
      </c>
      <c r="I98" s="17">
        <v>260</v>
      </c>
      <c r="J98" s="17">
        <f>+Tabla132112418[[#This Row],[CANTIDAD TOTAL]]*Tabla132112418[[#This Row],[PRECIO UNITARIO ESTIMADO]]</f>
        <v>0</v>
      </c>
      <c r="K98" s="17"/>
      <c r="L98" s="16" t="s">
        <v>27</v>
      </c>
      <c r="M98" s="16" t="s">
        <v>22</v>
      </c>
      <c r="N98" s="39" t="s">
        <v>418</v>
      </c>
    </row>
    <row r="99" spans="1:14" s="12" customFormat="1" ht="18">
      <c r="A99" s="180" t="s">
        <v>62</v>
      </c>
      <c r="B99" s="77" t="s">
        <v>731</v>
      </c>
      <c r="C99" s="70" t="s">
        <v>17</v>
      </c>
      <c r="D99" s="210"/>
      <c r="E99" s="210"/>
      <c r="F99" s="210"/>
      <c r="G99" s="210"/>
      <c r="H99" s="406">
        <f>SUM(Tabla132112418[[#This Row],[PRIMER TRIMESTRE]:[CUARTO TRIMESTRE]])</f>
        <v>0</v>
      </c>
      <c r="I99" s="17">
        <v>375</v>
      </c>
      <c r="J99" s="17">
        <f>+Tabla132112418[[#This Row],[CANTIDAD TOTAL]]*Tabla132112418[[#This Row],[PRECIO UNITARIO ESTIMADO]]</f>
        <v>0</v>
      </c>
      <c r="K99" s="17"/>
      <c r="L99" s="16" t="s">
        <v>27</v>
      </c>
      <c r="M99" s="16" t="s">
        <v>22</v>
      </c>
      <c r="N99" s="39" t="s">
        <v>418</v>
      </c>
    </row>
    <row r="100" spans="1:14" s="12" customFormat="1" ht="18">
      <c r="A100" s="180" t="s">
        <v>62</v>
      </c>
      <c r="B100" s="17" t="s">
        <v>1589</v>
      </c>
      <c r="C100" s="248" t="s">
        <v>17</v>
      </c>
      <c r="D100" s="210"/>
      <c r="E100" s="17"/>
      <c r="F100" s="17"/>
      <c r="G100" s="17"/>
      <c r="H100" s="406">
        <f>SUM(Tabla132112418[[#This Row],[PRIMER TRIMESTRE]:[CUARTO TRIMESTRE]])</f>
        <v>0</v>
      </c>
      <c r="I100" s="17">
        <v>425</v>
      </c>
      <c r="J100" s="17">
        <f>+H100*I100</f>
        <v>0</v>
      </c>
      <c r="K100" s="17"/>
      <c r="L100" s="16" t="s">
        <v>27</v>
      </c>
      <c r="M100" s="16" t="s">
        <v>22</v>
      </c>
      <c r="N100" s="39" t="s">
        <v>418</v>
      </c>
    </row>
    <row r="101" spans="1:14" s="12" customFormat="1" ht="18">
      <c r="A101" s="180" t="s">
        <v>62</v>
      </c>
      <c r="B101" s="77" t="s">
        <v>72</v>
      </c>
      <c r="C101" s="70" t="s">
        <v>17</v>
      </c>
      <c r="D101" s="210"/>
      <c r="E101" s="210"/>
      <c r="F101" s="210"/>
      <c r="G101" s="210"/>
      <c r="H101" s="406">
        <f>SUM(Tabla132112418[[#This Row],[PRIMER TRIMESTRE]:[CUARTO TRIMESTRE]])</f>
        <v>0</v>
      </c>
      <c r="I101" s="72">
        <v>295</v>
      </c>
      <c r="J101" s="17">
        <f>+Tabla132112418[[#This Row],[CANTIDAD TOTAL]]*Tabla132112418[[#This Row],[PRECIO UNITARIO ESTIMADO]]</f>
        <v>0</v>
      </c>
      <c r="K101" s="17"/>
      <c r="L101" s="16" t="s">
        <v>27</v>
      </c>
      <c r="M101" s="16" t="s">
        <v>22</v>
      </c>
      <c r="N101" s="39" t="s">
        <v>418</v>
      </c>
    </row>
    <row r="102" spans="1:14" s="12" customFormat="1" ht="18">
      <c r="A102" s="180" t="s">
        <v>62</v>
      </c>
      <c r="B102" s="77" t="s">
        <v>467</v>
      </c>
      <c r="C102" s="70" t="s">
        <v>17</v>
      </c>
      <c r="D102" s="210"/>
      <c r="E102" s="210"/>
      <c r="F102" s="210"/>
      <c r="G102" s="210"/>
      <c r="H102" s="406">
        <f>SUM(Tabla132112418[[#This Row],[PRIMER TRIMESTRE]:[CUARTO TRIMESTRE]])</f>
        <v>0</v>
      </c>
      <c r="I102" s="72">
        <v>852.71</v>
      </c>
      <c r="J102" s="17">
        <f t="shared" ref="J102:J118" si="1">+H102*I102</f>
        <v>0</v>
      </c>
      <c r="K102" s="17"/>
      <c r="L102" s="16" t="s">
        <v>27</v>
      </c>
      <c r="M102" s="16" t="s">
        <v>22</v>
      </c>
      <c r="N102" s="39" t="s">
        <v>418</v>
      </c>
    </row>
    <row r="103" spans="1:14" s="12" customFormat="1" ht="18">
      <c r="A103" s="180" t="s">
        <v>62</v>
      </c>
      <c r="B103" s="75" t="s">
        <v>1155</v>
      </c>
      <c r="C103" s="39" t="s">
        <v>17</v>
      </c>
      <c r="D103" s="236"/>
      <c r="E103" s="236"/>
      <c r="F103" s="236"/>
      <c r="G103" s="236"/>
      <c r="H103" s="40">
        <f>SUM(Tabla132112418[[#This Row],[PRIMER TRIMESTRE]:[CUARTO TRIMESTRE]])</f>
        <v>0</v>
      </c>
      <c r="I103" s="72">
        <v>600</v>
      </c>
      <c r="J103" s="17">
        <f t="shared" si="1"/>
        <v>0</v>
      </c>
      <c r="K103" s="17"/>
      <c r="L103" s="16" t="s">
        <v>27</v>
      </c>
      <c r="M103" s="16" t="s">
        <v>22</v>
      </c>
      <c r="N103" s="39" t="s">
        <v>418</v>
      </c>
    </row>
    <row r="104" spans="1:14" s="12" customFormat="1" ht="18">
      <c r="A104" s="180" t="s">
        <v>62</v>
      </c>
      <c r="B104" s="75" t="s">
        <v>1156</v>
      </c>
      <c r="C104" s="39" t="s">
        <v>17</v>
      </c>
      <c r="D104" s="39"/>
      <c r="E104" s="39"/>
      <c r="F104" s="39"/>
      <c r="G104" s="39"/>
      <c r="H104" s="39">
        <f>SUM(Tabla132112418[[#This Row],[PRIMER TRIMESTRE]:[CUARTO TRIMESTRE]])</f>
        <v>0</v>
      </c>
      <c r="I104" s="72">
        <v>700</v>
      </c>
      <c r="J104" s="17">
        <f t="shared" si="1"/>
        <v>0</v>
      </c>
      <c r="K104" s="17"/>
      <c r="L104" s="16" t="s">
        <v>27</v>
      </c>
      <c r="M104" s="16" t="s">
        <v>22</v>
      </c>
      <c r="N104" s="39" t="s">
        <v>418</v>
      </c>
    </row>
    <row r="105" spans="1:14" s="12" customFormat="1" ht="18">
      <c r="A105" s="180" t="s">
        <v>62</v>
      </c>
      <c r="B105" s="75" t="s">
        <v>1612</v>
      </c>
      <c r="C105" s="39" t="s">
        <v>17</v>
      </c>
      <c r="D105" s="39"/>
      <c r="E105" s="39"/>
      <c r="F105" s="39"/>
      <c r="G105" s="39"/>
      <c r="H105" s="39">
        <f>SUM(Tabla132112418[[#This Row],[PRIMER TRIMESTRE]:[CUARTO TRIMESTRE]])</f>
        <v>0</v>
      </c>
      <c r="I105" s="72">
        <v>835</v>
      </c>
      <c r="J105" s="17">
        <f t="shared" si="1"/>
        <v>0</v>
      </c>
      <c r="K105" s="17"/>
      <c r="L105" s="16" t="s">
        <v>27</v>
      </c>
      <c r="M105" s="16" t="s">
        <v>22</v>
      </c>
      <c r="N105" s="39" t="s">
        <v>418</v>
      </c>
    </row>
    <row r="106" spans="1:14" s="12" customFormat="1" ht="18">
      <c r="A106" s="180" t="s">
        <v>62</v>
      </c>
      <c r="B106" s="75" t="s">
        <v>1613</v>
      </c>
      <c r="C106" s="39" t="s">
        <v>17</v>
      </c>
      <c r="D106" s="39"/>
      <c r="E106" s="39"/>
      <c r="F106" s="39"/>
      <c r="G106" s="39"/>
      <c r="H106" s="39">
        <f>SUM(Tabla132112418[[#This Row],[PRIMER TRIMESTRE]:[CUARTO TRIMESTRE]])</f>
        <v>0</v>
      </c>
      <c r="I106" s="72">
        <v>618</v>
      </c>
      <c r="J106" s="17">
        <f t="shared" si="1"/>
        <v>0</v>
      </c>
      <c r="K106" s="17"/>
      <c r="L106" s="16" t="s">
        <v>27</v>
      </c>
      <c r="M106" s="16" t="s">
        <v>22</v>
      </c>
      <c r="N106" s="39" t="s">
        <v>418</v>
      </c>
    </row>
    <row r="107" spans="1:14" s="12" customFormat="1" ht="18">
      <c r="A107" s="180" t="s">
        <v>62</v>
      </c>
      <c r="B107" s="75" t="s">
        <v>1706</v>
      </c>
      <c r="C107" s="39" t="s">
        <v>17</v>
      </c>
      <c r="D107" s="236"/>
      <c r="E107" s="236"/>
      <c r="F107" s="236"/>
      <c r="G107" s="236"/>
      <c r="H107" s="40">
        <v>0</v>
      </c>
      <c r="I107" s="72">
        <v>0</v>
      </c>
      <c r="J107" s="17">
        <v>0</v>
      </c>
      <c r="K107" s="17"/>
      <c r="L107" s="16" t="s">
        <v>27</v>
      </c>
      <c r="M107" s="16" t="s">
        <v>22</v>
      </c>
      <c r="N107" s="39" t="s">
        <v>418</v>
      </c>
    </row>
    <row r="108" spans="1:14" s="12" customFormat="1" ht="18">
      <c r="A108" s="180" t="s">
        <v>62</v>
      </c>
      <c r="B108" s="75" t="s">
        <v>1614</v>
      </c>
      <c r="C108" s="39" t="s">
        <v>17</v>
      </c>
      <c r="D108" s="39"/>
      <c r="E108" s="39"/>
      <c r="F108" s="39"/>
      <c r="G108" s="39"/>
      <c r="H108" s="39">
        <f>SUM(Tabla132112418[[#This Row],[PRIMER TRIMESTRE]:[CUARTO TRIMESTRE]])</f>
        <v>0</v>
      </c>
      <c r="I108" s="72">
        <v>280</v>
      </c>
      <c r="J108" s="17">
        <f t="shared" si="1"/>
        <v>0</v>
      </c>
      <c r="K108" s="17"/>
      <c r="L108" s="16" t="s">
        <v>27</v>
      </c>
      <c r="M108" s="16" t="s">
        <v>22</v>
      </c>
      <c r="N108" s="39" t="s">
        <v>418</v>
      </c>
    </row>
    <row r="109" spans="1:14" s="12" customFormat="1" ht="18">
      <c r="A109" s="180" t="s">
        <v>62</v>
      </c>
      <c r="B109" s="75" t="s">
        <v>1615</v>
      </c>
      <c r="C109" s="39" t="s">
        <v>17</v>
      </c>
      <c r="D109" s="39"/>
      <c r="E109" s="39"/>
      <c r="F109" s="39"/>
      <c r="G109" s="39"/>
      <c r="H109" s="39">
        <f>SUM(Tabla132112418[[#This Row],[PRIMER TRIMESTRE]:[CUARTO TRIMESTRE]])</f>
        <v>0</v>
      </c>
      <c r="I109" s="72">
        <v>447.46</v>
      </c>
      <c r="J109" s="17">
        <f t="shared" si="1"/>
        <v>0</v>
      </c>
      <c r="K109" s="17"/>
      <c r="L109" s="16" t="s">
        <v>27</v>
      </c>
      <c r="M109" s="16" t="s">
        <v>22</v>
      </c>
      <c r="N109" s="39" t="s">
        <v>418</v>
      </c>
    </row>
    <row r="110" spans="1:14" s="12" customFormat="1" ht="18">
      <c r="A110" s="180" t="s">
        <v>62</v>
      </c>
      <c r="B110" s="75" t="s">
        <v>1616</v>
      </c>
      <c r="C110" s="39" t="s">
        <v>718</v>
      </c>
      <c r="D110" s="39"/>
      <c r="E110" s="39"/>
      <c r="F110" s="39"/>
      <c r="G110" s="39"/>
      <c r="H110" s="39">
        <f>SUM(Tabla132112418[[#This Row],[PRIMER TRIMESTRE]:[CUARTO TRIMESTRE]])</f>
        <v>0</v>
      </c>
      <c r="I110" s="72">
        <v>452.8</v>
      </c>
      <c r="J110" s="17">
        <f t="shared" si="1"/>
        <v>0</v>
      </c>
      <c r="K110" s="17"/>
      <c r="L110" s="16" t="s">
        <v>27</v>
      </c>
      <c r="M110" s="16" t="s">
        <v>22</v>
      </c>
      <c r="N110" s="39" t="s">
        <v>418</v>
      </c>
    </row>
    <row r="111" spans="1:14" s="12" customFormat="1" ht="18">
      <c r="A111" s="180" t="s">
        <v>62</v>
      </c>
      <c r="B111" s="75" t="s">
        <v>1617</v>
      </c>
      <c r="C111" s="39" t="s">
        <v>718</v>
      </c>
      <c r="D111" s="39"/>
      <c r="E111" s="39"/>
      <c r="F111" s="39"/>
      <c r="G111" s="39"/>
      <c r="H111" s="39">
        <f>SUM(Tabla132112418[[#This Row],[PRIMER TRIMESTRE]:[CUARTO TRIMESTRE]])</f>
        <v>0</v>
      </c>
      <c r="I111" s="72">
        <v>431</v>
      </c>
      <c r="J111" s="17">
        <f t="shared" si="1"/>
        <v>0</v>
      </c>
      <c r="K111" s="17"/>
      <c r="L111" s="16" t="s">
        <v>27</v>
      </c>
      <c r="M111" s="16" t="s">
        <v>22</v>
      </c>
      <c r="N111" s="39" t="s">
        <v>418</v>
      </c>
    </row>
    <row r="112" spans="1:14" s="12" customFormat="1" ht="18">
      <c r="A112" s="180" t="s">
        <v>62</v>
      </c>
      <c r="B112" s="75" t="s">
        <v>1618</v>
      </c>
      <c r="C112" s="39" t="s">
        <v>718</v>
      </c>
      <c r="D112" s="39"/>
      <c r="E112" s="39"/>
      <c r="F112" s="39"/>
      <c r="G112" s="39"/>
      <c r="H112" s="39">
        <f>SUM(Tabla132112418[[#This Row],[PRIMER TRIMESTRE]:[CUARTO TRIMESTRE]])</f>
        <v>0</v>
      </c>
      <c r="I112" s="72">
        <v>145.30000000000001</v>
      </c>
      <c r="J112" s="17">
        <f t="shared" si="1"/>
        <v>0</v>
      </c>
      <c r="K112" s="17"/>
      <c r="L112" s="16" t="s">
        <v>27</v>
      </c>
      <c r="M112" s="16" t="s">
        <v>22</v>
      </c>
      <c r="N112" s="39" t="s">
        <v>418</v>
      </c>
    </row>
    <row r="113" spans="1:14" s="12" customFormat="1" ht="18">
      <c r="A113" s="180" t="s">
        <v>62</v>
      </c>
      <c r="B113" s="75" t="s">
        <v>1157</v>
      </c>
      <c r="C113" s="39" t="s">
        <v>17</v>
      </c>
      <c r="D113" s="236"/>
      <c r="E113" s="236"/>
      <c r="F113" s="236"/>
      <c r="G113" s="236"/>
      <c r="H113" s="40">
        <f>SUM(Tabla132112418[[#This Row],[PRIMER TRIMESTRE]:[CUARTO TRIMESTRE]])</f>
        <v>0</v>
      </c>
      <c r="I113" s="72">
        <v>800</v>
      </c>
      <c r="J113" s="17">
        <f t="shared" si="1"/>
        <v>0</v>
      </c>
      <c r="K113" s="17"/>
      <c r="L113" s="16" t="s">
        <v>27</v>
      </c>
      <c r="M113" s="16" t="s">
        <v>22</v>
      </c>
      <c r="N113" s="39" t="s">
        <v>418</v>
      </c>
    </row>
    <row r="114" spans="1:14" s="12" customFormat="1" ht="18">
      <c r="A114" s="180" t="s">
        <v>62</v>
      </c>
      <c r="B114" s="75" t="s">
        <v>1158</v>
      </c>
      <c r="C114" s="39" t="s">
        <v>17</v>
      </c>
      <c r="D114" s="236"/>
      <c r="E114" s="236"/>
      <c r="F114" s="236"/>
      <c r="G114" s="236"/>
      <c r="H114" s="40">
        <f>SUM(Tabla132112418[[#This Row],[PRIMER TRIMESTRE]:[CUARTO TRIMESTRE]])</f>
        <v>0</v>
      </c>
      <c r="I114" s="72">
        <v>900</v>
      </c>
      <c r="J114" s="17">
        <f t="shared" si="1"/>
        <v>0</v>
      </c>
      <c r="K114" s="17"/>
      <c r="L114" s="16" t="s">
        <v>27</v>
      </c>
      <c r="M114" s="16" t="s">
        <v>22</v>
      </c>
      <c r="N114" s="39" t="s">
        <v>418</v>
      </c>
    </row>
    <row r="115" spans="1:14" s="12" customFormat="1" ht="18">
      <c r="A115" s="180" t="s">
        <v>62</v>
      </c>
      <c r="B115" s="75" t="s">
        <v>1151</v>
      </c>
      <c r="C115" s="39" t="s">
        <v>17</v>
      </c>
      <c r="D115" s="236"/>
      <c r="E115" s="236"/>
      <c r="F115" s="236"/>
      <c r="G115" s="236"/>
      <c r="H115" s="40">
        <f>SUM(Tabla132112418[[#This Row],[PRIMER TRIMESTRE]:[CUARTO TRIMESTRE]])</f>
        <v>0</v>
      </c>
      <c r="I115" s="72">
        <v>375</v>
      </c>
      <c r="J115" s="17">
        <f t="shared" si="1"/>
        <v>0</v>
      </c>
      <c r="K115" s="17"/>
      <c r="L115" s="16" t="s">
        <v>27</v>
      </c>
      <c r="M115" s="16" t="s">
        <v>22</v>
      </c>
      <c r="N115" s="39" t="s">
        <v>418</v>
      </c>
    </row>
    <row r="116" spans="1:14" s="12" customFormat="1" ht="18">
      <c r="A116" s="180" t="s">
        <v>62</v>
      </c>
      <c r="B116" s="75" t="s">
        <v>1152</v>
      </c>
      <c r="C116" s="39" t="s">
        <v>17</v>
      </c>
      <c r="D116" s="236"/>
      <c r="E116" s="236"/>
      <c r="F116" s="236"/>
      <c r="G116" s="236"/>
      <c r="H116" s="40">
        <f>SUM(Tabla132112418[[#This Row],[PRIMER TRIMESTRE]:[CUARTO TRIMESTRE]])</f>
        <v>0</v>
      </c>
      <c r="I116" s="72">
        <v>1300</v>
      </c>
      <c r="J116" s="17">
        <f t="shared" si="1"/>
        <v>0</v>
      </c>
      <c r="K116" s="17"/>
      <c r="L116" s="16" t="s">
        <v>27</v>
      </c>
      <c r="M116" s="16" t="s">
        <v>22</v>
      </c>
      <c r="N116" s="39" t="s">
        <v>418</v>
      </c>
    </row>
    <row r="117" spans="1:14" s="12" customFormat="1" ht="18">
      <c r="A117" s="180" t="s">
        <v>62</v>
      </c>
      <c r="B117" s="75" t="s">
        <v>1153</v>
      </c>
      <c r="C117" s="39" t="s">
        <v>17</v>
      </c>
      <c r="D117" s="236"/>
      <c r="E117" s="236"/>
      <c r="F117" s="236"/>
      <c r="G117" s="236"/>
      <c r="H117" s="40">
        <f>SUM(Tabla132112418[[#This Row],[PRIMER TRIMESTRE]:[CUARTO TRIMESTRE]])</f>
        <v>0</v>
      </c>
      <c r="I117" s="72">
        <v>900</v>
      </c>
      <c r="J117" s="17">
        <f t="shared" si="1"/>
        <v>0</v>
      </c>
      <c r="K117" s="17"/>
      <c r="L117" s="16" t="s">
        <v>27</v>
      </c>
      <c r="M117" s="16" t="s">
        <v>22</v>
      </c>
      <c r="N117" s="39" t="s">
        <v>418</v>
      </c>
    </row>
    <row r="118" spans="1:14" s="12" customFormat="1" ht="18">
      <c r="A118" s="180" t="s">
        <v>62</v>
      </c>
      <c r="B118" s="75" t="s">
        <v>1154</v>
      </c>
      <c r="C118" s="39" t="s">
        <v>17</v>
      </c>
      <c r="D118" s="236"/>
      <c r="E118" s="236"/>
      <c r="F118" s="236"/>
      <c r="G118" s="236"/>
      <c r="H118" s="40">
        <f>SUM(Tabla132112418[[#This Row],[PRIMER TRIMESTRE]:[CUARTO TRIMESTRE]])</f>
        <v>0</v>
      </c>
      <c r="I118" s="72">
        <v>1800</v>
      </c>
      <c r="J118" s="17">
        <f t="shared" si="1"/>
        <v>0</v>
      </c>
      <c r="K118" s="17"/>
      <c r="L118" s="16" t="s">
        <v>27</v>
      </c>
      <c r="M118" s="16" t="s">
        <v>22</v>
      </c>
      <c r="N118" s="39" t="s">
        <v>418</v>
      </c>
    </row>
    <row r="119" spans="1:14" s="12" customFormat="1" ht="18">
      <c r="A119" s="180" t="s">
        <v>62</v>
      </c>
      <c r="B119" s="75" t="s">
        <v>1709</v>
      </c>
      <c r="C119" s="70" t="s">
        <v>17</v>
      </c>
      <c r="D119" s="236"/>
      <c r="E119" s="236"/>
      <c r="F119" s="236"/>
      <c r="G119" s="236"/>
      <c r="H119" s="40">
        <v>0</v>
      </c>
      <c r="I119" s="72">
        <v>0</v>
      </c>
      <c r="J119" s="17">
        <v>0</v>
      </c>
      <c r="K119" s="17"/>
      <c r="L119" s="16" t="s">
        <v>27</v>
      </c>
      <c r="M119" s="16" t="s">
        <v>22</v>
      </c>
      <c r="N119" s="39" t="s">
        <v>418</v>
      </c>
    </row>
    <row r="120" spans="1:14" s="26" customFormat="1" ht="18">
      <c r="A120" s="180" t="s">
        <v>62</v>
      </c>
      <c r="B120" s="77" t="s">
        <v>432</v>
      </c>
      <c r="C120" s="70" t="s">
        <v>17</v>
      </c>
      <c r="D120" s="210"/>
      <c r="E120" s="210"/>
      <c r="F120" s="210"/>
      <c r="G120" s="210"/>
      <c r="H120" s="406">
        <f>SUM(Tabla132112418[[#This Row],[PRIMER TRIMESTRE]:[CUARTO TRIMESTRE]])</f>
        <v>0</v>
      </c>
      <c r="I120" s="72">
        <v>350</v>
      </c>
      <c r="J120" s="17">
        <f>+Tabla132112418[[#This Row],[CANTIDAD TOTAL]]*Tabla132112418[[#This Row],[PRECIO UNITARIO ESTIMADO]]</f>
        <v>0</v>
      </c>
      <c r="K120" s="17"/>
      <c r="L120" s="16" t="s">
        <v>27</v>
      </c>
      <c r="M120" s="16" t="s">
        <v>22</v>
      </c>
      <c r="N120" s="39" t="s">
        <v>418</v>
      </c>
    </row>
    <row r="121" spans="1:14" s="26" customFormat="1" ht="18">
      <c r="A121" s="180" t="s">
        <v>62</v>
      </c>
      <c r="B121" s="77" t="s">
        <v>431</v>
      </c>
      <c r="C121" s="70" t="s">
        <v>17</v>
      </c>
      <c r="D121" s="210"/>
      <c r="E121" s="210"/>
      <c r="F121" s="210"/>
      <c r="G121" s="210"/>
      <c r="H121" s="406">
        <f>SUM(Tabla132112418[[#This Row],[PRIMER TRIMESTRE]:[CUARTO TRIMESTRE]])</f>
        <v>0</v>
      </c>
      <c r="I121" s="72">
        <v>397.45</v>
      </c>
      <c r="J121" s="17">
        <f>+Tabla132112418[[#This Row],[CANTIDAD TOTAL]]*Tabla132112418[[#This Row],[PRECIO UNITARIO ESTIMADO]]</f>
        <v>0</v>
      </c>
      <c r="K121" s="17"/>
      <c r="L121" s="16" t="s">
        <v>27</v>
      </c>
      <c r="M121" s="16" t="s">
        <v>22</v>
      </c>
      <c r="N121" s="39" t="s">
        <v>418</v>
      </c>
    </row>
    <row r="122" spans="1:14" s="26" customFormat="1" ht="18">
      <c r="A122" s="180" t="s">
        <v>62</v>
      </c>
      <c r="B122" s="75" t="s">
        <v>960</v>
      </c>
      <c r="C122" s="39" t="s">
        <v>17</v>
      </c>
      <c r="D122" s="236"/>
      <c r="E122" s="236"/>
      <c r="F122" s="236"/>
      <c r="G122" s="236"/>
      <c r="H122" s="40">
        <f>SUM(Tabla132112418[[#This Row],[PRIMER TRIMESTRE]:[CUARTO TRIMESTRE]])</f>
        <v>0</v>
      </c>
      <c r="I122" s="17">
        <v>400.75</v>
      </c>
      <c r="J122" s="17">
        <f>+H122*I122</f>
        <v>0</v>
      </c>
      <c r="K122" s="17"/>
      <c r="L122" s="16" t="s">
        <v>27</v>
      </c>
      <c r="M122" s="16" t="s">
        <v>22</v>
      </c>
      <c r="N122" s="39" t="s">
        <v>418</v>
      </c>
    </row>
    <row r="123" spans="1:14" s="12" customFormat="1" ht="18">
      <c r="A123" s="180" t="s">
        <v>62</v>
      </c>
      <c r="B123" s="75" t="s">
        <v>961</v>
      </c>
      <c r="C123" s="39" t="s">
        <v>17</v>
      </c>
      <c r="D123" s="236"/>
      <c r="E123" s="236"/>
      <c r="F123" s="236"/>
      <c r="G123" s="236"/>
      <c r="H123" s="40">
        <f>SUM(Tabla132112418[[#This Row],[PRIMER TRIMESTRE]:[CUARTO TRIMESTRE]])</f>
        <v>0</v>
      </c>
      <c r="I123" s="17">
        <v>216</v>
      </c>
      <c r="J123" s="17">
        <f>+H123*I123</f>
        <v>0</v>
      </c>
      <c r="K123" s="17"/>
      <c r="L123" s="16" t="s">
        <v>27</v>
      </c>
      <c r="M123" s="16" t="s">
        <v>22</v>
      </c>
      <c r="N123" s="39" t="s">
        <v>418</v>
      </c>
    </row>
    <row r="124" spans="1:14" s="12" customFormat="1" ht="18">
      <c r="A124" s="180" t="s">
        <v>62</v>
      </c>
      <c r="B124" s="75" t="s">
        <v>962</v>
      </c>
      <c r="C124" s="39" t="s">
        <v>17</v>
      </c>
      <c r="D124" s="236"/>
      <c r="E124" s="236"/>
      <c r="F124" s="236"/>
      <c r="G124" s="236"/>
      <c r="H124" s="40">
        <f>SUM(Tabla132112418[[#This Row],[PRIMER TRIMESTRE]:[CUARTO TRIMESTRE]])</f>
        <v>0</v>
      </c>
      <c r="I124" s="17">
        <v>249.67</v>
      </c>
      <c r="J124" s="17">
        <f>+H124*I124</f>
        <v>0</v>
      </c>
      <c r="K124" s="17"/>
      <c r="L124" s="16" t="s">
        <v>27</v>
      </c>
      <c r="M124" s="16" t="s">
        <v>22</v>
      </c>
      <c r="N124" s="39" t="s">
        <v>418</v>
      </c>
    </row>
    <row r="125" spans="1:14" s="12" customFormat="1" ht="18">
      <c r="A125" s="180" t="s">
        <v>62</v>
      </c>
      <c r="B125" s="77" t="s">
        <v>434</v>
      </c>
      <c r="C125" s="70" t="s">
        <v>17</v>
      </c>
      <c r="D125" s="210"/>
      <c r="E125" s="210"/>
      <c r="F125" s="210"/>
      <c r="G125" s="210"/>
      <c r="H125" s="406">
        <f>SUM(Tabla132112418[[#This Row],[PRIMER TRIMESTRE]:[CUARTO TRIMESTRE]])</f>
        <v>0</v>
      </c>
      <c r="I125" s="72">
        <v>1120.9100000000001</v>
      </c>
      <c r="J125" s="17">
        <f>+Tabla132112418[[#This Row],[CANTIDAD TOTAL]]*Tabla132112418[[#This Row],[PRECIO UNITARIO ESTIMADO]]</f>
        <v>0</v>
      </c>
      <c r="K125" s="17"/>
      <c r="L125" s="16" t="s">
        <v>27</v>
      </c>
      <c r="M125" s="16" t="s">
        <v>22</v>
      </c>
      <c r="N125" s="39" t="s">
        <v>418</v>
      </c>
    </row>
    <row r="126" spans="1:14" s="12" customFormat="1" ht="18">
      <c r="A126" s="180" t="s">
        <v>62</v>
      </c>
      <c r="B126" s="77" t="s">
        <v>76</v>
      </c>
      <c r="C126" s="70" t="s">
        <v>17</v>
      </c>
      <c r="D126" s="210"/>
      <c r="E126" s="210"/>
      <c r="F126" s="210"/>
      <c r="G126" s="210"/>
      <c r="H126" s="406">
        <f>SUM(Tabla132112418[[#This Row],[PRIMER TRIMESTRE]:[CUARTO TRIMESTRE]])</f>
        <v>0</v>
      </c>
      <c r="I126" s="17">
        <v>100.57</v>
      </c>
      <c r="J126" s="17">
        <f>+Tabla132112418[[#This Row],[CANTIDAD TOTAL]]*Tabla132112418[[#This Row],[PRECIO UNITARIO ESTIMADO]]</f>
        <v>0</v>
      </c>
      <c r="K126" s="17"/>
      <c r="L126" s="16" t="s">
        <v>27</v>
      </c>
      <c r="M126" s="16" t="s">
        <v>22</v>
      </c>
      <c r="N126" s="39" t="s">
        <v>418</v>
      </c>
    </row>
    <row r="127" spans="1:14" s="12" customFormat="1" ht="18">
      <c r="A127" s="180" t="s">
        <v>62</v>
      </c>
      <c r="B127" s="77" t="s">
        <v>433</v>
      </c>
      <c r="C127" s="70" t="s">
        <v>17</v>
      </c>
      <c r="D127" s="210"/>
      <c r="E127" s="210"/>
      <c r="F127" s="210"/>
      <c r="G127" s="210"/>
      <c r="H127" s="406">
        <f>SUM(Tabla132112418[[#This Row],[PRIMER TRIMESTRE]:[CUARTO TRIMESTRE]])</f>
        <v>0</v>
      </c>
      <c r="I127" s="17">
        <v>1144.23</v>
      </c>
      <c r="J127" s="17">
        <f>+Tabla132112418[[#This Row],[CANTIDAD TOTAL]]*Tabla132112418[[#This Row],[PRECIO UNITARIO ESTIMADO]]</f>
        <v>0</v>
      </c>
      <c r="K127" s="17"/>
      <c r="L127" s="16" t="s">
        <v>27</v>
      </c>
      <c r="M127" s="16" t="s">
        <v>22</v>
      </c>
      <c r="N127" s="39" t="s">
        <v>418</v>
      </c>
    </row>
    <row r="128" spans="1:14" s="12" customFormat="1" ht="18">
      <c r="A128" s="180" t="s">
        <v>62</v>
      </c>
      <c r="B128" s="77" t="s">
        <v>433</v>
      </c>
      <c r="C128" s="70" t="s">
        <v>17</v>
      </c>
      <c r="D128" s="210"/>
      <c r="E128" s="210"/>
      <c r="F128" s="210"/>
      <c r="G128" s="210"/>
      <c r="H128" s="210">
        <f>SUM(Tabla132112418[[#This Row],[PRIMER TRIMESTRE]:[CUARTO TRIMESTRE]])</f>
        <v>0</v>
      </c>
      <c r="I128" s="17">
        <v>280</v>
      </c>
      <c r="J128" s="17">
        <f>+H128*I128</f>
        <v>0</v>
      </c>
      <c r="K128" s="17"/>
      <c r="L128" s="16" t="s">
        <v>27</v>
      </c>
      <c r="M128" s="16" t="s">
        <v>22</v>
      </c>
      <c r="N128" s="39" t="s">
        <v>418</v>
      </c>
    </row>
    <row r="129" spans="1:14" s="12" customFormat="1" ht="18">
      <c r="A129" s="180" t="s">
        <v>62</v>
      </c>
      <c r="B129" s="77" t="s">
        <v>1159</v>
      </c>
      <c r="C129" s="70" t="s">
        <v>17</v>
      </c>
      <c r="D129" s="210"/>
      <c r="E129" s="210"/>
      <c r="F129" s="210"/>
      <c r="G129" s="210"/>
      <c r="H129" s="406">
        <f>SUM(Tabla132112418[[#This Row],[PRIMER TRIMESTRE]:[CUARTO TRIMESTRE]])</f>
        <v>0</v>
      </c>
      <c r="I129" s="17">
        <v>377</v>
      </c>
      <c r="J129" s="17">
        <f>+H129*I129</f>
        <v>0</v>
      </c>
      <c r="K129" s="17"/>
      <c r="L129" s="16" t="s">
        <v>27</v>
      </c>
      <c r="M129" s="16" t="s">
        <v>22</v>
      </c>
      <c r="N129" s="39" t="s">
        <v>418</v>
      </c>
    </row>
    <row r="130" spans="1:14" s="12" customFormat="1" ht="18">
      <c r="A130" s="180" t="s">
        <v>62</v>
      </c>
      <c r="B130" s="75" t="s">
        <v>78</v>
      </c>
      <c r="C130" s="39" t="s">
        <v>17</v>
      </c>
      <c r="D130" s="236"/>
      <c r="E130" s="236"/>
      <c r="F130" s="236"/>
      <c r="G130" s="236"/>
      <c r="H130" s="40">
        <f>SUM(Tabla132112418[[#This Row],[PRIMER TRIMESTRE]:[CUARTO TRIMESTRE]])</f>
        <v>0</v>
      </c>
      <c r="I130" s="17">
        <v>377</v>
      </c>
      <c r="J130" s="17">
        <f>+Tabla132112418[[#This Row],[CANTIDAD TOTAL]]*Tabla132112418[[#This Row],[PRECIO UNITARIO ESTIMADO]]</f>
        <v>0</v>
      </c>
      <c r="K130" s="17"/>
      <c r="L130" s="16" t="s">
        <v>27</v>
      </c>
      <c r="M130" s="16" t="s">
        <v>22</v>
      </c>
      <c r="N130" s="39" t="s">
        <v>418</v>
      </c>
    </row>
    <row r="131" spans="1:14" s="12" customFormat="1" ht="18">
      <c r="A131" s="180" t="s">
        <v>62</v>
      </c>
      <c r="B131" s="75" t="s">
        <v>1179</v>
      </c>
      <c r="C131" s="39" t="s">
        <v>17</v>
      </c>
      <c r="D131" s="236"/>
      <c r="E131" s="236"/>
      <c r="F131" s="236"/>
      <c r="G131" s="236"/>
      <c r="H131" s="40">
        <f>SUM(Tabla132112418[[#This Row],[PRIMER TRIMESTRE]:[CUARTO TRIMESTRE]])</f>
        <v>0</v>
      </c>
      <c r="I131" s="17">
        <v>350</v>
      </c>
      <c r="J131" s="17">
        <f t="shared" ref="J131:J138" si="2">+H131*I131</f>
        <v>0</v>
      </c>
      <c r="K131" s="17"/>
      <c r="L131" s="16" t="s">
        <v>27</v>
      </c>
      <c r="M131" s="16" t="s">
        <v>22</v>
      </c>
      <c r="N131" s="39" t="s">
        <v>418</v>
      </c>
    </row>
    <row r="132" spans="1:14" s="12" customFormat="1" ht="18">
      <c r="A132" s="180" t="s">
        <v>62</v>
      </c>
      <c r="B132" s="75" t="s">
        <v>1180</v>
      </c>
      <c r="C132" s="39" t="s">
        <v>17</v>
      </c>
      <c r="D132" s="236"/>
      <c r="E132" s="236"/>
      <c r="F132" s="236"/>
      <c r="G132" s="236"/>
      <c r="H132" s="40">
        <f>SUM(Tabla132112418[[#This Row],[PRIMER TRIMESTRE]:[CUARTO TRIMESTRE]])</f>
        <v>0</v>
      </c>
      <c r="I132" s="17">
        <v>350</v>
      </c>
      <c r="J132" s="17">
        <f t="shared" si="2"/>
        <v>0</v>
      </c>
      <c r="K132" s="17"/>
      <c r="L132" s="16" t="s">
        <v>27</v>
      </c>
      <c r="M132" s="16" t="s">
        <v>22</v>
      </c>
      <c r="N132" s="39" t="s">
        <v>418</v>
      </c>
    </row>
    <row r="133" spans="1:14" s="12" customFormat="1" ht="18">
      <c r="A133" s="180" t="s">
        <v>62</v>
      </c>
      <c r="B133" s="75" t="s">
        <v>1557</v>
      </c>
      <c r="C133" s="39" t="s">
        <v>17</v>
      </c>
      <c r="D133" s="236"/>
      <c r="E133" s="236"/>
      <c r="F133" s="236"/>
      <c r="G133" s="236"/>
      <c r="H133" s="40">
        <f>SUM(Tabla132112418[[#This Row],[PRIMER TRIMESTRE]:[CUARTO TRIMESTRE]])</f>
        <v>0</v>
      </c>
      <c r="I133" s="17">
        <v>220.66</v>
      </c>
      <c r="J133" s="17">
        <f t="shared" si="2"/>
        <v>0</v>
      </c>
      <c r="K133" s="17"/>
      <c r="L133" s="16" t="s">
        <v>27</v>
      </c>
      <c r="M133" s="16" t="s">
        <v>22</v>
      </c>
      <c r="N133" s="39" t="s">
        <v>418</v>
      </c>
    </row>
    <row r="134" spans="1:14" s="12" customFormat="1" ht="18">
      <c r="A134" s="180" t="s">
        <v>62</v>
      </c>
      <c r="B134" s="75" t="s">
        <v>1558</v>
      </c>
      <c r="C134" s="39" t="s">
        <v>17</v>
      </c>
      <c r="D134" s="236"/>
      <c r="E134" s="236"/>
      <c r="F134" s="236"/>
      <c r="G134" s="236"/>
      <c r="H134" s="40">
        <f>SUM(Tabla132112418[[#This Row],[PRIMER TRIMESTRE]:[CUARTO TRIMESTRE]])</f>
        <v>0</v>
      </c>
      <c r="I134" s="17">
        <v>353.52</v>
      </c>
      <c r="J134" s="17">
        <f t="shared" si="2"/>
        <v>0</v>
      </c>
      <c r="K134" s="17"/>
      <c r="L134" s="16" t="s">
        <v>27</v>
      </c>
      <c r="M134" s="16" t="s">
        <v>22</v>
      </c>
      <c r="N134" s="39" t="s">
        <v>418</v>
      </c>
    </row>
    <row r="135" spans="1:14" s="12" customFormat="1" ht="18">
      <c r="A135" s="180" t="s">
        <v>62</v>
      </c>
      <c r="B135" s="75" t="s">
        <v>1560</v>
      </c>
      <c r="C135" s="39" t="s">
        <v>17</v>
      </c>
      <c r="D135" s="236"/>
      <c r="E135" s="236"/>
      <c r="F135" s="236"/>
      <c r="G135" s="236"/>
      <c r="H135" s="40">
        <f>SUM(Tabla132112418[[#This Row],[PRIMER TRIMESTRE]:[CUARTO TRIMESTRE]])</f>
        <v>0</v>
      </c>
      <c r="I135" s="17">
        <v>147.30000000000001</v>
      </c>
      <c r="J135" s="17">
        <f t="shared" si="2"/>
        <v>0</v>
      </c>
      <c r="K135" s="17"/>
      <c r="L135" s="16" t="s">
        <v>27</v>
      </c>
      <c r="M135" s="16" t="s">
        <v>22</v>
      </c>
      <c r="N135" s="39" t="s">
        <v>418</v>
      </c>
    </row>
    <row r="136" spans="1:14" s="12" customFormat="1" ht="18">
      <c r="A136" s="180" t="s">
        <v>62</v>
      </c>
      <c r="B136" s="75" t="s">
        <v>1559</v>
      </c>
      <c r="C136" s="39" t="s">
        <v>17</v>
      </c>
      <c r="D136" s="236"/>
      <c r="E136" s="236"/>
      <c r="F136" s="236"/>
      <c r="G136" s="236"/>
      <c r="H136" s="40">
        <f>SUM(Tabla132112418[[#This Row],[PRIMER TRIMESTRE]:[CUARTO TRIMESTRE]])</f>
        <v>0</v>
      </c>
      <c r="I136" s="17">
        <v>6490.63</v>
      </c>
      <c r="J136" s="17">
        <f t="shared" si="2"/>
        <v>0</v>
      </c>
      <c r="K136" s="17"/>
      <c r="L136" s="16" t="s">
        <v>27</v>
      </c>
      <c r="M136" s="16" t="s">
        <v>22</v>
      </c>
      <c r="N136" s="39" t="s">
        <v>418</v>
      </c>
    </row>
    <row r="137" spans="1:14" s="12" customFormat="1" ht="18">
      <c r="A137" s="180" t="s">
        <v>62</v>
      </c>
      <c r="B137" s="75" t="s">
        <v>1554</v>
      </c>
      <c r="C137" s="39" t="s">
        <v>17</v>
      </c>
      <c r="D137" s="236"/>
      <c r="E137" s="236"/>
      <c r="F137" s="236"/>
      <c r="G137" s="236"/>
      <c r="H137" s="40">
        <f>SUM(Tabla132112418[[#This Row],[PRIMER TRIMESTRE]:[CUARTO TRIMESTRE]])</f>
        <v>0</v>
      </c>
      <c r="I137" s="17">
        <v>597.1</v>
      </c>
      <c r="J137" s="17">
        <f t="shared" si="2"/>
        <v>0</v>
      </c>
      <c r="K137" s="17"/>
      <c r="L137" s="16" t="s">
        <v>27</v>
      </c>
      <c r="M137" s="16" t="s">
        <v>22</v>
      </c>
      <c r="N137" s="39" t="s">
        <v>418</v>
      </c>
    </row>
    <row r="138" spans="1:14" s="12" customFormat="1" ht="18">
      <c r="A138" s="180" t="s">
        <v>62</v>
      </c>
      <c r="B138" s="75" t="s">
        <v>923</v>
      </c>
      <c r="C138" s="39" t="s">
        <v>17</v>
      </c>
      <c r="D138" s="236"/>
      <c r="E138" s="236"/>
      <c r="F138" s="236"/>
      <c r="G138" s="236"/>
      <c r="H138" s="40">
        <f>SUM(Tabla132112418[[#This Row],[PRIMER TRIMESTRE]:[CUARTO TRIMESTRE]])</f>
        <v>0</v>
      </c>
      <c r="I138" s="17">
        <v>5000</v>
      </c>
      <c r="J138" s="17">
        <f t="shared" si="2"/>
        <v>0</v>
      </c>
      <c r="K138" s="17"/>
      <c r="L138" s="16" t="s">
        <v>27</v>
      </c>
      <c r="M138" s="16" t="s">
        <v>22</v>
      </c>
      <c r="N138" s="39" t="s">
        <v>418</v>
      </c>
    </row>
    <row r="139" spans="1:14" s="12" customFormat="1" ht="18">
      <c r="A139" s="180" t="s">
        <v>62</v>
      </c>
      <c r="B139" s="77" t="s">
        <v>437</v>
      </c>
      <c r="C139" s="70" t="s">
        <v>17</v>
      </c>
      <c r="D139" s="210"/>
      <c r="E139" s="210"/>
      <c r="F139" s="210"/>
      <c r="G139" s="210"/>
      <c r="H139" s="406">
        <f>SUM(Tabla132112418[[#This Row],[PRIMER TRIMESTRE]:[CUARTO TRIMESTRE]])</f>
        <v>0</v>
      </c>
      <c r="I139" s="17">
        <v>125</v>
      </c>
      <c r="J139" s="17">
        <f>+Tabla132112418[[#This Row],[CANTIDAD TOTAL]]*Tabla132112418[[#This Row],[PRECIO UNITARIO ESTIMADO]]</f>
        <v>0</v>
      </c>
      <c r="K139" s="17"/>
      <c r="L139" s="16" t="s">
        <v>27</v>
      </c>
      <c r="M139" s="16" t="s">
        <v>22</v>
      </c>
      <c r="N139" s="39" t="s">
        <v>418</v>
      </c>
    </row>
    <row r="140" spans="1:14" s="12" customFormat="1" ht="18">
      <c r="A140" s="180" t="s">
        <v>62</v>
      </c>
      <c r="B140" s="77" t="s">
        <v>438</v>
      </c>
      <c r="C140" s="70" t="s">
        <v>17</v>
      </c>
      <c r="D140" s="210"/>
      <c r="E140" s="210"/>
      <c r="F140" s="210"/>
      <c r="G140" s="210"/>
      <c r="H140" s="406">
        <f>SUM(Tabla132112418[[#This Row],[PRIMER TRIMESTRE]:[CUARTO TRIMESTRE]])</f>
        <v>0</v>
      </c>
      <c r="I140" s="17">
        <v>80</v>
      </c>
      <c r="J140" s="17">
        <f>+Tabla132112418[[#This Row],[CANTIDAD TOTAL]]*Tabla132112418[[#This Row],[PRECIO UNITARIO ESTIMADO]]</f>
        <v>0</v>
      </c>
      <c r="K140" s="17"/>
      <c r="L140" s="16" t="s">
        <v>27</v>
      </c>
      <c r="M140" s="16" t="s">
        <v>22</v>
      </c>
      <c r="N140" s="39" t="s">
        <v>418</v>
      </c>
    </row>
    <row r="141" spans="1:14" s="12" customFormat="1" ht="18">
      <c r="A141" s="180" t="s">
        <v>62</v>
      </c>
      <c r="B141" s="77" t="s">
        <v>430</v>
      </c>
      <c r="C141" s="70" t="s">
        <v>17</v>
      </c>
      <c r="D141" s="210"/>
      <c r="E141" s="210"/>
      <c r="F141" s="210"/>
      <c r="G141" s="210"/>
      <c r="H141" s="406">
        <f>SUM(Tabla132112418[[#This Row],[PRIMER TRIMESTRE]:[CUARTO TRIMESTRE]])</f>
        <v>0</v>
      </c>
      <c r="I141" s="17">
        <v>46.8</v>
      </c>
      <c r="J141" s="17">
        <f>+Tabla132112418[[#This Row],[CANTIDAD TOTAL]]*Tabla132112418[[#This Row],[PRECIO UNITARIO ESTIMADO]]</f>
        <v>0</v>
      </c>
      <c r="K141" s="17"/>
      <c r="L141" s="16" t="s">
        <v>27</v>
      </c>
      <c r="M141" s="16" t="s">
        <v>22</v>
      </c>
      <c r="N141" s="39" t="s">
        <v>418</v>
      </c>
    </row>
    <row r="142" spans="1:14" s="12" customFormat="1" ht="18">
      <c r="A142" s="180" t="s">
        <v>62</v>
      </c>
      <c r="B142" s="77" t="s">
        <v>139</v>
      </c>
      <c r="C142" s="70" t="s">
        <v>17</v>
      </c>
      <c r="D142" s="210"/>
      <c r="E142" s="210"/>
      <c r="F142" s="210"/>
      <c r="G142" s="210"/>
      <c r="H142" s="406">
        <f>SUM(Tabla132112418[[#This Row],[PRIMER TRIMESTRE]:[CUARTO TRIMESTRE]])</f>
        <v>0</v>
      </c>
      <c r="I142" s="17">
        <v>180</v>
      </c>
      <c r="J142" s="17">
        <f>+Tabla132112418[[#This Row],[CANTIDAD TOTAL]]*Tabla132112418[[#This Row],[PRECIO UNITARIO ESTIMADO]]</f>
        <v>0</v>
      </c>
      <c r="K142" s="17"/>
      <c r="L142" s="16" t="s">
        <v>27</v>
      </c>
      <c r="M142" s="16" t="s">
        <v>22</v>
      </c>
      <c r="N142" s="39" t="s">
        <v>418</v>
      </c>
    </row>
    <row r="143" spans="1:14" s="12" customFormat="1" ht="18">
      <c r="A143" s="180" t="s">
        <v>62</v>
      </c>
      <c r="B143" s="75" t="s">
        <v>1170</v>
      </c>
      <c r="C143" s="39" t="s">
        <v>1162</v>
      </c>
      <c r="D143" s="236"/>
      <c r="E143" s="236"/>
      <c r="F143" s="236"/>
      <c r="G143" s="236"/>
      <c r="H143" s="40">
        <f>SUM(Tabla132112418[[#This Row],[PRIMER TRIMESTRE]:[CUARTO TRIMESTRE]])</f>
        <v>0</v>
      </c>
      <c r="I143" s="17">
        <v>11000</v>
      </c>
      <c r="J143" s="17">
        <f>+H143*I143</f>
        <v>0</v>
      </c>
      <c r="K143" s="17"/>
      <c r="L143" s="16" t="s">
        <v>27</v>
      </c>
      <c r="M143" s="16" t="s">
        <v>22</v>
      </c>
      <c r="N143" s="39" t="s">
        <v>418</v>
      </c>
    </row>
    <row r="144" spans="1:14" s="169" customFormat="1" ht="18">
      <c r="A144" s="180" t="s">
        <v>62</v>
      </c>
      <c r="B144" s="75" t="s">
        <v>1171</v>
      </c>
      <c r="C144" s="39" t="s">
        <v>1162</v>
      </c>
      <c r="D144" s="236"/>
      <c r="E144" s="236"/>
      <c r="F144" s="236"/>
      <c r="G144" s="236"/>
      <c r="H144" s="40">
        <f>SUM(Tabla132112418[[#This Row],[PRIMER TRIMESTRE]:[CUARTO TRIMESTRE]])</f>
        <v>0</v>
      </c>
      <c r="I144" s="17">
        <v>11000</v>
      </c>
      <c r="J144" s="17">
        <f>+H144*I144</f>
        <v>0</v>
      </c>
      <c r="K144" s="17"/>
      <c r="L144" s="16" t="s">
        <v>27</v>
      </c>
      <c r="M144" s="16" t="s">
        <v>22</v>
      </c>
      <c r="N144" s="39" t="s">
        <v>418</v>
      </c>
    </row>
    <row r="145" spans="1:14" s="169" customFormat="1" ht="18">
      <c r="A145" s="180" t="s">
        <v>62</v>
      </c>
      <c r="B145" s="75" t="s">
        <v>1344</v>
      </c>
      <c r="C145" s="70" t="s">
        <v>17</v>
      </c>
      <c r="D145" s="236"/>
      <c r="E145" s="236"/>
      <c r="F145" s="236"/>
      <c r="G145" s="236"/>
      <c r="H145" s="40">
        <f>SUM(Tabla132112418[[#This Row],[PRIMER TRIMESTRE]:[CUARTO TRIMESTRE]])</f>
        <v>0</v>
      </c>
      <c r="I145" s="17">
        <v>29.5</v>
      </c>
      <c r="J145" s="17">
        <f>+H145*I145</f>
        <v>0</v>
      </c>
      <c r="K145" s="17"/>
      <c r="L145" s="16" t="s">
        <v>27</v>
      </c>
      <c r="M145" s="16" t="s">
        <v>22</v>
      </c>
      <c r="N145" s="39" t="s">
        <v>418</v>
      </c>
    </row>
    <row r="146" spans="1:14" s="12" customFormat="1" ht="18">
      <c r="A146" s="180" t="s">
        <v>62</v>
      </c>
      <c r="B146" s="75" t="s">
        <v>1710</v>
      </c>
      <c r="C146" s="70" t="s">
        <v>17</v>
      </c>
      <c r="D146" s="236"/>
      <c r="E146" s="236"/>
      <c r="F146" s="236"/>
      <c r="G146" s="236"/>
      <c r="H146" s="40">
        <v>0</v>
      </c>
      <c r="I146" s="17">
        <v>0</v>
      </c>
      <c r="J146" s="17">
        <v>0</v>
      </c>
      <c r="K146" s="17"/>
      <c r="L146" s="16" t="s">
        <v>27</v>
      </c>
      <c r="M146" s="16" t="s">
        <v>22</v>
      </c>
      <c r="N146" s="70" t="s">
        <v>418</v>
      </c>
    </row>
    <row r="147" spans="1:14" s="12" customFormat="1" ht="18">
      <c r="A147" s="180" t="s">
        <v>62</v>
      </c>
      <c r="B147" s="77" t="s">
        <v>107</v>
      </c>
      <c r="C147" s="70" t="s">
        <v>17</v>
      </c>
      <c r="D147" s="210"/>
      <c r="E147" s="210"/>
      <c r="F147" s="210"/>
      <c r="G147" s="210"/>
      <c r="H147" s="406">
        <f>SUM(Tabla132112418[[#This Row],[PRIMER TRIMESTRE]:[CUARTO TRIMESTRE]])</f>
        <v>0</v>
      </c>
      <c r="I147" s="72">
        <v>86.24</v>
      </c>
      <c r="J147" s="72">
        <f>+Tabla132112418[[#This Row],[CANTIDAD TOTAL]]*Tabla132112418[[#This Row],[PRECIO UNITARIO ESTIMADO]]</f>
        <v>0</v>
      </c>
      <c r="K147" s="72"/>
      <c r="L147" s="16" t="s">
        <v>27</v>
      </c>
      <c r="M147" s="16" t="s">
        <v>22</v>
      </c>
      <c r="N147" s="70" t="s">
        <v>418</v>
      </c>
    </row>
    <row r="148" spans="1:14" s="12" customFormat="1" ht="18">
      <c r="A148" s="180" t="s">
        <v>62</v>
      </c>
      <c r="B148" s="77" t="s">
        <v>598</v>
      </c>
      <c r="C148" s="70" t="s">
        <v>17</v>
      </c>
      <c r="D148" s="210"/>
      <c r="E148" s="210"/>
      <c r="F148" s="210"/>
      <c r="G148" s="210"/>
      <c r="H148" s="406">
        <f>SUM(Tabla132112418[[#This Row],[PRIMER TRIMESTRE]:[CUARTO TRIMESTRE]])</f>
        <v>0</v>
      </c>
      <c r="I148" s="17">
        <v>153.05000000000001</v>
      </c>
      <c r="J148" s="17">
        <f>+Tabla132112418[[#This Row],[CANTIDAD TOTAL]]*Tabla132112418[[#This Row],[PRECIO UNITARIO ESTIMADO]]</f>
        <v>0</v>
      </c>
      <c r="K148" s="17"/>
      <c r="L148" s="16" t="s">
        <v>27</v>
      </c>
      <c r="M148" s="16" t="s">
        <v>22</v>
      </c>
      <c r="N148" s="39" t="s">
        <v>418</v>
      </c>
    </row>
    <row r="149" spans="1:14" s="12" customFormat="1" ht="18">
      <c r="A149" s="180" t="s">
        <v>62</v>
      </c>
      <c r="B149" s="77" t="s">
        <v>599</v>
      </c>
      <c r="C149" s="70" t="s">
        <v>17</v>
      </c>
      <c r="D149" s="210"/>
      <c r="E149" s="210"/>
      <c r="F149" s="210"/>
      <c r="G149" s="210"/>
      <c r="H149" s="406">
        <f>SUM(Tabla132112418[[#This Row],[PRIMER TRIMESTRE]:[CUARTO TRIMESTRE]])</f>
        <v>0</v>
      </c>
      <c r="I149" s="17">
        <v>72.88</v>
      </c>
      <c r="J149" s="17">
        <f>+H149*I149</f>
        <v>0</v>
      </c>
      <c r="K149" s="17"/>
      <c r="L149" s="16" t="s">
        <v>27</v>
      </c>
      <c r="M149" s="16" t="s">
        <v>22</v>
      </c>
      <c r="N149" s="39" t="s">
        <v>418</v>
      </c>
    </row>
    <row r="150" spans="1:14" s="12" customFormat="1" ht="18">
      <c r="A150" s="180" t="s">
        <v>62</v>
      </c>
      <c r="B150" s="77" t="s">
        <v>600</v>
      </c>
      <c r="C150" s="70" t="s">
        <v>17</v>
      </c>
      <c r="D150" s="210"/>
      <c r="E150" s="210"/>
      <c r="F150" s="210"/>
      <c r="G150" s="210"/>
      <c r="H150" s="406">
        <f>SUM(Tabla132112418[[#This Row],[PRIMER TRIMESTRE]:[CUARTO TRIMESTRE]])</f>
        <v>0</v>
      </c>
      <c r="I150" s="17">
        <v>86</v>
      </c>
      <c r="J150" s="17">
        <f>+Tabla132112418[[#This Row],[CANTIDAD TOTAL]]*Tabla132112418[[#This Row],[PRECIO UNITARIO ESTIMADO]]</f>
        <v>0</v>
      </c>
      <c r="K150" s="17"/>
      <c r="L150" s="16" t="s">
        <v>27</v>
      </c>
      <c r="M150" s="16" t="s">
        <v>22</v>
      </c>
      <c r="N150" s="39" t="s">
        <v>418</v>
      </c>
    </row>
    <row r="151" spans="1:14" s="12" customFormat="1" ht="18">
      <c r="A151" s="180" t="s">
        <v>62</v>
      </c>
      <c r="B151" s="77" t="s">
        <v>601</v>
      </c>
      <c r="C151" s="70" t="s">
        <v>17</v>
      </c>
      <c r="D151" s="210"/>
      <c r="E151" s="210"/>
      <c r="F151" s="210"/>
      <c r="G151" s="210"/>
      <c r="H151" s="406">
        <f>SUM(Tabla132112418[[#This Row],[PRIMER TRIMESTRE]:[CUARTO TRIMESTRE]])</f>
        <v>0</v>
      </c>
      <c r="I151" s="17">
        <v>158.88</v>
      </c>
      <c r="J151" s="17">
        <f>+H151*I151</f>
        <v>0</v>
      </c>
      <c r="K151" s="17"/>
      <c r="L151" s="16" t="s">
        <v>27</v>
      </c>
      <c r="M151" s="16" t="s">
        <v>22</v>
      </c>
      <c r="N151" s="39" t="s">
        <v>418</v>
      </c>
    </row>
    <row r="152" spans="1:14" s="12" customFormat="1" ht="18">
      <c r="A152" s="180" t="s">
        <v>62</v>
      </c>
      <c r="B152" s="75" t="s">
        <v>1160</v>
      </c>
      <c r="C152" s="39" t="s">
        <v>1162</v>
      </c>
      <c r="D152" s="236"/>
      <c r="E152" s="236"/>
      <c r="F152" s="236"/>
      <c r="G152" s="236"/>
      <c r="H152" s="40">
        <f>SUM(Tabla132112418[[#This Row],[PRIMER TRIMESTRE]:[CUARTO TRIMESTRE]])</f>
        <v>0</v>
      </c>
      <c r="I152" s="17">
        <v>2000</v>
      </c>
      <c r="J152" s="17">
        <f>+H152*I152</f>
        <v>0</v>
      </c>
      <c r="K152" s="17"/>
      <c r="L152" s="16" t="s">
        <v>27</v>
      </c>
      <c r="M152" s="16" t="s">
        <v>22</v>
      </c>
      <c r="N152" s="39" t="s">
        <v>418</v>
      </c>
    </row>
    <row r="153" spans="1:14" s="12" customFormat="1" ht="18">
      <c r="A153" s="180" t="s">
        <v>62</v>
      </c>
      <c r="B153" s="75" t="s">
        <v>1161</v>
      </c>
      <c r="C153" s="39" t="s">
        <v>1162</v>
      </c>
      <c r="D153" s="236"/>
      <c r="E153" s="236"/>
      <c r="F153" s="236"/>
      <c r="G153" s="236"/>
      <c r="H153" s="40">
        <f>SUM(Tabla132112418[[#This Row],[PRIMER TRIMESTRE]:[CUARTO TRIMESTRE]])</f>
        <v>0</v>
      </c>
      <c r="I153" s="17">
        <v>2000</v>
      </c>
      <c r="J153" s="17">
        <f>+H153*I153</f>
        <v>0</v>
      </c>
      <c r="K153" s="17"/>
      <c r="L153" s="16" t="s">
        <v>27</v>
      </c>
      <c r="M153" s="16" t="s">
        <v>22</v>
      </c>
      <c r="N153" s="39" t="s">
        <v>418</v>
      </c>
    </row>
    <row r="154" spans="1:14" s="12" customFormat="1" ht="18">
      <c r="A154" s="180" t="s">
        <v>62</v>
      </c>
      <c r="B154" s="75" t="s">
        <v>1849</v>
      </c>
      <c r="C154" s="39" t="s">
        <v>17</v>
      </c>
      <c r="D154" s="236"/>
      <c r="E154" s="236"/>
      <c r="F154" s="236"/>
      <c r="G154" s="236"/>
      <c r="H154" s="40">
        <v>0</v>
      </c>
      <c r="I154" s="17">
        <v>0</v>
      </c>
      <c r="J154" s="17">
        <v>0</v>
      </c>
      <c r="K154" s="17"/>
      <c r="L154" s="16" t="s">
        <v>27</v>
      </c>
      <c r="M154" s="16" t="s">
        <v>22</v>
      </c>
      <c r="N154" s="39" t="s">
        <v>418</v>
      </c>
    </row>
    <row r="155" spans="1:14" s="12" customFormat="1" ht="18">
      <c r="A155" s="180" t="s">
        <v>62</v>
      </c>
      <c r="B155" s="77" t="s">
        <v>1705</v>
      </c>
      <c r="C155" s="70" t="s">
        <v>17</v>
      </c>
      <c r="D155" s="236"/>
      <c r="E155" s="236"/>
      <c r="F155" s="236"/>
      <c r="G155" s="236"/>
      <c r="H155" s="40">
        <v>0</v>
      </c>
      <c r="I155" s="17">
        <v>0</v>
      </c>
      <c r="J155" s="17">
        <v>0</v>
      </c>
      <c r="K155" s="17"/>
      <c r="L155" s="16" t="s">
        <v>27</v>
      </c>
      <c r="M155" s="16" t="s">
        <v>22</v>
      </c>
      <c r="N155" s="39" t="s">
        <v>418</v>
      </c>
    </row>
    <row r="156" spans="1:14" s="12" customFormat="1" ht="18">
      <c r="A156" s="180" t="s">
        <v>62</v>
      </c>
      <c r="B156" s="77" t="s">
        <v>144</v>
      </c>
      <c r="C156" s="70" t="s">
        <v>17</v>
      </c>
      <c r="D156" s="210"/>
      <c r="E156" s="210"/>
      <c r="F156" s="210"/>
      <c r="G156" s="210"/>
      <c r="H156" s="406">
        <f>SUM(Tabla132112418[[#This Row],[PRIMER TRIMESTRE]:[CUARTO TRIMESTRE]])</f>
        <v>0</v>
      </c>
      <c r="I156" s="17">
        <v>62.87</v>
      </c>
      <c r="J156" s="17">
        <f>+Tabla132112418[[#This Row],[CANTIDAD TOTAL]]*Tabla132112418[[#This Row],[PRECIO UNITARIO ESTIMADO]]</f>
        <v>0</v>
      </c>
      <c r="K156" s="17"/>
      <c r="L156" s="16" t="s">
        <v>27</v>
      </c>
      <c r="M156" s="16" t="s">
        <v>22</v>
      </c>
      <c r="N156" s="39" t="s">
        <v>418</v>
      </c>
    </row>
    <row r="157" spans="1:14" s="12" customFormat="1" ht="18">
      <c r="A157" s="180" t="s">
        <v>62</v>
      </c>
      <c r="B157" s="77" t="s">
        <v>1707</v>
      </c>
      <c r="C157" s="70" t="s">
        <v>17</v>
      </c>
      <c r="D157" s="210"/>
      <c r="E157" s="210"/>
      <c r="F157" s="210"/>
      <c r="G157" s="210"/>
      <c r="H157" s="406">
        <v>0</v>
      </c>
      <c r="I157" s="17">
        <v>0</v>
      </c>
      <c r="J157" s="17">
        <v>0</v>
      </c>
      <c r="K157" s="17"/>
      <c r="L157" s="16" t="s">
        <v>27</v>
      </c>
      <c r="M157" s="16" t="s">
        <v>22</v>
      </c>
      <c r="N157" s="39" t="s">
        <v>418</v>
      </c>
    </row>
    <row r="158" spans="1:14" s="12" customFormat="1" ht="18">
      <c r="A158" s="180" t="s">
        <v>62</v>
      </c>
      <c r="B158" s="77" t="s">
        <v>1708</v>
      </c>
      <c r="C158" s="70" t="s">
        <v>17</v>
      </c>
      <c r="D158" s="210"/>
      <c r="E158" s="210"/>
      <c r="F158" s="210"/>
      <c r="G158" s="210"/>
      <c r="H158" s="406">
        <v>0</v>
      </c>
      <c r="I158" s="17">
        <v>0</v>
      </c>
      <c r="J158" s="17">
        <v>0</v>
      </c>
      <c r="K158" s="17"/>
      <c r="L158" s="16" t="s">
        <v>27</v>
      </c>
      <c r="M158" s="16" t="s">
        <v>22</v>
      </c>
      <c r="N158" s="39" t="s">
        <v>418</v>
      </c>
    </row>
    <row r="159" spans="1:14" s="12" customFormat="1" ht="18">
      <c r="A159" s="180" t="s">
        <v>62</v>
      </c>
      <c r="B159" s="75" t="s">
        <v>1172</v>
      </c>
      <c r="C159" s="39" t="s">
        <v>1162</v>
      </c>
      <c r="D159" s="236"/>
      <c r="E159" s="236"/>
      <c r="F159" s="236"/>
      <c r="G159" s="236"/>
      <c r="H159" s="40">
        <f>SUM(Tabla132112418[[#This Row],[PRIMER TRIMESTRE]:[CUARTO TRIMESTRE]])</f>
        <v>0</v>
      </c>
      <c r="I159" s="17">
        <v>7800</v>
      </c>
      <c r="J159" s="17">
        <f t="shared" ref="J159:J168" si="3">+H159*I159</f>
        <v>0</v>
      </c>
      <c r="K159" s="17"/>
      <c r="L159" s="16" t="s">
        <v>27</v>
      </c>
      <c r="M159" s="16" t="s">
        <v>22</v>
      </c>
      <c r="N159" s="39" t="s">
        <v>418</v>
      </c>
    </row>
    <row r="160" spans="1:14" s="12" customFormat="1" ht="18">
      <c r="A160" s="180" t="s">
        <v>62</v>
      </c>
      <c r="B160" s="75" t="s">
        <v>1173</v>
      </c>
      <c r="C160" s="39" t="s">
        <v>1162</v>
      </c>
      <c r="D160" s="236"/>
      <c r="E160" s="236"/>
      <c r="F160" s="236"/>
      <c r="G160" s="236"/>
      <c r="H160" s="40">
        <f>SUM(Tabla132112418[[#This Row],[PRIMER TRIMESTRE]:[CUARTO TRIMESTRE]])</f>
        <v>0</v>
      </c>
      <c r="I160" s="17">
        <v>7800</v>
      </c>
      <c r="J160" s="17">
        <f t="shared" si="3"/>
        <v>0</v>
      </c>
      <c r="K160" s="17"/>
      <c r="L160" s="16" t="s">
        <v>27</v>
      </c>
      <c r="M160" s="16" t="s">
        <v>22</v>
      </c>
      <c r="N160" s="39" t="s">
        <v>418</v>
      </c>
    </row>
    <row r="161" spans="1:14" s="12" customFormat="1" ht="18">
      <c r="A161" s="180" t="s">
        <v>62</v>
      </c>
      <c r="B161" s="75" t="s">
        <v>1174</v>
      </c>
      <c r="C161" s="39" t="s">
        <v>17</v>
      </c>
      <c r="D161" s="236"/>
      <c r="E161" s="236"/>
      <c r="F161" s="236"/>
      <c r="G161" s="236"/>
      <c r="H161" s="40">
        <f>SUM(Tabla132112418[[#This Row],[PRIMER TRIMESTRE]:[CUARTO TRIMESTRE]])</f>
        <v>0</v>
      </c>
      <c r="I161" s="17">
        <v>5500</v>
      </c>
      <c r="J161" s="17">
        <f t="shared" si="3"/>
        <v>0</v>
      </c>
      <c r="K161" s="17"/>
      <c r="L161" s="16" t="s">
        <v>27</v>
      </c>
      <c r="M161" s="16" t="s">
        <v>22</v>
      </c>
      <c r="N161" s="39" t="s">
        <v>418</v>
      </c>
    </row>
    <row r="162" spans="1:14" s="12" customFormat="1" ht="18">
      <c r="A162" s="180" t="s">
        <v>62</v>
      </c>
      <c r="B162" s="75" t="s">
        <v>1175</v>
      </c>
      <c r="C162" s="39" t="s">
        <v>17</v>
      </c>
      <c r="D162" s="236"/>
      <c r="E162" s="236"/>
      <c r="F162" s="236"/>
      <c r="G162" s="236"/>
      <c r="H162" s="40">
        <f>SUM(Tabla132112418[[#This Row],[PRIMER TRIMESTRE]:[CUARTO TRIMESTRE]])</f>
        <v>0</v>
      </c>
      <c r="I162" s="17">
        <v>7000</v>
      </c>
      <c r="J162" s="17">
        <f t="shared" si="3"/>
        <v>0</v>
      </c>
      <c r="K162" s="17"/>
      <c r="L162" s="16" t="s">
        <v>27</v>
      </c>
      <c r="M162" s="16" t="s">
        <v>22</v>
      </c>
      <c r="N162" s="39" t="s">
        <v>418</v>
      </c>
    </row>
    <row r="163" spans="1:14" s="12" customFormat="1" ht="18">
      <c r="A163" s="180" t="s">
        <v>62</v>
      </c>
      <c r="B163" s="75" t="s">
        <v>1176</v>
      </c>
      <c r="C163" s="39" t="s">
        <v>17</v>
      </c>
      <c r="D163" s="236"/>
      <c r="E163" s="236"/>
      <c r="F163" s="236"/>
      <c r="G163" s="236"/>
      <c r="H163" s="40">
        <f>SUM(Tabla132112418[[#This Row],[PRIMER TRIMESTRE]:[CUARTO TRIMESTRE]])</f>
        <v>0</v>
      </c>
      <c r="I163" s="17">
        <v>9000</v>
      </c>
      <c r="J163" s="17">
        <f t="shared" si="3"/>
        <v>0</v>
      </c>
      <c r="K163" s="17"/>
      <c r="L163" s="16" t="s">
        <v>27</v>
      </c>
      <c r="M163" s="16" t="s">
        <v>22</v>
      </c>
      <c r="N163" s="39" t="s">
        <v>418</v>
      </c>
    </row>
    <row r="164" spans="1:14" s="12" customFormat="1" ht="18">
      <c r="A164" s="180" t="s">
        <v>62</v>
      </c>
      <c r="B164" s="75" t="s">
        <v>1177</v>
      </c>
      <c r="C164" s="39" t="s">
        <v>17</v>
      </c>
      <c r="D164" s="236"/>
      <c r="E164" s="236"/>
      <c r="F164" s="236"/>
      <c r="G164" s="236"/>
      <c r="H164" s="40">
        <f>SUM(Tabla132112418[[#This Row],[PRIMER TRIMESTRE]:[CUARTO TRIMESTRE]])</f>
        <v>0</v>
      </c>
      <c r="I164" s="17">
        <v>11600</v>
      </c>
      <c r="J164" s="17">
        <f t="shared" si="3"/>
        <v>0</v>
      </c>
      <c r="K164" s="17"/>
      <c r="L164" s="16" t="s">
        <v>27</v>
      </c>
      <c r="M164" s="16" t="s">
        <v>22</v>
      </c>
      <c r="N164" s="39" t="s">
        <v>418</v>
      </c>
    </row>
    <row r="165" spans="1:14" s="12" customFormat="1" ht="18">
      <c r="A165" s="180" t="s">
        <v>62</v>
      </c>
      <c r="B165" s="75" t="s">
        <v>1178</v>
      </c>
      <c r="C165" s="39" t="s">
        <v>17</v>
      </c>
      <c r="D165" s="236"/>
      <c r="E165" s="236"/>
      <c r="F165" s="236"/>
      <c r="G165" s="236"/>
      <c r="H165" s="40">
        <f>SUM(Tabla132112418[[#This Row],[PRIMER TRIMESTRE]:[CUARTO TRIMESTRE]])</f>
        <v>0</v>
      </c>
      <c r="I165" s="17">
        <v>11600</v>
      </c>
      <c r="J165" s="17">
        <f t="shared" si="3"/>
        <v>0</v>
      </c>
      <c r="K165" s="17"/>
      <c r="L165" s="16" t="s">
        <v>27</v>
      </c>
      <c r="M165" s="16" t="s">
        <v>22</v>
      </c>
      <c r="N165" s="39" t="s">
        <v>418</v>
      </c>
    </row>
    <row r="166" spans="1:14" s="12" customFormat="1" ht="18">
      <c r="A166" s="180" t="s">
        <v>62</v>
      </c>
      <c r="B166" s="75" t="s">
        <v>1163</v>
      </c>
      <c r="C166" s="39" t="s">
        <v>17</v>
      </c>
      <c r="D166" s="236"/>
      <c r="E166" s="236"/>
      <c r="F166" s="236"/>
      <c r="G166" s="236"/>
      <c r="H166" s="40">
        <f>SUM(Tabla132112418[[#This Row],[PRIMER TRIMESTRE]:[CUARTO TRIMESTRE]])</f>
        <v>0</v>
      </c>
      <c r="I166" s="17">
        <v>400</v>
      </c>
      <c r="J166" s="17">
        <f t="shared" si="3"/>
        <v>0</v>
      </c>
      <c r="K166" s="17"/>
      <c r="L166" s="16" t="s">
        <v>27</v>
      </c>
      <c r="M166" s="16" t="s">
        <v>22</v>
      </c>
      <c r="N166" s="39" t="s">
        <v>418</v>
      </c>
    </row>
    <row r="167" spans="1:14" s="12" customFormat="1" ht="18">
      <c r="A167" s="180" t="s">
        <v>62</v>
      </c>
      <c r="B167" s="75" t="s">
        <v>1164</v>
      </c>
      <c r="C167" s="39" t="s">
        <v>17</v>
      </c>
      <c r="D167" s="236"/>
      <c r="E167" s="236"/>
      <c r="F167" s="236"/>
      <c r="G167" s="236"/>
      <c r="H167" s="40">
        <f>SUM(Tabla132112418[[#This Row],[PRIMER TRIMESTRE]:[CUARTO TRIMESTRE]])</f>
        <v>0</v>
      </c>
      <c r="I167" s="17">
        <v>650</v>
      </c>
      <c r="J167" s="17">
        <f t="shared" si="3"/>
        <v>0</v>
      </c>
      <c r="K167" s="17"/>
      <c r="L167" s="16" t="s">
        <v>27</v>
      </c>
      <c r="M167" s="16" t="s">
        <v>22</v>
      </c>
      <c r="N167" s="39" t="s">
        <v>418</v>
      </c>
    </row>
    <row r="168" spans="1:14" s="12" customFormat="1" ht="18">
      <c r="A168" s="180" t="s">
        <v>62</v>
      </c>
      <c r="B168" s="75" t="s">
        <v>1165</v>
      </c>
      <c r="C168" s="39" t="s">
        <v>17</v>
      </c>
      <c r="D168" s="236"/>
      <c r="E168" s="236"/>
      <c r="F168" s="236"/>
      <c r="G168" s="236"/>
      <c r="H168" s="40">
        <f>SUM(Tabla132112418[[#This Row],[PRIMER TRIMESTRE]:[CUARTO TRIMESTRE]])</f>
        <v>0</v>
      </c>
      <c r="I168" s="17">
        <v>1300</v>
      </c>
      <c r="J168" s="17">
        <f t="shared" si="3"/>
        <v>0</v>
      </c>
      <c r="K168" s="17"/>
      <c r="L168" s="16" t="s">
        <v>27</v>
      </c>
      <c r="M168" s="16" t="s">
        <v>22</v>
      </c>
      <c r="N168" s="39" t="s">
        <v>418</v>
      </c>
    </row>
    <row r="169" spans="1:14" s="12" customFormat="1" ht="18">
      <c r="A169" s="180" t="s">
        <v>62</v>
      </c>
      <c r="B169" s="77" t="s">
        <v>158</v>
      </c>
      <c r="C169" s="70" t="s">
        <v>17</v>
      </c>
      <c r="D169" s="210"/>
      <c r="E169" s="210"/>
      <c r="F169" s="210"/>
      <c r="G169" s="210"/>
      <c r="H169" s="406">
        <f>SUM(Tabla132112418[[#This Row],[PRIMER TRIMESTRE]:[CUARTO TRIMESTRE]])</f>
        <v>0</v>
      </c>
      <c r="I169" s="17">
        <v>1120</v>
      </c>
      <c r="J169" s="17">
        <f>+Tabla132112418[[#This Row],[CANTIDAD TOTAL]]*Tabla132112418[[#This Row],[PRECIO UNITARIO ESTIMADO]]</f>
        <v>0</v>
      </c>
      <c r="K169" s="17"/>
      <c r="L169" s="16" t="s">
        <v>27</v>
      </c>
      <c r="M169" s="16" t="s">
        <v>22</v>
      </c>
      <c r="N169" s="39" t="s">
        <v>418</v>
      </c>
    </row>
    <row r="170" spans="1:14" s="12" customFormat="1" ht="18">
      <c r="A170" s="180" t="s">
        <v>62</v>
      </c>
      <c r="B170" s="77" t="s">
        <v>1287</v>
      </c>
      <c r="C170" s="70" t="s">
        <v>17</v>
      </c>
      <c r="D170" s="210"/>
      <c r="E170" s="210"/>
      <c r="F170" s="210"/>
      <c r="G170" s="210"/>
      <c r="H170" s="406">
        <f>SUM(Tabla132112418[[#This Row],[PRIMER TRIMESTRE]:[CUARTO TRIMESTRE]])</f>
        <v>0</v>
      </c>
      <c r="I170" s="17">
        <v>2700</v>
      </c>
      <c r="J170" s="17">
        <f>+H170*I170</f>
        <v>0</v>
      </c>
      <c r="K170" s="17"/>
      <c r="L170" s="16" t="s">
        <v>27</v>
      </c>
      <c r="M170" s="16" t="s">
        <v>22</v>
      </c>
      <c r="N170" s="39" t="s">
        <v>418</v>
      </c>
    </row>
    <row r="171" spans="1:14" s="12" customFormat="1" ht="18">
      <c r="A171" s="180" t="s">
        <v>62</v>
      </c>
      <c r="B171" s="77" t="s">
        <v>160</v>
      </c>
      <c r="C171" s="70" t="s">
        <v>17</v>
      </c>
      <c r="D171" s="210"/>
      <c r="E171" s="210"/>
      <c r="F171" s="210"/>
      <c r="G171" s="210"/>
      <c r="H171" s="406">
        <f>SUM(Tabla132112418[[#This Row],[PRIMER TRIMESTRE]:[CUARTO TRIMESTRE]])</f>
        <v>0</v>
      </c>
      <c r="I171" s="17">
        <v>1908</v>
      </c>
      <c r="J171" s="17">
        <f>+Tabla132112418[[#This Row],[CANTIDAD TOTAL]]*Tabla132112418[[#This Row],[PRECIO UNITARIO ESTIMADO]]</f>
        <v>0</v>
      </c>
      <c r="K171" s="17"/>
      <c r="L171" s="16" t="s">
        <v>27</v>
      </c>
      <c r="M171" s="16" t="s">
        <v>22</v>
      </c>
      <c r="N171" s="39" t="s">
        <v>418</v>
      </c>
    </row>
    <row r="172" spans="1:14" s="12" customFormat="1" ht="18">
      <c r="A172" s="180" t="s">
        <v>62</v>
      </c>
      <c r="B172" s="77" t="s">
        <v>1545</v>
      </c>
      <c r="C172" s="70" t="s">
        <v>17</v>
      </c>
      <c r="D172" s="210"/>
      <c r="E172" s="210"/>
      <c r="F172" s="210"/>
      <c r="G172" s="210"/>
      <c r="H172" s="406">
        <f>SUM(Tabla132112418[[#This Row],[PRIMER TRIMESTRE]:[CUARTO TRIMESTRE]])</f>
        <v>0</v>
      </c>
      <c r="I172" s="17">
        <v>506.75</v>
      </c>
      <c r="J172" s="17">
        <f>+H172*I172</f>
        <v>0</v>
      </c>
      <c r="K172" s="17"/>
      <c r="L172" s="16" t="s">
        <v>27</v>
      </c>
      <c r="M172" s="16" t="s">
        <v>22</v>
      </c>
      <c r="N172" s="39" t="s">
        <v>418</v>
      </c>
    </row>
    <row r="173" spans="1:14" s="12" customFormat="1" ht="18">
      <c r="A173" s="180" t="s">
        <v>62</v>
      </c>
      <c r="B173" s="77" t="s">
        <v>162</v>
      </c>
      <c r="C173" s="70" t="s">
        <v>17</v>
      </c>
      <c r="D173" s="210"/>
      <c r="E173" s="210"/>
      <c r="F173" s="210"/>
      <c r="G173" s="210"/>
      <c r="H173" s="406">
        <f>SUM(Tabla132112418[[#This Row],[PRIMER TRIMESTRE]:[CUARTO TRIMESTRE]])</f>
        <v>0</v>
      </c>
      <c r="I173" s="17">
        <v>29</v>
      </c>
      <c r="J173" s="17">
        <f>+Tabla132112418[[#This Row],[CANTIDAD TOTAL]]*Tabla132112418[[#This Row],[PRECIO UNITARIO ESTIMADO]]</f>
        <v>0</v>
      </c>
      <c r="K173" s="17"/>
      <c r="L173" s="16" t="s">
        <v>27</v>
      </c>
      <c r="M173" s="16" t="s">
        <v>22</v>
      </c>
      <c r="N173" s="39" t="s">
        <v>418</v>
      </c>
    </row>
    <row r="174" spans="1:14" s="12" customFormat="1" ht="18">
      <c r="A174" s="180" t="s">
        <v>62</v>
      </c>
      <c r="B174" s="77" t="s">
        <v>368</v>
      </c>
      <c r="C174" s="70" t="s">
        <v>17</v>
      </c>
      <c r="D174" s="210"/>
      <c r="E174" s="210"/>
      <c r="F174" s="210"/>
      <c r="G174" s="210"/>
      <c r="H174" s="406">
        <f>SUM(Tabla132112418[[#This Row],[PRIMER TRIMESTRE]:[CUARTO TRIMESTRE]])</f>
        <v>0</v>
      </c>
      <c r="I174" s="17">
        <v>75.400000000000006</v>
      </c>
      <c r="J174" s="17">
        <f>+H174*I174</f>
        <v>0</v>
      </c>
      <c r="K174" s="17"/>
      <c r="L174" s="16" t="s">
        <v>27</v>
      </c>
      <c r="M174" s="16" t="s">
        <v>22</v>
      </c>
      <c r="N174" s="39" t="s">
        <v>418</v>
      </c>
    </row>
    <row r="175" spans="1:14" s="12" customFormat="1" ht="18">
      <c r="A175" s="180" t="s">
        <v>62</v>
      </c>
      <c r="B175" s="77" t="s">
        <v>602</v>
      </c>
      <c r="C175" s="70" t="s">
        <v>17</v>
      </c>
      <c r="D175" s="210"/>
      <c r="E175" s="210"/>
      <c r="F175" s="210"/>
      <c r="G175" s="210"/>
      <c r="H175" s="406">
        <f>SUM(Tabla132112418[[#This Row],[PRIMER TRIMESTRE]:[CUARTO TRIMESTRE]])</f>
        <v>0</v>
      </c>
      <c r="I175" s="17">
        <v>90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</row>
    <row r="176" spans="1:14" s="12" customFormat="1" ht="18">
      <c r="A176" s="180" t="s">
        <v>62</v>
      </c>
      <c r="B176" s="77" t="s">
        <v>164</v>
      </c>
      <c r="C176" s="70" t="s">
        <v>17</v>
      </c>
      <c r="D176" s="210"/>
      <c r="E176" s="210"/>
      <c r="F176" s="210"/>
      <c r="G176" s="210"/>
      <c r="H176" s="406">
        <f>SUM(Tabla132112418[[#This Row],[PRIMER TRIMESTRE]:[CUARTO TRIMESTRE]])</f>
        <v>0</v>
      </c>
      <c r="I176" s="17">
        <v>3419.05</v>
      </c>
      <c r="J176" s="17">
        <f>+Tabla132112418[[#This Row],[CANTIDAD TOTAL]]*Tabla132112418[[#This Row],[PRECIO UNITARIO ESTIMADO]]</f>
        <v>0</v>
      </c>
      <c r="K176" s="17"/>
      <c r="L176" s="16" t="s">
        <v>27</v>
      </c>
      <c r="M176" s="16" t="s">
        <v>22</v>
      </c>
      <c r="N176" s="39" t="s">
        <v>418</v>
      </c>
    </row>
    <row r="177" spans="1:14" s="12" customFormat="1" ht="18">
      <c r="A177" s="180" t="s">
        <v>62</v>
      </c>
      <c r="B177" s="75" t="s">
        <v>1166</v>
      </c>
      <c r="C177" s="39" t="s">
        <v>17</v>
      </c>
      <c r="D177" s="236"/>
      <c r="E177" s="236"/>
      <c r="F177" s="236"/>
      <c r="G177" s="236"/>
      <c r="H177" s="40">
        <f>SUM(Tabla132112418[[#This Row],[PRIMER TRIMESTRE]:[CUARTO TRIMESTRE]])</f>
        <v>0</v>
      </c>
      <c r="I177" s="17">
        <v>400</v>
      </c>
      <c r="J177" s="17">
        <f>+H177*I177</f>
        <v>0</v>
      </c>
      <c r="K177" s="17"/>
      <c r="L177" s="16" t="s">
        <v>27</v>
      </c>
      <c r="M177" s="16" t="s">
        <v>22</v>
      </c>
      <c r="N177" s="39" t="s">
        <v>418</v>
      </c>
    </row>
    <row r="178" spans="1:14" s="12" customFormat="1" ht="18">
      <c r="A178" s="180" t="s">
        <v>62</v>
      </c>
      <c r="B178" s="75" t="s">
        <v>1167</v>
      </c>
      <c r="C178" s="39" t="s">
        <v>17</v>
      </c>
      <c r="D178" s="236"/>
      <c r="E178" s="236"/>
      <c r="F178" s="236"/>
      <c r="G178" s="236"/>
      <c r="H178" s="40">
        <f>SUM(Tabla132112418[[#This Row],[PRIMER TRIMESTRE]:[CUARTO TRIMESTRE]])</f>
        <v>0</v>
      </c>
      <c r="I178" s="17">
        <v>1300</v>
      </c>
      <c r="J178" s="17">
        <f>+H178*I178</f>
        <v>0</v>
      </c>
      <c r="K178" s="17"/>
      <c r="L178" s="16" t="s">
        <v>27</v>
      </c>
      <c r="M178" s="16" t="s">
        <v>22</v>
      </c>
      <c r="N178" s="39" t="s">
        <v>418</v>
      </c>
    </row>
    <row r="179" spans="1:14" s="12" customFormat="1" ht="18">
      <c r="A179" s="180" t="s">
        <v>62</v>
      </c>
      <c r="B179" s="77" t="s">
        <v>462</v>
      </c>
      <c r="C179" s="70" t="s">
        <v>17</v>
      </c>
      <c r="D179" s="210"/>
      <c r="E179" s="210"/>
      <c r="F179" s="210"/>
      <c r="G179" s="210"/>
      <c r="H179" s="406">
        <f>SUM(Tabla132112418[[#This Row],[PRIMER TRIMESTRE]:[CUARTO TRIMESTRE]])</f>
        <v>0</v>
      </c>
      <c r="I179" s="17">
        <v>1896.06</v>
      </c>
      <c r="J179" s="17">
        <f>+H179*I179</f>
        <v>0</v>
      </c>
      <c r="K179" s="17"/>
      <c r="L179" s="16" t="s">
        <v>27</v>
      </c>
      <c r="M179" s="16" t="s">
        <v>22</v>
      </c>
      <c r="N179" s="39" t="s">
        <v>418</v>
      </c>
    </row>
    <row r="180" spans="1:14" s="12" customFormat="1" ht="18">
      <c r="A180" s="180" t="s">
        <v>62</v>
      </c>
      <c r="B180" s="77" t="s">
        <v>463</v>
      </c>
      <c r="C180" s="70" t="s">
        <v>17</v>
      </c>
      <c r="D180" s="210"/>
      <c r="E180" s="210"/>
      <c r="F180" s="210"/>
      <c r="G180" s="210"/>
      <c r="H180" s="406">
        <f>SUM(Tabla132112418[[#This Row],[PRIMER TRIMESTRE]:[CUARTO TRIMESTRE]])</f>
        <v>0</v>
      </c>
      <c r="I180" s="17">
        <v>2320</v>
      </c>
      <c r="J180" s="17">
        <f>+Tabla132112418[[#This Row],[CANTIDAD TOTAL]]*Tabla132112418[[#This Row],[PRECIO UNITARIO ESTIMADO]]</f>
        <v>0</v>
      </c>
      <c r="K180" s="17"/>
      <c r="L180" s="16" t="s">
        <v>27</v>
      </c>
      <c r="M180" s="16" t="s">
        <v>22</v>
      </c>
      <c r="N180" s="39" t="s">
        <v>418</v>
      </c>
    </row>
    <row r="181" spans="1:14" s="12" customFormat="1" ht="18">
      <c r="A181" s="180" t="s">
        <v>62</v>
      </c>
      <c r="B181" s="77" t="s">
        <v>465</v>
      </c>
      <c r="C181" s="70" t="s">
        <v>17</v>
      </c>
      <c r="D181" s="210"/>
      <c r="E181" s="210"/>
      <c r="F181" s="210"/>
      <c r="G181" s="210"/>
      <c r="H181" s="406">
        <f>SUM(Tabla132112418[[#This Row],[PRIMER TRIMESTRE]:[CUARTO TRIMESTRE]])</f>
        <v>0</v>
      </c>
      <c r="I181" s="17">
        <v>2682</v>
      </c>
      <c r="J181" s="17">
        <f>+Tabla132112418[[#This Row],[CANTIDAD TOTAL]]*Tabla132112418[[#This Row],[PRECIO UNITARIO ESTIMADO]]</f>
        <v>0</v>
      </c>
      <c r="K181" s="17"/>
      <c r="L181" s="16" t="s">
        <v>27</v>
      </c>
      <c r="M181" s="16" t="s">
        <v>22</v>
      </c>
      <c r="N181" s="39" t="s">
        <v>418</v>
      </c>
    </row>
    <row r="182" spans="1:14" s="12" customFormat="1" ht="18">
      <c r="A182" s="180" t="s">
        <v>62</v>
      </c>
      <c r="B182" s="77" t="s">
        <v>464</v>
      </c>
      <c r="C182" s="70" t="s">
        <v>17</v>
      </c>
      <c r="D182" s="210"/>
      <c r="E182" s="210"/>
      <c r="F182" s="210"/>
      <c r="G182" s="210"/>
      <c r="H182" s="406">
        <f>SUM(Tabla132112418[[#This Row],[PRIMER TRIMESTRE]:[CUARTO TRIMESTRE]])</f>
        <v>0</v>
      </c>
      <c r="I182" s="17">
        <v>50</v>
      </c>
      <c r="J182" s="17">
        <f>+Tabla132112418[[#This Row],[CANTIDAD TOTAL]]*Tabla132112418[[#This Row],[PRECIO UNITARIO ESTIMADO]]</f>
        <v>0</v>
      </c>
      <c r="K182" s="17"/>
      <c r="L182" s="16" t="s">
        <v>27</v>
      </c>
      <c r="M182" s="16" t="s">
        <v>22</v>
      </c>
      <c r="N182" s="39" t="s">
        <v>418</v>
      </c>
    </row>
    <row r="183" spans="1:14" s="12" customFormat="1" ht="18">
      <c r="A183" s="180" t="s">
        <v>62</v>
      </c>
      <c r="B183" s="77" t="s">
        <v>466</v>
      </c>
      <c r="C183" s="70" t="s">
        <v>17</v>
      </c>
      <c r="D183" s="210"/>
      <c r="E183" s="210"/>
      <c r="F183" s="210"/>
      <c r="G183" s="210"/>
      <c r="H183" s="406">
        <f>SUM(Tabla132112418[[#This Row],[PRIMER TRIMESTRE]:[CUARTO TRIMESTRE]])</f>
        <v>0</v>
      </c>
      <c r="I183" s="17">
        <v>1746.26</v>
      </c>
      <c r="J183" s="17">
        <f>+Tabla132112418[[#This Row],[CANTIDAD TOTAL]]*Tabla132112418[[#This Row],[PRECIO UNITARIO ESTIMADO]]</f>
        <v>0</v>
      </c>
      <c r="K183" s="17"/>
      <c r="L183" s="16" t="s">
        <v>27</v>
      </c>
      <c r="M183" s="16" t="s">
        <v>22</v>
      </c>
      <c r="N183" s="39" t="s">
        <v>418</v>
      </c>
    </row>
    <row r="184" spans="1:14" s="12" customFormat="1" ht="18">
      <c r="A184" s="180" t="s">
        <v>62</v>
      </c>
      <c r="B184" s="77" t="s">
        <v>1168</v>
      </c>
      <c r="C184" s="70" t="s">
        <v>17</v>
      </c>
      <c r="D184" s="210"/>
      <c r="E184" s="210"/>
      <c r="F184" s="210"/>
      <c r="G184" s="210"/>
      <c r="H184" s="406">
        <f>SUM(Tabla132112418[[#This Row],[PRIMER TRIMESTRE]:[CUARTO TRIMESTRE]])</f>
        <v>0</v>
      </c>
      <c r="I184" s="17">
        <v>6800</v>
      </c>
      <c r="J184" s="17">
        <f>+H184*I184</f>
        <v>0</v>
      </c>
      <c r="K184" s="17"/>
      <c r="L184" s="16" t="s">
        <v>27</v>
      </c>
      <c r="M184" s="16" t="s">
        <v>22</v>
      </c>
      <c r="N184" s="39" t="s">
        <v>418</v>
      </c>
    </row>
    <row r="185" spans="1:14" s="12" customFormat="1" ht="18">
      <c r="A185" s="180" t="s">
        <v>62</v>
      </c>
      <c r="B185" s="77" t="s">
        <v>170</v>
      </c>
      <c r="C185" s="70" t="s">
        <v>17</v>
      </c>
      <c r="D185" s="210"/>
      <c r="E185" s="210"/>
      <c r="F185" s="210"/>
      <c r="G185" s="210"/>
      <c r="H185" s="406">
        <f>SUM(Tabla132112418[[#This Row],[PRIMER TRIMESTRE]:[CUARTO TRIMESTRE]])</f>
        <v>0</v>
      </c>
      <c r="I185" s="17">
        <v>458.2</v>
      </c>
      <c r="J185" s="17">
        <f>+Tabla132112418[[#This Row],[CANTIDAD TOTAL]]*Tabla132112418[[#This Row],[PRECIO UNITARIO ESTIMADO]]</f>
        <v>0</v>
      </c>
      <c r="K185" s="17"/>
      <c r="L185" s="16" t="s">
        <v>27</v>
      </c>
      <c r="M185" s="16" t="s">
        <v>22</v>
      </c>
      <c r="N185" s="39" t="s">
        <v>418</v>
      </c>
    </row>
    <row r="186" spans="1:14" s="12" customFormat="1" ht="18">
      <c r="A186" s="180" t="s">
        <v>62</v>
      </c>
      <c r="B186" s="77" t="s">
        <v>172</v>
      </c>
      <c r="C186" s="70" t="s">
        <v>17</v>
      </c>
      <c r="D186" s="210"/>
      <c r="E186" s="210"/>
      <c r="F186" s="210"/>
      <c r="G186" s="210"/>
      <c r="H186" s="406">
        <f>SUM(Tabla132112418[[#This Row],[PRIMER TRIMESTRE]:[CUARTO TRIMESTRE]])</f>
        <v>0</v>
      </c>
      <c r="I186" s="17">
        <v>90</v>
      </c>
      <c r="J186" s="17">
        <f>+Tabla132112418[[#This Row],[CANTIDAD TOTAL]]*Tabla132112418[[#This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</row>
    <row r="187" spans="1:14" s="12" customFormat="1" ht="18">
      <c r="A187" s="180" t="s">
        <v>62</v>
      </c>
      <c r="B187" s="77" t="s">
        <v>732</v>
      </c>
      <c r="C187" s="70" t="s">
        <v>17</v>
      </c>
      <c r="D187" s="210"/>
      <c r="E187" s="210"/>
      <c r="F187" s="210"/>
      <c r="G187" s="210"/>
      <c r="H187" s="406">
        <f>SUM(Tabla132112418[[#This Row],[PRIMER TRIMESTRE]:[CUARTO TRIMESTRE]])</f>
        <v>0</v>
      </c>
      <c r="I187" s="72">
        <v>142.85</v>
      </c>
      <c r="J187" s="17">
        <f t="shared" ref="J187:J194" si="4">+H187*I187</f>
        <v>0</v>
      </c>
      <c r="K187" s="17"/>
      <c r="L187" s="16" t="s">
        <v>27</v>
      </c>
      <c r="M187" s="16" t="s">
        <v>22</v>
      </c>
      <c r="N187" s="39" t="s">
        <v>418</v>
      </c>
    </row>
    <row r="188" spans="1:14" s="12" customFormat="1" ht="18">
      <c r="A188" s="180" t="s">
        <v>62</v>
      </c>
      <c r="B188" s="77" t="s">
        <v>733</v>
      </c>
      <c r="C188" s="70" t="s">
        <v>17</v>
      </c>
      <c r="D188" s="210"/>
      <c r="E188" s="210"/>
      <c r="F188" s="210"/>
      <c r="G188" s="210"/>
      <c r="H188" s="406">
        <f>SUM(Tabla132112418[[#This Row],[PRIMER TRIMESTRE]:[CUARTO TRIMESTRE]])</f>
        <v>0</v>
      </c>
      <c r="I188" s="17">
        <v>39.56</v>
      </c>
      <c r="J188" s="17">
        <f t="shared" si="4"/>
        <v>0</v>
      </c>
      <c r="K188" s="17"/>
      <c r="L188" s="16" t="s">
        <v>27</v>
      </c>
      <c r="M188" s="16" t="s">
        <v>22</v>
      </c>
      <c r="N188" s="39" t="s">
        <v>418</v>
      </c>
    </row>
    <row r="189" spans="1:14" s="12" customFormat="1" ht="18">
      <c r="A189" s="180" t="s">
        <v>62</v>
      </c>
      <c r="B189" s="77" t="s">
        <v>734</v>
      </c>
      <c r="C189" s="70" t="s">
        <v>17</v>
      </c>
      <c r="D189" s="210"/>
      <c r="E189" s="210"/>
      <c r="F189" s="210"/>
      <c r="G189" s="210"/>
      <c r="H189" s="406">
        <f>SUM(Tabla132112418[[#This Row],[PRIMER TRIMESTRE]:[CUARTO TRIMESTRE]])</f>
        <v>0</v>
      </c>
      <c r="I189" s="17">
        <v>41.8</v>
      </c>
      <c r="J189" s="17">
        <f t="shared" si="4"/>
        <v>0</v>
      </c>
      <c r="K189" s="17"/>
      <c r="L189" s="16" t="s">
        <v>27</v>
      </c>
      <c r="M189" s="16" t="s">
        <v>22</v>
      </c>
      <c r="N189" s="39" t="s">
        <v>418</v>
      </c>
    </row>
    <row r="190" spans="1:14" s="12" customFormat="1" ht="18">
      <c r="A190" s="180" t="s">
        <v>62</v>
      </c>
      <c r="B190" s="77" t="s">
        <v>735</v>
      </c>
      <c r="C190" s="70" t="s">
        <v>17</v>
      </c>
      <c r="D190" s="210"/>
      <c r="E190" s="210"/>
      <c r="F190" s="210"/>
      <c r="G190" s="210"/>
      <c r="H190" s="406">
        <f>SUM(Tabla132112418[[#This Row],[PRIMER TRIMESTRE]:[CUARTO TRIMESTRE]])</f>
        <v>0</v>
      </c>
      <c r="I190" s="17">
        <v>50.27</v>
      </c>
      <c r="J190" s="17">
        <f t="shared" si="4"/>
        <v>0</v>
      </c>
      <c r="K190" s="17"/>
      <c r="L190" s="16" t="s">
        <v>27</v>
      </c>
      <c r="M190" s="16" t="s">
        <v>22</v>
      </c>
      <c r="N190" s="39" t="s">
        <v>418</v>
      </c>
    </row>
    <row r="191" spans="1:14" s="12" customFormat="1" ht="18">
      <c r="A191" s="180" t="s">
        <v>62</v>
      </c>
      <c r="B191" s="77" t="s">
        <v>736</v>
      </c>
      <c r="C191" s="70" t="s">
        <v>17</v>
      </c>
      <c r="D191" s="210"/>
      <c r="E191" s="210"/>
      <c r="F191" s="210"/>
      <c r="G191" s="210"/>
      <c r="H191" s="406">
        <f>SUM(Tabla132112418[[#This Row],[PRIMER TRIMESTRE]:[CUARTO TRIMESTRE]])</f>
        <v>0</v>
      </c>
      <c r="I191" s="17">
        <v>60.89</v>
      </c>
      <c r="J191" s="17">
        <f t="shared" si="4"/>
        <v>0</v>
      </c>
      <c r="K191" s="17"/>
      <c r="L191" s="16" t="s">
        <v>27</v>
      </c>
      <c r="M191" s="16" t="s">
        <v>22</v>
      </c>
      <c r="N191" s="39" t="s">
        <v>418</v>
      </c>
    </row>
    <row r="192" spans="1:14" s="12" customFormat="1" ht="18">
      <c r="A192" s="180" t="s">
        <v>62</v>
      </c>
      <c r="B192" s="77" t="s">
        <v>737</v>
      </c>
      <c r="C192" s="70" t="s">
        <v>17</v>
      </c>
      <c r="D192" s="210"/>
      <c r="E192" s="210"/>
      <c r="F192" s="210"/>
      <c r="G192" s="210"/>
      <c r="H192" s="406">
        <f>SUM(Tabla132112418[[#This Row],[PRIMER TRIMESTRE]:[CUARTO TRIMESTRE]])</f>
        <v>0</v>
      </c>
      <c r="I192" s="17">
        <v>65.36</v>
      </c>
      <c r="J192" s="17">
        <f t="shared" si="4"/>
        <v>0</v>
      </c>
      <c r="K192" s="17"/>
      <c r="L192" s="16" t="s">
        <v>27</v>
      </c>
      <c r="M192" s="16" t="s">
        <v>22</v>
      </c>
      <c r="N192" s="39" t="s">
        <v>418</v>
      </c>
    </row>
    <row r="193" spans="1:14" s="26" customFormat="1" ht="18">
      <c r="A193" s="180" t="s">
        <v>62</v>
      </c>
      <c r="B193" s="77" t="s">
        <v>738</v>
      </c>
      <c r="C193" s="70" t="s">
        <v>17</v>
      </c>
      <c r="D193" s="210"/>
      <c r="E193" s="210"/>
      <c r="F193" s="210"/>
      <c r="G193" s="210"/>
      <c r="H193" s="406">
        <f>SUM(Tabla132112418[[#This Row],[PRIMER TRIMESTRE]:[CUARTO TRIMESTRE]])</f>
        <v>0</v>
      </c>
      <c r="I193" s="17">
        <v>352.74</v>
      </c>
      <c r="J193" s="17">
        <f t="shared" si="4"/>
        <v>0</v>
      </c>
      <c r="K193" s="17"/>
      <c r="L193" s="16" t="s">
        <v>27</v>
      </c>
      <c r="M193" s="16" t="s">
        <v>22</v>
      </c>
      <c r="N193" s="39" t="s">
        <v>418</v>
      </c>
    </row>
    <row r="194" spans="1:14" s="55" customFormat="1" ht="18">
      <c r="A194" s="180" t="s">
        <v>62</v>
      </c>
      <c r="B194" s="75" t="s">
        <v>1169</v>
      </c>
      <c r="C194" s="39" t="s">
        <v>1162</v>
      </c>
      <c r="D194" s="236"/>
      <c r="E194" s="236"/>
      <c r="F194" s="236"/>
      <c r="G194" s="236"/>
      <c r="H194" s="40">
        <f>SUM(Tabla132112418[[#This Row],[PRIMER TRIMESTRE]:[CUARTO TRIMESTRE]])</f>
        <v>0</v>
      </c>
      <c r="I194" s="17">
        <v>2300</v>
      </c>
      <c r="J194" s="17">
        <f t="shared" si="4"/>
        <v>0</v>
      </c>
      <c r="K194" s="17"/>
      <c r="L194" s="16" t="s">
        <v>27</v>
      </c>
      <c r="M194" s="16" t="s">
        <v>22</v>
      </c>
      <c r="N194" s="39" t="s">
        <v>418</v>
      </c>
    </row>
    <row r="195" spans="1:14" s="55" customFormat="1" ht="18">
      <c r="A195" s="179" t="s">
        <v>62</v>
      </c>
      <c r="B195" s="76"/>
      <c r="C195" s="42"/>
      <c r="D195" s="237"/>
      <c r="E195" s="237"/>
      <c r="F195" s="237"/>
      <c r="G195" s="237"/>
      <c r="H195" s="43"/>
      <c r="I195" s="24"/>
      <c r="J195" s="24"/>
      <c r="K195" s="25">
        <f>SUM(J90:J194)</f>
        <v>0</v>
      </c>
      <c r="L195" s="23"/>
      <c r="M195" s="23"/>
      <c r="N195" s="42"/>
    </row>
    <row r="196" spans="1:14" s="55" customFormat="1" ht="30">
      <c r="A196" s="178" t="s">
        <v>73</v>
      </c>
      <c r="B196" s="75" t="s">
        <v>1275</v>
      </c>
      <c r="C196" s="53" t="s">
        <v>17</v>
      </c>
      <c r="D196" s="410"/>
      <c r="E196" s="410"/>
      <c r="F196" s="410"/>
      <c r="G196" s="410"/>
      <c r="H196" s="40">
        <f>SUM(Tabla132112418[[#This Row],[PRIMER TRIMESTRE]:[CUARTO TRIMESTRE]])</f>
        <v>0</v>
      </c>
      <c r="I196" s="52">
        <v>239750</v>
      </c>
      <c r="J196" s="52">
        <f>+H196*I196</f>
        <v>0</v>
      </c>
      <c r="K196" s="50"/>
      <c r="L196" s="16" t="s">
        <v>18</v>
      </c>
      <c r="M196" s="411" t="s">
        <v>22</v>
      </c>
      <c r="N196" s="39" t="s">
        <v>418</v>
      </c>
    </row>
    <row r="197" spans="1:14" s="55" customFormat="1" ht="30">
      <c r="A197" s="178" t="s">
        <v>73</v>
      </c>
      <c r="B197" s="75" t="s">
        <v>1276</v>
      </c>
      <c r="C197" s="53" t="s">
        <v>17</v>
      </c>
      <c r="D197" s="410"/>
      <c r="E197" s="410"/>
      <c r="F197" s="410"/>
      <c r="G197" s="410"/>
      <c r="H197" s="40">
        <f>SUM(Tabla132112418[[#This Row],[PRIMER TRIMESTRE]:[CUARTO TRIMESTRE]])</f>
        <v>0</v>
      </c>
      <c r="I197" s="52">
        <v>37500</v>
      </c>
      <c r="J197" s="52">
        <f>+H197*I197</f>
        <v>0</v>
      </c>
      <c r="K197" s="50"/>
      <c r="L197" s="16" t="s">
        <v>18</v>
      </c>
      <c r="M197" s="411" t="s">
        <v>22</v>
      </c>
      <c r="N197" s="39" t="s">
        <v>418</v>
      </c>
    </row>
    <row r="198" spans="1:14" s="26" customFormat="1" ht="30">
      <c r="A198" s="178" t="s">
        <v>73</v>
      </c>
      <c r="B198" s="75" t="s">
        <v>1277</v>
      </c>
      <c r="C198" s="53" t="s">
        <v>17</v>
      </c>
      <c r="D198" s="410"/>
      <c r="E198" s="410"/>
      <c r="F198" s="410"/>
      <c r="G198" s="410"/>
      <c r="H198" s="40">
        <f>SUM(Tabla132112418[[#This Row],[PRIMER TRIMESTRE]:[CUARTO TRIMESTRE]])</f>
        <v>0</v>
      </c>
      <c r="I198" s="52">
        <v>301000</v>
      </c>
      <c r="J198" s="52">
        <f>+H198*I198</f>
        <v>0</v>
      </c>
      <c r="K198" s="50"/>
      <c r="L198" s="16" t="s">
        <v>18</v>
      </c>
      <c r="M198" s="411" t="s">
        <v>22</v>
      </c>
      <c r="N198" s="39" t="s">
        <v>418</v>
      </c>
    </row>
    <row r="199" spans="1:14" s="12" customFormat="1" ht="30">
      <c r="A199" s="178" t="s">
        <v>73</v>
      </c>
      <c r="B199" s="75" t="s">
        <v>1278</v>
      </c>
      <c r="C199" s="53" t="s">
        <v>17</v>
      </c>
      <c r="D199" s="410"/>
      <c r="E199" s="410"/>
      <c r="F199" s="410"/>
      <c r="G199" s="410"/>
      <c r="H199" s="40">
        <f>SUM(Tabla132112418[[#This Row],[PRIMER TRIMESTRE]:[CUARTO TRIMESTRE]])</f>
        <v>0</v>
      </c>
      <c r="I199" s="52">
        <v>350000</v>
      </c>
      <c r="J199" s="52">
        <f>+H199*I199</f>
        <v>0</v>
      </c>
      <c r="K199" s="50"/>
      <c r="L199" s="16" t="s">
        <v>18</v>
      </c>
      <c r="M199" s="411" t="s">
        <v>22</v>
      </c>
      <c r="N199" s="39" t="s">
        <v>418</v>
      </c>
    </row>
    <row r="200" spans="1:14" s="12" customFormat="1" ht="31.5">
      <c r="A200" s="179" t="s">
        <v>73</v>
      </c>
      <c r="B200" s="76"/>
      <c r="C200" s="42"/>
      <c r="D200" s="237"/>
      <c r="E200" s="237"/>
      <c r="F200" s="237"/>
      <c r="G200" s="237"/>
      <c r="H200" s="43"/>
      <c r="I200" s="24"/>
      <c r="J200" s="24"/>
      <c r="K200" s="25">
        <f>SUM(J196:J199)</f>
        <v>0</v>
      </c>
      <c r="L200" s="23"/>
      <c r="M200" s="23"/>
      <c r="N200" s="42"/>
    </row>
    <row r="201" spans="1:14" s="12" customFormat="1" ht="18">
      <c r="A201" s="178" t="s">
        <v>80</v>
      </c>
      <c r="B201" s="75" t="s">
        <v>788</v>
      </c>
      <c r="C201" s="39" t="s">
        <v>69</v>
      </c>
      <c r="D201" s="236"/>
      <c r="E201" s="236"/>
      <c r="F201" s="236"/>
      <c r="G201" s="236"/>
      <c r="H201" s="40">
        <f>SUM(Tabla132112418[[#This Row],[PRIMER TRIMESTRE]:[CUARTO TRIMESTRE]])</f>
        <v>0</v>
      </c>
      <c r="I201" s="17">
        <v>5.46</v>
      </c>
      <c r="J201" s="17">
        <f>+Tabla132112418[[#This Row],[CANTIDAD TOTAL]]*Tabla132112418[[#This Row],[PRECIO UNITARIO ESTIMADO]]</f>
        <v>0</v>
      </c>
      <c r="K201" s="17"/>
      <c r="L201" s="16" t="s">
        <v>18</v>
      </c>
      <c r="M201" s="16" t="s">
        <v>22</v>
      </c>
      <c r="N201" s="39" t="s">
        <v>418</v>
      </c>
    </row>
    <row r="202" spans="1:14" s="12" customFormat="1" ht="18">
      <c r="A202" s="178" t="s">
        <v>80</v>
      </c>
      <c r="B202" s="75" t="s">
        <v>1346</v>
      </c>
      <c r="C202" s="39" t="s">
        <v>208</v>
      </c>
      <c r="D202" s="236"/>
      <c r="E202" s="236"/>
      <c r="F202" s="236"/>
      <c r="G202" s="236"/>
      <c r="H202" s="40">
        <f>SUM(Tabla132112418[[#This Row],[PRIMER TRIMESTRE]:[CUARTO TRIMESTRE]])</f>
        <v>0</v>
      </c>
      <c r="I202" s="17">
        <v>8</v>
      </c>
      <c r="J202" s="17">
        <f>+Tabla132112418[[#This Row],[CANTIDAD TOTAL]]*Tabla132112418[[#This Row],[PRECIO UNITARIO ESTIMADO]]</f>
        <v>0</v>
      </c>
      <c r="K202" s="17"/>
      <c r="L202" s="16" t="s">
        <v>18</v>
      </c>
      <c r="M202" s="16" t="s">
        <v>22</v>
      </c>
      <c r="N202" s="39" t="s">
        <v>418</v>
      </c>
    </row>
    <row r="203" spans="1:14" s="12" customFormat="1" ht="18">
      <c r="A203" s="178" t="s">
        <v>80</v>
      </c>
      <c r="B203" s="75" t="s">
        <v>789</v>
      </c>
      <c r="C203" s="39" t="s">
        <v>208</v>
      </c>
      <c r="D203" s="236"/>
      <c r="E203" s="236"/>
      <c r="F203" s="236"/>
      <c r="G203" s="236"/>
      <c r="H203" s="40">
        <f>SUM(Tabla132112418[[#This Row],[PRIMER TRIMESTRE]:[CUARTO TRIMESTRE]])</f>
        <v>0</v>
      </c>
      <c r="I203" s="17">
        <v>6.4</v>
      </c>
      <c r="J203" s="17">
        <f>+Tabla132112418[[#This Row],[CANTIDAD TOTAL]]*Tabla132112418[[#This Row],[PRECIO UNITARIO ESTIMADO]]</f>
        <v>0</v>
      </c>
      <c r="K203" s="17"/>
      <c r="L203" s="16" t="s">
        <v>18</v>
      </c>
      <c r="M203" s="16" t="s">
        <v>22</v>
      </c>
      <c r="N203" s="39" t="s">
        <v>418</v>
      </c>
    </row>
    <row r="204" spans="1:14" s="12" customFormat="1" ht="18">
      <c r="A204" s="178" t="s">
        <v>80</v>
      </c>
      <c r="B204" s="75" t="s">
        <v>83</v>
      </c>
      <c r="C204" s="39" t="s">
        <v>69</v>
      </c>
      <c r="D204" s="236"/>
      <c r="E204" s="236"/>
      <c r="F204" s="236"/>
      <c r="G204" s="236"/>
      <c r="H204" s="40">
        <f>SUM(Tabla132112418[[#This Row],[PRIMER TRIMESTRE]:[CUARTO TRIMESTRE]])</f>
        <v>0</v>
      </c>
      <c r="I204" s="17">
        <v>290</v>
      </c>
      <c r="J204" s="17">
        <f>+Tabla132112418[[#This Row],[CANTIDAD TOTAL]]*Tabla132112418[[#This Row],[PRECIO UNITARIO ESTIMADO]]</f>
        <v>0</v>
      </c>
      <c r="K204" s="17"/>
      <c r="L204" s="16" t="s">
        <v>18</v>
      </c>
      <c r="M204" s="16" t="s">
        <v>22</v>
      </c>
      <c r="N204" s="39" t="s">
        <v>418</v>
      </c>
    </row>
    <row r="205" spans="1:14" s="12" customFormat="1" ht="18">
      <c r="A205" s="178" t="s">
        <v>80</v>
      </c>
      <c r="B205" s="75" t="s">
        <v>1561</v>
      </c>
      <c r="C205" s="39" t="s">
        <v>69</v>
      </c>
      <c r="D205" s="39"/>
      <c r="E205" s="236"/>
      <c r="F205" s="236"/>
      <c r="G205" s="236"/>
      <c r="H205" s="40">
        <f>SUM(Tabla132112418[[#This Row],[PRIMER TRIMESTRE]:[CUARTO TRIMESTRE]])</f>
        <v>0</v>
      </c>
      <c r="I205" s="17">
        <v>3200</v>
      </c>
      <c r="J205" s="17">
        <f>+H205*I205</f>
        <v>0</v>
      </c>
      <c r="K205" s="17"/>
      <c r="L205" s="16" t="s">
        <v>18</v>
      </c>
      <c r="M205" s="16" t="s">
        <v>22</v>
      </c>
      <c r="N205" s="39" t="s">
        <v>418</v>
      </c>
    </row>
    <row r="206" spans="1:14" s="12" customFormat="1" ht="18">
      <c r="A206" s="178" t="s">
        <v>80</v>
      </c>
      <c r="B206" s="75" t="s">
        <v>85</v>
      </c>
      <c r="C206" s="39" t="s">
        <v>69</v>
      </c>
      <c r="D206" s="236"/>
      <c r="E206" s="236"/>
      <c r="F206" s="236"/>
      <c r="G206" s="236"/>
      <c r="H206" s="40">
        <f>SUM(Tabla132112418[[#This Row],[PRIMER TRIMESTRE]:[CUARTO TRIMESTRE]])</f>
        <v>0</v>
      </c>
      <c r="I206" s="17">
        <v>4.0599999999999996</v>
      </c>
      <c r="J206" s="17">
        <f>+Tabla132112418[[#This Row],[CANTIDAD TOTAL]]*Tabla132112418[[#This Row],[PRECIO UNITARIO ESTIMADO]]</f>
        <v>0</v>
      </c>
      <c r="K206" s="17"/>
      <c r="L206" s="16" t="s">
        <v>18</v>
      </c>
      <c r="M206" s="16" t="s">
        <v>22</v>
      </c>
      <c r="N206" s="39" t="s">
        <v>418</v>
      </c>
    </row>
    <row r="207" spans="1:14" s="12" customFormat="1" ht="18">
      <c r="A207" s="178" t="s">
        <v>80</v>
      </c>
      <c r="B207" s="75" t="s">
        <v>87</v>
      </c>
      <c r="C207" s="39" t="s">
        <v>69</v>
      </c>
      <c r="D207" s="236"/>
      <c r="E207" s="236"/>
      <c r="F207" s="236"/>
      <c r="G207" s="236"/>
      <c r="H207" s="40">
        <f>SUM(Tabla132112418[[#This Row],[PRIMER TRIMESTRE]:[CUARTO TRIMESTRE]])</f>
        <v>0</v>
      </c>
      <c r="I207" s="17">
        <v>3.71</v>
      </c>
      <c r="J207" s="17">
        <f>+Tabla132112418[[#This Row],[CANTIDAD TOTAL]]*Tabla132112418[[#This Row],[PRECIO UNITARIO ESTIMADO]]</f>
        <v>0</v>
      </c>
      <c r="K207" s="17"/>
      <c r="L207" s="16" t="s">
        <v>18</v>
      </c>
      <c r="M207" s="16" t="s">
        <v>22</v>
      </c>
      <c r="N207" s="39" t="s">
        <v>418</v>
      </c>
    </row>
    <row r="208" spans="1:14" s="12" customFormat="1" ht="18">
      <c r="A208" s="178" t="s">
        <v>80</v>
      </c>
      <c r="B208" s="75" t="s">
        <v>1436</v>
      </c>
      <c r="C208" s="39" t="s">
        <v>69</v>
      </c>
      <c r="D208" s="236"/>
      <c r="E208" s="236"/>
      <c r="F208" s="236"/>
      <c r="G208" s="236"/>
      <c r="H208" s="40">
        <f>SUM(Tabla132112418[[#This Row],[PRIMER TRIMESTRE]:[CUARTO TRIMESTRE]])</f>
        <v>0</v>
      </c>
      <c r="I208" s="17">
        <v>125</v>
      </c>
      <c r="J208" s="17">
        <f>+H208*I208</f>
        <v>0</v>
      </c>
      <c r="K208" s="17"/>
      <c r="L208" s="16" t="s">
        <v>18</v>
      </c>
      <c r="M208" s="16" t="s">
        <v>22</v>
      </c>
      <c r="N208" s="39" t="s">
        <v>418</v>
      </c>
    </row>
    <row r="209" spans="1:14" s="12" customFormat="1" ht="18">
      <c r="A209" s="178" t="s">
        <v>80</v>
      </c>
      <c r="B209" s="75" t="s">
        <v>89</v>
      </c>
      <c r="C209" s="39" t="s">
        <v>208</v>
      </c>
      <c r="D209" s="236"/>
      <c r="E209" s="236"/>
      <c r="F209" s="236"/>
      <c r="G209" s="236"/>
      <c r="H209" s="40">
        <f>SUM(Tabla132112418[[#This Row],[PRIMER TRIMESTRE]:[CUARTO TRIMESTRE]])</f>
        <v>0</v>
      </c>
      <c r="I209" s="17">
        <v>7.3</v>
      </c>
      <c r="J209" s="17">
        <f>+Tabla132112418[[#This Row],[CANTIDAD TOTAL]]*Tabla132112418[[#This Row],[PRECIO UNITARIO ESTIMADO]]</f>
        <v>0</v>
      </c>
      <c r="K209" s="17"/>
      <c r="L209" s="16" t="s">
        <v>18</v>
      </c>
      <c r="M209" s="16" t="s">
        <v>22</v>
      </c>
      <c r="N209" s="39" t="s">
        <v>418</v>
      </c>
    </row>
    <row r="210" spans="1:14" s="12" customFormat="1" ht="18">
      <c r="A210" s="178" t="s">
        <v>80</v>
      </c>
      <c r="B210" s="75" t="s">
        <v>98</v>
      </c>
      <c r="C210" s="39" t="s">
        <v>93</v>
      </c>
      <c r="D210" s="236"/>
      <c r="E210" s="236"/>
      <c r="F210" s="236"/>
      <c r="G210" s="236"/>
      <c r="H210" s="40">
        <f>SUM(Tabla132112418[[#This Row],[PRIMER TRIMESTRE]:[CUARTO TRIMESTRE]])</f>
        <v>0</v>
      </c>
      <c r="I210" s="17">
        <v>272.60000000000002</v>
      </c>
      <c r="J210" s="17">
        <f>+Tabla132112418[[#This Row],[CANTIDAD TOTAL]]*Tabla132112418[[#This Row],[PRECIO UNITARIO ESTIMADO]]</f>
        <v>0</v>
      </c>
      <c r="K210" s="17"/>
      <c r="L210" s="16" t="s">
        <v>18</v>
      </c>
      <c r="M210" s="16" t="s">
        <v>22</v>
      </c>
      <c r="N210" s="39" t="s">
        <v>418</v>
      </c>
    </row>
    <row r="211" spans="1:14" s="12" customFormat="1" ht="18">
      <c r="A211" s="178" t="s">
        <v>80</v>
      </c>
      <c r="B211" s="75" t="s">
        <v>1601</v>
      </c>
      <c r="C211" s="39" t="s">
        <v>93</v>
      </c>
      <c r="D211" s="39"/>
      <c r="E211" s="39"/>
      <c r="F211" s="39"/>
      <c r="G211" s="39"/>
      <c r="H211" s="39">
        <f>SUM(Tabla132112418[[#This Row],[PRIMER TRIMESTRE]:[CUARTO TRIMESTRE]])</f>
        <v>0</v>
      </c>
      <c r="I211" s="17">
        <v>57</v>
      </c>
      <c r="J211" s="17">
        <f>+H211*I211</f>
        <v>0</v>
      </c>
      <c r="K211" s="17"/>
      <c r="L211" s="16" t="s">
        <v>18</v>
      </c>
      <c r="M211" s="16" t="s">
        <v>22</v>
      </c>
      <c r="N211" s="39" t="s">
        <v>418</v>
      </c>
    </row>
    <row r="212" spans="1:14" s="12" customFormat="1" ht="18">
      <c r="A212" s="178" t="s">
        <v>80</v>
      </c>
      <c r="B212" s="75" t="s">
        <v>100</v>
      </c>
      <c r="C212" s="39" t="s">
        <v>93</v>
      </c>
      <c r="D212" s="236"/>
      <c r="E212" s="236"/>
      <c r="F212" s="236"/>
      <c r="G212" s="236"/>
      <c r="H212" s="40">
        <f>SUM(Tabla132112418[[#This Row],[PRIMER TRIMESTRE]:[CUARTO TRIMESTRE]])</f>
        <v>0</v>
      </c>
      <c r="I212" s="17">
        <v>30.16</v>
      </c>
      <c r="J212" s="17">
        <f>+Tabla132112418[[#This Row],[CANTIDAD TOTAL]]*Tabla132112418[[#This Row],[PRECIO UNITARIO ESTIMADO]]</f>
        <v>0</v>
      </c>
      <c r="K212" s="17"/>
      <c r="L212" s="16" t="s">
        <v>18</v>
      </c>
      <c r="M212" s="16" t="s">
        <v>22</v>
      </c>
      <c r="N212" s="39" t="s">
        <v>418</v>
      </c>
    </row>
    <row r="213" spans="1:14" s="12" customFormat="1" ht="25.5">
      <c r="A213" s="178" t="s">
        <v>80</v>
      </c>
      <c r="B213" s="75" t="s">
        <v>1729</v>
      </c>
      <c r="C213" s="39" t="s">
        <v>17</v>
      </c>
      <c r="D213" s="236"/>
      <c r="E213" s="236"/>
      <c r="F213" s="236"/>
      <c r="G213" s="236"/>
      <c r="H213" s="40">
        <v>0</v>
      </c>
      <c r="I213" s="17">
        <v>0</v>
      </c>
      <c r="J213" s="17">
        <v>0</v>
      </c>
      <c r="K213" s="17"/>
      <c r="L213" s="16" t="s">
        <v>18</v>
      </c>
      <c r="M213" s="16" t="s">
        <v>22</v>
      </c>
      <c r="N213" s="39" t="s">
        <v>418</v>
      </c>
    </row>
    <row r="214" spans="1:14" s="12" customFormat="1" ht="25.5">
      <c r="A214" s="178" t="s">
        <v>80</v>
      </c>
      <c r="B214" s="75" t="s">
        <v>1730</v>
      </c>
      <c r="C214" s="39" t="s">
        <v>17</v>
      </c>
      <c r="D214" s="236"/>
      <c r="E214" s="236"/>
      <c r="F214" s="236"/>
      <c r="G214" s="236"/>
      <c r="H214" s="40">
        <v>0</v>
      </c>
      <c r="I214" s="17">
        <v>0</v>
      </c>
      <c r="J214" s="17">
        <v>0</v>
      </c>
      <c r="K214" s="17"/>
      <c r="L214" s="16" t="s">
        <v>18</v>
      </c>
      <c r="M214" s="16" t="s">
        <v>22</v>
      </c>
      <c r="N214" s="39" t="s">
        <v>418</v>
      </c>
    </row>
    <row r="215" spans="1:14" s="12" customFormat="1" ht="18">
      <c r="A215" s="178" t="s">
        <v>80</v>
      </c>
      <c r="B215" s="75" t="s">
        <v>105</v>
      </c>
      <c r="C215" s="39" t="s">
        <v>17</v>
      </c>
      <c r="D215" s="236"/>
      <c r="E215" s="236"/>
      <c r="F215" s="236"/>
      <c r="G215" s="236"/>
      <c r="H215" s="40">
        <f>SUM(Tabla132112418[[#This Row],[PRIMER TRIMESTRE]:[CUARTO TRIMESTRE]])</f>
        <v>0</v>
      </c>
      <c r="I215" s="17">
        <v>33.64</v>
      </c>
      <c r="J215" s="17">
        <f>+Tabla132112418[[#This Row],[CANTIDAD TOTAL]]*Tabla132112418[[#This Row],[PRECIO UNITARIO ESTIMADO]]</f>
        <v>0</v>
      </c>
      <c r="K215" s="17"/>
      <c r="L215" s="16" t="s">
        <v>18</v>
      </c>
      <c r="M215" s="16" t="s">
        <v>22</v>
      </c>
      <c r="N215" s="39" t="s">
        <v>418</v>
      </c>
    </row>
    <row r="216" spans="1:14" s="12" customFormat="1" ht="18">
      <c r="A216" s="178" t="s">
        <v>80</v>
      </c>
      <c r="B216" s="75" t="s">
        <v>1725</v>
      </c>
      <c r="C216" s="70" t="s">
        <v>17</v>
      </c>
      <c r="D216" s="236"/>
      <c r="E216" s="236"/>
      <c r="F216" s="236"/>
      <c r="G216" s="236"/>
      <c r="H216" s="40">
        <v>0</v>
      </c>
      <c r="I216" s="17">
        <v>0</v>
      </c>
      <c r="J216" s="17">
        <v>0</v>
      </c>
      <c r="K216" s="17"/>
      <c r="L216" s="16" t="s">
        <v>18</v>
      </c>
      <c r="M216" s="16" t="s">
        <v>22</v>
      </c>
      <c r="N216" s="39" t="s">
        <v>418</v>
      </c>
    </row>
    <row r="217" spans="1:14" s="12" customFormat="1" ht="18">
      <c r="A217" s="178" t="s">
        <v>80</v>
      </c>
      <c r="B217" s="75" t="s">
        <v>110</v>
      </c>
      <c r="C217" s="70" t="s">
        <v>17</v>
      </c>
      <c r="D217" s="236"/>
      <c r="E217" s="236"/>
      <c r="F217" s="210"/>
      <c r="G217" s="210"/>
      <c r="H217" s="40">
        <f>SUM(Tabla132112418[[#This Row],[PRIMER TRIMESTRE]:[CUARTO TRIMESTRE]])</f>
        <v>0</v>
      </c>
      <c r="I217" s="17">
        <v>5823.23</v>
      </c>
      <c r="J217" s="17">
        <f>+Tabla132112418[[#This Row],[CANTIDAD TOTAL]]*Tabla132112418[[#This Row],[PRECIO UNITARIO ESTIMADO]]</f>
        <v>0</v>
      </c>
      <c r="K217" s="17"/>
      <c r="L217" s="16" t="s">
        <v>18</v>
      </c>
      <c r="M217" s="16" t="s">
        <v>22</v>
      </c>
      <c r="N217" s="39" t="s">
        <v>418</v>
      </c>
    </row>
    <row r="218" spans="1:14" s="12" customFormat="1" ht="18">
      <c r="A218" s="178" t="s">
        <v>80</v>
      </c>
      <c r="B218" s="77" t="s">
        <v>112</v>
      </c>
      <c r="C218" s="70" t="s">
        <v>288</v>
      </c>
      <c r="D218" s="236"/>
      <c r="E218" s="210"/>
      <c r="F218" s="210"/>
      <c r="G218" s="210"/>
      <c r="H218" s="40">
        <f>SUM(Tabla132112418[[#This Row],[PRIMER TRIMESTRE]:[CUARTO TRIMESTRE]])</f>
        <v>0</v>
      </c>
      <c r="I218" s="17">
        <v>1624</v>
      </c>
      <c r="J218" s="17">
        <f>+Tabla132112418[[#This Row],[CANTIDAD TOTAL]]*Tabla132112418[[#This Row],[PRECIO UNITARIO ESTIMADO]]</f>
        <v>0</v>
      </c>
      <c r="K218" s="17"/>
      <c r="L218" s="16" t="s">
        <v>18</v>
      </c>
      <c r="M218" s="16" t="s">
        <v>22</v>
      </c>
      <c r="N218" s="39" t="s">
        <v>418</v>
      </c>
    </row>
    <row r="219" spans="1:14" s="12" customFormat="1" ht="18">
      <c r="A219" s="178" t="s">
        <v>80</v>
      </c>
      <c r="B219" s="77" t="s">
        <v>766</v>
      </c>
      <c r="C219" s="70" t="s">
        <v>767</v>
      </c>
      <c r="D219" s="236"/>
      <c r="E219" s="210"/>
      <c r="F219" s="210"/>
      <c r="G219" s="210"/>
      <c r="H219" s="40">
        <f>SUM(Tabla132112418[[#This Row],[PRIMER TRIMESTRE]:[CUARTO TRIMESTRE]])</f>
        <v>0</v>
      </c>
      <c r="I219" s="17">
        <v>470</v>
      </c>
      <c r="J219" s="17">
        <f>+Tabla132112418[[#This Row],[CANTIDAD TOTAL]]*Tabla132112418[[#This Row],[PRECIO UNITARIO ESTIMADO]]</f>
        <v>0</v>
      </c>
      <c r="K219" s="17"/>
      <c r="L219" s="16" t="s">
        <v>18</v>
      </c>
      <c r="M219" s="16" t="s">
        <v>22</v>
      </c>
      <c r="N219" s="39" t="s">
        <v>418</v>
      </c>
    </row>
    <row r="220" spans="1:14" s="12" customFormat="1" ht="18">
      <c r="A220" s="178" t="s">
        <v>80</v>
      </c>
      <c r="B220" s="77" t="s">
        <v>1623</v>
      </c>
      <c r="C220" s="70" t="s">
        <v>17</v>
      </c>
      <c r="D220" s="236"/>
      <c r="E220" s="210"/>
      <c r="F220" s="210"/>
      <c r="G220" s="210"/>
      <c r="H220" s="40">
        <f>SUM(Tabla132112418[[#This Row],[PRIMER TRIMESTRE]:[CUARTO TRIMESTRE]])</f>
        <v>0</v>
      </c>
      <c r="I220" s="17">
        <v>1784.1</v>
      </c>
      <c r="J220" s="17">
        <f t="shared" ref="J220:J283" si="5">+H220*I220</f>
        <v>0</v>
      </c>
      <c r="K220" s="17"/>
      <c r="L220" s="16" t="s">
        <v>18</v>
      </c>
      <c r="M220" s="16" t="s">
        <v>22</v>
      </c>
      <c r="N220" s="39" t="s">
        <v>418</v>
      </c>
    </row>
    <row r="221" spans="1:14" s="12" customFormat="1" ht="18">
      <c r="A221" s="178" t="s">
        <v>80</v>
      </c>
      <c r="B221" s="77" t="s">
        <v>1431</v>
      </c>
      <c r="C221" s="70" t="s">
        <v>288</v>
      </c>
      <c r="D221" s="236"/>
      <c r="E221" s="210"/>
      <c r="F221" s="210"/>
      <c r="G221" s="210"/>
      <c r="H221" s="40">
        <f>SUM(Tabla132112418[[#This Row],[PRIMER TRIMESTRE]:[CUARTO TRIMESTRE]])</f>
        <v>0</v>
      </c>
      <c r="I221" s="17">
        <v>1395</v>
      </c>
      <c r="J221" s="17">
        <f t="shared" si="5"/>
        <v>0</v>
      </c>
      <c r="K221" s="17"/>
      <c r="L221" s="16" t="s">
        <v>18</v>
      </c>
      <c r="M221" s="16" t="s">
        <v>22</v>
      </c>
      <c r="N221" s="39" t="s">
        <v>418</v>
      </c>
    </row>
    <row r="222" spans="1:14" s="12" customFormat="1" ht="18">
      <c r="A222" s="178" t="s">
        <v>80</v>
      </c>
      <c r="B222" s="77" t="s">
        <v>921</v>
      </c>
      <c r="C222" s="70" t="s">
        <v>17</v>
      </c>
      <c r="D222" s="236"/>
      <c r="E222" s="210"/>
      <c r="F222" s="210"/>
      <c r="G222" s="210"/>
      <c r="H222" s="40">
        <f>SUM(Tabla132112418[[#This Row],[PRIMER TRIMESTRE]:[CUARTO TRIMESTRE]])</f>
        <v>0</v>
      </c>
      <c r="I222" s="17">
        <v>94</v>
      </c>
      <c r="J222" s="17">
        <f t="shared" si="5"/>
        <v>0</v>
      </c>
      <c r="K222" s="17"/>
      <c r="L222" s="16" t="s">
        <v>18</v>
      </c>
      <c r="M222" s="16" t="s">
        <v>22</v>
      </c>
      <c r="N222" s="39" t="s">
        <v>418</v>
      </c>
    </row>
    <row r="223" spans="1:14" s="12" customFormat="1" ht="25.5">
      <c r="A223" s="178" t="s">
        <v>80</v>
      </c>
      <c r="B223" s="77" t="s">
        <v>1610</v>
      </c>
      <c r="C223" s="70" t="s">
        <v>17</v>
      </c>
      <c r="D223" s="70"/>
      <c r="E223" s="70"/>
      <c r="F223" s="70"/>
      <c r="G223" s="70"/>
      <c r="H223" s="70">
        <f>SUM(Tabla132112418[[#This Row],[PRIMER TRIMESTRE]:[CUARTO TRIMESTRE]])</f>
        <v>0</v>
      </c>
      <c r="I223" s="17">
        <v>573.88</v>
      </c>
      <c r="J223" s="17">
        <f t="shared" si="5"/>
        <v>0</v>
      </c>
      <c r="K223" s="17"/>
      <c r="L223" s="16" t="s">
        <v>18</v>
      </c>
      <c r="M223" s="16" t="s">
        <v>22</v>
      </c>
      <c r="N223" s="39" t="s">
        <v>418</v>
      </c>
    </row>
    <row r="224" spans="1:14" s="12" customFormat="1" ht="38.25">
      <c r="A224" s="178" t="s">
        <v>80</v>
      </c>
      <c r="B224" s="77" t="s">
        <v>1609</v>
      </c>
      <c r="C224" s="70" t="s">
        <v>17</v>
      </c>
      <c r="D224" s="70"/>
      <c r="E224" s="70"/>
      <c r="F224" s="70"/>
      <c r="G224" s="70"/>
      <c r="H224" s="70">
        <f>SUM(Tabla132112418[[#This Row],[PRIMER TRIMESTRE]:[CUARTO TRIMESTRE]])</f>
        <v>0</v>
      </c>
      <c r="I224" s="17">
        <v>223.86</v>
      </c>
      <c r="J224" s="17">
        <f t="shared" si="5"/>
        <v>0</v>
      </c>
      <c r="K224" s="17"/>
      <c r="L224" s="16" t="s">
        <v>18</v>
      </c>
      <c r="M224" s="16" t="s">
        <v>22</v>
      </c>
      <c r="N224" s="39" t="s">
        <v>418</v>
      </c>
    </row>
    <row r="225" spans="1:14" s="12" customFormat="1" ht="18">
      <c r="A225" s="178" t="s">
        <v>80</v>
      </c>
      <c r="B225" s="77" t="s">
        <v>1181</v>
      </c>
      <c r="C225" s="70" t="s">
        <v>17</v>
      </c>
      <c r="D225" s="236"/>
      <c r="E225" s="210"/>
      <c r="F225" s="210"/>
      <c r="G225" s="210"/>
      <c r="H225" s="40">
        <f>SUM(Tabla132112418[[#This Row],[PRIMER TRIMESTRE]:[CUARTO TRIMESTRE]])</f>
        <v>0</v>
      </c>
      <c r="I225" s="17">
        <v>175</v>
      </c>
      <c r="J225" s="17">
        <f t="shared" si="5"/>
        <v>0</v>
      </c>
      <c r="K225" s="17"/>
      <c r="L225" s="16" t="s">
        <v>18</v>
      </c>
      <c r="M225" s="16" t="s">
        <v>22</v>
      </c>
      <c r="N225" s="39" t="s">
        <v>418</v>
      </c>
    </row>
    <row r="226" spans="1:14" s="12" customFormat="1" ht="18">
      <c r="A226" s="178" t="s">
        <v>80</v>
      </c>
      <c r="B226" s="75" t="s">
        <v>730</v>
      </c>
      <c r="C226" s="70" t="s">
        <v>17</v>
      </c>
      <c r="D226" s="236"/>
      <c r="E226" s="210"/>
      <c r="F226" s="210"/>
      <c r="G226" s="210"/>
      <c r="H226" s="40">
        <f>SUM(Tabla132112418[[#This Row],[PRIMER TRIMESTRE]:[CUARTO TRIMESTRE]])</f>
        <v>0</v>
      </c>
      <c r="I226" s="17">
        <v>246.34</v>
      </c>
      <c r="J226" s="17">
        <f t="shared" si="5"/>
        <v>0</v>
      </c>
      <c r="K226" s="17"/>
      <c r="L226" s="16" t="s">
        <v>18</v>
      </c>
      <c r="M226" s="16" t="s">
        <v>22</v>
      </c>
      <c r="N226" s="39" t="s">
        <v>418</v>
      </c>
    </row>
    <row r="227" spans="1:14" s="12" customFormat="1" ht="18">
      <c r="A227" s="178" t="s">
        <v>80</v>
      </c>
      <c r="B227" s="75" t="s">
        <v>570</v>
      </c>
      <c r="C227" s="70" t="s">
        <v>17</v>
      </c>
      <c r="D227" s="236"/>
      <c r="E227" s="210"/>
      <c r="F227" s="210"/>
      <c r="G227" s="210"/>
      <c r="H227" s="40">
        <f>SUM(Tabla132112418[[#This Row],[PRIMER TRIMESTRE]:[CUARTO TRIMESTRE]])</f>
        <v>0</v>
      </c>
      <c r="I227" s="17">
        <v>4100</v>
      </c>
      <c r="J227" s="17">
        <f t="shared" si="5"/>
        <v>0</v>
      </c>
      <c r="K227" s="17"/>
      <c r="L227" s="16" t="s">
        <v>18</v>
      </c>
      <c r="M227" s="16" t="s">
        <v>22</v>
      </c>
      <c r="N227" s="39" t="s">
        <v>418</v>
      </c>
    </row>
    <row r="228" spans="1:14" s="12" customFormat="1" ht="18">
      <c r="A228" s="178" t="s">
        <v>80</v>
      </c>
      <c r="B228" s="75" t="s">
        <v>919</v>
      </c>
      <c r="C228" s="70" t="s">
        <v>17</v>
      </c>
      <c r="D228" s="236"/>
      <c r="E228" s="210"/>
      <c r="F228" s="210"/>
      <c r="G228" s="210"/>
      <c r="H228" s="40">
        <f>SUM(Tabla132112418[[#This Row],[PRIMER TRIMESTRE]:[CUARTO TRIMESTRE]])</f>
        <v>0</v>
      </c>
      <c r="I228" s="17">
        <v>31500</v>
      </c>
      <c r="J228" s="17">
        <f t="shared" si="5"/>
        <v>0</v>
      </c>
      <c r="K228" s="17"/>
      <c r="L228" s="16" t="s">
        <v>18</v>
      </c>
      <c r="M228" s="16" t="s">
        <v>22</v>
      </c>
      <c r="N228" s="39"/>
    </row>
    <row r="229" spans="1:14" s="12" customFormat="1" ht="18">
      <c r="A229" s="178" t="s">
        <v>80</v>
      </c>
      <c r="B229" s="75" t="s">
        <v>1555</v>
      </c>
      <c r="C229" s="70" t="s">
        <v>17</v>
      </c>
      <c r="D229" s="236"/>
      <c r="E229" s="236"/>
      <c r="F229" s="236"/>
      <c r="G229" s="236"/>
      <c r="H229" s="236">
        <f>SUM(Tabla132112418[[#This Row],[PRIMER TRIMESTRE]:[CUARTO TRIMESTRE]])</f>
        <v>0</v>
      </c>
      <c r="I229" s="17">
        <v>324</v>
      </c>
      <c r="J229" s="17">
        <f t="shared" si="5"/>
        <v>0</v>
      </c>
      <c r="K229" s="17"/>
      <c r="L229" s="16" t="s">
        <v>18</v>
      </c>
      <c r="M229" s="16" t="s">
        <v>22</v>
      </c>
      <c r="N229" s="39"/>
    </row>
    <row r="230" spans="1:14" s="12" customFormat="1" ht="18">
      <c r="A230" s="178" t="s">
        <v>80</v>
      </c>
      <c r="B230" s="75" t="s">
        <v>1590</v>
      </c>
      <c r="C230" s="176" t="s">
        <v>17</v>
      </c>
      <c r="D230" s="236"/>
      <c r="E230" s="236"/>
      <c r="F230" s="236"/>
      <c r="G230" s="236"/>
      <c r="H230" s="236">
        <f>SUM(Tabla132112418[[#This Row],[PRIMER TRIMESTRE]:[CUARTO TRIMESTRE]])</f>
        <v>0</v>
      </c>
      <c r="I230" s="17">
        <v>196.4</v>
      </c>
      <c r="J230" s="17">
        <f t="shared" si="5"/>
        <v>0</v>
      </c>
      <c r="K230" s="17"/>
      <c r="L230" s="16" t="s">
        <v>18</v>
      </c>
      <c r="M230" s="16" t="s">
        <v>22</v>
      </c>
      <c r="N230" s="39"/>
    </row>
    <row r="231" spans="1:14" s="12" customFormat="1" ht="18">
      <c r="A231" s="178" t="s">
        <v>80</v>
      </c>
      <c r="B231" s="75" t="s">
        <v>1556</v>
      </c>
      <c r="C231" s="176" t="s">
        <v>17</v>
      </c>
      <c r="D231" s="236"/>
      <c r="E231" s="236"/>
      <c r="F231" s="236"/>
      <c r="G231" s="236"/>
      <c r="H231" s="236">
        <f>SUM(Tabla132112418[[#This Row],[PRIMER TRIMESTRE]:[CUARTO TRIMESTRE]])</f>
        <v>0</v>
      </c>
      <c r="I231" s="17">
        <v>390</v>
      </c>
      <c r="J231" s="17">
        <f t="shared" si="5"/>
        <v>0</v>
      </c>
      <c r="K231" s="17"/>
      <c r="L231" s="16" t="s">
        <v>18</v>
      </c>
      <c r="M231" s="16" t="s">
        <v>22</v>
      </c>
      <c r="N231" s="39"/>
    </row>
    <row r="232" spans="1:14" s="12" customFormat="1" ht="25.5">
      <c r="A232" s="178" t="s">
        <v>80</v>
      </c>
      <c r="B232" s="77" t="s">
        <v>925</v>
      </c>
      <c r="C232" s="39" t="s">
        <v>93</v>
      </c>
      <c r="D232" s="236"/>
      <c r="E232" s="236"/>
      <c r="F232" s="236"/>
      <c r="G232" s="236"/>
      <c r="H232" s="40">
        <f>SUM(Tabla132112418[[#This Row],[PRIMER TRIMESTRE]:[CUARTO TRIMESTRE]])</f>
        <v>0</v>
      </c>
      <c r="I232" s="17">
        <v>125</v>
      </c>
      <c r="J232" s="17">
        <f t="shared" si="5"/>
        <v>0</v>
      </c>
      <c r="K232" s="17"/>
      <c r="L232" s="16" t="s">
        <v>18</v>
      </c>
      <c r="M232" s="16" t="s">
        <v>22</v>
      </c>
      <c r="N232" s="39"/>
    </row>
    <row r="233" spans="1:14" s="12" customFormat="1" ht="25.5">
      <c r="A233" s="178" t="s">
        <v>80</v>
      </c>
      <c r="B233" s="77" t="s">
        <v>926</v>
      </c>
      <c r="C233" s="39" t="s">
        <v>93</v>
      </c>
      <c r="D233" s="236"/>
      <c r="E233" s="236"/>
      <c r="F233" s="236"/>
      <c r="G233" s="236"/>
      <c r="H233" s="40">
        <f>SUM(Tabla132112418[[#This Row],[PRIMER TRIMESTRE]:[CUARTO TRIMESTRE]])</f>
        <v>0</v>
      </c>
      <c r="I233" s="17">
        <v>150</v>
      </c>
      <c r="J233" s="17">
        <f t="shared" si="5"/>
        <v>0</v>
      </c>
      <c r="K233" s="17"/>
      <c r="L233" s="16" t="s">
        <v>18</v>
      </c>
      <c r="M233" s="16" t="s">
        <v>22</v>
      </c>
      <c r="N233" s="39"/>
    </row>
    <row r="234" spans="1:14" s="12" customFormat="1" ht="18">
      <c r="A234" s="178" t="s">
        <v>80</v>
      </c>
      <c r="B234" s="77" t="s">
        <v>927</v>
      </c>
      <c r="C234" s="39" t="s">
        <v>17</v>
      </c>
      <c r="D234" s="236"/>
      <c r="E234" s="236"/>
      <c r="F234" s="236"/>
      <c r="G234" s="236"/>
      <c r="H234" s="40">
        <f>SUM(Tabla132112418[[#This Row],[PRIMER TRIMESTRE]:[CUARTO TRIMESTRE]])</f>
        <v>0</v>
      </c>
      <c r="I234" s="17">
        <v>25000</v>
      </c>
      <c r="J234" s="17">
        <f t="shared" si="5"/>
        <v>0</v>
      </c>
      <c r="K234" s="17"/>
      <c r="L234" s="16" t="s">
        <v>18</v>
      </c>
      <c r="M234" s="16" t="s">
        <v>22</v>
      </c>
      <c r="N234" s="39"/>
    </row>
    <row r="235" spans="1:14" s="12" customFormat="1" ht="18">
      <c r="A235" s="178" t="s">
        <v>80</v>
      </c>
      <c r="B235" s="77" t="s">
        <v>928</v>
      </c>
      <c r="C235" s="39" t="s">
        <v>17</v>
      </c>
      <c r="D235" s="236"/>
      <c r="E235" s="236"/>
      <c r="F235" s="236"/>
      <c r="G235" s="236"/>
      <c r="H235" s="40">
        <f>SUM(Tabla132112418[[#This Row],[PRIMER TRIMESTRE]:[CUARTO TRIMESTRE]])</f>
        <v>0</v>
      </c>
      <c r="I235" s="17">
        <v>10000</v>
      </c>
      <c r="J235" s="17">
        <f t="shared" si="5"/>
        <v>0</v>
      </c>
      <c r="K235" s="17"/>
      <c r="L235" s="16" t="s">
        <v>18</v>
      </c>
      <c r="M235" s="16" t="s">
        <v>22</v>
      </c>
      <c r="N235" s="39"/>
    </row>
    <row r="236" spans="1:14" s="12" customFormat="1" ht="18">
      <c r="A236" s="178" t="s">
        <v>80</v>
      </c>
      <c r="B236" s="77" t="s">
        <v>929</v>
      </c>
      <c r="C236" s="39" t="s">
        <v>17</v>
      </c>
      <c r="D236" s="236"/>
      <c r="E236" s="236"/>
      <c r="F236" s="236"/>
      <c r="G236" s="236"/>
      <c r="H236" s="40">
        <f>SUM(Tabla132112418[[#This Row],[PRIMER TRIMESTRE]:[CUARTO TRIMESTRE]])</f>
        <v>0</v>
      </c>
      <c r="I236" s="17">
        <v>1000</v>
      </c>
      <c r="J236" s="17">
        <f t="shared" si="5"/>
        <v>0</v>
      </c>
      <c r="K236" s="17"/>
      <c r="L236" s="16" t="s">
        <v>18</v>
      </c>
      <c r="M236" s="16" t="s">
        <v>22</v>
      </c>
      <c r="N236" s="39"/>
    </row>
    <row r="237" spans="1:14" s="12" customFormat="1" ht="18">
      <c r="A237" s="178" t="s">
        <v>80</v>
      </c>
      <c r="B237" s="77" t="s">
        <v>930</v>
      </c>
      <c r="C237" s="39" t="s">
        <v>17</v>
      </c>
      <c r="D237" s="236"/>
      <c r="E237" s="236"/>
      <c r="F237" s="236"/>
      <c r="G237" s="236"/>
      <c r="H237" s="40">
        <f>SUM(Tabla132112418[[#This Row],[PRIMER TRIMESTRE]:[CUARTO TRIMESTRE]])</f>
        <v>0</v>
      </c>
      <c r="I237" s="17">
        <v>2500</v>
      </c>
      <c r="J237" s="17">
        <f t="shared" si="5"/>
        <v>0</v>
      </c>
      <c r="K237" s="17"/>
      <c r="L237" s="16" t="s">
        <v>18</v>
      </c>
      <c r="M237" s="16" t="s">
        <v>22</v>
      </c>
      <c r="N237" s="39"/>
    </row>
    <row r="238" spans="1:14" s="12" customFormat="1" ht="18">
      <c r="A238" s="178" t="s">
        <v>80</v>
      </c>
      <c r="B238" s="77" t="s">
        <v>931</v>
      </c>
      <c r="C238" s="39" t="s">
        <v>17</v>
      </c>
      <c r="D238" s="236"/>
      <c r="E238" s="236"/>
      <c r="F238" s="236"/>
      <c r="G238" s="236"/>
      <c r="H238" s="40">
        <f>SUM(Tabla132112418[[#This Row],[PRIMER TRIMESTRE]:[CUARTO TRIMESTRE]])</f>
        <v>0</v>
      </c>
      <c r="I238" s="17">
        <v>5000</v>
      </c>
      <c r="J238" s="17">
        <f t="shared" si="5"/>
        <v>0</v>
      </c>
      <c r="K238" s="17"/>
      <c r="L238" s="16" t="s">
        <v>18</v>
      </c>
      <c r="M238" s="16" t="s">
        <v>22</v>
      </c>
      <c r="N238" s="39"/>
    </row>
    <row r="239" spans="1:14" s="12" customFormat="1" ht="18">
      <c r="A239" s="178" t="s">
        <v>80</v>
      </c>
      <c r="B239" s="75" t="s">
        <v>694</v>
      </c>
      <c r="C239" s="70" t="s">
        <v>17</v>
      </c>
      <c r="D239" s="236"/>
      <c r="E239" s="210"/>
      <c r="F239" s="210"/>
      <c r="G239" s="210"/>
      <c r="H239" s="40">
        <f>SUM(Tabla132112418[[#This Row],[PRIMER TRIMESTRE]:[CUARTO TRIMESTRE]])</f>
        <v>0</v>
      </c>
      <c r="I239" s="72">
        <v>850</v>
      </c>
      <c r="J239" s="17">
        <f t="shared" si="5"/>
        <v>0</v>
      </c>
      <c r="K239" s="17"/>
      <c r="L239" s="16" t="s">
        <v>18</v>
      </c>
      <c r="M239" s="16" t="s">
        <v>22</v>
      </c>
      <c r="N239" s="39" t="s">
        <v>418</v>
      </c>
    </row>
    <row r="240" spans="1:14" s="12" customFormat="1" ht="18">
      <c r="A240" s="178" t="s">
        <v>80</v>
      </c>
      <c r="B240" s="75" t="s">
        <v>695</v>
      </c>
      <c r="C240" s="70" t="s">
        <v>17</v>
      </c>
      <c r="D240" s="236"/>
      <c r="E240" s="210"/>
      <c r="F240" s="210"/>
      <c r="G240" s="210"/>
      <c r="H240" s="40">
        <f>SUM(Tabla132112418[[#This Row],[PRIMER TRIMESTRE]:[CUARTO TRIMESTRE]])</f>
        <v>0</v>
      </c>
      <c r="I240" s="72">
        <v>850</v>
      </c>
      <c r="J240" s="17">
        <f t="shared" si="5"/>
        <v>0</v>
      </c>
      <c r="K240" s="17"/>
      <c r="L240" s="16" t="s">
        <v>18</v>
      </c>
      <c r="M240" s="16" t="s">
        <v>22</v>
      </c>
      <c r="N240" s="39" t="s">
        <v>418</v>
      </c>
    </row>
    <row r="241" spans="1:14" s="12" customFormat="1" ht="18">
      <c r="A241" s="178" t="s">
        <v>80</v>
      </c>
      <c r="B241" s="75" t="s">
        <v>1182</v>
      </c>
      <c r="C241" s="70" t="s">
        <v>17</v>
      </c>
      <c r="D241" s="236"/>
      <c r="E241" s="210"/>
      <c r="F241" s="210"/>
      <c r="G241" s="210"/>
      <c r="H241" s="40">
        <f>SUM(Tabla132112418[[#This Row],[PRIMER TRIMESTRE]:[CUARTO TRIMESTRE]])</f>
        <v>0</v>
      </c>
      <c r="I241" s="72">
        <v>850</v>
      </c>
      <c r="J241" s="17">
        <f t="shared" si="5"/>
        <v>0</v>
      </c>
      <c r="K241" s="17"/>
      <c r="L241" s="16" t="s">
        <v>18</v>
      </c>
      <c r="M241" s="16" t="s">
        <v>22</v>
      </c>
      <c r="N241" s="39" t="s">
        <v>418</v>
      </c>
    </row>
    <row r="242" spans="1:14" s="12" customFormat="1" ht="18">
      <c r="A242" s="178" t="s">
        <v>80</v>
      </c>
      <c r="B242" s="75" t="s">
        <v>1183</v>
      </c>
      <c r="C242" s="70" t="s">
        <v>17</v>
      </c>
      <c r="D242" s="236"/>
      <c r="E242" s="210"/>
      <c r="F242" s="210"/>
      <c r="G242" s="210"/>
      <c r="H242" s="40">
        <f>SUM(Tabla132112418[[#This Row],[PRIMER TRIMESTRE]:[CUARTO TRIMESTRE]])</f>
        <v>0</v>
      </c>
      <c r="I242" s="72">
        <v>850</v>
      </c>
      <c r="J242" s="17">
        <f t="shared" si="5"/>
        <v>0</v>
      </c>
      <c r="K242" s="17"/>
      <c r="L242" s="16" t="s">
        <v>18</v>
      </c>
      <c r="M242" s="16" t="s">
        <v>22</v>
      </c>
      <c r="N242" s="39" t="s">
        <v>418</v>
      </c>
    </row>
    <row r="243" spans="1:14" s="12" customFormat="1" ht="18">
      <c r="A243" s="178" t="s">
        <v>80</v>
      </c>
      <c r="B243" s="75" t="s">
        <v>1184</v>
      </c>
      <c r="C243" s="70" t="s">
        <v>17</v>
      </c>
      <c r="D243" s="236"/>
      <c r="E243" s="210"/>
      <c r="F243" s="210"/>
      <c r="G243" s="210"/>
      <c r="H243" s="40">
        <f>SUM(Tabla132112418[[#This Row],[PRIMER TRIMESTRE]:[CUARTO TRIMESTRE]])</f>
        <v>0</v>
      </c>
      <c r="I243" s="72">
        <v>850</v>
      </c>
      <c r="J243" s="17">
        <f t="shared" si="5"/>
        <v>0</v>
      </c>
      <c r="K243" s="17"/>
      <c r="L243" s="16" t="s">
        <v>18</v>
      </c>
      <c r="M243" s="16" t="s">
        <v>22</v>
      </c>
      <c r="N243" s="39" t="s">
        <v>418</v>
      </c>
    </row>
    <row r="244" spans="1:14" s="12" customFormat="1" ht="18">
      <c r="A244" s="178" t="s">
        <v>80</v>
      </c>
      <c r="B244" s="75" t="s">
        <v>1185</v>
      </c>
      <c r="C244" s="70" t="s">
        <v>17</v>
      </c>
      <c r="D244" s="236"/>
      <c r="E244" s="210"/>
      <c r="F244" s="210"/>
      <c r="G244" s="210"/>
      <c r="H244" s="40">
        <f>SUM(Tabla132112418[[#This Row],[PRIMER TRIMESTRE]:[CUARTO TRIMESTRE]])</f>
        <v>0</v>
      </c>
      <c r="I244" s="72">
        <v>850</v>
      </c>
      <c r="J244" s="17">
        <f t="shared" si="5"/>
        <v>0</v>
      </c>
      <c r="K244" s="17"/>
      <c r="L244" s="16" t="s">
        <v>18</v>
      </c>
      <c r="M244" s="16" t="s">
        <v>22</v>
      </c>
      <c r="N244" s="39" t="s">
        <v>418</v>
      </c>
    </row>
    <row r="245" spans="1:14" s="12" customFormat="1" ht="18">
      <c r="A245" s="178" t="s">
        <v>80</v>
      </c>
      <c r="B245" s="75" t="s">
        <v>696</v>
      </c>
      <c r="C245" s="70" t="s">
        <v>17</v>
      </c>
      <c r="D245" s="236"/>
      <c r="E245" s="210"/>
      <c r="F245" s="210"/>
      <c r="G245" s="210"/>
      <c r="H245" s="40">
        <f>SUM(Tabla132112418[[#This Row],[PRIMER TRIMESTRE]:[CUARTO TRIMESTRE]])</f>
        <v>0</v>
      </c>
      <c r="I245" s="72">
        <v>970</v>
      </c>
      <c r="J245" s="17">
        <f t="shared" si="5"/>
        <v>0</v>
      </c>
      <c r="K245" s="17"/>
      <c r="L245" s="16" t="s">
        <v>18</v>
      </c>
      <c r="M245" s="16" t="s">
        <v>22</v>
      </c>
      <c r="N245" s="39" t="s">
        <v>418</v>
      </c>
    </row>
    <row r="246" spans="1:14" s="12" customFormat="1" ht="18">
      <c r="A246" s="178" t="s">
        <v>80</v>
      </c>
      <c r="B246" s="75" t="s">
        <v>1186</v>
      </c>
      <c r="C246" s="70" t="s">
        <v>17</v>
      </c>
      <c r="D246" s="236"/>
      <c r="E246" s="210"/>
      <c r="F246" s="210"/>
      <c r="G246" s="210"/>
      <c r="H246" s="40">
        <f>SUM(Tabla132112418[[#This Row],[PRIMER TRIMESTRE]:[CUARTO TRIMESTRE]])</f>
        <v>0</v>
      </c>
      <c r="I246" s="72">
        <v>850</v>
      </c>
      <c r="J246" s="17">
        <f t="shared" si="5"/>
        <v>0</v>
      </c>
      <c r="K246" s="17"/>
      <c r="L246" s="16" t="s">
        <v>18</v>
      </c>
      <c r="M246" s="16" t="s">
        <v>22</v>
      </c>
      <c r="N246" s="39" t="s">
        <v>418</v>
      </c>
    </row>
    <row r="247" spans="1:14" s="12" customFormat="1" ht="18">
      <c r="A247" s="178" t="s">
        <v>80</v>
      </c>
      <c r="B247" s="75" t="s">
        <v>1187</v>
      </c>
      <c r="C247" s="70" t="s">
        <v>17</v>
      </c>
      <c r="D247" s="236"/>
      <c r="E247" s="210"/>
      <c r="F247" s="210"/>
      <c r="G247" s="210"/>
      <c r="H247" s="40">
        <f>SUM(Tabla132112418[[#This Row],[PRIMER TRIMESTRE]:[CUARTO TRIMESTRE]])</f>
        <v>0</v>
      </c>
      <c r="I247" s="72">
        <v>850</v>
      </c>
      <c r="J247" s="17">
        <f t="shared" si="5"/>
        <v>0</v>
      </c>
      <c r="K247" s="17"/>
      <c r="L247" s="16" t="s">
        <v>18</v>
      </c>
      <c r="M247" s="16" t="s">
        <v>22</v>
      </c>
      <c r="N247" s="39" t="s">
        <v>418</v>
      </c>
    </row>
    <row r="248" spans="1:14" s="12" customFormat="1" ht="18">
      <c r="A248" s="178" t="s">
        <v>80</v>
      </c>
      <c r="B248" s="75" t="s">
        <v>1188</v>
      </c>
      <c r="C248" s="70" t="s">
        <v>17</v>
      </c>
      <c r="D248" s="236"/>
      <c r="E248" s="210"/>
      <c r="F248" s="210"/>
      <c r="G248" s="210"/>
      <c r="H248" s="40">
        <f>SUM(Tabla132112418[[#This Row],[PRIMER TRIMESTRE]:[CUARTO TRIMESTRE]])</f>
        <v>0</v>
      </c>
      <c r="I248" s="72">
        <v>850</v>
      </c>
      <c r="J248" s="17">
        <f t="shared" si="5"/>
        <v>0</v>
      </c>
      <c r="K248" s="17"/>
      <c r="L248" s="16" t="s">
        <v>18</v>
      </c>
      <c r="M248" s="16" t="s">
        <v>22</v>
      </c>
      <c r="N248" s="39" t="s">
        <v>418</v>
      </c>
    </row>
    <row r="249" spans="1:14" s="12" customFormat="1" ht="18">
      <c r="A249" s="178" t="s">
        <v>80</v>
      </c>
      <c r="B249" s="75" t="s">
        <v>1189</v>
      </c>
      <c r="C249" s="70" t="s">
        <v>17</v>
      </c>
      <c r="D249" s="236"/>
      <c r="E249" s="210"/>
      <c r="F249" s="210"/>
      <c r="G249" s="210"/>
      <c r="H249" s="40">
        <f>SUM(Tabla132112418[[#This Row],[PRIMER TRIMESTRE]:[CUARTO TRIMESTRE]])</f>
        <v>0</v>
      </c>
      <c r="I249" s="72">
        <v>850</v>
      </c>
      <c r="J249" s="17">
        <f t="shared" si="5"/>
        <v>0</v>
      </c>
      <c r="K249" s="17"/>
      <c r="L249" s="16" t="s">
        <v>18</v>
      </c>
      <c r="M249" s="16" t="s">
        <v>22</v>
      </c>
      <c r="N249" s="39" t="s">
        <v>418</v>
      </c>
    </row>
    <row r="250" spans="1:14" s="12" customFormat="1" ht="18">
      <c r="A250" s="178" t="s">
        <v>80</v>
      </c>
      <c r="B250" s="75" t="s">
        <v>1190</v>
      </c>
      <c r="C250" s="70" t="s">
        <v>17</v>
      </c>
      <c r="D250" s="236"/>
      <c r="E250" s="210"/>
      <c r="F250" s="210"/>
      <c r="G250" s="210"/>
      <c r="H250" s="40">
        <f>SUM(Tabla132112418[[#This Row],[PRIMER TRIMESTRE]:[CUARTO TRIMESTRE]])</f>
        <v>0</v>
      </c>
      <c r="I250" s="72">
        <v>970</v>
      </c>
      <c r="J250" s="17">
        <f t="shared" si="5"/>
        <v>0</v>
      </c>
      <c r="K250" s="17"/>
      <c r="L250" s="16" t="s">
        <v>18</v>
      </c>
      <c r="M250" s="16" t="s">
        <v>22</v>
      </c>
      <c r="N250" s="39" t="s">
        <v>418</v>
      </c>
    </row>
    <row r="251" spans="1:14" s="12" customFormat="1" ht="18">
      <c r="A251" s="178" t="s">
        <v>80</v>
      </c>
      <c r="B251" s="75" t="s">
        <v>1191</v>
      </c>
      <c r="C251" s="70" t="s">
        <v>17</v>
      </c>
      <c r="D251" s="236"/>
      <c r="E251" s="210"/>
      <c r="F251" s="210"/>
      <c r="G251" s="210"/>
      <c r="H251" s="40">
        <f>SUM(Tabla132112418[[#This Row],[PRIMER TRIMESTRE]:[CUARTO TRIMESTRE]])</f>
        <v>0</v>
      </c>
      <c r="I251" s="72">
        <v>970</v>
      </c>
      <c r="J251" s="17">
        <f t="shared" si="5"/>
        <v>0</v>
      </c>
      <c r="K251" s="17"/>
      <c r="L251" s="16" t="s">
        <v>18</v>
      </c>
      <c r="M251" s="16" t="s">
        <v>22</v>
      </c>
      <c r="N251" s="39" t="s">
        <v>418</v>
      </c>
    </row>
    <row r="252" spans="1:14" s="12" customFormat="1" ht="18">
      <c r="A252" s="178" t="s">
        <v>80</v>
      </c>
      <c r="B252" s="75" t="s">
        <v>1192</v>
      </c>
      <c r="C252" s="70" t="s">
        <v>17</v>
      </c>
      <c r="D252" s="236"/>
      <c r="E252" s="210"/>
      <c r="F252" s="210"/>
      <c r="G252" s="210"/>
      <c r="H252" s="40">
        <f>SUM(Tabla132112418[[#This Row],[PRIMER TRIMESTRE]:[CUARTO TRIMESTRE]])</f>
        <v>0</v>
      </c>
      <c r="I252" s="72">
        <v>970</v>
      </c>
      <c r="J252" s="17">
        <f t="shared" si="5"/>
        <v>0</v>
      </c>
      <c r="K252" s="17"/>
      <c r="L252" s="16" t="s">
        <v>18</v>
      </c>
      <c r="M252" s="16" t="s">
        <v>22</v>
      </c>
      <c r="N252" s="39" t="s">
        <v>418</v>
      </c>
    </row>
    <row r="253" spans="1:14" s="12" customFormat="1" ht="18">
      <c r="A253" s="178" t="s">
        <v>80</v>
      </c>
      <c r="B253" s="75" t="s">
        <v>1193</v>
      </c>
      <c r="C253" s="70" t="s">
        <v>17</v>
      </c>
      <c r="D253" s="236"/>
      <c r="E253" s="210"/>
      <c r="F253" s="210"/>
      <c r="G253" s="210"/>
      <c r="H253" s="40">
        <f>SUM(Tabla132112418[[#This Row],[PRIMER TRIMESTRE]:[CUARTO TRIMESTRE]])</f>
        <v>0</v>
      </c>
      <c r="I253" s="72">
        <v>970</v>
      </c>
      <c r="J253" s="17">
        <f t="shared" si="5"/>
        <v>0</v>
      </c>
      <c r="K253" s="17"/>
      <c r="L253" s="16" t="s">
        <v>18</v>
      </c>
      <c r="M253" s="16" t="s">
        <v>22</v>
      </c>
      <c r="N253" s="39" t="s">
        <v>418</v>
      </c>
    </row>
    <row r="254" spans="1:14" s="12" customFormat="1" ht="18">
      <c r="A254" s="178" t="s">
        <v>80</v>
      </c>
      <c r="B254" s="75" t="s">
        <v>1194</v>
      </c>
      <c r="C254" s="70" t="s">
        <v>17</v>
      </c>
      <c r="D254" s="236"/>
      <c r="E254" s="210"/>
      <c r="F254" s="210"/>
      <c r="G254" s="210"/>
      <c r="H254" s="40">
        <f>SUM(Tabla132112418[[#This Row],[PRIMER TRIMESTRE]:[CUARTO TRIMESTRE]])</f>
        <v>0</v>
      </c>
      <c r="I254" s="72">
        <v>970</v>
      </c>
      <c r="J254" s="17">
        <f t="shared" si="5"/>
        <v>0</v>
      </c>
      <c r="K254" s="17"/>
      <c r="L254" s="16" t="s">
        <v>18</v>
      </c>
      <c r="M254" s="16" t="s">
        <v>22</v>
      </c>
      <c r="N254" s="39" t="s">
        <v>418</v>
      </c>
    </row>
    <row r="255" spans="1:14" s="12" customFormat="1" ht="18">
      <c r="A255" s="178" t="s">
        <v>80</v>
      </c>
      <c r="B255" s="75" t="s">
        <v>1195</v>
      </c>
      <c r="C255" s="70" t="s">
        <v>17</v>
      </c>
      <c r="D255" s="236"/>
      <c r="E255" s="210"/>
      <c r="F255" s="210"/>
      <c r="G255" s="210"/>
      <c r="H255" s="40">
        <f>SUM(Tabla132112418[[#This Row],[PRIMER TRIMESTRE]:[CUARTO TRIMESTRE]])</f>
        <v>0</v>
      </c>
      <c r="I255" s="72">
        <v>1870</v>
      </c>
      <c r="J255" s="17">
        <f t="shared" si="5"/>
        <v>0</v>
      </c>
      <c r="K255" s="17"/>
      <c r="L255" s="16" t="s">
        <v>18</v>
      </c>
      <c r="M255" s="16" t="s">
        <v>22</v>
      </c>
      <c r="N255" s="39" t="s">
        <v>418</v>
      </c>
    </row>
    <row r="256" spans="1:14" s="12" customFormat="1" ht="18">
      <c r="A256" s="178" t="s">
        <v>80</v>
      </c>
      <c r="B256" s="75" t="s">
        <v>1196</v>
      </c>
      <c r="C256" s="70" t="s">
        <v>17</v>
      </c>
      <c r="D256" s="236"/>
      <c r="E256" s="210"/>
      <c r="F256" s="210"/>
      <c r="G256" s="210"/>
      <c r="H256" s="40">
        <f>SUM(Tabla132112418[[#This Row],[PRIMER TRIMESTRE]:[CUARTO TRIMESTRE]])</f>
        <v>0</v>
      </c>
      <c r="I256" s="72">
        <v>2150</v>
      </c>
      <c r="J256" s="17">
        <f t="shared" si="5"/>
        <v>0</v>
      </c>
      <c r="K256" s="17"/>
      <c r="L256" s="16" t="s">
        <v>18</v>
      </c>
      <c r="M256" s="16" t="s">
        <v>22</v>
      </c>
      <c r="N256" s="39" t="s">
        <v>418</v>
      </c>
    </row>
    <row r="257" spans="1:14" s="12" customFormat="1" ht="18">
      <c r="A257" s="178" t="s">
        <v>80</v>
      </c>
      <c r="B257" s="75" t="s">
        <v>1197</v>
      </c>
      <c r="C257" s="70" t="s">
        <v>17</v>
      </c>
      <c r="D257" s="236"/>
      <c r="E257" s="210"/>
      <c r="F257" s="210"/>
      <c r="G257" s="210"/>
      <c r="H257" s="40">
        <f>SUM(Tabla132112418[[#This Row],[PRIMER TRIMESTRE]:[CUARTO TRIMESTRE]])</f>
        <v>0</v>
      </c>
      <c r="I257" s="72">
        <v>2860</v>
      </c>
      <c r="J257" s="17">
        <f t="shared" si="5"/>
        <v>0</v>
      </c>
      <c r="K257" s="17"/>
      <c r="L257" s="16" t="s">
        <v>18</v>
      </c>
      <c r="M257" s="16" t="s">
        <v>22</v>
      </c>
      <c r="N257" s="39" t="s">
        <v>418</v>
      </c>
    </row>
    <row r="258" spans="1:14" s="12" customFormat="1" ht="18">
      <c r="A258" s="178" t="s">
        <v>80</v>
      </c>
      <c r="B258" s="75" t="s">
        <v>1198</v>
      </c>
      <c r="C258" s="70" t="s">
        <v>17</v>
      </c>
      <c r="D258" s="236"/>
      <c r="E258" s="210"/>
      <c r="F258" s="210"/>
      <c r="G258" s="210"/>
      <c r="H258" s="40">
        <f>SUM(Tabla132112418[[#This Row],[PRIMER TRIMESTRE]:[CUARTO TRIMESTRE]])</f>
        <v>0</v>
      </c>
      <c r="I258" s="72">
        <v>2860</v>
      </c>
      <c r="J258" s="17">
        <f t="shared" si="5"/>
        <v>0</v>
      </c>
      <c r="K258" s="17"/>
      <c r="L258" s="16" t="s">
        <v>18</v>
      </c>
      <c r="M258" s="16" t="s">
        <v>22</v>
      </c>
      <c r="N258" s="39" t="s">
        <v>418</v>
      </c>
    </row>
    <row r="259" spans="1:14" s="12" customFormat="1" ht="18">
      <c r="A259" s="178" t="s">
        <v>80</v>
      </c>
      <c r="B259" s="75" t="s">
        <v>1199</v>
      </c>
      <c r="C259" s="70" t="s">
        <v>17</v>
      </c>
      <c r="D259" s="236"/>
      <c r="E259" s="210"/>
      <c r="F259" s="210"/>
      <c r="G259" s="210"/>
      <c r="H259" s="40">
        <f>SUM(Tabla132112418[[#This Row],[PRIMER TRIMESTRE]:[CUARTO TRIMESTRE]])</f>
        <v>0</v>
      </c>
      <c r="I259" s="72">
        <v>2860</v>
      </c>
      <c r="J259" s="17">
        <f t="shared" si="5"/>
        <v>0</v>
      </c>
      <c r="K259" s="17"/>
      <c r="L259" s="16" t="s">
        <v>18</v>
      </c>
      <c r="M259" s="16" t="s">
        <v>22</v>
      </c>
      <c r="N259" s="39" t="s">
        <v>418</v>
      </c>
    </row>
    <row r="260" spans="1:14" s="12" customFormat="1" ht="18">
      <c r="A260" s="178" t="s">
        <v>80</v>
      </c>
      <c r="B260" s="75" t="s">
        <v>1200</v>
      </c>
      <c r="C260" s="70" t="s">
        <v>17</v>
      </c>
      <c r="D260" s="236"/>
      <c r="E260" s="210"/>
      <c r="F260" s="210"/>
      <c r="G260" s="210"/>
      <c r="H260" s="40">
        <f>SUM(Tabla132112418[[#This Row],[PRIMER TRIMESTRE]:[CUARTO TRIMESTRE]])</f>
        <v>0</v>
      </c>
      <c r="I260" s="72">
        <v>2860</v>
      </c>
      <c r="J260" s="17">
        <f t="shared" si="5"/>
        <v>0</v>
      </c>
      <c r="K260" s="17"/>
      <c r="L260" s="16" t="s">
        <v>18</v>
      </c>
      <c r="M260" s="16" t="s">
        <v>22</v>
      </c>
      <c r="N260" s="39" t="s">
        <v>418</v>
      </c>
    </row>
    <row r="261" spans="1:14" s="12" customFormat="1" ht="18">
      <c r="A261" s="178" t="s">
        <v>80</v>
      </c>
      <c r="B261" s="75" t="s">
        <v>697</v>
      </c>
      <c r="C261" s="70" t="s">
        <v>17</v>
      </c>
      <c r="D261" s="236"/>
      <c r="E261" s="210"/>
      <c r="F261" s="210"/>
      <c r="G261" s="210"/>
      <c r="H261" s="40">
        <f>SUM(Tabla132112418[[#This Row],[PRIMER TRIMESTRE]:[CUARTO TRIMESTRE]])</f>
        <v>0</v>
      </c>
      <c r="I261" s="72">
        <v>1870</v>
      </c>
      <c r="J261" s="17">
        <f t="shared" si="5"/>
        <v>0</v>
      </c>
      <c r="K261" s="17"/>
      <c r="L261" s="16" t="s">
        <v>18</v>
      </c>
      <c r="M261" s="16" t="s">
        <v>22</v>
      </c>
      <c r="N261" s="39" t="s">
        <v>418</v>
      </c>
    </row>
    <row r="262" spans="1:14" s="12" customFormat="1" ht="18">
      <c r="A262" s="178" t="s">
        <v>80</v>
      </c>
      <c r="B262" s="75" t="s">
        <v>698</v>
      </c>
      <c r="C262" s="39" t="s">
        <v>17</v>
      </c>
      <c r="D262" s="236"/>
      <c r="E262" s="236"/>
      <c r="F262" s="236"/>
      <c r="G262" s="236"/>
      <c r="H262" s="40">
        <f>SUM(Tabla132112418[[#This Row],[PRIMER TRIMESTRE]:[CUARTO TRIMESTRE]])</f>
        <v>0</v>
      </c>
      <c r="I262" s="72">
        <v>2150</v>
      </c>
      <c r="J262" s="17">
        <f t="shared" si="5"/>
        <v>0</v>
      </c>
      <c r="K262" s="17"/>
      <c r="L262" s="16" t="s">
        <v>18</v>
      </c>
      <c r="M262" s="16" t="s">
        <v>22</v>
      </c>
      <c r="N262" s="39" t="s">
        <v>418</v>
      </c>
    </row>
    <row r="263" spans="1:14" s="12" customFormat="1" ht="18">
      <c r="A263" s="178" t="s">
        <v>80</v>
      </c>
      <c r="B263" s="75" t="s">
        <v>699</v>
      </c>
      <c r="C263" s="39" t="s">
        <v>17</v>
      </c>
      <c r="D263" s="236"/>
      <c r="E263" s="236"/>
      <c r="F263" s="236"/>
      <c r="G263" s="236"/>
      <c r="H263" s="40">
        <f>SUM(Tabla132112418[[#This Row],[PRIMER TRIMESTRE]:[CUARTO TRIMESTRE]])</f>
        <v>0</v>
      </c>
      <c r="I263" s="72">
        <v>2860</v>
      </c>
      <c r="J263" s="17">
        <f t="shared" si="5"/>
        <v>0</v>
      </c>
      <c r="K263" s="17"/>
      <c r="L263" s="16" t="s">
        <v>18</v>
      </c>
      <c r="M263" s="16" t="s">
        <v>22</v>
      </c>
      <c r="N263" s="39" t="s">
        <v>418</v>
      </c>
    </row>
    <row r="264" spans="1:14" s="12" customFormat="1" ht="18">
      <c r="A264" s="178" t="s">
        <v>80</v>
      </c>
      <c r="B264" s="75" t="s">
        <v>1201</v>
      </c>
      <c r="C264" s="39" t="s">
        <v>17</v>
      </c>
      <c r="D264" s="236"/>
      <c r="E264" s="236"/>
      <c r="F264" s="236"/>
      <c r="G264" s="236"/>
      <c r="H264" s="40">
        <f>SUM(Tabla132112418[[#This Row],[PRIMER TRIMESTRE]:[CUARTO TRIMESTRE]])</f>
        <v>0</v>
      </c>
      <c r="I264" s="72">
        <v>250</v>
      </c>
      <c r="J264" s="17">
        <f t="shared" si="5"/>
        <v>0</v>
      </c>
      <c r="K264" s="17"/>
      <c r="L264" s="16" t="s">
        <v>18</v>
      </c>
      <c r="M264" s="16" t="s">
        <v>22</v>
      </c>
      <c r="N264" s="39" t="s">
        <v>418</v>
      </c>
    </row>
    <row r="265" spans="1:14" s="12" customFormat="1" ht="18">
      <c r="A265" s="178" t="s">
        <v>80</v>
      </c>
      <c r="B265" s="75" t="s">
        <v>1202</v>
      </c>
      <c r="C265" s="39" t="s">
        <v>17</v>
      </c>
      <c r="D265" s="236"/>
      <c r="E265" s="236"/>
      <c r="F265" s="236"/>
      <c r="G265" s="236"/>
      <c r="H265" s="40">
        <f>SUM(Tabla132112418[[#This Row],[PRIMER TRIMESTRE]:[CUARTO TRIMESTRE]])</f>
        <v>0</v>
      </c>
      <c r="I265" s="72">
        <v>275</v>
      </c>
      <c r="J265" s="17">
        <f t="shared" si="5"/>
        <v>0</v>
      </c>
      <c r="K265" s="17"/>
      <c r="L265" s="16" t="s">
        <v>18</v>
      </c>
      <c r="M265" s="16" t="s">
        <v>22</v>
      </c>
      <c r="N265" s="39" t="s">
        <v>418</v>
      </c>
    </row>
    <row r="266" spans="1:14" s="12" customFormat="1" ht="18">
      <c r="A266" s="178" t="s">
        <v>80</v>
      </c>
      <c r="B266" s="75" t="s">
        <v>1203</v>
      </c>
      <c r="C266" s="39" t="s">
        <v>17</v>
      </c>
      <c r="D266" s="236"/>
      <c r="E266" s="236"/>
      <c r="F266" s="236"/>
      <c r="G266" s="236"/>
      <c r="H266" s="40">
        <f>SUM(Tabla132112418[[#This Row],[PRIMER TRIMESTRE]:[CUARTO TRIMESTRE]])</f>
        <v>0</v>
      </c>
      <c r="I266" s="72">
        <v>300</v>
      </c>
      <c r="J266" s="17">
        <f t="shared" si="5"/>
        <v>0</v>
      </c>
      <c r="K266" s="17"/>
      <c r="L266" s="16" t="s">
        <v>18</v>
      </c>
      <c r="M266" s="16" t="s">
        <v>22</v>
      </c>
      <c r="N266" s="39" t="s">
        <v>418</v>
      </c>
    </row>
    <row r="267" spans="1:14" s="12" customFormat="1" ht="18">
      <c r="A267" s="178" t="s">
        <v>80</v>
      </c>
      <c r="B267" s="75" t="s">
        <v>1204</v>
      </c>
      <c r="C267" s="39" t="s">
        <v>17</v>
      </c>
      <c r="D267" s="236"/>
      <c r="E267" s="236"/>
      <c r="F267" s="236"/>
      <c r="G267" s="236"/>
      <c r="H267" s="40">
        <f>SUM(Tabla132112418[[#This Row],[PRIMER TRIMESTRE]:[CUARTO TRIMESTRE]])</f>
        <v>0</v>
      </c>
      <c r="I267" s="72">
        <v>400</v>
      </c>
      <c r="J267" s="17">
        <f t="shared" si="5"/>
        <v>0</v>
      </c>
      <c r="K267" s="17"/>
      <c r="L267" s="16" t="s">
        <v>18</v>
      </c>
      <c r="M267" s="16" t="s">
        <v>22</v>
      </c>
      <c r="N267" s="39" t="s">
        <v>418</v>
      </c>
    </row>
    <row r="268" spans="1:14" s="12" customFormat="1" ht="18">
      <c r="A268" s="178" t="s">
        <v>80</v>
      </c>
      <c r="B268" s="75" t="s">
        <v>1205</v>
      </c>
      <c r="C268" s="39" t="s">
        <v>17</v>
      </c>
      <c r="D268" s="236"/>
      <c r="E268" s="236"/>
      <c r="F268" s="236"/>
      <c r="G268" s="236"/>
      <c r="H268" s="40">
        <f>SUM(Tabla132112418[[#This Row],[PRIMER TRIMESTRE]:[CUARTO TRIMESTRE]])</f>
        <v>0</v>
      </c>
      <c r="I268" s="72">
        <v>600</v>
      </c>
      <c r="J268" s="17">
        <f t="shared" si="5"/>
        <v>0</v>
      </c>
      <c r="K268" s="17"/>
      <c r="L268" s="16" t="s">
        <v>18</v>
      </c>
      <c r="M268" s="16" t="s">
        <v>22</v>
      </c>
      <c r="N268" s="39" t="s">
        <v>418</v>
      </c>
    </row>
    <row r="269" spans="1:14" s="12" customFormat="1" ht="18">
      <c r="A269" s="178" t="s">
        <v>80</v>
      </c>
      <c r="B269" s="75" t="s">
        <v>1206</v>
      </c>
      <c r="C269" s="39" t="s">
        <v>17</v>
      </c>
      <c r="D269" s="236"/>
      <c r="E269" s="236"/>
      <c r="F269" s="236"/>
      <c r="G269" s="236"/>
      <c r="H269" s="40">
        <f>SUM(Tabla132112418[[#This Row],[PRIMER TRIMESTRE]:[CUARTO TRIMESTRE]])</f>
        <v>0</v>
      </c>
      <c r="I269" s="72">
        <v>800</v>
      </c>
      <c r="J269" s="17">
        <f t="shared" si="5"/>
        <v>0</v>
      </c>
      <c r="K269" s="17"/>
      <c r="L269" s="16" t="s">
        <v>18</v>
      </c>
      <c r="M269" s="16" t="s">
        <v>22</v>
      </c>
      <c r="N269" s="39" t="s">
        <v>418</v>
      </c>
    </row>
    <row r="270" spans="1:14" s="12" customFormat="1" ht="18">
      <c r="A270" s="178" t="s">
        <v>80</v>
      </c>
      <c r="B270" s="75" t="s">
        <v>1207</v>
      </c>
      <c r="C270" s="39" t="s">
        <v>17</v>
      </c>
      <c r="D270" s="236"/>
      <c r="E270" s="236"/>
      <c r="F270" s="236"/>
      <c r="G270" s="236"/>
      <c r="H270" s="40">
        <f>SUM(Tabla132112418[[#This Row],[PRIMER TRIMESTRE]:[CUARTO TRIMESTRE]])</f>
        <v>0</v>
      </c>
      <c r="I270" s="72">
        <v>1200</v>
      </c>
      <c r="J270" s="17">
        <f t="shared" si="5"/>
        <v>0</v>
      </c>
      <c r="K270" s="17"/>
      <c r="L270" s="16" t="s">
        <v>18</v>
      </c>
      <c r="M270" s="16" t="s">
        <v>22</v>
      </c>
      <c r="N270" s="39" t="s">
        <v>418</v>
      </c>
    </row>
    <row r="271" spans="1:14" s="12" customFormat="1" ht="18">
      <c r="A271" s="178" t="s">
        <v>80</v>
      </c>
      <c r="B271" s="75" t="s">
        <v>1208</v>
      </c>
      <c r="C271" s="39" t="s">
        <v>17</v>
      </c>
      <c r="D271" s="236"/>
      <c r="E271" s="236"/>
      <c r="F271" s="236"/>
      <c r="G271" s="236"/>
      <c r="H271" s="40">
        <f>SUM(Tabla132112418[[#This Row],[PRIMER TRIMESTRE]:[CUARTO TRIMESTRE]])</f>
        <v>0</v>
      </c>
      <c r="I271" s="72">
        <v>1600</v>
      </c>
      <c r="J271" s="17">
        <f t="shared" si="5"/>
        <v>0</v>
      </c>
      <c r="K271" s="17"/>
      <c r="L271" s="16" t="s">
        <v>18</v>
      </c>
      <c r="M271" s="16" t="s">
        <v>22</v>
      </c>
      <c r="N271" s="39" t="s">
        <v>418</v>
      </c>
    </row>
    <row r="272" spans="1:14" s="12" customFormat="1" ht="18">
      <c r="A272" s="178" t="s">
        <v>80</v>
      </c>
      <c r="B272" s="75" t="s">
        <v>1209</v>
      </c>
      <c r="C272" s="39" t="s">
        <v>17</v>
      </c>
      <c r="D272" s="236"/>
      <c r="E272" s="236"/>
      <c r="F272" s="236"/>
      <c r="G272" s="236"/>
      <c r="H272" s="40">
        <f>SUM(Tabla132112418[[#This Row],[PRIMER TRIMESTRE]:[CUARTO TRIMESTRE]])</f>
        <v>0</v>
      </c>
      <c r="I272" s="72">
        <v>1800</v>
      </c>
      <c r="J272" s="17">
        <f t="shared" si="5"/>
        <v>0</v>
      </c>
      <c r="K272" s="17"/>
      <c r="L272" s="16" t="s">
        <v>18</v>
      </c>
      <c r="M272" s="16" t="s">
        <v>22</v>
      </c>
      <c r="N272" s="39" t="s">
        <v>418</v>
      </c>
    </row>
    <row r="273" spans="1:14" s="12" customFormat="1" ht="18">
      <c r="A273" s="178" t="s">
        <v>80</v>
      </c>
      <c r="B273" s="75" t="s">
        <v>1210</v>
      </c>
      <c r="C273" s="39" t="s">
        <v>17</v>
      </c>
      <c r="D273" s="236"/>
      <c r="E273" s="236"/>
      <c r="F273" s="236"/>
      <c r="G273" s="236"/>
      <c r="H273" s="40">
        <f>SUM(Tabla132112418[[#This Row],[PRIMER TRIMESTRE]:[CUARTO TRIMESTRE]])</f>
        <v>0</v>
      </c>
      <c r="I273" s="72">
        <v>2000</v>
      </c>
      <c r="J273" s="17">
        <f t="shared" si="5"/>
        <v>0</v>
      </c>
      <c r="K273" s="17"/>
      <c r="L273" s="16" t="s">
        <v>18</v>
      </c>
      <c r="M273" s="16" t="s">
        <v>22</v>
      </c>
      <c r="N273" s="39" t="s">
        <v>418</v>
      </c>
    </row>
    <row r="274" spans="1:14" s="12" customFormat="1" ht="18">
      <c r="A274" s="178" t="s">
        <v>80</v>
      </c>
      <c r="B274" s="75" t="s">
        <v>1211</v>
      </c>
      <c r="C274" s="39" t="s">
        <v>17</v>
      </c>
      <c r="D274" s="236"/>
      <c r="E274" s="236"/>
      <c r="F274" s="236"/>
      <c r="G274" s="236"/>
      <c r="H274" s="40">
        <f>SUM(Tabla132112418[[#This Row],[PRIMER TRIMESTRE]:[CUARTO TRIMESTRE]])</f>
        <v>0</v>
      </c>
      <c r="I274" s="72">
        <v>3200</v>
      </c>
      <c r="J274" s="17">
        <f t="shared" si="5"/>
        <v>0</v>
      </c>
      <c r="K274" s="17"/>
      <c r="L274" s="16" t="s">
        <v>18</v>
      </c>
      <c r="M274" s="16" t="s">
        <v>22</v>
      </c>
      <c r="N274" s="39" t="s">
        <v>418</v>
      </c>
    </row>
    <row r="275" spans="1:14" s="12" customFormat="1" ht="18">
      <c r="A275" s="178" t="s">
        <v>80</v>
      </c>
      <c r="B275" s="75" t="s">
        <v>1212</v>
      </c>
      <c r="C275" s="39" t="s">
        <v>17</v>
      </c>
      <c r="D275" s="236"/>
      <c r="E275" s="236"/>
      <c r="F275" s="236"/>
      <c r="G275" s="236"/>
      <c r="H275" s="40">
        <f>SUM(Tabla132112418[[#This Row],[PRIMER TRIMESTRE]:[CUARTO TRIMESTRE]])</f>
        <v>0</v>
      </c>
      <c r="I275" s="72">
        <v>3800</v>
      </c>
      <c r="J275" s="17">
        <f t="shared" si="5"/>
        <v>0</v>
      </c>
      <c r="K275" s="17"/>
      <c r="L275" s="16" t="s">
        <v>18</v>
      </c>
      <c r="M275" s="16" t="s">
        <v>22</v>
      </c>
      <c r="N275" s="39" t="s">
        <v>418</v>
      </c>
    </row>
    <row r="276" spans="1:14" s="12" customFormat="1" ht="18">
      <c r="A276" s="178" t="s">
        <v>80</v>
      </c>
      <c r="B276" s="75" t="s">
        <v>580</v>
      </c>
      <c r="C276" s="39" t="s">
        <v>17</v>
      </c>
      <c r="D276" s="236"/>
      <c r="E276" s="236"/>
      <c r="F276" s="236"/>
      <c r="G276" s="236"/>
      <c r="H276" s="40">
        <f>SUM(Tabla132112418[[#This Row],[PRIMER TRIMESTRE]:[CUARTO TRIMESTRE]])</f>
        <v>0</v>
      </c>
      <c r="I276" s="17">
        <v>29</v>
      </c>
      <c r="J276" s="17">
        <f t="shared" si="5"/>
        <v>0</v>
      </c>
      <c r="K276" s="17"/>
      <c r="L276" s="16" t="s">
        <v>18</v>
      </c>
      <c r="M276" s="16" t="s">
        <v>22</v>
      </c>
      <c r="N276" s="39" t="s">
        <v>418</v>
      </c>
    </row>
    <row r="277" spans="1:14" s="12" customFormat="1" ht="18">
      <c r="A277" s="178" t="s">
        <v>80</v>
      </c>
      <c r="B277" s="75" t="s">
        <v>579</v>
      </c>
      <c r="C277" s="39" t="s">
        <v>17</v>
      </c>
      <c r="D277" s="236"/>
      <c r="E277" s="236"/>
      <c r="F277" s="236"/>
      <c r="G277" s="236"/>
      <c r="H277" s="40">
        <f>SUM(Tabla132112418[[#This Row],[PRIMER TRIMESTRE]:[CUARTO TRIMESTRE]])</f>
        <v>0</v>
      </c>
      <c r="I277" s="17">
        <v>31.16</v>
      </c>
      <c r="J277" s="17">
        <f t="shared" si="5"/>
        <v>0</v>
      </c>
      <c r="K277" s="17"/>
      <c r="L277" s="16" t="s">
        <v>18</v>
      </c>
      <c r="M277" s="16" t="s">
        <v>22</v>
      </c>
      <c r="N277" s="39" t="s">
        <v>418</v>
      </c>
    </row>
    <row r="278" spans="1:14" s="12" customFormat="1" ht="18">
      <c r="A278" s="178" t="s">
        <v>80</v>
      </c>
      <c r="B278" s="75" t="s">
        <v>581</v>
      </c>
      <c r="C278" s="39" t="s">
        <v>17</v>
      </c>
      <c r="D278" s="236"/>
      <c r="E278" s="236"/>
      <c r="F278" s="236"/>
      <c r="G278" s="236"/>
      <c r="H278" s="40">
        <f>SUM(Tabla132112418[[#This Row],[PRIMER TRIMESTRE]:[CUARTO TRIMESTRE]])</f>
        <v>0</v>
      </c>
      <c r="I278" s="17">
        <v>54.52</v>
      </c>
      <c r="J278" s="17">
        <f t="shared" si="5"/>
        <v>0</v>
      </c>
      <c r="K278" s="17"/>
      <c r="L278" s="16" t="s">
        <v>18</v>
      </c>
      <c r="M278" s="16" t="s">
        <v>22</v>
      </c>
      <c r="N278" s="39" t="s">
        <v>418</v>
      </c>
    </row>
    <row r="279" spans="1:14" s="12" customFormat="1" ht="18">
      <c r="A279" s="178" t="s">
        <v>80</v>
      </c>
      <c r="B279" s="75" t="s">
        <v>582</v>
      </c>
      <c r="C279" s="39" t="s">
        <v>17</v>
      </c>
      <c r="D279" s="236"/>
      <c r="E279" s="236"/>
      <c r="F279" s="236"/>
      <c r="G279" s="236"/>
      <c r="H279" s="40">
        <f>SUM(Tabla132112418[[#This Row],[PRIMER TRIMESTRE]:[CUARTO TRIMESTRE]])</f>
        <v>0</v>
      </c>
      <c r="I279" s="17">
        <v>55.84</v>
      </c>
      <c r="J279" s="17">
        <f t="shared" si="5"/>
        <v>0</v>
      </c>
      <c r="K279" s="17"/>
      <c r="L279" s="16" t="s">
        <v>18</v>
      </c>
      <c r="M279" s="16" t="s">
        <v>22</v>
      </c>
      <c r="N279" s="39" t="s">
        <v>418</v>
      </c>
    </row>
    <row r="280" spans="1:14" s="12" customFormat="1" ht="18">
      <c r="A280" s="178" t="s">
        <v>80</v>
      </c>
      <c r="B280" s="75" t="s">
        <v>583</v>
      </c>
      <c r="C280" s="39" t="s">
        <v>17</v>
      </c>
      <c r="D280" s="236"/>
      <c r="E280" s="236"/>
      <c r="F280" s="236"/>
      <c r="G280" s="236"/>
      <c r="H280" s="40">
        <f>SUM(Tabla132112418[[#This Row],[PRIMER TRIMESTRE]:[CUARTO TRIMESTRE]])</f>
        <v>0</v>
      </c>
      <c r="I280" s="17">
        <v>67.28</v>
      </c>
      <c r="J280" s="17">
        <f t="shared" si="5"/>
        <v>0</v>
      </c>
      <c r="K280" s="17"/>
      <c r="L280" s="16" t="s">
        <v>18</v>
      </c>
      <c r="M280" s="16" t="s">
        <v>22</v>
      </c>
      <c r="N280" s="39" t="s">
        <v>418</v>
      </c>
    </row>
    <row r="281" spans="1:14" s="12" customFormat="1" ht="18">
      <c r="A281" s="178" t="s">
        <v>80</v>
      </c>
      <c r="B281" s="75" t="s">
        <v>584</v>
      </c>
      <c r="C281" s="39" t="s">
        <v>17</v>
      </c>
      <c r="D281" s="236"/>
      <c r="E281" s="236"/>
      <c r="F281" s="236"/>
      <c r="G281" s="236"/>
      <c r="H281" s="40">
        <f>SUM(Tabla132112418[[#This Row],[PRIMER TRIMESTRE]:[CUARTO TRIMESTRE]])</f>
        <v>0</v>
      </c>
      <c r="I281" s="17">
        <v>68.28</v>
      </c>
      <c r="J281" s="17">
        <f t="shared" si="5"/>
        <v>0</v>
      </c>
      <c r="K281" s="17"/>
      <c r="L281" s="16" t="s">
        <v>18</v>
      </c>
      <c r="M281" s="16" t="s">
        <v>22</v>
      </c>
      <c r="N281" s="39" t="s">
        <v>418</v>
      </c>
    </row>
    <row r="282" spans="1:14" s="12" customFormat="1" ht="18">
      <c r="A282" s="178" t="s">
        <v>80</v>
      </c>
      <c r="B282" s="75" t="s">
        <v>585</v>
      </c>
      <c r="C282" s="39" t="s">
        <v>17</v>
      </c>
      <c r="D282" s="236"/>
      <c r="E282" s="236"/>
      <c r="F282" s="236"/>
      <c r="G282" s="236"/>
      <c r="H282" s="40">
        <f>SUM(Tabla132112418[[#This Row],[PRIMER TRIMESTRE]:[CUARTO TRIMESTRE]])</f>
        <v>0</v>
      </c>
      <c r="I282" s="17">
        <v>80</v>
      </c>
      <c r="J282" s="17">
        <f t="shared" si="5"/>
        <v>0</v>
      </c>
      <c r="K282" s="17"/>
      <c r="L282" s="16" t="s">
        <v>18</v>
      </c>
      <c r="M282" s="16" t="s">
        <v>22</v>
      </c>
      <c r="N282" s="39" t="s">
        <v>418</v>
      </c>
    </row>
    <row r="283" spans="1:14" s="12" customFormat="1" ht="18">
      <c r="A283" s="178" t="s">
        <v>80</v>
      </c>
      <c r="B283" s="75" t="s">
        <v>586</v>
      </c>
      <c r="C283" s="39" t="s">
        <v>17</v>
      </c>
      <c r="D283" s="236"/>
      <c r="E283" s="236"/>
      <c r="F283" s="236"/>
      <c r="G283" s="236"/>
      <c r="H283" s="40">
        <f>SUM(Tabla132112418[[#This Row],[PRIMER TRIMESTRE]:[CUARTO TRIMESTRE]])</f>
        <v>0</v>
      </c>
      <c r="I283" s="72">
        <v>85</v>
      </c>
      <c r="J283" s="17">
        <f t="shared" si="5"/>
        <v>0</v>
      </c>
      <c r="K283" s="17"/>
      <c r="L283" s="16" t="s">
        <v>18</v>
      </c>
      <c r="M283" s="16" t="s">
        <v>22</v>
      </c>
      <c r="N283" s="39" t="s">
        <v>418</v>
      </c>
    </row>
    <row r="284" spans="1:14" s="12" customFormat="1" ht="18">
      <c r="A284" s="178" t="s">
        <v>80</v>
      </c>
      <c r="B284" s="75" t="s">
        <v>587</v>
      </c>
      <c r="C284" s="39" t="s">
        <v>17</v>
      </c>
      <c r="D284" s="236"/>
      <c r="E284" s="236"/>
      <c r="F284" s="236"/>
      <c r="G284" s="236"/>
      <c r="H284" s="40">
        <f>SUM(Tabla132112418[[#This Row],[PRIMER TRIMESTRE]:[CUARTO TRIMESTRE]])</f>
        <v>0</v>
      </c>
      <c r="I284" s="72">
        <v>1044.3</v>
      </c>
      <c r="J284" s="17">
        <f t="shared" ref="J284:J291" si="6">+H284*I284</f>
        <v>0</v>
      </c>
      <c r="K284" s="17"/>
      <c r="L284" s="16" t="s">
        <v>18</v>
      </c>
      <c r="M284" s="16" t="s">
        <v>22</v>
      </c>
      <c r="N284" s="39" t="s">
        <v>418</v>
      </c>
    </row>
    <row r="285" spans="1:14" s="12" customFormat="1" ht="18">
      <c r="A285" s="178" t="s">
        <v>80</v>
      </c>
      <c r="B285" s="75" t="s">
        <v>588</v>
      </c>
      <c r="C285" s="39" t="s">
        <v>17</v>
      </c>
      <c r="D285" s="236"/>
      <c r="E285" s="236"/>
      <c r="F285" s="236"/>
      <c r="G285" s="236"/>
      <c r="H285" s="40">
        <f>SUM(Tabla132112418[[#This Row],[PRIMER TRIMESTRE]:[CUARTO TRIMESTRE]])</f>
        <v>0</v>
      </c>
      <c r="I285" s="17">
        <v>1000</v>
      </c>
      <c r="J285" s="17">
        <f t="shared" si="6"/>
        <v>0</v>
      </c>
      <c r="K285" s="17"/>
      <c r="L285" s="16" t="s">
        <v>18</v>
      </c>
      <c r="M285" s="16" t="s">
        <v>22</v>
      </c>
      <c r="N285" s="39" t="s">
        <v>418</v>
      </c>
    </row>
    <row r="286" spans="1:14" s="12" customFormat="1" ht="18">
      <c r="A286" s="178" t="s">
        <v>80</v>
      </c>
      <c r="B286" s="75" t="s">
        <v>589</v>
      </c>
      <c r="C286" s="39" t="s">
        <v>17</v>
      </c>
      <c r="D286" s="236"/>
      <c r="E286" s="236"/>
      <c r="F286" s="236"/>
      <c r="G286" s="236"/>
      <c r="H286" s="40">
        <f>SUM(Tabla132112418[[#This Row],[PRIMER TRIMESTRE]:[CUARTO TRIMESTRE]])</f>
        <v>0</v>
      </c>
      <c r="I286" s="72">
        <v>1144.5999999999999</v>
      </c>
      <c r="J286" s="17">
        <f t="shared" si="6"/>
        <v>0</v>
      </c>
      <c r="K286" s="17"/>
      <c r="L286" s="16" t="s">
        <v>18</v>
      </c>
      <c r="M286" s="16" t="s">
        <v>22</v>
      </c>
      <c r="N286" s="39" t="s">
        <v>418</v>
      </c>
    </row>
    <row r="287" spans="1:14" s="12" customFormat="1" ht="18">
      <c r="A287" s="178" t="s">
        <v>80</v>
      </c>
      <c r="B287" s="75" t="s">
        <v>590</v>
      </c>
      <c r="C287" s="39" t="s">
        <v>17</v>
      </c>
      <c r="D287" s="236"/>
      <c r="E287" s="236"/>
      <c r="F287" s="236"/>
      <c r="G287" s="236"/>
      <c r="H287" s="40">
        <f>SUM(Tabla132112418[[#This Row],[PRIMER TRIMESTRE]:[CUARTO TRIMESTRE]])</f>
        <v>0</v>
      </c>
      <c r="I287" s="72">
        <v>1534</v>
      </c>
      <c r="J287" s="17">
        <f t="shared" si="6"/>
        <v>0</v>
      </c>
      <c r="K287" s="17"/>
      <c r="L287" s="16" t="s">
        <v>18</v>
      </c>
      <c r="M287" s="16" t="s">
        <v>22</v>
      </c>
      <c r="N287" s="39" t="s">
        <v>418</v>
      </c>
    </row>
    <row r="288" spans="1:14" s="12" customFormat="1" ht="18">
      <c r="A288" s="178" t="s">
        <v>80</v>
      </c>
      <c r="B288" s="75" t="s">
        <v>1546</v>
      </c>
      <c r="C288" s="39" t="s">
        <v>17</v>
      </c>
      <c r="D288" s="236"/>
      <c r="E288" s="236"/>
      <c r="F288" s="236"/>
      <c r="G288" s="236"/>
      <c r="H288" s="236">
        <f>SUM(Tabla132112418[[#This Row],[PRIMER TRIMESTRE]:[CUARTO TRIMESTRE]])</f>
        <v>0</v>
      </c>
      <c r="I288" s="72">
        <v>910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</row>
    <row r="289" spans="1:14" s="12" customFormat="1" ht="18">
      <c r="A289" s="178" t="s">
        <v>80</v>
      </c>
      <c r="B289" s="75" t="s">
        <v>594</v>
      </c>
      <c r="C289" s="39" t="s">
        <v>17</v>
      </c>
      <c r="D289" s="236"/>
      <c r="E289" s="236"/>
      <c r="F289" s="236"/>
      <c r="G289" s="236"/>
      <c r="H289" s="40">
        <f>SUM(Tabla132112418[[#This Row],[PRIMER TRIMESTRE]:[CUARTO TRIMESTRE]])</f>
        <v>0</v>
      </c>
      <c r="I289" s="17">
        <v>6.37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</row>
    <row r="290" spans="1:14" s="12" customFormat="1" ht="18">
      <c r="A290" s="178" t="s">
        <v>80</v>
      </c>
      <c r="B290" s="75" t="s">
        <v>595</v>
      </c>
      <c r="C290" s="39" t="s">
        <v>17</v>
      </c>
      <c r="D290" s="236"/>
      <c r="E290" s="236"/>
      <c r="F290" s="236"/>
      <c r="G290" s="236"/>
      <c r="H290" s="40">
        <f>SUM(Tabla132112418[[#This Row],[PRIMER TRIMESTRE]:[CUARTO TRIMESTRE]])</f>
        <v>0</v>
      </c>
      <c r="I290" s="17">
        <v>11.82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</row>
    <row r="291" spans="1:14" s="12" customFormat="1" ht="18">
      <c r="A291" s="178" t="s">
        <v>80</v>
      </c>
      <c r="B291" s="75" t="s">
        <v>596</v>
      </c>
      <c r="C291" s="39" t="s">
        <v>17</v>
      </c>
      <c r="D291" s="236"/>
      <c r="E291" s="236"/>
      <c r="F291" s="236"/>
      <c r="G291" s="236"/>
      <c r="H291" s="40">
        <f>SUM(Tabla132112418[[#This Row],[PRIMER TRIMESTRE]:[CUARTO TRIMESTRE]])</f>
        <v>0</v>
      </c>
      <c r="I291" s="17">
        <v>15.46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</row>
    <row r="292" spans="1:14" s="12" customFormat="1" ht="18">
      <c r="A292" s="178" t="s">
        <v>80</v>
      </c>
      <c r="B292" s="75" t="s">
        <v>592</v>
      </c>
      <c r="C292" s="39" t="s">
        <v>17</v>
      </c>
      <c r="D292" s="236"/>
      <c r="E292" s="236"/>
      <c r="F292" s="236"/>
      <c r="G292" s="236"/>
      <c r="H292" s="40">
        <f>SUM(Tabla132112418[[#This Row],[PRIMER TRIMESTRE]:[CUARTO TRIMESTRE]])</f>
        <v>0</v>
      </c>
      <c r="I292" s="17">
        <v>103.84</v>
      </c>
      <c r="J292" s="17">
        <f>+Tabla132112418[[#This Row],[CANTIDAD TOTAL]]*Tabla132112418[[#This Row],[PRECIO UNITARIO ESTIMADO]]</f>
        <v>0</v>
      </c>
      <c r="K292" s="17"/>
      <c r="L292" s="16" t="s">
        <v>18</v>
      </c>
      <c r="M292" s="16" t="s">
        <v>22</v>
      </c>
      <c r="N292" s="39" t="s">
        <v>418</v>
      </c>
    </row>
    <row r="293" spans="1:14" s="12" customFormat="1" ht="18">
      <c r="A293" s="178" t="s">
        <v>80</v>
      </c>
      <c r="B293" s="75" t="s">
        <v>593</v>
      </c>
      <c r="C293" s="39" t="s">
        <v>17</v>
      </c>
      <c r="D293" s="236"/>
      <c r="E293" s="236"/>
      <c r="F293" s="236"/>
      <c r="G293" s="236"/>
      <c r="H293" s="40">
        <f>SUM(Tabla132112418[[#This Row],[PRIMER TRIMESTRE]:[CUARTO TRIMESTRE]])</f>
        <v>0</v>
      </c>
      <c r="I293" s="17">
        <v>22.42</v>
      </c>
      <c r="J293" s="17">
        <f>+Tabla132112418[[#This Row],[CANTIDAD TOTAL]]*Tabla132112418[[#This Row],[PRECIO UNITARIO ESTIMADO]]</f>
        <v>0</v>
      </c>
      <c r="K293" s="17"/>
      <c r="L293" s="16" t="s">
        <v>18</v>
      </c>
      <c r="M293" s="16" t="s">
        <v>22</v>
      </c>
      <c r="N293" s="39" t="s">
        <v>418</v>
      </c>
    </row>
    <row r="294" spans="1:14" s="12" customFormat="1" ht="18">
      <c r="A294" s="178" t="s">
        <v>80</v>
      </c>
      <c r="B294" s="75" t="s">
        <v>591</v>
      </c>
      <c r="C294" s="39" t="s">
        <v>17</v>
      </c>
      <c r="D294" s="236"/>
      <c r="E294" s="236"/>
      <c r="F294" s="236"/>
      <c r="G294" s="236"/>
      <c r="H294" s="236">
        <f>SUM(Tabla132112418[[#This Row],[PRIMER TRIMESTRE]:[CUARTO TRIMESTRE]])</f>
        <v>0</v>
      </c>
      <c r="I294" s="17">
        <v>489.7</v>
      </c>
      <c r="J294" s="17">
        <f>+Tabla132112418[[#This Row],[CANTIDAD TOTAL]]*Tabla132112418[[#This Row],[PRECIO UNITARIO ESTIMADO]]</f>
        <v>0</v>
      </c>
      <c r="K294" s="17"/>
      <c r="L294" s="16" t="s">
        <v>18</v>
      </c>
      <c r="M294" s="16" t="s">
        <v>22</v>
      </c>
      <c r="N294" s="39" t="s">
        <v>418</v>
      </c>
    </row>
    <row r="295" spans="1:14" s="12" customFormat="1" ht="18">
      <c r="A295" s="178" t="s">
        <v>80</v>
      </c>
      <c r="B295" s="75" t="s">
        <v>1531</v>
      </c>
      <c r="C295" s="176" t="s">
        <v>17</v>
      </c>
      <c r="D295" s="236"/>
      <c r="E295" s="236"/>
      <c r="F295" s="236"/>
      <c r="G295" s="236"/>
      <c r="H295" s="236">
        <f>SUM(Tabla132112418[[#This Row],[PRIMER TRIMESTRE]:[CUARTO TRIMESTRE]])</f>
        <v>0</v>
      </c>
      <c r="I295" s="17">
        <v>486.29</v>
      </c>
      <c r="J295" s="17">
        <f>+H295*I295</f>
        <v>0</v>
      </c>
      <c r="K295" s="17"/>
      <c r="L295" s="16" t="s">
        <v>18</v>
      </c>
      <c r="M295" s="16" t="s">
        <v>22</v>
      </c>
      <c r="N295" s="39" t="s">
        <v>418</v>
      </c>
    </row>
    <row r="296" spans="1:14" s="12" customFormat="1" ht="18">
      <c r="A296" s="178" t="s">
        <v>80</v>
      </c>
      <c r="B296" s="75" t="s">
        <v>616</v>
      </c>
      <c r="C296" s="39" t="s">
        <v>17</v>
      </c>
      <c r="D296" s="236"/>
      <c r="E296" s="236"/>
      <c r="F296" s="236"/>
      <c r="G296" s="236"/>
      <c r="H296" s="40">
        <f>SUM(Tabla132112418[[#This Row],[PRIMER TRIMESTRE]:[CUARTO TRIMESTRE]])</f>
        <v>0</v>
      </c>
      <c r="I296" s="17">
        <v>767</v>
      </c>
      <c r="J296" s="17">
        <f>+Tabla132112418[[#This Row],[CANTIDAD TOTAL]]*Tabla132112418[[#This Row],[PRECIO UNITARIO ESTIMADO]]</f>
        <v>0</v>
      </c>
      <c r="K296" s="17"/>
      <c r="L296" s="16" t="s">
        <v>18</v>
      </c>
      <c r="M296" s="16" t="s">
        <v>22</v>
      </c>
      <c r="N296" s="39" t="s">
        <v>418</v>
      </c>
    </row>
    <row r="297" spans="1:14" s="12" customFormat="1" ht="18">
      <c r="A297" s="178" t="s">
        <v>80</v>
      </c>
      <c r="B297" s="75" t="s">
        <v>617</v>
      </c>
      <c r="C297" s="39" t="s">
        <v>17</v>
      </c>
      <c r="D297" s="236"/>
      <c r="E297" s="236"/>
      <c r="F297" s="236"/>
      <c r="G297" s="236"/>
      <c r="H297" s="40">
        <f>SUM(Tabla132112418[[#This Row],[PRIMER TRIMESTRE]:[CUARTO TRIMESTRE]])</f>
        <v>0</v>
      </c>
      <c r="I297" s="17">
        <v>1003</v>
      </c>
      <c r="J297" s="17">
        <f t="shared" ref="J297:J313" si="7">+H297*I297</f>
        <v>0</v>
      </c>
      <c r="K297" s="17"/>
      <c r="L297" s="16" t="s">
        <v>18</v>
      </c>
      <c r="M297" s="16" t="s">
        <v>22</v>
      </c>
      <c r="N297" s="39" t="s">
        <v>418</v>
      </c>
    </row>
    <row r="298" spans="1:14" s="12" customFormat="1" ht="18">
      <c r="A298" s="178" t="s">
        <v>80</v>
      </c>
      <c r="B298" s="75" t="s">
        <v>618</v>
      </c>
      <c r="C298" s="39" t="s">
        <v>17</v>
      </c>
      <c r="D298" s="236"/>
      <c r="E298" s="236"/>
      <c r="F298" s="236"/>
      <c r="G298" s="236"/>
      <c r="H298" s="40">
        <f>SUM(Tabla132112418[[#This Row],[PRIMER TRIMESTRE]:[CUARTO TRIMESTRE]])</f>
        <v>0</v>
      </c>
      <c r="I298" s="17">
        <v>1357</v>
      </c>
      <c r="J298" s="17">
        <f t="shared" si="7"/>
        <v>0</v>
      </c>
      <c r="K298" s="17"/>
      <c r="L298" s="16" t="s">
        <v>18</v>
      </c>
      <c r="M298" s="16" t="s">
        <v>22</v>
      </c>
      <c r="N298" s="39" t="s">
        <v>418</v>
      </c>
    </row>
    <row r="299" spans="1:14" s="12" customFormat="1" ht="18">
      <c r="A299" s="178" t="s">
        <v>80</v>
      </c>
      <c r="B299" s="75" t="s">
        <v>619</v>
      </c>
      <c r="C299" s="39" t="s">
        <v>17</v>
      </c>
      <c r="D299" s="236"/>
      <c r="E299" s="236"/>
      <c r="F299" s="236"/>
      <c r="G299" s="236"/>
      <c r="H299" s="40">
        <f>SUM(Tabla132112418[[#This Row],[PRIMER TRIMESTRE]:[CUARTO TRIMESTRE]])</f>
        <v>0</v>
      </c>
      <c r="I299" s="17">
        <v>2950</v>
      </c>
      <c r="J299" s="17">
        <f t="shared" si="7"/>
        <v>0</v>
      </c>
      <c r="K299" s="17"/>
      <c r="L299" s="16" t="s">
        <v>18</v>
      </c>
      <c r="M299" s="16" t="s">
        <v>22</v>
      </c>
      <c r="N299" s="39" t="s">
        <v>418</v>
      </c>
    </row>
    <row r="300" spans="1:14" s="12" customFormat="1" ht="18">
      <c r="A300" s="178" t="s">
        <v>80</v>
      </c>
      <c r="B300" s="75" t="s">
        <v>620</v>
      </c>
      <c r="C300" s="39" t="s">
        <v>17</v>
      </c>
      <c r="D300" s="236"/>
      <c r="E300" s="236"/>
      <c r="F300" s="236"/>
      <c r="G300" s="236"/>
      <c r="H300" s="40">
        <f>SUM(Tabla132112418[[#This Row],[PRIMER TRIMESTRE]:[CUARTO TRIMESTRE]])</f>
        <v>0</v>
      </c>
      <c r="I300" s="17">
        <v>4484</v>
      </c>
      <c r="J300" s="17">
        <f t="shared" si="7"/>
        <v>0</v>
      </c>
      <c r="K300" s="17"/>
      <c r="L300" s="16" t="s">
        <v>18</v>
      </c>
      <c r="M300" s="16" t="s">
        <v>22</v>
      </c>
      <c r="N300" s="39" t="s">
        <v>418</v>
      </c>
    </row>
    <row r="301" spans="1:14" s="12" customFormat="1" ht="18">
      <c r="A301" s="178" t="s">
        <v>80</v>
      </c>
      <c r="B301" s="75" t="s">
        <v>621</v>
      </c>
      <c r="C301" s="39" t="s">
        <v>17</v>
      </c>
      <c r="D301" s="236"/>
      <c r="E301" s="236"/>
      <c r="F301" s="236"/>
      <c r="G301" s="236"/>
      <c r="H301" s="40">
        <f>SUM(Tabla132112418[[#This Row],[PRIMER TRIMESTRE]:[CUARTO TRIMESTRE]])</f>
        <v>0</v>
      </c>
      <c r="I301" s="17">
        <v>6372</v>
      </c>
      <c r="J301" s="17">
        <f t="shared" si="7"/>
        <v>0</v>
      </c>
      <c r="K301" s="17"/>
      <c r="L301" s="16" t="s">
        <v>18</v>
      </c>
      <c r="M301" s="16" t="s">
        <v>22</v>
      </c>
      <c r="N301" s="39" t="s">
        <v>418</v>
      </c>
    </row>
    <row r="302" spans="1:14" s="12" customFormat="1" ht="18">
      <c r="A302" s="178" t="s">
        <v>80</v>
      </c>
      <c r="B302" s="75" t="s">
        <v>622</v>
      </c>
      <c r="C302" s="39" t="s">
        <v>17</v>
      </c>
      <c r="D302" s="236"/>
      <c r="E302" s="236"/>
      <c r="F302" s="236"/>
      <c r="G302" s="236"/>
      <c r="H302" s="40">
        <f>SUM(Tabla132112418[[#This Row],[PRIMER TRIMESTRE]:[CUARTO TRIMESTRE]])</f>
        <v>0</v>
      </c>
      <c r="I302" s="17">
        <v>11092</v>
      </c>
      <c r="J302" s="17">
        <f t="shared" si="7"/>
        <v>0</v>
      </c>
      <c r="K302" s="17"/>
      <c r="L302" s="16" t="s">
        <v>18</v>
      </c>
      <c r="M302" s="16" t="s">
        <v>22</v>
      </c>
      <c r="N302" s="39" t="s">
        <v>418</v>
      </c>
    </row>
    <row r="303" spans="1:14" s="12" customFormat="1" ht="18">
      <c r="A303" s="178" t="s">
        <v>80</v>
      </c>
      <c r="B303" s="75" t="s">
        <v>623</v>
      </c>
      <c r="C303" s="39" t="s">
        <v>17</v>
      </c>
      <c r="D303" s="236"/>
      <c r="E303" s="236"/>
      <c r="F303" s="236"/>
      <c r="G303" s="236"/>
      <c r="H303" s="40">
        <f>SUM(Tabla132112418[[#This Row],[PRIMER TRIMESTRE]:[CUARTO TRIMESTRE]])</f>
        <v>0</v>
      </c>
      <c r="I303" s="17">
        <v>13924</v>
      </c>
      <c r="J303" s="17">
        <f t="shared" si="7"/>
        <v>0</v>
      </c>
      <c r="K303" s="17"/>
      <c r="L303" s="16" t="s">
        <v>18</v>
      </c>
      <c r="M303" s="16" t="s">
        <v>22</v>
      </c>
      <c r="N303" s="39" t="s">
        <v>418</v>
      </c>
    </row>
    <row r="304" spans="1:14" s="12" customFormat="1" ht="18">
      <c r="A304" s="178" t="s">
        <v>80</v>
      </c>
      <c r="B304" s="75" t="s">
        <v>624</v>
      </c>
      <c r="C304" s="39" t="s">
        <v>17</v>
      </c>
      <c r="D304" s="236"/>
      <c r="E304" s="236"/>
      <c r="F304" s="236"/>
      <c r="G304" s="236"/>
      <c r="H304" s="40">
        <f>SUM(Tabla132112418[[#This Row],[PRIMER TRIMESTRE]:[CUARTO TRIMESTRE]])</f>
        <v>0</v>
      </c>
      <c r="I304" s="17">
        <v>20886</v>
      </c>
      <c r="J304" s="17">
        <f t="shared" si="7"/>
        <v>0</v>
      </c>
      <c r="K304" s="17"/>
      <c r="L304" s="16" t="s">
        <v>18</v>
      </c>
      <c r="M304" s="16" t="s">
        <v>22</v>
      </c>
      <c r="N304" s="39" t="s">
        <v>418</v>
      </c>
    </row>
    <row r="305" spans="1:14" s="12" customFormat="1" ht="18">
      <c r="A305" s="178" t="s">
        <v>80</v>
      </c>
      <c r="B305" s="75" t="s">
        <v>625</v>
      </c>
      <c r="C305" s="39" t="s">
        <v>17</v>
      </c>
      <c r="D305" s="236"/>
      <c r="E305" s="236"/>
      <c r="F305" s="236"/>
      <c r="G305" s="236"/>
      <c r="H305" s="40">
        <f>SUM(Tabla132112418[[#This Row],[PRIMER TRIMESTRE]:[CUARTO TRIMESTRE]])</f>
        <v>0</v>
      </c>
      <c r="I305" s="17">
        <v>1121</v>
      </c>
      <c r="J305" s="17">
        <f t="shared" si="7"/>
        <v>0</v>
      </c>
      <c r="K305" s="17"/>
      <c r="L305" s="16" t="s">
        <v>18</v>
      </c>
      <c r="M305" s="16" t="s">
        <v>22</v>
      </c>
      <c r="N305" s="39" t="s">
        <v>418</v>
      </c>
    </row>
    <row r="306" spans="1:14" s="12" customFormat="1" ht="18">
      <c r="A306" s="178" t="s">
        <v>80</v>
      </c>
      <c r="B306" s="75" t="s">
        <v>626</v>
      </c>
      <c r="C306" s="39" t="s">
        <v>17</v>
      </c>
      <c r="D306" s="236"/>
      <c r="E306" s="236"/>
      <c r="F306" s="236"/>
      <c r="G306" s="236"/>
      <c r="H306" s="40">
        <f>SUM(Tabla132112418[[#This Row],[PRIMER TRIMESTRE]:[CUARTO TRIMESTRE]])</f>
        <v>0</v>
      </c>
      <c r="I306" s="17">
        <v>1239</v>
      </c>
      <c r="J306" s="17">
        <f t="shared" si="7"/>
        <v>0</v>
      </c>
      <c r="K306" s="17"/>
      <c r="L306" s="16" t="s">
        <v>18</v>
      </c>
      <c r="M306" s="16" t="s">
        <v>22</v>
      </c>
      <c r="N306" s="39" t="s">
        <v>418</v>
      </c>
    </row>
    <row r="307" spans="1:14" s="12" customFormat="1" ht="18">
      <c r="A307" s="178" t="s">
        <v>80</v>
      </c>
      <c r="B307" s="75" t="s">
        <v>627</v>
      </c>
      <c r="C307" s="39" t="s">
        <v>17</v>
      </c>
      <c r="D307" s="236"/>
      <c r="E307" s="236"/>
      <c r="F307" s="236"/>
      <c r="G307" s="236"/>
      <c r="H307" s="40">
        <f>SUM(Tabla132112418[[#This Row],[PRIMER TRIMESTRE]:[CUARTO TRIMESTRE]])</f>
        <v>0</v>
      </c>
      <c r="I307" s="17">
        <v>1593</v>
      </c>
      <c r="J307" s="17">
        <f t="shared" si="7"/>
        <v>0</v>
      </c>
      <c r="K307" s="17"/>
      <c r="L307" s="16" t="s">
        <v>18</v>
      </c>
      <c r="M307" s="16" t="s">
        <v>22</v>
      </c>
      <c r="N307" s="39" t="s">
        <v>418</v>
      </c>
    </row>
    <row r="308" spans="1:14" s="12" customFormat="1" ht="18">
      <c r="A308" s="178" t="s">
        <v>80</v>
      </c>
      <c r="B308" s="75" t="s">
        <v>628</v>
      </c>
      <c r="C308" s="39" t="s">
        <v>17</v>
      </c>
      <c r="D308" s="236"/>
      <c r="E308" s="236"/>
      <c r="F308" s="236"/>
      <c r="G308" s="236"/>
      <c r="H308" s="40">
        <f>SUM(Tabla132112418[[#This Row],[PRIMER TRIMESTRE]:[CUARTO TRIMESTRE]])</f>
        <v>0</v>
      </c>
      <c r="I308" s="17">
        <v>3717</v>
      </c>
      <c r="J308" s="17">
        <f t="shared" si="7"/>
        <v>0</v>
      </c>
      <c r="K308" s="17"/>
      <c r="L308" s="16" t="s">
        <v>18</v>
      </c>
      <c r="M308" s="16" t="s">
        <v>22</v>
      </c>
      <c r="N308" s="39" t="s">
        <v>418</v>
      </c>
    </row>
    <row r="309" spans="1:14" s="12" customFormat="1" ht="18">
      <c r="A309" s="178" t="s">
        <v>80</v>
      </c>
      <c r="B309" s="75" t="s">
        <v>629</v>
      </c>
      <c r="C309" s="39" t="s">
        <v>17</v>
      </c>
      <c r="D309" s="236"/>
      <c r="E309" s="236"/>
      <c r="F309" s="236"/>
      <c r="G309" s="236"/>
      <c r="H309" s="40">
        <f>SUM(Tabla132112418[[#This Row],[PRIMER TRIMESTRE]:[CUARTO TRIMESTRE]])</f>
        <v>0</v>
      </c>
      <c r="I309" s="17">
        <v>5133</v>
      </c>
      <c r="J309" s="17">
        <f t="shared" si="7"/>
        <v>0</v>
      </c>
      <c r="K309" s="17"/>
      <c r="L309" s="16" t="s">
        <v>18</v>
      </c>
      <c r="M309" s="16" t="s">
        <v>22</v>
      </c>
      <c r="N309" s="39" t="s">
        <v>418</v>
      </c>
    </row>
    <row r="310" spans="1:14" s="12" customFormat="1" ht="18">
      <c r="A310" s="178" t="s">
        <v>80</v>
      </c>
      <c r="B310" s="75" t="s">
        <v>630</v>
      </c>
      <c r="C310" s="39" t="s">
        <v>17</v>
      </c>
      <c r="D310" s="236"/>
      <c r="E310" s="236"/>
      <c r="F310" s="236"/>
      <c r="G310" s="236"/>
      <c r="H310" s="40">
        <f>SUM(Tabla132112418[[#This Row],[PRIMER TRIMESTRE]:[CUARTO TRIMESTRE]])</f>
        <v>0</v>
      </c>
      <c r="I310" s="17">
        <v>7127</v>
      </c>
      <c r="J310" s="17">
        <f t="shared" si="7"/>
        <v>0</v>
      </c>
      <c r="K310" s="17"/>
      <c r="L310" s="16" t="s">
        <v>18</v>
      </c>
      <c r="M310" s="16" t="s">
        <v>22</v>
      </c>
      <c r="N310" s="39" t="s">
        <v>418</v>
      </c>
    </row>
    <row r="311" spans="1:14" s="12" customFormat="1" ht="18">
      <c r="A311" s="178" t="s">
        <v>80</v>
      </c>
      <c r="B311" s="75" t="s">
        <v>631</v>
      </c>
      <c r="C311" s="39" t="s">
        <v>17</v>
      </c>
      <c r="D311" s="236"/>
      <c r="E311" s="236"/>
      <c r="F311" s="236"/>
      <c r="G311" s="236"/>
      <c r="H311" s="40">
        <f>SUM(Tabla132112418[[#This Row],[PRIMER TRIMESTRE]:[CUARTO TRIMESTRE]])</f>
        <v>0</v>
      </c>
      <c r="I311" s="17">
        <v>12580</v>
      </c>
      <c r="J311" s="17">
        <f t="shared" si="7"/>
        <v>0</v>
      </c>
      <c r="K311" s="17"/>
      <c r="L311" s="16" t="s">
        <v>18</v>
      </c>
      <c r="M311" s="16" t="s">
        <v>22</v>
      </c>
      <c r="N311" s="39" t="s">
        <v>418</v>
      </c>
    </row>
    <row r="312" spans="1:14" s="12" customFormat="1" ht="18">
      <c r="A312" s="178" t="s">
        <v>80</v>
      </c>
      <c r="B312" s="75" t="s">
        <v>632</v>
      </c>
      <c r="C312" s="39" t="s">
        <v>17</v>
      </c>
      <c r="D312" s="236"/>
      <c r="E312" s="236"/>
      <c r="F312" s="236"/>
      <c r="G312" s="236"/>
      <c r="H312" s="40">
        <f>SUM(Tabla132112418[[#This Row],[PRIMER TRIMESTRE]:[CUARTO TRIMESTRE]])</f>
        <v>0</v>
      </c>
      <c r="I312" s="17">
        <v>15045</v>
      </c>
      <c r="J312" s="17">
        <f t="shared" si="7"/>
        <v>0</v>
      </c>
      <c r="K312" s="17"/>
      <c r="L312" s="16" t="s">
        <v>18</v>
      </c>
      <c r="M312" s="16" t="s">
        <v>22</v>
      </c>
      <c r="N312" s="39" t="s">
        <v>418</v>
      </c>
    </row>
    <row r="313" spans="1:14" s="12" customFormat="1" ht="18">
      <c r="A313" s="178" t="s">
        <v>80</v>
      </c>
      <c r="B313" s="75" t="s">
        <v>633</v>
      </c>
      <c r="C313" s="39" t="s">
        <v>17</v>
      </c>
      <c r="D313" s="236"/>
      <c r="E313" s="236"/>
      <c r="F313" s="236"/>
      <c r="G313" s="236"/>
      <c r="H313" s="40">
        <f>SUM(Tabla132112418[[#This Row],[PRIMER TRIMESTRE]:[CUARTO TRIMESTRE]])</f>
        <v>0</v>
      </c>
      <c r="I313" s="17">
        <v>22396.400000000001</v>
      </c>
      <c r="J313" s="17">
        <f t="shared" si="7"/>
        <v>0</v>
      </c>
      <c r="K313" s="17"/>
      <c r="L313" s="16" t="s">
        <v>18</v>
      </c>
      <c r="M313" s="16" t="s">
        <v>22</v>
      </c>
      <c r="N313" s="39" t="s">
        <v>418</v>
      </c>
    </row>
    <row r="314" spans="1:14" s="12" customFormat="1" ht="18">
      <c r="A314" s="178" t="s">
        <v>80</v>
      </c>
      <c r="B314" s="75" t="s">
        <v>129</v>
      </c>
      <c r="C314" s="39" t="s">
        <v>17</v>
      </c>
      <c r="D314" s="236"/>
      <c r="E314" s="236"/>
      <c r="F314" s="236"/>
      <c r="G314" s="236"/>
      <c r="H314" s="40">
        <f>SUM(Tabla132112418[[#This Row],[PRIMER TRIMESTRE]:[CUARTO TRIMESTRE]])</f>
        <v>0</v>
      </c>
      <c r="I314" s="17">
        <v>3.52</v>
      </c>
      <c r="J314" s="17">
        <f>+Tabla132112418[[#This Row],[CANTIDAD TOTAL]]*Tabla132112418[[#This Row],[PRECIO UNITARIO ESTIMADO]]</f>
        <v>0</v>
      </c>
      <c r="K314" s="17"/>
      <c r="L314" s="16" t="s">
        <v>18</v>
      </c>
      <c r="M314" s="16" t="s">
        <v>22</v>
      </c>
      <c r="N314" s="39" t="s">
        <v>418</v>
      </c>
    </row>
    <row r="315" spans="1:14" s="12" customFormat="1" ht="18">
      <c r="A315" s="178" t="s">
        <v>80</v>
      </c>
      <c r="B315" s="75" t="s">
        <v>131</v>
      </c>
      <c r="C315" s="39" t="s">
        <v>17</v>
      </c>
      <c r="D315" s="236"/>
      <c r="E315" s="236"/>
      <c r="F315" s="236"/>
      <c r="G315" s="236"/>
      <c r="H315" s="40">
        <f>SUM(Tabla132112418[[#This Row],[PRIMER TRIMESTRE]:[CUARTO TRIMESTRE]])</f>
        <v>0</v>
      </c>
      <c r="I315" s="17">
        <v>5.86</v>
      </c>
      <c r="J315" s="17">
        <f>+Tabla132112418[[#This Row],[CANTIDAD TOTAL]]*Tabla132112418[[#This Row],[PRECIO UNITARIO ESTIMADO]]</f>
        <v>0</v>
      </c>
      <c r="K315" s="17"/>
      <c r="L315" s="16" t="s">
        <v>18</v>
      </c>
      <c r="M315" s="16" t="s">
        <v>22</v>
      </c>
      <c r="N315" s="39" t="s">
        <v>418</v>
      </c>
    </row>
    <row r="316" spans="1:14" s="12" customFormat="1" ht="18">
      <c r="A316" s="178" t="s">
        <v>80</v>
      </c>
      <c r="B316" s="75" t="s">
        <v>473</v>
      </c>
      <c r="C316" s="39" t="s">
        <v>17</v>
      </c>
      <c r="D316" s="236"/>
      <c r="E316" s="236"/>
      <c r="F316" s="236"/>
      <c r="G316" s="236"/>
      <c r="H316" s="40">
        <f>SUM(Tabla132112418[[#This Row],[PRIMER TRIMESTRE]:[CUARTO TRIMESTRE]])</f>
        <v>0</v>
      </c>
      <c r="I316" s="17">
        <v>15.46</v>
      </c>
      <c r="J316" s="17">
        <f>+H316*I316</f>
        <v>0</v>
      </c>
      <c r="K316" s="17"/>
      <c r="L316" s="16" t="s">
        <v>18</v>
      </c>
      <c r="M316" s="16" t="s">
        <v>22</v>
      </c>
      <c r="N316" s="39" t="s">
        <v>418</v>
      </c>
    </row>
    <row r="317" spans="1:14" s="12" customFormat="1" ht="18">
      <c r="A317" s="178" t="s">
        <v>80</v>
      </c>
      <c r="B317" s="75" t="s">
        <v>661</v>
      </c>
      <c r="C317" s="39" t="s">
        <v>17</v>
      </c>
      <c r="D317" s="236"/>
      <c r="E317" s="236"/>
      <c r="F317" s="236"/>
      <c r="G317" s="236"/>
      <c r="H317" s="40">
        <f>SUM(Tabla132112418[[#This Row],[PRIMER TRIMESTRE]:[CUARTO TRIMESTRE]])</f>
        <v>0</v>
      </c>
      <c r="I317" s="72">
        <v>15.46</v>
      </c>
      <c r="J317" s="17">
        <f>+H317*I317</f>
        <v>0</v>
      </c>
      <c r="K317" s="17"/>
      <c r="L317" s="16" t="s">
        <v>18</v>
      </c>
      <c r="M317" s="16" t="s">
        <v>22</v>
      </c>
      <c r="N317" s="39" t="s">
        <v>418</v>
      </c>
    </row>
    <row r="318" spans="1:14" s="12" customFormat="1" ht="18">
      <c r="A318" s="178" t="s">
        <v>80</v>
      </c>
      <c r="B318" s="75" t="s">
        <v>133</v>
      </c>
      <c r="C318" s="39" t="s">
        <v>17</v>
      </c>
      <c r="D318" s="236"/>
      <c r="E318" s="236"/>
      <c r="F318" s="236"/>
      <c r="G318" s="236"/>
      <c r="H318" s="40">
        <f>SUM(Tabla132112418[[#This Row],[PRIMER TRIMESTRE]:[CUARTO TRIMESTRE]])</f>
        <v>0</v>
      </c>
      <c r="I318" s="17">
        <v>40.17</v>
      </c>
      <c r="J318" s="17">
        <f>+Tabla132112418[[#This Row],[CANTIDAD TOTAL]]*Tabla132112418[[#This Row],[PRECIO UNITARIO ESTIMADO]]</f>
        <v>0</v>
      </c>
      <c r="K318" s="17"/>
      <c r="L318" s="16" t="s">
        <v>18</v>
      </c>
      <c r="M318" s="16" t="s">
        <v>22</v>
      </c>
      <c r="N318" s="39" t="s">
        <v>418</v>
      </c>
    </row>
    <row r="319" spans="1:14" s="12" customFormat="1" ht="18">
      <c r="A319" s="178" t="s">
        <v>80</v>
      </c>
      <c r="B319" s="75" t="s">
        <v>135</v>
      </c>
      <c r="C319" s="39" t="s">
        <v>17</v>
      </c>
      <c r="D319" s="236"/>
      <c r="E319" s="236"/>
      <c r="F319" s="236"/>
      <c r="G319" s="236"/>
      <c r="H319" s="40">
        <f>SUM(Tabla132112418[[#This Row],[PRIMER TRIMESTRE]:[CUARTO TRIMESTRE]])</f>
        <v>0</v>
      </c>
      <c r="I319" s="17">
        <v>116.85</v>
      </c>
      <c r="J319" s="17">
        <f>+Tabla132112418[[#This Row],[CANTIDAD TOTAL]]*Tabla132112418[[#This Row],[PRECIO UNITARIO ESTIMADO]]</f>
        <v>0</v>
      </c>
      <c r="K319" s="17"/>
      <c r="L319" s="16" t="s">
        <v>18</v>
      </c>
      <c r="M319" s="16" t="s">
        <v>22</v>
      </c>
      <c r="N319" s="39" t="s">
        <v>418</v>
      </c>
    </row>
    <row r="320" spans="1:14" s="12" customFormat="1" ht="18">
      <c r="A320" s="178" t="s">
        <v>80</v>
      </c>
      <c r="B320" s="75" t="s">
        <v>597</v>
      </c>
      <c r="C320" s="39" t="s">
        <v>17</v>
      </c>
      <c r="D320" s="236"/>
      <c r="E320" s="236"/>
      <c r="F320" s="236"/>
      <c r="G320" s="236"/>
      <c r="H320" s="40">
        <f>SUM(Tabla132112418[[#This Row],[PRIMER TRIMESTRE]:[CUARTO TRIMESTRE]])</f>
        <v>0</v>
      </c>
      <c r="I320" s="72">
        <v>107.31</v>
      </c>
      <c r="J320" s="17">
        <f t="shared" ref="J320:J330" si="8">+H320*I320</f>
        <v>0</v>
      </c>
      <c r="K320" s="17"/>
      <c r="L320" s="16" t="s">
        <v>18</v>
      </c>
      <c r="M320" s="16" t="s">
        <v>22</v>
      </c>
      <c r="N320" s="39" t="s">
        <v>418</v>
      </c>
    </row>
    <row r="321" spans="1:14" s="12" customFormat="1" ht="18">
      <c r="A321" s="178" t="s">
        <v>80</v>
      </c>
      <c r="B321" s="75" t="s">
        <v>1532</v>
      </c>
      <c r="C321" s="176" t="s">
        <v>17</v>
      </c>
      <c r="D321" s="236"/>
      <c r="E321" s="236"/>
      <c r="F321" s="236"/>
      <c r="G321" s="236"/>
      <c r="H321" s="236">
        <f>SUM(Tabla132112418[[#This Row],[PRIMER TRIMESTRE]:[CUARTO TRIMESTRE]])</f>
        <v>0</v>
      </c>
      <c r="I321" s="72">
        <v>300</v>
      </c>
      <c r="J321" s="72">
        <f t="shared" si="8"/>
        <v>0</v>
      </c>
      <c r="K321" s="17"/>
      <c r="L321" s="16" t="s">
        <v>18</v>
      </c>
      <c r="M321" s="16" t="s">
        <v>22</v>
      </c>
      <c r="N321" s="39" t="s">
        <v>418</v>
      </c>
    </row>
    <row r="322" spans="1:14" s="12" customFormat="1" ht="18">
      <c r="A322" s="178" t="s">
        <v>80</v>
      </c>
      <c r="B322" s="75" t="s">
        <v>1533</v>
      </c>
      <c r="C322" s="176" t="s">
        <v>17</v>
      </c>
      <c r="D322" s="236"/>
      <c r="E322" s="236"/>
      <c r="F322" s="236"/>
      <c r="G322" s="236"/>
      <c r="H322" s="236">
        <f>SUM(Tabla132112418[[#This Row],[PRIMER TRIMESTRE]:[CUARTO TRIMESTRE]])</f>
        <v>0</v>
      </c>
      <c r="I322" s="72">
        <v>845.5</v>
      </c>
      <c r="J322" s="72">
        <f t="shared" si="8"/>
        <v>0</v>
      </c>
      <c r="K322" s="17"/>
      <c r="L322" s="16" t="s">
        <v>18</v>
      </c>
      <c r="M322" s="16" t="s">
        <v>22</v>
      </c>
      <c r="N322" s="39" t="s">
        <v>418</v>
      </c>
    </row>
    <row r="323" spans="1:14" s="12" customFormat="1" ht="18">
      <c r="A323" s="178" t="s">
        <v>80</v>
      </c>
      <c r="B323" s="75" t="s">
        <v>1535</v>
      </c>
      <c r="C323" s="176" t="s">
        <v>17</v>
      </c>
      <c r="D323" s="236"/>
      <c r="E323" s="236"/>
      <c r="F323" s="236"/>
      <c r="G323" s="236"/>
      <c r="H323" s="236">
        <f>SUM(Tabla132112418[[#This Row],[PRIMER TRIMESTRE]:[CUARTO TRIMESTRE]])</f>
        <v>0</v>
      </c>
      <c r="I323" s="72">
        <v>3192.99</v>
      </c>
      <c r="J323" s="72">
        <f t="shared" si="8"/>
        <v>0</v>
      </c>
      <c r="K323" s="17"/>
      <c r="L323" s="16" t="s">
        <v>18</v>
      </c>
      <c r="M323" s="16" t="s">
        <v>22</v>
      </c>
      <c r="N323" s="39" t="s">
        <v>418</v>
      </c>
    </row>
    <row r="324" spans="1:14" s="12" customFormat="1" ht="18">
      <c r="A324" s="178" t="s">
        <v>80</v>
      </c>
      <c r="B324" s="75" t="s">
        <v>1724</v>
      </c>
      <c r="C324" s="176" t="s">
        <v>17</v>
      </c>
      <c r="D324" s="236"/>
      <c r="E324" s="236"/>
      <c r="F324" s="236"/>
      <c r="G324" s="236"/>
      <c r="H324" s="40">
        <v>0</v>
      </c>
      <c r="I324" s="72">
        <v>0</v>
      </c>
      <c r="J324" s="72">
        <v>0</v>
      </c>
      <c r="K324" s="17"/>
      <c r="L324" s="16" t="s">
        <v>18</v>
      </c>
      <c r="M324" s="16" t="s">
        <v>22</v>
      </c>
      <c r="N324" s="39" t="s">
        <v>418</v>
      </c>
    </row>
    <row r="325" spans="1:14" s="12" customFormat="1" ht="51">
      <c r="A325" s="178" t="s">
        <v>80</v>
      </c>
      <c r="B325" s="75" t="s">
        <v>1536</v>
      </c>
      <c r="C325" s="176" t="s">
        <v>17</v>
      </c>
      <c r="D325" s="236"/>
      <c r="E325" s="236"/>
      <c r="F325" s="236"/>
      <c r="G325" s="236"/>
      <c r="H325" s="236">
        <f>SUM(Tabla132112418[[#This Row],[PRIMER TRIMESTRE]:[CUARTO TRIMESTRE]])</f>
        <v>0</v>
      </c>
      <c r="I325" s="72">
        <v>45017.279999999999</v>
      </c>
      <c r="J325" s="72">
        <f t="shared" si="8"/>
        <v>0</v>
      </c>
      <c r="K325" s="17"/>
      <c r="L325" s="16" t="s">
        <v>18</v>
      </c>
      <c r="M325" s="16" t="s">
        <v>22</v>
      </c>
      <c r="N325" s="39" t="s">
        <v>418</v>
      </c>
    </row>
    <row r="326" spans="1:14" s="12" customFormat="1" ht="18">
      <c r="A326" s="178" t="s">
        <v>80</v>
      </c>
      <c r="B326" s="75" t="s">
        <v>1340</v>
      </c>
      <c r="C326" s="39" t="s">
        <v>17</v>
      </c>
      <c r="D326" s="236"/>
      <c r="E326" s="236"/>
      <c r="F326" s="236"/>
      <c r="G326" s="236"/>
      <c r="H326" s="40">
        <f>SUM(Tabla132112418[[#This Row],[PRIMER TRIMESTRE]:[CUARTO TRIMESTRE]])</f>
        <v>0</v>
      </c>
      <c r="I326" s="72">
        <v>348.1</v>
      </c>
      <c r="J326" s="17">
        <f t="shared" si="8"/>
        <v>0</v>
      </c>
      <c r="K326" s="17"/>
      <c r="L326" s="16" t="s">
        <v>18</v>
      </c>
      <c r="M326" s="16" t="s">
        <v>22</v>
      </c>
      <c r="N326" s="39" t="s">
        <v>418</v>
      </c>
    </row>
    <row r="327" spans="1:14" s="12" customFormat="1" ht="18">
      <c r="A327" s="178" t="s">
        <v>80</v>
      </c>
      <c r="B327" s="75" t="s">
        <v>1537</v>
      </c>
      <c r="C327" s="39" t="s">
        <v>17</v>
      </c>
      <c r="D327" s="236"/>
      <c r="E327" s="236"/>
      <c r="F327" s="236"/>
      <c r="G327" s="236"/>
      <c r="H327" s="236">
        <f>SUM(Tabla132112418[[#This Row],[PRIMER TRIMESTRE]:[CUARTO TRIMESTRE]])</f>
        <v>0</v>
      </c>
      <c r="I327" s="72">
        <v>7623.81</v>
      </c>
      <c r="J327" s="72">
        <f t="shared" si="8"/>
        <v>0</v>
      </c>
      <c r="K327" s="17"/>
      <c r="L327" s="16" t="s">
        <v>18</v>
      </c>
      <c r="M327" s="16" t="s">
        <v>22</v>
      </c>
      <c r="N327" s="39" t="s">
        <v>418</v>
      </c>
    </row>
    <row r="328" spans="1:14" s="12" customFormat="1" ht="18">
      <c r="A328" s="178" t="s">
        <v>80</v>
      </c>
      <c r="B328" s="75" t="s">
        <v>1341</v>
      </c>
      <c r="C328" s="39" t="s">
        <v>17</v>
      </c>
      <c r="D328" s="236"/>
      <c r="E328" s="236"/>
      <c r="F328" s="236"/>
      <c r="G328" s="236"/>
      <c r="H328" s="40">
        <f>SUM(Tabla132112418[[#This Row],[PRIMER TRIMESTRE]:[CUARTO TRIMESTRE]])</f>
        <v>0</v>
      </c>
      <c r="I328" s="72">
        <v>88.5</v>
      </c>
      <c r="J328" s="17">
        <f t="shared" si="8"/>
        <v>0</v>
      </c>
      <c r="K328" s="17"/>
      <c r="L328" s="16" t="s">
        <v>18</v>
      </c>
      <c r="M328" s="16" t="s">
        <v>22</v>
      </c>
      <c r="N328" s="39" t="s">
        <v>418</v>
      </c>
    </row>
    <row r="329" spans="1:14" s="12" customFormat="1" ht="18">
      <c r="A329" s="178" t="s">
        <v>80</v>
      </c>
      <c r="B329" s="75" t="s">
        <v>1342</v>
      </c>
      <c r="C329" s="39" t="s">
        <v>17</v>
      </c>
      <c r="D329" s="236"/>
      <c r="E329" s="236"/>
      <c r="F329" s="236"/>
      <c r="G329" s="236"/>
      <c r="H329" s="40">
        <f>SUM(Tabla132112418[[#This Row],[PRIMER TRIMESTRE]:[CUARTO TRIMESTRE]])</f>
        <v>0</v>
      </c>
      <c r="I329" s="72">
        <v>165.2</v>
      </c>
      <c r="J329" s="17">
        <f t="shared" si="8"/>
        <v>0</v>
      </c>
      <c r="K329" s="17"/>
      <c r="L329" s="16" t="s">
        <v>18</v>
      </c>
      <c r="M329" s="16" t="s">
        <v>22</v>
      </c>
      <c r="N329" s="39" t="s">
        <v>418</v>
      </c>
    </row>
    <row r="330" spans="1:14" s="12" customFormat="1" ht="18">
      <c r="A330" s="178" t="s">
        <v>80</v>
      </c>
      <c r="B330" s="75" t="s">
        <v>1343</v>
      </c>
      <c r="C330" s="39" t="s">
        <v>17</v>
      </c>
      <c r="D330" s="236"/>
      <c r="E330" s="236"/>
      <c r="F330" s="236"/>
      <c r="G330" s="236"/>
      <c r="H330" s="40">
        <f>SUM(Tabla132112418[[#This Row],[PRIMER TRIMESTRE]:[CUARTO TRIMESTRE]])</f>
        <v>0</v>
      </c>
      <c r="I330" s="72">
        <v>855.5</v>
      </c>
      <c r="J330" s="17">
        <f t="shared" si="8"/>
        <v>0</v>
      </c>
      <c r="K330" s="17"/>
      <c r="L330" s="16" t="s">
        <v>18</v>
      </c>
      <c r="M330" s="16" t="s">
        <v>22</v>
      </c>
      <c r="N330" s="39" t="s">
        <v>418</v>
      </c>
    </row>
    <row r="331" spans="1:14" s="12" customFormat="1" ht="18">
      <c r="A331" s="178" t="s">
        <v>80</v>
      </c>
      <c r="B331" s="75" t="s">
        <v>571</v>
      </c>
      <c r="C331" s="39" t="s">
        <v>17</v>
      </c>
      <c r="D331" s="236"/>
      <c r="E331" s="236"/>
      <c r="F331" s="236"/>
      <c r="G331" s="236"/>
      <c r="H331" s="40">
        <f>SUM(Tabla132112418[[#This Row],[PRIMER TRIMESTRE]:[CUARTO TRIMESTRE]])</f>
        <v>0</v>
      </c>
      <c r="I331" s="17">
        <v>12159.7</v>
      </c>
      <c r="J331" s="17">
        <f>+Tabla132112418[[#This Row],[CANTIDAD TOTAL]]*Tabla132112418[[#This Row],[PRECIO UNITARIO ESTIMADO]]</f>
        <v>0</v>
      </c>
      <c r="K331" s="17"/>
      <c r="L331" s="16" t="s">
        <v>18</v>
      </c>
      <c r="M331" s="16" t="s">
        <v>22</v>
      </c>
      <c r="N331" s="39" t="s">
        <v>418</v>
      </c>
    </row>
    <row r="332" spans="1:14" s="12" customFormat="1" ht="18">
      <c r="A332" s="178" t="s">
        <v>80</v>
      </c>
      <c r="B332" s="75" t="s">
        <v>186</v>
      </c>
      <c r="C332" s="39" t="s">
        <v>17</v>
      </c>
      <c r="D332" s="236"/>
      <c r="E332" s="236"/>
      <c r="F332" s="236"/>
      <c r="G332" s="236"/>
      <c r="H332" s="40">
        <f>SUM(Tabla132112418[[#This Row],[PRIMER TRIMESTRE]:[CUARTO TRIMESTRE]])</f>
        <v>0</v>
      </c>
      <c r="I332" s="17">
        <v>2600</v>
      </c>
      <c r="J332" s="17">
        <f>+Tabla132112418[[#This Row],[CANTIDAD TOTAL]]*Tabla132112418[[#This Row],[PRECIO UNITARIO ESTIMADO]]</f>
        <v>0</v>
      </c>
      <c r="K332" s="17"/>
      <c r="L332" s="16" t="s">
        <v>18</v>
      </c>
      <c r="M332" s="16" t="s">
        <v>22</v>
      </c>
      <c r="N332" s="39" t="s">
        <v>418</v>
      </c>
    </row>
    <row r="333" spans="1:14" s="12" customFormat="1" ht="18">
      <c r="A333" s="178" t="s">
        <v>80</v>
      </c>
      <c r="B333" s="75" t="s">
        <v>1550</v>
      </c>
      <c r="C333" s="39" t="s">
        <v>17</v>
      </c>
      <c r="D333" s="236"/>
      <c r="E333" s="236"/>
      <c r="F333" s="236"/>
      <c r="G333" s="236"/>
      <c r="H333" s="236">
        <f>SUM(Tabla132112418[[#This Row],[PRIMER TRIMESTRE]:[CUARTO TRIMESTRE]])</f>
        <v>0</v>
      </c>
      <c r="I333" s="17">
        <v>317.27</v>
      </c>
      <c r="J333" s="17">
        <f>+H333*I333</f>
        <v>0</v>
      </c>
      <c r="K333" s="17"/>
      <c r="L333" s="16" t="s">
        <v>18</v>
      </c>
      <c r="M333" s="16" t="s">
        <v>22</v>
      </c>
      <c r="N333" s="39" t="s">
        <v>418</v>
      </c>
    </row>
    <row r="334" spans="1:14" s="12" customFormat="1" ht="18">
      <c r="A334" s="178" t="s">
        <v>80</v>
      </c>
      <c r="B334" s="75" t="s">
        <v>148</v>
      </c>
      <c r="C334" s="39" t="s">
        <v>149</v>
      </c>
      <c r="D334" s="236"/>
      <c r="E334" s="236"/>
      <c r="F334" s="236"/>
      <c r="G334" s="236"/>
      <c r="H334" s="40">
        <f>SUM(Tabla132112418[[#This Row],[PRIMER TRIMESTRE]:[CUARTO TRIMESTRE]])</f>
        <v>0</v>
      </c>
      <c r="I334" s="17">
        <v>127.6</v>
      </c>
      <c r="J334" s="17">
        <f>+Tabla132112418[[#This Row],[CANTIDAD TOTAL]]*Tabla132112418[[#This Row],[PRECIO UNITARIO ESTIMADO]]</f>
        <v>0</v>
      </c>
      <c r="K334" s="17"/>
      <c r="L334" s="16" t="s">
        <v>18</v>
      </c>
      <c r="M334" s="16" t="s">
        <v>22</v>
      </c>
      <c r="N334" s="39" t="s">
        <v>418</v>
      </c>
    </row>
    <row r="335" spans="1:14" s="12" customFormat="1" ht="18">
      <c r="A335" s="178" t="s">
        <v>80</v>
      </c>
      <c r="B335" s="75" t="s">
        <v>1430</v>
      </c>
      <c r="C335" s="39" t="s">
        <v>290</v>
      </c>
      <c r="D335" s="236"/>
      <c r="E335" s="236"/>
      <c r="F335" s="236"/>
      <c r="G335" s="236"/>
      <c r="H335" s="40">
        <f>SUM(Tabla132112418[[#This Row],[PRIMER TRIMESTRE]:[CUARTO TRIMESTRE]])</f>
        <v>0</v>
      </c>
      <c r="I335" s="17">
        <v>793.52</v>
      </c>
      <c r="J335" s="17">
        <f>+Tabla132112418[[#This Row],[CANTIDAD TOTAL]]*Tabla132112418[[#This Row],[PRECIO UNITARIO ESTIMADO]]</f>
        <v>0</v>
      </c>
      <c r="K335" s="17"/>
      <c r="L335" s="16" t="s">
        <v>18</v>
      </c>
      <c r="M335" s="16" t="s">
        <v>22</v>
      </c>
      <c r="N335" s="39" t="s">
        <v>418</v>
      </c>
    </row>
    <row r="336" spans="1:14" s="12" customFormat="1" ht="18">
      <c r="A336" s="178" t="s">
        <v>80</v>
      </c>
      <c r="B336" s="75" t="s">
        <v>439</v>
      </c>
      <c r="C336" s="39" t="s">
        <v>149</v>
      </c>
      <c r="D336" s="236"/>
      <c r="E336" s="236"/>
      <c r="F336" s="236"/>
      <c r="G336" s="236"/>
      <c r="H336" s="40">
        <f>SUM(Tabla132112418[[#This Row],[PRIMER TRIMESTRE]:[CUARTO TRIMESTRE]])</f>
        <v>0</v>
      </c>
      <c r="I336" s="17">
        <v>123.91</v>
      </c>
      <c r="J336" s="17">
        <f>+Tabla132112418[[#This Row],[CANTIDAD TOTAL]]*Tabla132112418[[#This Row],[PRECIO UNITARIO ESTIMADO]]</f>
        <v>0</v>
      </c>
      <c r="K336" s="17"/>
      <c r="L336" s="16" t="s">
        <v>18</v>
      </c>
      <c r="M336" s="16" t="s">
        <v>22</v>
      </c>
      <c r="N336" s="39" t="s">
        <v>418</v>
      </c>
    </row>
    <row r="337" spans="1:14" s="12" customFormat="1" ht="18">
      <c r="A337" s="178" t="s">
        <v>80</v>
      </c>
      <c r="B337" s="75" t="s">
        <v>1553</v>
      </c>
      <c r="C337" s="39" t="s">
        <v>17</v>
      </c>
      <c r="D337" s="236"/>
      <c r="E337" s="236"/>
      <c r="F337" s="236"/>
      <c r="G337" s="236"/>
      <c r="H337" s="236">
        <f>SUM(Tabla132112418[[#This Row],[PRIMER TRIMESTRE]:[CUARTO TRIMESTRE]])</f>
        <v>0</v>
      </c>
      <c r="I337" s="17">
        <v>536.16999999999996</v>
      </c>
      <c r="J337" s="17">
        <f>+H337*I337</f>
        <v>0</v>
      </c>
      <c r="K337" s="17"/>
      <c r="L337" s="16" t="s">
        <v>18</v>
      </c>
      <c r="M337" s="16" t="s">
        <v>22</v>
      </c>
      <c r="N337" s="39" t="s">
        <v>418</v>
      </c>
    </row>
    <row r="338" spans="1:14" s="12" customFormat="1" ht="25.5">
      <c r="A338" s="178" t="s">
        <v>80</v>
      </c>
      <c r="B338" s="75" t="s">
        <v>1538</v>
      </c>
      <c r="C338" s="39" t="s">
        <v>149</v>
      </c>
      <c r="D338" s="236"/>
      <c r="E338" s="236"/>
      <c r="F338" s="236"/>
      <c r="G338" s="236"/>
      <c r="H338" s="236">
        <f>SUM(Tabla132112418[[#This Row],[PRIMER TRIMESTRE]:[CUARTO TRIMESTRE]])</f>
        <v>0</v>
      </c>
      <c r="I338" s="17">
        <v>560</v>
      </c>
      <c r="J338" s="17">
        <f>+H338*I338</f>
        <v>0</v>
      </c>
      <c r="K338" s="17"/>
      <c r="L338" s="16" t="s">
        <v>18</v>
      </c>
      <c r="M338" s="16" t="s">
        <v>22</v>
      </c>
      <c r="N338" s="39" t="s">
        <v>418</v>
      </c>
    </row>
    <row r="339" spans="1:14" s="12" customFormat="1" ht="18">
      <c r="A339" s="178" t="s">
        <v>80</v>
      </c>
      <c r="B339" s="75" t="s">
        <v>471</v>
      </c>
      <c r="C339" s="39" t="s">
        <v>17</v>
      </c>
      <c r="D339" s="236"/>
      <c r="E339" s="210"/>
      <c r="F339" s="236"/>
      <c r="G339" s="236"/>
      <c r="H339" s="40">
        <f>SUM(Tabla132112418[[#This Row],[PRIMER TRIMESTRE]:[CUARTO TRIMESTRE]])</f>
        <v>0</v>
      </c>
      <c r="I339" s="17">
        <v>55.38</v>
      </c>
      <c r="J339" s="17">
        <f>+Tabla132112418[[#This Row],[CANTIDAD TOTAL]]*Tabla132112418[[#This Row],[PRECIO UNITARIO ESTIMADO]]</f>
        <v>0</v>
      </c>
      <c r="K339" s="17"/>
      <c r="L339" s="16" t="s">
        <v>18</v>
      </c>
      <c r="M339" s="16" t="s">
        <v>22</v>
      </c>
      <c r="N339" s="39" t="s">
        <v>418</v>
      </c>
    </row>
    <row r="340" spans="1:14" s="12" customFormat="1" ht="18">
      <c r="A340" s="178" t="s">
        <v>80</v>
      </c>
      <c r="B340" s="75" t="s">
        <v>1348</v>
      </c>
      <c r="C340" s="39" t="s">
        <v>17</v>
      </c>
      <c r="D340" s="236"/>
      <c r="E340" s="210"/>
      <c r="F340" s="236"/>
      <c r="G340" s="236"/>
      <c r="H340" s="40">
        <f>SUM(Tabla132112418[[#This Row],[PRIMER TRIMESTRE]:[CUARTO TRIMESTRE]])</f>
        <v>0</v>
      </c>
      <c r="I340" s="17">
        <v>85</v>
      </c>
      <c r="J340" s="17">
        <f t="shared" ref="J340:J375" si="9">+H340*I340</f>
        <v>0</v>
      </c>
      <c r="K340" s="17"/>
      <c r="L340" s="16" t="s">
        <v>18</v>
      </c>
      <c r="M340" s="16" t="s">
        <v>22</v>
      </c>
      <c r="N340" s="39" t="s">
        <v>418</v>
      </c>
    </row>
    <row r="341" spans="1:14" s="12" customFormat="1" ht="18">
      <c r="A341" s="178" t="s">
        <v>80</v>
      </c>
      <c r="B341" s="75" t="s">
        <v>1591</v>
      </c>
      <c r="C341" s="39" t="s">
        <v>17</v>
      </c>
      <c r="D341" s="236"/>
      <c r="E341" s="210"/>
      <c r="F341" s="236"/>
      <c r="G341" s="236"/>
      <c r="H341" s="40">
        <f>SUM(Tabla132112418[[#This Row],[PRIMER TRIMESTRE]:[CUARTO TRIMESTRE]])</f>
        <v>0</v>
      </c>
      <c r="I341" s="17">
        <v>196.4</v>
      </c>
      <c r="J341" s="17">
        <f t="shared" si="9"/>
        <v>0</v>
      </c>
      <c r="K341" s="17"/>
      <c r="L341" s="16" t="s">
        <v>18</v>
      </c>
      <c r="M341" s="16" t="s">
        <v>22</v>
      </c>
      <c r="N341" s="39" t="s">
        <v>418</v>
      </c>
    </row>
    <row r="342" spans="1:14" s="12" customFormat="1" ht="18">
      <c r="A342" s="178" t="s">
        <v>80</v>
      </c>
      <c r="B342" s="75" t="s">
        <v>1349</v>
      </c>
      <c r="C342" s="39" t="s">
        <v>17</v>
      </c>
      <c r="D342" s="236"/>
      <c r="E342" s="210"/>
      <c r="F342" s="236"/>
      <c r="G342" s="236"/>
      <c r="H342" s="40">
        <f>SUM(Tabla132112418[[#This Row],[PRIMER TRIMESTRE]:[CUARTO TRIMESTRE]])</f>
        <v>0</v>
      </c>
      <c r="I342" s="17">
        <v>55</v>
      </c>
      <c r="J342" s="17">
        <f t="shared" si="9"/>
        <v>0</v>
      </c>
      <c r="K342" s="17"/>
      <c r="L342" s="16" t="s">
        <v>18</v>
      </c>
      <c r="M342" s="16" t="s">
        <v>22</v>
      </c>
      <c r="N342" s="39" t="s">
        <v>418</v>
      </c>
    </row>
    <row r="343" spans="1:14" s="12" customFormat="1" ht="18">
      <c r="A343" s="178" t="s">
        <v>80</v>
      </c>
      <c r="B343" s="75" t="s">
        <v>1711</v>
      </c>
      <c r="C343" s="39" t="s">
        <v>17</v>
      </c>
      <c r="D343" s="236"/>
      <c r="E343" s="210"/>
      <c r="F343" s="236"/>
      <c r="G343" s="236"/>
      <c r="H343" s="40">
        <v>0</v>
      </c>
      <c r="I343" s="17">
        <v>0</v>
      </c>
      <c r="J343" s="17">
        <v>0</v>
      </c>
      <c r="K343" s="17"/>
      <c r="L343" s="16" t="s">
        <v>18</v>
      </c>
      <c r="M343" s="16" t="s">
        <v>22</v>
      </c>
      <c r="N343" s="39" t="s">
        <v>418</v>
      </c>
    </row>
    <row r="344" spans="1:14" s="12" customFormat="1" ht="18">
      <c r="A344" s="178" t="s">
        <v>80</v>
      </c>
      <c r="B344" s="75" t="s">
        <v>1563</v>
      </c>
      <c r="C344" s="39" t="s">
        <v>17</v>
      </c>
      <c r="D344" s="236"/>
      <c r="E344" s="236"/>
      <c r="F344" s="236"/>
      <c r="G344" s="236"/>
      <c r="H344" s="236">
        <f>SUM(Tabla132112418[[#This Row],[PRIMER TRIMESTRE]:[CUARTO TRIMESTRE]])</f>
        <v>0</v>
      </c>
      <c r="I344" s="17">
        <v>108.41</v>
      </c>
      <c r="J344" s="17">
        <f t="shared" si="9"/>
        <v>0</v>
      </c>
      <c r="K344" s="17"/>
      <c r="L344" s="16" t="s">
        <v>18</v>
      </c>
      <c r="M344" s="16" t="s">
        <v>22</v>
      </c>
      <c r="N344" s="39" t="s">
        <v>418</v>
      </c>
    </row>
    <row r="345" spans="1:14" s="12" customFormat="1" ht="18">
      <c r="A345" s="178" t="s">
        <v>80</v>
      </c>
      <c r="B345" s="75" t="s">
        <v>1562</v>
      </c>
      <c r="C345" s="39" t="s">
        <v>17</v>
      </c>
      <c r="D345" s="236"/>
      <c r="E345" s="236"/>
      <c r="F345" s="236"/>
      <c r="G345" s="236"/>
      <c r="H345" s="236">
        <f>SUM(Tabla132112418[[#This Row],[PRIMER TRIMESTRE]:[CUARTO TRIMESTRE]])</f>
        <v>0</v>
      </c>
      <c r="I345" s="17">
        <v>23.1</v>
      </c>
      <c r="J345" s="17">
        <f t="shared" si="9"/>
        <v>0</v>
      </c>
      <c r="K345" s="17"/>
      <c r="L345" s="16" t="s">
        <v>18</v>
      </c>
      <c r="M345" s="16" t="s">
        <v>22</v>
      </c>
      <c r="N345" s="39" t="s">
        <v>418</v>
      </c>
    </row>
    <row r="346" spans="1:14" s="12" customFormat="1" ht="18">
      <c r="A346" s="178" t="s">
        <v>80</v>
      </c>
      <c r="B346" s="75" t="s">
        <v>1350</v>
      </c>
      <c r="C346" s="39" t="s">
        <v>17</v>
      </c>
      <c r="D346" s="236"/>
      <c r="E346" s="210"/>
      <c r="F346" s="236"/>
      <c r="G346" s="236"/>
      <c r="H346" s="40">
        <f>SUM(Tabla132112418[[#This Row],[PRIMER TRIMESTRE]:[CUARTO TRIMESTRE]])</f>
        <v>0</v>
      </c>
      <c r="I346" s="17">
        <v>210</v>
      </c>
      <c r="J346" s="17">
        <f t="shared" si="9"/>
        <v>0</v>
      </c>
      <c r="K346" s="17"/>
      <c r="L346" s="16" t="s">
        <v>18</v>
      </c>
      <c r="M346" s="16" t="s">
        <v>22</v>
      </c>
      <c r="N346" s="39" t="s">
        <v>418</v>
      </c>
    </row>
    <row r="347" spans="1:14" s="12" customFormat="1" ht="18">
      <c r="A347" s="178" t="s">
        <v>80</v>
      </c>
      <c r="B347" s="75" t="s">
        <v>644</v>
      </c>
      <c r="C347" s="39" t="s">
        <v>17</v>
      </c>
      <c r="D347" s="236"/>
      <c r="E347" s="236"/>
      <c r="F347" s="236"/>
      <c r="G347" s="240"/>
      <c r="H347" s="40">
        <f>SUM(Tabla132112418[[#This Row],[PRIMER TRIMESTRE]:[CUARTO TRIMESTRE]])</f>
        <v>0</v>
      </c>
      <c r="I347" s="17">
        <v>731.35</v>
      </c>
      <c r="J347" s="17">
        <f t="shared" si="9"/>
        <v>0</v>
      </c>
      <c r="K347" s="17"/>
      <c r="L347" s="16" t="s">
        <v>18</v>
      </c>
      <c r="M347" s="16" t="s">
        <v>22</v>
      </c>
      <c r="N347" s="39" t="s">
        <v>418</v>
      </c>
    </row>
    <row r="348" spans="1:14" s="12" customFormat="1" ht="18">
      <c r="A348" s="178" t="s">
        <v>80</v>
      </c>
      <c r="B348" s="75" t="s">
        <v>645</v>
      </c>
      <c r="C348" s="39" t="s">
        <v>17</v>
      </c>
      <c r="D348" s="236"/>
      <c r="E348" s="236"/>
      <c r="F348" s="236"/>
      <c r="G348" s="240"/>
      <c r="H348" s="40">
        <f>SUM(Tabla132112418[[#This Row],[PRIMER TRIMESTRE]:[CUARTO TRIMESTRE]])</f>
        <v>0</v>
      </c>
      <c r="I348" s="17">
        <v>1013.28</v>
      </c>
      <c r="J348" s="17">
        <f t="shared" si="9"/>
        <v>0</v>
      </c>
      <c r="K348" s="17"/>
      <c r="L348" s="16" t="s">
        <v>18</v>
      </c>
      <c r="M348" s="16" t="s">
        <v>22</v>
      </c>
      <c r="N348" s="39" t="s">
        <v>418</v>
      </c>
    </row>
    <row r="349" spans="1:14" s="12" customFormat="1" ht="18">
      <c r="A349" s="178" t="s">
        <v>80</v>
      </c>
      <c r="B349" s="75" t="s">
        <v>646</v>
      </c>
      <c r="C349" s="39" t="s">
        <v>17</v>
      </c>
      <c r="D349" s="236"/>
      <c r="E349" s="236"/>
      <c r="F349" s="236"/>
      <c r="G349" s="240"/>
      <c r="H349" s="40">
        <f>SUM(Tabla132112418[[#This Row],[PRIMER TRIMESTRE]:[CUARTO TRIMESTRE]])</f>
        <v>0</v>
      </c>
      <c r="I349" s="17">
        <v>1196.97</v>
      </c>
      <c r="J349" s="17">
        <f t="shared" si="9"/>
        <v>0</v>
      </c>
      <c r="K349" s="17"/>
      <c r="L349" s="16" t="s">
        <v>18</v>
      </c>
      <c r="M349" s="16" t="s">
        <v>22</v>
      </c>
      <c r="N349" s="39" t="s">
        <v>418</v>
      </c>
    </row>
    <row r="350" spans="1:14" s="12" customFormat="1" ht="18">
      <c r="A350" s="178" t="s">
        <v>80</v>
      </c>
      <c r="B350" s="75" t="s">
        <v>647</v>
      </c>
      <c r="C350" s="39" t="s">
        <v>17</v>
      </c>
      <c r="D350" s="236"/>
      <c r="E350" s="236"/>
      <c r="F350" s="236"/>
      <c r="G350" s="240"/>
      <c r="H350" s="40">
        <f>SUM(Tabla132112418[[#This Row],[PRIMER TRIMESTRE]:[CUARTO TRIMESTRE]])</f>
        <v>0</v>
      </c>
      <c r="I350" s="17">
        <v>1882.41</v>
      </c>
      <c r="J350" s="17">
        <f t="shared" si="9"/>
        <v>0</v>
      </c>
      <c r="K350" s="17"/>
      <c r="L350" s="16" t="s">
        <v>18</v>
      </c>
      <c r="M350" s="16" t="s">
        <v>22</v>
      </c>
      <c r="N350" s="39" t="s">
        <v>418</v>
      </c>
    </row>
    <row r="351" spans="1:14" s="12" customFormat="1" ht="18">
      <c r="A351" s="178" t="s">
        <v>80</v>
      </c>
      <c r="B351" s="75" t="s">
        <v>648</v>
      </c>
      <c r="C351" s="39" t="s">
        <v>17</v>
      </c>
      <c r="D351" s="236"/>
      <c r="E351" s="236"/>
      <c r="F351" s="236"/>
      <c r="G351" s="240"/>
      <c r="H351" s="40">
        <f>SUM(Tabla132112418[[#This Row],[PRIMER TRIMESTRE]:[CUARTO TRIMESTRE]])</f>
        <v>0</v>
      </c>
      <c r="I351" s="17">
        <v>2110.4699999999998</v>
      </c>
      <c r="J351" s="17">
        <f t="shared" si="9"/>
        <v>0</v>
      </c>
      <c r="K351" s="17"/>
      <c r="L351" s="16" t="s">
        <v>18</v>
      </c>
      <c r="M351" s="16" t="s">
        <v>22</v>
      </c>
      <c r="N351" s="39" t="s">
        <v>418</v>
      </c>
    </row>
    <row r="352" spans="1:14" s="12" customFormat="1" ht="18">
      <c r="A352" s="178" t="s">
        <v>80</v>
      </c>
      <c r="B352" s="75" t="s">
        <v>649</v>
      </c>
      <c r="C352" s="39" t="s">
        <v>17</v>
      </c>
      <c r="D352" s="236"/>
      <c r="E352" s="236"/>
      <c r="F352" s="236"/>
      <c r="G352" s="240"/>
      <c r="H352" s="40">
        <f>SUM(Tabla132112418[[#This Row],[PRIMER TRIMESTRE]:[CUARTO TRIMESTRE]])</f>
        <v>0</v>
      </c>
      <c r="I352" s="17">
        <v>2920.5</v>
      </c>
      <c r="J352" s="17">
        <f t="shared" si="9"/>
        <v>0</v>
      </c>
      <c r="K352" s="17"/>
      <c r="L352" s="16" t="s">
        <v>18</v>
      </c>
      <c r="M352" s="16" t="s">
        <v>22</v>
      </c>
      <c r="N352" s="39" t="s">
        <v>418</v>
      </c>
    </row>
    <row r="353" spans="1:14" s="12" customFormat="1" ht="18">
      <c r="A353" s="178" t="s">
        <v>80</v>
      </c>
      <c r="B353" s="75" t="s">
        <v>650</v>
      </c>
      <c r="C353" s="39" t="s">
        <v>17</v>
      </c>
      <c r="D353" s="236"/>
      <c r="E353" s="236"/>
      <c r="F353" s="236"/>
      <c r="G353" s="240"/>
      <c r="H353" s="40">
        <f>SUM(Tabla132112418[[#This Row],[PRIMER TRIMESTRE]:[CUARTO TRIMESTRE]])</f>
        <v>0</v>
      </c>
      <c r="I353" s="17">
        <v>2919.76</v>
      </c>
      <c r="J353" s="17">
        <f t="shared" si="9"/>
        <v>0</v>
      </c>
      <c r="K353" s="17"/>
      <c r="L353" s="16" t="s">
        <v>18</v>
      </c>
      <c r="M353" s="16" t="s">
        <v>22</v>
      </c>
      <c r="N353" s="39" t="s">
        <v>418</v>
      </c>
    </row>
    <row r="354" spans="1:14" s="12" customFormat="1" ht="18">
      <c r="A354" s="178" t="s">
        <v>80</v>
      </c>
      <c r="B354" s="75" t="s">
        <v>651</v>
      </c>
      <c r="C354" s="39" t="s">
        <v>17</v>
      </c>
      <c r="D354" s="236"/>
      <c r="E354" s="236"/>
      <c r="F354" s="236"/>
      <c r="G354" s="240"/>
      <c r="H354" s="40">
        <f>SUM(Tabla132112418[[#This Row],[PRIMER TRIMESTRE]:[CUARTO TRIMESTRE]])</f>
        <v>0</v>
      </c>
      <c r="I354" s="17">
        <v>5347.76</v>
      </c>
      <c r="J354" s="17">
        <f t="shared" si="9"/>
        <v>0</v>
      </c>
      <c r="K354" s="17"/>
      <c r="L354" s="16" t="s">
        <v>18</v>
      </c>
      <c r="M354" s="16" t="s">
        <v>22</v>
      </c>
      <c r="N354" s="39" t="s">
        <v>418</v>
      </c>
    </row>
    <row r="355" spans="1:14" s="12" customFormat="1" ht="18">
      <c r="A355" s="178" t="s">
        <v>80</v>
      </c>
      <c r="B355" s="75" t="s">
        <v>652</v>
      </c>
      <c r="C355" s="39" t="s">
        <v>17</v>
      </c>
      <c r="D355" s="236"/>
      <c r="E355" s="236"/>
      <c r="F355" s="236"/>
      <c r="G355" s="240"/>
      <c r="H355" s="40">
        <f>SUM(Tabla132112418[[#This Row],[PRIMER TRIMESTRE]:[CUARTO TRIMESTRE]])</f>
        <v>0</v>
      </c>
      <c r="I355" s="17">
        <v>9696.06</v>
      </c>
      <c r="J355" s="17">
        <f t="shared" si="9"/>
        <v>0</v>
      </c>
      <c r="K355" s="17"/>
      <c r="L355" s="16" t="s">
        <v>18</v>
      </c>
      <c r="M355" s="16" t="s">
        <v>22</v>
      </c>
      <c r="N355" s="39" t="s">
        <v>418</v>
      </c>
    </row>
    <row r="356" spans="1:14" s="12" customFormat="1" ht="18">
      <c r="A356" s="178" t="s">
        <v>80</v>
      </c>
      <c r="B356" s="75" t="s">
        <v>653</v>
      </c>
      <c r="C356" s="39" t="s">
        <v>17</v>
      </c>
      <c r="D356" s="236"/>
      <c r="E356" s="236"/>
      <c r="F356" s="236"/>
      <c r="G356" s="240"/>
      <c r="H356" s="40">
        <f>SUM(Tabla132112418[[#This Row],[PRIMER TRIMESTRE]:[CUARTO TRIMESTRE]])</f>
        <v>0</v>
      </c>
      <c r="I356" s="17">
        <v>13263.2</v>
      </c>
      <c r="J356" s="17">
        <f t="shared" si="9"/>
        <v>0</v>
      </c>
      <c r="K356" s="17"/>
      <c r="L356" s="16" t="s">
        <v>18</v>
      </c>
      <c r="M356" s="16" t="s">
        <v>22</v>
      </c>
      <c r="N356" s="39" t="s">
        <v>418</v>
      </c>
    </row>
    <row r="357" spans="1:14" s="12" customFormat="1" ht="18">
      <c r="A357" s="178" t="s">
        <v>80</v>
      </c>
      <c r="B357" s="75" t="s">
        <v>351</v>
      </c>
      <c r="C357" s="39" t="s">
        <v>17</v>
      </c>
      <c r="D357" s="236"/>
      <c r="E357" s="236"/>
      <c r="F357" s="236"/>
      <c r="G357" s="240"/>
      <c r="H357" s="40">
        <f>SUM(Tabla132112418[[#This Row],[PRIMER TRIMESTRE]:[CUARTO TRIMESTRE]])</f>
        <v>0</v>
      </c>
      <c r="I357" s="17">
        <v>1800</v>
      </c>
      <c r="J357" s="17">
        <f t="shared" si="9"/>
        <v>0</v>
      </c>
      <c r="K357" s="17"/>
      <c r="L357" s="16" t="s">
        <v>18</v>
      </c>
      <c r="M357" s="16" t="s">
        <v>22</v>
      </c>
      <c r="N357" s="39" t="s">
        <v>418</v>
      </c>
    </row>
    <row r="358" spans="1:14" s="12" customFormat="1" ht="18">
      <c r="A358" s="178" t="s">
        <v>80</v>
      </c>
      <c r="B358" s="75" t="s">
        <v>352</v>
      </c>
      <c r="C358" s="39" t="s">
        <v>17</v>
      </c>
      <c r="D358" s="236"/>
      <c r="E358" s="236"/>
      <c r="F358" s="236"/>
      <c r="G358" s="240"/>
      <c r="H358" s="40">
        <f>SUM(Tabla132112418[[#This Row],[PRIMER TRIMESTRE]:[CUARTO TRIMESTRE]])</f>
        <v>0</v>
      </c>
      <c r="I358" s="17">
        <v>2000</v>
      </c>
      <c r="J358" s="17">
        <f t="shared" si="9"/>
        <v>0</v>
      </c>
      <c r="K358" s="17"/>
      <c r="L358" s="16" t="s">
        <v>18</v>
      </c>
      <c r="M358" s="16" t="s">
        <v>22</v>
      </c>
      <c r="N358" s="39" t="s">
        <v>418</v>
      </c>
    </row>
    <row r="359" spans="1:14" s="12" customFormat="1" ht="18">
      <c r="A359" s="178" t="s">
        <v>80</v>
      </c>
      <c r="B359" s="75" t="s">
        <v>345</v>
      </c>
      <c r="C359" s="39" t="s">
        <v>17</v>
      </c>
      <c r="D359" s="236"/>
      <c r="E359" s="236"/>
      <c r="F359" s="236"/>
      <c r="G359" s="240"/>
      <c r="H359" s="40">
        <f>SUM(Tabla132112418[[#This Row],[PRIMER TRIMESTRE]:[CUARTO TRIMESTRE]])</f>
        <v>0</v>
      </c>
      <c r="I359" s="17">
        <v>2500</v>
      </c>
      <c r="J359" s="17">
        <f t="shared" si="9"/>
        <v>0</v>
      </c>
      <c r="K359" s="17"/>
      <c r="L359" s="16" t="s">
        <v>18</v>
      </c>
      <c r="M359" s="16" t="s">
        <v>22</v>
      </c>
      <c r="N359" s="39" t="s">
        <v>418</v>
      </c>
    </row>
    <row r="360" spans="1:14" s="12" customFormat="1" ht="18">
      <c r="A360" s="178" t="s">
        <v>80</v>
      </c>
      <c r="B360" s="75" t="s">
        <v>346</v>
      </c>
      <c r="C360" s="39" t="s">
        <v>17</v>
      </c>
      <c r="D360" s="236"/>
      <c r="E360" s="236"/>
      <c r="F360" s="236"/>
      <c r="G360" s="240"/>
      <c r="H360" s="40">
        <f>SUM(Tabla132112418[[#This Row],[PRIMER TRIMESTRE]:[CUARTO TRIMESTRE]])</f>
        <v>0</v>
      </c>
      <c r="I360" s="17">
        <v>3100</v>
      </c>
      <c r="J360" s="17">
        <f t="shared" si="9"/>
        <v>0</v>
      </c>
      <c r="K360" s="17"/>
      <c r="L360" s="16" t="s">
        <v>18</v>
      </c>
      <c r="M360" s="16" t="s">
        <v>22</v>
      </c>
      <c r="N360" s="39" t="s">
        <v>418</v>
      </c>
    </row>
    <row r="361" spans="1:14" s="12" customFormat="1" ht="18">
      <c r="A361" s="178" t="s">
        <v>80</v>
      </c>
      <c r="B361" s="75" t="s">
        <v>347</v>
      </c>
      <c r="C361" s="39" t="s">
        <v>17</v>
      </c>
      <c r="D361" s="236"/>
      <c r="E361" s="236"/>
      <c r="F361" s="236"/>
      <c r="G361" s="240"/>
      <c r="H361" s="40">
        <f>SUM(Tabla132112418[[#This Row],[PRIMER TRIMESTRE]:[CUARTO TRIMESTRE]])</f>
        <v>0</v>
      </c>
      <c r="I361" s="17">
        <v>4100</v>
      </c>
      <c r="J361" s="17">
        <f t="shared" si="9"/>
        <v>0</v>
      </c>
      <c r="K361" s="17"/>
      <c r="L361" s="16" t="s">
        <v>18</v>
      </c>
      <c r="M361" s="16" t="s">
        <v>22</v>
      </c>
      <c r="N361" s="39" t="s">
        <v>418</v>
      </c>
    </row>
    <row r="362" spans="1:14" s="12" customFormat="1" ht="18">
      <c r="A362" s="178" t="s">
        <v>80</v>
      </c>
      <c r="B362" s="75" t="s">
        <v>1213</v>
      </c>
      <c r="C362" s="39" t="s">
        <v>17</v>
      </c>
      <c r="D362" s="236"/>
      <c r="E362" s="236"/>
      <c r="F362" s="236"/>
      <c r="G362" s="240"/>
      <c r="H362" s="40">
        <f>SUM(Tabla132112418[[#This Row],[PRIMER TRIMESTRE]:[CUARTO TRIMESTRE]])</f>
        <v>0</v>
      </c>
      <c r="I362" s="17">
        <v>8660</v>
      </c>
      <c r="J362" s="17">
        <f t="shared" si="9"/>
        <v>0</v>
      </c>
      <c r="K362" s="17"/>
      <c r="L362" s="16" t="s">
        <v>18</v>
      </c>
      <c r="M362" s="16" t="s">
        <v>22</v>
      </c>
      <c r="N362" s="39" t="s">
        <v>418</v>
      </c>
    </row>
    <row r="363" spans="1:14" s="12" customFormat="1" ht="18">
      <c r="A363" s="178" t="s">
        <v>80</v>
      </c>
      <c r="B363" s="75" t="s">
        <v>359</v>
      </c>
      <c r="C363" s="39" t="s">
        <v>17</v>
      </c>
      <c r="D363" s="236"/>
      <c r="E363" s="236"/>
      <c r="F363" s="236"/>
      <c r="G363" s="240"/>
      <c r="H363" s="40">
        <f>SUM(Tabla132112418[[#This Row],[PRIMER TRIMESTRE]:[CUARTO TRIMESTRE]])</f>
        <v>0</v>
      </c>
      <c r="I363" s="17">
        <v>1800</v>
      </c>
      <c r="J363" s="17">
        <f t="shared" si="9"/>
        <v>0</v>
      </c>
      <c r="K363" s="17"/>
      <c r="L363" s="16" t="s">
        <v>18</v>
      </c>
      <c r="M363" s="16" t="s">
        <v>22</v>
      </c>
      <c r="N363" s="39" t="s">
        <v>418</v>
      </c>
    </row>
    <row r="364" spans="1:14" s="12" customFormat="1" ht="18">
      <c r="A364" s="178" t="s">
        <v>80</v>
      </c>
      <c r="B364" s="75" t="s">
        <v>360</v>
      </c>
      <c r="C364" s="39" t="s">
        <v>17</v>
      </c>
      <c r="D364" s="236"/>
      <c r="E364" s="236"/>
      <c r="F364" s="236"/>
      <c r="G364" s="240"/>
      <c r="H364" s="40">
        <f>SUM(Tabla132112418[[#This Row],[PRIMER TRIMESTRE]:[CUARTO TRIMESTRE]])</f>
        <v>0</v>
      </c>
      <c r="I364" s="17">
        <v>2000</v>
      </c>
      <c r="J364" s="17">
        <f t="shared" si="9"/>
        <v>0</v>
      </c>
      <c r="K364" s="17"/>
      <c r="L364" s="16" t="s">
        <v>18</v>
      </c>
      <c r="M364" s="16" t="s">
        <v>22</v>
      </c>
      <c r="N364" s="39" t="s">
        <v>418</v>
      </c>
    </row>
    <row r="365" spans="1:14" s="12" customFormat="1" ht="18">
      <c r="A365" s="178" t="s">
        <v>80</v>
      </c>
      <c r="B365" s="75" t="s">
        <v>353</v>
      </c>
      <c r="C365" s="39" t="s">
        <v>17</v>
      </c>
      <c r="D365" s="236"/>
      <c r="E365" s="236"/>
      <c r="F365" s="236"/>
      <c r="G365" s="240"/>
      <c r="H365" s="40">
        <f>SUM(Tabla132112418[[#This Row],[PRIMER TRIMESTRE]:[CUARTO TRIMESTRE]])</f>
        <v>0</v>
      </c>
      <c r="I365" s="17">
        <v>2500</v>
      </c>
      <c r="J365" s="17">
        <f t="shared" si="9"/>
        <v>0</v>
      </c>
      <c r="K365" s="17"/>
      <c r="L365" s="16" t="s">
        <v>18</v>
      </c>
      <c r="M365" s="16" t="s">
        <v>22</v>
      </c>
      <c r="N365" s="39" t="s">
        <v>418</v>
      </c>
    </row>
    <row r="366" spans="1:14" s="12" customFormat="1" ht="18">
      <c r="A366" s="178" t="s">
        <v>80</v>
      </c>
      <c r="B366" s="75" t="s">
        <v>354</v>
      </c>
      <c r="C366" s="39" t="s">
        <v>17</v>
      </c>
      <c r="D366" s="236"/>
      <c r="E366" s="236"/>
      <c r="F366" s="236"/>
      <c r="G366" s="240"/>
      <c r="H366" s="40">
        <f>SUM(Tabla132112418[[#This Row],[PRIMER TRIMESTRE]:[CUARTO TRIMESTRE]])</f>
        <v>0</v>
      </c>
      <c r="I366" s="17">
        <v>8502.7999999999993</v>
      </c>
      <c r="J366" s="17">
        <f t="shared" si="9"/>
        <v>0</v>
      </c>
      <c r="K366" s="17"/>
      <c r="L366" s="16" t="s">
        <v>18</v>
      </c>
      <c r="M366" s="16" t="s">
        <v>22</v>
      </c>
      <c r="N366" s="39" t="s">
        <v>418</v>
      </c>
    </row>
    <row r="367" spans="1:14" s="12" customFormat="1" ht="18">
      <c r="A367" s="178" t="s">
        <v>80</v>
      </c>
      <c r="B367" s="75" t="s">
        <v>355</v>
      </c>
      <c r="C367" s="39" t="s">
        <v>17</v>
      </c>
      <c r="D367" s="236"/>
      <c r="E367" s="236"/>
      <c r="F367" s="236"/>
      <c r="G367" s="240"/>
      <c r="H367" s="40">
        <f>SUM(Tabla132112418[[#This Row],[PRIMER TRIMESTRE]:[CUARTO TRIMESTRE]])</f>
        <v>0</v>
      </c>
      <c r="I367" s="17">
        <v>12180</v>
      </c>
      <c r="J367" s="17">
        <f t="shared" si="9"/>
        <v>0</v>
      </c>
      <c r="K367" s="17"/>
      <c r="L367" s="16" t="s">
        <v>18</v>
      </c>
      <c r="M367" s="16" t="s">
        <v>22</v>
      </c>
      <c r="N367" s="39" t="s">
        <v>418</v>
      </c>
    </row>
    <row r="368" spans="1:14" s="12" customFormat="1" ht="18">
      <c r="A368" s="178" t="s">
        <v>80</v>
      </c>
      <c r="B368" s="75" t="s">
        <v>1214</v>
      </c>
      <c r="C368" s="39" t="s">
        <v>17</v>
      </c>
      <c r="D368" s="236"/>
      <c r="E368" s="236"/>
      <c r="F368" s="236"/>
      <c r="G368" s="240"/>
      <c r="H368" s="40">
        <f>SUM(Tabla132112418[[#This Row],[PRIMER TRIMESTRE]:[CUARTO TRIMESTRE]])</f>
        <v>0</v>
      </c>
      <c r="I368" s="17">
        <v>12180</v>
      </c>
      <c r="J368" s="17">
        <f t="shared" si="9"/>
        <v>0</v>
      </c>
      <c r="K368" s="17"/>
      <c r="L368" s="16" t="s">
        <v>18</v>
      </c>
      <c r="M368" s="16" t="s">
        <v>22</v>
      </c>
      <c r="N368" s="39" t="s">
        <v>418</v>
      </c>
    </row>
    <row r="369" spans="1:14" s="12" customFormat="1" ht="18">
      <c r="A369" s="178" t="s">
        <v>80</v>
      </c>
      <c r="B369" s="75" t="s">
        <v>366</v>
      </c>
      <c r="C369" s="39" t="s">
        <v>17</v>
      </c>
      <c r="D369" s="236"/>
      <c r="E369" s="236"/>
      <c r="F369" s="236"/>
      <c r="G369" s="240"/>
      <c r="H369" s="40">
        <f>SUM(Tabla132112418[[#This Row],[PRIMER TRIMESTRE]:[CUARTO TRIMESTRE]])</f>
        <v>0</v>
      </c>
      <c r="I369" s="17">
        <v>1800</v>
      </c>
      <c r="J369" s="17">
        <f t="shared" si="9"/>
        <v>0</v>
      </c>
      <c r="K369" s="17"/>
      <c r="L369" s="16" t="s">
        <v>18</v>
      </c>
      <c r="M369" s="16" t="s">
        <v>22</v>
      </c>
      <c r="N369" s="39" t="s">
        <v>418</v>
      </c>
    </row>
    <row r="370" spans="1:14" s="12" customFormat="1" ht="18">
      <c r="A370" s="178" t="s">
        <v>80</v>
      </c>
      <c r="B370" s="75" t="s">
        <v>367</v>
      </c>
      <c r="C370" s="39" t="s">
        <v>17</v>
      </c>
      <c r="D370" s="236"/>
      <c r="E370" s="236"/>
      <c r="F370" s="236"/>
      <c r="G370" s="240"/>
      <c r="H370" s="40">
        <f>SUM(Tabla132112418[[#This Row],[PRIMER TRIMESTRE]:[CUARTO TRIMESTRE]])</f>
        <v>0</v>
      </c>
      <c r="I370" s="17">
        <v>2000</v>
      </c>
      <c r="J370" s="17">
        <f t="shared" si="9"/>
        <v>0</v>
      </c>
      <c r="K370" s="17"/>
      <c r="L370" s="16" t="s">
        <v>18</v>
      </c>
      <c r="M370" s="16" t="s">
        <v>22</v>
      </c>
      <c r="N370" s="39" t="s">
        <v>418</v>
      </c>
    </row>
    <row r="371" spans="1:14" s="12" customFormat="1" ht="18">
      <c r="A371" s="178" t="s">
        <v>80</v>
      </c>
      <c r="B371" s="75" t="s">
        <v>361</v>
      </c>
      <c r="C371" s="39" t="s">
        <v>17</v>
      </c>
      <c r="D371" s="236"/>
      <c r="E371" s="236"/>
      <c r="F371" s="236"/>
      <c r="G371" s="240"/>
      <c r="H371" s="40">
        <f>SUM(Tabla132112418[[#This Row],[PRIMER TRIMESTRE]:[CUARTO TRIMESTRE]])</f>
        <v>0</v>
      </c>
      <c r="I371" s="17">
        <v>2500</v>
      </c>
      <c r="J371" s="17">
        <f t="shared" si="9"/>
        <v>0</v>
      </c>
      <c r="K371" s="17"/>
      <c r="L371" s="16" t="s">
        <v>18</v>
      </c>
      <c r="M371" s="16" t="s">
        <v>22</v>
      </c>
      <c r="N371" s="39" t="s">
        <v>418</v>
      </c>
    </row>
    <row r="372" spans="1:14" s="12" customFormat="1" ht="18">
      <c r="A372" s="178" t="s">
        <v>80</v>
      </c>
      <c r="B372" s="75" t="s">
        <v>362</v>
      </c>
      <c r="C372" s="39" t="s">
        <v>17</v>
      </c>
      <c r="D372" s="236"/>
      <c r="E372" s="236"/>
      <c r="F372" s="236"/>
      <c r="G372" s="240"/>
      <c r="H372" s="40">
        <f>SUM(Tabla132112418[[#This Row],[PRIMER TRIMESTRE]:[CUARTO TRIMESTRE]])</f>
        <v>0</v>
      </c>
      <c r="I372" s="17">
        <v>3100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</row>
    <row r="373" spans="1:14" s="12" customFormat="1" ht="18">
      <c r="A373" s="178" t="s">
        <v>80</v>
      </c>
      <c r="B373" s="75" t="s">
        <v>1439</v>
      </c>
      <c r="C373" s="39" t="s">
        <v>17</v>
      </c>
      <c r="D373" s="236"/>
      <c r="E373" s="236"/>
      <c r="F373" s="236"/>
      <c r="G373" s="240"/>
      <c r="H373" s="40">
        <f>SUM(Tabla132112418[[#This Row],[PRIMER TRIMESTRE]:[CUARTO TRIMESTRE]])</f>
        <v>0</v>
      </c>
      <c r="I373" s="17">
        <v>4100</v>
      </c>
      <c r="J373" s="17">
        <f t="shared" si="9"/>
        <v>0</v>
      </c>
      <c r="K373" s="17"/>
      <c r="L373" s="16" t="s">
        <v>18</v>
      </c>
      <c r="M373" s="16" t="s">
        <v>22</v>
      </c>
      <c r="N373" s="39" t="s">
        <v>418</v>
      </c>
    </row>
    <row r="374" spans="1:14" s="12" customFormat="1" ht="18">
      <c r="A374" s="178" t="s">
        <v>80</v>
      </c>
      <c r="B374" s="75" t="s">
        <v>920</v>
      </c>
      <c r="C374" s="39" t="s">
        <v>17</v>
      </c>
      <c r="D374" s="236"/>
      <c r="E374" s="236"/>
      <c r="F374" s="236"/>
      <c r="G374" s="240"/>
      <c r="H374" s="40">
        <f>SUM(Tabla132112418[[#This Row],[PRIMER TRIMESTRE]:[CUARTO TRIMESTRE]])</f>
        <v>0</v>
      </c>
      <c r="I374" s="17">
        <v>140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</row>
    <row r="375" spans="1:14" s="12" customFormat="1" ht="18">
      <c r="A375" s="178" t="s">
        <v>80</v>
      </c>
      <c r="B375" s="75" t="s">
        <v>1578</v>
      </c>
      <c r="C375" s="39" t="s">
        <v>17</v>
      </c>
      <c r="D375" s="236"/>
      <c r="E375" s="236"/>
      <c r="F375" s="236"/>
      <c r="G375" s="236"/>
      <c r="H375" s="236">
        <f>SUM(Tabla132112418[[#This Row],[PRIMER TRIMESTRE]:[CUARTO TRIMESTRE]])</f>
        <v>0</v>
      </c>
      <c r="I375" s="17">
        <v>397.8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</row>
    <row r="376" spans="1:14" s="12" customFormat="1" ht="18">
      <c r="A376" s="178" t="s">
        <v>80</v>
      </c>
      <c r="B376" s="75" t="s">
        <v>154</v>
      </c>
      <c r="C376" s="39" t="s">
        <v>470</v>
      </c>
      <c r="D376" s="236"/>
      <c r="E376" s="236"/>
      <c r="F376" s="236"/>
      <c r="G376" s="236"/>
      <c r="H376" s="40">
        <f>SUM(Tabla132112418[[#This Row],[PRIMER TRIMESTRE]:[CUARTO TRIMESTRE]])</f>
        <v>0</v>
      </c>
      <c r="I376" s="17">
        <v>100</v>
      </c>
      <c r="J376" s="17">
        <f>+Tabla132112418[[#This Row],[CANTIDAD TOTAL]]*Tabla132112418[[#This Row],[PRECIO UNITARIO ESTIMADO]]</f>
        <v>0</v>
      </c>
      <c r="K376" s="17"/>
      <c r="L376" s="16" t="s">
        <v>18</v>
      </c>
      <c r="M376" s="16" t="s">
        <v>22</v>
      </c>
      <c r="N376" s="39" t="s">
        <v>418</v>
      </c>
    </row>
    <row r="377" spans="1:14" s="12" customFormat="1" ht="18">
      <c r="A377" s="178" t="s">
        <v>80</v>
      </c>
      <c r="B377" s="75" t="s">
        <v>177</v>
      </c>
      <c r="C377" s="39" t="s">
        <v>93</v>
      </c>
      <c r="D377" s="236"/>
      <c r="E377" s="236"/>
      <c r="F377" s="236"/>
      <c r="G377" s="236"/>
      <c r="H377" s="40">
        <f>SUM(Tabla132112418[[#This Row],[PRIMER TRIMESTRE]:[CUARTO TRIMESTRE]])</f>
        <v>0</v>
      </c>
      <c r="I377" s="17">
        <v>226.78</v>
      </c>
      <c r="J377" s="17">
        <f>+Tabla132112418[[#This Row],[CANTIDAD TOTAL]]*Tabla132112418[[#This Row],[PRECIO UNITARIO ESTIMADO]]</f>
        <v>0</v>
      </c>
      <c r="K377" s="17"/>
      <c r="L377" s="16" t="s">
        <v>18</v>
      </c>
      <c r="M377" s="16" t="s">
        <v>22</v>
      </c>
      <c r="N377" s="39" t="s">
        <v>418</v>
      </c>
    </row>
    <row r="378" spans="1:14" s="12" customFormat="1" ht="18">
      <c r="A378" s="178" t="s">
        <v>80</v>
      </c>
      <c r="B378" s="75" t="s">
        <v>460</v>
      </c>
      <c r="C378" s="39" t="s">
        <v>93</v>
      </c>
      <c r="D378" s="236"/>
      <c r="E378" s="236"/>
      <c r="F378" s="236"/>
      <c r="G378" s="236"/>
      <c r="H378" s="40">
        <f>SUM(Tabla132112418[[#This Row],[PRIMER TRIMESTRE]:[CUARTO TRIMESTRE]])</f>
        <v>0</v>
      </c>
      <c r="I378" s="17">
        <v>2055.4</v>
      </c>
      <c r="J378" s="17">
        <f>+H378*I378</f>
        <v>0</v>
      </c>
      <c r="K378" s="17"/>
      <c r="L378" s="16" t="s">
        <v>18</v>
      </c>
      <c r="M378" s="16" t="s">
        <v>22</v>
      </c>
      <c r="N378" s="39" t="s">
        <v>418</v>
      </c>
    </row>
    <row r="379" spans="1:14" s="12" customFormat="1" ht="18">
      <c r="A379" s="178" t="s">
        <v>80</v>
      </c>
      <c r="B379" s="75" t="s">
        <v>179</v>
      </c>
      <c r="C379" s="39" t="s">
        <v>93</v>
      </c>
      <c r="D379" s="236"/>
      <c r="E379" s="236"/>
      <c r="F379" s="236"/>
      <c r="G379" s="236"/>
      <c r="H379" s="40">
        <f>SUM(Tabla132112418[[#This Row],[PRIMER TRIMESTRE]:[CUARTO TRIMESTRE]])</f>
        <v>0</v>
      </c>
      <c r="I379" s="17">
        <v>222.14</v>
      </c>
      <c r="J379" s="17">
        <f>+Tabla132112418[[#This Row],[CANTIDAD TOTAL]]*Tabla132112418[[#This Row],[PRECIO UNITARIO ESTIMADO]]</f>
        <v>0</v>
      </c>
      <c r="K379" s="17"/>
      <c r="L379" s="16" t="s">
        <v>18</v>
      </c>
      <c r="M379" s="16" t="s">
        <v>22</v>
      </c>
      <c r="N379" s="39" t="s">
        <v>418</v>
      </c>
    </row>
    <row r="380" spans="1:14" s="12" customFormat="1" ht="18">
      <c r="A380" s="178" t="s">
        <v>80</v>
      </c>
      <c r="B380" s="75" t="s">
        <v>1549</v>
      </c>
      <c r="C380" s="39" t="s">
        <v>17</v>
      </c>
      <c r="D380" s="236"/>
      <c r="E380" s="236"/>
      <c r="F380" s="236"/>
      <c r="G380" s="236"/>
      <c r="H380" s="236">
        <f>SUM(Tabla132112418[[#This Row],[PRIMER TRIMESTRE]:[CUARTO TRIMESTRE]])</f>
        <v>0</v>
      </c>
      <c r="I380" s="17">
        <v>62328</v>
      </c>
      <c r="J380" s="17">
        <f>+H380*I380</f>
        <v>0</v>
      </c>
      <c r="K380" s="17"/>
      <c r="L380" s="16" t="s">
        <v>18</v>
      </c>
      <c r="M380" s="16" t="s">
        <v>22</v>
      </c>
      <c r="N380" s="39" t="s">
        <v>418</v>
      </c>
    </row>
    <row r="381" spans="1:14" s="12" customFormat="1" ht="18">
      <c r="A381" s="178" t="s">
        <v>80</v>
      </c>
      <c r="B381" s="75" t="s">
        <v>181</v>
      </c>
      <c r="C381" s="39" t="s">
        <v>69</v>
      </c>
      <c r="D381" s="210"/>
      <c r="E381" s="210"/>
      <c r="F381" s="210"/>
      <c r="G381" s="210"/>
      <c r="H381" s="40">
        <f>SUM(Tabla132112418[[#This Row],[PRIMER TRIMESTRE]:[CUARTO TRIMESTRE]])</f>
        <v>0</v>
      </c>
      <c r="I381" s="17">
        <v>6206</v>
      </c>
      <c r="J381" s="17">
        <f>+Tabla132112418[[#This Row],[CANTIDAD TOTAL]]*Tabla132112418[[#This Row],[PRECIO UNITARIO ESTIMADO]]</f>
        <v>0</v>
      </c>
      <c r="K381" s="17"/>
      <c r="L381" s="16" t="s">
        <v>18</v>
      </c>
      <c r="M381" s="16" t="s">
        <v>22</v>
      </c>
      <c r="N381" s="39" t="s">
        <v>418</v>
      </c>
    </row>
    <row r="382" spans="1:14" s="12" customFormat="1" ht="25.5">
      <c r="A382" s="178" t="s">
        <v>80</v>
      </c>
      <c r="B382" s="75" t="s">
        <v>468</v>
      </c>
      <c r="C382" s="39" t="s">
        <v>17</v>
      </c>
      <c r="D382" s="236"/>
      <c r="E382" s="236"/>
      <c r="F382" s="236"/>
      <c r="G382" s="236"/>
      <c r="H382" s="40">
        <f>SUM(Tabla132112418[[#This Row],[PRIMER TRIMESTRE]:[CUARTO TRIMESTRE]])</f>
        <v>0</v>
      </c>
      <c r="I382" s="17">
        <v>4827</v>
      </c>
      <c r="J382" s="17">
        <f>+Tabla132112418[[#This Row],[CANTIDAD TOTAL]]*Tabla132112418[[#This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</row>
    <row r="383" spans="1:14" s="12" customFormat="1" ht="18">
      <c r="A383" s="178" t="s">
        <v>80</v>
      </c>
      <c r="B383" s="75" t="s">
        <v>1564</v>
      </c>
      <c r="C383" s="39" t="s">
        <v>17</v>
      </c>
      <c r="D383" s="236"/>
      <c r="E383" s="236"/>
      <c r="F383" s="236"/>
      <c r="G383" s="236"/>
      <c r="H383" s="236">
        <f>SUM(Tabla132112418[[#This Row],[PRIMER TRIMESTRE]:[CUARTO TRIMESTRE]])</f>
        <v>0</v>
      </c>
      <c r="I383" s="17">
        <v>72.37</v>
      </c>
      <c r="J383" s="17">
        <f>+H383*I383</f>
        <v>0</v>
      </c>
      <c r="K383" s="17"/>
      <c r="L383" s="16" t="s">
        <v>18</v>
      </c>
      <c r="M383" s="16" t="s">
        <v>22</v>
      </c>
      <c r="N383" s="39" t="s">
        <v>418</v>
      </c>
    </row>
    <row r="384" spans="1:14" s="12" customFormat="1" ht="18">
      <c r="A384" s="178" t="s">
        <v>80</v>
      </c>
      <c r="B384" s="75" t="s">
        <v>1565</v>
      </c>
      <c r="C384" s="39" t="s">
        <v>17</v>
      </c>
      <c r="D384" s="236"/>
      <c r="E384" s="236"/>
      <c r="F384" s="236"/>
      <c r="G384" s="236"/>
      <c r="H384" s="236">
        <f>SUM(Tabla132112418[[#This Row],[PRIMER TRIMESTRE]:[CUARTO TRIMESTRE]])</f>
        <v>0</v>
      </c>
      <c r="I384" s="17">
        <v>48.05</v>
      </c>
      <c r="J384" s="17">
        <f>+H384*I384</f>
        <v>0</v>
      </c>
      <c r="K384" s="17"/>
      <c r="L384" s="16" t="s">
        <v>18</v>
      </c>
      <c r="M384" s="16" t="s">
        <v>22</v>
      </c>
      <c r="N384" s="39" t="s">
        <v>418</v>
      </c>
    </row>
    <row r="385" spans="1:14" s="12" customFormat="1" ht="18">
      <c r="A385" s="178" t="s">
        <v>80</v>
      </c>
      <c r="B385" s="75" t="s">
        <v>1548</v>
      </c>
      <c r="C385" s="39" t="s">
        <v>17</v>
      </c>
      <c r="D385" s="236"/>
      <c r="E385" s="236"/>
      <c r="F385" s="236"/>
      <c r="G385" s="236"/>
      <c r="H385" s="236">
        <f>SUM(Tabla132112418[[#This Row],[PRIMER TRIMESTRE]:[CUARTO TRIMESTRE]])</f>
        <v>0</v>
      </c>
      <c r="I385" s="17">
        <v>191.1</v>
      </c>
      <c r="J385" s="17">
        <f>+H385*I385</f>
        <v>0</v>
      </c>
      <c r="K385" s="17"/>
      <c r="L385" s="16" t="s">
        <v>18</v>
      </c>
      <c r="M385" s="16" t="s">
        <v>22</v>
      </c>
      <c r="N385" s="39" t="s">
        <v>418</v>
      </c>
    </row>
    <row r="386" spans="1:14" s="12" customFormat="1" ht="18">
      <c r="A386" s="178" t="s">
        <v>80</v>
      </c>
      <c r="B386" s="75" t="s">
        <v>1619</v>
      </c>
      <c r="C386" s="39" t="s">
        <v>17</v>
      </c>
      <c r="D386" s="236"/>
      <c r="E386" s="236"/>
      <c r="F386" s="236"/>
      <c r="G386" s="236"/>
      <c r="H386" s="236">
        <f>SUM(Tabla132112418[[#This Row],[PRIMER TRIMESTRE]:[CUARTO TRIMESTRE]])</f>
        <v>0</v>
      </c>
      <c r="I386" s="17">
        <v>2184.9499999999998</v>
      </c>
      <c r="J386" s="17">
        <f>+H386*I386</f>
        <v>0</v>
      </c>
      <c r="K386" s="17"/>
      <c r="L386" s="16" t="s">
        <v>18</v>
      </c>
      <c r="M386" s="16" t="s">
        <v>22</v>
      </c>
      <c r="N386" s="39" t="s">
        <v>418</v>
      </c>
    </row>
    <row r="387" spans="1:14" s="12" customFormat="1" ht="18">
      <c r="A387" s="178" t="s">
        <v>80</v>
      </c>
      <c r="B387" s="75" t="s">
        <v>1566</v>
      </c>
      <c r="C387" s="39" t="s">
        <v>17</v>
      </c>
      <c r="D387" s="236"/>
      <c r="E387" s="236"/>
      <c r="F387" s="236"/>
      <c r="G387" s="236"/>
      <c r="H387" s="236">
        <f>SUM(Tabla132112418[[#This Row],[PRIMER TRIMESTRE]:[CUARTO TRIMESTRE]])</f>
        <v>0</v>
      </c>
      <c r="I387" s="17">
        <v>2891.99</v>
      </c>
      <c r="J387" s="17">
        <f>+H387*I387</f>
        <v>0</v>
      </c>
      <c r="K387" s="17"/>
      <c r="L387" s="16" t="s">
        <v>18</v>
      </c>
      <c r="M387" s="16" t="s">
        <v>22</v>
      </c>
      <c r="N387" s="39" t="s">
        <v>418</v>
      </c>
    </row>
    <row r="388" spans="1:14" s="12" customFormat="1" ht="18">
      <c r="A388" s="178" t="s">
        <v>80</v>
      </c>
      <c r="B388" s="75" t="s">
        <v>184</v>
      </c>
      <c r="C388" s="39" t="s">
        <v>17</v>
      </c>
      <c r="D388" s="236"/>
      <c r="E388" s="236"/>
      <c r="F388" s="236"/>
      <c r="G388" s="236"/>
      <c r="H388" s="40">
        <f>SUM(Tabla132112418[[#This Row],[PRIMER TRIMESTRE]:[CUARTO TRIMESTRE]])</f>
        <v>0</v>
      </c>
      <c r="I388" s="17">
        <v>1347.46</v>
      </c>
      <c r="J388" s="17">
        <f>+Tabla132112418[[#This Row],[CANTIDAD TOTAL]]*Tabla132112418[[#This Row],[PRECIO UNITARIO ESTIMADO]]</f>
        <v>0</v>
      </c>
      <c r="K388" s="17"/>
      <c r="L388" s="16" t="s">
        <v>18</v>
      </c>
      <c r="M388" s="16" t="s">
        <v>22</v>
      </c>
      <c r="N388" s="39" t="s">
        <v>418</v>
      </c>
    </row>
    <row r="389" spans="1:14" s="12" customFormat="1" ht="18">
      <c r="A389" s="178" t="s">
        <v>80</v>
      </c>
      <c r="B389" s="75" t="s">
        <v>1426</v>
      </c>
      <c r="C389" s="39" t="s">
        <v>17</v>
      </c>
      <c r="D389" s="236"/>
      <c r="E389" s="236"/>
      <c r="F389" s="236"/>
      <c r="G389" s="236"/>
      <c r="H389" s="40">
        <f>SUM(Tabla132112418[[#This Row],[PRIMER TRIMESTRE]:[CUARTO TRIMESTRE]])</f>
        <v>0</v>
      </c>
      <c r="I389" s="17">
        <v>423.61</v>
      </c>
      <c r="J389" s="17">
        <f t="shared" ref="J389:J403" si="10">+H389*I389</f>
        <v>0</v>
      </c>
      <c r="K389" s="17"/>
      <c r="L389" s="16" t="s">
        <v>18</v>
      </c>
      <c r="M389" s="16" t="s">
        <v>22</v>
      </c>
      <c r="N389" s="39" t="s">
        <v>418</v>
      </c>
    </row>
    <row r="390" spans="1:14" s="12" customFormat="1" ht="18">
      <c r="A390" s="178" t="s">
        <v>80</v>
      </c>
      <c r="B390" s="75" t="s">
        <v>1432</v>
      </c>
      <c r="C390" s="39" t="s">
        <v>17</v>
      </c>
      <c r="D390" s="236"/>
      <c r="E390" s="236"/>
      <c r="F390" s="236"/>
      <c r="G390" s="236"/>
      <c r="H390" s="40">
        <f>SUM(Tabla132112418[[#This Row],[PRIMER TRIMESTRE]:[CUARTO TRIMESTRE]])</f>
        <v>0</v>
      </c>
      <c r="I390" s="17">
        <v>705.29</v>
      </c>
      <c r="J390" s="17">
        <f t="shared" si="10"/>
        <v>0</v>
      </c>
      <c r="K390" s="17"/>
      <c r="L390" s="16" t="s">
        <v>18</v>
      </c>
      <c r="M390" s="16" t="s">
        <v>22</v>
      </c>
      <c r="N390" s="39" t="s">
        <v>418</v>
      </c>
    </row>
    <row r="391" spans="1:14" s="12" customFormat="1" ht="18">
      <c r="A391" s="178" t="s">
        <v>80</v>
      </c>
      <c r="B391" s="75" t="s">
        <v>1726</v>
      </c>
      <c r="C391" s="39" t="s">
        <v>17</v>
      </c>
      <c r="D391" s="236"/>
      <c r="E391" s="236"/>
      <c r="F391" s="236"/>
      <c r="G391" s="236"/>
      <c r="H391" s="40">
        <v>0</v>
      </c>
      <c r="I391" s="17">
        <v>0</v>
      </c>
      <c r="J391" s="17">
        <v>0</v>
      </c>
      <c r="K391" s="17"/>
      <c r="L391" s="16" t="s">
        <v>18</v>
      </c>
      <c r="M391" s="16" t="s">
        <v>22</v>
      </c>
      <c r="N391" s="39" t="s">
        <v>418</v>
      </c>
    </row>
    <row r="392" spans="1:14" s="12" customFormat="1" ht="18">
      <c r="A392" s="178" t="s">
        <v>80</v>
      </c>
      <c r="B392" s="75" t="s">
        <v>1608</v>
      </c>
      <c r="C392" s="39" t="s">
        <v>17</v>
      </c>
      <c r="D392" s="236"/>
      <c r="E392" s="236"/>
      <c r="F392" s="236"/>
      <c r="G392" s="236"/>
      <c r="H392" s="236">
        <f>SUM(Tabla132112418[[#This Row],[PRIMER TRIMESTRE]:[CUARTO TRIMESTRE]])</f>
        <v>0</v>
      </c>
      <c r="I392" s="17">
        <v>4776.8500000000004</v>
      </c>
      <c r="J392" s="17">
        <f t="shared" si="10"/>
        <v>0</v>
      </c>
      <c r="K392" s="17"/>
      <c r="L392" s="16" t="s">
        <v>18</v>
      </c>
      <c r="M392" s="16" t="s">
        <v>22</v>
      </c>
      <c r="N392" s="39" t="s">
        <v>418</v>
      </c>
    </row>
    <row r="393" spans="1:14" s="12" customFormat="1" ht="18">
      <c r="A393" s="178" t="s">
        <v>80</v>
      </c>
      <c r="B393" s="75" t="s">
        <v>1607</v>
      </c>
      <c r="C393" s="39" t="s">
        <v>17</v>
      </c>
      <c r="D393" s="236"/>
      <c r="E393" s="236"/>
      <c r="F393" s="236"/>
      <c r="G393" s="236"/>
      <c r="H393" s="236">
        <f>SUM(Tabla132112418[[#This Row],[PRIMER TRIMESTRE]:[CUARTO TRIMESTRE]])</f>
        <v>0</v>
      </c>
      <c r="I393" s="17">
        <v>20971.52</v>
      </c>
      <c r="J393" s="17">
        <f t="shared" si="10"/>
        <v>0</v>
      </c>
      <c r="K393" s="17"/>
      <c r="L393" s="16" t="s">
        <v>18</v>
      </c>
      <c r="M393" s="16" t="s">
        <v>22</v>
      </c>
      <c r="N393" s="39" t="s">
        <v>418</v>
      </c>
    </row>
    <row r="394" spans="1:14" s="12" customFormat="1" ht="18">
      <c r="A394" s="178" t="s">
        <v>80</v>
      </c>
      <c r="B394" s="75" t="s">
        <v>369</v>
      </c>
      <c r="C394" s="39" t="s">
        <v>17</v>
      </c>
      <c r="D394" s="236"/>
      <c r="E394" s="236"/>
      <c r="F394" s="236"/>
      <c r="G394" s="236"/>
      <c r="H394" s="40">
        <f>SUM(Tabla132112418[[#This Row],[PRIMER TRIMESTRE]:[CUARTO TRIMESTRE]])</f>
        <v>0</v>
      </c>
      <c r="I394" s="17">
        <v>4.55</v>
      </c>
      <c r="J394" s="17">
        <f t="shared" si="10"/>
        <v>0</v>
      </c>
      <c r="K394" s="17"/>
      <c r="L394" s="16" t="s">
        <v>18</v>
      </c>
      <c r="M394" s="16" t="s">
        <v>22</v>
      </c>
      <c r="N394" s="39" t="s">
        <v>418</v>
      </c>
    </row>
    <row r="395" spans="1:14" s="12" customFormat="1" ht="18">
      <c r="A395" s="178" t="s">
        <v>80</v>
      </c>
      <c r="B395" s="75" t="s">
        <v>449</v>
      </c>
      <c r="C395" s="39" t="s">
        <v>17</v>
      </c>
      <c r="D395" s="236"/>
      <c r="E395" s="236"/>
      <c r="F395" s="236"/>
      <c r="G395" s="236"/>
      <c r="H395" s="40">
        <f>SUM(Tabla132112418[[#This Row],[PRIMER TRIMESTRE]:[CUARTO TRIMESTRE]])</f>
        <v>0</v>
      </c>
      <c r="I395" s="17">
        <v>4.55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</row>
    <row r="396" spans="1:14" s="12" customFormat="1" ht="18">
      <c r="A396" s="178" t="s">
        <v>80</v>
      </c>
      <c r="B396" s="75" t="s">
        <v>450</v>
      </c>
      <c r="C396" s="39" t="s">
        <v>17</v>
      </c>
      <c r="D396" s="236"/>
      <c r="E396" s="236"/>
      <c r="F396" s="236"/>
      <c r="G396" s="236"/>
      <c r="H396" s="40">
        <f>SUM(Tabla132112418[[#This Row],[PRIMER TRIMESTRE]:[CUARTO TRIMESTRE]])</f>
        <v>0</v>
      </c>
      <c r="I396" s="17">
        <v>4.55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</row>
    <row r="397" spans="1:14" s="12" customFormat="1" ht="18">
      <c r="A397" s="178" t="s">
        <v>80</v>
      </c>
      <c r="B397" s="75" t="s">
        <v>451</v>
      </c>
      <c r="C397" s="39" t="s">
        <v>17</v>
      </c>
      <c r="D397" s="236"/>
      <c r="E397" s="236"/>
      <c r="F397" s="236"/>
      <c r="G397" s="236"/>
      <c r="H397" s="40">
        <f>SUM(Tabla132112418[[#This Row],[PRIMER TRIMESTRE]:[CUARTO TRIMESTRE]])</f>
        <v>0</v>
      </c>
      <c r="I397" s="17">
        <v>4.55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</row>
    <row r="398" spans="1:14" s="12" customFormat="1" ht="18">
      <c r="A398" s="178" t="s">
        <v>80</v>
      </c>
      <c r="B398" s="75" t="s">
        <v>453</v>
      </c>
      <c r="C398" s="39" t="s">
        <v>17</v>
      </c>
      <c r="D398" s="236"/>
      <c r="E398" s="236"/>
      <c r="F398" s="236"/>
      <c r="G398" s="236"/>
      <c r="H398" s="40">
        <f>SUM(Tabla132112418[[#This Row],[PRIMER TRIMESTRE]:[CUARTO TRIMESTRE]])</f>
        <v>0</v>
      </c>
      <c r="I398" s="17">
        <v>4.55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</row>
    <row r="399" spans="1:14" s="12" customFormat="1" ht="18">
      <c r="A399" s="178" t="s">
        <v>80</v>
      </c>
      <c r="B399" s="75" t="s">
        <v>452</v>
      </c>
      <c r="C399" s="39" t="s">
        <v>17</v>
      </c>
      <c r="D399" s="236"/>
      <c r="E399" s="236"/>
      <c r="F399" s="236"/>
      <c r="G399" s="236"/>
      <c r="H399" s="40">
        <f>SUM(Tabla132112418[[#This Row],[PRIMER TRIMESTRE]:[CUARTO TRIMESTRE]])</f>
        <v>0</v>
      </c>
      <c r="I399" s="17">
        <v>4.55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</row>
    <row r="400" spans="1:14" s="12" customFormat="1" ht="18">
      <c r="A400" s="178" t="s">
        <v>80</v>
      </c>
      <c r="B400" s="75" t="s">
        <v>603</v>
      </c>
      <c r="C400" s="39" t="s">
        <v>17</v>
      </c>
      <c r="D400" s="236"/>
      <c r="E400" s="236"/>
      <c r="F400" s="236"/>
      <c r="G400" s="236"/>
      <c r="H400" s="40">
        <f>SUM(Tabla132112418[[#This Row],[PRIMER TRIMESTRE]:[CUARTO TRIMESTRE]])</f>
        <v>0</v>
      </c>
      <c r="I400" s="17">
        <v>737.74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</row>
    <row r="401" spans="1:14" s="12" customFormat="1" ht="18">
      <c r="A401" s="178" t="s">
        <v>80</v>
      </c>
      <c r="B401" s="75" t="s">
        <v>604</v>
      </c>
      <c r="C401" s="39" t="s">
        <v>17</v>
      </c>
      <c r="D401" s="236"/>
      <c r="E401" s="236"/>
      <c r="F401" s="236"/>
      <c r="G401" s="236"/>
      <c r="H401" s="40">
        <f>SUM(Tabla132112418[[#This Row],[PRIMER TRIMESTRE]:[CUARTO TRIMESTRE]])</f>
        <v>0</v>
      </c>
      <c r="I401" s="17">
        <v>2121.4499999999998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</row>
    <row r="402" spans="1:14" s="12" customFormat="1" ht="18">
      <c r="A402" s="178" t="s">
        <v>80</v>
      </c>
      <c r="B402" s="75" t="s">
        <v>605</v>
      </c>
      <c r="C402" s="39" t="s">
        <v>17</v>
      </c>
      <c r="D402" s="236"/>
      <c r="E402" s="236"/>
      <c r="F402" s="236"/>
      <c r="G402" s="236"/>
      <c r="H402" s="40">
        <f>SUM(Tabla132112418[[#This Row],[PRIMER TRIMESTRE]:[CUARTO TRIMESTRE]])</f>
        <v>0</v>
      </c>
      <c r="I402" s="17">
        <v>2121.4499999999998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</row>
    <row r="403" spans="1:14" s="12" customFormat="1" ht="18">
      <c r="A403" s="178" t="s">
        <v>80</v>
      </c>
      <c r="B403" s="75" t="s">
        <v>606</v>
      </c>
      <c r="C403" s="39" t="s">
        <v>17</v>
      </c>
      <c r="D403" s="236"/>
      <c r="E403" s="236"/>
      <c r="F403" s="236"/>
      <c r="G403" s="236"/>
      <c r="H403" s="40">
        <f>SUM(Tabla132112418[[#This Row],[PRIMER TRIMESTRE]:[CUARTO TRIMESTRE]])</f>
        <v>0</v>
      </c>
      <c r="I403" s="17">
        <v>3601.69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</row>
    <row r="404" spans="1:14" s="12" customFormat="1" ht="18">
      <c r="A404" s="178" t="s">
        <v>80</v>
      </c>
      <c r="B404" s="75" t="s">
        <v>188</v>
      </c>
      <c r="C404" s="39" t="s">
        <v>189</v>
      </c>
      <c r="D404" s="236"/>
      <c r="E404" s="236"/>
      <c r="F404" s="236"/>
      <c r="G404" s="236"/>
      <c r="H404" s="40">
        <f>SUM(Tabla132112418[[#This Row],[PRIMER TRIMESTRE]:[CUARTO TRIMESTRE]])</f>
        <v>0</v>
      </c>
      <c r="I404" s="17">
        <v>104.4</v>
      </c>
      <c r="J404" s="17">
        <f>+Tabla132112418[[#This Row],[CANTIDAD TOTAL]]*Tabla132112418[[#This Row],[PRECIO UNITARIO ESTIMADO]]</f>
        <v>0</v>
      </c>
      <c r="K404" s="17"/>
      <c r="L404" s="16" t="s">
        <v>18</v>
      </c>
      <c r="M404" s="16" t="s">
        <v>22</v>
      </c>
      <c r="N404" s="39" t="s">
        <v>418</v>
      </c>
    </row>
    <row r="405" spans="1:14" s="12" customFormat="1" ht="18">
      <c r="A405" s="178" t="s">
        <v>80</v>
      </c>
      <c r="B405" s="75" t="s">
        <v>1760</v>
      </c>
      <c r="C405" s="39" t="s">
        <v>17</v>
      </c>
      <c r="D405" s="236"/>
      <c r="E405" s="236"/>
      <c r="F405" s="236"/>
      <c r="G405" s="236"/>
      <c r="H405" s="40">
        <v>0</v>
      </c>
      <c r="I405" s="17">
        <v>0</v>
      </c>
      <c r="J405" s="17">
        <v>0</v>
      </c>
      <c r="K405" s="17"/>
      <c r="L405" s="16" t="s">
        <v>18</v>
      </c>
      <c r="M405" s="16" t="s">
        <v>22</v>
      </c>
      <c r="N405" s="39" t="s">
        <v>418</v>
      </c>
    </row>
    <row r="406" spans="1:14" s="12" customFormat="1" ht="18">
      <c r="A406" s="178" t="s">
        <v>80</v>
      </c>
      <c r="B406" s="75" t="s">
        <v>1761</v>
      </c>
      <c r="C406" s="39" t="s">
        <v>17</v>
      </c>
      <c r="D406" s="236"/>
      <c r="E406" s="236"/>
      <c r="F406" s="236"/>
      <c r="G406" s="236"/>
      <c r="H406" s="40">
        <v>0</v>
      </c>
      <c r="I406" s="17">
        <v>0</v>
      </c>
      <c r="J406" s="17">
        <v>0</v>
      </c>
      <c r="K406" s="17"/>
      <c r="L406" s="16" t="s">
        <v>18</v>
      </c>
      <c r="M406" s="16" t="s">
        <v>22</v>
      </c>
      <c r="N406" s="39" t="s">
        <v>418</v>
      </c>
    </row>
    <row r="407" spans="1:14" s="12" customFormat="1" ht="18">
      <c r="A407" s="178" t="s">
        <v>80</v>
      </c>
      <c r="B407" s="75" t="s">
        <v>191</v>
      </c>
      <c r="C407" s="39" t="s">
        <v>17</v>
      </c>
      <c r="D407" s="236"/>
      <c r="E407" s="236"/>
      <c r="F407" s="236"/>
      <c r="G407" s="236"/>
      <c r="H407" s="40">
        <f>SUM(Tabla132112418[[#This Row],[PRIMER TRIMESTRE]:[CUARTO TRIMESTRE]])</f>
        <v>0</v>
      </c>
      <c r="I407" s="17">
        <v>754</v>
      </c>
      <c r="J407" s="17">
        <f>+Tabla132112418[[#This Row],[CANTIDAD TOTAL]]*Tabla132112418[[#This Row],[PRECIO UNITARIO ESTIMADO]]</f>
        <v>0</v>
      </c>
      <c r="K407" s="17"/>
      <c r="L407" s="16" t="s">
        <v>18</v>
      </c>
      <c r="M407" s="16" t="s">
        <v>22</v>
      </c>
      <c r="N407" s="39" t="s">
        <v>418</v>
      </c>
    </row>
    <row r="408" spans="1:14" s="12" customFormat="1" ht="18">
      <c r="A408" s="178" t="s">
        <v>80</v>
      </c>
      <c r="B408" s="75" t="s">
        <v>193</v>
      </c>
      <c r="C408" s="39" t="s">
        <v>17</v>
      </c>
      <c r="D408" s="236"/>
      <c r="E408" s="236"/>
      <c r="F408" s="236"/>
      <c r="G408" s="236"/>
      <c r="H408" s="40">
        <f>SUM(Tabla132112418[[#This Row],[PRIMER TRIMESTRE]:[CUARTO TRIMESTRE]])</f>
        <v>0</v>
      </c>
      <c r="I408" s="17">
        <v>222.06</v>
      </c>
      <c r="J408" s="17">
        <f>+Tabla132112418[[#This Row],[CANTIDAD TOTAL]]*Tabla132112418[[#This Row],[PRECIO UNITARIO ESTIMADO]]</f>
        <v>0</v>
      </c>
      <c r="K408" s="17"/>
      <c r="L408" s="16" t="s">
        <v>18</v>
      </c>
      <c r="M408" s="16" t="s">
        <v>22</v>
      </c>
      <c r="N408" s="39" t="s">
        <v>418</v>
      </c>
    </row>
    <row r="409" spans="1:14" s="12" customFormat="1" ht="18">
      <c r="A409" s="178" t="s">
        <v>80</v>
      </c>
      <c r="B409" s="75" t="s">
        <v>1429</v>
      </c>
      <c r="C409" s="39" t="s">
        <v>17</v>
      </c>
      <c r="D409" s="236"/>
      <c r="E409" s="236"/>
      <c r="F409" s="236"/>
      <c r="G409" s="236"/>
      <c r="H409" s="40">
        <f>SUM(Tabla132112418[[#This Row],[PRIMER TRIMESTRE]:[CUARTO TRIMESTRE]])</f>
        <v>0</v>
      </c>
      <c r="I409" s="17">
        <v>1.23</v>
      </c>
      <c r="J409" s="17">
        <f>+H409*I409</f>
        <v>0</v>
      </c>
      <c r="K409" s="17"/>
      <c r="L409" s="16" t="s">
        <v>18</v>
      </c>
      <c r="M409" s="16" t="s">
        <v>22</v>
      </c>
      <c r="N409" s="39" t="s">
        <v>418</v>
      </c>
    </row>
    <row r="410" spans="1:14" s="12" customFormat="1" ht="18">
      <c r="A410" s="178" t="s">
        <v>80</v>
      </c>
      <c r="B410" s="75" t="s">
        <v>654</v>
      </c>
      <c r="C410" s="39" t="s">
        <v>17</v>
      </c>
      <c r="D410" s="236"/>
      <c r="E410" s="236"/>
      <c r="F410" s="236"/>
      <c r="G410" s="236"/>
      <c r="H410" s="40">
        <f>SUM(Tabla132112418[[#This Row],[PRIMER TRIMESTRE]:[CUARTO TRIMESTRE]])</f>
        <v>0</v>
      </c>
      <c r="I410" s="17">
        <v>2.86</v>
      </c>
      <c r="J410" s="17">
        <f>+Tabla132112418[[#This Row],[CANTIDAD TOTAL]]*Tabla132112418[[#This Row],[PRECIO UNITARIO ESTIMADO]]</f>
        <v>0</v>
      </c>
      <c r="K410" s="17"/>
      <c r="L410" s="16" t="s">
        <v>18</v>
      </c>
      <c r="M410" s="16" t="s">
        <v>22</v>
      </c>
      <c r="N410" s="39" t="s">
        <v>418</v>
      </c>
    </row>
    <row r="411" spans="1:14" s="12" customFormat="1" ht="18">
      <c r="A411" s="178" t="s">
        <v>80</v>
      </c>
      <c r="B411" s="75" t="s">
        <v>655</v>
      </c>
      <c r="C411" s="39" t="s">
        <v>17</v>
      </c>
      <c r="D411" s="236"/>
      <c r="E411" s="236"/>
      <c r="F411" s="236"/>
      <c r="G411" s="236"/>
      <c r="H411" s="40">
        <f>SUM(Tabla132112418[[#This Row],[PRIMER TRIMESTRE]:[CUARTO TRIMESTRE]])</f>
        <v>0</v>
      </c>
      <c r="I411" s="17">
        <v>4.09</v>
      </c>
      <c r="J411" s="17">
        <f>+Tabla132112418[[#This Row],[CANTIDAD TOTAL]]*Tabla132112418[[#This Row],[PRECIO UNITARIO ESTIMADO]]</f>
        <v>0</v>
      </c>
      <c r="K411" s="17"/>
      <c r="L411" s="16" t="s">
        <v>18</v>
      </c>
      <c r="M411" s="16" t="s">
        <v>22</v>
      </c>
      <c r="N411" s="39" t="s">
        <v>418</v>
      </c>
    </row>
    <row r="412" spans="1:14" s="12" customFormat="1" ht="18">
      <c r="A412" s="178" t="s">
        <v>80</v>
      </c>
      <c r="B412" s="75" t="s">
        <v>659</v>
      </c>
      <c r="C412" s="39" t="s">
        <v>17</v>
      </c>
      <c r="D412" s="236"/>
      <c r="E412" s="236"/>
      <c r="F412" s="236"/>
      <c r="G412" s="236"/>
      <c r="H412" s="40">
        <f>SUM(Tabla132112418[[#This Row],[PRIMER TRIMESTRE]:[CUARTO TRIMESTRE]])</f>
        <v>0</v>
      </c>
      <c r="I412" s="72">
        <v>11.82</v>
      </c>
      <c r="J412" s="17">
        <f>+H412*I412</f>
        <v>0</v>
      </c>
      <c r="K412" s="17"/>
      <c r="L412" s="16" t="s">
        <v>18</v>
      </c>
      <c r="M412" s="16" t="s">
        <v>22</v>
      </c>
      <c r="N412" s="39" t="s">
        <v>418</v>
      </c>
    </row>
    <row r="413" spans="1:14" s="12" customFormat="1" ht="18">
      <c r="A413" s="178" t="s">
        <v>80</v>
      </c>
      <c r="B413" s="75" t="s">
        <v>660</v>
      </c>
      <c r="C413" s="39" t="s">
        <v>17</v>
      </c>
      <c r="D413" s="236"/>
      <c r="E413" s="236"/>
      <c r="F413" s="236"/>
      <c r="G413" s="236"/>
      <c r="H413" s="40">
        <f>SUM(Tabla132112418[[#This Row],[PRIMER TRIMESTRE]:[CUARTO TRIMESTRE]])</f>
        <v>0</v>
      </c>
      <c r="I413" s="72">
        <v>13.65</v>
      </c>
      <c r="J413" s="17">
        <f>+H413*I413</f>
        <v>0</v>
      </c>
      <c r="K413" s="17"/>
      <c r="L413" s="16" t="s">
        <v>18</v>
      </c>
      <c r="M413" s="16" t="s">
        <v>22</v>
      </c>
      <c r="N413" s="39" t="s">
        <v>418</v>
      </c>
    </row>
    <row r="414" spans="1:14" s="12" customFormat="1" ht="18">
      <c r="A414" s="178" t="s">
        <v>80</v>
      </c>
      <c r="B414" s="75" t="s">
        <v>656</v>
      </c>
      <c r="C414" s="39" t="s">
        <v>17</v>
      </c>
      <c r="D414" s="236"/>
      <c r="E414" s="236"/>
      <c r="F414" s="236"/>
      <c r="G414" s="236"/>
      <c r="H414" s="40">
        <f>SUM(Tabla132112418[[#This Row],[PRIMER TRIMESTRE]:[CUARTO TRIMESTRE]])</f>
        <v>0</v>
      </c>
      <c r="I414" s="17">
        <v>22.39</v>
      </c>
      <c r="J414" s="17">
        <f>+Tabla132112418[[#This Row],[CANTIDAD TOTAL]]*Tabla132112418[[#This Row],[PRECIO UNITARIO ESTIMADO]]</f>
        <v>0</v>
      </c>
      <c r="K414" s="17"/>
      <c r="L414" s="16" t="s">
        <v>18</v>
      </c>
      <c r="M414" s="16" t="s">
        <v>22</v>
      </c>
      <c r="N414" s="39" t="s">
        <v>418</v>
      </c>
    </row>
    <row r="415" spans="1:14" s="12" customFormat="1" ht="18">
      <c r="A415" s="178" t="s">
        <v>80</v>
      </c>
      <c r="B415" s="75" t="s">
        <v>657</v>
      </c>
      <c r="C415" s="39" t="s">
        <v>17</v>
      </c>
      <c r="D415" s="236"/>
      <c r="E415" s="236"/>
      <c r="F415" s="236"/>
      <c r="G415" s="236"/>
      <c r="H415" s="40">
        <f>SUM(Tabla132112418[[#This Row],[PRIMER TRIMESTRE]:[CUARTO TRIMESTRE]])</f>
        <v>0</v>
      </c>
      <c r="I415" s="17">
        <v>59.97</v>
      </c>
      <c r="J415" s="17">
        <f>+Tabla132112418[[#This Row],[CANTIDAD TOTAL]]*Tabla132112418[[#This Row],[PRECIO UNITARIO ESTIMADO]]</f>
        <v>0</v>
      </c>
      <c r="K415" s="17"/>
      <c r="L415" s="16" t="s">
        <v>18</v>
      </c>
      <c r="M415" s="16" t="s">
        <v>22</v>
      </c>
      <c r="N415" s="39" t="s">
        <v>418</v>
      </c>
    </row>
    <row r="416" spans="1:14" s="12" customFormat="1" ht="18">
      <c r="A416" s="178" t="s">
        <v>80</v>
      </c>
      <c r="B416" s="75" t="s">
        <v>658</v>
      </c>
      <c r="C416" s="39" t="s">
        <v>17</v>
      </c>
      <c r="D416" s="236"/>
      <c r="E416" s="236"/>
      <c r="F416" s="236"/>
      <c r="G416" s="236"/>
      <c r="H416" s="40">
        <f>SUM(Tabla132112418[[#This Row],[PRIMER TRIMESTRE]:[CUARTO TRIMESTRE]])</f>
        <v>0</v>
      </c>
      <c r="I416" s="17">
        <v>101.5</v>
      </c>
      <c r="J416" s="17">
        <f>+Tabla132112418[[#This Row],[CANTIDAD TOTAL]]*Tabla132112418[[#This Row],[PRECIO UNITARIO ESTIMADO]]</f>
        <v>0</v>
      </c>
      <c r="K416" s="17"/>
      <c r="L416" s="16" t="s">
        <v>18</v>
      </c>
      <c r="M416" s="16" t="s">
        <v>22</v>
      </c>
      <c r="N416" s="39" t="s">
        <v>418</v>
      </c>
    </row>
    <row r="417" spans="1:14" s="12" customFormat="1" ht="18">
      <c r="A417" s="178" t="s">
        <v>80</v>
      </c>
      <c r="B417" s="75" t="s">
        <v>202</v>
      </c>
      <c r="C417" s="39" t="s">
        <v>17</v>
      </c>
      <c r="D417" s="236"/>
      <c r="E417" s="236"/>
      <c r="F417" s="236"/>
      <c r="G417" s="236"/>
      <c r="H417" s="40">
        <f>SUM(Tabla132112418[[#This Row],[PRIMER TRIMESTRE]:[CUARTO TRIMESTRE]])</f>
        <v>0</v>
      </c>
      <c r="I417" s="17">
        <v>3364</v>
      </c>
      <c r="J417" s="17">
        <f>+Tabla132112418[[#This Row],[CANTIDAD TOTAL]]*Tabla132112418[[#This Row],[PRECIO UNITARIO ESTIMADO]]</f>
        <v>0</v>
      </c>
      <c r="K417" s="17"/>
      <c r="L417" s="16" t="s">
        <v>18</v>
      </c>
      <c r="M417" s="16" t="s">
        <v>22</v>
      </c>
      <c r="N417" s="39" t="s">
        <v>418</v>
      </c>
    </row>
    <row r="418" spans="1:14" s="12" customFormat="1" ht="18">
      <c r="A418" s="178" t="s">
        <v>80</v>
      </c>
      <c r="B418" s="75" t="s">
        <v>776</v>
      </c>
      <c r="C418" s="39" t="s">
        <v>17</v>
      </c>
      <c r="D418" s="236"/>
      <c r="E418" s="236"/>
      <c r="F418" s="236"/>
      <c r="G418" s="236"/>
      <c r="H418" s="40">
        <f>SUM(Tabla132112418[[#This Row],[PRIMER TRIMESTRE]:[CUARTO TRIMESTRE]])</f>
        <v>0</v>
      </c>
      <c r="I418" s="17">
        <v>32.479999999999997</v>
      </c>
      <c r="J418" s="17">
        <f>+Tabla132112418[[#This Row],[CANTIDAD TOTAL]]*Tabla132112418[[#This Row],[PRECIO UNITARIO ESTIMADO]]</f>
        <v>0</v>
      </c>
      <c r="K418" s="17"/>
      <c r="L418" s="16" t="s">
        <v>18</v>
      </c>
      <c r="M418" s="16" t="s">
        <v>22</v>
      </c>
      <c r="N418" s="39" t="s">
        <v>418</v>
      </c>
    </row>
    <row r="419" spans="1:14" s="12" customFormat="1" ht="18">
      <c r="A419" s="178" t="s">
        <v>80</v>
      </c>
      <c r="B419" s="75" t="s">
        <v>205</v>
      </c>
      <c r="C419" s="39" t="s">
        <v>17</v>
      </c>
      <c r="D419" s="236"/>
      <c r="E419" s="236"/>
      <c r="F419" s="236"/>
      <c r="G419" s="236"/>
      <c r="H419" s="40">
        <f>SUM(Tabla132112418[[#This Row],[PRIMER TRIMESTRE]:[CUARTO TRIMESTRE]])</f>
        <v>0</v>
      </c>
      <c r="I419" s="17">
        <v>2.3199999999999998</v>
      </c>
      <c r="J419" s="17">
        <f>+Tabla132112418[[#This Row],[CANTIDAD TOTAL]]*Tabla132112418[[#This Row],[PRECIO UNITARIO ESTIMADO]]</f>
        <v>0</v>
      </c>
      <c r="K419" s="17"/>
      <c r="L419" s="16" t="s">
        <v>18</v>
      </c>
      <c r="M419" s="16" t="s">
        <v>22</v>
      </c>
      <c r="N419" s="39" t="s">
        <v>418</v>
      </c>
    </row>
    <row r="420" spans="1:14" s="12" customFormat="1" ht="18">
      <c r="A420" s="178" t="s">
        <v>80</v>
      </c>
      <c r="B420" s="75" t="s">
        <v>206</v>
      </c>
      <c r="C420" s="39" t="s">
        <v>17</v>
      </c>
      <c r="D420" s="236"/>
      <c r="E420" s="236"/>
      <c r="F420" s="236"/>
      <c r="G420" s="236"/>
      <c r="H420" s="40">
        <f>SUM(Tabla132112418[[#This Row],[PRIMER TRIMESTRE]:[CUARTO TRIMESTRE]])</f>
        <v>0</v>
      </c>
      <c r="I420" s="17">
        <v>3.48</v>
      </c>
      <c r="J420" s="17">
        <f>+Tabla132112418[[#This Row],[CANTIDAD TOTAL]]*Tabla132112418[[#This Row],[PRECIO UNITARIO ESTIMADO]]</f>
        <v>0</v>
      </c>
      <c r="K420" s="17"/>
      <c r="L420" s="16" t="s">
        <v>18</v>
      </c>
      <c r="M420" s="16" t="s">
        <v>22</v>
      </c>
      <c r="N420" s="39" t="s">
        <v>418</v>
      </c>
    </row>
    <row r="421" spans="1:14" s="12" customFormat="1" ht="18">
      <c r="A421" s="178" t="s">
        <v>80</v>
      </c>
      <c r="B421" s="75" t="s">
        <v>1335</v>
      </c>
      <c r="C421" s="39" t="s">
        <v>17</v>
      </c>
      <c r="D421" s="236"/>
      <c r="E421" s="236"/>
      <c r="F421" s="236"/>
      <c r="G421" s="236"/>
      <c r="H421" s="40">
        <f>SUM(Tabla132112418[[#This Row],[PRIMER TRIMESTRE]:[CUARTO TRIMESTRE]])</f>
        <v>0</v>
      </c>
      <c r="I421" s="17">
        <v>9.44</v>
      </c>
      <c r="J421" s="17">
        <f t="shared" ref="J421:J484" si="11">+H421*I421</f>
        <v>0</v>
      </c>
      <c r="K421" s="17"/>
      <c r="L421" s="16" t="s">
        <v>18</v>
      </c>
      <c r="M421" s="16" t="s">
        <v>22</v>
      </c>
      <c r="N421" s="39" t="s">
        <v>418</v>
      </c>
    </row>
    <row r="422" spans="1:14" s="12" customFormat="1" ht="18">
      <c r="A422" s="178" t="s">
        <v>80</v>
      </c>
      <c r="B422" s="75" t="s">
        <v>1336</v>
      </c>
      <c r="C422" s="39" t="s">
        <v>17</v>
      </c>
      <c r="D422" s="236"/>
      <c r="E422" s="236"/>
      <c r="F422" s="236"/>
      <c r="G422" s="236"/>
      <c r="H422" s="40">
        <f>SUM(Tabla132112418[[#This Row],[PRIMER TRIMESTRE]:[CUARTO TRIMESTRE]])</f>
        <v>0</v>
      </c>
      <c r="I422" s="17">
        <v>5.9</v>
      </c>
      <c r="J422" s="17">
        <f t="shared" si="11"/>
        <v>0</v>
      </c>
      <c r="K422" s="17"/>
      <c r="L422" s="16" t="s">
        <v>18</v>
      </c>
      <c r="M422" s="16" t="s">
        <v>22</v>
      </c>
      <c r="N422" s="39" t="s">
        <v>418</v>
      </c>
    </row>
    <row r="423" spans="1:14" s="12" customFormat="1" ht="18">
      <c r="A423" s="178" t="s">
        <v>80</v>
      </c>
      <c r="B423" s="75" t="s">
        <v>1337</v>
      </c>
      <c r="C423" s="39" t="s">
        <v>17</v>
      </c>
      <c r="D423" s="236"/>
      <c r="E423" s="236"/>
      <c r="F423" s="236"/>
      <c r="G423" s="236"/>
      <c r="H423" s="40">
        <f>SUM(Tabla132112418[[#This Row],[PRIMER TRIMESTRE]:[CUARTO TRIMESTRE]])</f>
        <v>0</v>
      </c>
      <c r="I423" s="17">
        <v>3.54</v>
      </c>
      <c r="J423" s="17">
        <f t="shared" si="11"/>
        <v>0</v>
      </c>
      <c r="K423" s="17"/>
      <c r="L423" s="16" t="s">
        <v>18</v>
      </c>
      <c r="M423" s="16" t="s">
        <v>22</v>
      </c>
      <c r="N423" s="39" t="s">
        <v>418</v>
      </c>
    </row>
    <row r="424" spans="1:14" s="12" customFormat="1" ht="18">
      <c r="A424" s="178" t="s">
        <v>80</v>
      </c>
      <c r="B424" s="75" t="s">
        <v>638</v>
      </c>
      <c r="C424" s="39" t="s">
        <v>17</v>
      </c>
      <c r="D424" s="236"/>
      <c r="E424" s="236"/>
      <c r="F424" s="240"/>
      <c r="G424" s="236"/>
      <c r="H424" s="40">
        <f>SUM(Tabla132112418[[#This Row],[PRIMER TRIMESTRE]:[CUARTO TRIMESTRE]])</f>
        <v>0</v>
      </c>
      <c r="I424" s="72">
        <v>7.28</v>
      </c>
      <c r="J424" s="17">
        <f t="shared" si="11"/>
        <v>0</v>
      </c>
      <c r="K424" s="17"/>
      <c r="L424" s="16" t="s">
        <v>18</v>
      </c>
      <c r="M424" s="16" t="s">
        <v>22</v>
      </c>
      <c r="N424" s="39" t="s">
        <v>418</v>
      </c>
    </row>
    <row r="425" spans="1:14" s="12" customFormat="1" ht="18">
      <c r="A425" s="178" t="s">
        <v>80</v>
      </c>
      <c r="B425" s="75" t="s">
        <v>639</v>
      </c>
      <c r="C425" s="39" t="s">
        <v>17</v>
      </c>
      <c r="D425" s="236"/>
      <c r="E425" s="236"/>
      <c r="F425" s="240"/>
      <c r="G425" s="236"/>
      <c r="H425" s="40">
        <f>SUM(Tabla132112418[[#This Row],[PRIMER TRIMESTRE]:[CUARTO TRIMESTRE]])</f>
        <v>0</v>
      </c>
      <c r="I425" s="72">
        <v>11.82</v>
      </c>
      <c r="J425" s="17">
        <f t="shared" si="11"/>
        <v>0</v>
      </c>
      <c r="K425" s="17"/>
      <c r="L425" s="16" t="s">
        <v>18</v>
      </c>
      <c r="M425" s="16" t="s">
        <v>22</v>
      </c>
      <c r="N425" s="39"/>
    </row>
    <row r="426" spans="1:14" s="12" customFormat="1" ht="18">
      <c r="A426" s="178" t="s">
        <v>80</v>
      </c>
      <c r="B426" s="75" t="s">
        <v>642</v>
      </c>
      <c r="C426" s="39" t="s">
        <v>17</v>
      </c>
      <c r="D426" s="236"/>
      <c r="E426" s="236"/>
      <c r="F426" s="240"/>
      <c r="G426" s="236"/>
      <c r="H426" s="40">
        <f>SUM(Tabla132112418[[#This Row],[PRIMER TRIMESTRE]:[CUARTO TRIMESTRE]])</f>
        <v>0</v>
      </c>
      <c r="I426" s="72">
        <v>22.74</v>
      </c>
      <c r="J426" s="17">
        <f t="shared" si="11"/>
        <v>0</v>
      </c>
      <c r="K426" s="17"/>
      <c r="L426" s="16" t="s">
        <v>18</v>
      </c>
      <c r="M426" s="16" t="s">
        <v>22</v>
      </c>
      <c r="N426" s="39"/>
    </row>
    <row r="427" spans="1:14" s="12" customFormat="1" ht="18">
      <c r="A427" s="178" t="s">
        <v>80</v>
      </c>
      <c r="B427" s="75" t="s">
        <v>643</v>
      </c>
      <c r="C427" s="39" t="s">
        <v>17</v>
      </c>
      <c r="D427" s="236"/>
      <c r="E427" s="236"/>
      <c r="F427" s="240"/>
      <c r="G427" s="236"/>
      <c r="H427" s="40">
        <f>SUM(Tabla132112418[[#This Row],[PRIMER TRIMESTRE]:[CUARTO TRIMESTRE]])</f>
        <v>0</v>
      </c>
      <c r="I427" s="72">
        <v>53.66</v>
      </c>
      <c r="J427" s="17">
        <f t="shared" si="11"/>
        <v>0</v>
      </c>
      <c r="K427" s="17"/>
      <c r="L427" s="16" t="s">
        <v>18</v>
      </c>
      <c r="M427" s="16" t="s">
        <v>22</v>
      </c>
      <c r="N427" s="39"/>
    </row>
    <row r="428" spans="1:14" s="12" customFormat="1" ht="18">
      <c r="A428" s="178" t="s">
        <v>80</v>
      </c>
      <c r="B428" s="75" t="s">
        <v>640</v>
      </c>
      <c r="C428" s="39" t="s">
        <v>17</v>
      </c>
      <c r="D428" s="236"/>
      <c r="E428" s="236"/>
      <c r="F428" s="240"/>
      <c r="G428" s="236"/>
      <c r="H428" s="40">
        <f>SUM(Tabla132112418[[#This Row],[PRIMER TRIMESTRE]:[CUARTO TRIMESTRE]])</f>
        <v>0</v>
      </c>
      <c r="I428" s="72">
        <v>90</v>
      </c>
      <c r="J428" s="17">
        <f t="shared" si="11"/>
        <v>0</v>
      </c>
      <c r="K428" s="17"/>
      <c r="L428" s="16" t="s">
        <v>18</v>
      </c>
      <c r="M428" s="16" t="s">
        <v>22</v>
      </c>
      <c r="N428" s="39"/>
    </row>
    <row r="429" spans="1:14" s="12" customFormat="1" ht="18">
      <c r="A429" s="178" t="s">
        <v>80</v>
      </c>
      <c r="B429" s="75" t="s">
        <v>641</v>
      </c>
      <c r="C429" s="39" t="s">
        <v>17</v>
      </c>
      <c r="D429" s="236"/>
      <c r="E429" s="236"/>
      <c r="F429" s="236"/>
      <c r="G429" s="236"/>
      <c r="H429" s="40">
        <f>SUM(Tabla132112418[[#This Row],[PRIMER TRIMESTRE]:[CUARTO TRIMESTRE]])</f>
        <v>0</v>
      </c>
      <c r="I429" s="72">
        <v>1799.03</v>
      </c>
      <c r="J429" s="17">
        <f t="shared" si="11"/>
        <v>0</v>
      </c>
      <c r="K429" s="17"/>
      <c r="L429" s="16" t="s">
        <v>18</v>
      </c>
      <c r="M429" s="16" t="s">
        <v>22</v>
      </c>
      <c r="N429" s="39"/>
    </row>
    <row r="430" spans="1:14" s="12" customFormat="1" ht="18">
      <c r="A430" s="178" t="s">
        <v>80</v>
      </c>
      <c r="B430" s="75" t="s">
        <v>607</v>
      </c>
      <c r="C430" s="39" t="s">
        <v>17</v>
      </c>
      <c r="D430" s="236"/>
      <c r="E430" s="236"/>
      <c r="F430" s="236"/>
      <c r="G430" s="236"/>
      <c r="H430" s="40">
        <f>SUM(Tabla132112418[[#This Row],[PRIMER TRIMESTRE]:[CUARTO TRIMESTRE]])</f>
        <v>0</v>
      </c>
      <c r="I430" s="17">
        <v>3068</v>
      </c>
      <c r="J430" s="17">
        <f t="shared" si="11"/>
        <v>0</v>
      </c>
      <c r="K430" s="17"/>
      <c r="L430" s="16" t="s">
        <v>18</v>
      </c>
      <c r="M430" s="16" t="s">
        <v>22</v>
      </c>
      <c r="N430" s="39"/>
    </row>
    <row r="431" spans="1:14" s="12" customFormat="1" ht="18">
      <c r="A431" s="178" t="s">
        <v>80</v>
      </c>
      <c r="B431" s="75" t="s">
        <v>608</v>
      </c>
      <c r="C431" s="39" t="s">
        <v>17</v>
      </c>
      <c r="D431" s="236"/>
      <c r="E431" s="236"/>
      <c r="F431" s="236"/>
      <c r="G431" s="236"/>
      <c r="H431" s="40">
        <f>SUM(Tabla132112418[[#This Row],[PRIMER TRIMESTRE]:[CUARTO TRIMESTRE]])</f>
        <v>0</v>
      </c>
      <c r="I431" s="17">
        <v>4425</v>
      </c>
      <c r="J431" s="17">
        <f t="shared" si="11"/>
        <v>0</v>
      </c>
      <c r="K431" s="17"/>
      <c r="L431" s="16" t="s">
        <v>18</v>
      </c>
      <c r="M431" s="16" t="s">
        <v>22</v>
      </c>
      <c r="N431" s="39"/>
    </row>
    <row r="432" spans="1:14" s="12" customFormat="1" ht="18">
      <c r="A432" s="178" t="s">
        <v>80</v>
      </c>
      <c r="B432" s="75" t="s">
        <v>609</v>
      </c>
      <c r="C432" s="39" t="s">
        <v>17</v>
      </c>
      <c r="D432" s="236"/>
      <c r="E432" s="236"/>
      <c r="F432" s="236"/>
      <c r="G432" s="236"/>
      <c r="H432" s="40">
        <f>SUM(Tabla132112418[[#This Row],[PRIMER TRIMESTRE]:[CUARTO TRIMESTRE]])</f>
        <v>0</v>
      </c>
      <c r="I432" s="17">
        <v>5074</v>
      </c>
      <c r="J432" s="17">
        <f t="shared" si="11"/>
        <v>0</v>
      </c>
      <c r="K432" s="17"/>
      <c r="L432" s="16" t="s">
        <v>18</v>
      </c>
      <c r="M432" s="16" t="s">
        <v>22</v>
      </c>
      <c r="N432" s="39"/>
    </row>
    <row r="433" spans="1:14" s="12" customFormat="1" ht="18">
      <c r="A433" s="178" t="s">
        <v>80</v>
      </c>
      <c r="B433" s="75" t="s">
        <v>610</v>
      </c>
      <c r="C433" s="39" t="s">
        <v>17</v>
      </c>
      <c r="D433" s="236"/>
      <c r="E433" s="236"/>
      <c r="F433" s="236"/>
      <c r="G433" s="236"/>
      <c r="H433" s="40">
        <f>SUM(Tabla132112418[[#This Row],[PRIMER TRIMESTRE]:[CUARTO TRIMESTRE]])</f>
        <v>0</v>
      </c>
      <c r="I433" s="17">
        <v>6431</v>
      </c>
      <c r="J433" s="17">
        <f t="shared" si="11"/>
        <v>0</v>
      </c>
      <c r="K433" s="17"/>
      <c r="L433" s="16" t="s">
        <v>18</v>
      </c>
      <c r="M433" s="16" t="s">
        <v>22</v>
      </c>
      <c r="N433" s="39"/>
    </row>
    <row r="434" spans="1:14" s="12" customFormat="1" ht="18">
      <c r="A434" s="178" t="s">
        <v>80</v>
      </c>
      <c r="B434" s="75" t="s">
        <v>611</v>
      </c>
      <c r="C434" s="39" t="s">
        <v>17</v>
      </c>
      <c r="D434" s="236"/>
      <c r="E434" s="236"/>
      <c r="F434" s="236"/>
      <c r="G434" s="236"/>
      <c r="H434" s="40">
        <f>SUM(Tabla132112418[[#This Row],[PRIMER TRIMESTRE]:[CUARTO TRIMESTRE]])</f>
        <v>0</v>
      </c>
      <c r="I434" s="17">
        <v>7943</v>
      </c>
      <c r="J434" s="17">
        <f t="shared" si="11"/>
        <v>0</v>
      </c>
      <c r="K434" s="17"/>
      <c r="L434" s="16" t="s">
        <v>18</v>
      </c>
      <c r="M434" s="16" t="s">
        <v>22</v>
      </c>
      <c r="N434" s="39"/>
    </row>
    <row r="435" spans="1:14" s="12" customFormat="1" ht="18">
      <c r="A435" s="178" t="s">
        <v>80</v>
      </c>
      <c r="B435" s="75" t="s">
        <v>612</v>
      </c>
      <c r="C435" s="39" t="s">
        <v>17</v>
      </c>
      <c r="D435" s="236"/>
      <c r="E435" s="236"/>
      <c r="F435" s="236"/>
      <c r="G435" s="236"/>
      <c r="H435" s="40">
        <f>SUM(Tabla132112418[[#This Row],[PRIMER TRIMESTRE]:[CUARTO TRIMESTRE]])</f>
        <v>0</v>
      </c>
      <c r="I435" s="17">
        <v>9145</v>
      </c>
      <c r="J435" s="17">
        <f t="shared" si="11"/>
        <v>0</v>
      </c>
      <c r="K435" s="17"/>
      <c r="L435" s="16" t="s">
        <v>18</v>
      </c>
      <c r="M435" s="16" t="s">
        <v>22</v>
      </c>
      <c r="N435" s="39"/>
    </row>
    <row r="436" spans="1:14" s="12" customFormat="1" ht="18">
      <c r="A436" s="178" t="s">
        <v>80</v>
      </c>
      <c r="B436" s="75" t="s">
        <v>613</v>
      </c>
      <c r="C436" s="39" t="s">
        <v>17</v>
      </c>
      <c r="D436" s="236"/>
      <c r="E436" s="236"/>
      <c r="F436" s="236"/>
      <c r="G436" s="236"/>
      <c r="H436" s="40">
        <f>SUM(Tabla132112418[[#This Row],[PRIMER TRIMESTRE]:[CUARTO TRIMESTRE]])</f>
        <v>0</v>
      </c>
      <c r="I436" s="17">
        <v>10502</v>
      </c>
      <c r="J436" s="17">
        <f t="shared" si="11"/>
        <v>0</v>
      </c>
      <c r="K436" s="17"/>
      <c r="L436" s="16" t="s">
        <v>18</v>
      </c>
      <c r="M436" s="16" t="s">
        <v>22</v>
      </c>
      <c r="N436" s="39"/>
    </row>
    <row r="437" spans="1:14" s="12" customFormat="1" ht="18">
      <c r="A437" s="178" t="s">
        <v>80</v>
      </c>
      <c r="B437" s="75" t="s">
        <v>614</v>
      </c>
      <c r="C437" s="39" t="s">
        <v>17</v>
      </c>
      <c r="D437" s="236"/>
      <c r="E437" s="236"/>
      <c r="F437" s="236"/>
      <c r="G437" s="236"/>
      <c r="H437" s="40">
        <f>SUM(Tabla132112418[[#This Row],[PRIMER TRIMESTRE]:[CUARTO TRIMESTRE]])</f>
        <v>0</v>
      </c>
      <c r="I437" s="17">
        <v>11564</v>
      </c>
      <c r="J437" s="17">
        <f t="shared" si="11"/>
        <v>0</v>
      </c>
      <c r="K437" s="17"/>
      <c r="L437" s="16" t="s">
        <v>18</v>
      </c>
      <c r="M437" s="16" t="s">
        <v>22</v>
      </c>
      <c r="N437" s="39"/>
    </row>
    <row r="438" spans="1:14" s="12" customFormat="1" ht="18">
      <c r="A438" s="178" t="s">
        <v>80</v>
      </c>
      <c r="B438" s="75" t="s">
        <v>615</v>
      </c>
      <c r="C438" s="39" t="s">
        <v>17</v>
      </c>
      <c r="D438" s="236"/>
      <c r="E438" s="236"/>
      <c r="F438" s="236"/>
      <c r="G438" s="236"/>
      <c r="H438" s="40">
        <f>SUM(Tabla132112418[[#This Row],[PRIMER TRIMESTRE]:[CUARTO TRIMESTRE]])</f>
        <v>0</v>
      </c>
      <c r="I438" s="17">
        <v>13747</v>
      </c>
      <c r="J438" s="17">
        <f t="shared" si="11"/>
        <v>0</v>
      </c>
      <c r="K438" s="17"/>
      <c r="L438" s="16" t="s">
        <v>18</v>
      </c>
      <c r="M438" s="16" t="s">
        <v>22</v>
      </c>
      <c r="N438" s="39"/>
    </row>
    <row r="439" spans="1:14" s="12" customFormat="1" ht="18">
      <c r="A439" s="178" t="s">
        <v>80</v>
      </c>
      <c r="B439" s="75" t="s">
        <v>1547</v>
      </c>
      <c r="C439" s="39" t="s">
        <v>17</v>
      </c>
      <c r="D439" s="236"/>
      <c r="E439" s="236"/>
      <c r="F439" s="236"/>
      <c r="G439" s="236"/>
      <c r="H439" s="236">
        <f>SUM(Tabla132112418[[#This Row],[PRIMER TRIMESTRE]:[CUARTO TRIMESTRE]])</f>
        <v>0</v>
      </c>
      <c r="I439" s="17">
        <v>700</v>
      </c>
      <c r="J439" s="17">
        <f t="shared" si="11"/>
        <v>0</v>
      </c>
      <c r="K439" s="17"/>
      <c r="L439" s="16" t="s">
        <v>18</v>
      </c>
      <c r="M439" s="16" t="s">
        <v>22</v>
      </c>
      <c r="N439" s="39"/>
    </row>
    <row r="440" spans="1:14" s="12" customFormat="1" ht="18">
      <c r="A440" s="178" t="s">
        <v>80</v>
      </c>
      <c r="B440" s="75" t="s">
        <v>1577</v>
      </c>
      <c r="C440" s="39" t="s">
        <v>17</v>
      </c>
      <c r="D440" s="236"/>
      <c r="E440" s="236"/>
      <c r="F440" s="236"/>
      <c r="G440" s="236"/>
      <c r="H440" s="236">
        <f>SUM(Tabla132112418[[#This Row],[PRIMER TRIMESTRE]:[CUARTO TRIMESTRE]])</f>
        <v>0</v>
      </c>
      <c r="I440" s="17">
        <v>133.88999999999999</v>
      </c>
      <c r="J440" s="17">
        <f t="shared" si="11"/>
        <v>0</v>
      </c>
      <c r="K440" s="17"/>
      <c r="L440" s="16" t="s">
        <v>18</v>
      </c>
      <c r="M440" s="16" t="s">
        <v>22</v>
      </c>
      <c r="N440" s="39"/>
    </row>
    <row r="441" spans="1:14" s="12" customFormat="1" ht="18">
      <c r="A441" s="178" t="s">
        <v>80</v>
      </c>
      <c r="B441" s="75" t="s">
        <v>1576</v>
      </c>
      <c r="C441" s="39" t="s">
        <v>17</v>
      </c>
      <c r="D441" s="236"/>
      <c r="E441" s="236"/>
      <c r="F441" s="236"/>
      <c r="G441" s="236"/>
      <c r="H441" s="236">
        <f>SUM(Tabla132112418[[#This Row],[PRIMER TRIMESTRE]:[CUARTO TRIMESTRE]])</f>
        <v>0</v>
      </c>
      <c r="I441" s="17">
        <v>21</v>
      </c>
      <c r="J441" s="17">
        <f t="shared" si="11"/>
        <v>0</v>
      </c>
      <c r="K441" s="17"/>
      <c r="L441" s="16" t="s">
        <v>18</v>
      </c>
      <c r="M441" s="16" t="s">
        <v>22</v>
      </c>
      <c r="N441" s="39"/>
    </row>
    <row r="442" spans="1:14" s="12" customFormat="1" ht="18">
      <c r="A442" s="178" t="s">
        <v>80</v>
      </c>
      <c r="B442" s="75" t="s">
        <v>1727</v>
      </c>
      <c r="C442" s="39" t="s">
        <v>17</v>
      </c>
      <c r="D442" s="236"/>
      <c r="E442" s="236"/>
      <c r="F442" s="236"/>
      <c r="G442" s="236"/>
      <c r="H442" s="40">
        <v>0</v>
      </c>
      <c r="I442" s="17">
        <v>0</v>
      </c>
      <c r="J442" s="17">
        <v>0</v>
      </c>
      <c r="K442" s="17"/>
      <c r="L442" s="16" t="s">
        <v>18</v>
      </c>
      <c r="M442" s="16" t="s">
        <v>22</v>
      </c>
      <c r="N442" s="39"/>
    </row>
    <row r="443" spans="1:14" s="12" customFormat="1" ht="18">
      <c r="A443" s="178" t="s">
        <v>80</v>
      </c>
      <c r="B443" s="75" t="s">
        <v>1575</v>
      </c>
      <c r="C443" s="39" t="s">
        <v>17</v>
      </c>
      <c r="D443" s="236"/>
      <c r="E443" s="236"/>
      <c r="F443" s="236"/>
      <c r="G443" s="236"/>
      <c r="H443" s="236">
        <f>SUM(Tabla132112418[[#This Row],[PRIMER TRIMESTRE]:[CUARTO TRIMESTRE]])</f>
        <v>0</v>
      </c>
      <c r="I443" s="17">
        <v>15.21</v>
      </c>
      <c r="J443" s="17">
        <f t="shared" si="11"/>
        <v>0</v>
      </c>
      <c r="K443" s="17"/>
      <c r="L443" s="16" t="s">
        <v>18</v>
      </c>
      <c r="M443" s="16" t="s">
        <v>22</v>
      </c>
      <c r="N443" s="39"/>
    </row>
    <row r="444" spans="1:14" s="12" customFormat="1" ht="18">
      <c r="A444" s="178" t="s">
        <v>80</v>
      </c>
      <c r="B444" s="75" t="s">
        <v>1574</v>
      </c>
      <c r="C444" s="39" t="s">
        <v>17</v>
      </c>
      <c r="D444" s="236"/>
      <c r="E444" s="236"/>
      <c r="F444" s="236"/>
      <c r="G444" s="236"/>
      <c r="H444" s="236">
        <f>SUM(Tabla132112418[[#This Row],[PRIMER TRIMESTRE]:[CUARTO TRIMESTRE]])</f>
        <v>0</v>
      </c>
      <c r="I444" s="17">
        <v>1</v>
      </c>
      <c r="J444" s="17">
        <f t="shared" si="11"/>
        <v>0</v>
      </c>
      <c r="K444" s="17"/>
      <c r="L444" s="16" t="s">
        <v>18</v>
      </c>
      <c r="M444" s="16" t="s">
        <v>22</v>
      </c>
      <c r="N444" s="39"/>
    </row>
    <row r="445" spans="1:14" s="12" customFormat="1" ht="18">
      <c r="A445" s="178" t="s">
        <v>80</v>
      </c>
      <c r="B445" s="75" t="s">
        <v>1338</v>
      </c>
      <c r="C445" s="39" t="s">
        <v>17</v>
      </c>
      <c r="D445" s="236"/>
      <c r="E445" s="236"/>
      <c r="F445" s="236"/>
      <c r="G445" s="236"/>
      <c r="H445" s="40">
        <f>SUM(Tabla132112418[[#This Row],[PRIMER TRIMESTRE]:[CUARTO TRIMESTRE]])</f>
        <v>0</v>
      </c>
      <c r="I445" s="17">
        <v>17.7</v>
      </c>
      <c r="J445" s="17">
        <f t="shared" si="11"/>
        <v>0</v>
      </c>
      <c r="K445" s="17"/>
      <c r="L445" s="16" t="s">
        <v>18</v>
      </c>
      <c r="M445" s="16" t="s">
        <v>22</v>
      </c>
      <c r="N445" s="39"/>
    </row>
    <row r="446" spans="1:14" s="12" customFormat="1" ht="18">
      <c r="A446" s="178" t="s">
        <v>80</v>
      </c>
      <c r="B446" s="75" t="s">
        <v>1573</v>
      </c>
      <c r="C446" s="39" t="s">
        <v>17</v>
      </c>
      <c r="D446" s="236"/>
      <c r="E446" s="236"/>
      <c r="F446" s="236"/>
      <c r="G446" s="236"/>
      <c r="H446" s="40">
        <f>SUM(Tabla132112418[[#This Row],[PRIMER TRIMESTRE]:[CUARTO TRIMESTRE]])</f>
        <v>0</v>
      </c>
      <c r="I446" s="17">
        <v>20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</row>
    <row r="447" spans="1:14" s="12" customFormat="1" ht="18">
      <c r="A447" s="178" t="s">
        <v>80</v>
      </c>
      <c r="B447" s="75" t="s">
        <v>1339</v>
      </c>
      <c r="C447" s="39" t="s">
        <v>17</v>
      </c>
      <c r="D447" s="236"/>
      <c r="E447" s="236"/>
      <c r="F447" s="236"/>
      <c r="G447" s="236"/>
      <c r="H447" s="40">
        <f>SUM(Tabla132112418[[#This Row],[PRIMER TRIMESTRE]:[CUARTO TRIMESTRE]])</f>
        <v>0</v>
      </c>
      <c r="I447" s="17">
        <v>23.6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</row>
    <row r="448" spans="1:14" s="12" customFormat="1" ht="18">
      <c r="A448" s="178" t="s">
        <v>80</v>
      </c>
      <c r="B448" s="75" t="s">
        <v>1703</v>
      </c>
      <c r="C448" s="39" t="s">
        <v>17</v>
      </c>
      <c r="D448" s="236"/>
      <c r="E448" s="236"/>
      <c r="F448" s="236"/>
      <c r="G448" s="236"/>
      <c r="H448" s="40">
        <v>0</v>
      </c>
      <c r="I448" s="17">
        <v>0</v>
      </c>
      <c r="J448" s="17">
        <v>0</v>
      </c>
      <c r="K448" s="17"/>
      <c r="L448" s="16" t="s">
        <v>18</v>
      </c>
      <c r="M448" s="16" t="s">
        <v>22</v>
      </c>
      <c r="N448" s="39"/>
    </row>
    <row r="449" spans="1:14" s="12" customFormat="1" ht="18">
      <c r="A449" s="178" t="s">
        <v>80</v>
      </c>
      <c r="B449" s="75" t="s">
        <v>1572</v>
      </c>
      <c r="C449" s="39" t="s">
        <v>17</v>
      </c>
      <c r="D449" s="236"/>
      <c r="E449" s="236"/>
      <c r="F449" s="236"/>
      <c r="G449" s="236"/>
      <c r="H449" s="40">
        <f>SUM(Tabla132112418[[#This Row],[PRIMER TRIMESTRE]:[CUARTO TRIMESTRE]])</f>
        <v>0</v>
      </c>
      <c r="I449" s="17">
        <v>2</v>
      </c>
      <c r="J449" s="17">
        <f t="shared" si="11"/>
        <v>0</v>
      </c>
      <c r="K449" s="17"/>
      <c r="L449" s="16" t="s">
        <v>18</v>
      </c>
      <c r="M449" s="16" t="s">
        <v>22</v>
      </c>
      <c r="N449" s="39"/>
    </row>
    <row r="450" spans="1:14" s="12" customFormat="1" ht="18">
      <c r="A450" s="178" t="s">
        <v>80</v>
      </c>
      <c r="B450" s="75" t="s">
        <v>1428</v>
      </c>
      <c r="C450" s="39" t="s">
        <v>17</v>
      </c>
      <c r="D450" s="236"/>
      <c r="E450" s="236"/>
      <c r="F450" s="236"/>
      <c r="G450" s="236"/>
      <c r="H450" s="40">
        <f>SUM(Tabla132112418[[#This Row],[PRIMER TRIMESTRE]:[CUARTO TRIMESTRE]])</f>
        <v>0</v>
      </c>
      <c r="I450" s="17">
        <v>0.88</v>
      </c>
      <c r="J450" s="17">
        <f t="shared" si="11"/>
        <v>0</v>
      </c>
      <c r="K450" s="17"/>
      <c r="L450" s="16" t="s">
        <v>18</v>
      </c>
      <c r="M450" s="16" t="s">
        <v>22</v>
      </c>
      <c r="N450" s="39"/>
    </row>
    <row r="451" spans="1:14" s="12" customFormat="1" ht="18">
      <c r="A451" s="178" t="s">
        <v>80</v>
      </c>
      <c r="B451" s="75" t="s">
        <v>1427</v>
      </c>
      <c r="C451" s="39" t="s">
        <v>17</v>
      </c>
      <c r="D451" s="236"/>
      <c r="E451" s="236"/>
      <c r="F451" s="236"/>
      <c r="G451" s="236"/>
      <c r="H451" s="40">
        <f>SUM(Tabla132112418[[#This Row],[PRIMER TRIMESTRE]:[CUARTO TRIMESTRE]])</f>
        <v>0</v>
      </c>
      <c r="I451" s="17">
        <v>1</v>
      </c>
      <c r="J451" s="17">
        <f t="shared" si="11"/>
        <v>0</v>
      </c>
      <c r="K451" s="17"/>
      <c r="L451" s="16" t="s">
        <v>18</v>
      </c>
      <c r="M451" s="16" t="s">
        <v>22</v>
      </c>
      <c r="N451" s="39"/>
    </row>
    <row r="452" spans="1:14" s="12" customFormat="1" ht="18">
      <c r="A452" s="178" t="s">
        <v>80</v>
      </c>
      <c r="B452" s="75" t="s">
        <v>1433</v>
      </c>
      <c r="C452" s="39" t="s">
        <v>208</v>
      </c>
      <c r="D452" s="236"/>
      <c r="E452" s="236"/>
      <c r="F452" s="236"/>
      <c r="G452" s="236"/>
      <c r="H452" s="40">
        <f>SUM(Tabla132112418[[#This Row],[PRIMER TRIMESTRE]:[CUARTO TRIMESTRE]])</f>
        <v>0</v>
      </c>
      <c r="I452" s="17">
        <v>361.44</v>
      </c>
      <c r="J452" s="17">
        <f t="shared" si="11"/>
        <v>0</v>
      </c>
      <c r="K452" s="17"/>
      <c r="L452" s="16" t="s">
        <v>18</v>
      </c>
      <c r="M452" s="16" t="s">
        <v>22</v>
      </c>
      <c r="N452" s="39"/>
    </row>
    <row r="453" spans="1:14" s="12" customFormat="1" ht="18">
      <c r="A453" s="178" t="s">
        <v>80</v>
      </c>
      <c r="B453" s="75" t="s">
        <v>1435</v>
      </c>
      <c r="C453" s="39" t="s">
        <v>17</v>
      </c>
      <c r="D453" s="236"/>
      <c r="E453" s="236"/>
      <c r="F453" s="236"/>
      <c r="G453" s="236"/>
      <c r="H453" s="40">
        <f>SUM(Tabla132112418[[#This Row],[PRIMER TRIMESTRE]:[CUARTO TRIMESTRE]])</f>
        <v>0</v>
      </c>
      <c r="I453" s="17">
        <v>1.1499999999999999</v>
      </c>
      <c r="J453" s="17">
        <f t="shared" si="11"/>
        <v>0</v>
      </c>
      <c r="K453" s="17"/>
      <c r="L453" s="16" t="s">
        <v>18</v>
      </c>
      <c r="M453" s="16" t="s">
        <v>22</v>
      </c>
      <c r="N453" s="39"/>
    </row>
    <row r="454" spans="1:14" s="12" customFormat="1" ht="18">
      <c r="A454" s="178" t="s">
        <v>80</v>
      </c>
      <c r="B454" s="75" t="s">
        <v>1527</v>
      </c>
      <c r="C454" s="39" t="s">
        <v>17</v>
      </c>
      <c r="D454" s="236"/>
      <c r="E454" s="236"/>
      <c r="F454" s="236"/>
      <c r="G454" s="236"/>
      <c r="H454" s="236">
        <f>SUM(Tabla132112418[[#This Row],[PRIMER TRIMESTRE]:[CUARTO TRIMESTRE]])</f>
        <v>0</v>
      </c>
      <c r="I454" s="17">
        <v>12739.27</v>
      </c>
      <c r="J454" s="17">
        <f t="shared" si="11"/>
        <v>0</v>
      </c>
      <c r="K454" s="17"/>
      <c r="L454" s="16" t="s">
        <v>18</v>
      </c>
      <c r="M454" s="16" t="s">
        <v>22</v>
      </c>
      <c r="N454" s="39"/>
    </row>
    <row r="455" spans="1:14" s="12" customFormat="1" ht="18">
      <c r="A455" s="178" t="s">
        <v>80</v>
      </c>
      <c r="B455" s="75" t="s">
        <v>702</v>
      </c>
      <c r="C455" s="39" t="s">
        <v>17</v>
      </c>
      <c r="D455" s="236"/>
      <c r="E455" s="236"/>
      <c r="F455" s="236"/>
      <c r="G455" s="236"/>
      <c r="H455" s="40">
        <f>SUM(Tabla132112418[[#This Row],[PRIMER TRIMESTRE]:[CUARTO TRIMESTRE]])</f>
        <v>0</v>
      </c>
      <c r="I455" s="17">
        <v>1052.51</v>
      </c>
      <c r="J455" s="17">
        <f t="shared" si="11"/>
        <v>0</v>
      </c>
      <c r="K455" s="17"/>
      <c r="L455" s="16" t="s">
        <v>18</v>
      </c>
      <c r="M455" s="16" t="s">
        <v>22</v>
      </c>
      <c r="N455" s="39"/>
    </row>
    <row r="456" spans="1:14" s="12" customFormat="1" ht="18">
      <c r="A456" s="178" t="s">
        <v>80</v>
      </c>
      <c r="B456" s="75" t="s">
        <v>370</v>
      </c>
      <c r="C456" s="39" t="s">
        <v>17</v>
      </c>
      <c r="D456" s="236"/>
      <c r="E456" s="236"/>
      <c r="F456" s="236"/>
      <c r="G456" s="236"/>
      <c r="H456" s="40">
        <f>SUM(Tabla132112418[[#This Row],[PRIMER TRIMESTRE]:[CUARTO TRIMESTRE]])</f>
        <v>0</v>
      </c>
      <c r="I456" s="17">
        <v>3302.0937420000005</v>
      </c>
      <c r="J456" s="17">
        <f t="shared" si="11"/>
        <v>0</v>
      </c>
      <c r="K456" s="17"/>
      <c r="L456" s="16" t="s">
        <v>18</v>
      </c>
      <c r="M456" s="16" t="s">
        <v>22</v>
      </c>
      <c r="N456" s="39"/>
    </row>
    <row r="457" spans="1:14" s="12" customFormat="1" ht="18">
      <c r="A457" s="178" t="s">
        <v>80</v>
      </c>
      <c r="B457" s="75" t="s">
        <v>371</v>
      </c>
      <c r="C457" s="39" t="s">
        <v>17</v>
      </c>
      <c r="D457" s="236"/>
      <c r="E457" s="236"/>
      <c r="F457" s="236"/>
      <c r="G457" s="236"/>
      <c r="H457" s="40">
        <f>SUM(Tabla132112418[[#This Row],[PRIMER TRIMESTRE]:[CUARTO TRIMESTRE]])</f>
        <v>0</v>
      </c>
      <c r="I457" s="17">
        <v>5605.3296870000004</v>
      </c>
      <c r="J457" s="17">
        <f t="shared" si="11"/>
        <v>0</v>
      </c>
      <c r="K457" s="17"/>
      <c r="L457" s="16" t="s">
        <v>18</v>
      </c>
      <c r="M457" s="16" t="s">
        <v>22</v>
      </c>
      <c r="N457" s="39"/>
    </row>
    <row r="458" spans="1:14" s="12" customFormat="1" ht="18">
      <c r="A458" s="178" t="s">
        <v>80</v>
      </c>
      <c r="B458" s="75" t="s">
        <v>799</v>
      </c>
      <c r="C458" s="39" t="s">
        <v>17</v>
      </c>
      <c r="D458" s="236"/>
      <c r="E458" s="236"/>
      <c r="F458" s="236"/>
      <c r="G458" s="236"/>
      <c r="H458" s="40">
        <f>SUM(Tabla132112418[[#This Row],[PRIMER TRIMESTRE]:[CUARTO TRIMESTRE]])</f>
        <v>0</v>
      </c>
      <c r="I458" s="17">
        <v>12700</v>
      </c>
      <c r="J458" s="17">
        <f t="shared" si="11"/>
        <v>0</v>
      </c>
      <c r="K458" s="17"/>
      <c r="L458" s="16" t="s">
        <v>18</v>
      </c>
      <c r="M458" s="16" t="s">
        <v>22</v>
      </c>
      <c r="N458" s="39"/>
    </row>
    <row r="459" spans="1:14" s="12" customFormat="1" ht="18">
      <c r="A459" s="178" t="s">
        <v>80</v>
      </c>
      <c r="B459" s="75" t="s">
        <v>372</v>
      </c>
      <c r="C459" s="39" t="s">
        <v>17</v>
      </c>
      <c r="D459" s="236"/>
      <c r="E459" s="236"/>
      <c r="F459" s="236"/>
      <c r="G459" s="236"/>
      <c r="H459" s="40">
        <f>SUM(Tabla132112418[[#This Row],[PRIMER TRIMESTRE]:[CUARTO TRIMESTRE]])</f>
        <v>0</v>
      </c>
      <c r="I459" s="17">
        <v>256.14999999999998</v>
      </c>
      <c r="J459" s="17">
        <f t="shared" si="11"/>
        <v>0</v>
      </c>
      <c r="K459" s="17"/>
      <c r="L459" s="16" t="s">
        <v>18</v>
      </c>
      <c r="M459" s="16" t="s">
        <v>22</v>
      </c>
      <c r="N459" s="39"/>
    </row>
    <row r="460" spans="1:14" s="12" customFormat="1" ht="18">
      <c r="A460" s="178" t="s">
        <v>80</v>
      </c>
      <c r="B460" s="75" t="s">
        <v>373</v>
      </c>
      <c r="C460" s="39" t="s">
        <v>17</v>
      </c>
      <c r="D460" s="236"/>
      <c r="E460" s="236"/>
      <c r="F460" s="236"/>
      <c r="G460" s="236"/>
      <c r="H460" s="40">
        <f>SUM(Tabla132112418[[#This Row],[PRIMER TRIMESTRE]:[CUARTO TRIMESTRE]])</f>
        <v>0</v>
      </c>
      <c r="I460" s="17">
        <v>260.58531900000003</v>
      </c>
      <c r="J460" s="17">
        <f t="shared" si="11"/>
        <v>0</v>
      </c>
      <c r="K460" s="17"/>
      <c r="L460" s="16" t="s">
        <v>18</v>
      </c>
      <c r="M460" s="16" t="s">
        <v>22</v>
      </c>
      <c r="N460" s="39"/>
    </row>
    <row r="461" spans="1:14" s="12" customFormat="1" ht="18">
      <c r="A461" s="178" t="s">
        <v>80</v>
      </c>
      <c r="B461" s="75" t="s">
        <v>374</v>
      </c>
      <c r="C461" s="39" t="s">
        <v>17</v>
      </c>
      <c r="D461" s="236"/>
      <c r="E461" s="236"/>
      <c r="F461" s="236"/>
      <c r="G461" s="236"/>
      <c r="H461" s="40">
        <f>SUM(Tabla132112418[[#This Row],[PRIMER TRIMESTRE]:[CUARTO TRIMESTRE]])</f>
        <v>0</v>
      </c>
      <c r="I461" s="17">
        <v>383.08377000000007</v>
      </c>
      <c r="J461" s="17">
        <f t="shared" si="11"/>
        <v>0</v>
      </c>
      <c r="K461" s="17"/>
      <c r="L461" s="16" t="s">
        <v>18</v>
      </c>
      <c r="M461" s="16" t="s">
        <v>22</v>
      </c>
      <c r="N461" s="39"/>
    </row>
    <row r="462" spans="1:14" s="12" customFormat="1" ht="18">
      <c r="A462" s="178" t="s">
        <v>80</v>
      </c>
      <c r="B462" s="75" t="s">
        <v>375</v>
      </c>
      <c r="C462" s="39" t="s">
        <v>17</v>
      </c>
      <c r="D462" s="236"/>
      <c r="E462" s="236"/>
      <c r="F462" s="236"/>
      <c r="G462" s="236"/>
      <c r="H462" s="40">
        <f>SUM(Tabla132112418[[#This Row],[PRIMER TRIMESTRE]:[CUARTO TRIMESTRE]])</f>
        <v>0</v>
      </c>
      <c r="I462" s="17">
        <v>450</v>
      </c>
      <c r="J462" s="17">
        <f t="shared" si="11"/>
        <v>0</v>
      </c>
      <c r="K462" s="17"/>
      <c r="L462" s="16" t="s">
        <v>18</v>
      </c>
      <c r="M462" s="16" t="s">
        <v>22</v>
      </c>
      <c r="N462" s="39"/>
    </row>
    <row r="463" spans="1:14" s="12" customFormat="1" ht="18">
      <c r="A463" s="178" t="s">
        <v>80</v>
      </c>
      <c r="B463" s="75" t="s">
        <v>376</v>
      </c>
      <c r="C463" s="39" t="s">
        <v>17</v>
      </c>
      <c r="D463" s="236"/>
      <c r="E463" s="236"/>
      <c r="F463" s="236"/>
      <c r="G463" s="236"/>
      <c r="H463" s="40">
        <f>SUM(Tabla132112418[[#This Row],[PRIMER TRIMESTRE]:[CUARTO TRIMESTRE]])</f>
        <v>0</v>
      </c>
      <c r="I463" s="17">
        <v>667.77</v>
      </c>
      <c r="J463" s="17">
        <f t="shared" si="11"/>
        <v>0</v>
      </c>
      <c r="K463" s="17"/>
      <c r="L463" s="16" t="s">
        <v>18</v>
      </c>
      <c r="M463" s="16" t="s">
        <v>22</v>
      </c>
      <c r="N463" s="39"/>
    </row>
    <row r="464" spans="1:14" s="12" customFormat="1" ht="18">
      <c r="A464" s="178" t="s">
        <v>80</v>
      </c>
      <c r="B464" s="75" t="s">
        <v>377</v>
      </c>
      <c r="C464" s="39" t="s">
        <v>17</v>
      </c>
      <c r="D464" s="236"/>
      <c r="E464" s="236"/>
      <c r="F464" s="236"/>
      <c r="G464" s="236"/>
      <c r="H464" s="40">
        <f>SUM(Tabla132112418[[#This Row],[PRIMER TRIMESTRE]:[CUARTO TRIMESTRE]])</f>
        <v>0</v>
      </c>
      <c r="I464" s="17">
        <v>160.61749500000002</v>
      </c>
      <c r="J464" s="17">
        <f t="shared" si="11"/>
        <v>0</v>
      </c>
      <c r="K464" s="17"/>
      <c r="L464" s="16" t="s">
        <v>18</v>
      </c>
      <c r="M464" s="16" t="s">
        <v>22</v>
      </c>
      <c r="N464" s="39"/>
    </row>
    <row r="465" spans="1:14" s="12" customFormat="1" ht="18">
      <c r="A465" s="178" t="s">
        <v>80</v>
      </c>
      <c r="B465" s="75" t="s">
        <v>378</v>
      </c>
      <c r="C465" s="39" t="s">
        <v>17</v>
      </c>
      <c r="D465" s="236"/>
      <c r="E465" s="236"/>
      <c r="F465" s="236"/>
      <c r="G465" s="236"/>
      <c r="H465" s="40">
        <f>SUM(Tabla132112418[[#This Row],[PRIMER TRIMESTRE]:[CUARTO TRIMESTRE]])</f>
        <v>0</v>
      </c>
      <c r="I465" s="17">
        <v>631.80422099999998</v>
      </c>
      <c r="J465" s="17">
        <f t="shared" si="11"/>
        <v>0</v>
      </c>
      <c r="K465" s="17"/>
      <c r="L465" s="16" t="s">
        <v>18</v>
      </c>
      <c r="M465" s="16" t="s">
        <v>22</v>
      </c>
      <c r="N465" s="39"/>
    </row>
    <row r="466" spans="1:14" s="12" customFormat="1" ht="18">
      <c r="A466" s="178" t="s">
        <v>80</v>
      </c>
      <c r="B466" s="75" t="s">
        <v>1526</v>
      </c>
      <c r="C466" s="176" t="s">
        <v>17</v>
      </c>
      <c r="D466" s="236"/>
      <c r="E466" s="236"/>
      <c r="F466" s="236"/>
      <c r="G466" s="236"/>
      <c r="H466" s="236">
        <f>SUM(Tabla132112418[[#This Row],[PRIMER TRIMESTRE]:[CUARTO TRIMESTRE]])</f>
        <v>0</v>
      </c>
      <c r="I466" s="17">
        <v>631.80422099999998</v>
      </c>
      <c r="J466" s="17">
        <f t="shared" si="11"/>
        <v>0</v>
      </c>
      <c r="K466" s="17"/>
      <c r="L466" s="16" t="s">
        <v>18</v>
      </c>
      <c r="M466" s="16" t="s">
        <v>22</v>
      </c>
      <c r="N466" s="39"/>
    </row>
    <row r="467" spans="1:14" s="12" customFormat="1" ht="18">
      <c r="A467" s="178" t="s">
        <v>80</v>
      </c>
      <c r="B467" s="75" t="s">
        <v>379</v>
      </c>
      <c r="C467" s="39" t="s">
        <v>17</v>
      </c>
      <c r="D467" s="236"/>
      <c r="E467" s="236"/>
      <c r="F467" s="236"/>
      <c r="G467" s="236"/>
      <c r="H467" s="40">
        <f>SUM(Tabla132112418[[#This Row],[PRIMER TRIMESTRE]:[CUARTO TRIMESTRE]])</f>
        <v>0</v>
      </c>
      <c r="I467" s="17">
        <v>1565.22</v>
      </c>
      <c r="J467" s="17">
        <f t="shared" si="11"/>
        <v>0</v>
      </c>
      <c r="K467" s="17"/>
      <c r="L467" s="16" t="s">
        <v>18</v>
      </c>
      <c r="M467" s="16" t="s">
        <v>22</v>
      </c>
      <c r="N467" s="39"/>
    </row>
    <row r="468" spans="1:14" s="12" customFormat="1" ht="18">
      <c r="A468" s="178" t="s">
        <v>80</v>
      </c>
      <c r="B468" s="75" t="s">
        <v>380</v>
      </c>
      <c r="C468" s="39" t="s">
        <v>17</v>
      </c>
      <c r="D468" s="236"/>
      <c r="E468" s="236"/>
      <c r="F468" s="236"/>
      <c r="G468" s="236"/>
      <c r="H468" s="40">
        <f>SUM(Tabla132112418[[#This Row],[PRIMER TRIMESTRE]:[CUARTO TRIMESTRE]])</f>
        <v>0</v>
      </c>
      <c r="I468" s="17">
        <v>2310.9299999999998</v>
      </c>
      <c r="J468" s="17">
        <f t="shared" si="11"/>
        <v>0</v>
      </c>
      <c r="K468" s="17"/>
      <c r="L468" s="16" t="s">
        <v>18</v>
      </c>
      <c r="M468" s="16" t="s">
        <v>22</v>
      </c>
      <c r="N468" s="39"/>
    </row>
    <row r="469" spans="1:14" s="12" customFormat="1" ht="18">
      <c r="A469" s="178" t="s">
        <v>80</v>
      </c>
      <c r="B469" s="75" t="s">
        <v>381</v>
      </c>
      <c r="C469" s="39" t="s">
        <v>17</v>
      </c>
      <c r="D469" s="236"/>
      <c r="E469" s="236"/>
      <c r="F469" s="236"/>
      <c r="G469" s="236"/>
      <c r="H469" s="40">
        <f>SUM(Tabla132112418[[#This Row],[PRIMER TRIMESTRE]:[CUARTO TRIMESTRE]])</f>
        <v>0</v>
      </c>
      <c r="I469" s="17">
        <v>4630.1499999999996</v>
      </c>
      <c r="J469" s="17">
        <f t="shared" si="11"/>
        <v>0</v>
      </c>
      <c r="K469" s="17"/>
      <c r="L469" s="16" t="s">
        <v>18</v>
      </c>
      <c r="M469" s="16" t="s">
        <v>22</v>
      </c>
      <c r="N469" s="39"/>
    </row>
    <row r="470" spans="1:14" s="12" customFormat="1" ht="18">
      <c r="A470" s="178" t="s">
        <v>80</v>
      </c>
      <c r="B470" s="75" t="s">
        <v>382</v>
      </c>
      <c r="C470" s="39" t="s">
        <v>17</v>
      </c>
      <c r="D470" s="236"/>
      <c r="E470" s="236"/>
      <c r="F470" s="236"/>
      <c r="G470" s="236"/>
      <c r="H470" s="40">
        <f>SUM(Tabla132112418[[#This Row],[PRIMER TRIMESTRE]:[CUARTO TRIMESTRE]])</f>
        <v>0</v>
      </c>
      <c r="I470" s="17">
        <v>6410</v>
      </c>
      <c r="J470" s="17">
        <f t="shared" si="11"/>
        <v>0</v>
      </c>
      <c r="K470" s="17"/>
      <c r="L470" s="16" t="s">
        <v>18</v>
      </c>
      <c r="M470" s="16" t="s">
        <v>22</v>
      </c>
      <c r="N470" s="39"/>
    </row>
    <row r="471" spans="1:14" s="12" customFormat="1" ht="18">
      <c r="A471" s="178" t="s">
        <v>80</v>
      </c>
      <c r="B471" s="75" t="s">
        <v>383</v>
      </c>
      <c r="C471" s="39" t="s">
        <v>17</v>
      </c>
      <c r="D471" s="236"/>
      <c r="E471" s="236"/>
      <c r="F471" s="236"/>
      <c r="G471" s="236"/>
      <c r="H471" s="40">
        <f>SUM(Tabla132112418[[#This Row],[PRIMER TRIMESTRE]:[CUARTO TRIMESTRE]])</f>
        <v>0</v>
      </c>
      <c r="I471" s="17">
        <v>10255.09</v>
      </c>
      <c r="J471" s="17">
        <f t="shared" si="11"/>
        <v>0</v>
      </c>
      <c r="K471" s="17"/>
      <c r="L471" s="16" t="s">
        <v>18</v>
      </c>
      <c r="M471" s="16" t="s">
        <v>22</v>
      </c>
      <c r="N471" s="39"/>
    </row>
    <row r="472" spans="1:14" s="12" customFormat="1" ht="18">
      <c r="A472" s="178" t="s">
        <v>80</v>
      </c>
      <c r="B472" s="75" t="s">
        <v>384</v>
      </c>
      <c r="C472" s="39" t="s">
        <v>17</v>
      </c>
      <c r="D472" s="236"/>
      <c r="E472" s="236"/>
      <c r="F472" s="236"/>
      <c r="G472" s="236"/>
      <c r="H472" s="40">
        <f>SUM(Tabla132112418[[#This Row],[PRIMER TRIMESTRE]:[CUARTO TRIMESTRE]])</f>
        <v>0</v>
      </c>
      <c r="I472" s="17">
        <v>14777.68</v>
      </c>
      <c r="J472" s="17">
        <f t="shared" si="11"/>
        <v>0</v>
      </c>
      <c r="K472" s="17"/>
      <c r="L472" s="16" t="s">
        <v>18</v>
      </c>
      <c r="M472" s="16" t="s">
        <v>22</v>
      </c>
      <c r="N472" s="39"/>
    </row>
    <row r="473" spans="1:14" s="12" customFormat="1" ht="18">
      <c r="A473" s="178" t="s">
        <v>80</v>
      </c>
      <c r="B473" s="75" t="s">
        <v>385</v>
      </c>
      <c r="C473" s="39" t="s">
        <v>17</v>
      </c>
      <c r="D473" s="236"/>
      <c r="E473" s="236"/>
      <c r="F473" s="236"/>
      <c r="G473" s="236"/>
      <c r="H473" s="40">
        <f>SUM(Tabla132112418[[#This Row],[PRIMER TRIMESTRE]:[CUARTO TRIMESTRE]])</f>
        <v>0</v>
      </c>
      <c r="I473" s="17">
        <v>24012.400000000001</v>
      </c>
      <c r="J473" s="17">
        <f t="shared" si="11"/>
        <v>0</v>
      </c>
      <c r="K473" s="17"/>
      <c r="L473" s="16" t="s">
        <v>18</v>
      </c>
      <c r="M473" s="16" t="s">
        <v>22</v>
      </c>
      <c r="N473" s="39"/>
    </row>
    <row r="474" spans="1:14" s="12" customFormat="1" ht="18">
      <c r="A474" s="178" t="s">
        <v>80</v>
      </c>
      <c r="B474" s="75" t="s">
        <v>386</v>
      </c>
      <c r="C474" s="39" t="s">
        <v>17</v>
      </c>
      <c r="D474" s="236"/>
      <c r="E474" s="236"/>
      <c r="F474" s="236"/>
      <c r="G474" s="236"/>
      <c r="H474" s="40">
        <f>SUM(Tabla132112418[[#This Row],[PRIMER TRIMESTRE]:[CUARTO TRIMESTRE]])</f>
        <v>0</v>
      </c>
      <c r="I474" s="17">
        <v>37525.1</v>
      </c>
      <c r="J474" s="17">
        <f t="shared" si="11"/>
        <v>0</v>
      </c>
      <c r="K474" s="17"/>
      <c r="L474" s="16" t="s">
        <v>18</v>
      </c>
      <c r="M474" s="16" t="s">
        <v>22</v>
      </c>
      <c r="N474" s="39"/>
    </row>
    <row r="475" spans="1:14" s="12" customFormat="1" ht="18">
      <c r="A475" s="178" t="s">
        <v>80</v>
      </c>
      <c r="B475" s="75" t="s">
        <v>800</v>
      </c>
      <c r="C475" s="39" t="s">
        <v>17</v>
      </c>
      <c r="D475" s="239"/>
      <c r="E475" s="239"/>
      <c r="F475" s="239"/>
      <c r="G475" s="236"/>
      <c r="H475" s="40">
        <f>SUM(Tabla132112418[[#This Row],[PRIMER TRIMESTRE]:[CUARTO TRIMESTRE]])</f>
        <v>0</v>
      </c>
      <c r="I475" s="17">
        <v>4500</v>
      </c>
      <c r="J475" s="17">
        <f t="shared" si="11"/>
        <v>0</v>
      </c>
      <c r="K475" s="17"/>
      <c r="L475" s="16" t="s">
        <v>18</v>
      </c>
      <c r="M475" s="16" t="s">
        <v>22</v>
      </c>
      <c r="N475" s="39"/>
    </row>
    <row r="476" spans="1:14" s="12" customFormat="1" ht="18">
      <c r="A476" s="178" t="s">
        <v>80</v>
      </c>
      <c r="B476" s="75" t="s">
        <v>713</v>
      </c>
      <c r="C476" s="39" t="s">
        <v>17</v>
      </c>
      <c r="D476" s="236"/>
      <c r="E476" s="236"/>
      <c r="F476" s="236"/>
      <c r="G476" s="236"/>
      <c r="H476" s="40">
        <f>SUM(Tabla132112418[[#This Row],[PRIMER TRIMESTRE]:[CUARTO TRIMESTRE]])</f>
        <v>0</v>
      </c>
      <c r="I476" s="72">
        <v>6000</v>
      </c>
      <c r="J476" s="17">
        <f t="shared" si="11"/>
        <v>0</v>
      </c>
      <c r="K476" s="17"/>
      <c r="L476" s="16" t="s">
        <v>18</v>
      </c>
      <c r="M476" s="16" t="s">
        <v>22</v>
      </c>
      <c r="N476" s="39"/>
    </row>
    <row r="477" spans="1:14" s="12" customFormat="1" ht="18">
      <c r="A477" s="178" t="s">
        <v>80</v>
      </c>
      <c r="B477" s="75" t="s">
        <v>712</v>
      </c>
      <c r="C477" s="39" t="s">
        <v>17</v>
      </c>
      <c r="D477" s="236"/>
      <c r="E477" s="236"/>
      <c r="F477" s="236"/>
      <c r="G477" s="236"/>
      <c r="H477" s="40">
        <f>SUM(Tabla132112418[[#This Row],[PRIMER TRIMESTRE]:[CUARTO TRIMESTRE]])</f>
        <v>0</v>
      </c>
      <c r="I477" s="17">
        <v>15544</v>
      </c>
      <c r="J477" s="17">
        <f t="shared" si="11"/>
        <v>0</v>
      </c>
      <c r="K477" s="17"/>
      <c r="L477" s="16" t="s">
        <v>18</v>
      </c>
      <c r="M477" s="16" t="s">
        <v>22</v>
      </c>
      <c r="N477" s="39"/>
    </row>
    <row r="478" spans="1:14" s="12" customFormat="1" ht="18">
      <c r="A478" s="178" t="s">
        <v>80</v>
      </c>
      <c r="B478" s="75" t="s">
        <v>711</v>
      </c>
      <c r="C478" s="39" t="s">
        <v>17</v>
      </c>
      <c r="D478" s="236"/>
      <c r="E478" s="236"/>
      <c r="F478" s="236"/>
      <c r="G478" s="236"/>
      <c r="H478" s="40">
        <f>SUM(Tabla132112418[[#This Row],[PRIMER TRIMESTRE]:[CUARTO TRIMESTRE]])</f>
        <v>0</v>
      </c>
      <c r="I478" s="72">
        <v>20650.03</v>
      </c>
      <c r="J478" s="17">
        <f t="shared" si="11"/>
        <v>0</v>
      </c>
      <c r="K478" s="17"/>
      <c r="L478" s="16" t="s">
        <v>18</v>
      </c>
      <c r="M478" s="16" t="s">
        <v>22</v>
      </c>
      <c r="N478" s="39"/>
    </row>
    <row r="479" spans="1:14" s="12" customFormat="1" ht="18">
      <c r="A479" s="178" t="s">
        <v>80</v>
      </c>
      <c r="B479" s="75" t="s">
        <v>710</v>
      </c>
      <c r="C479" s="39" t="s">
        <v>17</v>
      </c>
      <c r="D479" s="236"/>
      <c r="E479" s="236"/>
      <c r="F479" s="236"/>
      <c r="G479" s="236"/>
      <c r="H479" s="40">
        <f>SUM(Tabla132112418[[#This Row],[PRIMER TRIMESTRE]:[CUARTO TRIMESTRE]])</f>
        <v>0</v>
      </c>
      <c r="I479" s="17">
        <v>39221.919999999998</v>
      </c>
      <c r="J479" s="17">
        <f t="shared" si="11"/>
        <v>0</v>
      </c>
      <c r="K479" s="17"/>
      <c r="L479" s="16" t="s">
        <v>18</v>
      </c>
      <c r="M479" s="16" t="s">
        <v>22</v>
      </c>
      <c r="N479" s="39"/>
    </row>
    <row r="480" spans="1:14" s="12" customFormat="1" ht="18">
      <c r="A480" s="178" t="s">
        <v>80</v>
      </c>
      <c r="B480" s="75" t="s">
        <v>709</v>
      </c>
      <c r="C480" s="39" t="s">
        <v>17</v>
      </c>
      <c r="D480" s="236"/>
      <c r="E480" s="236"/>
      <c r="F480" s="236"/>
      <c r="G480" s="236"/>
      <c r="H480" s="40">
        <f>SUM(Tabla132112418[[#This Row],[PRIMER TRIMESTRE]:[CUARTO TRIMESTRE]])</f>
        <v>0</v>
      </c>
      <c r="I480" s="72">
        <f>17500*1.18</f>
        <v>20650</v>
      </c>
      <c r="J480" s="17">
        <f t="shared" si="11"/>
        <v>0</v>
      </c>
      <c r="K480" s="17"/>
      <c r="L480" s="16" t="s">
        <v>18</v>
      </c>
      <c r="M480" s="16" t="s">
        <v>22</v>
      </c>
      <c r="N480" s="39"/>
    </row>
    <row r="481" spans="1:14" s="12" customFormat="1" ht="18">
      <c r="A481" s="178" t="s">
        <v>80</v>
      </c>
      <c r="B481" s="75" t="s">
        <v>708</v>
      </c>
      <c r="C481" s="39" t="s">
        <v>17</v>
      </c>
      <c r="D481" s="236"/>
      <c r="E481" s="236"/>
      <c r="F481" s="236"/>
      <c r="G481" s="236"/>
      <c r="H481" s="40">
        <f>SUM(Tabla132112418[[#This Row],[PRIMER TRIMESTRE]:[CUARTO TRIMESTRE]])</f>
        <v>0</v>
      </c>
      <c r="I481" s="72">
        <f>25175*1.18</f>
        <v>29706.5</v>
      </c>
      <c r="J481" s="17">
        <f t="shared" si="11"/>
        <v>0</v>
      </c>
      <c r="K481" s="17"/>
      <c r="L481" s="16" t="s">
        <v>18</v>
      </c>
      <c r="M481" s="16" t="s">
        <v>22</v>
      </c>
      <c r="N481" s="39"/>
    </row>
    <row r="482" spans="1:14" s="12" customFormat="1" ht="18">
      <c r="A482" s="178" t="s">
        <v>80</v>
      </c>
      <c r="B482" s="75" t="s">
        <v>707</v>
      </c>
      <c r="C482" s="39" t="s">
        <v>17</v>
      </c>
      <c r="D482" s="236"/>
      <c r="E482" s="236"/>
      <c r="F482" s="236"/>
      <c r="G482" s="236"/>
      <c r="H482" s="40">
        <f>SUM(Tabla132112418[[#This Row],[PRIMER TRIMESTRE]:[CUARTO TRIMESTRE]])</f>
        <v>0</v>
      </c>
      <c r="I482" s="17">
        <f>34500*1.18</f>
        <v>40710</v>
      </c>
      <c r="J482" s="17">
        <f t="shared" si="11"/>
        <v>0</v>
      </c>
      <c r="K482" s="17"/>
      <c r="L482" s="16" t="s">
        <v>18</v>
      </c>
      <c r="M482" s="16" t="s">
        <v>22</v>
      </c>
      <c r="N482" s="39"/>
    </row>
    <row r="483" spans="1:14" s="12" customFormat="1" ht="18">
      <c r="A483" s="178" t="s">
        <v>80</v>
      </c>
      <c r="B483" s="75" t="s">
        <v>706</v>
      </c>
      <c r="C483" s="39" t="s">
        <v>17</v>
      </c>
      <c r="D483" s="236"/>
      <c r="E483" s="236"/>
      <c r="F483" s="236"/>
      <c r="G483" s="236"/>
      <c r="H483" s="40">
        <f>SUM(Tabla132112418[[#This Row],[PRIMER TRIMESTRE]:[CUARTO TRIMESTRE]])</f>
        <v>0</v>
      </c>
      <c r="I483" s="72">
        <v>51330</v>
      </c>
      <c r="J483" s="17">
        <f t="shared" si="11"/>
        <v>0</v>
      </c>
      <c r="K483" s="17"/>
      <c r="L483" s="16" t="s">
        <v>18</v>
      </c>
      <c r="M483" s="16" t="s">
        <v>22</v>
      </c>
      <c r="N483" s="39"/>
    </row>
    <row r="484" spans="1:14" s="12" customFormat="1" ht="18">
      <c r="A484" s="178" t="s">
        <v>80</v>
      </c>
      <c r="B484" s="75" t="s">
        <v>705</v>
      </c>
      <c r="C484" s="39" t="s">
        <v>17</v>
      </c>
      <c r="D484" s="236"/>
      <c r="E484" s="236"/>
      <c r="F484" s="236"/>
      <c r="G484" s="236"/>
      <c r="H484" s="40">
        <f>SUM(Tabla132112418[[#This Row],[PRIMER TRIMESTRE]:[CUARTO TRIMESTRE]])</f>
        <v>0</v>
      </c>
      <c r="I484" s="72">
        <v>61360</v>
      </c>
      <c r="J484" s="17">
        <f t="shared" si="11"/>
        <v>0</v>
      </c>
      <c r="K484" s="17"/>
      <c r="L484" s="16" t="s">
        <v>18</v>
      </c>
      <c r="M484" s="16" t="s">
        <v>22</v>
      </c>
      <c r="N484" s="39"/>
    </row>
    <row r="485" spans="1:14" s="12" customFormat="1" ht="18">
      <c r="A485" s="178" t="s">
        <v>80</v>
      </c>
      <c r="B485" s="75" t="s">
        <v>1687</v>
      </c>
      <c r="C485" s="39" t="s">
        <v>17</v>
      </c>
      <c r="D485" s="236"/>
      <c r="E485" s="236"/>
      <c r="F485" s="236"/>
      <c r="G485" s="236"/>
      <c r="H485" s="40">
        <v>0</v>
      </c>
      <c r="I485" s="72">
        <v>0</v>
      </c>
      <c r="J485" s="17">
        <v>0</v>
      </c>
      <c r="K485" s="17"/>
      <c r="L485" s="16" t="s">
        <v>18</v>
      </c>
      <c r="M485" s="16" t="s">
        <v>22</v>
      </c>
      <c r="N485" s="39"/>
    </row>
    <row r="486" spans="1:14" s="12" customFormat="1" ht="18">
      <c r="A486" s="178" t="s">
        <v>80</v>
      </c>
      <c r="B486" s="75" t="s">
        <v>1528</v>
      </c>
      <c r="C486" s="39" t="s">
        <v>17</v>
      </c>
      <c r="D486" s="236"/>
      <c r="E486" s="236"/>
      <c r="F486" s="236"/>
      <c r="G486" s="236"/>
      <c r="H486" s="236">
        <f>SUM(Tabla132112418[[#This Row],[PRIMER TRIMESTRE]:[CUARTO TRIMESTRE]])</f>
        <v>0</v>
      </c>
      <c r="I486" s="72">
        <v>4973.5</v>
      </c>
      <c r="J486" s="72">
        <f t="shared" ref="J486:J549" si="12">+H486*I486</f>
        <v>0</v>
      </c>
      <c r="K486" s="17"/>
      <c r="L486" s="16" t="s">
        <v>18</v>
      </c>
      <c r="M486" s="16" t="s">
        <v>22</v>
      </c>
      <c r="N486" s="39"/>
    </row>
    <row r="487" spans="1:14" s="12" customFormat="1" ht="18">
      <c r="A487" s="178" t="s">
        <v>80</v>
      </c>
      <c r="B487" s="75" t="s">
        <v>1722</v>
      </c>
      <c r="C487" s="39" t="s">
        <v>17</v>
      </c>
      <c r="D487" s="236"/>
      <c r="E487" s="236"/>
      <c r="F487" s="236"/>
      <c r="G487" s="236"/>
      <c r="H487" s="40">
        <v>0</v>
      </c>
      <c r="I487" s="72">
        <v>0</v>
      </c>
      <c r="J487" s="72">
        <v>0</v>
      </c>
      <c r="K487" s="17"/>
      <c r="L487" s="16" t="s">
        <v>18</v>
      </c>
      <c r="M487" s="16" t="s">
        <v>22</v>
      </c>
      <c r="N487" s="39"/>
    </row>
    <row r="488" spans="1:14" s="12" customFormat="1" ht="18">
      <c r="A488" s="178" t="s">
        <v>80</v>
      </c>
      <c r="B488" s="75" t="s">
        <v>703</v>
      </c>
      <c r="C488" s="39" t="s">
        <v>17</v>
      </c>
      <c r="D488" s="236"/>
      <c r="E488" s="236"/>
      <c r="F488" s="236"/>
      <c r="G488" s="236"/>
      <c r="H488" s="40">
        <f>SUM(Tabla132112418[[#This Row],[PRIMER TRIMESTRE]:[CUARTO TRIMESTRE]])</f>
        <v>0</v>
      </c>
      <c r="I488" s="72">
        <v>1926.1</v>
      </c>
      <c r="J488" s="17">
        <f t="shared" si="12"/>
        <v>0</v>
      </c>
      <c r="K488" s="17"/>
      <c r="L488" s="16" t="s">
        <v>18</v>
      </c>
      <c r="M488" s="16" t="s">
        <v>22</v>
      </c>
      <c r="N488" s="39"/>
    </row>
    <row r="489" spans="1:14" s="12" customFormat="1" ht="18">
      <c r="A489" s="178" t="s">
        <v>80</v>
      </c>
      <c r="B489" s="75" t="s">
        <v>704</v>
      </c>
      <c r="C489" s="39" t="s">
        <v>17</v>
      </c>
      <c r="D489" s="236"/>
      <c r="E489" s="236"/>
      <c r="F489" s="236"/>
      <c r="G489" s="236"/>
      <c r="H489" s="40">
        <f>SUM(Tabla132112418[[#This Row],[PRIMER TRIMESTRE]:[CUARTO TRIMESTRE]])</f>
        <v>0</v>
      </c>
      <c r="I489" s="72">
        <v>3940</v>
      </c>
      <c r="J489" s="17">
        <f t="shared" si="12"/>
        <v>0</v>
      </c>
      <c r="K489" s="17"/>
      <c r="L489" s="16" t="s">
        <v>18</v>
      </c>
      <c r="M489" s="16" t="s">
        <v>22</v>
      </c>
      <c r="N489" s="39"/>
    </row>
    <row r="490" spans="1:14" s="12" customFormat="1" ht="18">
      <c r="A490" s="178" t="s">
        <v>80</v>
      </c>
      <c r="B490" s="75" t="s">
        <v>1216</v>
      </c>
      <c r="C490" s="39" t="s">
        <v>17</v>
      </c>
      <c r="D490" s="236"/>
      <c r="E490" s="236"/>
      <c r="F490" s="236"/>
      <c r="G490" s="236"/>
      <c r="H490" s="40">
        <f>SUM(Tabla132112418[[#This Row],[PRIMER TRIMESTRE]:[CUARTO TRIMESTRE]])</f>
        <v>0</v>
      </c>
      <c r="I490" s="175">
        <v>3940</v>
      </c>
      <c r="J490" s="17">
        <f t="shared" si="12"/>
        <v>0</v>
      </c>
      <c r="K490" s="17"/>
      <c r="L490" s="16" t="s">
        <v>18</v>
      </c>
      <c r="M490" s="16" t="s">
        <v>22</v>
      </c>
      <c r="N490" s="39"/>
    </row>
    <row r="491" spans="1:14" s="12" customFormat="1" ht="18">
      <c r="A491" s="178" t="s">
        <v>80</v>
      </c>
      <c r="B491" s="75" t="s">
        <v>1215</v>
      </c>
      <c r="C491" s="39" t="s">
        <v>17</v>
      </c>
      <c r="D491" s="236"/>
      <c r="E491" s="236"/>
      <c r="F491" s="236"/>
      <c r="G491" s="236"/>
      <c r="H491" s="40">
        <f>SUM(Tabla132112418[[#This Row],[PRIMER TRIMESTRE]:[CUARTO TRIMESTRE]])</f>
        <v>0</v>
      </c>
      <c r="I491" s="72">
        <v>3940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</row>
    <row r="492" spans="1:14" s="12" customFormat="1" ht="18">
      <c r="A492" s="178" t="s">
        <v>80</v>
      </c>
      <c r="B492" s="75" t="s">
        <v>1620</v>
      </c>
      <c r="C492" s="39" t="s">
        <v>17</v>
      </c>
      <c r="D492" s="236"/>
      <c r="E492" s="236"/>
      <c r="F492" s="236"/>
      <c r="G492" s="236"/>
      <c r="H492" s="40">
        <f>SUM(Tabla132112418[[#This Row],[PRIMER TRIMESTRE]:[CUARTO TRIMESTRE]])</f>
        <v>0</v>
      </c>
      <c r="I492" s="72">
        <v>4973.5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</row>
    <row r="493" spans="1:14" s="12" customFormat="1" ht="18">
      <c r="A493" s="178" t="s">
        <v>80</v>
      </c>
      <c r="B493" s="75" t="s">
        <v>1850</v>
      </c>
      <c r="C493" s="39" t="s">
        <v>17</v>
      </c>
      <c r="D493" s="236"/>
      <c r="E493" s="236"/>
      <c r="F493" s="236"/>
      <c r="G493" s="236"/>
      <c r="H493" s="40">
        <v>0</v>
      </c>
      <c r="I493" s="72">
        <v>0</v>
      </c>
      <c r="J493" s="17">
        <v>0</v>
      </c>
      <c r="K493" s="17"/>
      <c r="L493" s="16" t="s">
        <v>18</v>
      </c>
      <c r="M493" s="16" t="s">
        <v>22</v>
      </c>
      <c r="N493" s="39"/>
    </row>
    <row r="494" spans="1:14" s="12" customFormat="1" ht="18">
      <c r="A494" s="178" t="s">
        <v>80</v>
      </c>
      <c r="B494" s="75" t="s">
        <v>1529</v>
      </c>
      <c r="C494" s="39" t="s">
        <v>17</v>
      </c>
      <c r="D494" s="236"/>
      <c r="E494" s="236"/>
      <c r="F494" s="236"/>
      <c r="G494" s="236"/>
      <c r="H494" s="236">
        <f>SUM(Tabla132112418[[#This Row],[PRIMER TRIMESTRE]:[CUARTO TRIMESTRE]])</f>
        <v>0</v>
      </c>
      <c r="I494" s="72">
        <v>4.57</v>
      </c>
      <c r="J494" s="17">
        <f t="shared" si="12"/>
        <v>0</v>
      </c>
      <c r="K494" s="17"/>
      <c r="L494" s="16" t="s">
        <v>18</v>
      </c>
      <c r="M494" s="16" t="s">
        <v>22</v>
      </c>
      <c r="N494" s="39"/>
    </row>
    <row r="495" spans="1:14" s="12" customFormat="1" ht="18">
      <c r="A495" s="178" t="s">
        <v>80</v>
      </c>
      <c r="B495" s="75" t="s">
        <v>1569</v>
      </c>
      <c r="C495" s="39" t="s">
        <v>17</v>
      </c>
      <c r="D495" s="236"/>
      <c r="E495" s="236"/>
      <c r="F495" s="236"/>
      <c r="G495" s="236"/>
      <c r="H495" s="236">
        <f>SUM(Tabla132112418[[#This Row],[PRIMER TRIMESTRE]:[CUARTO TRIMESTRE]])</f>
        <v>0</v>
      </c>
      <c r="I495" s="72">
        <v>85.92</v>
      </c>
      <c r="J495" s="17">
        <f t="shared" si="12"/>
        <v>0</v>
      </c>
      <c r="K495" s="17"/>
      <c r="L495" s="16" t="s">
        <v>18</v>
      </c>
      <c r="M495" s="16" t="s">
        <v>22</v>
      </c>
      <c r="N495" s="39"/>
    </row>
    <row r="496" spans="1:14" s="12" customFormat="1" ht="18">
      <c r="A496" s="178" t="s">
        <v>80</v>
      </c>
      <c r="B496" s="75" t="s">
        <v>1568</v>
      </c>
      <c r="C496" s="39" t="s">
        <v>17</v>
      </c>
      <c r="D496" s="236"/>
      <c r="E496" s="236"/>
      <c r="F496" s="236"/>
      <c r="G496" s="236"/>
      <c r="H496" s="236">
        <f>SUM(Tabla132112418[[#This Row],[PRIMER TRIMESTRE]:[CUARTO TRIMESTRE]])</f>
        <v>0</v>
      </c>
      <c r="I496" s="72">
        <v>26.5</v>
      </c>
      <c r="J496" s="17">
        <f t="shared" si="12"/>
        <v>0</v>
      </c>
      <c r="K496" s="17"/>
      <c r="L496" s="16" t="s">
        <v>18</v>
      </c>
      <c r="M496" s="16" t="s">
        <v>22</v>
      </c>
      <c r="N496" s="39"/>
    </row>
    <row r="497" spans="1:14" s="12" customFormat="1" ht="18">
      <c r="A497" s="178" t="s">
        <v>80</v>
      </c>
      <c r="B497" s="75" t="s">
        <v>1530</v>
      </c>
      <c r="C497" s="39" t="s">
        <v>17</v>
      </c>
      <c r="D497" s="236"/>
      <c r="E497" s="236"/>
      <c r="F497" s="236"/>
      <c r="G497" s="236"/>
      <c r="H497" s="236">
        <f>SUM(Tabla132112418[[#This Row],[PRIMER TRIMESTRE]:[CUARTO TRIMESTRE]])</f>
        <v>0</v>
      </c>
      <c r="I497" s="72">
        <v>6.07</v>
      </c>
      <c r="J497" s="17">
        <f t="shared" si="12"/>
        <v>0</v>
      </c>
      <c r="K497" s="17"/>
      <c r="L497" s="16" t="s">
        <v>18</v>
      </c>
      <c r="M497" s="16" t="s">
        <v>22</v>
      </c>
      <c r="N497" s="39"/>
    </row>
    <row r="498" spans="1:14" s="12" customFormat="1" ht="18">
      <c r="A498" s="178" t="s">
        <v>80</v>
      </c>
      <c r="B498" s="75" t="s">
        <v>387</v>
      </c>
      <c r="C498" s="39" t="s">
        <v>17</v>
      </c>
      <c r="D498" s="236"/>
      <c r="E498" s="236"/>
      <c r="F498" s="236"/>
      <c r="G498" s="236"/>
      <c r="H498" s="40">
        <f>SUM(Tabla132112418[[#This Row],[PRIMER TRIMESTRE]:[CUARTO TRIMESTRE]])</f>
        <v>0</v>
      </c>
      <c r="I498" s="17">
        <v>4.1100000000000003</v>
      </c>
      <c r="J498" s="17">
        <f t="shared" si="12"/>
        <v>0</v>
      </c>
      <c r="K498" s="17"/>
      <c r="L498" s="16" t="s">
        <v>18</v>
      </c>
      <c r="M498" s="16" t="s">
        <v>22</v>
      </c>
      <c r="N498" s="39"/>
    </row>
    <row r="499" spans="1:14" s="12" customFormat="1" ht="18">
      <c r="A499" s="178" t="s">
        <v>80</v>
      </c>
      <c r="B499" s="75" t="s">
        <v>388</v>
      </c>
      <c r="C499" s="39" t="s">
        <v>17</v>
      </c>
      <c r="D499" s="236"/>
      <c r="E499" s="236"/>
      <c r="F499" s="236"/>
      <c r="G499" s="236"/>
      <c r="H499" s="40">
        <f>SUM(Tabla132112418[[#This Row],[PRIMER TRIMESTRE]:[CUARTO TRIMESTRE]])</f>
        <v>0</v>
      </c>
      <c r="I499" s="17">
        <v>5.25</v>
      </c>
      <c r="J499" s="17">
        <f t="shared" si="12"/>
        <v>0</v>
      </c>
      <c r="K499" s="17"/>
      <c r="L499" s="16" t="s">
        <v>18</v>
      </c>
      <c r="M499" s="16" t="s">
        <v>22</v>
      </c>
      <c r="N499" s="39"/>
    </row>
    <row r="500" spans="1:14" s="12" customFormat="1" ht="18">
      <c r="A500" s="178" t="s">
        <v>80</v>
      </c>
      <c r="B500" s="75" t="s">
        <v>1567</v>
      </c>
      <c r="C500" s="39" t="s">
        <v>17</v>
      </c>
      <c r="D500" s="236"/>
      <c r="E500" s="236"/>
      <c r="F500" s="236"/>
      <c r="G500" s="236"/>
      <c r="H500" s="236">
        <f>SUM(Tabla132112418[[#This Row],[PRIMER TRIMESTRE]:[CUARTO TRIMESTRE]])</f>
        <v>0</v>
      </c>
      <c r="I500" s="17">
        <v>15</v>
      </c>
      <c r="J500" s="17">
        <f t="shared" si="12"/>
        <v>0</v>
      </c>
      <c r="K500" s="17"/>
      <c r="L500" s="16" t="s">
        <v>18</v>
      </c>
      <c r="M500" s="16" t="s">
        <v>22</v>
      </c>
      <c r="N500" s="39"/>
    </row>
    <row r="501" spans="1:14" s="12" customFormat="1" ht="18">
      <c r="A501" s="178" t="s">
        <v>80</v>
      </c>
      <c r="B501" s="75" t="s">
        <v>389</v>
      </c>
      <c r="C501" s="39" t="s">
        <v>17</v>
      </c>
      <c r="D501" s="236"/>
      <c r="E501" s="236"/>
      <c r="F501" s="236"/>
      <c r="G501" s="236"/>
      <c r="H501" s="40">
        <f>SUM(Tabla132112418[[#This Row],[PRIMER TRIMESTRE]:[CUARTO TRIMESTRE]])</f>
        <v>0</v>
      </c>
      <c r="I501" s="17">
        <v>11</v>
      </c>
      <c r="J501" s="17">
        <f t="shared" si="12"/>
        <v>0</v>
      </c>
      <c r="K501" s="17"/>
      <c r="L501" s="16" t="s">
        <v>18</v>
      </c>
      <c r="M501" s="16" t="s">
        <v>22</v>
      </c>
      <c r="N501" s="39"/>
    </row>
    <row r="502" spans="1:14" s="12" customFormat="1" ht="18">
      <c r="A502" s="178" t="s">
        <v>80</v>
      </c>
      <c r="B502" s="75" t="s">
        <v>1851</v>
      </c>
      <c r="C502" s="39" t="s">
        <v>17</v>
      </c>
      <c r="D502" s="236"/>
      <c r="E502" s="236"/>
      <c r="F502" s="236"/>
      <c r="G502" s="236"/>
      <c r="H502" s="40">
        <v>0</v>
      </c>
      <c r="I502" s="17">
        <v>0</v>
      </c>
      <c r="J502" s="17">
        <v>0</v>
      </c>
      <c r="K502" s="17"/>
      <c r="L502" s="16" t="s">
        <v>18</v>
      </c>
      <c r="M502" s="16" t="s">
        <v>22</v>
      </c>
      <c r="N502" s="39"/>
    </row>
    <row r="503" spans="1:14" s="12" customFormat="1" ht="25.5">
      <c r="A503" s="178" t="s">
        <v>80</v>
      </c>
      <c r="B503" s="75" t="s">
        <v>1716</v>
      </c>
      <c r="C503" s="39" t="s">
        <v>17</v>
      </c>
      <c r="D503" s="236"/>
      <c r="E503" s="236"/>
      <c r="F503" s="236"/>
      <c r="G503" s="236"/>
      <c r="H503" s="40">
        <v>0</v>
      </c>
      <c r="I503" s="17">
        <v>0</v>
      </c>
      <c r="J503" s="17">
        <v>0</v>
      </c>
      <c r="K503" s="17"/>
      <c r="L503" s="16" t="s">
        <v>18</v>
      </c>
      <c r="M503" s="16" t="s">
        <v>22</v>
      </c>
      <c r="N503" s="39"/>
    </row>
    <row r="504" spans="1:14" s="12" customFormat="1" ht="18">
      <c r="A504" s="178" t="s">
        <v>80</v>
      </c>
      <c r="B504" s="75" t="s">
        <v>1621</v>
      </c>
      <c r="C504" s="39" t="s">
        <v>17</v>
      </c>
      <c r="D504" s="236"/>
      <c r="E504" s="236"/>
      <c r="F504" s="236"/>
      <c r="G504" s="236"/>
      <c r="H504" s="236">
        <f>SUM(Tabla132112418[[#This Row],[PRIMER TRIMESTRE]:[CUARTO TRIMESTRE]])</f>
        <v>0</v>
      </c>
      <c r="I504" s="17">
        <v>6790</v>
      </c>
      <c r="J504" s="17">
        <f t="shared" si="12"/>
        <v>0</v>
      </c>
      <c r="K504" s="17"/>
      <c r="L504" s="16" t="s">
        <v>18</v>
      </c>
      <c r="M504" s="16" t="s">
        <v>22</v>
      </c>
      <c r="N504" s="39"/>
    </row>
    <row r="505" spans="1:14" s="12" customFormat="1" ht="18">
      <c r="A505" s="178" t="s">
        <v>80</v>
      </c>
      <c r="B505" s="75" t="s">
        <v>1482</v>
      </c>
      <c r="C505" s="39" t="s">
        <v>17</v>
      </c>
      <c r="D505" s="236"/>
      <c r="E505" s="236"/>
      <c r="F505" s="236"/>
      <c r="G505" s="236"/>
      <c r="H505" s="236">
        <f>SUM(Tabla132112418[[#This Row],[PRIMER TRIMESTRE]:[CUARTO TRIMESTRE]])</f>
        <v>0</v>
      </c>
      <c r="I505" s="17">
        <v>12500</v>
      </c>
      <c r="J505" s="17">
        <f t="shared" si="12"/>
        <v>0</v>
      </c>
      <c r="K505" s="17"/>
      <c r="L505" s="16" t="s">
        <v>18</v>
      </c>
      <c r="M505" s="16" t="s">
        <v>22</v>
      </c>
      <c r="N505" s="39"/>
    </row>
    <row r="506" spans="1:14" s="12" customFormat="1" ht="18">
      <c r="A506" s="178" t="s">
        <v>80</v>
      </c>
      <c r="B506" s="75" t="s">
        <v>1483</v>
      </c>
      <c r="C506" s="39" t="s">
        <v>17</v>
      </c>
      <c r="D506" s="236"/>
      <c r="E506" s="236"/>
      <c r="F506" s="236"/>
      <c r="G506" s="236"/>
      <c r="H506" s="236">
        <f>SUM(Tabla132112418[[#This Row],[PRIMER TRIMESTRE]:[CUARTO TRIMESTRE]])</f>
        <v>0</v>
      </c>
      <c r="I506" s="17">
        <v>11430</v>
      </c>
      <c r="J506" s="17">
        <f t="shared" si="12"/>
        <v>0</v>
      </c>
      <c r="K506" s="17"/>
      <c r="L506" s="16" t="s">
        <v>18</v>
      </c>
      <c r="M506" s="16" t="s">
        <v>22</v>
      </c>
      <c r="N506" s="39"/>
    </row>
    <row r="507" spans="1:14" s="12" customFormat="1" ht="25.5">
      <c r="A507" s="178" t="s">
        <v>80</v>
      </c>
      <c r="B507" s="75" t="s">
        <v>1484</v>
      </c>
      <c r="C507" s="39" t="s">
        <v>17</v>
      </c>
      <c r="D507" s="236"/>
      <c r="E507" s="236"/>
      <c r="F507" s="236"/>
      <c r="G507" s="236"/>
      <c r="H507" s="236">
        <f>SUM(Tabla132112418[[#This Row],[PRIMER TRIMESTRE]:[CUARTO TRIMESTRE]])</f>
        <v>0</v>
      </c>
      <c r="I507" s="17">
        <v>18242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</row>
    <row r="508" spans="1:14" s="12" customFormat="1" ht="25.5">
      <c r="A508" s="178" t="s">
        <v>80</v>
      </c>
      <c r="B508" s="75" t="s">
        <v>1485</v>
      </c>
      <c r="C508" s="39" t="s">
        <v>17</v>
      </c>
      <c r="D508" s="236"/>
      <c r="E508" s="236"/>
      <c r="F508" s="236"/>
      <c r="G508" s="236"/>
      <c r="H508" s="236">
        <f>SUM(Tabla132112418[[#This Row],[PRIMER TRIMESTRE]:[CUARTO TRIMESTRE]])</f>
        <v>0</v>
      </c>
      <c r="I508" s="17">
        <v>17900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</row>
    <row r="509" spans="1:14" s="12" customFormat="1" ht="18">
      <c r="A509" s="178" t="s">
        <v>80</v>
      </c>
      <c r="B509" s="75" t="s">
        <v>1486</v>
      </c>
      <c r="C509" s="39" t="s">
        <v>17</v>
      </c>
      <c r="D509" s="236"/>
      <c r="E509" s="236"/>
      <c r="F509" s="236"/>
      <c r="G509" s="236"/>
      <c r="H509" s="236">
        <f>SUM(Tabla132112418[[#This Row],[PRIMER TRIMESTRE]:[CUARTO TRIMESTRE]])</f>
        <v>0</v>
      </c>
      <c r="I509" s="17">
        <v>16800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</row>
    <row r="510" spans="1:14" s="12" customFormat="1" ht="25.5">
      <c r="A510" s="178" t="s">
        <v>80</v>
      </c>
      <c r="B510" s="75" t="s">
        <v>1487</v>
      </c>
      <c r="C510" s="39" t="s">
        <v>17</v>
      </c>
      <c r="D510" s="236"/>
      <c r="E510" s="236"/>
      <c r="F510" s="236"/>
      <c r="G510" s="236"/>
      <c r="H510" s="236">
        <f>SUM(Tabla132112418[[#This Row],[PRIMER TRIMESTRE]:[CUARTO TRIMESTRE]])</f>
        <v>0</v>
      </c>
      <c r="I510" s="17">
        <v>12500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</row>
    <row r="511" spans="1:14" s="12" customFormat="1" ht="25.5">
      <c r="A511" s="178" t="s">
        <v>80</v>
      </c>
      <c r="B511" s="75" t="s">
        <v>1488</v>
      </c>
      <c r="C511" s="39" t="s">
        <v>17</v>
      </c>
      <c r="D511" s="236"/>
      <c r="E511" s="236"/>
      <c r="F511" s="236"/>
      <c r="G511" s="236"/>
      <c r="H511" s="236">
        <f>SUM(Tabla132112418[[#This Row],[PRIMER TRIMESTRE]:[CUARTO TRIMESTRE]])</f>
        <v>0</v>
      </c>
      <c r="I511" s="17">
        <v>31500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</row>
    <row r="512" spans="1:14" s="12" customFormat="1" ht="25.5">
      <c r="A512" s="178" t="s">
        <v>1852</v>
      </c>
      <c r="B512" s="75" t="s">
        <v>1489</v>
      </c>
      <c r="C512" s="39" t="s">
        <v>17</v>
      </c>
      <c r="D512" s="236"/>
      <c r="E512" s="236"/>
      <c r="F512" s="236"/>
      <c r="G512" s="236"/>
      <c r="H512" s="40">
        <v>0</v>
      </c>
      <c r="I512" s="17">
        <v>0</v>
      </c>
      <c r="J512" s="17">
        <v>0</v>
      </c>
      <c r="K512" s="17"/>
      <c r="L512" s="16" t="s">
        <v>18</v>
      </c>
      <c r="M512" s="16" t="s">
        <v>22</v>
      </c>
      <c r="N512" s="39"/>
    </row>
    <row r="513" spans="1:14" s="12" customFormat="1" ht="25.5">
      <c r="A513" s="178" t="s">
        <v>80</v>
      </c>
      <c r="B513" s="75" t="s">
        <v>1489</v>
      </c>
      <c r="C513" s="39" t="s">
        <v>17</v>
      </c>
      <c r="D513" s="236"/>
      <c r="E513" s="236"/>
      <c r="F513" s="236"/>
      <c r="G513" s="236"/>
      <c r="H513" s="236">
        <f>SUM(Tabla132112418[[#This Row],[PRIMER TRIMESTRE]:[CUARTO TRIMESTRE]])</f>
        <v>0</v>
      </c>
      <c r="I513" s="17">
        <v>48500</v>
      </c>
      <c r="J513" s="17">
        <f t="shared" si="12"/>
        <v>0</v>
      </c>
      <c r="K513" s="17"/>
      <c r="L513" s="16" t="s">
        <v>18</v>
      </c>
      <c r="M513" s="16" t="s">
        <v>22</v>
      </c>
      <c r="N513" s="39"/>
    </row>
    <row r="514" spans="1:14" s="12" customFormat="1" ht="25.5">
      <c r="A514" s="178" t="s">
        <v>80</v>
      </c>
      <c r="B514" s="75" t="s">
        <v>1490</v>
      </c>
      <c r="C514" s="39" t="s">
        <v>17</v>
      </c>
      <c r="D514" s="236"/>
      <c r="E514" s="236"/>
      <c r="F514" s="236"/>
      <c r="G514" s="236"/>
      <c r="H514" s="236">
        <f>SUM(Tabla132112418[[#This Row],[PRIMER TRIMESTRE]:[CUARTO TRIMESTRE]])</f>
        <v>0</v>
      </c>
      <c r="I514" s="17">
        <v>22260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</row>
    <row r="515" spans="1:14" s="12" customFormat="1" ht="25.5">
      <c r="A515" s="178" t="s">
        <v>80</v>
      </c>
      <c r="B515" s="75" t="s">
        <v>1491</v>
      </c>
      <c r="C515" s="39" t="s">
        <v>17</v>
      </c>
      <c r="D515" s="236"/>
      <c r="E515" s="236"/>
      <c r="F515" s="236"/>
      <c r="G515" s="236"/>
      <c r="H515" s="236">
        <f>SUM(Tabla132112418[[#This Row],[PRIMER TRIMESTRE]:[CUARTO TRIMESTRE]])</f>
        <v>0</v>
      </c>
      <c r="I515" s="17">
        <v>25500</v>
      </c>
      <c r="J515" s="17">
        <f t="shared" si="12"/>
        <v>0</v>
      </c>
      <c r="K515" s="17"/>
      <c r="L515" s="16" t="s">
        <v>18</v>
      </c>
      <c r="M515" s="16" t="s">
        <v>22</v>
      </c>
      <c r="N515" s="39"/>
    </row>
    <row r="516" spans="1:14" s="12" customFormat="1" ht="25.5">
      <c r="A516" s="178" t="s">
        <v>80</v>
      </c>
      <c r="B516" s="75" t="s">
        <v>1492</v>
      </c>
      <c r="C516" s="39" t="s">
        <v>17</v>
      </c>
      <c r="D516" s="236"/>
      <c r="E516" s="236"/>
      <c r="F516" s="236"/>
      <c r="G516" s="236"/>
      <c r="H516" s="236">
        <f>SUM(Tabla132112418[[#This Row],[PRIMER TRIMESTRE]:[CUARTO TRIMESTRE]])</f>
        <v>0</v>
      </c>
      <c r="I516" s="17">
        <v>22600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</row>
    <row r="517" spans="1:14" s="12" customFormat="1" ht="25.5">
      <c r="A517" s="178" t="s">
        <v>80</v>
      </c>
      <c r="B517" s="75" t="s">
        <v>1493</v>
      </c>
      <c r="C517" s="39" t="s">
        <v>17</v>
      </c>
      <c r="D517" s="236"/>
      <c r="E517" s="236"/>
      <c r="F517" s="236"/>
      <c r="G517" s="236"/>
      <c r="H517" s="236">
        <f>SUM(Tabla132112418[[#This Row],[PRIMER TRIMESTRE]:[CUARTO TRIMESTRE]])</f>
        <v>0</v>
      </c>
      <c r="I517" s="17">
        <v>22350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</row>
    <row r="518" spans="1:14" s="12" customFormat="1" ht="38.25">
      <c r="A518" s="178" t="s">
        <v>80</v>
      </c>
      <c r="B518" s="75" t="s">
        <v>1494</v>
      </c>
      <c r="C518" s="39" t="s">
        <v>17</v>
      </c>
      <c r="D518" s="236"/>
      <c r="E518" s="236"/>
      <c r="F518" s="236"/>
      <c r="G518" s="236"/>
      <c r="H518" s="236">
        <f>SUM(Tabla132112418[[#This Row],[PRIMER TRIMESTRE]:[CUARTO TRIMESTRE]])</f>
        <v>0</v>
      </c>
      <c r="I518" s="17">
        <v>49500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</row>
    <row r="519" spans="1:14" s="12" customFormat="1" ht="38.25">
      <c r="A519" s="178" t="s">
        <v>80</v>
      </c>
      <c r="B519" s="75" t="s">
        <v>1495</v>
      </c>
      <c r="C519" s="39" t="s">
        <v>17</v>
      </c>
      <c r="D519" s="236"/>
      <c r="E519" s="236"/>
      <c r="F519" s="236"/>
      <c r="G519" s="236"/>
      <c r="H519" s="236">
        <f>SUM(Tabla132112418[[#This Row],[PRIMER TRIMESTRE]:[CUARTO TRIMESTRE]])</f>
        <v>0</v>
      </c>
      <c r="I519" s="17">
        <v>11200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</row>
    <row r="520" spans="1:14" s="12" customFormat="1" ht="38.25">
      <c r="A520" s="178" t="s">
        <v>80</v>
      </c>
      <c r="B520" s="75" t="s">
        <v>1496</v>
      </c>
      <c r="C520" s="39" t="s">
        <v>17</v>
      </c>
      <c r="D520" s="236"/>
      <c r="E520" s="236"/>
      <c r="F520" s="236"/>
      <c r="G520" s="236"/>
      <c r="H520" s="236">
        <f>SUM(Tabla132112418[[#This Row],[PRIMER TRIMESTRE]:[CUARTO TRIMESTRE]])</f>
        <v>0</v>
      </c>
      <c r="I520" s="17">
        <v>88000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</row>
    <row r="521" spans="1:14" s="12" customFormat="1" ht="25.5">
      <c r="A521" s="178" t="s">
        <v>80</v>
      </c>
      <c r="B521" s="75" t="s">
        <v>1497</v>
      </c>
      <c r="C521" s="39" t="s">
        <v>17</v>
      </c>
      <c r="D521" s="236"/>
      <c r="E521" s="236"/>
      <c r="F521" s="236"/>
      <c r="G521" s="236"/>
      <c r="H521" s="236">
        <f>SUM(Tabla132112418[[#This Row],[PRIMER TRIMESTRE]:[CUARTO TRIMESTRE]])</f>
        <v>0</v>
      </c>
      <c r="I521" s="17">
        <v>26500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</row>
    <row r="522" spans="1:14" s="12" customFormat="1" ht="25.5">
      <c r="A522" s="178" t="s">
        <v>80</v>
      </c>
      <c r="B522" s="75" t="s">
        <v>1498</v>
      </c>
      <c r="C522" s="39" t="s">
        <v>17</v>
      </c>
      <c r="D522" s="236"/>
      <c r="E522" s="236"/>
      <c r="F522" s="236"/>
      <c r="G522" s="236"/>
      <c r="H522" s="236">
        <f>SUM(Tabla132112418[[#This Row],[PRIMER TRIMESTRE]:[CUARTO TRIMESTRE]])</f>
        <v>0</v>
      </c>
      <c r="I522" s="17">
        <v>48500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</row>
    <row r="523" spans="1:14" s="12" customFormat="1" ht="18">
      <c r="A523" s="178" t="s">
        <v>80</v>
      </c>
      <c r="B523" s="75" t="s">
        <v>1499</v>
      </c>
      <c r="C523" s="39" t="s">
        <v>17</v>
      </c>
      <c r="D523" s="236"/>
      <c r="E523" s="236"/>
      <c r="F523" s="236"/>
      <c r="G523" s="236"/>
      <c r="H523" s="236">
        <f>SUM(Tabla132112418[[#This Row],[PRIMER TRIMESTRE]:[CUARTO TRIMESTRE]])</f>
        <v>0</v>
      </c>
      <c r="I523" s="17">
        <v>26500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</row>
    <row r="524" spans="1:14" s="12" customFormat="1" ht="25.5">
      <c r="A524" s="178" t="s">
        <v>80</v>
      </c>
      <c r="B524" s="75" t="s">
        <v>1500</v>
      </c>
      <c r="C524" s="39" t="s">
        <v>17</v>
      </c>
      <c r="D524" s="236"/>
      <c r="E524" s="236"/>
      <c r="F524" s="236"/>
      <c r="G524" s="236"/>
      <c r="H524" s="236">
        <f>SUM(Tabla132112418[[#This Row],[PRIMER TRIMESTRE]:[CUARTO TRIMESTRE]])</f>
        <v>0</v>
      </c>
      <c r="I524" s="17">
        <v>22700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</row>
    <row r="525" spans="1:14" s="12" customFormat="1" ht="25.5">
      <c r="A525" s="178" t="s">
        <v>80</v>
      </c>
      <c r="B525" s="75" t="s">
        <v>1501</v>
      </c>
      <c r="C525" s="39" t="s">
        <v>17</v>
      </c>
      <c r="D525" s="236"/>
      <c r="E525" s="236"/>
      <c r="F525" s="236"/>
      <c r="G525" s="236"/>
      <c r="H525" s="236">
        <f>SUM(Tabla132112418[[#This Row],[PRIMER TRIMESTRE]:[CUARTO TRIMESTRE]])</f>
        <v>0</v>
      </c>
      <c r="I525" s="17">
        <v>3220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</row>
    <row r="526" spans="1:14" s="12" customFormat="1" ht="18">
      <c r="A526" s="178" t="s">
        <v>80</v>
      </c>
      <c r="B526" s="75" t="s">
        <v>1534</v>
      </c>
      <c r="C526" s="39" t="s">
        <v>17</v>
      </c>
      <c r="D526" s="236"/>
      <c r="E526" s="236"/>
      <c r="F526" s="236"/>
      <c r="G526" s="236"/>
      <c r="H526" s="236">
        <f>SUM(Tabla132112418[[#This Row],[PRIMER TRIMESTRE]:[CUARTO TRIMESTRE]])</f>
        <v>0</v>
      </c>
      <c r="I526" s="17">
        <v>2380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</row>
    <row r="527" spans="1:14" s="12" customFormat="1" ht="25.5">
      <c r="A527" s="178" t="s">
        <v>80</v>
      </c>
      <c r="B527" s="75" t="s">
        <v>1682</v>
      </c>
      <c r="C527" s="39" t="s">
        <v>17</v>
      </c>
      <c r="D527" s="236"/>
      <c r="E527" s="236"/>
      <c r="F527" s="236"/>
      <c r="G527" s="236"/>
      <c r="H527" s="40">
        <v>0</v>
      </c>
      <c r="I527" s="17">
        <v>0</v>
      </c>
      <c r="J527" s="17">
        <v>0</v>
      </c>
      <c r="K527" s="17"/>
      <c r="L527" s="16" t="s">
        <v>18</v>
      </c>
      <c r="M527" s="16" t="s">
        <v>22</v>
      </c>
      <c r="N527" s="39"/>
    </row>
    <row r="528" spans="1:14" s="12" customFormat="1" ht="38.25">
      <c r="A528" s="178" t="s">
        <v>80</v>
      </c>
      <c r="B528" s="75" t="s">
        <v>1502</v>
      </c>
      <c r="C528" s="39" t="s">
        <v>17</v>
      </c>
      <c r="D528" s="236"/>
      <c r="E528" s="236"/>
      <c r="F528" s="236"/>
      <c r="G528" s="236"/>
      <c r="H528" s="236">
        <f>SUM(Tabla132112418[[#This Row],[PRIMER TRIMESTRE]:[CUARTO TRIMESTRE]])</f>
        <v>0</v>
      </c>
      <c r="I528" s="17">
        <v>34440</v>
      </c>
      <c r="J528" s="17">
        <f t="shared" si="12"/>
        <v>0</v>
      </c>
      <c r="K528" s="17"/>
      <c r="L528" s="16" t="s">
        <v>18</v>
      </c>
      <c r="M528" s="16" t="s">
        <v>22</v>
      </c>
      <c r="N528" s="39"/>
    </row>
    <row r="529" spans="1:14" s="12" customFormat="1" ht="25.5">
      <c r="A529" s="178" t="s">
        <v>80</v>
      </c>
      <c r="B529" s="75" t="s">
        <v>1503</v>
      </c>
      <c r="C529" s="39" t="s">
        <v>17</v>
      </c>
      <c r="D529" s="236"/>
      <c r="E529" s="236"/>
      <c r="F529" s="236"/>
      <c r="G529" s="236"/>
      <c r="H529" s="236">
        <f>SUM(Tabla132112418[[#This Row],[PRIMER TRIMESTRE]:[CUARTO TRIMESTRE]])</f>
        <v>0</v>
      </c>
      <c r="I529" s="17">
        <v>2600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</row>
    <row r="530" spans="1:14" s="12" customFormat="1" ht="18">
      <c r="A530" s="178" t="s">
        <v>80</v>
      </c>
      <c r="B530" s="75" t="s">
        <v>1504</v>
      </c>
      <c r="C530" s="39" t="s">
        <v>17</v>
      </c>
      <c r="D530" s="236"/>
      <c r="E530" s="236"/>
      <c r="F530" s="236"/>
      <c r="G530" s="236"/>
      <c r="H530" s="236">
        <f>SUM(Tabla132112418[[#This Row],[PRIMER TRIMESTRE]:[CUARTO TRIMESTRE]])</f>
        <v>0</v>
      </c>
      <c r="I530" s="17">
        <v>14280</v>
      </c>
      <c r="J530" s="17">
        <f t="shared" si="12"/>
        <v>0</v>
      </c>
      <c r="K530" s="17"/>
      <c r="L530" s="16" t="s">
        <v>18</v>
      </c>
      <c r="M530" s="16" t="s">
        <v>22</v>
      </c>
      <c r="N530" s="39"/>
    </row>
    <row r="531" spans="1:14" s="12" customFormat="1" ht="25.5">
      <c r="A531" s="178" t="s">
        <v>80</v>
      </c>
      <c r="B531" s="75" t="s">
        <v>1505</v>
      </c>
      <c r="C531" s="39" t="s">
        <v>17</v>
      </c>
      <c r="D531" s="236"/>
      <c r="E531" s="236"/>
      <c r="F531" s="236"/>
      <c r="G531" s="236"/>
      <c r="H531" s="236">
        <f>SUM(Tabla132112418[[#This Row],[PRIMER TRIMESTRE]:[CUARTO TRIMESTRE]])</f>
        <v>0</v>
      </c>
      <c r="I531" s="17">
        <v>15708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</row>
    <row r="532" spans="1:14" s="12" customFormat="1" ht="38.25">
      <c r="A532" s="178" t="s">
        <v>80</v>
      </c>
      <c r="B532" s="75" t="s">
        <v>1506</v>
      </c>
      <c r="C532" s="39" t="s">
        <v>17</v>
      </c>
      <c r="D532" s="236"/>
      <c r="E532" s="236"/>
      <c r="F532" s="236"/>
      <c r="G532" s="236"/>
      <c r="H532" s="236">
        <f>SUM(Tabla132112418[[#This Row],[PRIMER TRIMESTRE]:[CUARTO TRIMESTRE]])</f>
        <v>0</v>
      </c>
      <c r="I532" s="17">
        <v>29481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</row>
    <row r="533" spans="1:14" s="12" customFormat="1" ht="38.25">
      <c r="A533" s="178" t="s">
        <v>80</v>
      </c>
      <c r="B533" s="75" t="s">
        <v>1507</v>
      </c>
      <c r="C533" s="39" t="s">
        <v>17</v>
      </c>
      <c r="D533" s="236"/>
      <c r="E533" s="236"/>
      <c r="F533" s="236"/>
      <c r="G533" s="236"/>
      <c r="H533" s="236">
        <f>SUM(Tabla132112418[[#This Row],[PRIMER TRIMESTRE]:[CUARTO TRIMESTRE]])</f>
        <v>0</v>
      </c>
      <c r="I533" s="17">
        <v>29000</v>
      </c>
      <c r="J533" s="17">
        <f t="shared" si="12"/>
        <v>0</v>
      </c>
      <c r="K533" s="17"/>
      <c r="L533" s="16" t="s">
        <v>18</v>
      </c>
      <c r="M533" s="16" t="s">
        <v>22</v>
      </c>
      <c r="N533" s="39"/>
    </row>
    <row r="534" spans="1:14" s="12" customFormat="1" ht="38.25">
      <c r="A534" s="178" t="s">
        <v>80</v>
      </c>
      <c r="B534" s="75" t="s">
        <v>1592</v>
      </c>
      <c r="C534" s="39" t="s">
        <v>17</v>
      </c>
      <c r="D534" s="236"/>
      <c r="E534" s="236"/>
      <c r="F534" s="236"/>
      <c r="G534" s="236"/>
      <c r="H534" s="236">
        <f>SUM(Tabla132112418[[#This Row],[PRIMER TRIMESTRE]:[CUARTO TRIMESTRE]])</f>
        <v>0</v>
      </c>
      <c r="I534" s="17">
        <v>52242</v>
      </c>
      <c r="J534" s="17">
        <f t="shared" si="12"/>
        <v>0</v>
      </c>
      <c r="K534" s="17"/>
      <c r="L534" s="16" t="s">
        <v>18</v>
      </c>
      <c r="M534" s="16" t="s">
        <v>22</v>
      </c>
      <c r="N534" s="39"/>
    </row>
    <row r="535" spans="1:14" s="12" customFormat="1" ht="18">
      <c r="A535" s="178" t="s">
        <v>80</v>
      </c>
      <c r="B535" s="75" t="s">
        <v>1552</v>
      </c>
      <c r="C535" s="39" t="s">
        <v>17</v>
      </c>
      <c r="D535" s="236"/>
      <c r="E535" s="236"/>
      <c r="F535" s="236"/>
      <c r="G535" s="236"/>
      <c r="H535" s="236">
        <f>SUM(Tabla132112418[[#This Row],[PRIMER TRIMESTRE]:[CUARTO TRIMESTRE]])</f>
        <v>0</v>
      </c>
      <c r="I535" s="17">
        <v>28.8</v>
      </c>
      <c r="J535" s="17">
        <f t="shared" si="12"/>
        <v>0</v>
      </c>
      <c r="K535" s="17"/>
      <c r="L535" s="16" t="s">
        <v>18</v>
      </c>
      <c r="M535" s="16" t="s">
        <v>22</v>
      </c>
      <c r="N535" s="39"/>
    </row>
    <row r="536" spans="1:14" s="12" customFormat="1" ht="25.5">
      <c r="A536" s="178" t="s">
        <v>80</v>
      </c>
      <c r="B536" s="75" t="s">
        <v>663</v>
      </c>
      <c r="C536" s="39" t="s">
        <v>17</v>
      </c>
      <c r="D536" s="236"/>
      <c r="E536" s="236"/>
      <c r="F536" s="236"/>
      <c r="G536" s="236"/>
      <c r="H536" s="40">
        <f>SUM(Tabla132112418[[#This Row],[PRIMER TRIMESTRE]:[CUARTO TRIMESTRE]])</f>
        <v>0</v>
      </c>
      <c r="I536" s="72">
        <v>15930</v>
      </c>
      <c r="J536" s="17">
        <f t="shared" si="12"/>
        <v>0</v>
      </c>
      <c r="K536" s="17"/>
      <c r="L536" s="16" t="s">
        <v>18</v>
      </c>
      <c r="M536" s="16" t="s">
        <v>22</v>
      </c>
      <c r="N536" s="39"/>
    </row>
    <row r="537" spans="1:14" s="12" customFormat="1" ht="25.5">
      <c r="A537" s="178" t="s">
        <v>80</v>
      </c>
      <c r="B537" s="75" t="s">
        <v>662</v>
      </c>
      <c r="C537" s="39" t="s">
        <v>17</v>
      </c>
      <c r="D537" s="236"/>
      <c r="E537" s="236"/>
      <c r="F537" s="236"/>
      <c r="G537" s="236"/>
      <c r="H537" s="40">
        <f>SUM(Tabla132112418[[#This Row],[PRIMER TRIMESTRE]:[CUARTO TRIMESTRE]])</f>
        <v>0</v>
      </c>
      <c r="I537" s="72">
        <f>15500*1.18</f>
        <v>18290</v>
      </c>
      <c r="J537" s="17">
        <f t="shared" si="12"/>
        <v>0</v>
      </c>
      <c r="K537" s="17"/>
      <c r="L537" s="16" t="s">
        <v>18</v>
      </c>
      <c r="M537" s="16" t="s">
        <v>22</v>
      </c>
      <c r="N537" s="39"/>
    </row>
    <row r="538" spans="1:14" s="12" customFormat="1" ht="25.5">
      <c r="A538" s="178" t="s">
        <v>80</v>
      </c>
      <c r="B538" s="75" t="s">
        <v>664</v>
      </c>
      <c r="C538" s="39" t="s">
        <v>17</v>
      </c>
      <c r="D538" s="236"/>
      <c r="E538" s="236"/>
      <c r="F538" s="236"/>
      <c r="G538" s="236"/>
      <c r="H538" s="40">
        <f>SUM(Tabla132112418[[#This Row],[PRIMER TRIMESTRE]:[CUARTO TRIMESTRE]])</f>
        <v>0</v>
      </c>
      <c r="I538" s="72">
        <f>18500*1.18</f>
        <v>21830</v>
      </c>
      <c r="J538" s="17">
        <f t="shared" si="12"/>
        <v>0</v>
      </c>
      <c r="K538" s="17"/>
      <c r="L538" s="16" t="s">
        <v>18</v>
      </c>
      <c r="M538" s="16" t="s">
        <v>22</v>
      </c>
      <c r="N538" s="39"/>
    </row>
    <row r="539" spans="1:14" s="12" customFormat="1" ht="38.25">
      <c r="A539" s="178" t="s">
        <v>80</v>
      </c>
      <c r="B539" s="75" t="s">
        <v>672</v>
      </c>
      <c r="C539" s="39" t="s">
        <v>17</v>
      </c>
      <c r="D539" s="236"/>
      <c r="E539" s="236"/>
      <c r="F539" s="236"/>
      <c r="G539" s="236"/>
      <c r="H539" s="40">
        <f>SUM(Tabla132112418[[#This Row],[PRIMER TRIMESTRE]:[CUARTO TRIMESTRE]])</f>
        <v>0</v>
      </c>
      <c r="I539" s="72">
        <f>13800*1.18</f>
        <v>16284</v>
      </c>
      <c r="J539" s="17">
        <f t="shared" si="12"/>
        <v>0</v>
      </c>
      <c r="K539" s="17"/>
      <c r="L539" s="16" t="s">
        <v>18</v>
      </c>
      <c r="M539" s="16" t="s">
        <v>22</v>
      </c>
      <c r="N539" s="39"/>
    </row>
    <row r="540" spans="1:14" s="12" customFormat="1" ht="38.25">
      <c r="A540" s="178" t="s">
        <v>80</v>
      </c>
      <c r="B540" s="75" t="s">
        <v>665</v>
      </c>
      <c r="C540" s="39" t="s">
        <v>17</v>
      </c>
      <c r="D540" s="236"/>
      <c r="E540" s="236"/>
      <c r="F540" s="236"/>
      <c r="G540" s="236"/>
      <c r="H540" s="40">
        <f>SUM(Tabla132112418[[#This Row],[PRIMER TRIMESTRE]:[CUARTO TRIMESTRE]])</f>
        <v>0</v>
      </c>
      <c r="I540" s="17">
        <f>15950*1.18</f>
        <v>18821</v>
      </c>
      <c r="J540" s="17">
        <f t="shared" si="12"/>
        <v>0</v>
      </c>
      <c r="K540" s="17"/>
      <c r="L540" s="16" t="s">
        <v>18</v>
      </c>
      <c r="M540" s="16" t="s">
        <v>22</v>
      </c>
      <c r="N540" s="39"/>
    </row>
    <row r="541" spans="1:14" s="12" customFormat="1" ht="38.25">
      <c r="A541" s="178" t="s">
        <v>80</v>
      </c>
      <c r="B541" s="75" t="s">
        <v>666</v>
      </c>
      <c r="C541" s="39" t="s">
        <v>17</v>
      </c>
      <c r="D541" s="236"/>
      <c r="E541" s="236"/>
      <c r="F541" s="236"/>
      <c r="G541" s="236"/>
      <c r="H541" s="40">
        <f>SUM(Tabla132112418[[#This Row],[PRIMER TRIMESTRE]:[CUARTO TRIMESTRE]])</f>
        <v>0</v>
      </c>
      <c r="I541" s="17">
        <f>18950*1.18</f>
        <v>22361</v>
      </c>
      <c r="J541" s="17">
        <f t="shared" si="12"/>
        <v>0</v>
      </c>
      <c r="K541" s="17"/>
      <c r="L541" s="16" t="s">
        <v>18</v>
      </c>
      <c r="M541" s="16" t="s">
        <v>22</v>
      </c>
      <c r="N541" s="39"/>
    </row>
    <row r="542" spans="1:14" s="12" customFormat="1" ht="38.25">
      <c r="A542" s="178" t="s">
        <v>80</v>
      </c>
      <c r="B542" s="75" t="s">
        <v>667</v>
      </c>
      <c r="C542" s="39" t="s">
        <v>17</v>
      </c>
      <c r="D542" s="236"/>
      <c r="E542" s="236"/>
      <c r="F542" s="236"/>
      <c r="G542" s="236"/>
      <c r="H542" s="40">
        <f>SUM(Tabla132112418[[#This Row],[PRIMER TRIMESTRE]:[CUARTO TRIMESTRE]])</f>
        <v>0</v>
      </c>
      <c r="I542" s="17">
        <f>23500*1.18</f>
        <v>27730</v>
      </c>
      <c r="J542" s="17">
        <f t="shared" si="12"/>
        <v>0</v>
      </c>
      <c r="K542" s="17"/>
      <c r="L542" s="16" t="s">
        <v>18</v>
      </c>
      <c r="M542" s="16" t="s">
        <v>22</v>
      </c>
      <c r="N542" s="39"/>
    </row>
    <row r="543" spans="1:14" s="12" customFormat="1" ht="38.25">
      <c r="A543" s="178" t="s">
        <v>80</v>
      </c>
      <c r="B543" s="75" t="s">
        <v>668</v>
      </c>
      <c r="C543" s="39" t="s">
        <v>17</v>
      </c>
      <c r="D543" s="236"/>
      <c r="E543" s="236"/>
      <c r="F543" s="236"/>
      <c r="G543" s="236"/>
      <c r="H543" s="40">
        <f>SUM(Tabla132112418[[#This Row],[PRIMER TRIMESTRE]:[CUARTO TRIMESTRE]])</f>
        <v>0</v>
      </c>
      <c r="I543" s="17">
        <f>32800*1.18</f>
        <v>38704</v>
      </c>
      <c r="J543" s="17">
        <f t="shared" si="12"/>
        <v>0</v>
      </c>
      <c r="K543" s="17"/>
      <c r="L543" s="16" t="s">
        <v>18</v>
      </c>
      <c r="M543" s="16" t="s">
        <v>22</v>
      </c>
      <c r="N543" s="39"/>
    </row>
    <row r="544" spans="1:14" s="12" customFormat="1" ht="38.25">
      <c r="A544" s="178" t="s">
        <v>80</v>
      </c>
      <c r="B544" s="75" t="s">
        <v>669</v>
      </c>
      <c r="C544" s="39" t="s">
        <v>17</v>
      </c>
      <c r="D544" s="236"/>
      <c r="E544" s="236"/>
      <c r="F544" s="236"/>
      <c r="G544" s="236"/>
      <c r="H544" s="40">
        <f>SUM(Tabla132112418[[#This Row],[PRIMER TRIMESTRE]:[CUARTO TRIMESTRE]])</f>
        <v>0</v>
      </c>
      <c r="I544" s="17">
        <f>56500*1.18</f>
        <v>66670</v>
      </c>
      <c r="J544" s="17">
        <f t="shared" si="12"/>
        <v>0</v>
      </c>
      <c r="K544" s="17"/>
      <c r="L544" s="16" t="s">
        <v>18</v>
      </c>
      <c r="M544" s="16" t="s">
        <v>22</v>
      </c>
      <c r="N544" s="39"/>
    </row>
    <row r="545" spans="1:14" s="12" customFormat="1" ht="38.25">
      <c r="A545" s="178" t="s">
        <v>80</v>
      </c>
      <c r="B545" s="75" t="s">
        <v>670</v>
      </c>
      <c r="C545" s="39" t="s">
        <v>17</v>
      </c>
      <c r="D545" s="236"/>
      <c r="E545" s="236"/>
      <c r="F545" s="236"/>
      <c r="G545" s="236"/>
      <c r="H545" s="40">
        <f>SUM(Tabla132112418[[#This Row],[PRIMER TRIMESTRE]:[CUARTO TRIMESTRE]])</f>
        <v>0</v>
      </c>
      <c r="I545" s="17">
        <f>74000*1.18</f>
        <v>87320</v>
      </c>
      <c r="J545" s="17">
        <f t="shared" si="12"/>
        <v>0</v>
      </c>
      <c r="K545" s="17"/>
      <c r="L545" s="16" t="s">
        <v>18</v>
      </c>
      <c r="M545" s="16" t="s">
        <v>22</v>
      </c>
      <c r="N545" s="39"/>
    </row>
    <row r="546" spans="1:14" s="12" customFormat="1" ht="38.25">
      <c r="A546" s="178" t="s">
        <v>80</v>
      </c>
      <c r="B546" s="75" t="s">
        <v>671</v>
      </c>
      <c r="C546" s="39" t="s">
        <v>17</v>
      </c>
      <c r="D546" s="236"/>
      <c r="E546" s="236"/>
      <c r="F546" s="236"/>
      <c r="G546" s="236"/>
      <c r="H546" s="40">
        <f>SUM(Tabla132112418[[#This Row],[PRIMER TRIMESTRE]:[CUARTO TRIMESTRE]])</f>
        <v>0</v>
      </c>
      <c r="I546" s="17">
        <f>245000*1.18</f>
        <v>289100</v>
      </c>
      <c r="J546" s="17">
        <f t="shared" si="12"/>
        <v>0</v>
      </c>
      <c r="K546" s="17"/>
      <c r="L546" s="16" t="s">
        <v>18</v>
      </c>
      <c r="M546" s="16" t="s">
        <v>22</v>
      </c>
      <c r="N546" s="39"/>
    </row>
    <row r="547" spans="1:14" s="12" customFormat="1" ht="38.25">
      <c r="A547" s="178" t="s">
        <v>80</v>
      </c>
      <c r="B547" s="75" t="s">
        <v>676</v>
      </c>
      <c r="C547" s="39" t="s">
        <v>17</v>
      </c>
      <c r="D547" s="236"/>
      <c r="E547" s="236"/>
      <c r="F547" s="236"/>
      <c r="G547" s="236"/>
      <c r="H547" s="40">
        <f>SUM(Tabla132112418[[#This Row],[PRIMER TRIMESTRE]:[CUARTO TRIMESTRE]])</f>
        <v>0</v>
      </c>
      <c r="I547" s="17">
        <v>40200</v>
      </c>
      <c r="J547" s="17">
        <f t="shared" si="12"/>
        <v>0</v>
      </c>
      <c r="K547" s="17"/>
      <c r="L547" s="16" t="s">
        <v>18</v>
      </c>
      <c r="M547" s="16" t="s">
        <v>22</v>
      </c>
      <c r="N547" s="39"/>
    </row>
    <row r="548" spans="1:14" s="12" customFormat="1" ht="38.25">
      <c r="A548" s="178" t="s">
        <v>80</v>
      </c>
      <c r="B548" s="75" t="s">
        <v>677</v>
      </c>
      <c r="C548" s="39" t="s">
        <v>17</v>
      </c>
      <c r="D548" s="236"/>
      <c r="E548" s="236"/>
      <c r="F548" s="236"/>
      <c r="G548" s="236"/>
      <c r="H548" s="40">
        <f>SUM(Tabla132112418[[#This Row],[PRIMER TRIMESTRE]:[CUARTO TRIMESTRE]])</f>
        <v>0</v>
      </c>
      <c r="I548" s="17">
        <v>49500</v>
      </c>
      <c r="J548" s="17">
        <f t="shared" si="12"/>
        <v>0</v>
      </c>
      <c r="K548" s="17"/>
      <c r="L548" s="16" t="s">
        <v>18</v>
      </c>
      <c r="M548" s="16" t="s">
        <v>22</v>
      </c>
      <c r="N548" s="39"/>
    </row>
    <row r="549" spans="1:14" s="12" customFormat="1" ht="38.25">
      <c r="A549" s="178" t="s">
        <v>80</v>
      </c>
      <c r="B549" s="75" t="s">
        <v>678</v>
      </c>
      <c r="C549" s="39" t="s">
        <v>17</v>
      </c>
      <c r="D549" s="236"/>
      <c r="E549" s="236"/>
      <c r="F549" s="236"/>
      <c r="G549" s="236"/>
      <c r="H549" s="40">
        <f>SUM(Tabla132112418[[#This Row],[PRIMER TRIMESTRE]:[CUARTO TRIMESTRE]])</f>
        <v>0</v>
      </c>
      <c r="I549" s="17">
        <v>73250</v>
      </c>
      <c r="J549" s="17">
        <f t="shared" si="12"/>
        <v>0</v>
      </c>
      <c r="K549" s="17"/>
      <c r="L549" s="16" t="s">
        <v>18</v>
      </c>
      <c r="M549" s="16" t="s">
        <v>22</v>
      </c>
      <c r="N549" s="39"/>
    </row>
    <row r="550" spans="1:14" s="12" customFormat="1" ht="38.25">
      <c r="A550" s="178" t="s">
        <v>80</v>
      </c>
      <c r="B550" s="75" t="s">
        <v>679</v>
      </c>
      <c r="C550" s="39" t="s">
        <v>17</v>
      </c>
      <c r="D550" s="236"/>
      <c r="E550" s="236"/>
      <c r="F550" s="236"/>
      <c r="G550" s="236"/>
      <c r="H550" s="40">
        <f>SUM(Tabla132112418[[#This Row],[PRIMER TRIMESTRE]:[CUARTO TRIMESTRE]])</f>
        <v>0</v>
      </c>
      <c r="I550" s="72">
        <v>289000</v>
      </c>
      <c r="J550" s="17">
        <f t="shared" ref="J550:J575" si="13">+H550*I550</f>
        <v>0</v>
      </c>
      <c r="K550" s="17"/>
      <c r="L550" s="16" t="s">
        <v>18</v>
      </c>
      <c r="M550" s="16" t="s">
        <v>22</v>
      </c>
      <c r="N550" s="39"/>
    </row>
    <row r="551" spans="1:14" s="12" customFormat="1" ht="51">
      <c r="A551" s="178" t="s">
        <v>80</v>
      </c>
      <c r="B551" s="75" t="s">
        <v>680</v>
      </c>
      <c r="C551" s="39" t="s">
        <v>17</v>
      </c>
      <c r="D551" s="236"/>
      <c r="E551" s="236"/>
      <c r="F551" s="236"/>
      <c r="G551" s="236"/>
      <c r="H551" s="40">
        <f>SUM(Tabla132112418[[#This Row],[PRIMER TRIMESTRE]:[CUARTO TRIMESTRE]])</f>
        <v>0</v>
      </c>
      <c r="I551" s="72">
        <f>26800*1.18</f>
        <v>31624</v>
      </c>
      <c r="J551" s="17">
        <f t="shared" si="13"/>
        <v>0</v>
      </c>
      <c r="K551" s="17"/>
      <c r="L551" s="16" t="s">
        <v>18</v>
      </c>
      <c r="M551" s="16" t="s">
        <v>22</v>
      </c>
      <c r="N551" s="39"/>
    </row>
    <row r="552" spans="1:14" s="12" customFormat="1" ht="51">
      <c r="A552" s="178" t="s">
        <v>80</v>
      </c>
      <c r="B552" s="75" t="s">
        <v>681</v>
      </c>
      <c r="C552" s="39" t="s">
        <v>17</v>
      </c>
      <c r="D552" s="236"/>
      <c r="E552" s="236"/>
      <c r="F552" s="236"/>
      <c r="G552" s="236"/>
      <c r="H552" s="40">
        <f>SUM(Tabla132112418[[#This Row],[PRIMER TRIMESTRE]:[CUARTO TRIMESTRE]])</f>
        <v>0</v>
      </c>
      <c r="I552" s="17">
        <f>39500*1.18</f>
        <v>46610</v>
      </c>
      <c r="J552" s="17">
        <f t="shared" si="13"/>
        <v>0</v>
      </c>
      <c r="K552" s="17"/>
      <c r="L552" s="16" t="s">
        <v>18</v>
      </c>
      <c r="M552" s="16" t="s">
        <v>22</v>
      </c>
      <c r="N552" s="39"/>
    </row>
    <row r="553" spans="1:14" s="12" customFormat="1" ht="51">
      <c r="A553" s="178" t="s">
        <v>80</v>
      </c>
      <c r="B553" s="75" t="s">
        <v>683</v>
      </c>
      <c r="C553" s="39" t="s">
        <v>17</v>
      </c>
      <c r="D553" s="236"/>
      <c r="E553" s="236"/>
      <c r="F553" s="236"/>
      <c r="G553" s="236"/>
      <c r="H553" s="40">
        <f>SUM(Tabla132112418[[#This Row],[PRIMER TRIMESTRE]:[CUARTO TRIMESTRE]])</f>
        <v>0</v>
      </c>
      <c r="I553" s="72">
        <v>68487.199999999997</v>
      </c>
      <c r="J553" s="17">
        <f t="shared" si="13"/>
        <v>0</v>
      </c>
      <c r="K553" s="17"/>
      <c r="L553" s="16" t="s">
        <v>18</v>
      </c>
      <c r="M553" s="16" t="s">
        <v>22</v>
      </c>
      <c r="N553" s="39"/>
    </row>
    <row r="554" spans="1:14" s="12" customFormat="1" ht="51">
      <c r="A554" s="178" t="s">
        <v>80</v>
      </c>
      <c r="B554" s="75" t="s">
        <v>682</v>
      </c>
      <c r="C554" s="39" t="s">
        <v>17</v>
      </c>
      <c r="D554" s="236"/>
      <c r="E554" s="236"/>
      <c r="F554" s="236"/>
      <c r="G554" s="236"/>
      <c r="H554" s="40">
        <f>SUM(Tabla132112418[[#This Row],[PRIMER TRIMESTRE]:[CUARTO TRIMESTRE]])</f>
        <v>0</v>
      </c>
      <c r="I554" s="72">
        <v>304100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</row>
    <row r="555" spans="1:14" s="12" customFormat="1" ht="25.5">
      <c r="A555" s="178" t="s">
        <v>80</v>
      </c>
      <c r="B555" s="75" t="s">
        <v>1720</v>
      </c>
      <c r="C555" s="39" t="s">
        <v>17</v>
      </c>
      <c r="D555" s="236"/>
      <c r="E555" s="236"/>
      <c r="F555" s="236"/>
      <c r="G555" s="236"/>
      <c r="H555" s="40">
        <v>0</v>
      </c>
      <c r="I555" s="72">
        <v>0</v>
      </c>
      <c r="J555" s="17">
        <v>0</v>
      </c>
      <c r="K555" s="17"/>
      <c r="L555" s="16" t="s">
        <v>18</v>
      </c>
      <c r="M555" s="16" t="s">
        <v>22</v>
      </c>
      <c r="N555" s="39"/>
    </row>
    <row r="556" spans="1:14" s="12" customFormat="1" ht="18">
      <c r="A556" s="178" t="s">
        <v>80</v>
      </c>
      <c r="B556" s="75" t="s">
        <v>635</v>
      </c>
      <c r="C556" s="39" t="s">
        <v>17</v>
      </c>
      <c r="D556" s="236"/>
      <c r="E556" s="236"/>
      <c r="F556" s="236"/>
      <c r="G556" s="236"/>
      <c r="H556" s="40">
        <f>SUM(Tabla132112418[[#This Row],[PRIMER TRIMESTRE]:[CUARTO TRIMESTRE]])</f>
        <v>0</v>
      </c>
      <c r="I556" s="17">
        <v>94400</v>
      </c>
      <c r="J556" s="17">
        <f t="shared" si="13"/>
        <v>0</v>
      </c>
      <c r="K556" s="17"/>
      <c r="L556" s="16" t="s">
        <v>18</v>
      </c>
      <c r="M556" s="16" t="s">
        <v>22</v>
      </c>
      <c r="N556" s="39"/>
    </row>
    <row r="557" spans="1:14" s="12" customFormat="1" ht="18">
      <c r="A557" s="178" t="s">
        <v>80</v>
      </c>
      <c r="B557" s="75" t="s">
        <v>636</v>
      </c>
      <c r="C557" s="39" t="s">
        <v>17</v>
      </c>
      <c r="D557" s="236"/>
      <c r="E557" s="236"/>
      <c r="F557" s="236"/>
      <c r="G557" s="236"/>
      <c r="H557" s="40">
        <f>SUM(Tabla132112418[[#This Row],[PRIMER TRIMESTRE]:[CUARTO TRIMESTRE]])</f>
        <v>0</v>
      </c>
      <c r="I557" s="17">
        <v>106200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</row>
    <row r="558" spans="1:14" s="12" customFormat="1" ht="18">
      <c r="A558" s="178" t="s">
        <v>80</v>
      </c>
      <c r="B558" s="75" t="s">
        <v>637</v>
      </c>
      <c r="C558" s="39" t="s">
        <v>17</v>
      </c>
      <c r="D558" s="236"/>
      <c r="E558" s="236"/>
      <c r="F558" s="236"/>
      <c r="G558" s="236"/>
      <c r="H558" s="40">
        <f>SUM(Tabla132112418[[#This Row],[PRIMER TRIMESTRE]:[CUARTO TRIMESTRE]])</f>
        <v>0</v>
      </c>
      <c r="I558" s="17">
        <v>112100</v>
      </c>
      <c r="J558" s="17">
        <f t="shared" si="13"/>
        <v>0</v>
      </c>
      <c r="K558" s="17"/>
      <c r="L558" s="16" t="s">
        <v>18</v>
      </c>
      <c r="M558" s="16" t="s">
        <v>22</v>
      </c>
      <c r="N558" s="39"/>
    </row>
    <row r="559" spans="1:14" s="12" customFormat="1" ht="38.25">
      <c r="A559" s="178" t="s">
        <v>80</v>
      </c>
      <c r="B559" s="75" t="s">
        <v>685</v>
      </c>
      <c r="C559" s="39" t="s">
        <v>17</v>
      </c>
      <c r="D559" s="236"/>
      <c r="E559" s="236"/>
      <c r="F559" s="236"/>
      <c r="G559" s="236"/>
      <c r="H559" s="40">
        <f>SUM(Tabla132112418[[#This Row],[PRIMER TRIMESTRE]:[CUARTO TRIMESTRE]])</f>
        <v>0</v>
      </c>
      <c r="I559" s="17">
        <v>42480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</row>
    <row r="560" spans="1:14" s="12" customFormat="1" ht="38.25">
      <c r="A560" s="178" t="s">
        <v>80</v>
      </c>
      <c r="B560" s="75" t="s">
        <v>686</v>
      </c>
      <c r="C560" s="39" t="s">
        <v>17</v>
      </c>
      <c r="D560" s="236"/>
      <c r="E560" s="236"/>
      <c r="F560" s="236"/>
      <c r="G560" s="236"/>
      <c r="H560" s="40">
        <f>SUM(Tabla132112418[[#This Row],[PRIMER TRIMESTRE]:[CUARTO TRIMESTRE]])</f>
        <v>0</v>
      </c>
      <c r="I560" s="17">
        <v>64900</v>
      </c>
      <c r="J560" s="17">
        <f t="shared" si="13"/>
        <v>0</v>
      </c>
      <c r="K560" s="17"/>
      <c r="L560" s="16" t="s">
        <v>18</v>
      </c>
      <c r="M560" s="16" t="s">
        <v>22</v>
      </c>
      <c r="N560" s="39"/>
    </row>
    <row r="561" spans="1:14" s="12" customFormat="1" ht="38.25">
      <c r="A561" s="178" t="s">
        <v>80</v>
      </c>
      <c r="B561" s="75" t="s">
        <v>687</v>
      </c>
      <c r="C561" s="39" t="s">
        <v>17</v>
      </c>
      <c r="D561" s="236"/>
      <c r="E561" s="236"/>
      <c r="F561" s="236"/>
      <c r="G561" s="236"/>
      <c r="H561" s="40">
        <f>SUM(Tabla132112418[[#This Row],[PRIMER TRIMESTRE]:[CUARTO TRIMESTRE]])</f>
        <v>0</v>
      </c>
      <c r="I561" s="17">
        <v>92040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</row>
    <row r="562" spans="1:14" s="12" customFormat="1" ht="25.5">
      <c r="A562" s="178" t="s">
        <v>80</v>
      </c>
      <c r="B562" s="75" t="s">
        <v>688</v>
      </c>
      <c r="C562" s="39" t="s">
        <v>17</v>
      </c>
      <c r="D562" s="236"/>
      <c r="E562" s="236"/>
      <c r="F562" s="236"/>
      <c r="G562" s="236"/>
      <c r="H562" s="40">
        <f>SUM(Tabla132112418[[#This Row],[PRIMER TRIMESTRE]:[CUARTO TRIMESTRE]])</f>
        <v>0</v>
      </c>
      <c r="I562" s="17">
        <v>6377.7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</row>
    <row r="563" spans="1:14" s="12" customFormat="1" ht="25.5">
      <c r="A563" s="178" t="s">
        <v>80</v>
      </c>
      <c r="B563" s="75" t="s">
        <v>689</v>
      </c>
      <c r="C563" s="39" t="s">
        <v>17</v>
      </c>
      <c r="D563" s="236"/>
      <c r="E563" s="236"/>
      <c r="F563" s="236"/>
      <c r="G563" s="236"/>
      <c r="H563" s="40">
        <f>SUM(Tabla132112418[[#This Row],[PRIMER TRIMESTRE]:[CUARTO TRIMESTRE]])</f>
        <v>0</v>
      </c>
      <c r="I563" s="72">
        <v>6769.1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</row>
    <row r="564" spans="1:14" s="12" customFormat="1" ht="25.5">
      <c r="A564" s="178" t="s">
        <v>80</v>
      </c>
      <c r="B564" s="75" t="s">
        <v>690</v>
      </c>
      <c r="C564" s="39" t="s">
        <v>17</v>
      </c>
      <c r="D564" s="236"/>
      <c r="E564" s="236"/>
      <c r="F564" s="236"/>
      <c r="G564" s="236"/>
      <c r="H564" s="40">
        <f>SUM(Tabla132112418[[#This Row],[PRIMER TRIMESTRE]:[CUARTO TRIMESTRE]])</f>
        <v>0</v>
      </c>
      <c r="I564" s="72">
        <v>6890.2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</row>
    <row r="565" spans="1:14" s="12" customFormat="1" ht="25.5">
      <c r="A565" s="178" t="s">
        <v>80</v>
      </c>
      <c r="B565" s="75" t="s">
        <v>905</v>
      </c>
      <c r="C565" s="39" t="s">
        <v>17</v>
      </c>
      <c r="D565" s="236"/>
      <c r="E565" s="236"/>
      <c r="F565" s="236"/>
      <c r="G565" s="236"/>
      <c r="H565" s="40">
        <f>SUM(Tabla132112418[[#This Row],[PRIMER TRIMESTRE]:[CUARTO TRIMESTRE]])</f>
        <v>0</v>
      </c>
      <c r="I565" s="72">
        <f>+I564*1.15</f>
        <v>7923.73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</row>
    <row r="566" spans="1:14" s="12" customFormat="1" ht="25.5">
      <c r="A566" s="178" t="s">
        <v>80</v>
      </c>
      <c r="B566" s="75" t="s">
        <v>691</v>
      </c>
      <c r="C566" s="39" t="s">
        <v>17</v>
      </c>
      <c r="D566" s="236"/>
      <c r="E566" s="236"/>
      <c r="F566" s="236"/>
      <c r="G566" s="236"/>
      <c r="H566" s="40">
        <f>SUM(Tabla132112418[[#This Row],[PRIMER TRIMESTRE]:[CUARTO TRIMESTRE]])</f>
        <v>0</v>
      </c>
      <c r="I566" s="72">
        <f>2500*1.18</f>
        <v>2950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</row>
    <row r="567" spans="1:14" s="12" customFormat="1" ht="25.5">
      <c r="A567" s="178" t="s">
        <v>80</v>
      </c>
      <c r="B567" s="75" t="s">
        <v>692</v>
      </c>
      <c r="C567" s="39" t="s">
        <v>17</v>
      </c>
      <c r="D567" s="236"/>
      <c r="E567" s="236"/>
      <c r="F567" s="236"/>
      <c r="G567" s="236"/>
      <c r="H567" s="40">
        <f>SUM(Tabla132112418[[#This Row],[PRIMER TRIMESTRE]:[CUARTO TRIMESTRE]])</f>
        <v>0</v>
      </c>
      <c r="I567" s="72">
        <v>20380.96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</row>
    <row r="568" spans="1:14" s="12" customFormat="1" ht="25.5">
      <c r="A568" s="178" t="s">
        <v>80</v>
      </c>
      <c r="B568" s="75" t="s">
        <v>693</v>
      </c>
      <c r="C568" s="39" t="s">
        <v>17</v>
      </c>
      <c r="D568" s="236"/>
      <c r="E568" s="236"/>
      <c r="F568" s="236"/>
      <c r="G568" s="236"/>
      <c r="H568" s="40">
        <f>SUM(Tabla132112418[[#This Row],[PRIMER TRIMESTRE]:[CUARTO TRIMESTRE]])</f>
        <v>0</v>
      </c>
      <c r="I568" s="72">
        <v>29236.86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</row>
    <row r="569" spans="1:14" s="12" customFormat="1" ht="18">
      <c r="A569" s="178" t="s">
        <v>80</v>
      </c>
      <c r="B569" s="75" t="s">
        <v>454</v>
      </c>
      <c r="C569" s="39" t="s">
        <v>17</v>
      </c>
      <c r="D569" s="236"/>
      <c r="E569" s="236"/>
      <c r="F569" s="236"/>
      <c r="G569" s="236"/>
      <c r="H569" s="40">
        <f>SUM(Tabla132112418[[#This Row],[PRIMER TRIMESTRE]:[CUARTO TRIMESTRE]])</f>
        <v>0</v>
      </c>
      <c r="I569" s="72">
        <v>236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</row>
    <row r="570" spans="1:14" s="12" customFormat="1" ht="18">
      <c r="A570" s="178" t="s">
        <v>80</v>
      </c>
      <c r="B570" s="75" t="s">
        <v>455</v>
      </c>
      <c r="C570" s="39" t="s">
        <v>17</v>
      </c>
      <c r="D570" s="236"/>
      <c r="E570" s="236"/>
      <c r="F570" s="236"/>
      <c r="G570" s="236"/>
      <c r="H570" s="40">
        <f>SUM(Tabla132112418[[#This Row],[PRIMER TRIMESTRE]:[CUARTO TRIMESTRE]])</f>
        <v>0</v>
      </c>
      <c r="I570" s="72">
        <v>344.56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</row>
    <row r="571" spans="1:14" s="12" customFormat="1" ht="18">
      <c r="A571" s="178" t="s">
        <v>80</v>
      </c>
      <c r="B571" s="75" t="s">
        <v>456</v>
      </c>
      <c r="C571" s="39" t="s">
        <v>17</v>
      </c>
      <c r="D571" s="236"/>
      <c r="E571" s="236"/>
      <c r="F571" s="236"/>
      <c r="G571" s="236"/>
      <c r="H571" s="40">
        <f>SUM(Tabla132112418[[#This Row],[PRIMER TRIMESTRE]:[CUARTO TRIMESTRE]])</f>
        <v>0</v>
      </c>
      <c r="I571" s="72">
        <v>499.14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</row>
    <row r="572" spans="1:14" s="12" customFormat="1" ht="18">
      <c r="A572" s="178" t="s">
        <v>80</v>
      </c>
      <c r="B572" s="75" t="s">
        <v>457</v>
      </c>
      <c r="C572" s="39" t="s">
        <v>17</v>
      </c>
      <c r="D572" s="236"/>
      <c r="E572" s="236"/>
      <c r="F572" s="236"/>
      <c r="G572" s="236"/>
      <c r="H572" s="40">
        <f>SUM(Tabla132112418[[#This Row],[PRIMER TRIMESTRE]:[CUARTO TRIMESTRE]])</f>
        <v>0</v>
      </c>
      <c r="I572" s="72">
        <v>1598.9</v>
      </c>
      <c r="J572" s="17">
        <f t="shared" si="13"/>
        <v>0</v>
      </c>
      <c r="K572" s="17"/>
      <c r="L572" s="17" t="s">
        <v>18</v>
      </c>
      <c r="M572" s="16" t="s">
        <v>22</v>
      </c>
      <c r="N572" s="39"/>
    </row>
    <row r="573" spans="1:14" s="12" customFormat="1" ht="18">
      <c r="A573" s="178" t="s">
        <v>80</v>
      </c>
      <c r="B573" s="75" t="s">
        <v>458</v>
      </c>
      <c r="C573" s="39" t="s">
        <v>17</v>
      </c>
      <c r="D573" s="236"/>
      <c r="E573" s="236"/>
      <c r="F573" s="236"/>
      <c r="G573" s="236"/>
      <c r="H573" s="40">
        <f>SUM(Tabla132112418[[#This Row],[PRIMER TRIMESTRE]:[CUARTO TRIMESTRE]])</f>
        <v>0</v>
      </c>
      <c r="I573" s="72">
        <v>1849.06</v>
      </c>
      <c r="J573" s="17">
        <f t="shared" si="13"/>
        <v>0</v>
      </c>
      <c r="K573" s="17"/>
      <c r="L573" s="17" t="s">
        <v>18</v>
      </c>
      <c r="M573" s="16" t="s">
        <v>22</v>
      </c>
      <c r="N573" s="39"/>
    </row>
    <row r="574" spans="1:14" s="26" customFormat="1" ht="18">
      <c r="A574" s="178" t="s">
        <v>80</v>
      </c>
      <c r="B574" s="75" t="s">
        <v>801</v>
      </c>
      <c r="C574" s="39" t="s">
        <v>17</v>
      </c>
      <c r="D574" s="236"/>
      <c r="E574" s="236"/>
      <c r="F574" s="236"/>
      <c r="G574" s="236"/>
      <c r="H574" s="40">
        <f>SUM(Tabla132112418[[#This Row],[PRIMER TRIMESTRE]:[CUARTO TRIMESTRE]])</f>
        <v>0</v>
      </c>
      <c r="I574" s="72">
        <v>5444</v>
      </c>
      <c r="J574" s="17">
        <f t="shared" si="13"/>
        <v>0</v>
      </c>
      <c r="K574" s="17"/>
      <c r="L574" s="17" t="s">
        <v>18</v>
      </c>
      <c r="M574" s="16" t="s">
        <v>22</v>
      </c>
      <c r="N574" s="39"/>
    </row>
    <row r="575" spans="1:14" s="12" customFormat="1" ht="18">
      <c r="A575" s="178" t="s">
        <v>80</v>
      </c>
      <c r="B575" s="75" t="s">
        <v>802</v>
      </c>
      <c r="C575" s="39" t="s">
        <v>17</v>
      </c>
      <c r="D575" s="236"/>
      <c r="E575" s="236"/>
      <c r="F575" s="236"/>
      <c r="G575" s="236"/>
      <c r="H575" s="40">
        <f>SUM(Tabla132112418[[#This Row],[PRIMER TRIMESTRE]:[CUARTO TRIMESTRE]])</f>
        <v>0</v>
      </c>
      <c r="I575" s="72">
        <v>6844</v>
      </c>
      <c r="J575" s="17">
        <f t="shared" si="13"/>
        <v>0</v>
      </c>
      <c r="K575" s="17"/>
      <c r="L575" s="17" t="s">
        <v>18</v>
      </c>
      <c r="M575" s="16" t="s">
        <v>22</v>
      </c>
      <c r="N575" s="39"/>
    </row>
    <row r="576" spans="1:14" s="12" customFormat="1" ht="18">
      <c r="A576" s="179" t="s">
        <v>80</v>
      </c>
      <c r="B576" s="76"/>
      <c r="C576" s="42"/>
      <c r="D576" s="237"/>
      <c r="E576" s="237"/>
      <c r="F576" s="237"/>
      <c r="G576" s="237"/>
      <c r="H576" s="43"/>
      <c r="I576" s="24"/>
      <c r="J576" s="24"/>
      <c r="K576" s="25">
        <f>SUM(J201:J575)</f>
        <v>0</v>
      </c>
      <c r="L576" s="23"/>
      <c r="M576" s="23"/>
      <c r="N576" s="42"/>
    </row>
    <row r="577" spans="1:14" s="12" customFormat="1" ht="18">
      <c r="A577" s="178" t="s">
        <v>81</v>
      </c>
      <c r="B577" s="75" t="s">
        <v>207</v>
      </c>
      <c r="C577" s="39" t="s">
        <v>33</v>
      </c>
      <c r="D577" s="236"/>
      <c r="E577" s="236"/>
      <c r="F577" s="236"/>
      <c r="G577" s="236"/>
      <c r="H577" s="40">
        <f>SUM(Tabla132112418[[#This Row],[PRIMER TRIMESTRE]:[CUARTO TRIMESTRE]])</f>
        <v>0</v>
      </c>
      <c r="I577" s="17">
        <v>871.93</v>
      </c>
      <c r="J577" s="17">
        <f>+Tabla132112418[[#This Row],[CANTIDAD TOTAL]]*Tabla132112418[[#This Row],[PRECIO UNITARIO ESTIMADO]]</f>
        <v>0</v>
      </c>
      <c r="K577" s="17"/>
      <c r="L577" s="17" t="s">
        <v>18</v>
      </c>
      <c r="M577" s="16" t="s">
        <v>22</v>
      </c>
      <c r="N577" s="39" t="s">
        <v>418</v>
      </c>
    </row>
    <row r="578" spans="1:14" s="12" customFormat="1" ht="18">
      <c r="A578" s="178" t="s">
        <v>81</v>
      </c>
      <c r="B578" s="75" t="s">
        <v>1279</v>
      </c>
      <c r="C578" s="39" t="s">
        <v>33</v>
      </c>
      <c r="D578" s="236"/>
      <c r="E578" s="236"/>
      <c r="F578" s="236"/>
      <c r="G578" s="236"/>
      <c r="H578" s="40">
        <f>SUM(Tabla132112418[[#This Row],[PRIMER TRIMESTRE]:[CUARTO TRIMESTRE]])</f>
        <v>0</v>
      </c>
      <c r="I578" s="17">
        <v>871.93</v>
      </c>
      <c r="J578" s="17">
        <f t="shared" ref="J578:J584" si="14">+H578*I578</f>
        <v>0</v>
      </c>
      <c r="K578" s="17"/>
      <c r="L578" s="17" t="s">
        <v>18</v>
      </c>
      <c r="M578" s="16" t="s">
        <v>22</v>
      </c>
      <c r="N578" s="39" t="s">
        <v>418</v>
      </c>
    </row>
    <row r="579" spans="1:14" s="12" customFormat="1" ht="18">
      <c r="A579" s="178" t="s">
        <v>81</v>
      </c>
      <c r="B579" s="75" t="s">
        <v>1424</v>
      </c>
      <c r="C579" s="39" t="s">
        <v>33</v>
      </c>
      <c r="D579" s="236"/>
      <c r="E579" s="236"/>
      <c r="F579" s="236"/>
      <c r="G579" s="236"/>
      <c r="H579" s="40">
        <f>SUM(Tabla132112418[[#This Row],[PRIMER TRIMESTRE]:[CUARTO TRIMESTRE]])</f>
        <v>0</v>
      </c>
      <c r="I579" s="17">
        <v>871.93</v>
      </c>
      <c r="J579" s="17">
        <f t="shared" si="14"/>
        <v>0</v>
      </c>
      <c r="K579" s="17"/>
      <c r="L579" s="17" t="s">
        <v>18</v>
      </c>
      <c r="M579" s="16" t="s">
        <v>22</v>
      </c>
      <c r="N579" s="39" t="s">
        <v>418</v>
      </c>
    </row>
    <row r="580" spans="1:14" s="12" customFormat="1" ht="18">
      <c r="A580" s="178" t="s">
        <v>81</v>
      </c>
      <c r="B580" s="75" t="s">
        <v>1347</v>
      </c>
      <c r="C580" s="39" t="s">
        <v>33</v>
      </c>
      <c r="D580" s="236"/>
      <c r="E580" s="236"/>
      <c r="F580" s="236"/>
      <c r="G580" s="236"/>
      <c r="H580" s="40">
        <f>SUM(Tabla132112418[[#This Row],[PRIMER TRIMESTRE]:[CUARTO TRIMESTRE]])</f>
        <v>0</v>
      </c>
      <c r="I580" s="17">
        <v>767</v>
      </c>
      <c r="J580" s="17">
        <f t="shared" si="14"/>
        <v>0</v>
      </c>
      <c r="K580" s="17"/>
      <c r="L580" s="17" t="s">
        <v>18</v>
      </c>
      <c r="M580" s="16" t="s">
        <v>22</v>
      </c>
      <c r="N580" s="39" t="s">
        <v>418</v>
      </c>
    </row>
    <row r="581" spans="1:14" s="12" customFormat="1" ht="18">
      <c r="A581" s="178" t="s">
        <v>81</v>
      </c>
      <c r="B581" s="75" t="s">
        <v>1280</v>
      </c>
      <c r="C581" s="39" t="s">
        <v>33</v>
      </c>
      <c r="D581" s="236"/>
      <c r="E581" s="236"/>
      <c r="F581" s="236"/>
      <c r="G581" s="236"/>
      <c r="H581" s="40">
        <f>SUM(Tabla132112418[[#This Row],[PRIMER TRIMESTRE]:[CUARTO TRIMESTRE]])</f>
        <v>0</v>
      </c>
      <c r="I581" s="17">
        <v>871.93</v>
      </c>
      <c r="J581" s="17">
        <f t="shared" si="14"/>
        <v>0</v>
      </c>
      <c r="K581" s="17"/>
      <c r="L581" s="17" t="s">
        <v>18</v>
      </c>
      <c r="M581" s="16" t="s">
        <v>22</v>
      </c>
      <c r="N581" s="39" t="s">
        <v>418</v>
      </c>
    </row>
    <row r="582" spans="1:14" s="12" customFormat="1" ht="18">
      <c r="A582" s="178" t="s">
        <v>81</v>
      </c>
      <c r="B582" s="75" t="s">
        <v>1345</v>
      </c>
      <c r="C582" s="39" t="s">
        <v>33</v>
      </c>
      <c r="D582" s="236"/>
      <c r="E582" s="236"/>
      <c r="F582" s="236"/>
      <c r="G582" s="236"/>
      <c r="H582" s="40">
        <f>SUM(Tabla132112418[[#This Row],[PRIMER TRIMESTRE]:[CUARTO TRIMESTRE]])</f>
        <v>0</v>
      </c>
      <c r="I582" s="17">
        <v>350</v>
      </c>
      <c r="J582" s="17">
        <f t="shared" si="14"/>
        <v>0</v>
      </c>
      <c r="K582" s="17"/>
      <c r="L582" s="17" t="s">
        <v>18</v>
      </c>
      <c r="M582" s="16" t="s">
        <v>22</v>
      </c>
      <c r="N582" s="39" t="s">
        <v>418</v>
      </c>
    </row>
    <row r="583" spans="1:14" s="26" customFormat="1" ht="18">
      <c r="A583" s="178" t="s">
        <v>81</v>
      </c>
      <c r="B583" s="75" t="s">
        <v>1425</v>
      </c>
      <c r="C583" s="39" t="s">
        <v>33</v>
      </c>
      <c r="D583" s="236"/>
      <c r="E583" s="236"/>
      <c r="F583" s="236"/>
      <c r="G583" s="236"/>
      <c r="H583" s="40">
        <f>SUM(Tabla132112418[[#This Row],[PRIMER TRIMESTRE]:[CUARTO TRIMESTRE]])</f>
        <v>0</v>
      </c>
      <c r="I583" s="17">
        <v>863.54</v>
      </c>
      <c r="J583" s="17">
        <f t="shared" si="14"/>
        <v>0</v>
      </c>
      <c r="K583" s="17"/>
      <c r="L583" s="17" t="s">
        <v>18</v>
      </c>
      <c r="M583" s="16" t="s">
        <v>22</v>
      </c>
      <c r="N583" s="39" t="s">
        <v>418</v>
      </c>
    </row>
    <row r="584" spans="1:14" s="26" customFormat="1" ht="18">
      <c r="A584" s="178" t="s">
        <v>81</v>
      </c>
      <c r="B584" s="75" t="s">
        <v>1434</v>
      </c>
      <c r="C584" s="39" t="s">
        <v>33</v>
      </c>
      <c r="D584" s="236"/>
      <c r="E584" s="236"/>
      <c r="F584" s="236"/>
      <c r="G584" s="236"/>
      <c r="H584" s="40">
        <f>SUM(Tabla132112418[[#This Row],[PRIMER TRIMESTRE]:[CUARTO TRIMESTRE]])</f>
        <v>0</v>
      </c>
      <c r="I584" s="17">
        <v>1165</v>
      </c>
      <c r="J584" s="17">
        <f t="shared" si="14"/>
        <v>0</v>
      </c>
      <c r="K584" s="17"/>
      <c r="L584" s="17" t="s">
        <v>18</v>
      </c>
      <c r="M584" s="16" t="s">
        <v>22</v>
      </c>
      <c r="N584" s="39" t="s">
        <v>418</v>
      </c>
    </row>
    <row r="585" spans="1:14" s="26" customFormat="1" ht="18">
      <c r="A585" s="179" t="s">
        <v>81</v>
      </c>
      <c r="B585" s="76"/>
      <c r="C585" s="42"/>
      <c r="D585" s="237"/>
      <c r="E585" s="237"/>
      <c r="F585" s="237"/>
      <c r="G585" s="237"/>
      <c r="H585" s="43"/>
      <c r="I585" s="24"/>
      <c r="J585" s="24"/>
      <c r="K585" s="25">
        <f>SUM(J577:J584)</f>
        <v>0</v>
      </c>
      <c r="L585" s="23"/>
      <c r="M585" s="23"/>
      <c r="N585" s="42"/>
    </row>
    <row r="586" spans="1:14" s="26" customFormat="1" ht="18">
      <c r="A586" s="178" t="s">
        <v>95</v>
      </c>
      <c r="B586" s="75" t="s">
        <v>1468</v>
      </c>
      <c r="C586" s="39" t="s">
        <v>17</v>
      </c>
      <c r="D586" s="236"/>
      <c r="E586" s="236"/>
      <c r="F586" s="236"/>
      <c r="G586" s="236"/>
      <c r="H586" s="40">
        <f>SUM(Tabla132112418[[#This Row],[PRIMER TRIMESTRE]:[CUARTO TRIMESTRE]])</f>
        <v>0</v>
      </c>
      <c r="I586" s="17">
        <v>3169.99</v>
      </c>
      <c r="J586" s="17">
        <f t="shared" ref="J586:J592" si="15">+H586*I586</f>
        <v>0</v>
      </c>
      <c r="K586" s="17"/>
      <c r="L586" s="16" t="s">
        <v>18</v>
      </c>
      <c r="M586" s="16" t="s">
        <v>22</v>
      </c>
      <c r="N586" s="39" t="s">
        <v>418</v>
      </c>
    </row>
    <row r="587" spans="1:14" s="26" customFormat="1" ht="18">
      <c r="A587" s="178" t="s">
        <v>95</v>
      </c>
      <c r="B587" s="75" t="s">
        <v>1469</v>
      </c>
      <c r="C587" s="39" t="s">
        <v>17</v>
      </c>
      <c r="D587" s="236"/>
      <c r="E587" s="236"/>
      <c r="F587" s="236"/>
      <c r="G587" s="236"/>
      <c r="H587" s="40">
        <f>SUM(Tabla132112418[[#This Row],[PRIMER TRIMESTRE]:[CUARTO TRIMESTRE]])</f>
        <v>0</v>
      </c>
      <c r="I587" s="17">
        <v>4920</v>
      </c>
      <c r="J587" s="17">
        <f t="shared" si="15"/>
        <v>0</v>
      </c>
      <c r="K587" s="17"/>
      <c r="L587" s="16" t="s">
        <v>18</v>
      </c>
      <c r="M587" s="16" t="s">
        <v>22</v>
      </c>
      <c r="N587" s="178"/>
    </row>
    <row r="588" spans="1:14" s="12" customFormat="1" ht="18">
      <c r="A588" s="178" t="s">
        <v>95</v>
      </c>
      <c r="B588" s="75" t="s">
        <v>1470</v>
      </c>
      <c r="C588" s="39" t="s">
        <v>17</v>
      </c>
      <c r="D588" s="236"/>
      <c r="E588" s="236"/>
      <c r="F588" s="236"/>
      <c r="G588" s="236"/>
      <c r="H588" s="40">
        <f>SUM(Tabla132112418[[#This Row],[PRIMER TRIMESTRE]:[CUARTO TRIMESTRE]])</f>
        <v>0</v>
      </c>
      <c r="I588" s="17">
        <v>1521</v>
      </c>
      <c r="J588" s="17">
        <f t="shared" si="15"/>
        <v>0</v>
      </c>
      <c r="K588" s="17"/>
      <c r="L588" s="16" t="s">
        <v>18</v>
      </c>
      <c r="M588" s="16" t="s">
        <v>22</v>
      </c>
      <c r="N588" s="39" t="s">
        <v>418</v>
      </c>
    </row>
    <row r="589" spans="1:14" s="12" customFormat="1" ht="18">
      <c r="A589" s="178" t="s">
        <v>95</v>
      </c>
      <c r="B589" s="75" t="s">
        <v>1471</v>
      </c>
      <c r="C589" s="39" t="s">
        <v>17</v>
      </c>
      <c r="D589" s="236"/>
      <c r="E589" s="236"/>
      <c r="F589" s="236"/>
      <c r="G589" s="236"/>
      <c r="H589" s="40">
        <f>SUM(Tabla132112418[[#This Row],[PRIMER TRIMESTRE]:[CUARTO TRIMESTRE]])</f>
        <v>0</v>
      </c>
      <c r="I589" s="17">
        <v>2028</v>
      </c>
      <c r="J589" s="17">
        <f t="shared" si="15"/>
        <v>0</v>
      </c>
      <c r="K589" s="17"/>
      <c r="L589" s="16" t="s">
        <v>18</v>
      </c>
      <c r="M589" s="16" t="s">
        <v>22</v>
      </c>
      <c r="N589" s="39" t="s">
        <v>418</v>
      </c>
    </row>
    <row r="590" spans="1:14" s="12" customFormat="1" ht="25.5">
      <c r="A590" s="178" t="s">
        <v>95</v>
      </c>
      <c r="B590" s="75" t="str">
        <f ca="1">+UPPER(Tabla132112418[[#This Row],[DESCRIPCIÓN DE LA COMPRA O CONTRATACIÓN]])</f>
        <v>LÁMPARA FLUORESCENTE, DE 2 X 4 PIES, 32 WATTS, COMPLETA</v>
      </c>
      <c r="C590" s="39" t="s">
        <v>17</v>
      </c>
      <c r="D590" s="236"/>
      <c r="E590" s="236"/>
      <c r="F590" s="236"/>
      <c r="G590" s="236"/>
      <c r="H590" s="40">
        <f>SUM(Tabla132112418[[#This Row],[PRIMER TRIMESTRE]:[CUARTO TRIMESTRE]])</f>
        <v>0</v>
      </c>
      <c r="I590" s="17">
        <v>63.44</v>
      </c>
      <c r="J590" s="17">
        <f t="shared" si="15"/>
        <v>0</v>
      </c>
      <c r="K590" s="17"/>
      <c r="L590" s="16" t="s">
        <v>15</v>
      </c>
      <c r="M590" s="16" t="s">
        <v>22</v>
      </c>
      <c r="N590" s="39"/>
    </row>
    <row r="591" spans="1:14" s="12" customFormat="1" ht="18">
      <c r="A591" s="178" t="s">
        <v>95</v>
      </c>
      <c r="B591" s="75" t="s">
        <v>1539</v>
      </c>
      <c r="C591" s="39" t="s">
        <v>17</v>
      </c>
      <c r="D591" s="236"/>
      <c r="E591" s="236"/>
      <c r="F591" s="236"/>
      <c r="G591" s="236"/>
      <c r="H591" s="40">
        <f>SUM(Tabla132112418[[#This Row],[PRIMER TRIMESTRE]:[CUARTO TRIMESTRE]])</f>
        <v>0</v>
      </c>
      <c r="I591" s="17">
        <v>45</v>
      </c>
      <c r="J591" s="17">
        <f t="shared" si="15"/>
        <v>0</v>
      </c>
      <c r="K591" s="17"/>
      <c r="L591" s="16" t="s">
        <v>18</v>
      </c>
      <c r="M591" s="16" t="s">
        <v>22</v>
      </c>
      <c r="N591" s="39" t="s">
        <v>418</v>
      </c>
    </row>
    <row r="592" spans="1:14" s="12" customFormat="1" ht="18">
      <c r="A592" s="178" t="s">
        <v>95</v>
      </c>
      <c r="B592" s="75" t="s">
        <v>1540</v>
      </c>
      <c r="C592" s="39" t="s">
        <v>17</v>
      </c>
      <c r="D592" s="236"/>
      <c r="E592" s="236"/>
      <c r="F592" s="236"/>
      <c r="G592" s="236"/>
      <c r="H592" s="40">
        <f>SUM(Tabla132112418[[#This Row],[PRIMER TRIMESTRE]:[CUARTO TRIMESTRE]])</f>
        <v>0</v>
      </c>
      <c r="I592" s="17">
        <v>45</v>
      </c>
      <c r="J592" s="17">
        <f t="shared" si="15"/>
        <v>0</v>
      </c>
      <c r="K592" s="17"/>
      <c r="L592" s="16" t="s">
        <v>18</v>
      </c>
      <c r="M592" s="16" t="s">
        <v>22</v>
      </c>
      <c r="N592" s="39" t="s">
        <v>418</v>
      </c>
    </row>
    <row r="593" spans="1:14" s="12" customFormat="1" ht="18">
      <c r="A593" s="178" t="s">
        <v>95</v>
      </c>
      <c r="B593" s="75" t="s">
        <v>209</v>
      </c>
      <c r="C593" s="39" t="s">
        <v>17</v>
      </c>
      <c r="D593" s="236"/>
      <c r="E593" s="236"/>
      <c r="F593" s="236"/>
      <c r="G593" s="236"/>
      <c r="H593" s="40">
        <f>SUM(Tabla132112418[[#This Row],[PRIMER TRIMESTRE]:[CUARTO TRIMESTRE]])</f>
        <v>0</v>
      </c>
      <c r="I593" s="17">
        <v>1417.52</v>
      </c>
      <c r="J593" s="17">
        <f>+Tabla132112418[[#This Row],[CANTIDAD TOTAL]]*Tabla132112418[[#This Row],[PRECIO UNITARIO ESTIMADO]]</f>
        <v>0</v>
      </c>
      <c r="K593" s="17"/>
      <c r="L593" s="16" t="s">
        <v>27</v>
      </c>
      <c r="M593" s="16" t="s">
        <v>22</v>
      </c>
      <c r="N593" s="39"/>
    </row>
    <row r="594" spans="1:14" s="12" customFormat="1" ht="18">
      <c r="A594" s="178" t="s">
        <v>95</v>
      </c>
      <c r="B594" s="75" t="s">
        <v>1467</v>
      </c>
      <c r="C594" s="39" t="s">
        <v>17</v>
      </c>
      <c r="D594" s="236"/>
      <c r="E594" s="236"/>
      <c r="F594" s="236"/>
      <c r="G594" s="236"/>
      <c r="H594" s="236">
        <f>SUM(Tabla132112418[[#This Row],[PRIMER TRIMESTRE]:[CUARTO TRIMESTRE]])</f>
        <v>0</v>
      </c>
      <c r="I594" s="17">
        <v>5268.24</v>
      </c>
      <c r="J594" s="17">
        <f t="shared" ref="J594:J603" si="16">+H594*I594</f>
        <v>0</v>
      </c>
      <c r="K594" s="17"/>
      <c r="L594" s="16" t="s">
        <v>18</v>
      </c>
      <c r="M594" s="16" t="s">
        <v>22</v>
      </c>
      <c r="N594" s="39" t="s">
        <v>418</v>
      </c>
    </row>
    <row r="595" spans="1:14" s="12" customFormat="1" ht="25.5">
      <c r="A595" s="178" t="s">
        <v>95</v>
      </c>
      <c r="B595" s="77" t="s">
        <v>881</v>
      </c>
      <c r="C595" s="39" t="s">
        <v>17</v>
      </c>
      <c r="D595" s="236"/>
      <c r="E595" s="236"/>
      <c r="F595" s="236"/>
      <c r="G595" s="236"/>
      <c r="H595" s="40">
        <f>SUM(Tabla132112418[[#This Row],[PRIMER TRIMESTRE]:[CUARTO TRIMESTRE]])</f>
        <v>0</v>
      </c>
      <c r="I595" s="17">
        <v>877.77</v>
      </c>
      <c r="J595" s="17">
        <f t="shared" si="16"/>
        <v>0</v>
      </c>
      <c r="K595" s="17"/>
      <c r="L595" s="16" t="s">
        <v>15</v>
      </c>
      <c r="M595" s="16" t="s">
        <v>22</v>
      </c>
      <c r="N595" s="39"/>
    </row>
    <row r="596" spans="1:14" s="12" customFormat="1" ht="25.5">
      <c r="A596" s="178" t="s">
        <v>95</v>
      </c>
      <c r="B596" s="77" t="s">
        <v>1624</v>
      </c>
      <c r="C596" s="39" t="s">
        <v>17</v>
      </c>
      <c r="D596" s="236"/>
      <c r="E596" s="236"/>
      <c r="F596" s="236"/>
      <c r="G596" s="236"/>
      <c r="H596" s="236">
        <f>SUM(Tabla132112418[[#This Row],[PRIMER TRIMESTRE]:[CUARTO TRIMESTRE]])</f>
        <v>0</v>
      </c>
      <c r="I596" s="17">
        <v>4800</v>
      </c>
      <c r="J596" s="17">
        <f t="shared" si="16"/>
        <v>0</v>
      </c>
      <c r="K596" s="17"/>
      <c r="L596" s="16" t="s">
        <v>18</v>
      </c>
      <c r="M596" s="16" t="s">
        <v>22</v>
      </c>
      <c r="N596" s="39"/>
    </row>
    <row r="597" spans="1:14" s="12" customFormat="1" ht="25.5">
      <c r="A597" s="178" t="s">
        <v>95</v>
      </c>
      <c r="B597" s="77" t="s">
        <v>1593</v>
      </c>
      <c r="C597" s="39" t="s">
        <v>17</v>
      </c>
      <c r="D597" s="236"/>
      <c r="E597" s="236"/>
      <c r="F597" s="236"/>
      <c r="G597" s="236"/>
      <c r="H597" s="236">
        <f>SUM(Tabla132112418[[#This Row],[PRIMER TRIMESTRE]:[CUARTO TRIMESTRE]])</f>
        <v>0</v>
      </c>
      <c r="I597" s="17">
        <v>1980</v>
      </c>
      <c r="J597" s="17">
        <f t="shared" si="16"/>
        <v>0</v>
      </c>
      <c r="K597" s="17"/>
      <c r="L597" s="16" t="s">
        <v>18</v>
      </c>
      <c r="M597" s="16" t="s">
        <v>22</v>
      </c>
      <c r="N597" s="39"/>
    </row>
    <row r="598" spans="1:14" s="12" customFormat="1" ht="18">
      <c r="A598" s="178" t="s">
        <v>95</v>
      </c>
      <c r="B598" s="77" t="s">
        <v>1544</v>
      </c>
      <c r="C598" s="39" t="s">
        <v>17</v>
      </c>
      <c r="D598" s="236"/>
      <c r="E598" s="236"/>
      <c r="F598" s="236"/>
      <c r="G598" s="236"/>
      <c r="H598" s="236">
        <f>SUM(Tabla132112418[[#This Row],[PRIMER TRIMESTRE]:[CUARTO TRIMESTRE]])</f>
        <v>0</v>
      </c>
      <c r="I598" s="17">
        <v>68</v>
      </c>
      <c r="J598" s="17">
        <f t="shared" si="16"/>
        <v>0</v>
      </c>
      <c r="K598" s="17"/>
      <c r="L598" s="16" t="s">
        <v>18</v>
      </c>
      <c r="M598" s="16" t="s">
        <v>22</v>
      </c>
      <c r="N598" s="39"/>
    </row>
    <row r="599" spans="1:14" s="12" customFormat="1" ht="18">
      <c r="A599" s="178" t="s">
        <v>95</v>
      </c>
      <c r="B599" s="77" t="s">
        <v>1543</v>
      </c>
      <c r="C599" s="39" t="s">
        <v>17</v>
      </c>
      <c r="D599" s="236"/>
      <c r="E599" s="236"/>
      <c r="F599" s="236"/>
      <c r="G599" s="236"/>
      <c r="H599" s="236">
        <f>SUM(Tabla132112418[[#This Row],[PRIMER TRIMESTRE]:[CUARTO TRIMESTRE]])</f>
        <v>0</v>
      </c>
      <c r="I599" s="17">
        <v>161.28</v>
      </c>
      <c r="J599" s="17">
        <f t="shared" si="16"/>
        <v>0</v>
      </c>
      <c r="K599" s="17"/>
      <c r="L599" s="16" t="s">
        <v>18</v>
      </c>
      <c r="M599" s="16" t="s">
        <v>22</v>
      </c>
      <c r="N599" s="39"/>
    </row>
    <row r="600" spans="1:14" s="12" customFormat="1" ht="18">
      <c r="A600" s="178" t="s">
        <v>95</v>
      </c>
      <c r="B600" s="77" t="s">
        <v>1625</v>
      </c>
      <c r="C600" s="39" t="s">
        <v>17</v>
      </c>
      <c r="D600" s="236"/>
      <c r="E600" s="236"/>
      <c r="F600" s="236"/>
      <c r="G600" s="236"/>
      <c r="H600" s="236">
        <f>SUM(Tabla132112418[[#This Row],[PRIMER TRIMESTRE]:[CUARTO TRIMESTRE]])</f>
        <v>0</v>
      </c>
      <c r="I600" s="17">
        <v>400</v>
      </c>
      <c r="J600" s="17">
        <f t="shared" si="16"/>
        <v>0</v>
      </c>
      <c r="K600" s="17"/>
      <c r="L600" s="16" t="s">
        <v>18</v>
      </c>
      <c r="M600" s="16" t="s">
        <v>22</v>
      </c>
      <c r="N600" s="39"/>
    </row>
    <row r="601" spans="1:14" s="12" customFormat="1" ht="18">
      <c r="A601" s="178" t="s">
        <v>95</v>
      </c>
      <c r="B601" s="77" t="s">
        <v>1542</v>
      </c>
      <c r="C601" s="39" t="s">
        <v>17</v>
      </c>
      <c r="D601" s="236"/>
      <c r="E601" s="236"/>
      <c r="F601" s="236"/>
      <c r="G601" s="236"/>
      <c r="H601" s="236">
        <f>SUM(Tabla132112418[[#This Row],[PRIMER TRIMESTRE]:[CUARTO TRIMESTRE]])</f>
        <v>0</v>
      </c>
      <c r="I601" s="17">
        <v>40</v>
      </c>
      <c r="J601" s="17">
        <f t="shared" si="16"/>
        <v>0</v>
      </c>
      <c r="K601" s="17"/>
      <c r="L601" s="16" t="s">
        <v>18</v>
      </c>
      <c r="M601" s="16" t="s">
        <v>22</v>
      </c>
      <c r="N601" s="39"/>
    </row>
    <row r="602" spans="1:14" s="26" customFormat="1" ht="18">
      <c r="A602" s="178" t="s">
        <v>95</v>
      </c>
      <c r="B602" s="77" t="s">
        <v>1541</v>
      </c>
      <c r="C602" s="39" t="s">
        <v>17</v>
      </c>
      <c r="D602" s="236"/>
      <c r="E602" s="236"/>
      <c r="F602" s="236"/>
      <c r="G602" s="236"/>
      <c r="H602" s="236">
        <f>SUM(Tabla132112418[[#This Row],[PRIMER TRIMESTRE]:[CUARTO TRIMESTRE]])</f>
        <v>0</v>
      </c>
      <c r="I602" s="17">
        <v>170</v>
      </c>
      <c r="J602" s="17">
        <f t="shared" si="16"/>
        <v>0</v>
      </c>
      <c r="K602" s="17"/>
      <c r="L602" s="16" t="s">
        <v>18</v>
      </c>
      <c r="M602" s="16" t="s">
        <v>22</v>
      </c>
      <c r="N602" s="39"/>
    </row>
    <row r="603" spans="1:14" s="12" customFormat="1" ht="25.5">
      <c r="A603" s="178" t="s">
        <v>95</v>
      </c>
      <c r="B603" s="77" t="s">
        <v>1472</v>
      </c>
      <c r="C603" s="39" t="s">
        <v>17</v>
      </c>
      <c r="D603" s="236"/>
      <c r="E603" s="236"/>
      <c r="F603" s="236"/>
      <c r="G603" s="236"/>
      <c r="H603" s="236">
        <f>SUM(Tabla132112418[[#This Row],[PRIMER TRIMESTRE]:[CUARTO TRIMESTRE]])</f>
        <v>0</v>
      </c>
      <c r="I603" s="17">
        <v>28982</v>
      </c>
      <c r="J603" s="17">
        <f t="shared" si="16"/>
        <v>0</v>
      </c>
      <c r="K603" s="17"/>
      <c r="L603" s="16" t="s">
        <v>18</v>
      </c>
      <c r="M603" s="16" t="s">
        <v>22</v>
      </c>
      <c r="N603" s="39"/>
    </row>
    <row r="604" spans="1:14" s="12" customFormat="1" ht="31.5">
      <c r="A604" s="179" t="s">
        <v>95</v>
      </c>
      <c r="B604" s="76"/>
      <c r="C604" s="42"/>
      <c r="D604" s="237"/>
      <c r="E604" s="237"/>
      <c r="F604" s="237"/>
      <c r="G604" s="237"/>
      <c r="H604" s="43"/>
      <c r="I604" s="24"/>
      <c r="J604" s="24"/>
      <c r="K604" s="25">
        <f>SUM(J586:J603)</f>
        <v>0</v>
      </c>
      <c r="L604" s="23"/>
      <c r="M604" s="23"/>
      <c r="N604" s="42"/>
    </row>
    <row r="605" spans="1:14" s="12" customFormat="1" ht="30">
      <c r="A605" s="178" t="s">
        <v>96</v>
      </c>
      <c r="B605" s="75" t="str">
        <f ca="1">+UPPER(Tabla132112418[[#This Row],[DESCRIPCIÓN DE LA COMPRA O CONTRATACIÓN]])</f>
        <v>CUT-OUTS 15 KV 200 AMPERES</v>
      </c>
      <c r="C605" s="39" t="s">
        <v>17</v>
      </c>
      <c r="D605" s="236"/>
      <c r="E605" s="236"/>
      <c r="F605" s="236"/>
      <c r="G605" s="236"/>
      <c r="H605" s="40">
        <f>SUM(Tabla132112418[[#This Row],[PRIMER TRIMESTRE]:[CUARTO TRIMESTRE]])</f>
        <v>0</v>
      </c>
      <c r="I605" s="17">
        <v>6486.1</v>
      </c>
      <c r="J605" s="17">
        <f t="shared" ref="J605:J612" si="17">+H605*I605</f>
        <v>0</v>
      </c>
      <c r="K605" s="17"/>
      <c r="L605" s="16" t="s">
        <v>18</v>
      </c>
      <c r="M605" s="16" t="s">
        <v>22</v>
      </c>
      <c r="N605" s="39"/>
    </row>
    <row r="606" spans="1:14" s="12" customFormat="1" ht="30">
      <c r="A606" s="178" t="s">
        <v>96</v>
      </c>
      <c r="B606" s="75" t="str">
        <f ca="1">+UPPER(Tabla132112418[[#This Row],[DESCRIPCIÓN DE LA COMPRA O CONTRATACIÓN]])</f>
        <v>CUT-OUTS 15 KV 100 AMPERES</v>
      </c>
      <c r="C606" s="39" t="s">
        <v>17</v>
      </c>
      <c r="D606" s="236"/>
      <c r="E606" s="236"/>
      <c r="F606" s="236"/>
      <c r="G606" s="236"/>
      <c r="H606" s="40">
        <f>SUM(Tabla132112418[[#This Row],[PRIMER TRIMESTRE]:[CUARTO TRIMESTRE]])</f>
        <v>0</v>
      </c>
      <c r="I606" s="17">
        <v>4877.16</v>
      </c>
      <c r="J606" s="17">
        <f t="shared" si="17"/>
        <v>0</v>
      </c>
      <c r="K606" s="17"/>
      <c r="L606" s="16" t="s">
        <v>18</v>
      </c>
      <c r="M606" s="16" t="s">
        <v>22</v>
      </c>
      <c r="N606" s="39"/>
    </row>
    <row r="607" spans="1:14" s="12" customFormat="1" ht="30">
      <c r="A607" s="178" t="s">
        <v>96</v>
      </c>
      <c r="B607" s="75" t="str">
        <f ca="1">+UPPER(Tabla132112418[[#This Row],[DESCRIPCIÓN DE LA COMPRA O CONTRATACIÓN]])</f>
        <v>APARTARRAYOS DE 9KV</v>
      </c>
      <c r="C607" s="39" t="s">
        <v>17</v>
      </c>
      <c r="D607" s="236"/>
      <c r="E607" s="236"/>
      <c r="F607" s="236"/>
      <c r="G607" s="236"/>
      <c r="H607" s="40">
        <f>SUM(Tabla132112418[[#This Row],[PRIMER TRIMESTRE]:[CUARTO TRIMESTRE]])</f>
        <v>0</v>
      </c>
      <c r="I607" s="17">
        <v>2726</v>
      </c>
      <c r="J607" s="17">
        <f t="shared" si="17"/>
        <v>0</v>
      </c>
      <c r="K607" s="17"/>
      <c r="L607" s="16" t="s">
        <v>18</v>
      </c>
      <c r="M607" s="16" t="s">
        <v>22</v>
      </c>
      <c r="N607" s="39"/>
    </row>
    <row r="608" spans="1:14" s="12" customFormat="1" ht="30">
      <c r="A608" s="178" t="s">
        <v>96</v>
      </c>
      <c r="B608" s="75" t="s">
        <v>1217</v>
      </c>
      <c r="C608" s="39" t="s">
        <v>17</v>
      </c>
      <c r="D608" s="236"/>
      <c r="E608" s="236"/>
      <c r="F608" s="236"/>
      <c r="G608" s="236"/>
      <c r="H608" s="40">
        <f>SUM(Tabla132112418[[#This Row],[PRIMER TRIMESTRE]:[CUARTO TRIMESTRE]])</f>
        <v>0</v>
      </c>
      <c r="I608" s="17">
        <v>2438.11</v>
      </c>
      <c r="J608" s="17">
        <f t="shared" si="17"/>
        <v>0</v>
      </c>
      <c r="K608" s="17"/>
      <c r="L608" s="16" t="s">
        <v>18</v>
      </c>
      <c r="M608" s="16" t="s">
        <v>22</v>
      </c>
      <c r="N608" s="39"/>
    </row>
    <row r="609" spans="1:14" s="12" customFormat="1" ht="30">
      <c r="A609" s="178" t="s">
        <v>96</v>
      </c>
      <c r="B609" s="75" t="str">
        <f ca="1">+UPPER(Tabla132112418[[#This Row],[DESCRIPCIÓN DE LA COMPRA O CONTRATACIÓN]])</f>
        <v>APARTARRAYOS DE 220V, SECUNDARIO</v>
      </c>
      <c r="C609" s="39" t="s">
        <v>17</v>
      </c>
      <c r="D609" s="236"/>
      <c r="E609" s="236"/>
      <c r="F609" s="236"/>
      <c r="G609" s="236"/>
      <c r="H609" s="40">
        <f>SUM(Tabla132112418[[#This Row],[PRIMER TRIMESTRE]:[CUARTO TRIMESTRE]])</f>
        <v>0</v>
      </c>
      <c r="I609" s="17">
        <v>6840</v>
      </c>
      <c r="J609" s="17">
        <f t="shared" si="17"/>
        <v>0</v>
      </c>
      <c r="K609" s="17"/>
      <c r="L609" s="16" t="s">
        <v>18</v>
      </c>
      <c r="M609" s="16" t="s">
        <v>22</v>
      </c>
      <c r="N609" s="39"/>
    </row>
    <row r="610" spans="1:14" s="12" customFormat="1" ht="30">
      <c r="A610" s="178" t="s">
        <v>96</v>
      </c>
      <c r="B610" s="75" t="str">
        <f ca="1">+UPPER(Tabla132112418[[#This Row],[DESCRIPCIÓN DE LA COMPRA O CONTRATACIÓN]])</f>
        <v>APARTARRAYOS DE 480V, SECUNDARIO</v>
      </c>
      <c r="C610" s="39" t="s">
        <v>17</v>
      </c>
      <c r="D610" s="236"/>
      <c r="E610" s="236"/>
      <c r="F610" s="236"/>
      <c r="G610" s="236"/>
      <c r="H610" s="40">
        <f>SUM(Tabla132112418[[#This Row],[PRIMER TRIMESTRE]:[CUARTO TRIMESTRE]])</f>
        <v>0</v>
      </c>
      <c r="I610" s="72">
        <v>6900</v>
      </c>
      <c r="J610" s="17">
        <f t="shared" si="17"/>
        <v>0</v>
      </c>
      <c r="K610" s="17"/>
      <c r="L610" s="16" t="s">
        <v>18</v>
      </c>
      <c r="M610" s="16" t="s">
        <v>22</v>
      </c>
      <c r="N610" s="39"/>
    </row>
    <row r="611" spans="1:14" s="12" customFormat="1" ht="30">
      <c r="A611" s="178" t="s">
        <v>96</v>
      </c>
      <c r="B611" s="75" t="s">
        <v>1679</v>
      </c>
      <c r="C611" s="39" t="s">
        <v>17</v>
      </c>
      <c r="D611" s="236"/>
      <c r="E611" s="236"/>
      <c r="F611" s="236"/>
      <c r="G611" s="236"/>
      <c r="H611" s="40">
        <v>0</v>
      </c>
      <c r="I611" s="72">
        <v>0</v>
      </c>
      <c r="J611" s="17">
        <v>0</v>
      </c>
      <c r="K611" s="17"/>
      <c r="L611" s="16" t="s">
        <v>18</v>
      </c>
      <c r="M611" s="16" t="s">
        <v>22</v>
      </c>
      <c r="N611" s="39"/>
    </row>
    <row r="612" spans="1:14" s="12" customFormat="1" ht="30">
      <c r="A612" s="178" t="s">
        <v>96</v>
      </c>
      <c r="B612" s="75" t="s">
        <v>1597</v>
      </c>
      <c r="C612" s="39" t="s">
        <v>17</v>
      </c>
      <c r="D612" s="236"/>
      <c r="E612" s="236"/>
      <c r="F612" s="236"/>
      <c r="G612" s="236"/>
      <c r="H612" s="236">
        <f>SUM(Tabla132112418[[#This Row],[PRIMER TRIMESTRE]:[CUARTO TRIMESTRE]])</f>
        <v>0</v>
      </c>
      <c r="I612" s="72">
        <v>101.53</v>
      </c>
      <c r="J612" s="17">
        <f t="shared" si="17"/>
        <v>0</v>
      </c>
      <c r="K612" s="17"/>
      <c r="L612" s="16" t="s">
        <v>18</v>
      </c>
      <c r="M612" s="16" t="s">
        <v>22</v>
      </c>
      <c r="N612" s="39"/>
    </row>
    <row r="613" spans="1:14" s="12" customFormat="1" ht="30">
      <c r="A613" s="178" t="s">
        <v>96</v>
      </c>
      <c r="B613" s="75" t="s">
        <v>777</v>
      </c>
      <c r="C613" s="39" t="s">
        <v>17</v>
      </c>
      <c r="D613" s="236"/>
      <c r="E613" s="236"/>
      <c r="F613" s="236"/>
      <c r="G613" s="236"/>
      <c r="H613" s="236">
        <f>SUM(Tabla132112418[[#This Row],[PRIMER TRIMESTRE]:[CUARTO TRIMESTRE]])</f>
        <v>0</v>
      </c>
      <c r="I613" s="72">
        <v>13750</v>
      </c>
      <c r="J613" s="17">
        <f>+Tabla132112418[[#This Row],[CANTIDAD TOTAL]]*Tabla132112418[[#This Row],[PRECIO UNITARIO ESTIMADO]]</f>
        <v>0</v>
      </c>
      <c r="K613" s="17"/>
      <c r="L613" s="16" t="s">
        <v>18</v>
      </c>
      <c r="M613" s="16" t="s">
        <v>22</v>
      </c>
      <c r="N613" s="39" t="s">
        <v>418</v>
      </c>
    </row>
    <row r="614" spans="1:14" s="12" customFormat="1" ht="30">
      <c r="A614" s="178" t="s">
        <v>96</v>
      </c>
      <c r="B614" s="75" t="s">
        <v>1599</v>
      </c>
      <c r="C614" s="39" t="s">
        <v>17</v>
      </c>
      <c r="D614" s="236"/>
      <c r="E614" s="236"/>
      <c r="F614" s="236"/>
      <c r="G614" s="236"/>
      <c r="H614" s="236">
        <f>SUM(Tabla132112418[[#This Row],[PRIMER TRIMESTRE]:[CUARTO TRIMESTRE]])</f>
        <v>0</v>
      </c>
      <c r="I614" s="72">
        <v>110</v>
      </c>
      <c r="J614" s="17">
        <f>+H614*I614</f>
        <v>0</v>
      </c>
      <c r="K614" s="17"/>
      <c r="L614" s="16" t="s">
        <v>18</v>
      </c>
      <c r="M614" s="16" t="s">
        <v>22</v>
      </c>
      <c r="N614" s="39"/>
    </row>
    <row r="615" spans="1:14" s="12" customFormat="1" ht="30">
      <c r="A615" s="178" t="s">
        <v>96</v>
      </c>
      <c r="B615" s="75" t="s">
        <v>1600</v>
      </c>
      <c r="C615" s="39" t="s">
        <v>17</v>
      </c>
      <c r="D615" s="236"/>
      <c r="E615" s="236"/>
      <c r="F615" s="236"/>
      <c r="G615" s="236"/>
      <c r="H615" s="236">
        <f>SUM(Tabla132112418[[#This Row],[PRIMER TRIMESTRE]:[CUARTO TRIMESTRE]])</f>
        <v>0</v>
      </c>
      <c r="I615" s="72">
        <v>40</v>
      </c>
      <c r="J615" s="17">
        <f>+H615*I615</f>
        <v>0</v>
      </c>
      <c r="K615" s="17"/>
      <c r="L615" s="16" t="s">
        <v>18</v>
      </c>
      <c r="M615" s="16" t="s">
        <v>22</v>
      </c>
      <c r="N615" s="39"/>
    </row>
    <row r="616" spans="1:14" s="12" customFormat="1" ht="30">
      <c r="A616" s="178" t="s">
        <v>96</v>
      </c>
      <c r="B616" s="75" t="s">
        <v>1598</v>
      </c>
      <c r="C616" s="39" t="s">
        <v>17</v>
      </c>
      <c r="D616" s="236"/>
      <c r="E616" s="236"/>
      <c r="F616" s="236"/>
      <c r="G616" s="236"/>
      <c r="H616" s="236">
        <f>SUM(Tabla132112418[[#This Row],[PRIMER TRIMESTRE]:[CUARTO TRIMESTRE]])</f>
        <v>0</v>
      </c>
      <c r="I616" s="72">
        <v>90</v>
      </c>
      <c r="J616" s="17">
        <f>+H616*I616</f>
        <v>0</v>
      </c>
      <c r="K616" s="17"/>
      <c r="L616" s="16" t="s">
        <v>18</v>
      </c>
      <c r="M616" s="16" t="s">
        <v>22</v>
      </c>
      <c r="N616" s="39"/>
    </row>
    <row r="617" spans="1:14" s="12" customFormat="1" ht="30">
      <c r="A617" s="178" t="s">
        <v>96</v>
      </c>
      <c r="B617" s="75" t="s">
        <v>210</v>
      </c>
      <c r="C617" s="39" t="s">
        <v>17</v>
      </c>
      <c r="D617" s="236"/>
      <c r="E617" s="236"/>
      <c r="F617" s="236"/>
      <c r="G617" s="236"/>
      <c r="H617" s="236">
        <f>SUM(Tabla132112418[[#This Row],[PRIMER TRIMESTRE]:[CUARTO TRIMESTRE]])</f>
        <v>0</v>
      </c>
      <c r="I617" s="72">
        <v>13750</v>
      </c>
      <c r="J617" s="17">
        <f>+Tabla132112418[[#This Row],[CANTIDAD TOTAL]]*Tabla132112418[[#This Row],[PRECIO UNITARIO ESTIMADO]]</f>
        <v>0</v>
      </c>
      <c r="K617" s="17"/>
      <c r="L617" s="16" t="s">
        <v>18</v>
      </c>
      <c r="M617" s="16" t="s">
        <v>22</v>
      </c>
      <c r="N617" s="39" t="s">
        <v>418</v>
      </c>
    </row>
    <row r="618" spans="1:14" s="12" customFormat="1" ht="30">
      <c r="A618" s="178" t="s">
        <v>96</v>
      </c>
      <c r="B618" s="75" t="s">
        <v>1594</v>
      </c>
      <c r="C618" s="39" t="s">
        <v>17</v>
      </c>
      <c r="D618" s="236"/>
      <c r="E618" s="236"/>
      <c r="F618" s="236"/>
      <c r="G618" s="236"/>
      <c r="H618" s="236">
        <f>SUM(Tabla132112418[[#This Row],[PRIMER TRIMESTRE]:[CUARTO TRIMESTRE]])</f>
        <v>0</v>
      </c>
      <c r="I618" s="72">
        <v>95</v>
      </c>
      <c r="J618" s="17">
        <f>+H618*I618</f>
        <v>0</v>
      </c>
      <c r="K618" s="17"/>
      <c r="L618" s="16" t="s">
        <v>18</v>
      </c>
      <c r="M618" s="16" t="s">
        <v>22</v>
      </c>
      <c r="N618" s="39"/>
    </row>
    <row r="619" spans="1:14" s="12" customFormat="1" ht="30">
      <c r="A619" s="178" t="s">
        <v>96</v>
      </c>
      <c r="B619" s="75" t="s">
        <v>1596</v>
      </c>
      <c r="C619" s="39" t="s">
        <v>17</v>
      </c>
      <c r="D619" s="236"/>
      <c r="E619" s="236"/>
      <c r="F619" s="236"/>
      <c r="G619" s="236"/>
      <c r="H619" s="236">
        <f>SUM(Tabla132112418[[#This Row],[PRIMER TRIMESTRE]:[CUARTO TRIMESTRE]])</f>
        <v>0</v>
      </c>
      <c r="I619" s="72">
        <v>95</v>
      </c>
      <c r="J619" s="17">
        <f>+H619*I619</f>
        <v>0</v>
      </c>
      <c r="K619" s="17"/>
      <c r="L619" s="16" t="s">
        <v>18</v>
      </c>
      <c r="M619" s="16" t="s">
        <v>22</v>
      </c>
      <c r="N619" s="39"/>
    </row>
    <row r="620" spans="1:14" s="12" customFormat="1" ht="30">
      <c r="A620" s="178" t="s">
        <v>96</v>
      </c>
      <c r="B620" s="75" t="s">
        <v>211</v>
      </c>
      <c r="C620" s="39" t="s">
        <v>17</v>
      </c>
      <c r="D620" s="236"/>
      <c r="E620" s="236"/>
      <c r="F620" s="236"/>
      <c r="G620" s="236"/>
      <c r="H620" s="40">
        <f>SUM(Tabla132112418[[#This Row],[PRIMER TRIMESTRE]:[CUARTO TRIMESTRE]])</f>
        <v>0</v>
      </c>
      <c r="I620" s="17">
        <v>191</v>
      </c>
      <c r="J620" s="17">
        <f>+Tabla132112418[[#This Row],[CANTIDAD TOTAL]]*Tabla132112418[[#This Row],[PRECIO UNITARIO ESTIMADO]]</f>
        <v>0</v>
      </c>
      <c r="K620" s="17"/>
      <c r="L620" s="16" t="s">
        <v>18</v>
      </c>
      <c r="M620" s="16" t="s">
        <v>22</v>
      </c>
      <c r="N620" s="39" t="s">
        <v>418</v>
      </c>
    </row>
    <row r="621" spans="1:14" s="12" customFormat="1" ht="30">
      <c r="A621" s="178" t="s">
        <v>96</v>
      </c>
      <c r="B621" s="75" t="s">
        <v>772</v>
      </c>
      <c r="C621" s="39" t="s">
        <v>17</v>
      </c>
      <c r="D621" s="236"/>
      <c r="E621" s="236"/>
      <c r="F621" s="236"/>
      <c r="G621" s="236"/>
      <c r="H621" s="40">
        <f>SUM(Tabla132112418[[#This Row],[PRIMER TRIMESTRE]:[CUARTO TRIMESTRE]])</f>
        <v>0</v>
      </c>
      <c r="I621" s="72">
        <v>7700</v>
      </c>
      <c r="J621" s="17">
        <f>+H621*I621</f>
        <v>0</v>
      </c>
      <c r="K621" s="17"/>
      <c r="L621" s="16" t="s">
        <v>18</v>
      </c>
      <c r="M621" s="16" t="s">
        <v>22</v>
      </c>
      <c r="N621" s="39"/>
    </row>
    <row r="622" spans="1:14" s="12" customFormat="1" ht="30">
      <c r="A622" s="178" t="s">
        <v>96</v>
      </c>
      <c r="B622" s="75" t="s">
        <v>1690</v>
      </c>
      <c r="C622" s="39" t="s">
        <v>343</v>
      </c>
      <c r="D622" s="236"/>
      <c r="E622" s="236"/>
      <c r="F622" s="236"/>
      <c r="G622" s="236"/>
      <c r="H622" s="40">
        <v>0</v>
      </c>
      <c r="I622" s="72">
        <v>0</v>
      </c>
      <c r="J622" s="17">
        <v>0</v>
      </c>
      <c r="K622" s="17"/>
      <c r="L622" s="16" t="s">
        <v>18</v>
      </c>
      <c r="M622" s="16" t="s">
        <v>22</v>
      </c>
      <c r="N622" s="39"/>
    </row>
    <row r="623" spans="1:14" s="12" customFormat="1" ht="30">
      <c r="A623" s="178" t="s">
        <v>96</v>
      </c>
      <c r="B623" s="75" t="s">
        <v>229</v>
      </c>
      <c r="C623" s="39" t="s">
        <v>17</v>
      </c>
      <c r="D623" s="236"/>
      <c r="E623" s="236"/>
      <c r="F623" s="236"/>
      <c r="G623" s="236"/>
      <c r="H623" s="40">
        <f>SUM(Tabla132112418[[#This Row],[PRIMER TRIMESTRE]:[CUARTO TRIMESTRE]])</f>
        <v>0</v>
      </c>
      <c r="I623" s="17">
        <v>6460</v>
      </c>
      <c r="J623" s="17">
        <f>+Tabla132112418[[#This Row],[CANTIDAD TOTAL]]*Tabla132112418[[#This Row],[PRECIO UNITARIO ESTIMADO]]</f>
        <v>0</v>
      </c>
      <c r="K623" s="17"/>
      <c r="L623" s="16" t="s">
        <v>18</v>
      </c>
      <c r="M623" s="16" t="s">
        <v>22</v>
      </c>
      <c r="N623" s="39"/>
    </row>
    <row r="624" spans="1:14" s="12" customFormat="1" ht="30">
      <c r="A624" s="178" t="s">
        <v>96</v>
      </c>
      <c r="B624" s="75" t="s">
        <v>1712</v>
      </c>
      <c r="C624" s="39" t="s">
        <v>17</v>
      </c>
      <c r="D624" s="236"/>
      <c r="E624" s="236"/>
      <c r="F624" s="236"/>
      <c r="G624" s="236"/>
      <c r="H624" s="40">
        <v>0</v>
      </c>
      <c r="I624" s="17">
        <v>0</v>
      </c>
      <c r="J624" s="17">
        <v>0</v>
      </c>
      <c r="K624" s="17"/>
      <c r="L624" s="16" t="s">
        <v>18</v>
      </c>
      <c r="M624" s="16" t="s">
        <v>22</v>
      </c>
      <c r="N624" s="39"/>
    </row>
    <row r="625" spans="1:14" s="12" customFormat="1" ht="30">
      <c r="A625" s="178" t="s">
        <v>96</v>
      </c>
      <c r="B625" s="75" t="s">
        <v>1218</v>
      </c>
      <c r="C625" s="39" t="s">
        <v>17</v>
      </c>
      <c r="D625" s="236"/>
      <c r="E625" s="236"/>
      <c r="F625" s="236"/>
      <c r="G625" s="236"/>
      <c r="H625" s="40">
        <f>SUM(Tabla132112418[[#This Row],[PRIMER TRIMESTRE]:[CUARTO TRIMESTRE]])</f>
        <v>0</v>
      </c>
      <c r="I625" s="17">
        <v>6460</v>
      </c>
      <c r="J625" s="17">
        <f>+H625*I625</f>
        <v>0</v>
      </c>
      <c r="K625" s="17"/>
      <c r="L625" s="16" t="s">
        <v>18</v>
      </c>
      <c r="M625" s="16" t="s">
        <v>22</v>
      </c>
      <c r="N625" s="39"/>
    </row>
    <row r="626" spans="1:14" s="12" customFormat="1" ht="30">
      <c r="A626" s="178" t="s">
        <v>96</v>
      </c>
      <c r="B626" s="75" t="s">
        <v>1683</v>
      </c>
      <c r="C626" s="39" t="s">
        <v>17</v>
      </c>
      <c r="D626" s="236"/>
      <c r="E626" s="236"/>
      <c r="F626" s="236"/>
      <c r="G626" s="236"/>
      <c r="H626" s="40">
        <v>0</v>
      </c>
      <c r="I626" s="17">
        <v>0</v>
      </c>
      <c r="J626" s="17">
        <v>0</v>
      </c>
      <c r="K626" s="17"/>
      <c r="L626" s="16" t="s">
        <v>18</v>
      </c>
      <c r="M626" s="16" t="s">
        <v>22</v>
      </c>
      <c r="N626" s="39"/>
    </row>
    <row r="627" spans="1:14" s="12" customFormat="1" ht="30">
      <c r="A627" s="178" t="s">
        <v>96</v>
      </c>
      <c r="B627" s="75" t="s">
        <v>1731</v>
      </c>
      <c r="C627" s="39" t="s">
        <v>17</v>
      </c>
      <c r="D627" s="236"/>
      <c r="E627" s="236"/>
      <c r="F627" s="236"/>
      <c r="G627" s="236"/>
      <c r="H627" s="40">
        <v>0</v>
      </c>
      <c r="I627" s="17">
        <v>0</v>
      </c>
      <c r="J627" s="17">
        <v>0</v>
      </c>
      <c r="K627" s="17"/>
      <c r="L627" s="16" t="s">
        <v>18</v>
      </c>
      <c r="M627" s="16" t="s">
        <v>22</v>
      </c>
      <c r="N627" s="39"/>
    </row>
    <row r="628" spans="1:14" s="12" customFormat="1" ht="30">
      <c r="A628" s="178" t="s">
        <v>96</v>
      </c>
      <c r="B628" s="75" t="s">
        <v>770</v>
      </c>
      <c r="C628" s="39" t="s">
        <v>17</v>
      </c>
      <c r="D628" s="236"/>
      <c r="E628" s="236"/>
      <c r="F628" s="236"/>
      <c r="G628" s="236"/>
      <c r="H628" s="40">
        <f>SUM(Tabla132112418[[#This Row],[PRIMER TRIMESTRE]:[CUARTO TRIMESTRE]])</f>
        <v>0</v>
      </c>
      <c r="I628" s="17">
        <v>12589</v>
      </c>
      <c r="J628" s="17">
        <f>+Tabla132112418[[#This Row],[CANTIDAD TOTAL]]*Tabla132112418[[#This Row],[PRECIO UNITARIO ESTIMADO]]</f>
        <v>0</v>
      </c>
      <c r="K628" s="17"/>
      <c r="L628" s="16" t="s">
        <v>18</v>
      </c>
      <c r="M628" s="16" t="s">
        <v>22</v>
      </c>
      <c r="N628" s="39"/>
    </row>
    <row r="629" spans="1:14" s="12" customFormat="1" ht="30">
      <c r="A629" s="178" t="s">
        <v>96</v>
      </c>
      <c r="B629" s="75" t="s">
        <v>771</v>
      </c>
      <c r="C629" s="39" t="s">
        <v>17</v>
      </c>
      <c r="D629" s="236"/>
      <c r="E629" s="236"/>
      <c r="F629" s="236"/>
      <c r="G629" s="236"/>
      <c r="H629" s="40">
        <f>SUM(Tabla132112418[[#This Row],[PRIMER TRIMESTRE]:[CUARTO TRIMESTRE]])</f>
        <v>0</v>
      </c>
      <c r="I629" s="72">
        <v>14625</v>
      </c>
      <c r="J629" s="17">
        <f t="shared" ref="J629:J692" si="18">+H629*I629</f>
        <v>0</v>
      </c>
      <c r="K629" s="17"/>
      <c r="L629" s="16" t="s">
        <v>18</v>
      </c>
      <c r="M629" s="16" t="s">
        <v>22</v>
      </c>
      <c r="N629" s="39"/>
    </row>
    <row r="630" spans="1:14" s="12" customFormat="1" ht="30">
      <c r="A630" s="178" t="s">
        <v>96</v>
      </c>
      <c r="B630" s="75" t="s">
        <v>1219</v>
      </c>
      <c r="C630" s="39" t="s">
        <v>17</v>
      </c>
      <c r="D630" s="236"/>
      <c r="E630" s="236"/>
      <c r="F630" s="236"/>
      <c r="G630" s="236"/>
      <c r="H630" s="40">
        <f>SUM(Tabla132112418[[#This Row],[PRIMER TRIMESTRE]:[CUARTO TRIMESTRE]])</f>
        <v>0</v>
      </c>
      <c r="I630" s="72">
        <v>28650</v>
      </c>
      <c r="J630" s="17">
        <f t="shared" si="18"/>
        <v>0</v>
      </c>
      <c r="K630" s="17"/>
      <c r="L630" s="17" t="s">
        <v>18</v>
      </c>
      <c r="M630" s="16" t="s">
        <v>22</v>
      </c>
      <c r="N630" s="39"/>
    </row>
    <row r="631" spans="1:14" s="12" customFormat="1" ht="30">
      <c r="A631" s="178" t="s">
        <v>96</v>
      </c>
      <c r="B631" s="75" t="s">
        <v>803</v>
      </c>
      <c r="C631" s="39" t="s">
        <v>343</v>
      </c>
      <c r="D631" s="236"/>
      <c r="E631" s="236"/>
      <c r="F631" s="236"/>
      <c r="G631" s="236"/>
      <c r="H631" s="40">
        <f>SUM(Tabla132112418[[#This Row],[PRIMER TRIMESTRE]:[CUARTO TRIMESTRE]])</f>
        <v>0</v>
      </c>
      <c r="I631" s="72">
        <v>5.64</v>
      </c>
      <c r="J631" s="17">
        <f t="shared" si="18"/>
        <v>0</v>
      </c>
      <c r="K631" s="17"/>
      <c r="L631" s="17" t="s">
        <v>18</v>
      </c>
      <c r="M631" s="16" t="s">
        <v>22</v>
      </c>
      <c r="N631" s="39" t="s">
        <v>418</v>
      </c>
    </row>
    <row r="632" spans="1:14" s="12" customFormat="1" ht="30">
      <c r="A632" s="178" t="s">
        <v>96</v>
      </c>
      <c r="B632" s="75" t="s">
        <v>804</v>
      </c>
      <c r="C632" s="39" t="s">
        <v>343</v>
      </c>
      <c r="D632" s="236"/>
      <c r="E632" s="236"/>
      <c r="F632" s="236"/>
      <c r="G632" s="236"/>
      <c r="H632" s="40">
        <f>SUM(Tabla132112418[[#This Row],[PRIMER TRIMESTRE]:[CUARTO TRIMESTRE]])</f>
        <v>0</v>
      </c>
      <c r="I632" s="17">
        <v>12</v>
      </c>
      <c r="J632" s="17">
        <f t="shared" si="18"/>
        <v>0</v>
      </c>
      <c r="K632" s="17"/>
      <c r="L632" s="17" t="s">
        <v>18</v>
      </c>
      <c r="M632" s="16" t="s">
        <v>22</v>
      </c>
      <c r="N632" s="39" t="s">
        <v>418</v>
      </c>
    </row>
    <row r="633" spans="1:14" s="12" customFormat="1" ht="30">
      <c r="A633" s="178" t="s">
        <v>96</v>
      </c>
      <c r="B633" s="75" t="s">
        <v>805</v>
      </c>
      <c r="C633" s="39" t="s">
        <v>343</v>
      </c>
      <c r="D633" s="236"/>
      <c r="E633" s="236"/>
      <c r="F633" s="236"/>
      <c r="G633" s="236"/>
      <c r="H633" s="40">
        <f>SUM(Tabla132112418[[#This Row],[PRIMER TRIMESTRE]:[CUARTO TRIMESTRE]])</f>
        <v>0</v>
      </c>
      <c r="I633" s="72">
        <v>19</v>
      </c>
      <c r="J633" s="17">
        <f t="shared" si="18"/>
        <v>0</v>
      </c>
      <c r="K633" s="17"/>
      <c r="L633" s="17" t="s">
        <v>18</v>
      </c>
      <c r="M633" s="16" t="s">
        <v>22</v>
      </c>
      <c r="N633" s="39" t="s">
        <v>418</v>
      </c>
    </row>
    <row r="634" spans="1:14" s="12" customFormat="1" ht="30">
      <c r="A634" s="178" t="s">
        <v>96</v>
      </c>
      <c r="B634" s="75" t="s">
        <v>806</v>
      </c>
      <c r="C634" s="39" t="s">
        <v>343</v>
      </c>
      <c r="D634" s="236"/>
      <c r="E634" s="236"/>
      <c r="F634" s="236"/>
      <c r="G634" s="236"/>
      <c r="H634" s="40">
        <f>SUM(Tabla132112418[[#This Row],[PRIMER TRIMESTRE]:[CUARTO TRIMESTRE]])</f>
        <v>0</v>
      </c>
      <c r="I634" s="72">
        <v>22</v>
      </c>
      <c r="J634" s="17">
        <f t="shared" si="18"/>
        <v>0</v>
      </c>
      <c r="K634" s="17"/>
      <c r="L634" s="17" t="s">
        <v>18</v>
      </c>
      <c r="M634" s="16" t="s">
        <v>22</v>
      </c>
      <c r="N634" s="39" t="s">
        <v>418</v>
      </c>
    </row>
    <row r="635" spans="1:14" s="12" customFormat="1" ht="30">
      <c r="A635" s="178" t="s">
        <v>96</v>
      </c>
      <c r="B635" s="75" t="s">
        <v>807</v>
      </c>
      <c r="C635" s="39" t="s">
        <v>343</v>
      </c>
      <c r="D635" s="236"/>
      <c r="E635" s="236"/>
      <c r="F635" s="236"/>
      <c r="G635" s="236"/>
      <c r="H635" s="40">
        <f>SUM(Tabla132112418[[#This Row],[PRIMER TRIMESTRE]:[CUARTO TRIMESTRE]])</f>
        <v>0</v>
      </c>
      <c r="I635" s="72">
        <v>30.5</v>
      </c>
      <c r="J635" s="17">
        <f t="shared" si="18"/>
        <v>0</v>
      </c>
      <c r="K635" s="17"/>
      <c r="L635" s="17" t="s">
        <v>18</v>
      </c>
      <c r="M635" s="16" t="s">
        <v>22</v>
      </c>
      <c r="N635" s="39" t="s">
        <v>418</v>
      </c>
    </row>
    <row r="636" spans="1:14" s="12" customFormat="1" ht="30">
      <c r="A636" s="178" t="s">
        <v>96</v>
      </c>
      <c r="B636" s="75" t="s">
        <v>808</v>
      </c>
      <c r="C636" s="39" t="s">
        <v>343</v>
      </c>
      <c r="D636" s="236"/>
      <c r="E636" s="236"/>
      <c r="F636" s="236"/>
      <c r="G636" s="236"/>
      <c r="H636" s="40">
        <f>SUM(Tabla132112418[[#This Row],[PRIMER TRIMESTRE]:[CUARTO TRIMESTRE]])</f>
        <v>0</v>
      </c>
      <c r="I636" s="72">
        <v>49.27</v>
      </c>
      <c r="J636" s="17">
        <f t="shared" si="18"/>
        <v>0</v>
      </c>
      <c r="K636" s="17"/>
      <c r="L636" s="17" t="s">
        <v>18</v>
      </c>
      <c r="M636" s="16" t="s">
        <v>22</v>
      </c>
      <c r="N636" s="39" t="s">
        <v>418</v>
      </c>
    </row>
    <row r="637" spans="1:14" s="12" customFormat="1" ht="30">
      <c r="A637" s="178" t="s">
        <v>96</v>
      </c>
      <c r="B637" s="75" t="s">
        <v>809</v>
      </c>
      <c r="C637" s="39" t="s">
        <v>343</v>
      </c>
      <c r="D637" s="236"/>
      <c r="E637" s="236"/>
      <c r="F637" s="236"/>
      <c r="G637" s="236"/>
      <c r="H637" s="40">
        <f>SUM(Tabla132112418[[#This Row],[PRIMER TRIMESTRE]:[CUARTO TRIMESTRE]])</f>
        <v>0</v>
      </c>
      <c r="I637" s="72">
        <v>73</v>
      </c>
      <c r="J637" s="17">
        <f t="shared" si="18"/>
        <v>0</v>
      </c>
      <c r="K637" s="17"/>
      <c r="L637" s="17" t="s">
        <v>18</v>
      </c>
      <c r="M637" s="16" t="s">
        <v>22</v>
      </c>
      <c r="N637" s="39" t="s">
        <v>418</v>
      </c>
    </row>
    <row r="638" spans="1:14" s="12" customFormat="1" ht="30">
      <c r="A638" s="178" t="s">
        <v>96</v>
      </c>
      <c r="B638" s="75" t="s">
        <v>810</v>
      </c>
      <c r="C638" s="39" t="s">
        <v>343</v>
      </c>
      <c r="D638" s="236"/>
      <c r="E638" s="236"/>
      <c r="F638" s="236"/>
      <c r="G638" s="236"/>
      <c r="H638" s="40">
        <f>SUM(Tabla132112418[[#This Row],[PRIMER TRIMESTRE]:[CUARTO TRIMESTRE]])</f>
        <v>0</v>
      </c>
      <c r="I638" s="17">
        <v>95</v>
      </c>
      <c r="J638" s="17">
        <f t="shared" si="18"/>
        <v>0</v>
      </c>
      <c r="K638" s="17"/>
      <c r="L638" s="17" t="s">
        <v>18</v>
      </c>
      <c r="M638" s="16" t="s">
        <v>22</v>
      </c>
      <c r="N638" s="39" t="s">
        <v>418</v>
      </c>
    </row>
    <row r="639" spans="1:14" s="12" customFormat="1" ht="30">
      <c r="A639" s="178" t="s">
        <v>96</v>
      </c>
      <c r="B639" s="75" t="s">
        <v>811</v>
      </c>
      <c r="C639" s="39" t="s">
        <v>343</v>
      </c>
      <c r="D639" s="236"/>
      <c r="E639" s="236"/>
      <c r="F639" s="236"/>
      <c r="G639" s="236"/>
      <c r="H639" s="40">
        <f>SUM(Tabla132112418[[#This Row],[PRIMER TRIMESTRE]:[CUARTO TRIMESTRE]])</f>
        <v>0</v>
      </c>
      <c r="I639" s="17">
        <v>121.25</v>
      </c>
      <c r="J639" s="17">
        <f t="shared" si="18"/>
        <v>0</v>
      </c>
      <c r="K639" s="17"/>
      <c r="L639" s="17" t="s">
        <v>18</v>
      </c>
      <c r="M639" s="16" t="s">
        <v>22</v>
      </c>
      <c r="N639" s="39" t="s">
        <v>418</v>
      </c>
    </row>
    <row r="640" spans="1:14" s="12" customFormat="1" ht="30">
      <c r="A640" s="178" t="s">
        <v>96</v>
      </c>
      <c r="B640" s="75" t="s">
        <v>812</v>
      </c>
      <c r="C640" s="39" t="s">
        <v>343</v>
      </c>
      <c r="D640" s="236"/>
      <c r="E640" s="236"/>
      <c r="F640" s="236"/>
      <c r="G640" s="236"/>
      <c r="H640" s="40">
        <f>SUM(Tabla132112418[[#This Row],[PRIMER TRIMESTRE]:[CUARTO TRIMESTRE]])</f>
        <v>0</v>
      </c>
      <c r="I640" s="17">
        <v>163.98</v>
      </c>
      <c r="J640" s="17">
        <f t="shared" si="18"/>
        <v>0</v>
      </c>
      <c r="K640" s="17"/>
      <c r="L640" s="17" t="s">
        <v>18</v>
      </c>
      <c r="M640" s="16" t="s">
        <v>22</v>
      </c>
      <c r="N640" s="39" t="s">
        <v>418</v>
      </c>
    </row>
    <row r="641" spans="1:14" s="12" customFormat="1" ht="30">
      <c r="A641" s="178" t="s">
        <v>96</v>
      </c>
      <c r="B641" s="75" t="s">
        <v>1479</v>
      </c>
      <c r="C641" s="39" t="s">
        <v>343</v>
      </c>
      <c r="D641" s="236"/>
      <c r="E641" s="236"/>
      <c r="F641" s="236"/>
      <c r="G641" s="236"/>
      <c r="H641" s="236">
        <f>SUM(Tabla132112418[[#This Row],[PRIMER TRIMESTRE]:[CUARTO TRIMESTRE]])</f>
        <v>0</v>
      </c>
      <c r="I641" s="17">
        <v>249.9</v>
      </c>
      <c r="J641" s="17">
        <f t="shared" si="18"/>
        <v>0</v>
      </c>
      <c r="K641" s="17"/>
      <c r="L641" s="17" t="s">
        <v>18</v>
      </c>
      <c r="M641" s="16" t="s">
        <v>22</v>
      </c>
      <c r="N641" s="39" t="s">
        <v>418</v>
      </c>
    </row>
    <row r="642" spans="1:14" s="12" customFormat="1" ht="30">
      <c r="A642" s="178" t="s">
        <v>96</v>
      </c>
      <c r="B642" s="75" t="s">
        <v>1463</v>
      </c>
      <c r="C642" s="39" t="s">
        <v>343</v>
      </c>
      <c r="D642" s="236"/>
      <c r="E642" s="236"/>
      <c r="F642" s="236"/>
      <c r="G642" s="236"/>
      <c r="H642" s="40">
        <f>SUM(Tabla132112418[[#This Row],[PRIMER TRIMESTRE]:[CUARTO TRIMESTRE]])</f>
        <v>0</v>
      </c>
      <c r="I642" s="17">
        <v>175</v>
      </c>
      <c r="J642" s="17">
        <f t="shared" si="18"/>
        <v>0</v>
      </c>
      <c r="K642" s="17"/>
      <c r="L642" s="17" t="s">
        <v>18</v>
      </c>
      <c r="M642" s="16" t="s">
        <v>22</v>
      </c>
      <c r="N642" s="39" t="s">
        <v>418</v>
      </c>
    </row>
    <row r="643" spans="1:14" s="12" customFormat="1" ht="30">
      <c r="A643" s="178" t="s">
        <v>96</v>
      </c>
      <c r="B643" s="75" t="s">
        <v>1448</v>
      </c>
      <c r="C643" s="39" t="s">
        <v>343</v>
      </c>
      <c r="D643" s="236"/>
      <c r="E643" s="236"/>
      <c r="F643" s="236"/>
      <c r="G643" s="236"/>
      <c r="H643" s="40">
        <f>SUM(Tabla132112418[[#This Row],[PRIMER TRIMESTRE]:[CUARTO TRIMESTRE]])</f>
        <v>0</v>
      </c>
      <c r="I643" s="17">
        <v>120</v>
      </c>
      <c r="J643" s="17">
        <f t="shared" si="18"/>
        <v>0</v>
      </c>
      <c r="K643" s="17"/>
      <c r="L643" s="17" t="s">
        <v>18</v>
      </c>
      <c r="M643" s="16" t="s">
        <v>22</v>
      </c>
      <c r="N643" s="39" t="s">
        <v>418</v>
      </c>
    </row>
    <row r="644" spans="1:14" s="12" customFormat="1" ht="30">
      <c r="A644" s="178" t="s">
        <v>96</v>
      </c>
      <c r="B644" s="75" t="s">
        <v>1476</v>
      </c>
      <c r="C644" s="39" t="s">
        <v>343</v>
      </c>
      <c r="D644" s="236"/>
      <c r="E644" s="236"/>
      <c r="F644" s="236"/>
      <c r="G644" s="236"/>
      <c r="H644" s="236">
        <f>SUM(Tabla132112418[[#This Row],[PRIMER TRIMESTRE]:[CUARTO TRIMESTRE]])</f>
        <v>0</v>
      </c>
      <c r="I644" s="17">
        <v>48.72</v>
      </c>
      <c r="J644" s="17">
        <f t="shared" si="18"/>
        <v>0</v>
      </c>
      <c r="K644" s="17"/>
      <c r="L644" s="17" t="s">
        <v>18</v>
      </c>
      <c r="M644" s="16" t="s">
        <v>22</v>
      </c>
      <c r="N644" s="39" t="s">
        <v>418</v>
      </c>
    </row>
    <row r="645" spans="1:14" s="12" customFormat="1" ht="30">
      <c r="A645" s="178" t="s">
        <v>96</v>
      </c>
      <c r="B645" s="75" t="s">
        <v>1477</v>
      </c>
      <c r="C645" s="39" t="s">
        <v>343</v>
      </c>
      <c r="D645" s="236"/>
      <c r="E645" s="236"/>
      <c r="F645" s="236"/>
      <c r="G645" s="236"/>
      <c r="H645" s="236">
        <f>SUM(Tabla132112418[[#This Row],[PRIMER TRIMESTRE]:[CUARTO TRIMESTRE]])</f>
        <v>0</v>
      </c>
      <c r="I645" s="17">
        <v>78</v>
      </c>
      <c r="J645" s="17">
        <f t="shared" si="18"/>
        <v>0</v>
      </c>
      <c r="K645" s="17"/>
      <c r="L645" s="17" t="s">
        <v>18</v>
      </c>
      <c r="M645" s="16" t="s">
        <v>22</v>
      </c>
      <c r="N645" s="39" t="s">
        <v>418</v>
      </c>
    </row>
    <row r="646" spans="1:14" s="12" customFormat="1" ht="30">
      <c r="A646" s="178" t="s">
        <v>96</v>
      </c>
      <c r="B646" s="75" t="s">
        <v>1680</v>
      </c>
      <c r="C646" s="39" t="s">
        <v>343</v>
      </c>
      <c r="D646" s="236"/>
      <c r="E646" s="236"/>
      <c r="F646" s="236"/>
      <c r="G646" s="236"/>
      <c r="H646" s="40">
        <v>0</v>
      </c>
      <c r="I646" s="17">
        <v>0</v>
      </c>
      <c r="J646" s="17">
        <v>0</v>
      </c>
      <c r="K646" s="17"/>
      <c r="L646" s="17" t="s">
        <v>18</v>
      </c>
      <c r="M646" s="16" t="s">
        <v>22</v>
      </c>
      <c r="N646" s="39" t="s">
        <v>418</v>
      </c>
    </row>
    <row r="647" spans="1:14" s="12" customFormat="1" ht="30">
      <c r="A647" s="178" t="s">
        <v>96</v>
      </c>
      <c r="B647" s="75" t="s">
        <v>1478</v>
      </c>
      <c r="C647" s="39" t="s">
        <v>343</v>
      </c>
      <c r="D647" s="236"/>
      <c r="E647" s="236"/>
      <c r="F647" s="236"/>
      <c r="G647" s="236"/>
      <c r="H647" s="236">
        <f>SUM(Tabla132112418[[#This Row],[PRIMER TRIMESTRE]:[CUARTO TRIMESTRE]])</f>
        <v>0</v>
      </c>
      <c r="I647" s="17">
        <v>109.2</v>
      </c>
      <c r="J647" s="17">
        <f t="shared" si="18"/>
        <v>0</v>
      </c>
      <c r="K647" s="17"/>
      <c r="L647" s="17" t="s">
        <v>18</v>
      </c>
      <c r="M647" s="16" t="s">
        <v>22</v>
      </c>
      <c r="N647" s="39" t="s">
        <v>418</v>
      </c>
    </row>
    <row r="648" spans="1:14" s="12" customFormat="1" ht="30">
      <c r="A648" s="178" t="s">
        <v>96</v>
      </c>
      <c r="B648" s="75" t="s">
        <v>1473</v>
      </c>
      <c r="C648" s="39" t="s">
        <v>343</v>
      </c>
      <c r="D648" s="236"/>
      <c r="E648" s="236"/>
      <c r="F648" s="236"/>
      <c r="G648" s="236"/>
      <c r="H648" s="236">
        <f>SUM(Tabla132112418[[#This Row],[PRIMER TRIMESTRE]:[CUARTO TRIMESTRE]])</f>
        <v>0</v>
      </c>
      <c r="I648" s="17">
        <v>126</v>
      </c>
      <c r="J648" s="17">
        <f t="shared" si="18"/>
        <v>0</v>
      </c>
      <c r="K648" s="17"/>
      <c r="L648" s="17" t="s">
        <v>18</v>
      </c>
      <c r="M648" s="16" t="s">
        <v>22</v>
      </c>
      <c r="N648" s="39" t="s">
        <v>418</v>
      </c>
    </row>
    <row r="649" spans="1:14" s="12" customFormat="1" ht="30">
      <c r="A649" s="178" t="s">
        <v>96</v>
      </c>
      <c r="B649" s="75" t="s">
        <v>1474</v>
      </c>
      <c r="C649" s="39" t="s">
        <v>343</v>
      </c>
      <c r="D649" s="236"/>
      <c r="E649" s="236"/>
      <c r="F649" s="236"/>
      <c r="G649" s="236"/>
      <c r="H649" s="236">
        <f>SUM(Tabla132112418[[#This Row],[PRIMER TRIMESTRE]:[CUARTO TRIMESTRE]])</f>
        <v>0</v>
      </c>
      <c r="I649" s="17">
        <v>10.8</v>
      </c>
      <c r="J649" s="17">
        <f t="shared" si="18"/>
        <v>0</v>
      </c>
      <c r="K649" s="17"/>
      <c r="L649" s="17" t="s">
        <v>18</v>
      </c>
      <c r="M649" s="16" t="s">
        <v>22</v>
      </c>
      <c r="N649" s="39" t="s">
        <v>418</v>
      </c>
    </row>
    <row r="650" spans="1:14" s="12" customFormat="1" ht="30">
      <c r="A650" s="178" t="s">
        <v>96</v>
      </c>
      <c r="B650" s="75" t="s">
        <v>1475</v>
      </c>
      <c r="C650" s="39" t="s">
        <v>343</v>
      </c>
      <c r="D650" s="236"/>
      <c r="E650" s="236"/>
      <c r="F650" s="236"/>
      <c r="G650" s="236"/>
      <c r="H650" s="236">
        <f>SUM(Tabla132112418[[#This Row],[PRIMER TRIMESTRE]:[CUARTO TRIMESTRE]])</f>
        <v>0</v>
      </c>
      <c r="I650" s="17">
        <v>98.88</v>
      </c>
      <c r="J650" s="17">
        <f t="shared" si="18"/>
        <v>0</v>
      </c>
      <c r="K650" s="17"/>
      <c r="L650" s="17" t="s">
        <v>18</v>
      </c>
      <c r="M650" s="16" t="s">
        <v>22</v>
      </c>
      <c r="N650" s="39" t="s">
        <v>418</v>
      </c>
    </row>
    <row r="651" spans="1:14" s="12" customFormat="1" ht="30">
      <c r="A651" s="178" t="s">
        <v>96</v>
      </c>
      <c r="B651" s="75" t="s">
        <v>1480</v>
      </c>
      <c r="C651" s="39" t="s">
        <v>343</v>
      </c>
      <c r="D651" s="236"/>
      <c r="E651" s="236"/>
      <c r="F651" s="236"/>
      <c r="G651" s="236"/>
      <c r="H651" s="236">
        <f>SUM(Tabla132112418[[#This Row],[PRIMER TRIMESTRE]:[CUARTO TRIMESTRE]])</f>
        <v>0</v>
      </c>
      <c r="I651" s="17">
        <v>169.73</v>
      </c>
      <c r="J651" s="17">
        <f t="shared" si="18"/>
        <v>0</v>
      </c>
      <c r="K651" s="17"/>
      <c r="L651" s="17" t="s">
        <v>18</v>
      </c>
      <c r="M651" s="16" t="s">
        <v>22</v>
      </c>
      <c r="N651" s="39" t="s">
        <v>418</v>
      </c>
    </row>
    <row r="652" spans="1:14" s="12" customFormat="1" ht="30">
      <c r="A652" s="178" t="s">
        <v>96</v>
      </c>
      <c r="B652" s="75" t="s">
        <v>1481</v>
      </c>
      <c r="C652" s="39" t="s">
        <v>343</v>
      </c>
      <c r="D652" s="236"/>
      <c r="E652" s="236"/>
      <c r="F652" s="236"/>
      <c r="G652" s="236"/>
      <c r="H652" s="236">
        <f>SUM(Tabla132112418[[#This Row],[PRIMER TRIMESTRE]:[CUARTO TRIMESTRE]])</f>
        <v>0</v>
      </c>
      <c r="I652" s="17">
        <v>49</v>
      </c>
      <c r="J652" s="17">
        <f t="shared" si="18"/>
        <v>0</v>
      </c>
      <c r="K652" s="17"/>
      <c r="L652" s="17" t="s">
        <v>18</v>
      </c>
      <c r="M652" s="16" t="s">
        <v>22</v>
      </c>
      <c r="N652" s="39" t="s">
        <v>418</v>
      </c>
    </row>
    <row r="653" spans="1:14" s="12" customFormat="1" ht="30">
      <c r="A653" s="178" t="s">
        <v>96</v>
      </c>
      <c r="B653" s="75" t="s">
        <v>1691</v>
      </c>
      <c r="C653" s="39" t="s">
        <v>343</v>
      </c>
      <c r="D653" s="236"/>
      <c r="E653" s="236"/>
      <c r="F653" s="236"/>
      <c r="G653" s="236"/>
      <c r="H653" s="40">
        <v>0</v>
      </c>
      <c r="I653" s="17">
        <v>0</v>
      </c>
      <c r="J653" s="17">
        <v>0</v>
      </c>
      <c r="K653" s="17"/>
      <c r="L653" s="17" t="s">
        <v>18</v>
      </c>
      <c r="M653" s="16" t="s">
        <v>22</v>
      </c>
      <c r="N653" s="39" t="s">
        <v>418</v>
      </c>
    </row>
    <row r="654" spans="1:14" s="12" customFormat="1" ht="30">
      <c r="A654" s="178" t="s">
        <v>96</v>
      </c>
      <c r="B654" s="75" t="s">
        <v>813</v>
      </c>
      <c r="C654" s="39" t="s">
        <v>343</v>
      </c>
      <c r="D654" s="236"/>
      <c r="E654" s="236"/>
      <c r="F654" s="236"/>
      <c r="G654" s="236"/>
      <c r="H654" s="236">
        <f>SUM(Tabla132112418[[#This Row],[PRIMER TRIMESTRE]:[CUARTO TRIMESTRE]])</f>
        <v>0</v>
      </c>
      <c r="I654" s="17">
        <v>309.39999999999998</v>
      </c>
      <c r="J654" s="17">
        <f t="shared" si="18"/>
        <v>0</v>
      </c>
      <c r="K654" s="17"/>
      <c r="L654" s="17" t="s">
        <v>18</v>
      </c>
      <c r="M654" s="16" t="s">
        <v>22</v>
      </c>
      <c r="N654" s="39" t="s">
        <v>418</v>
      </c>
    </row>
    <row r="655" spans="1:14" s="12" customFormat="1" ht="30">
      <c r="A655" s="178" t="s">
        <v>1676</v>
      </c>
      <c r="B655" s="75" t="s">
        <v>1853</v>
      </c>
      <c r="C655" s="39" t="s">
        <v>343</v>
      </c>
      <c r="D655" s="236"/>
      <c r="E655" s="236"/>
      <c r="F655" s="236"/>
      <c r="G655" s="236"/>
      <c r="H655" s="40">
        <v>0</v>
      </c>
      <c r="I655" s="17">
        <v>0</v>
      </c>
      <c r="J655" s="17">
        <v>0</v>
      </c>
      <c r="K655" s="17"/>
      <c r="L655" s="17" t="s">
        <v>18</v>
      </c>
      <c r="M655" s="16" t="s">
        <v>22</v>
      </c>
      <c r="N655" s="39" t="s">
        <v>418</v>
      </c>
    </row>
    <row r="656" spans="1:14" s="12" customFormat="1" ht="30">
      <c r="A656" s="178" t="s">
        <v>96</v>
      </c>
      <c r="B656" s="75" t="s">
        <v>1571</v>
      </c>
      <c r="C656" s="39" t="s">
        <v>17</v>
      </c>
      <c r="D656" s="236"/>
      <c r="E656" s="236"/>
      <c r="F656" s="236"/>
      <c r="G656" s="236"/>
      <c r="H656" s="236">
        <f>SUM(Tabla132112418[[#This Row],[PRIMER TRIMESTRE]:[CUARTO TRIMESTRE]])</f>
        <v>0</v>
      </c>
      <c r="I656" s="17">
        <v>131500</v>
      </c>
      <c r="J656" s="17">
        <f t="shared" si="18"/>
        <v>0</v>
      </c>
      <c r="K656" s="17"/>
      <c r="L656" s="17" t="s">
        <v>18</v>
      </c>
      <c r="M656" s="16" t="s">
        <v>22</v>
      </c>
      <c r="N656" s="39" t="s">
        <v>418</v>
      </c>
    </row>
    <row r="657" spans="1:14" s="12" customFormat="1" ht="30">
      <c r="A657" s="178" t="s">
        <v>96</v>
      </c>
      <c r="B657" s="75" t="s">
        <v>1570</v>
      </c>
      <c r="C657" s="39" t="s">
        <v>343</v>
      </c>
      <c r="D657" s="236"/>
      <c r="E657" s="236"/>
      <c r="F657" s="236"/>
      <c r="G657" s="236"/>
      <c r="H657" s="236">
        <f>SUM(Tabla132112418[[#This Row],[PRIMER TRIMESTRE]:[CUARTO TRIMESTRE]])</f>
        <v>0</v>
      </c>
      <c r="I657" s="17">
        <v>31.11</v>
      </c>
      <c r="J657" s="17">
        <f t="shared" si="18"/>
        <v>0</v>
      </c>
      <c r="K657" s="17"/>
      <c r="L657" s="17" t="s">
        <v>18</v>
      </c>
      <c r="M657" s="16" t="s">
        <v>22</v>
      </c>
      <c r="N657" s="39" t="s">
        <v>418</v>
      </c>
    </row>
    <row r="658" spans="1:14" s="12" customFormat="1" ht="30">
      <c r="A658" s="178" t="s">
        <v>96</v>
      </c>
      <c r="B658" s="75" t="s">
        <v>1603</v>
      </c>
      <c r="C658" s="39" t="s">
        <v>343</v>
      </c>
      <c r="D658" s="236"/>
      <c r="E658" s="236"/>
      <c r="F658" s="236"/>
      <c r="G658" s="236"/>
      <c r="H658" s="236">
        <f>SUM(Tabla132112418[[#This Row],[PRIMER TRIMESTRE]:[CUARTO TRIMESTRE]])</f>
        <v>0</v>
      </c>
      <c r="I658" s="17">
        <v>75.61</v>
      </c>
      <c r="J658" s="17">
        <f t="shared" si="18"/>
        <v>0</v>
      </c>
      <c r="K658" s="17"/>
      <c r="L658" s="17" t="s">
        <v>18</v>
      </c>
      <c r="M658" s="16" t="s">
        <v>22</v>
      </c>
      <c r="N658" s="39" t="s">
        <v>418</v>
      </c>
    </row>
    <row r="659" spans="1:14" s="12" customFormat="1" ht="30">
      <c r="A659" s="178" t="s">
        <v>96</v>
      </c>
      <c r="B659" s="75" t="s">
        <v>1602</v>
      </c>
      <c r="C659" s="39" t="s">
        <v>343</v>
      </c>
      <c r="D659" s="236"/>
      <c r="E659" s="236"/>
      <c r="F659" s="236"/>
      <c r="G659" s="236"/>
      <c r="H659" s="236">
        <f>SUM(Tabla132112418[[#This Row],[PRIMER TRIMESTRE]:[CUARTO TRIMESTRE]])</f>
        <v>0</v>
      </c>
      <c r="I659" s="17">
        <v>77.77</v>
      </c>
      <c r="J659" s="17">
        <f t="shared" si="18"/>
        <v>0</v>
      </c>
      <c r="K659" s="17"/>
      <c r="L659" s="17" t="s">
        <v>18</v>
      </c>
      <c r="M659" s="16" t="s">
        <v>22</v>
      </c>
      <c r="N659" s="39" t="s">
        <v>418</v>
      </c>
    </row>
    <row r="660" spans="1:14" s="12" customFormat="1" ht="30">
      <c r="A660" s="178" t="s">
        <v>96</v>
      </c>
      <c r="B660" s="75" t="s">
        <v>814</v>
      </c>
      <c r="C660" s="39" t="s">
        <v>343</v>
      </c>
      <c r="D660" s="236"/>
      <c r="E660" s="236"/>
      <c r="F660" s="236"/>
      <c r="G660" s="236"/>
      <c r="H660" s="40">
        <f>SUM(Tabla132112418[[#This Row],[PRIMER TRIMESTRE]:[CUARTO TRIMESTRE]])</f>
        <v>0</v>
      </c>
      <c r="I660" s="17">
        <v>380.3</v>
      </c>
      <c r="J660" s="17">
        <f t="shared" si="18"/>
        <v>0</v>
      </c>
      <c r="K660" s="17"/>
      <c r="L660" s="17" t="s">
        <v>18</v>
      </c>
      <c r="M660" s="16" t="s">
        <v>22</v>
      </c>
      <c r="N660" s="39" t="s">
        <v>418</v>
      </c>
    </row>
    <row r="661" spans="1:14" s="12" customFormat="1" ht="30">
      <c r="A661" s="178" t="s">
        <v>96</v>
      </c>
      <c r="B661" s="77" t="s">
        <v>874</v>
      </c>
      <c r="C661" s="39" t="s">
        <v>17</v>
      </c>
      <c r="D661" s="236"/>
      <c r="E661" s="236"/>
      <c r="F661" s="236"/>
      <c r="G661" s="236"/>
      <c r="H661" s="40">
        <f>SUM(Tabla132112418[[#This Row],[PRIMER TRIMESTRE]:[CUARTO TRIMESTRE]])</f>
        <v>0</v>
      </c>
      <c r="I661" s="17">
        <v>110</v>
      </c>
      <c r="J661" s="17">
        <f t="shared" si="18"/>
        <v>0</v>
      </c>
      <c r="K661" s="17"/>
      <c r="L661" s="16" t="s">
        <v>18</v>
      </c>
      <c r="M661" s="16" t="s">
        <v>22</v>
      </c>
      <c r="N661" s="39"/>
    </row>
    <row r="662" spans="1:14" s="12" customFormat="1" ht="30">
      <c r="A662" s="178" t="s">
        <v>96</v>
      </c>
      <c r="B662" s="77" t="s">
        <v>875</v>
      </c>
      <c r="C662" s="39" t="s">
        <v>17</v>
      </c>
      <c r="D662" s="236"/>
      <c r="E662" s="236"/>
      <c r="F662" s="236"/>
      <c r="G662" s="236"/>
      <c r="H662" s="40">
        <f>SUM(Tabla132112418[[#This Row],[PRIMER TRIMESTRE]:[CUARTO TRIMESTRE]])</f>
        <v>0</v>
      </c>
      <c r="I662" s="17">
        <v>125</v>
      </c>
      <c r="J662" s="17">
        <f t="shared" si="18"/>
        <v>0</v>
      </c>
      <c r="K662" s="17"/>
      <c r="L662" s="16" t="s">
        <v>18</v>
      </c>
      <c r="M662" s="16" t="s">
        <v>22</v>
      </c>
      <c r="N662" s="39"/>
    </row>
    <row r="663" spans="1:14" s="12" customFormat="1" ht="30">
      <c r="A663" s="178" t="s">
        <v>96</v>
      </c>
      <c r="B663" s="77" t="s">
        <v>876</v>
      </c>
      <c r="C663" s="39" t="s">
        <v>17</v>
      </c>
      <c r="D663" s="236"/>
      <c r="E663" s="236"/>
      <c r="F663" s="236"/>
      <c r="G663" s="236"/>
      <c r="H663" s="40">
        <f>SUM(Tabla132112418[[#This Row],[PRIMER TRIMESTRE]:[CUARTO TRIMESTRE]])</f>
        <v>0</v>
      </c>
      <c r="I663" s="17">
        <v>135</v>
      </c>
      <c r="J663" s="17">
        <f t="shared" si="18"/>
        <v>0</v>
      </c>
      <c r="K663" s="17"/>
      <c r="L663" s="16" t="s">
        <v>18</v>
      </c>
      <c r="M663" s="16" t="s">
        <v>22</v>
      </c>
      <c r="N663" s="39"/>
    </row>
    <row r="664" spans="1:14" s="12" customFormat="1" ht="30">
      <c r="A664" s="178" t="s">
        <v>96</v>
      </c>
      <c r="B664" s="77" t="s">
        <v>877</v>
      </c>
      <c r="C664" s="39" t="s">
        <v>17</v>
      </c>
      <c r="D664" s="236"/>
      <c r="E664" s="236"/>
      <c r="F664" s="236"/>
      <c r="G664" s="236"/>
      <c r="H664" s="40">
        <f>SUM(Tabla132112418[[#This Row],[PRIMER TRIMESTRE]:[CUARTO TRIMESTRE]])</f>
        <v>0</v>
      </c>
      <c r="I664" s="17">
        <v>175</v>
      </c>
      <c r="J664" s="17">
        <f t="shared" si="18"/>
        <v>0</v>
      </c>
      <c r="K664" s="17"/>
      <c r="L664" s="16" t="s">
        <v>18</v>
      </c>
      <c r="M664" s="16" t="s">
        <v>22</v>
      </c>
      <c r="N664" s="39"/>
    </row>
    <row r="665" spans="1:14" s="12" customFormat="1" ht="30">
      <c r="A665" s="178" t="s">
        <v>96</v>
      </c>
      <c r="B665" s="77" t="s">
        <v>878</v>
      </c>
      <c r="C665" s="39" t="s">
        <v>17</v>
      </c>
      <c r="D665" s="236"/>
      <c r="E665" s="236"/>
      <c r="F665" s="236"/>
      <c r="G665" s="236"/>
      <c r="H665" s="40">
        <f>SUM(Tabla132112418[[#This Row],[PRIMER TRIMESTRE]:[CUARTO TRIMESTRE]])</f>
        <v>0</v>
      </c>
      <c r="I665" s="17">
        <v>191</v>
      </c>
      <c r="J665" s="17">
        <f t="shared" si="18"/>
        <v>0</v>
      </c>
      <c r="K665" s="17"/>
      <c r="L665" s="16" t="s">
        <v>18</v>
      </c>
      <c r="M665" s="16" t="s">
        <v>22</v>
      </c>
      <c r="N665" s="39"/>
    </row>
    <row r="666" spans="1:14" s="12" customFormat="1" ht="30">
      <c r="A666" s="178" t="s">
        <v>96</v>
      </c>
      <c r="B666" s="77" t="s">
        <v>1595</v>
      </c>
      <c r="C666" s="39" t="s">
        <v>17</v>
      </c>
      <c r="D666" s="236"/>
      <c r="E666" s="236"/>
      <c r="F666" s="236"/>
      <c r="G666" s="236"/>
      <c r="H666" s="236">
        <f>SUM(Tabla132112418[[#This Row],[PRIMER TRIMESTRE]:[CUARTO TRIMESTRE]])</f>
        <v>0</v>
      </c>
      <c r="I666" s="17">
        <v>371.2</v>
      </c>
      <c r="J666" s="17">
        <f t="shared" si="18"/>
        <v>0</v>
      </c>
      <c r="K666" s="17"/>
      <c r="L666" s="16" t="s">
        <v>18</v>
      </c>
      <c r="M666" s="16" t="s">
        <v>22</v>
      </c>
      <c r="N666" s="39"/>
    </row>
    <row r="667" spans="1:14" s="12" customFormat="1" ht="30">
      <c r="A667" s="178" t="s">
        <v>96</v>
      </c>
      <c r="B667" s="77" t="s">
        <v>879</v>
      </c>
      <c r="C667" s="39" t="s">
        <v>17</v>
      </c>
      <c r="D667" s="236"/>
      <c r="E667" s="236"/>
      <c r="F667" s="236"/>
      <c r="G667" s="236"/>
      <c r="H667" s="40">
        <f>SUM(Tabla132112418[[#This Row],[PRIMER TRIMESTRE]:[CUARTO TRIMESTRE]])</f>
        <v>0</v>
      </c>
      <c r="I667" s="17">
        <v>23600</v>
      </c>
      <c r="J667" s="17">
        <f t="shared" si="18"/>
        <v>0</v>
      </c>
      <c r="K667" s="17"/>
      <c r="L667" s="16" t="s">
        <v>18</v>
      </c>
      <c r="M667" s="16" t="s">
        <v>22</v>
      </c>
      <c r="N667" s="39"/>
    </row>
    <row r="668" spans="1:14" s="12" customFormat="1" ht="30">
      <c r="A668" s="178" t="s">
        <v>96</v>
      </c>
      <c r="B668" s="77" t="s">
        <v>1518</v>
      </c>
      <c r="C668" s="39" t="s">
        <v>208</v>
      </c>
      <c r="D668" s="236"/>
      <c r="E668" s="236"/>
      <c r="F668" s="236"/>
      <c r="G668" s="236"/>
      <c r="H668" s="236">
        <f>SUM(Tabla132112418[[#This Row],[PRIMER TRIMESTRE]:[CUARTO TRIMESTRE]])</f>
        <v>0</v>
      </c>
      <c r="I668" s="17">
        <v>1500.62</v>
      </c>
      <c r="J668" s="17">
        <f t="shared" si="18"/>
        <v>0</v>
      </c>
      <c r="K668" s="17"/>
      <c r="L668" s="16" t="s">
        <v>18</v>
      </c>
      <c r="M668" s="16" t="s">
        <v>22</v>
      </c>
      <c r="N668" s="39"/>
    </row>
    <row r="669" spans="1:14" s="12" customFormat="1" ht="30">
      <c r="A669" s="178" t="s">
        <v>96</v>
      </c>
      <c r="B669" s="77" t="s">
        <v>1519</v>
      </c>
      <c r="C669" s="39" t="s">
        <v>208</v>
      </c>
      <c r="D669" s="236"/>
      <c r="E669" s="236"/>
      <c r="F669" s="236"/>
      <c r="G669" s="236"/>
      <c r="H669" s="236">
        <f>SUM(Tabla132112418[[#This Row],[PRIMER TRIMESTRE]:[CUARTO TRIMESTRE]])</f>
        <v>0</v>
      </c>
      <c r="I669" s="17">
        <v>942.48</v>
      </c>
      <c r="J669" s="17">
        <f t="shared" si="18"/>
        <v>0</v>
      </c>
      <c r="K669" s="17"/>
      <c r="L669" s="16" t="s">
        <v>18</v>
      </c>
      <c r="M669" s="16" t="s">
        <v>22</v>
      </c>
      <c r="N669" s="39"/>
    </row>
    <row r="670" spans="1:14" s="12" customFormat="1" ht="30">
      <c r="A670" s="178" t="s">
        <v>96</v>
      </c>
      <c r="B670" s="77" t="s">
        <v>1520</v>
      </c>
      <c r="C670" s="39" t="s">
        <v>208</v>
      </c>
      <c r="D670" s="236"/>
      <c r="E670" s="236"/>
      <c r="F670" s="236"/>
      <c r="G670" s="236"/>
      <c r="H670" s="236">
        <f>SUM(Tabla132112418[[#This Row],[PRIMER TRIMESTRE]:[CUARTO TRIMESTRE]])</f>
        <v>0</v>
      </c>
      <c r="I670" s="17">
        <v>942.48</v>
      </c>
      <c r="J670" s="17">
        <f t="shared" si="18"/>
        <v>0</v>
      </c>
      <c r="K670" s="17"/>
      <c r="L670" s="16" t="s">
        <v>18</v>
      </c>
      <c r="M670" s="16" t="s">
        <v>22</v>
      </c>
      <c r="N670" s="39"/>
    </row>
    <row r="671" spans="1:14" s="12" customFormat="1" ht="30">
      <c r="A671" s="178" t="s">
        <v>96</v>
      </c>
      <c r="B671" s="77" t="s">
        <v>880</v>
      </c>
      <c r="C671" s="39" t="s">
        <v>17</v>
      </c>
      <c r="D671" s="236"/>
      <c r="E671" s="236"/>
      <c r="F671" s="236"/>
      <c r="G671" s="236"/>
      <c r="H671" s="40">
        <f>SUM(Tabla132112418[[#This Row],[PRIMER TRIMESTRE]:[CUARTO TRIMESTRE]])</f>
        <v>0</v>
      </c>
      <c r="I671" s="17">
        <v>25850</v>
      </c>
      <c r="J671" s="17">
        <f t="shared" si="18"/>
        <v>0</v>
      </c>
      <c r="K671" s="17"/>
      <c r="L671" s="16" t="s">
        <v>18</v>
      </c>
      <c r="M671" s="16" t="s">
        <v>22</v>
      </c>
      <c r="N671" s="39"/>
    </row>
    <row r="672" spans="1:14" s="12" customFormat="1" ht="38.25">
      <c r="A672" s="178" t="s">
        <v>96</v>
      </c>
      <c r="B672" s="77" t="s">
        <v>924</v>
      </c>
      <c r="C672" s="39" t="s">
        <v>17</v>
      </c>
      <c r="D672" s="236"/>
      <c r="E672" s="236"/>
      <c r="F672" s="236"/>
      <c r="G672" s="236"/>
      <c r="H672" s="40">
        <f>SUM(Tabla132112418[[#This Row],[PRIMER TRIMESTRE]:[CUARTO TRIMESTRE]])</f>
        <v>0</v>
      </c>
      <c r="I672" s="17">
        <v>100000</v>
      </c>
      <c r="J672" s="17">
        <f t="shared" si="18"/>
        <v>0</v>
      </c>
      <c r="K672" s="17"/>
      <c r="L672" s="16" t="s">
        <v>18</v>
      </c>
      <c r="M672" s="16" t="s">
        <v>22</v>
      </c>
      <c r="N672" s="39"/>
    </row>
    <row r="673" spans="1:14" s="12" customFormat="1" ht="30">
      <c r="A673" s="178" t="s">
        <v>96</v>
      </c>
      <c r="B673" s="75" t="s">
        <v>882</v>
      </c>
      <c r="C673" s="39" t="s">
        <v>17</v>
      </c>
      <c r="D673" s="236"/>
      <c r="E673" s="236"/>
      <c r="F673" s="236"/>
      <c r="G673" s="236"/>
      <c r="H673" s="40">
        <f>SUM(Tabla132112418[[#This Row],[PRIMER TRIMESTRE]:[CUARTO TRIMESTRE]])</f>
        <v>0</v>
      </c>
      <c r="I673" s="17">
        <v>600</v>
      </c>
      <c r="J673" s="17">
        <f t="shared" si="18"/>
        <v>0</v>
      </c>
      <c r="K673" s="17"/>
      <c r="L673" s="16" t="s">
        <v>18</v>
      </c>
      <c r="M673" s="16" t="s">
        <v>22</v>
      </c>
      <c r="N673" s="39"/>
    </row>
    <row r="674" spans="1:14" s="12" customFormat="1" ht="30">
      <c r="A674" s="178" t="s">
        <v>96</v>
      </c>
      <c r="B674" s="75" t="s">
        <v>883</v>
      </c>
      <c r="C674" s="39" t="s">
        <v>17</v>
      </c>
      <c r="D674" s="236"/>
      <c r="E674" s="236"/>
      <c r="F674" s="236"/>
      <c r="G674" s="236"/>
      <c r="H674" s="40">
        <f>SUM(Tabla132112418[[#This Row],[PRIMER TRIMESTRE]:[CUARTO TRIMESTRE]])</f>
        <v>0</v>
      </c>
      <c r="I674" s="17">
        <v>350</v>
      </c>
      <c r="J674" s="17">
        <f t="shared" si="18"/>
        <v>0</v>
      </c>
      <c r="K674" s="17"/>
      <c r="L674" s="16" t="s">
        <v>18</v>
      </c>
      <c r="M674" s="16" t="s">
        <v>22</v>
      </c>
      <c r="N674" s="39"/>
    </row>
    <row r="675" spans="1:14" s="12" customFormat="1" ht="30">
      <c r="A675" s="178" t="s">
        <v>96</v>
      </c>
      <c r="B675" s="75" t="s">
        <v>884</v>
      </c>
      <c r="C675" s="39" t="s">
        <v>17</v>
      </c>
      <c r="D675" s="236"/>
      <c r="E675" s="236"/>
      <c r="F675" s="236"/>
      <c r="G675" s="236"/>
      <c r="H675" s="40">
        <f>SUM(Tabla132112418[[#This Row],[PRIMER TRIMESTRE]:[CUARTO TRIMESTRE]])</f>
        <v>0</v>
      </c>
      <c r="I675" s="17">
        <v>450</v>
      </c>
      <c r="J675" s="17">
        <f t="shared" si="18"/>
        <v>0</v>
      </c>
      <c r="K675" s="17"/>
      <c r="L675" s="16" t="s">
        <v>18</v>
      </c>
      <c r="M675" s="16" t="s">
        <v>22</v>
      </c>
      <c r="N675" s="39"/>
    </row>
    <row r="676" spans="1:14" s="12" customFormat="1" ht="30">
      <c r="A676" s="178" t="s">
        <v>96</v>
      </c>
      <c r="B676" s="75" t="s">
        <v>885</v>
      </c>
      <c r="C676" s="39" t="s">
        <v>344</v>
      </c>
      <c r="D676" s="236"/>
      <c r="E676" s="236"/>
      <c r="F676" s="236"/>
      <c r="G676" s="236"/>
      <c r="H676" s="40">
        <f>SUM(Tabla132112418[[#This Row],[PRIMER TRIMESTRE]:[CUARTO TRIMESTRE]])</f>
        <v>0</v>
      </c>
      <c r="I676" s="17">
        <v>3650</v>
      </c>
      <c r="J676" s="17">
        <f t="shared" si="18"/>
        <v>0</v>
      </c>
      <c r="K676" s="17"/>
      <c r="L676" s="16" t="s">
        <v>18</v>
      </c>
      <c r="M676" s="16" t="s">
        <v>22</v>
      </c>
      <c r="N676" s="39"/>
    </row>
    <row r="677" spans="1:14" s="12" customFormat="1" ht="30">
      <c r="A677" s="178" t="s">
        <v>96</v>
      </c>
      <c r="B677" s="75" t="s">
        <v>886</v>
      </c>
      <c r="C677" s="39" t="s">
        <v>344</v>
      </c>
      <c r="D677" s="236"/>
      <c r="E677" s="236"/>
      <c r="F677" s="236"/>
      <c r="G677" s="236"/>
      <c r="H677" s="40">
        <f>SUM(Tabla132112418[[#This Row],[PRIMER TRIMESTRE]:[CUARTO TRIMESTRE]])</f>
        <v>0</v>
      </c>
      <c r="I677" s="17">
        <v>3650</v>
      </c>
      <c r="J677" s="17">
        <f t="shared" si="18"/>
        <v>0</v>
      </c>
      <c r="K677" s="17"/>
      <c r="L677" s="16" t="s">
        <v>18</v>
      </c>
      <c r="M677" s="16" t="s">
        <v>22</v>
      </c>
      <c r="N677" s="39"/>
    </row>
    <row r="678" spans="1:14" s="12" customFormat="1" ht="30">
      <c r="A678" s="178" t="s">
        <v>96</v>
      </c>
      <c r="B678" s="75" t="s">
        <v>887</v>
      </c>
      <c r="C678" s="39" t="s">
        <v>344</v>
      </c>
      <c r="D678" s="236"/>
      <c r="E678" s="236"/>
      <c r="F678" s="236"/>
      <c r="G678" s="236"/>
      <c r="H678" s="40">
        <f>SUM(Tabla132112418[[#This Row],[PRIMER TRIMESTRE]:[CUARTO TRIMESTRE]])</f>
        <v>0</v>
      </c>
      <c r="I678" s="17">
        <v>3650</v>
      </c>
      <c r="J678" s="17">
        <f t="shared" si="18"/>
        <v>0</v>
      </c>
      <c r="K678" s="17"/>
      <c r="L678" s="16" t="s">
        <v>18</v>
      </c>
      <c r="M678" s="16" t="s">
        <v>22</v>
      </c>
      <c r="N678" s="39"/>
    </row>
    <row r="679" spans="1:14" s="12" customFormat="1" ht="30">
      <c r="A679" s="178" t="s">
        <v>96</v>
      </c>
      <c r="B679" s="75" t="s">
        <v>888</v>
      </c>
      <c r="C679" s="39" t="s">
        <v>344</v>
      </c>
      <c r="D679" s="236"/>
      <c r="E679" s="236"/>
      <c r="F679" s="236"/>
      <c r="G679" s="236"/>
      <c r="H679" s="40">
        <f>SUM(Tabla132112418[[#This Row],[PRIMER TRIMESTRE]:[CUARTO TRIMESTRE]])</f>
        <v>0</v>
      </c>
      <c r="I679" s="17">
        <v>3650</v>
      </c>
      <c r="J679" s="17">
        <f t="shared" si="18"/>
        <v>0</v>
      </c>
      <c r="K679" s="17"/>
      <c r="L679" s="16" t="s">
        <v>18</v>
      </c>
      <c r="M679" s="16" t="s">
        <v>22</v>
      </c>
      <c r="N679" s="39"/>
    </row>
    <row r="680" spans="1:14" s="12" customFormat="1" ht="30">
      <c r="A680" s="178" t="s">
        <v>96</v>
      </c>
      <c r="B680" s="75" t="s">
        <v>815</v>
      </c>
      <c r="C680" s="39" t="s">
        <v>17</v>
      </c>
      <c r="D680" s="236"/>
      <c r="E680" s="236"/>
      <c r="F680" s="236"/>
      <c r="G680" s="236"/>
      <c r="H680" s="40">
        <f>SUM(Tabla132112418[[#This Row],[PRIMER TRIMESTRE]:[CUARTO TRIMESTRE]])</f>
        <v>0</v>
      </c>
      <c r="I680" s="17">
        <v>4625.12</v>
      </c>
      <c r="J680" s="17">
        <f t="shared" si="18"/>
        <v>0</v>
      </c>
      <c r="K680" s="17"/>
      <c r="L680" s="17" t="s">
        <v>18</v>
      </c>
      <c r="M680" s="16" t="s">
        <v>22</v>
      </c>
      <c r="N680" s="39"/>
    </row>
    <row r="681" spans="1:14" s="12" customFormat="1" ht="30">
      <c r="A681" s="178" t="s">
        <v>96</v>
      </c>
      <c r="B681" s="75" t="s">
        <v>913</v>
      </c>
      <c r="C681" s="39" t="s">
        <v>343</v>
      </c>
      <c r="D681" s="236"/>
      <c r="E681" s="236"/>
      <c r="F681" s="236"/>
      <c r="G681" s="236"/>
      <c r="H681" s="40">
        <f>SUM(Tabla132112418[[#This Row],[PRIMER TRIMESTRE]:[CUARTO TRIMESTRE]])</f>
        <v>0</v>
      </c>
      <c r="I681" s="72">
        <v>80</v>
      </c>
      <c r="J681" s="17">
        <f t="shared" si="18"/>
        <v>0</v>
      </c>
      <c r="K681" s="17"/>
      <c r="L681" s="16" t="s">
        <v>18</v>
      </c>
      <c r="M681" s="16" t="s">
        <v>22</v>
      </c>
      <c r="N681" s="39"/>
    </row>
    <row r="682" spans="1:14" s="12" customFormat="1" ht="30">
      <c r="A682" s="178" t="s">
        <v>96</v>
      </c>
      <c r="B682" s="75" t="s">
        <v>914</v>
      </c>
      <c r="C682" s="39" t="s">
        <v>343</v>
      </c>
      <c r="D682" s="236"/>
      <c r="E682" s="236"/>
      <c r="F682" s="236"/>
      <c r="G682" s="236"/>
      <c r="H682" s="40">
        <f>SUM(Tabla132112418[[#This Row],[PRIMER TRIMESTRE]:[CUARTO TRIMESTRE]])</f>
        <v>0</v>
      </c>
      <c r="I682" s="17">
        <v>112</v>
      </c>
      <c r="J682" s="17">
        <f t="shared" si="18"/>
        <v>0</v>
      </c>
      <c r="K682" s="17"/>
      <c r="L682" s="16" t="s">
        <v>18</v>
      </c>
      <c r="M682" s="16" t="s">
        <v>22</v>
      </c>
      <c r="N682" s="39"/>
    </row>
    <row r="683" spans="1:14" s="12" customFormat="1" ht="30">
      <c r="A683" s="178" t="s">
        <v>96</v>
      </c>
      <c r="B683" s="75" t="s">
        <v>915</v>
      </c>
      <c r="C683" s="39" t="s">
        <v>343</v>
      </c>
      <c r="D683" s="236"/>
      <c r="E683" s="236"/>
      <c r="F683" s="236"/>
      <c r="G683" s="236"/>
      <c r="H683" s="40">
        <f>SUM(Tabla132112418[[#This Row],[PRIMER TRIMESTRE]:[CUARTO TRIMESTRE]])</f>
        <v>0</v>
      </c>
      <c r="I683" s="17">
        <v>150</v>
      </c>
      <c r="J683" s="17">
        <f t="shared" si="18"/>
        <v>0</v>
      </c>
      <c r="K683" s="17"/>
      <c r="L683" s="16" t="s">
        <v>18</v>
      </c>
      <c r="M683" s="16" t="s">
        <v>22</v>
      </c>
      <c r="N683" s="39"/>
    </row>
    <row r="684" spans="1:14" s="12" customFormat="1" ht="30">
      <c r="A684" s="178" t="s">
        <v>96</v>
      </c>
      <c r="B684" s="75" t="s">
        <v>916</v>
      </c>
      <c r="C684" s="39" t="s">
        <v>343</v>
      </c>
      <c r="D684" s="236"/>
      <c r="E684" s="236"/>
      <c r="F684" s="236"/>
      <c r="G684" s="236"/>
      <c r="H684" s="40">
        <f>SUM(Tabla132112418[[#This Row],[PRIMER TRIMESTRE]:[CUARTO TRIMESTRE]])</f>
        <v>0</v>
      </c>
      <c r="I684" s="17">
        <v>188</v>
      </c>
      <c r="J684" s="17">
        <f t="shared" si="18"/>
        <v>0</v>
      </c>
      <c r="K684" s="17"/>
      <c r="L684" s="16" t="s">
        <v>18</v>
      </c>
      <c r="M684" s="16" t="s">
        <v>22</v>
      </c>
      <c r="N684" s="39"/>
    </row>
    <row r="685" spans="1:14" s="12" customFormat="1" ht="30">
      <c r="A685" s="178" t="s">
        <v>96</v>
      </c>
      <c r="B685" s="75" t="s">
        <v>917</v>
      </c>
      <c r="C685" s="39" t="s">
        <v>343</v>
      </c>
      <c r="D685" s="236"/>
      <c r="E685" s="236"/>
      <c r="F685" s="236"/>
      <c r="G685" s="236"/>
      <c r="H685" s="40">
        <f>SUM(Tabla132112418[[#This Row],[PRIMER TRIMESTRE]:[CUARTO TRIMESTRE]])</f>
        <v>0</v>
      </c>
      <c r="I685" s="17">
        <v>225</v>
      </c>
      <c r="J685" s="17">
        <f t="shared" si="18"/>
        <v>0</v>
      </c>
      <c r="K685" s="17"/>
      <c r="L685" s="16" t="s">
        <v>18</v>
      </c>
      <c r="M685" s="16" t="s">
        <v>22</v>
      </c>
      <c r="N685" s="39"/>
    </row>
    <row r="686" spans="1:14" s="12" customFormat="1" ht="30">
      <c r="A686" s="178" t="s">
        <v>96</v>
      </c>
      <c r="B686" s="75" t="s">
        <v>918</v>
      </c>
      <c r="C686" s="39" t="s">
        <v>343</v>
      </c>
      <c r="D686" s="236"/>
      <c r="E686" s="236"/>
      <c r="F686" s="236"/>
      <c r="G686" s="236"/>
      <c r="H686" s="40">
        <f>SUM(Tabla132112418[[#This Row],[PRIMER TRIMESTRE]:[CUARTO TRIMESTRE]])</f>
        <v>0</v>
      </c>
      <c r="I686" s="17">
        <v>135</v>
      </c>
      <c r="J686" s="17">
        <f t="shared" si="18"/>
        <v>0</v>
      </c>
      <c r="K686" s="17"/>
      <c r="L686" s="16" t="s">
        <v>18</v>
      </c>
      <c r="M686" s="16" t="s">
        <v>22</v>
      </c>
      <c r="N686" s="39"/>
    </row>
    <row r="687" spans="1:14" s="12" customFormat="1" ht="30">
      <c r="A687" s="178" t="s">
        <v>96</v>
      </c>
      <c r="B687" s="75" t="s">
        <v>1220</v>
      </c>
      <c r="C687" s="39" t="s">
        <v>17</v>
      </c>
      <c r="D687" s="236"/>
      <c r="E687" s="236"/>
      <c r="F687" s="236"/>
      <c r="G687" s="236"/>
      <c r="H687" s="40">
        <f>SUM(Tabla132112418[[#This Row],[PRIMER TRIMESTRE]:[CUARTO TRIMESTRE]])</f>
        <v>0</v>
      </c>
      <c r="I687" s="17">
        <v>12000</v>
      </c>
      <c r="J687" s="17">
        <f t="shared" si="18"/>
        <v>0</v>
      </c>
      <c r="K687" s="17"/>
      <c r="L687" s="16" t="s">
        <v>18</v>
      </c>
      <c r="M687" s="16" t="s">
        <v>22</v>
      </c>
      <c r="N687" s="39"/>
    </row>
    <row r="688" spans="1:14" s="12" customFormat="1" ht="30">
      <c r="A688" s="178" t="s">
        <v>96</v>
      </c>
      <c r="B688" s="75" t="s">
        <v>1221</v>
      </c>
      <c r="C688" s="39" t="s">
        <v>17</v>
      </c>
      <c r="D688" s="236"/>
      <c r="E688" s="236"/>
      <c r="F688" s="236"/>
      <c r="G688" s="236"/>
      <c r="H688" s="40">
        <f>SUM(Tabla132112418[[#This Row],[PRIMER TRIMESTRE]:[CUARTO TRIMESTRE]])</f>
        <v>0</v>
      </c>
      <c r="I688" s="17">
        <v>16000</v>
      </c>
      <c r="J688" s="17">
        <f t="shared" si="18"/>
        <v>0</v>
      </c>
      <c r="K688" s="17"/>
      <c r="L688" s="16" t="s">
        <v>18</v>
      </c>
      <c r="M688" s="16" t="s">
        <v>22</v>
      </c>
      <c r="N688" s="39"/>
    </row>
    <row r="689" spans="1:14" s="12" customFormat="1" ht="30">
      <c r="A689" s="178" t="s">
        <v>96</v>
      </c>
      <c r="B689" s="75" t="s">
        <v>1222</v>
      </c>
      <c r="C689" s="39" t="s">
        <v>17</v>
      </c>
      <c r="D689" s="236"/>
      <c r="E689" s="236"/>
      <c r="F689" s="236"/>
      <c r="G689" s="236"/>
      <c r="H689" s="40">
        <f>SUM(Tabla132112418[[#This Row],[PRIMER TRIMESTRE]:[CUARTO TRIMESTRE]])</f>
        <v>0</v>
      </c>
      <c r="I689" s="17">
        <v>17000</v>
      </c>
      <c r="J689" s="17">
        <f t="shared" si="18"/>
        <v>0</v>
      </c>
      <c r="K689" s="17"/>
      <c r="L689" s="16" t="s">
        <v>18</v>
      </c>
      <c r="M689" s="16" t="s">
        <v>22</v>
      </c>
      <c r="N689" s="39"/>
    </row>
    <row r="690" spans="1:14" s="12" customFormat="1" ht="30">
      <c r="A690" s="178" t="s">
        <v>96</v>
      </c>
      <c r="B690" s="75" t="s">
        <v>1223</v>
      </c>
      <c r="C690" s="39" t="s">
        <v>17</v>
      </c>
      <c r="D690" s="236"/>
      <c r="E690" s="236"/>
      <c r="F690" s="236"/>
      <c r="G690" s="236"/>
      <c r="H690" s="40">
        <f>SUM(Tabla132112418[[#This Row],[PRIMER TRIMESTRE]:[CUARTO TRIMESTRE]])</f>
        <v>0</v>
      </c>
      <c r="I690" s="17">
        <v>19000</v>
      </c>
      <c r="J690" s="17">
        <f t="shared" si="18"/>
        <v>0</v>
      </c>
      <c r="K690" s="17"/>
      <c r="L690" s="16" t="s">
        <v>18</v>
      </c>
      <c r="M690" s="16" t="s">
        <v>22</v>
      </c>
      <c r="N690" s="39"/>
    </row>
    <row r="691" spans="1:14" s="12" customFormat="1" ht="30">
      <c r="A691" s="178" t="s">
        <v>96</v>
      </c>
      <c r="B691" s="75" t="s">
        <v>1224</v>
      </c>
      <c r="C691" s="39" t="s">
        <v>17</v>
      </c>
      <c r="D691" s="236"/>
      <c r="E691" s="236"/>
      <c r="F691" s="236"/>
      <c r="G691" s="236"/>
      <c r="H691" s="40">
        <f>SUM(Tabla132112418[[#This Row],[PRIMER TRIMESTRE]:[CUARTO TRIMESTRE]])</f>
        <v>0</v>
      </c>
      <c r="I691" s="17">
        <v>23000</v>
      </c>
      <c r="J691" s="17">
        <f t="shared" si="18"/>
        <v>0</v>
      </c>
      <c r="K691" s="17"/>
      <c r="L691" s="16" t="s">
        <v>18</v>
      </c>
      <c r="M691" s="16" t="s">
        <v>22</v>
      </c>
      <c r="N691" s="39"/>
    </row>
    <row r="692" spans="1:14" s="12" customFormat="1" ht="30">
      <c r="A692" s="178" t="s">
        <v>96</v>
      </c>
      <c r="B692" s="75" t="s">
        <v>1225</v>
      </c>
      <c r="C692" s="39" t="s">
        <v>17</v>
      </c>
      <c r="D692" s="236"/>
      <c r="E692" s="236"/>
      <c r="F692" s="236"/>
      <c r="G692" s="236"/>
      <c r="H692" s="40">
        <f>SUM(Tabla132112418[[#This Row],[PRIMER TRIMESTRE]:[CUARTO TRIMESTRE]])</f>
        <v>0</v>
      </c>
      <c r="I692" s="17">
        <v>30000</v>
      </c>
      <c r="J692" s="17">
        <f t="shared" si="18"/>
        <v>0</v>
      </c>
      <c r="K692" s="17"/>
      <c r="L692" s="16" t="s">
        <v>18</v>
      </c>
      <c r="M692" s="16" t="s">
        <v>22</v>
      </c>
      <c r="N692" s="39"/>
    </row>
    <row r="693" spans="1:14" s="12" customFormat="1" ht="30">
      <c r="A693" s="178" t="s">
        <v>96</v>
      </c>
      <c r="B693" s="75" t="s">
        <v>1226</v>
      </c>
      <c r="C693" s="39" t="s">
        <v>17</v>
      </c>
      <c r="D693" s="236"/>
      <c r="E693" s="236"/>
      <c r="F693" s="236"/>
      <c r="G693" s="236"/>
      <c r="H693" s="40">
        <f>SUM(Tabla132112418[[#This Row],[PRIMER TRIMESTRE]:[CUARTO TRIMESTRE]])</f>
        <v>0</v>
      </c>
      <c r="I693" s="17">
        <v>42345.120000000003</v>
      </c>
      <c r="J693" s="17">
        <f t="shared" ref="J693:J709" si="19">+H693*I693</f>
        <v>0</v>
      </c>
      <c r="K693" s="17"/>
      <c r="L693" s="16" t="s">
        <v>18</v>
      </c>
      <c r="M693" s="16" t="s">
        <v>22</v>
      </c>
      <c r="N693" s="39"/>
    </row>
    <row r="694" spans="1:14" s="12" customFormat="1" ht="30">
      <c r="A694" s="178" t="s">
        <v>96</v>
      </c>
      <c r="B694" s="75" t="s">
        <v>773</v>
      </c>
      <c r="C694" s="39" t="s">
        <v>17</v>
      </c>
      <c r="D694" s="236"/>
      <c r="E694" s="236"/>
      <c r="F694" s="236"/>
      <c r="G694" s="236"/>
      <c r="H694" s="40">
        <f>SUM(Tabla132112418[[#This Row],[PRIMER TRIMESTRE]:[CUARTO TRIMESTRE]])</f>
        <v>0</v>
      </c>
      <c r="I694" s="72">
        <v>500</v>
      </c>
      <c r="J694" s="17">
        <f t="shared" si="19"/>
        <v>0</v>
      </c>
      <c r="K694" s="17"/>
      <c r="L694" s="16" t="s">
        <v>18</v>
      </c>
      <c r="M694" s="16" t="s">
        <v>22</v>
      </c>
      <c r="N694" s="39" t="s">
        <v>418</v>
      </c>
    </row>
    <row r="695" spans="1:14" s="12" customFormat="1" ht="30">
      <c r="A695" s="178" t="s">
        <v>96</v>
      </c>
      <c r="B695" s="75" t="s">
        <v>774</v>
      </c>
      <c r="C695" s="39" t="s">
        <v>17</v>
      </c>
      <c r="D695" s="236"/>
      <c r="E695" s="236"/>
      <c r="F695" s="236"/>
      <c r="G695" s="236"/>
      <c r="H695" s="40">
        <f>SUM(Tabla132112418[[#This Row],[PRIMER TRIMESTRE]:[CUARTO TRIMESTRE]])</f>
        <v>0</v>
      </c>
      <c r="I695" s="72">
        <v>1380</v>
      </c>
      <c r="J695" s="17">
        <f t="shared" si="19"/>
        <v>0</v>
      </c>
      <c r="K695" s="17"/>
      <c r="L695" s="16" t="s">
        <v>18</v>
      </c>
      <c r="M695" s="16" t="s">
        <v>22</v>
      </c>
      <c r="N695" s="39" t="s">
        <v>418</v>
      </c>
    </row>
    <row r="696" spans="1:14" s="12" customFormat="1" ht="30">
      <c r="A696" s="178" t="s">
        <v>96</v>
      </c>
      <c r="B696" s="75" t="s">
        <v>775</v>
      </c>
      <c r="C696" s="39" t="s">
        <v>17</v>
      </c>
      <c r="D696" s="236"/>
      <c r="E696" s="236"/>
      <c r="F696" s="236"/>
      <c r="G696" s="236"/>
      <c r="H696" s="40">
        <f>SUM(Tabla132112418[[#This Row],[PRIMER TRIMESTRE]:[CUARTO TRIMESTRE]])</f>
        <v>0</v>
      </c>
      <c r="I696" s="72">
        <v>3200</v>
      </c>
      <c r="J696" s="17">
        <f t="shared" si="19"/>
        <v>0</v>
      </c>
      <c r="K696" s="17"/>
      <c r="L696" s="16" t="s">
        <v>18</v>
      </c>
      <c r="M696" s="16" t="s">
        <v>22</v>
      </c>
      <c r="N696" s="39" t="s">
        <v>418</v>
      </c>
    </row>
    <row r="697" spans="1:14" s="12" customFormat="1" ht="51">
      <c r="A697" s="178" t="s">
        <v>96</v>
      </c>
      <c r="B697" s="75" t="s">
        <v>1717</v>
      </c>
      <c r="C697" s="39" t="s">
        <v>17</v>
      </c>
      <c r="D697" s="236"/>
      <c r="E697" s="236"/>
      <c r="F697" s="236"/>
      <c r="G697" s="236"/>
      <c r="H697" s="40">
        <v>0</v>
      </c>
      <c r="I697" s="72">
        <v>0</v>
      </c>
      <c r="J697" s="17">
        <v>0</v>
      </c>
      <c r="K697" s="17"/>
      <c r="L697" s="16" t="s">
        <v>18</v>
      </c>
      <c r="M697" s="16" t="s">
        <v>19</v>
      </c>
      <c r="N697" s="39"/>
    </row>
    <row r="698" spans="1:14" s="12" customFormat="1" ht="51">
      <c r="A698" s="178" t="s">
        <v>96</v>
      </c>
      <c r="B698" s="75" t="s">
        <v>1678</v>
      </c>
      <c r="C698" s="39" t="s">
        <v>17</v>
      </c>
      <c r="D698" s="236"/>
      <c r="E698" s="236"/>
      <c r="F698" s="236"/>
      <c r="G698" s="236"/>
      <c r="H698" s="40">
        <v>0</v>
      </c>
      <c r="I698" s="72">
        <v>0</v>
      </c>
      <c r="J698" s="17">
        <v>0</v>
      </c>
      <c r="K698" s="17"/>
      <c r="L698" s="16" t="s">
        <v>18</v>
      </c>
      <c r="M698" s="16" t="s">
        <v>19</v>
      </c>
      <c r="N698" s="39"/>
    </row>
    <row r="699" spans="1:14" s="12" customFormat="1" ht="38.25">
      <c r="A699" s="178" t="s">
        <v>96</v>
      </c>
      <c r="B699" s="75" t="s">
        <v>1715</v>
      </c>
      <c r="C699" s="39" t="s">
        <v>17</v>
      </c>
      <c r="D699" s="236"/>
      <c r="E699" s="236"/>
      <c r="F699" s="236"/>
      <c r="G699" s="236"/>
      <c r="H699" s="40">
        <v>0</v>
      </c>
      <c r="I699" s="72">
        <v>0</v>
      </c>
      <c r="J699" s="17">
        <v>0</v>
      </c>
      <c r="K699" s="17"/>
      <c r="L699" s="16" t="s">
        <v>18</v>
      </c>
      <c r="M699" s="16" t="s">
        <v>19</v>
      </c>
      <c r="N699" s="39"/>
    </row>
    <row r="700" spans="1:14" s="12" customFormat="1" ht="38.25">
      <c r="A700" s="178" t="s">
        <v>96</v>
      </c>
      <c r="B700" s="75" t="s">
        <v>1719</v>
      </c>
      <c r="C700" s="39" t="s">
        <v>17</v>
      </c>
      <c r="D700" s="236"/>
      <c r="E700" s="236"/>
      <c r="F700" s="236"/>
      <c r="G700" s="236"/>
      <c r="H700" s="40">
        <v>0</v>
      </c>
      <c r="I700" s="72">
        <v>0</v>
      </c>
      <c r="J700" s="17">
        <v>0</v>
      </c>
      <c r="K700" s="17"/>
      <c r="L700" s="16" t="s">
        <v>18</v>
      </c>
      <c r="M700" s="16" t="s">
        <v>19</v>
      </c>
      <c r="N700" s="39"/>
    </row>
    <row r="701" spans="1:14" s="12" customFormat="1" ht="38.25">
      <c r="A701" s="178" t="s">
        <v>96</v>
      </c>
      <c r="B701" s="75" t="s">
        <v>816</v>
      </c>
      <c r="C701" s="39" t="s">
        <v>17</v>
      </c>
      <c r="D701" s="236"/>
      <c r="E701" s="210"/>
      <c r="F701" s="236"/>
      <c r="G701" s="236"/>
      <c r="H701" s="40">
        <f>SUM(Tabla132112418[[#This Row],[PRIMER TRIMESTRE]:[CUARTO TRIMESTRE]])</f>
        <v>0</v>
      </c>
      <c r="I701" s="72">
        <v>565000</v>
      </c>
      <c r="J701" s="17">
        <f t="shared" si="19"/>
        <v>0</v>
      </c>
      <c r="K701" s="17"/>
      <c r="L701" s="16" t="s">
        <v>18</v>
      </c>
      <c r="M701" s="16" t="s">
        <v>19</v>
      </c>
      <c r="N701" s="39"/>
    </row>
    <row r="702" spans="1:14" s="12" customFormat="1" ht="38.25">
      <c r="A702" s="178" t="s">
        <v>96</v>
      </c>
      <c r="B702" s="75" t="s">
        <v>817</v>
      </c>
      <c r="C702" s="39" t="s">
        <v>17</v>
      </c>
      <c r="D702" s="236"/>
      <c r="E702" s="210"/>
      <c r="F702" s="236"/>
      <c r="G702" s="236"/>
      <c r="H702" s="40">
        <f>SUM(Tabla132112418[[#This Row],[PRIMER TRIMESTRE]:[CUARTO TRIMESTRE]])</f>
        <v>0</v>
      </c>
      <c r="I702" s="17">
        <v>699235.41</v>
      </c>
      <c r="J702" s="17">
        <f t="shared" si="19"/>
        <v>0</v>
      </c>
      <c r="K702" s="17"/>
      <c r="L702" s="16" t="s">
        <v>18</v>
      </c>
      <c r="M702" s="16" t="s">
        <v>19</v>
      </c>
      <c r="N702" s="39"/>
    </row>
    <row r="703" spans="1:14" s="12" customFormat="1" ht="38.25">
      <c r="A703" s="178" t="s">
        <v>96</v>
      </c>
      <c r="B703" s="75" t="s">
        <v>818</v>
      </c>
      <c r="C703" s="39" t="s">
        <v>17</v>
      </c>
      <c r="D703" s="236"/>
      <c r="E703" s="210"/>
      <c r="F703" s="236"/>
      <c r="G703" s="236"/>
      <c r="H703" s="40">
        <f>SUM(Tabla132112418[[#This Row],[PRIMER TRIMESTRE]:[CUARTO TRIMESTRE]])</f>
        <v>0</v>
      </c>
      <c r="I703" s="17">
        <v>350000</v>
      </c>
      <c r="J703" s="17">
        <f t="shared" si="19"/>
        <v>0</v>
      </c>
      <c r="K703" s="17"/>
      <c r="L703" s="16" t="s">
        <v>18</v>
      </c>
      <c r="M703" s="16" t="s">
        <v>19</v>
      </c>
      <c r="N703" s="39"/>
    </row>
    <row r="704" spans="1:14" s="12" customFormat="1" ht="38.25">
      <c r="A704" s="178" t="s">
        <v>96</v>
      </c>
      <c r="B704" s="75" t="s">
        <v>819</v>
      </c>
      <c r="C704" s="39" t="s">
        <v>17</v>
      </c>
      <c r="D704" s="236"/>
      <c r="E704" s="210"/>
      <c r="F704" s="236"/>
      <c r="G704" s="236"/>
      <c r="H704" s="40">
        <f>SUM(Tabla132112418[[#This Row],[PRIMER TRIMESTRE]:[CUARTO TRIMESTRE]])</f>
        <v>0</v>
      </c>
      <c r="I704" s="17">
        <v>198000</v>
      </c>
      <c r="J704" s="17">
        <f t="shared" si="19"/>
        <v>0</v>
      </c>
      <c r="K704" s="17"/>
      <c r="L704" s="16" t="s">
        <v>18</v>
      </c>
      <c r="M704" s="16" t="s">
        <v>19</v>
      </c>
      <c r="N704" s="39"/>
    </row>
    <row r="705" spans="1:14" s="12" customFormat="1" ht="38.25">
      <c r="A705" s="178" t="s">
        <v>96</v>
      </c>
      <c r="B705" s="75" t="s">
        <v>820</v>
      </c>
      <c r="C705" s="39" t="s">
        <v>17</v>
      </c>
      <c r="D705" s="236"/>
      <c r="E705" s="210"/>
      <c r="F705" s="236"/>
      <c r="G705" s="236"/>
      <c r="H705" s="40">
        <f>SUM(Tabla132112418[[#This Row],[PRIMER TRIMESTRE]:[CUARTO TRIMESTRE]])</f>
        <v>0</v>
      </c>
      <c r="I705" s="17">
        <v>117000</v>
      </c>
      <c r="J705" s="17">
        <f t="shared" si="19"/>
        <v>0</v>
      </c>
      <c r="K705" s="17"/>
      <c r="L705" s="16" t="s">
        <v>18</v>
      </c>
      <c r="M705" s="16" t="s">
        <v>19</v>
      </c>
      <c r="N705" s="39"/>
    </row>
    <row r="706" spans="1:14" s="12" customFormat="1" ht="38.25">
      <c r="A706" s="178" t="s">
        <v>96</v>
      </c>
      <c r="B706" s="75" t="s">
        <v>821</v>
      </c>
      <c r="C706" s="39" t="s">
        <v>17</v>
      </c>
      <c r="D706" s="236"/>
      <c r="E706" s="210"/>
      <c r="F706" s="236"/>
      <c r="G706" s="236"/>
      <c r="H706" s="40">
        <f>SUM(Tabla132112418[[#This Row],[PRIMER TRIMESTRE]:[CUARTO TRIMESTRE]])</f>
        <v>0</v>
      </c>
      <c r="I706" s="17">
        <v>61630.63</v>
      </c>
      <c r="J706" s="17">
        <f t="shared" si="19"/>
        <v>0</v>
      </c>
      <c r="K706" s="17"/>
      <c r="L706" s="16" t="s">
        <v>18</v>
      </c>
      <c r="M706" s="16" t="s">
        <v>19</v>
      </c>
      <c r="N706" s="39"/>
    </row>
    <row r="707" spans="1:14" s="12" customFormat="1" ht="38.25">
      <c r="A707" s="178" t="s">
        <v>96</v>
      </c>
      <c r="B707" s="75" t="s">
        <v>822</v>
      </c>
      <c r="C707" s="39" t="s">
        <v>17</v>
      </c>
      <c r="D707" s="236"/>
      <c r="E707" s="210"/>
      <c r="F707" s="236"/>
      <c r="G707" s="236"/>
      <c r="H707" s="40">
        <f>SUM(Tabla132112418[[#This Row],[PRIMER TRIMESTRE]:[CUARTO TRIMESTRE]])</f>
        <v>0</v>
      </c>
      <c r="I707" s="17">
        <v>54792</v>
      </c>
      <c r="J707" s="17">
        <f t="shared" si="19"/>
        <v>0</v>
      </c>
      <c r="K707" s="17"/>
      <c r="L707" s="16" t="s">
        <v>18</v>
      </c>
      <c r="M707" s="16" t="s">
        <v>19</v>
      </c>
      <c r="N707" s="39"/>
    </row>
    <row r="708" spans="1:14" s="12" customFormat="1" ht="38.25">
      <c r="A708" s="178" t="s">
        <v>96</v>
      </c>
      <c r="B708" s="75" t="s">
        <v>823</v>
      </c>
      <c r="C708" s="39" t="s">
        <v>17</v>
      </c>
      <c r="D708" s="236"/>
      <c r="E708" s="210"/>
      <c r="F708" s="236"/>
      <c r="G708" s="236"/>
      <c r="H708" s="40">
        <f>SUM(Tabla132112418[[#This Row],[PRIMER TRIMESTRE]:[CUARTO TRIMESTRE]])</f>
        <v>0</v>
      </c>
      <c r="I708" s="17">
        <v>49560</v>
      </c>
      <c r="J708" s="17">
        <f t="shared" si="19"/>
        <v>0</v>
      </c>
      <c r="K708" s="17"/>
      <c r="L708" s="16" t="s">
        <v>18</v>
      </c>
      <c r="M708" s="16" t="s">
        <v>19</v>
      </c>
      <c r="N708" s="39"/>
    </row>
    <row r="709" spans="1:14" s="12" customFormat="1" ht="31.5">
      <c r="A709" s="178" t="s">
        <v>96</v>
      </c>
      <c r="B709" s="75" t="s">
        <v>824</v>
      </c>
      <c r="C709" s="39" t="s">
        <v>17</v>
      </c>
      <c r="D709" s="236"/>
      <c r="E709" s="210"/>
      <c r="F709" s="236"/>
      <c r="G709" s="236"/>
      <c r="H709" s="40">
        <f>SUM(Tabla132112418[[#This Row],[PRIMER TRIMESTRE]:[CUARTO TRIMESTRE]])</f>
        <v>0</v>
      </c>
      <c r="I709" s="17">
        <v>46658.86</v>
      </c>
      <c r="J709" s="17">
        <f t="shared" si="19"/>
        <v>0</v>
      </c>
      <c r="K709" s="17"/>
      <c r="L709" s="16" t="s">
        <v>18</v>
      </c>
      <c r="M709" s="16" t="s">
        <v>19</v>
      </c>
      <c r="N709" s="39"/>
    </row>
    <row r="710" spans="1:14" s="12" customFormat="1" ht="31.5">
      <c r="A710" s="178" t="s">
        <v>96</v>
      </c>
      <c r="B710" s="75" t="s">
        <v>1734</v>
      </c>
      <c r="C710" s="39" t="s">
        <v>17</v>
      </c>
      <c r="D710" s="236"/>
      <c r="E710" s="210"/>
      <c r="F710" s="236"/>
      <c r="G710" s="236"/>
      <c r="H710" s="40">
        <v>0</v>
      </c>
      <c r="I710" s="17">
        <v>0</v>
      </c>
      <c r="J710" s="17">
        <v>0</v>
      </c>
      <c r="K710" s="17"/>
      <c r="L710" s="16" t="s">
        <v>18</v>
      </c>
      <c r="M710" s="16" t="s">
        <v>19</v>
      </c>
      <c r="N710" s="39"/>
    </row>
    <row r="711" spans="1:14" s="12" customFormat="1" ht="31.5">
      <c r="A711" s="178" t="s">
        <v>96</v>
      </c>
      <c r="B711" s="75" t="s">
        <v>1733</v>
      </c>
      <c r="C711" s="39" t="s">
        <v>17</v>
      </c>
      <c r="D711" s="236"/>
      <c r="E711" s="210"/>
      <c r="F711" s="236"/>
      <c r="G711" s="236"/>
      <c r="H711" s="40">
        <v>0</v>
      </c>
      <c r="I711" s="17">
        <v>0</v>
      </c>
      <c r="J711" s="17">
        <v>0</v>
      </c>
      <c r="K711" s="17"/>
      <c r="L711" s="16" t="s">
        <v>18</v>
      </c>
      <c r="M711" s="16" t="s">
        <v>19</v>
      </c>
      <c r="N711" s="39"/>
    </row>
    <row r="712" spans="1:14" s="12" customFormat="1" ht="38.25">
      <c r="A712" s="178" t="s">
        <v>96</v>
      </c>
      <c r="B712" s="75" t="s">
        <v>1732</v>
      </c>
      <c r="C712" s="39" t="s">
        <v>17</v>
      </c>
      <c r="D712" s="236"/>
      <c r="E712" s="210"/>
      <c r="F712" s="236"/>
      <c r="G712" s="236"/>
      <c r="H712" s="40">
        <v>0</v>
      </c>
      <c r="I712" s="17">
        <v>0</v>
      </c>
      <c r="J712" s="17">
        <v>0</v>
      </c>
      <c r="K712" s="17"/>
      <c r="L712" s="16" t="s">
        <v>18</v>
      </c>
      <c r="M712" s="16" t="s">
        <v>19</v>
      </c>
      <c r="N712" s="39"/>
    </row>
    <row r="713" spans="1:14" s="12" customFormat="1" ht="31.5">
      <c r="A713" s="178" t="s">
        <v>96</v>
      </c>
      <c r="B713" s="75" t="s">
        <v>825</v>
      </c>
      <c r="C713" s="39" t="s">
        <v>17</v>
      </c>
      <c r="D713" s="236"/>
      <c r="E713" s="210"/>
      <c r="F713" s="236"/>
      <c r="G713" s="236"/>
      <c r="H713" s="40">
        <f>SUM(Tabla132112418[[#This Row],[PRIMER TRIMESTRE]:[CUARTO TRIMESTRE]])</f>
        <v>0</v>
      </c>
      <c r="I713" s="17">
        <v>47216.69</v>
      </c>
      <c r="J713" s="17">
        <v>0</v>
      </c>
      <c r="K713" s="17"/>
      <c r="L713" s="16" t="s">
        <v>18</v>
      </c>
      <c r="M713" s="16" t="s">
        <v>19</v>
      </c>
      <c r="N713" s="39"/>
    </row>
    <row r="714" spans="1:14" s="12" customFormat="1" ht="31.5">
      <c r="A714" s="178" t="s">
        <v>96</v>
      </c>
      <c r="B714" s="75" t="s">
        <v>826</v>
      </c>
      <c r="C714" s="39" t="s">
        <v>17</v>
      </c>
      <c r="D714" s="236"/>
      <c r="E714" s="210"/>
      <c r="F714" s="236"/>
      <c r="G714" s="236"/>
      <c r="H714" s="40">
        <f>SUM(Tabla132112418[[#This Row],[PRIMER TRIMESTRE]:[CUARTO TRIMESTRE]])</f>
        <v>0</v>
      </c>
      <c r="I714" s="17">
        <v>59766.34</v>
      </c>
      <c r="J714" s="17">
        <f t="shared" ref="J714:J777" si="20">+H714*I714</f>
        <v>0</v>
      </c>
      <c r="K714" s="17"/>
      <c r="L714" s="16" t="s">
        <v>18</v>
      </c>
      <c r="M714" s="16" t="s">
        <v>19</v>
      </c>
      <c r="N714" s="39"/>
    </row>
    <row r="715" spans="1:14" s="12" customFormat="1" ht="30">
      <c r="A715" s="178" t="s">
        <v>96</v>
      </c>
      <c r="B715" s="75" t="s">
        <v>1227</v>
      </c>
      <c r="C715" s="39" t="s">
        <v>17</v>
      </c>
      <c r="D715" s="236"/>
      <c r="E715" s="210"/>
      <c r="F715" s="236"/>
      <c r="G715" s="236"/>
      <c r="H715" s="40">
        <f>SUM(Tabla132112418[[#This Row],[PRIMER TRIMESTRE]:[CUARTO TRIMESTRE]])</f>
        <v>0</v>
      </c>
      <c r="I715" s="17">
        <v>56400</v>
      </c>
      <c r="J715" s="17">
        <f t="shared" si="20"/>
        <v>0</v>
      </c>
      <c r="K715" s="17"/>
      <c r="L715" s="16" t="s">
        <v>18</v>
      </c>
      <c r="M715" s="16" t="s">
        <v>22</v>
      </c>
      <c r="N715" s="39"/>
    </row>
    <row r="716" spans="1:14" s="12" customFormat="1" ht="30">
      <c r="A716" s="178" t="s">
        <v>96</v>
      </c>
      <c r="B716" s="75" t="s">
        <v>1228</v>
      </c>
      <c r="C716" s="39" t="s">
        <v>17</v>
      </c>
      <c r="D716" s="236"/>
      <c r="E716" s="210"/>
      <c r="F716" s="236"/>
      <c r="G716" s="236"/>
      <c r="H716" s="40">
        <f>SUM(Tabla132112418[[#This Row],[PRIMER TRIMESTRE]:[CUARTO TRIMESTRE]])</f>
        <v>0</v>
      </c>
      <c r="I716" s="17">
        <v>56400</v>
      </c>
      <c r="J716" s="17">
        <f t="shared" si="20"/>
        <v>0</v>
      </c>
      <c r="K716" s="17"/>
      <c r="L716" s="16" t="s">
        <v>18</v>
      </c>
      <c r="M716" s="16" t="s">
        <v>22</v>
      </c>
      <c r="N716" s="39"/>
    </row>
    <row r="717" spans="1:14" s="12" customFormat="1" ht="30">
      <c r="A717" s="178" t="s">
        <v>96</v>
      </c>
      <c r="B717" s="75" t="s">
        <v>1229</v>
      </c>
      <c r="C717" s="39" t="s">
        <v>17</v>
      </c>
      <c r="D717" s="236"/>
      <c r="E717" s="210"/>
      <c r="F717" s="236"/>
      <c r="G717" s="236"/>
      <c r="H717" s="40">
        <f>SUM(Tabla132112418[[#This Row],[PRIMER TRIMESTRE]:[CUARTO TRIMESTRE]])</f>
        <v>0</v>
      </c>
      <c r="I717" s="17">
        <v>56400</v>
      </c>
      <c r="J717" s="17">
        <f t="shared" si="20"/>
        <v>0</v>
      </c>
      <c r="K717" s="17"/>
      <c r="L717" s="16" t="s">
        <v>18</v>
      </c>
      <c r="M717" s="16" t="s">
        <v>22</v>
      </c>
      <c r="N717" s="39"/>
    </row>
    <row r="718" spans="1:14" s="12" customFormat="1" ht="30">
      <c r="A718" s="178" t="s">
        <v>96</v>
      </c>
      <c r="B718" s="75" t="s">
        <v>827</v>
      </c>
      <c r="C718" s="39" t="s">
        <v>17</v>
      </c>
      <c r="D718" s="236"/>
      <c r="E718" s="210"/>
      <c r="F718" s="236"/>
      <c r="G718" s="236"/>
      <c r="H718" s="40">
        <f>SUM(Tabla132112418[[#This Row],[PRIMER TRIMESTRE]:[CUARTO TRIMESTRE]])</f>
        <v>0</v>
      </c>
      <c r="I718" s="17">
        <v>2415</v>
      </c>
      <c r="J718" s="17">
        <f t="shared" si="20"/>
        <v>0</v>
      </c>
      <c r="K718" s="17"/>
      <c r="L718" s="16" t="s">
        <v>18</v>
      </c>
      <c r="M718" s="16" t="s">
        <v>22</v>
      </c>
      <c r="N718" s="39"/>
    </row>
    <row r="719" spans="1:14" s="12" customFormat="1" ht="30">
      <c r="A719" s="178" t="s">
        <v>96</v>
      </c>
      <c r="B719" s="75" t="s">
        <v>828</v>
      </c>
      <c r="C719" s="39" t="s">
        <v>17</v>
      </c>
      <c r="D719" s="236"/>
      <c r="E719" s="210"/>
      <c r="F719" s="236"/>
      <c r="G719" s="236"/>
      <c r="H719" s="40">
        <f>SUM(Tabla132112418[[#This Row],[PRIMER TRIMESTRE]:[CUARTO TRIMESTRE]])</f>
        <v>0</v>
      </c>
      <c r="I719" s="17">
        <v>3266</v>
      </c>
      <c r="J719" s="17">
        <f t="shared" si="20"/>
        <v>0</v>
      </c>
      <c r="K719" s="17"/>
      <c r="L719" s="16" t="s">
        <v>18</v>
      </c>
      <c r="M719" s="16" t="s">
        <v>22</v>
      </c>
      <c r="N719" s="39"/>
    </row>
    <row r="720" spans="1:14" s="12" customFormat="1" ht="30">
      <c r="A720" s="178" t="s">
        <v>96</v>
      </c>
      <c r="B720" s="75" t="s">
        <v>829</v>
      </c>
      <c r="C720" s="39" t="s">
        <v>17</v>
      </c>
      <c r="D720" s="236"/>
      <c r="E720" s="210"/>
      <c r="F720" s="236"/>
      <c r="G720" s="236"/>
      <c r="H720" s="40">
        <f>SUM(Tabla132112418[[#This Row],[PRIMER TRIMESTRE]:[CUARTO TRIMESTRE]])</f>
        <v>0</v>
      </c>
      <c r="I720" s="17">
        <v>4000</v>
      </c>
      <c r="J720" s="17">
        <f t="shared" si="20"/>
        <v>0</v>
      </c>
      <c r="K720" s="17"/>
      <c r="L720" s="16" t="s">
        <v>18</v>
      </c>
      <c r="M720" s="16" t="s">
        <v>22</v>
      </c>
      <c r="N720" s="39"/>
    </row>
    <row r="721" spans="1:14" s="12" customFormat="1" ht="30">
      <c r="A721" s="178" t="s">
        <v>96</v>
      </c>
      <c r="B721" s="75" t="s">
        <v>830</v>
      </c>
      <c r="C721" s="39" t="s">
        <v>17</v>
      </c>
      <c r="D721" s="236"/>
      <c r="E721" s="210"/>
      <c r="F721" s="236"/>
      <c r="G721" s="236"/>
      <c r="H721" s="40">
        <f>SUM(Tabla132112418[[#This Row],[PRIMER TRIMESTRE]:[CUARTO TRIMESTRE]])</f>
        <v>0</v>
      </c>
      <c r="I721" s="17">
        <v>4957</v>
      </c>
      <c r="J721" s="17">
        <f t="shared" si="20"/>
        <v>0</v>
      </c>
      <c r="K721" s="17"/>
      <c r="L721" s="16" t="s">
        <v>18</v>
      </c>
      <c r="M721" s="16" t="s">
        <v>22</v>
      </c>
      <c r="N721" s="39"/>
    </row>
    <row r="722" spans="1:14" s="12" customFormat="1" ht="30">
      <c r="A722" s="178" t="s">
        <v>96</v>
      </c>
      <c r="B722" s="75" t="s">
        <v>831</v>
      </c>
      <c r="C722" s="39" t="s">
        <v>17</v>
      </c>
      <c r="D722" s="236"/>
      <c r="E722" s="210"/>
      <c r="F722" s="236"/>
      <c r="G722" s="236"/>
      <c r="H722" s="40">
        <f>SUM(Tabla132112418[[#This Row],[PRIMER TRIMESTRE]:[CUARTO TRIMESTRE]])</f>
        <v>0</v>
      </c>
      <c r="I722" s="17">
        <v>5394</v>
      </c>
      <c r="J722" s="17">
        <f t="shared" si="20"/>
        <v>0</v>
      </c>
      <c r="K722" s="17"/>
      <c r="L722" s="16" t="s">
        <v>18</v>
      </c>
      <c r="M722" s="16" t="s">
        <v>22</v>
      </c>
      <c r="N722" s="39"/>
    </row>
    <row r="723" spans="1:14" s="12" customFormat="1" ht="30">
      <c r="A723" s="178" t="s">
        <v>96</v>
      </c>
      <c r="B723" s="75" t="s">
        <v>1511</v>
      </c>
      <c r="C723" s="39" t="s">
        <v>17</v>
      </c>
      <c r="D723" s="236"/>
      <c r="E723" s="236"/>
      <c r="F723" s="236"/>
      <c r="G723" s="236"/>
      <c r="H723" s="236">
        <f>SUM(Tabla132112418[[#This Row],[PRIMER TRIMESTRE]:[CUARTO TRIMESTRE]])</f>
        <v>0</v>
      </c>
      <c r="I723" s="17">
        <v>58148.4</v>
      </c>
      <c r="J723" s="17">
        <f t="shared" si="20"/>
        <v>0</v>
      </c>
      <c r="K723" s="17"/>
      <c r="L723" s="16" t="s">
        <v>18</v>
      </c>
      <c r="M723" s="16" t="s">
        <v>22</v>
      </c>
      <c r="N723" s="39"/>
    </row>
    <row r="724" spans="1:14" s="12" customFormat="1" ht="30">
      <c r="A724" s="178" t="s">
        <v>96</v>
      </c>
      <c r="B724" s="75" t="s">
        <v>1512</v>
      </c>
      <c r="C724" s="236" t="s">
        <v>17</v>
      </c>
      <c r="D724" s="236"/>
      <c r="E724" s="236"/>
      <c r="F724" s="236"/>
      <c r="G724" s="236"/>
      <c r="H724" s="236">
        <f>SUM(Tabla132112418[[#This Row],[PRIMER TRIMESTRE]:[CUARTO TRIMESTRE]])</f>
        <v>0</v>
      </c>
      <c r="I724" s="17">
        <v>3703</v>
      </c>
      <c r="J724" s="17">
        <f t="shared" si="20"/>
        <v>0</v>
      </c>
      <c r="K724" s="17"/>
      <c r="L724" s="16" t="s">
        <v>18</v>
      </c>
      <c r="M724" s="16" t="s">
        <v>22</v>
      </c>
      <c r="N724" s="39"/>
    </row>
    <row r="725" spans="1:14" s="12" customFormat="1" ht="30">
      <c r="A725" s="178" t="s">
        <v>96</v>
      </c>
      <c r="B725" s="75" t="s">
        <v>1513</v>
      </c>
      <c r="C725" s="236" t="s">
        <v>17</v>
      </c>
      <c r="D725" s="236"/>
      <c r="E725" s="236"/>
      <c r="F725" s="236"/>
      <c r="G725" s="236"/>
      <c r="H725" s="236">
        <f>SUM(Tabla132112418[[#This Row],[PRIMER TRIMESTRE]:[CUARTO TRIMESTRE]])</f>
        <v>0</v>
      </c>
      <c r="I725" s="17">
        <v>3703.83</v>
      </c>
      <c r="J725" s="17">
        <f t="shared" si="20"/>
        <v>0</v>
      </c>
      <c r="K725" s="17"/>
      <c r="L725" s="16" t="s">
        <v>18</v>
      </c>
      <c r="M725" s="16" t="s">
        <v>22</v>
      </c>
      <c r="N725" s="39"/>
    </row>
    <row r="726" spans="1:14" s="12" customFormat="1" ht="30">
      <c r="A726" s="178" t="s">
        <v>96</v>
      </c>
      <c r="B726" s="75" t="s">
        <v>1514</v>
      </c>
      <c r="C726" s="236" t="s">
        <v>17</v>
      </c>
      <c r="D726" s="236"/>
      <c r="E726" s="236"/>
      <c r="F726" s="236"/>
      <c r="G726" s="236"/>
      <c r="H726" s="236">
        <f>SUM(Tabla132112418[[#This Row],[PRIMER TRIMESTRE]:[CUARTO TRIMESTRE]])</f>
        <v>0</v>
      </c>
      <c r="I726" s="17">
        <v>4018</v>
      </c>
      <c r="J726" s="17">
        <f t="shared" si="20"/>
        <v>0</v>
      </c>
      <c r="K726" s="17"/>
      <c r="L726" s="16" t="s">
        <v>18</v>
      </c>
      <c r="M726" s="16" t="s">
        <v>22</v>
      </c>
      <c r="N726" s="39"/>
    </row>
    <row r="727" spans="1:14" s="12" customFormat="1" ht="30">
      <c r="A727" s="178" t="s">
        <v>96</v>
      </c>
      <c r="B727" s="75" t="s">
        <v>1721</v>
      </c>
      <c r="C727" s="236" t="s">
        <v>17</v>
      </c>
      <c r="D727" s="236"/>
      <c r="E727" s="236"/>
      <c r="F727" s="236"/>
      <c r="G727" s="236"/>
      <c r="H727" s="40">
        <v>0</v>
      </c>
      <c r="I727" s="17">
        <v>0</v>
      </c>
      <c r="J727" s="17">
        <v>0</v>
      </c>
      <c r="K727" s="17"/>
      <c r="L727" s="16" t="s">
        <v>18</v>
      </c>
      <c r="M727" s="16" t="s">
        <v>22</v>
      </c>
      <c r="N727" s="39"/>
    </row>
    <row r="728" spans="1:14" s="12" customFormat="1" ht="30">
      <c r="A728" s="178" t="s">
        <v>96</v>
      </c>
      <c r="B728" s="75" t="s">
        <v>1515</v>
      </c>
      <c r="C728" s="236" t="s">
        <v>17</v>
      </c>
      <c r="D728" s="236"/>
      <c r="E728" s="236"/>
      <c r="F728" s="236"/>
      <c r="G728" s="236"/>
      <c r="H728" s="236">
        <f>SUM(Tabla132112418[[#This Row],[PRIMER TRIMESTRE]:[CUARTO TRIMESTRE]])</f>
        <v>0</v>
      </c>
      <c r="I728" s="17">
        <v>4500</v>
      </c>
      <c r="J728" s="17">
        <f t="shared" si="20"/>
        <v>0</v>
      </c>
      <c r="K728" s="17"/>
      <c r="L728" s="16" t="s">
        <v>18</v>
      </c>
      <c r="M728" s="16" t="s">
        <v>22</v>
      </c>
      <c r="N728" s="39"/>
    </row>
    <row r="729" spans="1:14" s="12" customFormat="1" ht="30">
      <c r="A729" s="178" t="s">
        <v>96</v>
      </c>
      <c r="B729" s="75" t="s">
        <v>1516</v>
      </c>
      <c r="C729" s="236" t="s">
        <v>17</v>
      </c>
      <c r="D729" s="236"/>
      <c r="E729" s="236"/>
      <c r="F729" s="236"/>
      <c r="G729" s="236"/>
      <c r="H729" s="236">
        <f>SUM(Tabla132112418[[#This Row],[PRIMER TRIMESTRE]:[CUARTO TRIMESTRE]])</f>
        <v>0</v>
      </c>
      <c r="I729" s="17">
        <v>2185</v>
      </c>
      <c r="J729" s="17">
        <f t="shared" si="20"/>
        <v>0</v>
      </c>
      <c r="K729" s="17"/>
      <c r="L729" s="16" t="s">
        <v>18</v>
      </c>
      <c r="M729" s="16" t="s">
        <v>22</v>
      </c>
      <c r="N729" s="39"/>
    </row>
    <row r="730" spans="1:14" s="12" customFormat="1" ht="30">
      <c r="A730" s="178" t="s">
        <v>96</v>
      </c>
      <c r="B730" s="75" t="s">
        <v>1517</v>
      </c>
      <c r="C730" s="236" t="s">
        <v>17</v>
      </c>
      <c r="D730" s="236"/>
      <c r="E730" s="236"/>
      <c r="F730" s="236"/>
      <c r="G730" s="236"/>
      <c r="H730" s="236">
        <f>SUM(Tabla132112418[[#This Row],[PRIMER TRIMESTRE]:[CUARTO TRIMESTRE]])</f>
        <v>0</v>
      </c>
      <c r="I730" s="17">
        <v>2185</v>
      </c>
      <c r="J730" s="17">
        <f t="shared" si="20"/>
        <v>0</v>
      </c>
      <c r="K730" s="17"/>
      <c r="L730" s="16" t="s">
        <v>18</v>
      </c>
      <c r="M730" s="16" t="s">
        <v>22</v>
      </c>
      <c r="N730" s="39"/>
    </row>
    <row r="731" spans="1:14" s="12" customFormat="1" ht="30">
      <c r="A731" s="178" t="s">
        <v>96</v>
      </c>
      <c r="B731" s="75" t="s">
        <v>832</v>
      </c>
      <c r="C731" s="39" t="s">
        <v>17</v>
      </c>
      <c r="D731" s="236"/>
      <c r="E731" s="236"/>
      <c r="F731" s="236"/>
      <c r="G731" s="236"/>
      <c r="H731" s="40">
        <f>SUM(Tabla132112418[[#This Row],[PRIMER TRIMESTRE]:[CUARTO TRIMESTRE]])</f>
        <v>0</v>
      </c>
      <c r="I731" s="17">
        <v>5772</v>
      </c>
      <c r="J731" s="17">
        <f t="shared" si="20"/>
        <v>0</v>
      </c>
      <c r="K731" s="17"/>
      <c r="L731" s="16" t="s">
        <v>18</v>
      </c>
      <c r="M731" s="16" t="s">
        <v>22</v>
      </c>
      <c r="N731" s="39"/>
    </row>
    <row r="732" spans="1:14" s="12" customFormat="1" ht="30">
      <c r="A732" s="178" t="s">
        <v>96</v>
      </c>
      <c r="B732" s="75" t="s">
        <v>833</v>
      </c>
      <c r="C732" s="39" t="s">
        <v>17</v>
      </c>
      <c r="D732" s="236"/>
      <c r="E732" s="236"/>
      <c r="F732" s="236"/>
      <c r="G732" s="236"/>
      <c r="H732" s="40">
        <f>SUM(Tabla132112418[[#This Row],[PRIMER TRIMESTRE]:[CUARTO TRIMESTRE]])</f>
        <v>0</v>
      </c>
      <c r="I732" s="17">
        <v>6168.42</v>
      </c>
      <c r="J732" s="17">
        <f t="shared" si="20"/>
        <v>0</v>
      </c>
      <c r="K732" s="17"/>
      <c r="L732" s="16" t="s">
        <v>18</v>
      </c>
      <c r="M732" s="16" t="s">
        <v>22</v>
      </c>
      <c r="N732" s="39"/>
    </row>
    <row r="733" spans="1:14" s="12" customFormat="1" ht="30">
      <c r="A733" s="178" t="s">
        <v>96</v>
      </c>
      <c r="B733" s="75" t="s">
        <v>834</v>
      </c>
      <c r="C733" s="39" t="s">
        <v>17</v>
      </c>
      <c r="D733" s="236"/>
      <c r="E733" s="236"/>
      <c r="F733" s="236"/>
      <c r="G733" s="236"/>
      <c r="H733" s="40">
        <f>SUM(Tabla132112418[[#This Row],[PRIMER TRIMESTRE]:[CUARTO TRIMESTRE]])</f>
        <v>0</v>
      </c>
      <c r="I733" s="17">
        <v>14000</v>
      </c>
      <c r="J733" s="17">
        <f t="shared" si="20"/>
        <v>0</v>
      </c>
      <c r="K733" s="17"/>
      <c r="L733" s="16" t="s">
        <v>18</v>
      </c>
      <c r="M733" s="16" t="s">
        <v>22</v>
      </c>
      <c r="N733" s="39"/>
    </row>
    <row r="734" spans="1:14" s="12" customFormat="1" ht="30">
      <c r="A734" s="178" t="s">
        <v>96</v>
      </c>
      <c r="B734" s="75" t="s">
        <v>835</v>
      </c>
      <c r="C734" s="39" t="s">
        <v>17</v>
      </c>
      <c r="D734" s="236"/>
      <c r="E734" s="236"/>
      <c r="F734" s="236"/>
      <c r="G734" s="236"/>
      <c r="H734" s="40">
        <f>SUM(Tabla132112418[[#This Row],[PRIMER TRIMESTRE]:[CUARTO TRIMESTRE]])</f>
        <v>0</v>
      </c>
      <c r="I734" s="17">
        <v>15000</v>
      </c>
      <c r="J734" s="17">
        <f t="shared" si="20"/>
        <v>0</v>
      </c>
      <c r="K734" s="17"/>
      <c r="L734" s="16" t="s">
        <v>18</v>
      </c>
      <c r="M734" s="16" t="s">
        <v>22</v>
      </c>
      <c r="N734" s="39"/>
    </row>
    <row r="735" spans="1:14" s="12" customFormat="1" ht="30">
      <c r="A735" s="178" t="s">
        <v>96</v>
      </c>
      <c r="B735" s="75" t="s">
        <v>836</v>
      </c>
      <c r="C735" s="39" t="s">
        <v>17</v>
      </c>
      <c r="D735" s="236"/>
      <c r="E735" s="236"/>
      <c r="F735" s="236"/>
      <c r="G735" s="236"/>
      <c r="H735" s="40">
        <f>SUM(Tabla132112418[[#This Row],[PRIMER TRIMESTRE]:[CUARTO TRIMESTRE]])</f>
        <v>0</v>
      </c>
      <c r="I735" s="17">
        <v>16500</v>
      </c>
      <c r="J735" s="17">
        <f t="shared" si="20"/>
        <v>0</v>
      </c>
      <c r="K735" s="17"/>
      <c r="L735" s="16" t="s">
        <v>18</v>
      </c>
      <c r="M735" s="16" t="s">
        <v>22</v>
      </c>
      <c r="N735" s="39"/>
    </row>
    <row r="736" spans="1:14" s="12" customFormat="1" ht="30">
      <c r="A736" s="178" t="s">
        <v>96</v>
      </c>
      <c r="B736" s="75" t="s">
        <v>1449</v>
      </c>
      <c r="C736" s="39" t="s">
        <v>17</v>
      </c>
      <c r="D736" s="236"/>
      <c r="E736" s="236"/>
      <c r="F736" s="236"/>
      <c r="G736" s="236"/>
      <c r="H736" s="40">
        <f>SUM(Tabla132112418[[#This Row],[PRIMER TRIMESTRE]:[CUARTO TRIMESTRE]])</f>
        <v>0</v>
      </c>
      <c r="I736" s="17">
        <v>20600</v>
      </c>
      <c r="J736" s="17">
        <f t="shared" si="20"/>
        <v>0</v>
      </c>
      <c r="K736" s="17"/>
      <c r="L736" s="16" t="s">
        <v>18</v>
      </c>
      <c r="M736" s="16" t="s">
        <v>22</v>
      </c>
      <c r="N736" s="39"/>
    </row>
    <row r="737" spans="1:14" s="12" customFormat="1" ht="38.25">
      <c r="A737" s="178" t="s">
        <v>96</v>
      </c>
      <c r="B737" s="75" t="s">
        <v>843</v>
      </c>
      <c r="C737" s="39" t="s">
        <v>17</v>
      </c>
      <c r="D737" s="236"/>
      <c r="E737" s="236"/>
      <c r="F737" s="236"/>
      <c r="G737" s="236"/>
      <c r="H737" s="40">
        <f>SUM(Tabla132112418[[#This Row],[PRIMER TRIMESTRE]:[CUARTO TRIMESTRE]])</f>
        <v>0</v>
      </c>
      <c r="I737" s="17">
        <v>4270</v>
      </c>
      <c r="J737" s="17">
        <f t="shared" si="20"/>
        <v>0</v>
      </c>
      <c r="K737" s="17"/>
      <c r="L737" s="16" t="s">
        <v>18</v>
      </c>
      <c r="M737" s="16" t="s">
        <v>22</v>
      </c>
      <c r="N737" s="39"/>
    </row>
    <row r="738" spans="1:14" s="12" customFormat="1" ht="38.25">
      <c r="A738" s="178" t="s">
        <v>96</v>
      </c>
      <c r="B738" s="75" t="s">
        <v>844</v>
      </c>
      <c r="C738" s="39" t="s">
        <v>17</v>
      </c>
      <c r="D738" s="236"/>
      <c r="E738" s="236"/>
      <c r="F738" s="236"/>
      <c r="G738" s="236"/>
      <c r="H738" s="40">
        <f>SUM(Tabla132112418[[#This Row],[PRIMER TRIMESTRE]:[CUARTO TRIMESTRE]])</f>
        <v>0</v>
      </c>
      <c r="I738" s="17">
        <v>4320</v>
      </c>
      <c r="J738" s="17">
        <f t="shared" si="20"/>
        <v>0</v>
      </c>
      <c r="K738" s="17"/>
      <c r="L738" s="16" t="s">
        <v>18</v>
      </c>
      <c r="M738" s="16" t="s">
        <v>22</v>
      </c>
      <c r="N738" s="39"/>
    </row>
    <row r="739" spans="1:14" s="12" customFormat="1" ht="38.25">
      <c r="A739" s="178" t="s">
        <v>96</v>
      </c>
      <c r="B739" s="75" t="s">
        <v>845</v>
      </c>
      <c r="C739" s="39" t="s">
        <v>17</v>
      </c>
      <c r="D739" s="236"/>
      <c r="E739" s="236"/>
      <c r="F739" s="236"/>
      <c r="G739" s="236"/>
      <c r="H739" s="40">
        <f>SUM(Tabla132112418[[#This Row],[PRIMER TRIMESTRE]:[CUARTO TRIMESTRE]])</f>
        <v>0</v>
      </c>
      <c r="I739" s="17">
        <v>4560</v>
      </c>
      <c r="J739" s="17">
        <f t="shared" si="20"/>
        <v>0</v>
      </c>
      <c r="K739" s="17"/>
      <c r="L739" s="16" t="s">
        <v>18</v>
      </c>
      <c r="M739" s="16" t="s">
        <v>22</v>
      </c>
      <c r="N739" s="39"/>
    </row>
    <row r="740" spans="1:14" s="12" customFormat="1" ht="38.25">
      <c r="A740" s="178" t="s">
        <v>96</v>
      </c>
      <c r="B740" s="75" t="s">
        <v>846</v>
      </c>
      <c r="C740" s="39" t="s">
        <v>17</v>
      </c>
      <c r="D740" s="236"/>
      <c r="E740" s="236"/>
      <c r="F740" s="236"/>
      <c r="G740" s="236"/>
      <c r="H740" s="40">
        <f>SUM(Tabla132112418[[#This Row],[PRIMER TRIMESTRE]:[CUARTO TRIMESTRE]])</f>
        <v>0</v>
      </c>
      <c r="I740" s="17">
        <v>5684</v>
      </c>
      <c r="J740" s="17">
        <f t="shared" si="20"/>
        <v>0</v>
      </c>
      <c r="K740" s="17"/>
      <c r="L740" s="16" t="s">
        <v>18</v>
      </c>
      <c r="M740" s="16" t="s">
        <v>22</v>
      </c>
      <c r="N740" s="39"/>
    </row>
    <row r="741" spans="1:14" s="12" customFormat="1" ht="38.25">
      <c r="A741" s="178" t="s">
        <v>96</v>
      </c>
      <c r="B741" s="75" t="s">
        <v>847</v>
      </c>
      <c r="C741" s="39" t="s">
        <v>17</v>
      </c>
      <c r="D741" s="236"/>
      <c r="E741" s="236"/>
      <c r="F741" s="236"/>
      <c r="G741" s="236"/>
      <c r="H741" s="40">
        <f>SUM(Tabla132112418[[#This Row],[PRIMER TRIMESTRE]:[CUARTO TRIMESTRE]])</f>
        <v>0</v>
      </c>
      <c r="I741" s="17">
        <v>5300</v>
      </c>
      <c r="J741" s="17">
        <f t="shared" si="20"/>
        <v>0</v>
      </c>
      <c r="K741" s="17"/>
      <c r="L741" s="16" t="s">
        <v>18</v>
      </c>
      <c r="M741" s="16" t="s">
        <v>22</v>
      </c>
      <c r="N741" s="39"/>
    </row>
    <row r="742" spans="1:14" s="12" customFormat="1" ht="38.25">
      <c r="A742" s="178" t="s">
        <v>96</v>
      </c>
      <c r="B742" s="75" t="s">
        <v>848</v>
      </c>
      <c r="C742" s="39" t="s">
        <v>17</v>
      </c>
      <c r="D742" s="236"/>
      <c r="E742" s="236"/>
      <c r="F742" s="236"/>
      <c r="G742" s="236"/>
      <c r="H742" s="40">
        <f>SUM(Tabla132112418[[#This Row],[PRIMER TRIMESTRE]:[CUARTO TRIMESTRE]])</f>
        <v>0</v>
      </c>
      <c r="I742" s="17">
        <v>4958</v>
      </c>
      <c r="J742" s="17">
        <f t="shared" si="20"/>
        <v>0</v>
      </c>
      <c r="K742" s="17"/>
      <c r="L742" s="16" t="s">
        <v>18</v>
      </c>
      <c r="M742" s="16" t="s">
        <v>22</v>
      </c>
      <c r="N742" s="39"/>
    </row>
    <row r="743" spans="1:14" s="12" customFormat="1" ht="38.25">
      <c r="A743" s="178" t="s">
        <v>96</v>
      </c>
      <c r="B743" s="75" t="s">
        <v>849</v>
      </c>
      <c r="C743" s="39" t="s">
        <v>17</v>
      </c>
      <c r="D743" s="236"/>
      <c r="E743" s="236"/>
      <c r="F743" s="236"/>
      <c r="G743" s="236"/>
      <c r="H743" s="40">
        <f>SUM(Tabla132112418[[#This Row],[PRIMER TRIMESTRE]:[CUARTO TRIMESTRE]])</f>
        <v>0</v>
      </c>
      <c r="I743" s="17">
        <v>6958</v>
      </c>
      <c r="J743" s="17">
        <f t="shared" si="20"/>
        <v>0</v>
      </c>
      <c r="K743" s="17"/>
      <c r="L743" s="16" t="s">
        <v>18</v>
      </c>
      <c r="M743" s="16" t="s">
        <v>22</v>
      </c>
      <c r="N743" s="39"/>
    </row>
    <row r="744" spans="1:14" s="12" customFormat="1" ht="38.25">
      <c r="A744" s="178" t="s">
        <v>96</v>
      </c>
      <c r="B744" s="75" t="s">
        <v>850</v>
      </c>
      <c r="C744" s="39" t="s">
        <v>17</v>
      </c>
      <c r="D744" s="236"/>
      <c r="E744" s="236"/>
      <c r="F744" s="236"/>
      <c r="G744" s="236"/>
      <c r="H744" s="40">
        <f>SUM(Tabla132112418[[#This Row],[PRIMER TRIMESTRE]:[CUARTO TRIMESTRE]])</f>
        <v>0</v>
      </c>
      <c r="I744" s="17">
        <v>7050</v>
      </c>
      <c r="J744" s="17">
        <f t="shared" si="20"/>
        <v>0</v>
      </c>
      <c r="K744" s="17"/>
      <c r="L744" s="16" t="s">
        <v>18</v>
      </c>
      <c r="M744" s="16" t="s">
        <v>22</v>
      </c>
      <c r="N744" s="39"/>
    </row>
    <row r="745" spans="1:14" s="12" customFormat="1" ht="38.25">
      <c r="A745" s="178" t="s">
        <v>96</v>
      </c>
      <c r="B745" s="75" t="s">
        <v>851</v>
      </c>
      <c r="C745" s="39" t="s">
        <v>17</v>
      </c>
      <c r="D745" s="236"/>
      <c r="E745" s="236"/>
      <c r="F745" s="236"/>
      <c r="G745" s="236"/>
      <c r="H745" s="40">
        <f>SUM(Tabla132112418[[#This Row],[PRIMER TRIMESTRE]:[CUARTO TRIMESTRE]])</f>
        <v>0</v>
      </c>
      <c r="I745" s="17">
        <v>7950</v>
      </c>
      <c r="J745" s="17">
        <f t="shared" si="20"/>
        <v>0</v>
      </c>
      <c r="K745" s="17"/>
      <c r="L745" s="16" t="s">
        <v>18</v>
      </c>
      <c r="M745" s="16" t="s">
        <v>22</v>
      </c>
      <c r="N745" s="39"/>
    </row>
    <row r="746" spans="1:14" s="12" customFormat="1" ht="38.25">
      <c r="A746" s="178" t="s">
        <v>96</v>
      </c>
      <c r="B746" s="75" t="s">
        <v>852</v>
      </c>
      <c r="C746" s="39" t="s">
        <v>17</v>
      </c>
      <c r="D746" s="236"/>
      <c r="E746" s="236"/>
      <c r="F746" s="236"/>
      <c r="G746" s="236"/>
      <c r="H746" s="40">
        <f>SUM(Tabla132112418[[#This Row],[PRIMER TRIMESTRE]:[CUARTO TRIMESTRE]])</f>
        <v>0</v>
      </c>
      <c r="I746" s="17">
        <v>8338.15</v>
      </c>
      <c r="J746" s="17">
        <f t="shared" si="20"/>
        <v>0</v>
      </c>
      <c r="K746" s="17"/>
      <c r="L746" s="16" t="s">
        <v>18</v>
      </c>
      <c r="M746" s="16" t="s">
        <v>22</v>
      </c>
      <c r="N746" s="39"/>
    </row>
    <row r="747" spans="1:14" s="12" customFormat="1" ht="38.25">
      <c r="A747" s="178" t="s">
        <v>96</v>
      </c>
      <c r="B747" s="75" t="s">
        <v>853</v>
      </c>
      <c r="C747" s="39" t="s">
        <v>17</v>
      </c>
      <c r="D747" s="236"/>
      <c r="E747" s="236"/>
      <c r="F747" s="236"/>
      <c r="G747" s="236"/>
      <c r="H747" s="40">
        <f>SUM(Tabla132112418[[#This Row],[PRIMER TRIMESTRE]:[CUARTO TRIMESTRE]])</f>
        <v>0</v>
      </c>
      <c r="I747" s="17">
        <v>9900.17</v>
      </c>
      <c r="J747" s="17">
        <f t="shared" si="20"/>
        <v>0</v>
      </c>
      <c r="K747" s="17"/>
      <c r="L747" s="16" t="s">
        <v>18</v>
      </c>
      <c r="M747" s="16" t="s">
        <v>22</v>
      </c>
      <c r="N747" s="39"/>
    </row>
    <row r="748" spans="1:14" s="12" customFormat="1" ht="47.25">
      <c r="A748" s="178" t="s">
        <v>96</v>
      </c>
      <c r="B748" s="16" t="str">
        <f ca="1">+UPPER(Tabla132112418[[#This Row],[DESCRIPCIÓN DE LA COMPRA O CONTRATACIÓN]])</f>
        <v>MONITORES DE FASE A 460 VOLTIOS, CONTRA PÉRDIDA DE FASE E INVERSIÓN DE GIRO CON SU BASE</v>
      </c>
      <c r="C748" s="39" t="s">
        <v>17</v>
      </c>
      <c r="D748" s="236"/>
      <c r="E748" s="236"/>
      <c r="F748" s="236"/>
      <c r="G748" s="236"/>
      <c r="H748" s="40">
        <f>SUM(Tabla132112418[[#This Row],[PRIMER TRIMESTRE]:[CUARTO TRIMESTRE]])</f>
        <v>0</v>
      </c>
      <c r="I748" s="17">
        <v>7500</v>
      </c>
      <c r="J748" s="17">
        <f t="shared" si="20"/>
        <v>0</v>
      </c>
      <c r="K748" s="17"/>
      <c r="L748" s="16" t="s">
        <v>18</v>
      </c>
      <c r="M748" s="16" t="s">
        <v>22</v>
      </c>
      <c r="N748" s="39"/>
    </row>
    <row r="749" spans="1:14" s="12" customFormat="1" ht="47.25">
      <c r="A749" s="178" t="s">
        <v>96</v>
      </c>
      <c r="B749" s="16" t="s">
        <v>1509</v>
      </c>
      <c r="C749" s="39" t="s">
        <v>17</v>
      </c>
      <c r="D749" s="236"/>
      <c r="E749" s="236"/>
      <c r="F749" s="236"/>
      <c r="G749" s="236"/>
      <c r="H749" s="40">
        <f>SUM(Tabla132112418[[#This Row],[PRIMER TRIMESTRE]:[CUARTO TRIMESTRE]])</f>
        <v>0</v>
      </c>
      <c r="I749" s="17">
        <v>5400</v>
      </c>
      <c r="J749" s="17">
        <f t="shared" si="20"/>
        <v>0</v>
      </c>
      <c r="K749" s="17"/>
      <c r="L749" s="16" t="s">
        <v>18</v>
      </c>
      <c r="M749" s="16" t="s">
        <v>22</v>
      </c>
      <c r="N749" s="39"/>
    </row>
    <row r="750" spans="1:14" s="12" customFormat="1" ht="47.25">
      <c r="A750" s="178" t="s">
        <v>96</v>
      </c>
      <c r="B750" s="16" t="str">
        <f ca="1">+UPPER(Tabla132112418[[#This Row],[DESCRIPCIÓN DE LA COMPRA O CONTRATACIÓN]])</f>
        <v>MONITORES DE FASE A 230 VOLTIOS, CONTRA PÉRDIDA DE FASE E INVERSIÓN DE GIRO CON SU BASE</v>
      </c>
      <c r="C750" s="39" t="s">
        <v>17</v>
      </c>
      <c r="D750" s="236"/>
      <c r="E750" s="236"/>
      <c r="F750" s="236"/>
      <c r="G750" s="236"/>
      <c r="H750" s="40">
        <f>SUM(Tabla132112418[[#This Row],[PRIMER TRIMESTRE]:[CUARTO TRIMESTRE]])</f>
        <v>0</v>
      </c>
      <c r="I750" s="17">
        <v>7500</v>
      </c>
      <c r="J750" s="17">
        <f t="shared" si="20"/>
        <v>0</v>
      </c>
      <c r="K750" s="17"/>
      <c r="L750" s="16" t="s">
        <v>18</v>
      </c>
      <c r="M750" s="16" t="s">
        <v>22</v>
      </c>
      <c r="N750" s="39"/>
    </row>
    <row r="751" spans="1:14" s="12" customFormat="1" ht="47.25">
      <c r="A751" s="178" t="s">
        <v>1676</v>
      </c>
      <c r="B751" s="16" t="s">
        <v>1854</v>
      </c>
      <c r="C751" s="39" t="s">
        <v>17</v>
      </c>
      <c r="D751" s="236"/>
      <c r="E751" s="236"/>
      <c r="F751" s="236"/>
      <c r="G751" s="236"/>
      <c r="H751" s="40">
        <v>0</v>
      </c>
      <c r="I751" s="17">
        <v>0</v>
      </c>
      <c r="J751" s="17">
        <v>0</v>
      </c>
      <c r="K751" s="17"/>
      <c r="L751" s="16" t="s">
        <v>18</v>
      </c>
      <c r="M751" s="16" t="s">
        <v>19</v>
      </c>
      <c r="N751" s="39"/>
    </row>
    <row r="752" spans="1:14" s="12" customFormat="1" ht="38.25">
      <c r="A752" s="178" t="s">
        <v>96</v>
      </c>
      <c r="B752" s="75" t="s">
        <v>1695</v>
      </c>
      <c r="C752" s="39" t="s">
        <v>17</v>
      </c>
      <c r="D752" s="236"/>
      <c r="E752" s="236"/>
      <c r="F752" s="236"/>
      <c r="G752" s="236"/>
      <c r="H752" s="40">
        <v>0</v>
      </c>
      <c r="I752" s="17">
        <v>0</v>
      </c>
      <c r="J752" s="17">
        <v>0</v>
      </c>
      <c r="K752" s="17"/>
      <c r="L752" s="16" t="s">
        <v>18</v>
      </c>
      <c r="M752" s="16" t="s">
        <v>19</v>
      </c>
      <c r="N752" s="39"/>
    </row>
    <row r="753" spans="1:14" s="12" customFormat="1" ht="31.5">
      <c r="A753" s="178" t="s">
        <v>96</v>
      </c>
      <c r="B753" s="75" t="s">
        <v>854</v>
      </c>
      <c r="C753" s="39" t="s">
        <v>17</v>
      </c>
      <c r="D753" s="236"/>
      <c r="E753" s="210"/>
      <c r="F753" s="236"/>
      <c r="G753" s="236"/>
      <c r="H753" s="40">
        <f>SUM(Tabla132112418[[#This Row],[PRIMER TRIMESTRE]:[CUARTO TRIMESTRE]])</f>
        <v>0</v>
      </c>
      <c r="I753" s="72">
        <v>16500</v>
      </c>
      <c r="J753" s="17">
        <f t="shared" si="20"/>
        <v>0</v>
      </c>
      <c r="K753" s="17"/>
      <c r="L753" s="16" t="s">
        <v>18</v>
      </c>
      <c r="M753" s="16" t="s">
        <v>19</v>
      </c>
      <c r="N753" s="39"/>
    </row>
    <row r="754" spans="1:14" s="12" customFormat="1" ht="31.5">
      <c r="A754" s="178" t="s">
        <v>96</v>
      </c>
      <c r="B754" s="75" t="s">
        <v>1718</v>
      </c>
      <c r="C754" s="39" t="s">
        <v>17</v>
      </c>
      <c r="D754" s="236"/>
      <c r="E754" s="210"/>
      <c r="F754" s="236"/>
      <c r="G754" s="236"/>
      <c r="H754" s="40">
        <v>0</v>
      </c>
      <c r="I754" s="72">
        <v>0</v>
      </c>
      <c r="J754" s="17">
        <v>0</v>
      </c>
      <c r="K754" s="17"/>
      <c r="L754" s="16" t="s">
        <v>18</v>
      </c>
      <c r="M754" s="16" t="s">
        <v>19</v>
      </c>
      <c r="N754" s="39"/>
    </row>
    <row r="755" spans="1:14" s="12" customFormat="1" ht="31.5">
      <c r="A755" s="178" t="s">
        <v>96</v>
      </c>
      <c r="B755" s="75" t="s">
        <v>855</v>
      </c>
      <c r="C755" s="39" t="s">
        <v>17</v>
      </c>
      <c r="D755" s="236"/>
      <c r="E755" s="236"/>
      <c r="F755" s="236"/>
      <c r="G755" s="236"/>
      <c r="H755" s="40">
        <f>SUM(Tabla132112418[[#This Row],[PRIMER TRIMESTRE]:[CUARTO TRIMESTRE]])</f>
        <v>0</v>
      </c>
      <c r="I755" s="72">
        <v>60000</v>
      </c>
      <c r="J755" s="17">
        <f t="shared" si="20"/>
        <v>0</v>
      </c>
      <c r="K755" s="17"/>
      <c r="L755" s="16" t="s">
        <v>18</v>
      </c>
      <c r="M755" s="16" t="s">
        <v>19</v>
      </c>
      <c r="N755" s="39"/>
    </row>
    <row r="756" spans="1:14" s="12" customFormat="1" ht="47.25">
      <c r="A756" s="178" t="s">
        <v>96</v>
      </c>
      <c r="B756" s="16" t="str">
        <f ca="1">+UPPER(Tabla132112418[[#This Row],[DESCRIPCIÓN DE LA COMPRA O CONTRATACIÓN]])</f>
        <v>MOTORES ELÉCTRICOS SUMERGIBLES, 3Ø, 230 /460 VOLTIOS, 60HZ, 1.15 FS, 3,450 RPM 7.5 HP NEMA 6</v>
      </c>
      <c r="C756" s="39" t="s">
        <v>17</v>
      </c>
      <c r="D756" s="236"/>
      <c r="E756" s="236"/>
      <c r="F756" s="236"/>
      <c r="G756" s="236"/>
      <c r="H756" s="40">
        <f>SUM(Tabla132112418[[#This Row],[PRIMER TRIMESTRE]:[CUARTO TRIMESTRE]])</f>
        <v>0</v>
      </c>
      <c r="I756" s="72">
        <v>81217.84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</row>
    <row r="757" spans="1:14" s="12" customFormat="1" ht="47.25">
      <c r="A757" s="178" t="s">
        <v>96</v>
      </c>
      <c r="B757" s="16" t="str">
        <f ca="1">+UPPER(Tabla132112418[[#This Row],[DESCRIPCIÓN DE LA COMPRA O CONTRATACIÓN]])</f>
        <v>MOTORES ELÉCTRICOS SUMERGIBLES, 3Ø, 230 /460 VOLTIOS, 60HZ, 1.15 FS, 3,450 RPM 20 HP NEMA 6</v>
      </c>
      <c r="C757" s="39" t="s">
        <v>17</v>
      </c>
      <c r="D757" s="236"/>
      <c r="E757" s="210"/>
      <c r="F757" s="236"/>
      <c r="G757" s="210"/>
      <c r="H757" s="40">
        <f>SUM(Tabla132112418[[#This Row],[PRIMER TRIMESTRE]:[CUARTO TRIMESTRE]])</f>
        <v>0</v>
      </c>
      <c r="I757" s="17">
        <v>90520</v>
      </c>
      <c r="J757" s="17">
        <f t="shared" si="20"/>
        <v>0</v>
      </c>
      <c r="K757" s="17"/>
      <c r="L757" s="16" t="s">
        <v>18</v>
      </c>
      <c r="M757" s="16" t="s">
        <v>19</v>
      </c>
      <c r="N757" s="39"/>
    </row>
    <row r="758" spans="1:14" s="12" customFormat="1" ht="31.5">
      <c r="A758" s="178" t="s">
        <v>96</v>
      </c>
      <c r="B758" s="75" t="s">
        <v>856</v>
      </c>
      <c r="C758" s="39" t="s">
        <v>17</v>
      </c>
      <c r="D758" s="236"/>
      <c r="E758" s="236"/>
      <c r="F758" s="236"/>
      <c r="G758" s="236"/>
      <c r="H758" s="40">
        <f>SUM(Tabla132112418[[#This Row],[PRIMER TRIMESTRE]:[CUARTO TRIMESTRE]])</f>
        <v>0</v>
      </c>
      <c r="I758" s="17">
        <v>107544.96000000001</v>
      </c>
      <c r="J758" s="17">
        <f t="shared" si="20"/>
        <v>0</v>
      </c>
      <c r="K758" s="17"/>
      <c r="L758" s="16" t="s">
        <v>18</v>
      </c>
      <c r="M758" s="16" t="s">
        <v>19</v>
      </c>
      <c r="N758" s="39"/>
    </row>
    <row r="759" spans="1:14" s="12" customFormat="1" ht="31.5">
      <c r="A759" s="178" t="s">
        <v>96</v>
      </c>
      <c r="B759" s="75" t="s">
        <v>1684</v>
      </c>
      <c r="C759" s="39" t="s">
        <v>17</v>
      </c>
      <c r="D759" s="236"/>
      <c r="E759" s="236"/>
      <c r="F759" s="236"/>
      <c r="G759" s="236"/>
      <c r="H759" s="40">
        <v>0</v>
      </c>
      <c r="I759" s="17">
        <v>0</v>
      </c>
      <c r="J759" s="17">
        <v>0</v>
      </c>
      <c r="K759" s="17"/>
      <c r="L759" s="16" t="s">
        <v>18</v>
      </c>
      <c r="M759" s="16" t="s">
        <v>19</v>
      </c>
      <c r="N759" s="39"/>
    </row>
    <row r="760" spans="1:14" s="12" customFormat="1" ht="31.5">
      <c r="A760" s="178" t="s">
        <v>96</v>
      </c>
      <c r="B760" s="75" t="s">
        <v>1446</v>
      </c>
      <c r="C760" s="39" t="s">
        <v>17</v>
      </c>
      <c r="D760" s="236"/>
      <c r="E760" s="236"/>
      <c r="F760" s="236"/>
      <c r="G760" s="236"/>
      <c r="H760" s="40">
        <f>SUM(Tabla132112418[[#This Row],[PRIMER TRIMESTRE]:[CUARTO TRIMESTRE]])</f>
        <v>0</v>
      </c>
      <c r="I760" s="17">
        <v>132750</v>
      </c>
      <c r="J760" s="17">
        <f t="shared" si="20"/>
        <v>0</v>
      </c>
      <c r="K760" s="17"/>
      <c r="L760" s="16" t="s">
        <v>18</v>
      </c>
      <c r="M760" s="16" t="s">
        <v>19</v>
      </c>
      <c r="N760" s="39"/>
    </row>
    <row r="761" spans="1:14" s="12" customFormat="1" ht="31.5">
      <c r="A761" s="178" t="s">
        <v>96</v>
      </c>
      <c r="B761" s="75" t="s">
        <v>1447</v>
      </c>
      <c r="C761" s="39" t="s">
        <v>17</v>
      </c>
      <c r="D761" s="236"/>
      <c r="E761" s="236"/>
      <c r="F761" s="236"/>
      <c r="G761" s="236"/>
      <c r="H761" s="40">
        <f>SUM(Tabla132112418[[#This Row],[PRIMER TRIMESTRE]:[CUARTO TRIMESTRE]])</f>
        <v>0</v>
      </c>
      <c r="I761" s="17">
        <v>151330</v>
      </c>
      <c r="J761" s="17">
        <f t="shared" si="20"/>
        <v>0</v>
      </c>
      <c r="K761" s="17"/>
      <c r="L761" s="16" t="s">
        <v>18</v>
      </c>
      <c r="M761" s="16" t="s">
        <v>19</v>
      </c>
      <c r="N761" s="39"/>
    </row>
    <row r="762" spans="1:14" s="12" customFormat="1" ht="31.5">
      <c r="A762" s="178" t="s">
        <v>96</v>
      </c>
      <c r="B762" s="75" t="s">
        <v>857</v>
      </c>
      <c r="C762" s="39" t="s">
        <v>17</v>
      </c>
      <c r="D762" s="236"/>
      <c r="E762" s="236"/>
      <c r="F762" s="236"/>
      <c r="G762" s="236"/>
      <c r="H762" s="40">
        <f>SUM(Tabla132112418[[#This Row],[PRIMER TRIMESTRE]:[CUARTO TRIMESTRE]])</f>
        <v>0</v>
      </c>
      <c r="I762" s="17">
        <v>123744.06</v>
      </c>
      <c r="J762" s="17">
        <f t="shared" si="20"/>
        <v>0</v>
      </c>
      <c r="K762" s="17"/>
      <c r="L762" s="16" t="s">
        <v>18</v>
      </c>
      <c r="M762" s="16" t="s">
        <v>19</v>
      </c>
      <c r="N762" s="39"/>
    </row>
    <row r="763" spans="1:14" s="12" customFormat="1" ht="31.5">
      <c r="A763" s="178" t="s">
        <v>96</v>
      </c>
      <c r="B763" s="75" t="s">
        <v>858</v>
      </c>
      <c r="C763" s="39" t="s">
        <v>17</v>
      </c>
      <c r="D763" s="236"/>
      <c r="E763" s="210"/>
      <c r="F763" s="236"/>
      <c r="G763" s="236"/>
      <c r="H763" s="40">
        <f>SUM(Tabla132112418[[#This Row],[PRIMER TRIMESTRE]:[CUARTO TRIMESTRE]])</f>
        <v>0</v>
      </c>
      <c r="I763" s="17">
        <v>135450.07</v>
      </c>
      <c r="J763" s="17">
        <f t="shared" si="20"/>
        <v>0</v>
      </c>
      <c r="K763" s="17"/>
      <c r="L763" s="16" t="s">
        <v>18</v>
      </c>
      <c r="M763" s="16" t="s">
        <v>19</v>
      </c>
      <c r="N763" s="39"/>
    </row>
    <row r="764" spans="1:14" s="12" customFormat="1" ht="31.5">
      <c r="A764" s="178" t="s">
        <v>96</v>
      </c>
      <c r="B764" s="75" t="s">
        <v>859</v>
      </c>
      <c r="C764" s="39" t="s">
        <v>17</v>
      </c>
      <c r="D764" s="236"/>
      <c r="E764" s="210"/>
      <c r="F764" s="236"/>
      <c r="G764" s="236"/>
      <c r="H764" s="40">
        <f>SUM(Tabla132112418[[#This Row],[PRIMER TRIMESTRE]:[CUARTO TRIMESTRE]])</f>
        <v>0</v>
      </c>
      <c r="I764" s="17">
        <v>181838</v>
      </c>
      <c r="J764" s="17">
        <f t="shared" si="20"/>
        <v>0</v>
      </c>
      <c r="K764" s="17"/>
      <c r="L764" s="16" t="s">
        <v>18</v>
      </c>
      <c r="M764" s="16" t="s">
        <v>19</v>
      </c>
      <c r="N764" s="39"/>
    </row>
    <row r="765" spans="1:14" s="12" customFormat="1" ht="31.5">
      <c r="A765" s="178" t="s">
        <v>96</v>
      </c>
      <c r="B765" s="75" t="s">
        <v>860</v>
      </c>
      <c r="C765" s="39" t="s">
        <v>17</v>
      </c>
      <c r="D765" s="236"/>
      <c r="E765" s="210"/>
      <c r="F765" s="236"/>
      <c r="G765" s="236"/>
      <c r="H765" s="40">
        <f>SUM(Tabla132112418[[#This Row],[PRIMER TRIMESTRE]:[CUARTO TRIMESTRE]])</f>
        <v>0</v>
      </c>
      <c r="I765" s="72">
        <v>190640</v>
      </c>
      <c r="J765" s="17">
        <f t="shared" si="20"/>
        <v>0</v>
      </c>
      <c r="K765" s="17"/>
      <c r="L765" s="16" t="s">
        <v>18</v>
      </c>
      <c r="M765" s="16" t="s">
        <v>19</v>
      </c>
      <c r="N765" s="39"/>
    </row>
    <row r="766" spans="1:14" s="12" customFormat="1" ht="31.5">
      <c r="A766" s="178" t="s">
        <v>96</v>
      </c>
      <c r="B766" s="75" t="s">
        <v>861</v>
      </c>
      <c r="C766" s="39" t="s">
        <v>17</v>
      </c>
      <c r="D766" s="236"/>
      <c r="E766" s="210"/>
      <c r="F766" s="236"/>
      <c r="G766" s="236"/>
      <c r="H766" s="40">
        <f>SUM(Tabla132112418[[#This Row],[PRIMER TRIMESTRE]:[CUARTO TRIMESTRE]])</f>
        <v>0</v>
      </c>
      <c r="I766" s="17">
        <v>190640.56</v>
      </c>
      <c r="J766" s="17">
        <f t="shared" si="20"/>
        <v>0</v>
      </c>
      <c r="K766" s="17"/>
      <c r="L766" s="16" t="s">
        <v>18</v>
      </c>
      <c r="M766" s="16" t="s">
        <v>19</v>
      </c>
      <c r="N766" s="39"/>
    </row>
    <row r="767" spans="1:14" s="12" customFormat="1" ht="31.5">
      <c r="A767" s="178" t="s">
        <v>96</v>
      </c>
      <c r="B767" s="75" t="s">
        <v>862</v>
      </c>
      <c r="C767" s="39" t="s">
        <v>17</v>
      </c>
      <c r="D767" s="236"/>
      <c r="E767" s="210"/>
      <c r="F767" s="236"/>
      <c r="G767" s="236"/>
      <c r="H767" s="40">
        <f>SUM(Tabla132112418[[#This Row],[PRIMER TRIMESTRE]:[CUARTO TRIMESTRE]])</f>
        <v>0</v>
      </c>
      <c r="I767" s="17">
        <v>327450</v>
      </c>
      <c r="J767" s="17">
        <f t="shared" si="20"/>
        <v>0</v>
      </c>
      <c r="K767" s="17"/>
      <c r="L767" s="16" t="s">
        <v>18</v>
      </c>
      <c r="M767" s="16" t="s">
        <v>19</v>
      </c>
      <c r="N767" s="39"/>
    </row>
    <row r="768" spans="1:14" s="12" customFormat="1" ht="47.25">
      <c r="A768" s="178" t="s">
        <v>96</v>
      </c>
      <c r="B768" s="16" t="str">
        <f ca="1">+UPPER(Tabla132112418[[#This Row],[DESCRIPCIÓN DE LA COMPRA O CONTRATACIÓN]])</f>
        <v xml:space="preserve">MOTORES ELÉCTRICOS MONOFASICO SUMERGIBLES, 230 VOLTIOS, 3,450 RPM  3 HP CON CAJA DE CONTROLS </v>
      </c>
      <c r="C768" s="39" t="s">
        <v>17</v>
      </c>
      <c r="D768" s="236"/>
      <c r="E768" s="210"/>
      <c r="F768" s="236"/>
      <c r="G768" s="236"/>
      <c r="H768" s="40">
        <f>SUM(Tabla132112418[[#This Row],[PRIMER TRIMESTRE]:[CUARTO TRIMESTRE]])</f>
        <v>0</v>
      </c>
      <c r="I768" s="17">
        <v>36114.370000000003</v>
      </c>
      <c r="J768" s="17">
        <f t="shared" si="20"/>
        <v>0</v>
      </c>
      <c r="K768" s="17"/>
      <c r="L768" s="16" t="s">
        <v>18</v>
      </c>
      <c r="M768" s="16" t="s">
        <v>19</v>
      </c>
      <c r="N768" s="39"/>
    </row>
    <row r="769" spans="1:14" s="12" customFormat="1" ht="47.25">
      <c r="A769" s="178" t="s">
        <v>96</v>
      </c>
      <c r="B769" s="16" t="str">
        <f ca="1">+UPPER(Tabla132112418[[#This Row],[DESCRIPCIÓN DE LA COMPRA O CONTRATACIÓN]])</f>
        <v xml:space="preserve">MOTORES ELÉCTRICOS MONOFASICO SUMERGIBLES, 230 VOLTIOS, 3,450 RPM  5 HP CON CAJA DE CONTROLS </v>
      </c>
      <c r="C769" s="39" t="s">
        <v>17</v>
      </c>
      <c r="D769" s="236"/>
      <c r="E769" s="210"/>
      <c r="F769" s="236"/>
      <c r="G769" s="236"/>
      <c r="H769" s="40">
        <f>SUM(Tabla132112418[[#This Row],[PRIMER TRIMESTRE]:[CUARTO TRIMESTRE]])</f>
        <v>0</v>
      </c>
      <c r="I769" s="17">
        <v>38000</v>
      </c>
      <c r="J769" s="17">
        <f t="shared" si="20"/>
        <v>0</v>
      </c>
      <c r="K769" s="17"/>
      <c r="L769" s="16" t="s">
        <v>18</v>
      </c>
      <c r="M769" s="16" t="s">
        <v>19</v>
      </c>
      <c r="N769" s="39"/>
    </row>
    <row r="770" spans="1:14" s="12" customFormat="1" ht="47.25">
      <c r="A770" s="178" t="s">
        <v>96</v>
      </c>
      <c r="B770" s="16" t="str">
        <f ca="1">+UPPER(Tabla132112418[[#This Row],[DESCRIPCIÓN DE LA COMPRA O CONTRATACIÓN]])</f>
        <v xml:space="preserve">MOTORES ELÉCTRICOS MONOFASICO SUMERGIBLES, 230 VOLTIOS, 3,450 RPM  7.5 HP CON CAJA DE CONTROLS </v>
      </c>
      <c r="C770" s="39" t="s">
        <v>17</v>
      </c>
      <c r="D770" s="236"/>
      <c r="E770" s="210"/>
      <c r="F770" s="236"/>
      <c r="G770" s="236"/>
      <c r="H770" s="40">
        <f>SUM(Tabla132112418[[#This Row],[PRIMER TRIMESTRE]:[CUARTO TRIMESTRE]])</f>
        <v>0</v>
      </c>
      <c r="I770" s="17">
        <v>50164</v>
      </c>
      <c r="J770" s="17">
        <f t="shared" si="20"/>
        <v>0</v>
      </c>
      <c r="K770" s="17"/>
      <c r="L770" s="16" t="s">
        <v>18</v>
      </c>
      <c r="M770" s="16" t="s">
        <v>19</v>
      </c>
      <c r="N770" s="39"/>
    </row>
    <row r="771" spans="1:14" s="12" customFormat="1" ht="47.25">
      <c r="A771" s="178" t="s">
        <v>96</v>
      </c>
      <c r="B771" s="16" t="str">
        <f ca="1">+UPPER(Tabla132112418[[#This Row],[DESCRIPCIÓN DE LA COMPRA O CONTRATACIÓN]])</f>
        <v>ELECTROBOMBAS HORIZONTAL, 0.75HP, 1Ø, 115/230V, TIPO MONOBLOCK,3500 RPM, 20 GPM VS 100 PIES TDH</v>
      </c>
      <c r="C771" s="39" t="s">
        <v>17</v>
      </c>
      <c r="D771" s="236"/>
      <c r="E771" s="236"/>
      <c r="F771" s="236"/>
      <c r="G771" s="236"/>
      <c r="H771" s="40">
        <f>SUM(Tabla132112418[[#This Row],[PRIMER TRIMESTRE]:[CUARTO TRIMESTRE]])</f>
        <v>0</v>
      </c>
      <c r="I771" s="17">
        <v>23570</v>
      </c>
      <c r="J771" s="17">
        <f t="shared" si="20"/>
        <v>0</v>
      </c>
      <c r="K771" s="17"/>
      <c r="L771" s="16" t="s">
        <v>18</v>
      </c>
      <c r="M771" s="16" t="s">
        <v>19</v>
      </c>
      <c r="N771" s="39"/>
    </row>
    <row r="772" spans="1:14" s="12" customFormat="1" ht="31.5">
      <c r="A772" s="178" t="s">
        <v>96</v>
      </c>
      <c r="B772" s="16" t="str">
        <f ca="1">+UPPER(Tabla132112418[[#This Row],[DESCRIPCIÓN DE LA COMPRA O CONTRATACIÓN]])</f>
        <v>ELECTROBOMBAS SUMERGIBLE, 1.00HP, 230V, 1Ø, 60HZ, CON SU CAJA DE CONTROL, 3500 RPM</v>
      </c>
      <c r="C772" s="39" t="s">
        <v>17</v>
      </c>
      <c r="D772" s="236"/>
      <c r="E772" s="236"/>
      <c r="F772" s="236"/>
      <c r="G772" s="236"/>
      <c r="H772" s="40">
        <f>SUM(Tabla132112418[[#This Row],[PRIMER TRIMESTRE]:[CUARTO TRIMESTRE]])</f>
        <v>0</v>
      </c>
      <c r="I772" s="17">
        <v>32670</v>
      </c>
      <c r="J772" s="17">
        <f t="shared" si="20"/>
        <v>0</v>
      </c>
      <c r="K772" s="17"/>
      <c r="L772" s="16" t="s">
        <v>18</v>
      </c>
      <c r="M772" s="16" t="s">
        <v>19</v>
      </c>
      <c r="N772" s="39"/>
    </row>
    <row r="773" spans="1:14" s="12" customFormat="1" ht="30">
      <c r="A773" s="178" t="s">
        <v>96</v>
      </c>
      <c r="B773" s="75" t="s">
        <v>1688</v>
      </c>
      <c r="C773" s="39" t="s">
        <v>17</v>
      </c>
      <c r="D773" s="236"/>
      <c r="E773" s="236"/>
      <c r="F773" s="236"/>
      <c r="G773" s="236"/>
      <c r="H773" s="40">
        <v>0</v>
      </c>
      <c r="I773" s="17">
        <v>0</v>
      </c>
      <c r="J773" s="17">
        <v>0</v>
      </c>
      <c r="K773" s="17"/>
      <c r="L773" s="16" t="s">
        <v>18</v>
      </c>
      <c r="M773" s="16" t="s">
        <v>22</v>
      </c>
      <c r="N773" s="39"/>
    </row>
    <row r="774" spans="1:14" s="12" customFormat="1" ht="30">
      <c r="A774" s="178" t="s">
        <v>96</v>
      </c>
      <c r="B774" s="75" t="s">
        <v>1230</v>
      </c>
      <c r="C774" s="39" t="s">
        <v>17</v>
      </c>
      <c r="D774" s="236"/>
      <c r="E774" s="236"/>
      <c r="F774" s="236"/>
      <c r="G774" s="236"/>
      <c r="H774" s="40">
        <f>SUM(Tabla132112418[[#This Row],[PRIMER TRIMESTRE]:[CUARTO TRIMESTRE]])</f>
        <v>0</v>
      </c>
      <c r="I774" s="17">
        <v>45000</v>
      </c>
      <c r="J774" s="17">
        <f t="shared" si="20"/>
        <v>0</v>
      </c>
      <c r="K774" s="17"/>
      <c r="L774" s="16" t="s">
        <v>18</v>
      </c>
      <c r="M774" s="16" t="s">
        <v>22</v>
      </c>
      <c r="N774" s="39"/>
    </row>
    <row r="775" spans="1:14" s="12" customFormat="1" ht="30">
      <c r="A775" s="178" t="s">
        <v>96</v>
      </c>
      <c r="B775" s="75" t="s">
        <v>1231</v>
      </c>
      <c r="C775" s="39" t="s">
        <v>17</v>
      </c>
      <c r="D775" s="236"/>
      <c r="E775" s="236"/>
      <c r="F775" s="236"/>
      <c r="G775" s="236"/>
      <c r="H775" s="40">
        <f>SUM(Tabla132112418[[#This Row],[PRIMER TRIMESTRE]:[CUARTO TRIMESTRE]])</f>
        <v>0</v>
      </c>
      <c r="I775" s="17">
        <v>48231.23</v>
      </c>
      <c r="J775" s="17">
        <f t="shared" si="20"/>
        <v>0</v>
      </c>
      <c r="K775" s="17"/>
      <c r="L775" s="16" t="s">
        <v>18</v>
      </c>
      <c r="M775" s="16" t="s">
        <v>22</v>
      </c>
      <c r="N775" s="39"/>
    </row>
    <row r="776" spans="1:14" s="12" customFormat="1" ht="30">
      <c r="A776" s="178" t="s">
        <v>96</v>
      </c>
      <c r="B776" s="75" t="s">
        <v>1232</v>
      </c>
      <c r="C776" s="39" t="s">
        <v>17</v>
      </c>
      <c r="D776" s="236"/>
      <c r="E776" s="236"/>
      <c r="F776" s="236"/>
      <c r="G776" s="236"/>
      <c r="H776" s="40">
        <f>SUM(Tabla132112418[[#This Row],[PRIMER TRIMESTRE]:[CUARTO TRIMESTRE]])</f>
        <v>0</v>
      </c>
      <c r="I776" s="17">
        <v>52738.12</v>
      </c>
      <c r="J776" s="17">
        <f t="shared" si="20"/>
        <v>0</v>
      </c>
      <c r="K776" s="17"/>
      <c r="L776" s="16" t="s">
        <v>18</v>
      </c>
      <c r="M776" s="16" t="s">
        <v>22</v>
      </c>
      <c r="N776" s="39"/>
    </row>
    <row r="777" spans="1:14" s="12" customFormat="1" ht="30">
      <c r="A777" s="178" t="s">
        <v>96</v>
      </c>
      <c r="B777" s="75" t="s">
        <v>1233</v>
      </c>
      <c r="C777" s="39" t="s">
        <v>17</v>
      </c>
      <c r="D777" s="236"/>
      <c r="E777" s="236"/>
      <c r="F777" s="236"/>
      <c r="G777" s="236"/>
      <c r="H777" s="40">
        <f>SUM(Tabla132112418[[#This Row],[PRIMER TRIMESTRE]:[CUARTO TRIMESTRE]])</f>
        <v>0</v>
      </c>
      <c r="I777" s="17">
        <v>14726</v>
      </c>
      <c r="J777" s="17">
        <f t="shared" si="20"/>
        <v>0</v>
      </c>
      <c r="K777" s="17"/>
      <c r="L777" s="16" t="s">
        <v>18</v>
      </c>
      <c r="M777" s="16" t="s">
        <v>22</v>
      </c>
      <c r="N777" s="39"/>
    </row>
    <row r="778" spans="1:14" s="12" customFormat="1" ht="30">
      <c r="A778" s="178" t="s">
        <v>96</v>
      </c>
      <c r="B778" s="75" t="s">
        <v>1234</v>
      </c>
      <c r="C778" s="39" t="s">
        <v>17</v>
      </c>
      <c r="D778" s="236"/>
      <c r="E778" s="236"/>
      <c r="F778" s="236"/>
      <c r="G778" s="236"/>
      <c r="H778" s="40">
        <f>SUM(Tabla132112418[[#This Row],[PRIMER TRIMESTRE]:[CUARTO TRIMESTRE]])</f>
        <v>0</v>
      </c>
      <c r="I778" s="17">
        <v>60000</v>
      </c>
      <c r="J778" s="17">
        <f t="shared" ref="J778:J807" si="21">+H778*I778</f>
        <v>0</v>
      </c>
      <c r="K778" s="17"/>
      <c r="L778" s="16" t="s">
        <v>18</v>
      </c>
      <c r="M778" s="16" t="s">
        <v>22</v>
      </c>
      <c r="N778" s="39"/>
    </row>
    <row r="779" spans="1:14" s="12" customFormat="1" ht="38.25">
      <c r="A779" s="178" t="s">
        <v>96</v>
      </c>
      <c r="B779" s="75" t="s">
        <v>1686</v>
      </c>
      <c r="C779" s="39" t="s">
        <v>17</v>
      </c>
      <c r="D779" s="236"/>
      <c r="E779" s="236"/>
      <c r="F779" s="236"/>
      <c r="G779" s="236"/>
      <c r="H779" s="40">
        <v>0</v>
      </c>
      <c r="I779" s="17">
        <v>0</v>
      </c>
      <c r="J779" s="17">
        <v>0</v>
      </c>
      <c r="K779" s="17"/>
      <c r="L779" s="16" t="s">
        <v>18</v>
      </c>
      <c r="M779" s="16" t="s">
        <v>22</v>
      </c>
      <c r="N779" s="39"/>
    </row>
    <row r="780" spans="1:14" s="12" customFormat="1" ht="30">
      <c r="A780" s="178" t="s">
        <v>96</v>
      </c>
      <c r="B780" s="75" t="s">
        <v>1685</v>
      </c>
      <c r="C780" s="39" t="s">
        <v>17</v>
      </c>
      <c r="D780" s="236"/>
      <c r="E780" s="236"/>
      <c r="F780" s="236"/>
      <c r="G780" s="236"/>
      <c r="H780" s="40">
        <v>0</v>
      </c>
      <c r="I780" s="17">
        <v>0</v>
      </c>
      <c r="J780" s="17">
        <v>0</v>
      </c>
      <c r="K780" s="17"/>
      <c r="L780" s="16" t="s">
        <v>18</v>
      </c>
      <c r="M780" s="16" t="s">
        <v>22</v>
      </c>
      <c r="N780" s="39"/>
    </row>
    <row r="781" spans="1:14" s="12" customFormat="1" ht="47.25">
      <c r="A781" s="178" t="s">
        <v>96</v>
      </c>
      <c r="B781" s="16" t="s">
        <v>1689</v>
      </c>
      <c r="C781" s="39" t="s">
        <v>17</v>
      </c>
      <c r="D781" s="236"/>
      <c r="E781" s="236"/>
      <c r="F781" s="236"/>
      <c r="G781" s="236"/>
      <c r="H781" s="40">
        <v>0</v>
      </c>
      <c r="I781" s="17">
        <v>0</v>
      </c>
      <c r="J781" s="17">
        <v>0</v>
      </c>
      <c r="K781" s="17"/>
      <c r="L781" s="16" t="s">
        <v>18</v>
      </c>
      <c r="M781" s="16" t="s">
        <v>22</v>
      </c>
      <c r="N781" s="39"/>
    </row>
    <row r="782" spans="1:14" s="12" customFormat="1" ht="47.25">
      <c r="A782" s="178" t="s">
        <v>96</v>
      </c>
      <c r="B782" s="16" t="s">
        <v>863</v>
      </c>
      <c r="C782" s="39" t="s">
        <v>17</v>
      </c>
      <c r="D782" s="236"/>
      <c r="E782" s="236"/>
      <c r="F782" s="236"/>
      <c r="G782" s="236"/>
      <c r="H782" s="40">
        <f>SUM(Tabla132112418[[#This Row],[PRIMER TRIMESTRE]:[CUARTO TRIMESTRE]])</f>
        <v>0</v>
      </c>
      <c r="I782" s="17">
        <v>24051.94</v>
      </c>
      <c r="J782" s="17">
        <f t="shared" si="21"/>
        <v>0</v>
      </c>
      <c r="K782" s="17"/>
      <c r="L782" s="16" t="s">
        <v>18</v>
      </c>
      <c r="M782" s="16" t="s">
        <v>22</v>
      </c>
      <c r="N782" s="39"/>
    </row>
    <row r="783" spans="1:14" s="12" customFormat="1" ht="47.25">
      <c r="A783" s="178" t="s">
        <v>96</v>
      </c>
      <c r="B783" s="16" t="str">
        <f ca="1">+UPPER(Tabla132112418[[#This Row],[DESCRIPCIÓN DE LA COMPRA O CONTRATACIÓN]])</f>
        <v>TRANSFORMADORES 1Ø, 60HZ, SUMERGIDOS EN ACEITE, 7.2/12.47 KV, 120/240V, TIPO POSTE, HOMOLGADOS CON IDÉNTICA IMPEDANCIA 25 KVA</v>
      </c>
      <c r="C783" s="39" t="s">
        <v>17</v>
      </c>
      <c r="D783" s="236"/>
      <c r="E783" s="236"/>
      <c r="F783" s="236"/>
      <c r="G783" s="236"/>
      <c r="H783" s="40">
        <f>SUM(Tabla132112418[[#This Row],[PRIMER TRIMESTRE]:[CUARTO TRIMESTRE]])</f>
        <v>0</v>
      </c>
      <c r="I783" s="17">
        <v>34220</v>
      </c>
      <c r="J783" s="17">
        <f t="shared" si="21"/>
        <v>0</v>
      </c>
      <c r="K783" s="17"/>
      <c r="L783" s="16" t="s">
        <v>18</v>
      </c>
      <c r="M783" s="16" t="s">
        <v>22</v>
      </c>
      <c r="N783" s="39"/>
    </row>
    <row r="784" spans="1:14" s="12" customFormat="1" ht="63">
      <c r="A784" s="178" t="s">
        <v>96</v>
      </c>
      <c r="B784" s="16" t="str">
        <f ca="1">+UPPER(Tabla132112418[[#This Row],[DESCRIPCIÓN DE LA COMPRA O CONTRATACIÓN]])</f>
        <v>TRANSFORMADORES 1Ø, 60HZ, SUMERGIDOS EN ACEITE, 7.2/12.47 KV, 120/240V, TIPO POSTE, HOMOLGADOS CON IDÉNTICA IMPEDANCIA 37.5 KVA</v>
      </c>
      <c r="C784" s="39" t="s">
        <v>17</v>
      </c>
      <c r="D784" s="236"/>
      <c r="E784" s="236"/>
      <c r="F784" s="236"/>
      <c r="G784" s="236"/>
      <c r="H784" s="40">
        <f>SUM(Tabla132112418[[#This Row],[PRIMER TRIMESTRE]:[CUARTO TRIMESTRE]])</f>
        <v>0</v>
      </c>
      <c r="I784" s="17">
        <v>58875.22</v>
      </c>
      <c r="J784" s="17">
        <f t="shared" si="21"/>
        <v>0</v>
      </c>
      <c r="K784" s="17"/>
      <c r="L784" s="16" t="s">
        <v>18</v>
      </c>
      <c r="M784" s="16" t="s">
        <v>22</v>
      </c>
      <c r="N784" s="39"/>
    </row>
    <row r="785" spans="1:14" s="12" customFormat="1" ht="47.25">
      <c r="A785" s="178" t="s">
        <v>96</v>
      </c>
      <c r="B785" s="73" t="str">
        <f ca="1">+UPPER(Tabla132112418[[#This Row],[DESCRIPCIÓN DE LA COMPRA O CONTRATACIÓN]])</f>
        <v>TRANSFORMADORES 1Ø, 60HZ, SUMERGIDOS EN ACEITE, 7.2/12.47 KV, 240/480V, TIPO POSTE HOMOLGADOS CON IDÉNTICA IMPEDANCIA 15 KVA</v>
      </c>
      <c r="C785" s="39" t="s">
        <v>17</v>
      </c>
      <c r="D785" s="236"/>
      <c r="E785" s="236"/>
      <c r="F785" s="236"/>
      <c r="G785" s="236"/>
      <c r="H785" s="40">
        <f>SUM(Tabla132112418[[#This Row],[PRIMER TRIMESTRE]:[CUARTO TRIMESTRE]])</f>
        <v>0</v>
      </c>
      <c r="I785" s="17">
        <v>25498.09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</row>
    <row r="786" spans="1:14" s="12" customFormat="1" ht="47.25">
      <c r="A786" s="178" t="s">
        <v>96</v>
      </c>
      <c r="B786" s="73" t="str">
        <f ca="1">+UPPER(Tabla132112418[[#This Row],[DESCRIPCIÓN DE LA COMPRA O CONTRATACIÓN]])</f>
        <v>TRANSFORMADORES 1Ø, 60HZ, SUMERGIDOS EN ACEITE, 7.2/12.47 KV, 240/480V, TIPO POSTE HOMOLGADOS CON IDÉNTICA IMPEDANCIA 25 KVA</v>
      </c>
      <c r="C786" s="39" t="s">
        <v>17</v>
      </c>
      <c r="D786" s="236"/>
      <c r="E786" s="236"/>
      <c r="F786" s="236"/>
      <c r="G786" s="236"/>
      <c r="H786" s="40">
        <f>SUM(Tabla132112418[[#This Row],[PRIMER TRIMESTRE]:[CUARTO TRIMESTRE]])</f>
        <v>0</v>
      </c>
      <c r="I786" s="17">
        <v>37186.82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</row>
    <row r="787" spans="1:14" s="12" customFormat="1" ht="38.25">
      <c r="A787" s="178" t="s">
        <v>96</v>
      </c>
      <c r="B787" s="77" t="s">
        <v>864</v>
      </c>
      <c r="C787" s="39" t="s">
        <v>17</v>
      </c>
      <c r="D787" s="236"/>
      <c r="E787" s="236"/>
      <c r="F787" s="236"/>
      <c r="G787" s="236"/>
      <c r="H787" s="40">
        <f>SUM(Tabla132112418[[#This Row],[PRIMER TRIMESTRE]:[CUARTO TRIMESTRE]])</f>
        <v>0</v>
      </c>
      <c r="I787" s="17">
        <v>44076.54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</row>
    <row r="788" spans="1:14" s="12" customFormat="1" ht="38.25">
      <c r="A788" s="178" t="s">
        <v>96</v>
      </c>
      <c r="B788" s="75" t="s">
        <v>865</v>
      </c>
      <c r="C788" s="39" t="s">
        <v>17</v>
      </c>
      <c r="D788" s="236"/>
      <c r="E788" s="236"/>
      <c r="F788" s="236"/>
      <c r="G788" s="236"/>
      <c r="H788" s="40">
        <f>SUM(Tabla132112418[[#This Row],[PRIMER TRIMESTRE]:[CUARTO TRIMESTRE]])</f>
        <v>0</v>
      </c>
      <c r="I788" s="17">
        <v>54061.7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</row>
    <row r="789" spans="1:14" s="12" customFormat="1" ht="38.25">
      <c r="A789" s="178" t="s">
        <v>96</v>
      </c>
      <c r="B789" s="75" t="s">
        <v>866</v>
      </c>
      <c r="C789" s="39" t="s">
        <v>17</v>
      </c>
      <c r="D789" s="236"/>
      <c r="E789" s="236"/>
      <c r="F789" s="236"/>
      <c r="G789" s="236"/>
      <c r="H789" s="40">
        <f>SUM(Tabla132112418[[#This Row],[PRIMER TRIMESTRE]:[CUARTO TRIMESTRE]])</f>
        <v>0</v>
      </c>
      <c r="I789" s="17">
        <v>81423.539999999994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</row>
    <row r="790" spans="1:14" s="12" customFormat="1" ht="63">
      <c r="A790" s="178" t="s">
        <v>96</v>
      </c>
      <c r="B790" s="16" t="str">
        <f ca="1">+UPPER(Tabla132112418[[#This Row],[DESCRIPCIÓN DE LA COMPRA O CONTRATACIÓN]])</f>
        <v>TRANSFORMADORES 1Ø, 60HZ, SUMERGIDOS EN ACEITE, 7.2/12.47 KV, 240/480V, TIPO POSTE HOMOLGADOS CON IDÉNTICA IMPEDANCIA 100 KVA</v>
      </c>
      <c r="C790" s="39" t="s">
        <v>17</v>
      </c>
      <c r="D790" s="236"/>
      <c r="E790" s="236"/>
      <c r="F790" s="236"/>
      <c r="G790" s="236"/>
      <c r="H790" s="40">
        <f>SUM(Tabla132112418[[#This Row],[PRIMER TRIMESTRE]:[CUARTO TRIMESTRE]])</f>
        <v>0</v>
      </c>
      <c r="I790" s="17">
        <v>108938.74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</row>
    <row r="791" spans="1:14" s="12" customFormat="1" ht="38.25">
      <c r="A791" s="178" t="s">
        <v>96</v>
      </c>
      <c r="B791" s="75" t="s">
        <v>867</v>
      </c>
      <c r="C791" s="39" t="s">
        <v>17</v>
      </c>
      <c r="D791" s="236"/>
      <c r="E791" s="236"/>
      <c r="F791" s="236"/>
      <c r="G791" s="236"/>
      <c r="H791" s="40">
        <f>SUM(Tabla132112418[[#This Row],[PRIMER TRIMESTRE]:[CUARTO TRIMESTRE]])</f>
        <v>0</v>
      </c>
      <c r="I791" s="17">
        <v>160529.56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</row>
    <row r="792" spans="1:14" s="12" customFormat="1" ht="38.25">
      <c r="A792" s="178" t="s">
        <v>96</v>
      </c>
      <c r="B792" s="75" t="s">
        <v>871</v>
      </c>
      <c r="C792" s="39" t="s">
        <v>17</v>
      </c>
      <c r="D792" s="236"/>
      <c r="E792" s="236"/>
      <c r="F792" s="236"/>
      <c r="G792" s="236"/>
      <c r="H792" s="40">
        <f>SUM(Tabla132112418[[#This Row],[PRIMER TRIMESTRE]:[CUARTO TRIMESTRE]])</f>
        <v>0</v>
      </c>
      <c r="I792" s="17">
        <v>2995.96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</row>
    <row r="793" spans="1:14" s="12" customFormat="1" ht="38.25">
      <c r="A793" s="178" t="s">
        <v>96</v>
      </c>
      <c r="B793" s="75" t="s">
        <v>872</v>
      </c>
      <c r="C793" s="39" t="s">
        <v>17</v>
      </c>
      <c r="D793" s="236"/>
      <c r="E793" s="236"/>
      <c r="F793" s="236"/>
      <c r="G793" s="236"/>
      <c r="H793" s="40">
        <f>SUM(Tabla132112418[[#This Row],[PRIMER TRIMESTRE]:[CUARTO TRIMESTRE]])</f>
        <v>0</v>
      </c>
      <c r="I793" s="17">
        <v>3986.24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</row>
    <row r="794" spans="1:14" s="12" customFormat="1" ht="38.25">
      <c r="A794" s="178" t="s">
        <v>96</v>
      </c>
      <c r="B794" s="75" t="s">
        <v>873</v>
      </c>
      <c r="C794" s="39" t="s">
        <v>17</v>
      </c>
      <c r="D794" s="236"/>
      <c r="E794" s="236"/>
      <c r="F794" s="236"/>
      <c r="G794" s="236"/>
      <c r="H794" s="40">
        <f>SUM(Tabla132112418[[#This Row],[PRIMER TRIMESTRE]:[CUARTO TRIMESTRE]])</f>
        <v>0</v>
      </c>
      <c r="I794" s="17">
        <v>6982.2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</row>
    <row r="795" spans="1:14" s="12" customFormat="1" ht="30">
      <c r="A795" s="178" t="s">
        <v>96</v>
      </c>
      <c r="B795" s="75" t="s">
        <v>1437</v>
      </c>
      <c r="C795" s="39" t="s">
        <v>1438</v>
      </c>
      <c r="D795" s="236"/>
      <c r="E795" s="236"/>
      <c r="F795" s="236"/>
      <c r="G795" s="236"/>
      <c r="H795" s="40">
        <f>SUM(Tabla132112418[[#This Row],[PRIMER TRIMESTRE]:[CUARTO TRIMESTRE]])</f>
        <v>0</v>
      </c>
      <c r="I795" s="17">
        <v>554145.56999999995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</row>
    <row r="796" spans="1:14" s="12" customFormat="1" ht="30">
      <c r="A796" s="178" t="s">
        <v>96</v>
      </c>
      <c r="B796" s="75" t="s">
        <v>1450</v>
      </c>
      <c r="C796" s="39" t="s">
        <v>17</v>
      </c>
      <c r="D796" s="236"/>
      <c r="E796" s="236"/>
      <c r="F796" s="236"/>
      <c r="G796" s="236"/>
      <c r="H796" s="40">
        <f>SUM(Tabla132112418[[#This Row],[PRIMER TRIMESTRE]:[CUARTO TRIMESTRE]])</f>
        <v>0</v>
      </c>
      <c r="I796" s="17">
        <v>6950.29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</row>
    <row r="797" spans="1:14" s="12" customFormat="1" ht="30">
      <c r="A797" s="178" t="s">
        <v>96</v>
      </c>
      <c r="B797" s="75" t="s">
        <v>1524</v>
      </c>
      <c r="C797" s="39" t="s">
        <v>17</v>
      </c>
      <c r="D797" s="236"/>
      <c r="E797" s="236"/>
      <c r="F797" s="236"/>
      <c r="G797" s="236"/>
      <c r="H797" s="236">
        <f>SUM(Tabla132112418[[#This Row],[PRIMER TRIMESTRE]:[CUARTO TRIMESTRE]])</f>
        <v>0</v>
      </c>
      <c r="I797" s="17">
        <v>38300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</row>
    <row r="798" spans="1:14" s="12" customFormat="1" ht="30">
      <c r="A798" s="178" t="s">
        <v>96</v>
      </c>
      <c r="B798" s="75" t="s">
        <v>1728</v>
      </c>
      <c r="C798" s="39" t="s">
        <v>17</v>
      </c>
      <c r="D798" s="236"/>
      <c r="E798" s="236"/>
      <c r="F798" s="236"/>
      <c r="G798" s="236"/>
      <c r="H798" s="40">
        <v>0</v>
      </c>
      <c r="I798" s="17">
        <v>0</v>
      </c>
      <c r="J798" s="17">
        <v>0</v>
      </c>
      <c r="K798" s="17"/>
      <c r="L798" s="16" t="s">
        <v>18</v>
      </c>
      <c r="M798" s="16" t="s">
        <v>22</v>
      </c>
      <c r="N798" s="39"/>
    </row>
    <row r="799" spans="1:14" s="12" customFormat="1" ht="51">
      <c r="A799" s="178" t="s">
        <v>96</v>
      </c>
      <c r="B799" s="75" t="s">
        <v>1525</v>
      </c>
      <c r="C799" s="39" t="s">
        <v>17</v>
      </c>
      <c r="D799" s="236"/>
      <c r="E799" s="236"/>
      <c r="F799" s="236"/>
      <c r="G799" s="236"/>
      <c r="H799" s="236">
        <f>SUM(Tabla132112418[[#This Row],[PRIMER TRIMESTRE]:[CUARTO TRIMESTRE]])</f>
        <v>0</v>
      </c>
      <c r="I799" s="17">
        <v>251461</v>
      </c>
      <c r="J799" s="17">
        <f t="shared" si="21"/>
        <v>0</v>
      </c>
      <c r="K799" s="17"/>
      <c r="L799" s="16" t="s">
        <v>18</v>
      </c>
      <c r="M799" s="16" t="s">
        <v>22</v>
      </c>
      <c r="N799" s="39"/>
    </row>
    <row r="800" spans="1:14" s="12" customFormat="1" ht="30">
      <c r="A800" s="178" t="s">
        <v>96</v>
      </c>
      <c r="B800" s="75" t="s">
        <v>1523</v>
      </c>
      <c r="C800" s="39" t="s">
        <v>17</v>
      </c>
      <c r="D800" s="236"/>
      <c r="E800" s="236"/>
      <c r="F800" s="236"/>
      <c r="G800" s="236"/>
      <c r="H800" s="236">
        <f>SUM(Tabla132112418[[#This Row],[PRIMER TRIMESTRE]:[CUARTO TRIMESTRE]])</f>
        <v>0</v>
      </c>
      <c r="I800" s="17">
        <v>11200</v>
      </c>
      <c r="J800" s="17">
        <f t="shared" si="21"/>
        <v>0</v>
      </c>
      <c r="K800" s="17"/>
      <c r="L800" s="16" t="s">
        <v>18</v>
      </c>
      <c r="M800" s="16" t="s">
        <v>22</v>
      </c>
      <c r="N800" s="39"/>
    </row>
    <row r="801" spans="1:14" s="12" customFormat="1" ht="30">
      <c r="A801" s="178" t="s">
        <v>96</v>
      </c>
      <c r="B801" s="75" t="s">
        <v>1758</v>
      </c>
      <c r="C801" s="39" t="s">
        <v>17</v>
      </c>
      <c r="D801" s="236"/>
      <c r="E801" s="236"/>
      <c r="F801" s="236"/>
      <c r="G801" s="236"/>
      <c r="H801" s="40">
        <v>0</v>
      </c>
      <c r="I801" s="17">
        <v>0</v>
      </c>
      <c r="J801" s="17">
        <v>0</v>
      </c>
      <c r="K801" s="17"/>
      <c r="L801" s="16" t="s">
        <v>18</v>
      </c>
      <c r="M801" s="16" t="s">
        <v>22</v>
      </c>
      <c r="N801" s="39"/>
    </row>
    <row r="802" spans="1:14" s="12" customFormat="1" ht="30">
      <c r="A802" s="178" t="s">
        <v>96</v>
      </c>
      <c r="B802" s="75" t="s">
        <v>1510</v>
      </c>
      <c r="C802" s="39" t="s">
        <v>17</v>
      </c>
      <c r="D802" s="236"/>
      <c r="E802" s="236"/>
      <c r="F802" s="236"/>
      <c r="G802" s="236"/>
      <c r="H802" s="236">
        <f>SUM(Tabla132112418[[#This Row],[PRIMER TRIMESTRE]:[CUARTO TRIMESTRE]])</f>
        <v>0</v>
      </c>
      <c r="I802" s="17">
        <v>250</v>
      </c>
      <c r="J802" s="17">
        <f t="shared" si="21"/>
        <v>0</v>
      </c>
      <c r="K802" s="17"/>
      <c r="L802" s="16" t="s">
        <v>18</v>
      </c>
      <c r="M802" s="16" t="s">
        <v>22</v>
      </c>
      <c r="N802" s="39"/>
    </row>
    <row r="803" spans="1:14" s="12" customFormat="1" ht="30">
      <c r="A803" s="178" t="s">
        <v>96</v>
      </c>
      <c r="B803" s="75" t="s">
        <v>1611</v>
      </c>
      <c r="C803" s="39" t="s">
        <v>17</v>
      </c>
      <c r="D803" s="236"/>
      <c r="E803" s="236"/>
      <c r="F803" s="236"/>
      <c r="G803" s="236"/>
      <c r="H803" s="236">
        <f>SUM(Tabla132112418[[#This Row],[PRIMER TRIMESTRE]:[CUARTO TRIMESTRE]])</f>
        <v>0</v>
      </c>
      <c r="I803" s="17">
        <v>36000</v>
      </c>
      <c r="J803" s="17">
        <f t="shared" si="21"/>
        <v>0</v>
      </c>
      <c r="K803" s="17"/>
      <c r="L803" s="16" t="s">
        <v>18</v>
      </c>
      <c r="M803" s="16" t="s">
        <v>22</v>
      </c>
      <c r="N803" s="39"/>
    </row>
    <row r="804" spans="1:14" s="12" customFormat="1" ht="30">
      <c r="A804" s="178" t="s">
        <v>96</v>
      </c>
      <c r="B804" s="75" t="s">
        <v>1714</v>
      </c>
      <c r="C804" s="39" t="s">
        <v>17</v>
      </c>
      <c r="D804" s="236"/>
      <c r="E804" s="236"/>
      <c r="F804" s="236"/>
      <c r="G804" s="236"/>
      <c r="H804" s="40">
        <v>0</v>
      </c>
      <c r="I804" s="17">
        <v>0</v>
      </c>
      <c r="J804" s="17">
        <v>0</v>
      </c>
      <c r="K804" s="17"/>
      <c r="L804" s="16" t="s">
        <v>18</v>
      </c>
      <c r="M804" s="16" t="s">
        <v>22</v>
      </c>
      <c r="N804" s="39"/>
    </row>
    <row r="805" spans="1:14" s="12" customFormat="1" ht="30">
      <c r="A805" s="178" t="s">
        <v>96</v>
      </c>
      <c r="B805" s="75" t="s">
        <v>1744</v>
      </c>
      <c r="C805" s="39" t="s">
        <v>17</v>
      </c>
      <c r="D805" s="236"/>
      <c r="E805" s="236"/>
      <c r="F805" s="236"/>
      <c r="G805" s="236"/>
      <c r="H805" s="40">
        <v>0</v>
      </c>
      <c r="I805" s="17">
        <v>6950</v>
      </c>
      <c r="J805" s="17">
        <f>Tabla132112418[[#This Row],[PRECIO UNITARIO ESTIMADO]]*Tabla132112418[[#This Row],[CANTIDAD TOTAL]]</f>
        <v>0</v>
      </c>
      <c r="K805" s="17"/>
      <c r="L805" s="16" t="s">
        <v>18</v>
      </c>
      <c r="M805" s="16" t="s">
        <v>22</v>
      </c>
      <c r="N805" s="39"/>
    </row>
    <row r="806" spans="1:14" s="26" customFormat="1" ht="30">
      <c r="A806" s="178" t="s">
        <v>96</v>
      </c>
      <c r="B806" s="75" t="s">
        <v>1521</v>
      </c>
      <c r="C806" s="39" t="s">
        <v>17</v>
      </c>
      <c r="D806" s="236"/>
      <c r="E806" s="236"/>
      <c r="F806" s="236"/>
      <c r="G806" s="236"/>
      <c r="H806" s="236">
        <f>SUM(Tabla132112418[[#This Row],[PRIMER TRIMESTRE]:[CUARTO TRIMESTRE]])</f>
        <v>0</v>
      </c>
      <c r="I806" s="17">
        <v>109000</v>
      </c>
      <c r="J806" s="17">
        <f t="shared" si="21"/>
        <v>0</v>
      </c>
      <c r="K806" s="17"/>
      <c r="L806" s="16" t="s">
        <v>18</v>
      </c>
      <c r="M806" s="16" t="s">
        <v>22</v>
      </c>
      <c r="N806" s="39"/>
    </row>
    <row r="807" spans="1:14" s="12" customFormat="1" ht="30">
      <c r="A807" s="178" t="s">
        <v>96</v>
      </c>
      <c r="B807" s="75" t="s">
        <v>1522</v>
      </c>
      <c r="C807" s="39" t="s">
        <v>17</v>
      </c>
      <c r="D807" s="236"/>
      <c r="E807" s="236"/>
      <c r="F807" s="236"/>
      <c r="G807" s="236"/>
      <c r="H807" s="236">
        <f>SUM(Tabla132112418[[#This Row],[PRIMER TRIMESTRE]:[CUARTO TRIMESTRE]])</f>
        <v>0</v>
      </c>
      <c r="I807" s="17">
        <v>2760</v>
      </c>
      <c r="J807" s="17">
        <f t="shared" si="21"/>
        <v>0</v>
      </c>
      <c r="K807" s="17"/>
      <c r="L807" s="16" t="s">
        <v>18</v>
      </c>
      <c r="M807" s="16" t="s">
        <v>22</v>
      </c>
      <c r="N807" s="39"/>
    </row>
    <row r="808" spans="1:14" s="12" customFormat="1" ht="31.5">
      <c r="A808" s="287" t="s">
        <v>96</v>
      </c>
      <c r="B808" s="76"/>
      <c r="C808" s="42"/>
      <c r="D808" s="237"/>
      <c r="E808" s="237"/>
      <c r="F808" s="237"/>
      <c r="G808" s="237"/>
      <c r="H808" s="43"/>
      <c r="I808" s="24"/>
      <c r="J808" s="24"/>
      <c r="K808" s="25">
        <f>SUM(J605:J807)</f>
        <v>0</v>
      </c>
      <c r="L808" s="23"/>
      <c r="M808" s="23"/>
      <c r="N808" s="42"/>
    </row>
    <row r="809" spans="1:14" s="12" customFormat="1" ht="18">
      <c r="A809" s="178" t="s">
        <v>97</v>
      </c>
      <c r="B809" s="75" t="s">
        <v>1855</v>
      </c>
      <c r="C809" s="412" t="s">
        <v>17</v>
      </c>
      <c r="D809" s="412"/>
      <c r="E809" s="412"/>
      <c r="F809" s="412"/>
      <c r="G809" s="412"/>
      <c r="H809" s="412">
        <v>0</v>
      </c>
      <c r="I809" s="17">
        <v>0</v>
      </c>
      <c r="J809" s="17">
        <v>0</v>
      </c>
      <c r="K809" s="286"/>
      <c r="L809" s="16" t="s">
        <v>18</v>
      </c>
      <c r="M809" s="16" t="s">
        <v>22</v>
      </c>
      <c r="N809" s="39"/>
    </row>
    <row r="810" spans="1:14" s="12" customFormat="1" ht="25.5">
      <c r="A810" s="178" t="s">
        <v>97</v>
      </c>
      <c r="B810" s="75" t="s">
        <v>1681</v>
      </c>
      <c r="C810" s="39" t="s">
        <v>17</v>
      </c>
      <c r="D810" s="236"/>
      <c r="E810" s="236"/>
      <c r="F810" s="236"/>
      <c r="G810" s="236"/>
      <c r="H810" s="40">
        <v>0</v>
      </c>
      <c r="I810" s="17">
        <v>0</v>
      </c>
      <c r="J810" s="17">
        <v>0</v>
      </c>
      <c r="K810" s="17"/>
      <c r="L810" s="16" t="s">
        <v>18</v>
      </c>
      <c r="M810" s="16" t="s">
        <v>22</v>
      </c>
      <c r="N810" s="39"/>
    </row>
    <row r="811" spans="1:14" s="12" customFormat="1" ht="18">
      <c r="A811" s="178" t="s">
        <v>97</v>
      </c>
      <c r="B811" s="75" t="s">
        <v>227</v>
      </c>
      <c r="C811" s="39" t="s">
        <v>17</v>
      </c>
      <c r="D811" s="236"/>
      <c r="E811" s="236"/>
      <c r="F811" s="236"/>
      <c r="G811" s="236"/>
      <c r="H811" s="40">
        <f>SUM(Tabla132112418[[#This Row],[PRIMER TRIMESTRE]:[CUARTO TRIMESTRE]])</f>
        <v>0</v>
      </c>
      <c r="I811" s="17">
        <v>110.2</v>
      </c>
      <c r="J811" s="17">
        <f>+Tabla132112418[[#This Row],[CANTIDAD TOTAL]]*Tabla132112418[[#This Row],[PRECIO UNITARIO ESTIMADO]]</f>
        <v>0</v>
      </c>
      <c r="K811" s="17"/>
      <c r="L811" s="16" t="s">
        <v>18</v>
      </c>
      <c r="M811" s="16" t="s">
        <v>22</v>
      </c>
      <c r="N811" s="39"/>
    </row>
    <row r="812" spans="1:14" s="12" customFormat="1" ht="18">
      <c r="A812" s="178" t="s">
        <v>97</v>
      </c>
      <c r="B812" s="75" t="s">
        <v>1235</v>
      </c>
      <c r="C812" s="39" t="s">
        <v>17</v>
      </c>
      <c r="D812" s="236"/>
      <c r="E812" s="236"/>
      <c r="F812" s="236"/>
      <c r="G812" s="236"/>
      <c r="H812" s="40">
        <f>SUM(Tabla132112418[[#This Row],[PRIMER TRIMESTRE]:[CUARTO TRIMESTRE]])</f>
        <v>0</v>
      </c>
      <c r="I812" s="17">
        <v>156.5</v>
      </c>
      <c r="J812" s="17">
        <f t="shared" ref="J812:J819" si="22">+H812*I812</f>
        <v>0</v>
      </c>
      <c r="K812" s="17"/>
      <c r="L812" s="16" t="s">
        <v>18</v>
      </c>
      <c r="M812" s="16" t="s">
        <v>22</v>
      </c>
      <c r="N812" s="39"/>
    </row>
    <row r="813" spans="1:14" s="12" customFormat="1" ht="18">
      <c r="A813" s="178" t="s">
        <v>97</v>
      </c>
      <c r="B813" s="75" t="s">
        <v>1236</v>
      </c>
      <c r="C813" s="39" t="s">
        <v>17</v>
      </c>
      <c r="D813" s="236"/>
      <c r="E813" s="236"/>
      <c r="F813" s="236"/>
      <c r="G813" s="236"/>
      <c r="H813" s="40">
        <f>SUM(Tabla132112418[[#This Row],[PRIMER TRIMESTRE]:[CUARTO TRIMESTRE]])</f>
        <v>0</v>
      </c>
      <c r="I813" s="17">
        <v>156.5</v>
      </c>
      <c r="J813" s="17">
        <f t="shared" si="22"/>
        <v>0</v>
      </c>
      <c r="K813" s="17"/>
      <c r="L813" s="16" t="s">
        <v>18</v>
      </c>
      <c r="M813" s="16" t="s">
        <v>22</v>
      </c>
      <c r="N813" s="39"/>
    </row>
    <row r="814" spans="1:14" s="12" customFormat="1" ht="18">
      <c r="A814" s="178" t="s">
        <v>97</v>
      </c>
      <c r="B814" s="75" t="s">
        <v>1334</v>
      </c>
      <c r="C814" s="39" t="s">
        <v>17</v>
      </c>
      <c r="D814" s="236"/>
      <c r="E814" s="236"/>
      <c r="F814" s="236"/>
      <c r="G814" s="236"/>
      <c r="H814" s="40">
        <f>SUM(Tabla132112418[[#This Row],[PRIMER TRIMESTRE]:[CUARTO TRIMESTRE]])</f>
        <v>0</v>
      </c>
      <c r="I814" s="17">
        <v>387.04</v>
      </c>
      <c r="J814" s="17">
        <f t="shared" si="22"/>
        <v>0</v>
      </c>
      <c r="K814" s="17"/>
      <c r="L814" s="16" t="s">
        <v>18</v>
      </c>
      <c r="M814" s="16" t="s">
        <v>22</v>
      </c>
      <c r="N814" s="39"/>
    </row>
    <row r="815" spans="1:14" s="12" customFormat="1" ht="18">
      <c r="A815" s="178" t="s">
        <v>97</v>
      </c>
      <c r="B815" s="75" t="s">
        <v>1237</v>
      </c>
      <c r="C815" s="39" t="s">
        <v>17</v>
      </c>
      <c r="D815" s="236"/>
      <c r="E815" s="236"/>
      <c r="F815" s="236"/>
      <c r="G815" s="236"/>
      <c r="H815" s="40">
        <f>SUM(Tabla132112418[[#This Row],[PRIMER TRIMESTRE]:[CUARTO TRIMESTRE]])</f>
        <v>0</v>
      </c>
      <c r="I815" s="17">
        <v>35000</v>
      </c>
      <c r="J815" s="17">
        <f t="shared" si="22"/>
        <v>0</v>
      </c>
      <c r="K815" s="17"/>
      <c r="L815" s="16" t="s">
        <v>18</v>
      </c>
      <c r="M815" s="16" t="s">
        <v>22</v>
      </c>
      <c r="N815" s="39"/>
    </row>
    <row r="816" spans="1:14" s="12" customFormat="1" ht="18">
      <c r="A816" s="178" t="s">
        <v>97</v>
      </c>
      <c r="B816" s="75" t="s">
        <v>1713</v>
      </c>
      <c r="C816" s="39" t="s">
        <v>17</v>
      </c>
      <c r="D816" s="236"/>
      <c r="E816" s="236"/>
      <c r="F816" s="236"/>
      <c r="G816" s="236"/>
      <c r="H816" s="40">
        <v>0</v>
      </c>
      <c r="I816" s="17">
        <v>0</v>
      </c>
      <c r="J816" s="17">
        <v>0</v>
      </c>
      <c r="K816" s="17"/>
      <c r="L816" s="16" t="s">
        <v>18</v>
      </c>
      <c r="M816" s="16" t="s">
        <v>22</v>
      </c>
      <c r="N816" s="39"/>
    </row>
    <row r="817" spans="1:14" s="12" customFormat="1" ht="18">
      <c r="A817" s="178" t="s">
        <v>97</v>
      </c>
      <c r="B817" s="75" t="s">
        <v>572</v>
      </c>
      <c r="C817" s="39" t="s">
        <v>17</v>
      </c>
      <c r="D817" s="236"/>
      <c r="E817" s="236"/>
      <c r="F817" s="236"/>
      <c r="G817" s="236"/>
      <c r="H817" s="40">
        <f>SUM(Tabla132112418[[#This Row],[PRIMER TRIMESTRE]:[CUARTO TRIMESTRE]])</f>
        <v>0</v>
      </c>
      <c r="I817" s="17">
        <v>25000</v>
      </c>
      <c r="J817" s="17">
        <f t="shared" si="22"/>
        <v>0</v>
      </c>
      <c r="K817" s="17"/>
      <c r="L817" s="16" t="s">
        <v>18</v>
      </c>
      <c r="M817" s="16" t="s">
        <v>22</v>
      </c>
      <c r="N817" s="39"/>
    </row>
    <row r="818" spans="1:14" s="12" customFormat="1" ht="18">
      <c r="A818" s="178" t="s">
        <v>97</v>
      </c>
      <c r="B818" s="75" t="s">
        <v>1238</v>
      </c>
      <c r="C818" s="39" t="s">
        <v>17</v>
      </c>
      <c r="D818" s="236"/>
      <c r="E818" s="236"/>
      <c r="F818" s="236"/>
      <c r="G818" s="236"/>
      <c r="H818" s="40">
        <f>SUM(Tabla132112418[[#This Row],[PRIMER TRIMESTRE]:[CUARTO TRIMESTRE]])</f>
        <v>0</v>
      </c>
      <c r="I818" s="17">
        <v>25000</v>
      </c>
      <c r="J818" s="17">
        <f t="shared" si="22"/>
        <v>0</v>
      </c>
      <c r="K818" s="17"/>
      <c r="L818" s="16" t="s">
        <v>18</v>
      </c>
      <c r="M818" s="16" t="s">
        <v>22</v>
      </c>
      <c r="N818" s="39"/>
    </row>
    <row r="819" spans="1:14" s="12" customFormat="1" ht="18">
      <c r="A819" s="178" t="s">
        <v>97</v>
      </c>
      <c r="B819" s="75" t="s">
        <v>1239</v>
      </c>
      <c r="C819" s="39" t="s">
        <v>17</v>
      </c>
      <c r="D819" s="236"/>
      <c r="E819" s="236"/>
      <c r="F819" s="236"/>
      <c r="G819" s="236"/>
      <c r="H819" s="40">
        <f>SUM(Tabla132112418[[#This Row],[PRIMER TRIMESTRE]:[CUARTO TRIMESTRE]])</f>
        <v>0</v>
      </c>
      <c r="I819" s="17">
        <v>25000</v>
      </c>
      <c r="J819" s="17">
        <f t="shared" si="22"/>
        <v>0</v>
      </c>
      <c r="K819" s="17"/>
      <c r="L819" s="16" t="s">
        <v>18</v>
      </c>
      <c r="M819" s="16" t="s">
        <v>22</v>
      </c>
      <c r="N819" s="39"/>
    </row>
    <row r="820" spans="1:14" s="12" customFormat="1" ht="18">
      <c r="A820" s="178" t="s">
        <v>97</v>
      </c>
      <c r="B820" s="75" t="s">
        <v>220</v>
      </c>
      <c r="C820" s="39" t="s">
        <v>17</v>
      </c>
      <c r="D820" s="236"/>
      <c r="E820" s="236"/>
      <c r="F820" s="236"/>
      <c r="G820" s="236"/>
      <c r="H820" s="40">
        <f>SUM(Tabla132112418[[#This Row],[PRIMER TRIMESTRE]:[CUARTO TRIMESTRE]])</f>
        <v>0</v>
      </c>
      <c r="I820" s="17">
        <v>40165</v>
      </c>
      <c r="J820" s="17">
        <f>+Tabla132112418[[#This Row],[CANTIDAD TOTAL]]*Tabla132112418[[#This Row],[PRECIO UNITARIO ESTIMADO]]</f>
        <v>0</v>
      </c>
      <c r="K820" s="17"/>
      <c r="L820" s="16" t="s">
        <v>18</v>
      </c>
      <c r="M820" s="16" t="s">
        <v>22</v>
      </c>
      <c r="N820" s="39"/>
    </row>
    <row r="821" spans="1:14" s="12" customFormat="1" ht="18">
      <c r="A821" s="178" t="s">
        <v>97</v>
      </c>
      <c r="B821" s="75" t="s">
        <v>213</v>
      </c>
      <c r="C821" s="39" t="s">
        <v>17</v>
      </c>
      <c r="D821" s="236"/>
      <c r="E821" s="236"/>
      <c r="F821" s="236"/>
      <c r="G821" s="236"/>
      <c r="H821" s="40">
        <f>SUM(Tabla132112418[[#This Row],[PRIMER TRIMESTRE]:[CUARTO TRIMESTRE]])</f>
        <v>0</v>
      </c>
      <c r="I821" s="17">
        <v>30999.38</v>
      </c>
      <c r="J821" s="17">
        <f>+Tabla132112418[[#This Row],[CANTIDAD TOTAL]]*Tabla132112418[[#This Row],[PRECIO UNITARIO ESTIMADO]]</f>
        <v>0</v>
      </c>
      <c r="K821" s="17"/>
      <c r="L821" s="16" t="s">
        <v>18</v>
      </c>
      <c r="M821" s="16" t="s">
        <v>22</v>
      </c>
      <c r="N821" s="39"/>
    </row>
    <row r="822" spans="1:14" s="12" customFormat="1" ht="18">
      <c r="A822" s="178" t="s">
        <v>97</v>
      </c>
      <c r="B822" s="75" t="s">
        <v>226</v>
      </c>
      <c r="C822" s="39" t="s">
        <v>17</v>
      </c>
      <c r="D822" s="236"/>
      <c r="E822" s="236"/>
      <c r="F822" s="236"/>
      <c r="G822" s="236"/>
      <c r="H822" s="40">
        <f>SUM(Tabla132112418[[#This Row],[PRIMER TRIMESTRE]:[CUARTO TRIMESTRE]])</f>
        <v>0</v>
      </c>
      <c r="I822" s="17">
        <v>14929.2</v>
      </c>
      <c r="J822" s="17">
        <f>+Tabla132112418[[#This Row],[CANTIDAD TOTAL]]*Tabla132112418[[#This Row],[PRECIO UNITARIO ESTIMADO]]</f>
        <v>0</v>
      </c>
      <c r="K822" s="17"/>
      <c r="L822" s="16" t="s">
        <v>18</v>
      </c>
      <c r="M822" s="16" t="s">
        <v>22</v>
      </c>
      <c r="N822" s="39"/>
    </row>
    <row r="823" spans="1:14" s="12" customFormat="1" ht="25.5">
      <c r="A823" s="178" t="s">
        <v>97</v>
      </c>
      <c r="B823" s="75" t="s">
        <v>1696</v>
      </c>
      <c r="C823" s="39" t="s">
        <v>17</v>
      </c>
      <c r="D823" s="236"/>
      <c r="E823" s="236"/>
      <c r="F823" s="236"/>
      <c r="G823" s="236"/>
      <c r="H823" s="40">
        <v>0</v>
      </c>
      <c r="I823" s="17">
        <v>0</v>
      </c>
      <c r="J823" s="17">
        <v>0</v>
      </c>
      <c r="K823" s="17"/>
      <c r="L823" s="16" t="s">
        <v>18</v>
      </c>
      <c r="M823" s="16" t="s">
        <v>22</v>
      </c>
      <c r="N823" s="39"/>
    </row>
    <row r="824" spans="1:14" s="12" customFormat="1" ht="38.25">
      <c r="A824" s="178" t="s">
        <v>97</v>
      </c>
      <c r="B824" s="75" t="s">
        <v>1697</v>
      </c>
      <c r="C824" s="39" t="s">
        <v>17</v>
      </c>
      <c r="D824" s="236"/>
      <c r="E824" s="236"/>
      <c r="F824" s="236"/>
      <c r="G824" s="236"/>
      <c r="H824" s="40">
        <v>0</v>
      </c>
      <c r="I824" s="17">
        <v>0</v>
      </c>
      <c r="J824" s="17">
        <v>0</v>
      </c>
      <c r="K824" s="17"/>
      <c r="L824" s="16" t="s">
        <v>18</v>
      </c>
      <c r="M824" s="16" t="s">
        <v>22</v>
      </c>
      <c r="N824" s="39"/>
    </row>
    <row r="825" spans="1:14" s="12" customFormat="1" ht="38.25">
      <c r="A825" s="178" t="s">
        <v>97</v>
      </c>
      <c r="B825" s="75" t="s">
        <v>1698</v>
      </c>
      <c r="C825" s="39" t="s">
        <v>17</v>
      </c>
      <c r="D825" s="236"/>
      <c r="E825" s="236"/>
      <c r="F825" s="236"/>
      <c r="G825" s="236"/>
      <c r="H825" s="40">
        <v>0</v>
      </c>
      <c r="I825" s="17">
        <v>0</v>
      </c>
      <c r="J825" s="17">
        <v>0</v>
      </c>
      <c r="K825" s="17"/>
      <c r="L825" s="16" t="s">
        <v>18</v>
      </c>
      <c r="M825" s="16" t="s">
        <v>22</v>
      </c>
      <c r="N825" s="39"/>
    </row>
    <row r="826" spans="1:14" s="12" customFormat="1" ht="18">
      <c r="A826" s="178" t="s">
        <v>97</v>
      </c>
      <c r="B826" s="75" t="s">
        <v>212</v>
      </c>
      <c r="C826" s="39" t="s">
        <v>17</v>
      </c>
      <c r="D826" s="236"/>
      <c r="E826" s="236"/>
      <c r="F826" s="236"/>
      <c r="G826" s="236"/>
      <c r="H826" s="40">
        <f>SUM(Tabla132112418[[#This Row],[PRIMER TRIMESTRE]:[CUARTO TRIMESTRE]])</f>
        <v>0</v>
      </c>
      <c r="I826" s="17">
        <v>280500</v>
      </c>
      <c r="J826" s="17">
        <f>+Tabla132112418[[#This Row],[CANTIDAD TOTAL]]*Tabla132112418[[#This Row],[PRECIO UNITARIO ESTIMADO]]</f>
        <v>0</v>
      </c>
      <c r="K826" s="17"/>
      <c r="L826" s="16" t="s">
        <v>18</v>
      </c>
      <c r="M826" s="16" t="s">
        <v>22</v>
      </c>
      <c r="N826" s="39"/>
    </row>
    <row r="827" spans="1:14" s="12" customFormat="1" ht="18">
      <c r="A827" s="178" t="s">
        <v>97</v>
      </c>
      <c r="B827" s="75" t="s">
        <v>214</v>
      </c>
      <c r="C827" s="39" t="s">
        <v>17</v>
      </c>
      <c r="D827" s="236"/>
      <c r="E827" s="236"/>
      <c r="F827" s="236"/>
      <c r="G827" s="236"/>
      <c r="H827" s="40">
        <f>SUM(Tabla132112418[[#This Row],[PRIMER TRIMESTRE]:[CUARTO TRIMESTRE]])</f>
        <v>0</v>
      </c>
      <c r="I827" s="17">
        <v>62762.6</v>
      </c>
      <c r="J827" s="17">
        <f>+Tabla132112418[[#This Row],[CANTIDAD TOTAL]]*Tabla132112418[[#This Row],[PRECIO UNITARIO ESTIMADO]]</f>
        <v>0</v>
      </c>
      <c r="K827" s="17"/>
      <c r="L827" s="16" t="s">
        <v>18</v>
      </c>
      <c r="M827" s="16" t="s">
        <v>22</v>
      </c>
      <c r="N827" s="39"/>
    </row>
    <row r="828" spans="1:14" s="12" customFormat="1" ht="18">
      <c r="A828" s="178" t="s">
        <v>97</v>
      </c>
      <c r="B828" s="75" t="s">
        <v>215</v>
      </c>
      <c r="C828" s="39" t="s">
        <v>17</v>
      </c>
      <c r="D828" s="236"/>
      <c r="E828" s="236"/>
      <c r="F828" s="236"/>
      <c r="G828" s="236"/>
      <c r="H828" s="40">
        <f>SUM(Tabla132112418[[#This Row],[PRIMER TRIMESTRE]:[CUARTO TRIMESTRE]])</f>
        <v>0</v>
      </c>
      <c r="I828" s="17">
        <v>14453.6</v>
      </c>
      <c r="J828" s="17">
        <f>+Tabla132112418[[#This Row],[CANTIDAD TOTAL]]*Tabla132112418[[#This Row],[PRECIO UNITARIO ESTIMADO]]</f>
        <v>0</v>
      </c>
      <c r="K828" s="17"/>
      <c r="L828" s="16" t="s">
        <v>18</v>
      </c>
      <c r="M828" s="16" t="s">
        <v>22</v>
      </c>
      <c r="N828" s="39"/>
    </row>
    <row r="829" spans="1:14" s="12" customFormat="1" ht="18">
      <c r="A829" s="178" t="s">
        <v>97</v>
      </c>
      <c r="B829" s="75" t="s">
        <v>216</v>
      </c>
      <c r="C829" s="39" t="s">
        <v>17</v>
      </c>
      <c r="D829" s="236"/>
      <c r="E829" s="236"/>
      <c r="F829" s="236"/>
      <c r="G829" s="236"/>
      <c r="H829" s="40">
        <f>SUM(Tabla132112418[[#This Row],[PRIMER TRIMESTRE]:[CUARTO TRIMESTRE]])</f>
        <v>0</v>
      </c>
      <c r="I829" s="17">
        <v>58701.8</v>
      </c>
      <c r="J829" s="17">
        <f>+Tabla132112418[[#This Row],[CANTIDAD TOTAL]]*Tabla132112418[[#This Row],[PRECIO UNITARIO ESTIMADO]]</f>
        <v>0</v>
      </c>
      <c r="K829" s="17"/>
      <c r="L829" s="16" t="s">
        <v>18</v>
      </c>
      <c r="M829" s="16" t="s">
        <v>22</v>
      </c>
      <c r="N829" s="39"/>
    </row>
    <row r="830" spans="1:14" s="12" customFormat="1" ht="25.5">
      <c r="A830" s="178" t="s">
        <v>97</v>
      </c>
      <c r="B830" s="75" t="s">
        <v>217</v>
      </c>
      <c r="C830" s="39" t="s">
        <v>17</v>
      </c>
      <c r="D830" s="236"/>
      <c r="E830" s="236"/>
      <c r="F830" s="236"/>
      <c r="G830" s="236"/>
      <c r="H830" s="40">
        <f>SUM(Tabla132112418[[#This Row],[PRIMER TRIMESTRE]:[CUARTO TRIMESTRE]])</f>
        <v>0</v>
      </c>
      <c r="I830" s="17">
        <v>36540</v>
      </c>
      <c r="J830" s="17">
        <f>+Tabla132112418[[#This Row],[CANTIDAD TOTAL]]*Tabla132112418[[#This Row],[PRECIO UNITARIO ESTIMADO]]</f>
        <v>0</v>
      </c>
      <c r="K830" s="17"/>
      <c r="L830" s="16" t="s">
        <v>18</v>
      </c>
      <c r="M830" s="16" t="s">
        <v>22</v>
      </c>
      <c r="N830" s="39"/>
    </row>
    <row r="831" spans="1:14" s="12" customFormat="1" ht="25.5">
      <c r="A831" s="178" t="s">
        <v>97</v>
      </c>
      <c r="B831" s="75" t="s">
        <v>218</v>
      </c>
      <c r="C831" s="39" t="s">
        <v>17</v>
      </c>
      <c r="D831" s="236"/>
      <c r="E831" s="236"/>
      <c r="F831" s="236"/>
      <c r="G831" s="236"/>
      <c r="H831" s="40">
        <f>SUM(Tabla132112418[[#This Row],[PRIMER TRIMESTRE]:[CUARTO TRIMESTRE]])</f>
        <v>0</v>
      </c>
      <c r="I831" s="17">
        <v>60262</v>
      </c>
      <c r="J831" s="17">
        <f>+Tabla132112418[[#This Row],[CANTIDAD TOTAL]]*Tabla132112418[[#This Row],[PRECIO UNITARIO ESTIMADO]]</f>
        <v>0</v>
      </c>
      <c r="K831" s="17"/>
      <c r="L831" s="16" t="s">
        <v>18</v>
      </c>
      <c r="M831" s="16" t="s">
        <v>22</v>
      </c>
      <c r="N831" s="39"/>
    </row>
    <row r="832" spans="1:14" s="12" customFormat="1" ht="25.5">
      <c r="A832" s="178" t="s">
        <v>97</v>
      </c>
      <c r="B832" s="75" t="s">
        <v>219</v>
      </c>
      <c r="C832" s="39" t="s">
        <v>17</v>
      </c>
      <c r="D832" s="236"/>
      <c r="E832" s="236"/>
      <c r="F832" s="236"/>
      <c r="G832" s="236"/>
      <c r="H832" s="40">
        <f>SUM(Tabla132112418[[#This Row],[PRIMER TRIMESTRE]:[CUARTO TRIMESTRE]])</f>
        <v>0</v>
      </c>
      <c r="I832" s="17">
        <v>59757.4</v>
      </c>
      <c r="J832" s="17">
        <f>+Tabla132112418[[#This Row],[CANTIDAD TOTAL]]*Tabla132112418[[#This Row],[PRECIO UNITARIO ESTIMADO]]</f>
        <v>0</v>
      </c>
      <c r="K832" s="17"/>
      <c r="L832" s="16" t="s">
        <v>18</v>
      </c>
      <c r="M832" s="16" t="s">
        <v>22</v>
      </c>
      <c r="N832" s="39"/>
    </row>
    <row r="833" spans="1:14" s="12" customFormat="1" ht="51">
      <c r="A833" s="178" t="s">
        <v>97</v>
      </c>
      <c r="B833" s="75" t="s">
        <v>1765</v>
      </c>
      <c r="C833" s="39" t="s">
        <v>17</v>
      </c>
      <c r="D833" s="236"/>
      <c r="E833" s="236"/>
      <c r="F833" s="236"/>
      <c r="G833" s="236"/>
      <c r="H833" s="40">
        <v>0</v>
      </c>
      <c r="I833" s="17">
        <v>0</v>
      </c>
      <c r="J833" s="17">
        <v>0</v>
      </c>
      <c r="K833" s="17"/>
      <c r="L833" s="16" t="s">
        <v>18</v>
      </c>
      <c r="M833" s="16" t="s">
        <v>22</v>
      </c>
      <c r="N833" s="39"/>
    </row>
    <row r="834" spans="1:14" s="12" customFormat="1" ht="51">
      <c r="A834" s="178" t="s">
        <v>97</v>
      </c>
      <c r="B834" s="75" t="s">
        <v>1766</v>
      </c>
      <c r="C834" s="39" t="s">
        <v>17</v>
      </c>
      <c r="D834" s="236"/>
      <c r="E834" s="236"/>
      <c r="F834" s="236"/>
      <c r="G834" s="236"/>
      <c r="H834" s="40">
        <v>0</v>
      </c>
      <c r="I834" s="17">
        <v>0</v>
      </c>
      <c r="J834" s="17">
        <v>0</v>
      </c>
      <c r="K834" s="17"/>
      <c r="L834" s="16" t="s">
        <v>18</v>
      </c>
      <c r="M834" s="16" t="s">
        <v>22</v>
      </c>
      <c r="N834" s="39"/>
    </row>
    <row r="835" spans="1:14" s="12" customFormat="1" ht="18">
      <c r="A835" s="178" t="s">
        <v>97</v>
      </c>
      <c r="B835" s="75" t="s">
        <v>317</v>
      </c>
      <c r="C835" s="39" t="s">
        <v>17</v>
      </c>
      <c r="D835" s="236"/>
      <c r="E835" s="236"/>
      <c r="F835" s="236"/>
      <c r="G835" s="236"/>
      <c r="H835" s="40">
        <f>SUM(Tabla132112418[[#This Row],[PRIMER TRIMESTRE]:[CUARTO TRIMESTRE]])</f>
        <v>0</v>
      </c>
      <c r="I835" s="17">
        <f>1252664.4/5</f>
        <v>250532.87999999998</v>
      </c>
      <c r="J835" s="17">
        <f>+Tabla132112418[[#This Row],[CANTIDAD TOTAL]]*Tabla132112418[[#This Row],[PRECIO UNITARIO ESTIMADO]]</f>
        <v>0</v>
      </c>
      <c r="K835" s="17"/>
      <c r="L835" s="16" t="s">
        <v>18</v>
      </c>
      <c r="M835" s="16" t="s">
        <v>22</v>
      </c>
      <c r="N835" s="39"/>
    </row>
    <row r="836" spans="1:14" s="12" customFormat="1" ht="18">
      <c r="A836" s="178" t="s">
        <v>97</v>
      </c>
      <c r="B836" s="75" t="s">
        <v>1462</v>
      </c>
      <c r="C836" s="39" t="s">
        <v>17</v>
      </c>
      <c r="D836" s="236"/>
      <c r="E836" s="236"/>
      <c r="F836" s="236"/>
      <c r="G836" s="236"/>
      <c r="H836" s="40">
        <f>SUM(Tabla132112418[[#This Row],[PRIMER TRIMESTRE]:[CUARTO TRIMESTRE]])</f>
        <v>0</v>
      </c>
      <c r="I836" s="17">
        <v>250532.68</v>
      </c>
      <c r="J836" s="17">
        <f t="shared" ref="J836:J865" si="23">+H836*I836</f>
        <v>0</v>
      </c>
      <c r="K836" s="17"/>
      <c r="L836" s="16" t="s">
        <v>15</v>
      </c>
      <c r="M836" s="16" t="s">
        <v>22</v>
      </c>
      <c r="N836" s="39"/>
    </row>
    <row r="837" spans="1:14" s="12" customFormat="1" ht="18">
      <c r="A837" s="178" t="s">
        <v>97</v>
      </c>
      <c r="B837" s="75" t="s">
        <v>1240</v>
      </c>
      <c r="C837" s="39" t="s">
        <v>17</v>
      </c>
      <c r="D837" s="236"/>
      <c r="E837" s="236"/>
      <c r="F837" s="236"/>
      <c r="G837" s="236"/>
      <c r="H837" s="40">
        <f>SUM(Tabla132112418[[#This Row],[PRIMER TRIMESTRE]:[CUARTO TRIMESTRE]])</f>
        <v>0</v>
      </c>
      <c r="I837" s="17">
        <v>2300000</v>
      </c>
      <c r="J837" s="17">
        <f t="shared" si="23"/>
        <v>0</v>
      </c>
      <c r="K837" s="17"/>
      <c r="L837" s="16" t="s">
        <v>18</v>
      </c>
      <c r="M837" s="16" t="s">
        <v>22</v>
      </c>
      <c r="N837" s="39"/>
    </row>
    <row r="838" spans="1:14" s="12" customFormat="1" ht="18">
      <c r="A838" s="178" t="s">
        <v>97</v>
      </c>
      <c r="B838" s="75" t="s">
        <v>1241</v>
      </c>
      <c r="C838" s="39" t="s">
        <v>17</v>
      </c>
      <c r="D838" s="236"/>
      <c r="E838" s="236"/>
      <c r="F838" s="236"/>
      <c r="G838" s="236"/>
      <c r="H838" s="40">
        <f>SUM(Tabla132112418[[#This Row],[PRIMER TRIMESTRE]:[CUARTO TRIMESTRE]])</f>
        <v>0</v>
      </c>
      <c r="I838" s="17">
        <v>950000</v>
      </c>
      <c r="J838" s="17">
        <f t="shared" si="23"/>
        <v>0</v>
      </c>
      <c r="K838" s="17"/>
      <c r="L838" s="16" t="s">
        <v>18</v>
      </c>
      <c r="M838" s="16" t="s">
        <v>22</v>
      </c>
      <c r="N838" s="39"/>
    </row>
    <row r="839" spans="1:14" s="12" customFormat="1" ht="18">
      <c r="A839" s="178" t="s">
        <v>97</v>
      </c>
      <c r="B839" s="75" t="s">
        <v>1242</v>
      </c>
      <c r="C839" s="39" t="s">
        <v>17</v>
      </c>
      <c r="D839" s="236"/>
      <c r="E839" s="236"/>
      <c r="F839" s="236"/>
      <c r="G839" s="236"/>
      <c r="H839" s="40">
        <f>SUM(Tabla132112418[[#This Row],[PRIMER TRIMESTRE]:[CUARTO TRIMESTRE]])</f>
        <v>0</v>
      </c>
      <c r="I839" s="17">
        <v>1800000</v>
      </c>
      <c r="J839" s="17">
        <f t="shared" si="23"/>
        <v>0</v>
      </c>
      <c r="K839" s="17"/>
      <c r="L839" s="16" t="s">
        <v>18</v>
      </c>
      <c r="M839" s="16" t="s">
        <v>22</v>
      </c>
      <c r="N839" s="39"/>
    </row>
    <row r="840" spans="1:14" s="12" customFormat="1" ht="18">
      <c r="A840" s="178" t="s">
        <v>97</v>
      </c>
      <c r="B840" s="75" t="s">
        <v>1243</v>
      </c>
      <c r="C840" s="39" t="s">
        <v>17</v>
      </c>
      <c r="D840" s="236"/>
      <c r="E840" s="236"/>
      <c r="F840" s="236"/>
      <c r="G840" s="236"/>
      <c r="H840" s="40">
        <f>SUM(Tabla132112418[[#This Row],[PRIMER TRIMESTRE]:[CUARTO TRIMESTRE]])</f>
        <v>0</v>
      </c>
      <c r="I840" s="17">
        <v>270000</v>
      </c>
      <c r="J840" s="17">
        <f t="shared" si="23"/>
        <v>0</v>
      </c>
      <c r="K840" s="17"/>
      <c r="L840" s="16" t="s">
        <v>18</v>
      </c>
      <c r="M840" s="16" t="s">
        <v>22</v>
      </c>
      <c r="N840" s="39"/>
    </row>
    <row r="841" spans="1:14" s="12" customFormat="1" ht="18">
      <c r="A841" s="178" t="s">
        <v>97</v>
      </c>
      <c r="B841" s="75" t="s">
        <v>1244</v>
      </c>
      <c r="C841" s="39" t="s">
        <v>17</v>
      </c>
      <c r="D841" s="236"/>
      <c r="E841" s="236"/>
      <c r="F841" s="236"/>
      <c r="G841" s="236"/>
      <c r="H841" s="40">
        <f>SUM(Tabla132112418[[#This Row],[PRIMER TRIMESTRE]:[CUARTO TRIMESTRE]])</f>
        <v>0</v>
      </c>
      <c r="I841" s="17">
        <v>398000</v>
      </c>
      <c r="J841" s="17">
        <f t="shared" si="23"/>
        <v>0</v>
      </c>
      <c r="K841" s="17"/>
      <c r="L841" s="16" t="s">
        <v>18</v>
      </c>
      <c r="M841" s="16" t="s">
        <v>22</v>
      </c>
      <c r="N841" s="39"/>
    </row>
    <row r="842" spans="1:14" s="12" customFormat="1" ht="18">
      <c r="A842" s="178" t="s">
        <v>97</v>
      </c>
      <c r="B842" s="75" t="s">
        <v>1245</v>
      </c>
      <c r="C842" s="39" t="s">
        <v>17</v>
      </c>
      <c r="D842" s="236"/>
      <c r="E842" s="236"/>
      <c r="F842" s="236"/>
      <c r="G842" s="236"/>
      <c r="H842" s="40">
        <f>SUM(Tabla132112418[[#This Row],[PRIMER TRIMESTRE]:[CUARTO TRIMESTRE]])</f>
        <v>0</v>
      </c>
      <c r="I842" s="17">
        <v>395000</v>
      </c>
      <c r="J842" s="17">
        <f t="shared" si="23"/>
        <v>0</v>
      </c>
      <c r="K842" s="17"/>
      <c r="L842" s="16" t="s">
        <v>18</v>
      </c>
      <c r="M842" s="16" t="s">
        <v>22</v>
      </c>
      <c r="N842" s="39"/>
    </row>
    <row r="843" spans="1:14" s="12" customFormat="1" ht="18">
      <c r="A843" s="178" t="s">
        <v>97</v>
      </c>
      <c r="B843" s="75" t="s">
        <v>1246</v>
      </c>
      <c r="C843" s="39" t="s">
        <v>17</v>
      </c>
      <c r="D843" s="236"/>
      <c r="E843" s="236"/>
      <c r="F843" s="236"/>
      <c r="G843" s="236"/>
      <c r="H843" s="40">
        <f>SUM(Tabla132112418[[#This Row],[PRIMER TRIMESTRE]:[CUARTO TRIMESTRE]])</f>
        <v>0</v>
      </c>
      <c r="I843" s="17">
        <v>390000</v>
      </c>
      <c r="J843" s="17">
        <f t="shared" si="23"/>
        <v>0</v>
      </c>
      <c r="K843" s="17"/>
      <c r="L843" s="16" t="s">
        <v>18</v>
      </c>
      <c r="M843" s="16" t="s">
        <v>22</v>
      </c>
      <c r="N843" s="39"/>
    </row>
    <row r="844" spans="1:14" s="12" customFormat="1" ht="18">
      <c r="A844" s="178" t="s">
        <v>97</v>
      </c>
      <c r="B844" s="75" t="s">
        <v>1247</v>
      </c>
      <c r="C844" s="39" t="s">
        <v>17</v>
      </c>
      <c r="D844" s="236"/>
      <c r="E844" s="236"/>
      <c r="F844" s="236"/>
      <c r="G844" s="236"/>
      <c r="H844" s="40">
        <f>SUM(Tabla132112418[[#This Row],[PRIMER TRIMESTRE]:[CUARTO TRIMESTRE]])</f>
        <v>0</v>
      </c>
      <c r="I844" s="17">
        <v>385000</v>
      </c>
      <c r="J844" s="17">
        <f t="shared" si="23"/>
        <v>0</v>
      </c>
      <c r="K844" s="17"/>
      <c r="L844" s="16" t="s">
        <v>18</v>
      </c>
      <c r="M844" s="16" t="s">
        <v>22</v>
      </c>
      <c r="N844" s="39"/>
    </row>
    <row r="845" spans="1:14" s="12" customFormat="1" ht="18">
      <c r="A845" s="178" t="s">
        <v>97</v>
      </c>
      <c r="B845" s="75" t="s">
        <v>1248</v>
      </c>
      <c r="C845" s="39" t="s">
        <v>17</v>
      </c>
      <c r="D845" s="236"/>
      <c r="E845" s="236"/>
      <c r="F845" s="236"/>
      <c r="G845" s="236"/>
      <c r="H845" s="40">
        <f>SUM(Tabla132112418[[#This Row],[PRIMER TRIMESTRE]:[CUARTO TRIMESTRE]])</f>
        <v>0</v>
      </c>
      <c r="I845" s="17">
        <v>290400</v>
      </c>
      <c r="J845" s="17">
        <f t="shared" si="23"/>
        <v>0</v>
      </c>
      <c r="K845" s="17"/>
      <c r="L845" s="16" t="s">
        <v>18</v>
      </c>
      <c r="M845" s="16" t="s">
        <v>22</v>
      </c>
      <c r="N845" s="39"/>
    </row>
    <row r="846" spans="1:14" s="12" customFormat="1" ht="18">
      <c r="A846" s="178" t="s">
        <v>97</v>
      </c>
      <c r="B846" s="75" t="s">
        <v>1249</v>
      </c>
      <c r="C846" s="39" t="s">
        <v>17</v>
      </c>
      <c r="D846" s="236"/>
      <c r="E846" s="236"/>
      <c r="F846" s="236"/>
      <c r="G846" s="236"/>
      <c r="H846" s="40">
        <f>SUM(Tabla132112418[[#This Row],[PRIMER TRIMESTRE]:[CUARTO TRIMESTRE]])</f>
        <v>0</v>
      </c>
      <c r="I846" s="17">
        <v>230000</v>
      </c>
      <c r="J846" s="17">
        <f t="shared" si="23"/>
        <v>0</v>
      </c>
      <c r="K846" s="17"/>
      <c r="L846" s="16" t="s">
        <v>18</v>
      </c>
      <c r="M846" s="16" t="s">
        <v>22</v>
      </c>
      <c r="N846" s="39"/>
    </row>
    <row r="847" spans="1:14" s="12" customFormat="1" ht="18">
      <c r="A847" s="178" t="s">
        <v>97</v>
      </c>
      <c r="B847" s="75" t="s">
        <v>1250</v>
      </c>
      <c r="C847" s="39" t="s">
        <v>17</v>
      </c>
      <c r="D847" s="236"/>
      <c r="E847" s="236"/>
      <c r="F847" s="236"/>
      <c r="G847" s="236"/>
      <c r="H847" s="40">
        <f>SUM(Tabla132112418[[#This Row],[PRIMER TRIMESTRE]:[CUARTO TRIMESTRE]])</f>
        <v>0</v>
      </c>
      <c r="I847" s="17">
        <v>13700</v>
      </c>
      <c r="J847" s="17">
        <f t="shared" si="23"/>
        <v>0</v>
      </c>
      <c r="K847" s="17"/>
      <c r="L847" s="16" t="s">
        <v>18</v>
      </c>
      <c r="M847" s="16" t="s">
        <v>22</v>
      </c>
      <c r="N847" s="39"/>
    </row>
    <row r="848" spans="1:14" s="12" customFormat="1" ht="18">
      <c r="A848" s="178" t="s">
        <v>97</v>
      </c>
      <c r="B848" s="75" t="s">
        <v>1251</v>
      </c>
      <c r="C848" s="39" t="s">
        <v>17</v>
      </c>
      <c r="D848" s="236"/>
      <c r="E848" s="236"/>
      <c r="F848" s="236"/>
      <c r="G848" s="236"/>
      <c r="H848" s="40">
        <f>SUM(Tabla132112418[[#This Row],[PRIMER TRIMESTRE]:[CUARTO TRIMESTRE]])</f>
        <v>0</v>
      </c>
      <c r="I848" s="17">
        <v>205000</v>
      </c>
      <c r="J848" s="17">
        <f t="shared" si="23"/>
        <v>0</v>
      </c>
      <c r="K848" s="17"/>
      <c r="L848" s="16" t="s">
        <v>18</v>
      </c>
      <c r="M848" s="16" t="s">
        <v>22</v>
      </c>
      <c r="N848" s="39"/>
    </row>
    <row r="849" spans="1:14" s="12" customFormat="1" ht="18">
      <c r="A849" s="178" t="s">
        <v>97</v>
      </c>
      <c r="B849" s="75" t="s">
        <v>1252</v>
      </c>
      <c r="C849" s="39" t="s">
        <v>17</v>
      </c>
      <c r="D849" s="236"/>
      <c r="E849" s="236"/>
      <c r="F849" s="236"/>
      <c r="G849" s="236"/>
      <c r="H849" s="40">
        <f>SUM(Tabla132112418[[#This Row],[PRIMER TRIMESTRE]:[CUARTO TRIMESTRE]])</f>
        <v>0</v>
      </c>
      <c r="I849" s="17">
        <v>170000</v>
      </c>
      <c r="J849" s="17">
        <f t="shared" si="23"/>
        <v>0</v>
      </c>
      <c r="K849" s="17"/>
      <c r="L849" s="16" t="s">
        <v>18</v>
      </c>
      <c r="M849" s="16" t="s">
        <v>22</v>
      </c>
      <c r="N849" s="39"/>
    </row>
    <row r="850" spans="1:14" s="12" customFormat="1" ht="18">
      <c r="A850" s="178" t="s">
        <v>97</v>
      </c>
      <c r="B850" s="75" t="s">
        <v>1253</v>
      </c>
      <c r="C850" s="39" t="s">
        <v>17</v>
      </c>
      <c r="D850" s="236"/>
      <c r="E850" s="236"/>
      <c r="F850" s="236"/>
      <c r="G850" s="236"/>
      <c r="H850" s="40">
        <f>SUM(Tabla132112418[[#This Row],[PRIMER TRIMESTRE]:[CUARTO TRIMESTRE]])</f>
        <v>0</v>
      </c>
      <c r="I850" s="17">
        <v>155000</v>
      </c>
      <c r="J850" s="17">
        <f t="shared" si="23"/>
        <v>0</v>
      </c>
      <c r="K850" s="17"/>
      <c r="L850" s="16" t="s">
        <v>18</v>
      </c>
      <c r="M850" s="16" t="s">
        <v>22</v>
      </c>
      <c r="N850" s="39"/>
    </row>
    <row r="851" spans="1:14" s="12" customFormat="1" ht="18">
      <c r="A851" s="178" t="s">
        <v>97</v>
      </c>
      <c r="B851" s="75" t="s">
        <v>1254</v>
      </c>
      <c r="C851" s="39" t="s">
        <v>17</v>
      </c>
      <c r="D851" s="236"/>
      <c r="E851" s="236"/>
      <c r="F851" s="236"/>
      <c r="G851" s="236"/>
      <c r="H851" s="40">
        <f>SUM(Tabla132112418[[#This Row],[PRIMER TRIMESTRE]:[CUARTO TRIMESTRE]])</f>
        <v>0</v>
      </c>
      <c r="I851" s="17">
        <v>140000</v>
      </c>
      <c r="J851" s="17">
        <f t="shared" si="23"/>
        <v>0</v>
      </c>
      <c r="K851" s="17"/>
      <c r="L851" s="16" t="s">
        <v>18</v>
      </c>
      <c r="M851" s="16" t="s">
        <v>22</v>
      </c>
      <c r="N851" s="39"/>
    </row>
    <row r="852" spans="1:14" s="12" customFormat="1" ht="18">
      <c r="A852" s="178" t="s">
        <v>97</v>
      </c>
      <c r="B852" s="75" t="s">
        <v>1255</v>
      </c>
      <c r="C852" s="39" t="s">
        <v>17</v>
      </c>
      <c r="D852" s="236"/>
      <c r="E852" s="236"/>
      <c r="F852" s="236"/>
      <c r="G852" s="236"/>
      <c r="H852" s="40">
        <f>SUM(Tabla132112418[[#This Row],[PRIMER TRIMESTRE]:[CUARTO TRIMESTRE]])</f>
        <v>0</v>
      </c>
      <c r="I852" s="17">
        <v>115000</v>
      </c>
      <c r="J852" s="17">
        <f t="shared" si="23"/>
        <v>0</v>
      </c>
      <c r="K852" s="17"/>
      <c r="L852" s="16" t="s">
        <v>18</v>
      </c>
      <c r="M852" s="16" t="s">
        <v>22</v>
      </c>
      <c r="N852" s="39"/>
    </row>
    <row r="853" spans="1:14" s="12" customFormat="1" ht="18">
      <c r="A853" s="178" t="s">
        <v>97</v>
      </c>
      <c r="B853" s="75" t="s">
        <v>1256</v>
      </c>
      <c r="C853" s="39" t="s">
        <v>17</v>
      </c>
      <c r="D853" s="236"/>
      <c r="E853" s="236"/>
      <c r="F853" s="236"/>
      <c r="G853" s="236"/>
      <c r="H853" s="40">
        <f>SUM(Tabla132112418[[#This Row],[PRIMER TRIMESTRE]:[CUARTO TRIMESTRE]])</f>
        <v>0</v>
      </c>
      <c r="I853" s="17">
        <v>100000</v>
      </c>
      <c r="J853" s="17">
        <f t="shared" si="23"/>
        <v>0</v>
      </c>
      <c r="K853" s="17"/>
      <c r="L853" s="16" t="s">
        <v>18</v>
      </c>
      <c r="M853" s="16" t="s">
        <v>22</v>
      </c>
      <c r="N853" s="39"/>
    </row>
    <row r="854" spans="1:14" s="12" customFormat="1" ht="18">
      <c r="A854" s="178" t="s">
        <v>97</v>
      </c>
      <c r="B854" s="75" t="s">
        <v>1257</v>
      </c>
      <c r="C854" s="39" t="s">
        <v>17</v>
      </c>
      <c r="D854" s="236"/>
      <c r="E854" s="236"/>
      <c r="F854" s="236"/>
      <c r="G854" s="236"/>
      <c r="H854" s="40">
        <f>SUM(Tabla132112418[[#This Row],[PRIMER TRIMESTRE]:[CUARTO TRIMESTRE]])</f>
        <v>0</v>
      </c>
      <c r="I854" s="17">
        <v>80000</v>
      </c>
      <c r="J854" s="17">
        <f t="shared" si="23"/>
        <v>0</v>
      </c>
      <c r="K854" s="17"/>
      <c r="L854" s="16" t="s">
        <v>18</v>
      </c>
      <c r="M854" s="16" t="s">
        <v>22</v>
      </c>
      <c r="N854" s="39"/>
    </row>
    <row r="855" spans="1:14" s="12" customFormat="1" ht="18">
      <c r="A855" s="178" t="s">
        <v>97</v>
      </c>
      <c r="B855" s="75" t="s">
        <v>1258</v>
      </c>
      <c r="C855" s="39" t="s">
        <v>17</v>
      </c>
      <c r="D855" s="236"/>
      <c r="E855" s="236"/>
      <c r="F855" s="236"/>
      <c r="G855" s="236"/>
      <c r="H855" s="40">
        <f>SUM(Tabla132112418[[#This Row],[PRIMER TRIMESTRE]:[CUARTO TRIMESTRE]])</f>
        <v>0</v>
      </c>
      <c r="I855" s="17">
        <v>65000</v>
      </c>
      <c r="J855" s="17">
        <f t="shared" si="23"/>
        <v>0</v>
      </c>
      <c r="K855" s="17"/>
      <c r="L855" s="16" t="s">
        <v>18</v>
      </c>
      <c r="M855" s="16" t="s">
        <v>22</v>
      </c>
      <c r="N855" s="39"/>
    </row>
    <row r="856" spans="1:14" s="12" customFormat="1" ht="18">
      <c r="A856" s="178" t="s">
        <v>97</v>
      </c>
      <c r="B856" s="75" t="s">
        <v>1259</v>
      </c>
      <c r="C856" s="39" t="s">
        <v>17</v>
      </c>
      <c r="D856" s="236"/>
      <c r="E856" s="236"/>
      <c r="F856" s="236"/>
      <c r="G856" s="236"/>
      <c r="H856" s="40">
        <f>SUM(Tabla132112418[[#This Row],[PRIMER TRIMESTRE]:[CUARTO TRIMESTRE]])</f>
        <v>0</v>
      </c>
      <c r="I856" s="17">
        <v>50000</v>
      </c>
      <c r="J856" s="17">
        <f t="shared" si="23"/>
        <v>0</v>
      </c>
      <c r="K856" s="17"/>
      <c r="L856" s="16" t="s">
        <v>18</v>
      </c>
      <c r="M856" s="16" t="s">
        <v>22</v>
      </c>
      <c r="N856" s="39"/>
    </row>
    <row r="857" spans="1:14" s="12" customFormat="1" ht="18">
      <c r="A857" s="178" t="s">
        <v>97</v>
      </c>
      <c r="B857" s="75" t="s">
        <v>1260</v>
      </c>
      <c r="C857" s="39" t="s">
        <v>17</v>
      </c>
      <c r="D857" s="236"/>
      <c r="E857" s="236"/>
      <c r="F857" s="236"/>
      <c r="G857" s="236"/>
      <c r="H857" s="40">
        <f>SUM(Tabla132112418[[#This Row],[PRIMER TRIMESTRE]:[CUARTO TRIMESTRE]])</f>
        <v>0</v>
      </c>
      <c r="I857" s="17">
        <v>45000</v>
      </c>
      <c r="J857" s="17">
        <f t="shared" si="23"/>
        <v>0</v>
      </c>
      <c r="K857" s="17"/>
      <c r="L857" s="16" t="s">
        <v>18</v>
      </c>
      <c r="M857" s="16" t="s">
        <v>22</v>
      </c>
      <c r="N857" s="39"/>
    </row>
    <row r="858" spans="1:14" s="12" customFormat="1" ht="18">
      <c r="A858" s="178" t="s">
        <v>97</v>
      </c>
      <c r="B858" s="75" t="s">
        <v>1261</v>
      </c>
      <c r="C858" s="39" t="s">
        <v>17</v>
      </c>
      <c r="D858" s="236"/>
      <c r="E858" s="236"/>
      <c r="F858" s="236"/>
      <c r="G858" s="236"/>
      <c r="H858" s="40">
        <f>SUM(Tabla132112418[[#This Row],[PRIMER TRIMESTRE]:[CUARTO TRIMESTRE]])</f>
        <v>0</v>
      </c>
      <c r="I858" s="17">
        <v>40000</v>
      </c>
      <c r="J858" s="17">
        <f t="shared" si="23"/>
        <v>0</v>
      </c>
      <c r="K858" s="17"/>
      <c r="L858" s="16" t="s">
        <v>18</v>
      </c>
      <c r="M858" s="16" t="s">
        <v>22</v>
      </c>
      <c r="N858" s="39"/>
    </row>
    <row r="859" spans="1:14" s="12" customFormat="1" ht="18">
      <c r="A859" s="178" t="s">
        <v>97</v>
      </c>
      <c r="B859" s="75" t="s">
        <v>1262</v>
      </c>
      <c r="C859" s="39" t="s">
        <v>17</v>
      </c>
      <c r="D859" s="236"/>
      <c r="E859" s="236"/>
      <c r="F859" s="236"/>
      <c r="G859" s="236"/>
      <c r="H859" s="40">
        <f>SUM(Tabla132112418[[#This Row],[PRIMER TRIMESTRE]:[CUARTO TRIMESTRE]])</f>
        <v>0</v>
      </c>
      <c r="I859" s="17">
        <v>30000</v>
      </c>
      <c r="J859" s="17">
        <f t="shared" si="23"/>
        <v>0</v>
      </c>
      <c r="K859" s="17"/>
      <c r="L859" s="16" t="s">
        <v>18</v>
      </c>
      <c r="M859" s="16" t="s">
        <v>22</v>
      </c>
      <c r="N859" s="39"/>
    </row>
    <row r="860" spans="1:14" s="12" customFormat="1" ht="18">
      <c r="A860" s="178" t="s">
        <v>97</v>
      </c>
      <c r="B860" s="75" t="s">
        <v>1263</v>
      </c>
      <c r="C860" s="39" t="s">
        <v>17</v>
      </c>
      <c r="D860" s="236"/>
      <c r="E860" s="236"/>
      <c r="F860" s="236"/>
      <c r="G860" s="236"/>
      <c r="H860" s="40">
        <f>SUM(Tabla132112418[[#This Row],[PRIMER TRIMESTRE]:[CUARTO TRIMESTRE]])</f>
        <v>0</v>
      </c>
      <c r="I860" s="17">
        <v>26000</v>
      </c>
      <c r="J860" s="17">
        <f t="shared" si="23"/>
        <v>0</v>
      </c>
      <c r="K860" s="17"/>
      <c r="L860" s="16" t="s">
        <v>18</v>
      </c>
      <c r="M860" s="16" t="s">
        <v>22</v>
      </c>
      <c r="N860" s="39"/>
    </row>
    <row r="861" spans="1:14" s="12" customFormat="1" ht="18">
      <c r="A861" s="178" t="s">
        <v>97</v>
      </c>
      <c r="B861" s="75" t="s">
        <v>1264</v>
      </c>
      <c r="C861" s="39" t="s">
        <v>17</v>
      </c>
      <c r="D861" s="236"/>
      <c r="E861" s="236"/>
      <c r="F861" s="236"/>
      <c r="G861" s="236"/>
      <c r="H861" s="40">
        <f>SUM(Tabla132112418[[#This Row],[PRIMER TRIMESTRE]:[CUARTO TRIMESTRE]])</f>
        <v>0</v>
      </c>
      <c r="I861" s="17">
        <v>24000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</row>
    <row r="862" spans="1:14" s="12" customFormat="1" ht="18">
      <c r="A862" s="178" t="s">
        <v>97</v>
      </c>
      <c r="B862" s="75" t="s">
        <v>1265</v>
      </c>
      <c r="C862" s="39" t="s">
        <v>17</v>
      </c>
      <c r="D862" s="236"/>
      <c r="E862" s="236"/>
      <c r="F862" s="236"/>
      <c r="G862" s="236"/>
      <c r="H862" s="40">
        <f>SUM(Tabla132112418[[#This Row],[PRIMER TRIMESTRE]:[CUARTO TRIMESTRE]])</f>
        <v>0</v>
      </c>
      <c r="I862" s="17">
        <v>20000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</row>
    <row r="863" spans="1:14" s="12" customFormat="1" ht="18">
      <c r="A863" s="178" t="s">
        <v>97</v>
      </c>
      <c r="B863" s="75" t="s">
        <v>1266</v>
      </c>
      <c r="C863" s="39" t="s">
        <v>17</v>
      </c>
      <c r="D863" s="236"/>
      <c r="E863" s="236"/>
      <c r="F863" s="236"/>
      <c r="G863" s="236"/>
      <c r="H863" s="40">
        <f>SUM(Tabla132112418[[#This Row],[PRIMER TRIMESTRE]:[CUARTO TRIMESTRE]])</f>
        <v>0</v>
      </c>
      <c r="I863" s="17">
        <v>18000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</row>
    <row r="864" spans="1:14" s="12" customFormat="1" ht="18">
      <c r="A864" s="178" t="s">
        <v>97</v>
      </c>
      <c r="B864" s="75" t="s">
        <v>1267</v>
      </c>
      <c r="C864" s="39" t="s">
        <v>17</v>
      </c>
      <c r="D864" s="236"/>
      <c r="E864" s="236"/>
      <c r="F864" s="236"/>
      <c r="G864" s="236"/>
      <c r="H864" s="40">
        <f>SUM(Tabla132112418[[#This Row],[PRIMER TRIMESTRE]:[CUARTO TRIMESTRE]])</f>
        <v>0</v>
      </c>
      <c r="I864" s="17">
        <v>15000</v>
      </c>
      <c r="J864" s="17">
        <f t="shared" si="23"/>
        <v>0</v>
      </c>
      <c r="K864" s="17"/>
      <c r="L864" s="16" t="s">
        <v>18</v>
      </c>
      <c r="M864" s="16" t="s">
        <v>22</v>
      </c>
      <c r="N864" s="39"/>
    </row>
    <row r="865" spans="1:14" s="12" customFormat="1" ht="30.75" customHeight="1">
      <c r="A865" s="178" t="s">
        <v>97</v>
      </c>
      <c r="B865" s="75" t="s">
        <v>1268</v>
      </c>
      <c r="C865" s="39" t="s">
        <v>17</v>
      </c>
      <c r="D865" s="236"/>
      <c r="E865" s="236"/>
      <c r="F865" s="236"/>
      <c r="G865" s="236"/>
      <c r="H865" s="40">
        <f>SUM(Tabla132112418[[#This Row],[PRIMER TRIMESTRE]:[CUARTO TRIMESTRE]])</f>
        <v>0</v>
      </c>
      <c r="I865" s="17">
        <v>61000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</row>
    <row r="866" spans="1:14" s="12" customFormat="1" ht="30.75" customHeight="1">
      <c r="A866" s="178" t="s">
        <v>97</v>
      </c>
      <c r="B866" s="75" t="s">
        <v>221</v>
      </c>
      <c r="C866" s="39" t="s">
        <v>17</v>
      </c>
      <c r="D866" s="236"/>
      <c r="E866" s="236"/>
      <c r="F866" s="236"/>
      <c r="G866" s="236"/>
      <c r="H866" s="40">
        <f>SUM(Tabla132112418[[#This Row],[PRIMER TRIMESTRE]:[CUARTO TRIMESTRE]])</f>
        <v>0</v>
      </c>
      <c r="I866" s="17">
        <v>100060.44</v>
      </c>
      <c r="J866" s="17">
        <f>+Tabla132112418[[#This Row],[CANTIDAD TOTAL]]*Tabla132112418[[#This Row],[PRECIO UNITARIO ESTIMADO]]</f>
        <v>0</v>
      </c>
      <c r="K866" s="17"/>
      <c r="L866" s="16" t="s">
        <v>18</v>
      </c>
      <c r="M866" s="16" t="s">
        <v>22</v>
      </c>
      <c r="N866" s="39"/>
    </row>
    <row r="867" spans="1:14" s="12" customFormat="1" ht="30.75" customHeight="1">
      <c r="A867" s="178" t="s">
        <v>97</v>
      </c>
      <c r="B867" s="75" t="s">
        <v>222</v>
      </c>
      <c r="C867" s="39" t="s">
        <v>17</v>
      </c>
      <c r="D867" s="236"/>
      <c r="E867" s="236"/>
      <c r="F867" s="236"/>
      <c r="G867" s="236"/>
      <c r="H867" s="40">
        <f>SUM(Tabla132112418[[#This Row],[PRIMER TRIMESTRE]:[CUARTO TRIMESTRE]])</f>
        <v>0</v>
      </c>
      <c r="I867" s="17">
        <v>327948.84999999998</v>
      </c>
      <c r="J867" s="17">
        <f>+Tabla132112418[[#This Row],[CANTIDAD TOTAL]]*Tabla132112418[[#This Row],[PRECIO UNITARIO ESTIMADO]]</f>
        <v>0</v>
      </c>
      <c r="K867" s="17"/>
      <c r="L867" s="16" t="s">
        <v>18</v>
      </c>
      <c r="M867" s="16" t="s">
        <v>22</v>
      </c>
      <c r="N867" s="39"/>
    </row>
    <row r="868" spans="1:14" s="12" customFormat="1" ht="30.75" customHeight="1">
      <c r="A868" s="178" t="s">
        <v>97</v>
      </c>
      <c r="B868" s="75" t="s">
        <v>223</v>
      </c>
      <c r="C868" s="39" t="s">
        <v>17</v>
      </c>
      <c r="D868" s="236"/>
      <c r="E868" s="236"/>
      <c r="F868" s="236"/>
      <c r="G868" s="236"/>
      <c r="H868" s="40">
        <f>SUM(Tabla132112418[[#This Row],[PRIMER TRIMESTRE]:[CUARTO TRIMESTRE]])</f>
        <v>0</v>
      </c>
      <c r="I868" s="17">
        <v>16744.599999999999</v>
      </c>
      <c r="J868" s="17">
        <f>+Tabla132112418[[#This Row],[CANTIDAD TOTAL]]*Tabla132112418[[#This Row],[PRECIO UNITARIO ESTIMADO]]</f>
        <v>0</v>
      </c>
      <c r="K868" s="17"/>
      <c r="L868" s="16" t="s">
        <v>18</v>
      </c>
      <c r="M868" s="16" t="s">
        <v>22</v>
      </c>
      <c r="N868" s="39"/>
    </row>
    <row r="869" spans="1:14" s="26" customFormat="1" ht="30.75" customHeight="1">
      <c r="A869" s="178" t="s">
        <v>97</v>
      </c>
      <c r="B869" s="75" t="s">
        <v>224</v>
      </c>
      <c r="C869" s="39" t="s">
        <v>17</v>
      </c>
      <c r="D869" s="236"/>
      <c r="E869" s="236"/>
      <c r="F869" s="236"/>
      <c r="G869" s="236"/>
      <c r="H869" s="40">
        <f>SUM(Tabla132112418[[#This Row],[PRIMER TRIMESTRE]:[CUARTO TRIMESTRE]])</f>
        <v>0</v>
      </c>
      <c r="I869" s="17">
        <v>52380.2</v>
      </c>
      <c r="J869" s="17">
        <f>+Tabla132112418[[#This Row],[CANTIDAD TOTAL]]*Tabla132112418[[#This Row],[PRECIO UNITARIO ESTIMADO]]</f>
        <v>0</v>
      </c>
      <c r="K869" s="17"/>
      <c r="L869" s="16" t="s">
        <v>18</v>
      </c>
      <c r="M869" s="16" t="s">
        <v>22</v>
      </c>
      <c r="N869" s="39"/>
    </row>
    <row r="870" spans="1:14" s="26" customFormat="1" ht="30.75" customHeight="1">
      <c r="A870" s="178" t="s">
        <v>97</v>
      </c>
      <c r="B870" s="75" t="s">
        <v>225</v>
      </c>
      <c r="C870" s="39" t="s">
        <v>17</v>
      </c>
      <c r="D870" s="236"/>
      <c r="E870" s="236"/>
      <c r="F870" s="236"/>
      <c r="G870" s="236"/>
      <c r="H870" s="40">
        <f>SUM(Tabla132112418[[#This Row],[PRIMER TRIMESTRE]:[CUARTO TRIMESTRE]])</f>
        <v>0</v>
      </c>
      <c r="I870" s="17">
        <v>99342.399999999994</v>
      </c>
      <c r="J870" s="17">
        <f>+Tabla132112418[[#This Row],[CANTIDAD TOTAL]]*Tabla132112418[[#This Row],[PRECIO UNITARIO ESTIMADO]]</f>
        <v>0</v>
      </c>
      <c r="K870" s="17"/>
      <c r="L870" s="16" t="s">
        <v>18</v>
      </c>
      <c r="M870" s="16" t="s">
        <v>22</v>
      </c>
      <c r="N870" s="39"/>
    </row>
    <row r="871" spans="1:14" s="26" customFormat="1" ht="30.75" customHeight="1">
      <c r="A871" s="179" t="s">
        <v>97</v>
      </c>
      <c r="B871" s="76"/>
      <c r="C871" s="42"/>
      <c r="D871" s="237"/>
      <c r="E871" s="237"/>
      <c r="F871" s="237"/>
      <c r="G871" s="237"/>
      <c r="H871" s="43"/>
      <c r="I871" s="24"/>
      <c r="J871" s="24"/>
      <c r="K871" s="25">
        <f>SUM(J811:J870)</f>
        <v>0</v>
      </c>
      <c r="L871" s="23"/>
      <c r="M871" s="23"/>
      <c r="N871" s="42"/>
    </row>
    <row r="872" spans="1:14" s="26" customFormat="1" ht="30.75" customHeight="1">
      <c r="A872" s="178" t="s">
        <v>948</v>
      </c>
      <c r="B872" s="75" t="s">
        <v>949</v>
      </c>
      <c r="C872" s="39" t="s">
        <v>17</v>
      </c>
      <c r="D872" s="236"/>
      <c r="E872" s="236"/>
      <c r="F872" s="236"/>
      <c r="G872" s="236"/>
      <c r="H872" s="40">
        <f>SUM(Tabla132112418[[#This Row],[PRIMER TRIMESTRE]:[CUARTO TRIMESTRE]])</f>
        <v>0</v>
      </c>
      <c r="I872" s="17">
        <v>227000</v>
      </c>
      <c r="J872" s="17">
        <f t="shared" ref="J872:J883" si="24">+H872*I872</f>
        <v>0</v>
      </c>
      <c r="K872" s="17"/>
      <c r="L872" s="16" t="s">
        <v>18</v>
      </c>
      <c r="M872" s="16" t="s">
        <v>22</v>
      </c>
      <c r="N872" s="16"/>
    </row>
    <row r="873" spans="1:14" s="26" customFormat="1" ht="30.75" customHeight="1">
      <c r="A873" s="178" t="s">
        <v>948</v>
      </c>
      <c r="B873" s="75" t="s">
        <v>950</v>
      </c>
      <c r="C873" s="39" t="s">
        <v>17</v>
      </c>
      <c r="D873" s="236"/>
      <c r="E873" s="236"/>
      <c r="F873" s="236"/>
      <c r="G873" s="236"/>
      <c r="H873" s="40">
        <f>SUM(Tabla132112418[[#This Row],[PRIMER TRIMESTRE]:[CUARTO TRIMESTRE]])</f>
        <v>0</v>
      </c>
      <c r="I873" s="17">
        <v>1118000</v>
      </c>
      <c r="J873" s="17">
        <f t="shared" si="24"/>
        <v>0</v>
      </c>
      <c r="K873" s="17"/>
      <c r="L873" s="16" t="s">
        <v>18</v>
      </c>
      <c r="M873" s="16" t="s">
        <v>22</v>
      </c>
      <c r="N873" s="16"/>
    </row>
    <row r="874" spans="1:14" s="26" customFormat="1" ht="30.75" customHeight="1">
      <c r="A874" s="178" t="s">
        <v>948</v>
      </c>
      <c r="B874" s="75" t="s">
        <v>952</v>
      </c>
      <c r="C874" s="39" t="s">
        <v>17</v>
      </c>
      <c r="D874" s="236"/>
      <c r="E874" s="236"/>
      <c r="F874" s="236"/>
      <c r="G874" s="236"/>
      <c r="H874" s="40">
        <f>SUM(Tabla132112418[[#This Row],[PRIMER TRIMESTRE]:[CUARTO TRIMESTRE]])</f>
        <v>0</v>
      </c>
      <c r="I874" s="17">
        <v>3200</v>
      </c>
      <c r="J874" s="17">
        <f t="shared" si="24"/>
        <v>0</v>
      </c>
      <c r="K874" s="17"/>
      <c r="L874" s="16" t="s">
        <v>18</v>
      </c>
      <c r="M874" s="16" t="s">
        <v>22</v>
      </c>
      <c r="N874" s="39"/>
    </row>
    <row r="875" spans="1:14" s="26" customFormat="1" ht="30.75" customHeight="1">
      <c r="A875" s="178" t="s">
        <v>948</v>
      </c>
      <c r="B875" s="75" t="s">
        <v>953</v>
      </c>
      <c r="C875" s="39" t="s">
        <v>17</v>
      </c>
      <c r="D875" s="236"/>
      <c r="E875" s="236"/>
      <c r="F875" s="236"/>
      <c r="G875" s="236"/>
      <c r="H875" s="40">
        <f>SUM(Tabla132112418[[#This Row],[PRIMER TRIMESTRE]:[CUARTO TRIMESTRE]])</f>
        <v>0</v>
      </c>
      <c r="I875" s="17">
        <v>96.7</v>
      </c>
      <c r="J875" s="17">
        <f t="shared" si="24"/>
        <v>0</v>
      </c>
      <c r="K875" s="17"/>
      <c r="L875" s="16" t="s">
        <v>18</v>
      </c>
      <c r="M875" s="16" t="s">
        <v>22</v>
      </c>
      <c r="N875" s="39"/>
    </row>
    <row r="876" spans="1:14" s="26" customFormat="1" ht="30.75" customHeight="1">
      <c r="A876" s="178" t="s">
        <v>948</v>
      </c>
      <c r="B876" s="75" t="s">
        <v>954</v>
      </c>
      <c r="C876" s="39" t="s">
        <v>17</v>
      </c>
      <c r="D876" s="236"/>
      <c r="E876" s="236"/>
      <c r="F876" s="236"/>
      <c r="G876" s="236"/>
      <c r="H876" s="40">
        <f>SUM(Tabla132112418[[#This Row],[PRIMER TRIMESTRE]:[CUARTO TRIMESTRE]])</f>
        <v>0</v>
      </c>
      <c r="I876" s="17">
        <v>113850</v>
      </c>
      <c r="J876" s="17">
        <f t="shared" si="24"/>
        <v>0</v>
      </c>
      <c r="K876" s="17"/>
      <c r="L876" s="16" t="s">
        <v>18</v>
      </c>
      <c r="M876" s="16" t="s">
        <v>22</v>
      </c>
      <c r="N876" s="39"/>
    </row>
    <row r="877" spans="1:14" s="26" customFormat="1" ht="30.75" customHeight="1">
      <c r="A877" s="178" t="s">
        <v>948</v>
      </c>
      <c r="B877" s="75" t="s">
        <v>955</v>
      </c>
      <c r="C877" s="39" t="s">
        <v>17</v>
      </c>
      <c r="D877" s="236"/>
      <c r="E877" s="236"/>
      <c r="F877" s="236"/>
      <c r="G877" s="236"/>
      <c r="H877" s="40">
        <f>SUM(Tabla132112418[[#This Row],[PRIMER TRIMESTRE]:[CUARTO TRIMESTRE]])</f>
        <v>0</v>
      </c>
      <c r="I877" s="17">
        <v>57914</v>
      </c>
      <c r="J877" s="17">
        <f t="shared" si="24"/>
        <v>0</v>
      </c>
      <c r="K877" s="17"/>
      <c r="L877" s="16" t="s">
        <v>18</v>
      </c>
      <c r="M877" s="16" t="s">
        <v>22</v>
      </c>
      <c r="N877" s="39"/>
    </row>
    <row r="878" spans="1:14" s="26" customFormat="1" ht="30.75" customHeight="1">
      <c r="A878" s="178" t="s">
        <v>948</v>
      </c>
      <c r="B878" s="75" t="s">
        <v>956</v>
      </c>
      <c r="C878" s="39" t="s">
        <v>17</v>
      </c>
      <c r="D878" s="236"/>
      <c r="E878" s="236"/>
      <c r="F878" s="236"/>
      <c r="G878" s="236"/>
      <c r="H878" s="40">
        <f>SUM(Tabla132112418[[#This Row],[PRIMER TRIMESTRE]:[CUARTO TRIMESTRE]])</f>
        <v>0</v>
      </c>
      <c r="I878" s="17">
        <v>908000</v>
      </c>
      <c r="J878" s="17">
        <f t="shared" si="24"/>
        <v>0</v>
      </c>
      <c r="K878" s="17"/>
      <c r="L878" s="16" t="s">
        <v>18</v>
      </c>
      <c r="M878" s="16" t="s">
        <v>22</v>
      </c>
      <c r="N878" s="39"/>
    </row>
    <row r="879" spans="1:14" s="26" customFormat="1" ht="30.75" customHeight="1">
      <c r="A879" s="178" t="s">
        <v>948</v>
      </c>
      <c r="B879" s="75" t="s">
        <v>957</v>
      </c>
      <c r="C879" s="39" t="s">
        <v>17</v>
      </c>
      <c r="D879" s="236"/>
      <c r="E879" s="236"/>
      <c r="F879" s="236"/>
      <c r="G879" s="236"/>
      <c r="H879" s="40">
        <f>SUM(Tabla132112418[[#This Row],[PRIMER TRIMESTRE]:[CUARTO TRIMESTRE]])</f>
        <v>0</v>
      </c>
      <c r="I879" s="17">
        <v>10000</v>
      </c>
      <c r="J879" s="17">
        <f t="shared" si="24"/>
        <v>0</v>
      </c>
      <c r="K879" s="17"/>
      <c r="L879" s="16" t="s">
        <v>18</v>
      </c>
      <c r="M879" s="16" t="s">
        <v>22</v>
      </c>
      <c r="N879" s="39"/>
    </row>
    <row r="880" spans="1:14" s="26" customFormat="1" ht="30.75" customHeight="1">
      <c r="A880" s="178" t="s">
        <v>948</v>
      </c>
      <c r="B880" s="75" t="s">
        <v>958</v>
      </c>
      <c r="C880" s="39" t="s">
        <v>17</v>
      </c>
      <c r="D880" s="236"/>
      <c r="E880" s="236"/>
      <c r="F880" s="236"/>
      <c r="G880" s="236"/>
      <c r="H880" s="40">
        <f>SUM(Tabla132112418[[#This Row],[PRIMER TRIMESTRE]:[CUARTO TRIMESTRE]])</f>
        <v>0</v>
      </c>
      <c r="I880" s="17">
        <v>37500</v>
      </c>
      <c r="J880" s="17">
        <f t="shared" si="24"/>
        <v>0</v>
      </c>
      <c r="K880" s="17"/>
      <c r="L880" s="16" t="s">
        <v>18</v>
      </c>
      <c r="M880" s="16" t="s">
        <v>22</v>
      </c>
      <c r="N880" s="39"/>
    </row>
    <row r="881" spans="1:14" s="26" customFormat="1" ht="30.75" customHeight="1">
      <c r="A881" s="178" t="s">
        <v>948</v>
      </c>
      <c r="B881" s="75" t="s">
        <v>951</v>
      </c>
      <c r="C881" s="39" t="s">
        <v>17</v>
      </c>
      <c r="D881" s="236"/>
      <c r="E881" s="236"/>
      <c r="F881" s="236"/>
      <c r="G881" s="236"/>
      <c r="H881" s="40">
        <f>SUM(Tabla132112418[[#This Row],[PRIMER TRIMESTRE]:[CUARTO TRIMESTRE]])</f>
        <v>0</v>
      </c>
      <c r="I881" s="17">
        <v>120</v>
      </c>
      <c r="J881" s="17">
        <f t="shared" si="24"/>
        <v>0</v>
      </c>
      <c r="K881" s="17"/>
      <c r="L881" s="16" t="s">
        <v>18</v>
      </c>
      <c r="M881" s="16" t="s">
        <v>22</v>
      </c>
      <c r="N881" s="39"/>
    </row>
    <row r="882" spans="1:14" s="26" customFormat="1" ht="30.75" customHeight="1">
      <c r="A882" s="178" t="s">
        <v>948</v>
      </c>
      <c r="B882" s="75" t="s">
        <v>959</v>
      </c>
      <c r="C882" s="39" t="s">
        <v>17</v>
      </c>
      <c r="D882" s="236"/>
      <c r="E882" s="236"/>
      <c r="F882" s="236"/>
      <c r="G882" s="236"/>
      <c r="H882" s="40">
        <f>SUM(Tabla132112418[[#This Row],[PRIMER TRIMESTRE]:[CUARTO TRIMESTRE]])</f>
        <v>0</v>
      </c>
      <c r="I882" s="17">
        <v>2627</v>
      </c>
      <c r="J882" s="17">
        <f t="shared" si="24"/>
        <v>0</v>
      </c>
      <c r="K882" s="17"/>
      <c r="L882" s="16" t="s">
        <v>18</v>
      </c>
      <c r="M882" s="16" t="s">
        <v>22</v>
      </c>
      <c r="N882" s="39"/>
    </row>
    <row r="883" spans="1:14" s="12" customFormat="1" ht="30.75" customHeight="1">
      <c r="A883" s="178" t="s">
        <v>948</v>
      </c>
      <c r="B883" s="75" t="s">
        <v>963</v>
      </c>
      <c r="C883" s="39" t="s">
        <v>17</v>
      </c>
      <c r="D883" s="236"/>
      <c r="E883" s="236"/>
      <c r="F883" s="236"/>
      <c r="G883" s="236"/>
      <c r="H883" s="40">
        <f>SUM(Tabla132112418[[#This Row],[PRIMER TRIMESTRE]:[CUARTO TRIMESTRE]])</f>
        <v>0</v>
      </c>
      <c r="I883" s="17">
        <v>2552.54</v>
      </c>
      <c r="J883" s="17">
        <f t="shared" si="24"/>
        <v>0</v>
      </c>
      <c r="K883" s="17"/>
      <c r="L883" s="16" t="s">
        <v>18</v>
      </c>
      <c r="M883" s="16" t="s">
        <v>22</v>
      </c>
      <c r="N883" s="39"/>
    </row>
    <row r="884" spans="1:14" s="12" customFormat="1" ht="30.75" customHeight="1">
      <c r="A884" s="179" t="s">
        <v>948</v>
      </c>
      <c r="B884" s="76"/>
      <c r="C884" s="42"/>
      <c r="D884" s="237"/>
      <c r="E884" s="237"/>
      <c r="F884" s="237"/>
      <c r="G884" s="237"/>
      <c r="H884" s="42"/>
      <c r="I884" s="42"/>
      <c r="J884" s="42"/>
      <c r="K884" s="25">
        <f>SUM(J872:J883)</f>
        <v>0</v>
      </c>
      <c r="L884" s="23"/>
      <c r="M884" s="23"/>
      <c r="N884" s="42"/>
    </row>
    <row r="885" spans="1:14" s="12" customFormat="1" ht="30.75" customHeight="1">
      <c r="A885" s="178" t="s">
        <v>99</v>
      </c>
      <c r="B885" s="75" t="s">
        <v>1856</v>
      </c>
      <c r="C885" s="176" t="s">
        <v>17</v>
      </c>
      <c r="D885" s="75"/>
      <c r="E885" s="75"/>
      <c r="F885" s="75"/>
      <c r="G885" s="75"/>
      <c r="H885" s="75">
        <v>0</v>
      </c>
      <c r="I885" s="75">
        <v>0</v>
      </c>
      <c r="J885" s="75">
        <v>0</v>
      </c>
      <c r="K885" s="75"/>
      <c r="L885" s="16" t="s">
        <v>18</v>
      </c>
      <c r="M885" s="16" t="s">
        <v>22</v>
      </c>
      <c r="N885" s="39" t="s">
        <v>418</v>
      </c>
    </row>
    <row r="886" spans="1:14" s="12" customFormat="1" ht="37.5" customHeight="1">
      <c r="A886" s="178" t="s">
        <v>99</v>
      </c>
      <c r="B886" s="75" t="s">
        <v>1857</v>
      </c>
      <c r="C886" s="176" t="s">
        <v>17</v>
      </c>
      <c r="D886" s="178"/>
      <c r="E886" s="178"/>
      <c r="F886" s="178"/>
      <c r="G886" s="178"/>
      <c r="H886" s="178">
        <v>0</v>
      </c>
      <c r="I886" s="178">
        <v>0</v>
      </c>
      <c r="J886" s="178">
        <v>0</v>
      </c>
      <c r="K886" s="178"/>
      <c r="L886" s="16" t="s">
        <v>18</v>
      </c>
      <c r="M886" s="16" t="s">
        <v>22</v>
      </c>
      <c r="N886" s="39" t="s">
        <v>418</v>
      </c>
    </row>
    <row r="887" spans="1:14" s="12" customFormat="1" ht="30.75" customHeight="1">
      <c r="A887" s="178" t="s">
        <v>99</v>
      </c>
      <c r="B887" s="75" t="s">
        <v>1858</v>
      </c>
      <c r="C887" s="176" t="s">
        <v>17</v>
      </c>
      <c r="D887" s="75"/>
      <c r="E887" s="75"/>
      <c r="F887" s="75"/>
      <c r="G887" s="75"/>
      <c r="H887" s="75">
        <v>0</v>
      </c>
      <c r="I887" s="75">
        <v>0</v>
      </c>
      <c r="J887" s="75">
        <v>0</v>
      </c>
      <c r="K887" s="75"/>
      <c r="L887" s="16" t="s">
        <v>18</v>
      </c>
      <c r="M887" s="16" t="s">
        <v>22</v>
      </c>
      <c r="N887" s="39" t="s">
        <v>418</v>
      </c>
    </row>
    <row r="888" spans="1:14" s="12" customFormat="1" ht="30.75" customHeight="1">
      <c r="A888" s="178" t="s">
        <v>99</v>
      </c>
      <c r="B888" s="75" t="s">
        <v>1859</v>
      </c>
      <c r="C888" s="176" t="s">
        <v>290</v>
      </c>
      <c r="D888" s="75"/>
      <c r="E888" s="75"/>
      <c r="F888" s="75"/>
      <c r="G888" s="75"/>
      <c r="H888" s="75">
        <v>0</v>
      </c>
      <c r="I888" s="75">
        <v>0</v>
      </c>
      <c r="J888" s="75">
        <v>0</v>
      </c>
      <c r="K888" s="75"/>
      <c r="L888" s="16" t="s">
        <v>18</v>
      </c>
      <c r="M888" s="16" t="s">
        <v>22</v>
      </c>
      <c r="N888" s="39" t="s">
        <v>418</v>
      </c>
    </row>
    <row r="889" spans="1:14" s="12" customFormat="1" ht="30.75" customHeight="1">
      <c r="A889" s="178" t="s">
        <v>99</v>
      </c>
      <c r="B889" s="75" t="s">
        <v>1650</v>
      </c>
      <c r="C889" s="176" t="s">
        <v>290</v>
      </c>
      <c r="D889" s="75"/>
      <c r="E889" s="75"/>
      <c r="F889" s="75"/>
      <c r="G889" s="75"/>
      <c r="H889" s="75">
        <v>0</v>
      </c>
      <c r="I889" s="75">
        <v>0</v>
      </c>
      <c r="J889" s="75">
        <v>0</v>
      </c>
      <c r="K889" s="75"/>
      <c r="L889" s="16" t="s">
        <v>18</v>
      </c>
      <c r="M889" s="16" t="s">
        <v>22</v>
      </c>
      <c r="N889" s="39" t="s">
        <v>418</v>
      </c>
    </row>
    <row r="890" spans="1:14" s="12" customFormat="1" ht="30.75" customHeight="1">
      <c r="A890" s="178" t="s">
        <v>99</v>
      </c>
      <c r="B890" s="75" t="s">
        <v>306</v>
      </c>
      <c r="C890" s="39" t="s">
        <v>33</v>
      </c>
      <c r="D890" s="236"/>
      <c r="E890" s="236"/>
      <c r="F890" s="236"/>
      <c r="G890" s="236"/>
      <c r="H890" s="40">
        <f>SUM(Tabla132112418[[#This Row],[PRIMER TRIMESTRE]:[CUARTO TRIMESTRE]])</f>
        <v>0</v>
      </c>
      <c r="I890" s="17">
        <v>260</v>
      </c>
      <c r="J890" s="17">
        <f>+Tabla132112418[[#This Row],[CANTIDAD TOTAL]]*Tabla132112418[[#This Row],[PRECIO UNITARIO ESTIMADO]]</f>
        <v>0</v>
      </c>
      <c r="K890" s="17"/>
      <c r="L890" s="16" t="s">
        <v>18</v>
      </c>
      <c r="M890" s="16" t="s">
        <v>22</v>
      </c>
      <c r="N890" s="39" t="s">
        <v>418</v>
      </c>
    </row>
    <row r="891" spans="1:14" s="12" customFormat="1" ht="30.75" customHeight="1">
      <c r="A891" s="178" t="s">
        <v>99</v>
      </c>
      <c r="B891" s="75" t="s">
        <v>307</v>
      </c>
      <c r="C891" s="39" t="s">
        <v>308</v>
      </c>
      <c r="D891" s="236"/>
      <c r="E891" s="236"/>
      <c r="F891" s="236"/>
      <c r="G891" s="236"/>
      <c r="H891" s="40">
        <f>SUM(Tabla132112418[[#This Row],[PRIMER TRIMESTRE]:[CUARTO TRIMESTRE]])</f>
        <v>0</v>
      </c>
      <c r="I891" s="17">
        <v>1237.82</v>
      </c>
      <c r="J891" s="17">
        <f>+Tabla132112418[[#This Row],[CANTIDAD TOTAL]]*Tabla132112418[[#This Row],[PRECIO UNITARIO ESTIMADO]]</f>
        <v>0</v>
      </c>
      <c r="K891" s="17"/>
      <c r="L891" s="16" t="s">
        <v>18</v>
      </c>
      <c r="M891" s="16" t="s">
        <v>22</v>
      </c>
      <c r="N891" s="39" t="s">
        <v>418</v>
      </c>
    </row>
    <row r="892" spans="1:14" s="12" customFormat="1" ht="30.75" customHeight="1">
      <c r="A892" s="178" t="s">
        <v>99</v>
      </c>
      <c r="B892" s="75" t="s">
        <v>309</v>
      </c>
      <c r="C892" s="39" t="s">
        <v>308</v>
      </c>
      <c r="D892" s="236"/>
      <c r="E892" s="236"/>
      <c r="F892" s="236"/>
      <c r="G892" s="236"/>
      <c r="H892" s="40">
        <f>SUM(Tabla132112418[[#This Row],[PRIMER TRIMESTRE]:[CUARTO TRIMESTRE]])</f>
        <v>0</v>
      </c>
      <c r="I892" s="17">
        <v>1770</v>
      </c>
      <c r="J892" s="17">
        <f>+Tabla132112418[[#This Row],[CANTIDAD TOTAL]]*Tabla132112418[[#This Row],[PRECIO UNITARIO ESTIMADO]]</f>
        <v>0</v>
      </c>
      <c r="K892" s="17"/>
      <c r="L892" s="16" t="s">
        <v>18</v>
      </c>
      <c r="M892" s="16" t="s">
        <v>22</v>
      </c>
      <c r="N892" s="39" t="s">
        <v>418</v>
      </c>
    </row>
    <row r="893" spans="1:14" s="12" customFormat="1" ht="30.75" customHeight="1">
      <c r="A893" s="178" t="s">
        <v>99</v>
      </c>
      <c r="B893" s="75" t="s">
        <v>230</v>
      </c>
      <c r="C893" s="39" t="s">
        <v>17</v>
      </c>
      <c r="D893" s="236"/>
      <c r="E893" s="236"/>
      <c r="F893" s="236"/>
      <c r="G893" s="236"/>
      <c r="H893" s="40">
        <f>SUM(Tabla132112418[[#This Row],[PRIMER TRIMESTRE]:[CUARTO TRIMESTRE]])</f>
        <v>0</v>
      </c>
      <c r="I893" s="17">
        <v>1740</v>
      </c>
      <c r="J893" s="17">
        <f>+Tabla132112418[[#This Row],[CANTIDAD TOTAL]]*Tabla132112418[[#This Row],[PRECIO UNITARIO ESTIMADO]]</f>
        <v>0</v>
      </c>
      <c r="K893" s="17"/>
      <c r="L893" s="16" t="s">
        <v>18</v>
      </c>
      <c r="M893" s="16" t="s">
        <v>22</v>
      </c>
      <c r="N893" s="39" t="s">
        <v>418</v>
      </c>
    </row>
    <row r="894" spans="1:14" s="12" customFormat="1" ht="30.75" customHeight="1">
      <c r="A894" s="178" t="s">
        <v>99</v>
      </c>
      <c r="B894" s="75" t="s">
        <v>310</v>
      </c>
      <c r="C894" s="39" t="s">
        <v>308</v>
      </c>
      <c r="D894" s="236"/>
      <c r="E894" s="236"/>
      <c r="F894" s="236"/>
      <c r="G894" s="236"/>
      <c r="H894" s="40">
        <f>SUM(Tabla132112418[[#This Row],[PRIMER TRIMESTRE]:[CUARTO TRIMESTRE]])</f>
        <v>0</v>
      </c>
      <c r="I894" s="17">
        <v>1298</v>
      </c>
      <c r="J894" s="17">
        <f>+Tabla132112418[[#This Row],[CANTIDAD TOTAL]]*Tabla132112418[[#This Row],[PRECIO UNITARIO ESTIMADO]]</f>
        <v>0</v>
      </c>
      <c r="K894" s="17"/>
      <c r="L894" s="16" t="s">
        <v>18</v>
      </c>
      <c r="M894" s="16" t="s">
        <v>22</v>
      </c>
      <c r="N894" s="39" t="s">
        <v>418</v>
      </c>
    </row>
    <row r="895" spans="1:14" s="12" customFormat="1" ht="30.75" customHeight="1">
      <c r="A895" s="178" t="s">
        <v>99</v>
      </c>
      <c r="B895" s="75" t="s">
        <v>311</v>
      </c>
      <c r="C895" s="39" t="s">
        <v>312</v>
      </c>
      <c r="D895" s="236"/>
      <c r="E895" s="236"/>
      <c r="F895" s="236"/>
      <c r="G895" s="236"/>
      <c r="H895" s="40">
        <f>SUM(Tabla132112418[[#This Row],[PRIMER TRIMESTRE]:[CUARTO TRIMESTRE]])</f>
        <v>0</v>
      </c>
      <c r="I895" s="17">
        <v>3418.58</v>
      </c>
      <c r="J895" s="17">
        <f>+Tabla132112418[[#This Row],[CANTIDAD TOTAL]]*Tabla132112418[[#This Row],[PRECIO UNITARIO ESTIMADO]]</f>
        <v>0</v>
      </c>
      <c r="K895" s="17"/>
      <c r="L895" s="16" t="s">
        <v>18</v>
      </c>
      <c r="M895" s="16" t="s">
        <v>22</v>
      </c>
      <c r="N895" s="39" t="s">
        <v>418</v>
      </c>
    </row>
    <row r="896" spans="1:14" s="12" customFormat="1" ht="30.75" customHeight="1">
      <c r="A896" s="178" t="s">
        <v>99</v>
      </c>
      <c r="B896" s="75" t="s">
        <v>314</v>
      </c>
      <c r="C896" s="39" t="s">
        <v>315</v>
      </c>
      <c r="D896" s="236"/>
      <c r="E896" s="236"/>
      <c r="F896" s="236"/>
      <c r="G896" s="236"/>
      <c r="H896" s="40">
        <f>SUM(Tabla132112418[[#This Row],[PRIMER TRIMESTRE]:[CUARTO TRIMESTRE]])</f>
        <v>0</v>
      </c>
      <c r="I896" s="17">
        <v>1569.4</v>
      </c>
      <c r="J896" s="17">
        <f>+Tabla132112418[[#This Row],[CANTIDAD TOTAL]]*Tabla132112418[[#This Row],[PRECIO UNITARIO ESTIMADO]]</f>
        <v>0</v>
      </c>
      <c r="K896" s="17"/>
      <c r="L896" s="16" t="s">
        <v>18</v>
      </c>
      <c r="M896" s="16" t="s">
        <v>22</v>
      </c>
      <c r="N896" s="39" t="s">
        <v>418</v>
      </c>
    </row>
    <row r="897" spans="1:14" s="12" customFormat="1" ht="30">
      <c r="A897" s="178" t="s">
        <v>99</v>
      </c>
      <c r="B897" s="75" t="s">
        <v>313</v>
      </c>
      <c r="C897" s="39" t="s">
        <v>308</v>
      </c>
      <c r="D897" s="236"/>
      <c r="E897" s="236"/>
      <c r="F897" s="236"/>
      <c r="G897" s="236"/>
      <c r="H897" s="40">
        <f>SUM(Tabla132112418[[#This Row],[PRIMER TRIMESTRE]:[CUARTO TRIMESTRE]])</f>
        <v>0</v>
      </c>
      <c r="I897" s="17">
        <v>3651.69</v>
      </c>
      <c r="J897" s="17">
        <f>+Tabla132112418[[#This Row],[CANTIDAD TOTAL]]*Tabla132112418[[#This Row],[PRECIO UNITARIO ESTIMADO]]</f>
        <v>0</v>
      </c>
      <c r="K897" s="17"/>
      <c r="L897" s="16" t="s">
        <v>18</v>
      </c>
      <c r="M897" s="16" t="s">
        <v>22</v>
      </c>
      <c r="N897" s="39" t="s">
        <v>418</v>
      </c>
    </row>
    <row r="898" spans="1:14" s="12" customFormat="1" ht="30">
      <c r="A898" s="178" t="s">
        <v>99</v>
      </c>
      <c r="B898" s="75" t="s">
        <v>231</v>
      </c>
      <c r="C898" s="39" t="s">
        <v>17</v>
      </c>
      <c r="D898" s="236"/>
      <c r="E898" s="236"/>
      <c r="F898" s="236"/>
      <c r="G898" s="236"/>
      <c r="H898" s="40">
        <f>SUM(Tabla132112418[[#This Row],[PRIMER TRIMESTRE]:[CUARTO TRIMESTRE]])</f>
        <v>0</v>
      </c>
      <c r="I898" s="17">
        <v>574.20000000000005</v>
      </c>
      <c r="J898" s="17">
        <f>+Tabla132112418[[#This Row],[CANTIDAD TOTAL]]*Tabla132112418[[#This Row],[PRECIO UNITARIO ESTIMADO]]</f>
        <v>0</v>
      </c>
      <c r="K898" s="17"/>
      <c r="L898" s="16" t="s">
        <v>18</v>
      </c>
      <c r="M898" s="16" t="s">
        <v>22</v>
      </c>
      <c r="N898" s="39" t="s">
        <v>418</v>
      </c>
    </row>
    <row r="899" spans="1:14" s="12" customFormat="1" ht="30">
      <c r="A899" s="178" t="s">
        <v>99</v>
      </c>
      <c r="B899" s="75" t="s">
        <v>232</v>
      </c>
      <c r="C899" s="39" t="s">
        <v>17</v>
      </c>
      <c r="D899" s="236"/>
      <c r="E899" s="236"/>
      <c r="F899" s="236"/>
      <c r="G899" s="236"/>
      <c r="H899" s="40">
        <f>SUM(Tabla132112418[[#This Row],[PRIMER TRIMESTRE]:[CUARTO TRIMESTRE]])</f>
        <v>0</v>
      </c>
      <c r="I899" s="17">
        <v>1035</v>
      </c>
      <c r="J899" s="17">
        <f>+Tabla132112418[[#This Row],[CANTIDAD TOTAL]]*Tabla132112418[[#This Row],[PRECIO UNITARIO ESTIMADO]]</f>
        <v>0</v>
      </c>
      <c r="K899" s="17"/>
      <c r="L899" s="16" t="s">
        <v>18</v>
      </c>
      <c r="M899" s="16" t="s">
        <v>22</v>
      </c>
      <c r="N899" s="39" t="s">
        <v>418</v>
      </c>
    </row>
    <row r="900" spans="1:14" s="12" customFormat="1" ht="30">
      <c r="A900" s="178" t="s">
        <v>99</v>
      </c>
      <c r="B900" s="75" t="s">
        <v>1031</v>
      </c>
      <c r="C900" s="39" t="s">
        <v>1037</v>
      </c>
      <c r="D900" s="236"/>
      <c r="E900" s="236"/>
      <c r="F900" s="236"/>
      <c r="G900" s="236"/>
      <c r="H900" s="40">
        <f>SUM(Tabla132112418[[#This Row],[PRIMER TRIMESTRE]:[CUARTO TRIMESTRE]])</f>
        <v>0</v>
      </c>
      <c r="I900" s="17">
        <v>3800</v>
      </c>
      <c r="J900" s="17">
        <f t="shared" ref="J900:J963" si="25">+H900*I900</f>
        <v>0</v>
      </c>
      <c r="K900" s="17"/>
      <c r="L900" s="16" t="s">
        <v>18</v>
      </c>
      <c r="M900" s="16" t="s">
        <v>22</v>
      </c>
      <c r="N900" s="39" t="s">
        <v>418</v>
      </c>
    </row>
    <row r="901" spans="1:14" s="12" customFormat="1" ht="30">
      <c r="A901" s="178" t="s">
        <v>99</v>
      </c>
      <c r="B901" s="75" t="s">
        <v>1032</v>
      </c>
      <c r="C901" s="39" t="s">
        <v>1037</v>
      </c>
      <c r="D901" s="236"/>
      <c r="E901" s="236"/>
      <c r="F901" s="236"/>
      <c r="G901" s="236"/>
      <c r="H901" s="40">
        <f>SUM(Tabla132112418[[#This Row],[PRIMER TRIMESTRE]:[CUARTO TRIMESTRE]])</f>
        <v>0</v>
      </c>
      <c r="I901" s="17">
        <v>11200</v>
      </c>
      <c r="J901" s="17">
        <f t="shared" si="25"/>
        <v>0</v>
      </c>
      <c r="K901" s="17"/>
      <c r="L901" s="16" t="s">
        <v>18</v>
      </c>
      <c r="M901" s="16" t="s">
        <v>22</v>
      </c>
      <c r="N901" s="39" t="s">
        <v>418</v>
      </c>
    </row>
    <row r="902" spans="1:14" s="12" customFormat="1" ht="30">
      <c r="A902" s="178" t="s">
        <v>99</v>
      </c>
      <c r="B902" s="75" t="s">
        <v>1033</v>
      </c>
      <c r="C902" s="39" t="s">
        <v>1037</v>
      </c>
      <c r="D902" s="236"/>
      <c r="E902" s="236"/>
      <c r="F902" s="236"/>
      <c r="G902" s="236"/>
      <c r="H902" s="40">
        <f>SUM(Tabla132112418[[#This Row],[PRIMER TRIMESTRE]:[CUARTO TRIMESTRE]])</f>
        <v>0</v>
      </c>
      <c r="I902" s="17">
        <v>3700</v>
      </c>
      <c r="J902" s="17">
        <f t="shared" si="25"/>
        <v>0</v>
      </c>
      <c r="K902" s="17"/>
      <c r="L902" s="16" t="s">
        <v>18</v>
      </c>
      <c r="M902" s="16" t="s">
        <v>22</v>
      </c>
      <c r="N902" s="39" t="s">
        <v>418</v>
      </c>
    </row>
    <row r="903" spans="1:14" s="12" customFormat="1" ht="30">
      <c r="A903" s="178" t="s">
        <v>99</v>
      </c>
      <c r="B903" s="75" t="s">
        <v>1034</v>
      </c>
      <c r="C903" s="39" t="s">
        <v>1037</v>
      </c>
      <c r="D903" s="236"/>
      <c r="E903" s="236"/>
      <c r="F903" s="236"/>
      <c r="G903" s="236"/>
      <c r="H903" s="40">
        <f>SUM(Tabla132112418[[#This Row],[PRIMER TRIMESTRE]:[CUARTO TRIMESTRE]])</f>
        <v>0</v>
      </c>
      <c r="I903" s="17">
        <v>4500</v>
      </c>
      <c r="J903" s="17">
        <f t="shared" si="25"/>
        <v>0</v>
      </c>
      <c r="K903" s="17"/>
      <c r="L903" s="16" t="s">
        <v>15</v>
      </c>
      <c r="M903" s="16" t="s">
        <v>22</v>
      </c>
      <c r="N903" s="39" t="s">
        <v>418</v>
      </c>
    </row>
    <row r="904" spans="1:14" s="12" customFormat="1" ht="30">
      <c r="A904" s="178" t="s">
        <v>99</v>
      </c>
      <c r="B904" s="75" t="s">
        <v>1035</v>
      </c>
      <c r="C904" s="39" t="s">
        <v>1037</v>
      </c>
      <c r="D904" s="236"/>
      <c r="E904" s="236"/>
      <c r="F904" s="236"/>
      <c r="G904" s="236"/>
      <c r="H904" s="40">
        <f>SUM(Tabla132112418[[#This Row],[PRIMER TRIMESTRE]:[CUARTO TRIMESTRE]])</f>
        <v>0</v>
      </c>
      <c r="I904" s="17">
        <v>2800</v>
      </c>
      <c r="J904" s="17">
        <f t="shared" si="25"/>
        <v>0</v>
      </c>
      <c r="K904" s="17"/>
      <c r="L904" s="16" t="s">
        <v>15</v>
      </c>
      <c r="M904" s="16" t="s">
        <v>22</v>
      </c>
      <c r="N904" s="39" t="s">
        <v>418</v>
      </c>
    </row>
    <row r="905" spans="1:14" s="12" customFormat="1" ht="30">
      <c r="A905" s="178" t="s">
        <v>99</v>
      </c>
      <c r="B905" s="75" t="s">
        <v>1036</v>
      </c>
      <c r="C905" s="39" t="s">
        <v>1037</v>
      </c>
      <c r="D905" s="236"/>
      <c r="E905" s="236"/>
      <c r="F905" s="236"/>
      <c r="G905" s="236"/>
      <c r="H905" s="40">
        <f>SUM(Tabla132112418[[#This Row],[PRIMER TRIMESTRE]:[CUARTO TRIMESTRE]])</f>
        <v>0</v>
      </c>
      <c r="I905" s="17">
        <v>3500</v>
      </c>
      <c r="J905" s="17">
        <f t="shared" si="25"/>
        <v>0</v>
      </c>
      <c r="K905" s="17"/>
      <c r="L905" s="16" t="s">
        <v>18</v>
      </c>
      <c r="M905" s="16" t="s">
        <v>22</v>
      </c>
      <c r="N905" s="39" t="s">
        <v>418</v>
      </c>
    </row>
    <row r="906" spans="1:14" s="12" customFormat="1" ht="30">
      <c r="A906" s="178" t="s">
        <v>99</v>
      </c>
      <c r="B906" s="75" t="s">
        <v>1038</v>
      </c>
      <c r="C906" s="39" t="s">
        <v>1037</v>
      </c>
      <c r="D906" s="236"/>
      <c r="E906" s="236"/>
      <c r="F906" s="236"/>
      <c r="G906" s="236"/>
      <c r="H906" s="40">
        <f>SUM(Tabla132112418[[#This Row],[PRIMER TRIMESTRE]:[CUARTO TRIMESTRE]])</f>
        <v>0</v>
      </c>
      <c r="I906" s="17">
        <v>2500</v>
      </c>
      <c r="J906" s="17">
        <f t="shared" si="25"/>
        <v>0</v>
      </c>
      <c r="K906" s="17"/>
      <c r="L906" s="16" t="s">
        <v>18</v>
      </c>
      <c r="M906" s="16" t="s">
        <v>22</v>
      </c>
      <c r="N906" s="39" t="s">
        <v>418</v>
      </c>
    </row>
    <row r="907" spans="1:14" s="12" customFormat="1" ht="30">
      <c r="A907" s="178" t="s">
        <v>99</v>
      </c>
      <c r="B907" s="75" t="s">
        <v>1039</v>
      </c>
      <c r="C907" s="39" t="s">
        <v>1037</v>
      </c>
      <c r="D907" s="236"/>
      <c r="E907" s="236"/>
      <c r="F907" s="236"/>
      <c r="G907" s="236"/>
      <c r="H907" s="40">
        <f>SUM(Tabla132112418[[#This Row],[PRIMER TRIMESTRE]:[CUARTO TRIMESTRE]])</f>
        <v>0</v>
      </c>
      <c r="I907" s="17">
        <v>3000</v>
      </c>
      <c r="J907" s="17">
        <f t="shared" si="25"/>
        <v>0</v>
      </c>
      <c r="K907" s="17"/>
      <c r="L907" s="16" t="s">
        <v>18</v>
      </c>
      <c r="M907" s="16" t="s">
        <v>22</v>
      </c>
      <c r="N907" s="39" t="s">
        <v>418</v>
      </c>
    </row>
    <row r="908" spans="1:14" s="12" customFormat="1" ht="30">
      <c r="A908" s="178" t="s">
        <v>99</v>
      </c>
      <c r="B908" s="75" t="s">
        <v>1040</v>
      </c>
      <c r="C908" s="39" t="s">
        <v>1037</v>
      </c>
      <c r="D908" s="236"/>
      <c r="E908" s="236"/>
      <c r="F908" s="236"/>
      <c r="G908" s="236"/>
      <c r="H908" s="40">
        <f>SUM(Tabla132112418[[#This Row],[PRIMER TRIMESTRE]:[CUARTO TRIMESTRE]])</f>
        <v>0</v>
      </c>
      <c r="I908" s="17">
        <v>3500</v>
      </c>
      <c r="J908" s="17">
        <f t="shared" si="25"/>
        <v>0</v>
      </c>
      <c r="K908" s="17"/>
      <c r="L908" s="16" t="s">
        <v>18</v>
      </c>
      <c r="M908" s="16" t="s">
        <v>22</v>
      </c>
      <c r="N908" s="39" t="s">
        <v>418</v>
      </c>
    </row>
    <row r="909" spans="1:14" s="12" customFormat="1" ht="30">
      <c r="A909" s="178" t="s">
        <v>99</v>
      </c>
      <c r="B909" s="75" t="s">
        <v>1041</v>
      </c>
      <c r="C909" s="39" t="s">
        <v>1037</v>
      </c>
      <c r="D909" s="236"/>
      <c r="E909" s="236"/>
      <c r="F909" s="236"/>
      <c r="G909" s="236"/>
      <c r="H909" s="40">
        <f>SUM(Tabla132112418[[#This Row],[PRIMER TRIMESTRE]:[CUARTO TRIMESTRE]])</f>
        <v>0</v>
      </c>
      <c r="I909" s="17">
        <v>4000</v>
      </c>
      <c r="J909" s="17">
        <f t="shared" si="25"/>
        <v>0</v>
      </c>
      <c r="K909" s="17"/>
      <c r="L909" s="16" t="s">
        <v>18</v>
      </c>
      <c r="M909" s="16" t="s">
        <v>22</v>
      </c>
      <c r="N909" s="39" t="s">
        <v>418</v>
      </c>
    </row>
    <row r="910" spans="1:14" s="12" customFormat="1" ht="30">
      <c r="A910" s="178" t="s">
        <v>99</v>
      </c>
      <c r="B910" s="75" t="s">
        <v>1042</v>
      </c>
      <c r="C910" s="39" t="s">
        <v>1037</v>
      </c>
      <c r="D910" s="236"/>
      <c r="E910" s="236"/>
      <c r="F910" s="236"/>
      <c r="G910" s="236"/>
      <c r="H910" s="40">
        <f>SUM(Tabla132112418[[#This Row],[PRIMER TRIMESTRE]:[CUARTO TRIMESTRE]])</f>
        <v>0</v>
      </c>
      <c r="I910" s="17">
        <v>6000</v>
      </c>
      <c r="J910" s="17">
        <f t="shared" si="25"/>
        <v>0</v>
      </c>
      <c r="K910" s="17"/>
      <c r="L910" s="16" t="s">
        <v>18</v>
      </c>
      <c r="M910" s="16" t="s">
        <v>22</v>
      </c>
      <c r="N910" s="39" t="s">
        <v>418</v>
      </c>
    </row>
    <row r="911" spans="1:14" s="12" customFormat="1" ht="30">
      <c r="A911" s="178" t="s">
        <v>99</v>
      </c>
      <c r="B911" s="75" t="s">
        <v>1043</v>
      </c>
      <c r="C911" s="39" t="s">
        <v>1037</v>
      </c>
      <c r="D911" s="236"/>
      <c r="E911" s="236"/>
      <c r="F911" s="236"/>
      <c r="G911" s="236"/>
      <c r="H911" s="40">
        <f>SUM(Tabla132112418[[#This Row],[PRIMER TRIMESTRE]:[CUARTO TRIMESTRE]])</f>
        <v>0</v>
      </c>
      <c r="I911" s="17">
        <v>3500</v>
      </c>
      <c r="J911" s="17">
        <f t="shared" si="25"/>
        <v>0</v>
      </c>
      <c r="K911" s="17"/>
      <c r="L911" s="16" t="s">
        <v>18</v>
      </c>
      <c r="M911" s="16" t="s">
        <v>22</v>
      </c>
      <c r="N911" s="39" t="s">
        <v>418</v>
      </c>
    </row>
    <row r="912" spans="1:14" s="12" customFormat="1" ht="30">
      <c r="A912" s="178" t="s">
        <v>99</v>
      </c>
      <c r="B912" s="75" t="s">
        <v>1044</v>
      </c>
      <c r="C912" s="39" t="s">
        <v>1037</v>
      </c>
      <c r="D912" s="236"/>
      <c r="E912" s="236"/>
      <c r="F912" s="236"/>
      <c r="G912" s="236"/>
      <c r="H912" s="40">
        <f>SUM(Tabla132112418[[#This Row],[PRIMER TRIMESTRE]:[CUARTO TRIMESTRE]])</f>
        <v>0</v>
      </c>
      <c r="I912" s="17">
        <v>2500</v>
      </c>
      <c r="J912" s="17">
        <f t="shared" si="25"/>
        <v>0</v>
      </c>
      <c r="K912" s="17"/>
      <c r="L912" s="16" t="s">
        <v>18</v>
      </c>
      <c r="M912" s="16" t="s">
        <v>22</v>
      </c>
      <c r="N912" s="39" t="s">
        <v>418</v>
      </c>
    </row>
    <row r="913" spans="1:14" s="12" customFormat="1" ht="30">
      <c r="A913" s="178" t="s">
        <v>99</v>
      </c>
      <c r="B913" s="75" t="s">
        <v>1045</v>
      </c>
      <c r="C913" s="39" t="s">
        <v>1037</v>
      </c>
      <c r="D913" s="236"/>
      <c r="E913" s="236"/>
      <c r="F913" s="236"/>
      <c r="G913" s="236"/>
      <c r="H913" s="40">
        <f>SUM(Tabla132112418[[#This Row],[PRIMER TRIMESTRE]:[CUARTO TRIMESTRE]])</f>
        <v>0</v>
      </c>
      <c r="I913" s="17">
        <v>2000</v>
      </c>
      <c r="J913" s="17">
        <f t="shared" si="25"/>
        <v>0</v>
      </c>
      <c r="K913" s="17"/>
      <c r="L913" s="16" t="s">
        <v>18</v>
      </c>
      <c r="M913" s="16" t="s">
        <v>22</v>
      </c>
      <c r="N913" s="39" t="s">
        <v>418</v>
      </c>
    </row>
    <row r="914" spans="1:14" s="12" customFormat="1" ht="30">
      <c r="A914" s="178" t="s">
        <v>99</v>
      </c>
      <c r="B914" s="75" t="s">
        <v>1046</v>
      </c>
      <c r="C914" s="39" t="s">
        <v>1037</v>
      </c>
      <c r="D914" s="236"/>
      <c r="E914" s="236"/>
      <c r="F914" s="236"/>
      <c r="G914" s="236"/>
      <c r="H914" s="40">
        <f>SUM(Tabla132112418[[#This Row],[PRIMER TRIMESTRE]:[CUARTO TRIMESTRE]])</f>
        <v>0</v>
      </c>
      <c r="I914" s="17">
        <v>3000</v>
      </c>
      <c r="J914" s="17">
        <f t="shared" si="25"/>
        <v>0</v>
      </c>
      <c r="K914" s="17"/>
      <c r="L914" s="16" t="s">
        <v>18</v>
      </c>
      <c r="M914" s="16" t="s">
        <v>22</v>
      </c>
      <c r="N914" s="39" t="s">
        <v>418</v>
      </c>
    </row>
    <row r="915" spans="1:14" s="12" customFormat="1" ht="30">
      <c r="A915" s="178" t="s">
        <v>99</v>
      </c>
      <c r="B915" s="75" t="s">
        <v>1047</v>
      </c>
      <c r="C915" s="39" t="s">
        <v>1037</v>
      </c>
      <c r="D915" s="236"/>
      <c r="E915" s="236"/>
      <c r="F915" s="236"/>
      <c r="G915" s="236"/>
      <c r="H915" s="40">
        <f>SUM(Tabla132112418[[#This Row],[PRIMER TRIMESTRE]:[CUARTO TRIMESTRE]])</f>
        <v>0</v>
      </c>
      <c r="I915" s="17">
        <v>3500</v>
      </c>
      <c r="J915" s="17">
        <f t="shared" si="25"/>
        <v>0</v>
      </c>
      <c r="K915" s="17"/>
      <c r="L915" s="16" t="s">
        <v>18</v>
      </c>
      <c r="M915" s="16" t="s">
        <v>22</v>
      </c>
      <c r="N915" s="39" t="s">
        <v>418</v>
      </c>
    </row>
    <row r="916" spans="1:14" s="12" customFormat="1" ht="38.25">
      <c r="A916" s="178" t="s">
        <v>99</v>
      </c>
      <c r="B916" s="75" t="s">
        <v>1048</v>
      </c>
      <c r="C916" s="39" t="s">
        <v>1063</v>
      </c>
      <c r="D916" s="236"/>
      <c r="E916" s="236"/>
      <c r="F916" s="236"/>
      <c r="G916" s="236"/>
      <c r="H916" s="40">
        <f>SUM(Tabla132112418[[#This Row],[PRIMER TRIMESTRE]:[CUARTO TRIMESTRE]])</f>
        <v>0</v>
      </c>
      <c r="I916" s="17">
        <v>3500</v>
      </c>
      <c r="J916" s="17">
        <f t="shared" si="25"/>
        <v>0</v>
      </c>
      <c r="K916" s="17"/>
      <c r="L916" s="16" t="s">
        <v>18</v>
      </c>
      <c r="M916" s="16" t="s">
        <v>22</v>
      </c>
      <c r="N916" s="39" t="s">
        <v>418</v>
      </c>
    </row>
    <row r="917" spans="1:14" s="12" customFormat="1" ht="30">
      <c r="A917" s="178" t="s">
        <v>99</v>
      </c>
      <c r="B917" s="75" t="s">
        <v>1049</v>
      </c>
      <c r="C917" s="39" t="s">
        <v>1063</v>
      </c>
      <c r="D917" s="236"/>
      <c r="E917" s="236"/>
      <c r="F917" s="236"/>
      <c r="G917" s="236"/>
      <c r="H917" s="40">
        <f>SUM(Tabla132112418[[#This Row],[PRIMER TRIMESTRE]:[CUARTO TRIMESTRE]])</f>
        <v>0</v>
      </c>
      <c r="I917" s="17">
        <v>2500</v>
      </c>
      <c r="J917" s="17">
        <f t="shared" si="25"/>
        <v>0</v>
      </c>
      <c r="K917" s="17"/>
      <c r="L917" s="16" t="s">
        <v>15</v>
      </c>
      <c r="M917" s="16" t="s">
        <v>22</v>
      </c>
      <c r="N917" s="39" t="s">
        <v>418</v>
      </c>
    </row>
    <row r="918" spans="1:14" s="12" customFormat="1" ht="30">
      <c r="A918" s="178" t="s">
        <v>99</v>
      </c>
      <c r="B918" s="75" t="s">
        <v>1050</v>
      </c>
      <c r="C918" s="39" t="s">
        <v>1063</v>
      </c>
      <c r="D918" s="236"/>
      <c r="E918" s="236"/>
      <c r="F918" s="236"/>
      <c r="G918" s="236"/>
      <c r="H918" s="40">
        <f>SUM(Tabla132112418[[#This Row],[PRIMER TRIMESTRE]:[CUARTO TRIMESTRE]])</f>
        <v>0</v>
      </c>
      <c r="I918" s="17">
        <v>2500</v>
      </c>
      <c r="J918" s="17">
        <f t="shared" si="25"/>
        <v>0</v>
      </c>
      <c r="K918" s="17"/>
      <c r="L918" s="16" t="s">
        <v>18</v>
      </c>
      <c r="M918" s="16" t="s">
        <v>22</v>
      </c>
      <c r="N918" s="39" t="s">
        <v>418</v>
      </c>
    </row>
    <row r="919" spans="1:14" s="12" customFormat="1" ht="30">
      <c r="A919" s="178" t="s">
        <v>99</v>
      </c>
      <c r="B919" s="75" t="s">
        <v>1051</v>
      </c>
      <c r="C919" s="39" t="s">
        <v>1037</v>
      </c>
      <c r="D919" s="236"/>
      <c r="E919" s="236"/>
      <c r="F919" s="236"/>
      <c r="G919" s="236"/>
      <c r="H919" s="40">
        <f>SUM(Tabla132112418[[#This Row],[PRIMER TRIMESTRE]:[CUARTO TRIMESTRE]])</f>
        <v>0</v>
      </c>
      <c r="I919" s="17">
        <v>3000</v>
      </c>
      <c r="J919" s="17">
        <f t="shared" si="25"/>
        <v>0</v>
      </c>
      <c r="K919" s="17"/>
      <c r="L919" s="16" t="s">
        <v>18</v>
      </c>
      <c r="M919" s="16" t="s">
        <v>22</v>
      </c>
      <c r="N919" s="39" t="s">
        <v>418</v>
      </c>
    </row>
    <row r="920" spans="1:14" s="12" customFormat="1" ht="30">
      <c r="A920" s="178" t="s">
        <v>99</v>
      </c>
      <c r="B920" s="75" t="s">
        <v>1052</v>
      </c>
      <c r="C920" s="39" t="s">
        <v>1064</v>
      </c>
      <c r="D920" s="236"/>
      <c r="E920" s="236"/>
      <c r="F920" s="236"/>
      <c r="G920" s="236"/>
      <c r="H920" s="40">
        <f>SUM(Tabla132112418[[#This Row],[PRIMER TRIMESTRE]:[CUARTO TRIMESTRE]])</f>
        <v>0</v>
      </c>
      <c r="I920" s="17">
        <v>2500</v>
      </c>
      <c r="J920" s="17">
        <f t="shared" si="25"/>
        <v>0</v>
      </c>
      <c r="K920" s="17"/>
      <c r="L920" s="16" t="s">
        <v>18</v>
      </c>
      <c r="M920" s="16" t="s">
        <v>22</v>
      </c>
      <c r="N920" s="39" t="s">
        <v>418</v>
      </c>
    </row>
    <row r="921" spans="1:14" s="12" customFormat="1" ht="30">
      <c r="A921" s="178" t="s">
        <v>99</v>
      </c>
      <c r="B921" s="75" t="s">
        <v>1053</v>
      </c>
      <c r="C921" s="39" t="s">
        <v>1064</v>
      </c>
      <c r="D921" s="236"/>
      <c r="E921" s="236"/>
      <c r="F921" s="236"/>
      <c r="G921" s="236"/>
      <c r="H921" s="40">
        <f>SUM(Tabla132112418[[#This Row],[PRIMER TRIMESTRE]:[CUARTO TRIMESTRE]])</f>
        <v>0</v>
      </c>
      <c r="I921" s="17">
        <v>2500</v>
      </c>
      <c r="J921" s="17">
        <f t="shared" si="25"/>
        <v>0</v>
      </c>
      <c r="K921" s="17"/>
      <c r="L921" s="16" t="s">
        <v>18</v>
      </c>
      <c r="M921" s="16" t="s">
        <v>22</v>
      </c>
      <c r="N921" s="39" t="s">
        <v>418</v>
      </c>
    </row>
    <row r="922" spans="1:14" s="12" customFormat="1" ht="30">
      <c r="A922" s="178" t="s">
        <v>99</v>
      </c>
      <c r="B922" s="75" t="s">
        <v>1054</v>
      </c>
      <c r="C922" s="39" t="s">
        <v>1064</v>
      </c>
      <c r="D922" s="236"/>
      <c r="E922" s="236"/>
      <c r="F922" s="236"/>
      <c r="G922" s="236"/>
      <c r="H922" s="40">
        <f>SUM(Tabla132112418[[#This Row],[PRIMER TRIMESTRE]:[CUARTO TRIMESTRE]])</f>
        <v>0</v>
      </c>
      <c r="I922" s="17">
        <v>2000</v>
      </c>
      <c r="J922" s="17">
        <f t="shared" si="25"/>
        <v>0</v>
      </c>
      <c r="K922" s="17"/>
      <c r="L922" s="16" t="s">
        <v>18</v>
      </c>
      <c r="M922" s="16" t="s">
        <v>22</v>
      </c>
      <c r="N922" s="39" t="s">
        <v>418</v>
      </c>
    </row>
    <row r="923" spans="1:14" s="12" customFormat="1" ht="30">
      <c r="A923" s="178" t="s">
        <v>99</v>
      </c>
      <c r="B923" s="75" t="s">
        <v>1055</v>
      </c>
      <c r="C923" s="39" t="s">
        <v>1065</v>
      </c>
      <c r="D923" s="236"/>
      <c r="E923" s="236"/>
      <c r="F923" s="236"/>
      <c r="G923" s="236"/>
      <c r="H923" s="40">
        <f>SUM(Tabla132112418[[#This Row],[PRIMER TRIMESTRE]:[CUARTO TRIMESTRE]])</f>
        <v>0</v>
      </c>
      <c r="I923" s="17">
        <v>2000</v>
      </c>
      <c r="J923" s="17">
        <f t="shared" si="25"/>
        <v>0</v>
      </c>
      <c r="K923" s="17"/>
      <c r="L923" s="16" t="s">
        <v>18</v>
      </c>
      <c r="M923" s="16" t="s">
        <v>22</v>
      </c>
      <c r="N923" s="39" t="s">
        <v>418</v>
      </c>
    </row>
    <row r="924" spans="1:14" s="12" customFormat="1" ht="30">
      <c r="A924" s="178" t="s">
        <v>99</v>
      </c>
      <c r="B924" s="75" t="s">
        <v>1056</v>
      </c>
      <c r="C924" s="39" t="s">
        <v>1065</v>
      </c>
      <c r="D924" s="236"/>
      <c r="E924" s="236"/>
      <c r="F924" s="236"/>
      <c r="G924" s="236"/>
      <c r="H924" s="40">
        <f>SUM(Tabla132112418[[#This Row],[PRIMER TRIMESTRE]:[CUARTO TRIMESTRE]])</f>
        <v>0</v>
      </c>
      <c r="I924" s="17">
        <v>2100</v>
      </c>
      <c r="J924" s="17">
        <f t="shared" si="25"/>
        <v>0</v>
      </c>
      <c r="K924" s="17"/>
      <c r="L924" s="16" t="s">
        <v>18</v>
      </c>
      <c r="M924" s="16" t="s">
        <v>22</v>
      </c>
      <c r="N924" s="39" t="s">
        <v>418</v>
      </c>
    </row>
    <row r="925" spans="1:14" s="12" customFormat="1" ht="30">
      <c r="A925" s="178" t="s">
        <v>99</v>
      </c>
      <c r="B925" s="75" t="s">
        <v>1057</v>
      </c>
      <c r="C925" s="39" t="s">
        <v>1065</v>
      </c>
      <c r="D925" s="236"/>
      <c r="E925" s="236"/>
      <c r="F925" s="236"/>
      <c r="G925" s="236"/>
      <c r="H925" s="40">
        <f>SUM(Tabla132112418[[#This Row],[PRIMER TRIMESTRE]:[CUARTO TRIMESTRE]])</f>
        <v>0</v>
      </c>
      <c r="I925" s="17">
        <v>2500</v>
      </c>
      <c r="J925" s="17">
        <f t="shared" si="25"/>
        <v>0</v>
      </c>
      <c r="K925" s="17"/>
      <c r="L925" s="16" t="s">
        <v>18</v>
      </c>
      <c r="M925" s="16" t="s">
        <v>22</v>
      </c>
      <c r="N925" s="39" t="s">
        <v>418</v>
      </c>
    </row>
    <row r="926" spans="1:14" s="12" customFormat="1" ht="30">
      <c r="A926" s="178" t="s">
        <v>99</v>
      </c>
      <c r="B926" s="75" t="s">
        <v>1058</v>
      </c>
      <c r="C926" s="39" t="s">
        <v>1065</v>
      </c>
      <c r="D926" s="236"/>
      <c r="E926" s="236"/>
      <c r="F926" s="236"/>
      <c r="G926" s="236"/>
      <c r="H926" s="40">
        <f>SUM(Tabla132112418[[#This Row],[PRIMER TRIMESTRE]:[CUARTO TRIMESTRE]])</f>
        <v>0</v>
      </c>
      <c r="I926" s="17">
        <v>2500</v>
      </c>
      <c r="J926" s="17">
        <f t="shared" si="25"/>
        <v>0</v>
      </c>
      <c r="K926" s="17"/>
      <c r="L926" s="16" t="s">
        <v>18</v>
      </c>
      <c r="M926" s="16" t="s">
        <v>22</v>
      </c>
      <c r="N926" s="39" t="s">
        <v>418</v>
      </c>
    </row>
    <row r="927" spans="1:14" s="12" customFormat="1" ht="30">
      <c r="A927" s="178" t="s">
        <v>99</v>
      </c>
      <c r="B927" s="75" t="s">
        <v>1059</v>
      </c>
      <c r="C927" s="39" t="s">
        <v>1065</v>
      </c>
      <c r="D927" s="236"/>
      <c r="E927" s="236"/>
      <c r="F927" s="236"/>
      <c r="G927" s="236"/>
      <c r="H927" s="40">
        <f>SUM(Tabla132112418[[#This Row],[PRIMER TRIMESTRE]:[CUARTO TRIMESTRE]])</f>
        <v>0</v>
      </c>
      <c r="I927" s="17">
        <v>2500</v>
      </c>
      <c r="J927" s="17">
        <f t="shared" si="25"/>
        <v>0</v>
      </c>
      <c r="K927" s="17"/>
      <c r="L927" s="16" t="s">
        <v>18</v>
      </c>
      <c r="M927" s="16" t="s">
        <v>22</v>
      </c>
      <c r="N927" s="39" t="s">
        <v>418</v>
      </c>
    </row>
    <row r="928" spans="1:14" s="12" customFormat="1" ht="30">
      <c r="A928" s="178" t="s">
        <v>99</v>
      </c>
      <c r="B928" s="75" t="s">
        <v>1060</v>
      </c>
      <c r="C928" s="39" t="s">
        <v>1065</v>
      </c>
      <c r="D928" s="236"/>
      <c r="E928" s="236"/>
      <c r="F928" s="236"/>
      <c r="G928" s="236"/>
      <c r="H928" s="40">
        <f>SUM(Tabla132112418[[#This Row],[PRIMER TRIMESTRE]:[CUARTO TRIMESTRE]])</f>
        <v>0</v>
      </c>
      <c r="I928" s="17">
        <v>4000</v>
      </c>
      <c r="J928" s="17">
        <f t="shared" si="25"/>
        <v>0</v>
      </c>
      <c r="K928" s="17"/>
      <c r="L928" s="16" t="s">
        <v>18</v>
      </c>
      <c r="M928" s="16" t="s">
        <v>22</v>
      </c>
      <c r="N928" s="39" t="s">
        <v>418</v>
      </c>
    </row>
    <row r="929" spans="1:14" s="12" customFormat="1" ht="30">
      <c r="A929" s="178" t="s">
        <v>99</v>
      </c>
      <c r="B929" s="75" t="s">
        <v>1061</v>
      </c>
      <c r="C929" s="39" t="s">
        <v>1064</v>
      </c>
      <c r="D929" s="236"/>
      <c r="E929" s="236"/>
      <c r="F929" s="236"/>
      <c r="G929" s="236"/>
      <c r="H929" s="40">
        <f>SUM(Tabla132112418[[#This Row],[PRIMER TRIMESTRE]:[CUARTO TRIMESTRE]])</f>
        <v>0</v>
      </c>
      <c r="I929" s="17">
        <v>3000</v>
      </c>
      <c r="J929" s="17">
        <f t="shared" si="25"/>
        <v>0</v>
      </c>
      <c r="K929" s="17"/>
      <c r="L929" s="16" t="s">
        <v>18</v>
      </c>
      <c r="M929" s="16" t="s">
        <v>22</v>
      </c>
      <c r="N929" s="39" t="s">
        <v>418</v>
      </c>
    </row>
    <row r="930" spans="1:14" s="12" customFormat="1" ht="30">
      <c r="A930" s="178" t="s">
        <v>99</v>
      </c>
      <c r="B930" s="75" t="s">
        <v>1062</v>
      </c>
      <c r="C930" s="39" t="s">
        <v>290</v>
      </c>
      <c r="D930" s="236"/>
      <c r="E930" s="236"/>
      <c r="F930" s="236"/>
      <c r="G930" s="236"/>
      <c r="H930" s="40">
        <f>SUM(Tabla132112418[[#This Row],[PRIMER TRIMESTRE]:[CUARTO TRIMESTRE]])</f>
        <v>0</v>
      </c>
      <c r="I930" s="17">
        <v>1200</v>
      </c>
      <c r="J930" s="17">
        <f t="shared" si="25"/>
        <v>0</v>
      </c>
      <c r="K930" s="17"/>
      <c r="L930" s="16" t="s">
        <v>18</v>
      </c>
      <c r="M930" s="16" t="s">
        <v>22</v>
      </c>
      <c r="N930" s="39" t="s">
        <v>418</v>
      </c>
    </row>
    <row r="931" spans="1:14" s="12" customFormat="1" ht="30">
      <c r="A931" s="178" t="s">
        <v>99</v>
      </c>
      <c r="B931" s="75" t="s">
        <v>1066</v>
      </c>
      <c r="C931" s="39" t="s">
        <v>1067</v>
      </c>
      <c r="D931" s="236"/>
      <c r="E931" s="236"/>
      <c r="F931" s="236"/>
      <c r="G931" s="236"/>
      <c r="H931" s="40">
        <f>SUM(Tabla132112418[[#This Row],[PRIMER TRIMESTRE]:[CUARTO TRIMESTRE]])</f>
        <v>0</v>
      </c>
      <c r="I931" s="17">
        <v>10000</v>
      </c>
      <c r="J931" s="17">
        <f t="shared" si="25"/>
        <v>0</v>
      </c>
      <c r="K931" s="17"/>
      <c r="L931" s="16" t="s">
        <v>18</v>
      </c>
      <c r="M931" s="16" t="s">
        <v>22</v>
      </c>
      <c r="N931" s="39" t="s">
        <v>418</v>
      </c>
    </row>
    <row r="932" spans="1:14" s="12" customFormat="1" ht="30">
      <c r="A932" s="178" t="s">
        <v>99</v>
      </c>
      <c r="B932" s="75" t="s">
        <v>1068</v>
      </c>
      <c r="C932" s="39" t="s">
        <v>1067</v>
      </c>
      <c r="D932" s="236"/>
      <c r="E932" s="236"/>
      <c r="F932" s="236"/>
      <c r="G932" s="236"/>
      <c r="H932" s="40">
        <f>SUM(Tabla132112418[[#This Row],[PRIMER TRIMESTRE]:[CUARTO TRIMESTRE]])</f>
        <v>0</v>
      </c>
      <c r="I932" s="17">
        <v>10000</v>
      </c>
      <c r="J932" s="17">
        <f t="shared" si="25"/>
        <v>0</v>
      </c>
      <c r="K932" s="17"/>
      <c r="L932" s="16" t="s">
        <v>18</v>
      </c>
      <c r="M932" s="16" t="s">
        <v>22</v>
      </c>
      <c r="N932" s="39" t="s">
        <v>418</v>
      </c>
    </row>
    <row r="933" spans="1:14" s="12" customFormat="1" ht="30">
      <c r="A933" s="178" t="s">
        <v>99</v>
      </c>
      <c r="B933" s="75" t="s">
        <v>1069</v>
      </c>
      <c r="C933" s="39" t="s">
        <v>718</v>
      </c>
      <c r="D933" s="236"/>
      <c r="E933" s="236"/>
      <c r="F933" s="236"/>
      <c r="G933" s="236"/>
      <c r="H933" s="40">
        <f>SUM(Tabla132112418[[#This Row],[PRIMER TRIMESTRE]:[CUARTO TRIMESTRE]])</f>
        <v>0</v>
      </c>
      <c r="I933" s="17">
        <v>10000</v>
      </c>
      <c r="J933" s="17">
        <f t="shared" si="25"/>
        <v>0</v>
      </c>
      <c r="K933" s="17"/>
      <c r="L933" s="16" t="s">
        <v>18</v>
      </c>
      <c r="M933" s="16" t="s">
        <v>22</v>
      </c>
      <c r="N933" s="39" t="s">
        <v>418</v>
      </c>
    </row>
    <row r="934" spans="1:14" s="12" customFormat="1" ht="38.25">
      <c r="A934" s="178" t="s">
        <v>99</v>
      </c>
      <c r="B934" s="75" t="s">
        <v>1070</v>
      </c>
      <c r="C934" s="39" t="s">
        <v>208</v>
      </c>
      <c r="D934" s="236"/>
      <c r="E934" s="236"/>
      <c r="F934" s="236"/>
      <c r="G934" s="236"/>
      <c r="H934" s="40">
        <f>SUM(Tabla132112418[[#This Row],[PRIMER TRIMESTRE]:[CUARTO TRIMESTRE]])</f>
        <v>0</v>
      </c>
      <c r="I934" s="17">
        <v>10000</v>
      </c>
      <c r="J934" s="17">
        <f t="shared" si="25"/>
        <v>0</v>
      </c>
      <c r="K934" s="17"/>
      <c r="L934" s="16" t="s">
        <v>18</v>
      </c>
      <c r="M934" s="16" t="s">
        <v>22</v>
      </c>
      <c r="N934" s="39" t="s">
        <v>418</v>
      </c>
    </row>
    <row r="935" spans="1:14" s="12" customFormat="1" ht="30">
      <c r="A935" s="178" t="s">
        <v>99</v>
      </c>
      <c r="B935" s="75" t="s">
        <v>1071</v>
      </c>
      <c r="C935" s="39" t="s">
        <v>1065</v>
      </c>
      <c r="D935" s="236"/>
      <c r="E935" s="236"/>
      <c r="F935" s="236"/>
      <c r="G935" s="236"/>
      <c r="H935" s="40">
        <f>SUM(Tabla132112418[[#This Row],[PRIMER TRIMESTRE]:[CUARTO TRIMESTRE]])</f>
        <v>0</v>
      </c>
      <c r="I935" s="17">
        <v>800</v>
      </c>
      <c r="J935" s="17">
        <f t="shared" si="25"/>
        <v>0</v>
      </c>
      <c r="K935" s="17"/>
      <c r="L935" s="16" t="s">
        <v>18</v>
      </c>
      <c r="M935" s="16" t="s">
        <v>22</v>
      </c>
      <c r="N935" s="39" t="s">
        <v>418</v>
      </c>
    </row>
    <row r="936" spans="1:14" s="12" customFormat="1" ht="30">
      <c r="A936" s="178" t="s">
        <v>99</v>
      </c>
      <c r="B936" s="75" t="s">
        <v>1072</v>
      </c>
      <c r="C936" s="39" t="s">
        <v>1073</v>
      </c>
      <c r="D936" s="236"/>
      <c r="E936" s="236"/>
      <c r="F936" s="236"/>
      <c r="G936" s="236"/>
      <c r="H936" s="40">
        <f>SUM(Tabla132112418[[#This Row],[PRIMER TRIMESTRE]:[CUARTO TRIMESTRE]])</f>
        <v>0</v>
      </c>
      <c r="I936" s="17">
        <v>7500</v>
      </c>
      <c r="J936" s="17">
        <f t="shared" si="25"/>
        <v>0</v>
      </c>
      <c r="K936" s="17"/>
      <c r="L936" s="16" t="s">
        <v>18</v>
      </c>
      <c r="M936" s="16" t="s">
        <v>22</v>
      </c>
      <c r="N936" s="39" t="s">
        <v>418</v>
      </c>
    </row>
    <row r="937" spans="1:14" s="12" customFormat="1" ht="30">
      <c r="A937" s="178" t="s">
        <v>99</v>
      </c>
      <c r="B937" s="75" t="s">
        <v>1074</v>
      </c>
      <c r="C937" s="39" t="s">
        <v>1067</v>
      </c>
      <c r="D937" s="236"/>
      <c r="E937" s="236"/>
      <c r="F937" s="236"/>
      <c r="G937" s="236"/>
      <c r="H937" s="40">
        <f>SUM(Tabla132112418[[#This Row],[PRIMER TRIMESTRE]:[CUARTO TRIMESTRE]])</f>
        <v>0</v>
      </c>
      <c r="I937" s="17">
        <v>1000</v>
      </c>
      <c r="J937" s="17">
        <f t="shared" si="25"/>
        <v>0</v>
      </c>
      <c r="K937" s="17"/>
      <c r="L937" s="16" t="s">
        <v>18</v>
      </c>
      <c r="M937" s="16" t="s">
        <v>22</v>
      </c>
      <c r="N937" s="39" t="s">
        <v>418</v>
      </c>
    </row>
    <row r="938" spans="1:14" s="12" customFormat="1" ht="30">
      <c r="A938" s="178" t="s">
        <v>99</v>
      </c>
      <c r="B938" s="75" t="s">
        <v>1075</v>
      </c>
      <c r="C938" s="39" t="s">
        <v>1067</v>
      </c>
      <c r="D938" s="236"/>
      <c r="E938" s="236"/>
      <c r="F938" s="236"/>
      <c r="G938" s="236"/>
      <c r="H938" s="40">
        <f>SUM(Tabla132112418[[#This Row],[PRIMER TRIMESTRE]:[CUARTO TRIMESTRE]])</f>
        <v>0</v>
      </c>
      <c r="I938" s="17">
        <v>2500</v>
      </c>
      <c r="J938" s="17">
        <f t="shared" si="25"/>
        <v>0</v>
      </c>
      <c r="K938" s="17"/>
      <c r="L938" s="16" t="s">
        <v>18</v>
      </c>
      <c r="M938" s="16" t="s">
        <v>22</v>
      </c>
      <c r="N938" s="39" t="s">
        <v>418</v>
      </c>
    </row>
    <row r="939" spans="1:14" s="12" customFormat="1" ht="30">
      <c r="A939" s="178" t="s">
        <v>99</v>
      </c>
      <c r="B939" s="75" t="s">
        <v>1076</v>
      </c>
      <c r="C939" s="39" t="s">
        <v>1067</v>
      </c>
      <c r="D939" s="236"/>
      <c r="E939" s="236"/>
      <c r="F939" s="236"/>
      <c r="G939" s="236"/>
      <c r="H939" s="40">
        <f>SUM(Tabla132112418[[#This Row],[PRIMER TRIMESTRE]:[CUARTO TRIMESTRE]])</f>
        <v>0</v>
      </c>
      <c r="I939" s="17">
        <v>10000</v>
      </c>
      <c r="J939" s="17">
        <f t="shared" si="25"/>
        <v>0</v>
      </c>
      <c r="K939" s="17"/>
      <c r="L939" s="16" t="s">
        <v>18</v>
      </c>
      <c r="M939" s="16" t="s">
        <v>22</v>
      </c>
      <c r="N939" s="39" t="s">
        <v>418</v>
      </c>
    </row>
    <row r="940" spans="1:14" s="12" customFormat="1" ht="30">
      <c r="A940" s="178" t="s">
        <v>99</v>
      </c>
      <c r="B940" s="75" t="s">
        <v>1077</v>
      </c>
      <c r="C940" s="39" t="s">
        <v>718</v>
      </c>
      <c r="D940" s="236"/>
      <c r="E940" s="236"/>
      <c r="F940" s="236"/>
      <c r="G940" s="236"/>
      <c r="H940" s="40">
        <f>SUM(Tabla132112418[[#This Row],[PRIMER TRIMESTRE]:[CUARTO TRIMESTRE]])</f>
        <v>0</v>
      </c>
      <c r="I940" s="17">
        <v>10000</v>
      </c>
      <c r="J940" s="17">
        <f t="shared" si="25"/>
        <v>0</v>
      </c>
      <c r="K940" s="17"/>
      <c r="L940" s="16" t="s">
        <v>18</v>
      </c>
      <c r="M940" s="16" t="s">
        <v>22</v>
      </c>
      <c r="N940" s="39" t="s">
        <v>418</v>
      </c>
    </row>
    <row r="941" spans="1:14" s="12" customFormat="1" ht="38.25">
      <c r="A941" s="178" t="s">
        <v>99</v>
      </c>
      <c r="B941" s="75" t="s">
        <v>1078</v>
      </c>
      <c r="C941" s="39" t="s">
        <v>1067</v>
      </c>
      <c r="D941" s="236"/>
      <c r="E941" s="236"/>
      <c r="F941" s="236"/>
      <c r="G941" s="236"/>
      <c r="H941" s="40">
        <f>SUM(Tabla132112418[[#This Row],[PRIMER TRIMESTRE]:[CUARTO TRIMESTRE]])</f>
        <v>0</v>
      </c>
      <c r="I941" s="17">
        <v>1000</v>
      </c>
      <c r="J941" s="17">
        <f t="shared" si="25"/>
        <v>0</v>
      </c>
      <c r="K941" s="17"/>
      <c r="L941" s="16" t="s">
        <v>18</v>
      </c>
      <c r="M941" s="16" t="s">
        <v>22</v>
      </c>
      <c r="N941" s="39" t="s">
        <v>418</v>
      </c>
    </row>
    <row r="942" spans="1:14" s="12" customFormat="1" ht="30">
      <c r="A942" s="178" t="s">
        <v>99</v>
      </c>
      <c r="B942" s="75" t="s">
        <v>1079</v>
      </c>
      <c r="C942" s="39" t="s">
        <v>208</v>
      </c>
      <c r="D942" s="236"/>
      <c r="E942" s="236"/>
      <c r="F942" s="236"/>
      <c r="G942" s="236"/>
      <c r="H942" s="40">
        <f>SUM(Tabla132112418[[#This Row],[PRIMER TRIMESTRE]:[CUARTO TRIMESTRE]])</f>
        <v>0</v>
      </c>
      <c r="I942" s="17">
        <v>250</v>
      </c>
      <c r="J942" s="17">
        <f t="shared" si="25"/>
        <v>0</v>
      </c>
      <c r="K942" s="17"/>
      <c r="L942" s="16" t="s">
        <v>18</v>
      </c>
      <c r="M942" s="16" t="s">
        <v>22</v>
      </c>
      <c r="N942" s="39" t="s">
        <v>418</v>
      </c>
    </row>
    <row r="943" spans="1:14" s="12" customFormat="1" ht="38.25">
      <c r="A943" s="178" t="s">
        <v>99</v>
      </c>
      <c r="B943" s="75" t="s">
        <v>1080</v>
      </c>
      <c r="C943" s="39" t="s">
        <v>1067</v>
      </c>
      <c r="D943" s="236"/>
      <c r="E943" s="236"/>
      <c r="F943" s="236"/>
      <c r="G943" s="236"/>
      <c r="H943" s="40">
        <f>SUM(Tabla132112418[[#This Row],[PRIMER TRIMESTRE]:[CUARTO TRIMESTRE]])</f>
        <v>0</v>
      </c>
      <c r="I943" s="17">
        <v>1000</v>
      </c>
      <c r="J943" s="17">
        <f t="shared" si="25"/>
        <v>0</v>
      </c>
      <c r="K943" s="17"/>
      <c r="L943" s="16" t="s">
        <v>18</v>
      </c>
      <c r="M943" s="16" t="s">
        <v>22</v>
      </c>
      <c r="N943" s="39" t="s">
        <v>418</v>
      </c>
    </row>
    <row r="944" spans="1:14" s="12" customFormat="1" ht="38.25">
      <c r="A944" s="178" t="s">
        <v>99</v>
      </c>
      <c r="B944" s="75" t="s">
        <v>1081</v>
      </c>
      <c r="C944" s="39" t="s">
        <v>1067</v>
      </c>
      <c r="D944" s="236"/>
      <c r="E944" s="236"/>
      <c r="F944" s="236"/>
      <c r="G944" s="236"/>
      <c r="H944" s="40">
        <f>SUM(Tabla132112418[[#This Row],[PRIMER TRIMESTRE]:[CUARTO TRIMESTRE]])</f>
        <v>0</v>
      </c>
      <c r="I944" s="17">
        <v>1000</v>
      </c>
      <c r="J944" s="17">
        <f t="shared" si="25"/>
        <v>0</v>
      </c>
      <c r="K944" s="17"/>
      <c r="L944" s="16" t="s">
        <v>18</v>
      </c>
      <c r="M944" s="16" t="s">
        <v>22</v>
      </c>
      <c r="N944" s="39" t="s">
        <v>418</v>
      </c>
    </row>
    <row r="945" spans="1:14" s="12" customFormat="1" ht="38.25">
      <c r="A945" s="178" t="s">
        <v>99</v>
      </c>
      <c r="B945" s="75" t="s">
        <v>1082</v>
      </c>
      <c r="C945" s="39" t="s">
        <v>1067</v>
      </c>
      <c r="D945" s="236"/>
      <c r="E945" s="236"/>
      <c r="F945" s="236"/>
      <c r="G945" s="236"/>
      <c r="H945" s="40">
        <f>SUM(Tabla132112418[[#This Row],[PRIMER TRIMESTRE]:[CUARTO TRIMESTRE]])</f>
        <v>0</v>
      </c>
      <c r="I945" s="17">
        <v>1000</v>
      </c>
      <c r="J945" s="17">
        <f t="shared" si="25"/>
        <v>0</v>
      </c>
      <c r="K945" s="17"/>
      <c r="L945" s="16" t="s">
        <v>18</v>
      </c>
      <c r="M945" s="16" t="s">
        <v>22</v>
      </c>
      <c r="N945" s="39" t="s">
        <v>418</v>
      </c>
    </row>
    <row r="946" spans="1:14" s="12" customFormat="1" ht="30">
      <c r="A946" s="178" t="s">
        <v>99</v>
      </c>
      <c r="B946" s="75" t="s">
        <v>1083</v>
      </c>
      <c r="C946" s="39" t="s">
        <v>1067</v>
      </c>
      <c r="D946" s="236"/>
      <c r="E946" s="236"/>
      <c r="F946" s="236"/>
      <c r="G946" s="236"/>
      <c r="H946" s="40">
        <f>SUM(Tabla132112418[[#This Row],[PRIMER TRIMESTRE]:[CUARTO TRIMESTRE]])</f>
        <v>0</v>
      </c>
      <c r="I946" s="17">
        <v>300</v>
      </c>
      <c r="J946" s="17">
        <f t="shared" si="25"/>
        <v>0</v>
      </c>
      <c r="K946" s="17"/>
      <c r="L946" s="16" t="s">
        <v>18</v>
      </c>
      <c r="M946" s="16" t="s">
        <v>22</v>
      </c>
      <c r="N946" s="39" t="s">
        <v>418</v>
      </c>
    </row>
    <row r="947" spans="1:14" s="12" customFormat="1" ht="30">
      <c r="A947" s="178" t="s">
        <v>99</v>
      </c>
      <c r="B947" s="75" t="s">
        <v>1084</v>
      </c>
      <c r="C947" s="39" t="s">
        <v>1067</v>
      </c>
      <c r="D947" s="236"/>
      <c r="E947" s="236"/>
      <c r="F947" s="236"/>
      <c r="G947" s="236"/>
      <c r="H947" s="40">
        <f>SUM(Tabla132112418[[#This Row],[PRIMER TRIMESTRE]:[CUARTO TRIMESTRE]])</f>
        <v>0</v>
      </c>
      <c r="I947" s="17">
        <v>1500</v>
      </c>
      <c r="J947" s="17">
        <f t="shared" si="25"/>
        <v>0</v>
      </c>
      <c r="K947" s="17"/>
      <c r="L947" s="16" t="s">
        <v>18</v>
      </c>
      <c r="M947" s="16" t="s">
        <v>22</v>
      </c>
      <c r="N947" s="39" t="s">
        <v>418</v>
      </c>
    </row>
    <row r="948" spans="1:14" s="12" customFormat="1" ht="30">
      <c r="A948" s="178" t="s">
        <v>99</v>
      </c>
      <c r="B948" s="75" t="s">
        <v>1085</v>
      </c>
      <c r="C948" s="39" t="s">
        <v>1067</v>
      </c>
      <c r="D948" s="236"/>
      <c r="E948" s="236"/>
      <c r="F948" s="236"/>
      <c r="G948" s="236"/>
      <c r="H948" s="40">
        <f>SUM(Tabla132112418[[#This Row],[PRIMER TRIMESTRE]:[CUARTO TRIMESTRE]])</f>
        <v>0</v>
      </c>
      <c r="I948" s="17">
        <v>700</v>
      </c>
      <c r="J948" s="17">
        <f t="shared" si="25"/>
        <v>0</v>
      </c>
      <c r="K948" s="17"/>
      <c r="L948" s="16" t="s">
        <v>18</v>
      </c>
      <c r="M948" s="16" t="s">
        <v>22</v>
      </c>
      <c r="N948" s="39" t="s">
        <v>418</v>
      </c>
    </row>
    <row r="949" spans="1:14" s="12" customFormat="1" ht="30">
      <c r="A949" s="178" t="s">
        <v>99</v>
      </c>
      <c r="B949" s="75" t="s">
        <v>1086</v>
      </c>
      <c r="C949" s="39" t="s">
        <v>1067</v>
      </c>
      <c r="D949" s="236"/>
      <c r="E949" s="236"/>
      <c r="F949" s="236"/>
      <c r="G949" s="236"/>
      <c r="H949" s="40">
        <f>SUM(Tabla132112418[[#This Row],[PRIMER TRIMESTRE]:[CUARTO TRIMESTRE]])</f>
        <v>0</v>
      </c>
      <c r="I949" s="17">
        <v>1500</v>
      </c>
      <c r="J949" s="17">
        <f t="shared" si="25"/>
        <v>0</v>
      </c>
      <c r="K949" s="17"/>
      <c r="L949" s="16" t="s">
        <v>18</v>
      </c>
      <c r="M949" s="16" t="s">
        <v>22</v>
      </c>
      <c r="N949" s="39" t="s">
        <v>418</v>
      </c>
    </row>
    <row r="950" spans="1:14" s="12" customFormat="1" ht="30">
      <c r="A950" s="178" t="s">
        <v>99</v>
      </c>
      <c r="B950" s="75" t="s">
        <v>1087</v>
      </c>
      <c r="C950" s="39" t="s">
        <v>208</v>
      </c>
      <c r="D950" s="236"/>
      <c r="E950" s="236"/>
      <c r="F950" s="236"/>
      <c r="G950" s="236"/>
      <c r="H950" s="40">
        <f>SUM(Tabla132112418[[#This Row],[PRIMER TRIMESTRE]:[CUARTO TRIMESTRE]])</f>
        <v>0</v>
      </c>
      <c r="I950" s="17">
        <v>500</v>
      </c>
      <c r="J950" s="17">
        <f t="shared" si="25"/>
        <v>0</v>
      </c>
      <c r="K950" s="17"/>
      <c r="L950" s="16" t="s">
        <v>18</v>
      </c>
      <c r="M950" s="16" t="s">
        <v>22</v>
      </c>
      <c r="N950" s="39" t="s">
        <v>418</v>
      </c>
    </row>
    <row r="951" spans="1:14" s="12" customFormat="1" ht="51">
      <c r="A951" s="178" t="s">
        <v>99</v>
      </c>
      <c r="B951" s="75" t="s">
        <v>1088</v>
      </c>
      <c r="C951" s="39" t="s">
        <v>1067</v>
      </c>
      <c r="D951" s="236"/>
      <c r="E951" s="236"/>
      <c r="F951" s="236"/>
      <c r="G951" s="236"/>
      <c r="H951" s="40">
        <f>SUM(Tabla132112418[[#This Row],[PRIMER TRIMESTRE]:[CUARTO TRIMESTRE]])</f>
        <v>0</v>
      </c>
      <c r="I951" s="17">
        <v>15000</v>
      </c>
      <c r="J951" s="17">
        <f t="shared" si="25"/>
        <v>0</v>
      </c>
      <c r="K951" s="17"/>
      <c r="L951" s="16" t="s">
        <v>18</v>
      </c>
      <c r="M951" s="16" t="s">
        <v>22</v>
      </c>
      <c r="N951" s="39" t="s">
        <v>418</v>
      </c>
    </row>
    <row r="952" spans="1:14" s="12" customFormat="1" ht="30">
      <c r="A952" s="178" t="s">
        <v>99</v>
      </c>
      <c r="B952" s="75" t="s">
        <v>1089</v>
      </c>
      <c r="C952" s="39" t="s">
        <v>1090</v>
      </c>
      <c r="D952" s="236"/>
      <c r="E952" s="236"/>
      <c r="F952" s="236"/>
      <c r="G952" s="236"/>
      <c r="H952" s="40">
        <f>SUM(Tabla132112418[[#This Row],[PRIMER TRIMESTRE]:[CUARTO TRIMESTRE]])</f>
        <v>0</v>
      </c>
      <c r="I952" s="17">
        <v>50</v>
      </c>
      <c r="J952" s="17">
        <f t="shared" si="25"/>
        <v>0</v>
      </c>
      <c r="K952" s="17"/>
      <c r="L952" s="16" t="s">
        <v>18</v>
      </c>
      <c r="M952" s="16" t="s">
        <v>22</v>
      </c>
      <c r="N952" s="39" t="s">
        <v>418</v>
      </c>
    </row>
    <row r="953" spans="1:14" s="12" customFormat="1" ht="30">
      <c r="A953" s="178" t="s">
        <v>99</v>
      </c>
      <c r="B953" s="75" t="s">
        <v>1091</v>
      </c>
      <c r="C953" s="39" t="s">
        <v>718</v>
      </c>
      <c r="D953" s="236"/>
      <c r="E953" s="236"/>
      <c r="F953" s="236"/>
      <c r="G953" s="236"/>
      <c r="H953" s="40">
        <f>SUM(Tabla132112418[[#This Row],[PRIMER TRIMESTRE]:[CUARTO TRIMESTRE]])</f>
        <v>0</v>
      </c>
      <c r="I953" s="17">
        <v>2000</v>
      </c>
      <c r="J953" s="17">
        <f t="shared" si="25"/>
        <v>0</v>
      </c>
      <c r="K953" s="17"/>
      <c r="L953" s="16" t="s">
        <v>18</v>
      </c>
      <c r="M953" s="16" t="s">
        <v>22</v>
      </c>
      <c r="N953" s="39" t="s">
        <v>418</v>
      </c>
    </row>
    <row r="954" spans="1:14" s="12" customFormat="1" ht="30">
      <c r="A954" s="178" t="s">
        <v>99</v>
      </c>
      <c r="B954" s="75" t="s">
        <v>1092</v>
      </c>
      <c r="C954" s="39" t="s">
        <v>1067</v>
      </c>
      <c r="D954" s="236"/>
      <c r="E954" s="236"/>
      <c r="F954" s="236"/>
      <c r="G954" s="236"/>
      <c r="H954" s="40">
        <f>SUM(Tabla132112418[[#This Row],[PRIMER TRIMESTRE]:[CUARTO TRIMESTRE]])</f>
        <v>0</v>
      </c>
      <c r="I954" s="17">
        <v>200</v>
      </c>
      <c r="J954" s="17">
        <f t="shared" si="25"/>
        <v>0</v>
      </c>
      <c r="K954" s="17"/>
      <c r="L954" s="16" t="s">
        <v>27</v>
      </c>
      <c r="M954" s="16" t="s">
        <v>22</v>
      </c>
      <c r="N954" s="39" t="s">
        <v>418</v>
      </c>
    </row>
    <row r="955" spans="1:14" s="12" customFormat="1" ht="30">
      <c r="A955" s="178" t="s">
        <v>99</v>
      </c>
      <c r="B955" s="75" t="s">
        <v>1093</v>
      </c>
      <c r="C955" s="39" t="s">
        <v>1067</v>
      </c>
      <c r="D955" s="236"/>
      <c r="E955" s="236"/>
      <c r="F955" s="236"/>
      <c r="G955" s="236"/>
      <c r="H955" s="40">
        <f>SUM(Tabla132112418[[#This Row],[PRIMER TRIMESTRE]:[CUARTO TRIMESTRE]])</f>
        <v>0</v>
      </c>
      <c r="I955" s="17">
        <v>100</v>
      </c>
      <c r="J955" s="17">
        <f t="shared" si="25"/>
        <v>0</v>
      </c>
      <c r="K955" s="17"/>
      <c r="L955" s="16" t="s">
        <v>18</v>
      </c>
      <c r="M955" s="16" t="s">
        <v>22</v>
      </c>
      <c r="N955" s="39" t="s">
        <v>418</v>
      </c>
    </row>
    <row r="956" spans="1:14" s="12" customFormat="1" ht="30">
      <c r="A956" s="178" t="s">
        <v>99</v>
      </c>
      <c r="B956" s="75" t="s">
        <v>1094</v>
      </c>
      <c r="C956" s="39" t="s">
        <v>208</v>
      </c>
      <c r="D956" s="236"/>
      <c r="E956" s="236"/>
      <c r="F956" s="236"/>
      <c r="G956" s="236"/>
      <c r="H956" s="40">
        <f>SUM(Tabla132112418[[#This Row],[PRIMER TRIMESTRE]:[CUARTO TRIMESTRE]])</f>
        <v>0</v>
      </c>
      <c r="I956" s="17">
        <v>200</v>
      </c>
      <c r="J956" s="17">
        <f t="shared" si="25"/>
        <v>0</v>
      </c>
      <c r="K956" s="17"/>
      <c r="L956" s="16" t="s">
        <v>18</v>
      </c>
      <c r="M956" s="16" t="s">
        <v>22</v>
      </c>
      <c r="N956" s="39" t="s">
        <v>418</v>
      </c>
    </row>
    <row r="957" spans="1:14" s="12" customFormat="1" ht="30">
      <c r="A957" s="178" t="s">
        <v>99</v>
      </c>
      <c r="B957" s="75" t="s">
        <v>1095</v>
      </c>
      <c r="C957" s="39" t="s">
        <v>208</v>
      </c>
      <c r="D957" s="236"/>
      <c r="E957" s="236"/>
      <c r="F957" s="236"/>
      <c r="G957" s="236"/>
      <c r="H957" s="40">
        <f>SUM(Tabla132112418[[#This Row],[PRIMER TRIMESTRE]:[CUARTO TRIMESTRE]])</f>
        <v>0</v>
      </c>
      <c r="I957" s="17">
        <v>200</v>
      </c>
      <c r="J957" s="17">
        <f t="shared" si="25"/>
        <v>0</v>
      </c>
      <c r="K957" s="17"/>
      <c r="L957" s="16" t="s">
        <v>18</v>
      </c>
      <c r="M957" s="16" t="s">
        <v>22</v>
      </c>
      <c r="N957" s="39" t="s">
        <v>418</v>
      </c>
    </row>
    <row r="958" spans="1:14" s="12" customFormat="1" ht="30">
      <c r="A958" s="178" t="s">
        <v>99</v>
      </c>
      <c r="B958" s="75" t="s">
        <v>1096</v>
      </c>
      <c r="C958" s="39" t="s">
        <v>208</v>
      </c>
      <c r="D958" s="236"/>
      <c r="E958" s="236"/>
      <c r="F958" s="236"/>
      <c r="G958" s="236"/>
      <c r="H958" s="40">
        <f>SUM(Tabla132112418[[#This Row],[PRIMER TRIMESTRE]:[CUARTO TRIMESTRE]])</f>
        <v>0</v>
      </c>
      <c r="I958" s="17">
        <v>500</v>
      </c>
      <c r="J958" s="17">
        <f t="shared" si="25"/>
        <v>0</v>
      </c>
      <c r="K958" s="17"/>
      <c r="L958" s="16" t="s">
        <v>18</v>
      </c>
      <c r="M958" s="16" t="s">
        <v>22</v>
      </c>
      <c r="N958" s="39" t="s">
        <v>418</v>
      </c>
    </row>
    <row r="959" spans="1:14" s="12" customFormat="1" ht="30">
      <c r="A959" s="178" t="s">
        <v>99</v>
      </c>
      <c r="B959" s="75" t="s">
        <v>1098</v>
      </c>
      <c r="C959" s="39" t="s">
        <v>1099</v>
      </c>
      <c r="D959" s="236"/>
      <c r="E959" s="236"/>
      <c r="F959" s="236"/>
      <c r="G959" s="236"/>
      <c r="H959" s="40">
        <f>SUM(Tabla132112418[[#This Row],[PRIMER TRIMESTRE]:[CUARTO TRIMESTRE]])</f>
        <v>0</v>
      </c>
      <c r="I959" s="17">
        <v>115</v>
      </c>
      <c r="J959" s="17">
        <f t="shared" si="25"/>
        <v>0</v>
      </c>
      <c r="K959" s="17"/>
      <c r="L959" s="16" t="s">
        <v>18</v>
      </c>
      <c r="M959" s="16" t="s">
        <v>22</v>
      </c>
      <c r="N959" s="39" t="s">
        <v>418</v>
      </c>
    </row>
    <row r="960" spans="1:14" s="12" customFormat="1" ht="30">
      <c r="A960" s="178" t="s">
        <v>99</v>
      </c>
      <c r="B960" s="75" t="s">
        <v>1100</v>
      </c>
      <c r="C960" s="39" t="s">
        <v>1067</v>
      </c>
      <c r="D960" s="236"/>
      <c r="E960" s="236"/>
      <c r="F960" s="236"/>
      <c r="G960" s="236"/>
      <c r="H960" s="40">
        <f>SUM(Tabla132112418[[#This Row],[PRIMER TRIMESTRE]:[CUARTO TRIMESTRE]])</f>
        <v>0</v>
      </c>
      <c r="I960" s="17">
        <v>50</v>
      </c>
      <c r="J960" s="17">
        <f t="shared" si="25"/>
        <v>0</v>
      </c>
      <c r="K960" s="17"/>
      <c r="L960" s="16" t="s">
        <v>18</v>
      </c>
      <c r="M960" s="16" t="s">
        <v>22</v>
      </c>
      <c r="N960" s="39" t="s">
        <v>418</v>
      </c>
    </row>
    <row r="961" spans="1:14" s="12" customFormat="1" ht="30">
      <c r="A961" s="178" t="s">
        <v>99</v>
      </c>
      <c r="B961" s="75" t="s">
        <v>1101</v>
      </c>
      <c r="C961" s="39" t="s">
        <v>35</v>
      </c>
      <c r="D961" s="236"/>
      <c r="E961" s="236"/>
      <c r="F961" s="236"/>
      <c r="G961" s="236"/>
      <c r="H961" s="40">
        <f>SUM(Tabla132112418[[#This Row],[PRIMER TRIMESTRE]:[CUARTO TRIMESTRE]])</f>
        <v>0</v>
      </c>
      <c r="I961" s="17">
        <v>2000</v>
      </c>
      <c r="J961" s="17">
        <f t="shared" si="25"/>
        <v>0</v>
      </c>
      <c r="K961" s="17"/>
      <c r="L961" s="16" t="s">
        <v>18</v>
      </c>
      <c r="M961" s="16" t="s">
        <v>22</v>
      </c>
      <c r="N961" s="39" t="s">
        <v>418</v>
      </c>
    </row>
    <row r="962" spans="1:14" s="12" customFormat="1" ht="30">
      <c r="A962" s="178" t="s">
        <v>99</v>
      </c>
      <c r="B962" s="75" t="s">
        <v>1626</v>
      </c>
      <c r="C962" s="39" t="s">
        <v>35</v>
      </c>
      <c r="D962" s="236"/>
      <c r="E962" s="236"/>
      <c r="F962" s="236"/>
      <c r="G962" s="236"/>
      <c r="H962" s="236">
        <f>SUM(Tabla132112418[[#This Row],[PRIMER TRIMESTRE]:[CUARTO TRIMESTRE]])</f>
        <v>0</v>
      </c>
      <c r="I962" s="17">
        <v>2850</v>
      </c>
      <c r="J962" s="17">
        <f t="shared" si="25"/>
        <v>0</v>
      </c>
      <c r="K962" s="17"/>
      <c r="L962" s="16" t="s">
        <v>18</v>
      </c>
      <c r="M962" s="16" t="s">
        <v>22</v>
      </c>
      <c r="N962" s="39" t="s">
        <v>418</v>
      </c>
    </row>
    <row r="963" spans="1:14" s="12" customFormat="1" ht="30">
      <c r="A963" s="178" t="s">
        <v>99</v>
      </c>
      <c r="B963" s="75" t="s">
        <v>1102</v>
      </c>
      <c r="C963" s="39" t="s">
        <v>1065</v>
      </c>
      <c r="D963" s="236"/>
      <c r="E963" s="236"/>
      <c r="F963" s="236"/>
      <c r="G963" s="236"/>
      <c r="H963" s="40">
        <f>SUM(Tabla132112418[[#This Row],[PRIMER TRIMESTRE]:[CUARTO TRIMESTRE]])</f>
        <v>0</v>
      </c>
      <c r="I963" s="17">
        <v>100</v>
      </c>
      <c r="J963" s="17">
        <f t="shared" si="25"/>
        <v>0</v>
      </c>
      <c r="K963" s="17"/>
      <c r="L963" s="16" t="s">
        <v>18</v>
      </c>
      <c r="M963" s="16" t="s">
        <v>22</v>
      </c>
      <c r="N963" s="39" t="s">
        <v>418</v>
      </c>
    </row>
    <row r="964" spans="1:14" s="12" customFormat="1" ht="30">
      <c r="A964" s="178" t="s">
        <v>99</v>
      </c>
      <c r="B964" s="75" t="s">
        <v>1103</v>
      </c>
      <c r="C964" s="39" t="s">
        <v>1065</v>
      </c>
      <c r="D964" s="236"/>
      <c r="E964" s="236"/>
      <c r="F964" s="236"/>
      <c r="G964" s="236"/>
      <c r="H964" s="40">
        <f>SUM(Tabla132112418[[#This Row],[PRIMER TRIMESTRE]:[CUARTO TRIMESTRE]])</f>
        <v>0</v>
      </c>
      <c r="I964" s="17">
        <v>100</v>
      </c>
      <c r="J964" s="17">
        <f t="shared" ref="J964:J1020" si="26">+H964*I964</f>
        <v>0</v>
      </c>
      <c r="K964" s="17"/>
      <c r="L964" s="16" t="s">
        <v>18</v>
      </c>
      <c r="M964" s="16" t="s">
        <v>22</v>
      </c>
      <c r="N964" s="39" t="s">
        <v>418</v>
      </c>
    </row>
    <row r="965" spans="1:14" s="12" customFormat="1" ht="30">
      <c r="A965" s="178" t="s">
        <v>99</v>
      </c>
      <c r="B965" s="75" t="s">
        <v>1104</v>
      </c>
      <c r="C965" s="39" t="s">
        <v>102</v>
      </c>
      <c r="D965" s="236"/>
      <c r="E965" s="236"/>
      <c r="F965" s="236"/>
      <c r="G965" s="236"/>
      <c r="H965" s="40">
        <f>SUM(Tabla132112418[[#This Row],[PRIMER TRIMESTRE]:[CUARTO TRIMESTRE]])</f>
        <v>0</v>
      </c>
      <c r="I965" s="17">
        <v>600</v>
      </c>
      <c r="J965" s="17">
        <f t="shared" si="26"/>
        <v>0</v>
      </c>
      <c r="K965" s="17"/>
      <c r="L965" s="16" t="s">
        <v>18</v>
      </c>
      <c r="M965" s="16" t="s">
        <v>22</v>
      </c>
      <c r="N965" s="39" t="s">
        <v>418</v>
      </c>
    </row>
    <row r="966" spans="1:14" s="12" customFormat="1" ht="30">
      <c r="A966" s="178" t="s">
        <v>99</v>
      </c>
      <c r="B966" s="75" t="s">
        <v>1106</v>
      </c>
      <c r="C966" s="39" t="s">
        <v>149</v>
      </c>
      <c r="D966" s="236"/>
      <c r="E966" s="236"/>
      <c r="F966" s="236"/>
      <c r="G966" s="236"/>
      <c r="H966" s="40">
        <f>SUM(Tabla132112418[[#This Row],[PRIMER TRIMESTRE]:[CUARTO TRIMESTRE]])</f>
        <v>0</v>
      </c>
      <c r="I966" s="17">
        <v>80</v>
      </c>
      <c r="J966" s="17">
        <f t="shared" si="26"/>
        <v>0</v>
      </c>
      <c r="K966" s="17"/>
      <c r="L966" s="16" t="s">
        <v>18</v>
      </c>
      <c r="M966" s="16" t="s">
        <v>22</v>
      </c>
      <c r="N966" s="39" t="s">
        <v>418</v>
      </c>
    </row>
    <row r="967" spans="1:14" s="12" customFormat="1" ht="30">
      <c r="A967" s="178" t="s">
        <v>99</v>
      </c>
      <c r="B967" s="75" t="s">
        <v>1107</v>
      </c>
      <c r="C967" s="39" t="s">
        <v>149</v>
      </c>
      <c r="D967" s="236"/>
      <c r="E967" s="236"/>
      <c r="F967" s="236"/>
      <c r="G967" s="236"/>
      <c r="H967" s="40">
        <f>SUM(Tabla132112418[[#This Row],[PRIMER TRIMESTRE]:[CUARTO TRIMESTRE]])</f>
        <v>0</v>
      </c>
      <c r="I967" s="17">
        <v>80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</row>
    <row r="968" spans="1:14" s="12" customFormat="1" ht="30">
      <c r="A968" s="178" t="s">
        <v>99</v>
      </c>
      <c r="B968" s="75" t="s">
        <v>306</v>
      </c>
      <c r="C968" s="39" t="s">
        <v>290</v>
      </c>
      <c r="D968" s="236"/>
      <c r="E968" s="236"/>
      <c r="F968" s="236"/>
      <c r="G968" s="236"/>
      <c r="H968" s="40">
        <f>SUM(Tabla132112418[[#This Row],[PRIMER TRIMESTRE]:[CUARTO TRIMESTRE]])</f>
        <v>0</v>
      </c>
      <c r="I968" s="17">
        <v>200</v>
      </c>
      <c r="J968" s="17">
        <f t="shared" si="26"/>
        <v>0</v>
      </c>
      <c r="K968" s="17"/>
      <c r="L968" s="16" t="s">
        <v>18</v>
      </c>
      <c r="M968" s="16" t="s">
        <v>22</v>
      </c>
      <c r="N968" s="39" t="s">
        <v>418</v>
      </c>
    </row>
    <row r="969" spans="1:14" s="12" customFormat="1" ht="76.5">
      <c r="A969" s="178" t="s">
        <v>99</v>
      </c>
      <c r="B969" s="75" t="s">
        <v>1108</v>
      </c>
      <c r="C969" s="39" t="s">
        <v>1067</v>
      </c>
      <c r="D969" s="236"/>
      <c r="E969" s="236"/>
      <c r="F969" s="236"/>
      <c r="G969" s="236"/>
      <c r="H969" s="40">
        <f>SUM(Tabla132112418[[#This Row],[PRIMER TRIMESTRE]:[CUARTO TRIMESTRE]])</f>
        <v>0</v>
      </c>
      <c r="I969" s="17">
        <v>3000</v>
      </c>
      <c r="J969" s="17">
        <f t="shared" si="26"/>
        <v>0</v>
      </c>
      <c r="K969" s="17"/>
      <c r="L969" s="16" t="s">
        <v>18</v>
      </c>
      <c r="M969" s="16" t="s">
        <v>22</v>
      </c>
      <c r="N969" s="39" t="s">
        <v>418</v>
      </c>
    </row>
    <row r="970" spans="1:14" s="12" customFormat="1" ht="51">
      <c r="A970" s="178" t="s">
        <v>99</v>
      </c>
      <c r="B970" s="75" t="s">
        <v>1109</v>
      </c>
      <c r="C970" s="39" t="s">
        <v>1067</v>
      </c>
      <c r="D970" s="236"/>
      <c r="E970" s="236"/>
      <c r="F970" s="236"/>
      <c r="G970" s="236"/>
      <c r="H970" s="40">
        <f>SUM(Tabla132112418[[#This Row],[PRIMER TRIMESTRE]:[CUARTO TRIMESTRE]])</f>
        <v>0</v>
      </c>
      <c r="I970" s="17">
        <v>2000</v>
      </c>
      <c r="J970" s="17">
        <f t="shared" si="26"/>
        <v>0</v>
      </c>
      <c r="K970" s="17"/>
      <c r="L970" s="16" t="s">
        <v>18</v>
      </c>
      <c r="M970" s="16" t="s">
        <v>22</v>
      </c>
      <c r="N970" s="39" t="s">
        <v>418</v>
      </c>
    </row>
    <row r="971" spans="1:14" s="12" customFormat="1" ht="51">
      <c r="A971" s="178" t="s">
        <v>99</v>
      </c>
      <c r="B971" s="75" t="s">
        <v>1110</v>
      </c>
      <c r="C971" s="39" t="s">
        <v>1067</v>
      </c>
      <c r="D971" s="236"/>
      <c r="E971" s="236"/>
      <c r="F971" s="236"/>
      <c r="G971" s="236"/>
      <c r="H971" s="40">
        <f>SUM(Tabla132112418[[#This Row],[PRIMER TRIMESTRE]:[CUARTO TRIMESTRE]])</f>
        <v>0</v>
      </c>
      <c r="I971" s="17">
        <v>2000</v>
      </c>
      <c r="J971" s="17">
        <f t="shared" si="26"/>
        <v>0</v>
      </c>
      <c r="K971" s="17"/>
      <c r="L971" s="16" t="s">
        <v>18</v>
      </c>
      <c r="M971" s="16" t="s">
        <v>22</v>
      </c>
      <c r="N971" s="39" t="s">
        <v>418</v>
      </c>
    </row>
    <row r="972" spans="1:14" s="12" customFormat="1" ht="51">
      <c r="A972" s="178" t="s">
        <v>99</v>
      </c>
      <c r="B972" s="75" t="s">
        <v>1111</v>
      </c>
      <c r="C972" s="39" t="s">
        <v>1067</v>
      </c>
      <c r="D972" s="236"/>
      <c r="E972" s="236"/>
      <c r="F972" s="236"/>
      <c r="G972" s="236"/>
      <c r="H972" s="40">
        <f>SUM(Tabla132112418[[#This Row],[PRIMER TRIMESTRE]:[CUARTO TRIMESTRE]])</f>
        <v>0</v>
      </c>
      <c r="I972" s="17">
        <v>2000</v>
      </c>
      <c r="J972" s="17">
        <f t="shared" si="26"/>
        <v>0</v>
      </c>
      <c r="K972" s="17"/>
      <c r="L972" s="16" t="s">
        <v>18</v>
      </c>
      <c r="M972" s="16" t="s">
        <v>22</v>
      </c>
      <c r="N972" s="39" t="s">
        <v>418</v>
      </c>
    </row>
    <row r="973" spans="1:14" s="12" customFormat="1" ht="38.25">
      <c r="A973" s="178" t="s">
        <v>99</v>
      </c>
      <c r="B973" s="75" t="s">
        <v>1112</v>
      </c>
      <c r="C973" s="39" t="s">
        <v>1067</v>
      </c>
      <c r="D973" s="236"/>
      <c r="E973" s="236"/>
      <c r="F973" s="236"/>
      <c r="G973" s="236"/>
      <c r="H973" s="40">
        <f>SUM(Tabla132112418[[#This Row],[PRIMER TRIMESTRE]:[CUARTO TRIMESTRE]])</f>
        <v>0</v>
      </c>
      <c r="I973" s="17">
        <v>20000</v>
      </c>
      <c r="J973" s="17">
        <f t="shared" si="26"/>
        <v>0</v>
      </c>
      <c r="K973" s="17"/>
      <c r="L973" s="16" t="s">
        <v>18</v>
      </c>
      <c r="M973" s="16" t="s">
        <v>22</v>
      </c>
      <c r="N973" s="39" t="s">
        <v>418</v>
      </c>
    </row>
    <row r="974" spans="1:14" s="12" customFormat="1" ht="38.25">
      <c r="A974" s="178" t="s">
        <v>99</v>
      </c>
      <c r="B974" s="75" t="s">
        <v>1113</v>
      </c>
      <c r="C974" s="39" t="s">
        <v>1067</v>
      </c>
      <c r="D974" s="236"/>
      <c r="E974" s="236"/>
      <c r="F974" s="236"/>
      <c r="G974" s="236"/>
      <c r="H974" s="40">
        <f>SUM(Tabla132112418[[#This Row],[PRIMER TRIMESTRE]:[CUARTO TRIMESTRE]])</f>
        <v>0</v>
      </c>
      <c r="I974" s="17">
        <v>5000</v>
      </c>
      <c r="J974" s="17">
        <f t="shared" si="26"/>
        <v>0</v>
      </c>
      <c r="K974" s="17"/>
      <c r="L974" s="16" t="s">
        <v>18</v>
      </c>
      <c r="M974" s="16" t="s">
        <v>22</v>
      </c>
      <c r="N974" s="39" t="s">
        <v>418</v>
      </c>
    </row>
    <row r="975" spans="1:14" s="12" customFormat="1" ht="38.25">
      <c r="A975" s="178" t="s">
        <v>99</v>
      </c>
      <c r="B975" s="75" t="s">
        <v>1114</v>
      </c>
      <c r="C975" s="39" t="s">
        <v>1067</v>
      </c>
      <c r="D975" s="236"/>
      <c r="E975" s="236"/>
      <c r="F975" s="236"/>
      <c r="G975" s="236"/>
      <c r="H975" s="40">
        <f>SUM(Tabla132112418[[#This Row],[PRIMER TRIMESTRE]:[CUARTO TRIMESTRE]])</f>
        <v>0</v>
      </c>
      <c r="I975" s="17">
        <v>80000</v>
      </c>
      <c r="J975" s="17">
        <f t="shared" si="26"/>
        <v>0</v>
      </c>
      <c r="K975" s="17"/>
      <c r="L975" s="16" t="s">
        <v>18</v>
      </c>
      <c r="M975" s="16" t="s">
        <v>22</v>
      </c>
      <c r="N975" s="39" t="s">
        <v>418</v>
      </c>
    </row>
    <row r="976" spans="1:14" s="12" customFormat="1" ht="38.25">
      <c r="A976" s="178" t="s">
        <v>99</v>
      </c>
      <c r="B976" s="75" t="s">
        <v>1115</v>
      </c>
      <c r="C976" s="39" t="s">
        <v>1067</v>
      </c>
      <c r="D976" s="236"/>
      <c r="E976" s="236"/>
      <c r="F976" s="236"/>
      <c r="G976" s="236"/>
      <c r="H976" s="40">
        <f>SUM(Tabla132112418[[#This Row],[PRIMER TRIMESTRE]:[CUARTO TRIMESTRE]])</f>
        <v>0</v>
      </c>
      <c r="I976" s="17">
        <v>38000</v>
      </c>
      <c r="J976" s="17">
        <f t="shared" si="26"/>
        <v>0</v>
      </c>
      <c r="K976" s="17"/>
      <c r="L976" s="16" t="s">
        <v>18</v>
      </c>
      <c r="M976" s="16" t="s">
        <v>22</v>
      </c>
      <c r="N976" s="39" t="s">
        <v>418</v>
      </c>
    </row>
    <row r="977" spans="1:14" s="12" customFormat="1" ht="30">
      <c r="A977" s="178" t="s">
        <v>99</v>
      </c>
      <c r="B977" s="75" t="s">
        <v>1116</v>
      </c>
      <c r="C977" s="39" t="s">
        <v>1067</v>
      </c>
      <c r="D977" s="236"/>
      <c r="E977" s="236"/>
      <c r="F977" s="236"/>
      <c r="G977" s="236"/>
      <c r="H977" s="40">
        <f>SUM(Tabla132112418[[#This Row],[PRIMER TRIMESTRE]:[CUARTO TRIMESTRE]])</f>
        <v>0</v>
      </c>
      <c r="I977" s="17">
        <v>52000</v>
      </c>
      <c r="J977" s="17">
        <f t="shared" si="26"/>
        <v>0</v>
      </c>
      <c r="K977" s="17"/>
      <c r="L977" s="16" t="s">
        <v>18</v>
      </c>
      <c r="M977" s="16" t="s">
        <v>22</v>
      </c>
      <c r="N977" s="39" t="s">
        <v>418</v>
      </c>
    </row>
    <row r="978" spans="1:14" s="12" customFormat="1" ht="30">
      <c r="A978" s="178" t="s">
        <v>99</v>
      </c>
      <c r="B978" s="75" t="s">
        <v>1117</v>
      </c>
      <c r="C978" s="39" t="s">
        <v>1067</v>
      </c>
      <c r="D978" s="236"/>
      <c r="E978" s="236"/>
      <c r="F978" s="236"/>
      <c r="G978" s="236"/>
      <c r="H978" s="40">
        <f>SUM(Tabla132112418[[#This Row],[PRIMER TRIMESTRE]:[CUARTO TRIMESTRE]])</f>
        <v>0</v>
      </c>
      <c r="I978" s="17">
        <v>4000</v>
      </c>
      <c r="J978" s="17">
        <f t="shared" si="26"/>
        <v>0</v>
      </c>
      <c r="K978" s="17"/>
      <c r="L978" s="16" t="s">
        <v>18</v>
      </c>
      <c r="M978" s="16" t="s">
        <v>22</v>
      </c>
      <c r="N978" s="39" t="s">
        <v>418</v>
      </c>
    </row>
    <row r="979" spans="1:14" s="12" customFormat="1" ht="30">
      <c r="A979" s="178" t="s">
        <v>99</v>
      </c>
      <c r="B979" s="75" t="s">
        <v>1118</v>
      </c>
      <c r="C979" s="39" t="s">
        <v>1067</v>
      </c>
      <c r="D979" s="236"/>
      <c r="E979" s="236"/>
      <c r="F979" s="236"/>
      <c r="G979" s="236"/>
      <c r="H979" s="40">
        <f>SUM(Tabla132112418[[#This Row],[PRIMER TRIMESTRE]:[CUARTO TRIMESTRE]])</f>
        <v>0</v>
      </c>
      <c r="I979" s="17">
        <v>8000</v>
      </c>
      <c r="J979" s="17">
        <f t="shared" si="26"/>
        <v>0</v>
      </c>
      <c r="K979" s="17"/>
      <c r="L979" s="16" t="s">
        <v>18</v>
      </c>
      <c r="M979" s="16" t="s">
        <v>22</v>
      </c>
      <c r="N979" s="39" t="s">
        <v>418</v>
      </c>
    </row>
    <row r="980" spans="1:14" s="12" customFormat="1" ht="30">
      <c r="A980" s="178" t="s">
        <v>99</v>
      </c>
      <c r="B980" s="75" t="s">
        <v>1119</v>
      </c>
      <c r="C980" s="39" t="s">
        <v>1067</v>
      </c>
      <c r="D980" s="236"/>
      <c r="E980" s="236"/>
      <c r="F980" s="236"/>
      <c r="G980" s="236"/>
      <c r="H980" s="40">
        <f>SUM(Tabla132112418[[#This Row],[PRIMER TRIMESTRE]:[CUARTO TRIMESTRE]])</f>
        <v>0</v>
      </c>
      <c r="I980" s="17">
        <v>350000</v>
      </c>
      <c r="J980" s="17">
        <f t="shared" si="26"/>
        <v>0</v>
      </c>
      <c r="K980" s="17"/>
      <c r="L980" s="16" t="s">
        <v>18</v>
      </c>
      <c r="M980" s="16" t="s">
        <v>22</v>
      </c>
      <c r="N980" s="39" t="s">
        <v>418</v>
      </c>
    </row>
    <row r="981" spans="1:14" s="12" customFormat="1" ht="30">
      <c r="A981" s="178" t="s">
        <v>99</v>
      </c>
      <c r="B981" s="75" t="s">
        <v>1120</v>
      </c>
      <c r="C981" s="39" t="s">
        <v>1067</v>
      </c>
      <c r="D981" s="236"/>
      <c r="E981" s="236"/>
      <c r="F981" s="236"/>
      <c r="G981" s="236"/>
      <c r="H981" s="40">
        <f>SUM(Tabla132112418[[#This Row],[PRIMER TRIMESTRE]:[CUARTO TRIMESTRE]])</f>
        <v>0</v>
      </c>
      <c r="I981" s="17">
        <v>21000</v>
      </c>
      <c r="J981" s="17">
        <f t="shared" si="26"/>
        <v>0</v>
      </c>
      <c r="K981" s="17"/>
      <c r="L981" s="16" t="s">
        <v>18</v>
      </c>
      <c r="M981" s="16" t="s">
        <v>22</v>
      </c>
      <c r="N981" s="39" t="s">
        <v>418</v>
      </c>
    </row>
    <row r="982" spans="1:14" s="12" customFormat="1" ht="89.25">
      <c r="A982" s="178" t="s">
        <v>99</v>
      </c>
      <c r="B982" s="75" t="s">
        <v>1121</v>
      </c>
      <c r="C982" s="39" t="s">
        <v>1067</v>
      </c>
      <c r="D982" s="236"/>
      <c r="E982" s="236"/>
      <c r="F982" s="236"/>
      <c r="G982" s="236"/>
      <c r="H982" s="40">
        <f>SUM(Tabla132112418[[#This Row],[PRIMER TRIMESTRE]:[CUARTO TRIMESTRE]])</f>
        <v>0</v>
      </c>
      <c r="I982" s="17">
        <v>300000</v>
      </c>
      <c r="J982" s="17">
        <f t="shared" si="26"/>
        <v>0</v>
      </c>
      <c r="K982" s="17"/>
      <c r="L982" s="16" t="s">
        <v>18</v>
      </c>
      <c r="M982" s="16" t="s">
        <v>22</v>
      </c>
      <c r="N982" s="39" t="s">
        <v>418</v>
      </c>
    </row>
    <row r="983" spans="1:14" s="12" customFormat="1" ht="30">
      <c r="A983" s="178" t="s">
        <v>99</v>
      </c>
      <c r="B983" s="75" t="s">
        <v>1122</v>
      </c>
      <c r="C983" s="39" t="s">
        <v>1067</v>
      </c>
      <c r="D983" s="236"/>
      <c r="E983" s="236"/>
      <c r="F983" s="236"/>
      <c r="G983" s="236"/>
      <c r="H983" s="40">
        <f>SUM(Tabla132112418[[#This Row],[PRIMER TRIMESTRE]:[CUARTO TRIMESTRE]])</f>
        <v>0</v>
      </c>
      <c r="I983" s="17">
        <v>12000</v>
      </c>
      <c r="J983" s="17">
        <f t="shared" si="26"/>
        <v>0</v>
      </c>
      <c r="K983" s="17"/>
      <c r="L983" s="16" t="s">
        <v>18</v>
      </c>
      <c r="M983" s="16" t="s">
        <v>22</v>
      </c>
      <c r="N983" s="39" t="s">
        <v>418</v>
      </c>
    </row>
    <row r="984" spans="1:14" s="12" customFormat="1" ht="30">
      <c r="A984" s="178" t="s">
        <v>99</v>
      </c>
      <c r="B984" s="75" t="s">
        <v>1123</v>
      </c>
      <c r="C984" s="39" t="s">
        <v>1067</v>
      </c>
      <c r="D984" s="236"/>
      <c r="E984" s="236"/>
      <c r="F984" s="236"/>
      <c r="G984" s="236"/>
      <c r="H984" s="40">
        <f>SUM(Tabla132112418[[#This Row],[PRIMER TRIMESTRE]:[CUARTO TRIMESTRE]])</f>
        <v>0</v>
      </c>
      <c r="I984" s="17">
        <v>10000</v>
      </c>
      <c r="J984" s="17">
        <f t="shared" si="26"/>
        <v>0</v>
      </c>
      <c r="K984" s="17"/>
      <c r="L984" s="16" t="s">
        <v>18</v>
      </c>
      <c r="M984" s="16" t="s">
        <v>22</v>
      </c>
      <c r="N984" s="39" t="s">
        <v>418</v>
      </c>
    </row>
    <row r="985" spans="1:14" s="12" customFormat="1" ht="30">
      <c r="A985" s="178" t="s">
        <v>99</v>
      </c>
      <c r="B985" s="75" t="s">
        <v>1124</v>
      </c>
      <c r="C985" s="39" t="s">
        <v>1067</v>
      </c>
      <c r="D985" s="236"/>
      <c r="E985" s="236"/>
      <c r="F985" s="236"/>
      <c r="G985" s="236"/>
      <c r="H985" s="40">
        <f>SUM(Tabla132112418[[#This Row],[PRIMER TRIMESTRE]:[CUARTO TRIMESTRE]])</f>
        <v>0</v>
      </c>
      <c r="I985" s="17">
        <v>5000</v>
      </c>
      <c r="J985" s="17">
        <f t="shared" si="26"/>
        <v>0</v>
      </c>
      <c r="K985" s="17"/>
      <c r="L985" s="16" t="s">
        <v>18</v>
      </c>
      <c r="M985" s="16" t="s">
        <v>22</v>
      </c>
      <c r="N985" s="39" t="s">
        <v>418</v>
      </c>
    </row>
    <row r="986" spans="1:14" s="12" customFormat="1" ht="30">
      <c r="A986" s="178" t="s">
        <v>99</v>
      </c>
      <c r="B986" s="75" t="s">
        <v>1125</v>
      </c>
      <c r="C986" s="39" t="s">
        <v>1067</v>
      </c>
      <c r="D986" s="236"/>
      <c r="E986" s="236"/>
      <c r="F986" s="236"/>
      <c r="G986" s="236"/>
      <c r="H986" s="40">
        <f>SUM(Tabla132112418[[#This Row],[PRIMER TRIMESTRE]:[CUARTO TRIMESTRE]])</f>
        <v>0</v>
      </c>
      <c r="I986" s="17">
        <v>5000</v>
      </c>
      <c r="J986" s="17">
        <f t="shared" si="26"/>
        <v>0</v>
      </c>
      <c r="K986" s="17"/>
      <c r="L986" s="16" t="s">
        <v>18</v>
      </c>
      <c r="M986" s="16" t="s">
        <v>22</v>
      </c>
      <c r="N986" s="39" t="s">
        <v>418</v>
      </c>
    </row>
    <row r="987" spans="1:14" s="12" customFormat="1" ht="30">
      <c r="A987" s="178" t="s">
        <v>99</v>
      </c>
      <c r="B987" s="75" t="s">
        <v>1126</v>
      </c>
      <c r="C987" s="39" t="s">
        <v>1067</v>
      </c>
      <c r="D987" s="236"/>
      <c r="E987" s="236"/>
      <c r="F987" s="236"/>
      <c r="G987" s="236"/>
      <c r="H987" s="40">
        <f>SUM(Tabla132112418[[#This Row],[PRIMER TRIMESTRE]:[CUARTO TRIMESTRE]])</f>
        <v>0</v>
      </c>
      <c r="I987" s="17">
        <v>3000</v>
      </c>
      <c r="J987" s="17">
        <f t="shared" si="26"/>
        <v>0</v>
      </c>
      <c r="K987" s="17"/>
      <c r="L987" s="16" t="s">
        <v>18</v>
      </c>
      <c r="M987" s="16" t="s">
        <v>22</v>
      </c>
      <c r="N987" s="39" t="s">
        <v>418</v>
      </c>
    </row>
    <row r="988" spans="1:14" s="12" customFormat="1" ht="30">
      <c r="A988" s="178" t="s">
        <v>99</v>
      </c>
      <c r="B988" s="75" t="s">
        <v>1093</v>
      </c>
      <c r="C988" s="39" t="s">
        <v>1067</v>
      </c>
      <c r="D988" s="236"/>
      <c r="E988" s="236"/>
      <c r="F988" s="236"/>
      <c r="G988" s="236"/>
      <c r="H988" s="40">
        <f>SUM(Tabla132112418[[#This Row],[PRIMER TRIMESTRE]:[CUARTO TRIMESTRE]])</f>
        <v>0</v>
      </c>
      <c r="I988" s="17">
        <v>250</v>
      </c>
      <c r="J988" s="17">
        <f t="shared" si="26"/>
        <v>0</v>
      </c>
      <c r="K988" s="17"/>
      <c r="L988" s="16" t="s">
        <v>18</v>
      </c>
      <c r="M988" s="16" t="s">
        <v>22</v>
      </c>
      <c r="N988" s="39" t="s">
        <v>418</v>
      </c>
    </row>
    <row r="989" spans="1:14" s="12" customFormat="1" ht="30">
      <c r="A989" s="178" t="s">
        <v>99</v>
      </c>
      <c r="B989" s="75" t="s">
        <v>1127</v>
      </c>
      <c r="C989" s="39" t="s">
        <v>1067</v>
      </c>
      <c r="D989" s="236"/>
      <c r="E989" s="236"/>
      <c r="F989" s="236"/>
      <c r="G989" s="236"/>
      <c r="H989" s="40">
        <f>SUM(Tabla132112418[[#This Row],[PRIMER TRIMESTRE]:[CUARTO TRIMESTRE]])</f>
        <v>0</v>
      </c>
      <c r="I989" s="17">
        <v>80000</v>
      </c>
      <c r="J989" s="17">
        <f t="shared" si="26"/>
        <v>0</v>
      </c>
      <c r="K989" s="17"/>
      <c r="L989" s="16" t="s">
        <v>18</v>
      </c>
      <c r="M989" s="16" t="s">
        <v>22</v>
      </c>
      <c r="N989" s="39" t="s">
        <v>418</v>
      </c>
    </row>
    <row r="990" spans="1:14" s="12" customFormat="1" ht="30">
      <c r="A990" s="178" t="s">
        <v>99</v>
      </c>
      <c r="B990" s="75" t="s">
        <v>1128</v>
      </c>
      <c r="C990" s="39" t="s">
        <v>1067</v>
      </c>
      <c r="D990" s="236"/>
      <c r="E990" s="236"/>
      <c r="F990" s="236"/>
      <c r="G990" s="236"/>
      <c r="H990" s="40">
        <f>SUM(Tabla132112418[[#This Row],[PRIMER TRIMESTRE]:[CUARTO TRIMESTRE]])</f>
        <v>0</v>
      </c>
      <c r="I990" s="17">
        <v>1500</v>
      </c>
      <c r="J990" s="17">
        <f t="shared" si="26"/>
        <v>0</v>
      </c>
      <c r="K990" s="17"/>
      <c r="L990" s="16" t="s">
        <v>18</v>
      </c>
      <c r="M990" s="16" t="s">
        <v>22</v>
      </c>
      <c r="N990" s="39" t="s">
        <v>418</v>
      </c>
    </row>
    <row r="991" spans="1:14" s="12" customFormat="1" ht="30">
      <c r="A991" s="178" t="s">
        <v>99</v>
      </c>
      <c r="B991" s="75" t="s">
        <v>1129</v>
      </c>
      <c r="C991" s="39" t="s">
        <v>1067</v>
      </c>
      <c r="D991" s="236"/>
      <c r="E991" s="236"/>
      <c r="F991" s="236"/>
      <c r="G991" s="236"/>
      <c r="H991" s="40">
        <f>SUM(Tabla132112418[[#This Row],[PRIMER TRIMESTRE]:[CUARTO TRIMESTRE]])</f>
        <v>0</v>
      </c>
      <c r="I991" s="17">
        <v>1000</v>
      </c>
      <c r="J991" s="17">
        <f t="shared" si="26"/>
        <v>0</v>
      </c>
      <c r="K991" s="17"/>
      <c r="L991" s="16" t="s">
        <v>18</v>
      </c>
      <c r="M991" s="16" t="s">
        <v>22</v>
      </c>
      <c r="N991" s="39" t="s">
        <v>418</v>
      </c>
    </row>
    <row r="992" spans="1:14" s="12" customFormat="1" ht="30">
      <c r="A992" s="178" t="s">
        <v>99</v>
      </c>
      <c r="B992" s="75" t="s">
        <v>1130</v>
      </c>
      <c r="C992" s="39" t="s">
        <v>1067</v>
      </c>
      <c r="D992" s="236"/>
      <c r="E992" s="236"/>
      <c r="F992" s="236"/>
      <c r="G992" s="236"/>
      <c r="H992" s="40">
        <f>SUM(Tabla132112418[[#This Row],[PRIMER TRIMESTRE]:[CUARTO TRIMESTRE]])</f>
        <v>0</v>
      </c>
      <c r="I992" s="17">
        <v>2000</v>
      </c>
      <c r="J992" s="17">
        <f t="shared" si="26"/>
        <v>0</v>
      </c>
      <c r="K992" s="17"/>
      <c r="L992" s="16" t="s">
        <v>18</v>
      </c>
      <c r="M992" s="16" t="s">
        <v>22</v>
      </c>
      <c r="N992" s="39" t="s">
        <v>418</v>
      </c>
    </row>
    <row r="993" spans="1:14" s="12" customFormat="1" ht="30">
      <c r="A993" s="178" t="s">
        <v>99</v>
      </c>
      <c r="B993" s="75" t="s">
        <v>1131</v>
      </c>
      <c r="C993" s="39" t="s">
        <v>1067</v>
      </c>
      <c r="D993" s="236"/>
      <c r="E993" s="236"/>
      <c r="F993" s="236"/>
      <c r="G993" s="236"/>
      <c r="H993" s="40">
        <f>SUM(Tabla132112418[[#This Row],[PRIMER TRIMESTRE]:[CUARTO TRIMESTRE]])</f>
        <v>0</v>
      </c>
      <c r="I993" s="17">
        <v>300</v>
      </c>
      <c r="J993" s="17">
        <f t="shared" si="26"/>
        <v>0</v>
      </c>
      <c r="K993" s="17"/>
      <c r="L993" s="16" t="s">
        <v>18</v>
      </c>
      <c r="M993" s="16" t="s">
        <v>22</v>
      </c>
      <c r="N993" s="39" t="s">
        <v>418</v>
      </c>
    </row>
    <row r="994" spans="1:14" s="12" customFormat="1" ht="30">
      <c r="A994" s="178" t="s">
        <v>99</v>
      </c>
      <c r="B994" s="75" t="s">
        <v>1508</v>
      </c>
      <c r="C994" s="39" t="s">
        <v>1067</v>
      </c>
      <c r="D994" s="236"/>
      <c r="E994" s="236"/>
      <c r="F994" s="236"/>
      <c r="G994" s="236"/>
      <c r="H994" s="236">
        <f>SUM(Tabla132112418[[#This Row],[PRIMER TRIMESTRE]:[CUARTO TRIMESTRE]])</f>
        <v>0</v>
      </c>
      <c r="I994" s="17">
        <v>392</v>
      </c>
      <c r="J994" s="17">
        <f t="shared" si="26"/>
        <v>0</v>
      </c>
      <c r="K994" s="17"/>
      <c r="L994" s="16" t="s">
        <v>27</v>
      </c>
      <c r="M994" s="16" t="s">
        <v>22</v>
      </c>
      <c r="N994" s="39" t="s">
        <v>418</v>
      </c>
    </row>
    <row r="995" spans="1:14" s="12" customFormat="1" ht="30">
      <c r="A995" s="178" t="s">
        <v>99</v>
      </c>
      <c r="B995" s="75" t="s">
        <v>1132</v>
      </c>
      <c r="C995" s="39" t="s">
        <v>1067</v>
      </c>
      <c r="D995" s="236"/>
      <c r="E995" s="236"/>
      <c r="F995" s="236"/>
      <c r="G995" s="236"/>
      <c r="H995" s="40">
        <f>SUM(Tabla132112418[[#This Row],[PRIMER TRIMESTRE]:[CUARTO TRIMESTRE]])</f>
        <v>0</v>
      </c>
      <c r="I995" s="17">
        <v>60000</v>
      </c>
      <c r="J995" s="17">
        <f t="shared" si="26"/>
        <v>0</v>
      </c>
      <c r="K995" s="17"/>
      <c r="L995" s="16" t="s">
        <v>18</v>
      </c>
      <c r="M995" s="16" t="s">
        <v>22</v>
      </c>
      <c r="N995" s="39" t="s">
        <v>418</v>
      </c>
    </row>
    <row r="996" spans="1:14" s="12" customFormat="1" ht="63.75">
      <c r="A996" s="178" t="s">
        <v>99</v>
      </c>
      <c r="B996" s="75" t="s">
        <v>1133</v>
      </c>
      <c r="C996" s="39" t="s">
        <v>1067</v>
      </c>
      <c r="D996" s="236"/>
      <c r="E996" s="236"/>
      <c r="F996" s="236"/>
      <c r="G996" s="236"/>
      <c r="H996" s="40">
        <f>SUM(Tabla132112418[[#This Row],[PRIMER TRIMESTRE]:[CUARTO TRIMESTRE]])</f>
        <v>0</v>
      </c>
      <c r="I996" s="17">
        <v>3500</v>
      </c>
      <c r="J996" s="17">
        <f t="shared" si="26"/>
        <v>0</v>
      </c>
      <c r="K996" s="17"/>
      <c r="L996" s="16" t="s">
        <v>18</v>
      </c>
      <c r="M996" s="16" t="s">
        <v>22</v>
      </c>
      <c r="N996" s="39" t="s">
        <v>418</v>
      </c>
    </row>
    <row r="997" spans="1:14" s="12" customFormat="1" ht="30">
      <c r="A997" s="178" t="s">
        <v>99</v>
      </c>
      <c r="B997" s="75" t="s">
        <v>1873</v>
      </c>
      <c r="C997" s="39" t="s">
        <v>1067</v>
      </c>
      <c r="D997" s="236"/>
      <c r="E997" s="236"/>
      <c r="F997" s="236"/>
      <c r="G997" s="236"/>
      <c r="H997" s="40">
        <f>SUM(Tabla132112418[[#This Row],[PRIMER TRIMESTRE]:[CUARTO TRIMESTRE]])</f>
        <v>0</v>
      </c>
      <c r="I997" s="17">
        <v>1150</v>
      </c>
      <c r="J997" s="17">
        <f>Tabla132112418[[#This Row],[PRECIO UNITARIO ESTIMADO]]*Tabla132112418[[#This Row],[CANTIDAD TOTAL]]</f>
        <v>0</v>
      </c>
      <c r="K997" s="17"/>
      <c r="L997" s="16" t="s">
        <v>18</v>
      </c>
      <c r="M997" s="16" t="s">
        <v>22</v>
      </c>
      <c r="N997" s="39" t="s">
        <v>418</v>
      </c>
    </row>
    <row r="998" spans="1:14" s="12" customFormat="1" ht="51">
      <c r="A998" s="178" t="s">
        <v>99</v>
      </c>
      <c r="B998" s="75" t="s">
        <v>1134</v>
      </c>
      <c r="C998" s="39" t="s">
        <v>1067</v>
      </c>
      <c r="D998" s="236"/>
      <c r="E998" s="236"/>
      <c r="F998" s="236"/>
      <c r="G998" s="236"/>
      <c r="H998" s="40">
        <f>SUM(Tabla132112418[[#This Row],[PRIMER TRIMESTRE]:[CUARTO TRIMESTRE]])</f>
        <v>0</v>
      </c>
      <c r="I998" s="17">
        <v>450000</v>
      </c>
      <c r="J998" s="17">
        <f t="shared" si="26"/>
        <v>0</v>
      </c>
      <c r="K998" s="17"/>
      <c r="L998" s="16" t="s">
        <v>18</v>
      </c>
      <c r="M998" s="16" t="s">
        <v>22</v>
      </c>
      <c r="N998" s="39" t="s">
        <v>418</v>
      </c>
    </row>
    <row r="999" spans="1:14" s="12" customFormat="1" ht="51">
      <c r="A999" s="178" t="s">
        <v>99</v>
      </c>
      <c r="B999" s="75" t="s">
        <v>1135</v>
      </c>
      <c r="C999" s="39" t="s">
        <v>1067</v>
      </c>
      <c r="D999" s="236"/>
      <c r="E999" s="236"/>
      <c r="F999" s="236"/>
      <c r="G999" s="236"/>
      <c r="H999" s="40">
        <f>SUM(Tabla132112418[[#This Row],[PRIMER TRIMESTRE]:[CUARTO TRIMESTRE]])</f>
        <v>0</v>
      </c>
      <c r="I999" s="17">
        <v>200000</v>
      </c>
      <c r="J999" s="17">
        <f t="shared" si="26"/>
        <v>0</v>
      </c>
      <c r="K999" s="17"/>
      <c r="L999" s="16" t="s">
        <v>18</v>
      </c>
      <c r="M999" s="16" t="s">
        <v>22</v>
      </c>
      <c r="N999" s="39" t="s">
        <v>418</v>
      </c>
    </row>
    <row r="1000" spans="1:14" s="12" customFormat="1" ht="38.25">
      <c r="A1000" s="178" t="s">
        <v>99</v>
      </c>
      <c r="B1000" s="75" t="s">
        <v>1136</v>
      </c>
      <c r="C1000" s="39" t="s">
        <v>1067</v>
      </c>
      <c r="D1000" s="236"/>
      <c r="E1000" s="236"/>
      <c r="F1000" s="236"/>
      <c r="G1000" s="236"/>
      <c r="H1000" s="40">
        <f>SUM(Tabla132112418[[#This Row],[PRIMER TRIMESTRE]:[CUARTO TRIMESTRE]])</f>
        <v>0</v>
      </c>
      <c r="I1000" s="17">
        <v>70000</v>
      </c>
      <c r="J1000" s="17">
        <f t="shared" si="26"/>
        <v>0</v>
      </c>
      <c r="K1000" s="17"/>
      <c r="L1000" s="16" t="s">
        <v>18</v>
      </c>
      <c r="M1000" s="16" t="s">
        <v>22</v>
      </c>
      <c r="N1000" s="39" t="s">
        <v>418</v>
      </c>
    </row>
    <row r="1001" spans="1:14" s="12" customFormat="1" ht="30">
      <c r="A1001" s="178" t="s">
        <v>99</v>
      </c>
      <c r="B1001" s="75" t="s">
        <v>1137</v>
      </c>
      <c r="C1001" s="39" t="s">
        <v>1067</v>
      </c>
      <c r="D1001" s="236"/>
      <c r="E1001" s="236"/>
      <c r="F1001" s="236"/>
      <c r="G1001" s="236"/>
      <c r="H1001" s="40">
        <f>SUM(Tabla132112418[[#This Row],[PRIMER TRIMESTRE]:[CUARTO TRIMESTRE]])</f>
        <v>0</v>
      </c>
      <c r="I1001" s="17">
        <v>20000</v>
      </c>
      <c r="J1001" s="17">
        <f t="shared" si="26"/>
        <v>0</v>
      </c>
      <c r="K1001" s="17"/>
      <c r="L1001" s="16" t="s">
        <v>18</v>
      </c>
      <c r="M1001" s="16" t="s">
        <v>22</v>
      </c>
      <c r="N1001" s="39" t="s">
        <v>418</v>
      </c>
    </row>
    <row r="1002" spans="1:14" s="12" customFormat="1" ht="30">
      <c r="A1002" s="178" t="s">
        <v>99</v>
      </c>
      <c r="B1002" s="75" t="s">
        <v>1148</v>
      </c>
      <c r="C1002" s="39" t="s">
        <v>1067</v>
      </c>
      <c r="D1002" s="236"/>
      <c r="E1002" s="236"/>
      <c r="F1002" s="236"/>
      <c r="G1002" s="236"/>
      <c r="H1002" s="40">
        <f>SUM(Tabla132112418[[#This Row],[PRIMER TRIMESTRE]:[CUARTO TRIMESTRE]])</f>
        <v>0</v>
      </c>
      <c r="I1002" s="17">
        <v>70</v>
      </c>
      <c r="J1002" s="17">
        <f t="shared" si="26"/>
        <v>0</v>
      </c>
      <c r="K1002" s="17"/>
      <c r="L1002" s="16" t="s">
        <v>18</v>
      </c>
      <c r="M1002" s="16" t="s">
        <v>22</v>
      </c>
      <c r="N1002" s="39" t="s">
        <v>418</v>
      </c>
    </row>
    <row r="1003" spans="1:14" s="12" customFormat="1" ht="30">
      <c r="A1003" s="178" t="s">
        <v>99</v>
      </c>
      <c r="B1003" s="75" t="s">
        <v>1139</v>
      </c>
      <c r="C1003" s="39" t="s">
        <v>1067</v>
      </c>
      <c r="D1003" s="236"/>
      <c r="E1003" s="236"/>
      <c r="F1003" s="236"/>
      <c r="G1003" s="236"/>
      <c r="H1003" s="40">
        <f>SUM(Tabla132112418[[#This Row],[PRIMER TRIMESTRE]:[CUARTO TRIMESTRE]])</f>
        <v>0</v>
      </c>
      <c r="I1003" s="17">
        <v>10000</v>
      </c>
      <c r="J1003" s="17">
        <f t="shared" si="26"/>
        <v>0</v>
      </c>
      <c r="K1003" s="17"/>
      <c r="L1003" s="16" t="s">
        <v>18</v>
      </c>
      <c r="M1003" s="16" t="s">
        <v>22</v>
      </c>
      <c r="N1003" s="39" t="s">
        <v>418</v>
      </c>
    </row>
    <row r="1004" spans="1:14" s="12" customFormat="1" ht="76.5">
      <c r="A1004" s="178" t="s">
        <v>99</v>
      </c>
      <c r="B1004" s="75" t="s">
        <v>1140</v>
      </c>
      <c r="C1004" s="39" t="s">
        <v>1067</v>
      </c>
      <c r="D1004" s="236"/>
      <c r="E1004" s="236"/>
      <c r="F1004" s="236"/>
      <c r="G1004" s="236"/>
      <c r="H1004" s="40">
        <f>SUM(Tabla132112418[[#This Row],[PRIMER TRIMESTRE]:[CUARTO TRIMESTRE]])</f>
        <v>0</v>
      </c>
      <c r="I1004" s="17">
        <v>60000</v>
      </c>
      <c r="J1004" s="17">
        <f t="shared" si="26"/>
        <v>0</v>
      </c>
      <c r="K1004" s="17"/>
      <c r="L1004" s="16" t="s">
        <v>18</v>
      </c>
      <c r="M1004" s="16" t="s">
        <v>22</v>
      </c>
      <c r="N1004" s="39" t="s">
        <v>418</v>
      </c>
    </row>
    <row r="1005" spans="1:14" s="12" customFormat="1" ht="30">
      <c r="A1005" s="178" t="s">
        <v>99</v>
      </c>
      <c r="B1005" s="75" t="s">
        <v>1141</v>
      </c>
      <c r="C1005" s="39" t="s">
        <v>718</v>
      </c>
      <c r="D1005" s="236"/>
      <c r="E1005" s="236"/>
      <c r="F1005" s="236"/>
      <c r="G1005" s="236"/>
      <c r="H1005" s="40">
        <f>SUM(Tabla132112418[[#This Row],[PRIMER TRIMESTRE]:[CUARTO TRIMESTRE]])</f>
        <v>0</v>
      </c>
      <c r="I1005" s="17">
        <v>4000</v>
      </c>
      <c r="J1005" s="17">
        <f t="shared" si="26"/>
        <v>0</v>
      </c>
      <c r="K1005" s="17"/>
      <c r="L1005" s="16" t="s">
        <v>18</v>
      </c>
      <c r="M1005" s="16" t="s">
        <v>22</v>
      </c>
      <c r="N1005" s="39" t="s">
        <v>418</v>
      </c>
    </row>
    <row r="1006" spans="1:14" s="12" customFormat="1" ht="30">
      <c r="A1006" s="178" t="s">
        <v>99</v>
      </c>
      <c r="B1006" s="75" t="s">
        <v>1142</v>
      </c>
      <c r="C1006" s="39" t="s">
        <v>718</v>
      </c>
      <c r="D1006" s="236"/>
      <c r="E1006" s="236"/>
      <c r="F1006" s="236"/>
      <c r="G1006" s="236"/>
      <c r="H1006" s="40">
        <f>SUM(Tabla132112418[[#This Row],[PRIMER TRIMESTRE]:[CUARTO TRIMESTRE]])</f>
        <v>0</v>
      </c>
      <c r="I1006" s="17">
        <v>3000</v>
      </c>
      <c r="J1006" s="17">
        <f t="shared" si="26"/>
        <v>0</v>
      </c>
      <c r="K1006" s="17"/>
      <c r="L1006" s="16" t="s">
        <v>18</v>
      </c>
      <c r="M1006" s="16" t="s">
        <v>22</v>
      </c>
      <c r="N1006" s="39" t="s">
        <v>418</v>
      </c>
    </row>
    <row r="1007" spans="1:14" s="12" customFormat="1" ht="30">
      <c r="A1007" s="178" t="s">
        <v>99</v>
      </c>
      <c r="B1007" s="75" t="s">
        <v>1143</v>
      </c>
      <c r="C1007" s="39" t="s">
        <v>1065</v>
      </c>
      <c r="D1007" s="236"/>
      <c r="E1007" s="236"/>
      <c r="F1007" s="236"/>
      <c r="G1007" s="236"/>
      <c r="H1007" s="40">
        <f>SUM(Tabla132112418[[#This Row],[PRIMER TRIMESTRE]:[CUARTO TRIMESTRE]])</f>
        <v>0</v>
      </c>
      <c r="I1007" s="17">
        <v>4500</v>
      </c>
      <c r="J1007" s="17">
        <f t="shared" si="26"/>
        <v>0</v>
      </c>
      <c r="K1007" s="17"/>
      <c r="L1007" s="16" t="s">
        <v>18</v>
      </c>
      <c r="M1007" s="16" t="s">
        <v>22</v>
      </c>
      <c r="N1007" s="39" t="s">
        <v>418</v>
      </c>
    </row>
    <row r="1008" spans="1:14" s="12" customFormat="1" ht="30">
      <c r="A1008" s="178" t="s">
        <v>99</v>
      </c>
      <c r="B1008" s="75" t="s">
        <v>1144</v>
      </c>
      <c r="C1008" s="39" t="s">
        <v>102</v>
      </c>
      <c r="D1008" s="236"/>
      <c r="E1008" s="236"/>
      <c r="F1008" s="236"/>
      <c r="G1008" s="236"/>
      <c r="H1008" s="40">
        <f>SUM(Tabla132112418[[#This Row],[PRIMER TRIMESTRE]:[CUARTO TRIMESTRE]])</f>
        <v>0</v>
      </c>
      <c r="I1008" s="17">
        <v>1000</v>
      </c>
      <c r="J1008" s="17">
        <f t="shared" si="26"/>
        <v>0</v>
      </c>
      <c r="K1008" s="17"/>
      <c r="L1008" s="16" t="s">
        <v>18</v>
      </c>
      <c r="M1008" s="16" t="s">
        <v>22</v>
      </c>
      <c r="N1008" s="39" t="s">
        <v>418</v>
      </c>
    </row>
    <row r="1009" spans="1:14" s="12" customFormat="1" ht="30.75" customHeight="1">
      <c r="A1009" s="178" t="s">
        <v>99</v>
      </c>
      <c r="B1009" s="75" t="s">
        <v>1145</v>
      </c>
      <c r="C1009" s="39" t="s">
        <v>1067</v>
      </c>
      <c r="D1009" s="236"/>
      <c r="E1009" s="236"/>
      <c r="F1009" s="236"/>
      <c r="G1009" s="236"/>
      <c r="H1009" s="40">
        <f>SUM(Tabla132112418[[#This Row],[PRIMER TRIMESTRE]:[CUARTO TRIMESTRE]])</f>
        <v>0</v>
      </c>
      <c r="I1009" s="17">
        <v>184000</v>
      </c>
      <c r="J1009" s="17">
        <f t="shared" si="26"/>
        <v>0</v>
      </c>
      <c r="K1009" s="17"/>
      <c r="L1009" s="16" t="s">
        <v>18</v>
      </c>
      <c r="M1009" s="16" t="s">
        <v>22</v>
      </c>
      <c r="N1009" s="39" t="s">
        <v>418</v>
      </c>
    </row>
    <row r="1010" spans="1:14" s="26" customFormat="1" ht="30.75" customHeight="1">
      <c r="A1010" s="178" t="s">
        <v>99</v>
      </c>
      <c r="B1010" s="75" t="s">
        <v>1146</v>
      </c>
      <c r="C1010" s="39" t="s">
        <v>1067</v>
      </c>
      <c r="D1010" s="236"/>
      <c r="E1010" s="236"/>
      <c r="F1010" s="236"/>
      <c r="G1010" s="236"/>
      <c r="H1010" s="40">
        <f>SUM(Tabla132112418[[#This Row],[PRIMER TRIMESTRE]:[CUARTO TRIMESTRE]])</f>
        <v>0</v>
      </c>
      <c r="I1010" s="17">
        <v>85000</v>
      </c>
      <c r="J1010" s="17">
        <f t="shared" si="26"/>
        <v>0</v>
      </c>
      <c r="K1010" s="17"/>
      <c r="L1010" s="16" t="s">
        <v>18</v>
      </c>
      <c r="M1010" s="16" t="s">
        <v>22</v>
      </c>
      <c r="N1010" s="39" t="s">
        <v>418</v>
      </c>
    </row>
    <row r="1011" spans="1:14" s="12" customFormat="1" ht="30.75" customHeight="1">
      <c r="A1011" s="178" t="s">
        <v>99</v>
      </c>
      <c r="B1011" s="75" t="s">
        <v>1147</v>
      </c>
      <c r="C1011" s="39" t="s">
        <v>1067</v>
      </c>
      <c r="D1011" s="236"/>
      <c r="E1011" s="236"/>
      <c r="F1011" s="236"/>
      <c r="G1011" s="236"/>
      <c r="H1011" s="40">
        <f>SUM(Tabla132112418[[#This Row],[PRIMER TRIMESTRE]:[CUARTO TRIMESTRE]])</f>
        <v>0</v>
      </c>
      <c r="I1011" s="17">
        <v>10000</v>
      </c>
      <c r="J1011" s="17">
        <f t="shared" si="26"/>
        <v>0</v>
      </c>
      <c r="K1011" s="17"/>
      <c r="L1011" s="16" t="s">
        <v>18</v>
      </c>
      <c r="M1011" s="16" t="s">
        <v>22</v>
      </c>
      <c r="N1011" s="39" t="s">
        <v>418</v>
      </c>
    </row>
    <row r="1012" spans="1:14" s="12" customFormat="1" ht="30.75" customHeight="1">
      <c r="A1012" s="178" t="s">
        <v>99</v>
      </c>
      <c r="B1012" s="75" t="s">
        <v>1452</v>
      </c>
      <c r="C1012" s="39" t="s">
        <v>17</v>
      </c>
      <c r="D1012" s="236"/>
      <c r="E1012" s="236"/>
      <c r="F1012" s="236"/>
      <c r="G1012" s="236"/>
      <c r="H1012" s="236">
        <f>SUM(Tabla132112418[[#This Row],[PRIMER TRIMESTRE]:[CUARTO TRIMESTRE]])</f>
        <v>0</v>
      </c>
      <c r="I1012" s="17">
        <v>5589.05</v>
      </c>
      <c r="J1012" s="17">
        <f t="shared" si="26"/>
        <v>0</v>
      </c>
      <c r="K1012" s="17"/>
      <c r="L1012" s="16" t="s">
        <v>27</v>
      </c>
      <c r="M1012" s="16" t="s">
        <v>19</v>
      </c>
      <c r="N1012" s="39" t="s">
        <v>342</v>
      </c>
    </row>
    <row r="1013" spans="1:14" s="12" customFormat="1" ht="30.75" customHeight="1">
      <c r="A1013" s="178" t="s">
        <v>99</v>
      </c>
      <c r="B1013" s="75" t="s">
        <v>1453</v>
      </c>
      <c r="C1013" s="39" t="s">
        <v>17</v>
      </c>
      <c r="D1013" s="236"/>
      <c r="E1013" s="236"/>
      <c r="F1013" s="236"/>
      <c r="G1013" s="236"/>
      <c r="H1013" s="236">
        <f>SUM(Tabla132112418[[#This Row],[PRIMER TRIMESTRE]:[CUARTO TRIMESTRE]])</f>
        <v>0</v>
      </c>
      <c r="I1013" s="17">
        <v>15710.6</v>
      </c>
      <c r="J1013" s="17">
        <f t="shared" si="26"/>
        <v>0</v>
      </c>
      <c r="K1013" s="17"/>
      <c r="L1013" s="16" t="s">
        <v>27</v>
      </c>
      <c r="M1013" s="16" t="s">
        <v>19</v>
      </c>
      <c r="N1013" s="39" t="s">
        <v>342</v>
      </c>
    </row>
    <row r="1014" spans="1:14" s="12" customFormat="1" ht="30.75" customHeight="1">
      <c r="A1014" s="178" t="s">
        <v>99</v>
      </c>
      <c r="B1014" s="75" t="s">
        <v>1454</v>
      </c>
      <c r="C1014" s="39" t="s">
        <v>17</v>
      </c>
      <c r="D1014" s="236"/>
      <c r="E1014" s="236"/>
      <c r="F1014" s="236"/>
      <c r="G1014" s="236"/>
      <c r="H1014" s="236">
        <f>SUM(Tabla132112418[[#This Row],[PRIMER TRIMESTRE]:[CUARTO TRIMESTRE]])</f>
        <v>0</v>
      </c>
      <c r="I1014" s="17">
        <v>5347.87</v>
      </c>
      <c r="J1014" s="17">
        <f t="shared" si="26"/>
        <v>0</v>
      </c>
      <c r="K1014" s="17"/>
      <c r="L1014" s="16" t="s">
        <v>27</v>
      </c>
      <c r="M1014" s="16" t="s">
        <v>19</v>
      </c>
      <c r="N1014" s="39" t="s">
        <v>342</v>
      </c>
    </row>
    <row r="1015" spans="1:14" s="12" customFormat="1" ht="30.75" customHeight="1">
      <c r="A1015" s="178" t="s">
        <v>99</v>
      </c>
      <c r="B1015" s="75" t="s">
        <v>1455</v>
      </c>
      <c r="C1015" s="39" t="s">
        <v>17</v>
      </c>
      <c r="D1015" s="236"/>
      <c r="E1015" s="236"/>
      <c r="F1015" s="236"/>
      <c r="G1015" s="236"/>
      <c r="H1015" s="236">
        <f>SUM(Tabla132112418[[#This Row],[PRIMER TRIMESTRE]:[CUARTO TRIMESTRE]])</f>
        <v>0</v>
      </c>
      <c r="I1015" s="17">
        <v>213.48</v>
      </c>
      <c r="J1015" s="17">
        <f t="shared" si="26"/>
        <v>0</v>
      </c>
      <c r="K1015" s="17"/>
      <c r="L1015" s="16" t="s">
        <v>27</v>
      </c>
      <c r="M1015" s="16" t="s">
        <v>19</v>
      </c>
      <c r="N1015" s="39" t="s">
        <v>342</v>
      </c>
    </row>
    <row r="1016" spans="1:14" s="12" customFormat="1" ht="30.75" customHeight="1">
      <c r="A1016" s="178" t="s">
        <v>99</v>
      </c>
      <c r="B1016" s="75" t="s">
        <v>1456</v>
      </c>
      <c r="C1016" s="39" t="s">
        <v>17</v>
      </c>
      <c r="D1016" s="236"/>
      <c r="E1016" s="236"/>
      <c r="F1016" s="236"/>
      <c r="G1016" s="236"/>
      <c r="H1016" s="236">
        <f>SUM(Tabla132112418[[#This Row],[PRIMER TRIMESTRE]:[CUARTO TRIMESTRE]])</f>
        <v>0</v>
      </c>
      <c r="I1016" s="17">
        <v>719</v>
      </c>
      <c r="J1016" s="17">
        <f t="shared" si="26"/>
        <v>0</v>
      </c>
      <c r="K1016" s="17"/>
      <c r="L1016" s="16" t="s">
        <v>27</v>
      </c>
      <c r="M1016" s="16" t="s">
        <v>19</v>
      </c>
      <c r="N1016" s="39" t="s">
        <v>342</v>
      </c>
    </row>
    <row r="1017" spans="1:14" s="12" customFormat="1" ht="30.75" customHeight="1">
      <c r="A1017" s="178" t="s">
        <v>99</v>
      </c>
      <c r="B1017" s="75" t="s">
        <v>1457</v>
      </c>
      <c r="C1017" s="39" t="s">
        <v>17</v>
      </c>
      <c r="D1017" s="236"/>
      <c r="E1017" s="236"/>
      <c r="F1017" s="236"/>
      <c r="G1017" s="236"/>
      <c r="H1017" s="236">
        <f>SUM(Tabla132112418[[#This Row],[PRIMER TRIMESTRE]:[CUARTO TRIMESTRE]])</f>
        <v>0</v>
      </c>
      <c r="I1017" s="17">
        <v>213.48</v>
      </c>
      <c r="J1017" s="17">
        <f t="shared" si="26"/>
        <v>0</v>
      </c>
      <c r="K1017" s="17"/>
      <c r="L1017" s="16" t="s">
        <v>27</v>
      </c>
      <c r="M1017" s="16" t="s">
        <v>19</v>
      </c>
      <c r="N1017" s="39" t="s">
        <v>342</v>
      </c>
    </row>
    <row r="1018" spans="1:14" s="12" customFormat="1" ht="30.75" customHeight="1">
      <c r="A1018" s="178" t="s">
        <v>99</v>
      </c>
      <c r="B1018" s="75" t="s">
        <v>1458</v>
      </c>
      <c r="C1018" s="39" t="s">
        <v>17</v>
      </c>
      <c r="D1018" s="236"/>
      <c r="E1018" s="236"/>
      <c r="F1018" s="236"/>
      <c r="G1018" s="236"/>
      <c r="H1018" s="236">
        <f>SUM(Tabla132112418[[#This Row],[PRIMER TRIMESTRE]:[CUARTO TRIMESTRE]])</f>
        <v>0</v>
      </c>
      <c r="I1018" s="17">
        <v>1100</v>
      </c>
      <c r="J1018" s="17">
        <f t="shared" si="26"/>
        <v>0</v>
      </c>
      <c r="K1018" s="17"/>
      <c r="L1018" s="16" t="s">
        <v>27</v>
      </c>
      <c r="M1018" s="16" t="s">
        <v>19</v>
      </c>
      <c r="N1018" s="39" t="s">
        <v>342</v>
      </c>
    </row>
    <row r="1019" spans="1:14" s="26" customFormat="1" ht="30.75" customHeight="1">
      <c r="A1019" s="178" t="s">
        <v>99</v>
      </c>
      <c r="B1019" s="75" t="s">
        <v>1459</v>
      </c>
      <c r="C1019" s="39" t="s">
        <v>33</v>
      </c>
      <c r="D1019" s="236"/>
      <c r="E1019" s="236"/>
      <c r="F1019" s="236"/>
      <c r="G1019" s="236"/>
      <c r="H1019" s="236">
        <f>SUM(Tabla132112418[[#This Row],[PRIMER TRIMESTRE]:[CUARTO TRIMESTRE]])</f>
        <v>0</v>
      </c>
      <c r="I1019" s="17">
        <v>250</v>
      </c>
      <c r="J1019" s="17">
        <f t="shared" si="26"/>
        <v>0</v>
      </c>
      <c r="K1019" s="17"/>
      <c r="L1019" s="16" t="s">
        <v>27</v>
      </c>
      <c r="M1019" s="16" t="s">
        <v>19</v>
      </c>
      <c r="N1019" s="39" t="s">
        <v>342</v>
      </c>
    </row>
    <row r="1020" spans="1:14" s="12" customFormat="1" ht="30.75" customHeight="1">
      <c r="A1020" s="178" t="s">
        <v>99</v>
      </c>
      <c r="B1020" s="75" t="s">
        <v>1460</v>
      </c>
      <c r="C1020" s="39" t="s">
        <v>208</v>
      </c>
      <c r="D1020" s="236"/>
      <c r="E1020" s="236"/>
      <c r="F1020" s="236"/>
      <c r="G1020" s="236"/>
      <c r="H1020" s="236">
        <f>SUM(Tabla132112418[[#This Row],[PRIMER TRIMESTRE]:[CUARTO TRIMESTRE]])</f>
        <v>0</v>
      </c>
      <c r="I1020" s="17">
        <v>1130</v>
      </c>
      <c r="J1020" s="17">
        <f t="shared" si="26"/>
        <v>0</v>
      </c>
      <c r="K1020" s="17"/>
      <c r="L1020" s="16" t="s">
        <v>27</v>
      </c>
      <c r="M1020" s="16" t="s">
        <v>19</v>
      </c>
      <c r="N1020" s="39" t="s">
        <v>342</v>
      </c>
    </row>
    <row r="1021" spans="1:14" s="12" customFormat="1" ht="30.75" customHeight="1">
      <c r="A1021" s="179" t="s">
        <v>99</v>
      </c>
      <c r="B1021" s="76"/>
      <c r="C1021" s="42"/>
      <c r="D1021" s="237"/>
      <c r="E1021" s="237"/>
      <c r="F1021" s="237"/>
      <c r="G1021" s="237"/>
      <c r="H1021" s="43"/>
      <c r="I1021" s="24"/>
      <c r="J1021" s="24"/>
      <c r="K1021" s="25">
        <f>SUM(J890:J1020)</f>
        <v>0</v>
      </c>
      <c r="L1021" s="23"/>
      <c r="M1021" s="23"/>
      <c r="N1021" s="42"/>
    </row>
    <row r="1022" spans="1:14" s="12" customFormat="1" ht="30.75" customHeight="1">
      <c r="A1022" s="178" t="s">
        <v>113</v>
      </c>
      <c r="B1022" s="75" t="s">
        <v>236</v>
      </c>
      <c r="C1022" s="39" t="s">
        <v>17</v>
      </c>
      <c r="D1022" s="236"/>
      <c r="E1022" s="236"/>
      <c r="F1022" s="236"/>
      <c r="G1022" s="236"/>
      <c r="H1022" s="40">
        <f>SUM(Tabla132112418[[#This Row],[PRIMER TRIMESTRE]:[CUARTO TRIMESTRE]])</f>
        <v>0</v>
      </c>
      <c r="I1022" s="17">
        <v>806.2</v>
      </c>
      <c r="J1022" s="17">
        <f>+Tabla132112418[[#This Row],[CANTIDAD TOTAL]]*Tabla132112418[[#This Row],[PRECIO UNITARIO ESTIMADO]]</f>
        <v>0</v>
      </c>
      <c r="K1022" s="17"/>
      <c r="L1022" s="16" t="s">
        <v>15</v>
      </c>
      <c r="M1022" s="16" t="s">
        <v>22</v>
      </c>
      <c r="N1022" s="39" t="s">
        <v>418</v>
      </c>
    </row>
    <row r="1023" spans="1:14" s="12" customFormat="1" ht="30.75" customHeight="1">
      <c r="A1023" s="178" t="s">
        <v>113</v>
      </c>
      <c r="B1023" s="75" t="s">
        <v>233</v>
      </c>
      <c r="C1023" s="39" t="s">
        <v>234</v>
      </c>
      <c r="D1023" s="236"/>
      <c r="E1023" s="236"/>
      <c r="F1023" s="236"/>
      <c r="G1023" s="236"/>
      <c r="H1023" s="40">
        <f>SUM(Tabla132112418[[#This Row],[PRIMER TRIMESTRE]:[CUARTO TRIMESTRE]])</f>
        <v>0</v>
      </c>
      <c r="I1023" s="17">
        <v>7099.2</v>
      </c>
      <c r="J1023" s="17">
        <f>+Tabla132112418[[#This Row],[CANTIDAD TOTAL]]*Tabla132112418[[#This Row],[PRECIO UNITARIO ESTIMADO]]</f>
        <v>0</v>
      </c>
      <c r="K1023" s="17"/>
      <c r="L1023" s="16" t="s">
        <v>27</v>
      </c>
      <c r="M1023" s="16" t="s">
        <v>22</v>
      </c>
      <c r="N1023" s="39" t="s">
        <v>418</v>
      </c>
    </row>
    <row r="1024" spans="1:14" s="12" customFormat="1" ht="30.75" customHeight="1">
      <c r="A1024" s="178" t="s">
        <v>113</v>
      </c>
      <c r="B1024" s="75" t="s">
        <v>235</v>
      </c>
      <c r="C1024" s="39" t="s">
        <v>69</v>
      </c>
      <c r="D1024" s="236"/>
      <c r="E1024" s="236"/>
      <c r="F1024" s="236"/>
      <c r="G1024" s="236"/>
      <c r="H1024" s="40">
        <f>SUM(Tabla132112418[[#This Row],[PRIMER TRIMESTRE]:[CUARTO TRIMESTRE]])</f>
        <v>0</v>
      </c>
      <c r="I1024" s="17">
        <v>52.2</v>
      </c>
      <c r="J1024" s="17">
        <f>+Tabla132112418[[#This Row],[CANTIDAD TOTAL]]*Tabla132112418[[#This Row],[PRECIO UNITARIO ESTIMADO]]</f>
        <v>0</v>
      </c>
      <c r="K1024" s="17"/>
      <c r="L1024" s="16" t="s">
        <v>27</v>
      </c>
      <c r="M1024" s="16" t="s">
        <v>22</v>
      </c>
      <c r="N1024" s="39" t="s">
        <v>418</v>
      </c>
    </row>
    <row r="1025" spans="1:14" s="12" customFormat="1" ht="30">
      <c r="A1025" s="178" t="s">
        <v>113</v>
      </c>
      <c r="B1025" s="75" t="s">
        <v>320</v>
      </c>
      <c r="C1025" s="39" t="s">
        <v>17</v>
      </c>
      <c r="D1025" s="236"/>
      <c r="E1025" s="236"/>
      <c r="F1025" s="236"/>
      <c r="G1025" s="236"/>
      <c r="H1025" s="40">
        <f>SUM(Tabla132112418[[#This Row],[PRIMER TRIMESTRE]:[CUARTO TRIMESTRE]])</f>
        <v>0</v>
      </c>
      <c r="I1025" s="17">
        <f>41960.8/121</f>
        <v>346.7834710743802</v>
      </c>
      <c r="J1025" s="17">
        <f>+Tabla132112418[[#This Row],[CANTIDAD TOTAL]]*Tabla132112418[[#This Row],[PRECIO UNITARIO ESTIMADO]]</f>
        <v>0</v>
      </c>
      <c r="K1025" s="17"/>
      <c r="L1025" s="16" t="s">
        <v>15</v>
      </c>
      <c r="M1025" s="16" t="s">
        <v>22</v>
      </c>
      <c r="N1025" s="39" t="s">
        <v>418</v>
      </c>
    </row>
    <row r="1026" spans="1:14" s="26" customFormat="1" ht="30">
      <c r="A1026" s="178" t="s">
        <v>113</v>
      </c>
      <c r="B1026" s="75" t="s">
        <v>237</v>
      </c>
      <c r="C1026" s="39" t="s">
        <v>17</v>
      </c>
      <c r="D1026" s="236"/>
      <c r="E1026" s="236"/>
      <c r="F1026" s="236"/>
      <c r="G1026" s="236"/>
      <c r="H1026" s="40">
        <f>SUM(Tabla132112418[[#This Row],[PRIMER TRIMESTRE]:[CUARTO TRIMESTRE]])</f>
        <v>0</v>
      </c>
      <c r="I1026" s="17">
        <v>668</v>
      </c>
      <c r="J1026" s="17">
        <f>+Tabla132112418[[#This Row],[CANTIDAD TOTAL]]*Tabla132112418[[#This Row],[PRECIO UNITARIO ESTIMADO]]</f>
        <v>0</v>
      </c>
      <c r="K1026" s="17"/>
      <c r="L1026" s="16" t="s">
        <v>15</v>
      </c>
      <c r="M1026" s="16" t="s">
        <v>22</v>
      </c>
      <c r="N1026" s="39" t="s">
        <v>418</v>
      </c>
    </row>
    <row r="1027" spans="1:14" s="169" customFormat="1" ht="30">
      <c r="A1027" s="178" t="s">
        <v>113</v>
      </c>
      <c r="B1027" s="75" t="s">
        <v>238</v>
      </c>
      <c r="C1027" s="39" t="s">
        <v>208</v>
      </c>
      <c r="D1027" s="236"/>
      <c r="E1027" s="236"/>
      <c r="F1027" s="236"/>
      <c r="G1027" s="236"/>
      <c r="H1027" s="40">
        <f>SUM(Tabla132112418[[#This Row],[PRIMER TRIMESTRE]:[CUARTO TRIMESTRE]])</f>
        <v>0</v>
      </c>
      <c r="I1027" s="17">
        <v>754</v>
      </c>
      <c r="J1027" s="17">
        <f>+Tabla132112418[[#This Row],[CANTIDAD TOTAL]]*Tabla132112418[[#This Row],[PRECIO UNITARIO ESTIMADO]]</f>
        <v>0</v>
      </c>
      <c r="K1027" s="17"/>
      <c r="L1027" s="16" t="s">
        <v>27</v>
      </c>
      <c r="M1027" s="16" t="s">
        <v>22</v>
      </c>
      <c r="N1027" s="39" t="s">
        <v>418</v>
      </c>
    </row>
    <row r="1028" spans="1:14" s="12" customFormat="1" ht="31.5">
      <c r="A1028" s="179" t="s">
        <v>113</v>
      </c>
      <c r="B1028" s="76"/>
      <c r="C1028" s="42"/>
      <c r="D1028" s="237"/>
      <c r="E1028" s="237"/>
      <c r="F1028" s="237"/>
      <c r="G1028" s="237"/>
      <c r="H1028" s="43"/>
      <c r="I1028" s="24"/>
      <c r="J1028" s="24"/>
      <c r="K1028" s="25">
        <f>SUM(J1022:J1027)</f>
        <v>0</v>
      </c>
      <c r="L1028" s="23"/>
      <c r="M1028" s="23"/>
      <c r="N1028" s="42"/>
    </row>
    <row r="1029" spans="1:14" s="12" customFormat="1" ht="18">
      <c r="A1029" s="180" t="s">
        <v>115</v>
      </c>
      <c r="B1029" s="77" t="s">
        <v>319</v>
      </c>
      <c r="C1029" s="70" t="s">
        <v>17</v>
      </c>
      <c r="D1029" s="210">
        <v>1</v>
      </c>
      <c r="E1029" s="210"/>
      <c r="F1029" s="210"/>
      <c r="G1029" s="210"/>
      <c r="H1029" s="406">
        <f>SUM(Tabla132112418[[#This Row],[PRIMER TRIMESTRE]:[CUARTO TRIMESTRE]])</f>
        <v>1</v>
      </c>
      <c r="I1029" s="72">
        <f>544724/8</f>
        <v>68090.5</v>
      </c>
      <c r="J1029" s="72">
        <f>+Tabla132112418[[#This Row],[CANTIDAD TOTAL]]*Tabla132112418[[#This Row],[PRECIO UNITARIO ESTIMADO]]</f>
        <v>68090.5</v>
      </c>
      <c r="K1029" s="72"/>
      <c r="L1029" s="73" t="s">
        <v>18</v>
      </c>
      <c r="M1029" s="73" t="s">
        <v>22</v>
      </c>
      <c r="N1029" s="70" t="s">
        <v>418</v>
      </c>
    </row>
    <row r="1030" spans="1:14" s="12" customFormat="1" ht="18">
      <c r="A1030" s="178" t="s">
        <v>115</v>
      </c>
      <c r="B1030" s="75" t="s">
        <v>428</v>
      </c>
      <c r="C1030" s="39" t="s">
        <v>17</v>
      </c>
      <c r="D1030" s="236"/>
      <c r="E1030" s="236"/>
      <c r="F1030" s="236"/>
      <c r="G1030" s="236"/>
      <c r="H1030" s="40">
        <f>SUM(Tabla132112418[[#This Row],[PRIMER TRIMESTRE]:[CUARTO TRIMESTRE]])</f>
        <v>0</v>
      </c>
      <c r="I1030" s="17">
        <v>3074</v>
      </c>
      <c r="J1030" s="17">
        <f>+Tabla132112418[[#This Row],[CANTIDAD TOTAL]]*Tabla132112418[[#This Row],[PRECIO UNITARIO ESTIMADO]]</f>
        <v>0</v>
      </c>
      <c r="K1030" s="17"/>
      <c r="L1030" s="73" t="s">
        <v>18</v>
      </c>
      <c r="M1030" s="16" t="s">
        <v>22</v>
      </c>
      <c r="N1030" s="39" t="s">
        <v>418</v>
      </c>
    </row>
    <row r="1031" spans="1:14" s="12" customFormat="1" ht="36" customHeight="1">
      <c r="A1031" s="178" t="s">
        <v>115</v>
      </c>
      <c r="B1031" s="75" t="s">
        <v>2646</v>
      </c>
      <c r="C1031" s="39" t="s">
        <v>17</v>
      </c>
      <c r="D1031" s="236">
        <v>1</v>
      </c>
      <c r="E1031" s="236"/>
      <c r="F1031" s="236"/>
      <c r="G1031" s="236"/>
      <c r="H1031" s="40">
        <f>SUM(Tabla132112418[[#This Row],[PRIMER TRIMESTRE]:[CUARTO TRIMESTRE]])</f>
        <v>1</v>
      </c>
      <c r="I1031" s="109"/>
      <c r="J1031" s="17"/>
      <c r="K1031" s="17"/>
      <c r="L1031" s="73"/>
      <c r="M1031" s="16"/>
      <c r="N1031" s="39"/>
    </row>
    <row r="1032" spans="1:14" s="12" customFormat="1" ht="18">
      <c r="A1032" s="178" t="s">
        <v>115</v>
      </c>
      <c r="B1032" s="75" t="s">
        <v>244</v>
      </c>
      <c r="C1032" s="39" t="s">
        <v>17</v>
      </c>
      <c r="D1032" s="236"/>
      <c r="E1032" s="236"/>
      <c r="F1032" s="236"/>
      <c r="G1032" s="236"/>
      <c r="H1032" s="40">
        <f>SUM(Tabla132112418[[#This Row],[PRIMER TRIMESTRE]:[CUARTO TRIMESTRE]])</f>
        <v>0</v>
      </c>
      <c r="I1032" s="17">
        <v>24940</v>
      </c>
      <c r="J1032" s="17">
        <f>+Tabla132112418[[#This Row],[CANTIDAD TOTAL]]*Tabla132112418[[#This Row],[PRECIO UNITARIO ESTIMADO]]</f>
        <v>0</v>
      </c>
      <c r="K1032" s="17"/>
      <c r="L1032" s="73" t="s">
        <v>18</v>
      </c>
      <c r="M1032" s="16" t="s">
        <v>22</v>
      </c>
      <c r="N1032" s="39" t="s">
        <v>418</v>
      </c>
    </row>
    <row r="1033" spans="1:14" s="169" customFormat="1" ht="18">
      <c r="A1033" s="178" t="s">
        <v>115</v>
      </c>
      <c r="B1033" s="75" t="s">
        <v>429</v>
      </c>
      <c r="C1033" s="39" t="s">
        <v>17</v>
      </c>
      <c r="D1033" s="236"/>
      <c r="E1033" s="236"/>
      <c r="F1033" s="236"/>
      <c r="G1033" s="236"/>
      <c r="H1033" s="40">
        <f>SUM(Tabla132112418[[#This Row],[PRIMER TRIMESTRE]:[CUARTO TRIMESTRE]])</f>
        <v>0</v>
      </c>
      <c r="I1033" s="17">
        <v>77185.240000000005</v>
      </c>
      <c r="J1033" s="17">
        <f>+Tabla132112418[[#This Row],[CANTIDAD TOTAL]]*Tabla132112418[[#This Row],[PRECIO UNITARIO ESTIMADO]]</f>
        <v>0</v>
      </c>
      <c r="K1033" s="17"/>
      <c r="L1033" s="73" t="s">
        <v>18</v>
      </c>
      <c r="M1033" s="16" t="s">
        <v>22</v>
      </c>
      <c r="N1033" s="39" t="s">
        <v>418</v>
      </c>
    </row>
    <row r="1034" spans="1:14" s="169" customFormat="1" ht="18">
      <c r="A1034" s="178" t="s">
        <v>115</v>
      </c>
      <c r="B1034" s="75" t="s">
        <v>321</v>
      </c>
      <c r="C1034" s="39" t="s">
        <v>17</v>
      </c>
      <c r="D1034" s="236"/>
      <c r="E1034" s="236"/>
      <c r="F1034" s="236"/>
      <c r="G1034" s="236"/>
      <c r="H1034" s="40">
        <f>SUM(Tabla132112418[[#This Row],[PRIMER TRIMESTRE]:[CUARTO TRIMESTRE]])</f>
        <v>0</v>
      </c>
      <c r="I1034" s="17">
        <f>31243.78/16</f>
        <v>1952.7362499999999</v>
      </c>
      <c r="J1034" s="17">
        <f>+Tabla132112418[[#This Row],[CANTIDAD TOTAL]]*Tabla132112418[[#This Row],[PRECIO UNITARIO ESTIMADO]]</f>
        <v>0</v>
      </c>
      <c r="K1034" s="17"/>
      <c r="L1034" s="73" t="s">
        <v>18</v>
      </c>
      <c r="M1034" s="16" t="s">
        <v>22</v>
      </c>
      <c r="N1034" s="39" t="s">
        <v>418</v>
      </c>
    </row>
    <row r="1035" spans="1:14" s="169" customFormat="1" ht="38.25">
      <c r="A1035" s="180" t="s">
        <v>115</v>
      </c>
      <c r="B1035" s="77" t="s">
        <v>892</v>
      </c>
      <c r="C1035" s="70" t="s">
        <v>17</v>
      </c>
      <c r="D1035" s="210"/>
      <c r="E1035" s="210"/>
      <c r="F1035" s="210"/>
      <c r="G1035" s="210"/>
      <c r="H1035" s="406">
        <f>SUM(Tabla132112418[[#This Row],[PRIMER TRIMESTRE]:[CUARTO TRIMESTRE]])</f>
        <v>0</v>
      </c>
      <c r="I1035" s="72">
        <v>3519</v>
      </c>
      <c r="J1035" s="72">
        <f t="shared" ref="J1035:J1063" si="27">+H1035*I1035</f>
        <v>0</v>
      </c>
      <c r="K1035" s="72"/>
      <c r="L1035" s="73" t="s">
        <v>18</v>
      </c>
      <c r="M1035" s="16" t="s">
        <v>22</v>
      </c>
      <c r="N1035" s="39" t="s">
        <v>418</v>
      </c>
    </row>
    <row r="1036" spans="1:14" s="169" customFormat="1" ht="25.5">
      <c r="A1036" s="180" t="s">
        <v>115</v>
      </c>
      <c r="B1036" s="77" t="s">
        <v>932</v>
      </c>
      <c r="C1036" s="70" t="s">
        <v>17</v>
      </c>
      <c r="D1036" s="210"/>
      <c r="E1036" s="210"/>
      <c r="F1036" s="210"/>
      <c r="G1036" s="210"/>
      <c r="H1036" s="406">
        <f>SUM(Tabla132112418[[#This Row],[PRIMER TRIMESTRE]:[CUARTO TRIMESTRE]])</f>
        <v>0</v>
      </c>
      <c r="I1036" s="72">
        <v>1500</v>
      </c>
      <c r="J1036" s="72">
        <f t="shared" si="27"/>
        <v>0</v>
      </c>
      <c r="K1036" s="72"/>
      <c r="L1036" s="73" t="s">
        <v>18</v>
      </c>
      <c r="M1036" s="16" t="s">
        <v>22</v>
      </c>
      <c r="N1036" s="39" t="s">
        <v>418</v>
      </c>
    </row>
    <row r="1037" spans="1:14" s="169" customFormat="1" ht="25.5">
      <c r="A1037" s="180" t="s">
        <v>115</v>
      </c>
      <c r="B1037" s="77" t="s">
        <v>894</v>
      </c>
      <c r="C1037" s="70" t="s">
        <v>17</v>
      </c>
      <c r="D1037" s="210"/>
      <c r="E1037" s="210"/>
      <c r="F1037" s="210"/>
      <c r="G1037" s="210"/>
      <c r="H1037" s="406">
        <f>SUM(Tabla132112418[[#This Row],[PRIMER TRIMESTRE]:[CUARTO TRIMESTRE]])</f>
        <v>0</v>
      </c>
      <c r="I1037" s="72">
        <v>600</v>
      </c>
      <c r="J1037" s="72">
        <f t="shared" si="27"/>
        <v>0</v>
      </c>
      <c r="K1037" s="72"/>
      <c r="L1037" s="73" t="s">
        <v>18</v>
      </c>
      <c r="M1037" s="16" t="s">
        <v>22</v>
      </c>
      <c r="N1037" s="39" t="s">
        <v>418</v>
      </c>
    </row>
    <row r="1038" spans="1:14" s="169" customFormat="1" ht="25.5">
      <c r="A1038" s="180" t="s">
        <v>115</v>
      </c>
      <c r="B1038" s="77" t="s">
        <v>895</v>
      </c>
      <c r="C1038" s="70" t="s">
        <v>17</v>
      </c>
      <c r="D1038" s="210"/>
      <c r="E1038" s="210"/>
      <c r="F1038" s="210"/>
      <c r="G1038" s="210"/>
      <c r="H1038" s="406">
        <f>SUM(Tabla132112418[[#This Row],[PRIMER TRIMESTRE]:[CUARTO TRIMESTRE]])</f>
        <v>0</v>
      </c>
      <c r="I1038" s="72">
        <v>450</v>
      </c>
      <c r="J1038" s="72">
        <f t="shared" si="27"/>
        <v>0</v>
      </c>
      <c r="K1038" s="72"/>
      <c r="L1038" s="73" t="s">
        <v>18</v>
      </c>
      <c r="M1038" s="16" t="s">
        <v>22</v>
      </c>
      <c r="N1038" s="39" t="s">
        <v>418</v>
      </c>
    </row>
    <row r="1039" spans="1:14" s="169" customFormat="1" ht="18">
      <c r="A1039" s="180" t="s">
        <v>115</v>
      </c>
      <c r="B1039" s="77" t="s">
        <v>897</v>
      </c>
      <c r="C1039" s="70" t="s">
        <v>17</v>
      </c>
      <c r="D1039" s="210"/>
      <c r="E1039" s="210"/>
      <c r="F1039" s="210"/>
      <c r="G1039" s="210"/>
      <c r="H1039" s="406">
        <f>SUM(Tabla132112418[[#This Row],[PRIMER TRIMESTRE]:[CUARTO TRIMESTRE]])</f>
        <v>0</v>
      </c>
      <c r="I1039" s="72">
        <v>85000</v>
      </c>
      <c r="J1039" s="72">
        <f t="shared" si="27"/>
        <v>0</v>
      </c>
      <c r="K1039" s="72"/>
      <c r="L1039" s="73" t="s">
        <v>18</v>
      </c>
      <c r="M1039" s="16" t="s">
        <v>22</v>
      </c>
      <c r="N1039" s="39" t="s">
        <v>418</v>
      </c>
    </row>
    <row r="1040" spans="1:14" s="169" customFormat="1" ht="25.5">
      <c r="A1040" s="180" t="s">
        <v>115</v>
      </c>
      <c r="B1040" s="77" t="s">
        <v>898</v>
      </c>
      <c r="C1040" s="70" t="s">
        <v>17</v>
      </c>
      <c r="D1040" s="210">
        <v>5</v>
      </c>
      <c r="E1040" s="210"/>
      <c r="F1040" s="210"/>
      <c r="G1040" s="210"/>
      <c r="H1040" s="406">
        <f>SUM(Tabla132112418[[#This Row],[PRIMER TRIMESTRE]:[CUARTO TRIMESTRE]])</f>
        <v>5</v>
      </c>
      <c r="I1040" s="72">
        <v>2500</v>
      </c>
      <c r="J1040" s="72">
        <f t="shared" si="27"/>
        <v>12500</v>
      </c>
      <c r="K1040" s="72"/>
      <c r="L1040" s="73" t="s">
        <v>18</v>
      </c>
      <c r="M1040" s="16" t="s">
        <v>22</v>
      </c>
      <c r="N1040" s="39" t="s">
        <v>418</v>
      </c>
    </row>
    <row r="1041" spans="1:14" s="169" customFormat="1" ht="38.25">
      <c r="A1041" s="180" t="s">
        <v>115</v>
      </c>
      <c r="B1041" s="77" t="s">
        <v>933</v>
      </c>
      <c r="C1041" s="70" t="s">
        <v>17</v>
      </c>
      <c r="D1041" s="210"/>
      <c r="E1041" s="210"/>
      <c r="F1041" s="210"/>
      <c r="G1041" s="210"/>
      <c r="H1041" s="406">
        <f>SUM(Tabla132112418[[#This Row],[PRIMER TRIMESTRE]:[CUARTO TRIMESTRE]])</f>
        <v>0</v>
      </c>
      <c r="I1041" s="72">
        <v>420</v>
      </c>
      <c r="J1041" s="72">
        <f t="shared" si="27"/>
        <v>0</v>
      </c>
      <c r="K1041" s="72"/>
      <c r="L1041" s="73" t="s">
        <v>18</v>
      </c>
      <c r="M1041" s="16" t="s">
        <v>22</v>
      </c>
      <c r="N1041" s="39" t="s">
        <v>418</v>
      </c>
    </row>
    <row r="1042" spans="1:14" s="169" customFormat="1" ht="38.25">
      <c r="A1042" s="180" t="s">
        <v>115</v>
      </c>
      <c r="B1042" s="77" t="s">
        <v>902</v>
      </c>
      <c r="C1042" s="70" t="s">
        <v>17</v>
      </c>
      <c r="D1042" s="210"/>
      <c r="E1042" s="210"/>
      <c r="F1042" s="210"/>
      <c r="G1042" s="210"/>
      <c r="H1042" s="406">
        <f>SUM(Tabla132112418[[#This Row],[PRIMER TRIMESTRE]:[CUARTO TRIMESTRE]])</f>
        <v>0</v>
      </c>
      <c r="I1042" s="72">
        <v>450</v>
      </c>
      <c r="J1042" s="72">
        <f t="shared" si="27"/>
        <v>0</v>
      </c>
      <c r="K1042" s="72"/>
      <c r="L1042" s="73" t="s">
        <v>18</v>
      </c>
      <c r="M1042" s="16" t="s">
        <v>22</v>
      </c>
      <c r="N1042" s="39" t="s">
        <v>418</v>
      </c>
    </row>
    <row r="1043" spans="1:14" s="169" customFormat="1" ht="18">
      <c r="A1043" s="180" t="s">
        <v>115</v>
      </c>
      <c r="B1043" s="77" t="s">
        <v>934</v>
      </c>
      <c r="C1043" s="70" t="s">
        <v>17</v>
      </c>
      <c r="D1043" s="210"/>
      <c r="E1043" s="210"/>
      <c r="F1043" s="210"/>
      <c r="G1043" s="210"/>
      <c r="H1043" s="406">
        <f>SUM(Tabla132112418[[#This Row],[PRIMER TRIMESTRE]:[CUARTO TRIMESTRE]])</f>
        <v>0</v>
      </c>
      <c r="I1043" s="72">
        <v>125</v>
      </c>
      <c r="J1043" s="72">
        <f t="shared" si="27"/>
        <v>0</v>
      </c>
      <c r="K1043" s="72"/>
      <c r="L1043" s="73" t="s">
        <v>18</v>
      </c>
      <c r="M1043" s="16" t="s">
        <v>22</v>
      </c>
      <c r="N1043" s="39" t="s">
        <v>418</v>
      </c>
    </row>
    <row r="1044" spans="1:14" s="169" customFormat="1" ht="18">
      <c r="A1044" s="180" t="s">
        <v>115</v>
      </c>
      <c r="B1044" s="77" t="s">
        <v>935</v>
      </c>
      <c r="C1044" s="70" t="s">
        <v>208</v>
      </c>
      <c r="D1044" s="210"/>
      <c r="E1044" s="210"/>
      <c r="F1044" s="210"/>
      <c r="G1044" s="210"/>
      <c r="H1044" s="406">
        <f>SUM(Tabla132112418[[#This Row],[PRIMER TRIMESTRE]:[CUARTO TRIMESTRE]])</f>
        <v>0</v>
      </c>
      <c r="I1044" s="72">
        <v>4300</v>
      </c>
      <c r="J1044" s="72">
        <f t="shared" si="27"/>
        <v>0</v>
      </c>
      <c r="K1044" s="72"/>
      <c r="L1044" s="73" t="s">
        <v>18</v>
      </c>
      <c r="M1044" s="16" t="s">
        <v>22</v>
      </c>
      <c r="N1044" s="39" t="s">
        <v>418</v>
      </c>
    </row>
    <row r="1045" spans="1:14" s="169" customFormat="1" ht="25.5">
      <c r="A1045" s="180" t="s">
        <v>115</v>
      </c>
      <c r="B1045" s="77" t="s">
        <v>936</v>
      </c>
      <c r="C1045" s="70" t="s">
        <v>17</v>
      </c>
      <c r="D1045" s="210"/>
      <c r="E1045" s="210"/>
      <c r="F1045" s="210"/>
      <c r="G1045" s="210"/>
      <c r="H1045" s="406">
        <f>SUM(Tabla132112418[[#This Row],[PRIMER TRIMESTRE]:[CUARTO TRIMESTRE]])</f>
        <v>0</v>
      </c>
      <c r="I1045" s="72">
        <v>7300</v>
      </c>
      <c r="J1045" s="72">
        <f t="shared" si="27"/>
        <v>0</v>
      </c>
      <c r="K1045" s="72"/>
      <c r="L1045" s="16" t="s">
        <v>18</v>
      </c>
      <c r="M1045" s="16" t="s">
        <v>22</v>
      </c>
      <c r="N1045" s="39" t="s">
        <v>418</v>
      </c>
    </row>
    <row r="1046" spans="1:14" s="169" customFormat="1" ht="25.5">
      <c r="A1046" s="180" t="s">
        <v>115</v>
      </c>
      <c r="B1046" s="77" t="s">
        <v>937</v>
      </c>
      <c r="C1046" s="70" t="s">
        <v>17</v>
      </c>
      <c r="D1046" s="210"/>
      <c r="E1046" s="210"/>
      <c r="F1046" s="210"/>
      <c r="G1046" s="210"/>
      <c r="H1046" s="406">
        <f>SUM(Tabla132112418[[#This Row],[PRIMER TRIMESTRE]:[CUARTO TRIMESTRE]])</f>
        <v>0</v>
      </c>
      <c r="I1046" s="72">
        <v>14671</v>
      </c>
      <c r="J1046" s="72">
        <f t="shared" si="27"/>
        <v>0</v>
      </c>
      <c r="K1046" s="72"/>
      <c r="L1046" s="73" t="s">
        <v>18</v>
      </c>
      <c r="M1046" s="16" t="s">
        <v>22</v>
      </c>
      <c r="N1046" s="39" t="s">
        <v>418</v>
      </c>
    </row>
    <row r="1047" spans="1:14" s="169" customFormat="1" ht="25.5">
      <c r="A1047" s="180" t="s">
        <v>115</v>
      </c>
      <c r="B1047" s="77" t="s">
        <v>938</v>
      </c>
      <c r="C1047" s="70" t="s">
        <v>17</v>
      </c>
      <c r="D1047" s="210"/>
      <c r="E1047" s="210"/>
      <c r="F1047" s="210"/>
      <c r="G1047" s="210"/>
      <c r="H1047" s="406">
        <f>SUM(Tabla132112418[[#This Row],[PRIMER TRIMESTRE]:[CUARTO TRIMESTRE]])</f>
        <v>0</v>
      </c>
      <c r="I1047" s="72">
        <v>34000</v>
      </c>
      <c r="J1047" s="72">
        <f t="shared" si="27"/>
        <v>0</v>
      </c>
      <c r="K1047" s="72"/>
      <c r="L1047" s="73" t="s">
        <v>18</v>
      </c>
      <c r="M1047" s="16" t="s">
        <v>22</v>
      </c>
      <c r="N1047" s="39" t="s">
        <v>418</v>
      </c>
    </row>
    <row r="1048" spans="1:14" s="169" customFormat="1" ht="18">
      <c r="A1048" s="180" t="s">
        <v>115</v>
      </c>
      <c r="B1048" s="77" t="s">
        <v>1628</v>
      </c>
      <c r="C1048" s="70" t="s">
        <v>17</v>
      </c>
      <c r="D1048" s="210"/>
      <c r="E1048" s="210"/>
      <c r="F1048" s="406"/>
      <c r="G1048" s="406"/>
      <c r="H1048" s="406">
        <f>SUM(Tabla132112418[[#This Row],[PRIMER TRIMESTRE]:[CUARTO TRIMESTRE]])</f>
        <v>0</v>
      </c>
      <c r="I1048" s="72">
        <v>3500</v>
      </c>
      <c r="J1048" s="72">
        <f t="shared" si="27"/>
        <v>0</v>
      </c>
      <c r="K1048" s="72"/>
      <c r="L1048" s="73" t="s">
        <v>18</v>
      </c>
      <c r="M1048" s="16" t="s">
        <v>22</v>
      </c>
      <c r="N1048" s="39" t="s">
        <v>418</v>
      </c>
    </row>
    <row r="1049" spans="1:14" s="169" customFormat="1" ht="18">
      <c r="A1049" s="180" t="s">
        <v>115</v>
      </c>
      <c r="B1049" s="77" t="s">
        <v>1629</v>
      </c>
      <c r="C1049" s="70" t="s">
        <v>17</v>
      </c>
      <c r="D1049" s="210"/>
      <c r="E1049" s="210"/>
      <c r="F1049" s="249"/>
      <c r="G1049" s="249"/>
      <c r="H1049" s="406">
        <f>SUM(Tabla132112418[[#This Row],[PRIMER TRIMESTRE]:[CUARTO TRIMESTRE]])</f>
        <v>0</v>
      </c>
      <c r="I1049" s="72">
        <v>14000</v>
      </c>
      <c r="J1049" s="72">
        <f t="shared" si="27"/>
        <v>0</v>
      </c>
      <c r="K1049" s="72"/>
      <c r="L1049" s="16" t="s">
        <v>18</v>
      </c>
      <c r="M1049" s="16" t="s">
        <v>22</v>
      </c>
      <c r="N1049" s="39" t="s">
        <v>418</v>
      </c>
    </row>
    <row r="1050" spans="1:14" s="169" customFormat="1" ht="25.5">
      <c r="A1050" s="180" t="s">
        <v>115</v>
      </c>
      <c r="B1050" s="77" t="s">
        <v>939</v>
      </c>
      <c r="C1050" s="70" t="s">
        <v>17</v>
      </c>
      <c r="D1050" s="210"/>
      <c r="E1050" s="210"/>
      <c r="F1050" s="210"/>
      <c r="G1050" s="210"/>
      <c r="H1050" s="406">
        <f>SUM(Tabla132112418[[#This Row],[PRIMER TRIMESTRE]:[CUARTO TRIMESTRE]])</f>
        <v>0</v>
      </c>
      <c r="I1050" s="72">
        <v>34000</v>
      </c>
      <c r="J1050" s="72">
        <f t="shared" si="27"/>
        <v>0</v>
      </c>
      <c r="K1050" s="72"/>
      <c r="L1050" s="16" t="s">
        <v>18</v>
      </c>
      <c r="M1050" s="16" t="s">
        <v>22</v>
      </c>
      <c r="N1050" s="39" t="s">
        <v>418</v>
      </c>
    </row>
    <row r="1051" spans="1:14" s="169" customFormat="1" ht="18">
      <c r="A1051" s="180" t="s">
        <v>115</v>
      </c>
      <c r="B1051" s="77" t="s">
        <v>1630</v>
      </c>
      <c r="C1051" s="70" t="s">
        <v>17</v>
      </c>
      <c r="D1051" s="210"/>
      <c r="E1051" s="210"/>
      <c r="F1051" s="210"/>
      <c r="G1051" s="210"/>
      <c r="H1051" s="406">
        <f>SUM(Tabla132112418[[#This Row],[PRIMER TRIMESTRE]:[CUARTO TRIMESTRE]])</f>
        <v>0</v>
      </c>
      <c r="I1051" s="72">
        <v>4000</v>
      </c>
      <c r="J1051" s="72">
        <f t="shared" si="27"/>
        <v>0</v>
      </c>
      <c r="K1051" s="72"/>
      <c r="L1051" s="16" t="s">
        <v>18</v>
      </c>
      <c r="M1051" s="16" t="s">
        <v>22</v>
      </c>
      <c r="N1051" s="39" t="s">
        <v>418</v>
      </c>
    </row>
    <row r="1052" spans="1:14" s="169" customFormat="1" ht="18">
      <c r="A1052" s="180" t="s">
        <v>115</v>
      </c>
      <c r="B1052" s="77" t="s">
        <v>1631</v>
      </c>
      <c r="C1052" s="70" t="s">
        <v>17</v>
      </c>
      <c r="D1052" s="210"/>
      <c r="E1052" s="210"/>
      <c r="F1052" s="210"/>
      <c r="G1052" s="210"/>
      <c r="H1052" s="406">
        <f>SUM(Tabla132112418[[#This Row],[PRIMER TRIMESTRE]:[CUARTO TRIMESTRE]])</f>
        <v>0</v>
      </c>
      <c r="I1052" s="72">
        <v>20000</v>
      </c>
      <c r="J1052" s="72">
        <f t="shared" si="27"/>
        <v>0</v>
      </c>
      <c r="K1052" s="72"/>
      <c r="L1052" s="16" t="s">
        <v>18</v>
      </c>
      <c r="M1052" s="16" t="s">
        <v>22</v>
      </c>
      <c r="N1052" s="39" t="s">
        <v>418</v>
      </c>
    </row>
    <row r="1053" spans="1:14" s="169" customFormat="1" ht="18">
      <c r="A1053" s="180" t="s">
        <v>115</v>
      </c>
      <c r="B1053" s="77" t="s">
        <v>1632</v>
      </c>
      <c r="C1053" s="70" t="s">
        <v>17</v>
      </c>
      <c r="D1053" s="210"/>
      <c r="E1053" s="210"/>
      <c r="F1053" s="210"/>
      <c r="G1053" s="210"/>
      <c r="H1053" s="406">
        <f>SUM(Tabla132112418[[#This Row],[PRIMER TRIMESTRE]:[CUARTO TRIMESTRE]])</f>
        <v>0</v>
      </c>
      <c r="I1053" s="72">
        <v>300000</v>
      </c>
      <c r="J1053" s="72">
        <f t="shared" si="27"/>
        <v>0</v>
      </c>
      <c r="K1053" s="72"/>
      <c r="L1053" s="73" t="s">
        <v>18</v>
      </c>
      <c r="M1053" s="16" t="s">
        <v>22</v>
      </c>
      <c r="N1053" s="39" t="s">
        <v>418</v>
      </c>
    </row>
    <row r="1054" spans="1:14" s="12" customFormat="1" ht="25.5">
      <c r="A1054" s="180" t="s">
        <v>115</v>
      </c>
      <c r="B1054" s="77" t="s">
        <v>940</v>
      </c>
      <c r="C1054" s="70" t="s">
        <v>17</v>
      </c>
      <c r="D1054" s="210"/>
      <c r="E1054" s="210"/>
      <c r="F1054" s="210"/>
      <c r="G1054" s="210"/>
      <c r="H1054" s="406">
        <f>SUM(Tabla132112418[[#This Row],[PRIMER TRIMESTRE]:[CUARTO TRIMESTRE]])</f>
        <v>0</v>
      </c>
      <c r="I1054" s="72">
        <v>210000</v>
      </c>
      <c r="J1054" s="72">
        <f t="shared" si="27"/>
        <v>0</v>
      </c>
      <c r="K1054" s="72"/>
      <c r="L1054" s="16" t="s">
        <v>18</v>
      </c>
      <c r="M1054" s="16" t="s">
        <v>22</v>
      </c>
      <c r="N1054" s="39" t="s">
        <v>418</v>
      </c>
    </row>
    <row r="1055" spans="1:14" s="12" customFormat="1" ht="25.5">
      <c r="A1055" s="180" t="s">
        <v>115</v>
      </c>
      <c r="B1055" s="77" t="s">
        <v>1887</v>
      </c>
      <c r="C1055" s="70" t="s">
        <v>17</v>
      </c>
      <c r="D1055" s="210">
        <v>1</v>
      </c>
      <c r="E1055" s="210"/>
      <c r="F1055" s="210"/>
      <c r="G1055" s="210"/>
      <c r="H1055" s="406">
        <f>SUM(Tabla132112418[[#This Row],[PRIMER TRIMESTRE]:[CUARTO TRIMESTRE]])</f>
        <v>1</v>
      </c>
      <c r="I1055" s="72">
        <v>35000</v>
      </c>
      <c r="J1055" s="72">
        <f t="shared" si="27"/>
        <v>35000</v>
      </c>
      <c r="K1055" s="72"/>
      <c r="L1055" s="16" t="s">
        <v>18</v>
      </c>
      <c r="M1055" s="16" t="s">
        <v>22</v>
      </c>
      <c r="N1055" s="39" t="s">
        <v>418</v>
      </c>
    </row>
    <row r="1056" spans="1:14" s="12" customFormat="1" ht="25.5">
      <c r="A1056" s="178" t="s">
        <v>115</v>
      </c>
      <c r="B1056" s="75" t="s">
        <v>1752</v>
      </c>
      <c r="C1056" s="39" t="s">
        <v>17</v>
      </c>
      <c r="D1056" s="210"/>
      <c r="E1056" s="210"/>
      <c r="F1056" s="210"/>
      <c r="G1056" s="210"/>
      <c r="H1056" s="406">
        <f>SUM(Tabla132112418[[#This Row],[PRIMER TRIMESTRE]:[CUARTO TRIMESTRE]])</f>
        <v>0</v>
      </c>
      <c r="I1056" s="72">
        <v>0</v>
      </c>
      <c r="J1056" s="72">
        <v>0</v>
      </c>
      <c r="K1056" s="72"/>
      <c r="L1056" s="73" t="s">
        <v>18</v>
      </c>
      <c r="M1056" s="16" t="s">
        <v>22</v>
      </c>
      <c r="N1056" s="39" t="s">
        <v>418</v>
      </c>
    </row>
    <row r="1057" spans="1:14" s="12" customFormat="1" ht="18">
      <c r="A1057" s="178" t="s">
        <v>115</v>
      </c>
      <c r="B1057" s="75" t="s">
        <v>1888</v>
      </c>
      <c r="C1057" s="39" t="s">
        <v>17</v>
      </c>
      <c r="D1057" s="210"/>
      <c r="E1057" s="210"/>
      <c r="F1057" s="210"/>
      <c r="G1057" s="210"/>
      <c r="H1057" s="406">
        <v>0</v>
      </c>
      <c r="I1057" s="72">
        <v>0</v>
      </c>
      <c r="J1057" s="72">
        <v>0</v>
      </c>
      <c r="K1057" s="72"/>
      <c r="L1057" s="73" t="s">
        <v>18</v>
      </c>
      <c r="M1057" s="16" t="s">
        <v>22</v>
      </c>
      <c r="N1057" s="39" t="s">
        <v>418</v>
      </c>
    </row>
    <row r="1058" spans="1:14" s="12" customFormat="1" ht="30.75" customHeight="1">
      <c r="A1058" s="178" t="s">
        <v>115</v>
      </c>
      <c r="B1058" s="75" t="s">
        <v>945</v>
      </c>
      <c r="C1058" s="39" t="s">
        <v>17</v>
      </c>
      <c r="D1058" s="236"/>
      <c r="E1058" s="236"/>
      <c r="F1058" s="236"/>
      <c r="G1058" s="236"/>
      <c r="H1058" s="40">
        <f>SUM(Tabla132112418[[#This Row],[PRIMER TRIMESTRE]:[CUARTO TRIMESTRE]])</f>
        <v>0</v>
      </c>
      <c r="I1058" s="17">
        <v>7498</v>
      </c>
      <c r="J1058" s="17">
        <f t="shared" si="27"/>
        <v>0</v>
      </c>
      <c r="K1058" s="17"/>
      <c r="L1058" s="73" t="s">
        <v>18</v>
      </c>
      <c r="M1058" s="16" t="s">
        <v>22</v>
      </c>
      <c r="N1058" s="39" t="s">
        <v>418</v>
      </c>
    </row>
    <row r="1059" spans="1:14" s="12" customFormat="1" ht="30.75" customHeight="1">
      <c r="A1059" s="178" t="s">
        <v>115</v>
      </c>
      <c r="B1059" s="75" t="s">
        <v>946</v>
      </c>
      <c r="C1059" s="39" t="s">
        <v>17</v>
      </c>
      <c r="D1059" s="236"/>
      <c r="E1059" s="236"/>
      <c r="F1059" s="236"/>
      <c r="G1059" s="236"/>
      <c r="H1059" s="40">
        <f>SUM(Tabla132112418[[#This Row],[PRIMER TRIMESTRE]:[CUARTO TRIMESTRE]])</f>
        <v>0</v>
      </c>
      <c r="I1059" s="17">
        <v>4600</v>
      </c>
      <c r="J1059" s="17">
        <f t="shared" si="27"/>
        <v>0</v>
      </c>
      <c r="K1059" s="17"/>
      <c r="L1059" s="73" t="s">
        <v>18</v>
      </c>
      <c r="M1059" s="16" t="s">
        <v>22</v>
      </c>
      <c r="N1059" s="39" t="s">
        <v>418</v>
      </c>
    </row>
    <row r="1060" spans="1:14" s="12" customFormat="1" ht="30.75" customHeight="1">
      <c r="A1060" s="178" t="s">
        <v>115</v>
      </c>
      <c r="B1060" s="75" t="s">
        <v>947</v>
      </c>
      <c r="C1060" s="39" t="s">
        <v>17</v>
      </c>
      <c r="D1060" s="236"/>
      <c r="E1060" s="236"/>
      <c r="F1060" s="236"/>
      <c r="G1060" s="236"/>
      <c r="H1060" s="40">
        <f>SUM(Tabla132112418[[#This Row],[PRIMER TRIMESTRE]:[CUARTO TRIMESTRE]])</f>
        <v>0</v>
      </c>
      <c r="I1060" s="17">
        <v>3496</v>
      </c>
      <c r="J1060" s="17">
        <f t="shared" si="27"/>
        <v>0</v>
      </c>
      <c r="K1060" s="17"/>
      <c r="L1060" s="73" t="s">
        <v>18</v>
      </c>
      <c r="M1060" s="16" t="s">
        <v>22</v>
      </c>
      <c r="N1060" s="39" t="s">
        <v>418</v>
      </c>
    </row>
    <row r="1061" spans="1:14" s="12" customFormat="1" ht="30.75" customHeight="1">
      <c r="A1061" s="178" t="s">
        <v>115</v>
      </c>
      <c r="B1061" s="75" t="s">
        <v>1440</v>
      </c>
      <c r="C1061" s="39" t="s">
        <v>17</v>
      </c>
      <c r="D1061" s="236"/>
      <c r="E1061" s="236"/>
      <c r="F1061" s="236"/>
      <c r="G1061" s="236"/>
      <c r="H1061" s="40">
        <f>SUM(Tabla132112418[[#This Row],[PRIMER TRIMESTRE]:[CUARTO TRIMESTRE]])</f>
        <v>0</v>
      </c>
      <c r="I1061" s="17">
        <v>5310</v>
      </c>
      <c r="J1061" s="17">
        <f t="shared" si="27"/>
        <v>0</v>
      </c>
      <c r="K1061" s="17"/>
      <c r="L1061" s="73" t="s">
        <v>15</v>
      </c>
      <c r="M1061" s="16" t="s">
        <v>22</v>
      </c>
      <c r="N1061" s="39" t="s">
        <v>418</v>
      </c>
    </row>
    <row r="1062" spans="1:14" s="26" customFormat="1" ht="30.75" customHeight="1">
      <c r="A1062" s="178" t="s">
        <v>115</v>
      </c>
      <c r="B1062" s="75" t="s">
        <v>1441</v>
      </c>
      <c r="C1062" s="39" t="s">
        <v>17</v>
      </c>
      <c r="D1062" s="236"/>
      <c r="E1062" s="236"/>
      <c r="F1062" s="236"/>
      <c r="G1062" s="236"/>
      <c r="H1062" s="40">
        <f>SUM(Tabla132112418[[#This Row],[PRIMER TRIMESTRE]:[CUARTO TRIMESTRE]])</f>
        <v>0</v>
      </c>
      <c r="I1062" s="17">
        <v>5310</v>
      </c>
      <c r="J1062" s="17">
        <f t="shared" si="27"/>
        <v>0</v>
      </c>
      <c r="K1062" s="17"/>
      <c r="L1062" s="73" t="s">
        <v>15</v>
      </c>
      <c r="M1062" s="16" t="s">
        <v>22</v>
      </c>
      <c r="N1062" s="39" t="s">
        <v>418</v>
      </c>
    </row>
    <row r="1063" spans="1:14" s="12" customFormat="1" ht="30.75" customHeight="1">
      <c r="A1063" s="178" t="s">
        <v>115</v>
      </c>
      <c r="B1063" s="75" t="s">
        <v>1442</v>
      </c>
      <c r="C1063" s="39" t="s">
        <v>17</v>
      </c>
      <c r="D1063" s="236"/>
      <c r="E1063" s="236"/>
      <c r="F1063" s="236"/>
      <c r="G1063" s="236"/>
      <c r="H1063" s="40">
        <f>SUM(Tabla132112418[[#This Row],[PRIMER TRIMESTRE]:[CUARTO TRIMESTRE]])</f>
        <v>0</v>
      </c>
      <c r="I1063" s="17">
        <v>5310</v>
      </c>
      <c r="J1063" s="17">
        <f t="shared" si="27"/>
        <v>0</v>
      </c>
      <c r="K1063" s="17"/>
      <c r="L1063" s="73" t="s">
        <v>15</v>
      </c>
      <c r="M1063" s="16" t="s">
        <v>22</v>
      </c>
      <c r="N1063" s="39" t="s">
        <v>418</v>
      </c>
    </row>
    <row r="1064" spans="1:14" s="12" customFormat="1" ht="30.75" customHeight="1">
      <c r="A1064" s="179" t="s">
        <v>115</v>
      </c>
      <c r="B1064" s="76"/>
      <c r="C1064" s="42"/>
      <c r="D1064" s="237"/>
      <c r="E1064" s="237"/>
      <c r="F1064" s="237"/>
      <c r="G1064" s="237"/>
      <c r="H1064" s="43"/>
      <c r="I1064" s="24"/>
      <c r="J1064" s="24"/>
      <c r="K1064" s="25">
        <f>SUM(J1029:J1063)</f>
        <v>115590.5</v>
      </c>
      <c r="L1064" s="23"/>
      <c r="M1064" s="23"/>
      <c r="N1064" s="42"/>
    </row>
    <row r="1065" spans="1:14" s="12" customFormat="1" ht="30.75" customHeight="1">
      <c r="A1065" s="178" t="s">
        <v>117</v>
      </c>
      <c r="B1065" s="75" t="s">
        <v>941</v>
      </c>
      <c r="C1065" s="39" t="s">
        <v>17</v>
      </c>
      <c r="D1065" s="236"/>
      <c r="E1065" s="236"/>
      <c r="F1065" s="236"/>
      <c r="G1065" s="236"/>
      <c r="H1065" s="40">
        <f>SUM(Tabla132112418[[#This Row],[PRIMER TRIMESTRE]:[CUARTO TRIMESTRE]])</f>
        <v>0</v>
      </c>
      <c r="I1065" s="17">
        <v>900</v>
      </c>
      <c r="J1065" s="17">
        <f>+H1065*I1065</f>
        <v>0</v>
      </c>
      <c r="K1065" s="17"/>
      <c r="L1065" s="73" t="s">
        <v>18</v>
      </c>
      <c r="M1065" s="16" t="s">
        <v>22</v>
      </c>
      <c r="N1065" s="39"/>
    </row>
    <row r="1066" spans="1:14" s="12" customFormat="1" ht="30.75" customHeight="1">
      <c r="A1066" s="178" t="s">
        <v>117</v>
      </c>
      <c r="B1066" s="75" t="s">
        <v>942</v>
      </c>
      <c r="C1066" s="39" t="s">
        <v>17</v>
      </c>
      <c r="D1066" s="236"/>
      <c r="E1066" s="236"/>
      <c r="F1066" s="236"/>
      <c r="G1066" s="236"/>
      <c r="H1066" s="40">
        <f>SUM(Tabla132112418[[#This Row],[PRIMER TRIMESTRE]:[CUARTO TRIMESTRE]])</f>
        <v>0</v>
      </c>
      <c r="I1066" s="17">
        <v>900</v>
      </c>
      <c r="J1066" s="17">
        <f>+H1066*I1066</f>
        <v>0</v>
      </c>
      <c r="K1066" s="17"/>
      <c r="L1066" s="73" t="s">
        <v>18</v>
      </c>
      <c r="M1066" s="16" t="s">
        <v>22</v>
      </c>
      <c r="N1066" s="39" t="s">
        <v>418</v>
      </c>
    </row>
    <row r="1067" spans="1:14" s="12" customFormat="1" ht="30.75" customHeight="1">
      <c r="A1067" s="178" t="s">
        <v>117</v>
      </c>
      <c r="B1067" s="75" t="s">
        <v>943</v>
      </c>
      <c r="C1067" s="39" t="s">
        <v>17</v>
      </c>
      <c r="D1067" s="236"/>
      <c r="E1067" s="236"/>
      <c r="F1067" s="236"/>
      <c r="G1067" s="236"/>
      <c r="H1067" s="40">
        <f>SUM(Tabla132112418[[#This Row],[PRIMER TRIMESTRE]:[CUARTO TRIMESTRE]])</f>
        <v>0</v>
      </c>
      <c r="I1067" s="17">
        <v>800000</v>
      </c>
      <c r="J1067" s="17">
        <f>+H1067*I1067</f>
        <v>0</v>
      </c>
      <c r="K1067" s="17"/>
      <c r="L1067" s="16" t="s">
        <v>18</v>
      </c>
      <c r="M1067" s="16" t="s">
        <v>22</v>
      </c>
      <c r="N1067" s="39" t="s">
        <v>418</v>
      </c>
    </row>
    <row r="1068" spans="1:14" s="12" customFormat="1" ht="30.75" customHeight="1">
      <c r="A1068" s="178" t="s">
        <v>117</v>
      </c>
      <c r="B1068" s="75" t="s">
        <v>1402</v>
      </c>
      <c r="C1068" s="39" t="s">
        <v>17</v>
      </c>
      <c r="D1068" s="236"/>
      <c r="E1068" s="236"/>
      <c r="F1068" s="236"/>
      <c r="G1068" s="236"/>
      <c r="H1068" s="40">
        <f>SUM(Tabla132112418[[#This Row],[PRIMER TRIMESTRE]:[CUARTO TRIMESTRE]])</f>
        <v>0</v>
      </c>
      <c r="I1068" s="17">
        <v>758</v>
      </c>
      <c r="J1068" s="17">
        <f>+Tabla132112418[[#This Row],[CANTIDAD TOTAL]]*Tabla132112418[[#This Row],[PRECIO UNITARIO ESTIMADO]]</f>
        <v>0</v>
      </c>
      <c r="K1068" s="17"/>
      <c r="L1068" s="73" t="s">
        <v>18</v>
      </c>
      <c r="M1068" s="16" t="s">
        <v>22</v>
      </c>
      <c r="N1068" s="39" t="s">
        <v>418</v>
      </c>
    </row>
    <row r="1069" spans="1:14" s="12" customFormat="1" ht="30.75" customHeight="1">
      <c r="A1069" s="178" t="s">
        <v>117</v>
      </c>
      <c r="B1069" s="75" t="s">
        <v>944</v>
      </c>
      <c r="C1069" s="39" t="s">
        <v>17</v>
      </c>
      <c r="D1069" s="236"/>
      <c r="E1069" s="236"/>
      <c r="F1069" s="236"/>
      <c r="G1069" s="236"/>
      <c r="H1069" s="40">
        <f>SUM(Tabla132112418[[#This Row],[PRIMER TRIMESTRE]:[CUARTO TRIMESTRE]])</f>
        <v>0</v>
      </c>
      <c r="I1069" s="17">
        <v>12000</v>
      </c>
      <c r="J1069" s="17">
        <f t="shared" ref="J1069:J1078" si="28">+H1069*I1069</f>
        <v>0</v>
      </c>
      <c r="K1069" s="17"/>
      <c r="L1069" s="73" t="s">
        <v>18</v>
      </c>
      <c r="M1069" s="16" t="s">
        <v>22</v>
      </c>
      <c r="N1069" s="39" t="s">
        <v>418</v>
      </c>
    </row>
    <row r="1070" spans="1:14" s="12" customFormat="1" ht="30.75" customHeight="1">
      <c r="A1070" s="178" t="s">
        <v>117</v>
      </c>
      <c r="B1070" s="75" t="s">
        <v>1755</v>
      </c>
      <c r="C1070" s="39" t="s">
        <v>17</v>
      </c>
      <c r="D1070" s="236"/>
      <c r="E1070" s="236"/>
      <c r="F1070" s="236"/>
      <c r="G1070" s="236"/>
      <c r="H1070" s="40">
        <v>0</v>
      </c>
      <c r="I1070" s="17">
        <v>0</v>
      </c>
      <c r="J1070" s="17">
        <v>0</v>
      </c>
      <c r="K1070" s="17"/>
      <c r="L1070" s="73" t="s">
        <v>18</v>
      </c>
      <c r="M1070" s="16" t="s">
        <v>22</v>
      </c>
      <c r="N1070" s="39" t="s">
        <v>418</v>
      </c>
    </row>
    <row r="1071" spans="1:14" s="12" customFormat="1" ht="30.75" customHeight="1">
      <c r="A1071" s="178" t="s">
        <v>117</v>
      </c>
      <c r="B1071" s="75" t="s">
        <v>1756</v>
      </c>
      <c r="C1071" s="39" t="s">
        <v>17</v>
      </c>
      <c r="D1071" s="236"/>
      <c r="E1071" s="236"/>
      <c r="F1071" s="236"/>
      <c r="G1071" s="236"/>
      <c r="H1071" s="40">
        <v>0</v>
      </c>
      <c r="I1071" s="17">
        <v>0</v>
      </c>
      <c r="J1071" s="17">
        <v>0</v>
      </c>
      <c r="K1071" s="17"/>
      <c r="L1071" s="73" t="s">
        <v>18</v>
      </c>
      <c r="M1071" s="16" t="s">
        <v>22</v>
      </c>
      <c r="N1071" s="39" t="s">
        <v>418</v>
      </c>
    </row>
    <row r="1072" spans="1:14" s="12" customFormat="1" ht="30.75" customHeight="1">
      <c r="A1072" s="178" t="s">
        <v>117</v>
      </c>
      <c r="B1072" s="75" t="s">
        <v>1403</v>
      </c>
      <c r="C1072" s="39" t="s">
        <v>17</v>
      </c>
      <c r="D1072" s="236"/>
      <c r="E1072" s="236"/>
      <c r="F1072" s="236"/>
      <c r="G1072" s="236"/>
      <c r="H1072" s="40">
        <f>SUM(Tabla132112418[[#This Row],[PRIMER TRIMESTRE]:[CUARTO TRIMESTRE]])</f>
        <v>0</v>
      </c>
      <c r="I1072" s="17">
        <v>250000</v>
      </c>
      <c r="J1072" s="17">
        <f t="shared" si="28"/>
        <v>0</v>
      </c>
      <c r="K1072" s="17"/>
      <c r="L1072" s="73" t="s">
        <v>18</v>
      </c>
      <c r="M1072" s="16" t="s">
        <v>22</v>
      </c>
      <c r="N1072" s="39" t="s">
        <v>418</v>
      </c>
    </row>
    <row r="1073" spans="1:14" s="12" customFormat="1" ht="30.75" customHeight="1">
      <c r="A1073" s="178" t="s">
        <v>117</v>
      </c>
      <c r="B1073" s="75" t="s">
        <v>1420</v>
      </c>
      <c r="C1073" s="39" t="s">
        <v>17</v>
      </c>
      <c r="D1073" s="236"/>
      <c r="E1073" s="236"/>
      <c r="F1073" s="236"/>
      <c r="G1073" s="236"/>
      <c r="H1073" s="40">
        <f>SUM(Tabla132112418[[#This Row],[PRIMER TRIMESTRE]:[CUARTO TRIMESTRE]])</f>
        <v>0</v>
      </c>
      <c r="I1073" s="17">
        <v>25000000</v>
      </c>
      <c r="J1073" s="17">
        <f t="shared" si="28"/>
        <v>0</v>
      </c>
      <c r="K1073" s="17"/>
      <c r="L1073" s="16" t="s">
        <v>18</v>
      </c>
      <c r="M1073" s="16" t="s">
        <v>22</v>
      </c>
      <c r="N1073" s="39" t="s">
        <v>418</v>
      </c>
    </row>
    <row r="1074" spans="1:14" s="12" customFormat="1" ht="30.75" customHeight="1">
      <c r="A1074" s="178" t="s">
        <v>117</v>
      </c>
      <c r="B1074" s="75" t="s">
        <v>1404</v>
      </c>
      <c r="C1074" s="39" t="s">
        <v>17</v>
      </c>
      <c r="D1074" s="236"/>
      <c r="E1074" s="236"/>
      <c r="F1074" s="236"/>
      <c r="G1074" s="236"/>
      <c r="H1074" s="40">
        <f>SUM(Tabla132112418[[#This Row],[PRIMER TRIMESTRE]:[CUARTO TRIMESTRE]])</f>
        <v>0</v>
      </c>
      <c r="I1074" s="17">
        <v>327618.2</v>
      </c>
      <c r="J1074" s="17">
        <f t="shared" si="28"/>
        <v>0</v>
      </c>
      <c r="K1074" s="17"/>
      <c r="L1074" s="73" t="s">
        <v>18</v>
      </c>
      <c r="M1074" s="16" t="s">
        <v>22</v>
      </c>
      <c r="N1074" s="39" t="s">
        <v>418</v>
      </c>
    </row>
    <row r="1075" spans="1:14" s="12" customFormat="1" ht="30.75" customHeight="1">
      <c r="A1075" s="178" t="s">
        <v>117</v>
      </c>
      <c r="B1075" s="75" t="s">
        <v>1405</v>
      </c>
      <c r="C1075" s="39" t="s">
        <v>17</v>
      </c>
      <c r="D1075" s="236"/>
      <c r="E1075" s="236"/>
      <c r="F1075" s="236"/>
      <c r="G1075" s="236"/>
      <c r="H1075" s="40">
        <f>SUM(Tabla132112418[[#This Row],[PRIMER TRIMESTRE]:[CUARTO TRIMESTRE]])</f>
        <v>0</v>
      </c>
      <c r="I1075" s="17">
        <v>815223.95</v>
      </c>
      <c r="J1075" s="17">
        <f t="shared" si="28"/>
        <v>0</v>
      </c>
      <c r="K1075" s="17"/>
      <c r="L1075" s="16" t="s">
        <v>18</v>
      </c>
      <c r="M1075" s="16" t="s">
        <v>22</v>
      </c>
      <c r="N1075" s="39" t="s">
        <v>418</v>
      </c>
    </row>
    <row r="1076" spans="1:14" s="12" customFormat="1" ht="30.75" customHeight="1">
      <c r="A1076" s="178" t="s">
        <v>117</v>
      </c>
      <c r="B1076" s="75" t="s">
        <v>1406</v>
      </c>
      <c r="C1076" s="39" t="s">
        <v>17</v>
      </c>
      <c r="D1076" s="236"/>
      <c r="E1076" s="236"/>
      <c r="F1076" s="236"/>
      <c r="G1076" s="236"/>
      <c r="H1076" s="40">
        <f>SUM(Tabla132112418[[#This Row],[PRIMER TRIMESTRE]:[CUARTO TRIMESTRE]])</f>
        <v>0</v>
      </c>
      <c r="I1076" s="17">
        <v>341286.40000000002</v>
      </c>
      <c r="J1076" s="17">
        <f t="shared" si="28"/>
        <v>0</v>
      </c>
      <c r="K1076" s="17"/>
      <c r="L1076" s="73" t="s">
        <v>18</v>
      </c>
      <c r="M1076" s="16" t="s">
        <v>22</v>
      </c>
      <c r="N1076" s="39" t="s">
        <v>418</v>
      </c>
    </row>
    <row r="1077" spans="1:14" s="26" customFormat="1" ht="30.75" customHeight="1">
      <c r="A1077" s="178" t="s">
        <v>117</v>
      </c>
      <c r="B1077" s="75" t="s">
        <v>1407</v>
      </c>
      <c r="C1077" s="39" t="s">
        <v>17</v>
      </c>
      <c r="D1077" s="236"/>
      <c r="E1077" s="236"/>
      <c r="F1077" s="236"/>
      <c r="G1077" s="236"/>
      <c r="H1077" s="40">
        <f>SUM(Tabla132112418[[#This Row],[PRIMER TRIMESTRE]:[CUARTO TRIMESTRE]])</f>
        <v>0</v>
      </c>
      <c r="I1077" s="17">
        <v>498739.15</v>
      </c>
      <c r="J1077" s="17">
        <f t="shared" si="28"/>
        <v>0</v>
      </c>
      <c r="K1077" s="17"/>
      <c r="L1077" s="73" t="s">
        <v>18</v>
      </c>
      <c r="M1077" s="16" t="s">
        <v>22</v>
      </c>
      <c r="N1077" s="39" t="s">
        <v>418</v>
      </c>
    </row>
    <row r="1078" spans="1:14" s="12" customFormat="1" ht="30.75" customHeight="1">
      <c r="A1078" s="178" t="s">
        <v>117</v>
      </c>
      <c r="B1078" s="75" t="s">
        <v>1408</v>
      </c>
      <c r="C1078" s="39" t="s">
        <v>17</v>
      </c>
      <c r="D1078" s="236"/>
      <c r="E1078" s="236"/>
      <c r="F1078" s="236"/>
      <c r="G1078" s="236"/>
      <c r="H1078" s="40">
        <f>SUM(Tabla132112418[[#This Row],[PRIMER TRIMESTRE]:[CUARTO TRIMESTRE]])</f>
        <v>0</v>
      </c>
      <c r="I1078" s="17">
        <v>48163257.060000002</v>
      </c>
      <c r="J1078" s="17">
        <f t="shared" si="28"/>
        <v>0</v>
      </c>
      <c r="K1078" s="17"/>
      <c r="L1078" s="16" t="s">
        <v>18</v>
      </c>
      <c r="M1078" s="16" t="s">
        <v>22</v>
      </c>
      <c r="N1078" s="39" t="s">
        <v>418</v>
      </c>
    </row>
    <row r="1079" spans="1:14" s="12" customFormat="1" ht="30.75" customHeight="1">
      <c r="A1079" s="179" t="s">
        <v>117</v>
      </c>
      <c r="B1079" s="76" t="s">
        <v>891</v>
      </c>
      <c r="C1079" s="42"/>
      <c r="D1079" s="237"/>
      <c r="E1079" s="237"/>
      <c r="F1079" s="237"/>
      <c r="G1079" s="237"/>
      <c r="H1079" s="43"/>
      <c r="I1079" s="24"/>
      <c r="J1079" s="24"/>
      <c r="K1079" s="25">
        <f>SUM(J1065:J1078)</f>
        <v>0</v>
      </c>
      <c r="L1079" s="23"/>
      <c r="M1079" s="23"/>
      <c r="N1079" s="42"/>
    </row>
    <row r="1080" spans="1:14" s="12" customFormat="1" ht="30.75" customHeight="1">
      <c r="A1080" s="178" t="s">
        <v>118</v>
      </c>
      <c r="B1080" s="75" t="s">
        <v>241</v>
      </c>
      <c r="C1080" s="39" t="s">
        <v>17</v>
      </c>
      <c r="D1080" s="236"/>
      <c r="E1080" s="236"/>
      <c r="F1080" s="236"/>
      <c r="G1080" s="236"/>
      <c r="H1080" s="40">
        <f>SUM(Tabla132112418[[#This Row],[PRIMER TRIMESTRE]:[CUARTO TRIMESTRE]])</f>
        <v>0</v>
      </c>
      <c r="I1080" s="17">
        <v>7544.8</v>
      </c>
      <c r="J1080" s="17">
        <f>+Tabla132112418[[#This Row],[CANTIDAD TOTAL]]*Tabla132112418[[#This Row],[PRECIO UNITARIO ESTIMADO]]</f>
        <v>0</v>
      </c>
      <c r="K1080" s="17"/>
      <c r="L1080" s="73" t="s">
        <v>27</v>
      </c>
      <c r="M1080" s="16" t="s">
        <v>22</v>
      </c>
      <c r="N1080" s="39" t="s">
        <v>418</v>
      </c>
    </row>
    <row r="1081" spans="1:14" s="12" customFormat="1" ht="30.75" customHeight="1">
      <c r="A1081" s="178" t="s">
        <v>118</v>
      </c>
      <c r="B1081" s="75" t="s">
        <v>242</v>
      </c>
      <c r="C1081" s="39" t="s">
        <v>17</v>
      </c>
      <c r="D1081" s="236"/>
      <c r="E1081" s="236">
        <v>1</v>
      </c>
      <c r="F1081" s="236"/>
      <c r="G1081" s="236"/>
      <c r="H1081" s="40">
        <f>SUM(Tabla132112418[[#This Row],[PRIMER TRIMESTRE]:[CUARTO TRIMESTRE]])</f>
        <v>1</v>
      </c>
      <c r="I1081" s="17">
        <v>4756</v>
      </c>
      <c r="J1081" s="17">
        <f>+Tabla132112418[[#This Row],[CANTIDAD TOTAL]]*Tabla132112418[[#This Row],[PRECIO UNITARIO ESTIMADO]]</f>
        <v>4756</v>
      </c>
      <c r="K1081" s="17"/>
      <c r="L1081" s="73" t="s">
        <v>27</v>
      </c>
      <c r="M1081" s="16" t="s">
        <v>22</v>
      </c>
      <c r="N1081" s="39" t="s">
        <v>418</v>
      </c>
    </row>
    <row r="1082" spans="1:14" s="12" customFormat="1" ht="30.75" customHeight="1">
      <c r="A1082" s="178" t="s">
        <v>118</v>
      </c>
      <c r="B1082" s="75" t="s">
        <v>243</v>
      </c>
      <c r="C1082" s="39" t="s">
        <v>17</v>
      </c>
      <c r="D1082" s="236"/>
      <c r="E1082" s="236"/>
      <c r="F1082" s="236"/>
      <c r="G1082" s="236"/>
      <c r="H1082" s="40">
        <f>SUM(Tabla132112418[[#This Row],[PRIMER TRIMESTRE]:[CUARTO TRIMESTRE]])</f>
        <v>0</v>
      </c>
      <c r="I1082" s="17">
        <v>4610.34</v>
      </c>
      <c r="J1082" s="17">
        <f>+Tabla132112418[[#This Row],[CANTIDAD TOTAL]]*Tabla132112418[[#This Row],[PRECIO UNITARIO ESTIMADO]]</f>
        <v>0</v>
      </c>
      <c r="K1082" s="17"/>
      <c r="L1082" s="73" t="s">
        <v>27</v>
      </c>
      <c r="M1082" s="16" t="s">
        <v>22</v>
      </c>
      <c r="N1082" s="39" t="s">
        <v>418</v>
      </c>
    </row>
    <row r="1083" spans="1:14" s="12" customFormat="1" ht="30.75" customHeight="1">
      <c r="A1083" s="178" t="s">
        <v>118</v>
      </c>
      <c r="B1083" s="75" t="s">
        <v>336</v>
      </c>
      <c r="C1083" s="39" t="s">
        <v>17</v>
      </c>
      <c r="D1083" s="236"/>
      <c r="E1083" s="236"/>
      <c r="F1083" s="236"/>
      <c r="G1083" s="236"/>
      <c r="H1083" s="40">
        <f>SUM(Tabla132112418[[#This Row],[PRIMER TRIMESTRE]:[CUARTO TRIMESTRE]])</f>
        <v>0</v>
      </c>
      <c r="I1083" s="17">
        <v>10115</v>
      </c>
      <c r="J1083" s="17">
        <f>+Tabla132112418[[#This Row],[CANTIDAD TOTAL]]*Tabla132112418[[#This Row],[PRECIO UNITARIO ESTIMADO]]</f>
        <v>0</v>
      </c>
      <c r="K1083" s="17"/>
      <c r="L1083" s="73" t="s">
        <v>27</v>
      </c>
      <c r="M1083" s="16" t="s">
        <v>22</v>
      </c>
      <c r="N1083" s="39" t="s">
        <v>418</v>
      </c>
    </row>
    <row r="1084" spans="1:14" s="12" customFormat="1" ht="30.75" customHeight="1">
      <c r="A1084" s="178" t="s">
        <v>118</v>
      </c>
      <c r="B1084" s="75" t="s">
        <v>1322</v>
      </c>
      <c r="C1084" s="39" t="s">
        <v>17</v>
      </c>
      <c r="D1084" s="236"/>
      <c r="E1084" s="236"/>
      <c r="F1084" s="236"/>
      <c r="G1084" s="236"/>
      <c r="H1084" s="40">
        <f>SUM(Tabla132112418[[#This Row],[PRIMER TRIMESTRE]:[CUARTO TRIMESTRE]])</f>
        <v>0</v>
      </c>
      <c r="I1084" s="17">
        <f>+(5938.35+4838)/2</f>
        <v>5388.1750000000002</v>
      </c>
      <c r="J1084" s="17">
        <f>+Tabla132112418[[#This Row],[CANTIDAD TOTAL]]*Tabla132112418[[#This Row],[PRECIO UNITARIO ESTIMADO]]</f>
        <v>0</v>
      </c>
      <c r="K1084" s="17"/>
      <c r="L1084" s="73" t="s">
        <v>27</v>
      </c>
      <c r="M1084" s="16" t="s">
        <v>22</v>
      </c>
      <c r="N1084" s="39" t="s">
        <v>418</v>
      </c>
    </row>
    <row r="1085" spans="1:14" s="12" customFormat="1" ht="30.75" customHeight="1">
      <c r="A1085" s="178" t="s">
        <v>118</v>
      </c>
      <c r="B1085" s="75" t="s">
        <v>334</v>
      </c>
      <c r="C1085" s="39" t="s">
        <v>17</v>
      </c>
      <c r="D1085" s="236"/>
      <c r="E1085" s="236"/>
      <c r="F1085" s="236"/>
      <c r="G1085" s="236"/>
      <c r="H1085" s="40">
        <f>SUM(Tabla132112418[[#This Row],[PRIMER TRIMESTRE]:[CUARTO TRIMESTRE]])</f>
        <v>0</v>
      </c>
      <c r="I1085" s="17">
        <v>7080</v>
      </c>
      <c r="J1085" s="17">
        <f>+Tabla132112418[[#This Row],[CANTIDAD TOTAL]]*Tabla132112418[[#This Row],[PRECIO UNITARIO ESTIMADO]]</f>
        <v>0</v>
      </c>
      <c r="K1085" s="17"/>
      <c r="L1085" s="73" t="s">
        <v>27</v>
      </c>
      <c r="M1085" s="16" t="s">
        <v>22</v>
      </c>
      <c r="N1085" s="39" t="s">
        <v>418</v>
      </c>
    </row>
    <row r="1086" spans="1:14" s="12" customFormat="1" ht="30.75" customHeight="1">
      <c r="A1086" s="178" t="s">
        <v>118</v>
      </c>
      <c r="B1086" s="75" t="s">
        <v>340</v>
      </c>
      <c r="C1086" s="39" t="s">
        <v>17</v>
      </c>
      <c r="D1086" s="236"/>
      <c r="E1086" s="236"/>
      <c r="F1086" s="236"/>
      <c r="G1086" s="236"/>
      <c r="H1086" s="40">
        <f>SUM(Tabla132112418[[#This Row],[PRIMER TRIMESTRE]:[CUARTO TRIMESTRE]])</f>
        <v>0</v>
      </c>
      <c r="I1086" s="17">
        <v>13684.27</v>
      </c>
      <c r="J1086" s="17">
        <f>+Tabla132112418[[#This Row],[CANTIDAD TOTAL]]*Tabla132112418[[#This Row],[PRECIO UNITARIO ESTIMADO]]</f>
        <v>0</v>
      </c>
      <c r="K1086" s="17"/>
      <c r="L1086" s="73" t="s">
        <v>15</v>
      </c>
      <c r="M1086" s="16" t="s">
        <v>22</v>
      </c>
      <c r="N1086" s="39" t="s">
        <v>418</v>
      </c>
    </row>
    <row r="1087" spans="1:14" s="12" customFormat="1" ht="30.75" customHeight="1">
      <c r="A1087" s="178" t="s">
        <v>118</v>
      </c>
      <c r="B1087" s="75" t="s">
        <v>1138</v>
      </c>
      <c r="C1087" s="39" t="s">
        <v>1067</v>
      </c>
      <c r="D1087" s="236"/>
      <c r="E1087" s="236"/>
      <c r="F1087" s="236"/>
      <c r="G1087" s="236"/>
      <c r="H1087" s="40">
        <f>SUM(Tabla132112418[[#This Row],[PRIMER TRIMESTRE]:[CUARTO TRIMESTRE]])</f>
        <v>0</v>
      </c>
      <c r="I1087" s="17">
        <v>3000</v>
      </c>
      <c r="J1087" s="17">
        <f>+H1087*I1087</f>
        <v>0</v>
      </c>
      <c r="K1087" s="17"/>
      <c r="L1087" s="73" t="s">
        <v>15</v>
      </c>
      <c r="M1087" s="16" t="s">
        <v>22</v>
      </c>
      <c r="N1087" s="39" t="s">
        <v>418</v>
      </c>
    </row>
    <row r="1088" spans="1:14" s="12" customFormat="1" ht="30.75" customHeight="1">
      <c r="A1088" s="178" t="s">
        <v>118</v>
      </c>
      <c r="B1088" s="75" t="s">
        <v>245</v>
      </c>
      <c r="C1088" s="39" t="s">
        <v>17</v>
      </c>
      <c r="D1088" s="236"/>
      <c r="E1088" s="236"/>
      <c r="F1088" s="236"/>
      <c r="G1088" s="236"/>
      <c r="H1088" s="40">
        <f>SUM(Tabla132112418[[#This Row],[PRIMER TRIMESTRE]:[CUARTO TRIMESTRE]])</f>
        <v>0</v>
      </c>
      <c r="I1088" s="17">
        <v>10788</v>
      </c>
      <c r="J1088" s="17">
        <f>+Tabla132112418[[#This Row],[CANTIDAD TOTAL]]*Tabla132112418[[#This Row],[PRECIO UNITARIO ESTIMADO]]</f>
        <v>0</v>
      </c>
      <c r="K1088" s="17"/>
      <c r="L1088" s="73" t="s">
        <v>15</v>
      </c>
      <c r="M1088" s="16" t="s">
        <v>22</v>
      </c>
      <c r="N1088" s="39" t="s">
        <v>418</v>
      </c>
    </row>
    <row r="1089" spans="1:14" s="12" customFormat="1" ht="30.75" customHeight="1">
      <c r="A1089" s="178" t="s">
        <v>118</v>
      </c>
      <c r="B1089" s="75" t="s">
        <v>246</v>
      </c>
      <c r="C1089" s="39" t="s">
        <v>17</v>
      </c>
      <c r="D1089" s="236"/>
      <c r="E1089" s="236"/>
      <c r="F1089" s="236"/>
      <c r="G1089" s="236"/>
      <c r="H1089" s="40">
        <f>SUM(Tabla132112418[[#This Row],[PRIMER TRIMESTRE]:[CUARTO TRIMESTRE]])</f>
        <v>0</v>
      </c>
      <c r="I1089" s="17">
        <v>2467.71</v>
      </c>
      <c r="J1089" s="17">
        <f>+Tabla132112418[[#This Row],[CANTIDAD TOTAL]]*Tabla132112418[[#This Row],[PRECIO UNITARIO ESTIMADO]]</f>
        <v>0</v>
      </c>
      <c r="K1089" s="17"/>
      <c r="L1089" s="73" t="s">
        <v>27</v>
      </c>
      <c r="M1089" s="16" t="s">
        <v>22</v>
      </c>
      <c r="N1089" s="39" t="s">
        <v>418</v>
      </c>
    </row>
    <row r="1090" spans="1:14" s="12" customFormat="1" ht="30.75" customHeight="1">
      <c r="A1090" s="178" t="s">
        <v>118</v>
      </c>
      <c r="B1090" s="75" t="s">
        <v>247</v>
      </c>
      <c r="C1090" s="39" t="s">
        <v>17</v>
      </c>
      <c r="D1090" s="236"/>
      <c r="E1090" s="236"/>
      <c r="F1090" s="236"/>
      <c r="G1090" s="236"/>
      <c r="H1090" s="40">
        <f>SUM(Tabla132112418[[#This Row],[PRIMER TRIMESTRE]:[CUARTO TRIMESTRE]])</f>
        <v>0</v>
      </c>
      <c r="I1090" s="17">
        <v>14434.48</v>
      </c>
      <c r="J1090" s="17">
        <f>+Tabla132112418[[#This Row],[CANTIDAD TOTAL]]*Tabla132112418[[#This Row],[PRECIO UNITARIO ESTIMADO]]</f>
        <v>0</v>
      </c>
      <c r="K1090" s="17"/>
      <c r="L1090" s="73" t="s">
        <v>15</v>
      </c>
      <c r="M1090" s="16" t="s">
        <v>22</v>
      </c>
      <c r="N1090" s="39" t="s">
        <v>418</v>
      </c>
    </row>
    <row r="1091" spans="1:14" s="12" customFormat="1" ht="30.75" customHeight="1">
      <c r="A1091" s="178" t="s">
        <v>118</v>
      </c>
      <c r="B1091" s="75" t="s">
        <v>1604</v>
      </c>
      <c r="C1091" s="39" t="s">
        <v>17</v>
      </c>
      <c r="D1091" s="236"/>
      <c r="E1091" s="236"/>
      <c r="F1091" s="236"/>
      <c r="G1091" s="236"/>
      <c r="H1091" s="40">
        <f>SUM(Tabla132112418[[#This Row],[PRIMER TRIMESTRE]:[CUARTO TRIMESTRE]])</f>
        <v>0</v>
      </c>
      <c r="I1091" s="17">
        <v>4800</v>
      </c>
      <c r="J1091" s="17">
        <f>+H1091*I1091</f>
        <v>0</v>
      </c>
      <c r="K1091" s="17"/>
      <c r="L1091" s="73" t="s">
        <v>27</v>
      </c>
      <c r="M1091" s="16" t="s">
        <v>22</v>
      </c>
      <c r="N1091" s="39" t="s">
        <v>418</v>
      </c>
    </row>
    <row r="1092" spans="1:14" s="12" customFormat="1" ht="30.75" customHeight="1">
      <c r="A1092" s="178" t="s">
        <v>118</v>
      </c>
      <c r="B1092" s="75" t="s">
        <v>339</v>
      </c>
      <c r="C1092" s="39" t="s">
        <v>17</v>
      </c>
      <c r="D1092" s="236"/>
      <c r="E1092" s="236"/>
      <c r="F1092" s="236"/>
      <c r="G1092" s="236"/>
      <c r="H1092" s="40">
        <f>SUM(Tabla132112418[[#This Row],[PRIMER TRIMESTRE]:[CUARTO TRIMESTRE]])</f>
        <v>0</v>
      </c>
      <c r="I1092" s="17">
        <f>115079.5/24</f>
        <v>4794.979166666667</v>
      </c>
      <c r="J1092" s="17">
        <f>+Tabla132112418[[#This Row],[CANTIDAD TOTAL]]*Tabla132112418[[#This Row],[PRECIO UNITARIO ESTIMADO]]</f>
        <v>0</v>
      </c>
      <c r="K1092" s="17"/>
      <c r="L1092" s="73" t="s">
        <v>15</v>
      </c>
      <c r="M1092" s="16" t="s">
        <v>22</v>
      </c>
      <c r="N1092" s="39" t="s">
        <v>418</v>
      </c>
    </row>
    <row r="1093" spans="1:14" s="12" customFormat="1" ht="30.75" customHeight="1">
      <c r="A1093" s="178" t="s">
        <v>118</v>
      </c>
      <c r="B1093" s="75" t="s">
        <v>248</v>
      </c>
      <c r="C1093" s="39" t="s">
        <v>17</v>
      </c>
      <c r="D1093" s="236"/>
      <c r="E1093" s="236"/>
      <c r="F1093" s="236"/>
      <c r="G1093" s="236"/>
      <c r="H1093" s="40">
        <f>SUM(Tabla132112418[[#This Row],[PRIMER TRIMESTRE]:[CUARTO TRIMESTRE]])</f>
        <v>0</v>
      </c>
      <c r="I1093" s="17">
        <v>2262</v>
      </c>
      <c r="J1093" s="17">
        <f>+Tabla132112418[[#This Row],[CANTIDAD TOTAL]]*Tabla132112418[[#This Row],[PRECIO UNITARIO ESTIMADO]]</f>
        <v>0</v>
      </c>
      <c r="K1093" s="17"/>
      <c r="L1093" s="73" t="s">
        <v>15</v>
      </c>
      <c r="M1093" s="16" t="s">
        <v>22</v>
      </c>
      <c r="N1093" s="39" t="s">
        <v>418</v>
      </c>
    </row>
    <row r="1094" spans="1:14" s="12" customFormat="1" ht="30.75" customHeight="1">
      <c r="A1094" s="178" t="s">
        <v>118</v>
      </c>
      <c r="B1094" s="75" t="s">
        <v>249</v>
      </c>
      <c r="C1094" s="39" t="s">
        <v>17</v>
      </c>
      <c r="D1094" s="236"/>
      <c r="E1094" s="236"/>
      <c r="F1094" s="236"/>
      <c r="G1094" s="236"/>
      <c r="H1094" s="40">
        <f>SUM(Tabla132112418[[#This Row],[PRIMER TRIMESTRE]:[CUARTO TRIMESTRE]])</f>
        <v>0</v>
      </c>
      <c r="I1094" s="17">
        <v>3250</v>
      </c>
      <c r="J1094" s="17">
        <f>+Tabla132112418[[#This Row],[CANTIDAD TOTAL]]*Tabla132112418[[#This Row],[PRECIO UNITARIO ESTIMADO]]</f>
        <v>0</v>
      </c>
      <c r="K1094" s="17"/>
      <c r="L1094" s="73" t="s">
        <v>27</v>
      </c>
      <c r="M1094" s="16" t="s">
        <v>22</v>
      </c>
      <c r="N1094" s="39" t="s">
        <v>418</v>
      </c>
    </row>
    <row r="1095" spans="1:14" s="26" customFormat="1" ht="30.75" customHeight="1">
      <c r="A1095" s="178" t="s">
        <v>118</v>
      </c>
      <c r="B1095" s="75" t="s">
        <v>250</v>
      </c>
      <c r="C1095" s="39" t="s">
        <v>17</v>
      </c>
      <c r="D1095" s="236"/>
      <c r="E1095" s="236"/>
      <c r="F1095" s="236"/>
      <c r="G1095" s="236"/>
      <c r="H1095" s="40">
        <f>SUM(Tabla132112418[[#This Row],[PRIMER TRIMESTRE]:[CUARTO TRIMESTRE]])</f>
        <v>0</v>
      </c>
      <c r="I1095" s="17">
        <v>3959.88</v>
      </c>
      <c r="J1095" s="17">
        <f>+Tabla132112418[[#This Row],[CANTIDAD TOTAL]]*Tabla132112418[[#This Row],[PRECIO UNITARIO ESTIMADO]]</f>
        <v>0</v>
      </c>
      <c r="K1095" s="17"/>
      <c r="L1095" s="73" t="s">
        <v>27</v>
      </c>
      <c r="M1095" s="16" t="s">
        <v>22</v>
      </c>
      <c r="N1095" s="39" t="s">
        <v>418</v>
      </c>
    </row>
    <row r="1096" spans="1:14" s="12" customFormat="1" ht="30.75" customHeight="1">
      <c r="A1096" s="178" t="s">
        <v>118</v>
      </c>
      <c r="B1096" s="75" t="s">
        <v>323</v>
      </c>
      <c r="C1096" s="39" t="s">
        <v>17</v>
      </c>
      <c r="D1096" s="236"/>
      <c r="E1096" s="236"/>
      <c r="F1096" s="236"/>
      <c r="G1096" s="236"/>
      <c r="H1096" s="40">
        <f>SUM(Tabla132112418[[#This Row],[PRIMER TRIMESTRE]:[CUARTO TRIMESTRE]])</f>
        <v>0</v>
      </c>
      <c r="I1096" s="17">
        <f>16086.57/3</f>
        <v>5362.19</v>
      </c>
      <c r="J1096" s="17">
        <f>+Tabla132112418[[#This Row],[CANTIDAD TOTAL]]*Tabla132112418[[#This Row],[PRECIO UNITARIO ESTIMADO]]</f>
        <v>0</v>
      </c>
      <c r="K1096" s="17"/>
      <c r="L1096" s="73" t="s">
        <v>15</v>
      </c>
      <c r="M1096" s="16" t="s">
        <v>22</v>
      </c>
      <c r="N1096" s="39" t="s">
        <v>418</v>
      </c>
    </row>
    <row r="1097" spans="1:14" s="12" customFormat="1" ht="30.75" customHeight="1">
      <c r="A1097" s="179" t="s">
        <v>118</v>
      </c>
      <c r="B1097" s="76"/>
      <c r="C1097" s="42"/>
      <c r="D1097" s="237"/>
      <c r="E1097" s="237"/>
      <c r="F1097" s="237"/>
      <c r="G1097" s="237"/>
      <c r="H1097" s="43"/>
      <c r="I1097" s="24"/>
      <c r="J1097" s="24"/>
      <c r="K1097" s="25">
        <f>SUM(J1080:J1096)</f>
        <v>4756</v>
      </c>
      <c r="L1097" s="23"/>
      <c r="M1097" s="23"/>
      <c r="N1097" s="42"/>
    </row>
    <row r="1098" spans="1:14" s="12" customFormat="1" ht="30.75" customHeight="1">
      <c r="A1098" s="178" t="s">
        <v>119</v>
      </c>
      <c r="B1098" s="75" t="s">
        <v>341</v>
      </c>
      <c r="C1098" s="39" t="s">
        <v>17</v>
      </c>
      <c r="D1098" s="236"/>
      <c r="E1098" s="236"/>
      <c r="F1098" s="236"/>
      <c r="G1098" s="236"/>
      <c r="H1098" s="40">
        <f>SUM(Tabla132112418[[#This Row],[PRIMER TRIMESTRE]:[CUARTO TRIMESTRE]])</f>
        <v>0</v>
      </c>
      <c r="I1098" s="17">
        <f>2160.9+22288+501.5+6355.8+18041.9+5084.64+8389.8+3050.76+2466.06+1983.5+6203.28</f>
        <v>76526.14</v>
      </c>
      <c r="J1098" s="17">
        <f>+Tabla132112418[[#This Row],[CANTIDAD TOTAL]]*Tabla132112418[[#This Row],[PRECIO UNITARIO ESTIMADO]]</f>
        <v>0</v>
      </c>
      <c r="K1098" s="17"/>
      <c r="L1098" s="16" t="s">
        <v>15</v>
      </c>
      <c r="M1098" s="16" t="s">
        <v>22</v>
      </c>
      <c r="N1098" s="39" t="s">
        <v>418</v>
      </c>
    </row>
    <row r="1099" spans="1:14" s="12" customFormat="1" ht="30.75" customHeight="1">
      <c r="A1099" s="178" t="s">
        <v>119</v>
      </c>
      <c r="B1099" s="75" t="s">
        <v>252</v>
      </c>
      <c r="C1099" s="39" t="s">
        <v>17</v>
      </c>
      <c r="D1099" s="236"/>
      <c r="E1099" s="236"/>
      <c r="F1099" s="236"/>
      <c r="G1099" s="236"/>
      <c r="H1099" s="40">
        <f>SUM(Tabla132112418[[#This Row],[PRIMER TRIMESTRE]:[CUARTO TRIMESTRE]])</f>
        <v>0</v>
      </c>
      <c r="I1099" s="17">
        <v>26.45</v>
      </c>
      <c r="J1099" s="17">
        <f>+Tabla132112418[[#This Row],[CANTIDAD TOTAL]]*Tabla132112418[[#This Row],[PRECIO UNITARIO ESTIMADO]]</f>
        <v>0</v>
      </c>
      <c r="K1099" s="17"/>
      <c r="L1099" s="16" t="s">
        <v>15</v>
      </c>
      <c r="M1099" s="16" t="s">
        <v>22</v>
      </c>
      <c r="N1099" s="39" t="s">
        <v>418</v>
      </c>
    </row>
    <row r="1100" spans="1:14" s="12" customFormat="1" ht="30.75" customHeight="1">
      <c r="A1100" s="178" t="s">
        <v>119</v>
      </c>
      <c r="B1100" s="75" t="s">
        <v>1606</v>
      </c>
      <c r="C1100" s="39" t="s">
        <v>17</v>
      </c>
      <c r="D1100" s="236"/>
      <c r="E1100" s="236"/>
      <c r="F1100" s="236"/>
      <c r="G1100" s="236"/>
      <c r="H1100" s="40">
        <f>SUM(Tabla132112418[[#This Row],[PRIMER TRIMESTRE]:[CUARTO TRIMESTRE]])</f>
        <v>0</v>
      </c>
      <c r="I1100" s="17">
        <v>8000</v>
      </c>
      <c r="J1100" s="17">
        <f>+H1100*I1100</f>
        <v>0</v>
      </c>
      <c r="K1100" s="17"/>
      <c r="L1100" s="16" t="s">
        <v>15</v>
      </c>
      <c r="M1100" s="16" t="s">
        <v>22</v>
      </c>
      <c r="N1100" s="39" t="s">
        <v>418</v>
      </c>
    </row>
    <row r="1101" spans="1:14" s="12" customFormat="1" ht="30.75" customHeight="1">
      <c r="A1101" s="15" t="s">
        <v>119</v>
      </c>
      <c r="B1101" s="75" t="s">
        <v>2647</v>
      </c>
      <c r="C1101" s="39" t="s">
        <v>17</v>
      </c>
      <c r="D1101" s="236">
        <v>2</v>
      </c>
      <c r="E1101" s="236"/>
      <c r="F1101" s="236"/>
      <c r="G1101" s="236"/>
      <c r="H1101" s="40">
        <f>SUM(Tabla132112418[[#This Row],[PRIMER TRIMESTRE]:[CUARTO TRIMESTRE]])</f>
        <v>2</v>
      </c>
      <c r="I1101" s="109"/>
      <c r="J1101" s="17"/>
      <c r="K1101" s="17"/>
      <c r="L1101" s="16"/>
      <c r="M1101" s="16"/>
      <c r="N1101" s="39"/>
    </row>
    <row r="1102" spans="1:14" s="12" customFormat="1" ht="30.75" customHeight="1">
      <c r="A1102" s="178" t="s">
        <v>119</v>
      </c>
      <c r="B1102" s="75" t="s">
        <v>1605</v>
      </c>
      <c r="C1102" s="39" t="s">
        <v>17</v>
      </c>
      <c r="D1102" s="236"/>
      <c r="E1102" s="236"/>
      <c r="F1102" s="236"/>
      <c r="G1102" s="236"/>
      <c r="H1102" s="40">
        <f>SUM(Tabla132112418[[#This Row],[PRIMER TRIMESTRE]:[CUARTO TRIMESTRE]])</f>
        <v>0</v>
      </c>
      <c r="I1102" s="17">
        <v>12500</v>
      </c>
      <c r="J1102" s="17">
        <f>+H1102*I1102</f>
        <v>0</v>
      </c>
      <c r="K1102" s="17"/>
      <c r="L1102" s="16" t="s">
        <v>15</v>
      </c>
      <c r="M1102" s="16" t="s">
        <v>22</v>
      </c>
      <c r="N1102" s="39" t="s">
        <v>418</v>
      </c>
    </row>
    <row r="1103" spans="1:14" s="12" customFormat="1" ht="30.75" customHeight="1">
      <c r="A1103" s="178" t="s">
        <v>119</v>
      </c>
      <c r="B1103" s="75" t="s">
        <v>256</v>
      </c>
      <c r="C1103" s="39" t="s">
        <v>17</v>
      </c>
      <c r="D1103" s="236">
        <v>11</v>
      </c>
      <c r="E1103" s="236"/>
      <c r="F1103" s="236"/>
      <c r="G1103" s="236"/>
      <c r="H1103" s="40">
        <f>SUM(Tabla132112418[[#This Row],[PRIMER TRIMESTRE]:[CUARTO TRIMESTRE]])</f>
        <v>11</v>
      </c>
      <c r="I1103" s="17">
        <v>434.24</v>
      </c>
      <c r="J1103" s="17">
        <f>+Tabla132112418[[#This Row],[CANTIDAD TOTAL]]*Tabla132112418[[#This Row],[PRECIO UNITARIO ESTIMADO]]</f>
        <v>4776.6400000000003</v>
      </c>
      <c r="K1103" s="17"/>
      <c r="L1103" s="16" t="s">
        <v>15</v>
      </c>
      <c r="M1103" s="16" t="s">
        <v>22</v>
      </c>
      <c r="N1103" s="39" t="s">
        <v>418</v>
      </c>
    </row>
    <row r="1104" spans="1:14" s="26" customFormat="1" ht="30.75" customHeight="1">
      <c r="A1104" s="178" t="s">
        <v>119</v>
      </c>
      <c r="B1104" s="75" t="s">
        <v>324</v>
      </c>
      <c r="C1104" s="39" t="s">
        <v>17</v>
      </c>
      <c r="D1104" s="236"/>
      <c r="E1104" s="236"/>
      <c r="F1104" s="236"/>
      <c r="G1104" s="236"/>
      <c r="H1104" s="40">
        <f>SUM(Tabla132112418[[#This Row],[PRIMER TRIMESTRE]:[CUARTO TRIMESTRE]])</f>
        <v>0</v>
      </c>
      <c r="I1104" s="17">
        <f>3536.75/2</f>
        <v>1768.375</v>
      </c>
      <c r="J1104" s="17">
        <f>+Tabla132112418[[#This Row],[CANTIDAD TOTAL]]*Tabla132112418[[#This Row],[PRECIO UNITARIO ESTIMADO]]</f>
        <v>0</v>
      </c>
      <c r="K1104" s="17"/>
      <c r="L1104" s="16" t="s">
        <v>15</v>
      </c>
      <c r="M1104" s="16" t="s">
        <v>22</v>
      </c>
      <c r="N1104" s="39" t="s">
        <v>418</v>
      </c>
    </row>
    <row r="1105" spans="1:14" s="12" customFormat="1" ht="30.75" customHeight="1">
      <c r="A1105" s="178" t="s">
        <v>119</v>
      </c>
      <c r="B1105" s="75" t="s">
        <v>257</v>
      </c>
      <c r="C1105" s="39" t="s">
        <v>17</v>
      </c>
      <c r="D1105" s="236"/>
      <c r="E1105" s="236"/>
      <c r="F1105" s="236"/>
      <c r="G1105" s="236"/>
      <c r="H1105" s="40">
        <f>SUM(Tabla132112418[[#This Row],[PRIMER TRIMESTRE]:[CUARTO TRIMESTRE]])</f>
        <v>0</v>
      </c>
      <c r="I1105" s="17">
        <v>522</v>
      </c>
      <c r="J1105" s="17">
        <f>+Tabla132112418[[#This Row],[CANTIDAD TOTAL]]*Tabla132112418[[#This Row],[PRECIO UNITARIO ESTIMADO]]</f>
        <v>0</v>
      </c>
      <c r="K1105" s="17"/>
      <c r="L1105" s="16" t="s">
        <v>15</v>
      </c>
      <c r="M1105" s="16" t="s">
        <v>22</v>
      </c>
      <c r="N1105" s="39" t="s">
        <v>418</v>
      </c>
    </row>
    <row r="1106" spans="1:14" s="12" customFormat="1" ht="30.75" customHeight="1">
      <c r="A1106" s="179" t="s">
        <v>119</v>
      </c>
      <c r="B1106" s="76"/>
      <c r="C1106" s="42"/>
      <c r="D1106" s="237"/>
      <c r="E1106" s="237"/>
      <c r="F1106" s="237"/>
      <c r="G1106" s="237"/>
      <c r="H1106" s="43"/>
      <c r="I1106" s="24"/>
      <c r="J1106" s="24"/>
      <c r="K1106" s="25">
        <f>SUM(J1098:J1105)</f>
        <v>4776.6400000000003</v>
      </c>
      <c r="L1106" s="23"/>
      <c r="M1106" s="23"/>
      <c r="N1106" s="42"/>
    </row>
    <row r="1107" spans="1:14" s="12" customFormat="1" ht="18">
      <c r="A1107" s="178" t="s">
        <v>120</v>
      </c>
      <c r="B1107" s="75" t="s">
        <v>392</v>
      </c>
      <c r="C1107" s="39" t="s">
        <v>208</v>
      </c>
      <c r="D1107" s="236">
        <v>2</v>
      </c>
      <c r="E1107" s="236"/>
      <c r="F1107" s="236">
        <v>2</v>
      </c>
      <c r="G1107" s="236"/>
      <c r="H1107" s="40">
        <f>SUM(Tabla132112418[[#This Row],[PRIMER TRIMESTRE]:[CUARTO TRIMESTRE]])</f>
        <v>4</v>
      </c>
      <c r="I1107" s="17">
        <v>48.12</v>
      </c>
      <c r="J1107" s="17">
        <f>+H1107*I1107</f>
        <v>192.48</v>
      </c>
      <c r="K1107" s="17"/>
      <c r="L1107" s="16" t="s">
        <v>18</v>
      </c>
      <c r="M1107" s="16" t="s">
        <v>22</v>
      </c>
      <c r="N1107" s="39" t="s">
        <v>418</v>
      </c>
    </row>
    <row r="1108" spans="1:14" s="12" customFormat="1" ht="18">
      <c r="A1108" s="178" t="s">
        <v>120</v>
      </c>
      <c r="B1108" s="75" t="s">
        <v>393</v>
      </c>
      <c r="C1108" s="39" t="s">
        <v>208</v>
      </c>
      <c r="D1108" s="236"/>
      <c r="E1108" s="236"/>
      <c r="F1108" s="236"/>
      <c r="G1108" s="236"/>
      <c r="H1108" s="40">
        <f>SUM(Tabla132112418[[#This Row],[PRIMER TRIMESTRE]:[CUARTO TRIMESTRE]])</f>
        <v>0</v>
      </c>
      <c r="I1108" s="17">
        <v>41.28</v>
      </c>
      <c r="J1108" s="17">
        <f>+H1108*I1108</f>
        <v>0</v>
      </c>
      <c r="K1108" s="17"/>
      <c r="L1108" s="16" t="s">
        <v>18</v>
      </c>
      <c r="M1108" s="16" t="s">
        <v>22</v>
      </c>
      <c r="N1108" s="39" t="s">
        <v>418</v>
      </c>
    </row>
    <row r="1109" spans="1:14" s="12" customFormat="1" ht="18">
      <c r="A1109" s="178" t="s">
        <v>120</v>
      </c>
      <c r="B1109" s="75" t="s">
        <v>743</v>
      </c>
      <c r="C1109" s="39" t="s">
        <v>208</v>
      </c>
      <c r="D1109" s="236"/>
      <c r="E1109" s="236"/>
      <c r="F1109" s="236"/>
      <c r="G1109" s="236"/>
      <c r="H1109" s="40">
        <f>SUM(Tabla132112418[[#This Row],[PRIMER TRIMESTRE]:[CUARTO TRIMESTRE]])</f>
        <v>0</v>
      </c>
      <c r="I1109" s="17">
        <f>4.42*12</f>
        <v>53.04</v>
      </c>
      <c r="J1109" s="17">
        <f>+H1109*I1109</f>
        <v>0</v>
      </c>
      <c r="K1109" s="17"/>
      <c r="L1109" s="16" t="s">
        <v>18</v>
      </c>
      <c r="M1109" s="16" t="s">
        <v>22</v>
      </c>
      <c r="N1109" s="39" t="s">
        <v>418</v>
      </c>
    </row>
    <row r="1110" spans="1:14" s="12" customFormat="1" ht="18">
      <c r="A1110" s="178" t="s">
        <v>120</v>
      </c>
      <c r="B1110" s="75" t="s">
        <v>398</v>
      </c>
      <c r="C1110" s="39" t="s">
        <v>208</v>
      </c>
      <c r="D1110" s="236">
        <v>2</v>
      </c>
      <c r="E1110" s="236"/>
      <c r="F1110" s="236">
        <v>2</v>
      </c>
      <c r="G1110" s="236"/>
      <c r="H1110" s="40">
        <f>SUM(Tabla132112418[[#This Row],[PRIMER TRIMESTRE]:[CUARTO TRIMESTRE]])</f>
        <v>4</v>
      </c>
      <c r="I1110" s="17">
        <v>22.42</v>
      </c>
      <c r="J1110" s="17">
        <f>+H1110*I1110</f>
        <v>89.68</v>
      </c>
      <c r="K1110" s="17"/>
      <c r="L1110" s="16" t="s">
        <v>18</v>
      </c>
      <c r="M1110" s="16" t="s">
        <v>22</v>
      </c>
      <c r="N1110" s="39" t="s">
        <v>418</v>
      </c>
    </row>
    <row r="1111" spans="1:14" s="12" customFormat="1" ht="18">
      <c r="A1111" s="178" t="s">
        <v>120</v>
      </c>
      <c r="B1111" s="75" t="s">
        <v>253</v>
      </c>
      <c r="C1111" s="39" t="s">
        <v>208</v>
      </c>
      <c r="D1111" s="236">
        <v>6</v>
      </c>
      <c r="E1111" s="236"/>
      <c r="F1111" s="236">
        <v>5</v>
      </c>
      <c r="G1111" s="236"/>
      <c r="H1111" s="40">
        <f>SUM(Tabla132112418[[#This Row],[PRIMER TRIMESTRE]:[CUARTO TRIMESTRE]])</f>
        <v>11</v>
      </c>
      <c r="I1111" s="17">
        <v>52.28</v>
      </c>
      <c r="J1111" s="17">
        <f>+Tabla132112418[[#This Row],[CANTIDAD TOTAL]]*Tabla132112418[[#This Row],[PRECIO UNITARIO ESTIMADO]]</f>
        <v>575.08000000000004</v>
      </c>
      <c r="K1111" s="17"/>
      <c r="L1111" s="16" t="s">
        <v>18</v>
      </c>
      <c r="M1111" s="16" t="s">
        <v>22</v>
      </c>
      <c r="N1111" s="39" t="s">
        <v>418</v>
      </c>
    </row>
    <row r="1112" spans="1:14" s="169" customFormat="1" ht="18">
      <c r="A1112" s="178" t="s">
        <v>120</v>
      </c>
      <c r="B1112" s="75" t="s">
        <v>402</v>
      </c>
      <c r="C1112" s="39" t="s">
        <v>17</v>
      </c>
      <c r="D1112" s="236">
        <v>5</v>
      </c>
      <c r="E1112" s="236"/>
      <c r="F1112" s="236"/>
      <c r="G1112" s="236"/>
      <c r="H1112" s="40">
        <f>SUM(Tabla132112418[[#This Row],[PRIMER TRIMESTRE]:[CUARTO TRIMESTRE]])</f>
        <v>5</v>
      </c>
      <c r="I1112" s="17">
        <v>182.9</v>
      </c>
      <c r="J1112" s="17">
        <f>+H1112*I1112</f>
        <v>914.5</v>
      </c>
      <c r="K1112" s="17"/>
      <c r="L1112" s="16" t="s">
        <v>18</v>
      </c>
      <c r="M1112" s="16" t="s">
        <v>22</v>
      </c>
      <c r="N1112" s="39" t="s">
        <v>418</v>
      </c>
    </row>
    <row r="1113" spans="1:14" s="12" customFormat="1" ht="18">
      <c r="A1113" s="178" t="s">
        <v>120</v>
      </c>
      <c r="B1113" s="75" t="s">
        <v>260</v>
      </c>
      <c r="C1113" s="39" t="s">
        <v>17</v>
      </c>
      <c r="D1113" s="236">
        <v>8</v>
      </c>
      <c r="E1113" s="236"/>
      <c r="F1113" s="236">
        <v>8</v>
      </c>
      <c r="G1113" s="236"/>
      <c r="H1113" s="40">
        <f>SUM(Tabla132112418[[#This Row],[PRIMER TRIMESTRE]:[CUARTO TRIMESTRE]])</f>
        <v>16</v>
      </c>
      <c r="I1113" s="17">
        <v>29.28</v>
      </c>
      <c r="J1113" s="17">
        <f>+Tabla132112418[[#This Row],[CANTIDAD TOTAL]]*Tabla132112418[[#This Row],[PRECIO UNITARIO ESTIMADO]]</f>
        <v>468.48</v>
      </c>
      <c r="K1113" s="17"/>
      <c r="L1113" s="16" t="s">
        <v>18</v>
      </c>
      <c r="M1113" s="16" t="s">
        <v>22</v>
      </c>
      <c r="N1113" s="39" t="s">
        <v>418</v>
      </c>
    </row>
    <row r="1114" spans="1:14" s="169" customFormat="1" ht="18">
      <c r="A1114" s="180" t="s">
        <v>120</v>
      </c>
      <c r="B1114" s="75" t="s">
        <v>239</v>
      </c>
      <c r="C1114" s="70" t="s">
        <v>208</v>
      </c>
      <c r="D1114" s="415">
        <v>10</v>
      </c>
      <c r="E1114" s="210"/>
      <c r="F1114" s="210">
        <v>10</v>
      </c>
      <c r="G1114" s="210"/>
      <c r="H1114" s="406">
        <f>SUM(Tabla132112418[[#This Row],[PRIMER TRIMESTRE]:[CUARTO TRIMESTRE]])</f>
        <v>20</v>
      </c>
      <c r="I1114" s="72">
        <v>232</v>
      </c>
      <c r="J1114" s="72">
        <f>+Tabla132112418[[#This Row],[CANTIDAD TOTAL]]*Tabla132112418[[#This Row],[PRECIO UNITARIO ESTIMADO]]</f>
        <v>4640</v>
      </c>
      <c r="K1114" s="72"/>
      <c r="L1114" s="16" t="s">
        <v>18</v>
      </c>
      <c r="M1114" s="73" t="s">
        <v>22</v>
      </c>
      <c r="N1114" s="70" t="s">
        <v>418</v>
      </c>
    </row>
    <row r="1115" spans="1:14" s="12" customFormat="1" ht="18">
      <c r="A1115" s="178" t="s">
        <v>120</v>
      </c>
      <c r="B1115" s="75" t="s">
        <v>414</v>
      </c>
      <c r="C1115" s="39" t="s">
        <v>417</v>
      </c>
      <c r="D1115" s="236">
        <v>20</v>
      </c>
      <c r="E1115" s="236"/>
      <c r="F1115" s="236">
        <v>20</v>
      </c>
      <c r="G1115" s="236"/>
      <c r="H1115" s="406">
        <f>SUM(Tabla132112418[[#This Row],[PRIMER TRIMESTRE]:[CUARTO TRIMESTRE]])</f>
        <v>40</v>
      </c>
      <c r="I1115" s="17">
        <v>13.57</v>
      </c>
      <c r="J1115" s="17">
        <f>+H1115*I1115</f>
        <v>542.79999999999995</v>
      </c>
      <c r="K1115" s="17"/>
      <c r="L1115" s="16" t="s">
        <v>18</v>
      </c>
      <c r="M1115" s="16" t="s">
        <v>22</v>
      </c>
      <c r="N1115" s="39" t="s">
        <v>418</v>
      </c>
    </row>
    <row r="1116" spans="1:14" s="12" customFormat="1" ht="18">
      <c r="A1116" s="180" t="s">
        <v>120</v>
      </c>
      <c r="B1116" s="75" t="s">
        <v>240</v>
      </c>
      <c r="C1116" s="70" t="s">
        <v>208</v>
      </c>
      <c r="D1116" s="415">
        <v>5</v>
      </c>
      <c r="E1116" s="210"/>
      <c r="F1116" s="210">
        <v>5</v>
      </c>
      <c r="G1116" s="210"/>
      <c r="H1116" s="406">
        <f>SUM(Tabla132112418[[#This Row],[PRIMER TRIMESTRE]:[CUARTO TRIMESTRE]])</f>
        <v>10</v>
      </c>
      <c r="I1116" s="72">
        <v>5341.57</v>
      </c>
      <c r="J1116" s="72">
        <f>+Tabla132112418[[#This Row],[CANTIDAD TOTAL]]*Tabla132112418[[#This Row],[PRECIO UNITARIO ESTIMADO]]</f>
        <v>53415.7</v>
      </c>
      <c r="K1116" s="72"/>
      <c r="L1116" s="16" t="s">
        <v>18</v>
      </c>
      <c r="M1116" s="73" t="s">
        <v>22</v>
      </c>
      <c r="N1116" s="70" t="s">
        <v>418</v>
      </c>
    </row>
    <row r="1117" spans="1:14" s="12" customFormat="1" ht="18">
      <c r="A1117" s="178" t="s">
        <v>120</v>
      </c>
      <c r="B1117" s="75" t="s">
        <v>748</v>
      </c>
      <c r="C1117" s="39" t="s">
        <v>17</v>
      </c>
      <c r="D1117" s="236"/>
      <c r="E1117" s="236"/>
      <c r="F1117" s="236"/>
      <c r="G1117" s="236"/>
      <c r="H1117" s="41">
        <f>SUM(Tabla132112418[[#This Row],[PRIMER TRIMESTRE]:[CUARTO TRIMESTRE]])</f>
        <v>0</v>
      </c>
      <c r="I1117" s="17">
        <v>463.74</v>
      </c>
      <c r="J1117" s="17">
        <f>+H1117*I1117</f>
        <v>0</v>
      </c>
      <c r="K1117" s="17"/>
      <c r="L1117" s="16" t="s">
        <v>18</v>
      </c>
      <c r="M1117" s="16" t="s">
        <v>22</v>
      </c>
      <c r="N1117" s="39" t="s">
        <v>418</v>
      </c>
    </row>
    <row r="1118" spans="1:14" s="12" customFormat="1" ht="18">
      <c r="A1118" s="178" t="s">
        <v>120</v>
      </c>
      <c r="B1118" s="75" t="s">
        <v>263</v>
      </c>
      <c r="C1118" s="39" t="s">
        <v>17</v>
      </c>
      <c r="D1118" s="236">
        <v>5</v>
      </c>
      <c r="E1118" s="236"/>
      <c r="F1118" s="236">
        <v>5</v>
      </c>
      <c r="G1118" s="236"/>
      <c r="H1118" s="41">
        <f>SUM(Tabla132112418[[#This Row],[PRIMER TRIMESTRE]:[CUARTO TRIMESTRE]])</f>
        <v>10</v>
      </c>
      <c r="I1118" s="17">
        <v>217.02</v>
      </c>
      <c r="J1118" s="17">
        <f>+Tabla132112418[[#This Row],[CANTIDAD TOTAL]]*Tabla132112418[[#This Row],[PRECIO UNITARIO ESTIMADO]]</f>
        <v>2170.2000000000003</v>
      </c>
      <c r="K1118" s="17"/>
      <c r="L1118" s="16" t="s">
        <v>18</v>
      </c>
      <c r="M1118" s="16" t="s">
        <v>22</v>
      </c>
      <c r="N1118" s="39" t="s">
        <v>418</v>
      </c>
    </row>
    <row r="1119" spans="1:14" s="12" customFormat="1" ht="18">
      <c r="A1119" s="178" t="s">
        <v>120</v>
      </c>
      <c r="B1119" s="75" t="s">
        <v>749</v>
      </c>
      <c r="C1119" s="39" t="s">
        <v>17</v>
      </c>
      <c r="D1119" s="236">
        <v>10</v>
      </c>
      <c r="E1119" s="236"/>
      <c r="F1119" s="236">
        <v>10</v>
      </c>
      <c r="G1119" s="236"/>
      <c r="H1119" s="41">
        <f>SUM(Tabla132112418[[#This Row],[PRIMER TRIMESTRE]:[CUARTO TRIMESTRE]])</f>
        <v>20</v>
      </c>
      <c r="I1119" s="17">
        <v>186.44</v>
      </c>
      <c r="J1119" s="17">
        <f>+H1119*I1119</f>
        <v>3728.8</v>
      </c>
      <c r="K1119" s="17"/>
      <c r="L1119" s="16" t="s">
        <v>18</v>
      </c>
      <c r="M1119" s="16" t="s">
        <v>22</v>
      </c>
      <c r="N1119" s="39" t="s">
        <v>418</v>
      </c>
    </row>
    <row r="1120" spans="1:14" s="12" customFormat="1" ht="18">
      <c r="A1120" s="178" t="s">
        <v>120</v>
      </c>
      <c r="B1120" s="75" t="s">
        <v>750</v>
      </c>
      <c r="C1120" s="39" t="s">
        <v>17</v>
      </c>
      <c r="D1120" s="236">
        <v>5</v>
      </c>
      <c r="E1120" s="236"/>
      <c r="F1120" s="236">
        <v>5</v>
      </c>
      <c r="G1120" s="236"/>
      <c r="H1120" s="41">
        <f>SUM(Tabla132112418[[#This Row],[PRIMER TRIMESTRE]:[CUARTO TRIMESTRE]])</f>
        <v>10</v>
      </c>
      <c r="I1120" s="17">
        <v>129.80000000000001</v>
      </c>
      <c r="J1120" s="17">
        <f>+H1120*I1120</f>
        <v>1298</v>
      </c>
      <c r="K1120" s="17"/>
      <c r="L1120" s="16" t="s">
        <v>18</v>
      </c>
      <c r="M1120" s="16" t="s">
        <v>22</v>
      </c>
      <c r="N1120" s="39" t="s">
        <v>418</v>
      </c>
    </row>
    <row r="1121" spans="1:14" s="12" customFormat="1" ht="18">
      <c r="A1121" s="178" t="s">
        <v>120</v>
      </c>
      <c r="B1121" s="75" t="s">
        <v>403</v>
      </c>
      <c r="C1121" s="39" t="s">
        <v>416</v>
      </c>
      <c r="D1121" s="236">
        <v>2</v>
      </c>
      <c r="E1121" s="236"/>
      <c r="F1121" s="236">
        <v>2</v>
      </c>
      <c r="G1121" s="236"/>
      <c r="H1121" s="41">
        <f>SUM(Tabla132112418[[#This Row],[PRIMER TRIMESTRE]:[CUARTO TRIMESTRE]])</f>
        <v>4</v>
      </c>
      <c r="I1121" s="17">
        <v>75</v>
      </c>
      <c r="J1121" s="17">
        <f>+H1121*I1121</f>
        <v>300</v>
      </c>
      <c r="K1121" s="17"/>
      <c r="L1121" s="16" t="s">
        <v>18</v>
      </c>
      <c r="M1121" s="16" t="s">
        <v>22</v>
      </c>
      <c r="N1121" s="39" t="s">
        <v>418</v>
      </c>
    </row>
    <row r="1122" spans="1:14" s="12" customFormat="1" ht="18">
      <c r="A1122" s="178" t="s">
        <v>120</v>
      </c>
      <c r="B1122" s="75" t="s">
        <v>744</v>
      </c>
      <c r="C1122" s="39" t="s">
        <v>17</v>
      </c>
      <c r="D1122" s="236"/>
      <c r="E1122" s="236"/>
      <c r="F1122" s="236"/>
      <c r="G1122" s="236"/>
      <c r="H1122" s="41">
        <f>SUM(Tabla132112418[[#This Row],[PRIMER TRIMESTRE]:[CUARTO TRIMESTRE]])</f>
        <v>0</v>
      </c>
      <c r="I1122" s="17">
        <v>43.66</v>
      </c>
      <c r="J1122" s="17">
        <f>+H1122*I1122</f>
        <v>0</v>
      </c>
      <c r="K1122" s="17"/>
      <c r="L1122" s="16" t="s">
        <v>18</v>
      </c>
      <c r="M1122" s="16" t="s">
        <v>22</v>
      </c>
      <c r="N1122" s="39" t="s">
        <v>418</v>
      </c>
    </row>
    <row r="1123" spans="1:14" s="12" customFormat="1" ht="18">
      <c r="A1123" s="178" t="s">
        <v>120</v>
      </c>
      <c r="B1123" s="75" t="s">
        <v>264</v>
      </c>
      <c r="C1123" s="39" t="s">
        <v>17</v>
      </c>
      <c r="D1123" s="236"/>
      <c r="E1123" s="236"/>
      <c r="F1123" s="236"/>
      <c r="G1123" s="236"/>
      <c r="H1123" s="41">
        <f>SUM(Tabla132112418[[#This Row],[PRIMER TRIMESTRE]:[CUARTO TRIMESTRE]])</f>
        <v>0</v>
      </c>
      <c r="I1123" s="17">
        <v>185</v>
      </c>
      <c r="J1123" s="17">
        <f>+Tabla132112418[[#This Row],[CANTIDAD TOTAL]]*Tabla132112418[[#This Row],[PRECIO UNITARIO ESTIMADO]]</f>
        <v>0</v>
      </c>
      <c r="K1123" s="17"/>
      <c r="L1123" s="16" t="s">
        <v>18</v>
      </c>
      <c r="M1123" s="16" t="s">
        <v>22</v>
      </c>
      <c r="N1123" s="39" t="s">
        <v>418</v>
      </c>
    </row>
    <row r="1124" spans="1:14" s="12" customFormat="1" ht="18">
      <c r="A1124" s="178" t="s">
        <v>120</v>
      </c>
      <c r="B1124" s="75" t="s">
        <v>745</v>
      </c>
      <c r="C1124" s="39" t="s">
        <v>208</v>
      </c>
      <c r="D1124" s="236"/>
      <c r="E1124" s="236"/>
      <c r="F1124" s="236"/>
      <c r="G1124" s="236"/>
      <c r="H1124" s="41">
        <f>SUM(Tabla132112418[[#This Row],[PRIMER TRIMESTRE]:[CUARTO TRIMESTRE]])</f>
        <v>0</v>
      </c>
      <c r="I1124" s="17">
        <v>43.66</v>
      </c>
      <c r="J1124" s="17">
        <f t="shared" ref="J1124:J1138" si="29">+H1124*I1124</f>
        <v>0</v>
      </c>
      <c r="K1124" s="17"/>
      <c r="L1124" s="16" t="s">
        <v>18</v>
      </c>
      <c r="M1124" s="16" t="s">
        <v>22</v>
      </c>
      <c r="N1124" s="39" t="s">
        <v>418</v>
      </c>
    </row>
    <row r="1125" spans="1:14" s="12" customFormat="1" ht="18">
      <c r="A1125" s="178" t="s">
        <v>120</v>
      </c>
      <c r="B1125" s="75" t="s">
        <v>760</v>
      </c>
      <c r="C1125" s="39" t="s">
        <v>208</v>
      </c>
      <c r="D1125" s="236"/>
      <c r="E1125" s="236"/>
      <c r="F1125" s="236"/>
      <c r="G1125" s="236"/>
      <c r="H1125" s="41">
        <f>SUM(Tabla132112418[[#This Row],[PRIMER TRIMESTRE]:[CUARTO TRIMESTRE]])</f>
        <v>0</v>
      </c>
      <c r="I1125" s="17">
        <v>43.66</v>
      </c>
      <c r="J1125" s="17">
        <f t="shared" si="29"/>
        <v>0</v>
      </c>
      <c r="K1125" s="17"/>
      <c r="L1125" s="16" t="s">
        <v>18</v>
      </c>
      <c r="M1125" s="16" t="s">
        <v>22</v>
      </c>
      <c r="N1125" s="39" t="s">
        <v>418</v>
      </c>
    </row>
    <row r="1126" spans="1:14" s="12" customFormat="1" ht="18">
      <c r="A1126" s="178" t="s">
        <v>120</v>
      </c>
      <c r="B1126" s="75" t="s">
        <v>761</v>
      </c>
      <c r="C1126" s="39" t="s">
        <v>208</v>
      </c>
      <c r="D1126" s="236">
        <v>10</v>
      </c>
      <c r="E1126" s="236"/>
      <c r="F1126" s="236">
        <v>10</v>
      </c>
      <c r="G1126" s="236"/>
      <c r="H1126" s="41">
        <f>SUM(Tabla132112418[[#This Row],[PRIMER TRIMESTRE]:[CUARTO TRIMESTRE]])</f>
        <v>20</v>
      </c>
      <c r="I1126" s="17">
        <v>12.98</v>
      </c>
      <c r="J1126" s="17">
        <f t="shared" si="29"/>
        <v>259.60000000000002</v>
      </c>
      <c r="K1126" s="17"/>
      <c r="L1126" s="16" t="s">
        <v>18</v>
      </c>
      <c r="M1126" s="16" t="s">
        <v>22</v>
      </c>
      <c r="N1126" s="39" t="s">
        <v>418</v>
      </c>
    </row>
    <row r="1127" spans="1:14" s="12" customFormat="1" ht="18">
      <c r="A1127" s="178" t="s">
        <v>120</v>
      </c>
      <c r="B1127" s="75" t="s">
        <v>399</v>
      </c>
      <c r="C1127" s="39" t="s">
        <v>208</v>
      </c>
      <c r="D1127" s="236">
        <v>2</v>
      </c>
      <c r="E1127" s="236"/>
      <c r="F1127" s="236">
        <v>2</v>
      </c>
      <c r="G1127" s="236"/>
      <c r="H1127" s="41">
        <f>SUM(Tabla132112418[[#This Row],[PRIMER TRIMESTRE]:[CUARTO TRIMESTRE]])</f>
        <v>4</v>
      </c>
      <c r="I1127" s="17">
        <v>86.81</v>
      </c>
      <c r="J1127" s="17">
        <f t="shared" si="29"/>
        <v>347.24</v>
      </c>
      <c r="K1127" s="17"/>
      <c r="L1127" s="16" t="s">
        <v>18</v>
      </c>
      <c r="M1127" s="16" t="s">
        <v>22</v>
      </c>
      <c r="N1127" s="39" t="s">
        <v>418</v>
      </c>
    </row>
    <row r="1128" spans="1:14" s="12" customFormat="1" ht="18">
      <c r="A1128" s="178" t="s">
        <v>120</v>
      </c>
      <c r="B1128" s="75" t="s">
        <v>400</v>
      </c>
      <c r="C1128" s="39" t="s">
        <v>208</v>
      </c>
      <c r="D1128" s="236">
        <v>4</v>
      </c>
      <c r="E1128" s="236"/>
      <c r="F1128" s="236">
        <v>4</v>
      </c>
      <c r="G1128" s="236"/>
      <c r="H1128" s="41">
        <f>SUM(Tabla132112418[[#This Row],[PRIMER TRIMESTRE]:[CUARTO TRIMESTRE]])</f>
        <v>8</v>
      </c>
      <c r="I1128" s="17">
        <v>25.4</v>
      </c>
      <c r="J1128" s="17">
        <f t="shared" si="29"/>
        <v>203.2</v>
      </c>
      <c r="K1128" s="17"/>
      <c r="L1128" s="16" t="s">
        <v>18</v>
      </c>
      <c r="M1128" s="16" t="s">
        <v>22</v>
      </c>
      <c r="N1128" s="39" t="s">
        <v>418</v>
      </c>
    </row>
    <row r="1129" spans="1:14" s="12" customFormat="1" ht="25.5">
      <c r="A1129" s="178" t="s">
        <v>120</v>
      </c>
      <c r="B1129" s="75" t="s">
        <v>395</v>
      </c>
      <c r="C1129" s="39" t="s">
        <v>208</v>
      </c>
      <c r="D1129" s="236">
        <v>10</v>
      </c>
      <c r="E1129" s="236"/>
      <c r="F1129" s="236">
        <v>10</v>
      </c>
      <c r="G1129" s="236"/>
      <c r="H1129" s="41">
        <f>SUM(Tabla132112418[[#This Row],[PRIMER TRIMESTRE]:[CUARTO TRIMESTRE]])</f>
        <v>20</v>
      </c>
      <c r="I1129" s="17">
        <v>235.20000000000002</v>
      </c>
      <c r="J1129" s="17">
        <f t="shared" si="29"/>
        <v>4704</v>
      </c>
      <c r="K1129" s="17"/>
      <c r="L1129" s="16" t="s">
        <v>18</v>
      </c>
      <c r="M1129" s="16" t="s">
        <v>22</v>
      </c>
      <c r="N1129" s="39" t="s">
        <v>418</v>
      </c>
    </row>
    <row r="1130" spans="1:14" s="12" customFormat="1" ht="18">
      <c r="A1130" s="178" t="s">
        <v>120</v>
      </c>
      <c r="B1130" s="75" t="s">
        <v>746</v>
      </c>
      <c r="C1130" s="39" t="s">
        <v>17</v>
      </c>
      <c r="D1130" s="236"/>
      <c r="E1130" s="236"/>
      <c r="F1130" s="236"/>
      <c r="G1130" s="236"/>
      <c r="H1130" s="41">
        <f>SUM(Tabla132112418[[#This Row],[PRIMER TRIMESTRE]:[CUARTO TRIMESTRE]])</f>
        <v>0</v>
      </c>
      <c r="I1130" s="17">
        <v>23.32</v>
      </c>
      <c r="J1130" s="17">
        <f t="shared" si="29"/>
        <v>0</v>
      </c>
      <c r="K1130" s="17"/>
      <c r="L1130" s="16" t="s">
        <v>18</v>
      </c>
      <c r="M1130" s="16" t="s">
        <v>22</v>
      </c>
      <c r="N1130" s="39" t="s">
        <v>418</v>
      </c>
    </row>
    <row r="1131" spans="1:14" s="12" customFormat="1" ht="18">
      <c r="A1131" s="178" t="s">
        <v>120</v>
      </c>
      <c r="B1131" s="75" t="s">
        <v>747</v>
      </c>
      <c r="C1131" s="39" t="s">
        <v>17</v>
      </c>
      <c r="D1131" s="236"/>
      <c r="E1131" s="236"/>
      <c r="F1131" s="236"/>
      <c r="G1131" s="236"/>
      <c r="H1131" s="41">
        <f>SUM(Tabla132112418[[#This Row],[PRIMER TRIMESTRE]:[CUARTO TRIMESTRE]])</f>
        <v>0</v>
      </c>
      <c r="I1131" s="17">
        <v>23.32</v>
      </c>
      <c r="J1131" s="17">
        <f t="shared" si="29"/>
        <v>0</v>
      </c>
      <c r="K1131" s="17"/>
      <c r="L1131" s="16" t="s">
        <v>18</v>
      </c>
      <c r="M1131" s="16" t="s">
        <v>22</v>
      </c>
      <c r="N1131" s="39" t="s">
        <v>418</v>
      </c>
    </row>
    <row r="1132" spans="1:14" s="12" customFormat="1" ht="18">
      <c r="A1132" s="178" t="s">
        <v>120</v>
      </c>
      <c r="B1132" s="75" t="s">
        <v>396</v>
      </c>
      <c r="C1132" s="39" t="s">
        <v>208</v>
      </c>
      <c r="D1132" s="236">
        <v>2</v>
      </c>
      <c r="E1132" s="236"/>
      <c r="F1132" s="236">
        <v>2</v>
      </c>
      <c r="G1132" s="236"/>
      <c r="H1132" s="41">
        <f>SUM(Tabla132112418[[#This Row],[PRIMER TRIMESTRE]:[CUARTO TRIMESTRE]])</f>
        <v>4</v>
      </c>
      <c r="I1132" s="17">
        <v>194.7</v>
      </c>
      <c r="J1132" s="17">
        <f t="shared" si="29"/>
        <v>778.8</v>
      </c>
      <c r="K1132" s="17"/>
      <c r="L1132" s="16" t="s">
        <v>18</v>
      </c>
      <c r="M1132" s="16" t="s">
        <v>22</v>
      </c>
      <c r="N1132" s="39" t="s">
        <v>418</v>
      </c>
    </row>
    <row r="1133" spans="1:14" s="12" customFormat="1" ht="18">
      <c r="A1133" s="178" t="s">
        <v>120</v>
      </c>
      <c r="B1133" s="75" t="s">
        <v>397</v>
      </c>
      <c r="C1133" s="39" t="s">
        <v>208</v>
      </c>
      <c r="D1133" s="236"/>
      <c r="E1133" s="236"/>
      <c r="F1133" s="236"/>
      <c r="G1133" s="236"/>
      <c r="H1133" s="41">
        <f>SUM(Tabla132112418[[#This Row],[PRIMER TRIMESTRE]:[CUARTO TRIMESTRE]])</f>
        <v>0</v>
      </c>
      <c r="I1133" s="17">
        <v>309.14</v>
      </c>
      <c r="J1133" s="17">
        <f t="shared" si="29"/>
        <v>0</v>
      </c>
      <c r="K1133" s="17"/>
      <c r="L1133" s="16" t="s">
        <v>18</v>
      </c>
      <c r="M1133" s="16" t="s">
        <v>22</v>
      </c>
      <c r="N1133" s="39" t="s">
        <v>418</v>
      </c>
    </row>
    <row r="1134" spans="1:14" s="12" customFormat="1" ht="18">
      <c r="A1134" s="178" t="s">
        <v>120</v>
      </c>
      <c r="B1134" s="75" t="s">
        <v>404</v>
      </c>
      <c r="C1134" s="39" t="s">
        <v>255</v>
      </c>
      <c r="D1134" s="236">
        <v>4</v>
      </c>
      <c r="E1134" s="236"/>
      <c r="F1134" s="236">
        <v>4</v>
      </c>
      <c r="G1134" s="236"/>
      <c r="H1134" s="41">
        <f>SUM(Tabla132112418[[#This Row],[PRIMER TRIMESTRE]:[CUARTO TRIMESTRE]])</f>
        <v>8</v>
      </c>
      <c r="I1134" s="17">
        <v>29.5</v>
      </c>
      <c r="J1134" s="17">
        <f t="shared" si="29"/>
        <v>236</v>
      </c>
      <c r="K1134" s="17"/>
      <c r="L1134" s="16" t="s">
        <v>18</v>
      </c>
      <c r="M1134" s="16" t="s">
        <v>22</v>
      </c>
      <c r="N1134" s="39" t="s">
        <v>418</v>
      </c>
    </row>
    <row r="1135" spans="1:14" s="12" customFormat="1" ht="18">
      <c r="A1135" s="178" t="s">
        <v>120</v>
      </c>
      <c r="B1135" s="75" t="s">
        <v>254</v>
      </c>
      <c r="C1135" s="39" t="s">
        <v>417</v>
      </c>
      <c r="D1135" s="236">
        <v>10</v>
      </c>
      <c r="E1135" s="236"/>
      <c r="F1135" s="236">
        <v>10</v>
      </c>
      <c r="G1135" s="236"/>
      <c r="H1135" s="41">
        <f>SUM(Tabla132112418[[#This Row],[PRIMER TRIMESTRE]:[CUARTO TRIMESTRE]])</f>
        <v>20</v>
      </c>
      <c r="I1135" s="17">
        <v>12</v>
      </c>
      <c r="J1135" s="17">
        <f t="shared" si="29"/>
        <v>240</v>
      </c>
      <c r="K1135" s="17"/>
      <c r="L1135" s="16" t="s">
        <v>18</v>
      </c>
      <c r="M1135" s="16" t="s">
        <v>22</v>
      </c>
      <c r="N1135" s="39" t="s">
        <v>418</v>
      </c>
    </row>
    <row r="1136" spans="1:14" s="12" customFormat="1" ht="18">
      <c r="A1136" s="178" t="s">
        <v>120</v>
      </c>
      <c r="B1136" s="75" t="s">
        <v>394</v>
      </c>
      <c r="C1136" s="39" t="s">
        <v>208</v>
      </c>
      <c r="D1136" s="236">
        <v>2</v>
      </c>
      <c r="E1136" s="236"/>
      <c r="F1136" s="236">
        <v>2</v>
      </c>
      <c r="G1136" s="236"/>
      <c r="H1136" s="41">
        <f>SUM(Tabla132112418[[#This Row],[PRIMER TRIMESTRE]:[CUARTO TRIMESTRE]])</f>
        <v>4</v>
      </c>
      <c r="I1136" s="17">
        <v>69.599999999999994</v>
      </c>
      <c r="J1136" s="17">
        <f t="shared" si="29"/>
        <v>278.39999999999998</v>
      </c>
      <c r="K1136" s="17"/>
      <c r="L1136" s="16" t="s">
        <v>18</v>
      </c>
      <c r="M1136" s="16" t="s">
        <v>22</v>
      </c>
      <c r="N1136" s="39" t="s">
        <v>418</v>
      </c>
    </row>
    <row r="1137" spans="1:14" s="12" customFormat="1" ht="18">
      <c r="A1137" s="178" t="s">
        <v>120</v>
      </c>
      <c r="B1137" s="75" t="s">
        <v>408</v>
      </c>
      <c r="C1137" s="39" t="s">
        <v>417</v>
      </c>
      <c r="D1137" s="236">
        <v>10</v>
      </c>
      <c r="E1137" s="236"/>
      <c r="F1137" s="236">
        <v>10</v>
      </c>
      <c r="G1137" s="236"/>
      <c r="H1137" s="41">
        <f>SUM(Tabla132112418[[#This Row],[PRIMER TRIMESTRE]:[CUARTO TRIMESTRE]])</f>
        <v>20</v>
      </c>
      <c r="I1137" s="17">
        <v>43.7</v>
      </c>
      <c r="J1137" s="17">
        <f t="shared" si="29"/>
        <v>874</v>
      </c>
      <c r="K1137" s="17"/>
      <c r="L1137" s="16" t="s">
        <v>18</v>
      </c>
      <c r="M1137" s="16" t="s">
        <v>22</v>
      </c>
      <c r="N1137" s="39" t="s">
        <v>418</v>
      </c>
    </row>
    <row r="1138" spans="1:14" s="12" customFormat="1" ht="18">
      <c r="A1138" s="178" t="s">
        <v>120</v>
      </c>
      <c r="B1138" s="75" t="s">
        <v>409</v>
      </c>
      <c r="C1138" s="39" t="s">
        <v>417</v>
      </c>
      <c r="D1138" s="236"/>
      <c r="E1138" s="236"/>
      <c r="F1138" s="236"/>
      <c r="G1138" s="236"/>
      <c r="H1138" s="41">
        <f>SUM(Tabla132112418[[#This Row],[PRIMER TRIMESTRE]:[CUARTO TRIMESTRE]])</f>
        <v>0</v>
      </c>
      <c r="I1138" s="17">
        <v>15.21</v>
      </c>
      <c r="J1138" s="17">
        <f t="shared" si="29"/>
        <v>0</v>
      </c>
      <c r="K1138" s="17"/>
      <c r="L1138" s="16" t="s">
        <v>18</v>
      </c>
      <c r="M1138" s="16" t="s">
        <v>22</v>
      </c>
      <c r="N1138" s="39" t="s">
        <v>418</v>
      </c>
    </row>
    <row r="1139" spans="1:14" s="12" customFormat="1" ht="18">
      <c r="A1139" s="178" t="s">
        <v>120</v>
      </c>
      <c r="B1139" s="75" t="s">
        <v>265</v>
      </c>
      <c r="C1139" s="39" t="s">
        <v>17</v>
      </c>
      <c r="D1139" s="236">
        <v>1</v>
      </c>
      <c r="E1139" s="236"/>
      <c r="F1139" s="236">
        <v>1</v>
      </c>
      <c r="G1139" s="236"/>
      <c r="H1139" s="41">
        <f>SUM(Tabla132112418[[#This Row],[PRIMER TRIMESTRE]:[CUARTO TRIMESTRE]])</f>
        <v>2</v>
      </c>
      <c r="I1139" s="17">
        <v>185.6</v>
      </c>
      <c r="J1139" s="17">
        <f>+Tabla132112418[[#This Row],[CANTIDAD TOTAL]]*Tabla132112418[[#This Row],[PRECIO UNITARIO ESTIMADO]]</f>
        <v>371.2</v>
      </c>
      <c r="K1139" s="17"/>
      <c r="L1139" s="16" t="s">
        <v>18</v>
      </c>
      <c r="M1139" s="16" t="s">
        <v>22</v>
      </c>
      <c r="N1139" s="39" t="s">
        <v>418</v>
      </c>
    </row>
    <row r="1140" spans="1:14" s="12" customFormat="1" ht="18">
      <c r="A1140" s="178" t="s">
        <v>120</v>
      </c>
      <c r="B1140" s="75" t="s">
        <v>261</v>
      </c>
      <c r="C1140" s="39" t="s">
        <v>17</v>
      </c>
      <c r="D1140" s="236"/>
      <c r="E1140" s="236"/>
      <c r="F1140" s="236"/>
      <c r="G1140" s="236"/>
      <c r="H1140" s="41">
        <f>SUM(Tabla132112418[[#This Row],[PRIMER TRIMESTRE]:[CUARTO TRIMESTRE]])</f>
        <v>0</v>
      </c>
      <c r="I1140" s="17">
        <v>148</v>
      </c>
      <c r="J1140" s="17">
        <f>+Tabla132112418[[#This Row],[CANTIDAD TOTAL]]*Tabla132112418[[#This Row],[PRECIO UNITARIO ESTIMADO]]</f>
        <v>0</v>
      </c>
      <c r="K1140" s="17"/>
      <c r="L1140" s="16" t="s">
        <v>18</v>
      </c>
      <c r="M1140" s="16" t="s">
        <v>22</v>
      </c>
      <c r="N1140" s="39" t="s">
        <v>418</v>
      </c>
    </row>
    <row r="1141" spans="1:14" s="12" customFormat="1" ht="18">
      <c r="A1141" s="178" t="s">
        <v>120</v>
      </c>
      <c r="B1141" s="75" t="s">
        <v>751</v>
      </c>
      <c r="C1141" s="39" t="s">
        <v>17</v>
      </c>
      <c r="D1141" s="236"/>
      <c r="E1141" s="236"/>
      <c r="F1141" s="236"/>
      <c r="G1141" s="236"/>
      <c r="H1141" s="41">
        <f>SUM(Tabla132112418[[#This Row],[PRIMER TRIMESTRE]:[CUARTO TRIMESTRE]])</f>
        <v>0</v>
      </c>
      <c r="I1141" s="17">
        <v>15.54</v>
      </c>
      <c r="J1141" s="17">
        <f>+H1141*I1141</f>
        <v>0</v>
      </c>
      <c r="K1141" s="17"/>
      <c r="L1141" s="16" t="s">
        <v>18</v>
      </c>
      <c r="M1141" s="16" t="s">
        <v>22</v>
      </c>
      <c r="N1141" s="39" t="s">
        <v>418</v>
      </c>
    </row>
    <row r="1142" spans="1:14" s="12" customFormat="1" ht="18">
      <c r="A1142" s="178" t="s">
        <v>120</v>
      </c>
      <c r="B1142" s="75" t="s">
        <v>754</v>
      </c>
      <c r="C1142" s="39" t="s">
        <v>17</v>
      </c>
      <c r="D1142" s="236"/>
      <c r="E1142" s="236"/>
      <c r="F1142" s="236"/>
      <c r="G1142" s="236"/>
      <c r="H1142" s="41">
        <f>SUM(Tabla132112418[[#This Row],[PRIMER TRIMESTRE]:[CUARTO TRIMESTRE]])</f>
        <v>0</v>
      </c>
      <c r="I1142" s="17">
        <v>15.54</v>
      </c>
      <c r="J1142" s="17">
        <f>+H1142*I1142</f>
        <v>0</v>
      </c>
      <c r="K1142" s="17"/>
      <c r="L1142" s="16" t="s">
        <v>18</v>
      </c>
      <c r="M1142" s="16" t="s">
        <v>22</v>
      </c>
      <c r="N1142" s="39" t="s">
        <v>418</v>
      </c>
    </row>
    <row r="1143" spans="1:14" s="12" customFormat="1" ht="18">
      <c r="A1143" s="178" t="s">
        <v>120</v>
      </c>
      <c r="B1143" s="75" t="s">
        <v>755</v>
      </c>
      <c r="C1143" s="39" t="s">
        <v>17</v>
      </c>
      <c r="D1143" s="236"/>
      <c r="E1143" s="236"/>
      <c r="F1143" s="236"/>
      <c r="G1143" s="236"/>
      <c r="H1143" s="41">
        <f>SUM(Tabla132112418[[#This Row],[PRIMER TRIMESTRE]:[CUARTO TRIMESTRE]])</f>
        <v>0</v>
      </c>
      <c r="I1143" s="17">
        <v>15.54</v>
      </c>
      <c r="J1143" s="17">
        <f>+H1143*I1143</f>
        <v>0</v>
      </c>
      <c r="K1143" s="17"/>
      <c r="L1143" s="16" t="s">
        <v>18</v>
      </c>
      <c r="M1143" s="16" t="s">
        <v>22</v>
      </c>
      <c r="N1143" s="39" t="s">
        <v>418</v>
      </c>
    </row>
    <row r="1144" spans="1:14" s="12" customFormat="1" ht="18">
      <c r="A1144" s="178" t="s">
        <v>752</v>
      </c>
      <c r="B1144" s="75" t="s">
        <v>390</v>
      </c>
      <c r="C1144" s="39" t="s">
        <v>266</v>
      </c>
      <c r="D1144" s="236">
        <v>15</v>
      </c>
      <c r="E1144" s="236">
        <v>15</v>
      </c>
      <c r="F1144" s="236">
        <v>15</v>
      </c>
      <c r="G1144" s="236">
        <v>15</v>
      </c>
      <c r="H1144" s="41">
        <f>SUM(Tabla132112418[[#This Row],[PRIMER TRIMESTRE]:[CUARTO TRIMESTRE]])</f>
        <v>60</v>
      </c>
      <c r="I1144" s="17">
        <v>145.13999999999999</v>
      </c>
      <c r="J1144" s="17">
        <f>+H1144*I1144</f>
        <v>8708.4</v>
      </c>
      <c r="K1144" s="21"/>
      <c r="L1144" s="16" t="s">
        <v>18</v>
      </c>
      <c r="M1144" s="16" t="s">
        <v>22</v>
      </c>
      <c r="N1144" s="39" t="s">
        <v>418</v>
      </c>
    </row>
    <row r="1145" spans="1:14" s="12" customFormat="1" ht="18">
      <c r="A1145" s="178" t="s">
        <v>120</v>
      </c>
      <c r="B1145" s="75" t="s">
        <v>391</v>
      </c>
      <c r="C1145" s="39" t="s">
        <v>415</v>
      </c>
      <c r="D1145" s="236">
        <v>1</v>
      </c>
      <c r="E1145" s="236">
        <v>1</v>
      </c>
      <c r="F1145" s="236">
        <v>1</v>
      </c>
      <c r="G1145" s="236">
        <v>1</v>
      </c>
      <c r="H1145" s="41">
        <f>SUM(Tabla132112418[[#This Row],[PRIMER TRIMESTRE]:[CUARTO TRIMESTRE]])</f>
        <v>4</v>
      </c>
      <c r="I1145" s="17">
        <v>214.76</v>
      </c>
      <c r="J1145" s="17">
        <f>+H1145*I1145</f>
        <v>859.04</v>
      </c>
      <c r="K1145" s="17"/>
      <c r="L1145" s="16" t="s">
        <v>18</v>
      </c>
      <c r="M1145" s="16" t="s">
        <v>22</v>
      </c>
      <c r="N1145" s="39" t="s">
        <v>418</v>
      </c>
    </row>
    <row r="1146" spans="1:14" s="12" customFormat="1" ht="18">
      <c r="A1146" s="178" t="s">
        <v>120</v>
      </c>
      <c r="B1146" s="75" t="s">
        <v>267</v>
      </c>
      <c r="C1146" s="39" t="s">
        <v>102</v>
      </c>
      <c r="D1146" s="236"/>
      <c r="E1146" s="236"/>
      <c r="F1146" s="236"/>
      <c r="G1146" s="236"/>
      <c r="H1146" s="41">
        <f>SUM(Tabla132112418[[#This Row],[PRIMER TRIMESTRE]:[CUARTO TRIMESTRE]])</f>
        <v>0</v>
      </c>
      <c r="I1146" s="17">
        <v>1063.19</v>
      </c>
      <c r="J1146" s="17">
        <f>+Tabla132112418[[#This Row],[CANTIDAD TOTAL]]*Tabla132112418[[#This Row],[PRECIO UNITARIO ESTIMADO]]</f>
        <v>0</v>
      </c>
      <c r="K1146" s="17"/>
      <c r="L1146" s="16" t="s">
        <v>18</v>
      </c>
      <c r="M1146" s="16" t="s">
        <v>22</v>
      </c>
      <c r="N1146" s="39" t="s">
        <v>418</v>
      </c>
    </row>
    <row r="1147" spans="1:14" s="12" customFormat="1" ht="18">
      <c r="A1147" s="178" t="s">
        <v>120</v>
      </c>
      <c r="B1147" s="75" t="s">
        <v>759</v>
      </c>
      <c r="C1147" s="39" t="s">
        <v>208</v>
      </c>
      <c r="D1147" s="236"/>
      <c r="E1147" s="236"/>
      <c r="F1147" s="236"/>
      <c r="G1147" s="236"/>
      <c r="H1147" s="41">
        <f>SUM(Tabla132112418[[#This Row],[PRIMER TRIMESTRE]:[CUARTO TRIMESTRE]])</f>
        <v>0</v>
      </c>
      <c r="I1147" s="17">
        <v>161.66</v>
      </c>
      <c r="J1147" s="17">
        <f>+H1147*I1147</f>
        <v>0</v>
      </c>
      <c r="K1147" s="17"/>
      <c r="L1147" s="16" t="s">
        <v>18</v>
      </c>
      <c r="M1147" s="16" t="s">
        <v>22</v>
      </c>
      <c r="N1147" s="39" t="s">
        <v>418</v>
      </c>
    </row>
    <row r="1148" spans="1:14" s="12" customFormat="1" ht="18">
      <c r="A1148" s="178" t="s">
        <v>120</v>
      </c>
      <c r="B1148" s="75" t="s">
        <v>268</v>
      </c>
      <c r="C1148" s="39" t="s">
        <v>208</v>
      </c>
      <c r="D1148" s="236"/>
      <c r="E1148" s="236"/>
      <c r="F1148" s="236"/>
      <c r="G1148" s="236"/>
      <c r="H1148" s="41">
        <f>SUM(Tabla132112418[[#This Row],[PRIMER TRIMESTRE]:[CUARTO TRIMESTRE]])</f>
        <v>0</v>
      </c>
      <c r="I1148" s="17">
        <v>1450</v>
      </c>
      <c r="J1148" s="17">
        <f>+Tabla132112418[[#This Row],[CANTIDAD TOTAL]]*Tabla132112418[[#This Row],[PRECIO UNITARIO ESTIMADO]]</f>
        <v>0</v>
      </c>
      <c r="K1148" s="17"/>
      <c r="L1148" s="16" t="s">
        <v>18</v>
      </c>
      <c r="M1148" s="16" t="s">
        <v>22</v>
      </c>
      <c r="N1148" s="39" t="s">
        <v>418</v>
      </c>
    </row>
    <row r="1149" spans="1:14" s="12" customFormat="1" ht="18">
      <c r="A1149" s="178" t="s">
        <v>120</v>
      </c>
      <c r="B1149" s="75" t="s">
        <v>269</v>
      </c>
      <c r="C1149" s="39" t="s">
        <v>266</v>
      </c>
      <c r="D1149" s="236">
        <v>1</v>
      </c>
      <c r="E1149" s="236"/>
      <c r="F1149" s="236">
        <v>1</v>
      </c>
      <c r="G1149" s="236"/>
      <c r="H1149" s="41">
        <f>SUM(Tabla132112418[[#This Row],[PRIMER TRIMESTRE]:[CUARTO TRIMESTRE]])</f>
        <v>2</v>
      </c>
      <c r="I1149" s="17">
        <v>2552</v>
      </c>
      <c r="J1149" s="17">
        <f>+Tabla132112418[[#This Row],[CANTIDAD TOTAL]]*Tabla132112418[[#This Row],[PRECIO UNITARIO ESTIMADO]]</f>
        <v>5104</v>
      </c>
      <c r="K1149" s="17"/>
      <c r="L1149" s="16" t="s">
        <v>18</v>
      </c>
      <c r="M1149" s="16" t="s">
        <v>22</v>
      </c>
      <c r="N1149" s="39" t="s">
        <v>418</v>
      </c>
    </row>
    <row r="1150" spans="1:14" s="12" customFormat="1" ht="18">
      <c r="A1150" s="178" t="s">
        <v>120</v>
      </c>
      <c r="B1150" s="75" t="s">
        <v>756</v>
      </c>
      <c r="C1150" s="39" t="s">
        <v>234</v>
      </c>
      <c r="D1150" s="236"/>
      <c r="E1150" s="236"/>
      <c r="F1150" s="236"/>
      <c r="G1150" s="236"/>
      <c r="H1150" s="41">
        <f>SUM(Tabla132112418[[#This Row],[PRIMER TRIMESTRE]:[CUARTO TRIMESTRE]])</f>
        <v>0</v>
      </c>
      <c r="I1150" s="17">
        <v>24.78</v>
      </c>
      <c r="J1150" s="17">
        <f t="shared" ref="J1150:J1156" si="30">+H1150*I1150</f>
        <v>0</v>
      </c>
      <c r="K1150" s="17"/>
      <c r="L1150" s="16" t="s">
        <v>18</v>
      </c>
      <c r="M1150" s="16" t="s">
        <v>22</v>
      </c>
      <c r="N1150" s="39" t="s">
        <v>418</v>
      </c>
    </row>
    <row r="1151" spans="1:14" s="12" customFormat="1" ht="18">
      <c r="A1151" s="178" t="s">
        <v>120</v>
      </c>
      <c r="B1151" s="75" t="s">
        <v>763</v>
      </c>
      <c r="C1151" s="39" t="s">
        <v>17</v>
      </c>
      <c r="D1151" s="236">
        <v>12</v>
      </c>
      <c r="E1151" s="236"/>
      <c r="F1151" s="236"/>
      <c r="G1151" s="236"/>
      <c r="H1151" s="41">
        <f>SUM(Tabla132112418[[#This Row],[PRIMER TRIMESTRE]:[CUARTO TRIMESTRE]])</f>
        <v>12</v>
      </c>
      <c r="I1151" s="17">
        <v>186.44</v>
      </c>
      <c r="J1151" s="17">
        <f t="shared" si="30"/>
        <v>2237.2799999999997</v>
      </c>
      <c r="K1151" s="17"/>
      <c r="L1151" s="16" t="s">
        <v>18</v>
      </c>
      <c r="M1151" s="16" t="s">
        <v>22</v>
      </c>
      <c r="N1151" s="39" t="s">
        <v>418</v>
      </c>
    </row>
    <row r="1152" spans="1:14" s="12" customFormat="1" ht="18">
      <c r="A1152" s="178" t="s">
        <v>120</v>
      </c>
      <c r="B1152" s="75" t="s">
        <v>410</v>
      </c>
      <c r="C1152" s="39" t="s">
        <v>417</v>
      </c>
      <c r="D1152" s="236"/>
      <c r="E1152" s="236"/>
      <c r="F1152" s="236"/>
      <c r="G1152" s="236"/>
      <c r="H1152" s="41">
        <f>SUM(Tabla132112418[[#This Row],[PRIMER TRIMESTRE]:[CUARTO TRIMESTRE]])</f>
        <v>0</v>
      </c>
      <c r="I1152" s="17">
        <v>10</v>
      </c>
      <c r="J1152" s="17">
        <f t="shared" si="30"/>
        <v>0</v>
      </c>
      <c r="K1152" s="17"/>
      <c r="L1152" s="16" t="s">
        <v>18</v>
      </c>
      <c r="M1152" s="16" t="s">
        <v>22</v>
      </c>
      <c r="N1152" s="39" t="s">
        <v>418</v>
      </c>
    </row>
    <row r="1153" spans="1:14" s="12" customFormat="1" ht="18">
      <c r="A1153" s="178" t="s">
        <v>120</v>
      </c>
      <c r="B1153" s="75" t="s">
        <v>411</v>
      </c>
      <c r="C1153" s="39" t="s">
        <v>417</v>
      </c>
      <c r="D1153" s="236"/>
      <c r="E1153" s="236"/>
      <c r="F1153" s="236"/>
      <c r="G1153" s="236"/>
      <c r="H1153" s="41">
        <f>SUM(Tabla132112418[[#This Row],[PRIMER TRIMESTRE]:[CUARTO TRIMESTRE]])</f>
        <v>0</v>
      </c>
      <c r="I1153" s="17">
        <v>14.37</v>
      </c>
      <c r="J1153" s="17">
        <f t="shared" si="30"/>
        <v>0</v>
      </c>
      <c r="K1153" s="17"/>
      <c r="L1153" s="16" t="s">
        <v>18</v>
      </c>
      <c r="M1153" s="16" t="s">
        <v>22</v>
      </c>
      <c r="N1153" s="39" t="s">
        <v>418</v>
      </c>
    </row>
    <row r="1154" spans="1:14" s="12" customFormat="1" ht="18">
      <c r="A1154" s="178" t="s">
        <v>120</v>
      </c>
      <c r="B1154" s="75" t="s">
        <v>412</v>
      </c>
      <c r="C1154" s="39" t="s">
        <v>417</v>
      </c>
      <c r="D1154" s="236">
        <v>5</v>
      </c>
      <c r="E1154" s="236">
        <v>5</v>
      </c>
      <c r="F1154" s="236">
        <v>5</v>
      </c>
      <c r="G1154" s="236">
        <v>5</v>
      </c>
      <c r="H1154" s="41">
        <f>SUM(Tabla132112418[[#This Row],[PRIMER TRIMESTRE]:[CUARTO TRIMESTRE]])</f>
        <v>20</v>
      </c>
      <c r="I1154" s="17">
        <v>24.79</v>
      </c>
      <c r="J1154" s="17">
        <f t="shared" si="30"/>
        <v>495.79999999999995</v>
      </c>
      <c r="K1154" s="17"/>
      <c r="L1154" s="16" t="s">
        <v>18</v>
      </c>
      <c r="M1154" s="16" t="s">
        <v>22</v>
      </c>
      <c r="N1154" s="39" t="s">
        <v>418</v>
      </c>
    </row>
    <row r="1155" spans="1:14" s="12" customFormat="1" ht="18">
      <c r="A1155" s="178" t="s">
        <v>120</v>
      </c>
      <c r="B1155" s="75" t="s">
        <v>413</v>
      </c>
      <c r="C1155" s="39" t="s">
        <v>208</v>
      </c>
      <c r="D1155" s="236"/>
      <c r="E1155" s="236"/>
      <c r="F1155" s="236"/>
      <c r="G1155" s="236"/>
      <c r="H1155" s="41">
        <f>SUM(Tabla132112418[[#This Row],[PRIMER TRIMESTRE]:[CUARTO TRIMESTRE]])</f>
        <v>0</v>
      </c>
      <c r="I1155" s="17">
        <v>371.09</v>
      </c>
      <c r="J1155" s="17">
        <f t="shared" si="30"/>
        <v>0</v>
      </c>
      <c r="K1155" s="17"/>
      <c r="L1155" s="16" t="s">
        <v>18</v>
      </c>
      <c r="M1155" s="16" t="s">
        <v>22</v>
      </c>
      <c r="N1155" s="39" t="s">
        <v>418</v>
      </c>
    </row>
    <row r="1156" spans="1:14" s="12" customFormat="1" ht="18">
      <c r="A1156" s="178" t="s">
        <v>120</v>
      </c>
      <c r="B1156" s="75" t="s">
        <v>762</v>
      </c>
      <c r="C1156" s="39" t="s">
        <v>208</v>
      </c>
      <c r="D1156" s="236">
        <v>1</v>
      </c>
      <c r="E1156" s="236"/>
      <c r="F1156" s="236"/>
      <c r="G1156" s="236"/>
      <c r="H1156" s="41">
        <f>SUM(Tabla132112418[[#This Row],[PRIMER TRIMESTRE]:[CUARTO TRIMESTRE]])</f>
        <v>1</v>
      </c>
      <c r="I1156" s="17">
        <v>433.06</v>
      </c>
      <c r="J1156" s="17">
        <f t="shared" si="30"/>
        <v>433.06</v>
      </c>
      <c r="K1156" s="17"/>
      <c r="L1156" s="16" t="s">
        <v>18</v>
      </c>
      <c r="M1156" s="16" t="s">
        <v>22</v>
      </c>
      <c r="N1156" s="39" t="s">
        <v>418</v>
      </c>
    </row>
    <row r="1157" spans="1:14" s="12" customFormat="1" ht="18">
      <c r="A1157" s="178" t="s">
        <v>120</v>
      </c>
      <c r="B1157" s="75" t="s">
        <v>270</v>
      </c>
      <c r="C1157" s="39" t="s">
        <v>17</v>
      </c>
      <c r="D1157" s="236">
        <v>10</v>
      </c>
      <c r="E1157" s="236"/>
      <c r="F1157" s="236">
        <v>10</v>
      </c>
      <c r="G1157" s="236"/>
      <c r="H1157" s="41">
        <f>SUM(Tabla132112418[[#This Row],[PRIMER TRIMESTRE]:[CUARTO TRIMESTRE]])</f>
        <v>20</v>
      </c>
      <c r="I1157" s="17">
        <v>9.2799999999999994</v>
      </c>
      <c r="J1157" s="17">
        <f>+Tabla132112418[[#This Row],[CANTIDAD TOTAL]]*Tabla132112418[[#This Row],[PRECIO UNITARIO ESTIMADO]]</f>
        <v>185.6</v>
      </c>
      <c r="K1157" s="17"/>
      <c r="L1157" s="16" t="s">
        <v>18</v>
      </c>
      <c r="M1157" s="16" t="s">
        <v>22</v>
      </c>
      <c r="N1157" s="39" t="s">
        <v>418</v>
      </c>
    </row>
    <row r="1158" spans="1:14" s="12" customFormat="1" ht="18">
      <c r="A1158" s="178" t="s">
        <v>120</v>
      </c>
      <c r="B1158" s="75" t="s">
        <v>405</v>
      </c>
      <c r="C1158" s="39" t="s">
        <v>17</v>
      </c>
      <c r="D1158" s="236">
        <v>10</v>
      </c>
      <c r="E1158" s="236"/>
      <c r="F1158" s="236">
        <v>10</v>
      </c>
      <c r="G1158" s="236"/>
      <c r="H1158" s="41">
        <f>SUM(Tabla132112418[[#This Row],[PRIMER TRIMESTRE]:[CUARTO TRIMESTRE]])</f>
        <v>20</v>
      </c>
      <c r="I1158" s="17">
        <v>11.21</v>
      </c>
      <c r="J1158" s="17">
        <f>+H1158*I1158</f>
        <v>224.20000000000002</v>
      </c>
      <c r="K1158" s="17"/>
      <c r="L1158" s="16" t="s">
        <v>18</v>
      </c>
      <c r="M1158" s="16" t="s">
        <v>22</v>
      </c>
      <c r="N1158" s="39" t="s">
        <v>418</v>
      </c>
    </row>
    <row r="1159" spans="1:14" s="12" customFormat="1" ht="18">
      <c r="A1159" s="178" t="s">
        <v>120</v>
      </c>
      <c r="B1159" s="75" t="s">
        <v>406</v>
      </c>
      <c r="C1159" s="39" t="s">
        <v>17</v>
      </c>
      <c r="D1159" s="236">
        <v>15</v>
      </c>
      <c r="E1159" s="236"/>
      <c r="F1159" s="236">
        <v>15</v>
      </c>
      <c r="G1159" s="236"/>
      <c r="H1159" s="41">
        <f>SUM(Tabla132112418[[#This Row],[PRIMER TRIMESTRE]:[CUARTO TRIMESTRE]])</f>
        <v>30</v>
      </c>
      <c r="I1159" s="17">
        <v>10.56</v>
      </c>
      <c r="J1159" s="17">
        <f>+H1159*I1159</f>
        <v>316.8</v>
      </c>
      <c r="K1159" s="17"/>
      <c r="L1159" s="16" t="s">
        <v>18</v>
      </c>
      <c r="M1159" s="16" t="s">
        <v>22</v>
      </c>
      <c r="N1159" s="39" t="s">
        <v>418</v>
      </c>
    </row>
    <row r="1160" spans="1:14" s="12" customFormat="1" ht="18">
      <c r="A1160" s="178" t="s">
        <v>120</v>
      </c>
      <c r="B1160" s="75" t="s">
        <v>407</v>
      </c>
      <c r="C1160" s="39" t="s">
        <v>17</v>
      </c>
      <c r="D1160" s="236"/>
      <c r="E1160" s="236"/>
      <c r="F1160" s="236"/>
      <c r="G1160" s="236"/>
      <c r="H1160" s="41">
        <f>SUM(Tabla132112418[[#This Row],[PRIMER TRIMESTRE]:[CUARTO TRIMESTRE]])</f>
        <v>0</v>
      </c>
      <c r="I1160" s="17">
        <v>11.21</v>
      </c>
      <c r="J1160" s="17">
        <f>+H1160*I1160</f>
        <v>0</v>
      </c>
      <c r="K1160" s="17"/>
      <c r="L1160" s="16" t="s">
        <v>18</v>
      </c>
      <c r="M1160" s="16" t="s">
        <v>22</v>
      </c>
      <c r="N1160" s="39" t="s">
        <v>418</v>
      </c>
    </row>
    <row r="1161" spans="1:14" s="12" customFormat="1" ht="18">
      <c r="A1161" s="178" t="s">
        <v>120</v>
      </c>
      <c r="B1161" s="75" t="s">
        <v>742</v>
      </c>
      <c r="C1161" s="39" t="s">
        <v>17</v>
      </c>
      <c r="D1161" s="236">
        <v>5</v>
      </c>
      <c r="E1161" s="236"/>
      <c r="F1161" s="236">
        <v>5</v>
      </c>
      <c r="G1161" s="236"/>
      <c r="H1161" s="41">
        <f>SUM(Tabla132112418[[#This Row],[PRIMER TRIMESTRE]:[CUARTO TRIMESTRE]])</f>
        <v>10</v>
      </c>
      <c r="I1161" s="17">
        <v>53.1</v>
      </c>
      <c r="J1161" s="17">
        <f>+Tabla132112418[[#This Row],[CANTIDAD TOTAL]]*Tabla132112418[[#This Row],[PRECIO UNITARIO ESTIMADO]]</f>
        <v>531</v>
      </c>
      <c r="K1161" s="17"/>
      <c r="L1161" s="16" t="s">
        <v>18</v>
      </c>
      <c r="M1161" s="16" t="s">
        <v>22</v>
      </c>
      <c r="N1161" s="39" t="s">
        <v>418</v>
      </c>
    </row>
    <row r="1162" spans="1:14" s="12" customFormat="1" ht="18">
      <c r="A1162" s="178" t="s">
        <v>120</v>
      </c>
      <c r="B1162" s="75" t="s">
        <v>271</v>
      </c>
      <c r="C1162" s="39" t="s">
        <v>17</v>
      </c>
      <c r="D1162" s="236">
        <v>9</v>
      </c>
      <c r="E1162" s="236"/>
      <c r="F1162" s="236"/>
      <c r="G1162" s="236"/>
      <c r="H1162" s="41">
        <f>SUM(Tabla132112418[[#This Row],[PRIMER TRIMESTRE]:[CUARTO TRIMESTRE]])</f>
        <v>9</v>
      </c>
      <c r="I1162" s="17">
        <v>18.399999999999999</v>
      </c>
      <c r="J1162" s="17">
        <f>+H1162*I1162</f>
        <v>165.6</v>
      </c>
      <c r="K1162" s="17"/>
      <c r="L1162" s="16" t="s">
        <v>18</v>
      </c>
      <c r="M1162" s="16" t="s">
        <v>22</v>
      </c>
      <c r="N1162" s="39" t="s">
        <v>418</v>
      </c>
    </row>
    <row r="1163" spans="1:14" s="12" customFormat="1" ht="18">
      <c r="A1163" s="178" t="s">
        <v>120</v>
      </c>
      <c r="B1163" s="75" t="s">
        <v>757</v>
      </c>
      <c r="C1163" s="39" t="s">
        <v>17</v>
      </c>
      <c r="D1163" s="236">
        <v>10</v>
      </c>
      <c r="E1163" s="236"/>
      <c r="F1163" s="236">
        <v>5</v>
      </c>
      <c r="G1163" s="236"/>
      <c r="H1163" s="41">
        <f>SUM(Tabla132112418[[#This Row],[PRIMER TRIMESTRE]:[CUARTO TRIMESTRE]])</f>
        <v>15</v>
      </c>
      <c r="I1163" s="17">
        <v>12.92</v>
      </c>
      <c r="J1163" s="17">
        <f>+H1163*I1163</f>
        <v>193.8</v>
      </c>
      <c r="K1163" s="17"/>
      <c r="L1163" s="16" t="s">
        <v>18</v>
      </c>
      <c r="M1163" s="16" t="s">
        <v>22</v>
      </c>
      <c r="N1163" s="39" t="s">
        <v>418</v>
      </c>
    </row>
    <row r="1164" spans="1:14" s="12" customFormat="1" ht="18">
      <c r="A1164" s="178" t="s">
        <v>120</v>
      </c>
      <c r="B1164" s="75" t="s">
        <v>325</v>
      </c>
      <c r="C1164" s="39" t="s">
        <v>17</v>
      </c>
      <c r="D1164" s="236"/>
      <c r="E1164" s="236"/>
      <c r="F1164" s="236"/>
      <c r="G1164" s="236"/>
      <c r="H1164" s="41">
        <f>SUM(Tabla132112418[[#This Row],[PRIMER TRIMESTRE]:[CUARTO TRIMESTRE]])</f>
        <v>0</v>
      </c>
      <c r="I1164" s="17">
        <f>337351.26/1251</f>
        <v>269.66527577937649</v>
      </c>
      <c r="J1164" s="17">
        <f>+Tabla132112418[[#This Row],[CANTIDAD TOTAL]]*Tabla132112418[[#This Row],[PRECIO UNITARIO ESTIMADO]]</f>
        <v>0</v>
      </c>
      <c r="K1164" s="17"/>
      <c r="L1164" s="16" t="s">
        <v>18</v>
      </c>
      <c r="M1164" s="16" t="s">
        <v>22</v>
      </c>
      <c r="N1164" s="39" t="s">
        <v>418</v>
      </c>
    </row>
    <row r="1165" spans="1:14" s="12" customFormat="1" ht="18">
      <c r="A1165" s="178" t="s">
        <v>120</v>
      </c>
      <c r="B1165" s="75" t="s">
        <v>784</v>
      </c>
      <c r="C1165" s="39" t="s">
        <v>17</v>
      </c>
      <c r="D1165" s="236">
        <v>5</v>
      </c>
      <c r="E1165" s="236"/>
      <c r="F1165" s="236">
        <v>5</v>
      </c>
      <c r="G1165" s="236"/>
      <c r="H1165" s="41">
        <f>SUM(Tabla132112418[[#This Row],[PRIMER TRIMESTRE]:[CUARTO TRIMESTRE]])</f>
        <v>10</v>
      </c>
      <c r="I1165" s="72">
        <f>20*1.18</f>
        <v>23.599999999999998</v>
      </c>
      <c r="J1165" s="17">
        <f>+H1165*I1165</f>
        <v>235.99999999999997</v>
      </c>
      <c r="K1165" s="17"/>
      <c r="L1165" s="16" t="s">
        <v>18</v>
      </c>
      <c r="M1165" s="16" t="s">
        <v>22</v>
      </c>
      <c r="N1165" s="39" t="s">
        <v>418</v>
      </c>
    </row>
    <row r="1166" spans="1:14" s="12" customFormat="1" ht="18">
      <c r="A1166" s="178" t="s">
        <v>120</v>
      </c>
      <c r="B1166" s="75" t="s">
        <v>785</v>
      </c>
      <c r="C1166" s="39" t="s">
        <v>17</v>
      </c>
      <c r="D1166" s="236">
        <v>20</v>
      </c>
      <c r="E1166" s="236"/>
      <c r="F1166" s="236">
        <v>20</v>
      </c>
      <c r="G1166" s="236"/>
      <c r="H1166" s="41">
        <f>SUM(Tabla132112418[[#This Row],[PRIMER TRIMESTRE]:[CUARTO TRIMESTRE]])</f>
        <v>40</v>
      </c>
      <c r="I1166" s="72">
        <f>4*1.18</f>
        <v>4.72</v>
      </c>
      <c r="J1166" s="17">
        <f>+H1166*I1166</f>
        <v>188.79999999999998</v>
      </c>
      <c r="K1166" s="17"/>
      <c r="L1166" s="16" t="s">
        <v>18</v>
      </c>
      <c r="M1166" s="16" t="s">
        <v>22</v>
      </c>
      <c r="N1166" s="39" t="s">
        <v>418</v>
      </c>
    </row>
    <row r="1167" spans="1:14" s="12" customFormat="1" ht="18">
      <c r="A1167" s="178" t="s">
        <v>120</v>
      </c>
      <c r="B1167" s="75" t="s">
        <v>272</v>
      </c>
      <c r="C1167" s="39" t="s">
        <v>17</v>
      </c>
      <c r="D1167" s="236"/>
      <c r="E1167" s="236"/>
      <c r="F1167" s="236"/>
      <c r="G1167" s="236"/>
      <c r="H1167" s="41">
        <f>SUM(Tabla132112418[[#This Row],[PRIMER TRIMESTRE]:[CUARTO TRIMESTRE]])</f>
        <v>0</v>
      </c>
      <c r="I1167" s="17">
        <v>348</v>
      </c>
      <c r="J1167" s="17">
        <f>+Tabla132112418[[#This Row],[CANTIDAD TOTAL]]*Tabla132112418[[#This Row],[PRECIO UNITARIO ESTIMADO]]</f>
        <v>0</v>
      </c>
      <c r="K1167" s="17"/>
      <c r="L1167" s="16" t="s">
        <v>18</v>
      </c>
      <c r="M1167" s="16" t="s">
        <v>22</v>
      </c>
      <c r="N1167" s="39" t="s">
        <v>418</v>
      </c>
    </row>
    <row r="1168" spans="1:14" s="12" customFormat="1" ht="18">
      <c r="A1168" s="178" t="s">
        <v>120</v>
      </c>
      <c r="B1168" s="75" t="s">
        <v>758</v>
      </c>
      <c r="C1168" s="39" t="s">
        <v>17</v>
      </c>
      <c r="D1168" s="236">
        <v>1</v>
      </c>
      <c r="E1168" s="236"/>
      <c r="F1168" s="236">
        <v>1</v>
      </c>
      <c r="G1168" s="236"/>
      <c r="H1168" s="41">
        <f>SUM(Tabla132112418[[#This Row],[PRIMER TRIMESTRE]:[CUARTO TRIMESTRE]])</f>
        <v>2</v>
      </c>
      <c r="I1168" s="17">
        <v>61.95</v>
      </c>
      <c r="J1168" s="17">
        <f t="shared" ref="J1168:J1231" si="31">+H1168*I1168</f>
        <v>123.9</v>
      </c>
      <c r="K1168" s="17"/>
      <c r="L1168" s="16" t="s">
        <v>18</v>
      </c>
      <c r="M1168" s="16" t="s">
        <v>22</v>
      </c>
      <c r="N1168" s="39" t="s">
        <v>418</v>
      </c>
    </row>
    <row r="1169" spans="1:14" s="12" customFormat="1" ht="18">
      <c r="A1169" s="178" t="s">
        <v>120</v>
      </c>
      <c r="B1169" s="75" t="s">
        <v>1767</v>
      </c>
      <c r="C1169" s="39" t="s">
        <v>417</v>
      </c>
      <c r="D1169" s="236"/>
      <c r="E1169" s="236"/>
      <c r="F1169" s="236"/>
      <c r="G1169" s="236"/>
      <c r="H1169" s="46">
        <v>0</v>
      </c>
      <c r="I1169" s="17">
        <v>0</v>
      </c>
      <c r="J1169" s="17">
        <v>0</v>
      </c>
      <c r="K1169" s="17"/>
      <c r="L1169" s="16" t="s">
        <v>18</v>
      </c>
      <c r="M1169" s="16" t="s">
        <v>22</v>
      </c>
      <c r="N1169" s="39" t="s">
        <v>418</v>
      </c>
    </row>
    <row r="1170" spans="1:14" s="12" customFormat="1" ht="18">
      <c r="A1170" s="178" t="s">
        <v>120</v>
      </c>
      <c r="B1170" s="184" t="s">
        <v>477</v>
      </c>
      <c r="C1170" s="39" t="s">
        <v>417</v>
      </c>
      <c r="D1170" s="236"/>
      <c r="E1170" s="236"/>
      <c r="F1170" s="236"/>
      <c r="G1170" s="236"/>
      <c r="H1170" s="41">
        <f>SUM(Tabla132112418[[#This Row],[PRIMER TRIMESTRE]:[CUARTO TRIMESTRE]])</f>
        <v>0</v>
      </c>
      <c r="I1170" s="17">
        <v>650</v>
      </c>
      <c r="J1170" s="17">
        <f t="shared" si="31"/>
        <v>0</v>
      </c>
      <c r="K1170" s="17"/>
      <c r="L1170" s="16" t="s">
        <v>18</v>
      </c>
      <c r="M1170" s="16" t="s">
        <v>22</v>
      </c>
      <c r="N1170" s="39" t="s">
        <v>418</v>
      </c>
    </row>
    <row r="1171" spans="1:14" s="12" customFormat="1" ht="18">
      <c r="A1171" s="178" t="s">
        <v>120</v>
      </c>
      <c r="B1171" s="184" t="s">
        <v>478</v>
      </c>
      <c r="C1171" s="39" t="s">
        <v>417</v>
      </c>
      <c r="D1171" s="236"/>
      <c r="E1171" s="236"/>
      <c r="F1171" s="236"/>
      <c r="G1171" s="236"/>
      <c r="H1171" s="41">
        <f>SUM(Tabla132112418[[#This Row],[PRIMER TRIMESTRE]:[CUARTO TRIMESTRE]])</f>
        <v>0</v>
      </c>
      <c r="I1171" s="17">
        <v>950</v>
      </c>
      <c r="J1171" s="17">
        <f t="shared" si="31"/>
        <v>0</v>
      </c>
      <c r="K1171" s="17"/>
      <c r="L1171" s="16" t="s">
        <v>18</v>
      </c>
      <c r="M1171" s="16" t="s">
        <v>22</v>
      </c>
      <c r="N1171" s="39" t="s">
        <v>418</v>
      </c>
    </row>
    <row r="1172" spans="1:14" s="12" customFormat="1" ht="18">
      <c r="A1172" s="178" t="s">
        <v>120</v>
      </c>
      <c r="B1172" s="185" t="s">
        <v>479</v>
      </c>
      <c r="C1172" s="39" t="s">
        <v>417</v>
      </c>
      <c r="D1172" s="236"/>
      <c r="E1172" s="236"/>
      <c r="F1172" s="236"/>
      <c r="G1172" s="236"/>
      <c r="H1172" s="41">
        <f>SUM(Tabla132112418[[#This Row],[PRIMER TRIMESTRE]:[CUARTO TRIMESTRE]])</f>
        <v>0</v>
      </c>
      <c r="I1172" s="17">
        <v>650</v>
      </c>
      <c r="J1172" s="17">
        <f t="shared" si="31"/>
        <v>0</v>
      </c>
      <c r="K1172" s="17"/>
      <c r="L1172" s="16" t="s">
        <v>18</v>
      </c>
      <c r="M1172" s="16" t="s">
        <v>22</v>
      </c>
      <c r="N1172" s="39" t="s">
        <v>418</v>
      </c>
    </row>
    <row r="1173" spans="1:14" s="12" customFormat="1" ht="18">
      <c r="A1173" s="178" t="s">
        <v>120</v>
      </c>
      <c r="B1173" s="184" t="s">
        <v>480</v>
      </c>
      <c r="C1173" s="39" t="s">
        <v>417</v>
      </c>
      <c r="D1173" s="236"/>
      <c r="E1173" s="236"/>
      <c r="F1173" s="236"/>
      <c r="G1173" s="236"/>
      <c r="H1173" s="41">
        <f>SUM(Tabla132112418[[#This Row],[PRIMER TRIMESTRE]:[CUARTO TRIMESTRE]])</f>
        <v>0</v>
      </c>
      <c r="I1173" s="17">
        <v>800</v>
      </c>
      <c r="J1173" s="17">
        <f t="shared" si="31"/>
        <v>0</v>
      </c>
      <c r="K1173" s="17"/>
      <c r="L1173" s="16" t="s">
        <v>18</v>
      </c>
      <c r="M1173" s="16" t="s">
        <v>22</v>
      </c>
      <c r="N1173" s="39" t="s">
        <v>418</v>
      </c>
    </row>
    <row r="1174" spans="1:14" s="12" customFormat="1" ht="18">
      <c r="A1174" s="178" t="s">
        <v>120</v>
      </c>
      <c r="B1174" s="184" t="s">
        <v>481</v>
      </c>
      <c r="C1174" s="39" t="s">
        <v>417</v>
      </c>
      <c r="D1174" s="236"/>
      <c r="E1174" s="236"/>
      <c r="F1174" s="236"/>
      <c r="G1174" s="236"/>
      <c r="H1174" s="41">
        <f>SUM(Tabla132112418[[#This Row],[PRIMER TRIMESTRE]:[CUARTO TRIMESTRE]])</f>
        <v>0</v>
      </c>
      <c r="I1174" s="17">
        <v>1190</v>
      </c>
      <c r="J1174" s="17">
        <f t="shared" si="31"/>
        <v>0</v>
      </c>
      <c r="K1174" s="17"/>
      <c r="L1174" s="16" t="s">
        <v>18</v>
      </c>
      <c r="M1174" s="16" t="s">
        <v>22</v>
      </c>
      <c r="N1174" s="39" t="s">
        <v>418</v>
      </c>
    </row>
    <row r="1175" spans="1:14" s="12" customFormat="1" ht="18">
      <c r="A1175" s="178" t="s">
        <v>120</v>
      </c>
      <c r="B1175" s="184" t="s">
        <v>482</v>
      </c>
      <c r="C1175" s="39" t="s">
        <v>417</v>
      </c>
      <c r="D1175" s="236"/>
      <c r="E1175" s="236"/>
      <c r="F1175" s="236"/>
      <c r="G1175" s="236"/>
      <c r="H1175" s="41">
        <f>SUM(Tabla132112418[[#This Row],[PRIMER TRIMESTRE]:[CUARTO TRIMESTRE]])</f>
        <v>0</v>
      </c>
      <c r="I1175" s="17">
        <v>1050</v>
      </c>
      <c r="J1175" s="17">
        <f t="shared" si="31"/>
        <v>0</v>
      </c>
      <c r="K1175" s="17"/>
      <c r="L1175" s="16" t="s">
        <v>18</v>
      </c>
      <c r="M1175" s="16" t="s">
        <v>22</v>
      </c>
      <c r="N1175" s="39" t="s">
        <v>418</v>
      </c>
    </row>
    <row r="1176" spans="1:14" s="12" customFormat="1" ht="18">
      <c r="A1176" s="178" t="s">
        <v>120</v>
      </c>
      <c r="B1176" s="184" t="s">
        <v>483</v>
      </c>
      <c r="C1176" s="39" t="s">
        <v>417</v>
      </c>
      <c r="D1176" s="236"/>
      <c r="E1176" s="236"/>
      <c r="F1176" s="236"/>
      <c r="G1176" s="236"/>
      <c r="H1176" s="41">
        <f>SUM(Tabla132112418[[#This Row],[PRIMER TRIMESTRE]:[CUARTO TRIMESTRE]])</f>
        <v>0</v>
      </c>
      <c r="I1176" s="17">
        <v>990</v>
      </c>
      <c r="J1176" s="17">
        <f t="shared" si="31"/>
        <v>0</v>
      </c>
      <c r="K1176" s="17"/>
      <c r="L1176" s="16" t="s">
        <v>18</v>
      </c>
      <c r="M1176" s="16" t="s">
        <v>22</v>
      </c>
      <c r="N1176" s="39" t="s">
        <v>418</v>
      </c>
    </row>
    <row r="1177" spans="1:14" s="12" customFormat="1" ht="18">
      <c r="A1177" s="178" t="s">
        <v>120</v>
      </c>
      <c r="B1177" s="184" t="s">
        <v>484</v>
      </c>
      <c r="C1177" s="39" t="s">
        <v>417</v>
      </c>
      <c r="D1177" s="236"/>
      <c r="E1177" s="236"/>
      <c r="F1177" s="236"/>
      <c r="G1177" s="236"/>
      <c r="H1177" s="41">
        <f>SUM(Tabla132112418[[#This Row],[PRIMER TRIMESTRE]:[CUARTO TRIMESTRE]])</f>
        <v>0</v>
      </c>
      <c r="I1177" s="17">
        <v>450</v>
      </c>
      <c r="J1177" s="17">
        <f t="shared" si="31"/>
        <v>0</v>
      </c>
      <c r="K1177" s="17"/>
      <c r="L1177" s="16" t="s">
        <v>18</v>
      </c>
      <c r="M1177" s="16" t="s">
        <v>22</v>
      </c>
      <c r="N1177" s="39" t="s">
        <v>418</v>
      </c>
    </row>
    <row r="1178" spans="1:14" s="12" customFormat="1" ht="18">
      <c r="A1178" s="178" t="s">
        <v>120</v>
      </c>
      <c r="B1178" s="184" t="s">
        <v>485</v>
      </c>
      <c r="C1178" s="39" t="s">
        <v>417</v>
      </c>
      <c r="D1178" s="236"/>
      <c r="E1178" s="236"/>
      <c r="F1178" s="236"/>
      <c r="G1178" s="236"/>
      <c r="H1178" s="41">
        <f>SUM(Tabla132112418[[#This Row],[PRIMER TRIMESTRE]:[CUARTO TRIMESTRE]])</f>
        <v>0</v>
      </c>
      <c r="I1178" s="17">
        <v>550</v>
      </c>
      <c r="J1178" s="17">
        <f t="shared" si="31"/>
        <v>0</v>
      </c>
      <c r="K1178" s="17"/>
      <c r="L1178" s="16" t="s">
        <v>18</v>
      </c>
      <c r="M1178" s="16" t="s">
        <v>22</v>
      </c>
      <c r="N1178" s="39" t="s">
        <v>418</v>
      </c>
    </row>
    <row r="1179" spans="1:14" s="12" customFormat="1" ht="18">
      <c r="A1179" s="178" t="s">
        <v>120</v>
      </c>
      <c r="B1179" s="184" t="s">
        <v>486</v>
      </c>
      <c r="C1179" s="39" t="s">
        <v>417</v>
      </c>
      <c r="D1179" s="236"/>
      <c r="E1179" s="236"/>
      <c r="F1179" s="236"/>
      <c r="G1179" s="236"/>
      <c r="H1179" s="41">
        <f>SUM(Tabla132112418[[#This Row],[PRIMER TRIMESTRE]:[CUARTO TRIMESTRE]])</f>
        <v>0</v>
      </c>
      <c r="I1179" s="17">
        <v>1000</v>
      </c>
      <c r="J1179" s="17">
        <f t="shared" si="31"/>
        <v>0</v>
      </c>
      <c r="K1179" s="17"/>
      <c r="L1179" s="16" t="s">
        <v>18</v>
      </c>
      <c r="M1179" s="16" t="s">
        <v>22</v>
      </c>
      <c r="N1179" s="39" t="s">
        <v>418</v>
      </c>
    </row>
    <row r="1180" spans="1:14" s="12" customFormat="1" ht="18">
      <c r="A1180" s="178" t="s">
        <v>120</v>
      </c>
      <c r="B1180" s="184" t="s">
        <v>487</v>
      </c>
      <c r="C1180" s="39" t="s">
        <v>417</v>
      </c>
      <c r="D1180" s="236"/>
      <c r="E1180" s="236"/>
      <c r="F1180" s="236"/>
      <c r="G1180" s="236"/>
      <c r="H1180" s="41">
        <f>SUM(Tabla132112418[[#This Row],[PRIMER TRIMESTRE]:[CUARTO TRIMESTRE]])</f>
        <v>0</v>
      </c>
      <c r="I1180" s="17">
        <v>850</v>
      </c>
      <c r="J1180" s="17">
        <f t="shared" si="31"/>
        <v>0</v>
      </c>
      <c r="K1180" s="17"/>
      <c r="L1180" s="16" t="s">
        <v>18</v>
      </c>
      <c r="M1180" s="16" t="s">
        <v>22</v>
      </c>
      <c r="N1180" s="39" t="s">
        <v>418</v>
      </c>
    </row>
    <row r="1181" spans="1:14" s="12" customFormat="1" ht="18">
      <c r="A1181" s="178" t="s">
        <v>120</v>
      </c>
      <c r="B1181" s="184" t="s">
        <v>488</v>
      </c>
      <c r="C1181" s="39" t="s">
        <v>417</v>
      </c>
      <c r="D1181" s="236"/>
      <c r="E1181" s="236"/>
      <c r="F1181" s="236"/>
      <c r="G1181" s="236"/>
      <c r="H1181" s="41">
        <f>SUM(Tabla132112418[[#This Row],[PRIMER TRIMESTRE]:[CUARTO TRIMESTRE]])</f>
        <v>0</v>
      </c>
      <c r="I1181" s="17">
        <v>850</v>
      </c>
      <c r="J1181" s="17">
        <f t="shared" si="31"/>
        <v>0</v>
      </c>
      <c r="K1181" s="17"/>
      <c r="L1181" s="16" t="s">
        <v>18</v>
      </c>
      <c r="M1181" s="16" t="s">
        <v>22</v>
      </c>
      <c r="N1181" s="39" t="s">
        <v>418</v>
      </c>
    </row>
    <row r="1182" spans="1:14" s="12" customFormat="1" ht="18">
      <c r="A1182" s="178" t="s">
        <v>120</v>
      </c>
      <c r="B1182" s="184" t="s">
        <v>489</v>
      </c>
      <c r="C1182" s="39" t="s">
        <v>417</v>
      </c>
      <c r="D1182" s="236"/>
      <c r="E1182" s="236"/>
      <c r="F1182" s="236"/>
      <c r="G1182" s="236"/>
      <c r="H1182" s="41">
        <f>SUM(Tabla132112418[[#This Row],[PRIMER TRIMESTRE]:[CUARTO TRIMESTRE]])</f>
        <v>0</v>
      </c>
      <c r="I1182" s="17">
        <v>650</v>
      </c>
      <c r="J1182" s="17">
        <f t="shared" si="31"/>
        <v>0</v>
      </c>
      <c r="K1182" s="17"/>
      <c r="L1182" s="16" t="s">
        <v>18</v>
      </c>
      <c r="M1182" s="16" t="s">
        <v>22</v>
      </c>
      <c r="N1182" s="39" t="s">
        <v>418</v>
      </c>
    </row>
    <row r="1183" spans="1:14" s="12" customFormat="1" ht="18">
      <c r="A1183" s="178" t="s">
        <v>120</v>
      </c>
      <c r="B1183" s="184" t="s">
        <v>490</v>
      </c>
      <c r="C1183" s="39" t="s">
        <v>417</v>
      </c>
      <c r="D1183" s="236"/>
      <c r="E1183" s="236"/>
      <c r="F1183" s="236"/>
      <c r="G1183" s="236"/>
      <c r="H1183" s="41">
        <f>SUM(Tabla132112418[[#This Row],[PRIMER TRIMESTRE]:[CUARTO TRIMESTRE]])</f>
        <v>0</v>
      </c>
      <c r="I1183" s="17">
        <v>1100</v>
      </c>
      <c r="J1183" s="17">
        <f t="shared" si="31"/>
        <v>0</v>
      </c>
      <c r="K1183" s="17"/>
      <c r="L1183" s="16" t="s">
        <v>18</v>
      </c>
      <c r="M1183" s="16" t="s">
        <v>22</v>
      </c>
      <c r="N1183" s="39" t="s">
        <v>418</v>
      </c>
    </row>
    <row r="1184" spans="1:14" s="12" customFormat="1" ht="18">
      <c r="A1184" s="178" t="s">
        <v>120</v>
      </c>
      <c r="B1184" s="184" t="s">
        <v>491</v>
      </c>
      <c r="C1184" s="39" t="s">
        <v>417</v>
      </c>
      <c r="D1184" s="236"/>
      <c r="E1184" s="236"/>
      <c r="F1184" s="236"/>
      <c r="G1184" s="236"/>
      <c r="H1184" s="41">
        <f>SUM(Tabla132112418[[#This Row],[PRIMER TRIMESTRE]:[CUARTO TRIMESTRE]])</f>
        <v>0</v>
      </c>
      <c r="I1184" s="17">
        <v>1100</v>
      </c>
      <c r="J1184" s="17">
        <f t="shared" si="31"/>
        <v>0</v>
      </c>
      <c r="K1184" s="17"/>
      <c r="L1184" s="16" t="s">
        <v>18</v>
      </c>
      <c r="M1184" s="16" t="s">
        <v>22</v>
      </c>
      <c r="N1184" s="39" t="s">
        <v>418</v>
      </c>
    </row>
    <row r="1185" spans="1:14" s="12" customFormat="1" ht="18">
      <c r="A1185" s="178" t="s">
        <v>120</v>
      </c>
      <c r="B1185" s="184" t="s">
        <v>492</v>
      </c>
      <c r="C1185" s="39" t="s">
        <v>417</v>
      </c>
      <c r="D1185" s="236"/>
      <c r="E1185" s="236"/>
      <c r="F1185" s="236"/>
      <c r="G1185" s="236"/>
      <c r="H1185" s="41">
        <f>SUM(Tabla132112418[[#This Row],[PRIMER TRIMESTRE]:[CUARTO TRIMESTRE]])</f>
        <v>0</v>
      </c>
      <c r="I1185" s="17">
        <v>1500</v>
      </c>
      <c r="J1185" s="17">
        <f t="shared" si="31"/>
        <v>0</v>
      </c>
      <c r="K1185" s="17"/>
      <c r="L1185" s="16" t="s">
        <v>18</v>
      </c>
      <c r="M1185" s="16" t="s">
        <v>22</v>
      </c>
      <c r="N1185" s="39" t="s">
        <v>418</v>
      </c>
    </row>
    <row r="1186" spans="1:14" s="12" customFormat="1" ht="18">
      <c r="A1186" s="178" t="s">
        <v>120</v>
      </c>
      <c r="B1186" s="184" t="s">
        <v>493</v>
      </c>
      <c r="C1186" s="39" t="s">
        <v>417</v>
      </c>
      <c r="D1186" s="236"/>
      <c r="E1186" s="236"/>
      <c r="F1186" s="236"/>
      <c r="G1186" s="236"/>
      <c r="H1186" s="41">
        <f>SUM(Tabla132112418[[#This Row],[PRIMER TRIMESTRE]:[CUARTO TRIMESTRE]])</f>
        <v>0</v>
      </c>
      <c r="I1186" s="17">
        <v>1650</v>
      </c>
      <c r="J1186" s="17">
        <f t="shared" si="31"/>
        <v>0</v>
      </c>
      <c r="K1186" s="17"/>
      <c r="L1186" s="16" t="s">
        <v>18</v>
      </c>
      <c r="M1186" s="16" t="s">
        <v>22</v>
      </c>
      <c r="N1186" s="39" t="s">
        <v>418</v>
      </c>
    </row>
    <row r="1187" spans="1:14" s="12" customFormat="1" ht="18">
      <c r="A1187" s="178" t="s">
        <v>120</v>
      </c>
      <c r="B1187" s="184" t="s">
        <v>494</v>
      </c>
      <c r="C1187" s="39" t="s">
        <v>417</v>
      </c>
      <c r="D1187" s="236"/>
      <c r="E1187" s="236"/>
      <c r="F1187" s="236"/>
      <c r="G1187" s="236"/>
      <c r="H1187" s="41">
        <f>SUM(Tabla132112418[[#This Row],[PRIMER TRIMESTRE]:[CUARTO TRIMESTRE]])</f>
        <v>0</v>
      </c>
      <c r="I1187" s="17">
        <v>1250</v>
      </c>
      <c r="J1187" s="17">
        <f t="shared" si="31"/>
        <v>0</v>
      </c>
      <c r="K1187" s="17"/>
      <c r="L1187" s="16" t="s">
        <v>18</v>
      </c>
      <c r="M1187" s="16" t="s">
        <v>22</v>
      </c>
      <c r="N1187" s="39" t="s">
        <v>418</v>
      </c>
    </row>
    <row r="1188" spans="1:14" s="12" customFormat="1" ht="18">
      <c r="A1188" s="178" t="s">
        <v>120</v>
      </c>
      <c r="B1188" s="185" t="s">
        <v>495</v>
      </c>
      <c r="C1188" s="39" t="s">
        <v>417</v>
      </c>
      <c r="D1188" s="236"/>
      <c r="E1188" s="236"/>
      <c r="F1188" s="236"/>
      <c r="G1188" s="236"/>
      <c r="H1188" s="41">
        <f>SUM(Tabla132112418[[#This Row],[PRIMER TRIMESTRE]:[CUARTO TRIMESTRE]])</f>
        <v>0</v>
      </c>
      <c r="I1188" s="17">
        <v>1672</v>
      </c>
      <c r="J1188" s="17">
        <f t="shared" si="31"/>
        <v>0</v>
      </c>
      <c r="K1188" s="17"/>
      <c r="L1188" s="16" t="s">
        <v>18</v>
      </c>
      <c r="M1188" s="16" t="s">
        <v>22</v>
      </c>
      <c r="N1188" s="39" t="s">
        <v>418</v>
      </c>
    </row>
    <row r="1189" spans="1:14" s="12" customFormat="1" ht="25.5">
      <c r="A1189" s="178" t="s">
        <v>120</v>
      </c>
      <c r="B1189" s="185" t="s">
        <v>533</v>
      </c>
      <c r="C1189" s="39" t="s">
        <v>417</v>
      </c>
      <c r="D1189" s="236"/>
      <c r="E1189" s="236"/>
      <c r="F1189" s="236"/>
      <c r="G1189" s="236"/>
      <c r="H1189" s="41">
        <f>SUM(Tabla132112418[[#This Row],[PRIMER TRIMESTRE]:[CUARTO TRIMESTRE]])</f>
        <v>0</v>
      </c>
      <c r="I1189" s="17">
        <v>720</v>
      </c>
      <c r="J1189" s="17">
        <f t="shared" si="31"/>
        <v>0</v>
      </c>
      <c r="K1189" s="17"/>
      <c r="L1189" s="16" t="s">
        <v>18</v>
      </c>
      <c r="M1189" s="16" t="s">
        <v>22</v>
      </c>
      <c r="N1189" s="39" t="s">
        <v>418</v>
      </c>
    </row>
    <row r="1190" spans="1:14" s="12" customFormat="1" ht="25.5">
      <c r="A1190" s="178" t="s">
        <v>120</v>
      </c>
      <c r="B1190" s="185" t="s">
        <v>534</v>
      </c>
      <c r="C1190" s="39" t="s">
        <v>417</v>
      </c>
      <c r="D1190" s="236"/>
      <c r="E1190" s="236"/>
      <c r="F1190" s="236"/>
      <c r="G1190" s="236"/>
      <c r="H1190" s="41">
        <f>SUM(Tabla132112418[[#This Row],[PRIMER TRIMESTRE]:[CUARTO TRIMESTRE]])</f>
        <v>0</v>
      </c>
      <c r="I1190" s="17">
        <v>1280</v>
      </c>
      <c r="J1190" s="17">
        <f t="shared" si="31"/>
        <v>0</v>
      </c>
      <c r="K1190" s="17"/>
      <c r="L1190" s="16" t="s">
        <v>18</v>
      </c>
      <c r="M1190" s="16" t="s">
        <v>22</v>
      </c>
      <c r="N1190" s="39" t="s">
        <v>418</v>
      </c>
    </row>
    <row r="1191" spans="1:14" s="12" customFormat="1" ht="18">
      <c r="A1191" s="178" t="s">
        <v>120</v>
      </c>
      <c r="B1191" s="185" t="s">
        <v>1443</v>
      </c>
      <c r="C1191" s="39" t="s">
        <v>417</v>
      </c>
      <c r="D1191" s="236"/>
      <c r="E1191" s="236"/>
      <c r="F1191" s="236"/>
      <c r="G1191" s="236"/>
      <c r="H1191" s="41">
        <f>SUM(Tabla132112418[[#This Row],[PRIMER TRIMESTRE]:[CUARTO TRIMESTRE]])</f>
        <v>0</v>
      </c>
      <c r="I1191" s="17">
        <v>4159.5</v>
      </c>
      <c r="J1191" s="17">
        <f t="shared" si="31"/>
        <v>0</v>
      </c>
      <c r="K1191" s="17"/>
      <c r="L1191" s="16" t="s">
        <v>15</v>
      </c>
      <c r="M1191" s="16" t="s">
        <v>22</v>
      </c>
      <c r="N1191" s="39" t="s">
        <v>418</v>
      </c>
    </row>
    <row r="1192" spans="1:14" s="12" customFormat="1" ht="18">
      <c r="A1192" s="178" t="s">
        <v>120</v>
      </c>
      <c r="B1192" s="185" t="s">
        <v>1444</v>
      </c>
      <c r="C1192" s="39" t="s">
        <v>417</v>
      </c>
      <c r="D1192" s="236"/>
      <c r="E1192" s="236"/>
      <c r="F1192" s="236"/>
      <c r="G1192" s="236"/>
      <c r="H1192" s="41">
        <f>SUM(Tabla132112418[[#This Row],[PRIMER TRIMESTRE]:[CUARTO TRIMESTRE]])</f>
        <v>0</v>
      </c>
      <c r="I1192" s="17">
        <v>4159.5</v>
      </c>
      <c r="J1192" s="17">
        <f t="shared" si="31"/>
        <v>0</v>
      </c>
      <c r="K1192" s="17"/>
      <c r="L1192" s="16" t="s">
        <v>15</v>
      </c>
      <c r="M1192" s="16" t="s">
        <v>22</v>
      </c>
      <c r="N1192" s="39" t="s">
        <v>418</v>
      </c>
    </row>
    <row r="1193" spans="1:14" s="12" customFormat="1" ht="18">
      <c r="A1193" s="178" t="s">
        <v>120</v>
      </c>
      <c r="B1193" s="185" t="s">
        <v>1445</v>
      </c>
      <c r="C1193" s="39" t="s">
        <v>417</v>
      </c>
      <c r="D1193" s="236"/>
      <c r="E1193" s="236"/>
      <c r="F1193" s="236"/>
      <c r="G1193" s="236"/>
      <c r="H1193" s="41">
        <f>SUM(Tabla132112418[[#This Row],[PRIMER TRIMESTRE]:[CUARTO TRIMESTRE]])</f>
        <v>0</v>
      </c>
      <c r="I1193" s="17">
        <v>4159.5</v>
      </c>
      <c r="J1193" s="17">
        <f t="shared" si="31"/>
        <v>0</v>
      </c>
      <c r="K1193" s="17"/>
      <c r="L1193" s="16" t="s">
        <v>15</v>
      </c>
      <c r="M1193" s="16" t="s">
        <v>22</v>
      </c>
      <c r="N1193" s="39" t="s">
        <v>418</v>
      </c>
    </row>
    <row r="1194" spans="1:14" s="12" customFormat="1" ht="18">
      <c r="A1194" s="178" t="s">
        <v>120</v>
      </c>
      <c r="B1194" s="185" t="s">
        <v>474</v>
      </c>
      <c r="C1194" s="39" t="s">
        <v>417</v>
      </c>
      <c r="D1194" s="236"/>
      <c r="E1194" s="236"/>
      <c r="F1194" s="236"/>
      <c r="G1194" s="236"/>
      <c r="H1194" s="41">
        <f>SUM(Tabla132112418[[#This Row],[PRIMER TRIMESTRE]:[CUARTO TRIMESTRE]])</f>
        <v>0</v>
      </c>
      <c r="I1194" s="17">
        <v>2900</v>
      </c>
      <c r="J1194" s="17">
        <f t="shared" si="31"/>
        <v>0</v>
      </c>
      <c r="K1194" s="17"/>
      <c r="L1194" s="16" t="s">
        <v>18</v>
      </c>
      <c r="M1194" s="16" t="s">
        <v>22</v>
      </c>
      <c r="N1194" s="39" t="s">
        <v>418</v>
      </c>
    </row>
    <row r="1195" spans="1:14" s="12" customFormat="1" ht="18">
      <c r="A1195" s="178" t="s">
        <v>120</v>
      </c>
      <c r="B1195" s="184" t="s">
        <v>475</v>
      </c>
      <c r="C1195" s="39" t="s">
        <v>417</v>
      </c>
      <c r="D1195" s="236">
        <v>1</v>
      </c>
      <c r="E1195" s="236">
        <v>1</v>
      </c>
      <c r="F1195" s="236">
        <v>1</v>
      </c>
      <c r="G1195" s="236">
        <v>1</v>
      </c>
      <c r="H1195" s="41">
        <f>SUM(Tabla132112418[[#This Row],[PRIMER TRIMESTRE]:[CUARTO TRIMESTRE]])</f>
        <v>4</v>
      </c>
      <c r="I1195" s="17">
        <v>2350</v>
      </c>
      <c r="J1195" s="17">
        <f t="shared" si="31"/>
        <v>9400</v>
      </c>
      <c r="K1195" s="17"/>
      <c r="L1195" s="16" t="s">
        <v>18</v>
      </c>
      <c r="M1195" s="16" t="s">
        <v>22</v>
      </c>
      <c r="N1195" s="39" t="s">
        <v>418</v>
      </c>
    </row>
    <row r="1196" spans="1:14" s="12" customFormat="1" ht="18">
      <c r="A1196" s="178" t="s">
        <v>120</v>
      </c>
      <c r="B1196" s="184" t="s">
        <v>476</v>
      </c>
      <c r="C1196" s="39" t="s">
        <v>417</v>
      </c>
      <c r="D1196" s="236"/>
      <c r="E1196" s="236"/>
      <c r="F1196" s="236"/>
      <c r="G1196" s="236"/>
      <c r="H1196" s="41">
        <f>SUM(Tabla132112418[[#This Row],[PRIMER TRIMESTRE]:[CUARTO TRIMESTRE]])</f>
        <v>0</v>
      </c>
      <c r="I1196" s="17">
        <v>3990</v>
      </c>
      <c r="J1196" s="17">
        <f t="shared" si="31"/>
        <v>0</v>
      </c>
      <c r="K1196" s="17"/>
      <c r="L1196" s="16" t="s">
        <v>18</v>
      </c>
      <c r="M1196" s="16" t="s">
        <v>22</v>
      </c>
      <c r="N1196" s="39" t="s">
        <v>418</v>
      </c>
    </row>
    <row r="1197" spans="1:14" s="12" customFormat="1" ht="18">
      <c r="A1197" s="178" t="s">
        <v>120</v>
      </c>
      <c r="B1197" s="185" t="s">
        <v>496</v>
      </c>
      <c r="C1197" s="39" t="s">
        <v>417</v>
      </c>
      <c r="D1197" s="236"/>
      <c r="E1197" s="236"/>
      <c r="F1197" s="236"/>
      <c r="G1197" s="236"/>
      <c r="H1197" s="41">
        <f>SUM(Tabla132112418[[#This Row],[PRIMER TRIMESTRE]:[CUARTO TRIMESTRE]])</f>
        <v>0</v>
      </c>
      <c r="I1197" s="17">
        <v>4200</v>
      </c>
      <c r="J1197" s="17">
        <f t="shared" si="31"/>
        <v>0</v>
      </c>
      <c r="K1197" s="17"/>
      <c r="L1197" s="16" t="s">
        <v>18</v>
      </c>
      <c r="M1197" s="16" t="s">
        <v>22</v>
      </c>
      <c r="N1197" s="39" t="s">
        <v>418</v>
      </c>
    </row>
    <row r="1198" spans="1:14" s="12" customFormat="1" ht="18">
      <c r="A1198" s="178" t="s">
        <v>120</v>
      </c>
      <c r="B1198" s="184" t="s">
        <v>497</v>
      </c>
      <c r="C1198" s="39" t="s">
        <v>417</v>
      </c>
      <c r="D1198" s="236"/>
      <c r="E1198" s="236"/>
      <c r="F1198" s="236"/>
      <c r="G1198" s="236"/>
      <c r="H1198" s="41">
        <f>SUM(Tabla132112418[[#This Row],[PRIMER TRIMESTRE]:[CUARTO TRIMESTRE]])</f>
        <v>0</v>
      </c>
      <c r="I1198" s="17">
        <v>4200</v>
      </c>
      <c r="J1198" s="17">
        <f t="shared" si="31"/>
        <v>0</v>
      </c>
      <c r="K1198" s="17"/>
      <c r="L1198" s="16" t="s">
        <v>18</v>
      </c>
      <c r="M1198" s="16" t="s">
        <v>22</v>
      </c>
      <c r="N1198" s="39" t="s">
        <v>418</v>
      </c>
    </row>
    <row r="1199" spans="1:14" s="12" customFormat="1" ht="18">
      <c r="A1199" s="178" t="s">
        <v>120</v>
      </c>
      <c r="B1199" s="184" t="s">
        <v>498</v>
      </c>
      <c r="C1199" s="39" t="s">
        <v>417</v>
      </c>
      <c r="D1199" s="236"/>
      <c r="E1199" s="236"/>
      <c r="F1199" s="236"/>
      <c r="G1199" s="236"/>
      <c r="H1199" s="41">
        <f>SUM(Tabla132112418[[#This Row],[PRIMER TRIMESTRE]:[CUARTO TRIMESTRE]])</f>
        <v>0</v>
      </c>
      <c r="I1199" s="17">
        <v>4200</v>
      </c>
      <c r="J1199" s="17">
        <f t="shared" si="31"/>
        <v>0</v>
      </c>
      <c r="K1199" s="17"/>
      <c r="L1199" s="16" t="s">
        <v>18</v>
      </c>
      <c r="M1199" s="16" t="s">
        <v>22</v>
      </c>
      <c r="N1199" s="39" t="s">
        <v>418</v>
      </c>
    </row>
    <row r="1200" spans="1:14" s="12" customFormat="1" ht="18">
      <c r="A1200" s="178" t="s">
        <v>120</v>
      </c>
      <c r="B1200" s="184" t="s">
        <v>499</v>
      </c>
      <c r="C1200" s="39" t="s">
        <v>417</v>
      </c>
      <c r="D1200" s="236"/>
      <c r="E1200" s="236"/>
      <c r="F1200" s="236"/>
      <c r="G1200" s="236"/>
      <c r="H1200" s="41">
        <f>SUM(Tabla132112418[[#This Row],[PRIMER TRIMESTRE]:[CUARTO TRIMESTRE]])</f>
        <v>0</v>
      </c>
      <c r="I1200" s="17">
        <v>4200</v>
      </c>
      <c r="J1200" s="17">
        <f t="shared" si="31"/>
        <v>0</v>
      </c>
      <c r="K1200" s="17"/>
      <c r="L1200" s="16" t="s">
        <v>18</v>
      </c>
      <c r="M1200" s="16" t="s">
        <v>22</v>
      </c>
      <c r="N1200" s="39" t="s">
        <v>418</v>
      </c>
    </row>
    <row r="1201" spans="1:14" s="12" customFormat="1" ht="18">
      <c r="A1201" s="178" t="s">
        <v>120</v>
      </c>
      <c r="B1201" s="185" t="s">
        <v>500</v>
      </c>
      <c r="C1201" s="39" t="s">
        <v>417</v>
      </c>
      <c r="D1201" s="236">
        <v>1</v>
      </c>
      <c r="E1201" s="236">
        <v>1</v>
      </c>
      <c r="F1201" s="236">
        <v>1</v>
      </c>
      <c r="G1201" s="236">
        <v>1</v>
      </c>
      <c r="H1201" s="41">
        <f>SUM(Tabla132112418[[#This Row],[PRIMER TRIMESTRE]:[CUARTO TRIMESTRE]])</f>
        <v>4</v>
      </c>
      <c r="I1201" s="17">
        <v>8210.5</v>
      </c>
      <c r="J1201" s="17">
        <f t="shared" si="31"/>
        <v>32842</v>
      </c>
      <c r="K1201" s="17"/>
      <c r="L1201" s="16" t="s">
        <v>18</v>
      </c>
      <c r="M1201" s="16" t="s">
        <v>22</v>
      </c>
      <c r="N1201" s="39" t="s">
        <v>418</v>
      </c>
    </row>
    <row r="1202" spans="1:14" s="12" customFormat="1" ht="18">
      <c r="A1202" s="178" t="s">
        <v>120</v>
      </c>
      <c r="B1202" s="185" t="s">
        <v>501</v>
      </c>
      <c r="C1202" s="39" t="s">
        <v>417</v>
      </c>
      <c r="D1202" s="236"/>
      <c r="E1202" s="236"/>
      <c r="F1202" s="236"/>
      <c r="G1202" s="236"/>
      <c r="H1202" s="41">
        <f>SUM(Tabla132112418[[#This Row],[PRIMER TRIMESTRE]:[CUARTO TRIMESTRE]])</f>
        <v>0</v>
      </c>
      <c r="I1202" s="17">
        <v>3250</v>
      </c>
      <c r="J1202" s="17">
        <f t="shared" si="31"/>
        <v>0</v>
      </c>
      <c r="K1202" s="17"/>
      <c r="L1202" s="16" t="s">
        <v>18</v>
      </c>
      <c r="M1202" s="16" t="s">
        <v>22</v>
      </c>
      <c r="N1202" s="39" t="s">
        <v>418</v>
      </c>
    </row>
    <row r="1203" spans="1:14" s="12" customFormat="1" ht="18">
      <c r="A1203" s="178" t="s">
        <v>120</v>
      </c>
      <c r="B1203" s="184" t="s">
        <v>502</v>
      </c>
      <c r="C1203" s="39" t="s">
        <v>417</v>
      </c>
      <c r="D1203" s="236"/>
      <c r="E1203" s="236"/>
      <c r="F1203" s="236"/>
      <c r="G1203" s="236"/>
      <c r="H1203" s="41">
        <f>SUM(Tabla132112418[[#This Row],[PRIMER TRIMESTRE]:[CUARTO TRIMESTRE]])</f>
        <v>0</v>
      </c>
      <c r="I1203" s="17">
        <v>450</v>
      </c>
      <c r="J1203" s="17">
        <f t="shared" si="31"/>
        <v>0</v>
      </c>
      <c r="K1203" s="17"/>
      <c r="L1203" s="16" t="s">
        <v>18</v>
      </c>
      <c r="M1203" s="16" t="s">
        <v>22</v>
      </c>
      <c r="N1203" s="39" t="s">
        <v>418</v>
      </c>
    </row>
    <row r="1204" spans="1:14" s="12" customFormat="1" ht="18">
      <c r="A1204" s="178" t="s">
        <v>120</v>
      </c>
      <c r="B1204" s="184" t="s">
        <v>503</v>
      </c>
      <c r="C1204" s="39" t="s">
        <v>417</v>
      </c>
      <c r="D1204" s="236"/>
      <c r="E1204" s="236"/>
      <c r="F1204" s="236"/>
      <c r="G1204" s="236"/>
      <c r="H1204" s="41">
        <f>SUM(Tabla132112418[[#This Row],[PRIMER TRIMESTRE]:[CUARTO TRIMESTRE]])</f>
        <v>0</v>
      </c>
      <c r="I1204" s="17">
        <v>450</v>
      </c>
      <c r="J1204" s="17">
        <f t="shared" si="31"/>
        <v>0</v>
      </c>
      <c r="K1204" s="17"/>
      <c r="L1204" s="16" t="s">
        <v>18</v>
      </c>
      <c r="M1204" s="16" t="s">
        <v>22</v>
      </c>
      <c r="N1204" s="39" t="s">
        <v>418</v>
      </c>
    </row>
    <row r="1205" spans="1:14" s="12" customFormat="1" ht="18">
      <c r="A1205" s="178" t="s">
        <v>120</v>
      </c>
      <c r="B1205" s="184" t="s">
        <v>504</v>
      </c>
      <c r="C1205" s="39" t="s">
        <v>417</v>
      </c>
      <c r="D1205" s="236"/>
      <c r="E1205" s="236"/>
      <c r="F1205" s="236"/>
      <c r="G1205" s="236"/>
      <c r="H1205" s="41">
        <f>SUM(Tabla132112418[[#This Row],[PRIMER TRIMESTRE]:[CUARTO TRIMESTRE]])</f>
        <v>0</v>
      </c>
      <c r="I1205" s="17">
        <v>450</v>
      </c>
      <c r="J1205" s="17">
        <f t="shared" si="31"/>
        <v>0</v>
      </c>
      <c r="K1205" s="17"/>
      <c r="L1205" s="16" t="s">
        <v>18</v>
      </c>
      <c r="M1205" s="16" t="s">
        <v>22</v>
      </c>
      <c r="N1205" s="39" t="s">
        <v>418</v>
      </c>
    </row>
    <row r="1206" spans="1:14" s="12" customFormat="1" ht="18">
      <c r="A1206" s="178" t="s">
        <v>120</v>
      </c>
      <c r="B1206" s="184" t="s">
        <v>505</v>
      </c>
      <c r="C1206" s="39" t="s">
        <v>417</v>
      </c>
      <c r="D1206" s="236"/>
      <c r="E1206" s="236"/>
      <c r="F1206" s="236"/>
      <c r="G1206" s="236"/>
      <c r="H1206" s="41">
        <f>SUM(Tabla132112418[[#This Row],[PRIMER TRIMESTRE]:[CUARTO TRIMESTRE]])</f>
        <v>0</v>
      </c>
      <c r="I1206" s="17">
        <v>450</v>
      </c>
      <c r="J1206" s="17">
        <f t="shared" si="31"/>
        <v>0</v>
      </c>
      <c r="K1206" s="17"/>
      <c r="L1206" s="16" t="s">
        <v>18</v>
      </c>
      <c r="M1206" s="16" t="s">
        <v>22</v>
      </c>
      <c r="N1206" s="39" t="s">
        <v>418</v>
      </c>
    </row>
    <row r="1207" spans="1:14" s="12" customFormat="1" ht="18">
      <c r="A1207" s="178" t="s">
        <v>120</v>
      </c>
      <c r="B1207" s="184" t="s">
        <v>506</v>
      </c>
      <c r="C1207" s="39" t="s">
        <v>417</v>
      </c>
      <c r="D1207" s="236"/>
      <c r="E1207" s="236"/>
      <c r="F1207" s="236"/>
      <c r="G1207" s="236"/>
      <c r="H1207" s="41">
        <f>SUM(Tabla132112418[[#This Row],[PRIMER TRIMESTRE]:[CUARTO TRIMESTRE]])</f>
        <v>0</v>
      </c>
      <c r="I1207" s="17">
        <v>5800</v>
      </c>
      <c r="J1207" s="17">
        <f t="shared" si="31"/>
        <v>0</v>
      </c>
      <c r="K1207" s="17"/>
      <c r="L1207" s="16" t="s">
        <v>18</v>
      </c>
      <c r="M1207" s="16" t="s">
        <v>22</v>
      </c>
      <c r="N1207" s="39" t="s">
        <v>418</v>
      </c>
    </row>
    <row r="1208" spans="1:14" s="12" customFormat="1" ht="18">
      <c r="A1208" s="178" t="s">
        <v>120</v>
      </c>
      <c r="B1208" s="184" t="s">
        <v>507</v>
      </c>
      <c r="C1208" s="39" t="s">
        <v>417</v>
      </c>
      <c r="D1208" s="236"/>
      <c r="E1208" s="236"/>
      <c r="F1208" s="236"/>
      <c r="G1208" s="236"/>
      <c r="H1208" s="41">
        <f>SUM(Tabla132112418[[#This Row],[PRIMER TRIMESTRE]:[CUARTO TRIMESTRE]])</f>
        <v>0</v>
      </c>
      <c r="I1208" s="17">
        <v>2800</v>
      </c>
      <c r="J1208" s="17">
        <f t="shared" si="31"/>
        <v>0</v>
      </c>
      <c r="K1208" s="17"/>
      <c r="L1208" s="16" t="s">
        <v>18</v>
      </c>
      <c r="M1208" s="16" t="s">
        <v>22</v>
      </c>
      <c r="N1208" s="39" t="s">
        <v>418</v>
      </c>
    </row>
    <row r="1209" spans="1:14" s="12" customFormat="1" ht="18">
      <c r="A1209" s="178" t="s">
        <v>120</v>
      </c>
      <c r="B1209" s="184" t="s">
        <v>508</v>
      </c>
      <c r="C1209" s="39" t="s">
        <v>417</v>
      </c>
      <c r="D1209" s="236"/>
      <c r="E1209" s="236"/>
      <c r="F1209" s="236"/>
      <c r="G1209" s="236"/>
      <c r="H1209" s="41">
        <f>SUM(Tabla132112418[[#This Row],[PRIMER TRIMESTRE]:[CUARTO TRIMESTRE]])</f>
        <v>0</v>
      </c>
      <c r="I1209" s="17">
        <v>5100</v>
      </c>
      <c r="J1209" s="17">
        <f t="shared" si="31"/>
        <v>0</v>
      </c>
      <c r="K1209" s="17"/>
      <c r="L1209" s="16" t="s">
        <v>18</v>
      </c>
      <c r="M1209" s="16" t="s">
        <v>22</v>
      </c>
      <c r="N1209" s="39" t="s">
        <v>418</v>
      </c>
    </row>
    <row r="1210" spans="1:14" s="12" customFormat="1" ht="18">
      <c r="A1210" s="178" t="s">
        <v>120</v>
      </c>
      <c r="B1210" s="184" t="s">
        <v>509</v>
      </c>
      <c r="C1210" s="39" t="s">
        <v>417</v>
      </c>
      <c r="D1210" s="236"/>
      <c r="E1210" s="236"/>
      <c r="F1210" s="236"/>
      <c r="G1210" s="236"/>
      <c r="H1210" s="41">
        <f>SUM(Tabla132112418[[#This Row],[PRIMER TRIMESTRE]:[CUARTO TRIMESTRE]])</f>
        <v>0</v>
      </c>
      <c r="I1210" s="17">
        <v>5100</v>
      </c>
      <c r="J1210" s="17">
        <f t="shared" si="31"/>
        <v>0</v>
      </c>
      <c r="K1210" s="17"/>
      <c r="L1210" s="16" t="s">
        <v>18</v>
      </c>
      <c r="M1210" s="16" t="s">
        <v>22</v>
      </c>
      <c r="N1210" s="39" t="s">
        <v>418</v>
      </c>
    </row>
    <row r="1211" spans="1:14" s="12" customFormat="1" ht="18">
      <c r="A1211" s="178" t="s">
        <v>120</v>
      </c>
      <c r="B1211" s="184" t="s">
        <v>510</v>
      </c>
      <c r="C1211" s="39" t="s">
        <v>417</v>
      </c>
      <c r="D1211" s="236"/>
      <c r="E1211" s="236"/>
      <c r="F1211" s="236"/>
      <c r="G1211" s="236"/>
      <c r="H1211" s="41">
        <f>SUM(Tabla132112418[[#This Row],[PRIMER TRIMESTRE]:[CUARTO TRIMESTRE]])</f>
        <v>0</v>
      </c>
      <c r="I1211" s="17">
        <v>5100</v>
      </c>
      <c r="J1211" s="17">
        <f t="shared" si="31"/>
        <v>0</v>
      </c>
      <c r="K1211" s="17"/>
      <c r="L1211" s="16" t="s">
        <v>18</v>
      </c>
      <c r="M1211" s="16" t="s">
        <v>22</v>
      </c>
      <c r="N1211" s="39" t="s">
        <v>418</v>
      </c>
    </row>
    <row r="1212" spans="1:14" s="12" customFormat="1" ht="18">
      <c r="A1212" s="178" t="s">
        <v>120</v>
      </c>
      <c r="B1212" s="184" t="s">
        <v>511</v>
      </c>
      <c r="C1212" s="39" t="s">
        <v>417</v>
      </c>
      <c r="D1212" s="236"/>
      <c r="E1212" s="236"/>
      <c r="F1212" s="236"/>
      <c r="G1212" s="236"/>
      <c r="H1212" s="41">
        <f>SUM(Tabla132112418[[#This Row],[PRIMER TRIMESTRE]:[CUARTO TRIMESTRE]])</f>
        <v>0</v>
      </c>
      <c r="I1212" s="17">
        <v>5100</v>
      </c>
      <c r="J1212" s="17">
        <f t="shared" si="31"/>
        <v>0</v>
      </c>
      <c r="K1212" s="17"/>
      <c r="L1212" s="16" t="s">
        <v>18</v>
      </c>
      <c r="M1212" s="16" t="s">
        <v>22</v>
      </c>
      <c r="N1212" s="39" t="s">
        <v>418</v>
      </c>
    </row>
    <row r="1213" spans="1:14" s="12" customFormat="1" ht="18">
      <c r="A1213" s="178" t="s">
        <v>120</v>
      </c>
      <c r="B1213" s="184" t="s">
        <v>512</v>
      </c>
      <c r="C1213" s="39" t="s">
        <v>417</v>
      </c>
      <c r="D1213" s="236">
        <v>2</v>
      </c>
      <c r="E1213" s="236">
        <v>1</v>
      </c>
      <c r="F1213" s="236">
        <v>2</v>
      </c>
      <c r="G1213" s="236">
        <v>1</v>
      </c>
      <c r="H1213" s="41">
        <f>SUM(Tabla132112418[[#This Row],[PRIMER TRIMESTRE]:[CUARTO TRIMESTRE]])</f>
        <v>6</v>
      </c>
      <c r="I1213" s="17">
        <v>2000</v>
      </c>
      <c r="J1213" s="17">
        <f t="shared" si="31"/>
        <v>12000</v>
      </c>
      <c r="K1213" s="17"/>
      <c r="L1213" s="16" t="s">
        <v>18</v>
      </c>
      <c r="M1213" s="16" t="s">
        <v>22</v>
      </c>
      <c r="N1213" s="39" t="s">
        <v>418</v>
      </c>
    </row>
    <row r="1214" spans="1:14" s="12" customFormat="1" ht="18">
      <c r="A1214" s="178" t="s">
        <v>120</v>
      </c>
      <c r="B1214" s="184" t="s">
        <v>513</v>
      </c>
      <c r="C1214" s="39" t="s">
        <v>417</v>
      </c>
      <c r="D1214" s="236">
        <v>1</v>
      </c>
      <c r="E1214" s="236">
        <v>1</v>
      </c>
      <c r="F1214" s="236">
        <v>1</v>
      </c>
      <c r="G1214" s="236">
        <v>1</v>
      </c>
      <c r="H1214" s="41">
        <f>SUM(Tabla132112418[[#This Row],[PRIMER TRIMESTRE]:[CUARTO TRIMESTRE]])</f>
        <v>4</v>
      </c>
      <c r="I1214" s="17">
        <v>2500</v>
      </c>
      <c r="J1214" s="17">
        <f t="shared" si="31"/>
        <v>10000</v>
      </c>
      <c r="K1214" s="17"/>
      <c r="L1214" s="16" t="s">
        <v>18</v>
      </c>
      <c r="M1214" s="16" t="s">
        <v>22</v>
      </c>
      <c r="N1214" s="39" t="s">
        <v>418</v>
      </c>
    </row>
    <row r="1215" spans="1:14" s="12" customFormat="1" ht="18">
      <c r="A1215" s="178" t="s">
        <v>120</v>
      </c>
      <c r="B1215" s="184" t="s">
        <v>514</v>
      </c>
      <c r="C1215" s="39" t="s">
        <v>417</v>
      </c>
      <c r="D1215" s="236">
        <v>1</v>
      </c>
      <c r="E1215" s="236">
        <v>1</v>
      </c>
      <c r="F1215" s="236">
        <v>1</v>
      </c>
      <c r="G1215" s="236">
        <v>1</v>
      </c>
      <c r="H1215" s="41">
        <f>SUM(Tabla132112418[[#This Row],[PRIMER TRIMESTRE]:[CUARTO TRIMESTRE]])</f>
        <v>4</v>
      </c>
      <c r="I1215" s="17">
        <v>2500</v>
      </c>
      <c r="J1215" s="17">
        <f t="shared" si="31"/>
        <v>10000</v>
      </c>
      <c r="K1215" s="17"/>
      <c r="L1215" s="16" t="s">
        <v>18</v>
      </c>
      <c r="M1215" s="16" t="s">
        <v>22</v>
      </c>
      <c r="N1215" s="39" t="s">
        <v>418</v>
      </c>
    </row>
    <row r="1216" spans="1:14" s="12" customFormat="1" ht="18">
      <c r="A1216" s="178" t="s">
        <v>120</v>
      </c>
      <c r="B1216" s="184" t="s">
        <v>515</v>
      </c>
      <c r="C1216" s="39" t="s">
        <v>417</v>
      </c>
      <c r="D1216" s="236">
        <v>1</v>
      </c>
      <c r="E1216" s="236">
        <v>1</v>
      </c>
      <c r="F1216" s="236">
        <v>1</v>
      </c>
      <c r="G1216" s="236">
        <v>1</v>
      </c>
      <c r="H1216" s="41">
        <f>SUM(Tabla132112418[[#This Row],[PRIMER TRIMESTRE]:[CUARTO TRIMESTRE]])</f>
        <v>4</v>
      </c>
      <c r="I1216" s="17">
        <v>2500</v>
      </c>
      <c r="J1216" s="17">
        <f t="shared" si="31"/>
        <v>10000</v>
      </c>
      <c r="K1216" s="17"/>
      <c r="L1216" s="16" t="s">
        <v>18</v>
      </c>
      <c r="M1216" s="16" t="s">
        <v>22</v>
      </c>
      <c r="N1216" s="39" t="s">
        <v>418</v>
      </c>
    </row>
    <row r="1217" spans="1:14" s="12" customFormat="1" ht="18">
      <c r="A1217" s="178" t="s">
        <v>120</v>
      </c>
      <c r="B1217" s="184" t="s">
        <v>516</v>
      </c>
      <c r="C1217" s="39" t="s">
        <v>417</v>
      </c>
      <c r="D1217" s="236">
        <v>1</v>
      </c>
      <c r="E1217" s="236">
        <v>1</v>
      </c>
      <c r="F1217" s="236">
        <v>1</v>
      </c>
      <c r="G1217" s="236">
        <v>1</v>
      </c>
      <c r="H1217" s="41">
        <f>SUM(Tabla132112418[[#This Row],[PRIMER TRIMESTRE]:[CUARTO TRIMESTRE]])</f>
        <v>4</v>
      </c>
      <c r="I1217" s="17">
        <v>2500</v>
      </c>
      <c r="J1217" s="17">
        <f t="shared" si="31"/>
        <v>10000</v>
      </c>
      <c r="K1217" s="17"/>
      <c r="L1217" s="16" t="s">
        <v>18</v>
      </c>
      <c r="M1217" s="16" t="s">
        <v>22</v>
      </c>
      <c r="N1217" s="39" t="s">
        <v>418</v>
      </c>
    </row>
    <row r="1218" spans="1:14" s="12" customFormat="1" ht="18">
      <c r="A1218" s="178" t="s">
        <v>120</v>
      </c>
      <c r="B1218" s="184" t="s">
        <v>517</v>
      </c>
      <c r="C1218" s="39" t="s">
        <v>417</v>
      </c>
      <c r="D1218" s="236"/>
      <c r="E1218" s="236"/>
      <c r="F1218" s="236"/>
      <c r="G1218" s="236"/>
      <c r="H1218" s="41">
        <f>SUM(Tabla132112418[[#This Row],[PRIMER TRIMESTRE]:[CUARTO TRIMESTRE]])</f>
        <v>0</v>
      </c>
      <c r="I1218" s="17">
        <v>4100</v>
      </c>
      <c r="J1218" s="17">
        <f t="shared" si="31"/>
        <v>0</v>
      </c>
      <c r="K1218" s="17"/>
      <c r="L1218" s="16" t="s">
        <v>18</v>
      </c>
      <c r="M1218" s="16" t="s">
        <v>22</v>
      </c>
      <c r="N1218" s="39" t="s">
        <v>418</v>
      </c>
    </row>
    <row r="1219" spans="1:14" s="12" customFormat="1" ht="18">
      <c r="A1219" s="178" t="s">
        <v>120</v>
      </c>
      <c r="B1219" s="184" t="s">
        <v>518</v>
      </c>
      <c r="C1219" s="39" t="s">
        <v>417</v>
      </c>
      <c r="D1219" s="236"/>
      <c r="E1219" s="236"/>
      <c r="F1219" s="236"/>
      <c r="G1219" s="236"/>
      <c r="H1219" s="41">
        <f>SUM(Tabla132112418[[#This Row],[PRIMER TRIMESTRE]:[CUARTO TRIMESTRE]])</f>
        <v>0</v>
      </c>
      <c r="I1219" s="17">
        <v>3800</v>
      </c>
      <c r="J1219" s="17">
        <f t="shared" si="31"/>
        <v>0</v>
      </c>
      <c r="K1219" s="17"/>
      <c r="L1219" s="16" t="s">
        <v>18</v>
      </c>
      <c r="M1219" s="16" t="s">
        <v>22</v>
      </c>
      <c r="N1219" s="39" t="s">
        <v>418</v>
      </c>
    </row>
    <row r="1220" spans="1:14" s="12" customFormat="1" ht="18">
      <c r="A1220" s="178" t="s">
        <v>120</v>
      </c>
      <c r="B1220" s="184" t="s">
        <v>519</v>
      </c>
      <c r="C1220" s="39" t="s">
        <v>417</v>
      </c>
      <c r="D1220" s="236"/>
      <c r="E1220" s="236"/>
      <c r="F1220" s="236"/>
      <c r="G1220" s="236"/>
      <c r="H1220" s="41">
        <f>SUM(Tabla132112418[[#This Row],[PRIMER TRIMESTRE]:[CUARTO TRIMESTRE]])</f>
        <v>0</v>
      </c>
      <c r="I1220" s="17">
        <v>5400</v>
      </c>
      <c r="J1220" s="17">
        <f t="shared" si="31"/>
        <v>0</v>
      </c>
      <c r="K1220" s="17"/>
      <c r="L1220" s="16" t="s">
        <v>18</v>
      </c>
      <c r="M1220" s="16" t="s">
        <v>22</v>
      </c>
      <c r="N1220" s="39" t="s">
        <v>418</v>
      </c>
    </row>
    <row r="1221" spans="1:14" s="12" customFormat="1" ht="18">
      <c r="A1221" s="178" t="s">
        <v>120</v>
      </c>
      <c r="B1221" s="184" t="s">
        <v>520</v>
      </c>
      <c r="C1221" s="39" t="s">
        <v>417</v>
      </c>
      <c r="D1221" s="236"/>
      <c r="E1221" s="236"/>
      <c r="F1221" s="236"/>
      <c r="G1221" s="236"/>
      <c r="H1221" s="41">
        <f>SUM(Tabla132112418[[#This Row],[PRIMER TRIMESTRE]:[CUARTO TRIMESTRE]])</f>
        <v>0</v>
      </c>
      <c r="I1221" s="17">
        <v>5400</v>
      </c>
      <c r="J1221" s="17">
        <f t="shared" si="31"/>
        <v>0</v>
      </c>
      <c r="K1221" s="17"/>
      <c r="L1221" s="16" t="s">
        <v>18</v>
      </c>
      <c r="M1221" s="16" t="s">
        <v>22</v>
      </c>
      <c r="N1221" s="39" t="s">
        <v>418</v>
      </c>
    </row>
    <row r="1222" spans="1:14" s="12" customFormat="1" ht="18">
      <c r="A1222" s="178" t="s">
        <v>120</v>
      </c>
      <c r="B1222" s="184" t="s">
        <v>521</v>
      </c>
      <c r="C1222" s="39" t="s">
        <v>417</v>
      </c>
      <c r="D1222" s="236"/>
      <c r="E1222" s="236"/>
      <c r="F1222" s="236"/>
      <c r="G1222" s="236"/>
      <c r="H1222" s="41">
        <f>SUM(Tabla132112418[[#This Row],[PRIMER TRIMESTRE]:[CUARTO TRIMESTRE]])</f>
        <v>0</v>
      </c>
      <c r="I1222" s="17">
        <v>5400</v>
      </c>
      <c r="J1222" s="17">
        <f t="shared" si="31"/>
        <v>0</v>
      </c>
      <c r="K1222" s="17"/>
      <c r="L1222" s="16" t="s">
        <v>18</v>
      </c>
      <c r="M1222" s="16" t="s">
        <v>22</v>
      </c>
      <c r="N1222" s="39" t="s">
        <v>418</v>
      </c>
    </row>
    <row r="1223" spans="1:14" s="12" customFormat="1" ht="18">
      <c r="A1223" s="178" t="s">
        <v>120</v>
      </c>
      <c r="B1223" s="184" t="s">
        <v>522</v>
      </c>
      <c r="C1223" s="39" t="s">
        <v>417</v>
      </c>
      <c r="D1223" s="236"/>
      <c r="E1223" s="236"/>
      <c r="F1223" s="236"/>
      <c r="G1223" s="236"/>
      <c r="H1223" s="41">
        <f>SUM(Tabla132112418[[#This Row],[PRIMER TRIMESTRE]:[CUARTO TRIMESTRE]])</f>
        <v>0</v>
      </c>
      <c r="I1223" s="17">
        <v>3100</v>
      </c>
      <c r="J1223" s="17">
        <f t="shared" si="31"/>
        <v>0</v>
      </c>
      <c r="K1223" s="17"/>
      <c r="L1223" s="16" t="s">
        <v>18</v>
      </c>
      <c r="M1223" s="16" t="s">
        <v>22</v>
      </c>
      <c r="N1223" s="39" t="s">
        <v>418</v>
      </c>
    </row>
    <row r="1224" spans="1:14" s="12" customFormat="1" ht="18">
      <c r="A1224" s="178" t="s">
        <v>120</v>
      </c>
      <c r="B1224" s="184" t="s">
        <v>523</v>
      </c>
      <c r="C1224" s="39" t="s">
        <v>417</v>
      </c>
      <c r="D1224" s="236"/>
      <c r="E1224" s="236"/>
      <c r="F1224" s="236"/>
      <c r="G1224" s="236"/>
      <c r="H1224" s="41">
        <f>SUM(Tabla132112418[[#This Row],[PRIMER TRIMESTRE]:[CUARTO TRIMESTRE]])</f>
        <v>0</v>
      </c>
      <c r="I1224" s="17">
        <v>5100</v>
      </c>
      <c r="J1224" s="17">
        <f t="shared" si="31"/>
        <v>0</v>
      </c>
      <c r="K1224" s="17"/>
      <c r="L1224" s="16" t="s">
        <v>18</v>
      </c>
      <c r="M1224" s="16" t="s">
        <v>22</v>
      </c>
      <c r="N1224" s="39" t="s">
        <v>418</v>
      </c>
    </row>
    <row r="1225" spans="1:14" s="12" customFormat="1" ht="18">
      <c r="A1225" s="178" t="s">
        <v>120</v>
      </c>
      <c r="B1225" s="184" t="s">
        <v>524</v>
      </c>
      <c r="C1225" s="39" t="s">
        <v>417</v>
      </c>
      <c r="D1225" s="236"/>
      <c r="E1225" s="236"/>
      <c r="F1225" s="236"/>
      <c r="G1225" s="236"/>
      <c r="H1225" s="41">
        <f>SUM(Tabla132112418[[#This Row],[PRIMER TRIMESTRE]:[CUARTO TRIMESTRE]])</f>
        <v>0</v>
      </c>
      <c r="I1225" s="17">
        <v>3000</v>
      </c>
      <c r="J1225" s="17">
        <f t="shared" si="31"/>
        <v>0</v>
      </c>
      <c r="K1225" s="17"/>
      <c r="L1225" s="16" t="s">
        <v>18</v>
      </c>
      <c r="M1225" s="16" t="s">
        <v>22</v>
      </c>
      <c r="N1225" s="39" t="s">
        <v>418</v>
      </c>
    </row>
    <row r="1226" spans="1:14" s="12" customFormat="1" ht="18">
      <c r="A1226" s="178" t="s">
        <v>120</v>
      </c>
      <c r="B1226" s="184" t="s">
        <v>525</v>
      </c>
      <c r="C1226" s="39" t="s">
        <v>417</v>
      </c>
      <c r="D1226" s="236"/>
      <c r="E1226" s="236"/>
      <c r="F1226" s="236"/>
      <c r="G1226" s="236"/>
      <c r="H1226" s="41">
        <f>SUM(Tabla132112418[[#This Row],[PRIMER TRIMESTRE]:[CUARTO TRIMESTRE]])</f>
        <v>0</v>
      </c>
      <c r="I1226" s="17">
        <v>3800</v>
      </c>
      <c r="J1226" s="17">
        <f t="shared" si="31"/>
        <v>0</v>
      </c>
      <c r="K1226" s="17"/>
      <c r="L1226" s="16" t="s">
        <v>18</v>
      </c>
      <c r="M1226" s="16" t="s">
        <v>22</v>
      </c>
      <c r="N1226" s="39" t="s">
        <v>418</v>
      </c>
    </row>
    <row r="1227" spans="1:14" s="12" customFormat="1" ht="18">
      <c r="A1227" s="178" t="s">
        <v>120</v>
      </c>
      <c r="B1227" s="184" t="s">
        <v>526</v>
      </c>
      <c r="C1227" s="39" t="s">
        <v>417</v>
      </c>
      <c r="D1227" s="236"/>
      <c r="E1227" s="236"/>
      <c r="F1227" s="236"/>
      <c r="G1227" s="236"/>
      <c r="H1227" s="41">
        <f>SUM(Tabla132112418[[#This Row],[PRIMER TRIMESTRE]:[CUARTO TRIMESTRE]])</f>
        <v>0</v>
      </c>
      <c r="I1227" s="17">
        <v>3800</v>
      </c>
      <c r="J1227" s="17">
        <f t="shared" si="31"/>
        <v>0</v>
      </c>
      <c r="K1227" s="17"/>
      <c r="L1227" s="16" t="s">
        <v>18</v>
      </c>
      <c r="M1227" s="16" t="s">
        <v>22</v>
      </c>
      <c r="N1227" s="39" t="s">
        <v>418</v>
      </c>
    </row>
    <row r="1228" spans="1:14" s="12" customFormat="1" ht="18">
      <c r="A1228" s="178" t="s">
        <v>120</v>
      </c>
      <c r="B1228" s="184" t="s">
        <v>527</v>
      </c>
      <c r="C1228" s="39" t="s">
        <v>417</v>
      </c>
      <c r="D1228" s="236"/>
      <c r="E1228" s="236"/>
      <c r="F1228" s="236"/>
      <c r="G1228" s="236"/>
      <c r="H1228" s="41">
        <f>SUM(Tabla132112418[[#This Row],[PRIMER TRIMESTRE]:[CUARTO TRIMESTRE]])</f>
        <v>0</v>
      </c>
      <c r="I1228" s="17">
        <v>3800</v>
      </c>
      <c r="J1228" s="17">
        <f t="shared" si="31"/>
        <v>0</v>
      </c>
      <c r="K1228" s="17"/>
      <c r="L1228" s="16" t="s">
        <v>18</v>
      </c>
      <c r="M1228" s="16" t="s">
        <v>22</v>
      </c>
      <c r="N1228" s="39" t="s">
        <v>418</v>
      </c>
    </row>
    <row r="1229" spans="1:14" s="12" customFormat="1" ht="18">
      <c r="A1229" s="178" t="s">
        <v>120</v>
      </c>
      <c r="B1229" s="184" t="s">
        <v>528</v>
      </c>
      <c r="C1229" s="39" t="s">
        <v>417</v>
      </c>
      <c r="D1229" s="236"/>
      <c r="E1229" s="236"/>
      <c r="F1229" s="236"/>
      <c r="G1229" s="236"/>
      <c r="H1229" s="41">
        <f>SUM(Tabla132112418[[#This Row],[PRIMER TRIMESTRE]:[CUARTO TRIMESTRE]])</f>
        <v>0</v>
      </c>
      <c r="I1229" s="17">
        <v>6400</v>
      </c>
      <c r="J1229" s="17">
        <f t="shared" si="31"/>
        <v>0</v>
      </c>
      <c r="K1229" s="17"/>
      <c r="L1229" s="16" t="s">
        <v>18</v>
      </c>
      <c r="M1229" s="16" t="s">
        <v>22</v>
      </c>
      <c r="N1229" s="39" t="s">
        <v>418</v>
      </c>
    </row>
    <row r="1230" spans="1:14" s="12" customFormat="1" ht="18">
      <c r="A1230" s="178" t="s">
        <v>120</v>
      </c>
      <c r="B1230" s="185" t="s">
        <v>529</v>
      </c>
      <c r="C1230" s="39" t="s">
        <v>417</v>
      </c>
      <c r="D1230" s="236"/>
      <c r="E1230" s="210"/>
      <c r="F1230" s="210"/>
      <c r="G1230" s="210"/>
      <c r="H1230" s="71">
        <f>SUM(Tabla132112418[[#This Row],[PRIMER TRIMESTRE]:[CUARTO TRIMESTRE]])</f>
        <v>0</v>
      </c>
      <c r="I1230" s="17">
        <f>9750*1.18</f>
        <v>11505</v>
      </c>
      <c r="J1230" s="17">
        <f t="shared" si="31"/>
        <v>0</v>
      </c>
      <c r="K1230" s="17"/>
      <c r="L1230" s="16" t="s">
        <v>18</v>
      </c>
      <c r="M1230" s="16" t="s">
        <v>22</v>
      </c>
      <c r="N1230" s="39" t="s">
        <v>418</v>
      </c>
    </row>
    <row r="1231" spans="1:14" s="12" customFormat="1" ht="18">
      <c r="A1231" s="178" t="s">
        <v>120</v>
      </c>
      <c r="B1231" s="185" t="s">
        <v>530</v>
      </c>
      <c r="C1231" s="39" t="s">
        <v>417</v>
      </c>
      <c r="D1231" s="236"/>
      <c r="E1231" s="210"/>
      <c r="F1231" s="210"/>
      <c r="G1231" s="210"/>
      <c r="H1231" s="41">
        <f>SUM(Tabla132112418[[#This Row],[PRIMER TRIMESTRE]:[CUARTO TRIMESTRE]])</f>
        <v>0</v>
      </c>
      <c r="I1231" s="17">
        <v>11505</v>
      </c>
      <c r="J1231" s="17">
        <f t="shared" si="31"/>
        <v>0</v>
      </c>
      <c r="K1231" s="17"/>
      <c r="L1231" s="16" t="s">
        <v>18</v>
      </c>
      <c r="M1231" s="16" t="s">
        <v>22</v>
      </c>
      <c r="N1231" s="39" t="s">
        <v>418</v>
      </c>
    </row>
    <row r="1232" spans="1:14" s="12" customFormat="1" ht="18">
      <c r="A1232" s="178" t="s">
        <v>120</v>
      </c>
      <c r="B1232" s="185" t="s">
        <v>531</v>
      </c>
      <c r="C1232" s="39" t="s">
        <v>417</v>
      </c>
      <c r="D1232" s="236"/>
      <c r="E1232" s="210"/>
      <c r="F1232" s="210"/>
      <c r="G1232" s="210"/>
      <c r="H1232" s="41">
        <f>SUM(Tabla132112418[[#This Row],[PRIMER TRIMESTRE]:[CUARTO TRIMESTRE]])</f>
        <v>0</v>
      </c>
      <c r="I1232" s="17">
        <v>11505</v>
      </c>
      <c r="J1232" s="17">
        <f t="shared" ref="J1232:J1245" si="32">+H1232*I1232</f>
        <v>0</v>
      </c>
      <c r="K1232" s="17"/>
      <c r="L1232" s="16" t="s">
        <v>18</v>
      </c>
      <c r="M1232" s="16" t="s">
        <v>22</v>
      </c>
      <c r="N1232" s="39" t="s">
        <v>418</v>
      </c>
    </row>
    <row r="1233" spans="1:14" s="12" customFormat="1" ht="18">
      <c r="A1233" s="178" t="s">
        <v>120</v>
      </c>
      <c r="B1233" s="185" t="s">
        <v>532</v>
      </c>
      <c r="C1233" s="39" t="s">
        <v>417</v>
      </c>
      <c r="D1233" s="236"/>
      <c r="E1233" s="210"/>
      <c r="F1233" s="210"/>
      <c r="G1233" s="210"/>
      <c r="H1233" s="41">
        <f>SUM(Tabla132112418[[#This Row],[PRIMER TRIMESTRE]:[CUARTO TRIMESTRE]])</f>
        <v>0</v>
      </c>
      <c r="I1233" s="17">
        <v>11505</v>
      </c>
      <c r="J1233" s="17">
        <f t="shared" si="32"/>
        <v>0</v>
      </c>
      <c r="K1233" s="17"/>
      <c r="L1233" s="16" t="s">
        <v>18</v>
      </c>
      <c r="M1233" s="16" t="s">
        <v>22</v>
      </c>
      <c r="N1233" s="39" t="s">
        <v>418</v>
      </c>
    </row>
    <row r="1234" spans="1:14" s="12" customFormat="1" ht="18">
      <c r="A1234" s="178" t="s">
        <v>120</v>
      </c>
      <c r="B1234" s="80" t="s">
        <v>790</v>
      </c>
      <c r="C1234" s="39" t="s">
        <v>417</v>
      </c>
      <c r="D1234" s="236"/>
      <c r="E1234" s="210"/>
      <c r="F1234" s="210"/>
      <c r="G1234" s="210"/>
      <c r="H1234" s="41">
        <f>SUM(Tabla132112418[[#This Row],[PRIMER TRIMESTRE]:[CUARTO TRIMESTRE]])</f>
        <v>0</v>
      </c>
      <c r="I1234" s="72">
        <v>3760.11</v>
      </c>
      <c r="J1234" s="17">
        <f t="shared" si="32"/>
        <v>0</v>
      </c>
      <c r="K1234" s="17"/>
      <c r="L1234" s="16" t="s">
        <v>18</v>
      </c>
      <c r="M1234" s="16" t="s">
        <v>22</v>
      </c>
      <c r="N1234" s="39" t="s">
        <v>418</v>
      </c>
    </row>
    <row r="1235" spans="1:14" s="12" customFormat="1" ht="30.75" customHeight="1">
      <c r="A1235" s="178" t="s">
        <v>120</v>
      </c>
      <c r="B1235" s="80" t="s">
        <v>791</v>
      </c>
      <c r="C1235" s="39" t="s">
        <v>417</v>
      </c>
      <c r="D1235" s="236"/>
      <c r="E1235" s="210"/>
      <c r="F1235" s="210"/>
      <c r="G1235" s="210"/>
      <c r="H1235" s="41">
        <f>SUM(Tabla132112418[[#This Row],[PRIMER TRIMESTRE]:[CUARTO TRIMESTRE]])</f>
        <v>0</v>
      </c>
      <c r="I1235" s="72">
        <v>3914.09</v>
      </c>
      <c r="J1235" s="17">
        <f t="shared" si="32"/>
        <v>0</v>
      </c>
      <c r="K1235" s="17"/>
      <c r="L1235" s="16" t="s">
        <v>18</v>
      </c>
      <c r="M1235" s="16" t="s">
        <v>22</v>
      </c>
      <c r="N1235" s="39" t="s">
        <v>418</v>
      </c>
    </row>
    <row r="1236" spans="1:14" s="12" customFormat="1" ht="30.75" customHeight="1">
      <c r="A1236" s="178" t="s">
        <v>120</v>
      </c>
      <c r="B1236" s="80" t="s">
        <v>792</v>
      </c>
      <c r="C1236" s="39" t="s">
        <v>417</v>
      </c>
      <c r="D1236" s="236"/>
      <c r="E1236" s="210"/>
      <c r="F1236" s="210"/>
      <c r="G1236" s="210"/>
      <c r="H1236" s="41">
        <f>SUM(Tabla132112418[[#This Row],[PRIMER TRIMESTRE]:[CUARTO TRIMESTRE]])</f>
        <v>0</v>
      </c>
      <c r="I1236" s="72">
        <v>4257.1899999999996</v>
      </c>
      <c r="J1236" s="17">
        <f t="shared" si="32"/>
        <v>0</v>
      </c>
      <c r="K1236" s="17"/>
      <c r="L1236" s="16" t="s">
        <v>18</v>
      </c>
      <c r="M1236" s="16" t="s">
        <v>22</v>
      </c>
      <c r="N1236" s="39" t="s">
        <v>418</v>
      </c>
    </row>
    <row r="1237" spans="1:14" s="12" customFormat="1" ht="30.75" customHeight="1">
      <c r="A1237" s="178" t="s">
        <v>120</v>
      </c>
      <c r="B1237" s="80" t="s">
        <v>793</v>
      </c>
      <c r="C1237" s="39" t="s">
        <v>417</v>
      </c>
      <c r="D1237" s="236"/>
      <c r="E1237" s="210"/>
      <c r="F1237" s="210"/>
      <c r="G1237" s="210"/>
      <c r="H1237" s="41">
        <f>SUM(Tabla132112418[[#This Row],[PRIMER TRIMESTRE]:[CUARTO TRIMESTRE]])</f>
        <v>0</v>
      </c>
      <c r="I1237" s="72">
        <v>4257.1899999999996</v>
      </c>
      <c r="J1237" s="17">
        <f t="shared" si="32"/>
        <v>0</v>
      </c>
      <c r="K1237" s="17"/>
      <c r="L1237" s="16" t="s">
        <v>18</v>
      </c>
      <c r="M1237" s="16" t="s">
        <v>22</v>
      </c>
      <c r="N1237" s="39" t="s">
        <v>418</v>
      </c>
    </row>
    <row r="1238" spans="1:14" s="12" customFormat="1" ht="30.75" customHeight="1">
      <c r="A1238" s="178" t="s">
        <v>120</v>
      </c>
      <c r="B1238" s="80" t="s">
        <v>794</v>
      </c>
      <c r="C1238" s="39" t="s">
        <v>417</v>
      </c>
      <c r="D1238" s="236"/>
      <c r="E1238" s="210"/>
      <c r="F1238" s="210"/>
      <c r="G1238" s="210"/>
      <c r="H1238" s="41">
        <f>SUM(Tabla132112418[[#This Row],[PRIMER TRIMESTRE]:[CUARTO TRIMESTRE]])</f>
        <v>0</v>
      </c>
      <c r="I1238" s="72">
        <v>4257.8999999999996</v>
      </c>
      <c r="J1238" s="17">
        <f t="shared" si="32"/>
        <v>0</v>
      </c>
      <c r="K1238" s="17"/>
      <c r="L1238" s="16" t="s">
        <v>18</v>
      </c>
      <c r="M1238" s="16" t="s">
        <v>22</v>
      </c>
      <c r="N1238" s="39" t="s">
        <v>418</v>
      </c>
    </row>
    <row r="1239" spans="1:14" s="12" customFormat="1" ht="30.75" customHeight="1">
      <c r="A1239" s="178" t="s">
        <v>120</v>
      </c>
      <c r="B1239" s="80" t="s">
        <v>795</v>
      </c>
      <c r="C1239" s="39" t="s">
        <v>417</v>
      </c>
      <c r="D1239" s="236"/>
      <c r="E1239" s="210"/>
      <c r="F1239" s="210"/>
      <c r="G1239" s="210"/>
      <c r="H1239" s="41">
        <f>SUM(Tabla132112418[[#This Row],[PRIMER TRIMESTRE]:[CUARTO TRIMESTRE]])</f>
        <v>0</v>
      </c>
      <c r="I1239" s="72">
        <v>4238.76</v>
      </c>
      <c r="J1239" s="17">
        <f t="shared" si="32"/>
        <v>0</v>
      </c>
      <c r="K1239" s="17"/>
      <c r="L1239" s="16" t="s">
        <v>18</v>
      </c>
      <c r="M1239" s="16" t="s">
        <v>22</v>
      </c>
      <c r="N1239" s="39" t="s">
        <v>418</v>
      </c>
    </row>
    <row r="1240" spans="1:14" s="12" customFormat="1" ht="30.75" customHeight="1">
      <c r="A1240" s="178" t="s">
        <v>120</v>
      </c>
      <c r="B1240" s="80" t="s">
        <v>796</v>
      </c>
      <c r="C1240" s="39" t="s">
        <v>417</v>
      </c>
      <c r="D1240" s="236"/>
      <c r="E1240" s="210"/>
      <c r="F1240" s="210"/>
      <c r="G1240" s="210"/>
      <c r="H1240" s="41">
        <f>SUM(Tabla132112418[[#This Row],[PRIMER TRIMESTRE]:[CUARTO TRIMESTRE]])</f>
        <v>0</v>
      </c>
      <c r="I1240" s="72">
        <v>3199.82</v>
      </c>
      <c r="J1240" s="17">
        <f t="shared" si="32"/>
        <v>0</v>
      </c>
      <c r="K1240" s="17"/>
      <c r="L1240" s="16" t="s">
        <v>18</v>
      </c>
      <c r="M1240" s="16" t="s">
        <v>22</v>
      </c>
      <c r="N1240" s="39" t="s">
        <v>418</v>
      </c>
    </row>
    <row r="1241" spans="1:14" s="12" customFormat="1" ht="30.75" customHeight="1">
      <c r="A1241" s="178" t="s">
        <v>120</v>
      </c>
      <c r="B1241" s="80" t="s">
        <v>797</v>
      </c>
      <c r="C1241" s="39" t="s">
        <v>417</v>
      </c>
      <c r="D1241" s="236"/>
      <c r="E1241" s="210"/>
      <c r="F1241" s="210"/>
      <c r="G1241" s="210"/>
      <c r="H1241" s="41">
        <f>SUM(Tabla132112418[[#This Row],[PRIMER TRIMESTRE]:[CUARTO TRIMESTRE]])</f>
        <v>0</v>
      </c>
      <c r="I1241" s="72">
        <v>3679.8</v>
      </c>
      <c r="J1241" s="17">
        <f t="shared" si="32"/>
        <v>0</v>
      </c>
      <c r="K1241" s="17"/>
      <c r="L1241" s="16" t="s">
        <v>18</v>
      </c>
      <c r="M1241" s="16" t="s">
        <v>22</v>
      </c>
      <c r="N1241" s="39" t="s">
        <v>418</v>
      </c>
    </row>
    <row r="1242" spans="1:14" s="12" customFormat="1" ht="30.75" customHeight="1">
      <c r="A1242" s="178" t="s">
        <v>120</v>
      </c>
      <c r="B1242" s="80" t="s">
        <v>798</v>
      </c>
      <c r="C1242" s="39" t="s">
        <v>417</v>
      </c>
      <c r="D1242" s="236"/>
      <c r="E1242" s="210"/>
      <c r="F1242" s="210"/>
      <c r="G1242" s="210"/>
      <c r="H1242" s="41">
        <f>SUM(Tabla132112418[[#This Row],[PRIMER TRIMESTRE]:[CUARTO TRIMESTRE]])</f>
        <v>0</v>
      </c>
      <c r="I1242" s="72">
        <v>3304</v>
      </c>
      <c r="J1242" s="17">
        <f t="shared" si="32"/>
        <v>0</v>
      </c>
      <c r="K1242" s="17"/>
      <c r="L1242" s="16" t="s">
        <v>18</v>
      </c>
      <c r="M1242" s="16" t="s">
        <v>22</v>
      </c>
      <c r="N1242" s="39" t="s">
        <v>418</v>
      </c>
    </row>
    <row r="1243" spans="1:14" s="12" customFormat="1" ht="30.75" customHeight="1">
      <c r="A1243" s="178" t="s">
        <v>120</v>
      </c>
      <c r="B1243" s="80" t="s">
        <v>1409</v>
      </c>
      <c r="C1243" s="39" t="s">
        <v>417</v>
      </c>
      <c r="D1243" s="236"/>
      <c r="E1243" s="210"/>
      <c r="F1243" s="210"/>
      <c r="G1243" s="210"/>
      <c r="H1243" s="41">
        <f>SUM(Tabla132112418[[#This Row],[PRIMER TRIMESTRE]:[CUARTO TRIMESTRE]])</f>
        <v>0</v>
      </c>
      <c r="I1243" s="72">
        <v>5700</v>
      </c>
      <c r="J1243" s="17">
        <f t="shared" si="32"/>
        <v>0</v>
      </c>
      <c r="K1243" s="17"/>
      <c r="L1243" s="16" t="s">
        <v>18</v>
      </c>
      <c r="M1243" s="16" t="s">
        <v>22</v>
      </c>
      <c r="N1243" s="39" t="s">
        <v>418</v>
      </c>
    </row>
    <row r="1244" spans="1:14" s="26" customFormat="1" ht="30.75" customHeight="1">
      <c r="A1244" s="178" t="s">
        <v>120</v>
      </c>
      <c r="B1244" s="80" t="s">
        <v>1410</v>
      </c>
      <c r="C1244" s="39" t="s">
        <v>417</v>
      </c>
      <c r="D1244" s="236"/>
      <c r="E1244" s="210"/>
      <c r="F1244" s="210"/>
      <c r="G1244" s="210"/>
      <c r="H1244" s="41">
        <f>SUM(Tabla132112418[[#This Row],[PRIMER TRIMESTRE]:[CUARTO TRIMESTRE]])</f>
        <v>0</v>
      </c>
      <c r="I1244" s="72">
        <v>8500</v>
      </c>
      <c r="J1244" s="17">
        <f t="shared" si="32"/>
        <v>0</v>
      </c>
      <c r="K1244" s="17"/>
      <c r="L1244" s="16" t="s">
        <v>18</v>
      </c>
      <c r="M1244" s="16" t="s">
        <v>22</v>
      </c>
      <c r="N1244" s="39" t="s">
        <v>418</v>
      </c>
    </row>
    <row r="1245" spans="1:14" s="12" customFormat="1" ht="30.75" customHeight="1">
      <c r="A1245" s="178" t="s">
        <v>120</v>
      </c>
      <c r="B1245" s="80" t="s">
        <v>1421</v>
      </c>
      <c r="C1245" s="39" t="s">
        <v>417</v>
      </c>
      <c r="D1245" s="236"/>
      <c r="E1245" s="210"/>
      <c r="F1245" s="210"/>
      <c r="G1245" s="210"/>
      <c r="H1245" s="41">
        <f>SUM(Tabla132112418[[#This Row],[PRIMER TRIMESTRE]:[CUARTO TRIMESTRE]])</f>
        <v>0</v>
      </c>
      <c r="I1245" s="72">
        <v>3500</v>
      </c>
      <c r="J1245" s="17">
        <f t="shared" si="32"/>
        <v>0</v>
      </c>
      <c r="K1245" s="17"/>
      <c r="L1245" s="16" t="s">
        <v>18</v>
      </c>
      <c r="M1245" s="16" t="s">
        <v>22</v>
      </c>
      <c r="N1245" s="39" t="s">
        <v>418</v>
      </c>
    </row>
    <row r="1246" spans="1:14" s="12" customFormat="1" ht="30.75" customHeight="1">
      <c r="A1246" s="179" t="s">
        <v>120</v>
      </c>
      <c r="B1246" s="76"/>
      <c r="C1246" s="42"/>
      <c r="D1246" s="237"/>
      <c r="E1246" s="237"/>
      <c r="F1246" s="237"/>
      <c r="G1246" s="237"/>
      <c r="H1246" s="237"/>
      <c r="I1246" s="24"/>
      <c r="J1246" s="24"/>
      <c r="K1246" s="25">
        <f>SUM(J1107:J1245)</f>
        <v>190873.44</v>
      </c>
      <c r="L1246" s="23"/>
      <c r="M1246" s="23"/>
      <c r="N1246" s="42"/>
    </row>
    <row r="1247" spans="1:14" s="12" customFormat="1" ht="30.75" customHeight="1">
      <c r="A1247" s="178" t="s">
        <v>121</v>
      </c>
      <c r="B1247" s="75" t="s">
        <v>273</v>
      </c>
      <c r="C1247" s="39" t="s">
        <v>17</v>
      </c>
      <c r="D1247" s="236"/>
      <c r="E1247" s="210"/>
      <c r="F1247" s="210"/>
      <c r="G1247" s="210"/>
      <c r="H1247" s="40">
        <f>SUM(Tabla132112418[[#This Row],[PRIMER TRIMESTRE]:[CUARTO TRIMESTRE]])</f>
        <v>0</v>
      </c>
      <c r="I1247" s="17">
        <v>5684</v>
      </c>
      <c r="J1247" s="17">
        <f>+Tabla132112418[[#This Row],[CANTIDAD TOTAL]]*Tabla132112418[[#This Row],[PRECIO UNITARIO ESTIMADO]]</f>
        <v>0</v>
      </c>
      <c r="K1247" s="17"/>
      <c r="L1247" s="16" t="s">
        <v>18</v>
      </c>
      <c r="M1247" s="16" t="s">
        <v>22</v>
      </c>
      <c r="N1247" s="39" t="s">
        <v>418</v>
      </c>
    </row>
    <row r="1248" spans="1:14" s="12" customFormat="1" ht="30.75" customHeight="1">
      <c r="A1248" s="178" t="s">
        <v>121</v>
      </c>
      <c r="B1248" s="75" t="s">
        <v>1757</v>
      </c>
      <c r="C1248" s="39" t="s">
        <v>17</v>
      </c>
      <c r="D1248" s="236"/>
      <c r="E1248" s="210"/>
      <c r="F1248" s="210"/>
      <c r="G1248" s="210"/>
      <c r="H1248" s="40">
        <f>Tabla132112418[[#This Row],[CUARTO TRIMESTRE]]+Tabla132112418[[#This Row],[TERCER TRIMESTRE]]+Tabla132112418[[#This Row],[SEGUNDO TRIMESTRE]]+Tabla132112418[[#This Row],[PRIMER TRIMESTRE]]</f>
        <v>0</v>
      </c>
      <c r="I1248" s="17">
        <v>0</v>
      </c>
      <c r="J1248" s="17">
        <v>0</v>
      </c>
      <c r="K1248" s="17"/>
      <c r="L1248" s="16"/>
      <c r="M1248" s="16"/>
      <c r="N1248" s="39"/>
    </row>
    <row r="1249" spans="1:14" s="12" customFormat="1" ht="44.25" customHeight="1">
      <c r="A1249" s="178" t="s">
        <v>121</v>
      </c>
      <c r="B1249" s="75" t="s">
        <v>1282</v>
      </c>
      <c r="C1249" s="39" t="s">
        <v>17</v>
      </c>
      <c r="D1249" s="236"/>
      <c r="E1249" s="210"/>
      <c r="F1249" s="210"/>
      <c r="G1249" s="210"/>
      <c r="H1249" s="406">
        <f>SUM(Tabla132112418[[#This Row],[PRIMER TRIMESTRE]:[CUARTO TRIMESTRE]])</f>
        <v>0</v>
      </c>
      <c r="I1249" s="17">
        <v>25000</v>
      </c>
      <c r="J1249" s="17">
        <f>+H1249*I1249</f>
        <v>0</v>
      </c>
      <c r="K1249" s="17"/>
      <c r="L1249" s="16" t="s">
        <v>18</v>
      </c>
      <c r="M1249" s="16" t="s">
        <v>22</v>
      </c>
      <c r="N1249" s="39" t="s">
        <v>418</v>
      </c>
    </row>
    <row r="1250" spans="1:14" s="26" customFormat="1" ht="30.75" customHeight="1">
      <c r="A1250" s="178" t="s">
        <v>121</v>
      </c>
      <c r="B1250" s="75" t="s">
        <v>1283</v>
      </c>
      <c r="C1250" s="39" t="s">
        <v>17</v>
      </c>
      <c r="D1250" s="236"/>
      <c r="E1250" s="210"/>
      <c r="F1250" s="210"/>
      <c r="G1250" s="210"/>
      <c r="H1250" s="406">
        <f>SUM(Tabla132112418[[#This Row],[PRIMER TRIMESTRE]:[CUARTO TRIMESTRE]])</f>
        <v>0</v>
      </c>
      <c r="I1250" s="17">
        <f>16685940/4</f>
        <v>4171485</v>
      </c>
      <c r="J1250" s="17">
        <f>+H1250*I1250</f>
        <v>0</v>
      </c>
      <c r="K1250" s="17"/>
      <c r="L1250" s="16" t="s">
        <v>18</v>
      </c>
      <c r="M1250" s="16" t="s">
        <v>22</v>
      </c>
      <c r="N1250" s="39" t="s">
        <v>418</v>
      </c>
    </row>
    <row r="1251" spans="1:14" s="12" customFormat="1" ht="30.75" customHeight="1">
      <c r="A1251" s="178" t="s">
        <v>121</v>
      </c>
      <c r="B1251" s="75" t="s">
        <v>1284</v>
      </c>
      <c r="C1251" s="39" t="s">
        <v>17</v>
      </c>
      <c r="D1251" s="236"/>
      <c r="E1251" s="210"/>
      <c r="F1251" s="210"/>
      <c r="G1251" s="210"/>
      <c r="H1251" s="406">
        <f>SUM(Tabla132112418[[#This Row],[PRIMER TRIMESTRE]:[CUARTO TRIMESTRE]])</f>
        <v>0</v>
      </c>
      <c r="I1251" s="17">
        <v>3500</v>
      </c>
      <c r="J1251" s="17">
        <f>+H1251*I1251</f>
        <v>0</v>
      </c>
      <c r="K1251" s="17"/>
      <c r="L1251" s="16" t="s">
        <v>18</v>
      </c>
      <c r="M1251" s="16" t="s">
        <v>22</v>
      </c>
      <c r="N1251" s="39" t="s">
        <v>418</v>
      </c>
    </row>
    <row r="1252" spans="1:14" s="12" customFormat="1" ht="30.75" customHeight="1">
      <c r="A1252" s="179" t="s">
        <v>121</v>
      </c>
      <c r="B1252" s="76"/>
      <c r="C1252" s="42"/>
      <c r="D1252" s="237"/>
      <c r="E1252" s="237"/>
      <c r="F1252" s="237"/>
      <c r="G1252" s="237"/>
      <c r="H1252" s="43"/>
      <c r="I1252" s="24"/>
      <c r="J1252" s="24"/>
      <c r="K1252" s="25">
        <f>SUM(J1247:J1251)</f>
        <v>0</v>
      </c>
      <c r="L1252" s="23"/>
      <c r="M1252" s="23"/>
      <c r="N1252" s="42"/>
    </row>
    <row r="1253" spans="1:14" s="12" customFormat="1" ht="30.75" customHeight="1">
      <c r="A1253" s="180" t="s">
        <v>122</v>
      </c>
      <c r="B1253" s="77" t="s">
        <v>274</v>
      </c>
      <c r="C1253" s="70" t="s">
        <v>17</v>
      </c>
      <c r="D1253" s="210"/>
      <c r="E1253" s="210"/>
      <c r="F1253" s="210"/>
      <c r="G1253" s="210"/>
      <c r="H1253" s="406">
        <f>SUM(Tabla132112418[[#This Row],[PRIMER TRIMESTRE]:[CUARTO TRIMESTRE]])</f>
        <v>0</v>
      </c>
      <c r="I1253" s="17">
        <v>133.47</v>
      </c>
      <c r="J1253" s="17">
        <f>+Tabla132112418[[#This Row],[CANTIDAD TOTAL]]*Tabla132112418[[#This Row],[PRECIO UNITARIO ESTIMADO]]</f>
        <v>0</v>
      </c>
      <c r="K1253" s="17"/>
      <c r="L1253" s="16" t="s">
        <v>27</v>
      </c>
      <c r="M1253" s="16" t="s">
        <v>22</v>
      </c>
      <c r="N1253" s="39" t="s">
        <v>418</v>
      </c>
    </row>
    <row r="1254" spans="1:14" s="12" customFormat="1" ht="30.75" customHeight="1">
      <c r="A1254" s="180" t="s">
        <v>122</v>
      </c>
      <c r="B1254" s="77" t="s">
        <v>275</v>
      </c>
      <c r="C1254" s="70" t="s">
        <v>17</v>
      </c>
      <c r="D1254" s="210"/>
      <c r="E1254" s="210"/>
      <c r="F1254" s="210"/>
      <c r="G1254" s="210"/>
      <c r="H1254" s="406">
        <f>SUM(Tabla132112418[[#This Row],[PRIMER TRIMESTRE]:[CUARTO TRIMESTRE]])</f>
        <v>0</v>
      </c>
      <c r="I1254" s="17">
        <v>115.24</v>
      </c>
      <c r="J1254" s="17">
        <f>+Tabla132112418[[#This Row],[CANTIDAD TOTAL]]*Tabla132112418[[#This Row],[PRECIO UNITARIO ESTIMADO]]</f>
        <v>0</v>
      </c>
      <c r="K1254" s="17"/>
      <c r="L1254" s="16" t="s">
        <v>27</v>
      </c>
      <c r="M1254" s="16" t="s">
        <v>22</v>
      </c>
      <c r="N1254" s="39" t="s">
        <v>418</v>
      </c>
    </row>
    <row r="1255" spans="1:14" s="12" customFormat="1" ht="30.75" customHeight="1">
      <c r="A1255" s="180" t="s">
        <v>122</v>
      </c>
      <c r="B1255" s="77" t="s">
        <v>125</v>
      </c>
      <c r="C1255" s="70" t="s">
        <v>17</v>
      </c>
      <c r="D1255" s="210"/>
      <c r="E1255" s="210"/>
      <c r="F1255" s="210"/>
      <c r="G1255" s="210"/>
      <c r="H1255" s="406">
        <f>SUM(Tabla132112418[[#This Row],[PRIMER TRIMESTRE]:[CUARTO TRIMESTRE]])</f>
        <v>0</v>
      </c>
      <c r="I1255" s="17">
        <v>1624</v>
      </c>
      <c r="J1255" s="17">
        <f>+Tabla132112418[[#This Row],[CANTIDAD TOTAL]]*Tabla132112418[[#This Row],[PRECIO UNITARIO ESTIMADO]]</f>
        <v>0</v>
      </c>
      <c r="K1255" s="17"/>
      <c r="L1255" s="16" t="s">
        <v>27</v>
      </c>
      <c r="M1255" s="16" t="s">
        <v>22</v>
      </c>
      <c r="N1255" s="39" t="s">
        <v>418</v>
      </c>
    </row>
    <row r="1256" spans="1:14" s="12" customFormat="1" ht="30.75" customHeight="1">
      <c r="A1256" s="180" t="s">
        <v>1588</v>
      </c>
      <c r="B1256" s="77" t="s">
        <v>1587</v>
      </c>
      <c r="C1256" s="70" t="s">
        <v>17</v>
      </c>
      <c r="D1256" s="210"/>
      <c r="E1256" s="210"/>
      <c r="F1256" s="210"/>
      <c r="G1256" s="210"/>
      <c r="H1256" s="210">
        <f>SUM(Tabla132112418[[#This Row],[PRIMER TRIMESTRE]:[CUARTO TRIMESTRE]])</f>
        <v>0</v>
      </c>
      <c r="I1256" s="17">
        <v>3500</v>
      </c>
      <c r="J1256" s="17">
        <f>+H1256*I1256</f>
        <v>0</v>
      </c>
      <c r="K1256" s="17"/>
      <c r="L1256" s="16" t="s">
        <v>15</v>
      </c>
      <c r="M1256" s="16" t="s">
        <v>22</v>
      </c>
      <c r="N1256" s="39" t="s">
        <v>418</v>
      </c>
    </row>
    <row r="1257" spans="1:14" s="12" customFormat="1" ht="30.75" customHeight="1">
      <c r="A1257" s="180" t="s">
        <v>122</v>
      </c>
      <c r="B1257" s="77" t="s">
        <v>276</v>
      </c>
      <c r="C1257" s="70" t="s">
        <v>17</v>
      </c>
      <c r="D1257" s="210"/>
      <c r="E1257" s="210"/>
      <c r="F1257" s="210"/>
      <c r="G1257" s="210"/>
      <c r="H1257" s="406">
        <f>SUM(Tabla132112418[[#This Row],[PRIMER TRIMESTRE]:[CUARTO TRIMESTRE]])</f>
        <v>0</v>
      </c>
      <c r="I1257" s="17">
        <v>101.68</v>
      </c>
      <c r="J1257" s="17">
        <f>+Tabla132112418[[#This Row],[CANTIDAD TOTAL]]*Tabla132112418[[#This Row],[PRECIO UNITARIO ESTIMADO]]</f>
        <v>0</v>
      </c>
      <c r="K1257" s="17"/>
      <c r="L1257" s="16" t="s">
        <v>27</v>
      </c>
      <c r="M1257" s="16" t="s">
        <v>22</v>
      </c>
      <c r="N1257" s="39" t="s">
        <v>418</v>
      </c>
    </row>
    <row r="1258" spans="1:14" s="12" customFormat="1" ht="30.75" customHeight="1">
      <c r="A1258" s="180" t="s">
        <v>122</v>
      </c>
      <c r="B1258" s="77" t="s">
        <v>277</v>
      </c>
      <c r="C1258" s="70" t="s">
        <v>17</v>
      </c>
      <c r="D1258" s="210"/>
      <c r="E1258" s="210"/>
      <c r="F1258" s="210"/>
      <c r="G1258" s="210"/>
      <c r="H1258" s="406">
        <f>SUM(Tabla132112418[[#This Row],[PRIMER TRIMESTRE]:[CUARTO TRIMESTRE]])</f>
        <v>0</v>
      </c>
      <c r="I1258" s="17">
        <v>27.14</v>
      </c>
      <c r="J1258" s="17">
        <f>+Tabla132112418[[#This Row],[CANTIDAD TOTAL]]*Tabla132112418[[#This Row],[PRECIO UNITARIO ESTIMADO]]</f>
        <v>0</v>
      </c>
      <c r="K1258" s="17"/>
      <c r="L1258" s="16" t="s">
        <v>27</v>
      </c>
      <c r="M1258" s="16" t="s">
        <v>22</v>
      </c>
      <c r="N1258" s="39" t="s">
        <v>418</v>
      </c>
    </row>
    <row r="1259" spans="1:14" s="12" customFormat="1" ht="30.75" customHeight="1">
      <c r="A1259" s="180" t="s">
        <v>122</v>
      </c>
      <c r="B1259" s="77" t="s">
        <v>327</v>
      </c>
      <c r="C1259" s="70" t="s">
        <v>102</v>
      </c>
      <c r="D1259" s="210"/>
      <c r="E1259" s="210"/>
      <c r="F1259" s="210"/>
      <c r="G1259" s="210"/>
      <c r="H1259" s="406">
        <f>SUM(Tabla132112418[[#This Row],[PRIMER TRIMESTRE]:[CUARTO TRIMESTRE]])</f>
        <v>0</v>
      </c>
      <c r="I1259" s="17">
        <f>43660/209</f>
        <v>208.89952153110048</v>
      </c>
      <c r="J1259" s="17">
        <f>+Tabla132112418[[#This Row],[CANTIDAD TOTAL]]*Tabla132112418[[#This Row],[PRECIO UNITARIO ESTIMADO]]</f>
        <v>0</v>
      </c>
      <c r="K1259" s="17"/>
      <c r="L1259" s="16" t="s">
        <v>27</v>
      </c>
      <c r="M1259" s="16" t="s">
        <v>22</v>
      </c>
      <c r="N1259" s="39" t="s">
        <v>418</v>
      </c>
    </row>
    <row r="1260" spans="1:14" s="12" customFormat="1" ht="30.75" customHeight="1">
      <c r="A1260" s="180" t="s">
        <v>122</v>
      </c>
      <c r="B1260" s="77" t="s">
        <v>1269</v>
      </c>
      <c r="C1260" s="70" t="s">
        <v>17</v>
      </c>
      <c r="D1260" s="210"/>
      <c r="E1260" s="210"/>
      <c r="F1260" s="210"/>
      <c r="G1260" s="210"/>
      <c r="H1260" s="406">
        <f>SUM(Tabla132112418[[#This Row],[PRIMER TRIMESTRE]:[CUARTO TRIMESTRE]])</f>
        <v>0</v>
      </c>
      <c r="I1260" s="17">
        <v>350</v>
      </c>
      <c r="J1260" s="17">
        <f>+H1260*I1260</f>
        <v>0</v>
      </c>
      <c r="K1260" s="17"/>
      <c r="L1260" s="16" t="s">
        <v>27</v>
      </c>
      <c r="M1260" s="16" t="s">
        <v>22</v>
      </c>
      <c r="N1260" s="39" t="s">
        <v>418</v>
      </c>
    </row>
    <row r="1261" spans="1:14" s="12" customFormat="1" ht="30.75" customHeight="1">
      <c r="A1261" s="180" t="s">
        <v>122</v>
      </c>
      <c r="B1261" s="77" t="s">
        <v>328</v>
      </c>
      <c r="C1261" s="70" t="s">
        <v>17</v>
      </c>
      <c r="D1261" s="210"/>
      <c r="E1261" s="210"/>
      <c r="F1261" s="210"/>
      <c r="G1261" s="210"/>
      <c r="H1261" s="406">
        <f>SUM(Tabla132112418[[#This Row],[PRIMER TRIMESTRE]:[CUARTO TRIMESTRE]])</f>
        <v>0</v>
      </c>
      <c r="I1261" s="17">
        <v>12626</v>
      </c>
      <c r="J1261" s="17">
        <f>+Tabla132112418[[#This Row],[CANTIDAD TOTAL]]*Tabla132112418[[#This Row],[PRECIO UNITARIO ESTIMADO]]</f>
        <v>0</v>
      </c>
      <c r="K1261" s="17"/>
      <c r="L1261" s="16" t="s">
        <v>27</v>
      </c>
      <c r="M1261" s="16" t="s">
        <v>22</v>
      </c>
      <c r="N1261" s="39" t="s">
        <v>418</v>
      </c>
    </row>
    <row r="1262" spans="1:14" s="26" customFormat="1" ht="30.75" customHeight="1">
      <c r="A1262" s="180" t="s">
        <v>122</v>
      </c>
      <c r="B1262" s="77" t="s">
        <v>329</v>
      </c>
      <c r="C1262" s="70" t="s">
        <v>17</v>
      </c>
      <c r="D1262" s="210"/>
      <c r="E1262" s="210"/>
      <c r="F1262" s="210"/>
      <c r="G1262" s="210"/>
      <c r="H1262" s="406">
        <f>SUM(Tabla132112418[[#This Row],[PRIMER TRIMESTRE]:[CUARTO TRIMESTRE]])</f>
        <v>0</v>
      </c>
      <c r="I1262" s="17">
        <f>1382216.68/118</f>
        <v>11713.700677966101</v>
      </c>
      <c r="J1262" s="17">
        <f>+Tabla132112418[[#This Row],[CANTIDAD TOTAL]]*Tabla132112418[[#This Row],[PRECIO UNITARIO ESTIMADO]]</f>
        <v>0</v>
      </c>
      <c r="K1262" s="17"/>
      <c r="L1262" s="16" t="s">
        <v>27</v>
      </c>
      <c r="M1262" s="16" t="s">
        <v>22</v>
      </c>
      <c r="N1262" s="39" t="s">
        <v>418</v>
      </c>
    </row>
    <row r="1263" spans="1:14" s="12" customFormat="1" ht="30.75" customHeight="1">
      <c r="A1263" s="180" t="s">
        <v>122</v>
      </c>
      <c r="B1263" s="77" t="s">
        <v>330</v>
      </c>
      <c r="C1263" s="70" t="s">
        <v>17</v>
      </c>
      <c r="D1263" s="210"/>
      <c r="E1263" s="210"/>
      <c r="F1263" s="210"/>
      <c r="G1263" s="210"/>
      <c r="H1263" s="406">
        <f>SUM(Tabla132112418[[#This Row],[PRIMER TRIMESTRE]:[CUARTO TRIMESTRE]])</f>
        <v>0</v>
      </c>
      <c r="I1263" s="17">
        <v>413</v>
      </c>
      <c r="J1263" s="17">
        <f>+Tabla132112418[[#This Row],[CANTIDAD TOTAL]]*Tabla132112418[[#This Row],[PRECIO UNITARIO ESTIMADO]]</f>
        <v>0</v>
      </c>
      <c r="K1263" s="17"/>
      <c r="L1263" s="16" t="s">
        <v>27</v>
      </c>
      <c r="M1263" s="16" t="s">
        <v>22</v>
      </c>
      <c r="N1263" s="39" t="s">
        <v>418</v>
      </c>
    </row>
    <row r="1264" spans="1:14" s="12" customFormat="1" ht="30.75" customHeight="1">
      <c r="A1264" s="179" t="s">
        <v>122</v>
      </c>
      <c r="B1264" s="76"/>
      <c r="C1264" s="42"/>
      <c r="D1264" s="237"/>
      <c r="E1264" s="237"/>
      <c r="F1264" s="237"/>
      <c r="G1264" s="237"/>
      <c r="H1264" s="43"/>
      <c r="I1264" s="24"/>
      <c r="J1264" s="24"/>
      <c r="K1264" s="25">
        <f>SUM(J1253:J1263)</f>
        <v>0</v>
      </c>
      <c r="L1264" s="23"/>
      <c r="M1264" s="23"/>
      <c r="N1264" s="42"/>
    </row>
    <row r="1265" spans="1:14" s="12" customFormat="1" ht="30.75" customHeight="1">
      <c r="A1265" s="178" t="s">
        <v>278</v>
      </c>
      <c r="B1265" s="75" t="s">
        <v>279</v>
      </c>
      <c r="C1265" s="39" t="s">
        <v>17</v>
      </c>
      <c r="D1265" s="236"/>
      <c r="E1265" s="236"/>
      <c r="F1265" s="236"/>
      <c r="G1265" s="236"/>
      <c r="H1265" s="40">
        <f>SUM(Tabla132112418[[#This Row],[PRIMER TRIMESTRE]:[CUARTO TRIMESTRE]])</f>
        <v>0</v>
      </c>
      <c r="I1265" s="17">
        <v>259.68</v>
      </c>
      <c r="J1265" s="17">
        <f>+Tabla132112418[[#This Row],[CANTIDAD TOTAL]]*Tabla132112418[[#This Row],[PRECIO UNITARIO ESTIMADO]]</f>
        <v>0</v>
      </c>
      <c r="K1265" s="17"/>
      <c r="L1265" s="16" t="s">
        <v>27</v>
      </c>
      <c r="M1265" s="16" t="s">
        <v>22</v>
      </c>
      <c r="N1265" s="39" t="s">
        <v>342</v>
      </c>
    </row>
    <row r="1266" spans="1:14" s="12" customFormat="1" ht="30.75" customHeight="1">
      <c r="A1266" s="178" t="s">
        <v>278</v>
      </c>
      <c r="B1266" s="75" t="s">
        <v>137</v>
      </c>
      <c r="C1266" s="39" t="s">
        <v>17</v>
      </c>
      <c r="D1266" s="236">
        <v>1</v>
      </c>
      <c r="E1266" s="236"/>
      <c r="F1266" s="236"/>
      <c r="G1266" s="236"/>
      <c r="H1266" s="40">
        <f>SUM(Tabla132112418[[#This Row],[PRIMER TRIMESTRE]:[CUARTO TRIMESTRE]])</f>
        <v>1</v>
      </c>
      <c r="I1266" s="17">
        <v>220.12</v>
      </c>
      <c r="J1266" s="17">
        <f>+Tabla132112418[[#This Row],[CANTIDAD TOTAL]]*Tabla132112418[[#This Row],[PRECIO UNITARIO ESTIMADO]]</f>
        <v>220.12</v>
      </c>
      <c r="K1266" s="17"/>
      <c r="L1266" s="16" t="s">
        <v>27</v>
      </c>
      <c r="M1266" s="16" t="s">
        <v>22</v>
      </c>
      <c r="N1266" s="39" t="s">
        <v>418</v>
      </c>
    </row>
    <row r="1267" spans="1:14" s="12" customFormat="1" ht="30.75" customHeight="1">
      <c r="A1267" s="178" t="s">
        <v>278</v>
      </c>
      <c r="B1267" s="75" t="s">
        <v>280</v>
      </c>
      <c r="C1267" s="39" t="s">
        <v>17</v>
      </c>
      <c r="D1267" s="236">
        <v>1</v>
      </c>
      <c r="E1267" s="236"/>
      <c r="F1267" s="236">
        <v>1</v>
      </c>
      <c r="G1267" s="236"/>
      <c r="H1267" s="40">
        <f>SUM(Tabla132112418[[#This Row],[PRIMER TRIMESTRE]:[CUARTO TRIMESTRE]])</f>
        <v>2</v>
      </c>
      <c r="I1267" s="17">
        <v>150</v>
      </c>
      <c r="J1267" s="17">
        <f>+Tabla132112418[[#This Row],[CANTIDAD TOTAL]]*Tabla132112418[[#This Row],[PRECIO UNITARIO ESTIMADO]]</f>
        <v>300</v>
      </c>
      <c r="K1267" s="17"/>
      <c r="L1267" s="16" t="s">
        <v>27</v>
      </c>
      <c r="M1267" s="16" t="s">
        <v>22</v>
      </c>
      <c r="N1267" s="39" t="s">
        <v>342</v>
      </c>
    </row>
    <row r="1268" spans="1:14" s="26" customFormat="1" ht="30.75" customHeight="1">
      <c r="A1268" s="178" t="s">
        <v>278</v>
      </c>
      <c r="B1268" s="75" t="s">
        <v>566</v>
      </c>
      <c r="C1268" s="39" t="s">
        <v>17</v>
      </c>
      <c r="D1268" s="236"/>
      <c r="E1268" s="236"/>
      <c r="F1268" s="236"/>
      <c r="G1268" s="236"/>
      <c r="H1268" s="40">
        <f>SUM(Tabla132112418[[#This Row],[PRIMER TRIMESTRE]:[CUARTO TRIMESTRE]])</f>
        <v>0</v>
      </c>
      <c r="I1268" s="17">
        <v>140</v>
      </c>
      <c r="J1268" s="17">
        <f>+Tabla132112418[[#This Row],[CANTIDAD TOTAL]]*Tabla132112418[[#This Row],[PRECIO UNITARIO ESTIMADO]]</f>
        <v>0</v>
      </c>
      <c r="K1268" s="17"/>
      <c r="L1268" s="16" t="s">
        <v>27</v>
      </c>
      <c r="M1268" s="16" t="s">
        <v>22</v>
      </c>
      <c r="N1268" s="39" t="s">
        <v>342</v>
      </c>
    </row>
    <row r="1269" spans="1:14" s="12" customFormat="1" ht="30.75" customHeight="1">
      <c r="A1269" s="178" t="s">
        <v>278</v>
      </c>
      <c r="B1269" s="75" t="s">
        <v>922</v>
      </c>
      <c r="C1269" s="39" t="s">
        <v>17</v>
      </c>
      <c r="D1269" s="236"/>
      <c r="E1269" s="236"/>
      <c r="F1269" s="236"/>
      <c r="G1269" s="236"/>
      <c r="H1269" s="40">
        <f>SUM(Tabla132112418[[#This Row],[PRIMER TRIMESTRE]:[CUARTO TRIMESTRE]])</f>
        <v>0</v>
      </c>
      <c r="I1269" s="17">
        <v>21895</v>
      </c>
      <c r="J1269" s="17">
        <f>+H1269*I1269</f>
        <v>0</v>
      </c>
      <c r="K1269" s="17"/>
      <c r="L1269" s="16" t="s">
        <v>27</v>
      </c>
      <c r="M1269" s="16" t="s">
        <v>22</v>
      </c>
      <c r="N1269" s="39" t="s">
        <v>342</v>
      </c>
    </row>
    <row r="1270" spans="1:14" s="12" customFormat="1" ht="30.75" customHeight="1">
      <c r="A1270" s="179" t="s">
        <v>278</v>
      </c>
      <c r="B1270" s="76"/>
      <c r="C1270" s="42"/>
      <c r="D1270" s="237"/>
      <c r="E1270" s="237"/>
      <c r="F1270" s="237"/>
      <c r="G1270" s="237"/>
      <c r="H1270" s="43"/>
      <c r="I1270" s="24"/>
      <c r="J1270" s="24"/>
      <c r="K1270" s="25">
        <f>SUM(J1265:J1269)</f>
        <v>520.12</v>
      </c>
      <c r="L1270" s="23" t="s">
        <v>27</v>
      </c>
      <c r="M1270" s="23"/>
      <c r="N1270" s="42"/>
    </row>
    <row r="1271" spans="1:14" s="12" customFormat="1" ht="30.75" customHeight="1">
      <c r="A1271" s="178" t="s">
        <v>124</v>
      </c>
      <c r="B1271" s="75" t="s">
        <v>281</v>
      </c>
      <c r="C1271" s="39" t="s">
        <v>102</v>
      </c>
      <c r="D1271" s="236"/>
      <c r="E1271" s="236"/>
      <c r="F1271" s="236"/>
      <c r="G1271" s="236"/>
      <c r="H1271" s="40">
        <f>SUM(Tabla132112418[[#This Row],[PRIMER TRIMESTRE]:[CUARTO TRIMESTRE]])</f>
        <v>0</v>
      </c>
      <c r="I1271" s="17">
        <v>191.84</v>
      </c>
      <c r="J1271" s="17">
        <f>+Tabla132112418[[#This Row],[CANTIDAD TOTAL]]*Tabla132112418[[#This Row],[PRECIO UNITARIO ESTIMADO]]</f>
        <v>0</v>
      </c>
      <c r="K1271" s="17"/>
      <c r="L1271" s="16" t="s">
        <v>27</v>
      </c>
      <c r="M1271" s="16" t="s">
        <v>22</v>
      </c>
      <c r="N1271" s="39" t="s">
        <v>342</v>
      </c>
    </row>
    <row r="1272" spans="1:14" s="12" customFormat="1" ht="30.75" customHeight="1">
      <c r="A1272" s="178" t="s">
        <v>124</v>
      </c>
      <c r="B1272" s="75" t="s">
        <v>282</v>
      </c>
      <c r="C1272" s="39" t="s">
        <v>69</v>
      </c>
      <c r="D1272" s="236">
        <v>2</v>
      </c>
      <c r="E1272" s="236"/>
      <c r="F1272" s="236">
        <v>2</v>
      </c>
      <c r="G1272" s="236"/>
      <c r="H1272" s="40">
        <f>SUM(Tabla132112418[[#This Row],[PRIMER TRIMESTRE]:[CUARTO TRIMESTRE]])</f>
        <v>4</v>
      </c>
      <c r="I1272" s="17">
        <v>83.78</v>
      </c>
      <c r="J1272" s="17">
        <f>+Tabla132112418[[#This Row],[CANTIDAD TOTAL]]*Tabla132112418[[#This Row],[PRECIO UNITARIO ESTIMADO]]</f>
        <v>335.12</v>
      </c>
      <c r="K1272" s="17"/>
      <c r="L1272" s="16" t="s">
        <v>27</v>
      </c>
      <c r="M1272" s="16" t="s">
        <v>22</v>
      </c>
      <c r="N1272" s="39" t="s">
        <v>342</v>
      </c>
    </row>
    <row r="1273" spans="1:14" s="12" customFormat="1" ht="30.75" customHeight="1">
      <c r="A1273" s="178" t="s">
        <v>124</v>
      </c>
      <c r="B1273" s="75" t="s">
        <v>283</v>
      </c>
      <c r="C1273" s="39" t="s">
        <v>17</v>
      </c>
      <c r="D1273" s="236"/>
      <c r="E1273" s="236"/>
      <c r="F1273" s="236"/>
      <c r="G1273" s="236"/>
      <c r="H1273" s="40">
        <f>SUM(Tabla132112418[[#This Row],[PRIMER TRIMESTRE]:[CUARTO TRIMESTRE]])</f>
        <v>0</v>
      </c>
      <c r="I1273" s="17">
        <v>82.94</v>
      </c>
      <c r="J1273" s="17">
        <f>+Tabla132112418[[#This Row],[CANTIDAD TOTAL]]*Tabla132112418[[#This Row],[PRECIO UNITARIO ESTIMADO]]</f>
        <v>0</v>
      </c>
      <c r="K1273" s="17"/>
      <c r="L1273" s="16" t="s">
        <v>27</v>
      </c>
      <c r="M1273" s="16" t="s">
        <v>22</v>
      </c>
      <c r="N1273" s="39" t="s">
        <v>342</v>
      </c>
    </row>
    <row r="1274" spans="1:14" s="12" customFormat="1" ht="30.75" customHeight="1">
      <c r="A1274" s="178" t="s">
        <v>124</v>
      </c>
      <c r="B1274" s="75" t="s">
        <v>284</v>
      </c>
      <c r="C1274" s="39" t="s">
        <v>17</v>
      </c>
      <c r="D1274" s="236">
        <v>2</v>
      </c>
      <c r="E1274" s="236"/>
      <c r="F1274" s="236">
        <v>2</v>
      </c>
      <c r="G1274" s="236"/>
      <c r="H1274" s="40">
        <f>SUM(Tabla132112418[[#This Row],[PRIMER TRIMESTRE]:[CUARTO TRIMESTRE]])</f>
        <v>4</v>
      </c>
      <c r="I1274" s="17">
        <v>26.67</v>
      </c>
      <c r="J1274" s="17">
        <f>+Tabla132112418[[#This Row],[CANTIDAD TOTAL]]*Tabla132112418[[#This Row],[PRECIO UNITARIO ESTIMADO]]</f>
        <v>106.68</v>
      </c>
      <c r="K1274" s="17"/>
      <c r="L1274" s="16" t="s">
        <v>27</v>
      </c>
      <c r="M1274" s="16" t="s">
        <v>22</v>
      </c>
      <c r="N1274" s="39" t="s">
        <v>342</v>
      </c>
    </row>
    <row r="1275" spans="1:14" s="12" customFormat="1" ht="30.75" customHeight="1">
      <c r="A1275" s="178" t="s">
        <v>124</v>
      </c>
      <c r="B1275" s="75" t="s">
        <v>726</v>
      </c>
      <c r="C1275" s="39" t="s">
        <v>17</v>
      </c>
      <c r="D1275" s="236"/>
      <c r="E1275" s="236"/>
      <c r="F1275" s="236"/>
      <c r="G1275" s="236"/>
      <c r="H1275" s="40">
        <f>SUM(Tabla132112418[[#This Row],[PRIMER TRIMESTRE]:[CUARTO TRIMESTRE]])</f>
        <v>0</v>
      </c>
      <c r="I1275" s="72">
        <v>50</v>
      </c>
      <c r="J1275" s="17">
        <f>+H1275*I1275</f>
        <v>0</v>
      </c>
      <c r="K1275" s="17"/>
      <c r="L1275" s="16" t="s">
        <v>27</v>
      </c>
      <c r="M1275" s="16" t="s">
        <v>22</v>
      </c>
      <c r="N1275" s="39" t="s">
        <v>342</v>
      </c>
    </row>
    <row r="1276" spans="1:14" s="12" customFormat="1" ht="30.75" customHeight="1">
      <c r="A1276" s="178" t="s">
        <v>124</v>
      </c>
      <c r="B1276" s="75" t="s">
        <v>285</v>
      </c>
      <c r="C1276" s="39" t="s">
        <v>33</v>
      </c>
      <c r="D1276" s="236">
        <v>1</v>
      </c>
      <c r="E1276" s="236"/>
      <c r="F1276" s="236">
        <v>1</v>
      </c>
      <c r="G1276" s="236"/>
      <c r="H1276" s="40">
        <f>SUM(Tabla132112418[[#This Row],[PRIMER TRIMESTRE]:[CUARTO TRIMESTRE]])</f>
        <v>2</v>
      </c>
      <c r="I1276" s="17">
        <v>115.94</v>
      </c>
      <c r="J1276" s="17">
        <f>+Tabla132112418[[#This Row],[CANTIDAD TOTAL]]*Tabla132112418[[#This Row],[PRECIO UNITARIO ESTIMADO]]</f>
        <v>231.88</v>
      </c>
      <c r="K1276" s="17"/>
      <c r="L1276" s="16" t="s">
        <v>27</v>
      </c>
      <c r="M1276" s="16" t="s">
        <v>22</v>
      </c>
      <c r="N1276" s="39" t="s">
        <v>342</v>
      </c>
    </row>
    <row r="1277" spans="1:14" s="12" customFormat="1" ht="30.75" customHeight="1">
      <c r="A1277" s="178" t="s">
        <v>124</v>
      </c>
      <c r="B1277" s="75" t="s">
        <v>287</v>
      </c>
      <c r="C1277" s="39" t="s">
        <v>288</v>
      </c>
      <c r="D1277" s="236"/>
      <c r="E1277" s="236"/>
      <c r="F1277" s="236"/>
      <c r="G1277" s="236"/>
      <c r="H1277" s="40">
        <f>SUM(Tabla132112418[[#This Row],[PRIMER TRIMESTRE]:[CUARTO TRIMESTRE]])</f>
        <v>0</v>
      </c>
      <c r="I1277" s="17">
        <v>255.31</v>
      </c>
      <c r="J1277" s="17">
        <f>+Tabla132112418[[#This Row],[CANTIDAD TOTAL]]*Tabla132112418[[#This Row],[PRECIO UNITARIO ESTIMADO]]</f>
        <v>0</v>
      </c>
      <c r="K1277" s="17"/>
      <c r="L1277" s="16" t="s">
        <v>27</v>
      </c>
      <c r="M1277" s="16" t="s">
        <v>22</v>
      </c>
      <c r="N1277" s="39" t="s">
        <v>342</v>
      </c>
    </row>
    <row r="1278" spans="1:14" s="12" customFormat="1" ht="30.75" customHeight="1">
      <c r="A1278" s="178" t="s">
        <v>124</v>
      </c>
      <c r="B1278" s="75" t="s">
        <v>293</v>
      </c>
      <c r="C1278" s="39" t="s">
        <v>290</v>
      </c>
      <c r="D1278" s="236">
        <v>1</v>
      </c>
      <c r="E1278" s="236">
        <v>1</v>
      </c>
      <c r="F1278" s="236">
        <v>1</v>
      </c>
      <c r="G1278" s="236">
        <v>1</v>
      </c>
      <c r="H1278" s="40">
        <f>SUM(Tabla132112418[[#This Row],[PRIMER TRIMESTRE]:[CUARTO TRIMESTRE]])</f>
        <v>4</v>
      </c>
      <c r="I1278" s="17">
        <v>160</v>
      </c>
      <c r="J1278" s="17">
        <f t="shared" ref="J1278:J1286" si="33">+H1278*I1278</f>
        <v>640</v>
      </c>
      <c r="K1278" s="17"/>
      <c r="L1278" s="16" t="s">
        <v>27</v>
      </c>
      <c r="M1278" s="16" t="s">
        <v>22</v>
      </c>
      <c r="N1278" s="39" t="s">
        <v>342</v>
      </c>
    </row>
    <row r="1279" spans="1:14" s="12" customFormat="1" ht="30.75" customHeight="1">
      <c r="A1279" s="178" t="s">
        <v>124</v>
      </c>
      <c r="B1279" s="75" t="s">
        <v>1411</v>
      </c>
      <c r="C1279" s="39" t="s">
        <v>290</v>
      </c>
      <c r="D1279" s="236"/>
      <c r="E1279" s="236"/>
      <c r="F1279" s="236"/>
      <c r="G1279" s="236"/>
      <c r="H1279" s="40">
        <f>SUM(Tabla132112418[[#This Row],[PRIMER TRIMESTRE]:[CUARTO TRIMESTRE]])</f>
        <v>0</v>
      </c>
      <c r="I1279" s="17">
        <v>450</v>
      </c>
      <c r="J1279" s="17">
        <f t="shared" si="33"/>
        <v>0</v>
      </c>
      <c r="K1279" s="17"/>
      <c r="L1279" s="16" t="s">
        <v>27</v>
      </c>
      <c r="M1279" s="16" t="s">
        <v>22</v>
      </c>
      <c r="N1279" s="39" t="s">
        <v>342</v>
      </c>
    </row>
    <row r="1280" spans="1:14" s="12" customFormat="1" ht="30.75" customHeight="1">
      <c r="A1280" s="178" t="s">
        <v>124</v>
      </c>
      <c r="B1280" s="75" t="s">
        <v>1451</v>
      </c>
      <c r="C1280" s="39" t="s">
        <v>17</v>
      </c>
      <c r="D1280" s="236"/>
      <c r="E1280" s="236"/>
      <c r="F1280" s="236"/>
      <c r="G1280" s="236"/>
      <c r="H1280" s="40">
        <f>SUM(Tabla132112418[[#This Row],[PRIMER TRIMESTRE]:[CUARTO TRIMESTRE]])</f>
        <v>0</v>
      </c>
      <c r="I1280" s="17">
        <v>469</v>
      </c>
      <c r="J1280" s="17">
        <f t="shared" si="33"/>
        <v>0</v>
      </c>
      <c r="K1280" s="17"/>
      <c r="L1280" s="16" t="s">
        <v>15</v>
      </c>
      <c r="M1280" s="16" t="s">
        <v>22</v>
      </c>
      <c r="N1280" s="39" t="s">
        <v>342</v>
      </c>
    </row>
    <row r="1281" spans="1:14" s="12" customFormat="1" ht="30.75" customHeight="1">
      <c r="A1281" s="178" t="s">
        <v>124</v>
      </c>
      <c r="B1281" s="75" t="s">
        <v>1906</v>
      </c>
      <c r="C1281" s="39" t="s">
        <v>17</v>
      </c>
      <c r="D1281" s="236"/>
      <c r="E1281" s="236"/>
      <c r="F1281" s="236"/>
      <c r="G1281" s="236"/>
      <c r="H1281" s="40">
        <v>0</v>
      </c>
      <c r="I1281" s="17">
        <v>250</v>
      </c>
      <c r="J1281" s="17">
        <f t="shared" si="33"/>
        <v>0</v>
      </c>
      <c r="K1281" s="17"/>
      <c r="L1281" s="16" t="s">
        <v>27</v>
      </c>
      <c r="M1281" s="16" t="s">
        <v>22</v>
      </c>
      <c r="N1281" s="39" t="s">
        <v>342</v>
      </c>
    </row>
    <row r="1282" spans="1:14" s="12" customFormat="1" ht="30.75" customHeight="1">
      <c r="A1282" s="178" t="s">
        <v>124</v>
      </c>
      <c r="B1282" s="75" t="s">
        <v>1907</v>
      </c>
      <c r="C1282" s="39" t="s">
        <v>17</v>
      </c>
      <c r="D1282" s="236"/>
      <c r="E1282" s="236"/>
      <c r="F1282" s="236"/>
      <c r="G1282" s="236"/>
      <c r="H1282" s="40">
        <v>0</v>
      </c>
      <c r="I1282" s="17">
        <v>0</v>
      </c>
      <c r="J1282" s="17">
        <v>0</v>
      </c>
      <c r="K1282" s="17"/>
      <c r="L1282" s="16" t="s">
        <v>27</v>
      </c>
      <c r="M1282" s="16" t="s">
        <v>22</v>
      </c>
      <c r="N1282" s="39" t="s">
        <v>342</v>
      </c>
    </row>
    <row r="1283" spans="1:14" s="12" customFormat="1" ht="30.75" customHeight="1">
      <c r="A1283" s="178" t="s">
        <v>124</v>
      </c>
      <c r="B1283" s="75" t="s">
        <v>1412</v>
      </c>
      <c r="C1283" s="39" t="s">
        <v>17</v>
      </c>
      <c r="D1283" s="236"/>
      <c r="E1283" s="236"/>
      <c r="F1283" s="236"/>
      <c r="G1283" s="236"/>
      <c r="H1283" s="40">
        <f>SUM(Tabla132112418[[#This Row],[PRIMER TRIMESTRE]:[CUARTO TRIMESTRE]])</f>
        <v>0</v>
      </c>
      <c r="I1283" s="17">
        <v>250</v>
      </c>
      <c r="J1283" s="17">
        <f t="shared" si="33"/>
        <v>0</v>
      </c>
      <c r="K1283" s="17"/>
      <c r="L1283" s="16" t="s">
        <v>27</v>
      </c>
      <c r="M1283" s="16" t="s">
        <v>22</v>
      </c>
      <c r="N1283" s="39" t="s">
        <v>342</v>
      </c>
    </row>
    <row r="1284" spans="1:14" s="12" customFormat="1" ht="30.75" customHeight="1">
      <c r="A1284" s="178" t="s">
        <v>124</v>
      </c>
      <c r="B1284" s="75" t="s">
        <v>1105</v>
      </c>
      <c r="C1284" s="39" t="s">
        <v>290</v>
      </c>
      <c r="D1284" s="236">
        <v>1</v>
      </c>
      <c r="E1284" s="236">
        <v>1</v>
      </c>
      <c r="F1284" s="236">
        <v>1</v>
      </c>
      <c r="G1284" s="236">
        <v>1</v>
      </c>
      <c r="H1284" s="40">
        <f>SUM(Tabla132112418[[#This Row],[PRIMER TRIMESTRE]:[CUARTO TRIMESTRE]])</f>
        <v>4</v>
      </c>
      <c r="I1284" s="17">
        <v>250</v>
      </c>
      <c r="J1284" s="17">
        <f t="shared" si="33"/>
        <v>1000</v>
      </c>
      <c r="K1284" s="17"/>
      <c r="L1284" s="16" t="s">
        <v>27</v>
      </c>
      <c r="M1284" s="16" t="s">
        <v>22</v>
      </c>
      <c r="N1284" s="39" t="s">
        <v>342</v>
      </c>
    </row>
    <row r="1285" spans="1:14" s="12" customFormat="1" ht="30.75" customHeight="1">
      <c r="A1285" s="178" t="s">
        <v>124</v>
      </c>
      <c r="B1285" s="75" t="s">
        <v>1097</v>
      </c>
      <c r="C1285" s="39" t="s">
        <v>1067</v>
      </c>
      <c r="D1285" s="236"/>
      <c r="E1285" s="236"/>
      <c r="F1285" s="236"/>
      <c r="G1285" s="236"/>
      <c r="H1285" s="40">
        <f>SUM(Tabla132112418[[#This Row],[PRIMER TRIMESTRE]:[CUARTO TRIMESTRE]])</f>
        <v>0</v>
      </c>
      <c r="I1285" s="17">
        <v>53</v>
      </c>
      <c r="J1285" s="17">
        <f t="shared" si="33"/>
        <v>0</v>
      </c>
      <c r="K1285" s="17"/>
      <c r="L1285" s="16" t="s">
        <v>27</v>
      </c>
      <c r="M1285" s="16" t="s">
        <v>22</v>
      </c>
      <c r="N1285" s="39" t="s">
        <v>342</v>
      </c>
    </row>
    <row r="1286" spans="1:14" s="12" customFormat="1" ht="30.75" customHeight="1">
      <c r="A1286" s="178" t="s">
        <v>124</v>
      </c>
      <c r="B1286" s="75" t="s">
        <v>1413</v>
      </c>
      <c r="C1286" s="39" t="s">
        <v>1414</v>
      </c>
      <c r="D1286" s="236"/>
      <c r="E1286" s="236"/>
      <c r="F1286" s="236"/>
      <c r="G1286" s="236"/>
      <c r="H1286" s="40">
        <f>SUM(Tabla132112418[[#This Row],[PRIMER TRIMESTRE]:[CUARTO TRIMESTRE]])</f>
        <v>0</v>
      </c>
      <c r="I1286" s="17">
        <v>450</v>
      </c>
      <c r="J1286" s="17">
        <f t="shared" si="33"/>
        <v>0</v>
      </c>
      <c r="K1286" s="17"/>
      <c r="L1286" s="16" t="s">
        <v>27</v>
      </c>
      <c r="M1286" s="16" t="s">
        <v>22</v>
      </c>
      <c r="N1286" s="39" t="s">
        <v>342</v>
      </c>
    </row>
    <row r="1287" spans="1:14" s="12" customFormat="1" ht="30.75" customHeight="1">
      <c r="A1287" s="178" t="s">
        <v>124</v>
      </c>
      <c r="B1287" s="75" t="s">
        <v>291</v>
      </c>
      <c r="C1287" s="39" t="s">
        <v>290</v>
      </c>
      <c r="D1287" s="236"/>
      <c r="E1287" s="236"/>
      <c r="F1287" s="236"/>
      <c r="G1287" s="236"/>
      <c r="H1287" s="40">
        <f>SUM(Tabla132112418[[#This Row],[PRIMER TRIMESTRE]:[CUARTO TRIMESTRE]])</f>
        <v>0</v>
      </c>
      <c r="I1287" s="17">
        <v>121.8</v>
      </c>
      <c r="J1287" s="17">
        <f>+Tabla132112418[[#This Row],[CANTIDAD TOTAL]]*Tabla132112418[[#This Row],[PRECIO UNITARIO ESTIMADO]]</f>
        <v>0</v>
      </c>
      <c r="K1287" s="17"/>
      <c r="L1287" s="16" t="s">
        <v>27</v>
      </c>
      <c r="M1287" s="16" t="s">
        <v>22</v>
      </c>
      <c r="N1287" s="39" t="s">
        <v>342</v>
      </c>
    </row>
    <row r="1288" spans="1:14" s="12" customFormat="1" ht="30.75" customHeight="1">
      <c r="A1288" s="178" t="s">
        <v>124</v>
      </c>
      <c r="B1288" s="75" t="s">
        <v>469</v>
      </c>
      <c r="C1288" s="39" t="s">
        <v>17</v>
      </c>
      <c r="D1288" s="236"/>
      <c r="E1288" s="236"/>
      <c r="F1288" s="236"/>
      <c r="G1288" s="236"/>
      <c r="H1288" s="40">
        <f>SUM(Tabla132112418[[#This Row],[PRIMER TRIMESTRE]:[CUARTO TRIMESTRE]])</f>
        <v>0</v>
      </c>
      <c r="I1288" s="17">
        <v>217.18</v>
      </c>
      <c r="J1288" s="17">
        <f>+H1288*I1288</f>
        <v>0</v>
      </c>
      <c r="K1288" s="17"/>
      <c r="L1288" s="16" t="s">
        <v>27</v>
      </c>
      <c r="M1288" s="16" t="s">
        <v>22</v>
      </c>
      <c r="N1288" s="39" t="s">
        <v>342</v>
      </c>
    </row>
    <row r="1289" spans="1:14" s="12" customFormat="1" ht="30.75" customHeight="1">
      <c r="A1289" s="178" t="s">
        <v>124</v>
      </c>
      <c r="B1289" s="75" t="s">
        <v>741</v>
      </c>
      <c r="C1289" s="39" t="s">
        <v>17</v>
      </c>
      <c r="D1289" s="236">
        <v>1</v>
      </c>
      <c r="E1289" s="236"/>
      <c r="F1289" s="236"/>
      <c r="G1289" s="236"/>
      <c r="H1289" s="40">
        <f>SUM(Tabla132112418[[#This Row],[PRIMER TRIMESTRE]:[CUARTO TRIMESTRE]])</f>
        <v>1</v>
      </c>
      <c r="I1289" s="17">
        <v>217.18</v>
      </c>
      <c r="J1289" s="17">
        <f>+Tabla132112418[[#This Row],[CANTIDAD TOTAL]]*Tabla132112418[[#This Row],[PRECIO UNITARIO ESTIMADO]]</f>
        <v>217.18</v>
      </c>
      <c r="K1289" s="17"/>
      <c r="L1289" s="16" t="s">
        <v>27</v>
      </c>
      <c r="M1289" s="16" t="s">
        <v>22</v>
      </c>
      <c r="N1289" s="39" t="s">
        <v>342</v>
      </c>
    </row>
    <row r="1290" spans="1:14" s="12" customFormat="1" ht="30.75" customHeight="1">
      <c r="A1290" s="178" t="s">
        <v>124</v>
      </c>
      <c r="B1290" s="75" t="s">
        <v>292</v>
      </c>
      <c r="C1290" s="39" t="s">
        <v>17</v>
      </c>
      <c r="D1290" s="236"/>
      <c r="E1290" s="236"/>
      <c r="F1290" s="236"/>
      <c r="G1290" s="236"/>
      <c r="H1290" s="40">
        <f>SUM(Tabla132112418[[#This Row],[PRIMER TRIMESTRE]:[CUARTO TRIMESTRE]])</f>
        <v>0</v>
      </c>
      <c r="I1290" s="17">
        <v>377.54</v>
      </c>
      <c r="J1290" s="17">
        <f>+Tabla132112418[[#This Row],[CANTIDAD TOTAL]]*Tabla132112418[[#This Row],[PRECIO UNITARIO ESTIMADO]]</f>
        <v>0</v>
      </c>
      <c r="K1290" s="17"/>
      <c r="L1290" s="16" t="s">
        <v>27</v>
      </c>
      <c r="M1290" s="16" t="s">
        <v>22</v>
      </c>
      <c r="N1290" s="39" t="s">
        <v>342</v>
      </c>
    </row>
    <row r="1291" spans="1:14" s="12" customFormat="1" ht="30.75" customHeight="1">
      <c r="A1291" s="178" t="s">
        <v>124</v>
      </c>
      <c r="B1291" s="75" t="s">
        <v>725</v>
      </c>
      <c r="C1291" s="39" t="s">
        <v>17</v>
      </c>
      <c r="D1291" s="236"/>
      <c r="E1291" s="236"/>
      <c r="F1291" s="236"/>
      <c r="G1291" s="236"/>
      <c r="H1291" s="40">
        <f>SUM(Tabla132112418[[#This Row],[PRIMER TRIMESTRE]:[CUARTO TRIMESTRE]])</f>
        <v>0</v>
      </c>
      <c r="I1291" s="17">
        <v>90</v>
      </c>
      <c r="J1291" s="17">
        <f>+H1291*I1291</f>
        <v>0</v>
      </c>
      <c r="K1291" s="17"/>
      <c r="L1291" s="16" t="s">
        <v>27</v>
      </c>
      <c r="M1291" s="16" t="s">
        <v>22</v>
      </c>
      <c r="N1291" s="39" t="s">
        <v>342</v>
      </c>
    </row>
    <row r="1292" spans="1:14" s="12" customFormat="1" ht="30.75" customHeight="1">
      <c r="A1292" s="178" t="s">
        <v>124</v>
      </c>
      <c r="B1292" s="75" t="s">
        <v>294</v>
      </c>
      <c r="C1292" s="39" t="s">
        <v>17</v>
      </c>
      <c r="D1292" s="236"/>
      <c r="E1292" s="210"/>
      <c r="F1292" s="210"/>
      <c r="G1292" s="210"/>
      <c r="H1292" s="40">
        <f>SUM(Tabla132112418[[#This Row],[PRIMER TRIMESTRE]:[CUARTO TRIMESTRE]])</f>
        <v>0</v>
      </c>
      <c r="I1292" s="17">
        <v>424.95</v>
      </c>
      <c r="J1292" s="17">
        <f>+Tabla132112418[[#This Row],[CANTIDAD TOTAL]]*Tabla132112418[[#This Row],[PRECIO UNITARIO ESTIMADO]]</f>
        <v>0</v>
      </c>
      <c r="K1292" s="17"/>
      <c r="L1292" s="16" t="s">
        <v>27</v>
      </c>
      <c r="M1292" s="16" t="s">
        <v>22</v>
      </c>
      <c r="N1292" s="39" t="s">
        <v>342</v>
      </c>
    </row>
    <row r="1293" spans="1:14" s="12" customFormat="1" ht="30.75" customHeight="1">
      <c r="A1293" s="178" t="s">
        <v>124</v>
      </c>
      <c r="B1293" s="75" t="s">
        <v>331</v>
      </c>
      <c r="C1293" s="39" t="s">
        <v>33</v>
      </c>
      <c r="D1293" s="236">
        <v>1</v>
      </c>
      <c r="E1293" s="236"/>
      <c r="F1293" s="236"/>
      <c r="G1293" s="236"/>
      <c r="H1293" s="40">
        <f>SUM(Tabla132112418[[#This Row],[PRIMER TRIMESTRE]:[CUARTO TRIMESTRE]])</f>
        <v>1</v>
      </c>
      <c r="I1293" s="17">
        <v>404.45</v>
      </c>
      <c r="J1293" s="17">
        <f>+Tabla132112418[[#This Row],[CANTIDAD TOTAL]]*Tabla132112418[[#This Row],[PRECIO UNITARIO ESTIMADO]]</f>
        <v>404.45</v>
      </c>
      <c r="K1293" s="17"/>
      <c r="L1293" s="16" t="s">
        <v>27</v>
      </c>
      <c r="M1293" s="16" t="s">
        <v>22</v>
      </c>
      <c r="N1293" s="39" t="s">
        <v>342</v>
      </c>
    </row>
    <row r="1294" spans="1:14" s="12" customFormat="1" ht="30.75" customHeight="1">
      <c r="A1294" s="178" t="s">
        <v>124</v>
      </c>
      <c r="B1294" s="75" t="s">
        <v>724</v>
      </c>
      <c r="C1294" s="39" t="s">
        <v>17</v>
      </c>
      <c r="D1294" s="236"/>
      <c r="E1294" s="236"/>
      <c r="F1294" s="236"/>
      <c r="G1294" s="236"/>
      <c r="H1294" s="40">
        <f>SUM(Tabla132112418[[#This Row],[PRIMER TRIMESTRE]:[CUARTO TRIMESTRE]])</f>
        <v>0</v>
      </c>
      <c r="I1294" s="17">
        <v>140</v>
      </c>
      <c r="J1294" s="17">
        <f>+H1294*I1294</f>
        <v>0</v>
      </c>
      <c r="K1294" s="17"/>
      <c r="L1294" s="16" t="s">
        <v>27</v>
      </c>
      <c r="M1294" s="16" t="s">
        <v>22</v>
      </c>
      <c r="N1294" s="39" t="s">
        <v>342</v>
      </c>
    </row>
    <row r="1295" spans="1:14" s="12" customFormat="1" ht="30.75" customHeight="1">
      <c r="A1295" s="178" t="s">
        <v>124</v>
      </c>
      <c r="B1295" s="75" t="s">
        <v>1415</v>
      </c>
      <c r="C1295" s="39" t="s">
        <v>1461</v>
      </c>
      <c r="D1295" s="236"/>
      <c r="E1295" s="236"/>
      <c r="F1295" s="236"/>
      <c r="G1295" s="236"/>
      <c r="H1295" s="40">
        <f>SUM(Tabla132112418[[#This Row],[PRIMER TRIMESTRE]:[CUARTO TRIMESTRE]])</f>
        <v>0</v>
      </c>
      <c r="I1295" s="17">
        <v>55</v>
      </c>
      <c r="J1295" s="17">
        <f>+H1295*I1295</f>
        <v>0</v>
      </c>
      <c r="K1295" s="17"/>
      <c r="L1295" s="16" t="s">
        <v>27</v>
      </c>
      <c r="M1295" s="16" t="s">
        <v>22</v>
      </c>
      <c r="N1295" s="39" t="s">
        <v>342</v>
      </c>
    </row>
    <row r="1296" spans="1:14" s="26" customFormat="1" ht="30.75" customHeight="1">
      <c r="A1296" s="178" t="s">
        <v>124</v>
      </c>
      <c r="B1296" s="75" t="s">
        <v>1735</v>
      </c>
      <c r="C1296" s="39" t="s">
        <v>1461</v>
      </c>
      <c r="D1296" s="236"/>
      <c r="E1296" s="236"/>
      <c r="F1296" s="236"/>
      <c r="G1296" s="236"/>
      <c r="H1296" s="40">
        <v>0</v>
      </c>
      <c r="I1296" s="17">
        <v>0</v>
      </c>
      <c r="J1296" s="17">
        <v>0</v>
      </c>
      <c r="K1296" s="17"/>
      <c r="L1296" s="16" t="s">
        <v>27</v>
      </c>
      <c r="M1296" s="16" t="s">
        <v>22</v>
      </c>
      <c r="N1296" s="39" t="s">
        <v>342</v>
      </c>
    </row>
    <row r="1297" spans="1:14" s="12" customFormat="1" ht="30.75" customHeight="1">
      <c r="A1297" s="178" t="s">
        <v>124</v>
      </c>
      <c r="B1297" s="75" t="s">
        <v>1416</v>
      </c>
      <c r="C1297" s="39" t="s">
        <v>1461</v>
      </c>
      <c r="D1297" s="236"/>
      <c r="E1297" s="236"/>
      <c r="F1297" s="236"/>
      <c r="G1297" s="236"/>
      <c r="H1297" s="40">
        <f>SUM(Tabla132112418[[#This Row],[PRIMER TRIMESTRE]:[CUARTO TRIMESTRE]])</f>
        <v>0</v>
      </c>
      <c r="I1297" s="17">
        <v>100</v>
      </c>
      <c r="J1297" s="17">
        <f>+H1297*I1297</f>
        <v>0</v>
      </c>
      <c r="K1297" s="17"/>
      <c r="L1297" s="16" t="s">
        <v>27</v>
      </c>
      <c r="M1297" s="16" t="s">
        <v>22</v>
      </c>
      <c r="N1297" s="39" t="s">
        <v>342</v>
      </c>
    </row>
    <row r="1298" spans="1:14" s="12" customFormat="1" ht="30.75" customHeight="1">
      <c r="A1298" s="179" t="s">
        <v>124</v>
      </c>
      <c r="B1298" s="76"/>
      <c r="C1298" s="42"/>
      <c r="D1298" s="237"/>
      <c r="E1298" s="237"/>
      <c r="F1298" s="237"/>
      <c r="G1298" s="237"/>
      <c r="H1298" s="43"/>
      <c r="I1298" s="24"/>
      <c r="J1298" s="24"/>
      <c r="K1298" s="25">
        <f>SUM(J1271:J1297)</f>
        <v>2935.31</v>
      </c>
      <c r="L1298" s="23"/>
      <c r="M1298" s="23"/>
      <c r="N1298" s="42"/>
    </row>
    <row r="1299" spans="1:14" s="12" customFormat="1" ht="30.75" customHeight="1">
      <c r="A1299" s="178" t="s">
        <v>295</v>
      </c>
      <c r="B1299" s="75" t="s">
        <v>296</v>
      </c>
      <c r="C1299" s="39" t="s">
        <v>17</v>
      </c>
      <c r="D1299" s="236"/>
      <c r="E1299" s="236"/>
      <c r="F1299" s="236"/>
      <c r="G1299" s="236"/>
      <c r="H1299" s="40">
        <f>SUM(Tabla132112418[[#This Row],[PRIMER TRIMESTRE]:[CUARTO TRIMESTRE]])</f>
        <v>0</v>
      </c>
      <c r="I1299" s="17">
        <v>5300.02</v>
      </c>
      <c r="J1299" s="17">
        <f>+Tabla132112418[[#This Row],[CANTIDAD TOTAL]]*Tabla132112418[[#This Row],[PRECIO UNITARIO ESTIMADO]]</f>
        <v>0</v>
      </c>
      <c r="K1299" s="17"/>
      <c r="L1299" s="16" t="s">
        <v>27</v>
      </c>
      <c r="M1299" s="16" t="s">
        <v>22</v>
      </c>
      <c r="N1299" s="39" t="s">
        <v>342</v>
      </c>
    </row>
    <row r="1300" spans="1:14" s="12" customFormat="1" ht="30.75" customHeight="1">
      <c r="A1300" s="178" t="s">
        <v>295</v>
      </c>
      <c r="B1300" s="75" t="s">
        <v>297</v>
      </c>
      <c r="C1300" s="39" t="s">
        <v>17</v>
      </c>
      <c r="D1300" s="236"/>
      <c r="E1300" s="236"/>
      <c r="F1300" s="236"/>
      <c r="G1300" s="236"/>
      <c r="H1300" s="40">
        <f>SUM(Tabla132112418[[#This Row],[PRIMER TRIMESTRE]:[CUARTO TRIMESTRE]])</f>
        <v>0</v>
      </c>
      <c r="I1300" s="17">
        <v>11775.77</v>
      </c>
      <c r="J1300" s="17">
        <f>+Tabla132112418[[#This Row],[CANTIDAD TOTAL]]*Tabla132112418[[#This Row],[PRECIO UNITARIO ESTIMADO]]</f>
        <v>0</v>
      </c>
      <c r="K1300" s="17"/>
      <c r="L1300" s="16" t="s">
        <v>27</v>
      </c>
      <c r="M1300" s="16" t="s">
        <v>22</v>
      </c>
      <c r="N1300" s="39" t="s">
        <v>342</v>
      </c>
    </row>
    <row r="1301" spans="1:14" s="12" customFormat="1" ht="30.75" customHeight="1">
      <c r="A1301" s="178" t="s">
        <v>295</v>
      </c>
      <c r="B1301" s="75" t="s">
        <v>298</v>
      </c>
      <c r="C1301" s="39" t="s">
        <v>17</v>
      </c>
      <c r="D1301" s="236"/>
      <c r="E1301" s="236"/>
      <c r="F1301" s="236"/>
      <c r="G1301" s="236"/>
      <c r="H1301" s="40">
        <f>SUM(Tabla132112418[[#This Row],[PRIMER TRIMESTRE]:[CUARTO TRIMESTRE]])</f>
        <v>0</v>
      </c>
      <c r="I1301" s="17">
        <v>18999.439999999999</v>
      </c>
      <c r="J1301" s="17">
        <f>+Tabla132112418[[#This Row],[CANTIDAD TOTAL]]*Tabla132112418[[#This Row],[PRECIO UNITARIO ESTIMADO]]</f>
        <v>0</v>
      </c>
      <c r="K1301" s="17"/>
      <c r="L1301" s="16" t="s">
        <v>27</v>
      </c>
      <c r="M1301" s="16" t="s">
        <v>22</v>
      </c>
      <c r="N1301" s="39" t="s">
        <v>342</v>
      </c>
    </row>
    <row r="1302" spans="1:14" s="12" customFormat="1" ht="30.75" customHeight="1">
      <c r="A1302" s="178" t="s">
        <v>295</v>
      </c>
      <c r="B1302" s="75" t="s">
        <v>299</v>
      </c>
      <c r="C1302" s="39" t="s">
        <v>17</v>
      </c>
      <c r="D1302" s="236"/>
      <c r="E1302" s="236"/>
      <c r="F1302" s="236"/>
      <c r="G1302" s="236"/>
      <c r="H1302" s="40">
        <f>SUM(Tabla132112418[[#This Row],[PRIMER TRIMESTRE]:[CUARTO TRIMESTRE]])</f>
        <v>0</v>
      </c>
      <c r="I1302" s="17">
        <v>784</v>
      </c>
      <c r="J1302" s="17">
        <f>+Tabla132112418[[#This Row],[CANTIDAD TOTAL]]*Tabla132112418[[#This Row],[PRECIO UNITARIO ESTIMADO]]</f>
        <v>0</v>
      </c>
      <c r="K1302" s="17"/>
      <c r="L1302" s="16" t="s">
        <v>27</v>
      </c>
      <c r="M1302" s="16" t="s">
        <v>22</v>
      </c>
      <c r="N1302" s="39" t="s">
        <v>342</v>
      </c>
    </row>
    <row r="1303" spans="1:14" s="12" customFormat="1" ht="30.75" customHeight="1">
      <c r="A1303" s="178" t="s">
        <v>295</v>
      </c>
      <c r="B1303" s="75" t="s">
        <v>300</v>
      </c>
      <c r="C1303" s="39" t="s">
        <v>17</v>
      </c>
      <c r="D1303" s="236"/>
      <c r="E1303" s="236"/>
      <c r="F1303" s="236"/>
      <c r="G1303" s="236"/>
      <c r="H1303" s="40">
        <f>SUM(Tabla132112418[[#This Row],[PRIMER TRIMESTRE]:[CUARTO TRIMESTRE]])</f>
        <v>0</v>
      </c>
      <c r="I1303" s="17">
        <v>21495</v>
      </c>
      <c r="J1303" s="17">
        <f>+Tabla132112418[[#This Row],[CANTIDAD TOTAL]]*Tabla132112418[[#This Row],[PRECIO UNITARIO ESTIMADO]]</f>
        <v>0</v>
      </c>
      <c r="K1303" s="17"/>
      <c r="L1303" s="16" t="s">
        <v>27</v>
      </c>
      <c r="M1303" s="16" t="s">
        <v>22</v>
      </c>
      <c r="N1303" s="39" t="s">
        <v>342</v>
      </c>
    </row>
    <row r="1304" spans="1:14" s="12" customFormat="1" ht="30.75" customHeight="1">
      <c r="A1304" s="178" t="s">
        <v>295</v>
      </c>
      <c r="B1304" s="75" t="s">
        <v>337</v>
      </c>
      <c r="C1304" s="39" t="s">
        <v>17</v>
      </c>
      <c r="D1304" s="236"/>
      <c r="E1304" s="236"/>
      <c r="F1304" s="236"/>
      <c r="G1304" s="236"/>
      <c r="H1304" s="40">
        <f>SUM(Tabla132112418[[#This Row],[PRIMER TRIMESTRE]:[CUARTO TRIMESTRE]])</f>
        <v>0</v>
      </c>
      <c r="I1304" s="17">
        <v>3225.3333333333335</v>
      </c>
      <c r="J1304" s="17">
        <f>+Tabla132112418[[#This Row],[CANTIDAD TOTAL]]*Tabla132112418[[#This Row],[PRECIO UNITARIO ESTIMADO]]</f>
        <v>0</v>
      </c>
      <c r="K1304" s="17"/>
      <c r="L1304" s="16" t="s">
        <v>27</v>
      </c>
      <c r="M1304" s="16" t="s">
        <v>22</v>
      </c>
      <c r="N1304" s="39" t="s">
        <v>418</v>
      </c>
    </row>
    <row r="1305" spans="1:14" s="12" customFormat="1" ht="30.75" customHeight="1">
      <c r="A1305" s="178" t="s">
        <v>295</v>
      </c>
      <c r="B1305" s="75" t="s">
        <v>441</v>
      </c>
      <c r="C1305" s="39" t="s">
        <v>17</v>
      </c>
      <c r="D1305" s="236"/>
      <c r="E1305" s="236"/>
      <c r="F1305" s="236"/>
      <c r="G1305" s="236"/>
      <c r="H1305" s="40">
        <f>SUM(Tabla132112418[[#This Row],[PRIMER TRIMESTRE]:[CUARTO TRIMESTRE]])</f>
        <v>0</v>
      </c>
      <c r="I1305" s="17">
        <v>9000</v>
      </c>
      <c r="J1305" s="17">
        <f>+H1305*I1305</f>
        <v>0</v>
      </c>
      <c r="K1305" s="17"/>
      <c r="L1305" s="16" t="s">
        <v>27</v>
      </c>
      <c r="M1305" s="16" t="s">
        <v>22</v>
      </c>
      <c r="N1305" s="39" t="s">
        <v>342</v>
      </c>
    </row>
    <row r="1306" spans="1:14" s="12" customFormat="1" ht="30.75" customHeight="1">
      <c r="A1306" s="178" t="s">
        <v>295</v>
      </c>
      <c r="B1306" s="75" t="s">
        <v>301</v>
      </c>
      <c r="C1306" s="39" t="s">
        <v>17</v>
      </c>
      <c r="D1306" s="236"/>
      <c r="E1306" s="236"/>
      <c r="F1306" s="236"/>
      <c r="G1306" s="236"/>
      <c r="H1306" s="40">
        <f>SUM(Tabla132112418[[#This Row],[PRIMER TRIMESTRE]:[CUARTO TRIMESTRE]])</f>
        <v>0</v>
      </c>
      <c r="I1306" s="17">
        <v>8004</v>
      </c>
      <c r="J1306" s="17">
        <f>+Tabla132112418[[#This Row],[CANTIDAD TOTAL]]*Tabla132112418[[#This Row],[PRECIO UNITARIO ESTIMADO]]</f>
        <v>0</v>
      </c>
      <c r="K1306" s="17"/>
      <c r="L1306" s="16" t="s">
        <v>27</v>
      </c>
      <c r="M1306" s="16" t="s">
        <v>22</v>
      </c>
      <c r="N1306" s="39" t="s">
        <v>342</v>
      </c>
    </row>
    <row r="1307" spans="1:14" s="12" customFormat="1" ht="30.75" customHeight="1">
      <c r="A1307" s="178" t="s">
        <v>295</v>
      </c>
      <c r="B1307" s="75" t="s">
        <v>316</v>
      </c>
      <c r="C1307" s="39" t="s">
        <v>17</v>
      </c>
      <c r="D1307" s="236"/>
      <c r="E1307" s="236"/>
      <c r="F1307" s="236"/>
      <c r="G1307" s="236"/>
      <c r="H1307" s="40">
        <f>SUM(Tabla132112418[[#This Row],[PRIMER TRIMESTRE]:[CUARTO TRIMESTRE]])</f>
        <v>0</v>
      </c>
      <c r="I1307" s="17">
        <v>8802.7999999999993</v>
      </c>
      <c r="J1307" s="17">
        <f>+Tabla132112418[[#This Row],[CANTIDAD TOTAL]]*Tabla132112418[[#This Row],[PRECIO UNITARIO ESTIMADO]]</f>
        <v>0</v>
      </c>
      <c r="K1307" s="17"/>
      <c r="L1307" s="16" t="s">
        <v>27</v>
      </c>
      <c r="M1307" s="16" t="s">
        <v>22</v>
      </c>
      <c r="N1307" s="39" t="s">
        <v>342</v>
      </c>
    </row>
    <row r="1308" spans="1:14" s="26" customFormat="1" ht="30.75" customHeight="1">
      <c r="A1308" s="178" t="s">
        <v>295</v>
      </c>
      <c r="B1308" s="75" t="s">
        <v>322</v>
      </c>
      <c r="C1308" s="39" t="s">
        <v>17</v>
      </c>
      <c r="D1308" s="236"/>
      <c r="E1308" s="236"/>
      <c r="F1308" s="236"/>
      <c r="G1308" s="236"/>
      <c r="H1308" s="40">
        <f>SUM(Tabla132112418[[#This Row],[PRIMER TRIMESTRE]:[CUARTO TRIMESTRE]])</f>
        <v>0</v>
      </c>
      <c r="I1308" s="17">
        <v>64546</v>
      </c>
      <c r="J1308" s="17">
        <f>+Tabla132112418[[#This Row],[CANTIDAD TOTAL]]*Tabla132112418[[#This Row],[PRECIO UNITARIO ESTIMADO]]</f>
        <v>0</v>
      </c>
      <c r="K1308" s="17"/>
      <c r="L1308" s="16" t="s">
        <v>27</v>
      </c>
      <c r="M1308" s="16" t="s">
        <v>22</v>
      </c>
      <c r="N1308" s="39" t="s">
        <v>342</v>
      </c>
    </row>
    <row r="1309" spans="1:14" s="12" customFormat="1" ht="30.75" customHeight="1">
      <c r="A1309" s="178" t="s">
        <v>295</v>
      </c>
      <c r="B1309" s="75" t="s">
        <v>1423</v>
      </c>
      <c r="C1309" s="39" t="s">
        <v>17</v>
      </c>
      <c r="D1309" s="236"/>
      <c r="E1309" s="236"/>
      <c r="F1309" s="236"/>
      <c r="G1309" s="236"/>
      <c r="H1309" s="40">
        <f>SUM(Tabla132112418[[#This Row],[PRIMER TRIMESTRE]:[CUARTO TRIMESTRE]])</f>
        <v>0</v>
      </c>
      <c r="I1309" s="17">
        <v>24978.240000000002</v>
      </c>
      <c r="J1309" s="17">
        <f>+H1309*I1309</f>
        <v>0</v>
      </c>
      <c r="K1309" s="17"/>
      <c r="L1309" s="16" t="s">
        <v>15</v>
      </c>
      <c r="M1309" s="16" t="s">
        <v>22</v>
      </c>
      <c r="N1309" s="39" t="s">
        <v>342</v>
      </c>
    </row>
    <row r="1310" spans="1:14" s="12" customFormat="1" ht="30.75" customHeight="1">
      <c r="A1310" s="179" t="s">
        <v>295</v>
      </c>
      <c r="B1310" s="76"/>
      <c r="C1310" s="42"/>
      <c r="D1310" s="237"/>
      <c r="E1310" s="237"/>
      <c r="F1310" s="237"/>
      <c r="G1310" s="237"/>
      <c r="H1310" s="43"/>
      <c r="I1310" s="24"/>
      <c r="J1310" s="24"/>
      <c r="K1310" s="25">
        <f>SUM(J1299:J1309)</f>
        <v>0</v>
      </c>
      <c r="L1310" s="23"/>
      <c r="M1310" s="23"/>
      <c r="N1310" s="42"/>
    </row>
    <row r="1311" spans="1:14" s="12" customFormat="1" ht="30.75" customHeight="1">
      <c r="A1311" s="178" t="s">
        <v>147</v>
      </c>
      <c r="B1311" s="75" t="s">
        <v>302</v>
      </c>
      <c r="C1311" s="39" t="s">
        <v>17</v>
      </c>
      <c r="D1311" s="236"/>
      <c r="E1311" s="236"/>
      <c r="F1311" s="236"/>
      <c r="G1311" s="236"/>
      <c r="H1311" s="40">
        <f>SUM(Tabla132112418[[#This Row],[PRIMER TRIMESTRE]:[CUARTO TRIMESTRE]])</f>
        <v>0</v>
      </c>
      <c r="I1311" s="17">
        <v>452.4</v>
      </c>
      <c r="J1311" s="17">
        <f>+Tabla132112418[[#This Row],[CANTIDAD TOTAL]]*Tabla132112418[[#This Row],[PRECIO UNITARIO ESTIMADO]]</f>
        <v>0</v>
      </c>
      <c r="K1311" s="17"/>
      <c r="L1311" s="16" t="s">
        <v>27</v>
      </c>
      <c r="M1311" s="16" t="s">
        <v>22</v>
      </c>
      <c r="N1311" s="39" t="s">
        <v>342</v>
      </c>
    </row>
    <row r="1312" spans="1:14" s="12" customFormat="1" ht="30.75" customHeight="1">
      <c r="A1312" s="178" t="s">
        <v>147</v>
      </c>
      <c r="B1312" s="75" t="s">
        <v>326</v>
      </c>
      <c r="C1312" s="39" t="s">
        <v>17</v>
      </c>
      <c r="D1312" s="236"/>
      <c r="E1312" s="236"/>
      <c r="F1312" s="236"/>
      <c r="G1312" s="236"/>
      <c r="H1312" s="40">
        <f>SUM(Tabla132112418[[#This Row],[PRIMER TRIMESTRE]:[CUARTO TRIMESTRE]])</f>
        <v>0</v>
      </c>
      <c r="I1312" s="17">
        <v>2596</v>
      </c>
      <c r="J1312" s="17">
        <f>+Tabla132112418[[#This Row],[CANTIDAD TOTAL]]*Tabla132112418[[#This Row],[PRECIO UNITARIO ESTIMADO]]</f>
        <v>0</v>
      </c>
      <c r="K1312" s="17"/>
      <c r="L1312" s="16" t="s">
        <v>27</v>
      </c>
      <c r="M1312" s="16" t="s">
        <v>22</v>
      </c>
      <c r="N1312" s="39" t="s">
        <v>342</v>
      </c>
    </row>
    <row r="1313" spans="1:14" s="12" customFormat="1" ht="30.75" customHeight="1">
      <c r="A1313" s="180" t="s">
        <v>147</v>
      </c>
      <c r="B1313" s="77" t="s">
        <v>332</v>
      </c>
      <c r="C1313" s="70" t="s">
        <v>17</v>
      </c>
      <c r="D1313" s="210"/>
      <c r="E1313" s="210"/>
      <c r="F1313" s="210"/>
      <c r="G1313" s="210"/>
      <c r="H1313" s="406">
        <f>SUM(Tabla132112418[[#This Row],[PRIMER TRIMESTRE]:[CUARTO TRIMESTRE]])</f>
        <v>0</v>
      </c>
      <c r="I1313" s="17">
        <v>460.2</v>
      </c>
      <c r="J1313" s="17">
        <f>+Tabla132112418[[#This Row],[CANTIDAD TOTAL]]*Tabla132112418[[#This Row],[PRECIO UNITARIO ESTIMADO]]</f>
        <v>0</v>
      </c>
      <c r="K1313" s="17"/>
      <c r="L1313" s="16" t="s">
        <v>27</v>
      </c>
      <c r="M1313" s="16" t="s">
        <v>22</v>
      </c>
      <c r="N1313" s="39" t="s">
        <v>342</v>
      </c>
    </row>
    <row r="1314" spans="1:14" s="12" customFormat="1" ht="30.75" customHeight="1">
      <c r="A1314" s="178" t="s">
        <v>147</v>
      </c>
      <c r="B1314" s="75" t="s">
        <v>333</v>
      </c>
      <c r="C1314" s="39" t="s">
        <v>17</v>
      </c>
      <c r="D1314" s="236"/>
      <c r="E1314" s="236"/>
      <c r="F1314" s="236"/>
      <c r="G1314" s="236"/>
      <c r="H1314" s="40">
        <f>SUM(Tabla132112418[[#This Row],[PRIMER TRIMESTRE]:[CUARTO TRIMESTRE]])</f>
        <v>0</v>
      </c>
      <c r="I1314" s="17">
        <f>76995/450</f>
        <v>171.1</v>
      </c>
      <c r="J1314" s="17">
        <f>+Tabla132112418[[#This Row],[CANTIDAD TOTAL]]*Tabla132112418[[#This Row],[PRECIO UNITARIO ESTIMADO]]</f>
        <v>0</v>
      </c>
      <c r="K1314" s="17"/>
      <c r="L1314" s="16" t="s">
        <v>27</v>
      </c>
      <c r="M1314" s="16" t="s">
        <v>22</v>
      </c>
      <c r="N1314" s="39" t="s">
        <v>342</v>
      </c>
    </row>
    <row r="1315" spans="1:14" s="12" customFormat="1" ht="30.75" customHeight="1">
      <c r="A1315" s="178" t="s">
        <v>147</v>
      </c>
      <c r="B1315" s="75" t="s">
        <v>1580</v>
      </c>
      <c r="C1315" s="39" t="s">
        <v>149</v>
      </c>
      <c r="D1315" s="236"/>
      <c r="E1315" s="236"/>
      <c r="F1315" s="236"/>
      <c r="G1315" s="236"/>
      <c r="H1315" s="236">
        <f>SUM(Tabla132112418[[#This Row],[PRIMER TRIMESTRE]:[CUARTO TRIMESTRE]])</f>
        <v>0</v>
      </c>
      <c r="I1315" s="17">
        <v>3250</v>
      </c>
      <c r="J1315" s="17">
        <f>+H1315*I1315</f>
        <v>0</v>
      </c>
      <c r="K1315" s="17"/>
      <c r="L1315" s="16" t="s">
        <v>27</v>
      </c>
      <c r="M1315" s="16" t="s">
        <v>22</v>
      </c>
      <c r="N1315" s="39" t="s">
        <v>342</v>
      </c>
    </row>
    <row r="1316" spans="1:14" s="12" customFormat="1" ht="30.75" customHeight="1">
      <c r="A1316" s="178" t="s">
        <v>147</v>
      </c>
      <c r="B1316" s="75" t="s">
        <v>1581</v>
      </c>
      <c r="C1316" s="39" t="s">
        <v>149</v>
      </c>
      <c r="D1316" s="236"/>
      <c r="E1316" s="236"/>
      <c r="F1316" s="236"/>
      <c r="G1316" s="236"/>
      <c r="H1316" s="236">
        <f>SUM(Tabla132112418[[#This Row],[PRIMER TRIMESTRE]:[CUARTO TRIMESTRE]])</f>
        <v>0</v>
      </c>
      <c r="I1316" s="17">
        <v>3250</v>
      </c>
      <c r="J1316" s="17">
        <f>+H1316*I1316</f>
        <v>0</v>
      </c>
      <c r="K1316" s="17"/>
      <c r="L1316" s="16" t="s">
        <v>27</v>
      </c>
      <c r="M1316" s="16" t="s">
        <v>22</v>
      </c>
      <c r="N1316" s="39" t="s">
        <v>342</v>
      </c>
    </row>
    <row r="1317" spans="1:14" s="12" customFormat="1" ht="30.75" customHeight="1">
      <c r="A1317" s="178" t="s">
        <v>147</v>
      </c>
      <c r="B1317" s="75" t="s">
        <v>1579</v>
      </c>
      <c r="C1317" s="39" t="s">
        <v>149</v>
      </c>
      <c r="D1317" s="236"/>
      <c r="E1317" s="236"/>
      <c r="F1317" s="236"/>
      <c r="G1317" s="236"/>
      <c r="H1317" s="236">
        <f>SUM(Tabla132112418[[#This Row],[PRIMER TRIMESTRE]:[CUARTO TRIMESTRE]])</f>
        <v>0</v>
      </c>
      <c r="I1317" s="17">
        <v>3250</v>
      </c>
      <c r="J1317" s="17">
        <f>+H1317*I1317</f>
        <v>0</v>
      </c>
      <c r="K1317" s="17"/>
      <c r="L1317" s="16" t="s">
        <v>27</v>
      </c>
      <c r="M1317" s="16" t="s">
        <v>22</v>
      </c>
      <c r="N1317" s="39" t="s">
        <v>342</v>
      </c>
    </row>
    <row r="1318" spans="1:14" s="12" customFormat="1" ht="30.75" customHeight="1">
      <c r="A1318" s="178" t="s">
        <v>147</v>
      </c>
      <c r="B1318" s="75" t="s">
        <v>303</v>
      </c>
      <c r="C1318" s="39" t="s">
        <v>149</v>
      </c>
      <c r="D1318" s="236"/>
      <c r="E1318" s="236"/>
      <c r="F1318" s="236"/>
      <c r="G1318" s="236"/>
      <c r="H1318" s="236">
        <f>SUM(Tabla132112418[[#This Row],[PRIMER TRIMESTRE]:[CUARTO TRIMESTRE]])</f>
        <v>0</v>
      </c>
      <c r="I1318" s="17">
        <v>1856</v>
      </c>
      <c r="J1318" s="17">
        <f>+Tabla132112418[[#This Row],[CANTIDAD TOTAL]]*Tabla132112418[[#This Row],[PRECIO UNITARIO ESTIMADO]]</f>
        <v>0</v>
      </c>
      <c r="K1318" s="17"/>
      <c r="L1318" s="16" t="s">
        <v>27</v>
      </c>
      <c r="M1318" s="16" t="s">
        <v>22</v>
      </c>
      <c r="N1318" s="39" t="s">
        <v>342</v>
      </c>
    </row>
    <row r="1319" spans="1:14" s="12" customFormat="1" ht="30.75" customHeight="1">
      <c r="A1319" s="178" t="s">
        <v>147</v>
      </c>
      <c r="B1319" s="75" t="s">
        <v>1582</v>
      </c>
      <c r="C1319" s="39" t="s">
        <v>149</v>
      </c>
      <c r="D1319" s="236"/>
      <c r="E1319" s="236"/>
      <c r="F1319" s="236"/>
      <c r="G1319" s="236"/>
      <c r="H1319" s="236">
        <f>SUM(Tabla132112418[[#This Row],[PRIMER TRIMESTRE]:[CUARTO TRIMESTRE]])</f>
        <v>0</v>
      </c>
      <c r="I1319" s="17">
        <v>1680</v>
      </c>
      <c r="J1319" s="17">
        <f>+H1319*I1319</f>
        <v>0</v>
      </c>
      <c r="K1319" s="17"/>
      <c r="L1319" s="16" t="s">
        <v>27</v>
      </c>
      <c r="M1319" s="16" t="s">
        <v>22</v>
      </c>
      <c r="N1319" s="39" t="s">
        <v>342</v>
      </c>
    </row>
    <row r="1320" spans="1:14" s="12" customFormat="1" ht="30.75" customHeight="1">
      <c r="A1320" s="178" t="s">
        <v>147</v>
      </c>
      <c r="B1320" s="75" t="s">
        <v>1583</v>
      </c>
      <c r="C1320" s="39" t="s">
        <v>149</v>
      </c>
      <c r="D1320" s="236"/>
      <c r="E1320" s="236"/>
      <c r="F1320" s="236"/>
      <c r="G1320" s="236"/>
      <c r="H1320" s="236">
        <f>SUM(Tabla132112418[[#This Row],[PRIMER TRIMESTRE]:[CUARTO TRIMESTRE]])</f>
        <v>0</v>
      </c>
      <c r="I1320" s="17">
        <v>1615</v>
      </c>
      <c r="J1320" s="17">
        <f>+H1320*I1320</f>
        <v>0</v>
      </c>
      <c r="K1320" s="17"/>
      <c r="L1320" s="16" t="s">
        <v>27</v>
      </c>
      <c r="M1320" s="16" t="s">
        <v>22</v>
      </c>
      <c r="N1320" s="39" t="s">
        <v>342</v>
      </c>
    </row>
    <row r="1321" spans="1:14" s="12" customFormat="1" ht="30.75" customHeight="1">
      <c r="A1321" s="178" t="s">
        <v>147</v>
      </c>
      <c r="B1321" s="75" t="s">
        <v>1584</v>
      </c>
      <c r="C1321" s="39" t="s">
        <v>149</v>
      </c>
      <c r="D1321" s="236"/>
      <c r="E1321" s="236"/>
      <c r="F1321" s="236"/>
      <c r="G1321" s="236"/>
      <c r="H1321" s="236">
        <f>SUM(Tabla132112418[[#This Row],[PRIMER TRIMESTRE]:[CUARTO TRIMESTRE]])</f>
        <v>0</v>
      </c>
      <c r="I1321" s="17">
        <v>1615</v>
      </c>
      <c r="J1321" s="17">
        <f>+H1321*I1321</f>
        <v>0</v>
      </c>
      <c r="K1321" s="17"/>
      <c r="L1321" s="16" t="s">
        <v>27</v>
      </c>
      <c r="M1321" s="16" t="s">
        <v>22</v>
      </c>
      <c r="N1321" s="39" t="s">
        <v>342</v>
      </c>
    </row>
    <row r="1322" spans="1:14" s="12" customFormat="1" ht="30.75" customHeight="1">
      <c r="A1322" s="178" t="s">
        <v>147</v>
      </c>
      <c r="B1322" s="75" t="s">
        <v>1585</v>
      </c>
      <c r="C1322" s="39" t="s">
        <v>149</v>
      </c>
      <c r="D1322" s="236"/>
      <c r="E1322" s="236"/>
      <c r="F1322" s="236"/>
      <c r="G1322" s="236"/>
      <c r="H1322" s="236">
        <f>SUM(Tabla132112418[[#This Row],[PRIMER TRIMESTRE]:[CUARTO TRIMESTRE]])</f>
        <v>0</v>
      </c>
      <c r="I1322" s="17">
        <v>1615</v>
      </c>
      <c r="J1322" s="17">
        <f>+H1322*I1322</f>
        <v>0</v>
      </c>
      <c r="K1322" s="17"/>
      <c r="L1322" s="16" t="s">
        <v>27</v>
      </c>
      <c r="M1322" s="16" t="s">
        <v>22</v>
      </c>
      <c r="N1322" s="39" t="s">
        <v>342</v>
      </c>
    </row>
    <row r="1323" spans="1:14" s="12" customFormat="1" ht="30.75" customHeight="1">
      <c r="A1323" s="178" t="s">
        <v>147</v>
      </c>
      <c r="B1323" s="75" t="s">
        <v>1586</v>
      </c>
      <c r="C1323" s="39" t="s">
        <v>149</v>
      </c>
      <c r="D1323" s="236"/>
      <c r="E1323" s="236"/>
      <c r="F1323" s="236"/>
      <c r="G1323" s="236"/>
      <c r="H1323" s="236">
        <f>SUM(Tabla132112418[[#This Row],[PRIMER TRIMESTRE]:[CUARTO TRIMESTRE]])</f>
        <v>0</v>
      </c>
      <c r="I1323" s="17">
        <v>1615</v>
      </c>
      <c r="J1323" s="17">
        <f>+H1323*I1323</f>
        <v>0</v>
      </c>
      <c r="K1323" s="17"/>
      <c r="L1323" s="16" t="s">
        <v>27</v>
      </c>
      <c r="M1323" s="16" t="s">
        <v>22</v>
      </c>
      <c r="N1323" s="39" t="s">
        <v>342</v>
      </c>
    </row>
    <row r="1324" spans="1:14" s="12" customFormat="1" ht="30.75" customHeight="1">
      <c r="A1324" s="178" t="s">
        <v>147</v>
      </c>
      <c r="B1324" s="75" t="s">
        <v>1272</v>
      </c>
      <c r="C1324" s="39" t="s">
        <v>149</v>
      </c>
      <c r="D1324" s="236"/>
      <c r="E1324" s="236"/>
      <c r="F1324" s="236"/>
      <c r="G1324" s="236"/>
      <c r="H1324" s="40">
        <f>SUM(Tabla132112418[[#This Row],[PRIMER TRIMESTRE]:[CUARTO TRIMESTRE]])</f>
        <v>0</v>
      </c>
      <c r="I1324" s="17">
        <v>488.31</v>
      </c>
      <c r="J1324" s="17">
        <f>+Tabla132112418[[#This Row],[CANTIDAD TOTAL]]*Tabla132112418[[#This Row],[PRECIO UNITARIO ESTIMADO]]</f>
        <v>0</v>
      </c>
      <c r="K1324" s="17"/>
      <c r="L1324" s="16" t="s">
        <v>27</v>
      </c>
      <c r="M1324" s="16" t="s">
        <v>22</v>
      </c>
      <c r="N1324" s="39" t="s">
        <v>342</v>
      </c>
    </row>
    <row r="1325" spans="1:14" s="12" customFormat="1" ht="30.75" customHeight="1">
      <c r="A1325" s="178" t="s">
        <v>147</v>
      </c>
      <c r="B1325" s="75" t="s">
        <v>1273</v>
      </c>
      <c r="C1325" s="39" t="s">
        <v>149</v>
      </c>
      <c r="D1325" s="236"/>
      <c r="E1325" s="241"/>
      <c r="F1325" s="236"/>
      <c r="G1325" s="236"/>
      <c r="H1325" s="40">
        <f>SUM(Tabla132112418[[#This Row],[PRIMER TRIMESTRE]:[CUARTO TRIMESTRE]])</f>
        <v>0</v>
      </c>
      <c r="I1325" s="17">
        <v>550.4</v>
      </c>
      <c r="J1325" s="17">
        <f>+H1325*I1325</f>
        <v>0</v>
      </c>
      <c r="K1325" s="17"/>
      <c r="L1325" s="16" t="s">
        <v>27</v>
      </c>
      <c r="M1325" s="16" t="s">
        <v>22</v>
      </c>
      <c r="N1325" s="39" t="s">
        <v>342</v>
      </c>
    </row>
    <row r="1326" spans="1:14" s="12" customFormat="1" ht="30.75" customHeight="1">
      <c r="A1326" s="178" t="s">
        <v>147</v>
      </c>
      <c r="B1326" s="75" t="s">
        <v>1274</v>
      </c>
      <c r="C1326" s="39" t="s">
        <v>17</v>
      </c>
      <c r="D1326" s="236"/>
      <c r="E1326" s="236"/>
      <c r="F1326" s="236"/>
      <c r="G1326" s="236"/>
      <c r="H1326" s="40">
        <f>SUM(Tabla132112418[[#This Row],[PRIMER TRIMESTRE]:[CUARTO TRIMESTRE]])</f>
        <v>0</v>
      </c>
      <c r="I1326" s="17">
        <v>450</v>
      </c>
      <c r="J1326" s="17">
        <f>+H1326*I1326</f>
        <v>0</v>
      </c>
      <c r="K1326" s="17"/>
      <c r="L1326" s="16" t="s">
        <v>27</v>
      </c>
      <c r="M1326" s="16" t="s">
        <v>22</v>
      </c>
      <c r="N1326" s="39" t="s">
        <v>342</v>
      </c>
    </row>
    <row r="1327" spans="1:14" s="26" customFormat="1" ht="30.75" customHeight="1">
      <c r="A1327" s="178" t="s">
        <v>147</v>
      </c>
      <c r="B1327" s="75" t="s">
        <v>1270</v>
      </c>
      <c r="C1327" s="39" t="s">
        <v>17</v>
      </c>
      <c r="D1327" s="236"/>
      <c r="E1327" s="236"/>
      <c r="F1327" s="236"/>
      <c r="G1327" s="236"/>
      <c r="H1327" s="40">
        <f>SUM(Tabla132112418[[#This Row],[PRIMER TRIMESTRE]:[CUARTO TRIMESTRE]])</f>
        <v>0</v>
      </c>
      <c r="I1327" s="17">
        <v>850</v>
      </c>
      <c r="J1327" s="17">
        <f>+H1327*I1327</f>
        <v>0</v>
      </c>
      <c r="K1327" s="17"/>
      <c r="L1327" s="16" t="s">
        <v>27</v>
      </c>
      <c r="M1327" s="16" t="s">
        <v>22</v>
      </c>
      <c r="N1327" s="39" t="s">
        <v>342</v>
      </c>
    </row>
    <row r="1328" spans="1:14" s="12" customFormat="1" ht="30.75" customHeight="1">
      <c r="A1328" s="178" t="s">
        <v>147</v>
      </c>
      <c r="B1328" s="75" t="s">
        <v>1271</v>
      </c>
      <c r="C1328" s="39" t="s">
        <v>17</v>
      </c>
      <c r="D1328" s="236"/>
      <c r="E1328" s="236"/>
      <c r="F1328" s="236"/>
      <c r="G1328" s="236"/>
      <c r="H1328" s="40">
        <f>SUM(Tabla132112418[[#This Row],[PRIMER TRIMESTRE]:[CUARTO TRIMESTRE]])</f>
        <v>0</v>
      </c>
      <c r="I1328" s="17">
        <v>250</v>
      </c>
      <c r="J1328" s="17">
        <f>+H1328*I1328</f>
        <v>0</v>
      </c>
      <c r="K1328" s="17"/>
      <c r="L1328" s="16" t="s">
        <v>27</v>
      </c>
      <c r="M1328" s="16" t="s">
        <v>22</v>
      </c>
      <c r="N1328" s="39" t="s">
        <v>342</v>
      </c>
    </row>
    <row r="1329" spans="1:14" s="12" customFormat="1" ht="30.75" customHeight="1">
      <c r="A1329" s="179" t="s">
        <v>147</v>
      </c>
      <c r="B1329" s="76"/>
      <c r="C1329" s="42"/>
      <c r="D1329" s="237"/>
      <c r="E1329" s="237"/>
      <c r="F1329" s="237"/>
      <c r="G1329" s="237"/>
      <c r="H1329" s="43"/>
      <c r="I1329" s="24"/>
      <c r="J1329" s="24"/>
      <c r="K1329" s="25">
        <f>SUM(J1311:J1328)</f>
        <v>0</v>
      </c>
      <c r="L1329" s="23"/>
      <c r="M1329" s="23"/>
      <c r="N1329" s="42"/>
    </row>
    <row r="1330" spans="1:14" s="12" customFormat="1" ht="30.75" customHeight="1">
      <c r="A1330" s="178" t="s">
        <v>153</v>
      </c>
      <c r="B1330" s="75" t="s">
        <v>1908</v>
      </c>
      <c r="C1330" s="412" t="s">
        <v>17</v>
      </c>
      <c r="D1330" s="236"/>
      <c r="E1330" s="236"/>
      <c r="F1330" s="236"/>
      <c r="G1330" s="236"/>
      <c r="H1330" s="244">
        <f>SUM(Tabla132112418[[#This Row],[PRIMER TRIMESTRE]:[CUARTO TRIMESTRE]])</f>
        <v>0</v>
      </c>
      <c r="I1330" s="17">
        <v>0</v>
      </c>
      <c r="J1330" s="17">
        <f t="shared" ref="J1330:J1335" si="34">+H1330*I1330</f>
        <v>0</v>
      </c>
      <c r="K1330" s="286"/>
      <c r="L1330" s="16" t="s">
        <v>15</v>
      </c>
      <c r="M1330" s="16" t="s">
        <v>22</v>
      </c>
      <c r="N1330" s="39" t="s">
        <v>342</v>
      </c>
    </row>
    <row r="1331" spans="1:14" s="12" customFormat="1" ht="30.75" customHeight="1">
      <c r="A1331" s="15" t="s">
        <v>153</v>
      </c>
      <c r="B1331" s="75" t="s">
        <v>2648</v>
      </c>
      <c r="C1331" s="39" t="s">
        <v>17</v>
      </c>
      <c r="D1331" s="236">
        <v>150</v>
      </c>
      <c r="E1331" s="236"/>
      <c r="F1331" s="236">
        <v>150</v>
      </c>
      <c r="G1331" s="236"/>
      <c r="H1331" s="522"/>
      <c r="I1331" s="17">
        <v>0</v>
      </c>
      <c r="J1331" s="17">
        <f t="shared" si="34"/>
        <v>0</v>
      </c>
      <c r="K1331" s="17"/>
      <c r="L1331" s="16"/>
      <c r="M1331" s="16"/>
      <c r="N1331" s="39"/>
    </row>
    <row r="1332" spans="1:14" s="12" customFormat="1" ht="30.75" customHeight="1">
      <c r="A1332" s="178" t="s">
        <v>1909</v>
      </c>
      <c r="B1332" s="75" t="s">
        <v>1910</v>
      </c>
      <c r="C1332" s="412" t="s">
        <v>17</v>
      </c>
      <c r="D1332" s="236"/>
      <c r="E1332" s="236"/>
      <c r="F1332" s="236"/>
      <c r="G1332" s="236"/>
      <c r="H1332" s="244">
        <v>0</v>
      </c>
      <c r="I1332" s="17">
        <v>0</v>
      </c>
      <c r="J1332" s="17">
        <f t="shared" si="34"/>
        <v>0</v>
      </c>
      <c r="K1332" s="286"/>
      <c r="L1332" s="16" t="s">
        <v>15</v>
      </c>
      <c r="M1332" s="16" t="s">
        <v>22</v>
      </c>
      <c r="N1332" s="39" t="s">
        <v>342</v>
      </c>
    </row>
    <row r="1333" spans="1:14" s="12" customFormat="1" ht="30.75" customHeight="1">
      <c r="A1333" s="178" t="s">
        <v>1909</v>
      </c>
      <c r="B1333" s="75" t="s">
        <v>1911</v>
      </c>
      <c r="C1333" s="412" t="s">
        <v>17</v>
      </c>
      <c r="D1333" s="236"/>
      <c r="E1333" s="236"/>
      <c r="F1333" s="236"/>
      <c r="G1333" s="236"/>
      <c r="H1333" s="244">
        <f>SUM(Tabla132112418[[#This Row],[PRIMER TRIMESTRE]:[CUARTO TRIMESTRE]])</f>
        <v>0</v>
      </c>
      <c r="I1333" s="17">
        <v>1</v>
      </c>
      <c r="J1333" s="17">
        <f t="shared" si="34"/>
        <v>0</v>
      </c>
      <c r="K1333" s="17"/>
      <c r="L1333" s="16" t="s">
        <v>15</v>
      </c>
      <c r="M1333" s="16" t="s">
        <v>22</v>
      </c>
      <c r="N1333" s="39" t="s">
        <v>342</v>
      </c>
    </row>
    <row r="1334" spans="1:14" s="12" customFormat="1" ht="30.75" customHeight="1">
      <c r="A1334" s="178" t="s">
        <v>153</v>
      </c>
      <c r="B1334" s="75" t="s">
        <v>1664</v>
      </c>
      <c r="C1334" s="412" t="s">
        <v>17</v>
      </c>
      <c r="D1334" s="236"/>
      <c r="E1334" s="236"/>
      <c r="F1334" s="236"/>
      <c r="G1334" s="236"/>
      <c r="H1334" s="244">
        <f>SUM(Tabla132112418[[#This Row],[PRIMER TRIMESTRE]:[CUARTO TRIMESTRE]])</f>
        <v>0</v>
      </c>
      <c r="I1334" s="17">
        <v>1</v>
      </c>
      <c r="J1334" s="17">
        <f t="shared" si="34"/>
        <v>0</v>
      </c>
      <c r="K1334" s="17"/>
      <c r="L1334" s="16" t="s">
        <v>15</v>
      </c>
      <c r="M1334" s="16" t="s">
        <v>22</v>
      </c>
      <c r="N1334" s="39" t="s">
        <v>342</v>
      </c>
    </row>
    <row r="1335" spans="1:14" s="12" customFormat="1" ht="30.75" customHeight="1">
      <c r="A1335" s="178" t="s">
        <v>153</v>
      </c>
      <c r="B1335" s="75" t="s">
        <v>1665</v>
      </c>
      <c r="C1335" s="412" t="s">
        <v>17</v>
      </c>
      <c r="D1335" s="236"/>
      <c r="E1335" s="236"/>
      <c r="F1335" s="236"/>
      <c r="G1335" s="236"/>
      <c r="H1335" s="244">
        <f>SUM(Tabla132112418[[#This Row],[PRIMER TRIMESTRE]:[CUARTO TRIMESTRE]])</f>
        <v>0</v>
      </c>
      <c r="I1335" s="17">
        <v>0</v>
      </c>
      <c r="J1335" s="17">
        <f t="shared" si="34"/>
        <v>0</v>
      </c>
      <c r="K1335" s="286"/>
      <c r="L1335" s="16" t="s">
        <v>15</v>
      </c>
      <c r="M1335" s="16" t="s">
        <v>22</v>
      </c>
      <c r="N1335" s="39" t="s">
        <v>342</v>
      </c>
    </row>
    <row r="1336" spans="1:14" s="12" customFormat="1" ht="30.75" customHeight="1">
      <c r="A1336" s="178" t="s">
        <v>153</v>
      </c>
      <c r="B1336" s="75" t="s">
        <v>768</v>
      </c>
      <c r="C1336" s="39" t="s">
        <v>17</v>
      </c>
      <c r="D1336" s="236"/>
      <c r="E1336" s="236"/>
      <c r="F1336" s="236"/>
      <c r="G1336" s="236"/>
      <c r="H1336" s="244">
        <f>SUM(Tabla132112418[[#This Row],[PRIMER TRIMESTRE]:[CUARTO TRIMESTRE]])</f>
        <v>0</v>
      </c>
      <c r="I1336" s="17">
        <v>48.75</v>
      </c>
      <c r="J1336" s="17">
        <f>+H1336*I1336</f>
        <v>0</v>
      </c>
      <c r="K1336" s="17"/>
      <c r="L1336" s="16" t="s">
        <v>15</v>
      </c>
      <c r="M1336" s="16" t="s">
        <v>22</v>
      </c>
      <c r="N1336" s="39" t="s">
        <v>342</v>
      </c>
    </row>
    <row r="1337" spans="1:14" s="12" customFormat="1" ht="30.75" customHeight="1">
      <c r="A1337" s="178" t="s">
        <v>153</v>
      </c>
      <c r="B1337" s="75" t="s">
        <v>1417</v>
      </c>
      <c r="C1337" s="39" t="s">
        <v>17</v>
      </c>
      <c r="D1337" s="236"/>
      <c r="E1337" s="236"/>
      <c r="F1337" s="236"/>
      <c r="G1337" s="236"/>
      <c r="H1337" s="236">
        <f>SUM(Tabla132112418[[#This Row],[PRIMER TRIMESTRE]:[CUARTO TRIMESTRE]])</f>
        <v>0</v>
      </c>
      <c r="I1337" s="17">
        <v>9</v>
      </c>
      <c r="J1337" s="17">
        <f>+H1337*I1337</f>
        <v>0</v>
      </c>
      <c r="K1337" s="17"/>
      <c r="L1337" s="16" t="s">
        <v>18</v>
      </c>
      <c r="M1337" s="16" t="s">
        <v>22</v>
      </c>
      <c r="N1337" s="39" t="s">
        <v>342</v>
      </c>
    </row>
    <row r="1338" spans="1:14" s="26" customFormat="1" ht="30.75" customHeight="1">
      <c r="A1338" s="178" t="s">
        <v>153</v>
      </c>
      <c r="B1338" s="75" t="s">
        <v>1627</v>
      </c>
      <c r="C1338" s="39" t="s">
        <v>17</v>
      </c>
      <c r="D1338" s="236"/>
      <c r="E1338" s="236"/>
      <c r="F1338" s="236"/>
      <c r="G1338" s="236"/>
      <c r="H1338" s="236">
        <f>SUM(Tabla132112418[[#This Row],[PRIMER TRIMESTRE]:[CUARTO TRIMESTRE]])</f>
        <v>0</v>
      </c>
      <c r="I1338" s="17">
        <v>30</v>
      </c>
      <c r="J1338" s="17">
        <f>+H1338*I1338</f>
        <v>0</v>
      </c>
      <c r="K1338" s="178"/>
      <c r="L1338" s="16" t="s">
        <v>18</v>
      </c>
      <c r="M1338" s="16" t="s">
        <v>22</v>
      </c>
      <c r="N1338" s="39" t="s">
        <v>342</v>
      </c>
    </row>
    <row r="1339" spans="1:14" s="169" customFormat="1" ht="30.75" customHeight="1">
      <c r="A1339" s="178" t="s">
        <v>153</v>
      </c>
      <c r="B1339" s="75" t="s">
        <v>1466</v>
      </c>
      <c r="C1339" s="39" t="s">
        <v>17</v>
      </c>
      <c r="D1339" s="236"/>
      <c r="E1339" s="236"/>
      <c r="F1339" s="236"/>
      <c r="G1339" s="236"/>
      <c r="H1339" s="244">
        <f>SUM(Tabla132112418[[#This Row],[PRIMER TRIMESTRE]:[CUARTO TRIMESTRE]])</f>
        <v>0</v>
      </c>
      <c r="I1339" s="17">
        <v>2200</v>
      </c>
      <c r="J1339" s="17">
        <f>+H1339*I1339</f>
        <v>0</v>
      </c>
      <c r="K1339" s="17"/>
      <c r="L1339" s="16" t="s">
        <v>18</v>
      </c>
      <c r="M1339" s="16" t="s">
        <v>22</v>
      </c>
      <c r="N1339" s="39" t="s">
        <v>342</v>
      </c>
    </row>
    <row r="1340" spans="1:14" s="169" customFormat="1" ht="49.5" customHeight="1">
      <c r="A1340" s="179" t="s">
        <v>153</v>
      </c>
      <c r="B1340" s="76"/>
      <c r="C1340" s="42"/>
      <c r="D1340" s="237"/>
      <c r="E1340" s="237"/>
      <c r="F1340" s="237"/>
      <c r="G1340" s="237"/>
      <c r="H1340" s="43"/>
      <c r="I1340" s="24"/>
      <c r="J1340" s="24"/>
      <c r="K1340" s="25">
        <f>SUM(J1336:J1339)</f>
        <v>0</v>
      </c>
      <c r="L1340" s="23"/>
      <c r="M1340" s="23"/>
      <c r="N1340" s="42"/>
    </row>
    <row r="1341" spans="1:14" s="169" customFormat="1" ht="30.75" customHeight="1">
      <c r="A1341" s="523"/>
      <c r="B1341" s="75" t="s">
        <v>2649</v>
      </c>
      <c r="C1341" s="39" t="s">
        <v>17</v>
      </c>
      <c r="D1341" s="236">
        <v>1</v>
      </c>
      <c r="E1341" s="236"/>
      <c r="F1341" s="236"/>
      <c r="G1341" s="236"/>
      <c r="H1341" s="244">
        <f>SUM(Tabla132112418[[#This Row],[PRIMER TRIMESTRE]:[CUARTO TRIMESTRE]])</f>
        <v>1</v>
      </c>
      <c r="I1341" s="17">
        <v>5000000</v>
      </c>
      <c r="J1341" s="17">
        <f>+H1341*I1341</f>
        <v>5000000</v>
      </c>
      <c r="K1341" s="17"/>
      <c r="L1341" s="16"/>
      <c r="M1341" s="16"/>
      <c r="N1341" s="39"/>
    </row>
    <row r="1342" spans="1:14" s="169" customFormat="1" ht="30.75" customHeight="1">
      <c r="A1342" s="105"/>
      <c r="B1342" s="75" t="s">
        <v>2650</v>
      </c>
      <c r="C1342" s="39" t="s">
        <v>17</v>
      </c>
      <c r="D1342" s="236">
        <v>1</v>
      </c>
      <c r="E1342" s="236"/>
      <c r="F1342" s="236"/>
      <c r="G1342" s="236"/>
      <c r="H1342" s="46">
        <f>SUM(Tabla132112418[[#This Row],[PRIMER TRIMESTRE]:[CUARTO TRIMESTRE]])</f>
        <v>1</v>
      </c>
      <c r="I1342" s="17">
        <v>2000000</v>
      </c>
      <c r="J1342" s="17">
        <f>+H1342*I1342</f>
        <v>2000000</v>
      </c>
      <c r="K1342" s="17"/>
      <c r="L1342" s="16"/>
      <c r="M1342" s="16"/>
      <c r="N1342" s="39"/>
    </row>
    <row r="1343" spans="1:14" s="169" customFormat="1" ht="30.75" customHeight="1">
      <c r="A1343" s="105"/>
      <c r="B1343" s="75" t="s">
        <v>2651</v>
      </c>
      <c r="C1343" s="39" t="s">
        <v>17</v>
      </c>
      <c r="D1343" s="236">
        <v>1</v>
      </c>
      <c r="E1343" s="236"/>
      <c r="F1343" s="236"/>
      <c r="G1343" s="236"/>
      <c r="H1343" s="46">
        <f>SUM(Tabla132112418[[#This Row],[PRIMER TRIMESTRE]:[CUARTO TRIMESTRE]])</f>
        <v>1</v>
      </c>
      <c r="I1343" s="17">
        <v>2500000</v>
      </c>
      <c r="J1343" s="17">
        <f>+H1343*I1343</f>
        <v>2500000</v>
      </c>
      <c r="K1343" s="17"/>
      <c r="L1343" s="16"/>
      <c r="M1343" s="16"/>
      <c r="N1343" s="39"/>
    </row>
    <row r="1344" spans="1:14" s="169" customFormat="1" ht="30.75" customHeight="1">
      <c r="A1344" s="105"/>
      <c r="B1344" s="75" t="s">
        <v>2652</v>
      </c>
      <c r="C1344" s="39" t="s">
        <v>17</v>
      </c>
      <c r="D1344" s="236">
        <v>1</v>
      </c>
      <c r="E1344" s="236"/>
      <c r="F1344" s="236"/>
      <c r="G1344" s="236"/>
      <c r="H1344" s="46">
        <f>SUM(Tabla132112418[[#This Row],[PRIMER TRIMESTRE]:[CUARTO TRIMESTRE]])</f>
        <v>1</v>
      </c>
      <c r="I1344" s="17">
        <v>2500000</v>
      </c>
      <c r="J1344" s="17">
        <f>+H1344*I1344</f>
        <v>2500000</v>
      </c>
      <c r="K1344" s="17"/>
      <c r="L1344" s="16"/>
      <c r="M1344" s="16"/>
      <c r="N1344" s="39"/>
    </row>
    <row r="1345" spans="1:14" s="169" customFormat="1" ht="49.5" customHeight="1">
      <c r="A1345" s="524"/>
      <c r="B1345" s="525"/>
      <c r="C1345" s="42"/>
      <c r="D1345" s="237"/>
      <c r="E1345" s="237"/>
      <c r="F1345" s="237"/>
      <c r="G1345" s="237"/>
      <c r="H1345" s="43"/>
      <c r="I1345" s="24"/>
      <c r="J1345" s="24"/>
      <c r="K1345" s="25">
        <f>SUM(J1341:J1344)</f>
        <v>12000000</v>
      </c>
      <c r="L1345" s="23"/>
      <c r="M1345" s="23"/>
      <c r="N1345" s="42"/>
    </row>
    <row r="1346" spans="1:14" s="169" customFormat="1" ht="51.75" customHeight="1">
      <c r="A1346" s="180" t="s">
        <v>1024</v>
      </c>
      <c r="B1346" s="77" t="s">
        <v>1025</v>
      </c>
      <c r="C1346" s="70" t="s">
        <v>17</v>
      </c>
      <c r="D1346" s="210"/>
      <c r="E1346" s="210"/>
      <c r="F1346" s="210"/>
      <c r="G1346" s="210"/>
      <c r="H1346" s="406">
        <f>SUM(Tabla132112418[[#This Row],[PRIMER TRIMESTRE]:[CUARTO TRIMESTRE]])</f>
        <v>0</v>
      </c>
      <c r="I1346" s="72">
        <v>2465459.7599999998</v>
      </c>
      <c r="J1346" s="72">
        <f t="shared" ref="J1346:J1351" si="35">+H1346*I1346</f>
        <v>0</v>
      </c>
      <c r="K1346" s="72"/>
      <c r="L1346" s="73" t="s">
        <v>18</v>
      </c>
      <c r="M1346" s="73" t="s">
        <v>19</v>
      </c>
      <c r="N1346" s="70"/>
    </row>
    <row r="1347" spans="1:14" s="169" customFormat="1" ht="54" customHeight="1">
      <c r="A1347" s="180" t="s">
        <v>1024</v>
      </c>
      <c r="B1347" s="77" t="s">
        <v>1026</v>
      </c>
      <c r="C1347" s="70" t="s">
        <v>17</v>
      </c>
      <c r="D1347" s="210"/>
      <c r="E1347" s="210"/>
      <c r="F1347" s="210"/>
      <c r="G1347" s="210"/>
      <c r="H1347" s="406">
        <f>SUM(Tabla132112418[[#This Row],[PRIMER TRIMESTRE]:[CUARTO TRIMESTRE]])</f>
        <v>0</v>
      </c>
      <c r="I1347" s="72">
        <v>485677.62</v>
      </c>
      <c r="J1347" s="72">
        <f t="shared" si="35"/>
        <v>0</v>
      </c>
      <c r="K1347" s="72"/>
      <c r="L1347" s="73" t="s">
        <v>18</v>
      </c>
      <c r="M1347" s="73" t="s">
        <v>19</v>
      </c>
      <c r="N1347" s="70" t="s">
        <v>342</v>
      </c>
    </row>
    <row r="1348" spans="1:14" s="169" customFormat="1" ht="48.75" customHeight="1">
      <c r="A1348" s="180" t="s">
        <v>1024</v>
      </c>
      <c r="B1348" s="77" t="s">
        <v>1027</v>
      </c>
      <c r="C1348" s="70" t="s">
        <v>17</v>
      </c>
      <c r="D1348" s="210"/>
      <c r="E1348" s="210"/>
      <c r="F1348" s="210"/>
      <c r="G1348" s="210"/>
      <c r="H1348" s="406">
        <f>SUM(Tabla132112418[[#This Row],[PRIMER TRIMESTRE]:[CUARTO TRIMESTRE]])</f>
        <v>0</v>
      </c>
      <c r="I1348" s="72">
        <v>7126452.3600000003</v>
      </c>
      <c r="J1348" s="72">
        <f t="shared" si="35"/>
        <v>0</v>
      </c>
      <c r="K1348" s="72"/>
      <c r="L1348" s="73" t="s">
        <v>18</v>
      </c>
      <c r="M1348" s="73" t="s">
        <v>19</v>
      </c>
      <c r="N1348" s="70"/>
    </row>
    <row r="1349" spans="1:14" s="169" customFormat="1" ht="51" customHeight="1">
      <c r="A1349" s="180" t="s">
        <v>1024</v>
      </c>
      <c r="B1349" s="77" t="s">
        <v>1028</v>
      </c>
      <c r="C1349" s="70" t="s">
        <v>17</v>
      </c>
      <c r="D1349" s="210"/>
      <c r="E1349" s="210"/>
      <c r="F1349" s="210"/>
      <c r="G1349" s="210"/>
      <c r="H1349" s="406">
        <f>SUM(Tabla132112418[[#This Row],[PRIMER TRIMESTRE]:[CUARTO TRIMESTRE]])</f>
        <v>0</v>
      </c>
      <c r="I1349" s="72">
        <v>52892.2</v>
      </c>
      <c r="J1349" s="72">
        <f t="shared" si="35"/>
        <v>0</v>
      </c>
      <c r="K1349" s="72"/>
      <c r="L1349" s="73" t="s">
        <v>18</v>
      </c>
      <c r="M1349" s="73" t="s">
        <v>19</v>
      </c>
      <c r="N1349" s="70" t="s">
        <v>342</v>
      </c>
    </row>
    <row r="1350" spans="1:14" s="169" customFormat="1" ht="48.75" customHeight="1">
      <c r="A1350" s="180" t="s">
        <v>1024</v>
      </c>
      <c r="B1350" s="77" t="s">
        <v>1029</v>
      </c>
      <c r="C1350" s="70" t="s">
        <v>17</v>
      </c>
      <c r="D1350" s="210"/>
      <c r="E1350" s="210"/>
      <c r="F1350" s="210"/>
      <c r="G1350" s="210"/>
      <c r="H1350" s="406">
        <f>SUM(Tabla132112418[[#This Row],[PRIMER TRIMESTRE]:[CUARTO TRIMESTRE]])</f>
        <v>0</v>
      </c>
      <c r="I1350" s="72">
        <v>134185.97999999998</v>
      </c>
      <c r="J1350" s="72">
        <f t="shared" si="35"/>
        <v>0</v>
      </c>
      <c r="K1350" s="72"/>
      <c r="L1350" s="73" t="s">
        <v>18</v>
      </c>
      <c r="M1350" s="73" t="s">
        <v>19</v>
      </c>
      <c r="N1350" s="70"/>
    </row>
    <row r="1351" spans="1:14" s="12" customFormat="1" ht="30.75" customHeight="1">
      <c r="A1351" s="180" t="s">
        <v>1024</v>
      </c>
      <c r="B1351" s="77" t="s">
        <v>1030</v>
      </c>
      <c r="C1351" s="70" t="s">
        <v>17</v>
      </c>
      <c r="D1351" s="210"/>
      <c r="E1351" s="210"/>
      <c r="F1351" s="210"/>
      <c r="G1351" s="210"/>
      <c r="H1351" s="406">
        <f>SUM(Tabla132112418[[#This Row],[PRIMER TRIMESTRE]:[CUARTO TRIMESTRE]])</f>
        <v>0</v>
      </c>
      <c r="I1351" s="72">
        <v>624559.46</v>
      </c>
      <c r="J1351" s="72">
        <f t="shared" si="35"/>
        <v>0</v>
      </c>
      <c r="K1351" s="72"/>
      <c r="L1351" s="73" t="s">
        <v>18</v>
      </c>
      <c r="M1351" s="73" t="s">
        <v>19</v>
      </c>
      <c r="N1351" s="70"/>
    </row>
    <row r="1352" spans="1:14" s="169" customFormat="1" ht="30.75" customHeight="1">
      <c r="A1352" s="179" t="s">
        <v>1024</v>
      </c>
      <c r="B1352" s="76"/>
      <c r="C1352" s="42"/>
      <c r="D1352" s="237"/>
      <c r="E1352" s="237"/>
      <c r="F1352" s="237"/>
      <c r="G1352" s="237"/>
      <c r="H1352" s="43"/>
      <c r="I1352" s="24"/>
      <c r="J1352" s="24"/>
      <c r="K1352" s="25">
        <f>SUM(J1346:J1351)</f>
        <v>0</v>
      </c>
      <c r="L1352" s="23"/>
      <c r="M1352" s="23"/>
      <c r="N1352" s="42"/>
    </row>
    <row r="1353" spans="1:14" s="169" customFormat="1" ht="30.75" customHeight="1">
      <c r="A1353" s="180" t="s">
        <v>167</v>
      </c>
      <c r="B1353" s="77" t="s">
        <v>964</v>
      </c>
      <c r="C1353" s="70" t="s">
        <v>17</v>
      </c>
      <c r="D1353" s="210"/>
      <c r="E1353" s="210"/>
      <c r="F1353" s="210"/>
      <c r="G1353" s="210"/>
      <c r="H1353" s="406">
        <f>SUM(Tabla132112418[[#This Row],[PRIMER TRIMESTRE]:[CUARTO TRIMESTRE]])</f>
        <v>0</v>
      </c>
      <c r="I1353" s="72">
        <v>84508.178</v>
      </c>
      <c r="J1353" s="72">
        <f t="shared" ref="J1353:J1415" si="36">+H1353*I1353</f>
        <v>0</v>
      </c>
      <c r="K1353" s="72"/>
      <c r="L1353" s="73" t="s">
        <v>18</v>
      </c>
      <c r="M1353" s="73" t="s">
        <v>19</v>
      </c>
      <c r="N1353" s="70" t="s">
        <v>342</v>
      </c>
    </row>
    <row r="1354" spans="1:14" s="169" customFormat="1" ht="30.75" customHeight="1">
      <c r="A1354" s="180" t="s">
        <v>167</v>
      </c>
      <c r="B1354" s="77" t="s">
        <v>965</v>
      </c>
      <c r="C1354" s="70" t="s">
        <v>17</v>
      </c>
      <c r="D1354" s="210"/>
      <c r="E1354" s="210"/>
      <c r="F1354" s="210"/>
      <c r="G1354" s="210"/>
      <c r="H1354" s="406">
        <f>SUM(Tabla132112418[[#This Row],[PRIMER TRIMESTRE]:[CUARTO TRIMESTRE]])</f>
        <v>0</v>
      </c>
      <c r="I1354" s="72">
        <v>55372.68</v>
      </c>
      <c r="J1354" s="72">
        <f t="shared" si="36"/>
        <v>0</v>
      </c>
      <c r="K1354" s="72"/>
      <c r="L1354" s="73" t="s">
        <v>18</v>
      </c>
      <c r="M1354" s="73" t="s">
        <v>19</v>
      </c>
      <c r="N1354" s="70"/>
    </row>
    <row r="1355" spans="1:14" s="169" customFormat="1" ht="30.75" customHeight="1">
      <c r="A1355" s="180" t="s">
        <v>167</v>
      </c>
      <c r="B1355" s="77" t="s">
        <v>966</v>
      </c>
      <c r="C1355" s="70" t="s">
        <v>17</v>
      </c>
      <c r="D1355" s="210"/>
      <c r="E1355" s="210"/>
      <c r="F1355" s="210"/>
      <c r="G1355" s="210"/>
      <c r="H1355" s="406">
        <f>SUM(Tabla132112418[[#This Row],[PRIMER TRIMESTRE]:[CUARTO TRIMESTRE]])</f>
        <v>0</v>
      </c>
      <c r="I1355" s="72">
        <v>467752</v>
      </c>
      <c r="J1355" s="72">
        <f t="shared" si="36"/>
        <v>0</v>
      </c>
      <c r="K1355" s="72"/>
      <c r="L1355" s="73" t="s">
        <v>18</v>
      </c>
      <c r="M1355" s="73" t="s">
        <v>19</v>
      </c>
      <c r="N1355" s="70"/>
    </row>
    <row r="1356" spans="1:14" s="169" customFormat="1" ht="30.75" customHeight="1">
      <c r="A1356" s="180" t="s">
        <v>167</v>
      </c>
      <c r="B1356" s="77" t="s">
        <v>967</v>
      </c>
      <c r="C1356" s="70" t="s">
        <v>17</v>
      </c>
      <c r="D1356" s="210"/>
      <c r="E1356" s="210"/>
      <c r="F1356" s="210"/>
      <c r="G1356" s="210"/>
      <c r="H1356" s="406">
        <f>SUM(Tabla132112418[[#This Row],[PRIMER TRIMESTRE]:[CUARTO TRIMESTRE]])</f>
        <v>0</v>
      </c>
      <c r="I1356" s="72">
        <v>804524</v>
      </c>
      <c r="J1356" s="72">
        <f t="shared" si="36"/>
        <v>0</v>
      </c>
      <c r="K1356" s="72"/>
      <c r="L1356" s="73" t="s">
        <v>18</v>
      </c>
      <c r="M1356" s="73" t="s">
        <v>19</v>
      </c>
      <c r="N1356" s="70"/>
    </row>
    <row r="1357" spans="1:14" s="169" customFormat="1" ht="30.75" customHeight="1">
      <c r="A1357" s="180" t="s">
        <v>167</v>
      </c>
      <c r="B1357" s="77" t="s">
        <v>968</v>
      </c>
      <c r="C1357" s="70" t="s">
        <v>17</v>
      </c>
      <c r="D1357" s="210"/>
      <c r="E1357" s="210"/>
      <c r="F1357" s="210"/>
      <c r="G1357" s="210"/>
      <c r="H1357" s="406">
        <f>SUM(Tabla132112418[[#This Row],[PRIMER TRIMESTRE]:[CUARTO TRIMESTRE]])</f>
        <v>0</v>
      </c>
      <c r="I1357" s="72">
        <v>223315</v>
      </c>
      <c r="J1357" s="72">
        <f t="shared" si="36"/>
        <v>0</v>
      </c>
      <c r="K1357" s="72"/>
      <c r="L1357" s="73" t="s">
        <v>18</v>
      </c>
      <c r="M1357" s="73" t="s">
        <v>19</v>
      </c>
      <c r="N1357" s="70" t="s">
        <v>342</v>
      </c>
    </row>
    <row r="1358" spans="1:14" s="169" customFormat="1" ht="30.75" customHeight="1">
      <c r="A1358" s="180" t="s">
        <v>167</v>
      </c>
      <c r="B1358" s="77" t="s">
        <v>969</v>
      </c>
      <c r="C1358" s="70" t="s">
        <v>17</v>
      </c>
      <c r="D1358" s="210"/>
      <c r="E1358" s="210"/>
      <c r="F1358" s="210"/>
      <c r="G1358" s="210"/>
      <c r="H1358" s="406">
        <f>SUM(Tabla132112418[[#This Row],[PRIMER TRIMESTRE]:[CUARTO TRIMESTRE]])</f>
        <v>0</v>
      </c>
      <c r="I1358" s="72">
        <v>73588.34</v>
      </c>
      <c r="J1358" s="72">
        <f t="shared" si="36"/>
        <v>0</v>
      </c>
      <c r="K1358" s="72"/>
      <c r="L1358" s="73" t="s">
        <v>18</v>
      </c>
      <c r="M1358" s="73" t="s">
        <v>19</v>
      </c>
      <c r="N1358" s="70" t="s">
        <v>342</v>
      </c>
    </row>
    <row r="1359" spans="1:14" s="169" customFormat="1" ht="30.75" customHeight="1">
      <c r="A1359" s="180" t="s">
        <v>167</v>
      </c>
      <c r="B1359" s="77" t="s">
        <v>970</v>
      </c>
      <c r="C1359" s="70" t="s">
        <v>17</v>
      </c>
      <c r="D1359" s="210"/>
      <c r="E1359" s="210"/>
      <c r="F1359" s="210"/>
      <c r="G1359" s="210"/>
      <c r="H1359" s="406">
        <f>SUM(Tabla132112418[[#This Row],[PRIMER TRIMESTRE]:[CUARTO TRIMESTRE]])</f>
        <v>0</v>
      </c>
      <c r="I1359" s="72">
        <v>170392</v>
      </c>
      <c r="J1359" s="72">
        <f t="shared" si="36"/>
        <v>0</v>
      </c>
      <c r="K1359" s="72"/>
      <c r="L1359" s="73" t="s">
        <v>18</v>
      </c>
      <c r="M1359" s="73" t="s">
        <v>19</v>
      </c>
      <c r="N1359" s="70" t="s">
        <v>342</v>
      </c>
    </row>
    <row r="1360" spans="1:14" s="169" customFormat="1" ht="30.75" customHeight="1">
      <c r="A1360" s="180" t="s">
        <v>167</v>
      </c>
      <c r="B1360" s="77" t="s">
        <v>971</v>
      </c>
      <c r="C1360" s="70" t="s">
        <v>17</v>
      </c>
      <c r="D1360" s="210"/>
      <c r="E1360" s="210"/>
      <c r="F1360" s="210"/>
      <c r="G1360" s="210"/>
      <c r="H1360" s="406">
        <f>SUM(Tabla132112418[[#This Row],[PRIMER TRIMESTRE]:[CUARTO TRIMESTRE]])</f>
        <v>0</v>
      </c>
      <c r="I1360" s="72">
        <v>274350</v>
      </c>
      <c r="J1360" s="72">
        <f t="shared" si="36"/>
        <v>0</v>
      </c>
      <c r="K1360" s="72"/>
      <c r="L1360" s="73" t="s">
        <v>18</v>
      </c>
      <c r="M1360" s="73" t="s">
        <v>19</v>
      </c>
      <c r="N1360" s="70" t="s">
        <v>342</v>
      </c>
    </row>
    <row r="1361" spans="1:14" s="169" customFormat="1" ht="30.75" customHeight="1">
      <c r="A1361" s="180" t="s">
        <v>167</v>
      </c>
      <c r="B1361" s="77" t="s">
        <v>972</v>
      </c>
      <c r="C1361" s="70" t="s">
        <v>17</v>
      </c>
      <c r="D1361" s="210"/>
      <c r="E1361" s="210"/>
      <c r="F1361" s="210"/>
      <c r="G1361" s="210"/>
      <c r="H1361" s="406">
        <f>SUM(Tabla132112418[[#This Row],[PRIMER TRIMESTRE]:[CUARTO TRIMESTRE]])</f>
        <v>0</v>
      </c>
      <c r="I1361" s="72">
        <v>55460</v>
      </c>
      <c r="J1361" s="72">
        <f t="shared" si="36"/>
        <v>0</v>
      </c>
      <c r="K1361" s="72"/>
      <c r="L1361" s="73" t="s">
        <v>18</v>
      </c>
      <c r="M1361" s="73" t="s">
        <v>19</v>
      </c>
      <c r="N1361" s="70" t="s">
        <v>342</v>
      </c>
    </row>
    <row r="1362" spans="1:14" s="169" customFormat="1" ht="30.75" customHeight="1">
      <c r="A1362" s="180" t="s">
        <v>167</v>
      </c>
      <c r="B1362" s="77" t="s">
        <v>973</v>
      </c>
      <c r="C1362" s="70" t="s">
        <v>17</v>
      </c>
      <c r="D1362" s="210"/>
      <c r="E1362" s="210"/>
      <c r="F1362" s="210"/>
      <c r="G1362" s="210"/>
      <c r="H1362" s="406">
        <f>SUM(Tabla132112418[[#This Row],[PRIMER TRIMESTRE]:[CUARTO TRIMESTRE]])</f>
        <v>0</v>
      </c>
      <c r="I1362" s="72">
        <v>59000</v>
      </c>
      <c r="J1362" s="72">
        <f t="shared" si="36"/>
        <v>0</v>
      </c>
      <c r="K1362" s="72"/>
      <c r="L1362" s="73" t="s">
        <v>18</v>
      </c>
      <c r="M1362" s="73" t="s">
        <v>19</v>
      </c>
      <c r="N1362" s="70" t="s">
        <v>342</v>
      </c>
    </row>
    <row r="1363" spans="1:14" s="169" customFormat="1" ht="30.75" customHeight="1">
      <c r="A1363" s="180" t="s">
        <v>167</v>
      </c>
      <c r="B1363" s="77" t="s">
        <v>974</v>
      </c>
      <c r="C1363" s="70" t="s">
        <v>17</v>
      </c>
      <c r="D1363" s="210"/>
      <c r="E1363" s="210"/>
      <c r="F1363" s="210"/>
      <c r="G1363" s="210"/>
      <c r="H1363" s="406">
        <f>SUM(Tabla132112418[[#This Row],[PRIMER TRIMESTRE]:[CUARTO TRIMESTRE]])</f>
        <v>0</v>
      </c>
      <c r="I1363" s="72">
        <v>17700</v>
      </c>
      <c r="J1363" s="72">
        <f t="shared" si="36"/>
        <v>0</v>
      </c>
      <c r="K1363" s="72"/>
      <c r="L1363" s="73" t="s">
        <v>18</v>
      </c>
      <c r="M1363" s="73" t="s">
        <v>19</v>
      </c>
      <c r="N1363" s="70" t="s">
        <v>342</v>
      </c>
    </row>
    <row r="1364" spans="1:14" s="169" customFormat="1" ht="30.75" customHeight="1">
      <c r="A1364" s="180" t="s">
        <v>167</v>
      </c>
      <c r="B1364" s="77" t="s">
        <v>975</v>
      </c>
      <c r="C1364" s="70" t="s">
        <v>17</v>
      </c>
      <c r="D1364" s="210"/>
      <c r="E1364" s="210"/>
      <c r="F1364" s="210"/>
      <c r="G1364" s="210"/>
      <c r="H1364" s="406">
        <f>SUM(Tabla132112418[[#This Row],[PRIMER TRIMESTRE]:[CUARTO TRIMESTRE]])</f>
        <v>0</v>
      </c>
      <c r="I1364" s="72">
        <v>843572.93759999995</v>
      </c>
      <c r="J1364" s="72">
        <f t="shared" si="36"/>
        <v>0</v>
      </c>
      <c r="K1364" s="72"/>
      <c r="L1364" s="73" t="s">
        <v>18</v>
      </c>
      <c r="M1364" s="73" t="s">
        <v>19</v>
      </c>
      <c r="N1364" s="70" t="s">
        <v>342</v>
      </c>
    </row>
    <row r="1365" spans="1:14" s="169" customFormat="1" ht="30.75" customHeight="1">
      <c r="A1365" s="180" t="s">
        <v>167</v>
      </c>
      <c r="B1365" s="77" t="s">
        <v>976</v>
      </c>
      <c r="C1365" s="70" t="s">
        <v>17</v>
      </c>
      <c r="D1365" s="210"/>
      <c r="E1365" s="210"/>
      <c r="F1365" s="210"/>
      <c r="G1365" s="210"/>
      <c r="H1365" s="406">
        <f>SUM(Tabla132112418[[#This Row],[PRIMER TRIMESTRE]:[CUARTO TRIMESTRE]])</f>
        <v>0</v>
      </c>
      <c r="I1365" s="72">
        <v>46936.765599999999</v>
      </c>
      <c r="J1365" s="72">
        <f t="shared" si="36"/>
        <v>0</v>
      </c>
      <c r="K1365" s="72"/>
      <c r="L1365" s="73" t="s">
        <v>18</v>
      </c>
      <c r="M1365" s="73" t="s">
        <v>19</v>
      </c>
      <c r="N1365" s="70" t="s">
        <v>342</v>
      </c>
    </row>
    <row r="1366" spans="1:14" s="169" customFormat="1" ht="42.75" customHeight="1">
      <c r="A1366" s="180" t="s">
        <v>167</v>
      </c>
      <c r="B1366" s="77" t="s">
        <v>977</v>
      </c>
      <c r="C1366" s="70" t="s">
        <v>17</v>
      </c>
      <c r="D1366" s="210"/>
      <c r="E1366" s="210"/>
      <c r="F1366" s="210"/>
      <c r="G1366" s="210"/>
      <c r="H1366" s="406">
        <f>SUM(Tabla132112418[[#This Row],[PRIMER TRIMESTRE]:[CUARTO TRIMESTRE]])</f>
        <v>0</v>
      </c>
      <c r="I1366" s="72">
        <v>121535.63399999999</v>
      </c>
      <c r="J1366" s="72">
        <f t="shared" si="36"/>
        <v>0</v>
      </c>
      <c r="K1366" s="72"/>
      <c r="L1366" s="73" t="s">
        <v>18</v>
      </c>
      <c r="M1366" s="73" t="s">
        <v>19</v>
      </c>
      <c r="N1366" s="70" t="s">
        <v>342</v>
      </c>
    </row>
    <row r="1367" spans="1:14" s="169" customFormat="1" ht="30.75" customHeight="1">
      <c r="A1367" s="180" t="s">
        <v>167</v>
      </c>
      <c r="B1367" s="77" t="s">
        <v>978</v>
      </c>
      <c r="C1367" s="70" t="s">
        <v>17</v>
      </c>
      <c r="D1367" s="210"/>
      <c r="E1367" s="210"/>
      <c r="F1367" s="210"/>
      <c r="G1367" s="210"/>
      <c r="H1367" s="406">
        <f>SUM(Tabla132112418[[#This Row],[PRIMER TRIMESTRE]:[CUARTO TRIMESTRE]])</f>
        <v>0</v>
      </c>
      <c r="I1367" s="72">
        <v>1558708.1733999997</v>
      </c>
      <c r="J1367" s="72">
        <f t="shared" si="36"/>
        <v>0</v>
      </c>
      <c r="K1367" s="72"/>
      <c r="L1367" s="73" t="s">
        <v>18</v>
      </c>
      <c r="M1367" s="73" t="s">
        <v>19</v>
      </c>
      <c r="N1367" s="70" t="s">
        <v>342</v>
      </c>
    </row>
    <row r="1368" spans="1:14" s="169" customFormat="1" ht="30.75" customHeight="1">
      <c r="A1368" s="180" t="s">
        <v>167</v>
      </c>
      <c r="B1368" s="77" t="s">
        <v>979</v>
      </c>
      <c r="C1368" s="70" t="s">
        <v>17</v>
      </c>
      <c r="D1368" s="210"/>
      <c r="E1368" s="210"/>
      <c r="F1368" s="210"/>
      <c r="G1368" s="210"/>
      <c r="H1368" s="406">
        <f>SUM(Tabla132112418[[#This Row],[PRIMER TRIMESTRE]:[CUARTO TRIMESTRE]])</f>
        <v>0</v>
      </c>
      <c r="I1368" s="72">
        <v>125316</v>
      </c>
      <c r="J1368" s="72">
        <f t="shared" si="36"/>
        <v>0</v>
      </c>
      <c r="K1368" s="72"/>
      <c r="L1368" s="73" t="s">
        <v>18</v>
      </c>
      <c r="M1368" s="73" t="s">
        <v>19</v>
      </c>
      <c r="N1368" s="70" t="s">
        <v>342</v>
      </c>
    </row>
    <row r="1369" spans="1:14" s="169" customFormat="1" ht="30.75" customHeight="1">
      <c r="A1369" s="180" t="s">
        <v>167</v>
      </c>
      <c r="B1369" s="77" t="s">
        <v>980</v>
      </c>
      <c r="C1369" s="70" t="s">
        <v>17</v>
      </c>
      <c r="D1369" s="210"/>
      <c r="E1369" s="210"/>
      <c r="F1369" s="210"/>
      <c r="G1369" s="210"/>
      <c r="H1369" s="406">
        <f>SUM(Tabla132112418[[#This Row],[PRIMER TRIMESTRE]:[CUARTO TRIMESTRE]])</f>
        <v>0</v>
      </c>
      <c r="I1369" s="72">
        <v>953817.59999999998</v>
      </c>
      <c r="J1369" s="72">
        <f t="shared" si="36"/>
        <v>0</v>
      </c>
      <c r="K1369" s="72"/>
      <c r="L1369" s="73" t="s">
        <v>18</v>
      </c>
      <c r="M1369" s="73" t="s">
        <v>19</v>
      </c>
      <c r="N1369" s="70"/>
    </row>
    <row r="1370" spans="1:14" s="169" customFormat="1" ht="30.75" customHeight="1">
      <c r="A1370" s="180" t="s">
        <v>167</v>
      </c>
      <c r="B1370" s="77" t="s">
        <v>981</v>
      </c>
      <c r="C1370" s="70" t="s">
        <v>17</v>
      </c>
      <c r="D1370" s="210"/>
      <c r="E1370" s="210"/>
      <c r="F1370" s="210"/>
      <c r="G1370" s="210"/>
      <c r="H1370" s="406">
        <f>SUM(Tabla132112418[[#This Row],[PRIMER TRIMESTRE]:[CUARTO TRIMESTRE]])</f>
        <v>0</v>
      </c>
      <c r="I1370" s="72">
        <v>443739</v>
      </c>
      <c r="J1370" s="72">
        <f t="shared" si="36"/>
        <v>0</v>
      </c>
      <c r="K1370" s="72"/>
      <c r="L1370" s="73" t="s">
        <v>18</v>
      </c>
      <c r="M1370" s="73" t="s">
        <v>19</v>
      </c>
      <c r="N1370" s="70" t="s">
        <v>342</v>
      </c>
    </row>
    <row r="1371" spans="1:14" s="169" customFormat="1" ht="30.75" customHeight="1">
      <c r="A1371" s="180" t="s">
        <v>167</v>
      </c>
      <c r="B1371" s="77" t="s">
        <v>982</v>
      </c>
      <c r="C1371" s="70" t="s">
        <v>17</v>
      </c>
      <c r="D1371" s="210"/>
      <c r="E1371" s="210"/>
      <c r="F1371" s="210"/>
      <c r="G1371" s="210"/>
      <c r="H1371" s="406">
        <f>SUM(Tabla132112418[[#This Row],[PRIMER TRIMESTRE]:[CUARTO TRIMESTRE]])</f>
        <v>0</v>
      </c>
      <c r="I1371" s="72">
        <v>399194</v>
      </c>
      <c r="J1371" s="72">
        <f t="shared" si="36"/>
        <v>0</v>
      </c>
      <c r="K1371" s="72"/>
      <c r="L1371" s="73" t="s">
        <v>18</v>
      </c>
      <c r="M1371" s="73" t="s">
        <v>19</v>
      </c>
      <c r="N1371" s="70"/>
    </row>
    <row r="1372" spans="1:14" s="169" customFormat="1" ht="30.75" customHeight="1">
      <c r="A1372" s="180" t="s">
        <v>167</v>
      </c>
      <c r="B1372" s="77" t="s">
        <v>983</v>
      </c>
      <c r="C1372" s="70" t="s">
        <v>17</v>
      </c>
      <c r="D1372" s="210"/>
      <c r="E1372" s="210"/>
      <c r="F1372" s="210"/>
      <c r="G1372" s="210"/>
      <c r="H1372" s="406">
        <f>SUM(Tabla132112418[[#This Row],[PRIMER TRIMESTRE]:[CUARTO TRIMESTRE]])</f>
        <v>0</v>
      </c>
      <c r="I1372" s="72">
        <v>5763120</v>
      </c>
      <c r="J1372" s="72">
        <f t="shared" si="36"/>
        <v>0</v>
      </c>
      <c r="K1372" s="72"/>
      <c r="L1372" s="73" t="s">
        <v>18</v>
      </c>
      <c r="M1372" s="73" t="s">
        <v>19</v>
      </c>
      <c r="N1372" s="70"/>
    </row>
    <row r="1373" spans="1:14" s="169" customFormat="1" ht="30.75" customHeight="1">
      <c r="A1373" s="180" t="s">
        <v>167</v>
      </c>
      <c r="B1373" s="77" t="s">
        <v>984</v>
      </c>
      <c r="C1373" s="70" t="s">
        <v>17</v>
      </c>
      <c r="D1373" s="210"/>
      <c r="E1373" s="210"/>
      <c r="F1373" s="210"/>
      <c r="G1373" s="210"/>
      <c r="H1373" s="406">
        <f>SUM(Tabla132112418[[#This Row],[PRIMER TRIMESTRE]:[CUARTO TRIMESTRE]])</f>
        <v>0</v>
      </c>
      <c r="I1373" s="72">
        <v>399194</v>
      </c>
      <c r="J1373" s="72">
        <f t="shared" si="36"/>
        <v>0</v>
      </c>
      <c r="K1373" s="72"/>
      <c r="L1373" s="73" t="s">
        <v>18</v>
      </c>
      <c r="M1373" s="73" t="s">
        <v>19</v>
      </c>
      <c r="N1373" s="70" t="s">
        <v>342</v>
      </c>
    </row>
    <row r="1374" spans="1:14" s="169" customFormat="1" ht="30.75" customHeight="1">
      <c r="A1374" s="180" t="s">
        <v>167</v>
      </c>
      <c r="B1374" s="77" t="s">
        <v>985</v>
      </c>
      <c r="C1374" s="70" t="s">
        <v>17</v>
      </c>
      <c r="D1374" s="210"/>
      <c r="E1374" s="210"/>
      <c r="F1374" s="210"/>
      <c r="G1374" s="210"/>
      <c r="H1374" s="406">
        <f>SUM(Tabla132112418[[#This Row],[PRIMER TRIMESTRE]:[CUARTO TRIMESTRE]])</f>
        <v>0</v>
      </c>
      <c r="I1374" s="72">
        <v>130224.79999999999</v>
      </c>
      <c r="J1374" s="72">
        <f t="shared" si="36"/>
        <v>0</v>
      </c>
      <c r="K1374" s="72"/>
      <c r="L1374" s="73" t="s">
        <v>18</v>
      </c>
      <c r="M1374" s="73" t="s">
        <v>19</v>
      </c>
      <c r="N1374" s="70" t="s">
        <v>342</v>
      </c>
    </row>
    <row r="1375" spans="1:14" s="169" customFormat="1" ht="30.75" customHeight="1">
      <c r="A1375" s="180" t="s">
        <v>167</v>
      </c>
      <c r="B1375" s="77" t="s">
        <v>986</v>
      </c>
      <c r="C1375" s="70" t="s">
        <v>17</v>
      </c>
      <c r="D1375" s="210"/>
      <c r="E1375" s="210"/>
      <c r="F1375" s="210"/>
      <c r="G1375" s="210"/>
      <c r="H1375" s="406">
        <f>SUM(Tabla132112418[[#This Row],[PRIMER TRIMESTRE]:[CUARTO TRIMESTRE]])</f>
        <v>0</v>
      </c>
      <c r="I1375" s="72">
        <v>394438.6</v>
      </c>
      <c r="J1375" s="72">
        <f t="shared" si="36"/>
        <v>0</v>
      </c>
      <c r="K1375" s="72"/>
      <c r="L1375" s="73" t="s">
        <v>18</v>
      </c>
      <c r="M1375" s="73" t="s">
        <v>19</v>
      </c>
      <c r="N1375" s="70"/>
    </row>
    <row r="1376" spans="1:14" s="169" customFormat="1" ht="30.75" customHeight="1">
      <c r="A1376" s="180" t="s">
        <v>167</v>
      </c>
      <c r="B1376" s="77" t="s">
        <v>987</v>
      </c>
      <c r="C1376" s="70" t="s">
        <v>17</v>
      </c>
      <c r="D1376" s="210"/>
      <c r="E1376" s="210"/>
      <c r="F1376" s="210"/>
      <c r="G1376" s="210"/>
      <c r="H1376" s="406">
        <f>SUM(Tabla132112418[[#This Row],[PRIMER TRIMESTRE]:[CUARTO TRIMESTRE]])</f>
        <v>0</v>
      </c>
      <c r="I1376" s="72">
        <v>554027.69999999995</v>
      </c>
      <c r="J1376" s="72">
        <f t="shared" si="36"/>
        <v>0</v>
      </c>
      <c r="K1376" s="72"/>
      <c r="L1376" s="73" t="s">
        <v>18</v>
      </c>
      <c r="M1376" s="73" t="s">
        <v>19</v>
      </c>
      <c r="N1376" s="70"/>
    </row>
    <row r="1377" spans="1:14" s="169" customFormat="1" ht="30.75" customHeight="1">
      <c r="A1377" s="180" t="s">
        <v>167</v>
      </c>
      <c r="B1377" s="77" t="s">
        <v>988</v>
      </c>
      <c r="C1377" s="70" t="s">
        <v>17</v>
      </c>
      <c r="D1377" s="210"/>
      <c r="E1377" s="210"/>
      <c r="F1377" s="210"/>
      <c r="G1377" s="210"/>
      <c r="H1377" s="406">
        <f>SUM(Tabla132112418[[#This Row],[PRIMER TRIMESTRE]:[CUARTO TRIMESTRE]])</f>
        <v>0</v>
      </c>
      <c r="I1377" s="72">
        <v>406250.39999999997</v>
      </c>
      <c r="J1377" s="72">
        <f t="shared" si="36"/>
        <v>0</v>
      </c>
      <c r="K1377" s="72"/>
      <c r="L1377" s="73" t="s">
        <v>18</v>
      </c>
      <c r="M1377" s="73" t="s">
        <v>19</v>
      </c>
      <c r="N1377" s="70" t="s">
        <v>342</v>
      </c>
    </row>
    <row r="1378" spans="1:14" s="169" customFormat="1" ht="53.25" customHeight="1">
      <c r="A1378" s="180" t="s">
        <v>167</v>
      </c>
      <c r="B1378" s="77" t="s">
        <v>989</v>
      </c>
      <c r="C1378" s="70" t="s">
        <v>17</v>
      </c>
      <c r="D1378" s="210"/>
      <c r="E1378" s="210"/>
      <c r="F1378" s="210"/>
      <c r="G1378" s="210"/>
      <c r="H1378" s="406">
        <f>SUM(Tabla132112418[[#This Row],[PRIMER TRIMESTRE]:[CUARTO TRIMESTRE]])</f>
        <v>0</v>
      </c>
      <c r="I1378" s="72">
        <v>71148.099999999991</v>
      </c>
      <c r="J1378" s="72">
        <f t="shared" si="36"/>
        <v>0</v>
      </c>
      <c r="K1378" s="72"/>
      <c r="L1378" s="73" t="s">
        <v>18</v>
      </c>
      <c r="M1378" s="73" t="s">
        <v>19</v>
      </c>
      <c r="N1378" s="70"/>
    </row>
    <row r="1379" spans="1:14" s="169" customFormat="1" ht="30.75" customHeight="1">
      <c r="A1379" s="180" t="s">
        <v>167</v>
      </c>
      <c r="B1379" s="77" t="s">
        <v>990</v>
      </c>
      <c r="C1379" s="70" t="s">
        <v>17</v>
      </c>
      <c r="D1379" s="210"/>
      <c r="E1379" s="210"/>
      <c r="F1379" s="210"/>
      <c r="G1379" s="210"/>
      <c r="H1379" s="406">
        <f>SUM(Tabla132112418[[#This Row],[PRIMER TRIMESTRE]:[CUARTO TRIMESTRE]])</f>
        <v>0</v>
      </c>
      <c r="I1379" s="72">
        <v>283158.7</v>
      </c>
      <c r="J1379" s="72">
        <f t="shared" si="36"/>
        <v>0</v>
      </c>
      <c r="K1379" s="72"/>
      <c r="L1379" s="73" t="s">
        <v>18</v>
      </c>
      <c r="M1379" s="73" t="s">
        <v>19</v>
      </c>
      <c r="N1379" s="70" t="s">
        <v>342</v>
      </c>
    </row>
    <row r="1380" spans="1:14" s="169" customFormat="1" ht="30.75" customHeight="1">
      <c r="A1380" s="180" t="s">
        <v>167</v>
      </c>
      <c r="B1380" s="77" t="s">
        <v>991</v>
      </c>
      <c r="C1380" s="70" t="s">
        <v>17</v>
      </c>
      <c r="D1380" s="210"/>
      <c r="E1380" s="210"/>
      <c r="F1380" s="210"/>
      <c r="G1380" s="210"/>
      <c r="H1380" s="406">
        <f>SUM(Tabla132112418[[#This Row],[PRIMER TRIMESTRE]:[CUARTO TRIMESTRE]])</f>
        <v>0</v>
      </c>
      <c r="I1380" s="72">
        <v>4687668</v>
      </c>
      <c r="J1380" s="72">
        <f t="shared" si="36"/>
        <v>0</v>
      </c>
      <c r="K1380" s="72"/>
      <c r="L1380" s="73" t="s">
        <v>18</v>
      </c>
      <c r="M1380" s="73" t="s">
        <v>19</v>
      </c>
      <c r="N1380" s="70"/>
    </row>
    <row r="1381" spans="1:14" s="169" customFormat="1" ht="39.75" customHeight="1">
      <c r="A1381" s="180" t="s">
        <v>167</v>
      </c>
      <c r="B1381" s="77" t="s">
        <v>992</v>
      </c>
      <c r="C1381" s="70" t="s">
        <v>17</v>
      </c>
      <c r="D1381" s="210"/>
      <c r="E1381" s="210"/>
      <c r="F1381" s="210"/>
      <c r="G1381" s="210"/>
      <c r="H1381" s="406">
        <f>SUM(Tabla132112418[[#This Row],[PRIMER TRIMESTRE]:[CUARTO TRIMESTRE]])</f>
        <v>0</v>
      </c>
      <c r="I1381" s="72">
        <v>140862.5</v>
      </c>
      <c r="J1381" s="72">
        <f t="shared" si="36"/>
        <v>0</v>
      </c>
      <c r="K1381" s="72"/>
      <c r="L1381" s="73" t="s">
        <v>18</v>
      </c>
      <c r="M1381" s="73" t="s">
        <v>19</v>
      </c>
      <c r="N1381" s="70" t="s">
        <v>342</v>
      </c>
    </row>
    <row r="1382" spans="1:14" s="169" customFormat="1" ht="30.75" customHeight="1">
      <c r="A1382" s="180" t="s">
        <v>167</v>
      </c>
      <c r="B1382" s="77" t="s">
        <v>993</v>
      </c>
      <c r="C1382" s="70" t="s">
        <v>17</v>
      </c>
      <c r="D1382" s="210"/>
      <c r="E1382" s="210"/>
      <c r="F1382" s="210"/>
      <c r="G1382" s="210"/>
      <c r="H1382" s="406">
        <f>SUM(Tabla132112418[[#This Row],[PRIMER TRIMESTRE]:[CUARTO TRIMESTRE]])</f>
        <v>0</v>
      </c>
      <c r="I1382" s="72">
        <v>109622</v>
      </c>
      <c r="J1382" s="72">
        <f t="shared" si="36"/>
        <v>0</v>
      </c>
      <c r="K1382" s="72"/>
      <c r="L1382" s="73" t="s">
        <v>18</v>
      </c>
      <c r="M1382" s="73" t="s">
        <v>19</v>
      </c>
      <c r="N1382" s="70" t="s">
        <v>342</v>
      </c>
    </row>
    <row r="1383" spans="1:14" s="169" customFormat="1" ht="30.75" customHeight="1">
      <c r="A1383" s="180" t="s">
        <v>167</v>
      </c>
      <c r="B1383" s="77" t="s">
        <v>994</v>
      </c>
      <c r="C1383" s="70" t="s">
        <v>17</v>
      </c>
      <c r="D1383" s="210"/>
      <c r="E1383" s="210"/>
      <c r="F1383" s="210"/>
      <c r="G1383" s="210"/>
      <c r="H1383" s="406">
        <f>SUM(Tabla132112418[[#This Row],[PRIMER TRIMESTRE]:[CUARTO TRIMESTRE]])</f>
        <v>0</v>
      </c>
      <c r="I1383" s="72">
        <v>567462</v>
      </c>
      <c r="J1383" s="72">
        <f t="shared" si="36"/>
        <v>0</v>
      </c>
      <c r="K1383" s="72"/>
      <c r="L1383" s="73" t="s">
        <v>18</v>
      </c>
      <c r="M1383" s="73" t="s">
        <v>19</v>
      </c>
      <c r="N1383" s="70" t="s">
        <v>342</v>
      </c>
    </row>
    <row r="1384" spans="1:14" s="169" customFormat="1" ht="30.75" customHeight="1">
      <c r="A1384" s="180" t="s">
        <v>167</v>
      </c>
      <c r="B1384" s="77" t="s">
        <v>995</v>
      </c>
      <c r="C1384" s="70" t="s">
        <v>17</v>
      </c>
      <c r="D1384" s="210"/>
      <c r="E1384" s="210"/>
      <c r="F1384" s="210"/>
      <c r="G1384" s="210"/>
      <c r="H1384" s="406">
        <f>SUM(Tabla132112418[[#This Row],[PRIMER TRIMESTRE]:[CUARTO TRIMESTRE]])</f>
        <v>0</v>
      </c>
      <c r="I1384" s="72">
        <v>36580</v>
      </c>
      <c r="J1384" s="72">
        <f t="shared" si="36"/>
        <v>0</v>
      </c>
      <c r="K1384" s="72"/>
      <c r="L1384" s="73" t="s">
        <v>18</v>
      </c>
      <c r="M1384" s="73" t="s">
        <v>19</v>
      </c>
      <c r="N1384" s="70"/>
    </row>
    <row r="1385" spans="1:14" s="169" customFormat="1" ht="30.75" customHeight="1">
      <c r="A1385" s="180" t="s">
        <v>167</v>
      </c>
      <c r="B1385" s="77" t="s">
        <v>996</v>
      </c>
      <c r="C1385" s="70" t="s">
        <v>17</v>
      </c>
      <c r="D1385" s="210"/>
      <c r="E1385" s="210"/>
      <c r="F1385" s="210"/>
      <c r="G1385" s="210"/>
      <c r="H1385" s="406">
        <f>SUM(Tabla132112418[[#This Row],[PRIMER TRIMESTRE]:[CUARTO TRIMESTRE]])</f>
        <v>0</v>
      </c>
      <c r="I1385" s="72">
        <v>160775</v>
      </c>
      <c r="J1385" s="72">
        <f t="shared" si="36"/>
        <v>0</v>
      </c>
      <c r="K1385" s="72"/>
      <c r="L1385" s="73" t="s">
        <v>18</v>
      </c>
      <c r="M1385" s="73" t="s">
        <v>19</v>
      </c>
      <c r="N1385" s="70" t="s">
        <v>342</v>
      </c>
    </row>
    <row r="1386" spans="1:14" s="169" customFormat="1" ht="30.75" customHeight="1">
      <c r="A1386" s="180" t="s">
        <v>167</v>
      </c>
      <c r="B1386" s="77" t="s">
        <v>997</v>
      </c>
      <c r="C1386" s="70" t="s">
        <v>17</v>
      </c>
      <c r="D1386" s="210"/>
      <c r="E1386" s="210"/>
      <c r="F1386" s="210"/>
      <c r="G1386" s="210"/>
      <c r="H1386" s="406">
        <f>SUM(Tabla132112418[[#This Row],[PRIMER TRIMESTRE]:[CUARTO TRIMESTRE]])</f>
        <v>0</v>
      </c>
      <c r="I1386" s="72">
        <v>216608.47</v>
      </c>
      <c r="J1386" s="72">
        <f t="shared" si="36"/>
        <v>0</v>
      </c>
      <c r="K1386" s="72"/>
      <c r="L1386" s="73" t="s">
        <v>18</v>
      </c>
      <c r="M1386" s="73" t="s">
        <v>19</v>
      </c>
      <c r="N1386" s="70" t="s">
        <v>342</v>
      </c>
    </row>
    <row r="1387" spans="1:14" s="169" customFormat="1" ht="30.75" customHeight="1">
      <c r="A1387" s="180" t="s">
        <v>167</v>
      </c>
      <c r="B1387" s="77" t="s">
        <v>998</v>
      </c>
      <c r="C1387" s="70" t="s">
        <v>17</v>
      </c>
      <c r="D1387" s="210"/>
      <c r="E1387" s="210"/>
      <c r="F1387" s="210"/>
      <c r="G1387" s="210"/>
      <c r="H1387" s="406">
        <f>SUM(Tabla132112418[[#This Row],[PRIMER TRIMESTRE]:[CUARTO TRIMESTRE]])</f>
        <v>0</v>
      </c>
      <c r="I1387" s="72">
        <v>294752.2</v>
      </c>
      <c r="J1387" s="72">
        <f t="shared" si="36"/>
        <v>0</v>
      </c>
      <c r="K1387" s="72"/>
      <c r="L1387" s="73" t="s">
        <v>18</v>
      </c>
      <c r="M1387" s="73" t="s">
        <v>19</v>
      </c>
      <c r="N1387" s="70" t="s">
        <v>342</v>
      </c>
    </row>
    <row r="1388" spans="1:14" s="169" customFormat="1" ht="30.75" customHeight="1">
      <c r="A1388" s="180" t="s">
        <v>167</v>
      </c>
      <c r="B1388" s="77" t="s">
        <v>999</v>
      </c>
      <c r="C1388" s="70" t="s">
        <v>17</v>
      </c>
      <c r="D1388" s="210"/>
      <c r="E1388" s="210"/>
      <c r="F1388" s="210"/>
      <c r="G1388" s="210"/>
      <c r="H1388" s="406">
        <f>SUM(Tabla132112418[[#This Row],[PRIMER TRIMESTRE]:[CUARTO TRIMESTRE]])</f>
        <v>0</v>
      </c>
      <c r="I1388" s="72">
        <v>230554.3</v>
      </c>
      <c r="J1388" s="72">
        <f t="shared" si="36"/>
        <v>0</v>
      </c>
      <c r="K1388" s="72"/>
      <c r="L1388" s="73" t="s">
        <v>18</v>
      </c>
      <c r="M1388" s="73" t="s">
        <v>19</v>
      </c>
      <c r="N1388" s="70" t="s">
        <v>342</v>
      </c>
    </row>
    <row r="1389" spans="1:14" s="169" customFormat="1" ht="30.75" customHeight="1">
      <c r="A1389" s="180" t="s">
        <v>167</v>
      </c>
      <c r="B1389" s="77" t="s">
        <v>1000</v>
      </c>
      <c r="C1389" s="70" t="s">
        <v>17</v>
      </c>
      <c r="D1389" s="210"/>
      <c r="E1389" s="210"/>
      <c r="F1389" s="210"/>
      <c r="G1389" s="210"/>
      <c r="H1389" s="406">
        <f>SUM(Tabla132112418[[#This Row],[PRIMER TRIMESTRE]:[CUARTO TRIMESTRE]])</f>
        <v>0</v>
      </c>
      <c r="I1389" s="72">
        <v>494992.3</v>
      </c>
      <c r="J1389" s="72">
        <f t="shared" si="36"/>
        <v>0</v>
      </c>
      <c r="K1389" s="72"/>
      <c r="L1389" s="73" t="s">
        <v>18</v>
      </c>
      <c r="M1389" s="73" t="s">
        <v>19</v>
      </c>
      <c r="N1389" s="70" t="s">
        <v>342</v>
      </c>
    </row>
    <row r="1390" spans="1:14" s="169" customFormat="1" ht="30.75" customHeight="1">
      <c r="A1390" s="180" t="s">
        <v>167</v>
      </c>
      <c r="B1390" s="77" t="s">
        <v>1001</v>
      </c>
      <c r="C1390" s="70" t="s">
        <v>17</v>
      </c>
      <c r="D1390" s="210"/>
      <c r="E1390" s="210"/>
      <c r="F1390" s="210"/>
      <c r="G1390" s="210"/>
      <c r="H1390" s="406">
        <f>SUM(Tabla132112418[[#This Row],[PRIMER TRIMESTRE]:[CUARTO TRIMESTRE]])</f>
        <v>0</v>
      </c>
      <c r="I1390" s="72">
        <v>211166.9</v>
      </c>
      <c r="J1390" s="72">
        <f t="shared" si="36"/>
        <v>0</v>
      </c>
      <c r="K1390" s="72"/>
      <c r="L1390" s="73" t="s">
        <v>18</v>
      </c>
      <c r="M1390" s="73" t="s">
        <v>19</v>
      </c>
      <c r="N1390" s="70" t="s">
        <v>342</v>
      </c>
    </row>
    <row r="1391" spans="1:14" s="169" customFormat="1" ht="30.75" customHeight="1">
      <c r="A1391" s="180" t="s">
        <v>167</v>
      </c>
      <c r="B1391" s="77" t="s">
        <v>1002</v>
      </c>
      <c r="C1391" s="70" t="s">
        <v>17</v>
      </c>
      <c r="D1391" s="210"/>
      <c r="E1391" s="210"/>
      <c r="F1391" s="210"/>
      <c r="G1391" s="210"/>
      <c r="H1391" s="406">
        <f>SUM(Tabla132112418[[#This Row],[PRIMER TRIMESTRE]:[CUARTO TRIMESTRE]])</f>
        <v>0</v>
      </c>
      <c r="I1391" s="72">
        <v>62368.899999999994</v>
      </c>
      <c r="J1391" s="72">
        <f t="shared" si="36"/>
        <v>0</v>
      </c>
      <c r="K1391" s="72"/>
      <c r="L1391" s="73" t="s">
        <v>18</v>
      </c>
      <c r="M1391" s="73" t="s">
        <v>19</v>
      </c>
      <c r="N1391" s="70" t="s">
        <v>342</v>
      </c>
    </row>
    <row r="1392" spans="1:14" s="169" customFormat="1" ht="30.75" customHeight="1">
      <c r="A1392" s="180" t="s">
        <v>167</v>
      </c>
      <c r="B1392" s="77" t="s">
        <v>1003</v>
      </c>
      <c r="C1392" s="70" t="s">
        <v>17</v>
      </c>
      <c r="D1392" s="210"/>
      <c r="E1392" s="210"/>
      <c r="F1392" s="210"/>
      <c r="G1392" s="210"/>
      <c r="H1392" s="406">
        <f>SUM(Tabla132112418[[#This Row],[PRIMER TRIMESTRE]:[CUARTO TRIMESTRE]])</f>
        <v>0</v>
      </c>
      <c r="I1392" s="72">
        <v>105533.29999999999</v>
      </c>
      <c r="J1392" s="72">
        <f t="shared" si="36"/>
        <v>0</v>
      </c>
      <c r="K1392" s="72"/>
      <c r="L1392" s="73" t="s">
        <v>18</v>
      </c>
      <c r="M1392" s="73" t="s">
        <v>19</v>
      </c>
      <c r="N1392" s="70" t="s">
        <v>342</v>
      </c>
    </row>
    <row r="1393" spans="1:14" s="169" customFormat="1" ht="30.75" customHeight="1">
      <c r="A1393" s="180" t="s">
        <v>167</v>
      </c>
      <c r="B1393" s="77" t="s">
        <v>1004</v>
      </c>
      <c r="C1393" s="70" t="s">
        <v>17</v>
      </c>
      <c r="D1393" s="210"/>
      <c r="E1393" s="210"/>
      <c r="F1393" s="210"/>
      <c r="G1393" s="210"/>
      <c r="H1393" s="406">
        <f>SUM(Tabla132112418[[#This Row],[PRIMER TRIMESTRE]:[CUARTO TRIMESTRE]])</f>
        <v>0</v>
      </c>
      <c r="I1393" s="72">
        <v>98618.5</v>
      </c>
      <c r="J1393" s="72">
        <f t="shared" si="36"/>
        <v>0</v>
      </c>
      <c r="K1393" s="72"/>
      <c r="L1393" s="73" t="s">
        <v>18</v>
      </c>
      <c r="M1393" s="73" t="s">
        <v>19</v>
      </c>
      <c r="N1393" s="70"/>
    </row>
    <row r="1394" spans="1:14" s="169" customFormat="1" ht="30.75" customHeight="1">
      <c r="A1394" s="180" t="s">
        <v>167</v>
      </c>
      <c r="B1394" s="77" t="s">
        <v>1005</v>
      </c>
      <c r="C1394" s="70" t="s">
        <v>17</v>
      </c>
      <c r="D1394" s="210"/>
      <c r="E1394" s="210"/>
      <c r="F1394" s="210"/>
      <c r="G1394" s="210"/>
      <c r="H1394" s="406">
        <f>SUM(Tabla132112418[[#This Row],[PRIMER TRIMESTRE]:[CUARTO TRIMESTRE]])</f>
        <v>0</v>
      </c>
      <c r="I1394" s="72">
        <v>135818</v>
      </c>
      <c r="J1394" s="72">
        <f t="shared" si="36"/>
        <v>0</v>
      </c>
      <c r="K1394" s="72"/>
      <c r="L1394" s="73" t="s">
        <v>18</v>
      </c>
      <c r="M1394" s="73" t="s">
        <v>19</v>
      </c>
      <c r="N1394" s="70" t="s">
        <v>342</v>
      </c>
    </row>
    <row r="1395" spans="1:14" s="169" customFormat="1" ht="30.75" customHeight="1">
      <c r="A1395" s="180" t="s">
        <v>167</v>
      </c>
      <c r="B1395" s="77" t="s">
        <v>1006</v>
      </c>
      <c r="C1395" s="70" t="s">
        <v>17</v>
      </c>
      <c r="D1395" s="210"/>
      <c r="E1395" s="210"/>
      <c r="F1395" s="210"/>
      <c r="G1395" s="210"/>
      <c r="H1395" s="406">
        <f>SUM(Tabla132112418[[#This Row],[PRIMER TRIMESTRE]:[CUARTO TRIMESTRE]])</f>
        <v>0</v>
      </c>
      <c r="I1395" s="72">
        <v>114460</v>
      </c>
      <c r="J1395" s="72">
        <f t="shared" si="36"/>
        <v>0</v>
      </c>
      <c r="K1395" s="72"/>
      <c r="L1395" s="73" t="s">
        <v>18</v>
      </c>
      <c r="M1395" s="73" t="s">
        <v>19</v>
      </c>
      <c r="N1395" s="70" t="s">
        <v>342</v>
      </c>
    </row>
    <row r="1396" spans="1:14" s="169" customFormat="1" ht="30.75" customHeight="1">
      <c r="A1396" s="180" t="s">
        <v>167</v>
      </c>
      <c r="B1396" s="77" t="s">
        <v>1007</v>
      </c>
      <c r="C1396" s="70" t="s">
        <v>17</v>
      </c>
      <c r="D1396" s="210"/>
      <c r="E1396" s="210"/>
      <c r="F1396" s="210"/>
      <c r="G1396" s="210"/>
      <c r="H1396" s="406">
        <f>SUM(Tabla132112418[[#This Row],[PRIMER TRIMESTRE]:[CUARTO TRIMESTRE]])</f>
        <v>0</v>
      </c>
      <c r="I1396" s="72">
        <v>164374</v>
      </c>
      <c r="J1396" s="72">
        <f t="shared" si="36"/>
        <v>0</v>
      </c>
      <c r="K1396" s="72"/>
      <c r="L1396" s="73" t="s">
        <v>18</v>
      </c>
      <c r="M1396" s="73" t="s">
        <v>19</v>
      </c>
      <c r="N1396" s="70" t="s">
        <v>342</v>
      </c>
    </row>
    <row r="1397" spans="1:14" s="169" customFormat="1" ht="30.75" customHeight="1">
      <c r="A1397" s="180" t="s">
        <v>167</v>
      </c>
      <c r="B1397" s="77" t="s">
        <v>1008</v>
      </c>
      <c r="C1397" s="70" t="s">
        <v>17</v>
      </c>
      <c r="D1397" s="210"/>
      <c r="E1397" s="210"/>
      <c r="F1397" s="210"/>
      <c r="G1397" s="210"/>
      <c r="H1397" s="406">
        <f>SUM(Tabla132112418[[#This Row],[PRIMER TRIMESTRE]:[CUARTO TRIMESTRE]])</f>
        <v>0</v>
      </c>
      <c r="I1397" s="72">
        <v>24691.5</v>
      </c>
      <c r="J1397" s="72">
        <f t="shared" si="36"/>
        <v>0</v>
      </c>
      <c r="K1397" s="72"/>
      <c r="L1397" s="73" t="s">
        <v>18</v>
      </c>
      <c r="M1397" s="73" t="s">
        <v>19</v>
      </c>
      <c r="N1397" s="70"/>
    </row>
    <row r="1398" spans="1:14" s="169" customFormat="1" ht="30.75" customHeight="1">
      <c r="A1398" s="180" t="s">
        <v>167</v>
      </c>
      <c r="B1398" s="77" t="s">
        <v>1009</v>
      </c>
      <c r="C1398" s="70" t="s">
        <v>17</v>
      </c>
      <c r="D1398" s="210"/>
      <c r="E1398" s="210"/>
      <c r="F1398" s="210"/>
      <c r="G1398" s="210"/>
      <c r="H1398" s="406">
        <f>SUM(Tabla132112418[[#This Row],[PRIMER TRIMESTRE]:[CUARTO TRIMESTRE]])</f>
        <v>0</v>
      </c>
      <c r="I1398" s="72">
        <v>192045</v>
      </c>
      <c r="J1398" s="72">
        <f t="shared" si="36"/>
        <v>0</v>
      </c>
      <c r="K1398" s="72"/>
      <c r="L1398" s="73" t="s">
        <v>18</v>
      </c>
      <c r="M1398" s="73" t="s">
        <v>19</v>
      </c>
      <c r="N1398" s="70" t="s">
        <v>342</v>
      </c>
    </row>
    <row r="1399" spans="1:14" s="169" customFormat="1" ht="30.75" customHeight="1">
      <c r="A1399" s="180" t="s">
        <v>167</v>
      </c>
      <c r="B1399" s="77" t="s">
        <v>1010</v>
      </c>
      <c r="C1399" s="70" t="s">
        <v>17</v>
      </c>
      <c r="D1399" s="210"/>
      <c r="E1399" s="210"/>
      <c r="F1399" s="210"/>
      <c r="G1399" s="210"/>
      <c r="H1399" s="406">
        <f>SUM(Tabla132112418[[#This Row],[PRIMER TRIMESTRE]:[CUARTO TRIMESTRE]])</f>
        <v>0</v>
      </c>
      <c r="I1399" s="72">
        <v>164374</v>
      </c>
      <c r="J1399" s="72">
        <f t="shared" si="36"/>
        <v>0</v>
      </c>
      <c r="K1399" s="72"/>
      <c r="L1399" s="73" t="s">
        <v>18</v>
      </c>
      <c r="M1399" s="73" t="s">
        <v>19</v>
      </c>
      <c r="N1399" s="70" t="s">
        <v>342</v>
      </c>
    </row>
    <row r="1400" spans="1:14" s="169" customFormat="1" ht="30.75" customHeight="1">
      <c r="A1400" s="180" t="s">
        <v>167</v>
      </c>
      <c r="B1400" s="77" t="s">
        <v>1011</v>
      </c>
      <c r="C1400" s="70" t="s">
        <v>17</v>
      </c>
      <c r="D1400" s="210"/>
      <c r="E1400" s="210"/>
      <c r="F1400" s="210"/>
      <c r="G1400" s="210"/>
      <c r="H1400" s="406">
        <f>SUM(Tabla132112418[[#This Row],[PRIMER TRIMESTRE]:[CUARTO TRIMESTRE]])</f>
        <v>0</v>
      </c>
      <c r="I1400" s="72">
        <v>35145.119999999995</v>
      </c>
      <c r="J1400" s="72">
        <f t="shared" si="36"/>
        <v>0</v>
      </c>
      <c r="K1400" s="72"/>
      <c r="L1400" s="73" t="s">
        <v>18</v>
      </c>
      <c r="M1400" s="73" t="s">
        <v>19</v>
      </c>
      <c r="N1400" s="70"/>
    </row>
    <row r="1401" spans="1:14" s="169" customFormat="1" ht="30.75" customHeight="1">
      <c r="A1401" s="180" t="s">
        <v>167</v>
      </c>
      <c r="B1401" s="77" t="s">
        <v>1012</v>
      </c>
      <c r="C1401" s="70" t="s">
        <v>17</v>
      </c>
      <c r="D1401" s="210"/>
      <c r="E1401" s="210"/>
      <c r="F1401" s="210"/>
      <c r="G1401" s="210"/>
      <c r="H1401" s="406">
        <f>SUM(Tabla132112418[[#This Row],[PRIMER TRIMESTRE]:[CUARTO TRIMESTRE]])</f>
        <v>0</v>
      </c>
      <c r="I1401" s="72">
        <v>926960.79999999993</v>
      </c>
      <c r="J1401" s="72">
        <f t="shared" si="36"/>
        <v>0</v>
      </c>
      <c r="K1401" s="72"/>
      <c r="L1401" s="73" t="s">
        <v>18</v>
      </c>
      <c r="M1401" s="73" t="s">
        <v>19</v>
      </c>
      <c r="N1401" s="70" t="s">
        <v>342</v>
      </c>
    </row>
    <row r="1402" spans="1:14" s="169" customFormat="1" ht="30.75" customHeight="1">
      <c r="A1402" s="180" t="s">
        <v>167</v>
      </c>
      <c r="B1402" s="77" t="s">
        <v>1013</v>
      </c>
      <c r="C1402" s="70" t="s">
        <v>17</v>
      </c>
      <c r="D1402" s="210"/>
      <c r="E1402" s="210"/>
      <c r="F1402" s="210"/>
      <c r="G1402" s="210"/>
      <c r="H1402" s="406">
        <f>SUM(Tabla132112418[[#This Row],[PRIMER TRIMESTRE]:[CUARTO TRIMESTRE]])</f>
        <v>0</v>
      </c>
      <c r="I1402" s="72">
        <v>266798</v>
      </c>
      <c r="J1402" s="72">
        <f t="shared" si="36"/>
        <v>0</v>
      </c>
      <c r="K1402" s="72"/>
      <c r="L1402" s="73" t="s">
        <v>18</v>
      </c>
      <c r="M1402" s="73" t="s">
        <v>19</v>
      </c>
      <c r="N1402" s="70" t="s">
        <v>342</v>
      </c>
    </row>
    <row r="1403" spans="1:14" s="169" customFormat="1" ht="30.75" customHeight="1">
      <c r="A1403" s="180" t="s">
        <v>167</v>
      </c>
      <c r="B1403" s="77" t="s">
        <v>1014</v>
      </c>
      <c r="C1403" s="70" t="s">
        <v>17</v>
      </c>
      <c r="D1403" s="210"/>
      <c r="E1403" s="210"/>
      <c r="F1403" s="210"/>
      <c r="G1403" s="210"/>
      <c r="H1403" s="406">
        <f>SUM(Tabla132112418[[#This Row],[PRIMER TRIMESTRE]:[CUARTO TRIMESTRE]])</f>
        <v>0</v>
      </c>
      <c r="I1403" s="72">
        <v>77555.5</v>
      </c>
      <c r="J1403" s="72">
        <f t="shared" si="36"/>
        <v>0</v>
      </c>
      <c r="K1403" s="72"/>
      <c r="L1403" s="73" t="s">
        <v>18</v>
      </c>
      <c r="M1403" s="73" t="s">
        <v>19</v>
      </c>
      <c r="N1403" s="70"/>
    </row>
    <row r="1404" spans="1:14" s="169" customFormat="1" ht="30.75" customHeight="1">
      <c r="A1404" s="180" t="s">
        <v>167</v>
      </c>
      <c r="B1404" s="77" t="s">
        <v>1015</v>
      </c>
      <c r="C1404" s="70" t="s">
        <v>17</v>
      </c>
      <c r="D1404" s="210"/>
      <c r="E1404" s="210"/>
      <c r="F1404" s="210"/>
      <c r="G1404" s="210"/>
      <c r="H1404" s="406">
        <f>SUM(Tabla132112418[[#This Row],[PRIMER TRIMESTRE]:[CUARTO TRIMESTRE]])</f>
        <v>0</v>
      </c>
      <c r="I1404" s="72">
        <v>100595</v>
      </c>
      <c r="J1404" s="72">
        <f t="shared" si="36"/>
        <v>0</v>
      </c>
      <c r="K1404" s="72"/>
      <c r="L1404" s="73" t="s">
        <v>18</v>
      </c>
      <c r="M1404" s="73" t="s">
        <v>19</v>
      </c>
      <c r="N1404" s="70" t="s">
        <v>342</v>
      </c>
    </row>
    <row r="1405" spans="1:14" s="169" customFormat="1" ht="30.75" customHeight="1">
      <c r="A1405" s="180" t="s">
        <v>167</v>
      </c>
      <c r="B1405" s="77" t="s">
        <v>1016</v>
      </c>
      <c r="C1405" s="70" t="s">
        <v>17</v>
      </c>
      <c r="D1405" s="210"/>
      <c r="E1405" s="210"/>
      <c r="F1405" s="210"/>
      <c r="G1405" s="210"/>
      <c r="H1405" s="406">
        <f>SUM(Tabla132112418[[#This Row],[PRIMER TRIMESTRE]:[CUARTO TRIMESTRE]])</f>
        <v>0</v>
      </c>
      <c r="I1405" s="72">
        <v>106173.45</v>
      </c>
      <c r="J1405" s="72">
        <f t="shared" si="36"/>
        <v>0</v>
      </c>
      <c r="K1405" s="72"/>
      <c r="L1405" s="73" t="s">
        <v>18</v>
      </c>
      <c r="M1405" s="73" t="s">
        <v>19</v>
      </c>
      <c r="N1405" s="70" t="s">
        <v>342</v>
      </c>
    </row>
    <row r="1406" spans="1:14" s="169" customFormat="1" ht="30.75" customHeight="1">
      <c r="A1406" s="180" t="s">
        <v>167</v>
      </c>
      <c r="B1406" s="77" t="s">
        <v>1017</v>
      </c>
      <c r="C1406" s="70" t="s">
        <v>17</v>
      </c>
      <c r="D1406" s="210"/>
      <c r="E1406" s="210"/>
      <c r="F1406" s="210"/>
      <c r="G1406" s="210"/>
      <c r="H1406" s="406">
        <f>SUM(Tabla132112418[[#This Row],[PRIMER TRIMESTRE]:[CUARTO TRIMESTRE]])</f>
        <v>0</v>
      </c>
      <c r="I1406" s="72">
        <v>111156</v>
      </c>
      <c r="J1406" s="72">
        <f t="shared" si="36"/>
        <v>0</v>
      </c>
      <c r="K1406" s="72"/>
      <c r="L1406" s="73" t="s">
        <v>18</v>
      </c>
      <c r="M1406" s="73" t="s">
        <v>19</v>
      </c>
      <c r="N1406" s="70" t="s">
        <v>342</v>
      </c>
    </row>
    <row r="1407" spans="1:14" s="169" customFormat="1" ht="44.25" customHeight="1">
      <c r="A1407" s="180" t="s">
        <v>167</v>
      </c>
      <c r="B1407" s="77" t="s">
        <v>1018</v>
      </c>
      <c r="C1407" s="70" t="s">
        <v>17</v>
      </c>
      <c r="D1407" s="210"/>
      <c r="E1407" s="210"/>
      <c r="F1407" s="210"/>
      <c r="G1407" s="210"/>
      <c r="H1407" s="406">
        <f>SUM(Tabla132112418[[#This Row],[PRIMER TRIMESTRE]:[CUARTO TRIMESTRE]])</f>
        <v>0</v>
      </c>
      <c r="I1407" s="72">
        <v>62186</v>
      </c>
      <c r="J1407" s="72">
        <f t="shared" si="36"/>
        <v>0</v>
      </c>
      <c r="K1407" s="72"/>
      <c r="L1407" s="73" t="s">
        <v>18</v>
      </c>
      <c r="M1407" s="73" t="s">
        <v>19</v>
      </c>
      <c r="N1407" s="70" t="s">
        <v>342</v>
      </c>
    </row>
    <row r="1408" spans="1:14" s="169" customFormat="1" ht="30.75" customHeight="1">
      <c r="A1408" s="180" t="s">
        <v>167</v>
      </c>
      <c r="B1408" s="77" t="s">
        <v>1019</v>
      </c>
      <c r="C1408" s="70" t="s">
        <v>17</v>
      </c>
      <c r="D1408" s="210"/>
      <c r="E1408" s="210"/>
      <c r="F1408" s="210"/>
      <c r="G1408" s="210"/>
      <c r="H1408" s="406">
        <f>SUM(Tabla132112418[[#This Row],[PRIMER TRIMESTRE]:[CUARTO TRIMESTRE]])</f>
        <v>0</v>
      </c>
      <c r="I1408" s="72">
        <v>306800</v>
      </c>
      <c r="J1408" s="72">
        <f t="shared" si="36"/>
        <v>0</v>
      </c>
      <c r="K1408" s="72"/>
      <c r="L1408" s="73" t="s">
        <v>18</v>
      </c>
      <c r="M1408" s="73" t="s">
        <v>19</v>
      </c>
      <c r="N1408" s="70" t="s">
        <v>342</v>
      </c>
    </row>
    <row r="1409" spans="1:14" s="169" customFormat="1" ht="52.5" customHeight="1">
      <c r="A1409" s="180" t="s">
        <v>167</v>
      </c>
      <c r="B1409" s="77" t="s">
        <v>1020</v>
      </c>
      <c r="C1409" s="70" t="s">
        <v>17</v>
      </c>
      <c r="D1409" s="210"/>
      <c r="E1409" s="210"/>
      <c r="F1409" s="210"/>
      <c r="G1409" s="210"/>
      <c r="H1409" s="406">
        <f>SUM(Tabla132112418[[#This Row],[PRIMER TRIMESTRE]:[CUARTO TRIMESTRE]])</f>
        <v>0</v>
      </c>
      <c r="I1409" s="72">
        <v>31093</v>
      </c>
      <c r="J1409" s="72">
        <f t="shared" si="36"/>
        <v>0</v>
      </c>
      <c r="K1409" s="72"/>
      <c r="L1409" s="73" t="s">
        <v>18</v>
      </c>
      <c r="M1409" s="73" t="s">
        <v>19</v>
      </c>
      <c r="N1409" s="70" t="s">
        <v>342</v>
      </c>
    </row>
    <row r="1410" spans="1:14" s="169" customFormat="1" ht="90" customHeight="1">
      <c r="A1410" s="180" t="s">
        <v>167</v>
      </c>
      <c r="B1410" s="77" t="s">
        <v>1021</v>
      </c>
      <c r="C1410" s="70" t="s">
        <v>17</v>
      </c>
      <c r="D1410" s="210"/>
      <c r="E1410" s="210"/>
      <c r="F1410" s="210"/>
      <c r="G1410" s="210"/>
      <c r="H1410" s="406">
        <f>SUM(Tabla132112418[[#This Row],[PRIMER TRIMESTRE]:[CUARTO TRIMESTRE]])</f>
        <v>0</v>
      </c>
      <c r="I1410" s="72">
        <v>329220</v>
      </c>
      <c r="J1410" s="72">
        <f t="shared" si="36"/>
        <v>0</v>
      </c>
      <c r="K1410" s="72"/>
      <c r="L1410" s="73" t="s">
        <v>18</v>
      </c>
      <c r="M1410" s="73" t="s">
        <v>19</v>
      </c>
      <c r="N1410" s="70" t="s">
        <v>342</v>
      </c>
    </row>
    <row r="1411" spans="1:14" s="169" customFormat="1" ht="103.5" customHeight="1">
      <c r="A1411" s="180" t="s">
        <v>167</v>
      </c>
      <c r="B1411" s="77" t="s">
        <v>1700</v>
      </c>
      <c r="C1411" s="70" t="s">
        <v>17</v>
      </c>
      <c r="D1411" s="210"/>
      <c r="E1411" s="210"/>
      <c r="F1411" s="210"/>
      <c r="G1411" s="210"/>
      <c r="H1411" s="406">
        <v>0</v>
      </c>
      <c r="I1411" s="72">
        <v>0</v>
      </c>
      <c r="J1411" s="72">
        <v>0</v>
      </c>
      <c r="K1411" s="72"/>
      <c r="L1411" s="73" t="s">
        <v>18</v>
      </c>
      <c r="M1411" s="73" t="s">
        <v>19</v>
      </c>
      <c r="N1411" s="70" t="s">
        <v>342</v>
      </c>
    </row>
    <row r="1412" spans="1:14" s="169" customFormat="1" ht="103.5" customHeight="1">
      <c r="A1412" s="180" t="s">
        <v>167</v>
      </c>
      <c r="B1412" s="77" t="s">
        <v>1762</v>
      </c>
      <c r="C1412" s="70" t="s">
        <v>17</v>
      </c>
      <c r="D1412" s="210"/>
      <c r="E1412" s="210"/>
      <c r="F1412" s="210"/>
      <c r="G1412" s="210"/>
      <c r="H1412" s="406">
        <v>0</v>
      </c>
      <c r="I1412" s="72">
        <v>0</v>
      </c>
      <c r="J1412" s="72">
        <v>0</v>
      </c>
      <c r="K1412" s="72"/>
      <c r="L1412" s="73" t="s">
        <v>18</v>
      </c>
      <c r="M1412" s="73" t="s">
        <v>19</v>
      </c>
      <c r="N1412" s="70"/>
    </row>
    <row r="1413" spans="1:14" s="169" customFormat="1" ht="71.25" customHeight="1">
      <c r="A1413" s="180" t="s">
        <v>167</v>
      </c>
      <c r="B1413" s="77" t="s">
        <v>1022</v>
      </c>
      <c r="C1413" s="70" t="s">
        <v>17</v>
      </c>
      <c r="D1413" s="210"/>
      <c r="E1413" s="210"/>
      <c r="F1413" s="210"/>
      <c r="G1413" s="210"/>
      <c r="H1413" s="406">
        <f>SUM(Tabla132112418[[#This Row],[PRIMER TRIMESTRE]:[CUARTO TRIMESTRE]])</f>
        <v>0</v>
      </c>
      <c r="I1413" s="72">
        <v>235000</v>
      </c>
      <c r="J1413" s="72">
        <f t="shared" si="36"/>
        <v>0</v>
      </c>
      <c r="K1413" s="72"/>
      <c r="L1413" s="73" t="s">
        <v>18</v>
      </c>
      <c r="M1413" s="73" t="s">
        <v>19</v>
      </c>
      <c r="N1413" s="70"/>
    </row>
    <row r="1414" spans="1:14" s="169" customFormat="1" ht="63.75">
      <c r="A1414" s="180" t="s">
        <v>167</v>
      </c>
      <c r="B1414" s="77" t="s">
        <v>1023</v>
      </c>
      <c r="C1414" s="70" t="s">
        <v>17</v>
      </c>
      <c r="D1414" s="210"/>
      <c r="E1414" s="210"/>
      <c r="F1414" s="210"/>
      <c r="G1414" s="210"/>
      <c r="H1414" s="406">
        <f>SUM(Tabla132112418[[#This Row],[PRIMER TRIMESTRE]:[CUARTO TRIMESTRE]])</f>
        <v>0</v>
      </c>
      <c r="I1414" s="72">
        <v>803877.81</v>
      </c>
      <c r="J1414" s="72">
        <f t="shared" si="36"/>
        <v>0</v>
      </c>
      <c r="K1414" s="72"/>
      <c r="L1414" s="73" t="s">
        <v>18</v>
      </c>
      <c r="M1414" s="73" t="s">
        <v>19</v>
      </c>
      <c r="N1414" s="70" t="s">
        <v>342</v>
      </c>
    </row>
    <row r="1415" spans="1:14" s="55" customFormat="1" ht="30.75" customHeight="1">
      <c r="A1415" s="180" t="s">
        <v>167</v>
      </c>
      <c r="B1415" s="77" t="s">
        <v>1418</v>
      </c>
      <c r="C1415" s="70" t="s">
        <v>17</v>
      </c>
      <c r="D1415" s="210"/>
      <c r="E1415" s="210"/>
      <c r="F1415" s="210"/>
      <c r="G1415" s="210"/>
      <c r="H1415" s="406">
        <v>1</v>
      </c>
      <c r="I1415" s="72">
        <v>265000</v>
      </c>
      <c r="J1415" s="72">
        <f t="shared" si="36"/>
        <v>265000</v>
      </c>
      <c r="K1415" s="72"/>
      <c r="L1415" s="73" t="s">
        <v>18</v>
      </c>
      <c r="M1415" s="73" t="s">
        <v>19</v>
      </c>
      <c r="N1415" s="70" t="s">
        <v>342</v>
      </c>
    </row>
    <row r="1416" spans="1:14" s="55" customFormat="1" ht="30.75" customHeight="1">
      <c r="A1416" s="179" t="s">
        <v>167</v>
      </c>
      <c r="B1416" s="76" t="s">
        <v>891</v>
      </c>
      <c r="C1416" s="42"/>
      <c r="D1416" s="237"/>
      <c r="E1416" s="237"/>
      <c r="F1416" s="237"/>
      <c r="G1416" s="237"/>
      <c r="H1416" s="43"/>
      <c r="I1416" s="24"/>
      <c r="J1416" s="24"/>
      <c r="K1416" s="25">
        <f>SUM(J1353:J1415)</f>
        <v>265000</v>
      </c>
      <c r="L1416" s="23"/>
      <c r="M1416" s="23"/>
      <c r="N1416" s="42"/>
    </row>
    <row r="1417" spans="1:14" s="55" customFormat="1" ht="18">
      <c r="A1417" s="178" t="s">
        <v>573</v>
      </c>
      <c r="B1417" s="75" t="s">
        <v>574</v>
      </c>
      <c r="C1417" s="39" t="s">
        <v>17</v>
      </c>
      <c r="D1417" s="410"/>
      <c r="E1417" s="410"/>
      <c r="F1417" s="410"/>
      <c r="G1417" s="241"/>
      <c r="H1417" s="51">
        <f>SUM(Tabla132112418[[#This Row],[PRIMER TRIMESTRE]:[CUARTO TRIMESTRE]])</f>
        <v>0</v>
      </c>
      <c r="I1417" s="52">
        <v>500</v>
      </c>
      <c r="J1417" s="52">
        <f>+Tabla132112418[[#This Row],[CANTIDAD TOTAL]]*Tabla132112418[[#This Row],[PRECIO UNITARIO ESTIMADO]]</f>
        <v>0</v>
      </c>
      <c r="K1417" s="50"/>
      <c r="L1417" s="411" t="s">
        <v>18</v>
      </c>
      <c r="M1417" s="411" t="s">
        <v>22</v>
      </c>
      <c r="N1417" s="53"/>
    </row>
    <row r="1418" spans="1:14" s="12" customFormat="1" ht="18">
      <c r="A1418" s="178" t="s">
        <v>573</v>
      </c>
      <c r="B1418" s="75" t="s">
        <v>575</v>
      </c>
      <c r="C1418" s="39" t="s">
        <v>17</v>
      </c>
      <c r="D1418" s="410"/>
      <c r="E1418" s="410"/>
      <c r="F1418" s="410"/>
      <c r="G1418" s="241"/>
      <c r="H1418" s="51">
        <f>SUM(Tabla132112418[[#This Row],[PRIMER TRIMESTRE]:[CUARTO TRIMESTRE]])</f>
        <v>0</v>
      </c>
      <c r="I1418" s="52">
        <v>1000</v>
      </c>
      <c r="J1418" s="52">
        <f>+Tabla132112418[[#This Row],[CANTIDAD TOTAL]]*Tabla132112418[[#This Row],[PRECIO UNITARIO ESTIMADO]]</f>
        <v>0</v>
      </c>
      <c r="K1418" s="50"/>
      <c r="L1418" s="411" t="s">
        <v>18</v>
      </c>
      <c r="M1418" s="411" t="s">
        <v>22</v>
      </c>
      <c r="N1418" s="53"/>
    </row>
    <row r="1419" spans="1:14" s="12" customFormat="1" ht="18">
      <c r="A1419" s="178" t="s">
        <v>573</v>
      </c>
      <c r="B1419" s="75" t="s">
        <v>576</v>
      </c>
      <c r="C1419" s="39" t="s">
        <v>17</v>
      </c>
      <c r="D1419" s="410"/>
      <c r="E1419" s="410"/>
      <c r="F1419" s="410"/>
      <c r="G1419" s="241"/>
      <c r="H1419" s="51">
        <f>SUM(Tabla132112418[[#This Row],[PRIMER TRIMESTRE]:[CUARTO TRIMESTRE]])</f>
        <v>0</v>
      </c>
      <c r="I1419" s="52">
        <v>2000</v>
      </c>
      <c r="J1419" s="52">
        <f>+Tabla132112418[[#This Row],[CANTIDAD TOTAL]]*Tabla132112418[[#This Row],[PRECIO UNITARIO ESTIMADO]]</f>
        <v>0</v>
      </c>
      <c r="K1419" s="50"/>
      <c r="L1419" s="16" t="s">
        <v>18</v>
      </c>
      <c r="M1419" s="411" t="s">
        <v>22</v>
      </c>
      <c r="N1419" s="53"/>
    </row>
    <row r="1420" spans="1:14" s="12" customFormat="1" ht="18">
      <c r="A1420" s="178" t="s">
        <v>573</v>
      </c>
      <c r="B1420" s="75" t="s">
        <v>1331</v>
      </c>
      <c r="C1420" s="39" t="s">
        <v>17</v>
      </c>
      <c r="D1420" s="236"/>
      <c r="E1420" s="236"/>
      <c r="F1420" s="236"/>
      <c r="G1420" s="236"/>
      <c r="H1420" s="417">
        <f>SUM(Tabla132112418[[#This Row],[PRIMER TRIMESTRE]:[CUARTO TRIMESTRE]])</f>
        <v>0</v>
      </c>
      <c r="I1420" s="17">
        <v>40000</v>
      </c>
      <c r="J1420" s="17">
        <f t="shared" ref="J1420:J1429" si="37">+H1420*I1420</f>
        <v>0</v>
      </c>
      <c r="K1420" s="17"/>
      <c r="L1420" s="411" t="s">
        <v>18</v>
      </c>
      <c r="M1420" s="411" t="s">
        <v>22</v>
      </c>
      <c r="N1420" s="39"/>
    </row>
    <row r="1421" spans="1:14" s="12" customFormat="1" ht="18">
      <c r="A1421" s="178" t="s">
        <v>573</v>
      </c>
      <c r="B1421" s="75" t="s">
        <v>1751</v>
      </c>
      <c r="C1421" s="39" t="s">
        <v>17</v>
      </c>
      <c r="D1421" s="236"/>
      <c r="E1421" s="236"/>
      <c r="F1421" s="236"/>
      <c r="G1421" s="236"/>
      <c r="H1421" s="40">
        <v>0</v>
      </c>
      <c r="I1421" s="17"/>
      <c r="J1421" s="17"/>
      <c r="K1421" s="17"/>
      <c r="L1421" s="411" t="s">
        <v>18</v>
      </c>
      <c r="M1421" s="411" t="s">
        <v>22</v>
      </c>
      <c r="N1421" s="39"/>
    </row>
    <row r="1422" spans="1:14" s="12" customFormat="1" ht="18">
      <c r="A1422" s="178" t="s">
        <v>573</v>
      </c>
      <c r="B1422" s="75" t="s">
        <v>1747</v>
      </c>
      <c r="C1422" s="39" t="s">
        <v>17</v>
      </c>
      <c r="D1422" s="236"/>
      <c r="E1422" s="236"/>
      <c r="F1422" s="236"/>
      <c r="G1422" s="236"/>
      <c r="H1422" s="40">
        <v>0</v>
      </c>
      <c r="I1422" s="17"/>
      <c r="J1422" s="17"/>
      <c r="K1422" s="17"/>
      <c r="L1422" s="411" t="s">
        <v>18</v>
      </c>
      <c r="M1422" s="411" t="s">
        <v>22</v>
      </c>
      <c r="N1422" s="39"/>
    </row>
    <row r="1423" spans="1:14" s="12" customFormat="1" ht="18">
      <c r="A1423" s="178" t="s">
        <v>573</v>
      </c>
      <c r="B1423" s="75" t="s">
        <v>1332</v>
      </c>
      <c r="C1423" s="39" t="s">
        <v>17</v>
      </c>
      <c r="D1423" s="236"/>
      <c r="E1423" s="236"/>
      <c r="F1423" s="236"/>
      <c r="G1423" s="236"/>
      <c r="H1423" s="51">
        <f>SUM(Tabla132112418[[#This Row],[PRIMER TRIMESTRE]:[CUARTO TRIMESTRE]])</f>
        <v>0</v>
      </c>
      <c r="I1423" s="17">
        <v>30000</v>
      </c>
      <c r="J1423" s="17">
        <f t="shared" si="37"/>
        <v>0</v>
      </c>
      <c r="K1423" s="17"/>
      <c r="L1423" s="411" t="s">
        <v>18</v>
      </c>
      <c r="M1423" s="411" t="s">
        <v>22</v>
      </c>
      <c r="N1423" s="39"/>
    </row>
    <row r="1424" spans="1:14" s="12" customFormat="1" ht="18">
      <c r="A1424" s="178" t="s">
        <v>573</v>
      </c>
      <c r="B1424" s="75" t="s">
        <v>1749</v>
      </c>
      <c r="C1424" s="39" t="s">
        <v>17</v>
      </c>
      <c r="D1424" s="236"/>
      <c r="E1424" s="236"/>
      <c r="F1424" s="236"/>
      <c r="G1424" s="236"/>
      <c r="H1424" s="416">
        <f>Tabla132112418[[#This Row],[CUARTO TRIMESTRE]]+Tabla132112418[[#This Row],[TERCER TRIMESTRE]]+Tabla132112418[[#This Row],[SEGUNDO TRIMESTRE]]+Tabla132112418[[#This Row],[PRIMER TRIMESTRE]]</f>
        <v>0</v>
      </c>
      <c r="I1424" s="17">
        <v>75000</v>
      </c>
      <c r="J1424" s="17">
        <f>Tabla132112418[[#This Row],[PRECIO UNITARIO ESTIMADO]]*Tabla132112418[[#This Row],[CANTIDAD TOTAL]]</f>
        <v>0</v>
      </c>
      <c r="K1424" s="17"/>
      <c r="L1424" s="16" t="s">
        <v>18</v>
      </c>
      <c r="M1424" s="16" t="s">
        <v>22</v>
      </c>
      <c r="N1424" s="39"/>
    </row>
    <row r="1425" spans="1:14" s="12" customFormat="1" ht="18">
      <c r="A1425" s="178" t="s">
        <v>573</v>
      </c>
      <c r="B1425" s="75" t="s">
        <v>1333</v>
      </c>
      <c r="C1425" s="39" t="s">
        <v>17</v>
      </c>
      <c r="D1425" s="236"/>
      <c r="E1425" s="236"/>
      <c r="F1425" s="236"/>
      <c r="G1425" s="236"/>
      <c r="H1425" s="51">
        <f>SUM(Tabla132112418[[#This Row],[PRIMER TRIMESTRE]:[CUARTO TRIMESTRE]])</f>
        <v>0</v>
      </c>
      <c r="I1425" s="17">
        <v>1500000</v>
      </c>
      <c r="J1425" s="17">
        <f>+H1425*I1425</f>
        <v>0</v>
      </c>
      <c r="K1425" s="17"/>
      <c r="L1425" s="16" t="s">
        <v>18</v>
      </c>
      <c r="M1425" s="411" t="s">
        <v>22</v>
      </c>
      <c r="N1425" s="39"/>
    </row>
    <row r="1426" spans="1:14" s="12" customFormat="1" ht="18">
      <c r="A1426" s="178" t="s">
        <v>573</v>
      </c>
      <c r="B1426" s="75" t="s">
        <v>1750</v>
      </c>
      <c r="C1426" s="39" t="s">
        <v>17</v>
      </c>
      <c r="D1426" s="236"/>
      <c r="E1426" s="236"/>
      <c r="F1426" s="236"/>
      <c r="G1426" s="236"/>
      <c r="H1426" s="416">
        <v>0</v>
      </c>
      <c r="I1426" s="17"/>
      <c r="J1426" s="17">
        <f>Tabla132112418[[#This Row],[PRECIO UNITARIO ESTIMADO]]*Tabla132112418[[#This Row],[CANTIDAD TOTAL]]</f>
        <v>0</v>
      </c>
      <c r="K1426" s="17"/>
      <c r="L1426" s="16" t="s">
        <v>18</v>
      </c>
      <c r="M1426" s="411" t="s">
        <v>22</v>
      </c>
      <c r="N1426" s="39"/>
    </row>
    <row r="1427" spans="1:14" s="12" customFormat="1" ht="18">
      <c r="A1427" s="178" t="s">
        <v>573</v>
      </c>
      <c r="B1427" s="75" t="s">
        <v>1464</v>
      </c>
      <c r="C1427" s="39" t="s">
        <v>17</v>
      </c>
      <c r="D1427" s="236"/>
      <c r="E1427" s="236"/>
      <c r="F1427" s="236"/>
      <c r="G1427" s="236"/>
      <c r="H1427" s="51">
        <f>SUM(Tabla132112418[[#This Row],[PRIMER TRIMESTRE]:[CUARTO TRIMESTRE]])</f>
        <v>0</v>
      </c>
      <c r="I1427" s="17">
        <v>87000</v>
      </c>
      <c r="J1427" s="17">
        <f t="shared" si="37"/>
        <v>0</v>
      </c>
      <c r="K1427" s="17"/>
      <c r="L1427" s="16" t="s">
        <v>18</v>
      </c>
      <c r="M1427" s="411" t="s">
        <v>22</v>
      </c>
      <c r="N1427" s="39"/>
    </row>
    <row r="1428" spans="1:14" s="64" customFormat="1" ht="18">
      <c r="A1428" s="178" t="s">
        <v>573</v>
      </c>
      <c r="B1428" s="75" t="s">
        <v>1465</v>
      </c>
      <c r="C1428" s="39" t="s">
        <v>17</v>
      </c>
      <c r="D1428" s="236"/>
      <c r="E1428" s="236"/>
      <c r="F1428" s="236"/>
      <c r="G1428" s="236"/>
      <c r="H1428" s="51">
        <f>SUM(Tabla132112418[[#This Row],[PRIMER TRIMESTRE]:[CUARTO TRIMESTRE]])</f>
        <v>0</v>
      </c>
      <c r="I1428" s="17">
        <v>15</v>
      </c>
      <c r="J1428" s="17">
        <f t="shared" si="37"/>
        <v>0</v>
      </c>
      <c r="K1428" s="17"/>
      <c r="L1428" s="16" t="s">
        <v>18</v>
      </c>
      <c r="M1428" s="411" t="s">
        <v>22</v>
      </c>
      <c r="N1428" s="39"/>
    </row>
    <row r="1429" spans="1:14" s="34" customFormat="1" ht="24" thickBot="1">
      <c r="A1429" s="178" t="s">
        <v>573</v>
      </c>
      <c r="B1429" s="75" t="s">
        <v>1419</v>
      </c>
      <c r="C1429" s="39" t="s">
        <v>17</v>
      </c>
      <c r="D1429" s="236"/>
      <c r="E1429" s="236"/>
      <c r="F1429" s="236"/>
      <c r="G1429" s="236"/>
      <c r="H1429" s="51">
        <f>SUM(Tabla132112418[[#This Row],[PRIMER TRIMESTRE]:[CUARTO TRIMESTRE]])</f>
        <v>0</v>
      </c>
      <c r="I1429" s="17">
        <v>6000000</v>
      </c>
      <c r="J1429" s="17">
        <f t="shared" si="37"/>
        <v>0</v>
      </c>
      <c r="K1429" s="17"/>
      <c r="L1429" s="16" t="s">
        <v>18</v>
      </c>
      <c r="M1429" s="411" t="s">
        <v>22</v>
      </c>
      <c r="N1429" s="39"/>
    </row>
    <row r="1430" spans="1:14" ht="30.75" customHeight="1">
      <c r="A1430" s="181" t="s">
        <v>573</v>
      </c>
      <c r="B1430" s="76"/>
      <c r="C1430" s="62"/>
      <c r="D1430" s="418"/>
      <c r="E1430" s="418"/>
      <c r="F1430" s="418"/>
      <c r="G1430" s="418"/>
      <c r="H1430" s="59"/>
      <c r="I1430" s="288"/>
      <c r="J1430" s="419"/>
      <c r="K1430" s="25">
        <f>+SUM($J$1417:$J$1429)</f>
        <v>0</v>
      </c>
      <c r="L1430" s="61"/>
      <c r="M1430" s="61"/>
      <c r="N1430" s="62"/>
    </row>
    <row r="1431" spans="1:14" ht="30.75" customHeight="1" thickBot="1">
      <c r="A1431" s="182"/>
      <c r="B1431" s="83" t="s">
        <v>1912</v>
      </c>
      <c r="C1431" s="47"/>
      <c r="D1431" s="242"/>
      <c r="E1431" s="242"/>
      <c r="F1431" s="242"/>
      <c r="G1431" s="242"/>
      <c r="H1431" s="48"/>
      <c r="I1431" s="35"/>
      <c r="J1431" s="183">
        <f>SUM(J13:J1430)</f>
        <v>12584452.01</v>
      </c>
      <c r="K1431" s="183">
        <f>SUM(K13:K1430)</f>
        <v>12584452.01</v>
      </c>
      <c r="L1431" s="34"/>
      <c r="M1431" s="34"/>
      <c r="N1431" s="47"/>
    </row>
    <row r="1434" spans="1:14" ht="18">
      <c r="K1434" s="250"/>
    </row>
    <row r="1438" spans="1:14" ht="18">
      <c r="C1438" s="400"/>
      <c r="D1438" s="400"/>
      <c r="E1438" s="400"/>
      <c r="F1438" s="400"/>
      <c r="G1438" s="400"/>
      <c r="H1438" s="400"/>
      <c r="N1438" s="400"/>
    </row>
    <row r="1439" spans="1:14" ht="18">
      <c r="C1439" s="400"/>
      <c r="D1439" s="400"/>
      <c r="E1439" s="400"/>
      <c r="F1439" s="400"/>
      <c r="G1439" s="400"/>
      <c r="H1439" s="400"/>
      <c r="N1439" s="400"/>
    </row>
    <row r="1440" spans="1:14" ht="18">
      <c r="C1440" s="400"/>
      <c r="D1440" s="400"/>
      <c r="E1440" s="400"/>
      <c r="F1440" s="400"/>
      <c r="G1440" s="400"/>
      <c r="H1440" s="400"/>
      <c r="N1440" s="400"/>
    </row>
    <row r="1441" spans="3:14" ht="18">
      <c r="C1441" s="400"/>
      <c r="D1441" s="400"/>
      <c r="E1441" s="400"/>
      <c r="F1441" s="400"/>
      <c r="G1441" s="400"/>
      <c r="H1441" s="400"/>
      <c r="N1441" s="400"/>
    </row>
    <row r="1442" spans="3:14" ht="18">
      <c r="C1442" s="400"/>
      <c r="D1442" s="400"/>
      <c r="E1442" s="400"/>
      <c r="F1442" s="400"/>
      <c r="G1442" s="400"/>
      <c r="H1442" s="400"/>
      <c r="N1442" s="400"/>
    </row>
    <row r="1443" spans="3:14" ht="18">
      <c r="C1443" s="400"/>
      <c r="D1443" s="400"/>
      <c r="E1443" s="400"/>
      <c r="F1443" s="400"/>
      <c r="G1443" s="400"/>
      <c r="H1443" s="400"/>
      <c r="N1443" s="400"/>
    </row>
    <row r="1444" spans="3:14" ht="18">
      <c r="C1444" s="400"/>
      <c r="D1444" s="400"/>
      <c r="E1444" s="400"/>
      <c r="F1444" s="400"/>
      <c r="G1444" s="400"/>
      <c r="H1444" s="400"/>
      <c r="N1444" s="400"/>
    </row>
    <row r="1445" spans="3:14" ht="18">
      <c r="C1445" s="400"/>
      <c r="D1445" s="400"/>
      <c r="E1445" s="400"/>
      <c r="F1445" s="400"/>
      <c r="G1445" s="400"/>
      <c r="H1445" s="400"/>
      <c r="N1445" s="400"/>
    </row>
    <row r="1446" spans="3:14" ht="18">
      <c r="C1446" s="400"/>
      <c r="D1446" s="400"/>
      <c r="E1446" s="400"/>
      <c r="F1446" s="400"/>
      <c r="G1446" s="400"/>
      <c r="H1446" s="400"/>
      <c r="N1446" s="400"/>
    </row>
    <row r="1447" spans="3:14" ht="18"/>
  </sheetData>
  <mergeCells count="4">
    <mergeCell ref="A3:A5"/>
    <mergeCell ref="A6:N6"/>
    <mergeCell ref="A7:B7"/>
    <mergeCell ref="D9:G9"/>
  </mergeCells>
  <dataValidations count="12">
    <dataValidation allowBlank="1" showInputMessage="1" showErrorMessage="1" promptTitle="PACC" prompt="Digite la cantidad requerida en este período._x000a_" sqref="F673:G676 D1420:G1429 F814:G821 E703:E761 E407:F407 F774:G776 F661:G671 F830:G830 D124:G126 E129:G139 D203:G203 E149:G149 D1266:E1266 D1294:G1297 D414:E414 F1103:G1103 F1217:F1251 E835:E871 D628:G628 D633:G633 F835:G843 E101:G101 F875:F916 F873:G873 D832:G834 D201:E202 E702:G702 E629:G632 F222:G224 D872:G872 E873:E906 E217:F221 F719:G730 F144:G148 E1417:G1419 E351:G353 D15:F15 D1099:E1104 E537:G558 F349:G350 E1265 E688:G690 D1134:G1140 E14:F14 D150:E159 D1251:E1254 E1268:G1269 F235:G241 E829:E831 D1152:E1152 F140:G140 E763:E776 D1079:D1093 D1455:E1455 G1448:G1449 E1448:E1454 F1450:G1455 D1257:E1264 H1390 H1377 F1448 E785:E827 F1112:G1115 E661:E687 D1112:E1114 D408:D413 D1150:E1150 E762:G762 F1253:F1265 E1432:G1447 F488:F536 F1374:G1379 D1107:E1108 D1054:G1057 D1377:E1379 F175:G188 E160:F174 F559:F589 F605:G627 F408:F413 D1456:G1465 F204:F216 D1431:G1431 F1092 F845:G871 F1099:F1102 D36:G43 G1021:G1035 F1106:G1110 G1217:G1266 F354:F401 H1246 D474:D477 D1096:D1098 D875:D878 D176:D195 E242:F330 D880:D889 F402:G402 F463:F482 F1058:G1078 F418:G457 F1036:G1053 D1286:E1286 F1267:G1267 D22:G22 E1083:E1098 E347:E348 E1255:E1256 E478:E483 E1374:E1376 E782 E1115:E1133 E1109:E1111 E1041:E1053 E1105:E1106 E331:E333 E691:E701 E354:E373 E1036 E1039 E1059:E1079 D828:G828 D1270:G1285 D1287:G1289 E415:G416 E418:E473 E394:E403 D1380:G1416 E1430:G1430 D1346:G1373 E104:G121 E1298:G1345 D196:G200 E634:G659 E225:G234 E563:E627 E175:E195 E1153:G1161 E1151:G1151 E1141:G1145 D1146:G1147 E1290:G1293 E1148:G1149 E95:G98 E141:G143 F683:G685 G672 G677:G682 G831 G686:G687 G1286 G844 G1104:G1105 G13:G15 G347:G348 G478:G483 G559:G604 G763:G773 G458:G473 G731:G761 G204:G221 G703:G718 G829 G691:G701 G822:G827 G150:G159 G403:G414 D1432:D1449 G782 G1111 G1116:G1133 G1150 G1152 G189:G195 G201:G202 G381 G242:G333 G394:G397 G1079:G1102 G785:G813 G874:G1011 D907:E1011 D1021:E1035 D1012:G1020 D17:G20 F1163:G1216 E1163:E1250"/>
    <dataValidation allowBlank="1" showInputMessage="1" showErrorMessage="1" promptTitle="PACC" prompt="La cantidad total resultará de la suma de las cantidades requeridas en cada trimestre. " sqref="G382:G393 I621:I627 F458:F462 H1378:H1389 I581:I589 I605:I619 H1391:H1465 G398:G401 G354:G380 H13:H43 H45:H1245 H1247:H1376"/>
    <dataValidation allowBlank="1" showInputMessage="1" showErrorMessage="1" promptTitle="PACC" prompt="Este valor se calculará automáticamente, resultado de la multiplicación de la cantidad total por el precio unitario estimado." sqref="J408:J413 J283:J299 J176:J177 J414:K414 I1370:I1372 K22:K23 J830:K830 J629:K633 J201:K234 J719:K721 J1461:K1465 J831:J834 J354:J399 J400:K407 J242:K282 J235:J241 I1373:J1373 I1449:K1449 J1450:J1455 I1456:J1458 J1148 J1134:J1145 J1146:K1147 J1111:K1133 J1149:K1150 J1152:K1152 J1151 J124:J126 J722:J829 J1459:J1460 J1055:J1064 J1153:J1246 K56:K58 K581:K589 K605:K627 J428:K457 J1107:J1110 J178:K195 J59:K123 J196:J200 J1353:K1369 J127:K175 K27:K35 K45 J1247:K1298 J415:J427 J1065:K1106 J1431:J1448 J300:K353 J1374:J1427 J1429 K640:K670 I1281:I1282 J45:J58 J458:J628 J835:K1054 J13:K21 J1299:J1329 J22:J43 J634:J718 J1336:J1352"/>
    <dataValidation allowBlank="1" showInputMessage="1" showErrorMessage="1" promptTitle="PACC" prompt="Digite el precio unitario estimado._x000a_" sqref="I1448 I1455 I1374:I1390 I1459:I1465 I590:I604 I1430:J1430 I1353:I1369 I1417:I1419 I45:I195 I201:I580 I13:I35 I628:I1280 I1283:I1345"/>
    <dataValidation allowBlank="1" showInputMessage="1" showErrorMessage="1" promptTitle="PACC" prompt="Digite la fuente de financiamiento del procedimiento de referencia." sqref="N1371:N1372 N1456:N1458 M1459:M1465 M1374:M1455 N605:N627 M586:M604 N587 N585 M13:M584 M631:M1369"/>
    <dataValidation allowBlank="1" showInputMessage="1" showErrorMessage="1" promptTitle="PACC" prompt="Este valor se calculará sumando los costos totales que posean el mismo Código de Catálogo de Bienes y Servicios." sqref="K24:K26 J1370:J1372 K408:K413 K283:K299 K176:K177 K628:L628 K46:K55 K831:K834 K634:K639 L702 K354:K399 K458:K580 K235:K241 K1148 K1450:K1455 I1450:I1454 K1134:K1145 K1151 K124:K126 K1459:K1460 L585 K590:K604 K1107:K1110 K1055:K1064 K196:K200 I196:I200 K1336:K1352 I36:I43 I1346:I1352 I1391:I1416 K415:K427 K671:K718 K1153:K1246 J1428 L674:L682 I1431:I1447 K722:K829 L605:L627 K36:K43 L603 K1299:K1329 K1374:K1448 I1420:I1429"/>
    <dataValidation allowBlank="1" showInputMessage="1" showErrorMessage="1" promptTitle="PACC" prompt="Digite las observaciones que considere." sqref="N1459:N1465 N588:N604 N586 N45:N584 N13:N43 N1373:N1455 N628:N1370"/>
    <dataValidation allowBlank="1" showInputMessage="1" showErrorMessage="1" promptTitle="PACC" prompt="Digite la unidad de medida._x000a__x000a_" sqref="E559:E562 C586:C604 C628:C1329 C13:C561 C1336:C1465"/>
    <dataValidation allowBlank="1" showInputMessage="1" showErrorMessage="1" promptTitle="PACC" prompt="Digite la descripción de la compra o contratación." sqref="B1448:B1465 B1430 B1353:B1390 B1417:B1419 B44:B195 B13:B35 A77 B201:B1345"/>
    <dataValidation type="list" allowBlank="1" showInputMessage="1" showErrorMessage="1" promptTitle="PACC" prompt="Seleccione el Código de Bienes y Servicios._x000a_" sqref="A59:A76 C1330:C1335 J1330:K1335 A1456:A1465 A13:A45 A78:A1448">
      <formula1>#REF!</formula1>
    </dataValidation>
    <dataValidation type="list" allowBlank="1" showInputMessage="1" showErrorMessage="1" promptTitle="PACC" prompt="Seleccione el procedimiento de selección." sqref="K1370:K1373 K1456:K1458 L683:L701 L604 L1459:L1465 L629:L673 L586:L602 L13:L43 L45:L584 M585 M605:M630 L703:L1455">
      <formula1>#REF!</formula1>
    </dataValidation>
    <dataValidation type="list" allowBlank="1" showInputMessage="1" showErrorMessage="1" promptTitle="PACC" prompt="Seleccione el Código de Bienes y Servicios._x000a_" sqref="A46:A58">
      <formula1>#REF!</formula1>
    </dataValidation>
  </dataValidations>
  <pageMargins left="0.7" right="0.7" top="0.75" bottom="0.75" header="0.3" footer="0.3"/>
  <pageSetup paperSize="9" orientation="portrait" r:id="rId1"/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797"/>
  <sheetViews>
    <sheetView view="pageBreakPreview" topLeftCell="C62" zoomScale="70" zoomScaleNormal="80" zoomScaleSheetLayoutView="70" workbookViewId="0">
      <selection activeCell="K52" sqref="K52"/>
    </sheetView>
  </sheetViews>
  <sheetFormatPr baseColWidth="10" defaultColWidth="11.42578125" defaultRowHeight="18"/>
  <cols>
    <col min="1" max="1" width="38.42578125" style="84" customWidth="1"/>
    <col min="2" max="2" width="48.42578125" style="84" customWidth="1"/>
    <col min="3" max="3" width="13.28515625" style="37" customWidth="1"/>
    <col min="4" max="4" width="7.5703125" style="37" customWidth="1"/>
    <col min="5" max="5" width="7.85546875" style="37" customWidth="1"/>
    <col min="6" max="6" width="8.140625" style="37" customWidth="1"/>
    <col min="7" max="7" width="8.28515625" style="37" customWidth="1"/>
    <col min="8" max="8" width="15.7109375" style="37" hidden="1" customWidth="1"/>
    <col min="9" max="9" width="19.7109375" style="84" hidden="1" customWidth="1"/>
    <col min="10" max="10" width="20.7109375" style="84" customWidth="1"/>
    <col min="11" max="11" width="21.140625" style="84" customWidth="1"/>
    <col min="12" max="12" width="30.28515625" style="84" customWidth="1"/>
    <col min="13" max="13" width="33.140625" style="84" customWidth="1"/>
    <col min="14" max="14" width="12.5703125" style="37" customWidth="1"/>
    <col min="15" max="15" width="18.85546875" style="84" customWidth="1"/>
    <col min="16" max="16" width="17.140625" style="84" customWidth="1"/>
    <col min="17" max="17" width="21.42578125" style="84" customWidth="1"/>
    <col min="18" max="18" width="64.5703125" style="84" hidden="1" customWidth="1"/>
    <col min="19" max="19" width="20.85546875" style="84" customWidth="1"/>
    <col min="20" max="20" width="0" style="84" hidden="1" customWidth="1"/>
    <col min="21" max="21" width="52.28515625" style="84" hidden="1" customWidth="1"/>
    <col min="22" max="22" width="17.7109375" style="84" customWidth="1"/>
    <col min="23" max="16384" width="11.42578125" style="84"/>
  </cols>
  <sheetData>
    <row r="1" spans="1:21" ht="18.75" thickBot="1"/>
    <row r="2" spans="1:21">
      <c r="A2" s="7" t="s">
        <v>0</v>
      </c>
      <c r="N2" s="8">
        <v>42035</v>
      </c>
    </row>
    <row r="3" spans="1:21">
      <c r="A3" s="554"/>
      <c r="N3" s="9"/>
    </row>
    <row r="4" spans="1:21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21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21" ht="25.5" customHeight="1">
      <c r="A6" s="560" t="s">
        <v>1</v>
      </c>
      <c r="B6" s="560"/>
      <c r="C6" s="560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</row>
    <row r="7" spans="1:21">
      <c r="A7" s="561" t="s">
        <v>459</v>
      </c>
      <c r="B7" s="561"/>
      <c r="C7" s="38"/>
      <c r="D7" s="38"/>
      <c r="E7" s="38"/>
      <c r="F7" s="38"/>
      <c r="G7" s="38"/>
      <c r="H7" s="38"/>
      <c r="I7" s="12"/>
      <c r="J7" s="12"/>
      <c r="K7" s="12"/>
    </row>
    <row r="8" spans="1:21" ht="18.75" thickBot="1"/>
    <row r="9" spans="1:21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21" s="14" customFormat="1" ht="90">
      <c r="A10" s="2" t="s">
        <v>3</v>
      </c>
      <c r="B10" s="3" t="s">
        <v>4</v>
      </c>
      <c r="C10" s="3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3" t="s">
        <v>10</v>
      </c>
      <c r="I10" s="3" t="s">
        <v>11</v>
      </c>
      <c r="J10" s="3" t="s">
        <v>12</v>
      </c>
      <c r="K10" s="3" t="s">
        <v>442</v>
      </c>
      <c r="L10" s="3" t="s">
        <v>13</v>
      </c>
      <c r="M10" s="3" t="s">
        <v>14</v>
      </c>
      <c r="N10" s="3" t="s">
        <v>305</v>
      </c>
      <c r="O10" s="6" t="s">
        <v>425</v>
      </c>
      <c r="P10" s="5"/>
      <c r="Q10" s="5"/>
      <c r="R10" s="5"/>
      <c r="S10" s="5"/>
    </row>
    <row r="11" spans="1:21" s="12" customFormat="1" ht="49.5" customHeight="1">
      <c r="A11" s="15" t="s">
        <v>16</v>
      </c>
      <c r="B11" s="75" t="s">
        <v>427</v>
      </c>
      <c r="C11" s="39" t="s">
        <v>17</v>
      </c>
      <c r="D11" s="39"/>
      <c r="E11" s="39">
        <v>750</v>
      </c>
      <c r="F11" s="39"/>
      <c r="G11" s="39">
        <v>750</v>
      </c>
      <c r="H11" s="41">
        <f>SUM(Tabla1323[[#This Row],[PRIMER TRIMESTRE]:[CUARTO TRIMESTRE]])</f>
        <v>1500</v>
      </c>
      <c r="I11" s="17">
        <v>4568.04</v>
      </c>
      <c r="J11" s="17">
        <f>+Tabla1323[[#This Row],[CANTIDAD TOTAL]]*Tabla1323[[#This Row],[PRECIO UNITARIO ESTIMADO]]</f>
        <v>6852060</v>
      </c>
      <c r="K11" s="21"/>
      <c r="L11" s="16" t="s">
        <v>18</v>
      </c>
      <c r="M11" s="16" t="s">
        <v>19</v>
      </c>
      <c r="N11" s="39"/>
      <c r="O11" s="20"/>
      <c r="R11" s="19"/>
      <c r="U11" s="16"/>
    </row>
    <row r="12" spans="1:21" s="12" customFormat="1" ht="35.25" customHeight="1">
      <c r="A12" s="15" t="s">
        <v>16</v>
      </c>
      <c r="B12" s="75" t="s">
        <v>426</v>
      </c>
      <c r="C12" s="39" t="s">
        <v>17</v>
      </c>
      <c r="D12" s="39"/>
      <c r="E12" s="39"/>
      <c r="F12" s="39">
        <v>570</v>
      </c>
      <c r="G12" s="39"/>
      <c r="H12" s="41">
        <f>SUM(Tabla1323[[#This Row],[PRIMER TRIMESTRE]:[CUARTO TRIMESTRE]])</f>
        <v>570</v>
      </c>
      <c r="I12" s="17">
        <v>33696</v>
      </c>
      <c r="J12" s="17">
        <f>+Tabla1323[[#This Row],[CANTIDAD TOTAL]]*Tabla1323[[#This Row],[PRECIO UNITARIO ESTIMADO]]</f>
        <v>19206720</v>
      </c>
      <c r="K12" s="17"/>
      <c r="L12" s="16" t="s">
        <v>18</v>
      </c>
      <c r="M12" s="16" t="s">
        <v>19</v>
      </c>
      <c r="N12" s="39"/>
      <c r="O12" s="20"/>
      <c r="R12" s="19" t="s">
        <v>20</v>
      </c>
      <c r="U12" s="16" t="s">
        <v>21</v>
      </c>
    </row>
    <row r="13" spans="1:21" s="12" customFormat="1" ht="30.75" customHeight="1">
      <c r="A13" s="15" t="s">
        <v>16</v>
      </c>
      <c r="B13" s="75" t="s">
        <v>24</v>
      </c>
      <c r="C13" s="39" t="s">
        <v>25</v>
      </c>
      <c r="D13" s="39"/>
      <c r="E13" s="39">
        <v>3000</v>
      </c>
      <c r="F13" s="39"/>
      <c r="G13" s="39"/>
      <c r="H13" s="41">
        <f>SUM(Tabla1323[[#This Row],[PRIMER TRIMESTRE]:[CUARTO TRIMESTRE]])</f>
        <v>3000</v>
      </c>
      <c r="I13" s="17">
        <v>3628</v>
      </c>
      <c r="J13" s="17">
        <f>+Tabla1323[[#This Row],[CANTIDAD TOTAL]]*Tabla1323[[#This Row],[PRECIO UNITARIO ESTIMADO]]</f>
        <v>10884000</v>
      </c>
      <c r="K13" s="17"/>
      <c r="L13" s="16" t="s">
        <v>18</v>
      </c>
      <c r="M13" s="16" t="s">
        <v>19</v>
      </c>
      <c r="N13" s="39"/>
      <c r="O13" s="20"/>
      <c r="R13" s="12" t="s">
        <v>26</v>
      </c>
      <c r="U13" s="12" t="s">
        <v>27</v>
      </c>
    </row>
    <row r="14" spans="1:21" s="12" customFormat="1" ht="29.25" customHeight="1">
      <c r="A14" s="15" t="s">
        <v>16</v>
      </c>
      <c r="B14" s="75" t="s">
        <v>769</v>
      </c>
      <c r="C14" s="39" t="s">
        <v>23</v>
      </c>
      <c r="D14" s="39">
        <f>24/4</f>
        <v>6</v>
      </c>
      <c r="E14" s="39">
        <v>6</v>
      </c>
      <c r="F14" s="39">
        <v>6</v>
      </c>
      <c r="G14" s="39">
        <v>6</v>
      </c>
      <c r="H14" s="41">
        <f>SUM(Tabla1323[[#This Row],[PRIMER TRIMESTRE]:[CUARTO TRIMESTRE]])</f>
        <v>24</v>
      </c>
      <c r="I14" s="17">
        <v>28440</v>
      </c>
      <c r="J14" s="17">
        <f>+Tabla1323[[#This Row],[CANTIDAD TOTAL]]*Tabla1323[[#This Row],[PRECIO UNITARIO ESTIMADO]]</f>
        <v>682560</v>
      </c>
      <c r="K14" s="17"/>
      <c r="L14" s="16" t="s">
        <v>15</v>
      </c>
      <c r="M14" s="16" t="s">
        <v>19</v>
      </c>
      <c r="N14" s="39" t="s">
        <v>342</v>
      </c>
      <c r="O14" s="18"/>
      <c r="R14" s="19" t="s">
        <v>28</v>
      </c>
      <c r="U14" s="16" t="s">
        <v>15</v>
      </c>
    </row>
    <row r="15" spans="1:21" s="12" customFormat="1" ht="33" customHeight="1">
      <c r="A15" s="15" t="s">
        <v>16</v>
      </c>
      <c r="B15" s="75" t="s">
        <v>29</v>
      </c>
      <c r="C15" s="39" t="s">
        <v>30</v>
      </c>
      <c r="D15" s="39"/>
      <c r="E15" s="39">
        <v>24000</v>
      </c>
      <c r="F15" s="39"/>
      <c r="G15" s="39">
        <v>24000</v>
      </c>
      <c r="H15" s="41">
        <f>SUM(Tabla1323[[#This Row],[PRIMER TRIMESTRE]:[CUARTO TRIMESTRE]])</f>
        <v>48000</v>
      </c>
      <c r="I15" s="17">
        <v>862.27</v>
      </c>
      <c r="J15" s="17">
        <f>+Tabla1323[[#This Row],[CANTIDAD TOTAL]]*Tabla1323[[#This Row],[PRECIO UNITARIO ESTIMADO]]</f>
        <v>41388960</v>
      </c>
      <c r="K15" s="17"/>
      <c r="L15" s="16" t="s">
        <v>18</v>
      </c>
      <c r="M15" s="16" t="s">
        <v>19</v>
      </c>
      <c r="N15" s="39"/>
      <c r="O15" s="20"/>
      <c r="R15" s="19" t="s">
        <v>31</v>
      </c>
      <c r="U15" s="16" t="s">
        <v>32</v>
      </c>
    </row>
    <row r="16" spans="1:21" s="26" customFormat="1" ht="29.25" customHeight="1">
      <c r="A16" s="22" t="s">
        <v>16</v>
      </c>
      <c r="B16" s="76" t="s">
        <v>443</v>
      </c>
      <c r="C16" s="42"/>
      <c r="D16" s="42"/>
      <c r="E16" s="42"/>
      <c r="F16" s="42"/>
      <c r="G16" s="42"/>
      <c r="H16" s="43"/>
      <c r="I16" s="24"/>
      <c r="J16" s="24"/>
      <c r="K16" s="25">
        <f>SUM(J14:J15)</f>
        <v>42071520</v>
      </c>
      <c r="L16" s="23"/>
      <c r="M16" s="23"/>
      <c r="N16" s="42"/>
      <c r="O16" s="24"/>
      <c r="R16" s="27"/>
      <c r="U16" s="23"/>
    </row>
    <row r="17" spans="1:23" s="111" customFormat="1" ht="35.25" customHeight="1">
      <c r="A17" s="105" t="s">
        <v>34</v>
      </c>
      <c r="B17" s="106" t="s">
        <v>717</v>
      </c>
      <c r="C17" s="107" t="s">
        <v>35</v>
      </c>
      <c r="D17" s="107">
        <v>6</v>
      </c>
      <c r="E17" s="107"/>
      <c r="F17" s="107"/>
      <c r="G17" s="107"/>
      <c r="H17" s="108">
        <f>SUM(Tabla1323[[#This Row],[PRIMER TRIMESTRE]:[CUARTO TRIMESTRE]])</f>
        <v>6</v>
      </c>
      <c r="I17" s="109">
        <v>31896.55</v>
      </c>
      <c r="J17" s="109">
        <f>+Tabla1323[[#This Row],[CANTIDAD TOTAL]]*Tabla1323[[#This Row],[PRECIO UNITARIO ESTIMADO]]</f>
        <v>191379.3</v>
      </c>
      <c r="K17" s="109"/>
      <c r="L17" s="110" t="s">
        <v>15</v>
      </c>
      <c r="M17" s="110" t="s">
        <v>22</v>
      </c>
      <c r="N17" s="107" t="s">
        <v>418</v>
      </c>
      <c r="O17" s="110"/>
      <c r="R17" s="112" t="s">
        <v>37</v>
      </c>
      <c r="U17" s="110"/>
    </row>
    <row r="18" spans="1:23" s="111" customFormat="1" ht="33.75" customHeight="1">
      <c r="A18" s="105" t="s">
        <v>34</v>
      </c>
      <c r="B18" s="106" t="s">
        <v>714</v>
      </c>
      <c r="C18" s="107" t="s">
        <v>35</v>
      </c>
      <c r="D18" s="107">
        <v>6</v>
      </c>
      <c r="E18" s="107"/>
      <c r="F18" s="107"/>
      <c r="G18" s="107"/>
      <c r="H18" s="108">
        <f>SUM(Tabla1323[[#This Row],[PRIMER TRIMESTRE]:[CUARTO TRIMESTRE]])</f>
        <v>6</v>
      </c>
      <c r="I18" s="109">
        <v>28017.24</v>
      </c>
      <c r="J18" s="109">
        <f>+H18*I18</f>
        <v>168103.44</v>
      </c>
      <c r="K18" s="127"/>
      <c r="L18" s="110" t="s">
        <v>15</v>
      </c>
      <c r="M18" s="110" t="s">
        <v>22</v>
      </c>
      <c r="N18" s="107" t="s">
        <v>418</v>
      </c>
      <c r="O18" s="110"/>
      <c r="R18" s="112" t="s">
        <v>36</v>
      </c>
      <c r="U18" s="110"/>
    </row>
    <row r="19" spans="1:23" s="111" customFormat="1" ht="33.75" customHeight="1">
      <c r="A19" s="105" t="s">
        <v>34</v>
      </c>
      <c r="B19" s="106" t="s">
        <v>715</v>
      </c>
      <c r="C19" s="107" t="s">
        <v>35</v>
      </c>
      <c r="D19" s="107">
        <v>3</v>
      </c>
      <c r="E19" s="107"/>
      <c r="F19" s="107"/>
      <c r="G19" s="107"/>
      <c r="H19" s="108">
        <f>SUM(Tabla1323[[#This Row],[PRIMER TRIMESTRE]:[CUARTO TRIMESTRE]])</f>
        <v>3</v>
      </c>
      <c r="I19" s="109">
        <v>23612</v>
      </c>
      <c r="J19" s="109">
        <f>+H19*I19</f>
        <v>70836</v>
      </c>
      <c r="K19" s="109"/>
      <c r="L19" s="110" t="s">
        <v>15</v>
      </c>
      <c r="M19" s="110" t="s">
        <v>22</v>
      </c>
      <c r="N19" s="107" t="s">
        <v>418</v>
      </c>
      <c r="O19" s="109"/>
      <c r="R19" s="112"/>
      <c r="U19" s="110"/>
    </row>
    <row r="20" spans="1:23" s="111" customFormat="1" ht="33.75" customHeight="1">
      <c r="A20" s="105" t="s">
        <v>34</v>
      </c>
      <c r="B20" s="106" t="s">
        <v>716</v>
      </c>
      <c r="C20" s="107" t="s">
        <v>35</v>
      </c>
      <c r="D20" s="107">
        <v>5</v>
      </c>
      <c r="E20" s="107"/>
      <c r="F20" s="107"/>
      <c r="G20" s="107"/>
      <c r="H20" s="108">
        <f>SUM(Tabla1323[[#This Row],[PRIMER TRIMESTRE]:[CUARTO TRIMESTRE]])</f>
        <v>5</v>
      </c>
      <c r="I20" s="109">
        <v>23112.13</v>
      </c>
      <c r="J20" s="109">
        <f>+H20*I20</f>
        <v>115560.65000000001</v>
      </c>
      <c r="K20" s="109"/>
      <c r="L20" s="110" t="s">
        <v>15</v>
      </c>
      <c r="M20" s="110" t="s">
        <v>22</v>
      </c>
      <c r="N20" s="107" t="s">
        <v>418</v>
      </c>
      <c r="O20" s="109"/>
      <c r="R20" s="112"/>
      <c r="U20" s="110"/>
    </row>
    <row r="21" spans="1:23" s="111" customFormat="1" ht="31.5">
      <c r="A21" s="105" t="s">
        <v>34</v>
      </c>
      <c r="B21" s="106" t="s">
        <v>787</v>
      </c>
      <c r="C21" s="107" t="s">
        <v>35</v>
      </c>
      <c r="D21" s="107">
        <v>1</v>
      </c>
      <c r="E21" s="107"/>
      <c r="F21" s="107"/>
      <c r="G21" s="107"/>
      <c r="H21" s="108">
        <f>SUM(Tabla1323[[#This Row],[PRIMER TRIMESTRE]:[CUARTO TRIMESTRE]])</f>
        <v>1</v>
      </c>
      <c r="I21" s="109">
        <v>24630.67</v>
      </c>
      <c r="J21" s="109">
        <f>+Tabla1323[[#This Row],[CANTIDAD TOTAL]]*Tabla1323[[#This Row],[PRECIO UNITARIO ESTIMADO]]</f>
        <v>24630.67</v>
      </c>
      <c r="K21" s="109"/>
      <c r="L21" s="110" t="s">
        <v>15</v>
      </c>
      <c r="M21" s="110" t="s">
        <v>22</v>
      </c>
      <c r="N21" s="107" t="s">
        <v>418</v>
      </c>
      <c r="O21" s="110"/>
      <c r="R21" s="112" t="s">
        <v>38</v>
      </c>
      <c r="U21" s="110"/>
    </row>
    <row r="22" spans="1:23" s="111" customFormat="1" ht="31.5">
      <c r="A22" s="105" t="s">
        <v>34</v>
      </c>
      <c r="B22" s="106" t="s">
        <v>786</v>
      </c>
      <c r="C22" s="107" t="s">
        <v>35</v>
      </c>
      <c r="D22" s="107">
        <v>1</v>
      </c>
      <c r="E22" s="107"/>
      <c r="F22" s="107"/>
      <c r="G22" s="107"/>
      <c r="H22" s="108">
        <f>SUM(Tabla1323[[#This Row],[PRIMER TRIMESTRE]:[CUARTO TRIMESTRE]])</f>
        <v>1</v>
      </c>
      <c r="I22" s="109">
        <f>+I21*1.05</f>
        <v>25862.2035</v>
      </c>
      <c r="J22" s="109">
        <f>+H22*I22</f>
        <v>25862.2035</v>
      </c>
      <c r="K22" s="109"/>
      <c r="L22" s="110" t="s">
        <v>15</v>
      </c>
      <c r="M22" s="110" t="s">
        <v>22</v>
      </c>
      <c r="N22" s="107" t="s">
        <v>418</v>
      </c>
      <c r="O22" s="109"/>
      <c r="R22" s="112"/>
      <c r="U22" s="110"/>
    </row>
    <row r="23" spans="1:23" s="111" customFormat="1" ht="31.5">
      <c r="A23" s="105" t="s">
        <v>34</v>
      </c>
      <c r="B23" s="106" t="s">
        <v>720</v>
      </c>
      <c r="C23" s="107" t="s">
        <v>721</v>
      </c>
      <c r="D23" s="107">
        <v>7</v>
      </c>
      <c r="E23" s="107"/>
      <c r="F23" s="107"/>
      <c r="G23" s="107"/>
      <c r="H23" s="108">
        <f>SUM(Tabla1323[[#This Row],[PRIMER TRIMESTRE]:[CUARTO TRIMESTRE]])</f>
        <v>7</v>
      </c>
      <c r="I23" s="109">
        <v>3700</v>
      </c>
      <c r="J23" s="109">
        <f>+Tabla1323[[#This Row],[CANTIDAD TOTAL]]*Tabla1323[[#This Row],[PRECIO UNITARIO ESTIMADO]]</f>
        <v>25900</v>
      </c>
      <c r="K23" s="109"/>
      <c r="L23" s="110" t="s">
        <v>15</v>
      </c>
      <c r="M23" s="110" t="s">
        <v>22</v>
      </c>
      <c r="N23" s="107" t="s">
        <v>418</v>
      </c>
      <c r="O23" s="110"/>
      <c r="R23" s="112" t="s">
        <v>39</v>
      </c>
      <c r="U23" s="110"/>
    </row>
    <row r="24" spans="1:23" s="111" customFormat="1" ht="31.5">
      <c r="A24" s="105" t="s">
        <v>34</v>
      </c>
      <c r="B24" s="106" t="s">
        <v>719</v>
      </c>
      <c r="C24" s="107" t="s">
        <v>718</v>
      </c>
      <c r="D24" s="107">
        <v>5</v>
      </c>
      <c r="E24" s="107"/>
      <c r="F24" s="107"/>
      <c r="G24" s="107"/>
      <c r="H24" s="108">
        <f>SUM(Tabla1323[[#This Row],[PRIMER TRIMESTRE]:[CUARTO TRIMESTRE]])</f>
        <v>5</v>
      </c>
      <c r="I24" s="109">
        <v>800</v>
      </c>
      <c r="J24" s="109">
        <f>+Tabla1323[[#This Row],[CANTIDAD TOTAL]]*Tabla1323[[#This Row],[PRECIO UNITARIO ESTIMADO]]</f>
        <v>4000</v>
      </c>
      <c r="K24" s="109"/>
      <c r="L24" s="110" t="s">
        <v>15</v>
      </c>
      <c r="M24" s="110" t="s">
        <v>22</v>
      </c>
      <c r="N24" s="107" t="s">
        <v>418</v>
      </c>
      <c r="O24" s="110"/>
      <c r="R24" s="112" t="s">
        <v>40</v>
      </c>
      <c r="U24" s="110"/>
    </row>
    <row r="25" spans="1:23" s="26" customFormat="1" ht="44.25" customHeight="1">
      <c r="A25" s="22" t="s">
        <v>34</v>
      </c>
      <c r="B25" s="76"/>
      <c r="C25" s="42"/>
      <c r="D25" s="42"/>
      <c r="E25" s="42"/>
      <c r="F25" s="42"/>
      <c r="G25" s="42"/>
      <c r="H25" s="43"/>
      <c r="I25" s="24"/>
      <c r="J25" s="24"/>
      <c r="K25" s="25">
        <f>SUBTOTAL(109,J17:J24)</f>
        <v>626272.2635</v>
      </c>
      <c r="L25" s="23"/>
      <c r="M25" s="23"/>
      <c r="N25" s="42"/>
      <c r="O25" s="24"/>
      <c r="R25" s="27"/>
      <c r="U25" s="23"/>
    </row>
    <row r="26" spans="1:23" s="12" customFormat="1" ht="31.5">
      <c r="A26" s="15" t="s">
        <v>41</v>
      </c>
      <c r="B26" s="75" t="s">
        <v>42</v>
      </c>
      <c r="C26" s="39" t="s">
        <v>17</v>
      </c>
      <c r="D26" s="39"/>
      <c r="E26" s="39"/>
      <c r="F26" s="39"/>
      <c r="G26" s="39"/>
      <c r="H26" s="40">
        <f>SUM(Tabla1323[[#This Row],[PRIMER TRIMESTRE]:[CUARTO TRIMESTRE]])</f>
        <v>0</v>
      </c>
      <c r="I26" s="17">
        <v>26999</v>
      </c>
      <c r="J26" s="17">
        <f>+Tabla1323[[#This Row],[CANTIDAD TOTAL]]*Tabla1323[[#This Row],[PRECIO UNITARIO ESTIMADO]]</f>
        <v>0</v>
      </c>
      <c r="K26" s="17"/>
      <c r="L26" s="16" t="s">
        <v>15</v>
      </c>
      <c r="M26" s="16" t="s">
        <v>22</v>
      </c>
      <c r="N26" s="39" t="s">
        <v>418</v>
      </c>
      <c r="O26" s="20"/>
      <c r="R26" s="19" t="s">
        <v>43</v>
      </c>
      <c r="U26" s="16"/>
    </row>
    <row r="27" spans="1:23" s="12" customFormat="1" ht="31.5">
      <c r="A27" s="15" t="s">
        <v>41</v>
      </c>
      <c r="B27" s="75" t="s">
        <v>44</v>
      </c>
      <c r="C27" s="39" t="s">
        <v>17</v>
      </c>
      <c r="D27" s="39"/>
      <c r="E27" s="39"/>
      <c r="F27" s="39"/>
      <c r="G27" s="39"/>
      <c r="H27" s="40">
        <f>SUM(Tabla1323[[#This Row],[PRIMER TRIMESTRE]:[CUARTO TRIMESTRE]])</f>
        <v>0</v>
      </c>
      <c r="I27" s="17">
        <v>90854.41</v>
      </c>
      <c r="J27" s="17">
        <f>+Tabla1323[[#This Row],[CANTIDAD TOTAL]]*Tabla1323[[#This Row],[PRECIO UNITARIO ESTIMADO]]</f>
        <v>0</v>
      </c>
      <c r="K27" s="17"/>
      <c r="L27" s="16" t="s">
        <v>15</v>
      </c>
      <c r="M27" s="16" t="s">
        <v>22</v>
      </c>
      <c r="N27" s="39" t="s">
        <v>418</v>
      </c>
      <c r="O27" s="20"/>
      <c r="R27" s="19" t="s">
        <v>45</v>
      </c>
      <c r="U27" s="16"/>
    </row>
    <row r="28" spans="1:23" s="26" customFormat="1" ht="49.5" customHeight="1">
      <c r="A28" s="22" t="s">
        <v>41</v>
      </c>
      <c r="B28" s="76"/>
      <c r="C28" s="42"/>
      <c r="D28" s="42"/>
      <c r="E28" s="42"/>
      <c r="F28" s="42"/>
      <c r="G28" s="42"/>
      <c r="H28" s="43"/>
      <c r="I28" s="24"/>
      <c r="J28" s="24"/>
      <c r="K28" s="25">
        <f>SUBTOTAL(109,J26:J27)</f>
        <v>0</v>
      </c>
      <c r="L28" s="23"/>
      <c r="M28" s="23"/>
      <c r="N28" s="42"/>
      <c r="O28" s="24"/>
      <c r="R28" s="27"/>
      <c r="U28" s="23"/>
    </row>
    <row r="29" spans="1:23" s="111" customFormat="1" ht="34.5" customHeight="1">
      <c r="A29" s="105" t="s">
        <v>46</v>
      </c>
      <c r="B29" s="106" t="s">
        <v>778</v>
      </c>
      <c r="C29" s="107" t="s">
        <v>17</v>
      </c>
      <c r="D29" s="107">
        <v>1</v>
      </c>
      <c r="E29" s="107"/>
      <c r="F29" s="107"/>
      <c r="G29" s="107"/>
      <c r="H29" s="108">
        <f>SUM(Tabla1323[[#This Row],[PRIMER TRIMESTRE]:[CUARTO TRIMESTRE]])</f>
        <v>1</v>
      </c>
      <c r="I29" s="109">
        <v>1800000</v>
      </c>
      <c r="J29" s="109">
        <f>+H29*I29</f>
        <v>1800000</v>
      </c>
      <c r="K29" s="109"/>
      <c r="L29" s="110" t="s">
        <v>27</v>
      </c>
      <c r="M29" s="110" t="s">
        <v>22</v>
      </c>
      <c r="N29" s="107"/>
      <c r="O29" s="109"/>
      <c r="T29" s="112"/>
      <c r="W29" s="110"/>
    </row>
    <row r="30" spans="1:23" s="12" customFormat="1" ht="34.5" customHeight="1">
      <c r="A30" s="15" t="s">
        <v>46</v>
      </c>
      <c r="B30" s="75" t="s">
        <v>445</v>
      </c>
      <c r="C30" s="39" t="s">
        <v>17</v>
      </c>
      <c r="D30" s="39"/>
      <c r="E30" s="39">
        <v>2</v>
      </c>
      <c r="F30" s="39"/>
      <c r="G30" s="39"/>
      <c r="H30" s="40">
        <f>SUM(Tabla1323[[#This Row],[PRIMER TRIMESTRE]:[CUARTO TRIMESTRE]])</f>
        <v>2</v>
      </c>
      <c r="I30" s="17">
        <v>1136476.48</v>
      </c>
      <c r="J30" s="17">
        <f>+H30*I30</f>
        <v>2272952.96</v>
      </c>
      <c r="K30" s="17"/>
      <c r="L30" s="16" t="s">
        <v>18</v>
      </c>
      <c r="M30" s="16" t="s">
        <v>22</v>
      </c>
      <c r="N30" s="39"/>
      <c r="O30" s="16"/>
      <c r="T30" s="19" t="s">
        <v>446</v>
      </c>
      <c r="W30" s="16"/>
    </row>
    <row r="31" spans="1:23" s="12" customFormat="1" ht="34.5" customHeight="1">
      <c r="A31" s="15" t="s">
        <v>46</v>
      </c>
      <c r="B31" s="75" t="s">
        <v>447</v>
      </c>
      <c r="C31" s="39" t="s">
        <v>17</v>
      </c>
      <c r="D31" s="39"/>
      <c r="E31" s="39">
        <v>2</v>
      </c>
      <c r="F31" s="39"/>
      <c r="G31" s="39"/>
      <c r="H31" s="40">
        <f>SUM(Tabla1323[[#This Row],[PRIMER TRIMESTRE]:[CUARTO TRIMESTRE]])</f>
        <v>2</v>
      </c>
      <c r="I31" s="17">
        <v>440000</v>
      </c>
      <c r="J31" s="17">
        <f>+H31*I31</f>
        <v>880000</v>
      </c>
      <c r="K31" s="170">
        <f>+Tabla1323[[#This Row],[COSTO TOTAL UNITARIO ESTIMADO]]+J30</f>
        <v>3152952.96</v>
      </c>
      <c r="L31" s="16" t="s">
        <v>18</v>
      </c>
      <c r="M31" s="16" t="s">
        <v>22</v>
      </c>
      <c r="N31" s="39"/>
      <c r="O31" s="16"/>
      <c r="T31" s="19" t="s">
        <v>448</v>
      </c>
      <c r="W31" s="16"/>
    </row>
    <row r="32" spans="1:23" s="12" customFormat="1">
      <c r="A32" s="15" t="s">
        <v>46</v>
      </c>
      <c r="B32" s="75" t="s">
        <v>47</v>
      </c>
      <c r="C32" s="39" t="s">
        <v>17</v>
      </c>
      <c r="E32" s="39">
        <v>20</v>
      </c>
      <c r="F32" s="39"/>
      <c r="G32" s="39"/>
      <c r="H32" s="40">
        <f>SUM(Tabla1323[[#This Row],[PRIMER TRIMESTRE]:[CUARTO TRIMESTRE]])</f>
        <v>20</v>
      </c>
      <c r="I32" s="17">
        <v>3103.38</v>
      </c>
      <c r="J32" s="17">
        <f>+Tabla1323[[#This Row],[CANTIDAD TOTAL]]*Tabla1323[[#This Row],[PRECIO UNITARIO ESTIMADO]]</f>
        <v>62067.600000000006</v>
      </c>
      <c r="K32" s="17"/>
      <c r="L32" s="16" t="s">
        <v>27</v>
      </c>
      <c r="M32" s="16" t="s">
        <v>22</v>
      </c>
      <c r="N32" s="39" t="s">
        <v>418</v>
      </c>
      <c r="O32" s="20"/>
      <c r="R32" s="19" t="s">
        <v>48</v>
      </c>
      <c r="U32" s="16"/>
    </row>
    <row r="33" spans="1:21" s="12" customFormat="1">
      <c r="A33" s="15" t="s">
        <v>46</v>
      </c>
      <c r="B33" s="75" t="s">
        <v>49</v>
      </c>
      <c r="C33" s="39" t="s">
        <v>17</v>
      </c>
      <c r="E33" s="39">
        <v>1</v>
      </c>
      <c r="F33" s="39"/>
      <c r="G33" s="39"/>
      <c r="H33" s="40">
        <f>SUM(Tabla1323[[#This Row],[PRIMER TRIMESTRE]:[CUARTO TRIMESTRE]])</f>
        <v>1</v>
      </c>
      <c r="I33" s="17">
        <v>59999.99</v>
      </c>
      <c r="J33" s="17">
        <f>+Tabla1323[[#This Row],[CANTIDAD TOTAL]]*Tabla1323[[#This Row],[PRECIO UNITARIO ESTIMADO]]</f>
        <v>59999.99</v>
      </c>
      <c r="K33" s="17"/>
      <c r="L33" s="16" t="s">
        <v>27</v>
      </c>
      <c r="M33" s="16" t="s">
        <v>22</v>
      </c>
      <c r="N33" s="39" t="s">
        <v>418</v>
      </c>
      <c r="O33" s="20"/>
      <c r="R33" s="19" t="s">
        <v>50</v>
      </c>
      <c r="U33" s="16"/>
    </row>
    <row r="34" spans="1:21" s="12" customFormat="1">
      <c r="A34" s="15" t="s">
        <v>46</v>
      </c>
      <c r="B34" s="75" t="s">
        <v>51</v>
      </c>
      <c r="C34" s="39" t="s">
        <v>17</v>
      </c>
      <c r="E34" s="39">
        <v>2</v>
      </c>
      <c r="F34" s="39"/>
      <c r="G34" s="39"/>
      <c r="H34" s="40">
        <f>SUM(Tabla1323[[#This Row],[PRIMER TRIMESTRE]:[CUARTO TRIMESTRE]])</f>
        <v>2</v>
      </c>
      <c r="I34" s="17">
        <v>7733.6</v>
      </c>
      <c r="J34" s="17">
        <f>+Tabla1323[[#This Row],[CANTIDAD TOTAL]]*Tabla1323[[#This Row],[PRECIO UNITARIO ESTIMADO]]</f>
        <v>15467.2</v>
      </c>
      <c r="K34" s="17"/>
      <c r="L34" s="16" t="s">
        <v>27</v>
      </c>
      <c r="M34" s="16" t="s">
        <v>22</v>
      </c>
      <c r="N34" s="39" t="s">
        <v>418</v>
      </c>
      <c r="O34" s="20"/>
      <c r="R34" s="19" t="s">
        <v>52</v>
      </c>
      <c r="U34" s="16"/>
    </row>
    <row r="35" spans="1:21" s="12" customFormat="1">
      <c r="A35" s="15" t="s">
        <v>46</v>
      </c>
      <c r="B35" s="75" t="s">
        <v>55</v>
      </c>
      <c r="C35" s="39" t="s">
        <v>17</v>
      </c>
      <c r="D35" s="39"/>
      <c r="E35" s="39">
        <v>2</v>
      </c>
      <c r="F35" s="39"/>
      <c r="G35" s="39"/>
      <c r="H35" s="40">
        <f>SUM(Tabla1323[[#This Row],[PRIMER TRIMESTRE]:[CUARTO TRIMESTRE]])</f>
        <v>2</v>
      </c>
      <c r="I35" s="17">
        <v>7014.5</v>
      </c>
      <c r="J35" s="17">
        <f>+Tabla1323[[#This Row],[CANTIDAD TOTAL]]*Tabla1323[[#This Row],[PRECIO UNITARIO ESTIMADO]]</f>
        <v>14029</v>
      </c>
      <c r="K35" s="17"/>
      <c r="L35" s="16" t="s">
        <v>27</v>
      </c>
      <c r="M35" s="16" t="s">
        <v>22</v>
      </c>
      <c r="N35" s="39" t="s">
        <v>418</v>
      </c>
      <c r="O35" s="20"/>
      <c r="R35" s="19" t="s">
        <v>56</v>
      </c>
      <c r="U35" s="16"/>
    </row>
    <row r="36" spans="1:21" s="12" customFormat="1">
      <c r="A36" s="15" t="s">
        <v>46</v>
      </c>
      <c r="B36" s="75" t="s">
        <v>57</v>
      </c>
      <c r="C36" s="39" t="s">
        <v>17</v>
      </c>
      <c r="D36" s="39"/>
      <c r="E36" s="39">
        <v>8</v>
      </c>
      <c r="F36" s="39"/>
      <c r="G36" s="39"/>
      <c r="H36" s="40">
        <f>SUM(Tabla1323[[#This Row],[PRIMER TRIMESTRE]:[CUARTO TRIMESTRE]])</f>
        <v>8</v>
      </c>
      <c r="I36" s="17">
        <v>12138.01</v>
      </c>
      <c r="J36" s="17">
        <f>+Tabla1323[[#This Row],[CANTIDAD TOTAL]]*Tabla1323[[#This Row],[PRECIO UNITARIO ESTIMADO]]</f>
        <v>97104.08</v>
      </c>
      <c r="K36" s="17"/>
      <c r="L36" s="16" t="s">
        <v>27</v>
      </c>
      <c r="M36" s="16" t="s">
        <v>22</v>
      </c>
      <c r="N36" s="39" t="s">
        <v>418</v>
      </c>
      <c r="O36" s="20"/>
      <c r="R36" s="19" t="s">
        <v>58</v>
      </c>
      <c r="U36" s="16"/>
    </row>
    <row r="37" spans="1:21" s="12" customFormat="1">
      <c r="A37" s="15" t="s">
        <v>46</v>
      </c>
      <c r="B37" s="75" t="s">
        <v>59</v>
      </c>
      <c r="C37" s="39" t="s">
        <v>17</v>
      </c>
      <c r="D37" s="39"/>
      <c r="E37" s="39">
        <v>12</v>
      </c>
      <c r="F37" s="39"/>
      <c r="G37" s="39"/>
      <c r="H37" s="40">
        <f>SUM(Tabla1323[[#This Row],[PRIMER TRIMESTRE]:[CUARTO TRIMESTRE]])</f>
        <v>12</v>
      </c>
      <c r="I37" s="17">
        <v>2122.8000000000002</v>
      </c>
      <c r="J37" s="17">
        <f>+Tabla1323[[#This Row],[CANTIDAD TOTAL]]*Tabla1323[[#This Row],[PRECIO UNITARIO ESTIMADO]]</f>
        <v>25473.600000000002</v>
      </c>
      <c r="K37" s="170">
        <f>SUM(J31:J37)</f>
        <v>1154141.47</v>
      </c>
      <c r="L37" s="16" t="s">
        <v>27</v>
      </c>
      <c r="M37" s="16" t="s">
        <v>22</v>
      </c>
      <c r="N37" s="39" t="s">
        <v>418</v>
      </c>
      <c r="O37" s="20"/>
      <c r="R37" s="19" t="s">
        <v>60</v>
      </c>
      <c r="U37" s="16"/>
    </row>
    <row r="38" spans="1:21" s="111" customFormat="1">
      <c r="A38" s="105" t="s">
        <v>46</v>
      </c>
      <c r="B38" s="106" t="s">
        <v>550</v>
      </c>
      <c r="C38" s="107" t="s">
        <v>17</v>
      </c>
      <c r="D38" s="107">
        <v>50</v>
      </c>
      <c r="E38" s="107"/>
      <c r="F38" s="107"/>
      <c r="G38" s="107"/>
      <c r="H38" s="108">
        <f>SUM(Tabla1323[[#This Row],[PRIMER TRIMESTRE]:[CUARTO TRIMESTRE]])</f>
        <v>50</v>
      </c>
      <c r="I38" s="109">
        <v>9480</v>
      </c>
      <c r="J38" s="109">
        <f t="shared" ref="J38:J67" si="0">+H38*I38</f>
        <v>474000</v>
      </c>
      <c r="K38" s="109"/>
      <c r="L38" s="110" t="s">
        <v>27</v>
      </c>
      <c r="M38" s="110" t="s">
        <v>22</v>
      </c>
      <c r="N38" s="107" t="s">
        <v>418</v>
      </c>
      <c r="O38" s="110"/>
      <c r="R38" s="112"/>
      <c r="U38" s="110"/>
    </row>
    <row r="39" spans="1:21" s="111" customFormat="1">
      <c r="A39" s="105" t="s">
        <v>46</v>
      </c>
      <c r="B39" s="106" t="s">
        <v>551</v>
      </c>
      <c r="C39" s="107" t="s">
        <v>17</v>
      </c>
      <c r="D39" s="107">
        <v>5</v>
      </c>
      <c r="E39" s="107"/>
      <c r="F39" s="107"/>
      <c r="G39" s="107"/>
      <c r="H39" s="108">
        <f>SUM(Tabla1323[[#This Row],[PRIMER TRIMESTRE]:[CUARTO TRIMESTRE]])</f>
        <v>5</v>
      </c>
      <c r="I39" s="109">
        <v>31680</v>
      </c>
      <c r="J39" s="109">
        <f>+H39*I39</f>
        <v>158400</v>
      </c>
      <c r="K39" s="109"/>
      <c r="L39" s="110" t="s">
        <v>27</v>
      </c>
      <c r="M39" s="110" t="s">
        <v>22</v>
      </c>
      <c r="N39" s="107" t="s">
        <v>418</v>
      </c>
      <c r="O39" s="110"/>
      <c r="R39" s="112"/>
      <c r="U39" s="110"/>
    </row>
    <row r="40" spans="1:21" s="111" customFormat="1">
      <c r="A40" s="105" t="s">
        <v>46</v>
      </c>
      <c r="B40" s="106" t="s">
        <v>552</v>
      </c>
      <c r="C40" s="107" t="s">
        <v>17</v>
      </c>
      <c r="D40" s="107">
        <v>30</v>
      </c>
      <c r="E40" s="107"/>
      <c r="F40" s="107"/>
      <c r="G40" s="107"/>
      <c r="H40" s="108">
        <f>SUM(Tabla1323[[#This Row],[PRIMER TRIMESTRE]:[CUARTO TRIMESTRE]])</f>
        <v>30</v>
      </c>
      <c r="I40" s="109">
        <v>9279.9</v>
      </c>
      <c r="J40" s="109">
        <f t="shared" si="0"/>
        <v>278397</v>
      </c>
      <c r="K40" s="109"/>
      <c r="L40" s="110" t="s">
        <v>27</v>
      </c>
      <c r="M40" s="110" t="s">
        <v>22</v>
      </c>
      <c r="N40" s="107" t="s">
        <v>418</v>
      </c>
      <c r="O40" s="110"/>
      <c r="R40" s="112"/>
      <c r="U40" s="110"/>
    </row>
    <row r="41" spans="1:21" s="111" customFormat="1">
      <c r="A41" s="105" t="s">
        <v>46</v>
      </c>
      <c r="B41" s="106" t="s">
        <v>54</v>
      </c>
      <c r="C41" s="107" t="s">
        <v>17</v>
      </c>
      <c r="D41" s="107">
        <v>6</v>
      </c>
      <c r="E41" s="107"/>
      <c r="F41" s="107"/>
      <c r="G41" s="107"/>
      <c r="H41" s="108">
        <f>SUM(Tabla1323[[#This Row],[PRIMER TRIMESTRE]:[CUARTO TRIMESTRE]])</f>
        <v>6</v>
      </c>
      <c r="I41" s="109">
        <v>9079.9</v>
      </c>
      <c r="J41" s="109">
        <f t="shared" si="0"/>
        <v>54479.399999999994</v>
      </c>
      <c r="K41" s="109"/>
      <c r="L41" s="110" t="s">
        <v>27</v>
      </c>
      <c r="M41" s="110" t="s">
        <v>22</v>
      </c>
      <c r="N41" s="107" t="s">
        <v>418</v>
      </c>
      <c r="O41" s="110"/>
      <c r="R41" s="112"/>
      <c r="U41" s="110"/>
    </row>
    <row r="42" spans="1:21" s="111" customFormat="1">
      <c r="A42" s="105" t="s">
        <v>46</v>
      </c>
      <c r="B42" s="106" t="s">
        <v>53</v>
      </c>
      <c r="C42" s="107" t="s">
        <v>17</v>
      </c>
      <c r="D42" s="107">
        <v>15</v>
      </c>
      <c r="E42" s="107"/>
      <c r="F42" s="107"/>
      <c r="G42" s="107"/>
      <c r="H42" s="108">
        <f>SUM(Tabla1323[[#This Row],[PRIMER TRIMESTRE]:[CUARTO TRIMESTRE]])</f>
        <v>15</v>
      </c>
      <c r="I42" s="109">
        <v>9048</v>
      </c>
      <c r="J42" s="109">
        <f t="shared" si="0"/>
        <v>135720</v>
      </c>
      <c r="K42" s="109"/>
      <c r="L42" s="110" t="s">
        <v>27</v>
      </c>
      <c r="M42" s="110" t="s">
        <v>22</v>
      </c>
      <c r="N42" s="107" t="s">
        <v>418</v>
      </c>
      <c r="O42" s="110"/>
      <c r="R42" s="112"/>
      <c r="U42" s="110"/>
    </row>
    <row r="43" spans="1:21" s="111" customFormat="1">
      <c r="A43" s="105" t="s">
        <v>46</v>
      </c>
      <c r="B43" s="106" t="s">
        <v>553</v>
      </c>
      <c r="C43" s="107" t="s">
        <v>17</v>
      </c>
      <c r="D43" s="107">
        <v>12</v>
      </c>
      <c r="E43" s="107"/>
      <c r="F43" s="107"/>
      <c r="G43" s="107"/>
      <c r="H43" s="108">
        <f>SUM(Tabla1323[[#This Row],[PRIMER TRIMESTRE]:[CUARTO TRIMESTRE]])</f>
        <v>12</v>
      </c>
      <c r="I43" s="109">
        <v>7043.16</v>
      </c>
      <c r="J43" s="109">
        <f t="shared" si="0"/>
        <v>84517.92</v>
      </c>
      <c r="K43" s="109"/>
      <c r="L43" s="110" t="s">
        <v>27</v>
      </c>
      <c r="M43" s="110" t="s">
        <v>22</v>
      </c>
      <c r="N43" s="107" t="s">
        <v>418</v>
      </c>
      <c r="O43" s="110"/>
      <c r="R43" s="112"/>
      <c r="U43" s="110"/>
    </row>
    <row r="44" spans="1:21" s="111" customFormat="1">
      <c r="A44" s="105" t="s">
        <v>46</v>
      </c>
      <c r="B44" s="106" t="s">
        <v>554</v>
      </c>
      <c r="C44" s="107" t="s">
        <v>17</v>
      </c>
      <c r="D44" s="107">
        <v>25</v>
      </c>
      <c r="E44" s="107"/>
      <c r="F44" s="107"/>
      <c r="G44" s="107"/>
      <c r="H44" s="108">
        <f>SUM(Tabla1323[[#This Row],[PRIMER TRIMESTRE]:[CUARTO TRIMESTRE]])</f>
        <v>25</v>
      </c>
      <c r="I44" s="109">
        <v>12210</v>
      </c>
      <c r="J44" s="109">
        <f t="shared" si="0"/>
        <v>305250</v>
      </c>
      <c r="K44" s="109"/>
      <c r="L44" s="110" t="s">
        <v>27</v>
      </c>
      <c r="M44" s="110" t="s">
        <v>22</v>
      </c>
      <c r="N44" s="107" t="s">
        <v>418</v>
      </c>
      <c r="O44" s="110"/>
      <c r="R44" s="112"/>
      <c r="U44" s="110"/>
    </row>
    <row r="45" spans="1:21" s="111" customFormat="1">
      <c r="A45" s="105" t="s">
        <v>46</v>
      </c>
      <c r="B45" s="106" t="s">
        <v>555</v>
      </c>
      <c r="C45" s="107" t="s">
        <v>17</v>
      </c>
      <c r="D45" s="107">
        <v>15</v>
      </c>
      <c r="E45" s="107"/>
      <c r="F45" s="107"/>
      <c r="G45" s="107"/>
      <c r="H45" s="108">
        <f>SUM(Tabla1323[[#This Row],[PRIMER TRIMESTRE]:[CUARTO TRIMESTRE]])</f>
        <v>15</v>
      </c>
      <c r="I45" s="109">
        <v>4029.25</v>
      </c>
      <c r="J45" s="109">
        <f t="shared" si="0"/>
        <v>60438.75</v>
      </c>
      <c r="K45" s="109"/>
      <c r="L45" s="110" t="s">
        <v>27</v>
      </c>
      <c r="M45" s="110" t="s">
        <v>22</v>
      </c>
      <c r="N45" s="107" t="s">
        <v>418</v>
      </c>
      <c r="O45" s="110"/>
      <c r="R45" s="112"/>
      <c r="U45" s="110"/>
    </row>
    <row r="46" spans="1:21" s="111" customFormat="1">
      <c r="A46" s="105" t="s">
        <v>46</v>
      </c>
      <c r="B46" s="106" t="s">
        <v>556</v>
      </c>
      <c r="C46" s="107" t="s">
        <v>17</v>
      </c>
      <c r="D46" s="107">
        <v>8</v>
      </c>
      <c r="E46" s="107"/>
      <c r="F46" s="107"/>
      <c r="G46" s="107"/>
      <c r="H46" s="108">
        <f>SUM(Tabla1323[[#This Row],[PRIMER TRIMESTRE]:[CUARTO TRIMESTRE]])</f>
        <v>8</v>
      </c>
      <c r="I46" s="109">
        <v>33660</v>
      </c>
      <c r="J46" s="109">
        <f t="shared" si="0"/>
        <v>269280</v>
      </c>
      <c r="K46" s="109"/>
      <c r="L46" s="110" t="s">
        <v>27</v>
      </c>
      <c r="M46" s="110" t="s">
        <v>22</v>
      </c>
      <c r="N46" s="107" t="s">
        <v>418</v>
      </c>
      <c r="O46" s="110"/>
      <c r="R46" s="112"/>
      <c r="U46" s="110"/>
    </row>
    <row r="47" spans="1:21" s="111" customFormat="1">
      <c r="A47" s="105" t="s">
        <v>46</v>
      </c>
      <c r="B47" s="106" t="s">
        <v>557</v>
      </c>
      <c r="C47" s="107" t="s">
        <v>17</v>
      </c>
      <c r="D47" s="107">
        <v>20</v>
      </c>
      <c r="E47" s="107"/>
      <c r="F47" s="107"/>
      <c r="G47" s="107"/>
      <c r="H47" s="108">
        <f>SUM(Tabla1323[[#This Row],[PRIMER TRIMESTRE]:[CUARTO TRIMESTRE]])</f>
        <v>20</v>
      </c>
      <c r="I47" s="109">
        <v>27205.48</v>
      </c>
      <c r="J47" s="109">
        <f t="shared" si="0"/>
        <v>544109.6</v>
      </c>
      <c r="K47" s="109"/>
      <c r="L47" s="110" t="s">
        <v>27</v>
      </c>
      <c r="M47" s="110" t="s">
        <v>22</v>
      </c>
      <c r="N47" s="107" t="s">
        <v>418</v>
      </c>
      <c r="O47" s="110"/>
      <c r="R47" s="112"/>
      <c r="U47" s="110"/>
    </row>
    <row r="48" spans="1:21" s="111" customFormat="1">
      <c r="A48" s="105" t="s">
        <v>46</v>
      </c>
      <c r="B48" s="106" t="s">
        <v>558</v>
      </c>
      <c r="C48" s="107" t="s">
        <v>17</v>
      </c>
      <c r="D48" s="107">
        <v>2</v>
      </c>
      <c r="E48" s="107"/>
      <c r="F48" s="107"/>
      <c r="G48" s="107"/>
      <c r="H48" s="108">
        <f>SUM(Tabla1323[[#This Row],[PRIMER TRIMESTRE]:[CUARTO TRIMESTRE]])</f>
        <v>2</v>
      </c>
      <c r="I48" s="109">
        <v>14272.5</v>
      </c>
      <c r="J48" s="109">
        <f>+H48*I48</f>
        <v>28545</v>
      </c>
      <c r="K48" s="109"/>
      <c r="L48" s="110" t="s">
        <v>27</v>
      </c>
      <c r="M48" s="110" t="s">
        <v>22</v>
      </c>
      <c r="N48" s="107" t="s">
        <v>418</v>
      </c>
      <c r="O48" s="110"/>
      <c r="R48" s="112"/>
      <c r="U48" s="110"/>
    </row>
    <row r="49" spans="1:21" s="111" customFormat="1">
      <c r="A49" s="105" t="s">
        <v>46</v>
      </c>
      <c r="B49" s="106" t="s">
        <v>559</v>
      </c>
      <c r="C49" s="107" t="s">
        <v>17</v>
      </c>
      <c r="D49" s="107">
        <v>2</v>
      </c>
      <c r="E49" s="107"/>
      <c r="F49" s="107"/>
      <c r="G49" s="107"/>
      <c r="H49" s="108">
        <f>SUM(Tabla1323[[#This Row],[PRIMER TRIMESTRE]:[CUARTO TRIMESTRE]])</f>
        <v>2</v>
      </c>
      <c r="I49" s="109">
        <v>14272.5</v>
      </c>
      <c r="J49" s="109">
        <f t="shared" si="0"/>
        <v>28545</v>
      </c>
      <c r="K49" s="109"/>
      <c r="L49" s="110" t="s">
        <v>27</v>
      </c>
      <c r="M49" s="110" t="s">
        <v>22</v>
      </c>
      <c r="N49" s="107" t="s">
        <v>418</v>
      </c>
      <c r="O49" s="110"/>
      <c r="R49" s="112"/>
      <c r="U49" s="110"/>
    </row>
    <row r="50" spans="1:21" s="111" customFormat="1">
      <c r="A50" s="105" t="s">
        <v>46</v>
      </c>
      <c r="B50" s="106" t="s">
        <v>560</v>
      </c>
      <c r="C50" s="107" t="s">
        <v>17</v>
      </c>
      <c r="D50" s="107">
        <v>20</v>
      </c>
      <c r="E50" s="107"/>
      <c r="F50" s="107"/>
      <c r="G50" s="107"/>
      <c r="H50" s="108">
        <f>SUM(Tabla1323[[#This Row],[PRIMER TRIMESTRE]:[CUARTO TRIMESTRE]])</f>
        <v>20</v>
      </c>
      <c r="I50" s="109">
        <v>14190</v>
      </c>
      <c r="J50" s="109">
        <f t="shared" si="0"/>
        <v>283800</v>
      </c>
      <c r="K50" s="109"/>
      <c r="L50" s="110" t="s">
        <v>27</v>
      </c>
      <c r="M50" s="110" t="s">
        <v>22</v>
      </c>
      <c r="N50" s="107" t="s">
        <v>418</v>
      </c>
      <c r="O50" s="110"/>
      <c r="R50" s="112"/>
      <c r="U50" s="110"/>
    </row>
    <row r="51" spans="1:21" s="111" customFormat="1">
      <c r="A51" s="105" t="s">
        <v>46</v>
      </c>
      <c r="B51" s="106" t="s">
        <v>561</v>
      </c>
      <c r="C51" s="107" t="s">
        <v>17</v>
      </c>
      <c r="D51" s="107">
        <v>24</v>
      </c>
      <c r="E51" s="107"/>
      <c r="F51" s="107"/>
      <c r="G51" s="107"/>
      <c r="H51" s="108">
        <f>SUM(Tabla1323[[#This Row],[PRIMER TRIMESTRE]:[CUARTO TRIMESTRE]])</f>
        <v>24</v>
      </c>
      <c r="I51" s="109">
        <v>4200</v>
      </c>
      <c r="J51" s="109">
        <f t="shared" si="0"/>
        <v>100800</v>
      </c>
      <c r="K51" s="109"/>
      <c r="L51" s="110" t="s">
        <v>27</v>
      </c>
      <c r="M51" s="110" t="s">
        <v>22</v>
      </c>
      <c r="N51" s="107" t="s">
        <v>418</v>
      </c>
      <c r="O51" s="110"/>
      <c r="R51" s="112"/>
      <c r="U51" s="110"/>
    </row>
    <row r="52" spans="1:21" s="111" customFormat="1">
      <c r="A52" s="105" t="s">
        <v>46</v>
      </c>
      <c r="B52" s="106" t="s">
        <v>764</v>
      </c>
      <c r="C52" s="107" t="s">
        <v>17</v>
      </c>
      <c r="D52" s="107">
        <v>2</v>
      </c>
      <c r="E52" s="107"/>
      <c r="F52" s="107"/>
      <c r="G52" s="107"/>
      <c r="H52" s="108">
        <f>SUM(Tabla1323[[#This Row],[PRIMER TRIMESTRE]:[CUARTO TRIMESTRE]])</f>
        <v>2</v>
      </c>
      <c r="I52" s="109">
        <v>12650</v>
      </c>
      <c r="J52" s="109">
        <f>+H52*I52</f>
        <v>25300</v>
      </c>
      <c r="K52" s="113">
        <f>SUM(J38:J52)</f>
        <v>2831582.67</v>
      </c>
      <c r="L52" s="110" t="s">
        <v>27</v>
      </c>
      <c r="M52" s="110" t="s">
        <v>22</v>
      </c>
      <c r="N52" s="107" t="s">
        <v>418</v>
      </c>
      <c r="O52" s="109"/>
      <c r="R52" s="112"/>
      <c r="U52" s="110"/>
    </row>
    <row r="53" spans="1:21" s="120" customFormat="1">
      <c r="A53" s="114" t="s">
        <v>46</v>
      </c>
      <c r="B53" s="115" t="s">
        <v>535</v>
      </c>
      <c r="C53" s="116" t="s">
        <v>17</v>
      </c>
      <c r="D53" s="116">
        <v>30</v>
      </c>
      <c r="E53" s="116"/>
      <c r="F53" s="116"/>
      <c r="G53" s="116"/>
      <c r="H53" s="117">
        <f>SUM(Tabla1323[[#This Row],[PRIMER TRIMESTRE]:[CUARTO TRIMESTRE]])</f>
        <v>30</v>
      </c>
      <c r="I53" s="118">
        <v>180</v>
      </c>
      <c r="J53" s="118">
        <f t="shared" si="0"/>
        <v>5400</v>
      </c>
      <c r="K53" s="118"/>
      <c r="L53" s="119" t="s">
        <v>15</v>
      </c>
      <c r="M53" s="119" t="s">
        <v>22</v>
      </c>
      <c r="N53" s="116" t="s">
        <v>418</v>
      </c>
      <c r="O53" s="118"/>
      <c r="R53" s="121"/>
      <c r="U53" s="119"/>
    </row>
    <row r="54" spans="1:21" s="120" customFormat="1">
      <c r="A54" s="114" t="s">
        <v>46</v>
      </c>
      <c r="B54" s="115" t="s">
        <v>536</v>
      </c>
      <c r="C54" s="116" t="s">
        <v>17</v>
      </c>
      <c r="D54" s="116">
        <v>50</v>
      </c>
      <c r="E54" s="116"/>
      <c r="F54" s="116"/>
      <c r="G54" s="116"/>
      <c r="H54" s="117">
        <f>SUM(Tabla1323[[#This Row],[PRIMER TRIMESTRE]:[CUARTO TRIMESTRE]])</f>
        <v>50</v>
      </c>
      <c r="I54" s="118">
        <v>225</v>
      </c>
      <c r="J54" s="118">
        <f t="shared" si="0"/>
        <v>11250</v>
      </c>
      <c r="K54" s="118"/>
      <c r="L54" s="119" t="s">
        <v>15</v>
      </c>
      <c r="M54" s="119" t="s">
        <v>22</v>
      </c>
      <c r="N54" s="116" t="s">
        <v>418</v>
      </c>
      <c r="O54" s="118"/>
      <c r="R54" s="121"/>
      <c r="U54" s="119"/>
    </row>
    <row r="55" spans="1:21" s="120" customFormat="1">
      <c r="A55" s="114" t="s">
        <v>46</v>
      </c>
      <c r="B55" s="115" t="s">
        <v>537</v>
      </c>
      <c r="C55" s="116" t="s">
        <v>17</v>
      </c>
      <c r="D55" s="116">
        <v>20</v>
      </c>
      <c r="E55" s="116"/>
      <c r="F55" s="116"/>
      <c r="G55" s="116"/>
      <c r="H55" s="117">
        <f>SUM(Tabla1323[[#This Row],[PRIMER TRIMESTRE]:[CUARTO TRIMESTRE]])</f>
        <v>20</v>
      </c>
      <c r="I55" s="118">
        <v>250</v>
      </c>
      <c r="J55" s="118">
        <f t="shared" si="0"/>
        <v>5000</v>
      </c>
      <c r="K55" s="118"/>
      <c r="L55" s="119" t="s">
        <v>15</v>
      </c>
      <c r="M55" s="119" t="s">
        <v>22</v>
      </c>
      <c r="N55" s="116" t="s">
        <v>418</v>
      </c>
      <c r="O55" s="118"/>
      <c r="R55" s="121"/>
      <c r="U55" s="119"/>
    </row>
    <row r="56" spans="1:21" s="120" customFormat="1">
      <c r="A56" s="114" t="s">
        <v>46</v>
      </c>
      <c r="B56" s="115" t="s">
        <v>538</v>
      </c>
      <c r="C56" s="116" t="s">
        <v>17</v>
      </c>
      <c r="D56" s="116">
        <v>20</v>
      </c>
      <c r="E56" s="116"/>
      <c r="F56" s="116"/>
      <c r="G56" s="116"/>
      <c r="H56" s="117">
        <f>SUM(Tabla1323[[#This Row],[PRIMER TRIMESTRE]:[CUARTO TRIMESTRE]])</f>
        <v>20</v>
      </c>
      <c r="I56" s="118">
        <v>350</v>
      </c>
      <c r="J56" s="118">
        <f t="shared" si="0"/>
        <v>7000</v>
      </c>
      <c r="K56" s="118"/>
      <c r="L56" s="119" t="s">
        <v>15</v>
      </c>
      <c r="M56" s="119" t="s">
        <v>22</v>
      </c>
      <c r="N56" s="116" t="s">
        <v>418</v>
      </c>
      <c r="O56" s="118"/>
      <c r="R56" s="121"/>
      <c r="U56" s="119"/>
    </row>
    <row r="57" spans="1:21" s="120" customFormat="1">
      <c r="A57" s="114" t="s">
        <v>46</v>
      </c>
      <c r="B57" s="115" t="s">
        <v>539</v>
      </c>
      <c r="C57" s="116" t="s">
        <v>17</v>
      </c>
      <c r="D57" s="116">
        <v>25</v>
      </c>
      <c r="E57" s="116"/>
      <c r="F57" s="116"/>
      <c r="G57" s="116"/>
      <c r="H57" s="117">
        <f>SUM(Tabla1323[[#This Row],[PRIMER TRIMESTRE]:[CUARTO TRIMESTRE]])</f>
        <v>25</v>
      </c>
      <c r="I57" s="118">
        <v>550</v>
      </c>
      <c r="J57" s="118">
        <f t="shared" si="0"/>
        <v>13750</v>
      </c>
      <c r="K57" s="118"/>
      <c r="L57" s="119" t="s">
        <v>15</v>
      </c>
      <c r="M57" s="119" t="s">
        <v>22</v>
      </c>
      <c r="N57" s="116" t="s">
        <v>418</v>
      </c>
      <c r="O57" s="118"/>
      <c r="R57" s="121"/>
      <c r="U57" s="119"/>
    </row>
    <row r="58" spans="1:21" s="120" customFormat="1">
      <c r="A58" s="114" t="s">
        <v>46</v>
      </c>
      <c r="B58" s="115" t="s">
        <v>540</v>
      </c>
      <c r="C58" s="116" t="s">
        <v>17</v>
      </c>
      <c r="D58" s="116">
        <v>25</v>
      </c>
      <c r="E58" s="116"/>
      <c r="F58" s="116"/>
      <c r="G58" s="116"/>
      <c r="H58" s="117">
        <f>SUM(Tabla1323[[#This Row],[PRIMER TRIMESTRE]:[CUARTO TRIMESTRE]])</f>
        <v>25</v>
      </c>
      <c r="I58" s="118">
        <v>450</v>
      </c>
      <c r="J58" s="118">
        <f t="shared" si="0"/>
        <v>11250</v>
      </c>
      <c r="K58" s="118"/>
      <c r="L58" s="119" t="s">
        <v>15</v>
      </c>
      <c r="M58" s="119" t="s">
        <v>22</v>
      </c>
      <c r="N58" s="116" t="s">
        <v>418</v>
      </c>
      <c r="O58" s="118"/>
      <c r="R58" s="121"/>
      <c r="U58" s="119"/>
    </row>
    <row r="59" spans="1:21" s="120" customFormat="1">
      <c r="A59" s="114" t="s">
        <v>46</v>
      </c>
      <c r="B59" s="115" t="s">
        <v>541</v>
      </c>
      <c r="C59" s="116" t="s">
        <v>17</v>
      </c>
      <c r="D59" s="116">
        <v>25</v>
      </c>
      <c r="E59" s="116"/>
      <c r="F59" s="116"/>
      <c r="G59" s="116"/>
      <c r="H59" s="117">
        <f>SUM(Tabla1323[[#This Row],[PRIMER TRIMESTRE]:[CUARTO TRIMESTRE]])</f>
        <v>25</v>
      </c>
      <c r="I59" s="118">
        <v>450</v>
      </c>
      <c r="J59" s="118">
        <f t="shared" si="0"/>
        <v>11250</v>
      </c>
      <c r="K59" s="118"/>
      <c r="L59" s="119" t="s">
        <v>15</v>
      </c>
      <c r="M59" s="119" t="s">
        <v>22</v>
      </c>
      <c r="N59" s="116" t="s">
        <v>418</v>
      </c>
      <c r="O59" s="118"/>
      <c r="R59" s="121"/>
      <c r="U59" s="119"/>
    </row>
    <row r="60" spans="1:21" s="120" customFormat="1">
      <c r="A60" s="114" t="s">
        <v>46</v>
      </c>
      <c r="B60" s="115" t="s">
        <v>542</v>
      </c>
      <c r="C60" s="116" t="s">
        <v>17</v>
      </c>
      <c r="D60" s="116">
        <v>25</v>
      </c>
      <c r="E60" s="116"/>
      <c r="F60" s="116"/>
      <c r="G60" s="116"/>
      <c r="H60" s="117">
        <f>SUM(Tabla1323[[#This Row],[PRIMER TRIMESTRE]:[CUARTO TRIMESTRE]])</f>
        <v>25</v>
      </c>
      <c r="I60" s="118">
        <v>500</v>
      </c>
      <c r="J60" s="118">
        <f t="shared" si="0"/>
        <v>12500</v>
      </c>
      <c r="K60" s="118"/>
      <c r="L60" s="119" t="s">
        <v>15</v>
      </c>
      <c r="M60" s="119" t="s">
        <v>22</v>
      </c>
      <c r="N60" s="116" t="s">
        <v>418</v>
      </c>
      <c r="O60" s="118"/>
      <c r="R60" s="121"/>
      <c r="U60" s="119"/>
    </row>
    <row r="61" spans="1:21" s="120" customFormat="1">
      <c r="A61" s="114" t="s">
        <v>46</v>
      </c>
      <c r="B61" s="115" t="s">
        <v>543</v>
      </c>
      <c r="C61" s="116" t="s">
        <v>17</v>
      </c>
      <c r="D61" s="116">
        <v>25</v>
      </c>
      <c r="E61" s="116"/>
      <c r="F61" s="116"/>
      <c r="G61" s="116"/>
      <c r="H61" s="117">
        <f>SUM(Tabla1323[[#This Row],[PRIMER TRIMESTRE]:[CUARTO TRIMESTRE]])</f>
        <v>25</v>
      </c>
      <c r="I61" s="118">
        <v>500</v>
      </c>
      <c r="J61" s="118">
        <f t="shared" si="0"/>
        <v>12500</v>
      </c>
      <c r="K61" s="118"/>
      <c r="L61" s="119" t="s">
        <v>15</v>
      </c>
      <c r="M61" s="119" t="s">
        <v>22</v>
      </c>
      <c r="N61" s="116" t="s">
        <v>418</v>
      </c>
      <c r="O61" s="118"/>
      <c r="R61" s="121"/>
      <c r="U61" s="119"/>
    </row>
    <row r="62" spans="1:21" s="120" customFormat="1">
      <c r="A62" s="114" t="s">
        <v>46</v>
      </c>
      <c r="B62" s="115" t="s">
        <v>544</v>
      </c>
      <c r="C62" s="116" t="s">
        <v>17</v>
      </c>
      <c r="D62" s="116">
        <v>25</v>
      </c>
      <c r="E62" s="116"/>
      <c r="F62" s="116"/>
      <c r="G62" s="116"/>
      <c r="H62" s="117">
        <f>SUM(Tabla1323[[#This Row],[PRIMER TRIMESTRE]:[CUARTO TRIMESTRE]])</f>
        <v>25</v>
      </c>
      <c r="I62" s="118">
        <v>400</v>
      </c>
      <c r="J62" s="118">
        <f t="shared" si="0"/>
        <v>10000</v>
      </c>
      <c r="K62" s="118"/>
      <c r="L62" s="119" t="s">
        <v>15</v>
      </c>
      <c r="M62" s="119" t="s">
        <v>22</v>
      </c>
      <c r="N62" s="116" t="s">
        <v>418</v>
      </c>
      <c r="O62" s="118"/>
      <c r="R62" s="121"/>
      <c r="U62" s="119"/>
    </row>
    <row r="63" spans="1:21" s="120" customFormat="1">
      <c r="A63" s="114" t="s">
        <v>46</v>
      </c>
      <c r="B63" s="115" t="s">
        <v>545</v>
      </c>
      <c r="C63" s="116" t="s">
        <v>17</v>
      </c>
      <c r="D63" s="116">
        <v>25</v>
      </c>
      <c r="E63" s="116"/>
      <c r="F63" s="116"/>
      <c r="G63" s="116"/>
      <c r="H63" s="117">
        <f>SUM(Tabla1323[[#This Row],[PRIMER TRIMESTRE]:[CUARTO TRIMESTRE]])</f>
        <v>25</v>
      </c>
      <c r="I63" s="118">
        <v>400</v>
      </c>
      <c r="J63" s="118">
        <f t="shared" si="0"/>
        <v>10000</v>
      </c>
      <c r="K63" s="118"/>
      <c r="L63" s="119" t="s">
        <v>15</v>
      </c>
      <c r="M63" s="119" t="s">
        <v>22</v>
      </c>
      <c r="N63" s="116" t="s">
        <v>418</v>
      </c>
      <c r="O63" s="118"/>
      <c r="R63" s="121"/>
      <c r="U63" s="119"/>
    </row>
    <row r="64" spans="1:21" s="120" customFormat="1">
      <c r="A64" s="114" t="s">
        <v>46</v>
      </c>
      <c r="B64" s="115" t="s">
        <v>546</v>
      </c>
      <c r="C64" s="116" t="s">
        <v>17</v>
      </c>
      <c r="D64" s="116">
        <v>25</v>
      </c>
      <c r="E64" s="116"/>
      <c r="F64" s="116"/>
      <c r="G64" s="116"/>
      <c r="H64" s="117">
        <f>SUM(Tabla1323[[#This Row],[PRIMER TRIMESTRE]:[CUARTO TRIMESTRE]])</f>
        <v>25</v>
      </c>
      <c r="I64" s="118">
        <v>400</v>
      </c>
      <c r="J64" s="118">
        <f t="shared" si="0"/>
        <v>10000</v>
      </c>
      <c r="K64" s="118"/>
      <c r="L64" s="119" t="s">
        <v>15</v>
      </c>
      <c r="M64" s="119" t="s">
        <v>22</v>
      </c>
      <c r="N64" s="116" t="s">
        <v>418</v>
      </c>
      <c r="O64" s="118"/>
      <c r="R64" s="121"/>
      <c r="U64" s="119"/>
    </row>
    <row r="65" spans="1:21" s="120" customFormat="1">
      <c r="A65" s="114" t="s">
        <v>46</v>
      </c>
      <c r="B65" s="115" t="s">
        <v>547</v>
      </c>
      <c r="C65" s="116" t="s">
        <v>17</v>
      </c>
      <c r="D65" s="116">
        <v>25</v>
      </c>
      <c r="E65" s="116"/>
      <c r="F65" s="116"/>
      <c r="G65" s="116"/>
      <c r="H65" s="117">
        <f>SUM(Tabla1323[[#This Row],[PRIMER TRIMESTRE]:[CUARTO TRIMESTRE]])</f>
        <v>25</v>
      </c>
      <c r="I65" s="118">
        <v>375</v>
      </c>
      <c r="J65" s="118">
        <f t="shared" si="0"/>
        <v>9375</v>
      </c>
      <c r="K65" s="118"/>
      <c r="L65" s="119" t="s">
        <v>15</v>
      </c>
      <c r="M65" s="119" t="s">
        <v>22</v>
      </c>
      <c r="N65" s="116" t="s">
        <v>418</v>
      </c>
      <c r="O65" s="118"/>
      <c r="R65" s="121"/>
      <c r="U65" s="119"/>
    </row>
    <row r="66" spans="1:21" s="120" customFormat="1">
      <c r="A66" s="114" t="s">
        <v>46</v>
      </c>
      <c r="B66" s="115" t="s">
        <v>548</v>
      </c>
      <c r="C66" s="116" t="s">
        <v>17</v>
      </c>
      <c r="D66" s="116">
        <v>25</v>
      </c>
      <c r="E66" s="116"/>
      <c r="F66" s="116"/>
      <c r="G66" s="116"/>
      <c r="H66" s="117">
        <f>SUM(Tabla1323[[#This Row],[PRIMER TRIMESTRE]:[CUARTO TRIMESTRE]])</f>
        <v>25</v>
      </c>
      <c r="I66" s="118">
        <v>300</v>
      </c>
      <c r="J66" s="118">
        <f t="shared" si="0"/>
        <v>7500</v>
      </c>
      <c r="K66" s="118"/>
      <c r="L66" s="119" t="s">
        <v>15</v>
      </c>
      <c r="M66" s="119" t="s">
        <v>22</v>
      </c>
      <c r="N66" s="116" t="s">
        <v>418</v>
      </c>
      <c r="O66" s="118"/>
      <c r="R66" s="121"/>
      <c r="U66" s="119"/>
    </row>
    <row r="67" spans="1:21" s="120" customFormat="1">
      <c r="A67" s="114" t="s">
        <v>46</v>
      </c>
      <c r="B67" s="115" t="s">
        <v>549</v>
      </c>
      <c r="C67" s="116" t="s">
        <v>17</v>
      </c>
      <c r="D67" s="116">
        <v>20</v>
      </c>
      <c r="E67" s="116"/>
      <c r="F67" s="116"/>
      <c r="G67" s="116"/>
      <c r="H67" s="117">
        <f>SUM(Tabla1323[[#This Row],[PRIMER TRIMESTRE]:[CUARTO TRIMESTRE]])</f>
        <v>20</v>
      </c>
      <c r="I67" s="118">
        <v>400</v>
      </c>
      <c r="J67" s="118">
        <f t="shared" si="0"/>
        <v>8000</v>
      </c>
      <c r="K67" s="122">
        <f>SUM(J53:J67)</f>
        <v>144775</v>
      </c>
      <c r="L67" s="119" t="s">
        <v>15</v>
      </c>
      <c r="M67" s="119" t="s">
        <v>22</v>
      </c>
      <c r="N67" s="116" t="s">
        <v>418</v>
      </c>
      <c r="O67" s="118"/>
      <c r="R67" s="121"/>
      <c r="U67" s="119"/>
    </row>
    <row r="68" spans="1:21" s="26" customFormat="1" ht="29.25" customHeight="1">
      <c r="A68" s="22" t="s">
        <v>46</v>
      </c>
      <c r="B68" s="76"/>
      <c r="C68" s="42"/>
      <c r="D68" s="42"/>
      <c r="E68" s="42"/>
      <c r="F68" s="42"/>
      <c r="G68" s="42"/>
      <c r="H68" s="43"/>
      <c r="I68" s="24"/>
      <c r="J68" s="24"/>
      <c r="K68" s="25">
        <f>SUBTOTAL(109,J32:J67)</f>
        <v>3250499.1399999997</v>
      </c>
      <c r="L68" s="23"/>
      <c r="M68" s="23"/>
      <c r="N68" s="42"/>
      <c r="O68" s="24"/>
      <c r="R68" s="27"/>
      <c r="U68" s="23"/>
    </row>
    <row r="69" spans="1:21" s="111" customFormat="1" ht="31.5">
      <c r="A69" s="105" t="s">
        <v>56</v>
      </c>
      <c r="B69" s="106" t="s">
        <v>563</v>
      </c>
      <c r="C69" s="107" t="s">
        <v>17</v>
      </c>
      <c r="D69" s="107">
        <v>6</v>
      </c>
      <c r="E69" s="107"/>
      <c r="F69" s="107"/>
      <c r="G69" s="107"/>
      <c r="H69" s="108">
        <f>SUM(Tabla1323[[#This Row],[PRIMER TRIMESTRE]:[CUARTO TRIMESTRE]])</f>
        <v>6</v>
      </c>
      <c r="I69" s="109">
        <v>4500</v>
      </c>
      <c r="J69" s="109">
        <f>+H69*I69</f>
        <v>27000</v>
      </c>
      <c r="K69" s="109"/>
      <c r="L69" s="110" t="s">
        <v>27</v>
      </c>
      <c r="M69" s="110" t="s">
        <v>22</v>
      </c>
      <c r="N69" s="107" t="s">
        <v>418</v>
      </c>
      <c r="O69" s="109"/>
      <c r="R69" s="112"/>
      <c r="U69" s="110"/>
    </row>
    <row r="70" spans="1:21" s="111" customFormat="1" ht="31.5">
      <c r="A70" s="105" t="s">
        <v>56</v>
      </c>
      <c r="B70" s="106" t="s">
        <v>562</v>
      </c>
      <c r="C70" s="107" t="s">
        <v>17</v>
      </c>
      <c r="D70" s="107">
        <v>6</v>
      </c>
      <c r="E70" s="107"/>
      <c r="F70" s="107"/>
      <c r="G70" s="107"/>
      <c r="H70" s="108">
        <f>SUM(Tabla1323[[#This Row],[PRIMER TRIMESTRE]:[CUARTO TRIMESTRE]])</f>
        <v>6</v>
      </c>
      <c r="I70" s="109">
        <v>6800</v>
      </c>
      <c r="J70" s="109">
        <f>+H70*I70</f>
        <v>40800</v>
      </c>
      <c r="K70" s="109"/>
      <c r="L70" s="110" t="s">
        <v>27</v>
      </c>
      <c r="M70" s="110" t="s">
        <v>22</v>
      </c>
      <c r="N70" s="107" t="s">
        <v>418</v>
      </c>
      <c r="O70" s="109"/>
      <c r="R70" s="112"/>
      <c r="U70" s="110"/>
    </row>
    <row r="71" spans="1:21" s="111" customFormat="1" ht="31.5">
      <c r="A71" s="105" t="s">
        <v>56</v>
      </c>
      <c r="B71" s="106" t="s">
        <v>61</v>
      </c>
      <c r="C71" s="107" t="s">
        <v>17</v>
      </c>
      <c r="D71" s="107">
        <v>45</v>
      </c>
      <c r="E71" s="107"/>
      <c r="F71" s="107"/>
      <c r="G71" s="107"/>
      <c r="H71" s="108">
        <f>SUM(Tabla1323[[#This Row],[PRIMER TRIMESTRE]:[CUARTO TRIMESTRE]])</f>
        <v>45</v>
      </c>
      <c r="I71" s="109">
        <f>3600*1.2</f>
        <v>4320</v>
      </c>
      <c r="J71" s="109">
        <f>+Tabla1323[[#This Row],[CANTIDAD TOTAL]]*Tabla1323[[#This Row],[PRECIO UNITARIO ESTIMADO]]</f>
        <v>194400</v>
      </c>
      <c r="K71" s="109"/>
      <c r="L71" s="110" t="s">
        <v>27</v>
      </c>
      <c r="M71" s="110" t="s">
        <v>22</v>
      </c>
      <c r="N71" s="107" t="s">
        <v>418</v>
      </c>
      <c r="O71" s="110"/>
      <c r="R71" s="112" t="s">
        <v>62</v>
      </c>
      <c r="U71" s="110"/>
    </row>
    <row r="72" spans="1:21" s="111" customFormat="1" ht="31.5">
      <c r="A72" s="105" t="s">
        <v>56</v>
      </c>
      <c r="B72" s="106" t="s">
        <v>63</v>
      </c>
      <c r="C72" s="107" t="s">
        <v>17</v>
      </c>
      <c r="D72" s="107">
        <v>35</v>
      </c>
      <c r="E72" s="107"/>
      <c r="F72" s="107"/>
      <c r="G72" s="107"/>
      <c r="H72" s="108">
        <f>SUM(Tabla1323[[#This Row],[PRIMER TRIMESTRE]:[CUARTO TRIMESTRE]])</f>
        <v>35</v>
      </c>
      <c r="I72" s="109">
        <v>6409</v>
      </c>
      <c r="J72" s="109">
        <f>+Tabla1323[[#This Row],[CANTIDAD TOTAL]]*Tabla1323[[#This Row],[PRECIO UNITARIO ESTIMADO]]</f>
        <v>224315</v>
      </c>
      <c r="K72" s="109"/>
      <c r="L72" s="110" t="s">
        <v>27</v>
      </c>
      <c r="M72" s="110" t="s">
        <v>22</v>
      </c>
      <c r="N72" s="107" t="s">
        <v>418</v>
      </c>
      <c r="O72" s="110"/>
      <c r="R72" s="112"/>
      <c r="U72" s="110"/>
    </row>
    <row r="73" spans="1:21" s="111" customFormat="1" ht="31.5">
      <c r="A73" s="105" t="s">
        <v>56</v>
      </c>
      <c r="B73" s="106" t="s">
        <v>64</v>
      </c>
      <c r="C73" s="107" t="s">
        <v>17</v>
      </c>
      <c r="D73" s="107">
        <v>15</v>
      </c>
      <c r="E73" s="107"/>
      <c r="F73" s="107"/>
      <c r="G73" s="107"/>
      <c r="H73" s="108">
        <f>SUM(Tabla1323[[#This Row],[PRIMER TRIMESTRE]:[CUARTO TRIMESTRE]])</f>
        <v>15</v>
      </c>
      <c r="I73" s="109">
        <v>6500</v>
      </c>
      <c r="J73" s="109">
        <f>+Tabla1323[[#This Row],[CANTIDAD TOTAL]]*Tabla1323[[#This Row],[PRECIO UNITARIO ESTIMADO]]</f>
        <v>97500</v>
      </c>
      <c r="K73" s="109"/>
      <c r="L73" s="110" t="s">
        <v>27</v>
      </c>
      <c r="M73" s="110" t="s">
        <v>22</v>
      </c>
      <c r="N73" s="107" t="s">
        <v>418</v>
      </c>
      <c r="O73" s="110"/>
      <c r="R73" s="112"/>
      <c r="U73" s="110"/>
    </row>
    <row r="74" spans="1:21" s="111" customFormat="1" ht="31.5">
      <c r="A74" s="105" t="s">
        <v>56</v>
      </c>
      <c r="B74" s="106" t="s">
        <v>65</v>
      </c>
      <c r="C74" s="107" t="s">
        <v>17</v>
      </c>
      <c r="D74" s="107">
        <v>8</v>
      </c>
      <c r="E74" s="107"/>
      <c r="F74" s="107"/>
      <c r="G74" s="107"/>
      <c r="H74" s="108">
        <f>SUM(Tabla1323[[#This Row],[PRIMER TRIMESTRE]:[CUARTO TRIMESTRE]])</f>
        <v>8</v>
      </c>
      <c r="I74" s="109">
        <v>7965.33</v>
      </c>
      <c r="J74" s="109">
        <f>+Tabla1323[[#This Row],[CANTIDAD TOTAL]]*Tabla1323[[#This Row],[PRECIO UNITARIO ESTIMADO]]</f>
        <v>63722.64</v>
      </c>
      <c r="K74" s="109"/>
      <c r="L74" s="110" t="s">
        <v>27</v>
      </c>
      <c r="M74" s="110" t="s">
        <v>22</v>
      </c>
      <c r="N74" s="107" t="s">
        <v>418</v>
      </c>
      <c r="O74" s="110"/>
      <c r="R74" s="112"/>
      <c r="U74" s="110"/>
    </row>
    <row r="75" spans="1:21" s="111" customFormat="1" ht="31.5">
      <c r="A75" s="105" t="s">
        <v>56</v>
      </c>
      <c r="B75" s="106" t="s">
        <v>66</v>
      </c>
      <c r="C75" s="107" t="s">
        <v>17</v>
      </c>
      <c r="D75" s="107">
        <v>5</v>
      </c>
      <c r="E75" s="107"/>
      <c r="F75" s="107"/>
      <c r="G75" s="107"/>
      <c r="H75" s="108">
        <f>SUM(Tabla1323[[#This Row],[PRIMER TRIMESTRE]:[CUARTO TRIMESTRE]])</f>
        <v>5</v>
      </c>
      <c r="I75" s="109">
        <v>9976</v>
      </c>
      <c r="J75" s="109">
        <f>+Tabla1323[[#This Row],[CANTIDAD TOTAL]]*Tabla1323[[#This Row],[PRECIO UNITARIO ESTIMADO]]</f>
        <v>49880</v>
      </c>
      <c r="K75" s="109"/>
      <c r="L75" s="110" t="s">
        <v>27</v>
      </c>
      <c r="M75" s="110" t="s">
        <v>22</v>
      </c>
      <c r="N75" s="107" t="s">
        <v>418</v>
      </c>
      <c r="O75" s="110"/>
      <c r="R75" s="112" t="s">
        <v>67</v>
      </c>
      <c r="U75" s="110"/>
    </row>
    <row r="76" spans="1:21" s="111" customFormat="1" ht="31.5">
      <c r="A76" s="105" t="s">
        <v>56</v>
      </c>
      <c r="B76" s="106" t="s">
        <v>765</v>
      </c>
      <c r="C76" s="107" t="s">
        <v>17</v>
      </c>
      <c r="D76" s="107">
        <v>4</v>
      </c>
      <c r="E76" s="107"/>
      <c r="F76" s="107"/>
      <c r="G76" s="107"/>
      <c r="H76" s="108">
        <f>SUM(Tabla1323[[#This Row],[PRIMER TRIMESTRE]:[CUARTO TRIMESTRE]])</f>
        <v>4</v>
      </c>
      <c r="I76" s="109">
        <v>11500</v>
      </c>
      <c r="J76" s="109">
        <f>+H76*I76</f>
        <v>46000</v>
      </c>
      <c r="K76" s="109"/>
      <c r="L76" s="110" t="s">
        <v>27</v>
      </c>
      <c r="M76" s="110" t="s">
        <v>22</v>
      </c>
      <c r="N76" s="107" t="s">
        <v>418</v>
      </c>
      <c r="O76" s="109"/>
      <c r="R76" s="112"/>
      <c r="U76" s="110"/>
    </row>
    <row r="77" spans="1:21" s="26" customFormat="1" ht="44.25" customHeight="1">
      <c r="A77" s="22" t="s">
        <v>56</v>
      </c>
      <c r="B77" s="76"/>
      <c r="C77" s="42"/>
      <c r="D77" s="42"/>
      <c r="E77" s="42"/>
      <c r="F77" s="42"/>
      <c r="G77" s="42"/>
      <c r="H77" s="43"/>
      <c r="I77" s="24"/>
      <c r="J77" s="24"/>
      <c r="K77" s="25">
        <f>SUM(J69:J76)</f>
        <v>743617.64</v>
      </c>
      <c r="L77" s="23"/>
      <c r="M77" s="23"/>
      <c r="N77" s="42"/>
      <c r="O77" s="24"/>
      <c r="R77" s="27"/>
      <c r="U77" s="23"/>
    </row>
    <row r="78" spans="1:21" s="12" customFormat="1">
      <c r="A78" s="15" t="s">
        <v>62</v>
      </c>
      <c r="B78" s="75" t="s">
        <v>68</v>
      </c>
      <c r="C78" s="39" t="s">
        <v>69</v>
      </c>
      <c r="D78" s="39"/>
      <c r="E78" s="39">
        <v>40</v>
      </c>
      <c r="F78" s="39"/>
      <c r="G78" s="39"/>
      <c r="H78" s="40">
        <f>SUM(Tabla1323[[#This Row],[PRIMER TRIMESTRE]:[CUARTO TRIMESTRE]])</f>
        <v>40</v>
      </c>
      <c r="I78" s="17">
        <v>320.89999999999998</v>
      </c>
      <c r="J78" s="17">
        <f>+Tabla1323[[#This Row],[CANTIDAD TOTAL]]*Tabla1323[[#This Row],[PRECIO UNITARIO ESTIMADO]]</f>
        <v>12836</v>
      </c>
      <c r="K78" s="17"/>
      <c r="L78" s="16" t="s">
        <v>15</v>
      </c>
      <c r="M78" s="16" t="s">
        <v>22</v>
      </c>
      <c r="N78" s="39" t="s">
        <v>418</v>
      </c>
      <c r="O78" s="20"/>
      <c r="R78" s="19" t="s">
        <v>70</v>
      </c>
      <c r="U78" s="16"/>
    </row>
    <row r="79" spans="1:21" s="12" customFormat="1">
      <c r="A79" s="15" t="s">
        <v>62</v>
      </c>
      <c r="B79" s="75" t="s">
        <v>461</v>
      </c>
      <c r="C79" s="39" t="s">
        <v>69</v>
      </c>
      <c r="D79" s="39"/>
      <c r="E79" s="39"/>
      <c r="F79" s="39"/>
      <c r="G79" s="39"/>
      <c r="H79" s="40">
        <f>SUM(Tabla1323[[#This Row],[PRIMER TRIMESTRE]:[CUARTO TRIMESTRE]])</f>
        <v>0</v>
      </c>
      <c r="I79" s="17">
        <v>561.17999999999995</v>
      </c>
      <c r="J79" s="17">
        <f>+H79*I79</f>
        <v>0</v>
      </c>
      <c r="K79" s="17"/>
      <c r="L79" s="16" t="s">
        <v>15</v>
      </c>
      <c r="M79" s="16" t="s">
        <v>22</v>
      </c>
      <c r="N79" s="39" t="s">
        <v>418</v>
      </c>
      <c r="O79" s="18"/>
      <c r="R79" s="19"/>
      <c r="U79" s="16"/>
    </row>
    <row r="80" spans="1:21" s="12" customFormat="1" ht="19.5" customHeight="1">
      <c r="A80" s="15" t="s">
        <v>62</v>
      </c>
      <c r="B80" s="75" t="s">
        <v>567</v>
      </c>
      <c r="C80" s="39" t="s">
        <v>17</v>
      </c>
      <c r="D80" s="39"/>
      <c r="E80" s="39"/>
      <c r="F80" s="39"/>
      <c r="G80" s="39"/>
      <c r="H80" s="40">
        <f>SUM(Tabla1323[[#This Row],[PRIMER TRIMESTRE]:[CUARTO TRIMESTRE]])</f>
        <v>0</v>
      </c>
      <c r="I80" s="17">
        <v>350</v>
      </c>
      <c r="J80" s="17">
        <f>+Tabla1323[[#This Row],[CANTIDAD TOTAL]]*Tabla1323[[#This Row],[PRECIO UNITARIO ESTIMADO]]</f>
        <v>0</v>
      </c>
      <c r="K80" s="17"/>
      <c r="L80" s="16" t="s">
        <v>15</v>
      </c>
      <c r="M80" s="16" t="s">
        <v>22</v>
      </c>
      <c r="N80" s="45" t="s">
        <v>418</v>
      </c>
      <c r="O80" s="29"/>
      <c r="R80" s="19"/>
    </row>
    <row r="81" spans="1:21" s="12" customFormat="1">
      <c r="A81" s="15" t="s">
        <v>62</v>
      </c>
      <c r="B81" s="75" t="s">
        <v>472</v>
      </c>
      <c r="C81" s="39" t="s">
        <v>17</v>
      </c>
      <c r="D81" s="39"/>
      <c r="E81" s="39"/>
      <c r="F81" s="39"/>
      <c r="G81" s="39"/>
      <c r="H81" s="40">
        <f>SUM(Tabla1323[[#This Row],[PRIMER TRIMESTRE]:[CUARTO TRIMESTRE]])</f>
        <v>0</v>
      </c>
      <c r="I81" s="17">
        <v>450.4</v>
      </c>
      <c r="J81" s="17">
        <f>+H81*I81</f>
        <v>0</v>
      </c>
      <c r="K81" s="17"/>
      <c r="L81" s="16" t="s">
        <v>15</v>
      </c>
      <c r="M81" s="16" t="s">
        <v>22</v>
      </c>
      <c r="N81" s="39" t="s">
        <v>418</v>
      </c>
      <c r="O81" s="18"/>
      <c r="R81" s="19"/>
    </row>
    <row r="82" spans="1:21" s="12" customFormat="1">
      <c r="A82" s="15" t="s">
        <v>62</v>
      </c>
      <c r="B82" s="75" t="s">
        <v>440</v>
      </c>
      <c r="C82" s="39" t="s">
        <v>17</v>
      </c>
      <c r="D82" s="39"/>
      <c r="E82" s="39">
        <v>9</v>
      </c>
      <c r="F82" s="39"/>
      <c r="G82" s="39"/>
      <c r="H82" s="40">
        <f>SUM(Tabla1323[[#This Row],[PRIMER TRIMESTRE]:[CUARTO TRIMESTRE]])</f>
        <v>9</v>
      </c>
      <c r="I82" s="17">
        <v>7000</v>
      </c>
      <c r="J82" s="17">
        <f>+H82*I82</f>
        <v>63000</v>
      </c>
      <c r="K82" s="17"/>
      <c r="L82" s="16" t="s">
        <v>15</v>
      </c>
      <c r="M82" s="16" t="s">
        <v>22</v>
      </c>
      <c r="N82" s="39" t="s">
        <v>418</v>
      </c>
      <c r="O82" s="18"/>
      <c r="R82" s="19"/>
    </row>
    <row r="83" spans="1:21" s="12" customFormat="1">
      <c r="A83" s="15" t="s">
        <v>62</v>
      </c>
      <c r="B83" s="75" t="s">
        <v>435</v>
      </c>
      <c r="C83" s="39" t="s">
        <v>17</v>
      </c>
      <c r="D83" s="39"/>
      <c r="E83" s="39">
        <v>60</v>
      </c>
      <c r="F83" s="39"/>
      <c r="G83" s="39"/>
      <c r="H83" s="40">
        <f>SUM(Tabla1323[[#This Row],[PRIMER TRIMESTRE]:[CUARTO TRIMESTRE]])</f>
        <v>60</v>
      </c>
      <c r="I83" s="17">
        <v>110</v>
      </c>
      <c r="J83" s="17">
        <f>+Tabla1323[[#This Row],[CANTIDAD TOTAL]]*Tabla1323[[#This Row],[PRECIO UNITARIO ESTIMADO]]</f>
        <v>6600</v>
      </c>
      <c r="K83" s="17"/>
      <c r="L83" s="16" t="s">
        <v>15</v>
      </c>
      <c r="M83" s="28" t="s">
        <v>22</v>
      </c>
      <c r="N83" s="39" t="s">
        <v>418</v>
      </c>
      <c r="O83" s="29"/>
      <c r="R83" s="19"/>
    </row>
    <row r="84" spans="1:21" s="12" customFormat="1">
      <c r="A84" s="15" t="s">
        <v>62</v>
      </c>
      <c r="B84" s="75" t="s">
        <v>729</v>
      </c>
      <c r="C84" s="39" t="s">
        <v>17</v>
      </c>
      <c r="D84" s="39"/>
      <c r="E84" s="39"/>
      <c r="F84" s="39"/>
      <c r="G84" s="39"/>
      <c r="H84" s="40">
        <f>SUM(Tabla1323[[#This Row],[PRIMER TRIMESTRE]:[CUARTO TRIMESTRE]])</f>
        <v>0</v>
      </c>
      <c r="I84" s="17">
        <v>260</v>
      </c>
      <c r="J84" s="17">
        <f>+Tabla1323[[#This Row],[CANTIDAD TOTAL]]*Tabla1323[[#This Row],[PRECIO UNITARIO ESTIMADO]]</f>
        <v>0</v>
      </c>
      <c r="K84" s="17"/>
      <c r="L84" s="16" t="s">
        <v>15</v>
      </c>
      <c r="M84" s="16" t="s">
        <v>22</v>
      </c>
      <c r="N84" s="39" t="s">
        <v>418</v>
      </c>
      <c r="O84" s="20"/>
      <c r="R84" s="19" t="s">
        <v>176</v>
      </c>
    </row>
    <row r="85" spans="1:21" s="12" customFormat="1">
      <c r="A85" s="15" t="s">
        <v>62</v>
      </c>
      <c r="B85" s="75" t="s">
        <v>731</v>
      </c>
      <c r="C85" s="39" t="s">
        <v>17</v>
      </c>
      <c r="D85" s="39"/>
      <c r="E85" s="39"/>
      <c r="F85" s="39"/>
      <c r="G85" s="39"/>
      <c r="H85" s="40">
        <f>SUM(Tabla1323[[#This Row],[PRIMER TRIMESTRE]:[CUARTO TRIMESTRE]])</f>
        <v>0</v>
      </c>
      <c r="I85" s="17">
        <v>375</v>
      </c>
      <c r="J85" s="17">
        <f>+Tabla1323[[#This Row],[CANTIDAD TOTAL]]*Tabla1323[[#This Row],[PRECIO UNITARIO ESTIMADO]]</f>
        <v>0</v>
      </c>
      <c r="K85" s="17"/>
      <c r="L85" s="16" t="s">
        <v>15</v>
      </c>
      <c r="M85" s="16" t="s">
        <v>22</v>
      </c>
      <c r="N85" s="39" t="s">
        <v>418</v>
      </c>
      <c r="O85" s="20"/>
      <c r="R85" s="19" t="s">
        <v>71</v>
      </c>
      <c r="U85" s="16"/>
    </row>
    <row r="86" spans="1:21" s="12" customFormat="1">
      <c r="A86" s="15" t="s">
        <v>62</v>
      </c>
      <c r="B86" s="75" t="s">
        <v>72</v>
      </c>
      <c r="C86" s="39" t="s">
        <v>17</v>
      </c>
      <c r="D86" s="39"/>
      <c r="E86" s="39">
        <v>300</v>
      </c>
      <c r="F86" s="39"/>
      <c r="G86" s="39"/>
      <c r="H86" s="40">
        <f>SUM(Tabla1323[[#This Row],[PRIMER TRIMESTRE]:[CUARTO TRIMESTRE]])</f>
        <v>300</v>
      </c>
      <c r="I86" s="72">
        <v>295</v>
      </c>
      <c r="J86" s="17">
        <f>+Tabla1323[[#This Row],[CANTIDAD TOTAL]]*Tabla1323[[#This Row],[PRECIO UNITARIO ESTIMADO]]</f>
        <v>88500</v>
      </c>
      <c r="K86" s="17"/>
      <c r="L86" s="16" t="s">
        <v>15</v>
      </c>
      <c r="M86" s="16" t="s">
        <v>22</v>
      </c>
      <c r="N86" s="39" t="s">
        <v>418</v>
      </c>
      <c r="O86" s="20"/>
      <c r="R86" s="19" t="s">
        <v>73</v>
      </c>
      <c r="U86" s="16"/>
    </row>
    <row r="87" spans="1:21" s="12" customFormat="1">
      <c r="A87" s="15" t="s">
        <v>62</v>
      </c>
      <c r="B87" s="75" t="s">
        <v>467</v>
      </c>
      <c r="C87" s="39" t="s">
        <v>17</v>
      </c>
      <c r="D87" s="39"/>
      <c r="E87" s="39"/>
      <c r="F87" s="39"/>
      <c r="G87" s="39"/>
      <c r="H87" s="40">
        <f>SUM(Tabla1323[[#This Row],[PRIMER TRIMESTRE]:[CUARTO TRIMESTRE]])</f>
        <v>0</v>
      </c>
      <c r="I87" s="72">
        <v>852.71</v>
      </c>
      <c r="J87" s="17">
        <f>+H87*I87</f>
        <v>0</v>
      </c>
      <c r="K87" s="17"/>
      <c r="L87" s="16" t="s">
        <v>15</v>
      </c>
      <c r="M87" s="16" t="s">
        <v>22</v>
      </c>
      <c r="N87" s="39" t="s">
        <v>418</v>
      </c>
      <c r="O87" s="18"/>
      <c r="R87" s="19"/>
    </row>
    <row r="88" spans="1:21" s="12" customFormat="1">
      <c r="A88" s="15" t="s">
        <v>62</v>
      </c>
      <c r="B88" s="75" t="s">
        <v>432</v>
      </c>
      <c r="C88" s="39" t="s">
        <v>17</v>
      </c>
      <c r="D88" s="39"/>
      <c r="E88" s="39"/>
      <c r="F88" s="39"/>
      <c r="G88" s="39"/>
      <c r="H88" s="40">
        <f>SUM(Tabla1323[[#This Row],[PRIMER TRIMESTRE]:[CUARTO TRIMESTRE]])</f>
        <v>0</v>
      </c>
      <c r="I88" s="72">
        <v>350</v>
      </c>
      <c r="J88" s="17">
        <f>+Tabla1323[[#This Row],[CANTIDAD TOTAL]]*Tabla1323[[#This Row],[PRECIO UNITARIO ESTIMADO]]</f>
        <v>0</v>
      </c>
      <c r="K88" s="17"/>
      <c r="L88" s="16" t="s">
        <v>15</v>
      </c>
      <c r="M88" s="16" t="s">
        <v>22</v>
      </c>
      <c r="N88" s="45" t="s">
        <v>418</v>
      </c>
      <c r="O88" s="29"/>
      <c r="R88" s="19"/>
      <c r="U88" s="16"/>
    </row>
    <row r="89" spans="1:21" s="12" customFormat="1">
      <c r="A89" s="15" t="s">
        <v>62</v>
      </c>
      <c r="B89" s="75" t="s">
        <v>431</v>
      </c>
      <c r="C89" s="39" t="s">
        <v>17</v>
      </c>
      <c r="D89" s="39"/>
      <c r="E89" s="39">
        <v>117</v>
      </c>
      <c r="F89" s="39"/>
      <c r="G89" s="39"/>
      <c r="H89" s="40">
        <f>SUM(Tabla1323[[#This Row],[PRIMER TRIMESTRE]:[CUARTO TRIMESTRE]])</f>
        <v>117</v>
      </c>
      <c r="I89" s="72">
        <v>397.45</v>
      </c>
      <c r="J89" s="17">
        <f>+Tabla1323[[#This Row],[CANTIDAD TOTAL]]*Tabla1323[[#This Row],[PRECIO UNITARIO ESTIMADO]]</f>
        <v>46501.65</v>
      </c>
      <c r="K89" s="17"/>
      <c r="L89" s="16" t="s">
        <v>15</v>
      </c>
      <c r="M89" s="16" t="s">
        <v>22</v>
      </c>
      <c r="N89" s="39" t="s">
        <v>418</v>
      </c>
      <c r="O89" s="20"/>
      <c r="R89" s="19" t="s">
        <v>74</v>
      </c>
      <c r="U89" s="16"/>
    </row>
    <row r="90" spans="1:21" s="12" customFormat="1">
      <c r="A90" s="15" t="s">
        <v>62</v>
      </c>
      <c r="B90" s="75" t="s">
        <v>434</v>
      </c>
      <c r="C90" s="39" t="s">
        <v>17</v>
      </c>
      <c r="D90" s="39"/>
      <c r="E90" s="39">
        <v>50</v>
      </c>
      <c r="F90" s="39"/>
      <c r="G90" s="39"/>
      <c r="H90" s="40">
        <f>SUM(Tabla1323[[#This Row],[PRIMER TRIMESTRE]:[CUARTO TRIMESTRE]])</f>
        <v>50</v>
      </c>
      <c r="I90" s="72">
        <v>1120.9100000000001</v>
      </c>
      <c r="J90" s="17">
        <f>+Tabla1323[[#This Row],[CANTIDAD TOTAL]]*Tabla1323[[#This Row],[PRECIO UNITARIO ESTIMADO]]</f>
        <v>56045.500000000007</v>
      </c>
      <c r="K90" s="17"/>
      <c r="L90" s="16" t="s">
        <v>15</v>
      </c>
      <c r="M90" s="16" t="s">
        <v>22</v>
      </c>
      <c r="N90" s="39" t="s">
        <v>418</v>
      </c>
      <c r="O90" s="20"/>
      <c r="R90" s="19" t="s">
        <v>75</v>
      </c>
      <c r="U90" s="16"/>
    </row>
    <row r="91" spans="1:21" s="12" customFormat="1">
      <c r="A91" s="15" t="s">
        <v>62</v>
      </c>
      <c r="B91" s="75" t="s">
        <v>76</v>
      </c>
      <c r="C91" s="39" t="s">
        <v>17</v>
      </c>
      <c r="D91" s="39"/>
      <c r="E91" s="39"/>
      <c r="F91" s="39"/>
      <c r="G91" s="39"/>
      <c r="H91" s="40">
        <f>SUM(Tabla1323[[#This Row],[PRIMER TRIMESTRE]:[CUARTO TRIMESTRE]])</f>
        <v>0</v>
      </c>
      <c r="I91" s="17">
        <v>100.57</v>
      </c>
      <c r="J91" s="17">
        <f>+Tabla1323[[#This Row],[CANTIDAD TOTAL]]*Tabla1323[[#This Row],[PRECIO UNITARIO ESTIMADO]]</f>
        <v>0</v>
      </c>
      <c r="K91" s="17"/>
      <c r="L91" s="16" t="s">
        <v>15</v>
      </c>
      <c r="M91" s="16" t="s">
        <v>22</v>
      </c>
      <c r="N91" s="39" t="s">
        <v>418</v>
      </c>
      <c r="O91" s="20"/>
      <c r="R91" s="19" t="s">
        <v>77</v>
      </c>
    </row>
    <row r="92" spans="1:21" s="12" customFormat="1">
      <c r="A92" s="15" t="s">
        <v>62</v>
      </c>
      <c r="B92" s="75" t="s">
        <v>433</v>
      </c>
      <c r="C92" s="39" t="s">
        <v>17</v>
      </c>
      <c r="D92" s="39"/>
      <c r="E92" s="39"/>
      <c r="F92" s="39"/>
      <c r="G92" s="39"/>
      <c r="H92" s="40">
        <f>SUM(Tabla1323[[#This Row],[PRIMER TRIMESTRE]:[CUARTO TRIMESTRE]])</f>
        <v>0</v>
      </c>
      <c r="I92" s="17">
        <v>1144.23</v>
      </c>
      <c r="J92" s="17">
        <f>+Tabla1323[[#This Row],[CANTIDAD TOTAL]]*Tabla1323[[#This Row],[PRECIO UNITARIO ESTIMADO]]</f>
        <v>0</v>
      </c>
      <c r="K92" s="17"/>
      <c r="L92" s="16" t="s">
        <v>15</v>
      </c>
      <c r="M92" s="16" t="s">
        <v>22</v>
      </c>
      <c r="N92" s="45" t="s">
        <v>418</v>
      </c>
      <c r="O92" s="29"/>
      <c r="R92" s="19"/>
    </row>
    <row r="93" spans="1:21" s="12" customFormat="1">
      <c r="A93" s="15" t="s">
        <v>62</v>
      </c>
      <c r="B93" s="75" t="s">
        <v>78</v>
      </c>
      <c r="C93" s="39" t="s">
        <v>17</v>
      </c>
      <c r="D93" s="39"/>
      <c r="E93" s="39">
        <v>4</v>
      </c>
      <c r="F93" s="39"/>
      <c r="G93" s="39"/>
      <c r="H93" s="40">
        <f>SUM(Tabla1323[[#This Row],[PRIMER TRIMESTRE]:[CUARTO TRIMESTRE]])</f>
        <v>4</v>
      </c>
      <c r="I93" s="17">
        <v>377</v>
      </c>
      <c r="J93" s="17">
        <f>+Tabla1323[[#This Row],[CANTIDAD TOTAL]]*Tabla1323[[#This Row],[PRECIO UNITARIO ESTIMADO]]</f>
        <v>1508</v>
      </c>
      <c r="K93" s="17"/>
      <c r="L93" s="16" t="s">
        <v>15</v>
      </c>
      <c r="M93" s="16" t="s">
        <v>22</v>
      </c>
      <c r="N93" s="39" t="s">
        <v>418</v>
      </c>
      <c r="O93" s="20"/>
      <c r="R93" s="19" t="s">
        <v>79</v>
      </c>
    </row>
    <row r="94" spans="1:21" s="26" customFormat="1" ht="29.25" customHeight="1">
      <c r="A94" s="22" t="s">
        <v>62</v>
      </c>
      <c r="B94" s="76"/>
      <c r="C94" s="42"/>
      <c r="D94" s="42"/>
      <c r="E94" s="42"/>
      <c r="F94" s="42"/>
      <c r="G94" s="42"/>
      <c r="H94" s="43"/>
      <c r="I94" s="24"/>
      <c r="J94" s="24"/>
      <c r="K94" s="25">
        <f>SUM(J78:J93)</f>
        <v>274991.15000000002</v>
      </c>
      <c r="L94" s="23"/>
      <c r="M94" s="23"/>
      <c r="N94" s="42"/>
      <c r="O94" s="24"/>
      <c r="R94" s="27"/>
      <c r="U94" s="23"/>
    </row>
    <row r="95" spans="1:21" s="12" customFormat="1">
      <c r="A95" s="15" t="s">
        <v>80</v>
      </c>
      <c r="B95" s="75" t="s">
        <v>788</v>
      </c>
      <c r="C95" s="39" t="s">
        <v>69</v>
      </c>
      <c r="D95" s="39"/>
      <c r="E95" s="39">
        <v>125</v>
      </c>
      <c r="F95" s="39"/>
      <c r="G95" s="39">
        <v>125</v>
      </c>
      <c r="H95" s="40">
        <f>SUM(Tabla1323[[#This Row],[PRIMER TRIMESTRE]:[CUARTO TRIMESTRE]])</f>
        <v>250</v>
      </c>
      <c r="I95" s="17">
        <v>5.46</v>
      </c>
      <c r="J95" s="17">
        <f>+Tabla1323[[#This Row],[CANTIDAD TOTAL]]*Tabla1323[[#This Row],[PRECIO UNITARIO ESTIMADO]]</f>
        <v>1365</v>
      </c>
      <c r="K95" s="17"/>
      <c r="L95" s="16" t="s">
        <v>27</v>
      </c>
      <c r="M95" s="16" t="s">
        <v>22</v>
      </c>
      <c r="N95" s="39" t="s">
        <v>418</v>
      </c>
      <c r="O95" s="20"/>
      <c r="R95" s="19" t="s">
        <v>81</v>
      </c>
    </row>
    <row r="96" spans="1:21" s="12" customFormat="1">
      <c r="A96" s="15" t="s">
        <v>80</v>
      </c>
      <c r="B96" s="75" t="s">
        <v>789</v>
      </c>
      <c r="C96" s="39" t="s">
        <v>69</v>
      </c>
      <c r="D96" s="39"/>
      <c r="E96" s="39">
        <v>120</v>
      </c>
      <c r="F96" s="39"/>
      <c r="G96" s="39">
        <v>120</v>
      </c>
      <c r="H96" s="40">
        <f>SUM(Tabla1323[[#This Row],[PRIMER TRIMESTRE]:[CUARTO TRIMESTRE]])</f>
        <v>240</v>
      </c>
      <c r="I96" s="17">
        <v>6.4</v>
      </c>
      <c r="J96" s="17">
        <f>+Tabla1323[[#This Row],[CANTIDAD TOTAL]]*Tabla1323[[#This Row],[PRECIO UNITARIO ESTIMADO]]</f>
        <v>1536</v>
      </c>
      <c r="K96" s="17"/>
      <c r="L96" s="16" t="s">
        <v>27</v>
      </c>
      <c r="M96" s="16" t="s">
        <v>22</v>
      </c>
      <c r="N96" s="39" t="s">
        <v>418</v>
      </c>
      <c r="O96" s="20"/>
      <c r="R96" s="19" t="s">
        <v>82</v>
      </c>
    </row>
    <row r="97" spans="1:18" s="12" customFormat="1">
      <c r="A97" s="15" t="s">
        <v>80</v>
      </c>
      <c r="B97" s="75" t="s">
        <v>83</v>
      </c>
      <c r="C97" s="39" t="s">
        <v>69</v>
      </c>
      <c r="D97" s="39"/>
      <c r="E97" s="39">
        <v>1</v>
      </c>
      <c r="F97" s="39"/>
      <c r="G97" s="39">
        <v>1</v>
      </c>
      <c r="H97" s="40">
        <f>SUM(Tabla1323[[#This Row],[PRIMER TRIMESTRE]:[CUARTO TRIMESTRE]])</f>
        <v>2</v>
      </c>
      <c r="I97" s="17">
        <v>290</v>
      </c>
      <c r="J97" s="17">
        <f>+Tabla1323[[#This Row],[CANTIDAD TOTAL]]*Tabla1323[[#This Row],[PRECIO UNITARIO ESTIMADO]]</f>
        <v>580</v>
      </c>
      <c r="K97" s="17"/>
      <c r="L97" s="16" t="s">
        <v>27</v>
      </c>
      <c r="M97" s="16" t="s">
        <v>22</v>
      </c>
      <c r="N97" s="39" t="s">
        <v>418</v>
      </c>
      <c r="O97" s="20"/>
      <c r="R97" s="19" t="s">
        <v>84</v>
      </c>
    </row>
    <row r="98" spans="1:18" s="12" customFormat="1">
      <c r="A98" s="15" t="s">
        <v>80</v>
      </c>
      <c r="B98" s="75" t="s">
        <v>85</v>
      </c>
      <c r="C98" s="39" t="s">
        <v>69</v>
      </c>
      <c r="D98" s="39"/>
      <c r="E98" s="39">
        <v>1800</v>
      </c>
      <c r="F98" s="39"/>
      <c r="G98" s="39">
        <v>1800</v>
      </c>
      <c r="H98" s="40">
        <f>SUM(Tabla1323[[#This Row],[PRIMER TRIMESTRE]:[CUARTO TRIMESTRE]])</f>
        <v>3600</v>
      </c>
      <c r="I98" s="17">
        <v>4.0599999999999996</v>
      </c>
      <c r="J98" s="17">
        <f>+Tabla1323[[#This Row],[CANTIDAD TOTAL]]*Tabla1323[[#This Row],[PRECIO UNITARIO ESTIMADO]]</f>
        <v>14615.999999999998</v>
      </c>
      <c r="K98" s="17"/>
      <c r="L98" s="16" t="s">
        <v>27</v>
      </c>
      <c r="M98" s="16" t="s">
        <v>22</v>
      </c>
      <c r="N98" s="39" t="s">
        <v>418</v>
      </c>
      <c r="O98" s="20"/>
      <c r="R98" s="19" t="s">
        <v>86</v>
      </c>
    </row>
    <row r="99" spans="1:18" s="12" customFormat="1">
      <c r="A99" s="15" t="s">
        <v>80</v>
      </c>
      <c r="B99" s="75" t="s">
        <v>87</v>
      </c>
      <c r="C99" s="39" t="s">
        <v>69</v>
      </c>
      <c r="D99" s="39"/>
      <c r="E99" s="39">
        <v>1400</v>
      </c>
      <c r="F99" s="39"/>
      <c r="G99" s="39">
        <v>1400</v>
      </c>
      <c r="H99" s="40">
        <f>SUM(Tabla1323[[#This Row],[PRIMER TRIMESTRE]:[CUARTO TRIMESTRE]])</f>
        <v>2800</v>
      </c>
      <c r="I99" s="17">
        <v>3.71</v>
      </c>
      <c r="J99" s="17">
        <f>+Tabla1323[[#This Row],[CANTIDAD TOTAL]]*Tabla1323[[#This Row],[PRECIO UNITARIO ESTIMADO]]</f>
        <v>10388</v>
      </c>
      <c r="K99" s="17"/>
      <c r="L99" s="16" t="s">
        <v>27</v>
      </c>
      <c r="M99" s="16" t="s">
        <v>22</v>
      </c>
      <c r="N99" s="39" t="s">
        <v>418</v>
      </c>
      <c r="O99" s="20"/>
      <c r="R99" s="19" t="s">
        <v>88</v>
      </c>
    </row>
    <row r="100" spans="1:18" s="12" customFormat="1">
      <c r="A100" s="15" t="s">
        <v>80</v>
      </c>
      <c r="B100" s="75" t="s">
        <v>89</v>
      </c>
      <c r="C100" s="39" t="s">
        <v>69</v>
      </c>
      <c r="D100" s="39"/>
      <c r="E100" s="39">
        <v>40</v>
      </c>
      <c r="F100" s="39"/>
      <c r="G100" s="39"/>
      <c r="H100" s="40">
        <f>SUM(Tabla1323[[#This Row],[PRIMER TRIMESTRE]:[CUARTO TRIMESTRE]])</f>
        <v>40</v>
      </c>
      <c r="I100" s="17">
        <v>7.3</v>
      </c>
      <c r="J100" s="17">
        <f>+Tabla1323[[#This Row],[CANTIDAD TOTAL]]*Tabla1323[[#This Row],[PRECIO UNITARIO ESTIMADO]]</f>
        <v>292</v>
      </c>
      <c r="K100" s="17"/>
      <c r="L100" s="16" t="s">
        <v>27</v>
      </c>
      <c r="M100" s="16" t="s">
        <v>22</v>
      </c>
      <c r="N100" s="39" t="s">
        <v>418</v>
      </c>
      <c r="O100" s="20"/>
      <c r="R100" s="19" t="s">
        <v>90</v>
      </c>
    </row>
    <row r="101" spans="1:18" s="12" customFormat="1">
      <c r="A101" s="15" t="s">
        <v>80</v>
      </c>
      <c r="B101" s="75" t="s">
        <v>91</v>
      </c>
      <c r="C101" s="39" t="s">
        <v>69</v>
      </c>
      <c r="D101" s="39"/>
      <c r="E101" s="39">
        <v>2</v>
      </c>
      <c r="F101" s="39"/>
      <c r="G101" s="39"/>
      <c r="H101" s="40">
        <f>SUM(Tabla1323[[#This Row],[PRIMER TRIMESTRE]:[CUARTO TRIMESTRE]])</f>
        <v>2</v>
      </c>
      <c r="I101" s="17">
        <v>169.82</v>
      </c>
      <c r="J101" s="17">
        <f>+Tabla1323[[#This Row],[CANTIDAD TOTAL]]*Tabla1323[[#This Row],[PRECIO UNITARIO ESTIMADO]]</f>
        <v>339.64</v>
      </c>
      <c r="K101" s="17"/>
      <c r="L101" s="16" t="s">
        <v>27</v>
      </c>
      <c r="M101" s="16" t="s">
        <v>22</v>
      </c>
      <c r="N101" s="39" t="s">
        <v>418</v>
      </c>
      <c r="O101" s="20"/>
      <c r="R101" s="19" t="s">
        <v>92</v>
      </c>
    </row>
    <row r="102" spans="1:18" s="12" customFormat="1" ht="36.75" customHeight="1">
      <c r="A102" s="15" t="s">
        <v>80</v>
      </c>
      <c r="B102" s="75" t="s">
        <v>98</v>
      </c>
      <c r="C102" s="39" t="s">
        <v>93</v>
      </c>
      <c r="D102" s="39"/>
      <c r="E102" s="39">
        <v>150</v>
      </c>
      <c r="F102" s="39"/>
      <c r="G102" s="39">
        <v>150</v>
      </c>
      <c r="H102" s="40">
        <f>SUM(Tabla1323[[#This Row],[PRIMER TRIMESTRE]:[CUARTO TRIMESTRE]])</f>
        <v>300</v>
      </c>
      <c r="I102" s="17">
        <v>272.60000000000002</v>
      </c>
      <c r="J102" s="17">
        <f>+Tabla1323[[#This Row],[CANTIDAD TOTAL]]*Tabla1323[[#This Row],[PRECIO UNITARIO ESTIMADO]]</f>
        <v>81780</v>
      </c>
      <c r="K102" s="17"/>
      <c r="L102" s="16" t="s">
        <v>27</v>
      </c>
      <c r="M102" s="16" t="s">
        <v>22</v>
      </c>
      <c r="N102" s="39" t="s">
        <v>418</v>
      </c>
      <c r="O102" s="20"/>
      <c r="R102" s="19" t="s">
        <v>99</v>
      </c>
    </row>
    <row r="103" spans="1:18" s="12" customFormat="1">
      <c r="A103" s="15" t="s">
        <v>80</v>
      </c>
      <c r="B103" s="75" t="s">
        <v>100</v>
      </c>
      <c r="C103" s="39" t="s">
        <v>93</v>
      </c>
      <c r="D103" s="39"/>
      <c r="E103" s="39">
        <v>25</v>
      </c>
      <c r="F103" s="39"/>
      <c r="G103" s="39">
        <v>25</v>
      </c>
      <c r="H103" s="40">
        <f>SUM(Tabla1323[[#This Row],[PRIMER TRIMESTRE]:[CUARTO TRIMESTRE]])</f>
        <v>50</v>
      </c>
      <c r="I103" s="17">
        <v>30.16</v>
      </c>
      <c r="J103" s="17">
        <f>+Tabla1323[[#This Row],[CANTIDAD TOTAL]]*Tabla1323[[#This Row],[PRECIO UNITARIO ESTIMADO]]</f>
        <v>1508</v>
      </c>
      <c r="K103" s="17"/>
      <c r="L103" s="16" t="s">
        <v>27</v>
      </c>
      <c r="M103" s="16" t="s">
        <v>22</v>
      </c>
      <c r="N103" s="39" t="s">
        <v>418</v>
      </c>
      <c r="O103" s="20"/>
      <c r="R103" s="19" t="s">
        <v>101</v>
      </c>
    </row>
    <row r="104" spans="1:18" s="12" customFormat="1" ht="31.5">
      <c r="A104" s="15" t="s">
        <v>80</v>
      </c>
      <c r="B104" s="75" t="s">
        <v>103</v>
      </c>
      <c r="C104" s="39" t="s">
        <v>17</v>
      </c>
      <c r="D104" s="39"/>
      <c r="E104" s="39">
        <v>150</v>
      </c>
      <c r="F104" s="39"/>
      <c r="G104" s="39"/>
      <c r="H104" s="40">
        <f>SUM(Tabla1323[[#This Row],[PRIMER TRIMESTRE]:[CUARTO TRIMESTRE]])</f>
        <v>150</v>
      </c>
      <c r="I104" s="17">
        <v>0.75</v>
      </c>
      <c r="J104" s="17">
        <f>+Tabla1323[[#This Row],[CANTIDAD TOTAL]]*Tabla1323[[#This Row],[PRECIO UNITARIO ESTIMADO]]</f>
        <v>112.5</v>
      </c>
      <c r="K104" s="17"/>
      <c r="L104" s="16" t="s">
        <v>27</v>
      </c>
      <c r="M104" s="16" t="s">
        <v>22</v>
      </c>
      <c r="N104" s="39" t="s">
        <v>418</v>
      </c>
      <c r="O104" s="20"/>
      <c r="R104" s="19" t="s">
        <v>104</v>
      </c>
    </row>
    <row r="105" spans="1:18" s="12" customFormat="1">
      <c r="A105" s="15" t="s">
        <v>80</v>
      </c>
      <c r="B105" s="75" t="s">
        <v>105</v>
      </c>
      <c r="C105" s="39" t="s">
        <v>17</v>
      </c>
      <c r="D105" s="39"/>
      <c r="E105" s="39">
        <v>40</v>
      </c>
      <c r="F105" s="39"/>
      <c r="G105" s="39">
        <v>40</v>
      </c>
      <c r="H105" s="40">
        <f>SUM(Tabla1323[[#This Row],[PRIMER TRIMESTRE]:[CUARTO TRIMESTRE]])</f>
        <v>80</v>
      </c>
      <c r="I105" s="17">
        <v>33.64</v>
      </c>
      <c r="J105" s="17">
        <f>+Tabla1323[[#This Row],[CANTIDAD TOTAL]]*Tabla1323[[#This Row],[PRECIO UNITARIO ESTIMADO]]</f>
        <v>2691.2</v>
      </c>
      <c r="K105" s="17"/>
      <c r="L105" s="16" t="s">
        <v>27</v>
      </c>
      <c r="M105" s="16" t="s">
        <v>22</v>
      </c>
      <c r="N105" s="39" t="s">
        <v>418</v>
      </c>
      <c r="O105" s="20"/>
      <c r="R105" s="19" t="s">
        <v>106</v>
      </c>
    </row>
    <row r="106" spans="1:18" s="12" customFormat="1">
      <c r="A106" s="15" t="s">
        <v>80</v>
      </c>
      <c r="B106" s="75" t="s">
        <v>107</v>
      </c>
      <c r="C106" s="70" t="s">
        <v>17</v>
      </c>
      <c r="D106" s="39"/>
      <c r="E106" s="70">
        <v>5</v>
      </c>
      <c r="F106" s="70"/>
      <c r="G106" s="70"/>
      <c r="H106" s="40">
        <f>SUM(Tabla1323[[#This Row],[PRIMER TRIMESTRE]:[CUARTO TRIMESTRE]])</f>
        <v>5</v>
      </c>
      <c r="I106" s="17">
        <v>86.24</v>
      </c>
      <c r="J106" s="17">
        <f>+Tabla1323[[#This Row],[CANTIDAD TOTAL]]*Tabla1323[[#This Row],[PRECIO UNITARIO ESTIMADO]]</f>
        <v>431.2</v>
      </c>
      <c r="K106" s="17"/>
      <c r="L106" s="16" t="s">
        <v>27</v>
      </c>
      <c r="M106" s="16" t="s">
        <v>22</v>
      </c>
      <c r="N106" s="39" t="s">
        <v>418</v>
      </c>
      <c r="O106" s="20"/>
      <c r="R106" s="19" t="s">
        <v>108</v>
      </c>
    </row>
    <row r="107" spans="1:18" s="12" customFormat="1">
      <c r="A107" s="15" t="s">
        <v>80</v>
      </c>
      <c r="B107" s="75" t="s">
        <v>436</v>
      </c>
      <c r="C107" s="70" t="s">
        <v>17</v>
      </c>
      <c r="D107" s="39"/>
      <c r="E107" s="70"/>
      <c r="F107" s="70"/>
      <c r="G107" s="70">
        <v>13</v>
      </c>
      <c r="H107" s="40">
        <f>SUM(Tabla1323[[#This Row],[PRIMER TRIMESTRE]:[CUARTO TRIMESTRE]])</f>
        <v>13</v>
      </c>
      <c r="I107" s="17">
        <v>450</v>
      </c>
      <c r="J107" s="17">
        <f>+Tabla1323[[#This Row],[CANTIDAD TOTAL]]*Tabla1323[[#This Row],[PRECIO UNITARIO ESTIMADO]]</f>
        <v>5850</v>
      </c>
      <c r="K107" s="17"/>
      <c r="L107" s="16" t="s">
        <v>27</v>
      </c>
      <c r="M107" s="16" t="s">
        <v>22</v>
      </c>
      <c r="N107" s="39" t="s">
        <v>418</v>
      </c>
      <c r="O107" s="20"/>
      <c r="R107" s="19" t="s">
        <v>109</v>
      </c>
    </row>
    <row r="108" spans="1:18" s="12" customFormat="1">
      <c r="A108" s="15" t="s">
        <v>80</v>
      </c>
      <c r="B108" s="75" t="s">
        <v>110</v>
      </c>
      <c r="C108" s="70" t="s">
        <v>17</v>
      </c>
      <c r="D108" s="39"/>
      <c r="E108" s="70"/>
      <c r="F108" s="70"/>
      <c r="G108" s="70">
        <v>6</v>
      </c>
      <c r="H108" s="40">
        <f>SUM(Tabla1323[[#This Row],[PRIMER TRIMESTRE]:[CUARTO TRIMESTRE]])</f>
        <v>6</v>
      </c>
      <c r="I108" s="17">
        <v>5823.23</v>
      </c>
      <c r="J108" s="17">
        <f>+Tabla1323[[#This Row],[CANTIDAD TOTAL]]*Tabla1323[[#This Row],[PRECIO UNITARIO ESTIMADO]]</f>
        <v>34939.379999999997</v>
      </c>
      <c r="K108" s="17"/>
      <c r="L108" s="16" t="s">
        <v>27</v>
      </c>
      <c r="M108" s="16" t="s">
        <v>22</v>
      </c>
      <c r="N108" s="39" t="s">
        <v>418</v>
      </c>
      <c r="O108" s="20"/>
      <c r="R108" s="19" t="s">
        <v>111</v>
      </c>
    </row>
    <row r="109" spans="1:18" s="12" customFormat="1">
      <c r="A109" s="15" t="s">
        <v>80</v>
      </c>
      <c r="B109" s="77" t="s">
        <v>112</v>
      </c>
      <c r="C109" s="70" t="s">
        <v>288</v>
      </c>
      <c r="D109" s="39"/>
      <c r="E109" s="70">
        <v>40</v>
      </c>
      <c r="F109" s="70"/>
      <c r="G109" s="70">
        <v>40</v>
      </c>
      <c r="H109" s="40">
        <f>SUM(Tabla1323[[#This Row],[PRIMER TRIMESTRE]:[CUARTO TRIMESTRE]])</f>
        <v>80</v>
      </c>
      <c r="I109" s="17">
        <v>1624</v>
      </c>
      <c r="J109" s="17">
        <f>+Tabla1323[[#This Row],[CANTIDAD TOTAL]]*Tabla1323[[#This Row],[PRECIO UNITARIO ESTIMADO]]</f>
        <v>129920</v>
      </c>
      <c r="K109" s="17"/>
      <c r="L109" s="16" t="s">
        <v>27</v>
      </c>
      <c r="M109" s="16" t="s">
        <v>22</v>
      </c>
      <c r="N109" s="39" t="s">
        <v>418</v>
      </c>
      <c r="O109" s="20"/>
      <c r="R109" s="19" t="s">
        <v>113</v>
      </c>
    </row>
    <row r="110" spans="1:18" s="12" customFormat="1" ht="31.5">
      <c r="A110" s="15" t="s">
        <v>80</v>
      </c>
      <c r="B110" s="77" t="s">
        <v>766</v>
      </c>
      <c r="C110" s="70" t="s">
        <v>767</v>
      </c>
      <c r="D110" s="39"/>
      <c r="E110" s="70">
        <v>200</v>
      </c>
      <c r="F110" s="70"/>
      <c r="G110" s="70">
        <v>200</v>
      </c>
      <c r="H110" s="40">
        <f>SUM(Tabla1323[[#This Row],[PRIMER TRIMESTRE]:[CUARTO TRIMESTRE]])</f>
        <v>400</v>
      </c>
      <c r="I110" s="17">
        <v>470</v>
      </c>
      <c r="J110" s="17">
        <f>+Tabla1323[[#This Row],[CANTIDAD TOTAL]]*Tabla1323[[#This Row],[PRECIO UNITARIO ESTIMADO]]</f>
        <v>188000</v>
      </c>
      <c r="K110" s="17"/>
      <c r="L110" s="16" t="s">
        <v>27</v>
      </c>
      <c r="M110" s="16" t="s">
        <v>22</v>
      </c>
      <c r="N110" s="39" t="s">
        <v>418</v>
      </c>
      <c r="O110" s="20"/>
      <c r="R110" s="19" t="s">
        <v>114</v>
      </c>
    </row>
    <row r="111" spans="1:18" s="12" customFormat="1">
      <c r="A111" s="15" t="s">
        <v>80</v>
      </c>
      <c r="B111" s="75" t="s">
        <v>437</v>
      </c>
      <c r="C111" s="70" t="s">
        <v>17</v>
      </c>
      <c r="D111" s="39"/>
      <c r="E111" s="70"/>
      <c r="F111" s="70"/>
      <c r="G111" s="70">
        <v>7</v>
      </c>
      <c r="H111" s="40">
        <f>SUM(Tabla1323[[#This Row],[PRIMER TRIMESTRE]:[CUARTO TRIMESTRE]])</f>
        <v>7</v>
      </c>
      <c r="I111" s="17">
        <v>125</v>
      </c>
      <c r="J111" s="17">
        <f>+Tabla1323[[#This Row],[CANTIDAD TOTAL]]*Tabla1323[[#This Row],[PRECIO UNITARIO ESTIMADO]]</f>
        <v>875</v>
      </c>
      <c r="K111" s="17"/>
      <c r="L111" s="16" t="s">
        <v>27</v>
      </c>
      <c r="M111" s="16" t="s">
        <v>22</v>
      </c>
      <c r="N111" s="39" t="s">
        <v>418</v>
      </c>
      <c r="O111" s="20"/>
      <c r="R111" s="19" t="s">
        <v>116</v>
      </c>
    </row>
    <row r="112" spans="1:18" s="12" customFormat="1">
      <c r="A112" s="15" t="s">
        <v>80</v>
      </c>
      <c r="B112" s="75" t="s">
        <v>438</v>
      </c>
      <c r="C112" s="70" t="s">
        <v>17</v>
      </c>
      <c r="D112" s="39"/>
      <c r="E112" s="70">
        <v>15</v>
      </c>
      <c r="F112" s="70"/>
      <c r="G112" s="70">
        <v>15</v>
      </c>
      <c r="H112" s="40">
        <f>SUM(Tabla1323[[#This Row],[PRIMER TRIMESTRE]:[CUARTO TRIMESTRE]])</f>
        <v>30</v>
      </c>
      <c r="I112" s="17">
        <v>80</v>
      </c>
      <c r="J112" s="17">
        <f>+Tabla1323[[#This Row],[CANTIDAD TOTAL]]*Tabla1323[[#This Row],[PRECIO UNITARIO ESTIMADO]]</f>
        <v>2400</v>
      </c>
      <c r="K112" s="17"/>
      <c r="L112" s="16" t="s">
        <v>27</v>
      </c>
      <c r="M112" s="16" t="s">
        <v>22</v>
      </c>
      <c r="N112" s="39" t="s">
        <v>418</v>
      </c>
      <c r="O112" s="29"/>
      <c r="R112" s="19"/>
    </row>
    <row r="113" spans="1:18" s="12" customFormat="1">
      <c r="A113" s="15" t="s">
        <v>80</v>
      </c>
      <c r="B113" s="75" t="s">
        <v>430</v>
      </c>
      <c r="C113" s="70" t="s">
        <v>17</v>
      </c>
      <c r="D113" s="39"/>
      <c r="E113" s="70">
        <v>10</v>
      </c>
      <c r="F113" s="70"/>
      <c r="G113" s="70">
        <v>10</v>
      </c>
      <c r="H113" s="40">
        <f>SUM(Tabla1323[[#This Row],[PRIMER TRIMESTRE]:[CUARTO TRIMESTRE]])</f>
        <v>20</v>
      </c>
      <c r="I113" s="17">
        <v>46.8</v>
      </c>
      <c r="J113" s="17">
        <f>+Tabla1323[[#This Row],[CANTIDAD TOTAL]]*Tabla1323[[#This Row],[PRECIO UNITARIO ESTIMADO]]</f>
        <v>936</v>
      </c>
      <c r="K113" s="17"/>
      <c r="L113" s="16" t="s">
        <v>27</v>
      </c>
      <c r="M113" s="16" t="s">
        <v>22</v>
      </c>
      <c r="N113" s="39" t="s">
        <v>418</v>
      </c>
      <c r="O113" s="20"/>
      <c r="R113" s="19" t="s">
        <v>117</v>
      </c>
    </row>
    <row r="114" spans="1:18" s="12" customFormat="1">
      <c r="A114" s="15" t="s">
        <v>80</v>
      </c>
      <c r="B114" s="75" t="s">
        <v>730</v>
      </c>
      <c r="C114" s="70" t="s">
        <v>17</v>
      </c>
      <c r="D114" s="39"/>
      <c r="E114" s="70">
        <v>10</v>
      </c>
      <c r="F114" s="70"/>
      <c r="G114" s="70">
        <v>10</v>
      </c>
      <c r="H114" s="40">
        <f>SUM(Tabla1323[[#This Row],[PRIMER TRIMESTRE]:[CUARTO TRIMESTRE]])</f>
        <v>20</v>
      </c>
      <c r="I114" s="17">
        <v>246.34</v>
      </c>
      <c r="J114" s="17">
        <f t="shared" ref="J114:J121" si="1">+H114*I114</f>
        <v>4926.8</v>
      </c>
      <c r="K114" s="17"/>
      <c r="L114" s="16" t="s">
        <v>27</v>
      </c>
      <c r="M114" s="16" t="s">
        <v>22</v>
      </c>
      <c r="N114" s="39" t="s">
        <v>418</v>
      </c>
      <c r="O114" s="18"/>
      <c r="R114" s="19"/>
    </row>
    <row r="115" spans="1:18" s="12" customFormat="1" ht="17.25" customHeight="1">
      <c r="A115" s="15" t="s">
        <v>80</v>
      </c>
      <c r="B115" s="75" t="s">
        <v>570</v>
      </c>
      <c r="C115" s="70" t="s">
        <v>17</v>
      </c>
      <c r="D115" s="39"/>
      <c r="E115" s="70">
        <v>10</v>
      </c>
      <c r="F115" s="70"/>
      <c r="G115" s="70">
        <v>10</v>
      </c>
      <c r="H115" s="40">
        <f>SUM(Tabla1323[[#This Row],[PRIMER TRIMESTRE]:[CUARTO TRIMESTRE]])</f>
        <v>20</v>
      </c>
      <c r="I115" s="17">
        <v>4100</v>
      </c>
      <c r="J115" s="17">
        <f t="shared" si="1"/>
        <v>82000</v>
      </c>
      <c r="K115" s="17"/>
      <c r="L115" s="16" t="s">
        <v>27</v>
      </c>
      <c r="M115" s="16" t="s">
        <v>22</v>
      </c>
      <c r="N115" s="39" t="s">
        <v>418</v>
      </c>
      <c r="O115" s="18"/>
      <c r="R115" s="19"/>
    </row>
    <row r="116" spans="1:18" s="12" customFormat="1">
      <c r="A116" s="15" t="s">
        <v>80</v>
      </c>
      <c r="B116" s="75" t="s">
        <v>694</v>
      </c>
      <c r="C116" s="70" t="s">
        <v>17</v>
      </c>
      <c r="D116" s="39"/>
      <c r="E116" s="70">
        <v>5</v>
      </c>
      <c r="F116" s="70"/>
      <c r="G116" s="70">
        <v>5</v>
      </c>
      <c r="H116" s="40">
        <f>SUM(Tabla1323[[#This Row],[PRIMER TRIMESTRE]:[CUARTO TRIMESTRE]])</f>
        <v>10</v>
      </c>
      <c r="I116" s="72">
        <v>850</v>
      </c>
      <c r="J116" s="17">
        <f t="shared" si="1"/>
        <v>8500</v>
      </c>
      <c r="K116" s="17"/>
      <c r="L116" s="16" t="s">
        <v>27</v>
      </c>
      <c r="M116" s="16" t="s">
        <v>22</v>
      </c>
      <c r="N116" s="39" t="s">
        <v>418</v>
      </c>
      <c r="O116" s="18"/>
      <c r="R116" s="19"/>
    </row>
    <row r="117" spans="1:18" s="12" customFormat="1">
      <c r="A117" s="15" t="s">
        <v>80</v>
      </c>
      <c r="B117" s="75" t="s">
        <v>695</v>
      </c>
      <c r="C117" s="70" t="s">
        <v>17</v>
      </c>
      <c r="D117" s="39"/>
      <c r="E117" s="70">
        <v>5</v>
      </c>
      <c r="F117" s="70"/>
      <c r="G117" s="70">
        <v>5</v>
      </c>
      <c r="H117" s="40">
        <f>SUM(Tabla1323[[#This Row],[PRIMER TRIMESTRE]:[CUARTO TRIMESTRE]])</f>
        <v>10</v>
      </c>
      <c r="I117" s="72">
        <v>850</v>
      </c>
      <c r="J117" s="17">
        <f t="shared" si="1"/>
        <v>8500</v>
      </c>
      <c r="K117" s="17"/>
      <c r="L117" s="16" t="s">
        <v>27</v>
      </c>
      <c r="M117" s="16" t="s">
        <v>22</v>
      </c>
      <c r="N117" s="39" t="s">
        <v>418</v>
      </c>
      <c r="O117" s="18"/>
      <c r="R117" s="19"/>
    </row>
    <row r="118" spans="1:18" s="12" customFormat="1">
      <c r="A118" s="15" t="s">
        <v>80</v>
      </c>
      <c r="B118" s="75" t="s">
        <v>696</v>
      </c>
      <c r="C118" s="70" t="s">
        <v>17</v>
      </c>
      <c r="D118" s="39"/>
      <c r="E118" s="70">
        <v>5</v>
      </c>
      <c r="F118" s="70"/>
      <c r="G118" s="70">
        <v>5</v>
      </c>
      <c r="H118" s="40">
        <f>SUM(Tabla1323[[#This Row],[PRIMER TRIMESTRE]:[CUARTO TRIMESTRE]])</f>
        <v>10</v>
      </c>
      <c r="I118" s="72">
        <v>970</v>
      </c>
      <c r="J118" s="17">
        <f t="shared" si="1"/>
        <v>9700</v>
      </c>
      <c r="K118" s="17"/>
      <c r="L118" s="16" t="s">
        <v>27</v>
      </c>
      <c r="M118" s="16" t="s">
        <v>22</v>
      </c>
      <c r="N118" s="39" t="s">
        <v>418</v>
      </c>
      <c r="O118" s="18"/>
      <c r="R118" s="19"/>
    </row>
    <row r="119" spans="1:18" s="12" customFormat="1">
      <c r="A119" s="15" t="s">
        <v>80</v>
      </c>
      <c r="B119" s="75" t="s">
        <v>697</v>
      </c>
      <c r="C119" s="70" t="s">
        <v>17</v>
      </c>
      <c r="D119" s="39"/>
      <c r="E119" s="70">
        <v>10</v>
      </c>
      <c r="F119" s="70"/>
      <c r="G119" s="70">
        <v>10</v>
      </c>
      <c r="H119" s="40">
        <f>SUM(Tabla1323[[#This Row],[PRIMER TRIMESTRE]:[CUARTO TRIMESTRE]])</f>
        <v>20</v>
      </c>
      <c r="I119" s="72">
        <v>1870</v>
      </c>
      <c r="J119" s="17">
        <f t="shared" si="1"/>
        <v>37400</v>
      </c>
      <c r="K119" s="17"/>
      <c r="L119" s="16" t="s">
        <v>27</v>
      </c>
      <c r="M119" s="16" t="s">
        <v>22</v>
      </c>
      <c r="N119" s="39" t="s">
        <v>418</v>
      </c>
      <c r="O119" s="18"/>
      <c r="R119" s="19"/>
    </row>
    <row r="120" spans="1:18" s="12" customFormat="1">
      <c r="A120" s="15" t="s">
        <v>80</v>
      </c>
      <c r="B120" s="75" t="s">
        <v>698</v>
      </c>
      <c r="C120" s="39" t="s">
        <v>17</v>
      </c>
      <c r="D120" s="39"/>
      <c r="E120" s="39">
        <v>10</v>
      </c>
      <c r="F120" s="39"/>
      <c r="G120" s="39">
        <v>10</v>
      </c>
      <c r="H120" s="40">
        <f>SUM(Tabla1323[[#This Row],[PRIMER TRIMESTRE]:[CUARTO TRIMESTRE]])</f>
        <v>20</v>
      </c>
      <c r="I120" s="72">
        <v>2150</v>
      </c>
      <c r="J120" s="17">
        <f t="shared" si="1"/>
        <v>43000</v>
      </c>
      <c r="K120" s="17"/>
      <c r="L120" s="16" t="s">
        <v>27</v>
      </c>
      <c r="M120" s="16" t="s">
        <v>22</v>
      </c>
      <c r="N120" s="39" t="s">
        <v>418</v>
      </c>
      <c r="O120" s="18"/>
      <c r="R120" s="19"/>
    </row>
    <row r="121" spans="1:18" s="12" customFormat="1">
      <c r="A121" s="15" t="s">
        <v>80</v>
      </c>
      <c r="B121" s="75" t="s">
        <v>699</v>
      </c>
      <c r="C121" s="39" t="s">
        <v>17</v>
      </c>
      <c r="D121" s="39"/>
      <c r="E121" s="39">
        <v>10</v>
      </c>
      <c r="F121" s="39"/>
      <c r="G121" s="39">
        <v>10</v>
      </c>
      <c r="H121" s="40">
        <f>SUM(Tabla1323[[#This Row],[PRIMER TRIMESTRE]:[CUARTO TRIMESTRE]])</f>
        <v>20</v>
      </c>
      <c r="I121" s="72">
        <v>2860</v>
      </c>
      <c r="J121" s="17">
        <f t="shared" si="1"/>
        <v>57200</v>
      </c>
      <c r="K121" s="17"/>
      <c r="L121" s="16" t="s">
        <v>27</v>
      </c>
      <c r="M121" s="16" t="s">
        <v>22</v>
      </c>
      <c r="N121" s="39" t="s">
        <v>418</v>
      </c>
      <c r="O121" s="18"/>
      <c r="R121" s="19"/>
    </row>
    <row r="122" spans="1:18" s="12" customFormat="1">
      <c r="A122" s="15" t="s">
        <v>80</v>
      </c>
      <c r="B122" s="75" t="s">
        <v>577</v>
      </c>
      <c r="C122" s="39" t="s">
        <v>17</v>
      </c>
      <c r="D122" s="39"/>
      <c r="E122" s="39">
        <v>8</v>
      </c>
      <c r="F122" s="39"/>
      <c r="G122" s="39">
        <v>8</v>
      </c>
      <c r="H122" s="40">
        <f>SUM(Tabla1323[[#This Row],[PRIMER TRIMESTRE]:[CUARTO TRIMESTRE]])</f>
        <v>16</v>
      </c>
      <c r="I122" s="17">
        <v>1232.8699999999999</v>
      </c>
      <c r="J122" s="17">
        <f>+Tabla1323[[#This Row],[CANTIDAD TOTAL]]*Tabla1323[[#This Row],[PRECIO UNITARIO ESTIMADO]]</f>
        <v>19725.919999999998</v>
      </c>
      <c r="K122" s="17"/>
      <c r="L122" s="16" t="s">
        <v>27</v>
      </c>
      <c r="M122" s="16" t="s">
        <v>22</v>
      </c>
      <c r="N122" s="39" t="s">
        <v>418</v>
      </c>
      <c r="O122" s="20"/>
      <c r="R122" s="19" t="s">
        <v>123</v>
      </c>
    </row>
    <row r="123" spans="1:18" s="12" customFormat="1">
      <c r="A123" s="15" t="s">
        <v>80</v>
      </c>
      <c r="B123" s="75" t="s">
        <v>578</v>
      </c>
      <c r="C123" s="39" t="s">
        <v>17</v>
      </c>
      <c r="D123" s="39"/>
      <c r="E123" s="39">
        <v>200</v>
      </c>
      <c r="F123" s="39"/>
      <c r="G123" s="39">
        <v>200</v>
      </c>
      <c r="H123" s="40">
        <f>SUM(Tabla1323[[#This Row],[PRIMER TRIMESTRE]:[CUARTO TRIMESTRE]])</f>
        <v>400</v>
      </c>
      <c r="I123" s="17">
        <v>2186.6</v>
      </c>
      <c r="J123" s="17">
        <f>+Tabla1323[[#This Row],[CANTIDAD TOTAL]]*Tabla1323[[#This Row],[PRECIO UNITARIO ESTIMADO]]</f>
        <v>874640</v>
      </c>
      <c r="K123" s="17"/>
      <c r="L123" s="16" t="s">
        <v>27</v>
      </c>
      <c r="M123" s="16" t="s">
        <v>22</v>
      </c>
      <c r="N123" s="39" t="s">
        <v>418</v>
      </c>
      <c r="O123" s="20"/>
      <c r="R123" s="19"/>
    </row>
    <row r="124" spans="1:18" s="12" customFormat="1">
      <c r="A124" s="15" t="s">
        <v>80</v>
      </c>
      <c r="B124" s="75" t="s">
        <v>700</v>
      </c>
      <c r="C124" s="44" t="s">
        <v>17</v>
      </c>
      <c r="D124" s="39"/>
      <c r="E124" s="39">
        <v>200</v>
      </c>
      <c r="F124" s="39"/>
      <c r="G124" s="39">
        <v>200</v>
      </c>
      <c r="H124" s="40">
        <f>SUM(Tabla1323[[#This Row],[PRIMER TRIMESTRE]:[CUARTO TRIMESTRE]])</f>
        <v>400</v>
      </c>
      <c r="I124" s="17">
        <v>4484</v>
      </c>
      <c r="J124" s="17">
        <f>+Tabla1323[[#This Row],[CANTIDAD TOTAL]]*Tabla1323[[#This Row],[PRECIO UNITARIO ESTIMADO]]</f>
        <v>1793600</v>
      </c>
      <c r="K124" s="17"/>
      <c r="L124" s="16" t="s">
        <v>27</v>
      </c>
      <c r="M124" s="30" t="s">
        <v>22</v>
      </c>
      <c r="N124" s="39" t="s">
        <v>418</v>
      </c>
      <c r="O124" s="20"/>
      <c r="R124" s="19"/>
    </row>
    <row r="125" spans="1:18" s="12" customFormat="1">
      <c r="A125" s="15" t="s">
        <v>80</v>
      </c>
      <c r="B125" s="75" t="s">
        <v>701</v>
      </c>
      <c r="C125" s="44" t="s">
        <v>17</v>
      </c>
      <c r="D125" s="39"/>
      <c r="E125" s="39">
        <v>50</v>
      </c>
      <c r="F125" s="39"/>
      <c r="G125" s="39">
        <v>50</v>
      </c>
      <c r="H125" s="40">
        <f>SUM(Tabla1323[[#This Row],[PRIMER TRIMESTRE]:[CUARTO TRIMESTRE]])</f>
        <v>100</v>
      </c>
      <c r="I125" s="72">
        <f>+I124*1.25</f>
        <v>5605</v>
      </c>
      <c r="J125" s="17">
        <f>+H125*I125</f>
        <v>560500</v>
      </c>
      <c r="K125" s="17"/>
      <c r="L125" s="16" t="s">
        <v>27</v>
      </c>
      <c r="M125" s="16" t="s">
        <v>22</v>
      </c>
      <c r="N125" s="39" t="s">
        <v>418</v>
      </c>
      <c r="O125" s="18"/>
      <c r="R125" s="19"/>
    </row>
    <row r="126" spans="1:18" s="12" customFormat="1">
      <c r="A126" s="15" t="s">
        <v>80</v>
      </c>
      <c r="B126" s="75" t="s">
        <v>580</v>
      </c>
      <c r="C126" s="39" t="s">
        <v>17</v>
      </c>
      <c r="D126" s="39"/>
      <c r="E126" s="39">
        <v>50</v>
      </c>
      <c r="F126" s="39"/>
      <c r="G126" s="39">
        <v>50</v>
      </c>
      <c r="H126" s="40">
        <f>SUM(Tabla1323[[#This Row],[PRIMER TRIMESTRE]:[CUARTO TRIMESTRE]])</f>
        <v>100</v>
      </c>
      <c r="I126" s="17">
        <v>29</v>
      </c>
      <c r="J126" s="17">
        <f t="shared" ref="J126:J140" si="2">+H126*I126</f>
        <v>2900</v>
      </c>
      <c r="K126" s="17"/>
      <c r="L126" s="16" t="s">
        <v>27</v>
      </c>
      <c r="M126" s="16" t="s">
        <v>22</v>
      </c>
      <c r="N126" s="39" t="s">
        <v>418</v>
      </c>
      <c r="O126" s="20"/>
    </row>
    <row r="127" spans="1:18" s="12" customFormat="1">
      <c r="A127" s="15" t="s">
        <v>80</v>
      </c>
      <c r="B127" s="75" t="s">
        <v>579</v>
      </c>
      <c r="C127" s="39" t="s">
        <v>17</v>
      </c>
      <c r="D127" s="39"/>
      <c r="E127" s="39">
        <v>90</v>
      </c>
      <c r="F127" s="39"/>
      <c r="G127" s="39">
        <v>90</v>
      </c>
      <c r="H127" s="40">
        <f>SUM(Tabla1323[[#This Row],[PRIMER TRIMESTRE]:[CUARTO TRIMESTRE]])</f>
        <v>180</v>
      </c>
      <c r="I127" s="17">
        <v>31.16</v>
      </c>
      <c r="J127" s="17">
        <f t="shared" si="2"/>
        <v>5608.8</v>
      </c>
      <c r="K127" s="17"/>
      <c r="L127" s="16" t="s">
        <v>27</v>
      </c>
      <c r="M127" s="16" t="s">
        <v>22</v>
      </c>
      <c r="N127" s="39" t="s">
        <v>418</v>
      </c>
      <c r="O127" s="18"/>
    </row>
    <row r="128" spans="1:18" s="12" customFormat="1">
      <c r="A128" s="15" t="s">
        <v>80</v>
      </c>
      <c r="B128" s="75" t="s">
        <v>581</v>
      </c>
      <c r="C128" s="39" t="s">
        <v>17</v>
      </c>
      <c r="D128" s="39"/>
      <c r="E128" s="39">
        <v>30</v>
      </c>
      <c r="F128" s="39"/>
      <c r="G128" s="39">
        <v>30</v>
      </c>
      <c r="H128" s="40">
        <f>SUM(Tabla1323[[#This Row],[PRIMER TRIMESTRE]:[CUARTO TRIMESTRE]])</f>
        <v>60</v>
      </c>
      <c r="I128" s="17">
        <v>54.52</v>
      </c>
      <c r="J128" s="17">
        <f t="shared" si="2"/>
        <v>3271.2000000000003</v>
      </c>
      <c r="K128" s="17"/>
      <c r="L128" s="16" t="s">
        <v>27</v>
      </c>
      <c r="M128" s="16" t="s">
        <v>22</v>
      </c>
      <c r="N128" s="39" t="s">
        <v>418</v>
      </c>
      <c r="O128" s="20"/>
    </row>
    <row r="129" spans="1:18" s="12" customFormat="1">
      <c r="A129" s="15" t="s">
        <v>80</v>
      </c>
      <c r="B129" s="75" t="s">
        <v>582</v>
      </c>
      <c r="C129" s="39" t="s">
        <v>17</v>
      </c>
      <c r="D129" s="39"/>
      <c r="E129" s="39">
        <v>20</v>
      </c>
      <c r="F129" s="39"/>
      <c r="G129" s="39">
        <v>20</v>
      </c>
      <c r="H129" s="40">
        <f>SUM(Tabla1323[[#This Row],[PRIMER TRIMESTRE]:[CUARTO TRIMESTRE]])</f>
        <v>40</v>
      </c>
      <c r="I129" s="17">
        <v>55.84</v>
      </c>
      <c r="J129" s="17">
        <f t="shared" si="2"/>
        <v>2233.6000000000004</v>
      </c>
      <c r="K129" s="17"/>
      <c r="L129" s="16" t="s">
        <v>27</v>
      </c>
      <c r="M129" s="16" t="s">
        <v>22</v>
      </c>
      <c r="N129" s="39" t="s">
        <v>418</v>
      </c>
      <c r="O129" s="18"/>
    </row>
    <row r="130" spans="1:18" s="12" customFormat="1">
      <c r="A130" s="15" t="s">
        <v>80</v>
      </c>
      <c r="B130" s="75" t="s">
        <v>583</v>
      </c>
      <c r="C130" s="39" t="s">
        <v>17</v>
      </c>
      <c r="D130" s="39"/>
      <c r="E130" s="39">
        <v>20</v>
      </c>
      <c r="F130" s="39"/>
      <c r="G130" s="39">
        <v>20</v>
      </c>
      <c r="H130" s="40">
        <f>SUM(Tabla1323[[#This Row],[PRIMER TRIMESTRE]:[CUARTO TRIMESTRE]])</f>
        <v>40</v>
      </c>
      <c r="I130" s="17">
        <v>67.28</v>
      </c>
      <c r="J130" s="17">
        <f t="shared" si="2"/>
        <v>2691.2</v>
      </c>
      <c r="K130" s="17"/>
      <c r="L130" s="16" t="s">
        <v>27</v>
      </c>
      <c r="M130" s="16" t="s">
        <v>22</v>
      </c>
      <c r="N130" s="39" t="s">
        <v>418</v>
      </c>
      <c r="O130" s="20"/>
    </row>
    <row r="131" spans="1:18" s="12" customFormat="1">
      <c r="A131" s="15" t="s">
        <v>80</v>
      </c>
      <c r="B131" s="75" t="s">
        <v>584</v>
      </c>
      <c r="C131" s="39" t="s">
        <v>17</v>
      </c>
      <c r="D131" s="39"/>
      <c r="E131" s="39">
        <v>10</v>
      </c>
      <c r="F131" s="39"/>
      <c r="G131" s="39">
        <v>10</v>
      </c>
      <c r="H131" s="40">
        <f>SUM(Tabla1323[[#This Row],[PRIMER TRIMESTRE]:[CUARTO TRIMESTRE]])</f>
        <v>20</v>
      </c>
      <c r="I131" s="17">
        <v>68.28</v>
      </c>
      <c r="J131" s="17">
        <f t="shared" si="2"/>
        <v>1365.6</v>
      </c>
      <c r="K131" s="17"/>
      <c r="L131" s="16" t="s">
        <v>27</v>
      </c>
      <c r="M131" s="16" t="s">
        <v>22</v>
      </c>
      <c r="N131" s="39" t="s">
        <v>418</v>
      </c>
      <c r="O131" s="18"/>
    </row>
    <row r="132" spans="1:18" s="12" customFormat="1">
      <c r="A132" s="15" t="s">
        <v>80</v>
      </c>
      <c r="B132" s="75" t="s">
        <v>585</v>
      </c>
      <c r="C132" s="39" t="s">
        <v>17</v>
      </c>
      <c r="D132" s="39"/>
      <c r="E132" s="39">
        <v>20</v>
      </c>
      <c r="F132" s="39"/>
      <c r="G132" s="39">
        <v>20</v>
      </c>
      <c r="H132" s="40">
        <f>SUM(Tabla1323[[#This Row],[PRIMER TRIMESTRE]:[CUARTO TRIMESTRE]])</f>
        <v>40</v>
      </c>
      <c r="I132" s="17">
        <v>80</v>
      </c>
      <c r="J132" s="17">
        <f t="shared" si="2"/>
        <v>3200</v>
      </c>
      <c r="K132" s="17"/>
      <c r="L132" s="16" t="s">
        <v>27</v>
      </c>
      <c r="M132" s="16" t="s">
        <v>22</v>
      </c>
      <c r="N132" s="39" t="s">
        <v>418</v>
      </c>
      <c r="O132" s="20"/>
    </row>
    <row r="133" spans="1:18" s="12" customFormat="1">
      <c r="A133" s="15" t="s">
        <v>80</v>
      </c>
      <c r="B133" s="75" t="s">
        <v>586</v>
      </c>
      <c r="C133" s="39" t="s">
        <v>17</v>
      </c>
      <c r="D133" s="39"/>
      <c r="E133" s="39">
        <v>20</v>
      </c>
      <c r="F133" s="39"/>
      <c r="G133" s="39">
        <v>20</v>
      </c>
      <c r="H133" s="40">
        <f>SUM(Tabla1323[[#This Row],[PRIMER TRIMESTRE]:[CUARTO TRIMESTRE]])</f>
        <v>40</v>
      </c>
      <c r="I133" s="72">
        <v>85</v>
      </c>
      <c r="J133" s="17">
        <f t="shared" si="2"/>
        <v>3400</v>
      </c>
      <c r="K133" s="17"/>
      <c r="L133" s="16" t="s">
        <v>27</v>
      </c>
      <c r="M133" s="16" t="s">
        <v>22</v>
      </c>
      <c r="N133" s="39" t="s">
        <v>418</v>
      </c>
      <c r="O133" s="18"/>
    </row>
    <row r="134" spans="1:18" s="12" customFormat="1">
      <c r="A134" s="15" t="s">
        <v>80</v>
      </c>
      <c r="B134" s="75" t="s">
        <v>587</v>
      </c>
      <c r="C134" s="39" t="s">
        <v>17</v>
      </c>
      <c r="D134" s="39"/>
      <c r="E134" s="39">
        <v>10</v>
      </c>
      <c r="F134" s="39"/>
      <c r="G134" s="39">
        <v>10</v>
      </c>
      <c r="H134" s="40">
        <f>SUM(Tabla1323[[#This Row],[PRIMER TRIMESTRE]:[CUARTO TRIMESTRE]])</f>
        <v>20</v>
      </c>
      <c r="I134" s="72">
        <v>1044.3</v>
      </c>
      <c r="J134" s="17">
        <f t="shared" si="2"/>
        <v>20886</v>
      </c>
      <c r="K134" s="17"/>
      <c r="L134" s="16" t="s">
        <v>27</v>
      </c>
      <c r="M134" s="16" t="s">
        <v>22</v>
      </c>
      <c r="N134" s="39" t="s">
        <v>418</v>
      </c>
      <c r="O134" s="18"/>
    </row>
    <row r="135" spans="1:18" s="12" customFormat="1">
      <c r="A135" s="15" t="s">
        <v>80</v>
      </c>
      <c r="B135" s="75" t="s">
        <v>588</v>
      </c>
      <c r="C135" s="39" t="s">
        <v>17</v>
      </c>
      <c r="D135" s="39"/>
      <c r="E135" s="39">
        <v>1250</v>
      </c>
      <c r="F135" s="39"/>
      <c r="G135" s="39">
        <v>1250</v>
      </c>
      <c r="H135" s="40">
        <f>SUM(Tabla1323[[#This Row],[PRIMER TRIMESTRE]:[CUARTO TRIMESTRE]])</f>
        <v>2500</v>
      </c>
      <c r="I135" s="17">
        <v>1000</v>
      </c>
      <c r="J135" s="17">
        <f t="shared" si="2"/>
        <v>2500000</v>
      </c>
      <c r="K135" s="17"/>
      <c r="L135" s="16" t="s">
        <v>27</v>
      </c>
      <c r="M135" s="16" t="s">
        <v>22</v>
      </c>
      <c r="N135" s="39" t="s">
        <v>418</v>
      </c>
      <c r="O135" s="20"/>
    </row>
    <row r="136" spans="1:18" s="12" customFormat="1">
      <c r="A136" s="15" t="s">
        <v>80</v>
      </c>
      <c r="B136" s="75" t="s">
        <v>589</v>
      </c>
      <c r="C136" s="39" t="s">
        <v>17</v>
      </c>
      <c r="D136" s="39"/>
      <c r="E136" s="39">
        <v>1300</v>
      </c>
      <c r="F136" s="39"/>
      <c r="G136" s="39">
        <v>1300</v>
      </c>
      <c r="H136" s="40">
        <f>SUM(Tabla1323[[#This Row],[PRIMER TRIMESTRE]:[CUARTO TRIMESTRE]])</f>
        <v>2600</v>
      </c>
      <c r="I136" s="72">
        <v>1144.5999999999999</v>
      </c>
      <c r="J136" s="17">
        <f t="shared" si="2"/>
        <v>2975959.9999999995</v>
      </c>
      <c r="K136" s="17"/>
      <c r="L136" s="16" t="s">
        <v>27</v>
      </c>
      <c r="M136" s="16" t="s">
        <v>22</v>
      </c>
      <c r="N136" s="39" t="s">
        <v>418</v>
      </c>
      <c r="O136" s="18"/>
    </row>
    <row r="137" spans="1:18" s="12" customFormat="1">
      <c r="A137" s="15" t="s">
        <v>80</v>
      </c>
      <c r="B137" s="75" t="s">
        <v>590</v>
      </c>
      <c r="C137" s="39" t="s">
        <v>17</v>
      </c>
      <c r="D137" s="39"/>
      <c r="E137" s="39">
        <v>50</v>
      </c>
      <c r="F137" s="39"/>
      <c r="G137" s="39">
        <v>50</v>
      </c>
      <c r="H137" s="40">
        <f>SUM(Tabla1323[[#This Row],[PRIMER TRIMESTRE]:[CUARTO TRIMESTRE]])</f>
        <v>100</v>
      </c>
      <c r="I137" s="72">
        <v>1534</v>
      </c>
      <c r="J137" s="17">
        <f t="shared" si="2"/>
        <v>153400</v>
      </c>
      <c r="K137" s="17"/>
      <c r="L137" s="16" t="s">
        <v>27</v>
      </c>
      <c r="M137" s="16" t="s">
        <v>22</v>
      </c>
      <c r="N137" s="39" t="s">
        <v>418</v>
      </c>
      <c r="O137" s="18"/>
    </row>
    <row r="138" spans="1:18" s="12" customFormat="1">
      <c r="A138" s="15" t="s">
        <v>80</v>
      </c>
      <c r="B138" s="75" t="s">
        <v>594</v>
      </c>
      <c r="C138" s="39" t="s">
        <v>17</v>
      </c>
      <c r="D138" s="39"/>
      <c r="E138" s="39">
        <v>50</v>
      </c>
      <c r="F138" s="39"/>
      <c r="G138" s="39">
        <v>50</v>
      </c>
      <c r="H138" s="40">
        <f>SUM(Tabla1323[[#This Row],[PRIMER TRIMESTRE]:[CUARTO TRIMESTRE]])</f>
        <v>100</v>
      </c>
      <c r="I138" s="17">
        <v>6.37</v>
      </c>
      <c r="J138" s="17">
        <f t="shared" si="2"/>
        <v>637</v>
      </c>
      <c r="K138" s="17"/>
      <c r="L138" s="16" t="s">
        <v>27</v>
      </c>
      <c r="M138" s="16" t="s">
        <v>22</v>
      </c>
      <c r="N138" s="39" t="s">
        <v>418</v>
      </c>
      <c r="O138" s="20"/>
    </row>
    <row r="139" spans="1:18" s="12" customFormat="1" ht="18.75" customHeight="1">
      <c r="A139" s="15" t="s">
        <v>80</v>
      </c>
      <c r="B139" s="75" t="s">
        <v>595</v>
      </c>
      <c r="C139" s="39" t="s">
        <v>17</v>
      </c>
      <c r="D139" s="39"/>
      <c r="E139" s="39">
        <v>50</v>
      </c>
      <c r="F139" s="39"/>
      <c r="G139" s="39">
        <v>50</v>
      </c>
      <c r="H139" s="40">
        <f>SUM(Tabla1323[[#This Row],[PRIMER TRIMESTRE]:[CUARTO TRIMESTRE]])</f>
        <v>100</v>
      </c>
      <c r="I139" s="17">
        <v>11.82</v>
      </c>
      <c r="J139" s="17">
        <f t="shared" si="2"/>
        <v>1182</v>
      </c>
      <c r="K139" s="17"/>
      <c r="L139" s="16" t="s">
        <v>27</v>
      </c>
      <c r="M139" s="16" t="s">
        <v>22</v>
      </c>
      <c r="N139" s="39" t="s">
        <v>418</v>
      </c>
      <c r="O139" s="20"/>
    </row>
    <row r="140" spans="1:18" s="12" customFormat="1">
      <c r="A140" s="15" t="s">
        <v>80</v>
      </c>
      <c r="B140" s="75" t="s">
        <v>596</v>
      </c>
      <c r="C140" s="39" t="s">
        <v>17</v>
      </c>
      <c r="D140" s="39"/>
      <c r="E140" s="39">
        <v>50</v>
      </c>
      <c r="F140" s="39"/>
      <c r="G140" s="39">
        <v>50</v>
      </c>
      <c r="H140" s="40">
        <f>SUM(Tabla1323[[#This Row],[PRIMER TRIMESTRE]:[CUARTO TRIMESTRE]])</f>
        <v>100</v>
      </c>
      <c r="I140" s="17">
        <v>15.46</v>
      </c>
      <c r="J140" s="17">
        <f t="shared" si="2"/>
        <v>1546</v>
      </c>
      <c r="K140" s="17"/>
      <c r="L140" s="16" t="s">
        <v>27</v>
      </c>
      <c r="M140" s="16" t="s">
        <v>22</v>
      </c>
      <c r="N140" s="39" t="s">
        <v>418</v>
      </c>
      <c r="O140" s="20"/>
    </row>
    <row r="141" spans="1:18" s="12" customFormat="1">
      <c r="A141" s="15" t="s">
        <v>80</v>
      </c>
      <c r="B141" s="75" t="s">
        <v>592</v>
      </c>
      <c r="C141" s="39" t="s">
        <v>17</v>
      </c>
      <c r="D141" s="39"/>
      <c r="E141" s="39">
        <v>20</v>
      </c>
      <c r="F141" s="39"/>
      <c r="G141" s="39">
        <v>20</v>
      </c>
      <c r="H141" s="40">
        <f>SUM(Tabla1323[[#This Row],[PRIMER TRIMESTRE]:[CUARTO TRIMESTRE]])</f>
        <v>40</v>
      </c>
      <c r="I141" s="17">
        <v>103.84</v>
      </c>
      <c r="J141" s="17">
        <f>+Tabla1323[[#This Row],[CANTIDAD TOTAL]]*Tabla1323[[#This Row],[PRECIO UNITARIO ESTIMADO]]</f>
        <v>4153.6000000000004</v>
      </c>
      <c r="K141" s="17"/>
      <c r="L141" s="16" t="s">
        <v>27</v>
      </c>
      <c r="M141" s="30" t="s">
        <v>22</v>
      </c>
      <c r="N141" s="39" t="s">
        <v>418</v>
      </c>
      <c r="O141" s="20"/>
      <c r="R141" s="19"/>
    </row>
    <row r="142" spans="1:18" s="12" customFormat="1">
      <c r="A142" s="15" t="s">
        <v>80</v>
      </c>
      <c r="B142" s="75" t="s">
        <v>593</v>
      </c>
      <c r="C142" s="39" t="s">
        <v>17</v>
      </c>
      <c r="D142" s="39"/>
      <c r="E142" s="39">
        <v>20</v>
      </c>
      <c r="F142" s="39"/>
      <c r="G142" s="39">
        <v>20</v>
      </c>
      <c r="H142" s="40">
        <f>SUM(Tabla1323[[#This Row],[PRIMER TRIMESTRE]:[CUARTO TRIMESTRE]])</f>
        <v>40</v>
      </c>
      <c r="I142" s="17">
        <v>22.42</v>
      </c>
      <c r="J142" s="17">
        <f>+Tabla1323[[#This Row],[CANTIDAD TOTAL]]*Tabla1323[[#This Row],[PRECIO UNITARIO ESTIMADO]]</f>
        <v>896.80000000000007</v>
      </c>
      <c r="K142" s="17"/>
      <c r="L142" s="16" t="s">
        <v>27</v>
      </c>
      <c r="M142" s="30" t="s">
        <v>22</v>
      </c>
      <c r="N142" s="39" t="s">
        <v>418</v>
      </c>
      <c r="O142" s="20"/>
      <c r="R142" s="19"/>
    </row>
    <row r="143" spans="1:18" s="12" customFormat="1">
      <c r="A143" s="15" t="s">
        <v>80</v>
      </c>
      <c r="B143" s="75" t="s">
        <v>591</v>
      </c>
      <c r="C143" s="39" t="s">
        <v>17</v>
      </c>
      <c r="D143" s="39"/>
      <c r="E143" s="39">
        <v>20</v>
      </c>
      <c r="F143" s="39"/>
      <c r="G143" s="39">
        <v>20</v>
      </c>
      <c r="H143" s="40">
        <f>SUM(Tabla1323[[#This Row],[PRIMER TRIMESTRE]:[CUARTO TRIMESTRE]])</f>
        <v>40</v>
      </c>
      <c r="I143" s="17">
        <v>489.7</v>
      </c>
      <c r="J143" s="17">
        <f>+Tabla1323[[#This Row],[CANTIDAD TOTAL]]*Tabla1323[[#This Row],[PRECIO UNITARIO ESTIMADO]]</f>
        <v>19588</v>
      </c>
      <c r="K143" s="17"/>
      <c r="L143" s="16" t="s">
        <v>27</v>
      </c>
      <c r="M143" s="30" t="s">
        <v>22</v>
      </c>
      <c r="N143" s="39" t="s">
        <v>418</v>
      </c>
      <c r="O143" s="20"/>
      <c r="R143" s="19"/>
    </row>
    <row r="144" spans="1:18" s="12" customFormat="1">
      <c r="A144" s="15" t="s">
        <v>80</v>
      </c>
      <c r="B144" s="75" t="s">
        <v>616</v>
      </c>
      <c r="C144" s="44" t="s">
        <v>17</v>
      </c>
      <c r="D144" s="39"/>
      <c r="E144" s="39">
        <v>20</v>
      </c>
      <c r="F144" s="39"/>
      <c r="G144" s="39">
        <v>20</v>
      </c>
      <c r="H144" s="40">
        <f>SUM(Tabla1323[[#This Row],[PRIMER TRIMESTRE]:[CUARTO TRIMESTRE]])</f>
        <v>40</v>
      </c>
      <c r="I144" s="17">
        <v>767</v>
      </c>
      <c r="J144" s="17">
        <f>+Tabla1323[[#This Row],[CANTIDAD TOTAL]]*Tabla1323[[#This Row],[PRECIO UNITARIO ESTIMADO]]</f>
        <v>30680</v>
      </c>
      <c r="K144" s="17"/>
      <c r="L144" s="16" t="s">
        <v>27</v>
      </c>
      <c r="M144" s="30" t="s">
        <v>22</v>
      </c>
      <c r="N144" s="39" t="s">
        <v>418</v>
      </c>
      <c r="O144" s="20"/>
      <c r="R144" s="19"/>
    </row>
    <row r="145" spans="1:18" s="12" customFormat="1">
      <c r="A145" s="15" t="s">
        <v>80</v>
      </c>
      <c r="B145" s="75" t="s">
        <v>617</v>
      </c>
      <c r="C145" s="44" t="s">
        <v>17</v>
      </c>
      <c r="D145" s="39"/>
      <c r="E145" s="39">
        <v>20</v>
      </c>
      <c r="F145" s="39"/>
      <c r="G145" s="39">
        <v>20</v>
      </c>
      <c r="H145" s="40">
        <f>SUM(Tabla1323[[#This Row],[PRIMER TRIMESTRE]:[CUARTO TRIMESTRE]])</f>
        <v>40</v>
      </c>
      <c r="I145" s="17">
        <v>1003</v>
      </c>
      <c r="J145" s="17">
        <f t="shared" ref="J145:J161" si="3">+H145*I145</f>
        <v>40120</v>
      </c>
      <c r="K145" s="17"/>
      <c r="L145" s="16" t="s">
        <v>27</v>
      </c>
      <c r="M145" s="16" t="s">
        <v>22</v>
      </c>
      <c r="N145" s="39" t="s">
        <v>418</v>
      </c>
      <c r="O145" s="18"/>
      <c r="R145" s="19"/>
    </row>
    <row r="146" spans="1:18" s="12" customFormat="1">
      <c r="A146" s="15" t="s">
        <v>80</v>
      </c>
      <c r="B146" s="75" t="s">
        <v>618</v>
      </c>
      <c r="C146" s="44" t="s">
        <v>17</v>
      </c>
      <c r="D146" s="39"/>
      <c r="E146" s="39">
        <v>5</v>
      </c>
      <c r="F146" s="39"/>
      <c r="G146" s="39">
        <v>5</v>
      </c>
      <c r="H146" s="40">
        <f>SUM(Tabla1323[[#This Row],[PRIMER TRIMESTRE]:[CUARTO TRIMESTRE]])</f>
        <v>10</v>
      </c>
      <c r="I146" s="17">
        <v>1357</v>
      </c>
      <c r="J146" s="17">
        <f t="shared" si="3"/>
        <v>13570</v>
      </c>
      <c r="K146" s="17"/>
      <c r="L146" s="16" t="s">
        <v>27</v>
      </c>
      <c r="M146" s="16" t="s">
        <v>22</v>
      </c>
      <c r="N146" s="39" t="s">
        <v>418</v>
      </c>
      <c r="O146" s="18"/>
      <c r="R146" s="19"/>
    </row>
    <row r="147" spans="1:18" s="12" customFormat="1">
      <c r="A147" s="15" t="s">
        <v>80</v>
      </c>
      <c r="B147" s="75" t="s">
        <v>619</v>
      </c>
      <c r="C147" s="44" t="s">
        <v>17</v>
      </c>
      <c r="D147" s="39"/>
      <c r="E147" s="39">
        <v>20</v>
      </c>
      <c r="F147" s="39"/>
      <c r="G147" s="39">
        <v>20</v>
      </c>
      <c r="H147" s="40">
        <f>SUM(Tabla1323[[#This Row],[PRIMER TRIMESTRE]:[CUARTO TRIMESTRE]])</f>
        <v>40</v>
      </c>
      <c r="I147" s="17">
        <v>2950</v>
      </c>
      <c r="J147" s="17">
        <f t="shared" si="3"/>
        <v>118000</v>
      </c>
      <c r="K147" s="17"/>
      <c r="L147" s="16" t="s">
        <v>27</v>
      </c>
      <c r="M147" s="16" t="s">
        <v>22</v>
      </c>
      <c r="N147" s="39" t="s">
        <v>418</v>
      </c>
      <c r="O147" s="18"/>
      <c r="R147" s="19"/>
    </row>
    <row r="148" spans="1:18" s="12" customFormat="1">
      <c r="A148" s="15" t="s">
        <v>80</v>
      </c>
      <c r="B148" s="75" t="s">
        <v>620</v>
      </c>
      <c r="C148" s="44" t="s">
        <v>17</v>
      </c>
      <c r="D148" s="39"/>
      <c r="E148" s="39">
        <v>20</v>
      </c>
      <c r="F148" s="39"/>
      <c r="G148" s="39">
        <v>20</v>
      </c>
      <c r="H148" s="40">
        <f>SUM(Tabla1323[[#This Row],[PRIMER TRIMESTRE]:[CUARTO TRIMESTRE]])</f>
        <v>40</v>
      </c>
      <c r="I148" s="17">
        <v>4484</v>
      </c>
      <c r="J148" s="17">
        <f t="shared" si="3"/>
        <v>179360</v>
      </c>
      <c r="K148" s="17"/>
      <c r="L148" s="16" t="s">
        <v>27</v>
      </c>
      <c r="M148" s="16" t="s">
        <v>22</v>
      </c>
      <c r="N148" s="39" t="s">
        <v>418</v>
      </c>
      <c r="O148" s="18"/>
      <c r="R148" s="19"/>
    </row>
    <row r="149" spans="1:18" s="12" customFormat="1">
      <c r="A149" s="15" t="s">
        <v>80</v>
      </c>
      <c r="B149" s="75" t="s">
        <v>621</v>
      </c>
      <c r="C149" s="44" t="s">
        <v>17</v>
      </c>
      <c r="D149" s="39"/>
      <c r="E149" s="39">
        <v>5</v>
      </c>
      <c r="F149" s="39"/>
      <c r="G149" s="39">
        <v>5</v>
      </c>
      <c r="H149" s="40">
        <f>SUM(Tabla1323[[#This Row],[PRIMER TRIMESTRE]:[CUARTO TRIMESTRE]])</f>
        <v>10</v>
      </c>
      <c r="I149" s="17">
        <v>6372</v>
      </c>
      <c r="J149" s="17">
        <f t="shared" si="3"/>
        <v>63720</v>
      </c>
      <c r="K149" s="17"/>
      <c r="L149" s="16" t="s">
        <v>27</v>
      </c>
      <c r="M149" s="16" t="s">
        <v>22</v>
      </c>
      <c r="N149" s="39" t="s">
        <v>418</v>
      </c>
      <c r="O149" s="18"/>
      <c r="R149" s="19"/>
    </row>
    <row r="150" spans="1:18" s="12" customFormat="1">
      <c r="A150" s="15" t="s">
        <v>80</v>
      </c>
      <c r="B150" s="75" t="s">
        <v>622</v>
      </c>
      <c r="C150" s="44" t="s">
        <v>17</v>
      </c>
      <c r="D150" s="39"/>
      <c r="E150" s="39">
        <v>20</v>
      </c>
      <c r="F150" s="39"/>
      <c r="G150" s="39">
        <v>20</v>
      </c>
      <c r="H150" s="40">
        <f>SUM(Tabla1323[[#This Row],[PRIMER TRIMESTRE]:[CUARTO TRIMESTRE]])</f>
        <v>40</v>
      </c>
      <c r="I150" s="17">
        <v>11092</v>
      </c>
      <c r="J150" s="17">
        <f t="shared" si="3"/>
        <v>443680</v>
      </c>
      <c r="K150" s="17"/>
      <c r="L150" s="16" t="s">
        <v>27</v>
      </c>
      <c r="M150" s="16" t="s">
        <v>22</v>
      </c>
      <c r="N150" s="39" t="s">
        <v>418</v>
      </c>
      <c r="O150" s="18"/>
      <c r="R150" s="19"/>
    </row>
    <row r="151" spans="1:18" s="12" customFormat="1">
      <c r="A151" s="15" t="s">
        <v>80</v>
      </c>
      <c r="B151" s="75" t="s">
        <v>623</v>
      </c>
      <c r="C151" s="44" t="s">
        <v>17</v>
      </c>
      <c r="D151" s="39"/>
      <c r="E151" s="39">
        <v>20</v>
      </c>
      <c r="F151" s="39"/>
      <c r="G151" s="39">
        <v>20</v>
      </c>
      <c r="H151" s="40">
        <f>SUM(Tabla1323[[#This Row],[PRIMER TRIMESTRE]:[CUARTO TRIMESTRE]])</f>
        <v>40</v>
      </c>
      <c r="I151" s="17">
        <v>13924</v>
      </c>
      <c r="J151" s="17">
        <f t="shared" si="3"/>
        <v>556960</v>
      </c>
      <c r="K151" s="17"/>
      <c r="L151" s="16" t="s">
        <v>27</v>
      </c>
      <c r="M151" s="16" t="s">
        <v>22</v>
      </c>
      <c r="N151" s="39" t="s">
        <v>418</v>
      </c>
      <c r="O151" s="18"/>
      <c r="R151" s="19"/>
    </row>
    <row r="152" spans="1:18" s="12" customFormat="1">
      <c r="A152" s="15" t="s">
        <v>80</v>
      </c>
      <c r="B152" s="75" t="s">
        <v>624</v>
      </c>
      <c r="C152" s="44" t="s">
        <v>17</v>
      </c>
      <c r="D152" s="39"/>
      <c r="E152" s="39">
        <v>20</v>
      </c>
      <c r="F152" s="39"/>
      <c r="G152" s="39">
        <v>20</v>
      </c>
      <c r="H152" s="40">
        <f>SUM(Tabla1323[[#This Row],[PRIMER TRIMESTRE]:[CUARTO TRIMESTRE]])</f>
        <v>40</v>
      </c>
      <c r="I152" s="17">
        <v>20886</v>
      </c>
      <c r="J152" s="17">
        <f t="shared" si="3"/>
        <v>835440</v>
      </c>
      <c r="K152" s="17"/>
      <c r="L152" s="16" t="s">
        <v>27</v>
      </c>
      <c r="M152" s="16" t="s">
        <v>22</v>
      </c>
      <c r="N152" s="39" t="s">
        <v>418</v>
      </c>
      <c r="O152" s="18"/>
      <c r="R152" s="19"/>
    </row>
    <row r="153" spans="1:18" s="12" customFormat="1">
      <c r="A153" s="15" t="s">
        <v>80</v>
      </c>
      <c r="B153" s="75" t="s">
        <v>625</v>
      </c>
      <c r="C153" s="44" t="s">
        <v>17</v>
      </c>
      <c r="D153" s="39"/>
      <c r="E153" s="39">
        <v>15</v>
      </c>
      <c r="F153" s="39"/>
      <c r="G153" s="39">
        <v>15</v>
      </c>
      <c r="H153" s="40">
        <f>SUM(Tabla1323[[#This Row],[PRIMER TRIMESTRE]:[CUARTO TRIMESTRE]])</f>
        <v>30</v>
      </c>
      <c r="I153" s="17">
        <v>1121</v>
      </c>
      <c r="J153" s="17">
        <f t="shared" si="3"/>
        <v>33630</v>
      </c>
      <c r="K153" s="17"/>
      <c r="L153" s="16" t="s">
        <v>27</v>
      </c>
      <c r="M153" s="16" t="s">
        <v>22</v>
      </c>
      <c r="N153" s="39" t="s">
        <v>418</v>
      </c>
      <c r="O153" s="18"/>
      <c r="R153" s="19"/>
    </row>
    <row r="154" spans="1:18" s="12" customFormat="1">
      <c r="A154" s="15" t="s">
        <v>80</v>
      </c>
      <c r="B154" s="75" t="s">
        <v>626</v>
      </c>
      <c r="C154" s="44" t="s">
        <v>17</v>
      </c>
      <c r="D154" s="39"/>
      <c r="E154" s="39">
        <v>10</v>
      </c>
      <c r="F154" s="39"/>
      <c r="G154" s="39">
        <v>10</v>
      </c>
      <c r="H154" s="40">
        <f>SUM(Tabla1323[[#This Row],[PRIMER TRIMESTRE]:[CUARTO TRIMESTRE]])</f>
        <v>20</v>
      </c>
      <c r="I154" s="17">
        <v>1239</v>
      </c>
      <c r="J154" s="17">
        <f t="shared" si="3"/>
        <v>24780</v>
      </c>
      <c r="K154" s="17"/>
      <c r="L154" s="16" t="s">
        <v>27</v>
      </c>
      <c r="M154" s="16" t="s">
        <v>22</v>
      </c>
      <c r="N154" s="39" t="s">
        <v>418</v>
      </c>
      <c r="O154" s="18"/>
      <c r="R154" s="19"/>
    </row>
    <row r="155" spans="1:18" s="12" customFormat="1">
      <c r="A155" s="15" t="s">
        <v>80</v>
      </c>
      <c r="B155" s="75" t="s">
        <v>627</v>
      </c>
      <c r="C155" s="44" t="s">
        <v>17</v>
      </c>
      <c r="D155" s="39"/>
      <c r="E155" s="39">
        <v>5</v>
      </c>
      <c r="F155" s="39"/>
      <c r="G155" s="39">
        <v>5</v>
      </c>
      <c r="H155" s="40">
        <f>SUM(Tabla1323[[#This Row],[PRIMER TRIMESTRE]:[CUARTO TRIMESTRE]])</f>
        <v>10</v>
      </c>
      <c r="I155" s="17">
        <v>1593</v>
      </c>
      <c r="J155" s="17">
        <f t="shared" si="3"/>
        <v>15930</v>
      </c>
      <c r="K155" s="17"/>
      <c r="L155" s="16" t="s">
        <v>27</v>
      </c>
      <c r="M155" s="16" t="s">
        <v>22</v>
      </c>
      <c r="N155" s="39" t="s">
        <v>418</v>
      </c>
      <c r="O155" s="18"/>
      <c r="R155" s="19"/>
    </row>
    <row r="156" spans="1:18" s="12" customFormat="1">
      <c r="A156" s="15" t="s">
        <v>80</v>
      </c>
      <c r="B156" s="75" t="s">
        <v>628</v>
      </c>
      <c r="C156" s="44" t="s">
        <v>17</v>
      </c>
      <c r="D156" s="39"/>
      <c r="E156" s="39">
        <v>18</v>
      </c>
      <c r="F156" s="39"/>
      <c r="G156" s="39">
        <v>18</v>
      </c>
      <c r="H156" s="40">
        <f>SUM(Tabla1323[[#This Row],[PRIMER TRIMESTRE]:[CUARTO TRIMESTRE]])</f>
        <v>36</v>
      </c>
      <c r="I156" s="17">
        <v>3717</v>
      </c>
      <c r="J156" s="17">
        <f t="shared" si="3"/>
        <v>133812</v>
      </c>
      <c r="K156" s="17"/>
      <c r="L156" s="16" t="s">
        <v>27</v>
      </c>
      <c r="M156" s="16" t="s">
        <v>22</v>
      </c>
      <c r="N156" s="39" t="s">
        <v>418</v>
      </c>
      <c r="O156" s="18"/>
      <c r="R156" s="19"/>
    </row>
    <row r="157" spans="1:18" s="12" customFormat="1">
      <c r="A157" s="15" t="s">
        <v>80</v>
      </c>
      <c r="B157" s="75" t="s">
        <v>629</v>
      </c>
      <c r="C157" s="44" t="s">
        <v>17</v>
      </c>
      <c r="D157" s="39"/>
      <c r="E157" s="39">
        <v>20</v>
      </c>
      <c r="F157" s="39"/>
      <c r="G157" s="39">
        <v>20</v>
      </c>
      <c r="H157" s="40">
        <f>SUM(Tabla1323[[#This Row],[PRIMER TRIMESTRE]:[CUARTO TRIMESTRE]])</f>
        <v>40</v>
      </c>
      <c r="I157" s="17">
        <v>5133</v>
      </c>
      <c r="J157" s="17">
        <f t="shared" si="3"/>
        <v>205320</v>
      </c>
      <c r="K157" s="17"/>
      <c r="L157" s="16" t="s">
        <v>27</v>
      </c>
      <c r="M157" s="16" t="s">
        <v>22</v>
      </c>
      <c r="N157" s="39" t="s">
        <v>418</v>
      </c>
      <c r="O157" s="18"/>
      <c r="R157" s="19"/>
    </row>
    <row r="158" spans="1:18" s="12" customFormat="1">
      <c r="A158" s="15" t="s">
        <v>80</v>
      </c>
      <c r="B158" s="75" t="s">
        <v>630</v>
      </c>
      <c r="C158" s="44" t="s">
        <v>17</v>
      </c>
      <c r="D158" s="39"/>
      <c r="E158" s="39">
        <v>5</v>
      </c>
      <c r="F158" s="39"/>
      <c r="G158" s="39">
        <v>5</v>
      </c>
      <c r="H158" s="40">
        <f>SUM(Tabla1323[[#This Row],[PRIMER TRIMESTRE]:[CUARTO TRIMESTRE]])</f>
        <v>10</v>
      </c>
      <c r="I158" s="17">
        <v>7127</v>
      </c>
      <c r="J158" s="17">
        <f t="shared" si="3"/>
        <v>71270</v>
      </c>
      <c r="K158" s="17"/>
      <c r="L158" s="16" t="s">
        <v>27</v>
      </c>
      <c r="M158" s="16" t="s">
        <v>22</v>
      </c>
      <c r="N158" s="39" t="s">
        <v>418</v>
      </c>
      <c r="O158" s="18"/>
      <c r="R158" s="19"/>
    </row>
    <row r="159" spans="1:18" s="12" customFormat="1">
      <c r="A159" s="15" t="s">
        <v>80</v>
      </c>
      <c r="B159" s="75" t="s">
        <v>631</v>
      </c>
      <c r="C159" s="44" t="s">
        <v>17</v>
      </c>
      <c r="D159" s="39"/>
      <c r="E159" s="39">
        <v>8</v>
      </c>
      <c r="F159" s="39"/>
      <c r="G159" s="39">
        <v>8</v>
      </c>
      <c r="H159" s="40">
        <f>SUM(Tabla1323[[#This Row],[PRIMER TRIMESTRE]:[CUARTO TRIMESTRE]])</f>
        <v>16</v>
      </c>
      <c r="I159" s="17">
        <v>12580</v>
      </c>
      <c r="J159" s="17">
        <f t="shared" si="3"/>
        <v>201280</v>
      </c>
      <c r="K159" s="17"/>
      <c r="L159" s="16" t="s">
        <v>27</v>
      </c>
      <c r="M159" s="16" t="s">
        <v>22</v>
      </c>
      <c r="N159" s="39" t="s">
        <v>418</v>
      </c>
      <c r="O159" s="18"/>
      <c r="R159" s="19"/>
    </row>
    <row r="160" spans="1:18" s="12" customFormat="1">
      <c r="A160" s="15" t="s">
        <v>80</v>
      </c>
      <c r="B160" s="75" t="s">
        <v>632</v>
      </c>
      <c r="C160" s="44" t="s">
        <v>17</v>
      </c>
      <c r="D160" s="39"/>
      <c r="E160" s="39">
        <v>2150</v>
      </c>
      <c r="F160" s="39"/>
      <c r="G160" s="39">
        <v>2150</v>
      </c>
      <c r="H160" s="40">
        <f>SUM(Tabla1323[[#This Row],[PRIMER TRIMESTRE]:[CUARTO TRIMESTRE]])</f>
        <v>4300</v>
      </c>
      <c r="I160" s="17">
        <v>15045</v>
      </c>
      <c r="J160" s="17">
        <f t="shared" si="3"/>
        <v>64693500</v>
      </c>
      <c r="K160" s="17"/>
      <c r="L160" s="16" t="s">
        <v>27</v>
      </c>
      <c r="M160" s="16" t="s">
        <v>22</v>
      </c>
      <c r="N160" s="39" t="s">
        <v>418</v>
      </c>
      <c r="O160" s="18"/>
      <c r="R160" s="19"/>
    </row>
    <row r="161" spans="1:18" s="12" customFormat="1">
      <c r="A161" s="15" t="s">
        <v>80</v>
      </c>
      <c r="B161" s="75" t="s">
        <v>633</v>
      </c>
      <c r="C161" s="44" t="s">
        <v>17</v>
      </c>
      <c r="D161" s="39"/>
      <c r="E161" s="39">
        <v>1500</v>
      </c>
      <c r="F161" s="39"/>
      <c r="G161" s="39">
        <v>1500</v>
      </c>
      <c r="H161" s="40">
        <f>SUM(Tabla1323[[#This Row],[PRIMER TRIMESTRE]:[CUARTO TRIMESTRE]])</f>
        <v>3000</v>
      </c>
      <c r="I161" s="17">
        <v>22396.400000000001</v>
      </c>
      <c r="J161" s="17">
        <f t="shared" si="3"/>
        <v>67189200</v>
      </c>
      <c r="K161" s="17"/>
      <c r="L161" s="16" t="s">
        <v>27</v>
      </c>
      <c r="M161" s="16" t="s">
        <v>22</v>
      </c>
      <c r="N161" s="39" t="s">
        <v>418</v>
      </c>
      <c r="O161" s="18"/>
      <c r="R161" s="19"/>
    </row>
    <row r="162" spans="1:18" s="12" customFormat="1">
      <c r="A162" s="15" t="s">
        <v>80</v>
      </c>
      <c r="B162" s="75" t="s">
        <v>127</v>
      </c>
      <c r="C162" s="39" t="s">
        <v>17</v>
      </c>
      <c r="D162" s="39"/>
      <c r="E162" s="39">
        <v>600</v>
      </c>
      <c r="F162" s="39"/>
      <c r="G162" s="39">
        <v>600</v>
      </c>
      <c r="H162" s="40">
        <f>SUM(Tabla1323[[#This Row],[PRIMER TRIMESTRE]:[CUARTO TRIMESTRE]])</f>
        <v>1200</v>
      </c>
      <c r="I162" s="17">
        <v>3213.2</v>
      </c>
      <c r="J162" s="17">
        <f>+Tabla1323[[#This Row],[CANTIDAD TOTAL]]*Tabla1323[[#This Row],[PRECIO UNITARIO ESTIMADO]]</f>
        <v>3855840</v>
      </c>
      <c r="K162" s="17"/>
      <c r="L162" s="16" t="s">
        <v>27</v>
      </c>
      <c r="M162" s="16" t="s">
        <v>22</v>
      </c>
      <c r="N162" s="39" t="s">
        <v>418</v>
      </c>
      <c r="O162" s="20"/>
      <c r="R162" s="19" t="s">
        <v>128</v>
      </c>
    </row>
    <row r="163" spans="1:18" s="12" customFormat="1">
      <c r="A163" s="15" t="s">
        <v>80</v>
      </c>
      <c r="B163" s="75" t="s">
        <v>129</v>
      </c>
      <c r="C163" s="39" t="s">
        <v>17</v>
      </c>
      <c r="D163" s="39"/>
      <c r="E163" s="39">
        <v>100</v>
      </c>
      <c r="F163" s="39"/>
      <c r="G163" s="39">
        <v>100</v>
      </c>
      <c r="H163" s="40">
        <f>SUM(Tabla1323[[#This Row],[PRIMER TRIMESTRE]:[CUARTO TRIMESTRE]])</f>
        <v>200</v>
      </c>
      <c r="I163" s="17">
        <v>3.52</v>
      </c>
      <c r="J163" s="17">
        <f>+Tabla1323[[#This Row],[CANTIDAD TOTAL]]*Tabla1323[[#This Row],[PRECIO UNITARIO ESTIMADO]]</f>
        <v>704</v>
      </c>
      <c r="K163" s="17"/>
      <c r="L163" s="16" t="s">
        <v>27</v>
      </c>
      <c r="M163" s="16" t="s">
        <v>22</v>
      </c>
      <c r="N163" s="39" t="s">
        <v>418</v>
      </c>
      <c r="O163" s="20"/>
      <c r="R163" s="19" t="s">
        <v>130</v>
      </c>
    </row>
    <row r="164" spans="1:18" s="12" customFormat="1">
      <c r="A164" s="15" t="s">
        <v>80</v>
      </c>
      <c r="B164" s="75" t="s">
        <v>131</v>
      </c>
      <c r="C164" s="39" t="s">
        <v>17</v>
      </c>
      <c r="D164" s="39"/>
      <c r="E164" s="39">
        <v>1000</v>
      </c>
      <c r="F164" s="39"/>
      <c r="G164" s="39">
        <v>1000</v>
      </c>
      <c r="H164" s="40">
        <f>SUM(Tabla1323[[#This Row],[PRIMER TRIMESTRE]:[CUARTO TRIMESTRE]])</f>
        <v>2000</v>
      </c>
      <c r="I164" s="17">
        <v>0.86</v>
      </c>
      <c r="J164" s="17">
        <f>+Tabla1323[[#This Row],[CANTIDAD TOTAL]]*Tabla1323[[#This Row],[PRECIO UNITARIO ESTIMADO]]</f>
        <v>1720</v>
      </c>
      <c r="K164" s="17"/>
      <c r="L164" s="16" t="s">
        <v>27</v>
      </c>
      <c r="M164" s="16" t="s">
        <v>22</v>
      </c>
      <c r="N164" s="39" t="s">
        <v>418</v>
      </c>
      <c r="O164" s="20"/>
      <c r="R164" s="19" t="s">
        <v>132</v>
      </c>
    </row>
    <row r="165" spans="1:18" s="12" customFormat="1">
      <c r="A165" s="15" t="s">
        <v>80</v>
      </c>
      <c r="B165" s="75" t="s">
        <v>473</v>
      </c>
      <c r="C165" s="39" t="s">
        <v>17</v>
      </c>
      <c r="D165" s="39"/>
      <c r="E165" s="39">
        <v>1000</v>
      </c>
      <c r="F165" s="39"/>
      <c r="G165" s="39">
        <v>1000</v>
      </c>
      <c r="H165" s="40">
        <f>SUM(Tabla1323[[#This Row],[PRIMER TRIMESTRE]:[CUARTO TRIMESTRE]])</f>
        <v>2000</v>
      </c>
      <c r="I165" s="17">
        <v>15.46</v>
      </c>
      <c r="J165" s="17">
        <f>+H165*I165</f>
        <v>30920</v>
      </c>
      <c r="K165" s="17"/>
      <c r="L165" s="16" t="s">
        <v>27</v>
      </c>
      <c r="M165" s="16" t="s">
        <v>22</v>
      </c>
      <c r="N165" s="39" t="s">
        <v>418</v>
      </c>
      <c r="O165" s="18"/>
      <c r="R165" s="19"/>
    </row>
    <row r="166" spans="1:18" s="12" customFormat="1">
      <c r="A166" s="15" t="s">
        <v>80</v>
      </c>
      <c r="B166" s="75" t="s">
        <v>661</v>
      </c>
      <c r="C166" s="39" t="s">
        <v>17</v>
      </c>
      <c r="D166" s="39"/>
      <c r="E166" s="39">
        <v>1000</v>
      </c>
      <c r="F166" s="39"/>
      <c r="G166" s="39">
        <v>1000</v>
      </c>
      <c r="H166" s="40">
        <f>SUM(Tabla1323[[#This Row],[PRIMER TRIMESTRE]:[CUARTO TRIMESTRE]])</f>
        <v>2000</v>
      </c>
      <c r="I166" s="72">
        <v>15.46</v>
      </c>
      <c r="J166" s="17">
        <f>+H166*I166</f>
        <v>30920</v>
      </c>
      <c r="K166" s="17"/>
      <c r="L166" s="16" t="s">
        <v>27</v>
      </c>
      <c r="M166" s="16" t="s">
        <v>22</v>
      </c>
      <c r="N166" s="39" t="s">
        <v>418</v>
      </c>
      <c r="O166" s="18"/>
      <c r="R166" s="19"/>
    </row>
    <row r="167" spans="1:18" s="12" customFormat="1">
      <c r="A167" s="15" t="s">
        <v>80</v>
      </c>
      <c r="B167" s="75" t="s">
        <v>133</v>
      </c>
      <c r="C167" s="39" t="s">
        <v>17</v>
      </c>
      <c r="D167" s="39"/>
      <c r="E167" s="39">
        <v>80</v>
      </c>
      <c r="F167" s="39"/>
      <c r="G167" s="39">
        <v>80</v>
      </c>
      <c r="H167" s="40">
        <f>SUM(Tabla1323[[#This Row],[PRIMER TRIMESTRE]:[CUARTO TRIMESTRE]])</f>
        <v>160</v>
      </c>
      <c r="I167" s="17">
        <v>40.17</v>
      </c>
      <c r="J167" s="17">
        <f>+Tabla1323[[#This Row],[CANTIDAD TOTAL]]*Tabla1323[[#This Row],[PRECIO UNITARIO ESTIMADO]]</f>
        <v>6427.2000000000007</v>
      </c>
      <c r="K167" s="17"/>
      <c r="L167" s="16" t="s">
        <v>27</v>
      </c>
      <c r="M167" s="16" t="s">
        <v>22</v>
      </c>
      <c r="N167" s="39" t="s">
        <v>418</v>
      </c>
      <c r="O167" s="20"/>
      <c r="R167" s="19" t="s">
        <v>134</v>
      </c>
    </row>
    <row r="168" spans="1:18" s="12" customFormat="1">
      <c r="A168" s="15" t="s">
        <v>80</v>
      </c>
      <c r="B168" s="75" t="s">
        <v>135</v>
      </c>
      <c r="C168" s="39" t="s">
        <v>17</v>
      </c>
      <c r="D168" s="39"/>
      <c r="E168" s="39">
        <v>75</v>
      </c>
      <c r="F168" s="39"/>
      <c r="G168" s="39">
        <v>60</v>
      </c>
      <c r="H168" s="40">
        <f>SUM(Tabla1323[[#This Row],[PRIMER TRIMESTRE]:[CUARTO TRIMESTRE]])</f>
        <v>135</v>
      </c>
      <c r="I168" s="17">
        <v>116.85</v>
      </c>
      <c r="J168" s="17">
        <f>+Tabla1323[[#This Row],[CANTIDAD TOTAL]]*Tabla1323[[#This Row],[PRECIO UNITARIO ESTIMADO]]</f>
        <v>15774.75</v>
      </c>
      <c r="K168" s="17"/>
      <c r="L168" s="16" t="s">
        <v>27</v>
      </c>
      <c r="M168" s="16" t="s">
        <v>22</v>
      </c>
      <c r="N168" s="39" t="s">
        <v>418</v>
      </c>
      <c r="O168" s="20"/>
      <c r="R168" s="19" t="s">
        <v>136</v>
      </c>
    </row>
    <row r="169" spans="1:18" s="12" customFormat="1">
      <c r="A169" s="15" t="s">
        <v>80</v>
      </c>
      <c r="B169" s="75" t="s">
        <v>597</v>
      </c>
      <c r="C169" s="39" t="s">
        <v>17</v>
      </c>
      <c r="D169" s="39"/>
      <c r="E169" s="39"/>
      <c r="F169" s="39"/>
      <c r="G169" s="39">
        <v>5</v>
      </c>
      <c r="H169" s="40">
        <f>SUM(Tabla1323[[#This Row],[PRIMER TRIMESTRE]:[CUARTO TRIMESTRE]])</f>
        <v>5</v>
      </c>
      <c r="I169" s="72">
        <v>107.31</v>
      </c>
      <c r="J169" s="17">
        <f>+H169*I169</f>
        <v>536.54999999999995</v>
      </c>
      <c r="K169" s="17"/>
      <c r="L169" s="16" t="s">
        <v>27</v>
      </c>
      <c r="M169" s="16" t="s">
        <v>22</v>
      </c>
      <c r="N169" s="39" t="s">
        <v>418</v>
      </c>
      <c r="O169" s="18"/>
      <c r="R169" s="19"/>
    </row>
    <row r="170" spans="1:18" s="12" customFormat="1">
      <c r="A170" s="15" t="s">
        <v>80</v>
      </c>
      <c r="B170" s="75" t="s">
        <v>137</v>
      </c>
      <c r="C170" s="39" t="s">
        <v>17</v>
      </c>
      <c r="D170" s="39"/>
      <c r="E170" s="39">
        <v>2</v>
      </c>
      <c r="F170" s="39"/>
      <c r="G170" s="39"/>
      <c r="H170" s="40">
        <f>SUM(Tabla1323[[#This Row],[PRIMER TRIMESTRE]:[CUARTO TRIMESTRE]])</f>
        <v>2</v>
      </c>
      <c r="I170" s="17">
        <v>220.12</v>
      </c>
      <c r="J170" s="17">
        <f>+Tabla1323[[#This Row],[CANTIDAD TOTAL]]*Tabla1323[[#This Row],[PRECIO UNITARIO ESTIMADO]]</f>
        <v>440.24</v>
      </c>
      <c r="K170" s="17"/>
      <c r="L170" s="16" t="s">
        <v>27</v>
      </c>
      <c r="M170" s="16" t="s">
        <v>22</v>
      </c>
      <c r="N170" s="39" t="s">
        <v>418</v>
      </c>
      <c r="O170" s="20"/>
      <c r="R170" s="19" t="s">
        <v>138</v>
      </c>
    </row>
    <row r="171" spans="1:18" s="12" customFormat="1">
      <c r="A171" s="15" t="s">
        <v>80</v>
      </c>
      <c r="B171" s="75" t="s">
        <v>139</v>
      </c>
      <c r="C171" s="39" t="s">
        <v>17</v>
      </c>
      <c r="D171" s="39"/>
      <c r="E171" s="39">
        <v>100</v>
      </c>
      <c r="F171" s="39"/>
      <c r="G171" s="39">
        <v>100</v>
      </c>
      <c r="H171" s="40">
        <f>SUM(Tabla1323[[#This Row],[PRIMER TRIMESTRE]:[CUARTO TRIMESTRE]])</f>
        <v>200</v>
      </c>
      <c r="I171" s="17">
        <v>180</v>
      </c>
      <c r="J171" s="17">
        <f>+Tabla1323[[#This Row],[CANTIDAD TOTAL]]*Tabla1323[[#This Row],[PRECIO UNITARIO ESTIMADO]]</f>
        <v>36000</v>
      </c>
      <c r="K171" s="17"/>
      <c r="L171" s="16" t="s">
        <v>27</v>
      </c>
      <c r="M171" s="16" t="s">
        <v>22</v>
      </c>
      <c r="N171" s="39" t="s">
        <v>418</v>
      </c>
      <c r="O171" s="20"/>
      <c r="R171" s="19" t="s">
        <v>140</v>
      </c>
    </row>
    <row r="172" spans="1:18" s="12" customFormat="1">
      <c r="A172" s="15" t="s">
        <v>80</v>
      </c>
      <c r="B172" s="75" t="s">
        <v>598</v>
      </c>
      <c r="C172" s="39" t="s">
        <v>17</v>
      </c>
      <c r="D172" s="39"/>
      <c r="E172" s="39"/>
      <c r="F172" s="39"/>
      <c r="G172" s="39">
        <v>300</v>
      </c>
      <c r="H172" s="40">
        <f>SUM(Tabla1323[[#This Row],[PRIMER TRIMESTRE]:[CUARTO TRIMESTRE]])</f>
        <v>300</v>
      </c>
      <c r="I172" s="17">
        <v>153.05000000000001</v>
      </c>
      <c r="J172" s="17">
        <f>+Tabla1323[[#This Row],[CANTIDAD TOTAL]]*Tabla1323[[#This Row],[PRECIO UNITARIO ESTIMADO]]</f>
        <v>45915</v>
      </c>
      <c r="K172" s="17"/>
      <c r="L172" s="16" t="s">
        <v>27</v>
      </c>
      <c r="M172" s="16" t="s">
        <v>22</v>
      </c>
      <c r="N172" s="39" t="s">
        <v>418</v>
      </c>
      <c r="O172" s="20"/>
      <c r="R172" s="19" t="s">
        <v>141</v>
      </c>
    </row>
    <row r="173" spans="1:18" s="12" customFormat="1">
      <c r="A173" s="15" t="s">
        <v>80</v>
      </c>
      <c r="B173" s="75" t="s">
        <v>599</v>
      </c>
      <c r="C173" s="39" t="s">
        <v>17</v>
      </c>
      <c r="D173" s="39"/>
      <c r="E173" s="39">
        <v>700</v>
      </c>
      <c r="F173" s="39"/>
      <c r="G173" s="39">
        <v>750</v>
      </c>
      <c r="H173" s="40">
        <f>SUM(Tabla1323[[#This Row],[PRIMER TRIMESTRE]:[CUARTO TRIMESTRE]])</f>
        <v>1450</v>
      </c>
      <c r="I173" s="17">
        <v>72.88</v>
      </c>
      <c r="J173" s="17">
        <f>+H173*I173</f>
        <v>105676</v>
      </c>
      <c r="K173" s="17"/>
      <c r="L173" s="16" t="s">
        <v>27</v>
      </c>
      <c r="M173" s="16" t="s">
        <v>22</v>
      </c>
      <c r="N173" s="39" t="s">
        <v>418</v>
      </c>
      <c r="O173" s="18"/>
      <c r="R173" s="19"/>
    </row>
    <row r="174" spans="1:18" s="12" customFormat="1">
      <c r="A174" s="15" t="s">
        <v>80</v>
      </c>
      <c r="B174" s="75" t="s">
        <v>600</v>
      </c>
      <c r="C174" s="39" t="s">
        <v>17</v>
      </c>
      <c r="D174" s="39"/>
      <c r="E174" s="39">
        <v>175</v>
      </c>
      <c r="F174" s="39"/>
      <c r="G174" s="39">
        <v>175</v>
      </c>
      <c r="H174" s="40">
        <f>SUM(Tabla1323[[#This Row],[PRIMER TRIMESTRE]:[CUARTO TRIMESTRE]])</f>
        <v>350</v>
      </c>
      <c r="I174" s="17">
        <v>86</v>
      </c>
      <c r="J174" s="17">
        <f>+Tabla1323[[#This Row],[CANTIDAD TOTAL]]*Tabla1323[[#This Row],[PRECIO UNITARIO ESTIMADO]]</f>
        <v>30100</v>
      </c>
      <c r="K174" s="17"/>
      <c r="L174" s="16" t="s">
        <v>27</v>
      </c>
      <c r="M174" s="16" t="s">
        <v>22</v>
      </c>
      <c r="N174" s="39" t="s">
        <v>418</v>
      </c>
      <c r="O174" s="20"/>
      <c r="R174" s="19" t="s">
        <v>142</v>
      </c>
    </row>
    <row r="175" spans="1:18" s="12" customFormat="1">
      <c r="A175" s="15" t="s">
        <v>80</v>
      </c>
      <c r="B175" s="75" t="s">
        <v>601</v>
      </c>
      <c r="C175" s="39" t="s">
        <v>17</v>
      </c>
      <c r="D175" s="39"/>
      <c r="E175" s="39">
        <v>300</v>
      </c>
      <c r="F175" s="39"/>
      <c r="G175" s="39">
        <v>300</v>
      </c>
      <c r="H175" s="40">
        <f>SUM(Tabla1323[[#This Row],[PRIMER TRIMESTRE]:[CUARTO TRIMESTRE]])</f>
        <v>600</v>
      </c>
      <c r="I175" s="17">
        <v>158.88</v>
      </c>
      <c r="J175" s="17">
        <f>+H175*I175</f>
        <v>95328</v>
      </c>
      <c r="K175" s="17"/>
      <c r="L175" s="16" t="s">
        <v>27</v>
      </c>
      <c r="M175" s="16" t="s">
        <v>22</v>
      </c>
      <c r="N175" s="39" t="s">
        <v>418</v>
      </c>
      <c r="O175" s="18"/>
      <c r="R175" s="19"/>
    </row>
    <row r="176" spans="1:18" s="12" customFormat="1" ht="36.75" customHeight="1">
      <c r="A176" s="15" t="s">
        <v>80</v>
      </c>
      <c r="B176" s="75" t="s">
        <v>571</v>
      </c>
      <c r="C176" s="39" t="s">
        <v>17</v>
      </c>
      <c r="D176" s="39"/>
      <c r="E176" s="39">
        <v>300</v>
      </c>
      <c r="F176" s="39"/>
      <c r="G176" s="39">
        <v>300</v>
      </c>
      <c r="H176" s="40">
        <f>SUM(Tabla1323[[#This Row],[PRIMER TRIMESTRE]:[CUARTO TRIMESTRE]])</f>
        <v>600</v>
      </c>
      <c r="I176" s="17">
        <v>12159.7</v>
      </c>
      <c r="J176" s="17">
        <f>+Tabla1323[[#This Row],[CANTIDAD TOTAL]]*Tabla1323[[#This Row],[PRECIO UNITARIO ESTIMADO]]</f>
        <v>7295820</v>
      </c>
      <c r="K176" s="17"/>
      <c r="L176" s="16" t="s">
        <v>27</v>
      </c>
      <c r="M176" s="16" t="s">
        <v>22</v>
      </c>
      <c r="N176" s="39" t="s">
        <v>418</v>
      </c>
      <c r="O176" s="20"/>
      <c r="R176" s="19" t="s">
        <v>143</v>
      </c>
    </row>
    <row r="177" spans="1:18" s="12" customFormat="1">
      <c r="A177" s="15" t="s">
        <v>80</v>
      </c>
      <c r="B177" s="75" t="s">
        <v>144</v>
      </c>
      <c r="C177" s="39" t="s">
        <v>17</v>
      </c>
      <c r="D177" s="39"/>
      <c r="E177" s="39">
        <v>200</v>
      </c>
      <c r="F177" s="39"/>
      <c r="G177" s="39">
        <v>200</v>
      </c>
      <c r="H177" s="40">
        <f>SUM(Tabla1323[[#This Row],[PRIMER TRIMESTRE]:[CUARTO TRIMESTRE]])</f>
        <v>400</v>
      </c>
      <c r="I177" s="17">
        <v>62.87</v>
      </c>
      <c r="J177" s="17">
        <f>+Tabla1323[[#This Row],[CANTIDAD TOTAL]]*Tabla1323[[#This Row],[PRECIO UNITARIO ESTIMADO]]</f>
        <v>25148</v>
      </c>
      <c r="K177" s="17"/>
      <c r="L177" s="16" t="s">
        <v>27</v>
      </c>
      <c r="M177" s="16" t="s">
        <v>22</v>
      </c>
      <c r="N177" s="39" t="s">
        <v>418</v>
      </c>
      <c r="O177" s="20"/>
      <c r="R177" s="19" t="s">
        <v>145</v>
      </c>
    </row>
    <row r="178" spans="1:18" s="12" customFormat="1" ht="27.75" customHeight="1">
      <c r="A178" s="15" t="s">
        <v>80</v>
      </c>
      <c r="B178" s="75" t="s">
        <v>186</v>
      </c>
      <c r="C178" s="39" t="s">
        <v>17</v>
      </c>
      <c r="D178" s="39"/>
      <c r="E178" s="39">
        <v>200</v>
      </c>
      <c r="F178" s="39"/>
      <c r="G178" s="39">
        <v>200</v>
      </c>
      <c r="H178" s="40">
        <f>SUM(Tabla1323[[#This Row],[PRIMER TRIMESTRE]:[CUARTO TRIMESTRE]])</f>
        <v>400</v>
      </c>
      <c r="I178" s="17">
        <v>2600</v>
      </c>
      <c r="J178" s="17">
        <f>+Tabla1323[[#This Row],[CANTIDAD TOTAL]]*Tabla1323[[#This Row],[PRECIO UNITARIO ESTIMADO]]</f>
        <v>1040000</v>
      </c>
      <c r="K178" s="17"/>
      <c r="L178" s="16" t="s">
        <v>27</v>
      </c>
      <c r="M178" s="16" t="s">
        <v>22</v>
      </c>
      <c r="N178" s="39" t="s">
        <v>418</v>
      </c>
      <c r="O178" s="20"/>
      <c r="R178" s="19" t="s">
        <v>187</v>
      </c>
    </row>
    <row r="179" spans="1:18" s="12" customFormat="1">
      <c r="A179" s="15" t="s">
        <v>80</v>
      </c>
      <c r="B179" s="75" t="s">
        <v>148</v>
      </c>
      <c r="C179" s="39" t="s">
        <v>149</v>
      </c>
      <c r="D179" s="39"/>
      <c r="E179" s="39">
        <v>40</v>
      </c>
      <c r="F179" s="39"/>
      <c r="G179" s="39">
        <v>40</v>
      </c>
      <c r="H179" s="40">
        <f>SUM(Tabla1323[[#This Row],[PRIMER TRIMESTRE]:[CUARTO TRIMESTRE]])</f>
        <v>80</v>
      </c>
      <c r="I179" s="17">
        <v>127.6</v>
      </c>
      <c r="J179" s="17">
        <f>+Tabla1323[[#This Row],[CANTIDAD TOTAL]]*Tabla1323[[#This Row],[PRECIO UNITARIO ESTIMADO]]</f>
        <v>10208</v>
      </c>
      <c r="K179" s="17"/>
      <c r="L179" s="16" t="s">
        <v>27</v>
      </c>
      <c r="M179" s="16" t="s">
        <v>22</v>
      </c>
      <c r="N179" s="39" t="s">
        <v>418</v>
      </c>
      <c r="O179" s="20"/>
      <c r="R179" s="19" t="s">
        <v>150</v>
      </c>
    </row>
    <row r="180" spans="1:18" s="12" customFormat="1">
      <c r="A180" s="15" t="s">
        <v>80</v>
      </c>
      <c r="B180" s="75" t="s">
        <v>439</v>
      </c>
      <c r="C180" s="39" t="s">
        <v>149</v>
      </c>
      <c r="D180" s="39"/>
      <c r="E180" s="39">
        <v>130</v>
      </c>
      <c r="F180" s="39"/>
      <c r="G180" s="39">
        <v>130</v>
      </c>
      <c r="H180" s="40">
        <f>SUM(Tabla1323[[#This Row],[PRIMER TRIMESTRE]:[CUARTO TRIMESTRE]])</f>
        <v>260</v>
      </c>
      <c r="I180" s="17">
        <v>123.91</v>
      </c>
      <c r="J180" s="17">
        <f>+Tabla1323[[#This Row],[CANTIDAD TOTAL]]*Tabla1323[[#This Row],[PRECIO UNITARIO ESTIMADO]]</f>
        <v>32216.6</v>
      </c>
      <c r="K180" s="17"/>
      <c r="L180" s="16" t="s">
        <v>27</v>
      </c>
      <c r="M180" s="16" t="s">
        <v>22</v>
      </c>
      <c r="N180" s="39" t="s">
        <v>418</v>
      </c>
      <c r="O180" s="20"/>
      <c r="R180" s="19" t="s">
        <v>151</v>
      </c>
    </row>
    <row r="181" spans="1:18" s="12" customFormat="1">
      <c r="A181" s="15" t="s">
        <v>80</v>
      </c>
      <c r="B181" s="75" t="s">
        <v>471</v>
      </c>
      <c r="C181" s="39" t="s">
        <v>17</v>
      </c>
      <c r="D181" s="39"/>
      <c r="E181" s="39">
        <v>80</v>
      </c>
      <c r="F181" s="39"/>
      <c r="G181" s="39">
        <v>80</v>
      </c>
      <c r="H181" s="40">
        <f>SUM(Tabla1323[[#This Row],[PRIMER TRIMESTRE]:[CUARTO TRIMESTRE]])</f>
        <v>160</v>
      </c>
      <c r="I181" s="17">
        <v>55.38</v>
      </c>
      <c r="J181" s="17">
        <f>+Tabla1323[[#This Row],[CANTIDAD TOTAL]]*Tabla1323[[#This Row],[PRECIO UNITARIO ESTIMADO]]</f>
        <v>8860.8000000000011</v>
      </c>
      <c r="K181" s="17"/>
      <c r="L181" s="16" t="s">
        <v>27</v>
      </c>
      <c r="M181" s="16" t="s">
        <v>22</v>
      </c>
      <c r="N181" s="39" t="s">
        <v>418</v>
      </c>
      <c r="O181" s="20"/>
      <c r="R181" s="19" t="s">
        <v>152</v>
      </c>
    </row>
    <row r="182" spans="1:18" s="12" customFormat="1">
      <c r="A182" s="15" t="s">
        <v>80</v>
      </c>
      <c r="B182" s="75" t="s">
        <v>644</v>
      </c>
      <c r="C182" s="39" t="s">
        <v>17</v>
      </c>
      <c r="D182" s="39"/>
      <c r="E182" s="39">
        <v>20</v>
      </c>
      <c r="F182" s="39"/>
      <c r="G182" s="40">
        <v>20</v>
      </c>
      <c r="H182" s="40">
        <f>SUM(Tabla1323[[#This Row],[PRIMER TRIMESTRE]:[CUARTO TRIMESTRE]])</f>
        <v>40</v>
      </c>
      <c r="I182" s="17">
        <v>731.35</v>
      </c>
      <c r="J182" s="17">
        <f t="shared" ref="J182:J214" si="4">+H182*I182</f>
        <v>29254</v>
      </c>
      <c r="K182" s="17"/>
      <c r="L182" s="16" t="s">
        <v>27</v>
      </c>
      <c r="M182" s="16" t="s">
        <v>22</v>
      </c>
      <c r="N182" s="39"/>
      <c r="O182" s="20"/>
    </row>
    <row r="183" spans="1:18" s="12" customFormat="1">
      <c r="A183" s="15" t="s">
        <v>80</v>
      </c>
      <c r="B183" s="75" t="s">
        <v>645</v>
      </c>
      <c r="C183" s="39" t="s">
        <v>17</v>
      </c>
      <c r="D183" s="39"/>
      <c r="E183" s="39">
        <v>5</v>
      </c>
      <c r="F183" s="39"/>
      <c r="G183" s="40">
        <v>5</v>
      </c>
      <c r="H183" s="40">
        <f>SUM(Tabla1323[[#This Row],[PRIMER TRIMESTRE]:[CUARTO TRIMESTRE]])</f>
        <v>10</v>
      </c>
      <c r="I183" s="17">
        <v>1013.28</v>
      </c>
      <c r="J183" s="17">
        <f t="shared" si="4"/>
        <v>10132.799999999999</v>
      </c>
      <c r="K183" s="17"/>
      <c r="L183" s="16" t="s">
        <v>27</v>
      </c>
      <c r="M183" s="16" t="s">
        <v>22</v>
      </c>
      <c r="N183" s="39"/>
      <c r="O183" s="20"/>
    </row>
    <row r="184" spans="1:18" s="12" customFormat="1">
      <c r="A184" s="15" t="s">
        <v>80</v>
      </c>
      <c r="B184" s="75" t="s">
        <v>646</v>
      </c>
      <c r="C184" s="39" t="s">
        <v>17</v>
      </c>
      <c r="D184" s="39"/>
      <c r="E184" s="39">
        <v>30</v>
      </c>
      <c r="F184" s="39"/>
      <c r="G184" s="40">
        <v>30</v>
      </c>
      <c r="H184" s="40">
        <f>SUM(Tabla1323[[#This Row],[PRIMER TRIMESTRE]:[CUARTO TRIMESTRE]])</f>
        <v>60</v>
      </c>
      <c r="I184" s="17">
        <v>1196.97</v>
      </c>
      <c r="J184" s="17">
        <f t="shared" si="4"/>
        <v>71818.2</v>
      </c>
      <c r="K184" s="17"/>
      <c r="L184" s="16" t="s">
        <v>27</v>
      </c>
      <c r="M184" s="16" t="s">
        <v>22</v>
      </c>
      <c r="N184" s="39"/>
      <c r="O184" s="20"/>
    </row>
    <row r="185" spans="1:18" s="12" customFormat="1">
      <c r="A185" s="15" t="s">
        <v>80</v>
      </c>
      <c r="B185" s="75" t="s">
        <v>647</v>
      </c>
      <c r="C185" s="39" t="s">
        <v>17</v>
      </c>
      <c r="D185" s="39"/>
      <c r="E185" s="39">
        <v>50</v>
      </c>
      <c r="F185" s="39"/>
      <c r="G185" s="40">
        <v>50</v>
      </c>
      <c r="H185" s="40">
        <f>SUM(Tabla1323[[#This Row],[PRIMER TRIMESTRE]:[CUARTO TRIMESTRE]])</f>
        <v>100</v>
      </c>
      <c r="I185" s="17">
        <v>1882.41</v>
      </c>
      <c r="J185" s="17">
        <f t="shared" si="4"/>
        <v>188241</v>
      </c>
      <c r="K185" s="17"/>
      <c r="L185" s="16" t="s">
        <v>27</v>
      </c>
      <c r="M185" s="16" t="s">
        <v>22</v>
      </c>
      <c r="N185" s="39"/>
      <c r="O185" s="20"/>
    </row>
    <row r="186" spans="1:18" s="12" customFormat="1">
      <c r="A186" s="15" t="s">
        <v>80</v>
      </c>
      <c r="B186" s="75" t="s">
        <v>648</v>
      </c>
      <c r="C186" s="39" t="s">
        <v>17</v>
      </c>
      <c r="D186" s="39"/>
      <c r="E186" s="39">
        <v>45</v>
      </c>
      <c r="F186" s="39"/>
      <c r="G186" s="40">
        <v>45</v>
      </c>
      <c r="H186" s="40">
        <f>SUM(Tabla1323[[#This Row],[PRIMER TRIMESTRE]:[CUARTO TRIMESTRE]])</f>
        <v>90</v>
      </c>
      <c r="I186" s="17">
        <v>2110.4699999999998</v>
      </c>
      <c r="J186" s="17">
        <f t="shared" si="4"/>
        <v>189942.3</v>
      </c>
      <c r="K186" s="17"/>
      <c r="L186" s="16" t="s">
        <v>27</v>
      </c>
      <c r="M186" s="16" t="s">
        <v>22</v>
      </c>
      <c r="N186" s="39"/>
      <c r="O186" s="20"/>
    </row>
    <row r="187" spans="1:18" s="12" customFormat="1">
      <c r="A187" s="15" t="s">
        <v>80</v>
      </c>
      <c r="B187" s="75" t="s">
        <v>649</v>
      </c>
      <c r="C187" s="39" t="s">
        <v>17</v>
      </c>
      <c r="D187" s="39"/>
      <c r="E187" s="39">
        <v>30</v>
      </c>
      <c r="F187" s="39"/>
      <c r="G187" s="40">
        <v>30</v>
      </c>
      <c r="H187" s="40">
        <f>SUM(Tabla1323[[#This Row],[PRIMER TRIMESTRE]:[CUARTO TRIMESTRE]])</f>
        <v>60</v>
      </c>
      <c r="I187" s="17">
        <v>2920.5</v>
      </c>
      <c r="J187" s="17">
        <f t="shared" si="4"/>
        <v>175230</v>
      </c>
      <c r="K187" s="17"/>
      <c r="L187" s="16" t="s">
        <v>27</v>
      </c>
      <c r="M187" s="16" t="s">
        <v>22</v>
      </c>
      <c r="N187" s="39"/>
      <c r="O187" s="18"/>
    </row>
    <row r="188" spans="1:18" s="12" customFormat="1">
      <c r="A188" s="15" t="s">
        <v>80</v>
      </c>
      <c r="B188" s="75" t="s">
        <v>650</v>
      </c>
      <c r="C188" s="39" t="s">
        <v>17</v>
      </c>
      <c r="D188" s="39"/>
      <c r="E188" s="39">
        <v>25</v>
      </c>
      <c r="F188" s="39"/>
      <c r="G188" s="40">
        <v>25</v>
      </c>
      <c r="H188" s="40">
        <f>SUM(Tabla1323[[#This Row],[PRIMER TRIMESTRE]:[CUARTO TRIMESTRE]])</f>
        <v>50</v>
      </c>
      <c r="I188" s="17">
        <v>2919.76</v>
      </c>
      <c r="J188" s="17">
        <f t="shared" si="4"/>
        <v>145988</v>
      </c>
      <c r="K188" s="17"/>
      <c r="L188" s="16" t="s">
        <v>27</v>
      </c>
      <c r="M188" s="16" t="s">
        <v>22</v>
      </c>
      <c r="N188" s="39"/>
      <c r="O188" s="20"/>
    </row>
    <row r="189" spans="1:18" s="12" customFormat="1">
      <c r="A189" s="15" t="s">
        <v>80</v>
      </c>
      <c r="B189" s="75" t="s">
        <v>651</v>
      </c>
      <c r="C189" s="39" t="s">
        <v>17</v>
      </c>
      <c r="D189" s="39"/>
      <c r="E189" s="39">
        <v>10</v>
      </c>
      <c r="F189" s="39"/>
      <c r="G189" s="40">
        <v>10</v>
      </c>
      <c r="H189" s="40">
        <f>SUM(Tabla1323[[#This Row],[PRIMER TRIMESTRE]:[CUARTO TRIMESTRE]])</f>
        <v>20</v>
      </c>
      <c r="I189" s="17">
        <v>5347.76</v>
      </c>
      <c r="J189" s="17">
        <f t="shared" si="4"/>
        <v>106955.20000000001</v>
      </c>
      <c r="K189" s="17"/>
      <c r="L189" s="16" t="s">
        <v>27</v>
      </c>
      <c r="M189" s="16" t="s">
        <v>22</v>
      </c>
      <c r="N189" s="39"/>
      <c r="O189" s="20"/>
    </row>
    <row r="190" spans="1:18" s="12" customFormat="1">
      <c r="A190" s="15" t="s">
        <v>80</v>
      </c>
      <c r="B190" s="75" t="s">
        <v>652</v>
      </c>
      <c r="C190" s="39" t="s">
        <v>17</v>
      </c>
      <c r="D190" s="39"/>
      <c r="E190" s="39">
        <v>25</v>
      </c>
      <c r="F190" s="39"/>
      <c r="G190" s="40">
        <v>25</v>
      </c>
      <c r="H190" s="40">
        <f>SUM(Tabla1323[[#This Row],[PRIMER TRIMESTRE]:[CUARTO TRIMESTRE]])</f>
        <v>50</v>
      </c>
      <c r="I190" s="17">
        <v>9696.06</v>
      </c>
      <c r="J190" s="17">
        <f t="shared" si="4"/>
        <v>484803</v>
      </c>
      <c r="K190" s="17"/>
      <c r="L190" s="16" t="s">
        <v>27</v>
      </c>
      <c r="M190" s="16" t="s">
        <v>22</v>
      </c>
      <c r="N190" s="39"/>
      <c r="O190" s="18"/>
    </row>
    <row r="191" spans="1:18" s="12" customFormat="1">
      <c r="A191" s="15" t="s">
        <v>80</v>
      </c>
      <c r="B191" s="75" t="s">
        <v>653</v>
      </c>
      <c r="C191" s="39" t="s">
        <v>17</v>
      </c>
      <c r="D191" s="39"/>
      <c r="E191" s="39">
        <v>10</v>
      </c>
      <c r="F191" s="39"/>
      <c r="G191" s="40">
        <v>10</v>
      </c>
      <c r="H191" s="40">
        <f>SUM(Tabla1323[[#This Row],[PRIMER TRIMESTRE]:[CUARTO TRIMESTRE]])</f>
        <v>20</v>
      </c>
      <c r="I191" s="17">
        <v>13263.2</v>
      </c>
      <c r="J191" s="17">
        <f t="shared" si="4"/>
        <v>265264</v>
      </c>
      <c r="K191" s="17"/>
      <c r="L191" s="16" t="s">
        <v>27</v>
      </c>
      <c r="M191" s="16" t="s">
        <v>22</v>
      </c>
      <c r="N191" s="39"/>
      <c r="O191" s="18"/>
    </row>
    <row r="192" spans="1:18" s="12" customFormat="1" ht="46.5" customHeight="1">
      <c r="A192" s="15" t="s">
        <v>80</v>
      </c>
      <c r="B192" s="75" t="s">
        <v>348</v>
      </c>
      <c r="C192" s="39" t="s">
        <v>17</v>
      </c>
      <c r="D192" s="39"/>
      <c r="E192" s="39">
        <v>40</v>
      </c>
      <c r="F192" s="39"/>
      <c r="G192" s="40">
        <v>40</v>
      </c>
      <c r="H192" s="40">
        <f>SUM(Tabla1323[[#This Row],[PRIMER TRIMESTRE]:[CUARTO TRIMESTRE]])</f>
        <v>80</v>
      </c>
      <c r="I192" s="17">
        <v>1200</v>
      </c>
      <c r="J192" s="17">
        <f t="shared" si="4"/>
        <v>96000</v>
      </c>
      <c r="K192" s="17"/>
      <c r="L192" s="16" t="s">
        <v>27</v>
      </c>
      <c r="M192" s="16" t="s">
        <v>22</v>
      </c>
      <c r="N192" s="39"/>
      <c r="O192" s="20"/>
    </row>
    <row r="193" spans="1:15" s="12" customFormat="1" ht="46.5" customHeight="1">
      <c r="A193" s="15" t="s">
        <v>80</v>
      </c>
      <c r="B193" s="75" t="s">
        <v>349</v>
      </c>
      <c r="C193" s="39" t="s">
        <v>17</v>
      </c>
      <c r="D193" s="39"/>
      <c r="E193" s="39">
        <v>40</v>
      </c>
      <c r="F193" s="39"/>
      <c r="G193" s="40">
        <v>40</v>
      </c>
      <c r="H193" s="40">
        <f>SUM(Tabla1323[[#This Row],[PRIMER TRIMESTRE]:[CUARTO TRIMESTRE]])</f>
        <v>80</v>
      </c>
      <c r="I193" s="17">
        <v>1400</v>
      </c>
      <c r="J193" s="17">
        <f t="shared" si="4"/>
        <v>112000</v>
      </c>
      <c r="K193" s="17"/>
      <c r="L193" s="16" t="s">
        <v>27</v>
      </c>
      <c r="M193" s="16" t="s">
        <v>22</v>
      </c>
      <c r="N193" s="39"/>
      <c r="O193" s="20"/>
    </row>
    <row r="194" spans="1:15" s="12" customFormat="1" ht="46.5" customHeight="1">
      <c r="A194" s="15" t="s">
        <v>80</v>
      </c>
      <c r="B194" s="75" t="s">
        <v>350</v>
      </c>
      <c r="C194" s="39" t="s">
        <v>17</v>
      </c>
      <c r="D194" s="39"/>
      <c r="E194" s="39">
        <v>30</v>
      </c>
      <c r="F194" s="39"/>
      <c r="G194" s="40">
        <v>30</v>
      </c>
      <c r="H194" s="40">
        <f>SUM(Tabla1323[[#This Row],[PRIMER TRIMESTRE]:[CUARTO TRIMESTRE]])</f>
        <v>60</v>
      </c>
      <c r="I194" s="17">
        <v>1600</v>
      </c>
      <c r="J194" s="17">
        <f t="shared" si="4"/>
        <v>96000</v>
      </c>
      <c r="K194" s="17"/>
      <c r="L194" s="16" t="s">
        <v>27</v>
      </c>
      <c r="M194" s="16" t="s">
        <v>22</v>
      </c>
      <c r="N194" s="39"/>
      <c r="O194" s="20"/>
    </row>
    <row r="195" spans="1:15" s="12" customFormat="1" ht="46.5" customHeight="1">
      <c r="A195" s="15" t="s">
        <v>80</v>
      </c>
      <c r="B195" s="75" t="s">
        <v>351</v>
      </c>
      <c r="C195" s="39" t="s">
        <v>17</v>
      </c>
      <c r="D195" s="39"/>
      <c r="E195" s="39">
        <v>30</v>
      </c>
      <c r="F195" s="39"/>
      <c r="G195" s="40">
        <v>30</v>
      </c>
      <c r="H195" s="40">
        <f>SUM(Tabla1323[[#This Row],[PRIMER TRIMESTRE]:[CUARTO TRIMESTRE]])</f>
        <v>60</v>
      </c>
      <c r="I195" s="17">
        <v>1800</v>
      </c>
      <c r="J195" s="17">
        <f t="shared" si="4"/>
        <v>108000</v>
      </c>
      <c r="K195" s="17"/>
      <c r="L195" s="16" t="s">
        <v>27</v>
      </c>
      <c r="M195" s="16" t="s">
        <v>22</v>
      </c>
      <c r="N195" s="39"/>
      <c r="O195" s="20"/>
    </row>
    <row r="196" spans="1:15" s="12" customFormat="1" ht="46.5" customHeight="1">
      <c r="A196" s="15" t="s">
        <v>80</v>
      </c>
      <c r="B196" s="75" t="s">
        <v>352</v>
      </c>
      <c r="C196" s="39" t="s">
        <v>17</v>
      </c>
      <c r="D196" s="39"/>
      <c r="E196" s="39">
        <v>20</v>
      </c>
      <c r="F196" s="39"/>
      <c r="G196" s="40">
        <v>20</v>
      </c>
      <c r="H196" s="40">
        <f>SUM(Tabla1323[[#This Row],[PRIMER TRIMESTRE]:[CUARTO TRIMESTRE]])</f>
        <v>40</v>
      </c>
      <c r="I196" s="17">
        <v>2000</v>
      </c>
      <c r="J196" s="17">
        <f t="shared" si="4"/>
        <v>80000</v>
      </c>
      <c r="K196" s="17"/>
      <c r="L196" s="16" t="s">
        <v>27</v>
      </c>
      <c r="M196" s="16" t="s">
        <v>22</v>
      </c>
      <c r="N196" s="39"/>
      <c r="O196" s="20"/>
    </row>
    <row r="197" spans="1:15" s="12" customFormat="1" ht="46.5" customHeight="1">
      <c r="A197" s="15" t="s">
        <v>80</v>
      </c>
      <c r="B197" s="75" t="s">
        <v>345</v>
      </c>
      <c r="C197" s="39" t="s">
        <v>17</v>
      </c>
      <c r="D197" s="39"/>
      <c r="E197" s="39">
        <v>10</v>
      </c>
      <c r="F197" s="39"/>
      <c r="G197" s="40">
        <v>10</v>
      </c>
      <c r="H197" s="40">
        <f>SUM(Tabla1323[[#This Row],[PRIMER TRIMESTRE]:[CUARTO TRIMESTRE]])</f>
        <v>20</v>
      </c>
      <c r="I197" s="17">
        <v>2500</v>
      </c>
      <c r="J197" s="17">
        <f t="shared" si="4"/>
        <v>50000</v>
      </c>
      <c r="K197" s="17"/>
      <c r="L197" s="16" t="s">
        <v>27</v>
      </c>
      <c r="M197" s="16" t="s">
        <v>22</v>
      </c>
      <c r="N197" s="39"/>
      <c r="O197" s="20"/>
    </row>
    <row r="198" spans="1:15" s="12" customFormat="1" ht="46.5" customHeight="1">
      <c r="A198" s="15" t="s">
        <v>80</v>
      </c>
      <c r="B198" s="75" t="s">
        <v>346</v>
      </c>
      <c r="C198" s="39" t="s">
        <v>17</v>
      </c>
      <c r="D198" s="39"/>
      <c r="E198" s="39">
        <v>15</v>
      </c>
      <c r="F198" s="39"/>
      <c r="G198" s="40">
        <v>15</v>
      </c>
      <c r="H198" s="40">
        <f>SUM(Tabla1323[[#This Row],[PRIMER TRIMESTRE]:[CUARTO TRIMESTRE]])</f>
        <v>30</v>
      </c>
      <c r="I198" s="17">
        <v>3100</v>
      </c>
      <c r="J198" s="17">
        <f t="shared" si="4"/>
        <v>93000</v>
      </c>
      <c r="K198" s="17"/>
      <c r="L198" s="16" t="s">
        <v>27</v>
      </c>
      <c r="M198" s="16" t="s">
        <v>22</v>
      </c>
      <c r="N198" s="39"/>
      <c r="O198" s="20"/>
    </row>
    <row r="199" spans="1:15" s="12" customFormat="1" ht="46.5" customHeight="1">
      <c r="A199" s="15" t="s">
        <v>80</v>
      </c>
      <c r="B199" s="75" t="s">
        <v>347</v>
      </c>
      <c r="C199" s="39" t="s">
        <v>17</v>
      </c>
      <c r="D199" s="39"/>
      <c r="E199" s="39">
        <v>10</v>
      </c>
      <c r="F199" s="39"/>
      <c r="G199" s="40">
        <v>10</v>
      </c>
      <c r="H199" s="40">
        <f>SUM(Tabla1323[[#This Row],[PRIMER TRIMESTRE]:[CUARTO TRIMESTRE]])</f>
        <v>20</v>
      </c>
      <c r="I199" s="17">
        <v>4100</v>
      </c>
      <c r="J199" s="17">
        <f t="shared" si="4"/>
        <v>82000</v>
      </c>
      <c r="K199" s="17"/>
      <c r="L199" s="16" t="s">
        <v>27</v>
      </c>
      <c r="M199" s="16" t="s">
        <v>22</v>
      </c>
      <c r="N199" s="39"/>
      <c r="O199" s="20"/>
    </row>
    <row r="200" spans="1:15" s="12" customFormat="1" ht="46.5" customHeight="1">
      <c r="A200" s="15" t="s">
        <v>80</v>
      </c>
      <c r="B200" s="75" t="s">
        <v>356</v>
      </c>
      <c r="C200" s="39" t="s">
        <v>17</v>
      </c>
      <c r="D200" s="39"/>
      <c r="E200" s="39">
        <v>40</v>
      </c>
      <c r="F200" s="39"/>
      <c r="G200" s="40">
        <v>40</v>
      </c>
      <c r="H200" s="40">
        <f>SUM(Tabla1323[[#This Row],[PRIMER TRIMESTRE]:[CUARTO TRIMESTRE]])</f>
        <v>80</v>
      </c>
      <c r="I200" s="17">
        <v>1200</v>
      </c>
      <c r="J200" s="17">
        <f t="shared" si="4"/>
        <v>96000</v>
      </c>
      <c r="K200" s="17"/>
      <c r="L200" s="16" t="s">
        <v>27</v>
      </c>
      <c r="M200" s="16" t="s">
        <v>22</v>
      </c>
      <c r="N200" s="39"/>
      <c r="O200" s="20"/>
    </row>
    <row r="201" spans="1:15" s="12" customFormat="1" ht="46.5" customHeight="1">
      <c r="A201" s="15" t="s">
        <v>80</v>
      </c>
      <c r="B201" s="75" t="s">
        <v>357</v>
      </c>
      <c r="C201" s="39" t="s">
        <v>17</v>
      </c>
      <c r="D201" s="39"/>
      <c r="E201" s="39">
        <v>40</v>
      </c>
      <c r="F201" s="39"/>
      <c r="G201" s="40">
        <v>40</v>
      </c>
      <c r="H201" s="40">
        <f>SUM(Tabla1323[[#This Row],[PRIMER TRIMESTRE]:[CUARTO TRIMESTRE]])</f>
        <v>80</v>
      </c>
      <c r="I201" s="17">
        <v>1400</v>
      </c>
      <c r="J201" s="17">
        <f t="shared" si="4"/>
        <v>112000</v>
      </c>
      <c r="K201" s="17"/>
      <c r="L201" s="16" t="s">
        <v>27</v>
      </c>
      <c r="M201" s="16" t="s">
        <v>22</v>
      </c>
      <c r="N201" s="39"/>
      <c r="O201" s="20"/>
    </row>
    <row r="202" spans="1:15" s="12" customFormat="1" ht="46.5" customHeight="1">
      <c r="A202" s="15" t="s">
        <v>80</v>
      </c>
      <c r="B202" s="75" t="s">
        <v>358</v>
      </c>
      <c r="C202" s="39" t="s">
        <v>17</v>
      </c>
      <c r="D202" s="39"/>
      <c r="E202" s="39">
        <v>25</v>
      </c>
      <c r="F202" s="39"/>
      <c r="G202" s="40">
        <v>250</v>
      </c>
      <c r="H202" s="40">
        <f>SUM(Tabla1323[[#This Row],[PRIMER TRIMESTRE]:[CUARTO TRIMESTRE]])</f>
        <v>275</v>
      </c>
      <c r="I202" s="17">
        <v>1600</v>
      </c>
      <c r="J202" s="17">
        <f t="shared" si="4"/>
        <v>440000</v>
      </c>
      <c r="K202" s="17"/>
      <c r="L202" s="16" t="s">
        <v>27</v>
      </c>
      <c r="M202" s="16" t="s">
        <v>22</v>
      </c>
      <c r="N202" s="39"/>
      <c r="O202" s="20"/>
    </row>
    <row r="203" spans="1:15" s="12" customFormat="1" ht="46.5" customHeight="1">
      <c r="A203" s="15" t="s">
        <v>80</v>
      </c>
      <c r="B203" s="75" t="s">
        <v>359</v>
      </c>
      <c r="C203" s="39" t="s">
        <v>17</v>
      </c>
      <c r="D203" s="39"/>
      <c r="E203" s="39">
        <v>40</v>
      </c>
      <c r="F203" s="39"/>
      <c r="G203" s="40">
        <v>40</v>
      </c>
      <c r="H203" s="40">
        <f>SUM(Tabla1323[[#This Row],[PRIMER TRIMESTRE]:[CUARTO TRIMESTRE]])</f>
        <v>80</v>
      </c>
      <c r="I203" s="17">
        <v>1800</v>
      </c>
      <c r="J203" s="17">
        <f t="shared" si="4"/>
        <v>144000</v>
      </c>
      <c r="K203" s="17"/>
      <c r="L203" s="16" t="s">
        <v>27</v>
      </c>
      <c r="M203" s="16" t="s">
        <v>22</v>
      </c>
      <c r="N203" s="39"/>
      <c r="O203" s="20"/>
    </row>
    <row r="204" spans="1:15" s="12" customFormat="1" ht="46.5" customHeight="1">
      <c r="A204" s="15" t="s">
        <v>80</v>
      </c>
      <c r="B204" s="75" t="s">
        <v>360</v>
      </c>
      <c r="C204" s="39" t="s">
        <v>17</v>
      </c>
      <c r="D204" s="39"/>
      <c r="E204" s="39">
        <v>20</v>
      </c>
      <c r="F204" s="39"/>
      <c r="G204" s="40">
        <v>20</v>
      </c>
      <c r="H204" s="40">
        <f>SUM(Tabla1323[[#This Row],[PRIMER TRIMESTRE]:[CUARTO TRIMESTRE]])</f>
        <v>40</v>
      </c>
      <c r="I204" s="17">
        <v>2000</v>
      </c>
      <c r="J204" s="17">
        <f t="shared" si="4"/>
        <v>80000</v>
      </c>
      <c r="K204" s="17"/>
      <c r="L204" s="16" t="s">
        <v>27</v>
      </c>
      <c r="M204" s="16" t="s">
        <v>22</v>
      </c>
      <c r="N204" s="39"/>
      <c r="O204" s="20"/>
    </row>
    <row r="205" spans="1:15" s="12" customFormat="1" ht="46.5" customHeight="1">
      <c r="A205" s="15" t="s">
        <v>80</v>
      </c>
      <c r="B205" s="75" t="s">
        <v>353</v>
      </c>
      <c r="C205" s="39" t="s">
        <v>17</v>
      </c>
      <c r="D205" s="39"/>
      <c r="E205" s="39">
        <v>10</v>
      </c>
      <c r="F205" s="39"/>
      <c r="G205" s="40">
        <v>10</v>
      </c>
      <c r="H205" s="40">
        <f>SUM(Tabla1323[[#This Row],[PRIMER TRIMESTRE]:[CUARTO TRIMESTRE]])</f>
        <v>20</v>
      </c>
      <c r="I205" s="17">
        <v>2500</v>
      </c>
      <c r="J205" s="17">
        <f t="shared" si="4"/>
        <v>50000</v>
      </c>
      <c r="K205" s="17"/>
      <c r="L205" s="16" t="s">
        <v>27</v>
      </c>
      <c r="M205" s="16" t="s">
        <v>22</v>
      </c>
      <c r="N205" s="39"/>
      <c r="O205" s="20"/>
    </row>
    <row r="206" spans="1:15" s="12" customFormat="1" ht="46.5" customHeight="1">
      <c r="A206" s="15" t="s">
        <v>80</v>
      </c>
      <c r="B206" s="75" t="s">
        <v>354</v>
      </c>
      <c r="C206" s="39" t="s">
        <v>17</v>
      </c>
      <c r="D206" s="39"/>
      <c r="E206" s="39">
        <v>15</v>
      </c>
      <c r="F206" s="39"/>
      <c r="G206" s="40">
        <v>15</v>
      </c>
      <c r="H206" s="40">
        <f>SUM(Tabla1323[[#This Row],[PRIMER TRIMESTRE]:[CUARTO TRIMESTRE]])</f>
        <v>30</v>
      </c>
      <c r="I206" s="17">
        <v>8502.7999999999993</v>
      </c>
      <c r="J206" s="17">
        <f t="shared" si="4"/>
        <v>255083.99999999997</v>
      </c>
      <c r="K206" s="17"/>
      <c r="L206" s="16" t="s">
        <v>27</v>
      </c>
      <c r="M206" s="16" t="s">
        <v>22</v>
      </c>
      <c r="N206" s="39"/>
      <c r="O206" s="20"/>
    </row>
    <row r="207" spans="1:15" s="12" customFormat="1" ht="46.5" customHeight="1">
      <c r="A207" s="15" t="s">
        <v>80</v>
      </c>
      <c r="B207" s="75" t="s">
        <v>355</v>
      </c>
      <c r="C207" s="39" t="s">
        <v>17</v>
      </c>
      <c r="D207" s="39"/>
      <c r="E207" s="39"/>
      <c r="F207" s="39"/>
      <c r="G207" s="40">
        <v>200</v>
      </c>
      <c r="H207" s="40">
        <f>SUM(Tabla1323[[#This Row],[PRIMER TRIMESTRE]:[CUARTO TRIMESTRE]])</f>
        <v>200</v>
      </c>
      <c r="I207" s="17">
        <v>12180</v>
      </c>
      <c r="J207" s="17">
        <f t="shared" si="4"/>
        <v>2436000</v>
      </c>
      <c r="K207" s="17"/>
      <c r="L207" s="16" t="s">
        <v>27</v>
      </c>
      <c r="M207" s="16" t="s">
        <v>22</v>
      </c>
      <c r="N207" s="39"/>
      <c r="O207" s="20"/>
    </row>
    <row r="208" spans="1:15" s="12" customFormat="1" ht="46.5" customHeight="1">
      <c r="A208" s="15" t="s">
        <v>80</v>
      </c>
      <c r="B208" s="75" t="s">
        <v>363</v>
      </c>
      <c r="C208" s="39" t="s">
        <v>17</v>
      </c>
      <c r="D208" s="39"/>
      <c r="E208" s="39">
        <v>40</v>
      </c>
      <c r="F208" s="39"/>
      <c r="G208" s="40">
        <v>40</v>
      </c>
      <c r="H208" s="40">
        <f>SUM(Tabla1323[[#This Row],[PRIMER TRIMESTRE]:[CUARTO TRIMESTRE]])</f>
        <v>80</v>
      </c>
      <c r="I208" s="17">
        <v>1200</v>
      </c>
      <c r="J208" s="17">
        <f t="shared" si="4"/>
        <v>96000</v>
      </c>
      <c r="K208" s="17"/>
      <c r="L208" s="16" t="s">
        <v>27</v>
      </c>
      <c r="M208" s="16" t="s">
        <v>22</v>
      </c>
      <c r="N208" s="39"/>
      <c r="O208" s="20"/>
    </row>
    <row r="209" spans="1:18" s="12" customFormat="1" ht="46.5" customHeight="1">
      <c r="A209" s="15" t="s">
        <v>80</v>
      </c>
      <c r="B209" s="75" t="s">
        <v>364</v>
      </c>
      <c r="C209" s="39" t="s">
        <v>17</v>
      </c>
      <c r="D209" s="39"/>
      <c r="E209" s="39"/>
      <c r="F209" s="39"/>
      <c r="G209" s="40">
        <v>21</v>
      </c>
      <c r="H209" s="40">
        <f>SUM(Tabla1323[[#This Row],[PRIMER TRIMESTRE]:[CUARTO TRIMESTRE]])</f>
        <v>21</v>
      </c>
      <c r="I209" s="17">
        <v>1400</v>
      </c>
      <c r="J209" s="17">
        <f t="shared" si="4"/>
        <v>29400</v>
      </c>
      <c r="K209" s="17"/>
      <c r="L209" s="16" t="s">
        <v>27</v>
      </c>
      <c r="M209" s="16" t="s">
        <v>22</v>
      </c>
      <c r="N209" s="39"/>
      <c r="O209" s="20"/>
    </row>
    <row r="210" spans="1:18" s="12" customFormat="1" ht="46.5" customHeight="1">
      <c r="A210" s="15" t="s">
        <v>80</v>
      </c>
      <c r="B210" s="75" t="s">
        <v>365</v>
      </c>
      <c r="C210" s="39" t="s">
        <v>17</v>
      </c>
      <c r="D210" s="39"/>
      <c r="E210" s="39">
        <v>2</v>
      </c>
      <c r="F210" s="39"/>
      <c r="G210" s="40"/>
      <c r="H210" s="40">
        <f>SUM(Tabla1323[[#This Row],[PRIMER TRIMESTRE]:[CUARTO TRIMESTRE]])</f>
        <v>2</v>
      </c>
      <c r="I210" s="17">
        <v>1600</v>
      </c>
      <c r="J210" s="17">
        <f t="shared" si="4"/>
        <v>3200</v>
      </c>
      <c r="K210" s="17"/>
      <c r="L210" s="16" t="s">
        <v>27</v>
      </c>
      <c r="M210" s="16" t="s">
        <v>22</v>
      </c>
      <c r="N210" s="39"/>
      <c r="O210" s="20"/>
    </row>
    <row r="211" spans="1:18" s="12" customFormat="1" ht="46.5" customHeight="1">
      <c r="A211" s="15" t="s">
        <v>80</v>
      </c>
      <c r="B211" s="75" t="s">
        <v>366</v>
      </c>
      <c r="C211" s="39" t="s">
        <v>17</v>
      </c>
      <c r="D211" s="39"/>
      <c r="E211" s="39">
        <v>6</v>
      </c>
      <c r="F211" s="39"/>
      <c r="G211" s="40"/>
      <c r="H211" s="40">
        <f>SUM(Tabla1323[[#This Row],[PRIMER TRIMESTRE]:[CUARTO TRIMESTRE]])</f>
        <v>6</v>
      </c>
      <c r="I211" s="17">
        <v>1800</v>
      </c>
      <c r="J211" s="17">
        <f t="shared" si="4"/>
        <v>10800</v>
      </c>
      <c r="K211" s="17"/>
      <c r="L211" s="16" t="s">
        <v>27</v>
      </c>
      <c r="M211" s="16" t="s">
        <v>22</v>
      </c>
      <c r="N211" s="39"/>
      <c r="O211" s="20"/>
    </row>
    <row r="212" spans="1:18" s="12" customFormat="1" ht="46.5" customHeight="1">
      <c r="A212" s="15" t="s">
        <v>80</v>
      </c>
      <c r="B212" s="75" t="s">
        <v>367</v>
      </c>
      <c r="C212" s="39" t="s">
        <v>17</v>
      </c>
      <c r="D212" s="39"/>
      <c r="E212" s="39">
        <v>60</v>
      </c>
      <c r="F212" s="39"/>
      <c r="G212" s="40">
        <v>60</v>
      </c>
      <c r="H212" s="40">
        <f>SUM(Tabla1323[[#This Row],[PRIMER TRIMESTRE]:[CUARTO TRIMESTRE]])</f>
        <v>120</v>
      </c>
      <c r="I212" s="17">
        <v>2000</v>
      </c>
      <c r="J212" s="17">
        <f t="shared" si="4"/>
        <v>240000</v>
      </c>
      <c r="K212" s="17"/>
      <c r="L212" s="16" t="s">
        <v>27</v>
      </c>
      <c r="M212" s="16" t="s">
        <v>22</v>
      </c>
      <c r="N212" s="39"/>
      <c r="O212" s="20"/>
    </row>
    <row r="213" spans="1:18" s="12" customFormat="1" ht="46.5" customHeight="1">
      <c r="A213" s="15" t="s">
        <v>80</v>
      </c>
      <c r="B213" s="75" t="s">
        <v>361</v>
      </c>
      <c r="C213" s="39" t="s">
        <v>17</v>
      </c>
      <c r="D213" s="39"/>
      <c r="E213" s="39">
        <v>200</v>
      </c>
      <c r="F213" s="39"/>
      <c r="G213" s="40">
        <v>200</v>
      </c>
      <c r="H213" s="40">
        <f>SUM(Tabla1323[[#This Row],[PRIMER TRIMESTRE]:[CUARTO TRIMESTRE]])</f>
        <v>400</v>
      </c>
      <c r="I213" s="17">
        <v>2500</v>
      </c>
      <c r="J213" s="17">
        <f t="shared" si="4"/>
        <v>1000000</v>
      </c>
      <c r="K213" s="17"/>
      <c r="L213" s="16" t="s">
        <v>27</v>
      </c>
      <c r="M213" s="16" t="s">
        <v>22</v>
      </c>
      <c r="N213" s="39"/>
      <c r="O213" s="20"/>
    </row>
    <row r="214" spans="1:18" s="12" customFormat="1" ht="46.5" customHeight="1">
      <c r="A214" s="15" t="s">
        <v>80</v>
      </c>
      <c r="B214" s="75" t="s">
        <v>362</v>
      </c>
      <c r="C214" s="39" t="s">
        <v>17</v>
      </c>
      <c r="D214" s="39"/>
      <c r="E214" s="39">
        <v>200</v>
      </c>
      <c r="F214" s="39"/>
      <c r="G214" s="40">
        <v>200</v>
      </c>
      <c r="H214" s="40">
        <f>SUM(Tabla1323[[#This Row],[PRIMER TRIMESTRE]:[CUARTO TRIMESTRE]])</f>
        <v>400</v>
      </c>
      <c r="I214" s="17">
        <v>3100</v>
      </c>
      <c r="J214" s="17">
        <f t="shared" si="4"/>
        <v>1240000</v>
      </c>
      <c r="K214" s="17"/>
      <c r="L214" s="16" t="s">
        <v>27</v>
      </c>
      <c r="M214" s="16" t="s">
        <v>22</v>
      </c>
      <c r="N214" s="39"/>
      <c r="O214" s="20"/>
    </row>
    <row r="215" spans="1:18" s="12" customFormat="1">
      <c r="A215" s="15" t="s">
        <v>80</v>
      </c>
      <c r="B215" s="75" t="s">
        <v>154</v>
      </c>
      <c r="C215" s="39" t="s">
        <v>470</v>
      </c>
      <c r="D215" s="39"/>
      <c r="E215" s="39">
        <v>6</v>
      </c>
      <c r="F215" s="39"/>
      <c r="G215" s="39"/>
      <c r="H215" s="40">
        <f>SUM(Tabla1323[[#This Row],[PRIMER TRIMESTRE]:[CUARTO TRIMESTRE]])</f>
        <v>6</v>
      </c>
      <c r="I215" s="17">
        <v>100</v>
      </c>
      <c r="J215" s="17">
        <f>+Tabla1323[[#This Row],[CANTIDAD TOTAL]]*Tabla1323[[#This Row],[PRECIO UNITARIO ESTIMADO]]</f>
        <v>600</v>
      </c>
      <c r="K215" s="17"/>
      <c r="L215" s="16" t="s">
        <v>27</v>
      </c>
      <c r="M215" s="16" t="s">
        <v>22</v>
      </c>
      <c r="N215" s="39" t="s">
        <v>418</v>
      </c>
      <c r="O215" s="20"/>
      <c r="R215" s="19" t="s">
        <v>155</v>
      </c>
    </row>
    <row r="216" spans="1:18" s="12" customFormat="1">
      <c r="A216" s="15" t="s">
        <v>80</v>
      </c>
      <c r="B216" s="75" t="s">
        <v>156</v>
      </c>
      <c r="C216" s="39" t="s">
        <v>17</v>
      </c>
      <c r="D216" s="39"/>
      <c r="E216" s="39"/>
      <c r="F216" s="39">
        <v>30</v>
      </c>
      <c r="G216" s="39"/>
      <c r="H216" s="40">
        <f>SUM(Tabla1323[[#This Row],[PRIMER TRIMESTRE]:[CUARTO TRIMESTRE]])</f>
        <v>30</v>
      </c>
      <c r="I216" s="17">
        <v>439.81</v>
      </c>
      <c r="J216" s="17">
        <f>+Tabla1323[[#This Row],[CANTIDAD TOTAL]]*Tabla1323[[#This Row],[PRECIO UNITARIO ESTIMADO]]</f>
        <v>13194.3</v>
      </c>
      <c r="K216" s="17"/>
      <c r="L216" s="16" t="s">
        <v>15</v>
      </c>
      <c r="M216" s="16" t="s">
        <v>22</v>
      </c>
      <c r="N216" s="39" t="s">
        <v>418</v>
      </c>
      <c r="O216" s="20"/>
      <c r="R216" s="19" t="s">
        <v>157</v>
      </c>
    </row>
    <row r="217" spans="1:18" s="12" customFormat="1">
      <c r="A217" s="15" t="s">
        <v>80</v>
      </c>
      <c r="B217" s="75" t="s">
        <v>728</v>
      </c>
      <c r="C217" s="39" t="s">
        <v>17</v>
      </c>
      <c r="D217" s="39"/>
      <c r="E217" s="39"/>
      <c r="F217" s="39">
        <v>30</v>
      </c>
      <c r="G217" s="39"/>
      <c r="H217" s="40">
        <f>SUM(Tabla1323[[#This Row],[PRIMER TRIMESTRE]:[CUARTO TRIMESTRE]])</f>
        <v>30</v>
      </c>
      <c r="I217" s="17">
        <v>1800.17</v>
      </c>
      <c r="J217" s="17">
        <f>+H217*I217</f>
        <v>54005.100000000006</v>
      </c>
      <c r="K217" s="17"/>
      <c r="L217" s="16" t="s">
        <v>15</v>
      </c>
      <c r="M217" s="16" t="s">
        <v>22</v>
      </c>
      <c r="N217" s="39" t="s">
        <v>418</v>
      </c>
      <c r="O217" s="18"/>
      <c r="R217" s="19"/>
    </row>
    <row r="218" spans="1:18" s="12" customFormat="1" ht="31.5">
      <c r="A218" s="15" t="s">
        <v>80</v>
      </c>
      <c r="B218" s="75" t="s">
        <v>158</v>
      </c>
      <c r="C218" s="39" t="s">
        <v>17</v>
      </c>
      <c r="D218" s="39"/>
      <c r="E218" s="39"/>
      <c r="F218" s="39">
        <v>30</v>
      </c>
      <c r="G218" s="39"/>
      <c r="H218" s="40">
        <f>SUM(Tabla1323[[#This Row],[PRIMER TRIMESTRE]:[CUARTO TRIMESTRE]])</f>
        <v>30</v>
      </c>
      <c r="I218" s="17">
        <v>1120</v>
      </c>
      <c r="J218" s="17">
        <f>+Tabla1323[[#This Row],[CANTIDAD TOTAL]]*Tabla1323[[#This Row],[PRECIO UNITARIO ESTIMADO]]</f>
        <v>33600</v>
      </c>
      <c r="K218" s="17"/>
      <c r="L218" s="16" t="s">
        <v>15</v>
      </c>
      <c r="M218" s="16" t="s">
        <v>22</v>
      </c>
      <c r="N218" s="39" t="s">
        <v>418</v>
      </c>
      <c r="O218" s="20"/>
      <c r="R218" s="19" t="s">
        <v>159</v>
      </c>
    </row>
    <row r="219" spans="1:18" s="12" customFormat="1" ht="31.5">
      <c r="A219" s="15" t="s">
        <v>80</v>
      </c>
      <c r="B219" s="75" t="s">
        <v>160</v>
      </c>
      <c r="C219" s="39" t="s">
        <v>17</v>
      </c>
      <c r="D219" s="39"/>
      <c r="E219" s="39">
        <v>25</v>
      </c>
      <c r="F219" s="39"/>
      <c r="G219" s="39">
        <v>25</v>
      </c>
      <c r="H219" s="40">
        <f>SUM(Tabla1323[[#This Row],[PRIMER TRIMESTRE]:[CUARTO TRIMESTRE]])</f>
        <v>50</v>
      </c>
      <c r="I219" s="17">
        <v>1908</v>
      </c>
      <c r="J219" s="17">
        <f>+Tabla1323[[#This Row],[CANTIDAD TOTAL]]*Tabla1323[[#This Row],[PRECIO UNITARIO ESTIMADO]]</f>
        <v>95400</v>
      </c>
      <c r="K219" s="17"/>
      <c r="L219" s="16" t="s">
        <v>15</v>
      </c>
      <c r="M219" s="16" t="s">
        <v>22</v>
      </c>
      <c r="N219" s="39" t="s">
        <v>418</v>
      </c>
      <c r="O219" s="20"/>
      <c r="R219" s="19" t="s">
        <v>161</v>
      </c>
    </row>
    <row r="220" spans="1:18" s="12" customFormat="1">
      <c r="A220" s="15" t="s">
        <v>80</v>
      </c>
      <c r="B220" s="75" t="s">
        <v>162</v>
      </c>
      <c r="C220" s="39" t="s">
        <v>17</v>
      </c>
      <c r="D220" s="39"/>
      <c r="E220" s="39">
        <v>8</v>
      </c>
      <c r="F220" s="39"/>
      <c r="G220" s="39">
        <v>7</v>
      </c>
      <c r="H220" s="40">
        <f>SUM(Tabla1323[[#This Row],[PRIMER TRIMESTRE]:[CUARTO TRIMESTRE]])</f>
        <v>15</v>
      </c>
      <c r="I220" s="17">
        <v>29</v>
      </c>
      <c r="J220" s="17">
        <f>+Tabla1323[[#This Row],[CANTIDAD TOTAL]]*Tabla1323[[#This Row],[PRECIO UNITARIO ESTIMADO]]</f>
        <v>435</v>
      </c>
      <c r="K220" s="17"/>
      <c r="L220" s="16" t="s">
        <v>15</v>
      </c>
      <c r="M220" s="16" t="s">
        <v>22</v>
      </c>
      <c r="N220" s="39" t="s">
        <v>418</v>
      </c>
      <c r="O220" s="20"/>
      <c r="R220" s="19" t="s">
        <v>163</v>
      </c>
    </row>
    <row r="221" spans="1:18" s="12" customFormat="1">
      <c r="A221" s="15" t="s">
        <v>80</v>
      </c>
      <c r="B221" s="75" t="s">
        <v>368</v>
      </c>
      <c r="C221" s="39" t="s">
        <v>17</v>
      </c>
      <c r="D221" s="39"/>
      <c r="E221" s="39">
        <v>8</v>
      </c>
      <c r="F221" s="39"/>
      <c r="G221" s="39"/>
      <c r="H221" s="40">
        <f>SUM(Tabla1323[[#This Row],[PRIMER TRIMESTRE]:[CUARTO TRIMESTRE]])</f>
        <v>8</v>
      </c>
      <c r="I221" s="17">
        <v>75.400000000000006</v>
      </c>
      <c r="J221" s="17">
        <f>+H221*I221</f>
        <v>603.20000000000005</v>
      </c>
      <c r="K221" s="17"/>
      <c r="L221" s="16" t="s">
        <v>15</v>
      </c>
      <c r="M221" s="16" t="s">
        <v>22</v>
      </c>
      <c r="N221" s="39" t="s">
        <v>418</v>
      </c>
      <c r="O221" s="20"/>
    </row>
    <row r="222" spans="1:18" s="12" customFormat="1">
      <c r="A222" s="15" t="s">
        <v>80</v>
      </c>
      <c r="B222" s="75" t="s">
        <v>602</v>
      </c>
      <c r="C222" s="39" t="s">
        <v>17</v>
      </c>
      <c r="D222" s="39"/>
      <c r="E222" s="39">
        <v>3</v>
      </c>
      <c r="F222" s="39"/>
      <c r="G222" s="39"/>
      <c r="H222" s="40">
        <f>SUM(Tabla1323[[#This Row],[PRIMER TRIMESTRE]:[CUARTO TRIMESTRE]])</f>
        <v>3</v>
      </c>
      <c r="I222" s="17">
        <v>90</v>
      </c>
      <c r="J222" s="17">
        <f>+H222*I222</f>
        <v>270</v>
      </c>
      <c r="K222" s="17"/>
      <c r="L222" s="16" t="s">
        <v>15</v>
      </c>
      <c r="M222" s="16" t="s">
        <v>22</v>
      </c>
      <c r="N222" s="39" t="s">
        <v>418</v>
      </c>
      <c r="O222" s="20"/>
    </row>
    <row r="223" spans="1:18" s="12" customFormat="1" ht="38.25" customHeight="1">
      <c r="A223" s="15" t="s">
        <v>80</v>
      </c>
      <c r="B223" s="75" t="s">
        <v>164</v>
      </c>
      <c r="C223" s="39" t="s">
        <v>17</v>
      </c>
      <c r="D223" s="39"/>
      <c r="E223" s="39"/>
      <c r="F223" s="39">
        <v>50</v>
      </c>
      <c r="G223" s="39"/>
      <c r="H223" s="40">
        <f>SUM(Tabla1323[[#This Row],[PRIMER TRIMESTRE]:[CUARTO TRIMESTRE]])</f>
        <v>50</v>
      </c>
      <c r="I223" s="17">
        <v>3419.05</v>
      </c>
      <c r="J223" s="17">
        <f>+Tabla1323[[#This Row],[CANTIDAD TOTAL]]*Tabla1323[[#This Row],[PRECIO UNITARIO ESTIMADO]]</f>
        <v>170952.5</v>
      </c>
      <c r="K223" s="17"/>
      <c r="L223" s="16" t="s">
        <v>15</v>
      </c>
      <c r="M223" s="16" t="s">
        <v>22</v>
      </c>
      <c r="N223" s="39" t="s">
        <v>418</v>
      </c>
      <c r="O223" s="20"/>
      <c r="R223" s="19" t="s">
        <v>165</v>
      </c>
    </row>
    <row r="224" spans="1:18" s="12" customFormat="1">
      <c r="A224" s="15" t="s">
        <v>80</v>
      </c>
      <c r="B224" s="75" t="s">
        <v>462</v>
      </c>
      <c r="C224" s="39" t="s">
        <v>17</v>
      </c>
      <c r="D224" s="39"/>
      <c r="E224" s="39"/>
      <c r="F224" s="39">
        <v>50</v>
      </c>
      <c r="G224" s="39"/>
      <c r="H224" s="40">
        <f>SUM(Tabla1323[[#This Row],[PRIMER TRIMESTRE]:[CUARTO TRIMESTRE]])</f>
        <v>50</v>
      </c>
      <c r="I224" s="17">
        <v>1896.06</v>
      </c>
      <c r="J224" s="17">
        <f>+H224*I224</f>
        <v>94803</v>
      </c>
      <c r="K224" s="17"/>
      <c r="L224" s="16" t="s">
        <v>15</v>
      </c>
      <c r="M224" s="16" t="s">
        <v>22</v>
      </c>
      <c r="N224" s="39" t="s">
        <v>418</v>
      </c>
      <c r="O224" s="18"/>
      <c r="R224" s="19"/>
    </row>
    <row r="225" spans="1:18" s="12" customFormat="1" ht="31.5">
      <c r="A225" s="15" t="s">
        <v>80</v>
      </c>
      <c r="B225" s="75" t="s">
        <v>463</v>
      </c>
      <c r="C225" s="39" t="s">
        <v>17</v>
      </c>
      <c r="D225" s="39"/>
      <c r="E225" s="39"/>
      <c r="F225" s="39">
        <v>50</v>
      </c>
      <c r="G225" s="39"/>
      <c r="H225" s="40">
        <f>SUM(Tabla1323[[#This Row],[PRIMER TRIMESTRE]:[CUARTO TRIMESTRE]])</f>
        <v>50</v>
      </c>
      <c r="I225" s="17">
        <v>2320</v>
      </c>
      <c r="J225" s="17">
        <f>+Tabla1323[[#This Row],[CANTIDAD TOTAL]]*Tabla1323[[#This Row],[PRECIO UNITARIO ESTIMADO]]</f>
        <v>116000</v>
      </c>
      <c r="K225" s="17"/>
      <c r="L225" s="16" t="s">
        <v>15</v>
      </c>
      <c r="M225" s="16" t="s">
        <v>22</v>
      </c>
      <c r="N225" s="39" t="s">
        <v>418</v>
      </c>
      <c r="O225" s="20"/>
      <c r="R225" s="19" t="s">
        <v>166</v>
      </c>
    </row>
    <row r="226" spans="1:18" s="12" customFormat="1">
      <c r="A226" s="15" t="s">
        <v>80</v>
      </c>
      <c r="B226" s="75" t="s">
        <v>465</v>
      </c>
      <c r="C226" s="39" t="s">
        <v>17</v>
      </c>
      <c r="D226" s="39"/>
      <c r="E226" s="39"/>
      <c r="F226" s="39">
        <v>50</v>
      </c>
      <c r="G226" s="39"/>
      <c r="H226" s="40">
        <f>SUM(Tabla1323[[#This Row],[PRIMER TRIMESTRE]:[CUARTO TRIMESTRE]])</f>
        <v>50</v>
      </c>
      <c r="I226" s="17">
        <v>2682</v>
      </c>
      <c r="J226" s="17">
        <f>+Tabla1323[[#This Row],[CANTIDAD TOTAL]]*Tabla1323[[#This Row],[PRECIO UNITARIO ESTIMADO]]</f>
        <v>134100</v>
      </c>
      <c r="K226" s="17"/>
      <c r="L226" s="16" t="s">
        <v>15</v>
      </c>
      <c r="M226" s="16" t="s">
        <v>22</v>
      </c>
      <c r="N226" s="39" t="s">
        <v>418</v>
      </c>
      <c r="O226" s="20"/>
      <c r="R226" s="19" t="s">
        <v>168</v>
      </c>
    </row>
    <row r="227" spans="1:18" s="12" customFormat="1">
      <c r="A227" s="15" t="s">
        <v>80</v>
      </c>
      <c r="B227" s="75" t="s">
        <v>464</v>
      </c>
      <c r="C227" s="39" t="s">
        <v>17</v>
      </c>
      <c r="D227" s="39"/>
      <c r="E227" s="39"/>
      <c r="F227" s="39">
        <v>50</v>
      </c>
      <c r="G227" s="39"/>
      <c r="H227" s="40">
        <f>SUM(Tabla1323[[#This Row],[PRIMER TRIMESTRE]:[CUARTO TRIMESTRE]])</f>
        <v>50</v>
      </c>
      <c r="I227" s="17">
        <v>50</v>
      </c>
      <c r="J227" s="17">
        <f>+Tabla1323[[#This Row],[CANTIDAD TOTAL]]*Tabla1323[[#This Row],[PRECIO UNITARIO ESTIMADO]]</f>
        <v>2500</v>
      </c>
      <c r="K227" s="17"/>
      <c r="L227" s="16" t="s">
        <v>15</v>
      </c>
      <c r="M227" s="16" t="s">
        <v>22</v>
      </c>
      <c r="N227" s="39" t="s">
        <v>418</v>
      </c>
      <c r="O227" s="20"/>
      <c r="R227" s="19" t="s">
        <v>167</v>
      </c>
    </row>
    <row r="228" spans="1:18" s="12" customFormat="1">
      <c r="A228" s="15" t="s">
        <v>80</v>
      </c>
      <c r="B228" s="75" t="s">
        <v>466</v>
      </c>
      <c r="C228" s="39" t="s">
        <v>17</v>
      </c>
      <c r="D228" s="39"/>
      <c r="E228" s="39"/>
      <c r="F228" s="39">
        <v>50</v>
      </c>
      <c r="G228" s="39"/>
      <c r="H228" s="40">
        <f>SUM(Tabla1323[[#This Row],[PRIMER TRIMESTRE]:[CUARTO TRIMESTRE]])</f>
        <v>50</v>
      </c>
      <c r="I228" s="17">
        <v>1746.26</v>
      </c>
      <c r="J228" s="17">
        <f>+Tabla1323[[#This Row],[CANTIDAD TOTAL]]*Tabla1323[[#This Row],[PRECIO UNITARIO ESTIMADO]]</f>
        <v>87313</v>
      </c>
      <c r="K228" s="17"/>
      <c r="L228" s="16" t="s">
        <v>15</v>
      </c>
      <c r="M228" s="16" t="s">
        <v>22</v>
      </c>
      <c r="N228" s="39" t="s">
        <v>418</v>
      </c>
      <c r="O228" s="20"/>
      <c r="R228" s="19" t="s">
        <v>169</v>
      </c>
    </row>
    <row r="229" spans="1:18" s="12" customFormat="1">
      <c r="A229" s="15" t="s">
        <v>80</v>
      </c>
      <c r="B229" s="75" t="s">
        <v>170</v>
      </c>
      <c r="C229" s="39" t="s">
        <v>17</v>
      </c>
      <c r="D229" s="39"/>
      <c r="E229" s="39"/>
      <c r="F229" s="39">
        <v>50</v>
      </c>
      <c r="G229" s="39"/>
      <c r="H229" s="40">
        <f>SUM(Tabla1323[[#This Row],[PRIMER TRIMESTRE]:[CUARTO TRIMESTRE]])</f>
        <v>50</v>
      </c>
      <c r="I229" s="17">
        <v>458.2</v>
      </c>
      <c r="J229" s="17">
        <f>+Tabla1323[[#This Row],[CANTIDAD TOTAL]]*Tabla1323[[#This Row],[PRECIO UNITARIO ESTIMADO]]</f>
        <v>22910</v>
      </c>
      <c r="K229" s="17"/>
      <c r="L229" s="16" t="s">
        <v>15</v>
      </c>
      <c r="M229" s="16" t="s">
        <v>22</v>
      </c>
      <c r="N229" s="39" t="s">
        <v>418</v>
      </c>
      <c r="O229" s="20"/>
      <c r="R229" s="19" t="s">
        <v>171</v>
      </c>
    </row>
    <row r="230" spans="1:18" s="12" customFormat="1">
      <c r="A230" s="15" t="s">
        <v>80</v>
      </c>
      <c r="B230" s="75" t="s">
        <v>172</v>
      </c>
      <c r="C230" s="39" t="s">
        <v>17</v>
      </c>
      <c r="D230" s="39"/>
      <c r="E230" s="39"/>
      <c r="F230" s="39">
        <v>10</v>
      </c>
      <c r="G230" s="39"/>
      <c r="H230" s="40">
        <f>SUM(Tabla1323[[#This Row],[PRIMER TRIMESTRE]:[CUARTO TRIMESTRE]])</f>
        <v>10</v>
      </c>
      <c r="I230" s="17">
        <v>90</v>
      </c>
      <c r="J230" s="17">
        <f>+Tabla1323[[#This Row],[CANTIDAD TOTAL]]*Tabla1323[[#This Row],[PRECIO UNITARIO ESTIMADO]]</f>
        <v>900</v>
      </c>
      <c r="K230" s="17"/>
      <c r="L230" s="16" t="s">
        <v>15</v>
      </c>
      <c r="M230" s="16" t="s">
        <v>22</v>
      </c>
      <c r="N230" s="39" t="s">
        <v>418</v>
      </c>
      <c r="O230" s="20"/>
      <c r="R230" s="19" t="s">
        <v>173</v>
      </c>
    </row>
    <row r="231" spans="1:18" s="12" customFormat="1">
      <c r="A231" s="15" t="s">
        <v>80</v>
      </c>
      <c r="B231" s="75" t="s">
        <v>732</v>
      </c>
      <c r="C231" s="39" t="s">
        <v>17</v>
      </c>
      <c r="D231" s="39"/>
      <c r="E231" s="39">
        <v>2</v>
      </c>
      <c r="F231" s="39"/>
      <c r="G231" s="39"/>
      <c r="H231" s="40">
        <f>SUM(Tabla1323[[#This Row],[PRIMER TRIMESTRE]:[CUARTO TRIMESTRE]])</f>
        <v>2</v>
      </c>
      <c r="I231" s="72">
        <v>142.85</v>
      </c>
      <c r="J231" s="17">
        <f>+H231*I231</f>
        <v>285.7</v>
      </c>
      <c r="K231" s="17"/>
      <c r="L231" s="16" t="s">
        <v>15</v>
      </c>
      <c r="M231" s="16" t="s">
        <v>22</v>
      </c>
      <c r="N231" s="39" t="s">
        <v>418</v>
      </c>
      <c r="O231" s="18"/>
      <c r="R231" s="19"/>
    </row>
    <row r="232" spans="1:18" s="12" customFormat="1">
      <c r="A232" s="15" t="s">
        <v>80</v>
      </c>
      <c r="B232" s="75" t="s">
        <v>733</v>
      </c>
      <c r="C232" s="39" t="s">
        <v>17</v>
      </c>
      <c r="D232" s="39"/>
      <c r="E232" s="39">
        <v>40</v>
      </c>
      <c r="F232" s="39"/>
      <c r="G232" s="39">
        <v>40</v>
      </c>
      <c r="H232" s="40">
        <f>SUM(Tabla1323[[#This Row],[PRIMER TRIMESTRE]:[CUARTO TRIMESTRE]])</f>
        <v>80</v>
      </c>
      <c r="I232" s="17">
        <v>39.56</v>
      </c>
      <c r="J232" s="17">
        <f t="shared" ref="J232:J237" si="5">+H232*I232</f>
        <v>3164.8</v>
      </c>
      <c r="K232" s="17"/>
      <c r="L232" s="16" t="s">
        <v>15</v>
      </c>
      <c r="M232" s="16" t="s">
        <v>22</v>
      </c>
      <c r="N232" s="39" t="s">
        <v>418</v>
      </c>
      <c r="O232" s="18"/>
      <c r="R232" s="19"/>
    </row>
    <row r="233" spans="1:18" s="12" customFormat="1">
      <c r="A233" s="15" t="s">
        <v>80</v>
      </c>
      <c r="B233" s="75" t="s">
        <v>734</v>
      </c>
      <c r="C233" s="39" t="s">
        <v>17</v>
      </c>
      <c r="D233" s="39"/>
      <c r="E233" s="39"/>
      <c r="F233" s="39"/>
      <c r="G233" s="39">
        <v>50</v>
      </c>
      <c r="H233" s="40">
        <f>SUM(Tabla1323[[#This Row],[PRIMER TRIMESTRE]:[CUARTO TRIMESTRE]])</f>
        <v>50</v>
      </c>
      <c r="I233" s="17">
        <v>41.8</v>
      </c>
      <c r="J233" s="17">
        <f t="shared" si="5"/>
        <v>2090</v>
      </c>
      <c r="K233" s="17"/>
      <c r="L233" s="16" t="s">
        <v>15</v>
      </c>
      <c r="M233" s="16" t="s">
        <v>22</v>
      </c>
      <c r="N233" s="39" t="s">
        <v>418</v>
      </c>
      <c r="O233" s="18"/>
      <c r="R233" s="19"/>
    </row>
    <row r="234" spans="1:18" s="12" customFormat="1">
      <c r="A234" s="15" t="s">
        <v>80</v>
      </c>
      <c r="B234" s="75" t="s">
        <v>735</v>
      </c>
      <c r="C234" s="39" t="s">
        <v>17</v>
      </c>
      <c r="D234" s="39"/>
      <c r="E234" s="39">
        <v>25</v>
      </c>
      <c r="F234" s="39"/>
      <c r="G234" s="39">
        <v>20</v>
      </c>
      <c r="H234" s="40">
        <f>SUM(Tabla1323[[#This Row],[PRIMER TRIMESTRE]:[CUARTO TRIMESTRE]])</f>
        <v>45</v>
      </c>
      <c r="I234" s="17">
        <v>50.27</v>
      </c>
      <c r="J234" s="17">
        <f t="shared" si="5"/>
        <v>2262.15</v>
      </c>
      <c r="K234" s="17"/>
      <c r="L234" s="16" t="s">
        <v>15</v>
      </c>
      <c r="M234" s="16" t="s">
        <v>22</v>
      </c>
      <c r="N234" s="39" t="s">
        <v>418</v>
      </c>
      <c r="O234" s="18"/>
      <c r="R234" s="19"/>
    </row>
    <row r="235" spans="1:18" s="12" customFormat="1">
      <c r="A235" s="15" t="s">
        <v>80</v>
      </c>
      <c r="B235" s="75" t="s">
        <v>736</v>
      </c>
      <c r="C235" s="39" t="s">
        <v>17</v>
      </c>
      <c r="D235" s="39"/>
      <c r="E235" s="39">
        <v>41</v>
      </c>
      <c r="F235" s="39"/>
      <c r="G235" s="39">
        <v>41</v>
      </c>
      <c r="H235" s="40">
        <f>SUM(Tabla1323[[#This Row],[PRIMER TRIMESTRE]:[CUARTO TRIMESTRE]])</f>
        <v>82</v>
      </c>
      <c r="I235" s="17">
        <v>60.89</v>
      </c>
      <c r="J235" s="17">
        <f t="shared" si="5"/>
        <v>4992.9800000000005</v>
      </c>
      <c r="K235" s="17"/>
      <c r="L235" s="16" t="s">
        <v>15</v>
      </c>
      <c r="M235" s="16" t="s">
        <v>22</v>
      </c>
      <c r="N235" s="39" t="s">
        <v>418</v>
      </c>
      <c r="O235" s="18"/>
      <c r="R235" s="19"/>
    </row>
    <row r="236" spans="1:18" s="12" customFormat="1">
      <c r="A236" s="15" t="s">
        <v>80</v>
      </c>
      <c r="B236" s="75" t="s">
        <v>737</v>
      </c>
      <c r="C236" s="39" t="s">
        <v>17</v>
      </c>
      <c r="D236" s="39"/>
      <c r="E236" s="39"/>
      <c r="F236" s="39"/>
      <c r="G236" s="39">
        <v>30</v>
      </c>
      <c r="H236" s="40">
        <f>SUM(Tabla1323[[#This Row],[PRIMER TRIMESTRE]:[CUARTO TRIMESTRE]])</f>
        <v>30</v>
      </c>
      <c r="I236" s="17">
        <v>65.36</v>
      </c>
      <c r="J236" s="17">
        <f t="shared" si="5"/>
        <v>1960.8</v>
      </c>
      <c r="K236" s="17"/>
      <c r="L236" s="16" t="s">
        <v>15</v>
      </c>
      <c r="M236" s="16" t="s">
        <v>22</v>
      </c>
      <c r="N236" s="39" t="s">
        <v>418</v>
      </c>
      <c r="O236" s="18"/>
      <c r="R236" s="19"/>
    </row>
    <row r="237" spans="1:18" s="12" customFormat="1">
      <c r="A237" s="15" t="s">
        <v>80</v>
      </c>
      <c r="B237" s="75" t="s">
        <v>738</v>
      </c>
      <c r="C237" s="39" t="s">
        <v>17</v>
      </c>
      <c r="D237" s="39"/>
      <c r="E237" s="39">
        <v>70</v>
      </c>
      <c r="F237" s="39"/>
      <c r="G237" s="39">
        <v>70</v>
      </c>
      <c r="H237" s="40">
        <f>SUM(Tabla1323[[#This Row],[PRIMER TRIMESTRE]:[CUARTO TRIMESTRE]])</f>
        <v>140</v>
      </c>
      <c r="I237" s="17">
        <v>352.74</v>
      </c>
      <c r="J237" s="17">
        <f t="shared" si="5"/>
        <v>49383.6</v>
      </c>
      <c r="K237" s="17"/>
      <c r="L237" s="16" t="s">
        <v>15</v>
      </c>
      <c r="M237" s="16" t="s">
        <v>22</v>
      </c>
      <c r="N237" s="39" t="s">
        <v>418</v>
      </c>
      <c r="O237" s="18"/>
      <c r="R237" s="19"/>
    </row>
    <row r="238" spans="1:18" s="12" customFormat="1">
      <c r="A238" s="15" t="s">
        <v>80</v>
      </c>
      <c r="B238" s="75" t="s">
        <v>565</v>
      </c>
      <c r="C238" s="39" t="s">
        <v>17</v>
      </c>
      <c r="D238" s="39"/>
      <c r="E238" s="39">
        <v>70</v>
      </c>
      <c r="F238" s="39"/>
      <c r="G238" s="39">
        <v>70</v>
      </c>
      <c r="H238" s="40">
        <f>SUM(Tabla1323[[#This Row],[PRIMER TRIMESTRE]:[CUARTO TRIMESTRE]])</f>
        <v>140</v>
      </c>
      <c r="I238" s="17">
        <v>141.38</v>
      </c>
      <c r="J238" s="17">
        <f>+Tabla1323[[#This Row],[CANTIDAD TOTAL]]*Tabla1323[[#This Row],[PRECIO UNITARIO ESTIMADO]]</f>
        <v>19793.2</v>
      </c>
      <c r="K238" s="17"/>
      <c r="L238" s="16" t="s">
        <v>15</v>
      </c>
      <c r="M238" s="16" t="s">
        <v>22</v>
      </c>
      <c r="N238" s="39" t="s">
        <v>418</v>
      </c>
      <c r="O238" s="20"/>
      <c r="R238" s="19" t="s">
        <v>146</v>
      </c>
    </row>
    <row r="239" spans="1:18" s="12" customFormat="1">
      <c r="A239" s="15" t="s">
        <v>80</v>
      </c>
      <c r="B239" s="75" t="s">
        <v>174</v>
      </c>
      <c r="C239" s="39" t="s">
        <v>17</v>
      </c>
      <c r="D239" s="39"/>
      <c r="E239" s="39">
        <v>70</v>
      </c>
      <c r="F239" s="39"/>
      <c r="G239" s="39">
        <v>70</v>
      </c>
      <c r="H239" s="40">
        <f>SUM(Tabla1323[[#This Row],[PRIMER TRIMESTRE]:[CUARTO TRIMESTRE]])</f>
        <v>140</v>
      </c>
      <c r="I239" s="17">
        <v>57420</v>
      </c>
      <c r="J239" s="17">
        <f>+Tabla1323[[#This Row],[CANTIDAD TOTAL]]*Tabla1323[[#This Row],[PRECIO UNITARIO ESTIMADO]]</f>
        <v>8038800</v>
      </c>
      <c r="K239" s="17"/>
      <c r="L239" s="16" t="s">
        <v>27</v>
      </c>
      <c r="M239" s="16" t="s">
        <v>22</v>
      </c>
      <c r="N239" s="39" t="s">
        <v>418</v>
      </c>
      <c r="O239" s="20"/>
      <c r="R239" s="19" t="s">
        <v>175</v>
      </c>
    </row>
    <row r="240" spans="1:18" s="12" customFormat="1">
      <c r="A240" s="15" t="s">
        <v>80</v>
      </c>
      <c r="B240" s="75" t="s">
        <v>177</v>
      </c>
      <c r="C240" s="39" t="s">
        <v>93</v>
      </c>
      <c r="D240" s="39"/>
      <c r="E240" s="39"/>
      <c r="F240" s="39">
        <v>9</v>
      </c>
      <c r="G240" s="39"/>
      <c r="H240" s="40">
        <f>SUM(Tabla1323[[#This Row],[PRIMER TRIMESTRE]:[CUARTO TRIMESTRE]])</f>
        <v>9</v>
      </c>
      <c r="I240" s="17">
        <v>226.78</v>
      </c>
      <c r="J240" s="17">
        <f>+Tabla1323[[#This Row],[CANTIDAD TOTAL]]*Tabla1323[[#This Row],[PRECIO UNITARIO ESTIMADO]]</f>
        <v>2041.02</v>
      </c>
      <c r="K240" s="17"/>
      <c r="L240" s="16" t="s">
        <v>27</v>
      </c>
      <c r="M240" s="16" t="s">
        <v>22</v>
      </c>
      <c r="N240" s="39" t="s">
        <v>418</v>
      </c>
      <c r="O240" s="20"/>
      <c r="R240" s="19" t="s">
        <v>178</v>
      </c>
    </row>
    <row r="241" spans="1:18" s="12" customFormat="1" ht="31.5" customHeight="1">
      <c r="A241" s="15" t="s">
        <v>80</v>
      </c>
      <c r="B241" s="75" t="s">
        <v>460</v>
      </c>
      <c r="C241" s="39" t="s">
        <v>93</v>
      </c>
      <c r="D241" s="39"/>
      <c r="E241" s="39"/>
      <c r="F241" s="39">
        <v>15</v>
      </c>
      <c r="G241" s="39"/>
      <c r="H241" s="40">
        <f>SUM(Tabla1323[[#This Row],[PRIMER TRIMESTRE]:[CUARTO TRIMESTRE]])</f>
        <v>15</v>
      </c>
      <c r="I241" s="17">
        <v>2055.4</v>
      </c>
      <c r="J241" s="17">
        <f>+H241*I241</f>
        <v>30831</v>
      </c>
      <c r="K241" s="17"/>
      <c r="L241" s="16" t="s">
        <v>27</v>
      </c>
      <c r="M241" s="16" t="s">
        <v>22</v>
      </c>
      <c r="N241" s="39" t="s">
        <v>418</v>
      </c>
      <c r="O241" s="18"/>
      <c r="R241" s="19"/>
    </row>
    <row r="242" spans="1:18" s="12" customFormat="1">
      <c r="A242" s="15" t="s">
        <v>80</v>
      </c>
      <c r="B242" s="75" t="s">
        <v>179</v>
      </c>
      <c r="C242" s="39" t="s">
        <v>93</v>
      </c>
      <c r="D242" s="39"/>
      <c r="E242" s="39"/>
      <c r="F242" s="39">
        <v>12</v>
      </c>
      <c r="G242" s="39"/>
      <c r="H242" s="40">
        <f>SUM(Tabla1323[[#This Row],[PRIMER TRIMESTRE]:[CUARTO TRIMESTRE]])</f>
        <v>12</v>
      </c>
      <c r="I242" s="17">
        <v>222.14</v>
      </c>
      <c r="J242" s="17">
        <f>+Tabla1323[[#This Row],[CANTIDAD TOTAL]]*Tabla1323[[#This Row],[PRECIO UNITARIO ESTIMADO]]</f>
        <v>2665.68</v>
      </c>
      <c r="K242" s="17"/>
      <c r="L242" s="16" t="s">
        <v>27</v>
      </c>
      <c r="M242" s="16" t="s">
        <v>22</v>
      </c>
      <c r="N242" s="39" t="s">
        <v>418</v>
      </c>
      <c r="O242" s="20"/>
      <c r="R242" s="19" t="s">
        <v>180</v>
      </c>
    </row>
    <row r="243" spans="1:18" s="12" customFormat="1">
      <c r="A243" s="15" t="s">
        <v>80</v>
      </c>
      <c r="B243" s="75" t="s">
        <v>181</v>
      </c>
      <c r="C243" s="39" t="s">
        <v>69</v>
      </c>
      <c r="D243" s="39"/>
      <c r="E243" s="39"/>
      <c r="F243" s="39">
        <v>12</v>
      </c>
      <c r="G243" s="39"/>
      <c r="H243" s="40">
        <f>SUM(Tabla1323[[#This Row],[PRIMER TRIMESTRE]:[CUARTO TRIMESTRE]])</f>
        <v>12</v>
      </c>
      <c r="I243" s="17">
        <v>6206</v>
      </c>
      <c r="J243" s="17">
        <f>+Tabla1323[[#This Row],[CANTIDAD TOTAL]]*Tabla1323[[#This Row],[PRECIO UNITARIO ESTIMADO]]</f>
        <v>74472</v>
      </c>
      <c r="K243" s="17"/>
      <c r="L243" s="16" t="s">
        <v>27</v>
      </c>
      <c r="M243" s="16" t="s">
        <v>22</v>
      </c>
      <c r="N243" s="39" t="s">
        <v>418</v>
      </c>
      <c r="O243" s="20"/>
      <c r="R243" s="19" t="s">
        <v>182</v>
      </c>
    </row>
    <row r="244" spans="1:18" s="12" customFormat="1" ht="36.75" customHeight="1">
      <c r="A244" s="15" t="s">
        <v>80</v>
      </c>
      <c r="B244" s="75" t="s">
        <v>468</v>
      </c>
      <c r="C244" s="39" t="s">
        <v>17</v>
      </c>
      <c r="D244" s="39"/>
      <c r="E244" s="39"/>
      <c r="F244" s="39">
        <v>8</v>
      </c>
      <c r="G244" s="39"/>
      <c r="H244" s="40">
        <f>SUM(Tabla1323[[#This Row],[PRIMER TRIMESTRE]:[CUARTO TRIMESTRE]])</f>
        <v>8</v>
      </c>
      <c r="I244" s="17">
        <v>4827</v>
      </c>
      <c r="J244" s="17">
        <f>+Tabla1323[[#This Row],[CANTIDAD TOTAL]]*Tabla1323[[#This Row],[PRECIO UNITARIO ESTIMADO]]</f>
        <v>38616</v>
      </c>
      <c r="K244" s="17"/>
      <c r="L244" s="16" t="s">
        <v>27</v>
      </c>
      <c r="M244" s="16" t="s">
        <v>22</v>
      </c>
      <c r="N244" s="39" t="s">
        <v>418</v>
      </c>
      <c r="O244" s="20"/>
      <c r="R244" s="19" t="s">
        <v>183</v>
      </c>
    </row>
    <row r="245" spans="1:18" s="12" customFormat="1">
      <c r="A245" s="15" t="s">
        <v>80</v>
      </c>
      <c r="B245" s="75" t="s">
        <v>773</v>
      </c>
      <c r="C245" s="39" t="s">
        <v>17</v>
      </c>
      <c r="D245" s="39"/>
      <c r="E245" s="39"/>
      <c r="F245" s="39">
        <v>35</v>
      </c>
      <c r="G245" s="39"/>
      <c r="H245" s="40">
        <f>SUM(Tabla1323[[#This Row],[PRIMER TRIMESTRE]:[CUARTO TRIMESTRE]])</f>
        <v>35</v>
      </c>
      <c r="I245" s="72">
        <v>500</v>
      </c>
      <c r="J245" s="17">
        <f t="shared" ref="J245:J252" si="6">+H245*I245</f>
        <v>17500</v>
      </c>
      <c r="K245" s="17"/>
      <c r="L245" s="16" t="s">
        <v>27</v>
      </c>
      <c r="M245" s="16" t="s">
        <v>22</v>
      </c>
      <c r="N245" s="39" t="s">
        <v>418</v>
      </c>
      <c r="O245" s="18"/>
      <c r="R245" s="19"/>
    </row>
    <row r="246" spans="1:18" s="12" customFormat="1">
      <c r="A246" s="15" t="s">
        <v>80</v>
      </c>
      <c r="B246" s="75" t="s">
        <v>774</v>
      </c>
      <c r="C246" s="39" t="s">
        <v>17</v>
      </c>
      <c r="D246" s="39"/>
      <c r="E246" s="39">
        <v>750</v>
      </c>
      <c r="F246" s="39"/>
      <c r="G246" s="39">
        <v>750</v>
      </c>
      <c r="H246" s="40">
        <f>SUM(Tabla1323[[#This Row],[PRIMER TRIMESTRE]:[CUARTO TRIMESTRE]])</f>
        <v>1500</v>
      </c>
      <c r="I246" s="72">
        <v>1380</v>
      </c>
      <c r="J246" s="17">
        <f t="shared" si="6"/>
        <v>2070000</v>
      </c>
      <c r="K246" s="17"/>
      <c r="L246" s="16" t="s">
        <v>27</v>
      </c>
      <c r="M246" s="16" t="s">
        <v>22</v>
      </c>
      <c r="N246" s="39" t="s">
        <v>418</v>
      </c>
      <c r="O246" s="18"/>
      <c r="R246" s="19"/>
    </row>
    <row r="247" spans="1:18" s="12" customFormat="1">
      <c r="A247" s="15" t="s">
        <v>80</v>
      </c>
      <c r="B247" s="75" t="s">
        <v>775</v>
      </c>
      <c r="C247" s="39" t="s">
        <v>17</v>
      </c>
      <c r="D247" s="39"/>
      <c r="E247" s="39">
        <v>750</v>
      </c>
      <c r="F247" s="39"/>
      <c r="G247" s="39">
        <v>750</v>
      </c>
      <c r="H247" s="40">
        <f>SUM(Tabla1323[[#This Row],[PRIMER TRIMESTRE]:[CUARTO TRIMESTRE]])</f>
        <v>1500</v>
      </c>
      <c r="I247" s="72">
        <v>3200</v>
      </c>
      <c r="J247" s="17">
        <f t="shared" si="6"/>
        <v>4800000</v>
      </c>
      <c r="K247" s="17"/>
      <c r="L247" s="16" t="s">
        <v>27</v>
      </c>
      <c r="M247" s="16" t="s">
        <v>22</v>
      </c>
      <c r="N247" s="39" t="s">
        <v>418</v>
      </c>
      <c r="O247" s="18"/>
      <c r="R247" s="19"/>
    </row>
    <row r="248" spans="1:18" s="12" customFormat="1" ht="35.25" customHeight="1">
      <c r="A248" s="15" t="s">
        <v>80</v>
      </c>
      <c r="B248" s="75" t="s">
        <v>420</v>
      </c>
      <c r="C248" s="39" t="s">
        <v>17</v>
      </c>
      <c r="D248" s="39"/>
      <c r="E248" s="39">
        <v>750</v>
      </c>
      <c r="F248" s="39"/>
      <c r="G248" s="39">
        <v>750</v>
      </c>
      <c r="H248" s="40">
        <f>SUM(Tabla1323[[#This Row],[PRIMER TRIMESTRE]:[CUARTO TRIMESTRE]])</f>
        <v>1500</v>
      </c>
      <c r="I248" s="17">
        <v>2171.81</v>
      </c>
      <c r="J248" s="17">
        <f t="shared" si="6"/>
        <v>3257715</v>
      </c>
      <c r="K248" s="17"/>
      <c r="L248" s="16" t="s">
        <v>27</v>
      </c>
      <c r="M248" s="16" t="s">
        <v>22</v>
      </c>
      <c r="N248" s="39"/>
      <c r="O248" s="20"/>
    </row>
    <row r="249" spans="1:18" s="12" customFormat="1" ht="35.25" customHeight="1">
      <c r="A249" s="32" t="s">
        <v>80</v>
      </c>
      <c r="B249" s="75" t="s">
        <v>421</v>
      </c>
      <c r="C249" s="39" t="s">
        <v>17</v>
      </c>
      <c r="D249" s="39"/>
      <c r="E249" s="39">
        <v>750</v>
      </c>
      <c r="F249" s="39"/>
      <c r="G249" s="39">
        <v>750</v>
      </c>
      <c r="H249" s="41">
        <f>SUM(Tabla1323[[#This Row],[PRIMER TRIMESTRE]:[CUARTO TRIMESTRE]])</f>
        <v>1500</v>
      </c>
      <c r="I249" s="17">
        <v>3225.53</v>
      </c>
      <c r="J249" s="17">
        <f t="shared" si="6"/>
        <v>4838295</v>
      </c>
      <c r="K249" s="31"/>
      <c r="L249" s="16" t="s">
        <v>27</v>
      </c>
      <c r="M249" s="28" t="s">
        <v>22</v>
      </c>
      <c r="N249" s="45"/>
      <c r="O249" s="20"/>
    </row>
    <row r="250" spans="1:18" s="12" customFormat="1" ht="35.25" customHeight="1">
      <c r="A250" s="32" t="s">
        <v>80</v>
      </c>
      <c r="B250" s="75" t="s">
        <v>422</v>
      </c>
      <c r="C250" s="39" t="s">
        <v>17</v>
      </c>
      <c r="D250" s="39"/>
      <c r="E250" s="39">
        <v>750</v>
      </c>
      <c r="F250" s="39"/>
      <c r="G250" s="39">
        <v>750</v>
      </c>
      <c r="H250" s="41">
        <f>SUM(Tabla1323[[#This Row],[PRIMER TRIMESTRE]:[CUARTO TRIMESTRE]])</f>
        <v>1500</v>
      </c>
      <c r="I250" s="17">
        <v>4361.28</v>
      </c>
      <c r="J250" s="17">
        <f t="shared" si="6"/>
        <v>6541920</v>
      </c>
      <c r="K250" s="31"/>
      <c r="L250" s="16" t="s">
        <v>27</v>
      </c>
      <c r="M250" s="28" t="s">
        <v>22</v>
      </c>
      <c r="N250" s="45"/>
      <c r="O250" s="20"/>
    </row>
    <row r="251" spans="1:18" s="12" customFormat="1" ht="35.25" customHeight="1">
      <c r="A251" s="32" t="s">
        <v>80</v>
      </c>
      <c r="B251" s="75" t="s">
        <v>423</v>
      </c>
      <c r="C251" s="39" t="s">
        <v>17</v>
      </c>
      <c r="D251" s="39"/>
      <c r="E251" s="39">
        <v>750</v>
      </c>
      <c r="F251" s="39"/>
      <c r="G251" s="39">
        <v>750</v>
      </c>
      <c r="H251" s="41">
        <f>SUM(Tabla1323[[#This Row],[PRIMER TRIMESTRE]:[CUARTO TRIMESTRE]])</f>
        <v>1500</v>
      </c>
      <c r="I251" s="17">
        <v>6561.39</v>
      </c>
      <c r="J251" s="17">
        <f t="shared" si="6"/>
        <v>9842085</v>
      </c>
      <c r="K251" s="31"/>
      <c r="L251" s="16" t="s">
        <v>27</v>
      </c>
      <c r="M251" s="28" t="s">
        <v>22</v>
      </c>
      <c r="N251" s="45"/>
      <c r="O251" s="20"/>
    </row>
    <row r="252" spans="1:18" s="12" customFormat="1" ht="35.25" customHeight="1">
      <c r="A252" s="32" t="s">
        <v>80</v>
      </c>
      <c r="B252" s="75" t="s">
        <v>424</v>
      </c>
      <c r="C252" s="39" t="s">
        <v>17</v>
      </c>
      <c r="D252" s="39"/>
      <c r="E252" s="39">
        <v>200</v>
      </c>
      <c r="F252" s="39"/>
      <c r="G252" s="39">
        <v>200</v>
      </c>
      <c r="H252" s="41">
        <f>SUM(Tabla1323[[#This Row],[PRIMER TRIMESTRE]:[CUARTO TRIMESTRE]])</f>
        <v>400</v>
      </c>
      <c r="I252" s="17">
        <v>12136.3</v>
      </c>
      <c r="J252" s="17">
        <f t="shared" si="6"/>
        <v>4854520</v>
      </c>
      <c r="K252" s="31"/>
      <c r="L252" s="16" t="s">
        <v>27</v>
      </c>
      <c r="M252" s="28" t="s">
        <v>22</v>
      </c>
      <c r="N252" s="45"/>
      <c r="O252" s="20"/>
    </row>
    <row r="253" spans="1:18" s="12" customFormat="1">
      <c r="A253" s="15" t="s">
        <v>80</v>
      </c>
      <c r="B253" s="75" t="s">
        <v>184</v>
      </c>
      <c r="C253" s="39" t="s">
        <v>17</v>
      </c>
      <c r="D253" s="39"/>
      <c r="E253" s="39">
        <v>175</v>
      </c>
      <c r="F253" s="39"/>
      <c r="G253" s="39">
        <v>175</v>
      </c>
      <c r="H253" s="40">
        <f>SUM(Tabla1323[[#This Row],[PRIMER TRIMESTRE]:[CUARTO TRIMESTRE]])</f>
        <v>350</v>
      </c>
      <c r="I253" s="17">
        <v>1347.46</v>
      </c>
      <c r="J253" s="17">
        <f>+Tabla1323[[#This Row],[CANTIDAD TOTAL]]*Tabla1323[[#This Row],[PRECIO UNITARIO ESTIMADO]]</f>
        <v>471611</v>
      </c>
      <c r="K253" s="17"/>
      <c r="L253" s="16" t="s">
        <v>27</v>
      </c>
      <c r="M253" s="16" t="s">
        <v>22</v>
      </c>
      <c r="N253" s="39" t="s">
        <v>418</v>
      </c>
      <c r="O253" s="20"/>
      <c r="R253" s="19" t="s">
        <v>185</v>
      </c>
    </row>
    <row r="254" spans="1:18" s="12" customFormat="1" ht="27.75" customHeight="1">
      <c r="A254" s="15" t="s">
        <v>80</v>
      </c>
      <c r="B254" s="75" t="s">
        <v>369</v>
      </c>
      <c r="C254" s="39" t="s">
        <v>17</v>
      </c>
      <c r="D254" s="39"/>
      <c r="E254" s="39">
        <v>175</v>
      </c>
      <c r="F254" s="39"/>
      <c r="G254" s="39">
        <v>175</v>
      </c>
      <c r="H254" s="40">
        <f>SUM(Tabla1323[[#This Row],[PRIMER TRIMESTRE]:[CUARTO TRIMESTRE]])</f>
        <v>350</v>
      </c>
      <c r="I254" s="17">
        <v>4.55</v>
      </c>
      <c r="J254" s="17">
        <f t="shared" ref="J254:J263" si="7">+H254*I254</f>
        <v>1592.5</v>
      </c>
      <c r="K254" s="17"/>
      <c r="L254" s="16" t="s">
        <v>27</v>
      </c>
      <c r="M254" s="16" t="s">
        <v>22</v>
      </c>
      <c r="N254" s="39" t="s">
        <v>418</v>
      </c>
      <c r="O254" s="20"/>
    </row>
    <row r="255" spans="1:18" s="12" customFormat="1" ht="27.75" customHeight="1">
      <c r="A255" s="32" t="s">
        <v>80</v>
      </c>
      <c r="B255" s="75" t="s">
        <v>449</v>
      </c>
      <c r="C255" s="39" t="s">
        <v>17</v>
      </c>
      <c r="D255" s="39"/>
      <c r="E255" s="39">
        <v>175</v>
      </c>
      <c r="F255" s="39"/>
      <c r="G255" s="39">
        <v>175</v>
      </c>
      <c r="H255" s="40">
        <f>SUM(Tabla1323[[#This Row],[PRIMER TRIMESTRE]:[CUARTO TRIMESTRE]])</f>
        <v>350</v>
      </c>
      <c r="I255" s="17">
        <v>4.55</v>
      </c>
      <c r="J255" s="17">
        <f t="shared" si="7"/>
        <v>1592.5</v>
      </c>
      <c r="K255" s="31"/>
      <c r="L255" s="16" t="s">
        <v>27</v>
      </c>
      <c r="M255" s="28" t="s">
        <v>22</v>
      </c>
      <c r="N255" s="39" t="s">
        <v>418</v>
      </c>
      <c r="O255" s="29"/>
    </row>
    <row r="256" spans="1:18" s="12" customFormat="1" ht="27.75" customHeight="1">
      <c r="A256" s="32" t="s">
        <v>80</v>
      </c>
      <c r="B256" s="75" t="s">
        <v>450</v>
      </c>
      <c r="C256" s="39" t="s">
        <v>17</v>
      </c>
      <c r="D256" s="39"/>
      <c r="E256" s="39">
        <v>140</v>
      </c>
      <c r="F256" s="39"/>
      <c r="G256" s="39">
        <v>140</v>
      </c>
      <c r="H256" s="40">
        <f>SUM(Tabla1323[[#This Row],[PRIMER TRIMESTRE]:[CUARTO TRIMESTRE]])</f>
        <v>280</v>
      </c>
      <c r="I256" s="17">
        <v>4.55</v>
      </c>
      <c r="J256" s="17">
        <f t="shared" si="7"/>
        <v>1274</v>
      </c>
      <c r="K256" s="31"/>
      <c r="L256" s="16" t="s">
        <v>27</v>
      </c>
      <c r="M256" s="28" t="s">
        <v>22</v>
      </c>
      <c r="N256" s="39" t="s">
        <v>418</v>
      </c>
      <c r="O256" s="29"/>
    </row>
    <row r="257" spans="1:18" s="12" customFormat="1" ht="27.75" customHeight="1">
      <c r="A257" s="32" t="s">
        <v>80</v>
      </c>
      <c r="B257" s="75" t="s">
        <v>451</v>
      </c>
      <c r="C257" s="39" t="s">
        <v>17</v>
      </c>
      <c r="D257" s="39"/>
      <c r="E257" s="39">
        <v>600</v>
      </c>
      <c r="F257" s="39"/>
      <c r="G257" s="39">
        <v>600</v>
      </c>
      <c r="H257" s="40">
        <f>SUM(Tabla1323[[#This Row],[PRIMER TRIMESTRE]:[CUARTO TRIMESTRE]])</f>
        <v>1200</v>
      </c>
      <c r="I257" s="17">
        <v>4.55</v>
      </c>
      <c r="J257" s="17">
        <f t="shared" si="7"/>
        <v>5460</v>
      </c>
      <c r="K257" s="31"/>
      <c r="L257" s="16" t="s">
        <v>27</v>
      </c>
      <c r="M257" s="28" t="s">
        <v>22</v>
      </c>
      <c r="N257" s="39" t="s">
        <v>418</v>
      </c>
      <c r="O257" s="29"/>
    </row>
    <row r="258" spans="1:18" s="12" customFormat="1" ht="27.75" customHeight="1">
      <c r="A258" s="32" t="s">
        <v>80</v>
      </c>
      <c r="B258" s="75" t="s">
        <v>453</v>
      </c>
      <c r="C258" s="39" t="s">
        <v>17</v>
      </c>
      <c r="D258" s="39"/>
      <c r="E258" s="39">
        <v>400</v>
      </c>
      <c r="F258" s="39"/>
      <c r="G258" s="39">
        <v>400</v>
      </c>
      <c r="H258" s="40">
        <f>SUM(Tabla1323[[#This Row],[PRIMER TRIMESTRE]:[CUARTO TRIMESTRE]])</f>
        <v>800</v>
      </c>
      <c r="I258" s="17">
        <v>4.55</v>
      </c>
      <c r="J258" s="17">
        <f t="shared" si="7"/>
        <v>3640</v>
      </c>
      <c r="K258" s="31"/>
      <c r="L258" s="16" t="s">
        <v>27</v>
      </c>
      <c r="M258" s="28" t="s">
        <v>22</v>
      </c>
      <c r="N258" s="39" t="s">
        <v>418</v>
      </c>
      <c r="O258" s="29"/>
    </row>
    <row r="259" spans="1:18" s="12" customFormat="1" ht="27.75" customHeight="1">
      <c r="A259" s="32" t="s">
        <v>80</v>
      </c>
      <c r="B259" s="75" t="s">
        <v>452</v>
      </c>
      <c r="C259" s="39" t="s">
        <v>17</v>
      </c>
      <c r="D259" s="39"/>
      <c r="E259" s="39">
        <v>3</v>
      </c>
      <c r="F259" s="39"/>
      <c r="G259" s="39">
        <v>2</v>
      </c>
      <c r="H259" s="40">
        <f>SUM(Tabla1323[[#This Row],[PRIMER TRIMESTRE]:[CUARTO TRIMESTRE]])</f>
        <v>5</v>
      </c>
      <c r="I259" s="17">
        <v>4.55</v>
      </c>
      <c r="J259" s="17">
        <f t="shared" si="7"/>
        <v>22.75</v>
      </c>
      <c r="K259" s="31"/>
      <c r="L259" s="16" t="s">
        <v>27</v>
      </c>
      <c r="M259" s="28" t="s">
        <v>22</v>
      </c>
      <c r="N259" s="39" t="s">
        <v>418</v>
      </c>
      <c r="O259" s="29"/>
    </row>
    <row r="260" spans="1:18" s="12" customFormat="1" ht="27.75" customHeight="1">
      <c r="A260" s="15" t="s">
        <v>80</v>
      </c>
      <c r="B260" s="75" t="s">
        <v>603</v>
      </c>
      <c r="C260" s="39" t="s">
        <v>17</v>
      </c>
      <c r="D260" s="39"/>
      <c r="E260" s="39">
        <v>10750</v>
      </c>
      <c r="F260" s="39"/>
      <c r="G260" s="39">
        <v>10750</v>
      </c>
      <c r="H260" s="40">
        <f>SUM(Tabla1323[[#This Row],[PRIMER TRIMESTRE]:[CUARTO TRIMESTRE]])</f>
        <v>21500</v>
      </c>
      <c r="I260" s="17">
        <v>737.74</v>
      </c>
      <c r="J260" s="17">
        <f t="shared" si="7"/>
        <v>15861410</v>
      </c>
      <c r="K260" s="17"/>
      <c r="L260" s="16" t="s">
        <v>27</v>
      </c>
      <c r="M260" s="16" t="s">
        <v>22</v>
      </c>
      <c r="N260" s="39" t="s">
        <v>418</v>
      </c>
      <c r="O260" s="20"/>
    </row>
    <row r="261" spans="1:18" s="12" customFormat="1" ht="27.75" customHeight="1">
      <c r="A261" s="15" t="s">
        <v>80</v>
      </c>
      <c r="B261" s="75" t="s">
        <v>604</v>
      </c>
      <c r="C261" s="39" t="s">
        <v>17</v>
      </c>
      <c r="D261" s="39"/>
      <c r="E261" s="39">
        <v>10000</v>
      </c>
      <c r="F261" s="39"/>
      <c r="G261" s="39">
        <v>10000</v>
      </c>
      <c r="H261" s="40">
        <f>SUM(Tabla1323[[#This Row],[PRIMER TRIMESTRE]:[CUARTO TRIMESTRE]])</f>
        <v>20000</v>
      </c>
      <c r="I261" s="17">
        <v>2121.4499999999998</v>
      </c>
      <c r="J261" s="17">
        <f t="shared" si="7"/>
        <v>42429000</v>
      </c>
      <c r="K261" s="17"/>
      <c r="L261" s="16" t="s">
        <v>27</v>
      </c>
      <c r="M261" s="16" t="s">
        <v>22</v>
      </c>
      <c r="N261" s="39" t="s">
        <v>418</v>
      </c>
      <c r="O261" s="20"/>
    </row>
    <row r="262" spans="1:18" s="12" customFormat="1" ht="27.75" customHeight="1">
      <c r="A262" s="32" t="s">
        <v>80</v>
      </c>
      <c r="B262" s="75" t="s">
        <v>605</v>
      </c>
      <c r="C262" s="39" t="s">
        <v>17</v>
      </c>
      <c r="D262" s="39"/>
      <c r="E262" s="39">
        <v>200</v>
      </c>
      <c r="F262" s="39"/>
      <c r="G262" s="39">
        <v>200</v>
      </c>
      <c r="H262" s="40">
        <f>SUM(Tabla1323[[#This Row],[PRIMER TRIMESTRE]:[CUARTO TRIMESTRE]])</f>
        <v>400</v>
      </c>
      <c r="I262" s="17">
        <v>2121.4499999999998</v>
      </c>
      <c r="J262" s="17">
        <f t="shared" si="7"/>
        <v>848579.99999999988</v>
      </c>
      <c r="K262" s="31"/>
      <c r="L262" s="16" t="s">
        <v>27</v>
      </c>
      <c r="M262" s="28" t="s">
        <v>22</v>
      </c>
      <c r="N262" s="39" t="s">
        <v>418</v>
      </c>
      <c r="O262" s="29"/>
    </row>
    <row r="263" spans="1:18" s="12" customFormat="1" ht="27.75" customHeight="1">
      <c r="A263" s="15" t="s">
        <v>80</v>
      </c>
      <c r="B263" s="75" t="s">
        <v>606</v>
      </c>
      <c r="C263" s="39" t="s">
        <v>17</v>
      </c>
      <c r="D263" s="39"/>
      <c r="E263" s="39">
        <v>50</v>
      </c>
      <c r="F263" s="39"/>
      <c r="G263" s="39">
        <v>50</v>
      </c>
      <c r="H263" s="40">
        <f>SUM(Tabla1323[[#This Row],[PRIMER TRIMESTRE]:[CUARTO TRIMESTRE]])</f>
        <v>100</v>
      </c>
      <c r="I263" s="17">
        <v>3601.69</v>
      </c>
      <c r="J263" s="17">
        <f t="shared" si="7"/>
        <v>360169</v>
      </c>
      <c r="K263" s="17"/>
      <c r="L263" s="16" t="s">
        <v>27</v>
      </c>
      <c r="M263" s="16" t="s">
        <v>22</v>
      </c>
      <c r="N263" s="39" t="s">
        <v>418</v>
      </c>
      <c r="O263" s="20"/>
    </row>
    <row r="264" spans="1:18" s="12" customFormat="1" ht="27.75" customHeight="1">
      <c r="A264" s="15" t="s">
        <v>80</v>
      </c>
      <c r="B264" s="75" t="s">
        <v>188</v>
      </c>
      <c r="C264" s="39" t="s">
        <v>189</v>
      </c>
      <c r="D264" s="39"/>
      <c r="E264" s="39">
        <v>50</v>
      </c>
      <c r="F264" s="39"/>
      <c r="G264" s="39">
        <v>50</v>
      </c>
      <c r="H264" s="40">
        <f>SUM(Tabla1323[[#This Row],[PRIMER TRIMESTRE]:[CUARTO TRIMESTRE]])</f>
        <v>100</v>
      </c>
      <c r="I264" s="17">
        <v>104.4</v>
      </c>
      <c r="J264" s="17">
        <f>+Tabla1323[[#This Row],[CANTIDAD TOTAL]]*Tabla1323[[#This Row],[PRECIO UNITARIO ESTIMADO]]</f>
        <v>10440</v>
      </c>
      <c r="K264" s="17"/>
      <c r="L264" s="16" t="s">
        <v>27</v>
      </c>
      <c r="M264" s="16" t="s">
        <v>22</v>
      </c>
      <c r="N264" s="39" t="s">
        <v>418</v>
      </c>
      <c r="O264" s="20"/>
      <c r="R264" s="19" t="s">
        <v>190</v>
      </c>
    </row>
    <row r="265" spans="1:18" s="12" customFormat="1" ht="27.75" customHeight="1">
      <c r="A265" s="15" t="s">
        <v>80</v>
      </c>
      <c r="B265" s="75" t="s">
        <v>191</v>
      </c>
      <c r="C265" s="39" t="s">
        <v>17</v>
      </c>
      <c r="D265" s="39"/>
      <c r="E265" s="39">
        <v>50</v>
      </c>
      <c r="F265" s="39"/>
      <c r="G265" s="39">
        <v>50</v>
      </c>
      <c r="H265" s="40">
        <f>SUM(Tabla1323[[#This Row],[PRIMER TRIMESTRE]:[CUARTO TRIMESTRE]])</f>
        <v>100</v>
      </c>
      <c r="I265" s="17">
        <v>754</v>
      </c>
      <c r="J265" s="17">
        <f>+Tabla1323[[#This Row],[CANTIDAD TOTAL]]*Tabla1323[[#This Row],[PRECIO UNITARIO ESTIMADO]]</f>
        <v>75400</v>
      </c>
      <c r="K265" s="17"/>
      <c r="L265" s="16" t="s">
        <v>27</v>
      </c>
      <c r="M265" s="16" t="s">
        <v>22</v>
      </c>
      <c r="N265" s="39" t="s">
        <v>418</v>
      </c>
      <c r="O265" s="20"/>
      <c r="R265" s="19" t="s">
        <v>192</v>
      </c>
    </row>
    <row r="266" spans="1:18" s="12" customFormat="1" ht="27.75" customHeight="1">
      <c r="A266" s="15" t="s">
        <v>80</v>
      </c>
      <c r="B266" s="75" t="s">
        <v>193</v>
      </c>
      <c r="C266" s="39" t="s">
        <v>17</v>
      </c>
      <c r="D266" s="39"/>
      <c r="E266" s="39">
        <v>50</v>
      </c>
      <c r="F266" s="39"/>
      <c r="G266" s="39">
        <v>50</v>
      </c>
      <c r="H266" s="40">
        <f>SUM(Tabla1323[[#This Row],[PRIMER TRIMESTRE]:[CUARTO TRIMESTRE]])</f>
        <v>100</v>
      </c>
      <c r="I266" s="17">
        <v>222.06</v>
      </c>
      <c r="J266" s="17">
        <f>+Tabla1323[[#This Row],[CANTIDAD TOTAL]]*Tabla1323[[#This Row],[PRECIO UNITARIO ESTIMADO]]</f>
        <v>22206</v>
      </c>
      <c r="K266" s="17"/>
      <c r="L266" s="16" t="s">
        <v>27</v>
      </c>
      <c r="M266" s="16" t="s">
        <v>22</v>
      </c>
      <c r="N266" s="39" t="s">
        <v>418</v>
      </c>
      <c r="O266" s="20"/>
      <c r="R266" s="19" t="s">
        <v>194</v>
      </c>
    </row>
    <row r="267" spans="1:18" s="12" customFormat="1" ht="27.75" customHeight="1">
      <c r="A267" s="15" t="s">
        <v>80</v>
      </c>
      <c r="B267" s="75" t="s">
        <v>195</v>
      </c>
      <c r="C267" s="39" t="s">
        <v>17</v>
      </c>
      <c r="D267" s="39"/>
      <c r="E267" s="39">
        <v>12</v>
      </c>
      <c r="F267" s="39"/>
      <c r="G267" s="39">
        <v>12</v>
      </c>
      <c r="H267" s="40">
        <f>SUM(Tabla1323[[#This Row],[PRIMER TRIMESTRE]:[CUARTO TRIMESTRE]])</f>
        <v>24</v>
      </c>
      <c r="I267" s="17">
        <v>272.06</v>
      </c>
      <c r="J267" s="17">
        <f>+Tabla1323[[#This Row],[CANTIDAD TOTAL]]*Tabla1323[[#This Row],[PRECIO UNITARIO ESTIMADO]]</f>
        <v>6529.4400000000005</v>
      </c>
      <c r="K267" s="17"/>
      <c r="L267" s="16" t="s">
        <v>27</v>
      </c>
      <c r="M267" s="16" t="s">
        <v>22</v>
      </c>
      <c r="N267" s="39" t="s">
        <v>418</v>
      </c>
      <c r="O267" s="20"/>
      <c r="R267" s="19" t="s">
        <v>196</v>
      </c>
    </row>
    <row r="268" spans="1:18" s="12" customFormat="1" ht="27.75" customHeight="1">
      <c r="A268" s="15" t="s">
        <v>80</v>
      </c>
      <c r="B268" s="75" t="s">
        <v>654</v>
      </c>
      <c r="C268" s="39" t="s">
        <v>17</v>
      </c>
      <c r="D268" s="39"/>
      <c r="E268" s="39">
        <v>250</v>
      </c>
      <c r="F268" s="39"/>
      <c r="G268" s="39">
        <v>250</v>
      </c>
      <c r="H268" s="40">
        <f>SUM(Tabla1323[[#This Row],[PRIMER TRIMESTRE]:[CUARTO TRIMESTRE]])</f>
        <v>500</v>
      </c>
      <c r="I268" s="17">
        <v>2.86</v>
      </c>
      <c r="J268" s="17">
        <f>+Tabla1323[[#This Row],[CANTIDAD TOTAL]]*Tabla1323[[#This Row],[PRECIO UNITARIO ESTIMADO]]</f>
        <v>1430</v>
      </c>
      <c r="K268" s="17"/>
      <c r="L268" s="16" t="s">
        <v>27</v>
      </c>
      <c r="M268" s="16" t="s">
        <v>22</v>
      </c>
      <c r="N268" s="39" t="s">
        <v>418</v>
      </c>
      <c r="O268" s="20"/>
      <c r="R268" s="19" t="s">
        <v>197</v>
      </c>
    </row>
    <row r="269" spans="1:18" s="12" customFormat="1" ht="27.75" customHeight="1">
      <c r="A269" s="15" t="s">
        <v>80</v>
      </c>
      <c r="B269" s="75" t="s">
        <v>655</v>
      </c>
      <c r="C269" s="39" t="s">
        <v>17</v>
      </c>
      <c r="D269" s="39"/>
      <c r="E269" s="39">
        <v>150</v>
      </c>
      <c r="F269" s="39"/>
      <c r="G269" s="39">
        <v>150</v>
      </c>
      <c r="H269" s="40">
        <f>SUM(Tabla1323[[#This Row],[PRIMER TRIMESTRE]:[CUARTO TRIMESTRE]])</f>
        <v>300</v>
      </c>
      <c r="I269" s="17">
        <v>4.09</v>
      </c>
      <c r="J269" s="17">
        <f>+Tabla1323[[#This Row],[CANTIDAD TOTAL]]*Tabla1323[[#This Row],[PRECIO UNITARIO ESTIMADO]]</f>
        <v>1227</v>
      </c>
      <c r="K269" s="17"/>
      <c r="L269" s="16" t="s">
        <v>27</v>
      </c>
      <c r="M269" s="16" t="s">
        <v>22</v>
      </c>
      <c r="N269" s="39" t="s">
        <v>418</v>
      </c>
      <c r="O269" s="20"/>
      <c r="R269" s="19" t="s">
        <v>198</v>
      </c>
    </row>
    <row r="270" spans="1:18" s="12" customFormat="1" ht="27.75" customHeight="1">
      <c r="A270" s="15" t="s">
        <v>80</v>
      </c>
      <c r="B270" s="75" t="s">
        <v>659</v>
      </c>
      <c r="C270" s="39" t="s">
        <v>17</v>
      </c>
      <c r="D270" s="39"/>
      <c r="E270" s="39">
        <v>550</v>
      </c>
      <c r="F270" s="39"/>
      <c r="G270" s="39">
        <v>550</v>
      </c>
      <c r="H270" s="40">
        <f>SUM(Tabla1323[[#This Row],[PRIMER TRIMESTRE]:[CUARTO TRIMESTRE]])</f>
        <v>1100</v>
      </c>
      <c r="I270" s="72">
        <v>11.82</v>
      </c>
      <c r="J270" s="17">
        <f>+H270*I270</f>
        <v>13002</v>
      </c>
      <c r="K270" s="17"/>
      <c r="L270" s="16" t="s">
        <v>27</v>
      </c>
      <c r="M270" s="16" t="s">
        <v>22</v>
      </c>
      <c r="N270" s="39" t="s">
        <v>418</v>
      </c>
      <c r="O270" s="18"/>
      <c r="R270" s="19"/>
    </row>
    <row r="271" spans="1:18" s="12" customFormat="1" ht="27.75" customHeight="1">
      <c r="A271" s="15" t="s">
        <v>80</v>
      </c>
      <c r="B271" s="75" t="s">
        <v>660</v>
      </c>
      <c r="C271" s="39" t="s">
        <v>17</v>
      </c>
      <c r="D271" s="39"/>
      <c r="E271" s="39">
        <v>40</v>
      </c>
      <c r="F271" s="39"/>
      <c r="G271" s="39">
        <v>40</v>
      </c>
      <c r="H271" s="40">
        <f>SUM(Tabla1323[[#This Row],[PRIMER TRIMESTRE]:[CUARTO TRIMESTRE]])</f>
        <v>80</v>
      </c>
      <c r="I271" s="72">
        <v>13.65</v>
      </c>
      <c r="J271" s="17">
        <f>+H271*I271</f>
        <v>1092</v>
      </c>
      <c r="K271" s="17"/>
      <c r="L271" s="16" t="s">
        <v>27</v>
      </c>
      <c r="M271" s="16" t="s">
        <v>22</v>
      </c>
      <c r="N271" s="39" t="s">
        <v>418</v>
      </c>
      <c r="O271" s="18"/>
      <c r="R271" s="19"/>
    </row>
    <row r="272" spans="1:18" s="12" customFormat="1">
      <c r="A272" s="15" t="s">
        <v>80</v>
      </c>
      <c r="B272" s="75" t="s">
        <v>656</v>
      </c>
      <c r="C272" s="39" t="s">
        <v>17</v>
      </c>
      <c r="D272" s="39"/>
      <c r="E272" s="39">
        <v>40</v>
      </c>
      <c r="F272" s="39"/>
      <c r="G272" s="39">
        <v>40</v>
      </c>
      <c r="H272" s="40">
        <f>SUM(Tabla1323[[#This Row],[PRIMER TRIMESTRE]:[CUARTO TRIMESTRE]])</f>
        <v>80</v>
      </c>
      <c r="I272" s="17">
        <v>22.39</v>
      </c>
      <c r="J272" s="17">
        <f>+Tabla1323[[#This Row],[CANTIDAD TOTAL]]*Tabla1323[[#This Row],[PRECIO UNITARIO ESTIMADO]]</f>
        <v>1791.2</v>
      </c>
      <c r="K272" s="17"/>
      <c r="L272" s="16" t="s">
        <v>27</v>
      </c>
      <c r="M272" s="16" t="s">
        <v>22</v>
      </c>
      <c r="N272" s="39" t="s">
        <v>418</v>
      </c>
      <c r="O272" s="20"/>
      <c r="R272" s="19" t="s">
        <v>199</v>
      </c>
    </row>
    <row r="273" spans="1:18" s="12" customFormat="1">
      <c r="A273" s="15" t="s">
        <v>80</v>
      </c>
      <c r="B273" s="75" t="s">
        <v>657</v>
      </c>
      <c r="C273" s="39" t="s">
        <v>17</v>
      </c>
      <c r="D273" s="39"/>
      <c r="E273" s="39">
        <v>40</v>
      </c>
      <c r="F273" s="39"/>
      <c r="G273" s="39">
        <v>40</v>
      </c>
      <c r="H273" s="40">
        <f>SUM(Tabla1323[[#This Row],[PRIMER TRIMESTRE]:[CUARTO TRIMESTRE]])</f>
        <v>80</v>
      </c>
      <c r="I273" s="17">
        <v>59.97</v>
      </c>
      <c r="J273" s="17">
        <f>+Tabla1323[[#This Row],[CANTIDAD TOTAL]]*Tabla1323[[#This Row],[PRECIO UNITARIO ESTIMADO]]</f>
        <v>4797.6000000000004</v>
      </c>
      <c r="K273" s="17"/>
      <c r="L273" s="16" t="s">
        <v>27</v>
      </c>
      <c r="M273" s="16" t="s">
        <v>22</v>
      </c>
      <c r="N273" s="39" t="s">
        <v>418</v>
      </c>
      <c r="O273" s="20"/>
      <c r="R273" s="19" t="s">
        <v>200</v>
      </c>
    </row>
    <row r="274" spans="1:18" s="12" customFormat="1">
      <c r="A274" s="15" t="s">
        <v>80</v>
      </c>
      <c r="B274" s="75" t="s">
        <v>658</v>
      </c>
      <c r="C274" s="39" t="s">
        <v>17</v>
      </c>
      <c r="D274" s="39"/>
      <c r="E274" s="39">
        <v>20</v>
      </c>
      <c r="F274" s="39"/>
      <c r="G274" s="39">
        <v>20</v>
      </c>
      <c r="H274" s="40">
        <f>SUM(Tabla1323[[#This Row],[PRIMER TRIMESTRE]:[CUARTO TRIMESTRE]])</f>
        <v>40</v>
      </c>
      <c r="I274" s="17">
        <v>101.5</v>
      </c>
      <c r="J274" s="17">
        <f>+Tabla1323[[#This Row],[CANTIDAD TOTAL]]*Tabla1323[[#This Row],[PRECIO UNITARIO ESTIMADO]]</f>
        <v>4060</v>
      </c>
      <c r="K274" s="17"/>
      <c r="L274" s="16" t="s">
        <v>27</v>
      </c>
      <c r="M274" s="16" t="s">
        <v>22</v>
      </c>
      <c r="N274" s="39" t="s">
        <v>418</v>
      </c>
      <c r="O274" s="20"/>
      <c r="R274" s="19" t="s">
        <v>201</v>
      </c>
    </row>
    <row r="275" spans="1:18" s="12" customFormat="1">
      <c r="A275" s="15" t="s">
        <v>80</v>
      </c>
      <c r="B275" s="75" t="s">
        <v>202</v>
      </c>
      <c r="C275" s="39" t="s">
        <v>17</v>
      </c>
      <c r="D275" s="39"/>
      <c r="E275" s="39">
        <v>20</v>
      </c>
      <c r="F275" s="39"/>
      <c r="G275" s="39">
        <v>20</v>
      </c>
      <c r="H275" s="40">
        <f>SUM(Tabla1323[[#This Row],[PRIMER TRIMESTRE]:[CUARTO TRIMESTRE]])</f>
        <v>40</v>
      </c>
      <c r="I275" s="17">
        <v>3364</v>
      </c>
      <c r="J275" s="17">
        <f>+Tabla1323[[#This Row],[CANTIDAD TOTAL]]*Tabla1323[[#This Row],[PRECIO UNITARIO ESTIMADO]]</f>
        <v>134560</v>
      </c>
      <c r="K275" s="17"/>
      <c r="L275" s="16" t="s">
        <v>27</v>
      </c>
      <c r="M275" s="16" t="s">
        <v>22</v>
      </c>
      <c r="N275" s="39" t="s">
        <v>418</v>
      </c>
      <c r="O275" s="20"/>
      <c r="R275" s="19" t="s">
        <v>203</v>
      </c>
    </row>
    <row r="276" spans="1:18" s="12" customFormat="1">
      <c r="A276" s="15" t="s">
        <v>80</v>
      </c>
      <c r="B276" s="75" t="s">
        <v>776</v>
      </c>
      <c r="C276" s="39" t="s">
        <v>17</v>
      </c>
      <c r="D276" s="39"/>
      <c r="E276" s="39">
        <v>20</v>
      </c>
      <c r="F276" s="39"/>
      <c r="G276" s="39">
        <v>20</v>
      </c>
      <c r="H276" s="40">
        <f>SUM(Tabla1323[[#This Row],[PRIMER TRIMESTRE]:[CUARTO TRIMESTRE]])</f>
        <v>40</v>
      </c>
      <c r="I276" s="17">
        <v>32.479999999999997</v>
      </c>
      <c r="J276" s="17">
        <f>+Tabla1323[[#This Row],[CANTIDAD TOTAL]]*Tabla1323[[#This Row],[PRECIO UNITARIO ESTIMADO]]</f>
        <v>1299.1999999999998</v>
      </c>
      <c r="K276" s="17"/>
      <c r="L276" s="16" t="s">
        <v>27</v>
      </c>
      <c r="M276" s="16" t="s">
        <v>22</v>
      </c>
      <c r="N276" s="39" t="s">
        <v>418</v>
      </c>
      <c r="O276" s="20"/>
      <c r="R276" s="19" t="s">
        <v>204</v>
      </c>
    </row>
    <row r="277" spans="1:18" s="12" customFormat="1">
      <c r="A277" s="15" t="s">
        <v>80</v>
      </c>
      <c r="B277" s="75" t="s">
        <v>205</v>
      </c>
      <c r="C277" s="39" t="s">
        <v>17</v>
      </c>
      <c r="D277" s="39"/>
      <c r="E277" s="39">
        <v>20</v>
      </c>
      <c r="F277" s="39"/>
      <c r="G277" s="39">
        <v>20</v>
      </c>
      <c r="H277" s="40">
        <f>SUM(Tabla1323[[#This Row],[PRIMER TRIMESTRE]:[CUARTO TRIMESTRE]])</f>
        <v>40</v>
      </c>
      <c r="I277" s="17">
        <v>2.3199999999999998</v>
      </c>
      <c r="J277" s="17">
        <f>+Tabla1323[[#This Row],[CANTIDAD TOTAL]]*Tabla1323[[#This Row],[PRECIO UNITARIO ESTIMADO]]</f>
        <v>92.8</v>
      </c>
      <c r="K277" s="17"/>
      <c r="L277" s="16" t="s">
        <v>27</v>
      </c>
      <c r="M277" s="16" t="s">
        <v>22</v>
      </c>
      <c r="N277" s="39" t="s">
        <v>418</v>
      </c>
      <c r="O277" s="20"/>
    </row>
    <row r="278" spans="1:18" s="12" customFormat="1">
      <c r="A278" s="15" t="s">
        <v>80</v>
      </c>
      <c r="B278" s="75" t="s">
        <v>206</v>
      </c>
      <c r="C278" s="39" t="s">
        <v>17</v>
      </c>
      <c r="D278" s="39"/>
      <c r="E278" s="39">
        <v>20</v>
      </c>
      <c r="F278" s="39"/>
      <c r="G278" s="39">
        <v>20</v>
      </c>
      <c r="H278" s="40">
        <f>SUM(Tabla1323[[#This Row],[PRIMER TRIMESTRE]:[CUARTO TRIMESTRE]])</f>
        <v>40</v>
      </c>
      <c r="I278" s="17">
        <v>3.48</v>
      </c>
      <c r="J278" s="17">
        <f>+Tabla1323[[#This Row],[CANTIDAD TOTAL]]*Tabla1323[[#This Row],[PRECIO UNITARIO ESTIMADO]]</f>
        <v>139.19999999999999</v>
      </c>
      <c r="K278" s="17"/>
      <c r="L278" s="16" t="s">
        <v>27</v>
      </c>
      <c r="M278" s="16" t="s">
        <v>22</v>
      </c>
      <c r="N278" s="39" t="s">
        <v>418</v>
      </c>
      <c r="O278" s="20"/>
    </row>
    <row r="279" spans="1:18" s="12" customFormat="1">
      <c r="A279" s="32" t="s">
        <v>80</v>
      </c>
      <c r="B279" s="75" t="s">
        <v>638</v>
      </c>
      <c r="C279" s="39" t="s">
        <v>17</v>
      </c>
      <c r="D279" s="39"/>
      <c r="E279" s="39">
        <v>20</v>
      </c>
      <c r="F279" s="40"/>
      <c r="G279" s="39">
        <v>20</v>
      </c>
      <c r="H279" s="40">
        <f>SUM(Tabla1323[[#This Row],[PRIMER TRIMESTRE]:[CUARTO TRIMESTRE]])</f>
        <v>40</v>
      </c>
      <c r="I279" s="72">
        <v>7.28</v>
      </c>
      <c r="J279" s="17">
        <f t="shared" ref="J279:J324" si="8">+H279*I279</f>
        <v>291.2</v>
      </c>
      <c r="K279" s="31"/>
      <c r="L279" s="16" t="s">
        <v>27</v>
      </c>
      <c r="M279" s="28" t="s">
        <v>22</v>
      </c>
      <c r="N279" s="45"/>
      <c r="O279" s="29"/>
    </row>
    <row r="280" spans="1:18" s="12" customFormat="1">
      <c r="A280" s="32" t="s">
        <v>80</v>
      </c>
      <c r="B280" s="75" t="s">
        <v>639</v>
      </c>
      <c r="C280" s="39" t="s">
        <v>17</v>
      </c>
      <c r="D280" s="39"/>
      <c r="E280" s="39">
        <v>20</v>
      </c>
      <c r="F280" s="40"/>
      <c r="G280" s="39">
        <v>20</v>
      </c>
      <c r="H280" s="40">
        <f>SUM(Tabla1323[[#This Row],[PRIMER TRIMESTRE]:[CUARTO TRIMESTRE]])</f>
        <v>40</v>
      </c>
      <c r="I280" s="72">
        <v>11.82</v>
      </c>
      <c r="J280" s="17">
        <f t="shared" si="8"/>
        <v>472.8</v>
      </c>
      <c r="K280" s="31"/>
      <c r="L280" s="16" t="s">
        <v>27</v>
      </c>
      <c r="M280" s="28" t="s">
        <v>22</v>
      </c>
      <c r="N280" s="45"/>
      <c r="O280" s="29"/>
    </row>
    <row r="281" spans="1:18" s="12" customFormat="1">
      <c r="A281" s="32" t="s">
        <v>80</v>
      </c>
      <c r="B281" s="75" t="s">
        <v>642</v>
      </c>
      <c r="C281" s="39" t="s">
        <v>17</v>
      </c>
      <c r="D281" s="39"/>
      <c r="E281" s="39">
        <v>20</v>
      </c>
      <c r="F281" s="40"/>
      <c r="G281" s="39">
        <v>20</v>
      </c>
      <c r="H281" s="40">
        <f>SUM(Tabla1323[[#This Row],[PRIMER TRIMESTRE]:[CUARTO TRIMESTRE]])</f>
        <v>40</v>
      </c>
      <c r="I281" s="72">
        <v>22.74</v>
      </c>
      <c r="J281" s="17">
        <f t="shared" si="8"/>
        <v>909.59999999999991</v>
      </c>
      <c r="K281" s="31"/>
      <c r="L281" s="16" t="s">
        <v>27</v>
      </c>
      <c r="M281" s="28" t="s">
        <v>22</v>
      </c>
      <c r="N281" s="45"/>
      <c r="O281" s="29"/>
    </row>
    <row r="282" spans="1:18" s="12" customFormat="1">
      <c r="A282" s="32" t="s">
        <v>80</v>
      </c>
      <c r="B282" s="75" t="s">
        <v>643</v>
      </c>
      <c r="C282" s="39" t="s">
        <v>17</v>
      </c>
      <c r="D282" s="39"/>
      <c r="E282" s="39">
        <v>8</v>
      </c>
      <c r="F282" s="40"/>
      <c r="G282" s="39">
        <v>8</v>
      </c>
      <c r="H282" s="40">
        <f>SUM(Tabla1323[[#This Row],[PRIMER TRIMESTRE]:[CUARTO TRIMESTRE]])</f>
        <v>16</v>
      </c>
      <c r="I282" s="72">
        <v>53.66</v>
      </c>
      <c r="J282" s="17">
        <f t="shared" si="8"/>
        <v>858.56</v>
      </c>
      <c r="K282" s="31"/>
      <c r="L282" s="16" t="s">
        <v>27</v>
      </c>
      <c r="M282" s="28" t="s">
        <v>22</v>
      </c>
      <c r="N282" s="45"/>
      <c r="O282" s="29"/>
    </row>
    <row r="283" spans="1:18" s="12" customFormat="1">
      <c r="A283" s="32" t="s">
        <v>80</v>
      </c>
      <c r="B283" s="75" t="s">
        <v>640</v>
      </c>
      <c r="C283" s="39" t="s">
        <v>17</v>
      </c>
      <c r="D283" s="39"/>
      <c r="E283" s="39">
        <v>15</v>
      </c>
      <c r="F283" s="40"/>
      <c r="G283" s="39">
        <v>15</v>
      </c>
      <c r="H283" s="40">
        <f>SUM(Tabla1323[[#This Row],[PRIMER TRIMESTRE]:[CUARTO TRIMESTRE]])</f>
        <v>30</v>
      </c>
      <c r="I283" s="72">
        <v>90</v>
      </c>
      <c r="J283" s="17">
        <f t="shared" si="8"/>
        <v>2700</v>
      </c>
      <c r="K283" s="31"/>
      <c r="L283" s="16" t="s">
        <v>27</v>
      </c>
      <c r="M283" s="28" t="s">
        <v>22</v>
      </c>
      <c r="N283" s="45"/>
      <c r="O283" s="29"/>
    </row>
    <row r="284" spans="1:18" s="12" customFormat="1">
      <c r="A284" s="15" t="s">
        <v>80</v>
      </c>
      <c r="B284" s="75" t="s">
        <v>641</v>
      </c>
      <c r="C284" s="39" t="s">
        <v>17</v>
      </c>
      <c r="D284" s="39"/>
      <c r="E284" s="39">
        <v>15</v>
      </c>
      <c r="F284" s="39"/>
      <c r="G284" s="39">
        <v>15</v>
      </c>
      <c r="H284" s="40">
        <f>SUM(Tabla1323[[#This Row],[PRIMER TRIMESTRE]:[CUARTO TRIMESTRE]])</f>
        <v>30</v>
      </c>
      <c r="I284" s="72">
        <v>1799.03</v>
      </c>
      <c r="J284" s="17">
        <f t="shared" si="8"/>
        <v>53970.9</v>
      </c>
      <c r="K284" s="17"/>
      <c r="L284" s="16" t="s">
        <v>27</v>
      </c>
      <c r="M284" s="16" t="s">
        <v>22</v>
      </c>
      <c r="N284" s="39"/>
      <c r="O284" s="20"/>
    </row>
    <row r="285" spans="1:18" s="12" customFormat="1">
      <c r="A285" s="15" t="s">
        <v>80</v>
      </c>
      <c r="B285" s="75" t="s">
        <v>607</v>
      </c>
      <c r="C285" s="39" t="s">
        <v>17</v>
      </c>
      <c r="D285" s="39"/>
      <c r="E285" s="39">
        <v>5</v>
      </c>
      <c r="F285" s="39"/>
      <c r="G285" s="39">
        <v>5</v>
      </c>
      <c r="H285" s="40">
        <f>SUM(Tabla1323[[#This Row],[PRIMER TRIMESTRE]:[CUARTO TRIMESTRE]])</f>
        <v>10</v>
      </c>
      <c r="I285" s="17">
        <v>3068</v>
      </c>
      <c r="J285" s="17">
        <f t="shared" si="8"/>
        <v>30680</v>
      </c>
      <c r="K285" s="17"/>
      <c r="L285" s="16" t="s">
        <v>27</v>
      </c>
      <c r="M285" s="16" t="s">
        <v>22</v>
      </c>
      <c r="N285" s="39"/>
      <c r="O285" s="18"/>
    </row>
    <row r="286" spans="1:18" s="12" customFormat="1">
      <c r="A286" s="15" t="s">
        <v>80</v>
      </c>
      <c r="B286" s="75" t="s">
        <v>608</v>
      </c>
      <c r="C286" s="39" t="s">
        <v>17</v>
      </c>
      <c r="D286" s="39"/>
      <c r="E286" s="39">
        <v>40</v>
      </c>
      <c r="F286" s="39"/>
      <c r="G286" s="39">
        <v>40</v>
      </c>
      <c r="H286" s="40">
        <f>SUM(Tabla1323[[#This Row],[PRIMER TRIMESTRE]:[CUARTO TRIMESTRE]])</f>
        <v>80</v>
      </c>
      <c r="I286" s="17">
        <v>4425</v>
      </c>
      <c r="J286" s="17">
        <f t="shared" si="8"/>
        <v>354000</v>
      </c>
      <c r="K286" s="17"/>
      <c r="L286" s="16" t="s">
        <v>27</v>
      </c>
      <c r="M286" s="16" t="s">
        <v>22</v>
      </c>
      <c r="N286" s="39"/>
      <c r="O286" s="18"/>
    </row>
    <row r="287" spans="1:18" s="12" customFormat="1">
      <c r="A287" s="15" t="s">
        <v>80</v>
      </c>
      <c r="B287" s="75" t="s">
        <v>609</v>
      </c>
      <c r="C287" s="39" t="s">
        <v>17</v>
      </c>
      <c r="D287" s="39"/>
      <c r="E287" s="39">
        <v>40</v>
      </c>
      <c r="F287" s="39"/>
      <c r="G287" s="39">
        <v>40</v>
      </c>
      <c r="H287" s="40">
        <f>SUM(Tabla1323[[#This Row],[PRIMER TRIMESTRE]:[CUARTO TRIMESTRE]])</f>
        <v>80</v>
      </c>
      <c r="I287" s="17">
        <v>5074</v>
      </c>
      <c r="J287" s="17">
        <f t="shared" si="8"/>
        <v>405920</v>
      </c>
      <c r="K287" s="17"/>
      <c r="L287" s="16" t="s">
        <v>27</v>
      </c>
      <c r="M287" s="16" t="s">
        <v>22</v>
      </c>
      <c r="N287" s="39"/>
      <c r="O287" s="18"/>
    </row>
    <row r="288" spans="1:18" s="12" customFormat="1">
      <c r="A288" s="15" t="s">
        <v>80</v>
      </c>
      <c r="B288" s="75" t="s">
        <v>610</v>
      </c>
      <c r="C288" s="39" t="s">
        <v>17</v>
      </c>
      <c r="D288" s="39"/>
      <c r="E288" s="39">
        <v>40</v>
      </c>
      <c r="F288" s="39"/>
      <c r="G288" s="39">
        <v>40</v>
      </c>
      <c r="H288" s="40">
        <f>SUM(Tabla1323[[#This Row],[PRIMER TRIMESTRE]:[CUARTO TRIMESTRE]])</f>
        <v>80</v>
      </c>
      <c r="I288" s="17">
        <v>6431</v>
      </c>
      <c r="J288" s="17">
        <f t="shared" si="8"/>
        <v>514480</v>
      </c>
      <c r="K288" s="17"/>
      <c r="L288" s="16" t="s">
        <v>27</v>
      </c>
      <c r="M288" s="16" t="s">
        <v>22</v>
      </c>
      <c r="N288" s="39"/>
      <c r="O288" s="18"/>
    </row>
    <row r="289" spans="1:15" s="12" customFormat="1">
      <c r="A289" s="15" t="s">
        <v>80</v>
      </c>
      <c r="B289" s="75" t="s">
        <v>611</v>
      </c>
      <c r="C289" s="39" t="s">
        <v>17</v>
      </c>
      <c r="D289" s="39"/>
      <c r="E289" s="39">
        <v>15</v>
      </c>
      <c r="F289" s="39"/>
      <c r="G289" s="39">
        <v>15</v>
      </c>
      <c r="H289" s="40">
        <f>SUM(Tabla1323[[#This Row],[PRIMER TRIMESTRE]:[CUARTO TRIMESTRE]])</f>
        <v>30</v>
      </c>
      <c r="I289" s="17">
        <v>7943</v>
      </c>
      <c r="J289" s="17">
        <f t="shared" si="8"/>
        <v>238290</v>
      </c>
      <c r="K289" s="17"/>
      <c r="L289" s="16" t="s">
        <v>27</v>
      </c>
      <c r="M289" s="16" t="s">
        <v>22</v>
      </c>
      <c r="N289" s="39"/>
      <c r="O289" s="18"/>
    </row>
    <row r="290" spans="1:15" s="12" customFormat="1">
      <c r="A290" s="15" t="s">
        <v>80</v>
      </c>
      <c r="B290" s="75" t="s">
        <v>612</v>
      </c>
      <c r="C290" s="39" t="s">
        <v>17</v>
      </c>
      <c r="D290" s="39"/>
      <c r="E290" s="39">
        <v>20</v>
      </c>
      <c r="F290" s="39"/>
      <c r="G290" s="39">
        <v>20</v>
      </c>
      <c r="H290" s="40">
        <f>SUM(Tabla1323[[#This Row],[PRIMER TRIMESTRE]:[CUARTO TRIMESTRE]])</f>
        <v>40</v>
      </c>
      <c r="I290" s="17">
        <v>9145</v>
      </c>
      <c r="J290" s="17">
        <f t="shared" si="8"/>
        <v>365800</v>
      </c>
      <c r="K290" s="17"/>
      <c r="L290" s="16" t="s">
        <v>27</v>
      </c>
      <c r="M290" s="16" t="s">
        <v>22</v>
      </c>
      <c r="N290" s="39"/>
      <c r="O290" s="18"/>
    </row>
    <row r="291" spans="1:15" s="12" customFormat="1">
      <c r="A291" s="15" t="s">
        <v>80</v>
      </c>
      <c r="B291" s="75" t="s">
        <v>613</v>
      </c>
      <c r="C291" s="39" t="s">
        <v>17</v>
      </c>
      <c r="D291" s="39"/>
      <c r="E291" s="39">
        <v>20</v>
      </c>
      <c r="F291" s="39"/>
      <c r="G291" s="39">
        <v>20</v>
      </c>
      <c r="H291" s="40">
        <f>SUM(Tabla1323[[#This Row],[PRIMER TRIMESTRE]:[CUARTO TRIMESTRE]])</f>
        <v>40</v>
      </c>
      <c r="I291" s="17">
        <v>10502</v>
      </c>
      <c r="J291" s="17">
        <f t="shared" si="8"/>
        <v>420080</v>
      </c>
      <c r="K291" s="17"/>
      <c r="L291" s="16" t="s">
        <v>27</v>
      </c>
      <c r="M291" s="16" t="s">
        <v>22</v>
      </c>
      <c r="N291" s="39"/>
      <c r="O291" s="18"/>
    </row>
    <row r="292" spans="1:15" s="12" customFormat="1">
      <c r="A292" s="15" t="s">
        <v>80</v>
      </c>
      <c r="B292" s="75" t="s">
        <v>614</v>
      </c>
      <c r="C292" s="39" t="s">
        <v>17</v>
      </c>
      <c r="D292" s="39"/>
      <c r="E292" s="39">
        <v>400</v>
      </c>
      <c r="F292" s="39"/>
      <c r="G292" s="39">
        <v>400</v>
      </c>
      <c r="H292" s="40">
        <f>SUM(Tabla1323[[#This Row],[PRIMER TRIMESTRE]:[CUARTO TRIMESTRE]])</f>
        <v>800</v>
      </c>
      <c r="I292" s="17">
        <v>11564</v>
      </c>
      <c r="J292" s="17">
        <f t="shared" si="8"/>
        <v>9251200</v>
      </c>
      <c r="K292" s="17"/>
      <c r="L292" s="16" t="s">
        <v>27</v>
      </c>
      <c r="M292" s="16" t="s">
        <v>22</v>
      </c>
      <c r="N292" s="39"/>
      <c r="O292" s="18"/>
    </row>
    <row r="293" spans="1:15" s="12" customFormat="1">
      <c r="A293" s="15" t="s">
        <v>80</v>
      </c>
      <c r="B293" s="75" t="s">
        <v>615</v>
      </c>
      <c r="C293" s="39" t="s">
        <v>17</v>
      </c>
      <c r="D293" s="39"/>
      <c r="E293" s="39">
        <v>150</v>
      </c>
      <c r="F293" s="39"/>
      <c r="G293" s="39">
        <v>150</v>
      </c>
      <c r="H293" s="40">
        <f>SUM(Tabla1323[[#This Row],[PRIMER TRIMESTRE]:[CUARTO TRIMESTRE]])</f>
        <v>300</v>
      </c>
      <c r="I293" s="17">
        <v>13747</v>
      </c>
      <c r="J293" s="17">
        <f t="shared" si="8"/>
        <v>4124100</v>
      </c>
      <c r="K293" s="17"/>
      <c r="L293" s="16" t="s">
        <v>27</v>
      </c>
      <c r="M293" s="16" t="s">
        <v>22</v>
      </c>
      <c r="N293" s="39"/>
      <c r="O293" s="18"/>
    </row>
    <row r="294" spans="1:15" s="12" customFormat="1">
      <c r="A294" s="86" t="s">
        <v>80</v>
      </c>
      <c r="B294" s="87" t="s">
        <v>702</v>
      </c>
      <c r="C294" s="85" t="s">
        <v>17</v>
      </c>
      <c r="D294" s="85"/>
      <c r="E294" s="85">
        <v>50</v>
      </c>
      <c r="F294" s="85"/>
      <c r="G294" s="85">
        <v>50</v>
      </c>
      <c r="H294" s="88">
        <f>SUM(Tabla1323[[#This Row],[PRIMER TRIMESTRE]:[CUARTO TRIMESTRE]])</f>
        <v>100</v>
      </c>
      <c r="I294" s="89">
        <v>1052.51</v>
      </c>
      <c r="J294" s="89">
        <f t="shared" si="8"/>
        <v>105251</v>
      </c>
      <c r="K294" s="17"/>
      <c r="L294" s="16" t="s">
        <v>27</v>
      </c>
      <c r="M294" s="16" t="s">
        <v>22</v>
      </c>
      <c r="N294" s="39"/>
      <c r="O294" s="20"/>
    </row>
    <row r="295" spans="1:15" s="12" customFormat="1">
      <c r="A295" s="86" t="s">
        <v>80</v>
      </c>
      <c r="B295" s="87" t="s">
        <v>370</v>
      </c>
      <c r="C295" s="85" t="s">
        <v>17</v>
      </c>
      <c r="D295" s="85"/>
      <c r="E295" s="85"/>
      <c r="F295" s="85"/>
      <c r="G295" s="85">
        <v>75</v>
      </c>
      <c r="H295" s="88">
        <f>SUM(Tabla1323[[#This Row],[PRIMER TRIMESTRE]:[CUARTO TRIMESTRE]])</f>
        <v>75</v>
      </c>
      <c r="I295" s="89">
        <v>3302.0937420000005</v>
      </c>
      <c r="J295" s="89">
        <f t="shared" si="8"/>
        <v>247657.03065000003</v>
      </c>
      <c r="K295" s="17"/>
      <c r="L295" s="16" t="s">
        <v>27</v>
      </c>
      <c r="M295" s="16" t="s">
        <v>22</v>
      </c>
      <c r="N295" s="39"/>
      <c r="O295" s="20"/>
    </row>
    <row r="296" spans="1:15" s="12" customFormat="1">
      <c r="A296" s="86" t="s">
        <v>80</v>
      </c>
      <c r="B296" s="87" t="s">
        <v>371</v>
      </c>
      <c r="C296" s="85" t="s">
        <v>17</v>
      </c>
      <c r="D296" s="85"/>
      <c r="E296" s="85">
        <v>20</v>
      </c>
      <c r="F296" s="85"/>
      <c r="G296" s="85">
        <v>20</v>
      </c>
      <c r="H296" s="88">
        <f>SUM(Tabla1323[[#This Row],[PRIMER TRIMESTRE]:[CUARTO TRIMESTRE]])</f>
        <v>40</v>
      </c>
      <c r="I296" s="89">
        <v>5605.3296870000004</v>
      </c>
      <c r="J296" s="89">
        <f t="shared" si="8"/>
        <v>224213.18748000002</v>
      </c>
      <c r="K296" s="17"/>
      <c r="L296" s="16" t="s">
        <v>27</v>
      </c>
      <c r="M296" s="16" t="s">
        <v>22</v>
      </c>
      <c r="N296" s="39"/>
      <c r="O296" s="20"/>
    </row>
    <row r="297" spans="1:15" s="12" customFormat="1">
      <c r="A297" s="86" t="s">
        <v>80</v>
      </c>
      <c r="B297" s="87" t="s">
        <v>799</v>
      </c>
      <c r="C297" s="85" t="s">
        <v>17</v>
      </c>
      <c r="D297" s="85"/>
      <c r="E297" s="85">
        <v>75</v>
      </c>
      <c r="F297" s="85"/>
      <c r="G297" s="85">
        <v>75</v>
      </c>
      <c r="H297" s="88">
        <f>SUM(Tabla1323[[#This Row],[PRIMER TRIMESTRE]:[CUARTO TRIMESTRE]])</f>
        <v>150</v>
      </c>
      <c r="I297" s="89">
        <v>12700</v>
      </c>
      <c r="J297" s="89">
        <f>+H297*I297</f>
        <v>1905000</v>
      </c>
      <c r="K297" s="17"/>
      <c r="L297" s="16" t="s">
        <v>27</v>
      </c>
      <c r="M297" s="16"/>
      <c r="N297" s="39"/>
      <c r="O297" s="18"/>
    </row>
    <row r="298" spans="1:15" s="12" customFormat="1">
      <c r="A298" s="86" t="s">
        <v>80</v>
      </c>
      <c r="B298" s="87" t="s">
        <v>372</v>
      </c>
      <c r="C298" s="85" t="s">
        <v>17</v>
      </c>
      <c r="D298" s="85"/>
      <c r="E298" s="85">
        <v>75</v>
      </c>
      <c r="F298" s="85"/>
      <c r="G298" s="85">
        <v>75</v>
      </c>
      <c r="H298" s="88">
        <f>SUM(Tabla1323[[#This Row],[PRIMER TRIMESTRE]:[CUARTO TRIMESTRE]])</f>
        <v>150</v>
      </c>
      <c r="I298" s="89">
        <v>256.14999999999998</v>
      </c>
      <c r="J298" s="89">
        <f t="shared" si="8"/>
        <v>38422.5</v>
      </c>
      <c r="K298" s="17"/>
      <c r="L298" s="16" t="s">
        <v>27</v>
      </c>
      <c r="M298" s="16" t="s">
        <v>22</v>
      </c>
      <c r="N298" s="39"/>
      <c r="O298" s="20"/>
    </row>
    <row r="299" spans="1:15" s="12" customFormat="1">
      <c r="A299" s="86" t="s">
        <v>80</v>
      </c>
      <c r="B299" s="87" t="s">
        <v>373</v>
      </c>
      <c r="C299" s="85" t="s">
        <v>17</v>
      </c>
      <c r="D299" s="85"/>
      <c r="E299" s="85">
        <v>70</v>
      </c>
      <c r="F299" s="85"/>
      <c r="G299" s="85">
        <v>70</v>
      </c>
      <c r="H299" s="88">
        <f>SUM(Tabla1323[[#This Row],[PRIMER TRIMESTRE]:[CUARTO TRIMESTRE]])</f>
        <v>140</v>
      </c>
      <c r="I299" s="89">
        <v>260.58531900000003</v>
      </c>
      <c r="J299" s="89">
        <f t="shared" si="8"/>
        <v>36481.944660000001</v>
      </c>
      <c r="K299" s="17"/>
      <c r="L299" s="16" t="s">
        <v>27</v>
      </c>
      <c r="M299" s="16" t="s">
        <v>22</v>
      </c>
      <c r="N299" s="39"/>
      <c r="O299" s="20"/>
    </row>
    <row r="300" spans="1:15" s="12" customFormat="1">
      <c r="A300" s="86" t="s">
        <v>80</v>
      </c>
      <c r="B300" s="87" t="s">
        <v>374</v>
      </c>
      <c r="C300" s="85" t="s">
        <v>17</v>
      </c>
      <c r="D300" s="85"/>
      <c r="E300" s="85">
        <v>75</v>
      </c>
      <c r="F300" s="85"/>
      <c r="G300" s="85">
        <v>75</v>
      </c>
      <c r="H300" s="88">
        <f>SUM(Tabla1323[[#This Row],[PRIMER TRIMESTRE]:[CUARTO TRIMESTRE]])</f>
        <v>150</v>
      </c>
      <c r="I300" s="89">
        <v>383.08377000000007</v>
      </c>
      <c r="J300" s="89">
        <f t="shared" si="8"/>
        <v>57462.565500000012</v>
      </c>
      <c r="K300" s="17"/>
      <c r="L300" s="16" t="s">
        <v>27</v>
      </c>
      <c r="M300" s="16" t="s">
        <v>22</v>
      </c>
      <c r="N300" s="39"/>
      <c r="O300" s="20"/>
    </row>
    <row r="301" spans="1:15" s="12" customFormat="1">
      <c r="A301" s="86" t="s">
        <v>80</v>
      </c>
      <c r="B301" s="87" t="s">
        <v>375</v>
      </c>
      <c r="C301" s="85" t="s">
        <v>17</v>
      </c>
      <c r="D301" s="85"/>
      <c r="E301" s="85">
        <v>20</v>
      </c>
      <c r="F301" s="85"/>
      <c r="G301" s="85">
        <v>20</v>
      </c>
      <c r="H301" s="88">
        <f>SUM(Tabla1323[[#This Row],[PRIMER TRIMESTRE]:[CUARTO TRIMESTRE]])</f>
        <v>40</v>
      </c>
      <c r="I301" s="89">
        <v>450</v>
      </c>
      <c r="J301" s="89">
        <f t="shared" si="8"/>
        <v>18000</v>
      </c>
      <c r="K301" s="17"/>
      <c r="L301" s="16" t="s">
        <v>27</v>
      </c>
      <c r="M301" s="16" t="s">
        <v>22</v>
      </c>
      <c r="N301" s="39"/>
      <c r="O301" s="20"/>
    </row>
    <row r="302" spans="1:15" s="12" customFormat="1">
      <c r="A302" s="86" t="s">
        <v>80</v>
      </c>
      <c r="B302" s="87" t="s">
        <v>376</v>
      </c>
      <c r="C302" s="85" t="s">
        <v>17</v>
      </c>
      <c r="D302" s="85"/>
      <c r="E302" s="85">
        <v>20</v>
      </c>
      <c r="F302" s="85"/>
      <c r="G302" s="85">
        <v>20</v>
      </c>
      <c r="H302" s="88">
        <f>SUM(Tabla1323[[#This Row],[PRIMER TRIMESTRE]:[CUARTO TRIMESTRE]])</f>
        <v>40</v>
      </c>
      <c r="I302" s="89">
        <v>667.77</v>
      </c>
      <c r="J302" s="89">
        <f t="shared" si="8"/>
        <v>26710.799999999999</v>
      </c>
      <c r="K302" s="17"/>
      <c r="L302" s="16" t="s">
        <v>27</v>
      </c>
      <c r="M302" s="16" t="s">
        <v>22</v>
      </c>
      <c r="N302" s="39"/>
      <c r="O302" s="20"/>
    </row>
    <row r="303" spans="1:15" s="12" customFormat="1">
      <c r="A303" s="86" t="s">
        <v>80</v>
      </c>
      <c r="B303" s="87" t="s">
        <v>377</v>
      </c>
      <c r="C303" s="85" t="s">
        <v>17</v>
      </c>
      <c r="D303" s="85"/>
      <c r="E303" s="85">
        <v>10</v>
      </c>
      <c r="F303" s="85"/>
      <c r="G303" s="85">
        <v>10</v>
      </c>
      <c r="H303" s="88">
        <f>SUM(Tabla1323[[#This Row],[PRIMER TRIMESTRE]:[CUARTO TRIMESTRE]])</f>
        <v>20</v>
      </c>
      <c r="I303" s="89">
        <v>160.61749500000002</v>
      </c>
      <c r="J303" s="89">
        <f t="shared" si="8"/>
        <v>3212.3499000000002</v>
      </c>
      <c r="K303" s="17"/>
      <c r="L303" s="16" t="s">
        <v>27</v>
      </c>
      <c r="M303" s="16" t="s">
        <v>22</v>
      </c>
      <c r="N303" s="39"/>
      <c r="O303" s="20"/>
    </row>
    <row r="304" spans="1:15" s="12" customFormat="1">
      <c r="A304" s="86" t="s">
        <v>80</v>
      </c>
      <c r="B304" s="87" t="s">
        <v>378</v>
      </c>
      <c r="C304" s="85" t="s">
        <v>17</v>
      </c>
      <c r="D304" s="85"/>
      <c r="E304" s="85">
        <v>13</v>
      </c>
      <c r="F304" s="85"/>
      <c r="G304" s="85">
        <v>13</v>
      </c>
      <c r="H304" s="88">
        <f>SUM(Tabla1323[[#This Row],[PRIMER TRIMESTRE]:[CUARTO TRIMESTRE]])</f>
        <v>26</v>
      </c>
      <c r="I304" s="89">
        <v>631.80422099999998</v>
      </c>
      <c r="J304" s="89">
        <f t="shared" si="8"/>
        <v>16426.909746000001</v>
      </c>
      <c r="K304" s="17"/>
      <c r="L304" s="16" t="s">
        <v>27</v>
      </c>
      <c r="M304" s="16" t="s">
        <v>22</v>
      </c>
      <c r="N304" s="39"/>
      <c r="O304" s="20"/>
    </row>
    <row r="305" spans="1:15" s="12" customFormat="1">
      <c r="A305" s="86" t="s">
        <v>80</v>
      </c>
      <c r="B305" s="87" t="s">
        <v>379</v>
      </c>
      <c r="C305" s="85" t="s">
        <v>17</v>
      </c>
      <c r="D305" s="85"/>
      <c r="E305" s="85">
        <v>25</v>
      </c>
      <c r="F305" s="85"/>
      <c r="G305" s="85">
        <v>25</v>
      </c>
      <c r="H305" s="88">
        <f>SUM(Tabla1323[[#This Row],[PRIMER TRIMESTRE]:[CUARTO TRIMESTRE]])</f>
        <v>50</v>
      </c>
      <c r="I305" s="89">
        <v>1565.22</v>
      </c>
      <c r="J305" s="89">
        <f t="shared" si="8"/>
        <v>78261</v>
      </c>
      <c r="K305" s="17"/>
      <c r="L305" s="16" t="s">
        <v>27</v>
      </c>
      <c r="M305" s="16" t="s">
        <v>22</v>
      </c>
      <c r="N305" s="39"/>
      <c r="O305" s="20"/>
    </row>
    <row r="306" spans="1:15" s="12" customFormat="1">
      <c r="A306" s="86" t="s">
        <v>80</v>
      </c>
      <c r="B306" s="87" t="s">
        <v>380</v>
      </c>
      <c r="C306" s="85" t="s">
        <v>17</v>
      </c>
      <c r="D306" s="85"/>
      <c r="E306" s="85">
        <v>25</v>
      </c>
      <c r="F306" s="85"/>
      <c r="G306" s="85">
        <v>25</v>
      </c>
      <c r="H306" s="88">
        <f>SUM(Tabla1323[[#This Row],[PRIMER TRIMESTRE]:[CUARTO TRIMESTRE]])</f>
        <v>50</v>
      </c>
      <c r="I306" s="89">
        <v>2310.9299999999998</v>
      </c>
      <c r="J306" s="89">
        <f t="shared" si="8"/>
        <v>115546.49999999999</v>
      </c>
      <c r="K306" s="17"/>
      <c r="L306" s="16" t="s">
        <v>27</v>
      </c>
      <c r="M306" s="16" t="s">
        <v>22</v>
      </c>
      <c r="N306" s="39"/>
      <c r="O306" s="20"/>
    </row>
    <row r="307" spans="1:15" s="12" customFormat="1">
      <c r="A307" s="86" t="s">
        <v>80</v>
      </c>
      <c r="B307" s="87" t="s">
        <v>381</v>
      </c>
      <c r="C307" s="85" t="s">
        <v>17</v>
      </c>
      <c r="D307" s="85"/>
      <c r="E307" s="85">
        <v>10</v>
      </c>
      <c r="F307" s="85"/>
      <c r="G307" s="85">
        <v>10</v>
      </c>
      <c r="H307" s="88">
        <f>SUM(Tabla1323[[#This Row],[PRIMER TRIMESTRE]:[CUARTO TRIMESTRE]])</f>
        <v>20</v>
      </c>
      <c r="I307" s="89">
        <v>4630.1499999999996</v>
      </c>
      <c r="J307" s="89">
        <f t="shared" si="8"/>
        <v>92603</v>
      </c>
      <c r="K307" s="17"/>
      <c r="L307" s="16" t="s">
        <v>27</v>
      </c>
      <c r="M307" s="16" t="s">
        <v>22</v>
      </c>
      <c r="N307" s="39"/>
      <c r="O307" s="20"/>
    </row>
    <row r="308" spans="1:15" s="12" customFormat="1">
      <c r="A308" s="86" t="s">
        <v>80</v>
      </c>
      <c r="B308" s="87" t="s">
        <v>382</v>
      </c>
      <c r="C308" s="85" t="s">
        <v>17</v>
      </c>
      <c r="D308" s="85"/>
      <c r="E308" s="85">
        <v>20</v>
      </c>
      <c r="F308" s="85"/>
      <c r="G308" s="85">
        <v>20</v>
      </c>
      <c r="H308" s="88">
        <f>SUM(Tabla1323[[#This Row],[PRIMER TRIMESTRE]:[CUARTO TRIMESTRE]])</f>
        <v>40</v>
      </c>
      <c r="I308" s="89">
        <v>6410</v>
      </c>
      <c r="J308" s="89">
        <f t="shared" si="8"/>
        <v>256400</v>
      </c>
      <c r="K308" s="17"/>
      <c r="L308" s="16" t="s">
        <v>27</v>
      </c>
      <c r="M308" s="16" t="s">
        <v>22</v>
      </c>
      <c r="N308" s="39"/>
      <c r="O308" s="20"/>
    </row>
    <row r="309" spans="1:15" s="12" customFormat="1">
      <c r="A309" s="86" t="s">
        <v>80</v>
      </c>
      <c r="B309" s="87" t="s">
        <v>383</v>
      </c>
      <c r="C309" s="85" t="s">
        <v>17</v>
      </c>
      <c r="D309" s="85"/>
      <c r="E309" s="85">
        <v>15</v>
      </c>
      <c r="F309" s="85"/>
      <c r="G309" s="85">
        <v>15</v>
      </c>
      <c r="H309" s="88">
        <f>SUM(Tabla1323[[#This Row],[PRIMER TRIMESTRE]:[CUARTO TRIMESTRE]])</f>
        <v>30</v>
      </c>
      <c r="I309" s="89">
        <v>10255.09</v>
      </c>
      <c r="J309" s="89">
        <f t="shared" si="8"/>
        <v>307652.7</v>
      </c>
      <c r="K309" s="17"/>
      <c r="L309" s="16" t="s">
        <v>27</v>
      </c>
      <c r="M309" s="16" t="s">
        <v>22</v>
      </c>
      <c r="N309" s="39"/>
      <c r="O309" s="20"/>
    </row>
    <row r="310" spans="1:15" s="12" customFormat="1">
      <c r="A310" s="86" t="s">
        <v>80</v>
      </c>
      <c r="B310" s="87" t="s">
        <v>384</v>
      </c>
      <c r="C310" s="85" t="s">
        <v>17</v>
      </c>
      <c r="D310" s="85"/>
      <c r="E310" s="85">
        <v>20</v>
      </c>
      <c r="F310" s="85"/>
      <c r="G310" s="85">
        <v>20</v>
      </c>
      <c r="H310" s="88">
        <f>SUM(Tabla1323[[#This Row],[PRIMER TRIMESTRE]:[CUARTO TRIMESTRE]])</f>
        <v>40</v>
      </c>
      <c r="I310" s="89">
        <v>14777.68</v>
      </c>
      <c r="J310" s="89">
        <f t="shared" si="8"/>
        <v>591107.19999999995</v>
      </c>
      <c r="K310" s="17"/>
      <c r="L310" s="16" t="s">
        <v>27</v>
      </c>
      <c r="M310" s="16" t="s">
        <v>22</v>
      </c>
      <c r="N310" s="39"/>
      <c r="O310" s="20"/>
    </row>
    <row r="311" spans="1:15" s="12" customFormat="1">
      <c r="A311" s="86" t="s">
        <v>80</v>
      </c>
      <c r="B311" s="87" t="s">
        <v>385</v>
      </c>
      <c r="C311" s="85" t="s">
        <v>17</v>
      </c>
      <c r="D311" s="85"/>
      <c r="E311" s="85">
        <v>10</v>
      </c>
      <c r="F311" s="85"/>
      <c r="G311" s="85">
        <v>10</v>
      </c>
      <c r="H311" s="88">
        <f>SUM(Tabla1323[[#This Row],[PRIMER TRIMESTRE]:[CUARTO TRIMESTRE]])</f>
        <v>20</v>
      </c>
      <c r="I311" s="89">
        <v>24012.400000000001</v>
      </c>
      <c r="J311" s="89">
        <f t="shared" si="8"/>
        <v>480248</v>
      </c>
      <c r="K311" s="17"/>
      <c r="L311" s="16" t="s">
        <v>27</v>
      </c>
      <c r="M311" s="16" t="s">
        <v>22</v>
      </c>
      <c r="N311" s="39"/>
      <c r="O311" s="20"/>
    </row>
    <row r="312" spans="1:15" s="12" customFormat="1">
      <c r="A312" s="86" t="s">
        <v>80</v>
      </c>
      <c r="B312" s="87" t="s">
        <v>386</v>
      </c>
      <c r="C312" s="85" t="s">
        <v>17</v>
      </c>
      <c r="D312" s="85"/>
      <c r="E312" s="85">
        <v>20</v>
      </c>
      <c r="F312" s="85"/>
      <c r="G312" s="85">
        <v>20</v>
      </c>
      <c r="H312" s="88">
        <f>SUM(Tabla1323[[#This Row],[PRIMER TRIMESTRE]:[CUARTO TRIMESTRE]])</f>
        <v>40</v>
      </c>
      <c r="I312" s="89">
        <v>37525.1</v>
      </c>
      <c r="J312" s="89">
        <f t="shared" si="8"/>
        <v>1501004</v>
      </c>
      <c r="K312" s="98">
        <f>SUM(J294:J312)</f>
        <v>6101660.6879359996</v>
      </c>
      <c r="L312" s="16" t="s">
        <v>27</v>
      </c>
      <c r="M312" s="16" t="s">
        <v>22</v>
      </c>
      <c r="N312" s="39"/>
      <c r="O312" s="20"/>
    </row>
    <row r="313" spans="1:15" s="12" customFormat="1">
      <c r="A313" s="94" t="s">
        <v>80</v>
      </c>
      <c r="B313" s="94" t="s">
        <v>800</v>
      </c>
      <c r="C313" s="95" t="s">
        <v>17</v>
      </c>
      <c r="D313" s="95"/>
      <c r="E313" s="95">
        <v>8</v>
      </c>
      <c r="F313" s="95"/>
      <c r="G313" s="95">
        <v>8</v>
      </c>
      <c r="H313" s="96">
        <f>SUM(Tabla1323[[#This Row],[PRIMER TRIMESTRE]:[CUARTO TRIMESTRE]])</f>
        <v>16</v>
      </c>
      <c r="I313" s="97">
        <v>4500</v>
      </c>
      <c r="J313" s="97">
        <f>+H313*I313</f>
        <v>72000</v>
      </c>
      <c r="K313" s="17"/>
      <c r="L313" s="16" t="s">
        <v>27</v>
      </c>
      <c r="M313" s="16" t="s">
        <v>22</v>
      </c>
      <c r="N313" s="39"/>
      <c r="O313" s="18"/>
    </row>
    <row r="314" spans="1:15" s="12" customFormat="1">
      <c r="A314" s="94" t="s">
        <v>80</v>
      </c>
      <c r="B314" s="94" t="s">
        <v>713</v>
      </c>
      <c r="C314" s="95" t="s">
        <v>17</v>
      </c>
      <c r="D314" s="95"/>
      <c r="E314" s="95">
        <v>8</v>
      </c>
      <c r="F314" s="95"/>
      <c r="G314" s="95">
        <v>8</v>
      </c>
      <c r="H314" s="96">
        <f>SUM(Tabla1323[[#This Row],[PRIMER TRIMESTRE]:[CUARTO TRIMESTRE]])</f>
        <v>16</v>
      </c>
      <c r="I314" s="97">
        <v>8201.02</v>
      </c>
      <c r="J314" s="97">
        <f>+H314*I314</f>
        <v>131216.32000000001</v>
      </c>
      <c r="K314" s="17"/>
      <c r="L314" s="16" t="s">
        <v>27</v>
      </c>
      <c r="M314" s="16" t="s">
        <v>22</v>
      </c>
      <c r="N314" s="39"/>
      <c r="O314" s="18"/>
    </row>
    <row r="315" spans="1:15" s="12" customFormat="1">
      <c r="A315" s="94" t="s">
        <v>80</v>
      </c>
      <c r="B315" s="94" t="s">
        <v>712</v>
      </c>
      <c r="C315" s="95" t="s">
        <v>17</v>
      </c>
      <c r="D315" s="95"/>
      <c r="E315" s="95">
        <v>50</v>
      </c>
      <c r="F315" s="95"/>
      <c r="G315" s="95">
        <v>50</v>
      </c>
      <c r="H315" s="96">
        <f>SUM(Tabla1323[[#This Row],[PRIMER TRIMESTRE]:[CUARTO TRIMESTRE]])</f>
        <v>100</v>
      </c>
      <c r="I315" s="97">
        <v>15544</v>
      </c>
      <c r="J315" s="97">
        <f t="shared" si="8"/>
        <v>1554400</v>
      </c>
      <c r="K315" s="31"/>
      <c r="L315" s="16" t="s">
        <v>27</v>
      </c>
      <c r="M315" s="28" t="s">
        <v>22</v>
      </c>
      <c r="N315" s="45"/>
      <c r="O315" s="20"/>
    </row>
    <row r="316" spans="1:15" s="12" customFormat="1">
      <c r="A316" s="94" t="s">
        <v>80</v>
      </c>
      <c r="B316" s="94" t="s">
        <v>711</v>
      </c>
      <c r="C316" s="95" t="s">
        <v>17</v>
      </c>
      <c r="D316" s="95"/>
      <c r="E316" s="95">
        <v>45</v>
      </c>
      <c r="F316" s="95"/>
      <c r="G316" s="95">
        <v>45</v>
      </c>
      <c r="H316" s="96">
        <f>SUM(Tabla1323[[#This Row],[PRIMER TRIMESTRE]:[CUARTO TRIMESTRE]])</f>
        <v>90</v>
      </c>
      <c r="I316" s="97">
        <v>20650.03</v>
      </c>
      <c r="J316" s="97">
        <f>+H316*I316</f>
        <v>1858502.7</v>
      </c>
      <c r="K316" s="68"/>
      <c r="L316" s="16" t="s">
        <v>27</v>
      </c>
      <c r="M316" s="66" t="s">
        <v>22</v>
      </c>
      <c r="N316" s="67"/>
      <c r="O316" s="69"/>
    </row>
    <row r="317" spans="1:15" s="12" customFormat="1">
      <c r="A317" s="94" t="s">
        <v>80</v>
      </c>
      <c r="B317" s="94" t="s">
        <v>710</v>
      </c>
      <c r="C317" s="95" t="s">
        <v>17</v>
      </c>
      <c r="D317" s="95"/>
      <c r="E317" s="95">
        <v>150</v>
      </c>
      <c r="F317" s="95"/>
      <c r="G317" s="95">
        <v>150</v>
      </c>
      <c r="H317" s="96">
        <f>SUM(Tabla1323[[#This Row],[PRIMER TRIMESTRE]:[CUARTO TRIMESTRE]])</f>
        <v>300</v>
      </c>
      <c r="I317" s="97">
        <v>39221.919999999998</v>
      </c>
      <c r="J317" s="97">
        <f t="shared" si="8"/>
        <v>11766576</v>
      </c>
      <c r="K317" s="31"/>
      <c r="L317" s="16" t="s">
        <v>27</v>
      </c>
      <c r="M317" s="28" t="s">
        <v>22</v>
      </c>
      <c r="N317" s="45"/>
      <c r="O317" s="20"/>
    </row>
    <row r="318" spans="1:15" s="12" customFormat="1">
      <c r="A318" s="94" t="s">
        <v>80</v>
      </c>
      <c r="B318" s="94" t="s">
        <v>709</v>
      </c>
      <c r="C318" s="95" t="s">
        <v>17</v>
      </c>
      <c r="D318" s="95"/>
      <c r="E318" s="95">
        <v>2000</v>
      </c>
      <c r="F318" s="95"/>
      <c r="G318" s="95">
        <v>2000</v>
      </c>
      <c r="H318" s="96">
        <f>SUM(Tabla1323[[#This Row],[PRIMER TRIMESTRE]:[CUARTO TRIMESTRE]])</f>
        <v>4000</v>
      </c>
      <c r="I318" s="97">
        <f>17500*1.18</f>
        <v>20650</v>
      </c>
      <c r="J318" s="97">
        <f>+H318*I318</f>
        <v>82600000</v>
      </c>
      <c r="K318" s="68"/>
      <c r="L318" s="16" t="s">
        <v>27</v>
      </c>
      <c r="M318" s="66" t="s">
        <v>22</v>
      </c>
      <c r="N318" s="67"/>
      <c r="O318" s="69"/>
    </row>
    <row r="319" spans="1:15" s="12" customFormat="1">
      <c r="A319" s="94" t="s">
        <v>80</v>
      </c>
      <c r="B319" s="94" t="s">
        <v>708</v>
      </c>
      <c r="C319" s="95" t="s">
        <v>17</v>
      </c>
      <c r="D319" s="95"/>
      <c r="E319" s="95">
        <v>2000</v>
      </c>
      <c r="F319" s="95"/>
      <c r="G319" s="95">
        <v>2000</v>
      </c>
      <c r="H319" s="96">
        <f>SUM(Tabla1323[[#This Row],[PRIMER TRIMESTRE]:[CUARTO TRIMESTRE]])</f>
        <v>4000</v>
      </c>
      <c r="I319" s="97">
        <f>25175*1.18</f>
        <v>29706.5</v>
      </c>
      <c r="J319" s="97">
        <f>+H319*I319</f>
        <v>118826000</v>
      </c>
      <c r="K319" s="17"/>
      <c r="L319" s="16" t="s">
        <v>27</v>
      </c>
      <c r="M319" s="16" t="s">
        <v>22</v>
      </c>
      <c r="N319" s="39"/>
      <c r="O319" s="18"/>
    </row>
    <row r="320" spans="1:15" s="12" customFormat="1">
      <c r="A320" s="94" t="s">
        <v>80</v>
      </c>
      <c r="B320" s="94" t="s">
        <v>707</v>
      </c>
      <c r="C320" s="95" t="s">
        <v>17</v>
      </c>
      <c r="D320" s="95"/>
      <c r="E320" s="95">
        <v>500</v>
      </c>
      <c r="F320" s="95"/>
      <c r="G320" s="95">
        <v>500</v>
      </c>
      <c r="H320" s="96">
        <f>SUM(Tabla1323[[#This Row],[PRIMER TRIMESTRE]:[CUARTO TRIMESTRE]])</f>
        <v>1000</v>
      </c>
      <c r="I320" s="97">
        <f>34500*1.18</f>
        <v>40710</v>
      </c>
      <c r="J320" s="97">
        <f t="shared" si="8"/>
        <v>40710000</v>
      </c>
      <c r="K320" s="31"/>
      <c r="L320" s="16" t="s">
        <v>27</v>
      </c>
      <c r="M320" s="28" t="s">
        <v>22</v>
      </c>
      <c r="N320" s="45"/>
      <c r="O320" s="20"/>
    </row>
    <row r="321" spans="1:18" s="12" customFormat="1">
      <c r="A321" s="94" t="s">
        <v>80</v>
      </c>
      <c r="B321" s="94" t="s">
        <v>706</v>
      </c>
      <c r="C321" s="95" t="s">
        <v>17</v>
      </c>
      <c r="D321" s="95"/>
      <c r="E321" s="95">
        <v>10</v>
      </c>
      <c r="F321" s="95"/>
      <c r="G321" s="95">
        <v>10</v>
      </c>
      <c r="H321" s="96">
        <f>SUM(Tabla1323[[#This Row],[PRIMER TRIMESTRE]:[CUARTO TRIMESTRE]])</f>
        <v>20</v>
      </c>
      <c r="I321" s="97">
        <v>67131.600000000006</v>
      </c>
      <c r="J321" s="97">
        <f t="shared" si="8"/>
        <v>1342632</v>
      </c>
      <c r="K321" s="17"/>
      <c r="L321" s="16" t="s">
        <v>27</v>
      </c>
      <c r="M321" s="16" t="s">
        <v>22</v>
      </c>
      <c r="N321" s="39"/>
      <c r="O321" s="18"/>
    </row>
    <row r="322" spans="1:18" s="12" customFormat="1">
      <c r="A322" s="94" t="s">
        <v>80</v>
      </c>
      <c r="B322" s="94" t="s">
        <v>705</v>
      </c>
      <c r="C322" s="95" t="s">
        <v>17</v>
      </c>
      <c r="D322" s="95"/>
      <c r="E322" s="95">
        <v>10</v>
      </c>
      <c r="F322" s="95"/>
      <c r="G322" s="95">
        <v>10</v>
      </c>
      <c r="H322" s="96">
        <f>SUM(Tabla1323[[#This Row],[PRIMER TRIMESTRE]:[CUARTO TRIMESTRE]])</f>
        <v>20</v>
      </c>
      <c r="I322" s="97">
        <v>80240</v>
      </c>
      <c r="J322" s="97">
        <f t="shared" si="8"/>
        <v>1604800</v>
      </c>
      <c r="K322" s="99">
        <f>SUM(J313:J322)</f>
        <v>260466127.01999998</v>
      </c>
      <c r="L322" s="16" t="s">
        <v>27</v>
      </c>
      <c r="M322" s="16" t="s">
        <v>22</v>
      </c>
      <c r="N322" s="39"/>
      <c r="O322" s="18"/>
    </row>
    <row r="323" spans="1:18" s="12" customFormat="1">
      <c r="A323" s="15" t="s">
        <v>80</v>
      </c>
      <c r="B323" s="75" t="s">
        <v>703</v>
      </c>
      <c r="C323" s="39" t="s">
        <v>17</v>
      </c>
      <c r="D323" s="39"/>
      <c r="E323" s="39">
        <v>10</v>
      </c>
      <c r="F323" s="39"/>
      <c r="G323" s="39">
        <v>10</v>
      </c>
      <c r="H323" s="40">
        <f>SUM(Tabla1323[[#This Row],[PRIMER TRIMESTRE]:[CUARTO TRIMESTRE]])</f>
        <v>20</v>
      </c>
      <c r="I323" s="72">
        <v>1926.1</v>
      </c>
      <c r="J323" s="17">
        <f t="shared" si="8"/>
        <v>38522</v>
      </c>
      <c r="K323" s="17"/>
      <c r="L323" s="16" t="s">
        <v>27</v>
      </c>
      <c r="M323" s="16" t="s">
        <v>22</v>
      </c>
      <c r="N323" s="39"/>
      <c r="O323" s="18"/>
    </row>
    <row r="324" spans="1:18" s="12" customFormat="1">
      <c r="A324" s="15" t="s">
        <v>80</v>
      </c>
      <c r="B324" s="75" t="s">
        <v>704</v>
      </c>
      <c r="C324" s="39" t="s">
        <v>17</v>
      </c>
      <c r="D324" s="39"/>
      <c r="E324" s="39">
        <v>10</v>
      </c>
      <c r="F324" s="39"/>
      <c r="G324" s="39">
        <v>10</v>
      </c>
      <c r="H324" s="40">
        <f>SUM(Tabla1323[[#This Row],[PRIMER TRIMESTRE]:[CUARTO TRIMESTRE]])</f>
        <v>20</v>
      </c>
      <c r="I324" s="72">
        <v>3940</v>
      </c>
      <c r="J324" s="17">
        <f t="shared" si="8"/>
        <v>78800</v>
      </c>
      <c r="K324" s="17"/>
      <c r="L324" s="16" t="s">
        <v>27</v>
      </c>
      <c r="M324" s="16" t="s">
        <v>22</v>
      </c>
      <c r="N324" s="39"/>
      <c r="O324" s="18"/>
    </row>
    <row r="325" spans="1:18" s="12" customFormat="1">
      <c r="A325" s="15" t="s">
        <v>80</v>
      </c>
      <c r="B325" s="75" t="s">
        <v>318</v>
      </c>
      <c r="C325" s="44" t="s">
        <v>17</v>
      </c>
      <c r="D325" s="39"/>
      <c r="E325" s="39">
        <v>10</v>
      </c>
      <c r="F325" s="39"/>
      <c r="G325" s="39">
        <v>10</v>
      </c>
      <c r="H325" s="40">
        <f>SUM(Tabla1323[[#This Row],[PRIMER TRIMESTRE]:[CUARTO TRIMESTRE]])</f>
        <v>20</v>
      </c>
      <c r="I325" s="17">
        <v>135.69999999999999</v>
      </c>
      <c r="J325" s="17">
        <f>+Tabla1323[[#This Row],[CANTIDAD TOTAL]]*Tabla1323[[#This Row],[PRECIO UNITARIO ESTIMADO]]</f>
        <v>2714</v>
      </c>
      <c r="K325" s="17"/>
      <c r="L325" s="16" t="s">
        <v>27</v>
      </c>
      <c r="M325" s="30" t="s">
        <v>22</v>
      </c>
      <c r="N325" s="39" t="s">
        <v>418</v>
      </c>
      <c r="O325" s="20"/>
      <c r="R325" s="19"/>
    </row>
    <row r="326" spans="1:18" s="12" customFormat="1">
      <c r="A326" s="15" t="s">
        <v>80</v>
      </c>
      <c r="B326" s="75" t="s">
        <v>387</v>
      </c>
      <c r="C326" s="39" t="s">
        <v>17</v>
      </c>
      <c r="D326" s="39"/>
      <c r="E326" s="39">
        <v>10</v>
      </c>
      <c r="F326" s="39"/>
      <c r="G326" s="39">
        <v>10</v>
      </c>
      <c r="H326" s="40">
        <f>SUM(Tabla1323[[#This Row],[PRIMER TRIMESTRE]:[CUARTO TRIMESTRE]])</f>
        <v>20</v>
      </c>
      <c r="I326" s="17">
        <v>4.1100000000000003</v>
      </c>
      <c r="J326" s="17">
        <f t="shared" ref="J326:J375" si="9">+H326*I326</f>
        <v>82.2</v>
      </c>
      <c r="K326" s="17"/>
      <c r="L326" s="16" t="s">
        <v>27</v>
      </c>
      <c r="M326" s="16" t="s">
        <v>22</v>
      </c>
      <c r="N326" s="39"/>
      <c r="O326" s="20"/>
    </row>
    <row r="327" spans="1:18" s="12" customFormat="1">
      <c r="A327" s="15" t="s">
        <v>80</v>
      </c>
      <c r="B327" s="75" t="s">
        <v>388</v>
      </c>
      <c r="C327" s="39" t="s">
        <v>17</v>
      </c>
      <c r="D327" s="39"/>
      <c r="E327" s="39">
        <v>10</v>
      </c>
      <c r="F327" s="39"/>
      <c r="G327" s="39">
        <v>10</v>
      </c>
      <c r="H327" s="40">
        <f>SUM(Tabla1323[[#This Row],[PRIMER TRIMESTRE]:[CUARTO TRIMESTRE]])</f>
        <v>20</v>
      </c>
      <c r="I327" s="17">
        <v>5.25</v>
      </c>
      <c r="J327" s="17">
        <f t="shared" si="9"/>
        <v>105</v>
      </c>
      <c r="K327" s="17"/>
      <c r="L327" s="16" t="s">
        <v>27</v>
      </c>
      <c r="M327" s="16" t="s">
        <v>22</v>
      </c>
      <c r="N327" s="39"/>
      <c r="O327" s="20"/>
    </row>
    <row r="328" spans="1:18" s="12" customFormat="1">
      <c r="A328" s="15" t="s">
        <v>80</v>
      </c>
      <c r="B328" s="75" t="s">
        <v>389</v>
      </c>
      <c r="C328" s="39" t="s">
        <v>17</v>
      </c>
      <c r="D328" s="39"/>
      <c r="E328" s="39">
        <v>10</v>
      </c>
      <c r="F328" s="39"/>
      <c r="G328" s="39">
        <v>10</v>
      </c>
      <c r="H328" s="40">
        <f>SUM(Tabla1323[[#This Row],[PRIMER TRIMESTRE]:[CUARTO TRIMESTRE]])</f>
        <v>20</v>
      </c>
      <c r="I328" s="17">
        <v>11</v>
      </c>
      <c r="J328" s="17">
        <f t="shared" si="9"/>
        <v>220</v>
      </c>
      <c r="K328" s="17"/>
      <c r="L328" s="16" t="s">
        <v>27</v>
      </c>
      <c r="M328" s="16" t="s">
        <v>22</v>
      </c>
      <c r="N328" s="39"/>
      <c r="O328" s="20"/>
    </row>
    <row r="329" spans="1:18" s="12" customFormat="1" ht="25.5">
      <c r="A329" s="100" t="s">
        <v>80</v>
      </c>
      <c r="B329" s="90" t="s">
        <v>663</v>
      </c>
      <c r="C329" s="91" t="s">
        <v>17</v>
      </c>
      <c r="D329" s="91"/>
      <c r="E329" s="91">
        <v>5</v>
      </c>
      <c r="F329" s="91"/>
      <c r="G329" s="91">
        <v>5</v>
      </c>
      <c r="H329" s="92">
        <f>SUM(Tabla1323[[#This Row],[PRIMER TRIMESTRE]:[CUARTO TRIMESTRE]])</f>
        <v>10</v>
      </c>
      <c r="I329" s="93">
        <v>15930</v>
      </c>
      <c r="J329" s="93">
        <f t="shared" si="9"/>
        <v>159300</v>
      </c>
      <c r="K329" s="17"/>
      <c r="L329" s="16" t="s">
        <v>27</v>
      </c>
      <c r="M329" s="16" t="s">
        <v>22</v>
      </c>
      <c r="N329" s="39"/>
      <c r="O329" s="18"/>
    </row>
    <row r="330" spans="1:18" s="12" customFormat="1" ht="25.5">
      <c r="A330" s="100" t="s">
        <v>80</v>
      </c>
      <c r="B330" s="90" t="s">
        <v>662</v>
      </c>
      <c r="C330" s="91" t="s">
        <v>17</v>
      </c>
      <c r="D330" s="91"/>
      <c r="E330" s="91">
        <v>6</v>
      </c>
      <c r="F330" s="91"/>
      <c r="G330" s="91">
        <v>6</v>
      </c>
      <c r="H330" s="92">
        <f>SUM(Tabla1323[[#This Row],[PRIMER TRIMESTRE]:[CUARTO TRIMESTRE]])</f>
        <v>12</v>
      </c>
      <c r="I330" s="93">
        <f>15500*1.18</f>
        <v>18290</v>
      </c>
      <c r="J330" s="93">
        <f t="shared" si="9"/>
        <v>219480</v>
      </c>
      <c r="K330" s="17"/>
      <c r="L330" s="16" t="s">
        <v>27</v>
      </c>
      <c r="M330" s="16" t="s">
        <v>22</v>
      </c>
      <c r="N330" s="39"/>
      <c r="O330" s="18"/>
    </row>
    <row r="331" spans="1:18" s="12" customFormat="1" ht="25.5">
      <c r="A331" s="100" t="s">
        <v>80</v>
      </c>
      <c r="B331" s="90" t="s">
        <v>664</v>
      </c>
      <c r="C331" s="91" t="s">
        <v>17</v>
      </c>
      <c r="D331" s="91"/>
      <c r="E331" s="91">
        <v>13</v>
      </c>
      <c r="F331" s="91"/>
      <c r="G331" s="91">
        <v>13</v>
      </c>
      <c r="H331" s="92">
        <f>SUM(Tabla1323[[#This Row],[PRIMER TRIMESTRE]:[CUARTO TRIMESTRE]])</f>
        <v>26</v>
      </c>
      <c r="I331" s="93">
        <f>18500*1.18</f>
        <v>21830</v>
      </c>
      <c r="J331" s="93">
        <f t="shared" si="9"/>
        <v>567580</v>
      </c>
      <c r="K331" s="17"/>
      <c r="L331" s="16" t="s">
        <v>27</v>
      </c>
      <c r="M331" s="16" t="s">
        <v>22</v>
      </c>
      <c r="N331" s="39"/>
      <c r="O331" s="18"/>
    </row>
    <row r="332" spans="1:18" s="12" customFormat="1" ht="38.25">
      <c r="A332" s="100" t="s">
        <v>80</v>
      </c>
      <c r="B332" s="90" t="s">
        <v>672</v>
      </c>
      <c r="C332" s="91" t="s">
        <v>17</v>
      </c>
      <c r="D332" s="91"/>
      <c r="E332" s="91">
        <v>5</v>
      </c>
      <c r="F332" s="91"/>
      <c r="G332" s="91">
        <v>5</v>
      </c>
      <c r="H332" s="92">
        <f>SUM(Tabla1323[[#This Row],[PRIMER TRIMESTRE]:[CUARTO TRIMESTRE]])</f>
        <v>10</v>
      </c>
      <c r="I332" s="93">
        <f>13800*1.18</f>
        <v>16284</v>
      </c>
      <c r="J332" s="93">
        <f>+H332*I332</f>
        <v>162840</v>
      </c>
      <c r="K332" s="17"/>
      <c r="L332" s="16" t="s">
        <v>27</v>
      </c>
      <c r="M332" s="16" t="s">
        <v>22</v>
      </c>
      <c r="N332" s="39"/>
      <c r="O332" s="18"/>
    </row>
    <row r="333" spans="1:18" s="12" customFormat="1" ht="59.25" customHeight="1">
      <c r="A333" s="101" t="s">
        <v>80</v>
      </c>
      <c r="B333" s="90" t="s">
        <v>665</v>
      </c>
      <c r="C333" s="91" t="s">
        <v>17</v>
      </c>
      <c r="D333" s="91"/>
      <c r="E333" s="91">
        <v>4</v>
      </c>
      <c r="F333" s="91"/>
      <c r="G333" s="91">
        <v>4</v>
      </c>
      <c r="H333" s="102">
        <f>SUM(Tabla1323[[#This Row],[PRIMER TRIMESTRE]:[CUARTO TRIMESTRE]])</f>
        <v>8</v>
      </c>
      <c r="I333" s="93">
        <f>15950*1.18</f>
        <v>18821</v>
      </c>
      <c r="J333" s="93">
        <f t="shared" si="9"/>
        <v>150568</v>
      </c>
      <c r="K333" s="31"/>
      <c r="L333" s="16" t="s">
        <v>27</v>
      </c>
      <c r="M333" s="28" t="s">
        <v>22</v>
      </c>
      <c r="N333" s="45"/>
      <c r="O333" s="29"/>
    </row>
    <row r="334" spans="1:18" s="12" customFormat="1" ht="56.25" customHeight="1">
      <c r="A334" s="101" t="s">
        <v>80</v>
      </c>
      <c r="B334" s="90" t="s">
        <v>666</v>
      </c>
      <c r="C334" s="91" t="s">
        <v>17</v>
      </c>
      <c r="D334" s="91"/>
      <c r="E334" s="91">
        <v>4</v>
      </c>
      <c r="F334" s="91"/>
      <c r="G334" s="91">
        <v>4</v>
      </c>
      <c r="H334" s="102">
        <f>SUM(Tabla1323[[#This Row],[PRIMER TRIMESTRE]:[CUARTO TRIMESTRE]])</f>
        <v>8</v>
      </c>
      <c r="I334" s="93">
        <f>18950*1.18</f>
        <v>22361</v>
      </c>
      <c r="J334" s="93">
        <f t="shared" si="9"/>
        <v>178888</v>
      </c>
      <c r="K334" s="31"/>
      <c r="L334" s="16" t="s">
        <v>27</v>
      </c>
      <c r="M334" s="28" t="s">
        <v>22</v>
      </c>
      <c r="N334" s="45"/>
      <c r="O334" s="29"/>
    </row>
    <row r="335" spans="1:18" s="12" customFormat="1" ht="63" customHeight="1">
      <c r="A335" s="101" t="s">
        <v>80</v>
      </c>
      <c r="B335" s="90" t="s">
        <v>667</v>
      </c>
      <c r="C335" s="91" t="s">
        <v>17</v>
      </c>
      <c r="D335" s="91"/>
      <c r="E335" s="91">
        <v>4</v>
      </c>
      <c r="F335" s="91"/>
      <c r="G335" s="91">
        <v>4</v>
      </c>
      <c r="H335" s="102">
        <f>SUM(Tabla1323[[#This Row],[PRIMER TRIMESTRE]:[CUARTO TRIMESTRE]])</f>
        <v>8</v>
      </c>
      <c r="I335" s="93">
        <f>23500*1.18</f>
        <v>27730</v>
      </c>
      <c r="J335" s="93">
        <f t="shared" si="9"/>
        <v>221840</v>
      </c>
      <c r="K335" s="31"/>
      <c r="L335" s="16" t="s">
        <v>27</v>
      </c>
      <c r="M335" s="28" t="s">
        <v>22</v>
      </c>
      <c r="N335" s="45"/>
      <c r="O335" s="29"/>
    </row>
    <row r="336" spans="1:18" s="12" customFormat="1" ht="61.5" customHeight="1">
      <c r="A336" s="101" t="s">
        <v>80</v>
      </c>
      <c r="B336" s="90" t="s">
        <v>668</v>
      </c>
      <c r="C336" s="91" t="s">
        <v>17</v>
      </c>
      <c r="D336" s="91"/>
      <c r="E336" s="91">
        <v>4</v>
      </c>
      <c r="F336" s="91"/>
      <c r="G336" s="91">
        <v>4</v>
      </c>
      <c r="H336" s="102">
        <f>SUM(Tabla1323[[#This Row],[PRIMER TRIMESTRE]:[CUARTO TRIMESTRE]])</f>
        <v>8</v>
      </c>
      <c r="I336" s="93">
        <f>32800*1.18</f>
        <v>38704</v>
      </c>
      <c r="J336" s="93">
        <f t="shared" si="9"/>
        <v>309632</v>
      </c>
      <c r="K336" s="31"/>
      <c r="L336" s="16" t="s">
        <v>27</v>
      </c>
      <c r="M336" s="28" t="s">
        <v>22</v>
      </c>
      <c r="N336" s="45"/>
      <c r="O336" s="29"/>
    </row>
    <row r="337" spans="1:15" s="12" customFormat="1" ht="75.75" customHeight="1">
      <c r="A337" s="101" t="s">
        <v>80</v>
      </c>
      <c r="B337" s="90" t="s">
        <v>669</v>
      </c>
      <c r="C337" s="91" t="s">
        <v>17</v>
      </c>
      <c r="D337" s="91"/>
      <c r="E337" s="91">
        <v>4</v>
      </c>
      <c r="F337" s="91"/>
      <c r="G337" s="91">
        <v>4</v>
      </c>
      <c r="H337" s="102">
        <f>SUM(Tabla1323[[#This Row],[PRIMER TRIMESTRE]:[CUARTO TRIMESTRE]])</f>
        <v>8</v>
      </c>
      <c r="I337" s="93">
        <f>56500*1.18</f>
        <v>66670</v>
      </c>
      <c r="J337" s="93">
        <f t="shared" si="9"/>
        <v>533360</v>
      </c>
      <c r="K337" s="31"/>
      <c r="L337" s="16" t="s">
        <v>27</v>
      </c>
      <c r="M337" s="28" t="s">
        <v>22</v>
      </c>
      <c r="N337" s="45"/>
      <c r="O337" s="29"/>
    </row>
    <row r="338" spans="1:15" s="12" customFormat="1" ht="75.75" customHeight="1">
      <c r="A338" s="101" t="s">
        <v>80</v>
      </c>
      <c r="B338" s="90" t="s">
        <v>670</v>
      </c>
      <c r="C338" s="91" t="s">
        <v>17</v>
      </c>
      <c r="D338" s="91"/>
      <c r="E338" s="91">
        <v>5</v>
      </c>
      <c r="F338" s="91"/>
      <c r="G338" s="91">
        <v>5</v>
      </c>
      <c r="H338" s="102">
        <f>SUM(Tabla1323[[#This Row],[PRIMER TRIMESTRE]:[CUARTO TRIMESTRE]])</f>
        <v>10</v>
      </c>
      <c r="I338" s="93">
        <f>74000*1.18</f>
        <v>87320</v>
      </c>
      <c r="J338" s="93">
        <f t="shared" si="9"/>
        <v>873200</v>
      </c>
      <c r="K338" s="31"/>
      <c r="L338" s="16" t="s">
        <v>27</v>
      </c>
      <c r="M338" s="28" t="s">
        <v>22</v>
      </c>
      <c r="N338" s="45"/>
      <c r="O338" s="29"/>
    </row>
    <row r="339" spans="1:15" s="12" customFormat="1" ht="75.75" customHeight="1">
      <c r="A339" s="101" t="s">
        <v>80</v>
      </c>
      <c r="B339" s="90" t="s">
        <v>671</v>
      </c>
      <c r="C339" s="91" t="s">
        <v>17</v>
      </c>
      <c r="D339" s="91"/>
      <c r="E339" s="91">
        <v>5</v>
      </c>
      <c r="F339" s="91"/>
      <c r="G339" s="91">
        <v>5</v>
      </c>
      <c r="H339" s="102">
        <f>SUM(Tabla1323[[#This Row],[PRIMER TRIMESTRE]:[CUARTO TRIMESTRE]])</f>
        <v>10</v>
      </c>
      <c r="I339" s="93">
        <f>245000*1.18</f>
        <v>289100</v>
      </c>
      <c r="J339" s="93">
        <f t="shared" si="9"/>
        <v>2891000</v>
      </c>
      <c r="K339" s="103">
        <f>SUM(J329:J339)</f>
        <v>6267688</v>
      </c>
      <c r="L339" s="16" t="s">
        <v>27</v>
      </c>
      <c r="M339" s="28" t="s">
        <v>22</v>
      </c>
      <c r="N339" s="45"/>
      <c r="O339" s="29"/>
    </row>
    <row r="340" spans="1:15" s="12" customFormat="1" ht="75.75" customHeight="1">
      <c r="A340" s="114" t="s">
        <v>80</v>
      </c>
      <c r="B340" s="115" t="s">
        <v>673</v>
      </c>
      <c r="C340" s="116" t="s">
        <v>17</v>
      </c>
      <c r="D340" s="116"/>
      <c r="E340" s="116">
        <v>5</v>
      </c>
      <c r="F340" s="116"/>
      <c r="G340" s="116">
        <v>5</v>
      </c>
      <c r="H340" s="128">
        <f>SUM(Tabla1323[[#This Row],[PRIMER TRIMESTRE]:[CUARTO TRIMESTRE]])</f>
        <v>10</v>
      </c>
      <c r="I340" s="118">
        <v>16284</v>
      </c>
      <c r="J340" s="118">
        <f>+H340*I340</f>
        <v>162840</v>
      </c>
      <c r="K340" s="17"/>
      <c r="L340" s="16" t="s">
        <v>27</v>
      </c>
      <c r="M340" s="16" t="s">
        <v>22</v>
      </c>
      <c r="N340" s="39"/>
      <c r="O340" s="18"/>
    </row>
    <row r="341" spans="1:15" s="12" customFormat="1" ht="86.25" customHeight="1">
      <c r="A341" s="129" t="s">
        <v>80</v>
      </c>
      <c r="B341" s="115" t="s">
        <v>674</v>
      </c>
      <c r="C341" s="116" t="s">
        <v>17</v>
      </c>
      <c r="D341" s="116"/>
      <c r="E341" s="116">
        <v>5</v>
      </c>
      <c r="F341" s="116"/>
      <c r="G341" s="116">
        <v>5</v>
      </c>
      <c r="H341" s="128">
        <f>SUM(Tabla1323[[#This Row],[PRIMER TRIMESTRE]:[CUARTO TRIMESTRE]])</f>
        <v>10</v>
      </c>
      <c r="I341" s="118">
        <v>22420</v>
      </c>
      <c r="J341" s="118">
        <f t="shared" si="9"/>
        <v>224200</v>
      </c>
      <c r="K341" s="31"/>
      <c r="L341" s="16" t="s">
        <v>27</v>
      </c>
      <c r="M341" s="28" t="s">
        <v>22</v>
      </c>
      <c r="N341" s="45"/>
      <c r="O341" s="29"/>
    </row>
    <row r="342" spans="1:15" s="12" customFormat="1" ht="86.25" customHeight="1">
      <c r="A342" s="129" t="s">
        <v>80</v>
      </c>
      <c r="B342" s="115" t="s">
        <v>675</v>
      </c>
      <c r="C342" s="116" t="s">
        <v>17</v>
      </c>
      <c r="D342" s="116"/>
      <c r="E342" s="116">
        <v>4</v>
      </c>
      <c r="F342" s="116"/>
      <c r="G342" s="116">
        <v>5</v>
      </c>
      <c r="H342" s="128">
        <f>SUM(Tabla1323[[#This Row],[PRIMER TRIMESTRE]:[CUARTO TRIMESTRE]])</f>
        <v>9</v>
      </c>
      <c r="I342" s="118">
        <v>34072.5</v>
      </c>
      <c r="J342" s="118">
        <f t="shared" si="9"/>
        <v>306652.5</v>
      </c>
      <c r="K342" s="31"/>
      <c r="L342" s="16" t="s">
        <v>27</v>
      </c>
      <c r="M342" s="28" t="s">
        <v>22</v>
      </c>
      <c r="N342" s="45"/>
      <c r="O342" s="29"/>
    </row>
    <row r="343" spans="1:15" s="12" customFormat="1" ht="86.25" customHeight="1">
      <c r="A343" s="129" t="s">
        <v>80</v>
      </c>
      <c r="B343" s="115" t="s">
        <v>676</v>
      </c>
      <c r="C343" s="116" t="s">
        <v>17</v>
      </c>
      <c r="D343" s="116"/>
      <c r="E343" s="116">
        <v>4</v>
      </c>
      <c r="F343" s="116"/>
      <c r="G343" s="116">
        <v>4</v>
      </c>
      <c r="H343" s="128">
        <f>SUM(Tabla1323[[#This Row],[PRIMER TRIMESTRE]:[CUARTO TRIMESTRE]])</f>
        <v>8</v>
      </c>
      <c r="I343" s="118">
        <v>40200</v>
      </c>
      <c r="J343" s="118">
        <f t="shared" si="9"/>
        <v>321600</v>
      </c>
      <c r="K343" s="31"/>
      <c r="L343" s="16" t="s">
        <v>27</v>
      </c>
      <c r="M343" s="28" t="s">
        <v>22</v>
      </c>
      <c r="N343" s="45"/>
      <c r="O343" s="29"/>
    </row>
    <row r="344" spans="1:15" s="12" customFormat="1" ht="86.25" customHeight="1">
      <c r="A344" s="129" t="s">
        <v>80</v>
      </c>
      <c r="B344" s="115" t="s">
        <v>677</v>
      </c>
      <c r="C344" s="116" t="s">
        <v>17</v>
      </c>
      <c r="D344" s="116"/>
      <c r="E344" s="116">
        <v>4</v>
      </c>
      <c r="F344" s="116"/>
      <c r="G344" s="116">
        <v>4</v>
      </c>
      <c r="H344" s="128">
        <f>SUM(Tabla1323[[#This Row],[PRIMER TRIMESTRE]:[CUARTO TRIMESTRE]])</f>
        <v>8</v>
      </c>
      <c r="I344" s="118">
        <v>49500</v>
      </c>
      <c r="J344" s="118">
        <f t="shared" si="9"/>
        <v>396000</v>
      </c>
      <c r="K344" s="31"/>
      <c r="L344" s="16" t="s">
        <v>27</v>
      </c>
      <c r="M344" s="28" t="s">
        <v>22</v>
      </c>
      <c r="N344" s="45"/>
      <c r="O344" s="29"/>
    </row>
    <row r="345" spans="1:15" s="12" customFormat="1" ht="86.25" customHeight="1">
      <c r="A345" s="129" t="s">
        <v>80</v>
      </c>
      <c r="B345" s="115" t="s">
        <v>678</v>
      </c>
      <c r="C345" s="116" t="s">
        <v>17</v>
      </c>
      <c r="D345" s="116"/>
      <c r="E345" s="116">
        <v>4</v>
      </c>
      <c r="F345" s="116"/>
      <c r="G345" s="116">
        <v>4</v>
      </c>
      <c r="H345" s="128">
        <f>SUM(Tabla1323[[#This Row],[PRIMER TRIMESTRE]:[CUARTO TRIMESTRE]])</f>
        <v>8</v>
      </c>
      <c r="I345" s="118">
        <v>73250</v>
      </c>
      <c r="J345" s="118">
        <f t="shared" si="9"/>
        <v>586000</v>
      </c>
      <c r="K345" s="31"/>
      <c r="L345" s="16" t="s">
        <v>27</v>
      </c>
      <c r="M345" s="28" t="s">
        <v>22</v>
      </c>
      <c r="N345" s="45"/>
      <c r="O345" s="29"/>
    </row>
    <row r="346" spans="1:15" s="12" customFormat="1" ht="86.25" customHeight="1">
      <c r="A346" s="129" t="s">
        <v>80</v>
      </c>
      <c r="B346" s="115" t="s">
        <v>679</v>
      </c>
      <c r="C346" s="116" t="s">
        <v>17</v>
      </c>
      <c r="D346" s="116"/>
      <c r="E346" s="116">
        <v>4</v>
      </c>
      <c r="F346" s="116"/>
      <c r="G346" s="116">
        <v>4</v>
      </c>
      <c r="H346" s="128">
        <f>SUM(Tabla1323[[#This Row],[PRIMER TRIMESTRE]:[CUARTO TRIMESTRE]])</f>
        <v>8</v>
      </c>
      <c r="I346" s="118">
        <v>289000</v>
      </c>
      <c r="J346" s="118">
        <f t="shared" si="9"/>
        <v>2312000</v>
      </c>
      <c r="K346" s="31"/>
      <c r="L346" s="16" t="s">
        <v>27</v>
      </c>
      <c r="M346" s="28" t="s">
        <v>22</v>
      </c>
      <c r="N346" s="45"/>
      <c r="O346" s="29"/>
    </row>
    <row r="347" spans="1:15" s="12" customFormat="1" ht="89.25" customHeight="1">
      <c r="A347" s="129" t="s">
        <v>80</v>
      </c>
      <c r="B347" s="115" t="s">
        <v>680</v>
      </c>
      <c r="C347" s="116" t="s">
        <v>17</v>
      </c>
      <c r="D347" s="116"/>
      <c r="E347" s="116">
        <v>4</v>
      </c>
      <c r="F347" s="116"/>
      <c r="G347" s="116">
        <v>4</v>
      </c>
      <c r="H347" s="128">
        <f>SUM(Tabla1323[[#This Row],[PRIMER TRIMESTRE]:[CUARTO TRIMESTRE]])</f>
        <v>8</v>
      </c>
      <c r="I347" s="118">
        <f>26800*1.18</f>
        <v>31624</v>
      </c>
      <c r="J347" s="118">
        <f t="shared" si="9"/>
        <v>252992</v>
      </c>
      <c r="K347" s="31"/>
      <c r="L347" s="16" t="s">
        <v>27</v>
      </c>
      <c r="M347" s="28" t="s">
        <v>22</v>
      </c>
      <c r="N347" s="45"/>
      <c r="O347" s="29"/>
    </row>
    <row r="348" spans="1:15" s="12" customFormat="1" ht="89.25" customHeight="1">
      <c r="A348" s="129" t="s">
        <v>80</v>
      </c>
      <c r="B348" s="115" t="s">
        <v>681</v>
      </c>
      <c r="C348" s="116" t="s">
        <v>17</v>
      </c>
      <c r="D348" s="116"/>
      <c r="E348" s="116">
        <v>4</v>
      </c>
      <c r="F348" s="116"/>
      <c r="G348" s="116">
        <v>4</v>
      </c>
      <c r="H348" s="128">
        <f>SUM(Tabla1323[[#This Row],[PRIMER TRIMESTRE]:[CUARTO TRIMESTRE]])</f>
        <v>8</v>
      </c>
      <c r="I348" s="118">
        <f>39500*1.18</f>
        <v>46610</v>
      </c>
      <c r="J348" s="118">
        <f t="shared" si="9"/>
        <v>372880</v>
      </c>
      <c r="K348" s="31"/>
      <c r="L348" s="16" t="s">
        <v>27</v>
      </c>
      <c r="M348" s="28" t="s">
        <v>22</v>
      </c>
      <c r="N348" s="45"/>
      <c r="O348" s="29"/>
    </row>
    <row r="349" spans="1:15" s="12" customFormat="1" ht="89.25" customHeight="1">
      <c r="A349" s="129" t="s">
        <v>80</v>
      </c>
      <c r="B349" s="115" t="s">
        <v>683</v>
      </c>
      <c r="C349" s="116" t="s">
        <v>17</v>
      </c>
      <c r="D349" s="116"/>
      <c r="E349" s="116">
        <v>2</v>
      </c>
      <c r="F349" s="116"/>
      <c r="G349" s="116">
        <v>2</v>
      </c>
      <c r="H349" s="128">
        <f>SUM(Tabla1323[[#This Row],[PRIMER TRIMESTRE]:[CUARTO TRIMESTRE]])</f>
        <v>4</v>
      </c>
      <c r="I349" s="118">
        <v>68487.199999999997</v>
      </c>
      <c r="J349" s="118">
        <f t="shared" si="9"/>
        <v>273948.79999999999</v>
      </c>
      <c r="K349" s="122">
        <f>SUM(J340:J349)</f>
        <v>5209113.3</v>
      </c>
      <c r="L349" s="16" t="s">
        <v>27</v>
      </c>
      <c r="M349" s="28" t="s">
        <v>22</v>
      </c>
      <c r="N349" s="45"/>
      <c r="O349" s="29"/>
    </row>
    <row r="350" spans="1:15" s="12" customFormat="1" ht="89.25" customHeight="1">
      <c r="A350" s="32" t="s">
        <v>80</v>
      </c>
      <c r="B350" s="75" t="s">
        <v>682</v>
      </c>
      <c r="C350" s="39" t="s">
        <v>17</v>
      </c>
      <c r="D350" s="39"/>
      <c r="E350" s="39">
        <v>4</v>
      </c>
      <c r="F350" s="39"/>
      <c r="G350" s="39">
        <v>4</v>
      </c>
      <c r="H350" s="41">
        <f>SUM(Tabla1323[[#This Row],[PRIMER TRIMESTRE]:[CUARTO TRIMESTRE]])</f>
        <v>8</v>
      </c>
      <c r="I350" s="72">
        <v>434570.4</v>
      </c>
      <c r="J350" s="17">
        <f t="shared" si="9"/>
        <v>3476563.2</v>
      </c>
      <c r="K350" s="31"/>
      <c r="L350" s="16" t="s">
        <v>27</v>
      </c>
      <c r="M350" s="28" t="s">
        <v>22</v>
      </c>
      <c r="N350" s="45"/>
      <c r="O350" s="29"/>
    </row>
    <row r="351" spans="1:15" s="12" customFormat="1" ht="89.25" customHeight="1">
      <c r="A351" s="15" t="s">
        <v>80</v>
      </c>
      <c r="B351" s="75" t="s">
        <v>903</v>
      </c>
      <c r="C351" s="39" t="s">
        <v>17</v>
      </c>
      <c r="D351" s="39"/>
      <c r="E351" s="39">
        <v>35</v>
      </c>
      <c r="F351" s="39"/>
      <c r="G351" s="39">
        <v>35</v>
      </c>
      <c r="H351" s="41">
        <f>SUM(Tabla1323[[#This Row],[PRIMER TRIMESTRE]:[CUARTO TRIMESTRE]])</f>
        <v>70</v>
      </c>
      <c r="I351" s="72"/>
      <c r="J351" s="17">
        <f>+H351*I351</f>
        <v>0</v>
      </c>
      <c r="K351" s="17"/>
      <c r="L351" s="16"/>
      <c r="M351" s="16"/>
      <c r="N351" s="39"/>
      <c r="O351" s="18"/>
    </row>
    <row r="352" spans="1:15" s="12" customFormat="1" ht="89.25" customHeight="1">
      <c r="A352" s="15" t="s">
        <v>80</v>
      </c>
      <c r="B352" s="75" t="s">
        <v>904</v>
      </c>
      <c r="C352" s="39" t="s">
        <v>17</v>
      </c>
      <c r="D352" s="39"/>
      <c r="E352" s="39">
        <v>35</v>
      </c>
      <c r="F352" s="39"/>
      <c r="G352" s="39">
        <v>35</v>
      </c>
      <c r="H352" s="41">
        <f>SUM(Tabla1323[[#This Row],[PRIMER TRIMESTRE]:[CUARTO TRIMESTRE]])</f>
        <v>70</v>
      </c>
      <c r="I352" s="72"/>
      <c r="J352" s="17">
        <f>+H352*I352</f>
        <v>0</v>
      </c>
      <c r="K352" s="17"/>
      <c r="L352" s="16"/>
      <c r="M352" s="16"/>
      <c r="N352" s="39"/>
      <c r="O352" s="18"/>
    </row>
    <row r="353" spans="1:16" s="12" customFormat="1" ht="51" customHeight="1">
      <c r="A353" s="15" t="s">
        <v>80</v>
      </c>
      <c r="B353" s="75" t="s">
        <v>634</v>
      </c>
      <c r="C353" s="39" t="s">
        <v>17</v>
      </c>
      <c r="D353" s="39"/>
      <c r="E353" s="39">
        <v>30</v>
      </c>
      <c r="F353" s="39"/>
      <c r="G353" s="39">
        <v>25</v>
      </c>
      <c r="H353" s="41">
        <f>SUM(Tabla1323[[#This Row],[PRIMER TRIMESTRE]:[CUARTO TRIMESTRE]])</f>
        <v>55</v>
      </c>
      <c r="I353" s="17">
        <v>70800</v>
      </c>
      <c r="J353" s="17">
        <f t="shared" si="9"/>
        <v>3894000</v>
      </c>
      <c r="K353" s="17"/>
      <c r="L353" s="16" t="s">
        <v>27</v>
      </c>
      <c r="M353" s="16" t="s">
        <v>22</v>
      </c>
      <c r="N353" s="39"/>
      <c r="O353" s="18"/>
    </row>
    <row r="354" spans="1:16" s="12" customFormat="1" ht="51" customHeight="1">
      <c r="A354" s="15" t="s">
        <v>80</v>
      </c>
      <c r="B354" s="75" t="s">
        <v>635</v>
      </c>
      <c r="C354" s="39" t="s">
        <v>17</v>
      </c>
      <c r="D354" s="39"/>
      <c r="E354" s="39">
        <v>30</v>
      </c>
      <c r="F354" s="39"/>
      <c r="G354" s="39">
        <v>30</v>
      </c>
      <c r="H354" s="41">
        <f>SUM(Tabla1323[[#This Row],[PRIMER TRIMESTRE]:[CUARTO TRIMESTRE]])</f>
        <v>60</v>
      </c>
      <c r="I354" s="17">
        <v>94400</v>
      </c>
      <c r="J354" s="17">
        <f t="shared" si="9"/>
        <v>5664000</v>
      </c>
      <c r="K354" s="17"/>
      <c r="L354" s="16" t="s">
        <v>27</v>
      </c>
      <c r="M354" s="16" t="s">
        <v>22</v>
      </c>
      <c r="N354" s="39"/>
      <c r="O354" s="18"/>
    </row>
    <row r="355" spans="1:16" s="12" customFormat="1" ht="51" customHeight="1">
      <c r="A355" s="15" t="s">
        <v>80</v>
      </c>
      <c r="B355" s="75" t="s">
        <v>636</v>
      </c>
      <c r="C355" s="39" t="s">
        <v>17</v>
      </c>
      <c r="D355" s="39"/>
      <c r="E355" s="39">
        <v>9</v>
      </c>
      <c r="F355" s="39"/>
      <c r="G355" s="39">
        <v>9</v>
      </c>
      <c r="H355" s="41">
        <f>SUM(Tabla1323[[#This Row],[PRIMER TRIMESTRE]:[CUARTO TRIMESTRE]])</f>
        <v>18</v>
      </c>
      <c r="I355" s="17">
        <v>106200</v>
      </c>
      <c r="J355" s="17">
        <f t="shared" si="9"/>
        <v>1911600</v>
      </c>
      <c r="K355" s="17"/>
      <c r="L355" s="16" t="s">
        <v>27</v>
      </c>
      <c r="M355" s="16" t="s">
        <v>22</v>
      </c>
      <c r="N355" s="39"/>
      <c r="O355" s="18"/>
    </row>
    <row r="356" spans="1:16" s="12" customFormat="1" ht="51" customHeight="1">
      <c r="A356" s="15" t="s">
        <v>80</v>
      </c>
      <c r="B356" s="75" t="s">
        <v>637</v>
      </c>
      <c r="C356" s="39" t="s">
        <v>17</v>
      </c>
      <c r="D356" s="39"/>
      <c r="E356" s="39">
        <v>9</v>
      </c>
      <c r="F356" s="39"/>
      <c r="G356" s="39">
        <v>9</v>
      </c>
      <c r="H356" s="41">
        <f>SUM(Tabla1323[[#This Row],[PRIMER TRIMESTRE]:[CUARTO TRIMESTRE]])</f>
        <v>18</v>
      </c>
      <c r="I356" s="17">
        <v>112100</v>
      </c>
      <c r="J356" s="17">
        <f t="shared" si="9"/>
        <v>2017800</v>
      </c>
      <c r="K356" s="17"/>
      <c r="L356" s="16" t="s">
        <v>27</v>
      </c>
      <c r="M356" s="16" t="s">
        <v>22</v>
      </c>
      <c r="N356" s="39"/>
      <c r="O356" s="18"/>
    </row>
    <row r="357" spans="1:16" s="12" customFormat="1" ht="74.25" customHeight="1">
      <c r="A357" s="15" t="s">
        <v>80</v>
      </c>
      <c r="B357" s="75" t="s">
        <v>684</v>
      </c>
      <c r="C357" s="39" t="s">
        <v>17</v>
      </c>
      <c r="D357" s="39"/>
      <c r="E357" s="39">
        <v>5</v>
      </c>
      <c r="F357" s="39"/>
      <c r="G357" s="39">
        <v>45</v>
      </c>
      <c r="H357" s="41">
        <f>SUM(Tabla1323[[#This Row],[PRIMER TRIMESTRE]:[CUARTO TRIMESTRE]])</f>
        <v>50</v>
      </c>
      <c r="I357" s="17">
        <v>28910</v>
      </c>
      <c r="J357" s="17">
        <f t="shared" si="9"/>
        <v>1445500</v>
      </c>
      <c r="K357" s="17"/>
      <c r="L357" s="16" t="s">
        <v>27</v>
      </c>
      <c r="M357" s="16" t="s">
        <v>22</v>
      </c>
      <c r="N357" s="39"/>
      <c r="O357" s="18"/>
    </row>
    <row r="358" spans="1:16" s="12" customFormat="1" ht="74.25" customHeight="1">
      <c r="A358" s="15" t="s">
        <v>80</v>
      </c>
      <c r="B358" s="75" t="s">
        <v>685</v>
      </c>
      <c r="C358" s="39" t="s">
        <v>17</v>
      </c>
      <c r="D358" s="39"/>
      <c r="E358" s="39">
        <v>5</v>
      </c>
      <c r="F358" s="39"/>
      <c r="G358" s="39">
        <v>45</v>
      </c>
      <c r="H358" s="41">
        <f>SUM(Tabla1323[[#This Row],[PRIMER TRIMESTRE]:[CUARTO TRIMESTRE]])</f>
        <v>50</v>
      </c>
      <c r="I358" s="17">
        <v>42480</v>
      </c>
      <c r="J358" s="17">
        <f t="shared" si="9"/>
        <v>2124000</v>
      </c>
      <c r="K358" s="17"/>
      <c r="L358" s="16" t="s">
        <v>27</v>
      </c>
      <c r="M358" s="16" t="s">
        <v>22</v>
      </c>
      <c r="N358" s="39"/>
      <c r="O358" s="18"/>
    </row>
    <row r="359" spans="1:16" s="12" customFormat="1" ht="74.25" customHeight="1">
      <c r="A359" s="15" t="s">
        <v>80</v>
      </c>
      <c r="B359" s="75" t="s">
        <v>686</v>
      </c>
      <c r="C359" s="39" t="s">
        <v>17</v>
      </c>
      <c r="D359" s="39"/>
      <c r="E359" s="39">
        <v>5</v>
      </c>
      <c r="F359" s="39"/>
      <c r="G359" s="39">
        <v>45</v>
      </c>
      <c r="H359" s="41">
        <f>SUM(Tabla1323[[#This Row],[PRIMER TRIMESTRE]:[CUARTO TRIMESTRE]])</f>
        <v>50</v>
      </c>
      <c r="I359" s="17">
        <v>64900</v>
      </c>
      <c r="J359" s="17">
        <f t="shared" si="9"/>
        <v>3245000</v>
      </c>
      <c r="K359" s="17"/>
      <c r="L359" s="16" t="s">
        <v>27</v>
      </c>
      <c r="M359" s="16" t="s">
        <v>22</v>
      </c>
      <c r="N359" s="39"/>
      <c r="O359" s="18"/>
    </row>
    <row r="360" spans="1:16" s="12" customFormat="1" ht="74.25" customHeight="1">
      <c r="A360" s="15" t="s">
        <v>80</v>
      </c>
      <c r="B360" s="75" t="s">
        <v>687</v>
      </c>
      <c r="C360" s="39" t="s">
        <v>17</v>
      </c>
      <c r="D360" s="39"/>
      <c r="E360" s="39">
        <v>5</v>
      </c>
      <c r="F360" s="39"/>
      <c r="G360" s="39">
        <v>40</v>
      </c>
      <c r="H360" s="41">
        <f>SUM(Tabla1323[[#This Row],[PRIMER TRIMESTRE]:[CUARTO TRIMESTRE]])</f>
        <v>45</v>
      </c>
      <c r="I360" s="17">
        <v>92040</v>
      </c>
      <c r="J360" s="17">
        <f t="shared" si="9"/>
        <v>4141800</v>
      </c>
      <c r="K360" s="17"/>
      <c r="L360" s="16" t="s">
        <v>27</v>
      </c>
      <c r="M360" s="16" t="s">
        <v>22</v>
      </c>
      <c r="N360" s="39"/>
      <c r="O360" s="18"/>
    </row>
    <row r="361" spans="1:16" s="12" customFormat="1" ht="55.5" customHeight="1">
      <c r="A361" s="130" t="s">
        <v>80</v>
      </c>
      <c r="B361" s="131" t="s">
        <v>688</v>
      </c>
      <c r="C361" s="132" t="s">
        <v>17</v>
      </c>
      <c r="D361" s="132"/>
      <c r="E361" s="132">
        <v>5</v>
      </c>
      <c r="F361" s="132"/>
      <c r="G361" s="132">
        <v>45</v>
      </c>
      <c r="H361" s="133">
        <f>SUM(Tabla1323[[#This Row],[PRIMER TRIMESTRE]:[CUARTO TRIMESTRE]])</f>
        <v>50</v>
      </c>
      <c r="I361" s="134">
        <v>6377.7</v>
      </c>
      <c r="J361" s="134">
        <f t="shared" si="9"/>
        <v>318885</v>
      </c>
      <c r="K361" s="31"/>
      <c r="L361" s="17" t="s">
        <v>27</v>
      </c>
      <c r="M361" s="28" t="s">
        <v>22</v>
      </c>
      <c r="N361" s="45"/>
      <c r="O361" s="28"/>
      <c r="P361" s="29"/>
    </row>
    <row r="362" spans="1:16" s="12" customFormat="1" ht="55.5" customHeight="1">
      <c r="A362" s="130" t="s">
        <v>80</v>
      </c>
      <c r="B362" s="131" t="s">
        <v>689</v>
      </c>
      <c r="C362" s="132" t="s">
        <v>17</v>
      </c>
      <c r="D362" s="132"/>
      <c r="E362" s="132">
        <v>5</v>
      </c>
      <c r="F362" s="132"/>
      <c r="G362" s="132">
        <v>40</v>
      </c>
      <c r="H362" s="133">
        <f>SUM(Tabla1323[[#This Row],[PRIMER TRIMESTRE]:[CUARTO TRIMESTRE]])</f>
        <v>45</v>
      </c>
      <c r="I362" s="134">
        <v>6769.1</v>
      </c>
      <c r="J362" s="134">
        <f t="shared" si="9"/>
        <v>304609.5</v>
      </c>
      <c r="K362" s="31"/>
      <c r="L362" s="17" t="s">
        <v>27</v>
      </c>
      <c r="M362" s="28" t="s">
        <v>22</v>
      </c>
      <c r="N362" s="45"/>
      <c r="O362" s="28"/>
      <c r="P362" s="29"/>
    </row>
    <row r="363" spans="1:16" s="12" customFormat="1" ht="55.5" customHeight="1">
      <c r="A363" s="130" t="s">
        <v>80</v>
      </c>
      <c r="B363" s="131" t="s">
        <v>690</v>
      </c>
      <c r="C363" s="132" t="s">
        <v>17</v>
      </c>
      <c r="D363" s="132"/>
      <c r="E363" s="132">
        <v>5</v>
      </c>
      <c r="F363" s="132"/>
      <c r="G363" s="132">
        <v>40</v>
      </c>
      <c r="H363" s="133">
        <f>SUM(Tabla1323[[#This Row],[PRIMER TRIMESTRE]:[CUARTO TRIMESTRE]])</f>
        <v>45</v>
      </c>
      <c r="I363" s="134">
        <v>6890.2</v>
      </c>
      <c r="J363" s="134">
        <f t="shared" si="9"/>
        <v>310059</v>
      </c>
      <c r="K363" s="31"/>
      <c r="L363" s="17" t="s">
        <v>27</v>
      </c>
      <c r="M363" s="28" t="s">
        <v>22</v>
      </c>
      <c r="N363" s="45"/>
      <c r="O363" s="28"/>
      <c r="P363" s="29"/>
    </row>
    <row r="364" spans="1:16" s="12" customFormat="1" ht="55.5" customHeight="1">
      <c r="A364" s="135" t="s">
        <v>80</v>
      </c>
      <c r="B364" s="131" t="s">
        <v>905</v>
      </c>
      <c r="C364" s="132" t="s">
        <v>17</v>
      </c>
      <c r="D364" s="132">
        <v>50</v>
      </c>
      <c r="E364" s="132"/>
      <c r="F364" s="132"/>
      <c r="G364" s="132"/>
      <c r="H364" s="133">
        <f>SUM(Tabla1323[[#This Row],[PRIMER TRIMESTRE]:[CUARTO TRIMESTRE]])</f>
        <v>50</v>
      </c>
      <c r="I364" s="134"/>
      <c r="J364" s="134">
        <f>+H364*I364</f>
        <v>0</v>
      </c>
      <c r="K364" s="17"/>
      <c r="L364" s="17"/>
      <c r="M364" s="16"/>
      <c r="N364" s="39"/>
      <c r="O364" s="18"/>
      <c r="P364" s="29"/>
    </row>
    <row r="365" spans="1:16" s="12" customFormat="1" ht="41.25" customHeight="1">
      <c r="A365" s="130" t="s">
        <v>80</v>
      </c>
      <c r="B365" s="131" t="s">
        <v>691</v>
      </c>
      <c r="C365" s="132" t="s">
        <v>17</v>
      </c>
      <c r="D365" s="132">
        <v>50</v>
      </c>
      <c r="E365" s="132"/>
      <c r="F365" s="132"/>
      <c r="G365" s="132"/>
      <c r="H365" s="133">
        <f>SUM(Tabla1323[[#This Row],[PRIMER TRIMESTRE]:[CUARTO TRIMESTRE]])</f>
        <v>50</v>
      </c>
      <c r="I365" s="134">
        <f>2500*1.18</f>
        <v>2950</v>
      </c>
      <c r="J365" s="134">
        <f t="shared" si="9"/>
        <v>147500</v>
      </c>
      <c r="K365" s="31"/>
      <c r="L365" s="17" t="s">
        <v>27</v>
      </c>
      <c r="M365" s="28" t="s">
        <v>22</v>
      </c>
      <c r="N365" s="45"/>
      <c r="O365" s="28"/>
      <c r="P365" s="29"/>
    </row>
    <row r="366" spans="1:16" s="12" customFormat="1" ht="41.25" customHeight="1">
      <c r="A366" s="135" t="s">
        <v>80</v>
      </c>
      <c r="B366" s="131" t="s">
        <v>906</v>
      </c>
      <c r="C366" s="132" t="s">
        <v>17</v>
      </c>
      <c r="D366" s="132">
        <v>50</v>
      </c>
      <c r="E366" s="132"/>
      <c r="F366" s="132"/>
      <c r="G366" s="132"/>
      <c r="H366" s="133">
        <f>SUM(Tabla1323[[#This Row],[PRIMER TRIMESTRE]:[CUARTO TRIMESTRE]])</f>
        <v>50</v>
      </c>
      <c r="I366" s="134"/>
      <c r="J366" s="134">
        <f>+H366*I366</f>
        <v>0</v>
      </c>
      <c r="K366" s="17"/>
      <c r="L366" s="17"/>
      <c r="M366" s="16"/>
      <c r="N366" s="39"/>
      <c r="O366" s="18"/>
      <c r="P366" s="29"/>
    </row>
    <row r="367" spans="1:16" s="12" customFormat="1" ht="41.25" customHeight="1">
      <c r="A367" s="130" t="s">
        <v>80</v>
      </c>
      <c r="B367" s="131" t="s">
        <v>692</v>
      </c>
      <c r="C367" s="132" t="s">
        <v>17</v>
      </c>
      <c r="D367" s="132">
        <v>60</v>
      </c>
      <c r="E367" s="132"/>
      <c r="F367" s="132"/>
      <c r="G367" s="132"/>
      <c r="H367" s="133">
        <f>SUM(Tabla1323[[#This Row],[PRIMER TRIMESTRE]:[CUARTO TRIMESTRE]])</f>
        <v>60</v>
      </c>
      <c r="I367" s="134">
        <v>20380.96</v>
      </c>
      <c r="J367" s="134">
        <f t="shared" si="9"/>
        <v>1222857.5999999999</v>
      </c>
      <c r="K367" s="31"/>
      <c r="L367" s="17" t="s">
        <v>27</v>
      </c>
      <c r="M367" s="28" t="s">
        <v>22</v>
      </c>
      <c r="N367" s="45"/>
      <c r="O367" s="28"/>
      <c r="P367" s="29"/>
    </row>
    <row r="368" spans="1:16" s="12" customFormat="1" ht="37.5" customHeight="1">
      <c r="A368" s="130" t="s">
        <v>80</v>
      </c>
      <c r="B368" s="131" t="s">
        <v>693</v>
      </c>
      <c r="C368" s="132" t="s">
        <v>17</v>
      </c>
      <c r="D368" s="132">
        <v>40</v>
      </c>
      <c r="E368" s="132"/>
      <c r="F368" s="132"/>
      <c r="G368" s="132"/>
      <c r="H368" s="133">
        <f>SUM(Tabla1323[[#This Row],[PRIMER TRIMESTRE]:[CUARTO TRIMESTRE]])</f>
        <v>40</v>
      </c>
      <c r="I368" s="134">
        <v>29236.86</v>
      </c>
      <c r="J368" s="134">
        <f t="shared" si="9"/>
        <v>1169474.3999999999</v>
      </c>
      <c r="K368" s="136">
        <f>SUM(J361:J368)</f>
        <v>3473385.4999999995</v>
      </c>
      <c r="L368" s="17" t="s">
        <v>27</v>
      </c>
      <c r="M368" s="28" t="s">
        <v>22</v>
      </c>
      <c r="N368" s="45"/>
      <c r="O368" s="28"/>
      <c r="P368" s="29"/>
    </row>
    <row r="369" spans="1:21" s="12" customFormat="1">
      <c r="A369" s="137" t="s">
        <v>80</v>
      </c>
      <c r="B369" s="124" t="s">
        <v>454</v>
      </c>
      <c r="C369" s="125" t="s">
        <v>17</v>
      </c>
      <c r="D369" s="125">
        <v>50</v>
      </c>
      <c r="E369" s="125"/>
      <c r="F369" s="125"/>
      <c r="G369" s="125"/>
      <c r="H369" s="138">
        <f>SUM(Tabla1323[[#This Row],[PRIMER TRIMESTRE]:[CUARTO TRIMESTRE]])</f>
        <v>50</v>
      </c>
      <c r="I369" s="126">
        <v>236</v>
      </c>
      <c r="J369" s="126">
        <f t="shared" si="9"/>
        <v>11800</v>
      </c>
      <c r="K369" s="31"/>
      <c r="L369" s="17" t="s">
        <v>27</v>
      </c>
      <c r="M369" s="28" t="s">
        <v>22</v>
      </c>
      <c r="N369" s="45"/>
      <c r="O369" s="28"/>
      <c r="P369" s="29"/>
    </row>
    <row r="370" spans="1:21" s="12" customFormat="1">
      <c r="A370" s="137" t="s">
        <v>80</v>
      </c>
      <c r="B370" s="124" t="s">
        <v>455</v>
      </c>
      <c r="C370" s="125" t="s">
        <v>17</v>
      </c>
      <c r="D370" s="125">
        <v>50</v>
      </c>
      <c r="E370" s="125"/>
      <c r="F370" s="125"/>
      <c r="G370" s="125"/>
      <c r="H370" s="138">
        <f>SUM(Tabla1323[[#This Row],[PRIMER TRIMESTRE]:[CUARTO TRIMESTRE]])</f>
        <v>50</v>
      </c>
      <c r="I370" s="126">
        <v>344.56</v>
      </c>
      <c r="J370" s="126">
        <f t="shared" si="9"/>
        <v>17228</v>
      </c>
      <c r="K370" s="31"/>
      <c r="L370" s="17" t="s">
        <v>27</v>
      </c>
      <c r="M370" s="28" t="s">
        <v>22</v>
      </c>
      <c r="N370" s="45"/>
      <c r="O370" s="28"/>
      <c r="P370" s="29"/>
    </row>
    <row r="371" spans="1:21" s="12" customFormat="1">
      <c r="A371" s="137" t="s">
        <v>80</v>
      </c>
      <c r="B371" s="124" t="s">
        <v>456</v>
      </c>
      <c r="C371" s="125" t="s">
        <v>17</v>
      </c>
      <c r="D371" s="125">
        <v>50</v>
      </c>
      <c r="E371" s="125"/>
      <c r="F371" s="125"/>
      <c r="G371" s="125"/>
      <c r="H371" s="138">
        <f>SUM(Tabla1323[[#This Row],[PRIMER TRIMESTRE]:[CUARTO TRIMESTRE]])</f>
        <v>50</v>
      </c>
      <c r="I371" s="126">
        <v>499.14</v>
      </c>
      <c r="J371" s="126">
        <f t="shared" si="9"/>
        <v>24957</v>
      </c>
      <c r="K371" s="31"/>
      <c r="L371" s="17" t="s">
        <v>27</v>
      </c>
      <c r="M371" s="28" t="s">
        <v>22</v>
      </c>
      <c r="N371" s="45"/>
      <c r="O371" s="28"/>
      <c r="P371" s="29"/>
    </row>
    <row r="372" spans="1:21" s="12" customFormat="1">
      <c r="A372" s="137" t="s">
        <v>80</v>
      </c>
      <c r="B372" s="124" t="s">
        <v>457</v>
      </c>
      <c r="C372" s="125" t="s">
        <v>17</v>
      </c>
      <c r="D372" s="125">
        <v>50</v>
      </c>
      <c r="E372" s="125"/>
      <c r="F372" s="125"/>
      <c r="G372" s="125"/>
      <c r="H372" s="138">
        <f>SUM(Tabla1323[[#This Row],[PRIMER TRIMESTRE]:[CUARTO TRIMESTRE]])</f>
        <v>50</v>
      </c>
      <c r="I372" s="126">
        <v>1598.9</v>
      </c>
      <c r="J372" s="126">
        <f t="shared" si="9"/>
        <v>79945</v>
      </c>
      <c r="K372" s="31"/>
      <c r="L372" s="17" t="s">
        <v>27</v>
      </c>
      <c r="M372" s="28" t="s">
        <v>22</v>
      </c>
      <c r="N372" s="45"/>
      <c r="O372" s="28"/>
      <c r="P372" s="29"/>
    </row>
    <row r="373" spans="1:21" s="12" customFormat="1">
      <c r="A373" s="137" t="s">
        <v>80</v>
      </c>
      <c r="B373" s="124" t="s">
        <v>458</v>
      </c>
      <c r="C373" s="125" t="s">
        <v>17</v>
      </c>
      <c r="D373" s="125">
        <v>50</v>
      </c>
      <c r="E373" s="125"/>
      <c r="F373" s="125"/>
      <c r="G373" s="125"/>
      <c r="H373" s="138">
        <f>SUM(Tabla1323[[#This Row],[PRIMER TRIMESTRE]:[CUARTO TRIMESTRE]])</f>
        <v>50</v>
      </c>
      <c r="I373" s="126">
        <v>1849.06</v>
      </c>
      <c r="J373" s="126">
        <f t="shared" si="9"/>
        <v>92453</v>
      </c>
      <c r="K373" s="31"/>
      <c r="L373" s="17" t="s">
        <v>27</v>
      </c>
      <c r="M373" s="28" t="s">
        <v>22</v>
      </c>
      <c r="N373" s="45"/>
      <c r="O373" s="28"/>
      <c r="P373" s="29"/>
    </row>
    <row r="374" spans="1:21" s="12" customFormat="1">
      <c r="A374" s="123" t="s">
        <v>80</v>
      </c>
      <c r="B374" s="124" t="s">
        <v>801</v>
      </c>
      <c r="C374" s="125" t="s">
        <v>17</v>
      </c>
      <c r="D374" s="125">
        <v>50</v>
      </c>
      <c r="E374" s="125"/>
      <c r="F374" s="125"/>
      <c r="G374" s="125"/>
      <c r="H374" s="138">
        <f>SUM(Tabla1323[[#This Row],[PRIMER TRIMESTRE]:[CUARTO TRIMESTRE]])</f>
        <v>50</v>
      </c>
      <c r="I374" s="126">
        <v>5444</v>
      </c>
      <c r="J374" s="126">
        <f t="shared" si="9"/>
        <v>272200</v>
      </c>
      <c r="K374" s="17"/>
      <c r="L374" s="17" t="s">
        <v>27</v>
      </c>
      <c r="M374" s="28" t="s">
        <v>22</v>
      </c>
      <c r="N374" s="39"/>
      <c r="O374" s="18"/>
      <c r="P374" s="29"/>
    </row>
    <row r="375" spans="1:21" s="12" customFormat="1">
      <c r="A375" s="123" t="s">
        <v>80</v>
      </c>
      <c r="B375" s="124" t="s">
        <v>802</v>
      </c>
      <c r="C375" s="125" t="s">
        <v>17</v>
      </c>
      <c r="D375" s="125">
        <v>50</v>
      </c>
      <c r="E375" s="125"/>
      <c r="F375" s="125"/>
      <c r="G375" s="125"/>
      <c r="H375" s="138">
        <f>SUM(Tabla1323[[#This Row],[PRIMER TRIMESTRE]:[CUARTO TRIMESTRE]])</f>
        <v>50</v>
      </c>
      <c r="I375" s="126">
        <v>6844</v>
      </c>
      <c r="J375" s="126">
        <f t="shared" si="9"/>
        <v>342200</v>
      </c>
      <c r="K375" s="139">
        <f>SUM(J369:J375)</f>
        <v>840783</v>
      </c>
      <c r="L375" s="17" t="s">
        <v>27</v>
      </c>
      <c r="M375" s="28" t="s">
        <v>22</v>
      </c>
      <c r="N375" s="39"/>
      <c r="O375" s="18"/>
      <c r="P375" s="29"/>
    </row>
    <row r="376" spans="1:21" s="26" customFormat="1" ht="26.25" customHeight="1">
      <c r="A376" s="22" t="s">
        <v>80</v>
      </c>
      <c r="B376" s="76"/>
      <c r="C376" s="42"/>
      <c r="D376" s="42"/>
      <c r="E376" s="42"/>
      <c r="F376" s="42"/>
      <c r="G376" s="42"/>
      <c r="H376" s="43"/>
      <c r="I376" s="24"/>
      <c r="J376" s="24"/>
      <c r="K376" s="25">
        <f>SUM(J95:J375)</f>
        <v>597563707.26793599</v>
      </c>
      <c r="L376" s="23"/>
      <c r="M376" s="23"/>
      <c r="N376" s="42"/>
      <c r="O376" s="24"/>
      <c r="R376" s="27"/>
      <c r="U376" s="23"/>
    </row>
    <row r="377" spans="1:21" s="12" customFormat="1">
      <c r="A377" s="15" t="s">
        <v>81</v>
      </c>
      <c r="B377" s="75" t="s">
        <v>207</v>
      </c>
      <c r="C377" s="39" t="s">
        <v>33</v>
      </c>
      <c r="D377" s="39">
        <v>20</v>
      </c>
      <c r="E377" s="39"/>
      <c r="F377" s="39">
        <v>20</v>
      </c>
      <c r="G377" s="39"/>
      <c r="H377" s="40">
        <f>SUM(Tabla1323[[#This Row],[PRIMER TRIMESTRE]:[CUARTO TRIMESTRE]])</f>
        <v>40</v>
      </c>
      <c r="I377" s="17">
        <v>871.93</v>
      </c>
      <c r="J377" s="17">
        <f>+Tabla1323[[#This Row],[CANTIDAD TOTAL]]*Tabla1323[[#This Row],[PRECIO UNITARIO ESTIMADO]]</f>
        <v>34877.199999999997</v>
      </c>
      <c r="K377" s="17"/>
      <c r="L377" s="16" t="s">
        <v>15</v>
      </c>
      <c r="M377" s="16" t="s">
        <v>22</v>
      </c>
      <c r="N377" s="39" t="s">
        <v>418</v>
      </c>
      <c r="O377" s="20"/>
    </row>
    <row r="378" spans="1:21" s="26" customFormat="1" ht="27.75" customHeight="1">
      <c r="A378" s="22" t="s">
        <v>81</v>
      </c>
      <c r="B378" s="76"/>
      <c r="C378" s="42"/>
      <c r="D378" s="42"/>
      <c r="E378" s="42"/>
      <c r="F378" s="42"/>
      <c r="G378" s="42"/>
      <c r="H378" s="43"/>
      <c r="I378" s="24"/>
      <c r="J378" s="24"/>
      <c r="K378" s="25">
        <f>SUM(J377)</f>
        <v>34877.199999999997</v>
      </c>
      <c r="L378" s="23"/>
      <c r="M378" s="23"/>
      <c r="N378" s="42"/>
      <c r="O378" s="24"/>
      <c r="R378" s="27"/>
      <c r="U378" s="23"/>
    </row>
    <row r="379" spans="1:21" s="12" customFormat="1" ht="34.5" customHeight="1">
      <c r="A379" s="15" t="s">
        <v>94</v>
      </c>
      <c r="B379" s="75" t="s">
        <v>209</v>
      </c>
      <c r="C379" s="39" t="s">
        <v>17</v>
      </c>
      <c r="D379" s="39">
        <v>230</v>
      </c>
      <c r="E379" s="39"/>
      <c r="F379" s="39">
        <v>230</v>
      </c>
      <c r="G379" s="39"/>
      <c r="H379" s="40">
        <f>SUM(Tabla1323[[#This Row],[PRIMER TRIMESTRE]:[CUARTO TRIMESTRE]])</f>
        <v>460</v>
      </c>
      <c r="I379" s="17">
        <v>1417.52</v>
      </c>
      <c r="J379" s="17">
        <f>+Tabla1323[[#This Row],[CANTIDAD TOTAL]]*Tabla1323[[#This Row],[PRECIO UNITARIO ESTIMADO]]</f>
        <v>652059.19999999995</v>
      </c>
      <c r="K379" s="17"/>
      <c r="L379" s="16" t="s">
        <v>15</v>
      </c>
      <c r="M379" s="16" t="s">
        <v>22</v>
      </c>
      <c r="N379" s="39" t="s">
        <v>418</v>
      </c>
      <c r="O379" s="20"/>
    </row>
    <row r="380" spans="1:21" s="26" customFormat="1" ht="27.75" customHeight="1">
      <c r="A380" s="22" t="s">
        <v>94</v>
      </c>
      <c r="B380" s="76"/>
      <c r="C380" s="42"/>
      <c r="D380" s="42"/>
      <c r="E380" s="42"/>
      <c r="F380" s="42"/>
      <c r="G380" s="42"/>
      <c r="H380" s="43"/>
      <c r="I380" s="24"/>
      <c r="J380" s="24"/>
      <c r="K380" s="25">
        <f>SUM(J379:J379)</f>
        <v>652059.19999999995</v>
      </c>
      <c r="L380" s="23"/>
      <c r="M380" s="23"/>
      <c r="N380" s="42"/>
      <c r="O380" s="24"/>
      <c r="R380" s="27"/>
      <c r="U380" s="23"/>
    </row>
    <row r="381" spans="1:21" s="12" customFormat="1" ht="33.75" customHeight="1">
      <c r="A381" s="15" t="s">
        <v>96</v>
      </c>
      <c r="B381" s="75" t="s">
        <v>777</v>
      </c>
      <c r="C381" s="39" t="s">
        <v>17</v>
      </c>
      <c r="D381" s="39">
        <v>100</v>
      </c>
      <c r="E381" s="39"/>
      <c r="F381" s="39">
        <v>100</v>
      </c>
      <c r="G381" s="39"/>
      <c r="H381" s="40">
        <f>SUM(Tabla1323[[#This Row],[PRIMER TRIMESTRE]:[CUARTO TRIMESTRE]])</f>
        <v>200</v>
      </c>
      <c r="I381" s="17">
        <v>275.5</v>
      </c>
      <c r="J381" s="17">
        <f>+Tabla1323[[#This Row],[CANTIDAD TOTAL]]*Tabla1323[[#This Row],[PRECIO UNITARIO ESTIMADO]]</f>
        <v>55100</v>
      </c>
      <c r="K381" s="17"/>
      <c r="L381" s="16" t="s">
        <v>15</v>
      </c>
      <c r="M381" s="16" t="s">
        <v>22</v>
      </c>
      <c r="N381" s="39" t="s">
        <v>418</v>
      </c>
      <c r="O381" s="20"/>
    </row>
    <row r="382" spans="1:21" s="12" customFormat="1" ht="33.75" customHeight="1">
      <c r="A382" s="15" t="s">
        <v>96</v>
      </c>
      <c r="B382" s="75" t="s">
        <v>210</v>
      </c>
      <c r="C382" s="39" t="s">
        <v>17</v>
      </c>
      <c r="D382" s="39">
        <v>60</v>
      </c>
      <c r="E382" s="39"/>
      <c r="F382" s="39">
        <v>60</v>
      </c>
      <c r="G382" s="39"/>
      <c r="H382" s="40">
        <f>SUM(Tabla1323[[#This Row],[PRIMER TRIMESTRE]:[CUARTO TRIMESTRE]])</f>
        <v>120</v>
      </c>
      <c r="I382" s="17">
        <v>194.88</v>
      </c>
      <c r="J382" s="17">
        <f>+Tabla1323[[#This Row],[CANTIDAD TOTAL]]*Tabla1323[[#This Row],[PRECIO UNITARIO ESTIMADO]]</f>
        <v>23385.599999999999</v>
      </c>
      <c r="K382" s="17"/>
      <c r="L382" s="16" t="s">
        <v>15</v>
      </c>
      <c r="M382" s="16" t="s">
        <v>22</v>
      </c>
      <c r="N382" s="39" t="s">
        <v>418</v>
      </c>
      <c r="O382" s="20"/>
    </row>
    <row r="383" spans="1:21" s="12" customFormat="1" ht="33.75" customHeight="1">
      <c r="A383" s="15" t="s">
        <v>96</v>
      </c>
      <c r="B383" s="75" t="s">
        <v>211</v>
      </c>
      <c r="C383" s="39" t="s">
        <v>17</v>
      </c>
      <c r="D383" s="39">
        <v>50</v>
      </c>
      <c r="E383" s="39"/>
      <c r="F383" s="39">
        <v>50</v>
      </c>
      <c r="G383" s="39"/>
      <c r="H383" s="40">
        <f>SUM(Tabla1323[[#This Row],[PRIMER TRIMESTRE]:[CUARTO TRIMESTRE]])</f>
        <v>100</v>
      </c>
      <c r="I383" s="17">
        <v>313.2</v>
      </c>
      <c r="J383" s="17">
        <f>+Tabla1323[[#This Row],[CANTIDAD TOTAL]]*Tabla1323[[#This Row],[PRECIO UNITARIO ESTIMADO]]</f>
        <v>31320</v>
      </c>
      <c r="K383" s="17"/>
      <c r="L383" s="16" t="s">
        <v>15</v>
      </c>
      <c r="M383" s="16" t="s">
        <v>22</v>
      </c>
      <c r="N383" s="39" t="s">
        <v>418</v>
      </c>
      <c r="O383" s="20"/>
    </row>
    <row r="384" spans="1:21" s="12" customFormat="1" ht="31.5">
      <c r="A384" s="15" t="s">
        <v>96</v>
      </c>
      <c r="B384" s="75" t="s">
        <v>803</v>
      </c>
      <c r="C384" s="39" t="s">
        <v>343</v>
      </c>
      <c r="D384" s="39">
        <v>2000</v>
      </c>
      <c r="E384" s="39"/>
      <c r="F384" s="39">
        <v>2000</v>
      </c>
      <c r="G384" s="39"/>
      <c r="H384" s="40">
        <f>SUM(Tabla1323[[#This Row],[PRIMER TRIMESTRE]:[CUARTO TRIMESTRE]])</f>
        <v>4000</v>
      </c>
      <c r="I384" s="72">
        <v>4.41</v>
      </c>
      <c r="J384" s="17">
        <f t="shared" ref="J384:J438" si="10">+H384*I384</f>
        <v>17640</v>
      </c>
      <c r="K384" s="17"/>
      <c r="L384" s="17" t="s">
        <v>27</v>
      </c>
      <c r="M384" s="16" t="s">
        <v>22</v>
      </c>
      <c r="N384" s="39" t="s">
        <v>418</v>
      </c>
      <c r="O384" s="20"/>
    </row>
    <row r="385" spans="1:15" s="12" customFormat="1" ht="31.5">
      <c r="A385" s="15" t="s">
        <v>96</v>
      </c>
      <c r="B385" s="75" t="s">
        <v>804</v>
      </c>
      <c r="C385" s="39" t="s">
        <v>343</v>
      </c>
      <c r="D385" s="39">
        <v>1700</v>
      </c>
      <c r="E385" s="39"/>
      <c r="F385" s="39">
        <v>1700</v>
      </c>
      <c r="G385" s="39"/>
      <c r="H385" s="40">
        <f>SUM(Tabla1323[[#This Row],[PRIMER TRIMESTRE]:[CUARTO TRIMESTRE]])</f>
        <v>3400</v>
      </c>
      <c r="I385" s="17">
        <v>10.54</v>
      </c>
      <c r="J385" s="17">
        <f t="shared" si="10"/>
        <v>35836</v>
      </c>
      <c r="K385" s="17"/>
      <c r="L385" s="17" t="s">
        <v>27</v>
      </c>
      <c r="M385" s="16" t="s">
        <v>22</v>
      </c>
      <c r="N385" s="39" t="s">
        <v>418</v>
      </c>
      <c r="O385" s="20"/>
    </row>
    <row r="386" spans="1:15" s="12" customFormat="1" ht="31.5">
      <c r="A386" s="15" t="s">
        <v>96</v>
      </c>
      <c r="B386" s="75" t="s">
        <v>805</v>
      </c>
      <c r="C386" s="39" t="s">
        <v>343</v>
      </c>
      <c r="D386" s="39">
        <v>1300</v>
      </c>
      <c r="E386" s="39"/>
      <c r="F386" s="39">
        <v>1300</v>
      </c>
      <c r="G386" s="39"/>
      <c r="H386" s="40">
        <f>SUM(Tabla1323[[#This Row],[PRIMER TRIMESTRE]:[CUARTO TRIMESTRE]])</f>
        <v>2600</v>
      </c>
      <c r="I386" s="72">
        <v>16.41</v>
      </c>
      <c r="J386" s="17">
        <f t="shared" si="10"/>
        <v>42666</v>
      </c>
      <c r="K386" s="17"/>
      <c r="L386" s="17" t="s">
        <v>27</v>
      </c>
      <c r="M386" s="16" t="s">
        <v>22</v>
      </c>
      <c r="N386" s="39" t="s">
        <v>418</v>
      </c>
      <c r="O386" s="20"/>
    </row>
    <row r="387" spans="1:15" s="12" customFormat="1" ht="31.5">
      <c r="A387" s="15" t="s">
        <v>96</v>
      </c>
      <c r="B387" s="75" t="s">
        <v>806</v>
      </c>
      <c r="C387" s="39" t="s">
        <v>343</v>
      </c>
      <c r="D387" s="39">
        <v>1300</v>
      </c>
      <c r="E387" s="39"/>
      <c r="F387" s="39">
        <v>1300</v>
      </c>
      <c r="G387" s="39"/>
      <c r="H387" s="40">
        <f>SUM(Tabla1323[[#This Row],[PRIMER TRIMESTRE]:[CUARTO TRIMESTRE]])</f>
        <v>2600</v>
      </c>
      <c r="I387" s="72">
        <v>25.61</v>
      </c>
      <c r="J387" s="17">
        <f t="shared" si="10"/>
        <v>66586</v>
      </c>
      <c r="K387" s="17"/>
      <c r="L387" s="17" t="s">
        <v>27</v>
      </c>
      <c r="M387" s="16" t="s">
        <v>22</v>
      </c>
      <c r="N387" s="39" t="s">
        <v>418</v>
      </c>
      <c r="O387" s="20"/>
    </row>
    <row r="388" spans="1:15" s="12" customFormat="1" ht="31.5">
      <c r="A388" s="15" t="s">
        <v>96</v>
      </c>
      <c r="B388" s="75" t="s">
        <v>807</v>
      </c>
      <c r="C388" s="39" t="s">
        <v>343</v>
      </c>
      <c r="D388" s="39">
        <v>1300</v>
      </c>
      <c r="E388" s="39"/>
      <c r="F388" s="39">
        <v>1300</v>
      </c>
      <c r="G388" s="39"/>
      <c r="H388" s="40">
        <f>SUM(Tabla1323[[#This Row],[PRIMER TRIMESTRE]:[CUARTO TRIMESTRE]])</f>
        <v>2600</v>
      </c>
      <c r="I388" s="72">
        <v>40.869999999999997</v>
      </c>
      <c r="J388" s="17">
        <f t="shared" si="10"/>
        <v>106262</v>
      </c>
      <c r="K388" s="17"/>
      <c r="L388" s="17" t="s">
        <v>27</v>
      </c>
      <c r="M388" s="16" t="s">
        <v>22</v>
      </c>
      <c r="N388" s="39" t="s">
        <v>418</v>
      </c>
      <c r="O388" s="20"/>
    </row>
    <row r="389" spans="1:15" s="12" customFormat="1" ht="31.5">
      <c r="A389" s="15" t="s">
        <v>96</v>
      </c>
      <c r="B389" s="75" t="s">
        <v>808</v>
      </c>
      <c r="C389" s="39" t="s">
        <v>343</v>
      </c>
      <c r="D389" s="39">
        <v>90</v>
      </c>
      <c r="E389" s="39"/>
      <c r="F389" s="39">
        <v>90</v>
      </c>
      <c r="G389" s="39"/>
      <c r="H389" s="40">
        <f>SUM(Tabla1323[[#This Row],[PRIMER TRIMESTRE]:[CUARTO TRIMESTRE]])</f>
        <v>180</v>
      </c>
      <c r="I389" s="72">
        <v>64.05</v>
      </c>
      <c r="J389" s="17">
        <f t="shared" si="10"/>
        <v>11529</v>
      </c>
      <c r="K389" s="17"/>
      <c r="L389" s="17" t="s">
        <v>27</v>
      </c>
      <c r="M389" s="16" t="s">
        <v>22</v>
      </c>
      <c r="N389" s="39" t="s">
        <v>418</v>
      </c>
      <c r="O389" s="20"/>
    </row>
    <row r="390" spans="1:15" s="12" customFormat="1" ht="31.5">
      <c r="A390" s="15" t="s">
        <v>96</v>
      </c>
      <c r="B390" s="75" t="s">
        <v>809</v>
      </c>
      <c r="C390" s="39" t="s">
        <v>343</v>
      </c>
      <c r="D390" s="39">
        <v>600</v>
      </c>
      <c r="E390" s="39"/>
      <c r="F390" s="39">
        <v>600</v>
      </c>
      <c r="G390" s="39"/>
      <c r="H390" s="40">
        <f>SUM(Tabla1323[[#This Row],[PRIMER TRIMESTRE]:[CUARTO TRIMESTRE]])</f>
        <v>1200</v>
      </c>
      <c r="I390" s="72">
        <v>103.14</v>
      </c>
      <c r="J390" s="17">
        <f t="shared" si="10"/>
        <v>123768</v>
      </c>
      <c r="K390" s="17"/>
      <c r="L390" s="17" t="s">
        <v>27</v>
      </c>
      <c r="M390" s="16" t="s">
        <v>22</v>
      </c>
      <c r="N390" s="39" t="s">
        <v>418</v>
      </c>
      <c r="O390" s="20"/>
    </row>
    <row r="391" spans="1:15" s="12" customFormat="1" ht="31.5">
      <c r="A391" s="15" t="s">
        <v>96</v>
      </c>
      <c r="B391" s="75" t="s">
        <v>810</v>
      </c>
      <c r="C391" s="39" t="s">
        <v>343</v>
      </c>
      <c r="D391" s="39">
        <v>600</v>
      </c>
      <c r="E391" s="39"/>
      <c r="F391" s="39">
        <v>600</v>
      </c>
      <c r="G391" s="39"/>
      <c r="H391" s="40">
        <f>SUM(Tabla1323[[#This Row],[PRIMER TRIMESTRE]:[CUARTO TRIMESTRE]])</f>
        <v>1200</v>
      </c>
      <c r="I391" s="17">
        <v>127.96</v>
      </c>
      <c r="J391" s="17">
        <f t="shared" si="10"/>
        <v>153552</v>
      </c>
      <c r="K391" s="17"/>
      <c r="L391" s="17" t="s">
        <v>27</v>
      </c>
      <c r="M391" s="16" t="s">
        <v>22</v>
      </c>
      <c r="N391" s="39" t="s">
        <v>418</v>
      </c>
      <c r="O391" s="20"/>
    </row>
    <row r="392" spans="1:15" s="12" customFormat="1" ht="31.5">
      <c r="A392" s="15" t="s">
        <v>96</v>
      </c>
      <c r="B392" s="75" t="s">
        <v>811</v>
      </c>
      <c r="C392" s="39" t="s">
        <v>343</v>
      </c>
      <c r="D392" s="39">
        <v>300</v>
      </c>
      <c r="E392" s="39"/>
      <c r="F392" s="39">
        <v>300</v>
      </c>
      <c r="G392" s="39"/>
      <c r="H392" s="40">
        <f>SUM(Tabla1323[[#This Row],[PRIMER TRIMESTRE]:[CUARTO TRIMESTRE]])</f>
        <v>600</v>
      </c>
      <c r="I392" s="17">
        <v>159.21</v>
      </c>
      <c r="J392" s="17">
        <f t="shared" si="10"/>
        <v>95526</v>
      </c>
      <c r="K392" s="17"/>
      <c r="L392" s="17" t="s">
        <v>27</v>
      </c>
      <c r="M392" s="16" t="s">
        <v>22</v>
      </c>
      <c r="N392" s="39" t="s">
        <v>418</v>
      </c>
      <c r="O392" s="20"/>
    </row>
    <row r="393" spans="1:15" s="12" customFormat="1" ht="31.5">
      <c r="A393" s="15" t="s">
        <v>96</v>
      </c>
      <c r="B393" s="75" t="s">
        <v>812</v>
      </c>
      <c r="C393" s="39" t="s">
        <v>343</v>
      </c>
      <c r="D393" s="39">
        <v>300</v>
      </c>
      <c r="E393" s="39"/>
      <c r="F393" s="39">
        <v>300</v>
      </c>
      <c r="G393" s="39"/>
      <c r="H393" s="40">
        <f>SUM(Tabla1323[[#This Row],[PRIMER TRIMESTRE]:[CUARTO TRIMESTRE]])</f>
        <v>600</v>
      </c>
      <c r="I393" s="17">
        <v>198.41</v>
      </c>
      <c r="J393" s="17">
        <f t="shared" si="10"/>
        <v>119046</v>
      </c>
      <c r="K393" s="17"/>
      <c r="L393" s="17" t="s">
        <v>27</v>
      </c>
      <c r="M393" s="16" t="s">
        <v>22</v>
      </c>
      <c r="N393" s="39" t="s">
        <v>418</v>
      </c>
      <c r="O393" s="20"/>
    </row>
    <row r="394" spans="1:15" s="12" customFormat="1" ht="31.5">
      <c r="A394" s="15" t="s">
        <v>96</v>
      </c>
      <c r="B394" s="75" t="s">
        <v>813</v>
      </c>
      <c r="C394" s="39" t="s">
        <v>343</v>
      </c>
      <c r="D394" s="39">
        <v>300</v>
      </c>
      <c r="E394" s="39"/>
      <c r="F394" s="39">
        <v>300</v>
      </c>
      <c r="G394" s="39"/>
      <c r="H394" s="40">
        <f>SUM(Tabla1323[[#This Row],[PRIMER TRIMESTRE]:[CUARTO TRIMESTRE]])</f>
        <v>600</v>
      </c>
      <c r="I394" s="17">
        <v>237.63</v>
      </c>
      <c r="J394" s="17">
        <f t="shared" si="10"/>
        <v>142578</v>
      </c>
      <c r="K394" s="17"/>
      <c r="L394" s="17" t="s">
        <v>27</v>
      </c>
      <c r="M394" s="16" t="s">
        <v>22</v>
      </c>
      <c r="N394" s="39" t="s">
        <v>418</v>
      </c>
      <c r="O394" s="20"/>
    </row>
    <row r="395" spans="1:15" s="12" customFormat="1" ht="31.5">
      <c r="A395" s="15" t="s">
        <v>96</v>
      </c>
      <c r="B395" s="75" t="s">
        <v>814</v>
      </c>
      <c r="C395" s="39" t="s">
        <v>343</v>
      </c>
      <c r="D395" s="39">
        <v>300</v>
      </c>
      <c r="E395" s="39"/>
      <c r="F395" s="39">
        <v>300</v>
      </c>
      <c r="G395" s="39"/>
      <c r="H395" s="40">
        <f>SUM(Tabla1323[[#This Row],[PRIMER TRIMESTRE]:[CUARTO TRIMESTRE]])</f>
        <v>600</v>
      </c>
      <c r="I395" s="17">
        <v>333.78</v>
      </c>
      <c r="J395" s="17">
        <f t="shared" si="10"/>
        <v>200267.99999999997</v>
      </c>
      <c r="K395" s="17"/>
      <c r="L395" s="17" t="s">
        <v>27</v>
      </c>
      <c r="M395" s="16" t="s">
        <v>22</v>
      </c>
      <c r="N395" s="39" t="s">
        <v>418</v>
      </c>
      <c r="O395" s="20"/>
    </row>
    <row r="396" spans="1:15" s="12" customFormat="1" ht="31.5">
      <c r="A396" s="15" t="s">
        <v>96</v>
      </c>
      <c r="B396" s="75" t="s">
        <v>815</v>
      </c>
      <c r="C396" s="39" t="s">
        <v>17</v>
      </c>
      <c r="D396" s="39">
        <v>30</v>
      </c>
      <c r="E396" s="39"/>
      <c r="F396" s="39">
        <v>20</v>
      </c>
      <c r="G396" s="39"/>
      <c r="H396" s="40">
        <f>SUM(Tabla1323[[#This Row],[PRIMER TRIMESTRE]:[CUARTO TRIMESTRE]])</f>
        <v>50</v>
      </c>
      <c r="I396" s="17">
        <v>3213.2</v>
      </c>
      <c r="J396" s="17">
        <f t="shared" si="10"/>
        <v>160660</v>
      </c>
      <c r="K396" s="17"/>
      <c r="L396" s="17" t="s">
        <v>27</v>
      </c>
      <c r="M396" s="16" t="s">
        <v>22</v>
      </c>
      <c r="N396" s="39"/>
      <c r="O396" s="20"/>
    </row>
    <row r="397" spans="1:15" s="12" customFormat="1" ht="60.75" customHeight="1">
      <c r="A397" s="15" t="s">
        <v>96</v>
      </c>
      <c r="B397" s="75" t="s">
        <v>816</v>
      </c>
      <c r="C397" s="39" t="s">
        <v>17</v>
      </c>
      <c r="D397" s="70">
        <v>2</v>
      </c>
      <c r="E397" s="39"/>
      <c r="F397" s="39">
        <v>2</v>
      </c>
      <c r="G397" s="39"/>
      <c r="H397" s="40">
        <f>SUM(Tabla1323[[#This Row],[PRIMER TRIMESTRE]:[CUARTO TRIMESTRE]])</f>
        <v>4</v>
      </c>
      <c r="I397" s="72">
        <v>565000</v>
      </c>
      <c r="J397" s="17">
        <f t="shared" si="10"/>
        <v>2260000</v>
      </c>
      <c r="K397" s="17"/>
      <c r="L397" s="16" t="s">
        <v>18</v>
      </c>
      <c r="M397" s="16" t="s">
        <v>19</v>
      </c>
      <c r="N397" s="39"/>
      <c r="O397" s="20"/>
    </row>
    <row r="398" spans="1:15" s="12" customFormat="1" ht="60.75" customHeight="1">
      <c r="A398" s="15" t="s">
        <v>96</v>
      </c>
      <c r="B398" s="75" t="s">
        <v>817</v>
      </c>
      <c r="C398" s="39" t="s">
        <v>17</v>
      </c>
      <c r="D398" s="70">
        <v>1</v>
      </c>
      <c r="E398" s="39"/>
      <c r="F398" s="39">
        <v>2</v>
      </c>
      <c r="G398" s="39"/>
      <c r="H398" s="40">
        <f>SUM(Tabla1323[[#This Row],[PRIMER TRIMESTRE]:[CUARTO TRIMESTRE]])</f>
        <v>3</v>
      </c>
      <c r="I398" s="17">
        <v>461958.2</v>
      </c>
      <c r="J398" s="17">
        <f t="shared" si="10"/>
        <v>1385874.6</v>
      </c>
      <c r="K398" s="17"/>
      <c r="L398" s="16" t="s">
        <v>18</v>
      </c>
      <c r="M398" s="16" t="s">
        <v>19</v>
      </c>
      <c r="N398" s="39"/>
      <c r="O398" s="20"/>
    </row>
    <row r="399" spans="1:15" s="12" customFormat="1" ht="60.75" customHeight="1">
      <c r="A399" s="15" t="s">
        <v>96</v>
      </c>
      <c r="B399" s="75" t="s">
        <v>818</v>
      </c>
      <c r="C399" s="39" t="s">
        <v>17</v>
      </c>
      <c r="D399" s="70">
        <v>2</v>
      </c>
      <c r="E399" s="39"/>
      <c r="F399" s="39">
        <v>3</v>
      </c>
      <c r="G399" s="39"/>
      <c r="H399" s="40">
        <f>SUM(Tabla1323[[#This Row],[PRIMER TRIMESTRE]:[CUARTO TRIMESTRE]])</f>
        <v>5</v>
      </c>
      <c r="I399" s="17">
        <v>580000</v>
      </c>
      <c r="J399" s="17">
        <f t="shared" si="10"/>
        <v>2900000</v>
      </c>
      <c r="K399" s="17"/>
      <c r="L399" s="16" t="s">
        <v>18</v>
      </c>
      <c r="M399" s="16" t="s">
        <v>19</v>
      </c>
      <c r="N399" s="39"/>
      <c r="O399" s="20"/>
    </row>
    <row r="400" spans="1:15" s="12" customFormat="1" ht="60.75" customHeight="1">
      <c r="A400" s="15" t="s">
        <v>96</v>
      </c>
      <c r="B400" s="75" t="s">
        <v>819</v>
      </c>
      <c r="C400" s="39" t="s">
        <v>17</v>
      </c>
      <c r="D400" s="70">
        <v>1</v>
      </c>
      <c r="E400" s="39"/>
      <c r="F400" s="39">
        <v>2</v>
      </c>
      <c r="G400" s="39"/>
      <c r="H400" s="40">
        <f>SUM(Tabla1323[[#This Row],[PRIMER TRIMESTRE]:[CUARTO TRIMESTRE]])</f>
        <v>3</v>
      </c>
      <c r="I400" s="17">
        <v>69429</v>
      </c>
      <c r="J400" s="17">
        <f t="shared" si="10"/>
        <v>208287</v>
      </c>
      <c r="K400" s="17"/>
      <c r="L400" s="16" t="s">
        <v>18</v>
      </c>
      <c r="M400" s="16" t="s">
        <v>19</v>
      </c>
      <c r="N400" s="39"/>
      <c r="O400" s="20"/>
    </row>
    <row r="401" spans="1:15" s="12" customFormat="1" ht="60.75" customHeight="1">
      <c r="A401" s="15" t="s">
        <v>96</v>
      </c>
      <c r="B401" s="75" t="s">
        <v>820</v>
      </c>
      <c r="C401" s="39" t="s">
        <v>17</v>
      </c>
      <c r="D401" s="70">
        <v>1</v>
      </c>
      <c r="E401" s="39"/>
      <c r="F401" s="39">
        <v>2</v>
      </c>
      <c r="G401" s="39"/>
      <c r="H401" s="40">
        <f>SUM(Tabla1323[[#This Row],[PRIMER TRIMESTRE]:[CUARTO TRIMESTRE]])</f>
        <v>3</v>
      </c>
      <c r="I401" s="17">
        <v>70038.45</v>
      </c>
      <c r="J401" s="17">
        <f t="shared" si="10"/>
        <v>210115.34999999998</v>
      </c>
      <c r="K401" s="17"/>
      <c r="L401" s="16" t="s">
        <v>18</v>
      </c>
      <c r="M401" s="16" t="s">
        <v>19</v>
      </c>
      <c r="N401" s="39"/>
      <c r="O401" s="20"/>
    </row>
    <row r="402" spans="1:15" s="12" customFormat="1" ht="60.75" customHeight="1">
      <c r="A402" s="15" t="s">
        <v>96</v>
      </c>
      <c r="B402" s="75" t="s">
        <v>821</v>
      </c>
      <c r="C402" s="39" t="s">
        <v>17</v>
      </c>
      <c r="D402" s="70">
        <v>2</v>
      </c>
      <c r="E402" s="39"/>
      <c r="F402" s="39">
        <v>3</v>
      </c>
      <c r="G402" s="39"/>
      <c r="H402" s="40">
        <f>SUM(Tabla1323[[#This Row],[PRIMER TRIMESTRE]:[CUARTO TRIMESTRE]])</f>
        <v>5</v>
      </c>
      <c r="I402" s="17">
        <v>61630.63</v>
      </c>
      <c r="J402" s="17">
        <f t="shared" si="10"/>
        <v>308153.14999999997</v>
      </c>
      <c r="K402" s="17"/>
      <c r="L402" s="16" t="s">
        <v>18</v>
      </c>
      <c r="M402" s="16" t="s">
        <v>19</v>
      </c>
      <c r="N402" s="39"/>
      <c r="O402" s="20"/>
    </row>
    <row r="403" spans="1:15" s="12" customFormat="1" ht="60.75" customHeight="1">
      <c r="A403" s="15" t="s">
        <v>96</v>
      </c>
      <c r="B403" s="75" t="s">
        <v>822</v>
      </c>
      <c r="C403" s="39" t="s">
        <v>17</v>
      </c>
      <c r="D403" s="70">
        <v>2</v>
      </c>
      <c r="E403" s="39"/>
      <c r="F403" s="39">
        <v>3</v>
      </c>
      <c r="G403" s="39"/>
      <c r="H403" s="40">
        <f>SUM(Tabla1323[[#This Row],[PRIMER TRIMESTRE]:[CUARTO TRIMESTRE]])</f>
        <v>5</v>
      </c>
      <c r="I403" s="17">
        <v>54792</v>
      </c>
      <c r="J403" s="17">
        <f t="shared" si="10"/>
        <v>273960</v>
      </c>
      <c r="K403" s="17"/>
      <c r="L403" s="16" t="s">
        <v>18</v>
      </c>
      <c r="M403" s="16" t="s">
        <v>19</v>
      </c>
      <c r="N403" s="39"/>
      <c r="O403" s="20"/>
    </row>
    <row r="404" spans="1:15" s="12" customFormat="1" ht="60.75" customHeight="1">
      <c r="A404" s="15" t="s">
        <v>96</v>
      </c>
      <c r="B404" s="75" t="s">
        <v>823</v>
      </c>
      <c r="C404" s="39" t="s">
        <v>17</v>
      </c>
      <c r="D404" s="70">
        <v>2</v>
      </c>
      <c r="E404" s="39"/>
      <c r="F404" s="39">
        <v>3</v>
      </c>
      <c r="G404" s="39"/>
      <c r="H404" s="40">
        <f>SUM(Tabla1323[[#This Row],[PRIMER TRIMESTRE]:[CUARTO TRIMESTRE]])</f>
        <v>5</v>
      </c>
      <c r="I404" s="17">
        <v>49560</v>
      </c>
      <c r="J404" s="17">
        <f t="shared" si="10"/>
        <v>247800</v>
      </c>
      <c r="K404" s="17"/>
      <c r="L404" s="16" t="s">
        <v>18</v>
      </c>
      <c r="M404" s="16" t="s">
        <v>19</v>
      </c>
      <c r="N404" s="39"/>
      <c r="O404" s="20"/>
    </row>
    <row r="405" spans="1:15" s="12" customFormat="1" ht="60.75" customHeight="1">
      <c r="A405" s="15" t="s">
        <v>96</v>
      </c>
      <c r="B405" s="75" t="s">
        <v>824</v>
      </c>
      <c r="C405" s="39" t="s">
        <v>17</v>
      </c>
      <c r="D405" s="70">
        <v>2</v>
      </c>
      <c r="E405" s="39"/>
      <c r="F405" s="39">
        <v>3</v>
      </c>
      <c r="G405" s="39"/>
      <c r="H405" s="40">
        <f>SUM(Tabla1323[[#This Row],[PRIMER TRIMESTRE]:[CUARTO TRIMESTRE]])</f>
        <v>5</v>
      </c>
      <c r="I405" s="17">
        <v>46658.86</v>
      </c>
      <c r="J405" s="17">
        <f t="shared" si="10"/>
        <v>233294.3</v>
      </c>
      <c r="K405" s="17"/>
      <c r="L405" s="16" t="s">
        <v>18</v>
      </c>
      <c r="M405" s="16" t="s">
        <v>19</v>
      </c>
      <c r="N405" s="39"/>
      <c r="O405" s="20"/>
    </row>
    <row r="406" spans="1:15" s="12" customFormat="1" ht="60.75" customHeight="1">
      <c r="A406" s="15" t="s">
        <v>96</v>
      </c>
      <c r="B406" s="75" t="s">
        <v>825</v>
      </c>
      <c r="C406" s="39"/>
      <c r="D406" s="70">
        <v>1</v>
      </c>
      <c r="E406" s="39"/>
      <c r="F406" s="39"/>
      <c r="G406" s="39"/>
      <c r="H406" s="40">
        <f>SUM(Tabla1323[[#This Row],[PRIMER TRIMESTRE]:[CUARTO TRIMESTRE]])</f>
        <v>1</v>
      </c>
      <c r="I406" s="17">
        <v>47216.69</v>
      </c>
      <c r="J406" s="17">
        <v>47216.69</v>
      </c>
      <c r="K406" s="17"/>
      <c r="L406" s="16" t="s">
        <v>18</v>
      </c>
      <c r="M406" s="16" t="s">
        <v>19</v>
      </c>
      <c r="N406" s="39"/>
      <c r="O406" s="18"/>
    </row>
    <row r="407" spans="1:15" s="12" customFormat="1" ht="60.75" customHeight="1">
      <c r="A407" s="15" t="s">
        <v>96</v>
      </c>
      <c r="B407" s="75" t="s">
        <v>826</v>
      </c>
      <c r="C407" s="39" t="s">
        <v>17</v>
      </c>
      <c r="D407" s="70">
        <v>2</v>
      </c>
      <c r="E407" s="39"/>
      <c r="F407" s="39">
        <v>3</v>
      </c>
      <c r="G407" s="39"/>
      <c r="H407" s="40">
        <f>SUM(Tabla1323[[#This Row],[PRIMER TRIMESTRE]:[CUARTO TRIMESTRE]])</f>
        <v>5</v>
      </c>
      <c r="I407" s="17">
        <v>59766.34</v>
      </c>
      <c r="J407" s="17">
        <f t="shared" si="10"/>
        <v>298831.69999999995</v>
      </c>
      <c r="K407" s="17"/>
      <c r="L407" s="16" t="s">
        <v>18</v>
      </c>
      <c r="M407" s="16" t="s">
        <v>19</v>
      </c>
      <c r="N407" s="39"/>
      <c r="O407" s="20"/>
    </row>
    <row r="408" spans="1:15" s="12" customFormat="1" ht="31.5">
      <c r="A408" s="15" t="s">
        <v>96</v>
      </c>
      <c r="B408" s="75" t="s">
        <v>827</v>
      </c>
      <c r="C408" s="39" t="s">
        <v>17</v>
      </c>
      <c r="D408" s="70">
        <v>2</v>
      </c>
      <c r="E408" s="39"/>
      <c r="F408" s="39">
        <v>4</v>
      </c>
      <c r="G408" s="39"/>
      <c r="H408" s="40">
        <f>SUM(Tabla1323[[#This Row],[PRIMER TRIMESTRE]:[CUARTO TRIMESTRE]])</f>
        <v>6</v>
      </c>
      <c r="I408" s="17">
        <v>2266.44</v>
      </c>
      <c r="J408" s="17">
        <f t="shared" si="10"/>
        <v>13598.64</v>
      </c>
      <c r="K408" s="17"/>
      <c r="L408" s="16" t="s">
        <v>18</v>
      </c>
      <c r="M408" s="16" t="s">
        <v>22</v>
      </c>
      <c r="N408" s="39"/>
      <c r="O408" s="20"/>
    </row>
    <row r="409" spans="1:15" s="12" customFormat="1" ht="31.5">
      <c r="A409" s="15" t="s">
        <v>96</v>
      </c>
      <c r="B409" s="75" t="s">
        <v>828</v>
      </c>
      <c r="C409" s="39" t="s">
        <v>17</v>
      </c>
      <c r="D409" s="70">
        <v>2</v>
      </c>
      <c r="E409" s="39"/>
      <c r="F409" s="39">
        <v>4</v>
      </c>
      <c r="G409" s="39"/>
      <c r="H409" s="40">
        <f>SUM(Tabla1323[[#This Row],[PRIMER TRIMESTRE]:[CUARTO TRIMESTRE]])</f>
        <v>6</v>
      </c>
      <c r="I409" s="17">
        <v>3112.58</v>
      </c>
      <c r="J409" s="17">
        <f t="shared" si="10"/>
        <v>18675.48</v>
      </c>
      <c r="K409" s="17"/>
      <c r="L409" s="16" t="s">
        <v>18</v>
      </c>
      <c r="M409" s="16" t="s">
        <v>22</v>
      </c>
      <c r="N409" s="39"/>
      <c r="O409" s="20"/>
    </row>
    <row r="410" spans="1:15" s="12" customFormat="1" ht="31.5">
      <c r="A410" s="15" t="s">
        <v>96</v>
      </c>
      <c r="B410" s="75" t="s">
        <v>829</v>
      </c>
      <c r="C410" s="39" t="s">
        <v>17</v>
      </c>
      <c r="D410" s="70">
        <v>2</v>
      </c>
      <c r="E410" s="39"/>
      <c r="F410" s="39">
        <v>4</v>
      </c>
      <c r="G410" s="39"/>
      <c r="H410" s="40">
        <f>SUM(Tabla1323[[#This Row],[PRIMER TRIMESTRE]:[CUARTO TRIMESTRE]])</f>
        <v>6</v>
      </c>
      <c r="I410" s="17">
        <v>4036</v>
      </c>
      <c r="J410" s="17">
        <f t="shared" si="10"/>
        <v>24216</v>
      </c>
      <c r="K410" s="17"/>
      <c r="L410" s="16" t="s">
        <v>18</v>
      </c>
      <c r="M410" s="16" t="s">
        <v>22</v>
      </c>
      <c r="N410" s="39"/>
      <c r="O410" s="20"/>
    </row>
    <row r="411" spans="1:15" s="12" customFormat="1" ht="31.5">
      <c r="A411" s="15" t="s">
        <v>96</v>
      </c>
      <c r="B411" s="75" t="s">
        <v>830</v>
      </c>
      <c r="C411" s="39" t="s">
        <v>17</v>
      </c>
      <c r="D411" s="70">
        <v>5</v>
      </c>
      <c r="E411" s="39"/>
      <c r="F411" s="39">
        <v>5</v>
      </c>
      <c r="G411" s="39"/>
      <c r="H411" s="40">
        <f>SUM(Tabla1323[[#This Row],[PRIMER TRIMESTRE]:[CUARTO TRIMESTRE]])</f>
        <v>10</v>
      </c>
      <c r="I411" s="17">
        <v>4200</v>
      </c>
      <c r="J411" s="17">
        <f t="shared" si="10"/>
        <v>42000</v>
      </c>
      <c r="K411" s="17"/>
      <c r="L411" s="16" t="s">
        <v>18</v>
      </c>
      <c r="M411" s="16" t="s">
        <v>22</v>
      </c>
      <c r="N411" s="39"/>
      <c r="O411" s="20"/>
    </row>
    <row r="412" spans="1:15" s="12" customFormat="1" ht="31.5">
      <c r="A412" s="15" t="s">
        <v>96</v>
      </c>
      <c r="B412" s="75" t="s">
        <v>831</v>
      </c>
      <c r="C412" s="39" t="s">
        <v>17</v>
      </c>
      <c r="D412" s="70">
        <v>3</v>
      </c>
      <c r="E412" s="39"/>
      <c r="F412" s="39">
        <v>3</v>
      </c>
      <c r="G412" s="39"/>
      <c r="H412" s="40">
        <f>SUM(Tabla1323[[#This Row],[PRIMER TRIMESTRE]:[CUARTO TRIMESTRE]])</f>
        <v>6</v>
      </c>
      <c r="I412" s="17">
        <v>14785.13</v>
      </c>
      <c r="J412" s="17">
        <f t="shared" si="10"/>
        <v>88710.78</v>
      </c>
      <c r="K412" s="17"/>
      <c r="L412" s="16" t="s">
        <v>18</v>
      </c>
      <c r="M412" s="16" t="s">
        <v>22</v>
      </c>
      <c r="N412" s="39"/>
      <c r="O412" s="20"/>
    </row>
    <row r="413" spans="1:15" s="12" customFormat="1" ht="31.5">
      <c r="A413" s="15" t="s">
        <v>96</v>
      </c>
      <c r="B413" s="75" t="s">
        <v>832</v>
      </c>
      <c r="C413" s="39" t="s">
        <v>17</v>
      </c>
      <c r="D413" s="39">
        <v>3</v>
      </c>
      <c r="E413" s="39"/>
      <c r="F413" s="39">
        <v>3</v>
      </c>
      <c r="G413" s="39"/>
      <c r="H413" s="40">
        <f>SUM(Tabla1323[[#This Row],[PRIMER TRIMESTRE]:[CUARTO TRIMESTRE]])</f>
        <v>6</v>
      </c>
      <c r="I413" s="17">
        <v>18762</v>
      </c>
      <c r="J413" s="17">
        <f t="shared" si="10"/>
        <v>112572</v>
      </c>
      <c r="K413" s="17"/>
      <c r="L413" s="16" t="s">
        <v>18</v>
      </c>
      <c r="M413" s="16" t="s">
        <v>22</v>
      </c>
      <c r="N413" s="39"/>
      <c r="O413" s="20"/>
    </row>
    <row r="414" spans="1:15" s="12" customFormat="1" ht="31.5">
      <c r="A414" s="15" t="s">
        <v>96</v>
      </c>
      <c r="B414" s="75" t="s">
        <v>833</v>
      </c>
      <c r="C414" s="39" t="s">
        <v>17</v>
      </c>
      <c r="D414" s="39">
        <v>2</v>
      </c>
      <c r="E414" s="39"/>
      <c r="F414" s="39">
        <v>2</v>
      </c>
      <c r="G414" s="39"/>
      <c r="H414" s="40">
        <f>SUM(Tabla1323[[#This Row],[PRIMER TRIMESTRE]:[CUARTO TRIMESTRE]])</f>
        <v>4</v>
      </c>
      <c r="I414" s="17">
        <v>20692.080000000002</v>
      </c>
      <c r="J414" s="17">
        <f t="shared" si="10"/>
        <v>82768.320000000007</v>
      </c>
      <c r="K414" s="17"/>
      <c r="L414" s="16" t="s">
        <v>18</v>
      </c>
      <c r="M414" s="16" t="s">
        <v>22</v>
      </c>
      <c r="N414" s="39"/>
      <c r="O414" s="20"/>
    </row>
    <row r="415" spans="1:15" s="12" customFormat="1" ht="31.5">
      <c r="A415" s="15" t="s">
        <v>96</v>
      </c>
      <c r="B415" s="75" t="s">
        <v>834</v>
      </c>
      <c r="C415" s="39" t="s">
        <v>17</v>
      </c>
      <c r="D415" s="39">
        <v>4</v>
      </c>
      <c r="E415" s="39"/>
      <c r="F415" s="39">
        <v>4</v>
      </c>
      <c r="G415" s="39"/>
      <c r="H415" s="40">
        <f>SUM(Tabla1323[[#This Row],[PRIMER TRIMESTRE]:[CUARTO TRIMESTRE]])</f>
        <v>8</v>
      </c>
      <c r="I415" s="17">
        <v>24187.57</v>
      </c>
      <c r="J415" s="17">
        <f t="shared" si="10"/>
        <v>193500.56</v>
      </c>
      <c r="K415" s="17"/>
      <c r="L415" s="16" t="s">
        <v>18</v>
      </c>
      <c r="M415" s="16" t="s">
        <v>22</v>
      </c>
      <c r="N415" s="39"/>
      <c r="O415" s="20"/>
    </row>
    <row r="416" spans="1:15" s="12" customFormat="1" ht="31.5">
      <c r="A416" s="15" t="s">
        <v>96</v>
      </c>
      <c r="B416" s="75" t="s">
        <v>835</v>
      </c>
      <c r="C416" s="39" t="s">
        <v>17</v>
      </c>
      <c r="D416" s="39">
        <v>2</v>
      </c>
      <c r="E416" s="39"/>
      <c r="F416" s="39">
        <v>2</v>
      </c>
      <c r="G416" s="39"/>
      <c r="H416" s="40">
        <f>SUM(Tabla1323[[#This Row],[PRIMER TRIMESTRE]:[CUARTO TRIMESTRE]])</f>
        <v>4</v>
      </c>
      <c r="I416" s="17">
        <v>29750.19</v>
      </c>
      <c r="J416" s="17">
        <f t="shared" si="10"/>
        <v>119000.76</v>
      </c>
      <c r="K416" s="17"/>
      <c r="L416" s="16" t="s">
        <v>18</v>
      </c>
      <c r="M416" s="16" t="s">
        <v>22</v>
      </c>
      <c r="N416" s="39"/>
      <c r="O416" s="20"/>
    </row>
    <row r="417" spans="1:15" s="12" customFormat="1" ht="31.5">
      <c r="A417" s="15" t="s">
        <v>96</v>
      </c>
      <c r="B417" s="75" t="s">
        <v>836</v>
      </c>
      <c r="C417" s="39" t="s">
        <v>17</v>
      </c>
      <c r="D417" s="39">
        <v>2</v>
      </c>
      <c r="E417" s="39"/>
      <c r="F417" s="39">
        <v>2</v>
      </c>
      <c r="G417" s="39"/>
      <c r="H417" s="40">
        <f>SUM(Tabla1323[[#This Row],[PRIMER TRIMESTRE]:[CUARTO TRIMESTRE]])</f>
        <v>4</v>
      </c>
      <c r="I417" s="17">
        <v>33000</v>
      </c>
      <c r="J417" s="17">
        <f t="shared" si="10"/>
        <v>132000</v>
      </c>
      <c r="K417" s="17"/>
      <c r="L417" s="16" t="s">
        <v>18</v>
      </c>
      <c r="M417" s="16" t="s">
        <v>22</v>
      </c>
      <c r="N417" s="39"/>
      <c r="O417" s="20"/>
    </row>
    <row r="418" spans="1:15" s="12" customFormat="1" ht="50.25" customHeight="1">
      <c r="A418" s="15" t="s">
        <v>96</v>
      </c>
      <c r="B418" s="75" t="s">
        <v>837</v>
      </c>
      <c r="C418" s="39" t="s">
        <v>343</v>
      </c>
      <c r="D418" s="39">
        <v>750</v>
      </c>
      <c r="E418" s="39"/>
      <c r="F418" s="39">
        <v>750</v>
      </c>
      <c r="G418" s="39"/>
      <c r="H418" s="40">
        <f>SUM(Tabla1323[[#This Row],[PRIMER TRIMESTRE]:[CUARTO TRIMESTRE]])</f>
        <v>1500</v>
      </c>
      <c r="I418" s="72">
        <v>17</v>
      </c>
      <c r="J418" s="17">
        <f t="shared" si="10"/>
        <v>25500</v>
      </c>
      <c r="K418" s="17"/>
      <c r="L418" s="16" t="s">
        <v>18</v>
      </c>
      <c r="M418" s="16" t="s">
        <v>22</v>
      </c>
      <c r="N418" s="39"/>
      <c r="O418" s="18"/>
    </row>
    <row r="419" spans="1:15" s="12" customFormat="1" ht="50.25" customHeight="1">
      <c r="A419" s="15" t="s">
        <v>96</v>
      </c>
      <c r="B419" s="75" t="s">
        <v>838</v>
      </c>
      <c r="C419" s="39" t="s">
        <v>343</v>
      </c>
      <c r="D419" s="39">
        <v>700</v>
      </c>
      <c r="E419" s="39"/>
      <c r="F419" s="39">
        <v>700</v>
      </c>
      <c r="G419" s="39"/>
      <c r="H419" s="40">
        <f>SUM(Tabla1323[[#This Row],[PRIMER TRIMESTRE]:[CUARTO TRIMESTRE]])</f>
        <v>1400</v>
      </c>
      <c r="I419" s="17">
        <v>92.28</v>
      </c>
      <c r="J419" s="17">
        <f t="shared" si="10"/>
        <v>129192</v>
      </c>
      <c r="K419" s="17"/>
      <c r="L419" s="16" t="s">
        <v>18</v>
      </c>
      <c r="M419" s="16" t="s">
        <v>22</v>
      </c>
      <c r="N419" s="39"/>
      <c r="O419" s="20"/>
    </row>
    <row r="420" spans="1:15" s="12" customFormat="1" ht="50.25" customHeight="1">
      <c r="A420" s="15" t="s">
        <v>96</v>
      </c>
      <c r="B420" s="75" t="s">
        <v>839</v>
      </c>
      <c r="C420" s="39" t="s">
        <v>343</v>
      </c>
      <c r="D420" s="39">
        <v>750</v>
      </c>
      <c r="E420" s="39"/>
      <c r="F420" s="39">
        <v>750</v>
      </c>
      <c r="G420" s="39"/>
      <c r="H420" s="40">
        <f>SUM(Tabla1323[[#This Row],[PRIMER TRIMESTRE]:[CUARTO TRIMESTRE]])</f>
        <v>1500</v>
      </c>
      <c r="I420" s="17">
        <v>131.91999999999999</v>
      </c>
      <c r="J420" s="17">
        <f t="shared" si="10"/>
        <v>197879.99999999997</v>
      </c>
      <c r="K420" s="17"/>
      <c r="L420" s="16" t="s">
        <v>18</v>
      </c>
      <c r="M420" s="16" t="s">
        <v>22</v>
      </c>
      <c r="N420" s="39"/>
      <c r="O420" s="20"/>
    </row>
    <row r="421" spans="1:15" s="12" customFormat="1" ht="50.25" customHeight="1">
      <c r="A421" s="15" t="s">
        <v>96</v>
      </c>
      <c r="B421" s="75" t="s">
        <v>840</v>
      </c>
      <c r="C421" s="39" t="s">
        <v>343</v>
      </c>
      <c r="D421" s="39">
        <v>600</v>
      </c>
      <c r="E421" s="39"/>
      <c r="F421" s="39">
        <v>600</v>
      </c>
      <c r="G421" s="39"/>
      <c r="H421" s="40">
        <f>SUM(Tabla1323[[#This Row],[PRIMER TRIMESTRE]:[CUARTO TRIMESTRE]])</f>
        <v>1200</v>
      </c>
      <c r="I421" s="17">
        <v>200.68</v>
      </c>
      <c r="J421" s="17">
        <f t="shared" si="10"/>
        <v>240816</v>
      </c>
      <c r="K421" s="17"/>
      <c r="L421" s="16" t="s">
        <v>18</v>
      </c>
      <c r="M421" s="16" t="s">
        <v>22</v>
      </c>
      <c r="N421" s="39"/>
      <c r="O421" s="20"/>
    </row>
    <row r="422" spans="1:15" s="12" customFormat="1" ht="50.25" customHeight="1">
      <c r="A422" s="15" t="s">
        <v>96</v>
      </c>
      <c r="B422" s="75" t="s">
        <v>841</v>
      </c>
      <c r="C422" s="39" t="s">
        <v>343</v>
      </c>
      <c r="D422" s="39">
        <v>600</v>
      </c>
      <c r="E422" s="39"/>
      <c r="F422" s="39">
        <v>600</v>
      </c>
      <c r="G422" s="39"/>
      <c r="H422" s="40">
        <f>SUM(Tabla1323[[#This Row],[PRIMER TRIMESTRE]:[CUARTO TRIMESTRE]])</f>
        <v>1200</v>
      </c>
      <c r="I422" s="17">
        <v>329.66</v>
      </c>
      <c r="J422" s="17">
        <f t="shared" si="10"/>
        <v>395592.00000000006</v>
      </c>
      <c r="K422" s="17"/>
      <c r="L422" s="16" t="s">
        <v>18</v>
      </c>
      <c r="M422" s="16" t="s">
        <v>22</v>
      </c>
      <c r="N422" s="39"/>
      <c r="O422" s="20"/>
    </row>
    <row r="423" spans="1:15" s="12" customFormat="1" ht="50.25" customHeight="1">
      <c r="A423" s="15" t="s">
        <v>96</v>
      </c>
      <c r="B423" s="75" t="s">
        <v>842</v>
      </c>
      <c r="C423" s="39" t="s">
        <v>343</v>
      </c>
      <c r="D423" s="39">
        <v>250</v>
      </c>
      <c r="E423" s="39"/>
      <c r="F423" s="39">
        <v>250</v>
      </c>
      <c r="G423" s="39"/>
      <c r="H423" s="40">
        <f>SUM(Tabla1323[[#This Row],[PRIMER TRIMESTRE]:[CUARTO TRIMESTRE]])</f>
        <v>500</v>
      </c>
      <c r="I423" s="17">
        <v>569.70000000000005</v>
      </c>
      <c r="J423" s="17">
        <f t="shared" si="10"/>
        <v>284850</v>
      </c>
      <c r="K423" s="17"/>
      <c r="L423" s="16" t="s">
        <v>18</v>
      </c>
      <c r="M423" s="16" t="s">
        <v>22</v>
      </c>
      <c r="N423" s="39"/>
      <c r="O423" s="20"/>
    </row>
    <row r="424" spans="1:15" s="12" customFormat="1" ht="50.25" customHeight="1">
      <c r="A424" s="15" t="s">
        <v>96</v>
      </c>
      <c r="B424" s="75" t="s">
        <v>843</v>
      </c>
      <c r="C424" s="39" t="s">
        <v>17</v>
      </c>
      <c r="D424" s="39">
        <v>10</v>
      </c>
      <c r="E424" s="39"/>
      <c r="F424" s="39">
        <v>10</v>
      </c>
      <c r="G424" s="39"/>
      <c r="H424" s="40">
        <f>SUM(Tabla1323[[#This Row],[PRIMER TRIMESTRE]:[CUARTO TRIMESTRE]])</f>
        <v>20</v>
      </c>
      <c r="I424" s="17">
        <v>4270</v>
      </c>
      <c r="J424" s="17">
        <f t="shared" si="10"/>
        <v>85400</v>
      </c>
      <c r="K424" s="17"/>
      <c r="L424" s="16" t="s">
        <v>18</v>
      </c>
      <c r="M424" s="16" t="s">
        <v>22</v>
      </c>
      <c r="N424" s="39"/>
      <c r="O424" s="20"/>
    </row>
    <row r="425" spans="1:15" s="12" customFormat="1" ht="50.25" customHeight="1">
      <c r="A425" s="15" t="s">
        <v>96</v>
      </c>
      <c r="B425" s="75" t="s">
        <v>844</v>
      </c>
      <c r="C425" s="39" t="s">
        <v>17</v>
      </c>
      <c r="D425" s="39">
        <v>10</v>
      </c>
      <c r="E425" s="39"/>
      <c r="F425" s="39">
        <v>10</v>
      </c>
      <c r="G425" s="39"/>
      <c r="H425" s="40">
        <f>SUM(Tabla1323[[#This Row],[PRIMER TRIMESTRE]:[CUARTO TRIMESTRE]])</f>
        <v>20</v>
      </c>
      <c r="I425" s="17">
        <v>4320</v>
      </c>
      <c r="J425" s="17">
        <f t="shared" si="10"/>
        <v>86400</v>
      </c>
      <c r="K425" s="17"/>
      <c r="L425" s="16" t="s">
        <v>18</v>
      </c>
      <c r="M425" s="16" t="s">
        <v>22</v>
      </c>
      <c r="N425" s="39"/>
      <c r="O425" s="20"/>
    </row>
    <row r="426" spans="1:15" s="12" customFormat="1" ht="50.25" customHeight="1">
      <c r="A426" s="15" t="s">
        <v>96</v>
      </c>
      <c r="B426" s="75" t="s">
        <v>845</v>
      </c>
      <c r="C426" s="39" t="s">
        <v>17</v>
      </c>
      <c r="D426" s="39">
        <v>10</v>
      </c>
      <c r="E426" s="39"/>
      <c r="F426" s="39">
        <v>10</v>
      </c>
      <c r="G426" s="39"/>
      <c r="H426" s="40">
        <f>SUM(Tabla1323[[#This Row],[PRIMER TRIMESTRE]:[CUARTO TRIMESTRE]])</f>
        <v>20</v>
      </c>
      <c r="I426" s="17">
        <v>4560</v>
      </c>
      <c r="J426" s="17">
        <f t="shared" si="10"/>
        <v>91200</v>
      </c>
      <c r="K426" s="17"/>
      <c r="L426" s="16" t="s">
        <v>18</v>
      </c>
      <c r="M426" s="16" t="s">
        <v>22</v>
      </c>
      <c r="N426" s="39"/>
      <c r="O426" s="20"/>
    </row>
    <row r="427" spans="1:15" s="12" customFormat="1" ht="50.25" customHeight="1">
      <c r="A427" s="15" t="s">
        <v>96</v>
      </c>
      <c r="B427" s="75" t="s">
        <v>846</v>
      </c>
      <c r="C427" s="39" t="s">
        <v>17</v>
      </c>
      <c r="D427" s="39">
        <v>12</v>
      </c>
      <c r="E427" s="39"/>
      <c r="F427" s="39">
        <v>12</v>
      </c>
      <c r="G427" s="39"/>
      <c r="H427" s="40">
        <f>SUM(Tabla1323[[#This Row],[PRIMER TRIMESTRE]:[CUARTO TRIMESTRE]])</f>
        <v>24</v>
      </c>
      <c r="I427" s="17">
        <v>5684</v>
      </c>
      <c r="J427" s="17">
        <f t="shared" si="10"/>
        <v>136416</v>
      </c>
      <c r="K427" s="17"/>
      <c r="L427" s="16" t="s">
        <v>18</v>
      </c>
      <c r="M427" s="16" t="s">
        <v>22</v>
      </c>
      <c r="N427" s="39"/>
      <c r="O427" s="20"/>
    </row>
    <row r="428" spans="1:15" s="12" customFormat="1" ht="50.25" customHeight="1">
      <c r="A428" s="15" t="s">
        <v>96</v>
      </c>
      <c r="B428" s="75" t="s">
        <v>847</v>
      </c>
      <c r="C428" s="39" t="s">
        <v>17</v>
      </c>
      <c r="D428" s="39">
        <v>10</v>
      </c>
      <c r="E428" s="39"/>
      <c r="F428" s="39">
        <v>10</v>
      </c>
      <c r="G428" s="39"/>
      <c r="H428" s="40">
        <f>SUM(Tabla1323[[#This Row],[PRIMER TRIMESTRE]:[CUARTO TRIMESTRE]])</f>
        <v>20</v>
      </c>
      <c r="I428" s="17">
        <v>5300</v>
      </c>
      <c r="J428" s="17">
        <f t="shared" si="10"/>
        <v>106000</v>
      </c>
      <c r="K428" s="17"/>
      <c r="L428" s="16" t="s">
        <v>18</v>
      </c>
      <c r="M428" s="16" t="s">
        <v>22</v>
      </c>
      <c r="N428" s="39"/>
      <c r="O428" s="20"/>
    </row>
    <row r="429" spans="1:15" s="12" customFormat="1" ht="39.75" customHeight="1">
      <c r="A429" s="15" t="s">
        <v>96</v>
      </c>
      <c r="B429" s="75" t="s">
        <v>848</v>
      </c>
      <c r="C429" s="39" t="s">
        <v>17</v>
      </c>
      <c r="D429" s="39">
        <v>10</v>
      </c>
      <c r="E429" s="39"/>
      <c r="F429" s="39">
        <v>10</v>
      </c>
      <c r="G429" s="39"/>
      <c r="H429" s="40">
        <f>SUM(Tabla1323[[#This Row],[PRIMER TRIMESTRE]:[CUARTO TRIMESTRE]])</f>
        <v>20</v>
      </c>
      <c r="I429" s="17">
        <v>4958</v>
      </c>
      <c r="J429" s="17">
        <f t="shared" si="10"/>
        <v>99160</v>
      </c>
      <c r="K429" s="17"/>
      <c r="L429" s="16" t="s">
        <v>18</v>
      </c>
      <c r="M429" s="16" t="s">
        <v>22</v>
      </c>
      <c r="N429" s="39"/>
      <c r="O429" s="20"/>
    </row>
    <row r="430" spans="1:15" s="12" customFormat="1" ht="39.75" customHeight="1">
      <c r="A430" s="15" t="s">
        <v>96</v>
      </c>
      <c r="B430" s="75" t="s">
        <v>849</v>
      </c>
      <c r="C430" s="39" t="s">
        <v>17</v>
      </c>
      <c r="D430" s="39">
        <v>10</v>
      </c>
      <c r="E430" s="39"/>
      <c r="F430" s="39">
        <v>10</v>
      </c>
      <c r="G430" s="39"/>
      <c r="H430" s="40">
        <f>SUM(Tabla1323[[#This Row],[PRIMER TRIMESTRE]:[CUARTO TRIMESTRE]])</f>
        <v>20</v>
      </c>
      <c r="I430" s="17">
        <v>6958</v>
      </c>
      <c r="J430" s="17">
        <f t="shared" si="10"/>
        <v>139160</v>
      </c>
      <c r="K430" s="17"/>
      <c r="L430" s="16" t="s">
        <v>18</v>
      </c>
      <c r="M430" s="16" t="s">
        <v>22</v>
      </c>
      <c r="N430" s="39"/>
      <c r="O430" s="20"/>
    </row>
    <row r="431" spans="1:15" s="12" customFormat="1" ht="39.75" customHeight="1">
      <c r="A431" s="15" t="s">
        <v>96</v>
      </c>
      <c r="B431" s="75" t="s">
        <v>850</v>
      </c>
      <c r="C431" s="39" t="s">
        <v>17</v>
      </c>
      <c r="D431" s="39">
        <v>10</v>
      </c>
      <c r="E431" s="39"/>
      <c r="F431" s="39">
        <v>10</v>
      </c>
      <c r="G431" s="39"/>
      <c r="H431" s="40">
        <f>SUM(Tabla1323[[#This Row],[PRIMER TRIMESTRE]:[CUARTO TRIMESTRE]])</f>
        <v>20</v>
      </c>
      <c r="I431" s="17">
        <v>7050</v>
      </c>
      <c r="J431" s="17">
        <f t="shared" si="10"/>
        <v>141000</v>
      </c>
      <c r="K431" s="17"/>
      <c r="L431" s="16" t="s">
        <v>18</v>
      </c>
      <c r="M431" s="16" t="s">
        <v>22</v>
      </c>
      <c r="N431" s="39"/>
      <c r="O431" s="20"/>
    </row>
    <row r="432" spans="1:15" s="12" customFormat="1" ht="39.75" customHeight="1">
      <c r="A432" s="15" t="s">
        <v>96</v>
      </c>
      <c r="B432" s="75" t="s">
        <v>851</v>
      </c>
      <c r="C432" s="39" t="s">
        <v>17</v>
      </c>
      <c r="D432" s="39">
        <v>12</v>
      </c>
      <c r="E432" s="39"/>
      <c r="F432" s="39">
        <v>12</v>
      </c>
      <c r="G432" s="39"/>
      <c r="H432" s="40">
        <f>SUM(Tabla1323[[#This Row],[PRIMER TRIMESTRE]:[CUARTO TRIMESTRE]])</f>
        <v>24</v>
      </c>
      <c r="I432" s="17">
        <v>7950</v>
      </c>
      <c r="J432" s="17">
        <f t="shared" si="10"/>
        <v>190800</v>
      </c>
      <c r="K432" s="17"/>
      <c r="L432" s="16" t="s">
        <v>18</v>
      </c>
      <c r="M432" s="16" t="s">
        <v>22</v>
      </c>
      <c r="N432" s="39"/>
      <c r="O432" s="20"/>
    </row>
    <row r="433" spans="1:15" s="12" customFormat="1" ht="39.75" customHeight="1">
      <c r="A433" s="15" t="s">
        <v>96</v>
      </c>
      <c r="B433" s="75" t="s">
        <v>852</v>
      </c>
      <c r="C433" s="39" t="s">
        <v>17</v>
      </c>
      <c r="D433" s="39">
        <v>10</v>
      </c>
      <c r="E433" s="39"/>
      <c r="F433" s="39">
        <v>10</v>
      </c>
      <c r="G433" s="39"/>
      <c r="H433" s="40">
        <f>SUM(Tabla1323[[#This Row],[PRIMER TRIMESTRE]:[CUARTO TRIMESTRE]])</f>
        <v>20</v>
      </c>
      <c r="I433" s="17">
        <v>8338.15</v>
      </c>
      <c r="J433" s="17">
        <f t="shared" si="10"/>
        <v>166763</v>
      </c>
      <c r="K433" s="17"/>
      <c r="L433" s="16" t="s">
        <v>18</v>
      </c>
      <c r="M433" s="16" t="s">
        <v>22</v>
      </c>
      <c r="N433" s="39"/>
      <c r="O433" s="20"/>
    </row>
    <row r="434" spans="1:15" s="12" customFormat="1" ht="39.75" customHeight="1">
      <c r="A434" s="15" t="s">
        <v>96</v>
      </c>
      <c r="B434" s="75" t="s">
        <v>853</v>
      </c>
      <c r="C434" s="39" t="s">
        <v>17</v>
      </c>
      <c r="D434" s="39">
        <v>10</v>
      </c>
      <c r="E434" s="39"/>
      <c r="F434" s="39">
        <v>10</v>
      </c>
      <c r="G434" s="39"/>
      <c r="H434" s="40">
        <f>SUM(Tabla1323[[#This Row],[PRIMER TRIMESTRE]:[CUARTO TRIMESTRE]])</f>
        <v>20</v>
      </c>
      <c r="I434" s="17">
        <v>9900.17</v>
      </c>
      <c r="J434" s="17">
        <f t="shared" si="10"/>
        <v>198003.4</v>
      </c>
      <c r="K434" s="17"/>
      <c r="L434" s="16" t="s">
        <v>18</v>
      </c>
      <c r="M434" s="16" t="s">
        <v>22</v>
      </c>
      <c r="N434" s="39"/>
      <c r="O434" s="20"/>
    </row>
    <row r="435" spans="1:15" s="12" customFormat="1" ht="47.25">
      <c r="A435" s="15" t="s">
        <v>96</v>
      </c>
      <c r="B435" s="16" t="str">
        <f ca="1">+UPPER(Tabla1323[[#This Row],[DESCRIPCIÓN DE LA COMPRA O CONTRATACIÓN]])</f>
        <v>MONITORES DE FASE A 460 VOLTIOS, CONTRA PÉRDIDA DE FASE E INVERSIÓN DE GIRO CON SU BASE</v>
      </c>
      <c r="C435" s="39" t="s">
        <v>17</v>
      </c>
      <c r="D435" s="39">
        <v>120</v>
      </c>
      <c r="E435" s="39"/>
      <c r="F435" s="39">
        <v>120</v>
      </c>
      <c r="G435" s="39"/>
      <c r="H435" s="40">
        <f>SUM(Tabla1323[[#This Row],[PRIMER TRIMESTRE]:[CUARTO TRIMESTRE]])</f>
        <v>240</v>
      </c>
      <c r="I435" s="17">
        <v>2018.4</v>
      </c>
      <c r="J435" s="17">
        <f t="shared" si="10"/>
        <v>484416</v>
      </c>
      <c r="K435" s="17"/>
      <c r="L435" s="16" t="s">
        <v>18</v>
      </c>
      <c r="M435" s="16" t="s">
        <v>22</v>
      </c>
      <c r="N435" s="39"/>
      <c r="O435" s="20"/>
    </row>
    <row r="436" spans="1:15" s="12" customFormat="1" ht="47.25">
      <c r="A436" s="15" t="s">
        <v>96</v>
      </c>
      <c r="B436" s="16" t="str">
        <f ca="1">+UPPER(Tabla1323[[#This Row],[DESCRIPCIÓN DE LA COMPRA O CONTRATACIÓN]])</f>
        <v>MONITORES DE FASE A 230 VOLTIOS, CONTRA PÉRDIDA DE FASE E INVERSIÓN DE GIRO CON SU BASE</v>
      </c>
      <c r="C436" s="39" t="s">
        <v>17</v>
      </c>
      <c r="D436" s="39">
        <v>45</v>
      </c>
      <c r="E436" s="39"/>
      <c r="F436" s="39">
        <v>45</v>
      </c>
      <c r="G436" s="39"/>
      <c r="H436" s="40">
        <f>SUM(Tabla1323[[#This Row],[PRIMER TRIMESTRE]:[CUARTO TRIMESTRE]])</f>
        <v>90</v>
      </c>
      <c r="I436" s="17">
        <v>2540.06</v>
      </c>
      <c r="J436" s="17">
        <f t="shared" si="10"/>
        <v>228605.4</v>
      </c>
      <c r="K436" s="17"/>
      <c r="L436" s="16" t="s">
        <v>18</v>
      </c>
      <c r="M436" s="16" t="s">
        <v>22</v>
      </c>
      <c r="N436" s="39"/>
      <c r="O436" s="20"/>
    </row>
    <row r="437" spans="1:15" s="12" customFormat="1" ht="31.5">
      <c r="A437" s="15" t="s">
        <v>96</v>
      </c>
      <c r="B437" s="75" t="s">
        <v>854</v>
      </c>
      <c r="C437" s="39" t="s">
        <v>17</v>
      </c>
      <c r="D437" s="70">
        <v>2</v>
      </c>
      <c r="E437" s="39"/>
      <c r="F437" s="39">
        <v>4</v>
      </c>
      <c r="G437" s="39"/>
      <c r="H437" s="40">
        <f>SUM(Tabla1323[[#This Row],[PRIMER TRIMESTRE]:[CUARTO TRIMESTRE]])</f>
        <v>6</v>
      </c>
      <c r="I437" s="72">
        <v>21949.98</v>
      </c>
      <c r="J437" s="17">
        <f t="shared" si="10"/>
        <v>131699.88</v>
      </c>
      <c r="K437" s="17"/>
      <c r="L437" s="16" t="s">
        <v>27</v>
      </c>
      <c r="M437" s="16" t="s">
        <v>19</v>
      </c>
      <c r="N437" s="39"/>
      <c r="O437" s="18"/>
    </row>
    <row r="438" spans="1:15" s="12" customFormat="1" ht="31.5">
      <c r="A438" s="15" t="s">
        <v>96</v>
      </c>
      <c r="B438" s="75" t="s">
        <v>855</v>
      </c>
      <c r="C438" s="39" t="s">
        <v>17</v>
      </c>
      <c r="D438" s="70">
        <v>2</v>
      </c>
      <c r="E438" s="39"/>
      <c r="F438" s="39">
        <v>4</v>
      </c>
      <c r="G438" s="39"/>
      <c r="H438" s="40">
        <f>SUM(Tabla1323[[#This Row],[PRIMER TRIMESTRE]:[CUARTO TRIMESTRE]])</f>
        <v>6</v>
      </c>
      <c r="I438" s="72">
        <v>28382.54</v>
      </c>
      <c r="J438" s="17">
        <f t="shared" si="10"/>
        <v>170295.24</v>
      </c>
      <c r="K438" s="17"/>
      <c r="L438" s="16" t="s">
        <v>27</v>
      </c>
      <c r="M438" s="16" t="s">
        <v>19</v>
      </c>
      <c r="N438" s="39"/>
      <c r="O438" s="18"/>
    </row>
    <row r="439" spans="1:15" s="12" customFormat="1" ht="47.25">
      <c r="A439" s="15" t="s">
        <v>96</v>
      </c>
      <c r="B439" s="16" t="str">
        <f ca="1">+UPPER(Tabla1323[[#This Row],[DESCRIPCIÓN DE LA COMPRA O CONTRATACIÓN]])</f>
        <v>MOTORES ELÉCTRICOS SUMERGIBLES, 3Ø, 230 /460 VOLTIOS, 60HZ, 1.15 FS, 3,450 RPM 7.5 HP NEMA 6</v>
      </c>
      <c r="C439" s="39" t="s">
        <v>17</v>
      </c>
      <c r="D439" s="70">
        <v>2</v>
      </c>
      <c r="E439" s="39"/>
      <c r="F439" s="39">
        <v>3</v>
      </c>
      <c r="G439" s="39"/>
      <c r="H439" s="40">
        <f>SUM(Tabla1323[[#This Row],[PRIMER TRIMESTRE]:[CUARTO TRIMESTRE]])</f>
        <v>5</v>
      </c>
      <c r="I439" s="72">
        <v>112200</v>
      </c>
      <c r="J439" s="17">
        <f>+H439*I439</f>
        <v>561000</v>
      </c>
      <c r="K439" s="17"/>
      <c r="L439" s="16" t="s">
        <v>27</v>
      </c>
      <c r="M439" s="16" t="s">
        <v>19</v>
      </c>
      <c r="N439" s="39"/>
      <c r="O439" s="18"/>
    </row>
    <row r="440" spans="1:15" s="12" customFormat="1" ht="47.25">
      <c r="A440" s="15" t="s">
        <v>96</v>
      </c>
      <c r="B440" s="16" t="str">
        <f ca="1">+UPPER(Tabla1323[[#This Row],[DESCRIPCIÓN DE LA COMPRA O CONTRATACIÓN]])</f>
        <v>MOTORES ELÉCTRICOS SUMERGIBLES, 3Ø, 230 /460 VOLTIOS, 60HZ, 1.15 FS, 3,450 RPM 20 HP NEMA 6</v>
      </c>
      <c r="C440" s="39" t="s">
        <v>17</v>
      </c>
      <c r="D440" s="70">
        <v>6</v>
      </c>
      <c r="E440" s="39"/>
      <c r="F440" s="39">
        <v>3</v>
      </c>
      <c r="G440" s="39"/>
      <c r="H440" s="40">
        <f>SUM(Tabla1323[[#This Row],[PRIMER TRIMESTRE]:[CUARTO TRIMESTRE]])</f>
        <v>9</v>
      </c>
      <c r="I440" s="17">
        <v>63826.21</v>
      </c>
      <c r="J440" s="17">
        <f t="shared" ref="J440:J468" si="11">+H440*I440</f>
        <v>574435.89</v>
      </c>
      <c r="K440" s="17"/>
      <c r="L440" s="16" t="s">
        <v>27</v>
      </c>
      <c r="M440" s="16" t="s">
        <v>19</v>
      </c>
      <c r="N440" s="39"/>
      <c r="O440" s="20"/>
    </row>
    <row r="441" spans="1:15" s="12" customFormat="1" ht="31.5" customHeight="1">
      <c r="A441" s="15" t="s">
        <v>96</v>
      </c>
      <c r="B441" s="75" t="s">
        <v>856</v>
      </c>
      <c r="C441" s="39" t="s">
        <v>17</v>
      </c>
      <c r="D441" s="70">
        <v>5</v>
      </c>
      <c r="E441" s="39"/>
      <c r="F441" s="39">
        <v>3</v>
      </c>
      <c r="G441" s="39"/>
      <c r="H441" s="40">
        <f>SUM(Tabla1323[[#This Row],[PRIMER TRIMESTRE]:[CUARTO TRIMESTRE]])</f>
        <v>8</v>
      </c>
      <c r="I441" s="17">
        <v>79201.600000000006</v>
      </c>
      <c r="J441" s="17">
        <f t="shared" si="11"/>
        <v>633612.80000000005</v>
      </c>
      <c r="K441" s="31"/>
      <c r="L441" s="16" t="s">
        <v>27</v>
      </c>
      <c r="M441" s="28" t="s">
        <v>19</v>
      </c>
      <c r="N441" s="45"/>
      <c r="O441" s="20"/>
    </row>
    <row r="442" spans="1:15" s="12" customFormat="1" ht="35.25" customHeight="1">
      <c r="A442" s="15" t="s">
        <v>96</v>
      </c>
      <c r="B442" s="75" t="s">
        <v>857</v>
      </c>
      <c r="C442" s="39" t="s">
        <v>17</v>
      </c>
      <c r="D442" s="70">
        <v>5</v>
      </c>
      <c r="E442" s="39"/>
      <c r="F442" s="39">
        <v>3</v>
      </c>
      <c r="G442" s="39"/>
      <c r="H442" s="40">
        <f>SUM(Tabla1323[[#This Row],[PRIMER TRIMESTRE]:[CUARTO TRIMESTRE]])</f>
        <v>8</v>
      </c>
      <c r="I442" s="17">
        <v>96701</v>
      </c>
      <c r="J442" s="17">
        <f t="shared" si="11"/>
        <v>773608</v>
      </c>
      <c r="K442" s="31"/>
      <c r="L442" s="16" t="s">
        <v>27</v>
      </c>
      <c r="M442" s="28" t="s">
        <v>19</v>
      </c>
      <c r="N442" s="45"/>
      <c r="O442" s="20"/>
    </row>
    <row r="443" spans="1:15" s="12" customFormat="1" ht="31.5" customHeight="1">
      <c r="A443" s="15" t="s">
        <v>96</v>
      </c>
      <c r="B443" s="75" t="s">
        <v>858</v>
      </c>
      <c r="C443" s="39" t="s">
        <v>17</v>
      </c>
      <c r="D443" s="70">
        <v>4</v>
      </c>
      <c r="E443" s="39"/>
      <c r="F443" s="39">
        <v>3</v>
      </c>
      <c r="G443" s="39"/>
      <c r="H443" s="40">
        <f>SUM(Tabla1323[[#This Row],[PRIMER TRIMESTRE]:[CUARTO TRIMESTRE]])</f>
        <v>7</v>
      </c>
      <c r="I443" s="17">
        <v>120944.77</v>
      </c>
      <c r="J443" s="17">
        <f t="shared" si="11"/>
        <v>846613.39</v>
      </c>
      <c r="K443" s="31"/>
      <c r="L443" s="16" t="s">
        <v>27</v>
      </c>
      <c r="M443" s="28" t="s">
        <v>19</v>
      </c>
      <c r="N443" s="45"/>
      <c r="O443" s="20"/>
    </row>
    <row r="444" spans="1:15" s="12" customFormat="1" ht="31.5" customHeight="1">
      <c r="A444" s="15" t="s">
        <v>96</v>
      </c>
      <c r="B444" s="75" t="s">
        <v>859</v>
      </c>
      <c r="C444" s="39" t="s">
        <v>17</v>
      </c>
      <c r="D444" s="70">
        <v>4</v>
      </c>
      <c r="E444" s="39"/>
      <c r="F444" s="39">
        <v>2</v>
      </c>
      <c r="G444" s="39"/>
      <c r="H444" s="40">
        <f>SUM(Tabla1323[[#This Row],[PRIMER TRIMESTRE]:[CUARTO TRIMESTRE]])</f>
        <v>6</v>
      </c>
      <c r="I444" s="17">
        <v>143968.70000000001</v>
      </c>
      <c r="J444" s="17">
        <f t="shared" si="11"/>
        <v>863812.20000000007</v>
      </c>
      <c r="K444" s="31"/>
      <c r="L444" s="16" t="s">
        <v>27</v>
      </c>
      <c r="M444" s="28" t="s">
        <v>19</v>
      </c>
      <c r="N444" s="45"/>
      <c r="O444" s="20"/>
    </row>
    <row r="445" spans="1:15" s="12" customFormat="1" ht="31.5" customHeight="1">
      <c r="A445" s="15" t="s">
        <v>96</v>
      </c>
      <c r="B445" s="75" t="s">
        <v>860</v>
      </c>
      <c r="C445" s="39" t="s">
        <v>17</v>
      </c>
      <c r="D445" s="70">
        <v>2</v>
      </c>
      <c r="E445" s="39"/>
      <c r="F445" s="39">
        <v>2</v>
      </c>
      <c r="G445" s="39"/>
      <c r="H445" s="40">
        <f>SUM(Tabla1323[[#This Row],[PRIMER TRIMESTRE]:[CUARTO TRIMESTRE]])</f>
        <v>4</v>
      </c>
      <c r="I445" s="72">
        <v>856370.9</v>
      </c>
      <c r="J445" s="17">
        <f>+H445*I445</f>
        <v>3425483.6</v>
      </c>
      <c r="K445" s="17"/>
      <c r="L445" s="16" t="s">
        <v>27</v>
      </c>
      <c r="M445" s="16" t="s">
        <v>19</v>
      </c>
      <c r="N445" s="39"/>
      <c r="O445" s="18"/>
    </row>
    <row r="446" spans="1:15" s="12" customFormat="1" ht="31.5" customHeight="1">
      <c r="A446" s="15" t="s">
        <v>96</v>
      </c>
      <c r="B446" s="75" t="s">
        <v>861</v>
      </c>
      <c r="C446" s="39" t="s">
        <v>17</v>
      </c>
      <c r="D446" s="70">
        <v>3</v>
      </c>
      <c r="E446" s="39"/>
      <c r="F446" s="39">
        <v>3</v>
      </c>
      <c r="G446" s="39"/>
      <c r="H446" s="40">
        <f>SUM(Tabla1323[[#This Row],[PRIMER TRIMESTRE]:[CUARTO TRIMESTRE]])</f>
        <v>6</v>
      </c>
      <c r="I446" s="17">
        <v>216363.42</v>
      </c>
      <c r="J446" s="17">
        <f t="shared" si="11"/>
        <v>1298180.52</v>
      </c>
      <c r="K446" s="31"/>
      <c r="L446" s="16" t="s">
        <v>27</v>
      </c>
      <c r="M446" s="28" t="s">
        <v>19</v>
      </c>
      <c r="N446" s="45"/>
      <c r="O446" s="20"/>
    </row>
    <row r="447" spans="1:15" s="12" customFormat="1" ht="31.5" customHeight="1">
      <c r="A447" s="15" t="s">
        <v>96</v>
      </c>
      <c r="B447" s="75" t="s">
        <v>862</v>
      </c>
      <c r="C447" s="39" t="s">
        <v>17</v>
      </c>
      <c r="D447" s="70">
        <v>1</v>
      </c>
      <c r="E447" s="39"/>
      <c r="F447" s="39">
        <v>1</v>
      </c>
      <c r="G447" s="39"/>
      <c r="H447" s="40">
        <f>SUM(Tabla1323[[#This Row],[PRIMER TRIMESTRE]:[CUARTO TRIMESTRE]])</f>
        <v>2</v>
      </c>
      <c r="I447" s="17">
        <v>339848.52</v>
      </c>
      <c r="J447" s="17">
        <f t="shared" si="11"/>
        <v>679697.04</v>
      </c>
      <c r="K447" s="31"/>
      <c r="L447" s="16" t="s">
        <v>27</v>
      </c>
      <c r="M447" s="28" t="s">
        <v>19</v>
      </c>
      <c r="N447" s="45"/>
      <c r="O447" s="20"/>
    </row>
    <row r="448" spans="1:15" s="12" customFormat="1" ht="47.25">
      <c r="A448" s="15" t="s">
        <v>96</v>
      </c>
      <c r="B448" s="16" t="str">
        <f ca="1">+UPPER(Tabla1323[[#This Row],[DESCRIPCIÓN DE LA COMPRA O CONTRATACIÓN]])</f>
        <v xml:space="preserve">MOTORES ELÉCTRICOS MONOFASICO SUMERGIBLES, 230 VOLTIOS, 3,450 RPM  3 HP CON CAJA DE CONTROLS </v>
      </c>
      <c r="C448" s="39" t="s">
        <v>17</v>
      </c>
      <c r="D448" s="70">
        <v>2</v>
      </c>
      <c r="E448" s="39"/>
      <c r="F448" s="39">
        <v>6</v>
      </c>
      <c r="G448" s="39"/>
      <c r="H448" s="40">
        <f>SUM(Tabla1323[[#This Row],[PRIMER TRIMESTRE]:[CUARTO TRIMESTRE]])</f>
        <v>8</v>
      </c>
      <c r="I448" s="17">
        <v>16820</v>
      </c>
      <c r="J448" s="17">
        <f t="shared" si="11"/>
        <v>134560</v>
      </c>
      <c r="K448" s="31"/>
      <c r="L448" s="16" t="s">
        <v>27</v>
      </c>
      <c r="M448" s="28" t="s">
        <v>19</v>
      </c>
      <c r="N448" s="45"/>
      <c r="O448" s="20"/>
    </row>
    <row r="449" spans="1:15" s="12" customFormat="1" ht="47.25">
      <c r="A449" s="15" t="s">
        <v>96</v>
      </c>
      <c r="B449" s="16" t="str">
        <f ca="1">+UPPER(Tabla1323[[#This Row],[DESCRIPCIÓN DE LA COMPRA O CONTRATACIÓN]])</f>
        <v xml:space="preserve">MOTORES ELÉCTRICOS MONOFASICO SUMERGIBLES, 230 VOLTIOS, 3,450 RPM  5 HP CON CAJA DE CONTROLS </v>
      </c>
      <c r="C449" s="39" t="s">
        <v>17</v>
      </c>
      <c r="D449" s="70">
        <v>3</v>
      </c>
      <c r="E449" s="39"/>
      <c r="F449" s="39">
        <v>6</v>
      </c>
      <c r="G449" s="39"/>
      <c r="H449" s="40">
        <f>SUM(Tabla1323[[#This Row],[PRIMER TRIMESTRE]:[CUARTO TRIMESTRE]])</f>
        <v>9</v>
      </c>
      <c r="I449" s="17">
        <v>20517.099999999999</v>
      </c>
      <c r="J449" s="17">
        <f t="shared" si="11"/>
        <v>184653.9</v>
      </c>
      <c r="K449" s="31"/>
      <c r="L449" s="16" t="s">
        <v>27</v>
      </c>
      <c r="M449" s="28" t="s">
        <v>19</v>
      </c>
      <c r="N449" s="45"/>
      <c r="O449" s="20"/>
    </row>
    <row r="450" spans="1:15" s="12" customFormat="1" ht="47.25">
      <c r="A450" s="15" t="s">
        <v>96</v>
      </c>
      <c r="B450" s="16" t="str">
        <f ca="1">+UPPER(Tabla1323[[#This Row],[DESCRIPCIÓN DE LA COMPRA O CONTRATACIÓN]])</f>
        <v xml:space="preserve">MOTORES ELÉCTRICOS MONOFASICO SUMERGIBLES, 230 VOLTIOS, 3,450 RPM  7.5 HP CON CAJA DE CONTROLS </v>
      </c>
      <c r="C450" s="39" t="s">
        <v>17</v>
      </c>
      <c r="D450" s="70">
        <v>3</v>
      </c>
      <c r="E450" s="39"/>
      <c r="F450" s="39">
        <v>4</v>
      </c>
      <c r="G450" s="39"/>
      <c r="H450" s="40">
        <f>SUM(Tabla1323[[#This Row],[PRIMER TRIMESTRE]:[CUARTO TRIMESTRE]])</f>
        <v>7</v>
      </c>
      <c r="I450" s="17">
        <v>36619.75</v>
      </c>
      <c r="J450" s="17">
        <f t="shared" si="11"/>
        <v>256338.25</v>
      </c>
      <c r="K450" s="31"/>
      <c r="L450" s="16" t="s">
        <v>27</v>
      </c>
      <c r="M450" s="28" t="s">
        <v>19</v>
      </c>
      <c r="N450" s="45"/>
      <c r="O450" s="20"/>
    </row>
    <row r="451" spans="1:15" s="12" customFormat="1" ht="47.25">
      <c r="A451" s="15" t="s">
        <v>96</v>
      </c>
      <c r="B451" s="16" t="str">
        <f ca="1">+UPPER(Tabla1323[[#This Row],[DESCRIPCIÓN DE LA COMPRA O CONTRATACIÓN]])</f>
        <v>ELECTROBOMBAS HORIZONTAL, 0.75HP, 1Ø, 115/230V, TIPO MONOBLOCK,3500 RPM, 20 GPM VS 100 PIES TDH</v>
      </c>
      <c r="C451" s="39" t="s">
        <v>17</v>
      </c>
      <c r="D451" s="39">
        <v>3</v>
      </c>
      <c r="E451" s="39"/>
      <c r="F451" s="39">
        <v>3</v>
      </c>
      <c r="G451" s="39"/>
      <c r="H451" s="40">
        <f>SUM(Tabla1323[[#This Row],[PRIMER TRIMESTRE]:[CUARTO TRIMESTRE]])</f>
        <v>6</v>
      </c>
      <c r="I451" s="17">
        <v>15370.13</v>
      </c>
      <c r="J451" s="17">
        <f t="shared" si="11"/>
        <v>92220.78</v>
      </c>
      <c r="K451" s="31"/>
      <c r="L451" s="16" t="s">
        <v>18</v>
      </c>
      <c r="M451" s="28" t="s">
        <v>19</v>
      </c>
      <c r="N451" s="45"/>
      <c r="O451" s="20"/>
    </row>
    <row r="452" spans="1:15" s="12" customFormat="1" ht="31.5">
      <c r="A452" s="15" t="s">
        <v>96</v>
      </c>
      <c r="B452" s="16" t="str">
        <f ca="1">+UPPER(Tabla1323[[#This Row],[DESCRIPCIÓN DE LA COMPRA O CONTRATACIÓN]])</f>
        <v>ELECTROBOMBAS SUMERGIBLE, 1.00HP, 230V, 1Ø, 60HZ, CON SU CAJA DE CONTROL, 3500 RPM</v>
      </c>
      <c r="C452" s="39" t="s">
        <v>17</v>
      </c>
      <c r="D452" s="39">
        <v>3</v>
      </c>
      <c r="E452" s="39"/>
      <c r="F452" s="39">
        <v>3</v>
      </c>
      <c r="G452" s="39"/>
      <c r="H452" s="40">
        <f>SUM(Tabla1323[[#This Row],[PRIMER TRIMESTRE]:[CUARTO TRIMESTRE]])</f>
        <v>6</v>
      </c>
      <c r="I452" s="17">
        <v>42000</v>
      </c>
      <c r="J452" s="17">
        <f t="shared" si="11"/>
        <v>252000</v>
      </c>
      <c r="K452" s="31"/>
      <c r="L452" s="16" t="s">
        <v>18</v>
      </c>
      <c r="M452" s="28" t="s">
        <v>19</v>
      </c>
      <c r="N452" s="45"/>
      <c r="O452" s="20"/>
    </row>
    <row r="453" spans="1:15" s="12" customFormat="1" ht="47.25">
      <c r="A453" s="15" t="s">
        <v>96</v>
      </c>
      <c r="B453" s="16" t="s">
        <v>863</v>
      </c>
      <c r="C453" s="39" t="s">
        <v>17</v>
      </c>
      <c r="D453" s="39">
        <v>6</v>
      </c>
      <c r="E453" s="39"/>
      <c r="F453" s="39">
        <v>6</v>
      </c>
      <c r="G453" s="39"/>
      <c r="H453" s="40">
        <f>SUM(Tabla1323[[#This Row],[PRIMER TRIMESTRE]:[CUARTO TRIMESTRE]])</f>
        <v>12</v>
      </c>
      <c r="I453" s="17">
        <v>24051.94</v>
      </c>
      <c r="J453" s="17">
        <f t="shared" si="11"/>
        <v>288623.27999999997</v>
      </c>
      <c r="K453" s="31"/>
      <c r="L453" s="16" t="s">
        <v>18</v>
      </c>
      <c r="M453" s="28" t="s">
        <v>22</v>
      </c>
      <c r="N453" s="45"/>
      <c r="O453" s="20"/>
    </row>
    <row r="454" spans="1:15" s="12" customFormat="1" ht="47.25">
      <c r="A454" s="15" t="s">
        <v>96</v>
      </c>
      <c r="B454" s="16" t="str">
        <f ca="1">+UPPER(Tabla1323[[#This Row],[DESCRIPCIÓN DE LA COMPRA O CONTRATACIÓN]])</f>
        <v>TRANSFORMADORES 1Ø, 60HZ, SUMERGIDOS EN ACEITE, 7.2/12.47 KV, 120/240V, TIPO POSTE, HOMOLGADOS CON IDÉNTICA IMPEDANCIA 25 KVA</v>
      </c>
      <c r="C454" s="39" t="s">
        <v>17</v>
      </c>
      <c r="D454" s="39">
        <v>4</v>
      </c>
      <c r="E454" s="39"/>
      <c r="F454" s="39">
        <v>4</v>
      </c>
      <c r="G454" s="39"/>
      <c r="H454" s="40">
        <f>SUM(Tabla1323[[#This Row],[PRIMER TRIMESTRE]:[CUARTO TRIMESTRE]])</f>
        <v>8</v>
      </c>
      <c r="I454" s="17">
        <v>34220</v>
      </c>
      <c r="J454" s="17">
        <f t="shared" si="11"/>
        <v>273760</v>
      </c>
      <c r="K454" s="31"/>
      <c r="L454" s="16" t="s">
        <v>18</v>
      </c>
      <c r="M454" s="28" t="s">
        <v>22</v>
      </c>
      <c r="N454" s="45"/>
      <c r="O454" s="20"/>
    </row>
    <row r="455" spans="1:15" s="12" customFormat="1" ht="63">
      <c r="A455" s="15" t="s">
        <v>96</v>
      </c>
      <c r="B455" s="16" t="str">
        <f ca="1">+UPPER(Tabla1323[[#This Row],[DESCRIPCIÓN DE LA COMPRA O CONTRATACIÓN]])</f>
        <v>TRANSFORMADORES 1Ø, 60HZ, SUMERGIDOS EN ACEITE, 7.2/12.47 KV, 120/240V, TIPO POSTE, HOMOLGADOS CON IDÉNTICA IMPEDANCIA 37.5 KVA</v>
      </c>
      <c r="C455" s="39" t="s">
        <v>17</v>
      </c>
      <c r="D455" s="39">
        <v>2</v>
      </c>
      <c r="E455" s="39"/>
      <c r="F455" s="39">
        <v>2</v>
      </c>
      <c r="G455" s="39"/>
      <c r="H455" s="40">
        <f>SUM(Tabla1323[[#This Row],[PRIMER TRIMESTRE]:[CUARTO TRIMESTRE]])</f>
        <v>4</v>
      </c>
      <c r="I455" s="17">
        <v>58875.22</v>
      </c>
      <c r="J455" s="17">
        <f t="shared" si="11"/>
        <v>235500.88</v>
      </c>
      <c r="K455" s="31"/>
      <c r="L455" s="16" t="s">
        <v>18</v>
      </c>
      <c r="M455" s="28" t="s">
        <v>22</v>
      </c>
      <c r="N455" s="45"/>
      <c r="O455" s="20"/>
    </row>
    <row r="456" spans="1:15" s="12" customFormat="1" ht="47.25">
      <c r="A456" s="15" t="s">
        <v>96</v>
      </c>
      <c r="B456" s="73" t="str">
        <f ca="1">+UPPER(Tabla1323[[#This Row],[DESCRIPCIÓN DE LA COMPRA O CONTRATACIÓN]])</f>
        <v>TRANSFORMADORES 1Ø, 60HZ, SUMERGIDOS EN ACEITE, 7.2/12.47 KV, 240/480V, TIPO POSTE HOMOLGADOS CON IDÉNTICA IMPEDANCIA 15 KVA</v>
      </c>
      <c r="C456" s="39" t="s">
        <v>17</v>
      </c>
      <c r="D456" s="39">
        <v>8</v>
      </c>
      <c r="E456" s="39"/>
      <c r="F456" s="39">
        <v>8</v>
      </c>
      <c r="G456" s="39"/>
      <c r="H456" s="40">
        <f>SUM(Tabla1323[[#This Row],[PRIMER TRIMESTRE]:[CUARTO TRIMESTRE]])</f>
        <v>16</v>
      </c>
      <c r="I456" s="17">
        <v>25498.09</v>
      </c>
      <c r="J456" s="17">
        <f t="shared" si="11"/>
        <v>407969.44</v>
      </c>
      <c r="K456" s="31"/>
      <c r="L456" s="16" t="s">
        <v>18</v>
      </c>
      <c r="M456" s="28" t="s">
        <v>22</v>
      </c>
      <c r="N456" s="45"/>
      <c r="O456" s="20"/>
    </row>
    <row r="457" spans="1:15" s="12" customFormat="1" ht="47.25">
      <c r="A457" s="15" t="s">
        <v>96</v>
      </c>
      <c r="B457" s="73" t="str">
        <f ca="1">+UPPER(Tabla1323[[#This Row],[DESCRIPCIÓN DE LA COMPRA O CONTRATACIÓN]])</f>
        <v>TRANSFORMADORES 1Ø, 60HZ, SUMERGIDOS EN ACEITE, 7.2/12.47 KV, 240/480V, TIPO POSTE HOMOLGADOS CON IDÉNTICA IMPEDANCIA 25 KVA</v>
      </c>
      <c r="C457" s="39" t="s">
        <v>17</v>
      </c>
      <c r="D457" s="39">
        <v>6</v>
      </c>
      <c r="E457" s="39"/>
      <c r="F457" s="39">
        <v>6</v>
      </c>
      <c r="G457" s="39"/>
      <c r="H457" s="40">
        <f>SUM(Tabla1323[[#This Row],[PRIMER TRIMESTRE]:[CUARTO TRIMESTRE]])</f>
        <v>12</v>
      </c>
      <c r="I457" s="17">
        <v>37186.82</v>
      </c>
      <c r="J457" s="17">
        <f t="shared" si="11"/>
        <v>446241.83999999997</v>
      </c>
      <c r="K457" s="31"/>
      <c r="L457" s="16" t="s">
        <v>18</v>
      </c>
      <c r="M457" s="28" t="s">
        <v>22</v>
      </c>
      <c r="N457" s="45"/>
      <c r="O457" s="20"/>
    </row>
    <row r="458" spans="1:15" s="12" customFormat="1" ht="38.25">
      <c r="A458" s="15" t="s">
        <v>96</v>
      </c>
      <c r="B458" s="77" t="s">
        <v>864</v>
      </c>
      <c r="C458" s="39" t="s">
        <v>17</v>
      </c>
      <c r="D458" s="39">
        <v>10</v>
      </c>
      <c r="E458" s="39"/>
      <c r="F458" s="39">
        <v>10</v>
      </c>
      <c r="G458" s="39"/>
      <c r="H458" s="40">
        <f>SUM(Tabla1323[[#This Row],[PRIMER TRIMESTRE]:[CUARTO TRIMESTRE]])</f>
        <v>20</v>
      </c>
      <c r="I458" s="17">
        <v>44076.54</v>
      </c>
      <c r="J458" s="17">
        <f t="shared" si="11"/>
        <v>881530.8</v>
      </c>
      <c r="K458" s="31"/>
      <c r="L458" s="16" t="s">
        <v>18</v>
      </c>
      <c r="M458" s="28" t="s">
        <v>22</v>
      </c>
      <c r="N458" s="45"/>
      <c r="O458" s="20"/>
    </row>
    <row r="459" spans="1:15" s="12" customFormat="1" ht="38.25">
      <c r="A459" s="15" t="s">
        <v>96</v>
      </c>
      <c r="B459" s="75" t="s">
        <v>865</v>
      </c>
      <c r="C459" s="39" t="s">
        <v>17</v>
      </c>
      <c r="D459" s="39">
        <v>10</v>
      </c>
      <c r="E459" s="39"/>
      <c r="F459" s="39">
        <v>10</v>
      </c>
      <c r="G459" s="39"/>
      <c r="H459" s="40">
        <f>SUM(Tabla1323[[#This Row],[PRIMER TRIMESTRE]:[CUARTO TRIMESTRE]])</f>
        <v>20</v>
      </c>
      <c r="I459" s="17">
        <v>54061.7</v>
      </c>
      <c r="J459" s="17">
        <f t="shared" si="11"/>
        <v>1081234</v>
      </c>
      <c r="K459" s="31"/>
      <c r="L459" s="16" t="s">
        <v>18</v>
      </c>
      <c r="M459" s="28" t="s">
        <v>22</v>
      </c>
      <c r="N459" s="45"/>
      <c r="O459" s="20"/>
    </row>
    <row r="460" spans="1:15" s="12" customFormat="1" ht="38.25">
      <c r="A460" s="15" t="s">
        <v>96</v>
      </c>
      <c r="B460" s="75" t="s">
        <v>866</v>
      </c>
      <c r="C460" s="39" t="s">
        <v>17</v>
      </c>
      <c r="D460" s="39">
        <v>7</v>
      </c>
      <c r="E460" s="39"/>
      <c r="F460" s="39">
        <v>7</v>
      </c>
      <c r="G460" s="39"/>
      <c r="H460" s="40">
        <f>SUM(Tabla1323[[#This Row],[PRIMER TRIMESTRE]:[CUARTO TRIMESTRE]])</f>
        <v>14</v>
      </c>
      <c r="I460" s="17">
        <v>81423.539999999994</v>
      </c>
      <c r="J460" s="17">
        <f t="shared" si="11"/>
        <v>1139929.5599999998</v>
      </c>
      <c r="K460" s="17"/>
      <c r="L460" s="16" t="s">
        <v>18</v>
      </c>
      <c r="M460" s="16" t="s">
        <v>22</v>
      </c>
      <c r="N460" s="39"/>
      <c r="O460" s="20"/>
    </row>
    <row r="461" spans="1:15" s="12" customFormat="1" ht="63">
      <c r="A461" s="15" t="s">
        <v>96</v>
      </c>
      <c r="B461" s="16" t="str">
        <f ca="1">+UPPER(Tabla1323[[#This Row],[DESCRIPCIÓN DE LA COMPRA O CONTRATACIÓN]])</f>
        <v>TRANSFORMADORES 1Ø, 60HZ, SUMERGIDOS EN ACEITE, 7.2/12.47 KV, 240/480V, TIPO POSTE HOMOLGADOS CON IDÉNTICA IMPEDANCIA 100 KVA</v>
      </c>
      <c r="C461" s="39" t="s">
        <v>17</v>
      </c>
      <c r="D461" s="39">
        <v>6</v>
      </c>
      <c r="E461" s="39"/>
      <c r="F461" s="39">
        <v>6</v>
      </c>
      <c r="G461" s="39"/>
      <c r="H461" s="40">
        <f>SUM(Tabla1323[[#This Row],[PRIMER TRIMESTRE]:[CUARTO TRIMESTRE]])</f>
        <v>12</v>
      </c>
      <c r="I461" s="17">
        <v>108938.74</v>
      </c>
      <c r="J461" s="17">
        <f t="shared" si="11"/>
        <v>1307264.8800000001</v>
      </c>
      <c r="K461" s="17"/>
      <c r="L461" s="16" t="s">
        <v>18</v>
      </c>
      <c r="M461" s="16" t="s">
        <v>22</v>
      </c>
      <c r="N461" s="39"/>
      <c r="O461" s="20"/>
    </row>
    <row r="462" spans="1:15" s="12" customFormat="1" ht="38.25">
      <c r="A462" s="15" t="s">
        <v>96</v>
      </c>
      <c r="B462" s="75" t="s">
        <v>867</v>
      </c>
      <c r="C462" s="39" t="s">
        <v>17</v>
      </c>
      <c r="D462" s="39">
        <v>5</v>
      </c>
      <c r="E462" s="39"/>
      <c r="F462" s="39">
        <v>5</v>
      </c>
      <c r="G462" s="39"/>
      <c r="H462" s="40">
        <f>SUM(Tabla1323[[#This Row],[PRIMER TRIMESTRE]:[CUARTO TRIMESTRE]])</f>
        <v>10</v>
      </c>
      <c r="I462" s="17">
        <v>160529.56</v>
      </c>
      <c r="J462" s="17">
        <f t="shared" si="11"/>
        <v>1605295.6</v>
      </c>
      <c r="K462" s="17"/>
      <c r="L462" s="16" t="s">
        <v>18</v>
      </c>
      <c r="M462" s="16" t="s">
        <v>22</v>
      </c>
      <c r="N462" s="39"/>
      <c r="O462" s="20"/>
    </row>
    <row r="463" spans="1:15" s="12" customFormat="1" ht="31.5" customHeight="1">
      <c r="A463" s="15" t="s">
        <v>96</v>
      </c>
      <c r="B463" s="75" t="s">
        <v>868</v>
      </c>
      <c r="C463" s="39" t="s">
        <v>17</v>
      </c>
      <c r="D463" s="39">
        <v>7</v>
      </c>
      <c r="E463" s="39"/>
      <c r="F463" s="39">
        <v>7</v>
      </c>
      <c r="G463" s="39"/>
      <c r="H463" s="40">
        <f>SUM(Tabla1323[[#This Row],[PRIMER TRIMESTRE]:[CUARTO TRIMESTRE]])</f>
        <v>14</v>
      </c>
      <c r="I463" s="17">
        <v>7243.54</v>
      </c>
      <c r="J463" s="17">
        <f t="shared" si="11"/>
        <v>101409.56</v>
      </c>
      <c r="K463" s="17"/>
      <c r="L463" s="16" t="s">
        <v>18</v>
      </c>
      <c r="M463" s="16" t="s">
        <v>22</v>
      </c>
      <c r="N463" s="39"/>
      <c r="O463" s="20"/>
    </row>
    <row r="464" spans="1:15" s="12" customFormat="1" ht="42.75" customHeight="1">
      <c r="A464" s="15" t="s">
        <v>96</v>
      </c>
      <c r="B464" s="75" t="s">
        <v>869</v>
      </c>
      <c r="C464" s="39" t="s">
        <v>17</v>
      </c>
      <c r="D464" s="39">
        <v>7</v>
      </c>
      <c r="E464" s="39"/>
      <c r="F464" s="39">
        <v>7</v>
      </c>
      <c r="G464" s="39"/>
      <c r="H464" s="40">
        <f>SUM(Tabla1323[[#This Row],[PRIMER TRIMESTRE]:[CUARTO TRIMESTRE]])</f>
        <v>14</v>
      </c>
      <c r="I464" s="17">
        <v>4466.2299999999996</v>
      </c>
      <c r="J464" s="17">
        <f t="shared" si="11"/>
        <v>62527.219999999994</v>
      </c>
      <c r="K464" s="17"/>
      <c r="L464" s="16" t="s">
        <v>18</v>
      </c>
      <c r="M464" s="16" t="s">
        <v>22</v>
      </c>
      <c r="N464" s="39"/>
      <c r="O464" s="20"/>
    </row>
    <row r="465" spans="1:21" s="12" customFormat="1" ht="42.75" customHeight="1">
      <c r="A465" s="15" t="s">
        <v>96</v>
      </c>
      <c r="B465" s="75" t="s">
        <v>870</v>
      </c>
      <c r="C465" s="39" t="s">
        <v>17</v>
      </c>
      <c r="D465" s="39">
        <v>6</v>
      </c>
      <c r="E465" s="39"/>
      <c r="F465" s="39">
        <v>6</v>
      </c>
      <c r="G465" s="39"/>
      <c r="H465" s="40">
        <f>SUM(Tabla1323[[#This Row],[PRIMER TRIMESTRE]:[CUARTO TRIMESTRE]])</f>
        <v>12</v>
      </c>
      <c r="I465" s="17">
        <v>3950</v>
      </c>
      <c r="J465" s="17">
        <f t="shared" si="11"/>
        <v>47400</v>
      </c>
      <c r="K465" s="17"/>
      <c r="L465" s="16" t="s">
        <v>18</v>
      </c>
      <c r="M465" s="16" t="s">
        <v>22</v>
      </c>
      <c r="N465" s="39"/>
      <c r="O465" s="20"/>
    </row>
    <row r="466" spans="1:21" s="12" customFormat="1" ht="42.75" customHeight="1">
      <c r="A466" s="15" t="s">
        <v>96</v>
      </c>
      <c r="B466" s="75" t="s">
        <v>871</v>
      </c>
      <c r="C466" s="39" t="s">
        <v>17</v>
      </c>
      <c r="D466" s="39">
        <v>5</v>
      </c>
      <c r="E466" s="39"/>
      <c r="F466" s="39">
        <v>5</v>
      </c>
      <c r="G466" s="39"/>
      <c r="H466" s="40">
        <f>SUM(Tabla1323[[#This Row],[PRIMER TRIMESTRE]:[CUARTO TRIMESTRE]])</f>
        <v>10</v>
      </c>
      <c r="I466" s="17">
        <v>2995.96</v>
      </c>
      <c r="J466" s="17">
        <f t="shared" si="11"/>
        <v>29959.599999999999</v>
      </c>
      <c r="K466" s="17"/>
      <c r="L466" s="16" t="s">
        <v>18</v>
      </c>
      <c r="M466" s="16" t="s">
        <v>22</v>
      </c>
      <c r="N466" s="39"/>
      <c r="O466" s="20"/>
    </row>
    <row r="467" spans="1:21" s="12" customFormat="1" ht="42.75" customHeight="1">
      <c r="A467" s="15" t="s">
        <v>96</v>
      </c>
      <c r="B467" s="75" t="s">
        <v>872</v>
      </c>
      <c r="C467" s="39" t="s">
        <v>17</v>
      </c>
      <c r="D467" s="39">
        <v>5</v>
      </c>
      <c r="E467" s="39"/>
      <c r="F467" s="39">
        <v>5</v>
      </c>
      <c r="G467" s="39"/>
      <c r="H467" s="40">
        <f>SUM(Tabla1323[[#This Row],[PRIMER TRIMESTRE]:[CUARTO TRIMESTRE]])</f>
        <v>10</v>
      </c>
      <c r="I467" s="17">
        <v>3986.24</v>
      </c>
      <c r="J467" s="17">
        <f t="shared" si="11"/>
        <v>39862.399999999994</v>
      </c>
      <c r="K467" s="17"/>
      <c r="L467" s="16" t="s">
        <v>18</v>
      </c>
      <c r="M467" s="16" t="s">
        <v>22</v>
      </c>
      <c r="N467" s="39"/>
      <c r="O467" s="20"/>
    </row>
    <row r="468" spans="1:21" s="12" customFormat="1" ht="42.75" customHeight="1">
      <c r="A468" s="15" t="s">
        <v>96</v>
      </c>
      <c r="B468" s="75" t="s">
        <v>873</v>
      </c>
      <c r="C468" s="39" t="s">
        <v>17</v>
      </c>
      <c r="D468" s="39">
        <v>4</v>
      </c>
      <c r="E468" s="39"/>
      <c r="F468" s="39">
        <v>4</v>
      </c>
      <c r="G468" s="39"/>
      <c r="H468" s="40">
        <f>SUM(Tabla1323[[#This Row],[PRIMER TRIMESTRE]:[CUARTO TRIMESTRE]])</f>
        <v>8</v>
      </c>
      <c r="I468" s="17">
        <v>6982.2</v>
      </c>
      <c r="J468" s="17">
        <f t="shared" si="11"/>
        <v>55857.599999999999</v>
      </c>
      <c r="K468" s="17"/>
      <c r="L468" s="16" t="s">
        <v>18</v>
      </c>
      <c r="M468" s="16" t="s">
        <v>22</v>
      </c>
      <c r="N468" s="39"/>
      <c r="O468" s="20"/>
    </row>
    <row r="469" spans="1:21" s="26" customFormat="1" ht="27.75" customHeight="1">
      <c r="A469" s="22" t="s">
        <v>96</v>
      </c>
      <c r="B469" s="76"/>
      <c r="C469" s="42"/>
      <c r="D469" s="42"/>
      <c r="E469" s="42"/>
      <c r="F469" s="42"/>
      <c r="G469" s="42"/>
      <c r="H469" s="43"/>
      <c r="I469" s="24"/>
      <c r="J469" s="24"/>
      <c r="K469" s="25">
        <f>SUM(J381:J468)</f>
        <v>32896029.880000003</v>
      </c>
      <c r="L469" s="23"/>
      <c r="M469" s="23"/>
      <c r="N469" s="42"/>
      <c r="O469" s="24"/>
      <c r="R469" s="27"/>
      <c r="U469" s="23"/>
    </row>
    <row r="470" spans="1:21" s="12" customFormat="1" ht="27" customHeight="1">
      <c r="A470" s="15" t="s">
        <v>95</v>
      </c>
      <c r="B470" s="75" t="str">
        <f ca="1">+UPPER(Tabla1323[[#This Row],[DESCRIPCIÓN DE LA COMPRA O CONTRATACIÓN]])</f>
        <v>CUT-OUTS 15 KV 200 AMPERES</v>
      </c>
      <c r="C470" s="39" t="s">
        <v>17</v>
      </c>
      <c r="D470" s="39">
        <v>40</v>
      </c>
      <c r="E470" s="39"/>
      <c r="F470" s="39">
        <v>40</v>
      </c>
      <c r="G470" s="39"/>
      <c r="H470" s="40">
        <f>SUM(Tabla1323[[#This Row],[PRIMER TRIMESTRE]:[CUARTO TRIMESTRE]])</f>
        <v>80</v>
      </c>
      <c r="I470" s="17">
        <v>7354.4</v>
      </c>
      <c r="J470" s="17">
        <f t="shared" ref="J470:J490" si="12">+H470*I470</f>
        <v>588352</v>
      </c>
      <c r="K470" s="17"/>
      <c r="L470" s="16" t="s">
        <v>18</v>
      </c>
      <c r="M470" s="16" t="s">
        <v>22</v>
      </c>
      <c r="N470" s="39"/>
      <c r="O470" s="20"/>
    </row>
    <row r="471" spans="1:21" s="12" customFormat="1">
      <c r="A471" s="15" t="s">
        <v>95</v>
      </c>
      <c r="B471" s="75" t="str">
        <f ca="1">+UPPER(Tabla1323[[#This Row],[DESCRIPCIÓN DE LA COMPRA O CONTRATACIÓN]])</f>
        <v>CUT-OUTS 15 KV 100 AMPERES</v>
      </c>
      <c r="C471" s="39" t="s">
        <v>17</v>
      </c>
      <c r="D471" s="39">
        <v>50</v>
      </c>
      <c r="E471" s="39"/>
      <c r="F471" s="39">
        <v>50</v>
      </c>
      <c r="G471" s="39"/>
      <c r="H471" s="40">
        <f>SUM(Tabla1323[[#This Row],[PRIMER TRIMESTRE]:[CUARTO TRIMESTRE]])</f>
        <v>100</v>
      </c>
      <c r="I471" s="17">
        <v>5452</v>
      </c>
      <c r="J471" s="17">
        <f t="shared" si="12"/>
        <v>545200</v>
      </c>
      <c r="K471" s="17"/>
      <c r="L471" s="16" t="s">
        <v>18</v>
      </c>
      <c r="M471" s="16" t="s">
        <v>22</v>
      </c>
      <c r="N471" s="39"/>
      <c r="O471" s="20"/>
    </row>
    <row r="472" spans="1:21" s="12" customFormat="1">
      <c r="A472" s="15" t="s">
        <v>95</v>
      </c>
      <c r="B472" s="75" t="str">
        <f ca="1">+UPPER(Tabla1323[[#This Row],[DESCRIPCIÓN DE LA COMPRA O CONTRATACIÓN]])</f>
        <v>APARTARRAYOS DE 9KV</v>
      </c>
      <c r="C472" s="39" t="s">
        <v>17</v>
      </c>
      <c r="D472" s="39">
        <v>50</v>
      </c>
      <c r="E472" s="39"/>
      <c r="F472" s="39">
        <v>50</v>
      </c>
      <c r="G472" s="39"/>
      <c r="H472" s="40">
        <f>SUM(Tabla1323[[#This Row],[PRIMER TRIMESTRE]:[CUARTO TRIMESTRE]])</f>
        <v>100</v>
      </c>
      <c r="I472" s="17">
        <v>2842</v>
      </c>
      <c r="J472" s="17">
        <f t="shared" si="12"/>
        <v>284200</v>
      </c>
      <c r="K472" s="17"/>
      <c r="L472" s="16" t="s">
        <v>18</v>
      </c>
      <c r="M472" s="16" t="s">
        <v>22</v>
      </c>
      <c r="N472" s="39"/>
      <c r="O472" s="20"/>
    </row>
    <row r="473" spans="1:21" s="12" customFormat="1">
      <c r="A473" s="15" t="s">
        <v>95</v>
      </c>
      <c r="B473" s="75" t="str">
        <f ca="1">+UPPER(Tabla1323[[#This Row],[DESCRIPCIÓN DE LA COMPRA O CONTRATACIÓN]])</f>
        <v>APARTARRAYOS DE 220V, SECUNDARIO</v>
      </c>
      <c r="C473" s="39" t="s">
        <v>17</v>
      </c>
      <c r="D473" s="39">
        <v>15</v>
      </c>
      <c r="E473" s="39"/>
      <c r="F473" s="39">
        <v>15</v>
      </c>
      <c r="G473" s="39"/>
      <c r="H473" s="40">
        <f>SUM(Tabla1323[[#This Row],[PRIMER TRIMESTRE]:[CUARTO TRIMESTRE]])</f>
        <v>30</v>
      </c>
      <c r="I473" s="17">
        <v>4500</v>
      </c>
      <c r="J473" s="17">
        <f t="shared" si="12"/>
        <v>135000</v>
      </c>
      <c r="K473" s="17"/>
      <c r="L473" s="16" t="s">
        <v>18</v>
      </c>
      <c r="M473" s="16" t="s">
        <v>22</v>
      </c>
      <c r="N473" s="39"/>
      <c r="O473" s="20"/>
    </row>
    <row r="474" spans="1:21" s="12" customFormat="1">
      <c r="A474" s="15" t="s">
        <v>95</v>
      </c>
      <c r="B474" s="75" t="str">
        <f ca="1">+UPPER(Tabla1323[[#This Row],[DESCRIPCIÓN DE LA COMPRA O CONTRATACIÓN]])</f>
        <v>APARTARRAYOS DE 480V, SECUNDARIO</v>
      </c>
      <c r="C474" s="39" t="s">
        <v>17</v>
      </c>
      <c r="D474" s="39">
        <v>15</v>
      </c>
      <c r="E474" s="39"/>
      <c r="F474" s="39">
        <v>15</v>
      </c>
      <c r="G474" s="39"/>
      <c r="H474" s="40">
        <f>SUM(Tabla1323[[#This Row],[PRIMER TRIMESTRE]:[CUARTO TRIMESTRE]])</f>
        <v>30</v>
      </c>
      <c r="I474" s="72">
        <v>4500</v>
      </c>
      <c r="J474" s="17">
        <f>+H474*I474</f>
        <v>135000</v>
      </c>
      <c r="K474" s="17"/>
      <c r="L474" s="16" t="s">
        <v>18</v>
      </c>
      <c r="M474" s="16" t="s">
        <v>22</v>
      </c>
      <c r="N474" s="39"/>
      <c r="O474" s="18"/>
    </row>
    <row r="475" spans="1:21" s="12" customFormat="1" ht="25.5">
      <c r="A475" s="15" t="s">
        <v>95</v>
      </c>
      <c r="B475" s="77" t="str">
        <f ca="1">+UPPER(Tabla1323[[#This Row],[DESCRIPCIÓN DE LA COMPRA O CONTRATACIÓN]])</f>
        <v>LÁMPARA FLUORESCENTE, DE 2 X 4 PIES, 32 WATTS, COMPLETA</v>
      </c>
      <c r="C475" s="39" t="s">
        <v>17</v>
      </c>
      <c r="D475" s="39">
        <v>150</v>
      </c>
      <c r="E475" s="39"/>
      <c r="F475" s="39">
        <v>150</v>
      </c>
      <c r="G475" s="39"/>
      <c r="H475" s="40">
        <f>SUM(Tabla1323[[#This Row],[PRIMER TRIMESTRE]:[CUARTO TRIMESTRE]])</f>
        <v>300</v>
      </c>
      <c r="I475" s="17">
        <v>63.44</v>
      </c>
      <c r="J475" s="17">
        <f t="shared" si="12"/>
        <v>19032</v>
      </c>
      <c r="K475" s="17"/>
      <c r="L475" s="16" t="s">
        <v>18</v>
      </c>
      <c r="M475" s="16" t="s">
        <v>22</v>
      </c>
      <c r="N475" s="39"/>
      <c r="O475" s="20"/>
    </row>
    <row r="476" spans="1:21" s="12" customFormat="1" ht="25.5">
      <c r="A476" s="15" t="s">
        <v>95</v>
      </c>
      <c r="B476" s="77" t="s">
        <v>881</v>
      </c>
      <c r="C476" s="39" t="s">
        <v>17</v>
      </c>
      <c r="D476" s="39">
        <v>100</v>
      </c>
      <c r="E476" s="39"/>
      <c r="F476" s="39">
        <v>100</v>
      </c>
      <c r="G476" s="39"/>
      <c r="H476" s="40">
        <f>SUM(Tabla1323[[#This Row],[PRIMER TRIMESTRE]:[CUARTO TRIMESTRE]])</f>
        <v>200</v>
      </c>
      <c r="I476" s="17">
        <v>877.77</v>
      </c>
      <c r="J476" s="17">
        <f t="shared" si="12"/>
        <v>175554</v>
      </c>
      <c r="K476" s="17"/>
      <c r="L476" s="16" t="s">
        <v>18</v>
      </c>
      <c r="M476" s="16" t="s">
        <v>22</v>
      </c>
      <c r="N476" s="39"/>
      <c r="O476" s="20"/>
    </row>
    <row r="477" spans="1:21" s="12" customFormat="1" ht="30.75" customHeight="1">
      <c r="A477" s="15" t="s">
        <v>95</v>
      </c>
      <c r="B477" s="75" t="s">
        <v>874</v>
      </c>
      <c r="C477" s="39" t="s">
        <v>17</v>
      </c>
      <c r="D477" s="39">
        <v>50</v>
      </c>
      <c r="E477" s="39"/>
      <c r="F477" s="39">
        <v>50</v>
      </c>
      <c r="G477" s="39"/>
      <c r="H477" s="40">
        <f>SUM(Tabla1323[[#This Row],[PRIMER TRIMESTRE]:[CUARTO TRIMESTRE]])</f>
        <v>100</v>
      </c>
      <c r="I477" s="17">
        <v>9.84</v>
      </c>
      <c r="J477" s="17">
        <f t="shared" si="12"/>
        <v>984</v>
      </c>
      <c r="K477" s="17"/>
      <c r="L477" s="16" t="s">
        <v>18</v>
      </c>
      <c r="M477" s="16" t="s">
        <v>22</v>
      </c>
      <c r="N477" s="39"/>
      <c r="O477" s="20"/>
    </row>
    <row r="478" spans="1:21" s="12" customFormat="1" ht="30.75" customHeight="1">
      <c r="A478" s="15" t="s">
        <v>95</v>
      </c>
      <c r="B478" s="75" t="s">
        <v>875</v>
      </c>
      <c r="C478" s="39" t="s">
        <v>17</v>
      </c>
      <c r="D478" s="39">
        <v>50</v>
      </c>
      <c r="E478" s="39"/>
      <c r="F478" s="39">
        <v>50</v>
      </c>
      <c r="G478" s="39"/>
      <c r="H478" s="40">
        <f>SUM(Tabla1323[[#This Row],[PRIMER TRIMESTRE]:[CUARTO TRIMESTRE]])</f>
        <v>100</v>
      </c>
      <c r="I478" s="17">
        <v>26.3</v>
      </c>
      <c r="J478" s="17">
        <f t="shared" si="12"/>
        <v>2630</v>
      </c>
      <c r="K478" s="17"/>
      <c r="L478" s="16" t="s">
        <v>18</v>
      </c>
      <c r="M478" s="16" t="s">
        <v>22</v>
      </c>
      <c r="N478" s="39"/>
      <c r="O478" s="20"/>
    </row>
    <row r="479" spans="1:21" s="12" customFormat="1">
      <c r="A479" s="15" t="s">
        <v>95</v>
      </c>
      <c r="B479" s="75" t="s">
        <v>876</v>
      </c>
      <c r="C479" s="39" t="s">
        <v>17</v>
      </c>
      <c r="D479" s="39">
        <v>50</v>
      </c>
      <c r="E479" s="39"/>
      <c r="F479" s="39">
        <v>50</v>
      </c>
      <c r="G479" s="39"/>
      <c r="H479" s="40">
        <f>SUM(Tabla1323[[#This Row],[PRIMER TRIMESTRE]:[CUARTO TRIMESTRE]])</f>
        <v>100</v>
      </c>
      <c r="I479" s="17">
        <v>60.07</v>
      </c>
      <c r="J479" s="17">
        <f t="shared" si="12"/>
        <v>6007</v>
      </c>
      <c r="K479" s="17"/>
      <c r="L479" s="16" t="s">
        <v>18</v>
      </c>
      <c r="M479" s="16" t="s">
        <v>22</v>
      </c>
      <c r="N479" s="39"/>
      <c r="O479" s="20"/>
    </row>
    <row r="480" spans="1:21" s="12" customFormat="1">
      <c r="A480" s="15" t="s">
        <v>95</v>
      </c>
      <c r="B480" s="75" t="s">
        <v>877</v>
      </c>
      <c r="C480" s="39" t="s">
        <v>17</v>
      </c>
      <c r="D480" s="39">
        <v>25</v>
      </c>
      <c r="E480" s="39"/>
      <c r="F480" s="39">
        <v>25</v>
      </c>
      <c r="G480" s="39"/>
      <c r="H480" s="40">
        <f>SUM(Tabla1323[[#This Row],[PRIMER TRIMESTRE]:[CUARTO TRIMESTRE]])</f>
        <v>50</v>
      </c>
      <c r="I480" s="17">
        <v>153.30000000000001</v>
      </c>
      <c r="J480" s="17">
        <f t="shared" si="12"/>
        <v>7665.0000000000009</v>
      </c>
      <c r="K480" s="17"/>
      <c r="L480" s="16" t="s">
        <v>18</v>
      </c>
      <c r="M480" s="16" t="s">
        <v>22</v>
      </c>
      <c r="N480" s="39"/>
      <c r="O480" s="20"/>
    </row>
    <row r="481" spans="1:21" s="12" customFormat="1">
      <c r="A481" s="15" t="s">
        <v>95</v>
      </c>
      <c r="B481" s="75" t="s">
        <v>878</v>
      </c>
      <c r="C481" s="39" t="s">
        <v>17</v>
      </c>
      <c r="D481" s="39">
        <v>25</v>
      </c>
      <c r="E481" s="39"/>
      <c r="F481" s="39">
        <v>25</v>
      </c>
      <c r="G481" s="39"/>
      <c r="H481" s="40">
        <f>SUM(Tabla1323[[#This Row],[PRIMER TRIMESTRE]:[CUARTO TRIMESTRE]])</f>
        <v>50</v>
      </c>
      <c r="I481" s="17">
        <v>169.36</v>
      </c>
      <c r="J481" s="17">
        <f t="shared" si="12"/>
        <v>8468</v>
      </c>
      <c r="K481" s="17"/>
      <c r="L481" s="16" t="s">
        <v>18</v>
      </c>
      <c r="M481" s="16" t="s">
        <v>22</v>
      </c>
      <c r="N481" s="39"/>
      <c r="O481" s="20"/>
    </row>
    <row r="482" spans="1:21" s="12" customFormat="1">
      <c r="A482" s="15" t="s">
        <v>95</v>
      </c>
      <c r="B482" s="75" t="s">
        <v>879</v>
      </c>
      <c r="C482" s="39" t="s">
        <v>17</v>
      </c>
      <c r="D482" s="39">
        <v>15</v>
      </c>
      <c r="E482" s="39"/>
      <c r="F482" s="39">
        <v>15</v>
      </c>
      <c r="G482" s="39"/>
      <c r="H482" s="40">
        <f>SUM(Tabla1323[[#This Row],[PRIMER TRIMESTRE]:[CUARTO TRIMESTRE]])</f>
        <v>30</v>
      </c>
      <c r="I482" s="17">
        <v>6948.2</v>
      </c>
      <c r="J482" s="17">
        <f>+H482*I482</f>
        <v>208446</v>
      </c>
      <c r="K482" s="17"/>
      <c r="L482" s="16" t="s">
        <v>18</v>
      </c>
      <c r="M482" s="16" t="s">
        <v>22</v>
      </c>
      <c r="N482" s="39"/>
      <c r="O482" s="20"/>
    </row>
    <row r="483" spans="1:21" s="12" customFormat="1">
      <c r="A483" s="15" t="s">
        <v>95</v>
      </c>
      <c r="B483" s="75" t="s">
        <v>880</v>
      </c>
      <c r="C483" s="39" t="s">
        <v>17</v>
      </c>
      <c r="D483" s="39">
        <v>40</v>
      </c>
      <c r="E483" s="39"/>
      <c r="F483" s="39">
        <v>40</v>
      </c>
      <c r="G483" s="39"/>
      <c r="H483" s="40">
        <f>SUM(Tabla1323[[#This Row],[PRIMER TRIMESTRE]:[CUARTO TRIMESTRE]])</f>
        <v>80</v>
      </c>
      <c r="I483" s="17">
        <v>14000</v>
      </c>
      <c r="J483" s="17">
        <f>+H483*I483</f>
        <v>1120000</v>
      </c>
      <c r="K483" s="17"/>
      <c r="L483" s="16" t="s">
        <v>18</v>
      </c>
      <c r="M483" s="16" t="s">
        <v>22</v>
      </c>
      <c r="N483" s="39"/>
      <c r="O483" s="20"/>
    </row>
    <row r="484" spans="1:21" s="12" customFormat="1">
      <c r="A484" s="15" t="s">
        <v>95</v>
      </c>
      <c r="B484" s="75" t="s">
        <v>882</v>
      </c>
      <c r="C484" s="39" t="s">
        <v>17</v>
      </c>
      <c r="D484" s="39">
        <v>30</v>
      </c>
      <c r="E484" s="39"/>
      <c r="F484" s="39">
        <v>30</v>
      </c>
      <c r="G484" s="39"/>
      <c r="H484" s="40">
        <f>SUM(Tabla1323[[#This Row],[PRIMER TRIMESTRE]:[CUARTO TRIMESTRE]])</f>
        <v>60</v>
      </c>
      <c r="I484" s="17">
        <v>477.41</v>
      </c>
      <c r="J484" s="17">
        <f t="shared" si="12"/>
        <v>28644.600000000002</v>
      </c>
      <c r="K484" s="17"/>
      <c r="L484" s="16" t="s">
        <v>18</v>
      </c>
      <c r="M484" s="16" t="s">
        <v>22</v>
      </c>
      <c r="N484" s="39"/>
      <c r="O484" s="20"/>
    </row>
    <row r="485" spans="1:21" s="12" customFormat="1">
      <c r="A485" s="15" t="s">
        <v>95</v>
      </c>
      <c r="B485" s="75" t="s">
        <v>883</v>
      </c>
      <c r="C485" s="39" t="s">
        <v>17</v>
      </c>
      <c r="D485" s="39">
        <v>20</v>
      </c>
      <c r="E485" s="39"/>
      <c r="F485" s="39">
        <v>20</v>
      </c>
      <c r="G485" s="39"/>
      <c r="H485" s="40">
        <f>SUM(Tabla1323[[#This Row],[PRIMER TRIMESTRE]:[CUARTO TRIMESTRE]])</f>
        <v>40</v>
      </c>
      <c r="I485" s="17">
        <v>223.74</v>
      </c>
      <c r="J485" s="17">
        <f t="shared" si="12"/>
        <v>8949.6</v>
      </c>
      <c r="K485" s="17"/>
      <c r="L485" s="16" t="s">
        <v>18</v>
      </c>
      <c r="M485" s="16" t="s">
        <v>22</v>
      </c>
      <c r="N485" s="39"/>
      <c r="O485" s="20"/>
    </row>
    <row r="486" spans="1:21" s="12" customFormat="1" ht="25.5">
      <c r="A486" s="15" t="s">
        <v>95</v>
      </c>
      <c r="B486" s="75" t="s">
        <v>884</v>
      </c>
      <c r="C486" s="39" t="s">
        <v>17</v>
      </c>
      <c r="D486" s="39">
        <v>50</v>
      </c>
      <c r="E486" s="39"/>
      <c r="F486" s="39">
        <v>50</v>
      </c>
      <c r="G486" s="39"/>
      <c r="H486" s="40">
        <f>SUM(Tabla1323[[#This Row],[PRIMER TRIMESTRE]:[CUARTO TRIMESTRE]])</f>
        <v>100</v>
      </c>
      <c r="I486" s="17">
        <v>562.6</v>
      </c>
      <c r="J486" s="17">
        <f t="shared" si="12"/>
        <v>56260</v>
      </c>
      <c r="K486" s="17"/>
      <c r="L486" s="16" t="s">
        <v>18</v>
      </c>
      <c r="M486" s="16" t="s">
        <v>22</v>
      </c>
      <c r="N486" s="39"/>
      <c r="O486" s="20"/>
    </row>
    <row r="487" spans="1:21" s="12" customFormat="1">
      <c r="A487" s="15" t="s">
        <v>95</v>
      </c>
      <c r="B487" s="75" t="s">
        <v>885</v>
      </c>
      <c r="C487" s="39" t="s">
        <v>344</v>
      </c>
      <c r="D487" s="39">
        <v>100</v>
      </c>
      <c r="E487" s="39"/>
      <c r="F487" s="39">
        <v>100</v>
      </c>
      <c r="G487" s="39"/>
      <c r="H487" s="40">
        <f>SUM(Tabla1323[[#This Row],[PRIMER TRIMESTRE]:[CUARTO TRIMESTRE]])</f>
        <v>200</v>
      </c>
      <c r="I487" s="17">
        <v>572</v>
      </c>
      <c r="J487" s="17">
        <f t="shared" si="12"/>
        <v>114400</v>
      </c>
      <c r="K487" s="17"/>
      <c r="L487" s="16" t="s">
        <v>18</v>
      </c>
      <c r="M487" s="16" t="s">
        <v>22</v>
      </c>
      <c r="N487" s="39"/>
      <c r="O487" s="20"/>
    </row>
    <row r="488" spans="1:21" s="12" customFormat="1">
      <c r="A488" s="15" t="s">
        <v>95</v>
      </c>
      <c r="B488" s="75" t="s">
        <v>886</v>
      </c>
      <c r="C488" s="39" t="s">
        <v>344</v>
      </c>
      <c r="D488" s="39">
        <v>100</v>
      </c>
      <c r="E488" s="39"/>
      <c r="F488" s="39">
        <v>100</v>
      </c>
      <c r="G488" s="39"/>
      <c r="H488" s="40">
        <f>SUM(Tabla1323[[#This Row],[PRIMER TRIMESTRE]:[CUARTO TRIMESTRE]])</f>
        <v>200</v>
      </c>
      <c r="I488" s="17">
        <v>1216</v>
      </c>
      <c r="J488" s="17">
        <f t="shared" si="12"/>
        <v>243200</v>
      </c>
      <c r="K488" s="17"/>
      <c r="L488" s="16" t="s">
        <v>18</v>
      </c>
      <c r="M488" s="16" t="s">
        <v>22</v>
      </c>
      <c r="N488" s="39"/>
      <c r="O488" s="20"/>
    </row>
    <row r="489" spans="1:21" s="12" customFormat="1">
      <c r="A489" s="15" t="s">
        <v>95</v>
      </c>
      <c r="B489" s="75" t="s">
        <v>887</v>
      </c>
      <c r="C489" s="39" t="s">
        <v>344</v>
      </c>
      <c r="D489" s="39">
        <v>100</v>
      </c>
      <c r="E489" s="39"/>
      <c r="F489" s="39">
        <v>100</v>
      </c>
      <c r="G489" s="39"/>
      <c r="H489" s="40">
        <f>SUM(Tabla1323[[#This Row],[PRIMER TRIMESTRE]:[CUARTO TRIMESTRE]])</f>
        <v>200</v>
      </c>
      <c r="I489" s="17">
        <v>1860</v>
      </c>
      <c r="J489" s="17">
        <f t="shared" si="12"/>
        <v>372000</v>
      </c>
      <c r="K489" s="17"/>
      <c r="L489" s="16" t="s">
        <v>18</v>
      </c>
      <c r="M489" s="16" t="s">
        <v>22</v>
      </c>
      <c r="N489" s="39"/>
      <c r="O489" s="20"/>
    </row>
    <row r="490" spans="1:21" s="12" customFormat="1">
      <c r="A490" s="15" t="s">
        <v>95</v>
      </c>
      <c r="B490" s="75" t="s">
        <v>888</v>
      </c>
      <c r="C490" s="39" t="s">
        <v>344</v>
      </c>
      <c r="D490" s="39">
        <v>100</v>
      </c>
      <c r="E490" s="39"/>
      <c r="F490" s="39">
        <v>100</v>
      </c>
      <c r="G490" s="39"/>
      <c r="H490" s="40">
        <f>SUM(Tabla1323[[#This Row],[PRIMER TRIMESTRE]:[CUARTO TRIMESTRE]])</f>
        <v>200</v>
      </c>
      <c r="I490" s="17">
        <v>406</v>
      </c>
      <c r="J490" s="17">
        <f t="shared" si="12"/>
        <v>81200</v>
      </c>
      <c r="K490" s="17"/>
      <c r="L490" s="16" t="s">
        <v>18</v>
      </c>
      <c r="M490" s="16" t="s">
        <v>22</v>
      </c>
      <c r="N490" s="39"/>
      <c r="O490" s="20"/>
    </row>
    <row r="491" spans="1:21" s="26" customFormat="1" ht="44.25" customHeight="1">
      <c r="A491" s="22" t="s">
        <v>95</v>
      </c>
      <c r="B491" s="76"/>
      <c r="C491" s="42"/>
      <c r="D491" s="42"/>
      <c r="E491" s="42"/>
      <c r="F491" s="42"/>
      <c r="G491" s="42"/>
      <c r="H491" s="43"/>
      <c r="I491" s="24"/>
      <c r="J491" s="24"/>
      <c r="K491" s="25">
        <f>SUM(J470:J490)</f>
        <v>4141192.2</v>
      </c>
      <c r="L491" s="23"/>
      <c r="M491" s="23"/>
      <c r="N491" s="42"/>
      <c r="O491" s="24"/>
      <c r="R491" s="27"/>
      <c r="U491" s="23"/>
    </row>
    <row r="492" spans="1:21" s="12" customFormat="1">
      <c r="A492" s="15" t="s">
        <v>97</v>
      </c>
      <c r="B492" s="75" t="s">
        <v>227</v>
      </c>
      <c r="C492" s="39" t="s">
        <v>17</v>
      </c>
      <c r="D492" s="39"/>
      <c r="E492" s="39">
        <v>40</v>
      </c>
      <c r="F492" s="39"/>
      <c r="G492" s="39">
        <v>40</v>
      </c>
      <c r="H492" s="40">
        <f>SUM(Tabla1323[[#This Row],[PRIMER TRIMESTRE]:[CUARTO TRIMESTRE]])</f>
        <v>80</v>
      </c>
      <c r="I492" s="17">
        <v>110.2</v>
      </c>
      <c r="J492" s="17">
        <f>+Tabla1323[[#This Row],[CANTIDAD TOTAL]]*Tabla1323[[#This Row],[PRECIO UNITARIO ESTIMADO]]</f>
        <v>8816</v>
      </c>
      <c r="K492" s="17"/>
      <c r="L492" s="16" t="s">
        <v>18</v>
      </c>
      <c r="M492" s="16" t="s">
        <v>22</v>
      </c>
      <c r="N492" s="39"/>
      <c r="O492" s="20"/>
    </row>
    <row r="493" spans="1:21" s="12" customFormat="1">
      <c r="A493" s="15" t="s">
        <v>97</v>
      </c>
      <c r="B493" s="75" t="s">
        <v>228</v>
      </c>
      <c r="C493" s="39" t="s">
        <v>17</v>
      </c>
      <c r="D493" s="39"/>
      <c r="E493" s="39">
        <v>100</v>
      </c>
      <c r="F493" s="39"/>
      <c r="G493" s="39">
        <v>100</v>
      </c>
      <c r="H493" s="40">
        <f>SUM(Tabla1323[[#This Row],[PRIMER TRIMESTRE]:[CUARTO TRIMESTRE]])</f>
        <v>200</v>
      </c>
      <c r="I493" s="17">
        <v>156.5</v>
      </c>
      <c r="J493" s="17">
        <f>+Tabla1323[[#This Row],[CANTIDAD TOTAL]]*Tabla1323[[#This Row],[PRECIO UNITARIO ESTIMADO]]</f>
        <v>31300</v>
      </c>
      <c r="K493" s="17"/>
      <c r="L493" s="16" t="s">
        <v>18</v>
      </c>
      <c r="M493" s="16" t="s">
        <v>22</v>
      </c>
      <c r="N493" s="39"/>
      <c r="O493" s="20"/>
    </row>
    <row r="494" spans="1:21" s="12" customFormat="1" ht="19.5" customHeight="1">
      <c r="A494" s="15" t="s">
        <v>97</v>
      </c>
      <c r="B494" s="75" t="s">
        <v>572</v>
      </c>
      <c r="C494" s="39" t="s">
        <v>17</v>
      </c>
      <c r="D494" s="39"/>
      <c r="E494" s="39">
        <v>11</v>
      </c>
      <c r="F494" s="39"/>
      <c r="G494" s="39">
        <v>10</v>
      </c>
      <c r="H494" s="40">
        <f>SUM(Tabla1323[[#This Row],[PRIMER TRIMESTRE]:[CUARTO TRIMESTRE]])</f>
        <v>21</v>
      </c>
      <c r="I494" s="17">
        <v>14500</v>
      </c>
      <c r="J494" s="17">
        <f>+H494*I494</f>
        <v>304500</v>
      </c>
      <c r="K494" s="17"/>
      <c r="L494" s="16" t="s">
        <v>18</v>
      </c>
      <c r="M494" s="30" t="s">
        <v>22</v>
      </c>
      <c r="N494" s="44"/>
      <c r="O494" s="20"/>
    </row>
    <row r="495" spans="1:21" s="12" customFormat="1" ht="34.5" customHeight="1">
      <c r="A495" s="15" t="s">
        <v>97</v>
      </c>
      <c r="B495" s="75" t="s">
        <v>220</v>
      </c>
      <c r="C495" s="39" t="s">
        <v>17</v>
      </c>
      <c r="D495" s="39"/>
      <c r="E495" s="39">
        <v>1</v>
      </c>
      <c r="F495" s="39"/>
      <c r="G495" s="39">
        <v>1</v>
      </c>
      <c r="H495" s="40">
        <f>SUM(Tabla1323[[#This Row],[PRIMER TRIMESTRE]:[CUARTO TRIMESTRE]])</f>
        <v>2</v>
      </c>
      <c r="I495" s="17">
        <v>40165</v>
      </c>
      <c r="J495" s="17">
        <f>+Tabla1323[[#This Row],[CANTIDAD TOTAL]]*Tabla1323[[#This Row],[PRECIO UNITARIO ESTIMADO]]</f>
        <v>80330</v>
      </c>
      <c r="K495" s="17"/>
      <c r="L495" s="16" t="s">
        <v>18</v>
      </c>
      <c r="M495" s="16" t="s">
        <v>22</v>
      </c>
      <c r="N495" s="39"/>
      <c r="O495" s="20"/>
    </row>
    <row r="496" spans="1:21" s="12" customFormat="1">
      <c r="A496" s="15" t="s">
        <v>97</v>
      </c>
      <c r="B496" s="75" t="s">
        <v>213</v>
      </c>
      <c r="C496" s="39" t="s">
        <v>17</v>
      </c>
      <c r="D496" s="39"/>
      <c r="E496" s="39">
        <v>4</v>
      </c>
      <c r="F496" s="39"/>
      <c r="G496" s="39">
        <v>4</v>
      </c>
      <c r="H496" s="40">
        <f>SUM(Tabla1323[[#This Row],[PRIMER TRIMESTRE]:[CUARTO TRIMESTRE]])</f>
        <v>8</v>
      </c>
      <c r="I496" s="17">
        <v>30999.38</v>
      </c>
      <c r="J496" s="17">
        <f>+Tabla1323[[#This Row],[CANTIDAD TOTAL]]*Tabla1323[[#This Row],[PRECIO UNITARIO ESTIMADO]]</f>
        <v>247995.04</v>
      </c>
      <c r="K496" s="17"/>
      <c r="L496" s="16" t="s">
        <v>18</v>
      </c>
      <c r="M496" s="16" t="s">
        <v>22</v>
      </c>
      <c r="N496" s="39"/>
      <c r="O496" s="20"/>
    </row>
    <row r="497" spans="1:15" s="12" customFormat="1">
      <c r="A497" s="15" t="s">
        <v>97</v>
      </c>
      <c r="B497" s="75" t="s">
        <v>226</v>
      </c>
      <c r="C497" s="39" t="s">
        <v>17</v>
      </c>
      <c r="D497" s="39"/>
      <c r="E497" s="39">
        <v>3</v>
      </c>
      <c r="F497" s="39"/>
      <c r="G497" s="39">
        <v>4</v>
      </c>
      <c r="H497" s="40">
        <f>SUM(Tabla1323[[#This Row],[PRIMER TRIMESTRE]:[CUARTO TRIMESTRE]])</f>
        <v>7</v>
      </c>
      <c r="I497" s="17">
        <v>14929.2</v>
      </c>
      <c r="J497" s="17">
        <f>+Tabla1323[[#This Row],[CANTIDAD TOTAL]]*Tabla1323[[#This Row],[PRECIO UNITARIO ESTIMADO]]</f>
        <v>104504.40000000001</v>
      </c>
      <c r="K497" s="17"/>
      <c r="L497" s="16" t="s">
        <v>18</v>
      </c>
      <c r="M497" s="16" t="s">
        <v>22</v>
      </c>
      <c r="N497" s="39"/>
      <c r="O497" s="20"/>
    </row>
    <row r="498" spans="1:15" s="12" customFormat="1" ht="20.25" customHeight="1">
      <c r="A498" s="15" t="s">
        <v>97</v>
      </c>
      <c r="B498" s="75" t="s">
        <v>229</v>
      </c>
      <c r="C498" s="39" t="s">
        <v>17</v>
      </c>
      <c r="D498" s="39"/>
      <c r="E498" s="39">
        <v>30</v>
      </c>
      <c r="F498" s="39"/>
      <c r="G498" s="39">
        <v>30</v>
      </c>
      <c r="H498" s="40">
        <f>SUM(Tabla1323[[#This Row],[PRIMER TRIMESTRE]:[CUARTO TRIMESTRE]])</f>
        <v>60</v>
      </c>
      <c r="I498" s="17">
        <v>3040.44</v>
      </c>
      <c r="J498" s="17">
        <f>+Tabla1323[[#This Row],[CANTIDAD TOTAL]]*Tabla1323[[#This Row],[PRECIO UNITARIO ESTIMADO]]</f>
        <v>182426.4</v>
      </c>
      <c r="K498" s="17"/>
      <c r="L498" s="16" t="s">
        <v>18</v>
      </c>
      <c r="M498" s="16" t="s">
        <v>22</v>
      </c>
      <c r="N498" s="39"/>
      <c r="O498" s="20"/>
    </row>
    <row r="499" spans="1:15" s="12" customFormat="1" ht="34.5" customHeight="1">
      <c r="A499" s="15" t="s">
        <v>97</v>
      </c>
      <c r="B499" s="75" t="s">
        <v>772</v>
      </c>
      <c r="C499" s="39" t="s">
        <v>17</v>
      </c>
      <c r="D499" s="39">
        <v>30</v>
      </c>
      <c r="E499" s="39"/>
      <c r="F499" s="39">
        <v>30</v>
      </c>
      <c r="G499" s="39"/>
      <c r="H499" s="40">
        <f>SUM(Tabla1323[[#This Row],[PRIMER TRIMESTRE]:[CUARTO TRIMESTRE]])</f>
        <v>60</v>
      </c>
      <c r="I499" s="72">
        <v>3428.95</v>
      </c>
      <c r="J499" s="17">
        <f>+H499*I499</f>
        <v>205737</v>
      </c>
      <c r="K499" s="17"/>
      <c r="L499" s="16" t="s">
        <v>18</v>
      </c>
      <c r="M499" s="16" t="s">
        <v>22</v>
      </c>
      <c r="N499" s="39"/>
      <c r="O499" s="18"/>
    </row>
    <row r="500" spans="1:15" s="12" customFormat="1" ht="27.75" customHeight="1">
      <c r="A500" s="15" t="s">
        <v>97</v>
      </c>
      <c r="B500" s="75" t="s">
        <v>770</v>
      </c>
      <c r="C500" s="39" t="s">
        <v>17</v>
      </c>
      <c r="D500" s="39">
        <v>20</v>
      </c>
      <c r="E500" s="39"/>
      <c r="F500" s="39">
        <v>20</v>
      </c>
      <c r="G500" s="39"/>
      <c r="H500" s="40">
        <f>SUM(Tabla1323[[#This Row],[PRIMER TRIMESTRE]:[CUARTO TRIMESTRE]])</f>
        <v>40</v>
      </c>
      <c r="I500" s="17">
        <v>12528</v>
      </c>
      <c r="J500" s="17">
        <f>+Tabla1323[[#This Row],[CANTIDAD TOTAL]]*Tabla1323[[#This Row],[PRECIO UNITARIO ESTIMADO]]</f>
        <v>501120</v>
      </c>
      <c r="K500" s="17"/>
      <c r="L500" s="16" t="s">
        <v>18</v>
      </c>
      <c r="M500" s="16" t="s">
        <v>22</v>
      </c>
      <c r="N500" s="39"/>
      <c r="O500" s="20"/>
    </row>
    <row r="501" spans="1:15" s="12" customFormat="1" ht="27.75" customHeight="1">
      <c r="A501" s="15" t="s">
        <v>97</v>
      </c>
      <c r="B501" s="75" t="s">
        <v>771</v>
      </c>
      <c r="C501" s="39" t="s">
        <v>17</v>
      </c>
      <c r="D501" s="39">
        <v>15</v>
      </c>
      <c r="E501" s="39"/>
      <c r="F501" s="39">
        <v>15</v>
      </c>
      <c r="G501" s="39"/>
      <c r="H501" s="40">
        <f>SUM(Tabla1323[[#This Row],[PRIMER TRIMESTRE]:[CUARTO TRIMESTRE]])</f>
        <v>30</v>
      </c>
      <c r="I501" s="72">
        <v>42303</v>
      </c>
      <c r="J501" s="17">
        <f>+H501*I501</f>
        <v>1269090</v>
      </c>
      <c r="K501" s="17"/>
      <c r="L501" s="16" t="s">
        <v>18</v>
      </c>
      <c r="M501" s="16" t="s">
        <v>22</v>
      </c>
      <c r="N501" s="39"/>
      <c r="O501" s="18"/>
    </row>
    <row r="502" spans="1:15" s="12" customFormat="1" ht="26.25" customHeight="1">
      <c r="A502" s="15" t="s">
        <v>97</v>
      </c>
      <c r="B502" s="75" t="s">
        <v>212</v>
      </c>
      <c r="C502" s="39" t="s">
        <v>17</v>
      </c>
      <c r="D502" s="39"/>
      <c r="E502" s="39">
        <v>1</v>
      </c>
      <c r="F502" s="39"/>
      <c r="G502" s="39"/>
      <c r="H502" s="40">
        <f>SUM(Tabla1323[[#This Row],[PRIMER TRIMESTRE]:[CUARTO TRIMESTRE]])</f>
        <v>1</v>
      </c>
      <c r="I502" s="17">
        <v>280500</v>
      </c>
      <c r="J502" s="17">
        <f>+Tabla1323[[#This Row],[CANTIDAD TOTAL]]*Tabla1323[[#This Row],[PRECIO UNITARIO ESTIMADO]]</f>
        <v>280500</v>
      </c>
      <c r="K502" s="17"/>
      <c r="L502" s="16" t="s">
        <v>18</v>
      </c>
      <c r="M502" s="16" t="s">
        <v>22</v>
      </c>
      <c r="N502" s="39"/>
      <c r="O502" s="20"/>
    </row>
    <row r="503" spans="1:15" s="12" customFormat="1">
      <c r="A503" s="15" t="s">
        <v>97</v>
      </c>
      <c r="B503" s="75" t="s">
        <v>214</v>
      </c>
      <c r="C503" s="39" t="s">
        <v>17</v>
      </c>
      <c r="D503" s="39"/>
      <c r="E503" s="39">
        <v>1</v>
      </c>
      <c r="F503" s="39"/>
      <c r="G503" s="39">
        <v>1</v>
      </c>
      <c r="H503" s="40">
        <f>SUM(Tabla1323[[#This Row],[PRIMER TRIMESTRE]:[CUARTO TRIMESTRE]])</f>
        <v>2</v>
      </c>
      <c r="I503" s="17">
        <v>62762.6</v>
      </c>
      <c r="J503" s="17">
        <f>+Tabla1323[[#This Row],[CANTIDAD TOTAL]]*Tabla1323[[#This Row],[PRECIO UNITARIO ESTIMADO]]</f>
        <v>125525.2</v>
      </c>
      <c r="K503" s="17"/>
      <c r="L503" s="16" t="s">
        <v>18</v>
      </c>
      <c r="M503" s="16" t="s">
        <v>22</v>
      </c>
      <c r="N503" s="39"/>
      <c r="O503" s="20"/>
    </row>
    <row r="504" spans="1:15" s="12" customFormat="1">
      <c r="A504" s="15" t="s">
        <v>97</v>
      </c>
      <c r="B504" s="75" t="s">
        <v>215</v>
      </c>
      <c r="C504" s="39" t="s">
        <v>17</v>
      </c>
      <c r="D504" s="39"/>
      <c r="E504" s="39">
        <v>6</v>
      </c>
      <c r="F504" s="39"/>
      <c r="G504" s="39">
        <v>5</v>
      </c>
      <c r="H504" s="40">
        <f>SUM(Tabla1323[[#This Row],[PRIMER TRIMESTRE]:[CUARTO TRIMESTRE]])</f>
        <v>11</v>
      </c>
      <c r="I504" s="17">
        <v>14453.6</v>
      </c>
      <c r="J504" s="17">
        <f>+Tabla1323[[#This Row],[CANTIDAD TOTAL]]*Tabla1323[[#This Row],[PRECIO UNITARIO ESTIMADO]]</f>
        <v>158989.6</v>
      </c>
      <c r="K504" s="17"/>
      <c r="L504" s="16" t="s">
        <v>18</v>
      </c>
      <c r="M504" s="16" t="s">
        <v>22</v>
      </c>
      <c r="N504" s="39"/>
      <c r="O504" s="20"/>
    </row>
    <row r="505" spans="1:15" s="12" customFormat="1">
      <c r="A505" s="15" t="s">
        <v>97</v>
      </c>
      <c r="B505" s="75" t="s">
        <v>216</v>
      </c>
      <c r="C505" s="39" t="s">
        <v>17</v>
      </c>
      <c r="D505" s="39"/>
      <c r="E505" s="39">
        <v>1</v>
      </c>
      <c r="F505" s="39"/>
      <c r="G505" s="39"/>
      <c r="H505" s="40">
        <f>SUM(Tabla1323[[#This Row],[PRIMER TRIMESTRE]:[CUARTO TRIMESTRE]])</f>
        <v>1</v>
      </c>
      <c r="I505" s="17">
        <v>58701.8</v>
      </c>
      <c r="J505" s="17">
        <f>+Tabla1323[[#This Row],[CANTIDAD TOTAL]]*Tabla1323[[#This Row],[PRECIO UNITARIO ESTIMADO]]</f>
        <v>58701.8</v>
      </c>
      <c r="K505" s="17"/>
      <c r="L505" s="16" t="s">
        <v>18</v>
      </c>
      <c r="M505" s="16" t="s">
        <v>22</v>
      </c>
      <c r="N505" s="39"/>
      <c r="O505" s="20"/>
    </row>
    <row r="506" spans="1:15" s="12" customFormat="1" ht="34.5" customHeight="1">
      <c r="A506" s="15" t="s">
        <v>97</v>
      </c>
      <c r="B506" s="75" t="s">
        <v>217</v>
      </c>
      <c r="C506" s="39" t="s">
        <v>17</v>
      </c>
      <c r="D506" s="39"/>
      <c r="E506" s="39">
        <v>1</v>
      </c>
      <c r="F506" s="39"/>
      <c r="G506" s="39">
        <v>1</v>
      </c>
      <c r="H506" s="40">
        <f>SUM(Tabla1323[[#This Row],[PRIMER TRIMESTRE]:[CUARTO TRIMESTRE]])</f>
        <v>2</v>
      </c>
      <c r="I506" s="17">
        <v>36540</v>
      </c>
      <c r="J506" s="17">
        <f>+Tabla1323[[#This Row],[CANTIDAD TOTAL]]*Tabla1323[[#This Row],[PRECIO UNITARIO ESTIMADO]]</f>
        <v>73080</v>
      </c>
      <c r="K506" s="17"/>
      <c r="L506" s="16" t="s">
        <v>18</v>
      </c>
      <c r="M506" s="16" t="s">
        <v>22</v>
      </c>
      <c r="N506" s="39"/>
      <c r="O506" s="20"/>
    </row>
    <row r="507" spans="1:15" s="12" customFormat="1" ht="34.5" customHeight="1">
      <c r="A507" s="15" t="s">
        <v>97</v>
      </c>
      <c r="B507" s="75" t="s">
        <v>218</v>
      </c>
      <c r="C507" s="39" t="s">
        <v>17</v>
      </c>
      <c r="D507" s="39"/>
      <c r="E507" s="39">
        <v>1</v>
      </c>
      <c r="F507" s="39"/>
      <c r="G507" s="39"/>
      <c r="H507" s="40">
        <f>SUM(Tabla1323[[#This Row],[PRIMER TRIMESTRE]:[CUARTO TRIMESTRE]])</f>
        <v>1</v>
      </c>
      <c r="I507" s="17">
        <v>60262</v>
      </c>
      <c r="J507" s="17">
        <f>+Tabla1323[[#This Row],[CANTIDAD TOTAL]]*Tabla1323[[#This Row],[PRECIO UNITARIO ESTIMADO]]</f>
        <v>60262</v>
      </c>
      <c r="K507" s="17"/>
      <c r="L507" s="16" t="s">
        <v>18</v>
      </c>
      <c r="M507" s="16" t="s">
        <v>22</v>
      </c>
      <c r="N507" s="39"/>
      <c r="O507" s="20"/>
    </row>
    <row r="508" spans="1:15" s="12" customFormat="1" ht="34.5" customHeight="1">
      <c r="A508" s="15" t="s">
        <v>97</v>
      </c>
      <c r="B508" s="75" t="s">
        <v>219</v>
      </c>
      <c r="C508" s="39" t="s">
        <v>17</v>
      </c>
      <c r="D508" s="39"/>
      <c r="E508" s="39">
        <v>1</v>
      </c>
      <c r="F508" s="39"/>
      <c r="G508" s="39">
        <v>2</v>
      </c>
      <c r="H508" s="40">
        <f>SUM(Tabla1323[[#This Row],[PRIMER TRIMESTRE]:[CUARTO TRIMESTRE]])</f>
        <v>3</v>
      </c>
      <c r="I508" s="17">
        <v>59757.4</v>
      </c>
      <c r="J508" s="17">
        <f>+Tabla1323[[#This Row],[CANTIDAD TOTAL]]*Tabla1323[[#This Row],[PRECIO UNITARIO ESTIMADO]]</f>
        <v>179272.2</v>
      </c>
      <c r="K508" s="17"/>
      <c r="L508" s="16" t="s">
        <v>18</v>
      </c>
      <c r="M508" s="16" t="s">
        <v>22</v>
      </c>
      <c r="N508" s="39"/>
      <c r="O508" s="20"/>
    </row>
    <row r="509" spans="1:15" s="12" customFormat="1" ht="34.5" customHeight="1">
      <c r="A509" s="15" t="s">
        <v>97</v>
      </c>
      <c r="B509" s="75" t="s">
        <v>317</v>
      </c>
      <c r="C509" s="44" t="s">
        <v>17</v>
      </c>
      <c r="D509" s="39"/>
      <c r="E509" s="39">
        <v>2</v>
      </c>
      <c r="F509" s="39"/>
      <c r="G509" s="39">
        <v>2</v>
      </c>
      <c r="H509" s="40">
        <f>SUM(Tabla1323[[#This Row],[PRIMER TRIMESTRE]:[CUARTO TRIMESTRE]])</f>
        <v>4</v>
      </c>
      <c r="I509" s="17">
        <f>1252664.4/5</f>
        <v>250532.87999999998</v>
      </c>
      <c r="J509" s="17">
        <f>+Tabla1323[[#This Row],[CANTIDAD TOTAL]]*Tabla1323[[#This Row],[PRECIO UNITARIO ESTIMADO]]</f>
        <v>1002131.5199999999</v>
      </c>
      <c r="K509" s="17"/>
      <c r="L509" s="16" t="s">
        <v>18</v>
      </c>
      <c r="M509" s="30" t="s">
        <v>22</v>
      </c>
      <c r="N509" s="44"/>
      <c r="O509" s="20"/>
    </row>
    <row r="510" spans="1:15" s="12" customFormat="1" ht="34.5" customHeight="1">
      <c r="A510" s="15" t="s">
        <v>97</v>
      </c>
      <c r="B510" s="75" t="s">
        <v>221</v>
      </c>
      <c r="C510" s="39" t="s">
        <v>17</v>
      </c>
      <c r="D510" s="39"/>
      <c r="E510" s="39">
        <v>1</v>
      </c>
      <c r="F510" s="39"/>
      <c r="G510" s="39">
        <v>1</v>
      </c>
      <c r="H510" s="40">
        <f>SUM(Tabla1323[[#This Row],[PRIMER TRIMESTRE]:[CUARTO TRIMESTRE]])</f>
        <v>2</v>
      </c>
      <c r="I510" s="17">
        <v>100060.44</v>
      </c>
      <c r="J510" s="17">
        <f>+Tabla1323[[#This Row],[CANTIDAD TOTAL]]*Tabla1323[[#This Row],[PRECIO UNITARIO ESTIMADO]]</f>
        <v>200120.88</v>
      </c>
      <c r="K510" s="17"/>
      <c r="L510" s="16" t="s">
        <v>18</v>
      </c>
      <c r="M510" s="16" t="s">
        <v>22</v>
      </c>
      <c r="N510" s="39"/>
      <c r="O510" s="20"/>
    </row>
    <row r="511" spans="1:15" s="12" customFormat="1" ht="34.5" customHeight="1">
      <c r="A511" s="15" t="s">
        <v>97</v>
      </c>
      <c r="B511" s="75" t="s">
        <v>222</v>
      </c>
      <c r="C511" s="39" t="s">
        <v>17</v>
      </c>
      <c r="D511" s="39"/>
      <c r="E511" s="39">
        <v>1</v>
      </c>
      <c r="F511" s="39"/>
      <c r="G511" s="39">
        <v>2</v>
      </c>
      <c r="H511" s="40">
        <f>SUM(Tabla1323[[#This Row],[PRIMER TRIMESTRE]:[CUARTO TRIMESTRE]])</f>
        <v>3</v>
      </c>
      <c r="I511" s="17">
        <v>327948.84999999998</v>
      </c>
      <c r="J511" s="17">
        <f>+Tabla1323[[#This Row],[CANTIDAD TOTAL]]*Tabla1323[[#This Row],[PRECIO UNITARIO ESTIMADO]]</f>
        <v>983846.54999999993</v>
      </c>
      <c r="K511" s="17"/>
      <c r="L511" s="16" t="s">
        <v>18</v>
      </c>
      <c r="M511" s="16" t="s">
        <v>22</v>
      </c>
      <c r="N511" s="39"/>
      <c r="O511" s="20"/>
    </row>
    <row r="512" spans="1:15" s="12" customFormat="1" ht="34.5" customHeight="1">
      <c r="A512" s="15" t="s">
        <v>97</v>
      </c>
      <c r="B512" s="75" t="s">
        <v>223</v>
      </c>
      <c r="C512" s="39" t="s">
        <v>17</v>
      </c>
      <c r="D512" s="39"/>
      <c r="E512" s="39">
        <v>1</v>
      </c>
      <c r="F512" s="39"/>
      <c r="G512" s="39">
        <v>3</v>
      </c>
      <c r="H512" s="40">
        <f>SUM(Tabla1323[[#This Row],[PRIMER TRIMESTRE]:[CUARTO TRIMESTRE]])</f>
        <v>4</v>
      </c>
      <c r="I512" s="17">
        <v>16744.599999999999</v>
      </c>
      <c r="J512" s="17">
        <f>+Tabla1323[[#This Row],[CANTIDAD TOTAL]]*Tabla1323[[#This Row],[PRECIO UNITARIO ESTIMADO]]</f>
        <v>66978.399999999994</v>
      </c>
      <c r="K512" s="17"/>
      <c r="L512" s="16" t="s">
        <v>18</v>
      </c>
      <c r="M512" s="16" t="s">
        <v>22</v>
      </c>
      <c r="N512" s="39"/>
      <c r="O512" s="20"/>
    </row>
    <row r="513" spans="1:21" s="12" customFormat="1" ht="34.5" customHeight="1">
      <c r="A513" s="15" t="s">
        <v>97</v>
      </c>
      <c r="B513" s="75" t="s">
        <v>224</v>
      </c>
      <c r="C513" s="39" t="s">
        <v>17</v>
      </c>
      <c r="D513" s="39"/>
      <c r="E513" s="39">
        <v>1</v>
      </c>
      <c r="F513" s="39"/>
      <c r="G513" s="39"/>
      <c r="H513" s="40">
        <f>SUM(Tabla1323[[#This Row],[PRIMER TRIMESTRE]:[CUARTO TRIMESTRE]])</f>
        <v>1</v>
      </c>
      <c r="I513" s="17">
        <v>52380.2</v>
      </c>
      <c r="J513" s="17">
        <f>+Tabla1323[[#This Row],[CANTIDAD TOTAL]]*Tabla1323[[#This Row],[PRECIO UNITARIO ESTIMADO]]</f>
        <v>52380.2</v>
      </c>
      <c r="K513" s="17"/>
      <c r="L513" s="16" t="s">
        <v>18</v>
      </c>
      <c r="M513" s="16" t="s">
        <v>22</v>
      </c>
      <c r="N513" s="39"/>
      <c r="O513" s="20"/>
    </row>
    <row r="514" spans="1:21" s="12" customFormat="1">
      <c r="A514" s="15" t="s">
        <v>97</v>
      </c>
      <c r="B514" s="75" t="s">
        <v>225</v>
      </c>
      <c r="C514" s="39" t="s">
        <v>17</v>
      </c>
      <c r="D514" s="39"/>
      <c r="E514" s="39">
        <v>1</v>
      </c>
      <c r="F514" s="39"/>
      <c r="G514" s="39"/>
      <c r="H514" s="40">
        <f>SUM(Tabla1323[[#This Row],[PRIMER TRIMESTRE]:[CUARTO TRIMESTRE]])</f>
        <v>1</v>
      </c>
      <c r="I514" s="17">
        <v>99342.399999999994</v>
      </c>
      <c r="J514" s="17">
        <f>+Tabla1323[[#This Row],[CANTIDAD TOTAL]]*Tabla1323[[#This Row],[PRECIO UNITARIO ESTIMADO]]</f>
        <v>99342.399999999994</v>
      </c>
      <c r="K514" s="17"/>
      <c r="L514" s="16" t="s">
        <v>18</v>
      </c>
      <c r="M514" s="16" t="s">
        <v>22</v>
      </c>
      <c r="N514" s="39"/>
      <c r="O514" s="20"/>
    </row>
    <row r="515" spans="1:21" s="26" customFormat="1" ht="55.5" customHeight="1">
      <c r="A515" s="22" t="s">
        <v>97</v>
      </c>
      <c r="B515" s="76"/>
      <c r="C515" s="42"/>
      <c r="D515" s="42"/>
      <c r="E515" s="42"/>
      <c r="F515" s="42"/>
      <c r="G515" s="42"/>
      <c r="H515" s="43"/>
      <c r="I515" s="24"/>
      <c r="J515" s="24"/>
      <c r="K515" s="25">
        <f>SUM(J492:J514)</f>
        <v>6276949.5900000008</v>
      </c>
      <c r="L515" s="23"/>
      <c r="M515" s="23"/>
      <c r="N515" s="42"/>
      <c r="O515" s="24"/>
      <c r="R515" s="27"/>
      <c r="U515" s="23"/>
    </row>
    <row r="516" spans="1:21" s="12" customFormat="1" ht="31.5">
      <c r="A516" s="15" t="s">
        <v>99</v>
      </c>
      <c r="B516" s="75" t="s">
        <v>306</v>
      </c>
      <c r="C516" s="44" t="s">
        <v>33</v>
      </c>
      <c r="D516" s="39"/>
      <c r="E516" s="39">
        <v>45</v>
      </c>
      <c r="F516" s="39"/>
      <c r="G516" s="39">
        <v>45</v>
      </c>
      <c r="H516" s="40">
        <f>SUM(Tabla1323[[#This Row],[PRIMER TRIMESTRE]:[CUARTO TRIMESTRE]])</f>
        <v>90</v>
      </c>
      <c r="I516" s="17">
        <v>260</v>
      </c>
      <c r="J516" s="17">
        <f>+Tabla1323[[#This Row],[CANTIDAD TOTAL]]*Tabla1323[[#This Row],[PRECIO UNITARIO ESTIMADO]]</f>
        <v>23400</v>
      </c>
      <c r="K516" s="17"/>
      <c r="L516" s="16" t="s">
        <v>15</v>
      </c>
      <c r="M516" s="16" t="s">
        <v>22</v>
      </c>
      <c r="N516" s="39" t="s">
        <v>418</v>
      </c>
      <c r="O516" s="20"/>
    </row>
    <row r="517" spans="1:21" s="12" customFormat="1" ht="31.5">
      <c r="A517" s="15" t="s">
        <v>99</v>
      </c>
      <c r="B517" s="75" t="s">
        <v>307</v>
      </c>
      <c r="C517" s="44" t="s">
        <v>308</v>
      </c>
      <c r="D517" s="39"/>
      <c r="E517" s="39">
        <v>3</v>
      </c>
      <c r="F517" s="39"/>
      <c r="G517" s="39"/>
      <c r="H517" s="40">
        <f>SUM(Tabla1323[[#This Row],[PRIMER TRIMESTRE]:[CUARTO TRIMESTRE]])</f>
        <v>3</v>
      </c>
      <c r="I517" s="17">
        <v>1237.82</v>
      </c>
      <c r="J517" s="17">
        <f>+Tabla1323[[#This Row],[CANTIDAD TOTAL]]*Tabla1323[[#This Row],[PRECIO UNITARIO ESTIMADO]]</f>
        <v>3713.46</v>
      </c>
      <c r="K517" s="17"/>
      <c r="L517" s="16" t="s">
        <v>15</v>
      </c>
      <c r="M517" s="16" t="s">
        <v>22</v>
      </c>
      <c r="N517" s="39" t="s">
        <v>418</v>
      </c>
      <c r="O517" s="20"/>
    </row>
    <row r="518" spans="1:21" s="12" customFormat="1" ht="31.5">
      <c r="A518" s="15" t="s">
        <v>99</v>
      </c>
      <c r="B518" s="75" t="s">
        <v>309</v>
      </c>
      <c r="C518" s="44" t="s">
        <v>308</v>
      </c>
      <c r="D518" s="39"/>
      <c r="E518" s="39">
        <v>3</v>
      </c>
      <c r="F518" s="39"/>
      <c r="G518" s="39"/>
      <c r="H518" s="40">
        <f>SUM(Tabla1323[[#This Row],[PRIMER TRIMESTRE]:[CUARTO TRIMESTRE]])</f>
        <v>3</v>
      </c>
      <c r="I518" s="17">
        <v>1770</v>
      </c>
      <c r="J518" s="17">
        <f>+Tabla1323[[#This Row],[CANTIDAD TOTAL]]*Tabla1323[[#This Row],[PRECIO UNITARIO ESTIMADO]]</f>
        <v>5310</v>
      </c>
      <c r="K518" s="17"/>
      <c r="L518" s="16" t="s">
        <v>15</v>
      </c>
      <c r="M518" s="30" t="s">
        <v>22</v>
      </c>
      <c r="N518" s="39" t="s">
        <v>418</v>
      </c>
      <c r="O518" s="20"/>
    </row>
    <row r="519" spans="1:21" s="12" customFormat="1" ht="31.5">
      <c r="A519" s="15" t="s">
        <v>99</v>
      </c>
      <c r="B519" s="75" t="s">
        <v>230</v>
      </c>
      <c r="C519" s="39" t="s">
        <v>17</v>
      </c>
      <c r="D519" s="39"/>
      <c r="E519" s="39">
        <v>6</v>
      </c>
      <c r="F519" s="39"/>
      <c r="G519" s="39">
        <v>5</v>
      </c>
      <c r="H519" s="40">
        <f>SUM(Tabla1323[[#This Row],[PRIMER TRIMESTRE]:[CUARTO TRIMESTRE]])</f>
        <v>11</v>
      </c>
      <c r="I519" s="17">
        <v>1740</v>
      </c>
      <c r="J519" s="17">
        <f>+Tabla1323[[#This Row],[CANTIDAD TOTAL]]*Tabla1323[[#This Row],[PRECIO UNITARIO ESTIMADO]]</f>
        <v>19140</v>
      </c>
      <c r="K519" s="17"/>
      <c r="L519" s="16" t="s">
        <v>15</v>
      </c>
      <c r="M519" s="16" t="s">
        <v>22</v>
      </c>
      <c r="N519" s="39" t="s">
        <v>418</v>
      </c>
      <c r="O519" s="20"/>
    </row>
    <row r="520" spans="1:21" s="12" customFormat="1" ht="31.5">
      <c r="A520" s="15" t="s">
        <v>99</v>
      </c>
      <c r="B520" s="75" t="s">
        <v>310</v>
      </c>
      <c r="C520" s="44" t="s">
        <v>308</v>
      </c>
      <c r="D520" s="39"/>
      <c r="E520" s="39">
        <v>1</v>
      </c>
      <c r="F520" s="39"/>
      <c r="G520" s="39"/>
      <c r="H520" s="40">
        <f>SUM(Tabla1323[[#This Row],[PRIMER TRIMESTRE]:[CUARTO TRIMESTRE]])</f>
        <v>1</v>
      </c>
      <c r="I520" s="17">
        <v>1298</v>
      </c>
      <c r="J520" s="17">
        <f>+Tabla1323[[#This Row],[CANTIDAD TOTAL]]*Tabla1323[[#This Row],[PRECIO UNITARIO ESTIMADO]]</f>
        <v>1298</v>
      </c>
      <c r="K520" s="17"/>
      <c r="L520" s="16" t="s">
        <v>15</v>
      </c>
      <c r="M520" s="30" t="s">
        <v>22</v>
      </c>
      <c r="N520" s="39" t="s">
        <v>418</v>
      </c>
      <c r="O520" s="20"/>
    </row>
    <row r="521" spans="1:21" s="12" customFormat="1" ht="31.5">
      <c r="A521" s="15" t="s">
        <v>99</v>
      </c>
      <c r="B521" s="75" t="s">
        <v>311</v>
      </c>
      <c r="C521" s="44" t="s">
        <v>312</v>
      </c>
      <c r="D521" s="39"/>
      <c r="E521" s="39">
        <v>2</v>
      </c>
      <c r="F521" s="39"/>
      <c r="G521" s="39"/>
      <c r="H521" s="40">
        <f>SUM(Tabla1323[[#This Row],[PRIMER TRIMESTRE]:[CUARTO TRIMESTRE]])</f>
        <v>2</v>
      </c>
      <c r="I521" s="17">
        <v>3418.58</v>
      </c>
      <c r="J521" s="17">
        <f>+Tabla1323[[#This Row],[CANTIDAD TOTAL]]*Tabla1323[[#This Row],[PRECIO UNITARIO ESTIMADO]]</f>
        <v>6837.16</v>
      </c>
      <c r="K521" s="17"/>
      <c r="L521" s="16" t="s">
        <v>15</v>
      </c>
      <c r="M521" s="30" t="s">
        <v>22</v>
      </c>
      <c r="N521" s="39" t="s">
        <v>418</v>
      </c>
      <c r="O521" s="20"/>
    </row>
    <row r="522" spans="1:21" s="12" customFormat="1" ht="31.5">
      <c r="A522" s="15" t="s">
        <v>99</v>
      </c>
      <c r="B522" s="75" t="s">
        <v>314</v>
      </c>
      <c r="C522" s="44" t="s">
        <v>315</v>
      </c>
      <c r="D522" s="39"/>
      <c r="E522" s="39">
        <v>1</v>
      </c>
      <c r="F522" s="39"/>
      <c r="G522" s="39"/>
      <c r="H522" s="40">
        <f>SUM(Tabla1323[[#This Row],[PRIMER TRIMESTRE]:[CUARTO TRIMESTRE]])</f>
        <v>1</v>
      </c>
      <c r="I522" s="17">
        <v>1569.4</v>
      </c>
      <c r="J522" s="17">
        <f>+Tabla1323[[#This Row],[CANTIDAD TOTAL]]*Tabla1323[[#This Row],[PRECIO UNITARIO ESTIMADO]]</f>
        <v>1569.4</v>
      </c>
      <c r="K522" s="17"/>
      <c r="L522" s="16" t="s">
        <v>15</v>
      </c>
      <c r="M522" s="30" t="s">
        <v>22</v>
      </c>
      <c r="N522" s="39" t="s">
        <v>418</v>
      </c>
      <c r="O522" s="20"/>
    </row>
    <row r="523" spans="1:21" s="12" customFormat="1" ht="31.5">
      <c r="A523" s="15" t="s">
        <v>99</v>
      </c>
      <c r="B523" s="75" t="s">
        <v>313</v>
      </c>
      <c r="C523" s="44" t="s">
        <v>308</v>
      </c>
      <c r="D523" s="39"/>
      <c r="E523" s="39">
        <v>2</v>
      </c>
      <c r="F523" s="39"/>
      <c r="G523" s="39"/>
      <c r="H523" s="40">
        <f>SUM(Tabla1323[[#This Row],[PRIMER TRIMESTRE]:[CUARTO TRIMESTRE]])</f>
        <v>2</v>
      </c>
      <c r="I523" s="17">
        <v>3651.69</v>
      </c>
      <c r="J523" s="17">
        <f>+Tabla1323[[#This Row],[CANTIDAD TOTAL]]*Tabla1323[[#This Row],[PRECIO UNITARIO ESTIMADO]]</f>
        <v>7303.38</v>
      </c>
      <c r="K523" s="17"/>
      <c r="L523" s="16" t="s">
        <v>15</v>
      </c>
      <c r="M523" s="30" t="s">
        <v>22</v>
      </c>
      <c r="N523" s="39" t="s">
        <v>418</v>
      </c>
      <c r="O523" s="20"/>
    </row>
    <row r="524" spans="1:21" s="12" customFormat="1" ht="31.5">
      <c r="A524" s="15" t="s">
        <v>99</v>
      </c>
      <c r="B524" s="75" t="s">
        <v>231</v>
      </c>
      <c r="C524" s="39" t="s">
        <v>17</v>
      </c>
      <c r="D524" s="39"/>
      <c r="E524" s="39">
        <v>30</v>
      </c>
      <c r="F524" s="39"/>
      <c r="G524" s="39">
        <v>30</v>
      </c>
      <c r="H524" s="40">
        <f>SUM(Tabla1323[[#This Row],[PRIMER TRIMESTRE]:[CUARTO TRIMESTRE]])</f>
        <v>60</v>
      </c>
      <c r="I524" s="17">
        <v>574.20000000000005</v>
      </c>
      <c r="J524" s="17">
        <f>+Tabla1323[[#This Row],[CANTIDAD TOTAL]]*Tabla1323[[#This Row],[PRECIO UNITARIO ESTIMADO]]</f>
        <v>34452</v>
      </c>
      <c r="K524" s="17"/>
      <c r="L524" s="16" t="s">
        <v>15</v>
      </c>
      <c r="M524" s="16" t="s">
        <v>22</v>
      </c>
      <c r="N524" s="39" t="s">
        <v>418</v>
      </c>
      <c r="O524" s="20"/>
    </row>
    <row r="525" spans="1:21" s="12" customFormat="1" ht="31.5">
      <c r="A525" s="15" t="s">
        <v>99</v>
      </c>
      <c r="B525" s="75" t="s">
        <v>232</v>
      </c>
      <c r="C525" s="39" t="s">
        <v>17</v>
      </c>
      <c r="D525" s="39"/>
      <c r="E525" s="39">
        <v>15</v>
      </c>
      <c r="F525" s="39"/>
      <c r="G525" s="39">
        <v>15</v>
      </c>
      <c r="H525" s="40">
        <f>SUM(Tabla1323[[#This Row],[PRIMER TRIMESTRE]:[CUARTO TRIMESTRE]])</f>
        <v>30</v>
      </c>
      <c r="I525" s="17">
        <v>1035</v>
      </c>
      <c r="J525" s="17">
        <f>+Tabla1323[[#This Row],[CANTIDAD TOTAL]]*Tabla1323[[#This Row],[PRECIO UNITARIO ESTIMADO]]</f>
        <v>31050</v>
      </c>
      <c r="K525" s="17"/>
      <c r="L525" s="16" t="s">
        <v>15</v>
      </c>
      <c r="M525" s="16" t="s">
        <v>22</v>
      </c>
      <c r="N525" s="39" t="s">
        <v>418</v>
      </c>
      <c r="O525" s="20"/>
    </row>
    <row r="526" spans="1:21" s="26" customFormat="1" ht="27.75" customHeight="1">
      <c r="A526" s="22" t="s">
        <v>99</v>
      </c>
      <c r="B526" s="76"/>
      <c r="C526" s="42"/>
      <c r="D526" s="42"/>
      <c r="E526" s="42"/>
      <c r="F526" s="42"/>
      <c r="G526" s="42"/>
      <c r="H526" s="43"/>
      <c r="I526" s="24"/>
      <c r="J526" s="24"/>
      <c r="K526" s="25">
        <f>SUM(J516:J525)</f>
        <v>134073.4</v>
      </c>
      <c r="L526" s="23"/>
      <c r="M526" s="23"/>
      <c r="N526" s="42"/>
      <c r="O526" s="24"/>
      <c r="R526" s="27"/>
      <c r="U526" s="23"/>
    </row>
    <row r="527" spans="1:21" s="12" customFormat="1" ht="31.5">
      <c r="A527" s="15" t="s">
        <v>113</v>
      </c>
      <c r="B527" s="75" t="s">
        <v>236</v>
      </c>
      <c r="C527" s="39" t="s">
        <v>17</v>
      </c>
      <c r="D527" s="39"/>
      <c r="E527" s="39">
        <v>60</v>
      </c>
      <c r="F527" s="39"/>
      <c r="G527" s="39">
        <v>60</v>
      </c>
      <c r="H527" s="40">
        <f>SUM(Tabla1323[[#This Row],[PRIMER TRIMESTRE]:[CUARTO TRIMESTRE]])</f>
        <v>120</v>
      </c>
      <c r="I527" s="17">
        <v>806.2</v>
      </c>
      <c r="J527" s="17">
        <f>+Tabla1323[[#This Row],[CANTIDAD TOTAL]]*Tabla1323[[#This Row],[PRECIO UNITARIO ESTIMADO]]</f>
        <v>96744</v>
      </c>
      <c r="K527" s="17"/>
      <c r="L527" s="16" t="s">
        <v>15</v>
      </c>
      <c r="M527" s="16" t="s">
        <v>22</v>
      </c>
      <c r="N527" s="39" t="s">
        <v>418</v>
      </c>
      <c r="O527" s="20"/>
    </row>
    <row r="528" spans="1:21" s="12" customFormat="1" ht="31.5">
      <c r="A528" s="15" t="s">
        <v>113</v>
      </c>
      <c r="B528" s="75" t="s">
        <v>233</v>
      </c>
      <c r="C528" s="39" t="s">
        <v>234</v>
      </c>
      <c r="D528" s="39"/>
      <c r="E528" s="39">
        <v>1</v>
      </c>
      <c r="F528" s="39"/>
      <c r="G528" s="39"/>
      <c r="H528" s="40">
        <f>SUM(Tabla1323[[#This Row],[PRIMER TRIMESTRE]:[CUARTO TRIMESTRE]])</f>
        <v>1</v>
      </c>
      <c r="I528" s="17">
        <v>7099.2</v>
      </c>
      <c r="J528" s="17">
        <f>+Tabla1323[[#This Row],[CANTIDAD TOTAL]]*Tabla1323[[#This Row],[PRECIO UNITARIO ESTIMADO]]</f>
        <v>7099.2</v>
      </c>
      <c r="K528" s="17"/>
      <c r="L528" s="16" t="s">
        <v>15</v>
      </c>
      <c r="M528" s="16" t="s">
        <v>22</v>
      </c>
      <c r="N528" s="39" t="s">
        <v>418</v>
      </c>
      <c r="O528" s="20"/>
    </row>
    <row r="529" spans="1:21" s="12" customFormat="1" ht="31.5">
      <c r="A529" s="15" t="s">
        <v>113</v>
      </c>
      <c r="B529" s="75" t="s">
        <v>235</v>
      </c>
      <c r="C529" s="39" t="s">
        <v>69</v>
      </c>
      <c r="D529" s="39"/>
      <c r="E529" s="39">
        <v>100</v>
      </c>
      <c r="F529" s="39"/>
      <c r="G529" s="39">
        <v>100</v>
      </c>
      <c r="H529" s="40">
        <f>SUM(Tabla1323[[#This Row],[PRIMER TRIMESTRE]:[CUARTO TRIMESTRE]])</f>
        <v>200</v>
      </c>
      <c r="I529" s="17">
        <v>52.2</v>
      </c>
      <c r="J529" s="17">
        <f>+Tabla1323[[#This Row],[CANTIDAD TOTAL]]*Tabla1323[[#This Row],[PRECIO UNITARIO ESTIMADO]]</f>
        <v>10440</v>
      </c>
      <c r="K529" s="17"/>
      <c r="L529" s="16" t="s">
        <v>15</v>
      </c>
      <c r="M529" s="16" t="s">
        <v>22</v>
      </c>
      <c r="N529" s="39" t="s">
        <v>418</v>
      </c>
      <c r="O529" s="20"/>
    </row>
    <row r="530" spans="1:21" s="12" customFormat="1" ht="31.5">
      <c r="A530" s="15" t="s">
        <v>113</v>
      </c>
      <c r="B530" s="75" t="s">
        <v>320</v>
      </c>
      <c r="C530" s="44" t="s">
        <v>17</v>
      </c>
      <c r="D530" s="39"/>
      <c r="E530" s="39">
        <v>61</v>
      </c>
      <c r="F530" s="39"/>
      <c r="G530" s="39">
        <v>60</v>
      </c>
      <c r="H530" s="40">
        <f>SUM(Tabla1323[[#This Row],[PRIMER TRIMESTRE]:[CUARTO TRIMESTRE]])</f>
        <v>121</v>
      </c>
      <c r="I530" s="17">
        <f>41960.8/121</f>
        <v>346.7834710743802</v>
      </c>
      <c r="J530" s="17">
        <f>+Tabla1323[[#This Row],[CANTIDAD TOTAL]]*Tabla1323[[#This Row],[PRECIO UNITARIO ESTIMADO]]</f>
        <v>41960.800000000003</v>
      </c>
      <c r="K530" s="17"/>
      <c r="L530" s="16" t="s">
        <v>15</v>
      </c>
      <c r="M530" s="30" t="s">
        <v>22</v>
      </c>
      <c r="N530" s="44" t="s">
        <v>418</v>
      </c>
      <c r="O530" s="20"/>
    </row>
    <row r="531" spans="1:21" s="12" customFormat="1" ht="31.5">
      <c r="A531" s="15" t="s">
        <v>113</v>
      </c>
      <c r="B531" s="75" t="s">
        <v>237</v>
      </c>
      <c r="C531" s="39" t="s">
        <v>17</v>
      </c>
      <c r="D531" s="39"/>
      <c r="E531" s="39">
        <v>1</v>
      </c>
      <c r="F531" s="39"/>
      <c r="G531" s="39"/>
      <c r="H531" s="40">
        <f>SUM(Tabla1323[[#This Row],[PRIMER TRIMESTRE]:[CUARTO TRIMESTRE]])</f>
        <v>1</v>
      </c>
      <c r="I531" s="17">
        <v>668</v>
      </c>
      <c r="J531" s="17">
        <f>+Tabla1323[[#This Row],[CANTIDAD TOTAL]]*Tabla1323[[#This Row],[PRECIO UNITARIO ESTIMADO]]</f>
        <v>668</v>
      </c>
      <c r="K531" s="17"/>
      <c r="L531" s="16" t="s">
        <v>15</v>
      </c>
      <c r="M531" s="16" t="s">
        <v>22</v>
      </c>
      <c r="N531" s="39" t="s">
        <v>418</v>
      </c>
      <c r="O531" s="20"/>
    </row>
    <row r="532" spans="1:21" s="12" customFormat="1" ht="31.5">
      <c r="A532" s="15" t="s">
        <v>113</v>
      </c>
      <c r="B532" s="75" t="s">
        <v>238</v>
      </c>
      <c r="C532" s="39" t="s">
        <v>208</v>
      </c>
      <c r="D532" s="39"/>
      <c r="E532" s="39">
        <v>37</v>
      </c>
      <c r="F532" s="39"/>
      <c r="G532" s="39">
        <v>35</v>
      </c>
      <c r="H532" s="40">
        <f>SUM(Tabla1323[[#This Row],[PRIMER TRIMESTRE]:[CUARTO TRIMESTRE]])</f>
        <v>72</v>
      </c>
      <c r="I532" s="17">
        <v>754</v>
      </c>
      <c r="J532" s="17">
        <f>+Tabla1323[[#This Row],[CANTIDAD TOTAL]]*Tabla1323[[#This Row],[PRECIO UNITARIO ESTIMADO]]</f>
        <v>54288</v>
      </c>
      <c r="K532" s="17"/>
      <c r="L532" s="16" t="s">
        <v>15</v>
      </c>
      <c r="M532" s="16" t="s">
        <v>22</v>
      </c>
      <c r="N532" s="39" t="s">
        <v>418</v>
      </c>
      <c r="O532" s="20"/>
    </row>
    <row r="533" spans="1:21" s="26" customFormat="1" ht="27.75" customHeight="1">
      <c r="A533" s="22" t="s">
        <v>113</v>
      </c>
      <c r="B533" s="76"/>
      <c r="C533" s="42"/>
      <c r="D533" s="42"/>
      <c r="E533" s="42"/>
      <c r="F533" s="42"/>
      <c r="G533" s="42"/>
      <c r="H533" s="43"/>
      <c r="I533" s="24"/>
      <c r="J533" s="24"/>
      <c r="K533" s="25">
        <f>SUM(J527:J532)</f>
        <v>211200</v>
      </c>
      <c r="L533" s="23"/>
      <c r="M533" s="23"/>
      <c r="N533" s="42"/>
      <c r="O533" s="24"/>
      <c r="R533" s="27"/>
      <c r="U533" s="23"/>
    </row>
    <row r="534" spans="1:21" s="12" customFormat="1">
      <c r="A534" s="15" t="s">
        <v>115</v>
      </c>
      <c r="B534" s="75" t="s">
        <v>239</v>
      </c>
      <c r="C534" s="39" t="s">
        <v>208</v>
      </c>
      <c r="D534" s="39"/>
      <c r="E534" s="39">
        <v>40</v>
      </c>
      <c r="F534" s="39"/>
      <c r="G534" s="39">
        <v>35</v>
      </c>
      <c r="H534" s="40">
        <f>SUM(Tabla1323[[#This Row],[PRIMER TRIMESTRE]:[CUARTO TRIMESTRE]])</f>
        <v>75</v>
      </c>
      <c r="I534" s="72">
        <v>232</v>
      </c>
      <c r="J534" s="17">
        <f>+Tabla1323[[#This Row],[CANTIDAD TOTAL]]*Tabla1323[[#This Row],[PRECIO UNITARIO ESTIMADO]]</f>
        <v>17400</v>
      </c>
      <c r="K534" s="17"/>
      <c r="L534" s="16" t="s">
        <v>15</v>
      </c>
      <c r="M534" s="16" t="s">
        <v>22</v>
      </c>
      <c r="N534" s="39" t="s">
        <v>418</v>
      </c>
      <c r="O534" s="20"/>
    </row>
    <row r="535" spans="1:21" s="12" customFormat="1">
      <c r="A535" s="15" t="s">
        <v>115</v>
      </c>
      <c r="B535" s="75" t="s">
        <v>240</v>
      </c>
      <c r="C535" s="39" t="s">
        <v>208</v>
      </c>
      <c r="D535" s="39"/>
      <c r="E535" s="39"/>
      <c r="F535" s="39"/>
      <c r="G535" s="39">
        <v>1</v>
      </c>
      <c r="H535" s="40">
        <f>SUM(Tabla1323[[#This Row],[PRIMER TRIMESTRE]:[CUARTO TRIMESTRE]])</f>
        <v>1</v>
      </c>
      <c r="I535" s="72">
        <v>5341.57</v>
      </c>
      <c r="J535" s="17">
        <f>+Tabla1323[[#This Row],[CANTIDAD TOTAL]]*Tabla1323[[#This Row],[PRECIO UNITARIO ESTIMADO]]</f>
        <v>5341.57</v>
      </c>
      <c r="K535" s="17"/>
      <c r="L535" s="16" t="s">
        <v>15</v>
      </c>
      <c r="M535" s="16" t="s">
        <v>22</v>
      </c>
      <c r="N535" s="39" t="s">
        <v>418</v>
      </c>
      <c r="O535" s="20"/>
    </row>
    <row r="536" spans="1:21" s="12" customFormat="1">
      <c r="A536" s="15" t="s">
        <v>115</v>
      </c>
      <c r="B536" s="75" t="s">
        <v>319</v>
      </c>
      <c r="C536" s="44" t="s">
        <v>17</v>
      </c>
      <c r="D536" s="39"/>
      <c r="E536" s="39">
        <v>3</v>
      </c>
      <c r="F536" s="39"/>
      <c r="G536" s="39">
        <v>3</v>
      </c>
      <c r="H536" s="40">
        <f>SUM(Tabla1323[[#This Row],[PRIMER TRIMESTRE]:[CUARTO TRIMESTRE]])</f>
        <v>6</v>
      </c>
      <c r="I536" s="17">
        <f>544724/8</f>
        <v>68090.5</v>
      </c>
      <c r="J536" s="17">
        <f>+Tabla1323[[#This Row],[CANTIDAD TOTAL]]*Tabla1323[[#This Row],[PRECIO UNITARIO ESTIMADO]]</f>
        <v>408543</v>
      </c>
      <c r="K536" s="17"/>
      <c r="L536" s="16" t="s">
        <v>15</v>
      </c>
      <c r="M536" s="30" t="s">
        <v>22</v>
      </c>
      <c r="N536" s="44" t="s">
        <v>418</v>
      </c>
      <c r="O536" s="20"/>
    </row>
    <row r="537" spans="1:21" s="26" customFormat="1" ht="27.75" customHeight="1">
      <c r="A537" s="22" t="s">
        <v>115</v>
      </c>
      <c r="B537" s="76"/>
      <c r="C537" s="42"/>
      <c r="D537" s="42"/>
      <c r="E537" s="42"/>
      <c r="F537" s="42"/>
      <c r="G537" s="42"/>
      <c r="H537" s="43"/>
      <c r="I537" s="24"/>
      <c r="J537" s="24"/>
      <c r="K537" s="25">
        <f>SUM(J534:J536)</f>
        <v>431284.57</v>
      </c>
      <c r="L537" s="23"/>
      <c r="M537" s="23"/>
      <c r="N537" s="42"/>
      <c r="O537" s="24"/>
      <c r="R537" s="27"/>
      <c r="U537" s="23"/>
    </row>
    <row r="538" spans="1:21" s="12" customFormat="1" ht="31.5">
      <c r="A538" s="15" t="s">
        <v>118</v>
      </c>
      <c r="B538" s="75" t="s">
        <v>241</v>
      </c>
      <c r="C538" s="39" t="s">
        <v>17</v>
      </c>
      <c r="D538" s="39"/>
      <c r="E538" s="39">
        <v>15</v>
      </c>
      <c r="F538" s="39"/>
      <c r="G538" s="39">
        <v>15</v>
      </c>
      <c r="H538" s="40">
        <f>SUM(Tabla1323[[#This Row],[PRIMER TRIMESTRE]:[CUARTO TRIMESTRE]])</f>
        <v>30</v>
      </c>
      <c r="I538" s="17">
        <v>7544.8</v>
      </c>
      <c r="J538" s="17">
        <f>+Tabla1323[[#This Row],[CANTIDAD TOTAL]]*Tabla1323[[#This Row],[PRECIO UNITARIO ESTIMADO]]</f>
        <v>226344</v>
      </c>
      <c r="K538" s="17"/>
      <c r="L538" s="16" t="s">
        <v>27</v>
      </c>
      <c r="M538" s="16" t="s">
        <v>22</v>
      </c>
      <c r="N538" s="39" t="s">
        <v>418</v>
      </c>
      <c r="O538" s="20"/>
    </row>
    <row r="539" spans="1:21" s="12" customFormat="1" ht="31.5">
      <c r="A539" s="15" t="s">
        <v>118</v>
      </c>
      <c r="B539" s="75" t="s">
        <v>242</v>
      </c>
      <c r="C539" s="39" t="s">
        <v>17</v>
      </c>
      <c r="D539" s="39"/>
      <c r="E539" s="39">
        <v>6</v>
      </c>
      <c r="F539" s="39"/>
      <c r="G539" s="39">
        <v>3</v>
      </c>
      <c r="H539" s="40">
        <f>SUM(Tabla1323[[#This Row],[PRIMER TRIMESTRE]:[CUARTO TRIMESTRE]])</f>
        <v>9</v>
      </c>
      <c r="I539" s="17">
        <v>4756</v>
      </c>
      <c r="J539" s="17">
        <f>+Tabla1323[[#This Row],[CANTIDAD TOTAL]]*Tabla1323[[#This Row],[PRECIO UNITARIO ESTIMADO]]</f>
        <v>42804</v>
      </c>
      <c r="K539" s="17"/>
      <c r="L539" s="16" t="s">
        <v>27</v>
      </c>
      <c r="M539" s="16" t="s">
        <v>22</v>
      </c>
      <c r="N539" s="39" t="s">
        <v>418</v>
      </c>
      <c r="O539" s="20"/>
    </row>
    <row r="540" spans="1:21" s="12" customFormat="1" ht="31.5">
      <c r="A540" s="15" t="s">
        <v>118</v>
      </c>
      <c r="B540" s="75" t="s">
        <v>243</v>
      </c>
      <c r="C540" s="39" t="s">
        <v>17</v>
      </c>
      <c r="D540" s="39"/>
      <c r="E540" s="39">
        <v>1</v>
      </c>
      <c r="F540" s="39"/>
      <c r="G540" s="39">
        <v>3</v>
      </c>
      <c r="H540" s="40">
        <f>SUM(Tabla1323[[#This Row],[PRIMER TRIMESTRE]:[CUARTO TRIMESTRE]])</f>
        <v>4</v>
      </c>
      <c r="I540" s="17">
        <v>4610.34</v>
      </c>
      <c r="J540" s="17">
        <f>+Tabla1323[[#This Row],[CANTIDAD TOTAL]]*Tabla1323[[#This Row],[PRECIO UNITARIO ESTIMADO]]</f>
        <v>18441.36</v>
      </c>
      <c r="K540" s="17"/>
      <c r="L540" s="16" t="s">
        <v>27</v>
      </c>
      <c r="M540" s="16" t="s">
        <v>22</v>
      </c>
      <c r="N540" s="39" t="s">
        <v>418</v>
      </c>
      <c r="O540" s="20"/>
    </row>
    <row r="541" spans="1:21" s="12" customFormat="1" ht="31.5">
      <c r="A541" s="15" t="s">
        <v>118</v>
      </c>
      <c r="B541" s="75" t="s">
        <v>336</v>
      </c>
      <c r="C541" s="44" t="s">
        <v>17</v>
      </c>
      <c r="D541" s="39"/>
      <c r="E541" s="39">
        <v>1</v>
      </c>
      <c r="F541" s="39"/>
      <c r="G541" s="39"/>
      <c r="H541" s="40">
        <f>SUM(Tabla1323[[#This Row],[PRIMER TRIMESTRE]:[CUARTO TRIMESTRE]])</f>
        <v>1</v>
      </c>
      <c r="I541" s="17">
        <v>10115</v>
      </c>
      <c r="J541" s="17">
        <f>+Tabla1323[[#This Row],[CANTIDAD TOTAL]]*Tabla1323[[#This Row],[PRECIO UNITARIO ESTIMADO]]</f>
        <v>10115</v>
      </c>
      <c r="K541" s="17"/>
      <c r="L541" s="16" t="s">
        <v>27</v>
      </c>
      <c r="M541" s="30" t="s">
        <v>22</v>
      </c>
      <c r="N541" s="44" t="s">
        <v>418</v>
      </c>
      <c r="O541" s="20"/>
    </row>
    <row r="542" spans="1:21" s="12" customFormat="1" ht="31.5">
      <c r="A542" s="15" t="s">
        <v>118</v>
      </c>
      <c r="B542" s="75" t="s">
        <v>337</v>
      </c>
      <c r="C542" s="44" t="s">
        <v>17</v>
      </c>
      <c r="D542" s="39"/>
      <c r="E542" s="39">
        <v>3</v>
      </c>
      <c r="F542" s="39"/>
      <c r="G542" s="39"/>
      <c r="H542" s="40">
        <f>SUM(Tabla1323[[#This Row],[PRIMER TRIMESTRE]:[CUARTO TRIMESTRE]])</f>
        <v>3</v>
      </c>
      <c r="I542" s="17">
        <v>3225.3333333333335</v>
      </c>
      <c r="J542" s="17">
        <f>+Tabla1323[[#This Row],[CANTIDAD TOTAL]]*Tabla1323[[#This Row],[PRECIO UNITARIO ESTIMADO]]</f>
        <v>9676</v>
      </c>
      <c r="K542" s="17"/>
      <c r="L542" s="16" t="s">
        <v>27</v>
      </c>
      <c r="M542" s="30" t="s">
        <v>22</v>
      </c>
      <c r="N542" s="44" t="s">
        <v>418</v>
      </c>
      <c r="O542" s="20"/>
    </row>
    <row r="543" spans="1:21" s="12" customFormat="1" ht="31.5">
      <c r="A543" s="15" t="s">
        <v>118</v>
      </c>
      <c r="B543" s="75" t="s">
        <v>338</v>
      </c>
      <c r="C543" s="44" t="s">
        <v>17</v>
      </c>
      <c r="D543" s="39"/>
      <c r="E543" s="39">
        <v>2</v>
      </c>
      <c r="F543" s="39"/>
      <c r="G543" s="39"/>
      <c r="H543" s="40">
        <f>SUM(Tabla1323[[#This Row],[PRIMER TRIMESTRE]:[CUARTO TRIMESTRE]])</f>
        <v>2</v>
      </c>
      <c r="I543" s="17">
        <f>+(5938.35+4838)/2</f>
        <v>5388.1750000000002</v>
      </c>
      <c r="J543" s="17">
        <f>+Tabla1323[[#This Row],[CANTIDAD TOTAL]]*Tabla1323[[#This Row],[PRECIO UNITARIO ESTIMADO]]</f>
        <v>10776.35</v>
      </c>
      <c r="K543" s="17"/>
      <c r="L543" s="16" t="s">
        <v>27</v>
      </c>
      <c r="M543" s="30" t="s">
        <v>22</v>
      </c>
      <c r="N543" s="44" t="s">
        <v>418</v>
      </c>
      <c r="O543" s="20"/>
    </row>
    <row r="544" spans="1:21" s="12" customFormat="1" ht="31.5">
      <c r="A544" s="15" t="s">
        <v>118</v>
      </c>
      <c r="B544" s="75" t="s">
        <v>334</v>
      </c>
      <c r="C544" s="44" t="s">
        <v>17</v>
      </c>
      <c r="D544" s="39"/>
      <c r="E544" s="39">
        <v>1</v>
      </c>
      <c r="F544" s="39"/>
      <c r="G544" s="39"/>
      <c r="H544" s="40">
        <f>SUM(Tabla1323[[#This Row],[PRIMER TRIMESTRE]:[CUARTO TRIMESTRE]])</f>
        <v>1</v>
      </c>
      <c r="I544" s="17">
        <v>7080</v>
      </c>
      <c r="J544" s="17">
        <f>+Tabla1323[[#This Row],[CANTIDAD TOTAL]]*Tabla1323[[#This Row],[PRECIO UNITARIO ESTIMADO]]</f>
        <v>7080</v>
      </c>
      <c r="K544" s="17"/>
      <c r="L544" s="16" t="s">
        <v>27</v>
      </c>
      <c r="M544" s="30" t="s">
        <v>22</v>
      </c>
      <c r="N544" s="44" t="s">
        <v>418</v>
      </c>
      <c r="O544" s="20"/>
    </row>
    <row r="545" spans="1:21" s="12" customFormat="1" ht="31.5">
      <c r="A545" s="15" t="s">
        <v>118</v>
      </c>
      <c r="B545" s="75" t="s">
        <v>340</v>
      </c>
      <c r="C545" s="44" t="s">
        <v>17</v>
      </c>
      <c r="D545" s="39"/>
      <c r="E545" s="39">
        <v>2</v>
      </c>
      <c r="F545" s="39"/>
      <c r="G545" s="39"/>
      <c r="H545" s="40">
        <f>SUM(Tabla1323[[#This Row],[PRIMER TRIMESTRE]:[CUARTO TRIMESTRE]])</f>
        <v>2</v>
      </c>
      <c r="I545" s="17">
        <v>13684.27</v>
      </c>
      <c r="J545" s="17">
        <f>+Tabla1323[[#This Row],[CANTIDAD TOTAL]]*Tabla1323[[#This Row],[PRECIO UNITARIO ESTIMADO]]</f>
        <v>27368.54</v>
      </c>
      <c r="K545" s="17"/>
      <c r="L545" s="16" t="s">
        <v>27</v>
      </c>
      <c r="M545" s="30" t="s">
        <v>22</v>
      </c>
      <c r="N545" s="44" t="s">
        <v>418</v>
      </c>
      <c r="O545" s="20"/>
    </row>
    <row r="546" spans="1:21" s="12" customFormat="1" ht="31.5">
      <c r="A546" s="15" t="s">
        <v>118</v>
      </c>
      <c r="B546" s="75" t="s">
        <v>251</v>
      </c>
      <c r="C546" s="39" t="s">
        <v>17</v>
      </c>
      <c r="D546" s="39"/>
      <c r="E546" s="39">
        <v>20</v>
      </c>
      <c r="F546" s="39"/>
      <c r="G546" s="39">
        <v>20</v>
      </c>
      <c r="H546" s="40">
        <f>SUM(Tabla1323[[#This Row],[PRIMER TRIMESTRE]:[CUARTO TRIMESTRE]])</f>
        <v>40</v>
      </c>
      <c r="I546" s="17">
        <v>9118.43</v>
      </c>
      <c r="J546" s="17">
        <f>+Tabla1323[[#This Row],[CANTIDAD TOTAL]]*Tabla1323[[#This Row],[PRECIO UNITARIO ESTIMADO]]</f>
        <v>364737.2</v>
      </c>
      <c r="K546" s="17"/>
      <c r="L546" s="16" t="s">
        <v>27</v>
      </c>
      <c r="M546" s="16" t="s">
        <v>22</v>
      </c>
      <c r="N546" s="39" t="s">
        <v>418</v>
      </c>
      <c r="O546" s="20"/>
    </row>
    <row r="547" spans="1:21" s="12" customFormat="1" ht="31.5">
      <c r="A547" s="15" t="s">
        <v>118</v>
      </c>
      <c r="B547" s="75" t="s">
        <v>428</v>
      </c>
      <c r="C547" s="39" t="s">
        <v>17</v>
      </c>
      <c r="D547" s="39"/>
      <c r="E547" s="39">
        <v>7</v>
      </c>
      <c r="F547" s="39"/>
      <c r="G547" s="39">
        <v>7</v>
      </c>
      <c r="H547" s="40">
        <f>SUM(Tabla1323[[#This Row],[PRIMER TRIMESTRE]:[CUARTO TRIMESTRE]])</f>
        <v>14</v>
      </c>
      <c r="I547" s="17">
        <v>3074</v>
      </c>
      <c r="J547" s="17">
        <f>+Tabla1323[[#This Row],[CANTIDAD TOTAL]]*Tabla1323[[#This Row],[PRECIO UNITARIO ESTIMADO]]</f>
        <v>43036</v>
      </c>
      <c r="K547" s="17"/>
      <c r="L547" s="16" t="s">
        <v>27</v>
      </c>
      <c r="M547" s="16" t="s">
        <v>22</v>
      </c>
      <c r="N547" s="39" t="s">
        <v>418</v>
      </c>
      <c r="O547" s="20"/>
    </row>
    <row r="548" spans="1:21" s="12" customFormat="1" ht="31.5">
      <c r="A548" s="15" t="s">
        <v>118</v>
      </c>
      <c r="B548" s="75" t="s">
        <v>244</v>
      </c>
      <c r="C548" s="39" t="s">
        <v>17</v>
      </c>
      <c r="D548" s="39"/>
      <c r="E548" s="39">
        <v>2</v>
      </c>
      <c r="F548" s="39"/>
      <c r="G548" s="39">
        <v>2</v>
      </c>
      <c r="H548" s="40">
        <f>SUM(Tabla1323[[#This Row],[PRIMER TRIMESTRE]:[CUARTO TRIMESTRE]])</f>
        <v>4</v>
      </c>
      <c r="I548" s="17">
        <v>24940</v>
      </c>
      <c r="J548" s="17">
        <f>+Tabla1323[[#This Row],[CANTIDAD TOTAL]]*Tabla1323[[#This Row],[PRECIO UNITARIO ESTIMADO]]</f>
        <v>99760</v>
      </c>
      <c r="K548" s="17"/>
      <c r="L548" s="16" t="s">
        <v>27</v>
      </c>
      <c r="M548" s="16" t="s">
        <v>22</v>
      </c>
      <c r="N548" s="39" t="s">
        <v>418</v>
      </c>
      <c r="O548" s="20"/>
    </row>
    <row r="549" spans="1:21" s="12" customFormat="1" ht="31.5">
      <c r="A549" s="15" t="s">
        <v>118</v>
      </c>
      <c r="B549" s="75" t="s">
        <v>429</v>
      </c>
      <c r="C549" s="39" t="s">
        <v>17</v>
      </c>
      <c r="D549" s="39"/>
      <c r="E549" s="39">
        <v>3</v>
      </c>
      <c r="F549" s="39"/>
      <c r="G549" s="39">
        <v>3</v>
      </c>
      <c r="H549" s="40">
        <f>SUM(Tabla1323[[#This Row],[PRIMER TRIMESTRE]:[CUARTO TRIMESTRE]])</f>
        <v>6</v>
      </c>
      <c r="I549" s="17">
        <v>77185.240000000005</v>
      </c>
      <c r="J549" s="17">
        <f>+Tabla1323[[#This Row],[CANTIDAD TOTAL]]*Tabla1323[[#This Row],[PRECIO UNITARIO ESTIMADO]]</f>
        <v>463111.44000000006</v>
      </c>
      <c r="K549" s="17"/>
      <c r="L549" s="16" t="s">
        <v>27</v>
      </c>
      <c r="M549" s="16" t="s">
        <v>22</v>
      </c>
      <c r="N549" s="39" t="s">
        <v>418</v>
      </c>
      <c r="O549" s="20"/>
    </row>
    <row r="550" spans="1:21" s="12" customFormat="1" ht="31.5">
      <c r="A550" s="15" t="s">
        <v>118</v>
      </c>
      <c r="B550" s="75" t="s">
        <v>245</v>
      </c>
      <c r="C550" s="39" t="s">
        <v>17</v>
      </c>
      <c r="D550" s="39"/>
      <c r="E550" s="39">
        <v>5</v>
      </c>
      <c r="F550" s="39"/>
      <c r="G550" s="39">
        <v>5</v>
      </c>
      <c r="H550" s="40">
        <f>SUM(Tabla1323[[#This Row],[PRIMER TRIMESTRE]:[CUARTO TRIMESTRE]])</f>
        <v>10</v>
      </c>
      <c r="I550" s="17">
        <v>10788</v>
      </c>
      <c r="J550" s="17">
        <f>+Tabla1323[[#This Row],[CANTIDAD TOTAL]]*Tabla1323[[#This Row],[PRECIO UNITARIO ESTIMADO]]</f>
        <v>107880</v>
      </c>
      <c r="K550" s="17"/>
      <c r="L550" s="16" t="s">
        <v>27</v>
      </c>
      <c r="M550" s="16" t="s">
        <v>22</v>
      </c>
      <c r="N550" s="39" t="s">
        <v>418</v>
      </c>
      <c r="O550" s="20"/>
    </row>
    <row r="551" spans="1:21" s="12" customFormat="1" ht="31.5">
      <c r="A551" s="15" t="s">
        <v>118</v>
      </c>
      <c r="B551" s="75" t="s">
        <v>246</v>
      </c>
      <c r="C551" s="39" t="s">
        <v>17</v>
      </c>
      <c r="D551" s="39"/>
      <c r="E551" s="39">
        <v>15</v>
      </c>
      <c r="F551" s="39"/>
      <c r="G551" s="39">
        <v>15</v>
      </c>
      <c r="H551" s="40">
        <f>SUM(Tabla1323[[#This Row],[PRIMER TRIMESTRE]:[CUARTO TRIMESTRE]])</f>
        <v>30</v>
      </c>
      <c r="I551" s="17">
        <v>2467.71</v>
      </c>
      <c r="J551" s="17">
        <f>+Tabla1323[[#This Row],[CANTIDAD TOTAL]]*Tabla1323[[#This Row],[PRECIO UNITARIO ESTIMADO]]</f>
        <v>74031.3</v>
      </c>
      <c r="K551" s="17"/>
      <c r="L551" s="16" t="s">
        <v>27</v>
      </c>
      <c r="M551" s="16" t="s">
        <v>22</v>
      </c>
      <c r="N551" s="39" t="s">
        <v>418</v>
      </c>
      <c r="O551" s="20"/>
    </row>
    <row r="552" spans="1:21" s="12" customFormat="1" ht="31.5">
      <c r="A552" s="15" t="s">
        <v>118</v>
      </c>
      <c r="B552" s="75" t="s">
        <v>247</v>
      </c>
      <c r="C552" s="39" t="s">
        <v>17</v>
      </c>
      <c r="D552" s="39"/>
      <c r="E552" s="39">
        <v>3</v>
      </c>
      <c r="F552" s="39"/>
      <c r="G552" s="39">
        <v>3</v>
      </c>
      <c r="H552" s="40">
        <f>SUM(Tabla1323[[#This Row],[PRIMER TRIMESTRE]:[CUARTO TRIMESTRE]])</f>
        <v>6</v>
      </c>
      <c r="I552" s="17">
        <v>14434.48</v>
      </c>
      <c r="J552" s="17">
        <f>+Tabla1323[[#This Row],[CANTIDAD TOTAL]]*Tabla1323[[#This Row],[PRECIO UNITARIO ESTIMADO]]</f>
        <v>86606.88</v>
      </c>
      <c r="K552" s="17"/>
      <c r="L552" s="16" t="s">
        <v>27</v>
      </c>
      <c r="M552" s="16" t="s">
        <v>22</v>
      </c>
      <c r="N552" s="39" t="s">
        <v>418</v>
      </c>
      <c r="O552" s="20"/>
    </row>
    <row r="553" spans="1:21" s="12" customFormat="1" ht="31.5">
      <c r="A553" s="15" t="s">
        <v>118</v>
      </c>
      <c r="B553" s="75" t="s">
        <v>339</v>
      </c>
      <c r="C553" s="44" t="s">
        <v>17</v>
      </c>
      <c r="D553" s="39"/>
      <c r="E553" s="39">
        <v>10</v>
      </c>
      <c r="F553" s="39"/>
      <c r="G553" s="39">
        <v>10</v>
      </c>
      <c r="H553" s="40">
        <f>SUM(Tabla1323[[#This Row],[PRIMER TRIMESTRE]:[CUARTO TRIMESTRE]])</f>
        <v>20</v>
      </c>
      <c r="I553" s="17">
        <f>115079.5/24</f>
        <v>4794.979166666667</v>
      </c>
      <c r="J553" s="17">
        <f>+Tabla1323[[#This Row],[CANTIDAD TOTAL]]*Tabla1323[[#This Row],[PRECIO UNITARIO ESTIMADO]]</f>
        <v>95899.583333333343</v>
      </c>
      <c r="K553" s="17"/>
      <c r="L553" s="16" t="s">
        <v>27</v>
      </c>
      <c r="M553" s="30" t="s">
        <v>22</v>
      </c>
      <c r="N553" s="44" t="s">
        <v>418</v>
      </c>
      <c r="O553" s="20"/>
    </row>
    <row r="554" spans="1:21" s="12" customFormat="1" ht="31.5">
      <c r="A554" s="15" t="s">
        <v>118</v>
      </c>
      <c r="B554" s="75" t="s">
        <v>248</v>
      </c>
      <c r="C554" s="39" t="s">
        <v>17</v>
      </c>
      <c r="D554" s="39"/>
      <c r="E554" s="39">
        <v>11</v>
      </c>
      <c r="F554" s="39"/>
      <c r="G554" s="39">
        <v>11</v>
      </c>
      <c r="H554" s="40">
        <f>SUM(Tabla1323[[#This Row],[PRIMER TRIMESTRE]:[CUARTO TRIMESTRE]])</f>
        <v>22</v>
      </c>
      <c r="I554" s="17">
        <v>2262</v>
      </c>
      <c r="J554" s="17">
        <f>+Tabla1323[[#This Row],[CANTIDAD TOTAL]]*Tabla1323[[#This Row],[PRECIO UNITARIO ESTIMADO]]</f>
        <v>49764</v>
      </c>
      <c r="K554" s="17"/>
      <c r="L554" s="16" t="s">
        <v>27</v>
      </c>
      <c r="M554" s="16" t="s">
        <v>22</v>
      </c>
      <c r="N554" s="39" t="s">
        <v>418</v>
      </c>
      <c r="O554" s="20"/>
    </row>
    <row r="555" spans="1:21" s="12" customFormat="1" ht="31.5">
      <c r="A555" s="15" t="s">
        <v>118</v>
      </c>
      <c r="B555" s="75" t="s">
        <v>249</v>
      </c>
      <c r="C555" s="39" t="s">
        <v>17</v>
      </c>
      <c r="D555" s="39"/>
      <c r="E555" s="39">
        <v>65</v>
      </c>
      <c r="F555" s="39"/>
      <c r="G555" s="39">
        <v>65</v>
      </c>
      <c r="H555" s="40">
        <f>SUM(Tabla1323[[#This Row],[PRIMER TRIMESTRE]:[CUARTO TRIMESTRE]])</f>
        <v>130</v>
      </c>
      <c r="I555" s="17">
        <v>3250</v>
      </c>
      <c r="J555" s="17">
        <f>+Tabla1323[[#This Row],[CANTIDAD TOTAL]]*Tabla1323[[#This Row],[PRECIO UNITARIO ESTIMADO]]</f>
        <v>422500</v>
      </c>
      <c r="K555" s="17"/>
      <c r="L555" s="16" t="s">
        <v>27</v>
      </c>
      <c r="M555" s="16" t="s">
        <v>22</v>
      </c>
      <c r="N555" s="39" t="s">
        <v>418</v>
      </c>
      <c r="O555" s="20"/>
    </row>
    <row r="556" spans="1:21" s="12" customFormat="1" ht="31.5">
      <c r="A556" s="15" t="s">
        <v>118</v>
      </c>
      <c r="B556" s="75" t="s">
        <v>250</v>
      </c>
      <c r="C556" s="39" t="s">
        <v>17</v>
      </c>
      <c r="D556" s="39"/>
      <c r="E556" s="39">
        <v>20</v>
      </c>
      <c r="F556" s="39"/>
      <c r="G556" s="39">
        <v>20</v>
      </c>
      <c r="H556" s="40">
        <f>SUM(Tabla1323[[#This Row],[PRIMER TRIMESTRE]:[CUARTO TRIMESTRE]])</f>
        <v>40</v>
      </c>
      <c r="I556" s="17">
        <v>3959.88</v>
      </c>
      <c r="J556" s="17">
        <f>+Tabla1323[[#This Row],[CANTIDAD TOTAL]]*Tabla1323[[#This Row],[PRECIO UNITARIO ESTIMADO]]</f>
        <v>158395.20000000001</v>
      </c>
      <c r="K556" s="17"/>
      <c r="L556" s="16" t="s">
        <v>27</v>
      </c>
      <c r="M556" s="16" t="s">
        <v>22</v>
      </c>
      <c r="N556" s="39" t="s">
        <v>418</v>
      </c>
      <c r="O556" s="20"/>
    </row>
    <row r="557" spans="1:21" s="12" customFormat="1" ht="31.5">
      <c r="A557" s="15" t="s">
        <v>118</v>
      </c>
      <c r="B557" s="75" t="s">
        <v>321</v>
      </c>
      <c r="C557" s="44" t="s">
        <v>17</v>
      </c>
      <c r="D557" s="39"/>
      <c r="E557" s="39">
        <v>8</v>
      </c>
      <c r="F557" s="39"/>
      <c r="G557" s="39">
        <v>8</v>
      </c>
      <c r="H557" s="40">
        <f>SUM(Tabla1323[[#This Row],[PRIMER TRIMESTRE]:[CUARTO TRIMESTRE]])</f>
        <v>16</v>
      </c>
      <c r="I557" s="17">
        <f>31243.78/16</f>
        <v>1952.7362499999999</v>
      </c>
      <c r="J557" s="17">
        <f>+Tabla1323[[#This Row],[CANTIDAD TOTAL]]*Tabla1323[[#This Row],[PRECIO UNITARIO ESTIMADO]]</f>
        <v>31243.78</v>
      </c>
      <c r="K557" s="17"/>
      <c r="L557" s="16" t="s">
        <v>27</v>
      </c>
      <c r="M557" s="30" t="s">
        <v>22</v>
      </c>
      <c r="N557" s="44" t="s">
        <v>418</v>
      </c>
      <c r="O557" s="20"/>
    </row>
    <row r="558" spans="1:21" s="12" customFormat="1" ht="31.5">
      <c r="A558" s="15" t="s">
        <v>118</v>
      </c>
      <c r="B558" s="75" t="s">
        <v>323</v>
      </c>
      <c r="C558" s="39" t="s">
        <v>17</v>
      </c>
      <c r="D558" s="39"/>
      <c r="E558" s="39"/>
      <c r="F558" s="39"/>
      <c r="G558" s="39">
        <v>3</v>
      </c>
      <c r="H558" s="40">
        <f>SUM(Tabla1323[[#This Row],[PRIMER TRIMESTRE]:[CUARTO TRIMESTRE]])</f>
        <v>3</v>
      </c>
      <c r="I558" s="17">
        <f>16086.57/3</f>
        <v>5362.19</v>
      </c>
      <c r="J558" s="17">
        <f>+Tabla1323[[#This Row],[CANTIDAD TOTAL]]*Tabla1323[[#This Row],[PRECIO UNITARIO ESTIMADO]]</f>
        <v>16086.57</v>
      </c>
      <c r="K558" s="17"/>
      <c r="L558" s="16" t="s">
        <v>27</v>
      </c>
      <c r="M558" s="16" t="s">
        <v>22</v>
      </c>
      <c r="N558" s="39" t="s">
        <v>418</v>
      </c>
      <c r="O558" s="20"/>
    </row>
    <row r="559" spans="1:21" s="12" customFormat="1" ht="31.5">
      <c r="A559" s="15" t="s">
        <v>118</v>
      </c>
      <c r="B559" s="75" t="s">
        <v>335</v>
      </c>
      <c r="C559" s="44" t="s">
        <v>17</v>
      </c>
      <c r="D559" s="39"/>
      <c r="E559" s="39"/>
      <c r="F559" s="39"/>
      <c r="G559" s="39"/>
      <c r="H559" s="40">
        <f>SUM(Tabla1323[[#This Row],[PRIMER TRIMESTRE]:[CUARTO TRIMESTRE]])</f>
        <v>0</v>
      </c>
      <c r="I559" s="17">
        <v>28438</v>
      </c>
      <c r="J559" s="17">
        <f>+Tabla1323[[#This Row],[CANTIDAD TOTAL]]*Tabla1323[[#This Row],[PRECIO UNITARIO ESTIMADO]]</f>
        <v>0</v>
      </c>
      <c r="K559" s="17"/>
      <c r="L559" s="16" t="s">
        <v>27</v>
      </c>
      <c r="M559" s="30" t="s">
        <v>22</v>
      </c>
      <c r="N559" s="44" t="s">
        <v>418</v>
      </c>
      <c r="O559" s="20"/>
    </row>
    <row r="560" spans="1:21" s="26" customFormat="1" ht="27.75" customHeight="1">
      <c r="A560" s="22" t="s">
        <v>118</v>
      </c>
      <c r="B560" s="76"/>
      <c r="C560" s="42"/>
      <c r="D560" s="42"/>
      <c r="E560" s="42"/>
      <c r="F560" s="42"/>
      <c r="G560" s="42"/>
      <c r="H560" s="43"/>
      <c r="I560" s="24"/>
      <c r="J560" s="24"/>
      <c r="K560" s="25">
        <f>SUM(J538:J559)</f>
        <v>2365657.2033333331</v>
      </c>
      <c r="L560" s="23"/>
      <c r="M560" s="23"/>
      <c r="N560" s="42"/>
      <c r="O560" s="24"/>
      <c r="R560" s="27"/>
      <c r="U560" s="23"/>
    </row>
    <row r="561" spans="1:21" s="12" customFormat="1">
      <c r="A561" s="15" t="s">
        <v>119</v>
      </c>
      <c r="B561" s="75" t="s">
        <v>341</v>
      </c>
      <c r="C561" s="44" t="s">
        <v>17</v>
      </c>
      <c r="D561" s="39"/>
      <c r="E561" s="39"/>
      <c r="F561" s="39"/>
      <c r="G561" s="39">
        <v>1</v>
      </c>
      <c r="H561" s="40">
        <f>SUM(Tabla1323[[#This Row],[PRIMER TRIMESTRE]:[CUARTO TRIMESTRE]])</f>
        <v>1</v>
      </c>
      <c r="I561" s="17">
        <f>2160.9+22288+501.5+6355.8+18041.9+5084.64+8389.8+3050.76+2466.06+1983.5+6203.28</f>
        <v>76526.14</v>
      </c>
      <c r="J561" s="17">
        <f>+Tabla1323[[#This Row],[CANTIDAD TOTAL]]*Tabla1323[[#This Row],[PRECIO UNITARIO ESTIMADO]]</f>
        <v>76526.14</v>
      </c>
      <c r="K561" s="17"/>
      <c r="L561" s="16" t="s">
        <v>15</v>
      </c>
      <c r="M561" s="30" t="s">
        <v>22</v>
      </c>
      <c r="N561" s="44" t="s">
        <v>418</v>
      </c>
      <c r="O561" s="20"/>
    </row>
    <row r="562" spans="1:21" s="12" customFormat="1" ht="34.5" customHeight="1">
      <c r="A562" s="15" t="s">
        <v>119</v>
      </c>
      <c r="B562" s="75" t="s">
        <v>252</v>
      </c>
      <c r="C562" s="39" t="s">
        <v>17</v>
      </c>
      <c r="D562" s="39"/>
      <c r="E562" s="39">
        <v>25</v>
      </c>
      <c r="F562" s="39"/>
      <c r="G562" s="39">
        <v>25</v>
      </c>
      <c r="H562" s="40">
        <f>SUM(Tabla1323[[#This Row],[PRIMER TRIMESTRE]:[CUARTO TRIMESTRE]])</f>
        <v>50</v>
      </c>
      <c r="I562" s="17">
        <v>26.45</v>
      </c>
      <c r="J562" s="17">
        <f>+Tabla1323[[#This Row],[CANTIDAD TOTAL]]*Tabla1323[[#This Row],[PRECIO UNITARIO ESTIMADO]]</f>
        <v>1322.5</v>
      </c>
      <c r="K562" s="17"/>
      <c r="L562" s="16" t="s">
        <v>15</v>
      </c>
      <c r="M562" s="16" t="s">
        <v>22</v>
      </c>
      <c r="N562" s="39" t="s">
        <v>418</v>
      </c>
      <c r="O562" s="20"/>
    </row>
    <row r="563" spans="1:21" s="12" customFormat="1">
      <c r="A563" s="15" t="s">
        <v>119</v>
      </c>
      <c r="B563" s="75" t="s">
        <v>253</v>
      </c>
      <c r="C563" s="39" t="s">
        <v>208</v>
      </c>
      <c r="D563" s="39"/>
      <c r="E563" s="39">
        <v>25</v>
      </c>
      <c r="F563" s="39"/>
      <c r="G563" s="39">
        <v>25</v>
      </c>
      <c r="H563" s="40">
        <f>SUM(Tabla1323[[#This Row],[PRIMER TRIMESTRE]:[CUARTO TRIMESTRE]])</f>
        <v>50</v>
      </c>
      <c r="I563" s="17">
        <v>52.28</v>
      </c>
      <c r="J563" s="17">
        <f>+Tabla1323[[#This Row],[CANTIDAD TOTAL]]*Tabla1323[[#This Row],[PRECIO UNITARIO ESTIMADO]]</f>
        <v>2614</v>
      </c>
      <c r="K563" s="17"/>
      <c r="L563" s="16" t="s">
        <v>15</v>
      </c>
      <c r="M563" s="16" t="s">
        <v>22</v>
      </c>
      <c r="N563" s="39" t="s">
        <v>418</v>
      </c>
      <c r="O563" s="20"/>
    </row>
    <row r="564" spans="1:21" s="12" customFormat="1">
      <c r="A564" s="15" t="s">
        <v>119</v>
      </c>
      <c r="B564" s="75" t="s">
        <v>256</v>
      </c>
      <c r="C564" s="39" t="s">
        <v>17</v>
      </c>
      <c r="D564" s="39"/>
      <c r="E564" s="39">
        <v>70</v>
      </c>
      <c r="F564" s="39"/>
      <c r="G564" s="39">
        <v>70</v>
      </c>
      <c r="H564" s="40">
        <f>SUM(Tabla1323[[#This Row],[PRIMER TRIMESTRE]:[CUARTO TRIMESTRE]])</f>
        <v>140</v>
      </c>
      <c r="I564" s="17">
        <v>434.24</v>
      </c>
      <c r="J564" s="17">
        <f>+Tabla1323[[#This Row],[CANTIDAD TOTAL]]*Tabla1323[[#This Row],[PRECIO UNITARIO ESTIMADO]]</f>
        <v>60793.599999999999</v>
      </c>
      <c r="K564" s="17"/>
      <c r="L564" s="16" t="s">
        <v>15</v>
      </c>
      <c r="M564" s="16" t="s">
        <v>22</v>
      </c>
      <c r="N564" s="39" t="s">
        <v>418</v>
      </c>
      <c r="O564" s="20"/>
    </row>
    <row r="565" spans="1:21" s="12" customFormat="1">
      <c r="A565" s="15" t="s">
        <v>119</v>
      </c>
      <c r="B565" s="75" t="s">
        <v>324</v>
      </c>
      <c r="C565" s="39" t="s">
        <v>17</v>
      </c>
      <c r="D565" s="39"/>
      <c r="E565" s="39">
        <v>2</v>
      </c>
      <c r="F565" s="39"/>
      <c r="G565" s="39"/>
      <c r="H565" s="40">
        <f>SUM(Tabla1323[[#This Row],[PRIMER TRIMESTRE]:[CUARTO TRIMESTRE]])</f>
        <v>2</v>
      </c>
      <c r="I565" s="17">
        <f>3536.75/2</f>
        <v>1768.375</v>
      </c>
      <c r="J565" s="17">
        <f>+Tabla1323[[#This Row],[CANTIDAD TOTAL]]*Tabla1323[[#This Row],[PRECIO UNITARIO ESTIMADO]]</f>
        <v>3536.75</v>
      </c>
      <c r="K565" s="17"/>
      <c r="L565" s="16" t="s">
        <v>15</v>
      </c>
      <c r="M565" s="16" t="s">
        <v>22</v>
      </c>
      <c r="N565" s="39" t="s">
        <v>418</v>
      </c>
      <c r="O565" s="20"/>
    </row>
    <row r="566" spans="1:21" s="12" customFormat="1">
      <c r="A566" s="15" t="s">
        <v>119</v>
      </c>
      <c r="B566" s="75" t="s">
        <v>257</v>
      </c>
      <c r="C566" s="39" t="s">
        <v>17</v>
      </c>
      <c r="D566" s="39"/>
      <c r="E566" s="39">
        <v>1</v>
      </c>
      <c r="F566" s="39"/>
      <c r="G566" s="39"/>
      <c r="H566" s="40">
        <f>SUM(Tabla1323[[#This Row],[PRIMER TRIMESTRE]:[CUARTO TRIMESTRE]])</f>
        <v>1</v>
      </c>
      <c r="I566" s="17">
        <v>522</v>
      </c>
      <c r="J566" s="17">
        <f>+Tabla1323[[#This Row],[CANTIDAD TOTAL]]*Tabla1323[[#This Row],[PRECIO UNITARIO ESTIMADO]]</f>
        <v>522</v>
      </c>
      <c r="K566" s="17"/>
      <c r="L566" s="16" t="s">
        <v>15</v>
      </c>
      <c r="M566" s="16" t="s">
        <v>22</v>
      </c>
      <c r="N566" s="39" t="s">
        <v>418</v>
      </c>
      <c r="O566" s="20"/>
    </row>
    <row r="567" spans="1:21" s="12" customFormat="1">
      <c r="A567" s="15" t="s">
        <v>119</v>
      </c>
      <c r="B567" s="75" t="s">
        <v>258</v>
      </c>
      <c r="C567" s="39" t="s">
        <v>17</v>
      </c>
      <c r="D567" s="39"/>
      <c r="E567" s="39">
        <v>13</v>
      </c>
      <c r="F567" s="39"/>
      <c r="G567" s="39">
        <v>12</v>
      </c>
      <c r="H567" s="40">
        <f>SUM(Tabla1323[[#This Row],[PRIMER TRIMESTRE]:[CUARTO TRIMESTRE]])</f>
        <v>25</v>
      </c>
      <c r="I567" s="17">
        <v>1250</v>
      </c>
      <c r="J567" s="17">
        <f>+Tabla1323[[#This Row],[CANTIDAD TOTAL]]*Tabla1323[[#This Row],[PRECIO UNITARIO ESTIMADO]]</f>
        <v>31250</v>
      </c>
      <c r="K567" s="17"/>
      <c r="L567" s="16" t="s">
        <v>15</v>
      </c>
      <c r="M567" s="16" t="s">
        <v>22</v>
      </c>
      <c r="N567" s="39" t="s">
        <v>418</v>
      </c>
      <c r="O567" s="20"/>
    </row>
    <row r="568" spans="1:21" s="12" customFormat="1">
      <c r="A568" s="15" t="s">
        <v>119</v>
      </c>
      <c r="B568" s="75" t="s">
        <v>259</v>
      </c>
      <c r="C568" s="39" t="s">
        <v>17</v>
      </c>
      <c r="D568" s="39"/>
      <c r="E568" s="39">
        <v>21</v>
      </c>
      <c r="F568" s="39"/>
      <c r="G568" s="39">
        <v>21</v>
      </c>
      <c r="H568" s="40">
        <f>SUM(Tabla1323[[#This Row],[PRIMER TRIMESTRE]:[CUARTO TRIMESTRE]])</f>
        <v>42</v>
      </c>
      <c r="I568" s="17">
        <v>1245.07</v>
      </c>
      <c r="J568" s="17">
        <f>+Tabla1323[[#This Row],[CANTIDAD TOTAL]]*Tabla1323[[#This Row],[PRECIO UNITARIO ESTIMADO]]</f>
        <v>52292.939999999995</v>
      </c>
      <c r="K568" s="17"/>
      <c r="L568" s="16" t="s">
        <v>15</v>
      </c>
      <c r="M568" s="16" t="s">
        <v>22</v>
      </c>
      <c r="N568" s="39" t="s">
        <v>418</v>
      </c>
      <c r="O568" s="20"/>
    </row>
    <row r="569" spans="1:21" s="12" customFormat="1">
      <c r="A569" s="15" t="s">
        <v>119</v>
      </c>
      <c r="B569" s="75" t="s">
        <v>260</v>
      </c>
      <c r="C569" s="39" t="s">
        <v>17</v>
      </c>
      <c r="D569" s="39"/>
      <c r="E569" s="39">
        <v>20</v>
      </c>
      <c r="F569" s="39"/>
      <c r="G569" s="39">
        <v>20</v>
      </c>
      <c r="H569" s="40">
        <f>SUM(Tabla1323[[#This Row],[PRIMER TRIMESTRE]:[CUARTO TRIMESTRE]])</f>
        <v>40</v>
      </c>
      <c r="I569" s="17">
        <v>29.28</v>
      </c>
      <c r="J569" s="17">
        <f>+Tabla1323[[#This Row],[CANTIDAD TOTAL]]*Tabla1323[[#This Row],[PRECIO UNITARIO ESTIMADO]]</f>
        <v>1171.2</v>
      </c>
      <c r="K569" s="17"/>
      <c r="L569" s="16" t="s">
        <v>15</v>
      </c>
      <c r="M569" s="16" t="s">
        <v>22</v>
      </c>
      <c r="N569" s="39" t="s">
        <v>418</v>
      </c>
      <c r="O569" s="20"/>
    </row>
    <row r="570" spans="1:21" s="26" customFormat="1" ht="27.75" customHeight="1">
      <c r="A570" s="22" t="s">
        <v>119</v>
      </c>
      <c r="B570" s="76"/>
      <c r="C570" s="42"/>
      <c r="D570" s="42"/>
      <c r="E570" s="42"/>
      <c r="F570" s="42"/>
      <c r="G570" s="42"/>
      <c r="H570" s="43"/>
      <c r="I570" s="24"/>
      <c r="J570" s="24"/>
      <c r="K570" s="25">
        <f>SUM(J561:J569)</f>
        <v>230029.13</v>
      </c>
      <c r="L570" s="23"/>
      <c r="M570" s="23"/>
      <c r="N570" s="42"/>
      <c r="O570" s="24"/>
      <c r="R570" s="27"/>
      <c r="U570" s="23"/>
    </row>
    <row r="571" spans="1:21" s="12" customFormat="1" ht="30.75" customHeight="1">
      <c r="A571" s="15" t="s">
        <v>121</v>
      </c>
      <c r="B571" s="75" t="s">
        <v>273</v>
      </c>
      <c r="C571" s="39" t="s">
        <v>17</v>
      </c>
      <c r="D571" s="39"/>
      <c r="E571" s="39">
        <v>25</v>
      </c>
      <c r="F571" s="39"/>
      <c r="G571" s="39">
        <v>25</v>
      </c>
      <c r="H571" s="40">
        <f>SUM(Tabla1323[[#This Row],[PRIMER TRIMESTRE]:[CUARTO TRIMESTRE]])</f>
        <v>50</v>
      </c>
      <c r="I571" s="17">
        <v>5684</v>
      </c>
      <c r="J571" s="17">
        <f>+Tabla1323[[#This Row],[CANTIDAD TOTAL]]*Tabla1323[[#This Row],[PRECIO UNITARIO ESTIMADO]]</f>
        <v>284200</v>
      </c>
      <c r="K571" s="17"/>
      <c r="L571" s="16" t="s">
        <v>15</v>
      </c>
      <c r="M571" s="16" t="s">
        <v>22</v>
      </c>
      <c r="N571" s="39" t="s">
        <v>418</v>
      </c>
      <c r="O571" s="20"/>
    </row>
    <row r="572" spans="1:21" s="26" customFormat="1" ht="27.75" customHeight="1">
      <c r="A572" s="22" t="s">
        <v>121</v>
      </c>
      <c r="B572" s="76"/>
      <c r="C572" s="42"/>
      <c r="D572" s="42"/>
      <c r="E572" s="42"/>
      <c r="F572" s="42"/>
      <c r="G572" s="42"/>
      <c r="H572" s="43"/>
      <c r="I572" s="24"/>
      <c r="J572" s="24"/>
      <c r="K572" s="25">
        <f>SUM(J571)</f>
        <v>284200</v>
      </c>
      <c r="L572" s="23"/>
      <c r="M572" s="23"/>
      <c r="N572" s="42"/>
      <c r="O572" s="24"/>
      <c r="R572" s="27"/>
      <c r="U572" s="23"/>
    </row>
    <row r="573" spans="1:21" s="12" customFormat="1">
      <c r="A573" s="15" t="s">
        <v>122</v>
      </c>
      <c r="B573" s="75" t="s">
        <v>274</v>
      </c>
      <c r="C573" s="39" t="s">
        <v>17</v>
      </c>
      <c r="D573" s="39"/>
      <c r="E573" s="39">
        <v>250</v>
      </c>
      <c r="F573" s="39"/>
      <c r="G573" s="39">
        <v>250</v>
      </c>
      <c r="H573" s="40">
        <f>SUM(Tabla1323[[#This Row],[PRIMER TRIMESTRE]:[CUARTO TRIMESTRE]])</f>
        <v>500</v>
      </c>
      <c r="I573" s="17">
        <v>133.47</v>
      </c>
      <c r="J573" s="17">
        <f>+Tabla1323[[#This Row],[CANTIDAD TOTAL]]*Tabla1323[[#This Row],[PRECIO UNITARIO ESTIMADO]]</f>
        <v>66735</v>
      </c>
      <c r="K573" s="17"/>
      <c r="L573" s="16" t="s">
        <v>27</v>
      </c>
      <c r="M573" s="16" t="s">
        <v>22</v>
      </c>
      <c r="N573" s="39" t="s">
        <v>418</v>
      </c>
      <c r="O573" s="20"/>
    </row>
    <row r="574" spans="1:21" s="12" customFormat="1" ht="33" customHeight="1">
      <c r="A574" s="15" t="s">
        <v>122</v>
      </c>
      <c r="B574" s="75" t="s">
        <v>275</v>
      </c>
      <c r="C574" s="39" t="s">
        <v>17</v>
      </c>
      <c r="D574" s="39"/>
      <c r="E574" s="39">
        <v>50</v>
      </c>
      <c r="F574" s="39"/>
      <c r="G574" s="39">
        <v>50</v>
      </c>
      <c r="H574" s="40">
        <f>SUM(Tabla1323[[#This Row],[PRIMER TRIMESTRE]:[CUARTO TRIMESTRE]])</f>
        <v>100</v>
      </c>
      <c r="I574" s="17">
        <v>115.24</v>
      </c>
      <c r="J574" s="17">
        <f>+Tabla1323[[#This Row],[CANTIDAD TOTAL]]*Tabla1323[[#This Row],[PRECIO UNITARIO ESTIMADO]]</f>
        <v>11524</v>
      </c>
      <c r="K574" s="17"/>
      <c r="L574" s="16" t="s">
        <v>27</v>
      </c>
      <c r="M574" s="16" t="s">
        <v>22</v>
      </c>
      <c r="N574" s="39" t="s">
        <v>418</v>
      </c>
      <c r="O574" s="20"/>
    </row>
    <row r="575" spans="1:21" s="12" customFormat="1" ht="16.5" customHeight="1">
      <c r="A575" s="15" t="s">
        <v>122</v>
      </c>
      <c r="B575" s="75" t="s">
        <v>125</v>
      </c>
      <c r="C575" s="39" t="s">
        <v>17</v>
      </c>
      <c r="D575" s="39"/>
      <c r="E575" s="39">
        <v>35</v>
      </c>
      <c r="F575" s="39"/>
      <c r="G575" s="39">
        <v>35</v>
      </c>
      <c r="H575" s="40">
        <f>SUM(Tabla1323[[#This Row],[PRIMER TRIMESTRE]:[CUARTO TRIMESTRE]])</f>
        <v>70</v>
      </c>
      <c r="I575" s="17">
        <v>1624</v>
      </c>
      <c r="J575" s="17">
        <f>+Tabla1323[[#This Row],[CANTIDAD TOTAL]]*Tabla1323[[#This Row],[PRECIO UNITARIO ESTIMADO]]</f>
        <v>113680</v>
      </c>
      <c r="K575" s="17"/>
      <c r="L575" s="16" t="s">
        <v>27</v>
      </c>
      <c r="M575" s="16" t="s">
        <v>22</v>
      </c>
      <c r="N575" s="39" t="s">
        <v>418</v>
      </c>
      <c r="O575" s="20"/>
      <c r="R575" s="19" t="s">
        <v>126</v>
      </c>
    </row>
    <row r="576" spans="1:21" s="12" customFormat="1">
      <c r="A576" s="15" t="s">
        <v>122</v>
      </c>
      <c r="B576" s="75" t="s">
        <v>276</v>
      </c>
      <c r="C576" s="39" t="s">
        <v>17</v>
      </c>
      <c r="D576" s="39"/>
      <c r="E576" s="39">
        <v>50</v>
      </c>
      <c r="F576" s="39"/>
      <c r="G576" s="39">
        <v>50</v>
      </c>
      <c r="H576" s="40">
        <f>SUM(Tabla1323[[#This Row],[PRIMER TRIMESTRE]:[CUARTO TRIMESTRE]])</f>
        <v>100</v>
      </c>
      <c r="I576" s="17">
        <v>101.68</v>
      </c>
      <c r="J576" s="17">
        <f>+Tabla1323[[#This Row],[CANTIDAD TOTAL]]*Tabla1323[[#This Row],[PRECIO UNITARIO ESTIMADO]]</f>
        <v>10168</v>
      </c>
      <c r="K576" s="17"/>
      <c r="L576" s="16" t="s">
        <v>27</v>
      </c>
      <c r="M576" s="16" t="s">
        <v>22</v>
      </c>
      <c r="N576" s="39" t="s">
        <v>418</v>
      </c>
      <c r="O576" s="20"/>
    </row>
    <row r="577" spans="1:21" s="12" customFormat="1">
      <c r="A577" s="15" t="s">
        <v>122</v>
      </c>
      <c r="B577" s="75" t="s">
        <v>277</v>
      </c>
      <c r="C577" s="39" t="s">
        <v>17</v>
      </c>
      <c r="D577" s="39"/>
      <c r="E577" s="39">
        <v>50</v>
      </c>
      <c r="F577" s="39"/>
      <c r="G577" s="39">
        <v>50</v>
      </c>
      <c r="H577" s="40">
        <f>SUM(Tabla1323[[#This Row],[PRIMER TRIMESTRE]:[CUARTO TRIMESTRE]])</f>
        <v>100</v>
      </c>
      <c r="I577" s="17">
        <v>27.14</v>
      </c>
      <c r="J577" s="17">
        <f>+Tabla1323[[#This Row],[CANTIDAD TOTAL]]*Tabla1323[[#This Row],[PRECIO UNITARIO ESTIMADO]]</f>
        <v>2714</v>
      </c>
      <c r="K577" s="17"/>
      <c r="L577" s="16" t="s">
        <v>27</v>
      </c>
      <c r="M577" s="16" t="s">
        <v>22</v>
      </c>
      <c r="N577" s="39" t="s">
        <v>418</v>
      </c>
      <c r="O577" s="20"/>
    </row>
    <row r="578" spans="1:21" s="12" customFormat="1">
      <c r="A578" s="15" t="s">
        <v>122</v>
      </c>
      <c r="B578" s="75" t="s">
        <v>327</v>
      </c>
      <c r="C578" s="44" t="s">
        <v>102</v>
      </c>
      <c r="D578" s="39"/>
      <c r="E578" s="39">
        <v>178</v>
      </c>
      <c r="F578" s="39"/>
      <c r="G578" s="39">
        <v>175</v>
      </c>
      <c r="H578" s="40">
        <f>SUM(Tabla1323[[#This Row],[PRIMER TRIMESTRE]:[CUARTO TRIMESTRE]])</f>
        <v>353</v>
      </c>
      <c r="I578" s="17">
        <f>43660/209</f>
        <v>208.89952153110048</v>
      </c>
      <c r="J578" s="17">
        <f>+Tabla1323[[#This Row],[CANTIDAD TOTAL]]*Tabla1323[[#This Row],[PRECIO UNITARIO ESTIMADO]]</f>
        <v>73741.531100478474</v>
      </c>
      <c r="K578" s="17"/>
      <c r="L578" s="16" t="s">
        <v>27</v>
      </c>
      <c r="M578" s="30" t="s">
        <v>22</v>
      </c>
      <c r="N578" s="44" t="s">
        <v>418</v>
      </c>
      <c r="O578" s="20"/>
    </row>
    <row r="579" spans="1:21" s="12" customFormat="1">
      <c r="A579" s="15" t="s">
        <v>122</v>
      </c>
      <c r="B579" s="75" t="s">
        <v>328</v>
      </c>
      <c r="C579" s="44" t="s">
        <v>17</v>
      </c>
      <c r="D579" s="39"/>
      <c r="E579" s="39">
        <v>1</v>
      </c>
      <c r="F579" s="39"/>
      <c r="G579" s="39">
        <v>1</v>
      </c>
      <c r="H579" s="40">
        <f>SUM(Tabla1323[[#This Row],[PRIMER TRIMESTRE]:[CUARTO TRIMESTRE]])</f>
        <v>2</v>
      </c>
      <c r="I579" s="17">
        <v>12626</v>
      </c>
      <c r="J579" s="17">
        <f>+Tabla1323[[#This Row],[CANTIDAD TOTAL]]*Tabla1323[[#This Row],[PRECIO UNITARIO ESTIMADO]]</f>
        <v>25252</v>
      </c>
      <c r="K579" s="17"/>
      <c r="L579" s="16" t="s">
        <v>27</v>
      </c>
      <c r="M579" s="30" t="s">
        <v>22</v>
      </c>
      <c r="N579" s="44" t="s">
        <v>418</v>
      </c>
      <c r="O579" s="20"/>
    </row>
    <row r="580" spans="1:21" s="12" customFormat="1">
      <c r="A580" s="15" t="s">
        <v>122</v>
      </c>
      <c r="B580" s="75" t="s">
        <v>329</v>
      </c>
      <c r="C580" s="44" t="s">
        <v>17</v>
      </c>
      <c r="D580" s="39"/>
      <c r="E580" s="39">
        <v>35</v>
      </c>
      <c r="F580" s="39"/>
      <c r="G580" s="39">
        <v>35</v>
      </c>
      <c r="H580" s="40">
        <f>SUM(Tabla1323[[#This Row],[PRIMER TRIMESTRE]:[CUARTO TRIMESTRE]])</f>
        <v>70</v>
      </c>
      <c r="I580" s="17">
        <f>1382216.68/118</f>
        <v>11713.700677966101</v>
      </c>
      <c r="J580" s="17">
        <f>+Tabla1323[[#This Row],[CANTIDAD TOTAL]]*Tabla1323[[#This Row],[PRECIO UNITARIO ESTIMADO]]</f>
        <v>819959.04745762702</v>
      </c>
      <c r="K580" s="17"/>
      <c r="L580" s="16" t="s">
        <v>27</v>
      </c>
      <c r="M580" s="30" t="s">
        <v>22</v>
      </c>
      <c r="N580" s="44" t="s">
        <v>418</v>
      </c>
      <c r="O580" s="20"/>
    </row>
    <row r="581" spans="1:21" s="12" customFormat="1">
      <c r="A581" s="15" t="s">
        <v>122</v>
      </c>
      <c r="B581" s="75" t="s">
        <v>330</v>
      </c>
      <c r="C581" s="44" t="s">
        <v>17</v>
      </c>
      <c r="D581" s="39"/>
      <c r="E581" s="39">
        <v>63</v>
      </c>
      <c r="F581" s="39"/>
      <c r="G581" s="39">
        <v>63</v>
      </c>
      <c r="H581" s="40">
        <f>SUM(Tabla1323[[#This Row],[PRIMER TRIMESTRE]:[CUARTO TRIMESTRE]])</f>
        <v>126</v>
      </c>
      <c r="I581" s="17">
        <v>413</v>
      </c>
      <c r="J581" s="17">
        <f>+Tabla1323[[#This Row],[CANTIDAD TOTAL]]*Tabla1323[[#This Row],[PRECIO UNITARIO ESTIMADO]]</f>
        <v>52038</v>
      </c>
      <c r="K581" s="17"/>
      <c r="L581" s="16" t="s">
        <v>27</v>
      </c>
      <c r="M581" s="30" t="s">
        <v>22</v>
      </c>
      <c r="N581" s="44" t="s">
        <v>418</v>
      </c>
      <c r="O581" s="20"/>
    </row>
    <row r="582" spans="1:21" s="26" customFormat="1" ht="27.75" customHeight="1">
      <c r="A582" s="22" t="s">
        <v>122</v>
      </c>
      <c r="B582" s="76"/>
      <c r="C582" s="42"/>
      <c r="D582" s="42"/>
      <c r="E582" s="42"/>
      <c r="F582" s="42"/>
      <c r="G582" s="42"/>
      <c r="H582" s="43"/>
      <c r="I582" s="24"/>
      <c r="J582" s="24"/>
      <c r="K582" s="25">
        <f>SUM(J573:J581)</f>
        <v>1175811.5785581055</v>
      </c>
      <c r="L582" s="23"/>
      <c r="M582" s="23"/>
      <c r="N582" s="42"/>
      <c r="O582" s="24"/>
      <c r="R582" s="27"/>
      <c r="U582" s="23"/>
    </row>
    <row r="583" spans="1:21" s="12" customFormat="1">
      <c r="A583" s="15" t="s">
        <v>278</v>
      </c>
      <c r="B583" s="75" t="s">
        <v>279</v>
      </c>
      <c r="C583" s="39" t="s">
        <v>17</v>
      </c>
      <c r="D583" s="39"/>
      <c r="E583" s="39">
        <v>5</v>
      </c>
      <c r="F583" s="39"/>
      <c r="G583" s="39"/>
      <c r="H583" s="40">
        <f>SUM(Tabla1323[[#This Row],[PRIMER TRIMESTRE]:[CUARTO TRIMESTRE]])</f>
        <v>5</v>
      </c>
      <c r="I583" s="17">
        <v>259.68</v>
      </c>
      <c r="J583" s="17">
        <f>+Tabla1323[[#This Row],[CANTIDAD TOTAL]]*Tabla1323[[#This Row],[PRECIO UNITARIO ESTIMADO]]</f>
        <v>1298.4000000000001</v>
      </c>
      <c r="K583" s="17"/>
      <c r="L583" s="16" t="s">
        <v>15</v>
      </c>
      <c r="M583" s="16" t="s">
        <v>22</v>
      </c>
      <c r="N583" s="39" t="s">
        <v>342</v>
      </c>
      <c r="O583" s="20"/>
    </row>
    <row r="584" spans="1:21" s="12" customFormat="1" ht="39" customHeight="1">
      <c r="A584" s="15" t="s">
        <v>278</v>
      </c>
      <c r="B584" s="75" t="s">
        <v>280</v>
      </c>
      <c r="C584" s="39" t="s">
        <v>17</v>
      </c>
      <c r="D584" s="39"/>
      <c r="E584" s="39">
        <v>100</v>
      </c>
      <c r="F584" s="39"/>
      <c r="G584" s="39">
        <v>100</v>
      </c>
      <c r="H584" s="40">
        <f>SUM(Tabla1323[[#This Row],[PRIMER TRIMESTRE]:[CUARTO TRIMESTRE]])</f>
        <v>200</v>
      </c>
      <c r="I584" s="17">
        <v>150</v>
      </c>
      <c r="J584" s="17">
        <f>+Tabla1323[[#This Row],[CANTIDAD TOTAL]]*Tabla1323[[#This Row],[PRECIO UNITARIO ESTIMADO]]</f>
        <v>30000</v>
      </c>
      <c r="K584" s="17"/>
      <c r="L584" s="16" t="s">
        <v>15</v>
      </c>
      <c r="M584" s="16" t="s">
        <v>22</v>
      </c>
      <c r="N584" s="39" t="s">
        <v>342</v>
      </c>
      <c r="O584" s="20"/>
    </row>
    <row r="585" spans="1:21" s="12" customFormat="1">
      <c r="A585" s="15" t="s">
        <v>278</v>
      </c>
      <c r="B585" s="75" t="s">
        <v>566</v>
      </c>
      <c r="C585" s="39" t="s">
        <v>17</v>
      </c>
      <c r="D585" s="39"/>
      <c r="E585" s="39">
        <v>49</v>
      </c>
      <c r="F585" s="39"/>
      <c r="G585" s="39">
        <v>40</v>
      </c>
      <c r="H585" s="40">
        <f>SUM(Tabla1323[[#This Row],[PRIMER TRIMESTRE]:[CUARTO TRIMESTRE]])</f>
        <v>89</v>
      </c>
      <c r="I585" s="17">
        <v>140</v>
      </c>
      <c r="J585" s="17">
        <f>+Tabla1323[[#This Row],[CANTIDAD TOTAL]]*Tabla1323[[#This Row],[PRECIO UNITARIO ESTIMADO]]</f>
        <v>12460</v>
      </c>
      <c r="K585" s="17"/>
      <c r="L585" s="16" t="s">
        <v>15</v>
      </c>
      <c r="M585" s="16" t="s">
        <v>22</v>
      </c>
      <c r="N585" s="39" t="s">
        <v>342</v>
      </c>
      <c r="O585" s="29"/>
    </row>
    <row r="586" spans="1:21" s="12" customFormat="1">
      <c r="A586" s="15" t="s">
        <v>278</v>
      </c>
      <c r="B586" s="75" t="s">
        <v>727</v>
      </c>
      <c r="C586" s="39" t="s">
        <v>17</v>
      </c>
      <c r="D586" s="39"/>
      <c r="E586" s="39"/>
      <c r="F586" s="39"/>
      <c r="G586" s="39">
        <v>10</v>
      </c>
      <c r="H586" s="40">
        <f>SUM(Tabla1323[[#This Row],[PRIMER TRIMESTRE]:[CUARTO TRIMESTRE]])</f>
        <v>10</v>
      </c>
      <c r="I586" s="17">
        <v>21895</v>
      </c>
      <c r="J586" s="17">
        <f>+H586*I586</f>
        <v>218950</v>
      </c>
      <c r="K586" s="17"/>
      <c r="L586" s="16" t="s">
        <v>15</v>
      </c>
      <c r="M586" s="16" t="s">
        <v>22</v>
      </c>
      <c r="N586" s="39" t="s">
        <v>342</v>
      </c>
      <c r="O586" s="18"/>
    </row>
    <row r="587" spans="1:21" s="26" customFormat="1" ht="27.75" customHeight="1">
      <c r="A587" s="22" t="s">
        <v>278</v>
      </c>
      <c r="B587" s="76"/>
      <c r="C587" s="42"/>
      <c r="D587" s="42"/>
      <c r="E587" s="42"/>
      <c r="F587" s="42"/>
      <c r="G587" s="42"/>
      <c r="H587" s="43"/>
      <c r="I587" s="24"/>
      <c r="J587" s="24"/>
      <c r="K587" s="25">
        <f>SUM(J583:J586)</f>
        <v>262708.40000000002</v>
      </c>
      <c r="L587" s="23"/>
      <c r="M587" s="23"/>
      <c r="N587" s="42"/>
      <c r="O587" s="24"/>
      <c r="R587" s="27"/>
      <c r="U587" s="23"/>
    </row>
    <row r="588" spans="1:21" s="12" customFormat="1">
      <c r="A588" s="15" t="s">
        <v>124</v>
      </c>
      <c r="B588" s="75" t="s">
        <v>281</v>
      </c>
      <c r="C588" s="39" t="s">
        <v>102</v>
      </c>
      <c r="D588" s="39">
        <v>150</v>
      </c>
      <c r="E588" s="39"/>
      <c r="F588" s="39">
        <v>150</v>
      </c>
      <c r="G588" s="39"/>
      <c r="H588" s="40">
        <f>SUM(Tabla1323[[#This Row],[PRIMER TRIMESTRE]:[CUARTO TRIMESTRE]])</f>
        <v>300</v>
      </c>
      <c r="I588" s="17">
        <v>191.84</v>
      </c>
      <c r="J588" s="17">
        <f>+Tabla1323[[#This Row],[CANTIDAD TOTAL]]*Tabla1323[[#This Row],[PRECIO UNITARIO ESTIMADO]]</f>
        <v>57552</v>
      </c>
      <c r="K588" s="17"/>
      <c r="L588" s="16" t="s">
        <v>15</v>
      </c>
      <c r="M588" s="16" t="s">
        <v>22</v>
      </c>
      <c r="N588" s="39" t="s">
        <v>342</v>
      </c>
      <c r="O588" s="20"/>
    </row>
    <row r="589" spans="1:21" s="12" customFormat="1">
      <c r="A589" s="15" t="s">
        <v>124</v>
      </c>
      <c r="B589" s="75" t="s">
        <v>282</v>
      </c>
      <c r="C589" s="39" t="s">
        <v>69</v>
      </c>
      <c r="D589" s="39">
        <v>250</v>
      </c>
      <c r="E589" s="39"/>
      <c r="F589" s="39">
        <v>250</v>
      </c>
      <c r="G589" s="39"/>
      <c r="H589" s="40">
        <f>SUM(Tabla1323[[#This Row],[PRIMER TRIMESTRE]:[CUARTO TRIMESTRE]])</f>
        <v>500</v>
      </c>
      <c r="I589" s="17">
        <v>83.78</v>
      </c>
      <c r="J589" s="17">
        <f>+Tabla1323[[#This Row],[CANTIDAD TOTAL]]*Tabla1323[[#This Row],[PRECIO UNITARIO ESTIMADO]]</f>
        <v>41890</v>
      </c>
      <c r="K589" s="17"/>
      <c r="L589" s="16" t="s">
        <v>15</v>
      </c>
      <c r="M589" s="16" t="s">
        <v>22</v>
      </c>
      <c r="N589" s="39" t="s">
        <v>342</v>
      </c>
      <c r="O589" s="20"/>
    </row>
    <row r="590" spans="1:21" s="12" customFormat="1">
      <c r="A590" s="15" t="s">
        <v>124</v>
      </c>
      <c r="B590" s="75" t="s">
        <v>283</v>
      </c>
      <c r="C590" s="39" t="s">
        <v>17</v>
      </c>
      <c r="D590" s="39">
        <v>20</v>
      </c>
      <c r="E590" s="39"/>
      <c r="F590" s="39">
        <v>20</v>
      </c>
      <c r="G590" s="39"/>
      <c r="H590" s="40">
        <f>SUM(Tabla1323[[#This Row],[PRIMER TRIMESTRE]:[CUARTO TRIMESTRE]])</f>
        <v>40</v>
      </c>
      <c r="I590" s="17">
        <v>82.94</v>
      </c>
      <c r="J590" s="17">
        <f>+Tabla1323[[#This Row],[CANTIDAD TOTAL]]*Tabla1323[[#This Row],[PRECIO UNITARIO ESTIMADO]]</f>
        <v>3317.6</v>
      </c>
      <c r="K590" s="17"/>
      <c r="L590" s="16" t="s">
        <v>15</v>
      </c>
      <c r="M590" s="16" t="s">
        <v>22</v>
      </c>
      <c r="N590" s="39" t="s">
        <v>342</v>
      </c>
      <c r="O590" s="20"/>
    </row>
    <row r="591" spans="1:21" s="12" customFormat="1">
      <c r="A591" s="15" t="s">
        <v>124</v>
      </c>
      <c r="B591" s="75" t="s">
        <v>284</v>
      </c>
      <c r="C591" s="39" t="s">
        <v>17</v>
      </c>
      <c r="D591" s="39">
        <v>400</v>
      </c>
      <c r="E591" s="39"/>
      <c r="F591" s="39">
        <v>400</v>
      </c>
      <c r="G591" s="39"/>
      <c r="H591" s="40">
        <f>SUM(Tabla1323[[#This Row],[PRIMER TRIMESTRE]:[CUARTO TRIMESTRE]])</f>
        <v>800</v>
      </c>
      <c r="I591" s="17">
        <v>26.67</v>
      </c>
      <c r="J591" s="17">
        <f>+Tabla1323[[#This Row],[CANTIDAD TOTAL]]*Tabla1323[[#This Row],[PRECIO UNITARIO ESTIMADO]]</f>
        <v>21336</v>
      </c>
      <c r="K591" s="17"/>
      <c r="L591" s="16" t="s">
        <v>15</v>
      </c>
      <c r="M591" s="16" t="s">
        <v>22</v>
      </c>
      <c r="N591" s="39" t="s">
        <v>342</v>
      </c>
      <c r="O591" s="20"/>
    </row>
    <row r="592" spans="1:21" s="12" customFormat="1">
      <c r="A592" s="15" t="s">
        <v>124</v>
      </c>
      <c r="B592" s="75" t="s">
        <v>726</v>
      </c>
      <c r="C592" s="39" t="s">
        <v>17</v>
      </c>
      <c r="D592" s="39">
        <v>100</v>
      </c>
      <c r="E592" s="39"/>
      <c r="F592" s="39">
        <v>100</v>
      </c>
      <c r="G592" s="39"/>
      <c r="H592" s="40">
        <f>SUM(Tabla1323[[#This Row],[PRIMER TRIMESTRE]:[CUARTO TRIMESTRE]])</f>
        <v>200</v>
      </c>
      <c r="I592" s="72">
        <v>50</v>
      </c>
      <c r="J592" s="17">
        <f>+H592*I592</f>
        <v>10000</v>
      </c>
      <c r="K592" s="17"/>
      <c r="L592" s="16" t="s">
        <v>15</v>
      </c>
      <c r="M592" s="16" t="s">
        <v>22</v>
      </c>
      <c r="N592" s="39" t="s">
        <v>342</v>
      </c>
      <c r="O592" s="18"/>
    </row>
    <row r="593" spans="1:21" s="12" customFormat="1">
      <c r="A593" s="15" t="s">
        <v>124</v>
      </c>
      <c r="B593" s="75" t="s">
        <v>285</v>
      </c>
      <c r="C593" s="39" t="s">
        <v>33</v>
      </c>
      <c r="D593" s="39">
        <v>150</v>
      </c>
      <c r="E593" s="39"/>
      <c r="F593" s="39">
        <v>150</v>
      </c>
      <c r="G593" s="39" t="s">
        <v>286</v>
      </c>
      <c r="H593" s="40">
        <f>SUM(Tabla1323[[#This Row],[PRIMER TRIMESTRE]:[CUARTO TRIMESTRE]])</f>
        <v>300</v>
      </c>
      <c r="I593" s="17">
        <v>115.94</v>
      </c>
      <c r="J593" s="17">
        <f>+Tabla1323[[#This Row],[CANTIDAD TOTAL]]*Tabla1323[[#This Row],[PRECIO UNITARIO ESTIMADO]]</f>
        <v>34782</v>
      </c>
      <c r="K593" s="17"/>
      <c r="L593" s="16" t="s">
        <v>15</v>
      </c>
      <c r="M593" s="16" t="s">
        <v>22</v>
      </c>
      <c r="N593" s="39" t="s">
        <v>342</v>
      </c>
      <c r="O593" s="20"/>
    </row>
    <row r="594" spans="1:21" s="12" customFormat="1">
      <c r="A594" s="15" t="s">
        <v>124</v>
      </c>
      <c r="B594" s="75" t="s">
        <v>287</v>
      </c>
      <c r="C594" s="39" t="s">
        <v>288</v>
      </c>
      <c r="D594" s="39">
        <v>50</v>
      </c>
      <c r="E594" s="39"/>
      <c r="F594" s="39">
        <v>50</v>
      </c>
      <c r="G594" s="39"/>
      <c r="H594" s="40">
        <f>SUM(Tabla1323[[#This Row],[PRIMER TRIMESTRE]:[CUARTO TRIMESTRE]])</f>
        <v>100</v>
      </c>
      <c r="I594" s="17">
        <v>255.31</v>
      </c>
      <c r="J594" s="17">
        <f>+Tabla1323[[#This Row],[CANTIDAD TOTAL]]*Tabla1323[[#This Row],[PRECIO UNITARIO ESTIMADO]]</f>
        <v>25531</v>
      </c>
      <c r="K594" s="17"/>
      <c r="L594" s="16" t="s">
        <v>15</v>
      </c>
      <c r="M594" s="16" t="s">
        <v>22</v>
      </c>
      <c r="N594" s="39" t="s">
        <v>342</v>
      </c>
      <c r="O594" s="20"/>
    </row>
    <row r="595" spans="1:21" s="12" customFormat="1" ht="30.75" customHeight="1">
      <c r="A595" s="15" t="s">
        <v>124</v>
      </c>
      <c r="B595" s="75" t="s">
        <v>723</v>
      </c>
      <c r="C595" s="39" t="s">
        <v>722</v>
      </c>
      <c r="D595" s="39">
        <v>12</v>
      </c>
      <c r="E595" s="39"/>
      <c r="F595" s="39">
        <v>12</v>
      </c>
      <c r="G595" s="39"/>
      <c r="H595" s="40">
        <f>SUM(Tabla1323[[#This Row],[PRIMER TRIMESTRE]:[CUARTO TRIMESTRE]])</f>
        <v>24</v>
      </c>
      <c r="I595" s="17">
        <v>945</v>
      </c>
      <c r="J595" s="17">
        <f>+Tabla1323[[#This Row],[CANTIDAD TOTAL]]*Tabla1323[[#This Row],[PRECIO UNITARIO ESTIMADO]]</f>
        <v>22680</v>
      </c>
      <c r="K595" s="17"/>
      <c r="L595" s="16" t="s">
        <v>15</v>
      </c>
      <c r="M595" s="16" t="s">
        <v>22</v>
      </c>
      <c r="N595" s="39" t="s">
        <v>342</v>
      </c>
      <c r="O595" s="20"/>
    </row>
    <row r="596" spans="1:21" s="12" customFormat="1" ht="30.75" customHeight="1">
      <c r="A596" s="15" t="s">
        <v>124</v>
      </c>
      <c r="B596" s="75" t="s">
        <v>739</v>
      </c>
      <c r="C596" s="39" t="s">
        <v>740</v>
      </c>
      <c r="D596" s="39"/>
      <c r="E596" s="39"/>
      <c r="F596" s="39">
        <v>40</v>
      </c>
      <c r="G596" s="39"/>
      <c r="H596" s="40">
        <f>SUM(Tabla1323[[#This Row],[PRIMER TRIMESTRE]:[CUARTO TRIMESTRE]])</f>
        <v>40</v>
      </c>
      <c r="I596" s="17">
        <v>174.91</v>
      </c>
      <c r="J596" s="17">
        <f>+H596*I596</f>
        <v>6996.4</v>
      </c>
      <c r="K596" s="17"/>
      <c r="L596" s="16" t="s">
        <v>15</v>
      </c>
      <c r="M596" s="16" t="s">
        <v>22</v>
      </c>
      <c r="N596" s="39" t="s">
        <v>342</v>
      </c>
      <c r="O596" s="18"/>
    </row>
    <row r="597" spans="1:21" s="12" customFormat="1" ht="33" customHeight="1">
      <c r="A597" s="15" t="s">
        <v>124</v>
      </c>
      <c r="B597" s="75" t="s">
        <v>289</v>
      </c>
      <c r="C597" s="39" t="s">
        <v>290</v>
      </c>
      <c r="D597" s="39">
        <v>200</v>
      </c>
      <c r="E597" s="39"/>
      <c r="F597" s="39">
        <f>200+20</f>
        <v>220</v>
      </c>
      <c r="G597" s="39"/>
      <c r="H597" s="40">
        <f>SUM(Tabla1323[[#This Row],[PRIMER TRIMESTRE]:[CUARTO TRIMESTRE]])</f>
        <v>420</v>
      </c>
      <c r="I597" s="17">
        <v>240</v>
      </c>
      <c r="J597" s="17">
        <f>+Tabla1323[[#This Row],[CANTIDAD TOTAL]]*Tabla1323[[#This Row],[PRECIO UNITARIO ESTIMADO]]</f>
        <v>100800</v>
      </c>
      <c r="K597" s="17"/>
      <c r="L597" s="16" t="s">
        <v>15</v>
      </c>
      <c r="M597" s="16" t="s">
        <v>22</v>
      </c>
      <c r="N597" s="39" t="s">
        <v>342</v>
      </c>
      <c r="O597" s="20"/>
    </row>
    <row r="598" spans="1:21" s="12" customFormat="1" ht="39" customHeight="1">
      <c r="A598" s="15" t="s">
        <v>124</v>
      </c>
      <c r="B598" s="75" t="s">
        <v>291</v>
      </c>
      <c r="C598" s="39" t="s">
        <v>290</v>
      </c>
      <c r="D598" s="39">
        <v>70</v>
      </c>
      <c r="E598" s="39"/>
      <c r="F598" s="39">
        <v>70</v>
      </c>
      <c r="G598" s="39"/>
      <c r="H598" s="40">
        <f>SUM(Tabla1323[[#This Row],[PRIMER TRIMESTRE]:[CUARTO TRIMESTRE]])</f>
        <v>140</v>
      </c>
      <c r="I598" s="17">
        <v>121.8</v>
      </c>
      <c r="J598" s="17">
        <f>+Tabla1323[[#This Row],[CANTIDAD TOTAL]]*Tabla1323[[#This Row],[PRECIO UNITARIO ESTIMADO]]</f>
        <v>17052</v>
      </c>
      <c r="K598" s="17"/>
      <c r="L598" s="16" t="s">
        <v>15</v>
      </c>
      <c r="M598" s="16" t="s">
        <v>22</v>
      </c>
      <c r="N598" s="39" t="s">
        <v>342</v>
      </c>
      <c r="O598" s="20"/>
    </row>
    <row r="599" spans="1:21" s="12" customFormat="1" ht="27" customHeight="1">
      <c r="A599" s="15" t="s">
        <v>124</v>
      </c>
      <c r="B599" s="75" t="s">
        <v>469</v>
      </c>
      <c r="C599" s="39" t="s">
        <v>17</v>
      </c>
      <c r="D599" s="39"/>
      <c r="E599" s="39"/>
      <c r="F599" s="39">
        <f>258/2</f>
        <v>129</v>
      </c>
      <c r="G599" s="39"/>
      <c r="H599" s="40">
        <f>SUM(Tabla1323[[#This Row],[PRIMER TRIMESTRE]:[CUARTO TRIMESTRE]])</f>
        <v>129</v>
      </c>
      <c r="I599" s="17">
        <v>217.18</v>
      </c>
      <c r="J599" s="17">
        <f>+H599*I599</f>
        <v>28016.22</v>
      </c>
      <c r="K599" s="17"/>
      <c r="L599" s="16" t="s">
        <v>15</v>
      </c>
      <c r="M599" s="16" t="s">
        <v>22</v>
      </c>
      <c r="N599" s="39" t="s">
        <v>342</v>
      </c>
      <c r="O599" s="18"/>
    </row>
    <row r="600" spans="1:21" s="12" customFormat="1" ht="27" customHeight="1">
      <c r="A600" s="15" t="s">
        <v>124</v>
      </c>
      <c r="B600" s="75" t="s">
        <v>564</v>
      </c>
      <c r="C600" s="39" t="s">
        <v>17</v>
      </c>
      <c r="D600" s="39">
        <v>350</v>
      </c>
      <c r="E600" s="39"/>
      <c r="F600" s="39">
        <v>350</v>
      </c>
      <c r="G600" s="39"/>
      <c r="H600" s="40">
        <f>SUM(Tabla1323[[#This Row],[PRIMER TRIMESTRE]:[CUARTO TRIMESTRE]])</f>
        <v>700</v>
      </c>
      <c r="I600" s="17">
        <v>130</v>
      </c>
      <c r="J600" s="17">
        <f>+H600*I600</f>
        <v>91000</v>
      </c>
      <c r="K600" s="17"/>
      <c r="L600" s="16" t="s">
        <v>15</v>
      </c>
      <c r="M600" s="16" t="s">
        <v>22</v>
      </c>
      <c r="N600" s="39" t="s">
        <v>342</v>
      </c>
      <c r="O600" s="18"/>
    </row>
    <row r="601" spans="1:21" s="12" customFormat="1">
      <c r="A601" s="15" t="s">
        <v>124</v>
      </c>
      <c r="B601" s="75" t="s">
        <v>741</v>
      </c>
      <c r="C601" s="39" t="s">
        <v>17</v>
      </c>
      <c r="D601" s="39"/>
      <c r="E601" s="39"/>
      <c r="F601" s="39">
        <v>100</v>
      </c>
      <c r="G601" s="39"/>
      <c r="H601" s="40">
        <f>SUM(Tabla1323[[#This Row],[PRIMER TRIMESTRE]:[CUARTO TRIMESTRE]])</f>
        <v>100</v>
      </c>
      <c r="I601" s="17">
        <v>217.18</v>
      </c>
      <c r="J601" s="17">
        <f>+Tabla1323[[#This Row],[CANTIDAD TOTAL]]*Tabla1323[[#This Row],[PRECIO UNITARIO ESTIMADO]]</f>
        <v>21718</v>
      </c>
      <c r="K601" s="17"/>
      <c r="L601" s="16" t="s">
        <v>15</v>
      </c>
      <c r="M601" s="16" t="s">
        <v>22</v>
      </c>
      <c r="N601" s="39" t="s">
        <v>342</v>
      </c>
      <c r="O601" s="20"/>
    </row>
    <row r="602" spans="1:21" s="12" customFormat="1">
      <c r="A602" s="15" t="s">
        <v>124</v>
      </c>
      <c r="B602" s="75" t="s">
        <v>292</v>
      </c>
      <c r="C602" s="39" t="s">
        <v>17</v>
      </c>
      <c r="D602" s="39"/>
      <c r="E602" s="39"/>
      <c r="F602" s="39">
        <v>1000</v>
      </c>
      <c r="G602" s="39"/>
      <c r="H602" s="40">
        <f>SUM(Tabla1323[[#This Row],[PRIMER TRIMESTRE]:[CUARTO TRIMESTRE]])</f>
        <v>1000</v>
      </c>
      <c r="I602" s="17">
        <v>377.54</v>
      </c>
      <c r="J602" s="17">
        <f>+Tabla1323[[#This Row],[CANTIDAD TOTAL]]*Tabla1323[[#This Row],[PRECIO UNITARIO ESTIMADO]]</f>
        <v>377540</v>
      </c>
      <c r="K602" s="17"/>
      <c r="L602" s="16" t="s">
        <v>15</v>
      </c>
      <c r="M602" s="16" t="s">
        <v>22</v>
      </c>
      <c r="N602" s="39" t="s">
        <v>342</v>
      </c>
      <c r="O602" s="20"/>
    </row>
    <row r="603" spans="1:21" s="12" customFormat="1">
      <c r="A603" s="15" t="s">
        <v>124</v>
      </c>
      <c r="B603" s="75" t="s">
        <v>725</v>
      </c>
      <c r="C603" s="39" t="s">
        <v>17</v>
      </c>
      <c r="D603" s="39">
        <v>50</v>
      </c>
      <c r="E603" s="39"/>
      <c r="F603" s="39">
        <v>50</v>
      </c>
      <c r="G603" s="39"/>
      <c r="H603" s="40">
        <f>SUM(Tabla1323[[#This Row],[PRIMER TRIMESTRE]:[CUARTO TRIMESTRE]])</f>
        <v>100</v>
      </c>
      <c r="I603" s="17">
        <v>90</v>
      </c>
      <c r="J603" s="17">
        <f>+H603*I603</f>
        <v>9000</v>
      </c>
      <c r="K603" s="17"/>
      <c r="L603" s="16" t="s">
        <v>15</v>
      </c>
      <c r="M603" s="16" t="s">
        <v>22</v>
      </c>
      <c r="N603" s="39" t="s">
        <v>342</v>
      </c>
      <c r="O603" s="18"/>
    </row>
    <row r="604" spans="1:21" s="12" customFormat="1">
      <c r="A604" s="15" t="s">
        <v>124</v>
      </c>
      <c r="B604" s="75" t="s">
        <v>293</v>
      </c>
      <c r="C604" s="39" t="s">
        <v>33</v>
      </c>
      <c r="D604" s="39">
        <v>80</v>
      </c>
      <c r="E604" s="39"/>
      <c r="F604" s="39">
        <v>80</v>
      </c>
      <c r="G604" s="39"/>
      <c r="H604" s="40">
        <f>SUM(Tabla1323[[#This Row],[PRIMER TRIMESTRE]:[CUARTO TRIMESTRE]])</f>
        <v>160</v>
      </c>
      <c r="I604" s="17">
        <v>214.6</v>
      </c>
      <c r="J604" s="17">
        <f>+Tabla1323[[#This Row],[CANTIDAD TOTAL]]*Tabla1323[[#This Row],[PRECIO UNITARIO ESTIMADO]]</f>
        <v>34336</v>
      </c>
      <c r="K604" s="17"/>
      <c r="L604" s="16" t="s">
        <v>15</v>
      </c>
      <c r="M604" s="16" t="s">
        <v>22</v>
      </c>
      <c r="N604" s="39" t="s">
        <v>342</v>
      </c>
      <c r="O604" s="20"/>
    </row>
    <row r="605" spans="1:21" s="12" customFormat="1">
      <c r="A605" s="15" t="s">
        <v>124</v>
      </c>
      <c r="B605" s="75" t="s">
        <v>294</v>
      </c>
      <c r="C605" s="39" t="s">
        <v>17</v>
      </c>
      <c r="D605" s="70">
        <v>17</v>
      </c>
      <c r="E605" s="70"/>
      <c r="F605" s="70">
        <v>17</v>
      </c>
      <c r="G605" s="39"/>
      <c r="H605" s="40">
        <f>SUM(Tabla1323[[#This Row],[PRIMER TRIMESTRE]:[CUARTO TRIMESTRE]])</f>
        <v>34</v>
      </c>
      <c r="I605" s="17">
        <v>424.95</v>
      </c>
      <c r="J605" s="17">
        <f>+Tabla1323[[#This Row],[CANTIDAD TOTAL]]*Tabla1323[[#This Row],[PRECIO UNITARIO ESTIMADO]]</f>
        <v>14448.3</v>
      </c>
      <c r="K605" s="17"/>
      <c r="L605" s="16" t="s">
        <v>15</v>
      </c>
      <c r="M605" s="16" t="s">
        <v>22</v>
      </c>
      <c r="N605" s="39" t="s">
        <v>342</v>
      </c>
      <c r="O605" s="20"/>
    </row>
    <row r="606" spans="1:21" s="12" customFormat="1">
      <c r="A606" s="15" t="s">
        <v>124</v>
      </c>
      <c r="B606" s="75" t="s">
        <v>331</v>
      </c>
      <c r="C606" s="39" t="s">
        <v>33</v>
      </c>
      <c r="D606" s="39">
        <v>80</v>
      </c>
      <c r="E606" s="39"/>
      <c r="F606" s="39">
        <v>80</v>
      </c>
      <c r="G606" s="39"/>
      <c r="H606" s="40">
        <f>SUM(Tabla1323[[#This Row],[PRIMER TRIMESTRE]:[CUARTO TRIMESTRE]])</f>
        <v>160</v>
      </c>
      <c r="I606" s="17">
        <v>404.45</v>
      </c>
      <c r="J606" s="17">
        <f>+Tabla1323[[#This Row],[CANTIDAD TOTAL]]*Tabla1323[[#This Row],[PRECIO UNITARIO ESTIMADO]]</f>
        <v>64712</v>
      </c>
      <c r="K606" s="17"/>
      <c r="L606" s="16" t="s">
        <v>15</v>
      </c>
      <c r="M606" s="16" t="s">
        <v>22</v>
      </c>
      <c r="N606" s="39" t="s">
        <v>342</v>
      </c>
      <c r="O606" s="20"/>
    </row>
    <row r="607" spans="1:21" s="12" customFormat="1">
      <c r="A607" s="15" t="s">
        <v>124</v>
      </c>
      <c r="B607" s="75" t="s">
        <v>724</v>
      </c>
      <c r="C607" s="39" t="s">
        <v>17</v>
      </c>
      <c r="D607" s="39">
        <v>50</v>
      </c>
      <c r="E607" s="39"/>
      <c r="F607" s="39">
        <v>50</v>
      </c>
      <c r="G607" s="39"/>
      <c r="H607" s="40">
        <f>SUM(Tabla1323[[#This Row],[PRIMER TRIMESTRE]:[CUARTO TRIMESTRE]])</f>
        <v>100</v>
      </c>
      <c r="I607" s="17">
        <v>140</v>
      </c>
      <c r="J607" s="17">
        <f>+H607*I607</f>
        <v>14000</v>
      </c>
      <c r="K607" s="17"/>
      <c r="L607" s="16" t="s">
        <v>15</v>
      </c>
      <c r="M607" s="16" t="s">
        <v>22</v>
      </c>
      <c r="N607" s="39" t="s">
        <v>342</v>
      </c>
      <c r="O607" s="18"/>
    </row>
    <row r="608" spans="1:21" s="26" customFormat="1" ht="27.75" customHeight="1">
      <c r="A608" s="22" t="s">
        <v>124</v>
      </c>
      <c r="B608" s="76"/>
      <c r="C608" s="42"/>
      <c r="D608" s="42"/>
      <c r="E608" s="42"/>
      <c r="F608" s="42"/>
      <c r="G608" s="42"/>
      <c r="H608" s="43"/>
      <c r="I608" s="24"/>
      <c r="J608" s="24"/>
      <c r="K608" s="25">
        <f>SUM(J588:J607)</f>
        <v>996707.52</v>
      </c>
      <c r="L608" s="23"/>
      <c r="M608" s="23"/>
      <c r="N608" s="42"/>
      <c r="O608" s="24"/>
      <c r="R608" s="27"/>
      <c r="U608" s="23"/>
    </row>
    <row r="609" spans="1:21" s="12" customFormat="1" ht="41.25" customHeight="1">
      <c r="A609" s="15" t="s">
        <v>117</v>
      </c>
      <c r="B609" s="75" t="s">
        <v>781</v>
      </c>
      <c r="C609" s="39" t="s">
        <v>17</v>
      </c>
      <c r="D609" s="39"/>
      <c r="E609" s="39">
        <v>1</v>
      </c>
      <c r="F609" s="39"/>
      <c r="G609" s="39"/>
      <c r="H609" s="40">
        <f>SUM(Tabla1323[[#This Row],[PRIMER TRIMESTRE]:[CUARTO TRIMESTRE]])</f>
        <v>1</v>
      </c>
      <c r="I609" s="17">
        <v>15000000</v>
      </c>
      <c r="J609" s="17">
        <f>+H609*I609</f>
        <v>15000000</v>
      </c>
      <c r="K609" s="17"/>
      <c r="L609" s="16" t="s">
        <v>18</v>
      </c>
      <c r="M609" s="16" t="s">
        <v>19</v>
      </c>
      <c r="N609" s="39"/>
      <c r="O609" s="20"/>
      <c r="R609" s="19"/>
      <c r="U609" s="16"/>
    </row>
    <row r="610" spans="1:21" s="12" customFormat="1" ht="41.25" customHeight="1">
      <c r="A610" s="15" t="s">
        <v>117</v>
      </c>
      <c r="B610" s="75" t="s">
        <v>779</v>
      </c>
      <c r="C610" s="39" t="s">
        <v>17</v>
      </c>
      <c r="D610" s="39"/>
      <c r="E610" s="39">
        <v>1</v>
      </c>
      <c r="F610" s="39"/>
      <c r="G610" s="39"/>
      <c r="H610" s="40">
        <f>SUM(Tabla1323[[#This Row],[PRIMER TRIMESTRE]:[CUARTO TRIMESTRE]])</f>
        <v>1</v>
      </c>
      <c r="I610" s="17">
        <v>1500000</v>
      </c>
      <c r="J610" s="17">
        <f>+H610*I610</f>
        <v>1500000</v>
      </c>
      <c r="K610" s="17"/>
      <c r="L610" s="16" t="s">
        <v>27</v>
      </c>
      <c r="M610" s="16" t="s">
        <v>22</v>
      </c>
      <c r="N610" s="39" t="s">
        <v>418</v>
      </c>
      <c r="O610" s="18"/>
      <c r="R610" s="19"/>
      <c r="U610" s="16"/>
    </row>
    <row r="611" spans="1:21" s="12" customFormat="1" ht="41.25" customHeight="1">
      <c r="A611" s="15" t="s">
        <v>117</v>
      </c>
      <c r="B611" s="75" t="s">
        <v>780</v>
      </c>
      <c r="C611" s="39" t="s">
        <v>17</v>
      </c>
      <c r="D611" s="39"/>
      <c r="E611" s="39">
        <v>1</v>
      </c>
      <c r="F611" s="39"/>
      <c r="G611" s="39"/>
      <c r="H611" s="40">
        <f>SUM(Tabla1323[[#This Row],[PRIMER TRIMESTRE]:[CUARTO TRIMESTRE]])</f>
        <v>1</v>
      </c>
      <c r="I611" s="17">
        <v>2500000</v>
      </c>
      <c r="J611" s="17">
        <f>+H611*I611</f>
        <v>2500000</v>
      </c>
      <c r="K611" s="17"/>
      <c r="L611" s="16" t="s">
        <v>27</v>
      </c>
      <c r="M611" s="16" t="s">
        <v>22</v>
      </c>
      <c r="N611" s="39" t="s">
        <v>418</v>
      </c>
      <c r="O611" s="18"/>
      <c r="R611" s="19"/>
      <c r="U611" s="16"/>
    </row>
    <row r="612" spans="1:21" s="12" customFormat="1" ht="41.25" customHeight="1">
      <c r="A612" s="15" t="s">
        <v>117</v>
      </c>
      <c r="B612" s="75" t="s">
        <v>889</v>
      </c>
      <c r="C612" s="39" t="s">
        <v>17</v>
      </c>
      <c r="D612" s="39"/>
      <c r="E612" s="39">
        <v>5</v>
      </c>
      <c r="F612" s="39"/>
      <c r="G612" s="39">
        <v>5</v>
      </c>
      <c r="H612" s="40">
        <f>SUM(Tabla1323[[#This Row],[PRIMER TRIMESTRE]:[CUARTO TRIMESTRE]])</f>
        <v>10</v>
      </c>
      <c r="I612" s="17">
        <v>42500</v>
      </c>
      <c r="J612" s="17">
        <v>850000</v>
      </c>
      <c r="K612" s="17"/>
      <c r="L612" s="16" t="s">
        <v>27</v>
      </c>
      <c r="M612" s="16" t="s">
        <v>22</v>
      </c>
      <c r="N612" s="39" t="s">
        <v>418</v>
      </c>
      <c r="O612" s="18"/>
      <c r="R612" s="19"/>
      <c r="U612" s="16"/>
    </row>
    <row r="613" spans="1:21" s="12" customFormat="1" ht="25.5">
      <c r="A613" s="15" t="s">
        <v>117</v>
      </c>
      <c r="B613" s="75" t="s">
        <v>890</v>
      </c>
      <c r="C613" s="39" t="s">
        <v>17</v>
      </c>
      <c r="D613" s="39"/>
      <c r="E613" s="39">
        <v>70</v>
      </c>
      <c r="F613" s="39"/>
      <c r="G613" s="39">
        <v>70</v>
      </c>
      <c r="H613" s="40">
        <f>SUM(Tabla1323[[#This Row],[PRIMER TRIMESTRE]:[CUARTO TRIMESTRE]])</f>
        <v>140</v>
      </c>
      <c r="I613" s="17">
        <v>5350</v>
      </c>
      <c r="J613" s="17">
        <f>+Tabla1323[[#This Row],[CANTIDAD TOTAL]]*Tabla1323[[#This Row],[PRECIO UNITARIO ESTIMADO]]</f>
        <v>749000</v>
      </c>
      <c r="K613" s="17"/>
      <c r="L613" s="16" t="s">
        <v>27</v>
      </c>
      <c r="M613" s="16" t="s">
        <v>22</v>
      </c>
      <c r="N613" s="39" t="s">
        <v>418</v>
      </c>
      <c r="O613" s="20"/>
    </row>
    <row r="614" spans="1:21" s="26" customFormat="1" ht="27.75" customHeight="1">
      <c r="A614" s="22" t="s">
        <v>117</v>
      </c>
      <c r="B614" s="76" t="s">
        <v>891</v>
      </c>
      <c r="C614" s="42"/>
      <c r="D614" s="42"/>
      <c r="E614" s="42"/>
      <c r="F614" s="42"/>
      <c r="G614" s="42"/>
      <c r="H614" s="43"/>
      <c r="I614" s="24"/>
      <c r="J614" s="24"/>
      <c r="K614" s="25">
        <f>SUM(J609:J611)</f>
        <v>19000000</v>
      </c>
      <c r="L614" s="23"/>
      <c r="M614" s="23"/>
      <c r="N614" s="42"/>
      <c r="O614" s="24"/>
      <c r="R614" s="27"/>
      <c r="U614" s="23"/>
    </row>
    <row r="615" spans="1:21" s="12" customFormat="1" ht="49.5" customHeight="1">
      <c r="A615" s="15" t="s">
        <v>115</v>
      </c>
      <c r="B615" s="75" t="s">
        <v>892</v>
      </c>
      <c r="C615" s="39" t="s">
        <v>17</v>
      </c>
      <c r="D615" s="39"/>
      <c r="E615" s="39">
        <v>10</v>
      </c>
      <c r="F615" s="39"/>
      <c r="G615" s="39">
        <v>15</v>
      </c>
      <c r="H615" s="41">
        <f>SUM(Tabla1323[[#This Row],[PRIMER TRIMESTRE]:[CUARTO TRIMESTRE]])</f>
        <v>25</v>
      </c>
      <c r="I615" s="17">
        <v>3519</v>
      </c>
      <c r="J615" s="17">
        <f>+Tabla1323[[#This Row],[CANTIDAD TOTAL]]*Tabla1323[[#This Row],[PRECIO UNITARIO ESTIMADO]]</f>
        <v>87975</v>
      </c>
      <c r="K615" s="17"/>
      <c r="L615" s="16" t="s">
        <v>27</v>
      </c>
      <c r="M615" s="16" t="s">
        <v>22</v>
      </c>
      <c r="N615" s="39" t="s">
        <v>418</v>
      </c>
      <c r="O615" s="20"/>
      <c r="R615" s="19"/>
      <c r="U615" s="16"/>
    </row>
    <row r="616" spans="1:21" s="12" customFormat="1" ht="25.5">
      <c r="A616" s="15" t="s">
        <v>115</v>
      </c>
      <c r="B616" s="75" t="s">
        <v>893</v>
      </c>
      <c r="C616" s="39" t="s">
        <v>17</v>
      </c>
      <c r="D616" s="39"/>
      <c r="E616" s="39">
        <v>20</v>
      </c>
      <c r="F616" s="39"/>
      <c r="G616" s="39">
        <v>20</v>
      </c>
      <c r="H616" s="41">
        <f>SUM(Tabla1323[[#This Row],[PRIMER TRIMESTRE]:[CUARTO TRIMESTRE]])</f>
        <v>40</v>
      </c>
      <c r="I616" s="17">
        <v>1564</v>
      </c>
      <c r="J616" s="17">
        <f>+Tabla1323[[#This Row],[CANTIDAD TOTAL]]*Tabla1323[[#This Row],[PRECIO UNITARIO ESTIMADO]]</f>
        <v>62560</v>
      </c>
      <c r="K616" s="17"/>
      <c r="L616" s="16" t="s">
        <v>27</v>
      </c>
      <c r="M616" s="16" t="s">
        <v>22</v>
      </c>
      <c r="N616" s="39" t="s">
        <v>418</v>
      </c>
      <c r="O616" s="20"/>
    </row>
    <row r="617" spans="1:21" s="12" customFormat="1" ht="25.5">
      <c r="A617" s="15" t="s">
        <v>115</v>
      </c>
      <c r="B617" s="75" t="s">
        <v>894</v>
      </c>
      <c r="C617" s="39" t="s">
        <v>17</v>
      </c>
      <c r="D617" s="39"/>
      <c r="E617" s="39">
        <v>40</v>
      </c>
      <c r="F617" s="39"/>
      <c r="G617" s="39">
        <v>40</v>
      </c>
      <c r="H617" s="41">
        <f>SUM(Tabla1323[[#This Row],[PRIMER TRIMESTRE]:[CUARTO TRIMESTRE]])</f>
        <v>80</v>
      </c>
      <c r="I617" s="17">
        <v>586.5</v>
      </c>
      <c r="J617" s="17">
        <f>+Tabla1323[[#This Row],[CANTIDAD TOTAL]]*Tabla1323[[#This Row],[PRECIO UNITARIO ESTIMADO]]</f>
        <v>46920</v>
      </c>
      <c r="K617" s="17"/>
      <c r="L617" s="16" t="s">
        <v>27</v>
      </c>
      <c r="M617" s="16" t="s">
        <v>22</v>
      </c>
      <c r="N617" s="39" t="s">
        <v>418</v>
      </c>
      <c r="O617" s="20"/>
    </row>
    <row r="618" spans="1:21" s="12" customFormat="1" ht="25.5">
      <c r="A618" s="15" t="s">
        <v>115</v>
      </c>
      <c r="B618" s="75" t="s">
        <v>895</v>
      </c>
      <c r="C618" s="39" t="s">
        <v>17</v>
      </c>
      <c r="D618" s="39"/>
      <c r="E618" s="39">
        <v>8</v>
      </c>
      <c r="F618" s="39"/>
      <c r="G618" s="39"/>
      <c r="H618" s="41">
        <f>SUM(Tabla1323[[#This Row],[PRIMER TRIMESTRE]:[CUARTO TRIMESTRE]])</f>
        <v>8</v>
      </c>
      <c r="I618" s="17">
        <v>586.5</v>
      </c>
      <c r="J618" s="17">
        <f>+Tabla1323[[#This Row],[CANTIDAD TOTAL]]*Tabla1323[[#This Row],[PRECIO UNITARIO ESTIMADO]]</f>
        <v>4692</v>
      </c>
      <c r="K618" s="17"/>
      <c r="L618" s="16" t="s">
        <v>27</v>
      </c>
      <c r="M618" s="16" t="s">
        <v>22</v>
      </c>
      <c r="N618" s="39" t="s">
        <v>418</v>
      </c>
      <c r="O618" s="20"/>
    </row>
    <row r="619" spans="1:21" s="12" customFormat="1" ht="47.25">
      <c r="A619" s="15" t="s">
        <v>115</v>
      </c>
      <c r="B619" s="16" t="str">
        <f ca="1">+UPPER(Tabla1323[[#This Row],[DESCRIPCIÓN DE LA COMPRA O CONTRATACIÓN]])</f>
        <v>DISCOS EXTERNOS PARA EL STOCK DE EQUIPOS Y SUPLIR LAS NECESIDADES  DE LAS DIFERENTES DEPENDENCIAS</v>
      </c>
      <c r="C619" s="39" t="s">
        <v>17</v>
      </c>
      <c r="D619" s="39"/>
      <c r="E619" s="39">
        <v>5</v>
      </c>
      <c r="F619" s="39"/>
      <c r="G619" s="39"/>
      <c r="H619" s="41">
        <f>SUM(Tabla1323[[#This Row],[PRIMER TRIMESTRE]:[CUARTO TRIMESTRE]])</f>
        <v>5</v>
      </c>
      <c r="I619" s="17">
        <v>5083</v>
      </c>
      <c r="J619" s="17">
        <f>+Tabla1323[[#This Row],[CANTIDAD TOTAL]]*Tabla1323[[#This Row],[PRECIO UNITARIO ESTIMADO]]</f>
        <v>25415</v>
      </c>
      <c r="K619" s="17"/>
      <c r="L619" s="16" t="s">
        <v>27</v>
      </c>
      <c r="M619" s="16" t="s">
        <v>22</v>
      </c>
      <c r="N619" s="39" t="s">
        <v>418</v>
      </c>
      <c r="O619" s="20"/>
    </row>
    <row r="620" spans="1:21" s="12" customFormat="1" ht="47.25">
      <c r="A620" s="15" t="s">
        <v>115</v>
      </c>
      <c r="B620" s="16" t="str">
        <f ca="1">+UPPER(Tabla1323[[#This Row],[DESCRIPCIÓN DE LA COMPRA O CONTRATACIÓN]])</f>
        <v>ADQUISICIÓN DE10 POWER SUPPLAY PARA EL STOCK DE EQUIPOS Y SUPLIR LAS NECESIDADES  DE LAS DIFERENTES DEPENDENCIAS</v>
      </c>
      <c r="C620" s="39" t="s">
        <v>17</v>
      </c>
      <c r="D620" s="39"/>
      <c r="E620" s="39">
        <v>5</v>
      </c>
      <c r="F620" s="39"/>
      <c r="G620" s="39"/>
      <c r="H620" s="41">
        <f>SUM(Tabla1323[[#This Row],[PRIMER TRIMESTRE]:[CUARTO TRIMESTRE]])</f>
        <v>5</v>
      </c>
      <c r="I620" s="17">
        <v>1955</v>
      </c>
      <c r="J620" s="17">
        <f>+Tabla1323[[#This Row],[CANTIDAD TOTAL]]*Tabla1323[[#This Row],[PRECIO UNITARIO ESTIMADO]]</f>
        <v>9775</v>
      </c>
      <c r="K620" s="17"/>
      <c r="L620" s="16" t="s">
        <v>27</v>
      </c>
      <c r="M620" s="16" t="s">
        <v>22</v>
      </c>
      <c r="N620" s="39" t="s">
        <v>418</v>
      </c>
      <c r="O620" s="20"/>
    </row>
    <row r="621" spans="1:21" s="12" customFormat="1" ht="38.25">
      <c r="A621" s="15" t="s">
        <v>115</v>
      </c>
      <c r="B621" s="75" t="s">
        <v>901</v>
      </c>
      <c r="C621" s="39" t="s">
        <v>17</v>
      </c>
      <c r="D621" s="39"/>
      <c r="E621" s="39">
        <v>5</v>
      </c>
      <c r="F621" s="39"/>
      <c r="G621" s="39"/>
      <c r="H621" s="41">
        <f>SUM(Tabla1323[[#This Row],[PRIMER TRIMESTRE]:[CUARTO TRIMESTRE]])</f>
        <v>5</v>
      </c>
      <c r="I621" s="17">
        <v>1368.5</v>
      </c>
      <c r="J621" s="17">
        <f>+Tabla1323[[#This Row],[CANTIDAD TOTAL]]*Tabla1323[[#This Row],[PRECIO UNITARIO ESTIMADO]]</f>
        <v>6842.5</v>
      </c>
      <c r="K621" s="17"/>
      <c r="L621" s="16" t="s">
        <v>27</v>
      </c>
      <c r="M621" s="16" t="s">
        <v>22</v>
      </c>
      <c r="N621" s="39" t="s">
        <v>418</v>
      </c>
      <c r="O621" s="20"/>
    </row>
    <row r="622" spans="1:21" s="12" customFormat="1" ht="38.25">
      <c r="A622" s="15" t="s">
        <v>115</v>
      </c>
      <c r="B622" s="75" t="s">
        <v>902</v>
      </c>
      <c r="C622" s="39" t="s">
        <v>17</v>
      </c>
      <c r="D622" s="39"/>
      <c r="E622" s="39">
        <v>5</v>
      </c>
      <c r="F622" s="39"/>
      <c r="G622" s="39">
        <v>5</v>
      </c>
      <c r="H622" s="41">
        <f>SUM(Tabla1323[[#This Row],[PRIMER TRIMESTRE]:[CUARTO TRIMESTRE]])</f>
        <v>10</v>
      </c>
      <c r="I622" s="17">
        <v>156.4</v>
      </c>
      <c r="J622" s="17">
        <f>+Tabla1323[[#This Row],[CANTIDAD TOTAL]]*Tabla1323[[#This Row],[PRECIO UNITARIO ESTIMADO]]</f>
        <v>1564</v>
      </c>
      <c r="K622" s="17"/>
      <c r="L622" s="16" t="s">
        <v>27</v>
      </c>
      <c r="M622" s="16" t="s">
        <v>22</v>
      </c>
      <c r="N622" s="39" t="s">
        <v>418</v>
      </c>
      <c r="O622" s="20"/>
    </row>
    <row r="623" spans="1:21" s="12" customFormat="1" ht="25.5">
      <c r="A623" s="15" t="s">
        <v>115</v>
      </c>
      <c r="B623" s="75" t="s">
        <v>896</v>
      </c>
      <c r="C623" s="39" t="s">
        <v>17</v>
      </c>
      <c r="D623" s="39"/>
      <c r="E623" s="39">
        <v>30</v>
      </c>
      <c r="F623" s="39"/>
      <c r="G623" s="39">
        <v>30</v>
      </c>
      <c r="H623" s="41">
        <f>SUM(Tabla1323[[#This Row],[PRIMER TRIMESTRE]:[CUARTO TRIMESTRE]])</f>
        <v>60</v>
      </c>
      <c r="I623" s="17">
        <v>50000</v>
      </c>
      <c r="J623" s="17">
        <f>+Tabla1323[[#This Row],[CANTIDAD TOTAL]]*Tabla1323[[#This Row],[PRECIO UNITARIO ESTIMADO]]</f>
        <v>3000000</v>
      </c>
      <c r="K623" s="17"/>
      <c r="L623" s="16" t="s">
        <v>27</v>
      </c>
      <c r="M623" s="16" t="s">
        <v>22</v>
      </c>
      <c r="N623" s="39" t="s">
        <v>418</v>
      </c>
      <c r="O623" s="20"/>
    </row>
    <row r="624" spans="1:21" s="12" customFormat="1">
      <c r="A624" s="15" t="s">
        <v>115</v>
      </c>
      <c r="B624" s="75" t="s">
        <v>897</v>
      </c>
      <c r="C624" s="39" t="s">
        <v>17</v>
      </c>
      <c r="D624" s="39"/>
      <c r="E624" s="39">
        <v>2</v>
      </c>
      <c r="F624" s="39"/>
      <c r="G624" s="39">
        <v>1</v>
      </c>
      <c r="H624" s="41">
        <f>SUM(Tabla1323[[#This Row],[PRIMER TRIMESTRE]:[CUARTO TRIMESTRE]])</f>
        <v>3</v>
      </c>
      <c r="I624" s="17">
        <v>85000</v>
      </c>
      <c r="J624" s="17">
        <f>+Tabla1323[[#This Row],[CANTIDAD TOTAL]]*Tabla1323[[#This Row],[PRECIO UNITARIO ESTIMADO]]</f>
        <v>255000</v>
      </c>
      <c r="K624" s="17"/>
      <c r="L624" s="16" t="s">
        <v>27</v>
      </c>
      <c r="M624" s="16" t="s">
        <v>22</v>
      </c>
      <c r="N624" s="39" t="s">
        <v>418</v>
      </c>
      <c r="O624" s="20"/>
    </row>
    <row r="625" spans="1:21" s="12" customFormat="1" ht="25.5">
      <c r="A625" s="15" t="s">
        <v>115</v>
      </c>
      <c r="B625" s="75" t="s">
        <v>898</v>
      </c>
      <c r="C625" s="39" t="s">
        <v>17</v>
      </c>
      <c r="D625" s="39"/>
      <c r="E625" s="39">
        <v>15</v>
      </c>
      <c r="F625" s="39"/>
      <c r="G625" s="39">
        <v>15</v>
      </c>
      <c r="H625" s="41">
        <f>SUM(Tabla1323[[#This Row],[PRIMER TRIMESTRE]:[CUARTO TRIMESTRE]])</f>
        <v>30</v>
      </c>
      <c r="I625" s="17">
        <v>6000</v>
      </c>
      <c r="J625" s="17">
        <f>+Tabla1323[[#This Row],[CANTIDAD TOTAL]]*Tabla1323[[#This Row],[PRECIO UNITARIO ESTIMADO]]</f>
        <v>180000</v>
      </c>
      <c r="K625" s="17"/>
      <c r="L625" s="16" t="s">
        <v>27</v>
      </c>
      <c r="M625" s="16" t="s">
        <v>22</v>
      </c>
      <c r="N625" s="39" t="s">
        <v>418</v>
      </c>
      <c r="O625" s="20"/>
    </row>
    <row r="626" spans="1:21" s="12" customFormat="1">
      <c r="A626" s="15" t="s">
        <v>115</v>
      </c>
      <c r="B626" s="16" t="str">
        <f ca="1">+UPPER(Tabla1323[[#This Row],[DESCRIPCIÓN DE LA COMPRA O CONTRATACIÓN]])</f>
        <v xml:space="preserve">CABLE UTP </v>
      </c>
      <c r="C626" s="39" t="s">
        <v>208</v>
      </c>
      <c r="D626" s="39"/>
      <c r="E626" s="39">
        <v>15</v>
      </c>
      <c r="F626" s="39"/>
      <c r="G626" s="39">
        <v>15</v>
      </c>
      <c r="H626" s="41">
        <f>SUM(Tabla1323[[#This Row],[PRIMER TRIMESTRE]:[CUARTO TRIMESTRE]])</f>
        <v>30</v>
      </c>
      <c r="I626" s="17">
        <v>4000</v>
      </c>
      <c r="J626" s="17">
        <f>+Tabla1323[[#This Row],[CANTIDAD TOTAL]]*Tabla1323[[#This Row],[PRECIO UNITARIO ESTIMADO]]</f>
        <v>120000</v>
      </c>
      <c r="K626" s="17"/>
      <c r="L626" s="16" t="s">
        <v>27</v>
      </c>
      <c r="M626" s="16" t="s">
        <v>22</v>
      </c>
      <c r="N626" s="39" t="s">
        <v>418</v>
      </c>
      <c r="O626" s="20"/>
    </row>
    <row r="627" spans="1:21" s="12" customFormat="1">
      <c r="A627" s="15" t="s">
        <v>115</v>
      </c>
      <c r="B627" s="16" t="str">
        <f ca="1">+UPPER(Tabla1323[[#This Row],[DESCRIPCIÓN DE LA COMPRA O CONTRATACIÓN]])</f>
        <v>FACEPLATE</v>
      </c>
      <c r="C627" s="39" t="s">
        <v>17</v>
      </c>
      <c r="D627" s="39"/>
      <c r="E627" s="39">
        <v>50</v>
      </c>
      <c r="F627" s="39"/>
      <c r="G627" s="39">
        <v>50</v>
      </c>
      <c r="H627" s="41">
        <f>SUM(Tabla1323[[#This Row],[PRIMER TRIMESTRE]:[CUARTO TRIMESTRE]])</f>
        <v>100</v>
      </c>
      <c r="I627" s="17">
        <v>15</v>
      </c>
      <c r="J627" s="17">
        <f>+Tabla1323[[#This Row],[CANTIDAD TOTAL]]*Tabla1323[[#This Row],[PRECIO UNITARIO ESTIMADO]]</f>
        <v>1500</v>
      </c>
      <c r="K627" s="17"/>
      <c r="L627" s="16" t="s">
        <v>27</v>
      </c>
      <c r="M627" s="16" t="s">
        <v>22</v>
      </c>
      <c r="N627" s="39" t="s">
        <v>418</v>
      </c>
      <c r="O627" s="20"/>
    </row>
    <row r="628" spans="1:21" s="12" customFormat="1">
      <c r="A628" s="15" t="s">
        <v>115</v>
      </c>
      <c r="B628" s="16" t="str">
        <f ca="1">+UPPER(Tabla1323[[#This Row],[DESCRIPCIÓN DE LA COMPRA O CONTRATACIÓN]])</f>
        <v>CONECTORES JACK</v>
      </c>
      <c r="C628" s="39" t="s">
        <v>17</v>
      </c>
      <c r="D628" s="39"/>
      <c r="E628" s="39">
        <v>250</v>
      </c>
      <c r="F628" s="39"/>
      <c r="G628" s="39">
        <v>250</v>
      </c>
      <c r="H628" s="41">
        <f>SUM(Tabla1323[[#This Row],[PRIMER TRIMESTRE]:[CUARTO TRIMESTRE]])</f>
        <v>500</v>
      </c>
      <c r="I628" s="17">
        <v>125</v>
      </c>
      <c r="J628" s="17">
        <f>+Tabla1323[[#This Row],[CANTIDAD TOTAL]]*Tabla1323[[#This Row],[PRECIO UNITARIO ESTIMADO]]</f>
        <v>62500</v>
      </c>
      <c r="K628" s="17"/>
      <c r="L628" s="16" t="s">
        <v>27</v>
      </c>
      <c r="M628" s="16" t="s">
        <v>22</v>
      </c>
      <c r="N628" s="39" t="s">
        <v>418</v>
      </c>
      <c r="O628" s="20"/>
    </row>
    <row r="629" spans="1:21" s="12" customFormat="1">
      <c r="A629" s="15" t="s">
        <v>115</v>
      </c>
      <c r="B629" s="16" t="str">
        <f ca="1">+UPPER(Tabla1323[[#This Row],[DESCRIPCIÓN DE LA COMPRA O CONTRATACIÓN]])</f>
        <v>CAJAS 2X4 PARA FACEPLATE</v>
      </c>
      <c r="C629" s="39" t="s">
        <v>208</v>
      </c>
      <c r="D629" s="39"/>
      <c r="E629" s="39">
        <v>50</v>
      </c>
      <c r="F629" s="39"/>
      <c r="G629" s="39">
        <v>50</v>
      </c>
      <c r="H629" s="41">
        <f>SUM(Tabla1323[[#This Row],[PRIMER TRIMESTRE]:[CUARTO TRIMESTRE]])</f>
        <v>100</v>
      </c>
      <c r="I629" s="17">
        <v>30</v>
      </c>
      <c r="J629" s="17">
        <f>+Tabla1323[[#This Row],[CANTIDAD TOTAL]]*Tabla1323[[#This Row],[PRECIO UNITARIO ESTIMADO]]</f>
        <v>3000</v>
      </c>
      <c r="K629" s="17"/>
      <c r="L629" s="16" t="s">
        <v>27</v>
      </c>
      <c r="M629" s="16" t="s">
        <v>22</v>
      </c>
      <c r="N629" s="39" t="s">
        <v>418</v>
      </c>
      <c r="O629" s="20"/>
    </row>
    <row r="630" spans="1:21" s="12" customFormat="1">
      <c r="A630" s="15" t="s">
        <v>115</v>
      </c>
      <c r="B630" s="16" t="str">
        <f ca="1">+UPPER(Tabla1323[[#This Row],[DESCRIPCIÓN DE LA COMPRA O CONTRATACIÓN]])</f>
        <v>PATCHCORD DE 1 PIE</v>
      </c>
      <c r="C630" s="39" t="s">
        <v>17</v>
      </c>
      <c r="D630" s="39"/>
      <c r="E630" s="39">
        <v>300</v>
      </c>
      <c r="F630" s="39"/>
      <c r="G630" s="39">
        <v>300</v>
      </c>
      <c r="H630" s="41">
        <f>SUM(Tabla1323[[#This Row],[PRIMER TRIMESTRE]:[CUARTO TRIMESTRE]])</f>
        <v>600</v>
      </c>
      <c r="I630" s="17">
        <v>15</v>
      </c>
      <c r="J630" s="17">
        <f>+Tabla1323[[#This Row],[CANTIDAD TOTAL]]*Tabla1323[[#This Row],[PRECIO UNITARIO ESTIMADO]]</f>
        <v>9000</v>
      </c>
      <c r="K630" s="17"/>
      <c r="L630" s="16" t="s">
        <v>27</v>
      </c>
      <c r="M630" s="16" t="s">
        <v>22</v>
      </c>
      <c r="N630" s="39" t="s">
        <v>418</v>
      </c>
      <c r="O630" s="20"/>
    </row>
    <row r="631" spans="1:21" s="12" customFormat="1">
      <c r="A631" s="15" t="s">
        <v>115</v>
      </c>
      <c r="B631" s="16" t="str">
        <f ca="1">+UPPER(Tabla1323[[#This Row],[DESCRIPCIÓN DE LA COMPRA O CONTRATACIÓN]])</f>
        <v>PATCHCORDS DE 3 PIE</v>
      </c>
      <c r="C631" s="39" t="s">
        <v>17</v>
      </c>
      <c r="D631" s="39"/>
      <c r="E631" s="39">
        <v>150</v>
      </c>
      <c r="F631" s="39"/>
      <c r="G631" s="39">
        <v>150</v>
      </c>
      <c r="H631" s="41">
        <f>SUM(Tabla1323[[#This Row],[PRIMER TRIMESTRE]:[CUARTO TRIMESTRE]])</f>
        <v>300</v>
      </c>
      <c r="I631" s="17">
        <v>35</v>
      </c>
      <c r="J631" s="17">
        <f>+Tabla1323[[#This Row],[CANTIDAD TOTAL]]*Tabla1323[[#This Row],[PRECIO UNITARIO ESTIMADO]]</f>
        <v>10500</v>
      </c>
      <c r="K631" s="17"/>
      <c r="L631" s="16" t="s">
        <v>27</v>
      </c>
      <c r="M631" s="16" t="s">
        <v>22</v>
      </c>
      <c r="N631" s="39" t="s">
        <v>418</v>
      </c>
      <c r="O631" s="20"/>
    </row>
    <row r="632" spans="1:21" s="12" customFormat="1">
      <c r="A632" s="15" t="s">
        <v>115</v>
      </c>
      <c r="B632" s="16" t="str">
        <f ca="1">+UPPER(Tabla1323[[#This Row],[DESCRIPCIÓN DE LA COMPRA O CONTRATACIÓN]])</f>
        <v>CINTAS PARA BACKUP</v>
      </c>
      <c r="C632" s="39" t="s">
        <v>17</v>
      </c>
      <c r="D632" s="39"/>
      <c r="E632" s="39">
        <v>10</v>
      </c>
      <c r="F632" s="39"/>
      <c r="G632" s="39">
        <v>7</v>
      </c>
      <c r="H632" s="41">
        <f>SUM(Tabla1323[[#This Row],[PRIMER TRIMESTRE]:[CUARTO TRIMESTRE]])</f>
        <v>17</v>
      </c>
      <c r="I632" s="17">
        <v>1500</v>
      </c>
      <c r="J632" s="17">
        <f>+Tabla1323[[#This Row],[CANTIDAD TOTAL]]*Tabla1323[[#This Row],[PRECIO UNITARIO ESTIMADO]]</f>
        <v>25500</v>
      </c>
      <c r="K632" s="17"/>
      <c r="L632" s="16" t="s">
        <v>27</v>
      </c>
      <c r="M632" s="16" t="s">
        <v>22</v>
      </c>
      <c r="N632" s="39" t="s">
        <v>418</v>
      </c>
      <c r="O632" s="20"/>
    </row>
    <row r="633" spans="1:21" s="12" customFormat="1">
      <c r="A633" s="15" t="s">
        <v>115</v>
      </c>
      <c r="B633" s="16" t="str">
        <f ca="1">+UPPER(Tabla1323[[#This Row],[DESCRIPCIÓN DE LA COMPRA O CONTRATACIÓN]])</f>
        <v>SOFTWARE DE MONITOREO DE LA RED LAN/WAN</v>
      </c>
      <c r="C633" s="39" t="s">
        <v>17</v>
      </c>
      <c r="D633" s="39"/>
      <c r="E633" s="39">
        <v>1</v>
      </c>
      <c r="F633" s="39"/>
      <c r="G633" s="39"/>
      <c r="H633" s="41">
        <f>SUM(Tabla1323[[#This Row],[PRIMER TRIMESTRE]:[CUARTO TRIMESTRE]])</f>
        <v>1</v>
      </c>
      <c r="I633" s="17">
        <v>1230000</v>
      </c>
      <c r="J633" s="17">
        <f>+Tabla1323[[#This Row],[CANTIDAD TOTAL]]*Tabla1323[[#This Row],[PRECIO UNITARIO ESTIMADO]]</f>
        <v>1230000</v>
      </c>
      <c r="K633" s="17"/>
      <c r="L633" s="16" t="s">
        <v>27</v>
      </c>
      <c r="M633" s="16" t="s">
        <v>22</v>
      </c>
      <c r="N633" s="39" t="s">
        <v>418</v>
      </c>
      <c r="O633" s="20"/>
    </row>
    <row r="634" spans="1:21" s="12" customFormat="1" ht="31.5">
      <c r="A634" s="15" t="s">
        <v>115</v>
      </c>
      <c r="B634" s="16" t="str">
        <f ca="1">+UPPER(Tabla1323[[#This Row],[DESCRIPCIÓN DE LA COMPRA O CONTRATACIÓN]])</f>
        <v>DISCOS DUROS HP 1TB PARA AUMENTAR LA CAPACIDAD DE ALMACENAMIENTO.</v>
      </c>
      <c r="C634" s="39" t="s">
        <v>17</v>
      </c>
      <c r="D634" s="39"/>
      <c r="E634" s="39">
        <v>3</v>
      </c>
      <c r="F634" s="39"/>
      <c r="G634" s="39">
        <v>3</v>
      </c>
      <c r="H634" s="41">
        <f>SUM(Tabla1323[[#This Row],[PRIMER TRIMESTRE]:[CUARTO TRIMESTRE]])</f>
        <v>6</v>
      </c>
      <c r="I634" s="72">
        <v>33800</v>
      </c>
      <c r="J634" s="17">
        <f>+Tabla1323[[#This Row],[CANTIDAD TOTAL]]*Tabla1323[[#This Row],[PRECIO UNITARIO ESTIMADO]]</f>
        <v>202800</v>
      </c>
      <c r="K634" s="17"/>
      <c r="L634" s="16" t="s">
        <v>27</v>
      </c>
      <c r="M634" s="16" t="s">
        <v>19</v>
      </c>
      <c r="N634" s="39" t="s">
        <v>418</v>
      </c>
      <c r="O634" s="20"/>
    </row>
    <row r="635" spans="1:21" s="12" customFormat="1">
      <c r="A635" s="15" t="s">
        <v>115</v>
      </c>
      <c r="B635" s="75" t="s">
        <v>899</v>
      </c>
      <c r="C635" s="39" t="s">
        <v>17</v>
      </c>
      <c r="D635" s="39"/>
      <c r="E635" s="39">
        <v>1</v>
      </c>
      <c r="F635" s="39"/>
      <c r="G635" s="39"/>
      <c r="H635" s="41">
        <f>SUM(Tabla1323[[#This Row],[PRIMER TRIMESTRE]:[CUARTO TRIMESTRE]])</f>
        <v>1</v>
      </c>
      <c r="I635" s="17">
        <v>945000</v>
      </c>
      <c r="J635" s="17">
        <f>+Tabla1323[[#This Row],[CANTIDAD TOTAL]]*Tabla1323[[#This Row],[PRECIO UNITARIO ESTIMADO]]</f>
        <v>945000</v>
      </c>
      <c r="K635" s="17"/>
      <c r="L635" s="16" t="s">
        <v>27</v>
      </c>
      <c r="M635" s="16" t="s">
        <v>22</v>
      </c>
      <c r="N635" s="39" t="s">
        <v>418</v>
      </c>
      <c r="O635" s="20"/>
    </row>
    <row r="636" spans="1:21" s="12" customFormat="1" ht="35.25" customHeight="1">
      <c r="A636" s="15" t="s">
        <v>115</v>
      </c>
      <c r="B636" s="75" t="s">
        <v>900</v>
      </c>
      <c r="C636" s="39" t="s">
        <v>17</v>
      </c>
      <c r="D636" s="39"/>
      <c r="E636" s="39">
        <v>1</v>
      </c>
      <c r="F636" s="39"/>
      <c r="G636" s="39"/>
      <c r="H636" s="41">
        <f>SUM(Tabla1323[[#This Row],[PRIMER TRIMESTRE]:[CUARTO TRIMESTRE]])</f>
        <v>1</v>
      </c>
      <c r="I636" s="17">
        <v>1115000</v>
      </c>
      <c r="J636" s="17">
        <f>+Tabla1323[[#This Row],[CANTIDAD TOTAL]]*Tabla1323[[#This Row],[PRECIO UNITARIO ESTIMADO]]</f>
        <v>1115000</v>
      </c>
      <c r="K636" s="31"/>
      <c r="L636" s="16" t="s">
        <v>27</v>
      </c>
      <c r="M636" s="28" t="s">
        <v>22</v>
      </c>
      <c r="N636" s="39" t="s">
        <v>418</v>
      </c>
      <c r="O636" s="20"/>
    </row>
    <row r="637" spans="1:21" s="12" customFormat="1" ht="35.25" customHeight="1">
      <c r="A637" s="15" t="s">
        <v>115</v>
      </c>
      <c r="B637" s="75" t="s">
        <v>782</v>
      </c>
      <c r="C637" s="39" t="s">
        <v>17</v>
      </c>
      <c r="D637" s="39"/>
      <c r="E637" s="39">
        <v>2</v>
      </c>
      <c r="F637" s="39"/>
      <c r="G637" s="39">
        <v>2</v>
      </c>
      <c r="H637" s="41">
        <f>SUM(Tabla1323[[#This Row],[PRIMER TRIMESTRE]:[CUARTO TRIMESTRE]])</f>
        <v>4</v>
      </c>
      <c r="I637" s="17">
        <v>5000</v>
      </c>
      <c r="J637" s="17">
        <f>+Tabla1323[[#This Row],[CANTIDAD TOTAL]]*Tabla1323[[#This Row],[PRECIO UNITARIO ESTIMADO]]</f>
        <v>20000</v>
      </c>
      <c r="K637" s="17"/>
      <c r="L637" s="16" t="s">
        <v>27</v>
      </c>
      <c r="M637" s="16" t="s">
        <v>22</v>
      </c>
      <c r="N637" s="39" t="s">
        <v>418</v>
      </c>
      <c r="O637" s="18"/>
    </row>
    <row r="638" spans="1:21" s="12" customFormat="1" ht="35.25" customHeight="1">
      <c r="A638" s="15" t="s">
        <v>115</v>
      </c>
      <c r="B638" s="75" t="s">
        <v>783</v>
      </c>
      <c r="C638" s="39" t="s">
        <v>17</v>
      </c>
      <c r="D638" s="39"/>
      <c r="E638" s="39">
        <v>1</v>
      </c>
      <c r="F638" s="39"/>
      <c r="G638" s="39">
        <v>1</v>
      </c>
      <c r="H638" s="41">
        <f>SUM(Tabla1323[[#This Row],[PRIMER TRIMESTRE]:[CUARTO TRIMESTRE]])</f>
        <v>2</v>
      </c>
      <c r="I638" s="17">
        <v>62000</v>
      </c>
      <c r="J638" s="17">
        <f>+Tabla1323[[#This Row],[CANTIDAD TOTAL]]*Tabla1323[[#This Row],[PRECIO UNITARIO ESTIMADO]]</f>
        <v>124000</v>
      </c>
      <c r="K638" s="17"/>
      <c r="L638" s="16" t="s">
        <v>27</v>
      </c>
      <c r="M638" s="16" t="s">
        <v>22</v>
      </c>
      <c r="N638" s="39" t="s">
        <v>418</v>
      </c>
      <c r="O638" s="18"/>
    </row>
    <row r="639" spans="1:21" s="26" customFormat="1" ht="35.25" customHeight="1">
      <c r="A639" s="22" t="s">
        <v>115</v>
      </c>
      <c r="B639" s="76"/>
      <c r="C639" s="42"/>
      <c r="D639" s="42"/>
      <c r="E639" s="42"/>
      <c r="F639" s="42"/>
      <c r="G639" s="42"/>
      <c r="H639" s="43"/>
      <c r="I639" s="24"/>
      <c r="J639" s="24"/>
      <c r="K639" s="25">
        <f>SUM(J615:J638)</f>
        <v>7549543.5</v>
      </c>
      <c r="L639" s="23"/>
      <c r="M639" s="23"/>
      <c r="N639" s="42"/>
      <c r="O639" s="24"/>
      <c r="R639" s="27"/>
      <c r="U639" s="23"/>
    </row>
    <row r="640" spans="1:21" s="12" customFormat="1" ht="38.25" customHeight="1">
      <c r="A640" s="32" t="s">
        <v>120</v>
      </c>
      <c r="B640" s="75" t="s">
        <v>392</v>
      </c>
      <c r="C640" s="45" t="s">
        <v>208</v>
      </c>
      <c r="D640" s="39">
        <v>350</v>
      </c>
      <c r="E640" s="39"/>
      <c r="F640" s="39">
        <v>350</v>
      </c>
      <c r="G640" s="39"/>
      <c r="H640" s="41">
        <f>SUM(Tabla1323[[#This Row],[PRIMER TRIMESTRE]:[CUARTO TRIMESTRE]])</f>
        <v>700</v>
      </c>
      <c r="I640" s="17">
        <v>48.12</v>
      </c>
      <c r="J640" s="17">
        <f>+H640*I640</f>
        <v>33684</v>
      </c>
      <c r="K640" s="31"/>
      <c r="L640" s="16" t="s">
        <v>27</v>
      </c>
      <c r="M640" s="16" t="s">
        <v>22</v>
      </c>
      <c r="N640" s="45" t="s">
        <v>418</v>
      </c>
      <c r="O640" s="20"/>
    </row>
    <row r="641" spans="1:15" s="12" customFormat="1">
      <c r="A641" s="32" t="s">
        <v>120</v>
      </c>
      <c r="B641" s="75" t="s">
        <v>393</v>
      </c>
      <c r="C641" s="45" t="s">
        <v>208</v>
      </c>
      <c r="D641" s="39">
        <v>300</v>
      </c>
      <c r="E641" s="39"/>
      <c r="F641" s="39">
        <v>300</v>
      </c>
      <c r="G641" s="39"/>
      <c r="H641" s="41">
        <f>SUM(Tabla1323[[#This Row],[PRIMER TRIMESTRE]:[CUARTO TRIMESTRE]])</f>
        <v>600</v>
      </c>
      <c r="I641" s="17">
        <v>41.28</v>
      </c>
      <c r="J641" s="17">
        <f>+H641*I641</f>
        <v>24768</v>
      </c>
      <c r="K641" s="31"/>
      <c r="L641" s="16" t="s">
        <v>27</v>
      </c>
      <c r="M641" s="16" t="s">
        <v>22</v>
      </c>
      <c r="N641" s="45" t="s">
        <v>418</v>
      </c>
      <c r="O641" s="20"/>
    </row>
    <row r="642" spans="1:15" s="12" customFormat="1">
      <c r="A642" s="15" t="s">
        <v>120</v>
      </c>
      <c r="B642" s="75" t="s">
        <v>743</v>
      </c>
      <c r="C642" s="45" t="s">
        <v>208</v>
      </c>
      <c r="D642" s="39">
        <v>200</v>
      </c>
      <c r="E642" s="39"/>
      <c r="F642" s="39">
        <v>200</v>
      </c>
      <c r="G642" s="39"/>
      <c r="H642" s="41">
        <f>SUM(Tabla1323[[#This Row],[PRIMER TRIMESTRE]:[CUARTO TRIMESTRE]])</f>
        <v>400</v>
      </c>
      <c r="I642" s="17">
        <f>4.42*12</f>
        <v>53.04</v>
      </c>
      <c r="J642" s="17">
        <f>+H642*I642</f>
        <v>21216</v>
      </c>
      <c r="K642" s="17"/>
      <c r="L642" s="16" t="s">
        <v>27</v>
      </c>
      <c r="M642" s="16" t="s">
        <v>22</v>
      </c>
      <c r="N642" s="45" t="s">
        <v>418</v>
      </c>
      <c r="O642" s="18"/>
    </row>
    <row r="643" spans="1:15" s="12" customFormat="1">
      <c r="A643" s="32" t="s">
        <v>120</v>
      </c>
      <c r="B643" s="75" t="s">
        <v>398</v>
      </c>
      <c r="C643" s="45" t="s">
        <v>208</v>
      </c>
      <c r="D643" s="39">
        <v>300</v>
      </c>
      <c r="E643" s="39"/>
      <c r="F643" s="39">
        <v>300</v>
      </c>
      <c r="G643" s="39"/>
      <c r="H643" s="41">
        <f>SUM(Tabla1323[[#This Row],[PRIMER TRIMESTRE]:[CUARTO TRIMESTRE]])</f>
        <v>600</v>
      </c>
      <c r="I643" s="17">
        <v>22.42</v>
      </c>
      <c r="J643" s="17">
        <f>+H643*I643</f>
        <v>13452.000000000002</v>
      </c>
      <c r="K643" s="31"/>
      <c r="L643" s="16" t="s">
        <v>27</v>
      </c>
      <c r="M643" s="16" t="s">
        <v>22</v>
      </c>
      <c r="N643" s="45" t="s">
        <v>418</v>
      </c>
      <c r="O643" s="20"/>
    </row>
    <row r="644" spans="1:15" s="12" customFormat="1">
      <c r="A644" s="15" t="s">
        <v>120</v>
      </c>
      <c r="B644" s="75" t="s">
        <v>262</v>
      </c>
      <c r="C644" s="39" t="s">
        <v>17</v>
      </c>
      <c r="D644" s="39">
        <v>120</v>
      </c>
      <c r="E644" s="39"/>
      <c r="F644" s="39">
        <v>120</v>
      </c>
      <c r="G644" s="39"/>
      <c r="H644" s="41">
        <f>SUM(Tabla1323[[#This Row],[PRIMER TRIMESTRE]:[CUARTO TRIMESTRE]])</f>
        <v>240</v>
      </c>
      <c r="I644" s="17">
        <v>88.16</v>
      </c>
      <c r="J644" s="17">
        <f>+Tabla1323[[#This Row],[CANTIDAD TOTAL]]*Tabla1323[[#This Row],[PRECIO UNITARIO ESTIMADO]]</f>
        <v>21158.399999999998</v>
      </c>
      <c r="K644" s="31"/>
      <c r="L644" s="16" t="s">
        <v>27</v>
      </c>
      <c r="M644" s="16" t="s">
        <v>22</v>
      </c>
      <c r="N644" s="45" t="s">
        <v>418</v>
      </c>
      <c r="O644" s="20"/>
    </row>
    <row r="645" spans="1:15" s="12" customFormat="1">
      <c r="A645" s="65" t="s">
        <v>120</v>
      </c>
      <c r="B645" s="75" t="s">
        <v>748</v>
      </c>
      <c r="C645" s="67" t="s">
        <v>17</v>
      </c>
      <c r="D645" s="39">
        <v>150</v>
      </c>
      <c r="E645" s="39"/>
      <c r="F645" s="39">
        <v>150</v>
      </c>
      <c r="G645" s="39"/>
      <c r="H645" s="41">
        <f>SUM(Tabla1323[[#This Row],[PRIMER TRIMESTRE]:[CUARTO TRIMESTRE]])</f>
        <v>300</v>
      </c>
      <c r="I645" s="17">
        <v>463.74</v>
      </c>
      <c r="J645" s="17">
        <f>+H645*I645</f>
        <v>139122</v>
      </c>
      <c r="K645" s="68"/>
      <c r="L645" s="16" t="s">
        <v>27</v>
      </c>
      <c r="M645" s="66" t="s">
        <v>22</v>
      </c>
      <c r="N645" s="45" t="s">
        <v>418</v>
      </c>
      <c r="O645" s="69"/>
    </row>
    <row r="646" spans="1:15" s="12" customFormat="1">
      <c r="A646" s="15" t="s">
        <v>120</v>
      </c>
      <c r="B646" s="75" t="s">
        <v>263</v>
      </c>
      <c r="C646" s="39" t="s">
        <v>17</v>
      </c>
      <c r="D646" s="39">
        <v>200</v>
      </c>
      <c r="E646" s="39"/>
      <c r="F646" s="39">
        <v>200</v>
      </c>
      <c r="G646" s="39"/>
      <c r="H646" s="41">
        <f>SUM(Tabla1323[[#This Row],[PRIMER TRIMESTRE]:[CUARTO TRIMESTRE]])</f>
        <v>400</v>
      </c>
      <c r="I646" s="17">
        <v>217.02</v>
      </c>
      <c r="J646" s="17">
        <f>+Tabla1323[[#This Row],[CANTIDAD TOTAL]]*Tabla1323[[#This Row],[PRECIO UNITARIO ESTIMADO]]</f>
        <v>86808</v>
      </c>
      <c r="K646" s="31"/>
      <c r="L646" s="16" t="s">
        <v>27</v>
      </c>
      <c r="M646" s="16" t="s">
        <v>22</v>
      </c>
      <c r="N646" s="45" t="s">
        <v>418</v>
      </c>
      <c r="O646" s="20"/>
    </row>
    <row r="647" spans="1:15" s="12" customFormat="1">
      <c r="A647" s="65" t="s">
        <v>120</v>
      </c>
      <c r="B647" s="75" t="s">
        <v>749</v>
      </c>
      <c r="C647" s="67" t="s">
        <v>17</v>
      </c>
      <c r="D647" s="39">
        <v>75</v>
      </c>
      <c r="E647" s="39"/>
      <c r="F647" s="39">
        <v>75</v>
      </c>
      <c r="G647" s="39"/>
      <c r="H647" s="41">
        <f>SUM(Tabla1323[[#This Row],[PRIMER TRIMESTRE]:[CUARTO TRIMESTRE]])</f>
        <v>150</v>
      </c>
      <c r="I647" s="17">
        <v>186.44</v>
      </c>
      <c r="J647" s="17">
        <f>+H647*I647</f>
        <v>27966</v>
      </c>
      <c r="K647" s="68"/>
      <c r="L647" s="16" t="s">
        <v>27</v>
      </c>
      <c r="M647" s="66" t="s">
        <v>22</v>
      </c>
      <c r="N647" s="45" t="s">
        <v>418</v>
      </c>
      <c r="O647" s="69"/>
    </row>
    <row r="648" spans="1:15" s="12" customFormat="1">
      <c r="A648" s="65" t="s">
        <v>120</v>
      </c>
      <c r="B648" s="75" t="s">
        <v>750</v>
      </c>
      <c r="C648" s="67" t="s">
        <v>17</v>
      </c>
      <c r="D648" s="39">
        <v>50</v>
      </c>
      <c r="E648" s="39"/>
      <c r="F648" s="39">
        <v>50</v>
      </c>
      <c r="G648" s="39"/>
      <c r="H648" s="41">
        <f>SUM(Tabla1323[[#This Row],[PRIMER TRIMESTRE]:[CUARTO TRIMESTRE]])</f>
        <v>100</v>
      </c>
      <c r="I648" s="17">
        <v>129.80000000000001</v>
      </c>
      <c r="J648" s="17">
        <f>+H648*I648</f>
        <v>12980.000000000002</v>
      </c>
      <c r="K648" s="68"/>
      <c r="L648" s="16" t="s">
        <v>27</v>
      </c>
      <c r="M648" s="66" t="s">
        <v>22</v>
      </c>
      <c r="N648" s="45" t="s">
        <v>418</v>
      </c>
      <c r="O648" s="69"/>
    </row>
    <row r="649" spans="1:15" s="12" customFormat="1">
      <c r="A649" s="32" t="s">
        <v>120</v>
      </c>
      <c r="B649" s="75" t="s">
        <v>403</v>
      </c>
      <c r="C649" s="45" t="s">
        <v>416</v>
      </c>
      <c r="D649" s="39">
        <v>300</v>
      </c>
      <c r="E649" s="39"/>
      <c r="F649" s="39">
        <v>300</v>
      </c>
      <c r="G649" s="39"/>
      <c r="H649" s="41">
        <f>SUM(Tabla1323[[#This Row],[PRIMER TRIMESTRE]:[CUARTO TRIMESTRE]])</f>
        <v>600</v>
      </c>
      <c r="I649" s="17">
        <v>75</v>
      </c>
      <c r="J649" s="17">
        <f>+H649*I649</f>
        <v>45000</v>
      </c>
      <c r="K649" s="31"/>
      <c r="L649" s="16" t="s">
        <v>27</v>
      </c>
      <c r="M649" s="16" t="s">
        <v>22</v>
      </c>
      <c r="N649" s="45" t="s">
        <v>418</v>
      </c>
      <c r="O649" s="20"/>
    </row>
    <row r="650" spans="1:15" s="12" customFormat="1">
      <c r="A650" s="15" t="s">
        <v>120</v>
      </c>
      <c r="B650" s="75" t="s">
        <v>744</v>
      </c>
      <c r="C650" s="39" t="s">
        <v>17</v>
      </c>
      <c r="D650" s="39">
        <v>400</v>
      </c>
      <c r="E650" s="39"/>
      <c r="F650" s="39">
        <v>400</v>
      </c>
      <c r="G650" s="39"/>
      <c r="H650" s="41">
        <f>SUM(Tabla1323[[#This Row],[PRIMER TRIMESTRE]:[CUARTO TRIMESTRE]])</f>
        <v>800</v>
      </c>
      <c r="I650" s="17">
        <v>43.66</v>
      </c>
      <c r="J650" s="17">
        <f>+H650*I650</f>
        <v>34928</v>
      </c>
      <c r="K650" s="17"/>
      <c r="L650" s="16" t="s">
        <v>27</v>
      </c>
      <c r="M650" s="16" t="s">
        <v>22</v>
      </c>
      <c r="N650" s="45" t="s">
        <v>418</v>
      </c>
      <c r="O650" s="18"/>
    </row>
    <row r="651" spans="1:15" s="12" customFormat="1">
      <c r="A651" s="15" t="s">
        <v>120</v>
      </c>
      <c r="B651" s="75" t="s">
        <v>264</v>
      </c>
      <c r="C651" s="39" t="s">
        <v>17</v>
      </c>
      <c r="D651" s="39">
        <v>2</v>
      </c>
      <c r="E651" s="39"/>
      <c r="F651" s="39"/>
      <c r="G651" s="39"/>
      <c r="H651" s="41">
        <f>SUM(Tabla1323[[#This Row],[PRIMER TRIMESTRE]:[CUARTO TRIMESTRE]])</f>
        <v>2</v>
      </c>
      <c r="I651" s="17">
        <v>185</v>
      </c>
      <c r="J651" s="17">
        <f>+Tabla1323[[#This Row],[CANTIDAD TOTAL]]*Tabla1323[[#This Row],[PRECIO UNITARIO ESTIMADO]]</f>
        <v>370</v>
      </c>
      <c r="K651" s="31"/>
      <c r="L651" s="16" t="s">
        <v>27</v>
      </c>
      <c r="M651" s="16" t="s">
        <v>22</v>
      </c>
      <c r="N651" s="45" t="s">
        <v>418</v>
      </c>
      <c r="O651" s="20"/>
    </row>
    <row r="652" spans="1:15" s="12" customFormat="1">
      <c r="A652" s="15" t="s">
        <v>120</v>
      </c>
      <c r="B652" s="75" t="s">
        <v>745</v>
      </c>
      <c r="C652" s="39" t="s">
        <v>208</v>
      </c>
      <c r="D652" s="39">
        <v>125</v>
      </c>
      <c r="E652" s="39"/>
      <c r="F652" s="39">
        <v>125</v>
      </c>
      <c r="G652" s="39"/>
      <c r="H652" s="41">
        <f>SUM(Tabla1323[[#This Row],[PRIMER TRIMESTRE]:[CUARTO TRIMESTRE]])</f>
        <v>250</v>
      </c>
      <c r="I652" s="17">
        <v>43.66</v>
      </c>
      <c r="J652" s="17">
        <f t="shared" ref="J652:J668" si="13">+H652*I652</f>
        <v>10915</v>
      </c>
      <c r="K652" s="17"/>
      <c r="L652" s="16" t="s">
        <v>27</v>
      </c>
      <c r="M652" s="16" t="s">
        <v>22</v>
      </c>
      <c r="N652" s="45" t="s">
        <v>418</v>
      </c>
      <c r="O652" s="18"/>
    </row>
    <row r="653" spans="1:15" s="12" customFormat="1">
      <c r="A653" s="15" t="s">
        <v>120</v>
      </c>
      <c r="B653" s="75" t="s">
        <v>414</v>
      </c>
      <c r="C653" s="39" t="s">
        <v>417</v>
      </c>
      <c r="D653" s="39">
        <v>2000</v>
      </c>
      <c r="E653" s="39"/>
      <c r="F653" s="39">
        <v>2000</v>
      </c>
      <c r="G653" s="39"/>
      <c r="H653" s="41">
        <f>SUM(Tabla1323[[#This Row],[PRIMER TRIMESTRE]:[CUARTO TRIMESTRE]])</f>
        <v>4000</v>
      </c>
      <c r="I653" s="17">
        <v>13.57</v>
      </c>
      <c r="J653" s="17">
        <f t="shared" si="13"/>
        <v>54280</v>
      </c>
      <c r="K653" s="17"/>
      <c r="L653" s="16" t="s">
        <v>27</v>
      </c>
      <c r="M653" s="16" t="s">
        <v>22</v>
      </c>
      <c r="N653" s="45" t="s">
        <v>418</v>
      </c>
      <c r="O653" s="20"/>
    </row>
    <row r="654" spans="1:15" s="12" customFormat="1">
      <c r="A654" s="15" t="s">
        <v>120</v>
      </c>
      <c r="B654" s="75" t="s">
        <v>760</v>
      </c>
      <c r="C654" s="39" t="s">
        <v>208</v>
      </c>
      <c r="D654" s="39">
        <v>150</v>
      </c>
      <c r="E654" s="39"/>
      <c r="F654" s="39">
        <v>150</v>
      </c>
      <c r="G654" s="39"/>
      <c r="H654" s="41">
        <f>SUM(Tabla1323[[#This Row],[PRIMER TRIMESTRE]:[CUARTO TRIMESTRE]])</f>
        <v>300</v>
      </c>
      <c r="I654" s="17">
        <v>43.66</v>
      </c>
      <c r="J654" s="17">
        <f t="shared" si="13"/>
        <v>13097.999999999998</v>
      </c>
      <c r="K654" s="17"/>
      <c r="L654" s="16" t="s">
        <v>27</v>
      </c>
      <c r="M654" s="16" t="s">
        <v>22</v>
      </c>
      <c r="N654" s="45" t="s">
        <v>418</v>
      </c>
      <c r="O654" s="18"/>
    </row>
    <row r="655" spans="1:15" s="12" customFormat="1">
      <c r="A655" s="15" t="s">
        <v>120</v>
      </c>
      <c r="B655" s="75" t="s">
        <v>761</v>
      </c>
      <c r="C655" s="39" t="s">
        <v>208</v>
      </c>
      <c r="D655" s="39">
        <v>200</v>
      </c>
      <c r="E655" s="39"/>
      <c r="F655" s="39">
        <v>200</v>
      </c>
      <c r="G655" s="39"/>
      <c r="H655" s="41">
        <f>SUM(Tabla1323[[#This Row],[PRIMER TRIMESTRE]:[CUARTO TRIMESTRE]])</f>
        <v>400</v>
      </c>
      <c r="I655" s="17">
        <v>12.98</v>
      </c>
      <c r="J655" s="17">
        <f t="shared" si="13"/>
        <v>5192</v>
      </c>
      <c r="K655" s="17"/>
      <c r="L655" s="16" t="s">
        <v>27</v>
      </c>
      <c r="M655" s="16" t="s">
        <v>22</v>
      </c>
      <c r="N655" s="45" t="s">
        <v>418</v>
      </c>
      <c r="O655" s="18"/>
    </row>
    <row r="656" spans="1:15" s="12" customFormat="1">
      <c r="A656" s="32" t="s">
        <v>120</v>
      </c>
      <c r="B656" s="75" t="s">
        <v>399</v>
      </c>
      <c r="C656" s="45" t="s">
        <v>208</v>
      </c>
      <c r="D656" s="39">
        <v>200</v>
      </c>
      <c r="E656" s="39"/>
      <c r="F656" s="39">
        <v>200</v>
      </c>
      <c r="G656" s="39"/>
      <c r="H656" s="41">
        <f>SUM(Tabla1323[[#This Row],[PRIMER TRIMESTRE]:[CUARTO TRIMESTRE]])</f>
        <v>400</v>
      </c>
      <c r="I656" s="17">
        <v>86.81</v>
      </c>
      <c r="J656" s="17">
        <f t="shared" si="13"/>
        <v>34724</v>
      </c>
      <c r="K656" s="31"/>
      <c r="L656" s="16" t="s">
        <v>27</v>
      </c>
      <c r="M656" s="16" t="s">
        <v>22</v>
      </c>
      <c r="N656" s="45" t="s">
        <v>418</v>
      </c>
      <c r="O656" s="20"/>
    </row>
    <row r="657" spans="1:15" s="12" customFormat="1" ht="36" customHeight="1">
      <c r="A657" s="32" t="s">
        <v>120</v>
      </c>
      <c r="B657" s="75" t="s">
        <v>400</v>
      </c>
      <c r="C657" s="45" t="s">
        <v>208</v>
      </c>
      <c r="D657" s="39">
        <v>200</v>
      </c>
      <c r="E657" s="39"/>
      <c r="F657" s="39">
        <v>200</v>
      </c>
      <c r="G657" s="39"/>
      <c r="H657" s="41">
        <f>SUM(Tabla1323[[#This Row],[PRIMER TRIMESTRE]:[CUARTO TRIMESTRE]])</f>
        <v>400</v>
      </c>
      <c r="I657" s="17">
        <v>25.4</v>
      </c>
      <c r="J657" s="17">
        <f t="shared" si="13"/>
        <v>10160</v>
      </c>
      <c r="K657" s="31"/>
      <c r="L657" s="16" t="s">
        <v>27</v>
      </c>
      <c r="M657" s="16" t="s">
        <v>22</v>
      </c>
      <c r="N657" s="45" t="s">
        <v>418</v>
      </c>
      <c r="O657" s="20"/>
    </row>
    <row r="658" spans="1:15" s="12" customFormat="1" ht="25.5">
      <c r="A658" s="32" t="s">
        <v>120</v>
      </c>
      <c r="B658" s="75" t="s">
        <v>395</v>
      </c>
      <c r="C658" s="45" t="s">
        <v>208</v>
      </c>
      <c r="D658" s="39">
        <v>200</v>
      </c>
      <c r="E658" s="39"/>
      <c r="F658" s="39">
        <v>200</v>
      </c>
      <c r="G658" s="39"/>
      <c r="H658" s="41">
        <f>SUM(Tabla1323[[#This Row],[PRIMER TRIMESTRE]:[CUARTO TRIMESTRE]])</f>
        <v>400</v>
      </c>
      <c r="I658" s="17">
        <v>235.20000000000002</v>
      </c>
      <c r="J658" s="17">
        <f t="shared" si="13"/>
        <v>94080</v>
      </c>
      <c r="K658" s="31"/>
      <c r="L658" s="16" t="s">
        <v>27</v>
      </c>
      <c r="M658" s="16" t="s">
        <v>22</v>
      </c>
      <c r="N658" s="45" t="s">
        <v>418</v>
      </c>
      <c r="O658" s="20"/>
    </row>
    <row r="659" spans="1:15" s="12" customFormat="1">
      <c r="A659" s="15" t="s">
        <v>120</v>
      </c>
      <c r="B659" s="75" t="s">
        <v>746</v>
      </c>
      <c r="C659" s="39" t="s">
        <v>17</v>
      </c>
      <c r="D659" s="39">
        <v>100</v>
      </c>
      <c r="E659" s="39"/>
      <c r="F659" s="39">
        <v>100</v>
      </c>
      <c r="G659" s="39"/>
      <c r="H659" s="41">
        <f>SUM(Tabla1323[[#This Row],[PRIMER TRIMESTRE]:[CUARTO TRIMESTRE]])</f>
        <v>200</v>
      </c>
      <c r="I659" s="17">
        <v>23.32</v>
      </c>
      <c r="J659" s="17">
        <f t="shared" si="13"/>
        <v>4664</v>
      </c>
      <c r="K659" s="17"/>
      <c r="L659" s="16" t="s">
        <v>27</v>
      </c>
      <c r="M659" s="16" t="s">
        <v>22</v>
      </c>
      <c r="N659" s="45" t="s">
        <v>418</v>
      </c>
      <c r="O659" s="18"/>
    </row>
    <row r="660" spans="1:15" s="12" customFormat="1">
      <c r="A660" s="15" t="s">
        <v>120</v>
      </c>
      <c r="B660" s="75" t="s">
        <v>747</v>
      </c>
      <c r="C660" s="39" t="s">
        <v>17</v>
      </c>
      <c r="D660" s="39">
        <v>150</v>
      </c>
      <c r="E660" s="39"/>
      <c r="F660" s="39">
        <v>150</v>
      </c>
      <c r="G660" s="39"/>
      <c r="H660" s="41">
        <f>SUM(Tabla1323[[#This Row],[PRIMER TRIMESTRE]:[CUARTO TRIMESTRE]])</f>
        <v>300</v>
      </c>
      <c r="I660" s="17">
        <v>23.32</v>
      </c>
      <c r="J660" s="17">
        <f t="shared" si="13"/>
        <v>6996</v>
      </c>
      <c r="K660" s="17"/>
      <c r="L660" s="16" t="s">
        <v>27</v>
      </c>
      <c r="M660" s="16" t="s">
        <v>22</v>
      </c>
      <c r="N660" s="45" t="s">
        <v>418</v>
      </c>
      <c r="O660" s="18"/>
    </row>
    <row r="661" spans="1:15" s="12" customFormat="1" ht="36.75" customHeight="1">
      <c r="A661" s="32" t="s">
        <v>120</v>
      </c>
      <c r="B661" s="75" t="s">
        <v>396</v>
      </c>
      <c r="C661" s="45" t="s">
        <v>208</v>
      </c>
      <c r="D661" s="39">
        <v>250</v>
      </c>
      <c r="E661" s="39"/>
      <c r="F661" s="39">
        <v>250</v>
      </c>
      <c r="G661" s="39"/>
      <c r="H661" s="41">
        <f>SUM(Tabla1323[[#This Row],[PRIMER TRIMESTRE]:[CUARTO TRIMESTRE]])</f>
        <v>500</v>
      </c>
      <c r="I661" s="17">
        <v>194.7</v>
      </c>
      <c r="J661" s="17">
        <f t="shared" si="13"/>
        <v>97350</v>
      </c>
      <c r="K661" s="31"/>
      <c r="L661" s="16" t="s">
        <v>27</v>
      </c>
      <c r="M661" s="16" t="s">
        <v>22</v>
      </c>
      <c r="N661" s="45" t="s">
        <v>418</v>
      </c>
      <c r="O661" s="20"/>
    </row>
    <row r="662" spans="1:15" s="12" customFormat="1" ht="39" customHeight="1">
      <c r="A662" s="32" t="s">
        <v>120</v>
      </c>
      <c r="B662" s="75" t="s">
        <v>397</v>
      </c>
      <c r="C662" s="45" t="s">
        <v>208</v>
      </c>
      <c r="D662" s="39">
        <v>50</v>
      </c>
      <c r="E662" s="39"/>
      <c r="F662" s="39">
        <v>50</v>
      </c>
      <c r="G662" s="39"/>
      <c r="H662" s="41">
        <f>SUM(Tabla1323[[#This Row],[PRIMER TRIMESTRE]:[CUARTO TRIMESTRE]])</f>
        <v>100</v>
      </c>
      <c r="I662" s="17">
        <v>309.14</v>
      </c>
      <c r="J662" s="17">
        <f t="shared" si="13"/>
        <v>30914</v>
      </c>
      <c r="K662" s="31"/>
      <c r="L662" s="16" t="s">
        <v>27</v>
      </c>
      <c r="M662" s="16" t="s">
        <v>22</v>
      </c>
      <c r="N662" s="45" t="s">
        <v>418</v>
      </c>
      <c r="O662" s="20"/>
    </row>
    <row r="663" spans="1:15" s="12" customFormat="1">
      <c r="A663" s="32" t="s">
        <v>120</v>
      </c>
      <c r="B663" s="75" t="s">
        <v>402</v>
      </c>
      <c r="C663" s="45" t="s">
        <v>17</v>
      </c>
      <c r="D663" s="39">
        <v>150</v>
      </c>
      <c r="E663" s="39"/>
      <c r="F663" s="39">
        <v>150</v>
      </c>
      <c r="G663" s="39"/>
      <c r="H663" s="41">
        <f>SUM(Tabla1323[[#This Row],[PRIMER TRIMESTRE]:[CUARTO TRIMESTRE]])</f>
        <v>300</v>
      </c>
      <c r="I663" s="17">
        <v>182.9</v>
      </c>
      <c r="J663" s="17">
        <f t="shared" si="13"/>
        <v>54870</v>
      </c>
      <c r="K663" s="31"/>
      <c r="L663" s="16" t="s">
        <v>27</v>
      </c>
      <c r="M663" s="16" t="s">
        <v>22</v>
      </c>
      <c r="N663" s="45" t="s">
        <v>418</v>
      </c>
      <c r="O663" s="20"/>
    </row>
    <row r="664" spans="1:15" s="12" customFormat="1">
      <c r="A664" s="32" t="s">
        <v>120</v>
      </c>
      <c r="B664" s="75" t="s">
        <v>404</v>
      </c>
      <c r="C664" s="45" t="s">
        <v>255</v>
      </c>
      <c r="D664" s="39">
        <v>200</v>
      </c>
      <c r="E664" s="39"/>
      <c r="F664" s="39">
        <v>200</v>
      </c>
      <c r="G664" s="39"/>
      <c r="H664" s="41">
        <f>SUM(Tabla1323[[#This Row],[PRIMER TRIMESTRE]:[CUARTO TRIMESTRE]])</f>
        <v>400</v>
      </c>
      <c r="I664" s="17">
        <v>29.5</v>
      </c>
      <c r="J664" s="17">
        <f t="shared" si="13"/>
        <v>11800</v>
      </c>
      <c r="K664" s="31"/>
      <c r="L664" s="16" t="s">
        <v>27</v>
      </c>
      <c r="M664" s="16" t="s">
        <v>22</v>
      </c>
      <c r="N664" s="45" t="s">
        <v>418</v>
      </c>
      <c r="O664" s="20"/>
    </row>
    <row r="665" spans="1:15" s="12" customFormat="1">
      <c r="A665" s="32" t="s">
        <v>120</v>
      </c>
      <c r="B665" s="75" t="s">
        <v>254</v>
      </c>
      <c r="C665" s="45" t="s">
        <v>417</v>
      </c>
      <c r="D665" s="39">
        <v>200</v>
      </c>
      <c r="E665" s="39"/>
      <c r="F665" s="39">
        <v>200</v>
      </c>
      <c r="G665" s="39"/>
      <c r="H665" s="41">
        <f>SUM(Tabla1323[[#This Row],[PRIMER TRIMESTRE]:[CUARTO TRIMESTRE]])</f>
        <v>400</v>
      </c>
      <c r="I665" s="17">
        <v>12</v>
      </c>
      <c r="J665" s="17">
        <f t="shared" si="13"/>
        <v>4800</v>
      </c>
      <c r="K665" s="31"/>
      <c r="L665" s="16" t="s">
        <v>27</v>
      </c>
      <c r="M665" s="16" t="s">
        <v>22</v>
      </c>
      <c r="N665" s="45" t="s">
        <v>418</v>
      </c>
      <c r="O665" s="20"/>
    </row>
    <row r="666" spans="1:15" s="12" customFormat="1" ht="40.5" customHeight="1">
      <c r="A666" s="32" t="s">
        <v>120</v>
      </c>
      <c r="B666" s="75" t="s">
        <v>394</v>
      </c>
      <c r="C666" s="45" t="s">
        <v>208</v>
      </c>
      <c r="D666" s="39">
        <v>250</v>
      </c>
      <c r="E666" s="39"/>
      <c r="F666" s="39">
        <v>250</v>
      </c>
      <c r="G666" s="39"/>
      <c r="H666" s="41">
        <f>SUM(Tabla1323[[#This Row],[PRIMER TRIMESTRE]:[CUARTO TRIMESTRE]])</f>
        <v>500</v>
      </c>
      <c r="I666" s="17">
        <v>69.599999999999994</v>
      </c>
      <c r="J666" s="17">
        <f t="shared" si="13"/>
        <v>34800</v>
      </c>
      <c r="K666" s="31"/>
      <c r="L666" s="16" t="s">
        <v>27</v>
      </c>
      <c r="M666" s="16" t="s">
        <v>22</v>
      </c>
      <c r="N666" s="45" t="s">
        <v>418</v>
      </c>
      <c r="O666" s="20"/>
    </row>
    <row r="667" spans="1:15" s="12" customFormat="1">
      <c r="A667" s="32" t="s">
        <v>120</v>
      </c>
      <c r="B667" s="75" t="s">
        <v>408</v>
      </c>
      <c r="C667" s="45" t="s">
        <v>417</v>
      </c>
      <c r="D667" s="39">
        <v>200</v>
      </c>
      <c r="E667" s="39"/>
      <c r="F667" s="39">
        <v>200</v>
      </c>
      <c r="G667" s="39"/>
      <c r="H667" s="41">
        <f>SUM(Tabla1323[[#This Row],[PRIMER TRIMESTRE]:[CUARTO TRIMESTRE]])</f>
        <v>400</v>
      </c>
      <c r="I667" s="17">
        <v>43.7</v>
      </c>
      <c r="J667" s="17">
        <f t="shared" si="13"/>
        <v>17480</v>
      </c>
      <c r="K667" s="31"/>
      <c r="L667" s="16" t="s">
        <v>27</v>
      </c>
      <c r="M667" s="30" t="s">
        <v>22</v>
      </c>
      <c r="N667" s="45" t="s">
        <v>418</v>
      </c>
      <c r="O667" s="20"/>
    </row>
    <row r="668" spans="1:15" s="12" customFormat="1">
      <c r="A668" s="32" t="s">
        <v>120</v>
      </c>
      <c r="B668" s="75" t="s">
        <v>409</v>
      </c>
      <c r="C668" s="45" t="s">
        <v>417</v>
      </c>
      <c r="D668" s="39">
        <v>100</v>
      </c>
      <c r="E668" s="39"/>
      <c r="F668" s="39">
        <v>100</v>
      </c>
      <c r="G668" s="39"/>
      <c r="H668" s="41">
        <f>SUM(Tabla1323[[#This Row],[PRIMER TRIMESTRE]:[CUARTO TRIMESTRE]])</f>
        <v>200</v>
      </c>
      <c r="I668" s="17">
        <v>15.21</v>
      </c>
      <c r="J668" s="17">
        <f t="shared" si="13"/>
        <v>3042</v>
      </c>
      <c r="K668" s="31"/>
      <c r="L668" s="16" t="s">
        <v>27</v>
      </c>
      <c r="M668" s="30" t="s">
        <v>22</v>
      </c>
      <c r="N668" s="45" t="s">
        <v>418</v>
      </c>
      <c r="O668" s="20"/>
    </row>
    <row r="669" spans="1:15" s="12" customFormat="1">
      <c r="A669" s="15" t="s">
        <v>120</v>
      </c>
      <c r="B669" s="75" t="s">
        <v>265</v>
      </c>
      <c r="C669" s="39" t="s">
        <v>17</v>
      </c>
      <c r="D669" s="39">
        <v>15</v>
      </c>
      <c r="E669" s="39"/>
      <c r="F669" s="39">
        <v>10</v>
      </c>
      <c r="G669" s="39"/>
      <c r="H669" s="41">
        <f>SUM(Tabla1323[[#This Row],[PRIMER TRIMESTRE]:[CUARTO TRIMESTRE]])</f>
        <v>25</v>
      </c>
      <c r="I669" s="17">
        <v>185.6</v>
      </c>
      <c r="J669" s="17">
        <f>+Tabla1323[[#This Row],[CANTIDAD TOTAL]]*Tabla1323[[#This Row],[PRECIO UNITARIO ESTIMADO]]</f>
        <v>4640</v>
      </c>
      <c r="K669" s="31"/>
      <c r="L669" s="16" t="s">
        <v>27</v>
      </c>
      <c r="M669" s="16" t="s">
        <v>22</v>
      </c>
      <c r="N669" s="45" t="s">
        <v>418</v>
      </c>
      <c r="O669" s="20"/>
    </row>
    <row r="670" spans="1:15" s="12" customFormat="1">
      <c r="A670" s="15" t="s">
        <v>120</v>
      </c>
      <c r="B670" s="75" t="s">
        <v>261</v>
      </c>
      <c r="C670" s="39" t="s">
        <v>17</v>
      </c>
      <c r="D670" s="39">
        <v>150</v>
      </c>
      <c r="E670" s="39"/>
      <c r="F670" s="39">
        <v>150</v>
      </c>
      <c r="G670" s="39"/>
      <c r="H670" s="41">
        <f>SUM(Tabla1323[[#This Row],[PRIMER TRIMESTRE]:[CUARTO TRIMESTRE]])</f>
        <v>300</v>
      </c>
      <c r="I670" s="17">
        <v>148</v>
      </c>
      <c r="J670" s="17">
        <f>+Tabla1323[[#This Row],[CANTIDAD TOTAL]]*Tabla1323[[#This Row],[PRECIO UNITARIO ESTIMADO]]</f>
        <v>44400</v>
      </c>
      <c r="K670" s="31"/>
      <c r="L670" s="16" t="s">
        <v>27</v>
      </c>
      <c r="M670" s="16" t="s">
        <v>22</v>
      </c>
      <c r="N670" s="45" t="s">
        <v>418</v>
      </c>
      <c r="O670" s="20"/>
    </row>
    <row r="671" spans="1:15" s="12" customFormat="1">
      <c r="A671" s="15" t="s">
        <v>120</v>
      </c>
      <c r="B671" s="75" t="s">
        <v>751</v>
      </c>
      <c r="C671" s="39" t="s">
        <v>17</v>
      </c>
      <c r="D671" s="39">
        <v>75</v>
      </c>
      <c r="E671" s="39"/>
      <c r="F671" s="39">
        <v>75</v>
      </c>
      <c r="G671" s="39"/>
      <c r="H671" s="41">
        <f>SUM(Tabla1323[[#This Row],[PRIMER TRIMESTRE]:[CUARTO TRIMESTRE]])</f>
        <v>150</v>
      </c>
      <c r="I671" s="17">
        <v>15.54</v>
      </c>
      <c r="J671" s="17">
        <f>+H671*I671</f>
        <v>2331</v>
      </c>
      <c r="K671" s="17"/>
      <c r="L671" s="16" t="s">
        <v>27</v>
      </c>
      <c r="M671" s="16" t="s">
        <v>22</v>
      </c>
      <c r="N671" s="45" t="s">
        <v>418</v>
      </c>
      <c r="O671" s="18"/>
    </row>
    <row r="672" spans="1:15" s="12" customFormat="1">
      <c r="A672" s="15" t="s">
        <v>752</v>
      </c>
      <c r="B672" s="75" t="s">
        <v>754</v>
      </c>
      <c r="C672" s="39" t="s">
        <v>17</v>
      </c>
      <c r="D672" s="39">
        <v>75</v>
      </c>
      <c r="E672" s="39"/>
      <c r="F672" s="39">
        <v>75</v>
      </c>
      <c r="G672" s="39"/>
      <c r="H672" s="41">
        <f>SUM(Tabla1323[[#This Row],[PRIMER TRIMESTRE]:[CUARTO TRIMESTRE]])</f>
        <v>150</v>
      </c>
      <c r="I672" s="17">
        <v>15.54</v>
      </c>
      <c r="J672" s="17">
        <f>+H672*I672</f>
        <v>2331</v>
      </c>
      <c r="K672" s="17"/>
      <c r="L672" s="16" t="s">
        <v>27</v>
      </c>
      <c r="M672" s="16" t="s">
        <v>22</v>
      </c>
      <c r="N672" s="45" t="s">
        <v>418</v>
      </c>
      <c r="O672" s="18"/>
    </row>
    <row r="673" spans="1:15" s="12" customFormat="1">
      <c r="A673" s="15" t="s">
        <v>753</v>
      </c>
      <c r="B673" s="75" t="s">
        <v>755</v>
      </c>
      <c r="C673" s="39" t="s">
        <v>17</v>
      </c>
      <c r="D673" s="39">
        <v>75</v>
      </c>
      <c r="E673" s="39"/>
      <c r="F673" s="39">
        <v>75</v>
      </c>
      <c r="G673" s="39"/>
      <c r="H673" s="41">
        <f>SUM(Tabla1323[[#This Row],[PRIMER TRIMESTRE]:[CUARTO TRIMESTRE]])</f>
        <v>150</v>
      </c>
      <c r="I673" s="17">
        <v>15.54</v>
      </c>
      <c r="J673" s="17">
        <f>+H673*I673</f>
        <v>2331</v>
      </c>
      <c r="K673" s="17"/>
      <c r="L673" s="16" t="s">
        <v>27</v>
      </c>
      <c r="M673" s="16" t="s">
        <v>22</v>
      </c>
      <c r="N673" s="45" t="s">
        <v>418</v>
      </c>
      <c r="O673" s="18"/>
    </row>
    <row r="674" spans="1:15" s="12" customFormat="1">
      <c r="A674" s="32" t="s">
        <v>120</v>
      </c>
      <c r="B674" s="75" t="s">
        <v>390</v>
      </c>
      <c r="C674" s="39" t="s">
        <v>266</v>
      </c>
      <c r="D674" s="39">
        <v>2500</v>
      </c>
      <c r="E674" s="39"/>
      <c r="F674" s="39">
        <v>2500</v>
      </c>
      <c r="G674" s="39"/>
      <c r="H674" s="41">
        <f>SUM(Tabla1323[[#This Row],[PRIMER TRIMESTRE]:[CUARTO TRIMESTRE]])</f>
        <v>5000</v>
      </c>
      <c r="I674" s="17">
        <v>145.13999999999999</v>
      </c>
      <c r="J674" s="17">
        <f>+H674*I674</f>
        <v>725699.99999999988</v>
      </c>
      <c r="K674" s="31"/>
      <c r="L674" s="16" t="s">
        <v>27</v>
      </c>
      <c r="M674" s="16" t="s">
        <v>22</v>
      </c>
      <c r="N674" s="45" t="s">
        <v>418</v>
      </c>
      <c r="O674" s="20"/>
    </row>
    <row r="675" spans="1:15" s="12" customFormat="1">
      <c r="A675" s="32" t="s">
        <v>120</v>
      </c>
      <c r="B675" s="75" t="s">
        <v>391</v>
      </c>
      <c r="C675" s="45" t="s">
        <v>415</v>
      </c>
      <c r="D675" s="39">
        <v>200</v>
      </c>
      <c r="E675" s="39"/>
      <c r="F675" s="39">
        <v>200</v>
      </c>
      <c r="G675" s="39"/>
      <c r="H675" s="41">
        <f>SUM(Tabla1323[[#This Row],[PRIMER TRIMESTRE]:[CUARTO TRIMESTRE]])</f>
        <v>400</v>
      </c>
      <c r="I675" s="17">
        <v>214.76</v>
      </c>
      <c r="J675" s="17">
        <f>+H675*I675</f>
        <v>85904</v>
      </c>
      <c r="K675" s="31"/>
      <c r="L675" s="16" t="s">
        <v>27</v>
      </c>
      <c r="M675" s="30" t="s">
        <v>22</v>
      </c>
      <c r="N675" s="45" t="s">
        <v>418</v>
      </c>
      <c r="O675" s="20"/>
    </row>
    <row r="676" spans="1:15" s="12" customFormat="1">
      <c r="A676" s="15" t="s">
        <v>120</v>
      </c>
      <c r="B676" s="75" t="s">
        <v>267</v>
      </c>
      <c r="C676" s="39" t="s">
        <v>102</v>
      </c>
      <c r="D676" s="39">
        <v>5</v>
      </c>
      <c r="E676" s="39"/>
      <c r="F676" s="39"/>
      <c r="G676" s="39"/>
      <c r="H676" s="41">
        <f>SUM(Tabla1323[[#This Row],[PRIMER TRIMESTRE]:[CUARTO TRIMESTRE]])</f>
        <v>5</v>
      </c>
      <c r="I676" s="17">
        <v>1063.19</v>
      </c>
      <c r="J676" s="17">
        <f>+Tabla1323[[#This Row],[CANTIDAD TOTAL]]*Tabla1323[[#This Row],[PRECIO UNITARIO ESTIMADO]]</f>
        <v>5315.9500000000007</v>
      </c>
      <c r="K676" s="31"/>
      <c r="L676" s="16" t="s">
        <v>27</v>
      </c>
      <c r="M676" s="16" t="s">
        <v>22</v>
      </c>
      <c r="N676" s="45" t="s">
        <v>418</v>
      </c>
      <c r="O676" s="20"/>
    </row>
    <row r="677" spans="1:15" s="12" customFormat="1">
      <c r="A677" s="15" t="s">
        <v>120</v>
      </c>
      <c r="B677" s="75" t="s">
        <v>759</v>
      </c>
      <c r="C677" s="39" t="s">
        <v>208</v>
      </c>
      <c r="D677" s="39">
        <v>75</v>
      </c>
      <c r="E677" s="39"/>
      <c r="F677" s="39">
        <v>75</v>
      </c>
      <c r="G677" s="39"/>
      <c r="H677" s="41">
        <f>SUM(Tabla1323[[#This Row],[PRIMER TRIMESTRE]:[CUARTO TRIMESTRE]])</f>
        <v>150</v>
      </c>
      <c r="I677" s="17">
        <v>161.66</v>
      </c>
      <c r="J677" s="17">
        <f>+H677*I677</f>
        <v>24249</v>
      </c>
      <c r="K677" s="17"/>
      <c r="L677" s="16" t="s">
        <v>27</v>
      </c>
      <c r="M677" s="16" t="s">
        <v>22</v>
      </c>
      <c r="N677" s="45" t="s">
        <v>418</v>
      </c>
      <c r="O677" s="18"/>
    </row>
    <row r="678" spans="1:15" s="12" customFormat="1">
      <c r="A678" s="15" t="s">
        <v>120</v>
      </c>
      <c r="B678" s="75" t="s">
        <v>268</v>
      </c>
      <c r="C678" s="39" t="s">
        <v>208</v>
      </c>
      <c r="D678" s="39">
        <v>10</v>
      </c>
      <c r="E678" s="39"/>
      <c r="F678" s="39">
        <v>10</v>
      </c>
      <c r="G678" s="39"/>
      <c r="H678" s="41">
        <f>SUM(Tabla1323[[#This Row],[PRIMER TRIMESTRE]:[CUARTO TRIMESTRE]])</f>
        <v>20</v>
      </c>
      <c r="I678" s="17">
        <v>1450</v>
      </c>
      <c r="J678" s="17">
        <f>+Tabla1323[[#This Row],[CANTIDAD TOTAL]]*Tabla1323[[#This Row],[PRECIO UNITARIO ESTIMADO]]</f>
        <v>29000</v>
      </c>
      <c r="K678" s="31"/>
      <c r="L678" s="16" t="s">
        <v>27</v>
      </c>
      <c r="M678" s="16" t="s">
        <v>22</v>
      </c>
      <c r="N678" s="45" t="s">
        <v>418</v>
      </c>
      <c r="O678" s="20"/>
    </row>
    <row r="679" spans="1:15" s="12" customFormat="1">
      <c r="A679" s="15" t="s">
        <v>120</v>
      </c>
      <c r="B679" s="75" t="s">
        <v>269</v>
      </c>
      <c r="C679" s="39" t="s">
        <v>266</v>
      </c>
      <c r="D679" s="39">
        <v>10</v>
      </c>
      <c r="E679" s="39"/>
      <c r="F679" s="39">
        <v>10</v>
      </c>
      <c r="G679" s="39"/>
      <c r="H679" s="41">
        <f>SUM(Tabla1323[[#This Row],[PRIMER TRIMESTRE]:[CUARTO TRIMESTRE]])</f>
        <v>20</v>
      </c>
      <c r="I679" s="17">
        <v>2552</v>
      </c>
      <c r="J679" s="17">
        <f>+Tabla1323[[#This Row],[CANTIDAD TOTAL]]*Tabla1323[[#This Row],[PRECIO UNITARIO ESTIMADO]]</f>
        <v>51040</v>
      </c>
      <c r="K679" s="31"/>
      <c r="L679" s="16" t="s">
        <v>27</v>
      </c>
      <c r="M679" s="16" t="s">
        <v>22</v>
      </c>
      <c r="N679" s="45" t="s">
        <v>418</v>
      </c>
      <c r="O679" s="20"/>
    </row>
    <row r="680" spans="1:15" s="12" customFormat="1">
      <c r="A680" s="15" t="s">
        <v>120</v>
      </c>
      <c r="B680" s="75" t="s">
        <v>756</v>
      </c>
      <c r="C680" s="39" t="s">
        <v>234</v>
      </c>
      <c r="D680" s="39">
        <v>200</v>
      </c>
      <c r="E680" s="39"/>
      <c r="F680" s="39">
        <v>200</v>
      </c>
      <c r="G680" s="39"/>
      <c r="H680" s="41">
        <f>SUM(Tabla1323[[#This Row],[PRIMER TRIMESTRE]:[CUARTO TRIMESTRE]])</f>
        <v>400</v>
      </c>
      <c r="I680" s="17">
        <v>24.78</v>
      </c>
      <c r="J680" s="17">
        <f t="shared" ref="J680:J686" si="14">+H680*I680</f>
        <v>9912</v>
      </c>
      <c r="K680" s="17"/>
      <c r="L680" s="16" t="s">
        <v>27</v>
      </c>
      <c r="M680" s="16" t="s">
        <v>22</v>
      </c>
      <c r="N680" s="45" t="s">
        <v>418</v>
      </c>
      <c r="O680" s="18"/>
    </row>
    <row r="681" spans="1:15" s="12" customFormat="1">
      <c r="A681" s="15" t="s">
        <v>120</v>
      </c>
      <c r="B681" s="75" t="s">
        <v>763</v>
      </c>
      <c r="C681" s="39" t="s">
        <v>17</v>
      </c>
      <c r="D681" s="39">
        <v>100</v>
      </c>
      <c r="E681" s="39"/>
      <c r="F681" s="39">
        <v>100</v>
      </c>
      <c r="G681" s="39"/>
      <c r="H681" s="41">
        <f>SUM(Tabla1323[[#This Row],[PRIMER TRIMESTRE]:[CUARTO TRIMESTRE]])</f>
        <v>200</v>
      </c>
      <c r="I681" s="17">
        <v>186.44</v>
      </c>
      <c r="J681" s="17">
        <f t="shared" si="14"/>
        <v>37288</v>
      </c>
      <c r="K681" s="17"/>
      <c r="L681" s="16" t="s">
        <v>27</v>
      </c>
      <c r="M681" s="16" t="s">
        <v>22</v>
      </c>
      <c r="N681" s="45" t="s">
        <v>418</v>
      </c>
      <c r="O681" s="18"/>
    </row>
    <row r="682" spans="1:15" s="12" customFormat="1">
      <c r="A682" s="32" t="s">
        <v>120</v>
      </c>
      <c r="B682" s="75" t="s">
        <v>410</v>
      </c>
      <c r="C682" s="45" t="s">
        <v>417</v>
      </c>
      <c r="D682" s="39">
        <v>300</v>
      </c>
      <c r="E682" s="39"/>
      <c r="F682" s="39">
        <v>400</v>
      </c>
      <c r="G682" s="39"/>
      <c r="H682" s="41">
        <f>SUM(Tabla1323[[#This Row],[PRIMER TRIMESTRE]:[CUARTO TRIMESTRE]])</f>
        <v>700</v>
      </c>
      <c r="I682" s="17">
        <v>10</v>
      </c>
      <c r="J682" s="17">
        <f t="shared" si="14"/>
        <v>7000</v>
      </c>
      <c r="K682" s="31"/>
      <c r="L682" s="16" t="s">
        <v>27</v>
      </c>
      <c r="M682" s="30" t="s">
        <v>22</v>
      </c>
      <c r="N682" s="45" t="s">
        <v>418</v>
      </c>
      <c r="O682" s="20"/>
    </row>
    <row r="683" spans="1:15" s="12" customFormat="1">
      <c r="A683" s="32" t="s">
        <v>120</v>
      </c>
      <c r="B683" s="75" t="s">
        <v>411</v>
      </c>
      <c r="C683" s="45" t="s">
        <v>417</v>
      </c>
      <c r="D683" s="39">
        <v>400</v>
      </c>
      <c r="E683" s="39"/>
      <c r="F683" s="39">
        <v>400</v>
      </c>
      <c r="G683" s="39"/>
      <c r="H683" s="41">
        <f>SUM(Tabla1323[[#This Row],[PRIMER TRIMESTRE]:[CUARTO TRIMESTRE]])</f>
        <v>800</v>
      </c>
      <c r="I683" s="17">
        <v>14.37</v>
      </c>
      <c r="J683" s="17">
        <f t="shared" si="14"/>
        <v>11496</v>
      </c>
      <c r="K683" s="31"/>
      <c r="L683" s="16" t="s">
        <v>27</v>
      </c>
      <c r="M683" s="30" t="s">
        <v>22</v>
      </c>
      <c r="N683" s="45" t="s">
        <v>418</v>
      </c>
      <c r="O683" s="20"/>
    </row>
    <row r="684" spans="1:15" s="12" customFormat="1">
      <c r="A684" s="32" t="s">
        <v>120</v>
      </c>
      <c r="B684" s="75" t="s">
        <v>412</v>
      </c>
      <c r="C684" s="45" t="s">
        <v>417</v>
      </c>
      <c r="D684" s="39">
        <v>400</v>
      </c>
      <c r="E684" s="39"/>
      <c r="F684" s="39">
        <v>400</v>
      </c>
      <c r="G684" s="39"/>
      <c r="H684" s="41">
        <f>SUM(Tabla1323[[#This Row],[PRIMER TRIMESTRE]:[CUARTO TRIMESTRE]])</f>
        <v>800</v>
      </c>
      <c r="I684" s="17">
        <v>24.79</v>
      </c>
      <c r="J684" s="17">
        <f t="shared" si="14"/>
        <v>19832</v>
      </c>
      <c r="K684" s="31"/>
      <c r="L684" s="16" t="s">
        <v>27</v>
      </c>
      <c r="M684" s="30" t="s">
        <v>22</v>
      </c>
      <c r="N684" s="45" t="s">
        <v>418</v>
      </c>
      <c r="O684" s="20"/>
    </row>
    <row r="685" spans="1:15" s="12" customFormat="1">
      <c r="A685" s="32" t="s">
        <v>120</v>
      </c>
      <c r="B685" s="75" t="s">
        <v>413</v>
      </c>
      <c r="C685" s="45" t="s">
        <v>208</v>
      </c>
      <c r="D685" s="39">
        <v>100</v>
      </c>
      <c r="E685" s="39"/>
      <c r="F685" s="39">
        <v>100</v>
      </c>
      <c r="G685" s="39"/>
      <c r="H685" s="41">
        <f>SUM(Tabla1323[[#This Row],[PRIMER TRIMESTRE]:[CUARTO TRIMESTRE]])</f>
        <v>200</v>
      </c>
      <c r="I685" s="17">
        <v>371.09</v>
      </c>
      <c r="J685" s="17">
        <f t="shared" si="14"/>
        <v>74218</v>
      </c>
      <c r="K685" s="31"/>
      <c r="L685" s="16" t="s">
        <v>27</v>
      </c>
      <c r="M685" s="30" t="s">
        <v>22</v>
      </c>
      <c r="N685" s="45" t="s">
        <v>418</v>
      </c>
      <c r="O685" s="20"/>
    </row>
    <row r="686" spans="1:15" s="12" customFormat="1">
      <c r="A686" s="15" t="s">
        <v>120</v>
      </c>
      <c r="B686" s="75" t="s">
        <v>762</v>
      </c>
      <c r="C686" s="39" t="s">
        <v>208</v>
      </c>
      <c r="D686" s="39">
        <v>50</v>
      </c>
      <c r="E686" s="39"/>
      <c r="F686" s="39">
        <v>50</v>
      </c>
      <c r="G686" s="39"/>
      <c r="H686" s="41">
        <f>SUM(Tabla1323[[#This Row],[PRIMER TRIMESTRE]:[CUARTO TRIMESTRE]])</f>
        <v>100</v>
      </c>
      <c r="I686" s="17">
        <v>433.06</v>
      </c>
      <c r="J686" s="17">
        <f t="shared" si="14"/>
        <v>43306</v>
      </c>
      <c r="K686" s="17"/>
      <c r="L686" s="16" t="s">
        <v>27</v>
      </c>
      <c r="M686" s="16" t="s">
        <v>22</v>
      </c>
      <c r="N686" s="45" t="s">
        <v>418</v>
      </c>
      <c r="O686" s="18"/>
    </row>
    <row r="687" spans="1:15" s="12" customFormat="1">
      <c r="A687" s="15" t="s">
        <v>120</v>
      </c>
      <c r="B687" s="75" t="s">
        <v>270</v>
      </c>
      <c r="C687" s="39" t="s">
        <v>17</v>
      </c>
      <c r="D687" s="39">
        <v>35</v>
      </c>
      <c r="E687" s="39"/>
      <c r="F687" s="39">
        <v>35</v>
      </c>
      <c r="G687" s="39"/>
      <c r="H687" s="41">
        <f>SUM(Tabla1323[[#This Row],[PRIMER TRIMESTRE]:[CUARTO TRIMESTRE]])</f>
        <v>70</v>
      </c>
      <c r="I687" s="17">
        <v>9.2799999999999994</v>
      </c>
      <c r="J687" s="17">
        <f>+Tabla1323[[#This Row],[CANTIDAD TOTAL]]*Tabla1323[[#This Row],[PRECIO UNITARIO ESTIMADO]]</f>
        <v>649.59999999999991</v>
      </c>
      <c r="K687" s="31"/>
      <c r="L687" s="16" t="s">
        <v>27</v>
      </c>
      <c r="M687" s="16" t="s">
        <v>22</v>
      </c>
      <c r="N687" s="45" t="s">
        <v>418</v>
      </c>
      <c r="O687" s="20"/>
    </row>
    <row r="688" spans="1:15" s="12" customFormat="1">
      <c r="A688" s="32" t="s">
        <v>120</v>
      </c>
      <c r="B688" s="75" t="s">
        <v>405</v>
      </c>
      <c r="C688" s="45" t="s">
        <v>17</v>
      </c>
      <c r="D688" s="39">
        <v>200</v>
      </c>
      <c r="E688" s="39"/>
      <c r="F688" s="39">
        <v>200</v>
      </c>
      <c r="G688" s="39"/>
      <c r="H688" s="41">
        <f>SUM(Tabla1323[[#This Row],[PRIMER TRIMESTRE]:[CUARTO TRIMESTRE]])</f>
        <v>400</v>
      </c>
      <c r="I688" s="17">
        <v>11.21</v>
      </c>
      <c r="J688" s="17">
        <f>+H688*I688</f>
        <v>4484</v>
      </c>
      <c r="K688" s="31"/>
      <c r="L688" s="16" t="s">
        <v>27</v>
      </c>
      <c r="M688" s="16" t="s">
        <v>22</v>
      </c>
      <c r="N688" s="45" t="s">
        <v>418</v>
      </c>
      <c r="O688" s="20"/>
    </row>
    <row r="689" spans="1:15" s="12" customFormat="1">
      <c r="A689" s="32" t="s">
        <v>120</v>
      </c>
      <c r="B689" s="75" t="s">
        <v>406</v>
      </c>
      <c r="C689" s="45" t="s">
        <v>17</v>
      </c>
      <c r="D689" s="39">
        <v>200</v>
      </c>
      <c r="E689" s="39"/>
      <c r="F689" s="39">
        <v>200</v>
      </c>
      <c r="G689" s="39"/>
      <c r="H689" s="41">
        <f>SUM(Tabla1323[[#This Row],[PRIMER TRIMESTRE]:[CUARTO TRIMESTRE]])</f>
        <v>400</v>
      </c>
      <c r="I689" s="17">
        <v>10.56</v>
      </c>
      <c r="J689" s="17">
        <f>+H689*I689</f>
        <v>4224</v>
      </c>
      <c r="K689" s="31"/>
      <c r="L689" s="16" t="s">
        <v>27</v>
      </c>
      <c r="M689" s="30" t="s">
        <v>22</v>
      </c>
      <c r="N689" s="45" t="s">
        <v>418</v>
      </c>
      <c r="O689" s="20"/>
    </row>
    <row r="690" spans="1:15" s="12" customFormat="1">
      <c r="A690" s="32" t="s">
        <v>120</v>
      </c>
      <c r="B690" s="75" t="s">
        <v>407</v>
      </c>
      <c r="C690" s="45" t="s">
        <v>17</v>
      </c>
      <c r="D690" s="39">
        <v>200</v>
      </c>
      <c r="E690" s="39"/>
      <c r="F690" s="39">
        <v>200</v>
      </c>
      <c r="G690" s="39"/>
      <c r="H690" s="41">
        <f>SUM(Tabla1323[[#This Row],[PRIMER TRIMESTRE]:[CUARTO TRIMESTRE]])</f>
        <v>400</v>
      </c>
      <c r="I690" s="17">
        <v>11.21</v>
      </c>
      <c r="J690" s="17">
        <f>+H690*I690</f>
        <v>4484</v>
      </c>
      <c r="K690" s="31"/>
      <c r="L690" s="16" t="s">
        <v>27</v>
      </c>
      <c r="M690" s="30" t="s">
        <v>22</v>
      </c>
      <c r="N690" s="45" t="s">
        <v>418</v>
      </c>
      <c r="O690" s="20"/>
    </row>
    <row r="691" spans="1:15" s="12" customFormat="1">
      <c r="A691" s="15" t="s">
        <v>120</v>
      </c>
      <c r="B691" s="75" t="s">
        <v>742</v>
      </c>
      <c r="C691" s="44" t="s">
        <v>17</v>
      </c>
      <c r="D691" s="39">
        <v>100</v>
      </c>
      <c r="E691" s="39"/>
      <c r="F691" s="39">
        <v>100</v>
      </c>
      <c r="G691" s="39"/>
      <c r="H691" s="41">
        <f>SUM(Tabla1323[[#This Row],[PRIMER TRIMESTRE]:[CUARTO TRIMESTRE]])</f>
        <v>200</v>
      </c>
      <c r="I691" s="17">
        <v>53.1</v>
      </c>
      <c r="J691" s="17">
        <f>+Tabla1323[[#This Row],[CANTIDAD TOTAL]]*Tabla1323[[#This Row],[PRECIO UNITARIO ESTIMADO]]</f>
        <v>10620</v>
      </c>
      <c r="K691" s="31"/>
      <c r="L691" s="16" t="s">
        <v>27</v>
      </c>
      <c r="M691" s="30" t="s">
        <v>22</v>
      </c>
      <c r="N691" s="45" t="s">
        <v>418</v>
      </c>
      <c r="O691" s="20"/>
    </row>
    <row r="692" spans="1:15" s="12" customFormat="1">
      <c r="A692" s="32" t="s">
        <v>120</v>
      </c>
      <c r="B692" s="75" t="s">
        <v>271</v>
      </c>
      <c r="C692" s="45" t="s">
        <v>17</v>
      </c>
      <c r="D692" s="39">
        <v>150</v>
      </c>
      <c r="E692" s="39"/>
      <c r="F692" s="39">
        <v>150</v>
      </c>
      <c r="G692" s="39"/>
      <c r="H692" s="41">
        <f>SUM(Tabla1323[[#This Row],[PRIMER TRIMESTRE]:[CUARTO TRIMESTRE]])</f>
        <v>300</v>
      </c>
      <c r="I692" s="17">
        <v>18.399999999999999</v>
      </c>
      <c r="J692" s="17">
        <f>+H692*I692</f>
        <v>5520</v>
      </c>
      <c r="K692" s="31"/>
      <c r="L692" s="16" t="s">
        <v>27</v>
      </c>
      <c r="M692" s="16" t="s">
        <v>22</v>
      </c>
      <c r="N692" s="45" t="s">
        <v>418</v>
      </c>
      <c r="O692" s="20"/>
    </row>
    <row r="693" spans="1:15" s="12" customFormat="1">
      <c r="A693" s="15" t="s">
        <v>120</v>
      </c>
      <c r="B693" s="75" t="s">
        <v>757</v>
      </c>
      <c r="C693" s="39" t="s">
        <v>17</v>
      </c>
      <c r="D693" s="39">
        <v>100</v>
      </c>
      <c r="E693" s="39"/>
      <c r="F693" s="39">
        <v>100</v>
      </c>
      <c r="G693" s="39"/>
      <c r="H693" s="41">
        <f>SUM(Tabla1323[[#This Row],[PRIMER TRIMESTRE]:[CUARTO TRIMESTRE]])</f>
        <v>200</v>
      </c>
      <c r="I693" s="17">
        <v>12.92</v>
      </c>
      <c r="J693" s="17">
        <f>+H693*I693</f>
        <v>2584</v>
      </c>
      <c r="K693" s="17"/>
      <c r="L693" s="16" t="s">
        <v>27</v>
      </c>
      <c r="M693" s="16" t="s">
        <v>22</v>
      </c>
      <c r="N693" s="45" t="s">
        <v>418</v>
      </c>
      <c r="O693" s="18"/>
    </row>
    <row r="694" spans="1:15" s="12" customFormat="1">
      <c r="A694" s="15" t="s">
        <v>120</v>
      </c>
      <c r="B694" s="75" t="s">
        <v>325</v>
      </c>
      <c r="C694" s="44" t="s">
        <v>17</v>
      </c>
      <c r="D694" s="39">
        <v>500</v>
      </c>
      <c r="E694" s="39"/>
      <c r="F694" s="39">
        <v>500</v>
      </c>
      <c r="G694" s="39"/>
      <c r="H694" s="41">
        <f>SUM(Tabla1323[[#This Row],[PRIMER TRIMESTRE]:[CUARTO TRIMESTRE]])</f>
        <v>1000</v>
      </c>
      <c r="I694" s="17">
        <f>337351.26/1251</f>
        <v>269.66527577937649</v>
      </c>
      <c r="J694" s="17">
        <f>+Tabla1323[[#This Row],[CANTIDAD TOTAL]]*Tabla1323[[#This Row],[PRECIO UNITARIO ESTIMADO]]</f>
        <v>269665.2757793765</v>
      </c>
      <c r="K694" s="31"/>
      <c r="L694" s="16" t="s">
        <v>27</v>
      </c>
      <c r="M694" s="30" t="s">
        <v>22</v>
      </c>
      <c r="N694" s="45" t="s">
        <v>418</v>
      </c>
      <c r="O694" s="20"/>
    </row>
    <row r="695" spans="1:15" s="12" customFormat="1">
      <c r="A695" s="15" t="s">
        <v>120</v>
      </c>
      <c r="B695" s="75" t="s">
        <v>784</v>
      </c>
      <c r="C695" s="39" t="s">
        <v>17</v>
      </c>
      <c r="D695" s="39">
        <v>300</v>
      </c>
      <c r="E695" s="39"/>
      <c r="F695" s="39">
        <v>300</v>
      </c>
      <c r="G695" s="39"/>
      <c r="H695" s="41">
        <f>SUM(Tabla1323[[#This Row],[PRIMER TRIMESTRE]:[CUARTO TRIMESTRE]])</f>
        <v>600</v>
      </c>
      <c r="I695" s="72">
        <f>20*1.18</f>
        <v>23.599999999999998</v>
      </c>
      <c r="J695" s="17">
        <f>+H695*I695</f>
        <v>14159.999999999998</v>
      </c>
      <c r="K695" s="17"/>
      <c r="L695" s="16" t="s">
        <v>27</v>
      </c>
      <c r="M695" s="16" t="s">
        <v>22</v>
      </c>
      <c r="N695" s="45" t="s">
        <v>418</v>
      </c>
      <c r="O695" s="18"/>
    </row>
    <row r="696" spans="1:15" s="12" customFormat="1">
      <c r="A696" s="15" t="s">
        <v>120</v>
      </c>
      <c r="B696" s="75" t="s">
        <v>785</v>
      </c>
      <c r="C696" s="39" t="s">
        <v>17</v>
      </c>
      <c r="D696" s="39">
        <v>300</v>
      </c>
      <c r="E696" s="39"/>
      <c r="F696" s="39">
        <v>300</v>
      </c>
      <c r="G696" s="39"/>
      <c r="H696" s="41">
        <f>SUM(Tabla1323[[#This Row],[PRIMER TRIMESTRE]:[CUARTO TRIMESTRE]])</f>
        <v>600</v>
      </c>
      <c r="I696" s="72">
        <f>4*1.18</f>
        <v>4.72</v>
      </c>
      <c r="J696" s="17">
        <f>+H696*I696</f>
        <v>2832</v>
      </c>
      <c r="K696" s="17"/>
      <c r="L696" s="16" t="s">
        <v>27</v>
      </c>
      <c r="M696" s="16" t="s">
        <v>22</v>
      </c>
      <c r="N696" s="45" t="s">
        <v>418</v>
      </c>
      <c r="O696" s="18"/>
    </row>
    <row r="697" spans="1:15" s="12" customFormat="1">
      <c r="A697" s="15" t="s">
        <v>120</v>
      </c>
      <c r="B697" s="75" t="s">
        <v>272</v>
      </c>
      <c r="C697" s="39" t="s">
        <v>17</v>
      </c>
      <c r="D697" s="39">
        <v>36</v>
      </c>
      <c r="E697" s="39"/>
      <c r="F697" s="39">
        <v>35</v>
      </c>
      <c r="G697" s="39"/>
      <c r="H697" s="41">
        <f>SUM(Tabla1323[[#This Row],[PRIMER TRIMESTRE]:[CUARTO TRIMESTRE]])</f>
        <v>71</v>
      </c>
      <c r="I697" s="17">
        <v>348</v>
      </c>
      <c r="J697" s="17">
        <f>+Tabla1323[[#This Row],[CANTIDAD TOTAL]]*Tabla1323[[#This Row],[PRECIO UNITARIO ESTIMADO]]</f>
        <v>24708</v>
      </c>
      <c r="K697" s="31"/>
      <c r="L697" s="16" t="s">
        <v>27</v>
      </c>
      <c r="M697" s="16" t="s">
        <v>22</v>
      </c>
      <c r="N697" s="45" t="s">
        <v>418</v>
      </c>
      <c r="O697" s="20"/>
    </row>
    <row r="698" spans="1:15" s="12" customFormat="1" ht="20.25" customHeight="1">
      <c r="A698" s="32" t="s">
        <v>120</v>
      </c>
      <c r="B698" s="75" t="s">
        <v>401</v>
      </c>
      <c r="C698" s="45" t="s">
        <v>17</v>
      </c>
      <c r="D698" s="39">
        <v>50</v>
      </c>
      <c r="E698" s="39"/>
      <c r="F698" s="39">
        <v>50</v>
      </c>
      <c r="G698" s="39"/>
      <c r="H698" s="41">
        <f>SUM(Tabla1323[[#This Row],[PRIMER TRIMESTRE]:[CUARTO TRIMESTRE]])</f>
        <v>100</v>
      </c>
      <c r="I698" s="17">
        <v>19.55</v>
      </c>
      <c r="J698" s="17">
        <f>+H698*I698</f>
        <v>1955</v>
      </c>
      <c r="K698" s="31"/>
      <c r="L698" s="16" t="s">
        <v>27</v>
      </c>
      <c r="M698" s="30" t="s">
        <v>22</v>
      </c>
      <c r="N698" s="45" t="s">
        <v>418</v>
      </c>
      <c r="O698" s="20"/>
    </row>
    <row r="699" spans="1:15" s="12" customFormat="1" ht="20.25" customHeight="1">
      <c r="A699" s="15" t="s">
        <v>120</v>
      </c>
      <c r="B699" s="75" t="s">
        <v>758</v>
      </c>
      <c r="C699" s="39" t="s">
        <v>17</v>
      </c>
      <c r="D699" s="39">
        <v>50</v>
      </c>
      <c r="E699" s="39"/>
      <c r="F699" s="39">
        <v>50</v>
      </c>
      <c r="G699" s="39"/>
      <c r="H699" s="41">
        <f>SUM(Tabla1323[[#This Row],[PRIMER TRIMESTRE]:[CUARTO TRIMESTRE]])</f>
        <v>100</v>
      </c>
      <c r="I699" s="17">
        <v>61.95</v>
      </c>
      <c r="J699" s="17">
        <f>+H699*I699</f>
        <v>6195</v>
      </c>
      <c r="K699" s="17"/>
      <c r="L699" s="16" t="s">
        <v>27</v>
      </c>
      <c r="M699" s="16" t="s">
        <v>22</v>
      </c>
      <c r="N699" s="45" t="s">
        <v>418</v>
      </c>
      <c r="O699" s="18"/>
    </row>
    <row r="700" spans="1:15" s="12" customFormat="1">
      <c r="A700" s="32" t="s">
        <v>120</v>
      </c>
      <c r="B700" s="78" t="s">
        <v>477</v>
      </c>
      <c r="C700" s="45" t="s">
        <v>417</v>
      </c>
      <c r="D700" s="39">
        <v>80</v>
      </c>
      <c r="E700" s="39"/>
      <c r="F700" s="39">
        <v>80</v>
      </c>
      <c r="G700" s="39"/>
      <c r="H700" s="41">
        <f>SUM(Tabla1323[[#This Row],[PRIMER TRIMESTRE]:[CUARTO TRIMESTRE]])</f>
        <v>160</v>
      </c>
      <c r="I700" s="17">
        <v>650</v>
      </c>
      <c r="J700" s="17">
        <f>+H700*I700</f>
        <v>104000</v>
      </c>
      <c r="K700" s="31"/>
      <c r="L700" s="16" t="s">
        <v>27</v>
      </c>
      <c r="M700" s="30" t="s">
        <v>22</v>
      </c>
      <c r="N700" s="45" t="s">
        <v>418</v>
      </c>
      <c r="O700" s="20"/>
    </row>
    <row r="701" spans="1:15" s="12" customFormat="1">
      <c r="A701" s="32" t="s">
        <v>120</v>
      </c>
      <c r="B701" s="78" t="s">
        <v>478</v>
      </c>
      <c r="C701" s="45" t="s">
        <v>417</v>
      </c>
      <c r="D701" s="39">
        <v>80</v>
      </c>
      <c r="E701" s="39"/>
      <c r="F701" s="39">
        <v>80</v>
      </c>
      <c r="G701" s="39"/>
      <c r="H701" s="41">
        <f>SUM(Tabla1323[[#This Row],[PRIMER TRIMESTRE]:[CUARTO TRIMESTRE]])</f>
        <v>160</v>
      </c>
      <c r="I701" s="17">
        <v>950</v>
      </c>
      <c r="J701" s="17">
        <f>+H701*I701</f>
        <v>152000</v>
      </c>
      <c r="K701" s="31"/>
      <c r="L701" s="16" t="s">
        <v>27</v>
      </c>
      <c r="M701" s="30" t="s">
        <v>22</v>
      </c>
      <c r="N701" s="45" t="s">
        <v>418</v>
      </c>
      <c r="O701" s="20"/>
    </row>
    <row r="702" spans="1:15" s="12" customFormat="1">
      <c r="A702" s="32" t="s">
        <v>120</v>
      </c>
      <c r="B702" s="79" t="s">
        <v>479</v>
      </c>
      <c r="C702" s="45" t="s">
        <v>417</v>
      </c>
      <c r="D702" s="39">
        <v>25</v>
      </c>
      <c r="E702" s="39"/>
      <c r="F702" s="39">
        <v>25</v>
      </c>
      <c r="G702" s="39"/>
      <c r="H702" s="41">
        <f>SUM(Tabla1323[[#This Row],[PRIMER TRIMESTRE]:[CUARTO TRIMESTRE]])</f>
        <v>50</v>
      </c>
      <c r="I702" s="17">
        <v>650</v>
      </c>
      <c r="J702" s="17">
        <f t="shared" ref="J702:J765" si="15">+H702*I702</f>
        <v>32500</v>
      </c>
      <c r="K702" s="31"/>
      <c r="L702" s="16" t="s">
        <v>27</v>
      </c>
      <c r="M702" s="30" t="s">
        <v>22</v>
      </c>
      <c r="N702" s="45" t="s">
        <v>418</v>
      </c>
      <c r="O702" s="20"/>
    </row>
    <row r="703" spans="1:15" s="12" customFormat="1">
      <c r="A703" s="32" t="s">
        <v>120</v>
      </c>
      <c r="B703" s="78" t="s">
        <v>480</v>
      </c>
      <c r="C703" s="45" t="s">
        <v>417</v>
      </c>
      <c r="D703" s="39">
        <v>25</v>
      </c>
      <c r="E703" s="39"/>
      <c r="F703" s="39">
        <v>25</v>
      </c>
      <c r="G703" s="39"/>
      <c r="H703" s="41">
        <f>SUM(Tabla1323[[#This Row],[PRIMER TRIMESTRE]:[CUARTO TRIMESTRE]])</f>
        <v>50</v>
      </c>
      <c r="I703" s="17">
        <v>800</v>
      </c>
      <c r="J703" s="17">
        <f t="shared" si="15"/>
        <v>40000</v>
      </c>
      <c r="K703" s="31"/>
      <c r="L703" s="16" t="s">
        <v>27</v>
      </c>
      <c r="M703" s="30" t="s">
        <v>22</v>
      </c>
      <c r="N703" s="45" t="s">
        <v>418</v>
      </c>
      <c r="O703" s="20"/>
    </row>
    <row r="704" spans="1:15" s="12" customFormat="1">
      <c r="A704" s="32" t="s">
        <v>120</v>
      </c>
      <c r="B704" s="78" t="s">
        <v>481</v>
      </c>
      <c r="C704" s="45" t="s">
        <v>417</v>
      </c>
      <c r="D704" s="39">
        <v>15</v>
      </c>
      <c r="E704" s="39"/>
      <c r="F704" s="39">
        <v>15</v>
      </c>
      <c r="G704" s="39"/>
      <c r="H704" s="41">
        <f>SUM(Tabla1323[[#This Row],[PRIMER TRIMESTRE]:[CUARTO TRIMESTRE]])</f>
        <v>30</v>
      </c>
      <c r="I704" s="17">
        <v>1190</v>
      </c>
      <c r="J704" s="17">
        <f t="shared" si="15"/>
        <v>35700</v>
      </c>
      <c r="K704" s="31"/>
      <c r="L704" s="16" t="s">
        <v>27</v>
      </c>
      <c r="M704" s="30" t="s">
        <v>22</v>
      </c>
      <c r="N704" s="45" t="s">
        <v>418</v>
      </c>
      <c r="O704" s="20"/>
    </row>
    <row r="705" spans="1:15" s="12" customFormat="1">
      <c r="A705" s="32" t="s">
        <v>120</v>
      </c>
      <c r="B705" s="78" t="s">
        <v>482</v>
      </c>
      <c r="C705" s="45" t="s">
        <v>417</v>
      </c>
      <c r="D705" s="39">
        <v>15</v>
      </c>
      <c r="E705" s="39"/>
      <c r="F705" s="39">
        <v>15</v>
      </c>
      <c r="G705" s="39"/>
      <c r="H705" s="41">
        <f>SUM(Tabla1323[[#This Row],[PRIMER TRIMESTRE]:[CUARTO TRIMESTRE]])</f>
        <v>30</v>
      </c>
      <c r="I705" s="17">
        <v>1050</v>
      </c>
      <c r="J705" s="17">
        <f t="shared" si="15"/>
        <v>31500</v>
      </c>
      <c r="K705" s="31"/>
      <c r="L705" s="16" t="s">
        <v>27</v>
      </c>
      <c r="M705" s="30" t="s">
        <v>22</v>
      </c>
      <c r="N705" s="45" t="s">
        <v>418</v>
      </c>
      <c r="O705" s="20"/>
    </row>
    <row r="706" spans="1:15" s="12" customFormat="1">
      <c r="A706" s="32" t="s">
        <v>120</v>
      </c>
      <c r="B706" s="78" t="s">
        <v>483</v>
      </c>
      <c r="C706" s="45" t="s">
        <v>417</v>
      </c>
      <c r="D706" s="39">
        <v>5</v>
      </c>
      <c r="E706" s="39"/>
      <c r="F706" s="39">
        <v>5</v>
      </c>
      <c r="G706" s="39"/>
      <c r="H706" s="41">
        <f>SUM(Tabla1323[[#This Row],[PRIMER TRIMESTRE]:[CUARTO TRIMESTRE]])</f>
        <v>10</v>
      </c>
      <c r="I706" s="17">
        <v>990</v>
      </c>
      <c r="J706" s="17">
        <f t="shared" si="15"/>
        <v>9900</v>
      </c>
      <c r="K706" s="31"/>
      <c r="L706" s="16" t="s">
        <v>27</v>
      </c>
      <c r="M706" s="30" t="s">
        <v>22</v>
      </c>
      <c r="N706" s="45" t="s">
        <v>418</v>
      </c>
      <c r="O706" s="20"/>
    </row>
    <row r="707" spans="1:15" s="12" customFormat="1">
      <c r="A707" s="32" t="s">
        <v>120</v>
      </c>
      <c r="B707" s="78" t="s">
        <v>484</v>
      </c>
      <c r="C707" s="45" t="s">
        <v>417</v>
      </c>
      <c r="D707" s="39">
        <v>75</v>
      </c>
      <c r="E707" s="39"/>
      <c r="F707" s="39">
        <v>75</v>
      </c>
      <c r="G707" s="39"/>
      <c r="H707" s="41">
        <f>SUM(Tabla1323[[#This Row],[PRIMER TRIMESTRE]:[CUARTO TRIMESTRE]])</f>
        <v>150</v>
      </c>
      <c r="I707" s="17">
        <v>450</v>
      </c>
      <c r="J707" s="17">
        <f t="shared" si="15"/>
        <v>67500</v>
      </c>
      <c r="K707" s="31"/>
      <c r="L707" s="16" t="s">
        <v>27</v>
      </c>
      <c r="M707" s="30" t="s">
        <v>22</v>
      </c>
      <c r="N707" s="45" t="s">
        <v>418</v>
      </c>
      <c r="O707" s="20"/>
    </row>
    <row r="708" spans="1:15" s="12" customFormat="1">
      <c r="A708" s="32" t="s">
        <v>120</v>
      </c>
      <c r="B708" s="78" t="s">
        <v>485</v>
      </c>
      <c r="C708" s="45" t="s">
        <v>417</v>
      </c>
      <c r="D708" s="39">
        <v>70</v>
      </c>
      <c r="E708" s="39"/>
      <c r="F708" s="39">
        <v>70</v>
      </c>
      <c r="G708" s="39"/>
      <c r="H708" s="41">
        <f>SUM(Tabla1323[[#This Row],[PRIMER TRIMESTRE]:[CUARTO TRIMESTRE]])</f>
        <v>140</v>
      </c>
      <c r="I708" s="17">
        <v>550</v>
      </c>
      <c r="J708" s="17">
        <f t="shared" si="15"/>
        <v>77000</v>
      </c>
      <c r="K708" s="31"/>
      <c r="L708" s="16" t="s">
        <v>27</v>
      </c>
      <c r="M708" s="30" t="s">
        <v>22</v>
      </c>
      <c r="N708" s="45" t="s">
        <v>418</v>
      </c>
      <c r="O708" s="20"/>
    </row>
    <row r="709" spans="1:15" s="12" customFormat="1">
      <c r="A709" s="32" t="s">
        <v>120</v>
      </c>
      <c r="B709" s="78" t="s">
        <v>486</v>
      </c>
      <c r="C709" s="45" t="s">
        <v>417</v>
      </c>
      <c r="D709" s="39">
        <v>5</v>
      </c>
      <c r="E709" s="39"/>
      <c r="F709" s="39">
        <v>5</v>
      </c>
      <c r="G709" s="39"/>
      <c r="H709" s="41">
        <f>SUM(Tabla1323[[#This Row],[PRIMER TRIMESTRE]:[CUARTO TRIMESTRE]])</f>
        <v>10</v>
      </c>
      <c r="I709" s="17">
        <v>1000</v>
      </c>
      <c r="J709" s="17">
        <f t="shared" si="15"/>
        <v>10000</v>
      </c>
      <c r="K709" s="31"/>
      <c r="L709" s="16" t="s">
        <v>27</v>
      </c>
      <c r="M709" s="30" t="s">
        <v>22</v>
      </c>
      <c r="N709" s="45" t="s">
        <v>418</v>
      </c>
      <c r="O709" s="20"/>
    </row>
    <row r="710" spans="1:15" s="12" customFormat="1">
      <c r="A710" s="32" t="s">
        <v>120</v>
      </c>
      <c r="B710" s="78" t="s">
        <v>487</v>
      </c>
      <c r="C710" s="45" t="s">
        <v>417</v>
      </c>
      <c r="D710" s="39">
        <v>5</v>
      </c>
      <c r="E710" s="39"/>
      <c r="F710" s="39">
        <v>5</v>
      </c>
      <c r="G710" s="39"/>
      <c r="H710" s="41">
        <f>SUM(Tabla1323[[#This Row],[PRIMER TRIMESTRE]:[CUARTO TRIMESTRE]])</f>
        <v>10</v>
      </c>
      <c r="I710" s="17">
        <v>850</v>
      </c>
      <c r="J710" s="17">
        <f t="shared" si="15"/>
        <v>8500</v>
      </c>
      <c r="K710" s="31"/>
      <c r="L710" s="16" t="s">
        <v>27</v>
      </c>
      <c r="M710" s="30" t="s">
        <v>22</v>
      </c>
      <c r="N710" s="45" t="s">
        <v>418</v>
      </c>
      <c r="O710" s="20"/>
    </row>
    <row r="711" spans="1:15" s="12" customFormat="1">
      <c r="A711" s="32" t="s">
        <v>120</v>
      </c>
      <c r="B711" s="78" t="s">
        <v>488</v>
      </c>
      <c r="C711" s="45" t="s">
        <v>417</v>
      </c>
      <c r="D711" s="39">
        <v>10</v>
      </c>
      <c r="E711" s="39"/>
      <c r="F711" s="39">
        <v>10</v>
      </c>
      <c r="G711" s="39"/>
      <c r="H711" s="41">
        <f>SUM(Tabla1323[[#This Row],[PRIMER TRIMESTRE]:[CUARTO TRIMESTRE]])</f>
        <v>20</v>
      </c>
      <c r="I711" s="17">
        <v>850</v>
      </c>
      <c r="J711" s="17">
        <f t="shared" si="15"/>
        <v>17000</v>
      </c>
      <c r="K711" s="31"/>
      <c r="L711" s="16" t="s">
        <v>27</v>
      </c>
      <c r="M711" s="30" t="s">
        <v>22</v>
      </c>
      <c r="N711" s="45" t="s">
        <v>418</v>
      </c>
      <c r="O711" s="20"/>
    </row>
    <row r="712" spans="1:15" s="12" customFormat="1">
      <c r="A712" s="32" t="s">
        <v>120</v>
      </c>
      <c r="B712" s="78" t="s">
        <v>489</v>
      </c>
      <c r="C712" s="45" t="s">
        <v>417</v>
      </c>
      <c r="D712" s="39">
        <v>5</v>
      </c>
      <c r="E712" s="39"/>
      <c r="F712" s="39">
        <v>5</v>
      </c>
      <c r="G712" s="39"/>
      <c r="H712" s="41">
        <f>SUM(Tabla1323[[#This Row],[PRIMER TRIMESTRE]:[CUARTO TRIMESTRE]])</f>
        <v>10</v>
      </c>
      <c r="I712" s="17">
        <v>650</v>
      </c>
      <c r="J712" s="17">
        <f t="shared" si="15"/>
        <v>6500</v>
      </c>
      <c r="K712" s="31"/>
      <c r="L712" s="16" t="s">
        <v>27</v>
      </c>
      <c r="M712" s="30" t="s">
        <v>22</v>
      </c>
      <c r="N712" s="45" t="s">
        <v>418</v>
      </c>
      <c r="O712" s="20"/>
    </row>
    <row r="713" spans="1:15" s="12" customFormat="1">
      <c r="A713" s="32" t="s">
        <v>120</v>
      </c>
      <c r="B713" s="78" t="s">
        <v>490</v>
      </c>
      <c r="C713" s="45" t="s">
        <v>417</v>
      </c>
      <c r="D713" s="39">
        <v>8</v>
      </c>
      <c r="E713" s="39"/>
      <c r="F713" s="39">
        <v>7</v>
      </c>
      <c r="G713" s="39"/>
      <c r="H713" s="41">
        <f>SUM(Tabla1323[[#This Row],[PRIMER TRIMESTRE]:[CUARTO TRIMESTRE]])</f>
        <v>15</v>
      </c>
      <c r="I713" s="17">
        <v>1100</v>
      </c>
      <c r="J713" s="17">
        <f t="shared" si="15"/>
        <v>16500</v>
      </c>
      <c r="K713" s="31"/>
      <c r="L713" s="16" t="s">
        <v>27</v>
      </c>
      <c r="M713" s="30" t="s">
        <v>22</v>
      </c>
      <c r="N713" s="45" t="s">
        <v>418</v>
      </c>
      <c r="O713" s="20"/>
    </row>
    <row r="714" spans="1:15" s="12" customFormat="1">
      <c r="A714" s="32" t="s">
        <v>120</v>
      </c>
      <c r="B714" s="78" t="s">
        <v>491</v>
      </c>
      <c r="C714" s="45" t="s">
        <v>417</v>
      </c>
      <c r="D714" s="39">
        <v>5</v>
      </c>
      <c r="E714" s="39"/>
      <c r="F714" s="39">
        <v>5</v>
      </c>
      <c r="G714" s="39"/>
      <c r="H714" s="41">
        <f>SUM(Tabla1323[[#This Row],[PRIMER TRIMESTRE]:[CUARTO TRIMESTRE]])</f>
        <v>10</v>
      </c>
      <c r="I714" s="17">
        <v>1100</v>
      </c>
      <c r="J714" s="17">
        <f t="shared" si="15"/>
        <v>11000</v>
      </c>
      <c r="K714" s="31"/>
      <c r="L714" s="16" t="s">
        <v>27</v>
      </c>
      <c r="M714" s="30" t="s">
        <v>22</v>
      </c>
      <c r="N714" s="45" t="s">
        <v>418</v>
      </c>
      <c r="O714" s="20"/>
    </row>
    <row r="715" spans="1:15" s="12" customFormat="1">
      <c r="A715" s="32" t="s">
        <v>120</v>
      </c>
      <c r="B715" s="78" t="s">
        <v>492</v>
      </c>
      <c r="C715" s="45" t="s">
        <v>417</v>
      </c>
      <c r="D715" s="39">
        <v>8</v>
      </c>
      <c r="E715" s="39"/>
      <c r="F715" s="39">
        <v>7</v>
      </c>
      <c r="G715" s="39"/>
      <c r="H715" s="41">
        <f>SUM(Tabla1323[[#This Row],[PRIMER TRIMESTRE]:[CUARTO TRIMESTRE]])</f>
        <v>15</v>
      </c>
      <c r="I715" s="17">
        <v>1500</v>
      </c>
      <c r="J715" s="17">
        <f t="shared" si="15"/>
        <v>22500</v>
      </c>
      <c r="K715" s="31"/>
      <c r="L715" s="16" t="s">
        <v>27</v>
      </c>
      <c r="M715" s="30" t="s">
        <v>22</v>
      </c>
      <c r="N715" s="45" t="s">
        <v>418</v>
      </c>
      <c r="O715" s="20"/>
    </row>
    <row r="716" spans="1:15" s="12" customFormat="1">
      <c r="A716" s="32" t="s">
        <v>120</v>
      </c>
      <c r="B716" s="78" t="s">
        <v>493</v>
      </c>
      <c r="C716" s="45" t="s">
        <v>417</v>
      </c>
      <c r="D716" s="39">
        <v>8</v>
      </c>
      <c r="E716" s="39"/>
      <c r="F716" s="39">
        <v>7</v>
      </c>
      <c r="G716" s="39"/>
      <c r="H716" s="41">
        <f>SUM(Tabla1323[[#This Row],[PRIMER TRIMESTRE]:[CUARTO TRIMESTRE]])</f>
        <v>15</v>
      </c>
      <c r="I716" s="17">
        <v>1650</v>
      </c>
      <c r="J716" s="17">
        <f t="shared" si="15"/>
        <v>24750</v>
      </c>
      <c r="K716" s="31"/>
      <c r="L716" s="16" t="s">
        <v>27</v>
      </c>
      <c r="M716" s="30" t="s">
        <v>22</v>
      </c>
      <c r="N716" s="45" t="s">
        <v>418</v>
      </c>
      <c r="O716" s="20"/>
    </row>
    <row r="717" spans="1:15" s="12" customFormat="1">
      <c r="A717" s="32" t="s">
        <v>120</v>
      </c>
      <c r="B717" s="78" t="s">
        <v>494</v>
      </c>
      <c r="C717" s="45" t="s">
        <v>417</v>
      </c>
      <c r="D717" s="39">
        <v>3</v>
      </c>
      <c r="E717" s="39"/>
      <c r="F717" s="39">
        <v>2</v>
      </c>
      <c r="G717" s="39"/>
      <c r="H717" s="41">
        <f>SUM(Tabla1323[[#This Row],[PRIMER TRIMESTRE]:[CUARTO TRIMESTRE]])</f>
        <v>5</v>
      </c>
      <c r="I717" s="17">
        <v>1250</v>
      </c>
      <c r="J717" s="17">
        <f t="shared" si="15"/>
        <v>6250</v>
      </c>
      <c r="K717" s="31"/>
      <c r="L717" s="16" t="s">
        <v>27</v>
      </c>
      <c r="M717" s="30" t="s">
        <v>22</v>
      </c>
      <c r="N717" s="45" t="s">
        <v>418</v>
      </c>
      <c r="O717" s="20"/>
    </row>
    <row r="718" spans="1:15" s="12" customFormat="1">
      <c r="A718" s="32" t="s">
        <v>120</v>
      </c>
      <c r="B718" s="79" t="s">
        <v>495</v>
      </c>
      <c r="C718" s="45" t="s">
        <v>417</v>
      </c>
      <c r="D718" s="39">
        <v>3</v>
      </c>
      <c r="E718" s="39"/>
      <c r="F718" s="39">
        <v>2</v>
      </c>
      <c r="G718" s="39"/>
      <c r="H718" s="41">
        <f>SUM(Tabla1323[[#This Row],[PRIMER TRIMESTRE]:[CUARTO TRIMESTRE]])</f>
        <v>5</v>
      </c>
      <c r="I718" s="17">
        <v>1672</v>
      </c>
      <c r="J718" s="17">
        <f t="shared" si="15"/>
        <v>8360</v>
      </c>
      <c r="K718" s="31"/>
      <c r="L718" s="16" t="s">
        <v>27</v>
      </c>
      <c r="M718" s="30" t="s">
        <v>22</v>
      </c>
      <c r="N718" s="45" t="s">
        <v>418</v>
      </c>
      <c r="O718" s="20"/>
    </row>
    <row r="719" spans="1:15" s="12" customFormat="1" ht="25.5">
      <c r="A719" s="32" t="s">
        <v>120</v>
      </c>
      <c r="B719" s="79" t="s">
        <v>533</v>
      </c>
      <c r="C719" s="45" t="s">
        <v>417</v>
      </c>
      <c r="D719" s="39">
        <v>25</v>
      </c>
      <c r="E719" s="39"/>
      <c r="F719" s="39">
        <v>25</v>
      </c>
      <c r="G719" s="39"/>
      <c r="H719" s="41">
        <f>SUM(Tabla1323[[#This Row],[PRIMER TRIMESTRE]:[CUARTO TRIMESTRE]])</f>
        <v>50</v>
      </c>
      <c r="I719" s="17">
        <v>720</v>
      </c>
      <c r="J719" s="17">
        <f>+H719*I719</f>
        <v>36000</v>
      </c>
      <c r="K719" s="31"/>
      <c r="L719" s="16" t="s">
        <v>27</v>
      </c>
      <c r="M719" s="30" t="s">
        <v>22</v>
      </c>
      <c r="N719" s="45" t="s">
        <v>418</v>
      </c>
      <c r="O719" s="20"/>
    </row>
    <row r="720" spans="1:15" s="12" customFormat="1" ht="25.5">
      <c r="A720" s="32" t="s">
        <v>120</v>
      </c>
      <c r="B720" s="79" t="s">
        <v>534</v>
      </c>
      <c r="C720" s="45" t="s">
        <v>417</v>
      </c>
      <c r="D720" s="39">
        <v>2</v>
      </c>
      <c r="E720" s="39"/>
      <c r="F720" s="39"/>
      <c r="G720" s="39"/>
      <c r="H720" s="41">
        <f>SUM(Tabla1323[[#This Row],[PRIMER TRIMESTRE]:[CUARTO TRIMESTRE]])</f>
        <v>2</v>
      </c>
      <c r="I720" s="17">
        <v>1280</v>
      </c>
      <c r="J720" s="17">
        <f>+H720*I720</f>
        <v>2560</v>
      </c>
      <c r="K720" s="31"/>
      <c r="L720" s="16" t="s">
        <v>27</v>
      </c>
      <c r="M720" s="30" t="s">
        <v>22</v>
      </c>
      <c r="N720" s="45" t="s">
        <v>418</v>
      </c>
      <c r="O720" s="20"/>
    </row>
    <row r="721" spans="1:15" s="12" customFormat="1">
      <c r="A721" s="32" t="s">
        <v>120</v>
      </c>
      <c r="B721" s="79" t="s">
        <v>474</v>
      </c>
      <c r="C721" s="45" t="s">
        <v>417</v>
      </c>
      <c r="D721" s="39">
        <v>20</v>
      </c>
      <c r="E721" s="39"/>
      <c r="F721" s="39">
        <v>20</v>
      </c>
      <c r="G721" s="39"/>
      <c r="H721" s="41">
        <f>SUM(Tabla1323[[#This Row],[PRIMER TRIMESTRE]:[CUARTO TRIMESTRE]])</f>
        <v>40</v>
      </c>
      <c r="I721" s="17">
        <v>2900</v>
      </c>
      <c r="J721" s="17">
        <f>+H721*I721</f>
        <v>116000</v>
      </c>
      <c r="K721" s="31"/>
      <c r="L721" s="16" t="s">
        <v>27</v>
      </c>
      <c r="M721" s="30" t="s">
        <v>22</v>
      </c>
      <c r="N721" s="45" t="s">
        <v>418</v>
      </c>
      <c r="O721" s="20"/>
    </row>
    <row r="722" spans="1:15" s="12" customFormat="1">
      <c r="A722" s="32" t="s">
        <v>120</v>
      </c>
      <c r="B722" s="78" t="s">
        <v>475</v>
      </c>
      <c r="C722" s="45" t="s">
        <v>417</v>
      </c>
      <c r="D722" s="39">
        <v>20</v>
      </c>
      <c r="E722" s="39"/>
      <c r="F722" s="39">
        <v>20</v>
      </c>
      <c r="G722" s="39"/>
      <c r="H722" s="41">
        <f>SUM(Tabla1323[[#This Row],[PRIMER TRIMESTRE]:[CUARTO TRIMESTRE]])</f>
        <v>40</v>
      </c>
      <c r="I722" s="17">
        <v>2350</v>
      </c>
      <c r="J722" s="17">
        <f>+H722*I722</f>
        <v>94000</v>
      </c>
      <c r="K722" s="31"/>
      <c r="L722" s="16" t="s">
        <v>27</v>
      </c>
      <c r="M722" s="30" t="s">
        <v>22</v>
      </c>
      <c r="N722" s="45" t="s">
        <v>418</v>
      </c>
      <c r="O722" s="20"/>
    </row>
    <row r="723" spans="1:15" s="12" customFormat="1">
      <c r="A723" s="32" t="s">
        <v>120</v>
      </c>
      <c r="B723" s="78" t="s">
        <v>476</v>
      </c>
      <c r="C723" s="45" t="s">
        <v>417</v>
      </c>
      <c r="D723" s="39">
        <v>15</v>
      </c>
      <c r="E723" s="39"/>
      <c r="F723" s="39">
        <v>15</v>
      </c>
      <c r="G723" s="39"/>
      <c r="H723" s="41">
        <f>SUM(Tabla1323[[#This Row],[PRIMER TRIMESTRE]:[CUARTO TRIMESTRE]])</f>
        <v>30</v>
      </c>
      <c r="I723" s="17">
        <v>3990</v>
      </c>
      <c r="J723" s="17">
        <f>+H723*I723</f>
        <v>119700</v>
      </c>
      <c r="K723" s="31"/>
      <c r="L723" s="16" t="s">
        <v>27</v>
      </c>
      <c r="M723" s="30" t="s">
        <v>22</v>
      </c>
      <c r="N723" s="45" t="s">
        <v>418</v>
      </c>
      <c r="O723" s="20"/>
    </row>
    <row r="724" spans="1:15" s="12" customFormat="1">
      <c r="A724" s="32" t="s">
        <v>120</v>
      </c>
      <c r="B724" s="79" t="s">
        <v>496</v>
      </c>
      <c r="C724" s="45" t="s">
        <v>417</v>
      </c>
      <c r="D724" s="39">
        <v>23</v>
      </c>
      <c r="E724" s="39"/>
      <c r="F724" s="39">
        <v>23</v>
      </c>
      <c r="G724" s="39"/>
      <c r="H724" s="41">
        <f>SUM(Tabla1323[[#This Row],[PRIMER TRIMESTRE]:[CUARTO TRIMESTRE]])</f>
        <v>46</v>
      </c>
      <c r="I724" s="17">
        <v>4200</v>
      </c>
      <c r="J724" s="17">
        <f t="shared" si="15"/>
        <v>193200</v>
      </c>
      <c r="K724" s="31"/>
      <c r="L724" s="16" t="s">
        <v>27</v>
      </c>
      <c r="M724" s="30" t="s">
        <v>22</v>
      </c>
      <c r="N724" s="45" t="s">
        <v>418</v>
      </c>
      <c r="O724" s="20"/>
    </row>
    <row r="725" spans="1:15" s="12" customFormat="1">
      <c r="A725" s="32" t="s">
        <v>120</v>
      </c>
      <c r="B725" s="78" t="s">
        <v>497</v>
      </c>
      <c r="C725" s="45" t="s">
        <v>417</v>
      </c>
      <c r="D725" s="39">
        <v>15</v>
      </c>
      <c r="E725" s="39"/>
      <c r="F725" s="39">
        <v>15</v>
      </c>
      <c r="G725" s="39"/>
      <c r="H725" s="41">
        <f>SUM(Tabla1323[[#This Row],[PRIMER TRIMESTRE]:[CUARTO TRIMESTRE]])</f>
        <v>30</v>
      </c>
      <c r="I725" s="17">
        <v>4200</v>
      </c>
      <c r="J725" s="17">
        <f t="shared" si="15"/>
        <v>126000</v>
      </c>
      <c r="K725" s="31"/>
      <c r="L725" s="16" t="s">
        <v>27</v>
      </c>
      <c r="M725" s="30" t="s">
        <v>22</v>
      </c>
      <c r="N725" s="45" t="s">
        <v>418</v>
      </c>
      <c r="O725" s="20"/>
    </row>
    <row r="726" spans="1:15" s="12" customFormat="1">
      <c r="A726" s="32" t="s">
        <v>120</v>
      </c>
      <c r="B726" s="78" t="s">
        <v>498</v>
      </c>
      <c r="C726" s="45" t="s">
        <v>417</v>
      </c>
      <c r="D726" s="39">
        <v>10</v>
      </c>
      <c r="E726" s="39"/>
      <c r="F726" s="39">
        <v>10</v>
      </c>
      <c r="G726" s="39"/>
      <c r="H726" s="41">
        <f>SUM(Tabla1323[[#This Row],[PRIMER TRIMESTRE]:[CUARTO TRIMESTRE]])</f>
        <v>20</v>
      </c>
      <c r="I726" s="17">
        <v>4200</v>
      </c>
      <c r="J726" s="17">
        <f t="shared" si="15"/>
        <v>84000</v>
      </c>
      <c r="K726" s="31"/>
      <c r="L726" s="16" t="s">
        <v>27</v>
      </c>
      <c r="M726" s="30" t="s">
        <v>22</v>
      </c>
      <c r="N726" s="45" t="s">
        <v>418</v>
      </c>
      <c r="O726" s="20"/>
    </row>
    <row r="727" spans="1:15" s="12" customFormat="1">
      <c r="A727" s="32" t="s">
        <v>120</v>
      </c>
      <c r="B727" s="78" t="s">
        <v>499</v>
      </c>
      <c r="C727" s="45" t="s">
        <v>417</v>
      </c>
      <c r="D727" s="39">
        <v>10</v>
      </c>
      <c r="E727" s="39"/>
      <c r="F727" s="39">
        <v>10</v>
      </c>
      <c r="G727" s="39"/>
      <c r="H727" s="41">
        <f>SUM(Tabla1323[[#This Row],[PRIMER TRIMESTRE]:[CUARTO TRIMESTRE]])</f>
        <v>20</v>
      </c>
      <c r="I727" s="17">
        <v>4200</v>
      </c>
      <c r="J727" s="17">
        <f t="shared" si="15"/>
        <v>84000</v>
      </c>
      <c r="K727" s="31"/>
      <c r="L727" s="16" t="s">
        <v>27</v>
      </c>
      <c r="M727" s="30" t="s">
        <v>22</v>
      </c>
      <c r="N727" s="45" t="s">
        <v>418</v>
      </c>
      <c r="O727" s="20"/>
    </row>
    <row r="728" spans="1:15" s="12" customFormat="1">
      <c r="A728" s="32" t="s">
        <v>120</v>
      </c>
      <c r="B728" s="79" t="s">
        <v>500</v>
      </c>
      <c r="C728" s="45" t="s">
        <v>417</v>
      </c>
      <c r="D728" s="39">
        <v>13</v>
      </c>
      <c r="E728" s="39"/>
      <c r="F728" s="39">
        <v>13</v>
      </c>
      <c r="G728" s="39"/>
      <c r="H728" s="41">
        <f>SUM(Tabla1323[[#This Row],[PRIMER TRIMESTRE]:[CUARTO TRIMESTRE]])</f>
        <v>26</v>
      </c>
      <c r="I728" s="17">
        <v>8210.5</v>
      </c>
      <c r="J728" s="17">
        <f t="shared" si="15"/>
        <v>213473</v>
      </c>
      <c r="K728" s="31"/>
      <c r="L728" s="16" t="s">
        <v>27</v>
      </c>
      <c r="M728" s="30" t="s">
        <v>22</v>
      </c>
      <c r="N728" s="45" t="s">
        <v>418</v>
      </c>
      <c r="O728" s="20"/>
    </row>
    <row r="729" spans="1:15" s="12" customFormat="1">
      <c r="A729" s="32" t="s">
        <v>120</v>
      </c>
      <c r="B729" s="79" t="s">
        <v>501</v>
      </c>
      <c r="C729" s="45" t="s">
        <v>417</v>
      </c>
      <c r="D729" s="39">
        <v>4</v>
      </c>
      <c r="E729" s="39"/>
      <c r="F729" s="39">
        <v>4</v>
      </c>
      <c r="G729" s="39"/>
      <c r="H729" s="41">
        <f>SUM(Tabla1323[[#This Row],[PRIMER TRIMESTRE]:[CUARTO TRIMESTRE]])</f>
        <v>8</v>
      </c>
      <c r="I729" s="17">
        <v>3250</v>
      </c>
      <c r="J729" s="17">
        <f t="shared" si="15"/>
        <v>26000</v>
      </c>
      <c r="K729" s="31"/>
      <c r="L729" s="16" t="s">
        <v>27</v>
      </c>
      <c r="M729" s="30" t="s">
        <v>22</v>
      </c>
      <c r="N729" s="45" t="s">
        <v>418</v>
      </c>
      <c r="O729" s="20"/>
    </row>
    <row r="730" spans="1:15" s="12" customFormat="1">
      <c r="A730" s="32" t="s">
        <v>120</v>
      </c>
      <c r="B730" s="78" t="s">
        <v>502</v>
      </c>
      <c r="C730" s="45" t="s">
        <v>417</v>
      </c>
      <c r="D730" s="39">
        <v>2</v>
      </c>
      <c r="E730" s="39"/>
      <c r="F730" s="39">
        <v>2</v>
      </c>
      <c r="G730" s="39"/>
      <c r="H730" s="41">
        <f>SUM(Tabla1323[[#This Row],[PRIMER TRIMESTRE]:[CUARTO TRIMESTRE]])</f>
        <v>4</v>
      </c>
      <c r="I730" s="17">
        <v>450</v>
      </c>
      <c r="J730" s="17">
        <f t="shared" si="15"/>
        <v>1800</v>
      </c>
      <c r="K730" s="31"/>
      <c r="L730" s="16" t="s">
        <v>27</v>
      </c>
      <c r="M730" s="30" t="s">
        <v>22</v>
      </c>
      <c r="N730" s="45" t="s">
        <v>418</v>
      </c>
      <c r="O730" s="20"/>
    </row>
    <row r="731" spans="1:15" s="12" customFormat="1">
      <c r="A731" s="32" t="s">
        <v>120</v>
      </c>
      <c r="B731" s="78" t="s">
        <v>503</v>
      </c>
      <c r="C731" s="45" t="s">
        <v>417</v>
      </c>
      <c r="D731" s="39">
        <v>1</v>
      </c>
      <c r="E731" s="39"/>
      <c r="F731" s="39"/>
      <c r="G731" s="39"/>
      <c r="H731" s="41">
        <f>SUM(Tabla1323[[#This Row],[PRIMER TRIMESTRE]:[CUARTO TRIMESTRE]])</f>
        <v>1</v>
      </c>
      <c r="I731" s="17">
        <v>450</v>
      </c>
      <c r="J731" s="17">
        <f t="shared" si="15"/>
        <v>450</v>
      </c>
      <c r="K731" s="31"/>
      <c r="L731" s="16" t="s">
        <v>27</v>
      </c>
      <c r="M731" s="30" t="s">
        <v>22</v>
      </c>
      <c r="N731" s="45" t="s">
        <v>418</v>
      </c>
      <c r="O731" s="20"/>
    </row>
    <row r="732" spans="1:15" s="12" customFormat="1">
      <c r="A732" s="32" t="s">
        <v>120</v>
      </c>
      <c r="B732" s="78" t="s">
        <v>504</v>
      </c>
      <c r="C732" s="45" t="s">
        <v>417</v>
      </c>
      <c r="D732" s="39">
        <v>1</v>
      </c>
      <c r="E732" s="39"/>
      <c r="F732" s="39"/>
      <c r="G732" s="39"/>
      <c r="H732" s="41">
        <f>SUM(Tabla1323[[#This Row],[PRIMER TRIMESTRE]:[CUARTO TRIMESTRE]])</f>
        <v>1</v>
      </c>
      <c r="I732" s="17">
        <v>450</v>
      </c>
      <c r="J732" s="17">
        <f t="shared" si="15"/>
        <v>450</v>
      </c>
      <c r="K732" s="31"/>
      <c r="L732" s="16" t="s">
        <v>27</v>
      </c>
      <c r="M732" s="30" t="s">
        <v>22</v>
      </c>
      <c r="N732" s="45" t="s">
        <v>418</v>
      </c>
      <c r="O732" s="20"/>
    </row>
    <row r="733" spans="1:15" s="12" customFormat="1">
      <c r="A733" s="32" t="s">
        <v>120</v>
      </c>
      <c r="B733" s="78" t="s">
        <v>505</v>
      </c>
      <c r="C733" s="45" t="s">
        <v>417</v>
      </c>
      <c r="D733" s="39">
        <v>1</v>
      </c>
      <c r="E733" s="39"/>
      <c r="F733" s="39"/>
      <c r="G733" s="39"/>
      <c r="H733" s="41">
        <f>SUM(Tabla1323[[#This Row],[PRIMER TRIMESTRE]:[CUARTO TRIMESTRE]])</f>
        <v>1</v>
      </c>
      <c r="I733" s="17">
        <v>450</v>
      </c>
      <c r="J733" s="17">
        <f t="shared" si="15"/>
        <v>450</v>
      </c>
      <c r="K733" s="31"/>
      <c r="L733" s="16" t="s">
        <v>27</v>
      </c>
      <c r="M733" s="30" t="s">
        <v>22</v>
      </c>
      <c r="N733" s="45" t="s">
        <v>418</v>
      </c>
      <c r="O733" s="20"/>
    </row>
    <row r="734" spans="1:15" s="12" customFormat="1">
      <c r="A734" s="32" t="s">
        <v>120</v>
      </c>
      <c r="B734" s="78" t="s">
        <v>506</v>
      </c>
      <c r="C734" s="45" t="s">
        <v>417</v>
      </c>
      <c r="D734" s="39">
        <v>3</v>
      </c>
      <c r="E734" s="39"/>
      <c r="F734" s="39">
        <v>2</v>
      </c>
      <c r="G734" s="39"/>
      <c r="H734" s="41">
        <f>SUM(Tabla1323[[#This Row],[PRIMER TRIMESTRE]:[CUARTO TRIMESTRE]])</f>
        <v>5</v>
      </c>
      <c r="I734" s="17">
        <v>5800</v>
      </c>
      <c r="J734" s="17">
        <f t="shared" si="15"/>
        <v>29000</v>
      </c>
      <c r="K734" s="31"/>
      <c r="L734" s="16" t="s">
        <v>27</v>
      </c>
      <c r="M734" s="30" t="s">
        <v>22</v>
      </c>
      <c r="N734" s="45" t="s">
        <v>418</v>
      </c>
      <c r="O734" s="20"/>
    </row>
    <row r="735" spans="1:15" s="12" customFormat="1">
      <c r="A735" s="32" t="s">
        <v>120</v>
      </c>
      <c r="B735" s="78" t="s">
        <v>507</v>
      </c>
      <c r="C735" s="45" t="s">
        <v>417</v>
      </c>
      <c r="D735" s="39">
        <v>3</v>
      </c>
      <c r="E735" s="39"/>
      <c r="F735" s="39">
        <v>3</v>
      </c>
      <c r="G735" s="39"/>
      <c r="H735" s="41">
        <f>SUM(Tabla1323[[#This Row],[PRIMER TRIMESTRE]:[CUARTO TRIMESTRE]])</f>
        <v>6</v>
      </c>
      <c r="I735" s="17">
        <v>2800</v>
      </c>
      <c r="J735" s="17">
        <f t="shared" si="15"/>
        <v>16800</v>
      </c>
      <c r="K735" s="31"/>
      <c r="L735" s="16" t="s">
        <v>27</v>
      </c>
      <c r="M735" s="30" t="s">
        <v>22</v>
      </c>
      <c r="N735" s="45" t="s">
        <v>418</v>
      </c>
      <c r="O735" s="20"/>
    </row>
    <row r="736" spans="1:15" s="12" customFormat="1">
      <c r="A736" s="32" t="s">
        <v>120</v>
      </c>
      <c r="B736" s="78" t="s">
        <v>508</v>
      </c>
      <c r="C736" s="45" t="s">
        <v>417</v>
      </c>
      <c r="D736" s="39">
        <v>3</v>
      </c>
      <c r="E736" s="39"/>
      <c r="F736" s="39">
        <v>2</v>
      </c>
      <c r="G736" s="39"/>
      <c r="H736" s="41">
        <f>SUM(Tabla1323[[#This Row],[PRIMER TRIMESTRE]:[CUARTO TRIMESTRE]])</f>
        <v>5</v>
      </c>
      <c r="I736" s="17">
        <v>5100</v>
      </c>
      <c r="J736" s="17">
        <f t="shared" si="15"/>
        <v>25500</v>
      </c>
      <c r="K736" s="31"/>
      <c r="L736" s="16" t="s">
        <v>27</v>
      </c>
      <c r="M736" s="30" t="s">
        <v>22</v>
      </c>
      <c r="N736" s="45" t="s">
        <v>418</v>
      </c>
      <c r="O736" s="20"/>
    </row>
    <row r="737" spans="1:15" s="12" customFormat="1">
      <c r="A737" s="32" t="s">
        <v>120</v>
      </c>
      <c r="B737" s="78" t="s">
        <v>509</v>
      </c>
      <c r="C737" s="45" t="s">
        <v>417</v>
      </c>
      <c r="D737" s="39">
        <v>5</v>
      </c>
      <c r="E737" s="39"/>
      <c r="F737" s="39">
        <v>5</v>
      </c>
      <c r="G737" s="39"/>
      <c r="H737" s="41">
        <f>SUM(Tabla1323[[#This Row],[PRIMER TRIMESTRE]:[CUARTO TRIMESTRE]])</f>
        <v>10</v>
      </c>
      <c r="I737" s="17">
        <v>5100</v>
      </c>
      <c r="J737" s="17">
        <f t="shared" si="15"/>
        <v>51000</v>
      </c>
      <c r="K737" s="31"/>
      <c r="L737" s="16" t="s">
        <v>27</v>
      </c>
      <c r="M737" s="30" t="s">
        <v>22</v>
      </c>
      <c r="N737" s="45" t="s">
        <v>418</v>
      </c>
      <c r="O737" s="20"/>
    </row>
    <row r="738" spans="1:15" s="12" customFormat="1">
      <c r="A738" s="32" t="s">
        <v>120</v>
      </c>
      <c r="B738" s="78" t="s">
        <v>510</v>
      </c>
      <c r="C738" s="45" t="s">
        <v>417</v>
      </c>
      <c r="D738" s="39">
        <v>5</v>
      </c>
      <c r="E738" s="39"/>
      <c r="F738" s="39">
        <v>5</v>
      </c>
      <c r="G738" s="39"/>
      <c r="H738" s="41">
        <f>SUM(Tabla1323[[#This Row],[PRIMER TRIMESTRE]:[CUARTO TRIMESTRE]])</f>
        <v>10</v>
      </c>
      <c r="I738" s="17">
        <v>5100</v>
      </c>
      <c r="J738" s="17">
        <f t="shared" si="15"/>
        <v>51000</v>
      </c>
      <c r="K738" s="31"/>
      <c r="L738" s="16" t="s">
        <v>27</v>
      </c>
      <c r="M738" s="30" t="s">
        <v>22</v>
      </c>
      <c r="N738" s="45" t="s">
        <v>418</v>
      </c>
      <c r="O738" s="20"/>
    </row>
    <row r="739" spans="1:15" s="12" customFormat="1">
      <c r="A739" s="32" t="s">
        <v>120</v>
      </c>
      <c r="B739" s="78" t="s">
        <v>511</v>
      </c>
      <c r="C739" s="45" t="s">
        <v>417</v>
      </c>
      <c r="D739" s="39">
        <v>5</v>
      </c>
      <c r="E739" s="39"/>
      <c r="F739" s="39">
        <v>5</v>
      </c>
      <c r="G739" s="39"/>
      <c r="H739" s="41">
        <f>SUM(Tabla1323[[#This Row],[PRIMER TRIMESTRE]:[CUARTO TRIMESTRE]])</f>
        <v>10</v>
      </c>
      <c r="I739" s="17">
        <v>5100</v>
      </c>
      <c r="J739" s="17">
        <f t="shared" si="15"/>
        <v>51000</v>
      </c>
      <c r="K739" s="31"/>
      <c r="L739" s="16" t="s">
        <v>27</v>
      </c>
      <c r="M739" s="30" t="s">
        <v>22</v>
      </c>
      <c r="N739" s="45" t="s">
        <v>418</v>
      </c>
      <c r="O739" s="20"/>
    </row>
    <row r="740" spans="1:15" s="12" customFormat="1">
      <c r="A740" s="32" t="s">
        <v>120</v>
      </c>
      <c r="B740" s="78" t="s">
        <v>512</v>
      </c>
      <c r="C740" s="45" t="s">
        <v>417</v>
      </c>
      <c r="D740" s="39">
        <v>5</v>
      </c>
      <c r="E740" s="39"/>
      <c r="F740" s="39">
        <v>5</v>
      </c>
      <c r="G740" s="39"/>
      <c r="H740" s="41">
        <f>SUM(Tabla1323[[#This Row],[PRIMER TRIMESTRE]:[CUARTO TRIMESTRE]])</f>
        <v>10</v>
      </c>
      <c r="I740" s="17">
        <v>2000</v>
      </c>
      <c r="J740" s="17">
        <f t="shared" si="15"/>
        <v>20000</v>
      </c>
      <c r="K740" s="31"/>
      <c r="L740" s="16" t="s">
        <v>27</v>
      </c>
      <c r="M740" s="30" t="s">
        <v>22</v>
      </c>
      <c r="N740" s="45" t="s">
        <v>418</v>
      </c>
      <c r="O740" s="20"/>
    </row>
    <row r="741" spans="1:15" s="12" customFormat="1">
      <c r="A741" s="32" t="s">
        <v>120</v>
      </c>
      <c r="B741" s="78" t="s">
        <v>513</v>
      </c>
      <c r="C741" s="45" t="s">
        <v>417</v>
      </c>
      <c r="D741" s="39">
        <v>5</v>
      </c>
      <c r="E741" s="39"/>
      <c r="F741" s="39">
        <v>5</v>
      </c>
      <c r="G741" s="39"/>
      <c r="H741" s="41">
        <f>SUM(Tabla1323[[#This Row],[PRIMER TRIMESTRE]:[CUARTO TRIMESTRE]])</f>
        <v>10</v>
      </c>
      <c r="I741" s="17">
        <v>2500</v>
      </c>
      <c r="J741" s="17">
        <f t="shared" si="15"/>
        <v>25000</v>
      </c>
      <c r="K741" s="31"/>
      <c r="L741" s="16" t="s">
        <v>27</v>
      </c>
      <c r="M741" s="30" t="s">
        <v>22</v>
      </c>
      <c r="N741" s="45" t="s">
        <v>418</v>
      </c>
      <c r="O741" s="20"/>
    </row>
    <row r="742" spans="1:15" s="12" customFormat="1">
      <c r="A742" s="32" t="s">
        <v>120</v>
      </c>
      <c r="B742" s="78" t="s">
        <v>514</v>
      </c>
      <c r="C742" s="45" t="s">
        <v>417</v>
      </c>
      <c r="D742" s="39">
        <v>5</v>
      </c>
      <c r="E742" s="39"/>
      <c r="F742" s="39">
        <v>5</v>
      </c>
      <c r="G742" s="39"/>
      <c r="H742" s="41">
        <f>SUM(Tabla1323[[#This Row],[PRIMER TRIMESTRE]:[CUARTO TRIMESTRE]])</f>
        <v>10</v>
      </c>
      <c r="I742" s="17">
        <v>2500</v>
      </c>
      <c r="J742" s="17">
        <f t="shared" si="15"/>
        <v>25000</v>
      </c>
      <c r="K742" s="31"/>
      <c r="L742" s="16" t="s">
        <v>27</v>
      </c>
      <c r="M742" s="30" t="s">
        <v>22</v>
      </c>
      <c r="N742" s="45" t="s">
        <v>418</v>
      </c>
      <c r="O742" s="20"/>
    </row>
    <row r="743" spans="1:15" s="12" customFormat="1">
      <c r="A743" s="32" t="s">
        <v>120</v>
      </c>
      <c r="B743" s="78" t="s">
        <v>515</v>
      </c>
      <c r="C743" s="45" t="s">
        <v>417</v>
      </c>
      <c r="D743" s="39">
        <v>5</v>
      </c>
      <c r="E743" s="39"/>
      <c r="F743" s="39">
        <v>5</v>
      </c>
      <c r="G743" s="39"/>
      <c r="H743" s="41">
        <f>SUM(Tabla1323[[#This Row],[PRIMER TRIMESTRE]:[CUARTO TRIMESTRE]])</f>
        <v>10</v>
      </c>
      <c r="I743" s="17">
        <v>2500</v>
      </c>
      <c r="J743" s="17">
        <f t="shared" si="15"/>
        <v>25000</v>
      </c>
      <c r="K743" s="31"/>
      <c r="L743" s="16" t="s">
        <v>27</v>
      </c>
      <c r="M743" s="30" t="s">
        <v>22</v>
      </c>
      <c r="N743" s="45" t="s">
        <v>418</v>
      </c>
      <c r="O743" s="20"/>
    </row>
    <row r="744" spans="1:15" s="12" customFormat="1">
      <c r="A744" s="32" t="s">
        <v>120</v>
      </c>
      <c r="B744" s="78" t="s">
        <v>516</v>
      </c>
      <c r="C744" s="45" t="s">
        <v>417</v>
      </c>
      <c r="D744" s="39">
        <v>5</v>
      </c>
      <c r="E744" s="39"/>
      <c r="F744" s="39">
        <v>5</v>
      </c>
      <c r="G744" s="39"/>
      <c r="H744" s="41">
        <f>SUM(Tabla1323[[#This Row],[PRIMER TRIMESTRE]:[CUARTO TRIMESTRE]])</f>
        <v>10</v>
      </c>
      <c r="I744" s="17">
        <v>2500</v>
      </c>
      <c r="J744" s="17">
        <f t="shared" si="15"/>
        <v>25000</v>
      </c>
      <c r="K744" s="31"/>
      <c r="L744" s="16" t="s">
        <v>27</v>
      </c>
      <c r="M744" s="30" t="s">
        <v>22</v>
      </c>
      <c r="N744" s="45" t="s">
        <v>418</v>
      </c>
      <c r="O744" s="20"/>
    </row>
    <row r="745" spans="1:15" s="12" customFormat="1">
      <c r="A745" s="32" t="s">
        <v>120</v>
      </c>
      <c r="B745" s="78" t="s">
        <v>517</v>
      </c>
      <c r="C745" s="45" t="s">
        <v>417</v>
      </c>
      <c r="D745" s="39">
        <v>5</v>
      </c>
      <c r="E745" s="39"/>
      <c r="F745" s="39">
        <v>5</v>
      </c>
      <c r="G745" s="39"/>
      <c r="H745" s="41">
        <f>SUM(Tabla1323[[#This Row],[PRIMER TRIMESTRE]:[CUARTO TRIMESTRE]])</f>
        <v>10</v>
      </c>
      <c r="I745" s="17">
        <v>4100</v>
      </c>
      <c r="J745" s="17">
        <f t="shared" si="15"/>
        <v>41000</v>
      </c>
      <c r="K745" s="31"/>
      <c r="L745" s="16" t="s">
        <v>27</v>
      </c>
      <c r="M745" s="30" t="s">
        <v>22</v>
      </c>
      <c r="N745" s="45" t="s">
        <v>418</v>
      </c>
      <c r="O745" s="20"/>
    </row>
    <row r="746" spans="1:15" s="12" customFormat="1">
      <c r="A746" s="32" t="s">
        <v>120</v>
      </c>
      <c r="B746" s="78" t="s">
        <v>518</v>
      </c>
      <c r="C746" s="45" t="s">
        <v>417</v>
      </c>
      <c r="D746" s="39">
        <v>5</v>
      </c>
      <c r="E746" s="39"/>
      <c r="F746" s="39">
        <v>5</v>
      </c>
      <c r="G746" s="39"/>
      <c r="H746" s="41">
        <f>SUM(Tabla1323[[#This Row],[PRIMER TRIMESTRE]:[CUARTO TRIMESTRE]])</f>
        <v>10</v>
      </c>
      <c r="I746" s="17">
        <v>3800</v>
      </c>
      <c r="J746" s="17">
        <f t="shared" si="15"/>
        <v>38000</v>
      </c>
      <c r="K746" s="31"/>
      <c r="L746" s="16" t="s">
        <v>27</v>
      </c>
      <c r="M746" s="30" t="s">
        <v>22</v>
      </c>
      <c r="N746" s="45" t="s">
        <v>418</v>
      </c>
      <c r="O746" s="20"/>
    </row>
    <row r="747" spans="1:15" s="12" customFormat="1">
      <c r="A747" s="32" t="s">
        <v>120</v>
      </c>
      <c r="B747" s="78" t="s">
        <v>519</v>
      </c>
      <c r="C747" s="45" t="s">
        <v>417</v>
      </c>
      <c r="D747" s="39">
        <v>5</v>
      </c>
      <c r="E747" s="39"/>
      <c r="F747" s="39">
        <v>5</v>
      </c>
      <c r="G747" s="39"/>
      <c r="H747" s="41">
        <f>SUM(Tabla1323[[#This Row],[PRIMER TRIMESTRE]:[CUARTO TRIMESTRE]])</f>
        <v>10</v>
      </c>
      <c r="I747" s="17">
        <v>5400</v>
      </c>
      <c r="J747" s="17">
        <f t="shared" si="15"/>
        <v>54000</v>
      </c>
      <c r="K747" s="31"/>
      <c r="L747" s="16" t="s">
        <v>27</v>
      </c>
      <c r="M747" s="30" t="s">
        <v>22</v>
      </c>
      <c r="N747" s="45" t="s">
        <v>418</v>
      </c>
      <c r="O747" s="20"/>
    </row>
    <row r="748" spans="1:15" s="12" customFormat="1">
      <c r="A748" s="32" t="s">
        <v>120</v>
      </c>
      <c r="B748" s="78" t="s">
        <v>520</v>
      </c>
      <c r="C748" s="45" t="s">
        <v>417</v>
      </c>
      <c r="D748" s="39">
        <v>5</v>
      </c>
      <c r="E748" s="39"/>
      <c r="F748" s="39">
        <v>5</v>
      </c>
      <c r="G748" s="39"/>
      <c r="H748" s="41">
        <f>SUM(Tabla1323[[#This Row],[PRIMER TRIMESTRE]:[CUARTO TRIMESTRE]])</f>
        <v>10</v>
      </c>
      <c r="I748" s="17">
        <v>5400</v>
      </c>
      <c r="J748" s="17">
        <f t="shared" si="15"/>
        <v>54000</v>
      </c>
      <c r="K748" s="31"/>
      <c r="L748" s="16" t="s">
        <v>27</v>
      </c>
      <c r="M748" s="30" t="s">
        <v>22</v>
      </c>
      <c r="N748" s="45" t="s">
        <v>418</v>
      </c>
      <c r="O748" s="20"/>
    </row>
    <row r="749" spans="1:15" s="12" customFormat="1">
      <c r="A749" s="32" t="s">
        <v>120</v>
      </c>
      <c r="B749" s="78" t="s">
        <v>521</v>
      </c>
      <c r="C749" s="45" t="s">
        <v>417</v>
      </c>
      <c r="D749" s="39">
        <v>5</v>
      </c>
      <c r="E749" s="39"/>
      <c r="F749" s="39">
        <v>5</v>
      </c>
      <c r="G749" s="39"/>
      <c r="H749" s="41">
        <f>SUM(Tabla1323[[#This Row],[PRIMER TRIMESTRE]:[CUARTO TRIMESTRE]])</f>
        <v>10</v>
      </c>
      <c r="I749" s="17">
        <v>5400</v>
      </c>
      <c r="J749" s="17">
        <f t="shared" si="15"/>
        <v>54000</v>
      </c>
      <c r="K749" s="31"/>
      <c r="L749" s="16" t="s">
        <v>27</v>
      </c>
      <c r="M749" s="30" t="s">
        <v>22</v>
      </c>
      <c r="N749" s="45" t="s">
        <v>418</v>
      </c>
      <c r="O749" s="20"/>
    </row>
    <row r="750" spans="1:15" s="12" customFormat="1">
      <c r="A750" s="32" t="s">
        <v>120</v>
      </c>
      <c r="B750" s="78" t="s">
        <v>522</v>
      </c>
      <c r="C750" s="45" t="s">
        <v>417</v>
      </c>
      <c r="D750" s="39">
        <v>15</v>
      </c>
      <c r="E750" s="39"/>
      <c r="F750" s="39">
        <v>15</v>
      </c>
      <c r="G750" s="39"/>
      <c r="H750" s="41">
        <f>SUM(Tabla1323[[#This Row],[PRIMER TRIMESTRE]:[CUARTO TRIMESTRE]])</f>
        <v>30</v>
      </c>
      <c r="I750" s="17">
        <v>3100</v>
      </c>
      <c r="J750" s="17">
        <f t="shared" si="15"/>
        <v>93000</v>
      </c>
      <c r="K750" s="31"/>
      <c r="L750" s="16" t="s">
        <v>27</v>
      </c>
      <c r="M750" s="30" t="s">
        <v>22</v>
      </c>
      <c r="N750" s="45" t="s">
        <v>418</v>
      </c>
      <c r="O750" s="20"/>
    </row>
    <row r="751" spans="1:15" s="12" customFormat="1">
      <c r="A751" s="32" t="s">
        <v>120</v>
      </c>
      <c r="B751" s="78" t="s">
        <v>523</v>
      </c>
      <c r="C751" s="45" t="s">
        <v>417</v>
      </c>
      <c r="D751" s="39">
        <v>2</v>
      </c>
      <c r="E751" s="39"/>
      <c r="F751" s="39"/>
      <c r="G751" s="39"/>
      <c r="H751" s="41">
        <f>SUM(Tabla1323[[#This Row],[PRIMER TRIMESTRE]:[CUARTO TRIMESTRE]])</f>
        <v>2</v>
      </c>
      <c r="I751" s="17">
        <v>5100</v>
      </c>
      <c r="J751" s="17">
        <f t="shared" si="15"/>
        <v>10200</v>
      </c>
      <c r="K751" s="31"/>
      <c r="L751" s="16" t="s">
        <v>27</v>
      </c>
      <c r="M751" s="30" t="s">
        <v>22</v>
      </c>
      <c r="N751" s="45" t="s">
        <v>418</v>
      </c>
      <c r="O751" s="20"/>
    </row>
    <row r="752" spans="1:15" s="12" customFormat="1">
      <c r="A752" s="32" t="s">
        <v>120</v>
      </c>
      <c r="B752" s="78" t="s">
        <v>524</v>
      </c>
      <c r="C752" s="45" t="s">
        <v>417</v>
      </c>
      <c r="D752" s="39">
        <v>5</v>
      </c>
      <c r="E752" s="39"/>
      <c r="F752" s="39">
        <v>5</v>
      </c>
      <c r="G752" s="39"/>
      <c r="H752" s="41">
        <f>SUM(Tabla1323[[#This Row],[PRIMER TRIMESTRE]:[CUARTO TRIMESTRE]])</f>
        <v>10</v>
      </c>
      <c r="I752" s="17">
        <v>3000</v>
      </c>
      <c r="J752" s="17">
        <f t="shared" si="15"/>
        <v>30000</v>
      </c>
      <c r="K752" s="31"/>
      <c r="L752" s="16" t="s">
        <v>27</v>
      </c>
      <c r="M752" s="30" t="s">
        <v>22</v>
      </c>
      <c r="N752" s="45" t="s">
        <v>418</v>
      </c>
      <c r="O752" s="20"/>
    </row>
    <row r="753" spans="1:15" s="12" customFormat="1">
      <c r="A753" s="32" t="s">
        <v>120</v>
      </c>
      <c r="B753" s="78" t="s">
        <v>525</v>
      </c>
      <c r="C753" s="45" t="s">
        <v>417</v>
      </c>
      <c r="D753" s="39">
        <v>5</v>
      </c>
      <c r="E753" s="39"/>
      <c r="F753" s="39">
        <v>5</v>
      </c>
      <c r="G753" s="39"/>
      <c r="H753" s="41">
        <f>SUM(Tabla1323[[#This Row],[PRIMER TRIMESTRE]:[CUARTO TRIMESTRE]])</f>
        <v>10</v>
      </c>
      <c r="I753" s="17">
        <v>3800</v>
      </c>
      <c r="J753" s="17">
        <f t="shared" si="15"/>
        <v>38000</v>
      </c>
      <c r="K753" s="31"/>
      <c r="L753" s="16" t="s">
        <v>27</v>
      </c>
      <c r="M753" s="30" t="s">
        <v>22</v>
      </c>
      <c r="N753" s="45" t="s">
        <v>418</v>
      </c>
      <c r="O753" s="20"/>
    </row>
    <row r="754" spans="1:15" s="12" customFormat="1">
      <c r="A754" s="32" t="s">
        <v>120</v>
      </c>
      <c r="B754" s="78" t="s">
        <v>526</v>
      </c>
      <c r="C754" s="45" t="s">
        <v>417</v>
      </c>
      <c r="D754" s="39">
        <v>5</v>
      </c>
      <c r="E754" s="39"/>
      <c r="F754" s="39">
        <v>5</v>
      </c>
      <c r="G754" s="39"/>
      <c r="H754" s="41">
        <f>SUM(Tabla1323[[#This Row],[PRIMER TRIMESTRE]:[CUARTO TRIMESTRE]])</f>
        <v>10</v>
      </c>
      <c r="I754" s="17">
        <v>3800</v>
      </c>
      <c r="J754" s="17">
        <f t="shared" si="15"/>
        <v>38000</v>
      </c>
      <c r="K754" s="31"/>
      <c r="L754" s="16" t="s">
        <v>27</v>
      </c>
      <c r="M754" s="30" t="s">
        <v>22</v>
      </c>
      <c r="N754" s="45" t="s">
        <v>418</v>
      </c>
      <c r="O754" s="20"/>
    </row>
    <row r="755" spans="1:15" s="12" customFormat="1">
      <c r="A755" s="32" t="s">
        <v>120</v>
      </c>
      <c r="B755" s="78" t="s">
        <v>527</v>
      </c>
      <c r="C755" s="45" t="s">
        <v>417</v>
      </c>
      <c r="D755" s="39">
        <v>5</v>
      </c>
      <c r="E755" s="39"/>
      <c r="F755" s="39">
        <v>5</v>
      </c>
      <c r="G755" s="39"/>
      <c r="H755" s="41">
        <f>SUM(Tabla1323[[#This Row],[PRIMER TRIMESTRE]:[CUARTO TRIMESTRE]])</f>
        <v>10</v>
      </c>
      <c r="I755" s="17">
        <v>3800</v>
      </c>
      <c r="J755" s="17">
        <f t="shared" si="15"/>
        <v>38000</v>
      </c>
      <c r="K755" s="31"/>
      <c r="L755" s="16" t="s">
        <v>27</v>
      </c>
      <c r="M755" s="30" t="s">
        <v>22</v>
      </c>
      <c r="N755" s="45" t="s">
        <v>418</v>
      </c>
      <c r="O755" s="20"/>
    </row>
    <row r="756" spans="1:15" s="12" customFormat="1">
      <c r="A756" s="32" t="s">
        <v>120</v>
      </c>
      <c r="B756" s="78" t="s">
        <v>528</v>
      </c>
      <c r="C756" s="45" t="s">
        <v>417</v>
      </c>
      <c r="D756" s="39">
        <v>5</v>
      </c>
      <c r="E756" s="39"/>
      <c r="F756" s="39">
        <v>5</v>
      </c>
      <c r="G756" s="39"/>
      <c r="H756" s="41">
        <f>SUM(Tabla1323[[#This Row],[PRIMER TRIMESTRE]:[CUARTO TRIMESTRE]])</f>
        <v>10</v>
      </c>
      <c r="I756" s="17">
        <v>6400</v>
      </c>
      <c r="J756" s="17">
        <f t="shared" si="15"/>
        <v>64000</v>
      </c>
      <c r="K756" s="31"/>
      <c r="L756" s="16" t="s">
        <v>27</v>
      </c>
      <c r="M756" s="30" t="s">
        <v>22</v>
      </c>
      <c r="N756" s="45" t="s">
        <v>418</v>
      </c>
      <c r="O756" s="20"/>
    </row>
    <row r="757" spans="1:15" s="12" customFormat="1" ht="27.75" customHeight="1">
      <c r="A757" s="32" t="s">
        <v>120</v>
      </c>
      <c r="B757" s="79" t="s">
        <v>529</v>
      </c>
      <c r="C757" s="45" t="s">
        <v>417</v>
      </c>
      <c r="D757" s="70">
        <v>25</v>
      </c>
      <c r="E757" s="70"/>
      <c r="F757" s="70">
        <v>25</v>
      </c>
      <c r="G757" s="70"/>
      <c r="H757" s="71">
        <f>SUM(Tabla1323[[#This Row],[PRIMER TRIMESTRE]:[CUARTO TRIMESTRE]])</f>
        <v>50</v>
      </c>
      <c r="I757" s="17">
        <f>9750*1.18</f>
        <v>11505</v>
      </c>
      <c r="J757" s="17">
        <f t="shared" si="15"/>
        <v>575250</v>
      </c>
      <c r="K757" s="31"/>
      <c r="L757" s="16" t="s">
        <v>27</v>
      </c>
      <c r="M757" s="30" t="s">
        <v>22</v>
      </c>
      <c r="N757" s="45" t="s">
        <v>418</v>
      </c>
      <c r="O757" s="20"/>
    </row>
    <row r="758" spans="1:15" s="12" customFormat="1" ht="27.75" customHeight="1">
      <c r="A758" s="32" t="s">
        <v>120</v>
      </c>
      <c r="B758" s="79" t="s">
        <v>530</v>
      </c>
      <c r="C758" s="45" t="s">
        <v>417</v>
      </c>
      <c r="D758" s="70">
        <v>25</v>
      </c>
      <c r="E758" s="70"/>
      <c r="F758" s="70">
        <v>25</v>
      </c>
      <c r="G758" s="70"/>
      <c r="H758" s="41">
        <f>SUM(Tabla1323[[#This Row],[PRIMER TRIMESTRE]:[CUARTO TRIMESTRE]])</f>
        <v>50</v>
      </c>
      <c r="I758" s="17">
        <v>11505</v>
      </c>
      <c r="J758" s="17">
        <f t="shared" si="15"/>
        <v>575250</v>
      </c>
      <c r="K758" s="31"/>
      <c r="L758" s="16" t="s">
        <v>27</v>
      </c>
      <c r="M758" s="30" t="s">
        <v>22</v>
      </c>
      <c r="N758" s="45" t="s">
        <v>418</v>
      </c>
      <c r="O758" s="20"/>
    </row>
    <row r="759" spans="1:15" s="12" customFormat="1" ht="27.75" customHeight="1">
      <c r="A759" s="32" t="s">
        <v>120</v>
      </c>
      <c r="B759" s="79" t="s">
        <v>531</v>
      </c>
      <c r="C759" s="45" t="s">
        <v>417</v>
      </c>
      <c r="D759" s="70">
        <v>25</v>
      </c>
      <c r="E759" s="70"/>
      <c r="F759" s="70">
        <v>25</v>
      </c>
      <c r="G759" s="70"/>
      <c r="H759" s="41">
        <f>SUM(Tabla1323[[#This Row],[PRIMER TRIMESTRE]:[CUARTO TRIMESTRE]])</f>
        <v>50</v>
      </c>
      <c r="I759" s="17">
        <v>11505</v>
      </c>
      <c r="J759" s="17">
        <f t="shared" si="15"/>
        <v>575250</v>
      </c>
      <c r="K759" s="31"/>
      <c r="L759" s="16" t="s">
        <v>27</v>
      </c>
      <c r="M759" s="30" t="s">
        <v>22</v>
      </c>
      <c r="N759" s="45" t="s">
        <v>418</v>
      </c>
      <c r="O759" s="20"/>
    </row>
    <row r="760" spans="1:15" s="12" customFormat="1" ht="27.75" customHeight="1">
      <c r="A760" s="32" t="s">
        <v>120</v>
      </c>
      <c r="B760" s="79" t="s">
        <v>532</v>
      </c>
      <c r="C760" s="45" t="s">
        <v>417</v>
      </c>
      <c r="D760" s="70">
        <v>40</v>
      </c>
      <c r="E760" s="70"/>
      <c r="F760" s="70">
        <v>40</v>
      </c>
      <c r="G760" s="70"/>
      <c r="H760" s="41">
        <f>SUM(Tabla1323[[#This Row],[PRIMER TRIMESTRE]:[CUARTO TRIMESTRE]])</f>
        <v>80</v>
      </c>
      <c r="I760" s="17">
        <v>11505</v>
      </c>
      <c r="J760" s="17">
        <f t="shared" si="15"/>
        <v>920400</v>
      </c>
      <c r="K760" s="31"/>
      <c r="L760" s="16" t="s">
        <v>27</v>
      </c>
      <c r="M760" s="30" t="s">
        <v>22</v>
      </c>
      <c r="N760" s="45" t="s">
        <v>418</v>
      </c>
      <c r="O760" s="20"/>
    </row>
    <row r="761" spans="1:15" s="12" customFormat="1">
      <c r="A761" s="15" t="s">
        <v>120</v>
      </c>
      <c r="B761" s="80" t="s">
        <v>790</v>
      </c>
      <c r="C761" s="45" t="s">
        <v>417</v>
      </c>
      <c r="D761" s="70">
        <v>4</v>
      </c>
      <c r="E761" s="70"/>
      <c r="F761" s="70">
        <v>3</v>
      </c>
      <c r="G761" s="70"/>
      <c r="H761" s="41">
        <f>SUM(Tabla1323[[#This Row],[PRIMER TRIMESTRE]:[CUARTO TRIMESTRE]])</f>
        <v>7</v>
      </c>
      <c r="I761" s="72">
        <v>3760.11</v>
      </c>
      <c r="J761" s="17">
        <f t="shared" si="15"/>
        <v>26320.77</v>
      </c>
      <c r="K761" s="17"/>
      <c r="L761" s="16" t="s">
        <v>27</v>
      </c>
      <c r="M761" s="16" t="s">
        <v>22</v>
      </c>
      <c r="N761" s="45" t="s">
        <v>418</v>
      </c>
      <c r="O761" s="18"/>
    </row>
    <row r="762" spans="1:15" s="12" customFormat="1">
      <c r="A762" s="15" t="s">
        <v>120</v>
      </c>
      <c r="B762" s="80" t="s">
        <v>791</v>
      </c>
      <c r="C762" s="45" t="s">
        <v>417</v>
      </c>
      <c r="D762" s="70">
        <v>5</v>
      </c>
      <c r="E762" s="70"/>
      <c r="F762" s="70">
        <v>5</v>
      </c>
      <c r="G762" s="70"/>
      <c r="H762" s="41">
        <f>SUM(Tabla1323[[#This Row],[PRIMER TRIMESTRE]:[CUARTO TRIMESTRE]])</f>
        <v>10</v>
      </c>
      <c r="I762" s="72">
        <v>3914.09</v>
      </c>
      <c r="J762" s="17">
        <f t="shared" si="15"/>
        <v>39140.9</v>
      </c>
      <c r="K762" s="17"/>
      <c r="L762" s="16" t="s">
        <v>27</v>
      </c>
      <c r="M762" s="16" t="s">
        <v>22</v>
      </c>
      <c r="N762" s="45" t="s">
        <v>418</v>
      </c>
      <c r="O762" s="18"/>
    </row>
    <row r="763" spans="1:15" s="12" customFormat="1">
      <c r="A763" s="15" t="s">
        <v>120</v>
      </c>
      <c r="B763" s="80" t="s">
        <v>792</v>
      </c>
      <c r="C763" s="45" t="s">
        <v>417</v>
      </c>
      <c r="D763" s="70">
        <v>5</v>
      </c>
      <c r="E763" s="70"/>
      <c r="F763" s="70">
        <v>5</v>
      </c>
      <c r="G763" s="70"/>
      <c r="H763" s="41">
        <f>SUM(Tabla1323[[#This Row],[PRIMER TRIMESTRE]:[CUARTO TRIMESTRE]])</f>
        <v>10</v>
      </c>
      <c r="I763" s="72">
        <v>4257.1899999999996</v>
      </c>
      <c r="J763" s="17">
        <f t="shared" si="15"/>
        <v>42571.899999999994</v>
      </c>
      <c r="K763" s="17"/>
      <c r="L763" s="16" t="s">
        <v>27</v>
      </c>
      <c r="M763" s="16" t="s">
        <v>22</v>
      </c>
      <c r="N763" s="45" t="s">
        <v>418</v>
      </c>
      <c r="O763" s="18"/>
    </row>
    <row r="764" spans="1:15" s="12" customFormat="1">
      <c r="A764" s="15" t="s">
        <v>120</v>
      </c>
      <c r="B764" s="80" t="s">
        <v>793</v>
      </c>
      <c r="C764" s="45" t="s">
        <v>417</v>
      </c>
      <c r="D764" s="70">
        <v>5</v>
      </c>
      <c r="E764" s="70"/>
      <c r="F764" s="70">
        <v>5</v>
      </c>
      <c r="G764" s="70"/>
      <c r="H764" s="41">
        <f>SUM(Tabla1323[[#This Row],[PRIMER TRIMESTRE]:[CUARTO TRIMESTRE]])</f>
        <v>10</v>
      </c>
      <c r="I764" s="72">
        <v>4257.1899999999996</v>
      </c>
      <c r="J764" s="17">
        <f t="shared" si="15"/>
        <v>42571.899999999994</v>
      </c>
      <c r="K764" s="17"/>
      <c r="L764" s="16" t="s">
        <v>27</v>
      </c>
      <c r="M764" s="16" t="s">
        <v>22</v>
      </c>
      <c r="N764" s="45" t="s">
        <v>418</v>
      </c>
      <c r="O764" s="18"/>
    </row>
    <row r="765" spans="1:15" s="12" customFormat="1">
      <c r="A765" s="15" t="s">
        <v>120</v>
      </c>
      <c r="B765" s="80" t="s">
        <v>794</v>
      </c>
      <c r="C765" s="45" t="s">
        <v>417</v>
      </c>
      <c r="D765" s="70">
        <v>5</v>
      </c>
      <c r="E765" s="70"/>
      <c r="F765" s="70">
        <v>5</v>
      </c>
      <c r="G765" s="70"/>
      <c r="H765" s="41">
        <f>SUM(Tabla1323[[#This Row],[PRIMER TRIMESTRE]:[CUARTO TRIMESTRE]])</f>
        <v>10</v>
      </c>
      <c r="I765" s="72">
        <v>4257.8999999999996</v>
      </c>
      <c r="J765" s="17">
        <f t="shared" si="15"/>
        <v>42579</v>
      </c>
      <c r="K765" s="17"/>
      <c r="L765" s="16" t="s">
        <v>27</v>
      </c>
      <c r="M765" s="16" t="s">
        <v>22</v>
      </c>
      <c r="N765" s="45" t="s">
        <v>418</v>
      </c>
      <c r="O765" s="18"/>
    </row>
    <row r="766" spans="1:15" s="12" customFormat="1">
      <c r="A766" s="15" t="s">
        <v>120</v>
      </c>
      <c r="B766" s="80" t="s">
        <v>795</v>
      </c>
      <c r="C766" s="45" t="s">
        <v>417</v>
      </c>
      <c r="D766" s="70">
        <v>10</v>
      </c>
      <c r="E766" s="70"/>
      <c r="F766" s="70">
        <v>10</v>
      </c>
      <c r="G766" s="70"/>
      <c r="H766" s="41">
        <f>SUM(Tabla1323[[#This Row],[PRIMER TRIMESTRE]:[CUARTO TRIMESTRE]])</f>
        <v>20</v>
      </c>
      <c r="I766" s="72">
        <v>4238.76</v>
      </c>
      <c r="J766" s="17">
        <f>+H766*I766</f>
        <v>84775.200000000012</v>
      </c>
      <c r="K766" s="17"/>
      <c r="L766" s="16" t="s">
        <v>27</v>
      </c>
      <c r="M766" s="16" t="s">
        <v>22</v>
      </c>
      <c r="N766" s="45" t="s">
        <v>418</v>
      </c>
      <c r="O766" s="18"/>
    </row>
    <row r="767" spans="1:15" s="12" customFormat="1">
      <c r="A767" s="15" t="s">
        <v>120</v>
      </c>
      <c r="B767" s="80" t="s">
        <v>796</v>
      </c>
      <c r="C767" s="45" t="s">
        <v>417</v>
      </c>
      <c r="D767" s="70">
        <v>10</v>
      </c>
      <c r="E767" s="70"/>
      <c r="F767" s="70">
        <v>10</v>
      </c>
      <c r="G767" s="70"/>
      <c r="H767" s="41">
        <f>SUM(Tabla1323[[#This Row],[PRIMER TRIMESTRE]:[CUARTO TRIMESTRE]])</f>
        <v>20</v>
      </c>
      <c r="I767" s="72">
        <v>3199.82</v>
      </c>
      <c r="J767" s="17">
        <f>+H767*I767</f>
        <v>63996.4</v>
      </c>
      <c r="K767" s="17"/>
      <c r="L767" s="16" t="s">
        <v>27</v>
      </c>
      <c r="M767" s="16" t="s">
        <v>22</v>
      </c>
      <c r="N767" s="45" t="s">
        <v>418</v>
      </c>
      <c r="O767" s="18"/>
    </row>
    <row r="768" spans="1:15" s="12" customFormat="1">
      <c r="A768" s="15" t="s">
        <v>120</v>
      </c>
      <c r="B768" s="80" t="s">
        <v>797</v>
      </c>
      <c r="C768" s="45" t="s">
        <v>417</v>
      </c>
      <c r="D768" s="70">
        <v>10</v>
      </c>
      <c r="E768" s="70"/>
      <c r="F768" s="70">
        <v>5</v>
      </c>
      <c r="G768" s="70"/>
      <c r="H768" s="41">
        <f>SUM(Tabla1323[[#This Row],[PRIMER TRIMESTRE]:[CUARTO TRIMESTRE]])</f>
        <v>15</v>
      </c>
      <c r="I768" s="72">
        <v>3679.8</v>
      </c>
      <c r="J768" s="17">
        <f>+H768*I768</f>
        <v>55197</v>
      </c>
      <c r="K768" s="17"/>
      <c r="L768" s="16" t="s">
        <v>27</v>
      </c>
      <c r="M768" s="16" t="s">
        <v>22</v>
      </c>
      <c r="N768" s="45" t="s">
        <v>418</v>
      </c>
      <c r="O768" s="18"/>
    </row>
    <row r="769" spans="1:21" s="12" customFormat="1">
      <c r="A769" s="15" t="s">
        <v>120</v>
      </c>
      <c r="B769" s="80" t="s">
        <v>798</v>
      </c>
      <c r="C769" s="45" t="s">
        <v>417</v>
      </c>
      <c r="D769" s="70">
        <v>2</v>
      </c>
      <c r="E769" s="70"/>
      <c r="F769" s="70">
        <v>3</v>
      </c>
      <c r="G769" s="70"/>
      <c r="H769" s="41">
        <f>SUM(Tabla1323[[#This Row],[PRIMER TRIMESTRE]:[CUARTO TRIMESTRE]])</f>
        <v>5</v>
      </c>
      <c r="I769" s="72">
        <v>3304</v>
      </c>
      <c r="J769" s="17">
        <f>+H769*I769</f>
        <v>16520</v>
      </c>
      <c r="K769" s="17"/>
      <c r="L769" s="16" t="s">
        <v>27</v>
      </c>
      <c r="M769" s="16" t="s">
        <v>22</v>
      </c>
      <c r="N769" s="45" t="s">
        <v>418</v>
      </c>
      <c r="O769" s="18"/>
    </row>
    <row r="770" spans="1:21" s="26" customFormat="1" ht="27.75" customHeight="1">
      <c r="A770" s="22" t="s">
        <v>120</v>
      </c>
      <c r="B770" s="76"/>
      <c r="C770" s="42"/>
      <c r="D770" s="42"/>
      <c r="E770" s="42"/>
      <c r="F770" s="42"/>
      <c r="G770" s="42"/>
      <c r="H770" s="43"/>
      <c r="I770" s="24"/>
      <c r="J770" s="24"/>
      <c r="K770" s="25">
        <f>SUM(J640:J760)</f>
        <v>7805185.225779376</v>
      </c>
      <c r="L770" s="23"/>
      <c r="M770" s="23"/>
      <c r="N770" s="42"/>
      <c r="O770" s="24"/>
      <c r="R770" s="27"/>
      <c r="U770" s="23"/>
    </row>
    <row r="771" spans="1:21" s="12" customFormat="1">
      <c r="A771" s="15" t="s">
        <v>295</v>
      </c>
      <c r="B771" s="75" t="s">
        <v>296</v>
      </c>
      <c r="C771" s="39" t="s">
        <v>17</v>
      </c>
      <c r="D771" s="39"/>
      <c r="E771" s="39">
        <v>4</v>
      </c>
      <c r="F771" s="39"/>
      <c r="G771" s="39">
        <v>4</v>
      </c>
      <c r="H771" s="40">
        <f>SUM(Tabla1323[[#This Row],[PRIMER TRIMESTRE]:[CUARTO TRIMESTRE]])</f>
        <v>8</v>
      </c>
      <c r="I771" s="17">
        <v>5300.02</v>
      </c>
      <c r="J771" s="17">
        <f>+Tabla1323[[#This Row],[CANTIDAD TOTAL]]*Tabla1323[[#This Row],[PRECIO UNITARIO ESTIMADO]]</f>
        <v>42400.160000000003</v>
      </c>
      <c r="K771" s="17"/>
      <c r="L771" s="16" t="s">
        <v>15</v>
      </c>
      <c r="M771" s="16" t="s">
        <v>22</v>
      </c>
      <c r="N771" s="39" t="s">
        <v>342</v>
      </c>
      <c r="O771" s="20"/>
    </row>
    <row r="772" spans="1:21" s="12" customFormat="1">
      <c r="A772" s="15" t="s">
        <v>295</v>
      </c>
      <c r="B772" s="75" t="s">
        <v>297</v>
      </c>
      <c r="C772" s="39" t="s">
        <v>17</v>
      </c>
      <c r="D772" s="39"/>
      <c r="E772" s="39">
        <v>4</v>
      </c>
      <c r="F772" s="39"/>
      <c r="G772" s="39">
        <v>4</v>
      </c>
      <c r="H772" s="40">
        <f>SUM(Tabla1323[[#This Row],[PRIMER TRIMESTRE]:[CUARTO TRIMESTRE]])</f>
        <v>8</v>
      </c>
      <c r="I772" s="17">
        <v>11775.77</v>
      </c>
      <c r="J772" s="17">
        <f>+Tabla1323[[#This Row],[CANTIDAD TOTAL]]*Tabla1323[[#This Row],[PRECIO UNITARIO ESTIMADO]]</f>
        <v>94206.16</v>
      </c>
      <c r="K772" s="17"/>
      <c r="L772" s="16" t="s">
        <v>15</v>
      </c>
      <c r="M772" s="16" t="s">
        <v>22</v>
      </c>
      <c r="N772" s="39" t="s">
        <v>342</v>
      </c>
      <c r="O772" s="20"/>
    </row>
    <row r="773" spans="1:21" s="12" customFormat="1">
      <c r="A773" s="15" t="s">
        <v>295</v>
      </c>
      <c r="B773" s="75" t="s">
        <v>298</v>
      </c>
      <c r="C773" s="39" t="s">
        <v>17</v>
      </c>
      <c r="D773" s="39"/>
      <c r="E773" s="39">
        <v>4</v>
      </c>
      <c r="F773" s="39"/>
      <c r="G773" s="39">
        <v>4</v>
      </c>
      <c r="H773" s="40">
        <f>SUM(Tabla1323[[#This Row],[PRIMER TRIMESTRE]:[CUARTO TRIMESTRE]])</f>
        <v>8</v>
      </c>
      <c r="I773" s="17">
        <v>18999.439999999999</v>
      </c>
      <c r="J773" s="17">
        <f>+Tabla1323[[#This Row],[CANTIDAD TOTAL]]*Tabla1323[[#This Row],[PRECIO UNITARIO ESTIMADO]]</f>
        <v>151995.51999999999</v>
      </c>
      <c r="K773" s="17"/>
      <c r="L773" s="16" t="s">
        <v>15</v>
      </c>
      <c r="M773" s="16" t="s">
        <v>22</v>
      </c>
      <c r="N773" s="39" t="s">
        <v>342</v>
      </c>
      <c r="O773" s="20"/>
    </row>
    <row r="774" spans="1:21" s="12" customFormat="1">
      <c r="A774" s="15" t="s">
        <v>295</v>
      </c>
      <c r="B774" s="75" t="s">
        <v>299</v>
      </c>
      <c r="C774" s="39" t="s">
        <v>17</v>
      </c>
      <c r="D774" s="39"/>
      <c r="E774" s="39">
        <v>2</v>
      </c>
      <c r="F774" s="39"/>
      <c r="G774" s="39">
        <v>2</v>
      </c>
      <c r="H774" s="40">
        <f>SUM(Tabla1323[[#This Row],[PRIMER TRIMESTRE]:[CUARTO TRIMESTRE]])</f>
        <v>4</v>
      </c>
      <c r="I774" s="17">
        <v>784</v>
      </c>
      <c r="J774" s="17">
        <f>+Tabla1323[[#This Row],[CANTIDAD TOTAL]]*Tabla1323[[#This Row],[PRECIO UNITARIO ESTIMADO]]</f>
        <v>3136</v>
      </c>
      <c r="K774" s="17"/>
      <c r="L774" s="16" t="s">
        <v>15</v>
      </c>
      <c r="M774" s="16" t="s">
        <v>22</v>
      </c>
      <c r="N774" s="39" t="s">
        <v>342</v>
      </c>
      <c r="O774" s="20"/>
    </row>
    <row r="775" spans="1:21" s="12" customFormat="1">
      <c r="A775" s="15" t="s">
        <v>295</v>
      </c>
      <c r="B775" s="75" t="s">
        <v>300</v>
      </c>
      <c r="C775" s="39" t="s">
        <v>17</v>
      </c>
      <c r="D775" s="39"/>
      <c r="E775" s="39">
        <v>2</v>
      </c>
      <c r="F775" s="39"/>
      <c r="G775" s="39">
        <v>1</v>
      </c>
      <c r="H775" s="40">
        <f>SUM(Tabla1323[[#This Row],[PRIMER TRIMESTRE]:[CUARTO TRIMESTRE]])</f>
        <v>3</v>
      </c>
      <c r="I775" s="17">
        <v>21495</v>
      </c>
      <c r="J775" s="17">
        <f>+Tabla1323[[#This Row],[CANTIDAD TOTAL]]*Tabla1323[[#This Row],[PRECIO UNITARIO ESTIMADO]]</f>
        <v>64485</v>
      </c>
      <c r="K775" s="17"/>
      <c r="L775" s="16" t="s">
        <v>15</v>
      </c>
      <c r="M775" s="16" t="s">
        <v>22</v>
      </c>
      <c r="N775" s="39" t="s">
        <v>342</v>
      </c>
      <c r="O775" s="20"/>
    </row>
    <row r="776" spans="1:21" s="12" customFormat="1">
      <c r="A776" s="15" t="s">
        <v>295</v>
      </c>
      <c r="B776" s="75" t="s">
        <v>441</v>
      </c>
      <c r="C776" s="39" t="s">
        <v>17</v>
      </c>
      <c r="D776" s="39"/>
      <c r="E776" s="39">
        <v>3</v>
      </c>
      <c r="F776" s="39"/>
      <c r="G776" s="39">
        <v>3</v>
      </c>
      <c r="H776" s="40">
        <f>SUM(Tabla1323[[#This Row],[PRIMER TRIMESTRE]:[CUARTO TRIMESTRE]])</f>
        <v>6</v>
      </c>
      <c r="I776" s="17">
        <v>9000</v>
      </c>
      <c r="J776" s="17">
        <f>+H776*I776</f>
        <v>54000</v>
      </c>
      <c r="K776" s="17"/>
      <c r="L776" s="16" t="s">
        <v>15</v>
      </c>
      <c r="M776" s="16" t="s">
        <v>22</v>
      </c>
      <c r="N776" s="39" t="s">
        <v>342</v>
      </c>
      <c r="O776" s="18"/>
    </row>
    <row r="777" spans="1:21" s="12" customFormat="1">
      <c r="A777" s="15" t="s">
        <v>295</v>
      </c>
      <c r="B777" s="75" t="s">
        <v>301</v>
      </c>
      <c r="C777" s="39" t="s">
        <v>17</v>
      </c>
      <c r="D777" s="39"/>
      <c r="E777" s="39">
        <v>4</v>
      </c>
      <c r="F777" s="39"/>
      <c r="G777" s="39">
        <v>4</v>
      </c>
      <c r="H777" s="40">
        <f>SUM(Tabla1323[[#This Row],[PRIMER TRIMESTRE]:[CUARTO TRIMESTRE]])</f>
        <v>8</v>
      </c>
      <c r="I777" s="17">
        <v>8004</v>
      </c>
      <c r="J777" s="17">
        <f>+Tabla1323[[#This Row],[CANTIDAD TOTAL]]*Tabla1323[[#This Row],[PRECIO UNITARIO ESTIMADO]]</f>
        <v>64032</v>
      </c>
      <c r="K777" s="17"/>
      <c r="L777" s="16" t="s">
        <v>15</v>
      </c>
      <c r="M777" s="16" t="s">
        <v>22</v>
      </c>
      <c r="N777" s="39" t="s">
        <v>342</v>
      </c>
      <c r="O777" s="20"/>
    </row>
    <row r="778" spans="1:21" s="12" customFormat="1">
      <c r="A778" s="15" t="s">
        <v>295</v>
      </c>
      <c r="B778" s="75" t="s">
        <v>316</v>
      </c>
      <c r="C778" s="44" t="s">
        <v>17</v>
      </c>
      <c r="D778" s="39"/>
      <c r="E778" s="39">
        <v>2</v>
      </c>
      <c r="F778" s="39"/>
      <c r="G778" s="39">
        <v>2</v>
      </c>
      <c r="H778" s="40">
        <f>SUM(Tabla1323[[#This Row],[PRIMER TRIMESTRE]:[CUARTO TRIMESTRE]])</f>
        <v>4</v>
      </c>
      <c r="I778" s="17">
        <v>8802.7999999999993</v>
      </c>
      <c r="J778" s="17">
        <f>+Tabla1323[[#This Row],[CANTIDAD TOTAL]]*Tabla1323[[#This Row],[PRECIO UNITARIO ESTIMADO]]</f>
        <v>35211.199999999997</v>
      </c>
      <c r="K778" s="17"/>
      <c r="L778" s="16" t="s">
        <v>15</v>
      </c>
      <c r="M778" s="30" t="s">
        <v>22</v>
      </c>
      <c r="N778" s="44" t="s">
        <v>342</v>
      </c>
      <c r="O778" s="20"/>
    </row>
    <row r="779" spans="1:21" s="12" customFormat="1">
      <c r="A779" s="15" t="s">
        <v>295</v>
      </c>
      <c r="B779" s="75" t="s">
        <v>322</v>
      </c>
      <c r="C779" s="39" t="s">
        <v>17</v>
      </c>
      <c r="D779" s="39"/>
      <c r="E779" s="39">
        <v>1</v>
      </c>
      <c r="F779" s="39"/>
      <c r="G779" s="39"/>
      <c r="H779" s="40">
        <f>SUM(Tabla1323[[#This Row],[PRIMER TRIMESTRE]:[CUARTO TRIMESTRE]])</f>
        <v>1</v>
      </c>
      <c r="I779" s="17">
        <v>64546</v>
      </c>
      <c r="J779" s="17">
        <f>+Tabla1323[[#This Row],[CANTIDAD TOTAL]]*Tabla1323[[#This Row],[PRECIO UNITARIO ESTIMADO]]</f>
        <v>64546</v>
      </c>
      <c r="K779" s="17"/>
      <c r="L779" s="16" t="s">
        <v>15</v>
      </c>
      <c r="M779" s="30" t="s">
        <v>22</v>
      </c>
      <c r="N779" s="39" t="s">
        <v>342</v>
      </c>
      <c r="O779" s="20"/>
    </row>
    <row r="780" spans="1:21" s="26" customFormat="1" ht="27.75" customHeight="1">
      <c r="A780" s="22" t="s">
        <v>295</v>
      </c>
      <c r="B780" s="76"/>
      <c r="C780" s="42"/>
      <c r="D780" s="42"/>
      <c r="E780" s="42"/>
      <c r="F780" s="42"/>
      <c r="G780" s="42"/>
      <c r="H780" s="43"/>
      <c r="I780" s="24"/>
      <c r="J780" s="24"/>
      <c r="K780" s="25">
        <f>SUM(J771:J779)</f>
        <v>574012.04</v>
      </c>
      <c r="L780" s="23"/>
      <c r="M780" s="23"/>
      <c r="N780" s="42"/>
      <c r="O780" s="24"/>
      <c r="R780" s="27"/>
      <c r="U780" s="23"/>
    </row>
    <row r="781" spans="1:21" s="12" customFormat="1">
      <c r="A781" s="15" t="s">
        <v>147</v>
      </c>
      <c r="B781" s="75" t="s">
        <v>302</v>
      </c>
      <c r="C781" s="39" t="s">
        <v>17</v>
      </c>
      <c r="D781" s="39"/>
      <c r="E781" s="39">
        <v>400</v>
      </c>
      <c r="F781" s="39"/>
      <c r="G781" s="39">
        <v>400</v>
      </c>
      <c r="H781" s="40">
        <f>SUM(Tabla1323[[#This Row],[PRIMER TRIMESTRE]:[CUARTO TRIMESTRE]])</f>
        <v>800</v>
      </c>
      <c r="I781" s="17">
        <v>452.4</v>
      </c>
      <c r="J781" s="17">
        <f>+Tabla1323[[#This Row],[CANTIDAD TOTAL]]*Tabla1323[[#This Row],[PRECIO UNITARIO ESTIMADO]]</f>
        <v>361920</v>
      </c>
      <c r="K781" s="17"/>
      <c r="L781" s="16" t="s">
        <v>15</v>
      </c>
      <c r="M781" s="16" t="s">
        <v>22</v>
      </c>
      <c r="N781" s="39" t="s">
        <v>342</v>
      </c>
      <c r="O781" s="20"/>
    </row>
    <row r="782" spans="1:21" s="12" customFormat="1" ht="36.75" customHeight="1">
      <c r="A782" s="15" t="s">
        <v>147</v>
      </c>
      <c r="B782" s="75" t="s">
        <v>326</v>
      </c>
      <c r="C782" s="44" t="s">
        <v>17</v>
      </c>
      <c r="D782" s="39"/>
      <c r="E782" s="39">
        <v>100</v>
      </c>
      <c r="F782" s="39"/>
      <c r="G782" s="39">
        <v>100</v>
      </c>
      <c r="H782" s="40">
        <f>SUM(Tabla1323[[#This Row],[PRIMER TRIMESTRE]:[CUARTO TRIMESTRE]])</f>
        <v>200</v>
      </c>
      <c r="I782" s="17">
        <v>2596</v>
      </c>
      <c r="J782" s="17">
        <f>+Tabla1323[[#This Row],[CANTIDAD TOTAL]]*Tabla1323[[#This Row],[PRECIO UNITARIO ESTIMADO]]</f>
        <v>519200</v>
      </c>
      <c r="K782" s="17"/>
      <c r="L782" s="16" t="s">
        <v>15</v>
      </c>
      <c r="M782" s="16" t="s">
        <v>22</v>
      </c>
      <c r="N782" s="44" t="s">
        <v>342</v>
      </c>
      <c r="O782" s="20"/>
    </row>
    <row r="783" spans="1:21" s="12" customFormat="1">
      <c r="A783" s="15" t="s">
        <v>147</v>
      </c>
      <c r="B783" s="75" t="s">
        <v>332</v>
      </c>
      <c r="C783" s="44" t="s">
        <v>17</v>
      </c>
      <c r="D783" s="39"/>
      <c r="E783" s="39">
        <v>40</v>
      </c>
      <c r="F783" s="39"/>
      <c r="G783" s="39">
        <v>40</v>
      </c>
      <c r="H783" s="40">
        <f>SUM(Tabla1323[[#This Row],[PRIMER TRIMESTRE]:[CUARTO TRIMESTRE]])</f>
        <v>80</v>
      </c>
      <c r="I783" s="17">
        <v>460.2</v>
      </c>
      <c r="J783" s="17">
        <f>+Tabla1323[[#This Row],[CANTIDAD TOTAL]]*Tabla1323[[#This Row],[PRECIO UNITARIO ESTIMADO]]</f>
        <v>36816</v>
      </c>
      <c r="K783" s="17"/>
      <c r="L783" s="16" t="s">
        <v>15</v>
      </c>
      <c r="M783" s="16" t="s">
        <v>22</v>
      </c>
      <c r="N783" s="44" t="s">
        <v>342</v>
      </c>
      <c r="O783" s="20"/>
    </row>
    <row r="784" spans="1:21" s="12" customFormat="1">
      <c r="A784" s="15" t="s">
        <v>147</v>
      </c>
      <c r="B784" s="75" t="s">
        <v>333</v>
      </c>
      <c r="C784" s="44" t="s">
        <v>17</v>
      </c>
      <c r="D784" s="39"/>
      <c r="E784" s="39">
        <v>400</v>
      </c>
      <c r="F784" s="39"/>
      <c r="G784" s="39">
        <v>400</v>
      </c>
      <c r="H784" s="40">
        <f>SUM(Tabla1323[[#This Row],[PRIMER TRIMESTRE]:[CUARTO TRIMESTRE]])</f>
        <v>800</v>
      </c>
      <c r="I784" s="17">
        <f>76995/450</f>
        <v>171.1</v>
      </c>
      <c r="J784" s="17">
        <f>+Tabla1323[[#This Row],[CANTIDAD TOTAL]]*Tabla1323[[#This Row],[PRECIO UNITARIO ESTIMADO]]</f>
        <v>136880</v>
      </c>
      <c r="K784" s="17"/>
      <c r="L784" s="16" t="s">
        <v>15</v>
      </c>
      <c r="M784" s="16" t="s">
        <v>22</v>
      </c>
      <c r="N784" s="44" t="s">
        <v>342</v>
      </c>
      <c r="O784" s="20"/>
    </row>
    <row r="785" spans="1:23" s="12" customFormat="1">
      <c r="A785" s="15" t="s">
        <v>147</v>
      </c>
      <c r="B785" s="75" t="s">
        <v>303</v>
      </c>
      <c r="C785" s="39" t="s">
        <v>149</v>
      </c>
      <c r="D785" s="39"/>
      <c r="E785" s="39">
        <v>7</v>
      </c>
      <c r="F785" s="39"/>
      <c r="G785" s="39">
        <v>7</v>
      </c>
      <c r="H785" s="40">
        <f>SUM(Tabla1323[[#This Row],[PRIMER TRIMESTRE]:[CUARTO TRIMESTRE]])</f>
        <v>14</v>
      </c>
      <c r="I785" s="17">
        <v>1856</v>
      </c>
      <c r="J785" s="17">
        <f>+Tabla1323[[#This Row],[CANTIDAD TOTAL]]*Tabla1323[[#This Row],[PRECIO UNITARIO ESTIMADO]]</f>
        <v>25984</v>
      </c>
      <c r="K785" s="17"/>
      <c r="L785" s="16" t="s">
        <v>15</v>
      </c>
      <c r="M785" s="16" t="s">
        <v>22</v>
      </c>
      <c r="N785" s="39" t="s">
        <v>342</v>
      </c>
      <c r="O785" s="20"/>
    </row>
    <row r="786" spans="1:23" s="12" customFormat="1">
      <c r="A786" s="15" t="s">
        <v>147</v>
      </c>
      <c r="B786" s="75" t="s">
        <v>568</v>
      </c>
      <c r="C786" s="39" t="s">
        <v>149</v>
      </c>
      <c r="D786" s="39"/>
      <c r="E786" s="39">
        <v>50</v>
      </c>
      <c r="F786" s="39"/>
      <c r="G786" s="39">
        <v>50</v>
      </c>
      <c r="H786" s="40">
        <f>SUM(Tabla1323[[#This Row],[PRIMER TRIMESTRE]:[CUARTO TRIMESTRE]])</f>
        <v>100</v>
      </c>
      <c r="I786" s="17">
        <v>488.31</v>
      </c>
      <c r="J786" s="17">
        <f>+Tabla1323[[#This Row],[CANTIDAD TOTAL]]*Tabla1323[[#This Row],[PRECIO UNITARIO ESTIMADO]]</f>
        <v>48831</v>
      </c>
      <c r="K786" s="17"/>
      <c r="L786" s="16" t="s">
        <v>15</v>
      </c>
      <c r="M786" s="16" t="s">
        <v>22</v>
      </c>
      <c r="N786" s="39" t="s">
        <v>342</v>
      </c>
      <c r="O786" s="20"/>
    </row>
    <row r="787" spans="1:23" s="12" customFormat="1">
      <c r="A787" s="15" t="s">
        <v>147</v>
      </c>
      <c r="B787" s="75" t="s">
        <v>569</v>
      </c>
      <c r="C787" s="39" t="s">
        <v>149</v>
      </c>
      <c r="D787" s="39"/>
      <c r="E787" s="39">
        <v>50</v>
      </c>
      <c r="F787" s="39"/>
      <c r="G787" s="39">
        <v>50</v>
      </c>
      <c r="H787" s="40">
        <f>SUM(Tabla1323[[#This Row],[PRIMER TRIMESTRE]:[CUARTO TRIMESTRE]])</f>
        <v>100</v>
      </c>
      <c r="I787" s="17">
        <v>550.4</v>
      </c>
      <c r="J787" s="17">
        <f>+H787*I787</f>
        <v>55040</v>
      </c>
      <c r="K787" s="17"/>
      <c r="L787" s="16" t="s">
        <v>15</v>
      </c>
      <c r="M787" s="16" t="s">
        <v>22</v>
      </c>
      <c r="N787" s="39" t="s">
        <v>342</v>
      </c>
      <c r="O787" s="18"/>
    </row>
    <row r="788" spans="1:23" s="26" customFormat="1" ht="27.75" customHeight="1">
      <c r="A788" s="22" t="s">
        <v>147</v>
      </c>
      <c r="B788" s="76"/>
      <c r="C788" s="42"/>
      <c r="D788" s="42"/>
      <c r="E788" s="42"/>
      <c r="F788" s="42"/>
      <c r="G788" s="42"/>
      <c r="H788" s="43"/>
      <c r="I788" s="24"/>
      <c r="J788" s="24"/>
      <c r="K788" s="25">
        <f>SUM(J781:J787)</f>
        <v>1184671</v>
      </c>
      <c r="L788" s="23"/>
      <c r="M788" s="23"/>
      <c r="N788" s="42"/>
      <c r="O788" s="24"/>
      <c r="R788" s="27"/>
      <c r="U788" s="23"/>
    </row>
    <row r="789" spans="1:23" s="12" customFormat="1">
      <c r="A789" s="15" t="s">
        <v>153</v>
      </c>
      <c r="B789" s="75" t="s">
        <v>304</v>
      </c>
      <c r="C789" s="39" t="s">
        <v>17</v>
      </c>
      <c r="D789" s="39"/>
      <c r="E789" s="39">
        <v>600</v>
      </c>
      <c r="F789" s="39"/>
      <c r="G789" s="39">
        <v>600</v>
      </c>
      <c r="H789" s="51">
        <f>SUM(Tabla1323[[#This Row],[PRIMER TRIMESTRE]:[CUARTO TRIMESTRE]])</f>
        <v>1200</v>
      </c>
      <c r="I789" s="17">
        <v>5.4</v>
      </c>
      <c r="J789" s="17">
        <f>+H789*I789</f>
        <v>6480</v>
      </c>
      <c r="K789" s="17"/>
      <c r="L789" s="16" t="s">
        <v>15</v>
      </c>
      <c r="M789" s="16" t="s">
        <v>22</v>
      </c>
      <c r="N789" s="39" t="s">
        <v>342</v>
      </c>
      <c r="O789" s="20"/>
    </row>
    <row r="790" spans="1:23" s="12" customFormat="1">
      <c r="A790" s="15" t="s">
        <v>153</v>
      </c>
      <c r="B790" s="75" t="s">
        <v>768</v>
      </c>
      <c r="C790" s="39" t="s">
        <v>17</v>
      </c>
      <c r="D790" s="39"/>
      <c r="E790" s="39">
        <v>1000</v>
      </c>
      <c r="F790" s="39"/>
      <c r="G790" s="39">
        <v>1000</v>
      </c>
      <c r="H790" s="51">
        <f>SUM(Tabla1323[[#This Row],[PRIMER TRIMESTRE]:[CUARTO TRIMESTRE]])</f>
        <v>2000</v>
      </c>
      <c r="I790" s="17">
        <v>48.75</v>
      </c>
      <c r="J790" s="17">
        <f>+H790*I790</f>
        <v>97500</v>
      </c>
      <c r="K790" s="17"/>
      <c r="L790" s="16" t="s">
        <v>15</v>
      </c>
      <c r="M790" s="16" t="s">
        <v>22</v>
      </c>
      <c r="N790" s="39" t="s">
        <v>342</v>
      </c>
      <c r="O790" s="18"/>
    </row>
    <row r="791" spans="1:23" s="26" customFormat="1" ht="27.75" customHeight="1">
      <c r="A791" s="22" t="s">
        <v>153</v>
      </c>
      <c r="B791" s="76"/>
      <c r="C791" s="42"/>
      <c r="D791" s="42"/>
      <c r="E791" s="42"/>
      <c r="F791" s="42"/>
      <c r="G791" s="42"/>
      <c r="H791" s="43"/>
      <c r="I791" s="24"/>
      <c r="J791" s="24"/>
      <c r="K791" s="25">
        <f>SUM(J789:J790)</f>
        <v>103980</v>
      </c>
      <c r="L791" s="23"/>
      <c r="M791" s="23"/>
      <c r="N791" s="42"/>
      <c r="O791" s="24"/>
      <c r="R791" s="27"/>
      <c r="U791" s="23"/>
    </row>
    <row r="792" spans="1:23" s="55" customFormat="1">
      <c r="A792" s="49" t="s">
        <v>573</v>
      </c>
      <c r="B792" s="81" t="s">
        <v>574</v>
      </c>
      <c r="C792" s="50" t="s">
        <v>17</v>
      </c>
      <c r="D792" s="50"/>
      <c r="E792" s="50">
        <v>2000</v>
      </c>
      <c r="F792" s="50"/>
      <c r="G792" s="50"/>
      <c r="H792" s="51">
        <f>SUM(Tabla1323[[#This Row],[PRIMER TRIMESTRE]:[CUARTO TRIMESTRE]])</f>
        <v>2000</v>
      </c>
      <c r="I792" s="52">
        <v>500</v>
      </c>
      <c r="J792" s="52">
        <f>+Tabla1323[[#This Row],[CANTIDAD TOTAL]]*Tabla1323[[#This Row],[PRECIO UNITARIO ESTIMADO]]</f>
        <v>1000000</v>
      </c>
      <c r="K792" s="50"/>
      <c r="L792" s="41" t="s">
        <v>27</v>
      </c>
      <c r="M792" s="41" t="s">
        <v>22</v>
      </c>
      <c r="N792" s="53"/>
      <c r="O792" s="53"/>
      <c r="P792" s="39"/>
      <c r="Q792" s="54"/>
      <c r="S792"/>
      <c r="T792" s="56"/>
      <c r="U792" s="56"/>
      <c r="V792" s="56"/>
      <c r="W792" s="56"/>
    </row>
    <row r="793" spans="1:23" s="55" customFormat="1">
      <c r="A793" s="49" t="s">
        <v>573</v>
      </c>
      <c r="B793" s="81" t="s">
        <v>575</v>
      </c>
      <c r="C793" s="50" t="s">
        <v>17</v>
      </c>
      <c r="D793" s="50"/>
      <c r="E793" s="50">
        <v>1000</v>
      </c>
      <c r="F793" s="50"/>
      <c r="G793" s="50"/>
      <c r="H793" s="51">
        <f>SUM(Tabla1323[[#This Row],[PRIMER TRIMESTRE]:[CUARTO TRIMESTRE]])</f>
        <v>1000</v>
      </c>
      <c r="I793" s="52">
        <v>1000</v>
      </c>
      <c r="J793" s="52">
        <f>+Tabla1323[[#This Row],[CANTIDAD TOTAL]]*Tabla1323[[#This Row],[PRECIO UNITARIO ESTIMADO]]</f>
        <v>1000000</v>
      </c>
      <c r="K793" s="50"/>
      <c r="L793" s="41" t="s">
        <v>27</v>
      </c>
      <c r="M793" s="41" t="s">
        <v>22</v>
      </c>
      <c r="N793" s="53"/>
      <c r="O793" s="53"/>
      <c r="P793" s="39"/>
      <c r="Q793" s="54"/>
      <c r="S793"/>
      <c r="T793" s="56"/>
      <c r="U793" s="56"/>
      <c r="V793" s="56"/>
      <c r="W793" s="56"/>
    </row>
    <row r="794" spans="1:23" s="55" customFormat="1">
      <c r="A794" s="49" t="s">
        <v>573</v>
      </c>
      <c r="B794" s="81" t="s">
        <v>576</v>
      </c>
      <c r="C794" s="50" t="s">
        <v>17</v>
      </c>
      <c r="D794" s="50"/>
      <c r="E794" s="50"/>
      <c r="F794" s="50"/>
      <c r="G794" s="50">
        <v>1500</v>
      </c>
      <c r="H794" s="51">
        <f>SUM(Tabla1323[[#This Row],[PRIMER TRIMESTRE]:[CUARTO TRIMESTRE]])</f>
        <v>1500</v>
      </c>
      <c r="I794" s="52">
        <v>2000</v>
      </c>
      <c r="J794" s="52">
        <f>+Tabla1323[[#This Row],[CANTIDAD TOTAL]]*Tabla1323[[#This Row],[PRECIO UNITARIO ESTIMADO]]</f>
        <v>3000000</v>
      </c>
      <c r="K794" s="50"/>
      <c r="L794" s="41" t="s">
        <v>27</v>
      </c>
      <c r="M794" s="41" t="s">
        <v>22</v>
      </c>
      <c r="N794" s="53"/>
      <c r="O794" s="53"/>
      <c r="P794" s="39"/>
      <c r="Q794" s="54"/>
      <c r="S794"/>
      <c r="T794" s="56"/>
      <c r="U794" s="56"/>
      <c r="V794" s="56"/>
      <c r="W794" s="56"/>
    </row>
    <row r="795" spans="1:23" s="64" customFormat="1">
      <c r="A795" s="57" t="s">
        <v>573</v>
      </c>
      <c r="B795" s="82"/>
      <c r="C795" s="58"/>
      <c r="D795" s="58"/>
      <c r="E795" s="58"/>
      <c r="F795" s="58"/>
      <c r="G795" s="58"/>
      <c r="H795" s="59"/>
      <c r="I795" s="57"/>
      <c r="J795" s="60"/>
      <c r="K795" s="25">
        <f>+SUM($J$792:$J$794)</f>
        <v>5000000</v>
      </c>
      <c r="L795" s="61"/>
      <c r="M795" s="61"/>
      <c r="N795" s="62"/>
      <c r="O795" s="62"/>
      <c r="P795" s="63"/>
      <c r="Q795" s="58"/>
      <c r="S795"/>
      <c r="T795" s="56"/>
      <c r="U795" s="56"/>
      <c r="V795" s="56"/>
      <c r="W795" s="56"/>
    </row>
    <row r="796" spans="1:23" s="12" customFormat="1">
      <c r="A796" s="15"/>
      <c r="B796" s="75"/>
      <c r="C796" s="39"/>
      <c r="D796" s="39"/>
      <c r="E796" s="39"/>
      <c r="F796" s="39"/>
      <c r="G796" s="39"/>
      <c r="H796" s="46"/>
      <c r="I796" s="17"/>
      <c r="J796" s="17"/>
      <c r="K796" s="17"/>
      <c r="L796" s="16"/>
      <c r="M796" s="16"/>
      <c r="N796" s="39"/>
      <c r="O796" s="20"/>
    </row>
    <row r="797" spans="1:23" s="34" customFormat="1" ht="24" thickBot="1">
      <c r="A797" s="33"/>
      <c r="B797" s="83" t="s">
        <v>419</v>
      </c>
      <c r="C797" s="47"/>
      <c r="D797" s="47"/>
      <c r="E797" s="47"/>
      <c r="F797" s="47"/>
      <c r="G797" s="47"/>
      <c r="H797" s="48"/>
      <c r="I797" s="35"/>
      <c r="J797" s="35"/>
      <c r="K797" s="74">
        <f>SUM(K11:K796)</f>
        <v>1025482988.7070429</v>
      </c>
      <c r="N797" s="47"/>
      <c r="O797" s="36"/>
    </row>
  </sheetData>
  <mergeCells count="4">
    <mergeCell ref="A3:A5"/>
    <mergeCell ref="A6:N6"/>
    <mergeCell ref="A7:B7"/>
    <mergeCell ref="D9:G9"/>
  </mergeCells>
  <dataValidations xWindow="1129" yWindow="217" count="18">
    <dataValidation type="list" allowBlank="1" showInputMessage="1" showErrorMessage="1" promptTitle="PACC" prompt="Seleccione el procedimiento de selección." sqref="M359:M373">
      <formula1>$V$14:$V$15</formula1>
    </dataValidation>
    <dataValidation type="list" allowBlank="1" showInputMessage="1" showErrorMessage="1" promptTitle="PACC" prompt="Seleccione el procedimiento de selección." sqref="L30 L31">
      <formula1>$W$14:$W$17</formula1>
    </dataValidation>
    <dataValidation type="list" allowBlank="1" showInputMessage="1" showErrorMessage="1" promptTitle="PACC" prompt="Seleccione el procedimiento de selección." sqref="M613 L374:L381 L11:L28 L794:L795 L395:L789 L68:L358 L32:L67 L29">
      <formula1>$U$14:$U$15</formula1>
    </dataValidation>
    <dataValidation type="list" allowBlank="1" showInputMessage="1" showErrorMessage="1" promptTitle="PACC" prompt="Seleccione el procedimiento de selección." sqref="K790:K793">
      <formula1>#REF!</formula1>
    </dataValidation>
    <dataValidation allowBlank="1" showInputMessage="1" showErrorMessage="1" promptTitle="PACC" prompt="Digite la unidad de medida._x000a__x000a_" sqref="D333:D336 C374:C795 C11:C28 C29:C332"/>
    <dataValidation allowBlank="1" showInputMessage="1" showErrorMessage="1" promptTitle="PACC" prompt="Digite las observaciones que considere." sqref="O790:O793 N794:N795 O359:O373 N374:N789 O29:O31 N11:N28 N29:N358"/>
    <dataValidation allowBlank="1" showInputMessage="1" showErrorMessage="1" promptTitle="PACC" prompt="Este valor se calculará sumando los costos totales que posean el mismo Código de Catálogo de Bienes y Servicios." sqref="K18:K20 J790:J792 K326:K358 K248:K252 K126:K140 K221:K222 K254:K263 K374 K279:K324 K182:K214 K382:K489 K794:K795 K607:K767 L382:L394 L359:L373 K29:K31"/>
    <dataValidation allowBlank="1" showInputMessage="1" showErrorMessage="1" promptTitle="PACC" prompt="Digite la fuente de financiamiento del procedimiento de referencia." sqref="N790:N793 M614:M789 M794:M795 N359:N373 M374:M612 M11:M28 M29:M358"/>
    <dataValidation allowBlank="1" showInputMessage="1" showErrorMessage="1" promptTitle="PACC" prompt="Digite el precio unitario estimado._x000a_" sqref="I794:I795 I374:I789 I11:I28 I29:I358"/>
    <dataValidation allowBlank="1" showInputMessage="1" showErrorMessage="1" promptTitle="PACC" prompt="Este valor se calculará automáticamente, resultado de la multiplicación de la cantidad total por el precio unitario estimado." sqref="I793:J793 K21:K28 J248:J252 J126:J140 J215:K220 J279:J324 J221:J222 J253:K253 J254:J263 J325:K325 J607:J767 I790:I792 K16:K17 J11:K15 J68:K125 J326:J374 J264:K278 J375:K381 J382:J489 J223:K247 J768:K789 J182:J214 J794:J795 K359:K373 J141:K181 J490:K606 K36:K66 K32:K34 J16:J28 J29:J67"/>
    <dataValidation allowBlank="1" showInputMessage="1" showErrorMessage="1" promptTitle="PACC" prompt="La cantidad total resultará de la suma de las cantidades requeridas en cada trimestre. " sqref="F279:F283 I371:I373 G182:G214 I359:I369 H11:H28 H29:H795"/>
    <dataValidation allowBlank="1" showInputMessage="1" showErrorMessage="1" promptTitle="PACC" prompt="Digite la cantidad requerida en este período._x000a_" sqref="E333:G336 D87:G87 E182:F214 E170:G181 E163:E166 G163:G166 E101:G162 D16:G16 D14:G14 D494:G500 F423:G432 F473:G474 D423:D432 F482:G488 D422:G422 D394:F395 D388:D393 D383 F383:G383 D654:G768 D384:G387 F388:F393 D482:D488 D473:D474 F438:G453 D475:G477 D478:D479 F478:G479 D480:G481 D438:D453 D454:G460 G100 F461:G466 G576 G579 D577:G578 D467:G472 D637:E652 D568:E576 D80:G84 E168:E169 E100 D433:G437 E242 E11:G11 F585:G652 E492:G492 D489:G491 G493 D493:E493 E501:G501 E504:G504 D502:G503 E506:G506 D505:G505 E508 D507:E507 F507:G509 E510:G510 D509:E509 E511 G523 F511:G522 D512:E525 E526:E527 F524:G533 E534:G534 D528:E533 F535:G536 D535:E537 G537:G538 E538:E543 E550 D544:E549 E555 D551:E554 E557 D556:E556 F539:G561 E562:G562 D558:E561 G563 E564 D563:E563 F564:G566 F568:G575 E567:G567 D565:E566 F580:G580 E581:G584 D579:E580 E608 D585:E607 E769:G795 D771:D795 D609:E610 D612:E612 E611 E613:E636 G168:G169 D461:D466 D396:D421 G388:G395 F396:G421 E254:E302 D12:G12 D329:G332 E215:G220 D91:G94 E95:G99 G242 E243:G247 D221:G238 E239:G241 G279:G302 F254:G278 D248:G253 D294:D304 F284:F304 E323:G328 D305:G322 E350:G360 D337:G349 D361:G382"/>
    <dataValidation allowBlank="1" showInputMessage="1" showErrorMessage="1" promptTitle="PACC" prompt="Digite la descripción de la compra o contratación." sqref="B11:B28 B29:B795"/>
    <dataValidation type="list" allowBlank="1" showInputMessage="1" showErrorMessage="1" promptTitle="PACC" prompt="Seleccione el Código de Bienes y Servicios._x000a_" sqref="A359:A366">
      <formula1>$S$14:$S$656</formula1>
    </dataValidation>
    <dataValidation type="list" allowBlank="1" showInputMessage="1" showErrorMessage="1" promptTitle="PACC" prompt="Seleccione el Código de Bienes y Servicios._x000a_" sqref="A367:A373">
      <formula1>$S$14:$S$683</formula1>
    </dataValidation>
    <dataValidation type="list" allowBlank="1" showInputMessage="1" showErrorMessage="1" promptTitle="PACC" prompt="Seleccione el Código de Bienes y Servicios._x000a_" sqref="A790:A793">
      <formula1>$S$9:$S$316</formula1>
    </dataValidation>
    <dataValidation type="list" allowBlank="1" showInputMessage="1" showErrorMessage="1" promptTitle="PACC" prompt="Seleccione el Código de Bienes y Servicios._x000a_" sqref="A794:A795 A11:A28 A32:A358 A374:A789">
      <formula1>$R$14:$R$328</formula1>
    </dataValidation>
    <dataValidation type="list" allowBlank="1" showInputMessage="1" showErrorMessage="1" promptTitle="PACC" prompt="Seleccione el Código de Bienes y Servicios._x000a_" sqref="A29:A31">
      <formula1>$T$14:$T$626</formula1>
    </dataValidation>
  </dataValidations>
  <printOptions horizontalCentered="1"/>
  <pageMargins left="0" right="0" top="0" bottom="0.43307086614173229" header="0.31496062992125984" footer="0.31496062992125984"/>
  <pageSetup paperSize="5" scale="53" orientation="landscape" r:id="rId1"/>
  <headerFooter>
    <oddFooter>&amp;C&amp;P/&amp;N</oddFooter>
  </headerFooter>
  <rowBreaks count="4" manualBreakCount="4">
    <brk id="37" max="13" man="1"/>
    <brk id="68" max="13" man="1"/>
    <brk id="533" max="13" man="1"/>
    <brk id="560" max="13" man="1"/>
  </rowBreaks>
  <drawing r:id="rId2"/>
  <tableParts count="1">
    <tablePart r:id="rId3"/>
  </tablePart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666699"/>
  </sheetPr>
  <dimension ref="A1:N1439"/>
  <sheetViews>
    <sheetView topLeftCell="B1397" zoomScale="70" zoomScaleNormal="70" workbookViewId="0">
      <selection activeCell="C1402" sqref="C1402"/>
    </sheetView>
  </sheetViews>
  <sheetFormatPr baseColWidth="10" defaultColWidth="11.42578125" defaultRowHeight="30.75" customHeight="1"/>
  <cols>
    <col min="1" max="1" width="47.140625" style="400" customWidth="1"/>
    <col min="2" max="2" width="48.42578125" style="400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400" customWidth="1"/>
    <col min="10" max="10" width="22" style="400" customWidth="1"/>
    <col min="11" max="11" width="32.42578125" style="400" customWidth="1"/>
    <col min="12" max="12" width="32.140625" style="400" customWidth="1"/>
    <col min="13" max="13" width="25.85546875" style="400" customWidth="1"/>
    <col min="14" max="14" width="12.5703125" style="37" customWidth="1"/>
    <col min="15" max="16384" width="11.42578125" style="400"/>
  </cols>
  <sheetData>
    <row r="1" spans="1:14" ht="18.75" thickBot="1"/>
    <row r="2" spans="1:14" ht="18">
      <c r="A2" s="7" t="s">
        <v>0</v>
      </c>
      <c r="N2" s="8">
        <v>42332</v>
      </c>
    </row>
    <row r="3" spans="1:14" ht="18">
      <c r="A3" s="554"/>
      <c r="N3" s="9"/>
    </row>
    <row r="4" spans="1:14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14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14" s="174" customFormat="1" ht="20.25">
      <c r="A6" s="555" t="s">
        <v>1</v>
      </c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</row>
    <row r="7" spans="1:14" s="172" customFormat="1" ht="15.75">
      <c r="A7" s="556" t="s">
        <v>1281</v>
      </c>
      <c r="B7" s="556"/>
      <c r="C7" s="39"/>
      <c r="D7" s="39"/>
      <c r="E7" s="39"/>
      <c r="F7" s="39"/>
      <c r="G7" s="39"/>
      <c r="H7" s="39"/>
      <c r="I7" s="16"/>
      <c r="J7" s="16"/>
      <c r="K7" s="16"/>
      <c r="N7" s="173"/>
    </row>
    <row r="8" spans="1:14" ht="18.75" thickBot="1"/>
    <row r="9" spans="1:14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14" s="14" customFormat="1" ht="18"/>
    <row r="11" spans="1:14" s="12" customFormat="1" ht="18.75" customHeight="1" thickBot="1"/>
    <row r="12" spans="1:14" s="12" customFormat="1" ht="78">
      <c r="A12" s="2" t="s">
        <v>3</v>
      </c>
      <c r="B12" s="3" t="s">
        <v>4</v>
      </c>
      <c r="C12" s="3" t="s">
        <v>5</v>
      </c>
      <c r="D12" s="4" t="s">
        <v>6</v>
      </c>
      <c r="E12" s="4" t="s">
        <v>7</v>
      </c>
      <c r="F12" s="4" t="s">
        <v>8</v>
      </c>
      <c r="G12" s="4" t="s">
        <v>9</v>
      </c>
      <c r="H12" s="3" t="s">
        <v>10</v>
      </c>
      <c r="I12" s="3" t="s">
        <v>11</v>
      </c>
      <c r="J12" s="3" t="s">
        <v>12</v>
      </c>
      <c r="K12" s="3" t="s">
        <v>442</v>
      </c>
      <c r="L12" s="3" t="s">
        <v>13</v>
      </c>
      <c r="M12" s="3" t="s">
        <v>14</v>
      </c>
      <c r="N12" s="3" t="s">
        <v>305</v>
      </c>
    </row>
    <row r="13" spans="1:14" s="12" customFormat="1" ht="31.5">
      <c r="A13" s="178" t="s">
        <v>16</v>
      </c>
      <c r="B13" s="75" t="s">
        <v>427</v>
      </c>
      <c r="C13" s="39" t="s">
        <v>17</v>
      </c>
      <c r="D13" s="236"/>
      <c r="E13" s="236"/>
      <c r="F13" s="236"/>
      <c r="G13" s="236"/>
      <c r="H13" s="236">
        <f>SUM(Tabla132112419[[#This Row],[PRIMER TRIMESTRE]:[CUARTO TRIMESTRE]])</f>
        <v>0</v>
      </c>
      <c r="I13" s="17">
        <v>4568.04</v>
      </c>
      <c r="J13" s="17">
        <f>+Tabla132112419[[#This Row],[CANTIDAD TOTAL]]*Tabla132112419[[#This Row],[PRECIO UNITARIO ESTIMADO]]</f>
        <v>0</v>
      </c>
      <c r="K13" s="21"/>
      <c r="L13" s="16" t="s">
        <v>18</v>
      </c>
      <c r="M13" s="16" t="s">
        <v>19</v>
      </c>
      <c r="N13" s="39"/>
    </row>
    <row r="14" spans="1:14" s="12" customFormat="1" ht="31.5">
      <c r="A14" s="178" t="s">
        <v>16</v>
      </c>
      <c r="B14" s="75" t="s">
        <v>426</v>
      </c>
      <c r="C14" s="39" t="s">
        <v>17</v>
      </c>
      <c r="D14" s="236"/>
      <c r="E14" s="236"/>
      <c r="F14" s="236"/>
      <c r="G14" s="236"/>
      <c r="H14" s="236">
        <f>SUM(Tabla132112419[[#This Row],[PRIMER TRIMESTRE]:[CUARTO TRIMESTRE]])</f>
        <v>0</v>
      </c>
      <c r="I14" s="17">
        <v>33696</v>
      </c>
      <c r="J14" s="17">
        <f>+Tabla132112419[[#This Row],[CANTIDAD TOTAL]]*Tabla132112419[[#This Row],[PRECIO UNITARIO ESTIMADO]]</f>
        <v>0</v>
      </c>
      <c r="K14" s="17"/>
      <c r="L14" s="16" t="s">
        <v>18</v>
      </c>
      <c r="M14" s="16" t="s">
        <v>19</v>
      </c>
      <c r="N14" s="39"/>
    </row>
    <row r="15" spans="1:14" s="12" customFormat="1" ht="31.5">
      <c r="A15" s="178" t="s">
        <v>16</v>
      </c>
      <c r="B15" s="75" t="s">
        <v>24</v>
      </c>
      <c r="C15" s="39" t="s">
        <v>25</v>
      </c>
      <c r="D15" s="210"/>
      <c r="E15" s="210"/>
      <c r="F15" s="210"/>
      <c r="G15" s="210"/>
      <c r="H15" s="236">
        <f>SUM(Tabla132112419[[#This Row],[PRIMER TRIMESTRE]:[CUARTO TRIMESTRE]])</f>
        <v>0</v>
      </c>
      <c r="I15" s="17">
        <v>3628</v>
      </c>
      <c r="J15" s="17">
        <f>+Tabla132112419[[#This Row],[CANTIDAD TOTAL]]*Tabla132112419[[#This Row],[PRECIO UNITARIO ESTIMADO]]</f>
        <v>0</v>
      </c>
      <c r="K15" s="17"/>
      <c r="L15" s="16" t="s">
        <v>18</v>
      </c>
      <c r="M15" s="16" t="s">
        <v>19</v>
      </c>
      <c r="N15" s="39"/>
    </row>
    <row r="16" spans="1:14" s="12" customFormat="1" ht="31.5">
      <c r="A16" s="178" t="s">
        <v>16</v>
      </c>
      <c r="B16" s="75" t="s">
        <v>1385</v>
      </c>
      <c r="C16" s="39" t="s">
        <v>23</v>
      </c>
      <c r="D16" s="210"/>
      <c r="E16" s="210"/>
      <c r="F16" s="210"/>
      <c r="G16" s="210"/>
      <c r="H16" s="236">
        <f>SUM(Tabla132112419[[#This Row],[PRIMER TRIMESTRE]:[CUARTO TRIMESTRE]])</f>
        <v>0</v>
      </c>
      <c r="I16" s="17">
        <v>28440</v>
      </c>
      <c r="J16" s="17">
        <f>+Tabla132112419[[#This Row],[CANTIDAD TOTAL]]*Tabla132112419[[#This Row],[PRECIO UNITARIO ESTIMADO]]</f>
        <v>0</v>
      </c>
      <c r="K16" s="17"/>
      <c r="L16" s="16" t="s">
        <v>15</v>
      </c>
      <c r="M16" s="16" t="s">
        <v>19</v>
      </c>
      <c r="N16" s="39" t="s">
        <v>342</v>
      </c>
    </row>
    <row r="17" spans="1:14" s="12" customFormat="1" ht="31.5">
      <c r="A17" s="178" t="s">
        <v>16</v>
      </c>
      <c r="B17" s="75" t="s">
        <v>29</v>
      </c>
      <c r="C17" s="39" t="s">
        <v>30</v>
      </c>
      <c r="D17" s="236"/>
      <c r="E17" s="236"/>
      <c r="F17" s="236"/>
      <c r="G17" s="236"/>
      <c r="H17" s="236">
        <f>SUM(Tabla132112419[[#This Row],[PRIMER TRIMESTRE]:[CUARTO TRIMESTRE]])</f>
        <v>0</v>
      </c>
      <c r="I17" s="17">
        <v>862.27</v>
      </c>
      <c r="J17" s="17">
        <f>+Tabla132112419[[#This Row],[CANTIDAD TOTAL]]*Tabla132112419[[#This Row],[PRECIO UNITARIO ESTIMADO]]</f>
        <v>0</v>
      </c>
      <c r="K17" s="17"/>
      <c r="L17" s="16" t="s">
        <v>18</v>
      </c>
      <c r="M17" s="16" t="s">
        <v>19</v>
      </c>
      <c r="N17" s="39"/>
    </row>
    <row r="18" spans="1:14" s="12" customFormat="1" ht="31.5">
      <c r="A18" s="178" t="s">
        <v>16</v>
      </c>
      <c r="B18" s="75" t="s">
        <v>1842</v>
      </c>
      <c r="C18" s="39" t="s">
        <v>30</v>
      </c>
      <c r="D18" s="236"/>
      <c r="E18" s="236"/>
      <c r="F18" s="236"/>
      <c r="G18" s="236"/>
      <c r="H18" s="236">
        <f>SUM(Tabla132112419[[#This Row],[PRIMER TRIMESTRE]:[CUARTO TRIMESTRE]])</f>
        <v>0</v>
      </c>
      <c r="I18" s="17">
        <v>24.68</v>
      </c>
      <c r="J18" s="17">
        <f>+H18*I18</f>
        <v>0</v>
      </c>
      <c r="K18" s="17"/>
      <c r="L18" s="16" t="s">
        <v>18</v>
      </c>
      <c r="M18" s="16" t="s">
        <v>19</v>
      </c>
      <c r="N18" s="39"/>
    </row>
    <row r="19" spans="1:14" s="169" customFormat="1" ht="31.5">
      <c r="A19" s="178" t="s">
        <v>16</v>
      </c>
      <c r="B19" s="75" t="s">
        <v>1843</v>
      </c>
      <c r="C19" s="39" t="s">
        <v>17</v>
      </c>
      <c r="D19" s="236"/>
      <c r="E19" s="236"/>
      <c r="F19" s="236"/>
      <c r="G19" s="236"/>
      <c r="H19" s="236">
        <f>SUM(Tabla132112419[[#This Row],[PRIMER TRIMESTRE]:[CUARTO TRIMESTRE]])</f>
        <v>0</v>
      </c>
      <c r="I19" s="17">
        <v>15000</v>
      </c>
      <c r="J19" s="17">
        <f>+H19*I19</f>
        <v>0</v>
      </c>
      <c r="K19" s="17"/>
      <c r="L19" s="16" t="s">
        <v>27</v>
      </c>
      <c r="M19" s="16" t="s">
        <v>19</v>
      </c>
      <c r="N19" s="39"/>
    </row>
    <row r="20" spans="1:14" s="169" customFormat="1" ht="18">
      <c r="A20" s="179" t="s">
        <v>16</v>
      </c>
      <c r="B20" s="405" t="s">
        <v>443</v>
      </c>
      <c r="C20" s="42"/>
      <c r="D20" s="237"/>
      <c r="E20" s="237"/>
      <c r="F20" s="237"/>
      <c r="G20" s="237"/>
      <c r="H20" s="43"/>
      <c r="I20" s="24"/>
      <c r="J20" s="24"/>
      <c r="K20" s="25">
        <f>SUM(J13:J19)</f>
        <v>0</v>
      </c>
      <c r="L20" s="23"/>
      <c r="M20" s="23"/>
      <c r="N20" s="42"/>
    </row>
    <row r="21" spans="1:14" s="169" customFormat="1" ht="30">
      <c r="A21" s="180" t="s">
        <v>34</v>
      </c>
      <c r="B21" s="77" t="s">
        <v>717</v>
      </c>
      <c r="C21" s="70" t="s">
        <v>35</v>
      </c>
      <c r="D21" s="210"/>
      <c r="E21" s="210"/>
      <c r="F21" s="210"/>
      <c r="G21" s="210"/>
      <c r="H21" s="406">
        <f>SUM(Tabla132112419[[#This Row],[PRIMER TRIMESTRE]:[CUARTO TRIMESTRE]])</f>
        <v>0</v>
      </c>
      <c r="I21" s="72">
        <v>31896.55</v>
      </c>
      <c r="J21" s="72">
        <f>+Tabla132112419[[#This Row],[CANTIDAD TOTAL]]*Tabla132112419[[#This Row],[PRECIO UNITARIO ESTIMADO]]</f>
        <v>0</v>
      </c>
      <c r="K21" s="72"/>
      <c r="L21" s="77" t="s">
        <v>27</v>
      </c>
      <c r="M21" s="73" t="s">
        <v>22</v>
      </c>
      <c r="N21" s="70" t="s">
        <v>418</v>
      </c>
    </row>
    <row r="22" spans="1:14" s="169" customFormat="1" ht="30">
      <c r="A22" s="180" t="s">
        <v>34</v>
      </c>
      <c r="B22" s="77" t="s">
        <v>714</v>
      </c>
      <c r="C22" s="70" t="s">
        <v>35</v>
      </c>
      <c r="D22" s="210"/>
      <c r="E22" s="210"/>
      <c r="F22" s="210"/>
      <c r="G22" s="210"/>
      <c r="H22" s="406">
        <f>SUM(Tabla132112419[[#This Row],[PRIMER TRIMESTRE]:[CUARTO TRIMESTRE]])</f>
        <v>0</v>
      </c>
      <c r="I22" s="72">
        <v>28017.24</v>
      </c>
      <c r="J22" s="72">
        <f>+H22*I22</f>
        <v>0</v>
      </c>
      <c r="K22" s="171"/>
      <c r="L22" s="77" t="s">
        <v>27</v>
      </c>
      <c r="M22" s="73" t="s">
        <v>22</v>
      </c>
      <c r="N22" s="70" t="s">
        <v>418</v>
      </c>
    </row>
    <row r="23" spans="1:14" s="169" customFormat="1" ht="30">
      <c r="A23" s="180" t="s">
        <v>34</v>
      </c>
      <c r="B23" s="77" t="s">
        <v>715</v>
      </c>
      <c r="C23" s="70" t="s">
        <v>35</v>
      </c>
      <c r="D23" s="210"/>
      <c r="E23" s="210"/>
      <c r="F23" s="210"/>
      <c r="G23" s="210"/>
      <c r="H23" s="406">
        <f>SUM(Tabla132112419[[#This Row],[PRIMER TRIMESTRE]:[CUARTO TRIMESTRE]])</f>
        <v>0</v>
      </c>
      <c r="I23" s="72">
        <v>23612</v>
      </c>
      <c r="J23" s="72">
        <f>+H23*I23</f>
        <v>0</v>
      </c>
      <c r="K23" s="72"/>
      <c r="L23" s="77" t="s">
        <v>27</v>
      </c>
      <c r="M23" s="73" t="s">
        <v>22</v>
      </c>
      <c r="N23" s="70" t="s">
        <v>418</v>
      </c>
    </row>
    <row r="24" spans="1:14" s="169" customFormat="1" ht="30">
      <c r="A24" s="180" t="s">
        <v>34</v>
      </c>
      <c r="B24" s="77" t="s">
        <v>716</v>
      </c>
      <c r="C24" s="70" t="s">
        <v>35</v>
      </c>
      <c r="D24" s="210"/>
      <c r="E24" s="210"/>
      <c r="F24" s="210"/>
      <c r="G24" s="210"/>
      <c r="H24" s="406">
        <f>SUM(Tabla132112419[[#This Row],[PRIMER TRIMESTRE]:[CUARTO TRIMESTRE]])</f>
        <v>0</v>
      </c>
      <c r="I24" s="72">
        <v>23112.13</v>
      </c>
      <c r="J24" s="72">
        <f>+H24*I24</f>
        <v>0</v>
      </c>
      <c r="K24" s="72"/>
      <c r="L24" s="77" t="s">
        <v>27</v>
      </c>
      <c r="M24" s="73" t="s">
        <v>22</v>
      </c>
      <c r="N24" s="70" t="s">
        <v>418</v>
      </c>
    </row>
    <row r="25" spans="1:14" s="169" customFormat="1" ht="30">
      <c r="A25" s="180" t="s">
        <v>34</v>
      </c>
      <c r="B25" s="77" t="s">
        <v>787</v>
      </c>
      <c r="C25" s="70" t="s">
        <v>35</v>
      </c>
      <c r="D25" s="210"/>
      <c r="E25" s="210"/>
      <c r="F25" s="210"/>
      <c r="G25" s="210"/>
      <c r="H25" s="406">
        <f>SUM(Tabla132112419[[#This Row],[PRIMER TRIMESTRE]:[CUARTO TRIMESTRE]])</f>
        <v>0</v>
      </c>
      <c r="I25" s="72">
        <v>24630.67</v>
      </c>
      <c r="J25" s="72">
        <f>+Tabla132112419[[#This Row],[CANTIDAD TOTAL]]*Tabla132112419[[#This Row],[PRECIO UNITARIO ESTIMADO]]</f>
        <v>0</v>
      </c>
      <c r="K25" s="72"/>
      <c r="L25" s="77" t="s">
        <v>27</v>
      </c>
      <c r="M25" s="73" t="s">
        <v>22</v>
      </c>
      <c r="N25" s="70" t="s">
        <v>418</v>
      </c>
    </row>
    <row r="26" spans="1:14" s="169" customFormat="1" ht="30">
      <c r="A26" s="180" t="s">
        <v>34</v>
      </c>
      <c r="B26" s="77" t="s">
        <v>786</v>
      </c>
      <c r="C26" s="70" t="s">
        <v>35</v>
      </c>
      <c r="D26" s="210"/>
      <c r="E26" s="210"/>
      <c r="F26" s="210"/>
      <c r="G26" s="210"/>
      <c r="H26" s="406">
        <f>SUM(Tabla132112419[[#This Row],[PRIMER TRIMESTRE]:[CUARTO TRIMESTRE]])</f>
        <v>0</v>
      </c>
      <c r="I26" s="72">
        <f>+I25*1.05</f>
        <v>25862.2035</v>
      </c>
      <c r="J26" s="72">
        <f>+H26*I26</f>
        <v>0</v>
      </c>
      <c r="K26" s="72"/>
      <c r="L26" s="77" t="s">
        <v>27</v>
      </c>
      <c r="M26" s="73" t="s">
        <v>22</v>
      </c>
      <c r="N26" s="70" t="s">
        <v>418</v>
      </c>
    </row>
    <row r="27" spans="1:14" s="26" customFormat="1" ht="30">
      <c r="A27" s="180" t="s">
        <v>34</v>
      </c>
      <c r="B27" s="77" t="s">
        <v>720</v>
      </c>
      <c r="C27" s="70" t="s">
        <v>721</v>
      </c>
      <c r="D27" s="210"/>
      <c r="E27" s="210"/>
      <c r="F27" s="210"/>
      <c r="G27" s="210"/>
      <c r="H27" s="406">
        <f>SUM(Tabla132112419[[#This Row],[PRIMER TRIMESTRE]:[CUARTO TRIMESTRE]])</f>
        <v>0</v>
      </c>
      <c r="I27" s="72">
        <v>3700</v>
      </c>
      <c r="J27" s="72">
        <f>+Tabla132112419[[#This Row],[CANTIDAD TOTAL]]*Tabla132112419[[#This Row],[PRECIO UNITARIO ESTIMADO]]</f>
        <v>0</v>
      </c>
      <c r="K27" s="72"/>
      <c r="L27" s="77" t="s">
        <v>27</v>
      </c>
      <c r="M27" s="73" t="s">
        <v>22</v>
      </c>
      <c r="N27" s="70" t="s">
        <v>418</v>
      </c>
    </row>
    <row r="28" spans="1:14" s="169" customFormat="1" ht="30">
      <c r="A28" s="180" t="s">
        <v>34</v>
      </c>
      <c r="B28" s="77" t="s">
        <v>719</v>
      </c>
      <c r="C28" s="70" t="s">
        <v>718</v>
      </c>
      <c r="D28" s="210"/>
      <c r="E28" s="210"/>
      <c r="F28" s="210"/>
      <c r="G28" s="210"/>
      <c r="H28" s="406">
        <f>SUM(Tabla132112419[[#This Row],[PRIMER TRIMESTRE]:[CUARTO TRIMESTRE]])</f>
        <v>0</v>
      </c>
      <c r="I28" s="72">
        <v>800</v>
      </c>
      <c r="J28" s="72">
        <f>+Tabla132112419[[#This Row],[CANTIDAD TOTAL]]*Tabla132112419[[#This Row],[PRECIO UNITARIO ESTIMADO]]</f>
        <v>0</v>
      </c>
      <c r="K28" s="72"/>
      <c r="L28" s="77" t="s">
        <v>27</v>
      </c>
      <c r="M28" s="73" t="s">
        <v>22</v>
      </c>
      <c r="N28" s="70" t="s">
        <v>418</v>
      </c>
    </row>
    <row r="29" spans="1:14" s="169" customFormat="1" ht="31.5">
      <c r="A29" s="179" t="s">
        <v>34</v>
      </c>
      <c r="B29" s="76" t="s">
        <v>444</v>
      </c>
      <c r="C29" s="42"/>
      <c r="D29" s="237"/>
      <c r="E29" s="237"/>
      <c r="F29" s="237"/>
      <c r="G29" s="237"/>
      <c r="H29" s="43"/>
      <c r="I29" s="24"/>
      <c r="J29" s="24"/>
      <c r="K29" s="25">
        <f>SUBTOTAL(109,J21:J28)</f>
        <v>0</v>
      </c>
      <c r="L29" s="23"/>
      <c r="M29" s="23"/>
      <c r="N29" s="42"/>
    </row>
    <row r="30" spans="1:14" s="26" customFormat="1" ht="31.5">
      <c r="A30" s="180" t="s">
        <v>1288</v>
      </c>
      <c r="B30" s="77" t="s">
        <v>1290</v>
      </c>
      <c r="C30" s="70" t="s">
        <v>33</v>
      </c>
      <c r="D30" s="210"/>
      <c r="E30" s="210"/>
      <c r="F30" s="210"/>
      <c r="G30" s="210"/>
      <c r="H30" s="406">
        <f>SUM(Tabla132112419[[#This Row],[PRIMER TRIMESTRE]:[CUARTO TRIMESTRE]])</f>
        <v>0</v>
      </c>
      <c r="I30" s="72">
        <v>144.9</v>
      </c>
      <c r="J30" s="72">
        <f>+H30*I30</f>
        <v>0</v>
      </c>
      <c r="K30" s="72"/>
      <c r="L30" s="16" t="s">
        <v>18</v>
      </c>
      <c r="M30" s="73" t="s">
        <v>19</v>
      </c>
      <c r="N30" s="70"/>
    </row>
    <row r="31" spans="1:14" s="12" customFormat="1" ht="31.5">
      <c r="A31" s="180" t="s">
        <v>1288</v>
      </c>
      <c r="B31" s="77" t="s">
        <v>1289</v>
      </c>
      <c r="C31" s="70" t="s">
        <v>33</v>
      </c>
      <c r="D31" s="210">
        <v>120</v>
      </c>
      <c r="E31" s="210">
        <v>120</v>
      </c>
      <c r="F31" s="210">
        <v>120</v>
      </c>
      <c r="G31" s="210">
        <v>120</v>
      </c>
      <c r="H31" s="406">
        <f>SUM(Tabla132112419[[#This Row],[PRIMER TRIMESTRE]:[CUARTO TRIMESTRE]])</f>
        <v>480</v>
      </c>
      <c r="I31" s="72">
        <v>144.9</v>
      </c>
      <c r="J31" s="72">
        <f>+H31*I31</f>
        <v>69552</v>
      </c>
      <c r="K31" s="72"/>
      <c r="L31" s="16" t="s">
        <v>18</v>
      </c>
      <c r="M31" s="73" t="s">
        <v>19</v>
      </c>
      <c r="N31" s="70"/>
    </row>
    <row r="32" spans="1:14" s="12" customFormat="1" ht="18">
      <c r="A32" s="179" t="s">
        <v>1288</v>
      </c>
      <c r="B32" s="76"/>
      <c r="C32" s="42"/>
      <c r="D32" s="237"/>
      <c r="E32" s="237"/>
      <c r="F32" s="237"/>
      <c r="G32" s="237"/>
      <c r="H32" s="43"/>
      <c r="I32" s="24"/>
      <c r="J32" s="24"/>
      <c r="K32" s="25">
        <f>SUBTOTAL(109,J30:J31)</f>
        <v>69552</v>
      </c>
      <c r="L32" s="23"/>
      <c r="M32" s="23"/>
      <c r="N32" s="42"/>
    </row>
    <row r="33" spans="1:14" s="26" customFormat="1" ht="30">
      <c r="A33" s="180" t="s">
        <v>41</v>
      </c>
      <c r="B33" s="77" t="s">
        <v>42</v>
      </c>
      <c r="C33" s="70" t="s">
        <v>17</v>
      </c>
      <c r="D33" s="210"/>
      <c r="E33" s="210"/>
      <c r="F33" s="210"/>
      <c r="G33" s="210"/>
      <c r="H33" s="40">
        <f>SUM(Tabla132112419[[#This Row],[PRIMER TRIMESTRE]:[CUARTO TRIMESTRE]])</f>
        <v>0</v>
      </c>
      <c r="I33" s="17">
        <v>26999</v>
      </c>
      <c r="J33" s="17">
        <f>+Tabla132112419[[#This Row],[CANTIDAD TOTAL]]*Tabla132112419[[#This Row],[PRECIO UNITARIO ESTIMADO]]</f>
        <v>0</v>
      </c>
      <c r="K33" s="17"/>
      <c r="L33" s="16" t="s">
        <v>15</v>
      </c>
      <c r="M33" s="16" t="s">
        <v>22</v>
      </c>
      <c r="N33" s="39" t="s">
        <v>418</v>
      </c>
    </row>
    <row r="34" spans="1:14" s="55" customFormat="1" ht="30">
      <c r="A34" s="180" t="s">
        <v>41</v>
      </c>
      <c r="B34" s="77" t="s">
        <v>44</v>
      </c>
      <c r="C34" s="70" t="s">
        <v>17</v>
      </c>
      <c r="D34" s="210"/>
      <c r="E34" s="210"/>
      <c r="F34" s="210"/>
      <c r="G34" s="210"/>
      <c r="H34" s="40">
        <f>SUM(Tabla132112419[[#This Row],[PRIMER TRIMESTRE]:[CUARTO TRIMESTRE]])</f>
        <v>0</v>
      </c>
      <c r="I34" s="17">
        <v>90854.41</v>
      </c>
      <c r="J34" s="17">
        <f>+Tabla132112419[[#This Row],[CANTIDAD TOTAL]]*Tabla132112419[[#This Row],[PRECIO UNITARIO ESTIMADO]]</f>
        <v>0</v>
      </c>
      <c r="K34" s="17"/>
      <c r="L34" s="16" t="s">
        <v>15</v>
      </c>
      <c r="M34" s="16" t="s">
        <v>22</v>
      </c>
      <c r="N34" s="39" t="s">
        <v>418</v>
      </c>
    </row>
    <row r="35" spans="1:14" s="55" customFormat="1" ht="31.5">
      <c r="A35" s="179" t="s">
        <v>41</v>
      </c>
      <c r="B35" s="76"/>
      <c r="C35" s="42"/>
      <c r="D35" s="237"/>
      <c r="E35" s="237"/>
      <c r="F35" s="237"/>
      <c r="G35" s="237"/>
      <c r="H35" s="43"/>
      <c r="I35" s="24"/>
      <c r="J35" s="24"/>
      <c r="K35" s="25">
        <f>SUBTOTAL(109,J33:J34)</f>
        <v>0</v>
      </c>
      <c r="L35" s="23"/>
      <c r="M35" s="23"/>
      <c r="N35" s="42"/>
    </row>
    <row r="36" spans="1:14" s="55" customFormat="1" ht="30">
      <c r="A36" s="178" t="s">
        <v>1386</v>
      </c>
      <c r="B36" s="75" t="s">
        <v>1387</v>
      </c>
      <c r="C36" s="53" t="s">
        <v>1388</v>
      </c>
      <c r="D36" s="241"/>
      <c r="E36" s="241"/>
      <c r="F36" s="241"/>
      <c r="G36" s="241"/>
      <c r="H36" s="244">
        <f>SUM(Tabla132112419[[#This Row],[PRIMER TRIMESTRE]:[CUARTO TRIMESTRE]])</f>
        <v>0</v>
      </c>
      <c r="I36" s="245">
        <v>2500</v>
      </c>
      <c r="J36" s="245">
        <f>+H36*I36</f>
        <v>0</v>
      </c>
      <c r="K36" s="50"/>
      <c r="L36" s="77" t="s">
        <v>27</v>
      </c>
      <c r="M36" s="77" t="s">
        <v>22</v>
      </c>
      <c r="N36" s="53"/>
    </row>
    <row r="37" spans="1:14" s="55" customFormat="1" ht="31.5">
      <c r="A37" s="16" t="s">
        <v>1386</v>
      </c>
      <c r="B37" s="75" t="s">
        <v>1551</v>
      </c>
      <c r="C37" s="176" t="s">
        <v>35</v>
      </c>
      <c r="D37" s="244"/>
      <c r="E37" s="244"/>
      <c r="F37" s="244"/>
      <c r="G37" s="244"/>
      <c r="H37" s="244">
        <f>SUM(Tabla132112419[[#This Row],[PRIMER TRIMESTRE]:[CUARTO TRIMESTRE]])</f>
        <v>0</v>
      </c>
      <c r="I37" s="245">
        <v>29000</v>
      </c>
      <c r="J37" s="245">
        <f>+H37*I37</f>
        <v>0</v>
      </c>
      <c r="K37" s="17"/>
      <c r="L37" s="16" t="s">
        <v>15</v>
      </c>
      <c r="M37" s="16" t="s">
        <v>22</v>
      </c>
      <c r="N37" s="39" t="s">
        <v>418</v>
      </c>
    </row>
    <row r="38" spans="1:14" s="55" customFormat="1" ht="31.5">
      <c r="A38" s="16" t="s">
        <v>1386</v>
      </c>
      <c r="B38" s="75" t="s">
        <v>1844</v>
      </c>
      <c r="C38" s="53" t="s">
        <v>17</v>
      </c>
      <c r="D38" s="299"/>
      <c r="E38" s="299"/>
      <c r="F38" s="299"/>
      <c r="G38" s="299"/>
      <c r="H38" s="244">
        <f>SUM(Tabla132112419[[#This Row],[PRIMER TRIMESTRE]:[CUARTO TRIMESTRE]])</f>
        <v>0</v>
      </c>
      <c r="I38" s="248">
        <v>4000000</v>
      </c>
      <c r="J38" s="245">
        <f>+H38*I38</f>
        <v>0</v>
      </c>
      <c r="K38" s="17"/>
      <c r="L38" s="16" t="s">
        <v>18</v>
      </c>
      <c r="M38" s="16" t="s">
        <v>22</v>
      </c>
      <c r="N38" s="39"/>
    </row>
    <row r="39" spans="1:14" s="55" customFormat="1" ht="30">
      <c r="A39" s="178" t="s">
        <v>1386</v>
      </c>
      <c r="B39" s="75" t="s">
        <v>1699</v>
      </c>
      <c r="C39" s="53" t="s">
        <v>17</v>
      </c>
      <c r="D39" s="299"/>
      <c r="E39" s="299"/>
      <c r="F39" s="299"/>
      <c r="G39" s="299"/>
      <c r="H39" s="46">
        <v>0</v>
      </c>
      <c r="I39" s="248">
        <v>0</v>
      </c>
      <c r="J39" s="248">
        <v>0</v>
      </c>
      <c r="K39" s="17"/>
      <c r="L39" s="16" t="s">
        <v>18</v>
      </c>
      <c r="M39" s="16" t="s">
        <v>22</v>
      </c>
      <c r="N39" s="39"/>
    </row>
    <row r="40" spans="1:14" s="26" customFormat="1" ht="30">
      <c r="A40" s="178" t="s">
        <v>1386</v>
      </c>
      <c r="B40" s="75" t="s">
        <v>1701</v>
      </c>
      <c r="C40" s="53" t="s">
        <v>17</v>
      </c>
      <c r="D40" s="299"/>
      <c r="E40" s="299"/>
      <c r="F40" s="299"/>
      <c r="G40" s="299"/>
      <c r="H40" s="46">
        <v>0</v>
      </c>
      <c r="I40" s="248">
        <v>0</v>
      </c>
      <c r="J40" s="248">
        <v>0</v>
      </c>
      <c r="K40" s="17"/>
      <c r="L40" s="16" t="s">
        <v>18</v>
      </c>
      <c r="M40" s="77" t="s">
        <v>22</v>
      </c>
      <c r="N40" s="39"/>
    </row>
    <row r="41" spans="1:14" s="26" customFormat="1" ht="30">
      <c r="A41" s="178" t="s">
        <v>1386</v>
      </c>
      <c r="B41" s="75" t="s">
        <v>1764</v>
      </c>
      <c r="C41" s="53" t="s">
        <v>17</v>
      </c>
      <c r="D41" s="299"/>
      <c r="E41" s="299"/>
      <c r="F41" s="299"/>
      <c r="G41" s="299"/>
      <c r="H41" s="46">
        <v>0</v>
      </c>
      <c r="I41" s="248">
        <v>0</v>
      </c>
      <c r="J41" s="248">
        <v>0</v>
      </c>
      <c r="K41" s="17"/>
      <c r="L41" s="77" t="s">
        <v>27</v>
      </c>
      <c r="M41" s="77" t="s">
        <v>22</v>
      </c>
      <c r="N41" s="39"/>
    </row>
    <row r="42" spans="1:14" s="111" customFormat="1" ht="30">
      <c r="A42" s="178" t="s">
        <v>1386</v>
      </c>
      <c r="B42" s="75" t="s">
        <v>1389</v>
      </c>
      <c r="C42" s="53" t="s">
        <v>1390</v>
      </c>
      <c r="D42" s="241"/>
      <c r="E42" s="241"/>
      <c r="F42" s="241"/>
      <c r="G42" s="241"/>
      <c r="H42" s="244">
        <f>SUM(Tabla132112419[[#This Row],[PRIMER TRIMESTRE]:[CUARTO TRIMESTRE]])</f>
        <v>0</v>
      </c>
      <c r="I42" s="245">
        <v>277</v>
      </c>
      <c r="J42" s="245">
        <f>+H42*I42</f>
        <v>0</v>
      </c>
      <c r="K42" s="50"/>
      <c r="L42" s="77" t="s">
        <v>27</v>
      </c>
      <c r="M42" s="77" t="s">
        <v>22</v>
      </c>
      <c r="N42" s="53"/>
    </row>
    <row r="43" spans="1:14" s="111" customFormat="1" ht="31.5">
      <c r="A43" s="179" t="s">
        <v>1386</v>
      </c>
      <c r="B43" s="76"/>
      <c r="C43" s="42"/>
      <c r="D43" s="237"/>
      <c r="E43" s="237"/>
      <c r="F43" s="237"/>
      <c r="G43" s="237"/>
      <c r="H43" s="43"/>
      <c r="I43" s="24"/>
      <c r="J43" s="24"/>
      <c r="K43" s="25">
        <f>SUM(J36:J42)</f>
        <v>0</v>
      </c>
      <c r="L43" s="23"/>
      <c r="M43" s="23"/>
      <c r="N43" s="42"/>
    </row>
    <row r="44" spans="1:14" s="111" customFormat="1" ht="18">
      <c r="A44" s="180" t="s">
        <v>1672</v>
      </c>
      <c r="B44" s="77" t="s">
        <v>1845</v>
      </c>
      <c r="C44" s="244" t="s">
        <v>17</v>
      </c>
      <c r="D44" s="244"/>
      <c r="E44" s="244"/>
      <c r="F44" s="244"/>
      <c r="G44" s="244"/>
      <c r="H44" s="244">
        <v>0</v>
      </c>
      <c r="I44" s="244">
        <v>0</v>
      </c>
      <c r="J44" s="244">
        <v>0</v>
      </c>
      <c r="K44" s="244"/>
      <c r="L44" s="244" t="s">
        <v>1663</v>
      </c>
      <c r="M44" s="16" t="s">
        <v>22</v>
      </c>
      <c r="N44" s="244"/>
    </row>
    <row r="45" spans="1:14" s="111" customFormat="1" ht="18">
      <c r="A45" s="180" t="s">
        <v>46</v>
      </c>
      <c r="B45" s="77" t="s">
        <v>1391</v>
      </c>
      <c r="C45" s="244" t="s">
        <v>17</v>
      </c>
      <c r="D45" s="244"/>
      <c r="E45" s="244"/>
      <c r="F45" s="244"/>
      <c r="G45" s="244"/>
      <c r="H45" s="244">
        <f>SUM(Tabla132112419[[#This Row],[PRIMER TRIMESTRE]:[CUARTO TRIMESTRE]])</f>
        <v>0</v>
      </c>
      <c r="I45" s="246">
        <v>1136476.48</v>
      </c>
      <c r="J45" s="246">
        <f t="shared" ref="J45:J76" si="0">+H45*I45</f>
        <v>0</v>
      </c>
      <c r="K45" s="77"/>
      <c r="L45" s="16" t="s">
        <v>18</v>
      </c>
      <c r="M45" s="16" t="s">
        <v>22</v>
      </c>
      <c r="N45" s="77"/>
    </row>
    <row r="46" spans="1:14" s="111" customFormat="1" ht="18">
      <c r="A46" s="180" t="s">
        <v>46</v>
      </c>
      <c r="B46" s="77" t="s">
        <v>1392</v>
      </c>
      <c r="C46" s="177" t="s">
        <v>17</v>
      </c>
      <c r="D46" s="177"/>
      <c r="E46" s="177"/>
      <c r="F46" s="177"/>
      <c r="G46" s="177"/>
      <c r="H46" s="177">
        <f>SUM(Tabla132112419[[#This Row],[PRIMER TRIMESTRE]:[CUARTO TRIMESTRE]])</f>
        <v>0</v>
      </c>
      <c r="I46" s="246">
        <v>2600000</v>
      </c>
      <c r="J46" s="246">
        <f t="shared" si="0"/>
        <v>0</v>
      </c>
      <c r="K46" s="77"/>
      <c r="L46" s="16" t="s">
        <v>18</v>
      </c>
      <c r="M46" s="16" t="s">
        <v>22</v>
      </c>
      <c r="N46" s="77"/>
    </row>
    <row r="47" spans="1:14" s="111" customFormat="1" ht="18">
      <c r="A47" s="180" t="s">
        <v>1666</v>
      </c>
      <c r="B47" s="77" t="s">
        <v>1669</v>
      </c>
      <c r="C47" s="177" t="s">
        <v>17</v>
      </c>
      <c r="D47" s="210"/>
      <c r="E47" s="210"/>
      <c r="F47" s="210"/>
      <c r="G47" s="210"/>
      <c r="H47" s="406">
        <v>0</v>
      </c>
      <c r="I47" s="247">
        <v>0</v>
      </c>
      <c r="J47" s="247">
        <v>0</v>
      </c>
      <c r="K47" s="72"/>
      <c r="L47" s="16" t="s">
        <v>18</v>
      </c>
      <c r="M47" s="16" t="s">
        <v>22</v>
      </c>
      <c r="N47" s="70"/>
    </row>
    <row r="48" spans="1:14" s="111" customFormat="1" ht="18">
      <c r="A48" s="180" t="s">
        <v>1667</v>
      </c>
      <c r="B48" s="77" t="s">
        <v>1670</v>
      </c>
      <c r="C48" s="177" t="s">
        <v>17</v>
      </c>
      <c r="D48" s="210"/>
      <c r="E48" s="210"/>
      <c r="F48" s="210"/>
      <c r="G48" s="210"/>
      <c r="H48" s="406">
        <v>0</v>
      </c>
      <c r="I48" s="247">
        <v>0</v>
      </c>
      <c r="J48" s="247">
        <v>0</v>
      </c>
      <c r="K48" s="72"/>
      <c r="L48" s="16" t="s">
        <v>18</v>
      </c>
      <c r="M48" s="16" t="s">
        <v>22</v>
      </c>
      <c r="N48" s="70"/>
    </row>
    <row r="49" spans="1:14" s="111" customFormat="1" ht="18">
      <c r="A49" s="180" t="s">
        <v>1668</v>
      </c>
      <c r="B49" s="77" t="s">
        <v>1846</v>
      </c>
      <c r="C49" s="177" t="s">
        <v>17</v>
      </c>
      <c r="D49" s="210"/>
      <c r="E49" s="210"/>
      <c r="F49" s="210"/>
      <c r="G49" s="210"/>
      <c r="H49" s="406">
        <v>0</v>
      </c>
      <c r="I49" s="247">
        <v>0</v>
      </c>
      <c r="J49" s="247">
        <v>0</v>
      </c>
      <c r="K49" s="72"/>
      <c r="L49" s="16" t="s">
        <v>18</v>
      </c>
      <c r="M49" s="16" t="s">
        <v>22</v>
      </c>
      <c r="N49" s="70"/>
    </row>
    <row r="50" spans="1:14" s="111" customFormat="1" ht="18">
      <c r="A50" s="180" t="s">
        <v>1668</v>
      </c>
      <c r="B50" s="77" t="s">
        <v>1847</v>
      </c>
      <c r="C50" s="177" t="s">
        <v>17</v>
      </c>
      <c r="D50" s="210"/>
      <c r="E50" s="210"/>
      <c r="F50" s="210"/>
      <c r="G50" s="210"/>
      <c r="H50" s="406">
        <v>0</v>
      </c>
      <c r="I50" s="247">
        <v>0</v>
      </c>
      <c r="J50" s="247">
        <v>0</v>
      </c>
      <c r="K50" s="72"/>
      <c r="L50" s="16" t="s">
        <v>18</v>
      </c>
      <c r="M50" s="16" t="s">
        <v>22</v>
      </c>
      <c r="N50" s="70"/>
    </row>
    <row r="51" spans="1:14" s="111" customFormat="1" ht="25.5">
      <c r="A51" s="180" t="s">
        <v>46</v>
      </c>
      <c r="B51" s="77" t="s">
        <v>1693</v>
      </c>
      <c r="C51" s="70" t="s">
        <v>17</v>
      </c>
      <c r="D51" s="210"/>
      <c r="E51" s="210"/>
      <c r="F51" s="210"/>
      <c r="G51" s="210"/>
      <c r="H51" s="406">
        <v>0</v>
      </c>
      <c r="I51" s="247">
        <v>0</v>
      </c>
      <c r="J51" s="247">
        <v>0</v>
      </c>
      <c r="K51" s="72"/>
      <c r="L51" s="16" t="s">
        <v>18</v>
      </c>
      <c r="M51" s="16" t="s">
        <v>22</v>
      </c>
      <c r="N51" s="70"/>
    </row>
    <row r="52" spans="1:14" s="111" customFormat="1" ht="25.5">
      <c r="A52" s="180" t="s">
        <v>46</v>
      </c>
      <c r="B52" s="77" t="s">
        <v>1694</v>
      </c>
      <c r="C52" s="177" t="s">
        <v>17</v>
      </c>
      <c r="D52" s="210"/>
      <c r="E52" s="210"/>
      <c r="F52" s="210"/>
      <c r="G52" s="210"/>
      <c r="H52" s="406">
        <v>0</v>
      </c>
      <c r="I52" s="247">
        <v>0</v>
      </c>
      <c r="J52" s="247">
        <v>0</v>
      </c>
      <c r="K52" s="72"/>
      <c r="L52" s="16" t="s">
        <v>18</v>
      </c>
      <c r="M52" s="16" t="s">
        <v>22</v>
      </c>
      <c r="N52" s="70"/>
    </row>
    <row r="53" spans="1:14" s="111" customFormat="1" ht="18">
      <c r="A53" s="180" t="s">
        <v>46</v>
      </c>
      <c r="B53" s="77" t="s">
        <v>1393</v>
      </c>
      <c r="C53" s="177" t="s">
        <v>17</v>
      </c>
      <c r="D53" s="77"/>
      <c r="E53" s="177"/>
      <c r="F53" s="177"/>
      <c r="G53" s="177"/>
      <c r="H53" s="177">
        <f>SUM(Tabla132112419[[#This Row],[PRIMER TRIMESTRE]:[CUARTO TRIMESTRE]])</f>
        <v>0</v>
      </c>
      <c r="I53" s="246">
        <v>1800000</v>
      </c>
      <c r="J53" s="246">
        <f t="shared" si="0"/>
        <v>0</v>
      </c>
      <c r="K53" s="77"/>
      <c r="L53" s="16" t="s">
        <v>18</v>
      </c>
      <c r="M53" s="16" t="s">
        <v>22</v>
      </c>
      <c r="N53" s="77"/>
    </row>
    <row r="54" spans="1:14" s="111" customFormat="1" ht="18">
      <c r="A54" s="180" t="s">
        <v>46</v>
      </c>
      <c r="B54" s="77" t="s">
        <v>1394</v>
      </c>
      <c r="C54" s="177" t="s">
        <v>17</v>
      </c>
      <c r="D54" s="77"/>
      <c r="E54" s="177"/>
      <c r="F54" s="177"/>
      <c r="G54" s="177"/>
      <c r="H54" s="177">
        <f>SUM(Tabla132112419[[#This Row],[PRIMER TRIMESTRE]:[CUARTO TRIMESTRE]])</f>
        <v>0</v>
      </c>
      <c r="I54" s="246">
        <v>1800000</v>
      </c>
      <c r="J54" s="246">
        <f t="shared" si="0"/>
        <v>0</v>
      </c>
      <c r="K54" s="77"/>
      <c r="L54" s="16" t="s">
        <v>18</v>
      </c>
      <c r="M54" s="16" t="s">
        <v>22</v>
      </c>
      <c r="N54" s="77"/>
    </row>
    <row r="55" spans="1:14" s="111" customFormat="1" ht="18">
      <c r="A55" s="180" t="s">
        <v>46</v>
      </c>
      <c r="B55" s="77" t="s">
        <v>1395</v>
      </c>
      <c r="C55" s="177" t="s">
        <v>17</v>
      </c>
      <c r="D55" s="77"/>
      <c r="E55" s="177"/>
      <c r="F55" s="177"/>
      <c r="G55" s="177"/>
      <c r="H55" s="177">
        <f>SUM(Tabla132112419[[#This Row],[PRIMER TRIMESTRE]:[CUARTO TRIMESTRE]])</f>
        <v>0</v>
      </c>
      <c r="I55" s="246">
        <v>11500000</v>
      </c>
      <c r="J55" s="246">
        <f t="shared" si="0"/>
        <v>0</v>
      </c>
      <c r="K55" s="77"/>
      <c r="L55" s="16" t="s">
        <v>18</v>
      </c>
      <c r="M55" s="16" t="s">
        <v>22</v>
      </c>
      <c r="N55" s="77"/>
    </row>
    <row r="56" spans="1:14" s="111" customFormat="1" ht="18">
      <c r="A56" s="180" t="s">
        <v>46</v>
      </c>
      <c r="B56" s="77" t="s">
        <v>1396</v>
      </c>
      <c r="C56" s="177" t="s">
        <v>17</v>
      </c>
      <c r="D56" s="77"/>
      <c r="E56" s="177"/>
      <c r="F56" s="177"/>
      <c r="G56" s="177"/>
      <c r="H56" s="177">
        <f>SUM(Tabla132112419[[#This Row],[PRIMER TRIMESTRE]:[CUARTO TRIMESTRE]])</f>
        <v>0</v>
      </c>
      <c r="I56" s="246">
        <v>8120000</v>
      </c>
      <c r="J56" s="246">
        <f t="shared" si="0"/>
        <v>0</v>
      </c>
      <c r="K56" s="77"/>
      <c r="L56" s="16" t="s">
        <v>18</v>
      </c>
      <c r="M56" s="16" t="s">
        <v>22</v>
      </c>
      <c r="N56" s="77"/>
    </row>
    <row r="57" spans="1:14" s="169" customFormat="1" ht="18">
      <c r="A57" s="180" t="s">
        <v>46</v>
      </c>
      <c r="B57" s="77" t="s">
        <v>1622</v>
      </c>
      <c r="C57" s="177" t="s">
        <v>17</v>
      </c>
      <c r="D57" s="210"/>
      <c r="E57" s="177"/>
      <c r="F57" s="177"/>
      <c r="G57" s="210"/>
      <c r="H57" s="177">
        <f>SUM(Tabla132112419[[#This Row],[PRIMER TRIMESTRE]:[CUARTO TRIMESTRE]])</f>
        <v>0</v>
      </c>
      <c r="I57" s="247">
        <v>58223</v>
      </c>
      <c r="J57" s="247">
        <f t="shared" si="0"/>
        <v>0</v>
      </c>
      <c r="K57" s="72"/>
      <c r="L57" s="16" t="s">
        <v>18</v>
      </c>
      <c r="M57" s="16" t="s">
        <v>22</v>
      </c>
      <c r="N57" s="39" t="s">
        <v>418</v>
      </c>
    </row>
    <row r="58" spans="1:14" s="169" customFormat="1" ht="18">
      <c r="A58" s="180" t="s">
        <v>46</v>
      </c>
      <c r="B58" s="77" t="s">
        <v>1397</v>
      </c>
      <c r="C58" s="177" t="s">
        <v>17</v>
      </c>
      <c r="D58" s="77"/>
      <c r="E58" s="177"/>
      <c r="F58" s="177"/>
      <c r="G58" s="177"/>
      <c r="H58" s="177">
        <f>SUM(Tabla132112419[[#This Row],[PRIMER TRIMESTRE]:[CUARTO TRIMESTRE]])</f>
        <v>0</v>
      </c>
      <c r="I58" s="246">
        <v>55000</v>
      </c>
      <c r="J58" s="246">
        <f t="shared" si="0"/>
        <v>0</v>
      </c>
      <c r="K58" s="77"/>
      <c r="L58" s="16" t="s">
        <v>18</v>
      </c>
      <c r="M58" s="16" t="s">
        <v>22</v>
      </c>
      <c r="N58" s="39" t="s">
        <v>418</v>
      </c>
    </row>
    <row r="59" spans="1:14" s="169" customFormat="1" ht="18">
      <c r="A59" s="180" t="s">
        <v>46</v>
      </c>
      <c r="B59" s="77" t="s">
        <v>550</v>
      </c>
      <c r="C59" s="70" t="s">
        <v>17</v>
      </c>
      <c r="D59" s="210"/>
      <c r="E59" s="210"/>
      <c r="F59" s="210"/>
      <c r="G59" s="210"/>
      <c r="H59" s="406">
        <f>SUM(Tabla132112419[[#This Row],[PRIMER TRIMESTRE]:[CUARTO TRIMESTRE]])</f>
        <v>0</v>
      </c>
      <c r="I59" s="72">
        <v>9480</v>
      </c>
      <c r="J59" s="72">
        <f t="shared" si="0"/>
        <v>0</v>
      </c>
      <c r="K59" s="72"/>
      <c r="L59" s="16" t="s">
        <v>18</v>
      </c>
      <c r="M59" s="73" t="s">
        <v>22</v>
      </c>
      <c r="N59" s="70" t="s">
        <v>418</v>
      </c>
    </row>
    <row r="60" spans="1:14" s="169" customFormat="1" ht="18">
      <c r="A60" s="180" t="s">
        <v>46</v>
      </c>
      <c r="B60" s="77" t="s">
        <v>551</v>
      </c>
      <c r="C60" s="70" t="s">
        <v>17</v>
      </c>
      <c r="D60" s="210"/>
      <c r="E60" s="210"/>
      <c r="F60" s="210"/>
      <c r="G60" s="210"/>
      <c r="H60" s="406">
        <f>SUM(Tabla132112419[[#This Row],[PRIMER TRIMESTRE]:[CUARTO TRIMESTRE]])</f>
        <v>0</v>
      </c>
      <c r="I60" s="72">
        <v>31680</v>
      </c>
      <c r="J60" s="72">
        <f t="shared" si="0"/>
        <v>0</v>
      </c>
      <c r="K60" s="72"/>
      <c r="L60" s="16" t="s">
        <v>18</v>
      </c>
      <c r="M60" s="73" t="s">
        <v>22</v>
      </c>
      <c r="N60" s="70" t="s">
        <v>418</v>
      </c>
    </row>
    <row r="61" spans="1:14" s="169" customFormat="1" ht="18">
      <c r="A61" s="180" t="s">
        <v>46</v>
      </c>
      <c r="B61" s="77" t="s">
        <v>552</v>
      </c>
      <c r="C61" s="70" t="s">
        <v>17</v>
      </c>
      <c r="D61" s="210"/>
      <c r="E61" s="210"/>
      <c r="F61" s="210"/>
      <c r="G61" s="210"/>
      <c r="H61" s="406">
        <f>SUM(Tabla132112419[[#This Row],[PRIMER TRIMESTRE]:[CUARTO TRIMESTRE]])</f>
        <v>0</v>
      </c>
      <c r="I61" s="72">
        <v>9279.9</v>
      </c>
      <c r="J61" s="72">
        <f t="shared" si="0"/>
        <v>0</v>
      </c>
      <c r="K61" s="72"/>
      <c r="L61" s="16" t="s">
        <v>18</v>
      </c>
      <c r="M61" s="73" t="s">
        <v>22</v>
      </c>
      <c r="N61" s="70" t="s">
        <v>418</v>
      </c>
    </row>
    <row r="62" spans="1:14" s="169" customFormat="1" ht="18">
      <c r="A62" s="180" t="s">
        <v>46</v>
      </c>
      <c r="B62" s="77" t="s">
        <v>54</v>
      </c>
      <c r="C62" s="70" t="s">
        <v>17</v>
      </c>
      <c r="D62" s="210"/>
      <c r="E62" s="210"/>
      <c r="F62" s="210"/>
      <c r="G62" s="210"/>
      <c r="H62" s="406">
        <f>SUM(Tabla132112419[[#This Row],[PRIMER TRIMESTRE]:[CUARTO TRIMESTRE]])</f>
        <v>0</v>
      </c>
      <c r="I62" s="72">
        <v>9079.9</v>
      </c>
      <c r="J62" s="72">
        <f t="shared" si="0"/>
        <v>0</v>
      </c>
      <c r="K62" s="72"/>
      <c r="L62" s="16" t="s">
        <v>18</v>
      </c>
      <c r="M62" s="73" t="s">
        <v>22</v>
      </c>
      <c r="N62" s="70" t="s">
        <v>418</v>
      </c>
    </row>
    <row r="63" spans="1:14" s="169" customFormat="1" ht="18">
      <c r="A63" s="180" t="s">
        <v>46</v>
      </c>
      <c r="B63" s="77" t="s">
        <v>53</v>
      </c>
      <c r="C63" s="70" t="s">
        <v>17</v>
      </c>
      <c r="D63" s="210"/>
      <c r="E63" s="210"/>
      <c r="F63" s="210"/>
      <c r="G63" s="210"/>
      <c r="H63" s="406">
        <f>SUM(Tabla132112419[[#This Row],[PRIMER TRIMESTRE]:[CUARTO TRIMESTRE]])</f>
        <v>0</v>
      </c>
      <c r="I63" s="72">
        <v>9048</v>
      </c>
      <c r="J63" s="72">
        <f t="shared" si="0"/>
        <v>0</v>
      </c>
      <c r="K63" s="72"/>
      <c r="L63" s="16" t="s">
        <v>18</v>
      </c>
      <c r="M63" s="73" t="s">
        <v>22</v>
      </c>
      <c r="N63" s="70" t="s">
        <v>418</v>
      </c>
    </row>
    <row r="64" spans="1:14" s="169" customFormat="1" ht="18">
      <c r="A64" s="180" t="s">
        <v>46</v>
      </c>
      <c r="B64" s="77" t="s">
        <v>553</v>
      </c>
      <c r="C64" s="70" t="s">
        <v>17</v>
      </c>
      <c r="D64" s="210"/>
      <c r="E64" s="210"/>
      <c r="F64" s="210"/>
      <c r="G64" s="210"/>
      <c r="H64" s="406">
        <f>SUM(Tabla132112419[[#This Row],[PRIMER TRIMESTRE]:[CUARTO TRIMESTRE]])</f>
        <v>0</v>
      </c>
      <c r="I64" s="72">
        <v>7043.16</v>
      </c>
      <c r="J64" s="72">
        <f t="shared" si="0"/>
        <v>0</v>
      </c>
      <c r="K64" s="72"/>
      <c r="L64" s="16" t="s">
        <v>18</v>
      </c>
      <c r="M64" s="73" t="s">
        <v>22</v>
      </c>
      <c r="N64" s="70" t="s">
        <v>418</v>
      </c>
    </row>
    <row r="65" spans="1:14" s="169" customFormat="1" ht="18">
      <c r="A65" s="180" t="s">
        <v>46</v>
      </c>
      <c r="B65" s="77" t="s">
        <v>554</v>
      </c>
      <c r="C65" s="70" t="s">
        <v>17</v>
      </c>
      <c r="D65" s="210"/>
      <c r="E65" s="210"/>
      <c r="F65" s="210"/>
      <c r="G65" s="210"/>
      <c r="H65" s="406">
        <f>SUM(Tabla132112419[[#This Row],[PRIMER TRIMESTRE]:[CUARTO TRIMESTRE]])</f>
        <v>0</v>
      </c>
      <c r="I65" s="72">
        <v>12210</v>
      </c>
      <c r="J65" s="72">
        <f t="shared" si="0"/>
        <v>0</v>
      </c>
      <c r="K65" s="72"/>
      <c r="L65" s="16" t="s">
        <v>18</v>
      </c>
      <c r="M65" s="73" t="s">
        <v>22</v>
      </c>
      <c r="N65" s="70" t="s">
        <v>418</v>
      </c>
    </row>
    <row r="66" spans="1:14" s="169" customFormat="1" ht="18">
      <c r="A66" s="180" t="s">
        <v>46</v>
      </c>
      <c r="B66" s="77" t="s">
        <v>555</v>
      </c>
      <c r="C66" s="70" t="s">
        <v>17</v>
      </c>
      <c r="D66" s="210"/>
      <c r="E66" s="210"/>
      <c r="F66" s="210"/>
      <c r="G66" s="210"/>
      <c r="H66" s="406">
        <f>SUM(Tabla132112419[[#This Row],[PRIMER TRIMESTRE]:[CUARTO TRIMESTRE]])</f>
        <v>0</v>
      </c>
      <c r="I66" s="72">
        <v>4029.25</v>
      </c>
      <c r="J66" s="72">
        <f t="shared" si="0"/>
        <v>0</v>
      </c>
      <c r="K66" s="72"/>
      <c r="L66" s="16" t="s">
        <v>18</v>
      </c>
      <c r="M66" s="73" t="s">
        <v>22</v>
      </c>
      <c r="N66" s="70" t="s">
        <v>418</v>
      </c>
    </row>
    <row r="67" spans="1:14" s="169" customFormat="1" ht="18">
      <c r="A67" s="407"/>
      <c r="B67" s="77"/>
      <c r="C67" s="70"/>
      <c r="D67" s="210"/>
      <c r="E67" s="210"/>
      <c r="F67" s="210"/>
      <c r="G67" s="210"/>
      <c r="H67" s="406"/>
      <c r="I67" s="72"/>
      <c r="J67" s="72"/>
      <c r="K67" s="72"/>
      <c r="L67" s="16"/>
      <c r="M67" s="73"/>
      <c r="N67" s="70"/>
    </row>
    <row r="68" spans="1:14" s="169" customFormat="1" ht="18">
      <c r="A68" s="180" t="s">
        <v>46</v>
      </c>
      <c r="B68" s="77" t="s">
        <v>556</v>
      </c>
      <c r="C68" s="70" t="s">
        <v>17</v>
      </c>
      <c r="D68" s="210"/>
      <c r="E68" s="210"/>
      <c r="F68" s="210"/>
      <c r="G68" s="210"/>
      <c r="H68" s="406">
        <f>SUM(Tabla132112419[[#This Row],[PRIMER TRIMESTRE]:[CUARTO TRIMESTRE]])</f>
        <v>0</v>
      </c>
      <c r="I68" s="72">
        <v>33660</v>
      </c>
      <c r="J68" s="72">
        <f t="shared" si="0"/>
        <v>0</v>
      </c>
      <c r="K68" s="72"/>
      <c r="L68" s="16" t="s">
        <v>18</v>
      </c>
      <c r="M68" s="73" t="s">
        <v>22</v>
      </c>
      <c r="N68" s="70" t="s">
        <v>418</v>
      </c>
    </row>
    <row r="69" spans="1:14" s="243" customFormat="1" ht="18">
      <c r="A69" s="180" t="s">
        <v>46</v>
      </c>
      <c r="B69" s="77" t="s">
        <v>557</v>
      </c>
      <c r="C69" s="70" t="s">
        <v>17</v>
      </c>
      <c r="D69" s="210"/>
      <c r="E69" s="210"/>
      <c r="F69" s="210"/>
      <c r="G69" s="210"/>
      <c r="H69" s="406">
        <f>SUM(Tabla132112419[[#This Row],[PRIMER TRIMESTRE]:[CUARTO TRIMESTRE]])</f>
        <v>0</v>
      </c>
      <c r="I69" s="72">
        <v>27205.48</v>
      </c>
      <c r="J69" s="72">
        <f t="shared" si="0"/>
        <v>0</v>
      </c>
      <c r="K69" s="72"/>
      <c r="L69" s="16" t="s">
        <v>18</v>
      </c>
      <c r="M69" s="73" t="s">
        <v>22</v>
      </c>
      <c r="N69" s="70" t="s">
        <v>418</v>
      </c>
    </row>
    <row r="70" spans="1:14" s="169" customFormat="1" ht="18">
      <c r="A70" s="180" t="s">
        <v>46</v>
      </c>
      <c r="B70" s="77" t="s">
        <v>558</v>
      </c>
      <c r="C70" s="70" t="s">
        <v>17</v>
      </c>
      <c r="D70" s="210"/>
      <c r="E70" s="210"/>
      <c r="F70" s="210"/>
      <c r="G70" s="210"/>
      <c r="H70" s="406">
        <f>SUM(Tabla132112419[[#This Row],[PRIMER TRIMESTRE]:[CUARTO TRIMESTRE]])</f>
        <v>0</v>
      </c>
      <c r="I70" s="72">
        <v>14272.5</v>
      </c>
      <c r="J70" s="72">
        <f t="shared" si="0"/>
        <v>0</v>
      </c>
      <c r="K70" s="72"/>
      <c r="L70" s="16" t="s">
        <v>18</v>
      </c>
      <c r="M70" s="73" t="s">
        <v>22</v>
      </c>
      <c r="N70" s="70" t="s">
        <v>418</v>
      </c>
    </row>
    <row r="71" spans="1:14" s="169" customFormat="1" ht="18">
      <c r="A71" s="180" t="s">
        <v>46</v>
      </c>
      <c r="B71" s="77" t="s">
        <v>1398</v>
      </c>
      <c r="C71" s="70" t="s">
        <v>17</v>
      </c>
      <c r="D71" s="70"/>
      <c r="E71" s="70"/>
      <c r="F71" s="70"/>
      <c r="G71" s="70"/>
      <c r="H71" s="70">
        <f>SUM(Tabla132112419[[#This Row],[PRIMER TRIMESTRE]:[CUARTO TRIMESTRE]])</f>
        <v>0</v>
      </c>
      <c r="I71" s="72">
        <v>9279.9</v>
      </c>
      <c r="J71" s="72">
        <f t="shared" si="0"/>
        <v>0</v>
      </c>
      <c r="K71" s="72"/>
      <c r="L71" s="16" t="s">
        <v>18</v>
      </c>
      <c r="M71" s="73" t="s">
        <v>22</v>
      </c>
      <c r="N71" s="70" t="s">
        <v>418</v>
      </c>
    </row>
    <row r="72" spans="1:14" s="169" customFormat="1" ht="18">
      <c r="A72" s="180" t="s">
        <v>46</v>
      </c>
      <c r="B72" s="77" t="s">
        <v>560</v>
      </c>
      <c r="C72" s="70" t="s">
        <v>17</v>
      </c>
      <c r="D72" s="210"/>
      <c r="E72" s="210"/>
      <c r="F72" s="210"/>
      <c r="G72" s="210"/>
      <c r="H72" s="406">
        <f>SUM(Tabla132112419[[#This Row],[PRIMER TRIMESTRE]:[CUARTO TRIMESTRE]])</f>
        <v>0</v>
      </c>
      <c r="I72" s="72">
        <v>14190</v>
      </c>
      <c r="J72" s="72">
        <f t="shared" si="0"/>
        <v>0</v>
      </c>
      <c r="K72" s="72"/>
      <c r="L72" s="16" t="s">
        <v>18</v>
      </c>
      <c r="M72" s="73" t="s">
        <v>22</v>
      </c>
      <c r="N72" s="70" t="s">
        <v>418</v>
      </c>
    </row>
    <row r="73" spans="1:14" s="169" customFormat="1" ht="18">
      <c r="A73" s="180" t="s">
        <v>46</v>
      </c>
      <c r="B73" s="77" t="s">
        <v>561</v>
      </c>
      <c r="C73" s="70" t="s">
        <v>17</v>
      </c>
      <c r="D73" s="210"/>
      <c r="E73" s="210"/>
      <c r="F73" s="210"/>
      <c r="G73" s="210"/>
      <c r="H73" s="406">
        <f>SUM(Tabla132112419[[#This Row],[PRIMER TRIMESTRE]:[CUARTO TRIMESTRE]])</f>
        <v>0</v>
      </c>
      <c r="I73" s="72">
        <v>4200</v>
      </c>
      <c r="J73" s="72">
        <f t="shared" si="0"/>
        <v>0</v>
      </c>
      <c r="K73" s="72"/>
      <c r="L73" s="16" t="s">
        <v>18</v>
      </c>
      <c r="M73" s="73" t="s">
        <v>22</v>
      </c>
      <c r="N73" s="70" t="s">
        <v>418</v>
      </c>
    </row>
    <row r="74" spans="1:14" s="169" customFormat="1" ht="18">
      <c r="A74" s="180" t="s">
        <v>46</v>
      </c>
      <c r="B74" s="77" t="s">
        <v>764</v>
      </c>
      <c r="C74" s="70" t="s">
        <v>17</v>
      </c>
      <c r="D74" s="210"/>
      <c r="E74" s="210"/>
      <c r="F74" s="210"/>
      <c r="G74" s="210"/>
      <c r="H74" s="406">
        <f>SUM(Tabla132112419[[#This Row],[PRIMER TRIMESTRE]:[CUARTO TRIMESTRE]])</f>
        <v>0</v>
      </c>
      <c r="I74" s="72">
        <v>12650</v>
      </c>
      <c r="J74" s="72">
        <f t="shared" si="0"/>
        <v>0</v>
      </c>
      <c r="K74" s="72"/>
      <c r="L74" s="16" t="s">
        <v>18</v>
      </c>
      <c r="M74" s="73" t="s">
        <v>22</v>
      </c>
      <c r="N74" s="70" t="s">
        <v>418</v>
      </c>
    </row>
    <row r="75" spans="1:14" s="26" customFormat="1" ht="18">
      <c r="A75" s="180" t="s">
        <v>46</v>
      </c>
      <c r="B75" s="77" t="s">
        <v>1399</v>
      </c>
      <c r="C75" s="70" t="s">
        <v>17</v>
      </c>
      <c r="D75" s="210"/>
      <c r="E75" s="210"/>
      <c r="F75" s="210"/>
      <c r="G75" s="210"/>
      <c r="H75" s="406">
        <f>SUM(Tabla132112419[[#This Row],[PRIMER TRIMESTRE]:[CUARTO TRIMESTRE]])</f>
        <v>0</v>
      </c>
      <c r="I75" s="72">
        <v>8500</v>
      </c>
      <c r="J75" s="72">
        <f t="shared" si="0"/>
        <v>0</v>
      </c>
      <c r="K75" s="72"/>
      <c r="L75" s="16" t="s">
        <v>18</v>
      </c>
      <c r="M75" s="73" t="s">
        <v>22</v>
      </c>
      <c r="N75" s="70" t="s">
        <v>418</v>
      </c>
    </row>
    <row r="76" spans="1:14" s="169" customFormat="1" ht="18">
      <c r="A76" s="180" t="s">
        <v>46</v>
      </c>
      <c r="B76" s="77" t="s">
        <v>1400</v>
      </c>
      <c r="C76" s="70" t="s">
        <v>17</v>
      </c>
      <c r="D76" s="210"/>
      <c r="E76" s="210"/>
      <c r="F76" s="210"/>
      <c r="G76" s="210"/>
      <c r="H76" s="406">
        <f>SUM(Tabla132112419[[#This Row],[PRIMER TRIMESTRE]:[CUARTO TRIMESTRE]])</f>
        <v>0</v>
      </c>
      <c r="I76" s="72">
        <v>9500</v>
      </c>
      <c r="J76" s="72">
        <f t="shared" si="0"/>
        <v>0</v>
      </c>
      <c r="K76" s="72"/>
      <c r="L76" s="16" t="s">
        <v>18</v>
      </c>
      <c r="M76" s="73" t="s">
        <v>22</v>
      </c>
      <c r="N76" s="70" t="s">
        <v>418</v>
      </c>
    </row>
    <row r="77" spans="1:14" s="169" customFormat="1" ht="18">
      <c r="A77" s="409" t="s">
        <v>46</v>
      </c>
      <c r="B77" s="43"/>
      <c r="C77" s="43"/>
      <c r="D77" s="238"/>
      <c r="E77" s="238"/>
      <c r="F77" s="238"/>
      <c r="G77" s="238"/>
      <c r="H77" s="43"/>
      <c r="I77" s="24"/>
      <c r="J77" s="24"/>
      <c r="K77" s="25">
        <f>SUBTOTAL(109,J45:J76)</f>
        <v>0</v>
      </c>
      <c r="L77" s="23"/>
      <c r="M77" s="23"/>
      <c r="N77" s="42"/>
    </row>
    <row r="78" spans="1:14" s="169" customFormat="1" ht="30">
      <c r="A78" s="180" t="s">
        <v>56</v>
      </c>
      <c r="B78" s="77" t="s">
        <v>563</v>
      </c>
      <c r="C78" s="70" t="s">
        <v>17</v>
      </c>
      <c r="D78" s="210"/>
      <c r="E78" s="210"/>
      <c r="F78" s="210"/>
      <c r="G78" s="210"/>
      <c r="H78" s="406">
        <f>SUM(Tabla132112419[[#This Row],[PRIMER TRIMESTRE]:[CUARTO TRIMESTRE]])</f>
        <v>0</v>
      </c>
      <c r="I78" s="72">
        <v>4500</v>
      </c>
      <c r="J78" s="72">
        <f>+H78*I78</f>
        <v>0</v>
      </c>
      <c r="K78" s="72"/>
      <c r="L78" s="73" t="s">
        <v>27</v>
      </c>
      <c r="M78" s="73" t="s">
        <v>22</v>
      </c>
      <c r="N78" s="70" t="s">
        <v>418</v>
      </c>
    </row>
    <row r="79" spans="1:14" s="169" customFormat="1" ht="30">
      <c r="A79" s="180" t="s">
        <v>56</v>
      </c>
      <c r="B79" s="77" t="s">
        <v>562</v>
      </c>
      <c r="C79" s="70" t="s">
        <v>17</v>
      </c>
      <c r="D79" s="210"/>
      <c r="E79" s="210"/>
      <c r="F79" s="210"/>
      <c r="G79" s="210"/>
      <c r="H79" s="406">
        <f>SUM(Tabla132112419[[#This Row],[PRIMER TRIMESTRE]:[CUARTO TRIMESTRE]])</f>
        <v>0</v>
      </c>
      <c r="I79" s="72">
        <v>6800</v>
      </c>
      <c r="J79" s="72">
        <f>+H79*I79</f>
        <v>0</v>
      </c>
      <c r="K79" s="72"/>
      <c r="L79" s="73" t="s">
        <v>27</v>
      </c>
      <c r="M79" s="73" t="s">
        <v>22</v>
      </c>
      <c r="N79" s="70" t="s">
        <v>418</v>
      </c>
    </row>
    <row r="80" spans="1:14" s="169" customFormat="1" ht="30">
      <c r="A80" s="180" t="s">
        <v>56</v>
      </c>
      <c r="B80" s="77" t="s">
        <v>61</v>
      </c>
      <c r="C80" s="70" t="s">
        <v>17</v>
      </c>
      <c r="D80" s="210"/>
      <c r="E80" s="210"/>
      <c r="F80" s="210"/>
      <c r="G80" s="210"/>
      <c r="H80" s="406">
        <f>SUM(Tabla132112419[[#This Row],[PRIMER TRIMESTRE]:[CUARTO TRIMESTRE]])</f>
        <v>0</v>
      </c>
      <c r="I80" s="72">
        <f>3600*1.2</f>
        <v>4320</v>
      </c>
      <c r="J80" s="72">
        <f>+Tabla132112419[[#This Row],[CANTIDAD TOTAL]]*Tabla132112419[[#This Row],[PRECIO UNITARIO ESTIMADO]]</f>
        <v>0</v>
      </c>
      <c r="K80" s="72"/>
      <c r="L80" s="73" t="s">
        <v>27</v>
      </c>
      <c r="M80" s="73" t="s">
        <v>22</v>
      </c>
      <c r="N80" s="70" t="s">
        <v>418</v>
      </c>
    </row>
    <row r="81" spans="1:14" s="169" customFormat="1" ht="30">
      <c r="A81" s="180" t="s">
        <v>56</v>
      </c>
      <c r="B81" s="77" t="s">
        <v>63</v>
      </c>
      <c r="C81" s="70" t="s">
        <v>17</v>
      </c>
      <c r="D81" s="210"/>
      <c r="E81" s="210"/>
      <c r="F81" s="210"/>
      <c r="G81" s="210"/>
      <c r="H81" s="406">
        <f>SUM(Tabla132112419[[#This Row],[PRIMER TRIMESTRE]:[CUARTO TRIMESTRE]])</f>
        <v>0</v>
      </c>
      <c r="I81" s="72">
        <v>6409</v>
      </c>
      <c r="J81" s="72">
        <f>+Tabla132112419[[#This Row],[CANTIDAD TOTAL]]*Tabla132112419[[#This Row],[PRECIO UNITARIO ESTIMADO]]</f>
        <v>0</v>
      </c>
      <c r="K81" s="72"/>
      <c r="L81" s="73" t="s">
        <v>27</v>
      </c>
      <c r="M81" s="73" t="s">
        <v>22</v>
      </c>
      <c r="N81" s="70" t="s">
        <v>418</v>
      </c>
    </row>
    <row r="82" spans="1:14" s="169" customFormat="1" ht="30">
      <c r="A82" s="180" t="s">
        <v>56</v>
      </c>
      <c r="B82" s="77" t="s">
        <v>64</v>
      </c>
      <c r="C82" s="70" t="s">
        <v>17</v>
      </c>
      <c r="D82" s="210"/>
      <c r="E82" s="210"/>
      <c r="F82" s="210"/>
      <c r="G82" s="210"/>
      <c r="H82" s="406">
        <f>SUM(Tabla132112419[[#This Row],[PRIMER TRIMESTRE]:[CUARTO TRIMESTRE]])</f>
        <v>0</v>
      </c>
      <c r="I82" s="72">
        <v>6500</v>
      </c>
      <c r="J82" s="72">
        <f>+Tabla132112419[[#This Row],[CANTIDAD TOTAL]]*Tabla132112419[[#This Row],[PRECIO UNITARIO ESTIMADO]]</f>
        <v>0</v>
      </c>
      <c r="K82" s="72"/>
      <c r="L82" s="73" t="s">
        <v>27</v>
      </c>
      <c r="M82" s="73" t="s">
        <v>22</v>
      </c>
      <c r="N82" s="70" t="s">
        <v>418</v>
      </c>
    </row>
    <row r="83" spans="1:14" s="169" customFormat="1" ht="30">
      <c r="A83" s="180" t="s">
        <v>56</v>
      </c>
      <c r="B83" s="77" t="s">
        <v>65</v>
      </c>
      <c r="C83" s="70" t="s">
        <v>17</v>
      </c>
      <c r="D83" s="210"/>
      <c r="E83" s="210"/>
      <c r="F83" s="210"/>
      <c r="G83" s="210"/>
      <c r="H83" s="406">
        <f>SUM(Tabla132112419[[#This Row],[PRIMER TRIMESTRE]:[CUARTO TRIMESTRE]])</f>
        <v>0</v>
      </c>
      <c r="I83" s="72">
        <v>6500</v>
      </c>
      <c r="J83" s="72">
        <f>+H83*I83</f>
        <v>0</v>
      </c>
      <c r="K83" s="72"/>
      <c r="L83" s="73" t="s">
        <v>27</v>
      </c>
      <c r="M83" s="73" t="s">
        <v>22</v>
      </c>
      <c r="N83" s="70" t="s">
        <v>418</v>
      </c>
    </row>
    <row r="84" spans="1:14" s="169" customFormat="1" ht="30">
      <c r="A84" s="180" t="s">
        <v>56</v>
      </c>
      <c r="B84" s="77" t="s">
        <v>1422</v>
      </c>
      <c r="C84" s="70" t="s">
        <v>17</v>
      </c>
      <c r="D84" s="210"/>
      <c r="E84" s="210"/>
      <c r="F84" s="210"/>
      <c r="G84" s="210"/>
      <c r="H84" s="406">
        <f>SUM(Tabla132112419[[#This Row],[PRIMER TRIMESTRE]:[CUARTO TRIMESTRE]])</f>
        <v>0</v>
      </c>
      <c r="I84" s="72">
        <v>7965.33</v>
      </c>
      <c r="J84" s="72">
        <f>+Tabla132112419[[#This Row],[CANTIDAD TOTAL]]*Tabla132112419[[#This Row],[PRECIO UNITARIO ESTIMADO]]</f>
        <v>0</v>
      </c>
      <c r="K84" s="72"/>
      <c r="L84" s="73" t="s">
        <v>27</v>
      </c>
      <c r="M84" s="73" t="s">
        <v>22</v>
      </c>
      <c r="N84" s="70" t="s">
        <v>418</v>
      </c>
    </row>
    <row r="85" spans="1:14" s="111" customFormat="1" ht="30">
      <c r="A85" s="180" t="s">
        <v>56</v>
      </c>
      <c r="B85" s="77" t="s">
        <v>66</v>
      </c>
      <c r="C85" s="70" t="s">
        <v>17</v>
      </c>
      <c r="D85" s="210"/>
      <c r="E85" s="210"/>
      <c r="F85" s="210"/>
      <c r="G85" s="210"/>
      <c r="H85" s="406">
        <f>SUM(Tabla132112419[[#This Row],[PRIMER TRIMESTRE]:[CUARTO TRIMESTRE]])</f>
        <v>0</v>
      </c>
      <c r="I85" s="72">
        <v>9976</v>
      </c>
      <c r="J85" s="72">
        <f>+Tabla132112419[[#This Row],[CANTIDAD TOTAL]]*Tabla132112419[[#This Row],[PRECIO UNITARIO ESTIMADO]]</f>
        <v>0</v>
      </c>
      <c r="K85" s="72"/>
      <c r="L85" s="73" t="s">
        <v>27</v>
      </c>
      <c r="M85" s="73" t="s">
        <v>22</v>
      </c>
      <c r="N85" s="70" t="s">
        <v>418</v>
      </c>
    </row>
    <row r="86" spans="1:14" s="111" customFormat="1" ht="30">
      <c r="A86" s="180" t="s">
        <v>56</v>
      </c>
      <c r="B86" s="77" t="s">
        <v>1848</v>
      </c>
      <c r="C86" s="70" t="s">
        <v>17</v>
      </c>
      <c r="D86" s="210"/>
      <c r="E86" s="210"/>
      <c r="F86" s="210"/>
      <c r="G86" s="210"/>
      <c r="H86" s="406">
        <v>0</v>
      </c>
      <c r="I86" s="72">
        <v>0</v>
      </c>
      <c r="J86" s="72">
        <v>0</v>
      </c>
      <c r="K86" s="72"/>
      <c r="L86" s="73" t="s">
        <v>27</v>
      </c>
      <c r="M86" s="73" t="s">
        <v>22</v>
      </c>
      <c r="N86" s="70" t="s">
        <v>418</v>
      </c>
    </row>
    <row r="87" spans="1:14" s="26" customFormat="1" ht="30">
      <c r="A87" s="180" t="s">
        <v>56</v>
      </c>
      <c r="B87" s="77" t="s">
        <v>765</v>
      </c>
      <c r="C87" s="70" t="s">
        <v>17</v>
      </c>
      <c r="D87" s="210"/>
      <c r="E87" s="210"/>
      <c r="F87" s="210"/>
      <c r="G87" s="210"/>
      <c r="H87" s="406">
        <f>SUM(Tabla132112419[[#This Row],[PRIMER TRIMESTRE]:[CUARTO TRIMESTRE]])</f>
        <v>0</v>
      </c>
      <c r="I87" s="72">
        <v>11500</v>
      </c>
      <c r="J87" s="72">
        <f>+H87*I87</f>
        <v>0</v>
      </c>
      <c r="K87" s="72"/>
      <c r="L87" s="73" t="s">
        <v>27</v>
      </c>
      <c r="M87" s="73" t="s">
        <v>22</v>
      </c>
      <c r="N87" s="70" t="s">
        <v>418</v>
      </c>
    </row>
    <row r="88" spans="1:14" s="12" customFormat="1" ht="18">
      <c r="A88" s="70" t="s">
        <v>56</v>
      </c>
      <c r="B88" s="77" t="s">
        <v>1401</v>
      </c>
      <c r="C88" s="70" t="s">
        <v>17</v>
      </c>
      <c r="D88" s="70"/>
      <c r="E88" s="70"/>
      <c r="F88" s="70"/>
      <c r="G88" s="70"/>
      <c r="H88" s="70">
        <f>SUM(Tabla132112419[[#This Row],[PRIMER TRIMESTRE]:[CUARTO TRIMESTRE]])</f>
        <v>0</v>
      </c>
      <c r="I88" s="72">
        <v>250</v>
      </c>
      <c r="J88" s="72">
        <f>+H88*I88</f>
        <v>0</v>
      </c>
      <c r="K88" s="72"/>
      <c r="L88" s="73" t="s">
        <v>27</v>
      </c>
      <c r="M88" s="73" t="s">
        <v>22</v>
      </c>
      <c r="N88" s="70" t="s">
        <v>418</v>
      </c>
    </row>
    <row r="89" spans="1:14" s="12" customFormat="1" ht="31.5">
      <c r="A89" s="179" t="s">
        <v>56</v>
      </c>
      <c r="B89" s="76"/>
      <c r="C89" s="42"/>
      <c r="D89" s="237"/>
      <c r="E89" s="237"/>
      <c r="F89" s="237"/>
      <c r="G89" s="237"/>
      <c r="H89" s="43"/>
      <c r="I89" s="24"/>
      <c r="J89" s="24"/>
      <c r="K89" s="25">
        <f>SUM(J78:J88)</f>
        <v>0</v>
      </c>
      <c r="L89" s="23"/>
      <c r="M89" s="23"/>
      <c r="N89" s="42"/>
    </row>
    <row r="90" spans="1:14" s="12" customFormat="1" ht="18">
      <c r="A90" s="180" t="s">
        <v>62</v>
      </c>
      <c r="B90" s="77" t="s">
        <v>68</v>
      </c>
      <c r="C90" s="70" t="s">
        <v>69</v>
      </c>
      <c r="D90" s="210"/>
      <c r="E90" s="210"/>
      <c r="F90" s="210"/>
      <c r="G90" s="210"/>
      <c r="H90" s="406">
        <f>SUM(Tabla132112419[[#This Row],[PRIMER TRIMESTRE]:[CUARTO TRIMESTRE]])</f>
        <v>0</v>
      </c>
      <c r="I90" s="17">
        <v>320.89999999999998</v>
      </c>
      <c r="J90" s="17">
        <f>+Tabla132112419[[#This Row],[CANTIDAD TOTAL]]*Tabla132112419[[#This Row],[PRECIO UNITARIO ESTIMADO]]</f>
        <v>0</v>
      </c>
      <c r="K90" s="17"/>
      <c r="L90" s="16" t="s">
        <v>27</v>
      </c>
      <c r="M90" s="16" t="s">
        <v>22</v>
      </c>
      <c r="N90" s="39" t="s">
        <v>418</v>
      </c>
    </row>
    <row r="91" spans="1:14" s="12" customFormat="1" ht="18">
      <c r="A91" s="180" t="s">
        <v>62</v>
      </c>
      <c r="B91" s="77" t="s">
        <v>461</v>
      </c>
      <c r="C91" s="70" t="s">
        <v>69</v>
      </c>
      <c r="D91" s="210"/>
      <c r="E91" s="210"/>
      <c r="F91" s="210"/>
      <c r="G91" s="210"/>
      <c r="H91" s="406">
        <f>SUM(Tabla132112419[[#This Row],[PRIMER TRIMESTRE]:[CUARTO TRIMESTRE]])</f>
        <v>0</v>
      </c>
      <c r="I91" s="17">
        <v>561.17999999999995</v>
      </c>
      <c r="J91" s="17">
        <f>+H91*I91</f>
        <v>0</v>
      </c>
      <c r="K91" s="17"/>
      <c r="L91" s="16" t="s">
        <v>27</v>
      </c>
      <c r="M91" s="16" t="s">
        <v>22</v>
      </c>
      <c r="N91" s="39" t="s">
        <v>418</v>
      </c>
    </row>
    <row r="92" spans="1:14" s="12" customFormat="1" ht="18">
      <c r="A92" s="180" t="s">
        <v>62</v>
      </c>
      <c r="B92" s="77" t="s">
        <v>1149</v>
      </c>
      <c r="C92" s="70" t="s">
        <v>69</v>
      </c>
      <c r="D92" s="210"/>
      <c r="E92" s="210"/>
      <c r="F92" s="210"/>
      <c r="G92" s="210"/>
      <c r="H92" s="406">
        <f>SUM(Tabla132112419[[#This Row],[PRIMER TRIMESTRE]:[CUARTO TRIMESTRE]])</f>
        <v>0</v>
      </c>
      <c r="I92" s="17">
        <v>1900</v>
      </c>
      <c r="J92" s="17">
        <f>+H92*I92</f>
        <v>0</v>
      </c>
      <c r="K92" s="17"/>
      <c r="L92" s="16" t="s">
        <v>27</v>
      </c>
      <c r="M92" s="16" t="s">
        <v>22</v>
      </c>
      <c r="N92" s="39" t="s">
        <v>418</v>
      </c>
    </row>
    <row r="93" spans="1:14" s="12" customFormat="1" ht="18">
      <c r="A93" s="180" t="s">
        <v>62</v>
      </c>
      <c r="B93" s="77" t="s">
        <v>567</v>
      </c>
      <c r="C93" s="70" t="s">
        <v>17</v>
      </c>
      <c r="D93" s="210"/>
      <c r="E93" s="210"/>
      <c r="F93" s="210"/>
      <c r="G93" s="210"/>
      <c r="H93" s="406">
        <f>SUM(Tabla132112419[[#This Row],[PRIMER TRIMESTRE]:[CUARTO TRIMESTRE]])</f>
        <v>0</v>
      </c>
      <c r="I93" s="17">
        <v>350</v>
      </c>
      <c r="J93" s="17">
        <f>+Tabla132112419[[#This Row],[CANTIDAD TOTAL]]*Tabla132112419[[#This Row],[PRECIO UNITARIO ESTIMADO]]</f>
        <v>0</v>
      </c>
      <c r="K93" s="17"/>
      <c r="L93" s="16" t="s">
        <v>27</v>
      </c>
      <c r="M93" s="16" t="s">
        <v>22</v>
      </c>
      <c r="N93" s="39" t="s">
        <v>418</v>
      </c>
    </row>
    <row r="94" spans="1:14" s="12" customFormat="1" ht="18">
      <c r="A94" s="180" t="s">
        <v>62</v>
      </c>
      <c r="B94" s="77" t="s">
        <v>472</v>
      </c>
      <c r="C94" s="70" t="s">
        <v>17</v>
      </c>
      <c r="D94" s="210"/>
      <c r="E94" s="210"/>
      <c r="F94" s="210"/>
      <c r="G94" s="210"/>
      <c r="H94" s="406">
        <f>SUM(Tabla132112419[[#This Row],[PRIMER TRIMESTRE]:[CUARTO TRIMESTRE]])</f>
        <v>0</v>
      </c>
      <c r="I94" s="17">
        <v>450.4</v>
      </c>
      <c r="J94" s="17">
        <f>+H94*I94</f>
        <v>0</v>
      </c>
      <c r="K94" s="17"/>
      <c r="L94" s="16" t="s">
        <v>27</v>
      </c>
      <c r="M94" s="16" t="s">
        <v>22</v>
      </c>
      <c r="N94" s="39" t="s">
        <v>418</v>
      </c>
    </row>
    <row r="95" spans="1:14" s="12" customFormat="1" ht="18">
      <c r="A95" s="180" t="s">
        <v>62</v>
      </c>
      <c r="B95" s="77" t="s">
        <v>1150</v>
      </c>
      <c r="C95" s="70" t="s">
        <v>17</v>
      </c>
      <c r="D95" s="210"/>
      <c r="E95" s="210"/>
      <c r="F95" s="210"/>
      <c r="G95" s="210"/>
      <c r="H95" s="406">
        <f>SUM(Tabla132112419[[#This Row],[PRIMER TRIMESTRE]:[CUARTO TRIMESTRE]])</f>
        <v>0</v>
      </c>
      <c r="I95" s="17">
        <v>450.4</v>
      </c>
      <c r="J95" s="17">
        <f>+H95*I95</f>
        <v>0</v>
      </c>
      <c r="K95" s="17"/>
      <c r="L95" s="16" t="s">
        <v>27</v>
      </c>
      <c r="M95" s="16" t="s">
        <v>22</v>
      </c>
      <c r="N95" s="39" t="s">
        <v>418</v>
      </c>
    </row>
    <row r="96" spans="1:14" s="12" customFormat="1" ht="18">
      <c r="A96" s="180" t="s">
        <v>62</v>
      </c>
      <c r="B96" s="77" t="s">
        <v>440</v>
      </c>
      <c r="C96" s="70" t="s">
        <v>17</v>
      </c>
      <c r="D96" s="210"/>
      <c r="E96" s="210"/>
      <c r="F96" s="210"/>
      <c r="G96" s="210"/>
      <c r="H96" s="406">
        <f>SUM(Tabla132112419[[#This Row],[PRIMER TRIMESTRE]:[CUARTO TRIMESTRE]])</f>
        <v>0</v>
      </c>
      <c r="I96" s="17">
        <v>7000</v>
      </c>
      <c r="J96" s="17">
        <f>+H96*I96</f>
        <v>0</v>
      </c>
      <c r="K96" s="17"/>
      <c r="L96" s="16" t="s">
        <v>27</v>
      </c>
      <c r="M96" s="16" t="s">
        <v>22</v>
      </c>
      <c r="N96" s="39" t="s">
        <v>418</v>
      </c>
    </row>
    <row r="97" spans="1:14" s="12" customFormat="1" ht="18">
      <c r="A97" s="180" t="s">
        <v>62</v>
      </c>
      <c r="B97" s="77" t="s">
        <v>435</v>
      </c>
      <c r="C97" s="70" t="s">
        <v>17</v>
      </c>
      <c r="D97" s="210"/>
      <c r="E97" s="210"/>
      <c r="F97" s="210"/>
      <c r="G97" s="210"/>
      <c r="H97" s="406">
        <f>SUM(Tabla132112419[[#This Row],[PRIMER TRIMESTRE]:[CUARTO TRIMESTRE]])</f>
        <v>0</v>
      </c>
      <c r="I97" s="17">
        <v>110</v>
      </c>
      <c r="J97" s="17">
        <f>+Tabla132112419[[#This Row],[CANTIDAD TOTAL]]*Tabla132112419[[#This Row],[PRECIO UNITARIO ESTIMADO]]</f>
        <v>0</v>
      </c>
      <c r="K97" s="17"/>
      <c r="L97" s="16" t="s">
        <v>27</v>
      </c>
      <c r="M97" s="16" t="s">
        <v>22</v>
      </c>
      <c r="N97" s="39" t="s">
        <v>418</v>
      </c>
    </row>
    <row r="98" spans="1:14" s="12" customFormat="1" ht="18">
      <c r="A98" s="180" t="s">
        <v>62</v>
      </c>
      <c r="B98" s="77" t="s">
        <v>729</v>
      </c>
      <c r="C98" s="70" t="s">
        <v>17</v>
      </c>
      <c r="D98" s="210"/>
      <c r="E98" s="210"/>
      <c r="F98" s="210"/>
      <c r="G98" s="210"/>
      <c r="H98" s="406">
        <f>SUM(Tabla132112419[[#This Row],[PRIMER TRIMESTRE]:[CUARTO TRIMESTRE]])</f>
        <v>0</v>
      </c>
      <c r="I98" s="17">
        <v>260</v>
      </c>
      <c r="J98" s="17">
        <f>+Tabla132112419[[#This Row],[CANTIDAD TOTAL]]*Tabla132112419[[#This Row],[PRECIO UNITARIO ESTIMADO]]</f>
        <v>0</v>
      </c>
      <c r="K98" s="17"/>
      <c r="L98" s="16" t="s">
        <v>27</v>
      </c>
      <c r="M98" s="16" t="s">
        <v>22</v>
      </c>
      <c r="N98" s="39" t="s">
        <v>418</v>
      </c>
    </row>
    <row r="99" spans="1:14" s="12" customFormat="1" ht="18">
      <c r="A99" s="180" t="s">
        <v>62</v>
      </c>
      <c r="B99" s="77" t="s">
        <v>731</v>
      </c>
      <c r="C99" s="70" t="s">
        <v>17</v>
      </c>
      <c r="D99" s="210"/>
      <c r="E99" s="210"/>
      <c r="F99" s="210"/>
      <c r="G99" s="210"/>
      <c r="H99" s="406">
        <f>SUM(Tabla132112419[[#This Row],[PRIMER TRIMESTRE]:[CUARTO TRIMESTRE]])</f>
        <v>0</v>
      </c>
      <c r="I99" s="17">
        <v>375</v>
      </c>
      <c r="J99" s="17">
        <f>+Tabla132112419[[#This Row],[CANTIDAD TOTAL]]*Tabla132112419[[#This Row],[PRECIO UNITARIO ESTIMADO]]</f>
        <v>0</v>
      </c>
      <c r="K99" s="17"/>
      <c r="L99" s="16" t="s">
        <v>27</v>
      </c>
      <c r="M99" s="16" t="s">
        <v>22</v>
      </c>
      <c r="N99" s="39" t="s">
        <v>418</v>
      </c>
    </row>
    <row r="100" spans="1:14" s="12" customFormat="1" ht="18">
      <c r="A100" s="180" t="s">
        <v>62</v>
      </c>
      <c r="B100" s="17" t="s">
        <v>1589</v>
      </c>
      <c r="C100" s="248" t="s">
        <v>17</v>
      </c>
      <c r="D100" s="210"/>
      <c r="E100" s="17"/>
      <c r="F100" s="17"/>
      <c r="G100" s="17"/>
      <c r="H100" s="406">
        <f>SUM(Tabla132112419[[#This Row],[PRIMER TRIMESTRE]:[CUARTO TRIMESTRE]])</f>
        <v>0</v>
      </c>
      <c r="I100" s="17">
        <v>425</v>
      </c>
      <c r="J100" s="17">
        <f>+H100*I100</f>
        <v>0</v>
      </c>
      <c r="K100" s="17"/>
      <c r="L100" s="16" t="s">
        <v>27</v>
      </c>
      <c r="M100" s="16" t="s">
        <v>22</v>
      </c>
      <c r="N100" s="39" t="s">
        <v>418</v>
      </c>
    </row>
    <row r="101" spans="1:14" s="12" customFormat="1" ht="18">
      <c r="A101" s="180" t="s">
        <v>62</v>
      </c>
      <c r="B101" s="77" t="s">
        <v>72</v>
      </c>
      <c r="C101" s="70" t="s">
        <v>17</v>
      </c>
      <c r="D101" s="210"/>
      <c r="E101" s="210"/>
      <c r="F101" s="210"/>
      <c r="G101" s="210"/>
      <c r="H101" s="406">
        <f>SUM(Tabla132112419[[#This Row],[PRIMER TRIMESTRE]:[CUARTO TRIMESTRE]])</f>
        <v>0</v>
      </c>
      <c r="I101" s="72">
        <v>295</v>
      </c>
      <c r="J101" s="17">
        <f>+Tabla132112419[[#This Row],[CANTIDAD TOTAL]]*Tabla132112419[[#This Row],[PRECIO UNITARIO ESTIMADO]]</f>
        <v>0</v>
      </c>
      <c r="K101" s="17"/>
      <c r="L101" s="16" t="s">
        <v>27</v>
      </c>
      <c r="M101" s="16" t="s">
        <v>22</v>
      </c>
      <c r="N101" s="39" t="s">
        <v>418</v>
      </c>
    </row>
    <row r="102" spans="1:14" s="12" customFormat="1" ht="18">
      <c r="A102" s="180" t="s">
        <v>62</v>
      </c>
      <c r="B102" s="77" t="s">
        <v>467</v>
      </c>
      <c r="C102" s="70" t="s">
        <v>17</v>
      </c>
      <c r="D102" s="210"/>
      <c r="E102" s="210"/>
      <c r="F102" s="210"/>
      <c r="G102" s="210"/>
      <c r="H102" s="406">
        <f>SUM(Tabla132112419[[#This Row],[PRIMER TRIMESTRE]:[CUARTO TRIMESTRE]])</f>
        <v>0</v>
      </c>
      <c r="I102" s="72">
        <v>852.71</v>
      </c>
      <c r="J102" s="17">
        <f t="shared" ref="J102:J118" si="1">+H102*I102</f>
        <v>0</v>
      </c>
      <c r="K102" s="17"/>
      <c r="L102" s="16" t="s">
        <v>27</v>
      </c>
      <c r="M102" s="16" t="s">
        <v>22</v>
      </c>
      <c r="N102" s="39" t="s">
        <v>418</v>
      </c>
    </row>
    <row r="103" spans="1:14" s="12" customFormat="1" ht="18">
      <c r="A103" s="180" t="s">
        <v>62</v>
      </c>
      <c r="B103" s="75" t="s">
        <v>1155</v>
      </c>
      <c r="C103" s="39" t="s">
        <v>17</v>
      </c>
      <c r="D103" s="236"/>
      <c r="E103" s="236"/>
      <c r="F103" s="236"/>
      <c r="G103" s="236"/>
      <c r="H103" s="40">
        <f>SUM(Tabla132112419[[#This Row],[PRIMER TRIMESTRE]:[CUARTO TRIMESTRE]])</f>
        <v>0</v>
      </c>
      <c r="I103" s="72">
        <v>600</v>
      </c>
      <c r="J103" s="17">
        <f t="shared" si="1"/>
        <v>0</v>
      </c>
      <c r="K103" s="17"/>
      <c r="L103" s="16" t="s">
        <v>27</v>
      </c>
      <c r="M103" s="16" t="s">
        <v>22</v>
      </c>
      <c r="N103" s="39" t="s">
        <v>418</v>
      </c>
    </row>
    <row r="104" spans="1:14" s="12" customFormat="1" ht="18">
      <c r="A104" s="180" t="s">
        <v>62</v>
      </c>
      <c r="B104" s="75" t="s">
        <v>1156</v>
      </c>
      <c r="C104" s="39" t="s">
        <v>17</v>
      </c>
      <c r="D104" s="39"/>
      <c r="E104" s="39"/>
      <c r="F104" s="39"/>
      <c r="G104" s="39"/>
      <c r="H104" s="39">
        <f>SUM(Tabla132112419[[#This Row],[PRIMER TRIMESTRE]:[CUARTO TRIMESTRE]])</f>
        <v>0</v>
      </c>
      <c r="I104" s="72">
        <v>700</v>
      </c>
      <c r="J104" s="17">
        <f t="shared" si="1"/>
        <v>0</v>
      </c>
      <c r="K104" s="17"/>
      <c r="L104" s="16" t="s">
        <v>27</v>
      </c>
      <c r="M104" s="16" t="s">
        <v>22</v>
      </c>
      <c r="N104" s="39" t="s">
        <v>418</v>
      </c>
    </row>
    <row r="105" spans="1:14" s="12" customFormat="1" ht="18">
      <c r="A105" s="180" t="s">
        <v>62</v>
      </c>
      <c r="B105" s="75" t="s">
        <v>1612</v>
      </c>
      <c r="C105" s="39" t="s">
        <v>17</v>
      </c>
      <c r="D105" s="39"/>
      <c r="E105" s="39"/>
      <c r="F105" s="39"/>
      <c r="G105" s="39"/>
      <c r="H105" s="39">
        <f>SUM(Tabla132112419[[#This Row],[PRIMER TRIMESTRE]:[CUARTO TRIMESTRE]])</f>
        <v>0</v>
      </c>
      <c r="I105" s="72">
        <v>835</v>
      </c>
      <c r="J105" s="17">
        <f t="shared" si="1"/>
        <v>0</v>
      </c>
      <c r="K105" s="17"/>
      <c r="L105" s="16" t="s">
        <v>27</v>
      </c>
      <c r="M105" s="16" t="s">
        <v>22</v>
      </c>
      <c r="N105" s="39" t="s">
        <v>418</v>
      </c>
    </row>
    <row r="106" spans="1:14" s="12" customFormat="1" ht="18">
      <c r="A106" s="180" t="s">
        <v>62</v>
      </c>
      <c r="B106" s="75" t="s">
        <v>1613</v>
      </c>
      <c r="C106" s="39" t="s">
        <v>17</v>
      </c>
      <c r="D106" s="39"/>
      <c r="E106" s="39"/>
      <c r="F106" s="39"/>
      <c r="G106" s="39"/>
      <c r="H106" s="39">
        <f>SUM(Tabla132112419[[#This Row],[PRIMER TRIMESTRE]:[CUARTO TRIMESTRE]])</f>
        <v>0</v>
      </c>
      <c r="I106" s="72">
        <v>618</v>
      </c>
      <c r="J106" s="17">
        <f t="shared" si="1"/>
        <v>0</v>
      </c>
      <c r="K106" s="17"/>
      <c r="L106" s="16" t="s">
        <v>27</v>
      </c>
      <c r="M106" s="16" t="s">
        <v>22</v>
      </c>
      <c r="N106" s="39" t="s">
        <v>418</v>
      </c>
    </row>
    <row r="107" spans="1:14" s="12" customFormat="1" ht="18">
      <c r="A107" s="180" t="s">
        <v>62</v>
      </c>
      <c r="B107" s="75" t="s">
        <v>1706</v>
      </c>
      <c r="C107" s="39" t="s">
        <v>17</v>
      </c>
      <c r="D107" s="236"/>
      <c r="E107" s="236"/>
      <c r="F107" s="236"/>
      <c r="G107" s="236"/>
      <c r="H107" s="40">
        <v>0</v>
      </c>
      <c r="I107" s="72">
        <v>0</v>
      </c>
      <c r="J107" s="17">
        <v>0</v>
      </c>
      <c r="K107" s="17"/>
      <c r="L107" s="16" t="s">
        <v>27</v>
      </c>
      <c r="M107" s="16" t="s">
        <v>22</v>
      </c>
      <c r="N107" s="39" t="s">
        <v>418</v>
      </c>
    </row>
    <row r="108" spans="1:14" s="12" customFormat="1" ht="18">
      <c r="A108" s="180" t="s">
        <v>62</v>
      </c>
      <c r="B108" s="75" t="s">
        <v>1614</v>
      </c>
      <c r="C108" s="39" t="s">
        <v>17</v>
      </c>
      <c r="D108" s="39"/>
      <c r="E108" s="39"/>
      <c r="F108" s="39"/>
      <c r="G108" s="39"/>
      <c r="H108" s="39">
        <f>SUM(Tabla132112419[[#This Row],[PRIMER TRIMESTRE]:[CUARTO TRIMESTRE]])</f>
        <v>0</v>
      </c>
      <c r="I108" s="72">
        <v>280</v>
      </c>
      <c r="J108" s="17">
        <f t="shared" si="1"/>
        <v>0</v>
      </c>
      <c r="K108" s="17"/>
      <c r="L108" s="16" t="s">
        <v>27</v>
      </c>
      <c r="M108" s="16" t="s">
        <v>22</v>
      </c>
      <c r="N108" s="39" t="s">
        <v>418</v>
      </c>
    </row>
    <row r="109" spans="1:14" s="12" customFormat="1" ht="18">
      <c r="A109" s="180" t="s">
        <v>62</v>
      </c>
      <c r="B109" s="75" t="s">
        <v>1615</v>
      </c>
      <c r="C109" s="39" t="s">
        <v>17</v>
      </c>
      <c r="D109" s="39"/>
      <c r="E109" s="39"/>
      <c r="F109" s="39"/>
      <c r="G109" s="39"/>
      <c r="H109" s="39">
        <f>SUM(Tabla132112419[[#This Row],[PRIMER TRIMESTRE]:[CUARTO TRIMESTRE]])</f>
        <v>0</v>
      </c>
      <c r="I109" s="72">
        <v>447.46</v>
      </c>
      <c r="J109" s="17">
        <f t="shared" si="1"/>
        <v>0</v>
      </c>
      <c r="K109" s="17"/>
      <c r="L109" s="16" t="s">
        <v>27</v>
      </c>
      <c r="M109" s="16" t="s">
        <v>22</v>
      </c>
      <c r="N109" s="39" t="s">
        <v>418</v>
      </c>
    </row>
    <row r="110" spans="1:14" s="12" customFormat="1" ht="18">
      <c r="A110" s="180" t="s">
        <v>62</v>
      </c>
      <c r="B110" s="75" t="s">
        <v>1616</v>
      </c>
      <c r="C110" s="39" t="s">
        <v>718</v>
      </c>
      <c r="D110" s="39"/>
      <c r="E110" s="39"/>
      <c r="F110" s="39"/>
      <c r="G110" s="39"/>
      <c r="H110" s="39">
        <f>SUM(Tabla132112419[[#This Row],[PRIMER TRIMESTRE]:[CUARTO TRIMESTRE]])</f>
        <v>0</v>
      </c>
      <c r="I110" s="72">
        <v>452.8</v>
      </c>
      <c r="J110" s="17">
        <f t="shared" si="1"/>
        <v>0</v>
      </c>
      <c r="K110" s="17"/>
      <c r="L110" s="16" t="s">
        <v>27</v>
      </c>
      <c r="M110" s="16" t="s">
        <v>22</v>
      </c>
      <c r="N110" s="39" t="s">
        <v>418</v>
      </c>
    </row>
    <row r="111" spans="1:14" s="12" customFormat="1" ht="18">
      <c r="A111" s="180" t="s">
        <v>62</v>
      </c>
      <c r="B111" s="75" t="s">
        <v>1617</v>
      </c>
      <c r="C111" s="39" t="s">
        <v>718</v>
      </c>
      <c r="D111" s="39"/>
      <c r="E111" s="39"/>
      <c r="F111" s="39"/>
      <c r="G111" s="39"/>
      <c r="H111" s="39">
        <f>SUM(Tabla132112419[[#This Row],[PRIMER TRIMESTRE]:[CUARTO TRIMESTRE]])</f>
        <v>0</v>
      </c>
      <c r="I111" s="72">
        <v>431</v>
      </c>
      <c r="J111" s="17">
        <f t="shared" si="1"/>
        <v>0</v>
      </c>
      <c r="K111" s="17"/>
      <c r="L111" s="16" t="s">
        <v>27</v>
      </c>
      <c r="M111" s="16" t="s">
        <v>22</v>
      </c>
      <c r="N111" s="39" t="s">
        <v>418</v>
      </c>
    </row>
    <row r="112" spans="1:14" s="12" customFormat="1" ht="18">
      <c r="A112" s="180" t="s">
        <v>62</v>
      </c>
      <c r="B112" s="75" t="s">
        <v>1618</v>
      </c>
      <c r="C112" s="39" t="s">
        <v>718</v>
      </c>
      <c r="D112" s="39"/>
      <c r="E112" s="39"/>
      <c r="F112" s="39"/>
      <c r="G112" s="39"/>
      <c r="H112" s="39">
        <f>SUM(Tabla132112419[[#This Row],[PRIMER TRIMESTRE]:[CUARTO TRIMESTRE]])</f>
        <v>0</v>
      </c>
      <c r="I112" s="72">
        <v>145.30000000000001</v>
      </c>
      <c r="J112" s="17">
        <f t="shared" si="1"/>
        <v>0</v>
      </c>
      <c r="K112" s="17"/>
      <c r="L112" s="16" t="s">
        <v>27</v>
      </c>
      <c r="M112" s="16" t="s">
        <v>22</v>
      </c>
      <c r="N112" s="39" t="s">
        <v>418</v>
      </c>
    </row>
    <row r="113" spans="1:14" s="12" customFormat="1" ht="18">
      <c r="A113" s="180" t="s">
        <v>62</v>
      </c>
      <c r="B113" s="75" t="s">
        <v>1157</v>
      </c>
      <c r="C113" s="39" t="s">
        <v>17</v>
      </c>
      <c r="D113" s="236"/>
      <c r="E113" s="236"/>
      <c r="F113" s="236"/>
      <c r="G113" s="236"/>
      <c r="H113" s="40">
        <f>SUM(Tabla132112419[[#This Row],[PRIMER TRIMESTRE]:[CUARTO TRIMESTRE]])</f>
        <v>0</v>
      </c>
      <c r="I113" s="72">
        <v>800</v>
      </c>
      <c r="J113" s="17">
        <f t="shared" si="1"/>
        <v>0</v>
      </c>
      <c r="K113" s="17"/>
      <c r="L113" s="16" t="s">
        <v>27</v>
      </c>
      <c r="M113" s="16" t="s">
        <v>22</v>
      </c>
      <c r="N113" s="39" t="s">
        <v>418</v>
      </c>
    </row>
    <row r="114" spans="1:14" s="12" customFormat="1" ht="18">
      <c r="A114" s="180" t="s">
        <v>62</v>
      </c>
      <c r="B114" s="75" t="s">
        <v>1158</v>
      </c>
      <c r="C114" s="39" t="s">
        <v>17</v>
      </c>
      <c r="D114" s="236"/>
      <c r="E114" s="236"/>
      <c r="F114" s="236"/>
      <c r="G114" s="236"/>
      <c r="H114" s="40">
        <f>SUM(Tabla132112419[[#This Row],[PRIMER TRIMESTRE]:[CUARTO TRIMESTRE]])</f>
        <v>0</v>
      </c>
      <c r="I114" s="72">
        <v>900</v>
      </c>
      <c r="J114" s="17">
        <f t="shared" si="1"/>
        <v>0</v>
      </c>
      <c r="K114" s="17"/>
      <c r="L114" s="16" t="s">
        <v>27</v>
      </c>
      <c r="M114" s="16" t="s">
        <v>22</v>
      </c>
      <c r="N114" s="39" t="s">
        <v>418</v>
      </c>
    </row>
    <row r="115" spans="1:14" s="12" customFormat="1" ht="18">
      <c r="A115" s="180" t="s">
        <v>62</v>
      </c>
      <c r="B115" s="75" t="s">
        <v>1151</v>
      </c>
      <c r="C115" s="39" t="s">
        <v>17</v>
      </c>
      <c r="D115" s="236"/>
      <c r="E115" s="236"/>
      <c r="F115" s="236"/>
      <c r="G115" s="236"/>
      <c r="H115" s="40">
        <f>SUM(Tabla132112419[[#This Row],[PRIMER TRIMESTRE]:[CUARTO TRIMESTRE]])</f>
        <v>0</v>
      </c>
      <c r="I115" s="72">
        <v>375</v>
      </c>
      <c r="J115" s="17">
        <f t="shared" si="1"/>
        <v>0</v>
      </c>
      <c r="K115" s="17"/>
      <c r="L115" s="16" t="s">
        <v>27</v>
      </c>
      <c r="M115" s="16" t="s">
        <v>22</v>
      </c>
      <c r="N115" s="39" t="s">
        <v>418</v>
      </c>
    </row>
    <row r="116" spans="1:14" s="12" customFormat="1" ht="18">
      <c r="A116" s="180" t="s">
        <v>62</v>
      </c>
      <c r="B116" s="75" t="s">
        <v>1152</v>
      </c>
      <c r="C116" s="39" t="s">
        <v>17</v>
      </c>
      <c r="D116" s="236"/>
      <c r="E116" s="236"/>
      <c r="F116" s="236"/>
      <c r="G116" s="236"/>
      <c r="H116" s="40">
        <f>SUM(Tabla132112419[[#This Row],[PRIMER TRIMESTRE]:[CUARTO TRIMESTRE]])</f>
        <v>0</v>
      </c>
      <c r="I116" s="72">
        <v>1300</v>
      </c>
      <c r="J116" s="17">
        <f t="shared" si="1"/>
        <v>0</v>
      </c>
      <c r="K116" s="17"/>
      <c r="L116" s="16" t="s">
        <v>27</v>
      </c>
      <c r="M116" s="16" t="s">
        <v>22</v>
      </c>
      <c r="N116" s="39" t="s">
        <v>418</v>
      </c>
    </row>
    <row r="117" spans="1:14" s="12" customFormat="1" ht="18">
      <c r="A117" s="180" t="s">
        <v>62</v>
      </c>
      <c r="B117" s="75" t="s">
        <v>1153</v>
      </c>
      <c r="C117" s="39" t="s">
        <v>17</v>
      </c>
      <c r="D117" s="236"/>
      <c r="E117" s="236"/>
      <c r="F117" s="236"/>
      <c r="G117" s="236"/>
      <c r="H117" s="40">
        <f>SUM(Tabla132112419[[#This Row],[PRIMER TRIMESTRE]:[CUARTO TRIMESTRE]])</f>
        <v>0</v>
      </c>
      <c r="I117" s="72">
        <v>900</v>
      </c>
      <c r="J117" s="17">
        <f t="shared" si="1"/>
        <v>0</v>
      </c>
      <c r="K117" s="17"/>
      <c r="L117" s="16" t="s">
        <v>27</v>
      </c>
      <c r="M117" s="16" t="s">
        <v>22</v>
      </c>
      <c r="N117" s="39" t="s">
        <v>418</v>
      </c>
    </row>
    <row r="118" spans="1:14" s="12" customFormat="1" ht="18">
      <c r="A118" s="180" t="s">
        <v>62</v>
      </c>
      <c r="B118" s="75" t="s">
        <v>1154</v>
      </c>
      <c r="C118" s="39" t="s">
        <v>17</v>
      </c>
      <c r="D118" s="236"/>
      <c r="E118" s="236"/>
      <c r="F118" s="236"/>
      <c r="G118" s="236"/>
      <c r="H118" s="40">
        <f>SUM(Tabla132112419[[#This Row],[PRIMER TRIMESTRE]:[CUARTO TRIMESTRE]])</f>
        <v>0</v>
      </c>
      <c r="I118" s="72">
        <v>1800</v>
      </c>
      <c r="J118" s="17">
        <f t="shared" si="1"/>
        <v>0</v>
      </c>
      <c r="K118" s="17"/>
      <c r="L118" s="16" t="s">
        <v>27</v>
      </c>
      <c r="M118" s="16" t="s">
        <v>22</v>
      </c>
      <c r="N118" s="39" t="s">
        <v>418</v>
      </c>
    </row>
    <row r="119" spans="1:14" s="12" customFormat="1" ht="18">
      <c r="A119" s="180" t="s">
        <v>62</v>
      </c>
      <c r="B119" s="75" t="s">
        <v>1709</v>
      </c>
      <c r="C119" s="70" t="s">
        <v>17</v>
      </c>
      <c r="D119" s="236"/>
      <c r="E119" s="236"/>
      <c r="F119" s="236"/>
      <c r="G119" s="236"/>
      <c r="H119" s="40">
        <v>0</v>
      </c>
      <c r="I119" s="72">
        <v>0</v>
      </c>
      <c r="J119" s="17">
        <v>0</v>
      </c>
      <c r="K119" s="17"/>
      <c r="L119" s="16" t="s">
        <v>27</v>
      </c>
      <c r="M119" s="16" t="s">
        <v>22</v>
      </c>
      <c r="N119" s="39" t="s">
        <v>418</v>
      </c>
    </row>
    <row r="120" spans="1:14" s="26" customFormat="1" ht="18">
      <c r="A120" s="180" t="s">
        <v>62</v>
      </c>
      <c r="B120" s="77" t="s">
        <v>432</v>
      </c>
      <c r="C120" s="70" t="s">
        <v>17</v>
      </c>
      <c r="D120" s="210"/>
      <c r="E120" s="210"/>
      <c r="F120" s="210"/>
      <c r="G120" s="210"/>
      <c r="H120" s="406">
        <f>SUM(Tabla132112419[[#This Row],[PRIMER TRIMESTRE]:[CUARTO TRIMESTRE]])</f>
        <v>0</v>
      </c>
      <c r="I120" s="72">
        <v>350</v>
      </c>
      <c r="J120" s="17">
        <f>+Tabla132112419[[#This Row],[CANTIDAD TOTAL]]*Tabla132112419[[#This Row],[PRECIO UNITARIO ESTIMADO]]</f>
        <v>0</v>
      </c>
      <c r="K120" s="17"/>
      <c r="L120" s="16" t="s">
        <v>27</v>
      </c>
      <c r="M120" s="16" t="s">
        <v>22</v>
      </c>
      <c r="N120" s="39" t="s">
        <v>418</v>
      </c>
    </row>
    <row r="121" spans="1:14" s="26" customFormat="1" ht="18">
      <c r="A121" s="180" t="s">
        <v>62</v>
      </c>
      <c r="B121" s="77" t="s">
        <v>431</v>
      </c>
      <c r="C121" s="70" t="s">
        <v>17</v>
      </c>
      <c r="D121" s="210"/>
      <c r="E121" s="210"/>
      <c r="F121" s="210"/>
      <c r="G121" s="210"/>
      <c r="H121" s="406">
        <f>SUM(Tabla132112419[[#This Row],[PRIMER TRIMESTRE]:[CUARTO TRIMESTRE]])</f>
        <v>0</v>
      </c>
      <c r="I121" s="72">
        <v>397.45</v>
      </c>
      <c r="J121" s="17">
        <f>+Tabla132112419[[#This Row],[CANTIDAD TOTAL]]*Tabla132112419[[#This Row],[PRECIO UNITARIO ESTIMADO]]</f>
        <v>0</v>
      </c>
      <c r="K121" s="17"/>
      <c r="L121" s="16" t="s">
        <v>27</v>
      </c>
      <c r="M121" s="16" t="s">
        <v>22</v>
      </c>
      <c r="N121" s="39" t="s">
        <v>418</v>
      </c>
    </row>
    <row r="122" spans="1:14" s="26" customFormat="1" ht="18">
      <c r="A122" s="180" t="s">
        <v>62</v>
      </c>
      <c r="B122" s="75" t="s">
        <v>960</v>
      </c>
      <c r="C122" s="39" t="s">
        <v>17</v>
      </c>
      <c r="D122" s="236"/>
      <c r="E122" s="236"/>
      <c r="F122" s="236"/>
      <c r="G122" s="236"/>
      <c r="H122" s="40">
        <f>SUM(Tabla132112419[[#This Row],[PRIMER TRIMESTRE]:[CUARTO TRIMESTRE]])</f>
        <v>0</v>
      </c>
      <c r="I122" s="17">
        <v>400.75</v>
      </c>
      <c r="J122" s="17">
        <f>+H122*I122</f>
        <v>0</v>
      </c>
      <c r="K122" s="17"/>
      <c r="L122" s="16" t="s">
        <v>27</v>
      </c>
      <c r="M122" s="16" t="s">
        <v>22</v>
      </c>
      <c r="N122" s="39" t="s">
        <v>418</v>
      </c>
    </row>
    <row r="123" spans="1:14" s="12" customFormat="1" ht="18">
      <c r="A123" s="180" t="s">
        <v>62</v>
      </c>
      <c r="B123" s="75" t="s">
        <v>961</v>
      </c>
      <c r="C123" s="39" t="s">
        <v>17</v>
      </c>
      <c r="D123" s="236"/>
      <c r="E123" s="236"/>
      <c r="F123" s="236"/>
      <c r="G123" s="236"/>
      <c r="H123" s="40">
        <f>SUM(Tabla132112419[[#This Row],[PRIMER TRIMESTRE]:[CUARTO TRIMESTRE]])</f>
        <v>0</v>
      </c>
      <c r="I123" s="17">
        <v>216</v>
      </c>
      <c r="J123" s="17">
        <f>+H123*I123</f>
        <v>0</v>
      </c>
      <c r="K123" s="17"/>
      <c r="L123" s="16" t="s">
        <v>27</v>
      </c>
      <c r="M123" s="16" t="s">
        <v>22</v>
      </c>
      <c r="N123" s="39" t="s">
        <v>418</v>
      </c>
    </row>
    <row r="124" spans="1:14" s="12" customFormat="1" ht="18">
      <c r="A124" s="180" t="s">
        <v>62</v>
      </c>
      <c r="B124" s="75" t="s">
        <v>962</v>
      </c>
      <c r="C124" s="39" t="s">
        <v>17</v>
      </c>
      <c r="D124" s="236"/>
      <c r="E124" s="236"/>
      <c r="F124" s="236"/>
      <c r="G124" s="236"/>
      <c r="H124" s="40">
        <f>SUM(Tabla132112419[[#This Row],[PRIMER TRIMESTRE]:[CUARTO TRIMESTRE]])</f>
        <v>0</v>
      </c>
      <c r="I124" s="17">
        <v>249.67</v>
      </c>
      <c r="J124" s="17">
        <f>+H124*I124</f>
        <v>0</v>
      </c>
      <c r="K124" s="17"/>
      <c r="L124" s="16" t="s">
        <v>27</v>
      </c>
      <c r="M124" s="16" t="s">
        <v>22</v>
      </c>
      <c r="N124" s="39" t="s">
        <v>418</v>
      </c>
    </row>
    <row r="125" spans="1:14" s="12" customFormat="1" ht="18">
      <c r="A125" s="180" t="s">
        <v>62</v>
      </c>
      <c r="B125" s="77" t="s">
        <v>434</v>
      </c>
      <c r="C125" s="70" t="s">
        <v>17</v>
      </c>
      <c r="D125" s="210"/>
      <c r="E125" s="210"/>
      <c r="F125" s="210"/>
      <c r="G125" s="210"/>
      <c r="H125" s="406">
        <f>SUM(Tabla132112419[[#This Row],[PRIMER TRIMESTRE]:[CUARTO TRIMESTRE]])</f>
        <v>0</v>
      </c>
      <c r="I125" s="72">
        <v>1120.9100000000001</v>
      </c>
      <c r="J125" s="17">
        <f>+Tabla132112419[[#This Row],[CANTIDAD TOTAL]]*Tabla132112419[[#This Row],[PRECIO UNITARIO ESTIMADO]]</f>
        <v>0</v>
      </c>
      <c r="K125" s="17"/>
      <c r="L125" s="16" t="s">
        <v>27</v>
      </c>
      <c r="M125" s="16" t="s">
        <v>22</v>
      </c>
      <c r="N125" s="39" t="s">
        <v>418</v>
      </c>
    </row>
    <row r="126" spans="1:14" s="12" customFormat="1" ht="18">
      <c r="A126" s="180" t="s">
        <v>62</v>
      </c>
      <c r="B126" s="77" t="s">
        <v>76</v>
      </c>
      <c r="C126" s="70" t="s">
        <v>17</v>
      </c>
      <c r="D126" s="210"/>
      <c r="E126" s="210"/>
      <c r="F126" s="210"/>
      <c r="G126" s="210"/>
      <c r="H126" s="406">
        <f>SUM(Tabla132112419[[#This Row],[PRIMER TRIMESTRE]:[CUARTO TRIMESTRE]])</f>
        <v>0</v>
      </c>
      <c r="I126" s="17">
        <v>100.57</v>
      </c>
      <c r="J126" s="17">
        <f>+Tabla132112419[[#This Row],[CANTIDAD TOTAL]]*Tabla132112419[[#This Row],[PRECIO UNITARIO ESTIMADO]]</f>
        <v>0</v>
      </c>
      <c r="K126" s="17"/>
      <c r="L126" s="16" t="s">
        <v>27</v>
      </c>
      <c r="M126" s="16" t="s">
        <v>22</v>
      </c>
      <c r="N126" s="39" t="s">
        <v>418</v>
      </c>
    </row>
    <row r="127" spans="1:14" s="12" customFormat="1" ht="18">
      <c r="A127" s="180" t="s">
        <v>62</v>
      </c>
      <c r="B127" s="77" t="s">
        <v>433</v>
      </c>
      <c r="C127" s="70" t="s">
        <v>17</v>
      </c>
      <c r="D127" s="210"/>
      <c r="E127" s="210"/>
      <c r="F127" s="210"/>
      <c r="G127" s="210"/>
      <c r="H127" s="406">
        <f>SUM(Tabla132112419[[#This Row],[PRIMER TRIMESTRE]:[CUARTO TRIMESTRE]])</f>
        <v>0</v>
      </c>
      <c r="I127" s="17">
        <v>1144.23</v>
      </c>
      <c r="J127" s="17">
        <f>+Tabla132112419[[#This Row],[CANTIDAD TOTAL]]*Tabla132112419[[#This Row],[PRECIO UNITARIO ESTIMADO]]</f>
        <v>0</v>
      </c>
      <c r="K127" s="17"/>
      <c r="L127" s="16" t="s">
        <v>27</v>
      </c>
      <c r="M127" s="16" t="s">
        <v>22</v>
      </c>
      <c r="N127" s="39" t="s">
        <v>418</v>
      </c>
    </row>
    <row r="128" spans="1:14" s="12" customFormat="1" ht="18">
      <c r="A128" s="180" t="s">
        <v>62</v>
      </c>
      <c r="B128" s="77" t="s">
        <v>433</v>
      </c>
      <c r="C128" s="70" t="s">
        <v>17</v>
      </c>
      <c r="D128" s="210"/>
      <c r="E128" s="210"/>
      <c r="F128" s="210"/>
      <c r="G128" s="210"/>
      <c r="H128" s="210">
        <f>SUM(Tabla132112419[[#This Row],[PRIMER TRIMESTRE]:[CUARTO TRIMESTRE]])</f>
        <v>0</v>
      </c>
      <c r="I128" s="17">
        <v>280</v>
      </c>
      <c r="J128" s="17">
        <f>+H128*I128</f>
        <v>0</v>
      </c>
      <c r="K128" s="17"/>
      <c r="L128" s="16" t="s">
        <v>27</v>
      </c>
      <c r="M128" s="16" t="s">
        <v>22</v>
      </c>
      <c r="N128" s="39" t="s">
        <v>418</v>
      </c>
    </row>
    <row r="129" spans="1:14" s="12" customFormat="1" ht="18">
      <c r="A129" s="180" t="s">
        <v>62</v>
      </c>
      <c r="B129" s="77" t="s">
        <v>1159</v>
      </c>
      <c r="C129" s="70" t="s">
        <v>17</v>
      </c>
      <c r="D129" s="210"/>
      <c r="E129" s="210"/>
      <c r="F129" s="210"/>
      <c r="G129" s="210"/>
      <c r="H129" s="406">
        <f>SUM(Tabla132112419[[#This Row],[PRIMER TRIMESTRE]:[CUARTO TRIMESTRE]])</f>
        <v>0</v>
      </c>
      <c r="I129" s="17">
        <v>377</v>
      </c>
      <c r="J129" s="17">
        <f>+H129*I129</f>
        <v>0</v>
      </c>
      <c r="K129" s="17"/>
      <c r="L129" s="16" t="s">
        <v>27</v>
      </c>
      <c r="M129" s="16" t="s">
        <v>22</v>
      </c>
      <c r="N129" s="39" t="s">
        <v>418</v>
      </c>
    </row>
    <row r="130" spans="1:14" s="12" customFormat="1" ht="18">
      <c r="A130" s="180" t="s">
        <v>62</v>
      </c>
      <c r="B130" s="75" t="s">
        <v>78</v>
      </c>
      <c r="C130" s="39" t="s">
        <v>17</v>
      </c>
      <c r="D130" s="236"/>
      <c r="E130" s="236"/>
      <c r="F130" s="236"/>
      <c r="G130" s="236"/>
      <c r="H130" s="40">
        <f>SUM(Tabla132112419[[#This Row],[PRIMER TRIMESTRE]:[CUARTO TRIMESTRE]])</f>
        <v>0</v>
      </c>
      <c r="I130" s="17">
        <v>377</v>
      </c>
      <c r="J130" s="17">
        <f>+Tabla132112419[[#This Row],[CANTIDAD TOTAL]]*Tabla132112419[[#This Row],[PRECIO UNITARIO ESTIMADO]]</f>
        <v>0</v>
      </c>
      <c r="K130" s="17"/>
      <c r="L130" s="16" t="s">
        <v>27</v>
      </c>
      <c r="M130" s="16" t="s">
        <v>22</v>
      </c>
      <c r="N130" s="39" t="s">
        <v>418</v>
      </c>
    </row>
    <row r="131" spans="1:14" s="12" customFormat="1" ht="18">
      <c r="A131" s="180" t="s">
        <v>62</v>
      </c>
      <c r="B131" s="75" t="s">
        <v>1179</v>
      </c>
      <c r="C131" s="39" t="s">
        <v>17</v>
      </c>
      <c r="D131" s="236"/>
      <c r="E131" s="236"/>
      <c r="F131" s="236"/>
      <c r="G131" s="236"/>
      <c r="H131" s="40">
        <f>SUM(Tabla132112419[[#This Row],[PRIMER TRIMESTRE]:[CUARTO TRIMESTRE]])</f>
        <v>0</v>
      </c>
      <c r="I131" s="17">
        <v>350</v>
      </c>
      <c r="J131" s="17">
        <f t="shared" ref="J131:J138" si="2">+H131*I131</f>
        <v>0</v>
      </c>
      <c r="K131" s="17"/>
      <c r="L131" s="16" t="s">
        <v>27</v>
      </c>
      <c r="M131" s="16" t="s">
        <v>22</v>
      </c>
      <c r="N131" s="39" t="s">
        <v>418</v>
      </c>
    </row>
    <row r="132" spans="1:14" s="12" customFormat="1" ht="18">
      <c r="A132" s="180" t="s">
        <v>62</v>
      </c>
      <c r="B132" s="75" t="s">
        <v>1180</v>
      </c>
      <c r="C132" s="39" t="s">
        <v>17</v>
      </c>
      <c r="D132" s="236"/>
      <c r="E132" s="236"/>
      <c r="F132" s="236"/>
      <c r="G132" s="236"/>
      <c r="H132" s="40">
        <f>SUM(Tabla132112419[[#This Row],[PRIMER TRIMESTRE]:[CUARTO TRIMESTRE]])</f>
        <v>0</v>
      </c>
      <c r="I132" s="17">
        <v>350</v>
      </c>
      <c r="J132" s="17">
        <f t="shared" si="2"/>
        <v>0</v>
      </c>
      <c r="K132" s="17"/>
      <c r="L132" s="16" t="s">
        <v>27</v>
      </c>
      <c r="M132" s="16" t="s">
        <v>22</v>
      </c>
      <c r="N132" s="39" t="s">
        <v>418</v>
      </c>
    </row>
    <row r="133" spans="1:14" s="12" customFormat="1" ht="18">
      <c r="A133" s="180" t="s">
        <v>62</v>
      </c>
      <c r="B133" s="75" t="s">
        <v>1557</v>
      </c>
      <c r="C133" s="39" t="s">
        <v>17</v>
      </c>
      <c r="D133" s="236"/>
      <c r="E133" s="236"/>
      <c r="F133" s="236"/>
      <c r="G133" s="236"/>
      <c r="H133" s="40">
        <f>SUM(Tabla132112419[[#This Row],[PRIMER TRIMESTRE]:[CUARTO TRIMESTRE]])</f>
        <v>0</v>
      </c>
      <c r="I133" s="17">
        <v>220.66</v>
      </c>
      <c r="J133" s="17">
        <f t="shared" si="2"/>
        <v>0</v>
      </c>
      <c r="K133" s="17"/>
      <c r="L133" s="16" t="s">
        <v>27</v>
      </c>
      <c r="M133" s="16" t="s">
        <v>22</v>
      </c>
      <c r="N133" s="39" t="s">
        <v>418</v>
      </c>
    </row>
    <row r="134" spans="1:14" s="12" customFormat="1" ht="18">
      <c r="A134" s="180" t="s">
        <v>62</v>
      </c>
      <c r="B134" s="75" t="s">
        <v>1558</v>
      </c>
      <c r="C134" s="39" t="s">
        <v>17</v>
      </c>
      <c r="D134" s="236"/>
      <c r="E134" s="236"/>
      <c r="F134" s="236"/>
      <c r="G134" s="236"/>
      <c r="H134" s="40">
        <f>SUM(Tabla132112419[[#This Row],[PRIMER TRIMESTRE]:[CUARTO TRIMESTRE]])</f>
        <v>0</v>
      </c>
      <c r="I134" s="17">
        <v>353.52</v>
      </c>
      <c r="J134" s="17">
        <f t="shared" si="2"/>
        <v>0</v>
      </c>
      <c r="K134" s="17"/>
      <c r="L134" s="16" t="s">
        <v>27</v>
      </c>
      <c r="M134" s="16" t="s">
        <v>22</v>
      </c>
      <c r="N134" s="39" t="s">
        <v>418</v>
      </c>
    </row>
    <row r="135" spans="1:14" s="12" customFormat="1" ht="18">
      <c r="A135" s="180" t="s">
        <v>62</v>
      </c>
      <c r="B135" s="75" t="s">
        <v>1560</v>
      </c>
      <c r="C135" s="39" t="s">
        <v>17</v>
      </c>
      <c r="D135" s="236"/>
      <c r="E135" s="236"/>
      <c r="F135" s="236"/>
      <c r="G135" s="236"/>
      <c r="H135" s="40">
        <f>SUM(Tabla132112419[[#This Row],[PRIMER TRIMESTRE]:[CUARTO TRIMESTRE]])</f>
        <v>0</v>
      </c>
      <c r="I135" s="17">
        <v>147.30000000000001</v>
      </c>
      <c r="J135" s="17">
        <f t="shared" si="2"/>
        <v>0</v>
      </c>
      <c r="K135" s="17"/>
      <c r="L135" s="16" t="s">
        <v>27</v>
      </c>
      <c r="M135" s="16" t="s">
        <v>22</v>
      </c>
      <c r="N135" s="39" t="s">
        <v>418</v>
      </c>
    </row>
    <row r="136" spans="1:14" s="12" customFormat="1" ht="18">
      <c r="A136" s="180" t="s">
        <v>62</v>
      </c>
      <c r="B136" s="75" t="s">
        <v>1559</v>
      </c>
      <c r="C136" s="39" t="s">
        <v>17</v>
      </c>
      <c r="D136" s="236"/>
      <c r="E136" s="236"/>
      <c r="F136" s="236"/>
      <c r="G136" s="236"/>
      <c r="H136" s="40">
        <f>SUM(Tabla132112419[[#This Row],[PRIMER TRIMESTRE]:[CUARTO TRIMESTRE]])</f>
        <v>0</v>
      </c>
      <c r="I136" s="17">
        <v>6490.63</v>
      </c>
      <c r="J136" s="17">
        <f t="shared" si="2"/>
        <v>0</v>
      </c>
      <c r="K136" s="17"/>
      <c r="L136" s="16" t="s">
        <v>27</v>
      </c>
      <c r="M136" s="16" t="s">
        <v>22</v>
      </c>
      <c r="N136" s="39" t="s">
        <v>418</v>
      </c>
    </row>
    <row r="137" spans="1:14" s="12" customFormat="1" ht="18">
      <c r="A137" s="180" t="s">
        <v>62</v>
      </c>
      <c r="B137" s="75" t="s">
        <v>1554</v>
      </c>
      <c r="C137" s="39" t="s">
        <v>17</v>
      </c>
      <c r="D137" s="236"/>
      <c r="E137" s="236"/>
      <c r="F137" s="236"/>
      <c r="G137" s="236"/>
      <c r="H137" s="40">
        <f>SUM(Tabla132112419[[#This Row],[PRIMER TRIMESTRE]:[CUARTO TRIMESTRE]])</f>
        <v>0</v>
      </c>
      <c r="I137" s="17">
        <v>597.1</v>
      </c>
      <c r="J137" s="17">
        <f t="shared" si="2"/>
        <v>0</v>
      </c>
      <c r="K137" s="17"/>
      <c r="L137" s="16" t="s">
        <v>27</v>
      </c>
      <c r="M137" s="16" t="s">
        <v>22</v>
      </c>
      <c r="N137" s="39" t="s">
        <v>418</v>
      </c>
    </row>
    <row r="138" spans="1:14" s="12" customFormat="1" ht="18">
      <c r="A138" s="180" t="s">
        <v>62</v>
      </c>
      <c r="B138" s="75" t="s">
        <v>923</v>
      </c>
      <c r="C138" s="39" t="s">
        <v>17</v>
      </c>
      <c r="D138" s="236"/>
      <c r="E138" s="236"/>
      <c r="F138" s="236"/>
      <c r="G138" s="236"/>
      <c r="H138" s="40">
        <f>SUM(Tabla132112419[[#This Row],[PRIMER TRIMESTRE]:[CUARTO TRIMESTRE]])</f>
        <v>0</v>
      </c>
      <c r="I138" s="17">
        <v>5000</v>
      </c>
      <c r="J138" s="17">
        <f t="shared" si="2"/>
        <v>0</v>
      </c>
      <c r="K138" s="17"/>
      <c r="L138" s="16" t="s">
        <v>27</v>
      </c>
      <c r="M138" s="16" t="s">
        <v>22</v>
      </c>
      <c r="N138" s="39" t="s">
        <v>418</v>
      </c>
    </row>
    <row r="139" spans="1:14" s="12" customFormat="1" ht="18">
      <c r="A139" s="180" t="s">
        <v>62</v>
      </c>
      <c r="B139" s="77" t="s">
        <v>437</v>
      </c>
      <c r="C139" s="70" t="s">
        <v>17</v>
      </c>
      <c r="D139" s="210"/>
      <c r="E139" s="210"/>
      <c r="F139" s="210"/>
      <c r="G139" s="210"/>
      <c r="H139" s="406">
        <f>SUM(Tabla132112419[[#This Row],[PRIMER TRIMESTRE]:[CUARTO TRIMESTRE]])</f>
        <v>0</v>
      </c>
      <c r="I139" s="17">
        <v>125</v>
      </c>
      <c r="J139" s="17">
        <f>+Tabla132112419[[#This Row],[CANTIDAD TOTAL]]*Tabla132112419[[#This Row],[PRECIO UNITARIO ESTIMADO]]</f>
        <v>0</v>
      </c>
      <c r="K139" s="17"/>
      <c r="L139" s="16" t="s">
        <v>27</v>
      </c>
      <c r="M139" s="16" t="s">
        <v>22</v>
      </c>
      <c r="N139" s="39" t="s">
        <v>418</v>
      </c>
    </row>
    <row r="140" spans="1:14" s="12" customFormat="1" ht="18">
      <c r="A140" s="180" t="s">
        <v>62</v>
      </c>
      <c r="B140" s="77" t="s">
        <v>438</v>
      </c>
      <c r="C140" s="70" t="s">
        <v>17</v>
      </c>
      <c r="D140" s="210"/>
      <c r="E140" s="210"/>
      <c r="F140" s="210"/>
      <c r="G140" s="210"/>
      <c r="H140" s="406">
        <f>SUM(Tabla132112419[[#This Row],[PRIMER TRIMESTRE]:[CUARTO TRIMESTRE]])</f>
        <v>0</v>
      </c>
      <c r="I140" s="17">
        <v>80</v>
      </c>
      <c r="J140" s="17">
        <f>+Tabla132112419[[#This Row],[CANTIDAD TOTAL]]*Tabla132112419[[#This Row],[PRECIO UNITARIO ESTIMADO]]</f>
        <v>0</v>
      </c>
      <c r="K140" s="17"/>
      <c r="L140" s="16" t="s">
        <v>27</v>
      </c>
      <c r="M140" s="16" t="s">
        <v>22</v>
      </c>
      <c r="N140" s="39" t="s">
        <v>418</v>
      </c>
    </row>
    <row r="141" spans="1:14" s="12" customFormat="1" ht="18">
      <c r="A141" s="180" t="s">
        <v>62</v>
      </c>
      <c r="B141" s="77" t="s">
        <v>430</v>
      </c>
      <c r="C141" s="70" t="s">
        <v>17</v>
      </c>
      <c r="D141" s="210"/>
      <c r="E141" s="210"/>
      <c r="F141" s="210"/>
      <c r="G141" s="210"/>
      <c r="H141" s="406">
        <f>SUM(Tabla132112419[[#This Row],[PRIMER TRIMESTRE]:[CUARTO TRIMESTRE]])</f>
        <v>0</v>
      </c>
      <c r="I141" s="17">
        <v>46.8</v>
      </c>
      <c r="J141" s="17">
        <f>+Tabla132112419[[#This Row],[CANTIDAD TOTAL]]*Tabla132112419[[#This Row],[PRECIO UNITARIO ESTIMADO]]</f>
        <v>0</v>
      </c>
      <c r="K141" s="17"/>
      <c r="L141" s="16" t="s">
        <v>27</v>
      </c>
      <c r="M141" s="16" t="s">
        <v>22</v>
      </c>
      <c r="N141" s="39" t="s">
        <v>418</v>
      </c>
    </row>
    <row r="142" spans="1:14" s="12" customFormat="1" ht="18">
      <c r="A142" s="180" t="s">
        <v>62</v>
      </c>
      <c r="B142" s="77" t="s">
        <v>139</v>
      </c>
      <c r="C142" s="70" t="s">
        <v>17</v>
      </c>
      <c r="D142" s="210"/>
      <c r="E142" s="210"/>
      <c r="F142" s="210"/>
      <c r="G142" s="210"/>
      <c r="H142" s="406">
        <f>SUM(Tabla132112419[[#This Row],[PRIMER TRIMESTRE]:[CUARTO TRIMESTRE]])</f>
        <v>0</v>
      </c>
      <c r="I142" s="17">
        <v>180</v>
      </c>
      <c r="J142" s="17">
        <f>+Tabla132112419[[#This Row],[CANTIDAD TOTAL]]*Tabla132112419[[#This Row],[PRECIO UNITARIO ESTIMADO]]</f>
        <v>0</v>
      </c>
      <c r="K142" s="17"/>
      <c r="L142" s="16" t="s">
        <v>27</v>
      </c>
      <c r="M142" s="16" t="s">
        <v>22</v>
      </c>
      <c r="N142" s="39" t="s">
        <v>418</v>
      </c>
    </row>
    <row r="143" spans="1:14" s="12" customFormat="1" ht="18">
      <c r="A143" s="180" t="s">
        <v>62</v>
      </c>
      <c r="B143" s="75" t="s">
        <v>1170</v>
      </c>
      <c r="C143" s="39" t="s">
        <v>1162</v>
      </c>
      <c r="D143" s="236"/>
      <c r="E143" s="236"/>
      <c r="F143" s="236"/>
      <c r="G143" s="236"/>
      <c r="H143" s="40">
        <f>SUM(Tabla132112419[[#This Row],[PRIMER TRIMESTRE]:[CUARTO TRIMESTRE]])</f>
        <v>0</v>
      </c>
      <c r="I143" s="17">
        <v>11000</v>
      </c>
      <c r="J143" s="17">
        <f>+H143*I143</f>
        <v>0</v>
      </c>
      <c r="K143" s="17"/>
      <c r="L143" s="16" t="s">
        <v>27</v>
      </c>
      <c r="M143" s="16" t="s">
        <v>22</v>
      </c>
      <c r="N143" s="39" t="s">
        <v>418</v>
      </c>
    </row>
    <row r="144" spans="1:14" s="169" customFormat="1" ht="18">
      <c r="A144" s="180" t="s">
        <v>62</v>
      </c>
      <c r="B144" s="75" t="s">
        <v>1171</v>
      </c>
      <c r="C144" s="39" t="s">
        <v>1162</v>
      </c>
      <c r="D144" s="236"/>
      <c r="E144" s="236"/>
      <c r="F144" s="236"/>
      <c r="G144" s="236"/>
      <c r="H144" s="40">
        <f>SUM(Tabla132112419[[#This Row],[PRIMER TRIMESTRE]:[CUARTO TRIMESTRE]])</f>
        <v>0</v>
      </c>
      <c r="I144" s="17">
        <v>11000</v>
      </c>
      <c r="J144" s="17">
        <f>+H144*I144</f>
        <v>0</v>
      </c>
      <c r="K144" s="17"/>
      <c r="L144" s="16" t="s">
        <v>27</v>
      </c>
      <c r="M144" s="16" t="s">
        <v>22</v>
      </c>
      <c r="N144" s="39" t="s">
        <v>418</v>
      </c>
    </row>
    <row r="145" spans="1:14" s="169" customFormat="1" ht="18">
      <c r="A145" s="180" t="s">
        <v>62</v>
      </c>
      <c r="B145" s="75" t="s">
        <v>1344</v>
      </c>
      <c r="C145" s="70" t="s">
        <v>17</v>
      </c>
      <c r="D145" s="236"/>
      <c r="E145" s="236"/>
      <c r="F145" s="236"/>
      <c r="G145" s="236"/>
      <c r="H145" s="40">
        <f>SUM(Tabla132112419[[#This Row],[PRIMER TRIMESTRE]:[CUARTO TRIMESTRE]])</f>
        <v>0</v>
      </c>
      <c r="I145" s="17">
        <v>29.5</v>
      </c>
      <c r="J145" s="17">
        <f>+H145*I145</f>
        <v>0</v>
      </c>
      <c r="K145" s="17"/>
      <c r="L145" s="16" t="s">
        <v>27</v>
      </c>
      <c r="M145" s="16" t="s">
        <v>22</v>
      </c>
      <c r="N145" s="39" t="s">
        <v>418</v>
      </c>
    </row>
    <row r="146" spans="1:14" s="12" customFormat="1" ht="18">
      <c r="A146" s="180" t="s">
        <v>62</v>
      </c>
      <c r="B146" s="75" t="s">
        <v>1710</v>
      </c>
      <c r="C146" s="70" t="s">
        <v>17</v>
      </c>
      <c r="D146" s="236"/>
      <c r="E146" s="236"/>
      <c r="F146" s="236"/>
      <c r="G146" s="236"/>
      <c r="H146" s="40">
        <v>0</v>
      </c>
      <c r="I146" s="17">
        <v>0</v>
      </c>
      <c r="J146" s="17">
        <v>0</v>
      </c>
      <c r="K146" s="17"/>
      <c r="L146" s="16" t="s">
        <v>27</v>
      </c>
      <c r="M146" s="16" t="s">
        <v>22</v>
      </c>
      <c r="N146" s="70" t="s">
        <v>418</v>
      </c>
    </row>
    <row r="147" spans="1:14" s="12" customFormat="1" ht="18">
      <c r="A147" s="180" t="s">
        <v>62</v>
      </c>
      <c r="B147" s="77" t="s">
        <v>107</v>
      </c>
      <c r="C147" s="70" t="s">
        <v>17</v>
      </c>
      <c r="D147" s="210"/>
      <c r="E147" s="210"/>
      <c r="F147" s="210"/>
      <c r="G147" s="210"/>
      <c r="H147" s="406">
        <f>SUM(Tabla132112419[[#This Row],[PRIMER TRIMESTRE]:[CUARTO TRIMESTRE]])</f>
        <v>0</v>
      </c>
      <c r="I147" s="72">
        <v>86.24</v>
      </c>
      <c r="J147" s="72">
        <f>+Tabla132112419[[#This Row],[CANTIDAD TOTAL]]*Tabla132112419[[#This Row],[PRECIO UNITARIO ESTIMADO]]</f>
        <v>0</v>
      </c>
      <c r="K147" s="72"/>
      <c r="L147" s="16" t="s">
        <v>27</v>
      </c>
      <c r="M147" s="16" t="s">
        <v>22</v>
      </c>
      <c r="N147" s="70" t="s">
        <v>418</v>
      </c>
    </row>
    <row r="148" spans="1:14" s="12" customFormat="1" ht="18">
      <c r="A148" s="180" t="s">
        <v>62</v>
      </c>
      <c r="B148" s="77" t="s">
        <v>598</v>
      </c>
      <c r="C148" s="70" t="s">
        <v>17</v>
      </c>
      <c r="D148" s="210"/>
      <c r="E148" s="210"/>
      <c r="F148" s="210"/>
      <c r="G148" s="210"/>
      <c r="H148" s="406">
        <f>SUM(Tabla132112419[[#This Row],[PRIMER TRIMESTRE]:[CUARTO TRIMESTRE]])</f>
        <v>0</v>
      </c>
      <c r="I148" s="17">
        <v>153.05000000000001</v>
      </c>
      <c r="J148" s="17">
        <f>+Tabla132112419[[#This Row],[CANTIDAD TOTAL]]*Tabla132112419[[#This Row],[PRECIO UNITARIO ESTIMADO]]</f>
        <v>0</v>
      </c>
      <c r="K148" s="17"/>
      <c r="L148" s="16" t="s">
        <v>27</v>
      </c>
      <c r="M148" s="16" t="s">
        <v>22</v>
      </c>
      <c r="N148" s="39" t="s">
        <v>418</v>
      </c>
    </row>
    <row r="149" spans="1:14" s="12" customFormat="1" ht="18">
      <c r="A149" s="180" t="s">
        <v>62</v>
      </c>
      <c r="B149" s="77" t="s">
        <v>599</v>
      </c>
      <c r="C149" s="70" t="s">
        <v>17</v>
      </c>
      <c r="D149" s="210"/>
      <c r="E149" s="210"/>
      <c r="F149" s="210"/>
      <c r="G149" s="210"/>
      <c r="H149" s="406">
        <f>SUM(Tabla132112419[[#This Row],[PRIMER TRIMESTRE]:[CUARTO TRIMESTRE]])</f>
        <v>0</v>
      </c>
      <c r="I149" s="17">
        <v>72.88</v>
      </c>
      <c r="J149" s="17">
        <f>+H149*I149</f>
        <v>0</v>
      </c>
      <c r="K149" s="17"/>
      <c r="L149" s="16" t="s">
        <v>27</v>
      </c>
      <c r="M149" s="16" t="s">
        <v>22</v>
      </c>
      <c r="N149" s="39" t="s">
        <v>418</v>
      </c>
    </row>
    <row r="150" spans="1:14" s="12" customFormat="1" ht="18">
      <c r="A150" s="180" t="s">
        <v>62</v>
      </c>
      <c r="B150" s="77" t="s">
        <v>600</v>
      </c>
      <c r="C150" s="70" t="s">
        <v>17</v>
      </c>
      <c r="D150" s="210"/>
      <c r="E150" s="210"/>
      <c r="F150" s="210"/>
      <c r="G150" s="210"/>
      <c r="H150" s="406">
        <f>SUM(Tabla132112419[[#This Row],[PRIMER TRIMESTRE]:[CUARTO TRIMESTRE]])</f>
        <v>0</v>
      </c>
      <c r="I150" s="17">
        <v>86</v>
      </c>
      <c r="J150" s="17">
        <f>+Tabla132112419[[#This Row],[CANTIDAD TOTAL]]*Tabla132112419[[#This Row],[PRECIO UNITARIO ESTIMADO]]</f>
        <v>0</v>
      </c>
      <c r="K150" s="17"/>
      <c r="L150" s="16" t="s">
        <v>27</v>
      </c>
      <c r="M150" s="16" t="s">
        <v>22</v>
      </c>
      <c r="N150" s="39" t="s">
        <v>418</v>
      </c>
    </row>
    <row r="151" spans="1:14" s="12" customFormat="1" ht="18">
      <c r="A151" s="180" t="s">
        <v>62</v>
      </c>
      <c r="B151" s="77" t="s">
        <v>601</v>
      </c>
      <c r="C151" s="70" t="s">
        <v>17</v>
      </c>
      <c r="D151" s="210"/>
      <c r="E151" s="210"/>
      <c r="F151" s="210"/>
      <c r="G151" s="210"/>
      <c r="H151" s="406">
        <f>SUM(Tabla132112419[[#This Row],[PRIMER TRIMESTRE]:[CUARTO TRIMESTRE]])</f>
        <v>0</v>
      </c>
      <c r="I151" s="17">
        <v>158.88</v>
      </c>
      <c r="J151" s="17">
        <f>+H151*I151</f>
        <v>0</v>
      </c>
      <c r="K151" s="17"/>
      <c r="L151" s="16" t="s">
        <v>27</v>
      </c>
      <c r="M151" s="16" t="s">
        <v>22</v>
      </c>
      <c r="N151" s="39" t="s">
        <v>418</v>
      </c>
    </row>
    <row r="152" spans="1:14" s="12" customFormat="1" ht="18">
      <c r="A152" s="180" t="s">
        <v>62</v>
      </c>
      <c r="B152" s="75" t="s">
        <v>1160</v>
      </c>
      <c r="C152" s="39" t="s">
        <v>1162</v>
      </c>
      <c r="D152" s="236"/>
      <c r="E152" s="236"/>
      <c r="F152" s="236"/>
      <c r="G152" s="236"/>
      <c r="H152" s="40">
        <f>SUM(Tabla132112419[[#This Row],[PRIMER TRIMESTRE]:[CUARTO TRIMESTRE]])</f>
        <v>0</v>
      </c>
      <c r="I152" s="17">
        <v>2000</v>
      </c>
      <c r="J152" s="17">
        <f>+H152*I152</f>
        <v>0</v>
      </c>
      <c r="K152" s="17"/>
      <c r="L152" s="16" t="s">
        <v>27</v>
      </c>
      <c r="M152" s="16" t="s">
        <v>22</v>
      </c>
      <c r="N152" s="39" t="s">
        <v>418</v>
      </c>
    </row>
    <row r="153" spans="1:14" s="12" customFormat="1" ht="18">
      <c r="A153" s="180" t="s">
        <v>62</v>
      </c>
      <c r="B153" s="75" t="s">
        <v>1161</v>
      </c>
      <c r="C153" s="39" t="s">
        <v>1162</v>
      </c>
      <c r="D153" s="236"/>
      <c r="E153" s="236"/>
      <c r="F153" s="236"/>
      <c r="G153" s="236"/>
      <c r="H153" s="40">
        <f>SUM(Tabla132112419[[#This Row],[PRIMER TRIMESTRE]:[CUARTO TRIMESTRE]])</f>
        <v>0</v>
      </c>
      <c r="I153" s="17">
        <v>2000</v>
      </c>
      <c r="J153" s="17">
        <f>+H153*I153</f>
        <v>0</v>
      </c>
      <c r="K153" s="17"/>
      <c r="L153" s="16" t="s">
        <v>27</v>
      </c>
      <c r="M153" s="16" t="s">
        <v>22</v>
      </c>
      <c r="N153" s="39" t="s">
        <v>418</v>
      </c>
    </row>
    <row r="154" spans="1:14" s="12" customFormat="1" ht="18">
      <c r="A154" s="180" t="s">
        <v>62</v>
      </c>
      <c r="B154" s="75" t="s">
        <v>1849</v>
      </c>
      <c r="C154" s="39" t="s">
        <v>17</v>
      </c>
      <c r="D154" s="236"/>
      <c r="E154" s="236"/>
      <c r="F154" s="236"/>
      <c r="G154" s="236"/>
      <c r="H154" s="40">
        <v>0</v>
      </c>
      <c r="I154" s="17">
        <v>0</v>
      </c>
      <c r="J154" s="17">
        <v>0</v>
      </c>
      <c r="K154" s="17"/>
      <c r="L154" s="16" t="s">
        <v>27</v>
      </c>
      <c r="M154" s="16" t="s">
        <v>22</v>
      </c>
      <c r="N154" s="39" t="s">
        <v>418</v>
      </c>
    </row>
    <row r="155" spans="1:14" s="12" customFormat="1" ht="18">
      <c r="A155" s="180" t="s">
        <v>62</v>
      </c>
      <c r="B155" s="77" t="s">
        <v>1705</v>
      </c>
      <c r="C155" s="70" t="s">
        <v>17</v>
      </c>
      <c r="D155" s="236"/>
      <c r="E155" s="236"/>
      <c r="F155" s="236"/>
      <c r="G155" s="236"/>
      <c r="H155" s="40">
        <v>0</v>
      </c>
      <c r="I155" s="17">
        <v>0</v>
      </c>
      <c r="J155" s="17">
        <v>0</v>
      </c>
      <c r="K155" s="17"/>
      <c r="L155" s="16" t="s">
        <v>27</v>
      </c>
      <c r="M155" s="16" t="s">
        <v>22</v>
      </c>
      <c r="N155" s="39" t="s">
        <v>418</v>
      </c>
    </row>
    <row r="156" spans="1:14" s="12" customFormat="1" ht="18">
      <c r="A156" s="180" t="s">
        <v>62</v>
      </c>
      <c r="B156" s="77" t="s">
        <v>144</v>
      </c>
      <c r="C156" s="70" t="s">
        <v>17</v>
      </c>
      <c r="D156" s="210"/>
      <c r="E156" s="210"/>
      <c r="F156" s="210"/>
      <c r="G156" s="210"/>
      <c r="H156" s="406">
        <f>SUM(Tabla132112419[[#This Row],[PRIMER TRIMESTRE]:[CUARTO TRIMESTRE]])</f>
        <v>0</v>
      </c>
      <c r="I156" s="17">
        <v>62.87</v>
      </c>
      <c r="J156" s="17">
        <f>+Tabla132112419[[#This Row],[CANTIDAD TOTAL]]*Tabla132112419[[#This Row],[PRECIO UNITARIO ESTIMADO]]</f>
        <v>0</v>
      </c>
      <c r="K156" s="17"/>
      <c r="L156" s="16" t="s">
        <v>27</v>
      </c>
      <c r="M156" s="16" t="s">
        <v>22</v>
      </c>
      <c r="N156" s="39" t="s">
        <v>418</v>
      </c>
    </row>
    <row r="157" spans="1:14" s="12" customFormat="1" ht="18">
      <c r="A157" s="180" t="s">
        <v>62</v>
      </c>
      <c r="B157" s="77" t="s">
        <v>1707</v>
      </c>
      <c r="C157" s="70" t="s">
        <v>17</v>
      </c>
      <c r="D157" s="210"/>
      <c r="E157" s="210"/>
      <c r="F157" s="210"/>
      <c r="G157" s="210"/>
      <c r="H157" s="406">
        <v>0</v>
      </c>
      <c r="I157" s="17">
        <v>0</v>
      </c>
      <c r="J157" s="17">
        <v>0</v>
      </c>
      <c r="K157" s="17"/>
      <c r="L157" s="16" t="s">
        <v>27</v>
      </c>
      <c r="M157" s="16" t="s">
        <v>22</v>
      </c>
      <c r="N157" s="39" t="s">
        <v>418</v>
      </c>
    </row>
    <row r="158" spans="1:14" s="12" customFormat="1" ht="18">
      <c r="A158" s="180" t="s">
        <v>62</v>
      </c>
      <c r="B158" s="77" t="s">
        <v>1708</v>
      </c>
      <c r="C158" s="70" t="s">
        <v>17</v>
      </c>
      <c r="D158" s="210"/>
      <c r="E158" s="210"/>
      <c r="F158" s="210"/>
      <c r="G158" s="210"/>
      <c r="H158" s="406">
        <v>0</v>
      </c>
      <c r="I158" s="17">
        <v>0</v>
      </c>
      <c r="J158" s="17">
        <v>0</v>
      </c>
      <c r="K158" s="17"/>
      <c r="L158" s="16" t="s">
        <v>27</v>
      </c>
      <c r="M158" s="16" t="s">
        <v>22</v>
      </c>
      <c r="N158" s="39" t="s">
        <v>418</v>
      </c>
    </row>
    <row r="159" spans="1:14" s="12" customFormat="1" ht="18">
      <c r="A159" s="180" t="s">
        <v>62</v>
      </c>
      <c r="B159" s="75" t="s">
        <v>1172</v>
      </c>
      <c r="C159" s="39" t="s">
        <v>1162</v>
      </c>
      <c r="D159" s="236"/>
      <c r="E159" s="236"/>
      <c r="F159" s="236"/>
      <c r="G159" s="236"/>
      <c r="H159" s="40">
        <f>SUM(Tabla132112419[[#This Row],[PRIMER TRIMESTRE]:[CUARTO TRIMESTRE]])</f>
        <v>0</v>
      </c>
      <c r="I159" s="17">
        <v>7800</v>
      </c>
      <c r="J159" s="17">
        <f t="shared" ref="J159:J168" si="3">+H159*I159</f>
        <v>0</v>
      </c>
      <c r="K159" s="17"/>
      <c r="L159" s="16" t="s">
        <v>27</v>
      </c>
      <c r="M159" s="16" t="s">
        <v>22</v>
      </c>
      <c r="N159" s="39" t="s">
        <v>418</v>
      </c>
    </row>
    <row r="160" spans="1:14" s="12" customFormat="1" ht="18">
      <c r="A160" s="180" t="s">
        <v>62</v>
      </c>
      <c r="B160" s="75" t="s">
        <v>1173</v>
      </c>
      <c r="C160" s="39" t="s">
        <v>1162</v>
      </c>
      <c r="D160" s="236"/>
      <c r="E160" s="236"/>
      <c r="F160" s="236"/>
      <c r="G160" s="236"/>
      <c r="H160" s="40">
        <f>SUM(Tabla132112419[[#This Row],[PRIMER TRIMESTRE]:[CUARTO TRIMESTRE]])</f>
        <v>0</v>
      </c>
      <c r="I160" s="17">
        <v>7800</v>
      </c>
      <c r="J160" s="17">
        <f t="shared" si="3"/>
        <v>0</v>
      </c>
      <c r="K160" s="17"/>
      <c r="L160" s="16" t="s">
        <v>27</v>
      </c>
      <c r="M160" s="16" t="s">
        <v>22</v>
      </c>
      <c r="N160" s="39" t="s">
        <v>418</v>
      </c>
    </row>
    <row r="161" spans="1:14" s="12" customFormat="1" ht="18">
      <c r="A161" s="180" t="s">
        <v>62</v>
      </c>
      <c r="B161" s="75" t="s">
        <v>1174</v>
      </c>
      <c r="C161" s="39" t="s">
        <v>17</v>
      </c>
      <c r="D161" s="236"/>
      <c r="E161" s="236"/>
      <c r="F161" s="236"/>
      <c r="G161" s="236"/>
      <c r="H161" s="40">
        <f>SUM(Tabla132112419[[#This Row],[PRIMER TRIMESTRE]:[CUARTO TRIMESTRE]])</f>
        <v>0</v>
      </c>
      <c r="I161" s="17">
        <v>5500</v>
      </c>
      <c r="J161" s="17">
        <f t="shared" si="3"/>
        <v>0</v>
      </c>
      <c r="K161" s="17"/>
      <c r="L161" s="16" t="s">
        <v>27</v>
      </c>
      <c r="M161" s="16" t="s">
        <v>22</v>
      </c>
      <c r="N161" s="39" t="s">
        <v>418</v>
      </c>
    </row>
    <row r="162" spans="1:14" s="12" customFormat="1" ht="18">
      <c r="A162" s="180" t="s">
        <v>62</v>
      </c>
      <c r="B162" s="75" t="s">
        <v>1175</v>
      </c>
      <c r="C162" s="39" t="s">
        <v>17</v>
      </c>
      <c r="D162" s="236"/>
      <c r="E162" s="236"/>
      <c r="F162" s="236"/>
      <c r="G162" s="236"/>
      <c r="H162" s="40">
        <f>SUM(Tabla132112419[[#This Row],[PRIMER TRIMESTRE]:[CUARTO TRIMESTRE]])</f>
        <v>0</v>
      </c>
      <c r="I162" s="17">
        <v>7000</v>
      </c>
      <c r="J162" s="17">
        <f t="shared" si="3"/>
        <v>0</v>
      </c>
      <c r="K162" s="17"/>
      <c r="L162" s="16" t="s">
        <v>27</v>
      </c>
      <c r="M162" s="16" t="s">
        <v>22</v>
      </c>
      <c r="N162" s="39" t="s">
        <v>418</v>
      </c>
    </row>
    <row r="163" spans="1:14" s="12" customFormat="1" ht="18">
      <c r="A163" s="180" t="s">
        <v>62</v>
      </c>
      <c r="B163" s="75" t="s">
        <v>1176</v>
      </c>
      <c r="C163" s="39" t="s">
        <v>17</v>
      </c>
      <c r="D163" s="236"/>
      <c r="E163" s="236"/>
      <c r="F163" s="236"/>
      <c r="G163" s="236"/>
      <c r="H163" s="40">
        <f>SUM(Tabla132112419[[#This Row],[PRIMER TRIMESTRE]:[CUARTO TRIMESTRE]])</f>
        <v>0</v>
      </c>
      <c r="I163" s="17">
        <v>9000</v>
      </c>
      <c r="J163" s="17">
        <f t="shared" si="3"/>
        <v>0</v>
      </c>
      <c r="K163" s="17"/>
      <c r="L163" s="16" t="s">
        <v>27</v>
      </c>
      <c r="M163" s="16" t="s">
        <v>22</v>
      </c>
      <c r="N163" s="39" t="s">
        <v>418</v>
      </c>
    </row>
    <row r="164" spans="1:14" s="12" customFormat="1" ht="18">
      <c r="A164" s="180" t="s">
        <v>62</v>
      </c>
      <c r="B164" s="75" t="s">
        <v>1177</v>
      </c>
      <c r="C164" s="39" t="s">
        <v>17</v>
      </c>
      <c r="D164" s="236"/>
      <c r="E164" s="236"/>
      <c r="F164" s="236"/>
      <c r="G164" s="236"/>
      <c r="H164" s="40">
        <f>SUM(Tabla132112419[[#This Row],[PRIMER TRIMESTRE]:[CUARTO TRIMESTRE]])</f>
        <v>0</v>
      </c>
      <c r="I164" s="17">
        <v>11600</v>
      </c>
      <c r="J164" s="17">
        <f t="shared" si="3"/>
        <v>0</v>
      </c>
      <c r="K164" s="17"/>
      <c r="L164" s="16" t="s">
        <v>27</v>
      </c>
      <c r="M164" s="16" t="s">
        <v>22</v>
      </c>
      <c r="N164" s="39" t="s">
        <v>418</v>
      </c>
    </row>
    <row r="165" spans="1:14" s="12" customFormat="1" ht="18">
      <c r="A165" s="180" t="s">
        <v>62</v>
      </c>
      <c r="B165" s="75" t="s">
        <v>1178</v>
      </c>
      <c r="C165" s="39" t="s">
        <v>17</v>
      </c>
      <c r="D165" s="236"/>
      <c r="E165" s="236"/>
      <c r="F165" s="236"/>
      <c r="G165" s="236"/>
      <c r="H165" s="40">
        <f>SUM(Tabla132112419[[#This Row],[PRIMER TRIMESTRE]:[CUARTO TRIMESTRE]])</f>
        <v>0</v>
      </c>
      <c r="I165" s="17">
        <v>11600</v>
      </c>
      <c r="J165" s="17">
        <f t="shared" si="3"/>
        <v>0</v>
      </c>
      <c r="K165" s="17"/>
      <c r="L165" s="16" t="s">
        <v>27</v>
      </c>
      <c r="M165" s="16" t="s">
        <v>22</v>
      </c>
      <c r="N165" s="39" t="s">
        <v>418</v>
      </c>
    </row>
    <row r="166" spans="1:14" s="12" customFormat="1" ht="18">
      <c r="A166" s="180" t="s">
        <v>62</v>
      </c>
      <c r="B166" s="75" t="s">
        <v>1163</v>
      </c>
      <c r="C166" s="39" t="s">
        <v>17</v>
      </c>
      <c r="D166" s="236"/>
      <c r="E166" s="236"/>
      <c r="F166" s="236"/>
      <c r="G166" s="236"/>
      <c r="H166" s="40">
        <f>SUM(Tabla132112419[[#This Row],[PRIMER TRIMESTRE]:[CUARTO TRIMESTRE]])</f>
        <v>0</v>
      </c>
      <c r="I166" s="17">
        <v>400</v>
      </c>
      <c r="J166" s="17">
        <f t="shared" si="3"/>
        <v>0</v>
      </c>
      <c r="K166" s="17"/>
      <c r="L166" s="16" t="s">
        <v>27</v>
      </c>
      <c r="M166" s="16" t="s">
        <v>22</v>
      </c>
      <c r="N166" s="39" t="s">
        <v>418</v>
      </c>
    </row>
    <row r="167" spans="1:14" s="12" customFormat="1" ht="18">
      <c r="A167" s="180" t="s">
        <v>62</v>
      </c>
      <c r="B167" s="75" t="s">
        <v>1164</v>
      </c>
      <c r="C167" s="39" t="s">
        <v>17</v>
      </c>
      <c r="D167" s="236"/>
      <c r="E167" s="236"/>
      <c r="F167" s="236"/>
      <c r="G167" s="236"/>
      <c r="H167" s="40">
        <f>SUM(Tabla132112419[[#This Row],[PRIMER TRIMESTRE]:[CUARTO TRIMESTRE]])</f>
        <v>0</v>
      </c>
      <c r="I167" s="17">
        <v>650</v>
      </c>
      <c r="J167" s="17">
        <f t="shared" si="3"/>
        <v>0</v>
      </c>
      <c r="K167" s="17"/>
      <c r="L167" s="16" t="s">
        <v>27</v>
      </c>
      <c r="M167" s="16" t="s">
        <v>22</v>
      </c>
      <c r="N167" s="39" t="s">
        <v>418</v>
      </c>
    </row>
    <row r="168" spans="1:14" s="12" customFormat="1" ht="18">
      <c r="A168" s="180" t="s">
        <v>62</v>
      </c>
      <c r="B168" s="75" t="s">
        <v>1165</v>
      </c>
      <c r="C168" s="39" t="s">
        <v>17</v>
      </c>
      <c r="D168" s="236"/>
      <c r="E168" s="236"/>
      <c r="F168" s="236"/>
      <c r="G168" s="236"/>
      <c r="H168" s="40">
        <f>SUM(Tabla132112419[[#This Row],[PRIMER TRIMESTRE]:[CUARTO TRIMESTRE]])</f>
        <v>0</v>
      </c>
      <c r="I168" s="17">
        <v>1300</v>
      </c>
      <c r="J168" s="17">
        <f t="shared" si="3"/>
        <v>0</v>
      </c>
      <c r="K168" s="17"/>
      <c r="L168" s="16" t="s">
        <v>27</v>
      </c>
      <c r="M168" s="16" t="s">
        <v>22</v>
      </c>
      <c r="N168" s="39" t="s">
        <v>418</v>
      </c>
    </row>
    <row r="169" spans="1:14" s="12" customFormat="1" ht="18">
      <c r="A169" s="180" t="s">
        <v>62</v>
      </c>
      <c r="B169" s="77" t="s">
        <v>158</v>
      </c>
      <c r="C169" s="70" t="s">
        <v>17</v>
      </c>
      <c r="D169" s="210"/>
      <c r="E169" s="210"/>
      <c r="F169" s="210"/>
      <c r="G169" s="210"/>
      <c r="H169" s="406">
        <f>SUM(Tabla132112419[[#This Row],[PRIMER TRIMESTRE]:[CUARTO TRIMESTRE]])</f>
        <v>0</v>
      </c>
      <c r="I169" s="17">
        <v>1120</v>
      </c>
      <c r="J169" s="17">
        <f>+Tabla132112419[[#This Row],[CANTIDAD TOTAL]]*Tabla132112419[[#This Row],[PRECIO UNITARIO ESTIMADO]]</f>
        <v>0</v>
      </c>
      <c r="K169" s="17"/>
      <c r="L169" s="16" t="s">
        <v>27</v>
      </c>
      <c r="M169" s="16" t="s">
        <v>22</v>
      </c>
      <c r="N169" s="39" t="s">
        <v>418</v>
      </c>
    </row>
    <row r="170" spans="1:14" s="12" customFormat="1" ht="18">
      <c r="A170" s="180" t="s">
        <v>62</v>
      </c>
      <c r="B170" s="77" t="s">
        <v>1287</v>
      </c>
      <c r="C170" s="70" t="s">
        <v>17</v>
      </c>
      <c r="D170" s="210"/>
      <c r="E170" s="210"/>
      <c r="F170" s="210"/>
      <c r="G170" s="210"/>
      <c r="H170" s="406">
        <f>SUM(Tabla132112419[[#This Row],[PRIMER TRIMESTRE]:[CUARTO TRIMESTRE]])</f>
        <v>0</v>
      </c>
      <c r="I170" s="17">
        <v>2700</v>
      </c>
      <c r="J170" s="17">
        <f>+H170*I170</f>
        <v>0</v>
      </c>
      <c r="K170" s="17"/>
      <c r="L170" s="16" t="s">
        <v>27</v>
      </c>
      <c r="M170" s="16" t="s">
        <v>22</v>
      </c>
      <c r="N170" s="39" t="s">
        <v>418</v>
      </c>
    </row>
    <row r="171" spans="1:14" s="12" customFormat="1" ht="18">
      <c r="A171" s="180" t="s">
        <v>62</v>
      </c>
      <c r="B171" s="77" t="s">
        <v>160</v>
      </c>
      <c r="C171" s="70" t="s">
        <v>17</v>
      </c>
      <c r="D171" s="210"/>
      <c r="E171" s="210"/>
      <c r="F171" s="210"/>
      <c r="G171" s="210"/>
      <c r="H171" s="406">
        <f>SUM(Tabla132112419[[#This Row],[PRIMER TRIMESTRE]:[CUARTO TRIMESTRE]])</f>
        <v>0</v>
      </c>
      <c r="I171" s="17">
        <v>1908</v>
      </c>
      <c r="J171" s="17">
        <f>+Tabla132112419[[#This Row],[CANTIDAD TOTAL]]*Tabla132112419[[#This Row],[PRECIO UNITARIO ESTIMADO]]</f>
        <v>0</v>
      </c>
      <c r="K171" s="17"/>
      <c r="L171" s="16" t="s">
        <v>27</v>
      </c>
      <c r="M171" s="16" t="s">
        <v>22</v>
      </c>
      <c r="N171" s="39" t="s">
        <v>418</v>
      </c>
    </row>
    <row r="172" spans="1:14" s="12" customFormat="1" ht="18">
      <c r="A172" s="180" t="s">
        <v>62</v>
      </c>
      <c r="B172" s="77" t="s">
        <v>1545</v>
      </c>
      <c r="C172" s="70" t="s">
        <v>17</v>
      </c>
      <c r="D172" s="210"/>
      <c r="E172" s="210"/>
      <c r="F172" s="210"/>
      <c r="G172" s="210"/>
      <c r="H172" s="406">
        <f>SUM(Tabla132112419[[#This Row],[PRIMER TRIMESTRE]:[CUARTO TRIMESTRE]])</f>
        <v>0</v>
      </c>
      <c r="I172" s="17">
        <v>506.75</v>
      </c>
      <c r="J172" s="17">
        <f>+H172*I172</f>
        <v>0</v>
      </c>
      <c r="K172" s="17"/>
      <c r="L172" s="16" t="s">
        <v>27</v>
      </c>
      <c r="M172" s="16" t="s">
        <v>22</v>
      </c>
      <c r="N172" s="39" t="s">
        <v>418</v>
      </c>
    </row>
    <row r="173" spans="1:14" s="12" customFormat="1" ht="18">
      <c r="A173" s="180" t="s">
        <v>62</v>
      </c>
      <c r="B173" s="77" t="s">
        <v>162</v>
      </c>
      <c r="C173" s="70" t="s">
        <v>17</v>
      </c>
      <c r="D173" s="210"/>
      <c r="E173" s="210"/>
      <c r="F173" s="210"/>
      <c r="G173" s="210"/>
      <c r="H173" s="406">
        <f>SUM(Tabla132112419[[#This Row],[PRIMER TRIMESTRE]:[CUARTO TRIMESTRE]])</f>
        <v>0</v>
      </c>
      <c r="I173" s="17">
        <v>29</v>
      </c>
      <c r="J173" s="17">
        <f>+Tabla132112419[[#This Row],[CANTIDAD TOTAL]]*Tabla132112419[[#This Row],[PRECIO UNITARIO ESTIMADO]]</f>
        <v>0</v>
      </c>
      <c r="K173" s="17"/>
      <c r="L173" s="16" t="s">
        <v>27</v>
      </c>
      <c r="M173" s="16" t="s">
        <v>22</v>
      </c>
      <c r="N173" s="39" t="s">
        <v>418</v>
      </c>
    </row>
    <row r="174" spans="1:14" s="12" customFormat="1" ht="18">
      <c r="A174" s="180" t="s">
        <v>62</v>
      </c>
      <c r="B174" s="77" t="s">
        <v>368</v>
      </c>
      <c r="C174" s="70" t="s">
        <v>17</v>
      </c>
      <c r="D174" s="210"/>
      <c r="E174" s="210"/>
      <c r="F174" s="210"/>
      <c r="G174" s="210"/>
      <c r="H174" s="406">
        <f>SUM(Tabla132112419[[#This Row],[PRIMER TRIMESTRE]:[CUARTO TRIMESTRE]])</f>
        <v>0</v>
      </c>
      <c r="I174" s="17">
        <v>75.400000000000006</v>
      </c>
      <c r="J174" s="17">
        <f>+H174*I174</f>
        <v>0</v>
      </c>
      <c r="K174" s="17"/>
      <c r="L174" s="16" t="s">
        <v>27</v>
      </c>
      <c r="M174" s="16" t="s">
        <v>22</v>
      </c>
      <c r="N174" s="39" t="s">
        <v>418</v>
      </c>
    </row>
    <row r="175" spans="1:14" s="12" customFormat="1" ht="18">
      <c r="A175" s="180" t="s">
        <v>62</v>
      </c>
      <c r="B175" s="77" t="s">
        <v>602</v>
      </c>
      <c r="C175" s="70" t="s">
        <v>17</v>
      </c>
      <c r="D175" s="210"/>
      <c r="E175" s="210"/>
      <c r="F175" s="210"/>
      <c r="G175" s="210"/>
      <c r="H175" s="406">
        <f>SUM(Tabla132112419[[#This Row],[PRIMER TRIMESTRE]:[CUARTO TRIMESTRE]])</f>
        <v>0</v>
      </c>
      <c r="I175" s="17">
        <v>90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</row>
    <row r="176" spans="1:14" s="12" customFormat="1" ht="18">
      <c r="A176" s="180" t="s">
        <v>62</v>
      </c>
      <c r="B176" s="77" t="s">
        <v>164</v>
      </c>
      <c r="C176" s="70" t="s">
        <v>17</v>
      </c>
      <c r="D176" s="210"/>
      <c r="E176" s="210"/>
      <c r="F176" s="210"/>
      <c r="G176" s="210"/>
      <c r="H176" s="406">
        <f>SUM(Tabla132112419[[#This Row],[PRIMER TRIMESTRE]:[CUARTO TRIMESTRE]])</f>
        <v>0</v>
      </c>
      <c r="I176" s="17">
        <v>3419.05</v>
      </c>
      <c r="J176" s="17">
        <f>+Tabla132112419[[#This Row],[CANTIDAD TOTAL]]*Tabla132112419[[#This Row],[PRECIO UNITARIO ESTIMADO]]</f>
        <v>0</v>
      </c>
      <c r="K176" s="17"/>
      <c r="L176" s="16" t="s">
        <v>27</v>
      </c>
      <c r="M176" s="16" t="s">
        <v>22</v>
      </c>
      <c r="N176" s="39" t="s">
        <v>418</v>
      </c>
    </row>
    <row r="177" spans="1:14" s="12" customFormat="1" ht="18">
      <c r="A177" s="180" t="s">
        <v>62</v>
      </c>
      <c r="B177" s="75" t="s">
        <v>1166</v>
      </c>
      <c r="C177" s="39" t="s">
        <v>17</v>
      </c>
      <c r="D177" s="236"/>
      <c r="E177" s="236"/>
      <c r="F177" s="236"/>
      <c r="G177" s="236"/>
      <c r="H177" s="40">
        <f>SUM(Tabla132112419[[#This Row],[PRIMER TRIMESTRE]:[CUARTO TRIMESTRE]])</f>
        <v>0</v>
      </c>
      <c r="I177" s="17">
        <v>400</v>
      </c>
      <c r="J177" s="17">
        <f>+H177*I177</f>
        <v>0</v>
      </c>
      <c r="K177" s="17"/>
      <c r="L177" s="16" t="s">
        <v>27</v>
      </c>
      <c r="M177" s="16" t="s">
        <v>22</v>
      </c>
      <c r="N177" s="39" t="s">
        <v>418</v>
      </c>
    </row>
    <row r="178" spans="1:14" s="12" customFormat="1" ht="18">
      <c r="A178" s="180" t="s">
        <v>62</v>
      </c>
      <c r="B178" s="75" t="s">
        <v>1167</v>
      </c>
      <c r="C178" s="39" t="s">
        <v>17</v>
      </c>
      <c r="D178" s="236"/>
      <c r="E178" s="236"/>
      <c r="F178" s="236"/>
      <c r="G178" s="236"/>
      <c r="H178" s="40">
        <f>SUM(Tabla132112419[[#This Row],[PRIMER TRIMESTRE]:[CUARTO TRIMESTRE]])</f>
        <v>0</v>
      </c>
      <c r="I178" s="17">
        <v>1300</v>
      </c>
      <c r="J178" s="17">
        <f>+H178*I178</f>
        <v>0</v>
      </c>
      <c r="K178" s="17"/>
      <c r="L178" s="16" t="s">
        <v>27</v>
      </c>
      <c r="M178" s="16" t="s">
        <v>22</v>
      </c>
      <c r="N178" s="39" t="s">
        <v>418</v>
      </c>
    </row>
    <row r="179" spans="1:14" s="12" customFormat="1" ht="18">
      <c r="A179" s="180" t="s">
        <v>62</v>
      </c>
      <c r="B179" s="77" t="s">
        <v>462</v>
      </c>
      <c r="C179" s="70" t="s">
        <v>17</v>
      </c>
      <c r="D179" s="210"/>
      <c r="E179" s="210"/>
      <c r="F179" s="210"/>
      <c r="G179" s="210"/>
      <c r="H179" s="406">
        <f>SUM(Tabla132112419[[#This Row],[PRIMER TRIMESTRE]:[CUARTO TRIMESTRE]])</f>
        <v>0</v>
      </c>
      <c r="I179" s="17">
        <v>1896.06</v>
      </c>
      <c r="J179" s="17">
        <f>+H179*I179</f>
        <v>0</v>
      </c>
      <c r="K179" s="17"/>
      <c r="L179" s="16" t="s">
        <v>27</v>
      </c>
      <c r="M179" s="16" t="s">
        <v>22</v>
      </c>
      <c r="N179" s="39" t="s">
        <v>418</v>
      </c>
    </row>
    <row r="180" spans="1:14" s="12" customFormat="1" ht="18">
      <c r="A180" s="180" t="s">
        <v>62</v>
      </c>
      <c r="B180" s="77" t="s">
        <v>463</v>
      </c>
      <c r="C180" s="70" t="s">
        <v>17</v>
      </c>
      <c r="D180" s="210"/>
      <c r="E180" s="210"/>
      <c r="F180" s="210"/>
      <c r="G180" s="210"/>
      <c r="H180" s="406">
        <f>SUM(Tabla132112419[[#This Row],[PRIMER TRIMESTRE]:[CUARTO TRIMESTRE]])</f>
        <v>0</v>
      </c>
      <c r="I180" s="17">
        <v>2320</v>
      </c>
      <c r="J180" s="17">
        <f>+Tabla132112419[[#This Row],[CANTIDAD TOTAL]]*Tabla132112419[[#This Row],[PRECIO UNITARIO ESTIMADO]]</f>
        <v>0</v>
      </c>
      <c r="K180" s="17"/>
      <c r="L180" s="16" t="s">
        <v>27</v>
      </c>
      <c r="M180" s="16" t="s">
        <v>22</v>
      </c>
      <c r="N180" s="39" t="s">
        <v>418</v>
      </c>
    </row>
    <row r="181" spans="1:14" s="12" customFormat="1" ht="18">
      <c r="A181" s="180" t="s">
        <v>62</v>
      </c>
      <c r="B181" s="77" t="s">
        <v>465</v>
      </c>
      <c r="C181" s="70" t="s">
        <v>17</v>
      </c>
      <c r="D181" s="210"/>
      <c r="E181" s="210"/>
      <c r="F181" s="210"/>
      <c r="G181" s="210"/>
      <c r="H181" s="406">
        <f>SUM(Tabla132112419[[#This Row],[PRIMER TRIMESTRE]:[CUARTO TRIMESTRE]])</f>
        <v>0</v>
      </c>
      <c r="I181" s="17">
        <v>2682</v>
      </c>
      <c r="J181" s="17">
        <f>+Tabla132112419[[#This Row],[CANTIDAD TOTAL]]*Tabla132112419[[#This Row],[PRECIO UNITARIO ESTIMADO]]</f>
        <v>0</v>
      </c>
      <c r="K181" s="17"/>
      <c r="L181" s="16" t="s">
        <v>27</v>
      </c>
      <c r="M181" s="16" t="s">
        <v>22</v>
      </c>
      <c r="N181" s="39" t="s">
        <v>418</v>
      </c>
    </row>
    <row r="182" spans="1:14" s="12" customFormat="1" ht="18">
      <c r="A182" s="180" t="s">
        <v>62</v>
      </c>
      <c r="B182" s="77" t="s">
        <v>464</v>
      </c>
      <c r="C182" s="70" t="s">
        <v>17</v>
      </c>
      <c r="D182" s="210"/>
      <c r="E182" s="210"/>
      <c r="F182" s="210"/>
      <c r="G182" s="210"/>
      <c r="H182" s="406">
        <f>SUM(Tabla132112419[[#This Row],[PRIMER TRIMESTRE]:[CUARTO TRIMESTRE]])</f>
        <v>0</v>
      </c>
      <c r="I182" s="17">
        <v>50</v>
      </c>
      <c r="J182" s="17">
        <f>+Tabla132112419[[#This Row],[CANTIDAD TOTAL]]*Tabla132112419[[#This Row],[PRECIO UNITARIO ESTIMADO]]</f>
        <v>0</v>
      </c>
      <c r="K182" s="17"/>
      <c r="L182" s="16" t="s">
        <v>27</v>
      </c>
      <c r="M182" s="16" t="s">
        <v>22</v>
      </c>
      <c r="N182" s="39" t="s">
        <v>418</v>
      </c>
    </row>
    <row r="183" spans="1:14" s="12" customFormat="1" ht="18">
      <c r="A183" s="180" t="s">
        <v>62</v>
      </c>
      <c r="B183" s="77" t="s">
        <v>466</v>
      </c>
      <c r="C183" s="70" t="s">
        <v>17</v>
      </c>
      <c r="D183" s="210"/>
      <c r="E183" s="210"/>
      <c r="F183" s="210"/>
      <c r="G183" s="210"/>
      <c r="H183" s="406">
        <f>SUM(Tabla132112419[[#This Row],[PRIMER TRIMESTRE]:[CUARTO TRIMESTRE]])</f>
        <v>0</v>
      </c>
      <c r="I183" s="17">
        <v>1746.26</v>
      </c>
      <c r="J183" s="17">
        <f>+Tabla132112419[[#This Row],[CANTIDAD TOTAL]]*Tabla132112419[[#This Row],[PRECIO UNITARIO ESTIMADO]]</f>
        <v>0</v>
      </c>
      <c r="K183" s="17"/>
      <c r="L183" s="16" t="s">
        <v>27</v>
      </c>
      <c r="M183" s="16" t="s">
        <v>22</v>
      </c>
      <c r="N183" s="39" t="s">
        <v>418</v>
      </c>
    </row>
    <row r="184" spans="1:14" s="12" customFormat="1" ht="18">
      <c r="A184" s="180" t="s">
        <v>62</v>
      </c>
      <c r="B184" s="77" t="s">
        <v>1168</v>
      </c>
      <c r="C184" s="70" t="s">
        <v>17</v>
      </c>
      <c r="D184" s="210"/>
      <c r="E184" s="210"/>
      <c r="F184" s="210"/>
      <c r="G184" s="210"/>
      <c r="H184" s="406">
        <f>SUM(Tabla132112419[[#This Row],[PRIMER TRIMESTRE]:[CUARTO TRIMESTRE]])</f>
        <v>0</v>
      </c>
      <c r="I184" s="17">
        <v>6800</v>
      </c>
      <c r="J184" s="17">
        <f>+H184*I184</f>
        <v>0</v>
      </c>
      <c r="K184" s="17"/>
      <c r="L184" s="16" t="s">
        <v>27</v>
      </c>
      <c r="M184" s="16" t="s">
        <v>22</v>
      </c>
      <c r="N184" s="39" t="s">
        <v>418</v>
      </c>
    </row>
    <row r="185" spans="1:14" s="12" customFormat="1" ht="18">
      <c r="A185" s="180" t="s">
        <v>62</v>
      </c>
      <c r="B185" s="77" t="s">
        <v>170</v>
      </c>
      <c r="C185" s="70" t="s">
        <v>17</v>
      </c>
      <c r="D185" s="210"/>
      <c r="E185" s="210"/>
      <c r="F185" s="210"/>
      <c r="G185" s="210"/>
      <c r="H185" s="406">
        <f>SUM(Tabla132112419[[#This Row],[PRIMER TRIMESTRE]:[CUARTO TRIMESTRE]])</f>
        <v>0</v>
      </c>
      <c r="I185" s="17">
        <v>458.2</v>
      </c>
      <c r="J185" s="17">
        <f>+Tabla132112419[[#This Row],[CANTIDAD TOTAL]]*Tabla132112419[[#This Row],[PRECIO UNITARIO ESTIMADO]]</f>
        <v>0</v>
      </c>
      <c r="K185" s="17"/>
      <c r="L185" s="16" t="s">
        <v>27</v>
      </c>
      <c r="M185" s="16" t="s">
        <v>22</v>
      </c>
      <c r="N185" s="39" t="s">
        <v>418</v>
      </c>
    </row>
    <row r="186" spans="1:14" s="12" customFormat="1" ht="18">
      <c r="A186" s="180" t="s">
        <v>62</v>
      </c>
      <c r="B186" s="77" t="s">
        <v>172</v>
      </c>
      <c r="C186" s="70" t="s">
        <v>17</v>
      </c>
      <c r="D186" s="210"/>
      <c r="E186" s="210"/>
      <c r="F186" s="210"/>
      <c r="G186" s="210"/>
      <c r="H186" s="406">
        <f>SUM(Tabla132112419[[#This Row],[PRIMER TRIMESTRE]:[CUARTO TRIMESTRE]])</f>
        <v>0</v>
      </c>
      <c r="I186" s="17">
        <v>90</v>
      </c>
      <c r="J186" s="17">
        <f>+Tabla132112419[[#This Row],[CANTIDAD TOTAL]]*Tabla132112419[[#This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</row>
    <row r="187" spans="1:14" s="12" customFormat="1" ht="18">
      <c r="A187" s="180" t="s">
        <v>62</v>
      </c>
      <c r="B187" s="77" t="s">
        <v>732</v>
      </c>
      <c r="C187" s="70" t="s">
        <v>17</v>
      </c>
      <c r="D187" s="210"/>
      <c r="E187" s="210"/>
      <c r="F187" s="210"/>
      <c r="G187" s="210"/>
      <c r="H187" s="406">
        <f>SUM(Tabla132112419[[#This Row],[PRIMER TRIMESTRE]:[CUARTO TRIMESTRE]])</f>
        <v>0</v>
      </c>
      <c r="I187" s="72">
        <v>142.85</v>
      </c>
      <c r="J187" s="17">
        <f t="shared" ref="J187:J194" si="4">+H187*I187</f>
        <v>0</v>
      </c>
      <c r="K187" s="17"/>
      <c r="L187" s="16" t="s">
        <v>27</v>
      </c>
      <c r="M187" s="16" t="s">
        <v>22</v>
      </c>
      <c r="N187" s="39" t="s">
        <v>418</v>
      </c>
    </row>
    <row r="188" spans="1:14" s="12" customFormat="1" ht="18">
      <c r="A188" s="180" t="s">
        <v>62</v>
      </c>
      <c r="B188" s="77" t="s">
        <v>733</v>
      </c>
      <c r="C188" s="70" t="s">
        <v>17</v>
      </c>
      <c r="D188" s="210"/>
      <c r="E188" s="210"/>
      <c r="F188" s="210"/>
      <c r="G188" s="210"/>
      <c r="H188" s="406">
        <f>SUM(Tabla132112419[[#This Row],[PRIMER TRIMESTRE]:[CUARTO TRIMESTRE]])</f>
        <v>0</v>
      </c>
      <c r="I188" s="17">
        <v>39.56</v>
      </c>
      <c r="J188" s="17">
        <f t="shared" si="4"/>
        <v>0</v>
      </c>
      <c r="K188" s="17"/>
      <c r="L188" s="16" t="s">
        <v>27</v>
      </c>
      <c r="M188" s="16" t="s">
        <v>22</v>
      </c>
      <c r="N188" s="39" t="s">
        <v>418</v>
      </c>
    </row>
    <row r="189" spans="1:14" s="12" customFormat="1" ht="18">
      <c r="A189" s="180" t="s">
        <v>62</v>
      </c>
      <c r="B189" s="77" t="s">
        <v>734</v>
      </c>
      <c r="C189" s="70" t="s">
        <v>17</v>
      </c>
      <c r="D189" s="210"/>
      <c r="E189" s="210"/>
      <c r="F189" s="210"/>
      <c r="G189" s="210"/>
      <c r="H189" s="406">
        <f>SUM(Tabla132112419[[#This Row],[PRIMER TRIMESTRE]:[CUARTO TRIMESTRE]])</f>
        <v>0</v>
      </c>
      <c r="I189" s="17">
        <v>41.8</v>
      </c>
      <c r="J189" s="17">
        <f t="shared" si="4"/>
        <v>0</v>
      </c>
      <c r="K189" s="17"/>
      <c r="L189" s="16" t="s">
        <v>27</v>
      </c>
      <c r="M189" s="16" t="s">
        <v>22</v>
      </c>
      <c r="N189" s="39" t="s">
        <v>418</v>
      </c>
    </row>
    <row r="190" spans="1:14" s="12" customFormat="1" ht="18">
      <c r="A190" s="180" t="s">
        <v>62</v>
      </c>
      <c r="B190" s="77" t="s">
        <v>735</v>
      </c>
      <c r="C190" s="70" t="s">
        <v>17</v>
      </c>
      <c r="D190" s="210"/>
      <c r="E190" s="210"/>
      <c r="F190" s="210"/>
      <c r="G190" s="210"/>
      <c r="H190" s="406">
        <f>SUM(Tabla132112419[[#This Row],[PRIMER TRIMESTRE]:[CUARTO TRIMESTRE]])</f>
        <v>0</v>
      </c>
      <c r="I190" s="17">
        <v>50.27</v>
      </c>
      <c r="J190" s="17">
        <f t="shared" si="4"/>
        <v>0</v>
      </c>
      <c r="K190" s="17"/>
      <c r="L190" s="16" t="s">
        <v>27</v>
      </c>
      <c r="M190" s="16" t="s">
        <v>22</v>
      </c>
      <c r="N190" s="39" t="s">
        <v>418</v>
      </c>
    </row>
    <row r="191" spans="1:14" s="12" customFormat="1" ht="18">
      <c r="A191" s="180" t="s">
        <v>62</v>
      </c>
      <c r="B191" s="77" t="s">
        <v>736</v>
      </c>
      <c r="C191" s="70" t="s">
        <v>17</v>
      </c>
      <c r="D191" s="210"/>
      <c r="E191" s="210"/>
      <c r="F191" s="210"/>
      <c r="G191" s="210"/>
      <c r="H191" s="406">
        <f>SUM(Tabla132112419[[#This Row],[PRIMER TRIMESTRE]:[CUARTO TRIMESTRE]])</f>
        <v>0</v>
      </c>
      <c r="I191" s="17">
        <v>60.89</v>
      </c>
      <c r="J191" s="17">
        <f t="shared" si="4"/>
        <v>0</v>
      </c>
      <c r="K191" s="17"/>
      <c r="L191" s="16" t="s">
        <v>27</v>
      </c>
      <c r="M191" s="16" t="s">
        <v>22</v>
      </c>
      <c r="N191" s="39" t="s">
        <v>418</v>
      </c>
    </row>
    <row r="192" spans="1:14" s="12" customFormat="1" ht="18">
      <c r="A192" s="180" t="s">
        <v>62</v>
      </c>
      <c r="B192" s="77" t="s">
        <v>737</v>
      </c>
      <c r="C192" s="70" t="s">
        <v>17</v>
      </c>
      <c r="D192" s="210"/>
      <c r="E192" s="210"/>
      <c r="F192" s="210"/>
      <c r="G192" s="210"/>
      <c r="H192" s="406">
        <f>SUM(Tabla132112419[[#This Row],[PRIMER TRIMESTRE]:[CUARTO TRIMESTRE]])</f>
        <v>0</v>
      </c>
      <c r="I192" s="17">
        <v>65.36</v>
      </c>
      <c r="J192" s="17">
        <f t="shared" si="4"/>
        <v>0</v>
      </c>
      <c r="K192" s="17"/>
      <c r="L192" s="16" t="s">
        <v>27</v>
      </c>
      <c r="M192" s="16" t="s">
        <v>22</v>
      </c>
      <c r="N192" s="39" t="s">
        <v>418</v>
      </c>
    </row>
    <row r="193" spans="1:14" s="26" customFormat="1" ht="18">
      <c r="A193" s="180" t="s">
        <v>62</v>
      </c>
      <c r="B193" s="77" t="s">
        <v>738</v>
      </c>
      <c r="C193" s="70" t="s">
        <v>17</v>
      </c>
      <c r="D193" s="210"/>
      <c r="E193" s="210"/>
      <c r="F193" s="210"/>
      <c r="G193" s="210"/>
      <c r="H193" s="406">
        <f>SUM(Tabla132112419[[#This Row],[PRIMER TRIMESTRE]:[CUARTO TRIMESTRE]])</f>
        <v>0</v>
      </c>
      <c r="I193" s="17">
        <v>352.74</v>
      </c>
      <c r="J193" s="17">
        <f t="shared" si="4"/>
        <v>0</v>
      </c>
      <c r="K193" s="17"/>
      <c r="L193" s="16" t="s">
        <v>27</v>
      </c>
      <c r="M193" s="16" t="s">
        <v>22</v>
      </c>
      <c r="N193" s="39" t="s">
        <v>418</v>
      </c>
    </row>
    <row r="194" spans="1:14" s="55" customFormat="1" ht="18">
      <c r="A194" s="180" t="s">
        <v>62</v>
      </c>
      <c r="B194" s="75" t="s">
        <v>1169</v>
      </c>
      <c r="C194" s="39" t="s">
        <v>1162</v>
      </c>
      <c r="D194" s="236"/>
      <c r="E194" s="236"/>
      <c r="F194" s="236"/>
      <c r="G194" s="236"/>
      <c r="H194" s="40">
        <f>SUM(Tabla132112419[[#This Row],[PRIMER TRIMESTRE]:[CUARTO TRIMESTRE]])</f>
        <v>0</v>
      </c>
      <c r="I194" s="17">
        <v>2300</v>
      </c>
      <c r="J194" s="17">
        <f t="shared" si="4"/>
        <v>0</v>
      </c>
      <c r="K194" s="17"/>
      <c r="L194" s="16" t="s">
        <v>27</v>
      </c>
      <c r="M194" s="16" t="s">
        <v>22</v>
      </c>
      <c r="N194" s="39" t="s">
        <v>418</v>
      </c>
    </row>
    <row r="195" spans="1:14" s="55" customFormat="1" ht="18">
      <c r="A195" s="179" t="s">
        <v>62</v>
      </c>
      <c r="B195" s="76"/>
      <c r="C195" s="42"/>
      <c r="D195" s="237"/>
      <c r="E195" s="237"/>
      <c r="F195" s="237"/>
      <c r="G195" s="237"/>
      <c r="H195" s="43"/>
      <c r="I195" s="24"/>
      <c r="J195" s="24"/>
      <c r="K195" s="25">
        <f>SUM(J90:J194)</f>
        <v>0</v>
      </c>
      <c r="L195" s="23"/>
      <c r="M195" s="23"/>
      <c r="N195" s="42"/>
    </row>
    <row r="196" spans="1:14" s="55" customFormat="1" ht="30">
      <c r="A196" s="178" t="s">
        <v>73</v>
      </c>
      <c r="B196" s="75" t="s">
        <v>1275</v>
      </c>
      <c r="C196" s="53" t="s">
        <v>17</v>
      </c>
      <c r="D196" s="410"/>
      <c r="E196" s="410"/>
      <c r="F196" s="410"/>
      <c r="G196" s="410"/>
      <c r="H196" s="51">
        <f>SUM(Tabla132112419[[#This Row],[PRIMER TRIMESTRE]:[CUARTO TRIMESTRE]])</f>
        <v>0</v>
      </c>
      <c r="I196" s="52">
        <v>239750</v>
      </c>
      <c r="J196" s="52">
        <f>+H196*I196</f>
        <v>0</v>
      </c>
      <c r="K196" s="50"/>
      <c r="L196" s="16" t="s">
        <v>18</v>
      </c>
      <c r="M196" s="411" t="s">
        <v>22</v>
      </c>
      <c r="N196" s="39" t="s">
        <v>418</v>
      </c>
    </row>
    <row r="197" spans="1:14" s="55" customFormat="1" ht="30">
      <c r="A197" s="178" t="s">
        <v>73</v>
      </c>
      <c r="B197" s="75" t="s">
        <v>1276</v>
      </c>
      <c r="C197" s="53" t="s">
        <v>17</v>
      </c>
      <c r="D197" s="410"/>
      <c r="E197" s="410"/>
      <c r="F197" s="410"/>
      <c r="G197" s="410"/>
      <c r="H197" s="51">
        <f>SUM(Tabla132112419[[#This Row],[PRIMER TRIMESTRE]:[CUARTO TRIMESTRE]])</f>
        <v>0</v>
      </c>
      <c r="I197" s="52">
        <v>37500</v>
      </c>
      <c r="J197" s="52">
        <f>+H197*I197</f>
        <v>0</v>
      </c>
      <c r="K197" s="50"/>
      <c r="L197" s="16" t="s">
        <v>18</v>
      </c>
      <c r="M197" s="411" t="s">
        <v>22</v>
      </c>
      <c r="N197" s="39" t="s">
        <v>418</v>
      </c>
    </row>
    <row r="198" spans="1:14" s="26" customFormat="1" ht="30">
      <c r="A198" s="178" t="s">
        <v>73</v>
      </c>
      <c r="B198" s="75" t="s">
        <v>1277</v>
      </c>
      <c r="C198" s="53" t="s">
        <v>17</v>
      </c>
      <c r="D198" s="410"/>
      <c r="E198" s="410"/>
      <c r="F198" s="410"/>
      <c r="G198" s="410"/>
      <c r="H198" s="51">
        <f>SUM(Tabla132112419[[#This Row],[PRIMER TRIMESTRE]:[CUARTO TRIMESTRE]])</f>
        <v>0</v>
      </c>
      <c r="I198" s="52">
        <v>301000</v>
      </c>
      <c r="J198" s="52">
        <f>+H198*I198</f>
        <v>0</v>
      </c>
      <c r="K198" s="50"/>
      <c r="L198" s="16" t="s">
        <v>18</v>
      </c>
      <c r="M198" s="411" t="s">
        <v>22</v>
      </c>
      <c r="N198" s="39" t="s">
        <v>418</v>
      </c>
    </row>
    <row r="199" spans="1:14" s="12" customFormat="1" ht="30">
      <c r="A199" s="178" t="s">
        <v>73</v>
      </c>
      <c r="B199" s="75" t="s">
        <v>1278</v>
      </c>
      <c r="C199" s="53" t="s">
        <v>17</v>
      </c>
      <c r="D199" s="410"/>
      <c r="E199" s="410"/>
      <c r="F199" s="410"/>
      <c r="G199" s="410"/>
      <c r="H199" s="51">
        <f>SUM(Tabla132112419[[#This Row],[PRIMER TRIMESTRE]:[CUARTO TRIMESTRE]])</f>
        <v>0</v>
      </c>
      <c r="I199" s="52">
        <v>350000</v>
      </c>
      <c r="J199" s="52">
        <f>+H199*I199</f>
        <v>0</v>
      </c>
      <c r="K199" s="50"/>
      <c r="L199" s="16" t="s">
        <v>18</v>
      </c>
      <c r="M199" s="411" t="s">
        <v>22</v>
      </c>
      <c r="N199" s="39" t="s">
        <v>418</v>
      </c>
    </row>
    <row r="200" spans="1:14" s="12" customFormat="1" ht="31.5">
      <c r="A200" s="179" t="s">
        <v>73</v>
      </c>
      <c r="B200" s="76"/>
      <c r="C200" s="42"/>
      <c r="D200" s="237"/>
      <c r="E200" s="237"/>
      <c r="F200" s="237"/>
      <c r="G200" s="237"/>
      <c r="H200" s="43"/>
      <c r="I200" s="24"/>
      <c r="J200" s="24"/>
      <c r="K200" s="25">
        <f>SUM(J196:J199)</f>
        <v>0</v>
      </c>
      <c r="L200" s="23"/>
      <c r="M200" s="23"/>
      <c r="N200" s="42"/>
    </row>
    <row r="201" spans="1:14" s="12" customFormat="1" ht="18">
      <c r="A201" s="178" t="s">
        <v>80</v>
      </c>
      <c r="B201" s="75" t="s">
        <v>788</v>
      </c>
      <c r="C201" s="39" t="s">
        <v>69</v>
      </c>
      <c r="D201" s="236"/>
      <c r="E201" s="236"/>
      <c r="F201" s="236"/>
      <c r="G201" s="236"/>
      <c r="H201" s="40">
        <f>SUM(Tabla132112419[[#This Row],[PRIMER TRIMESTRE]:[CUARTO TRIMESTRE]])</f>
        <v>0</v>
      </c>
      <c r="I201" s="17">
        <v>5.46</v>
      </c>
      <c r="J201" s="17">
        <f>+Tabla132112419[[#This Row],[CANTIDAD TOTAL]]*Tabla132112419[[#This Row],[PRECIO UNITARIO ESTIMADO]]</f>
        <v>0</v>
      </c>
      <c r="K201" s="17"/>
      <c r="L201" s="16" t="s">
        <v>18</v>
      </c>
      <c r="M201" s="16" t="s">
        <v>22</v>
      </c>
      <c r="N201" s="39" t="s">
        <v>418</v>
      </c>
    </row>
    <row r="202" spans="1:14" s="12" customFormat="1" ht="18">
      <c r="A202" s="178" t="s">
        <v>80</v>
      </c>
      <c r="B202" s="75" t="s">
        <v>1346</v>
      </c>
      <c r="C202" s="39" t="s">
        <v>208</v>
      </c>
      <c r="D202" s="236"/>
      <c r="E202" s="236"/>
      <c r="F202" s="236"/>
      <c r="G202" s="236"/>
      <c r="H202" s="40">
        <f>SUM(Tabla132112419[[#This Row],[PRIMER TRIMESTRE]:[CUARTO TRIMESTRE]])</f>
        <v>0</v>
      </c>
      <c r="I202" s="17">
        <v>8</v>
      </c>
      <c r="J202" s="17">
        <f>+Tabla132112419[[#This Row],[CANTIDAD TOTAL]]*Tabla132112419[[#This Row],[PRECIO UNITARIO ESTIMADO]]</f>
        <v>0</v>
      </c>
      <c r="K202" s="17"/>
      <c r="L202" s="16" t="s">
        <v>18</v>
      </c>
      <c r="M202" s="16" t="s">
        <v>22</v>
      </c>
      <c r="N202" s="39" t="s">
        <v>418</v>
      </c>
    </row>
    <row r="203" spans="1:14" s="12" customFormat="1" ht="18">
      <c r="A203" s="178" t="s">
        <v>80</v>
      </c>
      <c r="B203" s="75" t="s">
        <v>789</v>
      </c>
      <c r="C203" s="39" t="s">
        <v>208</v>
      </c>
      <c r="D203" s="236"/>
      <c r="E203" s="236"/>
      <c r="F203" s="236"/>
      <c r="G203" s="236"/>
      <c r="H203" s="40">
        <f>SUM(Tabla132112419[[#This Row],[PRIMER TRIMESTRE]:[CUARTO TRIMESTRE]])</f>
        <v>0</v>
      </c>
      <c r="I203" s="17">
        <v>6.4</v>
      </c>
      <c r="J203" s="17">
        <f>+Tabla132112419[[#This Row],[CANTIDAD TOTAL]]*Tabla132112419[[#This Row],[PRECIO UNITARIO ESTIMADO]]</f>
        <v>0</v>
      </c>
      <c r="K203" s="17"/>
      <c r="L203" s="16" t="s">
        <v>18</v>
      </c>
      <c r="M203" s="16" t="s">
        <v>22</v>
      </c>
      <c r="N203" s="39" t="s">
        <v>418</v>
      </c>
    </row>
    <row r="204" spans="1:14" s="12" customFormat="1" ht="18">
      <c r="A204" s="178" t="s">
        <v>80</v>
      </c>
      <c r="B204" s="75" t="s">
        <v>83</v>
      </c>
      <c r="C204" s="39" t="s">
        <v>69</v>
      </c>
      <c r="D204" s="236"/>
      <c r="E204" s="236"/>
      <c r="F204" s="236"/>
      <c r="G204" s="236"/>
      <c r="H204" s="40">
        <f>SUM(Tabla132112419[[#This Row],[PRIMER TRIMESTRE]:[CUARTO TRIMESTRE]])</f>
        <v>0</v>
      </c>
      <c r="I204" s="17">
        <v>290</v>
      </c>
      <c r="J204" s="17">
        <f>+Tabla132112419[[#This Row],[CANTIDAD TOTAL]]*Tabla132112419[[#This Row],[PRECIO UNITARIO ESTIMADO]]</f>
        <v>0</v>
      </c>
      <c r="K204" s="17"/>
      <c r="L204" s="16" t="s">
        <v>18</v>
      </c>
      <c r="M204" s="16" t="s">
        <v>22</v>
      </c>
      <c r="N204" s="39" t="s">
        <v>418</v>
      </c>
    </row>
    <row r="205" spans="1:14" s="12" customFormat="1" ht="18">
      <c r="A205" s="178" t="s">
        <v>80</v>
      </c>
      <c r="B205" s="75" t="s">
        <v>1561</v>
      </c>
      <c r="C205" s="39" t="s">
        <v>69</v>
      </c>
      <c r="D205" s="39"/>
      <c r="E205" s="236"/>
      <c r="F205" s="236"/>
      <c r="G205" s="236"/>
      <c r="H205" s="40">
        <f>SUM(Tabla132112419[[#This Row],[PRIMER TRIMESTRE]:[CUARTO TRIMESTRE]])</f>
        <v>0</v>
      </c>
      <c r="I205" s="17">
        <v>3200</v>
      </c>
      <c r="J205" s="17">
        <f>+H205*I205</f>
        <v>0</v>
      </c>
      <c r="K205" s="17"/>
      <c r="L205" s="16" t="s">
        <v>18</v>
      </c>
      <c r="M205" s="16" t="s">
        <v>22</v>
      </c>
      <c r="N205" s="39" t="s">
        <v>418</v>
      </c>
    </row>
    <row r="206" spans="1:14" s="12" customFormat="1" ht="18">
      <c r="A206" s="178" t="s">
        <v>80</v>
      </c>
      <c r="B206" s="75" t="s">
        <v>85</v>
      </c>
      <c r="C206" s="39" t="s">
        <v>69</v>
      </c>
      <c r="D206" s="236"/>
      <c r="E206" s="236"/>
      <c r="F206" s="236"/>
      <c r="G206" s="236"/>
      <c r="H206" s="40">
        <f>SUM(Tabla132112419[[#This Row],[PRIMER TRIMESTRE]:[CUARTO TRIMESTRE]])</f>
        <v>0</v>
      </c>
      <c r="I206" s="17">
        <v>4.0599999999999996</v>
      </c>
      <c r="J206" s="17">
        <f>+Tabla132112419[[#This Row],[CANTIDAD TOTAL]]*Tabla132112419[[#This Row],[PRECIO UNITARIO ESTIMADO]]</f>
        <v>0</v>
      </c>
      <c r="K206" s="17"/>
      <c r="L206" s="16" t="s">
        <v>18</v>
      </c>
      <c r="M206" s="16" t="s">
        <v>22</v>
      </c>
      <c r="N206" s="39" t="s">
        <v>418</v>
      </c>
    </row>
    <row r="207" spans="1:14" s="12" customFormat="1" ht="18">
      <c r="A207" s="178" t="s">
        <v>80</v>
      </c>
      <c r="B207" s="75" t="s">
        <v>87</v>
      </c>
      <c r="C207" s="39" t="s">
        <v>69</v>
      </c>
      <c r="D207" s="236"/>
      <c r="E207" s="236"/>
      <c r="F207" s="236"/>
      <c r="G207" s="236"/>
      <c r="H207" s="40">
        <f>SUM(Tabla132112419[[#This Row],[PRIMER TRIMESTRE]:[CUARTO TRIMESTRE]])</f>
        <v>0</v>
      </c>
      <c r="I207" s="17">
        <v>3.71</v>
      </c>
      <c r="J207" s="17">
        <f>+Tabla132112419[[#This Row],[CANTIDAD TOTAL]]*Tabla132112419[[#This Row],[PRECIO UNITARIO ESTIMADO]]</f>
        <v>0</v>
      </c>
      <c r="K207" s="17"/>
      <c r="L207" s="16" t="s">
        <v>18</v>
      </c>
      <c r="M207" s="16" t="s">
        <v>22</v>
      </c>
      <c r="N207" s="39" t="s">
        <v>418</v>
      </c>
    </row>
    <row r="208" spans="1:14" s="12" customFormat="1" ht="18">
      <c r="A208" s="178" t="s">
        <v>80</v>
      </c>
      <c r="B208" s="75" t="s">
        <v>1436</v>
      </c>
      <c r="C208" s="39" t="s">
        <v>69</v>
      </c>
      <c r="D208" s="236"/>
      <c r="E208" s="236"/>
      <c r="F208" s="236"/>
      <c r="G208" s="236"/>
      <c r="H208" s="40">
        <f>SUM(Tabla132112419[[#This Row],[PRIMER TRIMESTRE]:[CUARTO TRIMESTRE]])</f>
        <v>0</v>
      </c>
      <c r="I208" s="17">
        <v>125</v>
      </c>
      <c r="J208" s="17">
        <f>+H208*I208</f>
        <v>0</v>
      </c>
      <c r="K208" s="17"/>
      <c r="L208" s="16" t="s">
        <v>18</v>
      </c>
      <c r="M208" s="16" t="s">
        <v>22</v>
      </c>
      <c r="N208" s="39" t="s">
        <v>418</v>
      </c>
    </row>
    <row r="209" spans="1:14" s="12" customFormat="1" ht="18">
      <c r="A209" s="178" t="s">
        <v>80</v>
      </c>
      <c r="B209" s="75" t="s">
        <v>89</v>
      </c>
      <c r="C209" s="39" t="s">
        <v>208</v>
      </c>
      <c r="D209" s="236"/>
      <c r="E209" s="236"/>
      <c r="F209" s="236"/>
      <c r="G209" s="236"/>
      <c r="H209" s="40">
        <f>SUM(Tabla132112419[[#This Row],[PRIMER TRIMESTRE]:[CUARTO TRIMESTRE]])</f>
        <v>0</v>
      </c>
      <c r="I209" s="17">
        <v>7.3</v>
      </c>
      <c r="J209" s="17">
        <f>+Tabla132112419[[#This Row],[CANTIDAD TOTAL]]*Tabla132112419[[#This Row],[PRECIO UNITARIO ESTIMADO]]</f>
        <v>0</v>
      </c>
      <c r="K209" s="17"/>
      <c r="L209" s="16" t="s">
        <v>18</v>
      </c>
      <c r="M209" s="16" t="s">
        <v>22</v>
      </c>
      <c r="N209" s="39" t="s">
        <v>418</v>
      </c>
    </row>
    <row r="210" spans="1:14" s="12" customFormat="1" ht="18">
      <c r="A210" s="178" t="s">
        <v>80</v>
      </c>
      <c r="B210" s="75" t="s">
        <v>98</v>
      </c>
      <c r="C210" s="39" t="s">
        <v>93</v>
      </c>
      <c r="D210" s="236"/>
      <c r="E210" s="236"/>
      <c r="F210" s="236"/>
      <c r="G210" s="236"/>
      <c r="H210" s="40">
        <f>SUM(Tabla132112419[[#This Row],[PRIMER TRIMESTRE]:[CUARTO TRIMESTRE]])</f>
        <v>0</v>
      </c>
      <c r="I210" s="17">
        <v>272.60000000000002</v>
      </c>
      <c r="J210" s="17">
        <f>+Tabla132112419[[#This Row],[CANTIDAD TOTAL]]*Tabla132112419[[#This Row],[PRECIO UNITARIO ESTIMADO]]</f>
        <v>0</v>
      </c>
      <c r="K210" s="17"/>
      <c r="L210" s="16" t="s">
        <v>18</v>
      </c>
      <c r="M210" s="16" t="s">
        <v>22</v>
      </c>
      <c r="N210" s="39" t="s">
        <v>418</v>
      </c>
    </row>
    <row r="211" spans="1:14" s="12" customFormat="1" ht="18">
      <c r="A211" s="178" t="s">
        <v>80</v>
      </c>
      <c r="B211" s="75" t="s">
        <v>1601</v>
      </c>
      <c r="C211" s="39" t="s">
        <v>93</v>
      </c>
      <c r="D211" s="39"/>
      <c r="E211" s="39"/>
      <c r="F211" s="39"/>
      <c r="G211" s="39"/>
      <c r="H211" s="39">
        <f>SUM(Tabla132112419[[#This Row],[PRIMER TRIMESTRE]:[CUARTO TRIMESTRE]])</f>
        <v>0</v>
      </c>
      <c r="I211" s="17">
        <v>57</v>
      </c>
      <c r="J211" s="17">
        <f>+H211*I211</f>
        <v>0</v>
      </c>
      <c r="K211" s="17"/>
      <c r="L211" s="16" t="s">
        <v>18</v>
      </c>
      <c r="M211" s="16" t="s">
        <v>22</v>
      </c>
      <c r="N211" s="39" t="s">
        <v>418</v>
      </c>
    </row>
    <row r="212" spans="1:14" s="12" customFormat="1" ht="18">
      <c r="A212" s="178" t="s">
        <v>80</v>
      </c>
      <c r="B212" s="75" t="s">
        <v>100</v>
      </c>
      <c r="C212" s="39" t="s">
        <v>93</v>
      </c>
      <c r="D212" s="236"/>
      <c r="E212" s="236"/>
      <c r="F212" s="236"/>
      <c r="G212" s="236"/>
      <c r="H212" s="40">
        <f>SUM(Tabla132112419[[#This Row],[PRIMER TRIMESTRE]:[CUARTO TRIMESTRE]])</f>
        <v>0</v>
      </c>
      <c r="I212" s="17">
        <v>30.16</v>
      </c>
      <c r="J212" s="17">
        <f>+Tabla132112419[[#This Row],[CANTIDAD TOTAL]]*Tabla132112419[[#This Row],[PRECIO UNITARIO ESTIMADO]]</f>
        <v>0</v>
      </c>
      <c r="K212" s="17"/>
      <c r="L212" s="16" t="s">
        <v>18</v>
      </c>
      <c r="M212" s="16" t="s">
        <v>22</v>
      </c>
      <c r="N212" s="39" t="s">
        <v>418</v>
      </c>
    </row>
    <row r="213" spans="1:14" s="12" customFormat="1" ht="25.5">
      <c r="A213" s="178" t="s">
        <v>80</v>
      </c>
      <c r="B213" s="75" t="s">
        <v>1729</v>
      </c>
      <c r="C213" s="39" t="s">
        <v>17</v>
      </c>
      <c r="D213" s="236"/>
      <c r="E213" s="236"/>
      <c r="F213" s="236"/>
      <c r="G213" s="236"/>
      <c r="H213" s="40">
        <v>0</v>
      </c>
      <c r="I213" s="17">
        <v>0</v>
      </c>
      <c r="J213" s="17">
        <v>0</v>
      </c>
      <c r="K213" s="17"/>
      <c r="L213" s="16" t="s">
        <v>18</v>
      </c>
      <c r="M213" s="16" t="s">
        <v>22</v>
      </c>
      <c r="N213" s="39" t="s">
        <v>418</v>
      </c>
    </row>
    <row r="214" spans="1:14" s="12" customFormat="1" ht="25.5">
      <c r="A214" s="178" t="s">
        <v>80</v>
      </c>
      <c r="B214" s="75" t="s">
        <v>1730</v>
      </c>
      <c r="C214" s="39" t="s">
        <v>17</v>
      </c>
      <c r="D214" s="236"/>
      <c r="E214" s="236"/>
      <c r="F214" s="236"/>
      <c r="G214" s="236"/>
      <c r="H214" s="40">
        <v>0</v>
      </c>
      <c r="I214" s="17">
        <v>0</v>
      </c>
      <c r="J214" s="17">
        <v>0</v>
      </c>
      <c r="K214" s="17"/>
      <c r="L214" s="16" t="s">
        <v>18</v>
      </c>
      <c r="M214" s="16" t="s">
        <v>22</v>
      </c>
      <c r="N214" s="39" t="s">
        <v>418</v>
      </c>
    </row>
    <row r="215" spans="1:14" s="12" customFormat="1" ht="18">
      <c r="A215" s="178" t="s">
        <v>80</v>
      </c>
      <c r="B215" s="75" t="s">
        <v>105</v>
      </c>
      <c r="C215" s="39" t="s">
        <v>17</v>
      </c>
      <c r="D215" s="236"/>
      <c r="E215" s="236"/>
      <c r="F215" s="236"/>
      <c r="G215" s="236"/>
      <c r="H215" s="40">
        <f>SUM(Tabla132112419[[#This Row],[PRIMER TRIMESTRE]:[CUARTO TRIMESTRE]])</f>
        <v>0</v>
      </c>
      <c r="I215" s="17">
        <v>33.64</v>
      </c>
      <c r="J215" s="17">
        <f>+Tabla132112419[[#This Row],[CANTIDAD TOTAL]]*Tabla132112419[[#This Row],[PRECIO UNITARIO ESTIMADO]]</f>
        <v>0</v>
      </c>
      <c r="K215" s="17"/>
      <c r="L215" s="16" t="s">
        <v>18</v>
      </c>
      <c r="M215" s="16" t="s">
        <v>22</v>
      </c>
      <c r="N215" s="39" t="s">
        <v>418</v>
      </c>
    </row>
    <row r="216" spans="1:14" s="12" customFormat="1" ht="18">
      <c r="A216" s="178" t="s">
        <v>80</v>
      </c>
      <c r="B216" s="75" t="s">
        <v>1725</v>
      </c>
      <c r="C216" s="70" t="s">
        <v>17</v>
      </c>
      <c r="D216" s="236"/>
      <c r="E216" s="236"/>
      <c r="F216" s="236"/>
      <c r="G216" s="236"/>
      <c r="H216" s="40">
        <v>0</v>
      </c>
      <c r="I216" s="17">
        <v>0</v>
      </c>
      <c r="J216" s="17">
        <v>0</v>
      </c>
      <c r="K216" s="17"/>
      <c r="L216" s="16" t="s">
        <v>18</v>
      </c>
      <c r="M216" s="16" t="s">
        <v>22</v>
      </c>
      <c r="N216" s="39" t="s">
        <v>418</v>
      </c>
    </row>
    <row r="217" spans="1:14" s="12" customFormat="1" ht="18">
      <c r="A217" s="178" t="s">
        <v>80</v>
      </c>
      <c r="B217" s="75" t="s">
        <v>110</v>
      </c>
      <c r="C217" s="70" t="s">
        <v>17</v>
      </c>
      <c r="D217" s="236"/>
      <c r="E217" s="236"/>
      <c r="F217" s="210"/>
      <c r="G217" s="210"/>
      <c r="H217" s="40">
        <f>SUM(Tabla132112419[[#This Row],[PRIMER TRIMESTRE]:[CUARTO TRIMESTRE]])</f>
        <v>0</v>
      </c>
      <c r="I217" s="17">
        <v>5823.23</v>
      </c>
      <c r="J217" s="17">
        <f>+Tabla132112419[[#This Row],[CANTIDAD TOTAL]]*Tabla132112419[[#This Row],[PRECIO UNITARIO ESTIMADO]]</f>
        <v>0</v>
      </c>
      <c r="K217" s="17"/>
      <c r="L217" s="16" t="s">
        <v>18</v>
      </c>
      <c r="M217" s="16" t="s">
        <v>22</v>
      </c>
      <c r="N217" s="39" t="s">
        <v>418</v>
      </c>
    </row>
    <row r="218" spans="1:14" s="12" customFormat="1" ht="18">
      <c r="A218" s="178" t="s">
        <v>80</v>
      </c>
      <c r="B218" s="77" t="s">
        <v>112</v>
      </c>
      <c r="C218" s="70" t="s">
        <v>288</v>
      </c>
      <c r="D218" s="236"/>
      <c r="E218" s="210"/>
      <c r="F218" s="210"/>
      <c r="G218" s="210"/>
      <c r="H218" s="40">
        <f>SUM(Tabla132112419[[#This Row],[PRIMER TRIMESTRE]:[CUARTO TRIMESTRE]])</f>
        <v>0</v>
      </c>
      <c r="I218" s="17">
        <v>1624</v>
      </c>
      <c r="J218" s="17">
        <f>+Tabla132112419[[#This Row],[CANTIDAD TOTAL]]*Tabla132112419[[#This Row],[PRECIO UNITARIO ESTIMADO]]</f>
        <v>0</v>
      </c>
      <c r="K218" s="17"/>
      <c r="L218" s="16" t="s">
        <v>18</v>
      </c>
      <c r="M218" s="16" t="s">
        <v>22</v>
      </c>
      <c r="N218" s="39" t="s">
        <v>418</v>
      </c>
    </row>
    <row r="219" spans="1:14" s="12" customFormat="1" ht="18">
      <c r="A219" s="178" t="s">
        <v>80</v>
      </c>
      <c r="B219" s="77" t="s">
        <v>766</v>
      </c>
      <c r="C219" s="70" t="s">
        <v>767</v>
      </c>
      <c r="D219" s="236"/>
      <c r="E219" s="210"/>
      <c r="F219" s="210"/>
      <c r="G219" s="210"/>
      <c r="H219" s="40">
        <f>SUM(Tabla132112419[[#This Row],[PRIMER TRIMESTRE]:[CUARTO TRIMESTRE]])</f>
        <v>0</v>
      </c>
      <c r="I219" s="17">
        <v>470</v>
      </c>
      <c r="J219" s="17">
        <f>+Tabla132112419[[#This Row],[CANTIDAD TOTAL]]*Tabla132112419[[#This Row],[PRECIO UNITARIO ESTIMADO]]</f>
        <v>0</v>
      </c>
      <c r="K219" s="17"/>
      <c r="L219" s="16" t="s">
        <v>18</v>
      </c>
      <c r="M219" s="16" t="s">
        <v>22</v>
      </c>
      <c r="N219" s="39" t="s">
        <v>418</v>
      </c>
    </row>
    <row r="220" spans="1:14" s="12" customFormat="1" ht="18">
      <c r="A220" s="178" t="s">
        <v>80</v>
      </c>
      <c r="B220" s="77" t="s">
        <v>1623</v>
      </c>
      <c r="C220" s="70" t="s">
        <v>17</v>
      </c>
      <c r="D220" s="236"/>
      <c r="E220" s="210"/>
      <c r="F220" s="210"/>
      <c r="G220" s="210"/>
      <c r="H220" s="40">
        <f>SUM(Tabla132112419[[#This Row],[PRIMER TRIMESTRE]:[CUARTO TRIMESTRE]])</f>
        <v>0</v>
      </c>
      <c r="I220" s="17">
        <v>1784.1</v>
      </c>
      <c r="J220" s="17">
        <f t="shared" ref="J220:J283" si="5">+H220*I220</f>
        <v>0</v>
      </c>
      <c r="K220" s="17"/>
      <c r="L220" s="16" t="s">
        <v>18</v>
      </c>
      <c r="M220" s="16" t="s">
        <v>22</v>
      </c>
      <c r="N220" s="39" t="s">
        <v>418</v>
      </c>
    </row>
    <row r="221" spans="1:14" s="12" customFormat="1" ht="18">
      <c r="A221" s="178" t="s">
        <v>80</v>
      </c>
      <c r="B221" s="77" t="s">
        <v>1431</v>
      </c>
      <c r="C221" s="70" t="s">
        <v>288</v>
      </c>
      <c r="D221" s="236"/>
      <c r="E221" s="210"/>
      <c r="F221" s="210"/>
      <c r="G221" s="210"/>
      <c r="H221" s="40">
        <f>SUM(Tabla132112419[[#This Row],[PRIMER TRIMESTRE]:[CUARTO TRIMESTRE]])</f>
        <v>0</v>
      </c>
      <c r="I221" s="17">
        <v>1395</v>
      </c>
      <c r="J221" s="17">
        <f t="shared" si="5"/>
        <v>0</v>
      </c>
      <c r="K221" s="17"/>
      <c r="L221" s="16" t="s">
        <v>18</v>
      </c>
      <c r="M221" s="16" t="s">
        <v>22</v>
      </c>
      <c r="N221" s="39" t="s">
        <v>418</v>
      </c>
    </row>
    <row r="222" spans="1:14" s="12" customFormat="1" ht="18">
      <c r="A222" s="178" t="s">
        <v>80</v>
      </c>
      <c r="B222" s="77" t="s">
        <v>921</v>
      </c>
      <c r="C222" s="70" t="s">
        <v>17</v>
      </c>
      <c r="D222" s="236"/>
      <c r="E222" s="210"/>
      <c r="F222" s="210"/>
      <c r="G222" s="210"/>
      <c r="H222" s="40">
        <f>SUM(Tabla132112419[[#This Row],[PRIMER TRIMESTRE]:[CUARTO TRIMESTRE]])</f>
        <v>0</v>
      </c>
      <c r="I222" s="17">
        <v>94</v>
      </c>
      <c r="J222" s="17">
        <f t="shared" si="5"/>
        <v>0</v>
      </c>
      <c r="K222" s="17"/>
      <c r="L222" s="16" t="s">
        <v>18</v>
      </c>
      <c r="M222" s="16" t="s">
        <v>22</v>
      </c>
      <c r="N222" s="39" t="s">
        <v>418</v>
      </c>
    </row>
    <row r="223" spans="1:14" s="12" customFormat="1" ht="25.5">
      <c r="A223" s="178" t="s">
        <v>80</v>
      </c>
      <c r="B223" s="77" t="s">
        <v>1610</v>
      </c>
      <c r="C223" s="70" t="s">
        <v>17</v>
      </c>
      <c r="D223" s="70"/>
      <c r="E223" s="70"/>
      <c r="F223" s="70"/>
      <c r="G223" s="70"/>
      <c r="H223" s="70">
        <f>SUM(Tabla132112419[[#This Row],[PRIMER TRIMESTRE]:[CUARTO TRIMESTRE]])</f>
        <v>0</v>
      </c>
      <c r="I223" s="17">
        <v>573.88</v>
      </c>
      <c r="J223" s="17">
        <f t="shared" si="5"/>
        <v>0</v>
      </c>
      <c r="K223" s="17"/>
      <c r="L223" s="16" t="s">
        <v>18</v>
      </c>
      <c r="M223" s="16" t="s">
        <v>22</v>
      </c>
      <c r="N223" s="39" t="s">
        <v>418</v>
      </c>
    </row>
    <row r="224" spans="1:14" s="12" customFormat="1" ht="38.25">
      <c r="A224" s="178" t="s">
        <v>80</v>
      </c>
      <c r="B224" s="77" t="s">
        <v>1609</v>
      </c>
      <c r="C224" s="70" t="s">
        <v>17</v>
      </c>
      <c r="D224" s="70"/>
      <c r="E224" s="70"/>
      <c r="F224" s="70"/>
      <c r="G224" s="70"/>
      <c r="H224" s="70">
        <f>SUM(Tabla132112419[[#This Row],[PRIMER TRIMESTRE]:[CUARTO TRIMESTRE]])</f>
        <v>0</v>
      </c>
      <c r="I224" s="17">
        <v>223.86</v>
      </c>
      <c r="J224" s="17">
        <f t="shared" si="5"/>
        <v>0</v>
      </c>
      <c r="K224" s="17"/>
      <c r="L224" s="16" t="s">
        <v>18</v>
      </c>
      <c r="M224" s="16" t="s">
        <v>22</v>
      </c>
      <c r="N224" s="39" t="s">
        <v>418</v>
      </c>
    </row>
    <row r="225" spans="1:14" s="12" customFormat="1" ht="18">
      <c r="A225" s="178" t="s">
        <v>80</v>
      </c>
      <c r="B225" s="77" t="s">
        <v>1181</v>
      </c>
      <c r="C225" s="70" t="s">
        <v>17</v>
      </c>
      <c r="D225" s="236"/>
      <c r="E225" s="210"/>
      <c r="F225" s="210"/>
      <c r="G225" s="210"/>
      <c r="H225" s="40">
        <f>SUM(Tabla132112419[[#This Row],[PRIMER TRIMESTRE]:[CUARTO TRIMESTRE]])</f>
        <v>0</v>
      </c>
      <c r="I225" s="17">
        <v>175</v>
      </c>
      <c r="J225" s="17">
        <f t="shared" si="5"/>
        <v>0</v>
      </c>
      <c r="K225" s="17"/>
      <c r="L225" s="16" t="s">
        <v>18</v>
      </c>
      <c r="M225" s="16" t="s">
        <v>22</v>
      </c>
      <c r="N225" s="39" t="s">
        <v>418</v>
      </c>
    </row>
    <row r="226" spans="1:14" s="12" customFormat="1" ht="18">
      <c r="A226" s="178" t="s">
        <v>80</v>
      </c>
      <c r="B226" s="75" t="s">
        <v>730</v>
      </c>
      <c r="C226" s="70" t="s">
        <v>17</v>
      </c>
      <c r="D226" s="236"/>
      <c r="E226" s="210"/>
      <c r="F226" s="210"/>
      <c r="G226" s="210"/>
      <c r="H226" s="40">
        <f>SUM(Tabla132112419[[#This Row],[PRIMER TRIMESTRE]:[CUARTO TRIMESTRE]])</f>
        <v>0</v>
      </c>
      <c r="I226" s="17">
        <v>246.34</v>
      </c>
      <c r="J226" s="17">
        <f t="shared" si="5"/>
        <v>0</v>
      </c>
      <c r="K226" s="17"/>
      <c r="L226" s="16" t="s">
        <v>18</v>
      </c>
      <c r="M226" s="16" t="s">
        <v>22</v>
      </c>
      <c r="N226" s="39" t="s">
        <v>418</v>
      </c>
    </row>
    <row r="227" spans="1:14" s="12" customFormat="1" ht="18">
      <c r="A227" s="178" t="s">
        <v>80</v>
      </c>
      <c r="B227" s="75" t="s">
        <v>570</v>
      </c>
      <c r="C227" s="70" t="s">
        <v>17</v>
      </c>
      <c r="D227" s="236"/>
      <c r="E227" s="210"/>
      <c r="F227" s="210"/>
      <c r="G227" s="210"/>
      <c r="H227" s="40">
        <f>SUM(Tabla132112419[[#This Row],[PRIMER TRIMESTRE]:[CUARTO TRIMESTRE]])</f>
        <v>0</v>
      </c>
      <c r="I227" s="17">
        <v>4100</v>
      </c>
      <c r="J227" s="17">
        <f t="shared" si="5"/>
        <v>0</v>
      </c>
      <c r="K227" s="17"/>
      <c r="L227" s="16" t="s">
        <v>18</v>
      </c>
      <c r="M227" s="16" t="s">
        <v>22</v>
      </c>
      <c r="N227" s="39" t="s">
        <v>418</v>
      </c>
    </row>
    <row r="228" spans="1:14" s="12" customFormat="1" ht="18">
      <c r="A228" s="178" t="s">
        <v>80</v>
      </c>
      <c r="B228" s="75" t="s">
        <v>919</v>
      </c>
      <c r="C228" s="70" t="s">
        <v>17</v>
      </c>
      <c r="D228" s="236"/>
      <c r="E228" s="210"/>
      <c r="F228" s="210"/>
      <c r="G228" s="210"/>
      <c r="H228" s="40">
        <f>SUM(Tabla132112419[[#This Row],[PRIMER TRIMESTRE]:[CUARTO TRIMESTRE]])</f>
        <v>0</v>
      </c>
      <c r="I228" s="17">
        <v>31500</v>
      </c>
      <c r="J228" s="17">
        <f t="shared" si="5"/>
        <v>0</v>
      </c>
      <c r="K228" s="17"/>
      <c r="L228" s="16" t="s">
        <v>18</v>
      </c>
      <c r="M228" s="16" t="s">
        <v>22</v>
      </c>
      <c r="N228" s="39"/>
    </row>
    <row r="229" spans="1:14" s="12" customFormat="1" ht="18">
      <c r="A229" s="178" t="s">
        <v>80</v>
      </c>
      <c r="B229" s="75" t="s">
        <v>1555</v>
      </c>
      <c r="C229" s="70" t="s">
        <v>17</v>
      </c>
      <c r="D229" s="236"/>
      <c r="E229" s="236"/>
      <c r="F229" s="236"/>
      <c r="G229" s="236"/>
      <c r="H229" s="236">
        <f>SUM(Tabla132112419[[#This Row],[PRIMER TRIMESTRE]:[CUARTO TRIMESTRE]])</f>
        <v>0</v>
      </c>
      <c r="I229" s="17">
        <v>324</v>
      </c>
      <c r="J229" s="17">
        <f t="shared" si="5"/>
        <v>0</v>
      </c>
      <c r="K229" s="17"/>
      <c r="L229" s="16" t="s">
        <v>18</v>
      </c>
      <c r="M229" s="16" t="s">
        <v>22</v>
      </c>
      <c r="N229" s="39"/>
    </row>
    <row r="230" spans="1:14" s="12" customFormat="1" ht="18">
      <c r="A230" s="178" t="s">
        <v>80</v>
      </c>
      <c r="B230" s="75" t="s">
        <v>1590</v>
      </c>
      <c r="C230" s="176" t="s">
        <v>17</v>
      </c>
      <c r="D230" s="236"/>
      <c r="E230" s="236"/>
      <c r="F230" s="236"/>
      <c r="G230" s="236"/>
      <c r="H230" s="236">
        <f>SUM(Tabla132112419[[#This Row],[PRIMER TRIMESTRE]:[CUARTO TRIMESTRE]])</f>
        <v>0</v>
      </c>
      <c r="I230" s="17">
        <v>196.4</v>
      </c>
      <c r="J230" s="17">
        <f t="shared" si="5"/>
        <v>0</v>
      </c>
      <c r="K230" s="17"/>
      <c r="L230" s="16" t="s">
        <v>18</v>
      </c>
      <c r="M230" s="16" t="s">
        <v>22</v>
      </c>
      <c r="N230" s="39"/>
    </row>
    <row r="231" spans="1:14" s="12" customFormat="1" ht="18">
      <c r="A231" s="178" t="s">
        <v>80</v>
      </c>
      <c r="B231" s="75" t="s">
        <v>1556</v>
      </c>
      <c r="C231" s="176" t="s">
        <v>17</v>
      </c>
      <c r="D231" s="236"/>
      <c r="E231" s="236"/>
      <c r="F231" s="236"/>
      <c r="G231" s="236"/>
      <c r="H231" s="236">
        <f>SUM(Tabla132112419[[#This Row],[PRIMER TRIMESTRE]:[CUARTO TRIMESTRE]])</f>
        <v>0</v>
      </c>
      <c r="I231" s="17">
        <v>390</v>
      </c>
      <c r="J231" s="17">
        <f t="shared" si="5"/>
        <v>0</v>
      </c>
      <c r="K231" s="17"/>
      <c r="L231" s="16" t="s">
        <v>18</v>
      </c>
      <c r="M231" s="16" t="s">
        <v>22</v>
      </c>
      <c r="N231" s="39"/>
    </row>
    <row r="232" spans="1:14" s="12" customFormat="1" ht="25.5">
      <c r="A232" s="178" t="s">
        <v>80</v>
      </c>
      <c r="B232" s="77" t="s">
        <v>925</v>
      </c>
      <c r="C232" s="39" t="s">
        <v>93</v>
      </c>
      <c r="D232" s="236"/>
      <c r="E232" s="236"/>
      <c r="F232" s="236"/>
      <c r="G232" s="236"/>
      <c r="H232" s="40">
        <f>SUM(Tabla132112419[[#This Row],[PRIMER TRIMESTRE]:[CUARTO TRIMESTRE]])</f>
        <v>0</v>
      </c>
      <c r="I232" s="17">
        <v>125</v>
      </c>
      <c r="J232" s="17">
        <f t="shared" si="5"/>
        <v>0</v>
      </c>
      <c r="K232" s="17"/>
      <c r="L232" s="16" t="s">
        <v>18</v>
      </c>
      <c r="M232" s="16" t="s">
        <v>22</v>
      </c>
      <c r="N232" s="39"/>
    </row>
    <row r="233" spans="1:14" s="12" customFormat="1" ht="25.5">
      <c r="A233" s="178" t="s">
        <v>80</v>
      </c>
      <c r="B233" s="77" t="s">
        <v>926</v>
      </c>
      <c r="C233" s="39" t="s">
        <v>93</v>
      </c>
      <c r="D233" s="236"/>
      <c r="E233" s="236"/>
      <c r="F233" s="236"/>
      <c r="G233" s="236"/>
      <c r="H233" s="40">
        <f>SUM(Tabla132112419[[#This Row],[PRIMER TRIMESTRE]:[CUARTO TRIMESTRE]])</f>
        <v>0</v>
      </c>
      <c r="I233" s="17">
        <v>150</v>
      </c>
      <c r="J233" s="17">
        <f t="shared" si="5"/>
        <v>0</v>
      </c>
      <c r="K233" s="17"/>
      <c r="L233" s="16" t="s">
        <v>18</v>
      </c>
      <c r="M233" s="16" t="s">
        <v>22</v>
      </c>
      <c r="N233" s="39"/>
    </row>
    <row r="234" spans="1:14" s="12" customFormat="1" ht="18">
      <c r="A234" s="178" t="s">
        <v>80</v>
      </c>
      <c r="B234" s="77" t="s">
        <v>927</v>
      </c>
      <c r="C234" s="39" t="s">
        <v>17</v>
      </c>
      <c r="D234" s="236"/>
      <c r="E234" s="236"/>
      <c r="F234" s="236"/>
      <c r="G234" s="236"/>
      <c r="H234" s="40">
        <f>SUM(Tabla132112419[[#This Row],[PRIMER TRIMESTRE]:[CUARTO TRIMESTRE]])</f>
        <v>0</v>
      </c>
      <c r="I234" s="17">
        <v>25000</v>
      </c>
      <c r="J234" s="17">
        <f t="shared" si="5"/>
        <v>0</v>
      </c>
      <c r="K234" s="17"/>
      <c r="L234" s="16" t="s">
        <v>18</v>
      </c>
      <c r="M234" s="16" t="s">
        <v>22</v>
      </c>
      <c r="N234" s="39"/>
    </row>
    <row r="235" spans="1:14" s="12" customFormat="1" ht="18">
      <c r="A235" s="178" t="s">
        <v>80</v>
      </c>
      <c r="B235" s="77" t="s">
        <v>928</v>
      </c>
      <c r="C235" s="39" t="s">
        <v>17</v>
      </c>
      <c r="D235" s="236"/>
      <c r="E235" s="236"/>
      <c r="F235" s="236"/>
      <c r="G235" s="236"/>
      <c r="H235" s="40">
        <f>SUM(Tabla132112419[[#This Row],[PRIMER TRIMESTRE]:[CUARTO TRIMESTRE]])</f>
        <v>0</v>
      </c>
      <c r="I235" s="17">
        <v>10000</v>
      </c>
      <c r="J235" s="17">
        <f t="shared" si="5"/>
        <v>0</v>
      </c>
      <c r="K235" s="17"/>
      <c r="L235" s="16" t="s">
        <v>18</v>
      </c>
      <c r="M235" s="16" t="s">
        <v>22</v>
      </c>
      <c r="N235" s="39"/>
    </row>
    <row r="236" spans="1:14" s="12" customFormat="1" ht="18">
      <c r="A236" s="178" t="s">
        <v>80</v>
      </c>
      <c r="B236" s="77" t="s">
        <v>929</v>
      </c>
      <c r="C236" s="39" t="s">
        <v>17</v>
      </c>
      <c r="D236" s="236"/>
      <c r="E236" s="236"/>
      <c r="F236" s="236"/>
      <c r="G236" s="236"/>
      <c r="H236" s="40">
        <f>SUM(Tabla132112419[[#This Row],[PRIMER TRIMESTRE]:[CUARTO TRIMESTRE]])</f>
        <v>0</v>
      </c>
      <c r="I236" s="17">
        <v>1000</v>
      </c>
      <c r="J236" s="17">
        <f t="shared" si="5"/>
        <v>0</v>
      </c>
      <c r="K236" s="17"/>
      <c r="L236" s="16" t="s">
        <v>18</v>
      </c>
      <c r="M236" s="16" t="s">
        <v>22</v>
      </c>
      <c r="N236" s="39"/>
    </row>
    <row r="237" spans="1:14" s="12" customFormat="1" ht="18">
      <c r="A237" s="178" t="s">
        <v>80</v>
      </c>
      <c r="B237" s="77" t="s">
        <v>930</v>
      </c>
      <c r="C237" s="39" t="s">
        <v>17</v>
      </c>
      <c r="D237" s="236"/>
      <c r="E237" s="236"/>
      <c r="F237" s="236"/>
      <c r="G237" s="236"/>
      <c r="H237" s="40">
        <f>SUM(Tabla132112419[[#This Row],[PRIMER TRIMESTRE]:[CUARTO TRIMESTRE]])</f>
        <v>0</v>
      </c>
      <c r="I237" s="17">
        <v>2500</v>
      </c>
      <c r="J237" s="17">
        <f t="shared" si="5"/>
        <v>0</v>
      </c>
      <c r="K237" s="17"/>
      <c r="L237" s="16" t="s">
        <v>18</v>
      </c>
      <c r="M237" s="16" t="s">
        <v>22</v>
      </c>
      <c r="N237" s="39"/>
    </row>
    <row r="238" spans="1:14" s="12" customFormat="1" ht="18">
      <c r="A238" s="178" t="s">
        <v>80</v>
      </c>
      <c r="B238" s="77" t="s">
        <v>931</v>
      </c>
      <c r="C238" s="39" t="s">
        <v>17</v>
      </c>
      <c r="D238" s="236"/>
      <c r="E238" s="236"/>
      <c r="F238" s="236"/>
      <c r="G238" s="236"/>
      <c r="H238" s="40">
        <f>SUM(Tabla132112419[[#This Row],[PRIMER TRIMESTRE]:[CUARTO TRIMESTRE]])</f>
        <v>0</v>
      </c>
      <c r="I238" s="17">
        <v>5000</v>
      </c>
      <c r="J238" s="17">
        <f t="shared" si="5"/>
        <v>0</v>
      </c>
      <c r="K238" s="17"/>
      <c r="L238" s="16" t="s">
        <v>18</v>
      </c>
      <c r="M238" s="16" t="s">
        <v>22</v>
      </c>
      <c r="N238" s="39"/>
    </row>
    <row r="239" spans="1:14" s="12" customFormat="1" ht="18">
      <c r="A239" s="178" t="s">
        <v>80</v>
      </c>
      <c r="B239" s="75" t="s">
        <v>694</v>
      </c>
      <c r="C239" s="70" t="s">
        <v>17</v>
      </c>
      <c r="D239" s="236"/>
      <c r="E239" s="210"/>
      <c r="F239" s="210"/>
      <c r="G239" s="210"/>
      <c r="H239" s="40">
        <f>SUM(Tabla132112419[[#This Row],[PRIMER TRIMESTRE]:[CUARTO TRIMESTRE]])</f>
        <v>0</v>
      </c>
      <c r="I239" s="72">
        <v>850</v>
      </c>
      <c r="J239" s="17">
        <f t="shared" si="5"/>
        <v>0</v>
      </c>
      <c r="K239" s="17"/>
      <c r="L239" s="16" t="s">
        <v>18</v>
      </c>
      <c r="M239" s="16" t="s">
        <v>22</v>
      </c>
      <c r="N239" s="39" t="s">
        <v>418</v>
      </c>
    </row>
    <row r="240" spans="1:14" s="12" customFormat="1" ht="18">
      <c r="A240" s="178" t="s">
        <v>80</v>
      </c>
      <c r="B240" s="75" t="s">
        <v>695</v>
      </c>
      <c r="C240" s="70" t="s">
        <v>17</v>
      </c>
      <c r="D240" s="236"/>
      <c r="E240" s="210"/>
      <c r="F240" s="210"/>
      <c r="G240" s="210"/>
      <c r="H240" s="40">
        <f>SUM(Tabla132112419[[#This Row],[PRIMER TRIMESTRE]:[CUARTO TRIMESTRE]])</f>
        <v>0</v>
      </c>
      <c r="I240" s="72">
        <v>850</v>
      </c>
      <c r="J240" s="17">
        <f t="shared" si="5"/>
        <v>0</v>
      </c>
      <c r="K240" s="17"/>
      <c r="L240" s="16" t="s">
        <v>18</v>
      </c>
      <c r="M240" s="16" t="s">
        <v>22</v>
      </c>
      <c r="N240" s="39" t="s">
        <v>418</v>
      </c>
    </row>
    <row r="241" spans="1:14" s="12" customFormat="1" ht="18">
      <c r="A241" s="178" t="s">
        <v>80</v>
      </c>
      <c r="B241" s="75" t="s">
        <v>1182</v>
      </c>
      <c r="C241" s="70" t="s">
        <v>17</v>
      </c>
      <c r="D241" s="236"/>
      <c r="E241" s="210"/>
      <c r="F241" s="210"/>
      <c r="G241" s="210"/>
      <c r="H241" s="40">
        <f>SUM(Tabla132112419[[#This Row],[PRIMER TRIMESTRE]:[CUARTO TRIMESTRE]])</f>
        <v>0</v>
      </c>
      <c r="I241" s="72">
        <v>850</v>
      </c>
      <c r="J241" s="17">
        <f t="shared" si="5"/>
        <v>0</v>
      </c>
      <c r="K241" s="17"/>
      <c r="L241" s="16" t="s">
        <v>18</v>
      </c>
      <c r="M241" s="16" t="s">
        <v>22</v>
      </c>
      <c r="N241" s="39" t="s">
        <v>418</v>
      </c>
    </row>
    <row r="242" spans="1:14" s="12" customFormat="1" ht="18">
      <c r="A242" s="178" t="s">
        <v>80</v>
      </c>
      <c r="B242" s="75" t="s">
        <v>1183</v>
      </c>
      <c r="C242" s="70" t="s">
        <v>17</v>
      </c>
      <c r="D242" s="236"/>
      <c r="E242" s="210"/>
      <c r="F242" s="210"/>
      <c r="G242" s="210"/>
      <c r="H242" s="40">
        <f>SUM(Tabla132112419[[#This Row],[PRIMER TRIMESTRE]:[CUARTO TRIMESTRE]])</f>
        <v>0</v>
      </c>
      <c r="I242" s="72">
        <v>850</v>
      </c>
      <c r="J242" s="17">
        <f t="shared" si="5"/>
        <v>0</v>
      </c>
      <c r="K242" s="17"/>
      <c r="L242" s="16" t="s">
        <v>18</v>
      </c>
      <c r="M242" s="16" t="s">
        <v>22</v>
      </c>
      <c r="N242" s="39" t="s">
        <v>418</v>
      </c>
    </row>
    <row r="243" spans="1:14" s="12" customFormat="1" ht="18">
      <c r="A243" s="178" t="s">
        <v>80</v>
      </c>
      <c r="B243" s="75" t="s">
        <v>1184</v>
      </c>
      <c r="C243" s="70" t="s">
        <v>17</v>
      </c>
      <c r="D243" s="236"/>
      <c r="E243" s="210"/>
      <c r="F243" s="210"/>
      <c r="G243" s="210"/>
      <c r="H243" s="40">
        <f>SUM(Tabla132112419[[#This Row],[PRIMER TRIMESTRE]:[CUARTO TRIMESTRE]])</f>
        <v>0</v>
      </c>
      <c r="I243" s="72">
        <v>850</v>
      </c>
      <c r="J243" s="17">
        <f t="shared" si="5"/>
        <v>0</v>
      </c>
      <c r="K243" s="17"/>
      <c r="L243" s="16" t="s">
        <v>18</v>
      </c>
      <c r="M243" s="16" t="s">
        <v>22</v>
      </c>
      <c r="N243" s="39" t="s">
        <v>418</v>
      </c>
    </row>
    <row r="244" spans="1:14" s="12" customFormat="1" ht="18">
      <c r="A244" s="178" t="s">
        <v>80</v>
      </c>
      <c r="B244" s="75" t="s">
        <v>1185</v>
      </c>
      <c r="C244" s="70" t="s">
        <v>17</v>
      </c>
      <c r="D244" s="236"/>
      <c r="E244" s="210"/>
      <c r="F244" s="210"/>
      <c r="G244" s="210"/>
      <c r="H244" s="40">
        <f>SUM(Tabla132112419[[#This Row],[PRIMER TRIMESTRE]:[CUARTO TRIMESTRE]])</f>
        <v>0</v>
      </c>
      <c r="I244" s="72">
        <v>850</v>
      </c>
      <c r="J244" s="17">
        <f t="shared" si="5"/>
        <v>0</v>
      </c>
      <c r="K244" s="17"/>
      <c r="L244" s="16" t="s">
        <v>18</v>
      </c>
      <c r="M244" s="16" t="s">
        <v>22</v>
      </c>
      <c r="N244" s="39" t="s">
        <v>418</v>
      </c>
    </row>
    <row r="245" spans="1:14" s="12" customFormat="1" ht="18">
      <c r="A245" s="178" t="s">
        <v>80</v>
      </c>
      <c r="B245" s="75" t="s">
        <v>696</v>
      </c>
      <c r="C245" s="70" t="s">
        <v>17</v>
      </c>
      <c r="D245" s="236"/>
      <c r="E245" s="210"/>
      <c r="F245" s="210"/>
      <c r="G245" s="210"/>
      <c r="H245" s="40">
        <f>SUM(Tabla132112419[[#This Row],[PRIMER TRIMESTRE]:[CUARTO TRIMESTRE]])</f>
        <v>0</v>
      </c>
      <c r="I245" s="72">
        <v>970</v>
      </c>
      <c r="J245" s="17">
        <f t="shared" si="5"/>
        <v>0</v>
      </c>
      <c r="K245" s="17"/>
      <c r="L245" s="16" t="s">
        <v>18</v>
      </c>
      <c r="M245" s="16" t="s">
        <v>22</v>
      </c>
      <c r="N245" s="39" t="s">
        <v>418</v>
      </c>
    </row>
    <row r="246" spans="1:14" s="12" customFormat="1" ht="18">
      <c r="A246" s="178" t="s">
        <v>80</v>
      </c>
      <c r="B246" s="75" t="s">
        <v>1186</v>
      </c>
      <c r="C246" s="70" t="s">
        <v>17</v>
      </c>
      <c r="D246" s="236"/>
      <c r="E246" s="210"/>
      <c r="F246" s="210"/>
      <c r="G246" s="210"/>
      <c r="H246" s="40">
        <f>SUM(Tabla132112419[[#This Row],[PRIMER TRIMESTRE]:[CUARTO TRIMESTRE]])</f>
        <v>0</v>
      </c>
      <c r="I246" s="72">
        <v>850</v>
      </c>
      <c r="J246" s="17">
        <f t="shared" si="5"/>
        <v>0</v>
      </c>
      <c r="K246" s="17"/>
      <c r="L246" s="16" t="s">
        <v>18</v>
      </c>
      <c r="M246" s="16" t="s">
        <v>22</v>
      </c>
      <c r="N246" s="39" t="s">
        <v>418</v>
      </c>
    </row>
    <row r="247" spans="1:14" s="12" customFormat="1" ht="18">
      <c r="A247" s="178" t="s">
        <v>80</v>
      </c>
      <c r="B247" s="75" t="s">
        <v>1187</v>
      </c>
      <c r="C247" s="70" t="s">
        <v>17</v>
      </c>
      <c r="D247" s="236"/>
      <c r="E247" s="210"/>
      <c r="F247" s="210"/>
      <c r="G247" s="210"/>
      <c r="H247" s="40">
        <f>SUM(Tabla132112419[[#This Row],[PRIMER TRIMESTRE]:[CUARTO TRIMESTRE]])</f>
        <v>0</v>
      </c>
      <c r="I247" s="72">
        <v>850</v>
      </c>
      <c r="J247" s="17">
        <f t="shared" si="5"/>
        <v>0</v>
      </c>
      <c r="K247" s="17"/>
      <c r="L247" s="16" t="s">
        <v>18</v>
      </c>
      <c r="M247" s="16" t="s">
        <v>22</v>
      </c>
      <c r="N247" s="39" t="s">
        <v>418</v>
      </c>
    </row>
    <row r="248" spans="1:14" s="12" customFormat="1" ht="18">
      <c r="A248" s="178" t="s">
        <v>80</v>
      </c>
      <c r="B248" s="75" t="s">
        <v>1188</v>
      </c>
      <c r="C248" s="70" t="s">
        <v>17</v>
      </c>
      <c r="D248" s="236"/>
      <c r="E248" s="210"/>
      <c r="F248" s="210"/>
      <c r="G248" s="210"/>
      <c r="H248" s="40">
        <f>SUM(Tabla132112419[[#This Row],[PRIMER TRIMESTRE]:[CUARTO TRIMESTRE]])</f>
        <v>0</v>
      </c>
      <c r="I248" s="72">
        <v>850</v>
      </c>
      <c r="J248" s="17">
        <f t="shared" si="5"/>
        <v>0</v>
      </c>
      <c r="K248" s="17"/>
      <c r="L248" s="16" t="s">
        <v>18</v>
      </c>
      <c r="M248" s="16" t="s">
        <v>22</v>
      </c>
      <c r="N248" s="39" t="s">
        <v>418</v>
      </c>
    </row>
    <row r="249" spans="1:14" s="12" customFormat="1" ht="18">
      <c r="A249" s="178" t="s">
        <v>80</v>
      </c>
      <c r="B249" s="75" t="s">
        <v>1189</v>
      </c>
      <c r="C249" s="70" t="s">
        <v>17</v>
      </c>
      <c r="D249" s="236"/>
      <c r="E249" s="210"/>
      <c r="F249" s="210"/>
      <c r="G249" s="210"/>
      <c r="H249" s="40">
        <f>SUM(Tabla132112419[[#This Row],[PRIMER TRIMESTRE]:[CUARTO TRIMESTRE]])</f>
        <v>0</v>
      </c>
      <c r="I249" s="72">
        <v>850</v>
      </c>
      <c r="J249" s="17">
        <f t="shared" si="5"/>
        <v>0</v>
      </c>
      <c r="K249" s="17"/>
      <c r="L249" s="16" t="s">
        <v>18</v>
      </c>
      <c r="M249" s="16" t="s">
        <v>22</v>
      </c>
      <c r="N249" s="39" t="s">
        <v>418</v>
      </c>
    </row>
    <row r="250" spans="1:14" s="12" customFormat="1" ht="18">
      <c r="A250" s="178" t="s">
        <v>80</v>
      </c>
      <c r="B250" s="75" t="s">
        <v>1190</v>
      </c>
      <c r="C250" s="70" t="s">
        <v>17</v>
      </c>
      <c r="D250" s="236"/>
      <c r="E250" s="210"/>
      <c r="F250" s="210"/>
      <c r="G250" s="210"/>
      <c r="H250" s="40">
        <f>SUM(Tabla132112419[[#This Row],[PRIMER TRIMESTRE]:[CUARTO TRIMESTRE]])</f>
        <v>0</v>
      </c>
      <c r="I250" s="72">
        <v>970</v>
      </c>
      <c r="J250" s="17">
        <f t="shared" si="5"/>
        <v>0</v>
      </c>
      <c r="K250" s="17"/>
      <c r="L250" s="16" t="s">
        <v>18</v>
      </c>
      <c r="M250" s="16" t="s">
        <v>22</v>
      </c>
      <c r="N250" s="39" t="s">
        <v>418</v>
      </c>
    </row>
    <row r="251" spans="1:14" s="12" customFormat="1" ht="18">
      <c r="A251" s="178" t="s">
        <v>80</v>
      </c>
      <c r="B251" s="75" t="s">
        <v>1191</v>
      </c>
      <c r="C251" s="70" t="s">
        <v>17</v>
      </c>
      <c r="D251" s="236"/>
      <c r="E251" s="210"/>
      <c r="F251" s="210"/>
      <c r="G251" s="210"/>
      <c r="H251" s="40">
        <f>SUM(Tabla132112419[[#This Row],[PRIMER TRIMESTRE]:[CUARTO TRIMESTRE]])</f>
        <v>0</v>
      </c>
      <c r="I251" s="72">
        <v>970</v>
      </c>
      <c r="J251" s="17">
        <f t="shared" si="5"/>
        <v>0</v>
      </c>
      <c r="K251" s="17"/>
      <c r="L251" s="16" t="s">
        <v>18</v>
      </c>
      <c r="M251" s="16" t="s">
        <v>22</v>
      </c>
      <c r="N251" s="39" t="s">
        <v>418</v>
      </c>
    </row>
    <row r="252" spans="1:14" s="12" customFormat="1" ht="18">
      <c r="A252" s="178" t="s">
        <v>80</v>
      </c>
      <c r="B252" s="75" t="s">
        <v>1192</v>
      </c>
      <c r="C252" s="70" t="s">
        <v>17</v>
      </c>
      <c r="D252" s="236"/>
      <c r="E252" s="210"/>
      <c r="F252" s="210"/>
      <c r="G252" s="210"/>
      <c r="H252" s="40">
        <f>SUM(Tabla132112419[[#This Row],[PRIMER TRIMESTRE]:[CUARTO TRIMESTRE]])</f>
        <v>0</v>
      </c>
      <c r="I252" s="72">
        <v>970</v>
      </c>
      <c r="J252" s="17">
        <f t="shared" si="5"/>
        <v>0</v>
      </c>
      <c r="K252" s="17"/>
      <c r="L252" s="16" t="s">
        <v>18</v>
      </c>
      <c r="M252" s="16" t="s">
        <v>22</v>
      </c>
      <c r="N252" s="39" t="s">
        <v>418</v>
      </c>
    </row>
    <row r="253" spans="1:14" s="12" customFormat="1" ht="18">
      <c r="A253" s="178" t="s">
        <v>80</v>
      </c>
      <c r="B253" s="75" t="s">
        <v>1193</v>
      </c>
      <c r="C253" s="70" t="s">
        <v>17</v>
      </c>
      <c r="D253" s="236"/>
      <c r="E253" s="210"/>
      <c r="F253" s="210"/>
      <c r="G253" s="210"/>
      <c r="H253" s="40">
        <f>SUM(Tabla132112419[[#This Row],[PRIMER TRIMESTRE]:[CUARTO TRIMESTRE]])</f>
        <v>0</v>
      </c>
      <c r="I253" s="72">
        <v>970</v>
      </c>
      <c r="J253" s="17">
        <f t="shared" si="5"/>
        <v>0</v>
      </c>
      <c r="K253" s="17"/>
      <c r="L253" s="16" t="s">
        <v>18</v>
      </c>
      <c r="M253" s="16" t="s">
        <v>22</v>
      </c>
      <c r="N253" s="39" t="s">
        <v>418</v>
      </c>
    </row>
    <row r="254" spans="1:14" s="12" customFormat="1" ht="18">
      <c r="A254" s="178" t="s">
        <v>80</v>
      </c>
      <c r="B254" s="75" t="s">
        <v>1194</v>
      </c>
      <c r="C254" s="70" t="s">
        <v>17</v>
      </c>
      <c r="D254" s="236"/>
      <c r="E254" s="210"/>
      <c r="F254" s="210"/>
      <c r="G254" s="210"/>
      <c r="H254" s="40">
        <f>SUM(Tabla132112419[[#This Row],[PRIMER TRIMESTRE]:[CUARTO TRIMESTRE]])</f>
        <v>0</v>
      </c>
      <c r="I254" s="72">
        <v>970</v>
      </c>
      <c r="J254" s="17">
        <f t="shared" si="5"/>
        <v>0</v>
      </c>
      <c r="K254" s="17"/>
      <c r="L254" s="16" t="s">
        <v>18</v>
      </c>
      <c r="M254" s="16" t="s">
        <v>22</v>
      </c>
      <c r="N254" s="39" t="s">
        <v>418</v>
      </c>
    </row>
    <row r="255" spans="1:14" s="12" customFormat="1" ht="18">
      <c r="A255" s="178" t="s">
        <v>80</v>
      </c>
      <c r="B255" s="75" t="s">
        <v>1195</v>
      </c>
      <c r="C255" s="70" t="s">
        <v>17</v>
      </c>
      <c r="D255" s="236"/>
      <c r="E255" s="210"/>
      <c r="F255" s="210"/>
      <c r="G255" s="210"/>
      <c r="H255" s="40">
        <f>SUM(Tabla132112419[[#This Row],[PRIMER TRIMESTRE]:[CUARTO TRIMESTRE]])</f>
        <v>0</v>
      </c>
      <c r="I255" s="72">
        <v>1870</v>
      </c>
      <c r="J255" s="17">
        <f t="shared" si="5"/>
        <v>0</v>
      </c>
      <c r="K255" s="17"/>
      <c r="L255" s="16" t="s">
        <v>18</v>
      </c>
      <c r="M255" s="16" t="s">
        <v>22</v>
      </c>
      <c r="N255" s="39" t="s">
        <v>418</v>
      </c>
    </row>
    <row r="256" spans="1:14" s="12" customFormat="1" ht="18">
      <c r="A256" s="178" t="s">
        <v>80</v>
      </c>
      <c r="B256" s="75" t="s">
        <v>1196</v>
      </c>
      <c r="C256" s="70" t="s">
        <v>17</v>
      </c>
      <c r="D256" s="236"/>
      <c r="E256" s="210"/>
      <c r="F256" s="210"/>
      <c r="G256" s="210"/>
      <c r="H256" s="40">
        <f>SUM(Tabla132112419[[#This Row],[PRIMER TRIMESTRE]:[CUARTO TRIMESTRE]])</f>
        <v>0</v>
      </c>
      <c r="I256" s="72">
        <v>2150</v>
      </c>
      <c r="J256" s="17">
        <f t="shared" si="5"/>
        <v>0</v>
      </c>
      <c r="K256" s="17"/>
      <c r="L256" s="16" t="s">
        <v>18</v>
      </c>
      <c r="M256" s="16" t="s">
        <v>22</v>
      </c>
      <c r="N256" s="39" t="s">
        <v>418</v>
      </c>
    </row>
    <row r="257" spans="1:14" s="12" customFormat="1" ht="18">
      <c r="A257" s="178" t="s">
        <v>80</v>
      </c>
      <c r="B257" s="75" t="s">
        <v>1197</v>
      </c>
      <c r="C257" s="70" t="s">
        <v>17</v>
      </c>
      <c r="D257" s="236"/>
      <c r="E257" s="210"/>
      <c r="F257" s="210"/>
      <c r="G257" s="210"/>
      <c r="H257" s="40">
        <f>SUM(Tabla132112419[[#This Row],[PRIMER TRIMESTRE]:[CUARTO TRIMESTRE]])</f>
        <v>0</v>
      </c>
      <c r="I257" s="72">
        <v>2860</v>
      </c>
      <c r="J257" s="17">
        <f t="shared" si="5"/>
        <v>0</v>
      </c>
      <c r="K257" s="17"/>
      <c r="L257" s="16" t="s">
        <v>18</v>
      </c>
      <c r="M257" s="16" t="s">
        <v>22</v>
      </c>
      <c r="N257" s="39" t="s">
        <v>418</v>
      </c>
    </row>
    <row r="258" spans="1:14" s="12" customFormat="1" ht="18">
      <c r="A258" s="178" t="s">
        <v>80</v>
      </c>
      <c r="B258" s="75" t="s">
        <v>1198</v>
      </c>
      <c r="C258" s="70" t="s">
        <v>17</v>
      </c>
      <c r="D258" s="236"/>
      <c r="E258" s="210"/>
      <c r="F258" s="210"/>
      <c r="G258" s="210"/>
      <c r="H258" s="40">
        <f>SUM(Tabla132112419[[#This Row],[PRIMER TRIMESTRE]:[CUARTO TRIMESTRE]])</f>
        <v>0</v>
      </c>
      <c r="I258" s="72">
        <v>2860</v>
      </c>
      <c r="J258" s="17">
        <f t="shared" si="5"/>
        <v>0</v>
      </c>
      <c r="K258" s="17"/>
      <c r="L258" s="16" t="s">
        <v>18</v>
      </c>
      <c r="M258" s="16" t="s">
        <v>22</v>
      </c>
      <c r="N258" s="39" t="s">
        <v>418</v>
      </c>
    </row>
    <row r="259" spans="1:14" s="12" customFormat="1" ht="18">
      <c r="A259" s="178" t="s">
        <v>80</v>
      </c>
      <c r="B259" s="75" t="s">
        <v>1199</v>
      </c>
      <c r="C259" s="70" t="s">
        <v>17</v>
      </c>
      <c r="D259" s="236"/>
      <c r="E259" s="210"/>
      <c r="F259" s="210"/>
      <c r="G259" s="210"/>
      <c r="H259" s="40">
        <f>SUM(Tabla132112419[[#This Row],[PRIMER TRIMESTRE]:[CUARTO TRIMESTRE]])</f>
        <v>0</v>
      </c>
      <c r="I259" s="72">
        <v>2860</v>
      </c>
      <c r="J259" s="17">
        <f t="shared" si="5"/>
        <v>0</v>
      </c>
      <c r="K259" s="17"/>
      <c r="L259" s="16" t="s">
        <v>18</v>
      </c>
      <c r="M259" s="16" t="s">
        <v>22</v>
      </c>
      <c r="N259" s="39" t="s">
        <v>418</v>
      </c>
    </row>
    <row r="260" spans="1:14" s="12" customFormat="1" ht="18">
      <c r="A260" s="178" t="s">
        <v>80</v>
      </c>
      <c r="B260" s="75" t="s">
        <v>1200</v>
      </c>
      <c r="C260" s="70" t="s">
        <v>17</v>
      </c>
      <c r="D260" s="236"/>
      <c r="E260" s="210"/>
      <c r="F260" s="210"/>
      <c r="G260" s="210"/>
      <c r="H260" s="40">
        <f>SUM(Tabla132112419[[#This Row],[PRIMER TRIMESTRE]:[CUARTO TRIMESTRE]])</f>
        <v>0</v>
      </c>
      <c r="I260" s="72">
        <v>2860</v>
      </c>
      <c r="J260" s="17">
        <f t="shared" si="5"/>
        <v>0</v>
      </c>
      <c r="K260" s="17"/>
      <c r="L260" s="16" t="s">
        <v>18</v>
      </c>
      <c r="M260" s="16" t="s">
        <v>22</v>
      </c>
      <c r="N260" s="39" t="s">
        <v>418</v>
      </c>
    </row>
    <row r="261" spans="1:14" s="12" customFormat="1" ht="18">
      <c r="A261" s="178" t="s">
        <v>80</v>
      </c>
      <c r="B261" s="75" t="s">
        <v>697</v>
      </c>
      <c r="C261" s="70" t="s">
        <v>17</v>
      </c>
      <c r="D261" s="236"/>
      <c r="E261" s="210"/>
      <c r="F261" s="210"/>
      <c r="G261" s="210"/>
      <c r="H261" s="40">
        <f>SUM(Tabla132112419[[#This Row],[PRIMER TRIMESTRE]:[CUARTO TRIMESTRE]])</f>
        <v>0</v>
      </c>
      <c r="I261" s="72">
        <v>1870</v>
      </c>
      <c r="J261" s="17">
        <f t="shared" si="5"/>
        <v>0</v>
      </c>
      <c r="K261" s="17"/>
      <c r="L261" s="16" t="s">
        <v>18</v>
      </c>
      <c r="M261" s="16" t="s">
        <v>22</v>
      </c>
      <c r="N261" s="39" t="s">
        <v>418</v>
      </c>
    </row>
    <row r="262" spans="1:14" s="12" customFormat="1" ht="18">
      <c r="A262" s="178" t="s">
        <v>80</v>
      </c>
      <c r="B262" s="75" t="s">
        <v>698</v>
      </c>
      <c r="C262" s="39" t="s">
        <v>17</v>
      </c>
      <c r="D262" s="236"/>
      <c r="E262" s="236"/>
      <c r="F262" s="236"/>
      <c r="G262" s="236"/>
      <c r="H262" s="40">
        <f>SUM(Tabla132112419[[#This Row],[PRIMER TRIMESTRE]:[CUARTO TRIMESTRE]])</f>
        <v>0</v>
      </c>
      <c r="I262" s="72">
        <v>2150</v>
      </c>
      <c r="J262" s="17">
        <f t="shared" si="5"/>
        <v>0</v>
      </c>
      <c r="K262" s="17"/>
      <c r="L262" s="16" t="s">
        <v>18</v>
      </c>
      <c r="M262" s="16" t="s">
        <v>22</v>
      </c>
      <c r="N262" s="39" t="s">
        <v>418</v>
      </c>
    </row>
    <row r="263" spans="1:14" s="12" customFormat="1" ht="18">
      <c r="A263" s="178" t="s">
        <v>80</v>
      </c>
      <c r="B263" s="75" t="s">
        <v>699</v>
      </c>
      <c r="C263" s="39" t="s">
        <v>17</v>
      </c>
      <c r="D263" s="236"/>
      <c r="E263" s="236"/>
      <c r="F263" s="236"/>
      <c r="G263" s="236"/>
      <c r="H263" s="40">
        <f>SUM(Tabla132112419[[#This Row],[PRIMER TRIMESTRE]:[CUARTO TRIMESTRE]])</f>
        <v>0</v>
      </c>
      <c r="I263" s="72">
        <v>2860</v>
      </c>
      <c r="J263" s="17">
        <f t="shared" si="5"/>
        <v>0</v>
      </c>
      <c r="K263" s="17"/>
      <c r="L263" s="16" t="s">
        <v>18</v>
      </c>
      <c r="M263" s="16" t="s">
        <v>22</v>
      </c>
      <c r="N263" s="39" t="s">
        <v>418</v>
      </c>
    </row>
    <row r="264" spans="1:14" s="12" customFormat="1" ht="18">
      <c r="A264" s="178" t="s">
        <v>80</v>
      </c>
      <c r="B264" s="75" t="s">
        <v>1201</v>
      </c>
      <c r="C264" s="39" t="s">
        <v>17</v>
      </c>
      <c r="D264" s="236"/>
      <c r="E264" s="236"/>
      <c r="F264" s="236"/>
      <c r="G264" s="236"/>
      <c r="H264" s="40">
        <f>SUM(Tabla132112419[[#This Row],[PRIMER TRIMESTRE]:[CUARTO TRIMESTRE]])</f>
        <v>0</v>
      </c>
      <c r="I264" s="72">
        <v>250</v>
      </c>
      <c r="J264" s="17">
        <f t="shared" si="5"/>
        <v>0</v>
      </c>
      <c r="K264" s="17"/>
      <c r="L264" s="16" t="s">
        <v>18</v>
      </c>
      <c r="M264" s="16" t="s">
        <v>22</v>
      </c>
      <c r="N264" s="39" t="s">
        <v>418</v>
      </c>
    </row>
    <row r="265" spans="1:14" s="12" customFormat="1" ht="18">
      <c r="A265" s="178" t="s">
        <v>80</v>
      </c>
      <c r="B265" s="75" t="s">
        <v>1202</v>
      </c>
      <c r="C265" s="39" t="s">
        <v>17</v>
      </c>
      <c r="D265" s="236"/>
      <c r="E265" s="236"/>
      <c r="F265" s="236"/>
      <c r="G265" s="236"/>
      <c r="H265" s="40">
        <f>SUM(Tabla132112419[[#This Row],[PRIMER TRIMESTRE]:[CUARTO TRIMESTRE]])</f>
        <v>0</v>
      </c>
      <c r="I265" s="72">
        <v>275</v>
      </c>
      <c r="J265" s="17">
        <f t="shared" si="5"/>
        <v>0</v>
      </c>
      <c r="K265" s="17"/>
      <c r="L265" s="16" t="s">
        <v>18</v>
      </c>
      <c r="M265" s="16" t="s">
        <v>22</v>
      </c>
      <c r="N265" s="39" t="s">
        <v>418</v>
      </c>
    </row>
    <row r="266" spans="1:14" s="12" customFormat="1" ht="18">
      <c r="A266" s="178" t="s">
        <v>80</v>
      </c>
      <c r="B266" s="75" t="s">
        <v>1203</v>
      </c>
      <c r="C266" s="39" t="s">
        <v>17</v>
      </c>
      <c r="D266" s="236"/>
      <c r="E266" s="236"/>
      <c r="F266" s="236"/>
      <c r="G266" s="236"/>
      <c r="H266" s="40">
        <f>SUM(Tabla132112419[[#This Row],[PRIMER TRIMESTRE]:[CUARTO TRIMESTRE]])</f>
        <v>0</v>
      </c>
      <c r="I266" s="72">
        <v>300</v>
      </c>
      <c r="J266" s="17">
        <f t="shared" si="5"/>
        <v>0</v>
      </c>
      <c r="K266" s="17"/>
      <c r="L266" s="16" t="s">
        <v>18</v>
      </c>
      <c r="M266" s="16" t="s">
        <v>22</v>
      </c>
      <c r="N266" s="39" t="s">
        <v>418</v>
      </c>
    </row>
    <row r="267" spans="1:14" s="12" customFormat="1" ht="18">
      <c r="A267" s="178" t="s">
        <v>80</v>
      </c>
      <c r="B267" s="75" t="s">
        <v>1204</v>
      </c>
      <c r="C267" s="39" t="s">
        <v>17</v>
      </c>
      <c r="D267" s="236"/>
      <c r="E267" s="236"/>
      <c r="F267" s="236"/>
      <c r="G267" s="236"/>
      <c r="H267" s="40">
        <f>SUM(Tabla132112419[[#This Row],[PRIMER TRIMESTRE]:[CUARTO TRIMESTRE]])</f>
        <v>0</v>
      </c>
      <c r="I267" s="72">
        <v>400</v>
      </c>
      <c r="J267" s="17">
        <f t="shared" si="5"/>
        <v>0</v>
      </c>
      <c r="K267" s="17"/>
      <c r="L267" s="16" t="s">
        <v>18</v>
      </c>
      <c r="M267" s="16" t="s">
        <v>22</v>
      </c>
      <c r="N267" s="39" t="s">
        <v>418</v>
      </c>
    </row>
    <row r="268" spans="1:14" s="12" customFormat="1" ht="18">
      <c r="A268" s="178" t="s">
        <v>80</v>
      </c>
      <c r="B268" s="75" t="s">
        <v>1205</v>
      </c>
      <c r="C268" s="39" t="s">
        <v>17</v>
      </c>
      <c r="D268" s="236"/>
      <c r="E268" s="236"/>
      <c r="F268" s="236"/>
      <c r="G268" s="236"/>
      <c r="H268" s="40">
        <f>SUM(Tabla132112419[[#This Row],[PRIMER TRIMESTRE]:[CUARTO TRIMESTRE]])</f>
        <v>0</v>
      </c>
      <c r="I268" s="72">
        <v>600</v>
      </c>
      <c r="J268" s="17">
        <f t="shared" si="5"/>
        <v>0</v>
      </c>
      <c r="K268" s="17"/>
      <c r="L268" s="16" t="s">
        <v>18</v>
      </c>
      <c r="M268" s="16" t="s">
        <v>22</v>
      </c>
      <c r="N268" s="39" t="s">
        <v>418</v>
      </c>
    </row>
    <row r="269" spans="1:14" s="12" customFormat="1" ht="18">
      <c r="A269" s="178" t="s">
        <v>80</v>
      </c>
      <c r="B269" s="75" t="s">
        <v>1206</v>
      </c>
      <c r="C269" s="39" t="s">
        <v>17</v>
      </c>
      <c r="D269" s="236"/>
      <c r="E269" s="236"/>
      <c r="F269" s="236"/>
      <c r="G269" s="236"/>
      <c r="H269" s="40">
        <f>SUM(Tabla132112419[[#This Row],[PRIMER TRIMESTRE]:[CUARTO TRIMESTRE]])</f>
        <v>0</v>
      </c>
      <c r="I269" s="72">
        <v>800</v>
      </c>
      <c r="J269" s="17">
        <f t="shared" si="5"/>
        <v>0</v>
      </c>
      <c r="K269" s="17"/>
      <c r="L269" s="16" t="s">
        <v>18</v>
      </c>
      <c r="M269" s="16" t="s">
        <v>22</v>
      </c>
      <c r="N269" s="39" t="s">
        <v>418</v>
      </c>
    </row>
    <row r="270" spans="1:14" s="12" customFormat="1" ht="18">
      <c r="A270" s="178" t="s">
        <v>80</v>
      </c>
      <c r="B270" s="75" t="s">
        <v>1207</v>
      </c>
      <c r="C270" s="39" t="s">
        <v>17</v>
      </c>
      <c r="D270" s="236"/>
      <c r="E270" s="236"/>
      <c r="F270" s="236"/>
      <c r="G270" s="236"/>
      <c r="H270" s="40">
        <f>SUM(Tabla132112419[[#This Row],[PRIMER TRIMESTRE]:[CUARTO TRIMESTRE]])</f>
        <v>0</v>
      </c>
      <c r="I270" s="72">
        <v>1200</v>
      </c>
      <c r="J270" s="17">
        <f t="shared" si="5"/>
        <v>0</v>
      </c>
      <c r="K270" s="17"/>
      <c r="L270" s="16" t="s">
        <v>18</v>
      </c>
      <c r="M270" s="16" t="s">
        <v>22</v>
      </c>
      <c r="N270" s="39" t="s">
        <v>418</v>
      </c>
    </row>
    <row r="271" spans="1:14" s="12" customFormat="1" ht="18">
      <c r="A271" s="178" t="s">
        <v>80</v>
      </c>
      <c r="B271" s="75" t="s">
        <v>1208</v>
      </c>
      <c r="C271" s="39" t="s">
        <v>17</v>
      </c>
      <c r="D271" s="236"/>
      <c r="E271" s="236"/>
      <c r="F271" s="236"/>
      <c r="G271" s="236"/>
      <c r="H271" s="40">
        <f>SUM(Tabla132112419[[#This Row],[PRIMER TRIMESTRE]:[CUARTO TRIMESTRE]])</f>
        <v>0</v>
      </c>
      <c r="I271" s="72">
        <v>1600</v>
      </c>
      <c r="J271" s="17">
        <f t="shared" si="5"/>
        <v>0</v>
      </c>
      <c r="K271" s="17"/>
      <c r="L271" s="16" t="s">
        <v>18</v>
      </c>
      <c r="M271" s="16" t="s">
        <v>22</v>
      </c>
      <c r="N271" s="39" t="s">
        <v>418</v>
      </c>
    </row>
    <row r="272" spans="1:14" s="12" customFormat="1" ht="18">
      <c r="A272" s="178" t="s">
        <v>80</v>
      </c>
      <c r="B272" s="75" t="s">
        <v>1209</v>
      </c>
      <c r="C272" s="39" t="s">
        <v>17</v>
      </c>
      <c r="D272" s="236"/>
      <c r="E272" s="236"/>
      <c r="F272" s="236"/>
      <c r="G272" s="236"/>
      <c r="H272" s="40">
        <f>SUM(Tabla132112419[[#This Row],[PRIMER TRIMESTRE]:[CUARTO TRIMESTRE]])</f>
        <v>0</v>
      </c>
      <c r="I272" s="72">
        <v>1800</v>
      </c>
      <c r="J272" s="17">
        <f t="shared" si="5"/>
        <v>0</v>
      </c>
      <c r="K272" s="17"/>
      <c r="L272" s="16" t="s">
        <v>18</v>
      </c>
      <c r="M272" s="16" t="s">
        <v>22</v>
      </c>
      <c r="N272" s="39" t="s">
        <v>418</v>
      </c>
    </row>
    <row r="273" spans="1:14" s="12" customFormat="1" ht="18">
      <c r="A273" s="178" t="s">
        <v>80</v>
      </c>
      <c r="B273" s="75" t="s">
        <v>1210</v>
      </c>
      <c r="C273" s="39" t="s">
        <v>17</v>
      </c>
      <c r="D273" s="236"/>
      <c r="E273" s="236"/>
      <c r="F273" s="236"/>
      <c r="G273" s="236"/>
      <c r="H273" s="40">
        <f>SUM(Tabla132112419[[#This Row],[PRIMER TRIMESTRE]:[CUARTO TRIMESTRE]])</f>
        <v>0</v>
      </c>
      <c r="I273" s="72">
        <v>2000</v>
      </c>
      <c r="J273" s="17">
        <f t="shared" si="5"/>
        <v>0</v>
      </c>
      <c r="K273" s="17"/>
      <c r="L273" s="16" t="s">
        <v>18</v>
      </c>
      <c r="M273" s="16" t="s">
        <v>22</v>
      </c>
      <c r="N273" s="39" t="s">
        <v>418</v>
      </c>
    </row>
    <row r="274" spans="1:14" s="12" customFormat="1" ht="18">
      <c r="A274" s="178" t="s">
        <v>80</v>
      </c>
      <c r="B274" s="75" t="s">
        <v>1211</v>
      </c>
      <c r="C274" s="39" t="s">
        <v>17</v>
      </c>
      <c r="D274" s="236"/>
      <c r="E274" s="236"/>
      <c r="F274" s="236"/>
      <c r="G274" s="236"/>
      <c r="H274" s="40">
        <f>SUM(Tabla132112419[[#This Row],[PRIMER TRIMESTRE]:[CUARTO TRIMESTRE]])</f>
        <v>0</v>
      </c>
      <c r="I274" s="72">
        <v>3200</v>
      </c>
      <c r="J274" s="17">
        <f t="shared" si="5"/>
        <v>0</v>
      </c>
      <c r="K274" s="17"/>
      <c r="L274" s="16" t="s">
        <v>18</v>
      </c>
      <c r="M274" s="16" t="s">
        <v>22</v>
      </c>
      <c r="N274" s="39" t="s">
        <v>418</v>
      </c>
    </row>
    <row r="275" spans="1:14" s="12" customFormat="1" ht="18">
      <c r="A275" s="178" t="s">
        <v>80</v>
      </c>
      <c r="B275" s="75" t="s">
        <v>1212</v>
      </c>
      <c r="C275" s="39" t="s">
        <v>17</v>
      </c>
      <c r="D275" s="236"/>
      <c r="E275" s="236"/>
      <c r="F275" s="236"/>
      <c r="G275" s="236"/>
      <c r="H275" s="40">
        <f>SUM(Tabla132112419[[#This Row],[PRIMER TRIMESTRE]:[CUARTO TRIMESTRE]])</f>
        <v>0</v>
      </c>
      <c r="I275" s="72">
        <v>3800</v>
      </c>
      <c r="J275" s="17">
        <f t="shared" si="5"/>
        <v>0</v>
      </c>
      <c r="K275" s="17"/>
      <c r="L275" s="16" t="s">
        <v>18</v>
      </c>
      <c r="M275" s="16" t="s">
        <v>22</v>
      </c>
      <c r="N275" s="39" t="s">
        <v>418</v>
      </c>
    </row>
    <row r="276" spans="1:14" s="12" customFormat="1" ht="18">
      <c r="A276" s="178" t="s">
        <v>80</v>
      </c>
      <c r="B276" s="75" t="s">
        <v>580</v>
      </c>
      <c r="C276" s="39" t="s">
        <v>17</v>
      </c>
      <c r="D276" s="236"/>
      <c r="E276" s="236"/>
      <c r="F276" s="236"/>
      <c r="G276" s="236"/>
      <c r="H276" s="40">
        <f>SUM(Tabla132112419[[#This Row],[PRIMER TRIMESTRE]:[CUARTO TRIMESTRE]])</f>
        <v>0</v>
      </c>
      <c r="I276" s="17">
        <v>29</v>
      </c>
      <c r="J276" s="17">
        <f t="shared" si="5"/>
        <v>0</v>
      </c>
      <c r="K276" s="17"/>
      <c r="L276" s="16" t="s">
        <v>18</v>
      </c>
      <c r="M276" s="16" t="s">
        <v>22</v>
      </c>
      <c r="N276" s="39" t="s">
        <v>418</v>
      </c>
    </row>
    <row r="277" spans="1:14" s="12" customFormat="1" ht="18">
      <c r="A277" s="178" t="s">
        <v>80</v>
      </c>
      <c r="B277" s="75" t="s">
        <v>579</v>
      </c>
      <c r="C277" s="39" t="s">
        <v>17</v>
      </c>
      <c r="D277" s="236"/>
      <c r="E277" s="236"/>
      <c r="F277" s="236"/>
      <c r="G277" s="236"/>
      <c r="H277" s="40">
        <f>SUM(Tabla132112419[[#This Row],[PRIMER TRIMESTRE]:[CUARTO TRIMESTRE]])</f>
        <v>0</v>
      </c>
      <c r="I277" s="17">
        <v>31.16</v>
      </c>
      <c r="J277" s="17">
        <f t="shared" si="5"/>
        <v>0</v>
      </c>
      <c r="K277" s="17"/>
      <c r="L277" s="16" t="s">
        <v>18</v>
      </c>
      <c r="M277" s="16" t="s">
        <v>22</v>
      </c>
      <c r="N277" s="39" t="s">
        <v>418</v>
      </c>
    </row>
    <row r="278" spans="1:14" s="12" customFormat="1" ht="18">
      <c r="A278" s="178" t="s">
        <v>80</v>
      </c>
      <c r="B278" s="75" t="s">
        <v>581</v>
      </c>
      <c r="C278" s="39" t="s">
        <v>17</v>
      </c>
      <c r="D278" s="236"/>
      <c r="E278" s="236"/>
      <c r="F278" s="236"/>
      <c r="G278" s="236"/>
      <c r="H278" s="40">
        <f>SUM(Tabla132112419[[#This Row],[PRIMER TRIMESTRE]:[CUARTO TRIMESTRE]])</f>
        <v>0</v>
      </c>
      <c r="I278" s="17">
        <v>54.52</v>
      </c>
      <c r="J278" s="17">
        <f t="shared" si="5"/>
        <v>0</v>
      </c>
      <c r="K278" s="17"/>
      <c r="L278" s="16" t="s">
        <v>18</v>
      </c>
      <c r="M278" s="16" t="s">
        <v>22</v>
      </c>
      <c r="N278" s="39" t="s">
        <v>418</v>
      </c>
    </row>
    <row r="279" spans="1:14" s="12" customFormat="1" ht="18">
      <c r="A279" s="178" t="s">
        <v>80</v>
      </c>
      <c r="B279" s="75" t="s">
        <v>582</v>
      </c>
      <c r="C279" s="39" t="s">
        <v>17</v>
      </c>
      <c r="D279" s="236"/>
      <c r="E279" s="236"/>
      <c r="F279" s="236"/>
      <c r="G279" s="236"/>
      <c r="H279" s="40">
        <f>SUM(Tabla132112419[[#This Row],[PRIMER TRIMESTRE]:[CUARTO TRIMESTRE]])</f>
        <v>0</v>
      </c>
      <c r="I279" s="17">
        <v>55.84</v>
      </c>
      <c r="J279" s="17">
        <f t="shared" si="5"/>
        <v>0</v>
      </c>
      <c r="K279" s="17"/>
      <c r="L279" s="16" t="s">
        <v>18</v>
      </c>
      <c r="M279" s="16" t="s">
        <v>22</v>
      </c>
      <c r="N279" s="39" t="s">
        <v>418</v>
      </c>
    </row>
    <row r="280" spans="1:14" s="12" customFormat="1" ht="18">
      <c r="A280" s="178" t="s">
        <v>80</v>
      </c>
      <c r="B280" s="75" t="s">
        <v>583</v>
      </c>
      <c r="C280" s="39" t="s">
        <v>17</v>
      </c>
      <c r="D280" s="236"/>
      <c r="E280" s="236"/>
      <c r="F280" s="236"/>
      <c r="G280" s="236"/>
      <c r="H280" s="40">
        <f>SUM(Tabla132112419[[#This Row],[PRIMER TRIMESTRE]:[CUARTO TRIMESTRE]])</f>
        <v>0</v>
      </c>
      <c r="I280" s="17">
        <v>67.28</v>
      </c>
      <c r="J280" s="17">
        <f t="shared" si="5"/>
        <v>0</v>
      </c>
      <c r="K280" s="17"/>
      <c r="L280" s="16" t="s">
        <v>18</v>
      </c>
      <c r="M280" s="16" t="s">
        <v>22</v>
      </c>
      <c r="N280" s="39" t="s">
        <v>418</v>
      </c>
    </row>
    <row r="281" spans="1:14" s="12" customFormat="1" ht="18">
      <c r="A281" s="178" t="s">
        <v>80</v>
      </c>
      <c r="B281" s="75" t="s">
        <v>584</v>
      </c>
      <c r="C281" s="39" t="s">
        <v>17</v>
      </c>
      <c r="D281" s="236"/>
      <c r="E281" s="236"/>
      <c r="F281" s="236"/>
      <c r="G281" s="236"/>
      <c r="H281" s="40">
        <f>SUM(Tabla132112419[[#This Row],[PRIMER TRIMESTRE]:[CUARTO TRIMESTRE]])</f>
        <v>0</v>
      </c>
      <c r="I281" s="17">
        <v>68.28</v>
      </c>
      <c r="J281" s="17">
        <f t="shared" si="5"/>
        <v>0</v>
      </c>
      <c r="K281" s="17"/>
      <c r="L281" s="16" t="s">
        <v>18</v>
      </c>
      <c r="M281" s="16" t="s">
        <v>22</v>
      </c>
      <c r="N281" s="39" t="s">
        <v>418</v>
      </c>
    </row>
    <row r="282" spans="1:14" s="12" customFormat="1" ht="18">
      <c r="A282" s="178" t="s">
        <v>80</v>
      </c>
      <c r="B282" s="75" t="s">
        <v>585</v>
      </c>
      <c r="C282" s="39" t="s">
        <v>17</v>
      </c>
      <c r="D282" s="236"/>
      <c r="E282" s="236"/>
      <c r="F282" s="236"/>
      <c r="G282" s="236"/>
      <c r="H282" s="40">
        <f>SUM(Tabla132112419[[#This Row],[PRIMER TRIMESTRE]:[CUARTO TRIMESTRE]])</f>
        <v>0</v>
      </c>
      <c r="I282" s="17">
        <v>80</v>
      </c>
      <c r="J282" s="17">
        <f t="shared" si="5"/>
        <v>0</v>
      </c>
      <c r="K282" s="17"/>
      <c r="L282" s="16" t="s">
        <v>18</v>
      </c>
      <c r="M282" s="16" t="s">
        <v>22</v>
      </c>
      <c r="N282" s="39" t="s">
        <v>418</v>
      </c>
    </row>
    <row r="283" spans="1:14" s="12" customFormat="1" ht="18">
      <c r="A283" s="178" t="s">
        <v>80</v>
      </c>
      <c r="B283" s="75" t="s">
        <v>586</v>
      </c>
      <c r="C283" s="39" t="s">
        <v>17</v>
      </c>
      <c r="D283" s="236"/>
      <c r="E283" s="236"/>
      <c r="F283" s="236"/>
      <c r="G283" s="236"/>
      <c r="H283" s="40">
        <f>SUM(Tabla132112419[[#This Row],[PRIMER TRIMESTRE]:[CUARTO TRIMESTRE]])</f>
        <v>0</v>
      </c>
      <c r="I283" s="72">
        <v>85</v>
      </c>
      <c r="J283" s="17">
        <f t="shared" si="5"/>
        <v>0</v>
      </c>
      <c r="K283" s="17"/>
      <c r="L283" s="16" t="s">
        <v>18</v>
      </c>
      <c r="M283" s="16" t="s">
        <v>22</v>
      </c>
      <c r="N283" s="39" t="s">
        <v>418</v>
      </c>
    </row>
    <row r="284" spans="1:14" s="12" customFormat="1" ht="18">
      <c r="A284" s="178" t="s">
        <v>80</v>
      </c>
      <c r="B284" s="75" t="s">
        <v>587</v>
      </c>
      <c r="C284" s="39" t="s">
        <v>17</v>
      </c>
      <c r="D284" s="236"/>
      <c r="E284" s="236"/>
      <c r="F284" s="236"/>
      <c r="G284" s="236"/>
      <c r="H284" s="40">
        <f>SUM(Tabla132112419[[#This Row],[PRIMER TRIMESTRE]:[CUARTO TRIMESTRE]])</f>
        <v>0</v>
      </c>
      <c r="I284" s="72">
        <v>1044.3</v>
      </c>
      <c r="J284" s="17">
        <f t="shared" ref="J284:J291" si="6">+H284*I284</f>
        <v>0</v>
      </c>
      <c r="K284" s="17"/>
      <c r="L284" s="16" t="s">
        <v>18</v>
      </c>
      <c r="M284" s="16" t="s">
        <v>22</v>
      </c>
      <c r="N284" s="39" t="s">
        <v>418</v>
      </c>
    </row>
    <row r="285" spans="1:14" s="12" customFormat="1" ht="18">
      <c r="A285" s="178" t="s">
        <v>80</v>
      </c>
      <c r="B285" s="75" t="s">
        <v>588</v>
      </c>
      <c r="C285" s="39" t="s">
        <v>17</v>
      </c>
      <c r="D285" s="236"/>
      <c r="E285" s="236"/>
      <c r="F285" s="236"/>
      <c r="G285" s="236"/>
      <c r="H285" s="40">
        <f>SUM(Tabla132112419[[#This Row],[PRIMER TRIMESTRE]:[CUARTO TRIMESTRE]])</f>
        <v>0</v>
      </c>
      <c r="I285" s="17">
        <v>1000</v>
      </c>
      <c r="J285" s="17">
        <f t="shared" si="6"/>
        <v>0</v>
      </c>
      <c r="K285" s="17"/>
      <c r="L285" s="16" t="s">
        <v>18</v>
      </c>
      <c r="M285" s="16" t="s">
        <v>22</v>
      </c>
      <c r="N285" s="39" t="s">
        <v>418</v>
      </c>
    </row>
    <row r="286" spans="1:14" s="12" customFormat="1" ht="18">
      <c r="A286" s="178" t="s">
        <v>80</v>
      </c>
      <c r="B286" s="75" t="s">
        <v>589</v>
      </c>
      <c r="C286" s="39" t="s">
        <v>17</v>
      </c>
      <c r="D286" s="236"/>
      <c r="E286" s="236"/>
      <c r="F286" s="236"/>
      <c r="G286" s="236"/>
      <c r="H286" s="40">
        <f>SUM(Tabla132112419[[#This Row],[PRIMER TRIMESTRE]:[CUARTO TRIMESTRE]])</f>
        <v>0</v>
      </c>
      <c r="I286" s="72">
        <v>1144.5999999999999</v>
      </c>
      <c r="J286" s="17">
        <f t="shared" si="6"/>
        <v>0</v>
      </c>
      <c r="K286" s="17"/>
      <c r="L286" s="16" t="s">
        <v>18</v>
      </c>
      <c r="M286" s="16" t="s">
        <v>22</v>
      </c>
      <c r="N286" s="39" t="s">
        <v>418</v>
      </c>
    </row>
    <row r="287" spans="1:14" s="12" customFormat="1" ht="18">
      <c r="A287" s="178" t="s">
        <v>80</v>
      </c>
      <c r="B287" s="75" t="s">
        <v>590</v>
      </c>
      <c r="C287" s="39" t="s">
        <v>17</v>
      </c>
      <c r="D287" s="236"/>
      <c r="E287" s="236"/>
      <c r="F287" s="236"/>
      <c r="G287" s="236"/>
      <c r="H287" s="40">
        <f>SUM(Tabla132112419[[#This Row],[PRIMER TRIMESTRE]:[CUARTO TRIMESTRE]])</f>
        <v>0</v>
      </c>
      <c r="I287" s="72">
        <v>1534</v>
      </c>
      <c r="J287" s="17">
        <f t="shared" si="6"/>
        <v>0</v>
      </c>
      <c r="K287" s="17"/>
      <c r="L287" s="16" t="s">
        <v>18</v>
      </c>
      <c r="M287" s="16" t="s">
        <v>22</v>
      </c>
      <c r="N287" s="39" t="s">
        <v>418</v>
      </c>
    </row>
    <row r="288" spans="1:14" s="12" customFormat="1" ht="18">
      <c r="A288" s="178" t="s">
        <v>80</v>
      </c>
      <c r="B288" s="75" t="s">
        <v>1546</v>
      </c>
      <c r="C288" s="39" t="s">
        <v>17</v>
      </c>
      <c r="D288" s="236"/>
      <c r="E288" s="236"/>
      <c r="F288" s="236"/>
      <c r="G288" s="236"/>
      <c r="H288" s="236">
        <f>SUM(Tabla132112419[[#This Row],[PRIMER TRIMESTRE]:[CUARTO TRIMESTRE]])</f>
        <v>0</v>
      </c>
      <c r="I288" s="72">
        <v>910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</row>
    <row r="289" spans="1:14" s="12" customFormat="1" ht="18">
      <c r="A289" s="178" t="s">
        <v>80</v>
      </c>
      <c r="B289" s="75" t="s">
        <v>594</v>
      </c>
      <c r="C289" s="39" t="s">
        <v>17</v>
      </c>
      <c r="D289" s="236"/>
      <c r="E289" s="236"/>
      <c r="F289" s="236"/>
      <c r="G289" s="236"/>
      <c r="H289" s="40">
        <f>SUM(Tabla132112419[[#This Row],[PRIMER TRIMESTRE]:[CUARTO TRIMESTRE]])</f>
        <v>0</v>
      </c>
      <c r="I289" s="17">
        <v>6.37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</row>
    <row r="290" spans="1:14" s="12" customFormat="1" ht="18">
      <c r="A290" s="178" t="s">
        <v>80</v>
      </c>
      <c r="B290" s="75" t="s">
        <v>595</v>
      </c>
      <c r="C290" s="39" t="s">
        <v>17</v>
      </c>
      <c r="D290" s="236"/>
      <c r="E290" s="236"/>
      <c r="F290" s="236"/>
      <c r="G290" s="236"/>
      <c r="H290" s="40">
        <f>SUM(Tabla132112419[[#This Row],[PRIMER TRIMESTRE]:[CUARTO TRIMESTRE]])</f>
        <v>0</v>
      </c>
      <c r="I290" s="17">
        <v>11.82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</row>
    <row r="291" spans="1:14" s="12" customFormat="1" ht="18">
      <c r="A291" s="178" t="s">
        <v>80</v>
      </c>
      <c r="B291" s="75" t="s">
        <v>596</v>
      </c>
      <c r="C291" s="39" t="s">
        <v>17</v>
      </c>
      <c r="D291" s="236"/>
      <c r="E291" s="236"/>
      <c r="F291" s="236"/>
      <c r="G291" s="236"/>
      <c r="H291" s="40">
        <f>SUM(Tabla132112419[[#This Row],[PRIMER TRIMESTRE]:[CUARTO TRIMESTRE]])</f>
        <v>0</v>
      </c>
      <c r="I291" s="17">
        <v>15.46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</row>
    <row r="292" spans="1:14" s="12" customFormat="1" ht="18">
      <c r="A292" s="178" t="s">
        <v>80</v>
      </c>
      <c r="B292" s="75" t="s">
        <v>592</v>
      </c>
      <c r="C292" s="39" t="s">
        <v>17</v>
      </c>
      <c r="D292" s="236"/>
      <c r="E292" s="236"/>
      <c r="F292" s="236"/>
      <c r="G292" s="236"/>
      <c r="H292" s="40">
        <f>SUM(Tabla132112419[[#This Row],[PRIMER TRIMESTRE]:[CUARTO TRIMESTRE]])</f>
        <v>0</v>
      </c>
      <c r="I292" s="17">
        <v>103.84</v>
      </c>
      <c r="J292" s="17">
        <f>+Tabla132112419[[#This Row],[CANTIDAD TOTAL]]*Tabla132112419[[#This Row],[PRECIO UNITARIO ESTIMADO]]</f>
        <v>0</v>
      </c>
      <c r="K292" s="17"/>
      <c r="L292" s="16" t="s">
        <v>18</v>
      </c>
      <c r="M292" s="16" t="s">
        <v>22</v>
      </c>
      <c r="N292" s="39" t="s">
        <v>418</v>
      </c>
    </row>
    <row r="293" spans="1:14" s="12" customFormat="1" ht="18">
      <c r="A293" s="178" t="s">
        <v>80</v>
      </c>
      <c r="B293" s="75" t="s">
        <v>593</v>
      </c>
      <c r="C293" s="39" t="s">
        <v>17</v>
      </c>
      <c r="D293" s="236"/>
      <c r="E293" s="236"/>
      <c r="F293" s="236"/>
      <c r="G293" s="236"/>
      <c r="H293" s="40">
        <f>SUM(Tabla132112419[[#This Row],[PRIMER TRIMESTRE]:[CUARTO TRIMESTRE]])</f>
        <v>0</v>
      </c>
      <c r="I293" s="17">
        <v>22.42</v>
      </c>
      <c r="J293" s="17">
        <f>+Tabla132112419[[#This Row],[CANTIDAD TOTAL]]*Tabla132112419[[#This Row],[PRECIO UNITARIO ESTIMADO]]</f>
        <v>0</v>
      </c>
      <c r="K293" s="17"/>
      <c r="L293" s="16" t="s">
        <v>18</v>
      </c>
      <c r="M293" s="16" t="s">
        <v>22</v>
      </c>
      <c r="N293" s="39" t="s">
        <v>418</v>
      </c>
    </row>
    <row r="294" spans="1:14" s="12" customFormat="1" ht="18">
      <c r="A294" s="178" t="s">
        <v>80</v>
      </c>
      <c r="B294" s="75" t="s">
        <v>591</v>
      </c>
      <c r="C294" s="39" t="s">
        <v>17</v>
      </c>
      <c r="D294" s="236"/>
      <c r="E294" s="236"/>
      <c r="F294" s="236"/>
      <c r="G294" s="236"/>
      <c r="H294" s="236">
        <f>SUM(Tabla132112419[[#This Row],[PRIMER TRIMESTRE]:[CUARTO TRIMESTRE]])</f>
        <v>0</v>
      </c>
      <c r="I294" s="17">
        <v>489.7</v>
      </c>
      <c r="J294" s="17">
        <f>+Tabla132112419[[#This Row],[CANTIDAD TOTAL]]*Tabla132112419[[#This Row],[PRECIO UNITARIO ESTIMADO]]</f>
        <v>0</v>
      </c>
      <c r="K294" s="17"/>
      <c r="L294" s="16" t="s">
        <v>18</v>
      </c>
      <c r="M294" s="16" t="s">
        <v>22</v>
      </c>
      <c r="N294" s="39" t="s">
        <v>418</v>
      </c>
    </row>
    <row r="295" spans="1:14" s="12" customFormat="1" ht="18">
      <c r="A295" s="178" t="s">
        <v>80</v>
      </c>
      <c r="B295" s="75" t="s">
        <v>1531</v>
      </c>
      <c r="C295" s="176" t="s">
        <v>17</v>
      </c>
      <c r="D295" s="236"/>
      <c r="E295" s="236"/>
      <c r="F295" s="236"/>
      <c r="G295" s="236"/>
      <c r="H295" s="236">
        <f>SUM(Tabla132112419[[#This Row],[PRIMER TRIMESTRE]:[CUARTO TRIMESTRE]])</f>
        <v>0</v>
      </c>
      <c r="I295" s="17">
        <v>486.29</v>
      </c>
      <c r="J295" s="17">
        <f>+H295*I295</f>
        <v>0</v>
      </c>
      <c r="K295" s="17"/>
      <c r="L295" s="16" t="s">
        <v>18</v>
      </c>
      <c r="M295" s="16" t="s">
        <v>22</v>
      </c>
      <c r="N295" s="39" t="s">
        <v>418</v>
      </c>
    </row>
    <row r="296" spans="1:14" s="12" customFormat="1" ht="18">
      <c r="A296" s="178" t="s">
        <v>80</v>
      </c>
      <c r="B296" s="75" t="s">
        <v>616</v>
      </c>
      <c r="C296" s="39" t="s">
        <v>17</v>
      </c>
      <c r="D296" s="236"/>
      <c r="E296" s="236"/>
      <c r="F296" s="236"/>
      <c r="G296" s="236"/>
      <c r="H296" s="40">
        <f>SUM(Tabla132112419[[#This Row],[PRIMER TRIMESTRE]:[CUARTO TRIMESTRE]])</f>
        <v>0</v>
      </c>
      <c r="I296" s="17">
        <v>767</v>
      </c>
      <c r="J296" s="17">
        <f>+Tabla132112419[[#This Row],[CANTIDAD TOTAL]]*Tabla132112419[[#This Row],[PRECIO UNITARIO ESTIMADO]]</f>
        <v>0</v>
      </c>
      <c r="K296" s="17"/>
      <c r="L296" s="16" t="s">
        <v>18</v>
      </c>
      <c r="M296" s="16" t="s">
        <v>22</v>
      </c>
      <c r="N296" s="39" t="s">
        <v>418</v>
      </c>
    </row>
    <row r="297" spans="1:14" s="12" customFormat="1" ht="18">
      <c r="A297" s="178" t="s">
        <v>80</v>
      </c>
      <c r="B297" s="75" t="s">
        <v>617</v>
      </c>
      <c r="C297" s="39" t="s">
        <v>17</v>
      </c>
      <c r="D297" s="236"/>
      <c r="E297" s="236"/>
      <c r="F297" s="236"/>
      <c r="G297" s="236"/>
      <c r="H297" s="40">
        <f>SUM(Tabla132112419[[#This Row],[PRIMER TRIMESTRE]:[CUARTO TRIMESTRE]])</f>
        <v>0</v>
      </c>
      <c r="I297" s="17">
        <v>1003</v>
      </c>
      <c r="J297" s="17">
        <f t="shared" ref="J297:J313" si="7">+H297*I297</f>
        <v>0</v>
      </c>
      <c r="K297" s="17"/>
      <c r="L297" s="16" t="s">
        <v>18</v>
      </c>
      <c r="M297" s="16" t="s">
        <v>22</v>
      </c>
      <c r="N297" s="39" t="s">
        <v>418</v>
      </c>
    </row>
    <row r="298" spans="1:14" s="12" customFormat="1" ht="18">
      <c r="A298" s="178" t="s">
        <v>80</v>
      </c>
      <c r="B298" s="75" t="s">
        <v>618</v>
      </c>
      <c r="C298" s="39" t="s">
        <v>17</v>
      </c>
      <c r="D298" s="236"/>
      <c r="E298" s="236"/>
      <c r="F298" s="236"/>
      <c r="G298" s="236"/>
      <c r="H298" s="40">
        <f>SUM(Tabla132112419[[#This Row],[PRIMER TRIMESTRE]:[CUARTO TRIMESTRE]])</f>
        <v>0</v>
      </c>
      <c r="I298" s="17">
        <v>1357</v>
      </c>
      <c r="J298" s="17">
        <f t="shared" si="7"/>
        <v>0</v>
      </c>
      <c r="K298" s="17"/>
      <c r="L298" s="16" t="s">
        <v>18</v>
      </c>
      <c r="M298" s="16" t="s">
        <v>22</v>
      </c>
      <c r="N298" s="39" t="s">
        <v>418</v>
      </c>
    </row>
    <row r="299" spans="1:14" s="12" customFormat="1" ht="18">
      <c r="A299" s="178" t="s">
        <v>80</v>
      </c>
      <c r="B299" s="75" t="s">
        <v>619</v>
      </c>
      <c r="C299" s="39" t="s">
        <v>17</v>
      </c>
      <c r="D299" s="236"/>
      <c r="E299" s="236"/>
      <c r="F299" s="236"/>
      <c r="G299" s="236"/>
      <c r="H299" s="40">
        <f>SUM(Tabla132112419[[#This Row],[PRIMER TRIMESTRE]:[CUARTO TRIMESTRE]])</f>
        <v>0</v>
      </c>
      <c r="I299" s="17">
        <v>2950</v>
      </c>
      <c r="J299" s="17">
        <f t="shared" si="7"/>
        <v>0</v>
      </c>
      <c r="K299" s="17"/>
      <c r="L299" s="16" t="s">
        <v>18</v>
      </c>
      <c r="M299" s="16" t="s">
        <v>22</v>
      </c>
      <c r="N299" s="39" t="s">
        <v>418</v>
      </c>
    </row>
    <row r="300" spans="1:14" s="12" customFormat="1" ht="18">
      <c r="A300" s="178" t="s">
        <v>80</v>
      </c>
      <c r="B300" s="75" t="s">
        <v>620</v>
      </c>
      <c r="C300" s="39" t="s">
        <v>17</v>
      </c>
      <c r="D300" s="236"/>
      <c r="E300" s="236"/>
      <c r="F300" s="236"/>
      <c r="G300" s="236"/>
      <c r="H300" s="40">
        <f>SUM(Tabla132112419[[#This Row],[PRIMER TRIMESTRE]:[CUARTO TRIMESTRE]])</f>
        <v>0</v>
      </c>
      <c r="I300" s="17">
        <v>4484</v>
      </c>
      <c r="J300" s="17">
        <f t="shared" si="7"/>
        <v>0</v>
      </c>
      <c r="K300" s="17"/>
      <c r="L300" s="16" t="s">
        <v>18</v>
      </c>
      <c r="M300" s="16" t="s">
        <v>22</v>
      </c>
      <c r="N300" s="39" t="s">
        <v>418</v>
      </c>
    </row>
    <row r="301" spans="1:14" s="12" customFormat="1" ht="18">
      <c r="A301" s="178" t="s">
        <v>80</v>
      </c>
      <c r="B301" s="75" t="s">
        <v>621</v>
      </c>
      <c r="C301" s="39" t="s">
        <v>17</v>
      </c>
      <c r="D301" s="236"/>
      <c r="E301" s="236"/>
      <c r="F301" s="236"/>
      <c r="G301" s="236"/>
      <c r="H301" s="40">
        <f>SUM(Tabla132112419[[#This Row],[PRIMER TRIMESTRE]:[CUARTO TRIMESTRE]])</f>
        <v>0</v>
      </c>
      <c r="I301" s="17">
        <v>6372</v>
      </c>
      <c r="J301" s="17">
        <f t="shared" si="7"/>
        <v>0</v>
      </c>
      <c r="K301" s="17"/>
      <c r="L301" s="16" t="s">
        <v>18</v>
      </c>
      <c r="M301" s="16" t="s">
        <v>22</v>
      </c>
      <c r="N301" s="39" t="s">
        <v>418</v>
      </c>
    </row>
    <row r="302" spans="1:14" s="12" customFormat="1" ht="18">
      <c r="A302" s="178" t="s">
        <v>80</v>
      </c>
      <c r="B302" s="75" t="s">
        <v>622</v>
      </c>
      <c r="C302" s="39" t="s">
        <v>17</v>
      </c>
      <c r="D302" s="236"/>
      <c r="E302" s="236"/>
      <c r="F302" s="236"/>
      <c r="G302" s="236"/>
      <c r="H302" s="40">
        <f>SUM(Tabla132112419[[#This Row],[PRIMER TRIMESTRE]:[CUARTO TRIMESTRE]])</f>
        <v>0</v>
      </c>
      <c r="I302" s="17">
        <v>11092</v>
      </c>
      <c r="J302" s="17">
        <f t="shared" si="7"/>
        <v>0</v>
      </c>
      <c r="K302" s="17"/>
      <c r="L302" s="16" t="s">
        <v>18</v>
      </c>
      <c r="M302" s="16" t="s">
        <v>22</v>
      </c>
      <c r="N302" s="39" t="s">
        <v>418</v>
      </c>
    </row>
    <row r="303" spans="1:14" s="12" customFormat="1" ht="18">
      <c r="A303" s="178" t="s">
        <v>80</v>
      </c>
      <c r="B303" s="75" t="s">
        <v>623</v>
      </c>
      <c r="C303" s="39" t="s">
        <v>17</v>
      </c>
      <c r="D303" s="236"/>
      <c r="E303" s="236"/>
      <c r="F303" s="236"/>
      <c r="G303" s="236"/>
      <c r="H303" s="40">
        <f>SUM(Tabla132112419[[#This Row],[PRIMER TRIMESTRE]:[CUARTO TRIMESTRE]])</f>
        <v>0</v>
      </c>
      <c r="I303" s="17">
        <v>13924</v>
      </c>
      <c r="J303" s="17">
        <f t="shared" si="7"/>
        <v>0</v>
      </c>
      <c r="K303" s="17"/>
      <c r="L303" s="16" t="s">
        <v>18</v>
      </c>
      <c r="M303" s="16" t="s">
        <v>22</v>
      </c>
      <c r="N303" s="39" t="s">
        <v>418</v>
      </c>
    </row>
    <row r="304" spans="1:14" s="12" customFormat="1" ht="18">
      <c r="A304" s="178" t="s">
        <v>80</v>
      </c>
      <c r="B304" s="75" t="s">
        <v>624</v>
      </c>
      <c r="C304" s="39" t="s">
        <v>17</v>
      </c>
      <c r="D304" s="236"/>
      <c r="E304" s="236"/>
      <c r="F304" s="236"/>
      <c r="G304" s="236"/>
      <c r="H304" s="40">
        <f>SUM(Tabla132112419[[#This Row],[PRIMER TRIMESTRE]:[CUARTO TRIMESTRE]])</f>
        <v>0</v>
      </c>
      <c r="I304" s="17">
        <v>20886</v>
      </c>
      <c r="J304" s="17">
        <f t="shared" si="7"/>
        <v>0</v>
      </c>
      <c r="K304" s="17"/>
      <c r="L304" s="16" t="s">
        <v>18</v>
      </c>
      <c r="M304" s="16" t="s">
        <v>22</v>
      </c>
      <c r="N304" s="39" t="s">
        <v>418</v>
      </c>
    </row>
    <row r="305" spans="1:14" s="12" customFormat="1" ht="18">
      <c r="A305" s="178" t="s">
        <v>80</v>
      </c>
      <c r="B305" s="75" t="s">
        <v>625</v>
      </c>
      <c r="C305" s="39" t="s">
        <v>17</v>
      </c>
      <c r="D305" s="236"/>
      <c r="E305" s="236"/>
      <c r="F305" s="236"/>
      <c r="G305" s="236"/>
      <c r="H305" s="40">
        <f>SUM(Tabla132112419[[#This Row],[PRIMER TRIMESTRE]:[CUARTO TRIMESTRE]])</f>
        <v>0</v>
      </c>
      <c r="I305" s="17">
        <v>1121</v>
      </c>
      <c r="J305" s="17">
        <f t="shared" si="7"/>
        <v>0</v>
      </c>
      <c r="K305" s="17"/>
      <c r="L305" s="16" t="s">
        <v>18</v>
      </c>
      <c r="M305" s="16" t="s">
        <v>22</v>
      </c>
      <c r="N305" s="39" t="s">
        <v>418</v>
      </c>
    </row>
    <row r="306" spans="1:14" s="12" customFormat="1" ht="18">
      <c r="A306" s="178" t="s">
        <v>80</v>
      </c>
      <c r="B306" s="75" t="s">
        <v>626</v>
      </c>
      <c r="C306" s="39" t="s">
        <v>17</v>
      </c>
      <c r="D306" s="236"/>
      <c r="E306" s="236"/>
      <c r="F306" s="236"/>
      <c r="G306" s="236"/>
      <c r="H306" s="40">
        <f>SUM(Tabla132112419[[#This Row],[PRIMER TRIMESTRE]:[CUARTO TRIMESTRE]])</f>
        <v>0</v>
      </c>
      <c r="I306" s="17">
        <v>1239</v>
      </c>
      <c r="J306" s="17">
        <f t="shared" si="7"/>
        <v>0</v>
      </c>
      <c r="K306" s="17"/>
      <c r="L306" s="16" t="s">
        <v>18</v>
      </c>
      <c r="M306" s="16" t="s">
        <v>22</v>
      </c>
      <c r="N306" s="39" t="s">
        <v>418</v>
      </c>
    </row>
    <row r="307" spans="1:14" s="12" customFormat="1" ht="18">
      <c r="A307" s="178" t="s">
        <v>80</v>
      </c>
      <c r="B307" s="75" t="s">
        <v>627</v>
      </c>
      <c r="C307" s="39" t="s">
        <v>17</v>
      </c>
      <c r="D307" s="236"/>
      <c r="E307" s="236"/>
      <c r="F307" s="236"/>
      <c r="G307" s="236"/>
      <c r="H307" s="40">
        <f>SUM(Tabla132112419[[#This Row],[PRIMER TRIMESTRE]:[CUARTO TRIMESTRE]])</f>
        <v>0</v>
      </c>
      <c r="I307" s="17">
        <v>1593</v>
      </c>
      <c r="J307" s="17">
        <f t="shared" si="7"/>
        <v>0</v>
      </c>
      <c r="K307" s="17"/>
      <c r="L307" s="16" t="s">
        <v>18</v>
      </c>
      <c r="M307" s="16" t="s">
        <v>22</v>
      </c>
      <c r="N307" s="39" t="s">
        <v>418</v>
      </c>
    </row>
    <row r="308" spans="1:14" s="12" customFormat="1" ht="18">
      <c r="A308" s="178" t="s">
        <v>80</v>
      </c>
      <c r="B308" s="75" t="s">
        <v>628</v>
      </c>
      <c r="C308" s="39" t="s">
        <v>17</v>
      </c>
      <c r="D308" s="236"/>
      <c r="E308" s="236"/>
      <c r="F308" s="236"/>
      <c r="G308" s="236"/>
      <c r="H308" s="40">
        <f>SUM(Tabla132112419[[#This Row],[PRIMER TRIMESTRE]:[CUARTO TRIMESTRE]])</f>
        <v>0</v>
      </c>
      <c r="I308" s="17">
        <v>3717</v>
      </c>
      <c r="J308" s="17">
        <f t="shared" si="7"/>
        <v>0</v>
      </c>
      <c r="K308" s="17"/>
      <c r="L308" s="16" t="s">
        <v>18</v>
      </c>
      <c r="M308" s="16" t="s">
        <v>22</v>
      </c>
      <c r="N308" s="39" t="s">
        <v>418</v>
      </c>
    </row>
    <row r="309" spans="1:14" s="12" customFormat="1" ht="18">
      <c r="A309" s="178" t="s">
        <v>80</v>
      </c>
      <c r="B309" s="75" t="s">
        <v>629</v>
      </c>
      <c r="C309" s="39" t="s">
        <v>17</v>
      </c>
      <c r="D309" s="236"/>
      <c r="E309" s="236"/>
      <c r="F309" s="236"/>
      <c r="G309" s="236"/>
      <c r="H309" s="40">
        <f>SUM(Tabla132112419[[#This Row],[PRIMER TRIMESTRE]:[CUARTO TRIMESTRE]])</f>
        <v>0</v>
      </c>
      <c r="I309" s="17">
        <v>5133</v>
      </c>
      <c r="J309" s="17">
        <f t="shared" si="7"/>
        <v>0</v>
      </c>
      <c r="K309" s="17"/>
      <c r="L309" s="16" t="s">
        <v>18</v>
      </c>
      <c r="M309" s="16" t="s">
        <v>22</v>
      </c>
      <c r="N309" s="39" t="s">
        <v>418</v>
      </c>
    </row>
    <row r="310" spans="1:14" s="12" customFormat="1" ht="18">
      <c r="A310" s="178" t="s">
        <v>80</v>
      </c>
      <c r="B310" s="75" t="s">
        <v>630</v>
      </c>
      <c r="C310" s="39" t="s">
        <v>17</v>
      </c>
      <c r="D310" s="236"/>
      <c r="E310" s="236"/>
      <c r="F310" s="236"/>
      <c r="G310" s="236"/>
      <c r="H310" s="40">
        <f>SUM(Tabla132112419[[#This Row],[PRIMER TRIMESTRE]:[CUARTO TRIMESTRE]])</f>
        <v>0</v>
      </c>
      <c r="I310" s="17">
        <v>7127</v>
      </c>
      <c r="J310" s="17">
        <f t="shared" si="7"/>
        <v>0</v>
      </c>
      <c r="K310" s="17"/>
      <c r="L310" s="16" t="s">
        <v>18</v>
      </c>
      <c r="M310" s="16" t="s">
        <v>22</v>
      </c>
      <c r="N310" s="39" t="s">
        <v>418</v>
      </c>
    </row>
    <row r="311" spans="1:14" s="12" customFormat="1" ht="18">
      <c r="A311" s="178" t="s">
        <v>80</v>
      </c>
      <c r="B311" s="75" t="s">
        <v>631</v>
      </c>
      <c r="C311" s="39" t="s">
        <v>17</v>
      </c>
      <c r="D311" s="236"/>
      <c r="E311" s="236"/>
      <c r="F311" s="236"/>
      <c r="G311" s="236"/>
      <c r="H311" s="40">
        <f>SUM(Tabla132112419[[#This Row],[PRIMER TRIMESTRE]:[CUARTO TRIMESTRE]])</f>
        <v>0</v>
      </c>
      <c r="I311" s="17">
        <v>12580</v>
      </c>
      <c r="J311" s="17">
        <f t="shared" si="7"/>
        <v>0</v>
      </c>
      <c r="K311" s="17"/>
      <c r="L311" s="16" t="s">
        <v>18</v>
      </c>
      <c r="M311" s="16" t="s">
        <v>22</v>
      </c>
      <c r="N311" s="39" t="s">
        <v>418</v>
      </c>
    </row>
    <row r="312" spans="1:14" s="12" customFormat="1" ht="18">
      <c r="A312" s="178" t="s">
        <v>80</v>
      </c>
      <c r="B312" s="75" t="s">
        <v>632</v>
      </c>
      <c r="C312" s="39" t="s">
        <v>17</v>
      </c>
      <c r="D312" s="236"/>
      <c r="E312" s="236"/>
      <c r="F312" s="236"/>
      <c r="G312" s="236"/>
      <c r="H312" s="40">
        <f>SUM(Tabla132112419[[#This Row],[PRIMER TRIMESTRE]:[CUARTO TRIMESTRE]])</f>
        <v>0</v>
      </c>
      <c r="I312" s="17">
        <v>15045</v>
      </c>
      <c r="J312" s="17">
        <f t="shared" si="7"/>
        <v>0</v>
      </c>
      <c r="K312" s="17"/>
      <c r="L312" s="16" t="s">
        <v>18</v>
      </c>
      <c r="M312" s="16" t="s">
        <v>22</v>
      </c>
      <c r="N312" s="39" t="s">
        <v>418</v>
      </c>
    </row>
    <row r="313" spans="1:14" s="12" customFormat="1" ht="18">
      <c r="A313" s="178" t="s">
        <v>80</v>
      </c>
      <c r="B313" s="75" t="s">
        <v>633</v>
      </c>
      <c r="C313" s="39" t="s">
        <v>17</v>
      </c>
      <c r="D313" s="236"/>
      <c r="E313" s="236"/>
      <c r="F313" s="236"/>
      <c r="G313" s="236"/>
      <c r="H313" s="40">
        <f>SUM(Tabla132112419[[#This Row],[PRIMER TRIMESTRE]:[CUARTO TRIMESTRE]])</f>
        <v>0</v>
      </c>
      <c r="I313" s="17">
        <v>22396.400000000001</v>
      </c>
      <c r="J313" s="17">
        <f t="shared" si="7"/>
        <v>0</v>
      </c>
      <c r="K313" s="17"/>
      <c r="L313" s="16" t="s">
        <v>18</v>
      </c>
      <c r="M313" s="16" t="s">
        <v>22</v>
      </c>
      <c r="N313" s="39" t="s">
        <v>418</v>
      </c>
    </row>
    <row r="314" spans="1:14" s="12" customFormat="1" ht="18">
      <c r="A314" s="178" t="s">
        <v>80</v>
      </c>
      <c r="B314" s="75" t="s">
        <v>129</v>
      </c>
      <c r="C314" s="39" t="s">
        <v>17</v>
      </c>
      <c r="D314" s="236"/>
      <c r="E314" s="236"/>
      <c r="F314" s="236"/>
      <c r="G314" s="236"/>
      <c r="H314" s="40">
        <f>SUM(Tabla132112419[[#This Row],[PRIMER TRIMESTRE]:[CUARTO TRIMESTRE]])</f>
        <v>0</v>
      </c>
      <c r="I314" s="17">
        <v>3.52</v>
      </c>
      <c r="J314" s="17">
        <f>+Tabla132112419[[#This Row],[CANTIDAD TOTAL]]*Tabla132112419[[#This Row],[PRECIO UNITARIO ESTIMADO]]</f>
        <v>0</v>
      </c>
      <c r="K314" s="17"/>
      <c r="L314" s="16" t="s">
        <v>18</v>
      </c>
      <c r="M314" s="16" t="s">
        <v>22</v>
      </c>
      <c r="N314" s="39" t="s">
        <v>418</v>
      </c>
    </row>
    <row r="315" spans="1:14" s="12" customFormat="1" ht="18">
      <c r="A315" s="178" t="s">
        <v>80</v>
      </c>
      <c r="B315" s="75" t="s">
        <v>131</v>
      </c>
      <c r="C315" s="39" t="s">
        <v>17</v>
      </c>
      <c r="D315" s="236"/>
      <c r="E315" s="236"/>
      <c r="F315" s="236"/>
      <c r="G315" s="236"/>
      <c r="H315" s="40">
        <f>SUM(Tabla132112419[[#This Row],[PRIMER TRIMESTRE]:[CUARTO TRIMESTRE]])</f>
        <v>0</v>
      </c>
      <c r="I315" s="17">
        <v>5.86</v>
      </c>
      <c r="J315" s="17">
        <f>+Tabla132112419[[#This Row],[CANTIDAD TOTAL]]*Tabla132112419[[#This Row],[PRECIO UNITARIO ESTIMADO]]</f>
        <v>0</v>
      </c>
      <c r="K315" s="17"/>
      <c r="L315" s="16" t="s">
        <v>18</v>
      </c>
      <c r="M315" s="16" t="s">
        <v>22</v>
      </c>
      <c r="N315" s="39" t="s">
        <v>418</v>
      </c>
    </row>
    <row r="316" spans="1:14" s="12" customFormat="1" ht="18">
      <c r="A316" s="178" t="s">
        <v>80</v>
      </c>
      <c r="B316" s="75" t="s">
        <v>473</v>
      </c>
      <c r="C316" s="39" t="s">
        <v>17</v>
      </c>
      <c r="D316" s="236"/>
      <c r="E316" s="236"/>
      <c r="F316" s="236"/>
      <c r="G316" s="236"/>
      <c r="H316" s="40">
        <f>SUM(Tabla132112419[[#This Row],[PRIMER TRIMESTRE]:[CUARTO TRIMESTRE]])</f>
        <v>0</v>
      </c>
      <c r="I316" s="17">
        <v>15.46</v>
      </c>
      <c r="J316" s="17">
        <f>+H316*I316</f>
        <v>0</v>
      </c>
      <c r="K316" s="17"/>
      <c r="L316" s="16" t="s">
        <v>18</v>
      </c>
      <c r="M316" s="16" t="s">
        <v>22</v>
      </c>
      <c r="N316" s="39" t="s">
        <v>418</v>
      </c>
    </row>
    <row r="317" spans="1:14" s="12" customFormat="1" ht="18">
      <c r="A317" s="178" t="s">
        <v>80</v>
      </c>
      <c r="B317" s="75" t="s">
        <v>661</v>
      </c>
      <c r="C317" s="39" t="s">
        <v>17</v>
      </c>
      <c r="D317" s="236"/>
      <c r="E317" s="236"/>
      <c r="F317" s="236"/>
      <c r="G317" s="236"/>
      <c r="H317" s="40">
        <f>SUM(Tabla132112419[[#This Row],[PRIMER TRIMESTRE]:[CUARTO TRIMESTRE]])</f>
        <v>0</v>
      </c>
      <c r="I317" s="72">
        <v>15.46</v>
      </c>
      <c r="J317" s="17">
        <f>+H317*I317</f>
        <v>0</v>
      </c>
      <c r="K317" s="17"/>
      <c r="L317" s="16" t="s">
        <v>18</v>
      </c>
      <c r="M317" s="16" t="s">
        <v>22</v>
      </c>
      <c r="N317" s="39" t="s">
        <v>418</v>
      </c>
    </row>
    <row r="318" spans="1:14" s="12" customFormat="1" ht="18">
      <c r="A318" s="178" t="s">
        <v>80</v>
      </c>
      <c r="B318" s="75" t="s">
        <v>133</v>
      </c>
      <c r="C318" s="39" t="s">
        <v>17</v>
      </c>
      <c r="D318" s="236"/>
      <c r="E318" s="236"/>
      <c r="F318" s="236"/>
      <c r="G318" s="236"/>
      <c r="H318" s="40">
        <f>SUM(Tabla132112419[[#This Row],[PRIMER TRIMESTRE]:[CUARTO TRIMESTRE]])</f>
        <v>0</v>
      </c>
      <c r="I318" s="17">
        <v>40.17</v>
      </c>
      <c r="J318" s="17">
        <f>+Tabla132112419[[#This Row],[CANTIDAD TOTAL]]*Tabla132112419[[#This Row],[PRECIO UNITARIO ESTIMADO]]</f>
        <v>0</v>
      </c>
      <c r="K318" s="17"/>
      <c r="L318" s="16" t="s">
        <v>18</v>
      </c>
      <c r="M318" s="16" t="s">
        <v>22</v>
      </c>
      <c r="N318" s="39" t="s">
        <v>418</v>
      </c>
    </row>
    <row r="319" spans="1:14" s="12" customFormat="1" ht="18">
      <c r="A319" s="178" t="s">
        <v>80</v>
      </c>
      <c r="B319" s="75" t="s">
        <v>135</v>
      </c>
      <c r="C319" s="39" t="s">
        <v>17</v>
      </c>
      <c r="D319" s="236"/>
      <c r="E319" s="236"/>
      <c r="F319" s="236"/>
      <c r="G319" s="236"/>
      <c r="H319" s="40">
        <f>SUM(Tabla132112419[[#This Row],[PRIMER TRIMESTRE]:[CUARTO TRIMESTRE]])</f>
        <v>0</v>
      </c>
      <c r="I319" s="17">
        <v>116.85</v>
      </c>
      <c r="J319" s="17">
        <f>+Tabla132112419[[#This Row],[CANTIDAD TOTAL]]*Tabla132112419[[#This Row],[PRECIO UNITARIO ESTIMADO]]</f>
        <v>0</v>
      </c>
      <c r="K319" s="17"/>
      <c r="L319" s="16" t="s">
        <v>18</v>
      </c>
      <c r="M319" s="16" t="s">
        <v>22</v>
      </c>
      <c r="N319" s="39" t="s">
        <v>418</v>
      </c>
    </row>
    <row r="320" spans="1:14" s="12" customFormat="1" ht="18">
      <c r="A320" s="178" t="s">
        <v>80</v>
      </c>
      <c r="B320" s="75" t="s">
        <v>597</v>
      </c>
      <c r="C320" s="39" t="s">
        <v>17</v>
      </c>
      <c r="D320" s="236"/>
      <c r="E320" s="236"/>
      <c r="F320" s="236"/>
      <c r="G320" s="236"/>
      <c r="H320" s="40">
        <f>SUM(Tabla132112419[[#This Row],[PRIMER TRIMESTRE]:[CUARTO TRIMESTRE]])</f>
        <v>0</v>
      </c>
      <c r="I320" s="72">
        <v>107.31</v>
      </c>
      <c r="J320" s="17">
        <f t="shared" ref="J320:J330" si="8">+H320*I320</f>
        <v>0</v>
      </c>
      <c r="K320" s="17"/>
      <c r="L320" s="16" t="s">
        <v>18</v>
      </c>
      <c r="M320" s="16" t="s">
        <v>22</v>
      </c>
      <c r="N320" s="39" t="s">
        <v>418</v>
      </c>
    </row>
    <row r="321" spans="1:14" s="12" customFormat="1" ht="18">
      <c r="A321" s="178" t="s">
        <v>80</v>
      </c>
      <c r="B321" s="75" t="s">
        <v>1532</v>
      </c>
      <c r="C321" s="176" t="s">
        <v>17</v>
      </c>
      <c r="D321" s="236"/>
      <c r="E321" s="236"/>
      <c r="F321" s="236"/>
      <c r="G321" s="236"/>
      <c r="H321" s="236">
        <f>SUM(Tabla132112419[[#This Row],[PRIMER TRIMESTRE]:[CUARTO TRIMESTRE]])</f>
        <v>0</v>
      </c>
      <c r="I321" s="72">
        <v>300</v>
      </c>
      <c r="J321" s="72">
        <f t="shared" si="8"/>
        <v>0</v>
      </c>
      <c r="K321" s="17"/>
      <c r="L321" s="16" t="s">
        <v>18</v>
      </c>
      <c r="M321" s="16" t="s">
        <v>22</v>
      </c>
      <c r="N321" s="39" t="s">
        <v>418</v>
      </c>
    </row>
    <row r="322" spans="1:14" s="12" customFormat="1" ht="18">
      <c r="A322" s="178" t="s">
        <v>80</v>
      </c>
      <c r="B322" s="75" t="s">
        <v>1533</v>
      </c>
      <c r="C322" s="176" t="s">
        <v>17</v>
      </c>
      <c r="D322" s="236"/>
      <c r="E322" s="236"/>
      <c r="F322" s="236"/>
      <c r="G322" s="236"/>
      <c r="H322" s="236">
        <f>SUM(Tabla132112419[[#This Row],[PRIMER TRIMESTRE]:[CUARTO TRIMESTRE]])</f>
        <v>0</v>
      </c>
      <c r="I322" s="72">
        <v>845.5</v>
      </c>
      <c r="J322" s="72">
        <f t="shared" si="8"/>
        <v>0</v>
      </c>
      <c r="K322" s="17"/>
      <c r="L322" s="16" t="s">
        <v>18</v>
      </c>
      <c r="M322" s="16" t="s">
        <v>22</v>
      </c>
      <c r="N322" s="39" t="s">
        <v>418</v>
      </c>
    </row>
    <row r="323" spans="1:14" s="12" customFormat="1" ht="18">
      <c r="A323" s="178" t="s">
        <v>80</v>
      </c>
      <c r="B323" s="75" t="s">
        <v>1535</v>
      </c>
      <c r="C323" s="176" t="s">
        <v>17</v>
      </c>
      <c r="D323" s="236"/>
      <c r="E323" s="236"/>
      <c r="F323" s="236"/>
      <c r="G323" s="236"/>
      <c r="H323" s="236">
        <f>SUM(Tabla132112419[[#This Row],[PRIMER TRIMESTRE]:[CUARTO TRIMESTRE]])</f>
        <v>0</v>
      </c>
      <c r="I323" s="72">
        <v>3192.99</v>
      </c>
      <c r="J323" s="72">
        <f t="shared" si="8"/>
        <v>0</v>
      </c>
      <c r="K323" s="17"/>
      <c r="L323" s="16" t="s">
        <v>18</v>
      </c>
      <c r="M323" s="16" t="s">
        <v>22</v>
      </c>
      <c r="N323" s="39" t="s">
        <v>418</v>
      </c>
    </row>
    <row r="324" spans="1:14" s="12" customFormat="1" ht="18">
      <c r="A324" s="178" t="s">
        <v>80</v>
      </c>
      <c r="B324" s="75" t="s">
        <v>1724</v>
      </c>
      <c r="C324" s="176" t="s">
        <v>17</v>
      </c>
      <c r="D324" s="236"/>
      <c r="E324" s="236"/>
      <c r="F324" s="236"/>
      <c r="G324" s="236"/>
      <c r="H324" s="40">
        <v>0</v>
      </c>
      <c r="I324" s="72">
        <v>0</v>
      </c>
      <c r="J324" s="72">
        <v>0</v>
      </c>
      <c r="K324" s="17"/>
      <c r="L324" s="16" t="s">
        <v>18</v>
      </c>
      <c r="M324" s="16" t="s">
        <v>22</v>
      </c>
      <c r="N324" s="39" t="s">
        <v>418</v>
      </c>
    </row>
    <row r="325" spans="1:14" s="12" customFormat="1" ht="51">
      <c r="A325" s="178" t="s">
        <v>80</v>
      </c>
      <c r="B325" s="75" t="s">
        <v>1536</v>
      </c>
      <c r="C325" s="176" t="s">
        <v>17</v>
      </c>
      <c r="D325" s="236"/>
      <c r="E325" s="236"/>
      <c r="F325" s="236"/>
      <c r="G325" s="236"/>
      <c r="H325" s="236">
        <f>SUM(Tabla132112419[[#This Row],[PRIMER TRIMESTRE]:[CUARTO TRIMESTRE]])</f>
        <v>0</v>
      </c>
      <c r="I325" s="72">
        <v>45017.279999999999</v>
      </c>
      <c r="J325" s="72">
        <f t="shared" si="8"/>
        <v>0</v>
      </c>
      <c r="K325" s="17"/>
      <c r="L325" s="16" t="s">
        <v>18</v>
      </c>
      <c r="M325" s="16" t="s">
        <v>22</v>
      </c>
      <c r="N325" s="39" t="s">
        <v>418</v>
      </c>
    </row>
    <row r="326" spans="1:14" s="12" customFormat="1" ht="18">
      <c r="A326" s="178" t="s">
        <v>80</v>
      </c>
      <c r="B326" s="75" t="s">
        <v>1340</v>
      </c>
      <c r="C326" s="39" t="s">
        <v>17</v>
      </c>
      <c r="D326" s="236"/>
      <c r="E326" s="236"/>
      <c r="F326" s="236"/>
      <c r="G326" s="236"/>
      <c r="H326" s="40">
        <f>SUM(Tabla132112419[[#This Row],[PRIMER TRIMESTRE]:[CUARTO TRIMESTRE]])</f>
        <v>0</v>
      </c>
      <c r="I326" s="72">
        <v>348.1</v>
      </c>
      <c r="J326" s="17">
        <f t="shared" si="8"/>
        <v>0</v>
      </c>
      <c r="K326" s="17"/>
      <c r="L326" s="16" t="s">
        <v>18</v>
      </c>
      <c r="M326" s="16" t="s">
        <v>22</v>
      </c>
      <c r="N326" s="39" t="s">
        <v>418</v>
      </c>
    </row>
    <row r="327" spans="1:14" s="12" customFormat="1" ht="18">
      <c r="A327" s="178" t="s">
        <v>80</v>
      </c>
      <c r="B327" s="75" t="s">
        <v>1537</v>
      </c>
      <c r="C327" s="39" t="s">
        <v>17</v>
      </c>
      <c r="D327" s="236"/>
      <c r="E327" s="236"/>
      <c r="F327" s="236"/>
      <c r="G327" s="236"/>
      <c r="H327" s="236">
        <f>SUM(Tabla132112419[[#This Row],[PRIMER TRIMESTRE]:[CUARTO TRIMESTRE]])</f>
        <v>0</v>
      </c>
      <c r="I327" s="72">
        <v>7623.81</v>
      </c>
      <c r="J327" s="72">
        <f t="shared" si="8"/>
        <v>0</v>
      </c>
      <c r="K327" s="17"/>
      <c r="L327" s="16" t="s">
        <v>18</v>
      </c>
      <c r="M327" s="16" t="s">
        <v>22</v>
      </c>
      <c r="N327" s="39" t="s">
        <v>418</v>
      </c>
    </row>
    <row r="328" spans="1:14" s="12" customFormat="1" ht="18">
      <c r="A328" s="178" t="s">
        <v>80</v>
      </c>
      <c r="B328" s="75" t="s">
        <v>1341</v>
      </c>
      <c r="C328" s="39" t="s">
        <v>17</v>
      </c>
      <c r="D328" s="236"/>
      <c r="E328" s="236"/>
      <c r="F328" s="236"/>
      <c r="G328" s="236"/>
      <c r="H328" s="40">
        <f>SUM(Tabla132112419[[#This Row],[PRIMER TRIMESTRE]:[CUARTO TRIMESTRE]])</f>
        <v>0</v>
      </c>
      <c r="I328" s="72">
        <v>88.5</v>
      </c>
      <c r="J328" s="17">
        <f t="shared" si="8"/>
        <v>0</v>
      </c>
      <c r="K328" s="17"/>
      <c r="L328" s="16" t="s">
        <v>18</v>
      </c>
      <c r="M328" s="16" t="s">
        <v>22</v>
      </c>
      <c r="N328" s="39" t="s">
        <v>418</v>
      </c>
    </row>
    <row r="329" spans="1:14" s="12" customFormat="1" ht="18">
      <c r="A329" s="178" t="s">
        <v>80</v>
      </c>
      <c r="B329" s="75" t="s">
        <v>1342</v>
      </c>
      <c r="C329" s="39" t="s">
        <v>17</v>
      </c>
      <c r="D329" s="236"/>
      <c r="E329" s="236"/>
      <c r="F329" s="236"/>
      <c r="G329" s="236"/>
      <c r="H329" s="40">
        <f>SUM(Tabla132112419[[#This Row],[PRIMER TRIMESTRE]:[CUARTO TRIMESTRE]])</f>
        <v>0</v>
      </c>
      <c r="I329" s="72">
        <v>165.2</v>
      </c>
      <c r="J329" s="17">
        <f t="shared" si="8"/>
        <v>0</v>
      </c>
      <c r="K329" s="17"/>
      <c r="L329" s="16" t="s">
        <v>18</v>
      </c>
      <c r="M329" s="16" t="s">
        <v>22</v>
      </c>
      <c r="N329" s="39" t="s">
        <v>418</v>
      </c>
    </row>
    <row r="330" spans="1:14" s="12" customFormat="1" ht="18">
      <c r="A330" s="178" t="s">
        <v>80</v>
      </c>
      <c r="B330" s="75" t="s">
        <v>1343</v>
      </c>
      <c r="C330" s="39" t="s">
        <v>17</v>
      </c>
      <c r="D330" s="236"/>
      <c r="E330" s="236"/>
      <c r="F330" s="236"/>
      <c r="G330" s="236"/>
      <c r="H330" s="40">
        <f>SUM(Tabla132112419[[#This Row],[PRIMER TRIMESTRE]:[CUARTO TRIMESTRE]])</f>
        <v>0</v>
      </c>
      <c r="I330" s="72">
        <v>855.5</v>
      </c>
      <c r="J330" s="17">
        <f t="shared" si="8"/>
        <v>0</v>
      </c>
      <c r="K330" s="17"/>
      <c r="L330" s="16" t="s">
        <v>18</v>
      </c>
      <c r="M330" s="16" t="s">
        <v>22</v>
      </c>
      <c r="N330" s="39" t="s">
        <v>418</v>
      </c>
    </row>
    <row r="331" spans="1:14" s="12" customFormat="1" ht="18">
      <c r="A331" s="178" t="s">
        <v>80</v>
      </c>
      <c r="B331" s="75" t="s">
        <v>571</v>
      </c>
      <c r="C331" s="39" t="s">
        <v>17</v>
      </c>
      <c r="D331" s="236"/>
      <c r="E331" s="236"/>
      <c r="F331" s="236"/>
      <c r="G331" s="236"/>
      <c r="H331" s="40">
        <f>SUM(Tabla132112419[[#This Row],[PRIMER TRIMESTRE]:[CUARTO TRIMESTRE]])</f>
        <v>0</v>
      </c>
      <c r="I331" s="17">
        <v>12159.7</v>
      </c>
      <c r="J331" s="17">
        <f>+Tabla132112419[[#This Row],[CANTIDAD TOTAL]]*Tabla132112419[[#This Row],[PRECIO UNITARIO ESTIMADO]]</f>
        <v>0</v>
      </c>
      <c r="K331" s="17"/>
      <c r="L331" s="16" t="s">
        <v>18</v>
      </c>
      <c r="M331" s="16" t="s">
        <v>22</v>
      </c>
      <c r="N331" s="39" t="s">
        <v>418</v>
      </c>
    </row>
    <row r="332" spans="1:14" s="12" customFormat="1" ht="18">
      <c r="A332" s="178" t="s">
        <v>80</v>
      </c>
      <c r="B332" s="75" t="s">
        <v>186</v>
      </c>
      <c r="C332" s="39" t="s">
        <v>17</v>
      </c>
      <c r="D332" s="236"/>
      <c r="E332" s="236"/>
      <c r="F332" s="236"/>
      <c r="G332" s="236"/>
      <c r="H332" s="40">
        <f>SUM(Tabla132112419[[#This Row],[PRIMER TRIMESTRE]:[CUARTO TRIMESTRE]])</f>
        <v>0</v>
      </c>
      <c r="I332" s="17">
        <v>2600</v>
      </c>
      <c r="J332" s="17">
        <f>+Tabla132112419[[#This Row],[CANTIDAD TOTAL]]*Tabla132112419[[#This Row],[PRECIO UNITARIO ESTIMADO]]</f>
        <v>0</v>
      </c>
      <c r="K332" s="17"/>
      <c r="L332" s="16" t="s">
        <v>18</v>
      </c>
      <c r="M332" s="16" t="s">
        <v>22</v>
      </c>
      <c r="N332" s="39" t="s">
        <v>418</v>
      </c>
    </row>
    <row r="333" spans="1:14" s="12" customFormat="1" ht="18">
      <c r="A333" s="178" t="s">
        <v>80</v>
      </c>
      <c r="B333" s="75" t="s">
        <v>1550</v>
      </c>
      <c r="C333" s="39" t="s">
        <v>17</v>
      </c>
      <c r="D333" s="236"/>
      <c r="E333" s="236"/>
      <c r="F333" s="236"/>
      <c r="G333" s="236"/>
      <c r="H333" s="236">
        <f>SUM(Tabla132112419[[#This Row],[PRIMER TRIMESTRE]:[CUARTO TRIMESTRE]])</f>
        <v>0</v>
      </c>
      <c r="I333" s="17">
        <v>317.27</v>
      </c>
      <c r="J333" s="17">
        <f>+H333*I333</f>
        <v>0</v>
      </c>
      <c r="K333" s="17"/>
      <c r="L333" s="16" t="s">
        <v>18</v>
      </c>
      <c r="M333" s="16" t="s">
        <v>22</v>
      </c>
      <c r="N333" s="39" t="s">
        <v>418</v>
      </c>
    </row>
    <row r="334" spans="1:14" s="12" customFormat="1" ht="18">
      <c r="A334" s="178" t="s">
        <v>80</v>
      </c>
      <c r="B334" s="75" t="s">
        <v>148</v>
      </c>
      <c r="C334" s="39" t="s">
        <v>149</v>
      </c>
      <c r="D334" s="236"/>
      <c r="E334" s="236"/>
      <c r="F334" s="236"/>
      <c r="G334" s="236"/>
      <c r="H334" s="40">
        <f>SUM(Tabla132112419[[#This Row],[PRIMER TRIMESTRE]:[CUARTO TRIMESTRE]])</f>
        <v>0</v>
      </c>
      <c r="I334" s="17">
        <v>127.6</v>
      </c>
      <c r="J334" s="17">
        <f>+Tabla132112419[[#This Row],[CANTIDAD TOTAL]]*Tabla132112419[[#This Row],[PRECIO UNITARIO ESTIMADO]]</f>
        <v>0</v>
      </c>
      <c r="K334" s="17"/>
      <c r="L334" s="16" t="s">
        <v>18</v>
      </c>
      <c r="M334" s="16" t="s">
        <v>22</v>
      </c>
      <c r="N334" s="39" t="s">
        <v>418</v>
      </c>
    </row>
    <row r="335" spans="1:14" s="12" customFormat="1" ht="18">
      <c r="A335" s="178" t="s">
        <v>80</v>
      </c>
      <c r="B335" s="75" t="s">
        <v>1430</v>
      </c>
      <c r="C335" s="39" t="s">
        <v>290</v>
      </c>
      <c r="D335" s="236"/>
      <c r="E335" s="236"/>
      <c r="F335" s="236"/>
      <c r="G335" s="236"/>
      <c r="H335" s="40">
        <f>SUM(Tabla132112419[[#This Row],[PRIMER TRIMESTRE]:[CUARTO TRIMESTRE]])</f>
        <v>0</v>
      </c>
      <c r="I335" s="17">
        <v>793.52</v>
      </c>
      <c r="J335" s="17">
        <f>+Tabla132112419[[#This Row],[CANTIDAD TOTAL]]*Tabla132112419[[#This Row],[PRECIO UNITARIO ESTIMADO]]</f>
        <v>0</v>
      </c>
      <c r="K335" s="17"/>
      <c r="L335" s="16" t="s">
        <v>18</v>
      </c>
      <c r="M335" s="16" t="s">
        <v>22</v>
      </c>
      <c r="N335" s="39" t="s">
        <v>418</v>
      </c>
    </row>
    <row r="336" spans="1:14" s="12" customFormat="1" ht="18">
      <c r="A336" s="178" t="s">
        <v>80</v>
      </c>
      <c r="B336" s="75" t="s">
        <v>439</v>
      </c>
      <c r="C336" s="39" t="s">
        <v>149</v>
      </c>
      <c r="D336" s="236"/>
      <c r="E336" s="236"/>
      <c r="F336" s="236"/>
      <c r="G336" s="236"/>
      <c r="H336" s="40">
        <f>SUM(Tabla132112419[[#This Row],[PRIMER TRIMESTRE]:[CUARTO TRIMESTRE]])</f>
        <v>0</v>
      </c>
      <c r="I336" s="17">
        <v>123.91</v>
      </c>
      <c r="J336" s="17">
        <f>+Tabla132112419[[#This Row],[CANTIDAD TOTAL]]*Tabla132112419[[#This Row],[PRECIO UNITARIO ESTIMADO]]</f>
        <v>0</v>
      </c>
      <c r="K336" s="17"/>
      <c r="L336" s="16" t="s">
        <v>18</v>
      </c>
      <c r="M336" s="16" t="s">
        <v>22</v>
      </c>
      <c r="N336" s="39" t="s">
        <v>418</v>
      </c>
    </row>
    <row r="337" spans="1:14" s="12" customFormat="1" ht="18">
      <c r="A337" s="178" t="s">
        <v>80</v>
      </c>
      <c r="B337" s="75" t="s">
        <v>1553</v>
      </c>
      <c r="C337" s="39" t="s">
        <v>17</v>
      </c>
      <c r="D337" s="236"/>
      <c r="E337" s="236"/>
      <c r="F337" s="236"/>
      <c r="G337" s="236"/>
      <c r="H337" s="236">
        <f>SUM(Tabla132112419[[#This Row],[PRIMER TRIMESTRE]:[CUARTO TRIMESTRE]])</f>
        <v>0</v>
      </c>
      <c r="I337" s="17">
        <v>536.16999999999996</v>
      </c>
      <c r="J337" s="17">
        <f>+H337*I337</f>
        <v>0</v>
      </c>
      <c r="K337" s="17"/>
      <c r="L337" s="16" t="s">
        <v>18</v>
      </c>
      <c r="M337" s="16" t="s">
        <v>22</v>
      </c>
      <c r="N337" s="39" t="s">
        <v>418</v>
      </c>
    </row>
    <row r="338" spans="1:14" s="12" customFormat="1" ht="25.5">
      <c r="A338" s="178" t="s">
        <v>80</v>
      </c>
      <c r="B338" s="75" t="s">
        <v>1538</v>
      </c>
      <c r="C338" s="39" t="s">
        <v>149</v>
      </c>
      <c r="D338" s="236"/>
      <c r="E338" s="236"/>
      <c r="F338" s="236"/>
      <c r="G338" s="236"/>
      <c r="H338" s="236">
        <f>SUM(Tabla132112419[[#This Row],[PRIMER TRIMESTRE]:[CUARTO TRIMESTRE]])</f>
        <v>0</v>
      </c>
      <c r="I338" s="17">
        <v>560</v>
      </c>
      <c r="J338" s="17">
        <f>+H338*I338</f>
        <v>0</v>
      </c>
      <c r="K338" s="17"/>
      <c r="L338" s="16" t="s">
        <v>18</v>
      </c>
      <c r="M338" s="16" t="s">
        <v>22</v>
      </c>
      <c r="N338" s="39" t="s">
        <v>418</v>
      </c>
    </row>
    <row r="339" spans="1:14" s="12" customFormat="1" ht="18">
      <c r="A339" s="178" t="s">
        <v>80</v>
      </c>
      <c r="B339" s="75" t="s">
        <v>471</v>
      </c>
      <c r="C339" s="39" t="s">
        <v>17</v>
      </c>
      <c r="D339" s="236"/>
      <c r="E339" s="210"/>
      <c r="F339" s="236"/>
      <c r="G339" s="236"/>
      <c r="H339" s="40">
        <f>SUM(Tabla132112419[[#This Row],[PRIMER TRIMESTRE]:[CUARTO TRIMESTRE]])</f>
        <v>0</v>
      </c>
      <c r="I339" s="17">
        <v>55.38</v>
      </c>
      <c r="J339" s="17">
        <f>+Tabla132112419[[#This Row],[CANTIDAD TOTAL]]*Tabla132112419[[#This Row],[PRECIO UNITARIO ESTIMADO]]</f>
        <v>0</v>
      </c>
      <c r="K339" s="17"/>
      <c r="L339" s="16" t="s">
        <v>18</v>
      </c>
      <c r="M339" s="16" t="s">
        <v>22</v>
      </c>
      <c r="N339" s="39" t="s">
        <v>418</v>
      </c>
    </row>
    <row r="340" spans="1:14" s="12" customFormat="1" ht="18">
      <c r="A340" s="178" t="s">
        <v>80</v>
      </c>
      <c r="B340" s="75" t="s">
        <v>1348</v>
      </c>
      <c r="C340" s="39" t="s">
        <v>17</v>
      </c>
      <c r="D340" s="236"/>
      <c r="E340" s="210"/>
      <c r="F340" s="236"/>
      <c r="G340" s="236"/>
      <c r="H340" s="40">
        <f>SUM(Tabla132112419[[#This Row],[PRIMER TRIMESTRE]:[CUARTO TRIMESTRE]])</f>
        <v>0</v>
      </c>
      <c r="I340" s="17">
        <v>85</v>
      </c>
      <c r="J340" s="17">
        <f t="shared" ref="J340:J375" si="9">+H340*I340</f>
        <v>0</v>
      </c>
      <c r="K340" s="17"/>
      <c r="L340" s="16" t="s">
        <v>18</v>
      </c>
      <c r="M340" s="16" t="s">
        <v>22</v>
      </c>
      <c r="N340" s="39" t="s">
        <v>418</v>
      </c>
    </row>
    <row r="341" spans="1:14" s="12" customFormat="1" ht="18">
      <c r="A341" s="178" t="s">
        <v>80</v>
      </c>
      <c r="B341" s="75" t="s">
        <v>1591</v>
      </c>
      <c r="C341" s="39" t="s">
        <v>17</v>
      </c>
      <c r="D341" s="236"/>
      <c r="E341" s="210"/>
      <c r="F341" s="236"/>
      <c r="G341" s="236"/>
      <c r="H341" s="40">
        <f>SUM(Tabla132112419[[#This Row],[PRIMER TRIMESTRE]:[CUARTO TRIMESTRE]])</f>
        <v>0</v>
      </c>
      <c r="I341" s="17">
        <v>196.4</v>
      </c>
      <c r="J341" s="17">
        <f t="shared" si="9"/>
        <v>0</v>
      </c>
      <c r="K341" s="17"/>
      <c r="L341" s="16" t="s">
        <v>18</v>
      </c>
      <c r="M341" s="16" t="s">
        <v>22</v>
      </c>
      <c r="N341" s="39" t="s">
        <v>418</v>
      </c>
    </row>
    <row r="342" spans="1:14" s="12" customFormat="1" ht="18">
      <c r="A342" s="178" t="s">
        <v>80</v>
      </c>
      <c r="B342" s="75" t="s">
        <v>1349</v>
      </c>
      <c r="C342" s="39" t="s">
        <v>17</v>
      </c>
      <c r="D342" s="236"/>
      <c r="E342" s="210"/>
      <c r="F342" s="236"/>
      <c r="G342" s="236"/>
      <c r="H342" s="40">
        <f>SUM(Tabla132112419[[#This Row],[PRIMER TRIMESTRE]:[CUARTO TRIMESTRE]])</f>
        <v>0</v>
      </c>
      <c r="I342" s="17">
        <v>55</v>
      </c>
      <c r="J342" s="17">
        <f t="shared" si="9"/>
        <v>0</v>
      </c>
      <c r="K342" s="17"/>
      <c r="L342" s="16" t="s">
        <v>18</v>
      </c>
      <c r="M342" s="16" t="s">
        <v>22</v>
      </c>
      <c r="N342" s="39" t="s">
        <v>418</v>
      </c>
    </row>
    <row r="343" spans="1:14" s="12" customFormat="1" ht="18">
      <c r="A343" s="178" t="s">
        <v>80</v>
      </c>
      <c r="B343" s="75" t="s">
        <v>1711</v>
      </c>
      <c r="C343" s="39" t="s">
        <v>17</v>
      </c>
      <c r="D343" s="236"/>
      <c r="E343" s="210"/>
      <c r="F343" s="236"/>
      <c r="G343" s="236"/>
      <c r="H343" s="40">
        <v>0</v>
      </c>
      <c r="I343" s="17">
        <v>0</v>
      </c>
      <c r="J343" s="17">
        <v>0</v>
      </c>
      <c r="K343" s="17"/>
      <c r="L343" s="16" t="s">
        <v>18</v>
      </c>
      <c r="M343" s="16" t="s">
        <v>22</v>
      </c>
      <c r="N343" s="39" t="s">
        <v>418</v>
      </c>
    </row>
    <row r="344" spans="1:14" s="12" customFormat="1" ht="18">
      <c r="A344" s="178" t="s">
        <v>80</v>
      </c>
      <c r="B344" s="75" t="s">
        <v>1563</v>
      </c>
      <c r="C344" s="39" t="s">
        <v>17</v>
      </c>
      <c r="D344" s="236"/>
      <c r="E344" s="236"/>
      <c r="F344" s="236"/>
      <c r="G344" s="236"/>
      <c r="H344" s="236">
        <f>SUM(Tabla132112419[[#This Row],[PRIMER TRIMESTRE]:[CUARTO TRIMESTRE]])</f>
        <v>0</v>
      </c>
      <c r="I344" s="17">
        <v>108.41</v>
      </c>
      <c r="J344" s="17">
        <f t="shared" si="9"/>
        <v>0</v>
      </c>
      <c r="K344" s="17"/>
      <c r="L344" s="16" t="s">
        <v>18</v>
      </c>
      <c r="M344" s="16" t="s">
        <v>22</v>
      </c>
      <c r="N344" s="39" t="s">
        <v>418</v>
      </c>
    </row>
    <row r="345" spans="1:14" s="12" customFormat="1" ht="18">
      <c r="A345" s="178" t="s">
        <v>80</v>
      </c>
      <c r="B345" s="75" t="s">
        <v>1562</v>
      </c>
      <c r="C345" s="39" t="s">
        <v>17</v>
      </c>
      <c r="D345" s="236"/>
      <c r="E345" s="236"/>
      <c r="F345" s="236"/>
      <c r="G345" s="236"/>
      <c r="H345" s="236">
        <f>SUM(Tabla132112419[[#This Row],[PRIMER TRIMESTRE]:[CUARTO TRIMESTRE]])</f>
        <v>0</v>
      </c>
      <c r="I345" s="17">
        <v>23.1</v>
      </c>
      <c r="J345" s="17">
        <f t="shared" si="9"/>
        <v>0</v>
      </c>
      <c r="K345" s="17"/>
      <c r="L345" s="16" t="s">
        <v>18</v>
      </c>
      <c r="M345" s="16" t="s">
        <v>22</v>
      </c>
      <c r="N345" s="39" t="s">
        <v>418</v>
      </c>
    </row>
    <row r="346" spans="1:14" s="12" customFormat="1" ht="18">
      <c r="A346" s="178" t="s">
        <v>80</v>
      </c>
      <c r="B346" s="75" t="s">
        <v>1350</v>
      </c>
      <c r="C346" s="39" t="s">
        <v>17</v>
      </c>
      <c r="D346" s="236"/>
      <c r="E346" s="210"/>
      <c r="F346" s="236"/>
      <c r="G346" s="236"/>
      <c r="H346" s="40">
        <f>SUM(Tabla132112419[[#This Row],[PRIMER TRIMESTRE]:[CUARTO TRIMESTRE]])</f>
        <v>0</v>
      </c>
      <c r="I346" s="17">
        <v>210</v>
      </c>
      <c r="J346" s="17">
        <f t="shared" si="9"/>
        <v>0</v>
      </c>
      <c r="K346" s="17"/>
      <c r="L346" s="16" t="s">
        <v>18</v>
      </c>
      <c r="M346" s="16" t="s">
        <v>22</v>
      </c>
      <c r="N346" s="39" t="s">
        <v>418</v>
      </c>
    </row>
    <row r="347" spans="1:14" s="12" customFormat="1" ht="18">
      <c r="A347" s="178" t="s">
        <v>80</v>
      </c>
      <c r="B347" s="75" t="s">
        <v>644</v>
      </c>
      <c r="C347" s="39" t="s">
        <v>17</v>
      </c>
      <c r="D347" s="236"/>
      <c r="E347" s="236"/>
      <c r="F347" s="236"/>
      <c r="G347" s="240"/>
      <c r="H347" s="40">
        <f>SUM(Tabla132112419[[#This Row],[PRIMER TRIMESTRE]:[CUARTO TRIMESTRE]])</f>
        <v>0</v>
      </c>
      <c r="I347" s="17">
        <v>731.35</v>
      </c>
      <c r="J347" s="17">
        <f t="shared" si="9"/>
        <v>0</v>
      </c>
      <c r="K347" s="17"/>
      <c r="L347" s="16" t="s">
        <v>18</v>
      </c>
      <c r="M347" s="16" t="s">
        <v>22</v>
      </c>
      <c r="N347" s="39" t="s">
        <v>418</v>
      </c>
    </row>
    <row r="348" spans="1:14" s="12" customFormat="1" ht="18">
      <c r="A348" s="178" t="s">
        <v>80</v>
      </c>
      <c r="B348" s="75" t="s">
        <v>645</v>
      </c>
      <c r="C348" s="39" t="s">
        <v>17</v>
      </c>
      <c r="D348" s="236"/>
      <c r="E348" s="236"/>
      <c r="F348" s="236"/>
      <c r="G348" s="240"/>
      <c r="H348" s="40">
        <f>SUM(Tabla132112419[[#This Row],[PRIMER TRIMESTRE]:[CUARTO TRIMESTRE]])</f>
        <v>0</v>
      </c>
      <c r="I348" s="17">
        <v>1013.28</v>
      </c>
      <c r="J348" s="17">
        <f t="shared" si="9"/>
        <v>0</v>
      </c>
      <c r="K348" s="17"/>
      <c r="L348" s="16" t="s">
        <v>18</v>
      </c>
      <c r="M348" s="16" t="s">
        <v>22</v>
      </c>
      <c r="N348" s="39" t="s">
        <v>418</v>
      </c>
    </row>
    <row r="349" spans="1:14" s="12" customFormat="1" ht="18">
      <c r="A349" s="178" t="s">
        <v>80</v>
      </c>
      <c r="B349" s="75" t="s">
        <v>646</v>
      </c>
      <c r="C349" s="39" t="s">
        <v>17</v>
      </c>
      <c r="D349" s="236"/>
      <c r="E349" s="236"/>
      <c r="F349" s="236"/>
      <c r="G349" s="240"/>
      <c r="H349" s="40">
        <f>SUM(Tabla132112419[[#This Row],[PRIMER TRIMESTRE]:[CUARTO TRIMESTRE]])</f>
        <v>0</v>
      </c>
      <c r="I349" s="17">
        <v>1196.97</v>
      </c>
      <c r="J349" s="17">
        <f t="shared" si="9"/>
        <v>0</v>
      </c>
      <c r="K349" s="17"/>
      <c r="L349" s="16" t="s">
        <v>18</v>
      </c>
      <c r="M349" s="16" t="s">
        <v>22</v>
      </c>
      <c r="N349" s="39" t="s">
        <v>418</v>
      </c>
    </row>
    <row r="350" spans="1:14" s="12" customFormat="1" ht="18">
      <c r="A350" s="178" t="s">
        <v>80</v>
      </c>
      <c r="B350" s="75" t="s">
        <v>647</v>
      </c>
      <c r="C350" s="39" t="s">
        <v>17</v>
      </c>
      <c r="D350" s="236"/>
      <c r="E350" s="236"/>
      <c r="F350" s="236"/>
      <c r="G350" s="240"/>
      <c r="H350" s="40">
        <f>SUM(Tabla132112419[[#This Row],[PRIMER TRIMESTRE]:[CUARTO TRIMESTRE]])</f>
        <v>0</v>
      </c>
      <c r="I350" s="17">
        <v>1882.41</v>
      </c>
      <c r="J350" s="17">
        <f t="shared" si="9"/>
        <v>0</v>
      </c>
      <c r="K350" s="17"/>
      <c r="L350" s="16" t="s">
        <v>18</v>
      </c>
      <c r="M350" s="16" t="s">
        <v>22</v>
      </c>
      <c r="N350" s="39" t="s">
        <v>418</v>
      </c>
    </row>
    <row r="351" spans="1:14" s="12" customFormat="1" ht="18">
      <c r="A351" s="178" t="s">
        <v>80</v>
      </c>
      <c r="B351" s="75" t="s">
        <v>648</v>
      </c>
      <c r="C351" s="39" t="s">
        <v>17</v>
      </c>
      <c r="D351" s="236"/>
      <c r="E351" s="236"/>
      <c r="F351" s="236"/>
      <c r="G351" s="240"/>
      <c r="H351" s="40">
        <f>SUM(Tabla132112419[[#This Row],[PRIMER TRIMESTRE]:[CUARTO TRIMESTRE]])</f>
        <v>0</v>
      </c>
      <c r="I351" s="17">
        <v>2110.4699999999998</v>
      </c>
      <c r="J351" s="17">
        <f t="shared" si="9"/>
        <v>0</v>
      </c>
      <c r="K351" s="17"/>
      <c r="L351" s="16" t="s">
        <v>18</v>
      </c>
      <c r="M351" s="16" t="s">
        <v>22</v>
      </c>
      <c r="N351" s="39" t="s">
        <v>418</v>
      </c>
    </row>
    <row r="352" spans="1:14" s="12" customFormat="1" ht="18">
      <c r="A352" s="178" t="s">
        <v>80</v>
      </c>
      <c r="B352" s="75" t="s">
        <v>649</v>
      </c>
      <c r="C352" s="39" t="s">
        <v>17</v>
      </c>
      <c r="D352" s="236"/>
      <c r="E352" s="236"/>
      <c r="F352" s="236"/>
      <c r="G352" s="240"/>
      <c r="H352" s="40">
        <f>SUM(Tabla132112419[[#This Row],[PRIMER TRIMESTRE]:[CUARTO TRIMESTRE]])</f>
        <v>0</v>
      </c>
      <c r="I352" s="17">
        <v>2920.5</v>
      </c>
      <c r="J352" s="17">
        <f t="shared" si="9"/>
        <v>0</v>
      </c>
      <c r="K352" s="17"/>
      <c r="L352" s="16" t="s">
        <v>18</v>
      </c>
      <c r="M352" s="16" t="s">
        <v>22</v>
      </c>
      <c r="N352" s="39" t="s">
        <v>418</v>
      </c>
    </row>
    <row r="353" spans="1:14" s="12" customFormat="1" ht="18">
      <c r="A353" s="178" t="s">
        <v>80</v>
      </c>
      <c r="B353" s="75" t="s">
        <v>650</v>
      </c>
      <c r="C353" s="39" t="s">
        <v>17</v>
      </c>
      <c r="D353" s="236"/>
      <c r="E353" s="236"/>
      <c r="F353" s="236"/>
      <c r="G353" s="240"/>
      <c r="H353" s="40">
        <f>SUM(Tabla132112419[[#This Row],[PRIMER TRIMESTRE]:[CUARTO TRIMESTRE]])</f>
        <v>0</v>
      </c>
      <c r="I353" s="17">
        <v>2919.76</v>
      </c>
      <c r="J353" s="17">
        <f t="shared" si="9"/>
        <v>0</v>
      </c>
      <c r="K353" s="17"/>
      <c r="L353" s="16" t="s">
        <v>18</v>
      </c>
      <c r="M353" s="16" t="s">
        <v>22</v>
      </c>
      <c r="N353" s="39" t="s">
        <v>418</v>
      </c>
    </row>
    <row r="354" spans="1:14" s="12" customFormat="1" ht="18">
      <c r="A354" s="178" t="s">
        <v>80</v>
      </c>
      <c r="B354" s="75" t="s">
        <v>651</v>
      </c>
      <c r="C354" s="39" t="s">
        <v>17</v>
      </c>
      <c r="D354" s="236"/>
      <c r="E354" s="236"/>
      <c r="F354" s="236"/>
      <c r="G354" s="240"/>
      <c r="H354" s="40">
        <f>SUM(Tabla132112419[[#This Row],[PRIMER TRIMESTRE]:[CUARTO TRIMESTRE]])</f>
        <v>0</v>
      </c>
      <c r="I354" s="17">
        <v>5347.76</v>
      </c>
      <c r="J354" s="17">
        <f t="shared" si="9"/>
        <v>0</v>
      </c>
      <c r="K354" s="17"/>
      <c r="L354" s="16" t="s">
        <v>18</v>
      </c>
      <c r="M354" s="16" t="s">
        <v>22</v>
      </c>
      <c r="N354" s="39" t="s">
        <v>418</v>
      </c>
    </row>
    <row r="355" spans="1:14" s="12" customFormat="1" ht="18">
      <c r="A355" s="178" t="s">
        <v>80</v>
      </c>
      <c r="B355" s="75" t="s">
        <v>652</v>
      </c>
      <c r="C355" s="39" t="s">
        <v>17</v>
      </c>
      <c r="D355" s="236"/>
      <c r="E355" s="236"/>
      <c r="F355" s="236"/>
      <c r="G355" s="240"/>
      <c r="H355" s="40">
        <f>SUM(Tabla132112419[[#This Row],[PRIMER TRIMESTRE]:[CUARTO TRIMESTRE]])</f>
        <v>0</v>
      </c>
      <c r="I355" s="17">
        <v>9696.06</v>
      </c>
      <c r="J355" s="17">
        <f t="shared" si="9"/>
        <v>0</v>
      </c>
      <c r="K355" s="17"/>
      <c r="L355" s="16" t="s">
        <v>18</v>
      </c>
      <c r="M355" s="16" t="s">
        <v>22</v>
      </c>
      <c r="N355" s="39" t="s">
        <v>418</v>
      </c>
    </row>
    <row r="356" spans="1:14" s="12" customFormat="1" ht="18">
      <c r="A356" s="178" t="s">
        <v>80</v>
      </c>
      <c r="B356" s="75" t="s">
        <v>653</v>
      </c>
      <c r="C356" s="39" t="s">
        <v>17</v>
      </c>
      <c r="D356" s="236"/>
      <c r="E356" s="236"/>
      <c r="F356" s="236"/>
      <c r="G356" s="240"/>
      <c r="H356" s="40">
        <f>SUM(Tabla132112419[[#This Row],[PRIMER TRIMESTRE]:[CUARTO TRIMESTRE]])</f>
        <v>0</v>
      </c>
      <c r="I356" s="17">
        <v>13263.2</v>
      </c>
      <c r="J356" s="17">
        <f t="shared" si="9"/>
        <v>0</v>
      </c>
      <c r="K356" s="17"/>
      <c r="L356" s="16" t="s">
        <v>18</v>
      </c>
      <c r="M356" s="16" t="s">
        <v>22</v>
      </c>
      <c r="N356" s="39" t="s">
        <v>418</v>
      </c>
    </row>
    <row r="357" spans="1:14" s="12" customFormat="1" ht="18">
      <c r="A357" s="178" t="s">
        <v>80</v>
      </c>
      <c r="B357" s="75" t="s">
        <v>351</v>
      </c>
      <c r="C357" s="39" t="s">
        <v>17</v>
      </c>
      <c r="D357" s="236"/>
      <c r="E357" s="236"/>
      <c r="F357" s="236"/>
      <c r="G357" s="240"/>
      <c r="H357" s="40">
        <f>SUM(Tabla132112419[[#This Row],[PRIMER TRIMESTRE]:[CUARTO TRIMESTRE]])</f>
        <v>0</v>
      </c>
      <c r="I357" s="17">
        <v>1800</v>
      </c>
      <c r="J357" s="17">
        <f t="shared" si="9"/>
        <v>0</v>
      </c>
      <c r="K357" s="17"/>
      <c r="L357" s="16" t="s">
        <v>18</v>
      </c>
      <c r="M357" s="16" t="s">
        <v>22</v>
      </c>
      <c r="N357" s="39" t="s">
        <v>418</v>
      </c>
    </row>
    <row r="358" spans="1:14" s="12" customFormat="1" ht="18">
      <c r="A358" s="178" t="s">
        <v>80</v>
      </c>
      <c r="B358" s="75" t="s">
        <v>352</v>
      </c>
      <c r="C358" s="39" t="s">
        <v>17</v>
      </c>
      <c r="D358" s="236"/>
      <c r="E358" s="236"/>
      <c r="F358" s="236"/>
      <c r="G358" s="240"/>
      <c r="H358" s="40">
        <f>SUM(Tabla132112419[[#This Row],[PRIMER TRIMESTRE]:[CUARTO TRIMESTRE]])</f>
        <v>0</v>
      </c>
      <c r="I358" s="17">
        <v>2000</v>
      </c>
      <c r="J358" s="17">
        <f t="shared" si="9"/>
        <v>0</v>
      </c>
      <c r="K358" s="17"/>
      <c r="L358" s="16" t="s">
        <v>18</v>
      </c>
      <c r="M358" s="16" t="s">
        <v>22</v>
      </c>
      <c r="N358" s="39" t="s">
        <v>418</v>
      </c>
    </row>
    <row r="359" spans="1:14" s="12" customFormat="1" ht="18">
      <c r="A359" s="178" t="s">
        <v>80</v>
      </c>
      <c r="B359" s="75" t="s">
        <v>345</v>
      </c>
      <c r="C359" s="39" t="s">
        <v>17</v>
      </c>
      <c r="D359" s="236"/>
      <c r="E359" s="236"/>
      <c r="F359" s="236"/>
      <c r="G359" s="240"/>
      <c r="H359" s="40">
        <f>SUM(Tabla132112419[[#This Row],[PRIMER TRIMESTRE]:[CUARTO TRIMESTRE]])</f>
        <v>0</v>
      </c>
      <c r="I359" s="17">
        <v>2500</v>
      </c>
      <c r="J359" s="17">
        <f t="shared" si="9"/>
        <v>0</v>
      </c>
      <c r="K359" s="17"/>
      <c r="L359" s="16" t="s">
        <v>18</v>
      </c>
      <c r="M359" s="16" t="s">
        <v>22</v>
      </c>
      <c r="N359" s="39" t="s">
        <v>418</v>
      </c>
    </row>
    <row r="360" spans="1:14" s="12" customFormat="1" ht="18">
      <c r="A360" s="178" t="s">
        <v>80</v>
      </c>
      <c r="B360" s="75" t="s">
        <v>346</v>
      </c>
      <c r="C360" s="39" t="s">
        <v>17</v>
      </c>
      <c r="D360" s="236"/>
      <c r="E360" s="236"/>
      <c r="F360" s="236"/>
      <c r="G360" s="240"/>
      <c r="H360" s="40">
        <f>SUM(Tabla132112419[[#This Row],[PRIMER TRIMESTRE]:[CUARTO TRIMESTRE]])</f>
        <v>0</v>
      </c>
      <c r="I360" s="17">
        <v>3100</v>
      </c>
      <c r="J360" s="17">
        <f t="shared" si="9"/>
        <v>0</v>
      </c>
      <c r="K360" s="17"/>
      <c r="L360" s="16" t="s">
        <v>18</v>
      </c>
      <c r="M360" s="16" t="s">
        <v>22</v>
      </c>
      <c r="N360" s="39" t="s">
        <v>418</v>
      </c>
    </row>
    <row r="361" spans="1:14" s="12" customFormat="1" ht="18">
      <c r="A361" s="178" t="s">
        <v>80</v>
      </c>
      <c r="B361" s="75" t="s">
        <v>347</v>
      </c>
      <c r="C361" s="39" t="s">
        <v>17</v>
      </c>
      <c r="D361" s="236"/>
      <c r="E361" s="236"/>
      <c r="F361" s="236"/>
      <c r="G361" s="240"/>
      <c r="H361" s="40">
        <f>SUM(Tabla132112419[[#This Row],[PRIMER TRIMESTRE]:[CUARTO TRIMESTRE]])</f>
        <v>0</v>
      </c>
      <c r="I361" s="17">
        <v>4100</v>
      </c>
      <c r="J361" s="17">
        <f t="shared" si="9"/>
        <v>0</v>
      </c>
      <c r="K361" s="17"/>
      <c r="L361" s="16" t="s">
        <v>18</v>
      </c>
      <c r="M361" s="16" t="s">
        <v>22</v>
      </c>
      <c r="N361" s="39" t="s">
        <v>418</v>
      </c>
    </row>
    <row r="362" spans="1:14" s="12" customFormat="1" ht="18">
      <c r="A362" s="178" t="s">
        <v>80</v>
      </c>
      <c r="B362" s="75" t="s">
        <v>1213</v>
      </c>
      <c r="C362" s="39" t="s">
        <v>17</v>
      </c>
      <c r="D362" s="236"/>
      <c r="E362" s="236"/>
      <c r="F362" s="236"/>
      <c r="G362" s="240"/>
      <c r="H362" s="40">
        <f>SUM(Tabla132112419[[#This Row],[PRIMER TRIMESTRE]:[CUARTO TRIMESTRE]])</f>
        <v>0</v>
      </c>
      <c r="I362" s="17">
        <v>8660</v>
      </c>
      <c r="J362" s="17">
        <f t="shared" si="9"/>
        <v>0</v>
      </c>
      <c r="K362" s="17"/>
      <c r="L362" s="16" t="s">
        <v>18</v>
      </c>
      <c r="M362" s="16" t="s">
        <v>22</v>
      </c>
      <c r="N362" s="39" t="s">
        <v>418</v>
      </c>
    </row>
    <row r="363" spans="1:14" s="12" customFormat="1" ht="18">
      <c r="A363" s="178" t="s">
        <v>80</v>
      </c>
      <c r="B363" s="75" t="s">
        <v>359</v>
      </c>
      <c r="C363" s="39" t="s">
        <v>17</v>
      </c>
      <c r="D363" s="236"/>
      <c r="E363" s="236"/>
      <c r="F363" s="236"/>
      <c r="G363" s="240"/>
      <c r="H363" s="40">
        <f>SUM(Tabla132112419[[#This Row],[PRIMER TRIMESTRE]:[CUARTO TRIMESTRE]])</f>
        <v>0</v>
      </c>
      <c r="I363" s="17">
        <v>1800</v>
      </c>
      <c r="J363" s="17">
        <f t="shared" si="9"/>
        <v>0</v>
      </c>
      <c r="K363" s="17"/>
      <c r="L363" s="16" t="s">
        <v>18</v>
      </c>
      <c r="M363" s="16" t="s">
        <v>22</v>
      </c>
      <c r="N363" s="39" t="s">
        <v>418</v>
      </c>
    </row>
    <row r="364" spans="1:14" s="12" customFormat="1" ht="18">
      <c r="A364" s="178" t="s">
        <v>80</v>
      </c>
      <c r="B364" s="75" t="s">
        <v>360</v>
      </c>
      <c r="C364" s="39" t="s">
        <v>17</v>
      </c>
      <c r="D364" s="236"/>
      <c r="E364" s="236"/>
      <c r="F364" s="236"/>
      <c r="G364" s="240"/>
      <c r="H364" s="40">
        <f>SUM(Tabla132112419[[#This Row],[PRIMER TRIMESTRE]:[CUARTO TRIMESTRE]])</f>
        <v>0</v>
      </c>
      <c r="I364" s="17">
        <v>2000</v>
      </c>
      <c r="J364" s="17">
        <f t="shared" si="9"/>
        <v>0</v>
      </c>
      <c r="K364" s="17"/>
      <c r="L364" s="16" t="s">
        <v>18</v>
      </c>
      <c r="M364" s="16" t="s">
        <v>22</v>
      </c>
      <c r="N364" s="39" t="s">
        <v>418</v>
      </c>
    </row>
    <row r="365" spans="1:14" s="12" customFormat="1" ht="18">
      <c r="A365" s="178" t="s">
        <v>80</v>
      </c>
      <c r="B365" s="75" t="s">
        <v>353</v>
      </c>
      <c r="C365" s="39" t="s">
        <v>17</v>
      </c>
      <c r="D365" s="236"/>
      <c r="E365" s="236"/>
      <c r="F365" s="236"/>
      <c r="G365" s="240"/>
      <c r="H365" s="40">
        <f>SUM(Tabla132112419[[#This Row],[PRIMER TRIMESTRE]:[CUARTO TRIMESTRE]])</f>
        <v>0</v>
      </c>
      <c r="I365" s="17">
        <v>2500</v>
      </c>
      <c r="J365" s="17">
        <f t="shared" si="9"/>
        <v>0</v>
      </c>
      <c r="K365" s="17"/>
      <c r="L365" s="16" t="s">
        <v>18</v>
      </c>
      <c r="M365" s="16" t="s">
        <v>22</v>
      </c>
      <c r="N365" s="39" t="s">
        <v>418</v>
      </c>
    </row>
    <row r="366" spans="1:14" s="12" customFormat="1" ht="18">
      <c r="A366" s="178" t="s">
        <v>80</v>
      </c>
      <c r="B366" s="75" t="s">
        <v>354</v>
      </c>
      <c r="C366" s="39" t="s">
        <v>17</v>
      </c>
      <c r="D366" s="236"/>
      <c r="E366" s="236"/>
      <c r="F366" s="236"/>
      <c r="G366" s="240"/>
      <c r="H366" s="40">
        <f>SUM(Tabla132112419[[#This Row],[PRIMER TRIMESTRE]:[CUARTO TRIMESTRE]])</f>
        <v>0</v>
      </c>
      <c r="I366" s="17">
        <v>8502.7999999999993</v>
      </c>
      <c r="J366" s="17">
        <f t="shared" si="9"/>
        <v>0</v>
      </c>
      <c r="K366" s="17"/>
      <c r="L366" s="16" t="s">
        <v>18</v>
      </c>
      <c r="M366" s="16" t="s">
        <v>22</v>
      </c>
      <c r="N366" s="39" t="s">
        <v>418</v>
      </c>
    </row>
    <row r="367" spans="1:14" s="12" customFormat="1" ht="18">
      <c r="A367" s="178" t="s">
        <v>80</v>
      </c>
      <c r="B367" s="75" t="s">
        <v>355</v>
      </c>
      <c r="C367" s="39" t="s">
        <v>17</v>
      </c>
      <c r="D367" s="236"/>
      <c r="E367" s="236"/>
      <c r="F367" s="236"/>
      <c r="G367" s="240"/>
      <c r="H367" s="40">
        <f>SUM(Tabla132112419[[#This Row],[PRIMER TRIMESTRE]:[CUARTO TRIMESTRE]])</f>
        <v>0</v>
      </c>
      <c r="I367" s="17">
        <v>12180</v>
      </c>
      <c r="J367" s="17">
        <f t="shared" si="9"/>
        <v>0</v>
      </c>
      <c r="K367" s="17"/>
      <c r="L367" s="16" t="s">
        <v>18</v>
      </c>
      <c r="M367" s="16" t="s">
        <v>22</v>
      </c>
      <c r="N367" s="39" t="s">
        <v>418</v>
      </c>
    </row>
    <row r="368" spans="1:14" s="12" customFormat="1" ht="18">
      <c r="A368" s="178" t="s">
        <v>80</v>
      </c>
      <c r="B368" s="75" t="s">
        <v>1214</v>
      </c>
      <c r="C368" s="39" t="s">
        <v>17</v>
      </c>
      <c r="D368" s="236"/>
      <c r="E368" s="236"/>
      <c r="F368" s="236"/>
      <c r="G368" s="240"/>
      <c r="H368" s="40">
        <f>SUM(Tabla132112419[[#This Row],[PRIMER TRIMESTRE]:[CUARTO TRIMESTRE]])</f>
        <v>0</v>
      </c>
      <c r="I368" s="17">
        <v>12180</v>
      </c>
      <c r="J368" s="17">
        <f t="shared" si="9"/>
        <v>0</v>
      </c>
      <c r="K368" s="17"/>
      <c r="L368" s="16" t="s">
        <v>18</v>
      </c>
      <c r="M368" s="16" t="s">
        <v>22</v>
      </c>
      <c r="N368" s="39" t="s">
        <v>418</v>
      </c>
    </row>
    <row r="369" spans="1:14" s="12" customFormat="1" ht="18">
      <c r="A369" s="178" t="s">
        <v>80</v>
      </c>
      <c r="B369" s="75" t="s">
        <v>366</v>
      </c>
      <c r="C369" s="39" t="s">
        <v>17</v>
      </c>
      <c r="D369" s="236"/>
      <c r="E369" s="236"/>
      <c r="F369" s="236"/>
      <c r="G369" s="240"/>
      <c r="H369" s="40">
        <f>SUM(Tabla132112419[[#This Row],[PRIMER TRIMESTRE]:[CUARTO TRIMESTRE]])</f>
        <v>0</v>
      </c>
      <c r="I369" s="17">
        <v>1800</v>
      </c>
      <c r="J369" s="17">
        <f t="shared" si="9"/>
        <v>0</v>
      </c>
      <c r="K369" s="17"/>
      <c r="L369" s="16" t="s">
        <v>18</v>
      </c>
      <c r="M369" s="16" t="s">
        <v>22</v>
      </c>
      <c r="N369" s="39" t="s">
        <v>418</v>
      </c>
    </row>
    <row r="370" spans="1:14" s="12" customFormat="1" ht="18">
      <c r="A370" s="178" t="s">
        <v>80</v>
      </c>
      <c r="B370" s="75" t="s">
        <v>367</v>
      </c>
      <c r="C370" s="39" t="s">
        <v>17</v>
      </c>
      <c r="D370" s="236"/>
      <c r="E370" s="236"/>
      <c r="F370" s="236"/>
      <c r="G370" s="240"/>
      <c r="H370" s="40">
        <f>SUM(Tabla132112419[[#This Row],[PRIMER TRIMESTRE]:[CUARTO TRIMESTRE]])</f>
        <v>0</v>
      </c>
      <c r="I370" s="17">
        <v>2000</v>
      </c>
      <c r="J370" s="17">
        <f t="shared" si="9"/>
        <v>0</v>
      </c>
      <c r="K370" s="17"/>
      <c r="L370" s="16" t="s">
        <v>18</v>
      </c>
      <c r="M370" s="16" t="s">
        <v>22</v>
      </c>
      <c r="N370" s="39" t="s">
        <v>418</v>
      </c>
    </row>
    <row r="371" spans="1:14" s="12" customFormat="1" ht="18">
      <c r="A371" s="178" t="s">
        <v>80</v>
      </c>
      <c r="B371" s="75" t="s">
        <v>361</v>
      </c>
      <c r="C371" s="39" t="s">
        <v>17</v>
      </c>
      <c r="D371" s="236"/>
      <c r="E371" s="236"/>
      <c r="F371" s="236"/>
      <c r="G371" s="240"/>
      <c r="H371" s="40">
        <f>SUM(Tabla132112419[[#This Row],[PRIMER TRIMESTRE]:[CUARTO TRIMESTRE]])</f>
        <v>0</v>
      </c>
      <c r="I371" s="17">
        <v>2500</v>
      </c>
      <c r="J371" s="17">
        <f t="shared" si="9"/>
        <v>0</v>
      </c>
      <c r="K371" s="17"/>
      <c r="L371" s="16" t="s">
        <v>18</v>
      </c>
      <c r="M371" s="16" t="s">
        <v>22</v>
      </c>
      <c r="N371" s="39" t="s">
        <v>418</v>
      </c>
    </row>
    <row r="372" spans="1:14" s="12" customFormat="1" ht="18">
      <c r="A372" s="178" t="s">
        <v>80</v>
      </c>
      <c r="B372" s="75" t="s">
        <v>362</v>
      </c>
      <c r="C372" s="39" t="s">
        <v>17</v>
      </c>
      <c r="D372" s="236"/>
      <c r="E372" s="236"/>
      <c r="F372" s="236"/>
      <c r="G372" s="240"/>
      <c r="H372" s="40">
        <f>SUM(Tabla132112419[[#This Row],[PRIMER TRIMESTRE]:[CUARTO TRIMESTRE]])</f>
        <v>0</v>
      </c>
      <c r="I372" s="17">
        <v>3100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</row>
    <row r="373" spans="1:14" s="12" customFormat="1" ht="18">
      <c r="A373" s="178" t="s">
        <v>80</v>
      </c>
      <c r="B373" s="75" t="s">
        <v>1439</v>
      </c>
      <c r="C373" s="39" t="s">
        <v>17</v>
      </c>
      <c r="D373" s="236"/>
      <c r="E373" s="236"/>
      <c r="F373" s="236"/>
      <c r="G373" s="240"/>
      <c r="H373" s="40">
        <f>SUM(Tabla132112419[[#This Row],[PRIMER TRIMESTRE]:[CUARTO TRIMESTRE]])</f>
        <v>0</v>
      </c>
      <c r="I373" s="17">
        <v>4100</v>
      </c>
      <c r="J373" s="17">
        <f t="shared" si="9"/>
        <v>0</v>
      </c>
      <c r="K373" s="17"/>
      <c r="L373" s="16" t="s">
        <v>18</v>
      </c>
      <c r="M373" s="16" t="s">
        <v>22</v>
      </c>
      <c r="N373" s="39" t="s">
        <v>418</v>
      </c>
    </row>
    <row r="374" spans="1:14" s="12" customFormat="1" ht="18">
      <c r="A374" s="178" t="s">
        <v>80</v>
      </c>
      <c r="B374" s="75" t="s">
        <v>920</v>
      </c>
      <c r="C374" s="39" t="s">
        <v>17</v>
      </c>
      <c r="D374" s="236"/>
      <c r="E374" s="236"/>
      <c r="F374" s="236"/>
      <c r="G374" s="240"/>
      <c r="H374" s="40">
        <f>SUM(Tabla132112419[[#This Row],[PRIMER TRIMESTRE]:[CUARTO TRIMESTRE]])</f>
        <v>0</v>
      </c>
      <c r="I374" s="17">
        <v>140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</row>
    <row r="375" spans="1:14" s="12" customFormat="1" ht="18">
      <c r="A375" s="178" t="s">
        <v>80</v>
      </c>
      <c r="B375" s="75" t="s">
        <v>1578</v>
      </c>
      <c r="C375" s="39" t="s">
        <v>17</v>
      </c>
      <c r="D375" s="236"/>
      <c r="E375" s="236"/>
      <c r="F375" s="236"/>
      <c r="G375" s="236"/>
      <c r="H375" s="236">
        <f>SUM(Tabla132112419[[#This Row],[PRIMER TRIMESTRE]:[CUARTO TRIMESTRE]])</f>
        <v>0</v>
      </c>
      <c r="I375" s="17">
        <v>397.8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</row>
    <row r="376" spans="1:14" s="12" customFormat="1" ht="18">
      <c r="A376" s="178" t="s">
        <v>80</v>
      </c>
      <c r="B376" s="75" t="s">
        <v>154</v>
      </c>
      <c r="C376" s="39" t="s">
        <v>470</v>
      </c>
      <c r="D376" s="236"/>
      <c r="E376" s="236"/>
      <c r="F376" s="236"/>
      <c r="G376" s="236"/>
      <c r="H376" s="40">
        <f>SUM(Tabla132112419[[#This Row],[PRIMER TRIMESTRE]:[CUARTO TRIMESTRE]])</f>
        <v>0</v>
      </c>
      <c r="I376" s="17">
        <v>100</v>
      </c>
      <c r="J376" s="17">
        <f>+Tabla132112419[[#This Row],[CANTIDAD TOTAL]]*Tabla132112419[[#This Row],[PRECIO UNITARIO ESTIMADO]]</f>
        <v>0</v>
      </c>
      <c r="K376" s="17"/>
      <c r="L376" s="16" t="s">
        <v>18</v>
      </c>
      <c r="M376" s="16" t="s">
        <v>22</v>
      </c>
      <c r="N376" s="39" t="s">
        <v>418</v>
      </c>
    </row>
    <row r="377" spans="1:14" s="12" customFormat="1" ht="18">
      <c r="A377" s="178" t="s">
        <v>80</v>
      </c>
      <c r="B377" s="75" t="s">
        <v>177</v>
      </c>
      <c r="C377" s="39" t="s">
        <v>93</v>
      </c>
      <c r="D377" s="236"/>
      <c r="E377" s="236"/>
      <c r="F377" s="236"/>
      <c r="G377" s="236"/>
      <c r="H377" s="40">
        <f>SUM(Tabla132112419[[#This Row],[PRIMER TRIMESTRE]:[CUARTO TRIMESTRE]])</f>
        <v>0</v>
      </c>
      <c r="I377" s="17">
        <v>226.78</v>
      </c>
      <c r="J377" s="17">
        <f>+Tabla132112419[[#This Row],[CANTIDAD TOTAL]]*Tabla132112419[[#This Row],[PRECIO UNITARIO ESTIMADO]]</f>
        <v>0</v>
      </c>
      <c r="K377" s="17"/>
      <c r="L377" s="16" t="s">
        <v>18</v>
      </c>
      <c r="M377" s="16" t="s">
        <v>22</v>
      </c>
      <c r="N377" s="39" t="s">
        <v>418</v>
      </c>
    </row>
    <row r="378" spans="1:14" s="12" customFormat="1" ht="18">
      <c r="A378" s="178" t="s">
        <v>80</v>
      </c>
      <c r="B378" s="75" t="s">
        <v>460</v>
      </c>
      <c r="C378" s="39" t="s">
        <v>93</v>
      </c>
      <c r="D378" s="236"/>
      <c r="E378" s="236"/>
      <c r="F378" s="236"/>
      <c r="G378" s="236"/>
      <c r="H378" s="40">
        <f>SUM(Tabla132112419[[#This Row],[PRIMER TRIMESTRE]:[CUARTO TRIMESTRE]])</f>
        <v>0</v>
      </c>
      <c r="I378" s="17">
        <v>2055.4</v>
      </c>
      <c r="J378" s="17">
        <f>+H378*I378</f>
        <v>0</v>
      </c>
      <c r="K378" s="17"/>
      <c r="L378" s="16" t="s">
        <v>18</v>
      </c>
      <c r="M378" s="16" t="s">
        <v>22</v>
      </c>
      <c r="N378" s="39" t="s">
        <v>418</v>
      </c>
    </row>
    <row r="379" spans="1:14" s="12" customFormat="1" ht="18">
      <c r="A379" s="178" t="s">
        <v>80</v>
      </c>
      <c r="B379" s="75" t="s">
        <v>179</v>
      </c>
      <c r="C379" s="39" t="s">
        <v>93</v>
      </c>
      <c r="D379" s="236"/>
      <c r="E379" s="236"/>
      <c r="F379" s="236"/>
      <c r="G379" s="236"/>
      <c r="H379" s="40">
        <f>SUM(Tabla132112419[[#This Row],[PRIMER TRIMESTRE]:[CUARTO TRIMESTRE]])</f>
        <v>0</v>
      </c>
      <c r="I379" s="17">
        <v>222.14</v>
      </c>
      <c r="J379" s="17">
        <f>+Tabla132112419[[#This Row],[CANTIDAD TOTAL]]*Tabla132112419[[#This Row],[PRECIO UNITARIO ESTIMADO]]</f>
        <v>0</v>
      </c>
      <c r="K379" s="17"/>
      <c r="L379" s="16" t="s">
        <v>18</v>
      </c>
      <c r="M379" s="16" t="s">
        <v>22</v>
      </c>
      <c r="N379" s="39" t="s">
        <v>418</v>
      </c>
    </row>
    <row r="380" spans="1:14" s="12" customFormat="1" ht="18">
      <c r="A380" s="178" t="s">
        <v>80</v>
      </c>
      <c r="B380" s="75" t="s">
        <v>1549</v>
      </c>
      <c r="C380" s="39" t="s">
        <v>17</v>
      </c>
      <c r="D380" s="236"/>
      <c r="E380" s="236"/>
      <c r="F380" s="236"/>
      <c r="G380" s="236"/>
      <c r="H380" s="236">
        <f>SUM(Tabla132112419[[#This Row],[PRIMER TRIMESTRE]:[CUARTO TRIMESTRE]])</f>
        <v>0</v>
      </c>
      <c r="I380" s="17">
        <v>62328</v>
      </c>
      <c r="J380" s="17">
        <f>+H380*I380</f>
        <v>0</v>
      </c>
      <c r="K380" s="17"/>
      <c r="L380" s="16" t="s">
        <v>18</v>
      </c>
      <c r="M380" s="16" t="s">
        <v>22</v>
      </c>
      <c r="N380" s="39" t="s">
        <v>418</v>
      </c>
    </row>
    <row r="381" spans="1:14" s="12" customFormat="1" ht="18">
      <c r="A381" s="178" t="s">
        <v>80</v>
      </c>
      <c r="B381" s="75" t="s">
        <v>181</v>
      </c>
      <c r="C381" s="39" t="s">
        <v>69</v>
      </c>
      <c r="D381" s="210"/>
      <c r="E381" s="210"/>
      <c r="F381" s="210"/>
      <c r="G381" s="210"/>
      <c r="H381" s="40">
        <f>SUM(Tabla132112419[[#This Row],[PRIMER TRIMESTRE]:[CUARTO TRIMESTRE]])</f>
        <v>0</v>
      </c>
      <c r="I381" s="17">
        <v>6206</v>
      </c>
      <c r="J381" s="17">
        <f>+Tabla132112419[[#This Row],[CANTIDAD TOTAL]]*Tabla132112419[[#This Row],[PRECIO UNITARIO ESTIMADO]]</f>
        <v>0</v>
      </c>
      <c r="K381" s="17"/>
      <c r="L381" s="16" t="s">
        <v>18</v>
      </c>
      <c r="M381" s="16" t="s">
        <v>22</v>
      </c>
      <c r="N381" s="39" t="s">
        <v>418</v>
      </c>
    </row>
    <row r="382" spans="1:14" s="12" customFormat="1" ht="25.5">
      <c r="A382" s="178" t="s">
        <v>80</v>
      </c>
      <c r="B382" s="75" t="s">
        <v>468</v>
      </c>
      <c r="C382" s="39" t="s">
        <v>17</v>
      </c>
      <c r="D382" s="236"/>
      <c r="E382" s="236"/>
      <c r="F382" s="236"/>
      <c r="G382" s="236"/>
      <c r="H382" s="40">
        <f>SUM(Tabla132112419[[#This Row],[PRIMER TRIMESTRE]:[CUARTO TRIMESTRE]])</f>
        <v>0</v>
      </c>
      <c r="I382" s="17">
        <v>4827</v>
      </c>
      <c r="J382" s="17">
        <f>+Tabla132112419[[#This Row],[CANTIDAD TOTAL]]*Tabla132112419[[#This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</row>
    <row r="383" spans="1:14" s="12" customFormat="1" ht="18">
      <c r="A383" s="178" t="s">
        <v>80</v>
      </c>
      <c r="B383" s="75" t="s">
        <v>1564</v>
      </c>
      <c r="C383" s="39" t="s">
        <v>17</v>
      </c>
      <c r="D383" s="236"/>
      <c r="E383" s="236"/>
      <c r="F383" s="236"/>
      <c r="G383" s="236"/>
      <c r="H383" s="236">
        <f>SUM(Tabla132112419[[#This Row],[PRIMER TRIMESTRE]:[CUARTO TRIMESTRE]])</f>
        <v>0</v>
      </c>
      <c r="I383" s="17">
        <v>72.37</v>
      </c>
      <c r="J383" s="17">
        <f>+H383*I383</f>
        <v>0</v>
      </c>
      <c r="K383" s="17"/>
      <c r="L383" s="16" t="s">
        <v>18</v>
      </c>
      <c r="M383" s="16" t="s">
        <v>22</v>
      </c>
      <c r="N383" s="39" t="s">
        <v>418</v>
      </c>
    </row>
    <row r="384" spans="1:14" s="12" customFormat="1" ht="18">
      <c r="A384" s="178" t="s">
        <v>80</v>
      </c>
      <c r="B384" s="75" t="s">
        <v>1565</v>
      </c>
      <c r="C384" s="39" t="s">
        <v>17</v>
      </c>
      <c r="D384" s="236"/>
      <c r="E384" s="236"/>
      <c r="F384" s="236"/>
      <c r="G384" s="236"/>
      <c r="H384" s="236">
        <f>SUM(Tabla132112419[[#This Row],[PRIMER TRIMESTRE]:[CUARTO TRIMESTRE]])</f>
        <v>0</v>
      </c>
      <c r="I384" s="17">
        <v>48.05</v>
      </c>
      <c r="J384" s="17">
        <f>+H384*I384</f>
        <v>0</v>
      </c>
      <c r="K384" s="17"/>
      <c r="L384" s="16" t="s">
        <v>18</v>
      </c>
      <c r="M384" s="16" t="s">
        <v>22</v>
      </c>
      <c r="N384" s="39" t="s">
        <v>418</v>
      </c>
    </row>
    <row r="385" spans="1:14" s="12" customFormat="1" ht="18">
      <c r="A385" s="178" t="s">
        <v>80</v>
      </c>
      <c r="B385" s="75" t="s">
        <v>1548</v>
      </c>
      <c r="C385" s="39" t="s">
        <v>17</v>
      </c>
      <c r="D385" s="236"/>
      <c r="E385" s="236"/>
      <c r="F385" s="236"/>
      <c r="G385" s="236"/>
      <c r="H385" s="236">
        <f>SUM(Tabla132112419[[#This Row],[PRIMER TRIMESTRE]:[CUARTO TRIMESTRE]])</f>
        <v>0</v>
      </c>
      <c r="I385" s="17">
        <v>191.1</v>
      </c>
      <c r="J385" s="17">
        <f>+H385*I385</f>
        <v>0</v>
      </c>
      <c r="K385" s="17"/>
      <c r="L385" s="16" t="s">
        <v>18</v>
      </c>
      <c r="M385" s="16" t="s">
        <v>22</v>
      </c>
      <c r="N385" s="39" t="s">
        <v>418</v>
      </c>
    </row>
    <row r="386" spans="1:14" s="12" customFormat="1" ht="18">
      <c r="A386" s="178" t="s">
        <v>80</v>
      </c>
      <c r="B386" s="75" t="s">
        <v>1619</v>
      </c>
      <c r="C386" s="39" t="s">
        <v>17</v>
      </c>
      <c r="D386" s="236"/>
      <c r="E386" s="236"/>
      <c r="F386" s="236"/>
      <c r="G386" s="236"/>
      <c r="H386" s="236">
        <f>SUM(Tabla132112419[[#This Row],[PRIMER TRIMESTRE]:[CUARTO TRIMESTRE]])</f>
        <v>0</v>
      </c>
      <c r="I386" s="17">
        <v>2184.9499999999998</v>
      </c>
      <c r="J386" s="17">
        <f>+H386*I386</f>
        <v>0</v>
      </c>
      <c r="K386" s="17"/>
      <c r="L386" s="16" t="s">
        <v>18</v>
      </c>
      <c r="M386" s="16" t="s">
        <v>22</v>
      </c>
      <c r="N386" s="39" t="s">
        <v>418</v>
      </c>
    </row>
    <row r="387" spans="1:14" s="12" customFormat="1" ht="18">
      <c r="A387" s="178" t="s">
        <v>80</v>
      </c>
      <c r="B387" s="75" t="s">
        <v>1566</v>
      </c>
      <c r="C387" s="39" t="s">
        <v>17</v>
      </c>
      <c r="D387" s="236"/>
      <c r="E387" s="236"/>
      <c r="F387" s="236"/>
      <c r="G387" s="236"/>
      <c r="H387" s="236">
        <f>SUM(Tabla132112419[[#This Row],[PRIMER TRIMESTRE]:[CUARTO TRIMESTRE]])</f>
        <v>0</v>
      </c>
      <c r="I387" s="17">
        <v>2891.99</v>
      </c>
      <c r="J387" s="17">
        <f>+H387*I387</f>
        <v>0</v>
      </c>
      <c r="K387" s="17"/>
      <c r="L387" s="16" t="s">
        <v>18</v>
      </c>
      <c r="M387" s="16" t="s">
        <v>22</v>
      </c>
      <c r="N387" s="39" t="s">
        <v>418</v>
      </c>
    </row>
    <row r="388" spans="1:14" s="12" customFormat="1" ht="18">
      <c r="A388" s="178" t="s">
        <v>80</v>
      </c>
      <c r="B388" s="75" t="s">
        <v>184</v>
      </c>
      <c r="C388" s="39" t="s">
        <v>17</v>
      </c>
      <c r="D388" s="236"/>
      <c r="E388" s="236"/>
      <c r="F388" s="236"/>
      <c r="G388" s="236"/>
      <c r="H388" s="40">
        <f>SUM(Tabla132112419[[#This Row],[PRIMER TRIMESTRE]:[CUARTO TRIMESTRE]])</f>
        <v>0</v>
      </c>
      <c r="I388" s="17">
        <v>1347.46</v>
      </c>
      <c r="J388" s="17">
        <f>+Tabla132112419[[#This Row],[CANTIDAD TOTAL]]*Tabla132112419[[#This Row],[PRECIO UNITARIO ESTIMADO]]</f>
        <v>0</v>
      </c>
      <c r="K388" s="17"/>
      <c r="L388" s="16" t="s">
        <v>18</v>
      </c>
      <c r="M388" s="16" t="s">
        <v>22</v>
      </c>
      <c r="N388" s="39" t="s">
        <v>418</v>
      </c>
    </row>
    <row r="389" spans="1:14" s="12" customFormat="1" ht="18">
      <c r="A389" s="178" t="s">
        <v>80</v>
      </c>
      <c r="B389" s="75" t="s">
        <v>1426</v>
      </c>
      <c r="C389" s="39" t="s">
        <v>17</v>
      </c>
      <c r="D389" s="236"/>
      <c r="E389" s="236"/>
      <c r="F389" s="236"/>
      <c r="G389" s="236"/>
      <c r="H389" s="40">
        <f>SUM(Tabla132112419[[#This Row],[PRIMER TRIMESTRE]:[CUARTO TRIMESTRE]])</f>
        <v>0</v>
      </c>
      <c r="I389" s="17">
        <v>423.61</v>
      </c>
      <c r="J389" s="17">
        <f t="shared" ref="J389:J403" si="10">+H389*I389</f>
        <v>0</v>
      </c>
      <c r="K389" s="17"/>
      <c r="L389" s="16" t="s">
        <v>18</v>
      </c>
      <c r="M389" s="16" t="s">
        <v>22</v>
      </c>
      <c r="N389" s="39" t="s">
        <v>418</v>
      </c>
    </row>
    <row r="390" spans="1:14" s="12" customFormat="1" ht="18">
      <c r="A390" s="178" t="s">
        <v>80</v>
      </c>
      <c r="B390" s="75" t="s">
        <v>1432</v>
      </c>
      <c r="C390" s="39" t="s">
        <v>17</v>
      </c>
      <c r="D390" s="236"/>
      <c r="E390" s="236"/>
      <c r="F390" s="236"/>
      <c r="G390" s="236"/>
      <c r="H390" s="40">
        <f>SUM(Tabla132112419[[#This Row],[PRIMER TRIMESTRE]:[CUARTO TRIMESTRE]])</f>
        <v>0</v>
      </c>
      <c r="I390" s="17">
        <v>705.29</v>
      </c>
      <c r="J390" s="17">
        <f t="shared" si="10"/>
        <v>0</v>
      </c>
      <c r="K390" s="17"/>
      <c r="L390" s="16" t="s">
        <v>18</v>
      </c>
      <c r="M390" s="16" t="s">
        <v>22</v>
      </c>
      <c r="N390" s="39" t="s">
        <v>418</v>
      </c>
    </row>
    <row r="391" spans="1:14" s="12" customFormat="1" ht="18">
      <c r="A391" s="178" t="s">
        <v>80</v>
      </c>
      <c r="B391" s="75" t="s">
        <v>1726</v>
      </c>
      <c r="C391" s="39" t="s">
        <v>17</v>
      </c>
      <c r="D391" s="236"/>
      <c r="E391" s="236"/>
      <c r="F391" s="236"/>
      <c r="G391" s="236"/>
      <c r="H391" s="40">
        <v>0</v>
      </c>
      <c r="I391" s="17">
        <v>0</v>
      </c>
      <c r="J391" s="17">
        <v>0</v>
      </c>
      <c r="K391" s="17"/>
      <c r="L391" s="16" t="s">
        <v>18</v>
      </c>
      <c r="M391" s="16" t="s">
        <v>22</v>
      </c>
      <c r="N391" s="39" t="s">
        <v>418</v>
      </c>
    </row>
    <row r="392" spans="1:14" s="12" customFormat="1" ht="18">
      <c r="A392" s="178" t="s">
        <v>80</v>
      </c>
      <c r="B392" s="75" t="s">
        <v>1608</v>
      </c>
      <c r="C392" s="39" t="s">
        <v>17</v>
      </c>
      <c r="D392" s="236"/>
      <c r="E392" s="236"/>
      <c r="F392" s="236"/>
      <c r="G392" s="236"/>
      <c r="H392" s="236">
        <f>SUM(Tabla132112419[[#This Row],[PRIMER TRIMESTRE]:[CUARTO TRIMESTRE]])</f>
        <v>0</v>
      </c>
      <c r="I392" s="17">
        <v>4776.8500000000004</v>
      </c>
      <c r="J392" s="17">
        <f t="shared" si="10"/>
        <v>0</v>
      </c>
      <c r="K392" s="17"/>
      <c r="L392" s="16" t="s">
        <v>18</v>
      </c>
      <c r="M392" s="16" t="s">
        <v>22</v>
      </c>
      <c r="N392" s="39" t="s">
        <v>418</v>
      </c>
    </row>
    <row r="393" spans="1:14" s="12" customFormat="1" ht="18">
      <c r="A393" s="178" t="s">
        <v>80</v>
      </c>
      <c r="B393" s="75" t="s">
        <v>1607</v>
      </c>
      <c r="C393" s="39" t="s">
        <v>17</v>
      </c>
      <c r="D393" s="236"/>
      <c r="E393" s="236"/>
      <c r="F393" s="236"/>
      <c r="G393" s="236"/>
      <c r="H393" s="236">
        <f>SUM(Tabla132112419[[#This Row],[PRIMER TRIMESTRE]:[CUARTO TRIMESTRE]])</f>
        <v>0</v>
      </c>
      <c r="I393" s="17">
        <v>20971.52</v>
      </c>
      <c r="J393" s="17">
        <f t="shared" si="10"/>
        <v>0</v>
      </c>
      <c r="K393" s="17"/>
      <c r="L393" s="16" t="s">
        <v>18</v>
      </c>
      <c r="M393" s="16" t="s">
        <v>22</v>
      </c>
      <c r="N393" s="39" t="s">
        <v>418</v>
      </c>
    </row>
    <row r="394" spans="1:14" s="12" customFormat="1" ht="18">
      <c r="A394" s="178" t="s">
        <v>80</v>
      </c>
      <c r="B394" s="75" t="s">
        <v>369</v>
      </c>
      <c r="C394" s="39" t="s">
        <v>17</v>
      </c>
      <c r="D394" s="236"/>
      <c r="E394" s="236"/>
      <c r="F394" s="236"/>
      <c r="G394" s="236"/>
      <c r="H394" s="40">
        <f>SUM(Tabla132112419[[#This Row],[PRIMER TRIMESTRE]:[CUARTO TRIMESTRE]])</f>
        <v>0</v>
      </c>
      <c r="I394" s="17">
        <v>4.55</v>
      </c>
      <c r="J394" s="17">
        <f t="shared" si="10"/>
        <v>0</v>
      </c>
      <c r="K394" s="17"/>
      <c r="L394" s="16" t="s">
        <v>18</v>
      </c>
      <c r="M394" s="16" t="s">
        <v>22</v>
      </c>
      <c r="N394" s="39" t="s">
        <v>418</v>
      </c>
    </row>
    <row r="395" spans="1:14" s="12" customFormat="1" ht="18">
      <c r="A395" s="178" t="s">
        <v>80</v>
      </c>
      <c r="B395" s="75" t="s">
        <v>449</v>
      </c>
      <c r="C395" s="39" t="s">
        <v>17</v>
      </c>
      <c r="D395" s="236"/>
      <c r="E395" s="236"/>
      <c r="F395" s="236"/>
      <c r="G395" s="236"/>
      <c r="H395" s="40">
        <f>SUM(Tabla132112419[[#This Row],[PRIMER TRIMESTRE]:[CUARTO TRIMESTRE]])</f>
        <v>0</v>
      </c>
      <c r="I395" s="17">
        <v>4.55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</row>
    <row r="396" spans="1:14" s="12" customFormat="1" ht="18">
      <c r="A396" s="178" t="s">
        <v>80</v>
      </c>
      <c r="B396" s="75" t="s">
        <v>450</v>
      </c>
      <c r="C396" s="39" t="s">
        <v>17</v>
      </c>
      <c r="D396" s="236"/>
      <c r="E396" s="236"/>
      <c r="F396" s="236"/>
      <c r="G396" s="236"/>
      <c r="H396" s="40">
        <f>SUM(Tabla132112419[[#This Row],[PRIMER TRIMESTRE]:[CUARTO TRIMESTRE]])</f>
        <v>0</v>
      </c>
      <c r="I396" s="17">
        <v>4.55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</row>
    <row r="397" spans="1:14" s="12" customFormat="1" ht="18">
      <c r="A397" s="178" t="s">
        <v>80</v>
      </c>
      <c r="B397" s="75" t="s">
        <v>451</v>
      </c>
      <c r="C397" s="39" t="s">
        <v>17</v>
      </c>
      <c r="D397" s="236"/>
      <c r="E397" s="236"/>
      <c r="F397" s="236"/>
      <c r="G397" s="236"/>
      <c r="H397" s="40">
        <f>SUM(Tabla132112419[[#This Row],[PRIMER TRIMESTRE]:[CUARTO TRIMESTRE]])</f>
        <v>0</v>
      </c>
      <c r="I397" s="17">
        <v>4.55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</row>
    <row r="398" spans="1:14" s="12" customFormat="1" ht="18">
      <c r="A398" s="178" t="s">
        <v>80</v>
      </c>
      <c r="B398" s="75" t="s">
        <v>453</v>
      </c>
      <c r="C398" s="39" t="s">
        <v>17</v>
      </c>
      <c r="D398" s="236"/>
      <c r="E398" s="236"/>
      <c r="F398" s="236"/>
      <c r="G398" s="236"/>
      <c r="H398" s="40">
        <f>SUM(Tabla132112419[[#This Row],[PRIMER TRIMESTRE]:[CUARTO TRIMESTRE]])</f>
        <v>0</v>
      </c>
      <c r="I398" s="17">
        <v>4.55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</row>
    <row r="399" spans="1:14" s="12" customFormat="1" ht="18">
      <c r="A399" s="178" t="s">
        <v>80</v>
      </c>
      <c r="B399" s="75" t="s">
        <v>452</v>
      </c>
      <c r="C399" s="39" t="s">
        <v>17</v>
      </c>
      <c r="D399" s="236"/>
      <c r="E399" s="236"/>
      <c r="F399" s="236"/>
      <c r="G399" s="236"/>
      <c r="H399" s="40">
        <f>SUM(Tabla132112419[[#This Row],[PRIMER TRIMESTRE]:[CUARTO TRIMESTRE]])</f>
        <v>0</v>
      </c>
      <c r="I399" s="17">
        <v>4.55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</row>
    <row r="400" spans="1:14" s="12" customFormat="1" ht="18">
      <c r="A400" s="178" t="s">
        <v>80</v>
      </c>
      <c r="B400" s="75" t="s">
        <v>603</v>
      </c>
      <c r="C400" s="39" t="s">
        <v>17</v>
      </c>
      <c r="D400" s="236"/>
      <c r="E400" s="236"/>
      <c r="F400" s="236"/>
      <c r="G400" s="236"/>
      <c r="H400" s="40">
        <f>SUM(Tabla132112419[[#This Row],[PRIMER TRIMESTRE]:[CUARTO TRIMESTRE]])</f>
        <v>0</v>
      </c>
      <c r="I400" s="17">
        <v>737.74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</row>
    <row r="401" spans="1:14" s="12" customFormat="1" ht="18">
      <c r="A401" s="178" t="s">
        <v>80</v>
      </c>
      <c r="B401" s="75" t="s">
        <v>604</v>
      </c>
      <c r="C401" s="39" t="s">
        <v>17</v>
      </c>
      <c r="D401" s="236"/>
      <c r="E401" s="236"/>
      <c r="F401" s="236"/>
      <c r="G401" s="236"/>
      <c r="H401" s="40">
        <f>SUM(Tabla132112419[[#This Row],[PRIMER TRIMESTRE]:[CUARTO TRIMESTRE]])</f>
        <v>0</v>
      </c>
      <c r="I401" s="17">
        <v>2121.4499999999998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</row>
    <row r="402" spans="1:14" s="12" customFormat="1" ht="18">
      <c r="A402" s="178" t="s">
        <v>80</v>
      </c>
      <c r="B402" s="75" t="s">
        <v>605</v>
      </c>
      <c r="C402" s="39" t="s">
        <v>17</v>
      </c>
      <c r="D402" s="236"/>
      <c r="E402" s="236"/>
      <c r="F402" s="236"/>
      <c r="G402" s="236"/>
      <c r="H402" s="40">
        <f>SUM(Tabla132112419[[#This Row],[PRIMER TRIMESTRE]:[CUARTO TRIMESTRE]])</f>
        <v>0</v>
      </c>
      <c r="I402" s="17">
        <v>2121.4499999999998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</row>
    <row r="403" spans="1:14" s="12" customFormat="1" ht="18">
      <c r="A403" s="178" t="s">
        <v>80</v>
      </c>
      <c r="B403" s="75" t="s">
        <v>606</v>
      </c>
      <c r="C403" s="39" t="s">
        <v>17</v>
      </c>
      <c r="D403" s="236"/>
      <c r="E403" s="236"/>
      <c r="F403" s="236"/>
      <c r="G403" s="236"/>
      <c r="H403" s="40">
        <f>SUM(Tabla132112419[[#This Row],[PRIMER TRIMESTRE]:[CUARTO TRIMESTRE]])</f>
        <v>0</v>
      </c>
      <c r="I403" s="17">
        <v>3601.69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</row>
    <row r="404" spans="1:14" s="12" customFormat="1" ht="18">
      <c r="A404" s="178" t="s">
        <v>80</v>
      </c>
      <c r="B404" s="75" t="s">
        <v>188</v>
      </c>
      <c r="C404" s="39" t="s">
        <v>189</v>
      </c>
      <c r="D404" s="236"/>
      <c r="E404" s="236"/>
      <c r="F404" s="236"/>
      <c r="G404" s="236"/>
      <c r="H404" s="40">
        <f>SUM(Tabla132112419[[#This Row],[PRIMER TRIMESTRE]:[CUARTO TRIMESTRE]])</f>
        <v>0</v>
      </c>
      <c r="I404" s="17">
        <v>104.4</v>
      </c>
      <c r="J404" s="17">
        <f>+Tabla132112419[[#This Row],[CANTIDAD TOTAL]]*Tabla132112419[[#This Row],[PRECIO UNITARIO ESTIMADO]]</f>
        <v>0</v>
      </c>
      <c r="K404" s="17"/>
      <c r="L404" s="16" t="s">
        <v>18</v>
      </c>
      <c r="M404" s="16" t="s">
        <v>22</v>
      </c>
      <c r="N404" s="39" t="s">
        <v>418</v>
      </c>
    </row>
    <row r="405" spans="1:14" s="12" customFormat="1" ht="18">
      <c r="A405" s="178" t="s">
        <v>80</v>
      </c>
      <c r="B405" s="75" t="s">
        <v>1760</v>
      </c>
      <c r="C405" s="39" t="s">
        <v>17</v>
      </c>
      <c r="D405" s="236"/>
      <c r="E405" s="236"/>
      <c r="F405" s="236"/>
      <c r="G405" s="236"/>
      <c r="H405" s="40">
        <v>0</v>
      </c>
      <c r="I405" s="17">
        <v>0</v>
      </c>
      <c r="J405" s="17">
        <v>0</v>
      </c>
      <c r="K405" s="17"/>
      <c r="L405" s="16" t="s">
        <v>18</v>
      </c>
      <c r="M405" s="16" t="s">
        <v>22</v>
      </c>
      <c r="N405" s="39" t="s">
        <v>418</v>
      </c>
    </row>
    <row r="406" spans="1:14" s="12" customFormat="1" ht="18">
      <c r="A406" s="178" t="s">
        <v>80</v>
      </c>
      <c r="B406" s="75" t="s">
        <v>1761</v>
      </c>
      <c r="C406" s="39" t="s">
        <v>17</v>
      </c>
      <c r="D406" s="236"/>
      <c r="E406" s="236"/>
      <c r="F406" s="236"/>
      <c r="G406" s="236"/>
      <c r="H406" s="40">
        <v>0</v>
      </c>
      <c r="I406" s="17">
        <v>0</v>
      </c>
      <c r="J406" s="17">
        <v>0</v>
      </c>
      <c r="K406" s="17"/>
      <c r="L406" s="16" t="s">
        <v>18</v>
      </c>
      <c r="M406" s="16" t="s">
        <v>22</v>
      </c>
      <c r="N406" s="39" t="s">
        <v>418</v>
      </c>
    </row>
    <row r="407" spans="1:14" s="12" customFormat="1" ht="18">
      <c r="A407" s="178" t="s">
        <v>80</v>
      </c>
      <c r="B407" s="75" t="s">
        <v>191</v>
      </c>
      <c r="C407" s="39" t="s">
        <v>17</v>
      </c>
      <c r="D407" s="236"/>
      <c r="E407" s="236"/>
      <c r="F407" s="236"/>
      <c r="G407" s="236"/>
      <c r="H407" s="40">
        <f>SUM(Tabla132112419[[#This Row],[PRIMER TRIMESTRE]:[CUARTO TRIMESTRE]])</f>
        <v>0</v>
      </c>
      <c r="I407" s="17">
        <v>754</v>
      </c>
      <c r="J407" s="17">
        <f>+Tabla132112419[[#This Row],[CANTIDAD TOTAL]]*Tabla132112419[[#This Row],[PRECIO UNITARIO ESTIMADO]]</f>
        <v>0</v>
      </c>
      <c r="K407" s="17"/>
      <c r="L407" s="16" t="s">
        <v>18</v>
      </c>
      <c r="M407" s="16" t="s">
        <v>22</v>
      </c>
      <c r="N407" s="39" t="s">
        <v>418</v>
      </c>
    </row>
    <row r="408" spans="1:14" s="12" customFormat="1" ht="18">
      <c r="A408" s="178" t="s">
        <v>80</v>
      </c>
      <c r="B408" s="75" t="s">
        <v>193</v>
      </c>
      <c r="C408" s="39" t="s">
        <v>17</v>
      </c>
      <c r="D408" s="236"/>
      <c r="E408" s="236"/>
      <c r="F408" s="236"/>
      <c r="G408" s="236"/>
      <c r="H408" s="40">
        <f>SUM(Tabla132112419[[#This Row],[PRIMER TRIMESTRE]:[CUARTO TRIMESTRE]])</f>
        <v>0</v>
      </c>
      <c r="I408" s="17">
        <v>222.06</v>
      </c>
      <c r="J408" s="17">
        <f>+Tabla132112419[[#This Row],[CANTIDAD TOTAL]]*Tabla132112419[[#This Row],[PRECIO UNITARIO ESTIMADO]]</f>
        <v>0</v>
      </c>
      <c r="K408" s="17"/>
      <c r="L408" s="16" t="s">
        <v>18</v>
      </c>
      <c r="M408" s="16" t="s">
        <v>22</v>
      </c>
      <c r="N408" s="39" t="s">
        <v>418</v>
      </c>
    </row>
    <row r="409" spans="1:14" s="12" customFormat="1" ht="18">
      <c r="A409" s="178" t="s">
        <v>80</v>
      </c>
      <c r="B409" s="75" t="s">
        <v>1429</v>
      </c>
      <c r="C409" s="39" t="s">
        <v>17</v>
      </c>
      <c r="D409" s="236"/>
      <c r="E409" s="236"/>
      <c r="F409" s="236"/>
      <c r="G409" s="236"/>
      <c r="H409" s="40">
        <f>SUM(Tabla132112419[[#This Row],[PRIMER TRIMESTRE]:[CUARTO TRIMESTRE]])</f>
        <v>0</v>
      </c>
      <c r="I409" s="17">
        <v>1.23</v>
      </c>
      <c r="J409" s="17">
        <f>+H409*I409</f>
        <v>0</v>
      </c>
      <c r="K409" s="17"/>
      <c r="L409" s="16" t="s">
        <v>18</v>
      </c>
      <c r="M409" s="16" t="s">
        <v>22</v>
      </c>
      <c r="N409" s="39" t="s">
        <v>418</v>
      </c>
    </row>
    <row r="410" spans="1:14" s="12" customFormat="1" ht="18">
      <c r="A410" s="178" t="s">
        <v>80</v>
      </c>
      <c r="B410" s="75" t="s">
        <v>654</v>
      </c>
      <c r="C410" s="39" t="s">
        <v>17</v>
      </c>
      <c r="D410" s="236"/>
      <c r="E410" s="236"/>
      <c r="F410" s="236"/>
      <c r="G410" s="236"/>
      <c r="H410" s="40">
        <f>SUM(Tabla132112419[[#This Row],[PRIMER TRIMESTRE]:[CUARTO TRIMESTRE]])</f>
        <v>0</v>
      </c>
      <c r="I410" s="17">
        <v>2.86</v>
      </c>
      <c r="J410" s="17">
        <f>+Tabla132112419[[#This Row],[CANTIDAD TOTAL]]*Tabla132112419[[#This Row],[PRECIO UNITARIO ESTIMADO]]</f>
        <v>0</v>
      </c>
      <c r="K410" s="17"/>
      <c r="L410" s="16" t="s">
        <v>18</v>
      </c>
      <c r="M410" s="16" t="s">
        <v>22</v>
      </c>
      <c r="N410" s="39" t="s">
        <v>418</v>
      </c>
    </row>
    <row r="411" spans="1:14" s="12" customFormat="1" ht="18">
      <c r="A411" s="178" t="s">
        <v>80</v>
      </c>
      <c r="B411" s="75" t="s">
        <v>655</v>
      </c>
      <c r="C411" s="39" t="s">
        <v>17</v>
      </c>
      <c r="D411" s="236"/>
      <c r="E411" s="236"/>
      <c r="F411" s="236"/>
      <c r="G411" s="236"/>
      <c r="H411" s="40">
        <f>SUM(Tabla132112419[[#This Row],[PRIMER TRIMESTRE]:[CUARTO TRIMESTRE]])</f>
        <v>0</v>
      </c>
      <c r="I411" s="17">
        <v>4.09</v>
      </c>
      <c r="J411" s="17">
        <f>+Tabla132112419[[#This Row],[CANTIDAD TOTAL]]*Tabla132112419[[#This Row],[PRECIO UNITARIO ESTIMADO]]</f>
        <v>0</v>
      </c>
      <c r="K411" s="17"/>
      <c r="L411" s="16" t="s">
        <v>18</v>
      </c>
      <c r="M411" s="16" t="s">
        <v>22</v>
      </c>
      <c r="N411" s="39" t="s">
        <v>418</v>
      </c>
    </row>
    <row r="412" spans="1:14" s="12" customFormat="1" ht="18">
      <c r="A412" s="178" t="s">
        <v>80</v>
      </c>
      <c r="B412" s="75" t="s">
        <v>659</v>
      </c>
      <c r="C412" s="39" t="s">
        <v>17</v>
      </c>
      <c r="D412" s="236"/>
      <c r="E412" s="236"/>
      <c r="F412" s="236"/>
      <c r="G412" s="236"/>
      <c r="H412" s="40">
        <f>SUM(Tabla132112419[[#This Row],[PRIMER TRIMESTRE]:[CUARTO TRIMESTRE]])</f>
        <v>0</v>
      </c>
      <c r="I412" s="72">
        <v>11.82</v>
      </c>
      <c r="J412" s="17">
        <f>+H412*I412</f>
        <v>0</v>
      </c>
      <c r="K412" s="17"/>
      <c r="L412" s="16" t="s">
        <v>18</v>
      </c>
      <c r="M412" s="16" t="s">
        <v>22</v>
      </c>
      <c r="N412" s="39" t="s">
        <v>418</v>
      </c>
    </row>
    <row r="413" spans="1:14" s="12" customFormat="1" ht="18">
      <c r="A413" s="178" t="s">
        <v>80</v>
      </c>
      <c r="B413" s="75" t="s">
        <v>660</v>
      </c>
      <c r="C413" s="39" t="s">
        <v>17</v>
      </c>
      <c r="D413" s="236"/>
      <c r="E413" s="236"/>
      <c r="F413" s="236"/>
      <c r="G413" s="236"/>
      <c r="H413" s="40">
        <f>SUM(Tabla132112419[[#This Row],[PRIMER TRIMESTRE]:[CUARTO TRIMESTRE]])</f>
        <v>0</v>
      </c>
      <c r="I413" s="72">
        <v>13.65</v>
      </c>
      <c r="J413" s="17">
        <f>+H413*I413</f>
        <v>0</v>
      </c>
      <c r="K413" s="17"/>
      <c r="L413" s="16" t="s">
        <v>18</v>
      </c>
      <c r="M413" s="16" t="s">
        <v>22</v>
      </c>
      <c r="N413" s="39" t="s">
        <v>418</v>
      </c>
    </row>
    <row r="414" spans="1:14" s="12" customFormat="1" ht="18">
      <c r="A414" s="178" t="s">
        <v>80</v>
      </c>
      <c r="B414" s="75" t="s">
        <v>656</v>
      </c>
      <c r="C414" s="39" t="s">
        <v>17</v>
      </c>
      <c r="D414" s="236"/>
      <c r="E414" s="236"/>
      <c r="F414" s="236"/>
      <c r="G414" s="236"/>
      <c r="H414" s="40">
        <f>SUM(Tabla132112419[[#This Row],[PRIMER TRIMESTRE]:[CUARTO TRIMESTRE]])</f>
        <v>0</v>
      </c>
      <c r="I414" s="17">
        <v>22.39</v>
      </c>
      <c r="J414" s="17">
        <f>+Tabla132112419[[#This Row],[CANTIDAD TOTAL]]*Tabla132112419[[#This Row],[PRECIO UNITARIO ESTIMADO]]</f>
        <v>0</v>
      </c>
      <c r="K414" s="17"/>
      <c r="L414" s="16" t="s">
        <v>18</v>
      </c>
      <c r="M414" s="16" t="s">
        <v>22</v>
      </c>
      <c r="N414" s="39" t="s">
        <v>418</v>
      </c>
    </row>
    <row r="415" spans="1:14" s="12" customFormat="1" ht="18">
      <c r="A415" s="178" t="s">
        <v>80</v>
      </c>
      <c r="B415" s="75" t="s">
        <v>657</v>
      </c>
      <c r="C415" s="39" t="s">
        <v>17</v>
      </c>
      <c r="D415" s="236"/>
      <c r="E415" s="236"/>
      <c r="F415" s="236"/>
      <c r="G415" s="236"/>
      <c r="H415" s="40">
        <f>SUM(Tabla132112419[[#This Row],[PRIMER TRIMESTRE]:[CUARTO TRIMESTRE]])</f>
        <v>0</v>
      </c>
      <c r="I415" s="17">
        <v>59.97</v>
      </c>
      <c r="J415" s="17">
        <f>+Tabla132112419[[#This Row],[CANTIDAD TOTAL]]*Tabla132112419[[#This Row],[PRECIO UNITARIO ESTIMADO]]</f>
        <v>0</v>
      </c>
      <c r="K415" s="17"/>
      <c r="L415" s="16" t="s">
        <v>18</v>
      </c>
      <c r="M415" s="16" t="s">
        <v>22</v>
      </c>
      <c r="N415" s="39" t="s">
        <v>418</v>
      </c>
    </row>
    <row r="416" spans="1:14" s="12" customFormat="1" ht="18">
      <c r="A416" s="178" t="s">
        <v>80</v>
      </c>
      <c r="B416" s="75" t="s">
        <v>658</v>
      </c>
      <c r="C416" s="39" t="s">
        <v>17</v>
      </c>
      <c r="D416" s="236"/>
      <c r="E416" s="236"/>
      <c r="F416" s="236"/>
      <c r="G416" s="236"/>
      <c r="H416" s="40">
        <f>SUM(Tabla132112419[[#This Row],[PRIMER TRIMESTRE]:[CUARTO TRIMESTRE]])</f>
        <v>0</v>
      </c>
      <c r="I416" s="17">
        <v>101.5</v>
      </c>
      <c r="J416" s="17">
        <f>+Tabla132112419[[#This Row],[CANTIDAD TOTAL]]*Tabla132112419[[#This Row],[PRECIO UNITARIO ESTIMADO]]</f>
        <v>0</v>
      </c>
      <c r="K416" s="17"/>
      <c r="L416" s="16" t="s">
        <v>18</v>
      </c>
      <c r="M416" s="16" t="s">
        <v>22</v>
      </c>
      <c r="N416" s="39" t="s">
        <v>418</v>
      </c>
    </row>
    <row r="417" spans="1:14" s="12" customFormat="1" ht="18">
      <c r="A417" s="178" t="s">
        <v>80</v>
      </c>
      <c r="B417" s="75" t="s">
        <v>202</v>
      </c>
      <c r="C417" s="39" t="s">
        <v>17</v>
      </c>
      <c r="D417" s="236"/>
      <c r="E417" s="236"/>
      <c r="F417" s="236"/>
      <c r="G417" s="236"/>
      <c r="H417" s="40">
        <f>SUM(Tabla132112419[[#This Row],[PRIMER TRIMESTRE]:[CUARTO TRIMESTRE]])</f>
        <v>0</v>
      </c>
      <c r="I417" s="17">
        <v>3364</v>
      </c>
      <c r="J417" s="17">
        <f>+Tabla132112419[[#This Row],[CANTIDAD TOTAL]]*Tabla132112419[[#This Row],[PRECIO UNITARIO ESTIMADO]]</f>
        <v>0</v>
      </c>
      <c r="K417" s="17"/>
      <c r="L417" s="16" t="s">
        <v>18</v>
      </c>
      <c r="M417" s="16" t="s">
        <v>22</v>
      </c>
      <c r="N417" s="39" t="s">
        <v>418</v>
      </c>
    </row>
    <row r="418" spans="1:14" s="12" customFormat="1" ht="18">
      <c r="A418" s="178" t="s">
        <v>80</v>
      </c>
      <c r="B418" s="75" t="s">
        <v>776</v>
      </c>
      <c r="C418" s="39" t="s">
        <v>17</v>
      </c>
      <c r="D418" s="236"/>
      <c r="E418" s="236"/>
      <c r="F418" s="236"/>
      <c r="G418" s="236"/>
      <c r="H418" s="40">
        <f>SUM(Tabla132112419[[#This Row],[PRIMER TRIMESTRE]:[CUARTO TRIMESTRE]])</f>
        <v>0</v>
      </c>
      <c r="I418" s="17">
        <v>32.479999999999997</v>
      </c>
      <c r="J418" s="17">
        <f>+Tabla132112419[[#This Row],[CANTIDAD TOTAL]]*Tabla132112419[[#This Row],[PRECIO UNITARIO ESTIMADO]]</f>
        <v>0</v>
      </c>
      <c r="K418" s="17"/>
      <c r="L418" s="16" t="s">
        <v>18</v>
      </c>
      <c r="M418" s="16" t="s">
        <v>22</v>
      </c>
      <c r="N418" s="39" t="s">
        <v>418</v>
      </c>
    </row>
    <row r="419" spans="1:14" s="12" customFormat="1" ht="18">
      <c r="A419" s="178" t="s">
        <v>80</v>
      </c>
      <c r="B419" s="75" t="s">
        <v>205</v>
      </c>
      <c r="C419" s="39" t="s">
        <v>17</v>
      </c>
      <c r="D419" s="236"/>
      <c r="E419" s="236"/>
      <c r="F419" s="236"/>
      <c r="G419" s="236"/>
      <c r="H419" s="40">
        <f>SUM(Tabla132112419[[#This Row],[PRIMER TRIMESTRE]:[CUARTO TRIMESTRE]])</f>
        <v>0</v>
      </c>
      <c r="I419" s="17">
        <v>2.3199999999999998</v>
      </c>
      <c r="J419" s="17">
        <f>+Tabla132112419[[#This Row],[CANTIDAD TOTAL]]*Tabla132112419[[#This Row],[PRECIO UNITARIO ESTIMADO]]</f>
        <v>0</v>
      </c>
      <c r="K419" s="17"/>
      <c r="L419" s="16" t="s">
        <v>18</v>
      </c>
      <c r="M419" s="16" t="s">
        <v>22</v>
      </c>
      <c r="N419" s="39" t="s">
        <v>418</v>
      </c>
    </row>
    <row r="420" spans="1:14" s="12" customFormat="1" ht="18">
      <c r="A420" s="178" t="s">
        <v>80</v>
      </c>
      <c r="B420" s="75" t="s">
        <v>206</v>
      </c>
      <c r="C420" s="39" t="s">
        <v>17</v>
      </c>
      <c r="D420" s="236"/>
      <c r="E420" s="236"/>
      <c r="F420" s="236"/>
      <c r="G420" s="236"/>
      <c r="H420" s="40">
        <f>SUM(Tabla132112419[[#This Row],[PRIMER TRIMESTRE]:[CUARTO TRIMESTRE]])</f>
        <v>0</v>
      </c>
      <c r="I420" s="17">
        <v>3.48</v>
      </c>
      <c r="J420" s="17">
        <f>+Tabla132112419[[#This Row],[CANTIDAD TOTAL]]*Tabla132112419[[#This Row],[PRECIO UNITARIO ESTIMADO]]</f>
        <v>0</v>
      </c>
      <c r="K420" s="17"/>
      <c r="L420" s="16" t="s">
        <v>18</v>
      </c>
      <c r="M420" s="16" t="s">
        <v>22</v>
      </c>
      <c r="N420" s="39" t="s">
        <v>418</v>
      </c>
    </row>
    <row r="421" spans="1:14" s="12" customFormat="1" ht="18">
      <c r="A421" s="178" t="s">
        <v>80</v>
      </c>
      <c r="B421" s="75" t="s">
        <v>1335</v>
      </c>
      <c r="C421" s="39" t="s">
        <v>17</v>
      </c>
      <c r="D421" s="236"/>
      <c r="E421" s="236"/>
      <c r="F421" s="236"/>
      <c r="G421" s="236"/>
      <c r="H421" s="40">
        <f>SUM(Tabla132112419[[#This Row],[PRIMER TRIMESTRE]:[CUARTO TRIMESTRE]])</f>
        <v>0</v>
      </c>
      <c r="I421" s="17">
        <v>9.44</v>
      </c>
      <c r="J421" s="17">
        <f t="shared" ref="J421:J484" si="11">+H421*I421</f>
        <v>0</v>
      </c>
      <c r="K421" s="17"/>
      <c r="L421" s="16" t="s">
        <v>18</v>
      </c>
      <c r="M421" s="16" t="s">
        <v>22</v>
      </c>
      <c r="N421" s="39" t="s">
        <v>418</v>
      </c>
    </row>
    <row r="422" spans="1:14" s="12" customFormat="1" ht="18">
      <c r="A422" s="178" t="s">
        <v>80</v>
      </c>
      <c r="B422" s="75" t="s">
        <v>1336</v>
      </c>
      <c r="C422" s="39" t="s">
        <v>17</v>
      </c>
      <c r="D422" s="236"/>
      <c r="E422" s="236"/>
      <c r="F422" s="236"/>
      <c r="G422" s="236"/>
      <c r="H422" s="40">
        <f>SUM(Tabla132112419[[#This Row],[PRIMER TRIMESTRE]:[CUARTO TRIMESTRE]])</f>
        <v>0</v>
      </c>
      <c r="I422" s="17">
        <v>5.9</v>
      </c>
      <c r="J422" s="17">
        <f t="shared" si="11"/>
        <v>0</v>
      </c>
      <c r="K422" s="17"/>
      <c r="L422" s="16" t="s">
        <v>18</v>
      </c>
      <c r="M422" s="16" t="s">
        <v>22</v>
      </c>
      <c r="N422" s="39" t="s">
        <v>418</v>
      </c>
    </row>
    <row r="423" spans="1:14" s="12" customFormat="1" ht="18">
      <c r="A423" s="178" t="s">
        <v>80</v>
      </c>
      <c r="B423" s="75" t="s">
        <v>1337</v>
      </c>
      <c r="C423" s="39" t="s">
        <v>17</v>
      </c>
      <c r="D423" s="236"/>
      <c r="E423" s="236"/>
      <c r="F423" s="236"/>
      <c r="G423" s="236"/>
      <c r="H423" s="40">
        <f>SUM(Tabla132112419[[#This Row],[PRIMER TRIMESTRE]:[CUARTO TRIMESTRE]])</f>
        <v>0</v>
      </c>
      <c r="I423" s="17">
        <v>3.54</v>
      </c>
      <c r="J423" s="17">
        <f t="shared" si="11"/>
        <v>0</v>
      </c>
      <c r="K423" s="17"/>
      <c r="L423" s="16" t="s">
        <v>18</v>
      </c>
      <c r="M423" s="16" t="s">
        <v>22</v>
      </c>
      <c r="N423" s="39" t="s">
        <v>418</v>
      </c>
    </row>
    <row r="424" spans="1:14" s="12" customFormat="1" ht="18">
      <c r="A424" s="178" t="s">
        <v>80</v>
      </c>
      <c r="B424" s="75" t="s">
        <v>638</v>
      </c>
      <c r="C424" s="39" t="s">
        <v>17</v>
      </c>
      <c r="D424" s="236"/>
      <c r="E424" s="236"/>
      <c r="F424" s="240"/>
      <c r="G424" s="236"/>
      <c r="H424" s="40">
        <f>SUM(Tabla132112419[[#This Row],[PRIMER TRIMESTRE]:[CUARTO TRIMESTRE]])</f>
        <v>0</v>
      </c>
      <c r="I424" s="72">
        <v>7.28</v>
      </c>
      <c r="J424" s="17">
        <f t="shared" si="11"/>
        <v>0</v>
      </c>
      <c r="K424" s="17"/>
      <c r="L424" s="16" t="s">
        <v>18</v>
      </c>
      <c r="M424" s="16" t="s">
        <v>22</v>
      </c>
      <c r="N424" s="39" t="s">
        <v>418</v>
      </c>
    </row>
    <row r="425" spans="1:14" s="12" customFormat="1" ht="18">
      <c r="A425" s="178" t="s">
        <v>80</v>
      </c>
      <c r="B425" s="75" t="s">
        <v>639</v>
      </c>
      <c r="C425" s="39" t="s">
        <v>17</v>
      </c>
      <c r="D425" s="236"/>
      <c r="E425" s="236"/>
      <c r="F425" s="240"/>
      <c r="G425" s="236"/>
      <c r="H425" s="40">
        <f>SUM(Tabla132112419[[#This Row],[PRIMER TRIMESTRE]:[CUARTO TRIMESTRE]])</f>
        <v>0</v>
      </c>
      <c r="I425" s="72">
        <v>11.82</v>
      </c>
      <c r="J425" s="17">
        <f t="shared" si="11"/>
        <v>0</v>
      </c>
      <c r="K425" s="17"/>
      <c r="L425" s="16" t="s">
        <v>18</v>
      </c>
      <c r="M425" s="16" t="s">
        <v>22</v>
      </c>
      <c r="N425" s="39"/>
    </row>
    <row r="426" spans="1:14" s="12" customFormat="1" ht="18">
      <c r="A426" s="178" t="s">
        <v>80</v>
      </c>
      <c r="B426" s="75" t="s">
        <v>642</v>
      </c>
      <c r="C426" s="39" t="s">
        <v>17</v>
      </c>
      <c r="D426" s="236"/>
      <c r="E426" s="236"/>
      <c r="F426" s="240"/>
      <c r="G426" s="236"/>
      <c r="H426" s="40">
        <f>SUM(Tabla132112419[[#This Row],[PRIMER TRIMESTRE]:[CUARTO TRIMESTRE]])</f>
        <v>0</v>
      </c>
      <c r="I426" s="72">
        <v>22.74</v>
      </c>
      <c r="J426" s="17">
        <f t="shared" si="11"/>
        <v>0</v>
      </c>
      <c r="K426" s="17"/>
      <c r="L426" s="16" t="s">
        <v>18</v>
      </c>
      <c r="M426" s="16" t="s">
        <v>22</v>
      </c>
      <c r="N426" s="39"/>
    </row>
    <row r="427" spans="1:14" s="12" customFormat="1" ht="18">
      <c r="A427" s="178" t="s">
        <v>80</v>
      </c>
      <c r="B427" s="75" t="s">
        <v>643</v>
      </c>
      <c r="C427" s="39" t="s">
        <v>17</v>
      </c>
      <c r="D427" s="236"/>
      <c r="E427" s="236"/>
      <c r="F427" s="240"/>
      <c r="G427" s="236"/>
      <c r="H427" s="40">
        <f>SUM(Tabla132112419[[#This Row],[PRIMER TRIMESTRE]:[CUARTO TRIMESTRE]])</f>
        <v>0</v>
      </c>
      <c r="I427" s="72">
        <v>53.66</v>
      </c>
      <c r="J427" s="17">
        <f t="shared" si="11"/>
        <v>0</v>
      </c>
      <c r="K427" s="17"/>
      <c r="L427" s="16" t="s">
        <v>18</v>
      </c>
      <c r="M427" s="16" t="s">
        <v>22</v>
      </c>
      <c r="N427" s="39"/>
    </row>
    <row r="428" spans="1:14" s="12" customFormat="1" ht="18">
      <c r="A428" s="178" t="s">
        <v>80</v>
      </c>
      <c r="B428" s="75" t="s">
        <v>640</v>
      </c>
      <c r="C428" s="39" t="s">
        <v>17</v>
      </c>
      <c r="D428" s="236"/>
      <c r="E428" s="236"/>
      <c r="F428" s="240"/>
      <c r="G428" s="236"/>
      <c r="H428" s="40">
        <f>SUM(Tabla132112419[[#This Row],[PRIMER TRIMESTRE]:[CUARTO TRIMESTRE]])</f>
        <v>0</v>
      </c>
      <c r="I428" s="72">
        <v>90</v>
      </c>
      <c r="J428" s="17">
        <f t="shared" si="11"/>
        <v>0</v>
      </c>
      <c r="K428" s="17"/>
      <c r="L428" s="16" t="s">
        <v>18</v>
      </c>
      <c r="M428" s="16" t="s">
        <v>22</v>
      </c>
      <c r="N428" s="39"/>
    </row>
    <row r="429" spans="1:14" s="12" customFormat="1" ht="18">
      <c r="A429" s="178" t="s">
        <v>80</v>
      </c>
      <c r="B429" s="75" t="s">
        <v>641</v>
      </c>
      <c r="C429" s="39" t="s">
        <v>17</v>
      </c>
      <c r="D429" s="236"/>
      <c r="E429" s="236"/>
      <c r="F429" s="236"/>
      <c r="G429" s="236"/>
      <c r="H429" s="40">
        <f>SUM(Tabla132112419[[#This Row],[PRIMER TRIMESTRE]:[CUARTO TRIMESTRE]])</f>
        <v>0</v>
      </c>
      <c r="I429" s="72">
        <v>1799.03</v>
      </c>
      <c r="J429" s="17">
        <f t="shared" si="11"/>
        <v>0</v>
      </c>
      <c r="K429" s="17"/>
      <c r="L429" s="16" t="s">
        <v>18</v>
      </c>
      <c r="M429" s="16" t="s">
        <v>22</v>
      </c>
      <c r="N429" s="39"/>
    </row>
    <row r="430" spans="1:14" s="12" customFormat="1" ht="18">
      <c r="A430" s="178" t="s">
        <v>80</v>
      </c>
      <c r="B430" s="75" t="s">
        <v>607</v>
      </c>
      <c r="C430" s="39" t="s">
        <v>17</v>
      </c>
      <c r="D430" s="236"/>
      <c r="E430" s="236"/>
      <c r="F430" s="236"/>
      <c r="G430" s="236"/>
      <c r="H430" s="40">
        <f>SUM(Tabla132112419[[#This Row],[PRIMER TRIMESTRE]:[CUARTO TRIMESTRE]])</f>
        <v>0</v>
      </c>
      <c r="I430" s="17">
        <v>3068</v>
      </c>
      <c r="J430" s="17">
        <f t="shared" si="11"/>
        <v>0</v>
      </c>
      <c r="K430" s="17"/>
      <c r="L430" s="16" t="s">
        <v>18</v>
      </c>
      <c r="M430" s="16" t="s">
        <v>22</v>
      </c>
      <c r="N430" s="39"/>
    </row>
    <row r="431" spans="1:14" s="12" customFormat="1" ht="18">
      <c r="A431" s="178" t="s">
        <v>80</v>
      </c>
      <c r="B431" s="75" t="s">
        <v>608</v>
      </c>
      <c r="C431" s="39" t="s">
        <v>17</v>
      </c>
      <c r="D431" s="236"/>
      <c r="E431" s="236"/>
      <c r="F431" s="236"/>
      <c r="G431" s="236"/>
      <c r="H431" s="40">
        <f>SUM(Tabla132112419[[#This Row],[PRIMER TRIMESTRE]:[CUARTO TRIMESTRE]])</f>
        <v>0</v>
      </c>
      <c r="I431" s="17">
        <v>4425</v>
      </c>
      <c r="J431" s="17">
        <f t="shared" si="11"/>
        <v>0</v>
      </c>
      <c r="K431" s="17"/>
      <c r="L431" s="16" t="s">
        <v>18</v>
      </c>
      <c r="M431" s="16" t="s">
        <v>22</v>
      </c>
      <c r="N431" s="39"/>
    </row>
    <row r="432" spans="1:14" s="12" customFormat="1" ht="18">
      <c r="A432" s="178" t="s">
        <v>80</v>
      </c>
      <c r="B432" s="75" t="s">
        <v>609</v>
      </c>
      <c r="C432" s="39" t="s">
        <v>17</v>
      </c>
      <c r="D432" s="236"/>
      <c r="E432" s="236"/>
      <c r="F432" s="236"/>
      <c r="G432" s="236"/>
      <c r="H432" s="40">
        <f>SUM(Tabla132112419[[#This Row],[PRIMER TRIMESTRE]:[CUARTO TRIMESTRE]])</f>
        <v>0</v>
      </c>
      <c r="I432" s="17">
        <v>5074</v>
      </c>
      <c r="J432" s="17">
        <f t="shared" si="11"/>
        <v>0</v>
      </c>
      <c r="K432" s="17"/>
      <c r="L432" s="16" t="s">
        <v>18</v>
      </c>
      <c r="M432" s="16" t="s">
        <v>22</v>
      </c>
      <c r="N432" s="39"/>
    </row>
    <row r="433" spans="1:14" s="12" customFormat="1" ht="18">
      <c r="A433" s="178" t="s">
        <v>80</v>
      </c>
      <c r="B433" s="75" t="s">
        <v>610</v>
      </c>
      <c r="C433" s="39" t="s">
        <v>17</v>
      </c>
      <c r="D433" s="236"/>
      <c r="E433" s="236"/>
      <c r="F433" s="236"/>
      <c r="G433" s="236"/>
      <c r="H433" s="40">
        <f>SUM(Tabla132112419[[#This Row],[PRIMER TRIMESTRE]:[CUARTO TRIMESTRE]])</f>
        <v>0</v>
      </c>
      <c r="I433" s="17">
        <v>6431</v>
      </c>
      <c r="J433" s="17">
        <f t="shared" si="11"/>
        <v>0</v>
      </c>
      <c r="K433" s="17"/>
      <c r="L433" s="16" t="s">
        <v>18</v>
      </c>
      <c r="M433" s="16" t="s">
        <v>22</v>
      </c>
      <c r="N433" s="39"/>
    </row>
    <row r="434" spans="1:14" s="12" customFormat="1" ht="18">
      <c r="A434" s="178" t="s">
        <v>80</v>
      </c>
      <c r="B434" s="75" t="s">
        <v>611</v>
      </c>
      <c r="C434" s="39" t="s">
        <v>17</v>
      </c>
      <c r="D434" s="236"/>
      <c r="E434" s="236"/>
      <c r="F434" s="236"/>
      <c r="G434" s="236"/>
      <c r="H434" s="40">
        <f>SUM(Tabla132112419[[#This Row],[PRIMER TRIMESTRE]:[CUARTO TRIMESTRE]])</f>
        <v>0</v>
      </c>
      <c r="I434" s="17">
        <v>7943</v>
      </c>
      <c r="J434" s="17">
        <f t="shared" si="11"/>
        <v>0</v>
      </c>
      <c r="K434" s="17"/>
      <c r="L434" s="16" t="s">
        <v>18</v>
      </c>
      <c r="M434" s="16" t="s">
        <v>22</v>
      </c>
      <c r="N434" s="39"/>
    </row>
    <row r="435" spans="1:14" s="12" customFormat="1" ht="18">
      <c r="A435" s="178" t="s">
        <v>80</v>
      </c>
      <c r="B435" s="75" t="s">
        <v>612</v>
      </c>
      <c r="C435" s="39" t="s">
        <v>17</v>
      </c>
      <c r="D435" s="236"/>
      <c r="E435" s="236"/>
      <c r="F435" s="236"/>
      <c r="G435" s="236"/>
      <c r="H435" s="40">
        <f>SUM(Tabla132112419[[#This Row],[PRIMER TRIMESTRE]:[CUARTO TRIMESTRE]])</f>
        <v>0</v>
      </c>
      <c r="I435" s="17">
        <v>9145</v>
      </c>
      <c r="J435" s="17">
        <f t="shared" si="11"/>
        <v>0</v>
      </c>
      <c r="K435" s="17"/>
      <c r="L435" s="16" t="s">
        <v>18</v>
      </c>
      <c r="M435" s="16" t="s">
        <v>22</v>
      </c>
      <c r="N435" s="39"/>
    </row>
    <row r="436" spans="1:14" s="12" customFormat="1" ht="18">
      <c r="A436" s="178" t="s">
        <v>80</v>
      </c>
      <c r="B436" s="75" t="s">
        <v>613</v>
      </c>
      <c r="C436" s="39" t="s">
        <v>17</v>
      </c>
      <c r="D436" s="236"/>
      <c r="E436" s="236"/>
      <c r="F436" s="236"/>
      <c r="G436" s="236"/>
      <c r="H436" s="40">
        <f>SUM(Tabla132112419[[#This Row],[PRIMER TRIMESTRE]:[CUARTO TRIMESTRE]])</f>
        <v>0</v>
      </c>
      <c r="I436" s="17">
        <v>10502</v>
      </c>
      <c r="J436" s="17">
        <f t="shared" si="11"/>
        <v>0</v>
      </c>
      <c r="K436" s="17"/>
      <c r="L436" s="16" t="s">
        <v>18</v>
      </c>
      <c r="M436" s="16" t="s">
        <v>22</v>
      </c>
      <c r="N436" s="39"/>
    </row>
    <row r="437" spans="1:14" s="12" customFormat="1" ht="18">
      <c r="A437" s="178" t="s">
        <v>80</v>
      </c>
      <c r="B437" s="75" t="s">
        <v>614</v>
      </c>
      <c r="C437" s="39" t="s">
        <v>17</v>
      </c>
      <c r="D437" s="236"/>
      <c r="E437" s="236"/>
      <c r="F437" s="236"/>
      <c r="G437" s="236"/>
      <c r="H437" s="40">
        <f>SUM(Tabla132112419[[#This Row],[PRIMER TRIMESTRE]:[CUARTO TRIMESTRE]])</f>
        <v>0</v>
      </c>
      <c r="I437" s="17">
        <v>11564</v>
      </c>
      <c r="J437" s="17">
        <f t="shared" si="11"/>
        <v>0</v>
      </c>
      <c r="K437" s="17"/>
      <c r="L437" s="16" t="s">
        <v>18</v>
      </c>
      <c r="M437" s="16" t="s">
        <v>22</v>
      </c>
      <c r="N437" s="39"/>
    </row>
    <row r="438" spans="1:14" s="12" customFormat="1" ht="18">
      <c r="A438" s="178" t="s">
        <v>80</v>
      </c>
      <c r="B438" s="75" t="s">
        <v>615</v>
      </c>
      <c r="C438" s="39" t="s">
        <v>17</v>
      </c>
      <c r="D438" s="236"/>
      <c r="E438" s="236"/>
      <c r="F438" s="236"/>
      <c r="G438" s="236"/>
      <c r="H438" s="40">
        <f>SUM(Tabla132112419[[#This Row],[PRIMER TRIMESTRE]:[CUARTO TRIMESTRE]])</f>
        <v>0</v>
      </c>
      <c r="I438" s="17">
        <v>13747</v>
      </c>
      <c r="J438" s="17">
        <f t="shared" si="11"/>
        <v>0</v>
      </c>
      <c r="K438" s="17"/>
      <c r="L438" s="16" t="s">
        <v>18</v>
      </c>
      <c r="M438" s="16" t="s">
        <v>22</v>
      </c>
      <c r="N438" s="39"/>
    </row>
    <row r="439" spans="1:14" s="12" customFormat="1" ht="18">
      <c r="A439" s="178" t="s">
        <v>80</v>
      </c>
      <c r="B439" s="75" t="s">
        <v>1547</v>
      </c>
      <c r="C439" s="39" t="s">
        <v>17</v>
      </c>
      <c r="D439" s="236"/>
      <c r="E439" s="236"/>
      <c r="F439" s="236"/>
      <c r="G439" s="236"/>
      <c r="H439" s="236">
        <f>SUM(Tabla132112419[[#This Row],[PRIMER TRIMESTRE]:[CUARTO TRIMESTRE]])</f>
        <v>0</v>
      </c>
      <c r="I439" s="17">
        <v>700</v>
      </c>
      <c r="J439" s="17">
        <f t="shared" si="11"/>
        <v>0</v>
      </c>
      <c r="K439" s="17"/>
      <c r="L439" s="16" t="s">
        <v>18</v>
      </c>
      <c r="M439" s="16" t="s">
        <v>22</v>
      </c>
      <c r="N439" s="39"/>
    </row>
    <row r="440" spans="1:14" s="12" customFormat="1" ht="18">
      <c r="A440" s="178" t="s">
        <v>80</v>
      </c>
      <c r="B440" s="75" t="s">
        <v>1577</v>
      </c>
      <c r="C440" s="39" t="s">
        <v>17</v>
      </c>
      <c r="D440" s="236"/>
      <c r="E440" s="236"/>
      <c r="F440" s="236"/>
      <c r="G440" s="236"/>
      <c r="H440" s="236">
        <f>SUM(Tabla132112419[[#This Row],[PRIMER TRIMESTRE]:[CUARTO TRIMESTRE]])</f>
        <v>0</v>
      </c>
      <c r="I440" s="17">
        <v>133.88999999999999</v>
      </c>
      <c r="J440" s="17">
        <f t="shared" si="11"/>
        <v>0</v>
      </c>
      <c r="K440" s="17"/>
      <c r="L440" s="16" t="s">
        <v>18</v>
      </c>
      <c r="M440" s="16" t="s">
        <v>22</v>
      </c>
      <c r="N440" s="39"/>
    </row>
    <row r="441" spans="1:14" s="12" customFormat="1" ht="18">
      <c r="A441" s="178" t="s">
        <v>80</v>
      </c>
      <c r="B441" s="75" t="s">
        <v>1576</v>
      </c>
      <c r="C441" s="39" t="s">
        <v>17</v>
      </c>
      <c r="D441" s="236"/>
      <c r="E441" s="236"/>
      <c r="F441" s="236"/>
      <c r="G441" s="236"/>
      <c r="H441" s="236">
        <f>SUM(Tabla132112419[[#This Row],[PRIMER TRIMESTRE]:[CUARTO TRIMESTRE]])</f>
        <v>0</v>
      </c>
      <c r="I441" s="17">
        <v>21</v>
      </c>
      <c r="J441" s="17">
        <f t="shared" si="11"/>
        <v>0</v>
      </c>
      <c r="K441" s="17"/>
      <c r="L441" s="16" t="s">
        <v>18</v>
      </c>
      <c r="M441" s="16" t="s">
        <v>22</v>
      </c>
      <c r="N441" s="39"/>
    </row>
    <row r="442" spans="1:14" s="12" customFormat="1" ht="18">
      <c r="A442" s="178" t="s">
        <v>80</v>
      </c>
      <c r="B442" s="75" t="s">
        <v>1727</v>
      </c>
      <c r="C442" s="39" t="s">
        <v>17</v>
      </c>
      <c r="D442" s="236"/>
      <c r="E442" s="236"/>
      <c r="F442" s="236"/>
      <c r="G442" s="236"/>
      <c r="H442" s="40">
        <v>0</v>
      </c>
      <c r="I442" s="17">
        <v>0</v>
      </c>
      <c r="J442" s="17">
        <v>0</v>
      </c>
      <c r="K442" s="17"/>
      <c r="L442" s="16" t="s">
        <v>18</v>
      </c>
      <c r="M442" s="16" t="s">
        <v>22</v>
      </c>
      <c r="N442" s="39"/>
    </row>
    <row r="443" spans="1:14" s="12" customFormat="1" ht="18">
      <c r="A443" s="178" t="s">
        <v>80</v>
      </c>
      <c r="B443" s="75" t="s">
        <v>1575</v>
      </c>
      <c r="C443" s="39" t="s">
        <v>17</v>
      </c>
      <c r="D443" s="236"/>
      <c r="E443" s="236"/>
      <c r="F443" s="236"/>
      <c r="G443" s="236"/>
      <c r="H443" s="236">
        <f>SUM(Tabla132112419[[#This Row],[PRIMER TRIMESTRE]:[CUARTO TRIMESTRE]])</f>
        <v>0</v>
      </c>
      <c r="I443" s="17">
        <v>15.21</v>
      </c>
      <c r="J443" s="17">
        <f t="shared" si="11"/>
        <v>0</v>
      </c>
      <c r="K443" s="17"/>
      <c r="L443" s="16" t="s">
        <v>18</v>
      </c>
      <c r="M443" s="16" t="s">
        <v>22</v>
      </c>
      <c r="N443" s="39"/>
    </row>
    <row r="444" spans="1:14" s="12" customFormat="1" ht="18">
      <c r="A444" s="178" t="s">
        <v>80</v>
      </c>
      <c r="B444" s="75" t="s">
        <v>1574</v>
      </c>
      <c r="C444" s="39" t="s">
        <v>17</v>
      </c>
      <c r="D444" s="236"/>
      <c r="E444" s="236"/>
      <c r="F444" s="236"/>
      <c r="G444" s="236"/>
      <c r="H444" s="236">
        <f>SUM(Tabla132112419[[#This Row],[PRIMER TRIMESTRE]:[CUARTO TRIMESTRE]])</f>
        <v>0</v>
      </c>
      <c r="I444" s="17">
        <v>1</v>
      </c>
      <c r="J444" s="17">
        <f t="shared" si="11"/>
        <v>0</v>
      </c>
      <c r="K444" s="17"/>
      <c r="L444" s="16" t="s">
        <v>18</v>
      </c>
      <c r="M444" s="16" t="s">
        <v>22</v>
      </c>
      <c r="N444" s="39"/>
    </row>
    <row r="445" spans="1:14" s="12" customFormat="1" ht="18">
      <c r="A445" s="178" t="s">
        <v>80</v>
      </c>
      <c r="B445" s="75" t="s">
        <v>1338</v>
      </c>
      <c r="C445" s="39" t="s">
        <v>17</v>
      </c>
      <c r="D445" s="236"/>
      <c r="E445" s="236"/>
      <c r="F445" s="236"/>
      <c r="G445" s="236"/>
      <c r="H445" s="40">
        <f>SUM(Tabla132112419[[#This Row],[PRIMER TRIMESTRE]:[CUARTO TRIMESTRE]])</f>
        <v>0</v>
      </c>
      <c r="I445" s="17">
        <v>17.7</v>
      </c>
      <c r="J445" s="17">
        <f t="shared" si="11"/>
        <v>0</v>
      </c>
      <c r="K445" s="17"/>
      <c r="L445" s="16" t="s">
        <v>18</v>
      </c>
      <c r="M445" s="16" t="s">
        <v>22</v>
      </c>
      <c r="N445" s="39"/>
    </row>
    <row r="446" spans="1:14" s="12" customFormat="1" ht="18">
      <c r="A446" s="178" t="s">
        <v>80</v>
      </c>
      <c r="B446" s="75" t="s">
        <v>1573</v>
      </c>
      <c r="C446" s="39" t="s">
        <v>17</v>
      </c>
      <c r="D446" s="236"/>
      <c r="E446" s="236"/>
      <c r="F446" s="236"/>
      <c r="G446" s="236"/>
      <c r="H446" s="40">
        <f>SUM(Tabla132112419[[#This Row],[PRIMER TRIMESTRE]:[CUARTO TRIMESTRE]])</f>
        <v>0</v>
      </c>
      <c r="I446" s="17">
        <v>20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</row>
    <row r="447" spans="1:14" s="12" customFormat="1" ht="18">
      <c r="A447" s="178" t="s">
        <v>80</v>
      </c>
      <c r="B447" s="75" t="s">
        <v>1339</v>
      </c>
      <c r="C447" s="39" t="s">
        <v>17</v>
      </c>
      <c r="D447" s="236"/>
      <c r="E447" s="236"/>
      <c r="F447" s="236"/>
      <c r="G447" s="236"/>
      <c r="H447" s="40">
        <f>SUM(Tabla132112419[[#This Row],[PRIMER TRIMESTRE]:[CUARTO TRIMESTRE]])</f>
        <v>0</v>
      </c>
      <c r="I447" s="17">
        <v>23.6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</row>
    <row r="448" spans="1:14" s="12" customFormat="1" ht="18">
      <c r="A448" s="178" t="s">
        <v>80</v>
      </c>
      <c r="B448" s="75" t="s">
        <v>1703</v>
      </c>
      <c r="C448" s="39" t="s">
        <v>17</v>
      </c>
      <c r="D448" s="236"/>
      <c r="E448" s="236"/>
      <c r="F448" s="236"/>
      <c r="G448" s="236"/>
      <c r="H448" s="40">
        <v>0</v>
      </c>
      <c r="I448" s="17">
        <v>0</v>
      </c>
      <c r="J448" s="17">
        <v>0</v>
      </c>
      <c r="K448" s="17"/>
      <c r="L448" s="16" t="s">
        <v>18</v>
      </c>
      <c r="M448" s="16" t="s">
        <v>22</v>
      </c>
      <c r="N448" s="39"/>
    </row>
    <row r="449" spans="1:14" s="12" customFormat="1" ht="18">
      <c r="A449" s="178" t="s">
        <v>80</v>
      </c>
      <c r="B449" s="75" t="s">
        <v>1572</v>
      </c>
      <c r="C449" s="39" t="s">
        <v>17</v>
      </c>
      <c r="D449" s="236"/>
      <c r="E449" s="236"/>
      <c r="F449" s="236"/>
      <c r="G449" s="236"/>
      <c r="H449" s="40">
        <f>SUM(Tabla132112419[[#This Row],[PRIMER TRIMESTRE]:[CUARTO TRIMESTRE]])</f>
        <v>0</v>
      </c>
      <c r="I449" s="17">
        <v>2</v>
      </c>
      <c r="J449" s="17">
        <f t="shared" si="11"/>
        <v>0</v>
      </c>
      <c r="K449" s="17"/>
      <c r="L449" s="16" t="s">
        <v>18</v>
      </c>
      <c r="M449" s="16" t="s">
        <v>22</v>
      </c>
      <c r="N449" s="39"/>
    </row>
    <row r="450" spans="1:14" s="12" customFormat="1" ht="18">
      <c r="A450" s="178" t="s">
        <v>80</v>
      </c>
      <c r="B450" s="75" t="s">
        <v>1428</v>
      </c>
      <c r="C450" s="39" t="s">
        <v>17</v>
      </c>
      <c r="D450" s="236"/>
      <c r="E450" s="236"/>
      <c r="F450" s="236"/>
      <c r="G450" s="236"/>
      <c r="H450" s="40">
        <f>SUM(Tabla132112419[[#This Row],[PRIMER TRIMESTRE]:[CUARTO TRIMESTRE]])</f>
        <v>0</v>
      </c>
      <c r="I450" s="17">
        <v>0.88</v>
      </c>
      <c r="J450" s="17">
        <f t="shared" si="11"/>
        <v>0</v>
      </c>
      <c r="K450" s="17"/>
      <c r="L450" s="16" t="s">
        <v>18</v>
      </c>
      <c r="M450" s="16" t="s">
        <v>22</v>
      </c>
      <c r="N450" s="39"/>
    </row>
    <row r="451" spans="1:14" s="12" customFormat="1" ht="18">
      <c r="A451" s="178" t="s">
        <v>80</v>
      </c>
      <c r="B451" s="75" t="s">
        <v>1427</v>
      </c>
      <c r="C451" s="39" t="s">
        <v>17</v>
      </c>
      <c r="D451" s="236"/>
      <c r="E451" s="236"/>
      <c r="F451" s="236"/>
      <c r="G451" s="236"/>
      <c r="H451" s="40">
        <f>SUM(Tabla132112419[[#This Row],[PRIMER TRIMESTRE]:[CUARTO TRIMESTRE]])</f>
        <v>0</v>
      </c>
      <c r="I451" s="17">
        <v>1</v>
      </c>
      <c r="J451" s="17">
        <f t="shared" si="11"/>
        <v>0</v>
      </c>
      <c r="K451" s="17"/>
      <c r="L451" s="16" t="s">
        <v>18</v>
      </c>
      <c r="M451" s="16" t="s">
        <v>22</v>
      </c>
      <c r="N451" s="39"/>
    </row>
    <row r="452" spans="1:14" s="12" customFormat="1" ht="18">
      <c r="A452" s="178" t="s">
        <v>80</v>
      </c>
      <c r="B452" s="75" t="s">
        <v>1433</v>
      </c>
      <c r="C452" s="39" t="s">
        <v>208</v>
      </c>
      <c r="D452" s="236"/>
      <c r="E452" s="236"/>
      <c r="F452" s="236"/>
      <c r="G452" s="236"/>
      <c r="H452" s="40">
        <f>SUM(Tabla132112419[[#This Row],[PRIMER TRIMESTRE]:[CUARTO TRIMESTRE]])</f>
        <v>0</v>
      </c>
      <c r="I452" s="17">
        <v>361.44</v>
      </c>
      <c r="J452" s="17">
        <f t="shared" si="11"/>
        <v>0</v>
      </c>
      <c r="K452" s="17"/>
      <c r="L452" s="16" t="s">
        <v>18</v>
      </c>
      <c r="M452" s="16" t="s">
        <v>22</v>
      </c>
      <c r="N452" s="39"/>
    </row>
    <row r="453" spans="1:14" s="12" customFormat="1" ht="18">
      <c r="A453" s="178" t="s">
        <v>80</v>
      </c>
      <c r="B453" s="75" t="s">
        <v>1435</v>
      </c>
      <c r="C453" s="39" t="s">
        <v>17</v>
      </c>
      <c r="D453" s="236"/>
      <c r="E453" s="236"/>
      <c r="F453" s="236"/>
      <c r="G453" s="236"/>
      <c r="H453" s="40">
        <f>SUM(Tabla132112419[[#This Row],[PRIMER TRIMESTRE]:[CUARTO TRIMESTRE]])</f>
        <v>0</v>
      </c>
      <c r="I453" s="17">
        <v>1.1499999999999999</v>
      </c>
      <c r="J453" s="17">
        <f t="shared" si="11"/>
        <v>0</v>
      </c>
      <c r="K453" s="17"/>
      <c r="L453" s="16" t="s">
        <v>18</v>
      </c>
      <c r="M453" s="16" t="s">
        <v>22</v>
      </c>
      <c r="N453" s="39"/>
    </row>
    <row r="454" spans="1:14" s="12" customFormat="1" ht="18">
      <c r="A454" s="178" t="s">
        <v>80</v>
      </c>
      <c r="B454" s="75" t="s">
        <v>1527</v>
      </c>
      <c r="C454" s="39" t="s">
        <v>17</v>
      </c>
      <c r="D454" s="236"/>
      <c r="E454" s="236"/>
      <c r="F454" s="236"/>
      <c r="G454" s="236"/>
      <c r="H454" s="236">
        <f>SUM(Tabla132112419[[#This Row],[PRIMER TRIMESTRE]:[CUARTO TRIMESTRE]])</f>
        <v>0</v>
      </c>
      <c r="I454" s="17">
        <v>12739.27</v>
      </c>
      <c r="J454" s="17">
        <f t="shared" si="11"/>
        <v>0</v>
      </c>
      <c r="K454" s="17"/>
      <c r="L454" s="16" t="s">
        <v>18</v>
      </c>
      <c r="M454" s="16" t="s">
        <v>22</v>
      </c>
      <c r="N454" s="39"/>
    </row>
    <row r="455" spans="1:14" s="12" customFormat="1" ht="18">
      <c r="A455" s="178" t="s">
        <v>80</v>
      </c>
      <c r="B455" s="75" t="s">
        <v>702</v>
      </c>
      <c r="C455" s="39" t="s">
        <v>17</v>
      </c>
      <c r="D455" s="236"/>
      <c r="E455" s="236"/>
      <c r="F455" s="236"/>
      <c r="G455" s="236"/>
      <c r="H455" s="40">
        <f>SUM(Tabla132112419[[#This Row],[PRIMER TRIMESTRE]:[CUARTO TRIMESTRE]])</f>
        <v>0</v>
      </c>
      <c r="I455" s="17">
        <v>1052.51</v>
      </c>
      <c r="J455" s="17">
        <f t="shared" si="11"/>
        <v>0</v>
      </c>
      <c r="K455" s="17"/>
      <c r="L455" s="16" t="s">
        <v>18</v>
      </c>
      <c r="M455" s="16" t="s">
        <v>22</v>
      </c>
      <c r="N455" s="39"/>
    </row>
    <row r="456" spans="1:14" s="12" customFormat="1" ht="18">
      <c r="A456" s="178" t="s">
        <v>80</v>
      </c>
      <c r="B456" s="75" t="s">
        <v>370</v>
      </c>
      <c r="C456" s="39" t="s">
        <v>17</v>
      </c>
      <c r="D456" s="236"/>
      <c r="E456" s="236"/>
      <c r="F456" s="236"/>
      <c r="G456" s="236"/>
      <c r="H456" s="40">
        <f>SUM(Tabla132112419[[#This Row],[PRIMER TRIMESTRE]:[CUARTO TRIMESTRE]])</f>
        <v>0</v>
      </c>
      <c r="I456" s="17">
        <v>3302.0937420000005</v>
      </c>
      <c r="J456" s="17">
        <f t="shared" si="11"/>
        <v>0</v>
      </c>
      <c r="K456" s="17"/>
      <c r="L456" s="16" t="s">
        <v>18</v>
      </c>
      <c r="M456" s="16" t="s">
        <v>22</v>
      </c>
      <c r="N456" s="39"/>
    </row>
    <row r="457" spans="1:14" s="12" customFormat="1" ht="18">
      <c r="A457" s="178" t="s">
        <v>80</v>
      </c>
      <c r="B457" s="75" t="s">
        <v>371</v>
      </c>
      <c r="C457" s="39" t="s">
        <v>17</v>
      </c>
      <c r="D457" s="236"/>
      <c r="E457" s="236"/>
      <c r="F457" s="236"/>
      <c r="G457" s="236"/>
      <c r="H457" s="40">
        <f>SUM(Tabla132112419[[#This Row],[PRIMER TRIMESTRE]:[CUARTO TRIMESTRE]])</f>
        <v>0</v>
      </c>
      <c r="I457" s="17">
        <v>5605.3296870000004</v>
      </c>
      <c r="J457" s="17">
        <f t="shared" si="11"/>
        <v>0</v>
      </c>
      <c r="K457" s="17"/>
      <c r="L457" s="16" t="s">
        <v>18</v>
      </c>
      <c r="M457" s="16" t="s">
        <v>22</v>
      </c>
      <c r="N457" s="39"/>
    </row>
    <row r="458" spans="1:14" s="12" customFormat="1" ht="18">
      <c r="A458" s="178" t="s">
        <v>80</v>
      </c>
      <c r="B458" s="75" t="s">
        <v>799</v>
      </c>
      <c r="C458" s="39" t="s">
        <v>17</v>
      </c>
      <c r="D458" s="236"/>
      <c r="E458" s="236"/>
      <c r="F458" s="236"/>
      <c r="G458" s="236"/>
      <c r="H458" s="40">
        <f>SUM(Tabla132112419[[#This Row],[PRIMER TRIMESTRE]:[CUARTO TRIMESTRE]])</f>
        <v>0</v>
      </c>
      <c r="I458" s="17">
        <v>12700</v>
      </c>
      <c r="J458" s="17">
        <f t="shared" si="11"/>
        <v>0</v>
      </c>
      <c r="K458" s="17"/>
      <c r="L458" s="16" t="s">
        <v>18</v>
      </c>
      <c r="M458" s="16" t="s">
        <v>22</v>
      </c>
      <c r="N458" s="39"/>
    </row>
    <row r="459" spans="1:14" s="12" customFormat="1" ht="18">
      <c r="A459" s="178" t="s">
        <v>80</v>
      </c>
      <c r="B459" s="75" t="s">
        <v>372</v>
      </c>
      <c r="C459" s="39" t="s">
        <v>17</v>
      </c>
      <c r="D459" s="236"/>
      <c r="E459" s="236"/>
      <c r="F459" s="236"/>
      <c r="G459" s="236"/>
      <c r="H459" s="40">
        <f>SUM(Tabla132112419[[#This Row],[PRIMER TRIMESTRE]:[CUARTO TRIMESTRE]])</f>
        <v>0</v>
      </c>
      <c r="I459" s="17">
        <v>256.14999999999998</v>
      </c>
      <c r="J459" s="17">
        <f t="shared" si="11"/>
        <v>0</v>
      </c>
      <c r="K459" s="17"/>
      <c r="L459" s="16" t="s">
        <v>18</v>
      </c>
      <c r="M459" s="16" t="s">
        <v>22</v>
      </c>
      <c r="N459" s="39"/>
    </row>
    <row r="460" spans="1:14" s="12" customFormat="1" ht="18">
      <c r="A460" s="178" t="s">
        <v>80</v>
      </c>
      <c r="B460" s="75" t="s">
        <v>373</v>
      </c>
      <c r="C460" s="39" t="s">
        <v>17</v>
      </c>
      <c r="D460" s="236"/>
      <c r="E460" s="236"/>
      <c r="F460" s="236"/>
      <c r="G460" s="236"/>
      <c r="H460" s="40">
        <f>SUM(Tabla132112419[[#This Row],[PRIMER TRIMESTRE]:[CUARTO TRIMESTRE]])</f>
        <v>0</v>
      </c>
      <c r="I460" s="17">
        <v>260.58531900000003</v>
      </c>
      <c r="J460" s="17">
        <f t="shared" si="11"/>
        <v>0</v>
      </c>
      <c r="K460" s="17"/>
      <c r="L460" s="16" t="s">
        <v>18</v>
      </c>
      <c r="M460" s="16" t="s">
        <v>22</v>
      </c>
      <c r="N460" s="39"/>
    </row>
    <row r="461" spans="1:14" s="12" customFormat="1" ht="18">
      <c r="A461" s="178" t="s">
        <v>80</v>
      </c>
      <c r="B461" s="75" t="s">
        <v>374</v>
      </c>
      <c r="C461" s="39" t="s">
        <v>17</v>
      </c>
      <c r="D461" s="236"/>
      <c r="E461" s="236"/>
      <c r="F461" s="236"/>
      <c r="G461" s="236"/>
      <c r="H461" s="40">
        <f>SUM(Tabla132112419[[#This Row],[PRIMER TRIMESTRE]:[CUARTO TRIMESTRE]])</f>
        <v>0</v>
      </c>
      <c r="I461" s="17">
        <v>383.08377000000007</v>
      </c>
      <c r="J461" s="17">
        <f t="shared" si="11"/>
        <v>0</v>
      </c>
      <c r="K461" s="17"/>
      <c r="L461" s="16" t="s">
        <v>18</v>
      </c>
      <c r="M461" s="16" t="s">
        <v>22</v>
      </c>
      <c r="N461" s="39"/>
    </row>
    <row r="462" spans="1:14" s="12" customFormat="1" ht="18">
      <c r="A462" s="178" t="s">
        <v>80</v>
      </c>
      <c r="B462" s="75" t="s">
        <v>375</v>
      </c>
      <c r="C462" s="39" t="s">
        <v>17</v>
      </c>
      <c r="D462" s="236"/>
      <c r="E462" s="236"/>
      <c r="F462" s="236"/>
      <c r="G462" s="236"/>
      <c r="H462" s="40">
        <f>SUM(Tabla132112419[[#This Row],[PRIMER TRIMESTRE]:[CUARTO TRIMESTRE]])</f>
        <v>0</v>
      </c>
      <c r="I462" s="17">
        <v>450</v>
      </c>
      <c r="J462" s="17">
        <f t="shared" si="11"/>
        <v>0</v>
      </c>
      <c r="K462" s="17"/>
      <c r="L462" s="16" t="s">
        <v>18</v>
      </c>
      <c r="M462" s="16" t="s">
        <v>22</v>
      </c>
      <c r="N462" s="39"/>
    </row>
    <row r="463" spans="1:14" s="12" customFormat="1" ht="18">
      <c r="A463" s="178" t="s">
        <v>80</v>
      </c>
      <c r="B463" s="75" t="s">
        <v>376</v>
      </c>
      <c r="C463" s="39" t="s">
        <v>17</v>
      </c>
      <c r="D463" s="236"/>
      <c r="E463" s="236"/>
      <c r="F463" s="236"/>
      <c r="G463" s="236"/>
      <c r="H463" s="40">
        <f>SUM(Tabla132112419[[#This Row],[PRIMER TRIMESTRE]:[CUARTO TRIMESTRE]])</f>
        <v>0</v>
      </c>
      <c r="I463" s="17">
        <v>667.77</v>
      </c>
      <c r="J463" s="17">
        <f t="shared" si="11"/>
        <v>0</v>
      </c>
      <c r="K463" s="17"/>
      <c r="L463" s="16" t="s">
        <v>18</v>
      </c>
      <c r="M463" s="16" t="s">
        <v>22</v>
      </c>
      <c r="N463" s="39"/>
    </row>
    <row r="464" spans="1:14" s="12" customFormat="1" ht="18">
      <c r="A464" s="178" t="s">
        <v>80</v>
      </c>
      <c r="B464" s="75" t="s">
        <v>377</v>
      </c>
      <c r="C464" s="39" t="s">
        <v>17</v>
      </c>
      <c r="D464" s="236"/>
      <c r="E464" s="236"/>
      <c r="F464" s="236"/>
      <c r="G464" s="236"/>
      <c r="H464" s="40">
        <f>SUM(Tabla132112419[[#This Row],[PRIMER TRIMESTRE]:[CUARTO TRIMESTRE]])</f>
        <v>0</v>
      </c>
      <c r="I464" s="17">
        <v>160.61749500000002</v>
      </c>
      <c r="J464" s="17">
        <f t="shared" si="11"/>
        <v>0</v>
      </c>
      <c r="K464" s="17"/>
      <c r="L464" s="16" t="s">
        <v>18</v>
      </c>
      <c r="M464" s="16" t="s">
        <v>22</v>
      </c>
      <c r="N464" s="39"/>
    </row>
    <row r="465" spans="1:14" s="12" customFormat="1" ht="18">
      <c r="A465" s="178" t="s">
        <v>80</v>
      </c>
      <c r="B465" s="75" t="s">
        <v>378</v>
      </c>
      <c r="C465" s="39" t="s">
        <v>17</v>
      </c>
      <c r="D465" s="236"/>
      <c r="E465" s="236"/>
      <c r="F465" s="236"/>
      <c r="G465" s="236"/>
      <c r="H465" s="40">
        <f>SUM(Tabla132112419[[#This Row],[PRIMER TRIMESTRE]:[CUARTO TRIMESTRE]])</f>
        <v>0</v>
      </c>
      <c r="I465" s="17">
        <v>631.80422099999998</v>
      </c>
      <c r="J465" s="17">
        <f t="shared" si="11"/>
        <v>0</v>
      </c>
      <c r="K465" s="17"/>
      <c r="L465" s="16" t="s">
        <v>18</v>
      </c>
      <c r="M465" s="16" t="s">
        <v>22</v>
      </c>
      <c r="N465" s="39"/>
    </row>
    <row r="466" spans="1:14" s="12" customFormat="1" ht="18">
      <c r="A466" s="178" t="s">
        <v>80</v>
      </c>
      <c r="B466" s="75" t="s">
        <v>1526</v>
      </c>
      <c r="C466" s="176" t="s">
        <v>17</v>
      </c>
      <c r="D466" s="236"/>
      <c r="E466" s="236"/>
      <c r="F466" s="236"/>
      <c r="G466" s="236"/>
      <c r="H466" s="236">
        <f>SUM(Tabla132112419[[#This Row],[PRIMER TRIMESTRE]:[CUARTO TRIMESTRE]])</f>
        <v>0</v>
      </c>
      <c r="I466" s="17">
        <v>631.80422099999998</v>
      </c>
      <c r="J466" s="17">
        <f t="shared" si="11"/>
        <v>0</v>
      </c>
      <c r="K466" s="17"/>
      <c r="L466" s="16" t="s">
        <v>18</v>
      </c>
      <c r="M466" s="16" t="s">
        <v>22</v>
      </c>
      <c r="N466" s="39"/>
    </row>
    <row r="467" spans="1:14" s="12" customFormat="1" ht="18">
      <c r="A467" s="178" t="s">
        <v>80</v>
      </c>
      <c r="B467" s="75" t="s">
        <v>379</v>
      </c>
      <c r="C467" s="39" t="s">
        <v>17</v>
      </c>
      <c r="D467" s="236"/>
      <c r="E467" s="236"/>
      <c r="F467" s="236"/>
      <c r="G467" s="236"/>
      <c r="H467" s="40">
        <f>SUM(Tabla132112419[[#This Row],[PRIMER TRIMESTRE]:[CUARTO TRIMESTRE]])</f>
        <v>0</v>
      </c>
      <c r="I467" s="17">
        <v>1565.22</v>
      </c>
      <c r="J467" s="17">
        <f t="shared" si="11"/>
        <v>0</v>
      </c>
      <c r="K467" s="17"/>
      <c r="L467" s="16" t="s">
        <v>18</v>
      </c>
      <c r="M467" s="16" t="s">
        <v>22</v>
      </c>
      <c r="N467" s="39"/>
    </row>
    <row r="468" spans="1:14" s="12" customFormat="1" ht="18">
      <c r="A468" s="178" t="s">
        <v>80</v>
      </c>
      <c r="B468" s="75" t="s">
        <v>380</v>
      </c>
      <c r="C468" s="39" t="s">
        <v>17</v>
      </c>
      <c r="D468" s="236"/>
      <c r="E468" s="236"/>
      <c r="F468" s="236"/>
      <c r="G468" s="236"/>
      <c r="H468" s="40">
        <f>SUM(Tabla132112419[[#This Row],[PRIMER TRIMESTRE]:[CUARTO TRIMESTRE]])</f>
        <v>0</v>
      </c>
      <c r="I468" s="17">
        <v>2310.9299999999998</v>
      </c>
      <c r="J468" s="17">
        <f t="shared" si="11"/>
        <v>0</v>
      </c>
      <c r="K468" s="17"/>
      <c r="L468" s="16" t="s">
        <v>18</v>
      </c>
      <c r="M468" s="16" t="s">
        <v>22</v>
      </c>
      <c r="N468" s="39"/>
    </row>
    <row r="469" spans="1:14" s="12" customFormat="1" ht="18">
      <c r="A469" s="178" t="s">
        <v>80</v>
      </c>
      <c r="B469" s="75" t="s">
        <v>381</v>
      </c>
      <c r="C469" s="39" t="s">
        <v>17</v>
      </c>
      <c r="D469" s="236"/>
      <c r="E469" s="236"/>
      <c r="F469" s="236"/>
      <c r="G469" s="236"/>
      <c r="H469" s="40">
        <f>SUM(Tabla132112419[[#This Row],[PRIMER TRIMESTRE]:[CUARTO TRIMESTRE]])</f>
        <v>0</v>
      </c>
      <c r="I469" s="17">
        <v>4630.1499999999996</v>
      </c>
      <c r="J469" s="17">
        <f t="shared" si="11"/>
        <v>0</v>
      </c>
      <c r="K469" s="17"/>
      <c r="L469" s="16" t="s">
        <v>18</v>
      </c>
      <c r="M469" s="16" t="s">
        <v>22</v>
      </c>
      <c r="N469" s="39"/>
    </row>
    <row r="470" spans="1:14" s="12" customFormat="1" ht="18">
      <c r="A470" s="178" t="s">
        <v>80</v>
      </c>
      <c r="B470" s="75" t="s">
        <v>382</v>
      </c>
      <c r="C470" s="39" t="s">
        <v>17</v>
      </c>
      <c r="D470" s="236"/>
      <c r="E470" s="236"/>
      <c r="F470" s="236"/>
      <c r="G470" s="236"/>
      <c r="H470" s="40">
        <f>SUM(Tabla132112419[[#This Row],[PRIMER TRIMESTRE]:[CUARTO TRIMESTRE]])</f>
        <v>0</v>
      </c>
      <c r="I470" s="17">
        <v>6410</v>
      </c>
      <c r="J470" s="17">
        <f t="shared" si="11"/>
        <v>0</v>
      </c>
      <c r="K470" s="17"/>
      <c r="L470" s="16" t="s">
        <v>18</v>
      </c>
      <c r="M470" s="16" t="s">
        <v>22</v>
      </c>
      <c r="N470" s="39"/>
    </row>
    <row r="471" spans="1:14" s="12" customFormat="1" ht="18">
      <c r="A471" s="178" t="s">
        <v>80</v>
      </c>
      <c r="B471" s="75" t="s">
        <v>383</v>
      </c>
      <c r="C471" s="39" t="s">
        <v>17</v>
      </c>
      <c r="D471" s="236"/>
      <c r="E471" s="236"/>
      <c r="F471" s="236"/>
      <c r="G471" s="236"/>
      <c r="H471" s="40">
        <f>SUM(Tabla132112419[[#This Row],[PRIMER TRIMESTRE]:[CUARTO TRIMESTRE]])</f>
        <v>0</v>
      </c>
      <c r="I471" s="17">
        <v>10255.09</v>
      </c>
      <c r="J471" s="17">
        <f t="shared" si="11"/>
        <v>0</v>
      </c>
      <c r="K471" s="17"/>
      <c r="L471" s="16" t="s">
        <v>18</v>
      </c>
      <c r="M471" s="16" t="s">
        <v>22</v>
      </c>
      <c r="N471" s="39"/>
    </row>
    <row r="472" spans="1:14" s="12" customFormat="1" ht="18">
      <c r="A472" s="178" t="s">
        <v>80</v>
      </c>
      <c r="B472" s="75" t="s">
        <v>384</v>
      </c>
      <c r="C472" s="39" t="s">
        <v>17</v>
      </c>
      <c r="D472" s="236"/>
      <c r="E472" s="236"/>
      <c r="F472" s="236"/>
      <c r="G472" s="236"/>
      <c r="H472" s="40">
        <f>SUM(Tabla132112419[[#This Row],[PRIMER TRIMESTRE]:[CUARTO TRIMESTRE]])</f>
        <v>0</v>
      </c>
      <c r="I472" s="17">
        <v>14777.68</v>
      </c>
      <c r="J472" s="17">
        <f t="shared" si="11"/>
        <v>0</v>
      </c>
      <c r="K472" s="17"/>
      <c r="L472" s="16" t="s">
        <v>18</v>
      </c>
      <c r="M472" s="16" t="s">
        <v>22</v>
      </c>
      <c r="N472" s="39"/>
    </row>
    <row r="473" spans="1:14" s="12" customFormat="1" ht="18">
      <c r="A473" s="178" t="s">
        <v>80</v>
      </c>
      <c r="B473" s="75" t="s">
        <v>385</v>
      </c>
      <c r="C473" s="39" t="s">
        <v>17</v>
      </c>
      <c r="D473" s="236"/>
      <c r="E473" s="236"/>
      <c r="F473" s="236"/>
      <c r="G473" s="236"/>
      <c r="H473" s="40">
        <f>SUM(Tabla132112419[[#This Row],[PRIMER TRIMESTRE]:[CUARTO TRIMESTRE]])</f>
        <v>0</v>
      </c>
      <c r="I473" s="17">
        <v>24012.400000000001</v>
      </c>
      <c r="J473" s="17">
        <f t="shared" si="11"/>
        <v>0</v>
      </c>
      <c r="K473" s="17"/>
      <c r="L473" s="16" t="s">
        <v>18</v>
      </c>
      <c r="M473" s="16" t="s">
        <v>22</v>
      </c>
      <c r="N473" s="39"/>
    </row>
    <row r="474" spans="1:14" s="12" customFormat="1" ht="18">
      <c r="A474" s="178" t="s">
        <v>80</v>
      </c>
      <c r="B474" s="75" t="s">
        <v>386</v>
      </c>
      <c r="C474" s="39" t="s">
        <v>17</v>
      </c>
      <c r="D474" s="236"/>
      <c r="E474" s="236"/>
      <c r="F474" s="236"/>
      <c r="G474" s="236"/>
      <c r="H474" s="40">
        <f>SUM(Tabla132112419[[#This Row],[PRIMER TRIMESTRE]:[CUARTO TRIMESTRE]])</f>
        <v>0</v>
      </c>
      <c r="I474" s="17">
        <v>37525.1</v>
      </c>
      <c r="J474" s="17">
        <f t="shared" si="11"/>
        <v>0</v>
      </c>
      <c r="K474" s="17"/>
      <c r="L474" s="16" t="s">
        <v>18</v>
      </c>
      <c r="M474" s="16" t="s">
        <v>22</v>
      </c>
      <c r="N474" s="39"/>
    </row>
    <row r="475" spans="1:14" s="12" customFormat="1" ht="18">
      <c r="A475" s="178" t="s">
        <v>80</v>
      </c>
      <c r="B475" s="75" t="s">
        <v>800</v>
      </c>
      <c r="C475" s="39" t="s">
        <v>17</v>
      </c>
      <c r="D475" s="239"/>
      <c r="E475" s="239"/>
      <c r="F475" s="239"/>
      <c r="G475" s="236"/>
      <c r="H475" s="40">
        <f>SUM(Tabla132112419[[#This Row],[PRIMER TRIMESTRE]:[CUARTO TRIMESTRE]])</f>
        <v>0</v>
      </c>
      <c r="I475" s="17">
        <v>4500</v>
      </c>
      <c r="J475" s="17">
        <f t="shared" si="11"/>
        <v>0</v>
      </c>
      <c r="K475" s="17"/>
      <c r="L475" s="16" t="s">
        <v>18</v>
      </c>
      <c r="M475" s="16" t="s">
        <v>22</v>
      </c>
      <c r="N475" s="39"/>
    </row>
    <row r="476" spans="1:14" s="12" customFormat="1" ht="18">
      <c r="A476" s="178" t="s">
        <v>80</v>
      </c>
      <c r="B476" s="75" t="s">
        <v>713</v>
      </c>
      <c r="C476" s="39" t="s">
        <v>17</v>
      </c>
      <c r="D476" s="236"/>
      <c r="E476" s="236"/>
      <c r="F476" s="236"/>
      <c r="G476" s="236"/>
      <c r="H476" s="40">
        <f>SUM(Tabla132112419[[#This Row],[PRIMER TRIMESTRE]:[CUARTO TRIMESTRE]])</f>
        <v>0</v>
      </c>
      <c r="I476" s="72">
        <v>6000</v>
      </c>
      <c r="J476" s="17">
        <f t="shared" si="11"/>
        <v>0</v>
      </c>
      <c r="K476" s="17"/>
      <c r="L476" s="16" t="s">
        <v>18</v>
      </c>
      <c r="M476" s="16" t="s">
        <v>22</v>
      </c>
      <c r="N476" s="39"/>
    </row>
    <row r="477" spans="1:14" s="12" customFormat="1" ht="18">
      <c r="A477" s="178" t="s">
        <v>80</v>
      </c>
      <c r="B477" s="75" t="s">
        <v>712</v>
      </c>
      <c r="C477" s="39" t="s">
        <v>17</v>
      </c>
      <c r="D477" s="236"/>
      <c r="E477" s="236"/>
      <c r="F477" s="236"/>
      <c r="G477" s="236"/>
      <c r="H477" s="40">
        <f>SUM(Tabla132112419[[#This Row],[PRIMER TRIMESTRE]:[CUARTO TRIMESTRE]])</f>
        <v>0</v>
      </c>
      <c r="I477" s="17">
        <v>15544</v>
      </c>
      <c r="J477" s="17">
        <f t="shared" si="11"/>
        <v>0</v>
      </c>
      <c r="K477" s="17"/>
      <c r="L477" s="16" t="s">
        <v>18</v>
      </c>
      <c r="M477" s="16" t="s">
        <v>22</v>
      </c>
      <c r="N477" s="39"/>
    </row>
    <row r="478" spans="1:14" s="12" customFormat="1" ht="18">
      <c r="A478" s="178" t="s">
        <v>80</v>
      </c>
      <c r="B478" s="75" t="s">
        <v>711</v>
      </c>
      <c r="C478" s="39" t="s">
        <v>17</v>
      </c>
      <c r="D478" s="236"/>
      <c r="E478" s="236"/>
      <c r="F478" s="236"/>
      <c r="G478" s="236"/>
      <c r="H478" s="40">
        <f>SUM(Tabla132112419[[#This Row],[PRIMER TRIMESTRE]:[CUARTO TRIMESTRE]])</f>
        <v>0</v>
      </c>
      <c r="I478" s="72">
        <v>20650.03</v>
      </c>
      <c r="J478" s="17">
        <f t="shared" si="11"/>
        <v>0</v>
      </c>
      <c r="K478" s="17"/>
      <c r="L478" s="16" t="s">
        <v>18</v>
      </c>
      <c r="M478" s="16" t="s">
        <v>22</v>
      </c>
      <c r="N478" s="39"/>
    </row>
    <row r="479" spans="1:14" s="12" customFormat="1" ht="18">
      <c r="A479" s="178" t="s">
        <v>80</v>
      </c>
      <c r="B479" s="75" t="s">
        <v>710</v>
      </c>
      <c r="C479" s="39" t="s">
        <v>17</v>
      </c>
      <c r="D479" s="236"/>
      <c r="E479" s="236"/>
      <c r="F479" s="236"/>
      <c r="G479" s="236"/>
      <c r="H479" s="40">
        <f>SUM(Tabla132112419[[#This Row],[PRIMER TRIMESTRE]:[CUARTO TRIMESTRE]])</f>
        <v>0</v>
      </c>
      <c r="I479" s="17">
        <v>39221.919999999998</v>
      </c>
      <c r="J479" s="17">
        <f t="shared" si="11"/>
        <v>0</v>
      </c>
      <c r="K479" s="17"/>
      <c r="L479" s="16" t="s">
        <v>18</v>
      </c>
      <c r="M479" s="16" t="s">
        <v>22</v>
      </c>
      <c r="N479" s="39"/>
    </row>
    <row r="480" spans="1:14" s="12" customFormat="1" ht="18">
      <c r="A480" s="178" t="s">
        <v>80</v>
      </c>
      <c r="B480" s="75" t="s">
        <v>709</v>
      </c>
      <c r="C480" s="39" t="s">
        <v>17</v>
      </c>
      <c r="D480" s="236"/>
      <c r="E480" s="236"/>
      <c r="F480" s="236"/>
      <c r="G480" s="236"/>
      <c r="H480" s="40">
        <f>SUM(Tabla132112419[[#This Row],[PRIMER TRIMESTRE]:[CUARTO TRIMESTRE]])</f>
        <v>0</v>
      </c>
      <c r="I480" s="72">
        <f>17500*1.18</f>
        <v>20650</v>
      </c>
      <c r="J480" s="17">
        <f t="shared" si="11"/>
        <v>0</v>
      </c>
      <c r="K480" s="17"/>
      <c r="L480" s="16" t="s">
        <v>18</v>
      </c>
      <c r="M480" s="16" t="s">
        <v>22</v>
      </c>
      <c r="N480" s="39"/>
    </row>
    <row r="481" spans="1:14" s="12" customFormat="1" ht="18">
      <c r="A481" s="178" t="s">
        <v>80</v>
      </c>
      <c r="B481" s="75" t="s">
        <v>708</v>
      </c>
      <c r="C481" s="39" t="s">
        <v>17</v>
      </c>
      <c r="D481" s="236"/>
      <c r="E481" s="236"/>
      <c r="F481" s="236"/>
      <c r="G481" s="236"/>
      <c r="H481" s="40">
        <f>SUM(Tabla132112419[[#This Row],[PRIMER TRIMESTRE]:[CUARTO TRIMESTRE]])</f>
        <v>0</v>
      </c>
      <c r="I481" s="72">
        <f>25175*1.18</f>
        <v>29706.5</v>
      </c>
      <c r="J481" s="17">
        <f t="shared" si="11"/>
        <v>0</v>
      </c>
      <c r="K481" s="17"/>
      <c r="L481" s="16" t="s">
        <v>18</v>
      </c>
      <c r="M481" s="16" t="s">
        <v>22</v>
      </c>
      <c r="N481" s="39"/>
    </row>
    <row r="482" spans="1:14" s="12" customFormat="1" ht="18">
      <c r="A482" s="178" t="s">
        <v>80</v>
      </c>
      <c r="B482" s="75" t="s">
        <v>707</v>
      </c>
      <c r="C482" s="39" t="s">
        <v>17</v>
      </c>
      <c r="D482" s="236"/>
      <c r="E482" s="236"/>
      <c r="F482" s="236"/>
      <c r="G482" s="236"/>
      <c r="H482" s="40">
        <f>SUM(Tabla132112419[[#This Row],[PRIMER TRIMESTRE]:[CUARTO TRIMESTRE]])</f>
        <v>0</v>
      </c>
      <c r="I482" s="17">
        <f>34500*1.18</f>
        <v>40710</v>
      </c>
      <c r="J482" s="17">
        <f t="shared" si="11"/>
        <v>0</v>
      </c>
      <c r="K482" s="17"/>
      <c r="L482" s="16" t="s">
        <v>18</v>
      </c>
      <c r="M482" s="16" t="s">
        <v>22</v>
      </c>
      <c r="N482" s="39"/>
    </row>
    <row r="483" spans="1:14" s="12" customFormat="1" ht="18">
      <c r="A483" s="178" t="s">
        <v>80</v>
      </c>
      <c r="B483" s="75" t="s">
        <v>706</v>
      </c>
      <c r="C483" s="39" t="s">
        <v>17</v>
      </c>
      <c r="D483" s="236"/>
      <c r="E483" s="236"/>
      <c r="F483" s="236"/>
      <c r="G483" s="236"/>
      <c r="H483" s="40">
        <f>SUM(Tabla132112419[[#This Row],[PRIMER TRIMESTRE]:[CUARTO TRIMESTRE]])</f>
        <v>0</v>
      </c>
      <c r="I483" s="72">
        <v>51330</v>
      </c>
      <c r="J483" s="17">
        <f t="shared" si="11"/>
        <v>0</v>
      </c>
      <c r="K483" s="17"/>
      <c r="L483" s="16" t="s">
        <v>18</v>
      </c>
      <c r="M483" s="16" t="s">
        <v>22</v>
      </c>
      <c r="N483" s="39"/>
    </row>
    <row r="484" spans="1:14" s="12" customFormat="1" ht="18">
      <c r="A484" s="178" t="s">
        <v>80</v>
      </c>
      <c r="B484" s="75" t="s">
        <v>705</v>
      </c>
      <c r="C484" s="39" t="s">
        <v>17</v>
      </c>
      <c r="D484" s="236"/>
      <c r="E484" s="236"/>
      <c r="F484" s="236"/>
      <c r="G484" s="236"/>
      <c r="H484" s="40">
        <f>SUM(Tabla132112419[[#This Row],[PRIMER TRIMESTRE]:[CUARTO TRIMESTRE]])</f>
        <v>0</v>
      </c>
      <c r="I484" s="72">
        <v>61360</v>
      </c>
      <c r="J484" s="17">
        <f t="shared" si="11"/>
        <v>0</v>
      </c>
      <c r="K484" s="17"/>
      <c r="L484" s="16" t="s">
        <v>18</v>
      </c>
      <c r="M484" s="16" t="s">
        <v>22</v>
      </c>
      <c r="N484" s="39"/>
    </row>
    <row r="485" spans="1:14" s="12" customFormat="1" ht="18">
      <c r="A485" s="178" t="s">
        <v>80</v>
      </c>
      <c r="B485" s="75" t="s">
        <v>1687</v>
      </c>
      <c r="C485" s="39" t="s">
        <v>17</v>
      </c>
      <c r="D485" s="236"/>
      <c r="E485" s="236"/>
      <c r="F485" s="236"/>
      <c r="G485" s="236"/>
      <c r="H485" s="40">
        <v>0</v>
      </c>
      <c r="I485" s="72">
        <v>0</v>
      </c>
      <c r="J485" s="17">
        <v>0</v>
      </c>
      <c r="K485" s="17"/>
      <c r="L485" s="16" t="s">
        <v>18</v>
      </c>
      <c r="M485" s="16" t="s">
        <v>22</v>
      </c>
      <c r="N485" s="39"/>
    </row>
    <row r="486" spans="1:14" s="12" customFormat="1" ht="18">
      <c r="A486" s="178" t="s">
        <v>80</v>
      </c>
      <c r="B486" s="75" t="s">
        <v>1528</v>
      </c>
      <c r="C486" s="39" t="s">
        <v>17</v>
      </c>
      <c r="D486" s="236"/>
      <c r="E486" s="236"/>
      <c r="F486" s="236"/>
      <c r="G486" s="236"/>
      <c r="H486" s="236">
        <f>SUM(Tabla132112419[[#This Row],[PRIMER TRIMESTRE]:[CUARTO TRIMESTRE]])</f>
        <v>0</v>
      </c>
      <c r="I486" s="72">
        <v>4973.5</v>
      </c>
      <c r="J486" s="72">
        <f t="shared" ref="J486:J549" si="12">+H486*I486</f>
        <v>0</v>
      </c>
      <c r="K486" s="17"/>
      <c r="L486" s="16" t="s">
        <v>18</v>
      </c>
      <c r="M486" s="16" t="s">
        <v>22</v>
      </c>
      <c r="N486" s="39"/>
    </row>
    <row r="487" spans="1:14" s="12" customFormat="1" ht="18">
      <c r="A487" s="178" t="s">
        <v>80</v>
      </c>
      <c r="B487" s="75" t="s">
        <v>1722</v>
      </c>
      <c r="C487" s="39" t="s">
        <v>17</v>
      </c>
      <c r="D487" s="236"/>
      <c r="E487" s="236"/>
      <c r="F487" s="236"/>
      <c r="G487" s="236"/>
      <c r="H487" s="40">
        <v>0</v>
      </c>
      <c r="I487" s="72">
        <v>0</v>
      </c>
      <c r="J487" s="72">
        <v>0</v>
      </c>
      <c r="K487" s="17"/>
      <c r="L487" s="16" t="s">
        <v>18</v>
      </c>
      <c r="M487" s="16" t="s">
        <v>22</v>
      </c>
      <c r="N487" s="39"/>
    </row>
    <row r="488" spans="1:14" s="12" customFormat="1" ht="18">
      <c r="A488" s="178" t="s">
        <v>80</v>
      </c>
      <c r="B488" s="75" t="s">
        <v>703</v>
      </c>
      <c r="C488" s="39" t="s">
        <v>17</v>
      </c>
      <c r="D488" s="236"/>
      <c r="E488" s="236"/>
      <c r="F488" s="236"/>
      <c r="G488" s="236"/>
      <c r="H488" s="40">
        <f>SUM(Tabla132112419[[#This Row],[PRIMER TRIMESTRE]:[CUARTO TRIMESTRE]])</f>
        <v>0</v>
      </c>
      <c r="I488" s="72">
        <v>1926.1</v>
      </c>
      <c r="J488" s="17">
        <f t="shared" si="12"/>
        <v>0</v>
      </c>
      <c r="K488" s="17"/>
      <c r="L488" s="16" t="s">
        <v>18</v>
      </c>
      <c r="M488" s="16" t="s">
        <v>22</v>
      </c>
      <c r="N488" s="39"/>
    </row>
    <row r="489" spans="1:14" s="12" customFormat="1" ht="18">
      <c r="A489" s="178" t="s">
        <v>80</v>
      </c>
      <c r="B489" s="75" t="s">
        <v>704</v>
      </c>
      <c r="C489" s="39" t="s">
        <v>17</v>
      </c>
      <c r="D489" s="236"/>
      <c r="E489" s="236"/>
      <c r="F489" s="236"/>
      <c r="G489" s="236"/>
      <c r="H489" s="40">
        <f>SUM(Tabla132112419[[#This Row],[PRIMER TRIMESTRE]:[CUARTO TRIMESTRE]])</f>
        <v>0</v>
      </c>
      <c r="I489" s="72">
        <v>3940</v>
      </c>
      <c r="J489" s="17">
        <f t="shared" si="12"/>
        <v>0</v>
      </c>
      <c r="K489" s="17"/>
      <c r="L489" s="16" t="s">
        <v>18</v>
      </c>
      <c r="M489" s="16" t="s">
        <v>22</v>
      </c>
      <c r="N489" s="39"/>
    </row>
    <row r="490" spans="1:14" s="12" customFormat="1" ht="18">
      <c r="A490" s="178" t="s">
        <v>80</v>
      </c>
      <c r="B490" s="75" t="s">
        <v>1216</v>
      </c>
      <c r="C490" s="39" t="s">
        <v>17</v>
      </c>
      <c r="D490" s="236"/>
      <c r="E490" s="236"/>
      <c r="F490" s="236"/>
      <c r="G490" s="236"/>
      <c r="H490" s="40">
        <f>SUM(Tabla132112419[[#This Row],[PRIMER TRIMESTRE]:[CUARTO TRIMESTRE]])</f>
        <v>0</v>
      </c>
      <c r="I490" s="175">
        <v>3940</v>
      </c>
      <c r="J490" s="17">
        <f t="shared" si="12"/>
        <v>0</v>
      </c>
      <c r="K490" s="17"/>
      <c r="L490" s="16" t="s">
        <v>18</v>
      </c>
      <c r="M490" s="16" t="s">
        <v>22</v>
      </c>
      <c r="N490" s="39"/>
    </row>
    <row r="491" spans="1:14" s="12" customFormat="1" ht="18">
      <c r="A491" s="178" t="s">
        <v>80</v>
      </c>
      <c r="B491" s="75" t="s">
        <v>1215</v>
      </c>
      <c r="C491" s="39" t="s">
        <v>17</v>
      </c>
      <c r="D491" s="236"/>
      <c r="E491" s="236"/>
      <c r="F491" s="236"/>
      <c r="G491" s="236"/>
      <c r="H491" s="40">
        <f>SUM(Tabla132112419[[#This Row],[PRIMER TRIMESTRE]:[CUARTO TRIMESTRE]])</f>
        <v>0</v>
      </c>
      <c r="I491" s="72">
        <v>3940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</row>
    <row r="492" spans="1:14" s="12" customFormat="1" ht="18">
      <c r="A492" s="178" t="s">
        <v>80</v>
      </c>
      <c r="B492" s="75" t="s">
        <v>1620</v>
      </c>
      <c r="C492" s="39" t="s">
        <v>17</v>
      </c>
      <c r="D492" s="236"/>
      <c r="E492" s="236"/>
      <c r="F492" s="236"/>
      <c r="G492" s="236"/>
      <c r="H492" s="40">
        <f>SUM(Tabla132112419[[#This Row],[PRIMER TRIMESTRE]:[CUARTO TRIMESTRE]])</f>
        <v>0</v>
      </c>
      <c r="I492" s="72">
        <v>4973.5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</row>
    <row r="493" spans="1:14" s="12" customFormat="1" ht="18">
      <c r="A493" s="178" t="s">
        <v>80</v>
      </c>
      <c r="B493" s="75" t="s">
        <v>1850</v>
      </c>
      <c r="C493" s="39" t="s">
        <v>17</v>
      </c>
      <c r="D493" s="236"/>
      <c r="E493" s="236"/>
      <c r="F493" s="236"/>
      <c r="G493" s="236"/>
      <c r="H493" s="40">
        <v>0</v>
      </c>
      <c r="I493" s="72">
        <v>0</v>
      </c>
      <c r="J493" s="17">
        <v>0</v>
      </c>
      <c r="K493" s="17"/>
      <c r="L493" s="16" t="s">
        <v>18</v>
      </c>
      <c r="M493" s="16" t="s">
        <v>22</v>
      </c>
      <c r="N493" s="39"/>
    </row>
    <row r="494" spans="1:14" s="12" customFormat="1" ht="18">
      <c r="A494" s="178" t="s">
        <v>80</v>
      </c>
      <c r="B494" s="75" t="s">
        <v>1529</v>
      </c>
      <c r="C494" s="39" t="s">
        <v>17</v>
      </c>
      <c r="D494" s="236"/>
      <c r="E494" s="236"/>
      <c r="F494" s="236"/>
      <c r="G494" s="236"/>
      <c r="H494" s="236">
        <f>SUM(Tabla132112419[[#This Row],[PRIMER TRIMESTRE]:[CUARTO TRIMESTRE]])</f>
        <v>0</v>
      </c>
      <c r="I494" s="72">
        <v>4.57</v>
      </c>
      <c r="J494" s="17">
        <f t="shared" si="12"/>
        <v>0</v>
      </c>
      <c r="K494" s="17"/>
      <c r="L494" s="16" t="s">
        <v>18</v>
      </c>
      <c r="M494" s="16" t="s">
        <v>22</v>
      </c>
      <c r="N494" s="39"/>
    </row>
    <row r="495" spans="1:14" s="12" customFormat="1" ht="18">
      <c r="A495" s="178" t="s">
        <v>80</v>
      </c>
      <c r="B495" s="75" t="s">
        <v>1569</v>
      </c>
      <c r="C495" s="39" t="s">
        <v>17</v>
      </c>
      <c r="D495" s="236"/>
      <c r="E495" s="236"/>
      <c r="F495" s="236"/>
      <c r="G495" s="236"/>
      <c r="H495" s="236">
        <f>SUM(Tabla132112419[[#This Row],[PRIMER TRIMESTRE]:[CUARTO TRIMESTRE]])</f>
        <v>0</v>
      </c>
      <c r="I495" s="72">
        <v>85.92</v>
      </c>
      <c r="J495" s="17">
        <f t="shared" si="12"/>
        <v>0</v>
      </c>
      <c r="K495" s="17"/>
      <c r="L495" s="16" t="s">
        <v>18</v>
      </c>
      <c r="M495" s="16" t="s">
        <v>22</v>
      </c>
      <c r="N495" s="39"/>
    </row>
    <row r="496" spans="1:14" s="12" customFormat="1" ht="18">
      <c r="A496" s="178" t="s">
        <v>80</v>
      </c>
      <c r="B496" s="75" t="s">
        <v>1568</v>
      </c>
      <c r="C496" s="39" t="s">
        <v>17</v>
      </c>
      <c r="D496" s="236"/>
      <c r="E496" s="236"/>
      <c r="F496" s="236"/>
      <c r="G496" s="236"/>
      <c r="H496" s="236">
        <f>SUM(Tabla132112419[[#This Row],[PRIMER TRIMESTRE]:[CUARTO TRIMESTRE]])</f>
        <v>0</v>
      </c>
      <c r="I496" s="72">
        <v>26.5</v>
      </c>
      <c r="J496" s="17">
        <f t="shared" si="12"/>
        <v>0</v>
      </c>
      <c r="K496" s="17"/>
      <c r="L496" s="16" t="s">
        <v>18</v>
      </c>
      <c r="M496" s="16" t="s">
        <v>22</v>
      </c>
      <c r="N496" s="39"/>
    </row>
    <row r="497" spans="1:14" s="12" customFormat="1" ht="18">
      <c r="A497" s="178" t="s">
        <v>80</v>
      </c>
      <c r="B497" s="75" t="s">
        <v>1530</v>
      </c>
      <c r="C497" s="39" t="s">
        <v>17</v>
      </c>
      <c r="D497" s="236"/>
      <c r="E497" s="236"/>
      <c r="F497" s="236"/>
      <c r="G497" s="236"/>
      <c r="H497" s="236">
        <f>SUM(Tabla132112419[[#This Row],[PRIMER TRIMESTRE]:[CUARTO TRIMESTRE]])</f>
        <v>0</v>
      </c>
      <c r="I497" s="72">
        <v>6.07</v>
      </c>
      <c r="J497" s="17">
        <f t="shared" si="12"/>
        <v>0</v>
      </c>
      <c r="K497" s="17"/>
      <c r="L497" s="16" t="s">
        <v>18</v>
      </c>
      <c r="M497" s="16" t="s">
        <v>22</v>
      </c>
      <c r="N497" s="39"/>
    </row>
    <row r="498" spans="1:14" s="12" customFormat="1" ht="18">
      <c r="A498" s="178" t="s">
        <v>80</v>
      </c>
      <c r="B498" s="75" t="s">
        <v>387</v>
      </c>
      <c r="C498" s="39" t="s">
        <v>17</v>
      </c>
      <c r="D498" s="236"/>
      <c r="E498" s="236"/>
      <c r="F498" s="236"/>
      <c r="G498" s="236"/>
      <c r="H498" s="40">
        <f>SUM(Tabla132112419[[#This Row],[PRIMER TRIMESTRE]:[CUARTO TRIMESTRE]])</f>
        <v>0</v>
      </c>
      <c r="I498" s="17">
        <v>4.1100000000000003</v>
      </c>
      <c r="J498" s="17">
        <f t="shared" si="12"/>
        <v>0</v>
      </c>
      <c r="K498" s="17"/>
      <c r="L498" s="16" t="s">
        <v>18</v>
      </c>
      <c r="M498" s="16" t="s">
        <v>22</v>
      </c>
      <c r="N498" s="39"/>
    </row>
    <row r="499" spans="1:14" s="12" customFormat="1" ht="18">
      <c r="A499" s="178" t="s">
        <v>80</v>
      </c>
      <c r="B499" s="75" t="s">
        <v>388</v>
      </c>
      <c r="C499" s="39" t="s">
        <v>17</v>
      </c>
      <c r="D499" s="236"/>
      <c r="E499" s="236"/>
      <c r="F499" s="236"/>
      <c r="G499" s="236"/>
      <c r="H499" s="40">
        <f>SUM(Tabla132112419[[#This Row],[PRIMER TRIMESTRE]:[CUARTO TRIMESTRE]])</f>
        <v>0</v>
      </c>
      <c r="I499" s="17">
        <v>5.25</v>
      </c>
      <c r="J499" s="17">
        <f t="shared" si="12"/>
        <v>0</v>
      </c>
      <c r="K499" s="17"/>
      <c r="L499" s="16" t="s">
        <v>18</v>
      </c>
      <c r="M499" s="16" t="s">
        <v>22</v>
      </c>
      <c r="N499" s="39"/>
    </row>
    <row r="500" spans="1:14" s="12" customFormat="1" ht="18">
      <c r="A500" s="178" t="s">
        <v>80</v>
      </c>
      <c r="B500" s="75" t="s">
        <v>1567</v>
      </c>
      <c r="C500" s="39" t="s">
        <v>17</v>
      </c>
      <c r="D500" s="236"/>
      <c r="E500" s="236"/>
      <c r="F500" s="236"/>
      <c r="G500" s="236"/>
      <c r="H500" s="236">
        <f>SUM(Tabla132112419[[#This Row],[PRIMER TRIMESTRE]:[CUARTO TRIMESTRE]])</f>
        <v>0</v>
      </c>
      <c r="I500" s="17">
        <v>15</v>
      </c>
      <c r="J500" s="17">
        <f t="shared" si="12"/>
        <v>0</v>
      </c>
      <c r="K500" s="17"/>
      <c r="L500" s="16" t="s">
        <v>18</v>
      </c>
      <c r="M500" s="16" t="s">
        <v>22</v>
      </c>
      <c r="N500" s="39"/>
    </row>
    <row r="501" spans="1:14" s="12" customFormat="1" ht="18">
      <c r="A501" s="178" t="s">
        <v>80</v>
      </c>
      <c r="B501" s="75" t="s">
        <v>389</v>
      </c>
      <c r="C501" s="39" t="s">
        <v>17</v>
      </c>
      <c r="D501" s="236"/>
      <c r="E501" s="236"/>
      <c r="F501" s="236"/>
      <c r="G501" s="236"/>
      <c r="H501" s="40">
        <f>SUM(Tabla132112419[[#This Row],[PRIMER TRIMESTRE]:[CUARTO TRIMESTRE]])</f>
        <v>0</v>
      </c>
      <c r="I501" s="17">
        <v>11</v>
      </c>
      <c r="J501" s="17">
        <f t="shared" si="12"/>
        <v>0</v>
      </c>
      <c r="K501" s="17"/>
      <c r="L501" s="16" t="s">
        <v>18</v>
      </c>
      <c r="M501" s="16" t="s">
        <v>22</v>
      </c>
      <c r="N501" s="39"/>
    </row>
    <row r="502" spans="1:14" s="12" customFormat="1" ht="18">
      <c r="A502" s="178" t="s">
        <v>80</v>
      </c>
      <c r="B502" s="75" t="s">
        <v>1851</v>
      </c>
      <c r="C502" s="39" t="s">
        <v>17</v>
      </c>
      <c r="D502" s="236"/>
      <c r="E502" s="236"/>
      <c r="F502" s="236"/>
      <c r="G502" s="236"/>
      <c r="H502" s="40">
        <v>0</v>
      </c>
      <c r="I502" s="17">
        <v>0</v>
      </c>
      <c r="J502" s="17">
        <v>0</v>
      </c>
      <c r="K502" s="17"/>
      <c r="L502" s="16" t="s">
        <v>18</v>
      </c>
      <c r="M502" s="16" t="s">
        <v>22</v>
      </c>
      <c r="N502" s="39"/>
    </row>
    <row r="503" spans="1:14" s="12" customFormat="1" ht="25.5">
      <c r="A503" s="178" t="s">
        <v>80</v>
      </c>
      <c r="B503" s="75" t="s">
        <v>1716</v>
      </c>
      <c r="C503" s="39" t="s">
        <v>17</v>
      </c>
      <c r="D503" s="236"/>
      <c r="E503" s="236"/>
      <c r="F503" s="236"/>
      <c r="G503" s="236"/>
      <c r="H503" s="40">
        <v>0</v>
      </c>
      <c r="I503" s="17">
        <v>0</v>
      </c>
      <c r="J503" s="17">
        <v>0</v>
      </c>
      <c r="K503" s="17"/>
      <c r="L503" s="16" t="s">
        <v>18</v>
      </c>
      <c r="M503" s="16" t="s">
        <v>22</v>
      </c>
      <c r="N503" s="39"/>
    </row>
    <row r="504" spans="1:14" s="12" customFormat="1" ht="18">
      <c r="A504" s="178" t="s">
        <v>80</v>
      </c>
      <c r="B504" s="75" t="s">
        <v>1621</v>
      </c>
      <c r="C504" s="39" t="s">
        <v>17</v>
      </c>
      <c r="D504" s="236"/>
      <c r="E504" s="236"/>
      <c r="F504" s="236"/>
      <c r="G504" s="236"/>
      <c r="H504" s="236">
        <f>SUM(Tabla132112419[[#This Row],[PRIMER TRIMESTRE]:[CUARTO TRIMESTRE]])</f>
        <v>0</v>
      </c>
      <c r="I504" s="17">
        <v>6790</v>
      </c>
      <c r="J504" s="17">
        <f t="shared" si="12"/>
        <v>0</v>
      </c>
      <c r="K504" s="17"/>
      <c r="L504" s="16" t="s">
        <v>18</v>
      </c>
      <c r="M504" s="16" t="s">
        <v>22</v>
      </c>
      <c r="N504" s="39"/>
    </row>
    <row r="505" spans="1:14" s="12" customFormat="1" ht="18">
      <c r="A505" s="178" t="s">
        <v>80</v>
      </c>
      <c r="B505" s="75" t="s">
        <v>1482</v>
      </c>
      <c r="C505" s="39" t="s">
        <v>17</v>
      </c>
      <c r="D505" s="236"/>
      <c r="E505" s="236"/>
      <c r="F505" s="236"/>
      <c r="G505" s="236"/>
      <c r="H505" s="236">
        <f>SUM(Tabla132112419[[#This Row],[PRIMER TRIMESTRE]:[CUARTO TRIMESTRE]])</f>
        <v>0</v>
      </c>
      <c r="I505" s="17">
        <v>12500</v>
      </c>
      <c r="J505" s="17">
        <f t="shared" si="12"/>
        <v>0</v>
      </c>
      <c r="K505" s="17"/>
      <c r="L505" s="16" t="s">
        <v>18</v>
      </c>
      <c r="M505" s="16" t="s">
        <v>22</v>
      </c>
      <c r="N505" s="39"/>
    </row>
    <row r="506" spans="1:14" s="12" customFormat="1" ht="18">
      <c r="A506" s="178" t="s">
        <v>80</v>
      </c>
      <c r="B506" s="75" t="s">
        <v>1483</v>
      </c>
      <c r="C506" s="39" t="s">
        <v>17</v>
      </c>
      <c r="D506" s="236"/>
      <c r="E506" s="236"/>
      <c r="F506" s="236"/>
      <c r="G506" s="236"/>
      <c r="H506" s="236">
        <f>SUM(Tabla132112419[[#This Row],[PRIMER TRIMESTRE]:[CUARTO TRIMESTRE]])</f>
        <v>0</v>
      </c>
      <c r="I506" s="17">
        <v>11430</v>
      </c>
      <c r="J506" s="17">
        <f t="shared" si="12"/>
        <v>0</v>
      </c>
      <c r="K506" s="17"/>
      <c r="L506" s="16" t="s">
        <v>18</v>
      </c>
      <c r="M506" s="16" t="s">
        <v>22</v>
      </c>
      <c r="N506" s="39"/>
    </row>
    <row r="507" spans="1:14" s="12" customFormat="1" ht="25.5">
      <c r="A507" s="178" t="s">
        <v>80</v>
      </c>
      <c r="B507" s="75" t="s">
        <v>1484</v>
      </c>
      <c r="C507" s="39" t="s">
        <v>17</v>
      </c>
      <c r="D507" s="236"/>
      <c r="E507" s="236"/>
      <c r="F507" s="236"/>
      <c r="G507" s="236"/>
      <c r="H507" s="236">
        <f>SUM(Tabla132112419[[#This Row],[PRIMER TRIMESTRE]:[CUARTO TRIMESTRE]])</f>
        <v>0</v>
      </c>
      <c r="I507" s="17">
        <v>18242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</row>
    <row r="508" spans="1:14" s="12" customFormat="1" ht="25.5">
      <c r="A508" s="178" t="s">
        <v>80</v>
      </c>
      <c r="B508" s="75" t="s">
        <v>1485</v>
      </c>
      <c r="C508" s="39" t="s">
        <v>17</v>
      </c>
      <c r="D508" s="236"/>
      <c r="E508" s="236"/>
      <c r="F508" s="236"/>
      <c r="G508" s="236"/>
      <c r="H508" s="236">
        <f>SUM(Tabla132112419[[#This Row],[PRIMER TRIMESTRE]:[CUARTO TRIMESTRE]])</f>
        <v>0</v>
      </c>
      <c r="I508" s="17">
        <v>17900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</row>
    <row r="509" spans="1:14" s="12" customFormat="1" ht="18">
      <c r="A509" s="178" t="s">
        <v>80</v>
      </c>
      <c r="B509" s="75" t="s">
        <v>1486</v>
      </c>
      <c r="C509" s="39" t="s">
        <v>17</v>
      </c>
      <c r="D509" s="236"/>
      <c r="E509" s="236"/>
      <c r="F509" s="236"/>
      <c r="G509" s="236"/>
      <c r="H509" s="236">
        <f>SUM(Tabla132112419[[#This Row],[PRIMER TRIMESTRE]:[CUARTO TRIMESTRE]])</f>
        <v>0</v>
      </c>
      <c r="I509" s="17">
        <v>16800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</row>
    <row r="510" spans="1:14" s="12" customFormat="1" ht="25.5">
      <c r="A510" s="178" t="s">
        <v>80</v>
      </c>
      <c r="B510" s="75" t="s">
        <v>1487</v>
      </c>
      <c r="C510" s="39" t="s">
        <v>17</v>
      </c>
      <c r="D510" s="236"/>
      <c r="E510" s="236"/>
      <c r="F510" s="236"/>
      <c r="G510" s="236"/>
      <c r="H510" s="236">
        <f>SUM(Tabla132112419[[#This Row],[PRIMER TRIMESTRE]:[CUARTO TRIMESTRE]])</f>
        <v>0</v>
      </c>
      <c r="I510" s="17">
        <v>12500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</row>
    <row r="511" spans="1:14" s="12" customFormat="1" ht="25.5">
      <c r="A511" s="178" t="s">
        <v>80</v>
      </c>
      <c r="B511" s="75" t="s">
        <v>1488</v>
      </c>
      <c r="C511" s="39" t="s">
        <v>17</v>
      </c>
      <c r="D511" s="236"/>
      <c r="E511" s="236"/>
      <c r="F511" s="236"/>
      <c r="G511" s="236"/>
      <c r="H511" s="236">
        <f>SUM(Tabla132112419[[#This Row],[PRIMER TRIMESTRE]:[CUARTO TRIMESTRE]])</f>
        <v>0</v>
      </c>
      <c r="I511" s="17">
        <v>31500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</row>
    <row r="512" spans="1:14" s="12" customFormat="1" ht="25.5">
      <c r="A512" s="178" t="s">
        <v>1852</v>
      </c>
      <c r="B512" s="75" t="s">
        <v>1489</v>
      </c>
      <c r="C512" s="39" t="s">
        <v>17</v>
      </c>
      <c r="D512" s="236"/>
      <c r="E512" s="236"/>
      <c r="F512" s="236"/>
      <c r="G512" s="236"/>
      <c r="H512" s="40">
        <v>0</v>
      </c>
      <c r="I512" s="17">
        <v>0</v>
      </c>
      <c r="J512" s="17">
        <v>0</v>
      </c>
      <c r="K512" s="17"/>
      <c r="L512" s="16" t="s">
        <v>18</v>
      </c>
      <c r="M512" s="16" t="s">
        <v>22</v>
      </c>
      <c r="N512" s="39"/>
    </row>
    <row r="513" spans="1:14" s="12" customFormat="1" ht="25.5">
      <c r="A513" s="178" t="s">
        <v>80</v>
      </c>
      <c r="B513" s="75" t="s">
        <v>1489</v>
      </c>
      <c r="C513" s="39" t="s">
        <v>17</v>
      </c>
      <c r="D513" s="236"/>
      <c r="E513" s="236"/>
      <c r="F513" s="236"/>
      <c r="G513" s="236"/>
      <c r="H513" s="236">
        <f>SUM(Tabla132112419[[#This Row],[PRIMER TRIMESTRE]:[CUARTO TRIMESTRE]])</f>
        <v>0</v>
      </c>
      <c r="I513" s="17">
        <v>48500</v>
      </c>
      <c r="J513" s="17">
        <f t="shared" si="12"/>
        <v>0</v>
      </c>
      <c r="K513" s="17"/>
      <c r="L513" s="16" t="s">
        <v>18</v>
      </c>
      <c r="M513" s="16" t="s">
        <v>22</v>
      </c>
      <c r="N513" s="39"/>
    </row>
    <row r="514" spans="1:14" s="12" customFormat="1" ht="25.5">
      <c r="A514" s="178" t="s">
        <v>80</v>
      </c>
      <c r="B514" s="75" t="s">
        <v>1490</v>
      </c>
      <c r="C514" s="39" t="s">
        <v>17</v>
      </c>
      <c r="D514" s="236"/>
      <c r="E514" s="236"/>
      <c r="F514" s="236"/>
      <c r="G514" s="236"/>
      <c r="H514" s="236">
        <f>SUM(Tabla132112419[[#This Row],[PRIMER TRIMESTRE]:[CUARTO TRIMESTRE]])</f>
        <v>0</v>
      </c>
      <c r="I514" s="17">
        <v>22260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</row>
    <row r="515" spans="1:14" s="12" customFormat="1" ht="25.5">
      <c r="A515" s="178" t="s">
        <v>80</v>
      </c>
      <c r="B515" s="75" t="s">
        <v>1491</v>
      </c>
      <c r="C515" s="39" t="s">
        <v>17</v>
      </c>
      <c r="D515" s="236"/>
      <c r="E515" s="236"/>
      <c r="F515" s="236"/>
      <c r="G515" s="236"/>
      <c r="H515" s="236">
        <f>SUM(Tabla132112419[[#This Row],[PRIMER TRIMESTRE]:[CUARTO TRIMESTRE]])</f>
        <v>0</v>
      </c>
      <c r="I515" s="17">
        <v>25500</v>
      </c>
      <c r="J515" s="17">
        <f t="shared" si="12"/>
        <v>0</v>
      </c>
      <c r="K515" s="17"/>
      <c r="L515" s="16" t="s">
        <v>18</v>
      </c>
      <c r="M515" s="16" t="s">
        <v>22</v>
      </c>
      <c r="N515" s="39"/>
    </row>
    <row r="516" spans="1:14" s="12" customFormat="1" ht="25.5">
      <c r="A516" s="178" t="s">
        <v>80</v>
      </c>
      <c r="B516" s="75" t="s">
        <v>1492</v>
      </c>
      <c r="C516" s="39" t="s">
        <v>17</v>
      </c>
      <c r="D516" s="236"/>
      <c r="E516" s="236"/>
      <c r="F516" s="236"/>
      <c r="G516" s="236"/>
      <c r="H516" s="236">
        <f>SUM(Tabla132112419[[#This Row],[PRIMER TRIMESTRE]:[CUARTO TRIMESTRE]])</f>
        <v>0</v>
      </c>
      <c r="I516" s="17">
        <v>22600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</row>
    <row r="517" spans="1:14" s="12" customFormat="1" ht="25.5">
      <c r="A517" s="178" t="s">
        <v>80</v>
      </c>
      <c r="B517" s="75" t="s">
        <v>1493</v>
      </c>
      <c r="C517" s="39" t="s">
        <v>17</v>
      </c>
      <c r="D517" s="236"/>
      <c r="E517" s="236"/>
      <c r="F517" s="236"/>
      <c r="G517" s="236"/>
      <c r="H517" s="236">
        <f>SUM(Tabla132112419[[#This Row],[PRIMER TRIMESTRE]:[CUARTO TRIMESTRE]])</f>
        <v>0</v>
      </c>
      <c r="I517" s="17">
        <v>22350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</row>
    <row r="518" spans="1:14" s="12" customFormat="1" ht="38.25">
      <c r="A518" s="178" t="s">
        <v>80</v>
      </c>
      <c r="B518" s="75" t="s">
        <v>1494</v>
      </c>
      <c r="C518" s="39" t="s">
        <v>17</v>
      </c>
      <c r="D518" s="236"/>
      <c r="E518" s="236"/>
      <c r="F518" s="236"/>
      <c r="G518" s="236"/>
      <c r="H518" s="236">
        <f>SUM(Tabla132112419[[#This Row],[PRIMER TRIMESTRE]:[CUARTO TRIMESTRE]])</f>
        <v>0</v>
      </c>
      <c r="I518" s="17">
        <v>49500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</row>
    <row r="519" spans="1:14" s="12" customFormat="1" ht="38.25">
      <c r="A519" s="178" t="s">
        <v>80</v>
      </c>
      <c r="B519" s="75" t="s">
        <v>1495</v>
      </c>
      <c r="C519" s="39" t="s">
        <v>17</v>
      </c>
      <c r="D519" s="236"/>
      <c r="E519" s="236"/>
      <c r="F519" s="236"/>
      <c r="G519" s="236"/>
      <c r="H519" s="236">
        <f>SUM(Tabla132112419[[#This Row],[PRIMER TRIMESTRE]:[CUARTO TRIMESTRE]])</f>
        <v>0</v>
      </c>
      <c r="I519" s="17">
        <v>11200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</row>
    <row r="520" spans="1:14" s="12" customFormat="1" ht="38.25">
      <c r="A520" s="178" t="s">
        <v>80</v>
      </c>
      <c r="B520" s="75" t="s">
        <v>1496</v>
      </c>
      <c r="C520" s="39" t="s">
        <v>17</v>
      </c>
      <c r="D520" s="236"/>
      <c r="E520" s="236"/>
      <c r="F520" s="236"/>
      <c r="G520" s="236"/>
      <c r="H520" s="236">
        <f>SUM(Tabla132112419[[#This Row],[PRIMER TRIMESTRE]:[CUARTO TRIMESTRE]])</f>
        <v>0</v>
      </c>
      <c r="I520" s="17">
        <v>88000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</row>
    <row r="521" spans="1:14" s="12" customFormat="1" ht="25.5">
      <c r="A521" s="178" t="s">
        <v>80</v>
      </c>
      <c r="B521" s="75" t="s">
        <v>1497</v>
      </c>
      <c r="C521" s="39" t="s">
        <v>17</v>
      </c>
      <c r="D521" s="236"/>
      <c r="E521" s="236"/>
      <c r="F521" s="236"/>
      <c r="G521" s="236"/>
      <c r="H521" s="236">
        <f>SUM(Tabla132112419[[#This Row],[PRIMER TRIMESTRE]:[CUARTO TRIMESTRE]])</f>
        <v>0</v>
      </c>
      <c r="I521" s="17">
        <v>26500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</row>
    <row r="522" spans="1:14" s="12" customFormat="1" ht="25.5">
      <c r="A522" s="178" t="s">
        <v>80</v>
      </c>
      <c r="B522" s="75" t="s">
        <v>1498</v>
      </c>
      <c r="C522" s="39" t="s">
        <v>17</v>
      </c>
      <c r="D522" s="236"/>
      <c r="E522" s="236"/>
      <c r="F522" s="236"/>
      <c r="G522" s="236"/>
      <c r="H522" s="236">
        <f>SUM(Tabla132112419[[#This Row],[PRIMER TRIMESTRE]:[CUARTO TRIMESTRE]])</f>
        <v>0</v>
      </c>
      <c r="I522" s="17">
        <v>48500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</row>
    <row r="523" spans="1:14" s="12" customFormat="1" ht="18">
      <c r="A523" s="178" t="s">
        <v>80</v>
      </c>
      <c r="B523" s="75" t="s">
        <v>1499</v>
      </c>
      <c r="C523" s="39" t="s">
        <v>17</v>
      </c>
      <c r="D523" s="236"/>
      <c r="E523" s="236"/>
      <c r="F523" s="236"/>
      <c r="G523" s="236"/>
      <c r="H523" s="236">
        <f>SUM(Tabla132112419[[#This Row],[PRIMER TRIMESTRE]:[CUARTO TRIMESTRE]])</f>
        <v>0</v>
      </c>
      <c r="I523" s="17">
        <v>26500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</row>
    <row r="524" spans="1:14" s="12" customFormat="1" ht="25.5">
      <c r="A524" s="178" t="s">
        <v>80</v>
      </c>
      <c r="B524" s="75" t="s">
        <v>1500</v>
      </c>
      <c r="C524" s="39" t="s">
        <v>17</v>
      </c>
      <c r="D524" s="236"/>
      <c r="E524" s="236"/>
      <c r="F524" s="236"/>
      <c r="G524" s="236"/>
      <c r="H524" s="236">
        <f>SUM(Tabla132112419[[#This Row],[PRIMER TRIMESTRE]:[CUARTO TRIMESTRE]])</f>
        <v>0</v>
      </c>
      <c r="I524" s="17">
        <v>22700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</row>
    <row r="525" spans="1:14" s="12" customFormat="1" ht="25.5">
      <c r="A525" s="178" t="s">
        <v>80</v>
      </c>
      <c r="B525" s="75" t="s">
        <v>1501</v>
      </c>
      <c r="C525" s="39" t="s">
        <v>17</v>
      </c>
      <c r="D525" s="236"/>
      <c r="E525" s="236"/>
      <c r="F525" s="236"/>
      <c r="G525" s="236"/>
      <c r="H525" s="236">
        <f>SUM(Tabla132112419[[#This Row],[PRIMER TRIMESTRE]:[CUARTO TRIMESTRE]])</f>
        <v>0</v>
      </c>
      <c r="I525" s="17">
        <v>3220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</row>
    <row r="526" spans="1:14" s="12" customFormat="1" ht="18">
      <c r="A526" s="178" t="s">
        <v>80</v>
      </c>
      <c r="B526" s="75" t="s">
        <v>1534</v>
      </c>
      <c r="C526" s="39" t="s">
        <v>17</v>
      </c>
      <c r="D526" s="236"/>
      <c r="E526" s="236"/>
      <c r="F526" s="236"/>
      <c r="G526" s="236"/>
      <c r="H526" s="236">
        <f>SUM(Tabla132112419[[#This Row],[PRIMER TRIMESTRE]:[CUARTO TRIMESTRE]])</f>
        <v>0</v>
      </c>
      <c r="I526" s="17">
        <v>2380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</row>
    <row r="527" spans="1:14" s="12" customFormat="1" ht="25.5">
      <c r="A527" s="178" t="s">
        <v>80</v>
      </c>
      <c r="B527" s="75" t="s">
        <v>1682</v>
      </c>
      <c r="C527" s="39" t="s">
        <v>17</v>
      </c>
      <c r="D527" s="236"/>
      <c r="E527" s="236"/>
      <c r="F527" s="236"/>
      <c r="G527" s="236"/>
      <c r="H527" s="40">
        <v>0</v>
      </c>
      <c r="I527" s="17">
        <v>0</v>
      </c>
      <c r="J527" s="17">
        <v>0</v>
      </c>
      <c r="K527" s="17"/>
      <c r="L527" s="16" t="s">
        <v>18</v>
      </c>
      <c r="M527" s="16" t="s">
        <v>22</v>
      </c>
      <c r="N527" s="39"/>
    </row>
    <row r="528" spans="1:14" s="12" customFormat="1" ht="38.25">
      <c r="A528" s="178" t="s">
        <v>80</v>
      </c>
      <c r="B528" s="75" t="s">
        <v>1502</v>
      </c>
      <c r="C528" s="39" t="s">
        <v>17</v>
      </c>
      <c r="D528" s="236"/>
      <c r="E528" s="236"/>
      <c r="F528" s="236"/>
      <c r="G528" s="236"/>
      <c r="H528" s="236">
        <f>SUM(Tabla132112419[[#This Row],[PRIMER TRIMESTRE]:[CUARTO TRIMESTRE]])</f>
        <v>0</v>
      </c>
      <c r="I528" s="17">
        <v>34440</v>
      </c>
      <c r="J528" s="17">
        <f t="shared" si="12"/>
        <v>0</v>
      </c>
      <c r="K528" s="17"/>
      <c r="L528" s="16" t="s">
        <v>18</v>
      </c>
      <c r="M528" s="16" t="s">
        <v>22</v>
      </c>
      <c r="N528" s="39"/>
    </row>
    <row r="529" spans="1:14" s="12" customFormat="1" ht="25.5">
      <c r="A529" s="178" t="s">
        <v>80</v>
      </c>
      <c r="B529" s="75" t="s">
        <v>1503</v>
      </c>
      <c r="C529" s="39" t="s">
        <v>17</v>
      </c>
      <c r="D529" s="236"/>
      <c r="E529" s="236"/>
      <c r="F529" s="236"/>
      <c r="G529" s="236"/>
      <c r="H529" s="236">
        <f>SUM(Tabla132112419[[#This Row],[PRIMER TRIMESTRE]:[CUARTO TRIMESTRE]])</f>
        <v>0</v>
      </c>
      <c r="I529" s="17">
        <v>2600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</row>
    <row r="530" spans="1:14" s="12" customFormat="1" ht="18">
      <c r="A530" s="178" t="s">
        <v>80</v>
      </c>
      <c r="B530" s="75" t="s">
        <v>1504</v>
      </c>
      <c r="C530" s="39" t="s">
        <v>17</v>
      </c>
      <c r="D530" s="236"/>
      <c r="E530" s="236"/>
      <c r="F530" s="236"/>
      <c r="G530" s="236"/>
      <c r="H530" s="236">
        <f>SUM(Tabla132112419[[#This Row],[PRIMER TRIMESTRE]:[CUARTO TRIMESTRE]])</f>
        <v>0</v>
      </c>
      <c r="I530" s="17">
        <v>14280</v>
      </c>
      <c r="J530" s="17">
        <f t="shared" si="12"/>
        <v>0</v>
      </c>
      <c r="K530" s="17"/>
      <c r="L530" s="16" t="s">
        <v>18</v>
      </c>
      <c r="M530" s="16" t="s">
        <v>22</v>
      </c>
      <c r="N530" s="39"/>
    </row>
    <row r="531" spans="1:14" s="12" customFormat="1" ht="25.5">
      <c r="A531" s="178" t="s">
        <v>80</v>
      </c>
      <c r="B531" s="75" t="s">
        <v>1505</v>
      </c>
      <c r="C531" s="39" t="s">
        <v>17</v>
      </c>
      <c r="D531" s="236"/>
      <c r="E531" s="236"/>
      <c r="F531" s="236"/>
      <c r="G531" s="236"/>
      <c r="H531" s="236">
        <f>SUM(Tabla132112419[[#This Row],[PRIMER TRIMESTRE]:[CUARTO TRIMESTRE]])</f>
        <v>0</v>
      </c>
      <c r="I531" s="17">
        <v>15708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</row>
    <row r="532" spans="1:14" s="12" customFormat="1" ht="38.25">
      <c r="A532" s="178" t="s">
        <v>80</v>
      </c>
      <c r="B532" s="75" t="s">
        <v>1506</v>
      </c>
      <c r="C532" s="39" t="s">
        <v>17</v>
      </c>
      <c r="D532" s="236"/>
      <c r="E532" s="236"/>
      <c r="F532" s="236"/>
      <c r="G532" s="236"/>
      <c r="H532" s="236">
        <f>SUM(Tabla132112419[[#This Row],[PRIMER TRIMESTRE]:[CUARTO TRIMESTRE]])</f>
        <v>0</v>
      </c>
      <c r="I532" s="17">
        <v>29481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</row>
    <row r="533" spans="1:14" s="12" customFormat="1" ht="38.25">
      <c r="A533" s="178" t="s">
        <v>80</v>
      </c>
      <c r="B533" s="75" t="s">
        <v>1507</v>
      </c>
      <c r="C533" s="39" t="s">
        <v>17</v>
      </c>
      <c r="D533" s="236"/>
      <c r="E533" s="236"/>
      <c r="F533" s="236"/>
      <c r="G533" s="236"/>
      <c r="H533" s="236">
        <f>SUM(Tabla132112419[[#This Row],[PRIMER TRIMESTRE]:[CUARTO TRIMESTRE]])</f>
        <v>0</v>
      </c>
      <c r="I533" s="17">
        <v>29000</v>
      </c>
      <c r="J533" s="17">
        <f t="shared" si="12"/>
        <v>0</v>
      </c>
      <c r="K533" s="17"/>
      <c r="L533" s="16" t="s">
        <v>18</v>
      </c>
      <c r="M533" s="16" t="s">
        <v>22</v>
      </c>
      <c r="N533" s="39"/>
    </row>
    <row r="534" spans="1:14" s="12" customFormat="1" ht="38.25">
      <c r="A534" s="178" t="s">
        <v>80</v>
      </c>
      <c r="B534" s="75" t="s">
        <v>1592</v>
      </c>
      <c r="C534" s="39" t="s">
        <v>17</v>
      </c>
      <c r="D534" s="236"/>
      <c r="E534" s="236"/>
      <c r="F534" s="236"/>
      <c r="G534" s="236"/>
      <c r="H534" s="236">
        <f>SUM(Tabla132112419[[#This Row],[PRIMER TRIMESTRE]:[CUARTO TRIMESTRE]])</f>
        <v>0</v>
      </c>
      <c r="I534" s="17">
        <v>52242</v>
      </c>
      <c r="J534" s="17">
        <f t="shared" si="12"/>
        <v>0</v>
      </c>
      <c r="K534" s="17"/>
      <c r="L534" s="16" t="s">
        <v>18</v>
      </c>
      <c r="M534" s="16" t="s">
        <v>22</v>
      </c>
      <c r="N534" s="39"/>
    </row>
    <row r="535" spans="1:14" s="12" customFormat="1" ht="18">
      <c r="A535" s="178" t="s">
        <v>80</v>
      </c>
      <c r="B535" s="75" t="s">
        <v>1552</v>
      </c>
      <c r="C535" s="39" t="s">
        <v>17</v>
      </c>
      <c r="D535" s="236"/>
      <c r="E535" s="236"/>
      <c r="F535" s="236"/>
      <c r="G535" s="236"/>
      <c r="H535" s="236">
        <f>SUM(Tabla132112419[[#This Row],[PRIMER TRIMESTRE]:[CUARTO TRIMESTRE]])</f>
        <v>0</v>
      </c>
      <c r="I535" s="17">
        <v>28.8</v>
      </c>
      <c r="J535" s="17">
        <f t="shared" si="12"/>
        <v>0</v>
      </c>
      <c r="K535" s="17"/>
      <c r="L535" s="16" t="s">
        <v>18</v>
      </c>
      <c r="M535" s="16" t="s">
        <v>22</v>
      </c>
      <c r="N535" s="39"/>
    </row>
    <row r="536" spans="1:14" s="12" customFormat="1" ht="25.5">
      <c r="A536" s="178" t="s">
        <v>80</v>
      </c>
      <c r="B536" s="75" t="s">
        <v>663</v>
      </c>
      <c r="C536" s="39" t="s">
        <v>17</v>
      </c>
      <c r="D536" s="236"/>
      <c r="E536" s="236"/>
      <c r="F536" s="236"/>
      <c r="G536" s="236"/>
      <c r="H536" s="40">
        <f>SUM(Tabla132112419[[#This Row],[PRIMER TRIMESTRE]:[CUARTO TRIMESTRE]])</f>
        <v>0</v>
      </c>
      <c r="I536" s="72">
        <v>15930</v>
      </c>
      <c r="J536" s="17">
        <f t="shared" si="12"/>
        <v>0</v>
      </c>
      <c r="K536" s="17"/>
      <c r="L536" s="16" t="s">
        <v>18</v>
      </c>
      <c r="M536" s="16" t="s">
        <v>22</v>
      </c>
      <c r="N536" s="39"/>
    </row>
    <row r="537" spans="1:14" s="12" customFormat="1" ht="25.5">
      <c r="A537" s="178" t="s">
        <v>80</v>
      </c>
      <c r="B537" s="75" t="s">
        <v>662</v>
      </c>
      <c r="C537" s="39" t="s">
        <v>17</v>
      </c>
      <c r="D537" s="236"/>
      <c r="E537" s="236"/>
      <c r="F537" s="236"/>
      <c r="G537" s="236"/>
      <c r="H537" s="40">
        <f>SUM(Tabla132112419[[#This Row],[PRIMER TRIMESTRE]:[CUARTO TRIMESTRE]])</f>
        <v>0</v>
      </c>
      <c r="I537" s="72">
        <f>15500*1.18</f>
        <v>18290</v>
      </c>
      <c r="J537" s="17">
        <f t="shared" si="12"/>
        <v>0</v>
      </c>
      <c r="K537" s="17"/>
      <c r="L537" s="16" t="s">
        <v>18</v>
      </c>
      <c r="M537" s="16" t="s">
        <v>22</v>
      </c>
      <c r="N537" s="39"/>
    </row>
    <row r="538" spans="1:14" s="12" customFormat="1" ht="25.5">
      <c r="A538" s="178" t="s">
        <v>80</v>
      </c>
      <c r="B538" s="75" t="s">
        <v>664</v>
      </c>
      <c r="C538" s="39" t="s">
        <v>17</v>
      </c>
      <c r="D538" s="236"/>
      <c r="E538" s="236"/>
      <c r="F538" s="236"/>
      <c r="G538" s="236"/>
      <c r="H538" s="40">
        <f>SUM(Tabla132112419[[#This Row],[PRIMER TRIMESTRE]:[CUARTO TRIMESTRE]])</f>
        <v>0</v>
      </c>
      <c r="I538" s="72">
        <f>18500*1.18</f>
        <v>21830</v>
      </c>
      <c r="J538" s="17">
        <f t="shared" si="12"/>
        <v>0</v>
      </c>
      <c r="K538" s="17"/>
      <c r="L538" s="16" t="s">
        <v>18</v>
      </c>
      <c r="M538" s="16" t="s">
        <v>22</v>
      </c>
      <c r="N538" s="39"/>
    </row>
    <row r="539" spans="1:14" s="12" customFormat="1" ht="38.25">
      <c r="A539" s="178" t="s">
        <v>80</v>
      </c>
      <c r="B539" s="75" t="s">
        <v>672</v>
      </c>
      <c r="C539" s="39" t="s">
        <v>17</v>
      </c>
      <c r="D539" s="236"/>
      <c r="E539" s="236"/>
      <c r="F539" s="236"/>
      <c r="G539" s="236"/>
      <c r="H539" s="40">
        <f>SUM(Tabla132112419[[#This Row],[PRIMER TRIMESTRE]:[CUARTO TRIMESTRE]])</f>
        <v>0</v>
      </c>
      <c r="I539" s="72">
        <f>13800*1.18</f>
        <v>16284</v>
      </c>
      <c r="J539" s="17">
        <f t="shared" si="12"/>
        <v>0</v>
      </c>
      <c r="K539" s="17"/>
      <c r="L539" s="16" t="s">
        <v>18</v>
      </c>
      <c r="M539" s="16" t="s">
        <v>22</v>
      </c>
      <c r="N539" s="39"/>
    </row>
    <row r="540" spans="1:14" s="12" customFormat="1" ht="38.25">
      <c r="A540" s="178" t="s">
        <v>80</v>
      </c>
      <c r="B540" s="75" t="s">
        <v>665</v>
      </c>
      <c r="C540" s="39" t="s">
        <v>17</v>
      </c>
      <c r="D540" s="236"/>
      <c r="E540" s="236"/>
      <c r="F540" s="236"/>
      <c r="G540" s="236"/>
      <c r="H540" s="40">
        <f>SUM(Tabla132112419[[#This Row],[PRIMER TRIMESTRE]:[CUARTO TRIMESTRE]])</f>
        <v>0</v>
      </c>
      <c r="I540" s="17">
        <f>15950*1.18</f>
        <v>18821</v>
      </c>
      <c r="J540" s="17">
        <f t="shared" si="12"/>
        <v>0</v>
      </c>
      <c r="K540" s="17"/>
      <c r="L540" s="16" t="s">
        <v>18</v>
      </c>
      <c r="M540" s="16" t="s">
        <v>22</v>
      </c>
      <c r="N540" s="39"/>
    </row>
    <row r="541" spans="1:14" s="12" customFormat="1" ht="38.25">
      <c r="A541" s="178" t="s">
        <v>80</v>
      </c>
      <c r="B541" s="75" t="s">
        <v>666</v>
      </c>
      <c r="C541" s="39" t="s">
        <v>17</v>
      </c>
      <c r="D541" s="236"/>
      <c r="E541" s="236"/>
      <c r="F541" s="236"/>
      <c r="G541" s="236"/>
      <c r="H541" s="40">
        <f>SUM(Tabla132112419[[#This Row],[PRIMER TRIMESTRE]:[CUARTO TRIMESTRE]])</f>
        <v>0</v>
      </c>
      <c r="I541" s="17">
        <f>18950*1.18</f>
        <v>22361</v>
      </c>
      <c r="J541" s="17">
        <f t="shared" si="12"/>
        <v>0</v>
      </c>
      <c r="K541" s="17"/>
      <c r="L541" s="16" t="s">
        <v>18</v>
      </c>
      <c r="M541" s="16" t="s">
        <v>22</v>
      </c>
      <c r="N541" s="39"/>
    </row>
    <row r="542" spans="1:14" s="12" customFormat="1" ht="38.25">
      <c r="A542" s="178" t="s">
        <v>80</v>
      </c>
      <c r="B542" s="75" t="s">
        <v>667</v>
      </c>
      <c r="C542" s="39" t="s">
        <v>17</v>
      </c>
      <c r="D542" s="236"/>
      <c r="E542" s="236"/>
      <c r="F542" s="236"/>
      <c r="G542" s="236"/>
      <c r="H542" s="40">
        <f>SUM(Tabla132112419[[#This Row],[PRIMER TRIMESTRE]:[CUARTO TRIMESTRE]])</f>
        <v>0</v>
      </c>
      <c r="I542" s="17">
        <f>23500*1.18</f>
        <v>27730</v>
      </c>
      <c r="J542" s="17">
        <f t="shared" si="12"/>
        <v>0</v>
      </c>
      <c r="K542" s="17"/>
      <c r="L542" s="16" t="s">
        <v>18</v>
      </c>
      <c r="M542" s="16" t="s">
        <v>22</v>
      </c>
      <c r="N542" s="39"/>
    </row>
    <row r="543" spans="1:14" s="12" customFormat="1" ht="38.25">
      <c r="A543" s="178" t="s">
        <v>80</v>
      </c>
      <c r="B543" s="75" t="s">
        <v>668</v>
      </c>
      <c r="C543" s="39" t="s">
        <v>17</v>
      </c>
      <c r="D543" s="236"/>
      <c r="E543" s="236"/>
      <c r="F543" s="236"/>
      <c r="G543" s="236"/>
      <c r="H543" s="40">
        <f>SUM(Tabla132112419[[#This Row],[PRIMER TRIMESTRE]:[CUARTO TRIMESTRE]])</f>
        <v>0</v>
      </c>
      <c r="I543" s="17">
        <f>32800*1.18</f>
        <v>38704</v>
      </c>
      <c r="J543" s="17">
        <f t="shared" si="12"/>
        <v>0</v>
      </c>
      <c r="K543" s="17"/>
      <c r="L543" s="16" t="s">
        <v>18</v>
      </c>
      <c r="M543" s="16" t="s">
        <v>22</v>
      </c>
      <c r="N543" s="39"/>
    </row>
    <row r="544" spans="1:14" s="12" customFormat="1" ht="38.25">
      <c r="A544" s="178" t="s">
        <v>80</v>
      </c>
      <c r="B544" s="75" t="s">
        <v>669</v>
      </c>
      <c r="C544" s="39" t="s">
        <v>17</v>
      </c>
      <c r="D544" s="236"/>
      <c r="E544" s="236"/>
      <c r="F544" s="236"/>
      <c r="G544" s="236"/>
      <c r="H544" s="40">
        <f>SUM(Tabla132112419[[#This Row],[PRIMER TRIMESTRE]:[CUARTO TRIMESTRE]])</f>
        <v>0</v>
      </c>
      <c r="I544" s="17">
        <f>56500*1.18</f>
        <v>66670</v>
      </c>
      <c r="J544" s="17">
        <f t="shared" si="12"/>
        <v>0</v>
      </c>
      <c r="K544" s="17"/>
      <c r="L544" s="16" t="s">
        <v>18</v>
      </c>
      <c r="M544" s="16" t="s">
        <v>22</v>
      </c>
      <c r="N544" s="39"/>
    </row>
    <row r="545" spans="1:14" s="12" customFormat="1" ht="38.25">
      <c r="A545" s="178" t="s">
        <v>80</v>
      </c>
      <c r="B545" s="75" t="s">
        <v>670</v>
      </c>
      <c r="C545" s="39" t="s">
        <v>17</v>
      </c>
      <c r="D545" s="236"/>
      <c r="E545" s="236"/>
      <c r="F545" s="236"/>
      <c r="G545" s="236"/>
      <c r="H545" s="40">
        <f>SUM(Tabla132112419[[#This Row],[PRIMER TRIMESTRE]:[CUARTO TRIMESTRE]])</f>
        <v>0</v>
      </c>
      <c r="I545" s="17">
        <f>74000*1.18</f>
        <v>87320</v>
      </c>
      <c r="J545" s="17">
        <f t="shared" si="12"/>
        <v>0</v>
      </c>
      <c r="K545" s="17"/>
      <c r="L545" s="16" t="s">
        <v>18</v>
      </c>
      <c r="M545" s="16" t="s">
        <v>22</v>
      </c>
      <c r="N545" s="39"/>
    </row>
    <row r="546" spans="1:14" s="12" customFormat="1" ht="38.25">
      <c r="A546" s="178" t="s">
        <v>80</v>
      </c>
      <c r="B546" s="75" t="s">
        <v>671</v>
      </c>
      <c r="C546" s="39" t="s">
        <v>17</v>
      </c>
      <c r="D546" s="236"/>
      <c r="E546" s="236"/>
      <c r="F546" s="236"/>
      <c r="G546" s="236"/>
      <c r="H546" s="40">
        <f>SUM(Tabla132112419[[#This Row],[PRIMER TRIMESTRE]:[CUARTO TRIMESTRE]])</f>
        <v>0</v>
      </c>
      <c r="I546" s="17">
        <f>245000*1.18</f>
        <v>289100</v>
      </c>
      <c r="J546" s="17">
        <f t="shared" si="12"/>
        <v>0</v>
      </c>
      <c r="K546" s="17"/>
      <c r="L546" s="16" t="s">
        <v>18</v>
      </c>
      <c r="M546" s="16" t="s">
        <v>22</v>
      </c>
      <c r="N546" s="39"/>
    </row>
    <row r="547" spans="1:14" s="12" customFormat="1" ht="38.25">
      <c r="A547" s="178" t="s">
        <v>80</v>
      </c>
      <c r="B547" s="75" t="s">
        <v>676</v>
      </c>
      <c r="C547" s="39" t="s">
        <v>17</v>
      </c>
      <c r="D547" s="236"/>
      <c r="E547" s="236"/>
      <c r="F547" s="236"/>
      <c r="G547" s="236"/>
      <c r="H547" s="40">
        <f>SUM(Tabla132112419[[#This Row],[PRIMER TRIMESTRE]:[CUARTO TRIMESTRE]])</f>
        <v>0</v>
      </c>
      <c r="I547" s="17">
        <v>40200</v>
      </c>
      <c r="J547" s="17">
        <f t="shared" si="12"/>
        <v>0</v>
      </c>
      <c r="K547" s="17"/>
      <c r="L547" s="16" t="s">
        <v>18</v>
      </c>
      <c r="M547" s="16" t="s">
        <v>22</v>
      </c>
      <c r="N547" s="39"/>
    </row>
    <row r="548" spans="1:14" s="12" customFormat="1" ht="38.25">
      <c r="A548" s="178" t="s">
        <v>80</v>
      </c>
      <c r="B548" s="75" t="s">
        <v>677</v>
      </c>
      <c r="C548" s="39" t="s">
        <v>17</v>
      </c>
      <c r="D548" s="236"/>
      <c r="E548" s="236"/>
      <c r="F548" s="236"/>
      <c r="G548" s="236"/>
      <c r="H548" s="40">
        <f>SUM(Tabla132112419[[#This Row],[PRIMER TRIMESTRE]:[CUARTO TRIMESTRE]])</f>
        <v>0</v>
      </c>
      <c r="I548" s="17">
        <v>49500</v>
      </c>
      <c r="J548" s="17">
        <f t="shared" si="12"/>
        <v>0</v>
      </c>
      <c r="K548" s="17"/>
      <c r="L548" s="16" t="s">
        <v>18</v>
      </c>
      <c r="M548" s="16" t="s">
        <v>22</v>
      </c>
      <c r="N548" s="39"/>
    </row>
    <row r="549" spans="1:14" s="12" customFormat="1" ht="38.25">
      <c r="A549" s="178" t="s">
        <v>80</v>
      </c>
      <c r="B549" s="75" t="s">
        <v>678</v>
      </c>
      <c r="C549" s="39" t="s">
        <v>17</v>
      </c>
      <c r="D549" s="236"/>
      <c r="E549" s="236"/>
      <c r="F549" s="236"/>
      <c r="G549" s="236"/>
      <c r="H549" s="40">
        <f>SUM(Tabla132112419[[#This Row],[PRIMER TRIMESTRE]:[CUARTO TRIMESTRE]])</f>
        <v>0</v>
      </c>
      <c r="I549" s="17">
        <v>73250</v>
      </c>
      <c r="J549" s="17">
        <f t="shared" si="12"/>
        <v>0</v>
      </c>
      <c r="K549" s="17"/>
      <c r="L549" s="16" t="s">
        <v>18</v>
      </c>
      <c r="M549" s="16" t="s">
        <v>22</v>
      </c>
      <c r="N549" s="39"/>
    </row>
    <row r="550" spans="1:14" s="12" customFormat="1" ht="38.25">
      <c r="A550" s="178" t="s">
        <v>80</v>
      </c>
      <c r="B550" s="75" t="s">
        <v>679</v>
      </c>
      <c r="C550" s="39" t="s">
        <v>17</v>
      </c>
      <c r="D550" s="236"/>
      <c r="E550" s="236"/>
      <c r="F550" s="236"/>
      <c r="G550" s="236"/>
      <c r="H550" s="40">
        <f>SUM(Tabla132112419[[#This Row],[PRIMER TRIMESTRE]:[CUARTO TRIMESTRE]])</f>
        <v>0</v>
      </c>
      <c r="I550" s="72">
        <v>289000</v>
      </c>
      <c r="J550" s="17">
        <f t="shared" ref="J550:J575" si="13">+H550*I550</f>
        <v>0</v>
      </c>
      <c r="K550" s="17"/>
      <c r="L550" s="16" t="s">
        <v>18</v>
      </c>
      <c r="M550" s="16" t="s">
        <v>22</v>
      </c>
      <c r="N550" s="39"/>
    </row>
    <row r="551" spans="1:14" s="12" customFormat="1" ht="51">
      <c r="A551" s="178" t="s">
        <v>80</v>
      </c>
      <c r="B551" s="75" t="s">
        <v>680</v>
      </c>
      <c r="C551" s="39" t="s">
        <v>17</v>
      </c>
      <c r="D551" s="236"/>
      <c r="E551" s="236"/>
      <c r="F551" s="236"/>
      <c r="G551" s="236"/>
      <c r="H551" s="40">
        <f>SUM(Tabla132112419[[#This Row],[PRIMER TRIMESTRE]:[CUARTO TRIMESTRE]])</f>
        <v>0</v>
      </c>
      <c r="I551" s="72">
        <f>26800*1.18</f>
        <v>31624</v>
      </c>
      <c r="J551" s="17">
        <f t="shared" si="13"/>
        <v>0</v>
      </c>
      <c r="K551" s="17"/>
      <c r="L551" s="16" t="s">
        <v>18</v>
      </c>
      <c r="M551" s="16" t="s">
        <v>22</v>
      </c>
      <c r="N551" s="39"/>
    </row>
    <row r="552" spans="1:14" s="12" customFormat="1" ht="51">
      <c r="A552" s="178" t="s">
        <v>80</v>
      </c>
      <c r="B552" s="75" t="s">
        <v>681</v>
      </c>
      <c r="C552" s="39" t="s">
        <v>17</v>
      </c>
      <c r="D552" s="236"/>
      <c r="E552" s="236"/>
      <c r="F552" s="236"/>
      <c r="G552" s="236"/>
      <c r="H552" s="40">
        <f>SUM(Tabla132112419[[#This Row],[PRIMER TRIMESTRE]:[CUARTO TRIMESTRE]])</f>
        <v>0</v>
      </c>
      <c r="I552" s="17">
        <f>39500*1.18</f>
        <v>46610</v>
      </c>
      <c r="J552" s="17">
        <f t="shared" si="13"/>
        <v>0</v>
      </c>
      <c r="K552" s="17"/>
      <c r="L552" s="16" t="s">
        <v>18</v>
      </c>
      <c r="M552" s="16" t="s">
        <v>22</v>
      </c>
      <c r="N552" s="39"/>
    </row>
    <row r="553" spans="1:14" s="12" customFormat="1" ht="51">
      <c r="A553" s="178" t="s">
        <v>80</v>
      </c>
      <c r="B553" s="75" t="s">
        <v>683</v>
      </c>
      <c r="C553" s="39" t="s">
        <v>17</v>
      </c>
      <c r="D553" s="236"/>
      <c r="E553" s="236"/>
      <c r="F553" s="236"/>
      <c r="G553" s="236"/>
      <c r="H553" s="40">
        <f>SUM(Tabla132112419[[#This Row],[PRIMER TRIMESTRE]:[CUARTO TRIMESTRE]])</f>
        <v>0</v>
      </c>
      <c r="I553" s="72">
        <v>68487.199999999997</v>
      </c>
      <c r="J553" s="17">
        <f t="shared" si="13"/>
        <v>0</v>
      </c>
      <c r="K553" s="17"/>
      <c r="L553" s="16" t="s">
        <v>18</v>
      </c>
      <c r="M553" s="16" t="s">
        <v>22</v>
      </c>
      <c r="N553" s="39"/>
    </row>
    <row r="554" spans="1:14" s="12" customFormat="1" ht="51">
      <c r="A554" s="178" t="s">
        <v>80</v>
      </c>
      <c r="B554" s="75" t="s">
        <v>682</v>
      </c>
      <c r="C554" s="39" t="s">
        <v>17</v>
      </c>
      <c r="D554" s="236"/>
      <c r="E554" s="236"/>
      <c r="F554" s="236"/>
      <c r="G554" s="236"/>
      <c r="H554" s="40">
        <f>SUM(Tabla132112419[[#This Row],[PRIMER TRIMESTRE]:[CUARTO TRIMESTRE]])</f>
        <v>0</v>
      </c>
      <c r="I554" s="72">
        <v>304100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</row>
    <row r="555" spans="1:14" s="12" customFormat="1" ht="25.5">
      <c r="A555" s="178" t="s">
        <v>80</v>
      </c>
      <c r="B555" s="75" t="s">
        <v>1720</v>
      </c>
      <c r="C555" s="39" t="s">
        <v>17</v>
      </c>
      <c r="D555" s="236"/>
      <c r="E555" s="236"/>
      <c r="F555" s="236"/>
      <c r="G555" s="236"/>
      <c r="H555" s="40">
        <v>0</v>
      </c>
      <c r="I555" s="72">
        <v>0</v>
      </c>
      <c r="J555" s="17">
        <v>0</v>
      </c>
      <c r="K555" s="17"/>
      <c r="L555" s="16" t="s">
        <v>18</v>
      </c>
      <c r="M555" s="16" t="s">
        <v>22</v>
      </c>
      <c r="N555" s="39"/>
    </row>
    <row r="556" spans="1:14" s="12" customFormat="1" ht="18">
      <c r="A556" s="178" t="s">
        <v>80</v>
      </c>
      <c r="B556" s="75" t="s">
        <v>635</v>
      </c>
      <c r="C556" s="39" t="s">
        <v>17</v>
      </c>
      <c r="D556" s="236"/>
      <c r="E556" s="236"/>
      <c r="F556" s="236"/>
      <c r="G556" s="236"/>
      <c r="H556" s="40">
        <f>SUM(Tabla132112419[[#This Row],[PRIMER TRIMESTRE]:[CUARTO TRIMESTRE]])</f>
        <v>0</v>
      </c>
      <c r="I556" s="17">
        <v>94400</v>
      </c>
      <c r="J556" s="17">
        <f t="shared" si="13"/>
        <v>0</v>
      </c>
      <c r="K556" s="17"/>
      <c r="L556" s="16" t="s">
        <v>18</v>
      </c>
      <c r="M556" s="16" t="s">
        <v>22</v>
      </c>
      <c r="N556" s="39"/>
    </row>
    <row r="557" spans="1:14" s="12" customFormat="1" ht="18">
      <c r="A557" s="178" t="s">
        <v>80</v>
      </c>
      <c r="B557" s="75" t="s">
        <v>636</v>
      </c>
      <c r="C557" s="39" t="s">
        <v>17</v>
      </c>
      <c r="D557" s="236"/>
      <c r="E557" s="236"/>
      <c r="F557" s="236"/>
      <c r="G557" s="236"/>
      <c r="H557" s="40">
        <f>SUM(Tabla132112419[[#This Row],[PRIMER TRIMESTRE]:[CUARTO TRIMESTRE]])</f>
        <v>0</v>
      </c>
      <c r="I557" s="17">
        <v>106200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</row>
    <row r="558" spans="1:14" s="12" customFormat="1" ht="18">
      <c r="A558" s="178" t="s">
        <v>80</v>
      </c>
      <c r="B558" s="75" t="s">
        <v>637</v>
      </c>
      <c r="C558" s="39" t="s">
        <v>17</v>
      </c>
      <c r="D558" s="236"/>
      <c r="E558" s="236"/>
      <c r="F558" s="236"/>
      <c r="G558" s="236"/>
      <c r="H558" s="40">
        <f>SUM(Tabla132112419[[#This Row],[PRIMER TRIMESTRE]:[CUARTO TRIMESTRE]])</f>
        <v>0</v>
      </c>
      <c r="I558" s="17">
        <v>112100</v>
      </c>
      <c r="J558" s="17">
        <f t="shared" si="13"/>
        <v>0</v>
      </c>
      <c r="K558" s="17"/>
      <c r="L558" s="16" t="s">
        <v>18</v>
      </c>
      <c r="M558" s="16" t="s">
        <v>22</v>
      </c>
      <c r="N558" s="39"/>
    </row>
    <row r="559" spans="1:14" s="12" customFormat="1" ht="38.25">
      <c r="A559" s="178" t="s">
        <v>80</v>
      </c>
      <c r="B559" s="75" t="s">
        <v>685</v>
      </c>
      <c r="C559" s="39" t="s">
        <v>17</v>
      </c>
      <c r="D559" s="236"/>
      <c r="E559" s="236"/>
      <c r="F559" s="236"/>
      <c r="G559" s="236"/>
      <c r="H559" s="40">
        <f>SUM(Tabla132112419[[#This Row],[PRIMER TRIMESTRE]:[CUARTO TRIMESTRE]])</f>
        <v>0</v>
      </c>
      <c r="I559" s="17">
        <v>42480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</row>
    <row r="560" spans="1:14" s="12" customFormat="1" ht="38.25">
      <c r="A560" s="178" t="s">
        <v>80</v>
      </c>
      <c r="B560" s="75" t="s">
        <v>686</v>
      </c>
      <c r="C560" s="39" t="s">
        <v>17</v>
      </c>
      <c r="D560" s="236"/>
      <c r="E560" s="236"/>
      <c r="F560" s="236"/>
      <c r="G560" s="236"/>
      <c r="H560" s="40">
        <f>SUM(Tabla132112419[[#This Row],[PRIMER TRIMESTRE]:[CUARTO TRIMESTRE]])</f>
        <v>0</v>
      </c>
      <c r="I560" s="17">
        <v>64900</v>
      </c>
      <c r="J560" s="17">
        <f t="shared" si="13"/>
        <v>0</v>
      </c>
      <c r="K560" s="17"/>
      <c r="L560" s="16" t="s">
        <v>18</v>
      </c>
      <c r="M560" s="16" t="s">
        <v>22</v>
      </c>
      <c r="N560" s="39"/>
    </row>
    <row r="561" spans="1:14" s="12" customFormat="1" ht="38.25">
      <c r="A561" s="178" t="s">
        <v>80</v>
      </c>
      <c r="B561" s="75" t="s">
        <v>687</v>
      </c>
      <c r="C561" s="39" t="s">
        <v>17</v>
      </c>
      <c r="D561" s="236"/>
      <c r="E561" s="236"/>
      <c r="F561" s="236"/>
      <c r="G561" s="236"/>
      <c r="H561" s="40">
        <f>SUM(Tabla132112419[[#This Row],[PRIMER TRIMESTRE]:[CUARTO TRIMESTRE]])</f>
        <v>0</v>
      </c>
      <c r="I561" s="17">
        <v>92040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</row>
    <row r="562" spans="1:14" s="12" customFormat="1" ht="25.5">
      <c r="A562" s="178" t="s">
        <v>80</v>
      </c>
      <c r="B562" s="75" t="s">
        <v>688</v>
      </c>
      <c r="C562" s="39" t="s">
        <v>17</v>
      </c>
      <c r="D562" s="236"/>
      <c r="E562" s="236"/>
      <c r="F562" s="236"/>
      <c r="G562" s="236"/>
      <c r="H562" s="40">
        <f>SUM(Tabla132112419[[#This Row],[PRIMER TRIMESTRE]:[CUARTO TRIMESTRE]])</f>
        <v>0</v>
      </c>
      <c r="I562" s="17">
        <v>6377.7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</row>
    <row r="563" spans="1:14" s="12" customFormat="1" ht="25.5">
      <c r="A563" s="178" t="s">
        <v>80</v>
      </c>
      <c r="B563" s="75" t="s">
        <v>689</v>
      </c>
      <c r="C563" s="39" t="s">
        <v>17</v>
      </c>
      <c r="D563" s="236"/>
      <c r="E563" s="236"/>
      <c r="F563" s="236"/>
      <c r="G563" s="236"/>
      <c r="H563" s="40">
        <f>SUM(Tabla132112419[[#This Row],[PRIMER TRIMESTRE]:[CUARTO TRIMESTRE]])</f>
        <v>0</v>
      </c>
      <c r="I563" s="72">
        <v>6769.1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</row>
    <row r="564" spans="1:14" s="12" customFormat="1" ht="25.5">
      <c r="A564" s="178" t="s">
        <v>80</v>
      </c>
      <c r="B564" s="75" t="s">
        <v>690</v>
      </c>
      <c r="C564" s="39" t="s">
        <v>17</v>
      </c>
      <c r="D564" s="236"/>
      <c r="E564" s="236"/>
      <c r="F564" s="236"/>
      <c r="G564" s="236"/>
      <c r="H564" s="40">
        <f>SUM(Tabla132112419[[#This Row],[PRIMER TRIMESTRE]:[CUARTO TRIMESTRE]])</f>
        <v>0</v>
      </c>
      <c r="I564" s="72">
        <v>6890.2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</row>
    <row r="565" spans="1:14" s="12" customFormat="1" ht="25.5">
      <c r="A565" s="178" t="s">
        <v>80</v>
      </c>
      <c r="B565" s="75" t="s">
        <v>905</v>
      </c>
      <c r="C565" s="39" t="s">
        <v>17</v>
      </c>
      <c r="D565" s="236"/>
      <c r="E565" s="236"/>
      <c r="F565" s="236"/>
      <c r="G565" s="236"/>
      <c r="H565" s="40">
        <f>SUM(Tabla132112419[[#This Row],[PRIMER TRIMESTRE]:[CUARTO TRIMESTRE]])</f>
        <v>0</v>
      </c>
      <c r="I565" s="72">
        <f>+I564*1.15</f>
        <v>7923.73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</row>
    <row r="566" spans="1:14" s="12" customFormat="1" ht="25.5">
      <c r="A566" s="178" t="s">
        <v>80</v>
      </c>
      <c r="B566" s="75" t="s">
        <v>691</v>
      </c>
      <c r="C566" s="39" t="s">
        <v>17</v>
      </c>
      <c r="D566" s="236"/>
      <c r="E566" s="236"/>
      <c r="F566" s="236"/>
      <c r="G566" s="236"/>
      <c r="H566" s="40">
        <f>SUM(Tabla132112419[[#This Row],[PRIMER TRIMESTRE]:[CUARTO TRIMESTRE]])</f>
        <v>0</v>
      </c>
      <c r="I566" s="72">
        <f>2500*1.18</f>
        <v>2950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</row>
    <row r="567" spans="1:14" s="12" customFormat="1" ht="25.5">
      <c r="A567" s="178" t="s">
        <v>80</v>
      </c>
      <c r="B567" s="75" t="s">
        <v>692</v>
      </c>
      <c r="C567" s="39" t="s">
        <v>17</v>
      </c>
      <c r="D567" s="236"/>
      <c r="E567" s="236"/>
      <c r="F567" s="236"/>
      <c r="G567" s="236"/>
      <c r="H567" s="40">
        <f>SUM(Tabla132112419[[#This Row],[PRIMER TRIMESTRE]:[CUARTO TRIMESTRE]])</f>
        <v>0</v>
      </c>
      <c r="I567" s="72">
        <v>20380.96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</row>
    <row r="568" spans="1:14" s="12" customFormat="1" ht="25.5">
      <c r="A568" s="178" t="s">
        <v>80</v>
      </c>
      <c r="B568" s="75" t="s">
        <v>693</v>
      </c>
      <c r="C568" s="39" t="s">
        <v>17</v>
      </c>
      <c r="D568" s="236"/>
      <c r="E568" s="236"/>
      <c r="F568" s="236"/>
      <c r="G568" s="236"/>
      <c r="H568" s="40">
        <f>SUM(Tabla132112419[[#This Row],[PRIMER TRIMESTRE]:[CUARTO TRIMESTRE]])</f>
        <v>0</v>
      </c>
      <c r="I568" s="72">
        <v>29236.86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</row>
    <row r="569" spans="1:14" s="12" customFormat="1" ht="18">
      <c r="A569" s="178" t="s">
        <v>80</v>
      </c>
      <c r="B569" s="75" t="s">
        <v>454</v>
      </c>
      <c r="C569" s="39" t="s">
        <v>17</v>
      </c>
      <c r="D569" s="236"/>
      <c r="E569" s="236"/>
      <c r="F569" s="236"/>
      <c r="G569" s="236"/>
      <c r="H569" s="40">
        <f>SUM(Tabla132112419[[#This Row],[PRIMER TRIMESTRE]:[CUARTO TRIMESTRE]])</f>
        <v>0</v>
      </c>
      <c r="I569" s="72">
        <v>236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</row>
    <row r="570" spans="1:14" s="12" customFormat="1" ht="18">
      <c r="A570" s="178" t="s">
        <v>80</v>
      </c>
      <c r="B570" s="75" t="s">
        <v>455</v>
      </c>
      <c r="C570" s="39" t="s">
        <v>17</v>
      </c>
      <c r="D570" s="236"/>
      <c r="E570" s="236"/>
      <c r="F570" s="236"/>
      <c r="G570" s="236"/>
      <c r="H570" s="40">
        <f>SUM(Tabla132112419[[#This Row],[PRIMER TRIMESTRE]:[CUARTO TRIMESTRE]])</f>
        <v>0</v>
      </c>
      <c r="I570" s="72">
        <v>344.56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</row>
    <row r="571" spans="1:14" s="12" customFormat="1" ht="18">
      <c r="A571" s="178" t="s">
        <v>80</v>
      </c>
      <c r="B571" s="75" t="s">
        <v>456</v>
      </c>
      <c r="C571" s="39" t="s">
        <v>17</v>
      </c>
      <c r="D571" s="236"/>
      <c r="E571" s="236"/>
      <c r="F571" s="236"/>
      <c r="G571" s="236"/>
      <c r="H571" s="40">
        <f>SUM(Tabla132112419[[#This Row],[PRIMER TRIMESTRE]:[CUARTO TRIMESTRE]])</f>
        <v>0</v>
      </c>
      <c r="I571" s="72">
        <v>499.14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</row>
    <row r="572" spans="1:14" s="12" customFormat="1" ht="18">
      <c r="A572" s="178" t="s">
        <v>80</v>
      </c>
      <c r="B572" s="75" t="s">
        <v>457</v>
      </c>
      <c r="C572" s="39" t="s">
        <v>17</v>
      </c>
      <c r="D572" s="236"/>
      <c r="E572" s="236"/>
      <c r="F572" s="236"/>
      <c r="G572" s="236"/>
      <c r="H572" s="40">
        <f>SUM(Tabla132112419[[#This Row],[PRIMER TRIMESTRE]:[CUARTO TRIMESTRE]])</f>
        <v>0</v>
      </c>
      <c r="I572" s="72">
        <v>1598.9</v>
      </c>
      <c r="J572" s="17">
        <f t="shared" si="13"/>
        <v>0</v>
      </c>
      <c r="K572" s="17"/>
      <c r="L572" s="17" t="s">
        <v>18</v>
      </c>
      <c r="M572" s="16" t="s">
        <v>22</v>
      </c>
      <c r="N572" s="39"/>
    </row>
    <row r="573" spans="1:14" s="12" customFormat="1" ht="18">
      <c r="A573" s="178" t="s">
        <v>80</v>
      </c>
      <c r="B573" s="75" t="s">
        <v>458</v>
      </c>
      <c r="C573" s="39" t="s">
        <v>17</v>
      </c>
      <c r="D573" s="236"/>
      <c r="E573" s="236"/>
      <c r="F573" s="236"/>
      <c r="G573" s="236"/>
      <c r="H573" s="40">
        <f>SUM(Tabla132112419[[#This Row],[PRIMER TRIMESTRE]:[CUARTO TRIMESTRE]])</f>
        <v>0</v>
      </c>
      <c r="I573" s="72">
        <v>1849.06</v>
      </c>
      <c r="J573" s="17">
        <f t="shared" si="13"/>
        <v>0</v>
      </c>
      <c r="K573" s="17"/>
      <c r="L573" s="17" t="s">
        <v>18</v>
      </c>
      <c r="M573" s="16" t="s">
        <v>22</v>
      </c>
      <c r="N573" s="39"/>
    </row>
    <row r="574" spans="1:14" s="26" customFormat="1" ht="18">
      <c r="A574" s="178" t="s">
        <v>80</v>
      </c>
      <c r="B574" s="75" t="s">
        <v>801</v>
      </c>
      <c r="C574" s="39" t="s">
        <v>17</v>
      </c>
      <c r="D574" s="236"/>
      <c r="E574" s="236"/>
      <c r="F574" s="236"/>
      <c r="G574" s="236"/>
      <c r="H574" s="40">
        <f>SUM(Tabla132112419[[#This Row],[PRIMER TRIMESTRE]:[CUARTO TRIMESTRE]])</f>
        <v>0</v>
      </c>
      <c r="I574" s="72">
        <v>5444</v>
      </c>
      <c r="J574" s="17">
        <f t="shared" si="13"/>
        <v>0</v>
      </c>
      <c r="K574" s="17"/>
      <c r="L574" s="17" t="s">
        <v>18</v>
      </c>
      <c r="M574" s="16" t="s">
        <v>22</v>
      </c>
      <c r="N574" s="39"/>
    </row>
    <row r="575" spans="1:14" s="12" customFormat="1" ht="18">
      <c r="A575" s="178" t="s">
        <v>80</v>
      </c>
      <c r="B575" s="75" t="s">
        <v>802</v>
      </c>
      <c r="C575" s="39" t="s">
        <v>17</v>
      </c>
      <c r="D575" s="236"/>
      <c r="E575" s="236"/>
      <c r="F575" s="236"/>
      <c r="G575" s="236"/>
      <c r="H575" s="40">
        <f>SUM(Tabla132112419[[#This Row],[PRIMER TRIMESTRE]:[CUARTO TRIMESTRE]])</f>
        <v>0</v>
      </c>
      <c r="I575" s="72">
        <v>6844</v>
      </c>
      <c r="J575" s="17">
        <f t="shared" si="13"/>
        <v>0</v>
      </c>
      <c r="K575" s="17"/>
      <c r="L575" s="17" t="s">
        <v>18</v>
      </c>
      <c r="M575" s="16" t="s">
        <v>22</v>
      </c>
      <c r="N575" s="39"/>
    </row>
    <row r="576" spans="1:14" s="12" customFormat="1" ht="18">
      <c r="A576" s="179" t="s">
        <v>80</v>
      </c>
      <c r="B576" s="76"/>
      <c r="C576" s="42"/>
      <c r="D576" s="237"/>
      <c r="E576" s="237"/>
      <c r="F576" s="237"/>
      <c r="G576" s="237"/>
      <c r="H576" s="43"/>
      <c r="I576" s="24"/>
      <c r="J576" s="24"/>
      <c r="K576" s="25">
        <f>SUM(J201:J575)</f>
        <v>0</v>
      </c>
      <c r="L576" s="23"/>
      <c r="M576" s="23"/>
      <c r="N576" s="42"/>
    </row>
    <row r="577" spans="1:14" s="12" customFormat="1" ht="18">
      <c r="A577" s="178" t="s">
        <v>81</v>
      </c>
      <c r="B577" s="75" t="s">
        <v>207</v>
      </c>
      <c r="C577" s="39" t="s">
        <v>33</v>
      </c>
      <c r="D577" s="236"/>
      <c r="E577" s="236"/>
      <c r="F577" s="236"/>
      <c r="G577" s="236"/>
      <c r="H577" s="40">
        <f>SUM(Tabla132112419[[#This Row],[PRIMER TRIMESTRE]:[CUARTO TRIMESTRE]])</f>
        <v>0</v>
      </c>
      <c r="I577" s="17">
        <v>871.93</v>
      </c>
      <c r="J577" s="17">
        <f>+Tabla132112419[[#This Row],[CANTIDAD TOTAL]]*Tabla132112419[[#This Row],[PRECIO UNITARIO ESTIMADO]]</f>
        <v>0</v>
      </c>
      <c r="K577" s="17"/>
      <c r="L577" s="17" t="s">
        <v>18</v>
      </c>
      <c r="M577" s="16" t="s">
        <v>22</v>
      </c>
      <c r="N577" s="39" t="s">
        <v>418</v>
      </c>
    </row>
    <row r="578" spans="1:14" s="12" customFormat="1" ht="18">
      <c r="A578" s="178" t="s">
        <v>81</v>
      </c>
      <c r="B578" s="75" t="s">
        <v>1279</v>
      </c>
      <c r="C578" s="39" t="s">
        <v>33</v>
      </c>
      <c r="D578" s="236"/>
      <c r="E578" s="236"/>
      <c r="F578" s="236"/>
      <c r="G578" s="236"/>
      <c r="H578" s="40">
        <f>SUM(Tabla132112419[[#This Row],[PRIMER TRIMESTRE]:[CUARTO TRIMESTRE]])</f>
        <v>0</v>
      </c>
      <c r="I578" s="17">
        <v>871.93</v>
      </c>
      <c r="J578" s="17">
        <f t="shared" ref="J578:J584" si="14">+H578*I578</f>
        <v>0</v>
      </c>
      <c r="K578" s="17"/>
      <c r="L578" s="17" t="s">
        <v>18</v>
      </c>
      <c r="M578" s="16" t="s">
        <v>22</v>
      </c>
      <c r="N578" s="39" t="s">
        <v>418</v>
      </c>
    </row>
    <row r="579" spans="1:14" s="12" customFormat="1" ht="18">
      <c r="A579" s="178" t="s">
        <v>81</v>
      </c>
      <c r="B579" s="75" t="s">
        <v>1424</v>
      </c>
      <c r="C579" s="39" t="s">
        <v>33</v>
      </c>
      <c r="D579" s="236"/>
      <c r="E579" s="236"/>
      <c r="F579" s="236"/>
      <c r="G579" s="236"/>
      <c r="H579" s="40">
        <f>SUM(Tabla132112419[[#This Row],[PRIMER TRIMESTRE]:[CUARTO TRIMESTRE]])</f>
        <v>0</v>
      </c>
      <c r="I579" s="17">
        <v>871.93</v>
      </c>
      <c r="J579" s="17">
        <f t="shared" si="14"/>
        <v>0</v>
      </c>
      <c r="K579" s="17"/>
      <c r="L579" s="17" t="s">
        <v>18</v>
      </c>
      <c r="M579" s="16" t="s">
        <v>22</v>
      </c>
      <c r="N579" s="39" t="s">
        <v>418</v>
      </c>
    </row>
    <row r="580" spans="1:14" s="12" customFormat="1" ht="18">
      <c r="A580" s="178" t="s">
        <v>81</v>
      </c>
      <c r="B580" s="75" t="s">
        <v>1347</v>
      </c>
      <c r="C580" s="39" t="s">
        <v>33</v>
      </c>
      <c r="D580" s="236"/>
      <c r="E580" s="236"/>
      <c r="F580" s="236"/>
      <c r="G580" s="236"/>
      <c r="H580" s="40">
        <f>SUM(Tabla132112419[[#This Row],[PRIMER TRIMESTRE]:[CUARTO TRIMESTRE]])</f>
        <v>0</v>
      </c>
      <c r="I580" s="17">
        <v>767</v>
      </c>
      <c r="J580" s="17">
        <f t="shared" si="14"/>
        <v>0</v>
      </c>
      <c r="K580" s="17"/>
      <c r="L580" s="17" t="s">
        <v>18</v>
      </c>
      <c r="M580" s="16" t="s">
        <v>22</v>
      </c>
      <c r="N580" s="39" t="s">
        <v>418</v>
      </c>
    </row>
    <row r="581" spans="1:14" s="12" customFormat="1" ht="18">
      <c r="A581" s="178" t="s">
        <v>81</v>
      </c>
      <c r="B581" s="75" t="s">
        <v>1280</v>
      </c>
      <c r="C581" s="39" t="s">
        <v>33</v>
      </c>
      <c r="D581" s="236"/>
      <c r="E581" s="236"/>
      <c r="F581" s="236"/>
      <c r="G581" s="236"/>
      <c r="H581" s="40">
        <f>SUM(Tabla132112419[[#This Row],[PRIMER TRIMESTRE]:[CUARTO TRIMESTRE]])</f>
        <v>0</v>
      </c>
      <c r="I581" s="17">
        <v>871.93</v>
      </c>
      <c r="J581" s="17">
        <f t="shared" si="14"/>
        <v>0</v>
      </c>
      <c r="K581" s="17"/>
      <c r="L581" s="17" t="s">
        <v>18</v>
      </c>
      <c r="M581" s="16" t="s">
        <v>22</v>
      </c>
      <c r="N581" s="39" t="s">
        <v>418</v>
      </c>
    </row>
    <row r="582" spans="1:14" s="12" customFormat="1" ht="18">
      <c r="A582" s="178" t="s">
        <v>81</v>
      </c>
      <c r="B582" s="75" t="s">
        <v>1345</v>
      </c>
      <c r="C582" s="39" t="s">
        <v>33</v>
      </c>
      <c r="D582" s="236"/>
      <c r="E582" s="236"/>
      <c r="F582" s="236"/>
      <c r="G582" s="236"/>
      <c r="H582" s="40">
        <f>SUM(Tabla132112419[[#This Row],[PRIMER TRIMESTRE]:[CUARTO TRIMESTRE]])</f>
        <v>0</v>
      </c>
      <c r="I582" s="17">
        <v>350</v>
      </c>
      <c r="J582" s="17">
        <f t="shared" si="14"/>
        <v>0</v>
      </c>
      <c r="K582" s="17"/>
      <c r="L582" s="17" t="s">
        <v>18</v>
      </c>
      <c r="M582" s="16" t="s">
        <v>22</v>
      </c>
      <c r="N582" s="39" t="s">
        <v>418</v>
      </c>
    </row>
    <row r="583" spans="1:14" s="26" customFormat="1" ht="18">
      <c r="A583" s="178" t="s">
        <v>81</v>
      </c>
      <c r="B583" s="75" t="s">
        <v>1425</v>
      </c>
      <c r="C583" s="39" t="s">
        <v>33</v>
      </c>
      <c r="D583" s="236"/>
      <c r="E583" s="236"/>
      <c r="F583" s="236"/>
      <c r="G583" s="236"/>
      <c r="H583" s="40">
        <f>SUM(Tabla132112419[[#This Row],[PRIMER TRIMESTRE]:[CUARTO TRIMESTRE]])</f>
        <v>0</v>
      </c>
      <c r="I583" s="17">
        <v>863.54</v>
      </c>
      <c r="J583" s="17">
        <f t="shared" si="14"/>
        <v>0</v>
      </c>
      <c r="K583" s="17"/>
      <c r="L583" s="17" t="s">
        <v>18</v>
      </c>
      <c r="M583" s="16" t="s">
        <v>22</v>
      </c>
      <c r="N583" s="39" t="s">
        <v>418</v>
      </c>
    </row>
    <row r="584" spans="1:14" s="26" customFormat="1" ht="18">
      <c r="A584" s="178" t="s">
        <v>81</v>
      </c>
      <c r="B584" s="75" t="s">
        <v>1434</v>
      </c>
      <c r="C584" s="39" t="s">
        <v>33</v>
      </c>
      <c r="D584" s="236"/>
      <c r="E584" s="236"/>
      <c r="F584" s="236"/>
      <c r="G584" s="236"/>
      <c r="H584" s="40">
        <f>SUM(Tabla132112419[[#This Row],[PRIMER TRIMESTRE]:[CUARTO TRIMESTRE]])</f>
        <v>0</v>
      </c>
      <c r="I584" s="17">
        <v>1165</v>
      </c>
      <c r="J584" s="17">
        <f t="shared" si="14"/>
        <v>0</v>
      </c>
      <c r="K584" s="17"/>
      <c r="L584" s="17" t="s">
        <v>18</v>
      </c>
      <c r="M584" s="16" t="s">
        <v>22</v>
      </c>
      <c r="N584" s="39" t="s">
        <v>418</v>
      </c>
    </row>
    <row r="585" spans="1:14" s="26" customFormat="1" ht="18">
      <c r="A585" s="179" t="s">
        <v>81</v>
      </c>
      <c r="B585" s="76"/>
      <c r="C585" s="42"/>
      <c r="D585" s="237"/>
      <c r="E585" s="237"/>
      <c r="F585" s="237"/>
      <c r="G585" s="237"/>
      <c r="H585" s="43"/>
      <c r="I585" s="24"/>
      <c r="J585" s="24"/>
      <c r="K585" s="25">
        <f>SUM(J577:J584)</f>
        <v>0</v>
      </c>
      <c r="L585" s="23"/>
      <c r="M585" s="23"/>
      <c r="N585" s="42"/>
    </row>
    <row r="586" spans="1:14" s="26" customFormat="1" ht="18">
      <c r="A586" s="178" t="s">
        <v>95</v>
      </c>
      <c r="B586" s="75" t="s">
        <v>1468</v>
      </c>
      <c r="C586" s="39" t="s">
        <v>17</v>
      </c>
      <c r="D586" s="236"/>
      <c r="E586" s="236"/>
      <c r="F586" s="236"/>
      <c r="G586" s="236"/>
      <c r="H586" s="40">
        <f>SUM(Tabla132112419[[#This Row],[PRIMER TRIMESTRE]:[CUARTO TRIMESTRE]])</f>
        <v>0</v>
      </c>
      <c r="I586" s="17">
        <v>3169.99</v>
      </c>
      <c r="J586" s="17">
        <f t="shared" ref="J586:J592" si="15">+H586*I586</f>
        <v>0</v>
      </c>
      <c r="K586" s="17"/>
      <c r="L586" s="16" t="s">
        <v>18</v>
      </c>
      <c r="M586" s="16" t="s">
        <v>22</v>
      </c>
      <c r="N586" s="39" t="s">
        <v>418</v>
      </c>
    </row>
    <row r="587" spans="1:14" s="26" customFormat="1" ht="18">
      <c r="A587" s="178" t="s">
        <v>95</v>
      </c>
      <c r="B587" s="75" t="s">
        <v>1469</v>
      </c>
      <c r="C587" s="39" t="s">
        <v>17</v>
      </c>
      <c r="D587" s="236"/>
      <c r="E587" s="236"/>
      <c r="F587" s="236"/>
      <c r="G587" s="236"/>
      <c r="H587" s="40">
        <f>SUM(Tabla132112419[[#This Row],[PRIMER TRIMESTRE]:[CUARTO TRIMESTRE]])</f>
        <v>0</v>
      </c>
      <c r="I587" s="17">
        <v>4920</v>
      </c>
      <c r="J587" s="17">
        <f t="shared" si="15"/>
        <v>0</v>
      </c>
      <c r="K587" s="17"/>
      <c r="L587" s="16" t="s">
        <v>18</v>
      </c>
      <c r="M587" s="16" t="s">
        <v>22</v>
      </c>
      <c r="N587" s="178"/>
    </row>
    <row r="588" spans="1:14" s="12" customFormat="1" ht="18">
      <c r="A588" s="178" t="s">
        <v>95</v>
      </c>
      <c r="B588" s="75" t="s">
        <v>1470</v>
      </c>
      <c r="C588" s="39" t="s">
        <v>17</v>
      </c>
      <c r="D588" s="236"/>
      <c r="E588" s="236"/>
      <c r="F588" s="236"/>
      <c r="G588" s="236"/>
      <c r="H588" s="40">
        <f>SUM(Tabla132112419[[#This Row],[PRIMER TRIMESTRE]:[CUARTO TRIMESTRE]])</f>
        <v>0</v>
      </c>
      <c r="I588" s="17">
        <v>1521</v>
      </c>
      <c r="J588" s="17">
        <f t="shared" si="15"/>
        <v>0</v>
      </c>
      <c r="K588" s="17"/>
      <c r="L588" s="16" t="s">
        <v>18</v>
      </c>
      <c r="M588" s="16" t="s">
        <v>22</v>
      </c>
      <c r="N588" s="39" t="s">
        <v>418</v>
      </c>
    </row>
    <row r="589" spans="1:14" s="12" customFormat="1" ht="18">
      <c r="A589" s="178" t="s">
        <v>95</v>
      </c>
      <c r="B589" s="75" t="s">
        <v>1471</v>
      </c>
      <c r="C589" s="39" t="s">
        <v>17</v>
      </c>
      <c r="D589" s="236"/>
      <c r="E589" s="236"/>
      <c r="F589" s="236"/>
      <c r="G589" s="236"/>
      <c r="H589" s="40">
        <f>SUM(Tabla132112419[[#This Row],[PRIMER TRIMESTRE]:[CUARTO TRIMESTRE]])</f>
        <v>0</v>
      </c>
      <c r="I589" s="17">
        <v>2028</v>
      </c>
      <c r="J589" s="17">
        <f t="shared" si="15"/>
        <v>0</v>
      </c>
      <c r="K589" s="17"/>
      <c r="L589" s="16" t="s">
        <v>18</v>
      </c>
      <c r="M589" s="16" t="s">
        <v>22</v>
      </c>
      <c r="N589" s="39" t="s">
        <v>418</v>
      </c>
    </row>
    <row r="590" spans="1:14" s="12" customFormat="1" ht="25.5">
      <c r="A590" s="178" t="s">
        <v>95</v>
      </c>
      <c r="B590" s="75" t="str">
        <f ca="1">+UPPER(Tabla132112419[[#This Row],[DESCRIPCIÓN DE LA COMPRA O CONTRATACIÓN]])</f>
        <v>LÁMPARA FLUORESCENTE, DE 2 X 4 PIES, 32 WATTS, COMPLETA</v>
      </c>
      <c r="C590" s="39" t="s">
        <v>17</v>
      </c>
      <c r="D590" s="236"/>
      <c r="E590" s="236"/>
      <c r="F590" s="236"/>
      <c r="G590" s="236"/>
      <c r="H590" s="40">
        <f>SUM(Tabla132112419[[#This Row],[PRIMER TRIMESTRE]:[CUARTO TRIMESTRE]])</f>
        <v>0</v>
      </c>
      <c r="I590" s="17">
        <v>63.44</v>
      </c>
      <c r="J590" s="17">
        <f t="shared" si="15"/>
        <v>0</v>
      </c>
      <c r="K590" s="17"/>
      <c r="L590" s="16" t="s">
        <v>15</v>
      </c>
      <c r="M590" s="16" t="s">
        <v>22</v>
      </c>
      <c r="N590" s="39"/>
    </row>
    <row r="591" spans="1:14" s="12" customFormat="1" ht="18">
      <c r="A591" s="178" t="s">
        <v>95</v>
      </c>
      <c r="B591" s="75" t="s">
        <v>1539</v>
      </c>
      <c r="C591" s="39" t="s">
        <v>17</v>
      </c>
      <c r="D591" s="236"/>
      <c r="E591" s="236"/>
      <c r="F591" s="236"/>
      <c r="G591" s="236"/>
      <c r="H591" s="40">
        <f>SUM(Tabla132112419[[#This Row],[PRIMER TRIMESTRE]:[CUARTO TRIMESTRE]])</f>
        <v>0</v>
      </c>
      <c r="I591" s="17">
        <v>45</v>
      </c>
      <c r="J591" s="17">
        <f t="shared" si="15"/>
        <v>0</v>
      </c>
      <c r="K591" s="17"/>
      <c r="L591" s="16" t="s">
        <v>18</v>
      </c>
      <c r="M591" s="16" t="s">
        <v>22</v>
      </c>
      <c r="N591" s="39" t="s">
        <v>418</v>
      </c>
    </row>
    <row r="592" spans="1:14" s="12" customFormat="1" ht="18">
      <c r="A592" s="178" t="s">
        <v>95</v>
      </c>
      <c r="B592" s="75" t="s">
        <v>1540</v>
      </c>
      <c r="C592" s="39" t="s">
        <v>17</v>
      </c>
      <c r="D592" s="236"/>
      <c r="E592" s="236"/>
      <c r="F592" s="236"/>
      <c r="G592" s="236"/>
      <c r="H592" s="40">
        <f>SUM(Tabla132112419[[#This Row],[PRIMER TRIMESTRE]:[CUARTO TRIMESTRE]])</f>
        <v>0</v>
      </c>
      <c r="I592" s="17">
        <v>45</v>
      </c>
      <c r="J592" s="17">
        <f t="shared" si="15"/>
        <v>0</v>
      </c>
      <c r="K592" s="17"/>
      <c r="L592" s="16" t="s">
        <v>18</v>
      </c>
      <c r="M592" s="16" t="s">
        <v>22</v>
      </c>
      <c r="N592" s="39" t="s">
        <v>418</v>
      </c>
    </row>
    <row r="593" spans="1:14" s="12" customFormat="1" ht="18">
      <c r="A593" s="178" t="s">
        <v>95</v>
      </c>
      <c r="B593" s="75" t="s">
        <v>209</v>
      </c>
      <c r="C593" s="39" t="s">
        <v>17</v>
      </c>
      <c r="D593" s="236"/>
      <c r="E593" s="236"/>
      <c r="F593" s="236"/>
      <c r="G593" s="236"/>
      <c r="H593" s="40">
        <f>SUM(Tabla132112419[[#This Row],[PRIMER TRIMESTRE]:[CUARTO TRIMESTRE]])</f>
        <v>0</v>
      </c>
      <c r="I593" s="17">
        <v>1417.52</v>
      </c>
      <c r="J593" s="17">
        <f>+Tabla132112419[[#This Row],[CANTIDAD TOTAL]]*Tabla132112419[[#This Row],[PRECIO UNITARIO ESTIMADO]]</f>
        <v>0</v>
      </c>
      <c r="K593" s="17"/>
      <c r="L593" s="16" t="s">
        <v>27</v>
      </c>
      <c r="M593" s="16" t="s">
        <v>22</v>
      </c>
      <c r="N593" s="39"/>
    </row>
    <row r="594" spans="1:14" s="12" customFormat="1" ht="18">
      <c r="A594" s="178" t="s">
        <v>95</v>
      </c>
      <c r="B594" s="75" t="s">
        <v>1467</v>
      </c>
      <c r="C594" s="39" t="s">
        <v>17</v>
      </c>
      <c r="D594" s="236"/>
      <c r="E594" s="236"/>
      <c r="F594" s="236"/>
      <c r="G594" s="236"/>
      <c r="H594" s="236">
        <f>SUM(Tabla132112419[[#This Row],[PRIMER TRIMESTRE]:[CUARTO TRIMESTRE]])</f>
        <v>0</v>
      </c>
      <c r="I594" s="17">
        <v>5268.24</v>
      </c>
      <c r="J594" s="17">
        <f t="shared" ref="J594:J603" si="16">+H594*I594</f>
        <v>0</v>
      </c>
      <c r="K594" s="17"/>
      <c r="L594" s="16" t="s">
        <v>18</v>
      </c>
      <c r="M594" s="16" t="s">
        <v>22</v>
      </c>
      <c r="N594" s="39" t="s">
        <v>418</v>
      </c>
    </row>
    <row r="595" spans="1:14" s="12" customFormat="1" ht="25.5">
      <c r="A595" s="178" t="s">
        <v>95</v>
      </c>
      <c r="B595" s="77" t="s">
        <v>881</v>
      </c>
      <c r="C595" s="39" t="s">
        <v>17</v>
      </c>
      <c r="D595" s="236"/>
      <c r="E595" s="236"/>
      <c r="F595" s="236"/>
      <c r="G595" s="236"/>
      <c r="H595" s="40">
        <f>SUM(Tabla132112419[[#This Row],[PRIMER TRIMESTRE]:[CUARTO TRIMESTRE]])</f>
        <v>0</v>
      </c>
      <c r="I595" s="17">
        <v>877.77</v>
      </c>
      <c r="J595" s="17">
        <f t="shared" si="16"/>
        <v>0</v>
      </c>
      <c r="K595" s="17"/>
      <c r="L595" s="16" t="s">
        <v>15</v>
      </c>
      <c r="M595" s="16" t="s">
        <v>22</v>
      </c>
      <c r="N595" s="39"/>
    </row>
    <row r="596" spans="1:14" s="12" customFormat="1" ht="25.5">
      <c r="A596" s="178" t="s">
        <v>95</v>
      </c>
      <c r="B596" s="77" t="s">
        <v>1624</v>
      </c>
      <c r="C596" s="39" t="s">
        <v>17</v>
      </c>
      <c r="D596" s="236"/>
      <c r="E596" s="236"/>
      <c r="F596" s="236"/>
      <c r="G596" s="236"/>
      <c r="H596" s="236">
        <f>SUM(Tabla132112419[[#This Row],[PRIMER TRIMESTRE]:[CUARTO TRIMESTRE]])</f>
        <v>0</v>
      </c>
      <c r="I596" s="17">
        <v>4800</v>
      </c>
      <c r="J596" s="17">
        <f t="shared" si="16"/>
        <v>0</v>
      </c>
      <c r="K596" s="17"/>
      <c r="L596" s="16" t="s">
        <v>18</v>
      </c>
      <c r="M596" s="16" t="s">
        <v>22</v>
      </c>
      <c r="N596" s="39"/>
    </row>
    <row r="597" spans="1:14" s="12" customFormat="1" ht="25.5">
      <c r="A597" s="178" t="s">
        <v>95</v>
      </c>
      <c r="B597" s="77" t="s">
        <v>1593</v>
      </c>
      <c r="C597" s="39" t="s">
        <v>17</v>
      </c>
      <c r="D597" s="236"/>
      <c r="E597" s="236"/>
      <c r="F597" s="236"/>
      <c r="G597" s="236"/>
      <c r="H597" s="236">
        <f>SUM(Tabla132112419[[#This Row],[PRIMER TRIMESTRE]:[CUARTO TRIMESTRE]])</f>
        <v>0</v>
      </c>
      <c r="I597" s="17">
        <v>1980</v>
      </c>
      <c r="J597" s="17">
        <f t="shared" si="16"/>
        <v>0</v>
      </c>
      <c r="K597" s="17"/>
      <c r="L597" s="16" t="s">
        <v>18</v>
      </c>
      <c r="M597" s="16" t="s">
        <v>22</v>
      </c>
      <c r="N597" s="39"/>
    </row>
    <row r="598" spans="1:14" s="12" customFormat="1" ht="18">
      <c r="A598" s="178" t="s">
        <v>95</v>
      </c>
      <c r="B598" s="77" t="s">
        <v>1544</v>
      </c>
      <c r="C598" s="39" t="s">
        <v>17</v>
      </c>
      <c r="D598" s="236"/>
      <c r="E598" s="236"/>
      <c r="F598" s="236"/>
      <c r="G598" s="236"/>
      <c r="H598" s="236">
        <f>SUM(Tabla132112419[[#This Row],[PRIMER TRIMESTRE]:[CUARTO TRIMESTRE]])</f>
        <v>0</v>
      </c>
      <c r="I598" s="17">
        <v>68</v>
      </c>
      <c r="J598" s="17">
        <f t="shared" si="16"/>
        <v>0</v>
      </c>
      <c r="K598" s="17"/>
      <c r="L598" s="16" t="s">
        <v>18</v>
      </c>
      <c r="M598" s="16" t="s">
        <v>22</v>
      </c>
      <c r="N598" s="39"/>
    </row>
    <row r="599" spans="1:14" s="12" customFormat="1" ht="18">
      <c r="A599" s="178" t="s">
        <v>95</v>
      </c>
      <c r="B599" s="77" t="s">
        <v>1543</v>
      </c>
      <c r="C599" s="39" t="s">
        <v>17</v>
      </c>
      <c r="D599" s="236"/>
      <c r="E599" s="236"/>
      <c r="F599" s="236"/>
      <c r="G599" s="236"/>
      <c r="H599" s="236">
        <f>SUM(Tabla132112419[[#This Row],[PRIMER TRIMESTRE]:[CUARTO TRIMESTRE]])</f>
        <v>0</v>
      </c>
      <c r="I599" s="17">
        <v>161.28</v>
      </c>
      <c r="J599" s="17">
        <f t="shared" si="16"/>
        <v>0</v>
      </c>
      <c r="K599" s="17"/>
      <c r="L599" s="16" t="s">
        <v>18</v>
      </c>
      <c r="M599" s="16" t="s">
        <v>22</v>
      </c>
      <c r="N599" s="39"/>
    </row>
    <row r="600" spans="1:14" s="12" customFormat="1" ht="18">
      <c r="A600" s="178" t="s">
        <v>95</v>
      </c>
      <c r="B600" s="77" t="s">
        <v>1625</v>
      </c>
      <c r="C600" s="39" t="s">
        <v>17</v>
      </c>
      <c r="D600" s="236"/>
      <c r="E600" s="236"/>
      <c r="F600" s="236"/>
      <c r="G600" s="236"/>
      <c r="H600" s="236">
        <f>SUM(Tabla132112419[[#This Row],[PRIMER TRIMESTRE]:[CUARTO TRIMESTRE]])</f>
        <v>0</v>
      </c>
      <c r="I600" s="17">
        <v>400</v>
      </c>
      <c r="J600" s="17">
        <f t="shared" si="16"/>
        <v>0</v>
      </c>
      <c r="K600" s="17"/>
      <c r="L600" s="16" t="s">
        <v>18</v>
      </c>
      <c r="M600" s="16" t="s">
        <v>22</v>
      </c>
      <c r="N600" s="39"/>
    </row>
    <row r="601" spans="1:14" s="12" customFormat="1" ht="18">
      <c r="A601" s="178" t="s">
        <v>95</v>
      </c>
      <c r="B601" s="77" t="s">
        <v>1542</v>
      </c>
      <c r="C601" s="39" t="s">
        <v>17</v>
      </c>
      <c r="D601" s="236"/>
      <c r="E601" s="236"/>
      <c r="F601" s="236"/>
      <c r="G601" s="236"/>
      <c r="H601" s="236">
        <f>SUM(Tabla132112419[[#This Row],[PRIMER TRIMESTRE]:[CUARTO TRIMESTRE]])</f>
        <v>0</v>
      </c>
      <c r="I601" s="17">
        <v>40</v>
      </c>
      <c r="J601" s="17">
        <f t="shared" si="16"/>
        <v>0</v>
      </c>
      <c r="K601" s="17"/>
      <c r="L601" s="16" t="s">
        <v>18</v>
      </c>
      <c r="M601" s="16" t="s">
        <v>22</v>
      </c>
      <c r="N601" s="39"/>
    </row>
    <row r="602" spans="1:14" s="26" customFormat="1" ht="18">
      <c r="A602" s="178" t="s">
        <v>95</v>
      </c>
      <c r="B602" s="77" t="s">
        <v>1541</v>
      </c>
      <c r="C602" s="39" t="s">
        <v>17</v>
      </c>
      <c r="D602" s="236"/>
      <c r="E602" s="236"/>
      <c r="F602" s="236"/>
      <c r="G602" s="236"/>
      <c r="H602" s="236">
        <f>SUM(Tabla132112419[[#This Row],[PRIMER TRIMESTRE]:[CUARTO TRIMESTRE]])</f>
        <v>0</v>
      </c>
      <c r="I602" s="17">
        <v>170</v>
      </c>
      <c r="J602" s="17">
        <f t="shared" si="16"/>
        <v>0</v>
      </c>
      <c r="K602" s="17"/>
      <c r="L602" s="16" t="s">
        <v>18</v>
      </c>
      <c r="M602" s="16" t="s">
        <v>22</v>
      </c>
      <c r="N602" s="39"/>
    </row>
    <row r="603" spans="1:14" s="12" customFormat="1" ht="25.5">
      <c r="A603" s="178" t="s">
        <v>95</v>
      </c>
      <c r="B603" s="77" t="s">
        <v>1472</v>
      </c>
      <c r="C603" s="39" t="s">
        <v>17</v>
      </c>
      <c r="D603" s="236"/>
      <c r="E603" s="236"/>
      <c r="F603" s="236"/>
      <c r="G603" s="236"/>
      <c r="H603" s="236">
        <f>SUM(Tabla132112419[[#This Row],[PRIMER TRIMESTRE]:[CUARTO TRIMESTRE]])</f>
        <v>0</v>
      </c>
      <c r="I603" s="17">
        <v>28982</v>
      </c>
      <c r="J603" s="17">
        <f t="shared" si="16"/>
        <v>0</v>
      </c>
      <c r="K603" s="17"/>
      <c r="L603" s="16" t="s">
        <v>18</v>
      </c>
      <c r="M603" s="16" t="s">
        <v>22</v>
      </c>
      <c r="N603" s="39"/>
    </row>
    <row r="604" spans="1:14" s="12" customFormat="1" ht="31.5">
      <c r="A604" s="179" t="s">
        <v>95</v>
      </c>
      <c r="B604" s="76"/>
      <c r="C604" s="42"/>
      <c r="D604" s="237"/>
      <c r="E604" s="237"/>
      <c r="F604" s="237"/>
      <c r="G604" s="237"/>
      <c r="H604" s="43"/>
      <c r="I604" s="24"/>
      <c r="J604" s="24"/>
      <c r="K604" s="25">
        <f>SUM(J586:J603)</f>
        <v>0</v>
      </c>
      <c r="L604" s="23"/>
      <c r="M604" s="23"/>
      <c r="N604" s="42"/>
    </row>
    <row r="605" spans="1:14" s="12" customFormat="1" ht="30">
      <c r="A605" s="178" t="s">
        <v>96</v>
      </c>
      <c r="B605" s="75" t="str">
        <f ca="1">+UPPER(Tabla132112419[[#This Row],[DESCRIPCIÓN DE LA COMPRA O CONTRATACIÓN]])</f>
        <v>CUT-OUTS 15 KV 200 AMPERES</v>
      </c>
      <c r="C605" s="39" t="s">
        <v>17</v>
      </c>
      <c r="D605" s="236"/>
      <c r="E605" s="236"/>
      <c r="F605" s="236"/>
      <c r="G605" s="236"/>
      <c r="H605" s="40">
        <f>SUM(Tabla132112419[[#This Row],[PRIMER TRIMESTRE]:[CUARTO TRIMESTRE]])</f>
        <v>0</v>
      </c>
      <c r="I605" s="17">
        <v>6486.1</v>
      </c>
      <c r="J605" s="17">
        <f t="shared" ref="J605:J612" si="17">+H605*I605</f>
        <v>0</v>
      </c>
      <c r="K605" s="17"/>
      <c r="L605" s="16" t="s">
        <v>18</v>
      </c>
      <c r="M605" s="16" t="s">
        <v>22</v>
      </c>
      <c r="N605" s="39"/>
    </row>
    <row r="606" spans="1:14" s="12" customFormat="1" ht="30">
      <c r="A606" s="178" t="s">
        <v>96</v>
      </c>
      <c r="B606" s="75" t="str">
        <f ca="1">+UPPER(Tabla132112419[[#This Row],[DESCRIPCIÓN DE LA COMPRA O CONTRATACIÓN]])</f>
        <v>CUT-OUTS 15 KV 100 AMPERES</v>
      </c>
      <c r="C606" s="39" t="s">
        <v>17</v>
      </c>
      <c r="D606" s="236"/>
      <c r="E606" s="236"/>
      <c r="F606" s="236"/>
      <c r="G606" s="236"/>
      <c r="H606" s="40">
        <f>SUM(Tabla132112419[[#This Row],[PRIMER TRIMESTRE]:[CUARTO TRIMESTRE]])</f>
        <v>0</v>
      </c>
      <c r="I606" s="17">
        <v>4877.16</v>
      </c>
      <c r="J606" s="17">
        <f t="shared" si="17"/>
        <v>0</v>
      </c>
      <c r="K606" s="17"/>
      <c r="L606" s="16" t="s">
        <v>18</v>
      </c>
      <c r="M606" s="16" t="s">
        <v>22</v>
      </c>
      <c r="N606" s="39"/>
    </row>
    <row r="607" spans="1:14" s="12" customFormat="1" ht="30">
      <c r="A607" s="178" t="s">
        <v>96</v>
      </c>
      <c r="B607" s="75" t="str">
        <f ca="1">+UPPER(Tabla132112419[[#This Row],[DESCRIPCIÓN DE LA COMPRA O CONTRATACIÓN]])</f>
        <v>APARTARRAYOS DE 9KV</v>
      </c>
      <c r="C607" s="39" t="s">
        <v>17</v>
      </c>
      <c r="D607" s="236"/>
      <c r="E607" s="236"/>
      <c r="F607" s="236"/>
      <c r="G607" s="236"/>
      <c r="H607" s="40">
        <f>SUM(Tabla132112419[[#This Row],[PRIMER TRIMESTRE]:[CUARTO TRIMESTRE]])</f>
        <v>0</v>
      </c>
      <c r="I607" s="17">
        <v>2726</v>
      </c>
      <c r="J607" s="17">
        <f t="shared" si="17"/>
        <v>0</v>
      </c>
      <c r="K607" s="17"/>
      <c r="L607" s="16" t="s">
        <v>18</v>
      </c>
      <c r="M607" s="16" t="s">
        <v>22</v>
      </c>
      <c r="N607" s="39"/>
    </row>
    <row r="608" spans="1:14" s="12" customFormat="1" ht="30">
      <c r="A608" s="178" t="s">
        <v>96</v>
      </c>
      <c r="B608" s="75" t="s">
        <v>1217</v>
      </c>
      <c r="C608" s="39" t="s">
        <v>17</v>
      </c>
      <c r="D608" s="236"/>
      <c r="E608" s="236"/>
      <c r="F608" s="236"/>
      <c r="G608" s="236"/>
      <c r="H608" s="40">
        <f>SUM(Tabla132112419[[#This Row],[PRIMER TRIMESTRE]:[CUARTO TRIMESTRE]])</f>
        <v>0</v>
      </c>
      <c r="I608" s="17">
        <v>2438.11</v>
      </c>
      <c r="J608" s="17">
        <f t="shared" si="17"/>
        <v>0</v>
      </c>
      <c r="K608" s="17"/>
      <c r="L608" s="16" t="s">
        <v>18</v>
      </c>
      <c r="M608" s="16" t="s">
        <v>22</v>
      </c>
      <c r="N608" s="39"/>
    </row>
    <row r="609" spans="1:14" s="12" customFormat="1" ht="30">
      <c r="A609" s="178" t="s">
        <v>96</v>
      </c>
      <c r="B609" s="75" t="str">
        <f ca="1">+UPPER(Tabla132112419[[#This Row],[DESCRIPCIÓN DE LA COMPRA O CONTRATACIÓN]])</f>
        <v>APARTARRAYOS DE 220V, SECUNDARIO</v>
      </c>
      <c r="C609" s="39" t="s">
        <v>17</v>
      </c>
      <c r="D609" s="236"/>
      <c r="E609" s="236"/>
      <c r="F609" s="236"/>
      <c r="G609" s="236"/>
      <c r="H609" s="40">
        <f>SUM(Tabla132112419[[#This Row],[PRIMER TRIMESTRE]:[CUARTO TRIMESTRE]])</f>
        <v>0</v>
      </c>
      <c r="I609" s="17">
        <v>6840</v>
      </c>
      <c r="J609" s="17">
        <f t="shared" si="17"/>
        <v>0</v>
      </c>
      <c r="K609" s="17"/>
      <c r="L609" s="16" t="s">
        <v>18</v>
      </c>
      <c r="M609" s="16" t="s">
        <v>22</v>
      </c>
      <c r="N609" s="39"/>
    </row>
    <row r="610" spans="1:14" s="12" customFormat="1" ht="30">
      <c r="A610" s="178" t="s">
        <v>96</v>
      </c>
      <c r="B610" s="75" t="str">
        <f ca="1">+UPPER(Tabla132112419[[#This Row],[DESCRIPCIÓN DE LA COMPRA O CONTRATACIÓN]])</f>
        <v>APARTARRAYOS DE 480V, SECUNDARIO</v>
      </c>
      <c r="C610" s="39" t="s">
        <v>17</v>
      </c>
      <c r="D610" s="236"/>
      <c r="E610" s="236"/>
      <c r="F610" s="236"/>
      <c r="G610" s="236"/>
      <c r="H610" s="40">
        <f>SUM(Tabla132112419[[#This Row],[PRIMER TRIMESTRE]:[CUARTO TRIMESTRE]])</f>
        <v>0</v>
      </c>
      <c r="I610" s="72">
        <v>6900</v>
      </c>
      <c r="J610" s="17">
        <f t="shared" si="17"/>
        <v>0</v>
      </c>
      <c r="K610" s="17"/>
      <c r="L610" s="16" t="s">
        <v>18</v>
      </c>
      <c r="M610" s="16" t="s">
        <v>22</v>
      </c>
      <c r="N610" s="39"/>
    </row>
    <row r="611" spans="1:14" s="12" customFormat="1" ht="30">
      <c r="A611" s="178" t="s">
        <v>96</v>
      </c>
      <c r="B611" s="75" t="s">
        <v>1679</v>
      </c>
      <c r="C611" s="39" t="s">
        <v>17</v>
      </c>
      <c r="D611" s="236"/>
      <c r="E611" s="236"/>
      <c r="F611" s="236"/>
      <c r="G611" s="236"/>
      <c r="H611" s="40">
        <v>0</v>
      </c>
      <c r="I611" s="72">
        <v>0</v>
      </c>
      <c r="J611" s="17">
        <v>0</v>
      </c>
      <c r="K611" s="17"/>
      <c r="L611" s="16" t="s">
        <v>18</v>
      </c>
      <c r="M611" s="16" t="s">
        <v>22</v>
      </c>
      <c r="N611" s="39"/>
    </row>
    <row r="612" spans="1:14" s="12" customFormat="1" ht="30">
      <c r="A612" s="178" t="s">
        <v>96</v>
      </c>
      <c r="B612" s="75" t="s">
        <v>1597</v>
      </c>
      <c r="C612" s="39" t="s">
        <v>17</v>
      </c>
      <c r="D612" s="236"/>
      <c r="E612" s="236"/>
      <c r="F612" s="236"/>
      <c r="G612" s="236"/>
      <c r="H612" s="236">
        <f>SUM(Tabla132112419[[#This Row],[PRIMER TRIMESTRE]:[CUARTO TRIMESTRE]])</f>
        <v>0</v>
      </c>
      <c r="I612" s="72">
        <v>101.53</v>
      </c>
      <c r="J612" s="17">
        <f t="shared" si="17"/>
        <v>0</v>
      </c>
      <c r="K612" s="17"/>
      <c r="L612" s="16" t="s">
        <v>18</v>
      </c>
      <c r="M612" s="16" t="s">
        <v>22</v>
      </c>
      <c r="N612" s="39"/>
    </row>
    <row r="613" spans="1:14" s="12" customFormat="1" ht="30">
      <c r="A613" s="178" t="s">
        <v>96</v>
      </c>
      <c r="B613" s="75" t="s">
        <v>777</v>
      </c>
      <c r="C613" s="39" t="s">
        <v>17</v>
      </c>
      <c r="D613" s="236"/>
      <c r="E613" s="236"/>
      <c r="F613" s="236"/>
      <c r="G613" s="236"/>
      <c r="H613" s="236">
        <f>SUM(Tabla132112419[[#This Row],[PRIMER TRIMESTRE]:[CUARTO TRIMESTRE]])</f>
        <v>0</v>
      </c>
      <c r="I613" s="72">
        <v>13750</v>
      </c>
      <c r="J613" s="17">
        <f>+Tabla132112419[[#This Row],[CANTIDAD TOTAL]]*Tabla132112419[[#This Row],[PRECIO UNITARIO ESTIMADO]]</f>
        <v>0</v>
      </c>
      <c r="K613" s="17"/>
      <c r="L613" s="16" t="s">
        <v>18</v>
      </c>
      <c r="M613" s="16" t="s">
        <v>22</v>
      </c>
      <c r="N613" s="39" t="s">
        <v>418</v>
      </c>
    </row>
    <row r="614" spans="1:14" s="12" customFormat="1" ht="30">
      <c r="A614" s="178" t="s">
        <v>96</v>
      </c>
      <c r="B614" s="75" t="s">
        <v>1599</v>
      </c>
      <c r="C614" s="39" t="s">
        <v>17</v>
      </c>
      <c r="D614" s="236"/>
      <c r="E614" s="236"/>
      <c r="F614" s="236"/>
      <c r="G614" s="236"/>
      <c r="H614" s="236">
        <f>SUM(Tabla132112419[[#This Row],[PRIMER TRIMESTRE]:[CUARTO TRIMESTRE]])</f>
        <v>0</v>
      </c>
      <c r="I614" s="72">
        <v>110</v>
      </c>
      <c r="J614" s="17">
        <f>+H614*I614</f>
        <v>0</v>
      </c>
      <c r="K614" s="17"/>
      <c r="L614" s="16" t="s">
        <v>18</v>
      </c>
      <c r="M614" s="16" t="s">
        <v>22</v>
      </c>
      <c r="N614" s="39"/>
    </row>
    <row r="615" spans="1:14" s="12" customFormat="1" ht="30">
      <c r="A615" s="178" t="s">
        <v>96</v>
      </c>
      <c r="B615" s="75" t="s">
        <v>1600</v>
      </c>
      <c r="C615" s="39" t="s">
        <v>17</v>
      </c>
      <c r="D615" s="236"/>
      <c r="E615" s="236"/>
      <c r="F615" s="236"/>
      <c r="G615" s="236"/>
      <c r="H615" s="236">
        <f>SUM(Tabla132112419[[#This Row],[PRIMER TRIMESTRE]:[CUARTO TRIMESTRE]])</f>
        <v>0</v>
      </c>
      <c r="I615" s="72">
        <v>40</v>
      </c>
      <c r="J615" s="17">
        <f>+H615*I615</f>
        <v>0</v>
      </c>
      <c r="K615" s="17"/>
      <c r="L615" s="16" t="s">
        <v>18</v>
      </c>
      <c r="M615" s="16" t="s">
        <v>22</v>
      </c>
      <c r="N615" s="39"/>
    </row>
    <row r="616" spans="1:14" s="12" customFormat="1" ht="30">
      <c r="A616" s="178" t="s">
        <v>96</v>
      </c>
      <c r="B616" s="75" t="s">
        <v>1598</v>
      </c>
      <c r="C616" s="39" t="s">
        <v>17</v>
      </c>
      <c r="D616" s="236"/>
      <c r="E616" s="236"/>
      <c r="F616" s="236"/>
      <c r="G616" s="236"/>
      <c r="H616" s="236">
        <f>SUM(Tabla132112419[[#This Row],[PRIMER TRIMESTRE]:[CUARTO TRIMESTRE]])</f>
        <v>0</v>
      </c>
      <c r="I616" s="72">
        <v>90</v>
      </c>
      <c r="J616" s="17">
        <f>+H616*I616</f>
        <v>0</v>
      </c>
      <c r="K616" s="17"/>
      <c r="L616" s="16" t="s">
        <v>18</v>
      </c>
      <c r="M616" s="16" t="s">
        <v>22</v>
      </c>
      <c r="N616" s="39"/>
    </row>
    <row r="617" spans="1:14" s="12" customFormat="1" ht="30">
      <c r="A617" s="178" t="s">
        <v>96</v>
      </c>
      <c r="B617" s="75" t="s">
        <v>210</v>
      </c>
      <c r="C617" s="39" t="s">
        <v>17</v>
      </c>
      <c r="D617" s="236"/>
      <c r="E617" s="236"/>
      <c r="F617" s="236"/>
      <c r="G617" s="236"/>
      <c r="H617" s="236">
        <f>SUM(Tabla132112419[[#This Row],[PRIMER TRIMESTRE]:[CUARTO TRIMESTRE]])</f>
        <v>0</v>
      </c>
      <c r="I617" s="72">
        <v>13750</v>
      </c>
      <c r="J617" s="17">
        <f>+Tabla132112419[[#This Row],[CANTIDAD TOTAL]]*Tabla132112419[[#This Row],[PRECIO UNITARIO ESTIMADO]]</f>
        <v>0</v>
      </c>
      <c r="K617" s="17"/>
      <c r="L617" s="16" t="s">
        <v>18</v>
      </c>
      <c r="M617" s="16" t="s">
        <v>22</v>
      </c>
      <c r="N617" s="39" t="s">
        <v>418</v>
      </c>
    </row>
    <row r="618" spans="1:14" s="12" customFormat="1" ht="30">
      <c r="A618" s="178" t="s">
        <v>96</v>
      </c>
      <c r="B618" s="75" t="s">
        <v>1594</v>
      </c>
      <c r="C618" s="39" t="s">
        <v>17</v>
      </c>
      <c r="D618" s="236"/>
      <c r="E618" s="236"/>
      <c r="F618" s="236"/>
      <c r="G618" s="236"/>
      <c r="H618" s="236">
        <f>SUM(Tabla132112419[[#This Row],[PRIMER TRIMESTRE]:[CUARTO TRIMESTRE]])</f>
        <v>0</v>
      </c>
      <c r="I618" s="72">
        <v>95</v>
      </c>
      <c r="J618" s="17">
        <f>+H618*I618</f>
        <v>0</v>
      </c>
      <c r="K618" s="17"/>
      <c r="L618" s="16" t="s">
        <v>18</v>
      </c>
      <c r="M618" s="16" t="s">
        <v>22</v>
      </c>
      <c r="N618" s="39"/>
    </row>
    <row r="619" spans="1:14" s="12" customFormat="1" ht="30">
      <c r="A619" s="178" t="s">
        <v>96</v>
      </c>
      <c r="B619" s="75" t="s">
        <v>1596</v>
      </c>
      <c r="C619" s="39" t="s">
        <v>17</v>
      </c>
      <c r="D619" s="236"/>
      <c r="E619" s="236"/>
      <c r="F619" s="236"/>
      <c r="G619" s="236"/>
      <c r="H619" s="236">
        <f>SUM(Tabla132112419[[#This Row],[PRIMER TRIMESTRE]:[CUARTO TRIMESTRE]])</f>
        <v>0</v>
      </c>
      <c r="I619" s="72">
        <v>95</v>
      </c>
      <c r="J619" s="17">
        <f>+H619*I619</f>
        <v>0</v>
      </c>
      <c r="K619" s="17"/>
      <c r="L619" s="16" t="s">
        <v>18</v>
      </c>
      <c r="M619" s="16" t="s">
        <v>22</v>
      </c>
      <c r="N619" s="39"/>
    </row>
    <row r="620" spans="1:14" s="12" customFormat="1" ht="30">
      <c r="A620" s="178" t="s">
        <v>96</v>
      </c>
      <c r="B620" s="75" t="s">
        <v>211</v>
      </c>
      <c r="C620" s="39" t="s">
        <v>17</v>
      </c>
      <c r="D620" s="236"/>
      <c r="E620" s="236"/>
      <c r="F620" s="236"/>
      <c r="G620" s="236"/>
      <c r="H620" s="40">
        <f>SUM(Tabla132112419[[#This Row],[PRIMER TRIMESTRE]:[CUARTO TRIMESTRE]])</f>
        <v>0</v>
      </c>
      <c r="I620" s="17">
        <v>191</v>
      </c>
      <c r="J620" s="17">
        <f>+Tabla132112419[[#This Row],[CANTIDAD TOTAL]]*Tabla132112419[[#This Row],[PRECIO UNITARIO ESTIMADO]]</f>
        <v>0</v>
      </c>
      <c r="K620" s="17"/>
      <c r="L620" s="16" t="s">
        <v>18</v>
      </c>
      <c r="M620" s="16" t="s">
        <v>22</v>
      </c>
      <c r="N620" s="39" t="s">
        <v>418</v>
      </c>
    </row>
    <row r="621" spans="1:14" s="12" customFormat="1" ht="30">
      <c r="A621" s="178" t="s">
        <v>96</v>
      </c>
      <c r="B621" s="75" t="s">
        <v>772</v>
      </c>
      <c r="C621" s="39" t="s">
        <v>17</v>
      </c>
      <c r="D621" s="236"/>
      <c r="E621" s="236"/>
      <c r="F621" s="236"/>
      <c r="G621" s="236"/>
      <c r="H621" s="40">
        <f>SUM(Tabla132112419[[#This Row],[PRIMER TRIMESTRE]:[CUARTO TRIMESTRE]])</f>
        <v>0</v>
      </c>
      <c r="I621" s="72">
        <v>7700</v>
      </c>
      <c r="J621" s="17">
        <f>+H621*I621</f>
        <v>0</v>
      </c>
      <c r="K621" s="17"/>
      <c r="L621" s="16" t="s">
        <v>18</v>
      </c>
      <c r="M621" s="16" t="s">
        <v>22</v>
      </c>
      <c r="N621" s="39"/>
    </row>
    <row r="622" spans="1:14" s="12" customFormat="1" ht="30">
      <c r="A622" s="178" t="s">
        <v>96</v>
      </c>
      <c r="B622" s="75" t="s">
        <v>1690</v>
      </c>
      <c r="C622" s="39" t="s">
        <v>343</v>
      </c>
      <c r="D622" s="236"/>
      <c r="E622" s="236"/>
      <c r="F622" s="236"/>
      <c r="G622" s="236"/>
      <c r="H622" s="40">
        <v>0</v>
      </c>
      <c r="I622" s="72">
        <v>0</v>
      </c>
      <c r="J622" s="17">
        <v>0</v>
      </c>
      <c r="K622" s="17"/>
      <c r="L622" s="16" t="s">
        <v>18</v>
      </c>
      <c r="M622" s="16" t="s">
        <v>22</v>
      </c>
      <c r="N622" s="39"/>
    </row>
    <row r="623" spans="1:14" s="12" customFormat="1" ht="30">
      <c r="A623" s="178" t="s">
        <v>96</v>
      </c>
      <c r="B623" s="75" t="s">
        <v>229</v>
      </c>
      <c r="C623" s="39" t="s">
        <v>17</v>
      </c>
      <c r="D623" s="236"/>
      <c r="E623" s="236"/>
      <c r="F623" s="236"/>
      <c r="G623" s="236"/>
      <c r="H623" s="40">
        <f>SUM(Tabla132112419[[#This Row],[PRIMER TRIMESTRE]:[CUARTO TRIMESTRE]])</f>
        <v>0</v>
      </c>
      <c r="I623" s="17">
        <v>6460</v>
      </c>
      <c r="J623" s="17">
        <f>+Tabla132112419[[#This Row],[CANTIDAD TOTAL]]*Tabla132112419[[#This Row],[PRECIO UNITARIO ESTIMADO]]</f>
        <v>0</v>
      </c>
      <c r="K623" s="17"/>
      <c r="L623" s="16" t="s">
        <v>18</v>
      </c>
      <c r="M623" s="16" t="s">
        <v>22</v>
      </c>
      <c r="N623" s="39"/>
    </row>
    <row r="624" spans="1:14" s="12" customFormat="1" ht="30">
      <c r="A624" s="178" t="s">
        <v>96</v>
      </c>
      <c r="B624" s="75" t="s">
        <v>1712</v>
      </c>
      <c r="C624" s="39" t="s">
        <v>17</v>
      </c>
      <c r="D624" s="236"/>
      <c r="E624" s="236"/>
      <c r="F624" s="236"/>
      <c r="G624" s="236"/>
      <c r="H624" s="40">
        <v>0</v>
      </c>
      <c r="I624" s="17">
        <v>0</v>
      </c>
      <c r="J624" s="17">
        <v>0</v>
      </c>
      <c r="K624" s="17"/>
      <c r="L624" s="16" t="s">
        <v>18</v>
      </c>
      <c r="M624" s="16" t="s">
        <v>22</v>
      </c>
      <c r="N624" s="39"/>
    </row>
    <row r="625" spans="1:14" s="12" customFormat="1" ht="30">
      <c r="A625" s="178" t="s">
        <v>96</v>
      </c>
      <c r="B625" s="75" t="s">
        <v>1218</v>
      </c>
      <c r="C625" s="39" t="s">
        <v>17</v>
      </c>
      <c r="D625" s="236"/>
      <c r="E625" s="236"/>
      <c r="F625" s="236"/>
      <c r="G625" s="236"/>
      <c r="H625" s="40">
        <f>SUM(Tabla132112419[[#This Row],[PRIMER TRIMESTRE]:[CUARTO TRIMESTRE]])</f>
        <v>0</v>
      </c>
      <c r="I625" s="17">
        <v>6460</v>
      </c>
      <c r="J625" s="17">
        <f>+H625*I625</f>
        <v>0</v>
      </c>
      <c r="K625" s="17"/>
      <c r="L625" s="16" t="s">
        <v>18</v>
      </c>
      <c r="M625" s="16" t="s">
        <v>22</v>
      </c>
      <c r="N625" s="39"/>
    </row>
    <row r="626" spans="1:14" s="12" customFormat="1" ht="30">
      <c r="A626" s="178" t="s">
        <v>96</v>
      </c>
      <c r="B626" s="75" t="s">
        <v>1683</v>
      </c>
      <c r="C626" s="39" t="s">
        <v>17</v>
      </c>
      <c r="D626" s="236"/>
      <c r="E626" s="236"/>
      <c r="F626" s="236"/>
      <c r="G626" s="236"/>
      <c r="H626" s="40">
        <v>0</v>
      </c>
      <c r="I626" s="17">
        <v>0</v>
      </c>
      <c r="J626" s="17">
        <v>0</v>
      </c>
      <c r="K626" s="17"/>
      <c r="L626" s="16" t="s">
        <v>18</v>
      </c>
      <c r="M626" s="16" t="s">
        <v>22</v>
      </c>
      <c r="N626" s="39"/>
    </row>
    <row r="627" spans="1:14" s="12" customFormat="1" ht="30">
      <c r="A627" s="178" t="s">
        <v>96</v>
      </c>
      <c r="B627" s="75" t="s">
        <v>1731</v>
      </c>
      <c r="C627" s="39" t="s">
        <v>17</v>
      </c>
      <c r="D627" s="236"/>
      <c r="E627" s="236"/>
      <c r="F627" s="236"/>
      <c r="G627" s="236"/>
      <c r="H627" s="40">
        <v>0</v>
      </c>
      <c r="I627" s="17">
        <v>0</v>
      </c>
      <c r="J627" s="17">
        <v>0</v>
      </c>
      <c r="K627" s="17"/>
      <c r="L627" s="16" t="s">
        <v>18</v>
      </c>
      <c r="M627" s="16" t="s">
        <v>22</v>
      </c>
      <c r="N627" s="39"/>
    </row>
    <row r="628" spans="1:14" s="12" customFormat="1" ht="30">
      <c r="A628" s="178" t="s">
        <v>96</v>
      </c>
      <c r="B628" s="75" t="s">
        <v>770</v>
      </c>
      <c r="C628" s="39" t="s">
        <v>17</v>
      </c>
      <c r="D628" s="236"/>
      <c r="E628" s="236"/>
      <c r="F628" s="236"/>
      <c r="G628" s="236"/>
      <c r="H628" s="40">
        <f>SUM(Tabla132112419[[#This Row],[PRIMER TRIMESTRE]:[CUARTO TRIMESTRE]])</f>
        <v>0</v>
      </c>
      <c r="I628" s="17">
        <v>12589</v>
      </c>
      <c r="J628" s="17">
        <f>+Tabla132112419[[#This Row],[CANTIDAD TOTAL]]*Tabla132112419[[#This Row],[PRECIO UNITARIO ESTIMADO]]</f>
        <v>0</v>
      </c>
      <c r="K628" s="17"/>
      <c r="L628" s="16" t="s">
        <v>18</v>
      </c>
      <c r="M628" s="16" t="s">
        <v>22</v>
      </c>
      <c r="N628" s="39"/>
    </row>
    <row r="629" spans="1:14" s="12" customFormat="1" ht="30">
      <c r="A629" s="178" t="s">
        <v>96</v>
      </c>
      <c r="B629" s="75" t="s">
        <v>771</v>
      </c>
      <c r="C629" s="39" t="s">
        <v>17</v>
      </c>
      <c r="D629" s="236"/>
      <c r="E629" s="236"/>
      <c r="F629" s="236"/>
      <c r="G629" s="236"/>
      <c r="H629" s="40">
        <f>SUM(Tabla132112419[[#This Row],[PRIMER TRIMESTRE]:[CUARTO TRIMESTRE]])</f>
        <v>0</v>
      </c>
      <c r="I629" s="72">
        <v>14625</v>
      </c>
      <c r="J629" s="17">
        <f t="shared" ref="J629:J692" si="18">+H629*I629</f>
        <v>0</v>
      </c>
      <c r="K629" s="17"/>
      <c r="L629" s="16" t="s">
        <v>18</v>
      </c>
      <c r="M629" s="16" t="s">
        <v>22</v>
      </c>
      <c r="N629" s="39"/>
    </row>
    <row r="630" spans="1:14" s="12" customFormat="1" ht="30">
      <c r="A630" s="178" t="s">
        <v>96</v>
      </c>
      <c r="B630" s="75" t="s">
        <v>1219</v>
      </c>
      <c r="C630" s="39" t="s">
        <v>17</v>
      </c>
      <c r="D630" s="236"/>
      <c r="E630" s="236"/>
      <c r="F630" s="236"/>
      <c r="G630" s="236"/>
      <c r="H630" s="40">
        <f>SUM(Tabla132112419[[#This Row],[PRIMER TRIMESTRE]:[CUARTO TRIMESTRE]])</f>
        <v>0</v>
      </c>
      <c r="I630" s="72">
        <v>28650</v>
      </c>
      <c r="J630" s="17">
        <f t="shared" si="18"/>
        <v>0</v>
      </c>
      <c r="K630" s="17"/>
      <c r="L630" s="17" t="s">
        <v>18</v>
      </c>
      <c r="M630" s="16" t="s">
        <v>22</v>
      </c>
      <c r="N630" s="39"/>
    </row>
    <row r="631" spans="1:14" s="12" customFormat="1" ht="30">
      <c r="A631" s="178" t="s">
        <v>96</v>
      </c>
      <c r="B631" s="75" t="s">
        <v>803</v>
      </c>
      <c r="C631" s="39" t="s">
        <v>343</v>
      </c>
      <c r="D631" s="236"/>
      <c r="E631" s="236"/>
      <c r="F631" s="236"/>
      <c r="G631" s="236"/>
      <c r="H631" s="40">
        <f>SUM(Tabla132112419[[#This Row],[PRIMER TRIMESTRE]:[CUARTO TRIMESTRE]])</f>
        <v>0</v>
      </c>
      <c r="I631" s="72">
        <v>5.64</v>
      </c>
      <c r="J631" s="17">
        <f t="shared" si="18"/>
        <v>0</v>
      </c>
      <c r="K631" s="17"/>
      <c r="L631" s="17" t="s">
        <v>18</v>
      </c>
      <c r="M631" s="16" t="s">
        <v>22</v>
      </c>
      <c r="N631" s="39" t="s">
        <v>418</v>
      </c>
    </row>
    <row r="632" spans="1:14" s="12" customFormat="1" ht="30">
      <c r="A632" s="178" t="s">
        <v>96</v>
      </c>
      <c r="B632" s="75" t="s">
        <v>804</v>
      </c>
      <c r="C632" s="39" t="s">
        <v>343</v>
      </c>
      <c r="D632" s="236"/>
      <c r="E632" s="236"/>
      <c r="F632" s="236"/>
      <c r="G632" s="236"/>
      <c r="H632" s="40">
        <f>SUM(Tabla132112419[[#This Row],[PRIMER TRIMESTRE]:[CUARTO TRIMESTRE]])</f>
        <v>0</v>
      </c>
      <c r="I632" s="17">
        <v>12</v>
      </c>
      <c r="J632" s="17">
        <f t="shared" si="18"/>
        <v>0</v>
      </c>
      <c r="K632" s="17"/>
      <c r="L632" s="17" t="s">
        <v>18</v>
      </c>
      <c r="M632" s="16" t="s">
        <v>22</v>
      </c>
      <c r="N632" s="39" t="s">
        <v>418</v>
      </c>
    </row>
    <row r="633" spans="1:14" s="12" customFormat="1" ht="30">
      <c r="A633" s="178" t="s">
        <v>96</v>
      </c>
      <c r="B633" s="75" t="s">
        <v>805</v>
      </c>
      <c r="C633" s="39" t="s">
        <v>343</v>
      </c>
      <c r="D633" s="236"/>
      <c r="E633" s="236"/>
      <c r="F633" s="236"/>
      <c r="G633" s="236"/>
      <c r="H633" s="40">
        <f>SUM(Tabla132112419[[#This Row],[PRIMER TRIMESTRE]:[CUARTO TRIMESTRE]])</f>
        <v>0</v>
      </c>
      <c r="I633" s="72">
        <v>19</v>
      </c>
      <c r="J633" s="17">
        <f t="shared" si="18"/>
        <v>0</v>
      </c>
      <c r="K633" s="17"/>
      <c r="L633" s="17" t="s">
        <v>18</v>
      </c>
      <c r="M633" s="16" t="s">
        <v>22</v>
      </c>
      <c r="N633" s="39" t="s">
        <v>418</v>
      </c>
    </row>
    <row r="634" spans="1:14" s="12" customFormat="1" ht="30">
      <c r="A634" s="178" t="s">
        <v>96</v>
      </c>
      <c r="B634" s="75" t="s">
        <v>806</v>
      </c>
      <c r="C634" s="39" t="s">
        <v>343</v>
      </c>
      <c r="D634" s="236"/>
      <c r="E634" s="236"/>
      <c r="F634" s="236"/>
      <c r="G634" s="236"/>
      <c r="H634" s="40">
        <f>SUM(Tabla132112419[[#This Row],[PRIMER TRIMESTRE]:[CUARTO TRIMESTRE]])</f>
        <v>0</v>
      </c>
      <c r="I634" s="72">
        <v>22</v>
      </c>
      <c r="J634" s="17">
        <f t="shared" si="18"/>
        <v>0</v>
      </c>
      <c r="K634" s="17"/>
      <c r="L634" s="17" t="s">
        <v>18</v>
      </c>
      <c r="M634" s="16" t="s">
        <v>22</v>
      </c>
      <c r="N634" s="39" t="s">
        <v>418</v>
      </c>
    </row>
    <row r="635" spans="1:14" s="12" customFormat="1" ht="30">
      <c r="A635" s="178" t="s">
        <v>96</v>
      </c>
      <c r="B635" s="75" t="s">
        <v>807</v>
      </c>
      <c r="C635" s="39" t="s">
        <v>343</v>
      </c>
      <c r="D635" s="236"/>
      <c r="E635" s="236"/>
      <c r="F635" s="236"/>
      <c r="G635" s="236"/>
      <c r="H635" s="40">
        <f>SUM(Tabla132112419[[#This Row],[PRIMER TRIMESTRE]:[CUARTO TRIMESTRE]])</f>
        <v>0</v>
      </c>
      <c r="I635" s="72">
        <v>30.5</v>
      </c>
      <c r="J635" s="17">
        <f t="shared" si="18"/>
        <v>0</v>
      </c>
      <c r="K635" s="17"/>
      <c r="L635" s="17" t="s">
        <v>18</v>
      </c>
      <c r="M635" s="16" t="s">
        <v>22</v>
      </c>
      <c r="N635" s="39" t="s">
        <v>418</v>
      </c>
    </row>
    <row r="636" spans="1:14" s="12" customFormat="1" ht="30">
      <c r="A636" s="178" t="s">
        <v>96</v>
      </c>
      <c r="B636" s="75" t="s">
        <v>808</v>
      </c>
      <c r="C636" s="39" t="s">
        <v>343</v>
      </c>
      <c r="D636" s="236"/>
      <c r="E636" s="236"/>
      <c r="F636" s="236"/>
      <c r="G636" s="236"/>
      <c r="H636" s="40">
        <f>SUM(Tabla132112419[[#This Row],[PRIMER TRIMESTRE]:[CUARTO TRIMESTRE]])</f>
        <v>0</v>
      </c>
      <c r="I636" s="72">
        <v>49.27</v>
      </c>
      <c r="J636" s="17">
        <f t="shared" si="18"/>
        <v>0</v>
      </c>
      <c r="K636" s="17"/>
      <c r="L636" s="17" t="s">
        <v>18</v>
      </c>
      <c r="M636" s="16" t="s">
        <v>22</v>
      </c>
      <c r="N636" s="39" t="s">
        <v>418</v>
      </c>
    </row>
    <row r="637" spans="1:14" s="12" customFormat="1" ht="30">
      <c r="A637" s="178" t="s">
        <v>96</v>
      </c>
      <c r="B637" s="75" t="s">
        <v>809</v>
      </c>
      <c r="C637" s="39" t="s">
        <v>343</v>
      </c>
      <c r="D637" s="236"/>
      <c r="E637" s="236"/>
      <c r="F637" s="236"/>
      <c r="G637" s="236"/>
      <c r="H637" s="40">
        <f>SUM(Tabla132112419[[#This Row],[PRIMER TRIMESTRE]:[CUARTO TRIMESTRE]])</f>
        <v>0</v>
      </c>
      <c r="I637" s="72">
        <v>73</v>
      </c>
      <c r="J637" s="17">
        <f t="shared" si="18"/>
        <v>0</v>
      </c>
      <c r="K637" s="17"/>
      <c r="L637" s="17" t="s">
        <v>18</v>
      </c>
      <c r="M637" s="16" t="s">
        <v>22</v>
      </c>
      <c r="N637" s="39" t="s">
        <v>418</v>
      </c>
    </row>
    <row r="638" spans="1:14" s="12" customFormat="1" ht="30">
      <c r="A638" s="178" t="s">
        <v>96</v>
      </c>
      <c r="B638" s="75" t="s">
        <v>810</v>
      </c>
      <c r="C638" s="39" t="s">
        <v>343</v>
      </c>
      <c r="D638" s="236"/>
      <c r="E638" s="236"/>
      <c r="F638" s="236"/>
      <c r="G638" s="236"/>
      <c r="H638" s="40">
        <f>SUM(Tabla132112419[[#This Row],[PRIMER TRIMESTRE]:[CUARTO TRIMESTRE]])</f>
        <v>0</v>
      </c>
      <c r="I638" s="17">
        <v>95</v>
      </c>
      <c r="J638" s="17">
        <f t="shared" si="18"/>
        <v>0</v>
      </c>
      <c r="K638" s="17"/>
      <c r="L638" s="17" t="s">
        <v>18</v>
      </c>
      <c r="M638" s="16" t="s">
        <v>22</v>
      </c>
      <c r="N638" s="39" t="s">
        <v>418</v>
      </c>
    </row>
    <row r="639" spans="1:14" s="12" customFormat="1" ht="30">
      <c r="A639" s="178" t="s">
        <v>96</v>
      </c>
      <c r="B639" s="75" t="s">
        <v>811</v>
      </c>
      <c r="C639" s="39" t="s">
        <v>343</v>
      </c>
      <c r="D639" s="236"/>
      <c r="E639" s="236"/>
      <c r="F639" s="236"/>
      <c r="G639" s="236"/>
      <c r="H639" s="40">
        <f>SUM(Tabla132112419[[#This Row],[PRIMER TRIMESTRE]:[CUARTO TRIMESTRE]])</f>
        <v>0</v>
      </c>
      <c r="I639" s="17">
        <v>121.25</v>
      </c>
      <c r="J639" s="17">
        <f t="shared" si="18"/>
        <v>0</v>
      </c>
      <c r="K639" s="17"/>
      <c r="L639" s="17" t="s">
        <v>18</v>
      </c>
      <c r="M639" s="16" t="s">
        <v>22</v>
      </c>
      <c r="N639" s="39" t="s">
        <v>418</v>
      </c>
    </row>
    <row r="640" spans="1:14" s="12" customFormat="1" ht="30">
      <c r="A640" s="178" t="s">
        <v>96</v>
      </c>
      <c r="B640" s="75" t="s">
        <v>812</v>
      </c>
      <c r="C640" s="39" t="s">
        <v>343</v>
      </c>
      <c r="D640" s="236"/>
      <c r="E640" s="236"/>
      <c r="F640" s="236"/>
      <c r="G640" s="236"/>
      <c r="H640" s="40">
        <f>SUM(Tabla132112419[[#This Row],[PRIMER TRIMESTRE]:[CUARTO TRIMESTRE]])</f>
        <v>0</v>
      </c>
      <c r="I640" s="17">
        <v>163.98</v>
      </c>
      <c r="J640" s="17">
        <f t="shared" si="18"/>
        <v>0</v>
      </c>
      <c r="K640" s="17"/>
      <c r="L640" s="17" t="s">
        <v>18</v>
      </c>
      <c r="M640" s="16" t="s">
        <v>22</v>
      </c>
      <c r="N640" s="39" t="s">
        <v>418</v>
      </c>
    </row>
    <row r="641" spans="1:14" s="12" customFormat="1" ht="30">
      <c r="A641" s="178" t="s">
        <v>96</v>
      </c>
      <c r="B641" s="75" t="s">
        <v>1479</v>
      </c>
      <c r="C641" s="39" t="s">
        <v>343</v>
      </c>
      <c r="D641" s="236"/>
      <c r="E641" s="236"/>
      <c r="F641" s="236"/>
      <c r="G641" s="236"/>
      <c r="H641" s="236">
        <f>SUM(Tabla132112419[[#This Row],[PRIMER TRIMESTRE]:[CUARTO TRIMESTRE]])</f>
        <v>0</v>
      </c>
      <c r="I641" s="17">
        <v>249.9</v>
      </c>
      <c r="J641" s="17">
        <f t="shared" si="18"/>
        <v>0</v>
      </c>
      <c r="K641" s="17"/>
      <c r="L641" s="17" t="s">
        <v>18</v>
      </c>
      <c r="M641" s="16" t="s">
        <v>22</v>
      </c>
      <c r="N641" s="39" t="s">
        <v>418</v>
      </c>
    </row>
    <row r="642" spans="1:14" s="12" customFormat="1" ht="30">
      <c r="A642" s="178" t="s">
        <v>96</v>
      </c>
      <c r="B642" s="75" t="s">
        <v>1463</v>
      </c>
      <c r="C642" s="39" t="s">
        <v>343</v>
      </c>
      <c r="D642" s="236"/>
      <c r="E642" s="236"/>
      <c r="F642" s="236"/>
      <c r="G642" s="236"/>
      <c r="H642" s="40">
        <f>SUM(Tabla132112419[[#This Row],[PRIMER TRIMESTRE]:[CUARTO TRIMESTRE]])</f>
        <v>0</v>
      </c>
      <c r="I642" s="17">
        <v>175</v>
      </c>
      <c r="J642" s="17">
        <f t="shared" si="18"/>
        <v>0</v>
      </c>
      <c r="K642" s="17"/>
      <c r="L642" s="17" t="s">
        <v>18</v>
      </c>
      <c r="M642" s="16" t="s">
        <v>22</v>
      </c>
      <c r="N642" s="39" t="s">
        <v>418</v>
      </c>
    </row>
    <row r="643" spans="1:14" s="12" customFormat="1" ht="30">
      <c r="A643" s="178" t="s">
        <v>96</v>
      </c>
      <c r="B643" s="75" t="s">
        <v>1448</v>
      </c>
      <c r="C643" s="39" t="s">
        <v>343</v>
      </c>
      <c r="D643" s="236"/>
      <c r="E643" s="236"/>
      <c r="F643" s="236"/>
      <c r="G643" s="236"/>
      <c r="H643" s="40">
        <f>SUM(Tabla132112419[[#This Row],[PRIMER TRIMESTRE]:[CUARTO TRIMESTRE]])</f>
        <v>0</v>
      </c>
      <c r="I643" s="17">
        <v>120</v>
      </c>
      <c r="J643" s="17">
        <f t="shared" si="18"/>
        <v>0</v>
      </c>
      <c r="K643" s="17"/>
      <c r="L643" s="17" t="s">
        <v>18</v>
      </c>
      <c r="M643" s="16" t="s">
        <v>22</v>
      </c>
      <c r="N643" s="39" t="s">
        <v>418</v>
      </c>
    </row>
    <row r="644" spans="1:14" s="12" customFormat="1" ht="30">
      <c r="A644" s="178" t="s">
        <v>96</v>
      </c>
      <c r="B644" s="75" t="s">
        <v>1476</v>
      </c>
      <c r="C644" s="39" t="s">
        <v>343</v>
      </c>
      <c r="D644" s="236"/>
      <c r="E644" s="236"/>
      <c r="F644" s="236"/>
      <c r="G644" s="236"/>
      <c r="H644" s="236">
        <f>SUM(Tabla132112419[[#This Row],[PRIMER TRIMESTRE]:[CUARTO TRIMESTRE]])</f>
        <v>0</v>
      </c>
      <c r="I644" s="17">
        <v>48.72</v>
      </c>
      <c r="J644" s="17">
        <f t="shared" si="18"/>
        <v>0</v>
      </c>
      <c r="K644" s="17"/>
      <c r="L644" s="17" t="s">
        <v>18</v>
      </c>
      <c r="M644" s="16" t="s">
        <v>22</v>
      </c>
      <c r="N644" s="39" t="s">
        <v>418</v>
      </c>
    </row>
    <row r="645" spans="1:14" s="12" customFormat="1" ht="30">
      <c r="A645" s="178" t="s">
        <v>96</v>
      </c>
      <c r="B645" s="75" t="s">
        <v>1477</v>
      </c>
      <c r="C645" s="39" t="s">
        <v>343</v>
      </c>
      <c r="D645" s="236"/>
      <c r="E645" s="236"/>
      <c r="F645" s="236"/>
      <c r="G645" s="236"/>
      <c r="H645" s="236">
        <f>SUM(Tabla132112419[[#This Row],[PRIMER TRIMESTRE]:[CUARTO TRIMESTRE]])</f>
        <v>0</v>
      </c>
      <c r="I645" s="17">
        <v>78</v>
      </c>
      <c r="J645" s="17">
        <f t="shared" si="18"/>
        <v>0</v>
      </c>
      <c r="K645" s="17"/>
      <c r="L645" s="17" t="s">
        <v>18</v>
      </c>
      <c r="M645" s="16" t="s">
        <v>22</v>
      </c>
      <c r="N645" s="39" t="s">
        <v>418</v>
      </c>
    </row>
    <row r="646" spans="1:14" s="12" customFormat="1" ht="30">
      <c r="A646" s="178" t="s">
        <v>96</v>
      </c>
      <c r="B646" s="75" t="s">
        <v>1680</v>
      </c>
      <c r="C646" s="39" t="s">
        <v>343</v>
      </c>
      <c r="D646" s="236"/>
      <c r="E646" s="236"/>
      <c r="F646" s="236"/>
      <c r="G646" s="236"/>
      <c r="H646" s="40">
        <v>0</v>
      </c>
      <c r="I646" s="17">
        <v>0</v>
      </c>
      <c r="J646" s="17">
        <v>0</v>
      </c>
      <c r="K646" s="17"/>
      <c r="L646" s="17" t="s">
        <v>18</v>
      </c>
      <c r="M646" s="16" t="s">
        <v>22</v>
      </c>
      <c r="N646" s="39" t="s">
        <v>418</v>
      </c>
    </row>
    <row r="647" spans="1:14" s="12" customFormat="1" ht="30">
      <c r="A647" s="178" t="s">
        <v>96</v>
      </c>
      <c r="B647" s="75" t="s">
        <v>1478</v>
      </c>
      <c r="C647" s="39" t="s">
        <v>343</v>
      </c>
      <c r="D647" s="236"/>
      <c r="E647" s="236"/>
      <c r="F647" s="236"/>
      <c r="G647" s="236"/>
      <c r="H647" s="236">
        <f>SUM(Tabla132112419[[#This Row],[PRIMER TRIMESTRE]:[CUARTO TRIMESTRE]])</f>
        <v>0</v>
      </c>
      <c r="I647" s="17">
        <v>109.2</v>
      </c>
      <c r="J647" s="17">
        <f t="shared" si="18"/>
        <v>0</v>
      </c>
      <c r="K647" s="17"/>
      <c r="L647" s="17" t="s">
        <v>18</v>
      </c>
      <c r="M647" s="16" t="s">
        <v>22</v>
      </c>
      <c r="N647" s="39" t="s">
        <v>418</v>
      </c>
    </row>
    <row r="648" spans="1:14" s="12" customFormat="1" ht="30">
      <c r="A648" s="178" t="s">
        <v>96</v>
      </c>
      <c r="B648" s="75" t="s">
        <v>1473</v>
      </c>
      <c r="C648" s="39" t="s">
        <v>343</v>
      </c>
      <c r="D648" s="236"/>
      <c r="E648" s="236"/>
      <c r="F648" s="236"/>
      <c r="G648" s="236"/>
      <c r="H648" s="236">
        <f>SUM(Tabla132112419[[#This Row],[PRIMER TRIMESTRE]:[CUARTO TRIMESTRE]])</f>
        <v>0</v>
      </c>
      <c r="I648" s="17">
        <v>126</v>
      </c>
      <c r="J648" s="17">
        <f t="shared" si="18"/>
        <v>0</v>
      </c>
      <c r="K648" s="17"/>
      <c r="L648" s="17" t="s">
        <v>18</v>
      </c>
      <c r="M648" s="16" t="s">
        <v>22</v>
      </c>
      <c r="N648" s="39" t="s">
        <v>418</v>
      </c>
    </row>
    <row r="649" spans="1:14" s="12" customFormat="1" ht="30">
      <c r="A649" s="178" t="s">
        <v>96</v>
      </c>
      <c r="B649" s="75" t="s">
        <v>1474</v>
      </c>
      <c r="C649" s="39" t="s">
        <v>343</v>
      </c>
      <c r="D649" s="236"/>
      <c r="E649" s="236"/>
      <c r="F649" s="236"/>
      <c r="G649" s="236"/>
      <c r="H649" s="236">
        <f>SUM(Tabla132112419[[#This Row],[PRIMER TRIMESTRE]:[CUARTO TRIMESTRE]])</f>
        <v>0</v>
      </c>
      <c r="I649" s="17">
        <v>10.8</v>
      </c>
      <c r="J649" s="17">
        <f t="shared" si="18"/>
        <v>0</v>
      </c>
      <c r="K649" s="17"/>
      <c r="L649" s="17" t="s">
        <v>18</v>
      </c>
      <c r="M649" s="16" t="s">
        <v>22</v>
      </c>
      <c r="N649" s="39" t="s">
        <v>418</v>
      </c>
    </row>
    <row r="650" spans="1:14" s="12" customFormat="1" ht="30">
      <c r="A650" s="178" t="s">
        <v>96</v>
      </c>
      <c r="B650" s="75" t="s">
        <v>1475</v>
      </c>
      <c r="C650" s="39" t="s">
        <v>343</v>
      </c>
      <c r="D650" s="236"/>
      <c r="E650" s="236"/>
      <c r="F650" s="236"/>
      <c r="G650" s="236"/>
      <c r="H650" s="236">
        <f>SUM(Tabla132112419[[#This Row],[PRIMER TRIMESTRE]:[CUARTO TRIMESTRE]])</f>
        <v>0</v>
      </c>
      <c r="I650" s="17">
        <v>98.88</v>
      </c>
      <c r="J650" s="17">
        <f t="shared" si="18"/>
        <v>0</v>
      </c>
      <c r="K650" s="17"/>
      <c r="L650" s="17" t="s">
        <v>18</v>
      </c>
      <c r="M650" s="16" t="s">
        <v>22</v>
      </c>
      <c r="N650" s="39" t="s">
        <v>418</v>
      </c>
    </row>
    <row r="651" spans="1:14" s="12" customFormat="1" ht="30">
      <c r="A651" s="178" t="s">
        <v>96</v>
      </c>
      <c r="B651" s="75" t="s">
        <v>1480</v>
      </c>
      <c r="C651" s="39" t="s">
        <v>343</v>
      </c>
      <c r="D651" s="236"/>
      <c r="E651" s="236"/>
      <c r="F651" s="236"/>
      <c r="G651" s="236"/>
      <c r="H651" s="236">
        <f>SUM(Tabla132112419[[#This Row],[PRIMER TRIMESTRE]:[CUARTO TRIMESTRE]])</f>
        <v>0</v>
      </c>
      <c r="I651" s="17">
        <v>169.73</v>
      </c>
      <c r="J651" s="17">
        <f t="shared" si="18"/>
        <v>0</v>
      </c>
      <c r="K651" s="17"/>
      <c r="L651" s="17" t="s">
        <v>18</v>
      </c>
      <c r="M651" s="16" t="s">
        <v>22</v>
      </c>
      <c r="N651" s="39" t="s">
        <v>418</v>
      </c>
    </row>
    <row r="652" spans="1:14" s="12" customFormat="1" ht="30">
      <c r="A652" s="178" t="s">
        <v>96</v>
      </c>
      <c r="B652" s="75" t="s">
        <v>1481</v>
      </c>
      <c r="C652" s="39" t="s">
        <v>343</v>
      </c>
      <c r="D652" s="236"/>
      <c r="E652" s="236"/>
      <c r="F652" s="236"/>
      <c r="G652" s="236"/>
      <c r="H652" s="236">
        <f>SUM(Tabla132112419[[#This Row],[PRIMER TRIMESTRE]:[CUARTO TRIMESTRE]])</f>
        <v>0</v>
      </c>
      <c r="I652" s="17">
        <v>49</v>
      </c>
      <c r="J652" s="17">
        <f t="shared" si="18"/>
        <v>0</v>
      </c>
      <c r="K652" s="17"/>
      <c r="L652" s="17" t="s">
        <v>18</v>
      </c>
      <c r="M652" s="16" t="s">
        <v>22</v>
      </c>
      <c r="N652" s="39" t="s">
        <v>418</v>
      </c>
    </row>
    <row r="653" spans="1:14" s="12" customFormat="1" ht="30">
      <c r="A653" s="178" t="s">
        <v>96</v>
      </c>
      <c r="B653" s="75" t="s">
        <v>1691</v>
      </c>
      <c r="C653" s="39" t="s">
        <v>343</v>
      </c>
      <c r="D653" s="236"/>
      <c r="E653" s="236"/>
      <c r="F653" s="236"/>
      <c r="G653" s="236"/>
      <c r="H653" s="40">
        <v>0</v>
      </c>
      <c r="I653" s="17">
        <v>0</v>
      </c>
      <c r="J653" s="17">
        <v>0</v>
      </c>
      <c r="K653" s="17"/>
      <c r="L653" s="17" t="s">
        <v>18</v>
      </c>
      <c r="M653" s="16" t="s">
        <v>22</v>
      </c>
      <c r="N653" s="39" t="s">
        <v>418</v>
      </c>
    </row>
    <row r="654" spans="1:14" s="12" customFormat="1" ht="30">
      <c r="A654" s="178" t="s">
        <v>96</v>
      </c>
      <c r="B654" s="75" t="s">
        <v>813</v>
      </c>
      <c r="C654" s="39" t="s">
        <v>343</v>
      </c>
      <c r="D654" s="236"/>
      <c r="E654" s="236"/>
      <c r="F654" s="236"/>
      <c r="G654" s="236"/>
      <c r="H654" s="236">
        <f>SUM(Tabla132112419[[#This Row],[PRIMER TRIMESTRE]:[CUARTO TRIMESTRE]])</f>
        <v>0</v>
      </c>
      <c r="I654" s="17">
        <v>309.39999999999998</v>
      </c>
      <c r="J654" s="17">
        <f t="shared" si="18"/>
        <v>0</v>
      </c>
      <c r="K654" s="17"/>
      <c r="L654" s="17" t="s">
        <v>18</v>
      </c>
      <c r="M654" s="16" t="s">
        <v>22</v>
      </c>
      <c r="N654" s="39" t="s">
        <v>418</v>
      </c>
    </row>
    <row r="655" spans="1:14" s="12" customFormat="1" ht="30">
      <c r="A655" s="178" t="s">
        <v>1676</v>
      </c>
      <c r="B655" s="75" t="s">
        <v>1853</v>
      </c>
      <c r="C655" s="39" t="s">
        <v>343</v>
      </c>
      <c r="D655" s="236"/>
      <c r="E655" s="236"/>
      <c r="F655" s="236"/>
      <c r="G655" s="236"/>
      <c r="H655" s="40">
        <v>0</v>
      </c>
      <c r="I655" s="17">
        <v>0</v>
      </c>
      <c r="J655" s="17">
        <v>0</v>
      </c>
      <c r="K655" s="17"/>
      <c r="L655" s="17" t="s">
        <v>18</v>
      </c>
      <c r="M655" s="16" t="s">
        <v>22</v>
      </c>
      <c r="N655" s="39" t="s">
        <v>418</v>
      </c>
    </row>
    <row r="656" spans="1:14" s="12" customFormat="1" ht="30">
      <c r="A656" s="178" t="s">
        <v>96</v>
      </c>
      <c r="B656" s="75" t="s">
        <v>1571</v>
      </c>
      <c r="C656" s="39" t="s">
        <v>17</v>
      </c>
      <c r="D656" s="236"/>
      <c r="E656" s="236"/>
      <c r="F656" s="236"/>
      <c r="G656" s="236"/>
      <c r="H656" s="236">
        <f>SUM(Tabla132112419[[#This Row],[PRIMER TRIMESTRE]:[CUARTO TRIMESTRE]])</f>
        <v>0</v>
      </c>
      <c r="I656" s="17">
        <v>131500</v>
      </c>
      <c r="J656" s="17">
        <f t="shared" si="18"/>
        <v>0</v>
      </c>
      <c r="K656" s="17"/>
      <c r="L656" s="17" t="s">
        <v>18</v>
      </c>
      <c r="M656" s="16" t="s">
        <v>22</v>
      </c>
      <c r="N656" s="39" t="s">
        <v>418</v>
      </c>
    </row>
    <row r="657" spans="1:14" s="12" customFormat="1" ht="30">
      <c r="A657" s="178" t="s">
        <v>96</v>
      </c>
      <c r="B657" s="75" t="s">
        <v>1570</v>
      </c>
      <c r="C657" s="39" t="s">
        <v>343</v>
      </c>
      <c r="D657" s="236"/>
      <c r="E657" s="236"/>
      <c r="F657" s="236"/>
      <c r="G657" s="236"/>
      <c r="H657" s="236">
        <f>SUM(Tabla132112419[[#This Row],[PRIMER TRIMESTRE]:[CUARTO TRIMESTRE]])</f>
        <v>0</v>
      </c>
      <c r="I657" s="17">
        <v>31.11</v>
      </c>
      <c r="J657" s="17">
        <f t="shared" si="18"/>
        <v>0</v>
      </c>
      <c r="K657" s="17"/>
      <c r="L657" s="17" t="s">
        <v>18</v>
      </c>
      <c r="M657" s="16" t="s">
        <v>22</v>
      </c>
      <c r="N657" s="39" t="s">
        <v>418</v>
      </c>
    </row>
    <row r="658" spans="1:14" s="12" customFormat="1" ht="30">
      <c r="A658" s="178" t="s">
        <v>96</v>
      </c>
      <c r="B658" s="75" t="s">
        <v>1603</v>
      </c>
      <c r="C658" s="39" t="s">
        <v>343</v>
      </c>
      <c r="D658" s="236"/>
      <c r="E658" s="236"/>
      <c r="F658" s="236"/>
      <c r="G658" s="236"/>
      <c r="H658" s="236">
        <f>SUM(Tabla132112419[[#This Row],[PRIMER TRIMESTRE]:[CUARTO TRIMESTRE]])</f>
        <v>0</v>
      </c>
      <c r="I658" s="17">
        <v>75.61</v>
      </c>
      <c r="J658" s="17">
        <f t="shared" si="18"/>
        <v>0</v>
      </c>
      <c r="K658" s="17"/>
      <c r="L658" s="17" t="s">
        <v>18</v>
      </c>
      <c r="M658" s="16" t="s">
        <v>22</v>
      </c>
      <c r="N658" s="39" t="s">
        <v>418</v>
      </c>
    </row>
    <row r="659" spans="1:14" s="12" customFormat="1" ht="30">
      <c r="A659" s="178" t="s">
        <v>96</v>
      </c>
      <c r="B659" s="75" t="s">
        <v>1602</v>
      </c>
      <c r="C659" s="39" t="s">
        <v>343</v>
      </c>
      <c r="D659" s="236"/>
      <c r="E659" s="236"/>
      <c r="F659" s="236"/>
      <c r="G659" s="236"/>
      <c r="H659" s="236">
        <f>SUM(Tabla132112419[[#This Row],[PRIMER TRIMESTRE]:[CUARTO TRIMESTRE]])</f>
        <v>0</v>
      </c>
      <c r="I659" s="17">
        <v>77.77</v>
      </c>
      <c r="J659" s="17">
        <f t="shared" si="18"/>
        <v>0</v>
      </c>
      <c r="K659" s="17"/>
      <c r="L659" s="17" t="s">
        <v>18</v>
      </c>
      <c r="M659" s="16" t="s">
        <v>22</v>
      </c>
      <c r="N659" s="39" t="s">
        <v>418</v>
      </c>
    </row>
    <row r="660" spans="1:14" s="12" customFormat="1" ht="30">
      <c r="A660" s="178" t="s">
        <v>96</v>
      </c>
      <c r="B660" s="75" t="s">
        <v>814</v>
      </c>
      <c r="C660" s="39" t="s">
        <v>343</v>
      </c>
      <c r="D660" s="236"/>
      <c r="E660" s="236"/>
      <c r="F660" s="236"/>
      <c r="G660" s="236"/>
      <c r="H660" s="40">
        <f>SUM(Tabla132112419[[#This Row],[PRIMER TRIMESTRE]:[CUARTO TRIMESTRE]])</f>
        <v>0</v>
      </c>
      <c r="I660" s="17">
        <v>380.3</v>
      </c>
      <c r="J660" s="17">
        <f t="shared" si="18"/>
        <v>0</v>
      </c>
      <c r="K660" s="17"/>
      <c r="L660" s="17" t="s">
        <v>18</v>
      </c>
      <c r="M660" s="16" t="s">
        <v>22</v>
      </c>
      <c r="N660" s="39" t="s">
        <v>418</v>
      </c>
    </row>
    <row r="661" spans="1:14" s="12" customFormat="1" ht="30">
      <c r="A661" s="178" t="s">
        <v>96</v>
      </c>
      <c r="B661" s="77" t="s">
        <v>874</v>
      </c>
      <c r="C661" s="39" t="s">
        <v>17</v>
      </c>
      <c r="D661" s="236"/>
      <c r="E661" s="236"/>
      <c r="F661" s="236"/>
      <c r="G661" s="236"/>
      <c r="H661" s="40">
        <f>SUM(Tabla132112419[[#This Row],[PRIMER TRIMESTRE]:[CUARTO TRIMESTRE]])</f>
        <v>0</v>
      </c>
      <c r="I661" s="17">
        <v>110</v>
      </c>
      <c r="J661" s="17">
        <f t="shared" si="18"/>
        <v>0</v>
      </c>
      <c r="K661" s="17"/>
      <c r="L661" s="16" t="s">
        <v>18</v>
      </c>
      <c r="M661" s="16" t="s">
        <v>22</v>
      </c>
      <c r="N661" s="39"/>
    </row>
    <row r="662" spans="1:14" s="12" customFormat="1" ht="30">
      <c r="A662" s="178" t="s">
        <v>96</v>
      </c>
      <c r="B662" s="77" t="s">
        <v>875</v>
      </c>
      <c r="C662" s="39" t="s">
        <v>17</v>
      </c>
      <c r="D662" s="236"/>
      <c r="E662" s="236"/>
      <c r="F662" s="236"/>
      <c r="G662" s="236"/>
      <c r="H662" s="40">
        <f>SUM(Tabla132112419[[#This Row],[PRIMER TRIMESTRE]:[CUARTO TRIMESTRE]])</f>
        <v>0</v>
      </c>
      <c r="I662" s="17">
        <v>125</v>
      </c>
      <c r="J662" s="17">
        <f t="shared" si="18"/>
        <v>0</v>
      </c>
      <c r="K662" s="17"/>
      <c r="L662" s="16" t="s">
        <v>18</v>
      </c>
      <c r="M662" s="16" t="s">
        <v>22</v>
      </c>
      <c r="N662" s="39"/>
    </row>
    <row r="663" spans="1:14" s="12" customFormat="1" ht="30">
      <c r="A663" s="178" t="s">
        <v>96</v>
      </c>
      <c r="B663" s="77" t="s">
        <v>876</v>
      </c>
      <c r="C663" s="39" t="s">
        <v>17</v>
      </c>
      <c r="D663" s="236"/>
      <c r="E663" s="236"/>
      <c r="F663" s="236"/>
      <c r="G663" s="236"/>
      <c r="H663" s="40">
        <f>SUM(Tabla132112419[[#This Row],[PRIMER TRIMESTRE]:[CUARTO TRIMESTRE]])</f>
        <v>0</v>
      </c>
      <c r="I663" s="17">
        <v>135</v>
      </c>
      <c r="J663" s="17">
        <f t="shared" si="18"/>
        <v>0</v>
      </c>
      <c r="K663" s="17"/>
      <c r="L663" s="16" t="s">
        <v>18</v>
      </c>
      <c r="M663" s="16" t="s">
        <v>22</v>
      </c>
      <c r="N663" s="39"/>
    </row>
    <row r="664" spans="1:14" s="12" customFormat="1" ht="30">
      <c r="A664" s="178" t="s">
        <v>96</v>
      </c>
      <c r="B664" s="77" t="s">
        <v>877</v>
      </c>
      <c r="C664" s="39" t="s">
        <v>17</v>
      </c>
      <c r="D664" s="236"/>
      <c r="E664" s="236"/>
      <c r="F664" s="236"/>
      <c r="G664" s="236"/>
      <c r="H664" s="40">
        <f>SUM(Tabla132112419[[#This Row],[PRIMER TRIMESTRE]:[CUARTO TRIMESTRE]])</f>
        <v>0</v>
      </c>
      <c r="I664" s="17">
        <v>175</v>
      </c>
      <c r="J664" s="17">
        <f t="shared" si="18"/>
        <v>0</v>
      </c>
      <c r="K664" s="17"/>
      <c r="L664" s="16" t="s">
        <v>18</v>
      </c>
      <c r="M664" s="16" t="s">
        <v>22</v>
      </c>
      <c r="N664" s="39"/>
    </row>
    <row r="665" spans="1:14" s="12" customFormat="1" ht="30">
      <c r="A665" s="178" t="s">
        <v>96</v>
      </c>
      <c r="B665" s="77" t="s">
        <v>878</v>
      </c>
      <c r="C665" s="39" t="s">
        <v>17</v>
      </c>
      <c r="D665" s="236"/>
      <c r="E665" s="236"/>
      <c r="F665" s="236"/>
      <c r="G665" s="236"/>
      <c r="H665" s="40">
        <f>SUM(Tabla132112419[[#This Row],[PRIMER TRIMESTRE]:[CUARTO TRIMESTRE]])</f>
        <v>0</v>
      </c>
      <c r="I665" s="17">
        <v>191</v>
      </c>
      <c r="J665" s="17">
        <f t="shared" si="18"/>
        <v>0</v>
      </c>
      <c r="K665" s="17"/>
      <c r="L665" s="16" t="s">
        <v>18</v>
      </c>
      <c r="M665" s="16" t="s">
        <v>22</v>
      </c>
      <c r="N665" s="39"/>
    </row>
    <row r="666" spans="1:14" s="12" customFormat="1" ht="30">
      <c r="A666" s="178" t="s">
        <v>96</v>
      </c>
      <c r="B666" s="77" t="s">
        <v>1595</v>
      </c>
      <c r="C666" s="39" t="s">
        <v>17</v>
      </c>
      <c r="D666" s="236"/>
      <c r="E666" s="236"/>
      <c r="F666" s="236"/>
      <c r="G666" s="236"/>
      <c r="H666" s="236">
        <f>SUM(Tabla132112419[[#This Row],[PRIMER TRIMESTRE]:[CUARTO TRIMESTRE]])</f>
        <v>0</v>
      </c>
      <c r="I666" s="17">
        <v>371.2</v>
      </c>
      <c r="J666" s="17">
        <f t="shared" si="18"/>
        <v>0</v>
      </c>
      <c r="K666" s="17"/>
      <c r="L666" s="16" t="s">
        <v>18</v>
      </c>
      <c r="M666" s="16" t="s">
        <v>22</v>
      </c>
      <c r="N666" s="39"/>
    </row>
    <row r="667" spans="1:14" s="12" customFormat="1" ht="30">
      <c r="A667" s="178" t="s">
        <v>96</v>
      </c>
      <c r="B667" s="77" t="s">
        <v>879</v>
      </c>
      <c r="C667" s="39" t="s">
        <v>17</v>
      </c>
      <c r="D667" s="236"/>
      <c r="E667" s="236"/>
      <c r="F667" s="236"/>
      <c r="G667" s="236"/>
      <c r="H667" s="40">
        <f>SUM(Tabla132112419[[#This Row],[PRIMER TRIMESTRE]:[CUARTO TRIMESTRE]])</f>
        <v>0</v>
      </c>
      <c r="I667" s="17">
        <v>23600</v>
      </c>
      <c r="J667" s="17">
        <f t="shared" si="18"/>
        <v>0</v>
      </c>
      <c r="K667" s="17"/>
      <c r="L667" s="16" t="s">
        <v>18</v>
      </c>
      <c r="M667" s="16" t="s">
        <v>22</v>
      </c>
      <c r="N667" s="39"/>
    </row>
    <row r="668" spans="1:14" s="12" customFormat="1" ht="30">
      <c r="A668" s="178" t="s">
        <v>96</v>
      </c>
      <c r="B668" s="77" t="s">
        <v>1518</v>
      </c>
      <c r="C668" s="39" t="s">
        <v>208</v>
      </c>
      <c r="D668" s="236"/>
      <c r="E668" s="236"/>
      <c r="F668" s="236"/>
      <c r="G668" s="236"/>
      <c r="H668" s="236">
        <f>SUM(Tabla132112419[[#This Row],[PRIMER TRIMESTRE]:[CUARTO TRIMESTRE]])</f>
        <v>0</v>
      </c>
      <c r="I668" s="17">
        <v>1500.62</v>
      </c>
      <c r="J668" s="17">
        <f t="shared" si="18"/>
        <v>0</v>
      </c>
      <c r="K668" s="17"/>
      <c r="L668" s="16" t="s">
        <v>18</v>
      </c>
      <c r="M668" s="16" t="s">
        <v>22</v>
      </c>
      <c r="N668" s="39"/>
    </row>
    <row r="669" spans="1:14" s="12" customFormat="1" ht="30">
      <c r="A669" s="178" t="s">
        <v>96</v>
      </c>
      <c r="B669" s="77" t="s">
        <v>1519</v>
      </c>
      <c r="C669" s="39" t="s">
        <v>208</v>
      </c>
      <c r="D669" s="236"/>
      <c r="E669" s="236"/>
      <c r="F669" s="236"/>
      <c r="G669" s="236"/>
      <c r="H669" s="236">
        <f>SUM(Tabla132112419[[#This Row],[PRIMER TRIMESTRE]:[CUARTO TRIMESTRE]])</f>
        <v>0</v>
      </c>
      <c r="I669" s="17">
        <v>942.48</v>
      </c>
      <c r="J669" s="17">
        <f t="shared" si="18"/>
        <v>0</v>
      </c>
      <c r="K669" s="17"/>
      <c r="L669" s="16" t="s">
        <v>18</v>
      </c>
      <c r="M669" s="16" t="s">
        <v>22</v>
      </c>
      <c r="N669" s="39"/>
    </row>
    <row r="670" spans="1:14" s="12" customFormat="1" ht="30">
      <c r="A670" s="178" t="s">
        <v>96</v>
      </c>
      <c r="B670" s="77" t="s">
        <v>1520</v>
      </c>
      <c r="C670" s="39" t="s">
        <v>208</v>
      </c>
      <c r="D670" s="236"/>
      <c r="E670" s="236"/>
      <c r="F670" s="236"/>
      <c r="G670" s="236"/>
      <c r="H670" s="236">
        <f>SUM(Tabla132112419[[#This Row],[PRIMER TRIMESTRE]:[CUARTO TRIMESTRE]])</f>
        <v>0</v>
      </c>
      <c r="I670" s="17">
        <v>942.48</v>
      </c>
      <c r="J670" s="17">
        <f t="shared" si="18"/>
        <v>0</v>
      </c>
      <c r="K670" s="17"/>
      <c r="L670" s="16" t="s">
        <v>18</v>
      </c>
      <c r="M670" s="16" t="s">
        <v>22</v>
      </c>
      <c r="N670" s="39"/>
    </row>
    <row r="671" spans="1:14" s="12" customFormat="1" ht="30">
      <c r="A671" s="178" t="s">
        <v>96</v>
      </c>
      <c r="B671" s="77" t="s">
        <v>880</v>
      </c>
      <c r="C671" s="39" t="s">
        <v>17</v>
      </c>
      <c r="D671" s="236"/>
      <c r="E671" s="236"/>
      <c r="F671" s="236"/>
      <c r="G671" s="236"/>
      <c r="H671" s="40">
        <f>SUM(Tabla132112419[[#This Row],[PRIMER TRIMESTRE]:[CUARTO TRIMESTRE]])</f>
        <v>0</v>
      </c>
      <c r="I671" s="17">
        <v>25850</v>
      </c>
      <c r="J671" s="17">
        <f t="shared" si="18"/>
        <v>0</v>
      </c>
      <c r="K671" s="17"/>
      <c r="L671" s="16" t="s">
        <v>18</v>
      </c>
      <c r="M671" s="16" t="s">
        <v>22</v>
      </c>
      <c r="N671" s="39"/>
    </row>
    <row r="672" spans="1:14" s="12" customFormat="1" ht="38.25">
      <c r="A672" s="178" t="s">
        <v>96</v>
      </c>
      <c r="B672" s="77" t="s">
        <v>924</v>
      </c>
      <c r="C672" s="39" t="s">
        <v>17</v>
      </c>
      <c r="D672" s="236"/>
      <c r="E672" s="236"/>
      <c r="F672" s="236"/>
      <c r="G672" s="236"/>
      <c r="H672" s="40">
        <f>SUM(Tabla132112419[[#This Row],[PRIMER TRIMESTRE]:[CUARTO TRIMESTRE]])</f>
        <v>0</v>
      </c>
      <c r="I672" s="17">
        <v>100000</v>
      </c>
      <c r="J672" s="17">
        <f t="shared" si="18"/>
        <v>0</v>
      </c>
      <c r="K672" s="17"/>
      <c r="L672" s="16" t="s">
        <v>18</v>
      </c>
      <c r="M672" s="16" t="s">
        <v>22</v>
      </c>
      <c r="N672" s="39"/>
    </row>
    <row r="673" spans="1:14" s="12" customFormat="1" ht="30">
      <c r="A673" s="178" t="s">
        <v>96</v>
      </c>
      <c r="B673" s="75" t="s">
        <v>882</v>
      </c>
      <c r="C673" s="39" t="s">
        <v>17</v>
      </c>
      <c r="D673" s="236"/>
      <c r="E673" s="236"/>
      <c r="F673" s="236"/>
      <c r="G673" s="236"/>
      <c r="H673" s="40">
        <f>SUM(Tabla132112419[[#This Row],[PRIMER TRIMESTRE]:[CUARTO TRIMESTRE]])</f>
        <v>0</v>
      </c>
      <c r="I673" s="17">
        <v>600</v>
      </c>
      <c r="J673" s="17">
        <f t="shared" si="18"/>
        <v>0</v>
      </c>
      <c r="K673" s="17"/>
      <c r="L673" s="16" t="s">
        <v>18</v>
      </c>
      <c r="M673" s="16" t="s">
        <v>22</v>
      </c>
      <c r="N673" s="39"/>
    </row>
    <row r="674" spans="1:14" s="12" customFormat="1" ht="30">
      <c r="A674" s="178" t="s">
        <v>96</v>
      </c>
      <c r="B674" s="75" t="s">
        <v>883</v>
      </c>
      <c r="C674" s="39" t="s">
        <v>17</v>
      </c>
      <c r="D674" s="236"/>
      <c r="E674" s="236"/>
      <c r="F674" s="236"/>
      <c r="G674" s="236"/>
      <c r="H674" s="40">
        <f>SUM(Tabla132112419[[#This Row],[PRIMER TRIMESTRE]:[CUARTO TRIMESTRE]])</f>
        <v>0</v>
      </c>
      <c r="I674" s="17">
        <v>350</v>
      </c>
      <c r="J674" s="17">
        <f t="shared" si="18"/>
        <v>0</v>
      </c>
      <c r="K674" s="17"/>
      <c r="L674" s="16" t="s">
        <v>18</v>
      </c>
      <c r="M674" s="16" t="s">
        <v>22</v>
      </c>
      <c r="N674" s="39"/>
    </row>
    <row r="675" spans="1:14" s="12" customFormat="1" ht="30">
      <c r="A675" s="178" t="s">
        <v>96</v>
      </c>
      <c r="B675" s="75" t="s">
        <v>884</v>
      </c>
      <c r="C675" s="39" t="s">
        <v>17</v>
      </c>
      <c r="D675" s="236"/>
      <c r="E675" s="236"/>
      <c r="F675" s="236"/>
      <c r="G675" s="236"/>
      <c r="H675" s="40">
        <f>SUM(Tabla132112419[[#This Row],[PRIMER TRIMESTRE]:[CUARTO TRIMESTRE]])</f>
        <v>0</v>
      </c>
      <c r="I675" s="17">
        <v>450</v>
      </c>
      <c r="J675" s="17">
        <f t="shared" si="18"/>
        <v>0</v>
      </c>
      <c r="K675" s="17"/>
      <c r="L675" s="16" t="s">
        <v>18</v>
      </c>
      <c r="M675" s="16" t="s">
        <v>22</v>
      </c>
      <c r="N675" s="39"/>
    </row>
    <row r="676" spans="1:14" s="12" customFormat="1" ht="30">
      <c r="A676" s="178" t="s">
        <v>96</v>
      </c>
      <c r="B676" s="75" t="s">
        <v>885</v>
      </c>
      <c r="C676" s="39" t="s">
        <v>344</v>
      </c>
      <c r="D676" s="236"/>
      <c r="E676" s="236"/>
      <c r="F676" s="236"/>
      <c r="G676" s="236"/>
      <c r="H676" s="40">
        <f>SUM(Tabla132112419[[#This Row],[PRIMER TRIMESTRE]:[CUARTO TRIMESTRE]])</f>
        <v>0</v>
      </c>
      <c r="I676" s="17">
        <v>3650</v>
      </c>
      <c r="J676" s="17">
        <f t="shared" si="18"/>
        <v>0</v>
      </c>
      <c r="K676" s="17"/>
      <c r="L676" s="16" t="s">
        <v>18</v>
      </c>
      <c r="M676" s="16" t="s">
        <v>22</v>
      </c>
      <c r="N676" s="39"/>
    </row>
    <row r="677" spans="1:14" s="12" customFormat="1" ht="30">
      <c r="A677" s="178" t="s">
        <v>96</v>
      </c>
      <c r="B677" s="75" t="s">
        <v>886</v>
      </c>
      <c r="C677" s="39" t="s">
        <v>344</v>
      </c>
      <c r="D677" s="236"/>
      <c r="E677" s="236"/>
      <c r="F677" s="236"/>
      <c r="G677" s="236"/>
      <c r="H677" s="40">
        <f>SUM(Tabla132112419[[#This Row],[PRIMER TRIMESTRE]:[CUARTO TRIMESTRE]])</f>
        <v>0</v>
      </c>
      <c r="I677" s="17">
        <v>3650</v>
      </c>
      <c r="J677" s="17">
        <f t="shared" si="18"/>
        <v>0</v>
      </c>
      <c r="K677" s="17"/>
      <c r="L677" s="16" t="s">
        <v>18</v>
      </c>
      <c r="M677" s="16" t="s">
        <v>22</v>
      </c>
      <c r="N677" s="39"/>
    </row>
    <row r="678" spans="1:14" s="12" customFormat="1" ht="30">
      <c r="A678" s="178" t="s">
        <v>96</v>
      </c>
      <c r="B678" s="75" t="s">
        <v>887</v>
      </c>
      <c r="C678" s="39" t="s">
        <v>344</v>
      </c>
      <c r="D678" s="236"/>
      <c r="E678" s="236"/>
      <c r="F678" s="236"/>
      <c r="G678" s="236"/>
      <c r="H678" s="40">
        <f>SUM(Tabla132112419[[#This Row],[PRIMER TRIMESTRE]:[CUARTO TRIMESTRE]])</f>
        <v>0</v>
      </c>
      <c r="I678" s="17">
        <v>3650</v>
      </c>
      <c r="J678" s="17">
        <f t="shared" si="18"/>
        <v>0</v>
      </c>
      <c r="K678" s="17"/>
      <c r="L678" s="16" t="s">
        <v>18</v>
      </c>
      <c r="M678" s="16" t="s">
        <v>22</v>
      </c>
      <c r="N678" s="39"/>
    </row>
    <row r="679" spans="1:14" s="12" customFormat="1" ht="30">
      <c r="A679" s="178" t="s">
        <v>96</v>
      </c>
      <c r="B679" s="75" t="s">
        <v>888</v>
      </c>
      <c r="C679" s="39" t="s">
        <v>344</v>
      </c>
      <c r="D679" s="236"/>
      <c r="E679" s="236"/>
      <c r="F679" s="236"/>
      <c r="G679" s="236"/>
      <c r="H679" s="40">
        <f>SUM(Tabla132112419[[#This Row],[PRIMER TRIMESTRE]:[CUARTO TRIMESTRE]])</f>
        <v>0</v>
      </c>
      <c r="I679" s="17">
        <v>3650</v>
      </c>
      <c r="J679" s="17">
        <f t="shared" si="18"/>
        <v>0</v>
      </c>
      <c r="K679" s="17"/>
      <c r="L679" s="16" t="s">
        <v>18</v>
      </c>
      <c r="M679" s="16" t="s">
        <v>22</v>
      </c>
      <c r="N679" s="39"/>
    </row>
    <row r="680" spans="1:14" s="12" customFormat="1" ht="30">
      <c r="A680" s="178" t="s">
        <v>96</v>
      </c>
      <c r="B680" s="75" t="s">
        <v>815</v>
      </c>
      <c r="C680" s="39" t="s">
        <v>17</v>
      </c>
      <c r="D680" s="236"/>
      <c r="E680" s="236"/>
      <c r="F680" s="236"/>
      <c r="G680" s="236"/>
      <c r="H680" s="40">
        <f>SUM(Tabla132112419[[#This Row],[PRIMER TRIMESTRE]:[CUARTO TRIMESTRE]])</f>
        <v>0</v>
      </c>
      <c r="I680" s="17">
        <v>4625.12</v>
      </c>
      <c r="J680" s="17">
        <f t="shared" si="18"/>
        <v>0</v>
      </c>
      <c r="K680" s="17"/>
      <c r="L680" s="17" t="s">
        <v>18</v>
      </c>
      <c r="M680" s="16" t="s">
        <v>22</v>
      </c>
      <c r="N680" s="39"/>
    </row>
    <row r="681" spans="1:14" s="12" customFormat="1" ht="30">
      <c r="A681" s="178" t="s">
        <v>96</v>
      </c>
      <c r="B681" s="75" t="s">
        <v>913</v>
      </c>
      <c r="C681" s="39" t="s">
        <v>343</v>
      </c>
      <c r="D681" s="236"/>
      <c r="E681" s="236"/>
      <c r="F681" s="236"/>
      <c r="G681" s="236"/>
      <c r="H681" s="40">
        <f>SUM(Tabla132112419[[#This Row],[PRIMER TRIMESTRE]:[CUARTO TRIMESTRE]])</f>
        <v>0</v>
      </c>
      <c r="I681" s="72">
        <v>80</v>
      </c>
      <c r="J681" s="17">
        <f t="shared" si="18"/>
        <v>0</v>
      </c>
      <c r="K681" s="17"/>
      <c r="L681" s="16" t="s">
        <v>18</v>
      </c>
      <c r="M681" s="16" t="s">
        <v>22</v>
      </c>
      <c r="N681" s="39"/>
    </row>
    <row r="682" spans="1:14" s="12" customFormat="1" ht="30">
      <c r="A682" s="178" t="s">
        <v>96</v>
      </c>
      <c r="B682" s="75" t="s">
        <v>914</v>
      </c>
      <c r="C682" s="39" t="s">
        <v>343</v>
      </c>
      <c r="D682" s="236"/>
      <c r="E682" s="236"/>
      <c r="F682" s="236"/>
      <c r="G682" s="236"/>
      <c r="H682" s="40">
        <f>SUM(Tabla132112419[[#This Row],[PRIMER TRIMESTRE]:[CUARTO TRIMESTRE]])</f>
        <v>0</v>
      </c>
      <c r="I682" s="17">
        <v>112</v>
      </c>
      <c r="J682" s="17">
        <f t="shared" si="18"/>
        <v>0</v>
      </c>
      <c r="K682" s="17"/>
      <c r="L682" s="16" t="s">
        <v>18</v>
      </c>
      <c r="M682" s="16" t="s">
        <v>22</v>
      </c>
      <c r="N682" s="39"/>
    </row>
    <row r="683" spans="1:14" s="12" customFormat="1" ht="30">
      <c r="A683" s="178" t="s">
        <v>96</v>
      </c>
      <c r="B683" s="75" t="s">
        <v>915</v>
      </c>
      <c r="C683" s="39" t="s">
        <v>343</v>
      </c>
      <c r="D683" s="236"/>
      <c r="E683" s="236"/>
      <c r="F683" s="236"/>
      <c r="G683" s="236"/>
      <c r="H683" s="40">
        <f>SUM(Tabla132112419[[#This Row],[PRIMER TRIMESTRE]:[CUARTO TRIMESTRE]])</f>
        <v>0</v>
      </c>
      <c r="I683" s="17">
        <v>150</v>
      </c>
      <c r="J683" s="17">
        <f t="shared" si="18"/>
        <v>0</v>
      </c>
      <c r="K683" s="17"/>
      <c r="L683" s="16" t="s">
        <v>18</v>
      </c>
      <c r="M683" s="16" t="s">
        <v>22</v>
      </c>
      <c r="N683" s="39"/>
    </row>
    <row r="684" spans="1:14" s="12" customFormat="1" ht="30">
      <c r="A684" s="178" t="s">
        <v>96</v>
      </c>
      <c r="B684" s="75" t="s">
        <v>916</v>
      </c>
      <c r="C684" s="39" t="s">
        <v>343</v>
      </c>
      <c r="D684" s="236"/>
      <c r="E684" s="236"/>
      <c r="F684" s="236"/>
      <c r="G684" s="236"/>
      <c r="H684" s="40">
        <f>SUM(Tabla132112419[[#This Row],[PRIMER TRIMESTRE]:[CUARTO TRIMESTRE]])</f>
        <v>0</v>
      </c>
      <c r="I684" s="17">
        <v>188</v>
      </c>
      <c r="J684" s="17">
        <f t="shared" si="18"/>
        <v>0</v>
      </c>
      <c r="K684" s="17"/>
      <c r="L684" s="16" t="s">
        <v>18</v>
      </c>
      <c r="M684" s="16" t="s">
        <v>22</v>
      </c>
      <c r="N684" s="39"/>
    </row>
    <row r="685" spans="1:14" s="12" customFormat="1" ht="30">
      <c r="A685" s="178" t="s">
        <v>96</v>
      </c>
      <c r="B685" s="75" t="s">
        <v>917</v>
      </c>
      <c r="C685" s="39" t="s">
        <v>343</v>
      </c>
      <c r="D685" s="236"/>
      <c r="E685" s="236"/>
      <c r="F685" s="236"/>
      <c r="G685" s="236"/>
      <c r="H685" s="40">
        <f>SUM(Tabla132112419[[#This Row],[PRIMER TRIMESTRE]:[CUARTO TRIMESTRE]])</f>
        <v>0</v>
      </c>
      <c r="I685" s="17">
        <v>225</v>
      </c>
      <c r="J685" s="17">
        <f t="shared" si="18"/>
        <v>0</v>
      </c>
      <c r="K685" s="17"/>
      <c r="L685" s="16" t="s">
        <v>18</v>
      </c>
      <c r="M685" s="16" t="s">
        <v>22</v>
      </c>
      <c r="N685" s="39"/>
    </row>
    <row r="686" spans="1:14" s="12" customFormat="1" ht="30">
      <c r="A686" s="178" t="s">
        <v>96</v>
      </c>
      <c r="B686" s="75" t="s">
        <v>918</v>
      </c>
      <c r="C686" s="39" t="s">
        <v>343</v>
      </c>
      <c r="D686" s="236"/>
      <c r="E686" s="236"/>
      <c r="F686" s="236"/>
      <c r="G686" s="236"/>
      <c r="H686" s="40">
        <f>SUM(Tabla132112419[[#This Row],[PRIMER TRIMESTRE]:[CUARTO TRIMESTRE]])</f>
        <v>0</v>
      </c>
      <c r="I686" s="17">
        <v>135</v>
      </c>
      <c r="J686" s="17">
        <f t="shared" si="18"/>
        <v>0</v>
      </c>
      <c r="K686" s="17"/>
      <c r="L686" s="16" t="s">
        <v>18</v>
      </c>
      <c r="M686" s="16" t="s">
        <v>22</v>
      </c>
      <c r="N686" s="39"/>
    </row>
    <row r="687" spans="1:14" s="12" customFormat="1" ht="30">
      <c r="A687" s="178" t="s">
        <v>96</v>
      </c>
      <c r="B687" s="75" t="s">
        <v>1220</v>
      </c>
      <c r="C687" s="39" t="s">
        <v>17</v>
      </c>
      <c r="D687" s="236"/>
      <c r="E687" s="236"/>
      <c r="F687" s="236"/>
      <c r="G687" s="236"/>
      <c r="H687" s="40">
        <f>SUM(Tabla132112419[[#This Row],[PRIMER TRIMESTRE]:[CUARTO TRIMESTRE]])</f>
        <v>0</v>
      </c>
      <c r="I687" s="17">
        <v>12000</v>
      </c>
      <c r="J687" s="17">
        <f t="shared" si="18"/>
        <v>0</v>
      </c>
      <c r="K687" s="17"/>
      <c r="L687" s="16" t="s">
        <v>18</v>
      </c>
      <c r="M687" s="16" t="s">
        <v>22</v>
      </c>
      <c r="N687" s="39"/>
    </row>
    <row r="688" spans="1:14" s="12" customFormat="1" ht="30">
      <c r="A688" s="178" t="s">
        <v>96</v>
      </c>
      <c r="B688" s="75" t="s">
        <v>1221</v>
      </c>
      <c r="C688" s="39" t="s">
        <v>17</v>
      </c>
      <c r="D688" s="236"/>
      <c r="E688" s="236"/>
      <c r="F688" s="236"/>
      <c r="G688" s="236"/>
      <c r="H688" s="40">
        <f>SUM(Tabla132112419[[#This Row],[PRIMER TRIMESTRE]:[CUARTO TRIMESTRE]])</f>
        <v>0</v>
      </c>
      <c r="I688" s="17">
        <v>16000</v>
      </c>
      <c r="J688" s="17">
        <f t="shared" si="18"/>
        <v>0</v>
      </c>
      <c r="K688" s="17"/>
      <c r="L688" s="16" t="s">
        <v>18</v>
      </c>
      <c r="M688" s="16" t="s">
        <v>22</v>
      </c>
      <c r="N688" s="39"/>
    </row>
    <row r="689" spans="1:14" s="12" customFormat="1" ht="30">
      <c r="A689" s="178" t="s">
        <v>96</v>
      </c>
      <c r="B689" s="75" t="s">
        <v>1222</v>
      </c>
      <c r="C689" s="39" t="s">
        <v>17</v>
      </c>
      <c r="D689" s="236"/>
      <c r="E689" s="236"/>
      <c r="F689" s="236"/>
      <c r="G689" s="236"/>
      <c r="H689" s="40">
        <f>SUM(Tabla132112419[[#This Row],[PRIMER TRIMESTRE]:[CUARTO TRIMESTRE]])</f>
        <v>0</v>
      </c>
      <c r="I689" s="17">
        <v>17000</v>
      </c>
      <c r="J689" s="17">
        <f t="shared" si="18"/>
        <v>0</v>
      </c>
      <c r="K689" s="17"/>
      <c r="L689" s="16" t="s">
        <v>18</v>
      </c>
      <c r="M689" s="16" t="s">
        <v>22</v>
      </c>
      <c r="N689" s="39"/>
    </row>
    <row r="690" spans="1:14" s="12" customFormat="1" ht="30">
      <c r="A690" s="178" t="s">
        <v>96</v>
      </c>
      <c r="B690" s="75" t="s">
        <v>1223</v>
      </c>
      <c r="C690" s="39" t="s">
        <v>17</v>
      </c>
      <c r="D690" s="236"/>
      <c r="E690" s="236"/>
      <c r="F690" s="236"/>
      <c r="G690" s="236"/>
      <c r="H690" s="40">
        <f>SUM(Tabla132112419[[#This Row],[PRIMER TRIMESTRE]:[CUARTO TRIMESTRE]])</f>
        <v>0</v>
      </c>
      <c r="I690" s="17">
        <v>19000</v>
      </c>
      <c r="J690" s="17">
        <f t="shared" si="18"/>
        <v>0</v>
      </c>
      <c r="K690" s="17"/>
      <c r="L690" s="16" t="s">
        <v>18</v>
      </c>
      <c r="M690" s="16" t="s">
        <v>22</v>
      </c>
      <c r="N690" s="39"/>
    </row>
    <row r="691" spans="1:14" s="12" customFormat="1" ht="30">
      <c r="A691" s="178" t="s">
        <v>96</v>
      </c>
      <c r="B691" s="75" t="s">
        <v>1224</v>
      </c>
      <c r="C691" s="39" t="s">
        <v>17</v>
      </c>
      <c r="D691" s="236"/>
      <c r="E691" s="236"/>
      <c r="F691" s="236"/>
      <c r="G691" s="236"/>
      <c r="H691" s="40">
        <f>SUM(Tabla132112419[[#This Row],[PRIMER TRIMESTRE]:[CUARTO TRIMESTRE]])</f>
        <v>0</v>
      </c>
      <c r="I691" s="17">
        <v>23000</v>
      </c>
      <c r="J691" s="17">
        <f t="shared" si="18"/>
        <v>0</v>
      </c>
      <c r="K691" s="17"/>
      <c r="L691" s="16" t="s">
        <v>18</v>
      </c>
      <c r="M691" s="16" t="s">
        <v>22</v>
      </c>
      <c r="N691" s="39"/>
    </row>
    <row r="692" spans="1:14" s="12" customFormat="1" ht="30">
      <c r="A692" s="178" t="s">
        <v>96</v>
      </c>
      <c r="B692" s="75" t="s">
        <v>1225</v>
      </c>
      <c r="C692" s="39" t="s">
        <v>17</v>
      </c>
      <c r="D692" s="236"/>
      <c r="E692" s="236"/>
      <c r="F692" s="236"/>
      <c r="G692" s="236"/>
      <c r="H692" s="40">
        <f>SUM(Tabla132112419[[#This Row],[PRIMER TRIMESTRE]:[CUARTO TRIMESTRE]])</f>
        <v>0</v>
      </c>
      <c r="I692" s="17">
        <v>30000</v>
      </c>
      <c r="J692" s="17">
        <f t="shared" si="18"/>
        <v>0</v>
      </c>
      <c r="K692" s="17"/>
      <c r="L692" s="16" t="s">
        <v>18</v>
      </c>
      <c r="M692" s="16" t="s">
        <v>22</v>
      </c>
      <c r="N692" s="39"/>
    </row>
    <row r="693" spans="1:14" s="12" customFormat="1" ht="30">
      <c r="A693" s="178" t="s">
        <v>96</v>
      </c>
      <c r="B693" s="75" t="s">
        <v>1226</v>
      </c>
      <c r="C693" s="39" t="s">
        <v>17</v>
      </c>
      <c r="D693" s="236"/>
      <c r="E693" s="236"/>
      <c r="F693" s="236"/>
      <c r="G693" s="236"/>
      <c r="H693" s="40">
        <f>SUM(Tabla132112419[[#This Row],[PRIMER TRIMESTRE]:[CUARTO TRIMESTRE]])</f>
        <v>0</v>
      </c>
      <c r="I693" s="17">
        <v>42345.120000000003</v>
      </c>
      <c r="J693" s="17">
        <f t="shared" ref="J693:J709" si="19">+H693*I693</f>
        <v>0</v>
      </c>
      <c r="K693" s="17"/>
      <c r="L693" s="16" t="s">
        <v>18</v>
      </c>
      <c r="M693" s="16" t="s">
        <v>22</v>
      </c>
      <c r="N693" s="39"/>
    </row>
    <row r="694" spans="1:14" s="12" customFormat="1" ht="30">
      <c r="A694" s="178" t="s">
        <v>96</v>
      </c>
      <c r="B694" s="75" t="s">
        <v>773</v>
      </c>
      <c r="C694" s="39" t="s">
        <v>17</v>
      </c>
      <c r="D694" s="236"/>
      <c r="E694" s="236"/>
      <c r="F694" s="236"/>
      <c r="G694" s="236"/>
      <c r="H694" s="40">
        <f>SUM(Tabla132112419[[#This Row],[PRIMER TRIMESTRE]:[CUARTO TRIMESTRE]])</f>
        <v>0</v>
      </c>
      <c r="I694" s="72">
        <v>500</v>
      </c>
      <c r="J694" s="17">
        <f t="shared" si="19"/>
        <v>0</v>
      </c>
      <c r="K694" s="17"/>
      <c r="L694" s="16" t="s">
        <v>18</v>
      </c>
      <c r="M694" s="16" t="s">
        <v>22</v>
      </c>
      <c r="N694" s="39" t="s">
        <v>418</v>
      </c>
    </row>
    <row r="695" spans="1:14" s="12" customFormat="1" ht="30">
      <c r="A695" s="178" t="s">
        <v>96</v>
      </c>
      <c r="B695" s="75" t="s">
        <v>774</v>
      </c>
      <c r="C695" s="39" t="s">
        <v>17</v>
      </c>
      <c r="D695" s="236"/>
      <c r="E695" s="236"/>
      <c r="F695" s="236"/>
      <c r="G695" s="236"/>
      <c r="H695" s="40">
        <f>SUM(Tabla132112419[[#This Row],[PRIMER TRIMESTRE]:[CUARTO TRIMESTRE]])</f>
        <v>0</v>
      </c>
      <c r="I695" s="72">
        <v>1380</v>
      </c>
      <c r="J695" s="17">
        <f t="shared" si="19"/>
        <v>0</v>
      </c>
      <c r="K695" s="17"/>
      <c r="L695" s="16" t="s">
        <v>18</v>
      </c>
      <c r="M695" s="16" t="s">
        <v>22</v>
      </c>
      <c r="N695" s="39" t="s">
        <v>418</v>
      </c>
    </row>
    <row r="696" spans="1:14" s="12" customFormat="1" ht="30">
      <c r="A696" s="178" t="s">
        <v>96</v>
      </c>
      <c r="B696" s="75" t="s">
        <v>775</v>
      </c>
      <c r="C696" s="39" t="s">
        <v>17</v>
      </c>
      <c r="D696" s="236"/>
      <c r="E696" s="236"/>
      <c r="F696" s="236"/>
      <c r="G696" s="236"/>
      <c r="H696" s="40">
        <f>SUM(Tabla132112419[[#This Row],[PRIMER TRIMESTRE]:[CUARTO TRIMESTRE]])</f>
        <v>0</v>
      </c>
      <c r="I696" s="72">
        <v>3200</v>
      </c>
      <c r="J696" s="17">
        <f t="shared" si="19"/>
        <v>0</v>
      </c>
      <c r="K696" s="17"/>
      <c r="L696" s="16" t="s">
        <v>18</v>
      </c>
      <c r="M696" s="16" t="s">
        <v>22</v>
      </c>
      <c r="N696" s="39" t="s">
        <v>418</v>
      </c>
    </row>
    <row r="697" spans="1:14" s="12" customFormat="1" ht="51">
      <c r="A697" s="178" t="s">
        <v>96</v>
      </c>
      <c r="B697" s="75" t="s">
        <v>1717</v>
      </c>
      <c r="C697" s="39" t="s">
        <v>17</v>
      </c>
      <c r="D697" s="236"/>
      <c r="E697" s="236"/>
      <c r="F697" s="236"/>
      <c r="G697" s="236"/>
      <c r="H697" s="40">
        <v>0</v>
      </c>
      <c r="I697" s="72">
        <v>0</v>
      </c>
      <c r="J697" s="17">
        <v>0</v>
      </c>
      <c r="K697" s="17"/>
      <c r="L697" s="16" t="s">
        <v>18</v>
      </c>
      <c r="M697" s="16" t="s">
        <v>19</v>
      </c>
      <c r="N697" s="39"/>
    </row>
    <row r="698" spans="1:14" s="12" customFormat="1" ht="51">
      <c r="A698" s="178" t="s">
        <v>96</v>
      </c>
      <c r="B698" s="75" t="s">
        <v>1678</v>
      </c>
      <c r="C698" s="39" t="s">
        <v>17</v>
      </c>
      <c r="D698" s="236"/>
      <c r="E698" s="236"/>
      <c r="F698" s="236"/>
      <c r="G698" s="236"/>
      <c r="H698" s="40">
        <v>0</v>
      </c>
      <c r="I698" s="72">
        <v>0</v>
      </c>
      <c r="J698" s="17">
        <v>0</v>
      </c>
      <c r="K698" s="17"/>
      <c r="L698" s="16" t="s">
        <v>18</v>
      </c>
      <c r="M698" s="16" t="s">
        <v>19</v>
      </c>
      <c r="N698" s="39"/>
    </row>
    <row r="699" spans="1:14" s="12" customFormat="1" ht="38.25">
      <c r="A699" s="178" t="s">
        <v>96</v>
      </c>
      <c r="B699" s="75" t="s">
        <v>1715</v>
      </c>
      <c r="C699" s="39" t="s">
        <v>17</v>
      </c>
      <c r="D699" s="236"/>
      <c r="E699" s="236"/>
      <c r="F699" s="236"/>
      <c r="G699" s="236"/>
      <c r="H699" s="40">
        <v>0</v>
      </c>
      <c r="I699" s="72">
        <v>0</v>
      </c>
      <c r="J699" s="17">
        <v>0</v>
      </c>
      <c r="K699" s="17"/>
      <c r="L699" s="16" t="s">
        <v>18</v>
      </c>
      <c r="M699" s="16" t="s">
        <v>19</v>
      </c>
      <c r="N699" s="39"/>
    </row>
    <row r="700" spans="1:14" s="12" customFormat="1" ht="38.25">
      <c r="A700" s="178" t="s">
        <v>96</v>
      </c>
      <c r="B700" s="75" t="s">
        <v>1719</v>
      </c>
      <c r="C700" s="39" t="s">
        <v>17</v>
      </c>
      <c r="D700" s="236"/>
      <c r="E700" s="236"/>
      <c r="F700" s="236"/>
      <c r="G700" s="236"/>
      <c r="H700" s="40">
        <v>0</v>
      </c>
      <c r="I700" s="72">
        <v>0</v>
      </c>
      <c r="J700" s="17">
        <v>0</v>
      </c>
      <c r="K700" s="17"/>
      <c r="L700" s="16" t="s">
        <v>18</v>
      </c>
      <c r="M700" s="16" t="s">
        <v>19</v>
      </c>
      <c r="N700" s="39"/>
    </row>
    <row r="701" spans="1:14" s="12" customFormat="1" ht="38.25">
      <c r="A701" s="178" t="s">
        <v>96</v>
      </c>
      <c r="B701" s="75" t="s">
        <v>816</v>
      </c>
      <c r="C701" s="39" t="s">
        <v>17</v>
      </c>
      <c r="D701" s="236"/>
      <c r="E701" s="210"/>
      <c r="F701" s="236"/>
      <c r="G701" s="236"/>
      <c r="H701" s="40">
        <f>SUM(Tabla132112419[[#This Row],[PRIMER TRIMESTRE]:[CUARTO TRIMESTRE]])</f>
        <v>0</v>
      </c>
      <c r="I701" s="72">
        <v>565000</v>
      </c>
      <c r="J701" s="17">
        <f t="shared" si="19"/>
        <v>0</v>
      </c>
      <c r="K701" s="17"/>
      <c r="L701" s="16" t="s">
        <v>18</v>
      </c>
      <c r="M701" s="16" t="s">
        <v>19</v>
      </c>
      <c r="N701" s="39"/>
    </row>
    <row r="702" spans="1:14" s="12" customFormat="1" ht="38.25">
      <c r="A702" s="178" t="s">
        <v>96</v>
      </c>
      <c r="B702" s="75" t="s">
        <v>817</v>
      </c>
      <c r="C702" s="39" t="s">
        <v>17</v>
      </c>
      <c r="D702" s="236"/>
      <c r="E702" s="210"/>
      <c r="F702" s="236"/>
      <c r="G702" s="236"/>
      <c r="H702" s="40">
        <f>SUM(Tabla132112419[[#This Row],[PRIMER TRIMESTRE]:[CUARTO TRIMESTRE]])</f>
        <v>0</v>
      </c>
      <c r="I702" s="17">
        <v>699235.41</v>
      </c>
      <c r="J702" s="17">
        <f t="shared" si="19"/>
        <v>0</v>
      </c>
      <c r="K702" s="17"/>
      <c r="L702" s="16" t="s">
        <v>18</v>
      </c>
      <c r="M702" s="16" t="s">
        <v>19</v>
      </c>
      <c r="N702" s="39"/>
    </row>
    <row r="703" spans="1:14" s="12" customFormat="1" ht="38.25">
      <c r="A703" s="178" t="s">
        <v>96</v>
      </c>
      <c r="B703" s="75" t="s">
        <v>818</v>
      </c>
      <c r="C703" s="39" t="s">
        <v>17</v>
      </c>
      <c r="D703" s="236"/>
      <c r="E703" s="210"/>
      <c r="F703" s="236"/>
      <c r="G703" s="236"/>
      <c r="H703" s="40">
        <f>SUM(Tabla132112419[[#This Row],[PRIMER TRIMESTRE]:[CUARTO TRIMESTRE]])</f>
        <v>0</v>
      </c>
      <c r="I703" s="17">
        <v>350000</v>
      </c>
      <c r="J703" s="17">
        <f t="shared" si="19"/>
        <v>0</v>
      </c>
      <c r="K703" s="17"/>
      <c r="L703" s="16" t="s">
        <v>18</v>
      </c>
      <c r="M703" s="16" t="s">
        <v>19</v>
      </c>
      <c r="N703" s="39"/>
    </row>
    <row r="704" spans="1:14" s="12" customFormat="1" ht="38.25">
      <c r="A704" s="178" t="s">
        <v>96</v>
      </c>
      <c r="B704" s="75" t="s">
        <v>819</v>
      </c>
      <c r="C704" s="39" t="s">
        <v>17</v>
      </c>
      <c r="D704" s="236"/>
      <c r="E704" s="210"/>
      <c r="F704" s="236"/>
      <c r="G704" s="236"/>
      <c r="H704" s="40">
        <f>SUM(Tabla132112419[[#This Row],[PRIMER TRIMESTRE]:[CUARTO TRIMESTRE]])</f>
        <v>0</v>
      </c>
      <c r="I704" s="17">
        <v>198000</v>
      </c>
      <c r="J704" s="17">
        <f t="shared" si="19"/>
        <v>0</v>
      </c>
      <c r="K704" s="17"/>
      <c r="L704" s="16" t="s">
        <v>18</v>
      </c>
      <c r="M704" s="16" t="s">
        <v>19</v>
      </c>
      <c r="N704" s="39"/>
    </row>
    <row r="705" spans="1:14" s="12" customFormat="1" ht="38.25">
      <c r="A705" s="178" t="s">
        <v>96</v>
      </c>
      <c r="B705" s="75" t="s">
        <v>820</v>
      </c>
      <c r="C705" s="39" t="s">
        <v>17</v>
      </c>
      <c r="D705" s="236"/>
      <c r="E705" s="210"/>
      <c r="F705" s="236"/>
      <c r="G705" s="236"/>
      <c r="H705" s="40">
        <f>SUM(Tabla132112419[[#This Row],[PRIMER TRIMESTRE]:[CUARTO TRIMESTRE]])</f>
        <v>0</v>
      </c>
      <c r="I705" s="17">
        <v>117000</v>
      </c>
      <c r="J705" s="17">
        <f t="shared" si="19"/>
        <v>0</v>
      </c>
      <c r="K705" s="17"/>
      <c r="L705" s="16" t="s">
        <v>18</v>
      </c>
      <c r="M705" s="16" t="s">
        <v>19</v>
      </c>
      <c r="N705" s="39"/>
    </row>
    <row r="706" spans="1:14" s="12" customFormat="1" ht="38.25">
      <c r="A706" s="178" t="s">
        <v>96</v>
      </c>
      <c r="B706" s="75" t="s">
        <v>821</v>
      </c>
      <c r="C706" s="39" t="s">
        <v>17</v>
      </c>
      <c r="D706" s="236"/>
      <c r="E706" s="210"/>
      <c r="F706" s="236"/>
      <c r="G706" s="236"/>
      <c r="H706" s="40">
        <f>SUM(Tabla132112419[[#This Row],[PRIMER TRIMESTRE]:[CUARTO TRIMESTRE]])</f>
        <v>0</v>
      </c>
      <c r="I706" s="17">
        <v>61630.63</v>
      </c>
      <c r="J706" s="17">
        <f t="shared" si="19"/>
        <v>0</v>
      </c>
      <c r="K706" s="17"/>
      <c r="L706" s="16" t="s">
        <v>18</v>
      </c>
      <c r="M706" s="16" t="s">
        <v>19</v>
      </c>
      <c r="N706" s="39"/>
    </row>
    <row r="707" spans="1:14" s="12" customFormat="1" ht="38.25">
      <c r="A707" s="178" t="s">
        <v>96</v>
      </c>
      <c r="B707" s="75" t="s">
        <v>822</v>
      </c>
      <c r="C707" s="39" t="s">
        <v>17</v>
      </c>
      <c r="D707" s="236"/>
      <c r="E707" s="210"/>
      <c r="F707" s="236"/>
      <c r="G707" s="236"/>
      <c r="H707" s="40">
        <f>SUM(Tabla132112419[[#This Row],[PRIMER TRIMESTRE]:[CUARTO TRIMESTRE]])</f>
        <v>0</v>
      </c>
      <c r="I707" s="17">
        <v>54792</v>
      </c>
      <c r="J707" s="17">
        <f t="shared" si="19"/>
        <v>0</v>
      </c>
      <c r="K707" s="17"/>
      <c r="L707" s="16" t="s">
        <v>18</v>
      </c>
      <c r="M707" s="16" t="s">
        <v>19</v>
      </c>
      <c r="N707" s="39"/>
    </row>
    <row r="708" spans="1:14" s="12" customFormat="1" ht="38.25">
      <c r="A708" s="178" t="s">
        <v>96</v>
      </c>
      <c r="B708" s="75" t="s">
        <v>823</v>
      </c>
      <c r="C708" s="39" t="s">
        <v>17</v>
      </c>
      <c r="D708" s="236"/>
      <c r="E708" s="210"/>
      <c r="F708" s="236"/>
      <c r="G708" s="236"/>
      <c r="H708" s="40">
        <f>SUM(Tabla132112419[[#This Row],[PRIMER TRIMESTRE]:[CUARTO TRIMESTRE]])</f>
        <v>0</v>
      </c>
      <c r="I708" s="17">
        <v>49560</v>
      </c>
      <c r="J708" s="17">
        <f t="shared" si="19"/>
        <v>0</v>
      </c>
      <c r="K708" s="17"/>
      <c r="L708" s="16" t="s">
        <v>18</v>
      </c>
      <c r="M708" s="16" t="s">
        <v>19</v>
      </c>
      <c r="N708" s="39"/>
    </row>
    <row r="709" spans="1:14" s="12" customFormat="1" ht="31.5">
      <c r="A709" s="178" t="s">
        <v>96</v>
      </c>
      <c r="B709" s="75" t="s">
        <v>824</v>
      </c>
      <c r="C709" s="39" t="s">
        <v>17</v>
      </c>
      <c r="D709" s="236"/>
      <c r="E709" s="210"/>
      <c r="F709" s="236"/>
      <c r="G709" s="236"/>
      <c r="H709" s="40">
        <f>SUM(Tabla132112419[[#This Row],[PRIMER TRIMESTRE]:[CUARTO TRIMESTRE]])</f>
        <v>0</v>
      </c>
      <c r="I709" s="17">
        <v>46658.86</v>
      </c>
      <c r="J709" s="17">
        <f t="shared" si="19"/>
        <v>0</v>
      </c>
      <c r="K709" s="17"/>
      <c r="L709" s="16" t="s">
        <v>18</v>
      </c>
      <c r="M709" s="16" t="s">
        <v>19</v>
      </c>
      <c r="N709" s="39"/>
    </row>
    <row r="710" spans="1:14" s="12" customFormat="1" ht="31.5">
      <c r="A710" s="178" t="s">
        <v>96</v>
      </c>
      <c r="B710" s="75" t="s">
        <v>1734</v>
      </c>
      <c r="C710" s="39" t="s">
        <v>17</v>
      </c>
      <c r="D710" s="236"/>
      <c r="E710" s="210"/>
      <c r="F710" s="236"/>
      <c r="G710" s="236"/>
      <c r="H710" s="40">
        <v>0</v>
      </c>
      <c r="I710" s="17">
        <v>0</v>
      </c>
      <c r="J710" s="17">
        <v>0</v>
      </c>
      <c r="K710" s="17"/>
      <c r="L710" s="16" t="s">
        <v>18</v>
      </c>
      <c r="M710" s="16" t="s">
        <v>19</v>
      </c>
      <c r="N710" s="39"/>
    </row>
    <row r="711" spans="1:14" s="12" customFormat="1" ht="31.5">
      <c r="A711" s="178" t="s">
        <v>96</v>
      </c>
      <c r="B711" s="75" t="s">
        <v>1733</v>
      </c>
      <c r="C711" s="39" t="s">
        <v>17</v>
      </c>
      <c r="D711" s="236"/>
      <c r="E711" s="210"/>
      <c r="F711" s="236"/>
      <c r="G711" s="236"/>
      <c r="H711" s="40">
        <v>0</v>
      </c>
      <c r="I711" s="17">
        <v>0</v>
      </c>
      <c r="J711" s="17">
        <v>0</v>
      </c>
      <c r="K711" s="17"/>
      <c r="L711" s="16" t="s">
        <v>18</v>
      </c>
      <c r="M711" s="16" t="s">
        <v>19</v>
      </c>
      <c r="N711" s="39"/>
    </row>
    <row r="712" spans="1:14" s="12" customFormat="1" ht="38.25">
      <c r="A712" s="178" t="s">
        <v>96</v>
      </c>
      <c r="B712" s="75" t="s">
        <v>1732</v>
      </c>
      <c r="C712" s="39" t="s">
        <v>17</v>
      </c>
      <c r="D712" s="236"/>
      <c r="E712" s="210"/>
      <c r="F712" s="236"/>
      <c r="G712" s="236"/>
      <c r="H712" s="40">
        <v>0</v>
      </c>
      <c r="I712" s="17">
        <v>0</v>
      </c>
      <c r="J712" s="17">
        <v>0</v>
      </c>
      <c r="K712" s="17"/>
      <c r="L712" s="16" t="s">
        <v>18</v>
      </c>
      <c r="M712" s="16" t="s">
        <v>19</v>
      </c>
      <c r="N712" s="39"/>
    </row>
    <row r="713" spans="1:14" s="12" customFormat="1" ht="31.5">
      <c r="A713" s="178" t="s">
        <v>96</v>
      </c>
      <c r="B713" s="75" t="s">
        <v>825</v>
      </c>
      <c r="C713" s="39" t="s">
        <v>17</v>
      </c>
      <c r="D713" s="236"/>
      <c r="E713" s="210"/>
      <c r="F713" s="236"/>
      <c r="G713" s="236"/>
      <c r="H713" s="40">
        <f>SUM(Tabla132112419[[#This Row],[PRIMER TRIMESTRE]:[CUARTO TRIMESTRE]])</f>
        <v>0</v>
      </c>
      <c r="I713" s="17">
        <v>47216.69</v>
      </c>
      <c r="J713" s="17">
        <v>47216.69</v>
      </c>
      <c r="K713" s="17"/>
      <c r="L713" s="16" t="s">
        <v>18</v>
      </c>
      <c r="M713" s="16" t="s">
        <v>19</v>
      </c>
      <c r="N713" s="39"/>
    </row>
    <row r="714" spans="1:14" s="12" customFormat="1" ht="31.5">
      <c r="A714" s="178" t="s">
        <v>96</v>
      </c>
      <c r="B714" s="75" t="s">
        <v>826</v>
      </c>
      <c r="C714" s="39" t="s">
        <v>17</v>
      </c>
      <c r="D714" s="236"/>
      <c r="E714" s="210"/>
      <c r="F714" s="236"/>
      <c r="G714" s="236"/>
      <c r="H714" s="40">
        <f>SUM(Tabla132112419[[#This Row],[PRIMER TRIMESTRE]:[CUARTO TRIMESTRE]])</f>
        <v>0</v>
      </c>
      <c r="I714" s="17">
        <v>59766.34</v>
      </c>
      <c r="J714" s="17">
        <f t="shared" ref="J714:J777" si="20">+H714*I714</f>
        <v>0</v>
      </c>
      <c r="K714" s="17"/>
      <c r="L714" s="16" t="s">
        <v>18</v>
      </c>
      <c r="M714" s="16" t="s">
        <v>19</v>
      </c>
      <c r="N714" s="39"/>
    </row>
    <row r="715" spans="1:14" s="12" customFormat="1" ht="30">
      <c r="A715" s="178" t="s">
        <v>96</v>
      </c>
      <c r="B715" s="75" t="s">
        <v>1227</v>
      </c>
      <c r="C715" s="39" t="s">
        <v>17</v>
      </c>
      <c r="D715" s="236"/>
      <c r="E715" s="210"/>
      <c r="F715" s="236"/>
      <c r="G715" s="236"/>
      <c r="H715" s="40">
        <f>SUM(Tabla132112419[[#This Row],[PRIMER TRIMESTRE]:[CUARTO TRIMESTRE]])</f>
        <v>0</v>
      </c>
      <c r="I715" s="17">
        <v>56400</v>
      </c>
      <c r="J715" s="17">
        <f t="shared" si="20"/>
        <v>0</v>
      </c>
      <c r="K715" s="17"/>
      <c r="L715" s="16" t="s">
        <v>18</v>
      </c>
      <c r="M715" s="16" t="s">
        <v>22</v>
      </c>
      <c r="N715" s="39"/>
    </row>
    <row r="716" spans="1:14" s="12" customFormat="1" ht="30">
      <c r="A716" s="178" t="s">
        <v>96</v>
      </c>
      <c r="B716" s="75" t="s">
        <v>1228</v>
      </c>
      <c r="C716" s="39" t="s">
        <v>17</v>
      </c>
      <c r="D716" s="236"/>
      <c r="E716" s="210"/>
      <c r="F716" s="236"/>
      <c r="G716" s="236"/>
      <c r="H716" s="40">
        <f>SUM(Tabla132112419[[#This Row],[PRIMER TRIMESTRE]:[CUARTO TRIMESTRE]])</f>
        <v>0</v>
      </c>
      <c r="I716" s="17">
        <v>56400</v>
      </c>
      <c r="J716" s="17">
        <f t="shared" si="20"/>
        <v>0</v>
      </c>
      <c r="K716" s="17"/>
      <c r="L716" s="16" t="s">
        <v>18</v>
      </c>
      <c r="M716" s="16" t="s">
        <v>22</v>
      </c>
      <c r="N716" s="39"/>
    </row>
    <row r="717" spans="1:14" s="12" customFormat="1" ht="30">
      <c r="A717" s="178" t="s">
        <v>96</v>
      </c>
      <c r="B717" s="75" t="s">
        <v>1229</v>
      </c>
      <c r="C717" s="39" t="s">
        <v>17</v>
      </c>
      <c r="D717" s="236"/>
      <c r="E717" s="210"/>
      <c r="F717" s="236"/>
      <c r="G717" s="236"/>
      <c r="H717" s="40">
        <f>SUM(Tabla132112419[[#This Row],[PRIMER TRIMESTRE]:[CUARTO TRIMESTRE]])</f>
        <v>0</v>
      </c>
      <c r="I717" s="17">
        <v>56400</v>
      </c>
      <c r="J717" s="17">
        <f t="shared" si="20"/>
        <v>0</v>
      </c>
      <c r="K717" s="17"/>
      <c r="L717" s="16" t="s">
        <v>18</v>
      </c>
      <c r="M717" s="16" t="s">
        <v>22</v>
      </c>
      <c r="N717" s="39"/>
    </row>
    <row r="718" spans="1:14" s="12" customFormat="1" ht="30">
      <c r="A718" s="178" t="s">
        <v>96</v>
      </c>
      <c r="B718" s="75" t="s">
        <v>827</v>
      </c>
      <c r="C718" s="39" t="s">
        <v>17</v>
      </c>
      <c r="D718" s="236"/>
      <c r="E718" s="210"/>
      <c r="F718" s="236"/>
      <c r="G718" s="236"/>
      <c r="H718" s="40">
        <f>SUM(Tabla132112419[[#This Row],[PRIMER TRIMESTRE]:[CUARTO TRIMESTRE]])</f>
        <v>0</v>
      </c>
      <c r="I718" s="17">
        <v>2415</v>
      </c>
      <c r="J718" s="17">
        <f t="shared" si="20"/>
        <v>0</v>
      </c>
      <c r="K718" s="17"/>
      <c r="L718" s="16" t="s">
        <v>18</v>
      </c>
      <c r="M718" s="16" t="s">
        <v>22</v>
      </c>
      <c r="N718" s="39"/>
    </row>
    <row r="719" spans="1:14" s="12" customFormat="1" ht="30">
      <c r="A719" s="178" t="s">
        <v>96</v>
      </c>
      <c r="B719" s="75" t="s">
        <v>828</v>
      </c>
      <c r="C719" s="39" t="s">
        <v>17</v>
      </c>
      <c r="D719" s="236"/>
      <c r="E719" s="210"/>
      <c r="F719" s="236"/>
      <c r="G719" s="236"/>
      <c r="H719" s="40">
        <f>SUM(Tabla132112419[[#This Row],[PRIMER TRIMESTRE]:[CUARTO TRIMESTRE]])</f>
        <v>0</v>
      </c>
      <c r="I719" s="17">
        <v>3266</v>
      </c>
      <c r="J719" s="17">
        <f t="shared" si="20"/>
        <v>0</v>
      </c>
      <c r="K719" s="17"/>
      <c r="L719" s="16" t="s">
        <v>18</v>
      </c>
      <c r="M719" s="16" t="s">
        <v>22</v>
      </c>
      <c r="N719" s="39"/>
    </row>
    <row r="720" spans="1:14" s="12" customFormat="1" ht="30">
      <c r="A720" s="178" t="s">
        <v>96</v>
      </c>
      <c r="B720" s="75" t="s">
        <v>829</v>
      </c>
      <c r="C720" s="39" t="s">
        <v>17</v>
      </c>
      <c r="D720" s="236"/>
      <c r="E720" s="210"/>
      <c r="F720" s="236"/>
      <c r="G720" s="236"/>
      <c r="H720" s="40">
        <f>SUM(Tabla132112419[[#This Row],[PRIMER TRIMESTRE]:[CUARTO TRIMESTRE]])</f>
        <v>0</v>
      </c>
      <c r="I720" s="17">
        <v>4000</v>
      </c>
      <c r="J720" s="17">
        <f t="shared" si="20"/>
        <v>0</v>
      </c>
      <c r="K720" s="17"/>
      <c r="L720" s="16" t="s">
        <v>18</v>
      </c>
      <c r="M720" s="16" t="s">
        <v>22</v>
      </c>
      <c r="N720" s="39"/>
    </row>
    <row r="721" spans="1:14" s="12" customFormat="1" ht="30">
      <c r="A721" s="178" t="s">
        <v>96</v>
      </c>
      <c r="B721" s="75" t="s">
        <v>830</v>
      </c>
      <c r="C721" s="39" t="s">
        <v>17</v>
      </c>
      <c r="D721" s="236"/>
      <c r="E721" s="210"/>
      <c r="F721" s="236"/>
      <c r="G721" s="236"/>
      <c r="H721" s="40">
        <f>SUM(Tabla132112419[[#This Row],[PRIMER TRIMESTRE]:[CUARTO TRIMESTRE]])</f>
        <v>0</v>
      </c>
      <c r="I721" s="17">
        <v>4957</v>
      </c>
      <c r="J721" s="17">
        <f t="shared" si="20"/>
        <v>0</v>
      </c>
      <c r="K721" s="17"/>
      <c r="L721" s="16" t="s">
        <v>18</v>
      </c>
      <c r="M721" s="16" t="s">
        <v>22</v>
      </c>
      <c r="N721" s="39"/>
    </row>
    <row r="722" spans="1:14" s="12" customFormat="1" ht="30">
      <c r="A722" s="178" t="s">
        <v>96</v>
      </c>
      <c r="B722" s="75" t="s">
        <v>831</v>
      </c>
      <c r="C722" s="39" t="s">
        <v>17</v>
      </c>
      <c r="D722" s="236"/>
      <c r="E722" s="210"/>
      <c r="F722" s="236"/>
      <c r="G722" s="236"/>
      <c r="H722" s="40">
        <f>SUM(Tabla132112419[[#This Row],[PRIMER TRIMESTRE]:[CUARTO TRIMESTRE]])</f>
        <v>0</v>
      </c>
      <c r="I722" s="17">
        <v>5394</v>
      </c>
      <c r="J722" s="17">
        <f t="shared" si="20"/>
        <v>0</v>
      </c>
      <c r="K722" s="17"/>
      <c r="L722" s="16" t="s">
        <v>18</v>
      </c>
      <c r="M722" s="16" t="s">
        <v>22</v>
      </c>
      <c r="N722" s="39"/>
    </row>
    <row r="723" spans="1:14" s="12" customFormat="1" ht="30">
      <c r="A723" s="178" t="s">
        <v>96</v>
      </c>
      <c r="B723" s="75" t="s">
        <v>1511</v>
      </c>
      <c r="C723" s="39" t="s">
        <v>17</v>
      </c>
      <c r="D723" s="236"/>
      <c r="E723" s="236"/>
      <c r="F723" s="236"/>
      <c r="G723" s="236"/>
      <c r="H723" s="236">
        <f>SUM(Tabla132112419[[#This Row],[PRIMER TRIMESTRE]:[CUARTO TRIMESTRE]])</f>
        <v>0</v>
      </c>
      <c r="I723" s="17">
        <v>58148.4</v>
      </c>
      <c r="J723" s="17">
        <f t="shared" si="20"/>
        <v>0</v>
      </c>
      <c r="K723" s="17"/>
      <c r="L723" s="16" t="s">
        <v>18</v>
      </c>
      <c r="M723" s="16" t="s">
        <v>22</v>
      </c>
      <c r="N723" s="39"/>
    </row>
    <row r="724" spans="1:14" s="12" customFormat="1" ht="30">
      <c r="A724" s="178" t="s">
        <v>96</v>
      </c>
      <c r="B724" s="75" t="s">
        <v>1512</v>
      </c>
      <c r="C724" s="236" t="s">
        <v>17</v>
      </c>
      <c r="D724" s="236"/>
      <c r="E724" s="236"/>
      <c r="F724" s="236"/>
      <c r="G724" s="236"/>
      <c r="H724" s="236">
        <f>SUM(Tabla132112419[[#This Row],[PRIMER TRIMESTRE]:[CUARTO TRIMESTRE]])</f>
        <v>0</v>
      </c>
      <c r="I724" s="17">
        <v>3703</v>
      </c>
      <c r="J724" s="17">
        <f t="shared" si="20"/>
        <v>0</v>
      </c>
      <c r="K724" s="17"/>
      <c r="L724" s="16" t="s">
        <v>18</v>
      </c>
      <c r="M724" s="16" t="s">
        <v>22</v>
      </c>
      <c r="N724" s="39"/>
    </row>
    <row r="725" spans="1:14" s="12" customFormat="1" ht="30">
      <c r="A725" s="178" t="s">
        <v>96</v>
      </c>
      <c r="B725" s="75" t="s">
        <v>1513</v>
      </c>
      <c r="C725" s="236" t="s">
        <v>17</v>
      </c>
      <c r="D725" s="236"/>
      <c r="E725" s="236"/>
      <c r="F725" s="236"/>
      <c r="G725" s="236"/>
      <c r="H725" s="236">
        <f>SUM(Tabla132112419[[#This Row],[PRIMER TRIMESTRE]:[CUARTO TRIMESTRE]])</f>
        <v>0</v>
      </c>
      <c r="I725" s="17">
        <v>3703.83</v>
      </c>
      <c r="J725" s="17">
        <f t="shared" si="20"/>
        <v>0</v>
      </c>
      <c r="K725" s="17"/>
      <c r="L725" s="16" t="s">
        <v>18</v>
      </c>
      <c r="M725" s="16" t="s">
        <v>22</v>
      </c>
      <c r="N725" s="39"/>
    </row>
    <row r="726" spans="1:14" s="12" customFormat="1" ht="30">
      <c r="A726" s="178" t="s">
        <v>96</v>
      </c>
      <c r="B726" s="75" t="s">
        <v>1514</v>
      </c>
      <c r="C726" s="236" t="s">
        <v>17</v>
      </c>
      <c r="D726" s="236"/>
      <c r="E726" s="236"/>
      <c r="F726" s="236"/>
      <c r="G726" s="236"/>
      <c r="H726" s="236">
        <f>SUM(Tabla132112419[[#This Row],[PRIMER TRIMESTRE]:[CUARTO TRIMESTRE]])</f>
        <v>0</v>
      </c>
      <c r="I726" s="17">
        <v>4018</v>
      </c>
      <c r="J726" s="17">
        <f t="shared" si="20"/>
        <v>0</v>
      </c>
      <c r="K726" s="17"/>
      <c r="L726" s="16" t="s">
        <v>18</v>
      </c>
      <c r="M726" s="16" t="s">
        <v>22</v>
      </c>
      <c r="N726" s="39"/>
    </row>
    <row r="727" spans="1:14" s="12" customFormat="1" ht="30">
      <c r="A727" s="178" t="s">
        <v>96</v>
      </c>
      <c r="B727" s="75" t="s">
        <v>1721</v>
      </c>
      <c r="C727" s="236" t="s">
        <v>17</v>
      </c>
      <c r="D727" s="236"/>
      <c r="E727" s="236"/>
      <c r="F727" s="236"/>
      <c r="G727" s="236"/>
      <c r="H727" s="40">
        <v>0</v>
      </c>
      <c r="I727" s="17">
        <v>0</v>
      </c>
      <c r="J727" s="17">
        <v>0</v>
      </c>
      <c r="K727" s="17"/>
      <c r="L727" s="16" t="s">
        <v>18</v>
      </c>
      <c r="M727" s="16" t="s">
        <v>22</v>
      </c>
      <c r="N727" s="39"/>
    </row>
    <row r="728" spans="1:14" s="12" customFormat="1" ht="30">
      <c r="A728" s="178" t="s">
        <v>96</v>
      </c>
      <c r="B728" s="75" t="s">
        <v>1515</v>
      </c>
      <c r="C728" s="236" t="s">
        <v>17</v>
      </c>
      <c r="D728" s="236"/>
      <c r="E728" s="236"/>
      <c r="F728" s="236"/>
      <c r="G728" s="236"/>
      <c r="H728" s="236">
        <f>SUM(Tabla132112419[[#This Row],[PRIMER TRIMESTRE]:[CUARTO TRIMESTRE]])</f>
        <v>0</v>
      </c>
      <c r="I728" s="17">
        <v>4500</v>
      </c>
      <c r="J728" s="17">
        <f t="shared" si="20"/>
        <v>0</v>
      </c>
      <c r="K728" s="17"/>
      <c r="L728" s="16" t="s">
        <v>18</v>
      </c>
      <c r="M728" s="16" t="s">
        <v>22</v>
      </c>
      <c r="N728" s="39"/>
    </row>
    <row r="729" spans="1:14" s="12" customFormat="1" ht="30">
      <c r="A729" s="178" t="s">
        <v>96</v>
      </c>
      <c r="B729" s="75" t="s">
        <v>1516</v>
      </c>
      <c r="C729" s="236" t="s">
        <v>17</v>
      </c>
      <c r="D729" s="236"/>
      <c r="E729" s="236"/>
      <c r="F729" s="236"/>
      <c r="G729" s="236"/>
      <c r="H729" s="236">
        <f>SUM(Tabla132112419[[#This Row],[PRIMER TRIMESTRE]:[CUARTO TRIMESTRE]])</f>
        <v>0</v>
      </c>
      <c r="I729" s="17">
        <v>2185</v>
      </c>
      <c r="J729" s="17">
        <f t="shared" si="20"/>
        <v>0</v>
      </c>
      <c r="K729" s="17"/>
      <c r="L729" s="16" t="s">
        <v>18</v>
      </c>
      <c r="M729" s="16" t="s">
        <v>22</v>
      </c>
      <c r="N729" s="39"/>
    </row>
    <row r="730" spans="1:14" s="12" customFormat="1" ht="30">
      <c r="A730" s="178" t="s">
        <v>96</v>
      </c>
      <c r="B730" s="75" t="s">
        <v>1517</v>
      </c>
      <c r="C730" s="236" t="s">
        <v>17</v>
      </c>
      <c r="D730" s="236"/>
      <c r="E730" s="236"/>
      <c r="F730" s="236"/>
      <c r="G730" s="236"/>
      <c r="H730" s="236">
        <f>SUM(Tabla132112419[[#This Row],[PRIMER TRIMESTRE]:[CUARTO TRIMESTRE]])</f>
        <v>0</v>
      </c>
      <c r="I730" s="17">
        <v>2185</v>
      </c>
      <c r="J730" s="17">
        <f t="shared" si="20"/>
        <v>0</v>
      </c>
      <c r="K730" s="17"/>
      <c r="L730" s="16" t="s">
        <v>18</v>
      </c>
      <c r="M730" s="16" t="s">
        <v>22</v>
      </c>
      <c r="N730" s="39"/>
    </row>
    <row r="731" spans="1:14" s="12" customFormat="1" ht="30">
      <c r="A731" s="178" t="s">
        <v>96</v>
      </c>
      <c r="B731" s="75" t="s">
        <v>832</v>
      </c>
      <c r="C731" s="39" t="s">
        <v>17</v>
      </c>
      <c r="D731" s="236"/>
      <c r="E731" s="236"/>
      <c r="F731" s="236"/>
      <c r="G731" s="236"/>
      <c r="H731" s="40">
        <f>SUM(Tabla132112419[[#This Row],[PRIMER TRIMESTRE]:[CUARTO TRIMESTRE]])</f>
        <v>0</v>
      </c>
      <c r="I731" s="17">
        <v>5772</v>
      </c>
      <c r="J731" s="17">
        <f t="shared" si="20"/>
        <v>0</v>
      </c>
      <c r="K731" s="17"/>
      <c r="L731" s="16" t="s">
        <v>18</v>
      </c>
      <c r="M731" s="16" t="s">
        <v>22</v>
      </c>
      <c r="N731" s="39"/>
    </row>
    <row r="732" spans="1:14" s="12" customFormat="1" ht="30">
      <c r="A732" s="178" t="s">
        <v>96</v>
      </c>
      <c r="B732" s="75" t="s">
        <v>833</v>
      </c>
      <c r="C732" s="39" t="s">
        <v>17</v>
      </c>
      <c r="D732" s="236"/>
      <c r="E732" s="236"/>
      <c r="F732" s="236"/>
      <c r="G732" s="236"/>
      <c r="H732" s="40">
        <f>SUM(Tabla132112419[[#This Row],[PRIMER TRIMESTRE]:[CUARTO TRIMESTRE]])</f>
        <v>0</v>
      </c>
      <c r="I732" s="17">
        <v>6168.42</v>
      </c>
      <c r="J732" s="17">
        <f t="shared" si="20"/>
        <v>0</v>
      </c>
      <c r="K732" s="17"/>
      <c r="L732" s="16" t="s">
        <v>18</v>
      </c>
      <c r="M732" s="16" t="s">
        <v>22</v>
      </c>
      <c r="N732" s="39"/>
    </row>
    <row r="733" spans="1:14" s="12" customFormat="1" ht="30">
      <c r="A733" s="178" t="s">
        <v>96</v>
      </c>
      <c r="B733" s="75" t="s">
        <v>834</v>
      </c>
      <c r="C733" s="39" t="s">
        <v>17</v>
      </c>
      <c r="D733" s="236"/>
      <c r="E733" s="236"/>
      <c r="F733" s="236"/>
      <c r="G733" s="236"/>
      <c r="H733" s="40">
        <f>SUM(Tabla132112419[[#This Row],[PRIMER TRIMESTRE]:[CUARTO TRIMESTRE]])</f>
        <v>0</v>
      </c>
      <c r="I733" s="17">
        <v>14000</v>
      </c>
      <c r="J733" s="17">
        <f t="shared" si="20"/>
        <v>0</v>
      </c>
      <c r="K733" s="17"/>
      <c r="L733" s="16" t="s">
        <v>18</v>
      </c>
      <c r="M733" s="16" t="s">
        <v>22</v>
      </c>
      <c r="N733" s="39"/>
    </row>
    <row r="734" spans="1:14" s="12" customFormat="1" ht="30">
      <c r="A734" s="178" t="s">
        <v>96</v>
      </c>
      <c r="B734" s="75" t="s">
        <v>835</v>
      </c>
      <c r="C734" s="39" t="s">
        <v>17</v>
      </c>
      <c r="D734" s="236"/>
      <c r="E734" s="236"/>
      <c r="F734" s="236"/>
      <c r="G734" s="236"/>
      <c r="H734" s="40">
        <f>SUM(Tabla132112419[[#This Row],[PRIMER TRIMESTRE]:[CUARTO TRIMESTRE]])</f>
        <v>0</v>
      </c>
      <c r="I734" s="17">
        <v>15000</v>
      </c>
      <c r="J734" s="17">
        <f t="shared" si="20"/>
        <v>0</v>
      </c>
      <c r="K734" s="17"/>
      <c r="L734" s="16" t="s">
        <v>18</v>
      </c>
      <c r="M734" s="16" t="s">
        <v>22</v>
      </c>
      <c r="N734" s="39"/>
    </row>
    <row r="735" spans="1:14" s="12" customFormat="1" ht="30">
      <c r="A735" s="178" t="s">
        <v>96</v>
      </c>
      <c r="B735" s="75" t="s">
        <v>836</v>
      </c>
      <c r="C735" s="39" t="s">
        <v>17</v>
      </c>
      <c r="D735" s="236"/>
      <c r="E735" s="236"/>
      <c r="F735" s="236"/>
      <c r="G735" s="236"/>
      <c r="H735" s="40">
        <f>SUM(Tabla132112419[[#This Row],[PRIMER TRIMESTRE]:[CUARTO TRIMESTRE]])</f>
        <v>0</v>
      </c>
      <c r="I735" s="17">
        <v>16500</v>
      </c>
      <c r="J735" s="17">
        <f t="shared" si="20"/>
        <v>0</v>
      </c>
      <c r="K735" s="17"/>
      <c r="L735" s="16" t="s">
        <v>18</v>
      </c>
      <c r="M735" s="16" t="s">
        <v>22</v>
      </c>
      <c r="N735" s="39"/>
    </row>
    <row r="736" spans="1:14" s="12" customFormat="1" ht="30">
      <c r="A736" s="178" t="s">
        <v>96</v>
      </c>
      <c r="B736" s="75" t="s">
        <v>1449</v>
      </c>
      <c r="C736" s="39" t="s">
        <v>17</v>
      </c>
      <c r="D736" s="236"/>
      <c r="E736" s="236"/>
      <c r="F736" s="236"/>
      <c r="G736" s="236"/>
      <c r="H736" s="40">
        <f>SUM(Tabla132112419[[#This Row],[PRIMER TRIMESTRE]:[CUARTO TRIMESTRE]])</f>
        <v>0</v>
      </c>
      <c r="I736" s="17">
        <v>20600</v>
      </c>
      <c r="J736" s="17">
        <f t="shared" si="20"/>
        <v>0</v>
      </c>
      <c r="K736" s="17"/>
      <c r="L736" s="16" t="s">
        <v>18</v>
      </c>
      <c r="M736" s="16" t="s">
        <v>22</v>
      </c>
      <c r="N736" s="39"/>
    </row>
    <row r="737" spans="1:14" s="12" customFormat="1" ht="38.25">
      <c r="A737" s="178" t="s">
        <v>96</v>
      </c>
      <c r="B737" s="75" t="s">
        <v>843</v>
      </c>
      <c r="C737" s="39" t="s">
        <v>17</v>
      </c>
      <c r="D737" s="236"/>
      <c r="E737" s="236"/>
      <c r="F737" s="236"/>
      <c r="G737" s="236"/>
      <c r="H737" s="40">
        <f>SUM(Tabla132112419[[#This Row],[PRIMER TRIMESTRE]:[CUARTO TRIMESTRE]])</f>
        <v>0</v>
      </c>
      <c r="I737" s="17">
        <v>4270</v>
      </c>
      <c r="J737" s="17">
        <f t="shared" si="20"/>
        <v>0</v>
      </c>
      <c r="K737" s="17"/>
      <c r="L737" s="16" t="s">
        <v>18</v>
      </c>
      <c r="M737" s="16" t="s">
        <v>22</v>
      </c>
      <c r="N737" s="39"/>
    </row>
    <row r="738" spans="1:14" s="12" customFormat="1" ht="38.25">
      <c r="A738" s="178" t="s">
        <v>96</v>
      </c>
      <c r="B738" s="75" t="s">
        <v>844</v>
      </c>
      <c r="C738" s="39" t="s">
        <v>17</v>
      </c>
      <c r="D738" s="236"/>
      <c r="E738" s="236"/>
      <c r="F738" s="236"/>
      <c r="G738" s="236"/>
      <c r="H738" s="40">
        <f>SUM(Tabla132112419[[#This Row],[PRIMER TRIMESTRE]:[CUARTO TRIMESTRE]])</f>
        <v>0</v>
      </c>
      <c r="I738" s="17">
        <v>4320</v>
      </c>
      <c r="J738" s="17">
        <f t="shared" si="20"/>
        <v>0</v>
      </c>
      <c r="K738" s="17"/>
      <c r="L738" s="16" t="s">
        <v>18</v>
      </c>
      <c r="M738" s="16" t="s">
        <v>22</v>
      </c>
      <c r="N738" s="39"/>
    </row>
    <row r="739" spans="1:14" s="12" customFormat="1" ht="38.25">
      <c r="A739" s="178" t="s">
        <v>96</v>
      </c>
      <c r="B739" s="75" t="s">
        <v>845</v>
      </c>
      <c r="C739" s="39" t="s">
        <v>17</v>
      </c>
      <c r="D739" s="236"/>
      <c r="E739" s="236"/>
      <c r="F739" s="236"/>
      <c r="G739" s="236"/>
      <c r="H739" s="40">
        <f>SUM(Tabla132112419[[#This Row],[PRIMER TRIMESTRE]:[CUARTO TRIMESTRE]])</f>
        <v>0</v>
      </c>
      <c r="I739" s="17">
        <v>4560</v>
      </c>
      <c r="J739" s="17">
        <f t="shared" si="20"/>
        <v>0</v>
      </c>
      <c r="K739" s="17"/>
      <c r="L739" s="16" t="s">
        <v>18</v>
      </c>
      <c r="M739" s="16" t="s">
        <v>22</v>
      </c>
      <c r="N739" s="39"/>
    </row>
    <row r="740" spans="1:14" s="12" customFormat="1" ht="38.25">
      <c r="A740" s="178" t="s">
        <v>96</v>
      </c>
      <c r="B740" s="75" t="s">
        <v>846</v>
      </c>
      <c r="C740" s="39" t="s">
        <v>17</v>
      </c>
      <c r="D740" s="236"/>
      <c r="E740" s="236"/>
      <c r="F740" s="236"/>
      <c r="G740" s="236"/>
      <c r="H740" s="40">
        <f>SUM(Tabla132112419[[#This Row],[PRIMER TRIMESTRE]:[CUARTO TRIMESTRE]])</f>
        <v>0</v>
      </c>
      <c r="I740" s="17">
        <v>5684</v>
      </c>
      <c r="J740" s="17">
        <f t="shared" si="20"/>
        <v>0</v>
      </c>
      <c r="K740" s="17"/>
      <c r="L740" s="16" t="s">
        <v>18</v>
      </c>
      <c r="M740" s="16" t="s">
        <v>22</v>
      </c>
      <c r="N740" s="39"/>
    </row>
    <row r="741" spans="1:14" s="12" customFormat="1" ht="38.25">
      <c r="A741" s="178" t="s">
        <v>96</v>
      </c>
      <c r="B741" s="75" t="s">
        <v>847</v>
      </c>
      <c r="C741" s="39" t="s">
        <v>17</v>
      </c>
      <c r="D741" s="236"/>
      <c r="E741" s="236"/>
      <c r="F741" s="236"/>
      <c r="G741" s="236"/>
      <c r="H741" s="40">
        <f>SUM(Tabla132112419[[#This Row],[PRIMER TRIMESTRE]:[CUARTO TRIMESTRE]])</f>
        <v>0</v>
      </c>
      <c r="I741" s="17">
        <v>5300</v>
      </c>
      <c r="J741" s="17">
        <f t="shared" si="20"/>
        <v>0</v>
      </c>
      <c r="K741" s="17"/>
      <c r="L741" s="16" t="s">
        <v>18</v>
      </c>
      <c r="M741" s="16" t="s">
        <v>22</v>
      </c>
      <c r="N741" s="39"/>
    </row>
    <row r="742" spans="1:14" s="12" customFormat="1" ht="38.25">
      <c r="A742" s="178" t="s">
        <v>96</v>
      </c>
      <c r="B742" s="75" t="s">
        <v>848</v>
      </c>
      <c r="C742" s="39" t="s">
        <v>17</v>
      </c>
      <c r="D742" s="236"/>
      <c r="E742" s="236"/>
      <c r="F742" s="236"/>
      <c r="G742" s="236"/>
      <c r="H742" s="40">
        <f>SUM(Tabla132112419[[#This Row],[PRIMER TRIMESTRE]:[CUARTO TRIMESTRE]])</f>
        <v>0</v>
      </c>
      <c r="I742" s="17">
        <v>4958</v>
      </c>
      <c r="J742" s="17">
        <f t="shared" si="20"/>
        <v>0</v>
      </c>
      <c r="K742" s="17"/>
      <c r="L742" s="16" t="s">
        <v>18</v>
      </c>
      <c r="M742" s="16" t="s">
        <v>22</v>
      </c>
      <c r="N742" s="39"/>
    </row>
    <row r="743" spans="1:14" s="12" customFormat="1" ht="38.25">
      <c r="A743" s="178" t="s">
        <v>96</v>
      </c>
      <c r="B743" s="75" t="s">
        <v>849</v>
      </c>
      <c r="C743" s="39" t="s">
        <v>17</v>
      </c>
      <c r="D743" s="236"/>
      <c r="E743" s="236"/>
      <c r="F743" s="236"/>
      <c r="G743" s="236"/>
      <c r="H743" s="40">
        <f>SUM(Tabla132112419[[#This Row],[PRIMER TRIMESTRE]:[CUARTO TRIMESTRE]])</f>
        <v>0</v>
      </c>
      <c r="I743" s="17">
        <v>6958</v>
      </c>
      <c r="J743" s="17">
        <f t="shared" si="20"/>
        <v>0</v>
      </c>
      <c r="K743" s="17"/>
      <c r="L743" s="16" t="s">
        <v>18</v>
      </c>
      <c r="M743" s="16" t="s">
        <v>22</v>
      </c>
      <c r="N743" s="39"/>
    </row>
    <row r="744" spans="1:14" s="12" customFormat="1" ht="38.25">
      <c r="A744" s="178" t="s">
        <v>96</v>
      </c>
      <c r="B744" s="75" t="s">
        <v>850</v>
      </c>
      <c r="C744" s="39" t="s">
        <v>17</v>
      </c>
      <c r="D744" s="236"/>
      <c r="E744" s="236"/>
      <c r="F744" s="236"/>
      <c r="G744" s="236"/>
      <c r="H744" s="40">
        <f>SUM(Tabla132112419[[#This Row],[PRIMER TRIMESTRE]:[CUARTO TRIMESTRE]])</f>
        <v>0</v>
      </c>
      <c r="I744" s="17">
        <v>7050</v>
      </c>
      <c r="J744" s="17">
        <f t="shared" si="20"/>
        <v>0</v>
      </c>
      <c r="K744" s="17"/>
      <c r="L744" s="16" t="s">
        <v>18</v>
      </c>
      <c r="M744" s="16" t="s">
        <v>22</v>
      </c>
      <c r="N744" s="39"/>
    </row>
    <row r="745" spans="1:14" s="12" customFormat="1" ht="38.25">
      <c r="A745" s="178" t="s">
        <v>96</v>
      </c>
      <c r="B745" s="75" t="s">
        <v>851</v>
      </c>
      <c r="C745" s="39" t="s">
        <v>17</v>
      </c>
      <c r="D745" s="236"/>
      <c r="E745" s="236"/>
      <c r="F745" s="236"/>
      <c r="G745" s="236"/>
      <c r="H745" s="40">
        <f>SUM(Tabla132112419[[#This Row],[PRIMER TRIMESTRE]:[CUARTO TRIMESTRE]])</f>
        <v>0</v>
      </c>
      <c r="I745" s="17">
        <v>7950</v>
      </c>
      <c r="J745" s="17">
        <f t="shared" si="20"/>
        <v>0</v>
      </c>
      <c r="K745" s="17"/>
      <c r="L745" s="16" t="s">
        <v>18</v>
      </c>
      <c r="M745" s="16" t="s">
        <v>22</v>
      </c>
      <c r="N745" s="39"/>
    </row>
    <row r="746" spans="1:14" s="12" customFormat="1" ht="38.25">
      <c r="A746" s="178" t="s">
        <v>96</v>
      </c>
      <c r="B746" s="75" t="s">
        <v>852</v>
      </c>
      <c r="C746" s="39" t="s">
        <v>17</v>
      </c>
      <c r="D746" s="236"/>
      <c r="E746" s="236"/>
      <c r="F746" s="236"/>
      <c r="G746" s="236"/>
      <c r="H746" s="40">
        <f>SUM(Tabla132112419[[#This Row],[PRIMER TRIMESTRE]:[CUARTO TRIMESTRE]])</f>
        <v>0</v>
      </c>
      <c r="I746" s="17">
        <v>8338.15</v>
      </c>
      <c r="J746" s="17">
        <f t="shared" si="20"/>
        <v>0</v>
      </c>
      <c r="K746" s="17"/>
      <c r="L746" s="16" t="s">
        <v>18</v>
      </c>
      <c r="M746" s="16" t="s">
        <v>22</v>
      </c>
      <c r="N746" s="39"/>
    </row>
    <row r="747" spans="1:14" s="12" customFormat="1" ht="38.25">
      <c r="A747" s="178" t="s">
        <v>96</v>
      </c>
      <c r="B747" s="75" t="s">
        <v>853</v>
      </c>
      <c r="C747" s="39" t="s">
        <v>17</v>
      </c>
      <c r="D747" s="236"/>
      <c r="E747" s="236"/>
      <c r="F747" s="236"/>
      <c r="G747" s="236"/>
      <c r="H747" s="40">
        <f>SUM(Tabla132112419[[#This Row],[PRIMER TRIMESTRE]:[CUARTO TRIMESTRE]])</f>
        <v>0</v>
      </c>
      <c r="I747" s="17">
        <v>9900.17</v>
      </c>
      <c r="J747" s="17">
        <f t="shared" si="20"/>
        <v>0</v>
      </c>
      <c r="K747" s="17"/>
      <c r="L747" s="16" t="s">
        <v>18</v>
      </c>
      <c r="M747" s="16" t="s">
        <v>22</v>
      </c>
      <c r="N747" s="39"/>
    </row>
    <row r="748" spans="1:14" s="12" customFormat="1" ht="47.25">
      <c r="A748" s="178" t="s">
        <v>96</v>
      </c>
      <c r="B748" s="16" t="str">
        <f ca="1">+UPPER(Tabla132112419[[#This Row],[DESCRIPCIÓN DE LA COMPRA O CONTRATACIÓN]])</f>
        <v>MONITORES DE FASE A 460 VOLTIOS, CONTRA PÉRDIDA DE FASE E INVERSIÓN DE GIRO CON SU BASE</v>
      </c>
      <c r="C748" s="39" t="s">
        <v>17</v>
      </c>
      <c r="D748" s="236"/>
      <c r="E748" s="236"/>
      <c r="F748" s="236"/>
      <c r="G748" s="236"/>
      <c r="H748" s="40">
        <f>SUM(Tabla132112419[[#This Row],[PRIMER TRIMESTRE]:[CUARTO TRIMESTRE]])</f>
        <v>0</v>
      </c>
      <c r="I748" s="17">
        <v>7500</v>
      </c>
      <c r="J748" s="17">
        <f t="shared" si="20"/>
        <v>0</v>
      </c>
      <c r="K748" s="17"/>
      <c r="L748" s="16" t="s">
        <v>18</v>
      </c>
      <c r="M748" s="16" t="s">
        <v>22</v>
      </c>
      <c r="N748" s="39"/>
    </row>
    <row r="749" spans="1:14" s="12" customFormat="1" ht="47.25">
      <c r="A749" s="178" t="s">
        <v>96</v>
      </c>
      <c r="B749" s="16" t="s">
        <v>1509</v>
      </c>
      <c r="C749" s="39" t="s">
        <v>17</v>
      </c>
      <c r="D749" s="236"/>
      <c r="E749" s="236"/>
      <c r="F749" s="236"/>
      <c r="G749" s="236"/>
      <c r="H749" s="40">
        <f>SUM(Tabla132112419[[#This Row],[PRIMER TRIMESTRE]:[CUARTO TRIMESTRE]])</f>
        <v>0</v>
      </c>
      <c r="I749" s="17">
        <v>5400</v>
      </c>
      <c r="J749" s="17">
        <f t="shared" si="20"/>
        <v>0</v>
      </c>
      <c r="K749" s="17"/>
      <c r="L749" s="16" t="s">
        <v>18</v>
      </c>
      <c r="M749" s="16" t="s">
        <v>22</v>
      </c>
      <c r="N749" s="39"/>
    </row>
    <row r="750" spans="1:14" s="12" customFormat="1" ht="47.25">
      <c r="A750" s="178" t="s">
        <v>96</v>
      </c>
      <c r="B750" s="16" t="str">
        <f ca="1">+UPPER(Tabla132112419[[#This Row],[DESCRIPCIÓN DE LA COMPRA O CONTRATACIÓN]])</f>
        <v>MONITORES DE FASE A 230 VOLTIOS, CONTRA PÉRDIDA DE FASE E INVERSIÓN DE GIRO CON SU BASE</v>
      </c>
      <c r="C750" s="39" t="s">
        <v>17</v>
      </c>
      <c r="D750" s="236"/>
      <c r="E750" s="236"/>
      <c r="F750" s="236"/>
      <c r="G750" s="236"/>
      <c r="H750" s="40">
        <f>SUM(Tabla132112419[[#This Row],[PRIMER TRIMESTRE]:[CUARTO TRIMESTRE]])</f>
        <v>0</v>
      </c>
      <c r="I750" s="17">
        <v>7500</v>
      </c>
      <c r="J750" s="17">
        <f t="shared" si="20"/>
        <v>0</v>
      </c>
      <c r="K750" s="17"/>
      <c r="L750" s="16" t="s">
        <v>18</v>
      </c>
      <c r="M750" s="16" t="s">
        <v>22</v>
      </c>
      <c r="N750" s="39"/>
    </row>
    <row r="751" spans="1:14" s="12" customFormat="1" ht="47.25">
      <c r="A751" s="178" t="s">
        <v>1676</v>
      </c>
      <c r="B751" s="16" t="s">
        <v>1854</v>
      </c>
      <c r="C751" s="39" t="s">
        <v>17</v>
      </c>
      <c r="D751" s="236"/>
      <c r="E751" s="236"/>
      <c r="F751" s="236"/>
      <c r="G751" s="236"/>
      <c r="H751" s="40">
        <v>0</v>
      </c>
      <c r="I751" s="17">
        <v>0</v>
      </c>
      <c r="J751" s="17">
        <v>0</v>
      </c>
      <c r="K751" s="17"/>
      <c r="L751" s="16" t="s">
        <v>18</v>
      </c>
      <c r="M751" s="16" t="s">
        <v>19</v>
      </c>
      <c r="N751" s="39"/>
    </row>
    <row r="752" spans="1:14" s="12" customFormat="1" ht="38.25">
      <c r="A752" s="178" t="s">
        <v>96</v>
      </c>
      <c r="B752" s="75" t="s">
        <v>1695</v>
      </c>
      <c r="C752" s="39" t="s">
        <v>17</v>
      </c>
      <c r="D752" s="236"/>
      <c r="E752" s="236"/>
      <c r="F752" s="236"/>
      <c r="G752" s="236"/>
      <c r="H752" s="40">
        <v>0</v>
      </c>
      <c r="I752" s="17">
        <v>0</v>
      </c>
      <c r="J752" s="17">
        <v>0</v>
      </c>
      <c r="K752" s="17"/>
      <c r="L752" s="16" t="s">
        <v>18</v>
      </c>
      <c r="M752" s="16" t="s">
        <v>19</v>
      </c>
      <c r="N752" s="39"/>
    </row>
    <row r="753" spans="1:14" s="12" customFormat="1" ht="31.5">
      <c r="A753" s="178" t="s">
        <v>96</v>
      </c>
      <c r="B753" s="75" t="s">
        <v>854</v>
      </c>
      <c r="C753" s="39" t="s">
        <v>17</v>
      </c>
      <c r="D753" s="236"/>
      <c r="E753" s="210"/>
      <c r="F753" s="236"/>
      <c r="G753" s="236"/>
      <c r="H753" s="40">
        <f>SUM(Tabla132112419[[#This Row],[PRIMER TRIMESTRE]:[CUARTO TRIMESTRE]])</f>
        <v>0</v>
      </c>
      <c r="I753" s="72">
        <v>16500</v>
      </c>
      <c r="J753" s="17">
        <f t="shared" si="20"/>
        <v>0</v>
      </c>
      <c r="K753" s="17"/>
      <c r="L753" s="16" t="s">
        <v>18</v>
      </c>
      <c r="M753" s="16" t="s">
        <v>19</v>
      </c>
      <c r="N753" s="39"/>
    </row>
    <row r="754" spans="1:14" s="12" customFormat="1" ht="31.5">
      <c r="A754" s="178" t="s">
        <v>96</v>
      </c>
      <c r="B754" s="75" t="s">
        <v>1718</v>
      </c>
      <c r="C754" s="39" t="s">
        <v>17</v>
      </c>
      <c r="D754" s="236"/>
      <c r="E754" s="210"/>
      <c r="F754" s="236"/>
      <c r="G754" s="236"/>
      <c r="H754" s="40">
        <v>0</v>
      </c>
      <c r="I754" s="72">
        <v>0</v>
      </c>
      <c r="J754" s="17">
        <v>0</v>
      </c>
      <c r="K754" s="17"/>
      <c r="L754" s="16" t="s">
        <v>18</v>
      </c>
      <c r="M754" s="16" t="s">
        <v>19</v>
      </c>
      <c r="N754" s="39"/>
    </row>
    <row r="755" spans="1:14" s="12" customFormat="1" ht="31.5">
      <c r="A755" s="178" t="s">
        <v>96</v>
      </c>
      <c r="B755" s="75" t="s">
        <v>855</v>
      </c>
      <c r="C755" s="39" t="s">
        <v>17</v>
      </c>
      <c r="D755" s="236"/>
      <c r="E755" s="236"/>
      <c r="F755" s="236"/>
      <c r="G755" s="236"/>
      <c r="H755" s="40">
        <f>SUM(Tabla132112419[[#This Row],[PRIMER TRIMESTRE]:[CUARTO TRIMESTRE]])</f>
        <v>0</v>
      </c>
      <c r="I755" s="72">
        <v>60000</v>
      </c>
      <c r="J755" s="17">
        <f t="shared" si="20"/>
        <v>0</v>
      </c>
      <c r="K755" s="17"/>
      <c r="L755" s="16" t="s">
        <v>18</v>
      </c>
      <c r="M755" s="16" t="s">
        <v>19</v>
      </c>
      <c r="N755" s="39"/>
    </row>
    <row r="756" spans="1:14" s="12" customFormat="1" ht="47.25">
      <c r="A756" s="178" t="s">
        <v>96</v>
      </c>
      <c r="B756" s="16" t="str">
        <f ca="1">+UPPER(Tabla132112419[[#This Row],[DESCRIPCIÓN DE LA COMPRA O CONTRATACIÓN]])</f>
        <v>MOTORES ELÉCTRICOS SUMERGIBLES, 3Ø, 230 /460 VOLTIOS, 60HZ, 1.15 FS, 3,450 RPM 7.5 HP NEMA 6</v>
      </c>
      <c r="C756" s="39" t="s">
        <v>17</v>
      </c>
      <c r="D756" s="236"/>
      <c r="E756" s="236"/>
      <c r="F756" s="236"/>
      <c r="G756" s="236"/>
      <c r="H756" s="40">
        <f>SUM(Tabla132112419[[#This Row],[PRIMER TRIMESTRE]:[CUARTO TRIMESTRE]])</f>
        <v>0</v>
      </c>
      <c r="I756" s="72">
        <v>81217.84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</row>
    <row r="757" spans="1:14" s="12" customFormat="1" ht="47.25">
      <c r="A757" s="178" t="s">
        <v>96</v>
      </c>
      <c r="B757" s="16" t="str">
        <f ca="1">+UPPER(Tabla132112419[[#This Row],[DESCRIPCIÓN DE LA COMPRA O CONTRATACIÓN]])</f>
        <v>MOTORES ELÉCTRICOS SUMERGIBLES, 3Ø, 230 /460 VOLTIOS, 60HZ, 1.15 FS, 3,450 RPM 20 HP NEMA 6</v>
      </c>
      <c r="C757" s="39" t="s">
        <v>17</v>
      </c>
      <c r="D757" s="236"/>
      <c r="E757" s="210"/>
      <c r="F757" s="236"/>
      <c r="G757" s="210"/>
      <c r="H757" s="40">
        <f>SUM(Tabla132112419[[#This Row],[PRIMER TRIMESTRE]:[CUARTO TRIMESTRE]])</f>
        <v>0</v>
      </c>
      <c r="I757" s="17">
        <v>90520</v>
      </c>
      <c r="J757" s="17">
        <f t="shared" si="20"/>
        <v>0</v>
      </c>
      <c r="K757" s="17"/>
      <c r="L757" s="16" t="s">
        <v>18</v>
      </c>
      <c r="M757" s="16" t="s">
        <v>19</v>
      </c>
      <c r="N757" s="39"/>
    </row>
    <row r="758" spans="1:14" s="12" customFormat="1" ht="31.5">
      <c r="A758" s="178" t="s">
        <v>96</v>
      </c>
      <c r="B758" s="75" t="s">
        <v>856</v>
      </c>
      <c r="C758" s="39" t="s">
        <v>17</v>
      </c>
      <c r="D758" s="236"/>
      <c r="E758" s="236"/>
      <c r="F758" s="236"/>
      <c r="G758" s="236"/>
      <c r="H758" s="40">
        <f>SUM(Tabla132112419[[#This Row],[PRIMER TRIMESTRE]:[CUARTO TRIMESTRE]])</f>
        <v>0</v>
      </c>
      <c r="I758" s="17">
        <v>107544.96000000001</v>
      </c>
      <c r="J758" s="17">
        <f t="shared" si="20"/>
        <v>0</v>
      </c>
      <c r="K758" s="17"/>
      <c r="L758" s="16" t="s">
        <v>18</v>
      </c>
      <c r="M758" s="16" t="s">
        <v>19</v>
      </c>
      <c r="N758" s="39"/>
    </row>
    <row r="759" spans="1:14" s="12" customFormat="1" ht="31.5">
      <c r="A759" s="178" t="s">
        <v>96</v>
      </c>
      <c r="B759" s="75" t="s">
        <v>1684</v>
      </c>
      <c r="C759" s="39" t="s">
        <v>17</v>
      </c>
      <c r="D759" s="236"/>
      <c r="E759" s="236"/>
      <c r="F759" s="236"/>
      <c r="G759" s="236"/>
      <c r="H759" s="40">
        <v>0</v>
      </c>
      <c r="I759" s="17">
        <v>0</v>
      </c>
      <c r="J759" s="17">
        <v>0</v>
      </c>
      <c r="K759" s="17"/>
      <c r="L759" s="16" t="s">
        <v>18</v>
      </c>
      <c r="M759" s="16" t="s">
        <v>19</v>
      </c>
      <c r="N759" s="39"/>
    </row>
    <row r="760" spans="1:14" s="12" customFormat="1" ht="31.5">
      <c r="A760" s="178" t="s">
        <v>96</v>
      </c>
      <c r="B760" s="75" t="s">
        <v>1446</v>
      </c>
      <c r="C760" s="39" t="s">
        <v>17</v>
      </c>
      <c r="D760" s="236"/>
      <c r="E760" s="236"/>
      <c r="F760" s="236"/>
      <c r="G760" s="236"/>
      <c r="H760" s="40">
        <f>SUM(Tabla132112419[[#This Row],[PRIMER TRIMESTRE]:[CUARTO TRIMESTRE]])</f>
        <v>0</v>
      </c>
      <c r="I760" s="17">
        <v>132750</v>
      </c>
      <c r="J760" s="17">
        <f t="shared" si="20"/>
        <v>0</v>
      </c>
      <c r="K760" s="17"/>
      <c r="L760" s="16" t="s">
        <v>18</v>
      </c>
      <c r="M760" s="16" t="s">
        <v>19</v>
      </c>
      <c r="N760" s="39"/>
    </row>
    <row r="761" spans="1:14" s="12" customFormat="1" ht="31.5">
      <c r="A761" s="178" t="s">
        <v>96</v>
      </c>
      <c r="B761" s="75" t="s">
        <v>1447</v>
      </c>
      <c r="C761" s="39" t="s">
        <v>17</v>
      </c>
      <c r="D761" s="236"/>
      <c r="E761" s="236"/>
      <c r="F761" s="236"/>
      <c r="G761" s="236"/>
      <c r="H761" s="40">
        <f>SUM(Tabla132112419[[#This Row],[PRIMER TRIMESTRE]:[CUARTO TRIMESTRE]])</f>
        <v>0</v>
      </c>
      <c r="I761" s="17">
        <v>151330</v>
      </c>
      <c r="J761" s="17">
        <f t="shared" si="20"/>
        <v>0</v>
      </c>
      <c r="K761" s="17"/>
      <c r="L761" s="16" t="s">
        <v>18</v>
      </c>
      <c r="M761" s="16" t="s">
        <v>19</v>
      </c>
      <c r="N761" s="39"/>
    </row>
    <row r="762" spans="1:14" s="12" customFormat="1" ht="31.5">
      <c r="A762" s="178" t="s">
        <v>96</v>
      </c>
      <c r="B762" s="75" t="s">
        <v>857</v>
      </c>
      <c r="C762" s="39" t="s">
        <v>17</v>
      </c>
      <c r="D762" s="236"/>
      <c r="E762" s="236"/>
      <c r="F762" s="236"/>
      <c r="G762" s="236"/>
      <c r="H762" s="40">
        <f>SUM(Tabla132112419[[#This Row],[PRIMER TRIMESTRE]:[CUARTO TRIMESTRE]])</f>
        <v>0</v>
      </c>
      <c r="I762" s="17">
        <v>123744.06</v>
      </c>
      <c r="J762" s="17">
        <f t="shared" si="20"/>
        <v>0</v>
      </c>
      <c r="K762" s="17"/>
      <c r="L762" s="16" t="s">
        <v>18</v>
      </c>
      <c r="M762" s="16" t="s">
        <v>19</v>
      </c>
      <c r="N762" s="39"/>
    </row>
    <row r="763" spans="1:14" s="12" customFormat="1" ht="31.5">
      <c r="A763" s="178" t="s">
        <v>96</v>
      </c>
      <c r="B763" s="75" t="s">
        <v>858</v>
      </c>
      <c r="C763" s="39" t="s">
        <v>17</v>
      </c>
      <c r="D763" s="236"/>
      <c r="E763" s="210"/>
      <c r="F763" s="236"/>
      <c r="G763" s="236"/>
      <c r="H763" s="40">
        <f>SUM(Tabla132112419[[#This Row],[PRIMER TRIMESTRE]:[CUARTO TRIMESTRE]])</f>
        <v>0</v>
      </c>
      <c r="I763" s="17">
        <v>135450.07</v>
      </c>
      <c r="J763" s="17">
        <f t="shared" si="20"/>
        <v>0</v>
      </c>
      <c r="K763" s="17"/>
      <c r="L763" s="16" t="s">
        <v>18</v>
      </c>
      <c r="M763" s="16" t="s">
        <v>19</v>
      </c>
      <c r="N763" s="39"/>
    </row>
    <row r="764" spans="1:14" s="12" customFormat="1" ht="31.5">
      <c r="A764" s="178" t="s">
        <v>96</v>
      </c>
      <c r="B764" s="75" t="s">
        <v>859</v>
      </c>
      <c r="C764" s="39" t="s">
        <v>17</v>
      </c>
      <c r="D764" s="236"/>
      <c r="E764" s="210"/>
      <c r="F764" s="236"/>
      <c r="G764" s="236"/>
      <c r="H764" s="40">
        <f>SUM(Tabla132112419[[#This Row],[PRIMER TRIMESTRE]:[CUARTO TRIMESTRE]])</f>
        <v>0</v>
      </c>
      <c r="I764" s="17">
        <v>181838</v>
      </c>
      <c r="J764" s="17">
        <f t="shared" si="20"/>
        <v>0</v>
      </c>
      <c r="K764" s="17"/>
      <c r="L764" s="16" t="s">
        <v>18</v>
      </c>
      <c r="M764" s="16" t="s">
        <v>19</v>
      </c>
      <c r="N764" s="39"/>
    </row>
    <row r="765" spans="1:14" s="12" customFormat="1" ht="31.5">
      <c r="A765" s="178" t="s">
        <v>96</v>
      </c>
      <c r="B765" s="75" t="s">
        <v>860</v>
      </c>
      <c r="C765" s="39" t="s">
        <v>17</v>
      </c>
      <c r="D765" s="236"/>
      <c r="E765" s="210"/>
      <c r="F765" s="236"/>
      <c r="G765" s="236"/>
      <c r="H765" s="40">
        <f>SUM(Tabla132112419[[#This Row],[PRIMER TRIMESTRE]:[CUARTO TRIMESTRE]])</f>
        <v>0</v>
      </c>
      <c r="I765" s="72">
        <v>190640</v>
      </c>
      <c r="J765" s="17">
        <f t="shared" si="20"/>
        <v>0</v>
      </c>
      <c r="K765" s="17"/>
      <c r="L765" s="16" t="s">
        <v>18</v>
      </c>
      <c r="M765" s="16" t="s">
        <v>19</v>
      </c>
      <c r="N765" s="39"/>
    </row>
    <row r="766" spans="1:14" s="12" customFormat="1" ht="31.5">
      <c r="A766" s="178" t="s">
        <v>96</v>
      </c>
      <c r="B766" s="75" t="s">
        <v>861</v>
      </c>
      <c r="C766" s="39" t="s">
        <v>17</v>
      </c>
      <c r="D766" s="236"/>
      <c r="E766" s="210"/>
      <c r="F766" s="236"/>
      <c r="G766" s="236"/>
      <c r="H766" s="40">
        <f>SUM(Tabla132112419[[#This Row],[PRIMER TRIMESTRE]:[CUARTO TRIMESTRE]])</f>
        <v>0</v>
      </c>
      <c r="I766" s="17">
        <v>190640.56</v>
      </c>
      <c r="J766" s="17">
        <f t="shared" si="20"/>
        <v>0</v>
      </c>
      <c r="K766" s="17"/>
      <c r="L766" s="16" t="s">
        <v>18</v>
      </c>
      <c r="M766" s="16" t="s">
        <v>19</v>
      </c>
      <c r="N766" s="39"/>
    </row>
    <row r="767" spans="1:14" s="12" customFormat="1" ht="31.5">
      <c r="A767" s="178" t="s">
        <v>96</v>
      </c>
      <c r="B767" s="75" t="s">
        <v>862</v>
      </c>
      <c r="C767" s="39" t="s">
        <v>17</v>
      </c>
      <c r="D767" s="236"/>
      <c r="E767" s="210"/>
      <c r="F767" s="236"/>
      <c r="G767" s="236"/>
      <c r="H767" s="40">
        <f>SUM(Tabla132112419[[#This Row],[PRIMER TRIMESTRE]:[CUARTO TRIMESTRE]])</f>
        <v>0</v>
      </c>
      <c r="I767" s="17">
        <v>327450</v>
      </c>
      <c r="J767" s="17">
        <f t="shared" si="20"/>
        <v>0</v>
      </c>
      <c r="K767" s="17"/>
      <c r="L767" s="16" t="s">
        <v>18</v>
      </c>
      <c r="M767" s="16" t="s">
        <v>19</v>
      </c>
      <c r="N767" s="39"/>
    </row>
    <row r="768" spans="1:14" s="12" customFormat="1" ht="47.25">
      <c r="A768" s="178" t="s">
        <v>96</v>
      </c>
      <c r="B768" s="16" t="str">
        <f ca="1">+UPPER(Tabla132112419[[#This Row],[DESCRIPCIÓN DE LA COMPRA O CONTRATACIÓN]])</f>
        <v xml:space="preserve">MOTORES ELÉCTRICOS MONOFASICO SUMERGIBLES, 230 VOLTIOS, 3,450 RPM  3 HP CON CAJA DE CONTROLS </v>
      </c>
      <c r="C768" s="39" t="s">
        <v>17</v>
      </c>
      <c r="D768" s="236"/>
      <c r="E768" s="210"/>
      <c r="F768" s="236"/>
      <c r="G768" s="236"/>
      <c r="H768" s="40">
        <f>SUM(Tabla132112419[[#This Row],[PRIMER TRIMESTRE]:[CUARTO TRIMESTRE]])</f>
        <v>0</v>
      </c>
      <c r="I768" s="17">
        <v>36114.370000000003</v>
      </c>
      <c r="J768" s="17">
        <f t="shared" si="20"/>
        <v>0</v>
      </c>
      <c r="K768" s="17"/>
      <c r="L768" s="16" t="s">
        <v>18</v>
      </c>
      <c r="M768" s="16" t="s">
        <v>19</v>
      </c>
      <c r="N768" s="39"/>
    </row>
    <row r="769" spans="1:14" s="12" customFormat="1" ht="47.25">
      <c r="A769" s="178" t="s">
        <v>96</v>
      </c>
      <c r="B769" s="16" t="str">
        <f ca="1">+UPPER(Tabla132112419[[#This Row],[DESCRIPCIÓN DE LA COMPRA O CONTRATACIÓN]])</f>
        <v xml:space="preserve">MOTORES ELÉCTRICOS MONOFASICO SUMERGIBLES, 230 VOLTIOS, 3,450 RPM  5 HP CON CAJA DE CONTROLS </v>
      </c>
      <c r="C769" s="39" t="s">
        <v>17</v>
      </c>
      <c r="D769" s="236"/>
      <c r="E769" s="210"/>
      <c r="F769" s="236"/>
      <c r="G769" s="236"/>
      <c r="H769" s="40">
        <f>SUM(Tabla132112419[[#This Row],[PRIMER TRIMESTRE]:[CUARTO TRIMESTRE]])</f>
        <v>0</v>
      </c>
      <c r="I769" s="17">
        <v>38000</v>
      </c>
      <c r="J769" s="17">
        <f t="shared" si="20"/>
        <v>0</v>
      </c>
      <c r="K769" s="17"/>
      <c r="L769" s="16" t="s">
        <v>18</v>
      </c>
      <c r="M769" s="16" t="s">
        <v>19</v>
      </c>
      <c r="N769" s="39"/>
    </row>
    <row r="770" spans="1:14" s="12" customFormat="1" ht="47.25">
      <c r="A770" s="178" t="s">
        <v>96</v>
      </c>
      <c r="B770" s="16" t="str">
        <f ca="1">+UPPER(Tabla132112419[[#This Row],[DESCRIPCIÓN DE LA COMPRA O CONTRATACIÓN]])</f>
        <v xml:space="preserve">MOTORES ELÉCTRICOS MONOFASICO SUMERGIBLES, 230 VOLTIOS, 3,450 RPM  7.5 HP CON CAJA DE CONTROLS </v>
      </c>
      <c r="C770" s="39" t="s">
        <v>17</v>
      </c>
      <c r="D770" s="236"/>
      <c r="E770" s="210"/>
      <c r="F770" s="236"/>
      <c r="G770" s="236"/>
      <c r="H770" s="40">
        <f>SUM(Tabla132112419[[#This Row],[PRIMER TRIMESTRE]:[CUARTO TRIMESTRE]])</f>
        <v>0</v>
      </c>
      <c r="I770" s="17">
        <v>50164</v>
      </c>
      <c r="J770" s="17">
        <f t="shared" si="20"/>
        <v>0</v>
      </c>
      <c r="K770" s="17"/>
      <c r="L770" s="16" t="s">
        <v>18</v>
      </c>
      <c r="M770" s="16" t="s">
        <v>19</v>
      </c>
      <c r="N770" s="39"/>
    </row>
    <row r="771" spans="1:14" s="12" customFormat="1" ht="47.25">
      <c r="A771" s="178" t="s">
        <v>96</v>
      </c>
      <c r="B771" s="16" t="str">
        <f ca="1">+UPPER(Tabla132112419[[#This Row],[DESCRIPCIÓN DE LA COMPRA O CONTRATACIÓN]])</f>
        <v>ELECTROBOMBAS HORIZONTAL, 0.75HP, 1Ø, 115/230V, TIPO MONOBLOCK,3500 RPM, 20 GPM VS 100 PIES TDH</v>
      </c>
      <c r="C771" s="39" t="s">
        <v>17</v>
      </c>
      <c r="D771" s="236"/>
      <c r="E771" s="236"/>
      <c r="F771" s="236"/>
      <c r="G771" s="236"/>
      <c r="H771" s="40">
        <f>SUM(Tabla132112419[[#This Row],[PRIMER TRIMESTRE]:[CUARTO TRIMESTRE]])</f>
        <v>0</v>
      </c>
      <c r="I771" s="17">
        <v>23570</v>
      </c>
      <c r="J771" s="17">
        <f t="shared" si="20"/>
        <v>0</v>
      </c>
      <c r="K771" s="17"/>
      <c r="L771" s="16" t="s">
        <v>18</v>
      </c>
      <c r="M771" s="16" t="s">
        <v>19</v>
      </c>
      <c r="N771" s="39"/>
    </row>
    <row r="772" spans="1:14" s="12" customFormat="1" ht="31.5">
      <c r="A772" s="178" t="s">
        <v>96</v>
      </c>
      <c r="B772" s="16" t="str">
        <f ca="1">+UPPER(Tabla132112419[[#This Row],[DESCRIPCIÓN DE LA COMPRA O CONTRATACIÓN]])</f>
        <v>ELECTROBOMBAS SUMERGIBLE, 1.00HP, 230V, 1Ø, 60HZ, CON SU CAJA DE CONTROL, 3500 RPM</v>
      </c>
      <c r="C772" s="39" t="s">
        <v>17</v>
      </c>
      <c r="D772" s="236"/>
      <c r="E772" s="236"/>
      <c r="F772" s="236"/>
      <c r="G772" s="236"/>
      <c r="H772" s="40">
        <f>SUM(Tabla132112419[[#This Row],[PRIMER TRIMESTRE]:[CUARTO TRIMESTRE]])</f>
        <v>0</v>
      </c>
      <c r="I772" s="17">
        <v>32670</v>
      </c>
      <c r="J772" s="17">
        <f t="shared" si="20"/>
        <v>0</v>
      </c>
      <c r="K772" s="17"/>
      <c r="L772" s="16" t="s">
        <v>18</v>
      </c>
      <c r="M772" s="16" t="s">
        <v>19</v>
      </c>
      <c r="N772" s="39"/>
    </row>
    <row r="773" spans="1:14" s="12" customFormat="1" ht="30">
      <c r="A773" s="178" t="s">
        <v>96</v>
      </c>
      <c r="B773" s="75" t="s">
        <v>1688</v>
      </c>
      <c r="C773" s="39" t="s">
        <v>17</v>
      </c>
      <c r="D773" s="236"/>
      <c r="E773" s="236"/>
      <c r="F773" s="236"/>
      <c r="G773" s="236"/>
      <c r="H773" s="40">
        <v>0</v>
      </c>
      <c r="I773" s="17">
        <v>0</v>
      </c>
      <c r="J773" s="17">
        <v>0</v>
      </c>
      <c r="K773" s="17"/>
      <c r="L773" s="16" t="s">
        <v>18</v>
      </c>
      <c r="M773" s="16" t="s">
        <v>22</v>
      </c>
      <c r="N773" s="39"/>
    </row>
    <row r="774" spans="1:14" s="12" customFormat="1" ht="30">
      <c r="A774" s="178" t="s">
        <v>96</v>
      </c>
      <c r="B774" s="75" t="s">
        <v>1230</v>
      </c>
      <c r="C774" s="39" t="s">
        <v>17</v>
      </c>
      <c r="D774" s="236"/>
      <c r="E774" s="236"/>
      <c r="F774" s="236"/>
      <c r="G774" s="236"/>
      <c r="H774" s="40">
        <f>SUM(Tabla132112419[[#This Row],[PRIMER TRIMESTRE]:[CUARTO TRIMESTRE]])</f>
        <v>0</v>
      </c>
      <c r="I774" s="17">
        <v>45000</v>
      </c>
      <c r="J774" s="17">
        <f t="shared" si="20"/>
        <v>0</v>
      </c>
      <c r="K774" s="17"/>
      <c r="L774" s="16" t="s">
        <v>18</v>
      </c>
      <c r="M774" s="16" t="s">
        <v>22</v>
      </c>
      <c r="N774" s="39"/>
    </row>
    <row r="775" spans="1:14" s="12" customFormat="1" ht="30">
      <c r="A775" s="178" t="s">
        <v>96</v>
      </c>
      <c r="B775" s="75" t="s">
        <v>1231</v>
      </c>
      <c r="C775" s="39" t="s">
        <v>17</v>
      </c>
      <c r="D775" s="236"/>
      <c r="E775" s="236"/>
      <c r="F775" s="236"/>
      <c r="G775" s="236"/>
      <c r="H775" s="40">
        <f>SUM(Tabla132112419[[#This Row],[PRIMER TRIMESTRE]:[CUARTO TRIMESTRE]])</f>
        <v>0</v>
      </c>
      <c r="I775" s="17">
        <v>48231.23</v>
      </c>
      <c r="J775" s="17">
        <f t="shared" si="20"/>
        <v>0</v>
      </c>
      <c r="K775" s="17"/>
      <c r="L775" s="16" t="s">
        <v>18</v>
      </c>
      <c r="M775" s="16" t="s">
        <v>22</v>
      </c>
      <c r="N775" s="39"/>
    </row>
    <row r="776" spans="1:14" s="12" customFormat="1" ht="30">
      <c r="A776" s="178" t="s">
        <v>96</v>
      </c>
      <c r="B776" s="75" t="s">
        <v>1232</v>
      </c>
      <c r="C776" s="39" t="s">
        <v>17</v>
      </c>
      <c r="D776" s="236"/>
      <c r="E776" s="236"/>
      <c r="F776" s="236"/>
      <c r="G776" s="236"/>
      <c r="H776" s="40">
        <f>SUM(Tabla132112419[[#This Row],[PRIMER TRIMESTRE]:[CUARTO TRIMESTRE]])</f>
        <v>0</v>
      </c>
      <c r="I776" s="17">
        <v>52738.12</v>
      </c>
      <c r="J776" s="17">
        <f t="shared" si="20"/>
        <v>0</v>
      </c>
      <c r="K776" s="17"/>
      <c r="L776" s="16" t="s">
        <v>18</v>
      </c>
      <c r="M776" s="16" t="s">
        <v>22</v>
      </c>
      <c r="N776" s="39"/>
    </row>
    <row r="777" spans="1:14" s="12" customFormat="1" ht="30">
      <c r="A777" s="178" t="s">
        <v>96</v>
      </c>
      <c r="B777" s="75" t="s">
        <v>1233</v>
      </c>
      <c r="C777" s="39" t="s">
        <v>17</v>
      </c>
      <c r="D777" s="236"/>
      <c r="E777" s="236"/>
      <c r="F777" s="236"/>
      <c r="G777" s="236"/>
      <c r="H777" s="40">
        <f>SUM(Tabla132112419[[#This Row],[PRIMER TRIMESTRE]:[CUARTO TRIMESTRE]])</f>
        <v>0</v>
      </c>
      <c r="I777" s="17">
        <v>14726</v>
      </c>
      <c r="J777" s="17">
        <f t="shared" si="20"/>
        <v>0</v>
      </c>
      <c r="K777" s="17"/>
      <c r="L777" s="16" t="s">
        <v>18</v>
      </c>
      <c r="M777" s="16" t="s">
        <v>22</v>
      </c>
      <c r="N777" s="39"/>
    </row>
    <row r="778" spans="1:14" s="12" customFormat="1" ht="30">
      <c r="A778" s="178" t="s">
        <v>96</v>
      </c>
      <c r="B778" s="75" t="s">
        <v>1234</v>
      </c>
      <c r="C778" s="39" t="s">
        <v>17</v>
      </c>
      <c r="D778" s="236"/>
      <c r="E778" s="236"/>
      <c r="F778" s="236"/>
      <c r="G778" s="236"/>
      <c r="H778" s="40">
        <f>SUM(Tabla132112419[[#This Row],[PRIMER TRIMESTRE]:[CUARTO TRIMESTRE]])</f>
        <v>0</v>
      </c>
      <c r="I778" s="17">
        <v>60000</v>
      </c>
      <c r="J778" s="17">
        <f t="shared" ref="J778:J807" si="21">+H778*I778</f>
        <v>0</v>
      </c>
      <c r="K778" s="17"/>
      <c r="L778" s="16" t="s">
        <v>18</v>
      </c>
      <c r="M778" s="16" t="s">
        <v>22</v>
      </c>
      <c r="N778" s="39"/>
    </row>
    <row r="779" spans="1:14" s="12" customFormat="1" ht="38.25">
      <c r="A779" s="178" t="s">
        <v>96</v>
      </c>
      <c r="B779" s="75" t="s">
        <v>1686</v>
      </c>
      <c r="C779" s="39" t="s">
        <v>17</v>
      </c>
      <c r="D779" s="236"/>
      <c r="E779" s="236"/>
      <c r="F779" s="236"/>
      <c r="G779" s="236"/>
      <c r="H779" s="40">
        <v>0</v>
      </c>
      <c r="I779" s="17">
        <v>0</v>
      </c>
      <c r="J779" s="17">
        <v>0</v>
      </c>
      <c r="K779" s="17"/>
      <c r="L779" s="16" t="s">
        <v>18</v>
      </c>
      <c r="M779" s="16" t="s">
        <v>22</v>
      </c>
      <c r="N779" s="39"/>
    </row>
    <row r="780" spans="1:14" s="12" customFormat="1" ht="30">
      <c r="A780" s="178" t="s">
        <v>96</v>
      </c>
      <c r="B780" s="75" t="s">
        <v>1685</v>
      </c>
      <c r="C780" s="39" t="s">
        <v>17</v>
      </c>
      <c r="D780" s="236"/>
      <c r="E780" s="236"/>
      <c r="F780" s="236"/>
      <c r="G780" s="236"/>
      <c r="H780" s="40">
        <v>0</v>
      </c>
      <c r="I780" s="17">
        <v>0</v>
      </c>
      <c r="J780" s="17">
        <v>0</v>
      </c>
      <c r="K780" s="17"/>
      <c r="L780" s="16" t="s">
        <v>18</v>
      </c>
      <c r="M780" s="16" t="s">
        <v>22</v>
      </c>
      <c r="N780" s="39"/>
    </row>
    <row r="781" spans="1:14" s="12" customFormat="1" ht="47.25">
      <c r="A781" s="178" t="s">
        <v>96</v>
      </c>
      <c r="B781" s="16" t="s">
        <v>1689</v>
      </c>
      <c r="C781" s="39" t="s">
        <v>17</v>
      </c>
      <c r="D781" s="236"/>
      <c r="E781" s="236"/>
      <c r="F781" s="236"/>
      <c r="G781" s="236"/>
      <c r="H781" s="40">
        <v>0</v>
      </c>
      <c r="I781" s="17">
        <v>0</v>
      </c>
      <c r="J781" s="17">
        <v>0</v>
      </c>
      <c r="K781" s="17"/>
      <c r="L781" s="16" t="s">
        <v>18</v>
      </c>
      <c r="M781" s="16" t="s">
        <v>22</v>
      </c>
      <c r="N781" s="39"/>
    </row>
    <row r="782" spans="1:14" s="12" customFormat="1" ht="47.25">
      <c r="A782" s="178" t="s">
        <v>96</v>
      </c>
      <c r="B782" s="16" t="s">
        <v>863</v>
      </c>
      <c r="C782" s="39" t="s">
        <v>17</v>
      </c>
      <c r="D782" s="236"/>
      <c r="E782" s="236"/>
      <c r="F782" s="236"/>
      <c r="G782" s="236"/>
      <c r="H782" s="40">
        <f>SUM(Tabla132112419[[#This Row],[PRIMER TRIMESTRE]:[CUARTO TRIMESTRE]])</f>
        <v>0</v>
      </c>
      <c r="I782" s="17">
        <v>24051.94</v>
      </c>
      <c r="J782" s="17">
        <f t="shared" si="21"/>
        <v>0</v>
      </c>
      <c r="K782" s="17"/>
      <c r="L782" s="16" t="s">
        <v>18</v>
      </c>
      <c r="M782" s="16" t="s">
        <v>22</v>
      </c>
      <c r="N782" s="39"/>
    </row>
    <row r="783" spans="1:14" s="12" customFormat="1" ht="47.25">
      <c r="A783" s="178" t="s">
        <v>96</v>
      </c>
      <c r="B783" s="16" t="str">
        <f ca="1">+UPPER(Tabla132112419[[#This Row],[DESCRIPCIÓN DE LA COMPRA O CONTRATACIÓN]])</f>
        <v>TRANSFORMADORES 1Ø, 60HZ, SUMERGIDOS EN ACEITE, 7.2/12.47 KV, 120/240V, TIPO POSTE, HOMOLGADOS CON IDÉNTICA IMPEDANCIA 25 KVA</v>
      </c>
      <c r="C783" s="39" t="s">
        <v>17</v>
      </c>
      <c r="D783" s="236"/>
      <c r="E783" s="236"/>
      <c r="F783" s="236"/>
      <c r="G783" s="236"/>
      <c r="H783" s="40">
        <f>SUM(Tabla132112419[[#This Row],[PRIMER TRIMESTRE]:[CUARTO TRIMESTRE]])</f>
        <v>0</v>
      </c>
      <c r="I783" s="17">
        <v>34220</v>
      </c>
      <c r="J783" s="17">
        <f t="shared" si="21"/>
        <v>0</v>
      </c>
      <c r="K783" s="17"/>
      <c r="L783" s="16" t="s">
        <v>18</v>
      </c>
      <c r="M783" s="16" t="s">
        <v>22</v>
      </c>
      <c r="N783" s="39"/>
    </row>
    <row r="784" spans="1:14" s="12" customFormat="1" ht="63">
      <c r="A784" s="178" t="s">
        <v>96</v>
      </c>
      <c r="B784" s="16" t="str">
        <f ca="1">+UPPER(Tabla132112419[[#This Row],[DESCRIPCIÓN DE LA COMPRA O CONTRATACIÓN]])</f>
        <v>TRANSFORMADORES 1Ø, 60HZ, SUMERGIDOS EN ACEITE, 7.2/12.47 KV, 120/240V, TIPO POSTE, HOMOLGADOS CON IDÉNTICA IMPEDANCIA 37.5 KVA</v>
      </c>
      <c r="C784" s="39" t="s">
        <v>17</v>
      </c>
      <c r="D784" s="236"/>
      <c r="E784" s="236"/>
      <c r="F784" s="236"/>
      <c r="G784" s="236"/>
      <c r="H784" s="40">
        <f>SUM(Tabla132112419[[#This Row],[PRIMER TRIMESTRE]:[CUARTO TRIMESTRE]])</f>
        <v>0</v>
      </c>
      <c r="I784" s="17">
        <v>58875.22</v>
      </c>
      <c r="J784" s="17">
        <f t="shared" si="21"/>
        <v>0</v>
      </c>
      <c r="K784" s="17"/>
      <c r="L784" s="16" t="s">
        <v>18</v>
      </c>
      <c r="M784" s="16" t="s">
        <v>22</v>
      </c>
      <c r="N784" s="39"/>
    </row>
    <row r="785" spans="1:14" s="12" customFormat="1" ht="47.25">
      <c r="A785" s="178" t="s">
        <v>96</v>
      </c>
      <c r="B785" s="73" t="str">
        <f ca="1">+UPPER(Tabla132112419[[#This Row],[DESCRIPCIÓN DE LA COMPRA O CONTRATACIÓN]])</f>
        <v>TRANSFORMADORES 1Ø, 60HZ, SUMERGIDOS EN ACEITE, 7.2/12.47 KV, 240/480V, TIPO POSTE HOMOLGADOS CON IDÉNTICA IMPEDANCIA 15 KVA</v>
      </c>
      <c r="C785" s="39" t="s">
        <v>17</v>
      </c>
      <c r="D785" s="236"/>
      <c r="E785" s="236"/>
      <c r="F785" s="236"/>
      <c r="G785" s="236"/>
      <c r="H785" s="40">
        <f>SUM(Tabla132112419[[#This Row],[PRIMER TRIMESTRE]:[CUARTO TRIMESTRE]])</f>
        <v>0</v>
      </c>
      <c r="I785" s="17">
        <v>25498.09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</row>
    <row r="786" spans="1:14" s="12" customFormat="1" ht="47.25">
      <c r="A786" s="178" t="s">
        <v>96</v>
      </c>
      <c r="B786" s="73" t="str">
        <f ca="1">+UPPER(Tabla132112419[[#This Row],[DESCRIPCIÓN DE LA COMPRA O CONTRATACIÓN]])</f>
        <v>TRANSFORMADORES 1Ø, 60HZ, SUMERGIDOS EN ACEITE, 7.2/12.47 KV, 240/480V, TIPO POSTE HOMOLGADOS CON IDÉNTICA IMPEDANCIA 25 KVA</v>
      </c>
      <c r="C786" s="39" t="s">
        <v>17</v>
      </c>
      <c r="D786" s="236"/>
      <c r="E786" s="236"/>
      <c r="F786" s="236"/>
      <c r="G786" s="236"/>
      <c r="H786" s="40">
        <f>SUM(Tabla132112419[[#This Row],[PRIMER TRIMESTRE]:[CUARTO TRIMESTRE]])</f>
        <v>0</v>
      </c>
      <c r="I786" s="17">
        <v>37186.82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</row>
    <row r="787" spans="1:14" s="12" customFormat="1" ht="38.25">
      <c r="A787" s="178" t="s">
        <v>96</v>
      </c>
      <c r="B787" s="77" t="s">
        <v>864</v>
      </c>
      <c r="C787" s="39" t="s">
        <v>17</v>
      </c>
      <c r="D787" s="236"/>
      <c r="E787" s="236"/>
      <c r="F787" s="236"/>
      <c r="G787" s="236"/>
      <c r="H787" s="40">
        <f>SUM(Tabla132112419[[#This Row],[PRIMER TRIMESTRE]:[CUARTO TRIMESTRE]])</f>
        <v>0</v>
      </c>
      <c r="I787" s="17">
        <v>44076.54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</row>
    <row r="788" spans="1:14" s="12" customFormat="1" ht="38.25">
      <c r="A788" s="178" t="s">
        <v>96</v>
      </c>
      <c r="B788" s="75" t="s">
        <v>865</v>
      </c>
      <c r="C788" s="39" t="s">
        <v>17</v>
      </c>
      <c r="D788" s="236"/>
      <c r="E788" s="236"/>
      <c r="F788" s="236"/>
      <c r="G788" s="236"/>
      <c r="H788" s="40">
        <f>SUM(Tabla132112419[[#This Row],[PRIMER TRIMESTRE]:[CUARTO TRIMESTRE]])</f>
        <v>0</v>
      </c>
      <c r="I788" s="17">
        <v>54061.7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</row>
    <row r="789" spans="1:14" s="12" customFormat="1" ht="38.25">
      <c r="A789" s="178" t="s">
        <v>96</v>
      </c>
      <c r="B789" s="75" t="s">
        <v>866</v>
      </c>
      <c r="C789" s="39" t="s">
        <v>17</v>
      </c>
      <c r="D789" s="236"/>
      <c r="E789" s="236"/>
      <c r="F789" s="236"/>
      <c r="G789" s="236"/>
      <c r="H789" s="40">
        <f>SUM(Tabla132112419[[#This Row],[PRIMER TRIMESTRE]:[CUARTO TRIMESTRE]])</f>
        <v>0</v>
      </c>
      <c r="I789" s="17">
        <v>81423.539999999994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</row>
    <row r="790" spans="1:14" s="12" customFormat="1" ht="63">
      <c r="A790" s="178" t="s">
        <v>96</v>
      </c>
      <c r="B790" s="16" t="str">
        <f ca="1">+UPPER(Tabla132112419[[#This Row],[DESCRIPCIÓN DE LA COMPRA O CONTRATACIÓN]])</f>
        <v>TRANSFORMADORES 1Ø, 60HZ, SUMERGIDOS EN ACEITE, 7.2/12.47 KV, 240/480V, TIPO POSTE HOMOLGADOS CON IDÉNTICA IMPEDANCIA 100 KVA</v>
      </c>
      <c r="C790" s="39" t="s">
        <v>17</v>
      </c>
      <c r="D790" s="236"/>
      <c r="E790" s="236"/>
      <c r="F790" s="236"/>
      <c r="G790" s="236"/>
      <c r="H790" s="40">
        <f>SUM(Tabla132112419[[#This Row],[PRIMER TRIMESTRE]:[CUARTO TRIMESTRE]])</f>
        <v>0</v>
      </c>
      <c r="I790" s="17">
        <v>108938.74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</row>
    <row r="791" spans="1:14" s="12" customFormat="1" ht="38.25">
      <c r="A791" s="178" t="s">
        <v>96</v>
      </c>
      <c r="B791" s="75" t="s">
        <v>867</v>
      </c>
      <c r="C791" s="39" t="s">
        <v>17</v>
      </c>
      <c r="D791" s="236"/>
      <c r="E791" s="236"/>
      <c r="F791" s="236"/>
      <c r="G791" s="236"/>
      <c r="H791" s="40">
        <f>SUM(Tabla132112419[[#This Row],[PRIMER TRIMESTRE]:[CUARTO TRIMESTRE]])</f>
        <v>0</v>
      </c>
      <c r="I791" s="17">
        <v>160529.56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</row>
    <row r="792" spans="1:14" s="12" customFormat="1" ht="38.25">
      <c r="A792" s="178" t="s">
        <v>96</v>
      </c>
      <c r="B792" s="75" t="s">
        <v>871</v>
      </c>
      <c r="C792" s="39" t="s">
        <v>17</v>
      </c>
      <c r="D792" s="236"/>
      <c r="E792" s="236"/>
      <c r="F792" s="236"/>
      <c r="G792" s="236"/>
      <c r="H792" s="40">
        <f>SUM(Tabla132112419[[#This Row],[PRIMER TRIMESTRE]:[CUARTO TRIMESTRE]])</f>
        <v>0</v>
      </c>
      <c r="I792" s="17">
        <v>2995.96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</row>
    <row r="793" spans="1:14" s="12" customFormat="1" ht="38.25">
      <c r="A793" s="178" t="s">
        <v>96</v>
      </c>
      <c r="B793" s="75" t="s">
        <v>872</v>
      </c>
      <c r="C793" s="39" t="s">
        <v>17</v>
      </c>
      <c r="D793" s="236"/>
      <c r="E793" s="236"/>
      <c r="F793" s="236"/>
      <c r="G793" s="236"/>
      <c r="H793" s="40">
        <f>SUM(Tabla132112419[[#This Row],[PRIMER TRIMESTRE]:[CUARTO TRIMESTRE]])</f>
        <v>0</v>
      </c>
      <c r="I793" s="17">
        <v>3986.24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</row>
    <row r="794" spans="1:14" s="12" customFormat="1" ht="38.25">
      <c r="A794" s="178" t="s">
        <v>96</v>
      </c>
      <c r="B794" s="75" t="s">
        <v>873</v>
      </c>
      <c r="C794" s="39" t="s">
        <v>17</v>
      </c>
      <c r="D794" s="236"/>
      <c r="E794" s="236"/>
      <c r="F794" s="236"/>
      <c r="G794" s="236"/>
      <c r="H794" s="40">
        <f>SUM(Tabla132112419[[#This Row],[PRIMER TRIMESTRE]:[CUARTO TRIMESTRE]])</f>
        <v>0</v>
      </c>
      <c r="I794" s="17">
        <v>6982.2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</row>
    <row r="795" spans="1:14" s="12" customFormat="1" ht="30">
      <c r="A795" s="178" t="s">
        <v>96</v>
      </c>
      <c r="B795" s="75" t="s">
        <v>1437</v>
      </c>
      <c r="C795" s="39" t="s">
        <v>1438</v>
      </c>
      <c r="D795" s="236"/>
      <c r="E795" s="236"/>
      <c r="F795" s="236"/>
      <c r="G795" s="236"/>
      <c r="H795" s="40">
        <f>SUM(Tabla132112419[[#This Row],[PRIMER TRIMESTRE]:[CUARTO TRIMESTRE]])</f>
        <v>0</v>
      </c>
      <c r="I795" s="17">
        <v>554145.56999999995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</row>
    <row r="796" spans="1:14" s="12" customFormat="1" ht="30">
      <c r="A796" s="178" t="s">
        <v>96</v>
      </c>
      <c r="B796" s="75" t="s">
        <v>1450</v>
      </c>
      <c r="C796" s="39" t="s">
        <v>17</v>
      </c>
      <c r="D796" s="236"/>
      <c r="E796" s="236"/>
      <c r="F796" s="236"/>
      <c r="G796" s="236"/>
      <c r="H796" s="40">
        <f>SUM(Tabla132112419[[#This Row],[PRIMER TRIMESTRE]:[CUARTO TRIMESTRE]])</f>
        <v>0</v>
      </c>
      <c r="I796" s="17">
        <v>6950.29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</row>
    <row r="797" spans="1:14" s="12" customFormat="1" ht="30">
      <c r="A797" s="178" t="s">
        <v>96</v>
      </c>
      <c r="B797" s="75" t="s">
        <v>1524</v>
      </c>
      <c r="C797" s="39" t="s">
        <v>17</v>
      </c>
      <c r="D797" s="236"/>
      <c r="E797" s="236"/>
      <c r="F797" s="236"/>
      <c r="G797" s="236"/>
      <c r="H797" s="236">
        <f>SUM(Tabla132112419[[#This Row],[PRIMER TRIMESTRE]:[CUARTO TRIMESTRE]])</f>
        <v>0</v>
      </c>
      <c r="I797" s="17">
        <v>38300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</row>
    <row r="798" spans="1:14" s="12" customFormat="1" ht="30">
      <c r="A798" s="178" t="s">
        <v>96</v>
      </c>
      <c r="B798" s="75" t="s">
        <v>1728</v>
      </c>
      <c r="C798" s="39" t="s">
        <v>17</v>
      </c>
      <c r="D798" s="236"/>
      <c r="E798" s="236"/>
      <c r="F798" s="236"/>
      <c r="G798" s="236"/>
      <c r="H798" s="40">
        <v>0</v>
      </c>
      <c r="I798" s="17">
        <v>0</v>
      </c>
      <c r="J798" s="17">
        <v>0</v>
      </c>
      <c r="K798" s="17"/>
      <c r="L798" s="16" t="s">
        <v>18</v>
      </c>
      <c r="M798" s="16" t="s">
        <v>22</v>
      </c>
      <c r="N798" s="39"/>
    </row>
    <row r="799" spans="1:14" s="12" customFormat="1" ht="51">
      <c r="A799" s="178" t="s">
        <v>96</v>
      </c>
      <c r="B799" s="75" t="s">
        <v>1525</v>
      </c>
      <c r="C799" s="39" t="s">
        <v>17</v>
      </c>
      <c r="D799" s="236"/>
      <c r="E799" s="236"/>
      <c r="F799" s="236"/>
      <c r="G799" s="236"/>
      <c r="H799" s="236">
        <f>SUM(Tabla132112419[[#This Row],[PRIMER TRIMESTRE]:[CUARTO TRIMESTRE]])</f>
        <v>0</v>
      </c>
      <c r="I799" s="17">
        <v>251461</v>
      </c>
      <c r="J799" s="17">
        <f t="shared" si="21"/>
        <v>0</v>
      </c>
      <c r="K799" s="17"/>
      <c r="L799" s="16" t="s">
        <v>18</v>
      </c>
      <c r="M799" s="16" t="s">
        <v>22</v>
      </c>
      <c r="N799" s="39"/>
    </row>
    <row r="800" spans="1:14" s="12" customFormat="1" ht="30">
      <c r="A800" s="178" t="s">
        <v>96</v>
      </c>
      <c r="B800" s="75" t="s">
        <v>1523</v>
      </c>
      <c r="C800" s="39" t="s">
        <v>17</v>
      </c>
      <c r="D800" s="236"/>
      <c r="E800" s="236"/>
      <c r="F800" s="236"/>
      <c r="G800" s="236"/>
      <c r="H800" s="236">
        <f>SUM(Tabla132112419[[#This Row],[PRIMER TRIMESTRE]:[CUARTO TRIMESTRE]])</f>
        <v>0</v>
      </c>
      <c r="I800" s="17">
        <v>11200</v>
      </c>
      <c r="J800" s="17">
        <f t="shared" si="21"/>
        <v>0</v>
      </c>
      <c r="K800" s="17"/>
      <c r="L800" s="16" t="s">
        <v>18</v>
      </c>
      <c r="M800" s="16" t="s">
        <v>22</v>
      </c>
      <c r="N800" s="39"/>
    </row>
    <row r="801" spans="1:14" s="12" customFormat="1" ht="30">
      <c r="A801" s="178" t="s">
        <v>96</v>
      </c>
      <c r="B801" s="75" t="s">
        <v>1758</v>
      </c>
      <c r="C801" s="39" t="s">
        <v>17</v>
      </c>
      <c r="D801" s="236"/>
      <c r="E801" s="236"/>
      <c r="F801" s="236"/>
      <c r="G801" s="236"/>
      <c r="H801" s="40">
        <v>0</v>
      </c>
      <c r="I801" s="17">
        <v>0</v>
      </c>
      <c r="J801" s="17">
        <v>0</v>
      </c>
      <c r="K801" s="17"/>
      <c r="L801" s="16" t="s">
        <v>18</v>
      </c>
      <c r="M801" s="16" t="s">
        <v>22</v>
      </c>
      <c r="N801" s="39"/>
    </row>
    <row r="802" spans="1:14" s="12" customFormat="1" ht="30">
      <c r="A802" s="178" t="s">
        <v>96</v>
      </c>
      <c r="B802" s="75" t="s">
        <v>1510</v>
      </c>
      <c r="C802" s="39" t="s">
        <v>17</v>
      </c>
      <c r="D802" s="236"/>
      <c r="E802" s="236"/>
      <c r="F802" s="236"/>
      <c r="G802" s="236"/>
      <c r="H802" s="236">
        <f>SUM(Tabla132112419[[#This Row],[PRIMER TRIMESTRE]:[CUARTO TRIMESTRE]])</f>
        <v>0</v>
      </c>
      <c r="I802" s="17">
        <v>250</v>
      </c>
      <c r="J802" s="17">
        <f t="shared" si="21"/>
        <v>0</v>
      </c>
      <c r="K802" s="17"/>
      <c r="L802" s="16" t="s">
        <v>18</v>
      </c>
      <c r="M802" s="16" t="s">
        <v>22</v>
      </c>
      <c r="N802" s="39"/>
    </row>
    <row r="803" spans="1:14" s="12" customFormat="1" ht="30">
      <c r="A803" s="178" t="s">
        <v>96</v>
      </c>
      <c r="B803" s="75" t="s">
        <v>1611</v>
      </c>
      <c r="C803" s="39" t="s">
        <v>17</v>
      </c>
      <c r="D803" s="236"/>
      <c r="E803" s="236"/>
      <c r="F803" s="236"/>
      <c r="G803" s="236"/>
      <c r="H803" s="236">
        <f>SUM(Tabla132112419[[#This Row],[PRIMER TRIMESTRE]:[CUARTO TRIMESTRE]])</f>
        <v>0</v>
      </c>
      <c r="I803" s="17">
        <v>36000</v>
      </c>
      <c r="J803" s="17">
        <f t="shared" si="21"/>
        <v>0</v>
      </c>
      <c r="K803" s="17"/>
      <c r="L803" s="16" t="s">
        <v>18</v>
      </c>
      <c r="M803" s="16" t="s">
        <v>22</v>
      </c>
      <c r="N803" s="39"/>
    </row>
    <row r="804" spans="1:14" s="12" customFormat="1" ht="30">
      <c r="A804" s="178" t="s">
        <v>96</v>
      </c>
      <c r="B804" s="75" t="s">
        <v>1714</v>
      </c>
      <c r="C804" s="39" t="s">
        <v>17</v>
      </c>
      <c r="D804" s="236"/>
      <c r="E804" s="236"/>
      <c r="F804" s="236"/>
      <c r="G804" s="236"/>
      <c r="H804" s="40">
        <v>0</v>
      </c>
      <c r="I804" s="17">
        <v>0</v>
      </c>
      <c r="J804" s="17">
        <v>0</v>
      </c>
      <c r="K804" s="17"/>
      <c r="L804" s="16" t="s">
        <v>18</v>
      </c>
      <c r="M804" s="16" t="s">
        <v>22</v>
      </c>
      <c r="N804" s="39"/>
    </row>
    <row r="805" spans="1:14" s="12" customFormat="1" ht="30">
      <c r="A805" s="178" t="s">
        <v>96</v>
      </c>
      <c r="B805" s="75" t="s">
        <v>1744</v>
      </c>
      <c r="C805" s="39" t="s">
        <v>17</v>
      </c>
      <c r="D805" s="236"/>
      <c r="E805" s="236"/>
      <c r="F805" s="236"/>
      <c r="G805" s="236"/>
      <c r="H805" s="40">
        <v>2</v>
      </c>
      <c r="I805" s="17">
        <v>6950</v>
      </c>
      <c r="J805" s="17">
        <f>Tabla132112419[[#This Row],[PRECIO UNITARIO ESTIMADO]]*Tabla132112419[[#This Row],[CANTIDAD TOTAL]]</f>
        <v>13900</v>
      </c>
      <c r="K805" s="17"/>
      <c r="L805" s="16" t="s">
        <v>18</v>
      </c>
      <c r="M805" s="16" t="s">
        <v>22</v>
      </c>
      <c r="N805" s="39"/>
    </row>
    <row r="806" spans="1:14" s="26" customFormat="1" ht="30">
      <c r="A806" s="178" t="s">
        <v>96</v>
      </c>
      <c r="B806" s="75" t="s">
        <v>1521</v>
      </c>
      <c r="C806" s="39" t="s">
        <v>17</v>
      </c>
      <c r="D806" s="236"/>
      <c r="E806" s="236"/>
      <c r="F806" s="236"/>
      <c r="G806" s="236"/>
      <c r="H806" s="236">
        <f>SUM(Tabla132112419[[#This Row],[PRIMER TRIMESTRE]:[CUARTO TRIMESTRE]])</f>
        <v>0</v>
      </c>
      <c r="I806" s="17">
        <v>109000</v>
      </c>
      <c r="J806" s="17">
        <f t="shared" si="21"/>
        <v>0</v>
      </c>
      <c r="K806" s="17"/>
      <c r="L806" s="16" t="s">
        <v>18</v>
      </c>
      <c r="M806" s="16" t="s">
        <v>22</v>
      </c>
      <c r="N806" s="39"/>
    </row>
    <row r="807" spans="1:14" s="12" customFormat="1" ht="30">
      <c r="A807" s="178" t="s">
        <v>96</v>
      </c>
      <c r="B807" s="75" t="s">
        <v>1522</v>
      </c>
      <c r="C807" s="39" t="s">
        <v>17</v>
      </c>
      <c r="D807" s="236"/>
      <c r="E807" s="236"/>
      <c r="F807" s="236"/>
      <c r="G807" s="236"/>
      <c r="H807" s="236">
        <f>SUM(Tabla132112419[[#This Row],[PRIMER TRIMESTRE]:[CUARTO TRIMESTRE]])</f>
        <v>0</v>
      </c>
      <c r="I807" s="17">
        <v>2760</v>
      </c>
      <c r="J807" s="17">
        <f t="shared" si="21"/>
        <v>0</v>
      </c>
      <c r="K807" s="17"/>
      <c r="L807" s="16" t="s">
        <v>18</v>
      </c>
      <c r="M807" s="16" t="s">
        <v>22</v>
      </c>
      <c r="N807" s="39"/>
    </row>
    <row r="808" spans="1:14" s="12" customFormat="1" ht="31.5">
      <c r="A808" s="287" t="s">
        <v>96</v>
      </c>
      <c r="B808" s="76"/>
      <c r="C808" s="42"/>
      <c r="D808" s="237"/>
      <c r="E808" s="237"/>
      <c r="F808" s="237"/>
      <c r="G808" s="237"/>
      <c r="H808" s="43"/>
      <c r="I808" s="24"/>
      <c r="J808" s="24"/>
      <c r="K808" s="25">
        <f>SUM(J605:J807)</f>
        <v>61116.69</v>
      </c>
      <c r="L808" s="23"/>
      <c r="M808" s="23"/>
      <c r="N808" s="42"/>
    </row>
    <row r="809" spans="1:14" s="12" customFormat="1" ht="18">
      <c r="A809" s="178" t="s">
        <v>97</v>
      </c>
      <c r="B809" s="75" t="s">
        <v>1855</v>
      </c>
      <c r="C809" s="412" t="s">
        <v>17</v>
      </c>
      <c r="D809" s="412"/>
      <c r="E809" s="412"/>
      <c r="F809" s="412"/>
      <c r="G809" s="412"/>
      <c r="H809" s="412">
        <v>0</v>
      </c>
      <c r="I809" s="17">
        <v>0</v>
      </c>
      <c r="J809" s="17">
        <v>0</v>
      </c>
      <c r="K809" s="286"/>
      <c r="L809" s="16" t="s">
        <v>18</v>
      </c>
      <c r="M809" s="16" t="s">
        <v>22</v>
      </c>
      <c r="N809" s="39"/>
    </row>
    <row r="810" spans="1:14" s="12" customFormat="1" ht="25.5">
      <c r="A810" s="178" t="s">
        <v>97</v>
      </c>
      <c r="B810" s="75" t="s">
        <v>1681</v>
      </c>
      <c r="C810" s="39" t="s">
        <v>17</v>
      </c>
      <c r="D810" s="236"/>
      <c r="E810" s="236"/>
      <c r="F810" s="236"/>
      <c r="G810" s="236"/>
      <c r="H810" s="40">
        <v>0</v>
      </c>
      <c r="I810" s="17">
        <v>0</v>
      </c>
      <c r="J810" s="17">
        <v>0</v>
      </c>
      <c r="K810" s="17"/>
      <c r="L810" s="16" t="s">
        <v>18</v>
      </c>
      <c r="M810" s="16" t="s">
        <v>22</v>
      </c>
      <c r="N810" s="39"/>
    </row>
    <row r="811" spans="1:14" s="12" customFormat="1" ht="18">
      <c r="A811" s="178" t="s">
        <v>97</v>
      </c>
      <c r="B811" s="75" t="s">
        <v>227</v>
      </c>
      <c r="C811" s="39" t="s">
        <v>17</v>
      </c>
      <c r="D811" s="236"/>
      <c r="E811" s="236"/>
      <c r="F811" s="236"/>
      <c r="G811" s="236"/>
      <c r="H811" s="40">
        <f>SUM(Tabla132112419[[#This Row],[PRIMER TRIMESTRE]:[CUARTO TRIMESTRE]])</f>
        <v>0</v>
      </c>
      <c r="I811" s="17">
        <v>110.2</v>
      </c>
      <c r="J811" s="17">
        <f>+Tabla132112419[[#This Row],[CANTIDAD TOTAL]]*Tabla132112419[[#This Row],[PRECIO UNITARIO ESTIMADO]]</f>
        <v>0</v>
      </c>
      <c r="K811" s="17"/>
      <c r="L811" s="16" t="s">
        <v>18</v>
      </c>
      <c r="M811" s="16" t="s">
        <v>22</v>
      </c>
      <c r="N811" s="39"/>
    </row>
    <row r="812" spans="1:14" s="12" customFormat="1" ht="18">
      <c r="A812" s="178" t="s">
        <v>97</v>
      </c>
      <c r="B812" s="75" t="s">
        <v>1235</v>
      </c>
      <c r="C812" s="39" t="s">
        <v>17</v>
      </c>
      <c r="D812" s="236"/>
      <c r="E812" s="236"/>
      <c r="F812" s="236"/>
      <c r="G812" s="236"/>
      <c r="H812" s="40">
        <f>SUM(Tabla132112419[[#This Row],[PRIMER TRIMESTRE]:[CUARTO TRIMESTRE]])</f>
        <v>0</v>
      </c>
      <c r="I812" s="17">
        <v>156.5</v>
      </c>
      <c r="J812" s="17">
        <f t="shared" ref="J812:J819" si="22">+H812*I812</f>
        <v>0</v>
      </c>
      <c r="K812" s="17"/>
      <c r="L812" s="16" t="s">
        <v>18</v>
      </c>
      <c r="M812" s="16" t="s">
        <v>22</v>
      </c>
      <c r="N812" s="39"/>
    </row>
    <row r="813" spans="1:14" s="12" customFormat="1" ht="18">
      <c r="A813" s="178" t="s">
        <v>97</v>
      </c>
      <c r="B813" s="75" t="s">
        <v>1236</v>
      </c>
      <c r="C813" s="39" t="s">
        <v>17</v>
      </c>
      <c r="D813" s="236"/>
      <c r="E813" s="236"/>
      <c r="F813" s="236"/>
      <c r="G813" s="236"/>
      <c r="H813" s="40">
        <f>SUM(Tabla132112419[[#This Row],[PRIMER TRIMESTRE]:[CUARTO TRIMESTRE]])</f>
        <v>0</v>
      </c>
      <c r="I813" s="17">
        <v>156.5</v>
      </c>
      <c r="J813" s="17">
        <f t="shared" si="22"/>
        <v>0</v>
      </c>
      <c r="K813" s="17"/>
      <c r="L813" s="16" t="s">
        <v>18</v>
      </c>
      <c r="M813" s="16" t="s">
        <v>22</v>
      </c>
      <c r="N813" s="39"/>
    </row>
    <row r="814" spans="1:14" s="12" customFormat="1" ht="18">
      <c r="A814" s="178" t="s">
        <v>97</v>
      </c>
      <c r="B814" s="75" t="s">
        <v>1334</v>
      </c>
      <c r="C814" s="39" t="s">
        <v>17</v>
      </c>
      <c r="D814" s="236"/>
      <c r="E814" s="236"/>
      <c r="F814" s="236"/>
      <c r="G814" s="236"/>
      <c r="H814" s="40">
        <f>SUM(Tabla132112419[[#This Row],[PRIMER TRIMESTRE]:[CUARTO TRIMESTRE]])</f>
        <v>0</v>
      </c>
      <c r="I814" s="17">
        <v>387.04</v>
      </c>
      <c r="J814" s="17">
        <f t="shared" si="22"/>
        <v>0</v>
      </c>
      <c r="K814" s="17"/>
      <c r="L814" s="16" t="s">
        <v>18</v>
      </c>
      <c r="M814" s="16" t="s">
        <v>22</v>
      </c>
      <c r="N814" s="39"/>
    </row>
    <row r="815" spans="1:14" s="12" customFormat="1" ht="18">
      <c r="A815" s="178" t="s">
        <v>97</v>
      </c>
      <c r="B815" s="75" t="s">
        <v>1237</v>
      </c>
      <c r="C815" s="39" t="s">
        <v>17</v>
      </c>
      <c r="D815" s="236"/>
      <c r="E815" s="236"/>
      <c r="F815" s="236"/>
      <c r="G815" s="236"/>
      <c r="H815" s="40">
        <f>SUM(Tabla132112419[[#This Row],[PRIMER TRIMESTRE]:[CUARTO TRIMESTRE]])</f>
        <v>0</v>
      </c>
      <c r="I815" s="17">
        <v>35000</v>
      </c>
      <c r="J815" s="17">
        <f t="shared" si="22"/>
        <v>0</v>
      </c>
      <c r="K815" s="17"/>
      <c r="L815" s="16" t="s">
        <v>18</v>
      </c>
      <c r="M815" s="16" t="s">
        <v>22</v>
      </c>
      <c r="N815" s="39"/>
    </row>
    <row r="816" spans="1:14" s="12" customFormat="1" ht="18">
      <c r="A816" s="178" t="s">
        <v>97</v>
      </c>
      <c r="B816" s="75" t="s">
        <v>1713</v>
      </c>
      <c r="C816" s="39" t="s">
        <v>17</v>
      </c>
      <c r="D816" s="236"/>
      <c r="E816" s="236"/>
      <c r="F816" s="236"/>
      <c r="G816" s="236"/>
      <c r="H816" s="40">
        <v>0</v>
      </c>
      <c r="I816" s="17">
        <v>0</v>
      </c>
      <c r="J816" s="17">
        <v>0</v>
      </c>
      <c r="K816" s="17"/>
      <c r="L816" s="16" t="s">
        <v>18</v>
      </c>
      <c r="M816" s="16" t="s">
        <v>22</v>
      </c>
      <c r="N816" s="39"/>
    </row>
    <row r="817" spans="1:14" s="12" customFormat="1" ht="18">
      <c r="A817" s="178" t="s">
        <v>97</v>
      </c>
      <c r="B817" s="75" t="s">
        <v>572</v>
      </c>
      <c r="C817" s="39" t="s">
        <v>17</v>
      </c>
      <c r="D817" s="236"/>
      <c r="E817" s="236"/>
      <c r="F817" s="236"/>
      <c r="G817" s="236"/>
      <c r="H817" s="40">
        <f>SUM(Tabla132112419[[#This Row],[PRIMER TRIMESTRE]:[CUARTO TRIMESTRE]])</f>
        <v>0</v>
      </c>
      <c r="I817" s="17">
        <v>25000</v>
      </c>
      <c r="J817" s="17">
        <f t="shared" si="22"/>
        <v>0</v>
      </c>
      <c r="K817" s="17"/>
      <c r="L817" s="16" t="s">
        <v>18</v>
      </c>
      <c r="M817" s="16" t="s">
        <v>22</v>
      </c>
      <c r="N817" s="39"/>
    </row>
    <row r="818" spans="1:14" s="12" customFormat="1" ht="18">
      <c r="A818" s="178" t="s">
        <v>97</v>
      </c>
      <c r="B818" s="75" t="s">
        <v>1238</v>
      </c>
      <c r="C818" s="39" t="s">
        <v>17</v>
      </c>
      <c r="D818" s="236"/>
      <c r="E818" s="236"/>
      <c r="F818" s="236"/>
      <c r="G818" s="236"/>
      <c r="H818" s="40">
        <f>SUM(Tabla132112419[[#This Row],[PRIMER TRIMESTRE]:[CUARTO TRIMESTRE]])</f>
        <v>0</v>
      </c>
      <c r="I818" s="17">
        <v>25000</v>
      </c>
      <c r="J818" s="17">
        <f t="shared" si="22"/>
        <v>0</v>
      </c>
      <c r="K818" s="17"/>
      <c r="L818" s="16" t="s">
        <v>18</v>
      </c>
      <c r="M818" s="16" t="s">
        <v>22</v>
      </c>
      <c r="N818" s="39"/>
    </row>
    <row r="819" spans="1:14" s="12" customFormat="1" ht="18">
      <c r="A819" s="178" t="s">
        <v>97</v>
      </c>
      <c r="B819" s="75" t="s">
        <v>1239</v>
      </c>
      <c r="C819" s="39" t="s">
        <v>17</v>
      </c>
      <c r="D819" s="236"/>
      <c r="E819" s="236"/>
      <c r="F819" s="236"/>
      <c r="G819" s="236"/>
      <c r="H819" s="40">
        <f>SUM(Tabla132112419[[#This Row],[PRIMER TRIMESTRE]:[CUARTO TRIMESTRE]])</f>
        <v>0</v>
      </c>
      <c r="I819" s="17">
        <v>25000</v>
      </c>
      <c r="J819" s="17">
        <f t="shared" si="22"/>
        <v>0</v>
      </c>
      <c r="K819" s="17"/>
      <c r="L819" s="16" t="s">
        <v>18</v>
      </c>
      <c r="M819" s="16" t="s">
        <v>22</v>
      </c>
      <c r="N819" s="39"/>
    </row>
    <row r="820" spans="1:14" s="12" customFormat="1" ht="18">
      <c r="A820" s="178" t="s">
        <v>97</v>
      </c>
      <c r="B820" s="75" t="s">
        <v>220</v>
      </c>
      <c r="C820" s="39" t="s">
        <v>17</v>
      </c>
      <c r="D820" s="236"/>
      <c r="E820" s="236"/>
      <c r="F820" s="236"/>
      <c r="G820" s="236"/>
      <c r="H820" s="40">
        <f>SUM(Tabla132112419[[#This Row],[PRIMER TRIMESTRE]:[CUARTO TRIMESTRE]])</f>
        <v>0</v>
      </c>
      <c r="I820" s="17">
        <v>40165</v>
      </c>
      <c r="J820" s="17">
        <f>+Tabla132112419[[#This Row],[CANTIDAD TOTAL]]*Tabla132112419[[#This Row],[PRECIO UNITARIO ESTIMADO]]</f>
        <v>0</v>
      </c>
      <c r="K820" s="17"/>
      <c r="L820" s="16" t="s">
        <v>18</v>
      </c>
      <c r="M820" s="16" t="s">
        <v>22</v>
      </c>
      <c r="N820" s="39"/>
    </row>
    <row r="821" spans="1:14" s="12" customFormat="1" ht="18">
      <c r="A821" s="178" t="s">
        <v>97</v>
      </c>
      <c r="B821" s="75" t="s">
        <v>213</v>
      </c>
      <c r="C821" s="39" t="s">
        <v>17</v>
      </c>
      <c r="D821" s="236"/>
      <c r="E821" s="236"/>
      <c r="F821" s="236"/>
      <c r="G821" s="236"/>
      <c r="H821" s="40">
        <f>SUM(Tabla132112419[[#This Row],[PRIMER TRIMESTRE]:[CUARTO TRIMESTRE]])</f>
        <v>0</v>
      </c>
      <c r="I821" s="17">
        <v>30999.38</v>
      </c>
      <c r="J821" s="17">
        <f>+Tabla132112419[[#This Row],[CANTIDAD TOTAL]]*Tabla132112419[[#This Row],[PRECIO UNITARIO ESTIMADO]]</f>
        <v>0</v>
      </c>
      <c r="K821" s="17"/>
      <c r="L821" s="16" t="s">
        <v>18</v>
      </c>
      <c r="M821" s="16" t="s">
        <v>22</v>
      </c>
      <c r="N821" s="39"/>
    </row>
    <row r="822" spans="1:14" s="12" customFormat="1" ht="18">
      <c r="A822" s="178" t="s">
        <v>97</v>
      </c>
      <c r="B822" s="75" t="s">
        <v>226</v>
      </c>
      <c r="C822" s="39" t="s">
        <v>17</v>
      </c>
      <c r="D822" s="236"/>
      <c r="E822" s="236"/>
      <c r="F822" s="236"/>
      <c r="G822" s="236"/>
      <c r="H822" s="40">
        <f>SUM(Tabla132112419[[#This Row],[PRIMER TRIMESTRE]:[CUARTO TRIMESTRE]])</f>
        <v>0</v>
      </c>
      <c r="I822" s="17">
        <v>14929.2</v>
      </c>
      <c r="J822" s="17">
        <f>+Tabla132112419[[#This Row],[CANTIDAD TOTAL]]*Tabla132112419[[#This Row],[PRECIO UNITARIO ESTIMADO]]</f>
        <v>0</v>
      </c>
      <c r="K822" s="17"/>
      <c r="L822" s="16" t="s">
        <v>18</v>
      </c>
      <c r="M822" s="16" t="s">
        <v>22</v>
      </c>
      <c r="N822" s="39"/>
    </row>
    <row r="823" spans="1:14" s="12" customFormat="1" ht="25.5">
      <c r="A823" s="178" t="s">
        <v>97</v>
      </c>
      <c r="B823" s="75" t="s">
        <v>1696</v>
      </c>
      <c r="C823" s="39" t="s">
        <v>17</v>
      </c>
      <c r="D823" s="236"/>
      <c r="E823" s="236"/>
      <c r="F823" s="236"/>
      <c r="G823" s="236"/>
      <c r="H823" s="40">
        <v>0</v>
      </c>
      <c r="I823" s="17">
        <v>0</v>
      </c>
      <c r="J823" s="17">
        <v>0</v>
      </c>
      <c r="K823" s="17"/>
      <c r="L823" s="16" t="s">
        <v>18</v>
      </c>
      <c r="M823" s="16" t="s">
        <v>22</v>
      </c>
      <c r="N823" s="39"/>
    </row>
    <row r="824" spans="1:14" s="12" customFormat="1" ht="38.25">
      <c r="A824" s="178" t="s">
        <v>97</v>
      </c>
      <c r="B824" s="75" t="s">
        <v>1697</v>
      </c>
      <c r="C824" s="39" t="s">
        <v>17</v>
      </c>
      <c r="D824" s="236"/>
      <c r="E824" s="236"/>
      <c r="F824" s="236"/>
      <c r="G824" s="236"/>
      <c r="H824" s="40">
        <v>0</v>
      </c>
      <c r="I824" s="17">
        <v>0</v>
      </c>
      <c r="J824" s="17">
        <v>0</v>
      </c>
      <c r="K824" s="17"/>
      <c r="L824" s="16" t="s">
        <v>18</v>
      </c>
      <c r="M824" s="16" t="s">
        <v>22</v>
      </c>
      <c r="N824" s="39"/>
    </row>
    <row r="825" spans="1:14" s="12" customFormat="1" ht="38.25">
      <c r="A825" s="178" t="s">
        <v>97</v>
      </c>
      <c r="B825" s="75" t="s">
        <v>1698</v>
      </c>
      <c r="C825" s="39" t="s">
        <v>17</v>
      </c>
      <c r="D825" s="236"/>
      <c r="E825" s="236"/>
      <c r="F825" s="236"/>
      <c r="G825" s="236"/>
      <c r="H825" s="40">
        <v>0</v>
      </c>
      <c r="I825" s="17">
        <v>0</v>
      </c>
      <c r="J825" s="17">
        <v>0</v>
      </c>
      <c r="K825" s="17"/>
      <c r="L825" s="16" t="s">
        <v>18</v>
      </c>
      <c r="M825" s="16" t="s">
        <v>22</v>
      </c>
      <c r="N825" s="39"/>
    </row>
    <row r="826" spans="1:14" s="12" customFormat="1" ht="18">
      <c r="A826" s="178" t="s">
        <v>97</v>
      </c>
      <c r="B826" s="75" t="s">
        <v>212</v>
      </c>
      <c r="C826" s="39" t="s">
        <v>17</v>
      </c>
      <c r="D826" s="236"/>
      <c r="E826" s="236"/>
      <c r="F826" s="236"/>
      <c r="G826" s="236"/>
      <c r="H826" s="40">
        <f>SUM(Tabla132112419[[#This Row],[PRIMER TRIMESTRE]:[CUARTO TRIMESTRE]])</f>
        <v>0</v>
      </c>
      <c r="I826" s="17">
        <v>280500</v>
      </c>
      <c r="J826" s="17">
        <f>+Tabla132112419[[#This Row],[CANTIDAD TOTAL]]*Tabla132112419[[#This Row],[PRECIO UNITARIO ESTIMADO]]</f>
        <v>0</v>
      </c>
      <c r="K826" s="17"/>
      <c r="L826" s="16" t="s">
        <v>18</v>
      </c>
      <c r="M826" s="16" t="s">
        <v>22</v>
      </c>
      <c r="N826" s="39"/>
    </row>
    <row r="827" spans="1:14" s="12" customFormat="1" ht="18">
      <c r="A827" s="178" t="s">
        <v>97</v>
      </c>
      <c r="B827" s="75" t="s">
        <v>214</v>
      </c>
      <c r="C827" s="39" t="s">
        <v>17</v>
      </c>
      <c r="D827" s="236"/>
      <c r="E827" s="236"/>
      <c r="F827" s="236"/>
      <c r="G827" s="236"/>
      <c r="H827" s="40">
        <f>SUM(Tabla132112419[[#This Row],[PRIMER TRIMESTRE]:[CUARTO TRIMESTRE]])</f>
        <v>0</v>
      </c>
      <c r="I827" s="17">
        <v>62762.6</v>
      </c>
      <c r="J827" s="17">
        <f>+Tabla132112419[[#This Row],[CANTIDAD TOTAL]]*Tabla132112419[[#This Row],[PRECIO UNITARIO ESTIMADO]]</f>
        <v>0</v>
      </c>
      <c r="K827" s="17"/>
      <c r="L827" s="16" t="s">
        <v>18</v>
      </c>
      <c r="M827" s="16" t="s">
        <v>22</v>
      </c>
      <c r="N827" s="39"/>
    </row>
    <row r="828" spans="1:14" s="12" customFormat="1" ht="18">
      <c r="A828" s="178" t="s">
        <v>97</v>
      </c>
      <c r="B828" s="75" t="s">
        <v>215</v>
      </c>
      <c r="C828" s="39" t="s">
        <v>17</v>
      </c>
      <c r="D828" s="236"/>
      <c r="E828" s="236"/>
      <c r="F828" s="236"/>
      <c r="G828" s="236"/>
      <c r="H828" s="40">
        <f>SUM(Tabla132112419[[#This Row],[PRIMER TRIMESTRE]:[CUARTO TRIMESTRE]])</f>
        <v>0</v>
      </c>
      <c r="I828" s="17">
        <v>14453.6</v>
      </c>
      <c r="J828" s="17">
        <f>+Tabla132112419[[#This Row],[CANTIDAD TOTAL]]*Tabla132112419[[#This Row],[PRECIO UNITARIO ESTIMADO]]</f>
        <v>0</v>
      </c>
      <c r="K828" s="17"/>
      <c r="L828" s="16" t="s">
        <v>18</v>
      </c>
      <c r="M828" s="16" t="s">
        <v>22</v>
      </c>
      <c r="N828" s="39"/>
    </row>
    <row r="829" spans="1:14" s="12" customFormat="1" ht="18">
      <c r="A829" s="178" t="s">
        <v>97</v>
      </c>
      <c r="B829" s="75" t="s">
        <v>216</v>
      </c>
      <c r="C829" s="39" t="s">
        <v>17</v>
      </c>
      <c r="D829" s="236"/>
      <c r="E829" s="236"/>
      <c r="F829" s="236"/>
      <c r="G829" s="236"/>
      <c r="H829" s="40">
        <f>SUM(Tabla132112419[[#This Row],[PRIMER TRIMESTRE]:[CUARTO TRIMESTRE]])</f>
        <v>0</v>
      </c>
      <c r="I829" s="17">
        <v>58701.8</v>
      </c>
      <c r="J829" s="17">
        <f>+Tabla132112419[[#This Row],[CANTIDAD TOTAL]]*Tabla132112419[[#This Row],[PRECIO UNITARIO ESTIMADO]]</f>
        <v>0</v>
      </c>
      <c r="K829" s="17"/>
      <c r="L829" s="16" t="s">
        <v>18</v>
      </c>
      <c r="M829" s="16" t="s">
        <v>22</v>
      </c>
      <c r="N829" s="39"/>
    </row>
    <row r="830" spans="1:14" s="12" customFormat="1" ht="25.5">
      <c r="A830" s="178" t="s">
        <v>97</v>
      </c>
      <c r="B830" s="75" t="s">
        <v>217</v>
      </c>
      <c r="C830" s="39" t="s">
        <v>17</v>
      </c>
      <c r="D830" s="236"/>
      <c r="E830" s="236"/>
      <c r="F830" s="236"/>
      <c r="G830" s="236"/>
      <c r="H830" s="40">
        <f>SUM(Tabla132112419[[#This Row],[PRIMER TRIMESTRE]:[CUARTO TRIMESTRE]])</f>
        <v>0</v>
      </c>
      <c r="I830" s="17">
        <v>36540</v>
      </c>
      <c r="J830" s="17">
        <f>+Tabla132112419[[#This Row],[CANTIDAD TOTAL]]*Tabla132112419[[#This Row],[PRECIO UNITARIO ESTIMADO]]</f>
        <v>0</v>
      </c>
      <c r="K830" s="17"/>
      <c r="L830" s="16" t="s">
        <v>18</v>
      </c>
      <c r="M830" s="16" t="s">
        <v>22</v>
      </c>
      <c r="N830" s="39"/>
    </row>
    <row r="831" spans="1:14" s="12" customFormat="1" ht="25.5">
      <c r="A831" s="178" t="s">
        <v>97</v>
      </c>
      <c r="B831" s="75" t="s">
        <v>218</v>
      </c>
      <c r="C831" s="39" t="s">
        <v>17</v>
      </c>
      <c r="D831" s="236"/>
      <c r="E831" s="236"/>
      <c r="F831" s="236"/>
      <c r="G831" s="236"/>
      <c r="H831" s="40">
        <f>SUM(Tabla132112419[[#This Row],[PRIMER TRIMESTRE]:[CUARTO TRIMESTRE]])</f>
        <v>0</v>
      </c>
      <c r="I831" s="17">
        <v>60262</v>
      </c>
      <c r="J831" s="17">
        <f>+Tabla132112419[[#This Row],[CANTIDAD TOTAL]]*Tabla132112419[[#This Row],[PRECIO UNITARIO ESTIMADO]]</f>
        <v>0</v>
      </c>
      <c r="K831" s="17"/>
      <c r="L831" s="16" t="s">
        <v>18</v>
      </c>
      <c r="M831" s="16" t="s">
        <v>22</v>
      </c>
      <c r="N831" s="39"/>
    </row>
    <row r="832" spans="1:14" s="12" customFormat="1" ht="25.5">
      <c r="A832" s="178" t="s">
        <v>97</v>
      </c>
      <c r="B832" s="75" t="s">
        <v>219</v>
      </c>
      <c r="C832" s="39" t="s">
        <v>17</v>
      </c>
      <c r="D832" s="236"/>
      <c r="E832" s="236"/>
      <c r="F832" s="236"/>
      <c r="G832" s="236"/>
      <c r="H832" s="40">
        <f>SUM(Tabla132112419[[#This Row],[PRIMER TRIMESTRE]:[CUARTO TRIMESTRE]])</f>
        <v>0</v>
      </c>
      <c r="I832" s="17">
        <v>59757.4</v>
      </c>
      <c r="J832" s="17">
        <f>+Tabla132112419[[#This Row],[CANTIDAD TOTAL]]*Tabla132112419[[#This Row],[PRECIO UNITARIO ESTIMADO]]</f>
        <v>0</v>
      </c>
      <c r="K832" s="17"/>
      <c r="L832" s="16" t="s">
        <v>18</v>
      </c>
      <c r="M832" s="16" t="s">
        <v>22</v>
      </c>
      <c r="N832" s="39"/>
    </row>
    <row r="833" spans="1:14" s="12" customFormat="1" ht="51">
      <c r="A833" s="178" t="s">
        <v>97</v>
      </c>
      <c r="B833" s="75" t="s">
        <v>1765</v>
      </c>
      <c r="C833" s="39" t="s">
        <v>17</v>
      </c>
      <c r="D833" s="236"/>
      <c r="E833" s="236"/>
      <c r="F833" s="236"/>
      <c r="G833" s="236"/>
      <c r="H833" s="40">
        <v>0</v>
      </c>
      <c r="I833" s="17">
        <v>0</v>
      </c>
      <c r="J833" s="17">
        <v>0</v>
      </c>
      <c r="K833" s="17"/>
      <c r="L833" s="16" t="s">
        <v>18</v>
      </c>
      <c r="M833" s="16" t="s">
        <v>22</v>
      </c>
      <c r="N833" s="39"/>
    </row>
    <row r="834" spans="1:14" s="12" customFormat="1" ht="51">
      <c r="A834" s="178" t="s">
        <v>97</v>
      </c>
      <c r="B834" s="75" t="s">
        <v>1766</v>
      </c>
      <c r="C834" s="39" t="s">
        <v>17</v>
      </c>
      <c r="D834" s="236"/>
      <c r="E834" s="236"/>
      <c r="F834" s="236"/>
      <c r="G834" s="236"/>
      <c r="H834" s="40">
        <v>0</v>
      </c>
      <c r="I834" s="17">
        <v>0</v>
      </c>
      <c r="J834" s="17">
        <v>0</v>
      </c>
      <c r="K834" s="17"/>
      <c r="L834" s="16" t="s">
        <v>18</v>
      </c>
      <c r="M834" s="16" t="s">
        <v>22</v>
      </c>
      <c r="N834" s="39"/>
    </row>
    <row r="835" spans="1:14" s="12" customFormat="1" ht="18">
      <c r="A835" s="178" t="s">
        <v>97</v>
      </c>
      <c r="B835" s="75" t="s">
        <v>317</v>
      </c>
      <c r="C835" s="39" t="s">
        <v>17</v>
      </c>
      <c r="D835" s="236"/>
      <c r="E835" s="236"/>
      <c r="F835" s="236"/>
      <c r="G835" s="236"/>
      <c r="H835" s="40">
        <f>SUM(Tabla132112419[[#This Row],[PRIMER TRIMESTRE]:[CUARTO TRIMESTRE]])</f>
        <v>0</v>
      </c>
      <c r="I835" s="17">
        <f>1252664.4/5</f>
        <v>250532.87999999998</v>
      </c>
      <c r="J835" s="17">
        <f>+Tabla132112419[[#This Row],[CANTIDAD TOTAL]]*Tabla132112419[[#This Row],[PRECIO UNITARIO ESTIMADO]]</f>
        <v>0</v>
      </c>
      <c r="K835" s="17"/>
      <c r="L835" s="16" t="s">
        <v>18</v>
      </c>
      <c r="M835" s="16" t="s">
        <v>22</v>
      </c>
      <c r="N835" s="39"/>
    </row>
    <row r="836" spans="1:14" s="12" customFormat="1" ht="18">
      <c r="A836" s="178" t="s">
        <v>97</v>
      </c>
      <c r="B836" s="75" t="s">
        <v>1462</v>
      </c>
      <c r="C836" s="39" t="s">
        <v>17</v>
      </c>
      <c r="D836" s="236"/>
      <c r="E836" s="236"/>
      <c r="F836" s="236"/>
      <c r="G836" s="236"/>
      <c r="H836" s="40">
        <f>SUM(Tabla132112419[[#This Row],[PRIMER TRIMESTRE]:[CUARTO TRIMESTRE]])</f>
        <v>0</v>
      </c>
      <c r="I836" s="17">
        <v>250532.68</v>
      </c>
      <c r="J836" s="17">
        <f t="shared" ref="J836:J865" si="23">+H836*I836</f>
        <v>0</v>
      </c>
      <c r="K836" s="17"/>
      <c r="L836" s="16" t="s">
        <v>15</v>
      </c>
      <c r="M836" s="16" t="s">
        <v>22</v>
      </c>
      <c r="N836" s="39"/>
    </row>
    <row r="837" spans="1:14" s="12" customFormat="1" ht="18">
      <c r="A837" s="178" t="s">
        <v>97</v>
      </c>
      <c r="B837" s="75" t="s">
        <v>1240</v>
      </c>
      <c r="C837" s="39" t="s">
        <v>17</v>
      </c>
      <c r="D837" s="236"/>
      <c r="E837" s="236"/>
      <c r="F837" s="236"/>
      <c r="G837" s="236"/>
      <c r="H837" s="40">
        <f>SUM(Tabla132112419[[#This Row],[PRIMER TRIMESTRE]:[CUARTO TRIMESTRE]])</f>
        <v>0</v>
      </c>
      <c r="I837" s="17">
        <v>2300000</v>
      </c>
      <c r="J837" s="17">
        <f t="shared" si="23"/>
        <v>0</v>
      </c>
      <c r="K837" s="17"/>
      <c r="L837" s="16" t="s">
        <v>18</v>
      </c>
      <c r="M837" s="16" t="s">
        <v>22</v>
      </c>
      <c r="N837" s="39"/>
    </row>
    <row r="838" spans="1:14" s="12" customFormat="1" ht="18">
      <c r="A838" s="178" t="s">
        <v>97</v>
      </c>
      <c r="B838" s="75" t="s">
        <v>1241</v>
      </c>
      <c r="C838" s="39" t="s">
        <v>17</v>
      </c>
      <c r="D838" s="236"/>
      <c r="E838" s="236"/>
      <c r="F838" s="236"/>
      <c r="G838" s="236"/>
      <c r="H838" s="40">
        <f>SUM(Tabla132112419[[#This Row],[PRIMER TRIMESTRE]:[CUARTO TRIMESTRE]])</f>
        <v>0</v>
      </c>
      <c r="I838" s="17">
        <v>950000</v>
      </c>
      <c r="J838" s="17">
        <f t="shared" si="23"/>
        <v>0</v>
      </c>
      <c r="K838" s="17"/>
      <c r="L838" s="16" t="s">
        <v>18</v>
      </c>
      <c r="M838" s="16" t="s">
        <v>22</v>
      </c>
      <c r="N838" s="39"/>
    </row>
    <row r="839" spans="1:14" s="12" customFormat="1" ht="18">
      <c r="A839" s="178" t="s">
        <v>97</v>
      </c>
      <c r="B839" s="75" t="s">
        <v>1242</v>
      </c>
      <c r="C839" s="39" t="s">
        <v>17</v>
      </c>
      <c r="D839" s="236"/>
      <c r="E839" s="236"/>
      <c r="F839" s="236"/>
      <c r="G839" s="236"/>
      <c r="H839" s="40">
        <f>SUM(Tabla132112419[[#This Row],[PRIMER TRIMESTRE]:[CUARTO TRIMESTRE]])</f>
        <v>0</v>
      </c>
      <c r="I839" s="17">
        <v>1800000</v>
      </c>
      <c r="J839" s="17">
        <f t="shared" si="23"/>
        <v>0</v>
      </c>
      <c r="K839" s="17"/>
      <c r="L839" s="16" t="s">
        <v>18</v>
      </c>
      <c r="M839" s="16" t="s">
        <v>22</v>
      </c>
      <c r="N839" s="39"/>
    </row>
    <row r="840" spans="1:14" s="12" customFormat="1" ht="18">
      <c r="A840" s="178" t="s">
        <v>97</v>
      </c>
      <c r="B840" s="75" t="s">
        <v>1243</v>
      </c>
      <c r="C840" s="39" t="s">
        <v>17</v>
      </c>
      <c r="D840" s="236"/>
      <c r="E840" s="236"/>
      <c r="F840" s="236"/>
      <c r="G840" s="236"/>
      <c r="H840" s="40">
        <f>SUM(Tabla132112419[[#This Row],[PRIMER TRIMESTRE]:[CUARTO TRIMESTRE]])</f>
        <v>0</v>
      </c>
      <c r="I840" s="17">
        <v>270000</v>
      </c>
      <c r="J840" s="17">
        <f t="shared" si="23"/>
        <v>0</v>
      </c>
      <c r="K840" s="17"/>
      <c r="L840" s="16" t="s">
        <v>18</v>
      </c>
      <c r="M840" s="16" t="s">
        <v>22</v>
      </c>
      <c r="N840" s="39"/>
    </row>
    <row r="841" spans="1:14" s="12" customFormat="1" ht="18">
      <c r="A841" s="178" t="s">
        <v>97</v>
      </c>
      <c r="B841" s="75" t="s">
        <v>1244</v>
      </c>
      <c r="C841" s="39" t="s">
        <v>17</v>
      </c>
      <c r="D841" s="236"/>
      <c r="E841" s="236"/>
      <c r="F841" s="236"/>
      <c r="G841" s="236"/>
      <c r="H841" s="40">
        <f>SUM(Tabla132112419[[#This Row],[PRIMER TRIMESTRE]:[CUARTO TRIMESTRE]])</f>
        <v>0</v>
      </c>
      <c r="I841" s="17">
        <v>398000</v>
      </c>
      <c r="J841" s="17">
        <f t="shared" si="23"/>
        <v>0</v>
      </c>
      <c r="K841" s="17"/>
      <c r="L841" s="16" t="s">
        <v>18</v>
      </c>
      <c r="M841" s="16" t="s">
        <v>22</v>
      </c>
      <c r="N841" s="39"/>
    </row>
    <row r="842" spans="1:14" s="12" customFormat="1" ht="18">
      <c r="A842" s="178" t="s">
        <v>97</v>
      </c>
      <c r="B842" s="75" t="s">
        <v>1245</v>
      </c>
      <c r="C842" s="39" t="s">
        <v>17</v>
      </c>
      <c r="D842" s="236"/>
      <c r="E842" s="236"/>
      <c r="F842" s="236"/>
      <c r="G842" s="236"/>
      <c r="H842" s="40">
        <f>SUM(Tabla132112419[[#This Row],[PRIMER TRIMESTRE]:[CUARTO TRIMESTRE]])</f>
        <v>0</v>
      </c>
      <c r="I842" s="17">
        <v>395000</v>
      </c>
      <c r="J842" s="17">
        <f t="shared" si="23"/>
        <v>0</v>
      </c>
      <c r="K842" s="17"/>
      <c r="L842" s="16" t="s">
        <v>18</v>
      </c>
      <c r="M842" s="16" t="s">
        <v>22</v>
      </c>
      <c r="N842" s="39"/>
    </row>
    <row r="843" spans="1:14" s="12" customFormat="1" ht="18">
      <c r="A843" s="178" t="s">
        <v>97</v>
      </c>
      <c r="B843" s="75" t="s">
        <v>1246</v>
      </c>
      <c r="C843" s="39" t="s">
        <v>17</v>
      </c>
      <c r="D843" s="236"/>
      <c r="E843" s="236"/>
      <c r="F843" s="236"/>
      <c r="G843" s="236"/>
      <c r="H843" s="40">
        <f>SUM(Tabla132112419[[#This Row],[PRIMER TRIMESTRE]:[CUARTO TRIMESTRE]])</f>
        <v>0</v>
      </c>
      <c r="I843" s="17">
        <v>390000</v>
      </c>
      <c r="J843" s="17">
        <f t="shared" si="23"/>
        <v>0</v>
      </c>
      <c r="K843" s="17"/>
      <c r="L843" s="16" t="s">
        <v>18</v>
      </c>
      <c r="M843" s="16" t="s">
        <v>22</v>
      </c>
      <c r="N843" s="39"/>
    </row>
    <row r="844" spans="1:14" s="12" customFormat="1" ht="18">
      <c r="A844" s="178" t="s">
        <v>97</v>
      </c>
      <c r="B844" s="75" t="s">
        <v>1247</v>
      </c>
      <c r="C844" s="39" t="s">
        <v>17</v>
      </c>
      <c r="D844" s="236"/>
      <c r="E844" s="236"/>
      <c r="F844" s="236"/>
      <c r="G844" s="236"/>
      <c r="H844" s="40">
        <f>SUM(Tabla132112419[[#This Row],[PRIMER TRIMESTRE]:[CUARTO TRIMESTRE]])</f>
        <v>0</v>
      </c>
      <c r="I844" s="17">
        <v>385000</v>
      </c>
      <c r="J844" s="17">
        <f t="shared" si="23"/>
        <v>0</v>
      </c>
      <c r="K844" s="17"/>
      <c r="L844" s="16" t="s">
        <v>18</v>
      </c>
      <c r="M844" s="16" t="s">
        <v>22</v>
      </c>
      <c r="N844" s="39"/>
    </row>
    <row r="845" spans="1:14" s="12" customFormat="1" ht="18">
      <c r="A845" s="178" t="s">
        <v>97</v>
      </c>
      <c r="B845" s="75" t="s">
        <v>1248</v>
      </c>
      <c r="C845" s="39" t="s">
        <v>17</v>
      </c>
      <c r="D845" s="236"/>
      <c r="E845" s="236"/>
      <c r="F845" s="236"/>
      <c r="G845" s="236"/>
      <c r="H845" s="40">
        <f>SUM(Tabla132112419[[#This Row],[PRIMER TRIMESTRE]:[CUARTO TRIMESTRE]])</f>
        <v>0</v>
      </c>
      <c r="I845" s="17">
        <v>290400</v>
      </c>
      <c r="J845" s="17">
        <f t="shared" si="23"/>
        <v>0</v>
      </c>
      <c r="K845" s="17"/>
      <c r="L845" s="16" t="s">
        <v>18</v>
      </c>
      <c r="M845" s="16" t="s">
        <v>22</v>
      </c>
      <c r="N845" s="39"/>
    </row>
    <row r="846" spans="1:14" s="12" customFormat="1" ht="18">
      <c r="A846" s="178" t="s">
        <v>97</v>
      </c>
      <c r="B846" s="75" t="s">
        <v>1249</v>
      </c>
      <c r="C846" s="39" t="s">
        <v>17</v>
      </c>
      <c r="D846" s="236"/>
      <c r="E846" s="236"/>
      <c r="F846" s="236"/>
      <c r="G846" s="236"/>
      <c r="H846" s="40">
        <f>SUM(Tabla132112419[[#This Row],[PRIMER TRIMESTRE]:[CUARTO TRIMESTRE]])</f>
        <v>0</v>
      </c>
      <c r="I846" s="17">
        <v>230000</v>
      </c>
      <c r="J846" s="17">
        <f t="shared" si="23"/>
        <v>0</v>
      </c>
      <c r="K846" s="17"/>
      <c r="L846" s="16" t="s">
        <v>18</v>
      </c>
      <c r="M846" s="16" t="s">
        <v>22</v>
      </c>
      <c r="N846" s="39"/>
    </row>
    <row r="847" spans="1:14" s="12" customFormat="1" ht="18">
      <c r="A847" s="178" t="s">
        <v>97</v>
      </c>
      <c r="B847" s="75" t="s">
        <v>1250</v>
      </c>
      <c r="C847" s="39" t="s">
        <v>17</v>
      </c>
      <c r="D847" s="236"/>
      <c r="E847" s="236"/>
      <c r="F847" s="236"/>
      <c r="G847" s="236"/>
      <c r="H847" s="40">
        <f>SUM(Tabla132112419[[#This Row],[PRIMER TRIMESTRE]:[CUARTO TRIMESTRE]])</f>
        <v>0</v>
      </c>
      <c r="I847" s="17">
        <v>13700</v>
      </c>
      <c r="J847" s="17">
        <f t="shared" si="23"/>
        <v>0</v>
      </c>
      <c r="K847" s="17"/>
      <c r="L847" s="16" t="s">
        <v>18</v>
      </c>
      <c r="M847" s="16" t="s">
        <v>22</v>
      </c>
      <c r="N847" s="39"/>
    </row>
    <row r="848" spans="1:14" s="12" customFormat="1" ht="18">
      <c r="A848" s="178" t="s">
        <v>97</v>
      </c>
      <c r="B848" s="75" t="s">
        <v>1251</v>
      </c>
      <c r="C848" s="39" t="s">
        <v>17</v>
      </c>
      <c r="D848" s="236"/>
      <c r="E848" s="236"/>
      <c r="F848" s="236"/>
      <c r="G848" s="236"/>
      <c r="H848" s="40">
        <f>SUM(Tabla132112419[[#This Row],[PRIMER TRIMESTRE]:[CUARTO TRIMESTRE]])</f>
        <v>0</v>
      </c>
      <c r="I848" s="17">
        <v>205000</v>
      </c>
      <c r="J848" s="17">
        <f t="shared" si="23"/>
        <v>0</v>
      </c>
      <c r="K848" s="17"/>
      <c r="L848" s="16" t="s">
        <v>18</v>
      </c>
      <c r="M848" s="16" t="s">
        <v>22</v>
      </c>
      <c r="N848" s="39"/>
    </row>
    <row r="849" spans="1:14" s="12" customFormat="1" ht="18">
      <c r="A849" s="178" t="s">
        <v>97</v>
      </c>
      <c r="B849" s="75" t="s">
        <v>1252</v>
      </c>
      <c r="C849" s="39" t="s">
        <v>17</v>
      </c>
      <c r="D849" s="236"/>
      <c r="E849" s="236"/>
      <c r="F849" s="236"/>
      <c r="G849" s="236"/>
      <c r="H849" s="40">
        <f>SUM(Tabla132112419[[#This Row],[PRIMER TRIMESTRE]:[CUARTO TRIMESTRE]])</f>
        <v>0</v>
      </c>
      <c r="I849" s="17">
        <v>170000</v>
      </c>
      <c r="J849" s="17">
        <f t="shared" si="23"/>
        <v>0</v>
      </c>
      <c r="K849" s="17"/>
      <c r="L849" s="16" t="s">
        <v>18</v>
      </c>
      <c r="M849" s="16" t="s">
        <v>22</v>
      </c>
      <c r="N849" s="39"/>
    </row>
    <row r="850" spans="1:14" s="12" customFormat="1" ht="18">
      <c r="A850" s="178" t="s">
        <v>97</v>
      </c>
      <c r="B850" s="75" t="s">
        <v>1253</v>
      </c>
      <c r="C850" s="39" t="s">
        <v>17</v>
      </c>
      <c r="D850" s="236"/>
      <c r="E850" s="236"/>
      <c r="F850" s="236"/>
      <c r="G850" s="236"/>
      <c r="H850" s="40">
        <f>SUM(Tabla132112419[[#This Row],[PRIMER TRIMESTRE]:[CUARTO TRIMESTRE]])</f>
        <v>0</v>
      </c>
      <c r="I850" s="17">
        <v>155000</v>
      </c>
      <c r="J850" s="17">
        <f t="shared" si="23"/>
        <v>0</v>
      </c>
      <c r="K850" s="17"/>
      <c r="L850" s="16" t="s">
        <v>18</v>
      </c>
      <c r="M850" s="16" t="s">
        <v>22</v>
      </c>
      <c r="N850" s="39"/>
    </row>
    <row r="851" spans="1:14" s="12" customFormat="1" ht="18">
      <c r="A851" s="178" t="s">
        <v>97</v>
      </c>
      <c r="B851" s="75" t="s">
        <v>1254</v>
      </c>
      <c r="C851" s="39" t="s">
        <v>17</v>
      </c>
      <c r="D851" s="236"/>
      <c r="E851" s="236"/>
      <c r="F851" s="236"/>
      <c r="G851" s="236"/>
      <c r="H851" s="40">
        <f>SUM(Tabla132112419[[#This Row],[PRIMER TRIMESTRE]:[CUARTO TRIMESTRE]])</f>
        <v>0</v>
      </c>
      <c r="I851" s="17">
        <v>140000</v>
      </c>
      <c r="J851" s="17">
        <f t="shared" si="23"/>
        <v>0</v>
      </c>
      <c r="K851" s="17"/>
      <c r="L851" s="16" t="s">
        <v>18</v>
      </c>
      <c r="M851" s="16" t="s">
        <v>22</v>
      </c>
      <c r="N851" s="39"/>
    </row>
    <row r="852" spans="1:14" s="12" customFormat="1" ht="18">
      <c r="A852" s="178" t="s">
        <v>97</v>
      </c>
      <c r="B852" s="75" t="s">
        <v>1255</v>
      </c>
      <c r="C852" s="39" t="s">
        <v>17</v>
      </c>
      <c r="D852" s="236"/>
      <c r="E852" s="236"/>
      <c r="F852" s="236"/>
      <c r="G852" s="236"/>
      <c r="H852" s="40">
        <f>SUM(Tabla132112419[[#This Row],[PRIMER TRIMESTRE]:[CUARTO TRIMESTRE]])</f>
        <v>0</v>
      </c>
      <c r="I852" s="17">
        <v>115000</v>
      </c>
      <c r="J852" s="17">
        <f t="shared" si="23"/>
        <v>0</v>
      </c>
      <c r="K852" s="17"/>
      <c r="L852" s="16" t="s">
        <v>18</v>
      </c>
      <c r="M852" s="16" t="s">
        <v>22</v>
      </c>
      <c r="N852" s="39"/>
    </row>
    <row r="853" spans="1:14" s="12" customFormat="1" ht="18">
      <c r="A853" s="178" t="s">
        <v>97</v>
      </c>
      <c r="B853" s="75" t="s">
        <v>1256</v>
      </c>
      <c r="C853" s="39" t="s">
        <v>17</v>
      </c>
      <c r="D853" s="236"/>
      <c r="E853" s="236"/>
      <c r="F853" s="236"/>
      <c r="G853" s="236"/>
      <c r="H853" s="40">
        <f>SUM(Tabla132112419[[#This Row],[PRIMER TRIMESTRE]:[CUARTO TRIMESTRE]])</f>
        <v>0</v>
      </c>
      <c r="I853" s="17">
        <v>100000</v>
      </c>
      <c r="J853" s="17">
        <f t="shared" si="23"/>
        <v>0</v>
      </c>
      <c r="K853" s="17"/>
      <c r="L853" s="16" t="s">
        <v>18</v>
      </c>
      <c r="M853" s="16" t="s">
        <v>22</v>
      </c>
      <c r="N853" s="39"/>
    </row>
    <row r="854" spans="1:14" s="12" customFormat="1" ht="18">
      <c r="A854" s="178" t="s">
        <v>97</v>
      </c>
      <c r="B854" s="75" t="s">
        <v>1257</v>
      </c>
      <c r="C854" s="39" t="s">
        <v>17</v>
      </c>
      <c r="D854" s="236"/>
      <c r="E854" s="236"/>
      <c r="F854" s="236"/>
      <c r="G854" s="236"/>
      <c r="H854" s="40">
        <f>SUM(Tabla132112419[[#This Row],[PRIMER TRIMESTRE]:[CUARTO TRIMESTRE]])</f>
        <v>0</v>
      </c>
      <c r="I854" s="17">
        <v>80000</v>
      </c>
      <c r="J854" s="17">
        <f t="shared" si="23"/>
        <v>0</v>
      </c>
      <c r="K854" s="17"/>
      <c r="L854" s="16" t="s">
        <v>18</v>
      </c>
      <c r="M854" s="16" t="s">
        <v>22</v>
      </c>
      <c r="N854" s="39"/>
    </row>
    <row r="855" spans="1:14" s="12" customFormat="1" ht="18">
      <c r="A855" s="178" t="s">
        <v>97</v>
      </c>
      <c r="B855" s="75" t="s">
        <v>1258</v>
      </c>
      <c r="C855" s="39" t="s">
        <v>17</v>
      </c>
      <c r="D855" s="236"/>
      <c r="E855" s="236"/>
      <c r="F855" s="236"/>
      <c r="G855" s="236"/>
      <c r="H855" s="40">
        <f>SUM(Tabla132112419[[#This Row],[PRIMER TRIMESTRE]:[CUARTO TRIMESTRE]])</f>
        <v>0</v>
      </c>
      <c r="I855" s="17">
        <v>65000</v>
      </c>
      <c r="J855" s="17">
        <f t="shared" si="23"/>
        <v>0</v>
      </c>
      <c r="K855" s="17"/>
      <c r="L855" s="16" t="s">
        <v>18</v>
      </c>
      <c r="M855" s="16" t="s">
        <v>22</v>
      </c>
      <c r="N855" s="39"/>
    </row>
    <row r="856" spans="1:14" s="12" customFormat="1" ht="18">
      <c r="A856" s="178" t="s">
        <v>97</v>
      </c>
      <c r="B856" s="75" t="s">
        <v>1259</v>
      </c>
      <c r="C856" s="39" t="s">
        <v>17</v>
      </c>
      <c r="D856" s="236"/>
      <c r="E856" s="236"/>
      <c r="F856" s="236"/>
      <c r="G856" s="236"/>
      <c r="H856" s="40">
        <f>SUM(Tabla132112419[[#This Row],[PRIMER TRIMESTRE]:[CUARTO TRIMESTRE]])</f>
        <v>0</v>
      </c>
      <c r="I856" s="17">
        <v>50000</v>
      </c>
      <c r="J856" s="17">
        <f t="shared" si="23"/>
        <v>0</v>
      </c>
      <c r="K856" s="17"/>
      <c r="L856" s="16" t="s">
        <v>18</v>
      </c>
      <c r="M856" s="16" t="s">
        <v>22</v>
      </c>
      <c r="N856" s="39"/>
    </row>
    <row r="857" spans="1:14" s="12" customFormat="1" ht="18">
      <c r="A857" s="178" t="s">
        <v>97</v>
      </c>
      <c r="B857" s="75" t="s">
        <v>1260</v>
      </c>
      <c r="C857" s="39" t="s">
        <v>17</v>
      </c>
      <c r="D857" s="236"/>
      <c r="E857" s="236"/>
      <c r="F857" s="236"/>
      <c r="G857" s="236"/>
      <c r="H857" s="40">
        <f>SUM(Tabla132112419[[#This Row],[PRIMER TRIMESTRE]:[CUARTO TRIMESTRE]])</f>
        <v>0</v>
      </c>
      <c r="I857" s="17">
        <v>45000</v>
      </c>
      <c r="J857" s="17">
        <f t="shared" si="23"/>
        <v>0</v>
      </c>
      <c r="K857" s="17"/>
      <c r="L857" s="16" t="s">
        <v>18</v>
      </c>
      <c r="M857" s="16" t="s">
        <v>22</v>
      </c>
      <c r="N857" s="39"/>
    </row>
    <row r="858" spans="1:14" s="12" customFormat="1" ht="18">
      <c r="A858" s="178" t="s">
        <v>97</v>
      </c>
      <c r="B858" s="75" t="s">
        <v>1261</v>
      </c>
      <c r="C858" s="39" t="s">
        <v>17</v>
      </c>
      <c r="D858" s="236"/>
      <c r="E858" s="236"/>
      <c r="F858" s="236"/>
      <c r="G858" s="236"/>
      <c r="H858" s="40">
        <f>SUM(Tabla132112419[[#This Row],[PRIMER TRIMESTRE]:[CUARTO TRIMESTRE]])</f>
        <v>0</v>
      </c>
      <c r="I858" s="17">
        <v>40000</v>
      </c>
      <c r="J858" s="17">
        <f t="shared" si="23"/>
        <v>0</v>
      </c>
      <c r="K858" s="17"/>
      <c r="L858" s="16" t="s">
        <v>18</v>
      </c>
      <c r="M858" s="16" t="s">
        <v>22</v>
      </c>
      <c r="N858" s="39"/>
    </row>
    <row r="859" spans="1:14" s="12" customFormat="1" ht="18">
      <c r="A859" s="178" t="s">
        <v>97</v>
      </c>
      <c r="B859" s="75" t="s">
        <v>1262</v>
      </c>
      <c r="C859" s="39" t="s">
        <v>17</v>
      </c>
      <c r="D859" s="236"/>
      <c r="E859" s="236"/>
      <c r="F859" s="236"/>
      <c r="G859" s="236"/>
      <c r="H859" s="40">
        <f>SUM(Tabla132112419[[#This Row],[PRIMER TRIMESTRE]:[CUARTO TRIMESTRE]])</f>
        <v>0</v>
      </c>
      <c r="I859" s="17">
        <v>30000</v>
      </c>
      <c r="J859" s="17">
        <f t="shared" si="23"/>
        <v>0</v>
      </c>
      <c r="K859" s="17"/>
      <c r="L859" s="16" t="s">
        <v>18</v>
      </c>
      <c r="M859" s="16" t="s">
        <v>22</v>
      </c>
      <c r="N859" s="39"/>
    </row>
    <row r="860" spans="1:14" s="12" customFormat="1" ht="18">
      <c r="A860" s="178" t="s">
        <v>97</v>
      </c>
      <c r="B860" s="75" t="s">
        <v>1263</v>
      </c>
      <c r="C860" s="39" t="s">
        <v>17</v>
      </c>
      <c r="D860" s="236"/>
      <c r="E860" s="236"/>
      <c r="F860" s="236"/>
      <c r="G860" s="236"/>
      <c r="H860" s="40">
        <f>SUM(Tabla132112419[[#This Row],[PRIMER TRIMESTRE]:[CUARTO TRIMESTRE]])</f>
        <v>0</v>
      </c>
      <c r="I860" s="17">
        <v>26000</v>
      </c>
      <c r="J860" s="17">
        <f t="shared" si="23"/>
        <v>0</v>
      </c>
      <c r="K860" s="17"/>
      <c r="L860" s="16" t="s">
        <v>18</v>
      </c>
      <c r="M860" s="16" t="s">
        <v>22</v>
      </c>
      <c r="N860" s="39"/>
    </row>
    <row r="861" spans="1:14" s="12" customFormat="1" ht="18">
      <c r="A861" s="178" t="s">
        <v>97</v>
      </c>
      <c r="B861" s="75" t="s">
        <v>1264</v>
      </c>
      <c r="C861" s="39" t="s">
        <v>17</v>
      </c>
      <c r="D861" s="236"/>
      <c r="E861" s="236"/>
      <c r="F861" s="236"/>
      <c r="G861" s="236"/>
      <c r="H861" s="40">
        <f>SUM(Tabla132112419[[#This Row],[PRIMER TRIMESTRE]:[CUARTO TRIMESTRE]])</f>
        <v>0</v>
      </c>
      <c r="I861" s="17">
        <v>24000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</row>
    <row r="862" spans="1:14" s="12" customFormat="1" ht="18">
      <c r="A862" s="178" t="s">
        <v>97</v>
      </c>
      <c r="B862" s="75" t="s">
        <v>1265</v>
      </c>
      <c r="C862" s="39" t="s">
        <v>17</v>
      </c>
      <c r="D862" s="236"/>
      <c r="E862" s="236"/>
      <c r="F862" s="236"/>
      <c r="G862" s="236"/>
      <c r="H862" s="40">
        <f>SUM(Tabla132112419[[#This Row],[PRIMER TRIMESTRE]:[CUARTO TRIMESTRE]])</f>
        <v>0</v>
      </c>
      <c r="I862" s="17">
        <v>20000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</row>
    <row r="863" spans="1:14" s="12" customFormat="1" ht="18">
      <c r="A863" s="178" t="s">
        <v>97</v>
      </c>
      <c r="B863" s="75" t="s">
        <v>1266</v>
      </c>
      <c r="C863" s="39" t="s">
        <v>17</v>
      </c>
      <c r="D863" s="236"/>
      <c r="E863" s="236"/>
      <c r="F863" s="236"/>
      <c r="G863" s="236"/>
      <c r="H863" s="40">
        <f>SUM(Tabla132112419[[#This Row],[PRIMER TRIMESTRE]:[CUARTO TRIMESTRE]])</f>
        <v>0</v>
      </c>
      <c r="I863" s="17">
        <v>18000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</row>
    <row r="864" spans="1:14" s="12" customFormat="1" ht="18">
      <c r="A864" s="178" t="s">
        <v>97</v>
      </c>
      <c r="B864" s="75" t="s">
        <v>1267</v>
      </c>
      <c r="C864" s="39" t="s">
        <v>17</v>
      </c>
      <c r="D864" s="236"/>
      <c r="E864" s="236"/>
      <c r="F864" s="236"/>
      <c r="G864" s="236"/>
      <c r="H864" s="40">
        <f>SUM(Tabla132112419[[#This Row],[PRIMER TRIMESTRE]:[CUARTO TRIMESTRE]])</f>
        <v>0</v>
      </c>
      <c r="I864" s="17">
        <v>15000</v>
      </c>
      <c r="J864" s="17">
        <f t="shared" si="23"/>
        <v>0</v>
      </c>
      <c r="K864" s="17"/>
      <c r="L864" s="16" t="s">
        <v>18</v>
      </c>
      <c r="M864" s="16" t="s">
        <v>22</v>
      </c>
      <c r="N864" s="39"/>
    </row>
    <row r="865" spans="1:14" s="12" customFormat="1" ht="30.75" customHeight="1">
      <c r="A865" s="178" t="s">
        <v>97</v>
      </c>
      <c r="B865" s="75" t="s">
        <v>1268</v>
      </c>
      <c r="C865" s="39" t="s">
        <v>17</v>
      </c>
      <c r="D865" s="236"/>
      <c r="E865" s="236"/>
      <c r="F865" s="236"/>
      <c r="G865" s="236"/>
      <c r="H865" s="40">
        <f>SUM(Tabla132112419[[#This Row],[PRIMER TRIMESTRE]:[CUARTO TRIMESTRE]])</f>
        <v>0</v>
      </c>
      <c r="I865" s="17">
        <v>61000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</row>
    <row r="866" spans="1:14" s="12" customFormat="1" ht="30.75" customHeight="1">
      <c r="A866" s="178" t="s">
        <v>97</v>
      </c>
      <c r="B866" s="75" t="s">
        <v>221</v>
      </c>
      <c r="C866" s="39" t="s">
        <v>17</v>
      </c>
      <c r="D866" s="236"/>
      <c r="E866" s="236"/>
      <c r="F866" s="236"/>
      <c r="G866" s="236"/>
      <c r="H866" s="40">
        <f>SUM(Tabla132112419[[#This Row],[PRIMER TRIMESTRE]:[CUARTO TRIMESTRE]])</f>
        <v>0</v>
      </c>
      <c r="I866" s="17">
        <v>100060.44</v>
      </c>
      <c r="J866" s="17">
        <f>+Tabla132112419[[#This Row],[CANTIDAD TOTAL]]*Tabla132112419[[#This Row],[PRECIO UNITARIO ESTIMADO]]</f>
        <v>0</v>
      </c>
      <c r="K866" s="17"/>
      <c r="L866" s="16" t="s">
        <v>18</v>
      </c>
      <c r="M866" s="16" t="s">
        <v>22</v>
      </c>
      <c r="N866" s="39"/>
    </row>
    <row r="867" spans="1:14" s="12" customFormat="1" ht="30.75" customHeight="1">
      <c r="A867" s="178" t="s">
        <v>97</v>
      </c>
      <c r="B867" s="75" t="s">
        <v>222</v>
      </c>
      <c r="C867" s="39" t="s">
        <v>17</v>
      </c>
      <c r="D867" s="236"/>
      <c r="E867" s="236"/>
      <c r="F867" s="236"/>
      <c r="G867" s="236"/>
      <c r="H867" s="40">
        <f>SUM(Tabla132112419[[#This Row],[PRIMER TRIMESTRE]:[CUARTO TRIMESTRE]])</f>
        <v>0</v>
      </c>
      <c r="I867" s="17">
        <v>327948.84999999998</v>
      </c>
      <c r="J867" s="17">
        <f>+Tabla132112419[[#This Row],[CANTIDAD TOTAL]]*Tabla132112419[[#This Row],[PRECIO UNITARIO ESTIMADO]]</f>
        <v>0</v>
      </c>
      <c r="K867" s="17"/>
      <c r="L867" s="16" t="s">
        <v>18</v>
      </c>
      <c r="M867" s="16" t="s">
        <v>22</v>
      </c>
      <c r="N867" s="39"/>
    </row>
    <row r="868" spans="1:14" s="12" customFormat="1" ht="30.75" customHeight="1">
      <c r="A868" s="178" t="s">
        <v>97</v>
      </c>
      <c r="B868" s="75" t="s">
        <v>223</v>
      </c>
      <c r="C868" s="39" t="s">
        <v>17</v>
      </c>
      <c r="D868" s="236"/>
      <c r="E868" s="236"/>
      <c r="F868" s="236"/>
      <c r="G868" s="236"/>
      <c r="H868" s="40">
        <f>SUM(Tabla132112419[[#This Row],[PRIMER TRIMESTRE]:[CUARTO TRIMESTRE]])</f>
        <v>0</v>
      </c>
      <c r="I868" s="17">
        <v>16744.599999999999</v>
      </c>
      <c r="J868" s="17">
        <f>+Tabla132112419[[#This Row],[CANTIDAD TOTAL]]*Tabla132112419[[#This Row],[PRECIO UNITARIO ESTIMADO]]</f>
        <v>0</v>
      </c>
      <c r="K868" s="17"/>
      <c r="L868" s="16" t="s">
        <v>18</v>
      </c>
      <c r="M868" s="16" t="s">
        <v>22</v>
      </c>
      <c r="N868" s="39"/>
    </row>
    <row r="869" spans="1:14" s="26" customFormat="1" ht="30.75" customHeight="1">
      <c r="A869" s="178" t="s">
        <v>97</v>
      </c>
      <c r="B869" s="75" t="s">
        <v>224</v>
      </c>
      <c r="C869" s="39" t="s">
        <v>17</v>
      </c>
      <c r="D869" s="236"/>
      <c r="E869" s="236"/>
      <c r="F869" s="236"/>
      <c r="G869" s="236"/>
      <c r="H869" s="40">
        <f>SUM(Tabla132112419[[#This Row],[PRIMER TRIMESTRE]:[CUARTO TRIMESTRE]])</f>
        <v>0</v>
      </c>
      <c r="I869" s="17">
        <v>52380.2</v>
      </c>
      <c r="J869" s="17">
        <f>+Tabla132112419[[#This Row],[CANTIDAD TOTAL]]*Tabla132112419[[#This Row],[PRECIO UNITARIO ESTIMADO]]</f>
        <v>0</v>
      </c>
      <c r="K869" s="17"/>
      <c r="L869" s="16" t="s">
        <v>18</v>
      </c>
      <c r="M869" s="16" t="s">
        <v>22</v>
      </c>
      <c r="N869" s="39"/>
    </row>
    <row r="870" spans="1:14" s="26" customFormat="1" ht="30.75" customHeight="1">
      <c r="A870" s="178" t="s">
        <v>97</v>
      </c>
      <c r="B870" s="75" t="s">
        <v>225</v>
      </c>
      <c r="C870" s="39" t="s">
        <v>17</v>
      </c>
      <c r="D870" s="236"/>
      <c r="E870" s="236"/>
      <c r="F870" s="236"/>
      <c r="G870" s="236"/>
      <c r="H870" s="40">
        <f>SUM(Tabla132112419[[#This Row],[PRIMER TRIMESTRE]:[CUARTO TRIMESTRE]])</f>
        <v>0</v>
      </c>
      <c r="I870" s="17">
        <v>99342.399999999994</v>
      </c>
      <c r="J870" s="17">
        <f>+Tabla132112419[[#This Row],[CANTIDAD TOTAL]]*Tabla132112419[[#This Row],[PRECIO UNITARIO ESTIMADO]]</f>
        <v>0</v>
      </c>
      <c r="K870" s="17"/>
      <c r="L870" s="16" t="s">
        <v>18</v>
      </c>
      <c r="M870" s="16" t="s">
        <v>22</v>
      </c>
      <c r="N870" s="39"/>
    </row>
    <row r="871" spans="1:14" s="26" customFormat="1" ht="30.75" customHeight="1">
      <c r="A871" s="179" t="s">
        <v>97</v>
      </c>
      <c r="B871" s="76"/>
      <c r="C871" s="42"/>
      <c r="D871" s="237"/>
      <c r="E871" s="237"/>
      <c r="F871" s="237"/>
      <c r="G871" s="237"/>
      <c r="H871" s="43"/>
      <c r="I871" s="24"/>
      <c r="J871" s="24"/>
      <c r="K871" s="25">
        <f>SUM(J811:J870)</f>
        <v>0</v>
      </c>
      <c r="L871" s="23"/>
      <c r="M871" s="23"/>
      <c r="N871" s="42"/>
    </row>
    <row r="872" spans="1:14" s="26" customFormat="1" ht="30.75" customHeight="1">
      <c r="A872" s="178" t="s">
        <v>948</v>
      </c>
      <c r="B872" s="75" t="s">
        <v>949</v>
      </c>
      <c r="C872" s="39" t="s">
        <v>17</v>
      </c>
      <c r="D872" s="236"/>
      <c r="E872" s="236"/>
      <c r="F872" s="236"/>
      <c r="G872" s="236"/>
      <c r="H872" s="40">
        <f>SUM(Tabla132112419[[#This Row],[PRIMER TRIMESTRE]:[CUARTO TRIMESTRE]])</f>
        <v>0</v>
      </c>
      <c r="I872" s="17">
        <v>227000</v>
      </c>
      <c r="J872" s="17">
        <f t="shared" ref="J872:J883" si="24">+H872*I872</f>
        <v>0</v>
      </c>
      <c r="K872" s="17"/>
      <c r="L872" s="16" t="s">
        <v>18</v>
      </c>
      <c r="M872" s="16" t="s">
        <v>22</v>
      </c>
      <c r="N872" s="16"/>
    </row>
    <row r="873" spans="1:14" s="26" customFormat="1" ht="30.75" customHeight="1">
      <c r="A873" s="178" t="s">
        <v>948</v>
      </c>
      <c r="B873" s="75" t="s">
        <v>950</v>
      </c>
      <c r="C873" s="39" t="s">
        <v>17</v>
      </c>
      <c r="D873" s="236"/>
      <c r="E873" s="236"/>
      <c r="F873" s="236"/>
      <c r="G873" s="236"/>
      <c r="H873" s="40">
        <f>SUM(Tabla132112419[[#This Row],[PRIMER TRIMESTRE]:[CUARTO TRIMESTRE]])</f>
        <v>0</v>
      </c>
      <c r="I873" s="17">
        <v>1118000</v>
      </c>
      <c r="J873" s="17">
        <f t="shared" si="24"/>
        <v>0</v>
      </c>
      <c r="K873" s="17"/>
      <c r="L873" s="16" t="s">
        <v>18</v>
      </c>
      <c r="M873" s="16" t="s">
        <v>22</v>
      </c>
      <c r="N873" s="16"/>
    </row>
    <row r="874" spans="1:14" s="26" customFormat="1" ht="30.75" customHeight="1">
      <c r="A874" s="178" t="s">
        <v>948</v>
      </c>
      <c r="B874" s="75" t="s">
        <v>952</v>
      </c>
      <c r="C874" s="39" t="s">
        <v>17</v>
      </c>
      <c r="D874" s="236"/>
      <c r="E874" s="236"/>
      <c r="F874" s="236"/>
      <c r="G874" s="236"/>
      <c r="H874" s="40">
        <f>SUM(Tabla132112419[[#This Row],[PRIMER TRIMESTRE]:[CUARTO TRIMESTRE]])</f>
        <v>0</v>
      </c>
      <c r="I874" s="17">
        <v>3200</v>
      </c>
      <c r="J874" s="17">
        <f t="shared" si="24"/>
        <v>0</v>
      </c>
      <c r="K874" s="17"/>
      <c r="L874" s="16" t="s">
        <v>18</v>
      </c>
      <c r="M874" s="16" t="s">
        <v>22</v>
      </c>
      <c r="N874" s="39"/>
    </row>
    <row r="875" spans="1:14" s="26" customFormat="1" ht="30.75" customHeight="1">
      <c r="A875" s="178" t="s">
        <v>948</v>
      </c>
      <c r="B875" s="75" t="s">
        <v>953</v>
      </c>
      <c r="C875" s="39" t="s">
        <v>17</v>
      </c>
      <c r="D875" s="236"/>
      <c r="E875" s="236"/>
      <c r="F875" s="236"/>
      <c r="G875" s="236"/>
      <c r="H875" s="40">
        <f>SUM(Tabla132112419[[#This Row],[PRIMER TRIMESTRE]:[CUARTO TRIMESTRE]])</f>
        <v>0</v>
      </c>
      <c r="I875" s="17">
        <v>96.7</v>
      </c>
      <c r="J875" s="17">
        <f t="shared" si="24"/>
        <v>0</v>
      </c>
      <c r="K875" s="17"/>
      <c r="L875" s="16" t="s">
        <v>18</v>
      </c>
      <c r="M875" s="16" t="s">
        <v>22</v>
      </c>
      <c r="N875" s="39"/>
    </row>
    <row r="876" spans="1:14" s="26" customFormat="1" ht="30.75" customHeight="1">
      <c r="A876" s="178" t="s">
        <v>948</v>
      </c>
      <c r="B876" s="75" t="s">
        <v>954</v>
      </c>
      <c r="C876" s="39" t="s">
        <v>17</v>
      </c>
      <c r="D876" s="236"/>
      <c r="E876" s="236"/>
      <c r="F876" s="236"/>
      <c r="G876" s="236"/>
      <c r="H876" s="40">
        <f>SUM(Tabla132112419[[#This Row],[PRIMER TRIMESTRE]:[CUARTO TRIMESTRE]])</f>
        <v>0</v>
      </c>
      <c r="I876" s="17">
        <v>113850</v>
      </c>
      <c r="J876" s="17">
        <f t="shared" si="24"/>
        <v>0</v>
      </c>
      <c r="K876" s="17"/>
      <c r="L876" s="16" t="s">
        <v>18</v>
      </c>
      <c r="M876" s="16" t="s">
        <v>22</v>
      </c>
      <c r="N876" s="39"/>
    </row>
    <row r="877" spans="1:14" s="26" customFormat="1" ht="30.75" customHeight="1">
      <c r="A877" s="178" t="s">
        <v>948</v>
      </c>
      <c r="B877" s="75" t="s">
        <v>955</v>
      </c>
      <c r="C877" s="39" t="s">
        <v>17</v>
      </c>
      <c r="D877" s="236"/>
      <c r="E877" s="236"/>
      <c r="F877" s="236"/>
      <c r="G877" s="236"/>
      <c r="H877" s="40">
        <f>SUM(Tabla132112419[[#This Row],[PRIMER TRIMESTRE]:[CUARTO TRIMESTRE]])</f>
        <v>0</v>
      </c>
      <c r="I877" s="17">
        <v>57914</v>
      </c>
      <c r="J877" s="17">
        <f t="shared" si="24"/>
        <v>0</v>
      </c>
      <c r="K877" s="17"/>
      <c r="L877" s="16" t="s">
        <v>18</v>
      </c>
      <c r="M877" s="16" t="s">
        <v>22</v>
      </c>
      <c r="N877" s="39"/>
    </row>
    <row r="878" spans="1:14" s="26" customFormat="1" ht="30.75" customHeight="1">
      <c r="A878" s="178" t="s">
        <v>948</v>
      </c>
      <c r="B878" s="75" t="s">
        <v>956</v>
      </c>
      <c r="C878" s="39" t="s">
        <v>17</v>
      </c>
      <c r="D878" s="236"/>
      <c r="E878" s="236"/>
      <c r="F878" s="236"/>
      <c r="G878" s="236"/>
      <c r="H878" s="40">
        <f>SUM(Tabla132112419[[#This Row],[PRIMER TRIMESTRE]:[CUARTO TRIMESTRE]])</f>
        <v>0</v>
      </c>
      <c r="I878" s="17">
        <v>908000</v>
      </c>
      <c r="J878" s="17">
        <f t="shared" si="24"/>
        <v>0</v>
      </c>
      <c r="K878" s="17"/>
      <c r="L878" s="16" t="s">
        <v>18</v>
      </c>
      <c r="M878" s="16" t="s">
        <v>22</v>
      </c>
      <c r="N878" s="39"/>
    </row>
    <row r="879" spans="1:14" s="26" customFormat="1" ht="30.75" customHeight="1">
      <c r="A879" s="178" t="s">
        <v>948</v>
      </c>
      <c r="B879" s="75" t="s">
        <v>957</v>
      </c>
      <c r="C879" s="39" t="s">
        <v>17</v>
      </c>
      <c r="D879" s="236"/>
      <c r="E879" s="236"/>
      <c r="F879" s="236"/>
      <c r="G879" s="236"/>
      <c r="H879" s="40">
        <f>SUM(Tabla132112419[[#This Row],[PRIMER TRIMESTRE]:[CUARTO TRIMESTRE]])</f>
        <v>0</v>
      </c>
      <c r="I879" s="17">
        <v>10000</v>
      </c>
      <c r="J879" s="17">
        <f t="shared" si="24"/>
        <v>0</v>
      </c>
      <c r="K879" s="17"/>
      <c r="L879" s="16" t="s">
        <v>18</v>
      </c>
      <c r="M879" s="16" t="s">
        <v>22</v>
      </c>
      <c r="N879" s="39"/>
    </row>
    <row r="880" spans="1:14" s="26" customFormat="1" ht="30.75" customHeight="1">
      <c r="A880" s="178" t="s">
        <v>948</v>
      </c>
      <c r="B880" s="75" t="s">
        <v>958</v>
      </c>
      <c r="C880" s="39" t="s">
        <v>17</v>
      </c>
      <c r="D880" s="236"/>
      <c r="E880" s="236"/>
      <c r="F880" s="236"/>
      <c r="G880" s="236"/>
      <c r="H880" s="40">
        <f>SUM(Tabla132112419[[#This Row],[PRIMER TRIMESTRE]:[CUARTO TRIMESTRE]])</f>
        <v>0</v>
      </c>
      <c r="I880" s="17">
        <v>37500</v>
      </c>
      <c r="J880" s="17">
        <f t="shared" si="24"/>
        <v>0</v>
      </c>
      <c r="K880" s="17"/>
      <c r="L880" s="16" t="s">
        <v>18</v>
      </c>
      <c r="M880" s="16" t="s">
        <v>22</v>
      </c>
      <c r="N880" s="39"/>
    </row>
    <row r="881" spans="1:14" s="26" customFormat="1" ht="30.75" customHeight="1">
      <c r="A881" s="178" t="s">
        <v>948</v>
      </c>
      <c r="B881" s="75" t="s">
        <v>951</v>
      </c>
      <c r="C881" s="39" t="s">
        <v>17</v>
      </c>
      <c r="D881" s="236"/>
      <c r="E881" s="236"/>
      <c r="F881" s="236"/>
      <c r="G881" s="236"/>
      <c r="H881" s="40">
        <f>SUM(Tabla132112419[[#This Row],[PRIMER TRIMESTRE]:[CUARTO TRIMESTRE]])</f>
        <v>0</v>
      </c>
      <c r="I881" s="17">
        <v>120</v>
      </c>
      <c r="J881" s="17">
        <f t="shared" si="24"/>
        <v>0</v>
      </c>
      <c r="K881" s="17"/>
      <c r="L881" s="16" t="s">
        <v>18</v>
      </c>
      <c r="M881" s="16" t="s">
        <v>22</v>
      </c>
      <c r="N881" s="39"/>
    </row>
    <row r="882" spans="1:14" s="26" customFormat="1" ht="30.75" customHeight="1">
      <c r="A882" s="178" t="s">
        <v>948</v>
      </c>
      <c r="B882" s="75" t="s">
        <v>959</v>
      </c>
      <c r="C882" s="39" t="s">
        <v>17</v>
      </c>
      <c r="D882" s="236"/>
      <c r="E882" s="236"/>
      <c r="F882" s="236"/>
      <c r="G882" s="236"/>
      <c r="H882" s="40">
        <f>SUM(Tabla132112419[[#This Row],[PRIMER TRIMESTRE]:[CUARTO TRIMESTRE]])</f>
        <v>0</v>
      </c>
      <c r="I882" s="17">
        <v>2627</v>
      </c>
      <c r="J882" s="17">
        <f t="shared" si="24"/>
        <v>0</v>
      </c>
      <c r="K882" s="17"/>
      <c r="L882" s="16" t="s">
        <v>18</v>
      </c>
      <c r="M882" s="16" t="s">
        <v>22</v>
      </c>
      <c r="N882" s="39"/>
    </row>
    <row r="883" spans="1:14" s="12" customFormat="1" ht="30.75" customHeight="1">
      <c r="A883" s="178" t="s">
        <v>948</v>
      </c>
      <c r="B883" s="75" t="s">
        <v>963</v>
      </c>
      <c r="C883" s="39" t="s">
        <v>17</v>
      </c>
      <c r="D883" s="236"/>
      <c r="E883" s="236"/>
      <c r="F883" s="236"/>
      <c r="G883" s="236"/>
      <c r="H883" s="40">
        <f>SUM(Tabla132112419[[#This Row],[PRIMER TRIMESTRE]:[CUARTO TRIMESTRE]])</f>
        <v>0</v>
      </c>
      <c r="I883" s="17">
        <v>2552.54</v>
      </c>
      <c r="J883" s="17">
        <f t="shared" si="24"/>
        <v>0</v>
      </c>
      <c r="K883" s="17"/>
      <c r="L883" s="16" t="s">
        <v>18</v>
      </c>
      <c r="M883" s="16" t="s">
        <v>22</v>
      </c>
      <c r="N883" s="39"/>
    </row>
    <row r="884" spans="1:14" s="12" customFormat="1" ht="30.75" customHeight="1">
      <c r="A884" s="179" t="s">
        <v>948</v>
      </c>
      <c r="B884" s="76"/>
      <c r="C884" s="42"/>
      <c r="D884" s="237"/>
      <c r="E884" s="237"/>
      <c r="F884" s="237"/>
      <c r="G884" s="237"/>
      <c r="H884" s="42"/>
      <c r="I884" s="42"/>
      <c r="J884" s="42"/>
      <c r="K884" s="25">
        <f>SUM(J872:J883)</f>
        <v>0</v>
      </c>
      <c r="L884" s="23"/>
      <c r="M884" s="23"/>
      <c r="N884" s="42"/>
    </row>
    <row r="885" spans="1:14" s="12" customFormat="1" ht="30.75" customHeight="1">
      <c r="A885" s="178" t="s">
        <v>99</v>
      </c>
      <c r="B885" s="75" t="s">
        <v>1856</v>
      </c>
      <c r="C885" s="176" t="s">
        <v>17</v>
      </c>
      <c r="D885" s="75"/>
      <c r="E885" s="75"/>
      <c r="F885" s="75"/>
      <c r="G885" s="75"/>
      <c r="H885" s="75">
        <v>0</v>
      </c>
      <c r="I885" s="75">
        <v>0</v>
      </c>
      <c r="J885" s="75">
        <v>0</v>
      </c>
      <c r="K885" s="75"/>
      <c r="L885" s="16" t="s">
        <v>18</v>
      </c>
      <c r="M885" s="16" t="s">
        <v>22</v>
      </c>
      <c r="N885" s="39" t="s">
        <v>418</v>
      </c>
    </row>
    <row r="886" spans="1:14" s="12" customFormat="1" ht="37.5" customHeight="1">
      <c r="A886" s="178" t="s">
        <v>99</v>
      </c>
      <c r="B886" s="75" t="s">
        <v>1857</v>
      </c>
      <c r="C886" s="176" t="s">
        <v>17</v>
      </c>
      <c r="D886" s="178"/>
      <c r="E886" s="178"/>
      <c r="F886" s="178"/>
      <c r="G886" s="178"/>
      <c r="H886" s="178">
        <v>0</v>
      </c>
      <c r="I886" s="178">
        <v>0</v>
      </c>
      <c r="J886" s="178">
        <v>0</v>
      </c>
      <c r="K886" s="178"/>
      <c r="L886" s="16" t="s">
        <v>18</v>
      </c>
      <c r="M886" s="16" t="s">
        <v>22</v>
      </c>
      <c r="N886" s="39" t="s">
        <v>418</v>
      </c>
    </row>
    <row r="887" spans="1:14" s="12" customFormat="1" ht="30.75" customHeight="1">
      <c r="A887" s="178" t="s">
        <v>99</v>
      </c>
      <c r="B887" s="75" t="s">
        <v>1858</v>
      </c>
      <c r="C887" s="176" t="s">
        <v>17</v>
      </c>
      <c r="D887" s="75"/>
      <c r="E887" s="75"/>
      <c r="F887" s="75"/>
      <c r="G887" s="75"/>
      <c r="H887" s="75">
        <v>0</v>
      </c>
      <c r="I887" s="75">
        <v>0</v>
      </c>
      <c r="J887" s="75">
        <v>0</v>
      </c>
      <c r="K887" s="75"/>
      <c r="L887" s="16" t="s">
        <v>18</v>
      </c>
      <c r="M887" s="16" t="s">
        <v>22</v>
      </c>
      <c r="N887" s="39" t="s">
        <v>418</v>
      </c>
    </row>
    <row r="888" spans="1:14" s="12" customFormat="1" ht="30.75" customHeight="1">
      <c r="A888" s="178" t="s">
        <v>99</v>
      </c>
      <c r="B888" s="75" t="s">
        <v>1859</v>
      </c>
      <c r="C888" s="176" t="s">
        <v>290</v>
      </c>
      <c r="D888" s="75"/>
      <c r="E888" s="75"/>
      <c r="F888" s="75"/>
      <c r="G888" s="75"/>
      <c r="H888" s="75">
        <v>0</v>
      </c>
      <c r="I888" s="75">
        <v>0</v>
      </c>
      <c r="J888" s="75">
        <v>0</v>
      </c>
      <c r="K888" s="75"/>
      <c r="L888" s="16" t="s">
        <v>18</v>
      </c>
      <c r="M888" s="16" t="s">
        <v>22</v>
      </c>
      <c r="N888" s="39" t="s">
        <v>418</v>
      </c>
    </row>
    <row r="889" spans="1:14" s="12" customFormat="1" ht="30.75" customHeight="1">
      <c r="A889" s="178" t="s">
        <v>99</v>
      </c>
      <c r="B889" s="75" t="s">
        <v>1650</v>
      </c>
      <c r="C889" s="176" t="s">
        <v>290</v>
      </c>
      <c r="D889" s="75"/>
      <c r="E889" s="75"/>
      <c r="F889" s="75"/>
      <c r="G889" s="75"/>
      <c r="H889" s="75">
        <v>0</v>
      </c>
      <c r="I889" s="75">
        <v>0</v>
      </c>
      <c r="J889" s="75">
        <v>0</v>
      </c>
      <c r="K889" s="75"/>
      <c r="L889" s="16" t="s">
        <v>18</v>
      </c>
      <c r="M889" s="16" t="s">
        <v>22</v>
      </c>
      <c r="N889" s="39" t="s">
        <v>418</v>
      </c>
    </row>
    <row r="890" spans="1:14" s="12" customFormat="1" ht="30.75" customHeight="1">
      <c r="A890" s="178" t="s">
        <v>99</v>
      </c>
      <c r="B890" s="75" t="s">
        <v>306</v>
      </c>
      <c r="C890" s="39" t="s">
        <v>33</v>
      </c>
      <c r="D890" s="236"/>
      <c r="E890" s="236"/>
      <c r="F890" s="236"/>
      <c r="G890" s="236"/>
      <c r="H890" s="40">
        <f>SUM(Tabla132112419[[#This Row],[PRIMER TRIMESTRE]:[CUARTO TRIMESTRE]])</f>
        <v>0</v>
      </c>
      <c r="I890" s="17">
        <v>260</v>
      </c>
      <c r="J890" s="17">
        <f>+Tabla132112419[[#This Row],[CANTIDAD TOTAL]]*Tabla132112419[[#This Row],[PRECIO UNITARIO ESTIMADO]]</f>
        <v>0</v>
      </c>
      <c r="K890" s="17"/>
      <c r="L890" s="16" t="s">
        <v>18</v>
      </c>
      <c r="M890" s="16" t="s">
        <v>22</v>
      </c>
      <c r="N890" s="39" t="s">
        <v>418</v>
      </c>
    </row>
    <row r="891" spans="1:14" s="12" customFormat="1" ht="30.75" customHeight="1">
      <c r="A891" s="178" t="s">
        <v>99</v>
      </c>
      <c r="B891" s="75" t="s">
        <v>307</v>
      </c>
      <c r="C891" s="39" t="s">
        <v>308</v>
      </c>
      <c r="D891" s="236"/>
      <c r="E891" s="236"/>
      <c r="F891" s="236"/>
      <c r="G891" s="236"/>
      <c r="H891" s="40">
        <f>SUM(Tabla132112419[[#This Row],[PRIMER TRIMESTRE]:[CUARTO TRIMESTRE]])</f>
        <v>0</v>
      </c>
      <c r="I891" s="17">
        <v>1237.82</v>
      </c>
      <c r="J891" s="17">
        <f>+Tabla132112419[[#This Row],[CANTIDAD TOTAL]]*Tabla132112419[[#This Row],[PRECIO UNITARIO ESTIMADO]]</f>
        <v>0</v>
      </c>
      <c r="K891" s="17"/>
      <c r="L891" s="16" t="s">
        <v>18</v>
      </c>
      <c r="M891" s="16" t="s">
        <v>22</v>
      </c>
      <c r="N891" s="39" t="s">
        <v>418</v>
      </c>
    </row>
    <row r="892" spans="1:14" s="12" customFormat="1" ht="30.75" customHeight="1">
      <c r="A892" s="178" t="s">
        <v>99</v>
      </c>
      <c r="B892" s="75" t="s">
        <v>309</v>
      </c>
      <c r="C892" s="39" t="s">
        <v>308</v>
      </c>
      <c r="D892" s="236"/>
      <c r="E892" s="236"/>
      <c r="F892" s="236"/>
      <c r="G892" s="236"/>
      <c r="H892" s="40">
        <f>SUM(Tabla132112419[[#This Row],[PRIMER TRIMESTRE]:[CUARTO TRIMESTRE]])</f>
        <v>0</v>
      </c>
      <c r="I892" s="17">
        <v>1770</v>
      </c>
      <c r="J892" s="17">
        <f>+Tabla132112419[[#This Row],[CANTIDAD TOTAL]]*Tabla132112419[[#This Row],[PRECIO UNITARIO ESTIMADO]]</f>
        <v>0</v>
      </c>
      <c r="K892" s="17"/>
      <c r="L892" s="16" t="s">
        <v>18</v>
      </c>
      <c r="M892" s="16" t="s">
        <v>22</v>
      </c>
      <c r="N892" s="39" t="s">
        <v>418</v>
      </c>
    </row>
    <row r="893" spans="1:14" s="12" customFormat="1" ht="30.75" customHeight="1">
      <c r="A893" s="178" t="s">
        <v>99</v>
      </c>
      <c r="B893" s="75" t="s">
        <v>230</v>
      </c>
      <c r="C893" s="39" t="s">
        <v>17</v>
      </c>
      <c r="D893" s="236"/>
      <c r="E893" s="236"/>
      <c r="F893" s="236"/>
      <c r="G893" s="236"/>
      <c r="H893" s="40">
        <f>SUM(Tabla132112419[[#This Row],[PRIMER TRIMESTRE]:[CUARTO TRIMESTRE]])</f>
        <v>0</v>
      </c>
      <c r="I893" s="17">
        <v>1740</v>
      </c>
      <c r="J893" s="17">
        <f>+Tabla132112419[[#This Row],[CANTIDAD TOTAL]]*Tabla132112419[[#This Row],[PRECIO UNITARIO ESTIMADO]]</f>
        <v>0</v>
      </c>
      <c r="K893" s="17"/>
      <c r="L893" s="16" t="s">
        <v>18</v>
      </c>
      <c r="M893" s="16" t="s">
        <v>22</v>
      </c>
      <c r="N893" s="39" t="s">
        <v>418</v>
      </c>
    </row>
    <row r="894" spans="1:14" s="12" customFormat="1" ht="30.75" customHeight="1">
      <c r="A894" s="178" t="s">
        <v>99</v>
      </c>
      <c r="B894" s="75" t="s">
        <v>310</v>
      </c>
      <c r="C894" s="39" t="s">
        <v>308</v>
      </c>
      <c r="D894" s="236"/>
      <c r="E894" s="236"/>
      <c r="F894" s="236"/>
      <c r="G894" s="236"/>
      <c r="H894" s="40">
        <f>SUM(Tabla132112419[[#This Row],[PRIMER TRIMESTRE]:[CUARTO TRIMESTRE]])</f>
        <v>0</v>
      </c>
      <c r="I894" s="17">
        <v>1298</v>
      </c>
      <c r="J894" s="17">
        <f>+Tabla132112419[[#This Row],[CANTIDAD TOTAL]]*Tabla132112419[[#This Row],[PRECIO UNITARIO ESTIMADO]]</f>
        <v>0</v>
      </c>
      <c r="K894" s="17"/>
      <c r="L894" s="16" t="s">
        <v>18</v>
      </c>
      <c r="M894" s="16" t="s">
        <v>22</v>
      </c>
      <c r="N894" s="39" t="s">
        <v>418</v>
      </c>
    </row>
    <row r="895" spans="1:14" s="12" customFormat="1" ht="30.75" customHeight="1">
      <c r="A895" s="178" t="s">
        <v>99</v>
      </c>
      <c r="B895" s="75" t="s">
        <v>311</v>
      </c>
      <c r="C895" s="39" t="s">
        <v>312</v>
      </c>
      <c r="D895" s="236"/>
      <c r="E895" s="236"/>
      <c r="F895" s="236"/>
      <c r="G895" s="236"/>
      <c r="H895" s="40">
        <f>SUM(Tabla132112419[[#This Row],[PRIMER TRIMESTRE]:[CUARTO TRIMESTRE]])</f>
        <v>0</v>
      </c>
      <c r="I895" s="17">
        <v>3418.58</v>
      </c>
      <c r="J895" s="17">
        <f>+Tabla132112419[[#This Row],[CANTIDAD TOTAL]]*Tabla132112419[[#This Row],[PRECIO UNITARIO ESTIMADO]]</f>
        <v>0</v>
      </c>
      <c r="K895" s="17"/>
      <c r="L895" s="16" t="s">
        <v>18</v>
      </c>
      <c r="M895" s="16" t="s">
        <v>22</v>
      </c>
      <c r="N895" s="39" t="s">
        <v>418</v>
      </c>
    </row>
    <row r="896" spans="1:14" s="12" customFormat="1" ht="30.75" customHeight="1">
      <c r="A896" s="178" t="s">
        <v>99</v>
      </c>
      <c r="B896" s="75" t="s">
        <v>314</v>
      </c>
      <c r="C896" s="39" t="s">
        <v>315</v>
      </c>
      <c r="D896" s="236"/>
      <c r="E896" s="236"/>
      <c r="F896" s="236"/>
      <c r="G896" s="236"/>
      <c r="H896" s="40">
        <f>SUM(Tabla132112419[[#This Row],[PRIMER TRIMESTRE]:[CUARTO TRIMESTRE]])</f>
        <v>0</v>
      </c>
      <c r="I896" s="17">
        <v>1569.4</v>
      </c>
      <c r="J896" s="17">
        <f>+Tabla132112419[[#This Row],[CANTIDAD TOTAL]]*Tabla132112419[[#This Row],[PRECIO UNITARIO ESTIMADO]]</f>
        <v>0</v>
      </c>
      <c r="K896" s="17"/>
      <c r="L896" s="16" t="s">
        <v>18</v>
      </c>
      <c r="M896" s="16" t="s">
        <v>22</v>
      </c>
      <c r="N896" s="39" t="s">
        <v>418</v>
      </c>
    </row>
    <row r="897" spans="1:14" s="12" customFormat="1" ht="30">
      <c r="A897" s="178" t="s">
        <v>99</v>
      </c>
      <c r="B897" s="75" t="s">
        <v>313</v>
      </c>
      <c r="C897" s="39" t="s">
        <v>308</v>
      </c>
      <c r="D897" s="236"/>
      <c r="E897" s="236"/>
      <c r="F897" s="236"/>
      <c r="G897" s="236"/>
      <c r="H897" s="40">
        <f>SUM(Tabla132112419[[#This Row],[PRIMER TRIMESTRE]:[CUARTO TRIMESTRE]])</f>
        <v>0</v>
      </c>
      <c r="I897" s="17">
        <v>3651.69</v>
      </c>
      <c r="J897" s="17">
        <f>+Tabla132112419[[#This Row],[CANTIDAD TOTAL]]*Tabla132112419[[#This Row],[PRECIO UNITARIO ESTIMADO]]</f>
        <v>0</v>
      </c>
      <c r="K897" s="17"/>
      <c r="L897" s="16" t="s">
        <v>18</v>
      </c>
      <c r="M897" s="16" t="s">
        <v>22</v>
      </c>
      <c r="N897" s="39" t="s">
        <v>418</v>
      </c>
    </row>
    <row r="898" spans="1:14" s="12" customFormat="1" ht="30">
      <c r="A898" s="178" t="s">
        <v>99</v>
      </c>
      <c r="B898" s="75" t="s">
        <v>231</v>
      </c>
      <c r="C898" s="39" t="s">
        <v>17</v>
      </c>
      <c r="D898" s="236"/>
      <c r="E898" s="236"/>
      <c r="F898" s="236"/>
      <c r="G898" s="236"/>
      <c r="H898" s="40">
        <f>SUM(Tabla132112419[[#This Row],[PRIMER TRIMESTRE]:[CUARTO TRIMESTRE]])</f>
        <v>0</v>
      </c>
      <c r="I898" s="17">
        <v>574.20000000000005</v>
      </c>
      <c r="J898" s="17">
        <f>+Tabla132112419[[#This Row],[CANTIDAD TOTAL]]*Tabla132112419[[#This Row],[PRECIO UNITARIO ESTIMADO]]</f>
        <v>0</v>
      </c>
      <c r="K898" s="17"/>
      <c r="L898" s="16" t="s">
        <v>18</v>
      </c>
      <c r="M898" s="16" t="s">
        <v>22</v>
      </c>
      <c r="N898" s="39" t="s">
        <v>418</v>
      </c>
    </row>
    <row r="899" spans="1:14" s="12" customFormat="1" ht="30">
      <c r="A899" s="178" t="s">
        <v>99</v>
      </c>
      <c r="B899" s="75" t="s">
        <v>232</v>
      </c>
      <c r="C899" s="39" t="s">
        <v>17</v>
      </c>
      <c r="D899" s="236"/>
      <c r="E899" s="236"/>
      <c r="F899" s="236"/>
      <c r="G899" s="236"/>
      <c r="H899" s="40">
        <f>SUM(Tabla132112419[[#This Row],[PRIMER TRIMESTRE]:[CUARTO TRIMESTRE]])</f>
        <v>0</v>
      </c>
      <c r="I899" s="17">
        <v>1035</v>
      </c>
      <c r="J899" s="17">
        <f>+Tabla132112419[[#This Row],[CANTIDAD TOTAL]]*Tabla132112419[[#This Row],[PRECIO UNITARIO ESTIMADO]]</f>
        <v>0</v>
      </c>
      <c r="K899" s="17"/>
      <c r="L899" s="16" t="s">
        <v>18</v>
      </c>
      <c r="M899" s="16" t="s">
        <v>22</v>
      </c>
      <c r="N899" s="39" t="s">
        <v>418</v>
      </c>
    </row>
    <row r="900" spans="1:14" s="12" customFormat="1" ht="30">
      <c r="A900" s="178" t="s">
        <v>99</v>
      </c>
      <c r="B900" s="75" t="s">
        <v>1031</v>
      </c>
      <c r="C900" s="39" t="s">
        <v>1037</v>
      </c>
      <c r="D900" s="236"/>
      <c r="E900" s="236"/>
      <c r="F900" s="236"/>
      <c r="G900" s="236"/>
      <c r="H900" s="40">
        <f>SUM(Tabla132112419[[#This Row],[PRIMER TRIMESTRE]:[CUARTO TRIMESTRE]])</f>
        <v>0</v>
      </c>
      <c r="I900" s="17">
        <v>3800</v>
      </c>
      <c r="J900" s="17">
        <f t="shared" ref="J900:J963" si="25">+H900*I900</f>
        <v>0</v>
      </c>
      <c r="K900" s="17"/>
      <c r="L900" s="16" t="s">
        <v>18</v>
      </c>
      <c r="M900" s="16" t="s">
        <v>22</v>
      </c>
      <c r="N900" s="39" t="s">
        <v>418</v>
      </c>
    </row>
    <row r="901" spans="1:14" s="12" customFormat="1" ht="30">
      <c r="A901" s="178" t="s">
        <v>99</v>
      </c>
      <c r="B901" s="75" t="s">
        <v>1032</v>
      </c>
      <c r="C901" s="39" t="s">
        <v>1037</v>
      </c>
      <c r="D901" s="236"/>
      <c r="E901" s="236"/>
      <c r="F901" s="236"/>
      <c r="G901" s="236"/>
      <c r="H901" s="40">
        <f>SUM(Tabla132112419[[#This Row],[PRIMER TRIMESTRE]:[CUARTO TRIMESTRE]])</f>
        <v>0</v>
      </c>
      <c r="I901" s="17">
        <v>11200</v>
      </c>
      <c r="J901" s="17">
        <f t="shared" si="25"/>
        <v>0</v>
      </c>
      <c r="K901" s="17"/>
      <c r="L901" s="16" t="s">
        <v>18</v>
      </c>
      <c r="M901" s="16" t="s">
        <v>22</v>
      </c>
      <c r="N901" s="39" t="s">
        <v>418</v>
      </c>
    </row>
    <row r="902" spans="1:14" s="12" customFormat="1" ht="30">
      <c r="A902" s="178" t="s">
        <v>99</v>
      </c>
      <c r="B902" s="75" t="s">
        <v>1033</v>
      </c>
      <c r="C902" s="39" t="s">
        <v>1037</v>
      </c>
      <c r="D902" s="236"/>
      <c r="E902" s="236"/>
      <c r="F902" s="236"/>
      <c r="G902" s="236"/>
      <c r="H902" s="40">
        <f>SUM(Tabla132112419[[#This Row],[PRIMER TRIMESTRE]:[CUARTO TRIMESTRE]])</f>
        <v>0</v>
      </c>
      <c r="I902" s="17">
        <v>3700</v>
      </c>
      <c r="J902" s="17">
        <f t="shared" si="25"/>
        <v>0</v>
      </c>
      <c r="K902" s="17"/>
      <c r="L902" s="16" t="s">
        <v>18</v>
      </c>
      <c r="M902" s="16" t="s">
        <v>22</v>
      </c>
      <c r="N902" s="39" t="s">
        <v>418</v>
      </c>
    </row>
    <row r="903" spans="1:14" s="12" customFormat="1" ht="30">
      <c r="A903" s="178" t="s">
        <v>99</v>
      </c>
      <c r="B903" s="75" t="s">
        <v>1034</v>
      </c>
      <c r="C903" s="39" t="s">
        <v>1037</v>
      </c>
      <c r="D903" s="236"/>
      <c r="E903" s="236"/>
      <c r="F903" s="236"/>
      <c r="G903" s="236"/>
      <c r="H903" s="40">
        <f>SUM(Tabla132112419[[#This Row],[PRIMER TRIMESTRE]:[CUARTO TRIMESTRE]])</f>
        <v>0</v>
      </c>
      <c r="I903" s="17">
        <v>4500</v>
      </c>
      <c r="J903" s="17">
        <f t="shared" si="25"/>
        <v>0</v>
      </c>
      <c r="K903" s="17"/>
      <c r="L903" s="16" t="s">
        <v>15</v>
      </c>
      <c r="M903" s="16" t="s">
        <v>22</v>
      </c>
      <c r="N903" s="39" t="s">
        <v>418</v>
      </c>
    </row>
    <row r="904" spans="1:14" s="12" customFormat="1" ht="30">
      <c r="A904" s="178" t="s">
        <v>99</v>
      </c>
      <c r="B904" s="75" t="s">
        <v>1035</v>
      </c>
      <c r="C904" s="39" t="s">
        <v>1037</v>
      </c>
      <c r="D904" s="236"/>
      <c r="E904" s="236"/>
      <c r="F904" s="236"/>
      <c r="G904" s="236"/>
      <c r="H904" s="40">
        <f>SUM(Tabla132112419[[#This Row],[PRIMER TRIMESTRE]:[CUARTO TRIMESTRE]])</f>
        <v>0</v>
      </c>
      <c r="I904" s="17">
        <v>2800</v>
      </c>
      <c r="J904" s="17">
        <f t="shared" si="25"/>
        <v>0</v>
      </c>
      <c r="K904" s="17"/>
      <c r="L904" s="16" t="s">
        <v>15</v>
      </c>
      <c r="M904" s="16" t="s">
        <v>22</v>
      </c>
      <c r="N904" s="39" t="s">
        <v>418</v>
      </c>
    </row>
    <row r="905" spans="1:14" s="12" customFormat="1" ht="30">
      <c r="A905" s="178" t="s">
        <v>99</v>
      </c>
      <c r="B905" s="75" t="s">
        <v>1036</v>
      </c>
      <c r="C905" s="39" t="s">
        <v>1037</v>
      </c>
      <c r="D905" s="236"/>
      <c r="E905" s="236"/>
      <c r="F905" s="236"/>
      <c r="G905" s="236"/>
      <c r="H905" s="40">
        <f>SUM(Tabla132112419[[#This Row],[PRIMER TRIMESTRE]:[CUARTO TRIMESTRE]])</f>
        <v>0</v>
      </c>
      <c r="I905" s="17">
        <v>3500</v>
      </c>
      <c r="J905" s="17">
        <f t="shared" si="25"/>
        <v>0</v>
      </c>
      <c r="K905" s="17"/>
      <c r="L905" s="16" t="s">
        <v>18</v>
      </c>
      <c r="M905" s="16" t="s">
        <v>22</v>
      </c>
      <c r="N905" s="39" t="s">
        <v>418</v>
      </c>
    </row>
    <row r="906" spans="1:14" s="12" customFormat="1" ht="30">
      <c r="A906" s="178" t="s">
        <v>99</v>
      </c>
      <c r="B906" s="75" t="s">
        <v>1038</v>
      </c>
      <c r="C906" s="39" t="s">
        <v>1037</v>
      </c>
      <c r="D906" s="236"/>
      <c r="E906" s="236"/>
      <c r="F906" s="236"/>
      <c r="G906" s="236"/>
      <c r="H906" s="40">
        <f>SUM(Tabla132112419[[#This Row],[PRIMER TRIMESTRE]:[CUARTO TRIMESTRE]])</f>
        <v>0</v>
      </c>
      <c r="I906" s="17">
        <v>2500</v>
      </c>
      <c r="J906" s="17">
        <f t="shared" si="25"/>
        <v>0</v>
      </c>
      <c r="K906" s="17"/>
      <c r="L906" s="16" t="s">
        <v>18</v>
      </c>
      <c r="M906" s="16" t="s">
        <v>22</v>
      </c>
      <c r="N906" s="39" t="s">
        <v>418</v>
      </c>
    </row>
    <row r="907" spans="1:14" s="12" customFormat="1" ht="30">
      <c r="A907" s="178" t="s">
        <v>99</v>
      </c>
      <c r="B907" s="75" t="s">
        <v>1039</v>
      </c>
      <c r="C907" s="39" t="s">
        <v>1037</v>
      </c>
      <c r="D907" s="236"/>
      <c r="E907" s="236"/>
      <c r="F907" s="236"/>
      <c r="G907" s="236"/>
      <c r="H907" s="40">
        <f>SUM(Tabla132112419[[#This Row],[PRIMER TRIMESTRE]:[CUARTO TRIMESTRE]])</f>
        <v>0</v>
      </c>
      <c r="I907" s="17">
        <v>3000</v>
      </c>
      <c r="J907" s="17">
        <f t="shared" si="25"/>
        <v>0</v>
      </c>
      <c r="K907" s="17"/>
      <c r="L907" s="16" t="s">
        <v>18</v>
      </c>
      <c r="M907" s="16" t="s">
        <v>22</v>
      </c>
      <c r="N907" s="39" t="s">
        <v>418</v>
      </c>
    </row>
    <row r="908" spans="1:14" s="12" customFormat="1" ht="30">
      <c r="A908" s="178" t="s">
        <v>99</v>
      </c>
      <c r="B908" s="75" t="s">
        <v>1040</v>
      </c>
      <c r="C908" s="39" t="s">
        <v>1037</v>
      </c>
      <c r="D908" s="236"/>
      <c r="E908" s="236"/>
      <c r="F908" s="236"/>
      <c r="G908" s="236"/>
      <c r="H908" s="40">
        <f>SUM(Tabla132112419[[#This Row],[PRIMER TRIMESTRE]:[CUARTO TRIMESTRE]])</f>
        <v>0</v>
      </c>
      <c r="I908" s="17">
        <v>3500</v>
      </c>
      <c r="J908" s="17">
        <f t="shared" si="25"/>
        <v>0</v>
      </c>
      <c r="K908" s="17"/>
      <c r="L908" s="16" t="s">
        <v>18</v>
      </c>
      <c r="M908" s="16" t="s">
        <v>22</v>
      </c>
      <c r="N908" s="39" t="s">
        <v>418</v>
      </c>
    </row>
    <row r="909" spans="1:14" s="12" customFormat="1" ht="30">
      <c r="A909" s="178" t="s">
        <v>99</v>
      </c>
      <c r="B909" s="75" t="s">
        <v>1041</v>
      </c>
      <c r="C909" s="39" t="s">
        <v>1037</v>
      </c>
      <c r="D909" s="236"/>
      <c r="E909" s="236"/>
      <c r="F909" s="236"/>
      <c r="G909" s="236"/>
      <c r="H909" s="40">
        <f>SUM(Tabla132112419[[#This Row],[PRIMER TRIMESTRE]:[CUARTO TRIMESTRE]])</f>
        <v>0</v>
      </c>
      <c r="I909" s="17">
        <v>4000</v>
      </c>
      <c r="J909" s="17">
        <f t="shared" si="25"/>
        <v>0</v>
      </c>
      <c r="K909" s="17"/>
      <c r="L909" s="16" t="s">
        <v>18</v>
      </c>
      <c r="M909" s="16" t="s">
        <v>22</v>
      </c>
      <c r="N909" s="39" t="s">
        <v>418</v>
      </c>
    </row>
    <row r="910" spans="1:14" s="12" customFormat="1" ht="30">
      <c r="A910" s="178" t="s">
        <v>99</v>
      </c>
      <c r="B910" s="75" t="s">
        <v>1042</v>
      </c>
      <c r="C910" s="39" t="s">
        <v>1037</v>
      </c>
      <c r="D910" s="236"/>
      <c r="E910" s="236"/>
      <c r="F910" s="236"/>
      <c r="G910" s="236"/>
      <c r="H910" s="40">
        <f>SUM(Tabla132112419[[#This Row],[PRIMER TRIMESTRE]:[CUARTO TRIMESTRE]])</f>
        <v>0</v>
      </c>
      <c r="I910" s="17">
        <v>6000</v>
      </c>
      <c r="J910" s="17">
        <f t="shared" si="25"/>
        <v>0</v>
      </c>
      <c r="K910" s="17"/>
      <c r="L910" s="16" t="s">
        <v>18</v>
      </c>
      <c r="M910" s="16" t="s">
        <v>22</v>
      </c>
      <c r="N910" s="39" t="s">
        <v>418</v>
      </c>
    </row>
    <row r="911" spans="1:14" s="12" customFormat="1" ht="30">
      <c r="A911" s="178" t="s">
        <v>99</v>
      </c>
      <c r="B911" s="75" t="s">
        <v>1043</v>
      </c>
      <c r="C911" s="39" t="s">
        <v>1037</v>
      </c>
      <c r="D911" s="236"/>
      <c r="E911" s="236"/>
      <c r="F911" s="236"/>
      <c r="G911" s="236"/>
      <c r="H911" s="40">
        <f>SUM(Tabla132112419[[#This Row],[PRIMER TRIMESTRE]:[CUARTO TRIMESTRE]])</f>
        <v>0</v>
      </c>
      <c r="I911" s="17">
        <v>3500</v>
      </c>
      <c r="J911" s="17">
        <f t="shared" si="25"/>
        <v>0</v>
      </c>
      <c r="K911" s="17"/>
      <c r="L911" s="16" t="s">
        <v>18</v>
      </c>
      <c r="M911" s="16" t="s">
        <v>22</v>
      </c>
      <c r="N911" s="39" t="s">
        <v>418</v>
      </c>
    </row>
    <row r="912" spans="1:14" s="12" customFormat="1" ht="30">
      <c r="A912" s="178" t="s">
        <v>99</v>
      </c>
      <c r="B912" s="75" t="s">
        <v>1044</v>
      </c>
      <c r="C912" s="39" t="s">
        <v>1037</v>
      </c>
      <c r="D912" s="236"/>
      <c r="E912" s="236"/>
      <c r="F912" s="236"/>
      <c r="G912" s="236"/>
      <c r="H912" s="40">
        <f>SUM(Tabla132112419[[#This Row],[PRIMER TRIMESTRE]:[CUARTO TRIMESTRE]])</f>
        <v>0</v>
      </c>
      <c r="I912" s="17">
        <v>2500</v>
      </c>
      <c r="J912" s="17">
        <f t="shared" si="25"/>
        <v>0</v>
      </c>
      <c r="K912" s="17"/>
      <c r="L912" s="16" t="s">
        <v>18</v>
      </c>
      <c r="M912" s="16" t="s">
        <v>22</v>
      </c>
      <c r="N912" s="39" t="s">
        <v>418</v>
      </c>
    </row>
    <row r="913" spans="1:14" s="12" customFormat="1" ht="30">
      <c r="A913" s="178" t="s">
        <v>99</v>
      </c>
      <c r="B913" s="75" t="s">
        <v>1045</v>
      </c>
      <c r="C913" s="39" t="s">
        <v>1037</v>
      </c>
      <c r="D913" s="236"/>
      <c r="E913" s="236"/>
      <c r="F913" s="236"/>
      <c r="G913" s="236"/>
      <c r="H913" s="40">
        <f>SUM(Tabla132112419[[#This Row],[PRIMER TRIMESTRE]:[CUARTO TRIMESTRE]])</f>
        <v>0</v>
      </c>
      <c r="I913" s="17">
        <v>2000</v>
      </c>
      <c r="J913" s="17">
        <f t="shared" si="25"/>
        <v>0</v>
      </c>
      <c r="K913" s="17"/>
      <c r="L913" s="16" t="s">
        <v>18</v>
      </c>
      <c r="M913" s="16" t="s">
        <v>22</v>
      </c>
      <c r="N913" s="39" t="s">
        <v>418</v>
      </c>
    </row>
    <row r="914" spans="1:14" s="12" customFormat="1" ht="30">
      <c r="A914" s="178" t="s">
        <v>99</v>
      </c>
      <c r="B914" s="75" t="s">
        <v>1046</v>
      </c>
      <c r="C914" s="39" t="s">
        <v>1037</v>
      </c>
      <c r="D914" s="236"/>
      <c r="E914" s="236"/>
      <c r="F914" s="236"/>
      <c r="G914" s="236"/>
      <c r="H914" s="40">
        <f>SUM(Tabla132112419[[#This Row],[PRIMER TRIMESTRE]:[CUARTO TRIMESTRE]])</f>
        <v>0</v>
      </c>
      <c r="I914" s="17">
        <v>3000</v>
      </c>
      <c r="J914" s="17">
        <f t="shared" si="25"/>
        <v>0</v>
      </c>
      <c r="K914" s="17"/>
      <c r="L914" s="16" t="s">
        <v>18</v>
      </c>
      <c r="M914" s="16" t="s">
        <v>22</v>
      </c>
      <c r="N914" s="39" t="s">
        <v>418</v>
      </c>
    </row>
    <row r="915" spans="1:14" s="12" customFormat="1" ht="30">
      <c r="A915" s="178" t="s">
        <v>99</v>
      </c>
      <c r="B915" s="75" t="s">
        <v>1047</v>
      </c>
      <c r="C915" s="39" t="s">
        <v>1037</v>
      </c>
      <c r="D915" s="236"/>
      <c r="E915" s="236"/>
      <c r="F915" s="236"/>
      <c r="G915" s="236"/>
      <c r="H915" s="40">
        <f>SUM(Tabla132112419[[#This Row],[PRIMER TRIMESTRE]:[CUARTO TRIMESTRE]])</f>
        <v>0</v>
      </c>
      <c r="I915" s="17">
        <v>3500</v>
      </c>
      <c r="J915" s="17">
        <f t="shared" si="25"/>
        <v>0</v>
      </c>
      <c r="K915" s="17"/>
      <c r="L915" s="16" t="s">
        <v>18</v>
      </c>
      <c r="M915" s="16" t="s">
        <v>22</v>
      </c>
      <c r="N915" s="39" t="s">
        <v>418</v>
      </c>
    </row>
    <row r="916" spans="1:14" s="12" customFormat="1" ht="38.25">
      <c r="A916" s="178" t="s">
        <v>99</v>
      </c>
      <c r="B916" s="75" t="s">
        <v>1048</v>
      </c>
      <c r="C916" s="39" t="s">
        <v>1063</v>
      </c>
      <c r="D916" s="236"/>
      <c r="E916" s="236"/>
      <c r="F916" s="236"/>
      <c r="G916" s="236"/>
      <c r="H916" s="40">
        <f>SUM(Tabla132112419[[#This Row],[PRIMER TRIMESTRE]:[CUARTO TRIMESTRE]])</f>
        <v>0</v>
      </c>
      <c r="I916" s="17">
        <v>3500</v>
      </c>
      <c r="J916" s="17">
        <f t="shared" si="25"/>
        <v>0</v>
      </c>
      <c r="K916" s="17"/>
      <c r="L916" s="16" t="s">
        <v>18</v>
      </c>
      <c r="M916" s="16" t="s">
        <v>22</v>
      </c>
      <c r="N916" s="39" t="s">
        <v>418</v>
      </c>
    </row>
    <row r="917" spans="1:14" s="12" customFormat="1" ht="30">
      <c r="A917" s="178" t="s">
        <v>99</v>
      </c>
      <c r="B917" s="75" t="s">
        <v>1049</v>
      </c>
      <c r="C917" s="39" t="s">
        <v>1063</v>
      </c>
      <c r="D917" s="236"/>
      <c r="E917" s="236"/>
      <c r="F917" s="236"/>
      <c r="G917" s="236"/>
      <c r="H917" s="40">
        <f>SUM(Tabla132112419[[#This Row],[PRIMER TRIMESTRE]:[CUARTO TRIMESTRE]])</f>
        <v>0</v>
      </c>
      <c r="I917" s="17">
        <v>2500</v>
      </c>
      <c r="J917" s="17">
        <f t="shared" si="25"/>
        <v>0</v>
      </c>
      <c r="K917" s="17"/>
      <c r="L917" s="16" t="s">
        <v>15</v>
      </c>
      <c r="M917" s="16" t="s">
        <v>22</v>
      </c>
      <c r="N917" s="39" t="s">
        <v>418</v>
      </c>
    </row>
    <row r="918" spans="1:14" s="12" customFormat="1" ht="30">
      <c r="A918" s="178" t="s">
        <v>99</v>
      </c>
      <c r="B918" s="75" t="s">
        <v>1050</v>
      </c>
      <c r="C918" s="39" t="s">
        <v>1063</v>
      </c>
      <c r="D918" s="236"/>
      <c r="E918" s="236"/>
      <c r="F918" s="236"/>
      <c r="G918" s="236"/>
      <c r="H918" s="40">
        <f>SUM(Tabla132112419[[#This Row],[PRIMER TRIMESTRE]:[CUARTO TRIMESTRE]])</f>
        <v>0</v>
      </c>
      <c r="I918" s="17">
        <v>2500</v>
      </c>
      <c r="J918" s="17">
        <f t="shared" si="25"/>
        <v>0</v>
      </c>
      <c r="K918" s="17"/>
      <c r="L918" s="16" t="s">
        <v>18</v>
      </c>
      <c r="M918" s="16" t="s">
        <v>22</v>
      </c>
      <c r="N918" s="39" t="s">
        <v>418</v>
      </c>
    </row>
    <row r="919" spans="1:14" s="12" customFormat="1" ht="30">
      <c r="A919" s="178" t="s">
        <v>99</v>
      </c>
      <c r="B919" s="75" t="s">
        <v>1051</v>
      </c>
      <c r="C919" s="39" t="s">
        <v>1037</v>
      </c>
      <c r="D919" s="236"/>
      <c r="E919" s="236"/>
      <c r="F919" s="236"/>
      <c r="G919" s="236"/>
      <c r="H919" s="40">
        <f>SUM(Tabla132112419[[#This Row],[PRIMER TRIMESTRE]:[CUARTO TRIMESTRE]])</f>
        <v>0</v>
      </c>
      <c r="I919" s="17">
        <v>3000</v>
      </c>
      <c r="J919" s="17">
        <f t="shared" si="25"/>
        <v>0</v>
      </c>
      <c r="K919" s="17"/>
      <c r="L919" s="16" t="s">
        <v>18</v>
      </c>
      <c r="M919" s="16" t="s">
        <v>22</v>
      </c>
      <c r="N919" s="39" t="s">
        <v>418</v>
      </c>
    </row>
    <row r="920" spans="1:14" s="12" customFormat="1" ht="30">
      <c r="A920" s="178" t="s">
        <v>99</v>
      </c>
      <c r="B920" s="75" t="s">
        <v>1052</v>
      </c>
      <c r="C920" s="39" t="s">
        <v>1064</v>
      </c>
      <c r="D920" s="236"/>
      <c r="E920" s="236"/>
      <c r="F920" s="236"/>
      <c r="G920" s="236"/>
      <c r="H920" s="40">
        <f>SUM(Tabla132112419[[#This Row],[PRIMER TRIMESTRE]:[CUARTO TRIMESTRE]])</f>
        <v>0</v>
      </c>
      <c r="I920" s="17">
        <v>2500</v>
      </c>
      <c r="J920" s="17">
        <f t="shared" si="25"/>
        <v>0</v>
      </c>
      <c r="K920" s="17"/>
      <c r="L920" s="16" t="s">
        <v>18</v>
      </c>
      <c r="M920" s="16" t="s">
        <v>22</v>
      </c>
      <c r="N920" s="39" t="s">
        <v>418</v>
      </c>
    </row>
    <row r="921" spans="1:14" s="12" customFormat="1" ht="30">
      <c r="A921" s="178" t="s">
        <v>99</v>
      </c>
      <c r="B921" s="75" t="s">
        <v>1053</v>
      </c>
      <c r="C921" s="39" t="s">
        <v>1064</v>
      </c>
      <c r="D921" s="236"/>
      <c r="E921" s="236"/>
      <c r="F921" s="236"/>
      <c r="G921" s="236"/>
      <c r="H921" s="40">
        <f>SUM(Tabla132112419[[#This Row],[PRIMER TRIMESTRE]:[CUARTO TRIMESTRE]])</f>
        <v>0</v>
      </c>
      <c r="I921" s="17">
        <v>2500</v>
      </c>
      <c r="J921" s="17">
        <f t="shared" si="25"/>
        <v>0</v>
      </c>
      <c r="K921" s="17"/>
      <c r="L921" s="16" t="s">
        <v>18</v>
      </c>
      <c r="M921" s="16" t="s">
        <v>22</v>
      </c>
      <c r="N921" s="39" t="s">
        <v>418</v>
      </c>
    </row>
    <row r="922" spans="1:14" s="12" customFormat="1" ht="30">
      <c r="A922" s="178" t="s">
        <v>99</v>
      </c>
      <c r="B922" s="75" t="s">
        <v>1054</v>
      </c>
      <c r="C922" s="39" t="s">
        <v>1064</v>
      </c>
      <c r="D922" s="236"/>
      <c r="E922" s="236"/>
      <c r="F922" s="236"/>
      <c r="G922" s="236"/>
      <c r="H922" s="40">
        <f>SUM(Tabla132112419[[#This Row],[PRIMER TRIMESTRE]:[CUARTO TRIMESTRE]])</f>
        <v>0</v>
      </c>
      <c r="I922" s="17">
        <v>2000</v>
      </c>
      <c r="J922" s="17">
        <f t="shared" si="25"/>
        <v>0</v>
      </c>
      <c r="K922" s="17"/>
      <c r="L922" s="16" t="s">
        <v>18</v>
      </c>
      <c r="M922" s="16" t="s">
        <v>22</v>
      </c>
      <c r="N922" s="39" t="s">
        <v>418</v>
      </c>
    </row>
    <row r="923" spans="1:14" s="12" customFormat="1" ht="30">
      <c r="A923" s="178" t="s">
        <v>99</v>
      </c>
      <c r="B923" s="75" t="s">
        <v>1055</v>
      </c>
      <c r="C923" s="39" t="s">
        <v>1065</v>
      </c>
      <c r="D923" s="236"/>
      <c r="E923" s="236"/>
      <c r="F923" s="236"/>
      <c r="G923" s="236"/>
      <c r="H923" s="40">
        <f>SUM(Tabla132112419[[#This Row],[PRIMER TRIMESTRE]:[CUARTO TRIMESTRE]])</f>
        <v>0</v>
      </c>
      <c r="I923" s="17">
        <v>2000</v>
      </c>
      <c r="J923" s="17">
        <f t="shared" si="25"/>
        <v>0</v>
      </c>
      <c r="K923" s="17"/>
      <c r="L923" s="16" t="s">
        <v>18</v>
      </c>
      <c r="M923" s="16" t="s">
        <v>22</v>
      </c>
      <c r="N923" s="39" t="s">
        <v>418</v>
      </c>
    </row>
    <row r="924" spans="1:14" s="12" customFormat="1" ht="30">
      <c r="A924" s="178" t="s">
        <v>99</v>
      </c>
      <c r="B924" s="75" t="s">
        <v>1056</v>
      </c>
      <c r="C924" s="39" t="s">
        <v>1065</v>
      </c>
      <c r="D924" s="236"/>
      <c r="E924" s="236"/>
      <c r="F924" s="236"/>
      <c r="G924" s="236"/>
      <c r="H924" s="40">
        <f>SUM(Tabla132112419[[#This Row],[PRIMER TRIMESTRE]:[CUARTO TRIMESTRE]])</f>
        <v>0</v>
      </c>
      <c r="I924" s="17">
        <v>2100</v>
      </c>
      <c r="J924" s="17">
        <f t="shared" si="25"/>
        <v>0</v>
      </c>
      <c r="K924" s="17"/>
      <c r="L924" s="16" t="s">
        <v>18</v>
      </c>
      <c r="M924" s="16" t="s">
        <v>22</v>
      </c>
      <c r="N924" s="39" t="s">
        <v>418</v>
      </c>
    </row>
    <row r="925" spans="1:14" s="12" customFormat="1" ht="30">
      <c r="A925" s="178" t="s">
        <v>99</v>
      </c>
      <c r="B925" s="75" t="s">
        <v>1057</v>
      </c>
      <c r="C925" s="39" t="s">
        <v>1065</v>
      </c>
      <c r="D925" s="236"/>
      <c r="E925" s="236"/>
      <c r="F925" s="236"/>
      <c r="G925" s="236"/>
      <c r="H925" s="40">
        <f>SUM(Tabla132112419[[#This Row],[PRIMER TRIMESTRE]:[CUARTO TRIMESTRE]])</f>
        <v>0</v>
      </c>
      <c r="I925" s="17">
        <v>2500</v>
      </c>
      <c r="J925" s="17">
        <f t="shared" si="25"/>
        <v>0</v>
      </c>
      <c r="K925" s="17"/>
      <c r="L925" s="16" t="s">
        <v>18</v>
      </c>
      <c r="M925" s="16" t="s">
        <v>22</v>
      </c>
      <c r="N925" s="39" t="s">
        <v>418</v>
      </c>
    </row>
    <row r="926" spans="1:14" s="12" customFormat="1" ht="30">
      <c r="A926" s="178" t="s">
        <v>99</v>
      </c>
      <c r="B926" s="75" t="s">
        <v>1058</v>
      </c>
      <c r="C926" s="39" t="s">
        <v>1065</v>
      </c>
      <c r="D926" s="236"/>
      <c r="E926" s="236"/>
      <c r="F926" s="236"/>
      <c r="G926" s="236"/>
      <c r="H926" s="40">
        <f>SUM(Tabla132112419[[#This Row],[PRIMER TRIMESTRE]:[CUARTO TRIMESTRE]])</f>
        <v>0</v>
      </c>
      <c r="I926" s="17">
        <v>2500</v>
      </c>
      <c r="J926" s="17">
        <f t="shared" si="25"/>
        <v>0</v>
      </c>
      <c r="K926" s="17"/>
      <c r="L926" s="16" t="s">
        <v>18</v>
      </c>
      <c r="M926" s="16" t="s">
        <v>22</v>
      </c>
      <c r="N926" s="39" t="s">
        <v>418</v>
      </c>
    </row>
    <row r="927" spans="1:14" s="12" customFormat="1" ht="30">
      <c r="A927" s="178" t="s">
        <v>99</v>
      </c>
      <c r="B927" s="75" t="s">
        <v>1059</v>
      </c>
      <c r="C927" s="39" t="s">
        <v>1065</v>
      </c>
      <c r="D927" s="236"/>
      <c r="E927" s="236"/>
      <c r="F927" s="236"/>
      <c r="G927" s="236"/>
      <c r="H927" s="40">
        <f>SUM(Tabla132112419[[#This Row],[PRIMER TRIMESTRE]:[CUARTO TRIMESTRE]])</f>
        <v>0</v>
      </c>
      <c r="I927" s="17">
        <v>2500</v>
      </c>
      <c r="J927" s="17">
        <f t="shared" si="25"/>
        <v>0</v>
      </c>
      <c r="K927" s="17"/>
      <c r="L927" s="16" t="s">
        <v>18</v>
      </c>
      <c r="M927" s="16" t="s">
        <v>22</v>
      </c>
      <c r="N927" s="39" t="s">
        <v>418</v>
      </c>
    </row>
    <row r="928" spans="1:14" s="12" customFormat="1" ht="30">
      <c r="A928" s="178" t="s">
        <v>99</v>
      </c>
      <c r="B928" s="75" t="s">
        <v>1060</v>
      </c>
      <c r="C928" s="39" t="s">
        <v>1065</v>
      </c>
      <c r="D928" s="236"/>
      <c r="E928" s="236"/>
      <c r="F928" s="236"/>
      <c r="G928" s="236"/>
      <c r="H928" s="40">
        <f>SUM(Tabla132112419[[#This Row],[PRIMER TRIMESTRE]:[CUARTO TRIMESTRE]])</f>
        <v>0</v>
      </c>
      <c r="I928" s="17">
        <v>4000</v>
      </c>
      <c r="J928" s="17">
        <f t="shared" si="25"/>
        <v>0</v>
      </c>
      <c r="K928" s="17"/>
      <c r="L928" s="16" t="s">
        <v>18</v>
      </c>
      <c r="M928" s="16" t="s">
        <v>22</v>
      </c>
      <c r="N928" s="39" t="s">
        <v>418</v>
      </c>
    </row>
    <row r="929" spans="1:14" s="12" customFormat="1" ht="30">
      <c r="A929" s="178" t="s">
        <v>99</v>
      </c>
      <c r="B929" s="75" t="s">
        <v>1061</v>
      </c>
      <c r="C929" s="39" t="s">
        <v>1064</v>
      </c>
      <c r="D929" s="236"/>
      <c r="E929" s="236"/>
      <c r="F929" s="236"/>
      <c r="G929" s="236"/>
      <c r="H929" s="40">
        <f>SUM(Tabla132112419[[#This Row],[PRIMER TRIMESTRE]:[CUARTO TRIMESTRE]])</f>
        <v>0</v>
      </c>
      <c r="I929" s="17">
        <v>3000</v>
      </c>
      <c r="J929" s="17">
        <f t="shared" si="25"/>
        <v>0</v>
      </c>
      <c r="K929" s="17"/>
      <c r="L929" s="16" t="s">
        <v>18</v>
      </c>
      <c r="M929" s="16" t="s">
        <v>22</v>
      </c>
      <c r="N929" s="39" t="s">
        <v>418</v>
      </c>
    </row>
    <row r="930" spans="1:14" s="12" customFormat="1" ht="30">
      <c r="A930" s="178" t="s">
        <v>99</v>
      </c>
      <c r="B930" s="75" t="s">
        <v>1062</v>
      </c>
      <c r="C930" s="39" t="s">
        <v>290</v>
      </c>
      <c r="D930" s="236"/>
      <c r="E930" s="236"/>
      <c r="F930" s="236"/>
      <c r="G930" s="236"/>
      <c r="H930" s="40">
        <f>SUM(Tabla132112419[[#This Row],[PRIMER TRIMESTRE]:[CUARTO TRIMESTRE]])</f>
        <v>0</v>
      </c>
      <c r="I930" s="17">
        <v>1200</v>
      </c>
      <c r="J930" s="17">
        <f t="shared" si="25"/>
        <v>0</v>
      </c>
      <c r="K930" s="17"/>
      <c r="L930" s="16" t="s">
        <v>18</v>
      </c>
      <c r="M930" s="16" t="s">
        <v>22</v>
      </c>
      <c r="N930" s="39" t="s">
        <v>418</v>
      </c>
    </row>
    <row r="931" spans="1:14" s="12" customFormat="1" ht="30">
      <c r="A931" s="178" t="s">
        <v>99</v>
      </c>
      <c r="B931" s="75" t="s">
        <v>1066</v>
      </c>
      <c r="C931" s="39" t="s">
        <v>1067</v>
      </c>
      <c r="D931" s="236"/>
      <c r="E931" s="236"/>
      <c r="F931" s="236"/>
      <c r="G931" s="236"/>
      <c r="H931" s="40">
        <f>SUM(Tabla132112419[[#This Row],[PRIMER TRIMESTRE]:[CUARTO TRIMESTRE]])</f>
        <v>0</v>
      </c>
      <c r="I931" s="17">
        <v>10000</v>
      </c>
      <c r="J931" s="17">
        <f t="shared" si="25"/>
        <v>0</v>
      </c>
      <c r="K931" s="17"/>
      <c r="L931" s="16" t="s">
        <v>18</v>
      </c>
      <c r="M931" s="16" t="s">
        <v>22</v>
      </c>
      <c r="N931" s="39" t="s">
        <v>418</v>
      </c>
    </row>
    <row r="932" spans="1:14" s="12" customFormat="1" ht="30">
      <c r="A932" s="178" t="s">
        <v>99</v>
      </c>
      <c r="B932" s="75" t="s">
        <v>1068</v>
      </c>
      <c r="C932" s="39" t="s">
        <v>1067</v>
      </c>
      <c r="D932" s="236"/>
      <c r="E932" s="236"/>
      <c r="F932" s="236"/>
      <c r="G932" s="236"/>
      <c r="H932" s="40">
        <f>SUM(Tabla132112419[[#This Row],[PRIMER TRIMESTRE]:[CUARTO TRIMESTRE]])</f>
        <v>0</v>
      </c>
      <c r="I932" s="17">
        <v>10000</v>
      </c>
      <c r="J932" s="17">
        <f t="shared" si="25"/>
        <v>0</v>
      </c>
      <c r="K932" s="17"/>
      <c r="L932" s="16" t="s">
        <v>18</v>
      </c>
      <c r="M932" s="16" t="s">
        <v>22</v>
      </c>
      <c r="N932" s="39" t="s">
        <v>418</v>
      </c>
    </row>
    <row r="933" spans="1:14" s="12" customFormat="1" ht="30">
      <c r="A933" s="178" t="s">
        <v>99</v>
      </c>
      <c r="B933" s="75" t="s">
        <v>1069</v>
      </c>
      <c r="C933" s="39" t="s">
        <v>718</v>
      </c>
      <c r="D933" s="236"/>
      <c r="E933" s="236"/>
      <c r="F933" s="236"/>
      <c r="G933" s="236"/>
      <c r="H933" s="40">
        <f>SUM(Tabla132112419[[#This Row],[PRIMER TRIMESTRE]:[CUARTO TRIMESTRE]])</f>
        <v>0</v>
      </c>
      <c r="I933" s="17">
        <v>10000</v>
      </c>
      <c r="J933" s="17">
        <f t="shared" si="25"/>
        <v>0</v>
      </c>
      <c r="K933" s="17"/>
      <c r="L933" s="16" t="s">
        <v>18</v>
      </c>
      <c r="M933" s="16" t="s">
        <v>22</v>
      </c>
      <c r="N933" s="39" t="s">
        <v>418</v>
      </c>
    </row>
    <row r="934" spans="1:14" s="12" customFormat="1" ht="38.25">
      <c r="A934" s="178" t="s">
        <v>99</v>
      </c>
      <c r="B934" s="75" t="s">
        <v>1070</v>
      </c>
      <c r="C934" s="39" t="s">
        <v>208</v>
      </c>
      <c r="D934" s="236"/>
      <c r="E934" s="236"/>
      <c r="F934" s="236"/>
      <c r="G934" s="236"/>
      <c r="H934" s="40">
        <f>SUM(Tabla132112419[[#This Row],[PRIMER TRIMESTRE]:[CUARTO TRIMESTRE]])</f>
        <v>0</v>
      </c>
      <c r="I934" s="17">
        <v>10000</v>
      </c>
      <c r="J934" s="17">
        <f t="shared" si="25"/>
        <v>0</v>
      </c>
      <c r="K934" s="17"/>
      <c r="L934" s="16" t="s">
        <v>18</v>
      </c>
      <c r="M934" s="16" t="s">
        <v>22</v>
      </c>
      <c r="N934" s="39" t="s">
        <v>418</v>
      </c>
    </row>
    <row r="935" spans="1:14" s="12" customFormat="1" ht="30">
      <c r="A935" s="178" t="s">
        <v>99</v>
      </c>
      <c r="B935" s="75" t="s">
        <v>1071</v>
      </c>
      <c r="C935" s="39" t="s">
        <v>1065</v>
      </c>
      <c r="D935" s="236"/>
      <c r="E935" s="236"/>
      <c r="F935" s="236"/>
      <c r="G935" s="236"/>
      <c r="H935" s="40">
        <f>SUM(Tabla132112419[[#This Row],[PRIMER TRIMESTRE]:[CUARTO TRIMESTRE]])</f>
        <v>0</v>
      </c>
      <c r="I935" s="17">
        <v>800</v>
      </c>
      <c r="J935" s="17">
        <f t="shared" si="25"/>
        <v>0</v>
      </c>
      <c r="K935" s="17"/>
      <c r="L935" s="16" t="s">
        <v>18</v>
      </c>
      <c r="M935" s="16" t="s">
        <v>22</v>
      </c>
      <c r="N935" s="39" t="s">
        <v>418</v>
      </c>
    </row>
    <row r="936" spans="1:14" s="12" customFormat="1" ht="30">
      <c r="A936" s="178" t="s">
        <v>99</v>
      </c>
      <c r="B936" s="75" t="s">
        <v>1072</v>
      </c>
      <c r="C936" s="39" t="s">
        <v>1073</v>
      </c>
      <c r="D936" s="236"/>
      <c r="E936" s="236"/>
      <c r="F936" s="236"/>
      <c r="G936" s="236"/>
      <c r="H936" s="40">
        <f>SUM(Tabla132112419[[#This Row],[PRIMER TRIMESTRE]:[CUARTO TRIMESTRE]])</f>
        <v>0</v>
      </c>
      <c r="I936" s="17">
        <v>7500</v>
      </c>
      <c r="J936" s="17">
        <f t="shared" si="25"/>
        <v>0</v>
      </c>
      <c r="K936" s="17"/>
      <c r="L936" s="16" t="s">
        <v>18</v>
      </c>
      <c r="M936" s="16" t="s">
        <v>22</v>
      </c>
      <c r="N936" s="39" t="s">
        <v>418</v>
      </c>
    </row>
    <row r="937" spans="1:14" s="12" customFormat="1" ht="30">
      <c r="A937" s="178" t="s">
        <v>99</v>
      </c>
      <c r="B937" s="75" t="s">
        <v>1074</v>
      </c>
      <c r="C937" s="39" t="s">
        <v>1067</v>
      </c>
      <c r="D937" s="236"/>
      <c r="E937" s="236"/>
      <c r="F937" s="236"/>
      <c r="G937" s="236"/>
      <c r="H937" s="40">
        <f>SUM(Tabla132112419[[#This Row],[PRIMER TRIMESTRE]:[CUARTO TRIMESTRE]])</f>
        <v>0</v>
      </c>
      <c r="I937" s="17">
        <v>1000</v>
      </c>
      <c r="J937" s="17">
        <f t="shared" si="25"/>
        <v>0</v>
      </c>
      <c r="K937" s="17"/>
      <c r="L937" s="16" t="s">
        <v>18</v>
      </c>
      <c r="M937" s="16" t="s">
        <v>22</v>
      </c>
      <c r="N937" s="39" t="s">
        <v>418</v>
      </c>
    </row>
    <row r="938" spans="1:14" s="12" customFormat="1" ht="30">
      <c r="A938" s="178" t="s">
        <v>99</v>
      </c>
      <c r="B938" s="75" t="s">
        <v>1075</v>
      </c>
      <c r="C938" s="39" t="s">
        <v>1067</v>
      </c>
      <c r="D938" s="236"/>
      <c r="E938" s="236"/>
      <c r="F938" s="236"/>
      <c r="G938" s="236"/>
      <c r="H938" s="40">
        <f>SUM(Tabla132112419[[#This Row],[PRIMER TRIMESTRE]:[CUARTO TRIMESTRE]])</f>
        <v>0</v>
      </c>
      <c r="I938" s="17">
        <v>2500</v>
      </c>
      <c r="J938" s="17">
        <f t="shared" si="25"/>
        <v>0</v>
      </c>
      <c r="K938" s="17"/>
      <c r="L938" s="16" t="s">
        <v>18</v>
      </c>
      <c r="M938" s="16" t="s">
        <v>22</v>
      </c>
      <c r="N938" s="39" t="s">
        <v>418</v>
      </c>
    </row>
    <row r="939" spans="1:14" s="12" customFormat="1" ht="30">
      <c r="A939" s="178" t="s">
        <v>99</v>
      </c>
      <c r="B939" s="75" t="s">
        <v>1076</v>
      </c>
      <c r="C939" s="39" t="s">
        <v>1067</v>
      </c>
      <c r="D939" s="236"/>
      <c r="E939" s="236"/>
      <c r="F939" s="236"/>
      <c r="G939" s="236"/>
      <c r="H939" s="40">
        <f>SUM(Tabla132112419[[#This Row],[PRIMER TRIMESTRE]:[CUARTO TRIMESTRE]])</f>
        <v>0</v>
      </c>
      <c r="I939" s="17">
        <v>10000</v>
      </c>
      <c r="J939" s="17">
        <f t="shared" si="25"/>
        <v>0</v>
      </c>
      <c r="K939" s="17"/>
      <c r="L939" s="16" t="s">
        <v>18</v>
      </c>
      <c r="M939" s="16" t="s">
        <v>22</v>
      </c>
      <c r="N939" s="39" t="s">
        <v>418</v>
      </c>
    </row>
    <row r="940" spans="1:14" s="12" customFormat="1" ht="30">
      <c r="A940" s="178" t="s">
        <v>99</v>
      </c>
      <c r="B940" s="75" t="s">
        <v>1077</v>
      </c>
      <c r="C940" s="39" t="s">
        <v>718</v>
      </c>
      <c r="D940" s="236"/>
      <c r="E940" s="236"/>
      <c r="F940" s="236"/>
      <c r="G940" s="236"/>
      <c r="H940" s="40">
        <f>SUM(Tabla132112419[[#This Row],[PRIMER TRIMESTRE]:[CUARTO TRIMESTRE]])</f>
        <v>0</v>
      </c>
      <c r="I940" s="17">
        <v>10000</v>
      </c>
      <c r="J940" s="17">
        <f t="shared" si="25"/>
        <v>0</v>
      </c>
      <c r="K940" s="17"/>
      <c r="L940" s="16" t="s">
        <v>18</v>
      </c>
      <c r="M940" s="16" t="s">
        <v>22</v>
      </c>
      <c r="N940" s="39" t="s">
        <v>418</v>
      </c>
    </row>
    <row r="941" spans="1:14" s="12" customFormat="1" ht="38.25">
      <c r="A941" s="178" t="s">
        <v>99</v>
      </c>
      <c r="B941" s="75" t="s">
        <v>1078</v>
      </c>
      <c r="C941" s="39" t="s">
        <v>1067</v>
      </c>
      <c r="D941" s="236"/>
      <c r="E941" s="236"/>
      <c r="F941" s="236"/>
      <c r="G941" s="236"/>
      <c r="H941" s="40">
        <f>SUM(Tabla132112419[[#This Row],[PRIMER TRIMESTRE]:[CUARTO TRIMESTRE]])</f>
        <v>0</v>
      </c>
      <c r="I941" s="17">
        <v>1000</v>
      </c>
      <c r="J941" s="17">
        <f t="shared" si="25"/>
        <v>0</v>
      </c>
      <c r="K941" s="17"/>
      <c r="L941" s="16" t="s">
        <v>18</v>
      </c>
      <c r="M941" s="16" t="s">
        <v>22</v>
      </c>
      <c r="N941" s="39" t="s">
        <v>418</v>
      </c>
    </row>
    <row r="942" spans="1:14" s="12" customFormat="1" ht="30">
      <c r="A942" s="178" t="s">
        <v>99</v>
      </c>
      <c r="B942" s="75" t="s">
        <v>1079</v>
      </c>
      <c r="C942" s="39" t="s">
        <v>208</v>
      </c>
      <c r="D942" s="236"/>
      <c r="E942" s="236"/>
      <c r="F942" s="236"/>
      <c r="G942" s="236"/>
      <c r="H942" s="40">
        <f>SUM(Tabla132112419[[#This Row],[PRIMER TRIMESTRE]:[CUARTO TRIMESTRE]])</f>
        <v>0</v>
      </c>
      <c r="I942" s="17">
        <v>250</v>
      </c>
      <c r="J942" s="17">
        <f t="shared" si="25"/>
        <v>0</v>
      </c>
      <c r="K942" s="17"/>
      <c r="L942" s="16" t="s">
        <v>18</v>
      </c>
      <c r="M942" s="16" t="s">
        <v>22</v>
      </c>
      <c r="N942" s="39" t="s">
        <v>418</v>
      </c>
    </row>
    <row r="943" spans="1:14" s="12" customFormat="1" ht="38.25">
      <c r="A943" s="178" t="s">
        <v>99</v>
      </c>
      <c r="B943" s="75" t="s">
        <v>1080</v>
      </c>
      <c r="C943" s="39" t="s">
        <v>1067</v>
      </c>
      <c r="D943" s="236"/>
      <c r="E943" s="236"/>
      <c r="F943" s="236"/>
      <c r="G943" s="236"/>
      <c r="H943" s="40">
        <f>SUM(Tabla132112419[[#This Row],[PRIMER TRIMESTRE]:[CUARTO TRIMESTRE]])</f>
        <v>0</v>
      </c>
      <c r="I943" s="17">
        <v>1000</v>
      </c>
      <c r="J943" s="17">
        <f t="shared" si="25"/>
        <v>0</v>
      </c>
      <c r="K943" s="17"/>
      <c r="L943" s="16" t="s">
        <v>18</v>
      </c>
      <c r="M943" s="16" t="s">
        <v>22</v>
      </c>
      <c r="N943" s="39" t="s">
        <v>418</v>
      </c>
    </row>
    <row r="944" spans="1:14" s="12" customFormat="1" ht="38.25">
      <c r="A944" s="178" t="s">
        <v>99</v>
      </c>
      <c r="B944" s="75" t="s">
        <v>1081</v>
      </c>
      <c r="C944" s="39" t="s">
        <v>1067</v>
      </c>
      <c r="D944" s="236"/>
      <c r="E944" s="236"/>
      <c r="F944" s="236"/>
      <c r="G944" s="236"/>
      <c r="H944" s="40">
        <f>SUM(Tabla132112419[[#This Row],[PRIMER TRIMESTRE]:[CUARTO TRIMESTRE]])</f>
        <v>0</v>
      </c>
      <c r="I944" s="17">
        <v>1000</v>
      </c>
      <c r="J944" s="17">
        <f t="shared" si="25"/>
        <v>0</v>
      </c>
      <c r="K944" s="17"/>
      <c r="L944" s="16" t="s">
        <v>18</v>
      </c>
      <c r="M944" s="16" t="s">
        <v>22</v>
      </c>
      <c r="N944" s="39" t="s">
        <v>418</v>
      </c>
    </row>
    <row r="945" spans="1:14" s="12" customFormat="1" ht="38.25">
      <c r="A945" s="178" t="s">
        <v>99</v>
      </c>
      <c r="B945" s="75" t="s">
        <v>1082</v>
      </c>
      <c r="C945" s="39" t="s">
        <v>1067</v>
      </c>
      <c r="D945" s="236"/>
      <c r="E945" s="236"/>
      <c r="F945" s="236"/>
      <c r="G945" s="236"/>
      <c r="H945" s="40">
        <f>SUM(Tabla132112419[[#This Row],[PRIMER TRIMESTRE]:[CUARTO TRIMESTRE]])</f>
        <v>0</v>
      </c>
      <c r="I945" s="17">
        <v>1000</v>
      </c>
      <c r="J945" s="17">
        <f t="shared" si="25"/>
        <v>0</v>
      </c>
      <c r="K945" s="17"/>
      <c r="L945" s="16" t="s">
        <v>18</v>
      </c>
      <c r="M945" s="16" t="s">
        <v>22</v>
      </c>
      <c r="N945" s="39" t="s">
        <v>418</v>
      </c>
    </row>
    <row r="946" spans="1:14" s="12" customFormat="1" ht="30">
      <c r="A946" s="178" t="s">
        <v>99</v>
      </c>
      <c r="B946" s="75" t="s">
        <v>1083</v>
      </c>
      <c r="C946" s="39" t="s">
        <v>1067</v>
      </c>
      <c r="D946" s="236"/>
      <c r="E946" s="236"/>
      <c r="F946" s="236"/>
      <c r="G946" s="236"/>
      <c r="H946" s="40">
        <f>SUM(Tabla132112419[[#This Row],[PRIMER TRIMESTRE]:[CUARTO TRIMESTRE]])</f>
        <v>0</v>
      </c>
      <c r="I946" s="17">
        <v>300</v>
      </c>
      <c r="J946" s="17">
        <f t="shared" si="25"/>
        <v>0</v>
      </c>
      <c r="K946" s="17"/>
      <c r="L946" s="16" t="s">
        <v>18</v>
      </c>
      <c r="M946" s="16" t="s">
        <v>22</v>
      </c>
      <c r="N946" s="39" t="s">
        <v>418</v>
      </c>
    </row>
    <row r="947" spans="1:14" s="12" customFormat="1" ht="30">
      <c r="A947" s="178" t="s">
        <v>99</v>
      </c>
      <c r="B947" s="75" t="s">
        <v>1084</v>
      </c>
      <c r="C947" s="39" t="s">
        <v>1067</v>
      </c>
      <c r="D947" s="236"/>
      <c r="E947" s="236"/>
      <c r="F947" s="236"/>
      <c r="G947" s="236"/>
      <c r="H947" s="40">
        <f>SUM(Tabla132112419[[#This Row],[PRIMER TRIMESTRE]:[CUARTO TRIMESTRE]])</f>
        <v>0</v>
      </c>
      <c r="I947" s="17">
        <v>1500</v>
      </c>
      <c r="J947" s="17">
        <f t="shared" si="25"/>
        <v>0</v>
      </c>
      <c r="K947" s="17"/>
      <c r="L947" s="16" t="s">
        <v>18</v>
      </c>
      <c r="M947" s="16" t="s">
        <v>22</v>
      </c>
      <c r="N947" s="39" t="s">
        <v>418</v>
      </c>
    </row>
    <row r="948" spans="1:14" s="12" customFormat="1" ht="30">
      <c r="A948" s="178" t="s">
        <v>99</v>
      </c>
      <c r="B948" s="75" t="s">
        <v>1085</v>
      </c>
      <c r="C948" s="39" t="s">
        <v>1067</v>
      </c>
      <c r="D948" s="236"/>
      <c r="E948" s="236"/>
      <c r="F948" s="236"/>
      <c r="G948" s="236"/>
      <c r="H948" s="40">
        <f>SUM(Tabla132112419[[#This Row],[PRIMER TRIMESTRE]:[CUARTO TRIMESTRE]])</f>
        <v>0</v>
      </c>
      <c r="I948" s="17">
        <v>700</v>
      </c>
      <c r="J948" s="17">
        <f t="shared" si="25"/>
        <v>0</v>
      </c>
      <c r="K948" s="17"/>
      <c r="L948" s="16" t="s">
        <v>18</v>
      </c>
      <c r="M948" s="16" t="s">
        <v>22</v>
      </c>
      <c r="N948" s="39" t="s">
        <v>418</v>
      </c>
    </row>
    <row r="949" spans="1:14" s="12" customFormat="1" ht="30">
      <c r="A949" s="178" t="s">
        <v>99</v>
      </c>
      <c r="B949" s="75" t="s">
        <v>1086</v>
      </c>
      <c r="C949" s="39" t="s">
        <v>1067</v>
      </c>
      <c r="D949" s="236"/>
      <c r="E949" s="236"/>
      <c r="F949" s="236"/>
      <c r="G949" s="236"/>
      <c r="H949" s="40">
        <f>SUM(Tabla132112419[[#This Row],[PRIMER TRIMESTRE]:[CUARTO TRIMESTRE]])</f>
        <v>0</v>
      </c>
      <c r="I949" s="17">
        <v>1500</v>
      </c>
      <c r="J949" s="17">
        <f t="shared" si="25"/>
        <v>0</v>
      </c>
      <c r="K949" s="17"/>
      <c r="L949" s="16" t="s">
        <v>18</v>
      </c>
      <c r="M949" s="16" t="s">
        <v>22</v>
      </c>
      <c r="N949" s="39" t="s">
        <v>418</v>
      </c>
    </row>
    <row r="950" spans="1:14" s="12" customFormat="1" ht="30">
      <c r="A950" s="178" t="s">
        <v>99</v>
      </c>
      <c r="B950" s="75" t="s">
        <v>1087</v>
      </c>
      <c r="C950" s="39" t="s">
        <v>208</v>
      </c>
      <c r="D950" s="236"/>
      <c r="E950" s="236"/>
      <c r="F950" s="236"/>
      <c r="G950" s="236"/>
      <c r="H950" s="40">
        <f>SUM(Tabla132112419[[#This Row],[PRIMER TRIMESTRE]:[CUARTO TRIMESTRE]])</f>
        <v>0</v>
      </c>
      <c r="I950" s="17">
        <v>500</v>
      </c>
      <c r="J950" s="17">
        <f t="shared" si="25"/>
        <v>0</v>
      </c>
      <c r="K950" s="17"/>
      <c r="L950" s="16" t="s">
        <v>18</v>
      </c>
      <c r="M950" s="16" t="s">
        <v>22</v>
      </c>
      <c r="N950" s="39" t="s">
        <v>418</v>
      </c>
    </row>
    <row r="951" spans="1:14" s="12" customFormat="1" ht="51">
      <c r="A951" s="178" t="s">
        <v>99</v>
      </c>
      <c r="B951" s="75" t="s">
        <v>1088</v>
      </c>
      <c r="C951" s="39" t="s">
        <v>1067</v>
      </c>
      <c r="D951" s="236"/>
      <c r="E951" s="236"/>
      <c r="F951" s="236"/>
      <c r="G951" s="236"/>
      <c r="H951" s="40">
        <f>SUM(Tabla132112419[[#This Row],[PRIMER TRIMESTRE]:[CUARTO TRIMESTRE]])</f>
        <v>0</v>
      </c>
      <c r="I951" s="17">
        <v>15000</v>
      </c>
      <c r="J951" s="17">
        <f t="shared" si="25"/>
        <v>0</v>
      </c>
      <c r="K951" s="17"/>
      <c r="L951" s="16" t="s">
        <v>18</v>
      </c>
      <c r="M951" s="16" t="s">
        <v>22</v>
      </c>
      <c r="N951" s="39" t="s">
        <v>418</v>
      </c>
    </row>
    <row r="952" spans="1:14" s="12" customFormat="1" ht="30">
      <c r="A952" s="178" t="s">
        <v>99</v>
      </c>
      <c r="B952" s="75" t="s">
        <v>1089</v>
      </c>
      <c r="C952" s="39" t="s">
        <v>1090</v>
      </c>
      <c r="D952" s="236"/>
      <c r="E952" s="236"/>
      <c r="F952" s="236"/>
      <c r="G952" s="236"/>
      <c r="H952" s="40">
        <f>SUM(Tabla132112419[[#This Row],[PRIMER TRIMESTRE]:[CUARTO TRIMESTRE]])</f>
        <v>0</v>
      </c>
      <c r="I952" s="17">
        <v>50</v>
      </c>
      <c r="J952" s="17">
        <f t="shared" si="25"/>
        <v>0</v>
      </c>
      <c r="K952" s="17"/>
      <c r="L952" s="16" t="s">
        <v>18</v>
      </c>
      <c r="M952" s="16" t="s">
        <v>22</v>
      </c>
      <c r="N952" s="39" t="s">
        <v>418</v>
      </c>
    </row>
    <row r="953" spans="1:14" s="12" customFormat="1" ht="30">
      <c r="A953" s="178" t="s">
        <v>99</v>
      </c>
      <c r="B953" s="75" t="s">
        <v>1091</v>
      </c>
      <c r="C953" s="39" t="s">
        <v>718</v>
      </c>
      <c r="D953" s="236"/>
      <c r="E953" s="236"/>
      <c r="F953" s="236"/>
      <c r="G953" s="236"/>
      <c r="H953" s="40">
        <f>SUM(Tabla132112419[[#This Row],[PRIMER TRIMESTRE]:[CUARTO TRIMESTRE]])</f>
        <v>0</v>
      </c>
      <c r="I953" s="17">
        <v>2000</v>
      </c>
      <c r="J953" s="17">
        <f t="shared" si="25"/>
        <v>0</v>
      </c>
      <c r="K953" s="17"/>
      <c r="L953" s="16" t="s">
        <v>18</v>
      </c>
      <c r="M953" s="16" t="s">
        <v>22</v>
      </c>
      <c r="N953" s="39" t="s">
        <v>418</v>
      </c>
    </row>
    <row r="954" spans="1:14" s="12" customFormat="1" ht="30">
      <c r="A954" s="178" t="s">
        <v>99</v>
      </c>
      <c r="B954" s="75" t="s">
        <v>1092</v>
      </c>
      <c r="C954" s="39" t="s">
        <v>1067</v>
      </c>
      <c r="D954" s="236"/>
      <c r="E954" s="236"/>
      <c r="F954" s="236"/>
      <c r="G954" s="236"/>
      <c r="H954" s="40">
        <f>SUM(Tabla132112419[[#This Row],[PRIMER TRIMESTRE]:[CUARTO TRIMESTRE]])</f>
        <v>0</v>
      </c>
      <c r="I954" s="17">
        <v>200</v>
      </c>
      <c r="J954" s="17">
        <f t="shared" si="25"/>
        <v>0</v>
      </c>
      <c r="K954" s="17"/>
      <c r="L954" s="16" t="s">
        <v>27</v>
      </c>
      <c r="M954" s="16" t="s">
        <v>22</v>
      </c>
      <c r="N954" s="39" t="s">
        <v>418</v>
      </c>
    </row>
    <row r="955" spans="1:14" s="12" customFormat="1" ht="30">
      <c r="A955" s="178" t="s">
        <v>99</v>
      </c>
      <c r="B955" s="75" t="s">
        <v>1093</v>
      </c>
      <c r="C955" s="39" t="s">
        <v>1067</v>
      </c>
      <c r="D955" s="236"/>
      <c r="E955" s="236"/>
      <c r="F955" s="236"/>
      <c r="G955" s="236"/>
      <c r="H955" s="40">
        <f>SUM(Tabla132112419[[#This Row],[PRIMER TRIMESTRE]:[CUARTO TRIMESTRE]])</f>
        <v>0</v>
      </c>
      <c r="I955" s="17">
        <v>100</v>
      </c>
      <c r="J955" s="17">
        <f t="shared" si="25"/>
        <v>0</v>
      </c>
      <c r="K955" s="17"/>
      <c r="L955" s="16" t="s">
        <v>18</v>
      </c>
      <c r="M955" s="16" t="s">
        <v>22</v>
      </c>
      <c r="N955" s="39" t="s">
        <v>418</v>
      </c>
    </row>
    <row r="956" spans="1:14" s="12" customFormat="1" ht="30">
      <c r="A956" s="178" t="s">
        <v>99</v>
      </c>
      <c r="B956" s="75" t="s">
        <v>1094</v>
      </c>
      <c r="C956" s="39" t="s">
        <v>208</v>
      </c>
      <c r="D956" s="236"/>
      <c r="E956" s="236"/>
      <c r="F956" s="236"/>
      <c r="G956" s="236"/>
      <c r="H956" s="40">
        <f>SUM(Tabla132112419[[#This Row],[PRIMER TRIMESTRE]:[CUARTO TRIMESTRE]])</f>
        <v>0</v>
      </c>
      <c r="I956" s="17">
        <v>200</v>
      </c>
      <c r="J956" s="17">
        <f t="shared" si="25"/>
        <v>0</v>
      </c>
      <c r="K956" s="17"/>
      <c r="L956" s="16" t="s">
        <v>18</v>
      </c>
      <c r="M956" s="16" t="s">
        <v>22</v>
      </c>
      <c r="N956" s="39" t="s">
        <v>418</v>
      </c>
    </row>
    <row r="957" spans="1:14" s="12" customFormat="1" ht="30">
      <c r="A957" s="178" t="s">
        <v>99</v>
      </c>
      <c r="B957" s="75" t="s">
        <v>1095</v>
      </c>
      <c r="C957" s="39" t="s">
        <v>208</v>
      </c>
      <c r="D957" s="236"/>
      <c r="E957" s="236"/>
      <c r="F957" s="236"/>
      <c r="G957" s="236"/>
      <c r="H957" s="40">
        <f>SUM(Tabla132112419[[#This Row],[PRIMER TRIMESTRE]:[CUARTO TRIMESTRE]])</f>
        <v>0</v>
      </c>
      <c r="I957" s="17">
        <v>200</v>
      </c>
      <c r="J957" s="17">
        <f t="shared" si="25"/>
        <v>0</v>
      </c>
      <c r="K957" s="17"/>
      <c r="L957" s="16" t="s">
        <v>18</v>
      </c>
      <c r="M957" s="16" t="s">
        <v>22</v>
      </c>
      <c r="N957" s="39" t="s">
        <v>418</v>
      </c>
    </row>
    <row r="958" spans="1:14" s="12" customFormat="1" ht="30">
      <c r="A958" s="178" t="s">
        <v>99</v>
      </c>
      <c r="B958" s="75" t="s">
        <v>1096</v>
      </c>
      <c r="C958" s="39" t="s">
        <v>208</v>
      </c>
      <c r="D958" s="236"/>
      <c r="E958" s="236"/>
      <c r="F958" s="236"/>
      <c r="G958" s="236"/>
      <c r="H958" s="40">
        <f>SUM(Tabla132112419[[#This Row],[PRIMER TRIMESTRE]:[CUARTO TRIMESTRE]])</f>
        <v>0</v>
      </c>
      <c r="I958" s="17">
        <v>500</v>
      </c>
      <c r="J958" s="17">
        <f t="shared" si="25"/>
        <v>0</v>
      </c>
      <c r="K958" s="17"/>
      <c r="L958" s="16" t="s">
        <v>18</v>
      </c>
      <c r="M958" s="16" t="s">
        <v>22</v>
      </c>
      <c r="N958" s="39" t="s">
        <v>418</v>
      </c>
    </row>
    <row r="959" spans="1:14" s="12" customFormat="1" ht="30">
      <c r="A959" s="178" t="s">
        <v>99</v>
      </c>
      <c r="B959" s="75" t="s">
        <v>1098</v>
      </c>
      <c r="C959" s="39" t="s">
        <v>1099</v>
      </c>
      <c r="D959" s="236"/>
      <c r="E959" s="236"/>
      <c r="F959" s="236"/>
      <c r="G959" s="236"/>
      <c r="H959" s="40">
        <f>SUM(Tabla132112419[[#This Row],[PRIMER TRIMESTRE]:[CUARTO TRIMESTRE]])</f>
        <v>0</v>
      </c>
      <c r="I959" s="17">
        <v>115</v>
      </c>
      <c r="J959" s="17">
        <f t="shared" si="25"/>
        <v>0</v>
      </c>
      <c r="K959" s="17"/>
      <c r="L959" s="16" t="s">
        <v>18</v>
      </c>
      <c r="M959" s="16" t="s">
        <v>22</v>
      </c>
      <c r="N959" s="39" t="s">
        <v>418</v>
      </c>
    </row>
    <row r="960" spans="1:14" s="12" customFormat="1" ht="30">
      <c r="A960" s="178" t="s">
        <v>99</v>
      </c>
      <c r="B960" s="75" t="s">
        <v>1100</v>
      </c>
      <c r="C960" s="39" t="s">
        <v>1067</v>
      </c>
      <c r="D960" s="236"/>
      <c r="E960" s="236"/>
      <c r="F960" s="236"/>
      <c r="G960" s="236"/>
      <c r="H960" s="40">
        <f>SUM(Tabla132112419[[#This Row],[PRIMER TRIMESTRE]:[CUARTO TRIMESTRE]])</f>
        <v>0</v>
      </c>
      <c r="I960" s="17">
        <v>50</v>
      </c>
      <c r="J960" s="17">
        <f t="shared" si="25"/>
        <v>0</v>
      </c>
      <c r="K960" s="17"/>
      <c r="L960" s="16" t="s">
        <v>18</v>
      </c>
      <c r="M960" s="16" t="s">
        <v>22</v>
      </c>
      <c r="N960" s="39" t="s">
        <v>418</v>
      </c>
    </row>
    <row r="961" spans="1:14" s="12" customFormat="1" ht="30">
      <c r="A961" s="178" t="s">
        <v>99</v>
      </c>
      <c r="B961" s="75" t="s">
        <v>1101</v>
      </c>
      <c r="C961" s="39" t="s">
        <v>35</v>
      </c>
      <c r="D961" s="236"/>
      <c r="E961" s="236"/>
      <c r="F961" s="236"/>
      <c r="G961" s="236"/>
      <c r="H961" s="40">
        <f>SUM(Tabla132112419[[#This Row],[PRIMER TRIMESTRE]:[CUARTO TRIMESTRE]])</f>
        <v>0</v>
      </c>
      <c r="I961" s="17">
        <v>2000</v>
      </c>
      <c r="J961" s="17">
        <f t="shared" si="25"/>
        <v>0</v>
      </c>
      <c r="K961" s="17"/>
      <c r="L961" s="16" t="s">
        <v>18</v>
      </c>
      <c r="M961" s="16" t="s">
        <v>22</v>
      </c>
      <c r="N961" s="39" t="s">
        <v>418</v>
      </c>
    </row>
    <row r="962" spans="1:14" s="12" customFormat="1" ht="30">
      <c r="A962" s="178" t="s">
        <v>99</v>
      </c>
      <c r="B962" s="75" t="s">
        <v>1626</v>
      </c>
      <c r="C962" s="39" t="s">
        <v>35</v>
      </c>
      <c r="D962" s="236"/>
      <c r="E962" s="236"/>
      <c r="F962" s="236"/>
      <c r="G962" s="236"/>
      <c r="H962" s="236">
        <f>SUM(Tabla132112419[[#This Row],[PRIMER TRIMESTRE]:[CUARTO TRIMESTRE]])</f>
        <v>0</v>
      </c>
      <c r="I962" s="17">
        <v>2850</v>
      </c>
      <c r="J962" s="17">
        <f t="shared" si="25"/>
        <v>0</v>
      </c>
      <c r="K962" s="17"/>
      <c r="L962" s="16" t="s">
        <v>18</v>
      </c>
      <c r="M962" s="16" t="s">
        <v>22</v>
      </c>
      <c r="N962" s="39" t="s">
        <v>418</v>
      </c>
    </row>
    <row r="963" spans="1:14" s="12" customFormat="1" ht="30">
      <c r="A963" s="178" t="s">
        <v>99</v>
      </c>
      <c r="B963" s="75" t="s">
        <v>1102</v>
      </c>
      <c r="C963" s="39" t="s">
        <v>1065</v>
      </c>
      <c r="D963" s="236"/>
      <c r="E963" s="236"/>
      <c r="F963" s="236"/>
      <c r="G963" s="236"/>
      <c r="H963" s="40">
        <f>SUM(Tabla132112419[[#This Row],[PRIMER TRIMESTRE]:[CUARTO TRIMESTRE]])</f>
        <v>0</v>
      </c>
      <c r="I963" s="17">
        <v>100</v>
      </c>
      <c r="J963" s="17">
        <f t="shared" si="25"/>
        <v>0</v>
      </c>
      <c r="K963" s="17"/>
      <c r="L963" s="16" t="s">
        <v>18</v>
      </c>
      <c r="M963" s="16" t="s">
        <v>22</v>
      </c>
      <c r="N963" s="39" t="s">
        <v>418</v>
      </c>
    </row>
    <row r="964" spans="1:14" s="12" customFormat="1" ht="30">
      <c r="A964" s="178" t="s">
        <v>99</v>
      </c>
      <c r="B964" s="75" t="s">
        <v>1103</v>
      </c>
      <c r="C964" s="39" t="s">
        <v>1065</v>
      </c>
      <c r="D964" s="236"/>
      <c r="E964" s="236"/>
      <c r="F964" s="236"/>
      <c r="G964" s="236"/>
      <c r="H964" s="40">
        <f>SUM(Tabla132112419[[#This Row],[PRIMER TRIMESTRE]:[CUARTO TRIMESTRE]])</f>
        <v>0</v>
      </c>
      <c r="I964" s="17">
        <v>100</v>
      </c>
      <c r="J964" s="17">
        <f t="shared" ref="J964:J1020" si="26">+H964*I964</f>
        <v>0</v>
      </c>
      <c r="K964" s="17"/>
      <c r="L964" s="16" t="s">
        <v>18</v>
      </c>
      <c r="M964" s="16" t="s">
        <v>22</v>
      </c>
      <c r="N964" s="39" t="s">
        <v>418</v>
      </c>
    </row>
    <row r="965" spans="1:14" s="12" customFormat="1" ht="30">
      <c r="A965" s="178" t="s">
        <v>99</v>
      </c>
      <c r="B965" s="75" t="s">
        <v>1104</v>
      </c>
      <c r="C965" s="39" t="s">
        <v>102</v>
      </c>
      <c r="D965" s="236"/>
      <c r="E965" s="236"/>
      <c r="F965" s="236"/>
      <c r="G965" s="236"/>
      <c r="H965" s="40">
        <f>SUM(Tabla132112419[[#This Row],[PRIMER TRIMESTRE]:[CUARTO TRIMESTRE]])</f>
        <v>0</v>
      </c>
      <c r="I965" s="17">
        <v>600</v>
      </c>
      <c r="J965" s="17">
        <f t="shared" si="26"/>
        <v>0</v>
      </c>
      <c r="K965" s="17"/>
      <c r="L965" s="16" t="s">
        <v>18</v>
      </c>
      <c r="M965" s="16" t="s">
        <v>22</v>
      </c>
      <c r="N965" s="39" t="s">
        <v>418</v>
      </c>
    </row>
    <row r="966" spans="1:14" s="12" customFormat="1" ht="30">
      <c r="A966" s="178" t="s">
        <v>99</v>
      </c>
      <c r="B966" s="75" t="s">
        <v>1106</v>
      </c>
      <c r="C966" s="39" t="s">
        <v>149</v>
      </c>
      <c r="D966" s="236"/>
      <c r="E966" s="236"/>
      <c r="F966" s="236"/>
      <c r="G966" s="236"/>
      <c r="H966" s="40">
        <f>SUM(Tabla132112419[[#This Row],[PRIMER TRIMESTRE]:[CUARTO TRIMESTRE]])</f>
        <v>0</v>
      </c>
      <c r="I966" s="17">
        <v>80</v>
      </c>
      <c r="J966" s="17">
        <f t="shared" si="26"/>
        <v>0</v>
      </c>
      <c r="K966" s="17"/>
      <c r="L966" s="16" t="s">
        <v>18</v>
      </c>
      <c r="M966" s="16" t="s">
        <v>22</v>
      </c>
      <c r="N966" s="39" t="s">
        <v>418</v>
      </c>
    </row>
    <row r="967" spans="1:14" s="12" customFormat="1" ht="30">
      <c r="A967" s="178" t="s">
        <v>99</v>
      </c>
      <c r="B967" s="75" t="s">
        <v>1107</v>
      </c>
      <c r="C967" s="39" t="s">
        <v>149</v>
      </c>
      <c r="D967" s="236"/>
      <c r="E967" s="236"/>
      <c r="F967" s="236"/>
      <c r="G967" s="236"/>
      <c r="H967" s="40">
        <f>SUM(Tabla132112419[[#This Row],[PRIMER TRIMESTRE]:[CUARTO TRIMESTRE]])</f>
        <v>0</v>
      </c>
      <c r="I967" s="17">
        <v>80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</row>
    <row r="968" spans="1:14" s="12" customFormat="1" ht="30">
      <c r="A968" s="178" t="s">
        <v>99</v>
      </c>
      <c r="B968" s="75" t="s">
        <v>306</v>
      </c>
      <c r="C968" s="39" t="s">
        <v>290</v>
      </c>
      <c r="D968" s="236"/>
      <c r="E968" s="236"/>
      <c r="F968" s="236"/>
      <c r="G968" s="236"/>
      <c r="H968" s="40">
        <f>SUM(Tabla132112419[[#This Row],[PRIMER TRIMESTRE]:[CUARTO TRIMESTRE]])</f>
        <v>0</v>
      </c>
      <c r="I968" s="17">
        <v>200</v>
      </c>
      <c r="J968" s="17">
        <f t="shared" si="26"/>
        <v>0</v>
      </c>
      <c r="K968" s="17"/>
      <c r="L968" s="16" t="s">
        <v>18</v>
      </c>
      <c r="M968" s="16" t="s">
        <v>22</v>
      </c>
      <c r="N968" s="39" t="s">
        <v>418</v>
      </c>
    </row>
    <row r="969" spans="1:14" s="12" customFormat="1" ht="76.5">
      <c r="A969" s="178" t="s">
        <v>99</v>
      </c>
      <c r="B969" s="75" t="s">
        <v>1108</v>
      </c>
      <c r="C969" s="39" t="s">
        <v>1067</v>
      </c>
      <c r="D969" s="236"/>
      <c r="E969" s="236"/>
      <c r="F969" s="236"/>
      <c r="G969" s="236"/>
      <c r="H969" s="40">
        <f>SUM(Tabla132112419[[#This Row],[PRIMER TRIMESTRE]:[CUARTO TRIMESTRE]])</f>
        <v>0</v>
      </c>
      <c r="I969" s="17">
        <v>3000</v>
      </c>
      <c r="J969" s="17">
        <f t="shared" si="26"/>
        <v>0</v>
      </c>
      <c r="K969" s="17"/>
      <c r="L969" s="16" t="s">
        <v>18</v>
      </c>
      <c r="M969" s="16" t="s">
        <v>22</v>
      </c>
      <c r="N969" s="39" t="s">
        <v>418</v>
      </c>
    </row>
    <row r="970" spans="1:14" s="12" customFormat="1" ht="51">
      <c r="A970" s="178" t="s">
        <v>99</v>
      </c>
      <c r="B970" s="75" t="s">
        <v>1109</v>
      </c>
      <c r="C970" s="39" t="s">
        <v>1067</v>
      </c>
      <c r="D970" s="236"/>
      <c r="E970" s="236"/>
      <c r="F970" s="236"/>
      <c r="G970" s="236"/>
      <c r="H970" s="40">
        <f>SUM(Tabla132112419[[#This Row],[PRIMER TRIMESTRE]:[CUARTO TRIMESTRE]])</f>
        <v>0</v>
      </c>
      <c r="I970" s="17">
        <v>2000</v>
      </c>
      <c r="J970" s="17">
        <f t="shared" si="26"/>
        <v>0</v>
      </c>
      <c r="K970" s="17"/>
      <c r="L970" s="16" t="s">
        <v>18</v>
      </c>
      <c r="M970" s="16" t="s">
        <v>22</v>
      </c>
      <c r="N970" s="39" t="s">
        <v>418</v>
      </c>
    </row>
    <row r="971" spans="1:14" s="12" customFormat="1" ht="51">
      <c r="A971" s="178" t="s">
        <v>99</v>
      </c>
      <c r="B971" s="75" t="s">
        <v>1110</v>
      </c>
      <c r="C971" s="39" t="s">
        <v>1067</v>
      </c>
      <c r="D971" s="236"/>
      <c r="E971" s="236"/>
      <c r="F971" s="236"/>
      <c r="G971" s="236"/>
      <c r="H971" s="40">
        <f>SUM(Tabla132112419[[#This Row],[PRIMER TRIMESTRE]:[CUARTO TRIMESTRE]])</f>
        <v>0</v>
      </c>
      <c r="I971" s="17">
        <v>2000</v>
      </c>
      <c r="J971" s="17">
        <f t="shared" si="26"/>
        <v>0</v>
      </c>
      <c r="K971" s="17"/>
      <c r="L971" s="16" t="s">
        <v>18</v>
      </c>
      <c r="M971" s="16" t="s">
        <v>22</v>
      </c>
      <c r="N971" s="39" t="s">
        <v>418</v>
      </c>
    </row>
    <row r="972" spans="1:14" s="12" customFormat="1" ht="51">
      <c r="A972" s="178" t="s">
        <v>99</v>
      </c>
      <c r="B972" s="75" t="s">
        <v>1111</v>
      </c>
      <c r="C972" s="39" t="s">
        <v>1067</v>
      </c>
      <c r="D972" s="236"/>
      <c r="E972" s="236"/>
      <c r="F972" s="236"/>
      <c r="G972" s="236"/>
      <c r="H972" s="40">
        <f>SUM(Tabla132112419[[#This Row],[PRIMER TRIMESTRE]:[CUARTO TRIMESTRE]])</f>
        <v>0</v>
      </c>
      <c r="I972" s="17">
        <v>2000</v>
      </c>
      <c r="J972" s="17">
        <f t="shared" si="26"/>
        <v>0</v>
      </c>
      <c r="K972" s="17"/>
      <c r="L972" s="16" t="s">
        <v>18</v>
      </c>
      <c r="M972" s="16" t="s">
        <v>22</v>
      </c>
      <c r="N972" s="39" t="s">
        <v>418</v>
      </c>
    </row>
    <row r="973" spans="1:14" s="12" customFormat="1" ht="38.25">
      <c r="A973" s="178" t="s">
        <v>99</v>
      </c>
      <c r="B973" s="75" t="s">
        <v>1112</v>
      </c>
      <c r="C973" s="39" t="s">
        <v>1067</v>
      </c>
      <c r="D973" s="236"/>
      <c r="E973" s="236"/>
      <c r="F973" s="236"/>
      <c r="G973" s="236"/>
      <c r="H973" s="40">
        <f>SUM(Tabla132112419[[#This Row],[PRIMER TRIMESTRE]:[CUARTO TRIMESTRE]])</f>
        <v>0</v>
      </c>
      <c r="I973" s="17">
        <v>20000</v>
      </c>
      <c r="J973" s="17">
        <f t="shared" si="26"/>
        <v>0</v>
      </c>
      <c r="K973" s="17"/>
      <c r="L973" s="16" t="s">
        <v>18</v>
      </c>
      <c r="M973" s="16" t="s">
        <v>22</v>
      </c>
      <c r="N973" s="39" t="s">
        <v>418</v>
      </c>
    </row>
    <row r="974" spans="1:14" s="12" customFormat="1" ht="38.25">
      <c r="A974" s="178" t="s">
        <v>99</v>
      </c>
      <c r="B974" s="75" t="s">
        <v>1113</v>
      </c>
      <c r="C974" s="39" t="s">
        <v>1067</v>
      </c>
      <c r="D974" s="236"/>
      <c r="E974" s="236"/>
      <c r="F974" s="236"/>
      <c r="G974" s="236"/>
      <c r="H974" s="40">
        <f>SUM(Tabla132112419[[#This Row],[PRIMER TRIMESTRE]:[CUARTO TRIMESTRE]])</f>
        <v>0</v>
      </c>
      <c r="I974" s="17">
        <v>5000</v>
      </c>
      <c r="J974" s="17">
        <f t="shared" si="26"/>
        <v>0</v>
      </c>
      <c r="K974" s="17"/>
      <c r="L974" s="16" t="s">
        <v>18</v>
      </c>
      <c r="M974" s="16" t="s">
        <v>22</v>
      </c>
      <c r="N974" s="39" t="s">
        <v>418</v>
      </c>
    </row>
    <row r="975" spans="1:14" s="12" customFormat="1" ht="38.25">
      <c r="A975" s="178" t="s">
        <v>99</v>
      </c>
      <c r="B975" s="75" t="s">
        <v>1114</v>
      </c>
      <c r="C975" s="39" t="s">
        <v>1067</v>
      </c>
      <c r="D975" s="236"/>
      <c r="E975" s="236"/>
      <c r="F975" s="236"/>
      <c r="G975" s="236"/>
      <c r="H975" s="40">
        <f>SUM(Tabla132112419[[#This Row],[PRIMER TRIMESTRE]:[CUARTO TRIMESTRE]])</f>
        <v>0</v>
      </c>
      <c r="I975" s="17">
        <v>80000</v>
      </c>
      <c r="J975" s="17">
        <f t="shared" si="26"/>
        <v>0</v>
      </c>
      <c r="K975" s="17"/>
      <c r="L975" s="16" t="s">
        <v>18</v>
      </c>
      <c r="M975" s="16" t="s">
        <v>22</v>
      </c>
      <c r="N975" s="39" t="s">
        <v>418</v>
      </c>
    </row>
    <row r="976" spans="1:14" s="12" customFormat="1" ht="38.25">
      <c r="A976" s="178" t="s">
        <v>99</v>
      </c>
      <c r="B976" s="75" t="s">
        <v>1115</v>
      </c>
      <c r="C976" s="39" t="s">
        <v>1067</v>
      </c>
      <c r="D976" s="236"/>
      <c r="E976" s="236"/>
      <c r="F976" s="236"/>
      <c r="G976" s="236"/>
      <c r="H976" s="40">
        <f>SUM(Tabla132112419[[#This Row],[PRIMER TRIMESTRE]:[CUARTO TRIMESTRE]])</f>
        <v>0</v>
      </c>
      <c r="I976" s="17">
        <v>38000</v>
      </c>
      <c r="J976" s="17">
        <f t="shared" si="26"/>
        <v>0</v>
      </c>
      <c r="K976" s="17"/>
      <c r="L976" s="16" t="s">
        <v>18</v>
      </c>
      <c r="M976" s="16" t="s">
        <v>22</v>
      </c>
      <c r="N976" s="39" t="s">
        <v>418</v>
      </c>
    </row>
    <row r="977" spans="1:14" s="12" customFormat="1" ht="30">
      <c r="A977" s="178" t="s">
        <v>99</v>
      </c>
      <c r="B977" s="75" t="s">
        <v>1116</v>
      </c>
      <c r="C977" s="39" t="s">
        <v>1067</v>
      </c>
      <c r="D977" s="236"/>
      <c r="E977" s="236"/>
      <c r="F977" s="236"/>
      <c r="G977" s="236"/>
      <c r="H977" s="40">
        <f>SUM(Tabla132112419[[#This Row],[PRIMER TRIMESTRE]:[CUARTO TRIMESTRE]])</f>
        <v>0</v>
      </c>
      <c r="I977" s="17">
        <v>52000</v>
      </c>
      <c r="J977" s="17">
        <f t="shared" si="26"/>
        <v>0</v>
      </c>
      <c r="K977" s="17"/>
      <c r="L977" s="16" t="s">
        <v>18</v>
      </c>
      <c r="M977" s="16" t="s">
        <v>22</v>
      </c>
      <c r="N977" s="39" t="s">
        <v>418</v>
      </c>
    </row>
    <row r="978" spans="1:14" s="12" customFormat="1" ht="30">
      <c r="A978" s="178" t="s">
        <v>99</v>
      </c>
      <c r="B978" s="75" t="s">
        <v>1117</v>
      </c>
      <c r="C978" s="39" t="s">
        <v>1067</v>
      </c>
      <c r="D978" s="236"/>
      <c r="E978" s="236"/>
      <c r="F978" s="236"/>
      <c r="G978" s="236"/>
      <c r="H978" s="40">
        <f>SUM(Tabla132112419[[#This Row],[PRIMER TRIMESTRE]:[CUARTO TRIMESTRE]])</f>
        <v>0</v>
      </c>
      <c r="I978" s="17">
        <v>4000</v>
      </c>
      <c r="J978" s="17">
        <f t="shared" si="26"/>
        <v>0</v>
      </c>
      <c r="K978" s="17"/>
      <c r="L978" s="16" t="s">
        <v>18</v>
      </c>
      <c r="M978" s="16" t="s">
        <v>22</v>
      </c>
      <c r="N978" s="39" t="s">
        <v>418</v>
      </c>
    </row>
    <row r="979" spans="1:14" s="12" customFormat="1" ht="30">
      <c r="A979" s="178" t="s">
        <v>99</v>
      </c>
      <c r="B979" s="75" t="s">
        <v>1118</v>
      </c>
      <c r="C979" s="39" t="s">
        <v>1067</v>
      </c>
      <c r="D979" s="236"/>
      <c r="E979" s="236"/>
      <c r="F979" s="236"/>
      <c r="G979" s="236"/>
      <c r="H979" s="40">
        <f>SUM(Tabla132112419[[#This Row],[PRIMER TRIMESTRE]:[CUARTO TRIMESTRE]])</f>
        <v>0</v>
      </c>
      <c r="I979" s="17">
        <v>8000</v>
      </c>
      <c r="J979" s="17">
        <f t="shared" si="26"/>
        <v>0</v>
      </c>
      <c r="K979" s="17"/>
      <c r="L979" s="16" t="s">
        <v>18</v>
      </c>
      <c r="M979" s="16" t="s">
        <v>22</v>
      </c>
      <c r="N979" s="39" t="s">
        <v>418</v>
      </c>
    </row>
    <row r="980" spans="1:14" s="12" customFormat="1" ht="30">
      <c r="A980" s="178" t="s">
        <v>99</v>
      </c>
      <c r="B980" s="75" t="s">
        <v>1119</v>
      </c>
      <c r="C980" s="39" t="s">
        <v>1067</v>
      </c>
      <c r="D980" s="236"/>
      <c r="E980" s="236"/>
      <c r="F980" s="236"/>
      <c r="G980" s="236"/>
      <c r="H980" s="40">
        <f>SUM(Tabla132112419[[#This Row],[PRIMER TRIMESTRE]:[CUARTO TRIMESTRE]])</f>
        <v>0</v>
      </c>
      <c r="I980" s="17">
        <v>350000</v>
      </c>
      <c r="J980" s="17">
        <f t="shared" si="26"/>
        <v>0</v>
      </c>
      <c r="K980" s="17"/>
      <c r="L980" s="16" t="s">
        <v>18</v>
      </c>
      <c r="M980" s="16" t="s">
        <v>22</v>
      </c>
      <c r="N980" s="39" t="s">
        <v>418</v>
      </c>
    </row>
    <row r="981" spans="1:14" s="12" customFormat="1" ht="30">
      <c r="A981" s="178" t="s">
        <v>99</v>
      </c>
      <c r="B981" s="75" t="s">
        <v>1120</v>
      </c>
      <c r="C981" s="39" t="s">
        <v>1067</v>
      </c>
      <c r="D981" s="236"/>
      <c r="E981" s="236"/>
      <c r="F981" s="236"/>
      <c r="G981" s="236"/>
      <c r="H981" s="40">
        <f>SUM(Tabla132112419[[#This Row],[PRIMER TRIMESTRE]:[CUARTO TRIMESTRE]])</f>
        <v>0</v>
      </c>
      <c r="I981" s="17">
        <v>21000</v>
      </c>
      <c r="J981" s="17">
        <f t="shared" si="26"/>
        <v>0</v>
      </c>
      <c r="K981" s="17"/>
      <c r="L981" s="16" t="s">
        <v>18</v>
      </c>
      <c r="M981" s="16" t="s">
        <v>22</v>
      </c>
      <c r="N981" s="39" t="s">
        <v>418</v>
      </c>
    </row>
    <row r="982" spans="1:14" s="12" customFormat="1" ht="89.25">
      <c r="A982" s="178" t="s">
        <v>99</v>
      </c>
      <c r="B982" s="75" t="s">
        <v>1121</v>
      </c>
      <c r="C982" s="39" t="s">
        <v>1067</v>
      </c>
      <c r="D982" s="236"/>
      <c r="E982" s="236"/>
      <c r="F982" s="236"/>
      <c r="G982" s="236"/>
      <c r="H982" s="40">
        <f>SUM(Tabla132112419[[#This Row],[PRIMER TRIMESTRE]:[CUARTO TRIMESTRE]])</f>
        <v>0</v>
      </c>
      <c r="I982" s="17">
        <v>300000</v>
      </c>
      <c r="J982" s="17">
        <f t="shared" si="26"/>
        <v>0</v>
      </c>
      <c r="K982" s="17"/>
      <c r="L982" s="16" t="s">
        <v>18</v>
      </c>
      <c r="M982" s="16" t="s">
        <v>22</v>
      </c>
      <c r="N982" s="39" t="s">
        <v>418</v>
      </c>
    </row>
    <row r="983" spans="1:14" s="12" customFormat="1" ht="30">
      <c r="A983" s="178" t="s">
        <v>99</v>
      </c>
      <c r="B983" s="75" t="s">
        <v>1122</v>
      </c>
      <c r="C983" s="39" t="s">
        <v>1067</v>
      </c>
      <c r="D983" s="236"/>
      <c r="E983" s="236"/>
      <c r="F983" s="236"/>
      <c r="G983" s="236"/>
      <c r="H983" s="40">
        <f>SUM(Tabla132112419[[#This Row],[PRIMER TRIMESTRE]:[CUARTO TRIMESTRE]])</f>
        <v>0</v>
      </c>
      <c r="I983" s="17">
        <v>12000</v>
      </c>
      <c r="J983" s="17">
        <f t="shared" si="26"/>
        <v>0</v>
      </c>
      <c r="K983" s="17"/>
      <c r="L983" s="16" t="s">
        <v>18</v>
      </c>
      <c r="M983" s="16" t="s">
        <v>22</v>
      </c>
      <c r="N983" s="39" t="s">
        <v>418</v>
      </c>
    </row>
    <row r="984" spans="1:14" s="12" customFormat="1" ht="30">
      <c r="A984" s="178" t="s">
        <v>99</v>
      </c>
      <c r="B984" s="75" t="s">
        <v>1123</v>
      </c>
      <c r="C984" s="39" t="s">
        <v>1067</v>
      </c>
      <c r="D984" s="236"/>
      <c r="E984" s="236"/>
      <c r="F984" s="236"/>
      <c r="G984" s="236"/>
      <c r="H984" s="40">
        <f>SUM(Tabla132112419[[#This Row],[PRIMER TRIMESTRE]:[CUARTO TRIMESTRE]])</f>
        <v>0</v>
      </c>
      <c r="I984" s="17">
        <v>10000</v>
      </c>
      <c r="J984" s="17">
        <f t="shared" si="26"/>
        <v>0</v>
      </c>
      <c r="K984" s="17"/>
      <c r="L984" s="16" t="s">
        <v>18</v>
      </c>
      <c r="M984" s="16" t="s">
        <v>22</v>
      </c>
      <c r="N984" s="39" t="s">
        <v>418</v>
      </c>
    </row>
    <row r="985" spans="1:14" s="12" customFormat="1" ht="30">
      <c r="A985" s="178" t="s">
        <v>99</v>
      </c>
      <c r="B985" s="75" t="s">
        <v>1124</v>
      </c>
      <c r="C985" s="39" t="s">
        <v>1067</v>
      </c>
      <c r="D985" s="236"/>
      <c r="E985" s="236"/>
      <c r="F985" s="236"/>
      <c r="G985" s="236"/>
      <c r="H985" s="40">
        <f>SUM(Tabla132112419[[#This Row],[PRIMER TRIMESTRE]:[CUARTO TRIMESTRE]])</f>
        <v>0</v>
      </c>
      <c r="I985" s="17">
        <v>5000</v>
      </c>
      <c r="J985" s="17">
        <f t="shared" si="26"/>
        <v>0</v>
      </c>
      <c r="K985" s="17"/>
      <c r="L985" s="16" t="s">
        <v>18</v>
      </c>
      <c r="M985" s="16" t="s">
        <v>22</v>
      </c>
      <c r="N985" s="39" t="s">
        <v>418</v>
      </c>
    </row>
    <row r="986" spans="1:14" s="12" customFormat="1" ht="30">
      <c r="A986" s="178" t="s">
        <v>99</v>
      </c>
      <c r="B986" s="75" t="s">
        <v>1125</v>
      </c>
      <c r="C986" s="39" t="s">
        <v>1067</v>
      </c>
      <c r="D986" s="236"/>
      <c r="E986" s="236"/>
      <c r="F986" s="236"/>
      <c r="G986" s="236"/>
      <c r="H986" s="40">
        <f>SUM(Tabla132112419[[#This Row],[PRIMER TRIMESTRE]:[CUARTO TRIMESTRE]])</f>
        <v>0</v>
      </c>
      <c r="I986" s="17">
        <v>5000</v>
      </c>
      <c r="J986" s="17">
        <f t="shared" si="26"/>
        <v>0</v>
      </c>
      <c r="K986" s="17"/>
      <c r="L986" s="16" t="s">
        <v>18</v>
      </c>
      <c r="M986" s="16" t="s">
        <v>22</v>
      </c>
      <c r="N986" s="39" t="s">
        <v>418</v>
      </c>
    </row>
    <row r="987" spans="1:14" s="12" customFormat="1" ht="30">
      <c r="A987" s="178" t="s">
        <v>99</v>
      </c>
      <c r="B987" s="75" t="s">
        <v>1126</v>
      </c>
      <c r="C987" s="39" t="s">
        <v>1067</v>
      </c>
      <c r="D987" s="236"/>
      <c r="E987" s="236"/>
      <c r="F987" s="236"/>
      <c r="G987" s="236"/>
      <c r="H987" s="40">
        <f>SUM(Tabla132112419[[#This Row],[PRIMER TRIMESTRE]:[CUARTO TRIMESTRE]])</f>
        <v>0</v>
      </c>
      <c r="I987" s="17">
        <v>3000</v>
      </c>
      <c r="J987" s="17">
        <f t="shared" si="26"/>
        <v>0</v>
      </c>
      <c r="K987" s="17"/>
      <c r="L987" s="16" t="s">
        <v>18</v>
      </c>
      <c r="M987" s="16" t="s">
        <v>22</v>
      </c>
      <c r="N987" s="39" t="s">
        <v>418</v>
      </c>
    </row>
    <row r="988" spans="1:14" s="12" customFormat="1" ht="30">
      <c r="A988" s="178" t="s">
        <v>99</v>
      </c>
      <c r="B988" s="75" t="s">
        <v>1093</v>
      </c>
      <c r="C988" s="39" t="s">
        <v>1067</v>
      </c>
      <c r="D988" s="236"/>
      <c r="E988" s="236"/>
      <c r="F988" s="236"/>
      <c r="G988" s="236"/>
      <c r="H988" s="40">
        <f>SUM(Tabla132112419[[#This Row],[PRIMER TRIMESTRE]:[CUARTO TRIMESTRE]])</f>
        <v>0</v>
      </c>
      <c r="I988" s="17">
        <v>250</v>
      </c>
      <c r="J988" s="17">
        <f t="shared" si="26"/>
        <v>0</v>
      </c>
      <c r="K988" s="17"/>
      <c r="L988" s="16" t="s">
        <v>18</v>
      </c>
      <c r="M988" s="16" t="s">
        <v>22</v>
      </c>
      <c r="N988" s="39" t="s">
        <v>418</v>
      </c>
    </row>
    <row r="989" spans="1:14" s="12" customFormat="1" ht="30">
      <c r="A989" s="178" t="s">
        <v>99</v>
      </c>
      <c r="B989" s="75" t="s">
        <v>1127</v>
      </c>
      <c r="C989" s="39" t="s">
        <v>1067</v>
      </c>
      <c r="D989" s="236"/>
      <c r="E989" s="236"/>
      <c r="F989" s="236"/>
      <c r="G989" s="236"/>
      <c r="H989" s="40">
        <f>SUM(Tabla132112419[[#This Row],[PRIMER TRIMESTRE]:[CUARTO TRIMESTRE]])</f>
        <v>0</v>
      </c>
      <c r="I989" s="17">
        <v>80000</v>
      </c>
      <c r="J989" s="17">
        <f t="shared" si="26"/>
        <v>0</v>
      </c>
      <c r="K989" s="17"/>
      <c r="L989" s="16" t="s">
        <v>18</v>
      </c>
      <c r="M989" s="16" t="s">
        <v>22</v>
      </c>
      <c r="N989" s="39" t="s">
        <v>418</v>
      </c>
    </row>
    <row r="990" spans="1:14" s="12" customFormat="1" ht="30">
      <c r="A990" s="178" t="s">
        <v>99</v>
      </c>
      <c r="B990" s="75" t="s">
        <v>1128</v>
      </c>
      <c r="C990" s="39" t="s">
        <v>1067</v>
      </c>
      <c r="D990" s="236"/>
      <c r="E990" s="236"/>
      <c r="F990" s="236"/>
      <c r="G990" s="236"/>
      <c r="H990" s="40">
        <f>SUM(Tabla132112419[[#This Row],[PRIMER TRIMESTRE]:[CUARTO TRIMESTRE]])</f>
        <v>0</v>
      </c>
      <c r="I990" s="17">
        <v>1500</v>
      </c>
      <c r="J990" s="17">
        <f t="shared" si="26"/>
        <v>0</v>
      </c>
      <c r="K990" s="17"/>
      <c r="L990" s="16" t="s">
        <v>18</v>
      </c>
      <c r="M990" s="16" t="s">
        <v>22</v>
      </c>
      <c r="N990" s="39" t="s">
        <v>418</v>
      </c>
    </row>
    <row r="991" spans="1:14" s="12" customFormat="1" ht="30">
      <c r="A991" s="178" t="s">
        <v>99</v>
      </c>
      <c r="B991" s="75" t="s">
        <v>1129</v>
      </c>
      <c r="C991" s="39" t="s">
        <v>1067</v>
      </c>
      <c r="D991" s="236"/>
      <c r="E991" s="236"/>
      <c r="F991" s="236"/>
      <c r="G991" s="236"/>
      <c r="H991" s="40">
        <f>SUM(Tabla132112419[[#This Row],[PRIMER TRIMESTRE]:[CUARTO TRIMESTRE]])</f>
        <v>0</v>
      </c>
      <c r="I991" s="17">
        <v>1000</v>
      </c>
      <c r="J991" s="17">
        <f t="shared" si="26"/>
        <v>0</v>
      </c>
      <c r="K991" s="17"/>
      <c r="L991" s="16" t="s">
        <v>18</v>
      </c>
      <c r="M991" s="16" t="s">
        <v>22</v>
      </c>
      <c r="N991" s="39" t="s">
        <v>418</v>
      </c>
    </row>
    <row r="992" spans="1:14" s="12" customFormat="1" ht="30">
      <c r="A992" s="178" t="s">
        <v>99</v>
      </c>
      <c r="B992" s="75" t="s">
        <v>1130</v>
      </c>
      <c r="C992" s="39" t="s">
        <v>1067</v>
      </c>
      <c r="D992" s="236"/>
      <c r="E992" s="236"/>
      <c r="F992" s="236"/>
      <c r="G992" s="236"/>
      <c r="H992" s="40">
        <f>SUM(Tabla132112419[[#This Row],[PRIMER TRIMESTRE]:[CUARTO TRIMESTRE]])</f>
        <v>0</v>
      </c>
      <c r="I992" s="17">
        <v>2000</v>
      </c>
      <c r="J992" s="17">
        <f t="shared" si="26"/>
        <v>0</v>
      </c>
      <c r="K992" s="17"/>
      <c r="L992" s="16" t="s">
        <v>18</v>
      </c>
      <c r="M992" s="16" t="s">
        <v>22</v>
      </c>
      <c r="N992" s="39" t="s">
        <v>418</v>
      </c>
    </row>
    <row r="993" spans="1:14" s="12" customFormat="1" ht="30">
      <c r="A993" s="178" t="s">
        <v>99</v>
      </c>
      <c r="B993" s="75" t="s">
        <v>1131</v>
      </c>
      <c r="C993" s="39" t="s">
        <v>1067</v>
      </c>
      <c r="D993" s="236"/>
      <c r="E993" s="236"/>
      <c r="F993" s="236"/>
      <c r="G993" s="236"/>
      <c r="H993" s="40">
        <f>SUM(Tabla132112419[[#This Row],[PRIMER TRIMESTRE]:[CUARTO TRIMESTRE]])</f>
        <v>0</v>
      </c>
      <c r="I993" s="17">
        <v>300</v>
      </c>
      <c r="J993" s="17">
        <f t="shared" si="26"/>
        <v>0</v>
      </c>
      <c r="K993" s="17"/>
      <c r="L993" s="16" t="s">
        <v>18</v>
      </c>
      <c r="M993" s="16" t="s">
        <v>22</v>
      </c>
      <c r="N993" s="39" t="s">
        <v>418</v>
      </c>
    </row>
    <row r="994" spans="1:14" s="12" customFormat="1" ht="30">
      <c r="A994" s="178" t="s">
        <v>99</v>
      </c>
      <c r="B994" s="75" t="s">
        <v>1508</v>
      </c>
      <c r="C994" s="39" t="s">
        <v>1067</v>
      </c>
      <c r="D994" s="236"/>
      <c r="E994" s="236"/>
      <c r="F994" s="236"/>
      <c r="G994" s="236"/>
      <c r="H994" s="236">
        <f>SUM(Tabla132112419[[#This Row],[PRIMER TRIMESTRE]:[CUARTO TRIMESTRE]])</f>
        <v>0</v>
      </c>
      <c r="I994" s="17">
        <v>392</v>
      </c>
      <c r="J994" s="17">
        <f t="shared" si="26"/>
        <v>0</v>
      </c>
      <c r="K994" s="17"/>
      <c r="L994" s="16" t="s">
        <v>27</v>
      </c>
      <c r="M994" s="16" t="s">
        <v>22</v>
      </c>
      <c r="N994" s="39" t="s">
        <v>418</v>
      </c>
    </row>
    <row r="995" spans="1:14" s="12" customFormat="1" ht="30">
      <c r="A995" s="178" t="s">
        <v>99</v>
      </c>
      <c r="B995" s="75" t="s">
        <v>1132</v>
      </c>
      <c r="C995" s="39" t="s">
        <v>1067</v>
      </c>
      <c r="D995" s="236"/>
      <c r="E995" s="236"/>
      <c r="F995" s="236"/>
      <c r="G995" s="236"/>
      <c r="H995" s="40">
        <f>SUM(Tabla132112419[[#This Row],[PRIMER TRIMESTRE]:[CUARTO TRIMESTRE]])</f>
        <v>0</v>
      </c>
      <c r="I995" s="17">
        <v>60000</v>
      </c>
      <c r="J995" s="17">
        <f t="shared" si="26"/>
        <v>0</v>
      </c>
      <c r="K995" s="17"/>
      <c r="L995" s="16" t="s">
        <v>18</v>
      </c>
      <c r="M995" s="16" t="s">
        <v>22</v>
      </c>
      <c r="N995" s="39" t="s">
        <v>418</v>
      </c>
    </row>
    <row r="996" spans="1:14" s="12" customFormat="1" ht="63.75">
      <c r="A996" s="178" t="s">
        <v>99</v>
      </c>
      <c r="B996" s="75" t="s">
        <v>1133</v>
      </c>
      <c r="C996" s="39" t="s">
        <v>1067</v>
      </c>
      <c r="D996" s="236"/>
      <c r="E996" s="236"/>
      <c r="F996" s="236"/>
      <c r="G996" s="236"/>
      <c r="H996" s="40">
        <f>SUM(Tabla132112419[[#This Row],[PRIMER TRIMESTRE]:[CUARTO TRIMESTRE]])</f>
        <v>0</v>
      </c>
      <c r="I996" s="17">
        <v>3500</v>
      </c>
      <c r="J996" s="17">
        <f t="shared" si="26"/>
        <v>0</v>
      </c>
      <c r="K996" s="17"/>
      <c r="L996" s="16" t="s">
        <v>18</v>
      </c>
      <c r="M996" s="16" t="s">
        <v>22</v>
      </c>
      <c r="N996" s="39" t="s">
        <v>418</v>
      </c>
    </row>
    <row r="997" spans="1:14" s="12" customFormat="1" ht="30">
      <c r="A997" s="178" t="s">
        <v>99</v>
      </c>
      <c r="B997" s="75" t="s">
        <v>1873</v>
      </c>
      <c r="C997" s="39" t="s">
        <v>1067</v>
      </c>
      <c r="D997" s="236"/>
      <c r="E997" s="236"/>
      <c r="F997" s="236"/>
      <c r="G997" s="236"/>
      <c r="H997" s="40">
        <v>1</v>
      </c>
      <c r="I997" s="17">
        <v>1150</v>
      </c>
      <c r="J997" s="17">
        <f>Tabla132112419[[#This Row],[PRECIO UNITARIO ESTIMADO]]*Tabla132112419[[#This Row],[CANTIDAD TOTAL]]</f>
        <v>1150</v>
      </c>
      <c r="K997" s="17"/>
      <c r="L997" s="16" t="s">
        <v>18</v>
      </c>
      <c r="M997" s="16" t="s">
        <v>22</v>
      </c>
      <c r="N997" s="39" t="s">
        <v>418</v>
      </c>
    </row>
    <row r="998" spans="1:14" s="12" customFormat="1" ht="51">
      <c r="A998" s="178" t="s">
        <v>99</v>
      </c>
      <c r="B998" s="75" t="s">
        <v>1134</v>
      </c>
      <c r="C998" s="39" t="s">
        <v>1067</v>
      </c>
      <c r="D998" s="236"/>
      <c r="E998" s="236"/>
      <c r="F998" s="236"/>
      <c r="G998" s="236"/>
      <c r="H998" s="40">
        <f>SUM(Tabla132112419[[#This Row],[PRIMER TRIMESTRE]:[CUARTO TRIMESTRE]])</f>
        <v>0</v>
      </c>
      <c r="I998" s="17">
        <v>450000</v>
      </c>
      <c r="J998" s="17">
        <f t="shared" si="26"/>
        <v>0</v>
      </c>
      <c r="K998" s="17"/>
      <c r="L998" s="16" t="s">
        <v>18</v>
      </c>
      <c r="M998" s="16" t="s">
        <v>22</v>
      </c>
      <c r="N998" s="39" t="s">
        <v>418</v>
      </c>
    </row>
    <row r="999" spans="1:14" s="12" customFormat="1" ht="51">
      <c r="A999" s="178" t="s">
        <v>99</v>
      </c>
      <c r="B999" s="75" t="s">
        <v>1135</v>
      </c>
      <c r="C999" s="39" t="s">
        <v>1067</v>
      </c>
      <c r="D999" s="236"/>
      <c r="E999" s="236"/>
      <c r="F999" s="236"/>
      <c r="G999" s="236"/>
      <c r="H999" s="40">
        <f>SUM(Tabla132112419[[#This Row],[PRIMER TRIMESTRE]:[CUARTO TRIMESTRE]])</f>
        <v>0</v>
      </c>
      <c r="I999" s="17">
        <v>200000</v>
      </c>
      <c r="J999" s="17">
        <f t="shared" si="26"/>
        <v>0</v>
      </c>
      <c r="K999" s="17"/>
      <c r="L999" s="16" t="s">
        <v>18</v>
      </c>
      <c r="M999" s="16" t="s">
        <v>22</v>
      </c>
      <c r="N999" s="39" t="s">
        <v>418</v>
      </c>
    </row>
    <row r="1000" spans="1:14" s="12" customFormat="1" ht="38.25">
      <c r="A1000" s="178" t="s">
        <v>99</v>
      </c>
      <c r="B1000" s="75" t="s">
        <v>1136</v>
      </c>
      <c r="C1000" s="39" t="s">
        <v>1067</v>
      </c>
      <c r="D1000" s="236"/>
      <c r="E1000" s="236"/>
      <c r="F1000" s="236"/>
      <c r="G1000" s="236"/>
      <c r="H1000" s="40">
        <f>SUM(Tabla132112419[[#This Row],[PRIMER TRIMESTRE]:[CUARTO TRIMESTRE]])</f>
        <v>0</v>
      </c>
      <c r="I1000" s="17">
        <v>70000</v>
      </c>
      <c r="J1000" s="17">
        <f t="shared" si="26"/>
        <v>0</v>
      </c>
      <c r="K1000" s="17"/>
      <c r="L1000" s="16" t="s">
        <v>18</v>
      </c>
      <c r="M1000" s="16" t="s">
        <v>22</v>
      </c>
      <c r="N1000" s="39" t="s">
        <v>418</v>
      </c>
    </row>
    <row r="1001" spans="1:14" s="12" customFormat="1" ht="30">
      <c r="A1001" s="178" t="s">
        <v>99</v>
      </c>
      <c r="B1001" s="75" t="s">
        <v>1137</v>
      </c>
      <c r="C1001" s="39" t="s">
        <v>1067</v>
      </c>
      <c r="D1001" s="236"/>
      <c r="E1001" s="236"/>
      <c r="F1001" s="236"/>
      <c r="G1001" s="236"/>
      <c r="H1001" s="40">
        <f>SUM(Tabla132112419[[#This Row],[PRIMER TRIMESTRE]:[CUARTO TRIMESTRE]])</f>
        <v>0</v>
      </c>
      <c r="I1001" s="17">
        <v>20000</v>
      </c>
      <c r="J1001" s="17">
        <f t="shared" si="26"/>
        <v>0</v>
      </c>
      <c r="K1001" s="17"/>
      <c r="L1001" s="16" t="s">
        <v>18</v>
      </c>
      <c r="M1001" s="16" t="s">
        <v>22</v>
      </c>
      <c r="N1001" s="39" t="s">
        <v>418</v>
      </c>
    </row>
    <row r="1002" spans="1:14" s="12" customFormat="1" ht="30">
      <c r="A1002" s="178" t="s">
        <v>99</v>
      </c>
      <c r="B1002" s="75" t="s">
        <v>1148</v>
      </c>
      <c r="C1002" s="39" t="s">
        <v>1067</v>
      </c>
      <c r="D1002" s="236"/>
      <c r="E1002" s="236"/>
      <c r="F1002" s="236"/>
      <c r="G1002" s="236"/>
      <c r="H1002" s="40">
        <f>SUM(Tabla132112419[[#This Row],[PRIMER TRIMESTRE]:[CUARTO TRIMESTRE]])</f>
        <v>0</v>
      </c>
      <c r="I1002" s="17">
        <v>70</v>
      </c>
      <c r="J1002" s="17">
        <f t="shared" si="26"/>
        <v>0</v>
      </c>
      <c r="K1002" s="17"/>
      <c r="L1002" s="16" t="s">
        <v>18</v>
      </c>
      <c r="M1002" s="16" t="s">
        <v>22</v>
      </c>
      <c r="N1002" s="39" t="s">
        <v>418</v>
      </c>
    </row>
    <row r="1003" spans="1:14" s="12" customFormat="1" ht="30">
      <c r="A1003" s="178" t="s">
        <v>99</v>
      </c>
      <c r="B1003" s="75" t="s">
        <v>1139</v>
      </c>
      <c r="C1003" s="39" t="s">
        <v>1067</v>
      </c>
      <c r="D1003" s="236"/>
      <c r="E1003" s="236"/>
      <c r="F1003" s="236"/>
      <c r="G1003" s="236"/>
      <c r="H1003" s="40">
        <f>SUM(Tabla132112419[[#This Row],[PRIMER TRIMESTRE]:[CUARTO TRIMESTRE]])</f>
        <v>0</v>
      </c>
      <c r="I1003" s="17">
        <v>10000</v>
      </c>
      <c r="J1003" s="17">
        <f t="shared" si="26"/>
        <v>0</v>
      </c>
      <c r="K1003" s="17"/>
      <c r="L1003" s="16" t="s">
        <v>18</v>
      </c>
      <c r="M1003" s="16" t="s">
        <v>22</v>
      </c>
      <c r="N1003" s="39" t="s">
        <v>418</v>
      </c>
    </row>
    <row r="1004" spans="1:14" s="12" customFormat="1" ht="76.5">
      <c r="A1004" s="178" t="s">
        <v>99</v>
      </c>
      <c r="B1004" s="75" t="s">
        <v>1140</v>
      </c>
      <c r="C1004" s="39" t="s">
        <v>1067</v>
      </c>
      <c r="D1004" s="236"/>
      <c r="E1004" s="236"/>
      <c r="F1004" s="236"/>
      <c r="G1004" s="236"/>
      <c r="H1004" s="40">
        <f>SUM(Tabla132112419[[#This Row],[PRIMER TRIMESTRE]:[CUARTO TRIMESTRE]])</f>
        <v>0</v>
      </c>
      <c r="I1004" s="17">
        <v>60000</v>
      </c>
      <c r="J1004" s="17">
        <f t="shared" si="26"/>
        <v>0</v>
      </c>
      <c r="K1004" s="17"/>
      <c r="L1004" s="16" t="s">
        <v>18</v>
      </c>
      <c r="M1004" s="16" t="s">
        <v>22</v>
      </c>
      <c r="N1004" s="39" t="s">
        <v>418</v>
      </c>
    </row>
    <row r="1005" spans="1:14" s="12" customFormat="1" ht="30">
      <c r="A1005" s="178" t="s">
        <v>99</v>
      </c>
      <c r="B1005" s="75" t="s">
        <v>1141</v>
      </c>
      <c r="C1005" s="39" t="s">
        <v>718</v>
      </c>
      <c r="D1005" s="236"/>
      <c r="E1005" s="236"/>
      <c r="F1005" s="236"/>
      <c r="G1005" s="236"/>
      <c r="H1005" s="40">
        <f>SUM(Tabla132112419[[#This Row],[PRIMER TRIMESTRE]:[CUARTO TRIMESTRE]])</f>
        <v>0</v>
      </c>
      <c r="I1005" s="17">
        <v>4000</v>
      </c>
      <c r="J1005" s="17">
        <f t="shared" si="26"/>
        <v>0</v>
      </c>
      <c r="K1005" s="17"/>
      <c r="L1005" s="16" t="s">
        <v>18</v>
      </c>
      <c r="M1005" s="16" t="s">
        <v>22</v>
      </c>
      <c r="N1005" s="39" t="s">
        <v>418</v>
      </c>
    </row>
    <row r="1006" spans="1:14" s="12" customFormat="1" ht="30">
      <c r="A1006" s="178" t="s">
        <v>99</v>
      </c>
      <c r="B1006" s="75" t="s">
        <v>1142</v>
      </c>
      <c r="C1006" s="39" t="s">
        <v>718</v>
      </c>
      <c r="D1006" s="236"/>
      <c r="E1006" s="236"/>
      <c r="F1006" s="236"/>
      <c r="G1006" s="236"/>
      <c r="H1006" s="40">
        <f>SUM(Tabla132112419[[#This Row],[PRIMER TRIMESTRE]:[CUARTO TRIMESTRE]])</f>
        <v>0</v>
      </c>
      <c r="I1006" s="17">
        <v>3000</v>
      </c>
      <c r="J1006" s="17">
        <f t="shared" si="26"/>
        <v>0</v>
      </c>
      <c r="K1006" s="17"/>
      <c r="L1006" s="16" t="s">
        <v>18</v>
      </c>
      <c r="M1006" s="16" t="s">
        <v>22</v>
      </c>
      <c r="N1006" s="39" t="s">
        <v>418</v>
      </c>
    </row>
    <row r="1007" spans="1:14" s="12" customFormat="1" ht="30">
      <c r="A1007" s="178" t="s">
        <v>99</v>
      </c>
      <c r="B1007" s="75" t="s">
        <v>1143</v>
      </c>
      <c r="C1007" s="39" t="s">
        <v>1065</v>
      </c>
      <c r="D1007" s="236"/>
      <c r="E1007" s="236"/>
      <c r="F1007" s="236"/>
      <c r="G1007" s="236"/>
      <c r="H1007" s="40">
        <f>SUM(Tabla132112419[[#This Row],[PRIMER TRIMESTRE]:[CUARTO TRIMESTRE]])</f>
        <v>0</v>
      </c>
      <c r="I1007" s="17">
        <v>4500</v>
      </c>
      <c r="J1007" s="17">
        <f t="shared" si="26"/>
        <v>0</v>
      </c>
      <c r="K1007" s="17"/>
      <c r="L1007" s="16" t="s">
        <v>18</v>
      </c>
      <c r="M1007" s="16" t="s">
        <v>22</v>
      </c>
      <c r="N1007" s="39" t="s">
        <v>418</v>
      </c>
    </row>
    <row r="1008" spans="1:14" s="12" customFormat="1" ht="30">
      <c r="A1008" s="178" t="s">
        <v>99</v>
      </c>
      <c r="B1008" s="75" t="s">
        <v>1144</v>
      </c>
      <c r="C1008" s="39" t="s">
        <v>102</v>
      </c>
      <c r="D1008" s="236"/>
      <c r="E1008" s="236"/>
      <c r="F1008" s="236"/>
      <c r="G1008" s="236"/>
      <c r="H1008" s="40">
        <f>SUM(Tabla132112419[[#This Row],[PRIMER TRIMESTRE]:[CUARTO TRIMESTRE]])</f>
        <v>0</v>
      </c>
      <c r="I1008" s="17">
        <v>1000</v>
      </c>
      <c r="J1008" s="17">
        <f t="shared" si="26"/>
        <v>0</v>
      </c>
      <c r="K1008" s="17"/>
      <c r="L1008" s="16" t="s">
        <v>18</v>
      </c>
      <c r="M1008" s="16" t="s">
        <v>22</v>
      </c>
      <c r="N1008" s="39" t="s">
        <v>418</v>
      </c>
    </row>
    <row r="1009" spans="1:14" s="12" customFormat="1" ht="30.75" customHeight="1">
      <c r="A1009" s="178" t="s">
        <v>99</v>
      </c>
      <c r="B1009" s="75" t="s">
        <v>1145</v>
      </c>
      <c r="C1009" s="39" t="s">
        <v>1067</v>
      </c>
      <c r="D1009" s="236"/>
      <c r="E1009" s="236"/>
      <c r="F1009" s="236"/>
      <c r="G1009" s="236"/>
      <c r="H1009" s="40">
        <f>SUM(Tabla132112419[[#This Row],[PRIMER TRIMESTRE]:[CUARTO TRIMESTRE]])</f>
        <v>0</v>
      </c>
      <c r="I1009" s="17">
        <v>184000</v>
      </c>
      <c r="J1009" s="17">
        <f t="shared" si="26"/>
        <v>0</v>
      </c>
      <c r="K1009" s="17"/>
      <c r="L1009" s="16" t="s">
        <v>18</v>
      </c>
      <c r="M1009" s="16" t="s">
        <v>22</v>
      </c>
      <c r="N1009" s="39" t="s">
        <v>418</v>
      </c>
    </row>
    <row r="1010" spans="1:14" s="26" customFormat="1" ht="30.75" customHeight="1">
      <c r="A1010" s="178" t="s">
        <v>99</v>
      </c>
      <c r="B1010" s="75" t="s">
        <v>1146</v>
      </c>
      <c r="C1010" s="39" t="s">
        <v>1067</v>
      </c>
      <c r="D1010" s="236"/>
      <c r="E1010" s="236"/>
      <c r="F1010" s="236"/>
      <c r="G1010" s="236"/>
      <c r="H1010" s="40">
        <f>SUM(Tabla132112419[[#This Row],[PRIMER TRIMESTRE]:[CUARTO TRIMESTRE]])</f>
        <v>0</v>
      </c>
      <c r="I1010" s="17">
        <v>85000</v>
      </c>
      <c r="J1010" s="17">
        <f t="shared" si="26"/>
        <v>0</v>
      </c>
      <c r="K1010" s="17"/>
      <c r="L1010" s="16" t="s">
        <v>18</v>
      </c>
      <c r="M1010" s="16" t="s">
        <v>22</v>
      </c>
      <c r="N1010" s="39" t="s">
        <v>418</v>
      </c>
    </row>
    <row r="1011" spans="1:14" s="12" customFormat="1" ht="30.75" customHeight="1">
      <c r="A1011" s="178" t="s">
        <v>99</v>
      </c>
      <c r="B1011" s="75" t="s">
        <v>1147</v>
      </c>
      <c r="C1011" s="39" t="s">
        <v>1067</v>
      </c>
      <c r="D1011" s="236"/>
      <c r="E1011" s="236"/>
      <c r="F1011" s="236"/>
      <c r="G1011" s="236"/>
      <c r="H1011" s="40">
        <f>SUM(Tabla132112419[[#This Row],[PRIMER TRIMESTRE]:[CUARTO TRIMESTRE]])</f>
        <v>0</v>
      </c>
      <c r="I1011" s="17">
        <v>10000</v>
      </c>
      <c r="J1011" s="17">
        <f t="shared" si="26"/>
        <v>0</v>
      </c>
      <c r="K1011" s="17"/>
      <c r="L1011" s="16" t="s">
        <v>18</v>
      </c>
      <c r="M1011" s="16" t="s">
        <v>22</v>
      </c>
      <c r="N1011" s="39" t="s">
        <v>418</v>
      </c>
    </row>
    <row r="1012" spans="1:14" s="12" customFormat="1" ht="30.75" customHeight="1">
      <c r="A1012" s="178" t="s">
        <v>99</v>
      </c>
      <c r="B1012" s="75" t="s">
        <v>1452</v>
      </c>
      <c r="C1012" s="39" t="s">
        <v>17</v>
      </c>
      <c r="D1012" s="236"/>
      <c r="E1012" s="236"/>
      <c r="F1012" s="236"/>
      <c r="G1012" s="236"/>
      <c r="H1012" s="236">
        <f>SUM(Tabla132112419[[#This Row],[PRIMER TRIMESTRE]:[CUARTO TRIMESTRE]])</f>
        <v>0</v>
      </c>
      <c r="I1012" s="17">
        <v>5589.05</v>
      </c>
      <c r="J1012" s="17">
        <f t="shared" si="26"/>
        <v>0</v>
      </c>
      <c r="K1012" s="17"/>
      <c r="L1012" s="16" t="s">
        <v>27</v>
      </c>
      <c r="M1012" s="16" t="s">
        <v>19</v>
      </c>
      <c r="N1012" s="39" t="s">
        <v>342</v>
      </c>
    </row>
    <row r="1013" spans="1:14" s="12" customFormat="1" ht="30.75" customHeight="1">
      <c r="A1013" s="178" t="s">
        <v>99</v>
      </c>
      <c r="B1013" s="75" t="s">
        <v>1453</v>
      </c>
      <c r="C1013" s="39" t="s">
        <v>17</v>
      </c>
      <c r="D1013" s="236"/>
      <c r="E1013" s="236"/>
      <c r="F1013" s="236"/>
      <c r="G1013" s="236"/>
      <c r="H1013" s="236">
        <f>SUM(Tabla132112419[[#This Row],[PRIMER TRIMESTRE]:[CUARTO TRIMESTRE]])</f>
        <v>0</v>
      </c>
      <c r="I1013" s="17">
        <v>15710.6</v>
      </c>
      <c r="J1013" s="17">
        <f t="shared" si="26"/>
        <v>0</v>
      </c>
      <c r="K1013" s="17"/>
      <c r="L1013" s="16" t="s">
        <v>27</v>
      </c>
      <c r="M1013" s="16" t="s">
        <v>19</v>
      </c>
      <c r="N1013" s="39" t="s">
        <v>342</v>
      </c>
    </row>
    <row r="1014" spans="1:14" s="12" customFormat="1" ht="30.75" customHeight="1">
      <c r="A1014" s="178" t="s">
        <v>99</v>
      </c>
      <c r="B1014" s="75" t="s">
        <v>1454</v>
      </c>
      <c r="C1014" s="39" t="s">
        <v>17</v>
      </c>
      <c r="D1014" s="236"/>
      <c r="E1014" s="236"/>
      <c r="F1014" s="236"/>
      <c r="G1014" s="236"/>
      <c r="H1014" s="236">
        <f>SUM(Tabla132112419[[#This Row],[PRIMER TRIMESTRE]:[CUARTO TRIMESTRE]])</f>
        <v>0</v>
      </c>
      <c r="I1014" s="17">
        <v>5347.87</v>
      </c>
      <c r="J1014" s="17">
        <f t="shared" si="26"/>
        <v>0</v>
      </c>
      <c r="K1014" s="17"/>
      <c r="L1014" s="16" t="s">
        <v>27</v>
      </c>
      <c r="M1014" s="16" t="s">
        <v>19</v>
      </c>
      <c r="N1014" s="39" t="s">
        <v>342</v>
      </c>
    </row>
    <row r="1015" spans="1:14" s="12" customFormat="1" ht="30.75" customHeight="1">
      <c r="A1015" s="178" t="s">
        <v>99</v>
      </c>
      <c r="B1015" s="75" t="s">
        <v>1455</v>
      </c>
      <c r="C1015" s="39" t="s">
        <v>17</v>
      </c>
      <c r="D1015" s="236"/>
      <c r="E1015" s="236"/>
      <c r="F1015" s="236"/>
      <c r="G1015" s="236"/>
      <c r="H1015" s="236">
        <f>SUM(Tabla132112419[[#This Row],[PRIMER TRIMESTRE]:[CUARTO TRIMESTRE]])</f>
        <v>0</v>
      </c>
      <c r="I1015" s="17">
        <v>213.48</v>
      </c>
      <c r="J1015" s="17">
        <f t="shared" si="26"/>
        <v>0</v>
      </c>
      <c r="K1015" s="17"/>
      <c r="L1015" s="16" t="s">
        <v>27</v>
      </c>
      <c r="M1015" s="16" t="s">
        <v>19</v>
      </c>
      <c r="N1015" s="39" t="s">
        <v>342</v>
      </c>
    </row>
    <row r="1016" spans="1:14" s="12" customFormat="1" ht="30.75" customHeight="1">
      <c r="A1016" s="178" t="s">
        <v>99</v>
      </c>
      <c r="B1016" s="75" t="s">
        <v>1456</v>
      </c>
      <c r="C1016" s="39" t="s">
        <v>17</v>
      </c>
      <c r="D1016" s="236"/>
      <c r="E1016" s="236"/>
      <c r="F1016" s="236"/>
      <c r="G1016" s="236"/>
      <c r="H1016" s="236">
        <f>SUM(Tabla132112419[[#This Row],[PRIMER TRIMESTRE]:[CUARTO TRIMESTRE]])</f>
        <v>0</v>
      </c>
      <c r="I1016" s="17">
        <v>719</v>
      </c>
      <c r="J1016" s="17">
        <f t="shared" si="26"/>
        <v>0</v>
      </c>
      <c r="K1016" s="17"/>
      <c r="L1016" s="16" t="s">
        <v>27</v>
      </c>
      <c r="M1016" s="16" t="s">
        <v>19</v>
      </c>
      <c r="N1016" s="39" t="s">
        <v>342</v>
      </c>
    </row>
    <row r="1017" spans="1:14" s="12" customFormat="1" ht="30.75" customHeight="1">
      <c r="A1017" s="178" t="s">
        <v>99</v>
      </c>
      <c r="B1017" s="75" t="s">
        <v>1457</v>
      </c>
      <c r="C1017" s="39" t="s">
        <v>17</v>
      </c>
      <c r="D1017" s="236"/>
      <c r="E1017" s="236"/>
      <c r="F1017" s="236"/>
      <c r="G1017" s="236"/>
      <c r="H1017" s="236">
        <f>SUM(Tabla132112419[[#This Row],[PRIMER TRIMESTRE]:[CUARTO TRIMESTRE]])</f>
        <v>0</v>
      </c>
      <c r="I1017" s="17">
        <v>213.48</v>
      </c>
      <c r="J1017" s="17">
        <f t="shared" si="26"/>
        <v>0</v>
      </c>
      <c r="K1017" s="17"/>
      <c r="L1017" s="16" t="s">
        <v>27</v>
      </c>
      <c r="M1017" s="16" t="s">
        <v>19</v>
      </c>
      <c r="N1017" s="39" t="s">
        <v>342</v>
      </c>
    </row>
    <row r="1018" spans="1:14" s="12" customFormat="1" ht="30.75" customHeight="1">
      <c r="A1018" s="178" t="s">
        <v>99</v>
      </c>
      <c r="B1018" s="75" t="s">
        <v>1458</v>
      </c>
      <c r="C1018" s="39" t="s">
        <v>17</v>
      </c>
      <c r="D1018" s="236"/>
      <c r="E1018" s="236"/>
      <c r="F1018" s="236"/>
      <c r="G1018" s="236"/>
      <c r="H1018" s="236">
        <f>SUM(Tabla132112419[[#This Row],[PRIMER TRIMESTRE]:[CUARTO TRIMESTRE]])</f>
        <v>0</v>
      </c>
      <c r="I1018" s="17">
        <v>1100</v>
      </c>
      <c r="J1018" s="17">
        <f t="shared" si="26"/>
        <v>0</v>
      </c>
      <c r="K1018" s="17"/>
      <c r="L1018" s="16" t="s">
        <v>27</v>
      </c>
      <c r="M1018" s="16" t="s">
        <v>19</v>
      </c>
      <c r="N1018" s="39" t="s">
        <v>342</v>
      </c>
    </row>
    <row r="1019" spans="1:14" s="26" customFormat="1" ht="30.75" customHeight="1">
      <c r="A1019" s="178" t="s">
        <v>99</v>
      </c>
      <c r="B1019" s="75" t="s">
        <v>1459</v>
      </c>
      <c r="C1019" s="39" t="s">
        <v>33</v>
      </c>
      <c r="D1019" s="236"/>
      <c r="E1019" s="236"/>
      <c r="F1019" s="236"/>
      <c r="G1019" s="236"/>
      <c r="H1019" s="236">
        <f>SUM(Tabla132112419[[#This Row],[PRIMER TRIMESTRE]:[CUARTO TRIMESTRE]])</f>
        <v>0</v>
      </c>
      <c r="I1019" s="17">
        <v>250</v>
      </c>
      <c r="J1019" s="17">
        <f t="shared" si="26"/>
        <v>0</v>
      </c>
      <c r="K1019" s="17"/>
      <c r="L1019" s="16" t="s">
        <v>27</v>
      </c>
      <c r="M1019" s="16" t="s">
        <v>19</v>
      </c>
      <c r="N1019" s="39" t="s">
        <v>342</v>
      </c>
    </row>
    <row r="1020" spans="1:14" s="12" customFormat="1" ht="30.75" customHeight="1">
      <c r="A1020" s="178" t="s">
        <v>99</v>
      </c>
      <c r="B1020" s="75" t="s">
        <v>1460</v>
      </c>
      <c r="C1020" s="39" t="s">
        <v>208</v>
      </c>
      <c r="D1020" s="236"/>
      <c r="E1020" s="236"/>
      <c r="F1020" s="236"/>
      <c r="G1020" s="236"/>
      <c r="H1020" s="236">
        <f>SUM(Tabla132112419[[#This Row],[PRIMER TRIMESTRE]:[CUARTO TRIMESTRE]])</f>
        <v>0</v>
      </c>
      <c r="I1020" s="17">
        <v>1130</v>
      </c>
      <c r="J1020" s="17">
        <f t="shared" si="26"/>
        <v>0</v>
      </c>
      <c r="K1020" s="17"/>
      <c r="L1020" s="16" t="s">
        <v>27</v>
      </c>
      <c r="M1020" s="16" t="s">
        <v>19</v>
      </c>
      <c r="N1020" s="39" t="s">
        <v>342</v>
      </c>
    </row>
    <row r="1021" spans="1:14" s="12" customFormat="1" ht="30.75" customHeight="1">
      <c r="A1021" s="179" t="s">
        <v>99</v>
      </c>
      <c r="B1021" s="76"/>
      <c r="C1021" s="42"/>
      <c r="D1021" s="237"/>
      <c r="E1021" s="237"/>
      <c r="F1021" s="237"/>
      <c r="G1021" s="237"/>
      <c r="H1021" s="43"/>
      <c r="I1021" s="24"/>
      <c r="J1021" s="24"/>
      <c r="K1021" s="25">
        <f>SUM(J890:J1020)</f>
        <v>1150</v>
      </c>
      <c r="L1021" s="23"/>
      <c r="M1021" s="23"/>
      <c r="N1021" s="42"/>
    </row>
    <row r="1022" spans="1:14" s="12" customFormat="1" ht="30.75" customHeight="1">
      <c r="A1022" s="178" t="s">
        <v>113</v>
      </c>
      <c r="B1022" s="75" t="s">
        <v>236</v>
      </c>
      <c r="C1022" s="39" t="s">
        <v>17</v>
      </c>
      <c r="D1022" s="236"/>
      <c r="E1022" s="236"/>
      <c r="F1022" s="236"/>
      <c r="G1022" s="236"/>
      <c r="H1022" s="40">
        <f>SUM(Tabla132112419[[#This Row],[PRIMER TRIMESTRE]:[CUARTO TRIMESTRE]])</f>
        <v>0</v>
      </c>
      <c r="I1022" s="17">
        <v>806.2</v>
      </c>
      <c r="J1022" s="17">
        <f>+Tabla132112419[[#This Row],[CANTIDAD TOTAL]]*Tabla132112419[[#This Row],[PRECIO UNITARIO ESTIMADO]]</f>
        <v>0</v>
      </c>
      <c r="K1022" s="17"/>
      <c r="L1022" s="16" t="s">
        <v>15</v>
      </c>
      <c r="M1022" s="16" t="s">
        <v>22</v>
      </c>
      <c r="N1022" s="39" t="s">
        <v>418</v>
      </c>
    </row>
    <row r="1023" spans="1:14" s="12" customFormat="1" ht="30.75" customHeight="1">
      <c r="A1023" s="178" t="s">
        <v>113</v>
      </c>
      <c r="B1023" s="75" t="s">
        <v>233</v>
      </c>
      <c r="C1023" s="39" t="s">
        <v>234</v>
      </c>
      <c r="D1023" s="236"/>
      <c r="E1023" s="236"/>
      <c r="F1023" s="236"/>
      <c r="G1023" s="236"/>
      <c r="H1023" s="40">
        <f>SUM(Tabla132112419[[#This Row],[PRIMER TRIMESTRE]:[CUARTO TRIMESTRE]])</f>
        <v>0</v>
      </c>
      <c r="I1023" s="17">
        <v>7099.2</v>
      </c>
      <c r="J1023" s="17">
        <f>+Tabla132112419[[#This Row],[CANTIDAD TOTAL]]*Tabla132112419[[#This Row],[PRECIO UNITARIO ESTIMADO]]</f>
        <v>0</v>
      </c>
      <c r="K1023" s="17"/>
      <c r="L1023" s="16" t="s">
        <v>27</v>
      </c>
      <c r="M1023" s="16" t="s">
        <v>22</v>
      </c>
      <c r="N1023" s="39" t="s">
        <v>418</v>
      </c>
    </row>
    <row r="1024" spans="1:14" s="12" customFormat="1" ht="30.75" customHeight="1">
      <c r="A1024" s="178" t="s">
        <v>113</v>
      </c>
      <c r="B1024" s="75" t="s">
        <v>235</v>
      </c>
      <c r="C1024" s="39" t="s">
        <v>69</v>
      </c>
      <c r="D1024" s="236"/>
      <c r="E1024" s="236"/>
      <c r="F1024" s="236"/>
      <c r="G1024" s="236"/>
      <c r="H1024" s="40">
        <f>SUM(Tabla132112419[[#This Row],[PRIMER TRIMESTRE]:[CUARTO TRIMESTRE]])</f>
        <v>0</v>
      </c>
      <c r="I1024" s="17">
        <v>52.2</v>
      </c>
      <c r="J1024" s="17">
        <f>+Tabla132112419[[#This Row],[CANTIDAD TOTAL]]*Tabla132112419[[#This Row],[PRECIO UNITARIO ESTIMADO]]</f>
        <v>0</v>
      </c>
      <c r="K1024" s="17"/>
      <c r="L1024" s="16" t="s">
        <v>27</v>
      </c>
      <c r="M1024" s="16" t="s">
        <v>22</v>
      </c>
      <c r="N1024" s="39" t="s">
        <v>418</v>
      </c>
    </row>
    <row r="1025" spans="1:14" s="12" customFormat="1" ht="30">
      <c r="A1025" s="178" t="s">
        <v>113</v>
      </c>
      <c r="B1025" s="75" t="s">
        <v>320</v>
      </c>
      <c r="C1025" s="39" t="s">
        <v>17</v>
      </c>
      <c r="D1025" s="236"/>
      <c r="E1025" s="236"/>
      <c r="F1025" s="236"/>
      <c r="G1025" s="236"/>
      <c r="H1025" s="40">
        <f>SUM(Tabla132112419[[#This Row],[PRIMER TRIMESTRE]:[CUARTO TRIMESTRE]])</f>
        <v>0</v>
      </c>
      <c r="I1025" s="17">
        <f>41960.8/121</f>
        <v>346.7834710743802</v>
      </c>
      <c r="J1025" s="17">
        <f>+Tabla132112419[[#This Row],[CANTIDAD TOTAL]]*Tabla132112419[[#This Row],[PRECIO UNITARIO ESTIMADO]]</f>
        <v>0</v>
      </c>
      <c r="K1025" s="17"/>
      <c r="L1025" s="16" t="s">
        <v>15</v>
      </c>
      <c r="M1025" s="16" t="s">
        <v>22</v>
      </c>
      <c r="N1025" s="39" t="s">
        <v>418</v>
      </c>
    </row>
    <row r="1026" spans="1:14" s="26" customFormat="1" ht="30">
      <c r="A1026" s="178" t="s">
        <v>113</v>
      </c>
      <c r="B1026" s="75" t="s">
        <v>237</v>
      </c>
      <c r="C1026" s="39" t="s">
        <v>17</v>
      </c>
      <c r="D1026" s="236"/>
      <c r="E1026" s="236"/>
      <c r="F1026" s="236"/>
      <c r="G1026" s="236"/>
      <c r="H1026" s="40">
        <f>SUM(Tabla132112419[[#This Row],[PRIMER TRIMESTRE]:[CUARTO TRIMESTRE]])</f>
        <v>0</v>
      </c>
      <c r="I1026" s="17">
        <v>668</v>
      </c>
      <c r="J1026" s="17">
        <f>+Tabla132112419[[#This Row],[CANTIDAD TOTAL]]*Tabla132112419[[#This Row],[PRECIO UNITARIO ESTIMADO]]</f>
        <v>0</v>
      </c>
      <c r="K1026" s="17"/>
      <c r="L1026" s="16" t="s">
        <v>15</v>
      </c>
      <c r="M1026" s="16" t="s">
        <v>22</v>
      </c>
      <c r="N1026" s="39" t="s">
        <v>418</v>
      </c>
    </row>
    <row r="1027" spans="1:14" s="169" customFormat="1" ht="30">
      <c r="A1027" s="178" t="s">
        <v>113</v>
      </c>
      <c r="B1027" s="75" t="s">
        <v>238</v>
      </c>
      <c r="C1027" s="39" t="s">
        <v>208</v>
      </c>
      <c r="D1027" s="236"/>
      <c r="E1027" s="236"/>
      <c r="F1027" s="236"/>
      <c r="G1027" s="236"/>
      <c r="H1027" s="40">
        <f>SUM(Tabla132112419[[#This Row],[PRIMER TRIMESTRE]:[CUARTO TRIMESTRE]])</f>
        <v>0</v>
      </c>
      <c r="I1027" s="17">
        <v>754</v>
      </c>
      <c r="J1027" s="17">
        <f>+Tabla132112419[[#This Row],[CANTIDAD TOTAL]]*Tabla132112419[[#This Row],[PRECIO UNITARIO ESTIMADO]]</f>
        <v>0</v>
      </c>
      <c r="K1027" s="17"/>
      <c r="L1027" s="16" t="s">
        <v>27</v>
      </c>
      <c r="M1027" s="16" t="s">
        <v>22</v>
      </c>
      <c r="N1027" s="39" t="s">
        <v>418</v>
      </c>
    </row>
    <row r="1028" spans="1:14" s="12" customFormat="1" ht="31.5">
      <c r="A1028" s="179" t="s">
        <v>113</v>
      </c>
      <c r="B1028" s="76"/>
      <c r="C1028" s="42"/>
      <c r="D1028" s="237"/>
      <c r="E1028" s="237"/>
      <c r="F1028" s="237"/>
      <c r="G1028" s="237"/>
      <c r="H1028" s="43"/>
      <c r="I1028" s="24"/>
      <c r="J1028" s="24"/>
      <c r="K1028" s="25">
        <f>SUM(J1022:J1027)</f>
        <v>0</v>
      </c>
      <c r="L1028" s="23"/>
      <c r="M1028" s="23"/>
      <c r="N1028" s="42"/>
    </row>
    <row r="1029" spans="1:14" s="12" customFormat="1" ht="18">
      <c r="A1029" s="180" t="s">
        <v>115</v>
      </c>
      <c r="B1029" s="77" t="s">
        <v>319</v>
      </c>
      <c r="C1029" s="70" t="s">
        <v>17</v>
      </c>
      <c r="D1029" s="210"/>
      <c r="E1029" s="210"/>
      <c r="F1029" s="210"/>
      <c r="G1029" s="210"/>
      <c r="H1029" s="406">
        <f>SUM(Tabla132112419[[#This Row],[PRIMER TRIMESTRE]:[CUARTO TRIMESTRE]])</f>
        <v>0</v>
      </c>
      <c r="I1029" s="72">
        <f>544724/8</f>
        <v>68090.5</v>
      </c>
      <c r="J1029" s="72">
        <f>+Tabla132112419[[#This Row],[CANTIDAD TOTAL]]*Tabla132112419[[#This Row],[PRECIO UNITARIO ESTIMADO]]</f>
        <v>0</v>
      </c>
      <c r="K1029" s="72"/>
      <c r="L1029" s="73" t="s">
        <v>18</v>
      </c>
      <c r="M1029" s="73" t="s">
        <v>22</v>
      </c>
      <c r="N1029" s="70" t="s">
        <v>418</v>
      </c>
    </row>
    <row r="1030" spans="1:14" s="12" customFormat="1" ht="18">
      <c r="A1030" s="178" t="s">
        <v>115</v>
      </c>
      <c r="B1030" s="75" t="s">
        <v>428</v>
      </c>
      <c r="C1030" s="39" t="s">
        <v>17</v>
      </c>
      <c r="D1030" s="236"/>
      <c r="E1030" s="236"/>
      <c r="F1030" s="236"/>
      <c r="G1030" s="236"/>
      <c r="H1030" s="40">
        <f>SUM(Tabla132112419[[#This Row],[PRIMER TRIMESTRE]:[CUARTO TRIMESTRE]])</f>
        <v>0</v>
      </c>
      <c r="I1030" s="17">
        <v>3074</v>
      </c>
      <c r="J1030" s="17">
        <f>+Tabla132112419[[#This Row],[CANTIDAD TOTAL]]*Tabla132112419[[#This Row],[PRECIO UNITARIO ESTIMADO]]</f>
        <v>0</v>
      </c>
      <c r="K1030" s="17"/>
      <c r="L1030" s="73" t="s">
        <v>18</v>
      </c>
      <c r="M1030" s="16" t="s">
        <v>22</v>
      </c>
      <c r="N1030" s="39" t="s">
        <v>418</v>
      </c>
    </row>
    <row r="1031" spans="1:14" s="12" customFormat="1" ht="18">
      <c r="A1031" s="178" t="s">
        <v>115</v>
      </c>
      <c r="B1031" s="75" t="s">
        <v>244</v>
      </c>
      <c r="C1031" s="39" t="s">
        <v>17</v>
      </c>
      <c r="D1031" s="236">
        <v>1</v>
      </c>
      <c r="E1031" s="236"/>
      <c r="F1031" s="236"/>
      <c r="G1031" s="236"/>
      <c r="H1031" s="40">
        <f>SUM(Tabla132112419[[#This Row],[PRIMER TRIMESTRE]:[CUARTO TRIMESTRE]])</f>
        <v>1</v>
      </c>
      <c r="I1031" s="17">
        <v>24940</v>
      </c>
      <c r="J1031" s="17">
        <f>+Tabla132112419[[#This Row],[CANTIDAD TOTAL]]*Tabla132112419[[#This Row],[PRECIO UNITARIO ESTIMADO]]</f>
        <v>24940</v>
      </c>
      <c r="K1031" s="17"/>
      <c r="L1031" s="73" t="s">
        <v>18</v>
      </c>
      <c r="M1031" s="16" t="s">
        <v>22</v>
      </c>
      <c r="N1031" s="39" t="s">
        <v>418</v>
      </c>
    </row>
    <row r="1032" spans="1:14" s="169" customFormat="1" ht="18">
      <c r="A1032" s="178" t="s">
        <v>115</v>
      </c>
      <c r="B1032" s="75" t="s">
        <v>429</v>
      </c>
      <c r="C1032" s="39" t="s">
        <v>17</v>
      </c>
      <c r="D1032" s="236"/>
      <c r="E1032" s="236"/>
      <c r="F1032" s="236"/>
      <c r="G1032" s="236"/>
      <c r="H1032" s="40">
        <f>SUM(Tabla132112419[[#This Row],[PRIMER TRIMESTRE]:[CUARTO TRIMESTRE]])</f>
        <v>0</v>
      </c>
      <c r="I1032" s="17">
        <v>77185.240000000005</v>
      </c>
      <c r="J1032" s="17">
        <f>+Tabla132112419[[#This Row],[CANTIDAD TOTAL]]*Tabla132112419[[#This Row],[PRECIO UNITARIO ESTIMADO]]</f>
        <v>0</v>
      </c>
      <c r="K1032" s="17"/>
      <c r="L1032" s="73" t="s">
        <v>18</v>
      </c>
      <c r="M1032" s="16" t="s">
        <v>22</v>
      </c>
      <c r="N1032" s="39" t="s">
        <v>418</v>
      </c>
    </row>
    <row r="1033" spans="1:14" s="169" customFormat="1" ht="18">
      <c r="A1033" s="178" t="s">
        <v>115</v>
      </c>
      <c r="B1033" s="75" t="s">
        <v>321</v>
      </c>
      <c r="C1033" s="39" t="s">
        <v>17</v>
      </c>
      <c r="D1033" s="236"/>
      <c r="E1033" s="236"/>
      <c r="F1033" s="236"/>
      <c r="G1033" s="236"/>
      <c r="H1033" s="40"/>
      <c r="I1033" s="17">
        <f>31243.78/16</f>
        <v>1952.7362499999999</v>
      </c>
      <c r="J1033" s="17">
        <f>+Tabla132112419[[#This Row],[CANTIDAD TOTAL]]*Tabla132112419[[#This Row],[PRECIO UNITARIO ESTIMADO]]</f>
        <v>0</v>
      </c>
      <c r="K1033" s="17"/>
      <c r="L1033" s="73" t="s">
        <v>18</v>
      </c>
      <c r="M1033" s="16" t="s">
        <v>22</v>
      </c>
      <c r="N1033" s="39" t="s">
        <v>418</v>
      </c>
    </row>
    <row r="1034" spans="1:14" s="169" customFormat="1" ht="38.25">
      <c r="A1034" s="180" t="s">
        <v>115</v>
      </c>
      <c r="B1034" s="77" t="s">
        <v>892</v>
      </c>
      <c r="C1034" s="70" t="s">
        <v>17</v>
      </c>
      <c r="D1034" s="210"/>
      <c r="E1034" s="210"/>
      <c r="F1034" s="210"/>
      <c r="G1034" s="210"/>
      <c r="H1034" s="406">
        <f>SUM(Tabla132112419[[#This Row],[PRIMER TRIMESTRE]:[CUARTO TRIMESTRE]])</f>
        <v>0</v>
      </c>
      <c r="I1034" s="72">
        <v>3519</v>
      </c>
      <c r="J1034" s="72">
        <f t="shared" ref="J1034:J1062" si="27">+H1034*I1034</f>
        <v>0</v>
      </c>
      <c r="K1034" s="72"/>
      <c r="L1034" s="73" t="s">
        <v>18</v>
      </c>
      <c r="M1034" s="16" t="s">
        <v>22</v>
      </c>
      <c r="N1034" s="39" t="s">
        <v>418</v>
      </c>
    </row>
    <row r="1035" spans="1:14" s="169" customFormat="1" ht="25.5">
      <c r="A1035" s="180" t="s">
        <v>115</v>
      </c>
      <c r="B1035" s="77" t="s">
        <v>932</v>
      </c>
      <c r="C1035" s="70" t="s">
        <v>17</v>
      </c>
      <c r="D1035" s="210"/>
      <c r="E1035" s="210"/>
      <c r="F1035" s="210"/>
      <c r="G1035" s="210"/>
      <c r="H1035" s="406">
        <f>SUM(Tabla132112419[[#This Row],[PRIMER TRIMESTRE]:[CUARTO TRIMESTRE]])</f>
        <v>0</v>
      </c>
      <c r="I1035" s="72">
        <v>1500</v>
      </c>
      <c r="J1035" s="72">
        <f t="shared" si="27"/>
        <v>0</v>
      </c>
      <c r="K1035" s="72"/>
      <c r="L1035" s="73" t="s">
        <v>18</v>
      </c>
      <c r="M1035" s="16" t="s">
        <v>22</v>
      </c>
      <c r="N1035" s="39" t="s">
        <v>418</v>
      </c>
    </row>
    <row r="1036" spans="1:14" s="169" customFormat="1" ht="25.5">
      <c r="A1036" s="180" t="s">
        <v>115</v>
      </c>
      <c r="B1036" s="77" t="s">
        <v>894</v>
      </c>
      <c r="C1036" s="70" t="s">
        <v>17</v>
      </c>
      <c r="D1036" s="210"/>
      <c r="E1036" s="210"/>
      <c r="F1036" s="210"/>
      <c r="G1036" s="210"/>
      <c r="H1036" s="406">
        <f>SUM(Tabla132112419[[#This Row],[PRIMER TRIMESTRE]:[CUARTO TRIMESTRE]])</f>
        <v>0</v>
      </c>
      <c r="I1036" s="72">
        <v>600</v>
      </c>
      <c r="J1036" s="72">
        <f t="shared" si="27"/>
        <v>0</v>
      </c>
      <c r="K1036" s="72"/>
      <c r="L1036" s="73" t="s">
        <v>18</v>
      </c>
      <c r="M1036" s="16" t="s">
        <v>22</v>
      </c>
      <c r="N1036" s="39" t="s">
        <v>418</v>
      </c>
    </row>
    <row r="1037" spans="1:14" s="169" customFormat="1" ht="25.5">
      <c r="A1037" s="180" t="s">
        <v>115</v>
      </c>
      <c r="B1037" s="77" t="s">
        <v>895</v>
      </c>
      <c r="C1037" s="70" t="s">
        <v>17</v>
      </c>
      <c r="D1037" s="210"/>
      <c r="E1037" s="210"/>
      <c r="F1037" s="210"/>
      <c r="G1037" s="210"/>
      <c r="H1037" s="406">
        <f>SUM(Tabla132112419[[#This Row],[PRIMER TRIMESTRE]:[CUARTO TRIMESTRE]])</f>
        <v>0</v>
      </c>
      <c r="I1037" s="72">
        <v>450</v>
      </c>
      <c r="J1037" s="72">
        <f t="shared" si="27"/>
        <v>0</v>
      </c>
      <c r="K1037" s="72"/>
      <c r="L1037" s="73" t="s">
        <v>18</v>
      </c>
      <c r="M1037" s="16" t="s">
        <v>22</v>
      </c>
      <c r="N1037" s="39" t="s">
        <v>418</v>
      </c>
    </row>
    <row r="1038" spans="1:14" s="169" customFormat="1" ht="18">
      <c r="A1038" s="180" t="s">
        <v>115</v>
      </c>
      <c r="B1038" s="77" t="s">
        <v>897</v>
      </c>
      <c r="C1038" s="70" t="s">
        <v>17</v>
      </c>
      <c r="D1038" s="210"/>
      <c r="E1038" s="210"/>
      <c r="F1038" s="210"/>
      <c r="G1038" s="210"/>
      <c r="H1038" s="406">
        <f>SUM(Tabla132112419[[#This Row],[PRIMER TRIMESTRE]:[CUARTO TRIMESTRE]])</f>
        <v>0</v>
      </c>
      <c r="I1038" s="72">
        <v>85000</v>
      </c>
      <c r="J1038" s="72">
        <f t="shared" si="27"/>
        <v>0</v>
      </c>
      <c r="K1038" s="72"/>
      <c r="L1038" s="73" t="s">
        <v>18</v>
      </c>
      <c r="M1038" s="16" t="s">
        <v>22</v>
      </c>
      <c r="N1038" s="39" t="s">
        <v>418</v>
      </c>
    </row>
    <row r="1039" spans="1:14" s="169" customFormat="1" ht="25.5">
      <c r="A1039" s="180" t="s">
        <v>115</v>
      </c>
      <c r="B1039" s="77" t="s">
        <v>898</v>
      </c>
      <c r="C1039" s="70" t="s">
        <v>17</v>
      </c>
      <c r="D1039" s="210"/>
      <c r="E1039" s="210"/>
      <c r="F1039" s="210"/>
      <c r="G1039" s="210"/>
      <c r="H1039" s="406">
        <f>SUM(Tabla132112419[[#This Row],[PRIMER TRIMESTRE]:[CUARTO TRIMESTRE]])</f>
        <v>0</v>
      </c>
      <c r="I1039" s="72">
        <v>2500</v>
      </c>
      <c r="J1039" s="72">
        <f t="shared" si="27"/>
        <v>0</v>
      </c>
      <c r="K1039" s="72"/>
      <c r="L1039" s="73" t="s">
        <v>18</v>
      </c>
      <c r="M1039" s="16" t="s">
        <v>22</v>
      </c>
      <c r="N1039" s="39" t="s">
        <v>418</v>
      </c>
    </row>
    <row r="1040" spans="1:14" s="169" customFormat="1" ht="38.25">
      <c r="A1040" s="180" t="s">
        <v>115</v>
      </c>
      <c r="B1040" s="77" t="s">
        <v>933</v>
      </c>
      <c r="C1040" s="70" t="s">
        <v>17</v>
      </c>
      <c r="D1040" s="210"/>
      <c r="E1040" s="210"/>
      <c r="F1040" s="210"/>
      <c r="G1040" s="210"/>
      <c r="H1040" s="406">
        <f>SUM(Tabla132112419[[#This Row],[PRIMER TRIMESTRE]:[CUARTO TRIMESTRE]])</f>
        <v>0</v>
      </c>
      <c r="I1040" s="72">
        <v>420</v>
      </c>
      <c r="J1040" s="72">
        <f t="shared" si="27"/>
        <v>0</v>
      </c>
      <c r="K1040" s="72"/>
      <c r="L1040" s="73" t="s">
        <v>18</v>
      </c>
      <c r="M1040" s="16" t="s">
        <v>22</v>
      </c>
      <c r="N1040" s="39" t="s">
        <v>418</v>
      </c>
    </row>
    <row r="1041" spans="1:14" s="169" customFormat="1" ht="38.25">
      <c r="A1041" s="180" t="s">
        <v>115</v>
      </c>
      <c r="B1041" s="77" t="s">
        <v>902</v>
      </c>
      <c r="C1041" s="70" t="s">
        <v>17</v>
      </c>
      <c r="D1041" s="210"/>
      <c r="E1041" s="210"/>
      <c r="F1041" s="210"/>
      <c r="G1041" s="210"/>
      <c r="H1041" s="406">
        <f>SUM(Tabla132112419[[#This Row],[PRIMER TRIMESTRE]:[CUARTO TRIMESTRE]])</f>
        <v>0</v>
      </c>
      <c r="I1041" s="72">
        <v>450</v>
      </c>
      <c r="J1041" s="72">
        <f t="shared" si="27"/>
        <v>0</v>
      </c>
      <c r="K1041" s="72"/>
      <c r="L1041" s="73" t="s">
        <v>18</v>
      </c>
      <c r="M1041" s="16" t="s">
        <v>22</v>
      </c>
      <c r="N1041" s="39" t="s">
        <v>418</v>
      </c>
    </row>
    <row r="1042" spans="1:14" s="169" customFormat="1" ht="18">
      <c r="A1042" s="180" t="s">
        <v>115</v>
      </c>
      <c r="B1042" s="77" t="s">
        <v>934</v>
      </c>
      <c r="C1042" s="70" t="s">
        <v>17</v>
      </c>
      <c r="D1042" s="210"/>
      <c r="E1042" s="210"/>
      <c r="F1042" s="210"/>
      <c r="G1042" s="210"/>
      <c r="H1042" s="406">
        <f>SUM(Tabla132112419[[#This Row],[PRIMER TRIMESTRE]:[CUARTO TRIMESTRE]])</f>
        <v>0</v>
      </c>
      <c r="I1042" s="72">
        <v>125</v>
      </c>
      <c r="J1042" s="72">
        <f t="shared" si="27"/>
        <v>0</v>
      </c>
      <c r="K1042" s="72"/>
      <c r="L1042" s="73" t="s">
        <v>18</v>
      </c>
      <c r="M1042" s="16" t="s">
        <v>22</v>
      </c>
      <c r="N1042" s="39" t="s">
        <v>418</v>
      </c>
    </row>
    <row r="1043" spans="1:14" s="169" customFormat="1" ht="18">
      <c r="A1043" s="180" t="s">
        <v>115</v>
      </c>
      <c r="B1043" s="77" t="s">
        <v>935</v>
      </c>
      <c r="C1043" s="70" t="s">
        <v>208</v>
      </c>
      <c r="D1043" s="210"/>
      <c r="E1043" s="210"/>
      <c r="F1043" s="210"/>
      <c r="G1043" s="210"/>
      <c r="H1043" s="406">
        <f>SUM(Tabla132112419[[#This Row],[PRIMER TRIMESTRE]:[CUARTO TRIMESTRE]])</f>
        <v>0</v>
      </c>
      <c r="I1043" s="72">
        <v>4300</v>
      </c>
      <c r="J1043" s="72">
        <f t="shared" si="27"/>
        <v>0</v>
      </c>
      <c r="K1043" s="72"/>
      <c r="L1043" s="73" t="s">
        <v>18</v>
      </c>
      <c r="M1043" s="16" t="s">
        <v>22</v>
      </c>
      <c r="N1043" s="39" t="s">
        <v>418</v>
      </c>
    </row>
    <row r="1044" spans="1:14" s="169" customFormat="1" ht="25.5">
      <c r="A1044" s="180" t="s">
        <v>115</v>
      </c>
      <c r="B1044" s="77" t="s">
        <v>936</v>
      </c>
      <c r="C1044" s="70" t="s">
        <v>17</v>
      </c>
      <c r="D1044" s="210"/>
      <c r="E1044" s="210"/>
      <c r="F1044" s="210"/>
      <c r="G1044" s="210"/>
      <c r="H1044" s="406">
        <f>SUM(Tabla132112419[[#This Row],[PRIMER TRIMESTRE]:[CUARTO TRIMESTRE]])</f>
        <v>0</v>
      </c>
      <c r="I1044" s="72">
        <v>7300</v>
      </c>
      <c r="J1044" s="72">
        <f t="shared" si="27"/>
        <v>0</v>
      </c>
      <c r="K1044" s="72"/>
      <c r="L1044" s="16" t="s">
        <v>18</v>
      </c>
      <c r="M1044" s="16" t="s">
        <v>22</v>
      </c>
      <c r="N1044" s="39" t="s">
        <v>418</v>
      </c>
    </row>
    <row r="1045" spans="1:14" s="169" customFormat="1" ht="25.5">
      <c r="A1045" s="180" t="s">
        <v>115</v>
      </c>
      <c r="B1045" s="77" t="s">
        <v>937</v>
      </c>
      <c r="C1045" s="70" t="s">
        <v>17</v>
      </c>
      <c r="D1045" s="210"/>
      <c r="E1045" s="210"/>
      <c r="F1045" s="210"/>
      <c r="G1045" s="210"/>
      <c r="H1045" s="406">
        <f>SUM(Tabla132112419[[#This Row],[PRIMER TRIMESTRE]:[CUARTO TRIMESTRE]])</f>
        <v>0</v>
      </c>
      <c r="I1045" s="72">
        <v>14671</v>
      </c>
      <c r="J1045" s="72">
        <f t="shared" si="27"/>
        <v>0</v>
      </c>
      <c r="K1045" s="72"/>
      <c r="L1045" s="73" t="s">
        <v>18</v>
      </c>
      <c r="M1045" s="16" t="s">
        <v>22</v>
      </c>
      <c r="N1045" s="39" t="s">
        <v>418</v>
      </c>
    </row>
    <row r="1046" spans="1:14" s="169" customFormat="1" ht="25.5">
      <c r="A1046" s="180" t="s">
        <v>115</v>
      </c>
      <c r="B1046" s="77" t="s">
        <v>938</v>
      </c>
      <c r="C1046" s="70" t="s">
        <v>17</v>
      </c>
      <c r="D1046" s="210"/>
      <c r="E1046" s="210"/>
      <c r="F1046" s="210"/>
      <c r="G1046" s="210"/>
      <c r="H1046" s="406">
        <f>SUM(Tabla132112419[[#This Row],[PRIMER TRIMESTRE]:[CUARTO TRIMESTRE]])</f>
        <v>0</v>
      </c>
      <c r="I1046" s="72">
        <v>34000</v>
      </c>
      <c r="J1046" s="72">
        <f t="shared" si="27"/>
        <v>0</v>
      </c>
      <c r="K1046" s="72"/>
      <c r="L1046" s="73" t="s">
        <v>18</v>
      </c>
      <c r="M1046" s="16" t="s">
        <v>22</v>
      </c>
      <c r="N1046" s="39" t="s">
        <v>418</v>
      </c>
    </row>
    <row r="1047" spans="1:14" s="169" customFormat="1" ht="18">
      <c r="A1047" s="180" t="s">
        <v>115</v>
      </c>
      <c r="B1047" s="77" t="s">
        <v>1628</v>
      </c>
      <c r="C1047" s="70" t="s">
        <v>17</v>
      </c>
      <c r="D1047" s="210"/>
      <c r="E1047" s="210"/>
      <c r="F1047" s="406"/>
      <c r="G1047" s="406"/>
      <c r="H1047" s="406">
        <f>SUM(Tabla132112419[[#This Row],[PRIMER TRIMESTRE]:[CUARTO TRIMESTRE]])</f>
        <v>0</v>
      </c>
      <c r="I1047" s="72">
        <v>3500</v>
      </c>
      <c r="J1047" s="72">
        <f t="shared" si="27"/>
        <v>0</v>
      </c>
      <c r="K1047" s="72"/>
      <c r="L1047" s="73" t="s">
        <v>18</v>
      </c>
      <c r="M1047" s="16" t="s">
        <v>22</v>
      </c>
      <c r="N1047" s="39" t="s">
        <v>418</v>
      </c>
    </row>
    <row r="1048" spans="1:14" s="169" customFormat="1" ht="18">
      <c r="A1048" s="180" t="s">
        <v>115</v>
      </c>
      <c r="B1048" s="77" t="s">
        <v>1629</v>
      </c>
      <c r="C1048" s="70" t="s">
        <v>17</v>
      </c>
      <c r="D1048" s="210"/>
      <c r="E1048" s="210"/>
      <c r="F1048" s="249"/>
      <c r="G1048" s="249"/>
      <c r="H1048" s="406">
        <f>SUM(Tabla132112419[[#This Row],[PRIMER TRIMESTRE]:[CUARTO TRIMESTRE]])</f>
        <v>0</v>
      </c>
      <c r="I1048" s="72">
        <v>14000</v>
      </c>
      <c r="J1048" s="72">
        <f t="shared" si="27"/>
        <v>0</v>
      </c>
      <c r="K1048" s="72"/>
      <c r="L1048" s="16" t="s">
        <v>18</v>
      </c>
      <c r="M1048" s="16" t="s">
        <v>22</v>
      </c>
      <c r="N1048" s="39" t="s">
        <v>418</v>
      </c>
    </row>
    <row r="1049" spans="1:14" s="169" customFormat="1" ht="25.5">
      <c r="A1049" s="180" t="s">
        <v>115</v>
      </c>
      <c r="B1049" s="77" t="s">
        <v>939</v>
      </c>
      <c r="C1049" s="70" t="s">
        <v>17</v>
      </c>
      <c r="D1049" s="210"/>
      <c r="E1049" s="210"/>
      <c r="F1049" s="210"/>
      <c r="G1049" s="210"/>
      <c r="H1049" s="406">
        <f>SUM(Tabla132112419[[#This Row],[PRIMER TRIMESTRE]:[CUARTO TRIMESTRE]])</f>
        <v>0</v>
      </c>
      <c r="I1049" s="72">
        <v>34000</v>
      </c>
      <c r="J1049" s="72">
        <f t="shared" si="27"/>
        <v>0</v>
      </c>
      <c r="K1049" s="72"/>
      <c r="L1049" s="16" t="s">
        <v>18</v>
      </c>
      <c r="M1049" s="16" t="s">
        <v>22</v>
      </c>
      <c r="N1049" s="39" t="s">
        <v>418</v>
      </c>
    </row>
    <row r="1050" spans="1:14" s="169" customFormat="1" ht="18">
      <c r="A1050" s="180" t="s">
        <v>115</v>
      </c>
      <c r="B1050" s="77" t="s">
        <v>1630</v>
      </c>
      <c r="C1050" s="70" t="s">
        <v>17</v>
      </c>
      <c r="D1050" s="210"/>
      <c r="E1050" s="210"/>
      <c r="F1050" s="210"/>
      <c r="G1050" s="210"/>
      <c r="H1050" s="406">
        <f>SUM(Tabla132112419[[#This Row],[PRIMER TRIMESTRE]:[CUARTO TRIMESTRE]])</f>
        <v>0</v>
      </c>
      <c r="I1050" s="72">
        <v>4000</v>
      </c>
      <c r="J1050" s="72">
        <f t="shared" si="27"/>
        <v>0</v>
      </c>
      <c r="K1050" s="72"/>
      <c r="L1050" s="16" t="s">
        <v>18</v>
      </c>
      <c r="M1050" s="16" t="s">
        <v>22</v>
      </c>
      <c r="N1050" s="39" t="s">
        <v>418</v>
      </c>
    </row>
    <row r="1051" spans="1:14" s="169" customFormat="1" ht="18">
      <c r="A1051" s="180" t="s">
        <v>115</v>
      </c>
      <c r="B1051" s="77" t="s">
        <v>1631</v>
      </c>
      <c r="C1051" s="70" t="s">
        <v>17</v>
      </c>
      <c r="D1051" s="210"/>
      <c r="E1051" s="210"/>
      <c r="F1051" s="210"/>
      <c r="G1051" s="210"/>
      <c r="H1051" s="406">
        <f>SUM(Tabla132112419[[#This Row],[PRIMER TRIMESTRE]:[CUARTO TRIMESTRE]])</f>
        <v>0</v>
      </c>
      <c r="I1051" s="72">
        <v>20000</v>
      </c>
      <c r="J1051" s="72">
        <f t="shared" si="27"/>
        <v>0</v>
      </c>
      <c r="K1051" s="72"/>
      <c r="L1051" s="16" t="s">
        <v>18</v>
      </c>
      <c r="M1051" s="16" t="s">
        <v>22</v>
      </c>
      <c r="N1051" s="39" t="s">
        <v>418</v>
      </c>
    </row>
    <row r="1052" spans="1:14" s="169" customFormat="1" ht="18">
      <c r="A1052" s="180" t="s">
        <v>115</v>
      </c>
      <c r="B1052" s="77" t="s">
        <v>1632</v>
      </c>
      <c r="C1052" s="70" t="s">
        <v>17</v>
      </c>
      <c r="D1052" s="210"/>
      <c r="E1052" s="210"/>
      <c r="F1052" s="210"/>
      <c r="G1052" s="210"/>
      <c r="H1052" s="406">
        <f>SUM(Tabla132112419[[#This Row],[PRIMER TRIMESTRE]:[CUARTO TRIMESTRE]])</f>
        <v>0</v>
      </c>
      <c r="I1052" s="72">
        <v>300000</v>
      </c>
      <c r="J1052" s="72">
        <f t="shared" si="27"/>
        <v>0</v>
      </c>
      <c r="K1052" s="72"/>
      <c r="L1052" s="73" t="s">
        <v>18</v>
      </c>
      <c r="M1052" s="16" t="s">
        <v>22</v>
      </c>
      <c r="N1052" s="39" t="s">
        <v>418</v>
      </c>
    </row>
    <row r="1053" spans="1:14" s="12" customFormat="1" ht="25.5">
      <c r="A1053" s="180" t="s">
        <v>115</v>
      </c>
      <c r="B1053" s="77" t="s">
        <v>940</v>
      </c>
      <c r="C1053" s="70" t="s">
        <v>17</v>
      </c>
      <c r="D1053" s="210"/>
      <c r="E1053" s="210"/>
      <c r="F1053" s="210"/>
      <c r="G1053" s="210"/>
      <c r="H1053" s="406">
        <f>SUM(Tabla132112419[[#This Row],[PRIMER TRIMESTRE]:[CUARTO TRIMESTRE]])</f>
        <v>0</v>
      </c>
      <c r="I1053" s="72">
        <v>210000</v>
      </c>
      <c r="J1053" s="72">
        <f t="shared" si="27"/>
        <v>0</v>
      </c>
      <c r="K1053" s="72"/>
      <c r="L1053" s="16" t="s">
        <v>18</v>
      </c>
      <c r="M1053" s="16" t="s">
        <v>22</v>
      </c>
      <c r="N1053" s="39" t="s">
        <v>418</v>
      </c>
    </row>
    <row r="1054" spans="1:14" s="12" customFormat="1" ht="25.5">
      <c r="A1054" s="180" t="s">
        <v>115</v>
      </c>
      <c r="B1054" s="77" t="s">
        <v>1887</v>
      </c>
      <c r="C1054" s="70" t="s">
        <v>17</v>
      </c>
      <c r="D1054" s="210"/>
      <c r="E1054" s="210"/>
      <c r="F1054" s="210"/>
      <c r="G1054" s="210"/>
      <c r="H1054" s="406">
        <f>SUM(Tabla132112419[[#This Row],[PRIMER TRIMESTRE]:[CUARTO TRIMESTRE]])</f>
        <v>0</v>
      </c>
      <c r="I1054" s="72">
        <v>35000</v>
      </c>
      <c r="J1054" s="72">
        <f t="shared" si="27"/>
        <v>0</v>
      </c>
      <c r="K1054" s="72"/>
      <c r="L1054" s="16" t="s">
        <v>18</v>
      </c>
      <c r="M1054" s="16" t="s">
        <v>22</v>
      </c>
      <c r="N1054" s="39" t="s">
        <v>418</v>
      </c>
    </row>
    <row r="1055" spans="1:14" s="12" customFormat="1" ht="25.5">
      <c r="A1055" s="178" t="s">
        <v>115</v>
      </c>
      <c r="B1055" s="75" t="s">
        <v>1752</v>
      </c>
      <c r="C1055" s="39" t="s">
        <v>17</v>
      </c>
      <c r="D1055" s="210"/>
      <c r="E1055" s="210"/>
      <c r="F1055" s="210"/>
      <c r="G1055" s="210"/>
      <c r="H1055" s="406">
        <v>0</v>
      </c>
      <c r="I1055" s="72">
        <v>0</v>
      </c>
      <c r="J1055" s="72">
        <v>0</v>
      </c>
      <c r="K1055" s="72"/>
      <c r="L1055" s="73" t="s">
        <v>18</v>
      </c>
      <c r="M1055" s="16" t="s">
        <v>22</v>
      </c>
      <c r="N1055" s="39" t="s">
        <v>418</v>
      </c>
    </row>
    <row r="1056" spans="1:14" s="12" customFormat="1" ht="18">
      <c r="A1056" s="178" t="s">
        <v>115</v>
      </c>
      <c r="B1056" s="75" t="s">
        <v>1888</v>
      </c>
      <c r="C1056" s="39" t="s">
        <v>17</v>
      </c>
      <c r="D1056" s="210"/>
      <c r="E1056" s="210"/>
      <c r="F1056" s="210"/>
      <c r="G1056" s="210"/>
      <c r="H1056" s="406">
        <v>0</v>
      </c>
      <c r="I1056" s="72">
        <v>0</v>
      </c>
      <c r="J1056" s="72">
        <v>0</v>
      </c>
      <c r="K1056" s="72"/>
      <c r="L1056" s="73" t="s">
        <v>18</v>
      </c>
      <c r="M1056" s="16" t="s">
        <v>22</v>
      </c>
      <c r="N1056" s="39" t="s">
        <v>418</v>
      </c>
    </row>
    <row r="1057" spans="1:14" s="12" customFormat="1" ht="30.75" customHeight="1">
      <c r="A1057" s="178" t="s">
        <v>115</v>
      </c>
      <c r="B1057" s="75" t="s">
        <v>945</v>
      </c>
      <c r="C1057" s="39" t="s">
        <v>17</v>
      </c>
      <c r="D1057" s="236"/>
      <c r="E1057" s="236"/>
      <c r="F1057" s="236"/>
      <c r="G1057" s="236"/>
      <c r="H1057" s="40">
        <f>SUM(Tabla132112419[[#This Row],[PRIMER TRIMESTRE]:[CUARTO TRIMESTRE]])</f>
        <v>0</v>
      </c>
      <c r="I1057" s="17">
        <v>7498</v>
      </c>
      <c r="J1057" s="17">
        <f t="shared" si="27"/>
        <v>0</v>
      </c>
      <c r="K1057" s="17"/>
      <c r="L1057" s="73" t="s">
        <v>18</v>
      </c>
      <c r="M1057" s="16" t="s">
        <v>22</v>
      </c>
      <c r="N1057" s="39" t="s">
        <v>418</v>
      </c>
    </row>
    <row r="1058" spans="1:14" s="12" customFormat="1" ht="30.75" customHeight="1">
      <c r="A1058" s="178" t="s">
        <v>115</v>
      </c>
      <c r="B1058" s="75" t="s">
        <v>946</v>
      </c>
      <c r="C1058" s="39" t="s">
        <v>17</v>
      </c>
      <c r="D1058" s="236"/>
      <c r="E1058" s="236"/>
      <c r="F1058" s="236"/>
      <c r="G1058" s="236"/>
      <c r="H1058" s="40">
        <f>SUM(Tabla132112419[[#This Row],[PRIMER TRIMESTRE]:[CUARTO TRIMESTRE]])</f>
        <v>0</v>
      </c>
      <c r="I1058" s="17">
        <v>4600</v>
      </c>
      <c r="J1058" s="17">
        <f t="shared" si="27"/>
        <v>0</v>
      </c>
      <c r="K1058" s="17"/>
      <c r="L1058" s="73" t="s">
        <v>18</v>
      </c>
      <c r="M1058" s="16" t="s">
        <v>22</v>
      </c>
      <c r="N1058" s="39" t="s">
        <v>418</v>
      </c>
    </row>
    <row r="1059" spans="1:14" s="12" customFormat="1" ht="30.75" customHeight="1">
      <c r="A1059" s="178" t="s">
        <v>115</v>
      </c>
      <c r="B1059" s="75" t="s">
        <v>947</v>
      </c>
      <c r="C1059" s="39" t="s">
        <v>17</v>
      </c>
      <c r="D1059" s="236"/>
      <c r="E1059" s="236"/>
      <c r="F1059" s="236"/>
      <c r="G1059" s="236"/>
      <c r="H1059" s="40">
        <f>SUM(Tabla132112419[[#This Row],[PRIMER TRIMESTRE]:[CUARTO TRIMESTRE]])</f>
        <v>0</v>
      </c>
      <c r="I1059" s="17">
        <v>3496</v>
      </c>
      <c r="J1059" s="17">
        <f t="shared" si="27"/>
        <v>0</v>
      </c>
      <c r="K1059" s="17"/>
      <c r="L1059" s="73" t="s">
        <v>18</v>
      </c>
      <c r="M1059" s="16" t="s">
        <v>22</v>
      </c>
      <c r="N1059" s="39" t="s">
        <v>418</v>
      </c>
    </row>
    <row r="1060" spans="1:14" s="12" customFormat="1" ht="30.75" customHeight="1">
      <c r="A1060" s="178" t="s">
        <v>115</v>
      </c>
      <c r="B1060" s="75" t="s">
        <v>1440</v>
      </c>
      <c r="C1060" s="39" t="s">
        <v>17</v>
      </c>
      <c r="D1060" s="236"/>
      <c r="E1060" s="236"/>
      <c r="F1060" s="236"/>
      <c r="G1060" s="236"/>
      <c r="H1060" s="40">
        <f>SUM(Tabla132112419[[#This Row],[PRIMER TRIMESTRE]:[CUARTO TRIMESTRE]])</f>
        <v>0</v>
      </c>
      <c r="I1060" s="17">
        <v>5310</v>
      </c>
      <c r="J1060" s="17">
        <f t="shared" si="27"/>
        <v>0</v>
      </c>
      <c r="K1060" s="17"/>
      <c r="L1060" s="73" t="s">
        <v>15</v>
      </c>
      <c r="M1060" s="16" t="s">
        <v>22</v>
      </c>
      <c r="N1060" s="39" t="s">
        <v>418</v>
      </c>
    </row>
    <row r="1061" spans="1:14" s="26" customFormat="1" ht="30.75" customHeight="1">
      <c r="A1061" s="178" t="s">
        <v>115</v>
      </c>
      <c r="B1061" s="75" t="s">
        <v>1441</v>
      </c>
      <c r="C1061" s="39" t="s">
        <v>17</v>
      </c>
      <c r="D1061" s="236"/>
      <c r="E1061" s="236"/>
      <c r="F1061" s="236"/>
      <c r="G1061" s="236"/>
      <c r="H1061" s="40">
        <f>SUM(Tabla132112419[[#This Row],[PRIMER TRIMESTRE]:[CUARTO TRIMESTRE]])</f>
        <v>0</v>
      </c>
      <c r="I1061" s="17">
        <v>5310</v>
      </c>
      <c r="J1061" s="17">
        <f t="shared" si="27"/>
        <v>0</v>
      </c>
      <c r="K1061" s="17"/>
      <c r="L1061" s="73" t="s">
        <v>15</v>
      </c>
      <c r="M1061" s="16" t="s">
        <v>22</v>
      </c>
      <c r="N1061" s="39" t="s">
        <v>418</v>
      </c>
    </row>
    <row r="1062" spans="1:14" s="12" customFormat="1" ht="30.75" customHeight="1">
      <c r="A1062" s="178" t="s">
        <v>115</v>
      </c>
      <c r="B1062" s="75" t="s">
        <v>1442</v>
      </c>
      <c r="C1062" s="39" t="s">
        <v>17</v>
      </c>
      <c r="D1062" s="236"/>
      <c r="E1062" s="236"/>
      <c r="F1062" s="236"/>
      <c r="G1062" s="236"/>
      <c r="H1062" s="40">
        <f>SUM(Tabla132112419[[#This Row],[PRIMER TRIMESTRE]:[CUARTO TRIMESTRE]])</f>
        <v>0</v>
      </c>
      <c r="I1062" s="17">
        <v>5310</v>
      </c>
      <c r="J1062" s="17">
        <f t="shared" si="27"/>
        <v>0</v>
      </c>
      <c r="K1062" s="17"/>
      <c r="L1062" s="73" t="s">
        <v>15</v>
      </c>
      <c r="M1062" s="16" t="s">
        <v>22</v>
      </c>
      <c r="N1062" s="39" t="s">
        <v>418</v>
      </c>
    </row>
    <row r="1063" spans="1:14" s="12" customFormat="1" ht="30.75" customHeight="1">
      <c r="A1063" s="179" t="s">
        <v>115</v>
      </c>
      <c r="B1063" s="76"/>
      <c r="C1063" s="42"/>
      <c r="D1063" s="237"/>
      <c r="E1063" s="237"/>
      <c r="F1063" s="237"/>
      <c r="G1063" s="237"/>
      <c r="H1063" s="43"/>
      <c r="I1063" s="24"/>
      <c r="J1063" s="24"/>
      <c r="K1063" s="25">
        <f>SUM(J1029:J1062)</f>
        <v>24940</v>
      </c>
      <c r="L1063" s="23"/>
      <c r="M1063" s="23"/>
      <c r="N1063" s="42"/>
    </row>
    <row r="1064" spans="1:14" s="12" customFormat="1" ht="30.75" customHeight="1">
      <c r="A1064" s="178" t="s">
        <v>117</v>
      </c>
      <c r="B1064" s="75" t="s">
        <v>941</v>
      </c>
      <c r="C1064" s="39" t="s">
        <v>17</v>
      </c>
      <c r="D1064" s="236"/>
      <c r="E1064" s="236"/>
      <c r="F1064" s="236"/>
      <c r="G1064" s="236"/>
      <c r="H1064" s="40">
        <f>SUM(Tabla132112419[[#This Row],[PRIMER TRIMESTRE]:[CUARTO TRIMESTRE]])</f>
        <v>0</v>
      </c>
      <c r="I1064" s="17">
        <v>900</v>
      </c>
      <c r="J1064" s="17">
        <f>+H1064*I1064</f>
        <v>0</v>
      </c>
      <c r="K1064" s="17"/>
      <c r="L1064" s="73" t="s">
        <v>18</v>
      </c>
      <c r="M1064" s="16" t="s">
        <v>22</v>
      </c>
      <c r="N1064" s="39"/>
    </row>
    <row r="1065" spans="1:14" s="12" customFormat="1" ht="30.75" customHeight="1">
      <c r="A1065" s="178" t="s">
        <v>117</v>
      </c>
      <c r="B1065" s="75" t="s">
        <v>942</v>
      </c>
      <c r="C1065" s="39" t="s">
        <v>17</v>
      </c>
      <c r="D1065" s="236"/>
      <c r="E1065" s="236"/>
      <c r="F1065" s="236"/>
      <c r="G1065" s="236"/>
      <c r="H1065" s="40">
        <f>SUM(Tabla132112419[[#This Row],[PRIMER TRIMESTRE]:[CUARTO TRIMESTRE]])</f>
        <v>0</v>
      </c>
      <c r="I1065" s="17">
        <v>900</v>
      </c>
      <c r="J1065" s="17">
        <f>+H1065*I1065</f>
        <v>0</v>
      </c>
      <c r="K1065" s="17"/>
      <c r="L1065" s="73" t="s">
        <v>18</v>
      </c>
      <c r="M1065" s="16" t="s">
        <v>22</v>
      </c>
      <c r="N1065" s="39" t="s">
        <v>418</v>
      </c>
    </row>
    <row r="1066" spans="1:14" s="12" customFormat="1" ht="30.75" customHeight="1">
      <c r="A1066" s="178" t="s">
        <v>117</v>
      </c>
      <c r="B1066" s="75" t="s">
        <v>943</v>
      </c>
      <c r="C1066" s="39" t="s">
        <v>17</v>
      </c>
      <c r="D1066" s="236"/>
      <c r="E1066" s="236"/>
      <c r="F1066" s="236"/>
      <c r="G1066" s="236"/>
      <c r="H1066" s="40">
        <f>SUM(Tabla132112419[[#This Row],[PRIMER TRIMESTRE]:[CUARTO TRIMESTRE]])</f>
        <v>0</v>
      </c>
      <c r="I1066" s="17">
        <v>800000</v>
      </c>
      <c r="J1066" s="17">
        <f>+H1066*I1066</f>
        <v>0</v>
      </c>
      <c r="K1066" s="17"/>
      <c r="L1066" s="16" t="s">
        <v>18</v>
      </c>
      <c r="M1066" s="16" t="s">
        <v>22</v>
      </c>
      <c r="N1066" s="39" t="s">
        <v>418</v>
      </c>
    </row>
    <row r="1067" spans="1:14" s="12" customFormat="1" ht="30.75" customHeight="1">
      <c r="A1067" s="178" t="s">
        <v>117</v>
      </c>
      <c r="B1067" s="75" t="s">
        <v>1402</v>
      </c>
      <c r="C1067" s="39" t="s">
        <v>17</v>
      </c>
      <c r="D1067" s="236"/>
      <c r="E1067" s="236"/>
      <c r="F1067" s="236"/>
      <c r="G1067" s="236"/>
      <c r="H1067" s="40">
        <f>SUM(Tabla132112419[[#This Row],[PRIMER TRIMESTRE]:[CUARTO TRIMESTRE]])</f>
        <v>0</v>
      </c>
      <c r="I1067" s="17">
        <v>758</v>
      </c>
      <c r="J1067" s="17">
        <f>+Tabla132112419[[#This Row],[CANTIDAD TOTAL]]*Tabla132112419[[#This Row],[PRECIO UNITARIO ESTIMADO]]</f>
        <v>0</v>
      </c>
      <c r="K1067" s="17"/>
      <c r="L1067" s="73" t="s">
        <v>18</v>
      </c>
      <c r="M1067" s="16" t="s">
        <v>22</v>
      </c>
      <c r="N1067" s="39" t="s">
        <v>418</v>
      </c>
    </row>
    <row r="1068" spans="1:14" s="12" customFormat="1" ht="30.75" customHeight="1">
      <c r="A1068" s="178" t="s">
        <v>117</v>
      </c>
      <c r="B1068" s="75" t="s">
        <v>944</v>
      </c>
      <c r="C1068" s="39" t="s">
        <v>17</v>
      </c>
      <c r="D1068" s="236"/>
      <c r="E1068" s="236"/>
      <c r="F1068" s="236"/>
      <c r="G1068" s="236"/>
      <c r="H1068" s="40">
        <f>SUM(Tabla132112419[[#This Row],[PRIMER TRIMESTRE]:[CUARTO TRIMESTRE]])</f>
        <v>0</v>
      </c>
      <c r="I1068" s="17">
        <v>12000</v>
      </c>
      <c r="J1068" s="17">
        <f t="shared" ref="J1068:J1077" si="28">+H1068*I1068</f>
        <v>0</v>
      </c>
      <c r="K1068" s="17"/>
      <c r="L1068" s="73" t="s">
        <v>18</v>
      </c>
      <c r="M1068" s="16" t="s">
        <v>22</v>
      </c>
      <c r="N1068" s="39" t="s">
        <v>418</v>
      </c>
    </row>
    <row r="1069" spans="1:14" s="12" customFormat="1" ht="30.75" customHeight="1">
      <c r="A1069" s="178" t="s">
        <v>117</v>
      </c>
      <c r="B1069" s="75" t="s">
        <v>1755</v>
      </c>
      <c r="C1069" s="39" t="s">
        <v>17</v>
      </c>
      <c r="D1069" s="236"/>
      <c r="E1069" s="236"/>
      <c r="F1069" s="236"/>
      <c r="G1069" s="236"/>
      <c r="H1069" s="40">
        <v>0</v>
      </c>
      <c r="I1069" s="17">
        <v>0</v>
      </c>
      <c r="J1069" s="17">
        <v>0</v>
      </c>
      <c r="K1069" s="17"/>
      <c r="L1069" s="73" t="s">
        <v>18</v>
      </c>
      <c r="M1069" s="16" t="s">
        <v>22</v>
      </c>
      <c r="N1069" s="39" t="s">
        <v>418</v>
      </c>
    </row>
    <row r="1070" spans="1:14" s="12" customFormat="1" ht="30.75" customHeight="1">
      <c r="A1070" s="178" t="s">
        <v>117</v>
      </c>
      <c r="B1070" s="75" t="s">
        <v>1756</v>
      </c>
      <c r="C1070" s="39" t="s">
        <v>17</v>
      </c>
      <c r="D1070" s="236"/>
      <c r="E1070" s="236"/>
      <c r="F1070" s="236"/>
      <c r="G1070" s="236"/>
      <c r="H1070" s="40">
        <v>0</v>
      </c>
      <c r="I1070" s="17">
        <v>0</v>
      </c>
      <c r="J1070" s="17">
        <v>0</v>
      </c>
      <c r="K1070" s="17"/>
      <c r="L1070" s="73" t="s">
        <v>18</v>
      </c>
      <c r="M1070" s="16" t="s">
        <v>22</v>
      </c>
      <c r="N1070" s="39" t="s">
        <v>418</v>
      </c>
    </row>
    <row r="1071" spans="1:14" s="12" customFormat="1" ht="30.75" customHeight="1">
      <c r="A1071" s="178" t="s">
        <v>117</v>
      </c>
      <c r="B1071" s="75" t="s">
        <v>1403</v>
      </c>
      <c r="C1071" s="39" t="s">
        <v>17</v>
      </c>
      <c r="D1071" s="236"/>
      <c r="E1071" s="236"/>
      <c r="F1071" s="236"/>
      <c r="G1071" s="236"/>
      <c r="H1071" s="40">
        <f>SUM(Tabla132112419[[#This Row],[PRIMER TRIMESTRE]:[CUARTO TRIMESTRE]])</f>
        <v>0</v>
      </c>
      <c r="I1071" s="17">
        <v>250000</v>
      </c>
      <c r="J1071" s="17">
        <f t="shared" si="28"/>
        <v>0</v>
      </c>
      <c r="K1071" s="17"/>
      <c r="L1071" s="73" t="s">
        <v>18</v>
      </c>
      <c r="M1071" s="16" t="s">
        <v>22</v>
      </c>
      <c r="N1071" s="39" t="s">
        <v>418</v>
      </c>
    </row>
    <row r="1072" spans="1:14" s="12" customFormat="1" ht="30.75" customHeight="1">
      <c r="A1072" s="178" t="s">
        <v>117</v>
      </c>
      <c r="B1072" s="75" t="s">
        <v>1420</v>
      </c>
      <c r="C1072" s="39" t="s">
        <v>17</v>
      </c>
      <c r="D1072" s="236"/>
      <c r="E1072" s="236"/>
      <c r="F1072" s="236"/>
      <c r="G1072" s="236"/>
      <c r="H1072" s="40">
        <f>SUM(Tabla132112419[[#This Row],[PRIMER TRIMESTRE]:[CUARTO TRIMESTRE]])</f>
        <v>0</v>
      </c>
      <c r="I1072" s="17">
        <v>25000000</v>
      </c>
      <c r="J1072" s="17">
        <f t="shared" si="28"/>
        <v>0</v>
      </c>
      <c r="K1072" s="17"/>
      <c r="L1072" s="16" t="s">
        <v>18</v>
      </c>
      <c r="M1072" s="16" t="s">
        <v>22</v>
      </c>
      <c r="N1072" s="39" t="s">
        <v>418</v>
      </c>
    </row>
    <row r="1073" spans="1:14" s="12" customFormat="1" ht="30.75" customHeight="1">
      <c r="A1073" s="178" t="s">
        <v>117</v>
      </c>
      <c r="B1073" s="75" t="s">
        <v>1404</v>
      </c>
      <c r="C1073" s="39" t="s">
        <v>17</v>
      </c>
      <c r="D1073" s="236"/>
      <c r="E1073" s="236"/>
      <c r="F1073" s="236"/>
      <c r="G1073" s="236"/>
      <c r="H1073" s="40">
        <f>SUM(Tabla132112419[[#This Row],[PRIMER TRIMESTRE]:[CUARTO TRIMESTRE]])</f>
        <v>0</v>
      </c>
      <c r="I1073" s="17">
        <v>327618.2</v>
      </c>
      <c r="J1073" s="17">
        <f t="shared" si="28"/>
        <v>0</v>
      </c>
      <c r="K1073" s="17"/>
      <c r="L1073" s="73" t="s">
        <v>18</v>
      </c>
      <c r="M1073" s="16" t="s">
        <v>22</v>
      </c>
      <c r="N1073" s="39" t="s">
        <v>418</v>
      </c>
    </row>
    <row r="1074" spans="1:14" s="12" customFormat="1" ht="30.75" customHeight="1">
      <c r="A1074" s="178" t="s">
        <v>117</v>
      </c>
      <c r="B1074" s="75" t="s">
        <v>1405</v>
      </c>
      <c r="C1074" s="39" t="s">
        <v>17</v>
      </c>
      <c r="D1074" s="236"/>
      <c r="E1074" s="236"/>
      <c r="F1074" s="236"/>
      <c r="G1074" s="236"/>
      <c r="H1074" s="40">
        <f>SUM(Tabla132112419[[#This Row],[PRIMER TRIMESTRE]:[CUARTO TRIMESTRE]])</f>
        <v>0</v>
      </c>
      <c r="I1074" s="17">
        <v>815223.95</v>
      </c>
      <c r="J1074" s="17">
        <f t="shared" si="28"/>
        <v>0</v>
      </c>
      <c r="K1074" s="17"/>
      <c r="L1074" s="16" t="s">
        <v>18</v>
      </c>
      <c r="M1074" s="16" t="s">
        <v>22</v>
      </c>
      <c r="N1074" s="39" t="s">
        <v>418</v>
      </c>
    </row>
    <row r="1075" spans="1:14" s="12" customFormat="1" ht="30.75" customHeight="1">
      <c r="A1075" s="178" t="s">
        <v>117</v>
      </c>
      <c r="B1075" s="75" t="s">
        <v>1406</v>
      </c>
      <c r="C1075" s="39" t="s">
        <v>17</v>
      </c>
      <c r="D1075" s="236"/>
      <c r="E1075" s="236"/>
      <c r="F1075" s="236"/>
      <c r="G1075" s="236"/>
      <c r="H1075" s="40">
        <f>SUM(Tabla132112419[[#This Row],[PRIMER TRIMESTRE]:[CUARTO TRIMESTRE]])</f>
        <v>0</v>
      </c>
      <c r="I1075" s="17">
        <v>341286.40000000002</v>
      </c>
      <c r="J1075" s="17">
        <f t="shared" si="28"/>
        <v>0</v>
      </c>
      <c r="K1075" s="17"/>
      <c r="L1075" s="73" t="s">
        <v>18</v>
      </c>
      <c r="M1075" s="16" t="s">
        <v>22</v>
      </c>
      <c r="N1075" s="39" t="s">
        <v>418</v>
      </c>
    </row>
    <row r="1076" spans="1:14" s="26" customFormat="1" ht="30.75" customHeight="1">
      <c r="A1076" s="178" t="s">
        <v>117</v>
      </c>
      <c r="B1076" s="75" t="s">
        <v>1407</v>
      </c>
      <c r="C1076" s="39" t="s">
        <v>17</v>
      </c>
      <c r="D1076" s="236"/>
      <c r="E1076" s="236"/>
      <c r="F1076" s="236"/>
      <c r="G1076" s="236"/>
      <c r="H1076" s="40">
        <f>SUM(Tabla132112419[[#This Row],[PRIMER TRIMESTRE]:[CUARTO TRIMESTRE]])</f>
        <v>0</v>
      </c>
      <c r="I1076" s="17">
        <v>498739.15</v>
      </c>
      <c r="J1076" s="17">
        <f t="shared" si="28"/>
        <v>0</v>
      </c>
      <c r="K1076" s="17"/>
      <c r="L1076" s="73" t="s">
        <v>18</v>
      </c>
      <c r="M1076" s="16" t="s">
        <v>22</v>
      </c>
      <c r="N1076" s="39" t="s">
        <v>418</v>
      </c>
    </row>
    <row r="1077" spans="1:14" s="12" customFormat="1" ht="30.75" customHeight="1">
      <c r="A1077" s="178" t="s">
        <v>117</v>
      </c>
      <c r="B1077" s="75" t="s">
        <v>1408</v>
      </c>
      <c r="C1077" s="39" t="s">
        <v>17</v>
      </c>
      <c r="D1077" s="236"/>
      <c r="E1077" s="236"/>
      <c r="F1077" s="236"/>
      <c r="G1077" s="236"/>
      <c r="H1077" s="40">
        <f>SUM(Tabla132112419[[#This Row],[PRIMER TRIMESTRE]:[CUARTO TRIMESTRE]])</f>
        <v>0</v>
      </c>
      <c r="I1077" s="17">
        <v>48163257.060000002</v>
      </c>
      <c r="J1077" s="17">
        <f t="shared" si="28"/>
        <v>0</v>
      </c>
      <c r="K1077" s="17"/>
      <c r="L1077" s="16" t="s">
        <v>18</v>
      </c>
      <c r="M1077" s="16" t="s">
        <v>22</v>
      </c>
      <c r="N1077" s="39" t="s">
        <v>418</v>
      </c>
    </row>
    <row r="1078" spans="1:14" s="12" customFormat="1" ht="30.75" customHeight="1">
      <c r="A1078" s="179" t="s">
        <v>117</v>
      </c>
      <c r="B1078" s="76" t="s">
        <v>891</v>
      </c>
      <c r="C1078" s="42"/>
      <c r="D1078" s="237"/>
      <c r="E1078" s="237"/>
      <c r="F1078" s="237"/>
      <c r="G1078" s="237"/>
      <c r="H1078" s="43"/>
      <c r="I1078" s="24"/>
      <c r="J1078" s="24"/>
      <c r="K1078" s="25">
        <f>SUM(J1064:J1077)</f>
        <v>0</v>
      </c>
      <c r="L1078" s="23"/>
      <c r="M1078" s="23"/>
      <c r="N1078" s="42"/>
    </row>
    <row r="1079" spans="1:14" s="12" customFormat="1" ht="30.75" customHeight="1">
      <c r="A1079" s="178" t="s">
        <v>118</v>
      </c>
      <c r="B1079" s="75" t="s">
        <v>241</v>
      </c>
      <c r="C1079" s="39" t="s">
        <v>17</v>
      </c>
      <c r="D1079" s="236">
        <v>1</v>
      </c>
      <c r="E1079" s="236"/>
      <c r="F1079" s="236"/>
      <c r="G1079" s="236"/>
      <c r="H1079" s="40">
        <f>SUM(Tabla132112419[[#This Row],[PRIMER TRIMESTRE]:[CUARTO TRIMESTRE]])</f>
        <v>1</v>
      </c>
      <c r="I1079" s="17">
        <v>7544.8</v>
      </c>
      <c r="J1079" s="17">
        <f>+Tabla132112419[[#This Row],[CANTIDAD TOTAL]]*Tabla132112419[[#This Row],[PRECIO UNITARIO ESTIMADO]]</f>
        <v>7544.8</v>
      </c>
      <c r="K1079" s="17"/>
      <c r="L1079" s="73" t="s">
        <v>27</v>
      </c>
      <c r="M1079" s="16" t="s">
        <v>22</v>
      </c>
      <c r="N1079" s="39" t="s">
        <v>418</v>
      </c>
    </row>
    <row r="1080" spans="1:14" s="12" customFormat="1" ht="30.75" customHeight="1">
      <c r="A1080" s="178" t="s">
        <v>118</v>
      </c>
      <c r="B1080" s="75" t="s">
        <v>242</v>
      </c>
      <c r="C1080" s="39" t="s">
        <v>17</v>
      </c>
      <c r="D1080" s="236">
        <v>3</v>
      </c>
      <c r="E1080" s="236"/>
      <c r="F1080" s="236"/>
      <c r="G1080" s="236"/>
      <c r="H1080" s="40">
        <f>SUM(Tabla132112419[[#This Row],[PRIMER TRIMESTRE]:[CUARTO TRIMESTRE]])</f>
        <v>3</v>
      </c>
      <c r="I1080" s="17">
        <v>4756</v>
      </c>
      <c r="J1080" s="17">
        <f>+Tabla132112419[[#This Row],[CANTIDAD TOTAL]]*Tabla132112419[[#This Row],[PRECIO UNITARIO ESTIMADO]]</f>
        <v>14268</v>
      </c>
      <c r="K1080" s="17"/>
      <c r="L1080" s="73" t="s">
        <v>27</v>
      </c>
      <c r="M1080" s="16" t="s">
        <v>22</v>
      </c>
      <c r="N1080" s="39" t="s">
        <v>418</v>
      </c>
    </row>
    <row r="1081" spans="1:14" s="12" customFormat="1" ht="30.75" customHeight="1">
      <c r="A1081" s="178" t="s">
        <v>118</v>
      </c>
      <c r="B1081" s="75" t="s">
        <v>243</v>
      </c>
      <c r="C1081" s="39" t="s">
        <v>17</v>
      </c>
      <c r="D1081" s="236"/>
      <c r="E1081" s="236"/>
      <c r="F1081" s="236"/>
      <c r="G1081" s="236"/>
      <c r="H1081" s="40">
        <f>SUM(Tabla132112419[[#This Row],[PRIMER TRIMESTRE]:[CUARTO TRIMESTRE]])</f>
        <v>0</v>
      </c>
      <c r="I1081" s="17">
        <v>4610.34</v>
      </c>
      <c r="J1081" s="17">
        <f>+Tabla132112419[[#This Row],[CANTIDAD TOTAL]]*Tabla132112419[[#This Row],[PRECIO UNITARIO ESTIMADO]]</f>
        <v>0</v>
      </c>
      <c r="K1081" s="17"/>
      <c r="L1081" s="73" t="s">
        <v>27</v>
      </c>
      <c r="M1081" s="16" t="s">
        <v>22</v>
      </c>
      <c r="N1081" s="39" t="s">
        <v>418</v>
      </c>
    </row>
    <row r="1082" spans="1:14" s="12" customFormat="1" ht="30.75" customHeight="1">
      <c r="A1082" s="178" t="s">
        <v>118</v>
      </c>
      <c r="B1082" s="75" t="s">
        <v>336</v>
      </c>
      <c r="C1082" s="39" t="s">
        <v>17</v>
      </c>
      <c r="D1082" s="236">
        <v>1</v>
      </c>
      <c r="E1082" s="236"/>
      <c r="F1082" s="236"/>
      <c r="G1082" s="236"/>
      <c r="H1082" s="40">
        <f>SUM(Tabla132112419[[#This Row],[PRIMER TRIMESTRE]:[CUARTO TRIMESTRE]])</f>
        <v>1</v>
      </c>
      <c r="I1082" s="17">
        <v>10115</v>
      </c>
      <c r="J1082" s="17">
        <f>+Tabla132112419[[#This Row],[CANTIDAD TOTAL]]*Tabla132112419[[#This Row],[PRECIO UNITARIO ESTIMADO]]</f>
        <v>10115</v>
      </c>
      <c r="K1082" s="17"/>
      <c r="L1082" s="73" t="s">
        <v>27</v>
      </c>
      <c r="M1082" s="16" t="s">
        <v>22</v>
      </c>
      <c r="N1082" s="39" t="s">
        <v>418</v>
      </c>
    </row>
    <row r="1083" spans="1:14" s="12" customFormat="1" ht="30.75" customHeight="1">
      <c r="A1083" s="178" t="s">
        <v>118</v>
      </c>
      <c r="B1083" s="75" t="s">
        <v>1322</v>
      </c>
      <c r="C1083" s="39" t="s">
        <v>17</v>
      </c>
      <c r="D1083" s="236"/>
      <c r="E1083" s="236"/>
      <c r="F1083" s="236"/>
      <c r="G1083" s="236"/>
      <c r="H1083" s="40">
        <f>SUM(Tabla132112419[[#This Row],[PRIMER TRIMESTRE]:[CUARTO TRIMESTRE]])</f>
        <v>0</v>
      </c>
      <c r="I1083" s="17">
        <f>+(5938.35+4838)/2</f>
        <v>5388.1750000000002</v>
      </c>
      <c r="J1083" s="17">
        <f>+Tabla132112419[[#This Row],[CANTIDAD TOTAL]]*Tabla132112419[[#This Row],[PRECIO UNITARIO ESTIMADO]]</f>
        <v>0</v>
      </c>
      <c r="K1083" s="17"/>
      <c r="L1083" s="73" t="s">
        <v>27</v>
      </c>
      <c r="M1083" s="16" t="s">
        <v>22</v>
      </c>
      <c r="N1083" s="39" t="s">
        <v>418</v>
      </c>
    </row>
    <row r="1084" spans="1:14" s="12" customFormat="1" ht="30.75" customHeight="1">
      <c r="A1084" s="178" t="s">
        <v>118</v>
      </c>
      <c r="B1084" s="75" t="s">
        <v>334</v>
      </c>
      <c r="C1084" s="39" t="s">
        <v>17</v>
      </c>
      <c r="D1084" s="236"/>
      <c r="E1084" s="236"/>
      <c r="F1084" s="236"/>
      <c r="G1084" s="236"/>
      <c r="H1084" s="40">
        <f>SUM(Tabla132112419[[#This Row],[PRIMER TRIMESTRE]:[CUARTO TRIMESTRE]])</f>
        <v>0</v>
      </c>
      <c r="I1084" s="17">
        <v>7080</v>
      </c>
      <c r="J1084" s="17">
        <f>+Tabla132112419[[#This Row],[CANTIDAD TOTAL]]*Tabla132112419[[#This Row],[PRECIO UNITARIO ESTIMADO]]</f>
        <v>0</v>
      </c>
      <c r="K1084" s="17"/>
      <c r="L1084" s="73" t="s">
        <v>27</v>
      </c>
      <c r="M1084" s="16" t="s">
        <v>22</v>
      </c>
      <c r="N1084" s="39" t="s">
        <v>418</v>
      </c>
    </row>
    <row r="1085" spans="1:14" s="12" customFormat="1" ht="30.75" customHeight="1">
      <c r="A1085" s="178" t="s">
        <v>118</v>
      </c>
      <c r="B1085" s="75" t="s">
        <v>340</v>
      </c>
      <c r="C1085" s="39" t="s">
        <v>17</v>
      </c>
      <c r="D1085" s="236"/>
      <c r="E1085" s="236"/>
      <c r="F1085" s="236"/>
      <c r="G1085" s="236"/>
      <c r="H1085" s="40">
        <f>SUM(Tabla132112419[[#This Row],[PRIMER TRIMESTRE]:[CUARTO TRIMESTRE]])</f>
        <v>0</v>
      </c>
      <c r="I1085" s="17">
        <v>13684.27</v>
      </c>
      <c r="J1085" s="17">
        <f>+Tabla132112419[[#This Row],[CANTIDAD TOTAL]]*Tabla132112419[[#This Row],[PRECIO UNITARIO ESTIMADO]]</f>
        <v>0</v>
      </c>
      <c r="K1085" s="17"/>
      <c r="L1085" s="73" t="s">
        <v>15</v>
      </c>
      <c r="M1085" s="16" t="s">
        <v>22</v>
      </c>
      <c r="N1085" s="39" t="s">
        <v>418</v>
      </c>
    </row>
    <row r="1086" spans="1:14" s="12" customFormat="1" ht="30.75" customHeight="1">
      <c r="A1086" s="178" t="s">
        <v>118</v>
      </c>
      <c r="B1086" s="75" t="s">
        <v>1138</v>
      </c>
      <c r="C1086" s="39" t="s">
        <v>1067</v>
      </c>
      <c r="D1086" s="236"/>
      <c r="E1086" s="236"/>
      <c r="F1086" s="236"/>
      <c r="G1086" s="236"/>
      <c r="H1086" s="40">
        <f>SUM(Tabla132112419[[#This Row],[PRIMER TRIMESTRE]:[CUARTO TRIMESTRE]])</f>
        <v>0</v>
      </c>
      <c r="I1086" s="17">
        <v>3000</v>
      </c>
      <c r="J1086" s="17">
        <f>+H1086*I1086</f>
        <v>0</v>
      </c>
      <c r="K1086" s="17"/>
      <c r="L1086" s="73" t="s">
        <v>15</v>
      </c>
      <c r="M1086" s="16" t="s">
        <v>22</v>
      </c>
      <c r="N1086" s="39" t="s">
        <v>418</v>
      </c>
    </row>
    <row r="1087" spans="1:14" s="12" customFormat="1" ht="30.75" customHeight="1">
      <c r="A1087" s="178" t="s">
        <v>118</v>
      </c>
      <c r="B1087" s="75" t="s">
        <v>245</v>
      </c>
      <c r="C1087" s="39" t="s">
        <v>17</v>
      </c>
      <c r="D1087" s="236"/>
      <c r="E1087" s="236"/>
      <c r="F1087" s="236"/>
      <c r="G1087" s="236"/>
      <c r="H1087" s="40">
        <f>SUM(Tabla132112419[[#This Row],[PRIMER TRIMESTRE]:[CUARTO TRIMESTRE]])</f>
        <v>0</v>
      </c>
      <c r="I1087" s="17">
        <v>10788</v>
      </c>
      <c r="J1087" s="17">
        <f>+Tabla132112419[[#This Row],[CANTIDAD TOTAL]]*Tabla132112419[[#This Row],[PRECIO UNITARIO ESTIMADO]]</f>
        <v>0</v>
      </c>
      <c r="K1087" s="17"/>
      <c r="L1087" s="73" t="s">
        <v>15</v>
      </c>
      <c r="M1087" s="16" t="s">
        <v>22</v>
      </c>
      <c r="N1087" s="39" t="s">
        <v>418</v>
      </c>
    </row>
    <row r="1088" spans="1:14" s="12" customFormat="1" ht="30.75" customHeight="1">
      <c r="A1088" s="178" t="s">
        <v>118</v>
      </c>
      <c r="B1088" s="75" t="s">
        <v>246</v>
      </c>
      <c r="C1088" s="39" t="s">
        <v>17</v>
      </c>
      <c r="D1088" s="236">
        <v>1</v>
      </c>
      <c r="E1088" s="236"/>
      <c r="F1088" s="236"/>
      <c r="G1088" s="236"/>
      <c r="H1088" s="40">
        <f>SUM(Tabla132112419[[#This Row],[PRIMER TRIMESTRE]:[CUARTO TRIMESTRE]])</f>
        <v>1</v>
      </c>
      <c r="I1088" s="17">
        <v>2467.71</v>
      </c>
      <c r="J1088" s="17">
        <f>+Tabla132112419[[#This Row],[CANTIDAD TOTAL]]*Tabla132112419[[#This Row],[PRECIO UNITARIO ESTIMADO]]</f>
        <v>2467.71</v>
      </c>
      <c r="K1088" s="17"/>
      <c r="L1088" s="73" t="s">
        <v>27</v>
      </c>
      <c r="M1088" s="16" t="s">
        <v>22</v>
      </c>
      <c r="N1088" s="39" t="s">
        <v>418</v>
      </c>
    </row>
    <row r="1089" spans="1:14" s="12" customFormat="1" ht="30.75" customHeight="1">
      <c r="A1089" s="178" t="s">
        <v>118</v>
      </c>
      <c r="B1089" s="75" t="s">
        <v>247</v>
      </c>
      <c r="C1089" s="39" t="s">
        <v>17</v>
      </c>
      <c r="D1089" s="236"/>
      <c r="E1089" s="236"/>
      <c r="F1089" s="236"/>
      <c r="G1089" s="236"/>
      <c r="H1089" s="40">
        <f>SUM(Tabla132112419[[#This Row],[PRIMER TRIMESTRE]:[CUARTO TRIMESTRE]])</f>
        <v>0</v>
      </c>
      <c r="I1089" s="17">
        <v>14434.48</v>
      </c>
      <c r="J1089" s="17">
        <f>+Tabla132112419[[#This Row],[CANTIDAD TOTAL]]*Tabla132112419[[#This Row],[PRECIO UNITARIO ESTIMADO]]</f>
        <v>0</v>
      </c>
      <c r="K1089" s="17"/>
      <c r="L1089" s="73" t="s">
        <v>15</v>
      </c>
      <c r="M1089" s="16" t="s">
        <v>22</v>
      </c>
      <c r="N1089" s="39" t="s">
        <v>418</v>
      </c>
    </row>
    <row r="1090" spans="1:14" s="12" customFormat="1" ht="30.75" customHeight="1">
      <c r="A1090" s="178" t="s">
        <v>118</v>
      </c>
      <c r="B1090" s="75" t="s">
        <v>1604</v>
      </c>
      <c r="C1090" s="39" t="s">
        <v>17</v>
      </c>
      <c r="D1090" s="236">
        <v>1</v>
      </c>
      <c r="E1090" s="236"/>
      <c r="F1090" s="236"/>
      <c r="G1090" s="236"/>
      <c r="H1090" s="40">
        <f>SUM(Tabla132112419[[#This Row],[PRIMER TRIMESTRE]:[CUARTO TRIMESTRE]])</f>
        <v>1</v>
      </c>
      <c r="I1090" s="17">
        <v>4800</v>
      </c>
      <c r="J1090" s="17">
        <f>+H1090*I1090</f>
        <v>4800</v>
      </c>
      <c r="K1090" s="17"/>
      <c r="L1090" s="73" t="s">
        <v>27</v>
      </c>
      <c r="M1090" s="16" t="s">
        <v>22</v>
      </c>
      <c r="N1090" s="39" t="s">
        <v>418</v>
      </c>
    </row>
    <row r="1091" spans="1:14" s="12" customFormat="1" ht="30.75" customHeight="1">
      <c r="A1091" s="178" t="s">
        <v>118</v>
      </c>
      <c r="B1091" s="75" t="s">
        <v>339</v>
      </c>
      <c r="C1091" s="39" t="s">
        <v>17</v>
      </c>
      <c r="D1091" s="236"/>
      <c r="E1091" s="236"/>
      <c r="F1091" s="236"/>
      <c r="G1091" s="236"/>
      <c r="H1091" s="40">
        <f>SUM(Tabla132112419[[#This Row],[PRIMER TRIMESTRE]:[CUARTO TRIMESTRE]])</f>
        <v>0</v>
      </c>
      <c r="I1091" s="17">
        <f>115079.5/24</f>
        <v>4794.979166666667</v>
      </c>
      <c r="J1091" s="17">
        <f>+Tabla132112419[[#This Row],[CANTIDAD TOTAL]]*Tabla132112419[[#This Row],[PRECIO UNITARIO ESTIMADO]]</f>
        <v>0</v>
      </c>
      <c r="K1091" s="17"/>
      <c r="L1091" s="73" t="s">
        <v>15</v>
      </c>
      <c r="M1091" s="16" t="s">
        <v>22</v>
      </c>
      <c r="N1091" s="39" t="s">
        <v>418</v>
      </c>
    </row>
    <row r="1092" spans="1:14" s="12" customFormat="1" ht="30.75" customHeight="1">
      <c r="A1092" s="178" t="s">
        <v>118</v>
      </c>
      <c r="B1092" s="75" t="s">
        <v>248</v>
      </c>
      <c r="C1092" s="39" t="s">
        <v>17</v>
      </c>
      <c r="D1092" s="236">
        <v>3</v>
      </c>
      <c r="E1092" s="236"/>
      <c r="F1092" s="236"/>
      <c r="G1092" s="236"/>
      <c r="H1092" s="40">
        <f>SUM(Tabla132112419[[#This Row],[PRIMER TRIMESTRE]:[CUARTO TRIMESTRE]])</f>
        <v>3</v>
      </c>
      <c r="I1092" s="17">
        <v>2262</v>
      </c>
      <c r="J1092" s="17">
        <f>+Tabla132112419[[#This Row],[CANTIDAD TOTAL]]*Tabla132112419[[#This Row],[PRECIO UNITARIO ESTIMADO]]</f>
        <v>6786</v>
      </c>
      <c r="K1092" s="17"/>
      <c r="L1092" s="73" t="s">
        <v>15</v>
      </c>
      <c r="M1092" s="16" t="s">
        <v>22</v>
      </c>
      <c r="N1092" s="39" t="s">
        <v>418</v>
      </c>
    </row>
    <row r="1093" spans="1:14" s="12" customFormat="1" ht="30.75" customHeight="1">
      <c r="A1093" s="178" t="s">
        <v>118</v>
      </c>
      <c r="B1093" s="75" t="s">
        <v>249</v>
      </c>
      <c r="C1093" s="39" t="s">
        <v>17</v>
      </c>
      <c r="D1093" s="236">
        <v>2</v>
      </c>
      <c r="E1093" s="236"/>
      <c r="F1093" s="236"/>
      <c r="G1093" s="236"/>
      <c r="H1093" s="40">
        <f>SUM(Tabla132112419[[#This Row],[PRIMER TRIMESTRE]:[CUARTO TRIMESTRE]])</f>
        <v>2</v>
      </c>
      <c r="I1093" s="17">
        <v>3250</v>
      </c>
      <c r="J1093" s="17">
        <f>+Tabla132112419[[#This Row],[CANTIDAD TOTAL]]*Tabla132112419[[#This Row],[PRECIO UNITARIO ESTIMADO]]</f>
        <v>6500</v>
      </c>
      <c r="K1093" s="17"/>
      <c r="L1093" s="73" t="s">
        <v>27</v>
      </c>
      <c r="M1093" s="16" t="s">
        <v>22</v>
      </c>
      <c r="N1093" s="39" t="s">
        <v>418</v>
      </c>
    </row>
    <row r="1094" spans="1:14" s="26" customFormat="1" ht="30.75" customHeight="1">
      <c r="A1094" s="178" t="s">
        <v>118</v>
      </c>
      <c r="B1094" s="75" t="s">
        <v>250</v>
      </c>
      <c r="C1094" s="39" t="s">
        <v>17</v>
      </c>
      <c r="D1094" s="236">
        <v>1</v>
      </c>
      <c r="E1094" s="236"/>
      <c r="F1094" s="236"/>
      <c r="G1094" s="236"/>
      <c r="H1094" s="40">
        <f>SUM(Tabla132112419[[#This Row],[PRIMER TRIMESTRE]:[CUARTO TRIMESTRE]])</f>
        <v>1</v>
      </c>
      <c r="I1094" s="17">
        <v>3959.88</v>
      </c>
      <c r="J1094" s="17">
        <f>+Tabla132112419[[#This Row],[CANTIDAD TOTAL]]*Tabla132112419[[#This Row],[PRECIO UNITARIO ESTIMADO]]</f>
        <v>3959.88</v>
      </c>
      <c r="K1094" s="17"/>
      <c r="L1094" s="73" t="s">
        <v>27</v>
      </c>
      <c r="M1094" s="16" t="s">
        <v>22</v>
      </c>
      <c r="N1094" s="39" t="s">
        <v>418</v>
      </c>
    </row>
    <row r="1095" spans="1:14" s="12" customFormat="1" ht="30.75" customHeight="1">
      <c r="A1095" s="178" t="s">
        <v>118</v>
      </c>
      <c r="B1095" s="75" t="s">
        <v>323</v>
      </c>
      <c r="C1095" s="39" t="s">
        <v>17</v>
      </c>
      <c r="D1095" s="236"/>
      <c r="E1095" s="236"/>
      <c r="F1095" s="236"/>
      <c r="G1095" s="236"/>
      <c r="H1095" s="40">
        <f>SUM(Tabla132112419[[#This Row],[PRIMER TRIMESTRE]:[CUARTO TRIMESTRE]])</f>
        <v>0</v>
      </c>
      <c r="I1095" s="17">
        <f>16086.57/3</f>
        <v>5362.19</v>
      </c>
      <c r="J1095" s="17">
        <f>+Tabla132112419[[#This Row],[CANTIDAD TOTAL]]*Tabla132112419[[#This Row],[PRECIO UNITARIO ESTIMADO]]</f>
        <v>0</v>
      </c>
      <c r="K1095" s="17"/>
      <c r="L1095" s="73" t="s">
        <v>15</v>
      </c>
      <c r="M1095" s="16" t="s">
        <v>22</v>
      </c>
      <c r="N1095" s="39" t="s">
        <v>418</v>
      </c>
    </row>
    <row r="1096" spans="1:14" s="12" customFormat="1" ht="30.75" customHeight="1">
      <c r="A1096" s="179" t="s">
        <v>118</v>
      </c>
      <c r="B1096" s="76"/>
      <c r="C1096" s="42"/>
      <c r="D1096" s="237"/>
      <c r="E1096" s="237"/>
      <c r="F1096" s="237"/>
      <c r="G1096" s="237"/>
      <c r="H1096" s="43"/>
      <c r="I1096" s="24"/>
      <c r="J1096" s="24"/>
      <c r="K1096" s="25">
        <f>SUM(J1079:J1095)</f>
        <v>56441.39</v>
      </c>
      <c r="L1096" s="23"/>
      <c r="M1096" s="23"/>
      <c r="N1096" s="42"/>
    </row>
    <row r="1097" spans="1:14" s="12" customFormat="1" ht="30.75" customHeight="1">
      <c r="A1097" s="178" t="s">
        <v>119</v>
      </c>
      <c r="B1097" s="75" t="s">
        <v>341</v>
      </c>
      <c r="C1097" s="236" t="s">
        <v>17</v>
      </c>
      <c r="D1097" s="236">
        <v>1</v>
      </c>
      <c r="E1097" s="236"/>
      <c r="F1097" s="236"/>
      <c r="G1097" s="236"/>
      <c r="H1097" s="40">
        <f>SUM(Tabla132112419[[#This Row],[PRIMER TRIMESTRE]:[CUARTO TRIMESTRE]])</f>
        <v>1</v>
      </c>
      <c r="I1097" s="17">
        <f>2160.9+22288+501.5+6355.8+18041.9+5084.64+8389.8+3050.76+2466.06+1983.5+6203.28</f>
        <v>76526.14</v>
      </c>
      <c r="J1097" s="17">
        <f>+Tabla132112419[[#This Row],[CANTIDAD TOTAL]]*Tabla132112419[[#This Row],[PRECIO UNITARIO ESTIMADO]]</f>
        <v>76526.14</v>
      </c>
      <c r="K1097" s="17"/>
      <c r="L1097" s="16" t="s">
        <v>15</v>
      </c>
      <c r="M1097" s="16" t="s">
        <v>22</v>
      </c>
      <c r="N1097" s="39" t="s">
        <v>418</v>
      </c>
    </row>
    <row r="1098" spans="1:14" s="12" customFormat="1" ht="30.75" customHeight="1">
      <c r="A1098" s="178" t="s">
        <v>119</v>
      </c>
      <c r="B1098" s="75" t="s">
        <v>252</v>
      </c>
      <c r="C1098" s="39" t="s">
        <v>17</v>
      </c>
      <c r="D1098" s="236"/>
      <c r="E1098" s="236"/>
      <c r="F1098" s="236"/>
      <c r="G1098" s="236"/>
      <c r="H1098" s="40">
        <f>SUM(Tabla132112419[[#This Row],[PRIMER TRIMESTRE]:[CUARTO TRIMESTRE]])</f>
        <v>0</v>
      </c>
      <c r="I1098" s="17">
        <v>26.45</v>
      </c>
      <c r="J1098" s="17">
        <f>+Tabla132112419[[#This Row],[CANTIDAD TOTAL]]*Tabla132112419[[#This Row],[PRECIO UNITARIO ESTIMADO]]</f>
        <v>0</v>
      </c>
      <c r="K1098" s="17"/>
      <c r="L1098" s="16" t="s">
        <v>15</v>
      </c>
      <c r="M1098" s="16" t="s">
        <v>22</v>
      </c>
      <c r="N1098" s="39" t="s">
        <v>418</v>
      </c>
    </row>
    <row r="1099" spans="1:14" s="12" customFormat="1" ht="30.75" customHeight="1">
      <c r="A1099" s="178" t="s">
        <v>119</v>
      </c>
      <c r="B1099" s="75" t="s">
        <v>1606</v>
      </c>
      <c r="C1099" s="39" t="s">
        <v>17</v>
      </c>
      <c r="D1099" s="236"/>
      <c r="E1099" s="236"/>
      <c r="F1099" s="236"/>
      <c r="G1099" s="236"/>
      <c r="H1099" s="40">
        <f>SUM(Tabla132112419[[#This Row],[PRIMER TRIMESTRE]:[CUARTO TRIMESTRE]])</f>
        <v>0</v>
      </c>
      <c r="I1099" s="17">
        <v>8000</v>
      </c>
      <c r="J1099" s="17">
        <f>+H1099*I1099</f>
        <v>0</v>
      </c>
      <c r="K1099" s="17"/>
      <c r="L1099" s="16" t="s">
        <v>15</v>
      </c>
      <c r="M1099" s="16" t="s">
        <v>22</v>
      </c>
      <c r="N1099" s="39" t="s">
        <v>418</v>
      </c>
    </row>
    <row r="1100" spans="1:14" s="12" customFormat="1" ht="30.75" customHeight="1">
      <c r="A1100" s="178" t="s">
        <v>119</v>
      </c>
      <c r="B1100" s="75" t="s">
        <v>1605</v>
      </c>
      <c r="C1100" s="39" t="s">
        <v>17</v>
      </c>
      <c r="D1100" s="236">
        <v>1</v>
      </c>
      <c r="E1100" s="236"/>
      <c r="F1100" s="236"/>
      <c r="G1100" s="236"/>
      <c r="H1100" s="40">
        <f>SUM(Tabla132112419[[#This Row],[PRIMER TRIMESTRE]:[CUARTO TRIMESTRE]])</f>
        <v>1</v>
      </c>
      <c r="I1100" s="17">
        <v>12500</v>
      </c>
      <c r="J1100" s="17">
        <f>+H1100*I1100</f>
        <v>12500</v>
      </c>
      <c r="K1100" s="17"/>
      <c r="L1100" s="16" t="s">
        <v>15</v>
      </c>
      <c r="M1100" s="16" t="s">
        <v>22</v>
      </c>
      <c r="N1100" s="39" t="s">
        <v>418</v>
      </c>
    </row>
    <row r="1101" spans="1:14" s="12" customFormat="1" ht="30.75" customHeight="1">
      <c r="A1101" s="178" t="s">
        <v>119</v>
      </c>
      <c r="B1101" s="75" t="s">
        <v>256</v>
      </c>
      <c r="C1101" s="39" t="s">
        <v>17</v>
      </c>
      <c r="D1101" s="236">
        <v>3</v>
      </c>
      <c r="E1101" s="236"/>
      <c r="F1101" s="236"/>
      <c r="G1101" s="236"/>
      <c r="H1101" s="40">
        <f>SUM(Tabla132112419[[#This Row],[PRIMER TRIMESTRE]:[CUARTO TRIMESTRE]])</f>
        <v>3</v>
      </c>
      <c r="I1101" s="17">
        <v>434.24</v>
      </c>
      <c r="J1101" s="17">
        <f>+Tabla132112419[[#This Row],[CANTIDAD TOTAL]]*Tabla132112419[[#This Row],[PRECIO UNITARIO ESTIMADO]]</f>
        <v>1302.72</v>
      </c>
      <c r="K1101" s="17"/>
      <c r="L1101" s="16" t="s">
        <v>15</v>
      </c>
      <c r="M1101" s="16" t="s">
        <v>22</v>
      </c>
      <c r="N1101" s="39" t="s">
        <v>418</v>
      </c>
    </row>
    <row r="1102" spans="1:14" s="26" customFormat="1" ht="30.75" customHeight="1">
      <c r="A1102" s="178" t="s">
        <v>119</v>
      </c>
      <c r="B1102" s="75" t="s">
        <v>324</v>
      </c>
      <c r="C1102" s="39" t="s">
        <v>17</v>
      </c>
      <c r="D1102" s="236"/>
      <c r="E1102" s="236"/>
      <c r="F1102" s="236"/>
      <c r="G1102" s="236"/>
      <c r="H1102" s="40">
        <f>SUM(Tabla132112419[[#This Row],[PRIMER TRIMESTRE]:[CUARTO TRIMESTRE]])</f>
        <v>0</v>
      </c>
      <c r="I1102" s="17">
        <f>3536.75/2</f>
        <v>1768.375</v>
      </c>
      <c r="J1102" s="17">
        <f>+Tabla132112419[[#This Row],[CANTIDAD TOTAL]]*Tabla132112419[[#This Row],[PRECIO UNITARIO ESTIMADO]]</f>
        <v>0</v>
      </c>
      <c r="K1102" s="17"/>
      <c r="L1102" s="16" t="s">
        <v>15</v>
      </c>
      <c r="M1102" s="16" t="s">
        <v>22</v>
      </c>
      <c r="N1102" s="39" t="s">
        <v>418</v>
      </c>
    </row>
    <row r="1103" spans="1:14" s="12" customFormat="1" ht="30.75" customHeight="1">
      <c r="A1103" s="178" t="s">
        <v>119</v>
      </c>
      <c r="B1103" s="75" t="s">
        <v>257</v>
      </c>
      <c r="C1103" s="39" t="s">
        <v>17</v>
      </c>
      <c r="D1103" s="236">
        <v>1</v>
      </c>
      <c r="E1103" s="236"/>
      <c r="F1103" s="236"/>
      <c r="G1103" s="236"/>
      <c r="H1103" s="40">
        <f>SUM(Tabla132112419[[#This Row],[PRIMER TRIMESTRE]:[CUARTO TRIMESTRE]])</f>
        <v>1</v>
      </c>
      <c r="I1103" s="17">
        <v>522</v>
      </c>
      <c r="J1103" s="17">
        <f>+Tabla132112419[[#This Row],[CANTIDAD TOTAL]]*Tabla132112419[[#This Row],[PRECIO UNITARIO ESTIMADO]]</f>
        <v>522</v>
      </c>
      <c r="K1103" s="17"/>
      <c r="L1103" s="16" t="s">
        <v>15</v>
      </c>
      <c r="M1103" s="16" t="s">
        <v>22</v>
      </c>
      <c r="N1103" s="39" t="s">
        <v>418</v>
      </c>
    </row>
    <row r="1104" spans="1:14" s="12" customFormat="1" ht="30.75" customHeight="1">
      <c r="A1104" s="179" t="s">
        <v>119</v>
      </c>
      <c r="B1104" s="76"/>
      <c r="C1104" s="42"/>
      <c r="D1104" s="237"/>
      <c r="E1104" s="237"/>
      <c r="F1104" s="237"/>
      <c r="G1104" s="237"/>
      <c r="H1104" s="43"/>
      <c r="I1104" s="24"/>
      <c r="J1104" s="24"/>
      <c r="K1104" s="25">
        <f>SUM(J1097:J1103)</f>
        <v>90850.86</v>
      </c>
      <c r="L1104" s="23"/>
      <c r="M1104" s="23"/>
      <c r="N1104" s="42"/>
    </row>
    <row r="1105" spans="1:14" s="12" customFormat="1" ht="18">
      <c r="A1105" s="178" t="s">
        <v>120</v>
      </c>
      <c r="B1105" s="75" t="s">
        <v>392</v>
      </c>
      <c r="C1105" s="39" t="s">
        <v>208</v>
      </c>
      <c r="D1105" s="236">
        <v>3</v>
      </c>
      <c r="E1105" s="236">
        <v>3</v>
      </c>
      <c r="F1105" s="236">
        <v>3</v>
      </c>
      <c r="G1105" s="236">
        <v>3</v>
      </c>
      <c r="H1105" s="41">
        <f>SUM(Tabla132112419[[#This Row],[PRIMER TRIMESTRE]:[CUARTO TRIMESTRE]])</f>
        <v>12</v>
      </c>
      <c r="I1105" s="17">
        <v>48.12</v>
      </c>
      <c r="J1105" s="17">
        <f>+H1105*I1105</f>
        <v>577.43999999999994</v>
      </c>
      <c r="K1105" s="17"/>
      <c r="L1105" s="16" t="s">
        <v>18</v>
      </c>
      <c r="M1105" s="16" t="s">
        <v>22</v>
      </c>
      <c r="N1105" s="39" t="s">
        <v>418</v>
      </c>
    </row>
    <row r="1106" spans="1:14" s="12" customFormat="1" ht="18">
      <c r="A1106" s="178" t="s">
        <v>120</v>
      </c>
      <c r="B1106" s="75" t="s">
        <v>393</v>
      </c>
      <c r="C1106" s="39" t="s">
        <v>208</v>
      </c>
      <c r="D1106" s="236">
        <v>3</v>
      </c>
      <c r="E1106" s="236">
        <v>3</v>
      </c>
      <c r="F1106" s="236">
        <v>3</v>
      </c>
      <c r="G1106" s="236">
        <v>3</v>
      </c>
      <c r="H1106" s="41">
        <f>SUM(Tabla132112419[[#This Row],[PRIMER TRIMESTRE]:[CUARTO TRIMESTRE]])</f>
        <v>12</v>
      </c>
      <c r="I1106" s="17">
        <v>41.28</v>
      </c>
      <c r="J1106" s="17">
        <f>+H1106*I1106</f>
        <v>495.36</v>
      </c>
      <c r="K1106" s="17"/>
      <c r="L1106" s="16" t="s">
        <v>18</v>
      </c>
      <c r="M1106" s="16" t="s">
        <v>22</v>
      </c>
      <c r="N1106" s="39" t="s">
        <v>418</v>
      </c>
    </row>
    <row r="1107" spans="1:14" s="12" customFormat="1" ht="18">
      <c r="A1107" s="178" t="s">
        <v>120</v>
      </c>
      <c r="B1107" s="75" t="s">
        <v>743</v>
      </c>
      <c r="C1107" s="39" t="s">
        <v>208</v>
      </c>
      <c r="D1107" s="236">
        <v>1</v>
      </c>
      <c r="E1107" s="236">
        <v>1</v>
      </c>
      <c r="F1107" s="236">
        <v>1</v>
      </c>
      <c r="G1107" s="236">
        <v>1</v>
      </c>
      <c r="H1107" s="41">
        <f>SUM(Tabla132112419[[#This Row],[PRIMER TRIMESTRE]:[CUARTO TRIMESTRE]])</f>
        <v>4</v>
      </c>
      <c r="I1107" s="17">
        <f>4.42*12</f>
        <v>53.04</v>
      </c>
      <c r="J1107" s="17">
        <f>+H1107*I1107</f>
        <v>212.16</v>
      </c>
      <c r="K1107" s="17"/>
      <c r="L1107" s="16" t="s">
        <v>18</v>
      </c>
      <c r="M1107" s="16" t="s">
        <v>22</v>
      </c>
      <c r="N1107" s="39" t="s">
        <v>418</v>
      </c>
    </row>
    <row r="1108" spans="1:14" s="12" customFormat="1" ht="18">
      <c r="A1108" s="178" t="s">
        <v>120</v>
      </c>
      <c r="B1108" s="75" t="s">
        <v>398</v>
      </c>
      <c r="C1108" s="39" t="s">
        <v>208</v>
      </c>
      <c r="D1108" s="236">
        <v>1</v>
      </c>
      <c r="E1108" s="236">
        <v>1</v>
      </c>
      <c r="F1108" s="236"/>
      <c r="G1108" s="236">
        <v>1</v>
      </c>
      <c r="H1108" s="41">
        <f>SUM(Tabla132112419[[#This Row],[PRIMER TRIMESTRE]:[CUARTO TRIMESTRE]])</f>
        <v>3</v>
      </c>
      <c r="I1108" s="17">
        <v>22.42</v>
      </c>
      <c r="J1108" s="17">
        <f>+H1108*I1108</f>
        <v>67.260000000000005</v>
      </c>
      <c r="K1108" s="17"/>
      <c r="L1108" s="16" t="s">
        <v>18</v>
      </c>
      <c r="M1108" s="16" t="s">
        <v>22</v>
      </c>
      <c r="N1108" s="39" t="s">
        <v>418</v>
      </c>
    </row>
    <row r="1109" spans="1:14" s="12" customFormat="1" ht="18">
      <c r="A1109" s="178" t="s">
        <v>120</v>
      </c>
      <c r="B1109" s="75" t="s">
        <v>253</v>
      </c>
      <c r="C1109" s="39" t="s">
        <v>208</v>
      </c>
      <c r="D1109" s="236">
        <v>1</v>
      </c>
      <c r="E1109" s="236">
        <v>1</v>
      </c>
      <c r="F1109" s="236">
        <v>1</v>
      </c>
      <c r="G1109" s="236">
        <v>1</v>
      </c>
      <c r="H1109" s="40">
        <f>SUM(Tabla132112419[[#This Row],[PRIMER TRIMESTRE]:[CUARTO TRIMESTRE]])</f>
        <v>4</v>
      </c>
      <c r="I1109" s="17">
        <v>52.28</v>
      </c>
      <c r="J1109" s="17">
        <f>+Tabla132112419[[#This Row],[CANTIDAD TOTAL]]*Tabla132112419[[#This Row],[PRECIO UNITARIO ESTIMADO]]</f>
        <v>209.12</v>
      </c>
      <c r="K1109" s="17"/>
      <c r="L1109" s="16" t="s">
        <v>18</v>
      </c>
      <c r="M1109" s="16" t="s">
        <v>22</v>
      </c>
      <c r="N1109" s="39" t="s">
        <v>418</v>
      </c>
    </row>
    <row r="1110" spans="1:14" s="169" customFormat="1" ht="18">
      <c r="A1110" s="178" t="s">
        <v>120</v>
      </c>
      <c r="B1110" s="75" t="s">
        <v>402</v>
      </c>
      <c r="C1110" s="39" t="s">
        <v>17</v>
      </c>
      <c r="D1110" s="236">
        <v>2</v>
      </c>
      <c r="E1110" s="236"/>
      <c r="F1110" s="236">
        <v>2</v>
      </c>
      <c r="G1110" s="236"/>
      <c r="H1110" s="40">
        <f>SUM(Tabla132112419[[#This Row],[PRIMER TRIMESTRE]:[CUARTO TRIMESTRE]])</f>
        <v>4</v>
      </c>
      <c r="I1110" s="17">
        <v>182.9</v>
      </c>
      <c r="J1110" s="17">
        <f>+H1110*I1110</f>
        <v>731.6</v>
      </c>
      <c r="K1110" s="17"/>
      <c r="L1110" s="16" t="s">
        <v>18</v>
      </c>
      <c r="M1110" s="16" t="s">
        <v>22</v>
      </c>
      <c r="N1110" s="39" t="s">
        <v>418</v>
      </c>
    </row>
    <row r="1111" spans="1:14" s="12" customFormat="1" ht="18">
      <c r="A1111" s="178" t="s">
        <v>120</v>
      </c>
      <c r="B1111" s="75" t="s">
        <v>260</v>
      </c>
      <c r="C1111" s="39" t="s">
        <v>17</v>
      </c>
      <c r="D1111" s="236">
        <v>2</v>
      </c>
      <c r="E1111" s="236">
        <v>2</v>
      </c>
      <c r="F1111" s="236">
        <v>2</v>
      </c>
      <c r="G1111" s="236">
        <v>2</v>
      </c>
      <c r="H1111" s="40">
        <f>SUM(Tabla132112419[[#This Row],[PRIMER TRIMESTRE]:[CUARTO TRIMESTRE]])</f>
        <v>8</v>
      </c>
      <c r="I1111" s="17">
        <v>29.28</v>
      </c>
      <c r="J1111" s="17">
        <f>+Tabla132112419[[#This Row],[CANTIDAD TOTAL]]*Tabla132112419[[#This Row],[PRECIO UNITARIO ESTIMADO]]</f>
        <v>234.24</v>
      </c>
      <c r="K1111" s="17"/>
      <c r="L1111" s="16" t="s">
        <v>18</v>
      </c>
      <c r="M1111" s="16" t="s">
        <v>22</v>
      </c>
      <c r="N1111" s="39" t="s">
        <v>418</v>
      </c>
    </row>
    <row r="1112" spans="1:14" s="169" customFormat="1" ht="18">
      <c r="A1112" s="180" t="s">
        <v>120</v>
      </c>
      <c r="B1112" s="75" t="s">
        <v>239</v>
      </c>
      <c r="C1112" s="70" t="s">
        <v>208</v>
      </c>
      <c r="D1112" s="415"/>
      <c r="E1112" s="210"/>
      <c r="F1112" s="210"/>
      <c r="G1112" s="210"/>
      <c r="H1112" s="406">
        <f>SUM(Tabla132112419[[#This Row],[PRIMER TRIMESTRE]:[CUARTO TRIMESTRE]])</f>
        <v>0</v>
      </c>
      <c r="I1112" s="72">
        <v>232</v>
      </c>
      <c r="J1112" s="72">
        <f>+Tabla132112419[[#This Row],[CANTIDAD TOTAL]]*Tabla132112419[[#This Row],[PRECIO UNITARIO ESTIMADO]]</f>
        <v>0</v>
      </c>
      <c r="K1112" s="72"/>
      <c r="L1112" s="16" t="s">
        <v>18</v>
      </c>
      <c r="M1112" s="73" t="s">
        <v>22</v>
      </c>
      <c r="N1112" s="70" t="s">
        <v>418</v>
      </c>
    </row>
    <row r="1113" spans="1:14" s="12" customFormat="1" ht="18">
      <c r="A1113" s="178" t="s">
        <v>120</v>
      </c>
      <c r="B1113" s="75" t="s">
        <v>414</v>
      </c>
      <c r="C1113" s="39" t="s">
        <v>417</v>
      </c>
      <c r="D1113" s="236"/>
      <c r="E1113" s="236"/>
      <c r="F1113" s="236"/>
      <c r="G1113" s="236"/>
      <c r="H1113" s="41">
        <f>SUM(Tabla132112419[[#This Row],[PRIMER TRIMESTRE]:[CUARTO TRIMESTRE]])</f>
        <v>0</v>
      </c>
      <c r="I1113" s="17">
        <v>13.57</v>
      </c>
      <c r="J1113" s="17">
        <f>+H1113*I1113</f>
        <v>0</v>
      </c>
      <c r="K1113" s="17"/>
      <c r="L1113" s="16" t="s">
        <v>18</v>
      </c>
      <c r="M1113" s="16" t="s">
        <v>22</v>
      </c>
      <c r="N1113" s="39" t="s">
        <v>418</v>
      </c>
    </row>
    <row r="1114" spans="1:14" s="12" customFormat="1" ht="18">
      <c r="A1114" s="180" t="s">
        <v>120</v>
      </c>
      <c r="B1114" s="75" t="s">
        <v>240</v>
      </c>
      <c r="C1114" s="70" t="s">
        <v>208</v>
      </c>
      <c r="D1114" s="415"/>
      <c r="E1114" s="210"/>
      <c r="F1114" s="210"/>
      <c r="G1114" s="210"/>
      <c r="H1114" s="406">
        <f>SUM(Tabla132112419[[#This Row],[PRIMER TRIMESTRE]:[CUARTO TRIMESTRE]])</f>
        <v>0</v>
      </c>
      <c r="I1114" s="72">
        <v>5341.57</v>
      </c>
      <c r="J1114" s="72">
        <f>+Tabla132112419[[#This Row],[CANTIDAD TOTAL]]*Tabla132112419[[#This Row],[PRECIO UNITARIO ESTIMADO]]</f>
        <v>0</v>
      </c>
      <c r="K1114" s="72"/>
      <c r="L1114" s="16" t="s">
        <v>18</v>
      </c>
      <c r="M1114" s="73" t="s">
        <v>22</v>
      </c>
      <c r="N1114" s="70" t="s">
        <v>418</v>
      </c>
    </row>
    <row r="1115" spans="1:14" s="12" customFormat="1" ht="18">
      <c r="A1115" s="178" t="s">
        <v>120</v>
      </c>
      <c r="B1115" s="75" t="s">
        <v>748</v>
      </c>
      <c r="C1115" s="39" t="s">
        <v>17</v>
      </c>
      <c r="D1115" s="236">
        <v>4</v>
      </c>
      <c r="E1115" s="236">
        <v>4</v>
      </c>
      <c r="F1115" s="236">
        <v>4</v>
      </c>
      <c r="G1115" s="236">
        <v>4</v>
      </c>
      <c r="H1115" s="41">
        <f>SUM(Tabla132112419[[#This Row],[PRIMER TRIMESTRE]:[CUARTO TRIMESTRE]])</f>
        <v>16</v>
      </c>
      <c r="I1115" s="17">
        <v>463.74</v>
      </c>
      <c r="J1115" s="17">
        <f>+H1115*I1115</f>
        <v>7419.84</v>
      </c>
      <c r="K1115" s="17"/>
      <c r="L1115" s="16" t="s">
        <v>18</v>
      </c>
      <c r="M1115" s="16" t="s">
        <v>22</v>
      </c>
      <c r="N1115" s="39" t="s">
        <v>418</v>
      </c>
    </row>
    <row r="1116" spans="1:14" s="12" customFormat="1" ht="18">
      <c r="A1116" s="178" t="s">
        <v>120</v>
      </c>
      <c r="B1116" s="75" t="s">
        <v>263</v>
      </c>
      <c r="C1116" s="39" t="s">
        <v>17</v>
      </c>
      <c r="D1116" s="236">
        <v>2</v>
      </c>
      <c r="E1116" s="236">
        <v>2</v>
      </c>
      <c r="F1116" s="236">
        <v>1</v>
      </c>
      <c r="G1116" s="236">
        <v>2</v>
      </c>
      <c r="H1116" s="41">
        <f>SUM(Tabla132112419[[#This Row],[PRIMER TRIMESTRE]:[CUARTO TRIMESTRE]])</f>
        <v>7</v>
      </c>
      <c r="I1116" s="17">
        <v>217.02</v>
      </c>
      <c r="J1116" s="17">
        <f>+Tabla132112419[[#This Row],[CANTIDAD TOTAL]]*Tabla132112419[[#This Row],[PRECIO UNITARIO ESTIMADO]]</f>
        <v>1519.14</v>
      </c>
      <c r="K1116" s="17"/>
      <c r="L1116" s="16" t="s">
        <v>18</v>
      </c>
      <c r="M1116" s="16" t="s">
        <v>22</v>
      </c>
      <c r="N1116" s="39" t="s">
        <v>418</v>
      </c>
    </row>
    <row r="1117" spans="1:14" s="12" customFormat="1" ht="18">
      <c r="A1117" s="178" t="s">
        <v>120</v>
      </c>
      <c r="B1117" s="75" t="s">
        <v>749</v>
      </c>
      <c r="C1117" s="39" t="s">
        <v>17</v>
      </c>
      <c r="D1117" s="236">
        <v>2</v>
      </c>
      <c r="E1117" s="236">
        <v>2</v>
      </c>
      <c r="F1117" s="236">
        <v>2</v>
      </c>
      <c r="G1117" s="236">
        <v>2</v>
      </c>
      <c r="H1117" s="41">
        <f>SUM(Tabla132112419[[#This Row],[PRIMER TRIMESTRE]:[CUARTO TRIMESTRE]])</f>
        <v>8</v>
      </c>
      <c r="I1117" s="17">
        <v>186.44</v>
      </c>
      <c r="J1117" s="17">
        <f>+H1117*I1117</f>
        <v>1491.52</v>
      </c>
      <c r="K1117" s="17"/>
      <c r="L1117" s="16" t="s">
        <v>18</v>
      </c>
      <c r="M1117" s="16" t="s">
        <v>22</v>
      </c>
      <c r="N1117" s="39" t="s">
        <v>418</v>
      </c>
    </row>
    <row r="1118" spans="1:14" s="12" customFormat="1" ht="18">
      <c r="A1118" s="178" t="s">
        <v>120</v>
      </c>
      <c r="B1118" s="75" t="s">
        <v>750</v>
      </c>
      <c r="C1118" s="39" t="s">
        <v>17</v>
      </c>
      <c r="D1118" s="236"/>
      <c r="E1118" s="236"/>
      <c r="F1118" s="236"/>
      <c r="G1118" s="236"/>
      <c r="H1118" s="41">
        <f>SUM(Tabla132112419[[#This Row],[PRIMER TRIMESTRE]:[CUARTO TRIMESTRE]])</f>
        <v>0</v>
      </c>
      <c r="I1118" s="17">
        <v>129.80000000000001</v>
      </c>
      <c r="J1118" s="17">
        <f>+H1118*I1118</f>
        <v>0</v>
      </c>
      <c r="K1118" s="17"/>
      <c r="L1118" s="16" t="s">
        <v>18</v>
      </c>
      <c r="M1118" s="16" t="s">
        <v>22</v>
      </c>
      <c r="N1118" s="39" t="s">
        <v>418</v>
      </c>
    </row>
    <row r="1119" spans="1:14" s="12" customFormat="1" ht="18">
      <c r="A1119" s="178" t="s">
        <v>120</v>
      </c>
      <c r="B1119" s="75" t="s">
        <v>403</v>
      </c>
      <c r="C1119" s="39" t="s">
        <v>416</v>
      </c>
      <c r="D1119" s="236">
        <v>4</v>
      </c>
      <c r="E1119" s="236">
        <v>4</v>
      </c>
      <c r="F1119" s="236">
        <v>4</v>
      </c>
      <c r="G1119" s="236">
        <v>4</v>
      </c>
      <c r="H1119" s="41">
        <f>SUM(Tabla132112419[[#This Row],[PRIMER TRIMESTRE]:[CUARTO TRIMESTRE]])</f>
        <v>16</v>
      </c>
      <c r="I1119" s="17">
        <v>75</v>
      </c>
      <c r="J1119" s="17">
        <f>+H1119*I1119</f>
        <v>1200</v>
      </c>
      <c r="K1119" s="17"/>
      <c r="L1119" s="16" t="s">
        <v>18</v>
      </c>
      <c r="M1119" s="16" t="s">
        <v>22</v>
      </c>
      <c r="N1119" s="39" t="s">
        <v>418</v>
      </c>
    </row>
    <row r="1120" spans="1:14" s="12" customFormat="1" ht="18">
      <c r="A1120" s="178" t="s">
        <v>120</v>
      </c>
      <c r="B1120" s="75" t="s">
        <v>744</v>
      </c>
      <c r="C1120" s="39" t="s">
        <v>17</v>
      </c>
      <c r="D1120" s="236">
        <v>2</v>
      </c>
      <c r="E1120" s="236">
        <v>2</v>
      </c>
      <c r="F1120" s="236">
        <v>2</v>
      </c>
      <c r="G1120" s="236">
        <v>2</v>
      </c>
      <c r="H1120" s="41">
        <f>SUM(Tabla132112419[[#This Row],[PRIMER TRIMESTRE]:[CUARTO TRIMESTRE]])</f>
        <v>8</v>
      </c>
      <c r="I1120" s="17">
        <v>43.66</v>
      </c>
      <c r="J1120" s="17">
        <f>+H1120*I1120</f>
        <v>349.28</v>
      </c>
      <c r="K1120" s="17"/>
      <c r="L1120" s="16" t="s">
        <v>18</v>
      </c>
      <c r="M1120" s="16" t="s">
        <v>22</v>
      </c>
      <c r="N1120" s="39" t="s">
        <v>418</v>
      </c>
    </row>
    <row r="1121" spans="1:14" s="12" customFormat="1" ht="18">
      <c r="A1121" s="178" t="s">
        <v>120</v>
      </c>
      <c r="B1121" s="75" t="s">
        <v>264</v>
      </c>
      <c r="C1121" s="39" t="s">
        <v>17</v>
      </c>
      <c r="D1121" s="236"/>
      <c r="E1121" s="236"/>
      <c r="F1121" s="236"/>
      <c r="G1121" s="236"/>
      <c r="H1121" s="41">
        <f>SUM(Tabla132112419[[#This Row],[PRIMER TRIMESTRE]:[CUARTO TRIMESTRE]])</f>
        <v>0</v>
      </c>
      <c r="I1121" s="17">
        <v>185</v>
      </c>
      <c r="J1121" s="17">
        <f>+Tabla132112419[[#This Row],[CANTIDAD TOTAL]]*Tabla132112419[[#This Row],[PRECIO UNITARIO ESTIMADO]]</f>
        <v>0</v>
      </c>
      <c r="K1121" s="17"/>
      <c r="L1121" s="16" t="s">
        <v>18</v>
      </c>
      <c r="M1121" s="16" t="s">
        <v>22</v>
      </c>
      <c r="N1121" s="39" t="s">
        <v>418</v>
      </c>
    </row>
    <row r="1122" spans="1:14" s="12" customFormat="1" ht="18">
      <c r="A1122" s="178" t="s">
        <v>120</v>
      </c>
      <c r="B1122" s="75" t="s">
        <v>745</v>
      </c>
      <c r="C1122" s="39" t="s">
        <v>208</v>
      </c>
      <c r="D1122" s="236"/>
      <c r="E1122" s="236"/>
      <c r="F1122" s="236"/>
      <c r="G1122" s="236"/>
      <c r="H1122" s="41">
        <f>SUM(Tabla132112419[[#This Row],[PRIMER TRIMESTRE]:[CUARTO TRIMESTRE]])</f>
        <v>0</v>
      </c>
      <c r="I1122" s="17">
        <v>43.66</v>
      </c>
      <c r="J1122" s="17">
        <f t="shared" ref="J1122:J1136" si="29">+H1122*I1122</f>
        <v>0</v>
      </c>
      <c r="K1122" s="17"/>
      <c r="L1122" s="16" t="s">
        <v>18</v>
      </c>
      <c r="M1122" s="16" t="s">
        <v>22</v>
      </c>
      <c r="N1122" s="39" t="s">
        <v>418</v>
      </c>
    </row>
    <row r="1123" spans="1:14" s="12" customFormat="1" ht="18">
      <c r="A1123" s="178" t="s">
        <v>120</v>
      </c>
      <c r="B1123" s="75" t="s">
        <v>760</v>
      </c>
      <c r="C1123" s="39" t="s">
        <v>208</v>
      </c>
      <c r="D1123" s="236">
        <v>10</v>
      </c>
      <c r="E1123" s="236">
        <v>10</v>
      </c>
      <c r="F1123" s="236">
        <v>10</v>
      </c>
      <c r="G1123" s="236">
        <v>10</v>
      </c>
      <c r="H1123" s="41">
        <f>SUM(Tabla132112419[[#This Row],[PRIMER TRIMESTRE]:[CUARTO TRIMESTRE]])</f>
        <v>40</v>
      </c>
      <c r="I1123" s="17">
        <v>43.66</v>
      </c>
      <c r="J1123" s="17">
        <f t="shared" si="29"/>
        <v>1746.3999999999999</v>
      </c>
      <c r="K1123" s="17"/>
      <c r="L1123" s="16" t="s">
        <v>18</v>
      </c>
      <c r="M1123" s="16" t="s">
        <v>22</v>
      </c>
      <c r="N1123" s="39" t="s">
        <v>418</v>
      </c>
    </row>
    <row r="1124" spans="1:14" s="12" customFormat="1" ht="18">
      <c r="A1124" s="178" t="s">
        <v>120</v>
      </c>
      <c r="B1124" s="75" t="s">
        <v>761</v>
      </c>
      <c r="C1124" s="39" t="s">
        <v>208</v>
      </c>
      <c r="D1124" s="236">
        <v>12</v>
      </c>
      <c r="E1124" s="236">
        <v>12</v>
      </c>
      <c r="F1124" s="236">
        <v>12</v>
      </c>
      <c r="G1124" s="236">
        <v>12</v>
      </c>
      <c r="H1124" s="41">
        <f>SUM(Tabla132112419[[#This Row],[PRIMER TRIMESTRE]:[CUARTO TRIMESTRE]])</f>
        <v>48</v>
      </c>
      <c r="I1124" s="17">
        <v>12.98</v>
      </c>
      <c r="J1124" s="17">
        <f t="shared" si="29"/>
        <v>623.04</v>
      </c>
      <c r="K1124" s="17"/>
      <c r="L1124" s="16" t="s">
        <v>18</v>
      </c>
      <c r="M1124" s="16" t="s">
        <v>22</v>
      </c>
      <c r="N1124" s="39" t="s">
        <v>418</v>
      </c>
    </row>
    <row r="1125" spans="1:14" s="12" customFormat="1" ht="18">
      <c r="A1125" s="178" t="s">
        <v>120</v>
      </c>
      <c r="B1125" s="75" t="s">
        <v>399</v>
      </c>
      <c r="C1125" s="39" t="s">
        <v>208</v>
      </c>
      <c r="D1125" s="236">
        <v>2</v>
      </c>
      <c r="E1125" s="236">
        <v>2</v>
      </c>
      <c r="F1125" s="236">
        <v>2</v>
      </c>
      <c r="G1125" s="236">
        <v>2</v>
      </c>
      <c r="H1125" s="41">
        <f>SUM(Tabla132112419[[#This Row],[PRIMER TRIMESTRE]:[CUARTO TRIMESTRE]])</f>
        <v>8</v>
      </c>
      <c r="I1125" s="17">
        <v>86.81</v>
      </c>
      <c r="J1125" s="17">
        <f t="shared" si="29"/>
        <v>694.48</v>
      </c>
      <c r="K1125" s="17"/>
      <c r="L1125" s="16" t="s">
        <v>18</v>
      </c>
      <c r="M1125" s="16" t="s">
        <v>22</v>
      </c>
      <c r="N1125" s="39" t="s">
        <v>418</v>
      </c>
    </row>
    <row r="1126" spans="1:14" s="12" customFormat="1" ht="18">
      <c r="A1126" s="178" t="s">
        <v>120</v>
      </c>
      <c r="B1126" s="75" t="s">
        <v>400</v>
      </c>
      <c r="C1126" s="39" t="s">
        <v>208</v>
      </c>
      <c r="D1126" s="236">
        <v>2</v>
      </c>
      <c r="E1126" s="236">
        <v>2</v>
      </c>
      <c r="F1126" s="236">
        <v>2</v>
      </c>
      <c r="G1126" s="236">
        <v>2</v>
      </c>
      <c r="H1126" s="41">
        <f>SUM(Tabla132112419[[#This Row],[PRIMER TRIMESTRE]:[CUARTO TRIMESTRE]])</f>
        <v>8</v>
      </c>
      <c r="I1126" s="17">
        <v>25.4</v>
      </c>
      <c r="J1126" s="17">
        <f t="shared" si="29"/>
        <v>203.2</v>
      </c>
      <c r="K1126" s="17"/>
      <c r="L1126" s="16" t="s">
        <v>18</v>
      </c>
      <c r="M1126" s="16" t="s">
        <v>22</v>
      </c>
      <c r="N1126" s="39" t="s">
        <v>418</v>
      </c>
    </row>
    <row r="1127" spans="1:14" s="12" customFormat="1" ht="25.5">
      <c r="A1127" s="178" t="s">
        <v>120</v>
      </c>
      <c r="B1127" s="75" t="s">
        <v>395</v>
      </c>
      <c r="C1127" s="39" t="s">
        <v>208</v>
      </c>
      <c r="D1127" s="236">
        <v>2</v>
      </c>
      <c r="E1127" s="236">
        <v>2</v>
      </c>
      <c r="F1127" s="236">
        <v>2</v>
      </c>
      <c r="G1127" s="236">
        <v>2</v>
      </c>
      <c r="H1127" s="41">
        <f>SUM(Tabla132112419[[#This Row],[PRIMER TRIMESTRE]:[CUARTO TRIMESTRE]])</f>
        <v>8</v>
      </c>
      <c r="I1127" s="17">
        <v>235.20000000000002</v>
      </c>
      <c r="J1127" s="17">
        <f t="shared" si="29"/>
        <v>1881.6000000000001</v>
      </c>
      <c r="K1127" s="17"/>
      <c r="L1127" s="16" t="s">
        <v>18</v>
      </c>
      <c r="M1127" s="16" t="s">
        <v>22</v>
      </c>
      <c r="N1127" s="39" t="s">
        <v>418</v>
      </c>
    </row>
    <row r="1128" spans="1:14" s="12" customFormat="1" ht="18">
      <c r="A1128" s="178" t="s">
        <v>120</v>
      </c>
      <c r="B1128" s="75" t="s">
        <v>746</v>
      </c>
      <c r="C1128" s="39" t="s">
        <v>17</v>
      </c>
      <c r="D1128" s="236">
        <v>4</v>
      </c>
      <c r="E1128" s="236">
        <v>4</v>
      </c>
      <c r="F1128" s="236">
        <v>4</v>
      </c>
      <c r="G1128" s="236">
        <v>4</v>
      </c>
      <c r="H1128" s="41">
        <f>SUM(Tabla132112419[[#This Row],[PRIMER TRIMESTRE]:[CUARTO TRIMESTRE]])</f>
        <v>16</v>
      </c>
      <c r="I1128" s="17">
        <v>23.32</v>
      </c>
      <c r="J1128" s="17">
        <f t="shared" si="29"/>
        <v>373.12</v>
      </c>
      <c r="K1128" s="17"/>
      <c r="L1128" s="16" t="s">
        <v>18</v>
      </c>
      <c r="M1128" s="16" t="s">
        <v>22</v>
      </c>
      <c r="N1128" s="39" t="s">
        <v>418</v>
      </c>
    </row>
    <row r="1129" spans="1:14" s="12" customFormat="1" ht="18">
      <c r="A1129" s="178" t="s">
        <v>120</v>
      </c>
      <c r="B1129" s="75" t="s">
        <v>747</v>
      </c>
      <c r="C1129" s="39" t="s">
        <v>17</v>
      </c>
      <c r="D1129" s="236">
        <v>4</v>
      </c>
      <c r="E1129" s="236">
        <v>4</v>
      </c>
      <c r="F1129" s="236">
        <v>4</v>
      </c>
      <c r="G1129" s="236">
        <v>4</v>
      </c>
      <c r="H1129" s="41">
        <f>SUM(Tabla132112419[[#This Row],[PRIMER TRIMESTRE]:[CUARTO TRIMESTRE]])</f>
        <v>16</v>
      </c>
      <c r="I1129" s="17">
        <v>23.32</v>
      </c>
      <c r="J1129" s="17">
        <f t="shared" si="29"/>
        <v>373.12</v>
      </c>
      <c r="K1129" s="17"/>
      <c r="L1129" s="16" t="s">
        <v>18</v>
      </c>
      <c r="M1129" s="16" t="s">
        <v>22</v>
      </c>
      <c r="N1129" s="39" t="s">
        <v>418</v>
      </c>
    </row>
    <row r="1130" spans="1:14" s="12" customFormat="1" ht="18">
      <c r="A1130" s="178" t="s">
        <v>120</v>
      </c>
      <c r="B1130" s="75" t="s">
        <v>396</v>
      </c>
      <c r="C1130" s="39" t="s">
        <v>208</v>
      </c>
      <c r="D1130" s="236">
        <v>1</v>
      </c>
      <c r="E1130" s="236">
        <v>1</v>
      </c>
      <c r="F1130" s="236">
        <v>1</v>
      </c>
      <c r="G1130" s="236">
        <v>1</v>
      </c>
      <c r="H1130" s="41">
        <f>SUM(Tabla132112419[[#This Row],[PRIMER TRIMESTRE]:[CUARTO TRIMESTRE]])</f>
        <v>4</v>
      </c>
      <c r="I1130" s="17">
        <v>194.7</v>
      </c>
      <c r="J1130" s="17">
        <f t="shared" si="29"/>
        <v>778.8</v>
      </c>
      <c r="K1130" s="17"/>
      <c r="L1130" s="16" t="s">
        <v>18</v>
      </c>
      <c r="M1130" s="16" t="s">
        <v>22</v>
      </c>
      <c r="N1130" s="39" t="s">
        <v>418</v>
      </c>
    </row>
    <row r="1131" spans="1:14" s="12" customFormat="1" ht="18">
      <c r="A1131" s="178" t="s">
        <v>120</v>
      </c>
      <c r="B1131" s="75" t="s">
        <v>397</v>
      </c>
      <c r="C1131" s="39" t="s">
        <v>208</v>
      </c>
      <c r="D1131" s="236">
        <v>1</v>
      </c>
      <c r="E1131" s="236"/>
      <c r="F1131" s="236">
        <v>1</v>
      </c>
      <c r="G1131" s="236"/>
      <c r="H1131" s="41">
        <f>SUM(Tabla132112419[[#This Row],[PRIMER TRIMESTRE]:[CUARTO TRIMESTRE]])</f>
        <v>2</v>
      </c>
      <c r="I1131" s="17">
        <v>309.14</v>
      </c>
      <c r="J1131" s="17">
        <f t="shared" si="29"/>
        <v>618.28</v>
      </c>
      <c r="K1131" s="17"/>
      <c r="L1131" s="16" t="s">
        <v>18</v>
      </c>
      <c r="M1131" s="16" t="s">
        <v>22</v>
      </c>
      <c r="N1131" s="39" t="s">
        <v>418</v>
      </c>
    </row>
    <row r="1132" spans="1:14" s="12" customFormat="1" ht="18">
      <c r="A1132" s="178" t="s">
        <v>120</v>
      </c>
      <c r="B1132" s="75" t="s">
        <v>404</v>
      </c>
      <c r="C1132" s="39" t="s">
        <v>255</v>
      </c>
      <c r="D1132" s="236">
        <v>3</v>
      </c>
      <c r="E1132" s="236">
        <v>3</v>
      </c>
      <c r="F1132" s="236">
        <v>3</v>
      </c>
      <c r="G1132" s="236">
        <v>3</v>
      </c>
      <c r="H1132" s="41">
        <f>SUM(Tabla132112419[[#This Row],[PRIMER TRIMESTRE]:[CUARTO TRIMESTRE]])</f>
        <v>12</v>
      </c>
      <c r="I1132" s="17">
        <v>29.5</v>
      </c>
      <c r="J1132" s="17">
        <f t="shared" si="29"/>
        <v>354</v>
      </c>
      <c r="K1132" s="17"/>
      <c r="L1132" s="16" t="s">
        <v>18</v>
      </c>
      <c r="M1132" s="16" t="s">
        <v>22</v>
      </c>
      <c r="N1132" s="39" t="s">
        <v>418</v>
      </c>
    </row>
    <row r="1133" spans="1:14" s="12" customFormat="1" ht="18">
      <c r="A1133" s="178" t="s">
        <v>120</v>
      </c>
      <c r="B1133" s="75" t="s">
        <v>254</v>
      </c>
      <c r="C1133" s="39" t="s">
        <v>417</v>
      </c>
      <c r="D1133" s="236">
        <v>2</v>
      </c>
      <c r="E1133" s="236">
        <v>2</v>
      </c>
      <c r="F1133" s="236">
        <v>2</v>
      </c>
      <c r="G1133" s="236">
        <v>2</v>
      </c>
      <c r="H1133" s="41">
        <f>SUM(Tabla132112419[[#This Row],[PRIMER TRIMESTRE]:[CUARTO TRIMESTRE]])</f>
        <v>8</v>
      </c>
      <c r="I1133" s="17">
        <v>12</v>
      </c>
      <c r="J1133" s="17">
        <f t="shared" si="29"/>
        <v>96</v>
      </c>
      <c r="K1133" s="17"/>
      <c r="L1133" s="16" t="s">
        <v>18</v>
      </c>
      <c r="M1133" s="16" t="s">
        <v>22</v>
      </c>
      <c r="N1133" s="39" t="s">
        <v>418</v>
      </c>
    </row>
    <row r="1134" spans="1:14" s="12" customFormat="1" ht="18">
      <c r="A1134" s="178" t="s">
        <v>120</v>
      </c>
      <c r="B1134" s="75" t="s">
        <v>394</v>
      </c>
      <c r="C1134" s="39" t="s">
        <v>208</v>
      </c>
      <c r="D1134" s="236">
        <v>1</v>
      </c>
      <c r="E1134" s="236"/>
      <c r="F1134" s="236"/>
      <c r="G1134" s="236">
        <v>1</v>
      </c>
      <c r="H1134" s="41">
        <f>SUM(Tabla132112419[[#This Row],[PRIMER TRIMESTRE]:[CUARTO TRIMESTRE]])</f>
        <v>2</v>
      </c>
      <c r="I1134" s="17">
        <v>69.599999999999994</v>
      </c>
      <c r="J1134" s="17">
        <f t="shared" si="29"/>
        <v>139.19999999999999</v>
      </c>
      <c r="K1134" s="17"/>
      <c r="L1134" s="16" t="s">
        <v>18</v>
      </c>
      <c r="M1134" s="16" t="s">
        <v>22</v>
      </c>
      <c r="N1134" s="39" t="s">
        <v>418</v>
      </c>
    </row>
    <row r="1135" spans="1:14" s="12" customFormat="1" ht="18">
      <c r="A1135" s="178" t="s">
        <v>120</v>
      </c>
      <c r="B1135" s="75" t="s">
        <v>408</v>
      </c>
      <c r="C1135" s="39" t="s">
        <v>417</v>
      </c>
      <c r="D1135" s="236">
        <v>20</v>
      </c>
      <c r="E1135" s="236">
        <v>20</v>
      </c>
      <c r="F1135" s="236">
        <v>20</v>
      </c>
      <c r="G1135" s="236">
        <v>20</v>
      </c>
      <c r="H1135" s="41">
        <f>SUM(Tabla132112419[[#This Row],[PRIMER TRIMESTRE]:[CUARTO TRIMESTRE]])</f>
        <v>80</v>
      </c>
      <c r="I1135" s="17">
        <v>43.7</v>
      </c>
      <c r="J1135" s="17">
        <f t="shared" si="29"/>
        <v>3496</v>
      </c>
      <c r="K1135" s="17"/>
      <c r="L1135" s="16" t="s">
        <v>18</v>
      </c>
      <c r="M1135" s="16" t="s">
        <v>22</v>
      </c>
      <c r="N1135" s="39" t="s">
        <v>418</v>
      </c>
    </row>
    <row r="1136" spans="1:14" s="12" customFormat="1" ht="18">
      <c r="A1136" s="178" t="s">
        <v>120</v>
      </c>
      <c r="B1136" s="75" t="s">
        <v>409</v>
      </c>
      <c r="C1136" s="39" t="s">
        <v>417</v>
      </c>
      <c r="D1136" s="236">
        <v>20</v>
      </c>
      <c r="E1136" s="236">
        <v>20</v>
      </c>
      <c r="F1136" s="236">
        <v>20</v>
      </c>
      <c r="G1136" s="236">
        <v>20</v>
      </c>
      <c r="H1136" s="41">
        <f>SUM(Tabla132112419[[#This Row],[PRIMER TRIMESTRE]:[CUARTO TRIMESTRE]])</f>
        <v>80</v>
      </c>
      <c r="I1136" s="17">
        <v>15.21</v>
      </c>
      <c r="J1136" s="17">
        <f t="shared" si="29"/>
        <v>1216.8000000000002</v>
      </c>
      <c r="K1136" s="17"/>
      <c r="L1136" s="16" t="s">
        <v>18</v>
      </c>
      <c r="M1136" s="16" t="s">
        <v>22</v>
      </c>
      <c r="N1136" s="39" t="s">
        <v>418</v>
      </c>
    </row>
    <row r="1137" spans="1:14" s="12" customFormat="1" ht="18">
      <c r="A1137" s="178" t="s">
        <v>120</v>
      </c>
      <c r="B1137" s="75" t="s">
        <v>265</v>
      </c>
      <c r="C1137" s="39" t="s">
        <v>17</v>
      </c>
      <c r="D1137" s="236">
        <v>1</v>
      </c>
      <c r="E1137" s="236"/>
      <c r="F1137" s="236"/>
      <c r="G1137" s="236"/>
      <c r="H1137" s="41">
        <f>SUM(Tabla132112419[[#This Row],[PRIMER TRIMESTRE]:[CUARTO TRIMESTRE]])</f>
        <v>1</v>
      </c>
      <c r="I1137" s="17">
        <v>185.6</v>
      </c>
      <c r="J1137" s="17">
        <f>+Tabla132112419[[#This Row],[CANTIDAD TOTAL]]*Tabla132112419[[#This Row],[PRECIO UNITARIO ESTIMADO]]</f>
        <v>185.6</v>
      </c>
      <c r="K1137" s="17"/>
      <c r="L1137" s="16" t="s">
        <v>18</v>
      </c>
      <c r="M1137" s="16" t="s">
        <v>22</v>
      </c>
      <c r="N1137" s="39" t="s">
        <v>418</v>
      </c>
    </row>
    <row r="1138" spans="1:14" s="12" customFormat="1" ht="18">
      <c r="A1138" s="178" t="s">
        <v>120</v>
      </c>
      <c r="B1138" s="75" t="s">
        <v>261</v>
      </c>
      <c r="C1138" s="39" t="s">
        <v>17</v>
      </c>
      <c r="D1138" s="236">
        <v>1</v>
      </c>
      <c r="E1138" s="236"/>
      <c r="F1138" s="236"/>
      <c r="G1138" s="236"/>
      <c r="H1138" s="41">
        <f>SUM(Tabla132112419[[#This Row],[PRIMER TRIMESTRE]:[CUARTO TRIMESTRE]])</f>
        <v>1</v>
      </c>
      <c r="I1138" s="17">
        <v>148</v>
      </c>
      <c r="J1138" s="17">
        <f>+Tabla132112419[[#This Row],[CANTIDAD TOTAL]]*Tabla132112419[[#This Row],[PRECIO UNITARIO ESTIMADO]]</f>
        <v>148</v>
      </c>
      <c r="K1138" s="17"/>
      <c r="L1138" s="16" t="s">
        <v>18</v>
      </c>
      <c r="M1138" s="16" t="s">
        <v>22</v>
      </c>
      <c r="N1138" s="39" t="s">
        <v>418</v>
      </c>
    </row>
    <row r="1139" spans="1:14" s="12" customFormat="1" ht="18">
      <c r="A1139" s="178" t="s">
        <v>120</v>
      </c>
      <c r="B1139" s="75" t="s">
        <v>751</v>
      </c>
      <c r="C1139" s="39" t="s">
        <v>17</v>
      </c>
      <c r="D1139" s="236">
        <v>5</v>
      </c>
      <c r="E1139" s="236">
        <v>5</v>
      </c>
      <c r="F1139" s="236">
        <v>5</v>
      </c>
      <c r="G1139" s="236">
        <v>5</v>
      </c>
      <c r="H1139" s="41">
        <f>SUM(Tabla132112419[[#This Row],[PRIMER TRIMESTRE]:[CUARTO TRIMESTRE]])</f>
        <v>20</v>
      </c>
      <c r="I1139" s="17">
        <v>15.54</v>
      </c>
      <c r="J1139" s="17">
        <f>+H1139*I1139</f>
        <v>310.79999999999995</v>
      </c>
      <c r="K1139" s="17"/>
      <c r="L1139" s="16" t="s">
        <v>18</v>
      </c>
      <c r="M1139" s="16" t="s">
        <v>22</v>
      </c>
      <c r="N1139" s="39" t="s">
        <v>418</v>
      </c>
    </row>
    <row r="1140" spans="1:14" s="12" customFormat="1" ht="18">
      <c r="A1140" s="178" t="s">
        <v>120</v>
      </c>
      <c r="B1140" s="75" t="s">
        <v>754</v>
      </c>
      <c r="C1140" s="39" t="s">
        <v>17</v>
      </c>
      <c r="D1140" s="236">
        <v>5</v>
      </c>
      <c r="E1140" s="236">
        <v>5</v>
      </c>
      <c r="F1140" s="236">
        <v>5</v>
      </c>
      <c r="G1140" s="236">
        <v>5</v>
      </c>
      <c r="H1140" s="41">
        <f>SUM(Tabla132112419[[#This Row],[PRIMER TRIMESTRE]:[CUARTO TRIMESTRE]])</f>
        <v>20</v>
      </c>
      <c r="I1140" s="17">
        <v>15.54</v>
      </c>
      <c r="J1140" s="17">
        <f>+H1140*I1140</f>
        <v>310.79999999999995</v>
      </c>
      <c r="K1140" s="17"/>
      <c r="L1140" s="16" t="s">
        <v>18</v>
      </c>
      <c r="M1140" s="16" t="s">
        <v>22</v>
      </c>
      <c r="N1140" s="39" t="s">
        <v>418</v>
      </c>
    </row>
    <row r="1141" spans="1:14" s="12" customFormat="1" ht="18">
      <c r="A1141" s="178" t="s">
        <v>120</v>
      </c>
      <c r="B1141" s="75" t="s">
        <v>755</v>
      </c>
      <c r="C1141" s="39" t="s">
        <v>17</v>
      </c>
      <c r="D1141" s="236">
        <v>3</v>
      </c>
      <c r="E1141" s="236">
        <v>3</v>
      </c>
      <c r="F1141" s="236">
        <v>3</v>
      </c>
      <c r="G1141" s="236">
        <v>3</v>
      </c>
      <c r="H1141" s="41">
        <f>SUM(Tabla132112419[[#This Row],[PRIMER TRIMESTRE]:[CUARTO TRIMESTRE]])</f>
        <v>12</v>
      </c>
      <c r="I1141" s="17">
        <v>15.54</v>
      </c>
      <c r="J1141" s="17">
        <f>+H1141*I1141</f>
        <v>186.48</v>
      </c>
      <c r="K1141" s="17"/>
      <c r="L1141" s="16" t="s">
        <v>18</v>
      </c>
      <c r="M1141" s="16" t="s">
        <v>22</v>
      </c>
      <c r="N1141" s="39" t="s">
        <v>418</v>
      </c>
    </row>
    <row r="1142" spans="1:14" s="12" customFormat="1" ht="18">
      <c r="A1142" s="178" t="s">
        <v>752</v>
      </c>
      <c r="B1142" s="75" t="s">
        <v>390</v>
      </c>
      <c r="C1142" s="39" t="s">
        <v>266</v>
      </c>
      <c r="D1142" s="236">
        <v>3</v>
      </c>
      <c r="E1142" s="236">
        <v>3</v>
      </c>
      <c r="F1142" s="236">
        <v>3</v>
      </c>
      <c r="G1142" s="236">
        <v>3</v>
      </c>
      <c r="H1142" s="41">
        <f>SUM(Tabla132112419[[#This Row],[PRIMER TRIMESTRE]:[CUARTO TRIMESTRE]])</f>
        <v>12</v>
      </c>
      <c r="I1142" s="17">
        <v>145.13999999999999</v>
      </c>
      <c r="J1142" s="17">
        <f>+H1142*I1142</f>
        <v>1741.6799999999998</v>
      </c>
      <c r="K1142" s="21"/>
      <c r="L1142" s="16" t="s">
        <v>18</v>
      </c>
      <c r="M1142" s="16" t="s">
        <v>22</v>
      </c>
      <c r="N1142" s="39" t="s">
        <v>418</v>
      </c>
    </row>
    <row r="1143" spans="1:14" s="12" customFormat="1" ht="18">
      <c r="A1143" s="178" t="s">
        <v>120</v>
      </c>
      <c r="B1143" s="75" t="s">
        <v>391</v>
      </c>
      <c r="C1143" s="39" t="s">
        <v>415</v>
      </c>
      <c r="D1143" s="236">
        <v>2</v>
      </c>
      <c r="E1143" s="236">
        <v>2</v>
      </c>
      <c r="F1143" s="236">
        <v>2</v>
      </c>
      <c r="G1143" s="236">
        <v>2</v>
      </c>
      <c r="H1143" s="41">
        <f>SUM(Tabla132112419[[#This Row],[PRIMER TRIMESTRE]:[CUARTO TRIMESTRE]])</f>
        <v>8</v>
      </c>
      <c r="I1143" s="17">
        <v>214.76</v>
      </c>
      <c r="J1143" s="17">
        <f>+H1143*I1143</f>
        <v>1718.08</v>
      </c>
      <c r="K1143" s="17"/>
      <c r="L1143" s="16" t="s">
        <v>18</v>
      </c>
      <c r="M1143" s="16" t="s">
        <v>22</v>
      </c>
      <c r="N1143" s="39" t="s">
        <v>418</v>
      </c>
    </row>
    <row r="1144" spans="1:14" s="12" customFormat="1" ht="18">
      <c r="A1144" s="178" t="s">
        <v>120</v>
      </c>
      <c r="B1144" s="75" t="s">
        <v>267</v>
      </c>
      <c r="C1144" s="39" t="s">
        <v>102</v>
      </c>
      <c r="D1144" s="236"/>
      <c r="E1144" s="236"/>
      <c r="F1144" s="236"/>
      <c r="G1144" s="236"/>
      <c r="H1144" s="41">
        <f>SUM(Tabla132112419[[#This Row],[PRIMER TRIMESTRE]:[CUARTO TRIMESTRE]])</f>
        <v>0</v>
      </c>
      <c r="I1144" s="17">
        <v>1063.19</v>
      </c>
      <c r="J1144" s="17">
        <f>+Tabla132112419[[#This Row],[CANTIDAD TOTAL]]*Tabla132112419[[#This Row],[PRECIO UNITARIO ESTIMADO]]</f>
        <v>0</v>
      </c>
      <c r="K1144" s="17"/>
      <c r="L1144" s="16" t="s">
        <v>18</v>
      </c>
      <c r="M1144" s="16" t="s">
        <v>22</v>
      </c>
      <c r="N1144" s="39" t="s">
        <v>418</v>
      </c>
    </row>
    <row r="1145" spans="1:14" s="12" customFormat="1" ht="18">
      <c r="A1145" s="178" t="s">
        <v>120</v>
      </c>
      <c r="B1145" s="75" t="s">
        <v>759</v>
      </c>
      <c r="C1145" s="39" t="s">
        <v>208</v>
      </c>
      <c r="D1145" s="236">
        <v>1</v>
      </c>
      <c r="E1145" s="236"/>
      <c r="F1145" s="236">
        <v>1</v>
      </c>
      <c r="G1145" s="236"/>
      <c r="H1145" s="41">
        <f>SUM(Tabla132112419[[#This Row],[PRIMER TRIMESTRE]:[CUARTO TRIMESTRE]])</f>
        <v>2</v>
      </c>
      <c r="I1145" s="17">
        <v>161.66</v>
      </c>
      <c r="J1145" s="17">
        <f>+H1145*I1145</f>
        <v>323.32</v>
      </c>
      <c r="K1145" s="17"/>
      <c r="L1145" s="16" t="s">
        <v>18</v>
      </c>
      <c r="M1145" s="16" t="s">
        <v>22</v>
      </c>
      <c r="N1145" s="39" t="s">
        <v>418</v>
      </c>
    </row>
    <row r="1146" spans="1:14" s="12" customFormat="1" ht="18">
      <c r="A1146" s="178" t="s">
        <v>120</v>
      </c>
      <c r="B1146" s="75" t="s">
        <v>268</v>
      </c>
      <c r="C1146" s="39" t="s">
        <v>208</v>
      </c>
      <c r="D1146" s="236"/>
      <c r="E1146" s="236"/>
      <c r="F1146" s="236"/>
      <c r="G1146" s="236"/>
      <c r="H1146" s="41">
        <f>SUM(Tabla132112419[[#This Row],[PRIMER TRIMESTRE]:[CUARTO TRIMESTRE]])</f>
        <v>0</v>
      </c>
      <c r="I1146" s="17">
        <v>1450</v>
      </c>
      <c r="J1146" s="17">
        <f>+Tabla132112419[[#This Row],[CANTIDAD TOTAL]]*Tabla132112419[[#This Row],[PRECIO UNITARIO ESTIMADO]]</f>
        <v>0</v>
      </c>
      <c r="K1146" s="17"/>
      <c r="L1146" s="16" t="s">
        <v>18</v>
      </c>
      <c r="M1146" s="16" t="s">
        <v>22</v>
      </c>
      <c r="N1146" s="39" t="s">
        <v>418</v>
      </c>
    </row>
    <row r="1147" spans="1:14" s="12" customFormat="1" ht="18">
      <c r="A1147" s="178" t="s">
        <v>120</v>
      </c>
      <c r="B1147" s="75" t="s">
        <v>269</v>
      </c>
      <c r="C1147" s="39" t="s">
        <v>266</v>
      </c>
      <c r="D1147" s="236">
        <v>1</v>
      </c>
      <c r="E1147" s="236"/>
      <c r="F1147" s="236">
        <v>1</v>
      </c>
      <c r="G1147" s="236"/>
      <c r="H1147" s="41">
        <f>SUM(Tabla132112419[[#This Row],[PRIMER TRIMESTRE]:[CUARTO TRIMESTRE]])</f>
        <v>2</v>
      </c>
      <c r="I1147" s="17">
        <v>2552</v>
      </c>
      <c r="J1147" s="17">
        <f>+Tabla132112419[[#This Row],[CANTIDAD TOTAL]]*Tabla132112419[[#This Row],[PRECIO UNITARIO ESTIMADO]]</f>
        <v>5104</v>
      </c>
      <c r="K1147" s="17"/>
      <c r="L1147" s="16" t="s">
        <v>18</v>
      </c>
      <c r="M1147" s="16" t="s">
        <v>22</v>
      </c>
      <c r="N1147" s="39" t="s">
        <v>418</v>
      </c>
    </row>
    <row r="1148" spans="1:14" s="12" customFormat="1" ht="18">
      <c r="A1148" s="178" t="s">
        <v>120</v>
      </c>
      <c r="B1148" s="75" t="s">
        <v>756</v>
      </c>
      <c r="C1148" s="39" t="s">
        <v>234</v>
      </c>
      <c r="D1148" s="236">
        <v>2</v>
      </c>
      <c r="E1148" s="236">
        <v>2</v>
      </c>
      <c r="F1148" s="236">
        <v>2</v>
      </c>
      <c r="G1148" s="236">
        <v>2</v>
      </c>
      <c r="H1148" s="41">
        <f>SUM(Tabla132112419[[#This Row],[PRIMER TRIMESTRE]:[CUARTO TRIMESTRE]])</f>
        <v>8</v>
      </c>
      <c r="I1148" s="17">
        <v>24.78</v>
      </c>
      <c r="J1148" s="17">
        <f t="shared" ref="J1148:J1154" si="30">+H1148*I1148</f>
        <v>198.24</v>
      </c>
      <c r="K1148" s="17"/>
      <c r="L1148" s="16" t="s">
        <v>18</v>
      </c>
      <c r="M1148" s="16" t="s">
        <v>22</v>
      </c>
      <c r="N1148" s="39" t="s">
        <v>418</v>
      </c>
    </row>
    <row r="1149" spans="1:14" s="12" customFormat="1" ht="18">
      <c r="A1149" s="178" t="s">
        <v>120</v>
      </c>
      <c r="B1149" s="75" t="s">
        <v>763</v>
      </c>
      <c r="C1149" s="39" t="s">
        <v>17</v>
      </c>
      <c r="D1149" s="236">
        <v>4</v>
      </c>
      <c r="E1149" s="236"/>
      <c r="F1149" s="236">
        <v>2</v>
      </c>
      <c r="G1149" s="236"/>
      <c r="H1149" s="41">
        <f>SUM(Tabla132112419[[#This Row],[PRIMER TRIMESTRE]:[CUARTO TRIMESTRE]])</f>
        <v>6</v>
      </c>
      <c r="I1149" s="17">
        <v>186.44</v>
      </c>
      <c r="J1149" s="17">
        <f t="shared" si="30"/>
        <v>1118.6399999999999</v>
      </c>
      <c r="K1149" s="17"/>
      <c r="L1149" s="16" t="s">
        <v>18</v>
      </c>
      <c r="M1149" s="16" t="s">
        <v>22</v>
      </c>
      <c r="N1149" s="39" t="s">
        <v>418</v>
      </c>
    </row>
    <row r="1150" spans="1:14" s="12" customFormat="1" ht="18">
      <c r="A1150" s="178" t="s">
        <v>120</v>
      </c>
      <c r="B1150" s="75" t="s">
        <v>410</v>
      </c>
      <c r="C1150" s="39" t="s">
        <v>417</v>
      </c>
      <c r="D1150" s="236">
        <v>20</v>
      </c>
      <c r="E1150" s="236">
        <v>20</v>
      </c>
      <c r="F1150" s="236">
        <v>20</v>
      </c>
      <c r="G1150" s="236">
        <v>20</v>
      </c>
      <c r="H1150" s="41">
        <f>SUM(Tabla132112419[[#This Row],[PRIMER TRIMESTRE]:[CUARTO TRIMESTRE]])</f>
        <v>80</v>
      </c>
      <c r="I1150" s="17">
        <v>10</v>
      </c>
      <c r="J1150" s="17">
        <f t="shared" si="30"/>
        <v>800</v>
      </c>
      <c r="K1150" s="17"/>
      <c r="L1150" s="16" t="s">
        <v>18</v>
      </c>
      <c r="M1150" s="16" t="s">
        <v>22</v>
      </c>
      <c r="N1150" s="39" t="s">
        <v>418</v>
      </c>
    </row>
    <row r="1151" spans="1:14" s="12" customFormat="1" ht="18">
      <c r="A1151" s="178" t="s">
        <v>120</v>
      </c>
      <c r="B1151" s="75" t="s">
        <v>411</v>
      </c>
      <c r="C1151" s="39" t="s">
        <v>417</v>
      </c>
      <c r="D1151" s="236">
        <v>20</v>
      </c>
      <c r="E1151" s="236">
        <v>20</v>
      </c>
      <c r="F1151" s="236">
        <v>20</v>
      </c>
      <c r="G1151" s="236">
        <v>20</v>
      </c>
      <c r="H1151" s="41">
        <f>SUM(Tabla132112419[[#This Row],[PRIMER TRIMESTRE]:[CUARTO TRIMESTRE]])</f>
        <v>80</v>
      </c>
      <c r="I1151" s="17">
        <v>14.37</v>
      </c>
      <c r="J1151" s="17">
        <f t="shared" si="30"/>
        <v>1149.5999999999999</v>
      </c>
      <c r="K1151" s="17"/>
      <c r="L1151" s="16" t="s">
        <v>18</v>
      </c>
      <c r="M1151" s="16" t="s">
        <v>22</v>
      </c>
      <c r="N1151" s="39" t="s">
        <v>418</v>
      </c>
    </row>
    <row r="1152" spans="1:14" s="12" customFormat="1" ht="18">
      <c r="A1152" s="178" t="s">
        <v>120</v>
      </c>
      <c r="B1152" s="75" t="s">
        <v>412</v>
      </c>
      <c r="C1152" s="39" t="s">
        <v>417</v>
      </c>
      <c r="D1152" s="236">
        <v>10</v>
      </c>
      <c r="E1152" s="236">
        <v>10</v>
      </c>
      <c r="F1152" s="236">
        <v>10</v>
      </c>
      <c r="G1152" s="236">
        <v>10</v>
      </c>
      <c r="H1152" s="41">
        <f>SUM(Tabla132112419[[#This Row],[PRIMER TRIMESTRE]:[CUARTO TRIMESTRE]])</f>
        <v>40</v>
      </c>
      <c r="I1152" s="17">
        <v>24.79</v>
      </c>
      <c r="J1152" s="17">
        <f t="shared" si="30"/>
        <v>991.59999999999991</v>
      </c>
      <c r="K1152" s="17"/>
      <c r="L1152" s="16" t="s">
        <v>18</v>
      </c>
      <c r="M1152" s="16" t="s">
        <v>22</v>
      </c>
      <c r="N1152" s="39" t="s">
        <v>418</v>
      </c>
    </row>
    <row r="1153" spans="1:14" s="12" customFormat="1" ht="18">
      <c r="A1153" s="178" t="s">
        <v>120</v>
      </c>
      <c r="B1153" s="75" t="s">
        <v>413</v>
      </c>
      <c r="C1153" s="39" t="s">
        <v>208</v>
      </c>
      <c r="D1153" s="236">
        <v>2</v>
      </c>
      <c r="E1153" s="236">
        <v>2</v>
      </c>
      <c r="F1153" s="236">
        <v>2</v>
      </c>
      <c r="G1153" s="236">
        <v>2</v>
      </c>
      <c r="H1153" s="41">
        <f>SUM(Tabla132112419[[#This Row],[PRIMER TRIMESTRE]:[CUARTO TRIMESTRE]])</f>
        <v>8</v>
      </c>
      <c r="I1153" s="17">
        <v>371.09</v>
      </c>
      <c r="J1153" s="17">
        <f t="shared" si="30"/>
        <v>2968.72</v>
      </c>
      <c r="K1153" s="17"/>
      <c r="L1153" s="16" t="s">
        <v>18</v>
      </c>
      <c r="M1153" s="16" t="s">
        <v>22</v>
      </c>
      <c r="N1153" s="39" t="s">
        <v>418</v>
      </c>
    </row>
    <row r="1154" spans="1:14" s="12" customFormat="1" ht="18">
      <c r="A1154" s="178" t="s">
        <v>120</v>
      </c>
      <c r="B1154" s="75" t="s">
        <v>762</v>
      </c>
      <c r="C1154" s="39" t="s">
        <v>208</v>
      </c>
      <c r="D1154" s="236">
        <v>1</v>
      </c>
      <c r="E1154" s="236">
        <v>1</v>
      </c>
      <c r="F1154" s="236">
        <v>1</v>
      </c>
      <c r="G1154" s="236">
        <v>1</v>
      </c>
      <c r="H1154" s="41">
        <f>SUM(Tabla132112419[[#This Row],[PRIMER TRIMESTRE]:[CUARTO TRIMESTRE]])</f>
        <v>4</v>
      </c>
      <c r="I1154" s="17">
        <v>433.06</v>
      </c>
      <c r="J1154" s="17">
        <f t="shared" si="30"/>
        <v>1732.24</v>
      </c>
      <c r="K1154" s="17"/>
      <c r="L1154" s="16" t="s">
        <v>18</v>
      </c>
      <c r="M1154" s="16" t="s">
        <v>22</v>
      </c>
      <c r="N1154" s="39" t="s">
        <v>418</v>
      </c>
    </row>
    <row r="1155" spans="1:14" s="12" customFormat="1" ht="18">
      <c r="A1155" s="178" t="s">
        <v>120</v>
      </c>
      <c r="B1155" s="75" t="s">
        <v>270</v>
      </c>
      <c r="C1155" s="39" t="s">
        <v>17</v>
      </c>
      <c r="D1155" s="236">
        <v>1</v>
      </c>
      <c r="E1155" s="236">
        <v>1</v>
      </c>
      <c r="F1155" s="236">
        <v>1</v>
      </c>
      <c r="G1155" s="236">
        <v>1</v>
      </c>
      <c r="H1155" s="41">
        <f>SUM(Tabla132112419[[#This Row],[PRIMER TRIMESTRE]:[CUARTO TRIMESTRE]])</f>
        <v>4</v>
      </c>
      <c r="I1155" s="17">
        <v>9.2799999999999994</v>
      </c>
      <c r="J1155" s="17">
        <f>+Tabla132112419[[#This Row],[CANTIDAD TOTAL]]*Tabla132112419[[#This Row],[PRECIO UNITARIO ESTIMADO]]</f>
        <v>37.119999999999997</v>
      </c>
      <c r="K1155" s="17"/>
      <c r="L1155" s="16" t="s">
        <v>18</v>
      </c>
      <c r="M1155" s="16" t="s">
        <v>22</v>
      </c>
      <c r="N1155" s="39" t="s">
        <v>418</v>
      </c>
    </row>
    <row r="1156" spans="1:14" s="12" customFormat="1" ht="18">
      <c r="A1156" s="178" t="s">
        <v>120</v>
      </c>
      <c r="B1156" s="75" t="s">
        <v>405</v>
      </c>
      <c r="C1156" s="39" t="s">
        <v>17</v>
      </c>
      <c r="D1156" s="236">
        <v>5</v>
      </c>
      <c r="E1156" s="236">
        <v>5</v>
      </c>
      <c r="F1156" s="236">
        <v>5</v>
      </c>
      <c r="G1156" s="236">
        <v>5</v>
      </c>
      <c r="H1156" s="41">
        <f>SUM(Tabla132112419[[#This Row],[PRIMER TRIMESTRE]:[CUARTO TRIMESTRE]])</f>
        <v>20</v>
      </c>
      <c r="I1156" s="17">
        <v>11.21</v>
      </c>
      <c r="J1156" s="17">
        <f>+H1156*I1156</f>
        <v>224.20000000000002</v>
      </c>
      <c r="K1156" s="17"/>
      <c r="L1156" s="16" t="s">
        <v>18</v>
      </c>
      <c r="M1156" s="16" t="s">
        <v>22</v>
      </c>
      <c r="N1156" s="39" t="s">
        <v>418</v>
      </c>
    </row>
    <row r="1157" spans="1:14" s="12" customFormat="1" ht="18">
      <c r="A1157" s="178" t="s">
        <v>120</v>
      </c>
      <c r="B1157" s="75" t="s">
        <v>406</v>
      </c>
      <c r="C1157" s="39" t="s">
        <v>17</v>
      </c>
      <c r="D1157" s="236">
        <v>5</v>
      </c>
      <c r="E1157" s="236">
        <v>5</v>
      </c>
      <c r="F1157" s="236">
        <v>5</v>
      </c>
      <c r="G1157" s="236">
        <v>5</v>
      </c>
      <c r="H1157" s="41">
        <f>SUM(Tabla132112419[[#This Row],[PRIMER TRIMESTRE]:[CUARTO TRIMESTRE]])</f>
        <v>20</v>
      </c>
      <c r="I1157" s="17">
        <v>10.56</v>
      </c>
      <c r="J1157" s="17">
        <f>+H1157*I1157</f>
        <v>211.20000000000002</v>
      </c>
      <c r="K1157" s="17"/>
      <c r="L1157" s="16" t="s">
        <v>18</v>
      </c>
      <c r="M1157" s="16" t="s">
        <v>22</v>
      </c>
      <c r="N1157" s="39" t="s">
        <v>418</v>
      </c>
    </row>
    <row r="1158" spans="1:14" s="12" customFormat="1" ht="18">
      <c r="A1158" s="178" t="s">
        <v>120</v>
      </c>
      <c r="B1158" s="75" t="s">
        <v>407</v>
      </c>
      <c r="C1158" s="39" t="s">
        <v>17</v>
      </c>
      <c r="D1158" s="236">
        <v>3</v>
      </c>
      <c r="E1158" s="236">
        <v>3</v>
      </c>
      <c r="F1158" s="236">
        <v>3</v>
      </c>
      <c r="G1158" s="236">
        <v>3</v>
      </c>
      <c r="H1158" s="41">
        <f>SUM(Tabla132112419[[#This Row],[PRIMER TRIMESTRE]:[CUARTO TRIMESTRE]])</f>
        <v>12</v>
      </c>
      <c r="I1158" s="17">
        <v>11.21</v>
      </c>
      <c r="J1158" s="17">
        <f>+H1158*I1158</f>
        <v>134.52000000000001</v>
      </c>
      <c r="K1158" s="17"/>
      <c r="L1158" s="16" t="s">
        <v>18</v>
      </c>
      <c r="M1158" s="16" t="s">
        <v>22</v>
      </c>
      <c r="N1158" s="39" t="s">
        <v>418</v>
      </c>
    </row>
    <row r="1159" spans="1:14" s="12" customFormat="1" ht="18">
      <c r="A1159" s="178" t="s">
        <v>120</v>
      </c>
      <c r="B1159" s="75" t="s">
        <v>742</v>
      </c>
      <c r="C1159" s="39" t="s">
        <v>17</v>
      </c>
      <c r="D1159" s="236"/>
      <c r="E1159" s="236"/>
      <c r="F1159" s="236"/>
      <c r="G1159" s="236"/>
      <c r="H1159" s="41">
        <f>SUM(Tabla132112419[[#This Row],[PRIMER TRIMESTRE]:[CUARTO TRIMESTRE]])</f>
        <v>0</v>
      </c>
      <c r="I1159" s="17">
        <v>53.1</v>
      </c>
      <c r="J1159" s="17">
        <f>+Tabla132112419[[#This Row],[CANTIDAD TOTAL]]*Tabla132112419[[#This Row],[PRECIO UNITARIO ESTIMADO]]</f>
        <v>0</v>
      </c>
      <c r="K1159" s="17"/>
      <c r="L1159" s="16" t="s">
        <v>18</v>
      </c>
      <c r="M1159" s="16" t="s">
        <v>22</v>
      </c>
      <c r="N1159" s="39" t="s">
        <v>418</v>
      </c>
    </row>
    <row r="1160" spans="1:14" s="12" customFormat="1" ht="18">
      <c r="A1160" s="178" t="s">
        <v>120</v>
      </c>
      <c r="B1160" s="75" t="s">
        <v>271</v>
      </c>
      <c r="C1160" s="39" t="s">
        <v>17</v>
      </c>
      <c r="D1160" s="236">
        <v>5</v>
      </c>
      <c r="E1160" s="236"/>
      <c r="F1160" s="236">
        <v>3</v>
      </c>
      <c r="G1160" s="236">
        <v>2</v>
      </c>
      <c r="H1160" s="41">
        <f>SUM(Tabla132112419[[#This Row],[PRIMER TRIMESTRE]:[CUARTO TRIMESTRE]])</f>
        <v>10</v>
      </c>
      <c r="I1160" s="17">
        <v>18.399999999999999</v>
      </c>
      <c r="J1160" s="17">
        <f>+H1160*I1160</f>
        <v>184</v>
      </c>
      <c r="K1160" s="17"/>
      <c r="L1160" s="16" t="s">
        <v>18</v>
      </c>
      <c r="M1160" s="16" t="s">
        <v>22</v>
      </c>
      <c r="N1160" s="39" t="s">
        <v>418</v>
      </c>
    </row>
    <row r="1161" spans="1:14" s="12" customFormat="1" ht="18">
      <c r="A1161" s="178" t="s">
        <v>120</v>
      </c>
      <c r="B1161" s="75" t="s">
        <v>757</v>
      </c>
      <c r="C1161" s="39" t="s">
        <v>17</v>
      </c>
      <c r="D1161" s="236">
        <v>4</v>
      </c>
      <c r="E1161" s="236">
        <v>3</v>
      </c>
      <c r="F1161" s="236">
        <v>3</v>
      </c>
      <c r="G1161" s="236">
        <v>3</v>
      </c>
      <c r="H1161" s="41">
        <f>SUM(Tabla132112419[[#This Row],[PRIMER TRIMESTRE]:[CUARTO TRIMESTRE]])</f>
        <v>13</v>
      </c>
      <c r="I1161" s="17">
        <v>12.92</v>
      </c>
      <c r="J1161" s="17">
        <f>+H1161*I1161</f>
        <v>167.96</v>
      </c>
      <c r="K1161" s="17"/>
      <c r="L1161" s="16" t="s">
        <v>18</v>
      </c>
      <c r="M1161" s="16" t="s">
        <v>22</v>
      </c>
      <c r="N1161" s="39" t="s">
        <v>418</v>
      </c>
    </row>
    <row r="1162" spans="1:14" s="12" customFormat="1" ht="18">
      <c r="A1162" s="178" t="s">
        <v>120</v>
      </c>
      <c r="B1162" s="75" t="s">
        <v>325</v>
      </c>
      <c r="C1162" s="39" t="s">
        <v>17</v>
      </c>
      <c r="D1162" s="236">
        <v>20</v>
      </c>
      <c r="E1162" s="236">
        <v>20</v>
      </c>
      <c r="F1162" s="236">
        <v>20</v>
      </c>
      <c r="G1162" s="236">
        <v>10</v>
      </c>
      <c r="H1162" s="41">
        <f>SUM(Tabla132112419[[#This Row],[PRIMER TRIMESTRE]:[CUARTO TRIMESTRE]])</f>
        <v>70</v>
      </c>
      <c r="I1162" s="17">
        <f>337351.26/1251</f>
        <v>269.66527577937649</v>
      </c>
      <c r="J1162" s="17">
        <f>+Tabla132112419[[#This Row],[CANTIDAD TOTAL]]*Tabla132112419[[#This Row],[PRECIO UNITARIO ESTIMADO]]</f>
        <v>18876.569304556353</v>
      </c>
      <c r="K1162" s="17"/>
      <c r="L1162" s="16" t="s">
        <v>18</v>
      </c>
      <c r="M1162" s="16" t="s">
        <v>22</v>
      </c>
      <c r="N1162" s="39" t="s">
        <v>418</v>
      </c>
    </row>
    <row r="1163" spans="1:14" s="12" customFormat="1" ht="18">
      <c r="A1163" s="178" t="s">
        <v>120</v>
      </c>
      <c r="B1163" s="75" t="s">
        <v>784</v>
      </c>
      <c r="C1163" s="39" t="s">
        <v>17</v>
      </c>
      <c r="D1163" s="236">
        <v>36</v>
      </c>
      <c r="E1163" s="236">
        <v>36</v>
      </c>
      <c r="F1163" s="236">
        <v>36</v>
      </c>
      <c r="G1163" s="236">
        <v>36</v>
      </c>
      <c r="H1163" s="41">
        <f>SUM(Tabla132112419[[#This Row],[PRIMER TRIMESTRE]:[CUARTO TRIMESTRE]])</f>
        <v>144</v>
      </c>
      <c r="I1163" s="72">
        <f>20*1.18</f>
        <v>23.599999999999998</v>
      </c>
      <c r="J1163" s="17">
        <f>+H1163*I1163</f>
        <v>3398.3999999999996</v>
      </c>
      <c r="K1163" s="17"/>
      <c r="L1163" s="16" t="s">
        <v>18</v>
      </c>
      <c r="M1163" s="16" t="s">
        <v>22</v>
      </c>
      <c r="N1163" s="39" t="s">
        <v>418</v>
      </c>
    </row>
    <row r="1164" spans="1:14" s="12" customFormat="1" ht="18">
      <c r="A1164" s="178" t="s">
        <v>120</v>
      </c>
      <c r="B1164" s="75" t="s">
        <v>785</v>
      </c>
      <c r="C1164" s="39" t="s">
        <v>17</v>
      </c>
      <c r="D1164" s="236">
        <v>40</v>
      </c>
      <c r="E1164" s="236">
        <v>40</v>
      </c>
      <c r="F1164" s="236">
        <v>40</v>
      </c>
      <c r="G1164" s="236">
        <v>40</v>
      </c>
      <c r="H1164" s="41">
        <f>SUM(Tabla132112419[[#This Row],[PRIMER TRIMESTRE]:[CUARTO TRIMESTRE]])</f>
        <v>160</v>
      </c>
      <c r="I1164" s="72">
        <f>4*1.18</f>
        <v>4.72</v>
      </c>
      <c r="J1164" s="17">
        <f>+H1164*I1164</f>
        <v>755.19999999999993</v>
      </c>
      <c r="K1164" s="17"/>
      <c r="L1164" s="16" t="s">
        <v>18</v>
      </c>
      <c r="M1164" s="16" t="s">
        <v>22</v>
      </c>
      <c r="N1164" s="39" t="s">
        <v>418</v>
      </c>
    </row>
    <row r="1165" spans="1:14" s="12" customFormat="1" ht="18">
      <c r="A1165" s="178" t="s">
        <v>120</v>
      </c>
      <c r="B1165" s="75" t="s">
        <v>272</v>
      </c>
      <c r="C1165" s="39" t="s">
        <v>17</v>
      </c>
      <c r="D1165" s="236">
        <v>3</v>
      </c>
      <c r="E1165" s="236">
        <v>3</v>
      </c>
      <c r="F1165" s="236">
        <v>3</v>
      </c>
      <c r="G1165" s="236">
        <v>3</v>
      </c>
      <c r="H1165" s="41">
        <f>SUM(Tabla132112419[[#This Row],[PRIMER TRIMESTRE]:[CUARTO TRIMESTRE]])</f>
        <v>12</v>
      </c>
      <c r="I1165" s="17">
        <v>348</v>
      </c>
      <c r="J1165" s="17">
        <f>+Tabla132112419[[#This Row],[CANTIDAD TOTAL]]*Tabla132112419[[#This Row],[PRECIO UNITARIO ESTIMADO]]</f>
        <v>4176</v>
      </c>
      <c r="K1165" s="17"/>
      <c r="L1165" s="16" t="s">
        <v>18</v>
      </c>
      <c r="M1165" s="16" t="s">
        <v>22</v>
      </c>
      <c r="N1165" s="39" t="s">
        <v>418</v>
      </c>
    </row>
    <row r="1166" spans="1:14" s="12" customFormat="1" ht="18">
      <c r="A1166" s="178" t="s">
        <v>120</v>
      </c>
      <c r="B1166" s="75" t="s">
        <v>758</v>
      </c>
      <c r="C1166" s="39" t="s">
        <v>17</v>
      </c>
      <c r="D1166" s="236">
        <v>1</v>
      </c>
      <c r="E1166" s="236"/>
      <c r="F1166" s="236">
        <v>1</v>
      </c>
      <c r="G1166" s="236"/>
      <c r="H1166" s="41">
        <f>SUM(Tabla132112419[[#This Row],[PRIMER TRIMESTRE]:[CUARTO TRIMESTRE]])</f>
        <v>2</v>
      </c>
      <c r="I1166" s="17">
        <v>61.95</v>
      </c>
      <c r="J1166" s="17">
        <f t="shared" ref="J1166:J1229" si="31">+H1166*I1166</f>
        <v>123.9</v>
      </c>
      <c r="K1166" s="17"/>
      <c r="L1166" s="16" t="s">
        <v>18</v>
      </c>
      <c r="M1166" s="16" t="s">
        <v>22</v>
      </c>
      <c r="N1166" s="39" t="s">
        <v>418</v>
      </c>
    </row>
    <row r="1167" spans="1:14" s="12" customFormat="1" ht="18">
      <c r="A1167" s="178" t="s">
        <v>120</v>
      </c>
      <c r="B1167" s="75" t="s">
        <v>1767</v>
      </c>
      <c r="C1167" s="39" t="s">
        <v>417</v>
      </c>
      <c r="D1167" s="236"/>
      <c r="E1167" s="236"/>
      <c r="F1167" s="236"/>
      <c r="G1167" s="236"/>
      <c r="H1167" s="46">
        <v>0</v>
      </c>
      <c r="I1167" s="17">
        <v>0</v>
      </c>
      <c r="J1167" s="17">
        <v>0</v>
      </c>
      <c r="K1167" s="17"/>
      <c r="L1167" s="16" t="s">
        <v>18</v>
      </c>
      <c r="M1167" s="16" t="s">
        <v>22</v>
      </c>
      <c r="N1167" s="39" t="s">
        <v>418</v>
      </c>
    </row>
    <row r="1168" spans="1:14" s="12" customFormat="1" ht="18">
      <c r="A1168" s="178" t="s">
        <v>120</v>
      </c>
      <c r="B1168" s="184" t="s">
        <v>477</v>
      </c>
      <c r="C1168" s="39" t="s">
        <v>417</v>
      </c>
      <c r="D1168" s="236"/>
      <c r="E1168" s="236"/>
      <c r="F1168" s="236"/>
      <c r="G1168" s="236"/>
      <c r="H1168" s="41">
        <f>SUM(Tabla132112419[[#This Row],[PRIMER TRIMESTRE]:[CUARTO TRIMESTRE]])</f>
        <v>0</v>
      </c>
      <c r="I1168" s="17">
        <v>650</v>
      </c>
      <c r="J1168" s="17">
        <f t="shared" si="31"/>
        <v>0</v>
      </c>
      <c r="K1168" s="17"/>
      <c r="L1168" s="16" t="s">
        <v>18</v>
      </c>
      <c r="M1168" s="16" t="s">
        <v>22</v>
      </c>
      <c r="N1168" s="39" t="s">
        <v>418</v>
      </c>
    </row>
    <row r="1169" spans="1:14" s="12" customFormat="1" ht="18">
      <c r="A1169" s="178" t="s">
        <v>120</v>
      </c>
      <c r="B1169" s="184" t="s">
        <v>478</v>
      </c>
      <c r="C1169" s="39" t="s">
        <v>417</v>
      </c>
      <c r="D1169" s="236"/>
      <c r="E1169" s="236"/>
      <c r="F1169" s="236"/>
      <c r="G1169" s="236"/>
      <c r="H1169" s="41">
        <f>SUM(Tabla132112419[[#This Row],[PRIMER TRIMESTRE]:[CUARTO TRIMESTRE]])</f>
        <v>0</v>
      </c>
      <c r="I1169" s="17">
        <v>950</v>
      </c>
      <c r="J1169" s="17">
        <f t="shared" si="31"/>
        <v>0</v>
      </c>
      <c r="K1169" s="17"/>
      <c r="L1169" s="16" t="s">
        <v>18</v>
      </c>
      <c r="M1169" s="16" t="s">
        <v>22</v>
      </c>
      <c r="N1169" s="39" t="s">
        <v>418</v>
      </c>
    </row>
    <row r="1170" spans="1:14" s="12" customFormat="1" ht="18">
      <c r="A1170" s="178" t="s">
        <v>120</v>
      </c>
      <c r="B1170" s="185" t="s">
        <v>479</v>
      </c>
      <c r="C1170" s="39" t="s">
        <v>417</v>
      </c>
      <c r="D1170" s="236">
        <v>3</v>
      </c>
      <c r="E1170" s="236">
        <v>3</v>
      </c>
      <c r="F1170" s="236">
        <v>3</v>
      </c>
      <c r="G1170" s="236">
        <v>3</v>
      </c>
      <c r="H1170" s="41">
        <f>SUM(Tabla132112419[[#This Row],[PRIMER TRIMESTRE]:[CUARTO TRIMESTRE]])</f>
        <v>12</v>
      </c>
      <c r="I1170" s="17">
        <v>650</v>
      </c>
      <c r="J1170" s="17">
        <f t="shared" si="31"/>
        <v>7800</v>
      </c>
      <c r="K1170" s="17"/>
      <c r="L1170" s="16" t="s">
        <v>18</v>
      </c>
      <c r="M1170" s="16" t="s">
        <v>22</v>
      </c>
      <c r="N1170" s="39" t="s">
        <v>418</v>
      </c>
    </row>
    <row r="1171" spans="1:14" s="12" customFormat="1" ht="18">
      <c r="A1171" s="178" t="s">
        <v>120</v>
      </c>
      <c r="B1171" s="184" t="s">
        <v>480</v>
      </c>
      <c r="C1171" s="39" t="s">
        <v>417</v>
      </c>
      <c r="D1171" s="236">
        <v>3</v>
      </c>
      <c r="E1171" s="236">
        <v>3</v>
      </c>
      <c r="F1171" s="236">
        <v>3</v>
      </c>
      <c r="G1171" s="236">
        <v>3</v>
      </c>
      <c r="H1171" s="41">
        <f>SUM(Tabla132112419[[#This Row],[PRIMER TRIMESTRE]:[CUARTO TRIMESTRE]])</f>
        <v>12</v>
      </c>
      <c r="I1171" s="17">
        <v>800</v>
      </c>
      <c r="J1171" s="17">
        <f t="shared" si="31"/>
        <v>9600</v>
      </c>
      <c r="K1171" s="17"/>
      <c r="L1171" s="16" t="s">
        <v>18</v>
      </c>
      <c r="M1171" s="16" t="s">
        <v>22</v>
      </c>
      <c r="N1171" s="39" t="s">
        <v>418</v>
      </c>
    </row>
    <row r="1172" spans="1:14" s="12" customFormat="1" ht="18">
      <c r="A1172" s="178" t="s">
        <v>120</v>
      </c>
      <c r="B1172" s="184" t="s">
        <v>481</v>
      </c>
      <c r="C1172" s="39" t="s">
        <v>417</v>
      </c>
      <c r="D1172" s="236"/>
      <c r="E1172" s="236"/>
      <c r="F1172" s="236"/>
      <c r="G1172" s="236"/>
      <c r="H1172" s="41">
        <f>SUM(Tabla132112419[[#This Row],[PRIMER TRIMESTRE]:[CUARTO TRIMESTRE]])</f>
        <v>0</v>
      </c>
      <c r="I1172" s="17">
        <v>1190</v>
      </c>
      <c r="J1172" s="17">
        <f t="shared" si="31"/>
        <v>0</v>
      </c>
      <c r="K1172" s="17"/>
      <c r="L1172" s="16" t="s">
        <v>18</v>
      </c>
      <c r="M1172" s="16" t="s">
        <v>22</v>
      </c>
      <c r="N1172" s="39" t="s">
        <v>418</v>
      </c>
    </row>
    <row r="1173" spans="1:14" s="12" customFormat="1" ht="18">
      <c r="A1173" s="178" t="s">
        <v>120</v>
      </c>
      <c r="B1173" s="184" t="s">
        <v>482</v>
      </c>
      <c r="C1173" s="39" t="s">
        <v>417</v>
      </c>
      <c r="D1173" s="236"/>
      <c r="E1173" s="236"/>
      <c r="F1173" s="236"/>
      <c r="G1173" s="236"/>
      <c r="H1173" s="41">
        <f>SUM(Tabla132112419[[#This Row],[PRIMER TRIMESTRE]:[CUARTO TRIMESTRE]])</f>
        <v>0</v>
      </c>
      <c r="I1173" s="17">
        <v>1050</v>
      </c>
      <c r="J1173" s="17">
        <f t="shared" si="31"/>
        <v>0</v>
      </c>
      <c r="K1173" s="17"/>
      <c r="L1173" s="16" t="s">
        <v>18</v>
      </c>
      <c r="M1173" s="16" t="s">
        <v>22</v>
      </c>
      <c r="N1173" s="39" t="s">
        <v>418</v>
      </c>
    </row>
    <row r="1174" spans="1:14" s="12" customFormat="1" ht="18">
      <c r="A1174" s="178" t="s">
        <v>120</v>
      </c>
      <c r="B1174" s="184" t="s">
        <v>483</v>
      </c>
      <c r="C1174" s="39" t="s">
        <v>417</v>
      </c>
      <c r="D1174" s="236"/>
      <c r="E1174" s="236"/>
      <c r="F1174" s="236"/>
      <c r="G1174" s="236"/>
      <c r="H1174" s="41">
        <f>SUM(Tabla132112419[[#This Row],[PRIMER TRIMESTRE]:[CUARTO TRIMESTRE]])</f>
        <v>0</v>
      </c>
      <c r="I1174" s="17">
        <v>990</v>
      </c>
      <c r="J1174" s="17">
        <f t="shared" si="31"/>
        <v>0</v>
      </c>
      <c r="K1174" s="17"/>
      <c r="L1174" s="16" t="s">
        <v>18</v>
      </c>
      <c r="M1174" s="16" t="s">
        <v>22</v>
      </c>
      <c r="N1174" s="39" t="s">
        <v>418</v>
      </c>
    </row>
    <row r="1175" spans="1:14" s="12" customFormat="1" ht="18">
      <c r="A1175" s="178" t="s">
        <v>120</v>
      </c>
      <c r="B1175" s="184" t="s">
        <v>484</v>
      </c>
      <c r="C1175" s="39" t="s">
        <v>417</v>
      </c>
      <c r="D1175" s="236"/>
      <c r="E1175" s="236"/>
      <c r="F1175" s="236"/>
      <c r="G1175" s="236"/>
      <c r="H1175" s="41">
        <f>SUM(Tabla132112419[[#This Row],[PRIMER TRIMESTRE]:[CUARTO TRIMESTRE]])</f>
        <v>0</v>
      </c>
      <c r="I1175" s="17">
        <v>450</v>
      </c>
      <c r="J1175" s="17">
        <f t="shared" si="31"/>
        <v>0</v>
      </c>
      <c r="K1175" s="17"/>
      <c r="L1175" s="16" t="s">
        <v>18</v>
      </c>
      <c r="M1175" s="16" t="s">
        <v>22</v>
      </c>
      <c r="N1175" s="39" t="s">
        <v>418</v>
      </c>
    </row>
    <row r="1176" spans="1:14" s="12" customFormat="1" ht="18">
      <c r="A1176" s="178" t="s">
        <v>120</v>
      </c>
      <c r="B1176" s="184" t="s">
        <v>485</v>
      </c>
      <c r="C1176" s="39" t="s">
        <v>417</v>
      </c>
      <c r="D1176" s="236"/>
      <c r="E1176" s="236"/>
      <c r="F1176" s="236"/>
      <c r="G1176" s="236"/>
      <c r="H1176" s="41">
        <f>SUM(Tabla132112419[[#This Row],[PRIMER TRIMESTRE]:[CUARTO TRIMESTRE]])</f>
        <v>0</v>
      </c>
      <c r="I1176" s="17">
        <v>550</v>
      </c>
      <c r="J1176" s="17">
        <f t="shared" si="31"/>
        <v>0</v>
      </c>
      <c r="K1176" s="17"/>
      <c r="L1176" s="16" t="s">
        <v>18</v>
      </c>
      <c r="M1176" s="16" t="s">
        <v>22</v>
      </c>
      <c r="N1176" s="39" t="s">
        <v>418</v>
      </c>
    </row>
    <row r="1177" spans="1:14" s="12" customFormat="1" ht="18">
      <c r="A1177" s="178" t="s">
        <v>120</v>
      </c>
      <c r="B1177" s="184" t="s">
        <v>486</v>
      </c>
      <c r="C1177" s="39" t="s">
        <v>417</v>
      </c>
      <c r="D1177" s="236"/>
      <c r="E1177" s="236"/>
      <c r="F1177" s="236"/>
      <c r="G1177" s="236"/>
      <c r="H1177" s="41">
        <f>SUM(Tabla132112419[[#This Row],[PRIMER TRIMESTRE]:[CUARTO TRIMESTRE]])</f>
        <v>0</v>
      </c>
      <c r="I1177" s="17">
        <v>1000</v>
      </c>
      <c r="J1177" s="17">
        <f t="shared" si="31"/>
        <v>0</v>
      </c>
      <c r="K1177" s="17"/>
      <c r="L1177" s="16" t="s">
        <v>18</v>
      </c>
      <c r="M1177" s="16" t="s">
        <v>22</v>
      </c>
      <c r="N1177" s="39" t="s">
        <v>418</v>
      </c>
    </row>
    <row r="1178" spans="1:14" s="12" customFormat="1" ht="18">
      <c r="A1178" s="178" t="s">
        <v>120</v>
      </c>
      <c r="B1178" s="184" t="s">
        <v>487</v>
      </c>
      <c r="C1178" s="39" t="s">
        <v>417</v>
      </c>
      <c r="D1178" s="236"/>
      <c r="E1178" s="236"/>
      <c r="F1178" s="236"/>
      <c r="G1178" s="236"/>
      <c r="H1178" s="41">
        <f>SUM(Tabla132112419[[#This Row],[PRIMER TRIMESTRE]:[CUARTO TRIMESTRE]])</f>
        <v>0</v>
      </c>
      <c r="I1178" s="17">
        <v>850</v>
      </c>
      <c r="J1178" s="17">
        <f t="shared" si="31"/>
        <v>0</v>
      </c>
      <c r="K1178" s="17"/>
      <c r="L1178" s="16" t="s">
        <v>18</v>
      </c>
      <c r="M1178" s="16" t="s">
        <v>22</v>
      </c>
      <c r="N1178" s="39" t="s">
        <v>418</v>
      </c>
    </row>
    <row r="1179" spans="1:14" s="12" customFormat="1" ht="18">
      <c r="A1179" s="178" t="s">
        <v>120</v>
      </c>
      <c r="B1179" s="184" t="s">
        <v>488</v>
      </c>
      <c r="C1179" s="39" t="s">
        <v>417</v>
      </c>
      <c r="D1179" s="236"/>
      <c r="E1179" s="236"/>
      <c r="F1179" s="236"/>
      <c r="G1179" s="236"/>
      <c r="H1179" s="41">
        <f>SUM(Tabla132112419[[#This Row],[PRIMER TRIMESTRE]:[CUARTO TRIMESTRE]])</f>
        <v>0</v>
      </c>
      <c r="I1179" s="17">
        <v>850</v>
      </c>
      <c r="J1179" s="17">
        <f t="shared" si="31"/>
        <v>0</v>
      </c>
      <c r="K1179" s="17"/>
      <c r="L1179" s="16" t="s">
        <v>18</v>
      </c>
      <c r="M1179" s="16" t="s">
        <v>22</v>
      </c>
      <c r="N1179" s="39" t="s">
        <v>418</v>
      </c>
    </row>
    <row r="1180" spans="1:14" s="12" customFormat="1" ht="18">
      <c r="A1180" s="178" t="s">
        <v>120</v>
      </c>
      <c r="B1180" s="184" t="s">
        <v>489</v>
      </c>
      <c r="C1180" s="39" t="s">
        <v>417</v>
      </c>
      <c r="D1180" s="236"/>
      <c r="E1180" s="236"/>
      <c r="F1180" s="236"/>
      <c r="G1180" s="236"/>
      <c r="H1180" s="41">
        <f>SUM(Tabla132112419[[#This Row],[PRIMER TRIMESTRE]:[CUARTO TRIMESTRE]])</f>
        <v>0</v>
      </c>
      <c r="I1180" s="17">
        <v>650</v>
      </c>
      <c r="J1180" s="17">
        <f t="shared" si="31"/>
        <v>0</v>
      </c>
      <c r="K1180" s="17"/>
      <c r="L1180" s="16" t="s">
        <v>18</v>
      </c>
      <c r="M1180" s="16" t="s">
        <v>22</v>
      </c>
      <c r="N1180" s="39" t="s">
        <v>418</v>
      </c>
    </row>
    <row r="1181" spans="1:14" s="12" customFormat="1" ht="18">
      <c r="A1181" s="178" t="s">
        <v>120</v>
      </c>
      <c r="B1181" s="184" t="s">
        <v>490</v>
      </c>
      <c r="C1181" s="39" t="s">
        <v>417</v>
      </c>
      <c r="D1181" s="236"/>
      <c r="E1181" s="236"/>
      <c r="F1181" s="236"/>
      <c r="G1181" s="236"/>
      <c r="H1181" s="41">
        <f>SUM(Tabla132112419[[#This Row],[PRIMER TRIMESTRE]:[CUARTO TRIMESTRE]])</f>
        <v>0</v>
      </c>
      <c r="I1181" s="17">
        <v>1100</v>
      </c>
      <c r="J1181" s="17">
        <f t="shared" si="31"/>
        <v>0</v>
      </c>
      <c r="K1181" s="17"/>
      <c r="L1181" s="16" t="s">
        <v>18</v>
      </c>
      <c r="M1181" s="16" t="s">
        <v>22</v>
      </c>
      <c r="N1181" s="39" t="s">
        <v>418</v>
      </c>
    </row>
    <row r="1182" spans="1:14" s="12" customFormat="1" ht="18">
      <c r="A1182" s="178" t="s">
        <v>120</v>
      </c>
      <c r="B1182" s="184" t="s">
        <v>491</v>
      </c>
      <c r="C1182" s="39" t="s">
        <v>417</v>
      </c>
      <c r="D1182" s="236"/>
      <c r="E1182" s="236"/>
      <c r="F1182" s="236"/>
      <c r="G1182" s="236"/>
      <c r="H1182" s="41">
        <f>SUM(Tabla132112419[[#This Row],[PRIMER TRIMESTRE]:[CUARTO TRIMESTRE]])</f>
        <v>0</v>
      </c>
      <c r="I1182" s="17">
        <v>1100</v>
      </c>
      <c r="J1182" s="17">
        <f t="shared" si="31"/>
        <v>0</v>
      </c>
      <c r="K1182" s="17"/>
      <c r="L1182" s="16" t="s">
        <v>18</v>
      </c>
      <c r="M1182" s="16" t="s">
        <v>22</v>
      </c>
      <c r="N1182" s="39" t="s">
        <v>418</v>
      </c>
    </row>
    <row r="1183" spans="1:14" s="12" customFormat="1" ht="18">
      <c r="A1183" s="178" t="s">
        <v>120</v>
      </c>
      <c r="B1183" s="184" t="s">
        <v>492</v>
      </c>
      <c r="C1183" s="39" t="s">
        <v>417</v>
      </c>
      <c r="D1183" s="236"/>
      <c r="E1183" s="236"/>
      <c r="F1183" s="236"/>
      <c r="G1183" s="236"/>
      <c r="H1183" s="41">
        <f>SUM(Tabla132112419[[#This Row],[PRIMER TRIMESTRE]:[CUARTO TRIMESTRE]])</f>
        <v>0</v>
      </c>
      <c r="I1183" s="17">
        <v>1500</v>
      </c>
      <c r="J1183" s="17">
        <f t="shared" si="31"/>
        <v>0</v>
      </c>
      <c r="K1183" s="17"/>
      <c r="L1183" s="16" t="s">
        <v>18</v>
      </c>
      <c r="M1183" s="16" t="s">
        <v>22</v>
      </c>
      <c r="N1183" s="39" t="s">
        <v>418</v>
      </c>
    </row>
    <row r="1184" spans="1:14" s="12" customFormat="1" ht="18">
      <c r="A1184" s="178" t="s">
        <v>120</v>
      </c>
      <c r="B1184" s="184" t="s">
        <v>493</v>
      </c>
      <c r="C1184" s="39" t="s">
        <v>417</v>
      </c>
      <c r="D1184" s="236"/>
      <c r="E1184" s="236"/>
      <c r="F1184" s="236"/>
      <c r="G1184" s="236"/>
      <c r="H1184" s="41">
        <f>SUM(Tabla132112419[[#This Row],[PRIMER TRIMESTRE]:[CUARTO TRIMESTRE]])</f>
        <v>0</v>
      </c>
      <c r="I1184" s="17">
        <v>1650</v>
      </c>
      <c r="J1184" s="17">
        <f t="shared" si="31"/>
        <v>0</v>
      </c>
      <c r="K1184" s="17"/>
      <c r="L1184" s="16" t="s">
        <v>18</v>
      </c>
      <c r="M1184" s="16" t="s">
        <v>22</v>
      </c>
      <c r="N1184" s="39" t="s">
        <v>418</v>
      </c>
    </row>
    <row r="1185" spans="1:14" s="12" customFormat="1" ht="18">
      <c r="A1185" s="178" t="s">
        <v>120</v>
      </c>
      <c r="B1185" s="184" t="s">
        <v>494</v>
      </c>
      <c r="C1185" s="39" t="s">
        <v>417</v>
      </c>
      <c r="D1185" s="236"/>
      <c r="E1185" s="236"/>
      <c r="F1185" s="236"/>
      <c r="G1185" s="236"/>
      <c r="H1185" s="41">
        <f>SUM(Tabla132112419[[#This Row],[PRIMER TRIMESTRE]:[CUARTO TRIMESTRE]])</f>
        <v>0</v>
      </c>
      <c r="I1185" s="17">
        <v>1250</v>
      </c>
      <c r="J1185" s="17">
        <f t="shared" si="31"/>
        <v>0</v>
      </c>
      <c r="K1185" s="17"/>
      <c r="L1185" s="16" t="s">
        <v>18</v>
      </c>
      <c r="M1185" s="16" t="s">
        <v>22</v>
      </c>
      <c r="N1185" s="39" t="s">
        <v>418</v>
      </c>
    </row>
    <row r="1186" spans="1:14" s="12" customFormat="1" ht="18">
      <c r="A1186" s="178" t="s">
        <v>120</v>
      </c>
      <c r="B1186" s="185" t="s">
        <v>495</v>
      </c>
      <c r="C1186" s="39" t="s">
        <v>417</v>
      </c>
      <c r="D1186" s="236"/>
      <c r="E1186" s="236"/>
      <c r="F1186" s="236"/>
      <c r="G1186" s="236"/>
      <c r="H1186" s="41">
        <f>SUM(Tabla132112419[[#This Row],[PRIMER TRIMESTRE]:[CUARTO TRIMESTRE]])</f>
        <v>0</v>
      </c>
      <c r="I1186" s="17">
        <v>1672</v>
      </c>
      <c r="J1186" s="17">
        <f t="shared" si="31"/>
        <v>0</v>
      </c>
      <c r="K1186" s="17"/>
      <c r="L1186" s="16" t="s">
        <v>18</v>
      </c>
      <c r="M1186" s="16" t="s">
        <v>22</v>
      </c>
      <c r="N1186" s="39" t="s">
        <v>418</v>
      </c>
    </row>
    <row r="1187" spans="1:14" s="12" customFormat="1" ht="25.5">
      <c r="A1187" s="178" t="s">
        <v>120</v>
      </c>
      <c r="B1187" s="185" t="s">
        <v>533</v>
      </c>
      <c r="C1187" s="39" t="s">
        <v>417</v>
      </c>
      <c r="D1187" s="236"/>
      <c r="E1187" s="236"/>
      <c r="F1187" s="236"/>
      <c r="G1187" s="236"/>
      <c r="H1187" s="41">
        <f>SUM(Tabla132112419[[#This Row],[PRIMER TRIMESTRE]:[CUARTO TRIMESTRE]])</f>
        <v>0</v>
      </c>
      <c r="I1187" s="17">
        <v>720</v>
      </c>
      <c r="J1187" s="17">
        <f t="shared" si="31"/>
        <v>0</v>
      </c>
      <c r="K1187" s="17"/>
      <c r="L1187" s="16" t="s">
        <v>18</v>
      </c>
      <c r="M1187" s="16" t="s">
        <v>22</v>
      </c>
      <c r="N1187" s="39" t="s">
        <v>418</v>
      </c>
    </row>
    <row r="1188" spans="1:14" s="12" customFormat="1" ht="25.5">
      <c r="A1188" s="178" t="s">
        <v>120</v>
      </c>
      <c r="B1188" s="185" t="s">
        <v>534</v>
      </c>
      <c r="C1188" s="39" t="s">
        <v>417</v>
      </c>
      <c r="D1188" s="236"/>
      <c r="E1188" s="236"/>
      <c r="F1188" s="236"/>
      <c r="G1188" s="236"/>
      <c r="H1188" s="41">
        <f>SUM(Tabla132112419[[#This Row],[PRIMER TRIMESTRE]:[CUARTO TRIMESTRE]])</f>
        <v>0</v>
      </c>
      <c r="I1188" s="17">
        <v>1280</v>
      </c>
      <c r="J1188" s="17">
        <f t="shared" si="31"/>
        <v>0</v>
      </c>
      <c r="K1188" s="17"/>
      <c r="L1188" s="16" t="s">
        <v>18</v>
      </c>
      <c r="M1188" s="16" t="s">
        <v>22</v>
      </c>
      <c r="N1188" s="39" t="s">
        <v>418</v>
      </c>
    </row>
    <row r="1189" spans="1:14" s="12" customFormat="1" ht="18">
      <c r="A1189" s="178" t="s">
        <v>120</v>
      </c>
      <c r="B1189" s="185" t="s">
        <v>1443</v>
      </c>
      <c r="C1189" s="39" t="s">
        <v>417</v>
      </c>
      <c r="D1189" s="236"/>
      <c r="E1189" s="236"/>
      <c r="F1189" s="236"/>
      <c r="G1189" s="236"/>
      <c r="H1189" s="41">
        <f>SUM(Tabla132112419[[#This Row],[PRIMER TRIMESTRE]:[CUARTO TRIMESTRE]])</f>
        <v>0</v>
      </c>
      <c r="I1189" s="17">
        <v>4159.5</v>
      </c>
      <c r="J1189" s="17">
        <f t="shared" si="31"/>
        <v>0</v>
      </c>
      <c r="K1189" s="17"/>
      <c r="L1189" s="16" t="s">
        <v>15</v>
      </c>
      <c r="M1189" s="16" t="s">
        <v>22</v>
      </c>
      <c r="N1189" s="39" t="s">
        <v>418</v>
      </c>
    </row>
    <row r="1190" spans="1:14" s="12" customFormat="1" ht="18">
      <c r="A1190" s="178" t="s">
        <v>120</v>
      </c>
      <c r="B1190" s="185" t="s">
        <v>1444</v>
      </c>
      <c r="C1190" s="39" t="s">
        <v>417</v>
      </c>
      <c r="D1190" s="236"/>
      <c r="E1190" s="236"/>
      <c r="F1190" s="236"/>
      <c r="G1190" s="236"/>
      <c r="H1190" s="41">
        <f>SUM(Tabla132112419[[#This Row],[PRIMER TRIMESTRE]:[CUARTO TRIMESTRE]])</f>
        <v>0</v>
      </c>
      <c r="I1190" s="17">
        <v>4159.5</v>
      </c>
      <c r="J1190" s="17">
        <f t="shared" si="31"/>
        <v>0</v>
      </c>
      <c r="K1190" s="17"/>
      <c r="L1190" s="16" t="s">
        <v>15</v>
      </c>
      <c r="M1190" s="16" t="s">
        <v>22</v>
      </c>
      <c r="N1190" s="39" t="s">
        <v>418</v>
      </c>
    </row>
    <row r="1191" spans="1:14" s="12" customFormat="1" ht="18">
      <c r="A1191" s="178" t="s">
        <v>120</v>
      </c>
      <c r="B1191" s="185" t="s">
        <v>1445</v>
      </c>
      <c r="C1191" s="39" t="s">
        <v>417</v>
      </c>
      <c r="D1191" s="236"/>
      <c r="E1191" s="236"/>
      <c r="F1191" s="236"/>
      <c r="G1191" s="236"/>
      <c r="H1191" s="41">
        <f>SUM(Tabla132112419[[#This Row],[PRIMER TRIMESTRE]:[CUARTO TRIMESTRE]])</f>
        <v>0</v>
      </c>
      <c r="I1191" s="17">
        <v>4159.5</v>
      </c>
      <c r="J1191" s="17">
        <f t="shared" si="31"/>
        <v>0</v>
      </c>
      <c r="K1191" s="17"/>
      <c r="L1191" s="16" t="s">
        <v>15</v>
      </c>
      <c r="M1191" s="16" t="s">
        <v>22</v>
      </c>
      <c r="N1191" s="39" t="s">
        <v>418</v>
      </c>
    </row>
    <row r="1192" spans="1:14" s="12" customFormat="1" ht="18">
      <c r="A1192" s="178" t="s">
        <v>120</v>
      </c>
      <c r="B1192" s="185" t="s">
        <v>474</v>
      </c>
      <c r="C1192" s="39" t="s">
        <v>417</v>
      </c>
      <c r="D1192" s="236"/>
      <c r="E1192" s="236"/>
      <c r="F1192" s="236"/>
      <c r="G1192" s="236"/>
      <c r="H1192" s="41">
        <f>SUM(Tabla132112419[[#This Row],[PRIMER TRIMESTRE]:[CUARTO TRIMESTRE]])</f>
        <v>0</v>
      </c>
      <c r="I1192" s="17">
        <v>2900</v>
      </c>
      <c r="J1192" s="17">
        <f t="shared" si="31"/>
        <v>0</v>
      </c>
      <c r="K1192" s="17"/>
      <c r="L1192" s="16" t="s">
        <v>18</v>
      </c>
      <c r="M1192" s="16" t="s">
        <v>22</v>
      </c>
      <c r="N1192" s="39" t="s">
        <v>418</v>
      </c>
    </row>
    <row r="1193" spans="1:14" s="12" customFormat="1" ht="18">
      <c r="A1193" s="178" t="s">
        <v>120</v>
      </c>
      <c r="B1193" s="184" t="s">
        <v>475</v>
      </c>
      <c r="C1193" s="39" t="s">
        <v>417</v>
      </c>
      <c r="D1193" s="236"/>
      <c r="E1193" s="236"/>
      <c r="F1193" s="236"/>
      <c r="G1193" s="236"/>
      <c r="H1193" s="41">
        <f>SUM(Tabla132112419[[#This Row],[PRIMER TRIMESTRE]:[CUARTO TRIMESTRE]])</f>
        <v>0</v>
      </c>
      <c r="I1193" s="17">
        <v>2350</v>
      </c>
      <c r="J1193" s="17">
        <f t="shared" si="31"/>
        <v>0</v>
      </c>
      <c r="K1193" s="17"/>
      <c r="L1193" s="16" t="s">
        <v>18</v>
      </c>
      <c r="M1193" s="16" t="s">
        <v>22</v>
      </c>
      <c r="N1193" s="39" t="s">
        <v>418</v>
      </c>
    </row>
    <row r="1194" spans="1:14" s="12" customFormat="1" ht="18">
      <c r="A1194" s="178" t="s">
        <v>120</v>
      </c>
      <c r="B1194" s="184" t="s">
        <v>476</v>
      </c>
      <c r="C1194" s="39" t="s">
        <v>417</v>
      </c>
      <c r="D1194" s="236"/>
      <c r="E1194" s="236"/>
      <c r="F1194" s="236"/>
      <c r="G1194" s="236"/>
      <c r="H1194" s="41">
        <f>SUM(Tabla132112419[[#This Row],[PRIMER TRIMESTRE]:[CUARTO TRIMESTRE]])</f>
        <v>0</v>
      </c>
      <c r="I1194" s="17">
        <v>3990</v>
      </c>
      <c r="J1194" s="17">
        <f t="shared" si="31"/>
        <v>0</v>
      </c>
      <c r="K1194" s="17"/>
      <c r="L1194" s="16" t="s">
        <v>18</v>
      </c>
      <c r="M1194" s="16" t="s">
        <v>22</v>
      </c>
      <c r="N1194" s="39" t="s">
        <v>418</v>
      </c>
    </row>
    <row r="1195" spans="1:14" s="12" customFormat="1" ht="18">
      <c r="A1195" s="178" t="s">
        <v>120</v>
      </c>
      <c r="B1195" s="185" t="s">
        <v>496</v>
      </c>
      <c r="C1195" s="39" t="s">
        <v>417</v>
      </c>
      <c r="D1195" s="236"/>
      <c r="E1195" s="236"/>
      <c r="F1195" s="236"/>
      <c r="G1195" s="236"/>
      <c r="H1195" s="41">
        <f>SUM(Tabla132112419[[#This Row],[PRIMER TRIMESTRE]:[CUARTO TRIMESTRE]])</f>
        <v>0</v>
      </c>
      <c r="I1195" s="17">
        <v>4200</v>
      </c>
      <c r="J1195" s="17">
        <f t="shared" si="31"/>
        <v>0</v>
      </c>
      <c r="K1195" s="17"/>
      <c r="L1195" s="16" t="s">
        <v>18</v>
      </c>
      <c r="M1195" s="16" t="s">
        <v>22</v>
      </c>
      <c r="N1195" s="39" t="s">
        <v>418</v>
      </c>
    </row>
    <row r="1196" spans="1:14" s="12" customFormat="1" ht="18">
      <c r="A1196" s="178" t="s">
        <v>120</v>
      </c>
      <c r="B1196" s="184" t="s">
        <v>497</v>
      </c>
      <c r="C1196" s="39" t="s">
        <v>417</v>
      </c>
      <c r="D1196" s="236"/>
      <c r="E1196" s="236"/>
      <c r="F1196" s="236"/>
      <c r="G1196" s="236"/>
      <c r="H1196" s="41">
        <f>SUM(Tabla132112419[[#This Row],[PRIMER TRIMESTRE]:[CUARTO TRIMESTRE]])</f>
        <v>0</v>
      </c>
      <c r="I1196" s="17">
        <v>4200</v>
      </c>
      <c r="J1196" s="17">
        <f t="shared" si="31"/>
        <v>0</v>
      </c>
      <c r="K1196" s="17"/>
      <c r="L1196" s="16" t="s">
        <v>18</v>
      </c>
      <c r="M1196" s="16" t="s">
        <v>22</v>
      </c>
      <c r="N1196" s="39" t="s">
        <v>418</v>
      </c>
    </row>
    <row r="1197" spans="1:14" s="12" customFormat="1" ht="18">
      <c r="A1197" s="178" t="s">
        <v>120</v>
      </c>
      <c r="B1197" s="184" t="s">
        <v>498</v>
      </c>
      <c r="C1197" s="39" t="s">
        <v>417</v>
      </c>
      <c r="D1197" s="236"/>
      <c r="E1197" s="236"/>
      <c r="F1197" s="236"/>
      <c r="G1197" s="236"/>
      <c r="H1197" s="41">
        <f>SUM(Tabla132112419[[#This Row],[PRIMER TRIMESTRE]:[CUARTO TRIMESTRE]])</f>
        <v>0</v>
      </c>
      <c r="I1197" s="17">
        <v>4200</v>
      </c>
      <c r="J1197" s="17">
        <f t="shared" si="31"/>
        <v>0</v>
      </c>
      <c r="K1197" s="17"/>
      <c r="L1197" s="16" t="s">
        <v>18</v>
      </c>
      <c r="M1197" s="16" t="s">
        <v>22</v>
      </c>
      <c r="N1197" s="39" t="s">
        <v>418</v>
      </c>
    </row>
    <row r="1198" spans="1:14" s="12" customFormat="1" ht="18">
      <c r="A1198" s="178" t="s">
        <v>120</v>
      </c>
      <c r="B1198" s="184" t="s">
        <v>499</v>
      </c>
      <c r="C1198" s="39" t="s">
        <v>417</v>
      </c>
      <c r="D1198" s="236"/>
      <c r="E1198" s="236"/>
      <c r="F1198" s="236"/>
      <c r="G1198" s="236"/>
      <c r="H1198" s="41">
        <f>SUM(Tabla132112419[[#This Row],[PRIMER TRIMESTRE]:[CUARTO TRIMESTRE]])</f>
        <v>0</v>
      </c>
      <c r="I1198" s="17">
        <v>4200</v>
      </c>
      <c r="J1198" s="17">
        <f t="shared" si="31"/>
        <v>0</v>
      </c>
      <c r="K1198" s="17"/>
      <c r="L1198" s="16" t="s">
        <v>18</v>
      </c>
      <c r="M1198" s="16" t="s">
        <v>22</v>
      </c>
      <c r="N1198" s="39" t="s">
        <v>418</v>
      </c>
    </row>
    <row r="1199" spans="1:14" s="12" customFormat="1" ht="18">
      <c r="A1199" s="178" t="s">
        <v>120</v>
      </c>
      <c r="B1199" s="185" t="s">
        <v>500</v>
      </c>
      <c r="C1199" s="39" t="s">
        <v>417</v>
      </c>
      <c r="D1199" s="236"/>
      <c r="E1199" s="236"/>
      <c r="F1199" s="236"/>
      <c r="G1199" s="236"/>
      <c r="H1199" s="41">
        <f>SUM(Tabla132112419[[#This Row],[PRIMER TRIMESTRE]:[CUARTO TRIMESTRE]])</f>
        <v>0</v>
      </c>
      <c r="I1199" s="17">
        <v>8210.5</v>
      </c>
      <c r="J1199" s="17">
        <f t="shared" si="31"/>
        <v>0</v>
      </c>
      <c r="K1199" s="17"/>
      <c r="L1199" s="16" t="s">
        <v>18</v>
      </c>
      <c r="M1199" s="16" t="s">
        <v>22</v>
      </c>
      <c r="N1199" s="39" t="s">
        <v>418</v>
      </c>
    </row>
    <row r="1200" spans="1:14" s="12" customFormat="1" ht="18">
      <c r="A1200" s="178" t="s">
        <v>120</v>
      </c>
      <c r="B1200" s="185" t="s">
        <v>501</v>
      </c>
      <c r="C1200" s="39" t="s">
        <v>417</v>
      </c>
      <c r="D1200" s="236"/>
      <c r="E1200" s="236"/>
      <c r="F1200" s="236"/>
      <c r="G1200" s="236"/>
      <c r="H1200" s="41">
        <f>SUM(Tabla132112419[[#This Row],[PRIMER TRIMESTRE]:[CUARTO TRIMESTRE]])</f>
        <v>0</v>
      </c>
      <c r="I1200" s="17">
        <v>3250</v>
      </c>
      <c r="J1200" s="17">
        <f t="shared" si="31"/>
        <v>0</v>
      </c>
      <c r="K1200" s="17"/>
      <c r="L1200" s="16" t="s">
        <v>18</v>
      </c>
      <c r="M1200" s="16" t="s">
        <v>22</v>
      </c>
      <c r="N1200" s="39" t="s">
        <v>418</v>
      </c>
    </row>
    <row r="1201" spans="1:14" s="12" customFormat="1" ht="18">
      <c r="A1201" s="178" t="s">
        <v>120</v>
      </c>
      <c r="B1201" s="184" t="s">
        <v>502</v>
      </c>
      <c r="C1201" s="39" t="s">
        <v>417</v>
      </c>
      <c r="D1201" s="236"/>
      <c r="E1201" s="236"/>
      <c r="F1201" s="236"/>
      <c r="G1201" s="236"/>
      <c r="H1201" s="41">
        <f>SUM(Tabla132112419[[#This Row],[PRIMER TRIMESTRE]:[CUARTO TRIMESTRE]])</f>
        <v>0</v>
      </c>
      <c r="I1201" s="17">
        <v>450</v>
      </c>
      <c r="J1201" s="17">
        <f t="shared" si="31"/>
        <v>0</v>
      </c>
      <c r="K1201" s="17"/>
      <c r="L1201" s="16" t="s">
        <v>18</v>
      </c>
      <c r="M1201" s="16" t="s">
        <v>22</v>
      </c>
      <c r="N1201" s="39" t="s">
        <v>418</v>
      </c>
    </row>
    <row r="1202" spans="1:14" s="12" customFormat="1" ht="18">
      <c r="A1202" s="178" t="s">
        <v>120</v>
      </c>
      <c r="B1202" s="184" t="s">
        <v>503</v>
      </c>
      <c r="C1202" s="39" t="s">
        <v>417</v>
      </c>
      <c r="D1202" s="236"/>
      <c r="E1202" s="236"/>
      <c r="F1202" s="236"/>
      <c r="G1202" s="236"/>
      <c r="H1202" s="41">
        <f>SUM(Tabla132112419[[#This Row],[PRIMER TRIMESTRE]:[CUARTO TRIMESTRE]])</f>
        <v>0</v>
      </c>
      <c r="I1202" s="17">
        <v>450</v>
      </c>
      <c r="J1202" s="17">
        <f t="shared" si="31"/>
        <v>0</v>
      </c>
      <c r="K1202" s="17"/>
      <c r="L1202" s="16" t="s">
        <v>18</v>
      </c>
      <c r="M1202" s="16" t="s">
        <v>22</v>
      </c>
      <c r="N1202" s="39" t="s">
        <v>418</v>
      </c>
    </row>
    <row r="1203" spans="1:14" s="12" customFormat="1" ht="18">
      <c r="A1203" s="178" t="s">
        <v>120</v>
      </c>
      <c r="B1203" s="184" t="s">
        <v>504</v>
      </c>
      <c r="C1203" s="39" t="s">
        <v>417</v>
      </c>
      <c r="D1203" s="236"/>
      <c r="E1203" s="236"/>
      <c r="F1203" s="236"/>
      <c r="G1203" s="236"/>
      <c r="H1203" s="41">
        <f>SUM(Tabla132112419[[#This Row],[PRIMER TRIMESTRE]:[CUARTO TRIMESTRE]])</f>
        <v>0</v>
      </c>
      <c r="I1203" s="17">
        <v>450</v>
      </c>
      <c r="J1203" s="17">
        <f t="shared" si="31"/>
        <v>0</v>
      </c>
      <c r="K1203" s="17"/>
      <c r="L1203" s="16" t="s">
        <v>18</v>
      </c>
      <c r="M1203" s="16" t="s">
        <v>22</v>
      </c>
      <c r="N1203" s="39" t="s">
        <v>418</v>
      </c>
    </row>
    <row r="1204" spans="1:14" s="12" customFormat="1" ht="18">
      <c r="A1204" s="178" t="s">
        <v>120</v>
      </c>
      <c r="B1204" s="184" t="s">
        <v>505</v>
      </c>
      <c r="C1204" s="39" t="s">
        <v>417</v>
      </c>
      <c r="D1204" s="236"/>
      <c r="E1204" s="236"/>
      <c r="F1204" s="236"/>
      <c r="G1204" s="236"/>
      <c r="H1204" s="41">
        <f>SUM(Tabla132112419[[#This Row],[PRIMER TRIMESTRE]:[CUARTO TRIMESTRE]])</f>
        <v>0</v>
      </c>
      <c r="I1204" s="17">
        <v>450</v>
      </c>
      <c r="J1204" s="17">
        <f t="shared" si="31"/>
        <v>0</v>
      </c>
      <c r="K1204" s="17"/>
      <c r="L1204" s="16" t="s">
        <v>18</v>
      </c>
      <c r="M1204" s="16" t="s">
        <v>22</v>
      </c>
      <c r="N1204" s="39" t="s">
        <v>418</v>
      </c>
    </row>
    <row r="1205" spans="1:14" s="12" customFormat="1" ht="18">
      <c r="A1205" s="178" t="s">
        <v>120</v>
      </c>
      <c r="B1205" s="184" t="s">
        <v>506</v>
      </c>
      <c r="C1205" s="39" t="s">
        <v>417</v>
      </c>
      <c r="D1205" s="236"/>
      <c r="E1205" s="236"/>
      <c r="F1205" s="236"/>
      <c r="G1205" s="236"/>
      <c r="H1205" s="41">
        <f>SUM(Tabla132112419[[#This Row],[PRIMER TRIMESTRE]:[CUARTO TRIMESTRE]])</f>
        <v>0</v>
      </c>
      <c r="I1205" s="17">
        <v>5800</v>
      </c>
      <c r="J1205" s="17">
        <f t="shared" si="31"/>
        <v>0</v>
      </c>
      <c r="K1205" s="17"/>
      <c r="L1205" s="16" t="s">
        <v>18</v>
      </c>
      <c r="M1205" s="16" t="s">
        <v>22</v>
      </c>
      <c r="N1205" s="39" t="s">
        <v>418</v>
      </c>
    </row>
    <row r="1206" spans="1:14" s="12" customFormat="1" ht="18">
      <c r="A1206" s="178" t="s">
        <v>120</v>
      </c>
      <c r="B1206" s="184" t="s">
        <v>507</v>
      </c>
      <c r="C1206" s="39" t="s">
        <v>417</v>
      </c>
      <c r="D1206" s="236"/>
      <c r="E1206" s="236"/>
      <c r="F1206" s="236"/>
      <c r="G1206" s="236"/>
      <c r="H1206" s="41">
        <f>SUM(Tabla132112419[[#This Row],[PRIMER TRIMESTRE]:[CUARTO TRIMESTRE]])</f>
        <v>0</v>
      </c>
      <c r="I1206" s="17">
        <v>2800</v>
      </c>
      <c r="J1206" s="17">
        <f t="shared" si="31"/>
        <v>0</v>
      </c>
      <c r="K1206" s="17"/>
      <c r="L1206" s="16" t="s">
        <v>18</v>
      </c>
      <c r="M1206" s="16" t="s">
        <v>22</v>
      </c>
      <c r="N1206" s="39" t="s">
        <v>418</v>
      </c>
    </row>
    <row r="1207" spans="1:14" s="12" customFormat="1" ht="18">
      <c r="A1207" s="178" t="s">
        <v>120</v>
      </c>
      <c r="B1207" s="184" t="s">
        <v>508</v>
      </c>
      <c r="C1207" s="39" t="s">
        <v>417</v>
      </c>
      <c r="D1207" s="236"/>
      <c r="E1207" s="236"/>
      <c r="F1207" s="236"/>
      <c r="G1207" s="236"/>
      <c r="H1207" s="41">
        <f>SUM(Tabla132112419[[#This Row],[PRIMER TRIMESTRE]:[CUARTO TRIMESTRE]])</f>
        <v>0</v>
      </c>
      <c r="I1207" s="17">
        <v>5100</v>
      </c>
      <c r="J1207" s="17">
        <f t="shared" si="31"/>
        <v>0</v>
      </c>
      <c r="K1207" s="17"/>
      <c r="L1207" s="16" t="s">
        <v>18</v>
      </c>
      <c r="M1207" s="16" t="s">
        <v>22</v>
      </c>
      <c r="N1207" s="39" t="s">
        <v>418</v>
      </c>
    </row>
    <row r="1208" spans="1:14" s="12" customFormat="1" ht="18">
      <c r="A1208" s="178" t="s">
        <v>120</v>
      </c>
      <c r="B1208" s="184" t="s">
        <v>509</v>
      </c>
      <c r="C1208" s="39" t="s">
        <v>417</v>
      </c>
      <c r="D1208" s="236"/>
      <c r="E1208" s="236"/>
      <c r="F1208" s="236"/>
      <c r="G1208" s="236"/>
      <c r="H1208" s="41">
        <f>SUM(Tabla132112419[[#This Row],[PRIMER TRIMESTRE]:[CUARTO TRIMESTRE]])</f>
        <v>0</v>
      </c>
      <c r="I1208" s="17">
        <v>5100</v>
      </c>
      <c r="J1208" s="17">
        <f t="shared" si="31"/>
        <v>0</v>
      </c>
      <c r="K1208" s="17"/>
      <c r="L1208" s="16" t="s">
        <v>18</v>
      </c>
      <c r="M1208" s="16" t="s">
        <v>22</v>
      </c>
      <c r="N1208" s="39" t="s">
        <v>418</v>
      </c>
    </row>
    <row r="1209" spans="1:14" s="12" customFormat="1" ht="18">
      <c r="A1209" s="178" t="s">
        <v>120</v>
      </c>
      <c r="B1209" s="184" t="s">
        <v>510</v>
      </c>
      <c r="C1209" s="39" t="s">
        <v>417</v>
      </c>
      <c r="D1209" s="236"/>
      <c r="E1209" s="236"/>
      <c r="F1209" s="236"/>
      <c r="G1209" s="236"/>
      <c r="H1209" s="41">
        <f>SUM(Tabla132112419[[#This Row],[PRIMER TRIMESTRE]:[CUARTO TRIMESTRE]])</f>
        <v>0</v>
      </c>
      <c r="I1209" s="17">
        <v>5100</v>
      </c>
      <c r="J1209" s="17">
        <f t="shared" si="31"/>
        <v>0</v>
      </c>
      <c r="K1209" s="17"/>
      <c r="L1209" s="16" t="s">
        <v>18</v>
      </c>
      <c r="M1209" s="16" t="s">
        <v>22</v>
      </c>
      <c r="N1209" s="39" t="s">
        <v>418</v>
      </c>
    </row>
    <row r="1210" spans="1:14" s="12" customFormat="1" ht="18">
      <c r="A1210" s="178" t="s">
        <v>120</v>
      </c>
      <c r="B1210" s="184" t="s">
        <v>511</v>
      </c>
      <c r="C1210" s="39" t="s">
        <v>417</v>
      </c>
      <c r="D1210" s="236"/>
      <c r="E1210" s="236"/>
      <c r="F1210" s="236"/>
      <c r="G1210" s="236"/>
      <c r="H1210" s="41">
        <f>SUM(Tabla132112419[[#This Row],[PRIMER TRIMESTRE]:[CUARTO TRIMESTRE]])</f>
        <v>0</v>
      </c>
      <c r="I1210" s="17">
        <v>5100</v>
      </c>
      <c r="J1210" s="17">
        <f t="shared" si="31"/>
        <v>0</v>
      </c>
      <c r="K1210" s="17"/>
      <c r="L1210" s="16" t="s">
        <v>18</v>
      </c>
      <c r="M1210" s="16" t="s">
        <v>22</v>
      </c>
      <c r="N1210" s="39" t="s">
        <v>418</v>
      </c>
    </row>
    <row r="1211" spans="1:14" s="12" customFormat="1" ht="18">
      <c r="A1211" s="178" t="s">
        <v>120</v>
      </c>
      <c r="B1211" s="184" t="s">
        <v>512</v>
      </c>
      <c r="C1211" s="39" t="s">
        <v>417</v>
      </c>
      <c r="D1211" s="236"/>
      <c r="E1211" s="236"/>
      <c r="F1211" s="236"/>
      <c r="G1211" s="236"/>
      <c r="H1211" s="41">
        <f>SUM(Tabla132112419[[#This Row],[PRIMER TRIMESTRE]:[CUARTO TRIMESTRE]])</f>
        <v>0</v>
      </c>
      <c r="I1211" s="17">
        <v>2000</v>
      </c>
      <c r="J1211" s="17">
        <f t="shared" si="31"/>
        <v>0</v>
      </c>
      <c r="K1211" s="17"/>
      <c r="L1211" s="16" t="s">
        <v>18</v>
      </c>
      <c r="M1211" s="16" t="s">
        <v>22</v>
      </c>
      <c r="N1211" s="39" t="s">
        <v>418</v>
      </c>
    </row>
    <row r="1212" spans="1:14" s="12" customFormat="1" ht="18">
      <c r="A1212" s="178" t="s">
        <v>120</v>
      </c>
      <c r="B1212" s="184" t="s">
        <v>513</v>
      </c>
      <c r="C1212" s="39" t="s">
        <v>417</v>
      </c>
      <c r="D1212" s="236"/>
      <c r="E1212" s="236"/>
      <c r="F1212" s="236"/>
      <c r="G1212" s="236"/>
      <c r="H1212" s="41">
        <f>SUM(Tabla132112419[[#This Row],[PRIMER TRIMESTRE]:[CUARTO TRIMESTRE]])</f>
        <v>0</v>
      </c>
      <c r="I1212" s="17">
        <v>2500</v>
      </c>
      <c r="J1212" s="17">
        <f t="shared" si="31"/>
        <v>0</v>
      </c>
      <c r="K1212" s="17"/>
      <c r="L1212" s="16" t="s">
        <v>18</v>
      </c>
      <c r="M1212" s="16" t="s">
        <v>22</v>
      </c>
      <c r="N1212" s="39" t="s">
        <v>418</v>
      </c>
    </row>
    <row r="1213" spans="1:14" s="12" customFormat="1" ht="18">
      <c r="A1213" s="178" t="s">
        <v>120</v>
      </c>
      <c r="B1213" s="184" t="s">
        <v>514</v>
      </c>
      <c r="C1213" s="39" t="s">
        <v>417</v>
      </c>
      <c r="D1213" s="236"/>
      <c r="E1213" s="236"/>
      <c r="F1213" s="236"/>
      <c r="G1213" s="236"/>
      <c r="H1213" s="41">
        <f>SUM(Tabla132112419[[#This Row],[PRIMER TRIMESTRE]:[CUARTO TRIMESTRE]])</f>
        <v>0</v>
      </c>
      <c r="I1213" s="17">
        <v>2500</v>
      </c>
      <c r="J1213" s="17">
        <f t="shared" si="31"/>
        <v>0</v>
      </c>
      <c r="K1213" s="17"/>
      <c r="L1213" s="16" t="s">
        <v>18</v>
      </c>
      <c r="M1213" s="16" t="s">
        <v>22</v>
      </c>
      <c r="N1213" s="39" t="s">
        <v>418</v>
      </c>
    </row>
    <row r="1214" spans="1:14" s="12" customFormat="1" ht="18">
      <c r="A1214" s="178" t="s">
        <v>120</v>
      </c>
      <c r="B1214" s="184" t="s">
        <v>515</v>
      </c>
      <c r="C1214" s="39" t="s">
        <v>417</v>
      </c>
      <c r="D1214" s="236"/>
      <c r="E1214" s="236"/>
      <c r="F1214" s="236"/>
      <c r="G1214" s="236"/>
      <c r="H1214" s="41">
        <f>SUM(Tabla132112419[[#This Row],[PRIMER TRIMESTRE]:[CUARTO TRIMESTRE]])</f>
        <v>0</v>
      </c>
      <c r="I1214" s="17">
        <v>2500</v>
      </c>
      <c r="J1214" s="17">
        <f t="shared" si="31"/>
        <v>0</v>
      </c>
      <c r="K1214" s="17"/>
      <c r="L1214" s="16" t="s">
        <v>18</v>
      </c>
      <c r="M1214" s="16" t="s">
        <v>22</v>
      </c>
      <c r="N1214" s="39" t="s">
        <v>418</v>
      </c>
    </row>
    <row r="1215" spans="1:14" s="12" customFormat="1" ht="18">
      <c r="A1215" s="178" t="s">
        <v>120</v>
      </c>
      <c r="B1215" s="184" t="s">
        <v>516</v>
      </c>
      <c r="C1215" s="39" t="s">
        <v>417</v>
      </c>
      <c r="D1215" s="236"/>
      <c r="E1215" s="236"/>
      <c r="F1215" s="236"/>
      <c r="G1215" s="236"/>
      <c r="H1215" s="41">
        <f>SUM(Tabla132112419[[#This Row],[PRIMER TRIMESTRE]:[CUARTO TRIMESTRE]])</f>
        <v>0</v>
      </c>
      <c r="I1215" s="17">
        <v>2500</v>
      </c>
      <c r="J1215" s="17">
        <f t="shared" si="31"/>
        <v>0</v>
      </c>
      <c r="K1215" s="17"/>
      <c r="L1215" s="16" t="s">
        <v>18</v>
      </c>
      <c r="M1215" s="16" t="s">
        <v>22</v>
      </c>
      <c r="N1215" s="39" t="s">
        <v>418</v>
      </c>
    </row>
    <row r="1216" spans="1:14" s="12" customFormat="1" ht="18">
      <c r="A1216" s="178" t="s">
        <v>120</v>
      </c>
      <c r="B1216" s="184" t="s">
        <v>517</v>
      </c>
      <c r="C1216" s="39" t="s">
        <v>417</v>
      </c>
      <c r="D1216" s="236"/>
      <c r="E1216" s="236"/>
      <c r="F1216" s="236"/>
      <c r="G1216" s="236"/>
      <c r="H1216" s="41">
        <f>SUM(Tabla132112419[[#This Row],[PRIMER TRIMESTRE]:[CUARTO TRIMESTRE]])</f>
        <v>0</v>
      </c>
      <c r="I1216" s="17">
        <v>4100</v>
      </c>
      <c r="J1216" s="17">
        <f t="shared" si="31"/>
        <v>0</v>
      </c>
      <c r="K1216" s="17"/>
      <c r="L1216" s="16" t="s">
        <v>18</v>
      </c>
      <c r="M1216" s="16" t="s">
        <v>22</v>
      </c>
      <c r="N1216" s="39" t="s">
        <v>418</v>
      </c>
    </row>
    <row r="1217" spans="1:14" s="12" customFormat="1" ht="18">
      <c r="A1217" s="178" t="s">
        <v>120</v>
      </c>
      <c r="B1217" s="184" t="s">
        <v>518</v>
      </c>
      <c r="C1217" s="39" t="s">
        <v>417</v>
      </c>
      <c r="D1217" s="236"/>
      <c r="E1217" s="236"/>
      <c r="F1217" s="236"/>
      <c r="G1217" s="236"/>
      <c r="H1217" s="41">
        <f>SUM(Tabla132112419[[#This Row],[PRIMER TRIMESTRE]:[CUARTO TRIMESTRE]])</f>
        <v>0</v>
      </c>
      <c r="I1217" s="17">
        <v>3800</v>
      </c>
      <c r="J1217" s="17">
        <f t="shared" si="31"/>
        <v>0</v>
      </c>
      <c r="K1217" s="17"/>
      <c r="L1217" s="16" t="s">
        <v>18</v>
      </c>
      <c r="M1217" s="16" t="s">
        <v>22</v>
      </c>
      <c r="N1217" s="39" t="s">
        <v>418</v>
      </c>
    </row>
    <row r="1218" spans="1:14" s="12" customFormat="1" ht="18">
      <c r="A1218" s="178" t="s">
        <v>120</v>
      </c>
      <c r="B1218" s="184" t="s">
        <v>519</v>
      </c>
      <c r="C1218" s="39" t="s">
        <v>417</v>
      </c>
      <c r="D1218" s="236"/>
      <c r="E1218" s="236"/>
      <c r="F1218" s="236"/>
      <c r="G1218" s="236"/>
      <c r="H1218" s="41">
        <f>SUM(Tabla132112419[[#This Row],[PRIMER TRIMESTRE]:[CUARTO TRIMESTRE]])</f>
        <v>0</v>
      </c>
      <c r="I1218" s="17">
        <v>5400</v>
      </c>
      <c r="J1218" s="17">
        <f t="shared" si="31"/>
        <v>0</v>
      </c>
      <c r="K1218" s="17"/>
      <c r="L1218" s="16" t="s">
        <v>18</v>
      </c>
      <c r="M1218" s="16" t="s">
        <v>22</v>
      </c>
      <c r="N1218" s="39" t="s">
        <v>418</v>
      </c>
    </row>
    <row r="1219" spans="1:14" s="12" customFormat="1" ht="18">
      <c r="A1219" s="178" t="s">
        <v>120</v>
      </c>
      <c r="B1219" s="184" t="s">
        <v>520</v>
      </c>
      <c r="C1219" s="39" t="s">
        <v>417</v>
      </c>
      <c r="D1219" s="236"/>
      <c r="E1219" s="236"/>
      <c r="F1219" s="236"/>
      <c r="G1219" s="236"/>
      <c r="H1219" s="41">
        <f>SUM(Tabla132112419[[#This Row],[PRIMER TRIMESTRE]:[CUARTO TRIMESTRE]])</f>
        <v>0</v>
      </c>
      <c r="I1219" s="17">
        <v>5400</v>
      </c>
      <c r="J1219" s="17">
        <f t="shared" si="31"/>
        <v>0</v>
      </c>
      <c r="K1219" s="17"/>
      <c r="L1219" s="16" t="s">
        <v>18</v>
      </c>
      <c r="M1219" s="16" t="s">
        <v>22</v>
      </c>
      <c r="N1219" s="39" t="s">
        <v>418</v>
      </c>
    </row>
    <row r="1220" spans="1:14" s="12" customFormat="1" ht="18">
      <c r="A1220" s="178" t="s">
        <v>120</v>
      </c>
      <c r="B1220" s="184" t="s">
        <v>521</v>
      </c>
      <c r="C1220" s="39" t="s">
        <v>417</v>
      </c>
      <c r="D1220" s="236"/>
      <c r="E1220" s="236"/>
      <c r="F1220" s="236"/>
      <c r="G1220" s="236"/>
      <c r="H1220" s="41">
        <f>SUM(Tabla132112419[[#This Row],[PRIMER TRIMESTRE]:[CUARTO TRIMESTRE]])</f>
        <v>0</v>
      </c>
      <c r="I1220" s="17">
        <v>5400</v>
      </c>
      <c r="J1220" s="17">
        <f t="shared" si="31"/>
        <v>0</v>
      </c>
      <c r="K1220" s="17"/>
      <c r="L1220" s="16" t="s">
        <v>18</v>
      </c>
      <c r="M1220" s="16" t="s">
        <v>22</v>
      </c>
      <c r="N1220" s="39" t="s">
        <v>418</v>
      </c>
    </row>
    <row r="1221" spans="1:14" s="12" customFormat="1" ht="18">
      <c r="A1221" s="178" t="s">
        <v>120</v>
      </c>
      <c r="B1221" s="184" t="s">
        <v>522</v>
      </c>
      <c r="C1221" s="39" t="s">
        <v>417</v>
      </c>
      <c r="D1221" s="236"/>
      <c r="E1221" s="236"/>
      <c r="F1221" s="236"/>
      <c r="G1221" s="236"/>
      <c r="H1221" s="41">
        <f>SUM(Tabla132112419[[#This Row],[PRIMER TRIMESTRE]:[CUARTO TRIMESTRE]])</f>
        <v>0</v>
      </c>
      <c r="I1221" s="17">
        <v>3100</v>
      </c>
      <c r="J1221" s="17">
        <f t="shared" si="31"/>
        <v>0</v>
      </c>
      <c r="K1221" s="17"/>
      <c r="L1221" s="16" t="s">
        <v>18</v>
      </c>
      <c r="M1221" s="16" t="s">
        <v>22</v>
      </c>
      <c r="N1221" s="39" t="s">
        <v>418</v>
      </c>
    </row>
    <row r="1222" spans="1:14" s="12" customFormat="1" ht="18">
      <c r="A1222" s="178" t="s">
        <v>120</v>
      </c>
      <c r="B1222" s="184" t="s">
        <v>523</v>
      </c>
      <c r="C1222" s="39" t="s">
        <v>417</v>
      </c>
      <c r="D1222" s="236"/>
      <c r="E1222" s="236"/>
      <c r="F1222" s="236"/>
      <c r="G1222" s="236"/>
      <c r="H1222" s="41">
        <f>SUM(Tabla132112419[[#This Row],[PRIMER TRIMESTRE]:[CUARTO TRIMESTRE]])</f>
        <v>0</v>
      </c>
      <c r="I1222" s="17">
        <v>5100</v>
      </c>
      <c r="J1222" s="17">
        <f t="shared" si="31"/>
        <v>0</v>
      </c>
      <c r="K1222" s="17"/>
      <c r="L1222" s="16" t="s">
        <v>18</v>
      </c>
      <c r="M1222" s="16" t="s">
        <v>22</v>
      </c>
      <c r="N1222" s="39" t="s">
        <v>418</v>
      </c>
    </row>
    <row r="1223" spans="1:14" s="12" customFormat="1" ht="18">
      <c r="A1223" s="178" t="s">
        <v>120</v>
      </c>
      <c r="B1223" s="184" t="s">
        <v>524</v>
      </c>
      <c r="C1223" s="39" t="s">
        <v>417</v>
      </c>
      <c r="D1223" s="236"/>
      <c r="E1223" s="236"/>
      <c r="F1223" s="236"/>
      <c r="G1223" s="236"/>
      <c r="H1223" s="41">
        <f>SUM(Tabla132112419[[#This Row],[PRIMER TRIMESTRE]:[CUARTO TRIMESTRE]])</f>
        <v>0</v>
      </c>
      <c r="I1223" s="17">
        <v>3000</v>
      </c>
      <c r="J1223" s="17">
        <f t="shared" si="31"/>
        <v>0</v>
      </c>
      <c r="K1223" s="17"/>
      <c r="L1223" s="16" t="s">
        <v>18</v>
      </c>
      <c r="M1223" s="16" t="s">
        <v>22</v>
      </c>
      <c r="N1223" s="39" t="s">
        <v>418</v>
      </c>
    </row>
    <row r="1224" spans="1:14" s="12" customFormat="1" ht="18">
      <c r="A1224" s="178" t="s">
        <v>120</v>
      </c>
      <c r="B1224" s="184" t="s">
        <v>525</v>
      </c>
      <c r="C1224" s="39" t="s">
        <v>417</v>
      </c>
      <c r="D1224" s="236"/>
      <c r="E1224" s="236"/>
      <c r="F1224" s="236"/>
      <c r="G1224" s="236"/>
      <c r="H1224" s="41">
        <f>SUM(Tabla132112419[[#This Row],[PRIMER TRIMESTRE]:[CUARTO TRIMESTRE]])</f>
        <v>0</v>
      </c>
      <c r="I1224" s="17">
        <v>3800</v>
      </c>
      <c r="J1224" s="17">
        <f t="shared" si="31"/>
        <v>0</v>
      </c>
      <c r="K1224" s="17"/>
      <c r="L1224" s="16" t="s">
        <v>18</v>
      </c>
      <c r="M1224" s="16" t="s">
        <v>22</v>
      </c>
      <c r="N1224" s="39" t="s">
        <v>418</v>
      </c>
    </row>
    <row r="1225" spans="1:14" s="12" customFormat="1" ht="18">
      <c r="A1225" s="178" t="s">
        <v>120</v>
      </c>
      <c r="B1225" s="184" t="s">
        <v>526</v>
      </c>
      <c r="C1225" s="39" t="s">
        <v>417</v>
      </c>
      <c r="D1225" s="236"/>
      <c r="E1225" s="236"/>
      <c r="F1225" s="236"/>
      <c r="G1225" s="236"/>
      <c r="H1225" s="41">
        <f>SUM(Tabla132112419[[#This Row],[PRIMER TRIMESTRE]:[CUARTO TRIMESTRE]])</f>
        <v>0</v>
      </c>
      <c r="I1225" s="17">
        <v>3800</v>
      </c>
      <c r="J1225" s="17">
        <f t="shared" si="31"/>
        <v>0</v>
      </c>
      <c r="K1225" s="17"/>
      <c r="L1225" s="16" t="s">
        <v>18</v>
      </c>
      <c r="M1225" s="16" t="s">
        <v>22</v>
      </c>
      <c r="N1225" s="39" t="s">
        <v>418</v>
      </c>
    </row>
    <row r="1226" spans="1:14" s="12" customFormat="1" ht="18">
      <c r="A1226" s="178" t="s">
        <v>120</v>
      </c>
      <c r="B1226" s="184" t="s">
        <v>527</v>
      </c>
      <c r="C1226" s="39" t="s">
        <v>417</v>
      </c>
      <c r="D1226" s="236"/>
      <c r="E1226" s="236"/>
      <c r="F1226" s="236"/>
      <c r="G1226" s="236"/>
      <c r="H1226" s="41">
        <f>SUM(Tabla132112419[[#This Row],[PRIMER TRIMESTRE]:[CUARTO TRIMESTRE]])</f>
        <v>0</v>
      </c>
      <c r="I1226" s="17">
        <v>3800</v>
      </c>
      <c r="J1226" s="17">
        <f t="shared" si="31"/>
        <v>0</v>
      </c>
      <c r="K1226" s="17"/>
      <c r="L1226" s="16" t="s">
        <v>18</v>
      </c>
      <c r="M1226" s="16" t="s">
        <v>22</v>
      </c>
      <c r="N1226" s="39" t="s">
        <v>418</v>
      </c>
    </row>
    <row r="1227" spans="1:14" s="12" customFormat="1" ht="18">
      <c r="A1227" s="178" t="s">
        <v>120</v>
      </c>
      <c r="B1227" s="184" t="s">
        <v>528</v>
      </c>
      <c r="C1227" s="39" t="s">
        <v>417</v>
      </c>
      <c r="D1227" s="236"/>
      <c r="E1227" s="236"/>
      <c r="F1227" s="236"/>
      <c r="G1227" s="236"/>
      <c r="H1227" s="41">
        <f>SUM(Tabla132112419[[#This Row],[PRIMER TRIMESTRE]:[CUARTO TRIMESTRE]])</f>
        <v>0</v>
      </c>
      <c r="I1227" s="17">
        <v>6400</v>
      </c>
      <c r="J1227" s="17">
        <f t="shared" si="31"/>
        <v>0</v>
      </c>
      <c r="K1227" s="17"/>
      <c r="L1227" s="16" t="s">
        <v>18</v>
      </c>
      <c r="M1227" s="16" t="s">
        <v>22</v>
      </c>
      <c r="N1227" s="39" t="s">
        <v>418</v>
      </c>
    </row>
    <row r="1228" spans="1:14" s="12" customFormat="1" ht="18">
      <c r="A1228" s="178" t="s">
        <v>120</v>
      </c>
      <c r="B1228" s="185" t="s">
        <v>529</v>
      </c>
      <c r="C1228" s="39" t="s">
        <v>417</v>
      </c>
      <c r="D1228" s="236"/>
      <c r="E1228" s="210"/>
      <c r="F1228" s="210"/>
      <c r="G1228" s="210"/>
      <c r="H1228" s="71">
        <f>SUM(Tabla132112419[[#This Row],[PRIMER TRIMESTRE]:[CUARTO TRIMESTRE]])</f>
        <v>0</v>
      </c>
      <c r="I1228" s="17">
        <f>9750*1.18</f>
        <v>11505</v>
      </c>
      <c r="J1228" s="17">
        <f t="shared" si="31"/>
        <v>0</v>
      </c>
      <c r="K1228" s="17"/>
      <c r="L1228" s="16" t="s">
        <v>18</v>
      </c>
      <c r="M1228" s="16" t="s">
        <v>22</v>
      </c>
      <c r="N1228" s="39" t="s">
        <v>418</v>
      </c>
    </row>
    <row r="1229" spans="1:14" s="12" customFormat="1" ht="18">
      <c r="A1229" s="178" t="s">
        <v>120</v>
      </c>
      <c r="B1229" s="185" t="s">
        <v>530</v>
      </c>
      <c r="C1229" s="39" t="s">
        <v>417</v>
      </c>
      <c r="D1229" s="236"/>
      <c r="E1229" s="210"/>
      <c r="F1229" s="210"/>
      <c r="G1229" s="210"/>
      <c r="H1229" s="41">
        <f>SUM(Tabla132112419[[#This Row],[PRIMER TRIMESTRE]:[CUARTO TRIMESTRE]])</f>
        <v>0</v>
      </c>
      <c r="I1229" s="17">
        <v>11505</v>
      </c>
      <c r="J1229" s="17">
        <f t="shared" si="31"/>
        <v>0</v>
      </c>
      <c r="K1229" s="17"/>
      <c r="L1229" s="16" t="s">
        <v>18</v>
      </c>
      <c r="M1229" s="16" t="s">
        <v>22</v>
      </c>
      <c r="N1229" s="39" t="s">
        <v>418</v>
      </c>
    </row>
    <row r="1230" spans="1:14" s="12" customFormat="1" ht="18">
      <c r="A1230" s="178" t="s">
        <v>120</v>
      </c>
      <c r="B1230" s="185" t="s">
        <v>531</v>
      </c>
      <c r="C1230" s="39" t="s">
        <v>417</v>
      </c>
      <c r="D1230" s="236"/>
      <c r="E1230" s="210"/>
      <c r="F1230" s="210"/>
      <c r="G1230" s="210"/>
      <c r="H1230" s="41">
        <f>SUM(Tabla132112419[[#This Row],[PRIMER TRIMESTRE]:[CUARTO TRIMESTRE]])</f>
        <v>0</v>
      </c>
      <c r="I1230" s="17">
        <v>11505</v>
      </c>
      <c r="J1230" s="17">
        <f t="shared" ref="J1230:J1243" si="32">+H1230*I1230</f>
        <v>0</v>
      </c>
      <c r="K1230" s="17"/>
      <c r="L1230" s="16" t="s">
        <v>18</v>
      </c>
      <c r="M1230" s="16" t="s">
        <v>22</v>
      </c>
      <c r="N1230" s="39" t="s">
        <v>418</v>
      </c>
    </row>
    <row r="1231" spans="1:14" s="12" customFormat="1" ht="18">
      <c r="A1231" s="178" t="s">
        <v>120</v>
      </c>
      <c r="B1231" s="185" t="s">
        <v>532</v>
      </c>
      <c r="C1231" s="39" t="s">
        <v>417</v>
      </c>
      <c r="D1231" s="236"/>
      <c r="E1231" s="210"/>
      <c r="F1231" s="210"/>
      <c r="G1231" s="210"/>
      <c r="H1231" s="41">
        <f>SUM(Tabla132112419[[#This Row],[PRIMER TRIMESTRE]:[CUARTO TRIMESTRE]])</f>
        <v>0</v>
      </c>
      <c r="I1231" s="17">
        <v>11505</v>
      </c>
      <c r="J1231" s="17">
        <f t="shared" si="32"/>
        <v>0</v>
      </c>
      <c r="K1231" s="17"/>
      <c r="L1231" s="16" t="s">
        <v>18</v>
      </c>
      <c r="M1231" s="16" t="s">
        <v>22</v>
      </c>
      <c r="N1231" s="39" t="s">
        <v>418</v>
      </c>
    </row>
    <row r="1232" spans="1:14" s="12" customFormat="1" ht="18">
      <c r="A1232" s="178" t="s">
        <v>120</v>
      </c>
      <c r="B1232" s="80" t="s">
        <v>790</v>
      </c>
      <c r="C1232" s="39" t="s">
        <v>417</v>
      </c>
      <c r="D1232" s="236"/>
      <c r="E1232" s="210"/>
      <c r="F1232" s="210"/>
      <c r="G1232" s="210"/>
      <c r="H1232" s="41">
        <f>SUM(Tabla132112419[[#This Row],[PRIMER TRIMESTRE]:[CUARTO TRIMESTRE]])</f>
        <v>0</v>
      </c>
      <c r="I1232" s="72">
        <v>3760.11</v>
      </c>
      <c r="J1232" s="17">
        <f t="shared" si="32"/>
        <v>0</v>
      </c>
      <c r="K1232" s="17"/>
      <c r="L1232" s="16" t="s">
        <v>18</v>
      </c>
      <c r="M1232" s="16" t="s">
        <v>22</v>
      </c>
      <c r="N1232" s="39" t="s">
        <v>418</v>
      </c>
    </row>
    <row r="1233" spans="1:14" s="12" customFormat="1" ht="30.75" customHeight="1">
      <c r="A1233" s="178" t="s">
        <v>120</v>
      </c>
      <c r="B1233" s="80" t="s">
        <v>791</v>
      </c>
      <c r="C1233" s="39" t="s">
        <v>417</v>
      </c>
      <c r="D1233" s="236"/>
      <c r="E1233" s="210"/>
      <c r="F1233" s="210"/>
      <c r="G1233" s="210"/>
      <c r="H1233" s="41">
        <f>SUM(Tabla132112419[[#This Row],[PRIMER TRIMESTRE]:[CUARTO TRIMESTRE]])</f>
        <v>0</v>
      </c>
      <c r="I1233" s="72">
        <v>3914.09</v>
      </c>
      <c r="J1233" s="17">
        <f t="shared" si="32"/>
        <v>0</v>
      </c>
      <c r="K1233" s="17"/>
      <c r="L1233" s="16" t="s">
        <v>18</v>
      </c>
      <c r="M1233" s="16" t="s">
        <v>22</v>
      </c>
      <c r="N1233" s="39" t="s">
        <v>418</v>
      </c>
    </row>
    <row r="1234" spans="1:14" s="12" customFormat="1" ht="30.75" customHeight="1">
      <c r="A1234" s="178" t="s">
        <v>120</v>
      </c>
      <c r="B1234" s="80" t="s">
        <v>792</v>
      </c>
      <c r="C1234" s="39" t="s">
        <v>417</v>
      </c>
      <c r="D1234" s="236"/>
      <c r="E1234" s="210"/>
      <c r="F1234" s="210"/>
      <c r="G1234" s="210"/>
      <c r="H1234" s="41">
        <f>SUM(Tabla132112419[[#This Row],[PRIMER TRIMESTRE]:[CUARTO TRIMESTRE]])</f>
        <v>0</v>
      </c>
      <c r="I1234" s="72">
        <v>4257.1899999999996</v>
      </c>
      <c r="J1234" s="17">
        <f t="shared" si="32"/>
        <v>0</v>
      </c>
      <c r="K1234" s="17"/>
      <c r="L1234" s="16" t="s">
        <v>18</v>
      </c>
      <c r="M1234" s="16" t="s">
        <v>22</v>
      </c>
      <c r="N1234" s="39" t="s">
        <v>418</v>
      </c>
    </row>
    <row r="1235" spans="1:14" s="12" customFormat="1" ht="30.75" customHeight="1">
      <c r="A1235" s="178" t="s">
        <v>120</v>
      </c>
      <c r="B1235" s="80" t="s">
        <v>793</v>
      </c>
      <c r="C1235" s="39" t="s">
        <v>417</v>
      </c>
      <c r="D1235" s="236"/>
      <c r="E1235" s="210"/>
      <c r="F1235" s="210"/>
      <c r="G1235" s="210"/>
      <c r="H1235" s="41">
        <f>SUM(Tabla132112419[[#This Row],[PRIMER TRIMESTRE]:[CUARTO TRIMESTRE]])</f>
        <v>0</v>
      </c>
      <c r="I1235" s="72">
        <v>4257.1899999999996</v>
      </c>
      <c r="J1235" s="17">
        <f t="shared" si="32"/>
        <v>0</v>
      </c>
      <c r="K1235" s="17"/>
      <c r="L1235" s="16" t="s">
        <v>18</v>
      </c>
      <c r="M1235" s="16" t="s">
        <v>22</v>
      </c>
      <c r="N1235" s="39" t="s">
        <v>418</v>
      </c>
    </row>
    <row r="1236" spans="1:14" s="12" customFormat="1" ht="30.75" customHeight="1">
      <c r="A1236" s="178" t="s">
        <v>120</v>
      </c>
      <c r="B1236" s="80" t="s">
        <v>794</v>
      </c>
      <c r="C1236" s="39" t="s">
        <v>417</v>
      </c>
      <c r="D1236" s="236"/>
      <c r="E1236" s="210"/>
      <c r="F1236" s="210"/>
      <c r="G1236" s="210"/>
      <c r="H1236" s="41">
        <f>SUM(Tabla132112419[[#This Row],[PRIMER TRIMESTRE]:[CUARTO TRIMESTRE]])</f>
        <v>0</v>
      </c>
      <c r="I1236" s="72">
        <v>4257.8999999999996</v>
      </c>
      <c r="J1236" s="17">
        <f t="shared" si="32"/>
        <v>0</v>
      </c>
      <c r="K1236" s="17"/>
      <c r="L1236" s="16" t="s">
        <v>18</v>
      </c>
      <c r="M1236" s="16" t="s">
        <v>22</v>
      </c>
      <c r="N1236" s="39" t="s">
        <v>418</v>
      </c>
    </row>
    <row r="1237" spans="1:14" s="12" customFormat="1" ht="30.75" customHeight="1">
      <c r="A1237" s="178" t="s">
        <v>120</v>
      </c>
      <c r="B1237" s="80" t="s">
        <v>795</v>
      </c>
      <c r="C1237" s="39" t="s">
        <v>417</v>
      </c>
      <c r="D1237" s="236"/>
      <c r="E1237" s="210"/>
      <c r="F1237" s="210"/>
      <c r="G1237" s="210"/>
      <c r="H1237" s="41">
        <f>SUM(Tabla132112419[[#This Row],[PRIMER TRIMESTRE]:[CUARTO TRIMESTRE]])</f>
        <v>0</v>
      </c>
      <c r="I1237" s="72">
        <v>4238.76</v>
      </c>
      <c r="J1237" s="17">
        <f t="shared" si="32"/>
        <v>0</v>
      </c>
      <c r="K1237" s="17"/>
      <c r="L1237" s="16" t="s">
        <v>18</v>
      </c>
      <c r="M1237" s="16" t="s">
        <v>22</v>
      </c>
      <c r="N1237" s="39" t="s">
        <v>418</v>
      </c>
    </row>
    <row r="1238" spans="1:14" s="12" customFormat="1" ht="30.75" customHeight="1">
      <c r="A1238" s="178" t="s">
        <v>120</v>
      </c>
      <c r="B1238" s="80" t="s">
        <v>796</v>
      </c>
      <c r="C1238" s="39" t="s">
        <v>417</v>
      </c>
      <c r="D1238" s="236"/>
      <c r="E1238" s="210"/>
      <c r="F1238" s="210"/>
      <c r="G1238" s="210"/>
      <c r="H1238" s="41">
        <f>SUM(Tabla132112419[[#This Row],[PRIMER TRIMESTRE]:[CUARTO TRIMESTRE]])</f>
        <v>0</v>
      </c>
      <c r="I1238" s="72">
        <v>3199.82</v>
      </c>
      <c r="J1238" s="17">
        <f t="shared" si="32"/>
        <v>0</v>
      </c>
      <c r="K1238" s="17"/>
      <c r="L1238" s="16" t="s">
        <v>18</v>
      </c>
      <c r="M1238" s="16" t="s">
        <v>22</v>
      </c>
      <c r="N1238" s="39" t="s">
        <v>418</v>
      </c>
    </row>
    <row r="1239" spans="1:14" s="12" customFormat="1" ht="30.75" customHeight="1">
      <c r="A1239" s="178" t="s">
        <v>120</v>
      </c>
      <c r="B1239" s="80" t="s">
        <v>797</v>
      </c>
      <c r="C1239" s="39" t="s">
        <v>417</v>
      </c>
      <c r="D1239" s="236"/>
      <c r="E1239" s="210"/>
      <c r="F1239" s="210"/>
      <c r="G1239" s="210"/>
      <c r="H1239" s="41">
        <f>SUM(Tabla132112419[[#This Row],[PRIMER TRIMESTRE]:[CUARTO TRIMESTRE]])</f>
        <v>0</v>
      </c>
      <c r="I1239" s="72">
        <v>3679.8</v>
      </c>
      <c r="J1239" s="17">
        <f t="shared" si="32"/>
        <v>0</v>
      </c>
      <c r="K1239" s="17"/>
      <c r="L1239" s="16" t="s">
        <v>18</v>
      </c>
      <c r="M1239" s="16" t="s">
        <v>22</v>
      </c>
      <c r="N1239" s="39" t="s">
        <v>418</v>
      </c>
    </row>
    <row r="1240" spans="1:14" s="12" customFormat="1" ht="30.75" customHeight="1">
      <c r="A1240" s="178" t="s">
        <v>120</v>
      </c>
      <c r="B1240" s="80" t="s">
        <v>798</v>
      </c>
      <c r="C1240" s="39" t="s">
        <v>417</v>
      </c>
      <c r="D1240" s="236"/>
      <c r="E1240" s="210"/>
      <c r="F1240" s="210"/>
      <c r="G1240" s="210"/>
      <c r="H1240" s="41">
        <f>SUM(Tabla132112419[[#This Row],[PRIMER TRIMESTRE]:[CUARTO TRIMESTRE]])</f>
        <v>0</v>
      </c>
      <c r="I1240" s="72">
        <v>3304</v>
      </c>
      <c r="J1240" s="17">
        <f t="shared" si="32"/>
        <v>0</v>
      </c>
      <c r="K1240" s="17"/>
      <c r="L1240" s="16" t="s">
        <v>18</v>
      </c>
      <c r="M1240" s="16" t="s">
        <v>22</v>
      </c>
      <c r="N1240" s="39" t="s">
        <v>418</v>
      </c>
    </row>
    <row r="1241" spans="1:14" s="12" customFormat="1" ht="30.75" customHeight="1">
      <c r="A1241" s="178" t="s">
        <v>120</v>
      </c>
      <c r="B1241" s="80" t="s">
        <v>1409</v>
      </c>
      <c r="C1241" s="39" t="s">
        <v>417</v>
      </c>
      <c r="D1241" s="236"/>
      <c r="E1241" s="210"/>
      <c r="F1241" s="210"/>
      <c r="G1241" s="210"/>
      <c r="H1241" s="41">
        <f>SUM(Tabla132112419[[#This Row],[PRIMER TRIMESTRE]:[CUARTO TRIMESTRE]])</f>
        <v>0</v>
      </c>
      <c r="I1241" s="72">
        <v>5700</v>
      </c>
      <c r="J1241" s="17">
        <f t="shared" si="32"/>
        <v>0</v>
      </c>
      <c r="K1241" s="17"/>
      <c r="L1241" s="16" t="s">
        <v>18</v>
      </c>
      <c r="M1241" s="16" t="s">
        <v>22</v>
      </c>
      <c r="N1241" s="39" t="s">
        <v>418</v>
      </c>
    </row>
    <row r="1242" spans="1:14" s="26" customFormat="1" ht="30.75" customHeight="1">
      <c r="A1242" s="178" t="s">
        <v>120</v>
      </c>
      <c r="B1242" s="80" t="s">
        <v>1410</v>
      </c>
      <c r="C1242" s="39" t="s">
        <v>417</v>
      </c>
      <c r="D1242" s="236"/>
      <c r="E1242" s="210"/>
      <c r="F1242" s="210"/>
      <c r="G1242" s="210"/>
      <c r="H1242" s="41">
        <f>SUM(Tabla132112419[[#This Row],[PRIMER TRIMESTRE]:[CUARTO TRIMESTRE]])</f>
        <v>0</v>
      </c>
      <c r="I1242" s="72">
        <v>8500</v>
      </c>
      <c r="J1242" s="17">
        <f t="shared" si="32"/>
        <v>0</v>
      </c>
      <c r="K1242" s="17"/>
      <c r="L1242" s="16" t="s">
        <v>18</v>
      </c>
      <c r="M1242" s="16" t="s">
        <v>22</v>
      </c>
      <c r="N1242" s="39" t="s">
        <v>418</v>
      </c>
    </row>
    <row r="1243" spans="1:14" s="12" customFormat="1" ht="30.75" customHeight="1">
      <c r="A1243" s="178" t="s">
        <v>120</v>
      </c>
      <c r="B1243" s="80" t="s">
        <v>1421</v>
      </c>
      <c r="C1243" s="39" t="s">
        <v>417</v>
      </c>
      <c r="D1243" s="236"/>
      <c r="E1243" s="210"/>
      <c r="F1243" s="210"/>
      <c r="G1243" s="210"/>
      <c r="H1243" s="41">
        <f>SUM(Tabla132112419[[#This Row],[PRIMER TRIMESTRE]:[CUARTO TRIMESTRE]])</f>
        <v>0</v>
      </c>
      <c r="I1243" s="72">
        <v>3500</v>
      </c>
      <c r="J1243" s="17">
        <f t="shared" si="32"/>
        <v>0</v>
      </c>
      <c r="K1243" s="17"/>
      <c r="L1243" s="16" t="s">
        <v>18</v>
      </c>
      <c r="M1243" s="16" t="s">
        <v>22</v>
      </c>
      <c r="N1243" s="39" t="s">
        <v>418</v>
      </c>
    </row>
    <row r="1244" spans="1:14" s="12" customFormat="1" ht="30.75" customHeight="1">
      <c r="A1244" s="179" t="s">
        <v>120</v>
      </c>
      <c r="B1244" s="76"/>
      <c r="C1244" s="42"/>
      <c r="D1244" s="237"/>
      <c r="E1244" s="237"/>
      <c r="F1244" s="237"/>
      <c r="G1244" s="237"/>
      <c r="H1244" s="237"/>
      <c r="I1244" s="24"/>
      <c r="J1244" s="24"/>
      <c r="K1244" s="25">
        <f>SUM(J1105:J1243)</f>
        <v>91777.869304556327</v>
      </c>
      <c r="L1244" s="23"/>
      <c r="M1244" s="23"/>
      <c r="N1244" s="42"/>
    </row>
    <row r="1245" spans="1:14" s="12" customFormat="1" ht="30.75" customHeight="1">
      <c r="A1245" s="178" t="s">
        <v>121</v>
      </c>
      <c r="B1245" s="75" t="s">
        <v>273</v>
      </c>
      <c r="C1245" s="39" t="s">
        <v>17</v>
      </c>
      <c r="D1245" s="236"/>
      <c r="E1245" s="210"/>
      <c r="F1245" s="210"/>
      <c r="G1245" s="210"/>
      <c r="H1245" s="40">
        <f>SUM(Tabla132112419[[#This Row],[PRIMER TRIMESTRE]:[CUARTO TRIMESTRE]])</f>
        <v>0</v>
      </c>
      <c r="I1245" s="17">
        <v>5684</v>
      </c>
      <c r="J1245" s="17">
        <f>+Tabla132112419[[#This Row],[CANTIDAD TOTAL]]*Tabla132112419[[#This Row],[PRECIO UNITARIO ESTIMADO]]</f>
        <v>0</v>
      </c>
      <c r="K1245" s="17"/>
      <c r="L1245" s="16" t="s">
        <v>18</v>
      </c>
      <c r="M1245" s="16" t="s">
        <v>22</v>
      </c>
      <c r="N1245" s="39" t="s">
        <v>418</v>
      </c>
    </row>
    <row r="1246" spans="1:14" s="12" customFormat="1" ht="30.75" customHeight="1">
      <c r="A1246" s="178" t="s">
        <v>121</v>
      </c>
      <c r="B1246" s="75" t="s">
        <v>1757</v>
      </c>
      <c r="C1246" s="39" t="s">
        <v>17</v>
      </c>
      <c r="D1246" s="236"/>
      <c r="E1246" s="210"/>
      <c r="F1246" s="210"/>
      <c r="G1246" s="210"/>
      <c r="H1246" s="40">
        <f>Tabla132112419[[#This Row],[CUARTO TRIMESTRE]]+Tabla132112419[[#This Row],[TERCER TRIMESTRE]]+Tabla132112419[[#This Row],[SEGUNDO TRIMESTRE]]+Tabla132112419[[#This Row],[PRIMER TRIMESTRE]]</f>
        <v>0</v>
      </c>
      <c r="I1246" s="17">
        <v>0</v>
      </c>
      <c r="J1246" s="17">
        <v>0</v>
      </c>
      <c r="K1246" s="17"/>
      <c r="L1246" s="16"/>
      <c r="M1246" s="16"/>
      <c r="N1246" s="39"/>
    </row>
    <row r="1247" spans="1:14" s="12" customFormat="1" ht="30.75" customHeight="1">
      <c r="A1247" s="178" t="s">
        <v>121</v>
      </c>
      <c r="B1247" s="75" t="s">
        <v>1282</v>
      </c>
      <c r="C1247" s="39" t="s">
        <v>17</v>
      </c>
      <c r="D1247" s="236"/>
      <c r="E1247" s="210"/>
      <c r="F1247" s="210"/>
      <c r="G1247" s="210"/>
      <c r="H1247" s="406">
        <f>SUM(Tabla132112419[[#This Row],[PRIMER TRIMESTRE]:[CUARTO TRIMESTRE]])</f>
        <v>0</v>
      </c>
      <c r="I1247" s="17">
        <v>25000</v>
      </c>
      <c r="J1247" s="17">
        <f>+H1247*I1247</f>
        <v>0</v>
      </c>
      <c r="K1247" s="17"/>
      <c r="L1247" s="16" t="s">
        <v>18</v>
      </c>
      <c r="M1247" s="16" t="s">
        <v>22</v>
      </c>
      <c r="N1247" s="39" t="s">
        <v>418</v>
      </c>
    </row>
    <row r="1248" spans="1:14" s="26" customFormat="1" ht="30.75" customHeight="1">
      <c r="A1248" s="178" t="s">
        <v>121</v>
      </c>
      <c r="B1248" s="75" t="s">
        <v>1283</v>
      </c>
      <c r="C1248" s="39" t="s">
        <v>17</v>
      </c>
      <c r="D1248" s="236"/>
      <c r="E1248" s="210"/>
      <c r="F1248" s="210"/>
      <c r="G1248" s="210"/>
      <c r="H1248" s="406">
        <f>SUM(Tabla132112419[[#This Row],[PRIMER TRIMESTRE]:[CUARTO TRIMESTRE]])</f>
        <v>0</v>
      </c>
      <c r="I1248" s="17">
        <f>16685940/4</f>
        <v>4171485</v>
      </c>
      <c r="J1248" s="17">
        <f>+H1248*I1248</f>
        <v>0</v>
      </c>
      <c r="K1248" s="17"/>
      <c r="L1248" s="16" t="s">
        <v>18</v>
      </c>
      <c r="M1248" s="16" t="s">
        <v>22</v>
      </c>
      <c r="N1248" s="39" t="s">
        <v>418</v>
      </c>
    </row>
    <row r="1249" spans="1:14" s="12" customFormat="1" ht="30.75" customHeight="1">
      <c r="A1249" s="178" t="s">
        <v>121</v>
      </c>
      <c r="B1249" s="75" t="s">
        <v>1284</v>
      </c>
      <c r="C1249" s="39" t="s">
        <v>17</v>
      </c>
      <c r="D1249" s="236"/>
      <c r="E1249" s="210"/>
      <c r="F1249" s="210"/>
      <c r="G1249" s="210"/>
      <c r="H1249" s="406">
        <f>SUM(Tabla132112419[[#This Row],[PRIMER TRIMESTRE]:[CUARTO TRIMESTRE]])</f>
        <v>0</v>
      </c>
      <c r="I1249" s="17">
        <v>3500</v>
      </c>
      <c r="J1249" s="17">
        <f>+H1249*I1249</f>
        <v>0</v>
      </c>
      <c r="K1249" s="17"/>
      <c r="L1249" s="16" t="s">
        <v>18</v>
      </c>
      <c r="M1249" s="16" t="s">
        <v>22</v>
      </c>
      <c r="N1249" s="39" t="s">
        <v>418</v>
      </c>
    </row>
    <row r="1250" spans="1:14" s="12" customFormat="1" ht="30.75" customHeight="1">
      <c r="A1250" s="179" t="s">
        <v>121</v>
      </c>
      <c r="B1250" s="76"/>
      <c r="C1250" s="42"/>
      <c r="D1250" s="237"/>
      <c r="E1250" s="237"/>
      <c r="F1250" s="237"/>
      <c r="G1250" s="237"/>
      <c r="H1250" s="43"/>
      <c r="I1250" s="24"/>
      <c r="J1250" s="24"/>
      <c r="K1250" s="25">
        <f>SUM(J1245:J1249)</f>
        <v>0</v>
      </c>
      <c r="L1250" s="23"/>
      <c r="M1250" s="23"/>
      <c r="N1250" s="42"/>
    </row>
    <row r="1251" spans="1:14" s="12" customFormat="1" ht="30.75" customHeight="1">
      <c r="A1251" s="180" t="s">
        <v>122</v>
      </c>
      <c r="B1251" s="77" t="s">
        <v>274</v>
      </c>
      <c r="C1251" s="70" t="s">
        <v>17</v>
      </c>
      <c r="D1251" s="210"/>
      <c r="E1251" s="210"/>
      <c r="F1251" s="210"/>
      <c r="G1251" s="210"/>
      <c r="H1251" s="406">
        <f>SUM(Tabla132112419[[#This Row],[PRIMER TRIMESTRE]:[CUARTO TRIMESTRE]])</f>
        <v>0</v>
      </c>
      <c r="I1251" s="17">
        <v>133.47</v>
      </c>
      <c r="J1251" s="17">
        <f>+Tabla132112419[[#This Row],[CANTIDAD TOTAL]]*Tabla132112419[[#This Row],[PRECIO UNITARIO ESTIMADO]]</f>
        <v>0</v>
      </c>
      <c r="K1251" s="17"/>
      <c r="L1251" s="16" t="s">
        <v>27</v>
      </c>
      <c r="M1251" s="16" t="s">
        <v>22</v>
      </c>
      <c r="N1251" s="39" t="s">
        <v>418</v>
      </c>
    </row>
    <row r="1252" spans="1:14" s="12" customFormat="1" ht="30.75" customHeight="1">
      <c r="A1252" s="180" t="s">
        <v>122</v>
      </c>
      <c r="B1252" s="77" t="s">
        <v>275</v>
      </c>
      <c r="C1252" s="70" t="s">
        <v>17</v>
      </c>
      <c r="D1252" s="210"/>
      <c r="E1252" s="210"/>
      <c r="F1252" s="210"/>
      <c r="G1252" s="210"/>
      <c r="H1252" s="406">
        <f>SUM(Tabla132112419[[#This Row],[PRIMER TRIMESTRE]:[CUARTO TRIMESTRE]])</f>
        <v>0</v>
      </c>
      <c r="I1252" s="17">
        <v>115.24</v>
      </c>
      <c r="J1252" s="17">
        <f>+Tabla132112419[[#This Row],[CANTIDAD TOTAL]]*Tabla132112419[[#This Row],[PRECIO UNITARIO ESTIMADO]]</f>
        <v>0</v>
      </c>
      <c r="K1252" s="17"/>
      <c r="L1252" s="16" t="s">
        <v>27</v>
      </c>
      <c r="M1252" s="16" t="s">
        <v>22</v>
      </c>
      <c r="N1252" s="39" t="s">
        <v>418</v>
      </c>
    </row>
    <row r="1253" spans="1:14" s="12" customFormat="1" ht="30.75" customHeight="1">
      <c r="A1253" s="180" t="s">
        <v>122</v>
      </c>
      <c r="B1253" s="77" t="s">
        <v>125</v>
      </c>
      <c r="C1253" s="70" t="s">
        <v>17</v>
      </c>
      <c r="D1253" s="210"/>
      <c r="E1253" s="210"/>
      <c r="F1253" s="210"/>
      <c r="G1253" s="210"/>
      <c r="H1253" s="406">
        <f>SUM(Tabla132112419[[#This Row],[PRIMER TRIMESTRE]:[CUARTO TRIMESTRE]])</f>
        <v>0</v>
      </c>
      <c r="I1253" s="17">
        <v>1624</v>
      </c>
      <c r="J1253" s="17">
        <f>+Tabla132112419[[#This Row],[CANTIDAD TOTAL]]*Tabla132112419[[#This Row],[PRECIO UNITARIO ESTIMADO]]</f>
        <v>0</v>
      </c>
      <c r="K1253" s="17"/>
      <c r="L1253" s="16" t="s">
        <v>27</v>
      </c>
      <c r="M1253" s="16" t="s">
        <v>22</v>
      </c>
      <c r="N1253" s="39" t="s">
        <v>418</v>
      </c>
    </row>
    <row r="1254" spans="1:14" s="12" customFormat="1" ht="30.75" customHeight="1">
      <c r="A1254" s="180" t="s">
        <v>1588</v>
      </c>
      <c r="B1254" s="77" t="s">
        <v>1587</v>
      </c>
      <c r="C1254" s="70" t="s">
        <v>17</v>
      </c>
      <c r="D1254" s="210"/>
      <c r="E1254" s="210"/>
      <c r="F1254" s="210"/>
      <c r="G1254" s="210"/>
      <c r="H1254" s="210">
        <f>SUM(Tabla132112419[[#This Row],[PRIMER TRIMESTRE]:[CUARTO TRIMESTRE]])</f>
        <v>0</v>
      </c>
      <c r="I1254" s="17">
        <v>3500</v>
      </c>
      <c r="J1254" s="17">
        <f>+H1254*I1254</f>
        <v>0</v>
      </c>
      <c r="K1254" s="17"/>
      <c r="L1254" s="16" t="s">
        <v>15</v>
      </c>
      <c r="M1254" s="16" t="s">
        <v>22</v>
      </c>
      <c r="N1254" s="39" t="s">
        <v>418</v>
      </c>
    </row>
    <row r="1255" spans="1:14" s="12" customFormat="1" ht="30.75" customHeight="1">
      <c r="A1255" s="180" t="s">
        <v>122</v>
      </c>
      <c r="B1255" s="77" t="s">
        <v>276</v>
      </c>
      <c r="C1255" s="70" t="s">
        <v>17</v>
      </c>
      <c r="D1255" s="210"/>
      <c r="E1255" s="210"/>
      <c r="F1255" s="210"/>
      <c r="G1255" s="210"/>
      <c r="H1255" s="406">
        <f>SUM(Tabla132112419[[#This Row],[PRIMER TRIMESTRE]:[CUARTO TRIMESTRE]])</f>
        <v>0</v>
      </c>
      <c r="I1255" s="17">
        <v>101.68</v>
      </c>
      <c r="J1255" s="17">
        <f>+Tabla132112419[[#This Row],[CANTIDAD TOTAL]]*Tabla132112419[[#This Row],[PRECIO UNITARIO ESTIMADO]]</f>
        <v>0</v>
      </c>
      <c r="K1255" s="17"/>
      <c r="L1255" s="16" t="s">
        <v>27</v>
      </c>
      <c r="M1255" s="16" t="s">
        <v>22</v>
      </c>
      <c r="N1255" s="39" t="s">
        <v>418</v>
      </c>
    </row>
    <row r="1256" spans="1:14" s="12" customFormat="1" ht="30.75" customHeight="1">
      <c r="A1256" s="180" t="s">
        <v>122</v>
      </c>
      <c r="B1256" s="77" t="s">
        <v>277</v>
      </c>
      <c r="C1256" s="70" t="s">
        <v>17</v>
      </c>
      <c r="D1256" s="210"/>
      <c r="E1256" s="210"/>
      <c r="F1256" s="210"/>
      <c r="G1256" s="210"/>
      <c r="H1256" s="406">
        <f>SUM(Tabla132112419[[#This Row],[PRIMER TRIMESTRE]:[CUARTO TRIMESTRE]])</f>
        <v>0</v>
      </c>
      <c r="I1256" s="17">
        <v>27.14</v>
      </c>
      <c r="J1256" s="17">
        <f>+Tabla132112419[[#This Row],[CANTIDAD TOTAL]]*Tabla132112419[[#This Row],[PRECIO UNITARIO ESTIMADO]]</f>
        <v>0</v>
      </c>
      <c r="K1256" s="17"/>
      <c r="L1256" s="16" t="s">
        <v>27</v>
      </c>
      <c r="M1256" s="16" t="s">
        <v>22</v>
      </c>
      <c r="N1256" s="39" t="s">
        <v>418</v>
      </c>
    </row>
    <row r="1257" spans="1:14" s="12" customFormat="1" ht="30.75" customHeight="1">
      <c r="A1257" s="180" t="s">
        <v>122</v>
      </c>
      <c r="B1257" s="77" t="s">
        <v>327</v>
      </c>
      <c r="C1257" s="70" t="s">
        <v>102</v>
      </c>
      <c r="D1257" s="210"/>
      <c r="E1257" s="210"/>
      <c r="F1257" s="210"/>
      <c r="G1257" s="210"/>
      <c r="H1257" s="406">
        <f>SUM(Tabla132112419[[#This Row],[PRIMER TRIMESTRE]:[CUARTO TRIMESTRE]])</f>
        <v>0</v>
      </c>
      <c r="I1257" s="17">
        <f>43660/209</f>
        <v>208.89952153110048</v>
      </c>
      <c r="J1257" s="17">
        <f>+Tabla132112419[[#This Row],[CANTIDAD TOTAL]]*Tabla132112419[[#This Row],[PRECIO UNITARIO ESTIMADO]]</f>
        <v>0</v>
      </c>
      <c r="K1257" s="17"/>
      <c r="L1257" s="16" t="s">
        <v>27</v>
      </c>
      <c r="M1257" s="16" t="s">
        <v>22</v>
      </c>
      <c r="N1257" s="39" t="s">
        <v>418</v>
      </c>
    </row>
    <row r="1258" spans="1:14" s="12" customFormat="1" ht="30.75" customHeight="1">
      <c r="A1258" s="180" t="s">
        <v>122</v>
      </c>
      <c r="B1258" s="77" t="s">
        <v>1269</v>
      </c>
      <c r="C1258" s="70" t="s">
        <v>17</v>
      </c>
      <c r="D1258" s="210"/>
      <c r="E1258" s="210"/>
      <c r="F1258" s="210"/>
      <c r="G1258" s="210"/>
      <c r="H1258" s="406">
        <f>SUM(Tabla132112419[[#This Row],[PRIMER TRIMESTRE]:[CUARTO TRIMESTRE]])</f>
        <v>0</v>
      </c>
      <c r="I1258" s="17">
        <v>350</v>
      </c>
      <c r="J1258" s="17">
        <f>+H1258*I1258</f>
        <v>0</v>
      </c>
      <c r="K1258" s="17"/>
      <c r="L1258" s="16" t="s">
        <v>27</v>
      </c>
      <c r="M1258" s="16" t="s">
        <v>22</v>
      </c>
      <c r="N1258" s="39" t="s">
        <v>418</v>
      </c>
    </row>
    <row r="1259" spans="1:14" s="12" customFormat="1" ht="30.75" customHeight="1">
      <c r="A1259" s="180" t="s">
        <v>122</v>
      </c>
      <c r="B1259" s="77" t="s">
        <v>328</v>
      </c>
      <c r="C1259" s="70" t="s">
        <v>17</v>
      </c>
      <c r="D1259" s="210"/>
      <c r="E1259" s="210"/>
      <c r="F1259" s="210"/>
      <c r="G1259" s="210"/>
      <c r="H1259" s="406">
        <f>SUM(Tabla132112419[[#This Row],[PRIMER TRIMESTRE]:[CUARTO TRIMESTRE]])</f>
        <v>0</v>
      </c>
      <c r="I1259" s="17">
        <v>12626</v>
      </c>
      <c r="J1259" s="17">
        <f>+Tabla132112419[[#This Row],[CANTIDAD TOTAL]]*Tabla132112419[[#This Row],[PRECIO UNITARIO ESTIMADO]]</f>
        <v>0</v>
      </c>
      <c r="K1259" s="17"/>
      <c r="L1259" s="16" t="s">
        <v>27</v>
      </c>
      <c r="M1259" s="16" t="s">
        <v>22</v>
      </c>
      <c r="N1259" s="39" t="s">
        <v>418</v>
      </c>
    </row>
    <row r="1260" spans="1:14" s="26" customFormat="1" ht="30.75" customHeight="1">
      <c r="A1260" s="180" t="s">
        <v>122</v>
      </c>
      <c r="B1260" s="77" t="s">
        <v>329</v>
      </c>
      <c r="C1260" s="70" t="s">
        <v>17</v>
      </c>
      <c r="D1260" s="210"/>
      <c r="E1260" s="210"/>
      <c r="F1260" s="210"/>
      <c r="G1260" s="210"/>
      <c r="H1260" s="406">
        <f>SUM(Tabla132112419[[#This Row],[PRIMER TRIMESTRE]:[CUARTO TRIMESTRE]])</f>
        <v>0</v>
      </c>
      <c r="I1260" s="17">
        <f>1382216.68/118</f>
        <v>11713.700677966101</v>
      </c>
      <c r="J1260" s="17">
        <f>+Tabla132112419[[#This Row],[CANTIDAD TOTAL]]*Tabla132112419[[#This Row],[PRECIO UNITARIO ESTIMADO]]</f>
        <v>0</v>
      </c>
      <c r="K1260" s="17"/>
      <c r="L1260" s="16" t="s">
        <v>27</v>
      </c>
      <c r="M1260" s="16" t="s">
        <v>22</v>
      </c>
      <c r="N1260" s="39" t="s">
        <v>418</v>
      </c>
    </row>
    <row r="1261" spans="1:14" s="12" customFormat="1" ht="30.75" customHeight="1">
      <c r="A1261" s="180" t="s">
        <v>122</v>
      </c>
      <c r="B1261" s="77" t="s">
        <v>330</v>
      </c>
      <c r="C1261" s="70" t="s">
        <v>17</v>
      </c>
      <c r="D1261" s="210"/>
      <c r="E1261" s="210"/>
      <c r="F1261" s="210"/>
      <c r="G1261" s="210"/>
      <c r="H1261" s="406">
        <f>SUM(Tabla132112419[[#This Row],[PRIMER TRIMESTRE]:[CUARTO TRIMESTRE]])</f>
        <v>0</v>
      </c>
      <c r="I1261" s="17">
        <v>413</v>
      </c>
      <c r="J1261" s="17">
        <f>+Tabla132112419[[#This Row],[CANTIDAD TOTAL]]*Tabla132112419[[#This Row],[PRECIO UNITARIO ESTIMADO]]</f>
        <v>0</v>
      </c>
      <c r="K1261" s="17"/>
      <c r="L1261" s="16" t="s">
        <v>27</v>
      </c>
      <c r="M1261" s="16" t="s">
        <v>22</v>
      </c>
      <c r="N1261" s="39" t="s">
        <v>418</v>
      </c>
    </row>
    <row r="1262" spans="1:14" s="12" customFormat="1" ht="30.75" customHeight="1">
      <c r="A1262" s="179" t="s">
        <v>122</v>
      </c>
      <c r="B1262" s="76"/>
      <c r="C1262" s="42"/>
      <c r="D1262" s="237"/>
      <c r="E1262" s="237"/>
      <c r="F1262" s="237"/>
      <c r="G1262" s="237"/>
      <c r="H1262" s="43"/>
      <c r="I1262" s="24"/>
      <c r="J1262" s="24"/>
      <c r="K1262" s="25">
        <f>SUM(J1251:J1261)</f>
        <v>0</v>
      </c>
      <c r="L1262" s="23"/>
      <c r="M1262" s="23"/>
      <c r="N1262" s="42"/>
    </row>
    <row r="1263" spans="1:14" s="12" customFormat="1" ht="30.75" customHeight="1">
      <c r="A1263" s="178" t="s">
        <v>278</v>
      </c>
      <c r="B1263" s="75" t="s">
        <v>279</v>
      </c>
      <c r="C1263" s="39" t="s">
        <v>17</v>
      </c>
      <c r="D1263" s="236">
        <v>2</v>
      </c>
      <c r="E1263" s="236"/>
      <c r="F1263" s="236"/>
      <c r="G1263" s="236"/>
      <c r="H1263" s="40">
        <f>SUM(Tabla132112419[[#This Row],[PRIMER TRIMESTRE]:[CUARTO TRIMESTRE]])</f>
        <v>2</v>
      </c>
      <c r="I1263" s="17">
        <v>259.68</v>
      </c>
      <c r="J1263" s="17">
        <f>+Tabla132112419[[#This Row],[CANTIDAD TOTAL]]*Tabla132112419[[#This Row],[PRECIO UNITARIO ESTIMADO]]</f>
        <v>519.36</v>
      </c>
      <c r="K1263" s="17"/>
      <c r="L1263" s="16" t="s">
        <v>27</v>
      </c>
      <c r="M1263" s="16" t="s">
        <v>22</v>
      </c>
      <c r="N1263" s="39" t="s">
        <v>342</v>
      </c>
    </row>
    <row r="1264" spans="1:14" s="12" customFormat="1" ht="30.75" customHeight="1">
      <c r="A1264" s="178" t="s">
        <v>278</v>
      </c>
      <c r="B1264" s="75" t="s">
        <v>137</v>
      </c>
      <c r="C1264" s="39" t="s">
        <v>17</v>
      </c>
      <c r="D1264" s="236"/>
      <c r="E1264" s="236"/>
      <c r="F1264" s="236"/>
      <c r="G1264" s="236"/>
      <c r="H1264" s="40">
        <f>SUM(Tabla132112419[[#This Row],[PRIMER TRIMESTRE]:[CUARTO TRIMESTRE]])</f>
        <v>0</v>
      </c>
      <c r="I1264" s="17">
        <v>220.12</v>
      </c>
      <c r="J1264" s="17">
        <f>+Tabla132112419[[#This Row],[CANTIDAD TOTAL]]*Tabla132112419[[#This Row],[PRECIO UNITARIO ESTIMADO]]</f>
        <v>0</v>
      </c>
      <c r="K1264" s="17"/>
      <c r="L1264" s="16" t="s">
        <v>27</v>
      </c>
      <c r="M1264" s="16" t="s">
        <v>22</v>
      </c>
      <c r="N1264" s="39" t="s">
        <v>418</v>
      </c>
    </row>
    <row r="1265" spans="1:14" s="12" customFormat="1" ht="30.75" customHeight="1">
      <c r="A1265" s="178" t="s">
        <v>278</v>
      </c>
      <c r="B1265" s="75" t="s">
        <v>280</v>
      </c>
      <c r="C1265" s="39" t="s">
        <v>17</v>
      </c>
      <c r="D1265" s="236"/>
      <c r="E1265" s="236"/>
      <c r="F1265" s="236"/>
      <c r="G1265" s="236"/>
      <c r="H1265" s="40">
        <f>SUM(Tabla132112419[[#This Row],[PRIMER TRIMESTRE]:[CUARTO TRIMESTRE]])</f>
        <v>0</v>
      </c>
      <c r="I1265" s="17">
        <v>150</v>
      </c>
      <c r="J1265" s="17">
        <f>+Tabla132112419[[#This Row],[CANTIDAD TOTAL]]*Tabla132112419[[#This Row],[PRECIO UNITARIO ESTIMADO]]</f>
        <v>0</v>
      </c>
      <c r="K1265" s="17"/>
      <c r="L1265" s="16" t="s">
        <v>27</v>
      </c>
      <c r="M1265" s="16" t="s">
        <v>22</v>
      </c>
      <c r="N1265" s="39" t="s">
        <v>342</v>
      </c>
    </row>
    <row r="1266" spans="1:14" s="26" customFormat="1" ht="30.75" customHeight="1">
      <c r="A1266" s="178" t="s">
        <v>278</v>
      </c>
      <c r="B1266" s="75" t="s">
        <v>566</v>
      </c>
      <c r="C1266" s="39" t="s">
        <v>17</v>
      </c>
      <c r="D1266" s="236"/>
      <c r="E1266" s="236"/>
      <c r="F1266" s="236"/>
      <c r="G1266" s="236"/>
      <c r="H1266" s="40">
        <f>SUM(Tabla132112419[[#This Row],[PRIMER TRIMESTRE]:[CUARTO TRIMESTRE]])</f>
        <v>0</v>
      </c>
      <c r="I1266" s="17">
        <v>140</v>
      </c>
      <c r="J1266" s="17">
        <f>+Tabla132112419[[#This Row],[CANTIDAD TOTAL]]*Tabla132112419[[#This Row],[PRECIO UNITARIO ESTIMADO]]</f>
        <v>0</v>
      </c>
      <c r="K1266" s="17"/>
      <c r="L1266" s="16" t="s">
        <v>27</v>
      </c>
      <c r="M1266" s="16" t="s">
        <v>22</v>
      </c>
      <c r="N1266" s="39" t="s">
        <v>342</v>
      </c>
    </row>
    <row r="1267" spans="1:14" s="12" customFormat="1" ht="30.75" customHeight="1">
      <c r="A1267" s="178" t="s">
        <v>278</v>
      </c>
      <c r="B1267" s="75" t="s">
        <v>922</v>
      </c>
      <c r="C1267" s="39" t="s">
        <v>17</v>
      </c>
      <c r="D1267" s="236"/>
      <c r="E1267" s="236"/>
      <c r="F1267" s="236"/>
      <c r="G1267" s="236"/>
      <c r="H1267" s="40">
        <f>SUM(Tabla132112419[[#This Row],[PRIMER TRIMESTRE]:[CUARTO TRIMESTRE]])</f>
        <v>0</v>
      </c>
      <c r="I1267" s="17">
        <v>21895</v>
      </c>
      <c r="J1267" s="17">
        <f>+H1267*I1267</f>
        <v>0</v>
      </c>
      <c r="K1267" s="17"/>
      <c r="L1267" s="16" t="s">
        <v>27</v>
      </c>
      <c r="M1267" s="16" t="s">
        <v>22</v>
      </c>
      <c r="N1267" s="39" t="s">
        <v>342</v>
      </c>
    </row>
    <row r="1268" spans="1:14" s="12" customFormat="1" ht="30.75" customHeight="1">
      <c r="A1268" s="179" t="s">
        <v>278</v>
      </c>
      <c r="B1268" s="76"/>
      <c r="C1268" s="42"/>
      <c r="D1268" s="237"/>
      <c r="E1268" s="237"/>
      <c r="F1268" s="237"/>
      <c r="G1268" s="237"/>
      <c r="H1268" s="43"/>
      <c r="I1268" s="24"/>
      <c r="J1268" s="24"/>
      <c r="K1268" s="25">
        <f>SUM(J1263:J1267)</f>
        <v>519.36</v>
      </c>
      <c r="L1268" s="23" t="s">
        <v>27</v>
      </c>
      <c r="M1268" s="23"/>
      <c r="N1268" s="42"/>
    </row>
    <row r="1269" spans="1:14" s="12" customFormat="1" ht="30.75" customHeight="1">
      <c r="A1269" s="178" t="s">
        <v>124</v>
      </c>
      <c r="B1269" s="75" t="s">
        <v>281</v>
      </c>
      <c r="C1269" s="39" t="s">
        <v>102</v>
      </c>
      <c r="D1269" s="236"/>
      <c r="E1269" s="236"/>
      <c r="F1269" s="236"/>
      <c r="G1269" s="236"/>
      <c r="H1269" s="40">
        <f>SUM(Tabla132112419[[#This Row],[PRIMER TRIMESTRE]:[CUARTO TRIMESTRE]])</f>
        <v>0</v>
      </c>
      <c r="I1269" s="17">
        <v>191.84</v>
      </c>
      <c r="J1269" s="17">
        <f>+Tabla132112419[[#This Row],[CANTIDAD TOTAL]]*Tabla132112419[[#This Row],[PRECIO UNITARIO ESTIMADO]]</f>
        <v>0</v>
      </c>
      <c r="K1269" s="17"/>
      <c r="L1269" s="16" t="s">
        <v>27</v>
      </c>
      <c r="M1269" s="16" t="s">
        <v>22</v>
      </c>
      <c r="N1269" s="39" t="s">
        <v>342</v>
      </c>
    </row>
    <row r="1270" spans="1:14" s="12" customFormat="1" ht="30.75" customHeight="1">
      <c r="A1270" s="178" t="s">
        <v>124</v>
      </c>
      <c r="B1270" s="75" t="s">
        <v>282</v>
      </c>
      <c r="C1270" s="39" t="s">
        <v>69</v>
      </c>
      <c r="D1270" s="236"/>
      <c r="E1270" s="236"/>
      <c r="F1270" s="236"/>
      <c r="G1270" s="236"/>
      <c r="H1270" s="40">
        <f>SUM(Tabla132112419[[#This Row],[PRIMER TRIMESTRE]:[CUARTO TRIMESTRE]])</f>
        <v>0</v>
      </c>
      <c r="I1270" s="17">
        <v>83.78</v>
      </c>
      <c r="J1270" s="17">
        <f>+Tabla132112419[[#This Row],[CANTIDAD TOTAL]]*Tabla132112419[[#This Row],[PRECIO UNITARIO ESTIMADO]]</f>
        <v>0</v>
      </c>
      <c r="K1270" s="17"/>
      <c r="L1270" s="16" t="s">
        <v>27</v>
      </c>
      <c r="M1270" s="16" t="s">
        <v>22</v>
      </c>
      <c r="N1270" s="39" t="s">
        <v>342</v>
      </c>
    </row>
    <row r="1271" spans="1:14" s="12" customFormat="1" ht="30.75" customHeight="1">
      <c r="A1271" s="178" t="s">
        <v>124</v>
      </c>
      <c r="B1271" s="75" t="s">
        <v>283</v>
      </c>
      <c r="C1271" s="39" t="s">
        <v>17</v>
      </c>
      <c r="D1271" s="236"/>
      <c r="E1271" s="236"/>
      <c r="F1271" s="236"/>
      <c r="G1271" s="236"/>
      <c r="H1271" s="40">
        <f>SUM(Tabla132112419[[#This Row],[PRIMER TRIMESTRE]:[CUARTO TRIMESTRE]])</f>
        <v>0</v>
      </c>
      <c r="I1271" s="17">
        <v>82.94</v>
      </c>
      <c r="J1271" s="17">
        <f>+Tabla132112419[[#This Row],[CANTIDAD TOTAL]]*Tabla132112419[[#This Row],[PRECIO UNITARIO ESTIMADO]]</f>
        <v>0</v>
      </c>
      <c r="K1271" s="17"/>
      <c r="L1271" s="16" t="s">
        <v>27</v>
      </c>
      <c r="M1271" s="16" t="s">
        <v>22</v>
      </c>
      <c r="N1271" s="39" t="s">
        <v>342</v>
      </c>
    </row>
    <row r="1272" spans="1:14" s="12" customFormat="1" ht="30.75" customHeight="1">
      <c r="A1272" s="178" t="s">
        <v>124</v>
      </c>
      <c r="B1272" s="75" t="s">
        <v>284</v>
      </c>
      <c r="C1272" s="39" t="s">
        <v>17</v>
      </c>
      <c r="D1272" s="236"/>
      <c r="E1272" s="236"/>
      <c r="F1272" s="236"/>
      <c r="G1272" s="236"/>
      <c r="H1272" s="40">
        <f>SUM(Tabla132112419[[#This Row],[PRIMER TRIMESTRE]:[CUARTO TRIMESTRE]])</f>
        <v>0</v>
      </c>
      <c r="I1272" s="17">
        <v>26.67</v>
      </c>
      <c r="J1272" s="17">
        <f>+Tabla132112419[[#This Row],[CANTIDAD TOTAL]]*Tabla132112419[[#This Row],[PRECIO UNITARIO ESTIMADO]]</f>
        <v>0</v>
      </c>
      <c r="K1272" s="17"/>
      <c r="L1272" s="16" t="s">
        <v>27</v>
      </c>
      <c r="M1272" s="16" t="s">
        <v>22</v>
      </c>
      <c r="N1272" s="39" t="s">
        <v>342</v>
      </c>
    </row>
    <row r="1273" spans="1:14" s="12" customFormat="1" ht="30.75" customHeight="1">
      <c r="A1273" s="178" t="s">
        <v>124</v>
      </c>
      <c r="B1273" s="75" t="s">
        <v>726</v>
      </c>
      <c r="C1273" s="39" t="s">
        <v>17</v>
      </c>
      <c r="D1273" s="236"/>
      <c r="E1273" s="236"/>
      <c r="F1273" s="236"/>
      <c r="G1273" s="236"/>
      <c r="H1273" s="40">
        <f>SUM(Tabla132112419[[#This Row],[PRIMER TRIMESTRE]:[CUARTO TRIMESTRE]])</f>
        <v>0</v>
      </c>
      <c r="I1273" s="72">
        <v>50</v>
      </c>
      <c r="J1273" s="17">
        <f>+H1273*I1273</f>
        <v>0</v>
      </c>
      <c r="K1273" s="17"/>
      <c r="L1273" s="16" t="s">
        <v>27</v>
      </c>
      <c r="M1273" s="16" t="s">
        <v>22</v>
      </c>
      <c r="N1273" s="39" t="s">
        <v>342</v>
      </c>
    </row>
    <row r="1274" spans="1:14" s="12" customFormat="1" ht="30.75" customHeight="1">
      <c r="A1274" s="178" t="s">
        <v>124</v>
      </c>
      <c r="B1274" s="75" t="s">
        <v>285</v>
      </c>
      <c r="C1274" s="39" t="s">
        <v>33</v>
      </c>
      <c r="D1274" s="236"/>
      <c r="E1274" s="236"/>
      <c r="F1274" s="236"/>
      <c r="G1274" s="236"/>
      <c r="H1274" s="40">
        <f>SUM(Tabla132112419[[#This Row],[PRIMER TRIMESTRE]:[CUARTO TRIMESTRE]])</f>
        <v>0</v>
      </c>
      <c r="I1274" s="17">
        <v>115.94</v>
      </c>
      <c r="J1274" s="17">
        <f>+Tabla132112419[[#This Row],[CANTIDAD TOTAL]]*Tabla132112419[[#This Row],[PRECIO UNITARIO ESTIMADO]]</f>
        <v>0</v>
      </c>
      <c r="K1274" s="17"/>
      <c r="L1274" s="16" t="s">
        <v>27</v>
      </c>
      <c r="M1274" s="16" t="s">
        <v>22</v>
      </c>
      <c r="N1274" s="39" t="s">
        <v>342</v>
      </c>
    </row>
    <row r="1275" spans="1:14" s="12" customFormat="1" ht="30.75" customHeight="1">
      <c r="A1275" s="178" t="s">
        <v>124</v>
      </c>
      <c r="B1275" s="75" t="s">
        <v>287</v>
      </c>
      <c r="C1275" s="39" t="s">
        <v>288</v>
      </c>
      <c r="D1275" s="236"/>
      <c r="E1275" s="236"/>
      <c r="F1275" s="236"/>
      <c r="G1275" s="236"/>
      <c r="H1275" s="40">
        <f>SUM(Tabla132112419[[#This Row],[PRIMER TRIMESTRE]:[CUARTO TRIMESTRE]])</f>
        <v>0</v>
      </c>
      <c r="I1275" s="17">
        <v>255.31</v>
      </c>
      <c r="J1275" s="17">
        <f>+Tabla132112419[[#This Row],[CANTIDAD TOTAL]]*Tabla132112419[[#This Row],[PRECIO UNITARIO ESTIMADO]]</f>
        <v>0</v>
      </c>
      <c r="K1275" s="17"/>
      <c r="L1275" s="16" t="s">
        <v>27</v>
      </c>
      <c r="M1275" s="16" t="s">
        <v>22</v>
      </c>
      <c r="N1275" s="39" t="s">
        <v>342</v>
      </c>
    </row>
    <row r="1276" spans="1:14" s="12" customFormat="1" ht="30.75" customHeight="1">
      <c r="A1276" s="178" t="s">
        <v>124</v>
      </c>
      <c r="B1276" s="75" t="s">
        <v>293</v>
      </c>
      <c r="C1276" s="39" t="s">
        <v>290</v>
      </c>
      <c r="D1276" s="236"/>
      <c r="E1276" s="236"/>
      <c r="F1276" s="236"/>
      <c r="G1276" s="236"/>
      <c r="H1276" s="40">
        <f>SUM(Tabla132112419[[#This Row],[PRIMER TRIMESTRE]:[CUARTO TRIMESTRE]])</f>
        <v>0</v>
      </c>
      <c r="I1276" s="17">
        <v>160</v>
      </c>
      <c r="J1276" s="17">
        <f t="shared" ref="J1276:J1284" si="33">+H1276*I1276</f>
        <v>0</v>
      </c>
      <c r="K1276" s="17"/>
      <c r="L1276" s="16" t="s">
        <v>27</v>
      </c>
      <c r="M1276" s="16" t="s">
        <v>22</v>
      </c>
      <c r="N1276" s="39" t="s">
        <v>342</v>
      </c>
    </row>
    <row r="1277" spans="1:14" s="12" customFormat="1" ht="30.75" customHeight="1">
      <c r="A1277" s="178" t="s">
        <v>124</v>
      </c>
      <c r="B1277" s="75" t="s">
        <v>1411</v>
      </c>
      <c r="C1277" s="39" t="s">
        <v>290</v>
      </c>
      <c r="D1277" s="236"/>
      <c r="E1277" s="236"/>
      <c r="F1277" s="236"/>
      <c r="G1277" s="236"/>
      <c r="H1277" s="40">
        <f>SUM(Tabla132112419[[#This Row],[PRIMER TRIMESTRE]:[CUARTO TRIMESTRE]])</f>
        <v>0</v>
      </c>
      <c r="I1277" s="17">
        <v>450</v>
      </c>
      <c r="J1277" s="17">
        <f t="shared" si="33"/>
        <v>0</v>
      </c>
      <c r="K1277" s="17"/>
      <c r="L1277" s="16" t="s">
        <v>27</v>
      </c>
      <c r="M1277" s="16" t="s">
        <v>22</v>
      </c>
      <c r="N1277" s="39" t="s">
        <v>342</v>
      </c>
    </row>
    <row r="1278" spans="1:14" s="12" customFormat="1" ht="30.75" customHeight="1">
      <c r="A1278" s="178" t="s">
        <v>124</v>
      </c>
      <c r="B1278" s="75" t="s">
        <v>1451</v>
      </c>
      <c r="C1278" s="39" t="s">
        <v>17</v>
      </c>
      <c r="D1278" s="236"/>
      <c r="E1278" s="236"/>
      <c r="F1278" s="236"/>
      <c r="G1278" s="236"/>
      <c r="H1278" s="40">
        <f>SUM(Tabla132112419[[#This Row],[PRIMER TRIMESTRE]:[CUARTO TRIMESTRE]])</f>
        <v>0</v>
      </c>
      <c r="I1278" s="17">
        <v>469</v>
      </c>
      <c r="J1278" s="17">
        <f t="shared" si="33"/>
        <v>0</v>
      </c>
      <c r="K1278" s="17"/>
      <c r="L1278" s="16" t="s">
        <v>15</v>
      </c>
      <c r="M1278" s="16" t="s">
        <v>22</v>
      </c>
      <c r="N1278" s="39" t="s">
        <v>342</v>
      </c>
    </row>
    <row r="1279" spans="1:14" s="12" customFormat="1" ht="30.75" customHeight="1">
      <c r="A1279" s="178" t="s">
        <v>124</v>
      </c>
      <c r="B1279" s="75" t="s">
        <v>1906</v>
      </c>
      <c r="C1279" s="39" t="s">
        <v>17</v>
      </c>
      <c r="D1279" s="236"/>
      <c r="E1279" s="236"/>
      <c r="F1279" s="236"/>
      <c r="G1279" s="236"/>
      <c r="H1279" s="40">
        <v>0</v>
      </c>
      <c r="I1279" s="17">
        <v>250</v>
      </c>
      <c r="J1279" s="17">
        <f t="shared" si="33"/>
        <v>0</v>
      </c>
      <c r="K1279" s="17"/>
      <c r="L1279" s="16" t="s">
        <v>27</v>
      </c>
      <c r="M1279" s="16" t="s">
        <v>22</v>
      </c>
      <c r="N1279" s="39" t="s">
        <v>342</v>
      </c>
    </row>
    <row r="1280" spans="1:14" s="12" customFormat="1" ht="30.75" customHeight="1">
      <c r="A1280" s="178" t="s">
        <v>124</v>
      </c>
      <c r="B1280" s="75" t="s">
        <v>1907</v>
      </c>
      <c r="C1280" s="39" t="s">
        <v>17</v>
      </c>
      <c r="D1280" s="236"/>
      <c r="E1280" s="236"/>
      <c r="F1280" s="236"/>
      <c r="G1280" s="236"/>
      <c r="H1280" s="40">
        <v>0</v>
      </c>
      <c r="I1280" s="17">
        <v>0</v>
      </c>
      <c r="J1280" s="17">
        <v>0</v>
      </c>
      <c r="K1280" s="17"/>
      <c r="L1280" s="16" t="s">
        <v>27</v>
      </c>
      <c r="M1280" s="16" t="s">
        <v>22</v>
      </c>
      <c r="N1280" s="39" t="s">
        <v>342</v>
      </c>
    </row>
    <row r="1281" spans="1:14" s="12" customFormat="1" ht="30.75" customHeight="1">
      <c r="A1281" s="178" t="s">
        <v>124</v>
      </c>
      <c r="B1281" s="75" t="s">
        <v>1412</v>
      </c>
      <c r="C1281" s="39" t="s">
        <v>17</v>
      </c>
      <c r="D1281" s="236"/>
      <c r="E1281" s="236"/>
      <c r="F1281" s="236"/>
      <c r="G1281" s="236"/>
      <c r="H1281" s="40">
        <f>SUM(Tabla132112419[[#This Row],[PRIMER TRIMESTRE]:[CUARTO TRIMESTRE]])</f>
        <v>0</v>
      </c>
      <c r="I1281" s="17">
        <v>250</v>
      </c>
      <c r="J1281" s="17">
        <f t="shared" si="33"/>
        <v>0</v>
      </c>
      <c r="K1281" s="17"/>
      <c r="L1281" s="16" t="s">
        <v>27</v>
      </c>
      <c r="M1281" s="16" t="s">
        <v>22</v>
      </c>
      <c r="N1281" s="39" t="s">
        <v>342</v>
      </c>
    </row>
    <row r="1282" spans="1:14" s="12" customFormat="1" ht="30.75" customHeight="1">
      <c r="A1282" s="178" t="s">
        <v>124</v>
      </c>
      <c r="B1282" s="75" t="s">
        <v>1105</v>
      </c>
      <c r="C1282" s="39" t="s">
        <v>290</v>
      </c>
      <c r="D1282" s="236"/>
      <c r="E1282" s="236"/>
      <c r="F1282" s="236"/>
      <c r="G1282" s="236"/>
      <c r="H1282" s="40">
        <f>SUM(Tabla132112419[[#This Row],[PRIMER TRIMESTRE]:[CUARTO TRIMESTRE]])</f>
        <v>0</v>
      </c>
      <c r="I1282" s="17">
        <v>250</v>
      </c>
      <c r="J1282" s="17">
        <f t="shared" si="33"/>
        <v>0</v>
      </c>
      <c r="K1282" s="17"/>
      <c r="L1282" s="16" t="s">
        <v>27</v>
      </c>
      <c r="M1282" s="16" t="s">
        <v>22</v>
      </c>
      <c r="N1282" s="39" t="s">
        <v>342</v>
      </c>
    </row>
    <row r="1283" spans="1:14" s="12" customFormat="1" ht="30.75" customHeight="1">
      <c r="A1283" s="178" t="s">
        <v>124</v>
      </c>
      <c r="B1283" s="75" t="s">
        <v>1097</v>
      </c>
      <c r="C1283" s="39" t="s">
        <v>1067</v>
      </c>
      <c r="D1283" s="236"/>
      <c r="E1283" s="236"/>
      <c r="F1283" s="236"/>
      <c r="G1283" s="236"/>
      <c r="H1283" s="40">
        <f>SUM(Tabla132112419[[#This Row],[PRIMER TRIMESTRE]:[CUARTO TRIMESTRE]])</f>
        <v>0</v>
      </c>
      <c r="I1283" s="17">
        <v>53</v>
      </c>
      <c r="J1283" s="17">
        <f t="shared" si="33"/>
        <v>0</v>
      </c>
      <c r="K1283" s="17"/>
      <c r="L1283" s="16" t="s">
        <v>27</v>
      </c>
      <c r="M1283" s="16" t="s">
        <v>22</v>
      </c>
      <c r="N1283" s="39" t="s">
        <v>342</v>
      </c>
    </row>
    <row r="1284" spans="1:14" s="12" customFormat="1" ht="30.75" customHeight="1">
      <c r="A1284" s="178" t="s">
        <v>124</v>
      </c>
      <c r="B1284" s="75" t="s">
        <v>1413</v>
      </c>
      <c r="C1284" s="39" t="s">
        <v>1414</v>
      </c>
      <c r="D1284" s="236"/>
      <c r="E1284" s="236"/>
      <c r="F1284" s="236"/>
      <c r="G1284" s="236"/>
      <c r="H1284" s="40">
        <f>SUM(Tabla132112419[[#This Row],[PRIMER TRIMESTRE]:[CUARTO TRIMESTRE]])</f>
        <v>0</v>
      </c>
      <c r="I1284" s="17">
        <v>450</v>
      </c>
      <c r="J1284" s="17">
        <f t="shared" si="33"/>
        <v>0</v>
      </c>
      <c r="K1284" s="17"/>
      <c r="L1284" s="16" t="s">
        <v>27</v>
      </c>
      <c r="M1284" s="16" t="s">
        <v>22</v>
      </c>
      <c r="N1284" s="39" t="s">
        <v>342</v>
      </c>
    </row>
    <row r="1285" spans="1:14" s="12" customFormat="1" ht="30.75" customHeight="1">
      <c r="A1285" s="178" t="s">
        <v>124</v>
      </c>
      <c r="B1285" s="75" t="s">
        <v>291</v>
      </c>
      <c r="C1285" s="39" t="s">
        <v>290</v>
      </c>
      <c r="D1285" s="236"/>
      <c r="E1285" s="236"/>
      <c r="F1285" s="236"/>
      <c r="G1285" s="236"/>
      <c r="H1285" s="40">
        <f>SUM(Tabla132112419[[#This Row],[PRIMER TRIMESTRE]:[CUARTO TRIMESTRE]])</f>
        <v>0</v>
      </c>
      <c r="I1285" s="17">
        <v>121.8</v>
      </c>
      <c r="J1285" s="17">
        <f>+Tabla132112419[[#This Row],[CANTIDAD TOTAL]]*Tabla132112419[[#This Row],[PRECIO UNITARIO ESTIMADO]]</f>
        <v>0</v>
      </c>
      <c r="K1285" s="17"/>
      <c r="L1285" s="16" t="s">
        <v>27</v>
      </c>
      <c r="M1285" s="16" t="s">
        <v>22</v>
      </c>
      <c r="N1285" s="39" t="s">
        <v>342</v>
      </c>
    </row>
    <row r="1286" spans="1:14" s="12" customFormat="1" ht="30.75" customHeight="1">
      <c r="A1286" s="178" t="s">
        <v>124</v>
      </c>
      <c r="B1286" s="75" t="s">
        <v>469</v>
      </c>
      <c r="C1286" s="39" t="s">
        <v>17</v>
      </c>
      <c r="D1286" s="236"/>
      <c r="E1286" s="236"/>
      <c r="F1286" s="236"/>
      <c r="G1286" s="236"/>
      <c r="H1286" s="40">
        <f>SUM(Tabla132112419[[#This Row],[PRIMER TRIMESTRE]:[CUARTO TRIMESTRE]])</f>
        <v>0</v>
      </c>
      <c r="I1286" s="17">
        <v>217.18</v>
      </c>
      <c r="J1286" s="17">
        <f>+H1286*I1286</f>
        <v>0</v>
      </c>
      <c r="K1286" s="17"/>
      <c r="L1286" s="16" t="s">
        <v>27</v>
      </c>
      <c r="M1286" s="16" t="s">
        <v>22</v>
      </c>
      <c r="N1286" s="39" t="s">
        <v>342</v>
      </c>
    </row>
    <row r="1287" spans="1:14" s="12" customFormat="1" ht="30.75" customHeight="1">
      <c r="A1287" s="178" t="s">
        <v>124</v>
      </c>
      <c r="B1287" s="75" t="s">
        <v>741</v>
      </c>
      <c r="C1287" s="39" t="s">
        <v>17</v>
      </c>
      <c r="D1287" s="236"/>
      <c r="E1287" s="236"/>
      <c r="F1287" s="236"/>
      <c r="G1287" s="236"/>
      <c r="H1287" s="40">
        <f>SUM(Tabla132112419[[#This Row],[PRIMER TRIMESTRE]:[CUARTO TRIMESTRE]])</f>
        <v>0</v>
      </c>
      <c r="I1287" s="17">
        <v>217.18</v>
      </c>
      <c r="J1287" s="17">
        <f>+Tabla132112419[[#This Row],[CANTIDAD TOTAL]]*Tabla132112419[[#This Row],[PRECIO UNITARIO ESTIMADO]]</f>
        <v>0</v>
      </c>
      <c r="K1287" s="17"/>
      <c r="L1287" s="16" t="s">
        <v>27</v>
      </c>
      <c r="M1287" s="16" t="s">
        <v>22</v>
      </c>
      <c r="N1287" s="39" t="s">
        <v>342</v>
      </c>
    </row>
    <row r="1288" spans="1:14" s="12" customFormat="1" ht="30.75" customHeight="1">
      <c r="A1288" s="178" t="s">
        <v>124</v>
      </c>
      <c r="B1288" s="75" t="s">
        <v>292</v>
      </c>
      <c r="C1288" s="39" t="s">
        <v>17</v>
      </c>
      <c r="D1288" s="236"/>
      <c r="E1288" s="236"/>
      <c r="F1288" s="236"/>
      <c r="G1288" s="236"/>
      <c r="H1288" s="40">
        <f>SUM(Tabla132112419[[#This Row],[PRIMER TRIMESTRE]:[CUARTO TRIMESTRE]])</f>
        <v>0</v>
      </c>
      <c r="I1288" s="17">
        <v>377.54</v>
      </c>
      <c r="J1288" s="17">
        <f>+Tabla132112419[[#This Row],[CANTIDAD TOTAL]]*Tabla132112419[[#This Row],[PRECIO UNITARIO ESTIMADO]]</f>
        <v>0</v>
      </c>
      <c r="K1288" s="17"/>
      <c r="L1288" s="16" t="s">
        <v>27</v>
      </c>
      <c r="M1288" s="16" t="s">
        <v>22</v>
      </c>
      <c r="N1288" s="39" t="s">
        <v>342</v>
      </c>
    </row>
    <row r="1289" spans="1:14" s="12" customFormat="1" ht="30.75" customHeight="1">
      <c r="A1289" s="178" t="s">
        <v>124</v>
      </c>
      <c r="B1289" s="75" t="s">
        <v>725</v>
      </c>
      <c r="C1289" s="39" t="s">
        <v>17</v>
      </c>
      <c r="D1289" s="236"/>
      <c r="E1289" s="236"/>
      <c r="F1289" s="236"/>
      <c r="G1289" s="236"/>
      <c r="H1289" s="40">
        <f>SUM(Tabla132112419[[#This Row],[PRIMER TRIMESTRE]:[CUARTO TRIMESTRE]])</f>
        <v>0</v>
      </c>
      <c r="I1289" s="17">
        <v>90</v>
      </c>
      <c r="J1289" s="17">
        <f>+H1289*I1289</f>
        <v>0</v>
      </c>
      <c r="K1289" s="17"/>
      <c r="L1289" s="16" t="s">
        <v>27</v>
      </c>
      <c r="M1289" s="16" t="s">
        <v>22</v>
      </c>
      <c r="N1289" s="39" t="s">
        <v>342</v>
      </c>
    </row>
    <row r="1290" spans="1:14" s="12" customFormat="1" ht="30.75" customHeight="1">
      <c r="A1290" s="178" t="s">
        <v>124</v>
      </c>
      <c r="B1290" s="75" t="s">
        <v>294</v>
      </c>
      <c r="C1290" s="39" t="s">
        <v>17</v>
      </c>
      <c r="D1290" s="236"/>
      <c r="E1290" s="210"/>
      <c r="F1290" s="210"/>
      <c r="G1290" s="210"/>
      <c r="H1290" s="40">
        <f>SUM(Tabla132112419[[#This Row],[PRIMER TRIMESTRE]:[CUARTO TRIMESTRE]])</f>
        <v>0</v>
      </c>
      <c r="I1290" s="17">
        <v>424.95</v>
      </c>
      <c r="J1290" s="17">
        <f>+Tabla132112419[[#This Row],[CANTIDAD TOTAL]]*Tabla132112419[[#This Row],[PRECIO UNITARIO ESTIMADO]]</f>
        <v>0</v>
      </c>
      <c r="K1290" s="17"/>
      <c r="L1290" s="16" t="s">
        <v>27</v>
      </c>
      <c r="M1290" s="16" t="s">
        <v>22</v>
      </c>
      <c r="N1290" s="39" t="s">
        <v>342</v>
      </c>
    </row>
    <row r="1291" spans="1:14" s="12" customFormat="1" ht="30.75" customHeight="1">
      <c r="A1291" s="178" t="s">
        <v>124</v>
      </c>
      <c r="B1291" s="75" t="s">
        <v>331</v>
      </c>
      <c r="C1291" s="39" t="s">
        <v>33</v>
      </c>
      <c r="D1291" s="236"/>
      <c r="E1291" s="236"/>
      <c r="F1291" s="236"/>
      <c r="G1291" s="236"/>
      <c r="H1291" s="40">
        <f>SUM(Tabla132112419[[#This Row],[PRIMER TRIMESTRE]:[CUARTO TRIMESTRE]])</f>
        <v>0</v>
      </c>
      <c r="I1291" s="17">
        <v>404.45</v>
      </c>
      <c r="J1291" s="17">
        <f>+Tabla132112419[[#This Row],[CANTIDAD TOTAL]]*Tabla132112419[[#This Row],[PRECIO UNITARIO ESTIMADO]]</f>
        <v>0</v>
      </c>
      <c r="K1291" s="17"/>
      <c r="L1291" s="16" t="s">
        <v>27</v>
      </c>
      <c r="M1291" s="16" t="s">
        <v>22</v>
      </c>
      <c r="N1291" s="39" t="s">
        <v>342</v>
      </c>
    </row>
    <row r="1292" spans="1:14" s="12" customFormat="1" ht="30.75" customHeight="1">
      <c r="A1292" s="178" t="s">
        <v>124</v>
      </c>
      <c r="B1292" s="75" t="s">
        <v>724</v>
      </c>
      <c r="C1292" s="39" t="s">
        <v>17</v>
      </c>
      <c r="D1292" s="236"/>
      <c r="E1292" s="236"/>
      <c r="F1292" s="236"/>
      <c r="G1292" s="236"/>
      <c r="H1292" s="40">
        <f>SUM(Tabla132112419[[#This Row],[PRIMER TRIMESTRE]:[CUARTO TRIMESTRE]])</f>
        <v>0</v>
      </c>
      <c r="I1292" s="17">
        <v>140</v>
      </c>
      <c r="J1292" s="17">
        <f>+H1292*I1292</f>
        <v>0</v>
      </c>
      <c r="K1292" s="17"/>
      <c r="L1292" s="16" t="s">
        <v>27</v>
      </c>
      <c r="M1292" s="16" t="s">
        <v>22</v>
      </c>
      <c r="N1292" s="39" t="s">
        <v>342</v>
      </c>
    </row>
    <row r="1293" spans="1:14" s="12" customFormat="1" ht="30.75" customHeight="1">
      <c r="A1293" s="178" t="s">
        <v>124</v>
      </c>
      <c r="B1293" s="75" t="s">
        <v>1415</v>
      </c>
      <c r="C1293" s="39" t="s">
        <v>1461</v>
      </c>
      <c r="D1293" s="236"/>
      <c r="E1293" s="236"/>
      <c r="F1293" s="236"/>
      <c r="G1293" s="236"/>
      <c r="H1293" s="40">
        <f>SUM(Tabla132112419[[#This Row],[PRIMER TRIMESTRE]:[CUARTO TRIMESTRE]])</f>
        <v>0</v>
      </c>
      <c r="I1293" s="17">
        <v>55</v>
      </c>
      <c r="J1293" s="17">
        <f>+H1293*I1293</f>
        <v>0</v>
      </c>
      <c r="K1293" s="17"/>
      <c r="L1293" s="16" t="s">
        <v>27</v>
      </c>
      <c r="M1293" s="16" t="s">
        <v>22</v>
      </c>
      <c r="N1293" s="39" t="s">
        <v>342</v>
      </c>
    </row>
    <row r="1294" spans="1:14" s="26" customFormat="1" ht="30.75" customHeight="1">
      <c r="A1294" s="178" t="s">
        <v>124</v>
      </c>
      <c r="B1294" s="75" t="s">
        <v>1735</v>
      </c>
      <c r="C1294" s="39" t="s">
        <v>1461</v>
      </c>
      <c r="D1294" s="236"/>
      <c r="E1294" s="236"/>
      <c r="F1294" s="236"/>
      <c r="G1294" s="236"/>
      <c r="H1294" s="40">
        <v>0</v>
      </c>
      <c r="I1294" s="17">
        <v>0</v>
      </c>
      <c r="J1294" s="17">
        <v>0</v>
      </c>
      <c r="K1294" s="17"/>
      <c r="L1294" s="16" t="s">
        <v>27</v>
      </c>
      <c r="M1294" s="16" t="s">
        <v>22</v>
      </c>
      <c r="N1294" s="39" t="s">
        <v>342</v>
      </c>
    </row>
    <row r="1295" spans="1:14" s="12" customFormat="1" ht="30.75" customHeight="1">
      <c r="A1295" s="178" t="s">
        <v>124</v>
      </c>
      <c r="B1295" s="75" t="s">
        <v>1416</v>
      </c>
      <c r="C1295" s="39" t="s">
        <v>1461</v>
      </c>
      <c r="D1295" s="236"/>
      <c r="E1295" s="236"/>
      <c r="F1295" s="236"/>
      <c r="G1295" s="236"/>
      <c r="H1295" s="40">
        <f>SUM(Tabla132112419[[#This Row],[PRIMER TRIMESTRE]:[CUARTO TRIMESTRE]])</f>
        <v>0</v>
      </c>
      <c r="I1295" s="17">
        <v>100</v>
      </c>
      <c r="J1295" s="17">
        <f>+H1295*I1295</f>
        <v>0</v>
      </c>
      <c r="K1295" s="17"/>
      <c r="L1295" s="16" t="s">
        <v>27</v>
      </c>
      <c r="M1295" s="16" t="s">
        <v>22</v>
      </c>
      <c r="N1295" s="39" t="s">
        <v>342</v>
      </c>
    </row>
    <row r="1296" spans="1:14" s="12" customFormat="1" ht="30.75" customHeight="1">
      <c r="A1296" s="179" t="s">
        <v>124</v>
      </c>
      <c r="B1296" s="76"/>
      <c r="C1296" s="42"/>
      <c r="D1296" s="237"/>
      <c r="E1296" s="237"/>
      <c r="F1296" s="237"/>
      <c r="G1296" s="237"/>
      <c r="H1296" s="43"/>
      <c r="I1296" s="24"/>
      <c r="J1296" s="24"/>
      <c r="K1296" s="25">
        <f>SUM(J1269:J1295)</f>
        <v>0</v>
      </c>
      <c r="L1296" s="23"/>
      <c r="M1296" s="23"/>
      <c r="N1296" s="42"/>
    </row>
    <row r="1297" spans="1:14" s="12" customFormat="1" ht="30.75" customHeight="1">
      <c r="A1297" s="178" t="s">
        <v>295</v>
      </c>
      <c r="B1297" s="75" t="s">
        <v>296</v>
      </c>
      <c r="C1297" s="39" t="s">
        <v>17</v>
      </c>
      <c r="D1297" s="236"/>
      <c r="E1297" s="236"/>
      <c r="F1297" s="236"/>
      <c r="G1297" s="236"/>
      <c r="H1297" s="40">
        <f>SUM(Tabla132112419[[#This Row],[PRIMER TRIMESTRE]:[CUARTO TRIMESTRE]])</f>
        <v>0</v>
      </c>
      <c r="I1297" s="17">
        <v>5300.02</v>
      </c>
      <c r="J1297" s="17">
        <f>+Tabla132112419[[#This Row],[CANTIDAD TOTAL]]*Tabla132112419[[#This Row],[PRECIO UNITARIO ESTIMADO]]</f>
        <v>0</v>
      </c>
      <c r="K1297" s="17"/>
      <c r="L1297" s="16" t="s">
        <v>27</v>
      </c>
      <c r="M1297" s="16" t="s">
        <v>22</v>
      </c>
      <c r="N1297" s="39" t="s">
        <v>342</v>
      </c>
    </row>
    <row r="1298" spans="1:14" s="12" customFormat="1" ht="30.75" customHeight="1">
      <c r="A1298" s="178" t="s">
        <v>295</v>
      </c>
      <c r="B1298" s="75" t="s">
        <v>297</v>
      </c>
      <c r="C1298" s="39" t="s">
        <v>17</v>
      </c>
      <c r="D1298" s="236"/>
      <c r="E1298" s="236"/>
      <c r="F1298" s="236"/>
      <c r="G1298" s="236"/>
      <c r="H1298" s="40">
        <f>SUM(Tabla132112419[[#This Row],[PRIMER TRIMESTRE]:[CUARTO TRIMESTRE]])</f>
        <v>0</v>
      </c>
      <c r="I1298" s="17">
        <v>11775.77</v>
      </c>
      <c r="J1298" s="17">
        <f>+Tabla132112419[[#This Row],[CANTIDAD TOTAL]]*Tabla132112419[[#This Row],[PRECIO UNITARIO ESTIMADO]]</f>
        <v>0</v>
      </c>
      <c r="K1298" s="17"/>
      <c r="L1298" s="16" t="s">
        <v>27</v>
      </c>
      <c r="M1298" s="16" t="s">
        <v>22</v>
      </c>
      <c r="N1298" s="39" t="s">
        <v>342</v>
      </c>
    </row>
    <row r="1299" spans="1:14" s="12" customFormat="1" ht="30.75" customHeight="1">
      <c r="A1299" s="178" t="s">
        <v>295</v>
      </c>
      <c r="B1299" s="75" t="s">
        <v>298</v>
      </c>
      <c r="C1299" s="39" t="s">
        <v>17</v>
      </c>
      <c r="D1299" s="236"/>
      <c r="E1299" s="236"/>
      <c r="F1299" s="236"/>
      <c r="G1299" s="236"/>
      <c r="H1299" s="40">
        <f>SUM(Tabla132112419[[#This Row],[PRIMER TRIMESTRE]:[CUARTO TRIMESTRE]])</f>
        <v>0</v>
      </c>
      <c r="I1299" s="17">
        <v>18999.439999999999</v>
      </c>
      <c r="J1299" s="17">
        <f>+Tabla132112419[[#This Row],[CANTIDAD TOTAL]]*Tabla132112419[[#This Row],[PRECIO UNITARIO ESTIMADO]]</f>
        <v>0</v>
      </c>
      <c r="K1299" s="17"/>
      <c r="L1299" s="16" t="s">
        <v>27</v>
      </c>
      <c r="M1299" s="16" t="s">
        <v>22</v>
      </c>
      <c r="N1299" s="39" t="s">
        <v>342</v>
      </c>
    </row>
    <row r="1300" spans="1:14" s="12" customFormat="1" ht="30.75" customHeight="1">
      <c r="A1300" s="178" t="s">
        <v>295</v>
      </c>
      <c r="B1300" s="75" t="s">
        <v>299</v>
      </c>
      <c r="C1300" s="39" t="s">
        <v>17</v>
      </c>
      <c r="D1300" s="236"/>
      <c r="E1300" s="236"/>
      <c r="F1300" s="236"/>
      <c r="G1300" s="236"/>
      <c r="H1300" s="40">
        <f>SUM(Tabla132112419[[#This Row],[PRIMER TRIMESTRE]:[CUARTO TRIMESTRE]])</f>
        <v>0</v>
      </c>
      <c r="I1300" s="17">
        <v>784</v>
      </c>
      <c r="J1300" s="17">
        <f>+Tabla132112419[[#This Row],[CANTIDAD TOTAL]]*Tabla132112419[[#This Row],[PRECIO UNITARIO ESTIMADO]]</f>
        <v>0</v>
      </c>
      <c r="K1300" s="17"/>
      <c r="L1300" s="16" t="s">
        <v>27</v>
      </c>
      <c r="M1300" s="16" t="s">
        <v>22</v>
      </c>
      <c r="N1300" s="39" t="s">
        <v>342</v>
      </c>
    </row>
    <row r="1301" spans="1:14" s="12" customFormat="1" ht="30.75" customHeight="1">
      <c r="A1301" s="178" t="s">
        <v>295</v>
      </c>
      <c r="B1301" s="75" t="s">
        <v>300</v>
      </c>
      <c r="C1301" s="39" t="s">
        <v>17</v>
      </c>
      <c r="D1301" s="236"/>
      <c r="E1301" s="236"/>
      <c r="F1301" s="236"/>
      <c r="G1301" s="236"/>
      <c r="H1301" s="40">
        <f>SUM(Tabla132112419[[#This Row],[PRIMER TRIMESTRE]:[CUARTO TRIMESTRE]])</f>
        <v>0</v>
      </c>
      <c r="I1301" s="17">
        <v>21495</v>
      </c>
      <c r="J1301" s="17">
        <f>+Tabla132112419[[#This Row],[CANTIDAD TOTAL]]*Tabla132112419[[#This Row],[PRECIO UNITARIO ESTIMADO]]</f>
        <v>0</v>
      </c>
      <c r="K1301" s="17"/>
      <c r="L1301" s="16" t="s">
        <v>27</v>
      </c>
      <c r="M1301" s="16" t="s">
        <v>22</v>
      </c>
      <c r="N1301" s="39" t="s">
        <v>342</v>
      </c>
    </row>
    <row r="1302" spans="1:14" s="12" customFormat="1" ht="30.75" customHeight="1">
      <c r="A1302" s="178" t="s">
        <v>295</v>
      </c>
      <c r="B1302" s="75" t="s">
        <v>337</v>
      </c>
      <c r="C1302" s="39" t="s">
        <v>17</v>
      </c>
      <c r="D1302" s="236"/>
      <c r="E1302" s="236"/>
      <c r="F1302" s="236"/>
      <c r="G1302" s="236"/>
      <c r="H1302" s="40">
        <f>SUM(Tabla132112419[[#This Row],[PRIMER TRIMESTRE]:[CUARTO TRIMESTRE]])</f>
        <v>0</v>
      </c>
      <c r="I1302" s="17">
        <v>3225.3333333333335</v>
      </c>
      <c r="J1302" s="17">
        <f>+Tabla132112419[[#This Row],[CANTIDAD TOTAL]]*Tabla132112419[[#This Row],[PRECIO UNITARIO ESTIMADO]]</f>
        <v>0</v>
      </c>
      <c r="K1302" s="17"/>
      <c r="L1302" s="16" t="s">
        <v>27</v>
      </c>
      <c r="M1302" s="16" t="s">
        <v>22</v>
      </c>
      <c r="N1302" s="39" t="s">
        <v>418</v>
      </c>
    </row>
    <row r="1303" spans="1:14" s="12" customFormat="1" ht="30.75" customHeight="1">
      <c r="A1303" s="178" t="s">
        <v>295</v>
      </c>
      <c r="B1303" s="75" t="s">
        <v>441</v>
      </c>
      <c r="C1303" s="39" t="s">
        <v>17</v>
      </c>
      <c r="D1303" s="236">
        <v>1</v>
      </c>
      <c r="E1303" s="236"/>
      <c r="F1303" s="236"/>
      <c r="G1303" s="236"/>
      <c r="H1303" s="40">
        <f>SUM(Tabla132112419[[#This Row],[PRIMER TRIMESTRE]:[CUARTO TRIMESTRE]])</f>
        <v>1</v>
      </c>
      <c r="I1303" s="17">
        <v>9000</v>
      </c>
      <c r="J1303" s="17">
        <f>+H1303*I1303</f>
        <v>9000</v>
      </c>
      <c r="K1303" s="17"/>
      <c r="L1303" s="16" t="s">
        <v>27</v>
      </c>
      <c r="M1303" s="16" t="s">
        <v>22</v>
      </c>
      <c r="N1303" s="39" t="s">
        <v>342</v>
      </c>
    </row>
    <row r="1304" spans="1:14" s="12" customFormat="1" ht="30.75" customHeight="1">
      <c r="A1304" s="178" t="s">
        <v>295</v>
      </c>
      <c r="B1304" s="75" t="s">
        <v>301</v>
      </c>
      <c r="C1304" s="39" t="s">
        <v>17</v>
      </c>
      <c r="D1304" s="236"/>
      <c r="E1304" s="236"/>
      <c r="F1304" s="236"/>
      <c r="G1304" s="236"/>
      <c r="H1304" s="40">
        <f>SUM(Tabla132112419[[#This Row],[PRIMER TRIMESTRE]:[CUARTO TRIMESTRE]])</f>
        <v>0</v>
      </c>
      <c r="I1304" s="17">
        <v>8004</v>
      </c>
      <c r="J1304" s="17">
        <f>+Tabla132112419[[#This Row],[CANTIDAD TOTAL]]*Tabla132112419[[#This Row],[PRECIO UNITARIO ESTIMADO]]</f>
        <v>0</v>
      </c>
      <c r="K1304" s="17"/>
      <c r="L1304" s="16" t="s">
        <v>27</v>
      </c>
      <c r="M1304" s="16" t="s">
        <v>22</v>
      </c>
      <c r="N1304" s="39" t="s">
        <v>342</v>
      </c>
    </row>
    <row r="1305" spans="1:14" s="12" customFormat="1" ht="30.75" customHeight="1">
      <c r="A1305" s="178" t="s">
        <v>295</v>
      </c>
      <c r="B1305" s="75" t="s">
        <v>316</v>
      </c>
      <c r="C1305" s="39" t="s">
        <v>17</v>
      </c>
      <c r="D1305" s="236"/>
      <c r="E1305" s="236"/>
      <c r="F1305" s="236"/>
      <c r="G1305" s="236"/>
      <c r="H1305" s="40">
        <f>SUM(Tabla132112419[[#This Row],[PRIMER TRIMESTRE]:[CUARTO TRIMESTRE]])</f>
        <v>0</v>
      </c>
      <c r="I1305" s="17">
        <v>8802.7999999999993</v>
      </c>
      <c r="J1305" s="17">
        <f>+Tabla132112419[[#This Row],[CANTIDAD TOTAL]]*Tabla132112419[[#This Row],[PRECIO UNITARIO ESTIMADO]]</f>
        <v>0</v>
      </c>
      <c r="K1305" s="17"/>
      <c r="L1305" s="16" t="s">
        <v>27</v>
      </c>
      <c r="M1305" s="16" t="s">
        <v>22</v>
      </c>
      <c r="N1305" s="39" t="s">
        <v>342</v>
      </c>
    </row>
    <row r="1306" spans="1:14" s="26" customFormat="1" ht="30.75" customHeight="1">
      <c r="A1306" s="178" t="s">
        <v>295</v>
      </c>
      <c r="B1306" s="75" t="s">
        <v>322</v>
      </c>
      <c r="C1306" s="39" t="s">
        <v>17</v>
      </c>
      <c r="D1306" s="236"/>
      <c r="E1306" s="236"/>
      <c r="F1306" s="236"/>
      <c r="G1306" s="236"/>
      <c r="H1306" s="40">
        <f>SUM(Tabla132112419[[#This Row],[PRIMER TRIMESTRE]:[CUARTO TRIMESTRE]])</f>
        <v>0</v>
      </c>
      <c r="I1306" s="17">
        <v>64546</v>
      </c>
      <c r="J1306" s="17">
        <f>+Tabla132112419[[#This Row],[CANTIDAD TOTAL]]*Tabla132112419[[#This Row],[PRECIO UNITARIO ESTIMADO]]</f>
        <v>0</v>
      </c>
      <c r="K1306" s="17"/>
      <c r="L1306" s="16" t="s">
        <v>27</v>
      </c>
      <c r="M1306" s="16" t="s">
        <v>22</v>
      </c>
      <c r="N1306" s="39" t="s">
        <v>342</v>
      </c>
    </row>
    <row r="1307" spans="1:14" s="12" customFormat="1" ht="30.75" customHeight="1">
      <c r="A1307" s="178" t="s">
        <v>295</v>
      </c>
      <c r="B1307" s="75" t="s">
        <v>1423</v>
      </c>
      <c r="C1307" s="39" t="s">
        <v>17</v>
      </c>
      <c r="D1307" s="236"/>
      <c r="E1307" s="236"/>
      <c r="F1307" s="236"/>
      <c r="G1307" s="236"/>
      <c r="H1307" s="40">
        <f>SUM(Tabla132112419[[#This Row],[PRIMER TRIMESTRE]:[CUARTO TRIMESTRE]])</f>
        <v>0</v>
      </c>
      <c r="I1307" s="17">
        <v>24978.240000000002</v>
      </c>
      <c r="J1307" s="17">
        <f>+H1307*I1307</f>
        <v>0</v>
      </c>
      <c r="K1307" s="17"/>
      <c r="L1307" s="16" t="s">
        <v>15</v>
      </c>
      <c r="M1307" s="16" t="s">
        <v>22</v>
      </c>
      <c r="N1307" s="39" t="s">
        <v>342</v>
      </c>
    </row>
    <row r="1308" spans="1:14" s="12" customFormat="1" ht="30.75" customHeight="1">
      <c r="A1308" s="179" t="s">
        <v>295</v>
      </c>
      <c r="B1308" s="76"/>
      <c r="C1308" s="42"/>
      <c r="D1308" s="237"/>
      <c r="E1308" s="237"/>
      <c r="F1308" s="237"/>
      <c r="G1308" s="237"/>
      <c r="H1308" s="43"/>
      <c r="I1308" s="24"/>
      <c r="J1308" s="24"/>
      <c r="K1308" s="25">
        <f>SUM(J1297:J1307)</f>
        <v>9000</v>
      </c>
      <c r="L1308" s="23"/>
      <c r="M1308" s="23"/>
      <c r="N1308" s="42"/>
    </row>
    <row r="1309" spans="1:14" s="12" customFormat="1" ht="30.75" customHeight="1">
      <c r="A1309" s="178" t="s">
        <v>147</v>
      </c>
      <c r="B1309" s="75" t="s">
        <v>302</v>
      </c>
      <c r="C1309" s="39" t="s">
        <v>17</v>
      </c>
      <c r="D1309" s="236"/>
      <c r="E1309" s="236"/>
      <c r="F1309" s="236"/>
      <c r="G1309" s="236"/>
      <c r="H1309" s="40">
        <f>SUM(Tabla132112419[[#This Row],[PRIMER TRIMESTRE]:[CUARTO TRIMESTRE]])</f>
        <v>0</v>
      </c>
      <c r="I1309" s="17">
        <v>452.4</v>
      </c>
      <c r="J1309" s="17">
        <f>+Tabla132112419[[#This Row],[CANTIDAD TOTAL]]*Tabla132112419[[#This Row],[PRECIO UNITARIO ESTIMADO]]</f>
        <v>0</v>
      </c>
      <c r="K1309" s="17"/>
      <c r="L1309" s="16" t="s">
        <v>27</v>
      </c>
      <c r="M1309" s="16" t="s">
        <v>22</v>
      </c>
      <c r="N1309" s="39" t="s">
        <v>342</v>
      </c>
    </row>
    <row r="1310" spans="1:14" s="12" customFormat="1" ht="30.75" customHeight="1">
      <c r="A1310" s="178" t="s">
        <v>147</v>
      </c>
      <c r="B1310" s="75" t="s">
        <v>326</v>
      </c>
      <c r="C1310" s="39" t="s">
        <v>17</v>
      </c>
      <c r="D1310" s="236"/>
      <c r="E1310" s="236"/>
      <c r="F1310" s="236"/>
      <c r="G1310" s="236"/>
      <c r="H1310" s="40">
        <f>SUM(Tabla132112419[[#This Row],[PRIMER TRIMESTRE]:[CUARTO TRIMESTRE]])</f>
        <v>0</v>
      </c>
      <c r="I1310" s="17">
        <v>2596</v>
      </c>
      <c r="J1310" s="17">
        <f>+Tabla132112419[[#This Row],[CANTIDAD TOTAL]]*Tabla132112419[[#This Row],[PRECIO UNITARIO ESTIMADO]]</f>
        <v>0</v>
      </c>
      <c r="K1310" s="17"/>
      <c r="L1310" s="16" t="s">
        <v>27</v>
      </c>
      <c r="M1310" s="16" t="s">
        <v>22</v>
      </c>
      <c r="N1310" s="39" t="s">
        <v>342</v>
      </c>
    </row>
    <row r="1311" spans="1:14" s="12" customFormat="1" ht="30.75" customHeight="1">
      <c r="A1311" s="180" t="s">
        <v>147</v>
      </c>
      <c r="B1311" s="77" t="s">
        <v>332</v>
      </c>
      <c r="C1311" s="70" t="s">
        <v>17</v>
      </c>
      <c r="D1311" s="210"/>
      <c r="E1311" s="210"/>
      <c r="F1311" s="210"/>
      <c r="G1311" s="210"/>
      <c r="H1311" s="406">
        <f>SUM(Tabla132112419[[#This Row],[PRIMER TRIMESTRE]:[CUARTO TRIMESTRE]])</f>
        <v>0</v>
      </c>
      <c r="I1311" s="17">
        <v>460.2</v>
      </c>
      <c r="J1311" s="17">
        <f>+Tabla132112419[[#This Row],[CANTIDAD TOTAL]]*Tabla132112419[[#This Row],[PRECIO UNITARIO ESTIMADO]]</f>
        <v>0</v>
      </c>
      <c r="K1311" s="17"/>
      <c r="L1311" s="16" t="s">
        <v>27</v>
      </c>
      <c r="M1311" s="16" t="s">
        <v>22</v>
      </c>
      <c r="N1311" s="39" t="s">
        <v>342</v>
      </c>
    </row>
    <row r="1312" spans="1:14" s="12" customFormat="1" ht="30.75" customHeight="1">
      <c r="A1312" s="178" t="s">
        <v>147</v>
      </c>
      <c r="B1312" s="75" t="s">
        <v>333</v>
      </c>
      <c r="C1312" s="39" t="s">
        <v>17</v>
      </c>
      <c r="D1312" s="236"/>
      <c r="E1312" s="236"/>
      <c r="F1312" s="236"/>
      <c r="G1312" s="236"/>
      <c r="H1312" s="40">
        <f>SUM(Tabla132112419[[#This Row],[PRIMER TRIMESTRE]:[CUARTO TRIMESTRE]])</f>
        <v>0</v>
      </c>
      <c r="I1312" s="17">
        <f>76995/450</f>
        <v>171.1</v>
      </c>
      <c r="J1312" s="17">
        <f>+Tabla132112419[[#This Row],[CANTIDAD TOTAL]]*Tabla132112419[[#This Row],[PRECIO UNITARIO ESTIMADO]]</f>
        <v>0</v>
      </c>
      <c r="K1312" s="17"/>
      <c r="L1312" s="16" t="s">
        <v>27</v>
      </c>
      <c r="M1312" s="16" t="s">
        <v>22</v>
      </c>
      <c r="N1312" s="39" t="s">
        <v>342</v>
      </c>
    </row>
    <row r="1313" spans="1:14" s="12" customFormat="1" ht="30.75" customHeight="1">
      <c r="A1313" s="178" t="s">
        <v>147</v>
      </c>
      <c r="B1313" s="75" t="s">
        <v>1580</v>
      </c>
      <c r="C1313" s="39" t="s">
        <v>149</v>
      </c>
      <c r="D1313" s="236"/>
      <c r="E1313" s="236"/>
      <c r="F1313" s="236"/>
      <c r="G1313" s="236"/>
      <c r="H1313" s="236">
        <f>SUM(Tabla132112419[[#This Row],[PRIMER TRIMESTRE]:[CUARTO TRIMESTRE]])</f>
        <v>0</v>
      </c>
      <c r="I1313" s="17">
        <v>3250</v>
      </c>
      <c r="J1313" s="17">
        <f>+H1313*I1313</f>
        <v>0</v>
      </c>
      <c r="K1313" s="17"/>
      <c r="L1313" s="16" t="s">
        <v>27</v>
      </c>
      <c r="M1313" s="16" t="s">
        <v>22</v>
      </c>
      <c r="N1313" s="39" t="s">
        <v>342</v>
      </c>
    </row>
    <row r="1314" spans="1:14" s="12" customFormat="1" ht="30.75" customHeight="1">
      <c r="A1314" s="178" t="s">
        <v>147</v>
      </c>
      <c r="B1314" s="75" t="s">
        <v>1581</v>
      </c>
      <c r="C1314" s="39" t="s">
        <v>149</v>
      </c>
      <c r="D1314" s="236"/>
      <c r="E1314" s="236"/>
      <c r="F1314" s="236"/>
      <c r="G1314" s="236"/>
      <c r="H1314" s="236">
        <f>SUM(Tabla132112419[[#This Row],[PRIMER TRIMESTRE]:[CUARTO TRIMESTRE]])</f>
        <v>0</v>
      </c>
      <c r="I1314" s="17">
        <v>3250</v>
      </c>
      <c r="J1314" s="17">
        <f>+H1314*I1314</f>
        <v>0</v>
      </c>
      <c r="K1314" s="17"/>
      <c r="L1314" s="16" t="s">
        <v>27</v>
      </c>
      <c r="M1314" s="16" t="s">
        <v>22</v>
      </c>
      <c r="N1314" s="39" t="s">
        <v>342</v>
      </c>
    </row>
    <row r="1315" spans="1:14" s="12" customFormat="1" ht="30.75" customHeight="1">
      <c r="A1315" s="178" t="s">
        <v>147</v>
      </c>
      <c r="B1315" s="75" t="s">
        <v>1579</v>
      </c>
      <c r="C1315" s="39" t="s">
        <v>149</v>
      </c>
      <c r="D1315" s="236"/>
      <c r="E1315" s="236"/>
      <c r="F1315" s="236"/>
      <c r="G1315" s="236"/>
      <c r="H1315" s="236">
        <f>SUM(Tabla132112419[[#This Row],[PRIMER TRIMESTRE]:[CUARTO TRIMESTRE]])</f>
        <v>0</v>
      </c>
      <c r="I1315" s="17">
        <v>3250</v>
      </c>
      <c r="J1315" s="17">
        <f>+H1315*I1315</f>
        <v>0</v>
      </c>
      <c r="K1315" s="17"/>
      <c r="L1315" s="16" t="s">
        <v>27</v>
      </c>
      <c r="M1315" s="16" t="s">
        <v>22</v>
      </c>
      <c r="N1315" s="39" t="s">
        <v>342</v>
      </c>
    </row>
    <row r="1316" spans="1:14" s="12" customFormat="1" ht="30.75" customHeight="1">
      <c r="A1316" s="178" t="s">
        <v>147</v>
      </c>
      <c r="B1316" s="75" t="s">
        <v>303</v>
      </c>
      <c r="C1316" s="39" t="s">
        <v>149</v>
      </c>
      <c r="D1316" s="236"/>
      <c r="E1316" s="236"/>
      <c r="F1316" s="236"/>
      <c r="G1316" s="236"/>
      <c r="H1316" s="236">
        <f>SUM(Tabla132112419[[#This Row],[PRIMER TRIMESTRE]:[CUARTO TRIMESTRE]])</f>
        <v>0</v>
      </c>
      <c r="I1316" s="17">
        <v>1856</v>
      </c>
      <c r="J1316" s="17">
        <f>+Tabla132112419[[#This Row],[CANTIDAD TOTAL]]*Tabla132112419[[#This Row],[PRECIO UNITARIO ESTIMADO]]</f>
        <v>0</v>
      </c>
      <c r="K1316" s="17"/>
      <c r="L1316" s="16" t="s">
        <v>27</v>
      </c>
      <c r="M1316" s="16" t="s">
        <v>22</v>
      </c>
      <c r="N1316" s="39" t="s">
        <v>342</v>
      </c>
    </row>
    <row r="1317" spans="1:14" s="12" customFormat="1" ht="30.75" customHeight="1">
      <c r="A1317" s="178" t="s">
        <v>147</v>
      </c>
      <c r="B1317" s="75" t="s">
        <v>1582</v>
      </c>
      <c r="C1317" s="39" t="s">
        <v>149</v>
      </c>
      <c r="D1317" s="236"/>
      <c r="E1317" s="236"/>
      <c r="F1317" s="236"/>
      <c r="G1317" s="236"/>
      <c r="H1317" s="236">
        <f>SUM(Tabla132112419[[#This Row],[PRIMER TRIMESTRE]:[CUARTO TRIMESTRE]])</f>
        <v>0</v>
      </c>
      <c r="I1317" s="17">
        <v>1680</v>
      </c>
      <c r="J1317" s="17">
        <f>+H1317*I1317</f>
        <v>0</v>
      </c>
      <c r="K1317" s="17"/>
      <c r="L1317" s="16" t="s">
        <v>27</v>
      </c>
      <c r="M1317" s="16" t="s">
        <v>22</v>
      </c>
      <c r="N1317" s="39" t="s">
        <v>342</v>
      </c>
    </row>
    <row r="1318" spans="1:14" s="12" customFormat="1" ht="30.75" customHeight="1">
      <c r="A1318" s="178" t="s">
        <v>147</v>
      </c>
      <c r="B1318" s="75" t="s">
        <v>1583</v>
      </c>
      <c r="C1318" s="39" t="s">
        <v>149</v>
      </c>
      <c r="D1318" s="236"/>
      <c r="E1318" s="236"/>
      <c r="F1318" s="236"/>
      <c r="G1318" s="236"/>
      <c r="H1318" s="236">
        <f>SUM(Tabla132112419[[#This Row],[PRIMER TRIMESTRE]:[CUARTO TRIMESTRE]])</f>
        <v>0</v>
      </c>
      <c r="I1318" s="17">
        <v>1615</v>
      </c>
      <c r="J1318" s="17">
        <f>+H1318*I1318</f>
        <v>0</v>
      </c>
      <c r="K1318" s="17"/>
      <c r="L1318" s="16" t="s">
        <v>27</v>
      </c>
      <c r="M1318" s="16" t="s">
        <v>22</v>
      </c>
      <c r="N1318" s="39" t="s">
        <v>342</v>
      </c>
    </row>
    <row r="1319" spans="1:14" s="12" customFormat="1" ht="30.75" customHeight="1">
      <c r="A1319" s="178" t="s">
        <v>147</v>
      </c>
      <c r="B1319" s="75" t="s">
        <v>1584</v>
      </c>
      <c r="C1319" s="39" t="s">
        <v>149</v>
      </c>
      <c r="D1319" s="236"/>
      <c r="E1319" s="236"/>
      <c r="F1319" s="236"/>
      <c r="G1319" s="236"/>
      <c r="H1319" s="236">
        <f>SUM(Tabla132112419[[#This Row],[PRIMER TRIMESTRE]:[CUARTO TRIMESTRE]])</f>
        <v>0</v>
      </c>
      <c r="I1319" s="17">
        <v>1615</v>
      </c>
      <c r="J1319" s="17">
        <f>+H1319*I1319</f>
        <v>0</v>
      </c>
      <c r="K1319" s="17"/>
      <c r="L1319" s="16" t="s">
        <v>27</v>
      </c>
      <c r="M1319" s="16" t="s">
        <v>22</v>
      </c>
      <c r="N1319" s="39" t="s">
        <v>342</v>
      </c>
    </row>
    <row r="1320" spans="1:14" s="12" customFormat="1" ht="30.75" customHeight="1">
      <c r="A1320" s="178" t="s">
        <v>147</v>
      </c>
      <c r="B1320" s="75" t="s">
        <v>1585</v>
      </c>
      <c r="C1320" s="39" t="s">
        <v>149</v>
      </c>
      <c r="D1320" s="236"/>
      <c r="E1320" s="236"/>
      <c r="F1320" s="236"/>
      <c r="G1320" s="236"/>
      <c r="H1320" s="236">
        <f>SUM(Tabla132112419[[#This Row],[PRIMER TRIMESTRE]:[CUARTO TRIMESTRE]])</f>
        <v>0</v>
      </c>
      <c r="I1320" s="17">
        <v>1615</v>
      </c>
      <c r="J1320" s="17">
        <f>+H1320*I1320</f>
        <v>0</v>
      </c>
      <c r="K1320" s="17"/>
      <c r="L1320" s="16" t="s">
        <v>27</v>
      </c>
      <c r="M1320" s="16" t="s">
        <v>22</v>
      </c>
      <c r="N1320" s="39" t="s">
        <v>342</v>
      </c>
    </row>
    <row r="1321" spans="1:14" s="12" customFormat="1" ht="30.75" customHeight="1">
      <c r="A1321" s="178" t="s">
        <v>147</v>
      </c>
      <c r="B1321" s="75" t="s">
        <v>1586</v>
      </c>
      <c r="C1321" s="39" t="s">
        <v>149</v>
      </c>
      <c r="D1321" s="236"/>
      <c r="E1321" s="236"/>
      <c r="F1321" s="236"/>
      <c r="G1321" s="236"/>
      <c r="H1321" s="236">
        <f>SUM(Tabla132112419[[#This Row],[PRIMER TRIMESTRE]:[CUARTO TRIMESTRE]])</f>
        <v>0</v>
      </c>
      <c r="I1321" s="17">
        <v>1615</v>
      </c>
      <c r="J1321" s="17">
        <f>+H1321*I1321</f>
        <v>0</v>
      </c>
      <c r="K1321" s="17"/>
      <c r="L1321" s="16" t="s">
        <v>27</v>
      </c>
      <c r="M1321" s="16" t="s">
        <v>22</v>
      </c>
      <c r="N1321" s="39" t="s">
        <v>342</v>
      </c>
    </row>
    <row r="1322" spans="1:14" s="12" customFormat="1" ht="30.75" customHeight="1">
      <c r="A1322" s="178" t="s">
        <v>147</v>
      </c>
      <c r="B1322" s="75" t="s">
        <v>1272</v>
      </c>
      <c r="C1322" s="39" t="s">
        <v>149</v>
      </c>
      <c r="D1322" s="236"/>
      <c r="E1322" s="236"/>
      <c r="F1322" s="236"/>
      <c r="G1322" s="236"/>
      <c r="H1322" s="40">
        <f>SUM(Tabla132112419[[#This Row],[PRIMER TRIMESTRE]:[CUARTO TRIMESTRE]])</f>
        <v>0</v>
      </c>
      <c r="I1322" s="17">
        <v>488.31</v>
      </c>
      <c r="J1322" s="17">
        <f>+Tabla132112419[[#This Row],[CANTIDAD TOTAL]]*Tabla132112419[[#This Row],[PRECIO UNITARIO ESTIMADO]]</f>
        <v>0</v>
      </c>
      <c r="K1322" s="17"/>
      <c r="L1322" s="16" t="s">
        <v>27</v>
      </c>
      <c r="M1322" s="16" t="s">
        <v>22</v>
      </c>
      <c r="N1322" s="39" t="s">
        <v>342</v>
      </c>
    </row>
    <row r="1323" spans="1:14" s="12" customFormat="1" ht="30.75" customHeight="1">
      <c r="A1323" s="178" t="s">
        <v>147</v>
      </c>
      <c r="B1323" s="75" t="s">
        <v>1273</v>
      </c>
      <c r="C1323" s="39" t="s">
        <v>149</v>
      </c>
      <c r="D1323" s="236"/>
      <c r="E1323" s="241"/>
      <c r="F1323" s="236"/>
      <c r="G1323" s="236"/>
      <c r="H1323" s="40">
        <f>SUM(Tabla132112419[[#This Row],[PRIMER TRIMESTRE]:[CUARTO TRIMESTRE]])</f>
        <v>0</v>
      </c>
      <c r="I1323" s="17">
        <v>550.4</v>
      </c>
      <c r="J1323" s="17">
        <f>+H1323*I1323</f>
        <v>0</v>
      </c>
      <c r="K1323" s="17"/>
      <c r="L1323" s="16" t="s">
        <v>27</v>
      </c>
      <c r="M1323" s="16" t="s">
        <v>22</v>
      </c>
      <c r="N1323" s="39" t="s">
        <v>342</v>
      </c>
    </row>
    <row r="1324" spans="1:14" s="12" customFormat="1" ht="30.75" customHeight="1">
      <c r="A1324" s="178" t="s">
        <v>147</v>
      </c>
      <c r="B1324" s="75" t="s">
        <v>1274</v>
      </c>
      <c r="C1324" s="39" t="s">
        <v>17</v>
      </c>
      <c r="D1324" s="236"/>
      <c r="E1324" s="236"/>
      <c r="F1324" s="236"/>
      <c r="G1324" s="236"/>
      <c r="H1324" s="40">
        <f>SUM(Tabla132112419[[#This Row],[PRIMER TRIMESTRE]:[CUARTO TRIMESTRE]])</f>
        <v>0</v>
      </c>
      <c r="I1324" s="17">
        <v>450</v>
      </c>
      <c r="J1324" s="17">
        <f>+H1324*I1324</f>
        <v>0</v>
      </c>
      <c r="K1324" s="17"/>
      <c r="L1324" s="16" t="s">
        <v>27</v>
      </c>
      <c r="M1324" s="16" t="s">
        <v>22</v>
      </c>
      <c r="N1324" s="39" t="s">
        <v>342</v>
      </c>
    </row>
    <row r="1325" spans="1:14" s="26" customFormat="1" ht="30.75" customHeight="1">
      <c r="A1325" s="178" t="s">
        <v>147</v>
      </c>
      <c r="B1325" s="75" t="s">
        <v>1270</v>
      </c>
      <c r="C1325" s="39" t="s">
        <v>17</v>
      </c>
      <c r="D1325" s="236"/>
      <c r="E1325" s="236"/>
      <c r="F1325" s="236"/>
      <c r="G1325" s="236"/>
      <c r="H1325" s="40">
        <f>SUM(Tabla132112419[[#This Row],[PRIMER TRIMESTRE]:[CUARTO TRIMESTRE]])</f>
        <v>0</v>
      </c>
      <c r="I1325" s="17">
        <v>850</v>
      </c>
      <c r="J1325" s="17">
        <f>+H1325*I1325</f>
        <v>0</v>
      </c>
      <c r="K1325" s="17"/>
      <c r="L1325" s="16" t="s">
        <v>27</v>
      </c>
      <c r="M1325" s="16" t="s">
        <v>22</v>
      </c>
      <c r="N1325" s="39" t="s">
        <v>342</v>
      </c>
    </row>
    <row r="1326" spans="1:14" s="12" customFormat="1" ht="30.75" customHeight="1">
      <c r="A1326" s="178" t="s">
        <v>147</v>
      </c>
      <c r="B1326" s="75" t="s">
        <v>1271</v>
      </c>
      <c r="C1326" s="39" t="s">
        <v>17</v>
      </c>
      <c r="D1326" s="236"/>
      <c r="E1326" s="236"/>
      <c r="F1326" s="236"/>
      <c r="G1326" s="236"/>
      <c r="H1326" s="40">
        <f>SUM(Tabla132112419[[#This Row],[PRIMER TRIMESTRE]:[CUARTO TRIMESTRE]])</f>
        <v>0</v>
      </c>
      <c r="I1326" s="17">
        <v>250</v>
      </c>
      <c r="J1326" s="17">
        <f>+H1326*I1326</f>
        <v>0</v>
      </c>
      <c r="K1326" s="17"/>
      <c r="L1326" s="16" t="s">
        <v>27</v>
      </c>
      <c r="M1326" s="16" t="s">
        <v>22</v>
      </c>
      <c r="N1326" s="39" t="s">
        <v>342</v>
      </c>
    </row>
    <row r="1327" spans="1:14" s="12" customFormat="1" ht="30.75" customHeight="1">
      <c r="A1327" s="179" t="s">
        <v>147</v>
      </c>
      <c r="B1327" s="76"/>
      <c r="C1327" s="42"/>
      <c r="D1327" s="237"/>
      <c r="E1327" s="237"/>
      <c r="F1327" s="237"/>
      <c r="G1327" s="237"/>
      <c r="H1327" s="43"/>
      <c r="I1327" s="24"/>
      <c r="J1327" s="24"/>
      <c r="K1327" s="25">
        <f>SUM(J1309:J1326)</f>
        <v>0</v>
      </c>
      <c r="L1327" s="23"/>
      <c r="M1327" s="23"/>
      <c r="N1327" s="42"/>
    </row>
    <row r="1328" spans="1:14" s="12" customFormat="1" ht="30.75" customHeight="1">
      <c r="A1328" s="178" t="s">
        <v>153</v>
      </c>
      <c r="B1328" s="75" t="s">
        <v>1908</v>
      </c>
      <c r="C1328" s="412" t="s">
        <v>17</v>
      </c>
      <c r="D1328" s="236"/>
      <c r="E1328" s="236"/>
      <c r="F1328" s="236"/>
      <c r="G1328" s="236"/>
      <c r="H1328" s="244">
        <f>SUM(Tabla132112419[[#This Row],[PRIMER TRIMESTRE]:[CUARTO TRIMESTRE]])</f>
        <v>0</v>
      </c>
      <c r="I1328" s="17">
        <v>0</v>
      </c>
      <c r="J1328" s="286"/>
      <c r="K1328" s="286"/>
      <c r="L1328" s="16" t="s">
        <v>15</v>
      </c>
      <c r="M1328" s="16" t="s">
        <v>22</v>
      </c>
      <c r="N1328" s="39" t="s">
        <v>342</v>
      </c>
    </row>
    <row r="1329" spans="1:14" s="12" customFormat="1" ht="30.75" customHeight="1">
      <c r="A1329" s="178" t="s">
        <v>1909</v>
      </c>
      <c r="B1329" s="75" t="s">
        <v>1910</v>
      </c>
      <c r="C1329" s="412" t="s">
        <v>17</v>
      </c>
      <c r="D1329" s="236"/>
      <c r="E1329" s="236"/>
      <c r="F1329" s="236"/>
      <c r="G1329" s="236"/>
      <c r="H1329" s="244">
        <v>0</v>
      </c>
      <c r="I1329" s="17">
        <v>0</v>
      </c>
      <c r="J1329" s="286"/>
      <c r="K1329" s="286"/>
      <c r="L1329" s="16" t="s">
        <v>15</v>
      </c>
      <c r="M1329" s="16" t="s">
        <v>22</v>
      </c>
      <c r="N1329" s="39" t="s">
        <v>342</v>
      </c>
    </row>
    <row r="1330" spans="1:14" s="12" customFormat="1" ht="30.75" customHeight="1">
      <c r="A1330" s="178" t="s">
        <v>1909</v>
      </c>
      <c r="B1330" s="75" t="s">
        <v>1911</v>
      </c>
      <c r="C1330" s="412" t="s">
        <v>17</v>
      </c>
      <c r="D1330" s="236"/>
      <c r="E1330" s="236"/>
      <c r="F1330" s="236"/>
      <c r="G1330" s="236"/>
      <c r="H1330" s="244">
        <f>SUM(Tabla132112419[[#This Row],[PRIMER TRIMESTRE]:[CUARTO TRIMESTRE]])</f>
        <v>0</v>
      </c>
      <c r="I1330" s="17">
        <v>1</v>
      </c>
      <c r="J1330" s="17"/>
      <c r="K1330" s="17"/>
      <c r="L1330" s="16" t="s">
        <v>15</v>
      </c>
      <c r="M1330" s="16" t="s">
        <v>22</v>
      </c>
      <c r="N1330" s="39" t="s">
        <v>342</v>
      </c>
    </row>
    <row r="1331" spans="1:14" s="12" customFormat="1" ht="30.75" customHeight="1">
      <c r="A1331" s="178" t="s">
        <v>153</v>
      </c>
      <c r="B1331" s="75" t="s">
        <v>1664</v>
      </c>
      <c r="C1331" s="412" t="s">
        <v>17</v>
      </c>
      <c r="D1331" s="236"/>
      <c r="E1331" s="236"/>
      <c r="F1331" s="236"/>
      <c r="G1331" s="236"/>
      <c r="H1331" s="244">
        <f>SUM(Tabla132112419[[#This Row],[PRIMER TRIMESTRE]:[CUARTO TRIMESTRE]])</f>
        <v>0</v>
      </c>
      <c r="I1331" s="17">
        <v>1</v>
      </c>
      <c r="J1331" s="17"/>
      <c r="K1331" s="17"/>
      <c r="L1331" s="16" t="s">
        <v>15</v>
      </c>
      <c r="M1331" s="16" t="s">
        <v>22</v>
      </c>
      <c r="N1331" s="39" t="s">
        <v>342</v>
      </c>
    </row>
    <row r="1332" spans="1:14" s="12" customFormat="1" ht="30.75" customHeight="1">
      <c r="A1332" s="178" t="s">
        <v>153</v>
      </c>
      <c r="B1332" s="75" t="s">
        <v>1665</v>
      </c>
      <c r="C1332" s="412" t="s">
        <v>17</v>
      </c>
      <c r="D1332" s="236"/>
      <c r="E1332" s="236"/>
      <c r="F1332" s="236"/>
      <c r="G1332" s="236"/>
      <c r="H1332" s="244">
        <f>SUM(Tabla132112419[[#This Row],[PRIMER TRIMESTRE]:[CUARTO TRIMESTRE]])</f>
        <v>0</v>
      </c>
      <c r="I1332" s="17">
        <v>0</v>
      </c>
      <c r="J1332" s="286"/>
      <c r="K1332" s="286"/>
      <c r="L1332" s="16" t="s">
        <v>15</v>
      </c>
      <c r="M1332" s="16" t="s">
        <v>22</v>
      </c>
      <c r="N1332" s="39" t="s">
        <v>342</v>
      </c>
    </row>
    <row r="1333" spans="1:14" s="12" customFormat="1" ht="30.75" customHeight="1">
      <c r="A1333" s="178" t="s">
        <v>153</v>
      </c>
      <c r="B1333" s="75" t="s">
        <v>768</v>
      </c>
      <c r="C1333" s="39" t="s">
        <v>17</v>
      </c>
      <c r="D1333" s="236"/>
      <c r="E1333" s="236"/>
      <c r="F1333" s="236"/>
      <c r="G1333" s="236"/>
      <c r="H1333" s="244">
        <f>SUM(Tabla132112419[[#This Row],[PRIMER TRIMESTRE]:[CUARTO TRIMESTRE]])</f>
        <v>0</v>
      </c>
      <c r="I1333" s="17">
        <v>48.75</v>
      </c>
      <c r="J1333" s="17">
        <f>+H1333*I1333</f>
        <v>0</v>
      </c>
      <c r="K1333" s="17"/>
      <c r="L1333" s="16" t="s">
        <v>15</v>
      </c>
      <c r="M1333" s="16" t="s">
        <v>22</v>
      </c>
      <c r="N1333" s="39" t="s">
        <v>342</v>
      </c>
    </row>
    <row r="1334" spans="1:14" s="12" customFormat="1" ht="30.75" customHeight="1">
      <c r="A1334" s="178" t="s">
        <v>153</v>
      </c>
      <c r="B1334" s="75" t="s">
        <v>1417</v>
      </c>
      <c r="C1334" s="39" t="s">
        <v>17</v>
      </c>
      <c r="D1334" s="236"/>
      <c r="E1334" s="236"/>
      <c r="F1334" s="236"/>
      <c r="G1334" s="236"/>
      <c r="H1334" s="236">
        <f>SUM(Tabla132112419[[#This Row],[PRIMER TRIMESTRE]:[CUARTO TRIMESTRE]])</f>
        <v>0</v>
      </c>
      <c r="I1334" s="17">
        <v>9</v>
      </c>
      <c r="J1334" s="17">
        <f>+H1334*I1334</f>
        <v>0</v>
      </c>
      <c r="K1334" s="17"/>
      <c r="L1334" s="16" t="s">
        <v>18</v>
      </c>
      <c r="M1334" s="16" t="s">
        <v>22</v>
      </c>
      <c r="N1334" s="39" t="s">
        <v>342</v>
      </c>
    </row>
    <row r="1335" spans="1:14" s="26" customFormat="1" ht="30.75" customHeight="1">
      <c r="A1335" s="178" t="s">
        <v>153</v>
      </c>
      <c r="B1335" s="75" t="s">
        <v>1627</v>
      </c>
      <c r="C1335" s="39" t="s">
        <v>17</v>
      </c>
      <c r="D1335" s="236"/>
      <c r="E1335" s="236"/>
      <c r="F1335" s="236"/>
      <c r="G1335" s="236"/>
      <c r="H1335" s="236">
        <f>SUM(Tabla132112419[[#This Row],[PRIMER TRIMESTRE]:[CUARTO TRIMESTRE]])</f>
        <v>0</v>
      </c>
      <c r="I1335" s="17">
        <v>30</v>
      </c>
      <c r="J1335" s="17">
        <f>+H1335*I1335</f>
        <v>0</v>
      </c>
      <c r="K1335" s="178"/>
      <c r="L1335" s="16" t="s">
        <v>18</v>
      </c>
      <c r="M1335" s="16" t="s">
        <v>22</v>
      </c>
      <c r="N1335" s="39" t="s">
        <v>342</v>
      </c>
    </row>
    <row r="1336" spans="1:14" s="169" customFormat="1" ht="30.75" customHeight="1">
      <c r="A1336" s="178" t="s">
        <v>153</v>
      </c>
      <c r="B1336" s="75" t="s">
        <v>1466</v>
      </c>
      <c r="C1336" s="39" t="s">
        <v>17</v>
      </c>
      <c r="D1336" s="236"/>
      <c r="E1336" s="236"/>
      <c r="F1336" s="236"/>
      <c r="G1336" s="236"/>
      <c r="H1336" s="244">
        <f>SUM(Tabla132112419[[#This Row],[PRIMER TRIMESTRE]:[CUARTO TRIMESTRE]])</f>
        <v>0</v>
      </c>
      <c r="I1336" s="17">
        <v>2200</v>
      </c>
      <c r="J1336" s="17">
        <f>+H1336*I1336</f>
        <v>0</v>
      </c>
      <c r="K1336" s="17"/>
      <c r="L1336" s="16" t="s">
        <v>18</v>
      </c>
      <c r="M1336" s="16" t="s">
        <v>22</v>
      </c>
      <c r="N1336" s="39" t="s">
        <v>342</v>
      </c>
    </row>
    <row r="1337" spans="1:14" s="169" customFormat="1" ht="49.5" customHeight="1">
      <c r="A1337" s="179" t="s">
        <v>153</v>
      </c>
      <c r="B1337" s="76"/>
      <c r="C1337" s="42"/>
      <c r="D1337" s="237"/>
      <c r="E1337" s="237"/>
      <c r="F1337" s="237"/>
      <c r="G1337" s="237"/>
      <c r="H1337" s="43"/>
      <c r="I1337" s="24"/>
      <c r="J1337" s="24"/>
      <c r="K1337" s="25">
        <f>SUM(J1333:J1336)</f>
        <v>0</v>
      </c>
      <c r="L1337" s="23"/>
      <c r="M1337" s="23"/>
      <c r="N1337" s="42"/>
    </row>
    <row r="1338" spans="1:14" s="169" customFormat="1" ht="51.75" customHeight="1">
      <c r="A1338" s="180" t="s">
        <v>1024</v>
      </c>
      <c r="B1338" s="77" t="s">
        <v>1025</v>
      </c>
      <c r="C1338" s="70" t="s">
        <v>17</v>
      </c>
      <c r="D1338" s="210"/>
      <c r="E1338" s="210"/>
      <c r="F1338" s="210"/>
      <c r="G1338" s="210"/>
      <c r="H1338" s="406">
        <f>SUM(Tabla132112419[[#This Row],[PRIMER TRIMESTRE]:[CUARTO TRIMESTRE]])</f>
        <v>0</v>
      </c>
      <c r="I1338" s="72">
        <v>2465459.7599999998</v>
      </c>
      <c r="J1338" s="72">
        <f t="shared" ref="J1338:J1343" si="34">+H1338*I1338</f>
        <v>0</v>
      </c>
      <c r="K1338" s="72"/>
      <c r="L1338" s="73" t="s">
        <v>18</v>
      </c>
      <c r="M1338" s="73" t="s">
        <v>19</v>
      </c>
      <c r="N1338" s="70"/>
    </row>
    <row r="1339" spans="1:14" s="169" customFormat="1" ht="54" customHeight="1">
      <c r="A1339" s="180" t="s">
        <v>1024</v>
      </c>
      <c r="B1339" s="77" t="s">
        <v>1026</v>
      </c>
      <c r="C1339" s="70" t="s">
        <v>17</v>
      </c>
      <c r="D1339" s="210"/>
      <c r="E1339" s="210"/>
      <c r="F1339" s="210"/>
      <c r="G1339" s="210"/>
      <c r="H1339" s="406">
        <f>SUM(Tabla132112419[[#This Row],[PRIMER TRIMESTRE]:[CUARTO TRIMESTRE]])</f>
        <v>0</v>
      </c>
      <c r="I1339" s="72">
        <v>485677.62</v>
      </c>
      <c r="J1339" s="72">
        <f t="shared" si="34"/>
        <v>0</v>
      </c>
      <c r="K1339" s="72"/>
      <c r="L1339" s="73" t="s">
        <v>18</v>
      </c>
      <c r="M1339" s="73" t="s">
        <v>19</v>
      </c>
      <c r="N1339" s="70" t="s">
        <v>342</v>
      </c>
    </row>
    <row r="1340" spans="1:14" s="169" customFormat="1" ht="48.75" customHeight="1">
      <c r="A1340" s="180" t="s">
        <v>1024</v>
      </c>
      <c r="B1340" s="77" t="s">
        <v>1027</v>
      </c>
      <c r="C1340" s="70" t="s">
        <v>17</v>
      </c>
      <c r="D1340" s="210"/>
      <c r="E1340" s="210"/>
      <c r="F1340" s="210"/>
      <c r="G1340" s="210"/>
      <c r="H1340" s="406">
        <f>SUM(Tabla132112419[[#This Row],[PRIMER TRIMESTRE]:[CUARTO TRIMESTRE]])</f>
        <v>0</v>
      </c>
      <c r="I1340" s="72">
        <v>7126452.3600000003</v>
      </c>
      <c r="J1340" s="72">
        <f t="shared" si="34"/>
        <v>0</v>
      </c>
      <c r="K1340" s="72"/>
      <c r="L1340" s="73" t="s">
        <v>18</v>
      </c>
      <c r="M1340" s="73" t="s">
        <v>19</v>
      </c>
      <c r="N1340" s="70"/>
    </row>
    <row r="1341" spans="1:14" s="169" customFormat="1" ht="51" customHeight="1">
      <c r="A1341" s="180" t="s">
        <v>1024</v>
      </c>
      <c r="B1341" s="77" t="s">
        <v>1028</v>
      </c>
      <c r="C1341" s="70" t="s">
        <v>17</v>
      </c>
      <c r="D1341" s="210"/>
      <c r="E1341" s="210"/>
      <c r="F1341" s="210"/>
      <c r="G1341" s="210"/>
      <c r="H1341" s="406">
        <f>SUM(Tabla132112419[[#This Row],[PRIMER TRIMESTRE]:[CUARTO TRIMESTRE]])</f>
        <v>0</v>
      </c>
      <c r="I1341" s="72">
        <v>52892.2</v>
      </c>
      <c r="J1341" s="72">
        <f t="shared" si="34"/>
        <v>0</v>
      </c>
      <c r="K1341" s="72"/>
      <c r="L1341" s="73" t="s">
        <v>18</v>
      </c>
      <c r="M1341" s="73" t="s">
        <v>19</v>
      </c>
      <c r="N1341" s="70" t="s">
        <v>342</v>
      </c>
    </row>
    <row r="1342" spans="1:14" s="169" customFormat="1" ht="48.75" customHeight="1">
      <c r="A1342" s="180" t="s">
        <v>1024</v>
      </c>
      <c r="B1342" s="77" t="s">
        <v>1029</v>
      </c>
      <c r="C1342" s="70" t="s">
        <v>17</v>
      </c>
      <c r="D1342" s="210"/>
      <c r="E1342" s="210"/>
      <c r="F1342" s="210"/>
      <c r="G1342" s="210"/>
      <c r="H1342" s="406">
        <f>SUM(Tabla132112419[[#This Row],[PRIMER TRIMESTRE]:[CUARTO TRIMESTRE]])</f>
        <v>0</v>
      </c>
      <c r="I1342" s="72">
        <v>134185.97999999998</v>
      </c>
      <c r="J1342" s="72">
        <f t="shared" si="34"/>
        <v>0</v>
      </c>
      <c r="K1342" s="72"/>
      <c r="L1342" s="73" t="s">
        <v>18</v>
      </c>
      <c r="M1342" s="73" t="s">
        <v>19</v>
      </c>
      <c r="N1342" s="70"/>
    </row>
    <row r="1343" spans="1:14" s="12" customFormat="1" ht="30.75" customHeight="1">
      <c r="A1343" s="180" t="s">
        <v>1024</v>
      </c>
      <c r="B1343" s="77" t="s">
        <v>1030</v>
      </c>
      <c r="C1343" s="70" t="s">
        <v>17</v>
      </c>
      <c r="D1343" s="210"/>
      <c r="E1343" s="210"/>
      <c r="F1343" s="210"/>
      <c r="G1343" s="210"/>
      <c r="H1343" s="406">
        <f>SUM(Tabla132112419[[#This Row],[PRIMER TRIMESTRE]:[CUARTO TRIMESTRE]])</f>
        <v>0</v>
      </c>
      <c r="I1343" s="72">
        <v>624559.46</v>
      </c>
      <c r="J1343" s="72">
        <f t="shared" si="34"/>
        <v>0</v>
      </c>
      <c r="K1343" s="72"/>
      <c r="L1343" s="73" t="s">
        <v>18</v>
      </c>
      <c r="M1343" s="73" t="s">
        <v>19</v>
      </c>
      <c r="N1343" s="70"/>
    </row>
    <row r="1344" spans="1:14" s="169" customFormat="1" ht="30.75" customHeight="1">
      <c r="A1344" s="179" t="s">
        <v>1024</v>
      </c>
      <c r="B1344" s="76"/>
      <c r="C1344" s="42"/>
      <c r="D1344" s="237"/>
      <c r="E1344" s="237"/>
      <c r="F1344" s="237"/>
      <c r="G1344" s="237"/>
      <c r="H1344" s="43"/>
      <c r="I1344" s="24"/>
      <c r="J1344" s="24"/>
      <c r="K1344" s="25">
        <f>SUM(J1338:J1343)</f>
        <v>0</v>
      </c>
      <c r="L1344" s="23"/>
      <c r="M1344" s="23"/>
      <c r="N1344" s="42"/>
    </row>
    <row r="1345" spans="1:14" s="169" customFormat="1" ht="30.75" customHeight="1">
      <c r="A1345" s="180" t="s">
        <v>167</v>
      </c>
      <c r="B1345" s="77" t="s">
        <v>964</v>
      </c>
      <c r="C1345" s="70" t="s">
        <v>17</v>
      </c>
      <c r="D1345" s="210"/>
      <c r="E1345" s="210"/>
      <c r="F1345" s="210"/>
      <c r="G1345" s="210"/>
      <c r="H1345" s="406">
        <f>SUM(Tabla132112419[[#This Row],[PRIMER TRIMESTRE]:[CUARTO TRIMESTRE]])</f>
        <v>0</v>
      </c>
      <c r="I1345" s="72">
        <v>84508.178</v>
      </c>
      <c r="J1345" s="72">
        <f t="shared" ref="J1345:J1407" si="35">+H1345*I1345</f>
        <v>0</v>
      </c>
      <c r="K1345" s="72"/>
      <c r="L1345" s="73" t="s">
        <v>18</v>
      </c>
      <c r="M1345" s="73" t="s">
        <v>19</v>
      </c>
      <c r="N1345" s="70" t="s">
        <v>342</v>
      </c>
    </row>
    <row r="1346" spans="1:14" s="169" customFormat="1" ht="30.75" customHeight="1">
      <c r="A1346" s="180" t="s">
        <v>167</v>
      </c>
      <c r="B1346" s="77" t="s">
        <v>965</v>
      </c>
      <c r="C1346" s="70" t="s">
        <v>17</v>
      </c>
      <c r="D1346" s="210"/>
      <c r="E1346" s="210"/>
      <c r="F1346" s="210"/>
      <c r="G1346" s="210"/>
      <c r="H1346" s="406">
        <f>SUM(Tabla132112419[[#This Row],[PRIMER TRIMESTRE]:[CUARTO TRIMESTRE]])</f>
        <v>0</v>
      </c>
      <c r="I1346" s="72">
        <v>55372.68</v>
      </c>
      <c r="J1346" s="72">
        <f t="shared" si="35"/>
        <v>0</v>
      </c>
      <c r="K1346" s="72"/>
      <c r="L1346" s="73" t="s">
        <v>18</v>
      </c>
      <c r="M1346" s="73" t="s">
        <v>19</v>
      </c>
      <c r="N1346" s="70"/>
    </row>
    <row r="1347" spans="1:14" s="169" customFormat="1" ht="30.75" customHeight="1">
      <c r="A1347" s="180" t="s">
        <v>167</v>
      </c>
      <c r="B1347" s="77" t="s">
        <v>966</v>
      </c>
      <c r="C1347" s="70" t="s">
        <v>17</v>
      </c>
      <c r="D1347" s="210"/>
      <c r="E1347" s="210"/>
      <c r="F1347" s="210"/>
      <c r="G1347" s="210"/>
      <c r="H1347" s="406">
        <f>SUM(Tabla132112419[[#This Row],[PRIMER TRIMESTRE]:[CUARTO TRIMESTRE]])</f>
        <v>0</v>
      </c>
      <c r="I1347" s="72">
        <v>467752</v>
      </c>
      <c r="J1347" s="72">
        <f t="shared" si="35"/>
        <v>0</v>
      </c>
      <c r="K1347" s="72"/>
      <c r="L1347" s="73" t="s">
        <v>18</v>
      </c>
      <c r="M1347" s="73" t="s">
        <v>19</v>
      </c>
      <c r="N1347" s="70"/>
    </row>
    <row r="1348" spans="1:14" s="169" customFormat="1" ht="30.75" customHeight="1">
      <c r="A1348" s="180" t="s">
        <v>167</v>
      </c>
      <c r="B1348" s="77" t="s">
        <v>967</v>
      </c>
      <c r="C1348" s="70" t="s">
        <v>17</v>
      </c>
      <c r="D1348" s="210"/>
      <c r="E1348" s="210"/>
      <c r="F1348" s="210"/>
      <c r="G1348" s="210"/>
      <c r="H1348" s="406">
        <f>SUM(Tabla132112419[[#This Row],[PRIMER TRIMESTRE]:[CUARTO TRIMESTRE]])</f>
        <v>0</v>
      </c>
      <c r="I1348" s="72">
        <v>804524</v>
      </c>
      <c r="J1348" s="72">
        <f t="shared" si="35"/>
        <v>0</v>
      </c>
      <c r="K1348" s="72"/>
      <c r="L1348" s="73" t="s">
        <v>18</v>
      </c>
      <c r="M1348" s="73" t="s">
        <v>19</v>
      </c>
      <c r="N1348" s="70"/>
    </row>
    <row r="1349" spans="1:14" s="169" customFormat="1" ht="30.75" customHeight="1">
      <c r="A1349" s="180" t="s">
        <v>167</v>
      </c>
      <c r="B1349" s="77" t="s">
        <v>968</v>
      </c>
      <c r="C1349" s="70" t="s">
        <v>17</v>
      </c>
      <c r="D1349" s="210"/>
      <c r="E1349" s="210"/>
      <c r="F1349" s="210"/>
      <c r="G1349" s="210"/>
      <c r="H1349" s="406">
        <f>SUM(Tabla132112419[[#This Row],[PRIMER TRIMESTRE]:[CUARTO TRIMESTRE]])</f>
        <v>0</v>
      </c>
      <c r="I1349" s="72">
        <v>223315</v>
      </c>
      <c r="J1349" s="72">
        <f t="shared" si="35"/>
        <v>0</v>
      </c>
      <c r="K1349" s="72"/>
      <c r="L1349" s="73" t="s">
        <v>18</v>
      </c>
      <c r="M1349" s="73" t="s">
        <v>19</v>
      </c>
      <c r="N1349" s="70" t="s">
        <v>342</v>
      </c>
    </row>
    <row r="1350" spans="1:14" s="169" customFormat="1" ht="30.75" customHeight="1">
      <c r="A1350" s="180" t="s">
        <v>167</v>
      </c>
      <c r="B1350" s="77" t="s">
        <v>969</v>
      </c>
      <c r="C1350" s="70" t="s">
        <v>17</v>
      </c>
      <c r="D1350" s="210"/>
      <c r="E1350" s="210"/>
      <c r="F1350" s="210"/>
      <c r="G1350" s="210"/>
      <c r="H1350" s="406">
        <f>SUM(Tabla132112419[[#This Row],[PRIMER TRIMESTRE]:[CUARTO TRIMESTRE]])</f>
        <v>0</v>
      </c>
      <c r="I1350" s="72">
        <v>73588.34</v>
      </c>
      <c r="J1350" s="72">
        <f t="shared" si="35"/>
        <v>0</v>
      </c>
      <c r="K1350" s="72"/>
      <c r="L1350" s="73" t="s">
        <v>18</v>
      </c>
      <c r="M1350" s="73" t="s">
        <v>19</v>
      </c>
      <c r="N1350" s="70" t="s">
        <v>342</v>
      </c>
    </row>
    <row r="1351" spans="1:14" s="169" customFormat="1" ht="30.75" customHeight="1">
      <c r="A1351" s="180" t="s">
        <v>167</v>
      </c>
      <c r="B1351" s="77" t="s">
        <v>970</v>
      </c>
      <c r="C1351" s="70" t="s">
        <v>17</v>
      </c>
      <c r="D1351" s="210"/>
      <c r="E1351" s="210"/>
      <c r="F1351" s="210"/>
      <c r="G1351" s="210"/>
      <c r="H1351" s="406">
        <f>SUM(Tabla132112419[[#This Row],[PRIMER TRIMESTRE]:[CUARTO TRIMESTRE]])</f>
        <v>0</v>
      </c>
      <c r="I1351" s="72">
        <v>170392</v>
      </c>
      <c r="J1351" s="72">
        <f t="shared" si="35"/>
        <v>0</v>
      </c>
      <c r="K1351" s="72"/>
      <c r="L1351" s="73" t="s">
        <v>18</v>
      </c>
      <c r="M1351" s="73" t="s">
        <v>19</v>
      </c>
      <c r="N1351" s="70" t="s">
        <v>342</v>
      </c>
    </row>
    <row r="1352" spans="1:14" s="169" customFormat="1" ht="30.75" customHeight="1">
      <c r="A1352" s="180" t="s">
        <v>167</v>
      </c>
      <c r="B1352" s="77" t="s">
        <v>971</v>
      </c>
      <c r="C1352" s="70" t="s">
        <v>17</v>
      </c>
      <c r="D1352" s="210"/>
      <c r="E1352" s="210"/>
      <c r="F1352" s="210"/>
      <c r="G1352" s="210"/>
      <c r="H1352" s="406">
        <f>SUM(Tabla132112419[[#This Row],[PRIMER TRIMESTRE]:[CUARTO TRIMESTRE]])</f>
        <v>0</v>
      </c>
      <c r="I1352" s="72">
        <v>274350</v>
      </c>
      <c r="J1352" s="72">
        <f t="shared" si="35"/>
        <v>0</v>
      </c>
      <c r="K1352" s="72"/>
      <c r="L1352" s="73" t="s">
        <v>18</v>
      </c>
      <c r="M1352" s="73" t="s">
        <v>19</v>
      </c>
      <c r="N1352" s="70" t="s">
        <v>342</v>
      </c>
    </row>
    <row r="1353" spans="1:14" s="169" customFormat="1" ht="30.75" customHeight="1">
      <c r="A1353" s="180" t="s">
        <v>167</v>
      </c>
      <c r="B1353" s="77" t="s">
        <v>972</v>
      </c>
      <c r="C1353" s="70" t="s">
        <v>17</v>
      </c>
      <c r="D1353" s="210"/>
      <c r="E1353" s="210"/>
      <c r="F1353" s="210"/>
      <c r="G1353" s="210"/>
      <c r="H1353" s="406">
        <f>SUM(Tabla132112419[[#This Row],[PRIMER TRIMESTRE]:[CUARTO TRIMESTRE]])</f>
        <v>0</v>
      </c>
      <c r="I1353" s="72">
        <v>55460</v>
      </c>
      <c r="J1353" s="72">
        <f t="shared" si="35"/>
        <v>0</v>
      </c>
      <c r="K1353" s="72"/>
      <c r="L1353" s="73" t="s">
        <v>18</v>
      </c>
      <c r="M1353" s="73" t="s">
        <v>19</v>
      </c>
      <c r="N1353" s="70" t="s">
        <v>342</v>
      </c>
    </row>
    <row r="1354" spans="1:14" s="169" customFormat="1" ht="30.75" customHeight="1">
      <c r="A1354" s="180" t="s">
        <v>167</v>
      </c>
      <c r="B1354" s="77" t="s">
        <v>973</v>
      </c>
      <c r="C1354" s="70" t="s">
        <v>17</v>
      </c>
      <c r="D1354" s="210"/>
      <c r="E1354" s="210"/>
      <c r="F1354" s="210"/>
      <c r="G1354" s="210"/>
      <c r="H1354" s="406">
        <f>SUM(Tabla132112419[[#This Row],[PRIMER TRIMESTRE]:[CUARTO TRIMESTRE]])</f>
        <v>0</v>
      </c>
      <c r="I1354" s="72">
        <v>59000</v>
      </c>
      <c r="J1354" s="72">
        <f t="shared" si="35"/>
        <v>0</v>
      </c>
      <c r="K1354" s="72"/>
      <c r="L1354" s="73" t="s">
        <v>18</v>
      </c>
      <c r="M1354" s="73" t="s">
        <v>19</v>
      </c>
      <c r="N1354" s="70" t="s">
        <v>342</v>
      </c>
    </row>
    <row r="1355" spans="1:14" s="169" customFormat="1" ht="30.75" customHeight="1">
      <c r="A1355" s="180" t="s">
        <v>167</v>
      </c>
      <c r="B1355" s="77" t="s">
        <v>974</v>
      </c>
      <c r="C1355" s="70" t="s">
        <v>17</v>
      </c>
      <c r="D1355" s="210"/>
      <c r="E1355" s="210"/>
      <c r="F1355" s="210"/>
      <c r="G1355" s="210"/>
      <c r="H1355" s="406">
        <f>SUM(Tabla132112419[[#This Row],[PRIMER TRIMESTRE]:[CUARTO TRIMESTRE]])</f>
        <v>0</v>
      </c>
      <c r="I1355" s="72">
        <v>17700</v>
      </c>
      <c r="J1355" s="72">
        <f t="shared" si="35"/>
        <v>0</v>
      </c>
      <c r="K1355" s="72"/>
      <c r="L1355" s="73" t="s">
        <v>18</v>
      </c>
      <c r="M1355" s="73" t="s">
        <v>19</v>
      </c>
      <c r="N1355" s="70" t="s">
        <v>342</v>
      </c>
    </row>
    <row r="1356" spans="1:14" s="169" customFormat="1" ht="30.75" customHeight="1">
      <c r="A1356" s="180" t="s">
        <v>167</v>
      </c>
      <c r="B1356" s="77" t="s">
        <v>975</v>
      </c>
      <c r="C1356" s="70" t="s">
        <v>17</v>
      </c>
      <c r="D1356" s="210"/>
      <c r="E1356" s="210"/>
      <c r="F1356" s="210"/>
      <c r="G1356" s="210"/>
      <c r="H1356" s="406">
        <f>SUM(Tabla132112419[[#This Row],[PRIMER TRIMESTRE]:[CUARTO TRIMESTRE]])</f>
        <v>0</v>
      </c>
      <c r="I1356" s="72">
        <v>843572.93759999995</v>
      </c>
      <c r="J1356" s="72">
        <f t="shared" si="35"/>
        <v>0</v>
      </c>
      <c r="K1356" s="72"/>
      <c r="L1356" s="73" t="s">
        <v>18</v>
      </c>
      <c r="M1356" s="73" t="s">
        <v>19</v>
      </c>
      <c r="N1356" s="70" t="s">
        <v>342</v>
      </c>
    </row>
    <row r="1357" spans="1:14" s="169" customFormat="1" ht="30.75" customHeight="1">
      <c r="A1357" s="180" t="s">
        <v>167</v>
      </c>
      <c r="B1357" s="77" t="s">
        <v>976</v>
      </c>
      <c r="C1357" s="70" t="s">
        <v>17</v>
      </c>
      <c r="D1357" s="210"/>
      <c r="E1357" s="210"/>
      <c r="F1357" s="210"/>
      <c r="G1357" s="210"/>
      <c r="H1357" s="406">
        <f>SUM(Tabla132112419[[#This Row],[PRIMER TRIMESTRE]:[CUARTO TRIMESTRE]])</f>
        <v>0</v>
      </c>
      <c r="I1357" s="72">
        <v>46936.765599999999</v>
      </c>
      <c r="J1357" s="72">
        <f t="shared" si="35"/>
        <v>0</v>
      </c>
      <c r="K1357" s="72"/>
      <c r="L1357" s="73" t="s">
        <v>18</v>
      </c>
      <c r="M1357" s="73" t="s">
        <v>19</v>
      </c>
      <c r="N1357" s="70" t="s">
        <v>342</v>
      </c>
    </row>
    <row r="1358" spans="1:14" s="169" customFormat="1" ht="42.75" customHeight="1">
      <c r="A1358" s="180" t="s">
        <v>167</v>
      </c>
      <c r="B1358" s="77" t="s">
        <v>977</v>
      </c>
      <c r="C1358" s="70" t="s">
        <v>17</v>
      </c>
      <c r="D1358" s="210"/>
      <c r="E1358" s="210"/>
      <c r="F1358" s="210"/>
      <c r="G1358" s="210"/>
      <c r="H1358" s="406">
        <f>SUM(Tabla132112419[[#This Row],[PRIMER TRIMESTRE]:[CUARTO TRIMESTRE]])</f>
        <v>0</v>
      </c>
      <c r="I1358" s="72">
        <v>121535.63399999999</v>
      </c>
      <c r="J1358" s="72">
        <f t="shared" si="35"/>
        <v>0</v>
      </c>
      <c r="K1358" s="72"/>
      <c r="L1358" s="73" t="s">
        <v>18</v>
      </c>
      <c r="M1358" s="73" t="s">
        <v>19</v>
      </c>
      <c r="N1358" s="70" t="s">
        <v>342</v>
      </c>
    </row>
    <row r="1359" spans="1:14" s="169" customFormat="1" ht="30.75" customHeight="1">
      <c r="A1359" s="180" t="s">
        <v>167</v>
      </c>
      <c r="B1359" s="77" t="s">
        <v>978</v>
      </c>
      <c r="C1359" s="70" t="s">
        <v>17</v>
      </c>
      <c r="D1359" s="210"/>
      <c r="E1359" s="210"/>
      <c r="F1359" s="210"/>
      <c r="G1359" s="210"/>
      <c r="H1359" s="406">
        <f>SUM(Tabla132112419[[#This Row],[PRIMER TRIMESTRE]:[CUARTO TRIMESTRE]])</f>
        <v>0</v>
      </c>
      <c r="I1359" s="72">
        <v>1558708.1733999997</v>
      </c>
      <c r="J1359" s="72">
        <f t="shared" si="35"/>
        <v>0</v>
      </c>
      <c r="K1359" s="72"/>
      <c r="L1359" s="73" t="s">
        <v>18</v>
      </c>
      <c r="M1359" s="73" t="s">
        <v>19</v>
      </c>
      <c r="N1359" s="70" t="s">
        <v>342</v>
      </c>
    </row>
    <row r="1360" spans="1:14" s="169" customFormat="1" ht="30.75" customHeight="1">
      <c r="A1360" s="180" t="s">
        <v>167</v>
      </c>
      <c r="B1360" s="77" t="s">
        <v>979</v>
      </c>
      <c r="C1360" s="70" t="s">
        <v>17</v>
      </c>
      <c r="D1360" s="210"/>
      <c r="E1360" s="210"/>
      <c r="F1360" s="210"/>
      <c r="G1360" s="210"/>
      <c r="H1360" s="406">
        <f>SUM(Tabla132112419[[#This Row],[PRIMER TRIMESTRE]:[CUARTO TRIMESTRE]])</f>
        <v>0</v>
      </c>
      <c r="I1360" s="72">
        <v>125316</v>
      </c>
      <c r="J1360" s="72">
        <f t="shared" si="35"/>
        <v>0</v>
      </c>
      <c r="K1360" s="72"/>
      <c r="L1360" s="73" t="s">
        <v>18</v>
      </c>
      <c r="M1360" s="73" t="s">
        <v>19</v>
      </c>
      <c r="N1360" s="70" t="s">
        <v>342</v>
      </c>
    </row>
    <row r="1361" spans="1:14" s="169" customFormat="1" ht="30.75" customHeight="1">
      <c r="A1361" s="180" t="s">
        <v>167</v>
      </c>
      <c r="B1361" s="77" t="s">
        <v>980</v>
      </c>
      <c r="C1361" s="70" t="s">
        <v>17</v>
      </c>
      <c r="D1361" s="210"/>
      <c r="E1361" s="210"/>
      <c r="F1361" s="210"/>
      <c r="G1361" s="210"/>
      <c r="H1361" s="406">
        <f>SUM(Tabla132112419[[#This Row],[PRIMER TRIMESTRE]:[CUARTO TRIMESTRE]])</f>
        <v>0</v>
      </c>
      <c r="I1361" s="72">
        <v>953817.59999999998</v>
      </c>
      <c r="J1361" s="72">
        <f t="shared" si="35"/>
        <v>0</v>
      </c>
      <c r="K1361" s="72"/>
      <c r="L1361" s="73" t="s">
        <v>18</v>
      </c>
      <c r="M1361" s="73" t="s">
        <v>19</v>
      </c>
      <c r="N1361" s="70"/>
    </row>
    <row r="1362" spans="1:14" s="169" customFormat="1" ht="30.75" customHeight="1">
      <c r="A1362" s="180" t="s">
        <v>167</v>
      </c>
      <c r="B1362" s="77" t="s">
        <v>981</v>
      </c>
      <c r="C1362" s="70" t="s">
        <v>17</v>
      </c>
      <c r="D1362" s="210"/>
      <c r="E1362" s="210"/>
      <c r="F1362" s="210"/>
      <c r="G1362" s="210"/>
      <c r="H1362" s="406">
        <f>SUM(Tabla132112419[[#This Row],[PRIMER TRIMESTRE]:[CUARTO TRIMESTRE]])</f>
        <v>0</v>
      </c>
      <c r="I1362" s="72">
        <v>443739</v>
      </c>
      <c r="J1362" s="72">
        <f t="shared" si="35"/>
        <v>0</v>
      </c>
      <c r="K1362" s="72"/>
      <c r="L1362" s="73" t="s">
        <v>18</v>
      </c>
      <c r="M1362" s="73" t="s">
        <v>19</v>
      </c>
      <c r="N1362" s="70" t="s">
        <v>342</v>
      </c>
    </row>
    <row r="1363" spans="1:14" s="169" customFormat="1" ht="30.75" customHeight="1">
      <c r="A1363" s="180" t="s">
        <v>167</v>
      </c>
      <c r="B1363" s="77" t="s">
        <v>982</v>
      </c>
      <c r="C1363" s="70" t="s">
        <v>17</v>
      </c>
      <c r="D1363" s="210"/>
      <c r="E1363" s="210"/>
      <c r="F1363" s="210"/>
      <c r="G1363" s="210"/>
      <c r="H1363" s="406">
        <f>SUM(Tabla132112419[[#This Row],[PRIMER TRIMESTRE]:[CUARTO TRIMESTRE]])</f>
        <v>0</v>
      </c>
      <c r="I1363" s="72">
        <v>399194</v>
      </c>
      <c r="J1363" s="72">
        <f t="shared" si="35"/>
        <v>0</v>
      </c>
      <c r="K1363" s="72"/>
      <c r="L1363" s="73" t="s">
        <v>18</v>
      </c>
      <c r="M1363" s="73" t="s">
        <v>19</v>
      </c>
      <c r="N1363" s="70"/>
    </row>
    <row r="1364" spans="1:14" s="169" customFormat="1" ht="30.75" customHeight="1">
      <c r="A1364" s="180" t="s">
        <v>167</v>
      </c>
      <c r="B1364" s="77" t="s">
        <v>983</v>
      </c>
      <c r="C1364" s="70" t="s">
        <v>17</v>
      </c>
      <c r="D1364" s="210"/>
      <c r="E1364" s="210"/>
      <c r="F1364" s="210"/>
      <c r="G1364" s="210"/>
      <c r="H1364" s="406">
        <f>SUM(Tabla132112419[[#This Row],[PRIMER TRIMESTRE]:[CUARTO TRIMESTRE]])</f>
        <v>0</v>
      </c>
      <c r="I1364" s="72">
        <v>5763120</v>
      </c>
      <c r="J1364" s="72">
        <f t="shared" si="35"/>
        <v>0</v>
      </c>
      <c r="K1364" s="72"/>
      <c r="L1364" s="73" t="s">
        <v>18</v>
      </c>
      <c r="M1364" s="73" t="s">
        <v>19</v>
      </c>
      <c r="N1364" s="70"/>
    </row>
    <row r="1365" spans="1:14" s="169" customFormat="1" ht="30.75" customHeight="1">
      <c r="A1365" s="180" t="s">
        <v>167</v>
      </c>
      <c r="B1365" s="77" t="s">
        <v>984</v>
      </c>
      <c r="C1365" s="70" t="s">
        <v>17</v>
      </c>
      <c r="D1365" s="210"/>
      <c r="E1365" s="210"/>
      <c r="F1365" s="210"/>
      <c r="G1365" s="210"/>
      <c r="H1365" s="406">
        <f>SUM(Tabla132112419[[#This Row],[PRIMER TRIMESTRE]:[CUARTO TRIMESTRE]])</f>
        <v>0</v>
      </c>
      <c r="I1365" s="72">
        <v>399194</v>
      </c>
      <c r="J1365" s="72">
        <f t="shared" si="35"/>
        <v>0</v>
      </c>
      <c r="K1365" s="72"/>
      <c r="L1365" s="73" t="s">
        <v>18</v>
      </c>
      <c r="M1365" s="73" t="s">
        <v>19</v>
      </c>
      <c r="N1365" s="70" t="s">
        <v>342</v>
      </c>
    </row>
    <row r="1366" spans="1:14" s="169" customFormat="1" ht="30.75" customHeight="1">
      <c r="A1366" s="180" t="s">
        <v>167</v>
      </c>
      <c r="B1366" s="77" t="s">
        <v>985</v>
      </c>
      <c r="C1366" s="70" t="s">
        <v>17</v>
      </c>
      <c r="D1366" s="210"/>
      <c r="E1366" s="210"/>
      <c r="F1366" s="210"/>
      <c r="G1366" s="210"/>
      <c r="H1366" s="406">
        <f>SUM(Tabla132112419[[#This Row],[PRIMER TRIMESTRE]:[CUARTO TRIMESTRE]])</f>
        <v>0</v>
      </c>
      <c r="I1366" s="72">
        <v>130224.79999999999</v>
      </c>
      <c r="J1366" s="72">
        <f t="shared" si="35"/>
        <v>0</v>
      </c>
      <c r="K1366" s="72"/>
      <c r="L1366" s="73" t="s">
        <v>18</v>
      </c>
      <c r="M1366" s="73" t="s">
        <v>19</v>
      </c>
      <c r="N1366" s="70" t="s">
        <v>342</v>
      </c>
    </row>
    <row r="1367" spans="1:14" s="169" customFormat="1" ht="30.75" customHeight="1">
      <c r="A1367" s="180" t="s">
        <v>167</v>
      </c>
      <c r="B1367" s="77" t="s">
        <v>986</v>
      </c>
      <c r="C1367" s="70" t="s">
        <v>17</v>
      </c>
      <c r="D1367" s="210"/>
      <c r="E1367" s="210"/>
      <c r="F1367" s="210"/>
      <c r="G1367" s="210"/>
      <c r="H1367" s="406">
        <f>SUM(Tabla132112419[[#This Row],[PRIMER TRIMESTRE]:[CUARTO TRIMESTRE]])</f>
        <v>0</v>
      </c>
      <c r="I1367" s="72">
        <v>394438.6</v>
      </c>
      <c r="J1367" s="72">
        <f t="shared" si="35"/>
        <v>0</v>
      </c>
      <c r="K1367" s="72"/>
      <c r="L1367" s="73" t="s">
        <v>18</v>
      </c>
      <c r="M1367" s="73" t="s">
        <v>19</v>
      </c>
      <c r="N1367" s="70"/>
    </row>
    <row r="1368" spans="1:14" s="169" customFormat="1" ht="30.75" customHeight="1">
      <c r="A1368" s="180" t="s">
        <v>167</v>
      </c>
      <c r="B1368" s="77" t="s">
        <v>987</v>
      </c>
      <c r="C1368" s="70" t="s">
        <v>17</v>
      </c>
      <c r="D1368" s="210"/>
      <c r="E1368" s="210"/>
      <c r="F1368" s="210"/>
      <c r="G1368" s="210"/>
      <c r="H1368" s="406">
        <f>SUM(Tabla132112419[[#This Row],[PRIMER TRIMESTRE]:[CUARTO TRIMESTRE]])</f>
        <v>0</v>
      </c>
      <c r="I1368" s="72">
        <v>554027.69999999995</v>
      </c>
      <c r="J1368" s="72">
        <f t="shared" si="35"/>
        <v>0</v>
      </c>
      <c r="K1368" s="72"/>
      <c r="L1368" s="73" t="s">
        <v>18</v>
      </c>
      <c r="M1368" s="73" t="s">
        <v>19</v>
      </c>
      <c r="N1368" s="70"/>
    </row>
    <row r="1369" spans="1:14" s="169" customFormat="1" ht="30.75" customHeight="1">
      <c r="A1369" s="180" t="s">
        <v>167</v>
      </c>
      <c r="B1369" s="77" t="s">
        <v>988</v>
      </c>
      <c r="C1369" s="70" t="s">
        <v>17</v>
      </c>
      <c r="D1369" s="210"/>
      <c r="E1369" s="210"/>
      <c r="F1369" s="210"/>
      <c r="G1369" s="210"/>
      <c r="H1369" s="406">
        <f>SUM(Tabla132112419[[#This Row],[PRIMER TRIMESTRE]:[CUARTO TRIMESTRE]])</f>
        <v>0</v>
      </c>
      <c r="I1369" s="72">
        <v>406250.39999999997</v>
      </c>
      <c r="J1369" s="72">
        <f t="shared" si="35"/>
        <v>0</v>
      </c>
      <c r="K1369" s="72"/>
      <c r="L1369" s="73" t="s">
        <v>18</v>
      </c>
      <c r="M1369" s="73" t="s">
        <v>19</v>
      </c>
      <c r="N1369" s="70" t="s">
        <v>342</v>
      </c>
    </row>
    <row r="1370" spans="1:14" s="169" customFormat="1" ht="53.25" customHeight="1">
      <c r="A1370" s="180" t="s">
        <v>167</v>
      </c>
      <c r="B1370" s="77" t="s">
        <v>989</v>
      </c>
      <c r="C1370" s="70" t="s">
        <v>17</v>
      </c>
      <c r="D1370" s="210"/>
      <c r="E1370" s="210"/>
      <c r="F1370" s="210"/>
      <c r="G1370" s="210"/>
      <c r="H1370" s="406">
        <f>SUM(Tabla132112419[[#This Row],[PRIMER TRIMESTRE]:[CUARTO TRIMESTRE]])</f>
        <v>0</v>
      </c>
      <c r="I1370" s="72">
        <v>71148.099999999991</v>
      </c>
      <c r="J1370" s="72">
        <f t="shared" si="35"/>
        <v>0</v>
      </c>
      <c r="K1370" s="72"/>
      <c r="L1370" s="73" t="s">
        <v>18</v>
      </c>
      <c r="M1370" s="73" t="s">
        <v>19</v>
      </c>
      <c r="N1370" s="70"/>
    </row>
    <row r="1371" spans="1:14" s="169" customFormat="1" ht="30.75" customHeight="1">
      <c r="A1371" s="180" t="s">
        <v>167</v>
      </c>
      <c r="B1371" s="77" t="s">
        <v>990</v>
      </c>
      <c r="C1371" s="70" t="s">
        <v>17</v>
      </c>
      <c r="D1371" s="210"/>
      <c r="E1371" s="210"/>
      <c r="F1371" s="210"/>
      <c r="G1371" s="210"/>
      <c r="H1371" s="406">
        <f>SUM(Tabla132112419[[#This Row],[PRIMER TRIMESTRE]:[CUARTO TRIMESTRE]])</f>
        <v>0</v>
      </c>
      <c r="I1371" s="72">
        <v>283158.7</v>
      </c>
      <c r="J1371" s="72">
        <f t="shared" si="35"/>
        <v>0</v>
      </c>
      <c r="K1371" s="72"/>
      <c r="L1371" s="73" t="s">
        <v>18</v>
      </c>
      <c r="M1371" s="73" t="s">
        <v>19</v>
      </c>
      <c r="N1371" s="70" t="s">
        <v>342</v>
      </c>
    </row>
    <row r="1372" spans="1:14" s="169" customFormat="1" ht="30.75" customHeight="1">
      <c r="A1372" s="180" t="s">
        <v>167</v>
      </c>
      <c r="B1372" s="77" t="s">
        <v>991</v>
      </c>
      <c r="C1372" s="70" t="s">
        <v>17</v>
      </c>
      <c r="D1372" s="210"/>
      <c r="E1372" s="210"/>
      <c r="F1372" s="210"/>
      <c r="G1372" s="210"/>
      <c r="H1372" s="406">
        <f>SUM(Tabla132112419[[#This Row],[PRIMER TRIMESTRE]:[CUARTO TRIMESTRE]])</f>
        <v>0</v>
      </c>
      <c r="I1372" s="72">
        <v>4687668</v>
      </c>
      <c r="J1372" s="72">
        <f t="shared" si="35"/>
        <v>0</v>
      </c>
      <c r="K1372" s="72"/>
      <c r="L1372" s="73" t="s">
        <v>18</v>
      </c>
      <c r="M1372" s="73" t="s">
        <v>19</v>
      </c>
      <c r="N1372" s="70"/>
    </row>
    <row r="1373" spans="1:14" s="169" customFormat="1" ht="39.75" customHeight="1">
      <c r="A1373" s="180" t="s">
        <v>167</v>
      </c>
      <c r="B1373" s="77" t="s">
        <v>992</v>
      </c>
      <c r="C1373" s="70" t="s">
        <v>17</v>
      </c>
      <c r="D1373" s="210"/>
      <c r="E1373" s="210"/>
      <c r="F1373" s="210"/>
      <c r="G1373" s="210"/>
      <c r="H1373" s="406">
        <f>SUM(Tabla132112419[[#This Row],[PRIMER TRIMESTRE]:[CUARTO TRIMESTRE]])</f>
        <v>0</v>
      </c>
      <c r="I1373" s="72">
        <v>140862.5</v>
      </c>
      <c r="J1373" s="72">
        <f t="shared" si="35"/>
        <v>0</v>
      </c>
      <c r="K1373" s="72"/>
      <c r="L1373" s="73" t="s">
        <v>18</v>
      </c>
      <c r="M1373" s="73" t="s">
        <v>19</v>
      </c>
      <c r="N1373" s="70" t="s">
        <v>342</v>
      </c>
    </row>
    <row r="1374" spans="1:14" s="169" customFormat="1" ht="30.75" customHeight="1">
      <c r="A1374" s="180" t="s">
        <v>167</v>
      </c>
      <c r="B1374" s="77" t="s">
        <v>993</v>
      </c>
      <c r="C1374" s="70" t="s">
        <v>17</v>
      </c>
      <c r="D1374" s="210"/>
      <c r="E1374" s="210"/>
      <c r="F1374" s="210"/>
      <c r="G1374" s="210"/>
      <c r="H1374" s="406">
        <f>SUM(Tabla132112419[[#This Row],[PRIMER TRIMESTRE]:[CUARTO TRIMESTRE]])</f>
        <v>0</v>
      </c>
      <c r="I1374" s="72">
        <v>109622</v>
      </c>
      <c r="J1374" s="72">
        <f t="shared" si="35"/>
        <v>0</v>
      </c>
      <c r="K1374" s="72"/>
      <c r="L1374" s="73" t="s">
        <v>18</v>
      </c>
      <c r="M1374" s="73" t="s">
        <v>19</v>
      </c>
      <c r="N1374" s="70" t="s">
        <v>342</v>
      </c>
    </row>
    <row r="1375" spans="1:14" s="169" customFormat="1" ht="30.75" customHeight="1">
      <c r="A1375" s="180" t="s">
        <v>167</v>
      </c>
      <c r="B1375" s="77" t="s">
        <v>994</v>
      </c>
      <c r="C1375" s="70" t="s">
        <v>17</v>
      </c>
      <c r="D1375" s="210"/>
      <c r="E1375" s="210"/>
      <c r="F1375" s="210"/>
      <c r="G1375" s="210"/>
      <c r="H1375" s="406">
        <f>SUM(Tabla132112419[[#This Row],[PRIMER TRIMESTRE]:[CUARTO TRIMESTRE]])</f>
        <v>0</v>
      </c>
      <c r="I1375" s="72">
        <v>567462</v>
      </c>
      <c r="J1375" s="72">
        <f t="shared" si="35"/>
        <v>0</v>
      </c>
      <c r="K1375" s="72"/>
      <c r="L1375" s="73" t="s">
        <v>18</v>
      </c>
      <c r="M1375" s="73" t="s">
        <v>19</v>
      </c>
      <c r="N1375" s="70" t="s">
        <v>342</v>
      </c>
    </row>
    <row r="1376" spans="1:14" s="169" customFormat="1" ht="30.75" customHeight="1">
      <c r="A1376" s="180" t="s">
        <v>167</v>
      </c>
      <c r="B1376" s="77" t="s">
        <v>995</v>
      </c>
      <c r="C1376" s="70" t="s">
        <v>17</v>
      </c>
      <c r="D1376" s="210"/>
      <c r="E1376" s="210"/>
      <c r="F1376" s="210"/>
      <c r="G1376" s="210"/>
      <c r="H1376" s="406">
        <f>SUM(Tabla132112419[[#This Row],[PRIMER TRIMESTRE]:[CUARTO TRIMESTRE]])</f>
        <v>0</v>
      </c>
      <c r="I1376" s="72">
        <v>36580</v>
      </c>
      <c r="J1376" s="72">
        <f t="shared" si="35"/>
        <v>0</v>
      </c>
      <c r="K1376" s="72"/>
      <c r="L1376" s="73" t="s">
        <v>18</v>
      </c>
      <c r="M1376" s="73" t="s">
        <v>19</v>
      </c>
      <c r="N1376" s="70"/>
    </row>
    <row r="1377" spans="1:14" s="169" customFormat="1" ht="30.75" customHeight="1">
      <c r="A1377" s="180" t="s">
        <v>167</v>
      </c>
      <c r="B1377" s="77" t="s">
        <v>996</v>
      </c>
      <c r="C1377" s="70" t="s">
        <v>17</v>
      </c>
      <c r="D1377" s="210"/>
      <c r="E1377" s="210"/>
      <c r="F1377" s="210"/>
      <c r="G1377" s="210"/>
      <c r="H1377" s="406">
        <f>SUM(Tabla132112419[[#This Row],[PRIMER TRIMESTRE]:[CUARTO TRIMESTRE]])</f>
        <v>0</v>
      </c>
      <c r="I1377" s="72">
        <v>160775</v>
      </c>
      <c r="J1377" s="72">
        <f t="shared" si="35"/>
        <v>0</v>
      </c>
      <c r="K1377" s="72"/>
      <c r="L1377" s="73" t="s">
        <v>18</v>
      </c>
      <c r="M1377" s="73" t="s">
        <v>19</v>
      </c>
      <c r="N1377" s="70" t="s">
        <v>342</v>
      </c>
    </row>
    <row r="1378" spans="1:14" s="169" customFormat="1" ht="30.75" customHeight="1">
      <c r="A1378" s="180" t="s">
        <v>167</v>
      </c>
      <c r="B1378" s="77" t="s">
        <v>997</v>
      </c>
      <c r="C1378" s="70" t="s">
        <v>17</v>
      </c>
      <c r="D1378" s="210"/>
      <c r="E1378" s="210"/>
      <c r="F1378" s="210"/>
      <c r="G1378" s="210"/>
      <c r="H1378" s="406">
        <f>SUM(Tabla132112419[[#This Row],[PRIMER TRIMESTRE]:[CUARTO TRIMESTRE]])</f>
        <v>0</v>
      </c>
      <c r="I1378" s="72">
        <v>216608.47</v>
      </c>
      <c r="J1378" s="72">
        <f t="shared" si="35"/>
        <v>0</v>
      </c>
      <c r="K1378" s="72"/>
      <c r="L1378" s="73" t="s">
        <v>18</v>
      </c>
      <c r="M1378" s="73" t="s">
        <v>19</v>
      </c>
      <c r="N1378" s="70" t="s">
        <v>342</v>
      </c>
    </row>
    <row r="1379" spans="1:14" s="169" customFormat="1" ht="30.75" customHeight="1">
      <c r="A1379" s="180" t="s">
        <v>167</v>
      </c>
      <c r="B1379" s="77" t="s">
        <v>998</v>
      </c>
      <c r="C1379" s="70" t="s">
        <v>17</v>
      </c>
      <c r="D1379" s="210"/>
      <c r="E1379" s="210"/>
      <c r="F1379" s="210"/>
      <c r="G1379" s="210"/>
      <c r="H1379" s="406">
        <f>SUM(Tabla132112419[[#This Row],[PRIMER TRIMESTRE]:[CUARTO TRIMESTRE]])</f>
        <v>0</v>
      </c>
      <c r="I1379" s="72">
        <v>294752.2</v>
      </c>
      <c r="J1379" s="72">
        <f t="shared" si="35"/>
        <v>0</v>
      </c>
      <c r="K1379" s="72"/>
      <c r="L1379" s="73" t="s">
        <v>18</v>
      </c>
      <c r="M1379" s="73" t="s">
        <v>19</v>
      </c>
      <c r="N1379" s="70" t="s">
        <v>342</v>
      </c>
    </row>
    <row r="1380" spans="1:14" s="169" customFormat="1" ht="30.75" customHeight="1">
      <c r="A1380" s="180" t="s">
        <v>167</v>
      </c>
      <c r="B1380" s="77" t="s">
        <v>999</v>
      </c>
      <c r="C1380" s="70" t="s">
        <v>17</v>
      </c>
      <c r="D1380" s="210"/>
      <c r="E1380" s="210"/>
      <c r="F1380" s="210"/>
      <c r="G1380" s="210"/>
      <c r="H1380" s="406">
        <f>SUM(Tabla132112419[[#This Row],[PRIMER TRIMESTRE]:[CUARTO TRIMESTRE]])</f>
        <v>0</v>
      </c>
      <c r="I1380" s="72">
        <v>230554.3</v>
      </c>
      <c r="J1380" s="72">
        <f t="shared" si="35"/>
        <v>0</v>
      </c>
      <c r="K1380" s="72"/>
      <c r="L1380" s="73" t="s">
        <v>18</v>
      </c>
      <c r="M1380" s="73" t="s">
        <v>19</v>
      </c>
      <c r="N1380" s="70" t="s">
        <v>342</v>
      </c>
    </row>
    <row r="1381" spans="1:14" s="169" customFormat="1" ht="30.75" customHeight="1">
      <c r="A1381" s="180" t="s">
        <v>167</v>
      </c>
      <c r="B1381" s="77" t="s">
        <v>1000</v>
      </c>
      <c r="C1381" s="70" t="s">
        <v>17</v>
      </c>
      <c r="D1381" s="210"/>
      <c r="E1381" s="210"/>
      <c r="F1381" s="210"/>
      <c r="G1381" s="210"/>
      <c r="H1381" s="406">
        <f>SUM(Tabla132112419[[#This Row],[PRIMER TRIMESTRE]:[CUARTO TRIMESTRE]])</f>
        <v>0</v>
      </c>
      <c r="I1381" s="72">
        <v>494992.3</v>
      </c>
      <c r="J1381" s="72">
        <f t="shared" si="35"/>
        <v>0</v>
      </c>
      <c r="K1381" s="72"/>
      <c r="L1381" s="73" t="s">
        <v>18</v>
      </c>
      <c r="M1381" s="73" t="s">
        <v>19</v>
      </c>
      <c r="N1381" s="70" t="s">
        <v>342</v>
      </c>
    </row>
    <row r="1382" spans="1:14" s="169" customFormat="1" ht="30.75" customHeight="1">
      <c r="A1382" s="180" t="s">
        <v>167</v>
      </c>
      <c r="B1382" s="77" t="s">
        <v>1001</v>
      </c>
      <c r="C1382" s="70" t="s">
        <v>17</v>
      </c>
      <c r="D1382" s="210"/>
      <c r="E1382" s="210"/>
      <c r="F1382" s="210"/>
      <c r="G1382" s="210"/>
      <c r="H1382" s="406">
        <f>SUM(Tabla132112419[[#This Row],[PRIMER TRIMESTRE]:[CUARTO TRIMESTRE]])</f>
        <v>0</v>
      </c>
      <c r="I1382" s="72">
        <v>211166.9</v>
      </c>
      <c r="J1382" s="72">
        <f t="shared" si="35"/>
        <v>0</v>
      </c>
      <c r="K1382" s="72"/>
      <c r="L1382" s="73" t="s">
        <v>18</v>
      </c>
      <c r="M1382" s="73" t="s">
        <v>19</v>
      </c>
      <c r="N1382" s="70" t="s">
        <v>342</v>
      </c>
    </row>
    <row r="1383" spans="1:14" s="169" customFormat="1" ht="30.75" customHeight="1">
      <c r="A1383" s="180" t="s">
        <v>167</v>
      </c>
      <c r="B1383" s="77" t="s">
        <v>1002</v>
      </c>
      <c r="C1383" s="70" t="s">
        <v>17</v>
      </c>
      <c r="D1383" s="210"/>
      <c r="E1383" s="210"/>
      <c r="F1383" s="210"/>
      <c r="G1383" s="210"/>
      <c r="H1383" s="406">
        <f>SUM(Tabla132112419[[#This Row],[PRIMER TRIMESTRE]:[CUARTO TRIMESTRE]])</f>
        <v>0</v>
      </c>
      <c r="I1383" s="72">
        <v>62368.899999999994</v>
      </c>
      <c r="J1383" s="72">
        <f t="shared" si="35"/>
        <v>0</v>
      </c>
      <c r="K1383" s="72"/>
      <c r="L1383" s="73" t="s">
        <v>18</v>
      </c>
      <c r="M1383" s="73" t="s">
        <v>19</v>
      </c>
      <c r="N1383" s="70" t="s">
        <v>342</v>
      </c>
    </row>
    <row r="1384" spans="1:14" s="169" customFormat="1" ht="30.75" customHeight="1">
      <c r="A1384" s="180" t="s">
        <v>167</v>
      </c>
      <c r="B1384" s="77" t="s">
        <v>1003</v>
      </c>
      <c r="C1384" s="70" t="s">
        <v>17</v>
      </c>
      <c r="D1384" s="210"/>
      <c r="E1384" s="210"/>
      <c r="F1384" s="210"/>
      <c r="G1384" s="210"/>
      <c r="H1384" s="406">
        <f>SUM(Tabla132112419[[#This Row],[PRIMER TRIMESTRE]:[CUARTO TRIMESTRE]])</f>
        <v>0</v>
      </c>
      <c r="I1384" s="72">
        <v>105533.29999999999</v>
      </c>
      <c r="J1384" s="72">
        <f t="shared" si="35"/>
        <v>0</v>
      </c>
      <c r="K1384" s="72"/>
      <c r="L1384" s="73" t="s">
        <v>18</v>
      </c>
      <c r="M1384" s="73" t="s">
        <v>19</v>
      </c>
      <c r="N1384" s="70" t="s">
        <v>342</v>
      </c>
    </row>
    <row r="1385" spans="1:14" s="169" customFormat="1" ht="30.75" customHeight="1">
      <c r="A1385" s="180" t="s">
        <v>167</v>
      </c>
      <c r="B1385" s="77" t="s">
        <v>1004</v>
      </c>
      <c r="C1385" s="70" t="s">
        <v>17</v>
      </c>
      <c r="D1385" s="210"/>
      <c r="E1385" s="210"/>
      <c r="F1385" s="210"/>
      <c r="G1385" s="210"/>
      <c r="H1385" s="406">
        <f>SUM(Tabla132112419[[#This Row],[PRIMER TRIMESTRE]:[CUARTO TRIMESTRE]])</f>
        <v>0</v>
      </c>
      <c r="I1385" s="72">
        <v>98618.5</v>
      </c>
      <c r="J1385" s="72">
        <f t="shared" si="35"/>
        <v>0</v>
      </c>
      <c r="K1385" s="72"/>
      <c r="L1385" s="73" t="s">
        <v>18</v>
      </c>
      <c r="M1385" s="73" t="s">
        <v>19</v>
      </c>
      <c r="N1385" s="70"/>
    </row>
    <row r="1386" spans="1:14" s="169" customFormat="1" ht="30.75" customHeight="1">
      <c r="A1386" s="180" t="s">
        <v>167</v>
      </c>
      <c r="B1386" s="77" t="s">
        <v>1005</v>
      </c>
      <c r="C1386" s="70" t="s">
        <v>17</v>
      </c>
      <c r="D1386" s="210"/>
      <c r="E1386" s="210"/>
      <c r="F1386" s="210"/>
      <c r="G1386" s="210"/>
      <c r="H1386" s="406">
        <f>SUM(Tabla132112419[[#This Row],[PRIMER TRIMESTRE]:[CUARTO TRIMESTRE]])</f>
        <v>0</v>
      </c>
      <c r="I1386" s="72">
        <v>135818</v>
      </c>
      <c r="J1386" s="72">
        <f t="shared" si="35"/>
        <v>0</v>
      </c>
      <c r="K1386" s="72"/>
      <c r="L1386" s="73" t="s">
        <v>18</v>
      </c>
      <c r="M1386" s="73" t="s">
        <v>19</v>
      </c>
      <c r="N1386" s="70" t="s">
        <v>342</v>
      </c>
    </row>
    <row r="1387" spans="1:14" s="169" customFormat="1" ht="30.75" customHeight="1">
      <c r="A1387" s="180" t="s">
        <v>167</v>
      </c>
      <c r="B1387" s="77" t="s">
        <v>1006</v>
      </c>
      <c r="C1387" s="70" t="s">
        <v>17</v>
      </c>
      <c r="D1387" s="210"/>
      <c r="E1387" s="210"/>
      <c r="F1387" s="210"/>
      <c r="G1387" s="210"/>
      <c r="H1387" s="406">
        <f>SUM(Tabla132112419[[#This Row],[PRIMER TRIMESTRE]:[CUARTO TRIMESTRE]])</f>
        <v>0</v>
      </c>
      <c r="I1387" s="72">
        <v>114460</v>
      </c>
      <c r="J1387" s="72">
        <f t="shared" si="35"/>
        <v>0</v>
      </c>
      <c r="K1387" s="72"/>
      <c r="L1387" s="73" t="s">
        <v>18</v>
      </c>
      <c r="M1387" s="73" t="s">
        <v>19</v>
      </c>
      <c r="N1387" s="70" t="s">
        <v>342</v>
      </c>
    </row>
    <row r="1388" spans="1:14" s="169" customFormat="1" ht="30.75" customHeight="1">
      <c r="A1388" s="180" t="s">
        <v>167</v>
      </c>
      <c r="B1388" s="77" t="s">
        <v>1007</v>
      </c>
      <c r="C1388" s="70" t="s">
        <v>17</v>
      </c>
      <c r="D1388" s="210"/>
      <c r="E1388" s="210"/>
      <c r="F1388" s="210"/>
      <c r="G1388" s="210"/>
      <c r="H1388" s="406">
        <f>SUM(Tabla132112419[[#This Row],[PRIMER TRIMESTRE]:[CUARTO TRIMESTRE]])</f>
        <v>0</v>
      </c>
      <c r="I1388" s="72">
        <v>164374</v>
      </c>
      <c r="J1388" s="72">
        <f t="shared" si="35"/>
        <v>0</v>
      </c>
      <c r="K1388" s="72"/>
      <c r="L1388" s="73" t="s">
        <v>18</v>
      </c>
      <c r="M1388" s="73" t="s">
        <v>19</v>
      </c>
      <c r="N1388" s="70" t="s">
        <v>342</v>
      </c>
    </row>
    <row r="1389" spans="1:14" s="169" customFormat="1" ht="30.75" customHeight="1">
      <c r="A1389" s="180" t="s">
        <v>167</v>
      </c>
      <c r="B1389" s="77" t="s">
        <v>1008</v>
      </c>
      <c r="C1389" s="70" t="s">
        <v>17</v>
      </c>
      <c r="D1389" s="210"/>
      <c r="E1389" s="210"/>
      <c r="F1389" s="210"/>
      <c r="G1389" s="210"/>
      <c r="H1389" s="406">
        <f>SUM(Tabla132112419[[#This Row],[PRIMER TRIMESTRE]:[CUARTO TRIMESTRE]])</f>
        <v>0</v>
      </c>
      <c r="I1389" s="72">
        <v>24691.5</v>
      </c>
      <c r="J1389" s="72">
        <f t="shared" si="35"/>
        <v>0</v>
      </c>
      <c r="K1389" s="72"/>
      <c r="L1389" s="73" t="s">
        <v>18</v>
      </c>
      <c r="M1389" s="73" t="s">
        <v>19</v>
      </c>
      <c r="N1389" s="70"/>
    </row>
    <row r="1390" spans="1:14" s="169" customFormat="1" ht="30.75" customHeight="1">
      <c r="A1390" s="180" t="s">
        <v>167</v>
      </c>
      <c r="B1390" s="77" t="s">
        <v>1009</v>
      </c>
      <c r="C1390" s="70" t="s">
        <v>17</v>
      </c>
      <c r="D1390" s="210"/>
      <c r="E1390" s="210"/>
      <c r="F1390" s="210"/>
      <c r="G1390" s="210"/>
      <c r="H1390" s="406">
        <f>SUM(Tabla132112419[[#This Row],[PRIMER TRIMESTRE]:[CUARTO TRIMESTRE]])</f>
        <v>0</v>
      </c>
      <c r="I1390" s="72">
        <v>192045</v>
      </c>
      <c r="J1390" s="72">
        <f t="shared" si="35"/>
        <v>0</v>
      </c>
      <c r="K1390" s="72"/>
      <c r="L1390" s="73" t="s">
        <v>18</v>
      </c>
      <c r="M1390" s="73" t="s">
        <v>19</v>
      </c>
      <c r="N1390" s="70" t="s">
        <v>342</v>
      </c>
    </row>
    <row r="1391" spans="1:14" s="169" customFormat="1" ht="30.75" customHeight="1">
      <c r="A1391" s="180" t="s">
        <v>167</v>
      </c>
      <c r="B1391" s="77" t="s">
        <v>1010</v>
      </c>
      <c r="C1391" s="70" t="s">
        <v>17</v>
      </c>
      <c r="D1391" s="210"/>
      <c r="E1391" s="210"/>
      <c r="F1391" s="210"/>
      <c r="G1391" s="210"/>
      <c r="H1391" s="406">
        <f>SUM(Tabla132112419[[#This Row],[PRIMER TRIMESTRE]:[CUARTO TRIMESTRE]])</f>
        <v>0</v>
      </c>
      <c r="I1391" s="72">
        <v>164374</v>
      </c>
      <c r="J1391" s="72">
        <f t="shared" si="35"/>
        <v>0</v>
      </c>
      <c r="K1391" s="72"/>
      <c r="L1391" s="73" t="s">
        <v>18</v>
      </c>
      <c r="M1391" s="73" t="s">
        <v>19</v>
      </c>
      <c r="N1391" s="70" t="s">
        <v>342</v>
      </c>
    </row>
    <row r="1392" spans="1:14" s="169" customFormat="1" ht="30.75" customHeight="1">
      <c r="A1392" s="180" t="s">
        <v>167</v>
      </c>
      <c r="B1392" s="77" t="s">
        <v>1011</v>
      </c>
      <c r="C1392" s="70" t="s">
        <v>17</v>
      </c>
      <c r="D1392" s="210"/>
      <c r="E1392" s="210"/>
      <c r="F1392" s="210"/>
      <c r="G1392" s="210"/>
      <c r="H1392" s="406">
        <f>SUM(Tabla132112419[[#This Row],[PRIMER TRIMESTRE]:[CUARTO TRIMESTRE]])</f>
        <v>0</v>
      </c>
      <c r="I1392" s="72">
        <v>35145.119999999995</v>
      </c>
      <c r="J1392" s="72">
        <f t="shared" si="35"/>
        <v>0</v>
      </c>
      <c r="K1392" s="72"/>
      <c r="L1392" s="73" t="s">
        <v>18</v>
      </c>
      <c r="M1392" s="73" t="s">
        <v>19</v>
      </c>
      <c r="N1392" s="70"/>
    </row>
    <row r="1393" spans="1:14" s="169" customFormat="1" ht="30.75" customHeight="1">
      <c r="A1393" s="180" t="s">
        <v>167</v>
      </c>
      <c r="B1393" s="77" t="s">
        <v>1012</v>
      </c>
      <c r="C1393" s="70" t="s">
        <v>17</v>
      </c>
      <c r="D1393" s="210"/>
      <c r="E1393" s="210"/>
      <c r="F1393" s="210"/>
      <c r="G1393" s="210"/>
      <c r="H1393" s="406">
        <f>SUM(Tabla132112419[[#This Row],[PRIMER TRIMESTRE]:[CUARTO TRIMESTRE]])</f>
        <v>0</v>
      </c>
      <c r="I1393" s="72">
        <v>926960.79999999993</v>
      </c>
      <c r="J1393" s="72">
        <f t="shared" si="35"/>
        <v>0</v>
      </c>
      <c r="K1393" s="72"/>
      <c r="L1393" s="73" t="s">
        <v>18</v>
      </c>
      <c r="M1393" s="73" t="s">
        <v>19</v>
      </c>
      <c r="N1393" s="70" t="s">
        <v>342</v>
      </c>
    </row>
    <row r="1394" spans="1:14" s="169" customFormat="1" ht="30.75" customHeight="1">
      <c r="A1394" s="180" t="s">
        <v>167</v>
      </c>
      <c r="B1394" s="77" t="s">
        <v>1013</v>
      </c>
      <c r="C1394" s="70" t="s">
        <v>17</v>
      </c>
      <c r="D1394" s="210"/>
      <c r="E1394" s="210"/>
      <c r="F1394" s="210"/>
      <c r="G1394" s="210"/>
      <c r="H1394" s="406">
        <f>SUM(Tabla132112419[[#This Row],[PRIMER TRIMESTRE]:[CUARTO TRIMESTRE]])</f>
        <v>0</v>
      </c>
      <c r="I1394" s="72">
        <v>266798</v>
      </c>
      <c r="J1394" s="72">
        <f t="shared" si="35"/>
        <v>0</v>
      </c>
      <c r="K1394" s="72"/>
      <c r="L1394" s="73" t="s">
        <v>18</v>
      </c>
      <c r="M1394" s="73" t="s">
        <v>19</v>
      </c>
      <c r="N1394" s="70" t="s">
        <v>342</v>
      </c>
    </row>
    <row r="1395" spans="1:14" s="169" customFormat="1" ht="30.75" customHeight="1">
      <c r="A1395" s="180" t="s">
        <v>167</v>
      </c>
      <c r="B1395" s="77" t="s">
        <v>1014</v>
      </c>
      <c r="C1395" s="70" t="s">
        <v>17</v>
      </c>
      <c r="D1395" s="210"/>
      <c r="E1395" s="210"/>
      <c r="F1395" s="210"/>
      <c r="G1395" s="210"/>
      <c r="H1395" s="406">
        <f>SUM(Tabla132112419[[#This Row],[PRIMER TRIMESTRE]:[CUARTO TRIMESTRE]])</f>
        <v>0</v>
      </c>
      <c r="I1395" s="72">
        <v>77555.5</v>
      </c>
      <c r="J1395" s="72">
        <f t="shared" si="35"/>
        <v>0</v>
      </c>
      <c r="K1395" s="72"/>
      <c r="L1395" s="73" t="s">
        <v>18</v>
      </c>
      <c r="M1395" s="73" t="s">
        <v>19</v>
      </c>
      <c r="N1395" s="70"/>
    </row>
    <row r="1396" spans="1:14" s="169" customFormat="1" ht="30.75" customHeight="1">
      <c r="A1396" s="180" t="s">
        <v>167</v>
      </c>
      <c r="B1396" s="77" t="s">
        <v>1015</v>
      </c>
      <c r="C1396" s="70" t="s">
        <v>17</v>
      </c>
      <c r="D1396" s="210"/>
      <c r="E1396" s="210"/>
      <c r="F1396" s="210"/>
      <c r="G1396" s="210"/>
      <c r="H1396" s="406">
        <f>SUM(Tabla132112419[[#This Row],[PRIMER TRIMESTRE]:[CUARTO TRIMESTRE]])</f>
        <v>0</v>
      </c>
      <c r="I1396" s="72">
        <v>100595</v>
      </c>
      <c r="J1396" s="72">
        <f t="shared" si="35"/>
        <v>0</v>
      </c>
      <c r="K1396" s="72"/>
      <c r="L1396" s="73" t="s">
        <v>18</v>
      </c>
      <c r="M1396" s="73" t="s">
        <v>19</v>
      </c>
      <c r="N1396" s="70" t="s">
        <v>342</v>
      </c>
    </row>
    <row r="1397" spans="1:14" s="169" customFormat="1" ht="30.75" customHeight="1">
      <c r="A1397" s="180" t="s">
        <v>167</v>
      </c>
      <c r="B1397" s="77" t="s">
        <v>1016</v>
      </c>
      <c r="C1397" s="70" t="s">
        <v>17</v>
      </c>
      <c r="D1397" s="210"/>
      <c r="E1397" s="210"/>
      <c r="F1397" s="210"/>
      <c r="G1397" s="210"/>
      <c r="H1397" s="406">
        <f>SUM(Tabla132112419[[#This Row],[PRIMER TRIMESTRE]:[CUARTO TRIMESTRE]])</f>
        <v>0</v>
      </c>
      <c r="I1397" s="72">
        <v>106173.45</v>
      </c>
      <c r="J1397" s="72">
        <f t="shared" si="35"/>
        <v>0</v>
      </c>
      <c r="K1397" s="72"/>
      <c r="L1397" s="73" t="s">
        <v>18</v>
      </c>
      <c r="M1397" s="73" t="s">
        <v>19</v>
      </c>
      <c r="N1397" s="70" t="s">
        <v>342</v>
      </c>
    </row>
    <row r="1398" spans="1:14" s="169" customFormat="1" ht="30.75" customHeight="1">
      <c r="A1398" s="180" t="s">
        <v>167</v>
      </c>
      <c r="B1398" s="77" t="s">
        <v>1017</v>
      </c>
      <c r="C1398" s="70" t="s">
        <v>17</v>
      </c>
      <c r="D1398" s="210"/>
      <c r="E1398" s="210"/>
      <c r="F1398" s="210"/>
      <c r="G1398" s="210"/>
      <c r="H1398" s="406">
        <f>SUM(Tabla132112419[[#This Row],[PRIMER TRIMESTRE]:[CUARTO TRIMESTRE]])</f>
        <v>0</v>
      </c>
      <c r="I1398" s="72">
        <v>111156</v>
      </c>
      <c r="J1398" s="72">
        <f t="shared" si="35"/>
        <v>0</v>
      </c>
      <c r="K1398" s="72"/>
      <c r="L1398" s="73" t="s">
        <v>18</v>
      </c>
      <c r="M1398" s="73" t="s">
        <v>19</v>
      </c>
      <c r="N1398" s="70" t="s">
        <v>342</v>
      </c>
    </row>
    <row r="1399" spans="1:14" s="169" customFormat="1" ht="44.25" customHeight="1">
      <c r="A1399" s="180" t="s">
        <v>167</v>
      </c>
      <c r="B1399" s="77" t="s">
        <v>1018</v>
      </c>
      <c r="C1399" s="70" t="s">
        <v>17</v>
      </c>
      <c r="D1399" s="210"/>
      <c r="E1399" s="210"/>
      <c r="F1399" s="210"/>
      <c r="G1399" s="210"/>
      <c r="H1399" s="406">
        <f>SUM(Tabla132112419[[#This Row],[PRIMER TRIMESTRE]:[CUARTO TRIMESTRE]])</f>
        <v>0</v>
      </c>
      <c r="I1399" s="72">
        <v>62186</v>
      </c>
      <c r="J1399" s="72">
        <f t="shared" si="35"/>
        <v>0</v>
      </c>
      <c r="K1399" s="72"/>
      <c r="L1399" s="73" t="s">
        <v>18</v>
      </c>
      <c r="M1399" s="73" t="s">
        <v>19</v>
      </c>
      <c r="N1399" s="70" t="s">
        <v>342</v>
      </c>
    </row>
    <row r="1400" spans="1:14" s="169" customFormat="1" ht="58.5" customHeight="1">
      <c r="A1400" s="180" t="s">
        <v>167</v>
      </c>
      <c r="B1400" s="77" t="s">
        <v>1019</v>
      </c>
      <c r="C1400" s="70" t="s">
        <v>17</v>
      </c>
      <c r="D1400" s="210"/>
      <c r="E1400" s="210"/>
      <c r="F1400" s="210"/>
      <c r="G1400" s="210"/>
      <c r="H1400" s="406">
        <f>SUM(Tabla132112419[[#This Row],[PRIMER TRIMESTRE]:[CUARTO TRIMESTRE]])</f>
        <v>0</v>
      </c>
      <c r="I1400" s="72">
        <v>306800</v>
      </c>
      <c r="J1400" s="72">
        <f t="shared" si="35"/>
        <v>0</v>
      </c>
      <c r="K1400" s="72"/>
      <c r="L1400" s="73" t="s">
        <v>18</v>
      </c>
      <c r="M1400" s="73" t="s">
        <v>19</v>
      </c>
      <c r="N1400" s="70" t="s">
        <v>342</v>
      </c>
    </row>
    <row r="1401" spans="1:14" s="169" customFormat="1" ht="52.5" customHeight="1">
      <c r="A1401" s="180" t="s">
        <v>167</v>
      </c>
      <c r="B1401" s="77" t="s">
        <v>1020</v>
      </c>
      <c r="C1401" s="70" t="s">
        <v>17</v>
      </c>
      <c r="D1401" s="210"/>
      <c r="E1401" s="210"/>
      <c r="F1401" s="210"/>
      <c r="G1401" s="210"/>
      <c r="H1401" s="406">
        <f>SUM(Tabla132112419[[#This Row],[PRIMER TRIMESTRE]:[CUARTO TRIMESTRE]])</f>
        <v>0</v>
      </c>
      <c r="I1401" s="72">
        <v>31093</v>
      </c>
      <c r="J1401" s="72">
        <f t="shared" si="35"/>
        <v>0</v>
      </c>
      <c r="K1401" s="72"/>
      <c r="L1401" s="73" t="s">
        <v>18</v>
      </c>
      <c r="M1401" s="73" t="s">
        <v>19</v>
      </c>
      <c r="N1401" s="70" t="s">
        <v>342</v>
      </c>
    </row>
    <row r="1402" spans="1:14" s="169" customFormat="1" ht="90" customHeight="1">
      <c r="A1402" s="180" t="s">
        <v>167</v>
      </c>
      <c r="B1402" s="77" t="s">
        <v>1021</v>
      </c>
      <c r="C1402" s="70" t="s">
        <v>17</v>
      </c>
      <c r="D1402" s="210"/>
      <c r="E1402" s="210"/>
      <c r="F1402" s="210"/>
      <c r="G1402" s="210"/>
      <c r="H1402" s="406">
        <f>SUM(Tabla132112419[[#This Row],[PRIMER TRIMESTRE]:[CUARTO TRIMESTRE]])</f>
        <v>0</v>
      </c>
      <c r="I1402" s="72">
        <v>329220</v>
      </c>
      <c r="J1402" s="72">
        <f t="shared" si="35"/>
        <v>0</v>
      </c>
      <c r="K1402" s="72"/>
      <c r="L1402" s="73" t="s">
        <v>18</v>
      </c>
      <c r="M1402" s="73" t="s">
        <v>19</v>
      </c>
      <c r="N1402" s="70" t="s">
        <v>342</v>
      </c>
    </row>
    <row r="1403" spans="1:14" s="169" customFormat="1" ht="103.5" customHeight="1">
      <c r="A1403" s="180" t="s">
        <v>167</v>
      </c>
      <c r="B1403" s="77" t="s">
        <v>1700</v>
      </c>
      <c r="C1403" s="70" t="s">
        <v>17</v>
      </c>
      <c r="D1403" s="210"/>
      <c r="E1403" s="210"/>
      <c r="F1403" s="210"/>
      <c r="G1403" s="210"/>
      <c r="H1403" s="406">
        <v>0</v>
      </c>
      <c r="I1403" s="72">
        <v>0</v>
      </c>
      <c r="J1403" s="72">
        <v>0</v>
      </c>
      <c r="K1403" s="72"/>
      <c r="L1403" s="73" t="s">
        <v>18</v>
      </c>
      <c r="M1403" s="73" t="s">
        <v>19</v>
      </c>
      <c r="N1403" s="70" t="s">
        <v>342</v>
      </c>
    </row>
    <row r="1404" spans="1:14" s="169" customFormat="1" ht="103.5" customHeight="1">
      <c r="A1404" s="180" t="s">
        <v>167</v>
      </c>
      <c r="B1404" s="77" t="s">
        <v>1762</v>
      </c>
      <c r="C1404" s="70" t="s">
        <v>17</v>
      </c>
      <c r="D1404" s="210"/>
      <c r="E1404" s="210"/>
      <c r="F1404" s="210"/>
      <c r="G1404" s="210"/>
      <c r="H1404" s="406">
        <v>0</v>
      </c>
      <c r="I1404" s="72">
        <v>0</v>
      </c>
      <c r="J1404" s="72">
        <v>0</v>
      </c>
      <c r="K1404" s="72"/>
      <c r="L1404" s="73" t="s">
        <v>18</v>
      </c>
      <c r="M1404" s="73" t="s">
        <v>19</v>
      </c>
      <c r="N1404" s="70"/>
    </row>
    <row r="1405" spans="1:14" s="169" customFormat="1" ht="71.25" customHeight="1">
      <c r="A1405" s="180" t="s">
        <v>167</v>
      </c>
      <c r="B1405" s="77" t="s">
        <v>1022</v>
      </c>
      <c r="C1405" s="70" t="s">
        <v>17</v>
      </c>
      <c r="D1405" s="210"/>
      <c r="E1405" s="210"/>
      <c r="F1405" s="210"/>
      <c r="G1405" s="210"/>
      <c r="H1405" s="406">
        <f>SUM(Tabla132112419[[#This Row],[PRIMER TRIMESTRE]:[CUARTO TRIMESTRE]])</f>
        <v>0</v>
      </c>
      <c r="I1405" s="72">
        <v>235000</v>
      </c>
      <c r="J1405" s="72">
        <f t="shared" si="35"/>
        <v>0</v>
      </c>
      <c r="K1405" s="72"/>
      <c r="L1405" s="73" t="s">
        <v>18</v>
      </c>
      <c r="M1405" s="73" t="s">
        <v>19</v>
      </c>
      <c r="N1405" s="70"/>
    </row>
    <row r="1406" spans="1:14" s="169" customFormat="1" ht="63.75">
      <c r="A1406" s="180" t="s">
        <v>167</v>
      </c>
      <c r="B1406" s="77" t="s">
        <v>1023</v>
      </c>
      <c r="C1406" s="70" t="s">
        <v>17</v>
      </c>
      <c r="D1406" s="210"/>
      <c r="E1406" s="210"/>
      <c r="F1406" s="210"/>
      <c r="G1406" s="210"/>
      <c r="H1406" s="406">
        <f>SUM(Tabla132112419[[#This Row],[PRIMER TRIMESTRE]:[CUARTO TRIMESTRE]])</f>
        <v>0</v>
      </c>
      <c r="I1406" s="72">
        <v>803877.81</v>
      </c>
      <c r="J1406" s="72">
        <f t="shared" si="35"/>
        <v>0</v>
      </c>
      <c r="K1406" s="72"/>
      <c r="L1406" s="73" t="s">
        <v>18</v>
      </c>
      <c r="M1406" s="73" t="s">
        <v>19</v>
      </c>
      <c r="N1406" s="70" t="s">
        <v>342</v>
      </c>
    </row>
    <row r="1407" spans="1:14" s="55" customFormat="1" ht="30.75" customHeight="1">
      <c r="A1407" s="180" t="s">
        <v>167</v>
      </c>
      <c r="B1407" s="77" t="s">
        <v>1418</v>
      </c>
      <c r="C1407" s="70" t="s">
        <v>17</v>
      </c>
      <c r="D1407" s="210"/>
      <c r="E1407" s="210"/>
      <c r="F1407" s="210"/>
      <c r="G1407" s="210"/>
      <c r="H1407" s="406">
        <v>1</v>
      </c>
      <c r="I1407" s="72">
        <v>265000</v>
      </c>
      <c r="J1407" s="72">
        <f t="shared" si="35"/>
        <v>265000</v>
      </c>
      <c r="K1407" s="72"/>
      <c r="L1407" s="73" t="s">
        <v>18</v>
      </c>
      <c r="M1407" s="73" t="s">
        <v>19</v>
      </c>
      <c r="N1407" s="70" t="s">
        <v>342</v>
      </c>
    </row>
    <row r="1408" spans="1:14" s="55" customFormat="1" ht="30.75" customHeight="1">
      <c r="A1408" s="179" t="s">
        <v>167</v>
      </c>
      <c r="B1408" s="76" t="s">
        <v>891</v>
      </c>
      <c r="C1408" s="42"/>
      <c r="D1408" s="237"/>
      <c r="E1408" s="237"/>
      <c r="F1408" s="237"/>
      <c r="G1408" s="237"/>
      <c r="H1408" s="43"/>
      <c r="I1408" s="24"/>
      <c r="J1408" s="24"/>
      <c r="K1408" s="25">
        <f>SUM(J1345:J1407)</f>
        <v>265000</v>
      </c>
      <c r="L1408" s="23"/>
      <c r="M1408" s="23"/>
      <c r="N1408" s="42"/>
    </row>
    <row r="1409" spans="1:14" s="55" customFormat="1" ht="18">
      <c r="A1409" s="178" t="s">
        <v>573</v>
      </c>
      <c r="B1409" s="75" t="s">
        <v>574</v>
      </c>
      <c r="C1409" s="39" t="s">
        <v>17</v>
      </c>
      <c r="D1409" s="410"/>
      <c r="E1409" s="410"/>
      <c r="F1409" s="410"/>
      <c r="G1409" s="241"/>
      <c r="H1409" s="51">
        <f>SUM(Tabla132112419[[#This Row],[PRIMER TRIMESTRE]:[CUARTO TRIMESTRE]])</f>
        <v>0</v>
      </c>
      <c r="I1409" s="52">
        <v>500</v>
      </c>
      <c r="J1409" s="52">
        <f>+Tabla132112419[[#This Row],[CANTIDAD TOTAL]]*Tabla132112419[[#This Row],[PRECIO UNITARIO ESTIMADO]]</f>
        <v>0</v>
      </c>
      <c r="K1409" s="50"/>
      <c r="L1409" s="411" t="s">
        <v>18</v>
      </c>
      <c r="M1409" s="411" t="s">
        <v>22</v>
      </c>
      <c r="N1409" s="53"/>
    </row>
    <row r="1410" spans="1:14" s="12" customFormat="1" ht="18">
      <c r="A1410" s="178" t="s">
        <v>573</v>
      </c>
      <c r="B1410" s="75" t="s">
        <v>575</v>
      </c>
      <c r="C1410" s="39" t="s">
        <v>17</v>
      </c>
      <c r="D1410" s="410"/>
      <c r="E1410" s="410"/>
      <c r="F1410" s="410"/>
      <c r="G1410" s="241"/>
      <c r="H1410" s="51">
        <f>SUM(Tabla132112419[[#This Row],[PRIMER TRIMESTRE]:[CUARTO TRIMESTRE]])</f>
        <v>0</v>
      </c>
      <c r="I1410" s="52">
        <v>1000</v>
      </c>
      <c r="J1410" s="52">
        <f>+Tabla132112419[[#This Row],[CANTIDAD TOTAL]]*Tabla132112419[[#This Row],[PRECIO UNITARIO ESTIMADO]]</f>
        <v>0</v>
      </c>
      <c r="K1410" s="50"/>
      <c r="L1410" s="411" t="s">
        <v>18</v>
      </c>
      <c r="M1410" s="411" t="s">
        <v>22</v>
      </c>
      <c r="N1410" s="53"/>
    </row>
    <row r="1411" spans="1:14" s="12" customFormat="1" ht="18">
      <c r="A1411" s="178" t="s">
        <v>573</v>
      </c>
      <c r="B1411" s="75" t="s">
        <v>576</v>
      </c>
      <c r="C1411" s="39" t="s">
        <v>17</v>
      </c>
      <c r="D1411" s="410"/>
      <c r="E1411" s="410"/>
      <c r="F1411" s="410"/>
      <c r="G1411" s="241"/>
      <c r="H1411" s="51">
        <f>SUM(Tabla132112419[[#This Row],[PRIMER TRIMESTRE]:[CUARTO TRIMESTRE]])</f>
        <v>0</v>
      </c>
      <c r="I1411" s="52">
        <v>2000</v>
      </c>
      <c r="J1411" s="52">
        <f>+Tabla132112419[[#This Row],[CANTIDAD TOTAL]]*Tabla132112419[[#This Row],[PRECIO UNITARIO ESTIMADO]]</f>
        <v>0</v>
      </c>
      <c r="K1411" s="50"/>
      <c r="L1411" s="16" t="s">
        <v>18</v>
      </c>
      <c r="M1411" s="411" t="s">
        <v>22</v>
      </c>
      <c r="N1411" s="53"/>
    </row>
    <row r="1412" spans="1:14" s="12" customFormat="1" ht="18">
      <c r="A1412" s="178" t="s">
        <v>573</v>
      </c>
      <c r="B1412" s="75" t="s">
        <v>1331</v>
      </c>
      <c r="C1412" s="39" t="s">
        <v>17</v>
      </c>
      <c r="D1412" s="236"/>
      <c r="E1412" s="236"/>
      <c r="F1412" s="236"/>
      <c r="G1412" s="236"/>
      <c r="H1412" s="417">
        <f>SUM(Tabla132112419[[#This Row],[PRIMER TRIMESTRE]:[CUARTO TRIMESTRE]])</f>
        <v>0</v>
      </c>
      <c r="I1412" s="17">
        <v>40000</v>
      </c>
      <c r="J1412" s="17">
        <f t="shared" ref="J1412:J1421" si="36">+H1412*I1412</f>
        <v>0</v>
      </c>
      <c r="K1412" s="17"/>
      <c r="L1412" s="411" t="s">
        <v>18</v>
      </c>
      <c r="M1412" s="411" t="s">
        <v>22</v>
      </c>
      <c r="N1412" s="39"/>
    </row>
    <row r="1413" spans="1:14" s="12" customFormat="1" ht="18">
      <c r="A1413" s="178" t="s">
        <v>573</v>
      </c>
      <c r="B1413" s="75" t="s">
        <v>1751</v>
      </c>
      <c r="C1413" s="39" t="s">
        <v>17</v>
      </c>
      <c r="D1413" s="236"/>
      <c r="E1413" s="236"/>
      <c r="F1413" s="236"/>
      <c r="G1413" s="236"/>
      <c r="H1413" s="40">
        <v>0</v>
      </c>
      <c r="I1413" s="17"/>
      <c r="J1413" s="17"/>
      <c r="K1413" s="17"/>
      <c r="L1413" s="411" t="s">
        <v>18</v>
      </c>
      <c r="M1413" s="411" t="s">
        <v>22</v>
      </c>
      <c r="N1413" s="39"/>
    </row>
    <row r="1414" spans="1:14" s="12" customFormat="1" ht="18">
      <c r="A1414" s="178" t="s">
        <v>573</v>
      </c>
      <c r="B1414" s="75" t="s">
        <v>1747</v>
      </c>
      <c r="C1414" s="39" t="s">
        <v>17</v>
      </c>
      <c r="D1414" s="236"/>
      <c r="E1414" s="236"/>
      <c r="F1414" s="236"/>
      <c r="G1414" s="236"/>
      <c r="H1414" s="40">
        <v>0</v>
      </c>
      <c r="I1414" s="17"/>
      <c r="J1414" s="17"/>
      <c r="K1414" s="17"/>
      <c r="L1414" s="411" t="s">
        <v>18</v>
      </c>
      <c r="M1414" s="411" t="s">
        <v>22</v>
      </c>
      <c r="N1414" s="39"/>
    </row>
    <row r="1415" spans="1:14" s="12" customFormat="1" ht="18">
      <c r="A1415" s="178" t="s">
        <v>573</v>
      </c>
      <c r="B1415" s="75" t="s">
        <v>1332</v>
      </c>
      <c r="C1415" s="39" t="s">
        <v>17</v>
      </c>
      <c r="D1415" s="236"/>
      <c r="E1415" s="236"/>
      <c r="F1415" s="236"/>
      <c r="G1415" s="236"/>
      <c r="H1415" s="51">
        <f>SUM(Tabla132112419[[#This Row],[PRIMER TRIMESTRE]:[CUARTO TRIMESTRE]])</f>
        <v>0</v>
      </c>
      <c r="I1415" s="17">
        <v>30000</v>
      </c>
      <c r="J1415" s="17">
        <f t="shared" si="36"/>
        <v>0</v>
      </c>
      <c r="K1415" s="17"/>
      <c r="L1415" s="411" t="s">
        <v>18</v>
      </c>
      <c r="M1415" s="411" t="s">
        <v>22</v>
      </c>
      <c r="N1415" s="39"/>
    </row>
    <row r="1416" spans="1:14" s="12" customFormat="1" ht="18">
      <c r="A1416" s="178" t="s">
        <v>573</v>
      </c>
      <c r="B1416" s="75" t="s">
        <v>1749</v>
      </c>
      <c r="C1416" s="39" t="s">
        <v>17</v>
      </c>
      <c r="D1416" s="236"/>
      <c r="E1416" s="236"/>
      <c r="F1416" s="236"/>
      <c r="G1416" s="236"/>
      <c r="H1416" s="416">
        <f>Tabla132112419[[#This Row],[CUARTO TRIMESTRE]]+Tabla132112419[[#This Row],[TERCER TRIMESTRE]]+Tabla132112419[[#This Row],[SEGUNDO TRIMESTRE]]+Tabla132112419[[#This Row],[PRIMER TRIMESTRE]]</f>
        <v>0</v>
      </c>
      <c r="I1416" s="17">
        <v>75000</v>
      </c>
      <c r="J1416" s="17">
        <f>Tabla132112419[[#This Row],[PRECIO UNITARIO ESTIMADO]]*Tabla132112419[[#This Row],[CANTIDAD TOTAL]]</f>
        <v>0</v>
      </c>
      <c r="K1416" s="17"/>
      <c r="L1416" s="16" t="s">
        <v>18</v>
      </c>
      <c r="M1416" s="16" t="s">
        <v>22</v>
      </c>
      <c r="N1416" s="39"/>
    </row>
    <row r="1417" spans="1:14" s="12" customFormat="1" ht="18">
      <c r="A1417" s="178" t="s">
        <v>573</v>
      </c>
      <c r="B1417" s="75" t="s">
        <v>1333</v>
      </c>
      <c r="C1417" s="39" t="s">
        <v>17</v>
      </c>
      <c r="D1417" s="236"/>
      <c r="E1417" s="236"/>
      <c r="F1417" s="236"/>
      <c r="G1417" s="236"/>
      <c r="H1417" s="51">
        <f>SUM(Tabla132112419[[#This Row],[PRIMER TRIMESTRE]:[CUARTO TRIMESTRE]])</f>
        <v>0</v>
      </c>
      <c r="I1417" s="17">
        <v>1500000</v>
      </c>
      <c r="J1417" s="17">
        <f>+H1417*I1417</f>
        <v>0</v>
      </c>
      <c r="K1417" s="17"/>
      <c r="L1417" s="16" t="s">
        <v>18</v>
      </c>
      <c r="M1417" s="411" t="s">
        <v>22</v>
      </c>
      <c r="N1417" s="39"/>
    </row>
    <row r="1418" spans="1:14" s="12" customFormat="1" ht="18">
      <c r="A1418" s="178" t="s">
        <v>573</v>
      </c>
      <c r="B1418" s="75" t="s">
        <v>1750</v>
      </c>
      <c r="C1418" s="39" t="s">
        <v>17</v>
      </c>
      <c r="D1418" s="236"/>
      <c r="E1418" s="236"/>
      <c r="F1418" s="236"/>
      <c r="G1418" s="236"/>
      <c r="H1418" s="416">
        <v>0</v>
      </c>
      <c r="I1418" s="17"/>
      <c r="J1418" s="17">
        <f>Tabla132112419[[#This Row],[PRECIO UNITARIO ESTIMADO]]*Tabla132112419[[#This Row],[CANTIDAD TOTAL]]</f>
        <v>0</v>
      </c>
      <c r="K1418" s="17"/>
      <c r="L1418" s="16" t="s">
        <v>18</v>
      </c>
      <c r="M1418" s="411" t="s">
        <v>22</v>
      </c>
      <c r="N1418" s="39"/>
    </row>
    <row r="1419" spans="1:14" s="12" customFormat="1" ht="18">
      <c r="A1419" s="178" t="s">
        <v>573</v>
      </c>
      <c r="B1419" s="75" t="s">
        <v>1464</v>
      </c>
      <c r="C1419" s="39" t="s">
        <v>17</v>
      </c>
      <c r="D1419" s="236"/>
      <c r="E1419" s="236"/>
      <c r="F1419" s="236"/>
      <c r="G1419" s="236"/>
      <c r="H1419" s="51">
        <f>SUM(Tabla132112419[[#This Row],[PRIMER TRIMESTRE]:[CUARTO TRIMESTRE]])</f>
        <v>0</v>
      </c>
      <c r="I1419" s="17">
        <v>87000</v>
      </c>
      <c r="J1419" s="17">
        <f t="shared" si="36"/>
        <v>0</v>
      </c>
      <c r="K1419" s="17"/>
      <c r="L1419" s="16" t="s">
        <v>18</v>
      </c>
      <c r="M1419" s="411" t="s">
        <v>22</v>
      </c>
      <c r="N1419" s="39"/>
    </row>
    <row r="1420" spans="1:14" s="64" customFormat="1" ht="18">
      <c r="A1420" s="178" t="s">
        <v>573</v>
      </c>
      <c r="B1420" s="75" t="s">
        <v>1465</v>
      </c>
      <c r="C1420" s="39" t="s">
        <v>17</v>
      </c>
      <c r="D1420" s="236"/>
      <c r="E1420" s="236"/>
      <c r="F1420" s="236"/>
      <c r="G1420" s="236"/>
      <c r="H1420" s="51">
        <f>SUM(Tabla132112419[[#This Row],[PRIMER TRIMESTRE]:[CUARTO TRIMESTRE]])</f>
        <v>0</v>
      </c>
      <c r="I1420" s="17">
        <v>15</v>
      </c>
      <c r="J1420" s="17">
        <f t="shared" si="36"/>
        <v>0</v>
      </c>
      <c r="K1420" s="17"/>
      <c r="L1420" s="16" t="s">
        <v>18</v>
      </c>
      <c r="M1420" s="411" t="s">
        <v>22</v>
      </c>
      <c r="N1420" s="39"/>
    </row>
    <row r="1421" spans="1:14" s="34" customFormat="1" ht="24" thickBot="1">
      <c r="A1421" s="178" t="s">
        <v>573</v>
      </c>
      <c r="B1421" s="75" t="s">
        <v>1419</v>
      </c>
      <c r="C1421" s="39" t="s">
        <v>17</v>
      </c>
      <c r="D1421" s="236"/>
      <c r="E1421" s="236"/>
      <c r="F1421" s="236"/>
      <c r="G1421" s="236"/>
      <c r="H1421" s="51">
        <f>SUM(Tabla132112419[[#This Row],[PRIMER TRIMESTRE]:[CUARTO TRIMESTRE]])</f>
        <v>0</v>
      </c>
      <c r="I1421" s="17">
        <v>6000000</v>
      </c>
      <c r="J1421" s="17">
        <f t="shared" si="36"/>
        <v>0</v>
      </c>
      <c r="K1421" s="17"/>
      <c r="L1421" s="16" t="s">
        <v>18</v>
      </c>
      <c r="M1421" s="411" t="s">
        <v>22</v>
      </c>
      <c r="N1421" s="39"/>
    </row>
    <row r="1422" spans="1:14" ht="30.75" customHeight="1">
      <c r="A1422" s="181" t="s">
        <v>573</v>
      </c>
      <c r="B1422" s="76"/>
      <c r="C1422" s="62"/>
      <c r="D1422" s="418"/>
      <c r="E1422" s="418"/>
      <c r="F1422" s="418"/>
      <c r="G1422" s="418"/>
      <c r="H1422" s="59"/>
      <c r="I1422" s="288"/>
      <c r="J1422" s="419"/>
      <c r="K1422" s="25">
        <f>+SUM($J$1409:$J$1421)</f>
        <v>0</v>
      </c>
      <c r="L1422" s="61"/>
      <c r="M1422" s="61"/>
      <c r="N1422" s="62"/>
    </row>
    <row r="1423" spans="1:14" ht="30.75" customHeight="1" thickBot="1">
      <c r="A1423" s="182"/>
      <c r="B1423" s="83" t="s">
        <v>1912</v>
      </c>
      <c r="C1423" s="47"/>
      <c r="D1423" s="242"/>
      <c r="E1423" s="242"/>
      <c r="F1423" s="242"/>
      <c r="G1423" s="242"/>
      <c r="H1423" s="48"/>
      <c r="I1423" s="35"/>
      <c r="J1423" s="183">
        <f>SUM(J13:J1422)</f>
        <v>670348.16930455621</v>
      </c>
      <c r="K1423" s="183">
        <f>SUM(K13:K1422)</f>
        <v>670348.16930455633</v>
      </c>
      <c r="L1423" s="34"/>
      <c r="M1423" s="34"/>
      <c r="N1423" s="47"/>
    </row>
    <row r="1426" spans="3:14" ht="18">
      <c r="K1426" s="250"/>
    </row>
    <row r="1430" spans="3:14" ht="18">
      <c r="C1430" s="400"/>
      <c r="D1430" s="400"/>
      <c r="E1430" s="400"/>
      <c r="F1430" s="400"/>
      <c r="G1430" s="400"/>
      <c r="H1430" s="400"/>
      <c r="N1430" s="400"/>
    </row>
    <row r="1431" spans="3:14" ht="18">
      <c r="C1431" s="400"/>
      <c r="D1431" s="400"/>
      <c r="E1431" s="400"/>
      <c r="F1431" s="400"/>
      <c r="G1431" s="400"/>
      <c r="H1431" s="400"/>
      <c r="N1431" s="400"/>
    </row>
    <row r="1432" spans="3:14" ht="18">
      <c r="C1432" s="400"/>
      <c r="D1432" s="400"/>
      <c r="E1432" s="400"/>
      <c r="F1432" s="400"/>
      <c r="G1432" s="400"/>
      <c r="H1432" s="400"/>
      <c r="N1432" s="400"/>
    </row>
    <row r="1433" spans="3:14" ht="18">
      <c r="C1433" s="400"/>
      <c r="D1433" s="400"/>
      <c r="E1433" s="400"/>
      <c r="F1433" s="400"/>
      <c r="G1433" s="400"/>
      <c r="H1433" s="400"/>
      <c r="N1433" s="400"/>
    </row>
    <row r="1434" spans="3:14" ht="18">
      <c r="C1434" s="400"/>
      <c r="D1434" s="400"/>
      <c r="E1434" s="400"/>
      <c r="F1434" s="400"/>
      <c r="G1434" s="400"/>
      <c r="H1434" s="400"/>
      <c r="N1434" s="400"/>
    </row>
    <row r="1435" spans="3:14" ht="18">
      <c r="C1435" s="400"/>
      <c r="D1435" s="400"/>
      <c r="E1435" s="400"/>
      <c r="F1435" s="400"/>
      <c r="G1435" s="400"/>
      <c r="H1435" s="400"/>
      <c r="N1435" s="400"/>
    </row>
    <row r="1436" spans="3:14" ht="18">
      <c r="C1436" s="400"/>
      <c r="D1436" s="400"/>
      <c r="E1436" s="400"/>
      <c r="F1436" s="400"/>
      <c r="G1436" s="400"/>
      <c r="H1436" s="400"/>
      <c r="N1436" s="400"/>
    </row>
    <row r="1437" spans="3:14" ht="18">
      <c r="C1437" s="400"/>
      <c r="D1437" s="400"/>
      <c r="E1437" s="400"/>
      <c r="F1437" s="400"/>
      <c r="G1437" s="400"/>
      <c r="H1437" s="400"/>
      <c r="N1437" s="400"/>
    </row>
    <row r="1438" spans="3:14" ht="18">
      <c r="C1438" s="400"/>
      <c r="D1438" s="400"/>
      <c r="E1438" s="400"/>
      <c r="F1438" s="400"/>
      <c r="G1438" s="400"/>
      <c r="H1438" s="400"/>
      <c r="N1438" s="400"/>
    </row>
    <row r="1439" spans="3:14" ht="18"/>
  </sheetData>
  <mergeCells count="4">
    <mergeCell ref="A3:A5"/>
    <mergeCell ref="A6:N6"/>
    <mergeCell ref="A7:B7"/>
    <mergeCell ref="D9:G9"/>
  </mergeCells>
  <dataValidations count="12">
    <dataValidation type="list" allowBlank="1" showInputMessage="1" showErrorMessage="1" promptTitle="PACC" prompt="Seleccione el procedimiento de selección." sqref="M585 M605:M630 K1362:K1365 K1448:K1450 L683:L701 L604 L1451:L1457 L629:L673 L586:L602 L13:L43 L45:L584 L703:L1447">
      <formula1>#REF!</formula1>
    </dataValidation>
    <dataValidation type="list" allowBlank="1" showInputMessage="1" showErrorMessage="1" promptTitle="PACC" prompt="Seleccione el Código de Bienes y Servicios._x000a_" sqref="A59:A76 A13:A45 A78:A1440 A1448:A1457 C1328:C1332 J1328:K1332">
      <formula1>#REF!</formula1>
    </dataValidation>
    <dataValidation allowBlank="1" showInputMessage="1" showErrorMessage="1" promptTitle="PACC" prompt="Digite la cantidad requerida en este período._x000a_" sqref="F673:G676 D1412:G1421 F814:G821 E703:E761 E407:F407 F774:G776 F661:G671 F830:G830 D124:G126 E129:G139 D203:G203 E149:G149 D1264:E1264 D1292:G1295 D414:E414 F1101:G1101 E1161:E1248 E835:E871 D628:G628 D633:G633 F835:G843 E101:G101 F875:F916 F873:G873 D832:G834 D201:E202 E702:G702 E629:G632 F222:G224 D872:G872 E873:E906 E217:F221 F719:G730 F144:G148 E1409:G1411 E351:G353 D15:F15 D1098:E1102 E537:G558 F349:G350 E1263 E688:G690 D1132:G1138 E14:F14 D150:E159 D1249:E1252 E1266:G1267 F235:G241 E829:E831 D1150:E1150 F140:G140 E763:E776 D1078:D1092 D1447:E1447 G1440:G1441 E1440:E1446 F1442:G1447 D1255:E1262 H1382 H1369 F1440 E785:E827 F1110:G1113 E661:E687 D1110:E1112 D408:D413 D1148:E1148 E762:G762 F1251:F1263 E1424:G1439 F488:F536 F1366:G1371 D1105:E1106 D1053:G1056 D1369:E1371 F175:G188 E160:F174 F559:F589 F605:G627 F408:F413 D1448:G1457 F204:F216 D1423:G1423 F1091 F845:G871 F1098:F1100 D36:G43 G1021:G1034 F1104:G1108 F1161:F1249 F354:F401 H1244 D474:D477 D1095:D1097 D875:D878 D176:D195 E242:F330 D880:D889 F402:G402 F463:F482 F1057:G1077 F418:G457 F1035:G1052 D1284:E1284 F1265:G1265 D22:G22 E1082:E1097 E347:E348 E1253:E1254 E478:E483 E1366:E1368 E782 E1113:E1131 E1107:E1109 E1040:E1052 E1103:E1104 E331:E333 E691:E701 E354:E373 E1035 E1038 E1058:E1078 D828:G828 D1268:G1283 D1285:G1287 E415:G416 E418:E473 E394:E403 D1372:G1408 E1422:G1422 D1338:G1365 E104:G121 E1296:G1337 D196:G200 E634:G659 E225:G234 E563:E627 E175:E195 E1151:G1159 E1149:G1149 E1139:G1143 D1144:G1145 E1288:G1291 E1146:G1147 E95:G98 E141:G143 F683:G685 G672 G677:G682 G831 G686:G687 G1284 G844 G1102:G1103 G13:G15 G347:G348 G478:G483 G559:G604 G763:G773 G458:G473 G731:G761 G204:G221 G703:G718 G829 G691:G701 G822:G827 G150:G159 G403:G414 G1161:G1264 G782 G1109 G1114:G1131 G1148 G1150 G189:G195 G201:G202 G381 G242:G333 G394:G397 G1078:G1100 G785:G813 G874:G1011 D907:E1011 D1021:E1034 D1012:G1020 D17:G20 D1424:D1441"/>
    <dataValidation allowBlank="1" showInputMessage="1" showErrorMessage="1" promptTitle="PACC" prompt="La cantidad total resultará de la suma de las cantidades requeridas en cada trimestre. " sqref="G382:G393 I621:I627 F458:F462 H1370:H1381 I581:I589 I605:I619 H45:H1243 G398:G401 G354:G380 H1245:H1368 H13:H43 H1383:H1457"/>
    <dataValidation allowBlank="1" showInputMessage="1" showErrorMessage="1" promptTitle="PACC" prompt="Este valor se calculará automáticamente, resultado de la multiplicación de la cantidad total por el precio unitario estimado." sqref="J408:J413 J283:J299 J176:J177 J414:K414 I1362:I1364 K22:K23 J830:K830 J629:K633 J201:K234 J719:K721 J1453:K1457 J831:J834 J354:J399 J400:K407 J242:K282 J235:J241 I1365:J1365 I1441:K1441 J1442:J1447 I1448:J1450 J1146 J1132:J1143 J1144:K1145 J1109:K1131 J1147:K1148 J1150:K1150 J1149 J124:J126 J722:J829 J1451:J1452 J1054:J1063 J1151:J1244 K56:K58 K581:K589 K605:K627 J428:K457 J1105:J1108 J178:K195 J59:K123 J196:J200 J1345:K1361 J127:K175 K27:K35 K45 J1333:J1344 J415:J427 J1064:K1104 J1423:J1440 J300:K353 J1366:J1419 J1421 K640:K670 J634:J718 J45:J58 J458:J628 J835:K1053 J13:K21 J1297:J1327 J22:J43 J1245:K1296 I1279:I1280"/>
    <dataValidation allowBlank="1" showInputMessage="1" showErrorMessage="1" promptTitle="PACC" prompt="Digite el precio unitario estimado._x000a_" sqref="I1440 I1447 I1366:I1382 I1451:I1457 I590:I604 I1422:J1422 I1345:I1361 I1409:I1411 I45:I195 I201:I580 I13:I35 I628:I1278 I1281:I1337"/>
    <dataValidation allowBlank="1" showInputMessage="1" showErrorMessage="1" promptTitle="PACC" prompt="Digite la fuente de financiamiento del procedimiento de referencia." sqref="N1363:N1364 N1448:N1450 M1451:M1457 M1366:M1447 N605:N627 M586:M604 N587 N585 M13:M584 M631:M1361"/>
    <dataValidation allowBlank="1" showInputMessage="1" showErrorMessage="1" promptTitle="PACC" prompt="Este valor se calculará sumando los costos totales que posean el mismo Código de Catálogo de Bienes y Servicios." sqref="K24:K26 J1362:J1364 K408:K413 K283:K299 K176:K177 K628:L628 K46:K55 K831:K834 K634:K639 L702 K354:K399 K458:K580 K235:K241 K1146 K1442:K1447 I1442:I1446 K1132:K1143 K1149 K124:K126 K1451:K1452 L585 K590:K604 K1105:K1108 K1054:K1063 K196:K200 I196:I200 K1333:K1344 I36:I43 I1338:I1344 I1383:I1408 K415:K427 K671:K718 K1151:K1244 J1420 L674:L682 I1423:I1439 K722:K829 L605:L627 K36:K43 L603 K1297:K1327 K1366:K1440 I1412:I1421"/>
    <dataValidation allowBlank="1" showInputMessage="1" showErrorMessage="1" promptTitle="PACC" prompt="Digite las observaciones que considere." sqref="N1451:N1457 N588:N604 N586 N45:N584 N13:N43 N1365:N1447 N628:N1362"/>
    <dataValidation allowBlank="1" showInputMessage="1" showErrorMessage="1" promptTitle="PACC" prompt="Digite la unidad de medida._x000a__x000a_" sqref="E559:E562 C586:C604 C628:C1327 C1333:C1457 C13:C561"/>
    <dataValidation allowBlank="1" showInputMessage="1" showErrorMessage="1" promptTitle="PACC" prompt="Digite la descripción de la compra o contratación." sqref="B1440:B1457 B1422 B1345:B1382 B1409:B1411 B44:B195 B13:B35 A77 B201:B1337"/>
    <dataValidation type="list" allowBlank="1" showInputMessage="1" showErrorMessage="1" promptTitle="PACC" prompt="Seleccione el Código de Bienes y Servicios._x000a_" sqref="A46:A58">
      <formula1>#REF!</formula1>
    </dataValidation>
  </dataValidations>
  <pageMargins left="0.7" right="0.7" top="0.75" bottom="0.75" header="0.3" footer="0.3"/>
  <drawing r:id="rId1"/>
  <legacyDrawing r:id="rId2"/>
  <tableParts count="1">
    <tablePart r:id="rId3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2" workbookViewId="0">
      <selection activeCell="D25" sqref="D25"/>
    </sheetView>
  </sheetViews>
  <sheetFormatPr baseColWidth="10" defaultColWidth="11.4257812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797"/>
  <sheetViews>
    <sheetView view="pageBreakPreview" topLeftCell="A34" zoomScale="60" zoomScaleNormal="80" workbookViewId="0">
      <selection activeCell="K77" sqref="K77"/>
    </sheetView>
  </sheetViews>
  <sheetFormatPr baseColWidth="10" defaultColWidth="11.42578125" defaultRowHeight="18"/>
  <cols>
    <col min="1" max="1" width="38.42578125" style="104" customWidth="1"/>
    <col min="2" max="2" width="48.42578125" style="104" customWidth="1"/>
    <col min="3" max="3" width="13.28515625" style="37" customWidth="1"/>
    <col min="4" max="4" width="7.5703125" style="37" customWidth="1"/>
    <col min="5" max="5" width="7.85546875" style="37" customWidth="1"/>
    <col min="6" max="6" width="8.140625" style="37" customWidth="1"/>
    <col min="7" max="7" width="8.28515625" style="37" customWidth="1"/>
    <col min="8" max="8" width="15.7109375" style="37" bestFit="1" customWidth="1"/>
    <col min="9" max="9" width="19.7109375" style="104" customWidth="1"/>
    <col min="10" max="10" width="23.140625" style="104" customWidth="1"/>
    <col min="11" max="11" width="32.5703125" style="104" customWidth="1"/>
    <col min="12" max="12" width="30.28515625" style="104" customWidth="1"/>
    <col min="13" max="13" width="33.140625" style="104" customWidth="1"/>
    <col min="14" max="14" width="12.5703125" style="37" customWidth="1"/>
    <col min="15" max="15" width="18.85546875" style="104" customWidth="1"/>
    <col min="16" max="16" width="17.140625" style="104" customWidth="1"/>
    <col min="17" max="17" width="21.42578125" style="104" customWidth="1"/>
    <col min="18" max="18" width="64.5703125" style="104" hidden="1" customWidth="1"/>
    <col min="19" max="19" width="20.85546875" style="104" customWidth="1"/>
    <col min="20" max="20" width="0" style="104" hidden="1" customWidth="1"/>
    <col min="21" max="21" width="52.28515625" style="104" hidden="1" customWidth="1"/>
    <col min="22" max="22" width="17.7109375" style="104" customWidth="1"/>
    <col min="23" max="16384" width="11.42578125" style="104"/>
  </cols>
  <sheetData>
    <row r="1" spans="1:21" ht="18.75" thickBot="1"/>
    <row r="2" spans="1:21">
      <c r="A2" s="7" t="s">
        <v>0</v>
      </c>
      <c r="N2" s="8">
        <v>42035</v>
      </c>
    </row>
    <row r="3" spans="1:21">
      <c r="A3" s="554"/>
      <c r="N3" s="9"/>
    </row>
    <row r="4" spans="1:21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21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21" ht="25.5" customHeight="1">
      <c r="A6" s="560" t="s">
        <v>1</v>
      </c>
      <c r="B6" s="560"/>
      <c r="C6" s="560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</row>
    <row r="7" spans="1:21">
      <c r="A7" s="561" t="s">
        <v>459</v>
      </c>
      <c r="B7" s="561"/>
      <c r="C7" s="38"/>
      <c r="D7" s="38"/>
      <c r="E7" s="38"/>
      <c r="F7" s="38"/>
      <c r="G7" s="38"/>
      <c r="H7" s="38"/>
      <c r="I7" s="12"/>
      <c r="J7" s="12"/>
      <c r="K7" s="12"/>
    </row>
    <row r="8" spans="1:21" ht="18.75" thickBot="1"/>
    <row r="9" spans="1:21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21" s="14" customFormat="1" ht="78">
      <c r="A10" s="2" t="s">
        <v>3</v>
      </c>
      <c r="B10" s="3" t="s">
        <v>4</v>
      </c>
      <c r="C10" s="3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3" t="s">
        <v>10</v>
      </c>
      <c r="I10" s="3" t="s">
        <v>11</v>
      </c>
      <c r="J10" s="3" t="s">
        <v>12</v>
      </c>
      <c r="K10" s="3" t="s">
        <v>442</v>
      </c>
      <c r="L10" s="3" t="s">
        <v>13</v>
      </c>
      <c r="M10" s="3" t="s">
        <v>14</v>
      </c>
      <c r="N10" s="3" t="s">
        <v>305</v>
      </c>
      <c r="O10" s="6" t="s">
        <v>425</v>
      </c>
      <c r="P10" s="5"/>
      <c r="Q10" s="5"/>
      <c r="R10" s="5"/>
      <c r="S10" s="5"/>
    </row>
    <row r="11" spans="1:21" s="12" customFormat="1" ht="49.5" customHeight="1">
      <c r="A11" s="15" t="s">
        <v>16</v>
      </c>
      <c r="B11" s="75" t="s">
        <v>427</v>
      </c>
      <c r="C11" s="39" t="s">
        <v>17</v>
      </c>
      <c r="D11" s="39"/>
      <c r="E11" s="39">
        <v>750</v>
      </c>
      <c r="F11" s="39"/>
      <c r="G11" s="39">
        <v>750</v>
      </c>
      <c r="H11" s="41">
        <f>SUM(Tabla1326[[#This Row],[PRIMER TRIMESTRE]:[CUARTO TRIMESTRE]])</f>
        <v>1500</v>
      </c>
      <c r="I11" s="17">
        <v>4568.04</v>
      </c>
      <c r="J11" s="17">
        <f>+Tabla1326[[#This Row],[CANTIDAD TOTAL]]*Tabla1326[[#This Row],[PRECIO UNITARIO ESTIMADO]]</f>
        <v>6852060</v>
      </c>
      <c r="K11" s="21"/>
      <c r="L11" s="145" t="s">
        <v>27</v>
      </c>
      <c r="M11" s="16" t="s">
        <v>19</v>
      </c>
      <c r="N11" s="39"/>
      <c r="O11" s="20"/>
      <c r="R11" s="19"/>
      <c r="U11" s="16"/>
    </row>
    <row r="12" spans="1:21" s="12" customFormat="1" ht="35.25" customHeight="1">
      <c r="A12" s="15" t="s">
        <v>16</v>
      </c>
      <c r="B12" s="75" t="s">
        <v>426</v>
      </c>
      <c r="C12" s="39" t="s">
        <v>17</v>
      </c>
      <c r="D12" s="39"/>
      <c r="E12" s="39"/>
      <c r="F12" s="39">
        <v>570</v>
      </c>
      <c r="G12" s="39"/>
      <c r="H12" s="41">
        <f>SUM(Tabla1326[[#This Row],[PRIMER TRIMESTRE]:[CUARTO TRIMESTRE]])</f>
        <v>570</v>
      </c>
      <c r="I12" s="17">
        <v>33696</v>
      </c>
      <c r="J12" s="17">
        <f>+Tabla1326[[#This Row],[CANTIDAD TOTAL]]*Tabla1326[[#This Row],[PRECIO UNITARIO ESTIMADO]]</f>
        <v>19206720</v>
      </c>
      <c r="K12" s="17"/>
      <c r="L12" s="16" t="s">
        <v>18</v>
      </c>
      <c r="M12" s="16" t="s">
        <v>19</v>
      </c>
      <c r="N12" s="39"/>
      <c r="O12" s="20"/>
      <c r="R12" s="19" t="s">
        <v>20</v>
      </c>
      <c r="U12" s="16" t="s">
        <v>21</v>
      </c>
    </row>
    <row r="13" spans="1:21" s="12" customFormat="1" ht="30.75" customHeight="1">
      <c r="A13" s="15" t="s">
        <v>16</v>
      </c>
      <c r="B13" s="75" t="s">
        <v>24</v>
      </c>
      <c r="C13" s="39" t="s">
        <v>25</v>
      </c>
      <c r="D13" s="39"/>
      <c r="E13" s="39">
        <v>3000</v>
      </c>
      <c r="F13" s="39"/>
      <c r="G13" s="39"/>
      <c r="H13" s="41">
        <f>SUM(Tabla1326[[#This Row],[PRIMER TRIMESTRE]:[CUARTO TRIMESTRE]])</f>
        <v>3000</v>
      </c>
      <c r="I13" s="17">
        <v>3628</v>
      </c>
      <c r="J13" s="17">
        <f>+Tabla1326[[#This Row],[CANTIDAD TOTAL]]*Tabla1326[[#This Row],[PRECIO UNITARIO ESTIMADO]]</f>
        <v>10884000</v>
      </c>
      <c r="K13" s="17"/>
      <c r="L13" s="16" t="s">
        <v>18</v>
      </c>
      <c r="M13" s="16" t="s">
        <v>19</v>
      </c>
      <c r="N13" s="39"/>
      <c r="O13" s="20"/>
      <c r="R13" s="12" t="s">
        <v>26</v>
      </c>
      <c r="U13" s="12" t="s">
        <v>27</v>
      </c>
    </row>
    <row r="14" spans="1:21" s="12" customFormat="1" ht="29.25" customHeight="1">
      <c r="A14" s="15" t="s">
        <v>16</v>
      </c>
      <c r="B14" s="75" t="s">
        <v>769</v>
      </c>
      <c r="C14" s="39" t="s">
        <v>23</v>
      </c>
      <c r="D14" s="39">
        <f>24/4</f>
        <v>6</v>
      </c>
      <c r="E14" s="39">
        <v>6</v>
      </c>
      <c r="F14" s="39">
        <v>6</v>
      </c>
      <c r="G14" s="39">
        <v>6</v>
      </c>
      <c r="H14" s="41">
        <f>SUM(Tabla1326[[#This Row],[PRIMER TRIMESTRE]:[CUARTO TRIMESTRE]])</f>
        <v>24</v>
      </c>
      <c r="I14" s="17">
        <v>28440</v>
      </c>
      <c r="J14" s="17">
        <f>+Tabla1326[[#This Row],[CANTIDAD TOTAL]]*Tabla1326[[#This Row],[PRECIO UNITARIO ESTIMADO]]</f>
        <v>682560</v>
      </c>
      <c r="K14" s="17"/>
      <c r="L14" s="16" t="s">
        <v>15</v>
      </c>
      <c r="M14" s="16" t="s">
        <v>19</v>
      </c>
      <c r="N14" s="39" t="s">
        <v>342</v>
      </c>
      <c r="O14" s="18"/>
      <c r="R14" s="19" t="s">
        <v>28</v>
      </c>
      <c r="U14" s="16" t="s">
        <v>15</v>
      </c>
    </row>
    <row r="15" spans="1:21" s="12" customFormat="1" ht="33" customHeight="1">
      <c r="A15" s="15" t="s">
        <v>16</v>
      </c>
      <c r="B15" s="75" t="s">
        <v>29</v>
      </c>
      <c r="C15" s="39" t="s">
        <v>30</v>
      </c>
      <c r="D15" s="39"/>
      <c r="E15" s="39">
        <v>24000</v>
      </c>
      <c r="F15" s="39"/>
      <c r="G15" s="39">
        <v>24000</v>
      </c>
      <c r="H15" s="41">
        <f>SUM(Tabla1326[[#This Row],[PRIMER TRIMESTRE]:[CUARTO TRIMESTRE]])</f>
        <v>48000</v>
      </c>
      <c r="I15" s="17">
        <v>862.27</v>
      </c>
      <c r="J15" s="17">
        <f>+Tabla1326[[#This Row],[CANTIDAD TOTAL]]*Tabla1326[[#This Row],[PRECIO UNITARIO ESTIMADO]]</f>
        <v>41388960</v>
      </c>
      <c r="K15" s="17"/>
      <c r="L15" s="16" t="s">
        <v>18</v>
      </c>
      <c r="M15" s="16" t="s">
        <v>19</v>
      </c>
      <c r="N15" s="39"/>
      <c r="O15" s="20"/>
      <c r="R15" s="19" t="s">
        <v>31</v>
      </c>
      <c r="U15" s="16" t="s">
        <v>32</v>
      </c>
    </row>
    <row r="16" spans="1:21" s="26" customFormat="1" ht="29.25" customHeight="1">
      <c r="A16" s="22" t="s">
        <v>16</v>
      </c>
      <c r="B16" s="76" t="s">
        <v>443</v>
      </c>
      <c r="C16" s="42"/>
      <c r="D16" s="42"/>
      <c r="E16" s="42"/>
      <c r="F16" s="42"/>
      <c r="G16" s="42"/>
      <c r="H16" s="43"/>
      <c r="I16" s="24"/>
      <c r="J16" s="24"/>
      <c r="K16" s="25">
        <f>SUM(J14:J15)</f>
        <v>42071520</v>
      </c>
      <c r="L16" s="23"/>
      <c r="M16" s="23"/>
      <c r="N16" s="42"/>
      <c r="O16" s="24"/>
      <c r="R16" s="27"/>
      <c r="U16" s="23"/>
    </row>
    <row r="17" spans="1:23" s="111" customFormat="1" ht="35.25" customHeight="1">
      <c r="A17" s="105" t="s">
        <v>34</v>
      </c>
      <c r="B17" s="106" t="s">
        <v>717</v>
      </c>
      <c r="C17" s="107" t="s">
        <v>35</v>
      </c>
      <c r="D17" s="107">
        <v>6</v>
      </c>
      <c r="E17" s="107"/>
      <c r="F17" s="107">
        <v>6</v>
      </c>
      <c r="G17" s="107"/>
      <c r="H17" s="108">
        <f>SUM(Tabla1326[[#This Row],[PRIMER TRIMESTRE]:[CUARTO TRIMESTRE]])</f>
        <v>12</v>
      </c>
      <c r="I17" s="109">
        <v>31896.55</v>
      </c>
      <c r="J17" s="109">
        <f>+Tabla1326[[#This Row],[CANTIDAD TOTAL]]*Tabla1326[[#This Row],[PRECIO UNITARIO ESTIMADO]]</f>
        <v>382758.6</v>
      </c>
      <c r="K17" s="109"/>
      <c r="L17" s="110" t="s">
        <v>15</v>
      </c>
      <c r="M17" s="110" t="s">
        <v>22</v>
      </c>
      <c r="N17" s="107" t="s">
        <v>418</v>
      </c>
      <c r="O17" s="110"/>
      <c r="R17" s="112" t="s">
        <v>37</v>
      </c>
      <c r="U17" s="110"/>
    </row>
    <row r="18" spans="1:23" s="111" customFormat="1" ht="33.75" customHeight="1">
      <c r="A18" s="105" t="s">
        <v>34</v>
      </c>
      <c r="B18" s="106" t="s">
        <v>714</v>
      </c>
      <c r="C18" s="107" t="s">
        <v>35</v>
      </c>
      <c r="D18" s="107">
        <v>6</v>
      </c>
      <c r="E18" s="107"/>
      <c r="F18" s="107">
        <v>6</v>
      </c>
      <c r="G18" s="107"/>
      <c r="H18" s="108">
        <f>SUM(Tabla1326[[#This Row],[PRIMER TRIMESTRE]:[CUARTO TRIMESTRE]])</f>
        <v>12</v>
      </c>
      <c r="I18" s="109">
        <v>28017.24</v>
      </c>
      <c r="J18" s="109">
        <f>+H18*I18</f>
        <v>336206.88</v>
      </c>
      <c r="K18" s="127"/>
      <c r="L18" s="110" t="s">
        <v>15</v>
      </c>
      <c r="M18" s="110" t="s">
        <v>22</v>
      </c>
      <c r="N18" s="107" t="s">
        <v>418</v>
      </c>
      <c r="O18" s="110"/>
      <c r="R18" s="112" t="s">
        <v>36</v>
      </c>
      <c r="U18" s="110"/>
    </row>
    <row r="19" spans="1:23" s="111" customFormat="1" ht="33.75" customHeight="1">
      <c r="A19" s="105" t="s">
        <v>34</v>
      </c>
      <c r="B19" s="106" t="s">
        <v>715</v>
      </c>
      <c r="C19" s="107" t="s">
        <v>35</v>
      </c>
      <c r="D19" s="107">
        <v>3</v>
      </c>
      <c r="E19" s="107"/>
      <c r="F19" s="107">
        <v>3</v>
      </c>
      <c r="G19" s="107"/>
      <c r="H19" s="108">
        <f>SUM(Tabla1326[[#This Row],[PRIMER TRIMESTRE]:[CUARTO TRIMESTRE]])</f>
        <v>6</v>
      </c>
      <c r="I19" s="109">
        <v>23612</v>
      </c>
      <c r="J19" s="109">
        <f>+H19*I19</f>
        <v>141672</v>
      </c>
      <c r="K19" s="109"/>
      <c r="L19" s="110" t="s">
        <v>15</v>
      </c>
      <c r="M19" s="110" t="s">
        <v>22</v>
      </c>
      <c r="N19" s="107" t="s">
        <v>418</v>
      </c>
      <c r="O19" s="109"/>
      <c r="R19" s="112"/>
      <c r="U19" s="110"/>
    </row>
    <row r="20" spans="1:23" s="111" customFormat="1" ht="33.75" customHeight="1">
      <c r="A20" s="105" t="s">
        <v>34</v>
      </c>
      <c r="B20" s="106" t="s">
        <v>716</v>
      </c>
      <c r="C20" s="107" t="s">
        <v>35</v>
      </c>
      <c r="D20" s="107">
        <v>5</v>
      </c>
      <c r="E20" s="107"/>
      <c r="F20" s="107">
        <v>5</v>
      </c>
      <c r="G20" s="107"/>
      <c r="H20" s="108">
        <f>SUM(Tabla1326[[#This Row],[PRIMER TRIMESTRE]:[CUARTO TRIMESTRE]])</f>
        <v>10</v>
      </c>
      <c r="I20" s="109">
        <v>23112.13</v>
      </c>
      <c r="J20" s="109">
        <f>+H20*I20</f>
        <v>231121.30000000002</v>
      </c>
      <c r="K20" s="109"/>
      <c r="L20" s="110" t="s">
        <v>15</v>
      </c>
      <c r="M20" s="110" t="s">
        <v>22</v>
      </c>
      <c r="N20" s="107" t="s">
        <v>418</v>
      </c>
      <c r="O20" s="109"/>
      <c r="R20" s="112"/>
      <c r="U20" s="110"/>
    </row>
    <row r="21" spans="1:23" s="111" customFormat="1" ht="31.5">
      <c r="A21" s="105" t="s">
        <v>34</v>
      </c>
      <c r="B21" s="106" t="s">
        <v>787</v>
      </c>
      <c r="C21" s="107" t="s">
        <v>35</v>
      </c>
      <c r="D21" s="107">
        <v>1</v>
      </c>
      <c r="E21" s="107"/>
      <c r="F21" s="107"/>
      <c r="G21" s="107"/>
      <c r="H21" s="108">
        <f>SUM(Tabla1326[[#This Row],[PRIMER TRIMESTRE]:[CUARTO TRIMESTRE]])</f>
        <v>1</v>
      </c>
      <c r="I21" s="109">
        <v>24630.67</v>
      </c>
      <c r="J21" s="109">
        <f>+Tabla1326[[#This Row],[CANTIDAD TOTAL]]*Tabla1326[[#This Row],[PRECIO UNITARIO ESTIMADO]]</f>
        <v>24630.67</v>
      </c>
      <c r="K21" s="109"/>
      <c r="L21" s="110" t="s">
        <v>15</v>
      </c>
      <c r="M21" s="110" t="s">
        <v>22</v>
      </c>
      <c r="N21" s="107" t="s">
        <v>418</v>
      </c>
      <c r="O21" s="110"/>
      <c r="R21" s="112" t="s">
        <v>38</v>
      </c>
      <c r="U21" s="110"/>
    </row>
    <row r="22" spans="1:23" s="111" customFormat="1" ht="31.5">
      <c r="A22" s="105" t="s">
        <v>34</v>
      </c>
      <c r="B22" s="106" t="s">
        <v>786</v>
      </c>
      <c r="C22" s="107" t="s">
        <v>35</v>
      </c>
      <c r="D22" s="107">
        <v>1</v>
      </c>
      <c r="E22" s="107"/>
      <c r="F22" s="107"/>
      <c r="G22" s="107"/>
      <c r="H22" s="108">
        <f>SUM(Tabla1326[[#This Row],[PRIMER TRIMESTRE]:[CUARTO TRIMESTRE]])</f>
        <v>1</v>
      </c>
      <c r="I22" s="109">
        <f>+I21*1.05</f>
        <v>25862.2035</v>
      </c>
      <c r="J22" s="109">
        <f>+H22*I22</f>
        <v>25862.2035</v>
      </c>
      <c r="K22" s="109"/>
      <c r="L22" s="110" t="s">
        <v>15</v>
      </c>
      <c r="M22" s="110" t="s">
        <v>22</v>
      </c>
      <c r="N22" s="107" t="s">
        <v>418</v>
      </c>
      <c r="O22" s="109"/>
      <c r="R22" s="112"/>
      <c r="U22" s="110"/>
    </row>
    <row r="23" spans="1:23" s="111" customFormat="1" ht="31.5">
      <c r="A23" s="105" t="s">
        <v>34</v>
      </c>
      <c r="B23" s="106" t="s">
        <v>720</v>
      </c>
      <c r="C23" s="107" t="s">
        <v>721</v>
      </c>
      <c r="D23" s="107">
        <v>7</v>
      </c>
      <c r="E23" s="107"/>
      <c r="F23" s="107">
        <v>7</v>
      </c>
      <c r="G23" s="107"/>
      <c r="H23" s="108">
        <f>SUM(Tabla1326[[#This Row],[PRIMER TRIMESTRE]:[CUARTO TRIMESTRE]])</f>
        <v>14</v>
      </c>
      <c r="I23" s="109">
        <v>3700</v>
      </c>
      <c r="J23" s="109">
        <f>+Tabla1326[[#This Row],[CANTIDAD TOTAL]]*Tabla1326[[#This Row],[PRECIO UNITARIO ESTIMADO]]</f>
        <v>51800</v>
      </c>
      <c r="K23" s="109"/>
      <c r="L23" s="110" t="s">
        <v>15</v>
      </c>
      <c r="M23" s="110" t="s">
        <v>22</v>
      </c>
      <c r="N23" s="107" t="s">
        <v>418</v>
      </c>
      <c r="O23" s="110"/>
      <c r="R23" s="112" t="s">
        <v>39</v>
      </c>
      <c r="U23" s="110"/>
    </row>
    <row r="24" spans="1:23" s="111" customFormat="1" ht="31.5">
      <c r="A24" s="105" t="s">
        <v>34</v>
      </c>
      <c r="B24" s="106" t="s">
        <v>719</v>
      </c>
      <c r="C24" s="107" t="s">
        <v>718</v>
      </c>
      <c r="D24" s="107">
        <v>5</v>
      </c>
      <c r="E24" s="107"/>
      <c r="F24" s="107">
        <v>5</v>
      </c>
      <c r="G24" s="107"/>
      <c r="H24" s="108">
        <f>SUM(Tabla1326[[#This Row],[PRIMER TRIMESTRE]:[CUARTO TRIMESTRE]])</f>
        <v>10</v>
      </c>
      <c r="I24" s="109">
        <v>800</v>
      </c>
      <c r="J24" s="109">
        <f>+Tabla1326[[#This Row],[CANTIDAD TOTAL]]*Tabla1326[[#This Row],[PRECIO UNITARIO ESTIMADO]]</f>
        <v>8000</v>
      </c>
      <c r="K24" s="109"/>
      <c r="L24" s="110" t="s">
        <v>15</v>
      </c>
      <c r="M24" s="110" t="s">
        <v>22</v>
      </c>
      <c r="N24" s="107" t="s">
        <v>418</v>
      </c>
      <c r="O24" s="110"/>
      <c r="R24" s="112" t="s">
        <v>40</v>
      </c>
      <c r="U24" s="110"/>
    </row>
    <row r="25" spans="1:23" s="26" customFormat="1" ht="44.25" customHeight="1">
      <c r="A25" s="22" t="s">
        <v>34</v>
      </c>
      <c r="B25" s="76" t="s">
        <v>444</v>
      </c>
      <c r="C25" s="42"/>
      <c r="D25" s="42"/>
      <c r="E25" s="42"/>
      <c r="F25" s="42"/>
      <c r="G25" s="42"/>
      <c r="H25" s="43"/>
      <c r="I25" s="24"/>
      <c r="J25" s="24"/>
      <c r="K25" s="25">
        <f>SUBTOTAL(109,J17:J24)</f>
        <v>1202051.6535</v>
      </c>
      <c r="L25" s="23"/>
      <c r="M25" s="23"/>
      <c r="N25" s="42"/>
      <c r="O25" s="24"/>
      <c r="R25" s="27"/>
      <c r="U25" s="23"/>
    </row>
    <row r="26" spans="1:23" s="12" customFormat="1" ht="31.5">
      <c r="A26" s="15" t="s">
        <v>41</v>
      </c>
      <c r="B26" s="75" t="s">
        <v>42</v>
      </c>
      <c r="C26" s="39" t="s">
        <v>17</v>
      </c>
      <c r="D26" s="39"/>
      <c r="E26" s="39"/>
      <c r="F26" s="39">
        <v>1</v>
      </c>
      <c r="G26" s="39"/>
      <c r="H26" s="40">
        <f>SUM(Tabla1326[[#This Row],[PRIMER TRIMESTRE]:[CUARTO TRIMESTRE]])</f>
        <v>1</v>
      </c>
      <c r="I26" s="17">
        <v>26999</v>
      </c>
      <c r="J26" s="17">
        <f>+Tabla1326[[#This Row],[CANTIDAD TOTAL]]*Tabla1326[[#This Row],[PRECIO UNITARIO ESTIMADO]]</f>
        <v>26999</v>
      </c>
      <c r="K26" s="17"/>
      <c r="L26" s="16" t="s">
        <v>15</v>
      </c>
      <c r="M26" s="16" t="s">
        <v>22</v>
      </c>
      <c r="N26" s="39" t="s">
        <v>418</v>
      </c>
      <c r="O26" s="20"/>
      <c r="R26" s="19" t="s">
        <v>43</v>
      </c>
      <c r="U26" s="16"/>
    </row>
    <row r="27" spans="1:23" s="12" customFormat="1" ht="31.5">
      <c r="A27" s="15" t="s">
        <v>41</v>
      </c>
      <c r="B27" s="75" t="s">
        <v>44</v>
      </c>
      <c r="C27" s="39" t="s">
        <v>17</v>
      </c>
      <c r="D27" s="39"/>
      <c r="E27" s="39"/>
      <c r="F27" s="39">
        <v>2</v>
      </c>
      <c r="G27" s="39"/>
      <c r="H27" s="40">
        <f>SUM(Tabla1326[[#This Row],[PRIMER TRIMESTRE]:[CUARTO TRIMESTRE]])</f>
        <v>2</v>
      </c>
      <c r="I27" s="17">
        <v>90854.41</v>
      </c>
      <c r="J27" s="17">
        <f>+Tabla1326[[#This Row],[CANTIDAD TOTAL]]*Tabla1326[[#This Row],[PRECIO UNITARIO ESTIMADO]]</f>
        <v>181708.82</v>
      </c>
      <c r="K27" s="17"/>
      <c r="L27" s="16" t="s">
        <v>15</v>
      </c>
      <c r="M27" s="16" t="s">
        <v>22</v>
      </c>
      <c r="N27" s="39" t="s">
        <v>418</v>
      </c>
      <c r="O27" s="20"/>
      <c r="R27" s="19" t="s">
        <v>45</v>
      </c>
      <c r="U27" s="16"/>
    </row>
    <row r="28" spans="1:23" s="26" customFormat="1" ht="49.5" customHeight="1">
      <c r="A28" s="22" t="s">
        <v>41</v>
      </c>
      <c r="B28" s="76"/>
      <c r="C28" s="42"/>
      <c r="D28" s="42"/>
      <c r="E28" s="42"/>
      <c r="F28" s="42"/>
      <c r="G28" s="42"/>
      <c r="H28" s="43"/>
      <c r="I28" s="24"/>
      <c r="J28" s="24"/>
      <c r="K28" s="25">
        <f>SUBTOTAL(109,J26:J27)</f>
        <v>208707.82</v>
      </c>
      <c r="L28" s="23"/>
      <c r="M28" s="23"/>
      <c r="N28" s="42"/>
      <c r="O28" s="24"/>
      <c r="R28" s="27"/>
      <c r="U28" s="23"/>
    </row>
    <row r="29" spans="1:23" s="12" customFormat="1" ht="34.5" customHeight="1">
      <c r="A29" s="15" t="s">
        <v>46</v>
      </c>
      <c r="B29" s="75" t="s">
        <v>445</v>
      </c>
      <c r="C29" s="39" t="s">
        <v>17</v>
      </c>
      <c r="D29" s="39"/>
      <c r="E29" s="39">
        <v>2</v>
      </c>
      <c r="F29" s="39"/>
      <c r="G29" s="39"/>
      <c r="H29" s="40">
        <f>SUM(Tabla1326[[#This Row],[PRIMER TRIMESTRE]:[CUARTO TRIMESTRE]])</f>
        <v>2</v>
      </c>
      <c r="I29" s="17">
        <v>1136476.48</v>
      </c>
      <c r="J29" s="17">
        <f>+H29*I29</f>
        <v>2272952.96</v>
      </c>
      <c r="K29" s="17"/>
      <c r="L29" s="16" t="s">
        <v>18</v>
      </c>
      <c r="M29" s="16" t="s">
        <v>22</v>
      </c>
      <c r="N29" s="39"/>
      <c r="O29" s="16"/>
      <c r="T29" s="19" t="s">
        <v>446</v>
      </c>
      <c r="W29" s="16"/>
    </row>
    <row r="30" spans="1:23" s="111" customFormat="1" ht="34.5" customHeight="1">
      <c r="A30" s="105" t="s">
        <v>46</v>
      </c>
      <c r="B30" s="106" t="s">
        <v>778</v>
      </c>
      <c r="C30" s="107" t="s">
        <v>17</v>
      </c>
      <c r="D30" s="107">
        <v>1</v>
      </c>
      <c r="E30" s="107"/>
      <c r="F30" s="107"/>
      <c r="G30" s="107"/>
      <c r="H30" s="108">
        <f>SUM(Tabla1326[[#This Row],[PRIMER TRIMESTRE]:[CUARTO TRIMESTRE]])</f>
        <v>1</v>
      </c>
      <c r="I30" s="109">
        <v>1800000</v>
      </c>
      <c r="J30" s="109">
        <f>+H30*I30</f>
        <v>1800000</v>
      </c>
      <c r="K30" s="109"/>
      <c r="L30" s="110" t="s">
        <v>27</v>
      </c>
      <c r="M30" s="110" t="s">
        <v>22</v>
      </c>
      <c r="N30" s="107"/>
      <c r="O30" s="109"/>
      <c r="T30" s="112"/>
      <c r="W30" s="110"/>
    </row>
    <row r="31" spans="1:23" s="12" customFormat="1" ht="34.5" customHeight="1">
      <c r="A31" s="15" t="s">
        <v>46</v>
      </c>
      <c r="B31" s="75" t="s">
        <v>447</v>
      </c>
      <c r="C31" s="39" t="s">
        <v>17</v>
      </c>
      <c r="D31" s="39"/>
      <c r="E31" s="39">
        <v>2</v>
      </c>
      <c r="F31" s="39"/>
      <c r="G31" s="39"/>
      <c r="H31" s="40">
        <f>SUM(Tabla1326[[#This Row],[PRIMER TRIMESTRE]:[CUARTO TRIMESTRE]])</f>
        <v>2</v>
      </c>
      <c r="I31" s="17">
        <v>440000</v>
      </c>
      <c r="J31" s="17">
        <f>+H31*I31</f>
        <v>880000</v>
      </c>
      <c r="K31" s="17"/>
      <c r="L31" s="16" t="s">
        <v>18</v>
      </c>
      <c r="M31" s="16" t="s">
        <v>22</v>
      </c>
      <c r="N31" s="39"/>
      <c r="O31" s="16"/>
      <c r="T31" s="19" t="s">
        <v>448</v>
      </c>
      <c r="W31" s="16"/>
    </row>
    <row r="32" spans="1:23" s="12" customFormat="1">
      <c r="A32" s="15" t="s">
        <v>46</v>
      </c>
      <c r="B32" s="75" t="s">
        <v>47</v>
      </c>
      <c r="C32" s="39" t="s">
        <v>17</v>
      </c>
      <c r="D32" s="39"/>
      <c r="E32" s="39">
        <v>10</v>
      </c>
      <c r="F32" s="39"/>
      <c r="G32" s="39">
        <v>10</v>
      </c>
      <c r="H32" s="40">
        <f>SUM(Tabla1326[[#This Row],[PRIMER TRIMESTRE]:[CUARTO TRIMESTRE]])</f>
        <v>20</v>
      </c>
      <c r="I32" s="17">
        <v>3103.38</v>
      </c>
      <c r="J32" s="17">
        <f>+Tabla1326[[#This Row],[CANTIDAD TOTAL]]*Tabla1326[[#This Row],[PRECIO UNITARIO ESTIMADO]]</f>
        <v>62067.600000000006</v>
      </c>
      <c r="K32" s="17"/>
      <c r="L32" s="16" t="s">
        <v>27</v>
      </c>
      <c r="M32" s="16" t="s">
        <v>22</v>
      </c>
      <c r="N32" s="39" t="s">
        <v>418</v>
      </c>
      <c r="O32" s="20"/>
      <c r="R32" s="19" t="s">
        <v>48</v>
      </c>
      <c r="U32" s="16"/>
    </row>
    <row r="33" spans="1:21" s="12" customFormat="1">
      <c r="A33" s="15" t="s">
        <v>46</v>
      </c>
      <c r="B33" s="75" t="s">
        <v>49</v>
      </c>
      <c r="C33" s="39" t="s">
        <v>17</v>
      </c>
      <c r="D33" s="39"/>
      <c r="E33" s="39">
        <v>1</v>
      </c>
      <c r="F33" s="39"/>
      <c r="G33" s="39"/>
      <c r="H33" s="40">
        <f>SUM(Tabla1326[[#This Row],[PRIMER TRIMESTRE]:[CUARTO TRIMESTRE]])</f>
        <v>1</v>
      </c>
      <c r="I33" s="17">
        <v>59999.99</v>
      </c>
      <c r="J33" s="17">
        <f>+Tabla1326[[#This Row],[CANTIDAD TOTAL]]*Tabla1326[[#This Row],[PRECIO UNITARIO ESTIMADO]]</f>
        <v>59999.99</v>
      </c>
      <c r="K33" s="17"/>
      <c r="L33" s="16" t="s">
        <v>27</v>
      </c>
      <c r="M33" s="16" t="s">
        <v>22</v>
      </c>
      <c r="N33" s="39" t="s">
        <v>418</v>
      </c>
      <c r="O33" s="20"/>
      <c r="R33" s="19" t="s">
        <v>50</v>
      </c>
      <c r="U33" s="16"/>
    </row>
    <row r="34" spans="1:21" s="12" customFormat="1">
      <c r="A34" s="15" t="s">
        <v>46</v>
      </c>
      <c r="B34" s="75" t="s">
        <v>51</v>
      </c>
      <c r="C34" s="39" t="s">
        <v>17</v>
      </c>
      <c r="D34" s="39"/>
      <c r="E34" s="39">
        <v>2</v>
      </c>
      <c r="F34" s="39"/>
      <c r="G34" s="39"/>
      <c r="H34" s="40">
        <f>SUM(Tabla1326[[#This Row],[PRIMER TRIMESTRE]:[CUARTO TRIMESTRE]])</f>
        <v>2</v>
      </c>
      <c r="I34" s="17">
        <v>7733.6</v>
      </c>
      <c r="J34" s="17">
        <f>+Tabla1326[[#This Row],[CANTIDAD TOTAL]]*Tabla1326[[#This Row],[PRECIO UNITARIO ESTIMADO]]</f>
        <v>15467.2</v>
      </c>
      <c r="K34" s="17"/>
      <c r="L34" s="16" t="s">
        <v>27</v>
      </c>
      <c r="M34" s="16" t="s">
        <v>22</v>
      </c>
      <c r="N34" s="39" t="s">
        <v>418</v>
      </c>
      <c r="O34" s="20"/>
      <c r="R34" s="19" t="s">
        <v>52</v>
      </c>
      <c r="U34" s="16"/>
    </row>
    <row r="35" spans="1:21" s="12" customFormat="1">
      <c r="A35" s="15" t="s">
        <v>46</v>
      </c>
      <c r="B35" s="75" t="s">
        <v>55</v>
      </c>
      <c r="C35" s="39" t="s">
        <v>17</v>
      </c>
      <c r="D35" s="39"/>
      <c r="E35" s="39">
        <v>2</v>
      </c>
      <c r="F35" s="39"/>
      <c r="G35" s="39"/>
      <c r="H35" s="40">
        <f>SUM(Tabla1326[[#This Row],[PRIMER TRIMESTRE]:[CUARTO TRIMESTRE]])</f>
        <v>2</v>
      </c>
      <c r="I35" s="17">
        <v>7014.5</v>
      </c>
      <c r="J35" s="17">
        <f>+Tabla1326[[#This Row],[CANTIDAD TOTAL]]*Tabla1326[[#This Row],[PRECIO UNITARIO ESTIMADO]]</f>
        <v>14029</v>
      </c>
      <c r="K35" s="17"/>
      <c r="L35" s="16" t="s">
        <v>27</v>
      </c>
      <c r="M35" s="16" t="s">
        <v>22</v>
      </c>
      <c r="N35" s="39" t="s">
        <v>418</v>
      </c>
      <c r="O35" s="20"/>
      <c r="R35" s="19" t="s">
        <v>56</v>
      </c>
      <c r="U35" s="16"/>
    </row>
    <row r="36" spans="1:21" s="12" customFormat="1">
      <c r="A36" s="15" t="s">
        <v>46</v>
      </c>
      <c r="B36" s="75" t="s">
        <v>57</v>
      </c>
      <c r="C36" s="39" t="s">
        <v>17</v>
      </c>
      <c r="D36" s="39"/>
      <c r="E36" s="39">
        <v>4</v>
      </c>
      <c r="F36" s="39"/>
      <c r="G36" s="39">
        <v>4</v>
      </c>
      <c r="H36" s="40">
        <f>SUM(Tabla1326[[#This Row],[PRIMER TRIMESTRE]:[CUARTO TRIMESTRE]])</f>
        <v>8</v>
      </c>
      <c r="I36" s="17">
        <v>12138.01</v>
      </c>
      <c r="J36" s="17">
        <f>+Tabla1326[[#This Row],[CANTIDAD TOTAL]]*Tabla1326[[#This Row],[PRECIO UNITARIO ESTIMADO]]</f>
        <v>97104.08</v>
      </c>
      <c r="K36" s="17"/>
      <c r="L36" s="16" t="s">
        <v>27</v>
      </c>
      <c r="M36" s="16" t="s">
        <v>22</v>
      </c>
      <c r="N36" s="39" t="s">
        <v>418</v>
      </c>
      <c r="O36" s="20"/>
      <c r="R36" s="19" t="s">
        <v>58</v>
      </c>
      <c r="U36" s="16"/>
    </row>
    <row r="37" spans="1:21" s="12" customFormat="1">
      <c r="A37" s="15" t="s">
        <v>46</v>
      </c>
      <c r="B37" s="75" t="s">
        <v>59</v>
      </c>
      <c r="C37" s="39" t="s">
        <v>17</v>
      </c>
      <c r="D37" s="39"/>
      <c r="E37" s="39">
        <v>6</v>
      </c>
      <c r="F37" s="39"/>
      <c r="G37" s="39">
        <v>6</v>
      </c>
      <c r="H37" s="40">
        <f>SUM(Tabla1326[[#This Row],[PRIMER TRIMESTRE]:[CUARTO TRIMESTRE]])</f>
        <v>12</v>
      </c>
      <c r="I37" s="17">
        <v>2122.8000000000002</v>
      </c>
      <c r="J37" s="17">
        <f>+Tabla1326[[#This Row],[CANTIDAD TOTAL]]*Tabla1326[[#This Row],[PRECIO UNITARIO ESTIMADO]]</f>
        <v>25473.600000000002</v>
      </c>
      <c r="K37" s="17"/>
      <c r="L37" s="16" t="s">
        <v>27</v>
      </c>
      <c r="M37" s="16" t="s">
        <v>22</v>
      </c>
      <c r="N37" s="39" t="s">
        <v>418</v>
      </c>
      <c r="O37" s="20"/>
      <c r="R37" s="19" t="s">
        <v>60</v>
      </c>
      <c r="U37" s="16"/>
    </row>
    <row r="38" spans="1:21" s="111" customFormat="1">
      <c r="A38" s="105" t="s">
        <v>46</v>
      </c>
      <c r="B38" s="106" t="s">
        <v>550</v>
      </c>
      <c r="C38" s="107" t="s">
        <v>17</v>
      </c>
      <c r="D38" s="107">
        <v>50</v>
      </c>
      <c r="E38" s="107"/>
      <c r="F38" s="107">
        <v>50</v>
      </c>
      <c r="G38" s="107"/>
      <c r="H38" s="108">
        <f>SUM(Tabla1326[[#This Row],[PRIMER TRIMESTRE]:[CUARTO TRIMESTRE]])</f>
        <v>100</v>
      </c>
      <c r="I38" s="109">
        <v>9480</v>
      </c>
      <c r="J38" s="109">
        <f t="shared" ref="J38:J67" si="0">+H38*I38</f>
        <v>948000</v>
      </c>
      <c r="K38" s="109"/>
      <c r="L38" s="110" t="s">
        <v>27</v>
      </c>
      <c r="M38" s="110" t="s">
        <v>22</v>
      </c>
      <c r="N38" s="107" t="s">
        <v>418</v>
      </c>
      <c r="O38" s="110"/>
      <c r="R38" s="112"/>
      <c r="U38" s="110"/>
    </row>
    <row r="39" spans="1:21" s="111" customFormat="1">
      <c r="A39" s="105" t="s">
        <v>46</v>
      </c>
      <c r="B39" s="106" t="s">
        <v>551</v>
      </c>
      <c r="C39" s="107" t="s">
        <v>17</v>
      </c>
      <c r="D39" s="107">
        <v>5</v>
      </c>
      <c r="E39" s="107"/>
      <c r="F39" s="107">
        <v>5</v>
      </c>
      <c r="G39" s="107"/>
      <c r="H39" s="108">
        <v>12</v>
      </c>
      <c r="I39" s="109">
        <v>31680</v>
      </c>
      <c r="J39" s="109">
        <f>+H39*I39</f>
        <v>380160</v>
      </c>
      <c r="K39" s="109"/>
      <c r="L39" s="110" t="s">
        <v>27</v>
      </c>
      <c r="M39" s="110" t="s">
        <v>22</v>
      </c>
      <c r="N39" s="107" t="s">
        <v>418</v>
      </c>
      <c r="O39" s="110"/>
      <c r="R39" s="112"/>
      <c r="U39" s="110"/>
    </row>
    <row r="40" spans="1:21" s="111" customFormat="1" ht="31.5">
      <c r="A40" s="105" t="s">
        <v>46</v>
      </c>
      <c r="B40" s="106" t="s">
        <v>552</v>
      </c>
      <c r="C40" s="107" t="s">
        <v>17</v>
      </c>
      <c r="D40" s="107">
        <v>30</v>
      </c>
      <c r="E40" s="107"/>
      <c r="F40" s="107">
        <v>30</v>
      </c>
      <c r="G40" s="107"/>
      <c r="H40" s="108">
        <v>80</v>
      </c>
      <c r="I40" s="109">
        <v>9279.9</v>
      </c>
      <c r="J40" s="109">
        <f t="shared" si="0"/>
        <v>742392</v>
      </c>
      <c r="K40" s="109"/>
      <c r="L40" s="110" t="s">
        <v>27</v>
      </c>
      <c r="M40" s="110" t="s">
        <v>22</v>
      </c>
      <c r="N40" s="107" t="s">
        <v>418</v>
      </c>
      <c r="O40" s="110" t="s">
        <v>907</v>
      </c>
      <c r="R40" s="112"/>
      <c r="U40" s="110"/>
    </row>
    <row r="41" spans="1:21" s="111" customFormat="1">
      <c r="A41" s="105" t="s">
        <v>46</v>
      </c>
      <c r="B41" s="106" t="s">
        <v>54</v>
      </c>
      <c r="C41" s="107" t="s">
        <v>17</v>
      </c>
      <c r="D41" s="107">
        <v>6</v>
      </c>
      <c r="E41" s="107"/>
      <c r="F41" s="107">
        <v>6</v>
      </c>
      <c r="G41" s="107"/>
      <c r="H41" s="108">
        <f>SUM(Tabla1326[[#This Row],[PRIMER TRIMESTRE]:[CUARTO TRIMESTRE]])</f>
        <v>12</v>
      </c>
      <c r="I41" s="109">
        <v>9079.9</v>
      </c>
      <c r="J41" s="109">
        <f t="shared" si="0"/>
        <v>108958.79999999999</v>
      </c>
      <c r="K41" s="109"/>
      <c r="L41" s="110" t="s">
        <v>27</v>
      </c>
      <c r="M41" s="110" t="s">
        <v>22</v>
      </c>
      <c r="N41" s="107" t="s">
        <v>418</v>
      </c>
      <c r="O41" s="110"/>
      <c r="R41" s="112"/>
      <c r="U41" s="110"/>
    </row>
    <row r="42" spans="1:21" s="111" customFormat="1">
      <c r="A42" s="105" t="s">
        <v>46</v>
      </c>
      <c r="B42" s="106" t="s">
        <v>53</v>
      </c>
      <c r="C42" s="107" t="s">
        <v>17</v>
      </c>
      <c r="D42" s="107">
        <v>15</v>
      </c>
      <c r="E42" s="107"/>
      <c r="F42" s="107">
        <v>15</v>
      </c>
      <c r="G42" s="107"/>
      <c r="H42" s="108">
        <v>40</v>
      </c>
      <c r="I42" s="109">
        <v>9048</v>
      </c>
      <c r="J42" s="109">
        <f t="shared" si="0"/>
        <v>361920</v>
      </c>
      <c r="K42" s="109"/>
      <c r="L42" s="110" t="s">
        <v>27</v>
      </c>
      <c r="M42" s="110" t="s">
        <v>22</v>
      </c>
      <c r="N42" s="107" t="s">
        <v>418</v>
      </c>
      <c r="O42" s="110"/>
      <c r="R42" s="112"/>
      <c r="U42" s="110"/>
    </row>
    <row r="43" spans="1:21" s="111" customFormat="1">
      <c r="A43" s="105" t="s">
        <v>46</v>
      </c>
      <c r="B43" s="106" t="s">
        <v>553</v>
      </c>
      <c r="C43" s="107" t="s">
        <v>17</v>
      </c>
      <c r="D43" s="107">
        <v>12</v>
      </c>
      <c r="E43" s="107"/>
      <c r="F43" s="107">
        <v>12</v>
      </c>
      <c r="G43" s="107"/>
      <c r="H43" s="108">
        <f>SUM(Tabla1326[[#This Row],[PRIMER TRIMESTRE]:[CUARTO TRIMESTRE]])</f>
        <v>24</v>
      </c>
      <c r="I43" s="109">
        <v>7043.16</v>
      </c>
      <c r="J43" s="109">
        <f t="shared" si="0"/>
        <v>169035.84</v>
      </c>
      <c r="K43" s="109"/>
      <c r="L43" s="110" t="s">
        <v>27</v>
      </c>
      <c r="M43" s="110" t="s">
        <v>22</v>
      </c>
      <c r="N43" s="107" t="s">
        <v>418</v>
      </c>
      <c r="O43" s="110"/>
      <c r="R43" s="112"/>
      <c r="U43" s="110"/>
    </row>
    <row r="44" spans="1:21" s="111" customFormat="1">
      <c r="A44" s="105" t="s">
        <v>46</v>
      </c>
      <c r="B44" s="106" t="s">
        <v>554</v>
      </c>
      <c r="C44" s="107" t="s">
        <v>17</v>
      </c>
      <c r="D44" s="107">
        <v>25</v>
      </c>
      <c r="E44" s="107"/>
      <c r="F44" s="107">
        <v>25</v>
      </c>
      <c r="G44" s="107"/>
      <c r="H44" s="108">
        <v>60</v>
      </c>
      <c r="I44" s="109">
        <v>12210</v>
      </c>
      <c r="J44" s="109">
        <f t="shared" si="0"/>
        <v>732600</v>
      </c>
      <c r="K44" s="109"/>
      <c r="L44" s="110" t="s">
        <v>27</v>
      </c>
      <c r="M44" s="110" t="s">
        <v>22</v>
      </c>
      <c r="N44" s="107" t="s">
        <v>418</v>
      </c>
      <c r="O44" s="110"/>
      <c r="R44" s="112"/>
      <c r="U44" s="110"/>
    </row>
    <row r="45" spans="1:21" s="111" customFormat="1">
      <c r="A45" s="105" t="s">
        <v>46</v>
      </c>
      <c r="B45" s="106" t="s">
        <v>555</v>
      </c>
      <c r="C45" s="107" t="s">
        <v>17</v>
      </c>
      <c r="D45" s="107">
        <v>15</v>
      </c>
      <c r="E45" s="107"/>
      <c r="F45" s="107">
        <v>15</v>
      </c>
      <c r="G45" s="107"/>
      <c r="H45" s="108">
        <v>40</v>
      </c>
      <c r="I45" s="109">
        <v>4029.25</v>
      </c>
      <c r="J45" s="109">
        <f t="shared" si="0"/>
        <v>161170</v>
      </c>
      <c r="K45" s="109"/>
      <c r="L45" s="110" t="s">
        <v>27</v>
      </c>
      <c r="M45" s="110" t="s">
        <v>22</v>
      </c>
      <c r="N45" s="107" t="s">
        <v>418</v>
      </c>
      <c r="O45" s="110"/>
      <c r="R45" s="112"/>
      <c r="U45" s="110"/>
    </row>
    <row r="46" spans="1:21" s="111" customFormat="1">
      <c r="A46" s="105" t="s">
        <v>46</v>
      </c>
      <c r="B46" s="106" t="s">
        <v>556</v>
      </c>
      <c r="C46" s="107" t="s">
        <v>17</v>
      </c>
      <c r="D46" s="107">
        <v>8</v>
      </c>
      <c r="E46" s="107"/>
      <c r="F46" s="107">
        <v>8</v>
      </c>
      <c r="G46" s="107"/>
      <c r="H46" s="108">
        <v>16</v>
      </c>
      <c r="I46" s="109">
        <v>33660</v>
      </c>
      <c r="J46" s="109">
        <f t="shared" si="0"/>
        <v>538560</v>
      </c>
      <c r="K46" s="109"/>
      <c r="L46" s="110" t="s">
        <v>27</v>
      </c>
      <c r="M46" s="110" t="s">
        <v>22</v>
      </c>
      <c r="N46" s="107" t="s">
        <v>418</v>
      </c>
      <c r="O46" s="110"/>
      <c r="R46" s="112"/>
      <c r="U46" s="110"/>
    </row>
    <row r="47" spans="1:21" s="111" customFormat="1">
      <c r="A47" s="105" t="s">
        <v>46</v>
      </c>
      <c r="B47" s="106" t="s">
        <v>557</v>
      </c>
      <c r="C47" s="107" t="s">
        <v>17</v>
      </c>
      <c r="D47" s="107">
        <v>20</v>
      </c>
      <c r="E47" s="107"/>
      <c r="F47" s="107">
        <v>20</v>
      </c>
      <c r="G47" s="107"/>
      <c r="H47" s="108">
        <v>40</v>
      </c>
      <c r="I47" s="109">
        <v>27205.48</v>
      </c>
      <c r="J47" s="109">
        <f t="shared" si="0"/>
        <v>1088219.2</v>
      </c>
      <c r="K47" s="109"/>
      <c r="L47" s="110" t="s">
        <v>27</v>
      </c>
      <c r="M47" s="110" t="s">
        <v>22</v>
      </c>
      <c r="N47" s="107" t="s">
        <v>418</v>
      </c>
      <c r="O47" s="110"/>
      <c r="R47" s="112"/>
      <c r="U47" s="110"/>
    </row>
    <row r="48" spans="1:21" s="111" customFormat="1">
      <c r="A48" s="105" t="s">
        <v>46</v>
      </c>
      <c r="B48" s="106" t="s">
        <v>558</v>
      </c>
      <c r="C48" s="107" t="s">
        <v>17</v>
      </c>
      <c r="D48" s="107">
        <v>2</v>
      </c>
      <c r="E48" s="107"/>
      <c r="F48" s="107">
        <v>2</v>
      </c>
      <c r="G48" s="107"/>
      <c r="H48" s="108">
        <f>SUM(Tabla1326[[#This Row],[PRIMER TRIMESTRE]:[CUARTO TRIMESTRE]])</f>
        <v>4</v>
      </c>
      <c r="I48" s="109">
        <v>14272.5</v>
      </c>
      <c r="J48" s="109">
        <f>+H48*I48</f>
        <v>57090</v>
      </c>
      <c r="K48" s="109"/>
      <c r="L48" s="110" t="s">
        <v>27</v>
      </c>
      <c r="M48" s="110" t="s">
        <v>22</v>
      </c>
      <c r="N48" s="107" t="s">
        <v>418</v>
      </c>
      <c r="O48" s="110"/>
      <c r="R48" s="112"/>
      <c r="U48" s="110"/>
    </row>
    <row r="49" spans="1:21" s="111" customFormat="1">
      <c r="A49" s="105" t="s">
        <v>46</v>
      </c>
      <c r="B49" s="106" t="s">
        <v>559</v>
      </c>
      <c r="C49" s="107" t="s">
        <v>17</v>
      </c>
      <c r="D49" s="107">
        <v>2</v>
      </c>
      <c r="E49" s="107"/>
      <c r="F49" s="107">
        <v>2</v>
      </c>
      <c r="G49" s="107"/>
      <c r="H49" s="108">
        <f>SUM(Tabla1326[[#This Row],[PRIMER TRIMESTRE]:[CUARTO TRIMESTRE]])</f>
        <v>4</v>
      </c>
      <c r="I49" s="109">
        <v>14272.5</v>
      </c>
      <c r="J49" s="109">
        <f t="shared" si="0"/>
        <v>57090</v>
      </c>
      <c r="K49" s="109"/>
      <c r="L49" s="110" t="s">
        <v>27</v>
      </c>
      <c r="M49" s="110" t="s">
        <v>22</v>
      </c>
      <c r="N49" s="107" t="s">
        <v>418</v>
      </c>
      <c r="O49" s="110"/>
      <c r="R49" s="112"/>
      <c r="U49" s="110"/>
    </row>
    <row r="50" spans="1:21" s="111" customFormat="1">
      <c r="A50" s="105" t="s">
        <v>46</v>
      </c>
      <c r="B50" s="106" t="s">
        <v>560</v>
      </c>
      <c r="C50" s="107" t="s">
        <v>17</v>
      </c>
      <c r="D50" s="107">
        <v>20</v>
      </c>
      <c r="E50" s="107"/>
      <c r="F50" s="107">
        <v>20</v>
      </c>
      <c r="G50" s="107"/>
      <c r="H50" s="108">
        <f>SUM(Tabla1326[[#This Row],[PRIMER TRIMESTRE]:[CUARTO TRIMESTRE]])</f>
        <v>40</v>
      </c>
      <c r="I50" s="109">
        <v>14190</v>
      </c>
      <c r="J50" s="109">
        <f t="shared" si="0"/>
        <v>567600</v>
      </c>
      <c r="K50" s="109"/>
      <c r="L50" s="110" t="s">
        <v>27</v>
      </c>
      <c r="M50" s="110" t="s">
        <v>22</v>
      </c>
      <c r="N50" s="107" t="s">
        <v>418</v>
      </c>
      <c r="O50" s="110"/>
      <c r="R50" s="112"/>
      <c r="U50" s="110"/>
    </row>
    <row r="51" spans="1:21" s="111" customFormat="1">
      <c r="A51" s="105" t="s">
        <v>46</v>
      </c>
      <c r="B51" s="106" t="s">
        <v>561</v>
      </c>
      <c r="C51" s="107" t="s">
        <v>17</v>
      </c>
      <c r="D51" s="107">
        <v>24</v>
      </c>
      <c r="E51" s="107"/>
      <c r="F51" s="107">
        <v>24</v>
      </c>
      <c r="G51" s="107"/>
      <c r="H51" s="108">
        <f>SUM(Tabla1326[[#This Row],[PRIMER TRIMESTRE]:[CUARTO TRIMESTRE]])</f>
        <v>48</v>
      </c>
      <c r="I51" s="109">
        <v>4200</v>
      </c>
      <c r="J51" s="109">
        <f t="shared" si="0"/>
        <v>201600</v>
      </c>
      <c r="K51" s="109"/>
      <c r="L51" s="110" t="s">
        <v>27</v>
      </c>
      <c r="M51" s="110" t="s">
        <v>22</v>
      </c>
      <c r="N51" s="107" t="s">
        <v>418</v>
      </c>
      <c r="O51" s="110"/>
      <c r="R51" s="112"/>
      <c r="U51" s="110"/>
    </row>
    <row r="52" spans="1:21" s="111" customFormat="1">
      <c r="A52" s="105" t="s">
        <v>46</v>
      </c>
      <c r="B52" s="106" t="s">
        <v>764</v>
      </c>
      <c r="C52" s="107" t="s">
        <v>17</v>
      </c>
      <c r="D52" s="107">
        <v>2</v>
      </c>
      <c r="E52" s="107"/>
      <c r="F52" s="107">
        <v>2</v>
      </c>
      <c r="G52" s="107"/>
      <c r="H52" s="108">
        <f>SUM(Tabla1326[[#This Row],[PRIMER TRIMESTRE]:[CUARTO TRIMESTRE]])</f>
        <v>4</v>
      </c>
      <c r="I52" s="109">
        <v>12650</v>
      </c>
      <c r="J52" s="109">
        <f>+H52*I52</f>
        <v>50600</v>
      </c>
      <c r="K52" s="109"/>
      <c r="L52" s="110" t="s">
        <v>27</v>
      </c>
      <c r="M52" s="110" t="s">
        <v>22</v>
      </c>
      <c r="N52" s="107" t="s">
        <v>418</v>
      </c>
      <c r="O52" s="109"/>
      <c r="R52" s="112"/>
      <c r="U52" s="110"/>
    </row>
    <row r="53" spans="1:21" s="120" customFormat="1">
      <c r="A53" s="114" t="s">
        <v>46</v>
      </c>
      <c r="B53" s="115" t="s">
        <v>535</v>
      </c>
      <c r="C53" s="116" t="s">
        <v>17</v>
      </c>
      <c r="D53" s="116">
        <v>30</v>
      </c>
      <c r="E53" s="116"/>
      <c r="F53" s="116">
        <v>30</v>
      </c>
      <c r="G53" s="116"/>
      <c r="H53" s="117">
        <f>SUM(Tabla1326[[#This Row],[PRIMER TRIMESTRE]:[CUARTO TRIMESTRE]])</f>
        <v>60</v>
      </c>
      <c r="I53" s="118">
        <v>180</v>
      </c>
      <c r="J53" s="118">
        <f t="shared" si="0"/>
        <v>10800</v>
      </c>
      <c r="K53" s="118"/>
      <c r="L53" s="119" t="s">
        <v>15</v>
      </c>
      <c r="M53" s="119" t="s">
        <v>22</v>
      </c>
      <c r="N53" s="116" t="s">
        <v>418</v>
      </c>
      <c r="O53" s="118"/>
      <c r="R53" s="121"/>
      <c r="U53" s="119"/>
    </row>
    <row r="54" spans="1:21" s="120" customFormat="1">
      <c r="A54" s="114" t="s">
        <v>46</v>
      </c>
      <c r="B54" s="115" t="s">
        <v>536</v>
      </c>
      <c r="C54" s="116" t="s">
        <v>17</v>
      </c>
      <c r="D54" s="116">
        <v>50</v>
      </c>
      <c r="E54" s="116"/>
      <c r="F54" s="116">
        <v>50</v>
      </c>
      <c r="G54" s="116"/>
      <c r="H54" s="117">
        <f>SUM(Tabla1326[[#This Row],[PRIMER TRIMESTRE]:[CUARTO TRIMESTRE]])</f>
        <v>100</v>
      </c>
      <c r="I54" s="118">
        <v>225</v>
      </c>
      <c r="J54" s="118">
        <f t="shared" si="0"/>
        <v>22500</v>
      </c>
      <c r="K54" s="118"/>
      <c r="L54" s="119" t="s">
        <v>15</v>
      </c>
      <c r="M54" s="119" t="s">
        <v>22</v>
      </c>
      <c r="N54" s="116" t="s">
        <v>418</v>
      </c>
      <c r="O54" s="118"/>
      <c r="R54" s="121"/>
      <c r="U54" s="119"/>
    </row>
    <row r="55" spans="1:21" s="120" customFormat="1">
      <c r="A55" s="114" t="s">
        <v>46</v>
      </c>
      <c r="B55" s="115" t="s">
        <v>537</v>
      </c>
      <c r="C55" s="116" t="s">
        <v>17</v>
      </c>
      <c r="D55" s="116">
        <v>20</v>
      </c>
      <c r="E55" s="116"/>
      <c r="F55" s="116">
        <v>20</v>
      </c>
      <c r="G55" s="116"/>
      <c r="H55" s="117">
        <f>SUM(Tabla1326[[#This Row],[PRIMER TRIMESTRE]:[CUARTO TRIMESTRE]])</f>
        <v>40</v>
      </c>
      <c r="I55" s="118">
        <v>250</v>
      </c>
      <c r="J55" s="118">
        <f t="shared" si="0"/>
        <v>10000</v>
      </c>
      <c r="K55" s="118"/>
      <c r="L55" s="119" t="s">
        <v>15</v>
      </c>
      <c r="M55" s="119" t="s">
        <v>22</v>
      </c>
      <c r="N55" s="116" t="s">
        <v>418</v>
      </c>
      <c r="O55" s="118"/>
      <c r="R55" s="121"/>
      <c r="U55" s="119"/>
    </row>
    <row r="56" spans="1:21" s="120" customFormat="1">
      <c r="A56" s="114" t="s">
        <v>46</v>
      </c>
      <c r="B56" s="115" t="s">
        <v>538</v>
      </c>
      <c r="C56" s="116" t="s">
        <v>17</v>
      </c>
      <c r="D56" s="116">
        <v>20</v>
      </c>
      <c r="E56" s="116"/>
      <c r="F56" s="116">
        <v>20</v>
      </c>
      <c r="G56" s="116"/>
      <c r="H56" s="117">
        <f>SUM(Tabla1326[[#This Row],[PRIMER TRIMESTRE]:[CUARTO TRIMESTRE]])</f>
        <v>40</v>
      </c>
      <c r="I56" s="118">
        <v>350</v>
      </c>
      <c r="J56" s="118">
        <f t="shared" si="0"/>
        <v>14000</v>
      </c>
      <c r="K56" s="118"/>
      <c r="L56" s="119" t="s">
        <v>15</v>
      </c>
      <c r="M56" s="119" t="s">
        <v>22</v>
      </c>
      <c r="N56" s="116" t="s">
        <v>418</v>
      </c>
      <c r="O56" s="118"/>
      <c r="R56" s="121"/>
      <c r="U56" s="119"/>
    </row>
    <row r="57" spans="1:21" s="120" customFormat="1">
      <c r="A57" s="114" t="s">
        <v>46</v>
      </c>
      <c r="B57" s="115" t="s">
        <v>539</v>
      </c>
      <c r="C57" s="116" t="s">
        <v>17</v>
      </c>
      <c r="D57" s="116">
        <v>25</v>
      </c>
      <c r="E57" s="116"/>
      <c r="F57" s="116">
        <v>25</v>
      </c>
      <c r="G57" s="116"/>
      <c r="H57" s="117">
        <f>SUM(Tabla1326[[#This Row],[PRIMER TRIMESTRE]:[CUARTO TRIMESTRE]])</f>
        <v>50</v>
      </c>
      <c r="I57" s="118">
        <v>550</v>
      </c>
      <c r="J57" s="118">
        <f t="shared" si="0"/>
        <v>27500</v>
      </c>
      <c r="K57" s="118"/>
      <c r="L57" s="119" t="s">
        <v>15</v>
      </c>
      <c r="M57" s="119" t="s">
        <v>22</v>
      </c>
      <c r="N57" s="116" t="s">
        <v>418</v>
      </c>
      <c r="O57" s="118"/>
      <c r="R57" s="121"/>
      <c r="U57" s="119"/>
    </row>
    <row r="58" spans="1:21" s="120" customFormat="1">
      <c r="A58" s="114" t="s">
        <v>46</v>
      </c>
      <c r="B58" s="115" t="s">
        <v>540</v>
      </c>
      <c r="C58" s="116" t="s">
        <v>17</v>
      </c>
      <c r="D58" s="116">
        <v>25</v>
      </c>
      <c r="E58" s="116"/>
      <c r="F58" s="116">
        <v>25</v>
      </c>
      <c r="G58" s="116"/>
      <c r="H58" s="117">
        <f>SUM(Tabla1326[[#This Row],[PRIMER TRIMESTRE]:[CUARTO TRIMESTRE]])</f>
        <v>50</v>
      </c>
      <c r="I58" s="118">
        <v>450</v>
      </c>
      <c r="J58" s="118">
        <f t="shared" si="0"/>
        <v>22500</v>
      </c>
      <c r="K58" s="118"/>
      <c r="L58" s="119" t="s">
        <v>15</v>
      </c>
      <c r="M58" s="119" t="s">
        <v>22</v>
      </c>
      <c r="N58" s="116" t="s">
        <v>418</v>
      </c>
      <c r="O58" s="118"/>
      <c r="R58" s="121"/>
      <c r="U58" s="119"/>
    </row>
    <row r="59" spans="1:21" s="120" customFormat="1">
      <c r="A59" s="114" t="s">
        <v>46</v>
      </c>
      <c r="B59" s="115" t="s">
        <v>541</v>
      </c>
      <c r="C59" s="116" t="s">
        <v>17</v>
      </c>
      <c r="D59" s="116">
        <v>25</v>
      </c>
      <c r="E59" s="116"/>
      <c r="F59" s="116">
        <v>25</v>
      </c>
      <c r="G59" s="116"/>
      <c r="H59" s="117">
        <f>SUM(Tabla1326[[#This Row],[PRIMER TRIMESTRE]:[CUARTO TRIMESTRE]])</f>
        <v>50</v>
      </c>
      <c r="I59" s="118">
        <v>450</v>
      </c>
      <c r="J59" s="118">
        <f t="shared" si="0"/>
        <v>22500</v>
      </c>
      <c r="K59" s="118"/>
      <c r="L59" s="119" t="s">
        <v>15</v>
      </c>
      <c r="M59" s="119" t="s">
        <v>22</v>
      </c>
      <c r="N59" s="116" t="s">
        <v>418</v>
      </c>
      <c r="O59" s="118"/>
      <c r="R59" s="121"/>
      <c r="U59" s="119"/>
    </row>
    <row r="60" spans="1:21" s="120" customFormat="1">
      <c r="A60" s="114" t="s">
        <v>46</v>
      </c>
      <c r="B60" s="115" t="s">
        <v>542</v>
      </c>
      <c r="C60" s="116" t="s">
        <v>17</v>
      </c>
      <c r="D60" s="116">
        <v>25</v>
      </c>
      <c r="E60" s="116"/>
      <c r="F60" s="116">
        <v>25</v>
      </c>
      <c r="G60" s="116"/>
      <c r="H60" s="117">
        <f>SUM(Tabla1326[[#This Row],[PRIMER TRIMESTRE]:[CUARTO TRIMESTRE]])</f>
        <v>50</v>
      </c>
      <c r="I60" s="118">
        <v>500</v>
      </c>
      <c r="J60" s="118">
        <f t="shared" si="0"/>
        <v>25000</v>
      </c>
      <c r="K60" s="118"/>
      <c r="L60" s="119" t="s">
        <v>15</v>
      </c>
      <c r="M60" s="119" t="s">
        <v>22</v>
      </c>
      <c r="N60" s="116" t="s">
        <v>418</v>
      </c>
      <c r="O60" s="118"/>
      <c r="R60" s="121"/>
      <c r="U60" s="119"/>
    </row>
    <row r="61" spans="1:21" s="120" customFormat="1">
      <c r="A61" s="114" t="s">
        <v>46</v>
      </c>
      <c r="B61" s="115" t="s">
        <v>543</v>
      </c>
      <c r="C61" s="116" t="s">
        <v>17</v>
      </c>
      <c r="D61" s="116">
        <v>25</v>
      </c>
      <c r="E61" s="116"/>
      <c r="F61" s="116">
        <v>25</v>
      </c>
      <c r="G61" s="116"/>
      <c r="H61" s="117">
        <f>SUM(Tabla1326[[#This Row],[PRIMER TRIMESTRE]:[CUARTO TRIMESTRE]])</f>
        <v>50</v>
      </c>
      <c r="I61" s="118">
        <v>500</v>
      </c>
      <c r="J61" s="118">
        <f t="shared" si="0"/>
        <v>25000</v>
      </c>
      <c r="K61" s="118"/>
      <c r="L61" s="119" t="s">
        <v>15</v>
      </c>
      <c r="M61" s="119" t="s">
        <v>22</v>
      </c>
      <c r="N61" s="116" t="s">
        <v>418</v>
      </c>
      <c r="O61" s="118"/>
      <c r="R61" s="121"/>
      <c r="U61" s="119"/>
    </row>
    <row r="62" spans="1:21" s="120" customFormat="1">
      <c r="A62" s="114" t="s">
        <v>46</v>
      </c>
      <c r="B62" s="115" t="s">
        <v>544</v>
      </c>
      <c r="C62" s="116" t="s">
        <v>17</v>
      </c>
      <c r="D62" s="116">
        <v>25</v>
      </c>
      <c r="E62" s="116"/>
      <c r="F62" s="116">
        <v>25</v>
      </c>
      <c r="G62" s="116"/>
      <c r="H62" s="117">
        <f>SUM(Tabla1326[[#This Row],[PRIMER TRIMESTRE]:[CUARTO TRIMESTRE]])</f>
        <v>50</v>
      </c>
      <c r="I62" s="118">
        <v>400</v>
      </c>
      <c r="J62" s="118">
        <f t="shared" si="0"/>
        <v>20000</v>
      </c>
      <c r="K62" s="118"/>
      <c r="L62" s="119" t="s">
        <v>15</v>
      </c>
      <c r="M62" s="119" t="s">
        <v>22</v>
      </c>
      <c r="N62" s="116" t="s">
        <v>418</v>
      </c>
      <c r="O62" s="118"/>
      <c r="R62" s="121"/>
      <c r="U62" s="119"/>
    </row>
    <row r="63" spans="1:21" s="120" customFormat="1">
      <c r="A63" s="114" t="s">
        <v>46</v>
      </c>
      <c r="B63" s="115" t="s">
        <v>545</v>
      </c>
      <c r="C63" s="116" t="s">
        <v>17</v>
      </c>
      <c r="D63" s="116">
        <v>25</v>
      </c>
      <c r="E63" s="116"/>
      <c r="F63" s="116">
        <v>25</v>
      </c>
      <c r="G63" s="116"/>
      <c r="H63" s="117">
        <f>SUM(Tabla1326[[#This Row],[PRIMER TRIMESTRE]:[CUARTO TRIMESTRE]])</f>
        <v>50</v>
      </c>
      <c r="I63" s="118">
        <v>400</v>
      </c>
      <c r="J63" s="118">
        <f t="shared" si="0"/>
        <v>20000</v>
      </c>
      <c r="K63" s="118"/>
      <c r="L63" s="119" t="s">
        <v>15</v>
      </c>
      <c r="M63" s="119" t="s">
        <v>22</v>
      </c>
      <c r="N63" s="116" t="s">
        <v>418</v>
      </c>
      <c r="O63" s="118"/>
      <c r="R63" s="121"/>
      <c r="U63" s="119"/>
    </row>
    <row r="64" spans="1:21" s="120" customFormat="1">
      <c r="A64" s="114" t="s">
        <v>46</v>
      </c>
      <c r="B64" s="115" t="s">
        <v>546</v>
      </c>
      <c r="C64" s="116" t="s">
        <v>17</v>
      </c>
      <c r="D64" s="116">
        <v>25</v>
      </c>
      <c r="E64" s="116"/>
      <c r="F64" s="116">
        <v>25</v>
      </c>
      <c r="G64" s="116"/>
      <c r="H64" s="117">
        <f>SUM(Tabla1326[[#This Row],[PRIMER TRIMESTRE]:[CUARTO TRIMESTRE]])</f>
        <v>50</v>
      </c>
      <c r="I64" s="118">
        <v>400</v>
      </c>
      <c r="J64" s="118">
        <f t="shared" si="0"/>
        <v>20000</v>
      </c>
      <c r="K64" s="118"/>
      <c r="L64" s="119" t="s">
        <v>15</v>
      </c>
      <c r="M64" s="119" t="s">
        <v>22</v>
      </c>
      <c r="N64" s="116" t="s">
        <v>418</v>
      </c>
      <c r="O64" s="118"/>
      <c r="R64" s="121"/>
      <c r="U64" s="119"/>
    </row>
    <row r="65" spans="1:21" s="120" customFormat="1">
      <c r="A65" s="114" t="s">
        <v>46</v>
      </c>
      <c r="B65" s="115" t="s">
        <v>547</v>
      </c>
      <c r="C65" s="116" t="s">
        <v>17</v>
      </c>
      <c r="D65" s="116">
        <v>25</v>
      </c>
      <c r="E65" s="116"/>
      <c r="F65" s="116">
        <v>25</v>
      </c>
      <c r="G65" s="116"/>
      <c r="H65" s="117">
        <f>SUM(Tabla1326[[#This Row],[PRIMER TRIMESTRE]:[CUARTO TRIMESTRE]])</f>
        <v>50</v>
      </c>
      <c r="I65" s="118">
        <v>375</v>
      </c>
      <c r="J65" s="118">
        <f t="shared" si="0"/>
        <v>18750</v>
      </c>
      <c r="K65" s="118"/>
      <c r="L65" s="119" t="s">
        <v>15</v>
      </c>
      <c r="M65" s="119" t="s">
        <v>22</v>
      </c>
      <c r="N65" s="116" t="s">
        <v>418</v>
      </c>
      <c r="O65" s="118"/>
      <c r="R65" s="121"/>
      <c r="U65" s="119"/>
    </row>
    <row r="66" spans="1:21" s="120" customFormat="1">
      <c r="A66" s="114" t="s">
        <v>46</v>
      </c>
      <c r="B66" s="115" t="s">
        <v>548</v>
      </c>
      <c r="C66" s="116" t="s">
        <v>17</v>
      </c>
      <c r="D66" s="116">
        <v>25</v>
      </c>
      <c r="E66" s="116"/>
      <c r="F66" s="116">
        <v>25</v>
      </c>
      <c r="G66" s="116"/>
      <c r="H66" s="117">
        <f>SUM(Tabla1326[[#This Row],[PRIMER TRIMESTRE]:[CUARTO TRIMESTRE]])</f>
        <v>50</v>
      </c>
      <c r="I66" s="118">
        <v>300</v>
      </c>
      <c r="J66" s="118">
        <f t="shared" si="0"/>
        <v>15000</v>
      </c>
      <c r="K66" s="118"/>
      <c r="L66" s="119" t="s">
        <v>15</v>
      </c>
      <c r="M66" s="119" t="s">
        <v>22</v>
      </c>
      <c r="N66" s="116" t="s">
        <v>418</v>
      </c>
      <c r="O66" s="118"/>
      <c r="R66" s="121"/>
      <c r="U66" s="119"/>
    </row>
    <row r="67" spans="1:21" s="120" customFormat="1">
      <c r="A67" s="114" t="s">
        <v>46</v>
      </c>
      <c r="B67" s="115" t="s">
        <v>549</v>
      </c>
      <c r="C67" s="116" t="s">
        <v>17</v>
      </c>
      <c r="D67" s="116">
        <v>20</v>
      </c>
      <c r="E67" s="116"/>
      <c r="F67" s="116">
        <v>20</v>
      </c>
      <c r="G67" s="116"/>
      <c r="H67" s="117">
        <f>SUM(Tabla1326[[#This Row],[PRIMER TRIMESTRE]:[CUARTO TRIMESTRE]])</f>
        <v>40</v>
      </c>
      <c r="I67" s="118">
        <v>400</v>
      </c>
      <c r="J67" s="118">
        <f t="shared" si="0"/>
        <v>16000</v>
      </c>
      <c r="K67" s="118"/>
      <c r="L67" s="119" t="s">
        <v>15</v>
      </c>
      <c r="M67" s="119" t="s">
        <v>22</v>
      </c>
      <c r="N67" s="116" t="s">
        <v>418</v>
      </c>
      <c r="O67" s="118"/>
      <c r="R67" s="121"/>
      <c r="U67" s="119"/>
    </row>
    <row r="68" spans="1:21" s="26" customFormat="1" ht="29.25" customHeight="1">
      <c r="A68" s="22" t="s">
        <v>46</v>
      </c>
      <c r="B68" s="76"/>
      <c r="C68" s="42"/>
      <c r="D68" s="42"/>
      <c r="E68" s="42"/>
      <c r="F68" s="42"/>
      <c r="G68" s="42"/>
      <c r="H68" s="43"/>
      <c r="I68" s="24"/>
      <c r="J68" s="24"/>
      <c r="K68" s="25">
        <f>SUBTOTAL(109,J32:J67)</f>
        <v>6728687.3099999996</v>
      </c>
      <c r="L68" s="23"/>
      <c r="M68" s="23"/>
      <c r="N68" s="42"/>
      <c r="O68" s="24"/>
      <c r="R68" s="27"/>
      <c r="U68" s="23"/>
    </row>
    <row r="69" spans="1:21" s="111" customFormat="1" ht="31.5">
      <c r="A69" s="105" t="s">
        <v>56</v>
      </c>
      <c r="B69" s="106" t="s">
        <v>563</v>
      </c>
      <c r="C69" s="107" t="s">
        <v>17</v>
      </c>
      <c r="D69" s="107">
        <v>6</v>
      </c>
      <c r="E69" s="107"/>
      <c r="F69" s="107">
        <v>6</v>
      </c>
      <c r="G69" s="107"/>
      <c r="H69" s="108">
        <f>SUM(Tabla1326[[#This Row],[PRIMER TRIMESTRE]:[CUARTO TRIMESTRE]])</f>
        <v>12</v>
      </c>
      <c r="I69" s="109">
        <v>4500</v>
      </c>
      <c r="J69" s="109">
        <f>+H69*I69</f>
        <v>54000</v>
      </c>
      <c r="K69" s="109"/>
      <c r="L69" s="110" t="s">
        <v>27</v>
      </c>
      <c r="M69" s="110" t="s">
        <v>22</v>
      </c>
      <c r="N69" s="107" t="s">
        <v>418</v>
      </c>
      <c r="O69" s="109"/>
      <c r="R69" s="112"/>
      <c r="U69" s="110"/>
    </row>
    <row r="70" spans="1:21" s="111" customFormat="1" ht="31.5">
      <c r="A70" s="105" t="s">
        <v>56</v>
      </c>
      <c r="B70" s="106" t="s">
        <v>562</v>
      </c>
      <c r="C70" s="107" t="s">
        <v>17</v>
      </c>
      <c r="D70" s="107">
        <v>6</v>
      </c>
      <c r="E70" s="107"/>
      <c r="F70" s="107">
        <v>6</v>
      </c>
      <c r="G70" s="107"/>
      <c r="H70" s="108">
        <f>SUM(Tabla1326[[#This Row],[PRIMER TRIMESTRE]:[CUARTO TRIMESTRE]])</f>
        <v>12</v>
      </c>
      <c r="I70" s="109">
        <v>6800</v>
      </c>
      <c r="J70" s="109">
        <f>+H70*I70</f>
        <v>81600</v>
      </c>
      <c r="K70" s="109"/>
      <c r="L70" s="110" t="s">
        <v>27</v>
      </c>
      <c r="M70" s="110" t="s">
        <v>22</v>
      </c>
      <c r="N70" s="107" t="s">
        <v>418</v>
      </c>
      <c r="O70" s="109"/>
      <c r="R70" s="112"/>
      <c r="U70" s="110"/>
    </row>
    <row r="71" spans="1:21" s="111" customFormat="1" ht="31.5">
      <c r="A71" s="105" t="s">
        <v>56</v>
      </c>
      <c r="B71" s="106" t="s">
        <v>61</v>
      </c>
      <c r="C71" s="107" t="s">
        <v>17</v>
      </c>
      <c r="D71" s="107">
        <v>45</v>
      </c>
      <c r="E71" s="107"/>
      <c r="F71" s="107">
        <v>45</v>
      </c>
      <c r="G71" s="107"/>
      <c r="H71" s="108">
        <f>SUM(Tabla1326[[#This Row],[PRIMER TRIMESTRE]:[CUARTO TRIMESTRE]])</f>
        <v>90</v>
      </c>
      <c r="I71" s="109">
        <f>3600*1.2</f>
        <v>4320</v>
      </c>
      <c r="J71" s="109">
        <f>+Tabla1326[[#This Row],[CANTIDAD TOTAL]]*Tabla1326[[#This Row],[PRECIO UNITARIO ESTIMADO]]</f>
        <v>388800</v>
      </c>
      <c r="K71" s="109"/>
      <c r="L71" s="110" t="s">
        <v>27</v>
      </c>
      <c r="M71" s="110" t="s">
        <v>22</v>
      </c>
      <c r="N71" s="107" t="s">
        <v>418</v>
      </c>
      <c r="O71" s="110"/>
      <c r="R71" s="112" t="s">
        <v>62</v>
      </c>
      <c r="U71" s="110"/>
    </row>
    <row r="72" spans="1:21" s="111" customFormat="1" ht="31.5">
      <c r="A72" s="105" t="s">
        <v>56</v>
      </c>
      <c r="B72" s="106" t="s">
        <v>63</v>
      </c>
      <c r="C72" s="107" t="s">
        <v>17</v>
      </c>
      <c r="D72" s="107">
        <v>35</v>
      </c>
      <c r="E72" s="107"/>
      <c r="F72" s="107">
        <v>35</v>
      </c>
      <c r="G72" s="107"/>
      <c r="H72" s="108">
        <f>SUM(Tabla1326[[#This Row],[PRIMER TRIMESTRE]:[CUARTO TRIMESTRE]])</f>
        <v>70</v>
      </c>
      <c r="I72" s="109">
        <v>6409</v>
      </c>
      <c r="J72" s="109">
        <f>+Tabla1326[[#This Row],[CANTIDAD TOTAL]]*Tabla1326[[#This Row],[PRECIO UNITARIO ESTIMADO]]</f>
        <v>448630</v>
      </c>
      <c r="K72" s="109"/>
      <c r="L72" s="110" t="s">
        <v>27</v>
      </c>
      <c r="M72" s="110" t="s">
        <v>22</v>
      </c>
      <c r="N72" s="107" t="s">
        <v>418</v>
      </c>
      <c r="O72" s="110"/>
      <c r="R72" s="112"/>
      <c r="U72" s="110"/>
    </row>
    <row r="73" spans="1:21" s="111" customFormat="1" ht="31.5">
      <c r="A73" s="105" t="s">
        <v>56</v>
      </c>
      <c r="B73" s="106" t="s">
        <v>64</v>
      </c>
      <c r="C73" s="107" t="s">
        <v>17</v>
      </c>
      <c r="D73" s="107">
        <v>15</v>
      </c>
      <c r="E73" s="107"/>
      <c r="F73" s="107">
        <v>15</v>
      </c>
      <c r="G73" s="107"/>
      <c r="H73" s="108">
        <f>SUM(Tabla1326[[#This Row],[PRIMER TRIMESTRE]:[CUARTO TRIMESTRE]])</f>
        <v>30</v>
      </c>
      <c r="I73" s="109">
        <v>6500</v>
      </c>
      <c r="J73" s="109">
        <f>+Tabla1326[[#This Row],[CANTIDAD TOTAL]]*Tabla1326[[#This Row],[PRECIO UNITARIO ESTIMADO]]</f>
        <v>195000</v>
      </c>
      <c r="K73" s="109"/>
      <c r="L73" s="110" t="s">
        <v>27</v>
      </c>
      <c r="M73" s="110" t="s">
        <v>22</v>
      </c>
      <c r="N73" s="107" t="s">
        <v>418</v>
      </c>
      <c r="O73" s="110"/>
      <c r="R73" s="112"/>
      <c r="U73" s="110"/>
    </row>
    <row r="74" spans="1:21" s="111" customFormat="1" ht="31.5">
      <c r="A74" s="105" t="s">
        <v>56</v>
      </c>
      <c r="B74" s="106" t="s">
        <v>65</v>
      </c>
      <c r="C74" s="107" t="s">
        <v>17</v>
      </c>
      <c r="D74" s="107">
        <v>8</v>
      </c>
      <c r="E74" s="107"/>
      <c r="F74" s="107">
        <v>8</v>
      </c>
      <c r="G74" s="107"/>
      <c r="H74" s="108">
        <f>SUM(Tabla1326[[#This Row],[PRIMER TRIMESTRE]:[CUARTO TRIMESTRE]])</f>
        <v>16</v>
      </c>
      <c r="I74" s="109">
        <v>7965.33</v>
      </c>
      <c r="J74" s="109">
        <f>+Tabla1326[[#This Row],[CANTIDAD TOTAL]]*Tabla1326[[#This Row],[PRECIO UNITARIO ESTIMADO]]</f>
        <v>127445.28</v>
      </c>
      <c r="K74" s="109"/>
      <c r="L74" s="110" t="s">
        <v>27</v>
      </c>
      <c r="M74" s="110" t="s">
        <v>22</v>
      </c>
      <c r="N74" s="107" t="s">
        <v>418</v>
      </c>
      <c r="O74" s="110"/>
      <c r="R74" s="112"/>
      <c r="U74" s="110"/>
    </row>
    <row r="75" spans="1:21" s="111" customFormat="1" ht="31.5">
      <c r="A75" s="105" t="s">
        <v>56</v>
      </c>
      <c r="B75" s="106" t="s">
        <v>66</v>
      </c>
      <c r="C75" s="107" t="s">
        <v>17</v>
      </c>
      <c r="D75" s="107">
        <v>5</v>
      </c>
      <c r="E75" s="107"/>
      <c r="F75" s="107">
        <v>5</v>
      </c>
      <c r="G75" s="107"/>
      <c r="H75" s="108">
        <f>SUM(Tabla1326[[#This Row],[PRIMER TRIMESTRE]:[CUARTO TRIMESTRE]])</f>
        <v>10</v>
      </c>
      <c r="I75" s="109">
        <v>9976</v>
      </c>
      <c r="J75" s="109">
        <f>+Tabla1326[[#This Row],[CANTIDAD TOTAL]]*Tabla1326[[#This Row],[PRECIO UNITARIO ESTIMADO]]</f>
        <v>99760</v>
      </c>
      <c r="K75" s="109"/>
      <c r="L75" s="110" t="s">
        <v>27</v>
      </c>
      <c r="M75" s="110" t="s">
        <v>22</v>
      </c>
      <c r="N75" s="107" t="s">
        <v>418</v>
      </c>
      <c r="O75" s="110"/>
      <c r="R75" s="112" t="s">
        <v>67</v>
      </c>
      <c r="U75" s="110"/>
    </row>
    <row r="76" spans="1:21" s="111" customFormat="1" ht="31.5">
      <c r="A76" s="105" t="s">
        <v>56</v>
      </c>
      <c r="B76" s="106" t="s">
        <v>765</v>
      </c>
      <c r="C76" s="107" t="s">
        <v>17</v>
      </c>
      <c r="D76" s="107">
        <v>4</v>
      </c>
      <c r="E76" s="107"/>
      <c r="F76" s="107">
        <v>4</v>
      </c>
      <c r="G76" s="107"/>
      <c r="H76" s="108">
        <f>SUM(Tabla1326[[#This Row],[PRIMER TRIMESTRE]:[CUARTO TRIMESTRE]])</f>
        <v>8</v>
      </c>
      <c r="I76" s="109">
        <v>11500</v>
      </c>
      <c r="J76" s="109">
        <f>+H76*I76</f>
        <v>92000</v>
      </c>
      <c r="K76" s="109"/>
      <c r="L76" s="110" t="s">
        <v>27</v>
      </c>
      <c r="M76" s="110" t="s">
        <v>22</v>
      </c>
      <c r="N76" s="107" t="s">
        <v>418</v>
      </c>
      <c r="O76" s="109"/>
      <c r="R76" s="112"/>
      <c r="U76" s="110"/>
    </row>
    <row r="77" spans="1:21" s="26" customFormat="1" ht="44.25" customHeight="1">
      <c r="A77" s="22" t="s">
        <v>56</v>
      </c>
      <c r="B77" s="76"/>
      <c r="C77" s="42"/>
      <c r="D77" s="42"/>
      <c r="E77" s="42"/>
      <c r="F77" s="42"/>
      <c r="G77" s="42"/>
      <c r="H77" s="43"/>
      <c r="I77" s="24"/>
      <c r="J77" s="24"/>
      <c r="K77" s="25">
        <f>SUM(J69:J76)</f>
        <v>1487235.28</v>
      </c>
      <c r="L77" s="23"/>
      <c r="M77" s="23"/>
      <c r="N77" s="42"/>
      <c r="O77" s="24"/>
      <c r="R77" s="27"/>
      <c r="U77" s="23"/>
    </row>
    <row r="78" spans="1:21" s="12" customFormat="1">
      <c r="A78" s="15" t="s">
        <v>62</v>
      </c>
      <c r="B78" s="75" t="s">
        <v>68</v>
      </c>
      <c r="C78" s="39" t="s">
        <v>69</v>
      </c>
      <c r="D78" s="39"/>
      <c r="E78" s="39">
        <v>40</v>
      </c>
      <c r="F78" s="39"/>
      <c r="G78" s="39">
        <v>40</v>
      </c>
      <c r="H78" s="40">
        <f>SUM(Tabla1326[[#This Row],[PRIMER TRIMESTRE]:[CUARTO TRIMESTRE]])</f>
        <v>80</v>
      </c>
      <c r="I78" s="17">
        <v>320.89999999999998</v>
      </c>
      <c r="J78" s="17">
        <f>+Tabla1326[[#This Row],[CANTIDAD TOTAL]]*Tabla1326[[#This Row],[PRECIO UNITARIO ESTIMADO]]</f>
        <v>25672</v>
      </c>
      <c r="K78" s="17"/>
      <c r="L78" s="16" t="s">
        <v>15</v>
      </c>
      <c r="M78" s="16" t="s">
        <v>22</v>
      </c>
      <c r="N78" s="39" t="s">
        <v>418</v>
      </c>
      <c r="O78" s="20"/>
      <c r="R78" s="19" t="s">
        <v>70</v>
      </c>
      <c r="U78" s="16"/>
    </row>
    <row r="79" spans="1:21" s="12" customFormat="1">
      <c r="A79" s="15" t="s">
        <v>62</v>
      </c>
      <c r="B79" s="75" t="s">
        <v>461</v>
      </c>
      <c r="C79" s="39" t="s">
        <v>69</v>
      </c>
      <c r="D79" s="39"/>
      <c r="E79" s="39"/>
      <c r="F79" s="39"/>
      <c r="G79" s="39">
        <v>40</v>
      </c>
      <c r="H79" s="40">
        <f>SUM(Tabla1326[[#This Row],[PRIMER TRIMESTRE]:[CUARTO TRIMESTRE]])</f>
        <v>40</v>
      </c>
      <c r="I79" s="17">
        <v>561.17999999999995</v>
      </c>
      <c r="J79" s="17">
        <f>+H79*I79</f>
        <v>22447.199999999997</v>
      </c>
      <c r="K79" s="17"/>
      <c r="L79" s="16" t="s">
        <v>15</v>
      </c>
      <c r="M79" s="16" t="s">
        <v>22</v>
      </c>
      <c r="N79" s="39" t="s">
        <v>418</v>
      </c>
      <c r="O79" s="18"/>
      <c r="R79" s="19"/>
      <c r="U79" s="16"/>
    </row>
    <row r="80" spans="1:21" s="12" customFormat="1" ht="19.5" customHeight="1">
      <c r="A80" s="15" t="s">
        <v>62</v>
      </c>
      <c r="B80" s="75" t="s">
        <v>567</v>
      </c>
      <c r="C80" s="39" t="s">
        <v>17</v>
      </c>
      <c r="D80" s="39"/>
      <c r="E80" s="39"/>
      <c r="F80" s="39"/>
      <c r="G80" s="39">
        <v>10</v>
      </c>
      <c r="H80" s="40">
        <f>SUM(Tabla1326[[#This Row],[PRIMER TRIMESTRE]:[CUARTO TRIMESTRE]])</f>
        <v>10</v>
      </c>
      <c r="I80" s="17">
        <v>350</v>
      </c>
      <c r="J80" s="17">
        <f>+Tabla1326[[#This Row],[CANTIDAD TOTAL]]*Tabla1326[[#This Row],[PRECIO UNITARIO ESTIMADO]]</f>
        <v>3500</v>
      </c>
      <c r="K80" s="17"/>
      <c r="L80" s="16" t="s">
        <v>15</v>
      </c>
      <c r="M80" s="16" t="s">
        <v>22</v>
      </c>
      <c r="N80" s="45" t="s">
        <v>418</v>
      </c>
      <c r="O80" s="29"/>
      <c r="R80" s="19"/>
    </row>
    <row r="81" spans="1:21" s="12" customFormat="1">
      <c r="A81" s="15" t="s">
        <v>62</v>
      </c>
      <c r="B81" s="75" t="s">
        <v>472</v>
      </c>
      <c r="C81" s="39" t="s">
        <v>17</v>
      </c>
      <c r="D81" s="39"/>
      <c r="E81" s="39"/>
      <c r="F81" s="39"/>
      <c r="G81" s="39">
        <v>40</v>
      </c>
      <c r="H81" s="40">
        <f>SUM(Tabla1326[[#This Row],[PRIMER TRIMESTRE]:[CUARTO TRIMESTRE]])</f>
        <v>40</v>
      </c>
      <c r="I81" s="17">
        <v>450.4</v>
      </c>
      <c r="J81" s="17">
        <f>+H81*I81</f>
        <v>18016</v>
      </c>
      <c r="K81" s="17"/>
      <c r="L81" s="16" t="s">
        <v>15</v>
      </c>
      <c r="M81" s="16" t="s">
        <v>22</v>
      </c>
      <c r="N81" s="39" t="s">
        <v>418</v>
      </c>
      <c r="O81" s="18"/>
      <c r="R81" s="19"/>
    </row>
    <row r="82" spans="1:21" s="12" customFormat="1">
      <c r="A82" s="15" t="s">
        <v>62</v>
      </c>
      <c r="B82" s="75" t="s">
        <v>440</v>
      </c>
      <c r="C82" s="39" t="s">
        <v>17</v>
      </c>
      <c r="D82" s="39"/>
      <c r="E82" s="39">
        <v>9</v>
      </c>
      <c r="F82" s="39"/>
      <c r="G82" s="39">
        <v>9</v>
      </c>
      <c r="H82" s="40">
        <f>SUM(Tabla1326[[#This Row],[PRIMER TRIMESTRE]:[CUARTO TRIMESTRE]])</f>
        <v>18</v>
      </c>
      <c r="I82" s="17">
        <v>7000</v>
      </c>
      <c r="J82" s="17">
        <f>+H82*I82</f>
        <v>126000</v>
      </c>
      <c r="K82" s="17"/>
      <c r="L82" s="16" t="s">
        <v>15</v>
      </c>
      <c r="M82" s="16" t="s">
        <v>22</v>
      </c>
      <c r="N82" s="39" t="s">
        <v>418</v>
      </c>
      <c r="O82" s="18"/>
      <c r="R82" s="19"/>
    </row>
    <row r="83" spans="1:21" s="12" customFormat="1">
      <c r="A83" s="15" t="s">
        <v>62</v>
      </c>
      <c r="B83" s="75" t="s">
        <v>435</v>
      </c>
      <c r="C83" s="39" t="s">
        <v>17</v>
      </c>
      <c r="D83" s="39"/>
      <c r="E83" s="39">
        <v>60</v>
      </c>
      <c r="F83" s="39"/>
      <c r="G83" s="39">
        <v>60</v>
      </c>
      <c r="H83" s="40">
        <f>SUM(Tabla1326[[#This Row],[PRIMER TRIMESTRE]:[CUARTO TRIMESTRE]])</f>
        <v>120</v>
      </c>
      <c r="I83" s="17">
        <v>110</v>
      </c>
      <c r="J83" s="17">
        <f>+Tabla1326[[#This Row],[CANTIDAD TOTAL]]*Tabla1326[[#This Row],[PRECIO UNITARIO ESTIMADO]]</f>
        <v>13200</v>
      </c>
      <c r="K83" s="17"/>
      <c r="L83" s="16" t="s">
        <v>15</v>
      </c>
      <c r="M83" s="28" t="s">
        <v>22</v>
      </c>
      <c r="N83" s="39" t="s">
        <v>418</v>
      </c>
      <c r="O83" s="29"/>
      <c r="R83" s="19"/>
    </row>
    <row r="84" spans="1:21" s="12" customFormat="1">
      <c r="A84" s="15" t="s">
        <v>62</v>
      </c>
      <c r="B84" s="75" t="s">
        <v>729</v>
      </c>
      <c r="C84" s="39" t="s">
        <v>17</v>
      </c>
      <c r="D84" s="39"/>
      <c r="E84" s="39"/>
      <c r="F84" s="39"/>
      <c r="G84" s="39">
        <v>90</v>
      </c>
      <c r="H84" s="40">
        <f>SUM(Tabla1326[[#This Row],[PRIMER TRIMESTRE]:[CUARTO TRIMESTRE]])</f>
        <v>90</v>
      </c>
      <c r="I84" s="17">
        <v>260</v>
      </c>
      <c r="J84" s="17">
        <f>+Tabla1326[[#This Row],[CANTIDAD TOTAL]]*Tabla1326[[#This Row],[PRECIO UNITARIO ESTIMADO]]</f>
        <v>23400</v>
      </c>
      <c r="K84" s="17"/>
      <c r="L84" s="16" t="s">
        <v>15</v>
      </c>
      <c r="M84" s="16" t="s">
        <v>22</v>
      </c>
      <c r="N84" s="39" t="s">
        <v>418</v>
      </c>
      <c r="O84" s="20"/>
      <c r="R84" s="19" t="s">
        <v>176</v>
      </c>
    </row>
    <row r="85" spans="1:21" s="12" customFormat="1">
      <c r="A85" s="15" t="s">
        <v>62</v>
      </c>
      <c r="B85" s="75" t="s">
        <v>731</v>
      </c>
      <c r="C85" s="39" t="s">
        <v>17</v>
      </c>
      <c r="D85" s="39"/>
      <c r="E85" s="39"/>
      <c r="F85" s="39"/>
      <c r="G85" s="39">
        <v>50</v>
      </c>
      <c r="H85" s="40">
        <f>SUM(Tabla1326[[#This Row],[PRIMER TRIMESTRE]:[CUARTO TRIMESTRE]])</f>
        <v>50</v>
      </c>
      <c r="I85" s="17">
        <v>375</v>
      </c>
      <c r="J85" s="17">
        <f>+Tabla1326[[#This Row],[CANTIDAD TOTAL]]*Tabla1326[[#This Row],[PRECIO UNITARIO ESTIMADO]]</f>
        <v>18750</v>
      </c>
      <c r="K85" s="17"/>
      <c r="L85" s="16" t="s">
        <v>15</v>
      </c>
      <c r="M85" s="16" t="s">
        <v>22</v>
      </c>
      <c r="N85" s="39" t="s">
        <v>418</v>
      </c>
      <c r="O85" s="20"/>
      <c r="R85" s="19" t="s">
        <v>71</v>
      </c>
      <c r="U85" s="16"/>
    </row>
    <row r="86" spans="1:21" s="12" customFormat="1">
      <c r="A86" s="15" t="s">
        <v>62</v>
      </c>
      <c r="B86" s="75" t="s">
        <v>72</v>
      </c>
      <c r="C86" s="39" t="s">
        <v>17</v>
      </c>
      <c r="D86" s="39"/>
      <c r="E86" s="39">
        <v>300</v>
      </c>
      <c r="F86" s="39"/>
      <c r="G86" s="39">
        <v>300</v>
      </c>
      <c r="H86" s="40">
        <f>SUM(Tabla1326[[#This Row],[PRIMER TRIMESTRE]:[CUARTO TRIMESTRE]])</f>
        <v>600</v>
      </c>
      <c r="I86" s="72">
        <v>295</v>
      </c>
      <c r="J86" s="17">
        <f>+Tabla1326[[#This Row],[CANTIDAD TOTAL]]*Tabla1326[[#This Row],[PRECIO UNITARIO ESTIMADO]]</f>
        <v>177000</v>
      </c>
      <c r="K86" s="17"/>
      <c r="L86" s="16" t="s">
        <v>15</v>
      </c>
      <c r="M86" s="16" t="s">
        <v>22</v>
      </c>
      <c r="N86" s="39" t="s">
        <v>418</v>
      </c>
      <c r="O86" s="20"/>
      <c r="R86" s="19" t="s">
        <v>73</v>
      </c>
      <c r="U86" s="16"/>
    </row>
    <row r="87" spans="1:21" s="12" customFormat="1">
      <c r="A87" s="15" t="s">
        <v>62</v>
      </c>
      <c r="B87" s="75" t="s">
        <v>467</v>
      </c>
      <c r="C87" s="39" t="s">
        <v>17</v>
      </c>
      <c r="D87" s="39"/>
      <c r="E87" s="39"/>
      <c r="F87" s="39"/>
      <c r="G87" s="39">
        <v>50</v>
      </c>
      <c r="H87" s="40">
        <f>SUM(Tabla1326[[#This Row],[PRIMER TRIMESTRE]:[CUARTO TRIMESTRE]])</f>
        <v>50</v>
      </c>
      <c r="I87" s="72">
        <v>852.71</v>
      </c>
      <c r="J87" s="17">
        <f>+H87*I87</f>
        <v>42635.5</v>
      </c>
      <c r="K87" s="17"/>
      <c r="L87" s="16" t="s">
        <v>15</v>
      </c>
      <c r="M87" s="16"/>
      <c r="N87" s="39" t="s">
        <v>418</v>
      </c>
      <c r="O87" s="18"/>
      <c r="R87" s="19"/>
    </row>
    <row r="88" spans="1:21" s="12" customFormat="1">
      <c r="A88" s="15" t="s">
        <v>62</v>
      </c>
      <c r="B88" s="75" t="s">
        <v>432</v>
      </c>
      <c r="C88" s="39" t="s">
        <v>17</v>
      </c>
      <c r="D88" s="39"/>
      <c r="E88" s="39"/>
      <c r="F88" s="39"/>
      <c r="G88" s="39">
        <v>23</v>
      </c>
      <c r="H88" s="40">
        <f>SUM(Tabla1326[[#This Row],[PRIMER TRIMESTRE]:[CUARTO TRIMESTRE]])</f>
        <v>23</v>
      </c>
      <c r="I88" s="72">
        <v>350</v>
      </c>
      <c r="J88" s="17">
        <f>+Tabla1326[[#This Row],[CANTIDAD TOTAL]]*Tabla1326[[#This Row],[PRECIO UNITARIO ESTIMADO]]</f>
        <v>8050</v>
      </c>
      <c r="K88" s="17"/>
      <c r="L88" s="16" t="s">
        <v>15</v>
      </c>
      <c r="M88" s="16" t="s">
        <v>22</v>
      </c>
      <c r="N88" s="45" t="s">
        <v>418</v>
      </c>
      <c r="O88" s="29"/>
      <c r="R88" s="19"/>
      <c r="U88" s="16"/>
    </row>
    <row r="89" spans="1:21" s="12" customFormat="1">
      <c r="A89" s="15" t="s">
        <v>62</v>
      </c>
      <c r="B89" s="75" t="s">
        <v>431</v>
      </c>
      <c r="C89" s="39" t="s">
        <v>17</v>
      </c>
      <c r="D89" s="39"/>
      <c r="E89" s="39">
        <v>117</v>
      </c>
      <c r="F89" s="39"/>
      <c r="G89" s="39">
        <v>116</v>
      </c>
      <c r="H89" s="40">
        <f>SUM(Tabla1326[[#This Row],[PRIMER TRIMESTRE]:[CUARTO TRIMESTRE]])</f>
        <v>233</v>
      </c>
      <c r="I89" s="72">
        <v>397.45</v>
      </c>
      <c r="J89" s="17">
        <f>+Tabla1326[[#This Row],[CANTIDAD TOTAL]]*Tabla1326[[#This Row],[PRECIO UNITARIO ESTIMADO]]</f>
        <v>92605.849999999991</v>
      </c>
      <c r="K89" s="17"/>
      <c r="L89" s="16" t="s">
        <v>15</v>
      </c>
      <c r="M89" s="16" t="s">
        <v>22</v>
      </c>
      <c r="N89" s="39" t="s">
        <v>418</v>
      </c>
      <c r="O89" s="20"/>
      <c r="R89" s="19" t="s">
        <v>74</v>
      </c>
      <c r="U89" s="16"/>
    </row>
    <row r="90" spans="1:21" s="12" customFormat="1">
      <c r="A90" s="15" t="s">
        <v>62</v>
      </c>
      <c r="B90" s="75" t="s">
        <v>434</v>
      </c>
      <c r="C90" s="39" t="s">
        <v>17</v>
      </c>
      <c r="D90" s="39"/>
      <c r="E90" s="39">
        <v>50</v>
      </c>
      <c r="F90" s="39"/>
      <c r="G90" s="39">
        <v>50</v>
      </c>
      <c r="H90" s="40">
        <f>SUM(Tabla1326[[#This Row],[PRIMER TRIMESTRE]:[CUARTO TRIMESTRE]])</f>
        <v>100</v>
      </c>
      <c r="I90" s="72">
        <v>1120.9100000000001</v>
      </c>
      <c r="J90" s="17">
        <f>+Tabla1326[[#This Row],[CANTIDAD TOTAL]]*Tabla1326[[#This Row],[PRECIO UNITARIO ESTIMADO]]</f>
        <v>112091.00000000001</v>
      </c>
      <c r="K90" s="17"/>
      <c r="L90" s="16" t="s">
        <v>15</v>
      </c>
      <c r="M90" s="16" t="s">
        <v>22</v>
      </c>
      <c r="N90" s="39" t="s">
        <v>418</v>
      </c>
      <c r="O90" s="20"/>
      <c r="R90" s="19" t="s">
        <v>75</v>
      </c>
      <c r="U90" s="16"/>
    </row>
    <row r="91" spans="1:21" s="12" customFormat="1">
      <c r="A91" s="15" t="s">
        <v>62</v>
      </c>
      <c r="B91" s="75" t="s">
        <v>76</v>
      </c>
      <c r="C91" s="39" t="s">
        <v>17</v>
      </c>
      <c r="D91" s="39"/>
      <c r="E91" s="39"/>
      <c r="F91" s="39"/>
      <c r="G91" s="39">
        <v>50</v>
      </c>
      <c r="H91" s="40">
        <f>SUM(Tabla1326[[#This Row],[PRIMER TRIMESTRE]:[CUARTO TRIMESTRE]])</f>
        <v>50</v>
      </c>
      <c r="I91" s="17">
        <v>100.57</v>
      </c>
      <c r="J91" s="17">
        <f>+Tabla1326[[#This Row],[CANTIDAD TOTAL]]*Tabla1326[[#This Row],[PRECIO UNITARIO ESTIMADO]]</f>
        <v>5028.5</v>
      </c>
      <c r="K91" s="17"/>
      <c r="L91" s="16" t="s">
        <v>15</v>
      </c>
      <c r="M91" s="16" t="s">
        <v>22</v>
      </c>
      <c r="N91" s="39" t="s">
        <v>418</v>
      </c>
      <c r="O91" s="20"/>
      <c r="R91" s="19" t="s">
        <v>77</v>
      </c>
    </row>
    <row r="92" spans="1:21" s="12" customFormat="1">
      <c r="A92" s="15" t="s">
        <v>62</v>
      </c>
      <c r="B92" s="75" t="s">
        <v>433</v>
      </c>
      <c r="C92" s="39" t="s">
        <v>17</v>
      </c>
      <c r="D92" s="39"/>
      <c r="E92" s="39"/>
      <c r="F92" s="39"/>
      <c r="G92" s="39">
        <v>7</v>
      </c>
      <c r="H92" s="40">
        <f>SUM(Tabla1326[[#This Row],[PRIMER TRIMESTRE]:[CUARTO TRIMESTRE]])</f>
        <v>7</v>
      </c>
      <c r="I92" s="17">
        <v>1144.23</v>
      </c>
      <c r="J92" s="17">
        <f>+Tabla1326[[#This Row],[CANTIDAD TOTAL]]*Tabla1326[[#This Row],[PRECIO UNITARIO ESTIMADO]]</f>
        <v>8009.6100000000006</v>
      </c>
      <c r="K92" s="17"/>
      <c r="L92" s="16" t="s">
        <v>15</v>
      </c>
      <c r="M92" s="16" t="s">
        <v>22</v>
      </c>
      <c r="N92" s="45" t="s">
        <v>418</v>
      </c>
      <c r="O92" s="29"/>
      <c r="R92" s="19"/>
    </row>
    <row r="93" spans="1:21" s="12" customFormat="1">
      <c r="A93" s="15" t="s">
        <v>62</v>
      </c>
      <c r="B93" s="75" t="s">
        <v>78</v>
      </c>
      <c r="C93" s="39" t="s">
        <v>17</v>
      </c>
      <c r="D93" s="39"/>
      <c r="E93" s="39">
        <v>4</v>
      </c>
      <c r="F93" s="39"/>
      <c r="G93" s="39">
        <v>2</v>
      </c>
      <c r="H93" s="40">
        <f>SUM(Tabla1326[[#This Row],[PRIMER TRIMESTRE]:[CUARTO TRIMESTRE]])</f>
        <v>6</v>
      </c>
      <c r="I93" s="17">
        <v>377</v>
      </c>
      <c r="J93" s="17">
        <f>+Tabla1326[[#This Row],[CANTIDAD TOTAL]]*Tabla1326[[#This Row],[PRECIO UNITARIO ESTIMADO]]</f>
        <v>2262</v>
      </c>
      <c r="K93" s="17"/>
      <c r="L93" s="16" t="s">
        <v>15</v>
      </c>
      <c r="M93" s="16" t="s">
        <v>22</v>
      </c>
      <c r="N93" s="39" t="s">
        <v>418</v>
      </c>
      <c r="O93" s="20"/>
      <c r="R93" s="19" t="s">
        <v>79</v>
      </c>
    </row>
    <row r="94" spans="1:21" s="12" customFormat="1">
      <c r="A94" s="15" t="s">
        <v>62</v>
      </c>
      <c r="B94" s="75" t="s">
        <v>437</v>
      </c>
      <c r="C94" s="70" t="s">
        <v>17</v>
      </c>
      <c r="D94" s="39"/>
      <c r="E94" s="70"/>
      <c r="F94" s="70"/>
      <c r="G94" s="70">
        <v>50</v>
      </c>
      <c r="H94" s="40">
        <f>SUM(Tabla1326[[#This Row],[PRIMER TRIMESTRE]:[CUARTO TRIMESTRE]])</f>
        <v>50</v>
      </c>
      <c r="I94" s="17">
        <v>125</v>
      </c>
      <c r="J94" s="17">
        <f>+Tabla1326[[#This Row],[CANTIDAD TOTAL]]*Tabla1326[[#This Row],[PRECIO UNITARIO ESTIMADO]]</f>
        <v>6250</v>
      </c>
      <c r="K94" s="17"/>
      <c r="L94" s="16" t="s">
        <v>15</v>
      </c>
      <c r="M94" s="16" t="s">
        <v>22</v>
      </c>
      <c r="N94" s="39" t="s">
        <v>418</v>
      </c>
      <c r="O94" s="20"/>
      <c r="R94" s="19" t="s">
        <v>116</v>
      </c>
    </row>
    <row r="95" spans="1:21" s="12" customFormat="1">
      <c r="A95" s="15" t="s">
        <v>62</v>
      </c>
      <c r="B95" s="75" t="s">
        <v>438</v>
      </c>
      <c r="C95" s="70" t="s">
        <v>17</v>
      </c>
      <c r="D95" s="39"/>
      <c r="E95" s="70">
        <v>450</v>
      </c>
      <c r="F95" s="70"/>
      <c r="G95" s="70">
        <v>450</v>
      </c>
      <c r="H95" s="40">
        <f>SUM(Tabla1326[[#This Row],[PRIMER TRIMESTRE]:[CUARTO TRIMESTRE]])</f>
        <v>900</v>
      </c>
      <c r="I95" s="17">
        <v>80</v>
      </c>
      <c r="J95" s="17">
        <f>+Tabla1326[[#This Row],[CANTIDAD TOTAL]]*Tabla1326[[#This Row],[PRECIO UNITARIO ESTIMADO]]</f>
        <v>72000</v>
      </c>
      <c r="K95" s="17"/>
      <c r="L95" s="16" t="s">
        <v>15</v>
      </c>
      <c r="M95" s="16" t="s">
        <v>22</v>
      </c>
      <c r="N95" s="39" t="s">
        <v>418</v>
      </c>
      <c r="O95" s="29"/>
      <c r="R95" s="19"/>
    </row>
    <row r="96" spans="1:21" s="12" customFormat="1">
      <c r="A96" s="15" t="s">
        <v>62</v>
      </c>
      <c r="B96" s="75" t="s">
        <v>430</v>
      </c>
      <c r="C96" s="70" t="s">
        <v>17</v>
      </c>
      <c r="D96" s="39"/>
      <c r="E96" s="70">
        <v>280</v>
      </c>
      <c r="F96" s="70"/>
      <c r="G96" s="70">
        <v>280</v>
      </c>
      <c r="H96" s="40">
        <f>SUM(Tabla1326[[#This Row],[PRIMER TRIMESTRE]:[CUARTO TRIMESTRE]])</f>
        <v>560</v>
      </c>
      <c r="I96" s="17">
        <v>46.8</v>
      </c>
      <c r="J96" s="17">
        <f>+Tabla1326[[#This Row],[CANTIDAD TOTAL]]*Tabla1326[[#This Row],[PRECIO UNITARIO ESTIMADO]]</f>
        <v>26208</v>
      </c>
      <c r="K96" s="17"/>
      <c r="L96" s="16" t="s">
        <v>15</v>
      </c>
      <c r="M96" s="16" t="s">
        <v>22</v>
      </c>
      <c r="N96" s="39" t="s">
        <v>418</v>
      </c>
      <c r="O96" s="20"/>
      <c r="R96" s="19" t="s">
        <v>117</v>
      </c>
    </row>
    <row r="97" spans="1:21" s="12" customFormat="1">
      <c r="A97" s="15" t="s">
        <v>62</v>
      </c>
      <c r="B97" s="75" t="s">
        <v>598</v>
      </c>
      <c r="C97" s="39" t="s">
        <v>17</v>
      </c>
      <c r="D97" s="39"/>
      <c r="E97" s="39"/>
      <c r="F97" s="142"/>
      <c r="G97" s="39">
        <v>50</v>
      </c>
      <c r="H97" s="40">
        <f>SUM(Tabla1326[[#This Row],[PRIMER TRIMESTRE]:[CUARTO TRIMESTRE]])</f>
        <v>50</v>
      </c>
      <c r="I97" s="17">
        <v>153.05000000000001</v>
      </c>
      <c r="J97" s="17">
        <f>+Tabla1326[[#This Row],[CANTIDAD TOTAL]]*Tabla1326[[#This Row],[PRECIO UNITARIO ESTIMADO]]</f>
        <v>7652.5000000000009</v>
      </c>
      <c r="K97" s="17"/>
      <c r="L97" s="16" t="s">
        <v>15</v>
      </c>
      <c r="M97" s="16" t="s">
        <v>22</v>
      </c>
      <c r="N97" s="39" t="s">
        <v>418</v>
      </c>
      <c r="O97" s="20"/>
      <c r="R97" s="19" t="s">
        <v>141</v>
      </c>
    </row>
    <row r="98" spans="1:21" s="12" customFormat="1">
      <c r="A98" s="15" t="s">
        <v>62</v>
      </c>
      <c r="B98" s="75" t="s">
        <v>599</v>
      </c>
      <c r="C98" s="39" t="s">
        <v>17</v>
      </c>
      <c r="D98" s="39"/>
      <c r="E98" s="39"/>
      <c r="F98" s="142"/>
      <c r="G98" s="39">
        <v>50</v>
      </c>
      <c r="H98" s="40">
        <f>SUM(Tabla1326[[#This Row],[PRIMER TRIMESTRE]:[CUARTO TRIMESTRE]])</f>
        <v>50</v>
      </c>
      <c r="I98" s="17">
        <v>72.88</v>
      </c>
      <c r="J98" s="17">
        <f>+H98*I98</f>
        <v>3644</v>
      </c>
      <c r="K98" s="17"/>
      <c r="L98" s="16" t="s">
        <v>15</v>
      </c>
      <c r="M98" s="16" t="s">
        <v>22</v>
      </c>
      <c r="N98" s="39" t="s">
        <v>418</v>
      </c>
      <c r="O98" s="18"/>
      <c r="R98" s="19"/>
    </row>
    <row r="99" spans="1:21" s="12" customFormat="1">
      <c r="A99" s="15" t="s">
        <v>62</v>
      </c>
      <c r="B99" s="75" t="s">
        <v>600</v>
      </c>
      <c r="C99" s="39" t="s">
        <v>17</v>
      </c>
      <c r="D99" s="39"/>
      <c r="E99" s="39"/>
      <c r="F99" s="142"/>
      <c r="G99" s="39">
        <v>50</v>
      </c>
      <c r="H99" s="40">
        <f>SUM(Tabla1326[[#This Row],[PRIMER TRIMESTRE]:[CUARTO TRIMESTRE]])</f>
        <v>50</v>
      </c>
      <c r="I99" s="17">
        <v>86</v>
      </c>
      <c r="J99" s="17">
        <f>+Tabla1326[[#This Row],[CANTIDAD TOTAL]]*Tabla1326[[#This Row],[PRECIO UNITARIO ESTIMADO]]</f>
        <v>4300</v>
      </c>
      <c r="K99" s="17"/>
      <c r="L99" s="16" t="s">
        <v>15</v>
      </c>
      <c r="M99" s="16" t="s">
        <v>22</v>
      </c>
      <c r="N99" s="39" t="s">
        <v>418</v>
      </c>
      <c r="O99" s="20"/>
      <c r="R99" s="19" t="s">
        <v>142</v>
      </c>
    </row>
    <row r="100" spans="1:21" s="12" customFormat="1">
      <c r="A100" s="15" t="s">
        <v>62</v>
      </c>
      <c r="B100" s="75" t="s">
        <v>601</v>
      </c>
      <c r="C100" s="39" t="s">
        <v>17</v>
      </c>
      <c r="D100" s="39"/>
      <c r="E100" s="39"/>
      <c r="F100" s="142"/>
      <c r="G100" s="39">
        <v>50</v>
      </c>
      <c r="H100" s="40">
        <f>SUM(Tabla1326[[#This Row],[PRIMER TRIMESTRE]:[CUARTO TRIMESTRE]])</f>
        <v>50</v>
      </c>
      <c r="I100" s="17">
        <v>158.88</v>
      </c>
      <c r="J100" s="17">
        <f>+H100*I100</f>
        <v>7944</v>
      </c>
      <c r="K100" s="17"/>
      <c r="L100" s="16" t="s">
        <v>15</v>
      </c>
      <c r="M100" s="16" t="s">
        <v>22</v>
      </c>
      <c r="N100" s="39" t="s">
        <v>418</v>
      </c>
      <c r="O100" s="18"/>
      <c r="R100" s="19"/>
    </row>
    <row r="101" spans="1:21" s="12" customFormat="1">
      <c r="A101" s="15" t="s">
        <v>62</v>
      </c>
      <c r="B101" s="75" t="s">
        <v>144</v>
      </c>
      <c r="C101" s="39" t="s">
        <v>17</v>
      </c>
      <c r="D101" s="39"/>
      <c r="E101" s="39"/>
      <c r="F101" s="142"/>
      <c r="G101" s="39">
        <v>120</v>
      </c>
      <c r="H101" s="40">
        <f>SUM(Tabla1326[[#This Row],[PRIMER TRIMESTRE]:[CUARTO TRIMESTRE]])</f>
        <v>120</v>
      </c>
      <c r="I101" s="17">
        <v>62.87</v>
      </c>
      <c r="J101" s="17">
        <f>+Tabla1326[[#This Row],[CANTIDAD TOTAL]]*Tabla1326[[#This Row],[PRECIO UNITARIO ESTIMADO]]</f>
        <v>7544.4</v>
      </c>
      <c r="K101" s="17"/>
      <c r="L101" s="16" t="s">
        <v>15</v>
      </c>
      <c r="M101" s="16" t="s">
        <v>22</v>
      </c>
      <c r="N101" s="39" t="s">
        <v>418</v>
      </c>
      <c r="O101" s="20"/>
      <c r="R101" s="19" t="s">
        <v>145</v>
      </c>
    </row>
    <row r="102" spans="1:21" s="26" customFormat="1" ht="29.25" customHeight="1">
      <c r="A102" s="22" t="s">
        <v>62</v>
      </c>
      <c r="B102" s="76"/>
      <c r="C102" s="42"/>
      <c r="D102" s="42"/>
      <c r="E102" s="42"/>
      <c r="F102" s="42"/>
      <c r="G102" s="42"/>
      <c r="H102" s="43"/>
      <c r="I102" s="24"/>
      <c r="J102" s="24"/>
      <c r="K102" s="25">
        <f>SUM(J78:J101)</f>
        <v>834210.56</v>
      </c>
      <c r="L102" s="23"/>
      <c r="M102" s="23"/>
      <c r="N102" s="42"/>
      <c r="O102" s="24"/>
      <c r="R102" s="27"/>
      <c r="U102" s="23"/>
    </row>
    <row r="103" spans="1:21" s="12" customFormat="1">
      <c r="A103" s="15" t="s">
        <v>80</v>
      </c>
      <c r="B103" s="75" t="s">
        <v>788</v>
      </c>
      <c r="C103" s="39" t="s">
        <v>69</v>
      </c>
      <c r="D103" s="39"/>
      <c r="E103" s="39">
        <v>125</v>
      </c>
      <c r="F103" s="39"/>
      <c r="G103" s="39">
        <v>125</v>
      </c>
      <c r="H103" s="40">
        <f>SUM(Tabla1326[[#This Row],[PRIMER TRIMESTRE]:[CUARTO TRIMESTRE]])</f>
        <v>250</v>
      </c>
      <c r="I103" s="17">
        <v>5.46</v>
      </c>
      <c r="J103" s="17">
        <f>+Tabla1326[[#This Row],[CANTIDAD TOTAL]]*Tabla1326[[#This Row],[PRECIO UNITARIO ESTIMADO]]</f>
        <v>1365</v>
      </c>
      <c r="K103" s="17"/>
      <c r="L103" s="16" t="s">
        <v>27</v>
      </c>
      <c r="M103" s="16" t="s">
        <v>22</v>
      </c>
      <c r="N103" s="39" t="s">
        <v>418</v>
      </c>
      <c r="O103" s="20"/>
      <c r="R103" s="19" t="s">
        <v>81</v>
      </c>
    </row>
    <row r="104" spans="1:21" s="12" customFormat="1">
      <c r="A104" s="15" t="s">
        <v>80</v>
      </c>
      <c r="B104" s="75" t="s">
        <v>789</v>
      </c>
      <c r="C104" s="39" t="s">
        <v>69</v>
      </c>
      <c r="D104" s="39"/>
      <c r="E104" s="39">
        <v>120</v>
      </c>
      <c r="F104" s="39"/>
      <c r="G104" s="39">
        <v>120</v>
      </c>
      <c r="H104" s="40">
        <f>SUM(Tabla1326[[#This Row],[PRIMER TRIMESTRE]:[CUARTO TRIMESTRE]])</f>
        <v>240</v>
      </c>
      <c r="I104" s="17">
        <v>6.4</v>
      </c>
      <c r="J104" s="17">
        <f>+Tabla1326[[#This Row],[CANTIDAD TOTAL]]*Tabla1326[[#This Row],[PRECIO UNITARIO ESTIMADO]]</f>
        <v>1536</v>
      </c>
      <c r="K104" s="17"/>
      <c r="L104" s="16" t="s">
        <v>27</v>
      </c>
      <c r="M104" s="16" t="s">
        <v>22</v>
      </c>
      <c r="N104" s="39" t="s">
        <v>418</v>
      </c>
      <c r="O104" s="20"/>
      <c r="R104" s="19" t="s">
        <v>82</v>
      </c>
    </row>
    <row r="105" spans="1:21" s="12" customFormat="1">
      <c r="A105" s="15" t="s">
        <v>80</v>
      </c>
      <c r="B105" s="75" t="s">
        <v>83</v>
      </c>
      <c r="C105" s="39" t="s">
        <v>69</v>
      </c>
      <c r="D105" s="39"/>
      <c r="E105" s="39">
        <v>1</v>
      </c>
      <c r="F105" s="39"/>
      <c r="G105" s="39">
        <v>1</v>
      </c>
      <c r="H105" s="40">
        <f>SUM(Tabla1326[[#This Row],[PRIMER TRIMESTRE]:[CUARTO TRIMESTRE]])</f>
        <v>2</v>
      </c>
      <c r="I105" s="17">
        <v>290</v>
      </c>
      <c r="J105" s="17">
        <f>+Tabla1326[[#This Row],[CANTIDAD TOTAL]]*Tabla1326[[#This Row],[PRECIO UNITARIO ESTIMADO]]</f>
        <v>580</v>
      </c>
      <c r="K105" s="17"/>
      <c r="L105" s="16" t="s">
        <v>27</v>
      </c>
      <c r="M105" s="16" t="s">
        <v>22</v>
      </c>
      <c r="N105" s="39" t="s">
        <v>418</v>
      </c>
      <c r="O105" s="20"/>
      <c r="R105" s="19" t="s">
        <v>84</v>
      </c>
    </row>
    <row r="106" spans="1:21" s="12" customFormat="1">
      <c r="A106" s="15" t="s">
        <v>80</v>
      </c>
      <c r="B106" s="75" t="s">
        <v>85</v>
      </c>
      <c r="C106" s="39" t="s">
        <v>69</v>
      </c>
      <c r="D106" s="39"/>
      <c r="E106" s="39">
        <v>1800</v>
      </c>
      <c r="F106" s="39"/>
      <c r="G106" s="39">
        <v>1800</v>
      </c>
      <c r="H106" s="40">
        <f>SUM(Tabla1326[[#This Row],[PRIMER TRIMESTRE]:[CUARTO TRIMESTRE]])</f>
        <v>3600</v>
      </c>
      <c r="I106" s="17">
        <v>4.0599999999999996</v>
      </c>
      <c r="J106" s="17">
        <f>+Tabla1326[[#This Row],[CANTIDAD TOTAL]]*Tabla1326[[#This Row],[PRECIO UNITARIO ESTIMADO]]</f>
        <v>14615.999999999998</v>
      </c>
      <c r="K106" s="17"/>
      <c r="L106" s="16" t="s">
        <v>27</v>
      </c>
      <c r="M106" s="16" t="s">
        <v>22</v>
      </c>
      <c r="N106" s="39" t="s">
        <v>418</v>
      </c>
      <c r="O106" s="20"/>
      <c r="R106" s="19" t="s">
        <v>86</v>
      </c>
    </row>
    <row r="107" spans="1:21" s="12" customFormat="1">
      <c r="A107" s="15" t="s">
        <v>80</v>
      </c>
      <c r="B107" s="75" t="s">
        <v>87</v>
      </c>
      <c r="C107" s="39" t="s">
        <v>69</v>
      </c>
      <c r="D107" s="39"/>
      <c r="E107" s="39">
        <v>1400</v>
      </c>
      <c r="F107" s="39"/>
      <c r="G107" s="39">
        <v>1400</v>
      </c>
      <c r="H107" s="40">
        <f>SUM(Tabla1326[[#This Row],[PRIMER TRIMESTRE]:[CUARTO TRIMESTRE]])</f>
        <v>2800</v>
      </c>
      <c r="I107" s="17">
        <v>3.71</v>
      </c>
      <c r="J107" s="17">
        <f>+Tabla1326[[#This Row],[CANTIDAD TOTAL]]*Tabla1326[[#This Row],[PRECIO UNITARIO ESTIMADO]]</f>
        <v>10388</v>
      </c>
      <c r="K107" s="17"/>
      <c r="L107" s="16" t="s">
        <v>27</v>
      </c>
      <c r="M107" s="16" t="s">
        <v>22</v>
      </c>
      <c r="N107" s="39" t="s">
        <v>418</v>
      </c>
      <c r="O107" s="20"/>
      <c r="R107" s="19" t="s">
        <v>88</v>
      </c>
    </row>
    <row r="108" spans="1:21" s="12" customFormat="1">
      <c r="A108" s="15" t="s">
        <v>80</v>
      </c>
      <c r="B108" s="75" t="s">
        <v>89</v>
      </c>
      <c r="C108" s="39" t="s">
        <v>69</v>
      </c>
      <c r="D108" s="39"/>
      <c r="E108" s="39">
        <v>40</v>
      </c>
      <c r="F108" s="39"/>
      <c r="G108" s="39"/>
      <c r="H108" s="40">
        <f>SUM(Tabla1326[[#This Row],[PRIMER TRIMESTRE]:[CUARTO TRIMESTRE]])</f>
        <v>40</v>
      </c>
      <c r="I108" s="17">
        <v>7.3</v>
      </c>
      <c r="J108" s="17">
        <f>+Tabla1326[[#This Row],[CANTIDAD TOTAL]]*Tabla1326[[#This Row],[PRECIO UNITARIO ESTIMADO]]</f>
        <v>292</v>
      </c>
      <c r="K108" s="17"/>
      <c r="L108" s="16" t="s">
        <v>27</v>
      </c>
      <c r="M108" s="16" t="s">
        <v>22</v>
      </c>
      <c r="N108" s="39" t="s">
        <v>418</v>
      </c>
      <c r="O108" s="20"/>
      <c r="R108" s="19" t="s">
        <v>90</v>
      </c>
    </row>
    <row r="109" spans="1:21" s="12" customFormat="1">
      <c r="A109" s="15" t="s">
        <v>80</v>
      </c>
      <c r="B109" s="75" t="s">
        <v>91</v>
      </c>
      <c r="C109" s="39" t="s">
        <v>69</v>
      </c>
      <c r="D109" s="39"/>
      <c r="E109" s="39">
        <v>2</v>
      </c>
      <c r="F109" s="39"/>
      <c r="G109" s="39"/>
      <c r="H109" s="40">
        <f>SUM(Tabla1326[[#This Row],[PRIMER TRIMESTRE]:[CUARTO TRIMESTRE]])</f>
        <v>2</v>
      </c>
      <c r="I109" s="17">
        <v>169.82</v>
      </c>
      <c r="J109" s="17">
        <f>+Tabla1326[[#This Row],[CANTIDAD TOTAL]]*Tabla1326[[#This Row],[PRECIO UNITARIO ESTIMADO]]</f>
        <v>339.64</v>
      </c>
      <c r="K109" s="17"/>
      <c r="L109" s="16" t="s">
        <v>27</v>
      </c>
      <c r="M109" s="16" t="s">
        <v>22</v>
      </c>
      <c r="N109" s="39" t="s">
        <v>418</v>
      </c>
      <c r="O109" s="20"/>
      <c r="R109" s="19" t="s">
        <v>92</v>
      </c>
    </row>
    <row r="110" spans="1:21" s="12" customFormat="1" ht="36.75" customHeight="1">
      <c r="A110" s="15" t="s">
        <v>80</v>
      </c>
      <c r="B110" s="75" t="s">
        <v>98</v>
      </c>
      <c r="C110" s="39" t="s">
        <v>93</v>
      </c>
      <c r="D110" s="39"/>
      <c r="E110" s="39">
        <v>150</v>
      </c>
      <c r="F110" s="39"/>
      <c r="G110" s="39">
        <v>150</v>
      </c>
      <c r="H110" s="40">
        <f>SUM(Tabla1326[[#This Row],[PRIMER TRIMESTRE]:[CUARTO TRIMESTRE]])</f>
        <v>300</v>
      </c>
      <c r="I110" s="17">
        <v>272.60000000000002</v>
      </c>
      <c r="J110" s="17">
        <f>+Tabla1326[[#This Row],[CANTIDAD TOTAL]]*Tabla1326[[#This Row],[PRECIO UNITARIO ESTIMADO]]</f>
        <v>81780</v>
      </c>
      <c r="K110" s="17"/>
      <c r="L110" s="16" t="s">
        <v>27</v>
      </c>
      <c r="M110" s="16" t="s">
        <v>22</v>
      </c>
      <c r="N110" s="39" t="s">
        <v>418</v>
      </c>
      <c r="O110" s="20"/>
      <c r="R110" s="19" t="s">
        <v>99</v>
      </c>
    </row>
    <row r="111" spans="1:21" s="12" customFormat="1">
      <c r="A111" s="15" t="s">
        <v>80</v>
      </c>
      <c r="B111" s="75" t="s">
        <v>100</v>
      </c>
      <c r="C111" s="39" t="s">
        <v>93</v>
      </c>
      <c r="D111" s="39"/>
      <c r="E111" s="39">
        <v>25</v>
      </c>
      <c r="F111" s="39"/>
      <c r="G111" s="39">
        <v>25</v>
      </c>
      <c r="H111" s="40">
        <f>SUM(Tabla1326[[#This Row],[PRIMER TRIMESTRE]:[CUARTO TRIMESTRE]])</f>
        <v>50</v>
      </c>
      <c r="I111" s="17">
        <v>30.16</v>
      </c>
      <c r="J111" s="17">
        <f>+Tabla1326[[#This Row],[CANTIDAD TOTAL]]*Tabla1326[[#This Row],[PRECIO UNITARIO ESTIMADO]]</f>
        <v>1508</v>
      </c>
      <c r="K111" s="17"/>
      <c r="L111" s="16" t="s">
        <v>27</v>
      </c>
      <c r="M111" s="16" t="s">
        <v>22</v>
      </c>
      <c r="N111" s="39" t="s">
        <v>418</v>
      </c>
      <c r="O111" s="20"/>
      <c r="R111" s="19" t="s">
        <v>101</v>
      </c>
    </row>
    <row r="112" spans="1:21" s="12" customFormat="1" ht="31.5">
      <c r="A112" s="15" t="s">
        <v>80</v>
      </c>
      <c r="B112" s="75" t="s">
        <v>103</v>
      </c>
      <c r="C112" s="39" t="s">
        <v>17</v>
      </c>
      <c r="D112" s="39"/>
      <c r="E112" s="39">
        <v>150</v>
      </c>
      <c r="F112" s="39"/>
      <c r="G112" s="39"/>
      <c r="H112" s="40">
        <f>SUM(Tabla1326[[#This Row],[PRIMER TRIMESTRE]:[CUARTO TRIMESTRE]])</f>
        <v>150</v>
      </c>
      <c r="I112" s="17">
        <v>0.75</v>
      </c>
      <c r="J112" s="17">
        <f>+Tabla1326[[#This Row],[CANTIDAD TOTAL]]*Tabla1326[[#This Row],[PRECIO UNITARIO ESTIMADO]]</f>
        <v>112.5</v>
      </c>
      <c r="K112" s="17"/>
      <c r="L112" s="16" t="s">
        <v>27</v>
      </c>
      <c r="M112" s="16" t="s">
        <v>22</v>
      </c>
      <c r="N112" s="39" t="s">
        <v>418</v>
      </c>
      <c r="O112" s="20"/>
      <c r="R112" s="19" t="s">
        <v>104</v>
      </c>
    </row>
    <row r="113" spans="1:18" s="12" customFormat="1">
      <c r="A113" s="15" t="s">
        <v>80</v>
      </c>
      <c r="B113" s="75" t="s">
        <v>105</v>
      </c>
      <c r="C113" s="39" t="s">
        <v>17</v>
      </c>
      <c r="D113" s="39"/>
      <c r="E113" s="39">
        <v>40</v>
      </c>
      <c r="F113" s="39"/>
      <c r="G113" s="39">
        <v>40</v>
      </c>
      <c r="H113" s="40">
        <f>SUM(Tabla1326[[#This Row],[PRIMER TRIMESTRE]:[CUARTO TRIMESTRE]])</f>
        <v>80</v>
      </c>
      <c r="I113" s="17">
        <v>33.64</v>
      </c>
      <c r="J113" s="17">
        <f>+Tabla1326[[#This Row],[CANTIDAD TOTAL]]*Tabla1326[[#This Row],[PRECIO UNITARIO ESTIMADO]]</f>
        <v>2691.2</v>
      </c>
      <c r="K113" s="17"/>
      <c r="L113" s="16" t="s">
        <v>27</v>
      </c>
      <c r="M113" s="16" t="s">
        <v>22</v>
      </c>
      <c r="N113" s="39" t="s">
        <v>418</v>
      </c>
      <c r="O113" s="20"/>
      <c r="R113" s="19" t="s">
        <v>106</v>
      </c>
    </row>
    <row r="114" spans="1:18" s="12" customFormat="1">
      <c r="A114" s="15" t="s">
        <v>80</v>
      </c>
      <c r="B114" s="75" t="s">
        <v>107</v>
      </c>
      <c r="C114" s="70" t="s">
        <v>17</v>
      </c>
      <c r="D114" s="39"/>
      <c r="E114" s="70">
        <v>5</v>
      </c>
      <c r="F114" s="70"/>
      <c r="G114" s="70"/>
      <c r="H114" s="40">
        <f>SUM(Tabla1326[[#This Row],[PRIMER TRIMESTRE]:[CUARTO TRIMESTRE]])</f>
        <v>5</v>
      </c>
      <c r="I114" s="17">
        <v>86.24</v>
      </c>
      <c r="J114" s="17">
        <f>+Tabla1326[[#This Row],[CANTIDAD TOTAL]]*Tabla1326[[#This Row],[PRECIO UNITARIO ESTIMADO]]</f>
        <v>431.2</v>
      </c>
      <c r="K114" s="17"/>
      <c r="L114" s="16" t="s">
        <v>27</v>
      </c>
      <c r="M114" s="16" t="s">
        <v>22</v>
      </c>
      <c r="N114" s="39" t="s">
        <v>418</v>
      </c>
      <c r="O114" s="20"/>
      <c r="R114" s="19" t="s">
        <v>108</v>
      </c>
    </row>
    <row r="115" spans="1:18" s="12" customFormat="1">
      <c r="A115" s="15" t="s">
        <v>80</v>
      </c>
      <c r="B115" s="75" t="s">
        <v>436</v>
      </c>
      <c r="C115" s="70" t="s">
        <v>17</v>
      </c>
      <c r="D115" s="39"/>
      <c r="E115" s="70"/>
      <c r="F115" s="70"/>
      <c r="G115" s="70">
        <v>13</v>
      </c>
      <c r="H115" s="40">
        <f>SUM(Tabla1326[[#This Row],[PRIMER TRIMESTRE]:[CUARTO TRIMESTRE]])</f>
        <v>13</v>
      </c>
      <c r="I115" s="17">
        <v>450</v>
      </c>
      <c r="J115" s="17">
        <f>+Tabla1326[[#This Row],[CANTIDAD TOTAL]]*Tabla1326[[#This Row],[PRECIO UNITARIO ESTIMADO]]</f>
        <v>5850</v>
      </c>
      <c r="K115" s="17"/>
      <c r="L115" s="16" t="s">
        <v>27</v>
      </c>
      <c r="M115" s="16" t="s">
        <v>22</v>
      </c>
      <c r="N115" s="39" t="s">
        <v>418</v>
      </c>
      <c r="O115" s="20"/>
      <c r="R115" s="19" t="s">
        <v>109</v>
      </c>
    </row>
    <row r="116" spans="1:18" s="12" customFormat="1">
      <c r="A116" s="15" t="s">
        <v>80</v>
      </c>
      <c r="B116" s="75" t="s">
        <v>110</v>
      </c>
      <c r="C116" s="70" t="s">
        <v>17</v>
      </c>
      <c r="D116" s="39"/>
      <c r="E116" s="70"/>
      <c r="F116" s="70"/>
      <c r="G116" s="70">
        <v>6</v>
      </c>
      <c r="H116" s="40">
        <f>SUM(Tabla1326[[#This Row],[PRIMER TRIMESTRE]:[CUARTO TRIMESTRE]])</f>
        <v>6</v>
      </c>
      <c r="I116" s="17">
        <v>5823.23</v>
      </c>
      <c r="J116" s="17">
        <f>+Tabla1326[[#This Row],[CANTIDAD TOTAL]]*Tabla1326[[#This Row],[PRECIO UNITARIO ESTIMADO]]</f>
        <v>34939.379999999997</v>
      </c>
      <c r="K116" s="17"/>
      <c r="L116" s="16" t="s">
        <v>27</v>
      </c>
      <c r="M116" s="16" t="s">
        <v>22</v>
      </c>
      <c r="N116" s="39" t="s">
        <v>418</v>
      </c>
      <c r="O116" s="20"/>
      <c r="R116" s="19" t="s">
        <v>111</v>
      </c>
    </row>
    <row r="117" spans="1:18" s="12" customFormat="1">
      <c r="A117" s="15" t="s">
        <v>80</v>
      </c>
      <c r="B117" s="77" t="s">
        <v>112</v>
      </c>
      <c r="C117" s="70" t="s">
        <v>288</v>
      </c>
      <c r="D117" s="39"/>
      <c r="E117" s="70">
        <v>40</v>
      </c>
      <c r="F117" s="70"/>
      <c r="G117" s="70">
        <v>40</v>
      </c>
      <c r="H117" s="40">
        <f>SUM(Tabla1326[[#This Row],[PRIMER TRIMESTRE]:[CUARTO TRIMESTRE]])</f>
        <v>80</v>
      </c>
      <c r="I117" s="17">
        <v>1624</v>
      </c>
      <c r="J117" s="17">
        <f>+Tabla1326[[#This Row],[CANTIDAD TOTAL]]*Tabla1326[[#This Row],[PRECIO UNITARIO ESTIMADO]]</f>
        <v>129920</v>
      </c>
      <c r="K117" s="17"/>
      <c r="L117" s="16" t="s">
        <v>27</v>
      </c>
      <c r="M117" s="16" t="s">
        <v>22</v>
      </c>
      <c r="N117" s="39" t="s">
        <v>418</v>
      </c>
      <c r="O117" s="20"/>
      <c r="R117" s="19" t="s">
        <v>113</v>
      </c>
    </row>
    <row r="118" spans="1:18" s="12" customFormat="1" ht="31.5">
      <c r="A118" s="15" t="s">
        <v>80</v>
      </c>
      <c r="B118" s="77" t="s">
        <v>766</v>
      </c>
      <c r="C118" s="70" t="s">
        <v>767</v>
      </c>
      <c r="D118" s="39"/>
      <c r="E118" s="70">
        <v>200</v>
      </c>
      <c r="F118" s="70"/>
      <c r="G118" s="70">
        <v>200</v>
      </c>
      <c r="H118" s="40">
        <f>SUM(Tabla1326[[#This Row],[PRIMER TRIMESTRE]:[CUARTO TRIMESTRE]])</f>
        <v>400</v>
      </c>
      <c r="I118" s="17">
        <v>470</v>
      </c>
      <c r="J118" s="17">
        <f>+Tabla1326[[#This Row],[CANTIDAD TOTAL]]*Tabla1326[[#This Row],[PRECIO UNITARIO ESTIMADO]]</f>
        <v>188000</v>
      </c>
      <c r="K118" s="17"/>
      <c r="L118" s="16" t="s">
        <v>27</v>
      </c>
      <c r="M118" s="16" t="s">
        <v>22</v>
      </c>
      <c r="N118" s="39" t="s">
        <v>418</v>
      </c>
      <c r="O118" s="20"/>
      <c r="R118" s="19" t="s">
        <v>114</v>
      </c>
    </row>
    <row r="119" spans="1:18" s="12" customFormat="1">
      <c r="A119" s="15" t="s">
        <v>80</v>
      </c>
      <c r="B119" s="75" t="s">
        <v>730</v>
      </c>
      <c r="C119" s="70" t="s">
        <v>17</v>
      </c>
      <c r="D119" s="39"/>
      <c r="E119" s="70"/>
      <c r="F119" s="70"/>
      <c r="G119" s="70">
        <v>7</v>
      </c>
      <c r="H119" s="40">
        <f>SUM(Tabla1326[[#This Row],[PRIMER TRIMESTRE]:[CUARTO TRIMESTRE]])</f>
        <v>7</v>
      </c>
      <c r="I119" s="17">
        <v>246.34</v>
      </c>
      <c r="J119" s="17">
        <f t="shared" ref="J119:J126" si="1">+H119*I119</f>
        <v>1724.38</v>
      </c>
      <c r="K119" s="17"/>
      <c r="L119" s="16" t="s">
        <v>27</v>
      </c>
      <c r="M119" s="16" t="s">
        <v>22</v>
      </c>
      <c r="N119" s="39" t="s">
        <v>418</v>
      </c>
      <c r="O119" s="18"/>
      <c r="R119" s="19"/>
    </row>
    <row r="120" spans="1:18" s="12" customFormat="1" ht="17.25" customHeight="1">
      <c r="A120" s="15" t="s">
        <v>80</v>
      </c>
      <c r="B120" s="75" t="s">
        <v>570</v>
      </c>
      <c r="C120" s="70" t="s">
        <v>17</v>
      </c>
      <c r="D120" s="39"/>
      <c r="E120" s="70">
        <v>15</v>
      </c>
      <c r="F120" s="70"/>
      <c r="G120" s="70">
        <v>15</v>
      </c>
      <c r="H120" s="40">
        <f>SUM(Tabla1326[[#This Row],[PRIMER TRIMESTRE]:[CUARTO TRIMESTRE]])</f>
        <v>30</v>
      </c>
      <c r="I120" s="17">
        <v>4100</v>
      </c>
      <c r="J120" s="17">
        <f t="shared" si="1"/>
        <v>123000</v>
      </c>
      <c r="K120" s="17"/>
      <c r="L120" s="16" t="s">
        <v>27</v>
      </c>
      <c r="M120" s="16" t="s">
        <v>22</v>
      </c>
      <c r="N120" s="39" t="s">
        <v>418</v>
      </c>
      <c r="O120" s="18"/>
      <c r="R120" s="19"/>
    </row>
    <row r="121" spans="1:18" s="12" customFormat="1">
      <c r="A121" s="15" t="s">
        <v>80</v>
      </c>
      <c r="B121" s="75" t="s">
        <v>694</v>
      </c>
      <c r="C121" s="70" t="s">
        <v>17</v>
      </c>
      <c r="D121" s="39"/>
      <c r="E121" s="70">
        <v>10</v>
      </c>
      <c r="F121" s="70"/>
      <c r="G121" s="70">
        <v>10</v>
      </c>
      <c r="H121" s="40">
        <f>SUM(Tabla1326[[#This Row],[PRIMER TRIMESTRE]:[CUARTO TRIMESTRE]])</f>
        <v>20</v>
      </c>
      <c r="I121" s="72">
        <v>850</v>
      </c>
      <c r="J121" s="17">
        <f t="shared" si="1"/>
        <v>17000</v>
      </c>
      <c r="K121" s="17"/>
      <c r="L121" s="16" t="s">
        <v>27</v>
      </c>
      <c r="M121" s="16" t="s">
        <v>22</v>
      </c>
      <c r="N121" s="39" t="s">
        <v>418</v>
      </c>
      <c r="O121" s="18"/>
      <c r="R121" s="19"/>
    </row>
    <row r="122" spans="1:18" s="12" customFormat="1">
      <c r="A122" s="15" t="s">
        <v>80</v>
      </c>
      <c r="B122" s="75" t="s">
        <v>695</v>
      </c>
      <c r="C122" s="70" t="s">
        <v>17</v>
      </c>
      <c r="D122" s="39"/>
      <c r="E122" s="70">
        <v>10</v>
      </c>
      <c r="F122" s="70"/>
      <c r="G122" s="70">
        <v>10</v>
      </c>
      <c r="H122" s="40">
        <f>SUM(Tabla1326[[#This Row],[PRIMER TRIMESTRE]:[CUARTO TRIMESTRE]])</f>
        <v>20</v>
      </c>
      <c r="I122" s="72">
        <v>850</v>
      </c>
      <c r="J122" s="17">
        <f t="shared" si="1"/>
        <v>17000</v>
      </c>
      <c r="K122" s="17"/>
      <c r="L122" s="16" t="s">
        <v>27</v>
      </c>
      <c r="M122" s="16" t="s">
        <v>22</v>
      </c>
      <c r="N122" s="39" t="s">
        <v>418</v>
      </c>
      <c r="O122" s="18"/>
      <c r="R122" s="19"/>
    </row>
    <row r="123" spans="1:18" s="12" customFormat="1">
      <c r="A123" s="15" t="s">
        <v>80</v>
      </c>
      <c r="B123" s="75" t="s">
        <v>696</v>
      </c>
      <c r="C123" s="70" t="s">
        <v>17</v>
      </c>
      <c r="D123" s="39"/>
      <c r="E123" s="70">
        <v>10</v>
      </c>
      <c r="F123" s="70"/>
      <c r="G123" s="70">
        <v>10</v>
      </c>
      <c r="H123" s="40">
        <f>SUM(Tabla1326[[#This Row],[PRIMER TRIMESTRE]:[CUARTO TRIMESTRE]])</f>
        <v>20</v>
      </c>
      <c r="I123" s="72">
        <v>970</v>
      </c>
      <c r="J123" s="17">
        <f t="shared" si="1"/>
        <v>19400</v>
      </c>
      <c r="K123" s="17"/>
      <c r="L123" s="16" t="s">
        <v>27</v>
      </c>
      <c r="M123" s="16" t="s">
        <v>22</v>
      </c>
      <c r="N123" s="39" t="s">
        <v>418</v>
      </c>
      <c r="O123" s="18"/>
      <c r="R123" s="19"/>
    </row>
    <row r="124" spans="1:18" s="12" customFormat="1">
      <c r="A124" s="15" t="s">
        <v>80</v>
      </c>
      <c r="B124" s="75" t="s">
        <v>697</v>
      </c>
      <c r="C124" s="70" t="s">
        <v>17</v>
      </c>
      <c r="D124" s="39"/>
      <c r="E124" s="70">
        <v>5</v>
      </c>
      <c r="F124" s="70"/>
      <c r="G124" s="70">
        <v>5</v>
      </c>
      <c r="H124" s="40">
        <f>SUM(Tabla1326[[#This Row],[PRIMER TRIMESTRE]:[CUARTO TRIMESTRE]])</f>
        <v>10</v>
      </c>
      <c r="I124" s="72">
        <v>1870</v>
      </c>
      <c r="J124" s="17">
        <f t="shared" si="1"/>
        <v>18700</v>
      </c>
      <c r="K124" s="17"/>
      <c r="L124" s="16" t="s">
        <v>27</v>
      </c>
      <c r="M124" s="16" t="s">
        <v>22</v>
      </c>
      <c r="N124" s="39" t="s">
        <v>418</v>
      </c>
      <c r="O124" s="18"/>
      <c r="R124" s="19"/>
    </row>
    <row r="125" spans="1:18" s="12" customFormat="1">
      <c r="A125" s="15" t="s">
        <v>80</v>
      </c>
      <c r="B125" s="75" t="s">
        <v>698</v>
      </c>
      <c r="C125" s="39" t="s">
        <v>17</v>
      </c>
      <c r="D125" s="39"/>
      <c r="E125" s="39">
        <v>5</v>
      </c>
      <c r="F125" s="39"/>
      <c r="G125" s="39">
        <v>5</v>
      </c>
      <c r="H125" s="40">
        <f>SUM(Tabla1326[[#This Row],[PRIMER TRIMESTRE]:[CUARTO TRIMESTRE]])</f>
        <v>10</v>
      </c>
      <c r="I125" s="72">
        <v>2150</v>
      </c>
      <c r="J125" s="17">
        <f t="shared" si="1"/>
        <v>21500</v>
      </c>
      <c r="K125" s="17"/>
      <c r="L125" s="16" t="s">
        <v>27</v>
      </c>
      <c r="M125" s="16" t="s">
        <v>22</v>
      </c>
      <c r="N125" s="39" t="s">
        <v>418</v>
      </c>
      <c r="O125" s="18"/>
      <c r="R125" s="19"/>
    </row>
    <row r="126" spans="1:18" s="12" customFormat="1">
      <c r="A126" s="15" t="s">
        <v>80</v>
      </c>
      <c r="B126" s="75" t="s">
        <v>699</v>
      </c>
      <c r="C126" s="39" t="s">
        <v>17</v>
      </c>
      <c r="D126" s="39"/>
      <c r="E126" s="39">
        <v>5</v>
      </c>
      <c r="F126" s="39"/>
      <c r="G126" s="39">
        <v>5</v>
      </c>
      <c r="H126" s="40">
        <f>SUM(Tabla1326[[#This Row],[PRIMER TRIMESTRE]:[CUARTO TRIMESTRE]])</f>
        <v>10</v>
      </c>
      <c r="I126" s="72">
        <v>2860</v>
      </c>
      <c r="J126" s="17">
        <f t="shared" si="1"/>
        <v>28600</v>
      </c>
      <c r="K126" s="17"/>
      <c r="L126" s="16" t="s">
        <v>27</v>
      </c>
      <c r="M126" s="16" t="s">
        <v>22</v>
      </c>
      <c r="N126" s="39" t="s">
        <v>418</v>
      </c>
      <c r="O126" s="18"/>
      <c r="R126" s="19"/>
    </row>
    <row r="127" spans="1:18" s="12" customFormat="1">
      <c r="A127" s="15" t="s">
        <v>80</v>
      </c>
      <c r="B127" s="75" t="s">
        <v>577</v>
      </c>
      <c r="C127" s="39" t="s">
        <v>17</v>
      </c>
      <c r="D127" s="39"/>
      <c r="E127" s="39">
        <v>10</v>
      </c>
      <c r="F127" s="39"/>
      <c r="G127" s="39">
        <v>10</v>
      </c>
      <c r="H127" s="40">
        <f>SUM(Tabla1326[[#This Row],[PRIMER TRIMESTRE]:[CUARTO TRIMESTRE]])</f>
        <v>20</v>
      </c>
      <c r="I127" s="17">
        <v>1232.8699999999999</v>
      </c>
      <c r="J127" s="17">
        <f>+Tabla1326[[#This Row],[CANTIDAD TOTAL]]*Tabla1326[[#This Row],[PRECIO UNITARIO ESTIMADO]]</f>
        <v>24657.399999999998</v>
      </c>
      <c r="K127" s="17"/>
      <c r="L127" s="16" t="s">
        <v>27</v>
      </c>
      <c r="M127" s="16" t="s">
        <v>22</v>
      </c>
      <c r="N127" s="39" t="s">
        <v>418</v>
      </c>
      <c r="O127" s="20"/>
      <c r="R127" s="19" t="s">
        <v>123</v>
      </c>
    </row>
    <row r="128" spans="1:18" s="12" customFormat="1">
      <c r="A128" s="15" t="s">
        <v>80</v>
      </c>
      <c r="B128" s="75" t="s">
        <v>578</v>
      </c>
      <c r="C128" s="39" t="s">
        <v>17</v>
      </c>
      <c r="D128" s="39"/>
      <c r="E128" s="39">
        <v>10</v>
      </c>
      <c r="F128" s="39"/>
      <c r="G128" s="39">
        <v>10</v>
      </c>
      <c r="H128" s="40">
        <f>SUM(Tabla1326[[#This Row],[PRIMER TRIMESTRE]:[CUARTO TRIMESTRE]])</f>
        <v>20</v>
      </c>
      <c r="I128" s="17">
        <v>2186.6</v>
      </c>
      <c r="J128" s="17">
        <f>+Tabla1326[[#This Row],[CANTIDAD TOTAL]]*Tabla1326[[#This Row],[PRECIO UNITARIO ESTIMADO]]</f>
        <v>43732</v>
      </c>
      <c r="K128" s="17"/>
      <c r="L128" s="16" t="s">
        <v>27</v>
      </c>
      <c r="M128" s="16" t="s">
        <v>22</v>
      </c>
      <c r="N128" s="39" t="s">
        <v>418</v>
      </c>
      <c r="O128" s="20"/>
      <c r="R128" s="19"/>
    </row>
    <row r="129" spans="1:18" s="12" customFormat="1">
      <c r="A129" s="15" t="s">
        <v>80</v>
      </c>
      <c r="B129" s="75" t="s">
        <v>700</v>
      </c>
      <c r="C129" s="44" t="s">
        <v>17</v>
      </c>
      <c r="D129" s="39"/>
      <c r="E129" s="39">
        <v>10</v>
      </c>
      <c r="F129" s="39"/>
      <c r="G129" s="39">
        <v>10</v>
      </c>
      <c r="H129" s="40">
        <f>SUM(Tabla1326[[#This Row],[PRIMER TRIMESTRE]:[CUARTO TRIMESTRE]])</f>
        <v>20</v>
      </c>
      <c r="I129" s="17">
        <v>4484</v>
      </c>
      <c r="J129" s="17">
        <f>+Tabla1326[[#This Row],[CANTIDAD TOTAL]]*Tabla1326[[#This Row],[PRECIO UNITARIO ESTIMADO]]</f>
        <v>89680</v>
      </c>
      <c r="K129" s="17"/>
      <c r="L129" s="16" t="s">
        <v>27</v>
      </c>
      <c r="M129" s="30" t="s">
        <v>22</v>
      </c>
      <c r="N129" s="39" t="s">
        <v>418</v>
      </c>
      <c r="O129" s="20"/>
      <c r="R129" s="19"/>
    </row>
    <row r="130" spans="1:18" s="12" customFormat="1">
      <c r="A130" s="15" t="s">
        <v>80</v>
      </c>
      <c r="B130" s="75" t="s">
        <v>701</v>
      </c>
      <c r="C130" s="44" t="s">
        <v>17</v>
      </c>
      <c r="D130" s="39"/>
      <c r="E130" s="39">
        <v>8</v>
      </c>
      <c r="F130" s="39"/>
      <c r="G130" s="39">
        <v>8</v>
      </c>
      <c r="H130" s="40">
        <f>SUM(Tabla1326[[#This Row],[PRIMER TRIMESTRE]:[CUARTO TRIMESTRE]])</f>
        <v>16</v>
      </c>
      <c r="I130" s="72">
        <f>+I129*1.25</f>
        <v>5605</v>
      </c>
      <c r="J130" s="17">
        <f>+H130*I130</f>
        <v>89680</v>
      </c>
      <c r="K130" s="17"/>
      <c r="L130" s="16" t="s">
        <v>27</v>
      </c>
      <c r="M130" s="16" t="s">
        <v>22</v>
      </c>
      <c r="N130" s="39" t="s">
        <v>418</v>
      </c>
      <c r="O130" s="18"/>
      <c r="R130" s="19"/>
    </row>
    <row r="131" spans="1:18" s="12" customFormat="1">
      <c r="A131" s="15" t="s">
        <v>80</v>
      </c>
      <c r="B131" s="75" t="s">
        <v>580</v>
      </c>
      <c r="C131" s="39" t="s">
        <v>17</v>
      </c>
      <c r="D131" s="39"/>
      <c r="E131" s="39">
        <v>200</v>
      </c>
      <c r="F131" s="39"/>
      <c r="G131" s="39">
        <v>200</v>
      </c>
      <c r="H131" s="40">
        <f>SUM(Tabla1326[[#This Row],[PRIMER TRIMESTRE]:[CUARTO TRIMESTRE]])</f>
        <v>400</v>
      </c>
      <c r="I131" s="17">
        <v>29</v>
      </c>
      <c r="J131" s="17">
        <f t="shared" ref="J131:J145" si="2">+H131*I131</f>
        <v>11600</v>
      </c>
      <c r="K131" s="17"/>
      <c r="L131" s="16" t="s">
        <v>27</v>
      </c>
      <c r="M131" s="16" t="s">
        <v>22</v>
      </c>
      <c r="N131" s="39" t="s">
        <v>418</v>
      </c>
      <c r="O131" s="20"/>
    </row>
    <row r="132" spans="1:18" s="12" customFormat="1">
      <c r="A132" s="15" t="s">
        <v>80</v>
      </c>
      <c r="B132" s="75" t="s">
        <v>579</v>
      </c>
      <c r="C132" s="39" t="s">
        <v>17</v>
      </c>
      <c r="D132" s="39"/>
      <c r="E132" s="39">
        <v>200</v>
      </c>
      <c r="F132" s="39"/>
      <c r="G132" s="39">
        <v>200</v>
      </c>
      <c r="H132" s="40">
        <f>SUM(Tabla1326[[#This Row],[PRIMER TRIMESTRE]:[CUARTO TRIMESTRE]])</f>
        <v>400</v>
      </c>
      <c r="I132" s="17">
        <v>31.16</v>
      </c>
      <c r="J132" s="17">
        <f t="shared" si="2"/>
        <v>12464</v>
      </c>
      <c r="K132" s="17"/>
      <c r="L132" s="16" t="s">
        <v>27</v>
      </c>
      <c r="M132" s="16" t="s">
        <v>22</v>
      </c>
      <c r="N132" s="39" t="s">
        <v>418</v>
      </c>
      <c r="O132" s="18"/>
    </row>
    <row r="133" spans="1:18" s="12" customFormat="1">
      <c r="A133" s="15" t="s">
        <v>80</v>
      </c>
      <c r="B133" s="75" t="s">
        <v>581</v>
      </c>
      <c r="C133" s="39" t="s">
        <v>17</v>
      </c>
      <c r="D133" s="39"/>
      <c r="E133" s="39">
        <v>50</v>
      </c>
      <c r="F133" s="39"/>
      <c r="G133" s="39">
        <v>50</v>
      </c>
      <c r="H133" s="40">
        <f>SUM(Tabla1326[[#This Row],[PRIMER TRIMESTRE]:[CUARTO TRIMESTRE]])</f>
        <v>100</v>
      </c>
      <c r="I133" s="17">
        <v>54.52</v>
      </c>
      <c r="J133" s="17">
        <f t="shared" si="2"/>
        <v>5452</v>
      </c>
      <c r="K133" s="17"/>
      <c r="L133" s="16" t="s">
        <v>27</v>
      </c>
      <c r="M133" s="16" t="s">
        <v>22</v>
      </c>
      <c r="N133" s="39" t="s">
        <v>418</v>
      </c>
      <c r="O133" s="20"/>
    </row>
    <row r="134" spans="1:18" s="12" customFormat="1">
      <c r="A134" s="15" t="s">
        <v>80</v>
      </c>
      <c r="B134" s="75" t="s">
        <v>582</v>
      </c>
      <c r="C134" s="39" t="s">
        <v>17</v>
      </c>
      <c r="D134" s="39"/>
      <c r="E134" s="39">
        <v>50</v>
      </c>
      <c r="F134" s="39"/>
      <c r="G134" s="39">
        <v>50</v>
      </c>
      <c r="H134" s="40">
        <f>SUM(Tabla1326[[#This Row],[PRIMER TRIMESTRE]:[CUARTO TRIMESTRE]])</f>
        <v>100</v>
      </c>
      <c r="I134" s="17">
        <v>55.84</v>
      </c>
      <c r="J134" s="17">
        <f t="shared" si="2"/>
        <v>5584</v>
      </c>
      <c r="K134" s="17"/>
      <c r="L134" s="16" t="s">
        <v>27</v>
      </c>
      <c r="M134" s="16" t="s">
        <v>22</v>
      </c>
      <c r="N134" s="39" t="s">
        <v>418</v>
      </c>
      <c r="O134" s="18"/>
    </row>
    <row r="135" spans="1:18" s="12" customFormat="1">
      <c r="A135" s="15" t="s">
        <v>80</v>
      </c>
      <c r="B135" s="75" t="s">
        <v>583</v>
      </c>
      <c r="C135" s="39" t="s">
        <v>17</v>
      </c>
      <c r="D135" s="39"/>
      <c r="E135" s="39">
        <v>90</v>
      </c>
      <c r="F135" s="39"/>
      <c r="G135" s="39">
        <v>90</v>
      </c>
      <c r="H135" s="40">
        <f>SUM(Tabla1326[[#This Row],[PRIMER TRIMESTRE]:[CUARTO TRIMESTRE]])</f>
        <v>180</v>
      </c>
      <c r="I135" s="17">
        <v>67.28</v>
      </c>
      <c r="J135" s="17">
        <f t="shared" si="2"/>
        <v>12110.4</v>
      </c>
      <c r="K135" s="17"/>
      <c r="L135" s="16" t="s">
        <v>27</v>
      </c>
      <c r="M135" s="16" t="s">
        <v>22</v>
      </c>
      <c r="N135" s="39" t="s">
        <v>418</v>
      </c>
      <c r="O135" s="20"/>
    </row>
    <row r="136" spans="1:18" s="12" customFormat="1">
      <c r="A136" s="15" t="s">
        <v>80</v>
      </c>
      <c r="B136" s="75" t="s">
        <v>584</v>
      </c>
      <c r="C136" s="39" t="s">
        <v>17</v>
      </c>
      <c r="D136" s="39"/>
      <c r="E136" s="39">
        <v>30</v>
      </c>
      <c r="F136" s="39"/>
      <c r="G136" s="39">
        <v>30</v>
      </c>
      <c r="H136" s="40">
        <f>SUM(Tabla1326[[#This Row],[PRIMER TRIMESTRE]:[CUARTO TRIMESTRE]])</f>
        <v>60</v>
      </c>
      <c r="I136" s="17">
        <v>68.28</v>
      </c>
      <c r="J136" s="17">
        <f t="shared" si="2"/>
        <v>4096.8</v>
      </c>
      <c r="K136" s="17"/>
      <c r="L136" s="16" t="s">
        <v>27</v>
      </c>
      <c r="M136" s="16" t="s">
        <v>22</v>
      </c>
      <c r="N136" s="39" t="s">
        <v>418</v>
      </c>
      <c r="O136" s="18"/>
    </row>
    <row r="137" spans="1:18" s="12" customFormat="1">
      <c r="A137" s="15" t="s">
        <v>80</v>
      </c>
      <c r="B137" s="75" t="s">
        <v>585</v>
      </c>
      <c r="C137" s="39" t="s">
        <v>17</v>
      </c>
      <c r="D137" s="39"/>
      <c r="E137" s="39">
        <v>20</v>
      </c>
      <c r="F137" s="39"/>
      <c r="G137" s="39">
        <v>20</v>
      </c>
      <c r="H137" s="40">
        <f>SUM(Tabla1326[[#This Row],[PRIMER TRIMESTRE]:[CUARTO TRIMESTRE]])</f>
        <v>40</v>
      </c>
      <c r="I137" s="17">
        <v>80</v>
      </c>
      <c r="J137" s="17">
        <f t="shared" si="2"/>
        <v>3200</v>
      </c>
      <c r="K137" s="17"/>
      <c r="L137" s="16" t="s">
        <v>27</v>
      </c>
      <c r="M137" s="16" t="s">
        <v>22</v>
      </c>
      <c r="N137" s="39" t="s">
        <v>418</v>
      </c>
      <c r="O137" s="20"/>
    </row>
    <row r="138" spans="1:18" s="12" customFormat="1">
      <c r="A138" s="15" t="s">
        <v>80</v>
      </c>
      <c r="B138" s="75" t="s">
        <v>586</v>
      </c>
      <c r="C138" s="39" t="s">
        <v>17</v>
      </c>
      <c r="D138" s="39"/>
      <c r="E138" s="39">
        <v>20</v>
      </c>
      <c r="F138" s="39"/>
      <c r="G138" s="39">
        <v>20</v>
      </c>
      <c r="H138" s="40">
        <f>SUM(Tabla1326[[#This Row],[PRIMER TRIMESTRE]:[CUARTO TRIMESTRE]])</f>
        <v>40</v>
      </c>
      <c r="I138" s="72">
        <v>85</v>
      </c>
      <c r="J138" s="17">
        <f t="shared" si="2"/>
        <v>3400</v>
      </c>
      <c r="K138" s="17"/>
      <c r="L138" s="16" t="s">
        <v>27</v>
      </c>
      <c r="M138" s="16" t="s">
        <v>22</v>
      </c>
      <c r="N138" s="39" t="s">
        <v>418</v>
      </c>
      <c r="O138" s="18"/>
    </row>
    <row r="139" spans="1:18" s="12" customFormat="1">
      <c r="A139" s="15" t="s">
        <v>80</v>
      </c>
      <c r="B139" s="75" t="s">
        <v>587</v>
      </c>
      <c r="C139" s="39" t="s">
        <v>17</v>
      </c>
      <c r="D139" s="39"/>
      <c r="E139" s="39">
        <v>10</v>
      </c>
      <c r="F139" s="39"/>
      <c r="G139" s="39">
        <v>10</v>
      </c>
      <c r="H139" s="40">
        <f>SUM(Tabla1326[[#This Row],[PRIMER TRIMESTRE]:[CUARTO TRIMESTRE]])</f>
        <v>20</v>
      </c>
      <c r="I139" s="72">
        <v>1044.3</v>
      </c>
      <c r="J139" s="17">
        <f t="shared" si="2"/>
        <v>20886</v>
      </c>
      <c r="K139" s="17"/>
      <c r="L139" s="16" t="s">
        <v>27</v>
      </c>
      <c r="M139" s="16" t="s">
        <v>22</v>
      </c>
      <c r="N139" s="39" t="s">
        <v>418</v>
      </c>
      <c r="O139" s="18"/>
    </row>
    <row r="140" spans="1:18" s="12" customFormat="1">
      <c r="A140" s="15" t="s">
        <v>80</v>
      </c>
      <c r="B140" s="75" t="s">
        <v>588</v>
      </c>
      <c r="C140" s="39" t="s">
        <v>17</v>
      </c>
      <c r="D140" s="39"/>
      <c r="E140" s="39">
        <v>20</v>
      </c>
      <c r="F140" s="39"/>
      <c r="G140" s="39">
        <v>20</v>
      </c>
      <c r="H140" s="40">
        <f>SUM(Tabla1326[[#This Row],[PRIMER TRIMESTRE]:[CUARTO TRIMESTRE]])</f>
        <v>40</v>
      </c>
      <c r="I140" s="17">
        <v>1000</v>
      </c>
      <c r="J140" s="17">
        <f t="shared" si="2"/>
        <v>40000</v>
      </c>
      <c r="K140" s="17"/>
      <c r="L140" s="16" t="s">
        <v>27</v>
      </c>
      <c r="M140" s="16" t="s">
        <v>22</v>
      </c>
      <c r="N140" s="39" t="s">
        <v>418</v>
      </c>
      <c r="O140" s="20"/>
    </row>
    <row r="141" spans="1:18" s="12" customFormat="1">
      <c r="A141" s="15" t="s">
        <v>80</v>
      </c>
      <c r="B141" s="75" t="s">
        <v>589</v>
      </c>
      <c r="C141" s="39" t="s">
        <v>17</v>
      </c>
      <c r="D141" s="39"/>
      <c r="E141" s="39">
        <v>20</v>
      </c>
      <c r="F141" s="39"/>
      <c r="G141" s="39">
        <v>20</v>
      </c>
      <c r="H141" s="40">
        <f>SUM(Tabla1326[[#This Row],[PRIMER TRIMESTRE]:[CUARTO TRIMESTRE]])</f>
        <v>40</v>
      </c>
      <c r="I141" s="72">
        <v>1144.5999999999999</v>
      </c>
      <c r="J141" s="17">
        <f t="shared" si="2"/>
        <v>45784</v>
      </c>
      <c r="K141" s="17"/>
      <c r="L141" s="16" t="s">
        <v>27</v>
      </c>
      <c r="M141" s="16" t="s">
        <v>22</v>
      </c>
      <c r="N141" s="39" t="s">
        <v>418</v>
      </c>
      <c r="O141" s="18"/>
    </row>
    <row r="142" spans="1:18" s="12" customFormat="1">
      <c r="A142" s="15" t="s">
        <v>80</v>
      </c>
      <c r="B142" s="75" t="s">
        <v>590</v>
      </c>
      <c r="C142" s="39" t="s">
        <v>17</v>
      </c>
      <c r="D142" s="39"/>
      <c r="E142" s="39">
        <v>10</v>
      </c>
      <c r="F142" s="39"/>
      <c r="G142" s="39">
        <v>10</v>
      </c>
      <c r="H142" s="40">
        <f>SUM(Tabla1326[[#This Row],[PRIMER TRIMESTRE]:[CUARTO TRIMESTRE]])</f>
        <v>20</v>
      </c>
      <c r="I142" s="72">
        <v>1534</v>
      </c>
      <c r="J142" s="17">
        <f t="shared" si="2"/>
        <v>30680</v>
      </c>
      <c r="K142" s="17"/>
      <c r="L142" s="16" t="s">
        <v>27</v>
      </c>
      <c r="M142" s="16" t="s">
        <v>22</v>
      </c>
      <c r="N142" s="39" t="s">
        <v>418</v>
      </c>
      <c r="O142" s="18"/>
    </row>
    <row r="143" spans="1:18" s="12" customFormat="1">
      <c r="A143" s="15" t="s">
        <v>80</v>
      </c>
      <c r="B143" s="75" t="s">
        <v>594</v>
      </c>
      <c r="C143" s="39" t="s">
        <v>17</v>
      </c>
      <c r="D143" s="39"/>
      <c r="E143" s="39">
        <f>500+750</f>
        <v>1250</v>
      </c>
      <c r="F143" s="39"/>
      <c r="G143" s="39">
        <f>500+750</f>
        <v>1250</v>
      </c>
      <c r="H143" s="40">
        <f>SUM(Tabla1326[[#This Row],[PRIMER TRIMESTRE]:[CUARTO TRIMESTRE]])</f>
        <v>2500</v>
      </c>
      <c r="I143" s="17">
        <v>6.37</v>
      </c>
      <c r="J143" s="17">
        <f t="shared" si="2"/>
        <v>15925</v>
      </c>
      <c r="K143" s="17"/>
      <c r="L143" s="16" t="s">
        <v>27</v>
      </c>
      <c r="M143" s="16" t="s">
        <v>22</v>
      </c>
      <c r="N143" s="39" t="s">
        <v>418</v>
      </c>
      <c r="O143" s="20"/>
    </row>
    <row r="144" spans="1:18" s="12" customFormat="1" ht="18.75" customHeight="1">
      <c r="A144" s="15" t="s">
        <v>80</v>
      </c>
      <c r="B144" s="75" t="s">
        <v>595</v>
      </c>
      <c r="C144" s="39" t="s">
        <v>17</v>
      </c>
      <c r="D144" s="39"/>
      <c r="E144" s="39">
        <f>300+1000</f>
        <v>1300</v>
      </c>
      <c r="F144" s="39"/>
      <c r="G144" s="39">
        <f>300+1000</f>
        <v>1300</v>
      </c>
      <c r="H144" s="40">
        <f>SUM(Tabla1326[[#This Row],[PRIMER TRIMESTRE]:[CUARTO TRIMESTRE]])</f>
        <v>2600</v>
      </c>
      <c r="I144" s="17">
        <v>11.82</v>
      </c>
      <c r="J144" s="17">
        <f t="shared" si="2"/>
        <v>30732</v>
      </c>
      <c r="K144" s="17"/>
      <c r="L144" s="16" t="s">
        <v>27</v>
      </c>
      <c r="M144" s="16" t="s">
        <v>22</v>
      </c>
      <c r="N144" s="39" t="s">
        <v>418</v>
      </c>
      <c r="O144" s="20"/>
    </row>
    <row r="145" spans="1:18" s="12" customFormat="1">
      <c r="A145" s="15" t="s">
        <v>80</v>
      </c>
      <c r="B145" s="75" t="s">
        <v>596</v>
      </c>
      <c r="C145" s="39" t="s">
        <v>17</v>
      </c>
      <c r="D145" s="39"/>
      <c r="E145" s="39">
        <v>50</v>
      </c>
      <c r="F145" s="39"/>
      <c r="G145" s="39">
        <v>50</v>
      </c>
      <c r="H145" s="40">
        <f>SUM(Tabla1326[[#This Row],[PRIMER TRIMESTRE]:[CUARTO TRIMESTRE]])</f>
        <v>100</v>
      </c>
      <c r="I145" s="17">
        <v>15.46</v>
      </c>
      <c r="J145" s="17">
        <f t="shared" si="2"/>
        <v>1546</v>
      </c>
      <c r="K145" s="17"/>
      <c r="L145" s="16" t="s">
        <v>27</v>
      </c>
      <c r="M145" s="16" t="s">
        <v>22</v>
      </c>
      <c r="N145" s="39" t="s">
        <v>418</v>
      </c>
      <c r="O145" s="20"/>
    </row>
    <row r="146" spans="1:18" s="12" customFormat="1">
      <c r="A146" s="15" t="s">
        <v>80</v>
      </c>
      <c r="B146" s="75" t="s">
        <v>592</v>
      </c>
      <c r="C146" s="39" t="s">
        <v>17</v>
      </c>
      <c r="D146" s="39"/>
      <c r="E146" s="39">
        <v>50</v>
      </c>
      <c r="F146" s="39"/>
      <c r="G146" s="39">
        <v>50</v>
      </c>
      <c r="H146" s="40">
        <f>SUM(Tabla1326[[#This Row],[PRIMER TRIMESTRE]:[CUARTO TRIMESTRE]])</f>
        <v>100</v>
      </c>
      <c r="I146" s="17">
        <v>103.84</v>
      </c>
      <c r="J146" s="17">
        <f>+Tabla1326[[#This Row],[CANTIDAD TOTAL]]*Tabla1326[[#This Row],[PRECIO UNITARIO ESTIMADO]]</f>
        <v>10384</v>
      </c>
      <c r="K146" s="17"/>
      <c r="L146" s="16" t="s">
        <v>27</v>
      </c>
      <c r="M146" s="30" t="s">
        <v>22</v>
      </c>
      <c r="N146" s="39" t="s">
        <v>418</v>
      </c>
      <c r="O146" s="20"/>
      <c r="R146" s="19"/>
    </row>
    <row r="147" spans="1:18" s="12" customFormat="1">
      <c r="A147" s="15" t="s">
        <v>80</v>
      </c>
      <c r="B147" s="75" t="s">
        <v>593</v>
      </c>
      <c r="C147" s="39" t="s">
        <v>17</v>
      </c>
      <c r="D147" s="39"/>
      <c r="E147" s="39">
        <v>50</v>
      </c>
      <c r="F147" s="39"/>
      <c r="G147" s="39">
        <v>50</v>
      </c>
      <c r="H147" s="40">
        <f>SUM(Tabla1326[[#This Row],[PRIMER TRIMESTRE]:[CUARTO TRIMESTRE]])</f>
        <v>100</v>
      </c>
      <c r="I147" s="17">
        <v>22.42</v>
      </c>
      <c r="J147" s="17">
        <f>+Tabla1326[[#This Row],[CANTIDAD TOTAL]]*Tabla1326[[#This Row],[PRECIO UNITARIO ESTIMADO]]</f>
        <v>2242</v>
      </c>
      <c r="K147" s="17"/>
      <c r="L147" s="16" t="s">
        <v>27</v>
      </c>
      <c r="M147" s="30" t="s">
        <v>22</v>
      </c>
      <c r="N147" s="39" t="s">
        <v>418</v>
      </c>
      <c r="O147" s="20"/>
      <c r="R147" s="19"/>
    </row>
    <row r="148" spans="1:18" s="12" customFormat="1">
      <c r="A148" s="15" t="s">
        <v>80</v>
      </c>
      <c r="B148" s="75" t="s">
        <v>591</v>
      </c>
      <c r="C148" s="39" t="s">
        <v>17</v>
      </c>
      <c r="D148" s="39"/>
      <c r="E148" s="39">
        <v>50</v>
      </c>
      <c r="F148" s="39"/>
      <c r="G148" s="39">
        <v>50</v>
      </c>
      <c r="H148" s="40">
        <f>SUM(Tabla1326[[#This Row],[PRIMER TRIMESTRE]:[CUARTO TRIMESTRE]])</f>
        <v>100</v>
      </c>
      <c r="I148" s="17">
        <v>489.7</v>
      </c>
      <c r="J148" s="17">
        <f>+Tabla1326[[#This Row],[CANTIDAD TOTAL]]*Tabla1326[[#This Row],[PRECIO UNITARIO ESTIMADO]]</f>
        <v>48970</v>
      </c>
      <c r="K148" s="17"/>
      <c r="L148" s="16" t="s">
        <v>27</v>
      </c>
      <c r="M148" s="30" t="s">
        <v>22</v>
      </c>
      <c r="N148" s="39" t="s">
        <v>418</v>
      </c>
      <c r="O148" s="20"/>
      <c r="R148" s="19"/>
    </row>
    <row r="149" spans="1:18" s="12" customFormat="1">
      <c r="A149" s="15" t="s">
        <v>80</v>
      </c>
      <c r="B149" s="75" t="s">
        <v>616</v>
      </c>
      <c r="C149" s="44" t="s">
        <v>17</v>
      </c>
      <c r="D149" s="39"/>
      <c r="E149" s="39">
        <v>20</v>
      </c>
      <c r="F149" s="39"/>
      <c r="G149" s="39">
        <v>20</v>
      </c>
      <c r="H149" s="40">
        <f>SUM(Tabla1326[[#This Row],[PRIMER TRIMESTRE]:[CUARTO TRIMESTRE]])</f>
        <v>40</v>
      </c>
      <c r="I149" s="17">
        <v>767</v>
      </c>
      <c r="J149" s="17">
        <f>+Tabla1326[[#This Row],[CANTIDAD TOTAL]]*Tabla1326[[#This Row],[PRECIO UNITARIO ESTIMADO]]</f>
        <v>30680</v>
      </c>
      <c r="K149" s="17"/>
      <c r="L149" s="16" t="s">
        <v>27</v>
      </c>
      <c r="M149" s="30" t="s">
        <v>22</v>
      </c>
      <c r="N149" s="39" t="s">
        <v>418</v>
      </c>
      <c r="O149" s="20"/>
      <c r="R149" s="19"/>
    </row>
    <row r="150" spans="1:18" s="12" customFormat="1">
      <c r="A150" s="15" t="s">
        <v>80</v>
      </c>
      <c r="B150" s="75" t="s">
        <v>617</v>
      </c>
      <c r="C150" s="44" t="s">
        <v>17</v>
      </c>
      <c r="D150" s="39"/>
      <c r="E150" s="39">
        <v>20</v>
      </c>
      <c r="F150" s="39"/>
      <c r="G150" s="39">
        <v>20</v>
      </c>
      <c r="H150" s="40">
        <f>SUM(Tabla1326[[#This Row],[PRIMER TRIMESTRE]:[CUARTO TRIMESTRE]])</f>
        <v>40</v>
      </c>
      <c r="I150" s="17">
        <v>1003</v>
      </c>
      <c r="J150" s="17">
        <f t="shared" ref="J150:J166" si="3">+H150*I150</f>
        <v>40120</v>
      </c>
      <c r="K150" s="17"/>
      <c r="L150" s="16" t="s">
        <v>27</v>
      </c>
      <c r="M150" s="16" t="s">
        <v>22</v>
      </c>
      <c r="N150" s="39" t="s">
        <v>418</v>
      </c>
      <c r="O150" s="18"/>
      <c r="R150" s="19"/>
    </row>
    <row r="151" spans="1:18" s="12" customFormat="1">
      <c r="A151" s="15" t="s">
        <v>80</v>
      </c>
      <c r="B151" s="75" t="s">
        <v>618</v>
      </c>
      <c r="C151" s="44" t="s">
        <v>17</v>
      </c>
      <c r="D151" s="39"/>
      <c r="E151" s="39">
        <v>20</v>
      </c>
      <c r="F151" s="39"/>
      <c r="G151" s="39">
        <v>20</v>
      </c>
      <c r="H151" s="40">
        <f>SUM(Tabla1326[[#This Row],[PRIMER TRIMESTRE]:[CUARTO TRIMESTRE]])</f>
        <v>40</v>
      </c>
      <c r="I151" s="17">
        <v>1357</v>
      </c>
      <c r="J151" s="17">
        <f t="shared" si="3"/>
        <v>54280</v>
      </c>
      <c r="K151" s="17"/>
      <c r="L151" s="16" t="s">
        <v>27</v>
      </c>
      <c r="M151" s="16" t="s">
        <v>22</v>
      </c>
      <c r="N151" s="39" t="s">
        <v>418</v>
      </c>
      <c r="O151" s="18"/>
      <c r="R151" s="19"/>
    </row>
    <row r="152" spans="1:18" s="12" customFormat="1">
      <c r="A152" s="15" t="s">
        <v>80</v>
      </c>
      <c r="B152" s="75" t="s">
        <v>619</v>
      </c>
      <c r="C152" s="44" t="s">
        <v>17</v>
      </c>
      <c r="D152" s="39"/>
      <c r="E152" s="39">
        <v>20</v>
      </c>
      <c r="F152" s="39"/>
      <c r="G152" s="39">
        <v>20</v>
      </c>
      <c r="H152" s="40">
        <f>SUM(Tabla1326[[#This Row],[PRIMER TRIMESTRE]:[CUARTO TRIMESTRE]])</f>
        <v>40</v>
      </c>
      <c r="I152" s="17">
        <v>2950</v>
      </c>
      <c r="J152" s="17">
        <f t="shared" si="3"/>
        <v>118000</v>
      </c>
      <c r="K152" s="17"/>
      <c r="L152" s="16" t="s">
        <v>27</v>
      </c>
      <c r="M152" s="16" t="s">
        <v>22</v>
      </c>
      <c r="N152" s="39" t="s">
        <v>418</v>
      </c>
      <c r="O152" s="18"/>
      <c r="R152" s="19"/>
    </row>
    <row r="153" spans="1:18" s="12" customFormat="1">
      <c r="A153" s="15" t="s">
        <v>80</v>
      </c>
      <c r="B153" s="75" t="s">
        <v>620</v>
      </c>
      <c r="C153" s="44" t="s">
        <v>17</v>
      </c>
      <c r="D153" s="39"/>
      <c r="E153" s="39">
        <v>20</v>
      </c>
      <c r="F153" s="39"/>
      <c r="G153" s="39">
        <v>20</v>
      </c>
      <c r="H153" s="40">
        <f>SUM(Tabla1326[[#This Row],[PRIMER TRIMESTRE]:[CUARTO TRIMESTRE]])</f>
        <v>40</v>
      </c>
      <c r="I153" s="17">
        <v>4484</v>
      </c>
      <c r="J153" s="17">
        <f t="shared" si="3"/>
        <v>179360</v>
      </c>
      <c r="K153" s="17"/>
      <c r="L153" s="16" t="s">
        <v>27</v>
      </c>
      <c r="M153" s="16" t="s">
        <v>22</v>
      </c>
      <c r="N153" s="39" t="s">
        <v>418</v>
      </c>
      <c r="O153" s="18"/>
      <c r="R153" s="19"/>
    </row>
    <row r="154" spans="1:18" s="12" customFormat="1">
      <c r="A154" s="15" t="s">
        <v>80</v>
      </c>
      <c r="B154" s="75" t="s">
        <v>621</v>
      </c>
      <c r="C154" s="44" t="s">
        <v>17</v>
      </c>
      <c r="D154" s="39"/>
      <c r="E154" s="39">
        <v>5</v>
      </c>
      <c r="F154" s="39"/>
      <c r="G154" s="39">
        <v>5</v>
      </c>
      <c r="H154" s="40">
        <f>SUM(Tabla1326[[#This Row],[PRIMER TRIMESTRE]:[CUARTO TRIMESTRE]])</f>
        <v>10</v>
      </c>
      <c r="I154" s="17">
        <v>6372</v>
      </c>
      <c r="J154" s="17">
        <f t="shared" si="3"/>
        <v>63720</v>
      </c>
      <c r="K154" s="17"/>
      <c r="L154" s="16" t="s">
        <v>27</v>
      </c>
      <c r="M154" s="16" t="s">
        <v>22</v>
      </c>
      <c r="N154" s="39" t="s">
        <v>418</v>
      </c>
      <c r="O154" s="18"/>
      <c r="R154" s="19"/>
    </row>
    <row r="155" spans="1:18" s="12" customFormat="1">
      <c r="A155" s="15" t="s">
        <v>80</v>
      </c>
      <c r="B155" s="75" t="s">
        <v>622</v>
      </c>
      <c r="C155" s="44" t="s">
        <v>17</v>
      </c>
      <c r="D155" s="39"/>
      <c r="E155" s="39">
        <v>20</v>
      </c>
      <c r="F155" s="39"/>
      <c r="G155" s="39">
        <v>20</v>
      </c>
      <c r="H155" s="40">
        <f>SUM(Tabla1326[[#This Row],[PRIMER TRIMESTRE]:[CUARTO TRIMESTRE]])</f>
        <v>40</v>
      </c>
      <c r="I155" s="17">
        <v>11092</v>
      </c>
      <c r="J155" s="17">
        <f t="shared" si="3"/>
        <v>443680</v>
      </c>
      <c r="K155" s="17"/>
      <c r="L155" s="16" t="s">
        <v>27</v>
      </c>
      <c r="M155" s="16" t="s">
        <v>22</v>
      </c>
      <c r="N155" s="39" t="s">
        <v>418</v>
      </c>
      <c r="O155" s="18"/>
      <c r="R155" s="19"/>
    </row>
    <row r="156" spans="1:18" s="12" customFormat="1">
      <c r="A156" s="15" t="s">
        <v>80</v>
      </c>
      <c r="B156" s="75" t="s">
        <v>623</v>
      </c>
      <c r="C156" s="44" t="s">
        <v>17</v>
      </c>
      <c r="D156" s="39"/>
      <c r="E156" s="39">
        <v>20</v>
      </c>
      <c r="F156" s="39"/>
      <c r="G156" s="39">
        <v>20</v>
      </c>
      <c r="H156" s="40">
        <f>SUM(Tabla1326[[#This Row],[PRIMER TRIMESTRE]:[CUARTO TRIMESTRE]])</f>
        <v>40</v>
      </c>
      <c r="I156" s="17">
        <v>13924</v>
      </c>
      <c r="J156" s="17">
        <f t="shared" si="3"/>
        <v>556960</v>
      </c>
      <c r="K156" s="17"/>
      <c r="L156" s="16" t="s">
        <v>27</v>
      </c>
      <c r="M156" s="16" t="s">
        <v>22</v>
      </c>
      <c r="N156" s="39" t="s">
        <v>418</v>
      </c>
      <c r="O156" s="18"/>
      <c r="R156" s="19"/>
    </row>
    <row r="157" spans="1:18" s="12" customFormat="1">
      <c r="A157" s="15" t="s">
        <v>80</v>
      </c>
      <c r="B157" s="75" t="s">
        <v>624</v>
      </c>
      <c r="C157" s="44" t="s">
        <v>17</v>
      </c>
      <c r="D157" s="39"/>
      <c r="E157" s="39">
        <v>5</v>
      </c>
      <c r="F157" s="39"/>
      <c r="G157" s="39">
        <v>5</v>
      </c>
      <c r="H157" s="40">
        <f>SUM(Tabla1326[[#This Row],[PRIMER TRIMESTRE]:[CUARTO TRIMESTRE]])</f>
        <v>10</v>
      </c>
      <c r="I157" s="17">
        <v>20886</v>
      </c>
      <c r="J157" s="17">
        <f t="shared" si="3"/>
        <v>208860</v>
      </c>
      <c r="K157" s="17"/>
      <c r="L157" s="16" t="s">
        <v>27</v>
      </c>
      <c r="M157" s="16" t="s">
        <v>22</v>
      </c>
      <c r="N157" s="39" t="s">
        <v>418</v>
      </c>
      <c r="O157" s="18"/>
      <c r="R157" s="19"/>
    </row>
    <row r="158" spans="1:18" s="12" customFormat="1">
      <c r="A158" s="15" t="s">
        <v>80</v>
      </c>
      <c r="B158" s="75" t="s">
        <v>625</v>
      </c>
      <c r="C158" s="44" t="s">
        <v>17</v>
      </c>
      <c r="D158" s="39"/>
      <c r="E158" s="39">
        <v>20</v>
      </c>
      <c r="F158" s="39"/>
      <c r="G158" s="39">
        <v>20</v>
      </c>
      <c r="H158" s="40">
        <f>SUM(Tabla1326[[#This Row],[PRIMER TRIMESTRE]:[CUARTO TRIMESTRE]])</f>
        <v>40</v>
      </c>
      <c r="I158" s="17">
        <v>1121</v>
      </c>
      <c r="J158" s="17">
        <f t="shared" si="3"/>
        <v>44840</v>
      </c>
      <c r="K158" s="17"/>
      <c r="L158" s="16" t="s">
        <v>27</v>
      </c>
      <c r="M158" s="16" t="s">
        <v>22</v>
      </c>
      <c r="N158" s="39" t="s">
        <v>418</v>
      </c>
      <c r="O158" s="18"/>
      <c r="R158" s="19"/>
    </row>
    <row r="159" spans="1:18" s="12" customFormat="1">
      <c r="A159" s="15" t="s">
        <v>80</v>
      </c>
      <c r="B159" s="75" t="s">
        <v>626</v>
      </c>
      <c r="C159" s="44" t="s">
        <v>17</v>
      </c>
      <c r="D159" s="39"/>
      <c r="E159" s="39">
        <v>20</v>
      </c>
      <c r="F159" s="39"/>
      <c r="G159" s="39">
        <v>20</v>
      </c>
      <c r="H159" s="40">
        <f>SUM(Tabla1326[[#This Row],[PRIMER TRIMESTRE]:[CUARTO TRIMESTRE]])</f>
        <v>40</v>
      </c>
      <c r="I159" s="17">
        <v>1239</v>
      </c>
      <c r="J159" s="17">
        <f t="shared" si="3"/>
        <v>49560</v>
      </c>
      <c r="K159" s="17"/>
      <c r="L159" s="16" t="s">
        <v>27</v>
      </c>
      <c r="M159" s="16" t="s">
        <v>22</v>
      </c>
      <c r="N159" s="39" t="s">
        <v>418</v>
      </c>
      <c r="O159" s="18"/>
      <c r="R159" s="19"/>
    </row>
    <row r="160" spans="1:18" s="12" customFormat="1">
      <c r="A160" s="15" t="s">
        <v>80</v>
      </c>
      <c r="B160" s="75" t="s">
        <v>627</v>
      </c>
      <c r="C160" s="44" t="s">
        <v>17</v>
      </c>
      <c r="D160" s="39"/>
      <c r="E160" s="39">
        <v>20</v>
      </c>
      <c r="F160" s="39"/>
      <c r="G160" s="39">
        <v>20</v>
      </c>
      <c r="H160" s="40">
        <f>SUM(Tabla1326[[#This Row],[PRIMER TRIMESTRE]:[CUARTO TRIMESTRE]])</f>
        <v>40</v>
      </c>
      <c r="I160" s="17">
        <v>1593</v>
      </c>
      <c r="J160" s="17">
        <f t="shared" si="3"/>
        <v>63720</v>
      </c>
      <c r="K160" s="17"/>
      <c r="L160" s="16" t="s">
        <v>27</v>
      </c>
      <c r="M160" s="16" t="s">
        <v>22</v>
      </c>
      <c r="N160" s="39" t="s">
        <v>418</v>
      </c>
      <c r="O160" s="18"/>
      <c r="R160" s="19"/>
    </row>
    <row r="161" spans="1:18" s="12" customFormat="1">
      <c r="A161" s="15" t="s">
        <v>80</v>
      </c>
      <c r="B161" s="75" t="s">
        <v>628</v>
      </c>
      <c r="C161" s="44" t="s">
        <v>17</v>
      </c>
      <c r="D161" s="39"/>
      <c r="E161" s="39">
        <v>15</v>
      </c>
      <c r="F161" s="39"/>
      <c r="G161" s="39">
        <v>15</v>
      </c>
      <c r="H161" s="40">
        <f>SUM(Tabla1326[[#This Row],[PRIMER TRIMESTRE]:[CUARTO TRIMESTRE]])</f>
        <v>30</v>
      </c>
      <c r="I161" s="17">
        <v>3717</v>
      </c>
      <c r="J161" s="17">
        <f t="shared" si="3"/>
        <v>111510</v>
      </c>
      <c r="K161" s="17"/>
      <c r="L161" s="16" t="s">
        <v>27</v>
      </c>
      <c r="M161" s="16" t="s">
        <v>22</v>
      </c>
      <c r="N161" s="39" t="s">
        <v>418</v>
      </c>
      <c r="O161" s="18"/>
      <c r="R161" s="19"/>
    </row>
    <row r="162" spans="1:18" s="12" customFormat="1">
      <c r="A162" s="15" t="s">
        <v>80</v>
      </c>
      <c r="B162" s="75" t="s">
        <v>629</v>
      </c>
      <c r="C162" s="44" t="s">
        <v>17</v>
      </c>
      <c r="D162" s="39"/>
      <c r="E162" s="39">
        <v>10</v>
      </c>
      <c r="F162" s="39"/>
      <c r="G162" s="39">
        <v>10</v>
      </c>
      <c r="H162" s="40">
        <f>SUM(Tabla1326[[#This Row],[PRIMER TRIMESTRE]:[CUARTO TRIMESTRE]])</f>
        <v>20</v>
      </c>
      <c r="I162" s="17">
        <v>5133</v>
      </c>
      <c r="J162" s="17">
        <f t="shared" si="3"/>
        <v>102660</v>
      </c>
      <c r="K162" s="17"/>
      <c r="L162" s="16" t="s">
        <v>27</v>
      </c>
      <c r="M162" s="16" t="s">
        <v>22</v>
      </c>
      <c r="N162" s="39" t="s">
        <v>418</v>
      </c>
      <c r="O162" s="18"/>
      <c r="R162" s="19"/>
    </row>
    <row r="163" spans="1:18" s="12" customFormat="1">
      <c r="A163" s="15" t="s">
        <v>80</v>
      </c>
      <c r="B163" s="75" t="s">
        <v>630</v>
      </c>
      <c r="C163" s="44" t="s">
        <v>17</v>
      </c>
      <c r="D163" s="39"/>
      <c r="E163" s="39">
        <v>5</v>
      </c>
      <c r="F163" s="39"/>
      <c r="G163" s="39">
        <v>5</v>
      </c>
      <c r="H163" s="40">
        <f>SUM(Tabla1326[[#This Row],[PRIMER TRIMESTRE]:[CUARTO TRIMESTRE]])</f>
        <v>10</v>
      </c>
      <c r="I163" s="17">
        <v>7127</v>
      </c>
      <c r="J163" s="17">
        <f t="shared" si="3"/>
        <v>71270</v>
      </c>
      <c r="K163" s="17"/>
      <c r="L163" s="16" t="s">
        <v>27</v>
      </c>
      <c r="M163" s="16" t="s">
        <v>22</v>
      </c>
      <c r="N163" s="39" t="s">
        <v>418</v>
      </c>
      <c r="O163" s="18"/>
      <c r="R163" s="19"/>
    </row>
    <row r="164" spans="1:18" s="12" customFormat="1">
      <c r="A164" s="15" t="s">
        <v>80</v>
      </c>
      <c r="B164" s="75" t="s">
        <v>631</v>
      </c>
      <c r="C164" s="44" t="s">
        <v>17</v>
      </c>
      <c r="D164" s="39"/>
      <c r="E164" s="39">
        <v>18</v>
      </c>
      <c r="F164" s="39"/>
      <c r="G164" s="39">
        <v>18</v>
      </c>
      <c r="H164" s="40">
        <f>SUM(Tabla1326[[#This Row],[PRIMER TRIMESTRE]:[CUARTO TRIMESTRE]])</f>
        <v>36</v>
      </c>
      <c r="I164" s="17">
        <v>12580</v>
      </c>
      <c r="J164" s="17">
        <f t="shared" si="3"/>
        <v>452880</v>
      </c>
      <c r="K164" s="17"/>
      <c r="L164" s="16" t="s">
        <v>27</v>
      </c>
      <c r="M164" s="16" t="s">
        <v>22</v>
      </c>
      <c r="N164" s="39" t="s">
        <v>418</v>
      </c>
      <c r="O164" s="18"/>
      <c r="R164" s="19"/>
    </row>
    <row r="165" spans="1:18" s="12" customFormat="1">
      <c r="A165" s="15" t="s">
        <v>80</v>
      </c>
      <c r="B165" s="75" t="s">
        <v>632</v>
      </c>
      <c r="C165" s="44" t="s">
        <v>17</v>
      </c>
      <c r="D165" s="39"/>
      <c r="E165" s="39">
        <v>20</v>
      </c>
      <c r="F165" s="39"/>
      <c r="G165" s="39">
        <v>20</v>
      </c>
      <c r="H165" s="40">
        <f>SUM(Tabla1326[[#This Row],[PRIMER TRIMESTRE]:[CUARTO TRIMESTRE]])</f>
        <v>40</v>
      </c>
      <c r="I165" s="17">
        <v>15045</v>
      </c>
      <c r="J165" s="17">
        <f t="shared" si="3"/>
        <v>601800</v>
      </c>
      <c r="K165" s="17"/>
      <c r="L165" s="16" t="s">
        <v>27</v>
      </c>
      <c r="M165" s="16" t="s">
        <v>22</v>
      </c>
      <c r="N165" s="39" t="s">
        <v>418</v>
      </c>
      <c r="O165" s="18"/>
      <c r="R165" s="19"/>
    </row>
    <row r="166" spans="1:18" s="12" customFormat="1">
      <c r="A166" s="15" t="s">
        <v>80</v>
      </c>
      <c r="B166" s="75" t="s">
        <v>633</v>
      </c>
      <c r="C166" s="44" t="s">
        <v>17</v>
      </c>
      <c r="D166" s="39"/>
      <c r="E166" s="39">
        <v>5</v>
      </c>
      <c r="F166" s="39"/>
      <c r="G166" s="39">
        <v>5</v>
      </c>
      <c r="H166" s="40">
        <f>SUM(Tabla1326[[#This Row],[PRIMER TRIMESTRE]:[CUARTO TRIMESTRE]])</f>
        <v>10</v>
      </c>
      <c r="I166" s="17">
        <v>22396.400000000001</v>
      </c>
      <c r="J166" s="17">
        <f t="shared" si="3"/>
        <v>223964</v>
      </c>
      <c r="K166" s="17"/>
      <c r="L166" s="16" t="s">
        <v>27</v>
      </c>
      <c r="M166" s="16" t="s">
        <v>22</v>
      </c>
      <c r="N166" s="39" t="s">
        <v>418</v>
      </c>
      <c r="O166" s="18"/>
      <c r="R166" s="19"/>
    </row>
    <row r="167" spans="1:18" s="12" customFormat="1">
      <c r="A167" s="15" t="s">
        <v>80</v>
      </c>
      <c r="B167" s="75" t="s">
        <v>127</v>
      </c>
      <c r="C167" s="39" t="s">
        <v>17</v>
      </c>
      <c r="D167" s="39"/>
      <c r="E167" s="39">
        <v>8</v>
      </c>
      <c r="F167" s="39"/>
      <c r="G167" s="39">
        <v>8</v>
      </c>
      <c r="H167" s="40">
        <f>SUM(Tabla1326[[#This Row],[PRIMER TRIMESTRE]:[CUARTO TRIMESTRE]])</f>
        <v>16</v>
      </c>
      <c r="I167" s="17">
        <v>3213.2</v>
      </c>
      <c r="J167" s="17">
        <f>+Tabla1326[[#This Row],[CANTIDAD TOTAL]]*Tabla1326[[#This Row],[PRECIO UNITARIO ESTIMADO]]</f>
        <v>51411.199999999997</v>
      </c>
      <c r="K167" s="17"/>
      <c r="L167" s="16" t="s">
        <v>27</v>
      </c>
      <c r="M167" s="16" t="s">
        <v>22</v>
      </c>
      <c r="N167" s="39" t="s">
        <v>418</v>
      </c>
      <c r="O167" s="20"/>
      <c r="R167" s="19" t="s">
        <v>128</v>
      </c>
    </row>
    <row r="168" spans="1:18" s="12" customFormat="1">
      <c r="A168" s="15" t="s">
        <v>80</v>
      </c>
      <c r="B168" s="75" t="s">
        <v>129</v>
      </c>
      <c r="C168" s="39" t="s">
        <v>17</v>
      </c>
      <c r="D168" s="39"/>
      <c r="E168" s="39">
        <f>1400+750</f>
        <v>2150</v>
      </c>
      <c r="F168" s="39"/>
      <c r="G168" s="39">
        <f>1400+750</f>
        <v>2150</v>
      </c>
      <c r="H168" s="40">
        <f>SUM(Tabla1326[[#This Row],[PRIMER TRIMESTRE]:[CUARTO TRIMESTRE]])</f>
        <v>4300</v>
      </c>
      <c r="I168" s="17">
        <v>3.52</v>
      </c>
      <c r="J168" s="17">
        <f>+Tabla1326[[#This Row],[CANTIDAD TOTAL]]*Tabla1326[[#This Row],[PRECIO UNITARIO ESTIMADO]]</f>
        <v>15136</v>
      </c>
      <c r="K168" s="17"/>
      <c r="L168" s="16" t="s">
        <v>27</v>
      </c>
      <c r="M168" s="16" t="s">
        <v>22</v>
      </c>
      <c r="N168" s="39" t="s">
        <v>418</v>
      </c>
      <c r="O168" s="20"/>
      <c r="R168" s="19" t="s">
        <v>130</v>
      </c>
    </row>
    <row r="169" spans="1:18" s="12" customFormat="1">
      <c r="A169" s="15" t="s">
        <v>80</v>
      </c>
      <c r="B169" s="75" t="s">
        <v>131</v>
      </c>
      <c r="C169" s="39" t="s">
        <v>17</v>
      </c>
      <c r="D169" s="39"/>
      <c r="E169" s="39">
        <f>1000+500</f>
        <v>1500</v>
      </c>
      <c r="F169" s="39"/>
      <c r="G169" s="39">
        <f>1000+500</f>
        <v>1500</v>
      </c>
      <c r="H169" s="40">
        <f>SUM(Tabla1326[[#This Row],[PRIMER TRIMESTRE]:[CUARTO TRIMESTRE]])</f>
        <v>3000</v>
      </c>
      <c r="I169" s="17">
        <v>0.86</v>
      </c>
      <c r="J169" s="17">
        <f>+Tabla1326[[#This Row],[CANTIDAD TOTAL]]*Tabla1326[[#This Row],[PRECIO UNITARIO ESTIMADO]]</f>
        <v>2580</v>
      </c>
      <c r="K169" s="17"/>
      <c r="L169" s="16" t="s">
        <v>27</v>
      </c>
      <c r="M169" s="16" t="s">
        <v>22</v>
      </c>
      <c r="N169" s="39" t="s">
        <v>418</v>
      </c>
      <c r="O169" s="20"/>
      <c r="R169" s="19" t="s">
        <v>132</v>
      </c>
    </row>
    <row r="170" spans="1:18" s="12" customFormat="1">
      <c r="A170" s="15" t="s">
        <v>80</v>
      </c>
      <c r="B170" s="75" t="s">
        <v>473</v>
      </c>
      <c r="C170" s="39" t="s">
        <v>17</v>
      </c>
      <c r="D170" s="39"/>
      <c r="E170" s="39">
        <v>600</v>
      </c>
      <c r="F170" s="39"/>
      <c r="G170" s="39">
        <v>600</v>
      </c>
      <c r="H170" s="40">
        <f>SUM(Tabla1326[[#This Row],[PRIMER TRIMESTRE]:[CUARTO TRIMESTRE]])</f>
        <v>1200</v>
      </c>
      <c r="I170" s="17">
        <v>15.46</v>
      </c>
      <c r="J170" s="17">
        <f>+H170*I170</f>
        <v>18552</v>
      </c>
      <c r="K170" s="17"/>
      <c r="L170" s="16" t="s">
        <v>27</v>
      </c>
      <c r="M170" s="16" t="s">
        <v>22</v>
      </c>
      <c r="N170" s="39" t="s">
        <v>418</v>
      </c>
      <c r="O170" s="18"/>
      <c r="R170" s="19"/>
    </row>
    <row r="171" spans="1:18" s="12" customFormat="1">
      <c r="A171" s="15" t="s">
        <v>80</v>
      </c>
      <c r="B171" s="75" t="s">
        <v>661</v>
      </c>
      <c r="C171" s="39" t="s">
        <v>17</v>
      </c>
      <c r="D171" s="39"/>
      <c r="E171" s="39">
        <v>100</v>
      </c>
      <c r="F171" s="39"/>
      <c r="G171" s="39">
        <v>100</v>
      </c>
      <c r="H171" s="40">
        <f>SUM(Tabla1326[[#This Row],[PRIMER TRIMESTRE]:[CUARTO TRIMESTRE]])</f>
        <v>200</v>
      </c>
      <c r="I171" s="72">
        <v>15.46</v>
      </c>
      <c r="J171" s="17">
        <f>+H171*I171</f>
        <v>3092</v>
      </c>
      <c r="K171" s="17"/>
      <c r="L171" s="16" t="s">
        <v>27</v>
      </c>
      <c r="M171" s="16" t="s">
        <v>22</v>
      </c>
      <c r="N171" s="39" t="s">
        <v>418</v>
      </c>
      <c r="O171" s="18"/>
      <c r="R171" s="19"/>
    </row>
    <row r="172" spans="1:18" s="12" customFormat="1">
      <c r="A172" s="15" t="s">
        <v>80</v>
      </c>
      <c r="B172" s="75" t="s">
        <v>133</v>
      </c>
      <c r="C172" s="39" t="s">
        <v>17</v>
      </c>
      <c r="D172" s="39"/>
      <c r="E172" s="39">
        <v>1000</v>
      </c>
      <c r="F172" s="39"/>
      <c r="G172" s="39">
        <v>1000</v>
      </c>
      <c r="H172" s="40">
        <f>SUM(Tabla1326[[#This Row],[PRIMER TRIMESTRE]:[CUARTO TRIMESTRE]])</f>
        <v>2000</v>
      </c>
      <c r="I172" s="17">
        <v>40.17</v>
      </c>
      <c r="J172" s="17">
        <f>+Tabla1326[[#This Row],[CANTIDAD TOTAL]]*Tabla1326[[#This Row],[PRECIO UNITARIO ESTIMADO]]</f>
        <v>80340</v>
      </c>
      <c r="K172" s="17"/>
      <c r="L172" s="16" t="s">
        <v>27</v>
      </c>
      <c r="M172" s="16" t="s">
        <v>22</v>
      </c>
      <c r="N172" s="39" t="s">
        <v>418</v>
      </c>
      <c r="O172" s="20"/>
      <c r="R172" s="19" t="s">
        <v>134</v>
      </c>
    </row>
    <row r="173" spans="1:18" s="12" customFormat="1">
      <c r="A173" s="15" t="s">
        <v>80</v>
      </c>
      <c r="B173" s="75" t="s">
        <v>135</v>
      </c>
      <c r="C173" s="39" t="s">
        <v>17</v>
      </c>
      <c r="D173" s="39"/>
      <c r="E173" s="39">
        <v>1000</v>
      </c>
      <c r="F173" s="39"/>
      <c r="G173" s="39">
        <v>1000</v>
      </c>
      <c r="H173" s="40">
        <f>SUM(Tabla1326[[#This Row],[PRIMER TRIMESTRE]:[CUARTO TRIMESTRE]])</f>
        <v>2000</v>
      </c>
      <c r="I173" s="17">
        <v>116.85</v>
      </c>
      <c r="J173" s="17">
        <f>+Tabla1326[[#This Row],[CANTIDAD TOTAL]]*Tabla1326[[#This Row],[PRECIO UNITARIO ESTIMADO]]</f>
        <v>233700</v>
      </c>
      <c r="K173" s="17"/>
      <c r="L173" s="16" t="s">
        <v>27</v>
      </c>
      <c r="M173" s="16" t="s">
        <v>22</v>
      </c>
      <c r="N173" s="39" t="s">
        <v>418</v>
      </c>
      <c r="O173" s="20"/>
      <c r="R173" s="19" t="s">
        <v>136</v>
      </c>
    </row>
    <row r="174" spans="1:18" s="12" customFormat="1">
      <c r="A174" s="15" t="s">
        <v>80</v>
      </c>
      <c r="B174" s="75" t="s">
        <v>597</v>
      </c>
      <c r="C174" s="39" t="s">
        <v>17</v>
      </c>
      <c r="D174" s="39"/>
      <c r="E174" s="39">
        <v>1000</v>
      </c>
      <c r="F174" s="39"/>
      <c r="G174" s="39">
        <v>1000</v>
      </c>
      <c r="H174" s="40">
        <f>SUM(Tabla1326[[#This Row],[PRIMER TRIMESTRE]:[CUARTO TRIMESTRE]])</f>
        <v>2000</v>
      </c>
      <c r="I174" s="72">
        <v>107.31</v>
      </c>
      <c r="J174" s="17">
        <f>+H174*I174</f>
        <v>214620</v>
      </c>
      <c r="K174" s="17"/>
      <c r="L174" s="16" t="s">
        <v>27</v>
      </c>
      <c r="M174" s="16" t="s">
        <v>22</v>
      </c>
      <c r="N174" s="39" t="s">
        <v>418</v>
      </c>
      <c r="O174" s="18"/>
      <c r="R174" s="19"/>
    </row>
    <row r="175" spans="1:18" s="12" customFormat="1">
      <c r="A175" s="15" t="s">
        <v>80</v>
      </c>
      <c r="B175" s="75" t="s">
        <v>137</v>
      </c>
      <c r="C175" s="39" t="s">
        <v>17</v>
      </c>
      <c r="D175" s="39"/>
      <c r="E175" s="39">
        <v>80</v>
      </c>
      <c r="F175" s="39"/>
      <c r="G175" s="39">
        <v>80</v>
      </c>
      <c r="H175" s="40">
        <f>SUM(Tabla1326[[#This Row],[PRIMER TRIMESTRE]:[CUARTO TRIMESTRE]])</f>
        <v>160</v>
      </c>
      <c r="I175" s="17">
        <v>220.12</v>
      </c>
      <c r="J175" s="17">
        <f>+Tabla1326[[#This Row],[CANTIDAD TOTAL]]*Tabla1326[[#This Row],[PRECIO UNITARIO ESTIMADO]]</f>
        <v>35219.199999999997</v>
      </c>
      <c r="K175" s="17"/>
      <c r="L175" s="16" t="s">
        <v>27</v>
      </c>
      <c r="M175" s="16" t="s">
        <v>22</v>
      </c>
      <c r="N175" s="39" t="s">
        <v>418</v>
      </c>
      <c r="O175" s="20"/>
      <c r="R175" s="19" t="s">
        <v>138</v>
      </c>
    </row>
    <row r="176" spans="1:18" s="12" customFormat="1">
      <c r="A176" s="15" t="s">
        <v>80</v>
      </c>
      <c r="B176" s="75" t="s">
        <v>139</v>
      </c>
      <c r="C176" s="39" t="s">
        <v>17</v>
      </c>
      <c r="D176" s="39"/>
      <c r="E176" s="39">
        <v>75</v>
      </c>
      <c r="F176" s="39"/>
      <c r="G176" s="39">
        <v>60</v>
      </c>
      <c r="H176" s="40">
        <f>SUM(Tabla1326[[#This Row],[PRIMER TRIMESTRE]:[CUARTO TRIMESTRE]])</f>
        <v>135</v>
      </c>
      <c r="I176" s="17">
        <v>180</v>
      </c>
      <c r="J176" s="17">
        <f>+Tabla1326[[#This Row],[CANTIDAD TOTAL]]*Tabla1326[[#This Row],[PRECIO UNITARIO ESTIMADO]]</f>
        <v>24300</v>
      </c>
      <c r="K176" s="17"/>
      <c r="L176" s="16" t="s">
        <v>27</v>
      </c>
      <c r="M176" s="16" t="s">
        <v>22</v>
      </c>
      <c r="N176" s="39" t="s">
        <v>418</v>
      </c>
      <c r="O176" s="20"/>
      <c r="R176" s="19" t="s">
        <v>140</v>
      </c>
    </row>
    <row r="177" spans="1:18" s="12" customFormat="1" ht="36.75" customHeight="1">
      <c r="A177" s="15" t="s">
        <v>80</v>
      </c>
      <c r="B177" s="75" t="s">
        <v>571</v>
      </c>
      <c r="C177" s="39" t="s">
        <v>17</v>
      </c>
      <c r="D177" s="39"/>
      <c r="E177" s="39"/>
      <c r="F177" s="39"/>
      <c r="G177" s="39">
        <v>5</v>
      </c>
      <c r="H177" s="40">
        <f>SUM(Tabla1326[[#This Row],[PRIMER TRIMESTRE]:[CUARTO TRIMESTRE]])</f>
        <v>5</v>
      </c>
      <c r="I177" s="17">
        <v>12159.7</v>
      </c>
      <c r="J177" s="17">
        <f>+Tabla1326[[#This Row],[CANTIDAD TOTAL]]*Tabla1326[[#This Row],[PRECIO UNITARIO ESTIMADO]]</f>
        <v>60798.5</v>
      </c>
      <c r="K177" s="17"/>
      <c r="L177" s="16" t="s">
        <v>27</v>
      </c>
      <c r="M177" s="16" t="s">
        <v>22</v>
      </c>
      <c r="N177" s="39" t="s">
        <v>418</v>
      </c>
      <c r="O177" s="20"/>
      <c r="R177" s="19" t="s">
        <v>143</v>
      </c>
    </row>
    <row r="178" spans="1:18" s="12" customFormat="1" ht="27.75" customHeight="1">
      <c r="A178" s="15" t="s">
        <v>80</v>
      </c>
      <c r="B178" s="75" t="s">
        <v>186</v>
      </c>
      <c r="C178" s="39" t="s">
        <v>17</v>
      </c>
      <c r="D178" s="39"/>
      <c r="E178" s="39">
        <v>2</v>
      </c>
      <c r="F178" s="39"/>
      <c r="G178" s="39"/>
      <c r="H178" s="40">
        <f>SUM(Tabla1326[[#This Row],[PRIMER TRIMESTRE]:[CUARTO TRIMESTRE]])</f>
        <v>2</v>
      </c>
      <c r="I178" s="17">
        <v>2600</v>
      </c>
      <c r="J178" s="17">
        <f>+Tabla1326[[#This Row],[CANTIDAD TOTAL]]*Tabla1326[[#This Row],[PRECIO UNITARIO ESTIMADO]]</f>
        <v>5200</v>
      </c>
      <c r="K178" s="17"/>
      <c r="L178" s="16" t="s">
        <v>27</v>
      </c>
      <c r="M178" s="16" t="s">
        <v>22</v>
      </c>
      <c r="N178" s="39" t="s">
        <v>418</v>
      </c>
      <c r="O178" s="20"/>
      <c r="R178" s="19" t="s">
        <v>187</v>
      </c>
    </row>
    <row r="179" spans="1:18" s="12" customFormat="1">
      <c r="A179" s="15" t="s">
        <v>80</v>
      </c>
      <c r="B179" s="75" t="s">
        <v>148</v>
      </c>
      <c r="C179" s="39" t="s">
        <v>149</v>
      </c>
      <c r="D179" s="39"/>
      <c r="E179" s="39">
        <v>100</v>
      </c>
      <c r="F179" s="39"/>
      <c r="G179" s="39">
        <v>100</v>
      </c>
      <c r="H179" s="40">
        <f>SUM(Tabla1326[[#This Row],[PRIMER TRIMESTRE]:[CUARTO TRIMESTRE]])</f>
        <v>200</v>
      </c>
      <c r="I179" s="17">
        <v>127.6</v>
      </c>
      <c r="J179" s="17">
        <f>+Tabla1326[[#This Row],[CANTIDAD TOTAL]]*Tabla1326[[#This Row],[PRECIO UNITARIO ESTIMADO]]</f>
        <v>25520</v>
      </c>
      <c r="K179" s="17"/>
      <c r="L179" s="16" t="s">
        <v>27</v>
      </c>
      <c r="M179" s="16" t="s">
        <v>22</v>
      </c>
      <c r="N179" s="39" t="s">
        <v>418</v>
      </c>
      <c r="O179" s="20"/>
      <c r="R179" s="19" t="s">
        <v>150</v>
      </c>
    </row>
    <row r="180" spans="1:18" s="12" customFormat="1">
      <c r="A180" s="15" t="s">
        <v>80</v>
      </c>
      <c r="B180" s="75" t="s">
        <v>439</v>
      </c>
      <c r="C180" s="39" t="s">
        <v>149</v>
      </c>
      <c r="D180" s="39"/>
      <c r="E180" s="39"/>
      <c r="F180" s="39"/>
      <c r="G180" s="39">
        <v>300</v>
      </c>
      <c r="H180" s="40">
        <f>SUM(Tabla1326[[#This Row],[PRIMER TRIMESTRE]:[CUARTO TRIMESTRE]])</f>
        <v>300</v>
      </c>
      <c r="I180" s="17">
        <v>123.91</v>
      </c>
      <c r="J180" s="17">
        <f>+Tabla1326[[#This Row],[CANTIDAD TOTAL]]*Tabla1326[[#This Row],[PRECIO UNITARIO ESTIMADO]]</f>
        <v>37173</v>
      </c>
      <c r="K180" s="17"/>
      <c r="L180" s="16" t="s">
        <v>27</v>
      </c>
      <c r="M180" s="16" t="s">
        <v>22</v>
      </c>
      <c r="N180" s="39" t="s">
        <v>418</v>
      </c>
      <c r="O180" s="20"/>
      <c r="R180" s="19" t="s">
        <v>151</v>
      </c>
    </row>
    <row r="181" spans="1:18" s="12" customFormat="1">
      <c r="A181" s="15" t="s">
        <v>80</v>
      </c>
      <c r="B181" s="75" t="s">
        <v>471</v>
      </c>
      <c r="C181" s="39" t="s">
        <v>17</v>
      </c>
      <c r="D181" s="39"/>
      <c r="E181" s="39">
        <f>1400/2</f>
        <v>700</v>
      </c>
      <c r="F181" s="39"/>
      <c r="G181" s="39">
        <f>50+700</f>
        <v>750</v>
      </c>
      <c r="H181" s="40">
        <f>SUM(Tabla1326[[#This Row],[PRIMER TRIMESTRE]:[CUARTO TRIMESTRE]])</f>
        <v>1450</v>
      </c>
      <c r="I181" s="17">
        <v>55.38</v>
      </c>
      <c r="J181" s="17">
        <f>+Tabla1326[[#This Row],[CANTIDAD TOTAL]]*Tabla1326[[#This Row],[PRECIO UNITARIO ESTIMADO]]</f>
        <v>80301</v>
      </c>
      <c r="K181" s="17"/>
      <c r="L181" s="16" t="s">
        <v>27</v>
      </c>
      <c r="M181" s="16" t="s">
        <v>22</v>
      </c>
      <c r="N181" s="39" t="s">
        <v>418</v>
      </c>
      <c r="O181" s="20"/>
      <c r="R181" s="19" t="s">
        <v>152</v>
      </c>
    </row>
    <row r="182" spans="1:18" s="12" customFormat="1">
      <c r="A182" s="15" t="s">
        <v>80</v>
      </c>
      <c r="B182" s="75" t="s">
        <v>644</v>
      </c>
      <c r="C182" s="39" t="s">
        <v>17</v>
      </c>
      <c r="D182" s="39"/>
      <c r="E182" s="39">
        <v>175</v>
      </c>
      <c r="F182" s="39"/>
      <c r="G182" s="40">
        <v>175</v>
      </c>
      <c r="H182" s="40">
        <f>SUM(Tabla1326[[#This Row],[PRIMER TRIMESTRE]:[CUARTO TRIMESTRE]])</f>
        <v>350</v>
      </c>
      <c r="I182" s="17">
        <v>731.35</v>
      </c>
      <c r="J182" s="17">
        <f t="shared" ref="J182:J214" si="4">+H182*I182</f>
        <v>255972.5</v>
      </c>
      <c r="K182" s="17"/>
      <c r="L182" s="16" t="s">
        <v>27</v>
      </c>
      <c r="M182" s="16" t="s">
        <v>22</v>
      </c>
      <c r="N182" s="39"/>
      <c r="O182" s="20"/>
    </row>
    <row r="183" spans="1:18" s="12" customFormat="1">
      <c r="A183" s="15" t="s">
        <v>80</v>
      </c>
      <c r="B183" s="75" t="s">
        <v>645</v>
      </c>
      <c r="C183" s="39" t="s">
        <v>17</v>
      </c>
      <c r="D183" s="39"/>
      <c r="E183" s="39">
        <v>300</v>
      </c>
      <c r="F183" s="39"/>
      <c r="G183" s="40">
        <v>300</v>
      </c>
      <c r="H183" s="40">
        <f>SUM(Tabla1326[[#This Row],[PRIMER TRIMESTRE]:[CUARTO TRIMESTRE]])</f>
        <v>600</v>
      </c>
      <c r="I183" s="17">
        <v>1013.28</v>
      </c>
      <c r="J183" s="17">
        <f t="shared" si="4"/>
        <v>607968</v>
      </c>
      <c r="K183" s="17"/>
      <c r="L183" s="16" t="s">
        <v>27</v>
      </c>
      <c r="M183" s="16" t="s">
        <v>22</v>
      </c>
      <c r="N183" s="39"/>
      <c r="O183" s="20"/>
    </row>
    <row r="184" spans="1:18" s="12" customFormat="1">
      <c r="A184" s="15" t="s">
        <v>80</v>
      </c>
      <c r="B184" s="75" t="s">
        <v>646</v>
      </c>
      <c r="C184" s="39" t="s">
        <v>17</v>
      </c>
      <c r="D184" s="39"/>
      <c r="E184" s="39">
        <v>300</v>
      </c>
      <c r="F184" s="39"/>
      <c r="G184" s="40">
        <v>300</v>
      </c>
      <c r="H184" s="40">
        <f>SUM(Tabla1326[[#This Row],[PRIMER TRIMESTRE]:[CUARTO TRIMESTRE]])</f>
        <v>600</v>
      </c>
      <c r="I184" s="17">
        <v>1196.97</v>
      </c>
      <c r="J184" s="17">
        <f t="shared" si="4"/>
        <v>718182</v>
      </c>
      <c r="K184" s="17"/>
      <c r="L184" s="16" t="s">
        <v>27</v>
      </c>
      <c r="M184" s="16" t="s">
        <v>22</v>
      </c>
      <c r="N184" s="39"/>
      <c r="O184" s="20"/>
    </row>
    <row r="185" spans="1:18" s="12" customFormat="1">
      <c r="A185" s="15" t="s">
        <v>80</v>
      </c>
      <c r="B185" s="75" t="s">
        <v>647</v>
      </c>
      <c r="C185" s="39" t="s">
        <v>17</v>
      </c>
      <c r="D185" s="39"/>
      <c r="E185" s="39">
        <v>200</v>
      </c>
      <c r="F185" s="39"/>
      <c r="G185" s="40">
        <v>200</v>
      </c>
      <c r="H185" s="40">
        <f>SUM(Tabla1326[[#This Row],[PRIMER TRIMESTRE]:[CUARTO TRIMESTRE]])</f>
        <v>400</v>
      </c>
      <c r="I185" s="17">
        <v>1882.41</v>
      </c>
      <c r="J185" s="17">
        <f t="shared" si="4"/>
        <v>752964</v>
      </c>
      <c r="K185" s="17"/>
      <c r="L185" s="16" t="s">
        <v>27</v>
      </c>
      <c r="M185" s="16" t="s">
        <v>22</v>
      </c>
      <c r="N185" s="39"/>
      <c r="O185" s="20"/>
    </row>
    <row r="186" spans="1:18" s="12" customFormat="1">
      <c r="A186" s="15" t="s">
        <v>80</v>
      </c>
      <c r="B186" s="75" t="s">
        <v>648</v>
      </c>
      <c r="C186" s="39" t="s">
        <v>17</v>
      </c>
      <c r="D186" s="39"/>
      <c r="E186" s="39">
        <v>200</v>
      </c>
      <c r="F186" s="39"/>
      <c r="G186" s="40">
        <v>200</v>
      </c>
      <c r="H186" s="40">
        <f>SUM(Tabla1326[[#This Row],[PRIMER TRIMESTRE]:[CUARTO TRIMESTRE]])</f>
        <v>400</v>
      </c>
      <c r="I186" s="17">
        <v>2110.4699999999998</v>
      </c>
      <c r="J186" s="17">
        <f t="shared" si="4"/>
        <v>844187.99999999988</v>
      </c>
      <c r="K186" s="17"/>
      <c r="L186" s="16" t="s">
        <v>27</v>
      </c>
      <c r="M186" s="16" t="s">
        <v>22</v>
      </c>
      <c r="N186" s="39"/>
      <c r="O186" s="20"/>
    </row>
    <row r="187" spans="1:18" s="12" customFormat="1">
      <c r="A187" s="15" t="s">
        <v>80</v>
      </c>
      <c r="B187" s="75" t="s">
        <v>649</v>
      </c>
      <c r="C187" s="39" t="s">
        <v>17</v>
      </c>
      <c r="D187" s="39"/>
      <c r="E187" s="39">
        <v>40</v>
      </c>
      <c r="F187" s="39"/>
      <c r="G187" s="40">
        <v>40</v>
      </c>
      <c r="H187" s="40">
        <f>SUM(Tabla1326[[#This Row],[PRIMER TRIMESTRE]:[CUARTO TRIMESTRE]])</f>
        <v>80</v>
      </c>
      <c r="I187" s="17">
        <v>2920.5</v>
      </c>
      <c r="J187" s="17">
        <f t="shared" si="4"/>
        <v>233640</v>
      </c>
      <c r="K187" s="17"/>
      <c r="L187" s="16" t="s">
        <v>27</v>
      </c>
      <c r="M187" s="16" t="s">
        <v>22</v>
      </c>
      <c r="N187" s="39"/>
      <c r="O187" s="18"/>
    </row>
    <row r="188" spans="1:18" s="12" customFormat="1">
      <c r="A188" s="15" t="s">
        <v>80</v>
      </c>
      <c r="B188" s="75" t="s">
        <v>650</v>
      </c>
      <c r="C188" s="39" t="s">
        <v>17</v>
      </c>
      <c r="D188" s="39"/>
      <c r="E188" s="39">
        <v>130</v>
      </c>
      <c r="F188" s="39"/>
      <c r="G188" s="40">
        <v>130</v>
      </c>
      <c r="H188" s="40">
        <f>SUM(Tabla1326[[#This Row],[PRIMER TRIMESTRE]:[CUARTO TRIMESTRE]])</f>
        <v>260</v>
      </c>
      <c r="I188" s="17">
        <v>2919.76</v>
      </c>
      <c r="J188" s="17">
        <f t="shared" si="4"/>
        <v>759137.60000000009</v>
      </c>
      <c r="K188" s="17"/>
      <c r="L188" s="16" t="s">
        <v>27</v>
      </c>
      <c r="M188" s="16" t="s">
        <v>22</v>
      </c>
      <c r="N188" s="39"/>
      <c r="O188" s="20"/>
    </row>
    <row r="189" spans="1:18" s="12" customFormat="1">
      <c r="A189" s="15" t="s">
        <v>80</v>
      </c>
      <c r="B189" s="75" t="s">
        <v>651</v>
      </c>
      <c r="C189" s="39" t="s">
        <v>17</v>
      </c>
      <c r="D189" s="39"/>
      <c r="E189" s="39">
        <v>80</v>
      </c>
      <c r="F189" s="39"/>
      <c r="G189" s="40">
        <v>80</v>
      </c>
      <c r="H189" s="40">
        <f>SUM(Tabla1326[[#This Row],[PRIMER TRIMESTRE]:[CUARTO TRIMESTRE]])</f>
        <v>160</v>
      </c>
      <c r="I189" s="17">
        <v>5347.76</v>
      </c>
      <c r="J189" s="17">
        <f t="shared" si="4"/>
        <v>855641.60000000009</v>
      </c>
      <c r="K189" s="17"/>
      <c r="L189" s="16" t="s">
        <v>27</v>
      </c>
      <c r="M189" s="16" t="s">
        <v>22</v>
      </c>
      <c r="N189" s="39"/>
      <c r="O189" s="20"/>
    </row>
    <row r="190" spans="1:18" s="12" customFormat="1">
      <c r="A190" s="15" t="s">
        <v>80</v>
      </c>
      <c r="B190" s="75" t="s">
        <v>652</v>
      </c>
      <c r="C190" s="39" t="s">
        <v>17</v>
      </c>
      <c r="D190" s="39"/>
      <c r="E190" s="39">
        <v>20</v>
      </c>
      <c r="F190" s="39"/>
      <c r="G190" s="40">
        <v>20</v>
      </c>
      <c r="H190" s="40">
        <f>SUM(Tabla1326[[#This Row],[PRIMER TRIMESTRE]:[CUARTO TRIMESTRE]])</f>
        <v>40</v>
      </c>
      <c r="I190" s="17">
        <v>9696.06</v>
      </c>
      <c r="J190" s="17">
        <f t="shared" si="4"/>
        <v>387842.39999999997</v>
      </c>
      <c r="K190" s="17"/>
      <c r="L190" s="16" t="s">
        <v>27</v>
      </c>
      <c r="M190" s="16" t="s">
        <v>22</v>
      </c>
      <c r="N190" s="39"/>
      <c r="O190" s="18"/>
    </row>
    <row r="191" spans="1:18" s="12" customFormat="1">
      <c r="A191" s="15" t="s">
        <v>80</v>
      </c>
      <c r="B191" s="75" t="s">
        <v>653</v>
      </c>
      <c r="C191" s="39" t="s">
        <v>17</v>
      </c>
      <c r="D191" s="39"/>
      <c r="E191" s="39">
        <v>5</v>
      </c>
      <c r="F191" s="39"/>
      <c r="G191" s="40">
        <v>5</v>
      </c>
      <c r="H191" s="40">
        <f>SUM(Tabla1326[[#This Row],[PRIMER TRIMESTRE]:[CUARTO TRIMESTRE]])</f>
        <v>10</v>
      </c>
      <c r="I191" s="17">
        <v>13263.2</v>
      </c>
      <c r="J191" s="17">
        <f t="shared" si="4"/>
        <v>132632</v>
      </c>
      <c r="K191" s="17"/>
      <c r="L191" s="16" t="s">
        <v>27</v>
      </c>
      <c r="M191" s="16" t="s">
        <v>22</v>
      </c>
      <c r="N191" s="39"/>
      <c r="O191" s="18"/>
    </row>
    <row r="192" spans="1:18" s="12" customFormat="1" ht="46.5" customHeight="1">
      <c r="A192" s="15" t="s">
        <v>80</v>
      </c>
      <c r="B192" s="75" t="s">
        <v>348</v>
      </c>
      <c r="C192" s="39" t="s">
        <v>17</v>
      </c>
      <c r="D192" s="39"/>
      <c r="E192" s="39">
        <v>30</v>
      </c>
      <c r="F192" s="39"/>
      <c r="G192" s="40">
        <v>30</v>
      </c>
      <c r="H192" s="40">
        <f>SUM(Tabla1326[[#This Row],[PRIMER TRIMESTRE]:[CUARTO TRIMESTRE]])</f>
        <v>60</v>
      </c>
      <c r="I192" s="17">
        <v>1200</v>
      </c>
      <c r="J192" s="17">
        <f t="shared" si="4"/>
        <v>72000</v>
      </c>
      <c r="K192" s="17"/>
      <c r="L192" s="16" t="s">
        <v>27</v>
      </c>
      <c r="M192" s="16" t="s">
        <v>22</v>
      </c>
      <c r="N192" s="39"/>
      <c r="O192" s="20"/>
    </row>
    <row r="193" spans="1:15" s="12" customFormat="1" ht="46.5" customHeight="1">
      <c r="A193" s="15" t="s">
        <v>80</v>
      </c>
      <c r="B193" s="75" t="s">
        <v>349</v>
      </c>
      <c r="C193" s="39" t="s">
        <v>17</v>
      </c>
      <c r="D193" s="39"/>
      <c r="E193" s="39">
        <v>50</v>
      </c>
      <c r="F193" s="39"/>
      <c r="G193" s="40">
        <v>50</v>
      </c>
      <c r="H193" s="40">
        <f>SUM(Tabla1326[[#This Row],[PRIMER TRIMESTRE]:[CUARTO TRIMESTRE]])</f>
        <v>100</v>
      </c>
      <c r="I193" s="17">
        <v>1400</v>
      </c>
      <c r="J193" s="17">
        <f t="shared" si="4"/>
        <v>140000</v>
      </c>
      <c r="K193" s="17"/>
      <c r="L193" s="16" t="s">
        <v>27</v>
      </c>
      <c r="M193" s="16" t="s">
        <v>22</v>
      </c>
      <c r="N193" s="39"/>
      <c r="O193" s="20"/>
    </row>
    <row r="194" spans="1:15" s="12" customFormat="1" ht="46.5" customHeight="1">
      <c r="A194" s="15" t="s">
        <v>80</v>
      </c>
      <c r="B194" s="75" t="s">
        <v>350</v>
      </c>
      <c r="C194" s="39" t="s">
        <v>17</v>
      </c>
      <c r="D194" s="39"/>
      <c r="E194" s="39">
        <v>45</v>
      </c>
      <c r="F194" s="39"/>
      <c r="G194" s="40">
        <v>45</v>
      </c>
      <c r="H194" s="40">
        <f>SUM(Tabla1326[[#This Row],[PRIMER TRIMESTRE]:[CUARTO TRIMESTRE]])</f>
        <v>90</v>
      </c>
      <c r="I194" s="17">
        <v>1600</v>
      </c>
      <c r="J194" s="17">
        <f t="shared" si="4"/>
        <v>144000</v>
      </c>
      <c r="K194" s="17"/>
      <c r="L194" s="16" t="s">
        <v>27</v>
      </c>
      <c r="M194" s="16" t="s">
        <v>22</v>
      </c>
      <c r="N194" s="39"/>
      <c r="O194" s="20"/>
    </row>
    <row r="195" spans="1:15" s="12" customFormat="1" ht="46.5" customHeight="1">
      <c r="A195" s="15" t="s">
        <v>80</v>
      </c>
      <c r="B195" s="75" t="s">
        <v>351</v>
      </c>
      <c r="C195" s="39" t="s">
        <v>17</v>
      </c>
      <c r="D195" s="39"/>
      <c r="E195" s="39">
        <v>30</v>
      </c>
      <c r="F195" s="39"/>
      <c r="G195" s="40">
        <v>30</v>
      </c>
      <c r="H195" s="40">
        <f>SUM(Tabla1326[[#This Row],[PRIMER TRIMESTRE]:[CUARTO TRIMESTRE]])</f>
        <v>60</v>
      </c>
      <c r="I195" s="17">
        <v>1800</v>
      </c>
      <c r="J195" s="17">
        <f t="shared" si="4"/>
        <v>108000</v>
      </c>
      <c r="K195" s="17"/>
      <c r="L195" s="16" t="s">
        <v>27</v>
      </c>
      <c r="M195" s="16" t="s">
        <v>22</v>
      </c>
      <c r="N195" s="39"/>
      <c r="O195" s="20"/>
    </row>
    <row r="196" spans="1:15" s="12" customFormat="1" ht="46.5" customHeight="1">
      <c r="A196" s="15" t="s">
        <v>80</v>
      </c>
      <c r="B196" s="75" t="s">
        <v>352</v>
      </c>
      <c r="C196" s="39" t="s">
        <v>17</v>
      </c>
      <c r="D196" s="39"/>
      <c r="E196" s="39">
        <v>25</v>
      </c>
      <c r="F196" s="39"/>
      <c r="G196" s="40">
        <v>25</v>
      </c>
      <c r="H196" s="40">
        <f>SUM(Tabla1326[[#This Row],[PRIMER TRIMESTRE]:[CUARTO TRIMESTRE]])</f>
        <v>50</v>
      </c>
      <c r="I196" s="17">
        <v>2000</v>
      </c>
      <c r="J196" s="17">
        <f t="shared" si="4"/>
        <v>100000</v>
      </c>
      <c r="K196" s="17"/>
      <c r="L196" s="16" t="s">
        <v>27</v>
      </c>
      <c r="M196" s="16" t="s">
        <v>22</v>
      </c>
      <c r="N196" s="39"/>
      <c r="O196" s="20"/>
    </row>
    <row r="197" spans="1:15" s="12" customFormat="1" ht="46.5" customHeight="1">
      <c r="A197" s="15" t="s">
        <v>80</v>
      </c>
      <c r="B197" s="75" t="s">
        <v>345</v>
      </c>
      <c r="C197" s="39" t="s">
        <v>17</v>
      </c>
      <c r="D197" s="39"/>
      <c r="E197" s="39">
        <v>10</v>
      </c>
      <c r="F197" s="39"/>
      <c r="G197" s="40">
        <v>10</v>
      </c>
      <c r="H197" s="40">
        <f>SUM(Tabla1326[[#This Row],[PRIMER TRIMESTRE]:[CUARTO TRIMESTRE]])</f>
        <v>20</v>
      </c>
      <c r="I197" s="17">
        <v>2500</v>
      </c>
      <c r="J197" s="17">
        <f t="shared" si="4"/>
        <v>50000</v>
      </c>
      <c r="K197" s="17"/>
      <c r="L197" s="16" t="s">
        <v>27</v>
      </c>
      <c r="M197" s="16" t="s">
        <v>22</v>
      </c>
      <c r="N197" s="39"/>
      <c r="O197" s="20"/>
    </row>
    <row r="198" spans="1:15" s="12" customFormat="1" ht="46.5" customHeight="1">
      <c r="A198" s="15" t="s">
        <v>80</v>
      </c>
      <c r="B198" s="75" t="s">
        <v>346</v>
      </c>
      <c r="C198" s="39" t="s">
        <v>17</v>
      </c>
      <c r="D198" s="39"/>
      <c r="E198" s="39">
        <v>25</v>
      </c>
      <c r="F198" s="39"/>
      <c r="G198" s="40">
        <v>25</v>
      </c>
      <c r="H198" s="40">
        <f>SUM(Tabla1326[[#This Row],[PRIMER TRIMESTRE]:[CUARTO TRIMESTRE]])</f>
        <v>50</v>
      </c>
      <c r="I198" s="17">
        <v>3100</v>
      </c>
      <c r="J198" s="17">
        <f t="shared" si="4"/>
        <v>155000</v>
      </c>
      <c r="K198" s="17"/>
      <c r="L198" s="16" t="s">
        <v>27</v>
      </c>
      <c r="M198" s="16" t="s">
        <v>22</v>
      </c>
      <c r="N198" s="39"/>
      <c r="O198" s="20"/>
    </row>
    <row r="199" spans="1:15" s="12" customFormat="1" ht="46.5" customHeight="1">
      <c r="A199" s="15" t="s">
        <v>80</v>
      </c>
      <c r="B199" s="75" t="s">
        <v>347</v>
      </c>
      <c r="C199" s="39" t="s">
        <v>17</v>
      </c>
      <c r="D199" s="39"/>
      <c r="E199" s="39">
        <v>10</v>
      </c>
      <c r="F199" s="39"/>
      <c r="G199" s="40">
        <v>10</v>
      </c>
      <c r="H199" s="40">
        <f>SUM(Tabla1326[[#This Row],[PRIMER TRIMESTRE]:[CUARTO TRIMESTRE]])</f>
        <v>20</v>
      </c>
      <c r="I199" s="17">
        <v>4100</v>
      </c>
      <c r="J199" s="17">
        <f t="shared" si="4"/>
        <v>82000</v>
      </c>
      <c r="K199" s="17"/>
      <c r="L199" s="16" t="s">
        <v>27</v>
      </c>
      <c r="M199" s="16" t="s">
        <v>22</v>
      </c>
      <c r="N199" s="39"/>
      <c r="O199" s="20"/>
    </row>
    <row r="200" spans="1:15" s="12" customFormat="1" ht="46.5" customHeight="1">
      <c r="A200" s="15" t="s">
        <v>80</v>
      </c>
      <c r="B200" s="75" t="s">
        <v>356</v>
      </c>
      <c r="C200" s="39" t="s">
        <v>17</v>
      </c>
      <c r="D200" s="39"/>
      <c r="E200" s="39">
        <v>40</v>
      </c>
      <c r="F200" s="39"/>
      <c r="G200" s="40">
        <v>40</v>
      </c>
      <c r="H200" s="40">
        <f>SUM(Tabla1326[[#This Row],[PRIMER TRIMESTRE]:[CUARTO TRIMESTRE]])</f>
        <v>80</v>
      </c>
      <c r="I200" s="17">
        <v>1200</v>
      </c>
      <c r="J200" s="17">
        <f t="shared" si="4"/>
        <v>96000</v>
      </c>
      <c r="K200" s="17"/>
      <c r="L200" s="16" t="s">
        <v>27</v>
      </c>
      <c r="M200" s="16" t="s">
        <v>22</v>
      </c>
      <c r="N200" s="39"/>
      <c r="O200" s="20"/>
    </row>
    <row r="201" spans="1:15" s="12" customFormat="1" ht="46.5" customHeight="1">
      <c r="A201" s="15" t="s">
        <v>80</v>
      </c>
      <c r="B201" s="75" t="s">
        <v>357</v>
      </c>
      <c r="C201" s="39" t="s">
        <v>17</v>
      </c>
      <c r="D201" s="39"/>
      <c r="E201" s="39">
        <v>40</v>
      </c>
      <c r="F201" s="39"/>
      <c r="G201" s="40">
        <v>40</v>
      </c>
      <c r="H201" s="40">
        <f>SUM(Tabla1326[[#This Row],[PRIMER TRIMESTRE]:[CUARTO TRIMESTRE]])</f>
        <v>80</v>
      </c>
      <c r="I201" s="17">
        <v>1400</v>
      </c>
      <c r="J201" s="17">
        <f t="shared" si="4"/>
        <v>112000</v>
      </c>
      <c r="K201" s="17"/>
      <c r="L201" s="16" t="s">
        <v>27</v>
      </c>
      <c r="M201" s="16" t="s">
        <v>22</v>
      </c>
      <c r="N201" s="39"/>
      <c r="O201" s="20"/>
    </row>
    <row r="202" spans="1:15" s="12" customFormat="1" ht="46.5" customHeight="1">
      <c r="A202" s="15" t="s">
        <v>80</v>
      </c>
      <c r="B202" s="75" t="s">
        <v>358</v>
      </c>
      <c r="C202" s="39" t="s">
        <v>17</v>
      </c>
      <c r="D202" s="39"/>
      <c r="E202" s="39">
        <v>30</v>
      </c>
      <c r="F202" s="39"/>
      <c r="G202" s="40">
        <v>30</v>
      </c>
      <c r="H202" s="40">
        <f>SUM(Tabla1326[[#This Row],[PRIMER TRIMESTRE]:[CUARTO TRIMESTRE]])</f>
        <v>60</v>
      </c>
      <c r="I202" s="17">
        <v>1600</v>
      </c>
      <c r="J202" s="17">
        <f t="shared" si="4"/>
        <v>96000</v>
      </c>
      <c r="K202" s="17"/>
      <c r="L202" s="16" t="s">
        <v>27</v>
      </c>
      <c r="M202" s="16" t="s">
        <v>22</v>
      </c>
      <c r="N202" s="39"/>
      <c r="O202" s="20"/>
    </row>
    <row r="203" spans="1:15" s="12" customFormat="1" ht="46.5" customHeight="1">
      <c r="A203" s="15" t="s">
        <v>80</v>
      </c>
      <c r="B203" s="75" t="s">
        <v>359</v>
      </c>
      <c r="C203" s="39" t="s">
        <v>17</v>
      </c>
      <c r="D203" s="39"/>
      <c r="E203" s="39">
        <v>30</v>
      </c>
      <c r="F203" s="39"/>
      <c r="G203" s="40">
        <v>30</v>
      </c>
      <c r="H203" s="40">
        <f>SUM(Tabla1326[[#This Row],[PRIMER TRIMESTRE]:[CUARTO TRIMESTRE]])</f>
        <v>60</v>
      </c>
      <c r="I203" s="17">
        <v>1800</v>
      </c>
      <c r="J203" s="17">
        <f t="shared" si="4"/>
        <v>108000</v>
      </c>
      <c r="K203" s="17"/>
      <c r="L203" s="16" t="s">
        <v>27</v>
      </c>
      <c r="M203" s="16" t="s">
        <v>22</v>
      </c>
      <c r="N203" s="39"/>
      <c r="O203" s="20"/>
    </row>
    <row r="204" spans="1:15" s="12" customFormat="1" ht="46.5" customHeight="1">
      <c r="A204" s="15" t="s">
        <v>80</v>
      </c>
      <c r="B204" s="75" t="s">
        <v>360</v>
      </c>
      <c r="C204" s="39" t="s">
        <v>17</v>
      </c>
      <c r="D204" s="39"/>
      <c r="E204" s="39">
        <v>20</v>
      </c>
      <c r="F204" s="39"/>
      <c r="G204" s="40">
        <v>20</v>
      </c>
      <c r="H204" s="40">
        <f>SUM(Tabla1326[[#This Row],[PRIMER TRIMESTRE]:[CUARTO TRIMESTRE]])</f>
        <v>40</v>
      </c>
      <c r="I204" s="17">
        <v>2000</v>
      </c>
      <c r="J204" s="17">
        <f t="shared" si="4"/>
        <v>80000</v>
      </c>
      <c r="K204" s="17"/>
      <c r="L204" s="16" t="s">
        <v>27</v>
      </c>
      <c r="M204" s="16" t="s">
        <v>22</v>
      </c>
      <c r="N204" s="39"/>
      <c r="O204" s="20"/>
    </row>
    <row r="205" spans="1:15" s="12" customFormat="1" ht="46.5" customHeight="1">
      <c r="A205" s="15" t="s">
        <v>80</v>
      </c>
      <c r="B205" s="75" t="s">
        <v>353</v>
      </c>
      <c r="C205" s="39" t="s">
        <v>17</v>
      </c>
      <c r="D205" s="39"/>
      <c r="E205" s="39">
        <v>10</v>
      </c>
      <c r="F205" s="39"/>
      <c r="G205" s="40">
        <v>10</v>
      </c>
      <c r="H205" s="40">
        <f>SUM(Tabla1326[[#This Row],[PRIMER TRIMESTRE]:[CUARTO TRIMESTRE]])</f>
        <v>20</v>
      </c>
      <c r="I205" s="17">
        <v>2500</v>
      </c>
      <c r="J205" s="17">
        <f t="shared" si="4"/>
        <v>50000</v>
      </c>
      <c r="K205" s="17"/>
      <c r="L205" s="16" t="s">
        <v>27</v>
      </c>
      <c r="M205" s="16" t="s">
        <v>22</v>
      </c>
      <c r="N205" s="39"/>
      <c r="O205" s="20"/>
    </row>
    <row r="206" spans="1:15" s="12" customFormat="1" ht="46.5" customHeight="1">
      <c r="A206" s="15" t="s">
        <v>80</v>
      </c>
      <c r="B206" s="75" t="s">
        <v>354</v>
      </c>
      <c r="C206" s="39" t="s">
        <v>17</v>
      </c>
      <c r="D206" s="39"/>
      <c r="E206" s="39">
        <v>15</v>
      </c>
      <c r="F206" s="39"/>
      <c r="G206" s="40">
        <v>15</v>
      </c>
      <c r="H206" s="40">
        <f>SUM(Tabla1326[[#This Row],[PRIMER TRIMESTRE]:[CUARTO TRIMESTRE]])</f>
        <v>30</v>
      </c>
      <c r="I206" s="17">
        <v>8502.7999999999993</v>
      </c>
      <c r="J206" s="17">
        <f t="shared" si="4"/>
        <v>255083.99999999997</v>
      </c>
      <c r="K206" s="17"/>
      <c r="L206" s="16" t="s">
        <v>27</v>
      </c>
      <c r="M206" s="16" t="s">
        <v>22</v>
      </c>
      <c r="N206" s="39"/>
      <c r="O206" s="20"/>
    </row>
    <row r="207" spans="1:15" s="12" customFormat="1" ht="46.5" customHeight="1">
      <c r="A207" s="15" t="s">
        <v>80</v>
      </c>
      <c r="B207" s="75" t="s">
        <v>355</v>
      </c>
      <c r="C207" s="39" t="s">
        <v>17</v>
      </c>
      <c r="D207" s="39"/>
      <c r="E207" s="39">
        <v>10</v>
      </c>
      <c r="F207" s="39"/>
      <c r="G207" s="40">
        <v>10</v>
      </c>
      <c r="H207" s="40">
        <f>SUM(Tabla1326[[#This Row],[PRIMER TRIMESTRE]:[CUARTO TRIMESTRE]])</f>
        <v>20</v>
      </c>
      <c r="I207" s="17">
        <v>12180</v>
      </c>
      <c r="J207" s="17">
        <f t="shared" si="4"/>
        <v>243600</v>
      </c>
      <c r="K207" s="17"/>
      <c r="L207" s="16" t="s">
        <v>27</v>
      </c>
      <c r="M207" s="16" t="s">
        <v>22</v>
      </c>
      <c r="N207" s="39"/>
      <c r="O207" s="20"/>
    </row>
    <row r="208" spans="1:15" s="12" customFormat="1" ht="46.5" customHeight="1">
      <c r="A208" s="15" t="s">
        <v>80</v>
      </c>
      <c r="B208" s="75" t="s">
        <v>363</v>
      </c>
      <c r="C208" s="39" t="s">
        <v>17</v>
      </c>
      <c r="D208" s="39"/>
      <c r="E208" s="39">
        <v>40</v>
      </c>
      <c r="F208" s="39"/>
      <c r="G208" s="40">
        <v>40</v>
      </c>
      <c r="H208" s="40">
        <f>SUM(Tabla1326[[#This Row],[PRIMER TRIMESTRE]:[CUARTO TRIMESTRE]])</f>
        <v>80</v>
      </c>
      <c r="I208" s="17">
        <v>1200</v>
      </c>
      <c r="J208" s="17">
        <f t="shared" si="4"/>
        <v>96000</v>
      </c>
      <c r="K208" s="17"/>
      <c r="L208" s="16" t="s">
        <v>27</v>
      </c>
      <c r="M208" s="16" t="s">
        <v>22</v>
      </c>
      <c r="N208" s="39"/>
      <c r="O208" s="20"/>
    </row>
    <row r="209" spans="1:18" s="12" customFormat="1" ht="46.5" customHeight="1">
      <c r="A209" s="15" t="s">
        <v>80</v>
      </c>
      <c r="B209" s="75" t="s">
        <v>364</v>
      </c>
      <c r="C209" s="39" t="s">
        <v>17</v>
      </c>
      <c r="D209" s="39"/>
      <c r="E209" s="39">
        <v>40</v>
      </c>
      <c r="F209" s="39"/>
      <c r="G209" s="40">
        <v>40</v>
      </c>
      <c r="H209" s="40">
        <f>SUM(Tabla1326[[#This Row],[PRIMER TRIMESTRE]:[CUARTO TRIMESTRE]])</f>
        <v>80</v>
      </c>
      <c r="I209" s="17">
        <v>1400</v>
      </c>
      <c r="J209" s="17">
        <f t="shared" si="4"/>
        <v>112000</v>
      </c>
      <c r="K209" s="17"/>
      <c r="L209" s="16" t="s">
        <v>27</v>
      </c>
      <c r="M209" s="16" t="s">
        <v>22</v>
      </c>
      <c r="N209" s="39"/>
      <c r="O209" s="20"/>
    </row>
    <row r="210" spans="1:18" s="12" customFormat="1" ht="46.5" customHeight="1">
      <c r="A210" s="15" t="s">
        <v>80</v>
      </c>
      <c r="B210" s="75" t="s">
        <v>365</v>
      </c>
      <c r="C210" s="39" t="s">
        <v>17</v>
      </c>
      <c r="D210" s="39"/>
      <c r="E210" s="39">
        <v>25</v>
      </c>
      <c r="F210" s="39"/>
      <c r="G210" s="40">
        <v>250</v>
      </c>
      <c r="H210" s="40">
        <f>SUM(Tabla1326[[#This Row],[PRIMER TRIMESTRE]:[CUARTO TRIMESTRE]])</f>
        <v>275</v>
      </c>
      <c r="I210" s="17">
        <v>1600</v>
      </c>
      <c r="J210" s="17">
        <f t="shared" si="4"/>
        <v>440000</v>
      </c>
      <c r="K210" s="17"/>
      <c r="L210" s="16" t="s">
        <v>27</v>
      </c>
      <c r="M210" s="16" t="s">
        <v>22</v>
      </c>
      <c r="N210" s="39"/>
      <c r="O210" s="20"/>
    </row>
    <row r="211" spans="1:18" s="12" customFormat="1" ht="46.5" customHeight="1">
      <c r="A211" s="15" t="s">
        <v>80</v>
      </c>
      <c r="B211" s="75" t="s">
        <v>366</v>
      </c>
      <c r="C211" s="39" t="s">
        <v>17</v>
      </c>
      <c r="D211" s="39"/>
      <c r="E211" s="39">
        <v>40</v>
      </c>
      <c r="F211" s="39"/>
      <c r="G211" s="40">
        <v>40</v>
      </c>
      <c r="H211" s="40">
        <f>SUM(Tabla1326[[#This Row],[PRIMER TRIMESTRE]:[CUARTO TRIMESTRE]])</f>
        <v>80</v>
      </c>
      <c r="I211" s="17">
        <v>1800</v>
      </c>
      <c r="J211" s="17">
        <f t="shared" si="4"/>
        <v>144000</v>
      </c>
      <c r="K211" s="17"/>
      <c r="L211" s="16" t="s">
        <v>27</v>
      </c>
      <c r="M211" s="16" t="s">
        <v>22</v>
      </c>
      <c r="N211" s="39"/>
      <c r="O211" s="20"/>
    </row>
    <row r="212" spans="1:18" s="12" customFormat="1" ht="46.5" customHeight="1">
      <c r="A212" s="15" t="s">
        <v>80</v>
      </c>
      <c r="B212" s="75" t="s">
        <v>367</v>
      </c>
      <c r="C212" s="39" t="s">
        <v>17</v>
      </c>
      <c r="D212" s="39"/>
      <c r="E212" s="39">
        <v>20</v>
      </c>
      <c r="F212" s="39"/>
      <c r="G212" s="40">
        <v>20</v>
      </c>
      <c r="H212" s="40">
        <f>SUM(Tabla1326[[#This Row],[PRIMER TRIMESTRE]:[CUARTO TRIMESTRE]])</f>
        <v>40</v>
      </c>
      <c r="I212" s="17">
        <v>2000</v>
      </c>
      <c r="J212" s="17">
        <f t="shared" si="4"/>
        <v>80000</v>
      </c>
      <c r="K212" s="17"/>
      <c r="L212" s="16" t="s">
        <v>27</v>
      </c>
      <c r="M212" s="16" t="s">
        <v>22</v>
      </c>
      <c r="N212" s="39"/>
      <c r="O212" s="20"/>
    </row>
    <row r="213" spans="1:18" s="12" customFormat="1" ht="46.5" customHeight="1">
      <c r="A213" s="15" t="s">
        <v>80</v>
      </c>
      <c r="B213" s="75" t="s">
        <v>361</v>
      </c>
      <c r="C213" s="39" t="s">
        <v>17</v>
      </c>
      <c r="D213" s="39"/>
      <c r="E213" s="39">
        <v>10</v>
      </c>
      <c r="F213" s="39"/>
      <c r="G213" s="40">
        <v>10</v>
      </c>
      <c r="H213" s="40">
        <f>SUM(Tabla1326[[#This Row],[PRIMER TRIMESTRE]:[CUARTO TRIMESTRE]])</f>
        <v>20</v>
      </c>
      <c r="I213" s="17">
        <v>2500</v>
      </c>
      <c r="J213" s="17">
        <f t="shared" si="4"/>
        <v>50000</v>
      </c>
      <c r="K213" s="17"/>
      <c r="L213" s="16" t="s">
        <v>27</v>
      </c>
      <c r="M213" s="16" t="s">
        <v>22</v>
      </c>
      <c r="N213" s="39"/>
      <c r="O213" s="20"/>
    </row>
    <row r="214" spans="1:18" s="12" customFormat="1" ht="46.5" customHeight="1">
      <c r="A214" s="15" t="s">
        <v>80</v>
      </c>
      <c r="B214" s="75" t="s">
        <v>362</v>
      </c>
      <c r="C214" s="39" t="s">
        <v>17</v>
      </c>
      <c r="D214" s="39"/>
      <c r="E214" s="39">
        <v>15</v>
      </c>
      <c r="F214" s="39"/>
      <c r="G214" s="40">
        <v>15</v>
      </c>
      <c r="H214" s="40">
        <f>SUM(Tabla1326[[#This Row],[PRIMER TRIMESTRE]:[CUARTO TRIMESTRE]])</f>
        <v>30</v>
      </c>
      <c r="I214" s="17">
        <v>3100</v>
      </c>
      <c r="J214" s="17">
        <f t="shared" si="4"/>
        <v>93000</v>
      </c>
      <c r="K214" s="17"/>
      <c r="L214" s="16" t="s">
        <v>27</v>
      </c>
      <c r="M214" s="16" t="s">
        <v>22</v>
      </c>
      <c r="N214" s="39"/>
      <c r="O214" s="20"/>
    </row>
    <row r="215" spans="1:18" s="12" customFormat="1">
      <c r="A215" s="15" t="s">
        <v>80</v>
      </c>
      <c r="B215" s="75" t="s">
        <v>154</v>
      </c>
      <c r="C215" s="39" t="s">
        <v>470</v>
      </c>
      <c r="D215" s="39"/>
      <c r="E215" s="39"/>
      <c r="F215" s="39"/>
      <c r="G215" s="39">
        <v>200</v>
      </c>
      <c r="H215" s="40">
        <f>SUM(Tabla1326[[#This Row],[PRIMER TRIMESTRE]:[CUARTO TRIMESTRE]])</f>
        <v>200</v>
      </c>
      <c r="I215" s="17">
        <v>100</v>
      </c>
      <c r="J215" s="17">
        <f>+Tabla1326[[#This Row],[CANTIDAD TOTAL]]*Tabla1326[[#This Row],[PRECIO UNITARIO ESTIMADO]]</f>
        <v>20000</v>
      </c>
      <c r="K215" s="17"/>
      <c r="L215" s="16" t="s">
        <v>27</v>
      </c>
      <c r="M215" s="16" t="s">
        <v>22</v>
      </c>
      <c r="N215" s="39" t="s">
        <v>418</v>
      </c>
      <c r="O215" s="20"/>
      <c r="R215" s="19" t="s">
        <v>155</v>
      </c>
    </row>
    <row r="216" spans="1:18" s="12" customFormat="1">
      <c r="A216" s="15" t="s">
        <v>80</v>
      </c>
      <c r="B216" s="75" t="s">
        <v>156</v>
      </c>
      <c r="C216" s="39" t="s">
        <v>17</v>
      </c>
      <c r="D216" s="39"/>
      <c r="E216" s="39">
        <v>40</v>
      </c>
      <c r="F216" s="39"/>
      <c r="G216" s="39">
        <v>40</v>
      </c>
      <c r="H216" s="40">
        <f>SUM(Tabla1326[[#This Row],[PRIMER TRIMESTRE]:[CUARTO TRIMESTRE]])</f>
        <v>80</v>
      </c>
      <c r="I216" s="17">
        <v>439.81</v>
      </c>
      <c r="J216" s="17">
        <f>+Tabla1326[[#This Row],[CANTIDAD TOTAL]]*Tabla1326[[#This Row],[PRECIO UNITARIO ESTIMADO]]</f>
        <v>35184.800000000003</v>
      </c>
      <c r="K216" s="17"/>
      <c r="L216" s="16" t="s">
        <v>15</v>
      </c>
      <c r="M216" s="16" t="s">
        <v>22</v>
      </c>
      <c r="N216" s="39" t="s">
        <v>418</v>
      </c>
      <c r="O216" s="20"/>
      <c r="R216" s="19" t="s">
        <v>157</v>
      </c>
    </row>
    <row r="217" spans="1:18" s="12" customFormat="1">
      <c r="A217" s="15" t="s">
        <v>80</v>
      </c>
      <c r="B217" s="75" t="s">
        <v>728</v>
      </c>
      <c r="C217" s="39" t="s">
        <v>17</v>
      </c>
      <c r="D217" s="39"/>
      <c r="E217" s="39"/>
      <c r="F217" s="39"/>
      <c r="G217" s="39">
        <v>21</v>
      </c>
      <c r="H217" s="40">
        <f>SUM(Tabla1326[[#This Row],[PRIMER TRIMESTRE]:[CUARTO TRIMESTRE]])</f>
        <v>21</v>
      </c>
      <c r="I217" s="17">
        <v>1800.17</v>
      </c>
      <c r="J217" s="17">
        <f>+H217*I217</f>
        <v>37803.57</v>
      </c>
      <c r="K217" s="17"/>
      <c r="L217" s="16" t="s">
        <v>15</v>
      </c>
      <c r="M217" s="16" t="s">
        <v>22</v>
      </c>
      <c r="N217" s="39" t="s">
        <v>418</v>
      </c>
      <c r="O217" s="18"/>
      <c r="R217" s="19"/>
    </row>
    <row r="218" spans="1:18" s="12" customFormat="1" ht="31.5">
      <c r="A218" s="15" t="s">
        <v>80</v>
      </c>
      <c r="B218" s="75" t="s">
        <v>158</v>
      </c>
      <c r="C218" s="39" t="s">
        <v>17</v>
      </c>
      <c r="D218" s="39"/>
      <c r="E218" s="39">
        <v>2</v>
      </c>
      <c r="F218" s="39"/>
      <c r="G218" s="39"/>
      <c r="H218" s="40">
        <f>SUM(Tabla1326[[#This Row],[PRIMER TRIMESTRE]:[CUARTO TRIMESTRE]])</f>
        <v>2</v>
      </c>
      <c r="I218" s="17">
        <v>1120</v>
      </c>
      <c r="J218" s="17">
        <f>+Tabla1326[[#This Row],[CANTIDAD TOTAL]]*Tabla1326[[#This Row],[PRECIO UNITARIO ESTIMADO]]</f>
        <v>2240</v>
      </c>
      <c r="K218" s="17"/>
      <c r="L218" s="16" t="s">
        <v>15</v>
      </c>
      <c r="M218" s="16" t="s">
        <v>22</v>
      </c>
      <c r="N218" s="39" t="s">
        <v>418</v>
      </c>
      <c r="O218" s="20"/>
      <c r="R218" s="19" t="s">
        <v>159</v>
      </c>
    </row>
    <row r="219" spans="1:18" s="12" customFormat="1" ht="31.5">
      <c r="A219" s="15" t="s">
        <v>80</v>
      </c>
      <c r="B219" s="75" t="s">
        <v>160</v>
      </c>
      <c r="C219" s="39" t="s">
        <v>17</v>
      </c>
      <c r="D219" s="39"/>
      <c r="E219" s="39">
        <v>6</v>
      </c>
      <c r="F219" s="39"/>
      <c r="G219" s="39"/>
      <c r="H219" s="40">
        <f>SUM(Tabla1326[[#This Row],[PRIMER TRIMESTRE]:[CUARTO TRIMESTRE]])</f>
        <v>6</v>
      </c>
      <c r="I219" s="17">
        <v>1908</v>
      </c>
      <c r="J219" s="17">
        <f>+Tabla1326[[#This Row],[CANTIDAD TOTAL]]*Tabla1326[[#This Row],[PRECIO UNITARIO ESTIMADO]]</f>
        <v>11448</v>
      </c>
      <c r="K219" s="17"/>
      <c r="L219" s="16" t="s">
        <v>15</v>
      </c>
      <c r="M219" s="16" t="s">
        <v>22</v>
      </c>
      <c r="N219" s="39" t="s">
        <v>418</v>
      </c>
      <c r="O219" s="20"/>
      <c r="R219" s="19" t="s">
        <v>161</v>
      </c>
    </row>
    <row r="220" spans="1:18" s="12" customFormat="1">
      <c r="A220" s="15" t="s">
        <v>80</v>
      </c>
      <c r="B220" s="75" t="s">
        <v>162</v>
      </c>
      <c r="C220" s="39" t="s">
        <v>17</v>
      </c>
      <c r="D220" s="39"/>
      <c r="E220" s="39">
        <v>60</v>
      </c>
      <c r="F220" s="39"/>
      <c r="G220" s="39">
        <v>60</v>
      </c>
      <c r="H220" s="40">
        <f>SUM(Tabla1326[[#This Row],[PRIMER TRIMESTRE]:[CUARTO TRIMESTRE]])</f>
        <v>120</v>
      </c>
      <c r="I220" s="17">
        <v>29</v>
      </c>
      <c r="J220" s="17">
        <f>+Tabla1326[[#This Row],[CANTIDAD TOTAL]]*Tabla1326[[#This Row],[PRECIO UNITARIO ESTIMADO]]</f>
        <v>3480</v>
      </c>
      <c r="K220" s="17"/>
      <c r="L220" s="16" t="s">
        <v>15</v>
      </c>
      <c r="M220" s="16" t="s">
        <v>22</v>
      </c>
      <c r="N220" s="39" t="s">
        <v>418</v>
      </c>
      <c r="O220" s="20"/>
      <c r="R220" s="19" t="s">
        <v>163</v>
      </c>
    </row>
    <row r="221" spans="1:18" s="12" customFormat="1">
      <c r="A221" s="15" t="s">
        <v>80</v>
      </c>
      <c r="B221" s="75" t="s">
        <v>368</v>
      </c>
      <c r="C221" s="39" t="s">
        <v>17</v>
      </c>
      <c r="D221" s="39"/>
      <c r="E221" s="39">
        <v>200</v>
      </c>
      <c r="F221" s="39"/>
      <c r="G221" s="39">
        <v>200</v>
      </c>
      <c r="H221" s="40">
        <f>SUM(Tabla1326[[#This Row],[PRIMER TRIMESTRE]:[CUARTO TRIMESTRE]])</f>
        <v>400</v>
      </c>
      <c r="I221" s="17">
        <v>75.400000000000006</v>
      </c>
      <c r="J221" s="17">
        <f>+H221*I221</f>
        <v>30160.000000000004</v>
      </c>
      <c r="K221" s="17"/>
      <c r="L221" s="16" t="s">
        <v>15</v>
      </c>
      <c r="M221" s="16" t="s">
        <v>22</v>
      </c>
      <c r="N221" s="39" t="s">
        <v>418</v>
      </c>
      <c r="O221" s="20"/>
    </row>
    <row r="222" spans="1:18" s="12" customFormat="1">
      <c r="A222" s="15" t="s">
        <v>80</v>
      </c>
      <c r="B222" s="75" t="s">
        <v>602</v>
      </c>
      <c r="C222" s="39" t="s">
        <v>17</v>
      </c>
      <c r="D222" s="39"/>
      <c r="E222" s="39">
        <v>200</v>
      </c>
      <c r="F222" s="39"/>
      <c r="G222" s="39">
        <v>200</v>
      </c>
      <c r="H222" s="40">
        <f>SUM(Tabla1326[[#This Row],[PRIMER TRIMESTRE]:[CUARTO TRIMESTRE]])</f>
        <v>400</v>
      </c>
      <c r="I222" s="17">
        <v>90</v>
      </c>
      <c r="J222" s="17">
        <f>+H222*I222</f>
        <v>36000</v>
      </c>
      <c r="K222" s="17"/>
      <c r="L222" s="16" t="s">
        <v>15</v>
      </c>
      <c r="M222" s="16" t="s">
        <v>22</v>
      </c>
      <c r="N222" s="39" t="s">
        <v>418</v>
      </c>
      <c r="O222" s="20"/>
    </row>
    <row r="223" spans="1:18" s="12" customFormat="1" ht="38.25" customHeight="1">
      <c r="A223" s="15" t="s">
        <v>80</v>
      </c>
      <c r="B223" s="75" t="s">
        <v>164</v>
      </c>
      <c r="C223" s="39" t="s">
        <v>17</v>
      </c>
      <c r="D223" s="39"/>
      <c r="E223" s="39">
        <v>6</v>
      </c>
      <c r="F223" s="39"/>
      <c r="G223" s="39"/>
      <c r="H223" s="40">
        <f>SUM(Tabla1326[[#This Row],[PRIMER TRIMESTRE]:[CUARTO TRIMESTRE]])</f>
        <v>6</v>
      </c>
      <c r="I223" s="17">
        <v>3419.05</v>
      </c>
      <c r="J223" s="17">
        <f>+Tabla1326[[#This Row],[CANTIDAD TOTAL]]*Tabla1326[[#This Row],[PRECIO UNITARIO ESTIMADO]]</f>
        <v>20514.300000000003</v>
      </c>
      <c r="K223" s="17"/>
      <c r="L223" s="16" t="s">
        <v>15</v>
      </c>
      <c r="M223" s="16" t="s">
        <v>22</v>
      </c>
      <c r="N223" s="39" t="s">
        <v>418</v>
      </c>
      <c r="O223" s="20"/>
      <c r="R223" s="19" t="s">
        <v>165</v>
      </c>
    </row>
    <row r="224" spans="1:18" s="12" customFormat="1">
      <c r="A224" s="15" t="s">
        <v>80</v>
      </c>
      <c r="B224" s="75" t="s">
        <v>462</v>
      </c>
      <c r="C224" s="39" t="s">
        <v>17</v>
      </c>
      <c r="D224" s="39"/>
      <c r="E224" s="39"/>
      <c r="F224" s="39">
        <v>30</v>
      </c>
      <c r="G224" s="39"/>
      <c r="H224" s="40">
        <f>SUM(Tabla1326[[#This Row],[PRIMER TRIMESTRE]:[CUARTO TRIMESTRE]])</f>
        <v>30</v>
      </c>
      <c r="I224" s="17">
        <v>1896.06</v>
      </c>
      <c r="J224" s="17">
        <f>+H224*I224</f>
        <v>56881.799999999996</v>
      </c>
      <c r="K224" s="17"/>
      <c r="L224" s="16" t="s">
        <v>15</v>
      </c>
      <c r="M224" s="16" t="s">
        <v>22</v>
      </c>
      <c r="N224" s="39" t="s">
        <v>418</v>
      </c>
      <c r="O224" s="18"/>
      <c r="R224" s="19"/>
    </row>
    <row r="225" spans="1:18" s="12" customFormat="1" ht="31.5">
      <c r="A225" s="15" t="s">
        <v>80</v>
      </c>
      <c r="B225" s="75" t="s">
        <v>463</v>
      </c>
      <c r="C225" s="39" t="s">
        <v>17</v>
      </c>
      <c r="D225" s="39"/>
      <c r="E225" s="39"/>
      <c r="F225" s="39">
        <v>30</v>
      </c>
      <c r="G225" s="39"/>
      <c r="H225" s="40">
        <f>SUM(Tabla1326[[#This Row],[PRIMER TRIMESTRE]:[CUARTO TRIMESTRE]])</f>
        <v>30</v>
      </c>
      <c r="I225" s="17">
        <v>2320</v>
      </c>
      <c r="J225" s="17">
        <f>+Tabla1326[[#This Row],[CANTIDAD TOTAL]]*Tabla1326[[#This Row],[PRECIO UNITARIO ESTIMADO]]</f>
        <v>69600</v>
      </c>
      <c r="K225" s="17"/>
      <c r="L225" s="16" t="s">
        <v>15</v>
      </c>
      <c r="M225" s="16" t="s">
        <v>22</v>
      </c>
      <c r="N225" s="39" t="s">
        <v>418</v>
      </c>
      <c r="O225" s="20"/>
      <c r="R225" s="19" t="s">
        <v>166</v>
      </c>
    </row>
    <row r="226" spans="1:18" s="12" customFormat="1">
      <c r="A226" s="15" t="s">
        <v>80</v>
      </c>
      <c r="B226" s="75" t="s">
        <v>465</v>
      </c>
      <c r="C226" s="39" t="s">
        <v>17</v>
      </c>
      <c r="D226" s="39"/>
      <c r="E226" s="39"/>
      <c r="F226" s="39">
        <v>30</v>
      </c>
      <c r="G226" s="39"/>
      <c r="H226" s="40">
        <f>SUM(Tabla1326[[#This Row],[PRIMER TRIMESTRE]:[CUARTO TRIMESTRE]])</f>
        <v>30</v>
      </c>
      <c r="I226" s="17">
        <v>2682</v>
      </c>
      <c r="J226" s="17">
        <f>+Tabla1326[[#This Row],[CANTIDAD TOTAL]]*Tabla1326[[#This Row],[PRECIO UNITARIO ESTIMADO]]</f>
        <v>80460</v>
      </c>
      <c r="K226" s="17"/>
      <c r="L226" s="16" t="s">
        <v>15</v>
      </c>
      <c r="M226" s="16" t="s">
        <v>22</v>
      </c>
      <c r="N226" s="39" t="s">
        <v>418</v>
      </c>
      <c r="O226" s="20"/>
      <c r="R226" s="19" t="s">
        <v>168</v>
      </c>
    </row>
    <row r="227" spans="1:18" s="12" customFormat="1">
      <c r="A227" s="15" t="s">
        <v>80</v>
      </c>
      <c r="B227" s="75" t="s">
        <v>464</v>
      </c>
      <c r="C227" s="39" t="s">
        <v>17</v>
      </c>
      <c r="D227" s="39"/>
      <c r="E227" s="39">
        <v>25</v>
      </c>
      <c r="F227" s="39"/>
      <c r="G227" s="39">
        <v>25</v>
      </c>
      <c r="H227" s="40">
        <f>SUM(Tabla1326[[#This Row],[PRIMER TRIMESTRE]:[CUARTO TRIMESTRE]])</f>
        <v>50</v>
      </c>
      <c r="I227" s="17">
        <v>50</v>
      </c>
      <c r="J227" s="17">
        <f>+Tabla1326[[#This Row],[CANTIDAD TOTAL]]*Tabla1326[[#This Row],[PRECIO UNITARIO ESTIMADO]]</f>
        <v>2500</v>
      </c>
      <c r="K227" s="17"/>
      <c r="L227" s="16" t="s">
        <v>15</v>
      </c>
      <c r="M227" s="16" t="s">
        <v>22</v>
      </c>
      <c r="N227" s="39" t="s">
        <v>418</v>
      </c>
      <c r="O227" s="20"/>
      <c r="R227" s="19" t="s">
        <v>167</v>
      </c>
    </row>
    <row r="228" spans="1:18" s="12" customFormat="1">
      <c r="A228" s="15" t="s">
        <v>80</v>
      </c>
      <c r="B228" s="75" t="s">
        <v>466</v>
      </c>
      <c r="C228" s="39" t="s">
        <v>17</v>
      </c>
      <c r="D228" s="39"/>
      <c r="E228" s="39">
        <v>8</v>
      </c>
      <c r="F228" s="39"/>
      <c r="G228" s="39">
        <v>7</v>
      </c>
      <c r="H228" s="40">
        <f>SUM(Tabla1326[[#This Row],[PRIMER TRIMESTRE]:[CUARTO TRIMESTRE]])</f>
        <v>15</v>
      </c>
      <c r="I228" s="17">
        <v>1746.26</v>
      </c>
      <c r="J228" s="17">
        <f>+Tabla1326[[#This Row],[CANTIDAD TOTAL]]*Tabla1326[[#This Row],[PRECIO UNITARIO ESTIMADO]]</f>
        <v>26193.9</v>
      </c>
      <c r="K228" s="17"/>
      <c r="L228" s="16" t="s">
        <v>15</v>
      </c>
      <c r="M228" s="16" t="s">
        <v>22</v>
      </c>
      <c r="N228" s="39" t="s">
        <v>418</v>
      </c>
      <c r="O228" s="20"/>
      <c r="R228" s="19" t="s">
        <v>169</v>
      </c>
    </row>
    <row r="229" spans="1:18" s="12" customFormat="1">
      <c r="A229" s="15" t="s">
        <v>80</v>
      </c>
      <c r="B229" s="75" t="s">
        <v>170</v>
      </c>
      <c r="C229" s="39" t="s">
        <v>17</v>
      </c>
      <c r="D229" s="39"/>
      <c r="E229" s="39">
        <v>8</v>
      </c>
      <c r="F229" s="39"/>
      <c r="G229" s="39"/>
      <c r="H229" s="40">
        <f>SUM(Tabla1326[[#This Row],[PRIMER TRIMESTRE]:[CUARTO TRIMESTRE]])</f>
        <v>8</v>
      </c>
      <c r="I229" s="17">
        <v>458.2</v>
      </c>
      <c r="J229" s="17">
        <f>+Tabla1326[[#This Row],[CANTIDAD TOTAL]]*Tabla1326[[#This Row],[PRECIO UNITARIO ESTIMADO]]</f>
        <v>3665.6</v>
      </c>
      <c r="K229" s="17"/>
      <c r="L229" s="16" t="s">
        <v>15</v>
      </c>
      <c r="M229" s="16" t="s">
        <v>22</v>
      </c>
      <c r="N229" s="39" t="s">
        <v>418</v>
      </c>
      <c r="O229" s="20"/>
      <c r="R229" s="19" t="s">
        <v>171</v>
      </c>
    </row>
    <row r="230" spans="1:18" s="12" customFormat="1">
      <c r="A230" s="15" t="s">
        <v>80</v>
      </c>
      <c r="B230" s="75" t="s">
        <v>172</v>
      </c>
      <c r="C230" s="39" t="s">
        <v>17</v>
      </c>
      <c r="D230" s="39"/>
      <c r="E230" s="39">
        <v>3</v>
      </c>
      <c r="F230" s="39"/>
      <c r="G230" s="39"/>
      <c r="H230" s="40">
        <f>SUM(Tabla1326[[#This Row],[PRIMER TRIMESTRE]:[CUARTO TRIMESTRE]])</f>
        <v>3</v>
      </c>
      <c r="I230" s="17">
        <v>90</v>
      </c>
      <c r="J230" s="17">
        <f>+Tabla1326[[#This Row],[CANTIDAD TOTAL]]*Tabla1326[[#This Row],[PRECIO UNITARIO ESTIMADO]]</f>
        <v>270</v>
      </c>
      <c r="K230" s="17"/>
      <c r="L230" s="16" t="s">
        <v>15</v>
      </c>
      <c r="M230" s="16" t="s">
        <v>22</v>
      </c>
      <c r="N230" s="39" t="s">
        <v>418</v>
      </c>
      <c r="O230" s="20"/>
      <c r="R230" s="19" t="s">
        <v>173</v>
      </c>
    </row>
    <row r="231" spans="1:18" s="12" customFormat="1">
      <c r="A231" s="15" t="s">
        <v>80</v>
      </c>
      <c r="B231" s="75" t="s">
        <v>732</v>
      </c>
      <c r="C231" s="39" t="s">
        <v>17</v>
      </c>
      <c r="D231" s="39"/>
      <c r="E231" s="39"/>
      <c r="F231" s="39">
        <v>50</v>
      </c>
      <c r="G231" s="39"/>
      <c r="H231" s="40">
        <f>SUM(Tabla1326[[#This Row],[PRIMER TRIMESTRE]:[CUARTO TRIMESTRE]])</f>
        <v>50</v>
      </c>
      <c r="I231" s="72">
        <v>142.85</v>
      </c>
      <c r="J231" s="17">
        <f>+H231*I231</f>
        <v>7142.5</v>
      </c>
      <c r="K231" s="17"/>
      <c r="L231" s="16" t="s">
        <v>15</v>
      </c>
      <c r="M231" s="16" t="s">
        <v>22</v>
      </c>
      <c r="N231" s="39" t="s">
        <v>418</v>
      </c>
      <c r="O231" s="18"/>
      <c r="R231" s="19"/>
    </row>
    <row r="232" spans="1:18" s="12" customFormat="1">
      <c r="A232" s="15" t="s">
        <v>80</v>
      </c>
      <c r="B232" s="75" t="s">
        <v>733</v>
      </c>
      <c r="C232" s="39" t="s">
        <v>17</v>
      </c>
      <c r="D232" s="39"/>
      <c r="E232" s="39"/>
      <c r="F232" s="39">
        <v>50</v>
      </c>
      <c r="G232" s="39"/>
      <c r="H232" s="40">
        <f>SUM(Tabla1326[[#This Row],[PRIMER TRIMESTRE]:[CUARTO TRIMESTRE]])</f>
        <v>50</v>
      </c>
      <c r="I232" s="17">
        <v>39.56</v>
      </c>
      <c r="J232" s="17">
        <f t="shared" ref="J232:J237" si="5">+H232*I232</f>
        <v>1978</v>
      </c>
      <c r="K232" s="17"/>
      <c r="L232" s="16" t="s">
        <v>15</v>
      </c>
      <c r="M232" s="16" t="s">
        <v>22</v>
      </c>
      <c r="N232" s="39" t="s">
        <v>418</v>
      </c>
      <c r="O232" s="18"/>
      <c r="R232" s="19"/>
    </row>
    <row r="233" spans="1:18" s="12" customFormat="1">
      <c r="A233" s="15" t="s">
        <v>80</v>
      </c>
      <c r="B233" s="75" t="s">
        <v>734</v>
      </c>
      <c r="C233" s="39" t="s">
        <v>17</v>
      </c>
      <c r="D233" s="39"/>
      <c r="E233" s="39"/>
      <c r="F233" s="39">
        <v>50</v>
      </c>
      <c r="G233" s="39"/>
      <c r="H233" s="40">
        <f>SUM(Tabla1326[[#This Row],[PRIMER TRIMESTRE]:[CUARTO TRIMESTRE]])</f>
        <v>50</v>
      </c>
      <c r="I233" s="17">
        <v>41.8</v>
      </c>
      <c r="J233" s="17">
        <f t="shared" si="5"/>
        <v>2090</v>
      </c>
      <c r="K233" s="17"/>
      <c r="L233" s="16" t="s">
        <v>15</v>
      </c>
      <c r="M233" s="16" t="s">
        <v>22</v>
      </c>
      <c r="N233" s="39" t="s">
        <v>418</v>
      </c>
      <c r="O233" s="18"/>
      <c r="R233" s="19"/>
    </row>
    <row r="234" spans="1:18" s="12" customFormat="1">
      <c r="A234" s="15" t="s">
        <v>80</v>
      </c>
      <c r="B234" s="75" t="s">
        <v>735</v>
      </c>
      <c r="C234" s="39" t="s">
        <v>17</v>
      </c>
      <c r="D234" s="39"/>
      <c r="E234" s="39"/>
      <c r="F234" s="39">
        <v>50</v>
      </c>
      <c r="G234" s="39"/>
      <c r="H234" s="40">
        <f>SUM(Tabla1326[[#This Row],[PRIMER TRIMESTRE]:[CUARTO TRIMESTRE]])</f>
        <v>50</v>
      </c>
      <c r="I234" s="17">
        <v>50.27</v>
      </c>
      <c r="J234" s="17">
        <f t="shared" si="5"/>
        <v>2513.5</v>
      </c>
      <c r="K234" s="17"/>
      <c r="L234" s="16" t="s">
        <v>15</v>
      </c>
      <c r="M234" s="16" t="s">
        <v>22</v>
      </c>
      <c r="N234" s="39" t="s">
        <v>418</v>
      </c>
      <c r="O234" s="18"/>
      <c r="R234" s="19"/>
    </row>
    <row r="235" spans="1:18" s="12" customFormat="1">
      <c r="A235" s="15" t="s">
        <v>80</v>
      </c>
      <c r="B235" s="75" t="s">
        <v>736</v>
      </c>
      <c r="C235" s="39" t="s">
        <v>17</v>
      </c>
      <c r="D235" s="39"/>
      <c r="E235" s="39"/>
      <c r="F235" s="39">
        <v>50</v>
      </c>
      <c r="G235" s="39"/>
      <c r="H235" s="40">
        <f>SUM(Tabla1326[[#This Row],[PRIMER TRIMESTRE]:[CUARTO TRIMESTRE]])</f>
        <v>50</v>
      </c>
      <c r="I235" s="17">
        <v>60.89</v>
      </c>
      <c r="J235" s="17">
        <f t="shared" si="5"/>
        <v>3044.5</v>
      </c>
      <c r="K235" s="17"/>
      <c r="L235" s="16" t="s">
        <v>15</v>
      </c>
      <c r="M235" s="16" t="s">
        <v>22</v>
      </c>
      <c r="N235" s="39" t="s">
        <v>418</v>
      </c>
      <c r="O235" s="18"/>
      <c r="R235" s="19"/>
    </row>
    <row r="236" spans="1:18" s="12" customFormat="1">
      <c r="A236" s="15" t="s">
        <v>80</v>
      </c>
      <c r="B236" s="75" t="s">
        <v>737</v>
      </c>
      <c r="C236" s="39" t="s">
        <v>17</v>
      </c>
      <c r="D236" s="39"/>
      <c r="E236" s="39"/>
      <c r="F236" s="39">
        <v>50</v>
      </c>
      <c r="G236" s="39"/>
      <c r="H236" s="40">
        <f>SUM(Tabla1326[[#This Row],[PRIMER TRIMESTRE]:[CUARTO TRIMESTRE]])</f>
        <v>50</v>
      </c>
      <c r="I236" s="17">
        <v>65.36</v>
      </c>
      <c r="J236" s="17">
        <f t="shared" si="5"/>
        <v>3268</v>
      </c>
      <c r="K236" s="17"/>
      <c r="L236" s="16" t="s">
        <v>15</v>
      </c>
      <c r="M236" s="16" t="s">
        <v>22</v>
      </c>
      <c r="N236" s="39" t="s">
        <v>418</v>
      </c>
      <c r="O236" s="18"/>
      <c r="R236" s="19"/>
    </row>
    <row r="237" spans="1:18" s="12" customFormat="1">
      <c r="A237" s="15" t="s">
        <v>80</v>
      </c>
      <c r="B237" s="75" t="s">
        <v>738</v>
      </c>
      <c r="C237" s="39" t="s">
        <v>17</v>
      </c>
      <c r="D237" s="39"/>
      <c r="E237" s="39"/>
      <c r="F237" s="39">
        <v>50</v>
      </c>
      <c r="G237" s="39"/>
      <c r="H237" s="40">
        <f>SUM(Tabla1326[[#This Row],[PRIMER TRIMESTRE]:[CUARTO TRIMESTRE]])</f>
        <v>50</v>
      </c>
      <c r="I237" s="17">
        <v>352.74</v>
      </c>
      <c r="J237" s="17">
        <f t="shared" si="5"/>
        <v>17637</v>
      </c>
      <c r="K237" s="17"/>
      <c r="L237" s="16" t="s">
        <v>15</v>
      </c>
      <c r="M237" s="16" t="s">
        <v>22</v>
      </c>
      <c r="N237" s="39" t="s">
        <v>418</v>
      </c>
      <c r="O237" s="18"/>
      <c r="R237" s="19"/>
    </row>
    <row r="238" spans="1:18" s="12" customFormat="1">
      <c r="A238" s="15" t="s">
        <v>80</v>
      </c>
      <c r="B238" s="75" t="s">
        <v>565</v>
      </c>
      <c r="C238" s="39" t="s">
        <v>17</v>
      </c>
      <c r="D238" s="39"/>
      <c r="E238" s="39"/>
      <c r="F238" s="39">
        <v>10</v>
      </c>
      <c r="G238" s="39"/>
      <c r="H238" s="40">
        <f>SUM(Tabla1326[[#This Row],[PRIMER TRIMESTRE]:[CUARTO TRIMESTRE]])</f>
        <v>10</v>
      </c>
      <c r="I238" s="17">
        <v>141.38</v>
      </c>
      <c r="J238" s="17">
        <f>+Tabla1326[[#This Row],[CANTIDAD TOTAL]]*Tabla1326[[#This Row],[PRECIO UNITARIO ESTIMADO]]</f>
        <v>1413.8</v>
      </c>
      <c r="K238" s="17"/>
      <c r="L238" s="16" t="s">
        <v>15</v>
      </c>
      <c r="M238" s="16" t="s">
        <v>22</v>
      </c>
      <c r="N238" s="39" t="s">
        <v>418</v>
      </c>
      <c r="O238" s="20"/>
      <c r="R238" s="19" t="s">
        <v>146</v>
      </c>
    </row>
    <row r="239" spans="1:18" s="12" customFormat="1">
      <c r="A239" s="15" t="s">
        <v>80</v>
      </c>
      <c r="B239" s="75" t="s">
        <v>174</v>
      </c>
      <c r="C239" s="39" t="s">
        <v>17</v>
      </c>
      <c r="D239" s="39"/>
      <c r="E239" s="39">
        <v>2</v>
      </c>
      <c r="F239" s="39"/>
      <c r="G239" s="39"/>
      <c r="H239" s="40">
        <f>SUM(Tabla1326[[#This Row],[PRIMER TRIMESTRE]:[CUARTO TRIMESTRE]])</f>
        <v>2</v>
      </c>
      <c r="I239" s="17">
        <v>57420</v>
      </c>
      <c r="J239" s="17">
        <f>+Tabla1326[[#This Row],[CANTIDAD TOTAL]]*Tabla1326[[#This Row],[PRECIO UNITARIO ESTIMADO]]</f>
        <v>114840</v>
      </c>
      <c r="K239" s="17"/>
      <c r="L239" s="16" t="s">
        <v>27</v>
      </c>
      <c r="M239" s="16" t="s">
        <v>22</v>
      </c>
      <c r="N239" s="39" t="s">
        <v>418</v>
      </c>
      <c r="O239" s="20"/>
      <c r="R239" s="19" t="s">
        <v>175</v>
      </c>
    </row>
    <row r="240" spans="1:18" s="12" customFormat="1">
      <c r="A240" s="15" t="s">
        <v>80</v>
      </c>
      <c r="B240" s="75" t="s">
        <v>177</v>
      </c>
      <c r="C240" s="39" t="s">
        <v>93</v>
      </c>
      <c r="D240" s="39"/>
      <c r="E240" s="39">
        <v>40</v>
      </c>
      <c r="F240" s="39"/>
      <c r="G240" s="39">
        <v>40</v>
      </c>
      <c r="H240" s="40">
        <f>SUM(Tabla1326[[#This Row],[PRIMER TRIMESTRE]:[CUARTO TRIMESTRE]])</f>
        <v>80</v>
      </c>
      <c r="I240" s="17">
        <v>226.78</v>
      </c>
      <c r="J240" s="17">
        <f>+Tabla1326[[#This Row],[CANTIDAD TOTAL]]*Tabla1326[[#This Row],[PRECIO UNITARIO ESTIMADO]]</f>
        <v>18142.400000000001</v>
      </c>
      <c r="K240" s="17"/>
      <c r="L240" s="16" t="s">
        <v>27</v>
      </c>
      <c r="M240" s="16" t="s">
        <v>22</v>
      </c>
      <c r="N240" s="39" t="s">
        <v>418</v>
      </c>
      <c r="O240" s="20"/>
      <c r="R240" s="19" t="s">
        <v>178</v>
      </c>
    </row>
    <row r="241" spans="1:18" s="12" customFormat="1" ht="31.5" customHeight="1">
      <c r="A241" s="15" t="s">
        <v>80</v>
      </c>
      <c r="B241" s="75" t="s">
        <v>460</v>
      </c>
      <c r="C241" s="39" t="s">
        <v>93</v>
      </c>
      <c r="D241" s="39"/>
      <c r="E241" s="39"/>
      <c r="F241" s="39"/>
      <c r="G241" s="39">
        <v>50</v>
      </c>
      <c r="H241" s="40">
        <f>SUM(Tabla1326[[#This Row],[PRIMER TRIMESTRE]:[CUARTO TRIMESTRE]])</f>
        <v>50</v>
      </c>
      <c r="I241" s="17">
        <v>2055.4</v>
      </c>
      <c r="J241" s="17">
        <f>+H241*I241</f>
        <v>102770</v>
      </c>
      <c r="K241" s="17"/>
      <c r="L241" s="16" t="s">
        <v>27</v>
      </c>
      <c r="M241" s="16" t="s">
        <v>22</v>
      </c>
      <c r="N241" s="39" t="s">
        <v>418</v>
      </c>
      <c r="O241" s="18"/>
      <c r="R241" s="19"/>
    </row>
    <row r="242" spans="1:18" s="12" customFormat="1">
      <c r="A242" s="15" t="s">
        <v>80</v>
      </c>
      <c r="B242" s="75" t="s">
        <v>179</v>
      </c>
      <c r="C242" s="39" t="s">
        <v>93</v>
      </c>
      <c r="D242" s="39"/>
      <c r="E242" s="39">
        <v>25</v>
      </c>
      <c r="F242" s="39"/>
      <c r="G242" s="39">
        <v>20</v>
      </c>
      <c r="H242" s="40">
        <f>SUM(Tabla1326[[#This Row],[PRIMER TRIMESTRE]:[CUARTO TRIMESTRE]])</f>
        <v>45</v>
      </c>
      <c r="I242" s="17">
        <v>222.14</v>
      </c>
      <c r="J242" s="17">
        <f>+Tabla1326[[#This Row],[CANTIDAD TOTAL]]*Tabla1326[[#This Row],[PRECIO UNITARIO ESTIMADO]]</f>
        <v>9996.2999999999993</v>
      </c>
      <c r="K242" s="17"/>
      <c r="L242" s="16" t="s">
        <v>27</v>
      </c>
      <c r="M242" s="16" t="s">
        <v>22</v>
      </c>
      <c r="N242" s="39" t="s">
        <v>418</v>
      </c>
      <c r="O242" s="20"/>
      <c r="R242" s="19" t="s">
        <v>180</v>
      </c>
    </row>
    <row r="243" spans="1:18" s="12" customFormat="1">
      <c r="A243" s="15" t="s">
        <v>80</v>
      </c>
      <c r="B243" s="75" t="s">
        <v>181</v>
      </c>
      <c r="C243" s="39" t="s">
        <v>69</v>
      </c>
      <c r="D243" s="39"/>
      <c r="E243" s="39">
        <v>41</v>
      </c>
      <c r="F243" s="39"/>
      <c r="G243" s="39">
        <v>41</v>
      </c>
      <c r="H243" s="40">
        <f>SUM(Tabla1326[[#This Row],[PRIMER TRIMESTRE]:[CUARTO TRIMESTRE]])</f>
        <v>82</v>
      </c>
      <c r="I243" s="17">
        <v>6206</v>
      </c>
      <c r="J243" s="17">
        <f>+Tabla1326[[#This Row],[CANTIDAD TOTAL]]*Tabla1326[[#This Row],[PRECIO UNITARIO ESTIMADO]]</f>
        <v>508892</v>
      </c>
      <c r="K243" s="17"/>
      <c r="L243" s="16" t="s">
        <v>27</v>
      </c>
      <c r="M243" s="16" t="s">
        <v>22</v>
      </c>
      <c r="N243" s="39" t="s">
        <v>418</v>
      </c>
      <c r="O243" s="20"/>
      <c r="R243" s="19" t="s">
        <v>182</v>
      </c>
    </row>
    <row r="244" spans="1:18" s="12" customFormat="1" ht="36.75" customHeight="1">
      <c r="A244" s="15" t="s">
        <v>80</v>
      </c>
      <c r="B244" s="75" t="s">
        <v>468</v>
      </c>
      <c r="C244" s="39" t="s">
        <v>17</v>
      </c>
      <c r="D244" s="39"/>
      <c r="E244" s="39"/>
      <c r="F244" s="39"/>
      <c r="G244" s="39">
        <v>30</v>
      </c>
      <c r="H244" s="40">
        <f>SUM(Tabla1326[[#This Row],[PRIMER TRIMESTRE]:[CUARTO TRIMESTRE]])</f>
        <v>30</v>
      </c>
      <c r="I244" s="17">
        <v>4827</v>
      </c>
      <c r="J244" s="17">
        <f>+Tabla1326[[#This Row],[CANTIDAD TOTAL]]*Tabla1326[[#This Row],[PRECIO UNITARIO ESTIMADO]]</f>
        <v>144810</v>
      </c>
      <c r="K244" s="17"/>
      <c r="L244" s="16" t="s">
        <v>27</v>
      </c>
      <c r="M244" s="16" t="s">
        <v>22</v>
      </c>
      <c r="N244" s="39" t="s">
        <v>418</v>
      </c>
      <c r="O244" s="20"/>
      <c r="R244" s="19" t="s">
        <v>183</v>
      </c>
    </row>
    <row r="245" spans="1:18" s="12" customFormat="1">
      <c r="A245" s="15" t="s">
        <v>80</v>
      </c>
      <c r="B245" s="75" t="s">
        <v>773</v>
      </c>
      <c r="C245" s="39" t="s">
        <v>17</v>
      </c>
      <c r="D245" s="39"/>
      <c r="E245" s="39">
        <v>70</v>
      </c>
      <c r="F245" s="39"/>
      <c r="G245" s="39">
        <v>70</v>
      </c>
      <c r="H245" s="40">
        <f>SUM(Tabla1326[[#This Row],[PRIMER TRIMESTRE]:[CUARTO TRIMESTRE]])</f>
        <v>140</v>
      </c>
      <c r="I245" s="72">
        <v>500</v>
      </c>
      <c r="J245" s="17">
        <f t="shared" ref="J245:J252" si="6">+H245*I245</f>
        <v>70000</v>
      </c>
      <c r="K245" s="17"/>
      <c r="L245" s="16" t="s">
        <v>27</v>
      </c>
      <c r="M245" s="16" t="s">
        <v>22</v>
      </c>
      <c r="N245" s="39" t="s">
        <v>418</v>
      </c>
      <c r="O245" s="18"/>
      <c r="R245" s="19"/>
    </row>
    <row r="246" spans="1:18" s="12" customFormat="1">
      <c r="A246" s="15" t="s">
        <v>80</v>
      </c>
      <c r="B246" s="75" t="s">
        <v>774</v>
      </c>
      <c r="C246" s="39" t="s">
        <v>17</v>
      </c>
      <c r="D246" s="39"/>
      <c r="E246" s="39">
        <v>70</v>
      </c>
      <c r="F246" s="39"/>
      <c r="G246" s="39">
        <v>70</v>
      </c>
      <c r="H246" s="40">
        <f>SUM(Tabla1326[[#This Row],[PRIMER TRIMESTRE]:[CUARTO TRIMESTRE]])</f>
        <v>140</v>
      </c>
      <c r="I246" s="72">
        <v>1380</v>
      </c>
      <c r="J246" s="17">
        <f t="shared" si="6"/>
        <v>193200</v>
      </c>
      <c r="K246" s="17"/>
      <c r="L246" s="16" t="s">
        <v>27</v>
      </c>
      <c r="M246" s="16" t="s">
        <v>22</v>
      </c>
      <c r="N246" s="39" t="s">
        <v>418</v>
      </c>
      <c r="O246" s="18"/>
      <c r="R246" s="19"/>
    </row>
    <row r="247" spans="1:18" s="12" customFormat="1">
      <c r="A247" s="15" t="s">
        <v>80</v>
      </c>
      <c r="B247" s="75" t="s">
        <v>775</v>
      </c>
      <c r="C247" s="39" t="s">
        <v>17</v>
      </c>
      <c r="D247" s="39"/>
      <c r="E247" s="39">
        <v>70</v>
      </c>
      <c r="F247" s="39"/>
      <c r="G247" s="39">
        <v>70</v>
      </c>
      <c r="H247" s="40">
        <f>SUM(Tabla1326[[#This Row],[PRIMER TRIMESTRE]:[CUARTO TRIMESTRE]])</f>
        <v>140</v>
      </c>
      <c r="I247" s="72">
        <v>3200</v>
      </c>
      <c r="J247" s="17">
        <f t="shared" si="6"/>
        <v>448000</v>
      </c>
      <c r="K247" s="17"/>
      <c r="L247" s="16" t="s">
        <v>27</v>
      </c>
      <c r="M247" s="16" t="s">
        <v>22</v>
      </c>
      <c r="N247" s="39" t="s">
        <v>418</v>
      </c>
      <c r="O247" s="18"/>
      <c r="R247" s="19"/>
    </row>
    <row r="248" spans="1:18" s="12" customFormat="1" ht="35.25" customHeight="1">
      <c r="A248" s="15" t="s">
        <v>80</v>
      </c>
      <c r="B248" s="75" t="s">
        <v>420</v>
      </c>
      <c r="C248" s="39" t="s">
        <v>17</v>
      </c>
      <c r="D248" s="39"/>
      <c r="E248" s="39"/>
      <c r="F248" s="39">
        <v>9</v>
      </c>
      <c r="G248" s="39"/>
      <c r="H248" s="40">
        <f>SUM(Tabla1326[[#This Row],[PRIMER TRIMESTRE]:[CUARTO TRIMESTRE]])</f>
        <v>9</v>
      </c>
      <c r="I248" s="17">
        <v>2171.81</v>
      </c>
      <c r="J248" s="17">
        <f t="shared" si="6"/>
        <v>19546.29</v>
      </c>
      <c r="K248" s="17"/>
      <c r="L248" s="16" t="s">
        <v>27</v>
      </c>
      <c r="M248" s="16" t="s">
        <v>22</v>
      </c>
      <c r="N248" s="39"/>
      <c r="O248" s="20"/>
    </row>
    <row r="249" spans="1:18" s="12" customFormat="1" ht="35.25" customHeight="1">
      <c r="A249" s="32" t="s">
        <v>80</v>
      </c>
      <c r="B249" s="75" t="s">
        <v>421</v>
      </c>
      <c r="C249" s="39" t="s">
        <v>17</v>
      </c>
      <c r="D249" s="39"/>
      <c r="E249" s="39"/>
      <c r="F249" s="39">
        <v>15</v>
      </c>
      <c r="G249" s="39"/>
      <c r="H249" s="41">
        <f>SUM(Tabla1326[[#This Row],[PRIMER TRIMESTRE]:[CUARTO TRIMESTRE]])</f>
        <v>15</v>
      </c>
      <c r="I249" s="17">
        <v>3225.53</v>
      </c>
      <c r="J249" s="17">
        <f t="shared" si="6"/>
        <v>48382.950000000004</v>
      </c>
      <c r="K249" s="31"/>
      <c r="L249" s="16" t="s">
        <v>27</v>
      </c>
      <c r="M249" s="28" t="s">
        <v>22</v>
      </c>
      <c r="N249" s="45"/>
      <c r="O249" s="20"/>
    </row>
    <row r="250" spans="1:18" s="12" customFormat="1" ht="35.25" customHeight="1">
      <c r="A250" s="32" t="s">
        <v>80</v>
      </c>
      <c r="B250" s="75" t="s">
        <v>422</v>
      </c>
      <c r="C250" s="39" t="s">
        <v>17</v>
      </c>
      <c r="D250" s="39"/>
      <c r="E250" s="39"/>
      <c r="F250" s="39">
        <v>12</v>
      </c>
      <c r="G250" s="39"/>
      <c r="H250" s="41">
        <f>SUM(Tabla1326[[#This Row],[PRIMER TRIMESTRE]:[CUARTO TRIMESTRE]])</f>
        <v>12</v>
      </c>
      <c r="I250" s="17">
        <v>4361.28</v>
      </c>
      <c r="J250" s="17">
        <f t="shared" si="6"/>
        <v>52335.360000000001</v>
      </c>
      <c r="K250" s="31"/>
      <c r="L250" s="16" t="s">
        <v>27</v>
      </c>
      <c r="M250" s="28" t="s">
        <v>22</v>
      </c>
      <c r="N250" s="45"/>
      <c r="O250" s="20"/>
    </row>
    <row r="251" spans="1:18" s="12" customFormat="1" ht="35.25" customHeight="1">
      <c r="A251" s="32" t="s">
        <v>80</v>
      </c>
      <c r="B251" s="75" t="s">
        <v>423</v>
      </c>
      <c r="C251" s="39" t="s">
        <v>17</v>
      </c>
      <c r="D251" s="39"/>
      <c r="E251" s="39"/>
      <c r="F251" s="39">
        <v>12</v>
      </c>
      <c r="G251" s="39"/>
      <c r="H251" s="41">
        <f>SUM(Tabla1326[[#This Row],[PRIMER TRIMESTRE]:[CUARTO TRIMESTRE]])</f>
        <v>12</v>
      </c>
      <c r="I251" s="17">
        <v>6561.39</v>
      </c>
      <c r="J251" s="17">
        <f t="shared" si="6"/>
        <v>78736.680000000008</v>
      </c>
      <c r="K251" s="31"/>
      <c r="L251" s="16" t="s">
        <v>27</v>
      </c>
      <c r="M251" s="28" t="s">
        <v>22</v>
      </c>
      <c r="N251" s="45"/>
      <c r="O251" s="20"/>
    </row>
    <row r="252" spans="1:18" s="12" customFormat="1" ht="35.25" customHeight="1">
      <c r="A252" s="32" t="s">
        <v>80</v>
      </c>
      <c r="B252" s="75" t="s">
        <v>424</v>
      </c>
      <c r="C252" s="39" t="s">
        <v>17</v>
      </c>
      <c r="D252" s="39"/>
      <c r="E252" s="39"/>
      <c r="F252" s="39">
        <v>8</v>
      </c>
      <c r="G252" s="39"/>
      <c r="H252" s="41">
        <f>SUM(Tabla1326[[#This Row],[PRIMER TRIMESTRE]:[CUARTO TRIMESTRE]])</f>
        <v>8</v>
      </c>
      <c r="I252" s="17">
        <v>12136.3</v>
      </c>
      <c r="J252" s="17">
        <f t="shared" si="6"/>
        <v>97090.4</v>
      </c>
      <c r="K252" s="31"/>
      <c r="L252" s="16" t="s">
        <v>27</v>
      </c>
      <c r="M252" s="28" t="s">
        <v>22</v>
      </c>
      <c r="N252" s="45"/>
      <c r="O252" s="20"/>
    </row>
    <row r="253" spans="1:18" s="12" customFormat="1">
      <c r="A253" s="15" t="s">
        <v>80</v>
      </c>
      <c r="B253" s="75" t="s">
        <v>184</v>
      </c>
      <c r="C253" s="39" t="s">
        <v>17</v>
      </c>
      <c r="D253" s="39"/>
      <c r="E253" s="39"/>
      <c r="F253" s="39">
        <v>35</v>
      </c>
      <c r="G253" s="39"/>
      <c r="H253" s="40">
        <f>SUM(Tabla1326[[#This Row],[PRIMER TRIMESTRE]:[CUARTO TRIMESTRE]])</f>
        <v>35</v>
      </c>
      <c r="I253" s="17">
        <v>1347.46</v>
      </c>
      <c r="J253" s="17">
        <f>+Tabla1326[[#This Row],[CANTIDAD TOTAL]]*Tabla1326[[#This Row],[PRECIO UNITARIO ESTIMADO]]</f>
        <v>47161.1</v>
      </c>
      <c r="K253" s="17"/>
      <c r="L253" s="16" t="s">
        <v>27</v>
      </c>
      <c r="M253" s="16" t="s">
        <v>22</v>
      </c>
      <c r="N253" s="39" t="s">
        <v>418</v>
      </c>
      <c r="O253" s="20"/>
      <c r="R253" s="19" t="s">
        <v>185</v>
      </c>
    </row>
    <row r="254" spans="1:18" s="12" customFormat="1" ht="27.75" customHeight="1">
      <c r="A254" s="15" t="s">
        <v>80</v>
      </c>
      <c r="B254" s="75" t="s">
        <v>369</v>
      </c>
      <c r="C254" s="39" t="s">
        <v>17</v>
      </c>
      <c r="D254" s="39"/>
      <c r="E254" s="39">
        <v>750</v>
      </c>
      <c r="F254" s="39"/>
      <c r="G254" s="39">
        <v>750</v>
      </c>
      <c r="H254" s="40">
        <f>SUM(Tabla1326[[#This Row],[PRIMER TRIMESTRE]:[CUARTO TRIMESTRE]])</f>
        <v>1500</v>
      </c>
      <c r="I254" s="17">
        <v>4.55</v>
      </c>
      <c r="J254" s="17">
        <f t="shared" ref="J254:J263" si="7">+H254*I254</f>
        <v>6825</v>
      </c>
      <c r="K254" s="17"/>
      <c r="L254" s="16" t="s">
        <v>27</v>
      </c>
      <c r="M254" s="16" t="s">
        <v>22</v>
      </c>
      <c r="N254" s="39" t="s">
        <v>418</v>
      </c>
      <c r="O254" s="20"/>
    </row>
    <row r="255" spans="1:18" s="12" customFormat="1" ht="27.75" customHeight="1">
      <c r="A255" s="32" t="s">
        <v>80</v>
      </c>
      <c r="B255" s="75" t="s">
        <v>449</v>
      </c>
      <c r="C255" s="39" t="s">
        <v>17</v>
      </c>
      <c r="D255" s="39"/>
      <c r="E255" s="39">
        <v>750</v>
      </c>
      <c r="F255" s="39"/>
      <c r="G255" s="39">
        <v>750</v>
      </c>
      <c r="H255" s="40">
        <f>SUM(Tabla1326[[#This Row],[PRIMER TRIMESTRE]:[CUARTO TRIMESTRE]])</f>
        <v>1500</v>
      </c>
      <c r="I255" s="17">
        <v>4.55</v>
      </c>
      <c r="J255" s="17">
        <f t="shared" si="7"/>
        <v>6825</v>
      </c>
      <c r="K255" s="31"/>
      <c r="L255" s="16" t="s">
        <v>27</v>
      </c>
      <c r="M255" s="28" t="s">
        <v>22</v>
      </c>
      <c r="N255" s="39" t="s">
        <v>418</v>
      </c>
      <c r="O255" s="29"/>
    </row>
    <row r="256" spans="1:18" s="12" customFormat="1" ht="27.75" customHeight="1">
      <c r="A256" s="32" t="s">
        <v>80</v>
      </c>
      <c r="B256" s="75" t="s">
        <v>450</v>
      </c>
      <c r="C256" s="39" t="s">
        <v>17</v>
      </c>
      <c r="D256" s="39"/>
      <c r="E256" s="39">
        <v>750</v>
      </c>
      <c r="F256" s="39"/>
      <c r="G256" s="39">
        <v>750</v>
      </c>
      <c r="H256" s="40">
        <f>SUM(Tabla1326[[#This Row],[PRIMER TRIMESTRE]:[CUARTO TRIMESTRE]])</f>
        <v>1500</v>
      </c>
      <c r="I256" s="17">
        <v>4.55</v>
      </c>
      <c r="J256" s="17">
        <f t="shared" si="7"/>
        <v>6825</v>
      </c>
      <c r="K256" s="31"/>
      <c r="L256" s="16" t="s">
        <v>27</v>
      </c>
      <c r="M256" s="28" t="s">
        <v>22</v>
      </c>
      <c r="N256" s="39" t="s">
        <v>418</v>
      </c>
      <c r="O256" s="29"/>
    </row>
    <row r="257" spans="1:18" s="12" customFormat="1" ht="27.75" customHeight="1">
      <c r="A257" s="32" t="s">
        <v>80</v>
      </c>
      <c r="B257" s="75" t="s">
        <v>451</v>
      </c>
      <c r="C257" s="39" t="s">
        <v>17</v>
      </c>
      <c r="D257" s="39"/>
      <c r="E257" s="39">
        <v>750</v>
      </c>
      <c r="F257" s="39"/>
      <c r="G257" s="39">
        <v>750</v>
      </c>
      <c r="H257" s="40">
        <f>SUM(Tabla1326[[#This Row],[PRIMER TRIMESTRE]:[CUARTO TRIMESTRE]])</f>
        <v>1500</v>
      </c>
      <c r="I257" s="17">
        <v>4.55</v>
      </c>
      <c r="J257" s="17">
        <f t="shared" si="7"/>
        <v>6825</v>
      </c>
      <c r="K257" s="31"/>
      <c r="L257" s="16" t="s">
        <v>27</v>
      </c>
      <c r="M257" s="28" t="s">
        <v>22</v>
      </c>
      <c r="N257" s="39" t="s">
        <v>418</v>
      </c>
      <c r="O257" s="29"/>
    </row>
    <row r="258" spans="1:18" s="12" customFormat="1" ht="27.75" customHeight="1">
      <c r="A258" s="32" t="s">
        <v>80</v>
      </c>
      <c r="B258" s="75" t="s">
        <v>453</v>
      </c>
      <c r="C258" s="39" t="s">
        <v>17</v>
      </c>
      <c r="D258" s="39"/>
      <c r="E258" s="39">
        <v>750</v>
      </c>
      <c r="F258" s="39"/>
      <c r="G258" s="39">
        <v>750</v>
      </c>
      <c r="H258" s="40">
        <f>SUM(Tabla1326[[#This Row],[PRIMER TRIMESTRE]:[CUARTO TRIMESTRE]])</f>
        <v>1500</v>
      </c>
      <c r="I258" s="17">
        <v>4.55</v>
      </c>
      <c r="J258" s="17">
        <f t="shared" si="7"/>
        <v>6825</v>
      </c>
      <c r="K258" s="31"/>
      <c r="L258" s="16" t="s">
        <v>27</v>
      </c>
      <c r="M258" s="28" t="s">
        <v>22</v>
      </c>
      <c r="N258" s="39" t="s">
        <v>418</v>
      </c>
      <c r="O258" s="29"/>
    </row>
    <row r="259" spans="1:18" s="12" customFormat="1" ht="27.75" customHeight="1">
      <c r="A259" s="32" t="s">
        <v>80</v>
      </c>
      <c r="B259" s="75" t="s">
        <v>452</v>
      </c>
      <c r="C259" s="39" t="s">
        <v>17</v>
      </c>
      <c r="D259" s="39"/>
      <c r="E259" s="39">
        <v>750</v>
      </c>
      <c r="F259" s="39"/>
      <c r="G259" s="39">
        <v>750</v>
      </c>
      <c r="H259" s="40">
        <f>SUM(Tabla1326[[#This Row],[PRIMER TRIMESTRE]:[CUARTO TRIMESTRE]])</f>
        <v>1500</v>
      </c>
      <c r="I259" s="17">
        <v>4.55</v>
      </c>
      <c r="J259" s="17">
        <f t="shared" si="7"/>
        <v>6825</v>
      </c>
      <c r="K259" s="31"/>
      <c r="L259" s="16" t="s">
        <v>27</v>
      </c>
      <c r="M259" s="28" t="s">
        <v>22</v>
      </c>
      <c r="N259" s="39" t="s">
        <v>418</v>
      </c>
      <c r="O259" s="29"/>
    </row>
    <row r="260" spans="1:18" s="12" customFormat="1" ht="27.75" customHeight="1">
      <c r="A260" s="15" t="s">
        <v>80</v>
      </c>
      <c r="B260" s="75" t="s">
        <v>603</v>
      </c>
      <c r="C260" s="39" t="s">
        <v>17</v>
      </c>
      <c r="D260" s="39"/>
      <c r="E260" s="39">
        <v>200</v>
      </c>
      <c r="F260" s="39"/>
      <c r="G260" s="39">
        <v>200</v>
      </c>
      <c r="H260" s="40">
        <f>SUM(Tabla1326[[#This Row],[PRIMER TRIMESTRE]:[CUARTO TRIMESTRE]])</f>
        <v>400</v>
      </c>
      <c r="I260" s="17">
        <v>737.74</v>
      </c>
      <c r="J260" s="17">
        <f t="shared" si="7"/>
        <v>295096</v>
      </c>
      <c r="K260" s="17"/>
      <c r="L260" s="16" t="s">
        <v>27</v>
      </c>
      <c r="M260" s="16" t="s">
        <v>22</v>
      </c>
      <c r="N260" s="39" t="s">
        <v>418</v>
      </c>
      <c r="O260" s="20"/>
    </row>
    <row r="261" spans="1:18" s="12" customFormat="1" ht="27.75" customHeight="1">
      <c r="A261" s="15" t="s">
        <v>80</v>
      </c>
      <c r="B261" s="75" t="s">
        <v>604</v>
      </c>
      <c r="C261" s="39" t="s">
        <v>17</v>
      </c>
      <c r="D261" s="39"/>
      <c r="E261" s="39">
        <v>175</v>
      </c>
      <c r="F261" s="39"/>
      <c r="G261" s="39">
        <v>175</v>
      </c>
      <c r="H261" s="40">
        <f>SUM(Tabla1326[[#This Row],[PRIMER TRIMESTRE]:[CUARTO TRIMESTRE]])</f>
        <v>350</v>
      </c>
      <c r="I261" s="17">
        <v>2121.4499999999998</v>
      </c>
      <c r="J261" s="17">
        <f t="shared" si="7"/>
        <v>742507.49999999988</v>
      </c>
      <c r="K261" s="17"/>
      <c r="L261" s="16" t="s">
        <v>27</v>
      </c>
      <c r="M261" s="16" t="s">
        <v>22</v>
      </c>
      <c r="N261" s="39" t="s">
        <v>418</v>
      </c>
      <c r="O261" s="20"/>
    </row>
    <row r="262" spans="1:18" s="12" customFormat="1" ht="27.75" customHeight="1">
      <c r="A262" s="32" t="s">
        <v>80</v>
      </c>
      <c r="B262" s="75" t="s">
        <v>605</v>
      </c>
      <c r="C262" s="39" t="s">
        <v>17</v>
      </c>
      <c r="D262" s="39"/>
      <c r="E262" s="39">
        <v>175</v>
      </c>
      <c r="F262" s="39"/>
      <c r="G262" s="39">
        <v>175</v>
      </c>
      <c r="H262" s="40">
        <f>SUM(Tabla1326[[#This Row],[PRIMER TRIMESTRE]:[CUARTO TRIMESTRE]])</f>
        <v>350</v>
      </c>
      <c r="I262" s="17">
        <v>2121.4499999999998</v>
      </c>
      <c r="J262" s="17">
        <f t="shared" si="7"/>
        <v>742507.49999999988</v>
      </c>
      <c r="K262" s="31"/>
      <c r="L262" s="16" t="s">
        <v>27</v>
      </c>
      <c r="M262" s="28" t="s">
        <v>22</v>
      </c>
      <c r="N262" s="39" t="s">
        <v>418</v>
      </c>
      <c r="O262" s="29"/>
    </row>
    <row r="263" spans="1:18" s="12" customFormat="1" ht="27.75" customHeight="1">
      <c r="A263" s="15" t="s">
        <v>80</v>
      </c>
      <c r="B263" s="75" t="s">
        <v>606</v>
      </c>
      <c r="C263" s="39" t="s">
        <v>17</v>
      </c>
      <c r="D263" s="39"/>
      <c r="E263" s="39">
        <v>175</v>
      </c>
      <c r="F263" s="39"/>
      <c r="G263" s="39">
        <v>175</v>
      </c>
      <c r="H263" s="40">
        <f>SUM(Tabla1326[[#This Row],[PRIMER TRIMESTRE]:[CUARTO TRIMESTRE]])</f>
        <v>350</v>
      </c>
      <c r="I263" s="17">
        <v>3601.69</v>
      </c>
      <c r="J263" s="17">
        <f t="shared" si="7"/>
        <v>1260591.5</v>
      </c>
      <c r="K263" s="17"/>
      <c r="L263" s="16" t="s">
        <v>27</v>
      </c>
      <c r="M263" s="16" t="s">
        <v>22</v>
      </c>
      <c r="N263" s="39" t="s">
        <v>418</v>
      </c>
      <c r="O263" s="20"/>
    </row>
    <row r="264" spans="1:18" s="12" customFormat="1" ht="27.75" customHeight="1">
      <c r="A264" s="15" t="s">
        <v>80</v>
      </c>
      <c r="B264" s="75" t="s">
        <v>188</v>
      </c>
      <c r="C264" s="39" t="s">
        <v>189</v>
      </c>
      <c r="D264" s="39"/>
      <c r="E264" s="39">
        <v>140</v>
      </c>
      <c r="F264" s="39"/>
      <c r="G264" s="39">
        <v>140</v>
      </c>
      <c r="H264" s="40">
        <f>SUM(Tabla1326[[#This Row],[PRIMER TRIMESTRE]:[CUARTO TRIMESTRE]])</f>
        <v>280</v>
      </c>
      <c r="I264" s="17">
        <v>104.4</v>
      </c>
      <c r="J264" s="17">
        <f>+Tabla1326[[#This Row],[CANTIDAD TOTAL]]*Tabla1326[[#This Row],[PRECIO UNITARIO ESTIMADO]]</f>
        <v>29232</v>
      </c>
      <c r="K264" s="17"/>
      <c r="L264" s="16" t="s">
        <v>27</v>
      </c>
      <c r="M264" s="16" t="s">
        <v>22</v>
      </c>
      <c r="N264" s="39" t="s">
        <v>418</v>
      </c>
      <c r="O264" s="20"/>
      <c r="R264" s="19" t="s">
        <v>190</v>
      </c>
    </row>
    <row r="265" spans="1:18" s="12" customFormat="1" ht="27.75" customHeight="1">
      <c r="A265" s="15" t="s">
        <v>80</v>
      </c>
      <c r="B265" s="75" t="s">
        <v>191</v>
      </c>
      <c r="C265" s="39" t="s">
        <v>17</v>
      </c>
      <c r="D265" s="39"/>
      <c r="E265" s="39">
        <v>600</v>
      </c>
      <c r="F265" s="39"/>
      <c r="G265" s="39">
        <v>600</v>
      </c>
      <c r="H265" s="40">
        <f>SUM(Tabla1326[[#This Row],[PRIMER TRIMESTRE]:[CUARTO TRIMESTRE]])</f>
        <v>1200</v>
      </c>
      <c r="I265" s="17">
        <v>754</v>
      </c>
      <c r="J265" s="17">
        <f>+Tabla1326[[#This Row],[CANTIDAD TOTAL]]*Tabla1326[[#This Row],[PRECIO UNITARIO ESTIMADO]]</f>
        <v>904800</v>
      </c>
      <c r="K265" s="17"/>
      <c r="L265" s="16" t="s">
        <v>27</v>
      </c>
      <c r="M265" s="16" t="s">
        <v>22</v>
      </c>
      <c r="N265" s="39" t="s">
        <v>418</v>
      </c>
      <c r="O265" s="20"/>
      <c r="R265" s="19" t="s">
        <v>192</v>
      </c>
    </row>
    <row r="266" spans="1:18" s="12" customFormat="1" ht="27.75" customHeight="1">
      <c r="A266" s="15" t="s">
        <v>80</v>
      </c>
      <c r="B266" s="75" t="s">
        <v>193</v>
      </c>
      <c r="C266" s="39" t="s">
        <v>17</v>
      </c>
      <c r="D266" s="39"/>
      <c r="E266" s="39">
        <v>400</v>
      </c>
      <c r="F266" s="39"/>
      <c r="G266" s="39">
        <v>400</v>
      </c>
      <c r="H266" s="40">
        <f>SUM(Tabla1326[[#This Row],[PRIMER TRIMESTRE]:[CUARTO TRIMESTRE]])</f>
        <v>800</v>
      </c>
      <c r="I266" s="17">
        <v>222.06</v>
      </c>
      <c r="J266" s="17">
        <f>+Tabla1326[[#This Row],[CANTIDAD TOTAL]]*Tabla1326[[#This Row],[PRECIO UNITARIO ESTIMADO]]</f>
        <v>177648</v>
      </c>
      <c r="K266" s="17"/>
      <c r="L266" s="16" t="s">
        <v>27</v>
      </c>
      <c r="M266" s="16" t="s">
        <v>22</v>
      </c>
      <c r="N266" s="39" t="s">
        <v>418</v>
      </c>
      <c r="O266" s="20"/>
      <c r="R266" s="19" t="s">
        <v>194</v>
      </c>
    </row>
    <row r="267" spans="1:18" s="12" customFormat="1" ht="27.75" customHeight="1">
      <c r="A267" s="15" t="s">
        <v>80</v>
      </c>
      <c r="B267" s="75" t="s">
        <v>195</v>
      </c>
      <c r="C267" s="39" t="s">
        <v>17</v>
      </c>
      <c r="D267" s="39"/>
      <c r="E267" s="39">
        <v>3</v>
      </c>
      <c r="F267" s="39"/>
      <c r="G267" s="39">
        <v>2</v>
      </c>
      <c r="H267" s="40">
        <f>SUM(Tabla1326[[#This Row],[PRIMER TRIMESTRE]:[CUARTO TRIMESTRE]])</f>
        <v>5</v>
      </c>
      <c r="I267" s="17">
        <v>272.06</v>
      </c>
      <c r="J267" s="17">
        <f>+Tabla1326[[#This Row],[CANTIDAD TOTAL]]*Tabla1326[[#This Row],[PRECIO UNITARIO ESTIMADO]]</f>
        <v>1360.3</v>
      </c>
      <c r="K267" s="17"/>
      <c r="L267" s="16" t="s">
        <v>27</v>
      </c>
      <c r="M267" s="16" t="s">
        <v>22</v>
      </c>
      <c r="N267" s="39" t="s">
        <v>418</v>
      </c>
      <c r="O267" s="20"/>
      <c r="R267" s="19" t="s">
        <v>196</v>
      </c>
    </row>
    <row r="268" spans="1:18" s="12" customFormat="1" ht="27.75" customHeight="1">
      <c r="A268" s="15" t="s">
        <v>80</v>
      </c>
      <c r="B268" s="75" t="s">
        <v>654</v>
      </c>
      <c r="C268" s="39" t="s">
        <v>17</v>
      </c>
      <c r="D268" s="39"/>
      <c r="E268" s="39">
        <f>(1500+2000+8000+8000)/2+1000</f>
        <v>10750</v>
      </c>
      <c r="F268" s="39"/>
      <c r="G268" s="39">
        <f>9750+1000</f>
        <v>10750</v>
      </c>
      <c r="H268" s="40">
        <f>SUM(Tabla1326[[#This Row],[PRIMER TRIMESTRE]:[CUARTO TRIMESTRE]])</f>
        <v>21500</v>
      </c>
      <c r="I268" s="17">
        <v>2.86</v>
      </c>
      <c r="J268" s="17">
        <f>+Tabla1326[[#This Row],[CANTIDAD TOTAL]]*Tabla1326[[#This Row],[PRECIO UNITARIO ESTIMADO]]</f>
        <v>61490</v>
      </c>
      <c r="K268" s="17"/>
      <c r="L268" s="16" t="s">
        <v>27</v>
      </c>
      <c r="M268" s="16" t="s">
        <v>22</v>
      </c>
      <c r="N268" s="39" t="s">
        <v>418</v>
      </c>
      <c r="O268" s="20"/>
      <c r="R268" s="19" t="s">
        <v>197</v>
      </c>
    </row>
    <row r="269" spans="1:18" s="12" customFormat="1" ht="27.75" customHeight="1">
      <c r="A269" s="15" t="s">
        <v>80</v>
      </c>
      <c r="B269" s="75" t="s">
        <v>655</v>
      </c>
      <c r="C269" s="39" t="s">
        <v>17</v>
      </c>
      <c r="D269" s="39"/>
      <c r="E269" s="39">
        <f>500+9500</f>
        <v>10000</v>
      </c>
      <c r="F269" s="39"/>
      <c r="G269" s="39">
        <f>500+9500</f>
        <v>10000</v>
      </c>
      <c r="H269" s="40">
        <f>SUM(Tabla1326[[#This Row],[PRIMER TRIMESTRE]:[CUARTO TRIMESTRE]])</f>
        <v>20000</v>
      </c>
      <c r="I269" s="17">
        <v>4.09</v>
      </c>
      <c r="J269" s="17">
        <f>+Tabla1326[[#This Row],[CANTIDAD TOTAL]]*Tabla1326[[#This Row],[PRECIO UNITARIO ESTIMADO]]</f>
        <v>81800</v>
      </c>
      <c r="K269" s="17"/>
      <c r="L269" s="16" t="s">
        <v>27</v>
      </c>
      <c r="M269" s="16" t="s">
        <v>22</v>
      </c>
      <c r="N269" s="39" t="s">
        <v>418</v>
      </c>
      <c r="O269" s="20"/>
      <c r="R269" s="19" t="s">
        <v>198</v>
      </c>
    </row>
    <row r="270" spans="1:18" s="12" customFormat="1" ht="27.75" customHeight="1">
      <c r="A270" s="15" t="s">
        <v>80</v>
      </c>
      <c r="B270" s="75" t="s">
        <v>659</v>
      </c>
      <c r="C270" s="39" t="s">
        <v>17</v>
      </c>
      <c r="D270" s="39"/>
      <c r="E270" s="39">
        <v>200</v>
      </c>
      <c r="F270" s="39"/>
      <c r="G270" s="39">
        <v>200</v>
      </c>
      <c r="H270" s="40">
        <f>SUM(Tabla1326[[#This Row],[PRIMER TRIMESTRE]:[CUARTO TRIMESTRE]])</f>
        <v>400</v>
      </c>
      <c r="I270" s="72">
        <v>11.82</v>
      </c>
      <c r="J270" s="17">
        <f>+H270*I270</f>
        <v>4728</v>
      </c>
      <c r="K270" s="17"/>
      <c r="L270" s="16" t="s">
        <v>27</v>
      </c>
      <c r="M270" s="16" t="s">
        <v>22</v>
      </c>
      <c r="N270" s="39" t="s">
        <v>418</v>
      </c>
      <c r="O270" s="18"/>
      <c r="R270" s="19"/>
    </row>
    <row r="271" spans="1:18" s="12" customFormat="1" ht="27.75" customHeight="1">
      <c r="A271" s="15" t="s">
        <v>80</v>
      </c>
      <c r="B271" s="75" t="s">
        <v>660</v>
      </c>
      <c r="C271" s="39" t="s">
        <v>17</v>
      </c>
      <c r="D271" s="39"/>
      <c r="E271" s="39">
        <v>50</v>
      </c>
      <c r="F271" s="39"/>
      <c r="G271" s="39">
        <v>50</v>
      </c>
      <c r="H271" s="40">
        <f>SUM(Tabla1326[[#This Row],[PRIMER TRIMESTRE]:[CUARTO TRIMESTRE]])</f>
        <v>100</v>
      </c>
      <c r="I271" s="72">
        <v>13.65</v>
      </c>
      <c r="J271" s="17">
        <f>+H271*I271</f>
        <v>1365</v>
      </c>
      <c r="K271" s="17"/>
      <c r="L271" s="16" t="s">
        <v>27</v>
      </c>
      <c r="M271" s="16" t="s">
        <v>22</v>
      </c>
      <c r="N271" s="39" t="s">
        <v>418</v>
      </c>
      <c r="O271" s="18"/>
      <c r="R271" s="19"/>
    </row>
    <row r="272" spans="1:18" s="12" customFormat="1">
      <c r="A272" s="15" t="s">
        <v>80</v>
      </c>
      <c r="B272" s="75" t="s">
        <v>656</v>
      </c>
      <c r="C272" s="39" t="s">
        <v>17</v>
      </c>
      <c r="D272" s="39"/>
      <c r="E272" s="39">
        <v>50</v>
      </c>
      <c r="F272" s="39"/>
      <c r="G272" s="39">
        <v>50</v>
      </c>
      <c r="H272" s="40">
        <f>SUM(Tabla1326[[#This Row],[PRIMER TRIMESTRE]:[CUARTO TRIMESTRE]])</f>
        <v>100</v>
      </c>
      <c r="I272" s="17">
        <v>22.39</v>
      </c>
      <c r="J272" s="17">
        <f>+Tabla1326[[#This Row],[CANTIDAD TOTAL]]*Tabla1326[[#This Row],[PRECIO UNITARIO ESTIMADO]]</f>
        <v>2239</v>
      </c>
      <c r="K272" s="17"/>
      <c r="L272" s="16" t="s">
        <v>27</v>
      </c>
      <c r="M272" s="16" t="s">
        <v>22</v>
      </c>
      <c r="N272" s="39" t="s">
        <v>418</v>
      </c>
      <c r="O272" s="20"/>
      <c r="R272" s="19" t="s">
        <v>199</v>
      </c>
    </row>
    <row r="273" spans="1:18" s="12" customFormat="1">
      <c r="A273" s="15" t="s">
        <v>80</v>
      </c>
      <c r="B273" s="75" t="s">
        <v>657</v>
      </c>
      <c r="C273" s="39" t="s">
        <v>17</v>
      </c>
      <c r="D273" s="39"/>
      <c r="E273" s="39">
        <v>50</v>
      </c>
      <c r="F273" s="39"/>
      <c r="G273" s="39">
        <v>50</v>
      </c>
      <c r="H273" s="40">
        <f>SUM(Tabla1326[[#This Row],[PRIMER TRIMESTRE]:[CUARTO TRIMESTRE]])</f>
        <v>100</v>
      </c>
      <c r="I273" s="17">
        <v>59.97</v>
      </c>
      <c r="J273" s="17">
        <f>+Tabla1326[[#This Row],[CANTIDAD TOTAL]]*Tabla1326[[#This Row],[PRECIO UNITARIO ESTIMADO]]</f>
        <v>5997</v>
      </c>
      <c r="K273" s="17"/>
      <c r="L273" s="16" t="s">
        <v>27</v>
      </c>
      <c r="M273" s="16" t="s">
        <v>22</v>
      </c>
      <c r="N273" s="39" t="s">
        <v>418</v>
      </c>
      <c r="O273" s="20"/>
      <c r="R273" s="19" t="s">
        <v>200</v>
      </c>
    </row>
    <row r="274" spans="1:18" s="12" customFormat="1">
      <c r="A274" s="15" t="s">
        <v>80</v>
      </c>
      <c r="B274" s="75" t="s">
        <v>658</v>
      </c>
      <c r="C274" s="39" t="s">
        <v>17</v>
      </c>
      <c r="D274" s="39"/>
      <c r="E274" s="39">
        <v>50</v>
      </c>
      <c r="F274" s="39"/>
      <c r="G274" s="39">
        <v>50</v>
      </c>
      <c r="H274" s="40">
        <f>SUM(Tabla1326[[#This Row],[PRIMER TRIMESTRE]:[CUARTO TRIMESTRE]])</f>
        <v>100</v>
      </c>
      <c r="I274" s="17">
        <v>101.5</v>
      </c>
      <c r="J274" s="17">
        <f>+Tabla1326[[#This Row],[CANTIDAD TOTAL]]*Tabla1326[[#This Row],[PRECIO UNITARIO ESTIMADO]]</f>
        <v>10150</v>
      </c>
      <c r="K274" s="17"/>
      <c r="L274" s="16" t="s">
        <v>27</v>
      </c>
      <c r="M274" s="16" t="s">
        <v>22</v>
      </c>
      <c r="N274" s="39" t="s">
        <v>418</v>
      </c>
      <c r="O274" s="20"/>
      <c r="R274" s="19" t="s">
        <v>201</v>
      </c>
    </row>
    <row r="275" spans="1:18" s="12" customFormat="1">
      <c r="A275" s="15" t="s">
        <v>80</v>
      </c>
      <c r="B275" s="75" t="s">
        <v>202</v>
      </c>
      <c r="C275" s="39" t="s">
        <v>17</v>
      </c>
      <c r="D275" s="39"/>
      <c r="E275" s="39">
        <v>12</v>
      </c>
      <c r="F275" s="39"/>
      <c r="G275" s="39">
        <v>12</v>
      </c>
      <c r="H275" s="40">
        <f>SUM(Tabla1326[[#This Row],[PRIMER TRIMESTRE]:[CUARTO TRIMESTRE]])</f>
        <v>24</v>
      </c>
      <c r="I275" s="17">
        <v>3364</v>
      </c>
      <c r="J275" s="17">
        <f>+Tabla1326[[#This Row],[CANTIDAD TOTAL]]*Tabla1326[[#This Row],[PRECIO UNITARIO ESTIMADO]]</f>
        <v>80736</v>
      </c>
      <c r="K275" s="17"/>
      <c r="L275" s="16" t="s">
        <v>27</v>
      </c>
      <c r="M275" s="16" t="s">
        <v>22</v>
      </c>
      <c r="N275" s="39" t="s">
        <v>418</v>
      </c>
      <c r="O275" s="20"/>
      <c r="R275" s="19" t="s">
        <v>203</v>
      </c>
    </row>
    <row r="276" spans="1:18" s="12" customFormat="1">
      <c r="A276" s="15" t="s">
        <v>80</v>
      </c>
      <c r="B276" s="75" t="s">
        <v>776</v>
      </c>
      <c r="C276" s="39" t="s">
        <v>17</v>
      </c>
      <c r="D276" s="39"/>
      <c r="E276" s="39">
        <v>250</v>
      </c>
      <c r="F276" s="39"/>
      <c r="G276" s="39">
        <v>250</v>
      </c>
      <c r="H276" s="40">
        <f>SUM(Tabla1326[[#This Row],[PRIMER TRIMESTRE]:[CUARTO TRIMESTRE]])</f>
        <v>500</v>
      </c>
      <c r="I276" s="17">
        <v>32.479999999999997</v>
      </c>
      <c r="J276" s="17">
        <f>+Tabla1326[[#This Row],[CANTIDAD TOTAL]]*Tabla1326[[#This Row],[PRECIO UNITARIO ESTIMADO]]</f>
        <v>16239.999999999998</v>
      </c>
      <c r="K276" s="17"/>
      <c r="L276" s="16" t="s">
        <v>27</v>
      </c>
      <c r="M276" s="16" t="s">
        <v>22</v>
      </c>
      <c r="N276" s="39" t="s">
        <v>418</v>
      </c>
      <c r="O276" s="20"/>
      <c r="R276" s="19" t="s">
        <v>204</v>
      </c>
    </row>
    <row r="277" spans="1:18" s="12" customFormat="1">
      <c r="A277" s="15" t="s">
        <v>80</v>
      </c>
      <c r="B277" s="75" t="s">
        <v>205</v>
      </c>
      <c r="C277" s="39" t="s">
        <v>17</v>
      </c>
      <c r="D277" s="39"/>
      <c r="E277" s="39">
        <v>150</v>
      </c>
      <c r="F277" s="39"/>
      <c r="G277" s="39">
        <v>150</v>
      </c>
      <c r="H277" s="40">
        <f>SUM(Tabla1326[[#This Row],[PRIMER TRIMESTRE]:[CUARTO TRIMESTRE]])</f>
        <v>300</v>
      </c>
      <c r="I277" s="17">
        <v>2.3199999999999998</v>
      </c>
      <c r="J277" s="17">
        <f>+Tabla1326[[#This Row],[CANTIDAD TOTAL]]*Tabla1326[[#This Row],[PRECIO UNITARIO ESTIMADO]]</f>
        <v>696</v>
      </c>
      <c r="K277" s="17"/>
      <c r="L277" s="16" t="s">
        <v>27</v>
      </c>
      <c r="M277" s="16" t="s">
        <v>22</v>
      </c>
      <c r="N277" s="39" t="s">
        <v>418</v>
      </c>
      <c r="O277" s="20"/>
    </row>
    <row r="278" spans="1:18" s="12" customFormat="1">
      <c r="A278" s="15" t="s">
        <v>80</v>
      </c>
      <c r="B278" s="75" t="s">
        <v>206</v>
      </c>
      <c r="C278" s="39" t="s">
        <v>17</v>
      </c>
      <c r="D278" s="39"/>
      <c r="E278" s="39">
        <v>550</v>
      </c>
      <c r="F278" s="39"/>
      <c r="G278" s="39">
        <v>550</v>
      </c>
      <c r="H278" s="40">
        <f>SUM(Tabla1326[[#This Row],[PRIMER TRIMESTRE]:[CUARTO TRIMESTRE]])</f>
        <v>1100</v>
      </c>
      <c r="I278" s="17">
        <v>3.48</v>
      </c>
      <c r="J278" s="17">
        <f>+Tabla1326[[#This Row],[CANTIDAD TOTAL]]*Tabla1326[[#This Row],[PRECIO UNITARIO ESTIMADO]]</f>
        <v>3828</v>
      </c>
      <c r="K278" s="17"/>
      <c r="L278" s="16" t="s">
        <v>27</v>
      </c>
      <c r="M278" s="16" t="s">
        <v>22</v>
      </c>
      <c r="N278" s="39" t="s">
        <v>418</v>
      </c>
      <c r="O278" s="20"/>
    </row>
    <row r="279" spans="1:18" s="12" customFormat="1">
      <c r="A279" s="32" t="s">
        <v>80</v>
      </c>
      <c r="B279" s="75" t="s">
        <v>638</v>
      </c>
      <c r="C279" s="39" t="s">
        <v>17</v>
      </c>
      <c r="D279" s="39"/>
      <c r="E279" s="39">
        <v>40</v>
      </c>
      <c r="F279" s="40"/>
      <c r="G279" s="39">
        <v>40</v>
      </c>
      <c r="H279" s="40">
        <f>SUM(Tabla1326[[#This Row],[PRIMER TRIMESTRE]:[CUARTO TRIMESTRE]])</f>
        <v>80</v>
      </c>
      <c r="I279" s="72">
        <v>7.28</v>
      </c>
      <c r="J279" s="17">
        <f t="shared" ref="J279:J324" si="8">+H279*I279</f>
        <v>582.4</v>
      </c>
      <c r="K279" s="31"/>
      <c r="L279" s="16" t="s">
        <v>27</v>
      </c>
      <c r="M279" s="28" t="s">
        <v>22</v>
      </c>
      <c r="N279" s="45"/>
      <c r="O279" s="29"/>
    </row>
    <row r="280" spans="1:18" s="12" customFormat="1">
      <c r="A280" s="32" t="s">
        <v>80</v>
      </c>
      <c r="B280" s="75" t="s">
        <v>639</v>
      </c>
      <c r="C280" s="39" t="s">
        <v>17</v>
      </c>
      <c r="D280" s="39"/>
      <c r="E280" s="39">
        <v>40</v>
      </c>
      <c r="F280" s="40"/>
      <c r="G280" s="39">
        <v>40</v>
      </c>
      <c r="H280" s="40">
        <f>SUM(Tabla1326[[#This Row],[PRIMER TRIMESTRE]:[CUARTO TRIMESTRE]])</f>
        <v>80</v>
      </c>
      <c r="I280" s="72">
        <v>11.82</v>
      </c>
      <c r="J280" s="17">
        <f t="shared" si="8"/>
        <v>945.6</v>
      </c>
      <c r="K280" s="31"/>
      <c r="L280" s="16" t="s">
        <v>27</v>
      </c>
      <c r="M280" s="28" t="s">
        <v>22</v>
      </c>
      <c r="N280" s="45"/>
      <c r="O280" s="29"/>
    </row>
    <row r="281" spans="1:18" s="12" customFormat="1">
      <c r="A281" s="32" t="s">
        <v>80</v>
      </c>
      <c r="B281" s="75" t="s">
        <v>642</v>
      </c>
      <c r="C281" s="39" t="s">
        <v>17</v>
      </c>
      <c r="D281" s="39"/>
      <c r="E281" s="39">
        <v>40</v>
      </c>
      <c r="F281" s="40"/>
      <c r="G281" s="39">
        <v>40</v>
      </c>
      <c r="H281" s="40">
        <f>SUM(Tabla1326[[#This Row],[PRIMER TRIMESTRE]:[CUARTO TRIMESTRE]])</f>
        <v>80</v>
      </c>
      <c r="I281" s="72">
        <v>22.74</v>
      </c>
      <c r="J281" s="17">
        <f t="shared" si="8"/>
        <v>1819.1999999999998</v>
      </c>
      <c r="K281" s="31"/>
      <c r="L281" s="16" t="s">
        <v>27</v>
      </c>
      <c r="M281" s="28" t="s">
        <v>22</v>
      </c>
      <c r="N281" s="45"/>
      <c r="O281" s="29"/>
    </row>
    <row r="282" spans="1:18" s="12" customFormat="1">
      <c r="A282" s="32" t="s">
        <v>80</v>
      </c>
      <c r="B282" s="75" t="s">
        <v>643</v>
      </c>
      <c r="C282" s="39" t="s">
        <v>17</v>
      </c>
      <c r="D282" s="39"/>
      <c r="E282" s="39">
        <v>20</v>
      </c>
      <c r="F282" s="40"/>
      <c r="G282" s="39">
        <v>20</v>
      </c>
      <c r="H282" s="40">
        <f>SUM(Tabla1326[[#This Row],[PRIMER TRIMESTRE]:[CUARTO TRIMESTRE]])</f>
        <v>40</v>
      </c>
      <c r="I282" s="72">
        <v>53.66</v>
      </c>
      <c r="J282" s="17">
        <f t="shared" si="8"/>
        <v>2146.3999999999996</v>
      </c>
      <c r="K282" s="31"/>
      <c r="L282" s="16" t="s">
        <v>27</v>
      </c>
      <c r="M282" s="28" t="s">
        <v>22</v>
      </c>
      <c r="N282" s="45"/>
      <c r="O282" s="29"/>
    </row>
    <row r="283" spans="1:18" s="12" customFormat="1">
      <c r="A283" s="32" t="s">
        <v>80</v>
      </c>
      <c r="B283" s="75" t="s">
        <v>640</v>
      </c>
      <c r="C283" s="39" t="s">
        <v>17</v>
      </c>
      <c r="D283" s="39"/>
      <c r="E283" s="39">
        <v>20</v>
      </c>
      <c r="F283" s="40"/>
      <c r="G283" s="39">
        <v>20</v>
      </c>
      <c r="H283" s="40">
        <f>SUM(Tabla1326[[#This Row],[PRIMER TRIMESTRE]:[CUARTO TRIMESTRE]])</f>
        <v>40</v>
      </c>
      <c r="I283" s="72">
        <v>90</v>
      </c>
      <c r="J283" s="17">
        <f t="shared" si="8"/>
        <v>3600</v>
      </c>
      <c r="K283" s="31"/>
      <c r="L283" s="16" t="s">
        <v>27</v>
      </c>
      <c r="M283" s="28" t="s">
        <v>22</v>
      </c>
      <c r="N283" s="45"/>
      <c r="O283" s="29"/>
    </row>
    <row r="284" spans="1:18" s="12" customFormat="1">
      <c r="A284" s="15" t="s">
        <v>80</v>
      </c>
      <c r="B284" s="75" t="s">
        <v>641</v>
      </c>
      <c r="C284" s="39" t="s">
        <v>17</v>
      </c>
      <c r="D284" s="39"/>
      <c r="E284" s="39">
        <v>20</v>
      </c>
      <c r="F284" s="39"/>
      <c r="G284" s="39">
        <v>20</v>
      </c>
      <c r="H284" s="40">
        <f>SUM(Tabla1326[[#This Row],[PRIMER TRIMESTRE]:[CUARTO TRIMESTRE]])</f>
        <v>40</v>
      </c>
      <c r="I284" s="72">
        <v>1799.03</v>
      </c>
      <c r="J284" s="17">
        <f t="shared" si="8"/>
        <v>71961.2</v>
      </c>
      <c r="K284" s="17"/>
      <c r="L284" s="16" t="s">
        <v>27</v>
      </c>
      <c r="M284" s="16" t="s">
        <v>22</v>
      </c>
      <c r="N284" s="39"/>
      <c r="O284" s="20"/>
    </row>
    <row r="285" spans="1:18" s="12" customFormat="1">
      <c r="A285" s="15" t="s">
        <v>80</v>
      </c>
      <c r="B285" s="75" t="s">
        <v>607</v>
      </c>
      <c r="C285" s="39" t="s">
        <v>17</v>
      </c>
      <c r="D285" s="39"/>
      <c r="E285" s="39">
        <v>20</v>
      </c>
      <c r="F285" s="39"/>
      <c r="G285" s="39">
        <v>20</v>
      </c>
      <c r="H285" s="40">
        <f>SUM(Tabla1326[[#This Row],[PRIMER TRIMESTRE]:[CUARTO TRIMESTRE]])</f>
        <v>40</v>
      </c>
      <c r="I285" s="17">
        <v>3068</v>
      </c>
      <c r="J285" s="17">
        <f t="shared" si="8"/>
        <v>122720</v>
      </c>
      <c r="K285" s="17"/>
      <c r="L285" s="16" t="s">
        <v>27</v>
      </c>
      <c r="M285" s="16" t="s">
        <v>22</v>
      </c>
      <c r="N285" s="39"/>
      <c r="O285" s="18"/>
    </row>
    <row r="286" spans="1:18" s="12" customFormat="1">
      <c r="A286" s="15" t="s">
        <v>80</v>
      </c>
      <c r="B286" s="75" t="s">
        <v>608</v>
      </c>
      <c r="C286" s="39" t="s">
        <v>17</v>
      </c>
      <c r="D286" s="39"/>
      <c r="E286" s="39">
        <v>20</v>
      </c>
      <c r="F286" s="39"/>
      <c r="G286" s="39">
        <v>20</v>
      </c>
      <c r="H286" s="40">
        <f>SUM(Tabla1326[[#This Row],[PRIMER TRIMESTRE]:[CUARTO TRIMESTRE]])</f>
        <v>40</v>
      </c>
      <c r="I286" s="17">
        <v>4425</v>
      </c>
      <c r="J286" s="17">
        <f t="shared" si="8"/>
        <v>177000</v>
      </c>
      <c r="K286" s="17"/>
      <c r="L286" s="16" t="s">
        <v>27</v>
      </c>
      <c r="M286" s="16" t="s">
        <v>22</v>
      </c>
      <c r="N286" s="39"/>
      <c r="O286" s="18"/>
    </row>
    <row r="287" spans="1:18" s="12" customFormat="1">
      <c r="A287" s="15" t="s">
        <v>80</v>
      </c>
      <c r="B287" s="75" t="s">
        <v>609</v>
      </c>
      <c r="C287" s="39" t="s">
        <v>17</v>
      </c>
      <c r="D287" s="39"/>
      <c r="E287" s="39">
        <v>20</v>
      </c>
      <c r="F287" s="39"/>
      <c r="G287" s="39">
        <v>20</v>
      </c>
      <c r="H287" s="40">
        <f>SUM(Tabla1326[[#This Row],[PRIMER TRIMESTRE]:[CUARTO TRIMESTRE]])</f>
        <v>40</v>
      </c>
      <c r="I287" s="17">
        <v>5074</v>
      </c>
      <c r="J287" s="17">
        <f t="shared" si="8"/>
        <v>202960</v>
      </c>
      <c r="K287" s="17"/>
      <c r="L287" s="16" t="s">
        <v>27</v>
      </c>
      <c r="M287" s="16" t="s">
        <v>22</v>
      </c>
      <c r="N287" s="39"/>
      <c r="O287" s="18"/>
    </row>
    <row r="288" spans="1:18" s="12" customFormat="1">
      <c r="A288" s="15" t="s">
        <v>80</v>
      </c>
      <c r="B288" s="75" t="s">
        <v>610</v>
      </c>
      <c r="C288" s="39" t="s">
        <v>17</v>
      </c>
      <c r="D288" s="39"/>
      <c r="E288" s="39">
        <v>20</v>
      </c>
      <c r="F288" s="39"/>
      <c r="G288" s="39">
        <v>20</v>
      </c>
      <c r="H288" s="40">
        <f>SUM(Tabla1326[[#This Row],[PRIMER TRIMESTRE]:[CUARTO TRIMESTRE]])</f>
        <v>40</v>
      </c>
      <c r="I288" s="17">
        <v>6431</v>
      </c>
      <c r="J288" s="17">
        <f t="shared" si="8"/>
        <v>257240</v>
      </c>
      <c r="K288" s="17"/>
      <c r="L288" s="16" t="s">
        <v>27</v>
      </c>
      <c r="M288" s="16" t="s">
        <v>22</v>
      </c>
      <c r="N288" s="39"/>
      <c r="O288" s="18"/>
    </row>
    <row r="289" spans="1:15" s="12" customFormat="1">
      <c r="A289" s="15" t="s">
        <v>80</v>
      </c>
      <c r="B289" s="75" t="s">
        <v>611</v>
      </c>
      <c r="C289" s="39" t="s">
        <v>17</v>
      </c>
      <c r="D289" s="39"/>
      <c r="E289" s="39">
        <v>20</v>
      </c>
      <c r="F289" s="39"/>
      <c r="G289" s="39">
        <v>20</v>
      </c>
      <c r="H289" s="40">
        <f>SUM(Tabla1326[[#This Row],[PRIMER TRIMESTRE]:[CUARTO TRIMESTRE]])</f>
        <v>40</v>
      </c>
      <c r="I289" s="17">
        <v>7943</v>
      </c>
      <c r="J289" s="17">
        <f t="shared" si="8"/>
        <v>317720</v>
      </c>
      <c r="K289" s="17"/>
      <c r="L289" s="16" t="s">
        <v>27</v>
      </c>
      <c r="M289" s="16" t="s">
        <v>22</v>
      </c>
      <c r="N289" s="39"/>
      <c r="O289" s="18"/>
    </row>
    <row r="290" spans="1:15" s="12" customFormat="1">
      <c r="A290" s="15" t="s">
        <v>80</v>
      </c>
      <c r="B290" s="75" t="s">
        <v>612</v>
      </c>
      <c r="C290" s="39" t="s">
        <v>17</v>
      </c>
      <c r="D290" s="39"/>
      <c r="E290" s="39">
        <v>8</v>
      </c>
      <c r="F290" s="39"/>
      <c r="G290" s="39">
        <v>8</v>
      </c>
      <c r="H290" s="40">
        <f>SUM(Tabla1326[[#This Row],[PRIMER TRIMESTRE]:[CUARTO TRIMESTRE]])</f>
        <v>16</v>
      </c>
      <c r="I290" s="17">
        <v>9145</v>
      </c>
      <c r="J290" s="17">
        <f t="shared" si="8"/>
        <v>146320</v>
      </c>
      <c r="K290" s="17"/>
      <c r="L290" s="16" t="s">
        <v>27</v>
      </c>
      <c r="M290" s="16" t="s">
        <v>22</v>
      </c>
      <c r="N290" s="39"/>
      <c r="O290" s="18"/>
    </row>
    <row r="291" spans="1:15" s="12" customFormat="1">
      <c r="A291" s="15" t="s">
        <v>80</v>
      </c>
      <c r="B291" s="75" t="s">
        <v>613</v>
      </c>
      <c r="C291" s="39" t="s">
        <v>17</v>
      </c>
      <c r="D291" s="39"/>
      <c r="E291" s="39">
        <v>15</v>
      </c>
      <c r="F291" s="39"/>
      <c r="G291" s="39">
        <v>15</v>
      </c>
      <c r="H291" s="40">
        <f>SUM(Tabla1326[[#This Row],[PRIMER TRIMESTRE]:[CUARTO TRIMESTRE]])</f>
        <v>30</v>
      </c>
      <c r="I291" s="17">
        <v>10502</v>
      </c>
      <c r="J291" s="17">
        <f t="shared" si="8"/>
        <v>315060</v>
      </c>
      <c r="K291" s="17"/>
      <c r="L291" s="16" t="s">
        <v>27</v>
      </c>
      <c r="M291" s="16" t="s">
        <v>22</v>
      </c>
      <c r="N291" s="39"/>
      <c r="O291" s="18"/>
    </row>
    <row r="292" spans="1:15" s="12" customFormat="1">
      <c r="A292" s="15" t="s">
        <v>80</v>
      </c>
      <c r="B292" s="75" t="s">
        <v>614</v>
      </c>
      <c r="C292" s="39" t="s">
        <v>17</v>
      </c>
      <c r="D292" s="39"/>
      <c r="E292" s="39">
        <v>15</v>
      </c>
      <c r="F292" s="39"/>
      <c r="G292" s="39">
        <v>15</v>
      </c>
      <c r="H292" s="40">
        <f>SUM(Tabla1326[[#This Row],[PRIMER TRIMESTRE]:[CUARTO TRIMESTRE]])</f>
        <v>30</v>
      </c>
      <c r="I292" s="17">
        <v>11564</v>
      </c>
      <c r="J292" s="17">
        <f t="shared" si="8"/>
        <v>346920</v>
      </c>
      <c r="K292" s="17"/>
      <c r="L292" s="16" t="s">
        <v>27</v>
      </c>
      <c r="M292" s="16" t="s">
        <v>22</v>
      </c>
      <c r="N292" s="39"/>
      <c r="O292" s="18"/>
    </row>
    <row r="293" spans="1:15" s="12" customFormat="1">
      <c r="A293" s="15" t="s">
        <v>80</v>
      </c>
      <c r="B293" s="75" t="s">
        <v>615</v>
      </c>
      <c r="C293" s="39" t="s">
        <v>17</v>
      </c>
      <c r="D293" s="39"/>
      <c r="E293" s="39">
        <v>5</v>
      </c>
      <c r="F293" s="39"/>
      <c r="G293" s="39">
        <v>5</v>
      </c>
      <c r="H293" s="40">
        <f>SUM(Tabla1326[[#This Row],[PRIMER TRIMESTRE]:[CUARTO TRIMESTRE]])</f>
        <v>10</v>
      </c>
      <c r="I293" s="17">
        <v>13747</v>
      </c>
      <c r="J293" s="17">
        <f t="shared" si="8"/>
        <v>137470</v>
      </c>
      <c r="K293" s="17"/>
      <c r="L293" s="16" t="s">
        <v>27</v>
      </c>
      <c r="M293" s="16" t="s">
        <v>22</v>
      </c>
      <c r="N293" s="39"/>
      <c r="O293" s="18"/>
    </row>
    <row r="294" spans="1:15" s="12" customFormat="1">
      <c r="A294" s="146" t="s">
        <v>80</v>
      </c>
      <c r="B294" s="94" t="s">
        <v>702</v>
      </c>
      <c r="C294" s="95" t="s">
        <v>17</v>
      </c>
      <c r="D294" s="95">
        <v>40</v>
      </c>
      <c r="E294" s="95"/>
      <c r="F294" s="95">
        <v>40</v>
      </c>
      <c r="G294" s="39"/>
      <c r="H294" s="96">
        <f>SUM(Tabla1326[[#This Row],[PRIMER TRIMESTRE]:[CUARTO TRIMESTRE]])</f>
        <v>80</v>
      </c>
      <c r="I294" s="97">
        <v>1052.51</v>
      </c>
      <c r="J294" s="97">
        <f t="shared" si="8"/>
        <v>84200.8</v>
      </c>
      <c r="K294" s="17"/>
      <c r="L294" s="16" t="s">
        <v>27</v>
      </c>
      <c r="M294" s="16" t="s">
        <v>22</v>
      </c>
      <c r="N294" s="39"/>
      <c r="O294" s="20"/>
    </row>
    <row r="295" spans="1:15" s="12" customFormat="1">
      <c r="A295" s="146" t="s">
        <v>80</v>
      </c>
      <c r="B295" s="94" t="s">
        <v>370</v>
      </c>
      <c r="C295" s="95" t="s">
        <v>17</v>
      </c>
      <c r="D295" s="95">
        <v>40</v>
      </c>
      <c r="E295" s="95"/>
      <c r="F295" s="95">
        <v>40</v>
      </c>
      <c r="G295" s="39"/>
      <c r="H295" s="96">
        <f>SUM(Tabla1326[[#This Row],[PRIMER TRIMESTRE]:[CUARTO TRIMESTRE]])</f>
        <v>80</v>
      </c>
      <c r="I295" s="97">
        <v>3302.0937420000005</v>
      </c>
      <c r="J295" s="97">
        <f t="shared" si="8"/>
        <v>264167.49936000002</v>
      </c>
      <c r="K295" s="17"/>
      <c r="L295" s="16" t="s">
        <v>27</v>
      </c>
      <c r="M295" s="16" t="s">
        <v>22</v>
      </c>
      <c r="N295" s="39"/>
      <c r="O295" s="20"/>
    </row>
    <row r="296" spans="1:15" s="12" customFormat="1">
      <c r="A296" s="146" t="s">
        <v>80</v>
      </c>
      <c r="B296" s="94" t="s">
        <v>371</v>
      </c>
      <c r="C296" s="95" t="s">
        <v>17</v>
      </c>
      <c r="D296" s="95">
        <v>40</v>
      </c>
      <c r="E296" s="95"/>
      <c r="F296" s="95">
        <v>40</v>
      </c>
      <c r="G296" s="39"/>
      <c r="H296" s="96">
        <f>SUM(Tabla1326[[#This Row],[PRIMER TRIMESTRE]:[CUARTO TRIMESTRE]])</f>
        <v>80</v>
      </c>
      <c r="I296" s="97">
        <v>5605.3296870000004</v>
      </c>
      <c r="J296" s="97">
        <f t="shared" si="8"/>
        <v>448426.37496000004</v>
      </c>
      <c r="K296" s="17"/>
      <c r="L296" s="16" t="s">
        <v>27</v>
      </c>
      <c r="M296" s="16" t="s">
        <v>22</v>
      </c>
      <c r="N296" s="39"/>
      <c r="O296" s="20"/>
    </row>
    <row r="297" spans="1:15" s="12" customFormat="1">
      <c r="A297" s="146" t="s">
        <v>80</v>
      </c>
      <c r="B297" s="94" t="s">
        <v>799</v>
      </c>
      <c r="C297" s="95" t="s">
        <v>17</v>
      </c>
      <c r="D297" s="95">
        <v>20</v>
      </c>
      <c r="E297" s="95"/>
      <c r="F297" s="95">
        <v>15</v>
      </c>
      <c r="G297" s="39"/>
      <c r="H297" s="96">
        <f>SUM(Tabla1326[[#This Row],[PRIMER TRIMESTRE]:[CUARTO TRIMESTRE]])</f>
        <v>35</v>
      </c>
      <c r="I297" s="97">
        <v>12700</v>
      </c>
      <c r="J297" s="97">
        <f>+H297*I297</f>
        <v>444500</v>
      </c>
      <c r="K297" s="17"/>
      <c r="L297" s="16" t="s">
        <v>27</v>
      </c>
      <c r="M297" s="16"/>
      <c r="N297" s="39"/>
      <c r="O297" s="18"/>
    </row>
    <row r="298" spans="1:15" s="12" customFormat="1">
      <c r="A298" s="146" t="s">
        <v>80</v>
      </c>
      <c r="B298" s="94" t="s">
        <v>372</v>
      </c>
      <c r="C298" s="95" t="s">
        <v>17</v>
      </c>
      <c r="D298" s="95"/>
      <c r="E298" s="95"/>
      <c r="F298" s="95">
        <v>20</v>
      </c>
      <c r="G298" s="39"/>
      <c r="H298" s="96">
        <f>SUM(Tabla1326[[#This Row],[PRIMER TRIMESTRE]:[CUARTO TRIMESTRE]])</f>
        <v>20</v>
      </c>
      <c r="I298" s="97">
        <v>256.14999999999998</v>
      </c>
      <c r="J298" s="97">
        <f t="shared" si="8"/>
        <v>5123</v>
      </c>
      <c r="K298" s="17"/>
      <c r="L298" s="16" t="s">
        <v>27</v>
      </c>
      <c r="M298" s="16" t="s">
        <v>22</v>
      </c>
      <c r="N298" s="39"/>
      <c r="O298" s="20"/>
    </row>
    <row r="299" spans="1:15" s="12" customFormat="1">
      <c r="A299" s="146" t="s">
        <v>80</v>
      </c>
      <c r="B299" s="94" t="s">
        <v>373</v>
      </c>
      <c r="C299" s="95" t="s">
        <v>17</v>
      </c>
      <c r="D299" s="95"/>
      <c r="E299" s="95"/>
      <c r="F299" s="95">
        <v>20</v>
      </c>
      <c r="G299" s="39"/>
      <c r="H299" s="96">
        <f>SUM(Tabla1326[[#This Row],[PRIMER TRIMESTRE]:[CUARTO TRIMESTRE]])</f>
        <v>20</v>
      </c>
      <c r="I299" s="97">
        <v>260.58531900000003</v>
      </c>
      <c r="J299" s="97">
        <f t="shared" si="8"/>
        <v>5211.7063800000005</v>
      </c>
      <c r="K299" s="17"/>
      <c r="L299" s="16" t="s">
        <v>27</v>
      </c>
      <c r="M299" s="16" t="s">
        <v>22</v>
      </c>
      <c r="N299" s="39"/>
      <c r="O299" s="20"/>
    </row>
    <row r="300" spans="1:15" s="12" customFormat="1">
      <c r="A300" s="146" t="s">
        <v>80</v>
      </c>
      <c r="B300" s="94" t="s">
        <v>374</v>
      </c>
      <c r="C300" s="95" t="s">
        <v>17</v>
      </c>
      <c r="D300" s="95"/>
      <c r="E300" s="95"/>
      <c r="F300" s="95">
        <v>400</v>
      </c>
      <c r="G300" s="39"/>
      <c r="H300" s="96">
        <f>SUM(Tabla1326[[#This Row],[PRIMER TRIMESTRE]:[CUARTO TRIMESTRE]])</f>
        <v>400</v>
      </c>
      <c r="I300" s="97">
        <v>383.08377000000007</v>
      </c>
      <c r="J300" s="97">
        <f t="shared" si="8"/>
        <v>153233.50800000003</v>
      </c>
      <c r="K300" s="17"/>
      <c r="L300" s="16" t="s">
        <v>27</v>
      </c>
      <c r="M300" s="16" t="s">
        <v>22</v>
      </c>
      <c r="N300" s="39"/>
      <c r="O300" s="20"/>
    </row>
    <row r="301" spans="1:15" s="12" customFormat="1">
      <c r="A301" s="146" t="s">
        <v>80</v>
      </c>
      <c r="B301" s="94" t="s">
        <v>375</v>
      </c>
      <c r="C301" s="95" t="s">
        <v>17</v>
      </c>
      <c r="D301" s="95"/>
      <c r="E301" s="95"/>
      <c r="F301" s="95">
        <v>150</v>
      </c>
      <c r="G301" s="39"/>
      <c r="H301" s="96">
        <f>SUM(Tabla1326[[#This Row],[PRIMER TRIMESTRE]:[CUARTO TRIMESTRE]])</f>
        <v>150</v>
      </c>
      <c r="I301" s="97">
        <v>450</v>
      </c>
      <c r="J301" s="97">
        <f t="shared" si="8"/>
        <v>67500</v>
      </c>
      <c r="K301" s="17"/>
      <c r="L301" s="16" t="s">
        <v>27</v>
      </c>
      <c r="M301" s="16" t="s">
        <v>22</v>
      </c>
      <c r="N301" s="39"/>
      <c r="O301" s="20"/>
    </row>
    <row r="302" spans="1:15" s="12" customFormat="1">
      <c r="A302" s="146" t="s">
        <v>80</v>
      </c>
      <c r="B302" s="94" t="s">
        <v>376</v>
      </c>
      <c r="C302" s="95" t="s">
        <v>17</v>
      </c>
      <c r="D302" s="95"/>
      <c r="E302" s="95"/>
      <c r="F302" s="95">
        <v>50</v>
      </c>
      <c r="G302" s="39"/>
      <c r="H302" s="96">
        <f>SUM(Tabla1326[[#This Row],[PRIMER TRIMESTRE]:[CUARTO TRIMESTRE]])</f>
        <v>50</v>
      </c>
      <c r="I302" s="97">
        <v>667.77</v>
      </c>
      <c r="J302" s="97">
        <f t="shared" si="8"/>
        <v>33388.5</v>
      </c>
      <c r="K302" s="17"/>
      <c r="L302" s="16" t="s">
        <v>27</v>
      </c>
      <c r="M302" s="16" t="s">
        <v>22</v>
      </c>
      <c r="N302" s="39"/>
      <c r="O302" s="20"/>
    </row>
    <row r="303" spans="1:15" s="12" customFormat="1">
      <c r="A303" s="146" t="s">
        <v>80</v>
      </c>
      <c r="B303" s="94" t="s">
        <v>377</v>
      </c>
      <c r="C303" s="95" t="s">
        <v>17</v>
      </c>
      <c r="D303" s="95"/>
      <c r="E303" s="95"/>
      <c r="F303" s="95">
        <v>75</v>
      </c>
      <c r="G303" s="39"/>
      <c r="H303" s="96">
        <f>SUM(Tabla1326[[#This Row],[PRIMER TRIMESTRE]:[CUARTO TRIMESTRE]])</f>
        <v>75</v>
      </c>
      <c r="I303" s="97">
        <v>160.61749500000002</v>
      </c>
      <c r="J303" s="97">
        <f t="shared" si="8"/>
        <v>12046.312125000002</v>
      </c>
      <c r="K303" s="17"/>
      <c r="L303" s="16" t="s">
        <v>27</v>
      </c>
      <c r="M303" s="16" t="s">
        <v>22</v>
      </c>
      <c r="N303" s="39"/>
      <c r="O303" s="20"/>
    </row>
    <row r="304" spans="1:15" s="12" customFormat="1">
      <c r="A304" s="146" t="s">
        <v>80</v>
      </c>
      <c r="B304" s="94" t="s">
        <v>378</v>
      </c>
      <c r="C304" s="95" t="s">
        <v>17</v>
      </c>
      <c r="D304" s="95">
        <v>20</v>
      </c>
      <c r="E304" s="95"/>
      <c r="F304" s="95">
        <v>20</v>
      </c>
      <c r="G304" s="39"/>
      <c r="H304" s="96">
        <f>SUM(Tabla1326[[#This Row],[PRIMER TRIMESTRE]:[CUARTO TRIMESTRE]])</f>
        <v>40</v>
      </c>
      <c r="I304" s="97">
        <v>631.80422099999998</v>
      </c>
      <c r="J304" s="97">
        <f t="shared" si="8"/>
        <v>25272.168839999998</v>
      </c>
      <c r="K304" s="17"/>
      <c r="L304" s="16" t="s">
        <v>27</v>
      </c>
      <c r="M304" s="16" t="s">
        <v>22</v>
      </c>
      <c r="N304" s="39"/>
      <c r="O304" s="20"/>
    </row>
    <row r="305" spans="1:15" s="12" customFormat="1">
      <c r="A305" s="146" t="s">
        <v>80</v>
      </c>
      <c r="B305" s="94" t="s">
        <v>379</v>
      </c>
      <c r="C305" s="95" t="s">
        <v>17</v>
      </c>
      <c r="D305" s="95">
        <v>100</v>
      </c>
      <c r="E305" s="95"/>
      <c r="F305" s="95">
        <v>75</v>
      </c>
      <c r="G305" s="39"/>
      <c r="H305" s="96">
        <f>SUM(Tabla1326[[#This Row],[PRIMER TRIMESTRE]:[CUARTO TRIMESTRE]])</f>
        <v>175</v>
      </c>
      <c r="I305" s="97">
        <v>1565.22</v>
      </c>
      <c r="J305" s="97">
        <f t="shared" si="8"/>
        <v>273913.5</v>
      </c>
      <c r="K305" s="17"/>
      <c r="L305" s="16" t="s">
        <v>27</v>
      </c>
      <c r="M305" s="16" t="s">
        <v>22</v>
      </c>
      <c r="N305" s="39"/>
      <c r="O305" s="20"/>
    </row>
    <row r="306" spans="1:15" s="12" customFormat="1">
      <c r="A306" s="146" t="s">
        <v>80</v>
      </c>
      <c r="B306" s="94" t="s">
        <v>380</v>
      </c>
      <c r="C306" s="95" t="s">
        <v>17</v>
      </c>
      <c r="D306" s="95">
        <v>100</v>
      </c>
      <c r="E306" s="95"/>
      <c r="F306" s="95">
        <v>75</v>
      </c>
      <c r="G306" s="39"/>
      <c r="H306" s="96">
        <f>SUM(Tabla1326[[#This Row],[PRIMER TRIMESTRE]:[CUARTO TRIMESTRE]])</f>
        <v>175</v>
      </c>
      <c r="I306" s="97">
        <v>2310.9299999999998</v>
      </c>
      <c r="J306" s="97">
        <f t="shared" si="8"/>
        <v>404412.75</v>
      </c>
      <c r="K306" s="17"/>
      <c r="L306" s="16" t="s">
        <v>27</v>
      </c>
      <c r="M306" s="16" t="s">
        <v>22</v>
      </c>
      <c r="N306" s="39"/>
      <c r="O306" s="20"/>
    </row>
    <row r="307" spans="1:15" s="12" customFormat="1">
      <c r="A307" s="146" t="s">
        <v>80</v>
      </c>
      <c r="B307" s="94" t="s">
        <v>381</v>
      </c>
      <c r="C307" s="95" t="s">
        <v>17</v>
      </c>
      <c r="D307" s="95">
        <v>80</v>
      </c>
      <c r="E307" s="95"/>
      <c r="F307" s="95">
        <v>70</v>
      </c>
      <c r="G307" s="39"/>
      <c r="H307" s="96">
        <f>SUM(Tabla1326[[#This Row],[PRIMER TRIMESTRE]:[CUARTO TRIMESTRE]])</f>
        <v>150</v>
      </c>
      <c r="I307" s="97">
        <v>4630.1499999999996</v>
      </c>
      <c r="J307" s="97">
        <f t="shared" si="8"/>
        <v>694522.5</v>
      </c>
      <c r="K307" s="17"/>
      <c r="L307" s="16" t="s">
        <v>27</v>
      </c>
      <c r="M307" s="16" t="s">
        <v>22</v>
      </c>
      <c r="N307" s="39"/>
      <c r="O307" s="20"/>
    </row>
    <row r="308" spans="1:15" s="12" customFormat="1">
      <c r="A308" s="146" t="s">
        <v>80</v>
      </c>
      <c r="B308" s="94" t="s">
        <v>382</v>
      </c>
      <c r="C308" s="95" t="s">
        <v>17</v>
      </c>
      <c r="D308" s="95">
        <v>100</v>
      </c>
      <c r="E308" s="95"/>
      <c r="F308" s="95">
        <v>75</v>
      </c>
      <c r="G308" s="39"/>
      <c r="H308" s="96">
        <f>SUM(Tabla1326[[#This Row],[PRIMER TRIMESTRE]:[CUARTO TRIMESTRE]])</f>
        <v>175</v>
      </c>
      <c r="I308" s="97">
        <v>6410</v>
      </c>
      <c r="J308" s="97">
        <f t="shared" si="8"/>
        <v>1121750</v>
      </c>
      <c r="K308" s="17"/>
      <c r="L308" s="16" t="s">
        <v>27</v>
      </c>
      <c r="M308" s="16" t="s">
        <v>22</v>
      </c>
      <c r="N308" s="39"/>
      <c r="O308" s="20"/>
    </row>
    <row r="309" spans="1:15" s="12" customFormat="1">
      <c r="A309" s="146" t="s">
        <v>80</v>
      </c>
      <c r="B309" s="94" t="s">
        <v>383</v>
      </c>
      <c r="C309" s="95" t="s">
        <v>17</v>
      </c>
      <c r="D309" s="95">
        <v>20</v>
      </c>
      <c r="E309" s="95"/>
      <c r="F309" s="95">
        <v>20</v>
      </c>
      <c r="G309" s="39"/>
      <c r="H309" s="96">
        <f>SUM(Tabla1326[[#This Row],[PRIMER TRIMESTRE]:[CUARTO TRIMESTRE]])</f>
        <v>40</v>
      </c>
      <c r="I309" s="97">
        <v>10255.09</v>
      </c>
      <c r="J309" s="97">
        <f t="shared" si="8"/>
        <v>410203.6</v>
      </c>
      <c r="K309" s="17"/>
      <c r="L309" s="16" t="s">
        <v>27</v>
      </c>
      <c r="M309" s="16" t="s">
        <v>22</v>
      </c>
      <c r="N309" s="39"/>
      <c r="O309" s="20"/>
    </row>
    <row r="310" spans="1:15" s="12" customFormat="1">
      <c r="A310" s="146" t="s">
        <v>80</v>
      </c>
      <c r="B310" s="94" t="s">
        <v>384</v>
      </c>
      <c r="C310" s="95" t="s">
        <v>17</v>
      </c>
      <c r="D310" s="95">
        <v>25</v>
      </c>
      <c r="E310" s="95"/>
      <c r="F310" s="95">
        <v>20</v>
      </c>
      <c r="G310" s="39"/>
      <c r="H310" s="96">
        <f>SUM(Tabla1326[[#This Row],[PRIMER TRIMESTRE]:[CUARTO TRIMESTRE]])</f>
        <v>45</v>
      </c>
      <c r="I310" s="97">
        <v>14777.68</v>
      </c>
      <c r="J310" s="97">
        <f t="shared" si="8"/>
        <v>664995.6</v>
      </c>
      <c r="K310" s="17"/>
      <c r="L310" s="16" t="s">
        <v>27</v>
      </c>
      <c r="M310" s="16" t="s">
        <v>22</v>
      </c>
      <c r="N310" s="39"/>
      <c r="O310" s="20"/>
    </row>
    <row r="311" spans="1:15" s="12" customFormat="1">
      <c r="A311" s="146" t="s">
        <v>80</v>
      </c>
      <c r="B311" s="94" t="s">
        <v>385</v>
      </c>
      <c r="C311" s="95" t="s">
        <v>17</v>
      </c>
      <c r="D311" s="95">
        <v>15</v>
      </c>
      <c r="E311" s="95"/>
      <c r="F311" s="95">
        <v>10</v>
      </c>
      <c r="G311" s="39"/>
      <c r="H311" s="96">
        <f>SUM(Tabla1326[[#This Row],[PRIMER TRIMESTRE]:[CUARTO TRIMESTRE]])</f>
        <v>25</v>
      </c>
      <c r="I311" s="97">
        <v>24012.400000000001</v>
      </c>
      <c r="J311" s="97">
        <f t="shared" si="8"/>
        <v>600310</v>
      </c>
      <c r="K311" s="17"/>
      <c r="L311" s="16" t="s">
        <v>27</v>
      </c>
      <c r="M311" s="16" t="s">
        <v>22</v>
      </c>
      <c r="N311" s="39"/>
      <c r="O311" s="20"/>
    </row>
    <row r="312" spans="1:15" s="12" customFormat="1">
      <c r="A312" s="135" t="s">
        <v>80</v>
      </c>
      <c r="B312" s="131" t="s">
        <v>386</v>
      </c>
      <c r="C312" s="132" t="s">
        <v>17</v>
      </c>
      <c r="D312" s="132"/>
      <c r="E312" s="132"/>
      <c r="F312" s="132">
        <v>13</v>
      </c>
      <c r="G312" s="39"/>
      <c r="H312" s="147">
        <f>SUM(Tabla1326[[#This Row],[PRIMER TRIMESTRE]:[CUARTO TRIMESTRE]])</f>
        <v>13</v>
      </c>
      <c r="I312" s="134">
        <v>37525.1</v>
      </c>
      <c r="J312" s="134">
        <f t="shared" si="8"/>
        <v>487826.3</v>
      </c>
      <c r="K312" s="17"/>
      <c r="L312" s="16" t="s">
        <v>27</v>
      </c>
      <c r="M312" s="16" t="s">
        <v>22</v>
      </c>
      <c r="N312" s="39"/>
      <c r="O312" s="20"/>
    </row>
    <row r="313" spans="1:15" s="12" customFormat="1">
      <c r="A313" s="135" t="s">
        <v>80</v>
      </c>
      <c r="B313" s="131" t="s">
        <v>800</v>
      </c>
      <c r="C313" s="132" t="s">
        <v>17</v>
      </c>
      <c r="D313" s="132">
        <v>35</v>
      </c>
      <c r="E313" s="132"/>
      <c r="F313" s="132">
        <v>25</v>
      </c>
      <c r="G313" s="39"/>
      <c r="H313" s="147">
        <f>SUM(Tabla1326[[#This Row],[PRIMER TRIMESTRE]:[CUARTO TRIMESTRE]])</f>
        <v>60</v>
      </c>
      <c r="I313" s="134">
        <v>4500</v>
      </c>
      <c r="J313" s="134">
        <f>+H313*I313</f>
        <v>270000</v>
      </c>
      <c r="K313" s="17"/>
      <c r="L313" s="16" t="s">
        <v>27</v>
      </c>
      <c r="M313" s="16" t="s">
        <v>22</v>
      </c>
      <c r="N313" s="39"/>
      <c r="O313" s="18"/>
    </row>
    <row r="314" spans="1:15" s="12" customFormat="1">
      <c r="A314" s="135" t="s">
        <v>80</v>
      </c>
      <c r="B314" s="131" t="s">
        <v>713</v>
      </c>
      <c r="C314" s="132" t="s">
        <v>17</v>
      </c>
      <c r="D314" s="132">
        <v>35</v>
      </c>
      <c r="E314" s="132"/>
      <c r="F314" s="132">
        <v>25</v>
      </c>
      <c r="G314" s="39"/>
      <c r="H314" s="147">
        <f>SUM(Tabla1326[[#This Row],[PRIMER TRIMESTRE]:[CUARTO TRIMESTRE]])</f>
        <v>60</v>
      </c>
      <c r="I314" s="134">
        <v>8201.02</v>
      </c>
      <c r="J314" s="134">
        <f>+H314*I314</f>
        <v>492061.2</v>
      </c>
      <c r="K314" s="17"/>
      <c r="L314" s="16" t="s">
        <v>27</v>
      </c>
      <c r="M314" s="16" t="s">
        <v>22</v>
      </c>
      <c r="N314" s="39"/>
      <c r="O314" s="18"/>
    </row>
    <row r="315" spans="1:15" s="12" customFormat="1">
      <c r="A315" s="130" t="s">
        <v>80</v>
      </c>
      <c r="B315" s="131" t="s">
        <v>712</v>
      </c>
      <c r="C315" s="132" t="s">
        <v>17</v>
      </c>
      <c r="D315" s="132">
        <v>10</v>
      </c>
      <c r="E315" s="132"/>
      <c r="F315" s="132">
        <v>10</v>
      </c>
      <c r="G315" s="39"/>
      <c r="H315" s="147">
        <f>SUM(Tabla1326[[#This Row],[PRIMER TRIMESTRE]:[CUARTO TRIMESTRE]])</f>
        <v>20</v>
      </c>
      <c r="I315" s="134">
        <v>15544</v>
      </c>
      <c r="J315" s="134">
        <f t="shared" si="8"/>
        <v>310880</v>
      </c>
      <c r="K315" s="31"/>
      <c r="L315" s="16" t="s">
        <v>27</v>
      </c>
      <c r="M315" s="28" t="s">
        <v>22</v>
      </c>
      <c r="N315" s="45"/>
      <c r="O315" s="20"/>
    </row>
    <row r="316" spans="1:15" s="12" customFormat="1">
      <c r="A316" s="148" t="s">
        <v>80</v>
      </c>
      <c r="B316" s="131" t="s">
        <v>711</v>
      </c>
      <c r="C316" s="132" t="s">
        <v>17</v>
      </c>
      <c r="D316" s="132"/>
      <c r="E316" s="132"/>
      <c r="F316" s="132">
        <v>20</v>
      </c>
      <c r="G316" s="39"/>
      <c r="H316" s="147">
        <f>SUM(Tabla1326[[#This Row],[PRIMER TRIMESTRE]:[CUARTO TRIMESTRE]])</f>
        <v>20</v>
      </c>
      <c r="I316" s="134">
        <v>20650.03</v>
      </c>
      <c r="J316" s="134">
        <f>+H316*I316</f>
        <v>413000.6</v>
      </c>
      <c r="K316" s="68"/>
      <c r="L316" s="16" t="s">
        <v>27</v>
      </c>
      <c r="M316" s="66" t="s">
        <v>22</v>
      </c>
      <c r="N316" s="67"/>
      <c r="O316" s="69"/>
    </row>
    <row r="317" spans="1:15" s="12" customFormat="1">
      <c r="A317" s="130" t="s">
        <v>80</v>
      </c>
      <c r="B317" s="131" t="s">
        <v>710</v>
      </c>
      <c r="C317" s="132" t="s">
        <v>17</v>
      </c>
      <c r="D317" s="132"/>
      <c r="E317" s="132"/>
      <c r="F317" s="132">
        <v>15</v>
      </c>
      <c r="G317" s="39"/>
      <c r="H317" s="147">
        <f>SUM(Tabla1326[[#This Row],[PRIMER TRIMESTRE]:[CUARTO TRIMESTRE]])</f>
        <v>15</v>
      </c>
      <c r="I317" s="134">
        <v>39221.919999999998</v>
      </c>
      <c r="J317" s="134">
        <f t="shared" si="8"/>
        <v>588328.79999999993</v>
      </c>
      <c r="K317" s="31"/>
      <c r="L317" s="16" t="s">
        <v>27</v>
      </c>
      <c r="M317" s="28" t="s">
        <v>22</v>
      </c>
      <c r="N317" s="45"/>
      <c r="O317" s="20"/>
    </row>
    <row r="318" spans="1:15" s="12" customFormat="1">
      <c r="A318" s="148" t="s">
        <v>80</v>
      </c>
      <c r="B318" s="131" t="s">
        <v>709</v>
      </c>
      <c r="C318" s="132" t="s">
        <v>17</v>
      </c>
      <c r="D318" s="132">
        <v>30</v>
      </c>
      <c r="E318" s="132"/>
      <c r="F318" s="132">
        <v>20</v>
      </c>
      <c r="G318" s="39"/>
      <c r="H318" s="147">
        <f>SUM(Tabla1326[[#This Row],[PRIMER TRIMESTRE]:[CUARTO TRIMESTRE]])</f>
        <v>50</v>
      </c>
      <c r="I318" s="134">
        <f>17500*1.18</f>
        <v>20650</v>
      </c>
      <c r="J318" s="134">
        <f>+H318*I318</f>
        <v>1032500</v>
      </c>
      <c r="K318" s="68"/>
      <c r="L318" s="16" t="s">
        <v>27</v>
      </c>
      <c r="M318" s="66" t="s">
        <v>22</v>
      </c>
      <c r="N318" s="67"/>
      <c r="O318" s="69"/>
    </row>
    <row r="319" spans="1:15" s="12" customFormat="1">
      <c r="A319" s="135" t="s">
        <v>80</v>
      </c>
      <c r="B319" s="131" t="s">
        <v>708</v>
      </c>
      <c r="C319" s="132" t="s">
        <v>17</v>
      </c>
      <c r="D319" s="132">
        <v>10</v>
      </c>
      <c r="E319" s="132"/>
      <c r="F319" s="132">
        <v>10</v>
      </c>
      <c r="G319" s="39"/>
      <c r="H319" s="147">
        <f>SUM(Tabla1326[[#This Row],[PRIMER TRIMESTRE]:[CUARTO TRIMESTRE]])</f>
        <v>20</v>
      </c>
      <c r="I319" s="134">
        <f>25175*1.18</f>
        <v>29706.5</v>
      </c>
      <c r="J319" s="134">
        <f>+H319*I319</f>
        <v>594130</v>
      </c>
      <c r="K319" s="17"/>
      <c r="L319" s="16" t="s">
        <v>27</v>
      </c>
      <c r="M319" s="16" t="s">
        <v>22</v>
      </c>
      <c r="N319" s="39"/>
      <c r="O319" s="18"/>
    </row>
    <row r="320" spans="1:15" s="12" customFormat="1">
      <c r="A320" s="130" t="s">
        <v>80</v>
      </c>
      <c r="B320" s="131" t="s">
        <v>707</v>
      </c>
      <c r="C320" s="132" t="s">
        <v>17</v>
      </c>
      <c r="D320" s="132">
        <v>30</v>
      </c>
      <c r="E320" s="132"/>
      <c r="F320" s="132">
        <v>20</v>
      </c>
      <c r="G320" s="39"/>
      <c r="H320" s="147">
        <f>SUM(Tabla1326[[#This Row],[PRIMER TRIMESTRE]:[CUARTO TRIMESTRE]])</f>
        <v>50</v>
      </c>
      <c r="I320" s="134">
        <f>34500*1.18</f>
        <v>40710</v>
      </c>
      <c r="J320" s="134">
        <f t="shared" si="8"/>
        <v>2035500</v>
      </c>
      <c r="K320" s="31"/>
      <c r="L320" s="16" t="s">
        <v>27</v>
      </c>
      <c r="M320" s="28" t="s">
        <v>22</v>
      </c>
      <c r="N320" s="45"/>
      <c r="O320" s="20"/>
    </row>
    <row r="321" spans="1:18" s="12" customFormat="1">
      <c r="A321" s="135" t="s">
        <v>80</v>
      </c>
      <c r="B321" s="131" t="s">
        <v>706</v>
      </c>
      <c r="C321" s="132" t="s">
        <v>17</v>
      </c>
      <c r="D321" s="132">
        <v>8</v>
      </c>
      <c r="E321" s="132"/>
      <c r="F321" s="132">
        <v>8</v>
      </c>
      <c r="G321" s="39"/>
      <c r="H321" s="147">
        <f>SUM(Tabla1326[[#This Row],[PRIMER TRIMESTRE]:[CUARTO TRIMESTRE]])</f>
        <v>16</v>
      </c>
      <c r="I321" s="134">
        <v>67131.600000000006</v>
      </c>
      <c r="J321" s="134">
        <f t="shared" si="8"/>
        <v>1074105.6000000001</v>
      </c>
      <c r="K321" s="17"/>
      <c r="L321" s="16" t="s">
        <v>27</v>
      </c>
      <c r="M321" s="16" t="s">
        <v>22</v>
      </c>
      <c r="N321" s="39"/>
      <c r="O321" s="18"/>
    </row>
    <row r="322" spans="1:18" s="12" customFormat="1">
      <c r="A322" s="135" t="s">
        <v>80</v>
      </c>
      <c r="B322" s="131" t="s">
        <v>705</v>
      </c>
      <c r="C322" s="132" t="s">
        <v>17</v>
      </c>
      <c r="D322" s="132">
        <v>8</v>
      </c>
      <c r="E322" s="132"/>
      <c r="F322" s="132">
        <v>8</v>
      </c>
      <c r="G322" s="39"/>
      <c r="H322" s="147">
        <f>SUM(Tabla1326[[#This Row],[PRIMER TRIMESTRE]:[CUARTO TRIMESTRE]])</f>
        <v>16</v>
      </c>
      <c r="I322" s="134">
        <v>80240</v>
      </c>
      <c r="J322" s="134">
        <f t="shared" si="8"/>
        <v>1283840</v>
      </c>
      <c r="K322" s="17"/>
      <c r="L322" s="16" t="s">
        <v>27</v>
      </c>
      <c r="M322" s="16" t="s">
        <v>22</v>
      </c>
      <c r="N322" s="39"/>
      <c r="O322" s="18"/>
    </row>
    <row r="323" spans="1:18" s="12" customFormat="1">
      <c r="A323" s="15" t="s">
        <v>80</v>
      </c>
      <c r="B323" s="75" t="s">
        <v>703</v>
      </c>
      <c r="C323" s="39" t="s">
        <v>17</v>
      </c>
      <c r="D323" s="39"/>
      <c r="E323" s="39">
        <v>50</v>
      </c>
      <c r="F323" s="39"/>
      <c r="G323" s="39">
        <v>50</v>
      </c>
      <c r="H323" s="40">
        <f>SUM(Tabla1326[[#This Row],[PRIMER TRIMESTRE]:[CUARTO TRIMESTRE]])</f>
        <v>100</v>
      </c>
      <c r="I323" s="72">
        <v>1926.1</v>
      </c>
      <c r="J323" s="17">
        <f t="shared" si="8"/>
        <v>192610</v>
      </c>
      <c r="K323" s="17"/>
      <c r="L323" s="16" t="s">
        <v>27</v>
      </c>
      <c r="M323" s="16" t="s">
        <v>22</v>
      </c>
      <c r="N323" s="39"/>
      <c r="O323" s="18"/>
    </row>
    <row r="324" spans="1:18" s="12" customFormat="1">
      <c r="A324" s="15" t="s">
        <v>80</v>
      </c>
      <c r="B324" s="75" t="s">
        <v>704</v>
      </c>
      <c r="C324" s="39" t="s">
        <v>17</v>
      </c>
      <c r="D324" s="39"/>
      <c r="E324" s="39">
        <v>45</v>
      </c>
      <c r="F324" s="39"/>
      <c r="G324" s="39">
        <v>45</v>
      </c>
      <c r="H324" s="40">
        <f>SUM(Tabla1326[[#This Row],[PRIMER TRIMESTRE]:[CUARTO TRIMESTRE]])</f>
        <v>90</v>
      </c>
      <c r="I324" s="72">
        <v>3940</v>
      </c>
      <c r="J324" s="17">
        <f t="shared" si="8"/>
        <v>354600</v>
      </c>
      <c r="K324" s="17"/>
      <c r="L324" s="16" t="s">
        <v>27</v>
      </c>
      <c r="M324" s="16" t="s">
        <v>22</v>
      </c>
      <c r="N324" s="39"/>
      <c r="O324" s="18"/>
    </row>
    <row r="325" spans="1:18" s="12" customFormat="1">
      <c r="A325" s="15" t="s">
        <v>80</v>
      </c>
      <c r="B325" s="75" t="s">
        <v>318</v>
      </c>
      <c r="C325" s="44" t="s">
        <v>17</v>
      </c>
      <c r="D325" s="39"/>
      <c r="E325" s="39">
        <v>150</v>
      </c>
      <c r="F325" s="39"/>
      <c r="G325" s="39">
        <v>150</v>
      </c>
      <c r="H325" s="40">
        <f>SUM(Tabla1326[[#This Row],[PRIMER TRIMESTRE]:[CUARTO TRIMESTRE]])</f>
        <v>300</v>
      </c>
      <c r="I325" s="17">
        <v>135.69999999999999</v>
      </c>
      <c r="J325" s="17">
        <f>+Tabla1326[[#This Row],[CANTIDAD TOTAL]]*Tabla1326[[#This Row],[PRECIO UNITARIO ESTIMADO]]</f>
        <v>40710</v>
      </c>
      <c r="K325" s="17"/>
      <c r="L325" s="16" t="s">
        <v>27</v>
      </c>
      <c r="M325" s="30" t="s">
        <v>22</v>
      </c>
      <c r="N325" s="39" t="s">
        <v>418</v>
      </c>
      <c r="O325" s="20"/>
      <c r="R325" s="19"/>
    </row>
    <row r="326" spans="1:18" s="12" customFormat="1">
      <c r="A326" s="15" t="s">
        <v>80</v>
      </c>
      <c r="B326" s="75" t="s">
        <v>387</v>
      </c>
      <c r="C326" s="39" t="s">
        <v>17</v>
      </c>
      <c r="D326" s="39"/>
      <c r="E326" s="39">
        <v>2000</v>
      </c>
      <c r="F326" s="39"/>
      <c r="G326" s="39">
        <v>2000</v>
      </c>
      <c r="H326" s="40">
        <f>SUM(Tabla1326[[#This Row],[PRIMER TRIMESTRE]:[CUARTO TRIMESTRE]])</f>
        <v>4000</v>
      </c>
      <c r="I326" s="17">
        <v>4.1100000000000003</v>
      </c>
      <c r="J326" s="17">
        <f t="shared" ref="J326:J377" si="9">+H326*I326</f>
        <v>16440</v>
      </c>
      <c r="K326" s="17"/>
      <c r="L326" s="16" t="s">
        <v>27</v>
      </c>
      <c r="M326" s="16" t="s">
        <v>22</v>
      </c>
      <c r="N326" s="39"/>
      <c r="O326" s="20"/>
    </row>
    <row r="327" spans="1:18" s="12" customFormat="1">
      <c r="A327" s="15" t="s">
        <v>80</v>
      </c>
      <c r="B327" s="75" t="s">
        <v>388</v>
      </c>
      <c r="C327" s="39" t="s">
        <v>17</v>
      </c>
      <c r="D327" s="39"/>
      <c r="E327" s="39">
        <v>2000</v>
      </c>
      <c r="F327" s="39"/>
      <c r="G327" s="39">
        <v>2000</v>
      </c>
      <c r="H327" s="40">
        <f>SUM(Tabla1326[[#This Row],[PRIMER TRIMESTRE]:[CUARTO TRIMESTRE]])</f>
        <v>4000</v>
      </c>
      <c r="I327" s="17">
        <v>5.25</v>
      </c>
      <c r="J327" s="17">
        <f t="shared" si="9"/>
        <v>21000</v>
      </c>
      <c r="K327" s="17"/>
      <c r="L327" s="16" t="s">
        <v>27</v>
      </c>
      <c r="M327" s="16" t="s">
        <v>22</v>
      </c>
      <c r="N327" s="39"/>
      <c r="O327" s="20"/>
    </row>
    <row r="328" spans="1:18" s="12" customFormat="1">
      <c r="A328" s="15" t="s">
        <v>80</v>
      </c>
      <c r="B328" s="75" t="s">
        <v>389</v>
      </c>
      <c r="C328" s="39" t="s">
        <v>17</v>
      </c>
      <c r="D328" s="39"/>
      <c r="E328" s="39">
        <v>500</v>
      </c>
      <c r="F328" s="39"/>
      <c r="G328" s="39">
        <v>500</v>
      </c>
      <c r="H328" s="40">
        <f>SUM(Tabla1326[[#This Row],[PRIMER TRIMESTRE]:[CUARTO TRIMESTRE]])</f>
        <v>1000</v>
      </c>
      <c r="I328" s="17">
        <v>11</v>
      </c>
      <c r="J328" s="17">
        <f t="shared" si="9"/>
        <v>11000</v>
      </c>
      <c r="K328" s="17"/>
      <c r="L328" s="16" t="s">
        <v>27</v>
      </c>
      <c r="M328" s="16" t="s">
        <v>22</v>
      </c>
      <c r="N328" s="39"/>
      <c r="O328" s="20"/>
    </row>
    <row r="329" spans="1:18" s="12" customFormat="1" ht="43.5" customHeight="1">
      <c r="A329" s="100" t="s">
        <v>80</v>
      </c>
      <c r="B329" s="90" t="s">
        <v>663</v>
      </c>
      <c r="C329" s="91" t="s">
        <v>17</v>
      </c>
      <c r="D329" s="91">
        <v>10</v>
      </c>
      <c r="E329" s="91"/>
      <c r="F329" s="91">
        <v>10</v>
      </c>
      <c r="G329" s="39"/>
      <c r="H329" s="92">
        <f>SUM(Tabla1326[[#This Row],[PRIMER TRIMESTRE]:[CUARTO TRIMESTRE]])</f>
        <v>20</v>
      </c>
      <c r="I329" s="93">
        <v>15930</v>
      </c>
      <c r="J329" s="93">
        <f t="shared" si="9"/>
        <v>318600</v>
      </c>
      <c r="K329" s="17"/>
      <c r="L329" s="16" t="s">
        <v>27</v>
      </c>
      <c r="M329" s="16" t="s">
        <v>22</v>
      </c>
      <c r="N329" s="39"/>
      <c r="O329" s="18"/>
    </row>
    <row r="330" spans="1:18" s="12" customFormat="1" ht="43.5" customHeight="1">
      <c r="A330" s="100" t="s">
        <v>80</v>
      </c>
      <c r="B330" s="90" t="s">
        <v>662</v>
      </c>
      <c r="C330" s="91" t="s">
        <v>17</v>
      </c>
      <c r="D330" s="91">
        <v>10</v>
      </c>
      <c r="E330" s="91"/>
      <c r="F330" s="91">
        <v>10</v>
      </c>
      <c r="G330" s="39"/>
      <c r="H330" s="92">
        <f>SUM(Tabla1326[[#This Row],[PRIMER TRIMESTRE]:[CUARTO TRIMESTRE]])</f>
        <v>20</v>
      </c>
      <c r="I330" s="93">
        <f>15500*1.18</f>
        <v>18290</v>
      </c>
      <c r="J330" s="93">
        <f t="shared" si="9"/>
        <v>365800</v>
      </c>
      <c r="K330" s="17"/>
      <c r="L330" s="16" t="s">
        <v>27</v>
      </c>
      <c r="M330" s="16" t="s">
        <v>22</v>
      </c>
      <c r="N330" s="39"/>
      <c r="O330" s="18"/>
    </row>
    <row r="331" spans="1:18" s="12" customFormat="1" ht="43.5" customHeight="1">
      <c r="A331" s="100" t="s">
        <v>80</v>
      </c>
      <c r="B331" s="90" t="s">
        <v>664</v>
      </c>
      <c r="C331" s="91" t="s">
        <v>17</v>
      </c>
      <c r="D331" s="91">
        <v>10</v>
      </c>
      <c r="E331" s="91"/>
      <c r="F331" s="91">
        <v>10</v>
      </c>
      <c r="G331" s="39"/>
      <c r="H331" s="92">
        <f>SUM(Tabla1326[[#This Row],[PRIMER TRIMESTRE]:[CUARTO TRIMESTRE]])</f>
        <v>20</v>
      </c>
      <c r="I331" s="93">
        <f>18500*1.18</f>
        <v>21830</v>
      </c>
      <c r="J331" s="93">
        <f t="shared" si="9"/>
        <v>436600</v>
      </c>
      <c r="K331" s="17"/>
      <c r="L331" s="16" t="s">
        <v>27</v>
      </c>
      <c r="M331" s="16" t="s">
        <v>22</v>
      </c>
      <c r="N331" s="39"/>
      <c r="O331" s="18"/>
    </row>
    <row r="332" spans="1:18" s="12" customFormat="1" ht="38.25">
      <c r="A332" s="100" t="s">
        <v>80</v>
      </c>
      <c r="B332" s="90" t="s">
        <v>672</v>
      </c>
      <c r="C332" s="91" t="s">
        <v>17</v>
      </c>
      <c r="D332" s="91">
        <v>10</v>
      </c>
      <c r="E332" s="91"/>
      <c r="F332" s="91">
        <v>10</v>
      </c>
      <c r="G332" s="39"/>
      <c r="H332" s="92">
        <f>SUM(Tabla1326[[#This Row],[PRIMER TRIMESTRE]:[CUARTO TRIMESTRE]])</f>
        <v>20</v>
      </c>
      <c r="I332" s="93">
        <f>13800*1.18</f>
        <v>16284</v>
      </c>
      <c r="J332" s="93">
        <f>+H332*I332</f>
        <v>325680</v>
      </c>
      <c r="K332" s="17"/>
      <c r="L332" s="16" t="s">
        <v>27</v>
      </c>
      <c r="M332" s="16" t="s">
        <v>22</v>
      </c>
      <c r="N332" s="39"/>
      <c r="O332" s="18"/>
    </row>
    <row r="333" spans="1:18" s="12" customFormat="1" ht="84" customHeight="1">
      <c r="A333" s="101" t="s">
        <v>80</v>
      </c>
      <c r="B333" s="90" t="s">
        <v>665</v>
      </c>
      <c r="C333" s="91" t="s">
        <v>17</v>
      </c>
      <c r="D333" s="91">
        <v>10</v>
      </c>
      <c r="E333" s="91"/>
      <c r="F333" s="91">
        <v>10</v>
      </c>
      <c r="G333" s="39"/>
      <c r="H333" s="102">
        <f>SUM(Tabla1326[[#This Row],[PRIMER TRIMESTRE]:[CUARTO TRIMESTRE]])</f>
        <v>20</v>
      </c>
      <c r="I333" s="93">
        <f>15950*1.18</f>
        <v>18821</v>
      </c>
      <c r="J333" s="93">
        <f t="shared" si="9"/>
        <v>376420</v>
      </c>
      <c r="K333" s="31"/>
      <c r="L333" s="16" t="s">
        <v>27</v>
      </c>
      <c r="M333" s="28" t="s">
        <v>22</v>
      </c>
      <c r="N333" s="45"/>
      <c r="O333" s="29"/>
    </row>
    <row r="334" spans="1:18" s="12" customFormat="1" ht="84" customHeight="1">
      <c r="A334" s="101" t="s">
        <v>80</v>
      </c>
      <c r="B334" s="90" t="s">
        <v>666</v>
      </c>
      <c r="C334" s="91" t="s">
        <v>17</v>
      </c>
      <c r="D334" s="91">
        <v>10</v>
      </c>
      <c r="E334" s="91"/>
      <c r="F334" s="91">
        <v>10</v>
      </c>
      <c r="G334" s="39"/>
      <c r="H334" s="102">
        <f>SUM(Tabla1326[[#This Row],[PRIMER TRIMESTRE]:[CUARTO TRIMESTRE]])</f>
        <v>20</v>
      </c>
      <c r="I334" s="93">
        <f>18950*1.18</f>
        <v>22361</v>
      </c>
      <c r="J334" s="93">
        <f t="shared" si="9"/>
        <v>447220</v>
      </c>
      <c r="K334" s="31"/>
      <c r="L334" s="16" t="s">
        <v>27</v>
      </c>
      <c r="M334" s="28" t="s">
        <v>22</v>
      </c>
      <c r="N334" s="45"/>
      <c r="O334" s="29"/>
    </row>
    <row r="335" spans="1:18" s="12" customFormat="1" ht="75.75" customHeight="1">
      <c r="A335" s="101" t="s">
        <v>80</v>
      </c>
      <c r="B335" s="90" t="s">
        <v>667</v>
      </c>
      <c r="C335" s="91" t="s">
        <v>17</v>
      </c>
      <c r="D335" s="91">
        <v>10</v>
      </c>
      <c r="E335" s="91"/>
      <c r="F335" s="91">
        <v>10</v>
      </c>
      <c r="G335" s="39"/>
      <c r="H335" s="102">
        <f>SUM(Tabla1326[[#This Row],[PRIMER TRIMESTRE]:[CUARTO TRIMESTRE]])</f>
        <v>20</v>
      </c>
      <c r="I335" s="93">
        <f>23500*1.18</f>
        <v>27730</v>
      </c>
      <c r="J335" s="93">
        <f t="shared" si="9"/>
        <v>554600</v>
      </c>
      <c r="K335" s="31"/>
      <c r="L335" s="16" t="s">
        <v>27</v>
      </c>
      <c r="M335" s="28" t="s">
        <v>22</v>
      </c>
      <c r="N335" s="45"/>
      <c r="O335" s="29"/>
    </row>
    <row r="336" spans="1:18" s="12" customFormat="1" ht="75.75" customHeight="1">
      <c r="A336" s="101" t="s">
        <v>80</v>
      </c>
      <c r="B336" s="90" t="s">
        <v>668</v>
      </c>
      <c r="C336" s="91" t="s">
        <v>17</v>
      </c>
      <c r="D336" s="91">
        <v>10</v>
      </c>
      <c r="E336" s="91"/>
      <c r="F336" s="91">
        <v>10</v>
      </c>
      <c r="G336" s="39"/>
      <c r="H336" s="102">
        <f>SUM(Tabla1326[[#This Row],[PRIMER TRIMESTRE]:[CUARTO TRIMESTRE]])</f>
        <v>20</v>
      </c>
      <c r="I336" s="93">
        <f>32800*1.18</f>
        <v>38704</v>
      </c>
      <c r="J336" s="93">
        <f t="shared" si="9"/>
        <v>774080</v>
      </c>
      <c r="K336" s="31"/>
      <c r="L336" s="16" t="s">
        <v>27</v>
      </c>
      <c r="M336" s="28" t="s">
        <v>22</v>
      </c>
      <c r="N336" s="45"/>
      <c r="O336" s="29"/>
    </row>
    <row r="337" spans="1:15" s="12" customFormat="1" ht="75.75" customHeight="1">
      <c r="A337" s="101" t="s">
        <v>80</v>
      </c>
      <c r="B337" s="90" t="s">
        <v>669</v>
      </c>
      <c r="C337" s="91" t="s">
        <v>17</v>
      </c>
      <c r="D337" s="91">
        <v>5</v>
      </c>
      <c r="E337" s="91"/>
      <c r="F337" s="91">
        <v>5</v>
      </c>
      <c r="G337" s="39"/>
      <c r="H337" s="102">
        <f>SUM(Tabla1326[[#This Row],[PRIMER TRIMESTRE]:[CUARTO TRIMESTRE]])</f>
        <v>10</v>
      </c>
      <c r="I337" s="93">
        <f>56500*1.18</f>
        <v>66670</v>
      </c>
      <c r="J337" s="93">
        <f t="shared" si="9"/>
        <v>666700</v>
      </c>
      <c r="K337" s="31"/>
      <c r="L337" s="16" t="s">
        <v>27</v>
      </c>
      <c r="M337" s="28" t="s">
        <v>22</v>
      </c>
      <c r="N337" s="45"/>
      <c r="O337" s="29"/>
    </row>
    <row r="338" spans="1:15" s="12" customFormat="1" ht="75.75" customHeight="1">
      <c r="A338" s="101" t="s">
        <v>80</v>
      </c>
      <c r="B338" s="90" t="s">
        <v>670</v>
      </c>
      <c r="C338" s="91" t="s">
        <v>17</v>
      </c>
      <c r="D338" s="91">
        <v>8</v>
      </c>
      <c r="E338" s="91"/>
      <c r="F338" s="91">
        <v>6</v>
      </c>
      <c r="G338" s="39"/>
      <c r="H338" s="102">
        <f>SUM(Tabla1326[[#This Row],[PRIMER TRIMESTRE]:[CUARTO TRIMESTRE]])</f>
        <v>14</v>
      </c>
      <c r="I338" s="93">
        <f>74000*1.18</f>
        <v>87320</v>
      </c>
      <c r="J338" s="93">
        <f t="shared" si="9"/>
        <v>1222480</v>
      </c>
      <c r="K338" s="31"/>
      <c r="L338" s="16" t="s">
        <v>27</v>
      </c>
      <c r="M338" s="28" t="s">
        <v>22</v>
      </c>
      <c r="N338" s="45"/>
      <c r="O338" s="29"/>
    </row>
    <row r="339" spans="1:15" s="12" customFormat="1" ht="75.75" customHeight="1">
      <c r="A339" s="101" t="s">
        <v>80</v>
      </c>
      <c r="B339" s="90" t="s">
        <v>671</v>
      </c>
      <c r="C339" s="91" t="s">
        <v>17</v>
      </c>
      <c r="D339" s="91">
        <v>2</v>
      </c>
      <c r="E339" s="91"/>
      <c r="F339" s="91">
        <v>13</v>
      </c>
      <c r="G339" s="39"/>
      <c r="H339" s="102">
        <f>SUM(Tabla1326[[#This Row],[PRIMER TRIMESTRE]:[CUARTO TRIMESTRE]])</f>
        <v>15</v>
      </c>
      <c r="I339" s="93">
        <f>245000*1.18</f>
        <v>289100</v>
      </c>
      <c r="J339" s="93">
        <f t="shared" si="9"/>
        <v>4336500</v>
      </c>
      <c r="K339" s="31"/>
      <c r="L339" s="16" t="s">
        <v>27</v>
      </c>
      <c r="M339" s="28" t="s">
        <v>22</v>
      </c>
      <c r="N339" s="45"/>
      <c r="O339" s="29"/>
    </row>
    <row r="340" spans="1:15" s="12" customFormat="1" ht="75.75" customHeight="1">
      <c r="A340" s="146" t="s">
        <v>80</v>
      </c>
      <c r="B340" s="94" t="s">
        <v>673</v>
      </c>
      <c r="C340" s="95" t="s">
        <v>17</v>
      </c>
      <c r="D340" s="95">
        <v>6</v>
      </c>
      <c r="E340" s="95"/>
      <c r="F340" s="95">
        <v>5</v>
      </c>
      <c r="G340" s="39"/>
      <c r="H340" s="149">
        <f>SUM(Tabla1326[[#This Row],[PRIMER TRIMESTRE]:[CUARTO TRIMESTRE]])</f>
        <v>11</v>
      </c>
      <c r="I340" s="97">
        <v>16284</v>
      </c>
      <c r="J340" s="97">
        <f>+H340*I340</f>
        <v>179124</v>
      </c>
      <c r="K340" s="17"/>
      <c r="L340" s="16" t="s">
        <v>27</v>
      </c>
      <c r="M340" s="16" t="s">
        <v>22</v>
      </c>
      <c r="N340" s="39"/>
      <c r="O340" s="18"/>
    </row>
    <row r="341" spans="1:15" s="12" customFormat="1" ht="86.25" customHeight="1">
      <c r="A341" s="150" t="s">
        <v>80</v>
      </c>
      <c r="B341" s="94" t="s">
        <v>674</v>
      </c>
      <c r="C341" s="95" t="s">
        <v>17</v>
      </c>
      <c r="D341" s="95">
        <v>5</v>
      </c>
      <c r="E341" s="95"/>
      <c r="F341" s="95">
        <v>4</v>
      </c>
      <c r="G341" s="39"/>
      <c r="H341" s="149">
        <f>SUM(Tabla1326[[#This Row],[PRIMER TRIMESTRE]:[CUARTO TRIMESTRE]])</f>
        <v>9</v>
      </c>
      <c r="I341" s="97">
        <v>22420</v>
      </c>
      <c r="J341" s="97">
        <f t="shared" si="9"/>
        <v>201780</v>
      </c>
      <c r="K341" s="31"/>
      <c r="L341" s="16" t="s">
        <v>27</v>
      </c>
      <c r="M341" s="28" t="s">
        <v>22</v>
      </c>
      <c r="N341" s="45"/>
      <c r="O341" s="29"/>
    </row>
    <row r="342" spans="1:15" s="12" customFormat="1" ht="86.25" customHeight="1">
      <c r="A342" s="150" t="s">
        <v>80</v>
      </c>
      <c r="B342" s="94" t="s">
        <v>675</v>
      </c>
      <c r="C342" s="95" t="s">
        <v>17</v>
      </c>
      <c r="D342" s="95">
        <v>5</v>
      </c>
      <c r="E342" s="95"/>
      <c r="F342" s="95">
        <v>4</v>
      </c>
      <c r="G342" s="39"/>
      <c r="H342" s="149">
        <f>SUM(Tabla1326[[#This Row],[PRIMER TRIMESTRE]:[CUARTO TRIMESTRE]])</f>
        <v>9</v>
      </c>
      <c r="I342" s="97">
        <v>34072.5</v>
      </c>
      <c r="J342" s="97">
        <f t="shared" si="9"/>
        <v>306652.5</v>
      </c>
      <c r="K342" s="31"/>
      <c r="L342" s="16" t="s">
        <v>27</v>
      </c>
      <c r="M342" s="28" t="s">
        <v>22</v>
      </c>
      <c r="N342" s="45"/>
      <c r="O342" s="29"/>
    </row>
    <row r="343" spans="1:15" s="12" customFormat="1" ht="86.25" customHeight="1">
      <c r="A343" s="150" t="s">
        <v>80</v>
      </c>
      <c r="B343" s="94" t="s">
        <v>676</v>
      </c>
      <c r="C343" s="95" t="s">
        <v>17</v>
      </c>
      <c r="D343" s="95">
        <v>5</v>
      </c>
      <c r="E343" s="95"/>
      <c r="F343" s="95">
        <v>4</v>
      </c>
      <c r="G343" s="39"/>
      <c r="H343" s="149">
        <f>SUM(Tabla1326[[#This Row],[PRIMER TRIMESTRE]:[CUARTO TRIMESTRE]])</f>
        <v>9</v>
      </c>
      <c r="I343" s="97">
        <v>40200</v>
      </c>
      <c r="J343" s="97">
        <f t="shared" si="9"/>
        <v>361800</v>
      </c>
      <c r="K343" s="31"/>
      <c r="L343" s="16" t="s">
        <v>27</v>
      </c>
      <c r="M343" s="28" t="s">
        <v>22</v>
      </c>
      <c r="N343" s="45"/>
      <c r="O343" s="29"/>
    </row>
    <row r="344" spans="1:15" s="12" customFormat="1" ht="86.25" customHeight="1">
      <c r="A344" s="150" t="s">
        <v>80</v>
      </c>
      <c r="B344" s="94" t="s">
        <v>677</v>
      </c>
      <c r="C344" s="95" t="s">
        <v>17</v>
      </c>
      <c r="D344" s="95">
        <v>5</v>
      </c>
      <c r="E344" s="95"/>
      <c r="F344" s="95">
        <v>4</v>
      </c>
      <c r="G344" s="39"/>
      <c r="H344" s="149">
        <f>SUM(Tabla1326[[#This Row],[PRIMER TRIMESTRE]:[CUARTO TRIMESTRE]])</f>
        <v>9</v>
      </c>
      <c r="I344" s="97">
        <v>49500</v>
      </c>
      <c r="J344" s="97">
        <f t="shared" si="9"/>
        <v>445500</v>
      </c>
      <c r="K344" s="31"/>
      <c r="L344" s="16" t="s">
        <v>27</v>
      </c>
      <c r="M344" s="28" t="s">
        <v>22</v>
      </c>
      <c r="N344" s="45"/>
      <c r="O344" s="29"/>
    </row>
    <row r="345" spans="1:15" s="12" customFormat="1" ht="86.25" customHeight="1">
      <c r="A345" s="150" t="s">
        <v>80</v>
      </c>
      <c r="B345" s="94" t="s">
        <v>678</v>
      </c>
      <c r="C345" s="95" t="s">
        <v>17</v>
      </c>
      <c r="D345" s="95">
        <v>5</v>
      </c>
      <c r="E345" s="95"/>
      <c r="F345" s="95">
        <v>4</v>
      </c>
      <c r="G345" s="39"/>
      <c r="H345" s="149">
        <f>SUM(Tabla1326[[#This Row],[PRIMER TRIMESTRE]:[CUARTO TRIMESTRE]])</f>
        <v>9</v>
      </c>
      <c r="I345" s="97">
        <v>73250</v>
      </c>
      <c r="J345" s="97">
        <f t="shared" si="9"/>
        <v>659250</v>
      </c>
      <c r="K345" s="31"/>
      <c r="L345" s="16" t="s">
        <v>27</v>
      </c>
      <c r="M345" s="28" t="s">
        <v>22</v>
      </c>
      <c r="N345" s="45"/>
      <c r="O345" s="29"/>
    </row>
    <row r="346" spans="1:15" s="12" customFormat="1" ht="86.25" customHeight="1">
      <c r="A346" s="150" t="s">
        <v>80</v>
      </c>
      <c r="B346" s="94" t="s">
        <v>679</v>
      </c>
      <c r="C346" s="95" t="s">
        <v>17</v>
      </c>
      <c r="D346" s="95">
        <v>5</v>
      </c>
      <c r="E346" s="95"/>
      <c r="F346" s="95">
        <v>5</v>
      </c>
      <c r="G346" s="39"/>
      <c r="H346" s="149">
        <f>SUM(Tabla1326[[#This Row],[PRIMER TRIMESTRE]:[CUARTO TRIMESTRE]])</f>
        <v>10</v>
      </c>
      <c r="I346" s="97">
        <v>289000</v>
      </c>
      <c r="J346" s="97">
        <f t="shared" si="9"/>
        <v>2890000</v>
      </c>
      <c r="K346" s="31"/>
      <c r="L346" s="16" t="s">
        <v>27</v>
      </c>
      <c r="M346" s="28" t="s">
        <v>22</v>
      </c>
      <c r="N346" s="45"/>
      <c r="O346" s="29"/>
    </row>
    <row r="347" spans="1:15" s="12" customFormat="1" ht="89.25" customHeight="1">
      <c r="A347" s="150" t="s">
        <v>80</v>
      </c>
      <c r="B347" s="94" t="s">
        <v>680</v>
      </c>
      <c r="C347" s="95" t="s">
        <v>17</v>
      </c>
      <c r="D347" s="95">
        <v>5</v>
      </c>
      <c r="E347" s="95"/>
      <c r="F347" s="95">
        <v>5</v>
      </c>
      <c r="G347" s="39"/>
      <c r="H347" s="149">
        <f>SUM(Tabla1326[[#This Row],[PRIMER TRIMESTRE]:[CUARTO TRIMESTRE]])</f>
        <v>10</v>
      </c>
      <c r="I347" s="97">
        <f>26800*1.18</f>
        <v>31624</v>
      </c>
      <c r="J347" s="97">
        <f t="shared" si="9"/>
        <v>316240</v>
      </c>
      <c r="K347" s="31"/>
      <c r="L347" s="16" t="s">
        <v>27</v>
      </c>
      <c r="M347" s="28" t="s">
        <v>22</v>
      </c>
      <c r="N347" s="45"/>
      <c r="O347" s="29"/>
    </row>
    <row r="348" spans="1:15" s="12" customFormat="1" ht="89.25" customHeight="1">
      <c r="A348" s="150" t="s">
        <v>80</v>
      </c>
      <c r="B348" s="94" t="s">
        <v>681</v>
      </c>
      <c r="C348" s="95" t="s">
        <v>17</v>
      </c>
      <c r="D348" s="95">
        <v>5</v>
      </c>
      <c r="E348" s="95"/>
      <c r="F348" s="95">
        <v>5</v>
      </c>
      <c r="G348" s="39"/>
      <c r="H348" s="149">
        <f>SUM(Tabla1326[[#This Row],[PRIMER TRIMESTRE]:[CUARTO TRIMESTRE]])</f>
        <v>10</v>
      </c>
      <c r="I348" s="97">
        <f>39500*1.18</f>
        <v>46610</v>
      </c>
      <c r="J348" s="97">
        <f t="shared" si="9"/>
        <v>466100</v>
      </c>
      <c r="K348" s="31"/>
      <c r="L348" s="16" t="s">
        <v>27</v>
      </c>
      <c r="M348" s="28" t="s">
        <v>22</v>
      </c>
      <c r="N348" s="45"/>
      <c r="O348" s="29"/>
    </row>
    <row r="349" spans="1:15" s="12" customFormat="1" ht="89.25" customHeight="1">
      <c r="A349" s="150" t="s">
        <v>80</v>
      </c>
      <c r="B349" s="94" t="s">
        <v>683</v>
      </c>
      <c r="C349" s="95" t="s">
        <v>17</v>
      </c>
      <c r="D349" s="95">
        <v>5</v>
      </c>
      <c r="E349" s="95"/>
      <c r="F349" s="95">
        <v>5</v>
      </c>
      <c r="G349" s="39"/>
      <c r="H349" s="149">
        <f>SUM(Tabla1326[[#This Row],[PRIMER TRIMESTRE]:[CUARTO TRIMESTRE]])</f>
        <v>10</v>
      </c>
      <c r="I349" s="97">
        <v>68487.199999999997</v>
      </c>
      <c r="J349" s="97">
        <f t="shared" si="9"/>
        <v>684872</v>
      </c>
      <c r="K349" s="31"/>
      <c r="L349" s="16" t="s">
        <v>27</v>
      </c>
      <c r="M349" s="28" t="s">
        <v>22</v>
      </c>
      <c r="N349" s="45"/>
      <c r="O349" s="29"/>
    </row>
    <row r="350" spans="1:15" s="12" customFormat="1" ht="89.25" customHeight="1">
      <c r="A350" s="129" t="s">
        <v>80</v>
      </c>
      <c r="B350" s="115" t="s">
        <v>682</v>
      </c>
      <c r="C350" s="116" t="s">
        <v>17</v>
      </c>
      <c r="D350" s="116">
        <v>10</v>
      </c>
      <c r="E350" s="116"/>
      <c r="F350" s="116">
        <v>5</v>
      </c>
      <c r="G350" s="39"/>
      <c r="H350" s="128">
        <f>SUM(Tabla1326[[#This Row],[PRIMER TRIMESTRE]:[CUARTO TRIMESTRE]])</f>
        <v>15</v>
      </c>
      <c r="I350" s="118">
        <v>434570.4</v>
      </c>
      <c r="J350" s="118">
        <f t="shared" si="9"/>
        <v>6518556</v>
      </c>
      <c r="K350" s="31"/>
      <c r="L350" s="16" t="s">
        <v>27</v>
      </c>
      <c r="M350" s="28" t="s">
        <v>22</v>
      </c>
      <c r="N350" s="45"/>
      <c r="O350" s="29"/>
    </row>
    <row r="351" spans="1:15" s="12" customFormat="1" ht="89.25" customHeight="1">
      <c r="A351" s="114" t="s">
        <v>80</v>
      </c>
      <c r="B351" s="115" t="s">
        <v>911</v>
      </c>
      <c r="C351" s="116" t="s">
        <v>17</v>
      </c>
      <c r="D351" s="116">
        <v>5</v>
      </c>
      <c r="E351" s="116"/>
      <c r="F351" s="116"/>
      <c r="G351" s="39"/>
      <c r="H351" s="128">
        <f>SUM(Tabla1326[[#This Row],[PRIMER TRIMESTRE]:[CUARTO TRIMESTRE]])</f>
        <v>5</v>
      </c>
      <c r="I351" s="118"/>
      <c r="J351" s="118">
        <f>+H351*I351</f>
        <v>0</v>
      </c>
      <c r="K351" s="17"/>
      <c r="L351" s="16"/>
      <c r="M351" s="16"/>
      <c r="N351" s="39"/>
      <c r="O351" s="18"/>
    </row>
    <row r="352" spans="1:15" s="12" customFormat="1" ht="89.25" customHeight="1">
      <c r="A352" s="114" t="s">
        <v>80</v>
      </c>
      <c r="B352" s="115" t="s">
        <v>912</v>
      </c>
      <c r="C352" s="116" t="s">
        <v>17</v>
      </c>
      <c r="D352" s="116">
        <v>5</v>
      </c>
      <c r="E352" s="116"/>
      <c r="F352" s="116"/>
      <c r="G352" s="39"/>
      <c r="H352" s="128">
        <f>SUM(Tabla1326[[#This Row],[PRIMER TRIMESTRE]:[CUARTO TRIMESTRE]])</f>
        <v>5</v>
      </c>
      <c r="I352" s="118"/>
      <c r="J352" s="118">
        <f>+H352*I352</f>
        <v>0</v>
      </c>
      <c r="K352" s="17"/>
      <c r="L352" s="16"/>
      <c r="M352" s="16"/>
      <c r="N352" s="39"/>
      <c r="O352" s="18"/>
    </row>
    <row r="353" spans="1:16" s="12" customFormat="1" ht="51" customHeight="1">
      <c r="A353" s="15" t="s">
        <v>80</v>
      </c>
      <c r="B353" s="75" t="s">
        <v>634</v>
      </c>
      <c r="C353" s="39" t="s">
        <v>17</v>
      </c>
      <c r="D353" s="39"/>
      <c r="E353" s="39">
        <v>4</v>
      </c>
      <c r="F353" s="39"/>
      <c r="G353" s="39">
        <v>4</v>
      </c>
      <c r="H353" s="41">
        <f>SUM(Tabla1326[[#This Row],[PRIMER TRIMESTRE]:[CUARTO TRIMESTRE]])</f>
        <v>8</v>
      </c>
      <c r="I353" s="17">
        <v>70800</v>
      </c>
      <c r="J353" s="17">
        <f t="shared" si="9"/>
        <v>566400</v>
      </c>
      <c r="K353" s="17"/>
      <c r="L353" s="16" t="s">
        <v>27</v>
      </c>
      <c r="M353" s="16" t="s">
        <v>22</v>
      </c>
      <c r="N353" s="39"/>
      <c r="O353" s="18"/>
    </row>
    <row r="354" spans="1:16" s="12" customFormat="1" ht="51" customHeight="1">
      <c r="A354" s="15" t="s">
        <v>80</v>
      </c>
      <c r="B354" s="75" t="s">
        <v>635</v>
      </c>
      <c r="C354" s="39" t="s">
        <v>17</v>
      </c>
      <c r="D354" s="39"/>
      <c r="E354" s="39">
        <v>4</v>
      </c>
      <c r="F354" s="39"/>
      <c r="G354" s="39">
        <v>4</v>
      </c>
      <c r="H354" s="41">
        <f>SUM(Tabla1326[[#This Row],[PRIMER TRIMESTRE]:[CUARTO TRIMESTRE]])</f>
        <v>8</v>
      </c>
      <c r="I354" s="17">
        <v>94400</v>
      </c>
      <c r="J354" s="17">
        <f t="shared" si="9"/>
        <v>755200</v>
      </c>
      <c r="K354" s="17"/>
      <c r="L354" s="16" t="s">
        <v>27</v>
      </c>
      <c r="M354" s="16" t="s">
        <v>22</v>
      </c>
      <c r="N354" s="39"/>
      <c r="O354" s="18"/>
    </row>
    <row r="355" spans="1:16" s="12" customFormat="1" ht="51" customHeight="1">
      <c r="A355" s="15" t="s">
        <v>80</v>
      </c>
      <c r="B355" s="75" t="s">
        <v>636</v>
      </c>
      <c r="C355" s="39" t="s">
        <v>17</v>
      </c>
      <c r="D355" s="39"/>
      <c r="E355" s="39">
        <v>4</v>
      </c>
      <c r="F355" s="39"/>
      <c r="G355" s="39">
        <v>4</v>
      </c>
      <c r="H355" s="41">
        <f>SUM(Tabla1326[[#This Row],[PRIMER TRIMESTRE]:[CUARTO TRIMESTRE]])</f>
        <v>8</v>
      </c>
      <c r="I355" s="17">
        <v>106200</v>
      </c>
      <c r="J355" s="17">
        <f t="shared" si="9"/>
        <v>849600</v>
      </c>
      <c r="K355" s="17"/>
      <c r="L355" s="16" t="s">
        <v>27</v>
      </c>
      <c r="M355" s="16" t="s">
        <v>22</v>
      </c>
      <c r="N355" s="39"/>
      <c r="O355" s="18"/>
    </row>
    <row r="356" spans="1:16" s="12" customFormat="1" ht="51" customHeight="1">
      <c r="A356" s="15" t="s">
        <v>80</v>
      </c>
      <c r="B356" s="75" t="s">
        <v>637</v>
      </c>
      <c r="C356" s="39" t="s">
        <v>17</v>
      </c>
      <c r="D356" s="39"/>
      <c r="E356" s="39">
        <v>4</v>
      </c>
      <c r="F356" s="39"/>
      <c r="G356" s="39">
        <v>4</v>
      </c>
      <c r="H356" s="41">
        <f>SUM(Tabla1326[[#This Row],[PRIMER TRIMESTRE]:[CUARTO TRIMESTRE]])</f>
        <v>8</v>
      </c>
      <c r="I356" s="17">
        <v>112100</v>
      </c>
      <c r="J356" s="17">
        <f t="shared" si="9"/>
        <v>896800</v>
      </c>
      <c r="K356" s="17"/>
      <c r="L356" s="16" t="s">
        <v>27</v>
      </c>
      <c r="M356" s="16" t="s">
        <v>22</v>
      </c>
      <c r="N356" s="39"/>
      <c r="O356" s="18"/>
    </row>
    <row r="357" spans="1:16" s="12" customFormat="1" ht="74.25" customHeight="1">
      <c r="A357" s="15" t="s">
        <v>80</v>
      </c>
      <c r="B357" s="75" t="s">
        <v>684</v>
      </c>
      <c r="C357" s="39" t="s">
        <v>17</v>
      </c>
      <c r="D357" s="39"/>
      <c r="E357" s="39">
        <v>4</v>
      </c>
      <c r="F357" s="39"/>
      <c r="G357" s="39">
        <v>4</v>
      </c>
      <c r="H357" s="41">
        <f>SUM(Tabla1326[[#This Row],[PRIMER TRIMESTRE]:[CUARTO TRIMESTRE]])</f>
        <v>8</v>
      </c>
      <c r="I357" s="17">
        <v>28910</v>
      </c>
      <c r="J357" s="17">
        <f t="shared" si="9"/>
        <v>231280</v>
      </c>
      <c r="K357" s="17"/>
      <c r="L357" s="16" t="s">
        <v>27</v>
      </c>
      <c r="M357" s="16" t="s">
        <v>22</v>
      </c>
      <c r="N357" s="39"/>
      <c r="O357" s="18"/>
    </row>
    <row r="358" spans="1:16" s="12" customFormat="1" ht="74.25" customHeight="1">
      <c r="A358" s="15" t="s">
        <v>80</v>
      </c>
      <c r="B358" s="75" t="s">
        <v>685</v>
      </c>
      <c r="C358" s="39" t="s">
        <v>17</v>
      </c>
      <c r="D358" s="39"/>
      <c r="E358" s="39">
        <v>4</v>
      </c>
      <c r="F358" s="39"/>
      <c r="G358" s="39">
        <v>4</v>
      </c>
      <c r="H358" s="41">
        <f>SUM(Tabla1326[[#This Row],[PRIMER TRIMESTRE]:[CUARTO TRIMESTRE]])</f>
        <v>8</v>
      </c>
      <c r="I358" s="17">
        <v>42480</v>
      </c>
      <c r="J358" s="17">
        <f t="shared" si="9"/>
        <v>339840</v>
      </c>
      <c r="K358" s="17"/>
      <c r="L358" s="16" t="s">
        <v>27</v>
      </c>
      <c r="M358" s="16" t="s">
        <v>22</v>
      </c>
      <c r="N358" s="39"/>
      <c r="O358" s="18"/>
    </row>
    <row r="359" spans="1:16" s="12" customFormat="1" ht="74.25" customHeight="1">
      <c r="A359" s="15" t="s">
        <v>80</v>
      </c>
      <c r="B359" s="75" t="s">
        <v>686</v>
      </c>
      <c r="C359" s="39" t="s">
        <v>17</v>
      </c>
      <c r="D359" s="39"/>
      <c r="E359" s="39">
        <v>2</v>
      </c>
      <c r="F359" s="39"/>
      <c r="G359" s="39">
        <v>2</v>
      </c>
      <c r="H359" s="41">
        <f>SUM(Tabla1326[[#This Row],[PRIMER TRIMESTRE]:[CUARTO TRIMESTRE]])</f>
        <v>4</v>
      </c>
      <c r="I359" s="17">
        <v>64900</v>
      </c>
      <c r="J359" s="17">
        <f t="shared" si="9"/>
        <v>259600</v>
      </c>
      <c r="K359" s="17"/>
      <c r="L359" s="16" t="s">
        <v>27</v>
      </c>
      <c r="M359" s="16" t="s">
        <v>22</v>
      </c>
      <c r="N359" s="39"/>
      <c r="O359" s="18"/>
    </row>
    <row r="360" spans="1:16" s="12" customFormat="1" ht="74.25" customHeight="1">
      <c r="A360" s="15" t="s">
        <v>80</v>
      </c>
      <c r="B360" s="75" t="s">
        <v>687</v>
      </c>
      <c r="C360" s="39" t="s">
        <v>17</v>
      </c>
      <c r="D360" s="39"/>
      <c r="E360" s="39">
        <v>4</v>
      </c>
      <c r="F360" s="39"/>
      <c r="G360" s="39">
        <v>4</v>
      </c>
      <c r="H360" s="41">
        <f>SUM(Tabla1326[[#This Row],[PRIMER TRIMESTRE]:[CUARTO TRIMESTRE]])</f>
        <v>8</v>
      </c>
      <c r="I360" s="17">
        <v>92040</v>
      </c>
      <c r="J360" s="17">
        <f t="shared" si="9"/>
        <v>736320</v>
      </c>
      <c r="K360" s="17"/>
      <c r="L360" s="16" t="s">
        <v>27</v>
      </c>
      <c r="M360" s="16" t="s">
        <v>22</v>
      </c>
      <c r="N360" s="39"/>
      <c r="O360" s="18"/>
    </row>
    <row r="361" spans="1:16" s="12" customFormat="1" ht="55.5" customHeight="1">
      <c r="A361" s="152" t="s">
        <v>80</v>
      </c>
      <c r="B361" s="153" t="s">
        <v>688</v>
      </c>
      <c r="C361" s="151" t="s">
        <v>17</v>
      </c>
      <c r="D361" s="151">
        <v>50</v>
      </c>
      <c r="E361" s="151"/>
      <c r="F361" s="151">
        <v>35</v>
      </c>
      <c r="G361" s="39"/>
      <c r="H361" s="154">
        <f>SUM(Tabla1326[[#This Row],[PRIMER TRIMESTRE]:[CUARTO TRIMESTRE]])</f>
        <v>85</v>
      </c>
      <c r="I361" s="155">
        <v>6377.7</v>
      </c>
      <c r="J361" s="155">
        <f t="shared" si="9"/>
        <v>542104.5</v>
      </c>
      <c r="K361" s="31"/>
      <c r="L361" s="17" t="s">
        <v>27</v>
      </c>
      <c r="M361" s="28" t="s">
        <v>22</v>
      </c>
      <c r="N361" s="45"/>
      <c r="O361" s="28"/>
      <c r="P361" s="29"/>
    </row>
    <row r="362" spans="1:16" s="12" customFormat="1" ht="55.5" customHeight="1">
      <c r="A362" s="152" t="s">
        <v>80</v>
      </c>
      <c r="B362" s="153" t="s">
        <v>689</v>
      </c>
      <c r="C362" s="151" t="s">
        <v>17</v>
      </c>
      <c r="D362" s="151">
        <v>50</v>
      </c>
      <c r="E362" s="151"/>
      <c r="F362" s="151">
        <v>35</v>
      </c>
      <c r="G362" s="39"/>
      <c r="H362" s="154">
        <f>SUM(Tabla1326[[#This Row],[PRIMER TRIMESTRE]:[CUARTO TRIMESTRE]])</f>
        <v>85</v>
      </c>
      <c r="I362" s="155">
        <v>6769.1</v>
      </c>
      <c r="J362" s="155">
        <f t="shared" si="9"/>
        <v>575373.5</v>
      </c>
      <c r="K362" s="31"/>
      <c r="L362" s="17" t="s">
        <v>27</v>
      </c>
      <c r="M362" s="28" t="s">
        <v>22</v>
      </c>
      <c r="N362" s="45"/>
      <c r="O362" s="28"/>
      <c r="P362" s="29"/>
    </row>
    <row r="363" spans="1:16" s="12" customFormat="1" ht="55.5" customHeight="1">
      <c r="A363" s="152" t="s">
        <v>80</v>
      </c>
      <c r="B363" s="153" t="s">
        <v>690</v>
      </c>
      <c r="C363" s="151" t="s">
        <v>17</v>
      </c>
      <c r="D363" s="151">
        <v>50</v>
      </c>
      <c r="E363" s="151"/>
      <c r="F363" s="151">
        <v>25</v>
      </c>
      <c r="G363" s="39"/>
      <c r="H363" s="154">
        <f>SUM(Tabla1326[[#This Row],[PRIMER TRIMESTRE]:[CUARTO TRIMESTRE]])</f>
        <v>75</v>
      </c>
      <c r="I363" s="155">
        <v>6890.2</v>
      </c>
      <c r="J363" s="155">
        <f t="shared" si="9"/>
        <v>516765</v>
      </c>
      <c r="K363" s="31"/>
      <c r="L363" s="17" t="s">
        <v>27</v>
      </c>
      <c r="M363" s="28" t="s">
        <v>22</v>
      </c>
      <c r="N363" s="45"/>
      <c r="O363" s="28"/>
      <c r="P363" s="29"/>
    </row>
    <row r="364" spans="1:16" s="12" customFormat="1" ht="55.5" customHeight="1">
      <c r="A364" s="156" t="s">
        <v>80</v>
      </c>
      <c r="B364" s="153" t="s">
        <v>905</v>
      </c>
      <c r="C364" s="151" t="s">
        <v>17</v>
      </c>
      <c r="D364" s="151">
        <v>50</v>
      </c>
      <c r="E364" s="151"/>
      <c r="F364" s="151"/>
      <c r="G364" s="39"/>
      <c r="H364" s="154">
        <f>SUM(Tabla1326[[#This Row],[PRIMER TRIMESTRE]:[CUARTO TRIMESTRE]])</f>
        <v>50</v>
      </c>
      <c r="I364" s="155"/>
      <c r="J364" s="109">
        <f>+H364*I364</f>
        <v>0</v>
      </c>
      <c r="K364" s="17"/>
      <c r="L364" s="17"/>
      <c r="M364" s="16"/>
      <c r="N364" s="39"/>
      <c r="O364" s="18"/>
      <c r="P364" s="29"/>
    </row>
    <row r="365" spans="1:16" s="12" customFormat="1" ht="25.5">
      <c r="A365" s="152" t="s">
        <v>80</v>
      </c>
      <c r="B365" s="153" t="s">
        <v>691</v>
      </c>
      <c r="C365" s="151" t="s">
        <v>17</v>
      </c>
      <c r="D365" s="151">
        <v>50</v>
      </c>
      <c r="E365" s="151"/>
      <c r="F365" s="151">
        <v>30</v>
      </c>
      <c r="G365" s="39"/>
      <c r="H365" s="154">
        <f>SUM(Tabla1326[[#This Row],[PRIMER TRIMESTRE]:[CUARTO TRIMESTRE]])</f>
        <v>80</v>
      </c>
      <c r="I365" s="155">
        <f>2500*1.18</f>
        <v>2950</v>
      </c>
      <c r="J365" s="155">
        <f t="shared" si="9"/>
        <v>236000</v>
      </c>
      <c r="K365" s="31"/>
      <c r="L365" s="17" t="s">
        <v>27</v>
      </c>
      <c r="M365" s="28" t="s">
        <v>22</v>
      </c>
      <c r="N365" s="45"/>
      <c r="O365" s="28"/>
      <c r="P365" s="29"/>
    </row>
    <row r="366" spans="1:16" s="12" customFormat="1" ht="25.5">
      <c r="A366" s="152" t="s">
        <v>80</v>
      </c>
      <c r="B366" s="153" t="s">
        <v>906</v>
      </c>
      <c r="C366" s="151" t="s">
        <v>17</v>
      </c>
      <c r="D366" s="151">
        <v>50</v>
      </c>
      <c r="E366" s="151"/>
      <c r="F366" s="151"/>
      <c r="G366" s="39"/>
      <c r="H366" s="154">
        <f>SUM(Tabla1326[[#This Row],[PRIMER TRIMESTRE]:[CUARTO TRIMESTRE]])</f>
        <v>50</v>
      </c>
      <c r="I366" s="155"/>
      <c r="J366" s="109">
        <f>+H366*I366</f>
        <v>0</v>
      </c>
      <c r="K366" s="17"/>
      <c r="L366" s="17"/>
      <c r="M366" s="16"/>
      <c r="N366" s="39"/>
      <c r="O366" s="18"/>
      <c r="P366" s="29"/>
    </row>
    <row r="367" spans="1:16" s="12" customFormat="1" ht="25.5">
      <c r="A367" s="152" t="s">
        <v>80</v>
      </c>
      <c r="B367" s="153" t="s">
        <v>692</v>
      </c>
      <c r="C367" s="151" t="s">
        <v>17</v>
      </c>
      <c r="D367" s="151">
        <v>60</v>
      </c>
      <c r="E367" s="151"/>
      <c r="F367" s="151">
        <v>9</v>
      </c>
      <c r="G367" s="39"/>
      <c r="H367" s="154">
        <f>SUM(Tabla1326[[#This Row],[PRIMER TRIMESTRE]:[CUARTO TRIMESTRE]])</f>
        <v>69</v>
      </c>
      <c r="I367" s="155">
        <v>20380.96</v>
      </c>
      <c r="J367" s="155">
        <f t="shared" si="9"/>
        <v>1406286.24</v>
      </c>
      <c r="K367" s="31"/>
      <c r="L367" s="17" t="s">
        <v>27</v>
      </c>
      <c r="M367" s="28" t="s">
        <v>22</v>
      </c>
      <c r="N367" s="45"/>
      <c r="O367" s="28"/>
      <c r="P367" s="29"/>
    </row>
    <row r="368" spans="1:16" s="12" customFormat="1" ht="25.5">
      <c r="A368" s="152" t="s">
        <v>80</v>
      </c>
      <c r="B368" s="153" t="s">
        <v>693</v>
      </c>
      <c r="C368" s="151" t="s">
        <v>17</v>
      </c>
      <c r="D368" s="151">
        <v>40</v>
      </c>
      <c r="E368" s="151"/>
      <c r="F368" s="151">
        <v>9</v>
      </c>
      <c r="G368" s="39"/>
      <c r="H368" s="154">
        <f>SUM(Tabla1326[[#This Row],[PRIMER TRIMESTRE]:[CUARTO TRIMESTRE]])</f>
        <v>49</v>
      </c>
      <c r="I368" s="155">
        <v>29236.86</v>
      </c>
      <c r="J368" s="155">
        <f t="shared" si="9"/>
        <v>1432606.1400000001</v>
      </c>
      <c r="K368" s="31"/>
      <c r="L368" s="17" t="s">
        <v>27</v>
      </c>
      <c r="M368" s="28" t="s">
        <v>22</v>
      </c>
      <c r="N368" s="45"/>
      <c r="O368" s="28"/>
      <c r="P368" s="29"/>
    </row>
    <row r="369" spans="1:21" s="12" customFormat="1" ht="25.5">
      <c r="A369" s="156" t="s">
        <v>80</v>
      </c>
      <c r="B369" s="153" t="s">
        <v>909</v>
      </c>
      <c r="C369" s="151" t="s">
        <v>17</v>
      </c>
      <c r="D369" s="151">
        <v>10</v>
      </c>
      <c r="E369" s="151"/>
      <c r="F369" s="151"/>
      <c r="G369" s="39"/>
      <c r="H369" s="154">
        <f>SUM(Tabla1326[[#This Row],[PRIMER TRIMESTRE]:[CUARTO TRIMESTRE]])</f>
        <v>10</v>
      </c>
      <c r="I369" s="155"/>
      <c r="J369" s="109">
        <f>+H369*I369</f>
        <v>0</v>
      </c>
      <c r="K369" s="17"/>
      <c r="L369" s="17"/>
      <c r="M369" s="16"/>
      <c r="N369" s="39"/>
      <c r="O369" s="18"/>
      <c r="P369" s="29"/>
    </row>
    <row r="370" spans="1:21" s="12" customFormat="1" ht="25.5">
      <c r="A370" s="156" t="s">
        <v>80</v>
      </c>
      <c r="B370" s="153" t="s">
        <v>910</v>
      </c>
      <c r="C370" s="151" t="s">
        <v>17</v>
      </c>
      <c r="D370" s="151">
        <v>10</v>
      </c>
      <c r="E370" s="151"/>
      <c r="F370" s="151"/>
      <c r="G370" s="39"/>
      <c r="H370" s="154">
        <f>SUM(Tabla1326[[#This Row],[PRIMER TRIMESTRE]:[CUARTO TRIMESTRE]])</f>
        <v>10</v>
      </c>
      <c r="I370" s="155"/>
      <c r="J370" s="109">
        <f>+H370*I370</f>
        <v>0</v>
      </c>
      <c r="K370" s="17"/>
      <c r="L370" s="17"/>
      <c r="M370" s="16"/>
      <c r="N370" s="39"/>
      <c r="O370" s="18"/>
      <c r="P370" s="29"/>
    </row>
    <row r="371" spans="1:21" s="12" customFormat="1">
      <c r="A371" s="157" t="s">
        <v>80</v>
      </c>
      <c r="B371" s="158" t="s">
        <v>454</v>
      </c>
      <c r="C371" s="159" t="s">
        <v>17</v>
      </c>
      <c r="D371" s="159">
        <v>50</v>
      </c>
      <c r="E371" s="159"/>
      <c r="F371" s="159">
        <v>45</v>
      </c>
      <c r="G371" s="39"/>
      <c r="H371" s="160">
        <f>SUM(Tabla1326[[#This Row],[PRIMER TRIMESTRE]:[CUARTO TRIMESTRE]])</f>
        <v>95</v>
      </c>
      <c r="I371" s="161">
        <v>236</v>
      </c>
      <c r="J371" s="161">
        <f t="shared" si="9"/>
        <v>22420</v>
      </c>
      <c r="K371" s="31"/>
      <c r="L371" s="17" t="s">
        <v>27</v>
      </c>
      <c r="M371" s="28" t="s">
        <v>22</v>
      </c>
      <c r="N371" s="45"/>
      <c r="O371" s="28"/>
      <c r="P371" s="29"/>
    </row>
    <row r="372" spans="1:21" s="12" customFormat="1">
      <c r="A372" s="157" t="s">
        <v>80</v>
      </c>
      <c r="B372" s="158" t="s">
        <v>455</v>
      </c>
      <c r="C372" s="159" t="s">
        <v>17</v>
      </c>
      <c r="D372" s="159">
        <v>50</v>
      </c>
      <c r="E372" s="159"/>
      <c r="F372" s="159">
        <v>45</v>
      </c>
      <c r="G372" s="39"/>
      <c r="H372" s="160">
        <f>SUM(Tabla1326[[#This Row],[PRIMER TRIMESTRE]:[CUARTO TRIMESTRE]])</f>
        <v>95</v>
      </c>
      <c r="I372" s="161">
        <v>344.56</v>
      </c>
      <c r="J372" s="161">
        <f t="shared" si="9"/>
        <v>32733.200000000001</v>
      </c>
      <c r="K372" s="31"/>
      <c r="L372" s="17" t="s">
        <v>27</v>
      </c>
      <c r="M372" s="28" t="s">
        <v>22</v>
      </c>
      <c r="N372" s="45"/>
      <c r="O372" s="28"/>
      <c r="P372" s="29"/>
    </row>
    <row r="373" spans="1:21" s="12" customFormat="1">
      <c r="A373" s="157" t="s">
        <v>80</v>
      </c>
      <c r="B373" s="158" t="s">
        <v>456</v>
      </c>
      <c r="C373" s="159" t="s">
        <v>17</v>
      </c>
      <c r="D373" s="159">
        <v>50</v>
      </c>
      <c r="E373" s="159"/>
      <c r="F373" s="159">
        <v>45</v>
      </c>
      <c r="G373" s="39"/>
      <c r="H373" s="160">
        <f>SUM(Tabla1326[[#This Row],[PRIMER TRIMESTRE]:[CUARTO TRIMESTRE]])</f>
        <v>95</v>
      </c>
      <c r="I373" s="161">
        <v>499.14</v>
      </c>
      <c r="J373" s="161">
        <f t="shared" si="9"/>
        <v>47418.299999999996</v>
      </c>
      <c r="K373" s="31"/>
      <c r="L373" s="17" t="s">
        <v>27</v>
      </c>
      <c r="M373" s="28" t="s">
        <v>22</v>
      </c>
      <c r="N373" s="45"/>
      <c r="O373" s="28"/>
      <c r="P373" s="29"/>
    </row>
    <row r="374" spans="1:21" s="12" customFormat="1">
      <c r="A374" s="157" t="s">
        <v>80</v>
      </c>
      <c r="B374" s="158" t="s">
        <v>457</v>
      </c>
      <c r="C374" s="159" t="s">
        <v>17</v>
      </c>
      <c r="D374" s="159">
        <v>50</v>
      </c>
      <c r="E374" s="159"/>
      <c r="F374" s="159">
        <v>40</v>
      </c>
      <c r="G374" s="39"/>
      <c r="H374" s="160">
        <f>SUM(Tabla1326[[#This Row],[PRIMER TRIMESTRE]:[CUARTO TRIMESTRE]])</f>
        <v>90</v>
      </c>
      <c r="I374" s="161">
        <v>1598.9</v>
      </c>
      <c r="J374" s="161">
        <f t="shared" si="9"/>
        <v>143901</v>
      </c>
      <c r="K374" s="31"/>
      <c r="L374" s="17" t="s">
        <v>27</v>
      </c>
      <c r="M374" s="28" t="s">
        <v>22</v>
      </c>
      <c r="N374" s="45"/>
      <c r="O374" s="28"/>
      <c r="P374" s="29"/>
    </row>
    <row r="375" spans="1:21" s="12" customFormat="1">
      <c r="A375" s="157" t="s">
        <v>80</v>
      </c>
      <c r="B375" s="158" t="s">
        <v>458</v>
      </c>
      <c r="C375" s="159" t="s">
        <v>17</v>
      </c>
      <c r="D375" s="159">
        <v>50</v>
      </c>
      <c r="E375" s="159"/>
      <c r="F375" s="159">
        <v>45</v>
      </c>
      <c r="G375" s="39"/>
      <c r="H375" s="160">
        <f>SUM(Tabla1326[[#This Row],[PRIMER TRIMESTRE]:[CUARTO TRIMESTRE]])</f>
        <v>95</v>
      </c>
      <c r="I375" s="161">
        <v>1849.06</v>
      </c>
      <c r="J375" s="161">
        <f t="shared" si="9"/>
        <v>175660.69999999998</v>
      </c>
      <c r="K375" s="31"/>
      <c r="L375" s="17" t="s">
        <v>27</v>
      </c>
      <c r="M375" s="28" t="s">
        <v>22</v>
      </c>
      <c r="N375" s="45"/>
      <c r="O375" s="28"/>
      <c r="P375" s="29"/>
    </row>
    <row r="376" spans="1:21" s="12" customFormat="1">
      <c r="A376" s="162" t="s">
        <v>80</v>
      </c>
      <c r="B376" s="158" t="s">
        <v>801</v>
      </c>
      <c r="C376" s="159" t="s">
        <v>17</v>
      </c>
      <c r="D376" s="159">
        <v>50</v>
      </c>
      <c r="E376" s="159"/>
      <c r="F376" s="159">
        <v>40</v>
      </c>
      <c r="G376" s="39"/>
      <c r="H376" s="160">
        <f>SUM(Tabla1326[[#This Row],[PRIMER TRIMESTRE]:[CUARTO TRIMESTRE]])</f>
        <v>90</v>
      </c>
      <c r="I376" s="161">
        <v>5444</v>
      </c>
      <c r="J376" s="161">
        <f t="shared" si="9"/>
        <v>489960</v>
      </c>
      <c r="K376" s="17"/>
      <c r="L376" s="17" t="s">
        <v>27</v>
      </c>
      <c r="M376" s="28" t="s">
        <v>22</v>
      </c>
      <c r="N376" s="39"/>
      <c r="O376" s="18"/>
      <c r="P376" s="29"/>
    </row>
    <row r="377" spans="1:21" s="12" customFormat="1">
      <c r="A377" s="162" t="s">
        <v>80</v>
      </c>
      <c r="B377" s="158" t="s">
        <v>802</v>
      </c>
      <c r="C377" s="159" t="s">
        <v>17</v>
      </c>
      <c r="D377" s="159">
        <v>50</v>
      </c>
      <c r="E377" s="159"/>
      <c r="F377" s="159">
        <v>40</v>
      </c>
      <c r="G377" s="39"/>
      <c r="H377" s="160">
        <f>SUM(Tabla1326[[#This Row],[PRIMER TRIMESTRE]:[CUARTO TRIMESTRE]])</f>
        <v>90</v>
      </c>
      <c r="I377" s="161">
        <v>6844</v>
      </c>
      <c r="J377" s="161">
        <f t="shared" si="9"/>
        <v>615960</v>
      </c>
      <c r="K377" s="17"/>
      <c r="L377" s="17" t="s">
        <v>27</v>
      </c>
      <c r="M377" s="28" t="s">
        <v>22</v>
      </c>
      <c r="N377" s="39"/>
      <c r="O377" s="18"/>
      <c r="P377" s="29"/>
    </row>
    <row r="378" spans="1:21" s="26" customFormat="1" ht="26.25" customHeight="1">
      <c r="A378" s="22" t="s">
        <v>80</v>
      </c>
      <c r="B378" s="76"/>
      <c r="C378" s="42"/>
      <c r="D378" s="42"/>
      <c r="E378" s="42"/>
      <c r="F378" s="42"/>
      <c r="G378" s="42"/>
      <c r="H378" s="43"/>
      <c r="I378" s="24"/>
      <c r="J378" s="24"/>
      <c r="K378" s="163">
        <f>SUM(J103:J377)</f>
        <v>71691050.649665013</v>
      </c>
      <c r="L378" s="23"/>
      <c r="M378" s="23"/>
      <c r="N378" s="42"/>
      <c r="O378" s="24"/>
      <c r="R378" s="27"/>
      <c r="U378" s="23"/>
    </row>
    <row r="379" spans="1:21" s="12" customFormat="1">
      <c r="A379" s="15" t="s">
        <v>81</v>
      </c>
      <c r="B379" s="75" t="s">
        <v>207</v>
      </c>
      <c r="C379" s="39" t="s">
        <v>33</v>
      </c>
      <c r="D379" s="39"/>
      <c r="E379" s="39"/>
      <c r="F379" s="39">
        <v>40</v>
      </c>
      <c r="G379" s="39"/>
      <c r="H379" s="40">
        <f>SUM(Tabla1326[[#This Row],[PRIMER TRIMESTRE]:[CUARTO TRIMESTRE]])</f>
        <v>40</v>
      </c>
      <c r="I379" s="17">
        <v>871.93</v>
      </c>
      <c r="J379" s="17">
        <f>+Tabla1326[[#This Row],[CANTIDAD TOTAL]]*Tabla1326[[#This Row],[PRECIO UNITARIO ESTIMADO]]</f>
        <v>34877.199999999997</v>
      </c>
      <c r="K379" s="17"/>
      <c r="L379" s="16" t="s">
        <v>15</v>
      </c>
      <c r="M379" s="16" t="s">
        <v>22</v>
      </c>
      <c r="N379" s="39" t="s">
        <v>418</v>
      </c>
      <c r="O379" s="20"/>
    </row>
    <row r="380" spans="1:21" s="26" customFormat="1" ht="27.75" customHeight="1">
      <c r="A380" s="22" t="s">
        <v>81</v>
      </c>
      <c r="B380" s="76"/>
      <c r="C380" s="42"/>
      <c r="D380" s="42"/>
      <c r="E380" s="42"/>
      <c r="F380" s="42"/>
      <c r="G380" s="42"/>
      <c r="H380" s="43"/>
      <c r="I380" s="24"/>
      <c r="J380" s="24"/>
      <c r="K380" s="25">
        <f>SUM(J379)</f>
        <v>34877.199999999997</v>
      </c>
      <c r="L380" s="23"/>
      <c r="M380" s="23"/>
      <c r="N380" s="42"/>
      <c r="O380" s="24"/>
      <c r="R380" s="27"/>
      <c r="U380" s="23"/>
    </row>
    <row r="381" spans="1:21" s="12" customFormat="1" ht="34.5" customHeight="1">
      <c r="A381" s="15" t="s">
        <v>94</v>
      </c>
      <c r="B381" s="75" t="s">
        <v>209</v>
      </c>
      <c r="C381" s="39" t="s">
        <v>17</v>
      </c>
      <c r="D381" s="39"/>
      <c r="E381" s="39">
        <v>230</v>
      </c>
      <c r="F381" s="39"/>
      <c r="G381" s="39">
        <v>230</v>
      </c>
      <c r="H381" s="40">
        <f>SUM(Tabla1326[[#This Row],[PRIMER TRIMESTRE]:[CUARTO TRIMESTRE]])</f>
        <v>460</v>
      </c>
      <c r="I381" s="17">
        <v>1417.52</v>
      </c>
      <c r="J381" s="17">
        <f>+Tabla1326[[#This Row],[CANTIDAD TOTAL]]*Tabla1326[[#This Row],[PRECIO UNITARIO ESTIMADO]]</f>
        <v>652059.19999999995</v>
      </c>
      <c r="K381" s="17"/>
      <c r="L381" s="16" t="s">
        <v>15</v>
      </c>
      <c r="M381" s="16" t="s">
        <v>22</v>
      </c>
      <c r="N381" s="39" t="s">
        <v>418</v>
      </c>
      <c r="O381" s="20"/>
    </row>
    <row r="382" spans="1:21" s="26" customFormat="1" ht="27.75" customHeight="1">
      <c r="A382" s="22" t="s">
        <v>94</v>
      </c>
      <c r="B382" s="76"/>
      <c r="C382" s="42"/>
      <c r="D382" s="42"/>
      <c r="E382" s="42"/>
      <c r="F382" s="42"/>
      <c r="G382" s="42"/>
      <c r="H382" s="43"/>
      <c r="I382" s="24"/>
      <c r="J382" s="24"/>
      <c r="K382" s="25">
        <f>SUM(J381:J381)</f>
        <v>652059.19999999995</v>
      </c>
      <c r="L382" s="23"/>
      <c r="M382" s="23"/>
      <c r="N382" s="42"/>
      <c r="O382" s="24"/>
      <c r="R382" s="27"/>
      <c r="U382" s="23"/>
    </row>
    <row r="383" spans="1:21" s="12" customFormat="1" ht="33.75" customHeight="1">
      <c r="A383" s="15" t="s">
        <v>96</v>
      </c>
      <c r="B383" s="75" t="s">
        <v>777</v>
      </c>
      <c r="C383" s="39" t="s">
        <v>17</v>
      </c>
      <c r="D383" s="39"/>
      <c r="E383" s="39">
        <v>100</v>
      </c>
      <c r="F383" s="39"/>
      <c r="G383" s="39">
        <v>100</v>
      </c>
      <c r="H383" s="40">
        <f>SUM(Tabla1326[[#This Row],[PRIMER TRIMESTRE]:[CUARTO TRIMESTRE]])</f>
        <v>200</v>
      </c>
      <c r="I383" s="17">
        <v>275.5</v>
      </c>
      <c r="J383" s="17">
        <f>+Tabla1326[[#This Row],[CANTIDAD TOTAL]]*Tabla1326[[#This Row],[PRECIO UNITARIO ESTIMADO]]</f>
        <v>55100</v>
      </c>
      <c r="K383" s="17"/>
      <c r="L383" s="16" t="s">
        <v>15</v>
      </c>
      <c r="M383" s="16" t="s">
        <v>22</v>
      </c>
      <c r="N383" s="39" t="s">
        <v>418</v>
      </c>
      <c r="O383" s="20"/>
    </row>
    <row r="384" spans="1:21" s="12" customFormat="1" ht="33.75" customHeight="1">
      <c r="A384" s="15" t="s">
        <v>96</v>
      </c>
      <c r="B384" s="75" t="s">
        <v>210</v>
      </c>
      <c r="C384" s="39" t="s">
        <v>17</v>
      </c>
      <c r="D384" s="39"/>
      <c r="E384" s="39">
        <v>60</v>
      </c>
      <c r="F384" s="39"/>
      <c r="G384" s="39">
        <v>60</v>
      </c>
      <c r="H384" s="40">
        <f>SUM(Tabla1326[[#This Row],[PRIMER TRIMESTRE]:[CUARTO TRIMESTRE]])</f>
        <v>120</v>
      </c>
      <c r="I384" s="17">
        <v>194.88</v>
      </c>
      <c r="J384" s="17">
        <f>+Tabla1326[[#This Row],[CANTIDAD TOTAL]]*Tabla1326[[#This Row],[PRECIO UNITARIO ESTIMADO]]</f>
        <v>23385.599999999999</v>
      </c>
      <c r="K384" s="17"/>
      <c r="L384" s="16" t="s">
        <v>15</v>
      </c>
      <c r="M384" s="16" t="s">
        <v>22</v>
      </c>
      <c r="N384" s="39" t="s">
        <v>418</v>
      </c>
      <c r="O384" s="20"/>
    </row>
    <row r="385" spans="1:15" s="12" customFormat="1" ht="33.75" customHeight="1">
      <c r="A385" s="15" t="s">
        <v>96</v>
      </c>
      <c r="B385" s="75" t="s">
        <v>211</v>
      </c>
      <c r="C385" s="39" t="s">
        <v>17</v>
      </c>
      <c r="D385" s="39"/>
      <c r="E385" s="39">
        <v>50</v>
      </c>
      <c r="F385" s="39"/>
      <c r="G385" s="39">
        <v>50</v>
      </c>
      <c r="H385" s="40">
        <f>SUM(Tabla1326[[#This Row],[PRIMER TRIMESTRE]:[CUARTO TRIMESTRE]])</f>
        <v>100</v>
      </c>
      <c r="I385" s="17">
        <v>313.2</v>
      </c>
      <c r="J385" s="17">
        <f>+Tabla1326[[#This Row],[CANTIDAD TOTAL]]*Tabla1326[[#This Row],[PRECIO UNITARIO ESTIMADO]]</f>
        <v>31320</v>
      </c>
      <c r="K385" s="17"/>
      <c r="L385" s="16" t="s">
        <v>15</v>
      </c>
      <c r="M385" s="16" t="s">
        <v>22</v>
      </c>
      <c r="N385" s="39" t="s">
        <v>418</v>
      </c>
      <c r="O385" s="20"/>
    </row>
    <row r="386" spans="1:15" s="12" customFormat="1" ht="31.5">
      <c r="A386" s="15" t="s">
        <v>96</v>
      </c>
      <c r="B386" s="75" t="s">
        <v>803</v>
      </c>
      <c r="C386" s="39" t="s">
        <v>343</v>
      </c>
      <c r="D386" s="39"/>
      <c r="E386" s="39">
        <v>2000</v>
      </c>
      <c r="F386" s="39"/>
      <c r="G386" s="39">
        <v>2000</v>
      </c>
      <c r="H386" s="40">
        <f>SUM(Tabla1326[[#This Row],[PRIMER TRIMESTRE]:[CUARTO TRIMESTRE]])</f>
        <v>4000</v>
      </c>
      <c r="I386" s="72">
        <v>4.41</v>
      </c>
      <c r="J386" s="17">
        <f t="shared" ref="J386:J440" si="10">+H386*I386</f>
        <v>17640</v>
      </c>
      <c r="K386" s="17"/>
      <c r="L386" s="17" t="s">
        <v>27</v>
      </c>
      <c r="M386" s="16" t="s">
        <v>22</v>
      </c>
      <c r="N386" s="39" t="s">
        <v>418</v>
      </c>
      <c r="O386" s="20"/>
    </row>
    <row r="387" spans="1:15" s="12" customFormat="1" ht="31.5">
      <c r="A387" s="15" t="s">
        <v>96</v>
      </c>
      <c r="B387" s="75" t="s">
        <v>804</v>
      </c>
      <c r="C387" s="39" t="s">
        <v>343</v>
      </c>
      <c r="D387" s="39"/>
      <c r="E387" s="39">
        <v>1700</v>
      </c>
      <c r="F387" s="39"/>
      <c r="G387" s="39">
        <v>1700</v>
      </c>
      <c r="H387" s="40">
        <f>SUM(Tabla1326[[#This Row],[PRIMER TRIMESTRE]:[CUARTO TRIMESTRE]])</f>
        <v>3400</v>
      </c>
      <c r="I387" s="17">
        <v>10.54</v>
      </c>
      <c r="J387" s="17">
        <f t="shared" si="10"/>
        <v>35836</v>
      </c>
      <c r="K387" s="17"/>
      <c r="L387" s="17" t="s">
        <v>27</v>
      </c>
      <c r="M387" s="16" t="s">
        <v>22</v>
      </c>
      <c r="N387" s="39" t="s">
        <v>418</v>
      </c>
      <c r="O387" s="20"/>
    </row>
    <row r="388" spans="1:15" s="12" customFormat="1" ht="31.5">
      <c r="A388" s="15" t="s">
        <v>96</v>
      </c>
      <c r="B388" s="75" t="s">
        <v>805</v>
      </c>
      <c r="C388" s="39" t="s">
        <v>343</v>
      </c>
      <c r="D388" s="39"/>
      <c r="E388" s="39">
        <v>1300</v>
      </c>
      <c r="F388" s="39"/>
      <c r="G388" s="39">
        <v>1300</v>
      </c>
      <c r="H388" s="40">
        <f>SUM(Tabla1326[[#This Row],[PRIMER TRIMESTRE]:[CUARTO TRIMESTRE]])</f>
        <v>2600</v>
      </c>
      <c r="I388" s="72">
        <v>16.41</v>
      </c>
      <c r="J388" s="17">
        <f t="shared" si="10"/>
        <v>42666</v>
      </c>
      <c r="K388" s="17"/>
      <c r="L388" s="17" t="s">
        <v>27</v>
      </c>
      <c r="M388" s="16" t="s">
        <v>22</v>
      </c>
      <c r="N388" s="39" t="s">
        <v>418</v>
      </c>
      <c r="O388" s="20"/>
    </row>
    <row r="389" spans="1:15" s="12" customFormat="1" ht="31.5">
      <c r="A389" s="15" t="s">
        <v>96</v>
      </c>
      <c r="B389" s="75" t="s">
        <v>806</v>
      </c>
      <c r="C389" s="39" t="s">
        <v>343</v>
      </c>
      <c r="D389" s="39"/>
      <c r="E389" s="39">
        <v>1300</v>
      </c>
      <c r="F389" s="39"/>
      <c r="G389" s="39">
        <v>1300</v>
      </c>
      <c r="H389" s="40">
        <f>SUM(Tabla1326[[#This Row],[PRIMER TRIMESTRE]:[CUARTO TRIMESTRE]])</f>
        <v>2600</v>
      </c>
      <c r="I389" s="72">
        <v>25.61</v>
      </c>
      <c r="J389" s="17">
        <f t="shared" si="10"/>
        <v>66586</v>
      </c>
      <c r="K389" s="17"/>
      <c r="L389" s="17" t="s">
        <v>27</v>
      </c>
      <c r="M389" s="16" t="s">
        <v>22</v>
      </c>
      <c r="N389" s="39" t="s">
        <v>418</v>
      </c>
      <c r="O389" s="20"/>
    </row>
    <row r="390" spans="1:15" s="12" customFormat="1" ht="31.5">
      <c r="A390" s="15" t="s">
        <v>96</v>
      </c>
      <c r="B390" s="75" t="s">
        <v>807</v>
      </c>
      <c r="C390" s="39" t="s">
        <v>343</v>
      </c>
      <c r="D390" s="39"/>
      <c r="E390" s="39">
        <v>1300</v>
      </c>
      <c r="F390" s="39"/>
      <c r="G390" s="39">
        <v>1300</v>
      </c>
      <c r="H390" s="40">
        <f>SUM(Tabla1326[[#This Row],[PRIMER TRIMESTRE]:[CUARTO TRIMESTRE]])</f>
        <v>2600</v>
      </c>
      <c r="I390" s="72">
        <v>40.869999999999997</v>
      </c>
      <c r="J390" s="17">
        <f t="shared" si="10"/>
        <v>106262</v>
      </c>
      <c r="K390" s="17"/>
      <c r="L390" s="17" t="s">
        <v>27</v>
      </c>
      <c r="M390" s="16" t="s">
        <v>22</v>
      </c>
      <c r="N390" s="39" t="s">
        <v>418</v>
      </c>
      <c r="O390" s="20"/>
    </row>
    <row r="391" spans="1:15" s="12" customFormat="1" ht="31.5">
      <c r="A391" s="15" t="s">
        <v>96</v>
      </c>
      <c r="B391" s="75" t="s">
        <v>808</v>
      </c>
      <c r="C391" s="39" t="s">
        <v>343</v>
      </c>
      <c r="D391" s="39"/>
      <c r="E391" s="39">
        <v>90</v>
      </c>
      <c r="F391" s="39"/>
      <c r="G391" s="39">
        <v>90</v>
      </c>
      <c r="H391" s="40">
        <f>SUM(Tabla1326[[#This Row],[PRIMER TRIMESTRE]:[CUARTO TRIMESTRE]])</f>
        <v>180</v>
      </c>
      <c r="I391" s="72">
        <v>64.05</v>
      </c>
      <c r="J391" s="17">
        <f t="shared" si="10"/>
        <v>11529</v>
      </c>
      <c r="K391" s="17"/>
      <c r="L391" s="17" t="s">
        <v>27</v>
      </c>
      <c r="M391" s="16" t="s">
        <v>22</v>
      </c>
      <c r="N391" s="39" t="s">
        <v>418</v>
      </c>
      <c r="O391" s="20"/>
    </row>
    <row r="392" spans="1:15" s="12" customFormat="1" ht="31.5">
      <c r="A392" s="15" t="s">
        <v>96</v>
      </c>
      <c r="B392" s="75" t="s">
        <v>809</v>
      </c>
      <c r="C392" s="39" t="s">
        <v>343</v>
      </c>
      <c r="D392" s="39"/>
      <c r="E392" s="39">
        <v>600</v>
      </c>
      <c r="F392" s="39"/>
      <c r="G392" s="39">
        <v>600</v>
      </c>
      <c r="H392" s="40">
        <f>SUM(Tabla1326[[#This Row],[PRIMER TRIMESTRE]:[CUARTO TRIMESTRE]])</f>
        <v>1200</v>
      </c>
      <c r="I392" s="72">
        <v>103.14</v>
      </c>
      <c r="J392" s="17">
        <f t="shared" si="10"/>
        <v>123768</v>
      </c>
      <c r="K392" s="17"/>
      <c r="L392" s="17" t="s">
        <v>27</v>
      </c>
      <c r="M392" s="16" t="s">
        <v>22</v>
      </c>
      <c r="N392" s="39" t="s">
        <v>418</v>
      </c>
      <c r="O392" s="20"/>
    </row>
    <row r="393" spans="1:15" s="12" customFormat="1" ht="31.5">
      <c r="A393" s="15" t="s">
        <v>96</v>
      </c>
      <c r="B393" s="75" t="s">
        <v>810</v>
      </c>
      <c r="C393" s="39" t="s">
        <v>343</v>
      </c>
      <c r="D393" s="39"/>
      <c r="E393" s="39">
        <v>600</v>
      </c>
      <c r="F393" s="39"/>
      <c r="G393" s="39">
        <v>600</v>
      </c>
      <c r="H393" s="40">
        <f>SUM(Tabla1326[[#This Row],[PRIMER TRIMESTRE]:[CUARTO TRIMESTRE]])</f>
        <v>1200</v>
      </c>
      <c r="I393" s="17">
        <v>127.96</v>
      </c>
      <c r="J393" s="17">
        <f t="shared" si="10"/>
        <v>153552</v>
      </c>
      <c r="K393" s="17"/>
      <c r="L393" s="17" t="s">
        <v>27</v>
      </c>
      <c r="M393" s="16" t="s">
        <v>22</v>
      </c>
      <c r="N393" s="39" t="s">
        <v>418</v>
      </c>
      <c r="O393" s="20"/>
    </row>
    <row r="394" spans="1:15" s="12" customFormat="1" ht="31.5">
      <c r="A394" s="15" t="s">
        <v>96</v>
      </c>
      <c r="B394" s="75" t="s">
        <v>811</v>
      </c>
      <c r="C394" s="39" t="s">
        <v>343</v>
      </c>
      <c r="D394" s="39"/>
      <c r="E394" s="39">
        <v>300</v>
      </c>
      <c r="F394" s="39"/>
      <c r="G394" s="39">
        <v>300</v>
      </c>
      <c r="H394" s="40">
        <f>SUM(Tabla1326[[#This Row],[PRIMER TRIMESTRE]:[CUARTO TRIMESTRE]])</f>
        <v>600</v>
      </c>
      <c r="I394" s="17">
        <v>159.21</v>
      </c>
      <c r="J394" s="17">
        <f t="shared" si="10"/>
        <v>95526</v>
      </c>
      <c r="K394" s="17"/>
      <c r="L394" s="17" t="s">
        <v>27</v>
      </c>
      <c r="M394" s="16" t="s">
        <v>22</v>
      </c>
      <c r="N394" s="39" t="s">
        <v>418</v>
      </c>
      <c r="O394" s="20"/>
    </row>
    <row r="395" spans="1:15" s="12" customFormat="1" ht="31.5">
      <c r="A395" s="15" t="s">
        <v>96</v>
      </c>
      <c r="B395" s="75" t="s">
        <v>812</v>
      </c>
      <c r="C395" s="39" t="s">
        <v>343</v>
      </c>
      <c r="D395" s="39"/>
      <c r="E395" s="39">
        <v>300</v>
      </c>
      <c r="F395" s="39"/>
      <c r="G395" s="39">
        <v>300</v>
      </c>
      <c r="H395" s="40">
        <f>SUM(Tabla1326[[#This Row],[PRIMER TRIMESTRE]:[CUARTO TRIMESTRE]])</f>
        <v>600</v>
      </c>
      <c r="I395" s="17">
        <v>198.41</v>
      </c>
      <c r="J395" s="17">
        <f t="shared" si="10"/>
        <v>119046</v>
      </c>
      <c r="K395" s="17"/>
      <c r="L395" s="17" t="s">
        <v>27</v>
      </c>
      <c r="M395" s="16" t="s">
        <v>22</v>
      </c>
      <c r="N395" s="39" t="s">
        <v>418</v>
      </c>
      <c r="O395" s="20"/>
    </row>
    <row r="396" spans="1:15" s="12" customFormat="1" ht="31.5">
      <c r="A396" s="15" t="s">
        <v>96</v>
      </c>
      <c r="B396" s="75" t="s">
        <v>813</v>
      </c>
      <c r="C396" s="39" t="s">
        <v>343</v>
      </c>
      <c r="D396" s="39"/>
      <c r="E396" s="39">
        <v>300</v>
      </c>
      <c r="F396" s="39"/>
      <c r="G396" s="39">
        <v>300</v>
      </c>
      <c r="H396" s="40">
        <f>SUM(Tabla1326[[#This Row],[PRIMER TRIMESTRE]:[CUARTO TRIMESTRE]])</f>
        <v>600</v>
      </c>
      <c r="I396" s="17">
        <v>237.63</v>
      </c>
      <c r="J396" s="17">
        <f t="shared" si="10"/>
        <v>142578</v>
      </c>
      <c r="K396" s="17"/>
      <c r="L396" s="17" t="s">
        <v>27</v>
      </c>
      <c r="M396" s="16" t="s">
        <v>22</v>
      </c>
      <c r="N396" s="39" t="s">
        <v>418</v>
      </c>
      <c r="O396" s="20"/>
    </row>
    <row r="397" spans="1:15" s="12" customFormat="1" ht="31.5">
      <c r="A397" s="15" t="s">
        <v>96</v>
      </c>
      <c r="B397" s="75" t="s">
        <v>814</v>
      </c>
      <c r="C397" s="39" t="s">
        <v>343</v>
      </c>
      <c r="D397" s="39"/>
      <c r="E397" s="39">
        <v>300</v>
      </c>
      <c r="F397" s="39"/>
      <c r="G397" s="39">
        <v>300</v>
      </c>
      <c r="H397" s="40">
        <f>SUM(Tabla1326[[#This Row],[PRIMER TRIMESTRE]:[CUARTO TRIMESTRE]])</f>
        <v>600</v>
      </c>
      <c r="I397" s="17">
        <v>333.78</v>
      </c>
      <c r="J397" s="17">
        <f t="shared" si="10"/>
        <v>200267.99999999997</v>
      </c>
      <c r="K397" s="17"/>
      <c r="L397" s="17" t="s">
        <v>27</v>
      </c>
      <c r="M397" s="16" t="s">
        <v>22</v>
      </c>
      <c r="N397" s="39" t="s">
        <v>418</v>
      </c>
      <c r="O397" s="20"/>
    </row>
    <row r="398" spans="1:15" s="12" customFormat="1" ht="31.5">
      <c r="A398" s="15" t="s">
        <v>96</v>
      </c>
      <c r="B398" s="75" t="s">
        <v>815</v>
      </c>
      <c r="C398" s="39" t="s">
        <v>17</v>
      </c>
      <c r="D398" s="39"/>
      <c r="E398" s="39">
        <v>30</v>
      </c>
      <c r="F398" s="39"/>
      <c r="G398" s="39">
        <v>20</v>
      </c>
      <c r="H398" s="40">
        <f>SUM(Tabla1326[[#This Row],[PRIMER TRIMESTRE]:[CUARTO TRIMESTRE]])</f>
        <v>50</v>
      </c>
      <c r="I398" s="17">
        <v>3213.2</v>
      </c>
      <c r="J398" s="17">
        <f t="shared" si="10"/>
        <v>160660</v>
      </c>
      <c r="K398" s="17"/>
      <c r="L398" s="17" t="s">
        <v>27</v>
      </c>
      <c r="M398" s="16" t="s">
        <v>22</v>
      </c>
      <c r="N398" s="39"/>
      <c r="O398" s="20"/>
    </row>
    <row r="399" spans="1:15" s="12" customFormat="1" ht="60.75" customHeight="1">
      <c r="A399" s="15" t="s">
        <v>96</v>
      </c>
      <c r="B399" s="75" t="s">
        <v>816</v>
      </c>
      <c r="C399" s="39" t="s">
        <v>17</v>
      </c>
      <c r="D399" s="39"/>
      <c r="E399" s="70">
        <v>2</v>
      </c>
      <c r="F399" s="39"/>
      <c r="G399" s="39">
        <v>2</v>
      </c>
      <c r="H399" s="40">
        <f>SUM(Tabla1326[[#This Row],[PRIMER TRIMESTRE]:[CUARTO TRIMESTRE]])</f>
        <v>4</v>
      </c>
      <c r="I399" s="72">
        <v>565000</v>
      </c>
      <c r="J399" s="17">
        <f t="shared" si="10"/>
        <v>2260000</v>
      </c>
      <c r="K399" s="17"/>
      <c r="L399" s="16" t="s">
        <v>18</v>
      </c>
      <c r="M399" s="16" t="s">
        <v>19</v>
      </c>
      <c r="N399" s="39"/>
      <c r="O399" s="20"/>
    </row>
    <row r="400" spans="1:15" s="12" customFormat="1" ht="60.75" customHeight="1">
      <c r="A400" s="15" t="s">
        <v>96</v>
      </c>
      <c r="B400" s="75" t="s">
        <v>817</v>
      </c>
      <c r="C400" s="39" t="s">
        <v>17</v>
      </c>
      <c r="D400" s="39"/>
      <c r="E400" s="70">
        <v>1</v>
      </c>
      <c r="F400" s="39"/>
      <c r="G400" s="39">
        <v>2</v>
      </c>
      <c r="H400" s="40">
        <f>SUM(Tabla1326[[#This Row],[PRIMER TRIMESTRE]:[CUARTO TRIMESTRE]])</f>
        <v>3</v>
      </c>
      <c r="I400" s="17">
        <v>461958.2</v>
      </c>
      <c r="J400" s="17">
        <f t="shared" si="10"/>
        <v>1385874.6</v>
      </c>
      <c r="K400" s="17"/>
      <c r="L400" s="16" t="s">
        <v>18</v>
      </c>
      <c r="M400" s="16" t="s">
        <v>19</v>
      </c>
      <c r="N400" s="39"/>
      <c r="O400" s="20"/>
    </row>
    <row r="401" spans="1:15" s="12" customFormat="1" ht="60.75" customHeight="1">
      <c r="A401" s="15" t="s">
        <v>96</v>
      </c>
      <c r="B401" s="75" t="s">
        <v>818</v>
      </c>
      <c r="C401" s="39" t="s">
        <v>17</v>
      </c>
      <c r="D401" s="39"/>
      <c r="E401" s="70">
        <v>2</v>
      </c>
      <c r="F401" s="39"/>
      <c r="G401" s="39">
        <v>3</v>
      </c>
      <c r="H401" s="40">
        <f>SUM(Tabla1326[[#This Row],[PRIMER TRIMESTRE]:[CUARTO TRIMESTRE]])</f>
        <v>5</v>
      </c>
      <c r="I401" s="17">
        <v>580000</v>
      </c>
      <c r="J401" s="17">
        <f t="shared" si="10"/>
        <v>2900000</v>
      </c>
      <c r="K401" s="17"/>
      <c r="L401" s="16" t="s">
        <v>18</v>
      </c>
      <c r="M401" s="16" t="s">
        <v>19</v>
      </c>
      <c r="N401" s="39"/>
      <c r="O401" s="20"/>
    </row>
    <row r="402" spans="1:15" s="12" customFormat="1" ht="60.75" customHeight="1">
      <c r="A402" s="15" t="s">
        <v>96</v>
      </c>
      <c r="B402" s="75" t="s">
        <v>819</v>
      </c>
      <c r="C402" s="39" t="s">
        <v>17</v>
      </c>
      <c r="D402" s="39"/>
      <c r="E402" s="70">
        <v>1</v>
      </c>
      <c r="F402" s="39"/>
      <c r="G402" s="39">
        <v>2</v>
      </c>
      <c r="H402" s="40">
        <f>SUM(Tabla1326[[#This Row],[PRIMER TRIMESTRE]:[CUARTO TRIMESTRE]])</f>
        <v>3</v>
      </c>
      <c r="I402" s="17">
        <v>69429</v>
      </c>
      <c r="J402" s="17">
        <f t="shared" si="10"/>
        <v>208287</v>
      </c>
      <c r="K402" s="17"/>
      <c r="L402" s="16" t="s">
        <v>18</v>
      </c>
      <c r="M402" s="16" t="s">
        <v>19</v>
      </c>
      <c r="N402" s="39"/>
      <c r="O402" s="20"/>
    </row>
    <row r="403" spans="1:15" s="12" customFormat="1" ht="60.75" customHeight="1">
      <c r="A403" s="15" t="s">
        <v>96</v>
      </c>
      <c r="B403" s="75" t="s">
        <v>820</v>
      </c>
      <c r="C403" s="39" t="s">
        <v>17</v>
      </c>
      <c r="D403" s="39"/>
      <c r="E403" s="70">
        <v>1</v>
      </c>
      <c r="F403" s="39"/>
      <c r="G403" s="39">
        <v>2</v>
      </c>
      <c r="H403" s="40">
        <f>SUM(Tabla1326[[#This Row],[PRIMER TRIMESTRE]:[CUARTO TRIMESTRE]])</f>
        <v>3</v>
      </c>
      <c r="I403" s="17">
        <v>70038.45</v>
      </c>
      <c r="J403" s="17">
        <f t="shared" si="10"/>
        <v>210115.34999999998</v>
      </c>
      <c r="K403" s="17"/>
      <c r="L403" s="16" t="s">
        <v>18</v>
      </c>
      <c r="M403" s="16" t="s">
        <v>19</v>
      </c>
      <c r="N403" s="39"/>
      <c r="O403" s="20"/>
    </row>
    <row r="404" spans="1:15" s="12" customFormat="1" ht="60.75" customHeight="1">
      <c r="A404" s="15" t="s">
        <v>96</v>
      </c>
      <c r="B404" s="75" t="s">
        <v>821</v>
      </c>
      <c r="C404" s="39" t="s">
        <v>17</v>
      </c>
      <c r="D404" s="39"/>
      <c r="E404" s="70">
        <v>2</v>
      </c>
      <c r="F404" s="39"/>
      <c r="G404" s="39">
        <v>3</v>
      </c>
      <c r="H404" s="40">
        <f>SUM(Tabla1326[[#This Row],[PRIMER TRIMESTRE]:[CUARTO TRIMESTRE]])</f>
        <v>5</v>
      </c>
      <c r="I404" s="17">
        <v>61630.63</v>
      </c>
      <c r="J404" s="17">
        <f t="shared" si="10"/>
        <v>308153.14999999997</v>
      </c>
      <c r="K404" s="17"/>
      <c r="L404" s="16" t="s">
        <v>18</v>
      </c>
      <c r="M404" s="16" t="s">
        <v>19</v>
      </c>
      <c r="N404" s="39"/>
      <c r="O404" s="20"/>
    </row>
    <row r="405" spans="1:15" s="12" customFormat="1" ht="60.75" customHeight="1">
      <c r="A405" s="15" t="s">
        <v>96</v>
      </c>
      <c r="B405" s="75" t="s">
        <v>822</v>
      </c>
      <c r="C405" s="39" t="s">
        <v>17</v>
      </c>
      <c r="D405" s="39"/>
      <c r="E405" s="70">
        <v>2</v>
      </c>
      <c r="F405" s="39"/>
      <c r="G405" s="39">
        <v>3</v>
      </c>
      <c r="H405" s="40">
        <f>SUM(Tabla1326[[#This Row],[PRIMER TRIMESTRE]:[CUARTO TRIMESTRE]])</f>
        <v>5</v>
      </c>
      <c r="I405" s="17">
        <v>54792</v>
      </c>
      <c r="J405" s="17">
        <f t="shared" si="10"/>
        <v>273960</v>
      </c>
      <c r="K405" s="17"/>
      <c r="L405" s="16" t="s">
        <v>18</v>
      </c>
      <c r="M405" s="16" t="s">
        <v>19</v>
      </c>
      <c r="N405" s="39"/>
      <c r="O405" s="20"/>
    </row>
    <row r="406" spans="1:15" s="12" customFormat="1" ht="60.75" customHeight="1">
      <c r="A406" s="15" t="s">
        <v>96</v>
      </c>
      <c r="B406" s="75" t="s">
        <v>823</v>
      </c>
      <c r="C406" s="39" t="s">
        <v>17</v>
      </c>
      <c r="D406" s="39"/>
      <c r="E406" s="70">
        <v>2</v>
      </c>
      <c r="F406" s="39"/>
      <c r="G406" s="39">
        <v>3</v>
      </c>
      <c r="H406" s="40">
        <f>SUM(Tabla1326[[#This Row],[PRIMER TRIMESTRE]:[CUARTO TRIMESTRE]])</f>
        <v>5</v>
      </c>
      <c r="I406" s="17">
        <v>49560</v>
      </c>
      <c r="J406" s="17">
        <f t="shared" si="10"/>
        <v>247800</v>
      </c>
      <c r="K406" s="17"/>
      <c r="L406" s="16" t="s">
        <v>18</v>
      </c>
      <c r="M406" s="16" t="s">
        <v>19</v>
      </c>
      <c r="N406" s="39"/>
      <c r="O406" s="20"/>
    </row>
    <row r="407" spans="1:15" s="12" customFormat="1" ht="60.75" customHeight="1">
      <c r="A407" s="15" t="s">
        <v>96</v>
      </c>
      <c r="B407" s="75" t="s">
        <v>824</v>
      </c>
      <c r="C407" s="39" t="s">
        <v>17</v>
      </c>
      <c r="D407" s="39"/>
      <c r="E407" s="70">
        <v>2</v>
      </c>
      <c r="F407" s="39"/>
      <c r="G407" s="39">
        <v>3</v>
      </c>
      <c r="H407" s="40">
        <f>SUM(Tabla1326[[#This Row],[PRIMER TRIMESTRE]:[CUARTO TRIMESTRE]])</f>
        <v>5</v>
      </c>
      <c r="I407" s="17">
        <v>46658.86</v>
      </c>
      <c r="J407" s="17">
        <f t="shared" si="10"/>
        <v>233294.3</v>
      </c>
      <c r="K407" s="17"/>
      <c r="L407" s="16" t="s">
        <v>18</v>
      </c>
      <c r="M407" s="16" t="s">
        <v>19</v>
      </c>
      <c r="N407" s="39"/>
      <c r="O407" s="20"/>
    </row>
    <row r="408" spans="1:15" s="12" customFormat="1" ht="60.75" customHeight="1">
      <c r="A408" s="15" t="s">
        <v>96</v>
      </c>
      <c r="B408" s="75" t="s">
        <v>825</v>
      </c>
      <c r="C408" s="39"/>
      <c r="D408" s="39"/>
      <c r="E408" s="70">
        <v>1</v>
      </c>
      <c r="F408" s="39"/>
      <c r="G408" s="39"/>
      <c r="H408" s="40">
        <f>SUM(Tabla1326[[#This Row],[PRIMER TRIMESTRE]:[CUARTO TRIMESTRE]])</f>
        <v>1</v>
      </c>
      <c r="I408" s="17">
        <v>47216.69</v>
      </c>
      <c r="J408" s="17">
        <v>47216.69</v>
      </c>
      <c r="K408" s="17"/>
      <c r="L408" s="16" t="s">
        <v>18</v>
      </c>
      <c r="M408" s="16" t="s">
        <v>19</v>
      </c>
      <c r="N408" s="39"/>
      <c r="O408" s="18"/>
    </row>
    <row r="409" spans="1:15" s="12" customFormat="1" ht="60.75" customHeight="1">
      <c r="A409" s="15" t="s">
        <v>96</v>
      </c>
      <c r="B409" s="75" t="s">
        <v>826</v>
      </c>
      <c r="C409" s="39" t="s">
        <v>17</v>
      </c>
      <c r="D409" s="39"/>
      <c r="E409" s="70">
        <v>2</v>
      </c>
      <c r="F409" s="39"/>
      <c r="G409" s="39">
        <v>3</v>
      </c>
      <c r="H409" s="40">
        <f>SUM(Tabla1326[[#This Row],[PRIMER TRIMESTRE]:[CUARTO TRIMESTRE]])</f>
        <v>5</v>
      </c>
      <c r="I409" s="17">
        <v>59766.34</v>
      </c>
      <c r="J409" s="17">
        <f t="shared" si="10"/>
        <v>298831.69999999995</v>
      </c>
      <c r="K409" s="17"/>
      <c r="L409" s="16" t="s">
        <v>18</v>
      </c>
      <c r="M409" s="16" t="s">
        <v>19</v>
      </c>
      <c r="N409" s="39"/>
      <c r="O409" s="20"/>
    </row>
    <row r="410" spans="1:15" s="12" customFormat="1" ht="31.5">
      <c r="A410" s="15" t="s">
        <v>96</v>
      </c>
      <c r="B410" s="75" t="s">
        <v>827</v>
      </c>
      <c r="C410" s="39" t="s">
        <v>17</v>
      </c>
      <c r="D410" s="39"/>
      <c r="E410" s="70">
        <v>2</v>
      </c>
      <c r="F410" s="39"/>
      <c r="G410" s="39">
        <v>4</v>
      </c>
      <c r="H410" s="40">
        <f>SUM(Tabla1326[[#This Row],[PRIMER TRIMESTRE]:[CUARTO TRIMESTRE]])</f>
        <v>6</v>
      </c>
      <c r="I410" s="17">
        <v>2266.44</v>
      </c>
      <c r="J410" s="17">
        <f t="shared" si="10"/>
        <v>13598.64</v>
      </c>
      <c r="K410" s="17"/>
      <c r="L410" s="16" t="s">
        <v>18</v>
      </c>
      <c r="M410" s="16" t="s">
        <v>22</v>
      </c>
      <c r="N410" s="39"/>
      <c r="O410" s="20"/>
    </row>
    <row r="411" spans="1:15" s="12" customFormat="1" ht="31.5">
      <c r="A411" s="15" t="s">
        <v>96</v>
      </c>
      <c r="B411" s="75" t="s">
        <v>828</v>
      </c>
      <c r="C411" s="39" t="s">
        <v>17</v>
      </c>
      <c r="D411" s="39"/>
      <c r="E411" s="70">
        <v>2</v>
      </c>
      <c r="F411" s="39"/>
      <c r="G411" s="39">
        <v>4</v>
      </c>
      <c r="H411" s="40">
        <f>SUM(Tabla1326[[#This Row],[PRIMER TRIMESTRE]:[CUARTO TRIMESTRE]])</f>
        <v>6</v>
      </c>
      <c r="I411" s="17">
        <v>3112.58</v>
      </c>
      <c r="J411" s="17">
        <f t="shared" si="10"/>
        <v>18675.48</v>
      </c>
      <c r="K411" s="17"/>
      <c r="L411" s="16" t="s">
        <v>18</v>
      </c>
      <c r="M411" s="16" t="s">
        <v>22</v>
      </c>
      <c r="N411" s="39"/>
      <c r="O411" s="20"/>
    </row>
    <row r="412" spans="1:15" s="12" customFormat="1" ht="31.5">
      <c r="A412" s="15" t="s">
        <v>96</v>
      </c>
      <c r="B412" s="75" t="s">
        <v>829</v>
      </c>
      <c r="C412" s="39" t="s">
        <v>17</v>
      </c>
      <c r="D412" s="39"/>
      <c r="E412" s="70">
        <v>2</v>
      </c>
      <c r="F412" s="39"/>
      <c r="G412" s="39">
        <v>4</v>
      </c>
      <c r="H412" s="40">
        <f>SUM(Tabla1326[[#This Row],[PRIMER TRIMESTRE]:[CUARTO TRIMESTRE]])</f>
        <v>6</v>
      </c>
      <c r="I412" s="17">
        <v>4036</v>
      </c>
      <c r="J412" s="17">
        <f t="shared" si="10"/>
        <v>24216</v>
      </c>
      <c r="K412" s="17"/>
      <c r="L412" s="16" t="s">
        <v>18</v>
      </c>
      <c r="M412" s="16" t="s">
        <v>22</v>
      </c>
      <c r="N412" s="39"/>
      <c r="O412" s="20"/>
    </row>
    <row r="413" spans="1:15" s="12" customFormat="1" ht="31.5">
      <c r="A413" s="15" t="s">
        <v>96</v>
      </c>
      <c r="B413" s="75" t="s">
        <v>830</v>
      </c>
      <c r="C413" s="39" t="s">
        <v>17</v>
      </c>
      <c r="D413" s="39"/>
      <c r="E413" s="70">
        <v>5</v>
      </c>
      <c r="F413" s="39"/>
      <c r="G413" s="39">
        <v>5</v>
      </c>
      <c r="H413" s="40">
        <f>SUM(Tabla1326[[#This Row],[PRIMER TRIMESTRE]:[CUARTO TRIMESTRE]])</f>
        <v>10</v>
      </c>
      <c r="I413" s="17">
        <v>4200</v>
      </c>
      <c r="J413" s="17">
        <f t="shared" si="10"/>
        <v>42000</v>
      </c>
      <c r="K413" s="17"/>
      <c r="L413" s="16" t="s">
        <v>18</v>
      </c>
      <c r="M413" s="16" t="s">
        <v>22</v>
      </c>
      <c r="N413" s="39"/>
      <c r="O413" s="20"/>
    </row>
    <row r="414" spans="1:15" s="12" customFormat="1" ht="31.5">
      <c r="A414" s="15" t="s">
        <v>96</v>
      </c>
      <c r="B414" s="75" t="s">
        <v>831</v>
      </c>
      <c r="C414" s="39" t="s">
        <v>17</v>
      </c>
      <c r="D414" s="39"/>
      <c r="E414" s="70">
        <v>3</v>
      </c>
      <c r="F414" s="39"/>
      <c r="G414" s="39">
        <v>3</v>
      </c>
      <c r="H414" s="40">
        <f>SUM(Tabla1326[[#This Row],[PRIMER TRIMESTRE]:[CUARTO TRIMESTRE]])</f>
        <v>6</v>
      </c>
      <c r="I414" s="17">
        <v>14785.13</v>
      </c>
      <c r="J414" s="17">
        <f t="shared" si="10"/>
        <v>88710.78</v>
      </c>
      <c r="K414" s="17"/>
      <c r="L414" s="16" t="s">
        <v>18</v>
      </c>
      <c r="M414" s="16" t="s">
        <v>22</v>
      </c>
      <c r="N414" s="39"/>
      <c r="O414" s="20"/>
    </row>
    <row r="415" spans="1:15" s="12" customFormat="1" ht="31.5">
      <c r="A415" s="15" t="s">
        <v>96</v>
      </c>
      <c r="B415" s="75" t="s">
        <v>832</v>
      </c>
      <c r="C415" s="39" t="s">
        <v>17</v>
      </c>
      <c r="D415" s="39"/>
      <c r="E415" s="39">
        <v>3</v>
      </c>
      <c r="F415" s="39"/>
      <c r="G415" s="39">
        <v>3</v>
      </c>
      <c r="H415" s="40">
        <f>SUM(Tabla1326[[#This Row],[PRIMER TRIMESTRE]:[CUARTO TRIMESTRE]])</f>
        <v>6</v>
      </c>
      <c r="I415" s="17">
        <v>18762</v>
      </c>
      <c r="J415" s="17">
        <f t="shared" si="10"/>
        <v>112572</v>
      </c>
      <c r="K415" s="17"/>
      <c r="L415" s="16" t="s">
        <v>18</v>
      </c>
      <c r="M415" s="16" t="s">
        <v>22</v>
      </c>
      <c r="N415" s="39"/>
      <c r="O415" s="20"/>
    </row>
    <row r="416" spans="1:15" s="12" customFormat="1" ht="31.5">
      <c r="A416" s="15" t="s">
        <v>96</v>
      </c>
      <c r="B416" s="75" t="s">
        <v>833</v>
      </c>
      <c r="C416" s="39" t="s">
        <v>17</v>
      </c>
      <c r="D416" s="39"/>
      <c r="E416" s="39">
        <v>2</v>
      </c>
      <c r="F416" s="39"/>
      <c r="G416" s="39">
        <v>2</v>
      </c>
      <c r="H416" s="40">
        <f>SUM(Tabla1326[[#This Row],[PRIMER TRIMESTRE]:[CUARTO TRIMESTRE]])</f>
        <v>4</v>
      </c>
      <c r="I416" s="17">
        <v>20692.080000000002</v>
      </c>
      <c r="J416" s="17">
        <f t="shared" si="10"/>
        <v>82768.320000000007</v>
      </c>
      <c r="K416" s="17"/>
      <c r="L416" s="16" t="s">
        <v>18</v>
      </c>
      <c r="M416" s="16" t="s">
        <v>22</v>
      </c>
      <c r="N416" s="39"/>
      <c r="O416" s="20"/>
    </row>
    <row r="417" spans="1:15" s="12" customFormat="1" ht="31.5">
      <c r="A417" s="15" t="s">
        <v>96</v>
      </c>
      <c r="B417" s="75" t="s">
        <v>834</v>
      </c>
      <c r="C417" s="39" t="s">
        <v>17</v>
      </c>
      <c r="D417" s="39"/>
      <c r="E417" s="39">
        <v>4</v>
      </c>
      <c r="F417" s="39"/>
      <c r="G417" s="39">
        <v>4</v>
      </c>
      <c r="H417" s="40">
        <f>SUM(Tabla1326[[#This Row],[PRIMER TRIMESTRE]:[CUARTO TRIMESTRE]])</f>
        <v>8</v>
      </c>
      <c r="I417" s="17">
        <v>24187.57</v>
      </c>
      <c r="J417" s="17">
        <f t="shared" si="10"/>
        <v>193500.56</v>
      </c>
      <c r="K417" s="17"/>
      <c r="L417" s="16" t="s">
        <v>18</v>
      </c>
      <c r="M417" s="16" t="s">
        <v>22</v>
      </c>
      <c r="N417" s="39"/>
      <c r="O417" s="20"/>
    </row>
    <row r="418" spans="1:15" s="12" customFormat="1" ht="31.5">
      <c r="A418" s="15" t="s">
        <v>96</v>
      </c>
      <c r="B418" s="75" t="s">
        <v>835</v>
      </c>
      <c r="C418" s="39" t="s">
        <v>17</v>
      </c>
      <c r="D418" s="39"/>
      <c r="E418" s="39">
        <v>2</v>
      </c>
      <c r="F418" s="39"/>
      <c r="G418" s="39">
        <v>2</v>
      </c>
      <c r="H418" s="40">
        <f>SUM(Tabla1326[[#This Row],[PRIMER TRIMESTRE]:[CUARTO TRIMESTRE]])</f>
        <v>4</v>
      </c>
      <c r="I418" s="17">
        <v>29750.19</v>
      </c>
      <c r="J418" s="17">
        <f t="shared" si="10"/>
        <v>119000.76</v>
      </c>
      <c r="K418" s="17"/>
      <c r="L418" s="16" t="s">
        <v>18</v>
      </c>
      <c r="M418" s="16" t="s">
        <v>22</v>
      </c>
      <c r="N418" s="39"/>
      <c r="O418" s="20"/>
    </row>
    <row r="419" spans="1:15" s="12" customFormat="1" ht="31.5">
      <c r="A419" s="15" t="s">
        <v>96</v>
      </c>
      <c r="B419" s="75" t="s">
        <v>836</v>
      </c>
      <c r="C419" s="39" t="s">
        <v>17</v>
      </c>
      <c r="D419" s="39"/>
      <c r="E419" s="39">
        <v>2</v>
      </c>
      <c r="F419" s="39"/>
      <c r="G419" s="39">
        <v>2</v>
      </c>
      <c r="H419" s="40">
        <f>SUM(Tabla1326[[#This Row],[PRIMER TRIMESTRE]:[CUARTO TRIMESTRE]])</f>
        <v>4</v>
      </c>
      <c r="I419" s="17">
        <v>33000</v>
      </c>
      <c r="J419" s="17">
        <f t="shared" si="10"/>
        <v>132000</v>
      </c>
      <c r="K419" s="17"/>
      <c r="L419" s="16" t="s">
        <v>18</v>
      </c>
      <c r="M419" s="16" t="s">
        <v>22</v>
      </c>
      <c r="N419" s="39"/>
      <c r="O419" s="20"/>
    </row>
    <row r="420" spans="1:15" s="12" customFormat="1" ht="50.25" customHeight="1">
      <c r="A420" s="15" t="s">
        <v>96</v>
      </c>
      <c r="B420" s="75" t="s">
        <v>837</v>
      </c>
      <c r="C420" s="39" t="s">
        <v>343</v>
      </c>
      <c r="D420" s="39"/>
      <c r="E420" s="39">
        <v>750</v>
      </c>
      <c r="F420" s="39"/>
      <c r="G420" s="39">
        <v>750</v>
      </c>
      <c r="H420" s="40">
        <f>SUM(Tabla1326[[#This Row],[PRIMER TRIMESTRE]:[CUARTO TRIMESTRE]])</f>
        <v>1500</v>
      </c>
      <c r="I420" s="72">
        <v>17</v>
      </c>
      <c r="J420" s="17">
        <f t="shared" si="10"/>
        <v>25500</v>
      </c>
      <c r="K420" s="17"/>
      <c r="L420" s="16" t="s">
        <v>18</v>
      </c>
      <c r="M420" s="16" t="s">
        <v>22</v>
      </c>
      <c r="N420" s="39"/>
      <c r="O420" s="18"/>
    </row>
    <row r="421" spans="1:15" s="12" customFormat="1" ht="50.25" customHeight="1">
      <c r="A421" s="15" t="s">
        <v>96</v>
      </c>
      <c r="B421" s="75" t="s">
        <v>838</v>
      </c>
      <c r="C421" s="39" t="s">
        <v>343</v>
      </c>
      <c r="D421" s="39"/>
      <c r="E421" s="39">
        <v>700</v>
      </c>
      <c r="F421" s="39"/>
      <c r="G421" s="39">
        <v>700</v>
      </c>
      <c r="H421" s="40">
        <f>SUM(Tabla1326[[#This Row],[PRIMER TRIMESTRE]:[CUARTO TRIMESTRE]])</f>
        <v>1400</v>
      </c>
      <c r="I421" s="17">
        <v>92.28</v>
      </c>
      <c r="J421" s="17">
        <f t="shared" si="10"/>
        <v>129192</v>
      </c>
      <c r="K421" s="17"/>
      <c r="L421" s="16" t="s">
        <v>18</v>
      </c>
      <c r="M421" s="16" t="s">
        <v>22</v>
      </c>
      <c r="N421" s="39"/>
      <c r="O421" s="20"/>
    </row>
    <row r="422" spans="1:15" s="12" customFormat="1" ht="50.25" customHeight="1">
      <c r="A422" s="15" t="s">
        <v>96</v>
      </c>
      <c r="B422" s="75" t="s">
        <v>839</v>
      </c>
      <c r="C422" s="39" t="s">
        <v>343</v>
      </c>
      <c r="D422" s="39"/>
      <c r="E422" s="39">
        <v>750</v>
      </c>
      <c r="F422" s="39"/>
      <c r="G422" s="39">
        <v>750</v>
      </c>
      <c r="H422" s="40">
        <f>SUM(Tabla1326[[#This Row],[PRIMER TRIMESTRE]:[CUARTO TRIMESTRE]])</f>
        <v>1500</v>
      </c>
      <c r="I422" s="17">
        <v>131.91999999999999</v>
      </c>
      <c r="J422" s="17">
        <f t="shared" si="10"/>
        <v>197879.99999999997</v>
      </c>
      <c r="K422" s="17"/>
      <c r="L422" s="16" t="s">
        <v>18</v>
      </c>
      <c r="M422" s="16" t="s">
        <v>22</v>
      </c>
      <c r="N422" s="39"/>
      <c r="O422" s="20"/>
    </row>
    <row r="423" spans="1:15" s="12" customFormat="1" ht="50.25" customHeight="1">
      <c r="A423" s="15" t="s">
        <v>96</v>
      </c>
      <c r="B423" s="75" t="s">
        <v>840</v>
      </c>
      <c r="C423" s="39" t="s">
        <v>343</v>
      </c>
      <c r="D423" s="39"/>
      <c r="E423" s="39">
        <v>600</v>
      </c>
      <c r="F423" s="39"/>
      <c r="G423" s="39">
        <v>600</v>
      </c>
      <c r="H423" s="40">
        <f>SUM(Tabla1326[[#This Row],[PRIMER TRIMESTRE]:[CUARTO TRIMESTRE]])</f>
        <v>1200</v>
      </c>
      <c r="I423" s="17">
        <v>200.68</v>
      </c>
      <c r="J423" s="17">
        <f t="shared" si="10"/>
        <v>240816</v>
      </c>
      <c r="K423" s="17"/>
      <c r="L423" s="16" t="s">
        <v>18</v>
      </c>
      <c r="M423" s="16" t="s">
        <v>22</v>
      </c>
      <c r="N423" s="39"/>
      <c r="O423" s="20"/>
    </row>
    <row r="424" spans="1:15" s="12" customFormat="1" ht="50.25" customHeight="1">
      <c r="A424" s="15" t="s">
        <v>96</v>
      </c>
      <c r="B424" s="75" t="s">
        <v>841</v>
      </c>
      <c r="C424" s="39" t="s">
        <v>343</v>
      </c>
      <c r="D424" s="39"/>
      <c r="E424" s="39">
        <v>600</v>
      </c>
      <c r="F424" s="39"/>
      <c r="G424" s="39">
        <v>600</v>
      </c>
      <c r="H424" s="40">
        <f>SUM(Tabla1326[[#This Row],[PRIMER TRIMESTRE]:[CUARTO TRIMESTRE]])</f>
        <v>1200</v>
      </c>
      <c r="I424" s="17">
        <v>329.66</v>
      </c>
      <c r="J424" s="17">
        <f t="shared" si="10"/>
        <v>395592.00000000006</v>
      </c>
      <c r="K424" s="17"/>
      <c r="L424" s="16" t="s">
        <v>18</v>
      </c>
      <c r="M424" s="16" t="s">
        <v>22</v>
      </c>
      <c r="N424" s="39"/>
      <c r="O424" s="20"/>
    </row>
    <row r="425" spans="1:15" s="12" customFormat="1" ht="50.25" customHeight="1">
      <c r="A425" s="15" t="s">
        <v>96</v>
      </c>
      <c r="B425" s="75" t="s">
        <v>842</v>
      </c>
      <c r="C425" s="39" t="s">
        <v>343</v>
      </c>
      <c r="D425" s="39"/>
      <c r="E425" s="39">
        <v>250</v>
      </c>
      <c r="F425" s="39"/>
      <c r="G425" s="39">
        <v>250</v>
      </c>
      <c r="H425" s="40">
        <f>SUM(Tabla1326[[#This Row],[PRIMER TRIMESTRE]:[CUARTO TRIMESTRE]])</f>
        <v>500</v>
      </c>
      <c r="I425" s="17">
        <v>569.70000000000005</v>
      </c>
      <c r="J425" s="17">
        <f t="shared" si="10"/>
        <v>284850</v>
      </c>
      <c r="K425" s="17"/>
      <c r="L425" s="16" t="s">
        <v>18</v>
      </c>
      <c r="M425" s="16" t="s">
        <v>22</v>
      </c>
      <c r="N425" s="39"/>
      <c r="O425" s="20"/>
    </row>
    <row r="426" spans="1:15" s="12" customFormat="1" ht="50.25" customHeight="1">
      <c r="A426" s="15" t="s">
        <v>96</v>
      </c>
      <c r="B426" s="75" t="s">
        <v>843</v>
      </c>
      <c r="C426" s="39" t="s">
        <v>17</v>
      </c>
      <c r="D426" s="39"/>
      <c r="E426" s="39">
        <v>10</v>
      </c>
      <c r="F426" s="39"/>
      <c r="G426" s="39">
        <v>10</v>
      </c>
      <c r="H426" s="40">
        <f>SUM(Tabla1326[[#This Row],[PRIMER TRIMESTRE]:[CUARTO TRIMESTRE]])</f>
        <v>20</v>
      </c>
      <c r="I426" s="17">
        <v>4270</v>
      </c>
      <c r="J426" s="17">
        <f t="shared" si="10"/>
        <v>85400</v>
      </c>
      <c r="K426" s="17"/>
      <c r="L426" s="16" t="s">
        <v>18</v>
      </c>
      <c r="M426" s="16" t="s">
        <v>22</v>
      </c>
      <c r="N426" s="39"/>
      <c r="O426" s="20"/>
    </row>
    <row r="427" spans="1:15" s="12" customFormat="1" ht="50.25" customHeight="1">
      <c r="A427" s="15" t="s">
        <v>96</v>
      </c>
      <c r="B427" s="75" t="s">
        <v>844</v>
      </c>
      <c r="C427" s="39" t="s">
        <v>17</v>
      </c>
      <c r="D427" s="39"/>
      <c r="E427" s="39">
        <v>10</v>
      </c>
      <c r="F427" s="39"/>
      <c r="G427" s="39">
        <v>10</v>
      </c>
      <c r="H427" s="40">
        <f>SUM(Tabla1326[[#This Row],[PRIMER TRIMESTRE]:[CUARTO TRIMESTRE]])</f>
        <v>20</v>
      </c>
      <c r="I427" s="17">
        <v>4320</v>
      </c>
      <c r="J427" s="17">
        <f t="shared" si="10"/>
        <v>86400</v>
      </c>
      <c r="K427" s="17"/>
      <c r="L427" s="16" t="s">
        <v>18</v>
      </c>
      <c r="M427" s="16" t="s">
        <v>22</v>
      </c>
      <c r="N427" s="39"/>
      <c r="O427" s="20"/>
    </row>
    <row r="428" spans="1:15" s="12" customFormat="1" ht="50.25" customHeight="1">
      <c r="A428" s="15" t="s">
        <v>96</v>
      </c>
      <c r="B428" s="75" t="s">
        <v>845</v>
      </c>
      <c r="C428" s="39" t="s">
        <v>17</v>
      </c>
      <c r="D428" s="39"/>
      <c r="E428" s="39">
        <v>10</v>
      </c>
      <c r="F428" s="39"/>
      <c r="G428" s="39">
        <v>10</v>
      </c>
      <c r="H428" s="40">
        <f>SUM(Tabla1326[[#This Row],[PRIMER TRIMESTRE]:[CUARTO TRIMESTRE]])</f>
        <v>20</v>
      </c>
      <c r="I428" s="17">
        <v>4560</v>
      </c>
      <c r="J428" s="17">
        <f t="shared" si="10"/>
        <v>91200</v>
      </c>
      <c r="K428" s="17"/>
      <c r="L428" s="16" t="s">
        <v>18</v>
      </c>
      <c r="M428" s="16" t="s">
        <v>22</v>
      </c>
      <c r="N428" s="39"/>
      <c r="O428" s="20"/>
    </row>
    <row r="429" spans="1:15" s="12" customFormat="1" ht="50.25" customHeight="1">
      <c r="A429" s="15" t="s">
        <v>96</v>
      </c>
      <c r="B429" s="75" t="s">
        <v>846</v>
      </c>
      <c r="C429" s="39" t="s">
        <v>17</v>
      </c>
      <c r="D429" s="39"/>
      <c r="E429" s="39">
        <v>12</v>
      </c>
      <c r="F429" s="39"/>
      <c r="G429" s="39">
        <v>12</v>
      </c>
      <c r="H429" s="40">
        <f>SUM(Tabla1326[[#This Row],[PRIMER TRIMESTRE]:[CUARTO TRIMESTRE]])</f>
        <v>24</v>
      </c>
      <c r="I429" s="17">
        <v>5684</v>
      </c>
      <c r="J429" s="17">
        <f t="shared" si="10"/>
        <v>136416</v>
      </c>
      <c r="K429" s="17"/>
      <c r="L429" s="16" t="s">
        <v>18</v>
      </c>
      <c r="M429" s="16" t="s">
        <v>22</v>
      </c>
      <c r="N429" s="39"/>
      <c r="O429" s="20"/>
    </row>
    <row r="430" spans="1:15" s="12" customFormat="1" ht="50.25" customHeight="1">
      <c r="A430" s="15" t="s">
        <v>96</v>
      </c>
      <c r="B430" s="75" t="s">
        <v>847</v>
      </c>
      <c r="C430" s="39" t="s">
        <v>17</v>
      </c>
      <c r="D430" s="39"/>
      <c r="E430" s="39">
        <v>10</v>
      </c>
      <c r="F430" s="39"/>
      <c r="G430" s="39">
        <v>10</v>
      </c>
      <c r="H430" s="40">
        <f>SUM(Tabla1326[[#This Row],[PRIMER TRIMESTRE]:[CUARTO TRIMESTRE]])</f>
        <v>20</v>
      </c>
      <c r="I430" s="17">
        <v>5300</v>
      </c>
      <c r="J430" s="17">
        <f t="shared" si="10"/>
        <v>106000</v>
      </c>
      <c r="K430" s="17"/>
      <c r="L430" s="16" t="s">
        <v>18</v>
      </c>
      <c r="M430" s="16" t="s">
        <v>22</v>
      </c>
      <c r="N430" s="39"/>
      <c r="O430" s="20"/>
    </row>
    <row r="431" spans="1:15" s="12" customFormat="1" ht="39.75" customHeight="1">
      <c r="A431" s="15" t="s">
        <v>96</v>
      </c>
      <c r="B431" s="75" t="s">
        <v>848</v>
      </c>
      <c r="C431" s="39" t="s">
        <v>17</v>
      </c>
      <c r="D431" s="39"/>
      <c r="E431" s="39">
        <v>10</v>
      </c>
      <c r="F431" s="39"/>
      <c r="G431" s="39">
        <v>10</v>
      </c>
      <c r="H431" s="40">
        <f>SUM(Tabla1326[[#This Row],[PRIMER TRIMESTRE]:[CUARTO TRIMESTRE]])</f>
        <v>20</v>
      </c>
      <c r="I431" s="17">
        <v>4958</v>
      </c>
      <c r="J431" s="17">
        <f t="shared" si="10"/>
        <v>99160</v>
      </c>
      <c r="K431" s="17"/>
      <c r="L431" s="16" t="s">
        <v>18</v>
      </c>
      <c r="M431" s="16" t="s">
        <v>22</v>
      </c>
      <c r="N431" s="39"/>
      <c r="O431" s="20"/>
    </row>
    <row r="432" spans="1:15" s="12" customFormat="1" ht="39.75" customHeight="1">
      <c r="A432" s="15" t="s">
        <v>96</v>
      </c>
      <c r="B432" s="75" t="s">
        <v>849</v>
      </c>
      <c r="C432" s="39" t="s">
        <v>17</v>
      </c>
      <c r="D432" s="39"/>
      <c r="E432" s="39">
        <v>10</v>
      </c>
      <c r="F432" s="39"/>
      <c r="G432" s="39">
        <v>10</v>
      </c>
      <c r="H432" s="40">
        <f>SUM(Tabla1326[[#This Row],[PRIMER TRIMESTRE]:[CUARTO TRIMESTRE]])</f>
        <v>20</v>
      </c>
      <c r="I432" s="17">
        <v>6958</v>
      </c>
      <c r="J432" s="17">
        <f t="shared" si="10"/>
        <v>139160</v>
      </c>
      <c r="K432" s="17"/>
      <c r="L432" s="16" t="s">
        <v>18</v>
      </c>
      <c r="M432" s="16" t="s">
        <v>22</v>
      </c>
      <c r="N432" s="39"/>
      <c r="O432" s="20"/>
    </row>
    <row r="433" spans="1:15" s="12" customFormat="1" ht="39.75" customHeight="1">
      <c r="A433" s="15" t="s">
        <v>96</v>
      </c>
      <c r="B433" s="75" t="s">
        <v>850</v>
      </c>
      <c r="C433" s="39" t="s">
        <v>17</v>
      </c>
      <c r="D433" s="39"/>
      <c r="E433" s="39">
        <v>10</v>
      </c>
      <c r="F433" s="39"/>
      <c r="G433" s="39">
        <v>10</v>
      </c>
      <c r="H433" s="40">
        <f>SUM(Tabla1326[[#This Row],[PRIMER TRIMESTRE]:[CUARTO TRIMESTRE]])</f>
        <v>20</v>
      </c>
      <c r="I433" s="17">
        <v>7050</v>
      </c>
      <c r="J433" s="17">
        <f t="shared" si="10"/>
        <v>141000</v>
      </c>
      <c r="K433" s="17"/>
      <c r="L433" s="16" t="s">
        <v>18</v>
      </c>
      <c r="M433" s="16" t="s">
        <v>22</v>
      </c>
      <c r="N433" s="39"/>
      <c r="O433" s="20"/>
    </row>
    <row r="434" spans="1:15" s="12" customFormat="1" ht="39.75" customHeight="1">
      <c r="A434" s="15" t="s">
        <v>96</v>
      </c>
      <c r="B434" s="75" t="s">
        <v>851</v>
      </c>
      <c r="C434" s="39" t="s">
        <v>17</v>
      </c>
      <c r="D434" s="39"/>
      <c r="E434" s="39">
        <v>12</v>
      </c>
      <c r="F434" s="39"/>
      <c r="G434" s="39">
        <v>12</v>
      </c>
      <c r="H434" s="40">
        <f>SUM(Tabla1326[[#This Row],[PRIMER TRIMESTRE]:[CUARTO TRIMESTRE]])</f>
        <v>24</v>
      </c>
      <c r="I434" s="17">
        <v>7950</v>
      </c>
      <c r="J434" s="17">
        <f t="shared" si="10"/>
        <v>190800</v>
      </c>
      <c r="K434" s="17"/>
      <c r="L434" s="16" t="s">
        <v>18</v>
      </c>
      <c r="M434" s="16" t="s">
        <v>22</v>
      </c>
      <c r="N434" s="39"/>
      <c r="O434" s="20"/>
    </row>
    <row r="435" spans="1:15" s="12" customFormat="1" ht="39.75" customHeight="1">
      <c r="A435" s="15" t="s">
        <v>96</v>
      </c>
      <c r="B435" s="75" t="s">
        <v>852</v>
      </c>
      <c r="C435" s="39" t="s">
        <v>17</v>
      </c>
      <c r="D435" s="39"/>
      <c r="E435" s="39">
        <v>10</v>
      </c>
      <c r="F435" s="39"/>
      <c r="G435" s="39">
        <v>10</v>
      </c>
      <c r="H435" s="40">
        <f>SUM(Tabla1326[[#This Row],[PRIMER TRIMESTRE]:[CUARTO TRIMESTRE]])</f>
        <v>20</v>
      </c>
      <c r="I435" s="17">
        <v>8338.15</v>
      </c>
      <c r="J435" s="17">
        <f t="shared" si="10"/>
        <v>166763</v>
      </c>
      <c r="K435" s="17"/>
      <c r="L435" s="16" t="s">
        <v>18</v>
      </c>
      <c r="M435" s="16" t="s">
        <v>22</v>
      </c>
      <c r="N435" s="39"/>
      <c r="O435" s="20"/>
    </row>
    <row r="436" spans="1:15" s="12" customFormat="1" ht="39.75" customHeight="1">
      <c r="A436" s="15" t="s">
        <v>96</v>
      </c>
      <c r="B436" s="75" t="s">
        <v>853</v>
      </c>
      <c r="C436" s="39" t="s">
        <v>17</v>
      </c>
      <c r="D436" s="39"/>
      <c r="E436" s="39">
        <v>10</v>
      </c>
      <c r="F436" s="39"/>
      <c r="G436" s="39">
        <v>10</v>
      </c>
      <c r="H436" s="40">
        <f>SUM(Tabla1326[[#This Row],[PRIMER TRIMESTRE]:[CUARTO TRIMESTRE]])</f>
        <v>20</v>
      </c>
      <c r="I436" s="17">
        <v>9900.17</v>
      </c>
      <c r="J436" s="17">
        <f t="shared" si="10"/>
        <v>198003.4</v>
      </c>
      <c r="K436" s="17"/>
      <c r="L436" s="16" t="s">
        <v>18</v>
      </c>
      <c r="M436" s="16" t="s">
        <v>22</v>
      </c>
      <c r="N436" s="39"/>
      <c r="O436" s="20"/>
    </row>
    <row r="437" spans="1:15" s="12" customFormat="1" ht="47.25">
      <c r="A437" s="15" t="s">
        <v>96</v>
      </c>
      <c r="B437" s="16" t="str">
        <f ca="1">+UPPER(Tabla1326[[#This Row],[DESCRIPCIÓN DE LA COMPRA O CONTRATACIÓN]])</f>
        <v>MONITORES DE FASE A 460 VOLTIOS, CONTRA PÉRDIDA DE FASE E INVERSIÓN DE GIRO CON SU BASE</v>
      </c>
      <c r="C437" s="39" t="s">
        <v>17</v>
      </c>
      <c r="D437" s="39"/>
      <c r="E437" s="39">
        <v>120</v>
      </c>
      <c r="F437" s="39"/>
      <c r="G437" s="39">
        <v>120</v>
      </c>
      <c r="H437" s="40">
        <f>SUM(Tabla1326[[#This Row],[PRIMER TRIMESTRE]:[CUARTO TRIMESTRE]])</f>
        <v>240</v>
      </c>
      <c r="I437" s="17">
        <v>2018.4</v>
      </c>
      <c r="J437" s="17">
        <f t="shared" si="10"/>
        <v>484416</v>
      </c>
      <c r="K437" s="17"/>
      <c r="L437" s="16" t="s">
        <v>18</v>
      </c>
      <c r="M437" s="16" t="s">
        <v>22</v>
      </c>
      <c r="N437" s="39"/>
      <c r="O437" s="20"/>
    </row>
    <row r="438" spans="1:15" s="12" customFormat="1" ht="47.25">
      <c r="A438" s="15" t="s">
        <v>96</v>
      </c>
      <c r="B438" s="16" t="str">
        <f ca="1">+UPPER(Tabla1326[[#This Row],[DESCRIPCIÓN DE LA COMPRA O CONTRATACIÓN]])</f>
        <v>MONITORES DE FASE A 230 VOLTIOS, CONTRA PÉRDIDA DE FASE E INVERSIÓN DE GIRO CON SU BASE</v>
      </c>
      <c r="C438" s="39" t="s">
        <v>17</v>
      </c>
      <c r="D438" s="39"/>
      <c r="E438" s="39">
        <v>45</v>
      </c>
      <c r="F438" s="39"/>
      <c r="G438" s="39">
        <v>45</v>
      </c>
      <c r="H438" s="40">
        <f>SUM(Tabla1326[[#This Row],[PRIMER TRIMESTRE]:[CUARTO TRIMESTRE]])</f>
        <v>90</v>
      </c>
      <c r="I438" s="17">
        <v>2540.06</v>
      </c>
      <c r="J438" s="17">
        <f t="shared" si="10"/>
        <v>228605.4</v>
      </c>
      <c r="K438" s="17"/>
      <c r="L438" s="16" t="s">
        <v>18</v>
      </c>
      <c r="M438" s="16" t="s">
        <v>22</v>
      </c>
      <c r="N438" s="39"/>
      <c r="O438" s="20"/>
    </row>
    <row r="439" spans="1:15" s="12" customFormat="1" ht="31.5">
      <c r="A439" s="15" t="s">
        <v>96</v>
      </c>
      <c r="B439" s="75" t="s">
        <v>854</v>
      </c>
      <c r="C439" s="39" t="s">
        <v>17</v>
      </c>
      <c r="D439" s="39"/>
      <c r="E439" s="70">
        <v>2</v>
      </c>
      <c r="F439" s="39"/>
      <c r="G439" s="39">
        <v>4</v>
      </c>
      <c r="H439" s="40">
        <f>SUM(Tabla1326[[#This Row],[PRIMER TRIMESTRE]:[CUARTO TRIMESTRE]])</f>
        <v>6</v>
      </c>
      <c r="I439" s="72">
        <v>21949.98</v>
      </c>
      <c r="J439" s="17">
        <f t="shared" si="10"/>
        <v>131699.88</v>
      </c>
      <c r="K439" s="17"/>
      <c r="L439" s="16" t="s">
        <v>18</v>
      </c>
      <c r="M439" s="16" t="s">
        <v>19</v>
      </c>
      <c r="N439" s="39"/>
      <c r="O439" s="18"/>
    </row>
    <row r="440" spans="1:15" s="12" customFormat="1" ht="31.5">
      <c r="A440" s="15" t="s">
        <v>96</v>
      </c>
      <c r="B440" s="75" t="s">
        <v>855</v>
      </c>
      <c r="C440" s="39" t="s">
        <v>17</v>
      </c>
      <c r="D440" s="39"/>
      <c r="E440" s="70">
        <v>2</v>
      </c>
      <c r="F440" s="39"/>
      <c r="G440" s="39">
        <v>4</v>
      </c>
      <c r="H440" s="40">
        <f>SUM(Tabla1326[[#This Row],[PRIMER TRIMESTRE]:[CUARTO TRIMESTRE]])</f>
        <v>6</v>
      </c>
      <c r="I440" s="72">
        <v>28382.54</v>
      </c>
      <c r="J440" s="17">
        <f t="shared" si="10"/>
        <v>170295.24</v>
      </c>
      <c r="K440" s="17"/>
      <c r="L440" s="16" t="s">
        <v>18</v>
      </c>
      <c r="M440" s="16" t="s">
        <v>19</v>
      </c>
      <c r="N440" s="39"/>
      <c r="O440" s="18"/>
    </row>
    <row r="441" spans="1:15" s="12" customFormat="1" ht="47.25">
      <c r="A441" s="15" t="s">
        <v>96</v>
      </c>
      <c r="B441" s="16" t="str">
        <f ca="1">+UPPER(Tabla1326[[#This Row],[DESCRIPCIÓN DE LA COMPRA O CONTRATACIÓN]])</f>
        <v>MOTORES ELÉCTRICOS SUMERGIBLES, 3Ø, 230 /460 VOLTIOS, 60HZ, 1.15 FS, 3,450 RPM 7.5 HP NEMA 6</v>
      </c>
      <c r="C441" s="39" t="s">
        <v>17</v>
      </c>
      <c r="D441" s="39"/>
      <c r="E441" s="70">
        <v>2</v>
      </c>
      <c r="F441" s="39"/>
      <c r="G441" s="39">
        <v>3</v>
      </c>
      <c r="H441" s="40">
        <f>SUM(Tabla1326[[#This Row],[PRIMER TRIMESTRE]:[CUARTO TRIMESTRE]])</f>
        <v>5</v>
      </c>
      <c r="I441" s="72">
        <v>112200</v>
      </c>
      <c r="J441" s="17">
        <f>+H441*I441</f>
        <v>561000</v>
      </c>
      <c r="K441" s="17"/>
      <c r="L441" s="16" t="s">
        <v>18</v>
      </c>
      <c r="M441" s="16" t="s">
        <v>19</v>
      </c>
      <c r="N441" s="39"/>
      <c r="O441" s="18"/>
    </row>
    <row r="442" spans="1:15" s="12" customFormat="1" ht="47.25">
      <c r="A442" s="15" t="s">
        <v>96</v>
      </c>
      <c r="B442" s="16" t="str">
        <f ca="1">+UPPER(Tabla1326[[#This Row],[DESCRIPCIÓN DE LA COMPRA O CONTRATACIÓN]])</f>
        <v>MOTORES ELÉCTRICOS SUMERGIBLES, 3Ø, 230 /460 VOLTIOS, 60HZ, 1.15 FS, 3,450 RPM 20 HP NEMA 6</v>
      </c>
      <c r="C442" s="39" t="s">
        <v>17</v>
      </c>
      <c r="D442" s="39"/>
      <c r="E442" s="70">
        <v>6</v>
      </c>
      <c r="F442" s="39"/>
      <c r="G442" s="39">
        <v>3</v>
      </c>
      <c r="H442" s="40">
        <f>SUM(Tabla1326[[#This Row],[PRIMER TRIMESTRE]:[CUARTO TRIMESTRE]])</f>
        <v>9</v>
      </c>
      <c r="I442" s="17">
        <v>63826.21</v>
      </c>
      <c r="J442" s="17">
        <f t="shared" ref="J442:J470" si="11">+H442*I442</f>
        <v>574435.89</v>
      </c>
      <c r="K442" s="17"/>
      <c r="L442" s="16" t="s">
        <v>18</v>
      </c>
      <c r="M442" s="16" t="s">
        <v>19</v>
      </c>
      <c r="N442" s="39"/>
      <c r="O442" s="20"/>
    </row>
    <row r="443" spans="1:15" s="12" customFormat="1" ht="31.5" customHeight="1">
      <c r="A443" s="15" t="s">
        <v>96</v>
      </c>
      <c r="B443" s="75" t="s">
        <v>856</v>
      </c>
      <c r="C443" s="39" t="s">
        <v>17</v>
      </c>
      <c r="D443" s="39"/>
      <c r="E443" s="70">
        <v>5</v>
      </c>
      <c r="F443" s="39"/>
      <c r="G443" s="39">
        <v>3</v>
      </c>
      <c r="H443" s="40">
        <f>SUM(Tabla1326[[#This Row],[PRIMER TRIMESTRE]:[CUARTO TRIMESTRE]])</f>
        <v>8</v>
      </c>
      <c r="I443" s="17">
        <v>79201.600000000006</v>
      </c>
      <c r="J443" s="17">
        <f t="shared" si="11"/>
        <v>633612.80000000005</v>
      </c>
      <c r="K443" s="31"/>
      <c r="L443" s="16" t="s">
        <v>18</v>
      </c>
      <c r="M443" s="28" t="s">
        <v>19</v>
      </c>
      <c r="N443" s="45"/>
      <c r="O443" s="20"/>
    </row>
    <row r="444" spans="1:15" s="12" customFormat="1" ht="35.25" customHeight="1">
      <c r="A444" s="15" t="s">
        <v>96</v>
      </c>
      <c r="B444" s="75" t="s">
        <v>857</v>
      </c>
      <c r="C444" s="39" t="s">
        <v>17</v>
      </c>
      <c r="D444" s="39"/>
      <c r="E444" s="70">
        <v>5</v>
      </c>
      <c r="F444" s="39"/>
      <c r="G444" s="39">
        <v>3</v>
      </c>
      <c r="H444" s="40">
        <f>SUM(Tabla1326[[#This Row],[PRIMER TRIMESTRE]:[CUARTO TRIMESTRE]])</f>
        <v>8</v>
      </c>
      <c r="I444" s="17">
        <v>96701</v>
      </c>
      <c r="J444" s="17">
        <f t="shared" si="11"/>
        <v>773608</v>
      </c>
      <c r="K444" s="31"/>
      <c r="L444" s="16" t="s">
        <v>18</v>
      </c>
      <c r="M444" s="28" t="s">
        <v>19</v>
      </c>
      <c r="N444" s="45"/>
      <c r="O444" s="20"/>
    </row>
    <row r="445" spans="1:15" s="12" customFormat="1" ht="31.5" customHeight="1">
      <c r="A445" s="15" t="s">
        <v>96</v>
      </c>
      <c r="B445" s="75" t="s">
        <v>858</v>
      </c>
      <c r="C445" s="39" t="s">
        <v>17</v>
      </c>
      <c r="D445" s="39"/>
      <c r="E445" s="70">
        <v>4</v>
      </c>
      <c r="F445" s="39"/>
      <c r="G445" s="39">
        <v>3</v>
      </c>
      <c r="H445" s="40">
        <f>SUM(Tabla1326[[#This Row],[PRIMER TRIMESTRE]:[CUARTO TRIMESTRE]])</f>
        <v>7</v>
      </c>
      <c r="I445" s="17">
        <v>120944.77</v>
      </c>
      <c r="J445" s="17">
        <f t="shared" si="11"/>
        <v>846613.39</v>
      </c>
      <c r="K445" s="31"/>
      <c r="L445" s="16" t="s">
        <v>18</v>
      </c>
      <c r="M445" s="28" t="s">
        <v>19</v>
      </c>
      <c r="N445" s="45"/>
      <c r="O445" s="20"/>
    </row>
    <row r="446" spans="1:15" s="12" customFormat="1" ht="31.5" customHeight="1">
      <c r="A446" s="15" t="s">
        <v>96</v>
      </c>
      <c r="B446" s="75" t="s">
        <v>859</v>
      </c>
      <c r="C446" s="39" t="s">
        <v>17</v>
      </c>
      <c r="D446" s="39"/>
      <c r="E446" s="70">
        <v>4</v>
      </c>
      <c r="F446" s="39"/>
      <c r="G446" s="39">
        <v>2</v>
      </c>
      <c r="H446" s="40">
        <f>SUM(Tabla1326[[#This Row],[PRIMER TRIMESTRE]:[CUARTO TRIMESTRE]])</f>
        <v>6</v>
      </c>
      <c r="I446" s="17">
        <v>143968.70000000001</v>
      </c>
      <c r="J446" s="17">
        <f t="shared" si="11"/>
        <v>863812.20000000007</v>
      </c>
      <c r="K446" s="31"/>
      <c r="L446" s="16" t="s">
        <v>18</v>
      </c>
      <c r="M446" s="28" t="s">
        <v>19</v>
      </c>
      <c r="N446" s="45"/>
      <c r="O446" s="20"/>
    </row>
    <row r="447" spans="1:15" s="12" customFormat="1" ht="31.5" customHeight="1">
      <c r="A447" s="15" t="s">
        <v>96</v>
      </c>
      <c r="B447" s="75" t="s">
        <v>860</v>
      </c>
      <c r="C447" s="39" t="s">
        <v>17</v>
      </c>
      <c r="D447" s="39"/>
      <c r="E447" s="70">
        <v>2</v>
      </c>
      <c r="F447" s="39"/>
      <c r="G447" s="39">
        <v>2</v>
      </c>
      <c r="H447" s="40">
        <f>SUM(Tabla1326[[#This Row],[PRIMER TRIMESTRE]:[CUARTO TRIMESTRE]])</f>
        <v>4</v>
      </c>
      <c r="I447" s="72">
        <v>856370.9</v>
      </c>
      <c r="J447" s="17">
        <f>+H447*I447</f>
        <v>3425483.6</v>
      </c>
      <c r="K447" s="17"/>
      <c r="L447" s="16" t="s">
        <v>18</v>
      </c>
      <c r="M447" s="16" t="s">
        <v>19</v>
      </c>
      <c r="N447" s="39"/>
      <c r="O447" s="18"/>
    </row>
    <row r="448" spans="1:15" s="12" customFormat="1" ht="31.5" customHeight="1">
      <c r="A448" s="15" t="s">
        <v>96</v>
      </c>
      <c r="B448" s="75" t="s">
        <v>861</v>
      </c>
      <c r="C448" s="39" t="s">
        <v>17</v>
      </c>
      <c r="D448" s="39"/>
      <c r="E448" s="70">
        <v>3</v>
      </c>
      <c r="F448" s="39"/>
      <c r="G448" s="39">
        <v>3</v>
      </c>
      <c r="H448" s="40">
        <f>SUM(Tabla1326[[#This Row],[PRIMER TRIMESTRE]:[CUARTO TRIMESTRE]])</f>
        <v>6</v>
      </c>
      <c r="I448" s="17">
        <v>216363.42</v>
      </c>
      <c r="J448" s="17">
        <f t="shared" si="11"/>
        <v>1298180.52</v>
      </c>
      <c r="K448" s="31"/>
      <c r="L448" s="16" t="s">
        <v>18</v>
      </c>
      <c r="M448" s="28" t="s">
        <v>19</v>
      </c>
      <c r="N448" s="45"/>
      <c r="O448" s="20"/>
    </row>
    <row r="449" spans="1:15" s="12" customFormat="1" ht="31.5" customHeight="1">
      <c r="A449" s="15" t="s">
        <v>96</v>
      </c>
      <c r="B449" s="75" t="s">
        <v>862</v>
      </c>
      <c r="C449" s="39" t="s">
        <v>17</v>
      </c>
      <c r="D449" s="39"/>
      <c r="E449" s="70">
        <v>1</v>
      </c>
      <c r="F449" s="39"/>
      <c r="G449" s="39">
        <v>1</v>
      </c>
      <c r="H449" s="40">
        <f>SUM(Tabla1326[[#This Row],[PRIMER TRIMESTRE]:[CUARTO TRIMESTRE]])</f>
        <v>2</v>
      </c>
      <c r="I449" s="17">
        <v>339848.52</v>
      </c>
      <c r="J449" s="17">
        <f t="shared" si="11"/>
        <v>679697.04</v>
      </c>
      <c r="K449" s="31"/>
      <c r="L449" s="16" t="s">
        <v>18</v>
      </c>
      <c r="M449" s="28" t="s">
        <v>19</v>
      </c>
      <c r="N449" s="45"/>
      <c r="O449" s="20"/>
    </row>
    <row r="450" spans="1:15" s="12" customFormat="1" ht="47.25">
      <c r="A450" s="15" t="s">
        <v>96</v>
      </c>
      <c r="B450" s="16" t="str">
        <f ca="1">+UPPER(Tabla1326[[#This Row],[DESCRIPCIÓN DE LA COMPRA O CONTRATACIÓN]])</f>
        <v xml:space="preserve">MOTORES ELÉCTRICOS MONOFASICO SUMERGIBLES, 230 VOLTIOS, 3,450 RPM  3 HP CON CAJA DE CONTROLS </v>
      </c>
      <c r="C450" s="39" t="s">
        <v>17</v>
      </c>
      <c r="D450" s="39"/>
      <c r="E450" s="70">
        <v>2</v>
      </c>
      <c r="F450" s="39"/>
      <c r="G450" s="39">
        <v>6</v>
      </c>
      <c r="H450" s="40">
        <f>SUM(Tabla1326[[#This Row],[PRIMER TRIMESTRE]:[CUARTO TRIMESTRE]])</f>
        <v>8</v>
      </c>
      <c r="I450" s="17">
        <v>16820</v>
      </c>
      <c r="J450" s="17">
        <f t="shared" si="11"/>
        <v>134560</v>
      </c>
      <c r="K450" s="31"/>
      <c r="L450" s="16" t="s">
        <v>18</v>
      </c>
      <c r="M450" s="28" t="s">
        <v>19</v>
      </c>
      <c r="N450" s="45"/>
      <c r="O450" s="20"/>
    </row>
    <row r="451" spans="1:15" s="12" customFormat="1" ht="47.25">
      <c r="A451" s="15" t="s">
        <v>96</v>
      </c>
      <c r="B451" s="16" t="str">
        <f ca="1">+UPPER(Tabla1326[[#This Row],[DESCRIPCIÓN DE LA COMPRA O CONTRATACIÓN]])</f>
        <v xml:space="preserve">MOTORES ELÉCTRICOS MONOFASICO SUMERGIBLES, 230 VOLTIOS, 3,450 RPM  5 HP CON CAJA DE CONTROLS </v>
      </c>
      <c r="C451" s="39" t="s">
        <v>17</v>
      </c>
      <c r="D451" s="39"/>
      <c r="E451" s="70">
        <v>3</v>
      </c>
      <c r="F451" s="39"/>
      <c r="G451" s="39">
        <v>6</v>
      </c>
      <c r="H451" s="40">
        <f>SUM(Tabla1326[[#This Row],[PRIMER TRIMESTRE]:[CUARTO TRIMESTRE]])</f>
        <v>9</v>
      </c>
      <c r="I451" s="17">
        <v>20517.099999999999</v>
      </c>
      <c r="J451" s="17">
        <f t="shared" si="11"/>
        <v>184653.9</v>
      </c>
      <c r="K451" s="31"/>
      <c r="L451" s="16" t="s">
        <v>18</v>
      </c>
      <c r="M451" s="28" t="s">
        <v>19</v>
      </c>
      <c r="N451" s="45"/>
      <c r="O451" s="20"/>
    </row>
    <row r="452" spans="1:15" s="12" customFormat="1" ht="47.25">
      <c r="A452" s="15" t="s">
        <v>96</v>
      </c>
      <c r="B452" s="16" t="str">
        <f ca="1">+UPPER(Tabla1326[[#This Row],[DESCRIPCIÓN DE LA COMPRA O CONTRATACIÓN]])</f>
        <v xml:space="preserve">MOTORES ELÉCTRICOS MONOFASICO SUMERGIBLES, 230 VOLTIOS, 3,450 RPM  7.5 HP CON CAJA DE CONTROLS </v>
      </c>
      <c r="C452" s="39" t="s">
        <v>17</v>
      </c>
      <c r="D452" s="39"/>
      <c r="E452" s="70">
        <v>3</v>
      </c>
      <c r="F452" s="39"/>
      <c r="G452" s="39">
        <v>4</v>
      </c>
      <c r="H452" s="40">
        <f>SUM(Tabla1326[[#This Row],[PRIMER TRIMESTRE]:[CUARTO TRIMESTRE]])</f>
        <v>7</v>
      </c>
      <c r="I452" s="17">
        <v>36619.75</v>
      </c>
      <c r="J452" s="17">
        <f t="shared" si="11"/>
        <v>256338.25</v>
      </c>
      <c r="K452" s="31"/>
      <c r="L452" s="16" t="s">
        <v>18</v>
      </c>
      <c r="M452" s="28" t="s">
        <v>19</v>
      </c>
      <c r="N452" s="45"/>
      <c r="O452" s="20"/>
    </row>
    <row r="453" spans="1:15" s="12" customFormat="1" ht="47.25">
      <c r="A453" s="15" t="s">
        <v>96</v>
      </c>
      <c r="B453" s="16" t="str">
        <f ca="1">+UPPER(Tabla1326[[#This Row],[DESCRIPCIÓN DE LA COMPRA O CONTRATACIÓN]])</f>
        <v>ELECTROBOMBAS HORIZONTAL, 0.75HP, 1Ø, 115/230V, TIPO MONOBLOCK,3500 RPM, 20 GPM VS 100 PIES TDH</v>
      </c>
      <c r="C453" s="39" t="s">
        <v>17</v>
      </c>
      <c r="D453" s="39"/>
      <c r="E453" s="39">
        <v>3</v>
      </c>
      <c r="F453" s="39"/>
      <c r="G453" s="39">
        <v>3</v>
      </c>
      <c r="H453" s="40">
        <f>SUM(Tabla1326[[#This Row],[PRIMER TRIMESTRE]:[CUARTO TRIMESTRE]])</f>
        <v>6</v>
      </c>
      <c r="I453" s="17">
        <v>15370.13</v>
      </c>
      <c r="J453" s="17">
        <f t="shared" si="11"/>
        <v>92220.78</v>
      </c>
      <c r="K453" s="31"/>
      <c r="L453" s="16" t="s">
        <v>18</v>
      </c>
      <c r="M453" s="28" t="s">
        <v>19</v>
      </c>
      <c r="N453" s="45"/>
      <c r="O453" s="20"/>
    </row>
    <row r="454" spans="1:15" s="12" customFormat="1" ht="31.5">
      <c r="A454" s="15" t="s">
        <v>96</v>
      </c>
      <c r="B454" s="16" t="str">
        <f ca="1">+UPPER(Tabla1326[[#This Row],[DESCRIPCIÓN DE LA COMPRA O CONTRATACIÓN]])</f>
        <v>ELECTROBOMBAS SUMERGIBLE, 1.00HP, 230V, 1Ø, 60HZ, CON SU CAJA DE CONTROL, 3500 RPM</v>
      </c>
      <c r="C454" s="39" t="s">
        <v>17</v>
      </c>
      <c r="D454" s="39"/>
      <c r="E454" s="39">
        <v>3</v>
      </c>
      <c r="F454" s="39"/>
      <c r="G454" s="39">
        <v>3</v>
      </c>
      <c r="H454" s="40">
        <f>SUM(Tabla1326[[#This Row],[PRIMER TRIMESTRE]:[CUARTO TRIMESTRE]])</f>
        <v>6</v>
      </c>
      <c r="I454" s="17">
        <v>42000</v>
      </c>
      <c r="J454" s="17">
        <f t="shared" si="11"/>
        <v>252000</v>
      </c>
      <c r="K454" s="31"/>
      <c r="L454" s="16" t="s">
        <v>18</v>
      </c>
      <c r="M454" s="28" t="s">
        <v>19</v>
      </c>
      <c r="N454" s="45"/>
      <c r="O454" s="20"/>
    </row>
    <row r="455" spans="1:15" s="12" customFormat="1" ht="47.25">
      <c r="A455" s="15" t="s">
        <v>96</v>
      </c>
      <c r="B455" s="16" t="s">
        <v>863</v>
      </c>
      <c r="C455" s="39" t="s">
        <v>17</v>
      </c>
      <c r="D455" s="39"/>
      <c r="E455" s="39">
        <v>6</v>
      </c>
      <c r="F455" s="39"/>
      <c r="G455" s="39">
        <v>6</v>
      </c>
      <c r="H455" s="40">
        <f>SUM(Tabla1326[[#This Row],[PRIMER TRIMESTRE]:[CUARTO TRIMESTRE]])</f>
        <v>12</v>
      </c>
      <c r="I455" s="17">
        <v>24051.94</v>
      </c>
      <c r="J455" s="17">
        <f t="shared" si="11"/>
        <v>288623.27999999997</v>
      </c>
      <c r="K455" s="31"/>
      <c r="L455" s="16" t="s">
        <v>18</v>
      </c>
      <c r="M455" s="28" t="s">
        <v>22</v>
      </c>
      <c r="N455" s="45"/>
      <c r="O455" s="20"/>
    </row>
    <row r="456" spans="1:15" s="12" customFormat="1" ht="47.25">
      <c r="A456" s="15" t="s">
        <v>96</v>
      </c>
      <c r="B456" s="16" t="str">
        <f ca="1">+UPPER(Tabla1326[[#This Row],[DESCRIPCIÓN DE LA COMPRA O CONTRATACIÓN]])</f>
        <v>TRANSFORMADORES 1Ø, 60HZ, SUMERGIDOS EN ACEITE, 7.2/12.47 KV, 120/240V, TIPO POSTE, HOMOLGADOS CON IDÉNTICA IMPEDANCIA 25 KVA</v>
      </c>
      <c r="C456" s="39" t="s">
        <v>17</v>
      </c>
      <c r="D456" s="39"/>
      <c r="E456" s="39">
        <v>4</v>
      </c>
      <c r="F456" s="39"/>
      <c r="G456" s="39">
        <v>4</v>
      </c>
      <c r="H456" s="40">
        <f>SUM(Tabla1326[[#This Row],[PRIMER TRIMESTRE]:[CUARTO TRIMESTRE]])</f>
        <v>8</v>
      </c>
      <c r="I456" s="17">
        <v>34220</v>
      </c>
      <c r="J456" s="17">
        <f t="shared" si="11"/>
        <v>273760</v>
      </c>
      <c r="K456" s="31"/>
      <c r="L456" s="16" t="s">
        <v>18</v>
      </c>
      <c r="M456" s="28" t="s">
        <v>22</v>
      </c>
      <c r="N456" s="45"/>
      <c r="O456" s="20"/>
    </row>
    <row r="457" spans="1:15" s="12" customFormat="1" ht="63">
      <c r="A457" s="15" t="s">
        <v>96</v>
      </c>
      <c r="B457" s="16" t="str">
        <f ca="1">+UPPER(Tabla1326[[#This Row],[DESCRIPCIÓN DE LA COMPRA O CONTRATACIÓN]])</f>
        <v>TRANSFORMADORES 1Ø, 60HZ, SUMERGIDOS EN ACEITE, 7.2/12.47 KV, 120/240V, TIPO POSTE, HOMOLGADOS CON IDÉNTICA IMPEDANCIA 37.5 KVA</v>
      </c>
      <c r="C457" s="39" t="s">
        <v>17</v>
      </c>
      <c r="D457" s="39"/>
      <c r="E457" s="39">
        <v>2</v>
      </c>
      <c r="F457" s="39"/>
      <c r="G457" s="39">
        <v>2</v>
      </c>
      <c r="H457" s="40">
        <f>SUM(Tabla1326[[#This Row],[PRIMER TRIMESTRE]:[CUARTO TRIMESTRE]])</f>
        <v>4</v>
      </c>
      <c r="I457" s="17">
        <v>58875.22</v>
      </c>
      <c r="J457" s="17">
        <f t="shared" si="11"/>
        <v>235500.88</v>
      </c>
      <c r="K457" s="31"/>
      <c r="L457" s="16" t="s">
        <v>18</v>
      </c>
      <c r="M457" s="28" t="s">
        <v>22</v>
      </c>
      <c r="N457" s="45"/>
      <c r="O457" s="20"/>
    </row>
    <row r="458" spans="1:15" s="12" customFormat="1" ht="47.25">
      <c r="A458" s="15" t="s">
        <v>96</v>
      </c>
      <c r="B458" s="73" t="str">
        <f ca="1">+UPPER(Tabla1326[[#This Row],[DESCRIPCIÓN DE LA COMPRA O CONTRATACIÓN]])</f>
        <v>TRANSFORMADORES 1Ø, 60HZ, SUMERGIDOS EN ACEITE, 7.2/12.47 KV, 240/480V, TIPO POSTE HOMOLGADOS CON IDÉNTICA IMPEDANCIA 15 KVA</v>
      </c>
      <c r="C458" s="39" t="s">
        <v>17</v>
      </c>
      <c r="D458" s="39"/>
      <c r="E458" s="39">
        <v>8</v>
      </c>
      <c r="F458" s="39"/>
      <c r="G458" s="39">
        <v>8</v>
      </c>
      <c r="H458" s="40">
        <f>SUM(Tabla1326[[#This Row],[PRIMER TRIMESTRE]:[CUARTO TRIMESTRE]])</f>
        <v>16</v>
      </c>
      <c r="I458" s="17">
        <v>25498.09</v>
      </c>
      <c r="J458" s="17">
        <f t="shared" si="11"/>
        <v>407969.44</v>
      </c>
      <c r="K458" s="31"/>
      <c r="L458" s="16" t="s">
        <v>18</v>
      </c>
      <c r="M458" s="28" t="s">
        <v>22</v>
      </c>
      <c r="N458" s="45"/>
      <c r="O458" s="20"/>
    </row>
    <row r="459" spans="1:15" s="12" customFormat="1" ht="47.25">
      <c r="A459" s="15" t="s">
        <v>96</v>
      </c>
      <c r="B459" s="73" t="str">
        <f ca="1">+UPPER(Tabla1326[[#This Row],[DESCRIPCIÓN DE LA COMPRA O CONTRATACIÓN]])</f>
        <v>TRANSFORMADORES 1Ø, 60HZ, SUMERGIDOS EN ACEITE, 7.2/12.47 KV, 240/480V, TIPO POSTE HOMOLGADOS CON IDÉNTICA IMPEDANCIA 25 KVA</v>
      </c>
      <c r="C459" s="39" t="s">
        <v>17</v>
      </c>
      <c r="D459" s="39"/>
      <c r="E459" s="39">
        <v>6</v>
      </c>
      <c r="F459" s="39"/>
      <c r="G459" s="39">
        <v>6</v>
      </c>
      <c r="H459" s="40">
        <f>SUM(Tabla1326[[#This Row],[PRIMER TRIMESTRE]:[CUARTO TRIMESTRE]])</f>
        <v>12</v>
      </c>
      <c r="I459" s="17">
        <v>37186.82</v>
      </c>
      <c r="J459" s="17">
        <f t="shared" si="11"/>
        <v>446241.83999999997</v>
      </c>
      <c r="K459" s="31"/>
      <c r="L459" s="16" t="s">
        <v>18</v>
      </c>
      <c r="M459" s="28" t="s">
        <v>22</v>
      </c>
      <c r="N459" s="45"/>
      <c r="O459" s="20"/>
    </row>
    <row r="460" spans="1:15" s="12" customFormat="1" ht="38.25">
      <c r="A460" s="15" t="s">
        <v>96</v>
      </c>
      <c r="B460" s="77" t="s">
        <v>864</v>
      </c>
      <c r="C460" s="39" t="s">
        <v>17</v>
      </c>
      <c r="D460" s="39"/>
      <c r="E460" s="39">
        <v>10</v>
      </c>
      <c r="F460" s="39"/>
      <c r="G460" s="39">
        <v>10</v>
      </c>
      <c r="H460" s="40">
        <f>SUM(Tabla1326[[#This Row],[PRIMER TRIMESTRE]:[CUARTO TRIMESTRE]])</f>
        <v>20</v>
      </c>
      <c r="I460" s="17">
        <v>44076.54</v>
      </c>
      <c r="J460" s="17">
        <f t="shared" si="11"/>
        <v>881530.8</v>
      </c>
      <c r="K460" s="31"/>
      <c r="L460" s="16" t="s">
        <v>18</v>
      </c>
      <c r="M460" s="28" t="s">
        <v>22</v>
      </c>
      <c r="N460" s="45"/>
      <c r="O460" s="20"/>
    </row>
    <row r="461" spans="1:15" s="12" customFormat="1" ht="38.25">
      <c r="A461" s="15" t="s">
        <v>96</v>
      </c>
      <c r="B461" s="75" t="s">
        <v>865</v>
      </c>
      <c r="C461" s="39" t="s">
        <v>17</v>
      </c>
      <c r="D461" s="39"/>
      <c r="E461" s="39">
        <v>10</v>
      </c>
      <c r="F461" s="39"/>
      <c r="G461" s="39">
        <v>10</v>
      </c>
      <c r="H461" s="40">
        <f>SUM(Tabla1326[[#This Row],[PRIMER TRIMESTRE]:[CUARTO TRIMESTRE]])</f>
        <v>20</v>
      </c>
      <c r="I461" s="17">
        <v>54061.7</v>
      </c>
      <c r="J461" s="17">
        <f t="shared" si="11"/>
        <v>1081234</v>
      </c>
      <c r="K461" s="31"/>
      <c r="L461" s="16" t="s">
        <v>18</v>
      </c>
      <c r="M461" s="28" t="s">
        <v>22</v>
      </c>
      <c r="N461" s="45"/>
      <c r="O461" s="20"/>
    </row>
    <row r="462" spans="1:15" s="12" customFormat="1" ht="38.25">
      <c r="A462" s="15" t="s">
        <v>96</v>
      </c>
      <c r="B462" s="75" t="s">
        <v>866</v>
      </c>
      <c r="C462" s="39" t="s">
        <v>17</v>
      </c>
      <c r="D462" s="39"/>
      <c r="E462" s="39">
        <v>7</v>
      </c>
      <c r="F462" s="39"/>
      <c r="G462" s="39">
        <v>7</v>
      </c>
      <c r="H462" s="40">
        <f>SUM(Tabla1326[[#This Row],[PRIMER TRIMESTRE]:[CUARTO TRIMESTRE]])</f>
        <v>14</v>
      </c>
      <c r="I462" s="17">
        <v>81423.539999999994</v>
      </c>
      <c r="J462" s="17">
        <f t="shared" si="11"/>
        <v>1139929.5599999998</v>
      </c>
      <c r="K462" s="17"/>
      <c r="L462" s="16" t="s">
        <v>18</v>
      </c>
      <c r="M462" s="16" t="s">
        <v>22</v>
      </c>
      <c r="N462" s="39"/>
      <c r="O462" s="20"/>
    </row>
    <row r="463" spans="1:15" s="12" customFormat="1" ht="63">
      <c r="A463" s="15" t="s">
        <v>96</v>
      </c>
      <c r="B463" s="16" t="str">
        <f ca="1">+UPPER(Tabla1326[[#This Row],[DESCRIPCIÓN DE LA COMPRA O CONTRATACIÓN]])</f>
        <v>TRANSFORMADORES 1Ø, 60HZ, SUMERGIDOS EN ACEITE, 7.2/12.47 KV, 240/480V, TIPO POSTE HOMOLGADOS CON IDÉNTICA IMPEDANCIA 100 KVA</v>
      </c>
      <c r="C463" s="39" t="s">
        <v>17</v>
      </c>
      <c r="D463" s="39"/>
      <c r="E463" s="39">
        <v>6</v>
      </c>
      <c r="F463" s="39"/>
      <c r="G463" s="39">
        <v>6</v>
      </c>
      <c r="H463" s="40">
        <f>SUM(Tabla1326[[#This Row],[PRIMER TRIMESTRE]:[CUARTO TRIMESTRE]])</f>
        <v>12</v>
      </c>
      <c r="I463" s="17">
        <v>108938.74</v>
      </c>
      <c r="J463" s="17">
        <f t="shared" si="11"/>
        <v>1307264.8800000001</v>
      </c>
      <c r="K463" s="17"/>
      <c r="L463" s="16" t="s">
        <v>18</v>
      </c>
      <c r="M463" s="16" t="s">
        <v>22</v>
      </c>
      <c r="N463" s="39"/>
      <c r="O463" s="20"/>
    </row>
    <row r="464" spans="1:15" s="12" customFormat="1" ht="38.25">
      <c r="A464" s="15" t="s">
        <v>96</v>
      </c>
      <c r="B464" s="75" t="s">
        <v>867</v>
      </c>
      <c r="C464" s="39" t="s">
        <v>17</v>
      </c>
      <c r="D464" s="39"/>
      <c r="E464" s="39">
        <v>5</v>
      </c>
      <c r="F464" s="39"/>
      <c r="G464" s="39">
        <v>5</v>
      </c>
      <c r="H464" s="40">
        <f>SUM(Tabla1326[[#This Row],[PRIMER TRIMESTRE]:[CUARTO TRIMESTRE]])</f>
        <v>10</v>
      </c>
      <c r="I464" s="17">
        <v>160529.56</v>
      </c>
      <c r="J464" s="17">
        <f t="shared" si="11"/>
        <v>1605295.6</v>
      </c>
      <c r="K464" s="17"/>
      <c r="L464" s="16" t="s">
        <v>18</v>
      </c>
      <c r="M464" s="16" t="s">
        <v>22</v>
      </c>
      <c r="N464" s="39"/>
      <c r="O464" s="20"/>
    </row>
    <row r="465" spans="1:21" s="12" customFormat="1" ht="31.5" customHeight="1">
      <c r="A465" s="15" t="s">
        <v>96</v>
      </c>
      <c r="B465" s="75" t="s">
        <v>868</v>
      </c>
      <c r="C465" s="39" t="s">
        <v>17</v>
      </c>
      <c r="D465" s="39"/>
      <c r="E465" s="39">
        <v>7</v>
      </c>
      <c r="F465" s="39"/>
      <c r="G465" s="39">
        <v>7</v>
      </c>
      <c r="H465" s="40">
        <f>SUM(Tabla1326[[#This Row],[PRIMER TRIMESTRE]:[CUARTO TRIMESTRE]])</f>
        <v>14</v>
      </c>
      <c r="I465" s="17">
        <v>7243.54</v>
      </c>
      <c r="J465" s="17">
        <f t="shared" si="11"/>
        <v>101409.56</v>
      </c>
      <c r="K465" s="17"/>
      <c r="L465" s="16" t="s">
        <v>18</v>
      </c>
      <c r="M465" s="16" t="s">
        <v>22</v>
      </c>
      <c r="N465" s="39"/>
      <c r="O465" s="20"/>
    </row>
    <row r="466" spans="1:21" s="12" customFormat="1" ht="42.75" customHeight="1">
      <c r="A466" s="15" t="s">
        <v>96</v>
      </c>
      <c r="B466" s="75" t="s">
        <v>869</v>
      </c>
      <c r="C466" s="39" t="s">
        <v>17</v>
      </c>
      <c r="D466" s="39"/>
      <c r="E466" s="39">
        <v>7</v>
      </c>
      <c r="F466" s="39"/>
      <c r="G466" s="39">
        <v>7</v>
      </c>
      <c r="H466" s="40">
        <f>SUM(Tabla1326[[#This Row],[PRIMER TRIMESTRE]:[CUARTO TRIMESTRE]])</f>
        <v>14</v>
      </c>
      <c r="I466" s="17">
        <v>4466.2299999999996</v>
      </c>
      <c r="J466" s="17">
        <f t="shared" si="11"/>
        <v>62527.219999999994</v>
      </c>
      <c r="K466" s="17"/>
      <c r="L466" s="16" t="s">
        <v>18</v>
      </c>
      <c r="M466" s="16" t="s">
        <v>22</v>
      </c>
      <c r="N466" s="39"/>
      <c r="O466" s="20"/>
    </row>
    <row r="467" spans="1:21" s="12" customFormat="1" ht="42.75" customHeight="1">
      <c r="A467" s="15" t="s">
        <v>96</v>
      </c>
      <c r="B467" s="75" t="s">
        <v>870</v>
      </c>
      <c r="C467" s="39" t="s">
        <v>17</v>
      </c>
      <c r="D467" s="39"/>
      <c r="E467" s="39">
        <v>6</v>
      </c>
      <c r="F467" s="39"/>
      <c r="G467" s="39">
        <v>6</v>
      </c>
      <c r="H467" s="40">
        <f>SUM(Tabla1326[[#This Row],[PRIMER TRIMESTRE]:[CUARTO TRIMESTRE]])</f>
        <v>12</v>
      </c>
      <c r="I467" s="17">
        <v>3950</v>
      </c>
      <c r="J467" s="17">
        <f t="shared" si="11"/>
        <v>47400</v>
      </c>
      <c r="K467" s="17"/>
      <c r="L467" s="16" t="s">
        <v>18</v>
      </c>
      <c r="M467" s="16" t="s">
        <v>22</v>
      </c>
      <c r="N467" s="39"/>
      <c r="O467" s="20"/>
    </row>
    <row r="468" spans="1:21" s="12" customFormat="1" ht="42.75" customHeight="1">
      <c r="A468" s="15" t="s">
        <v>96</v>
      </c>
      <c r="B468" s="75" t="s">
        <v>871</v>
      </c>
      <c r="C468" s="39" t="s">
        <v>17</v>
      </c>
      <c r="D468" s="39"/>
      <c r="E468" s="39">
        <v>5</v>
      </c>
      <c r="F468" s="39"/>
      <c r="G468" s="39">
        <v>5</v>
      </c>
      <c r="H468" s="40">
        <f>SUM(Tabla1326[[#This Row],[PRIMER TRIMESTRE]:[CUARTO TRIMESTRE]])</f>
        <v>10</v>
      </c>
      <c r="I468" s="17">
        <v>2995.96</v>
      </c>
      <c r="J468" s="17">
        <f t="shared" si="11"/>
        <v>29959.599999999999</v>
      </c>
      <c r="K468" s="17"/>
      <c r="L468" s="16" t="s">
        <v>18</v>
      </c>
      <c r="M468" s="16" t="s">
        <v>22</v>
      </c>
      <c r="N468" s="39"/>
      <c r="O468" s="20"/>
    </row>
    <row r="469" spans="1:21" s="12" customFormat="1" ht="42.75" customHeight="1">
      <c r="A469" s="15" t="s">
        <v>96</v>
      </c>
      <c r="B469" s="75" t="s">
        <v>872</v>
      </c>
      <c r="C469" s="39" t="s">
        <v>17</v>
      </c>
      <c r="D469" s="39"/>
      <c r="E469" s="39">
        <v>5</v>
      </c>
      <c r="F469" s="39"/>
      <c r="G469" s="39">
        <v>5</v>
      </c>
      <c r="H469" s="40">
        <f>SUM(Tabla1326[[#This Row],[PRIMER TRIMESTRE]:[CUARTO TRIMESTRE]])</f>
        <v>10</v>
      </c>
      <c r="I469" s="17">
        <v>3986.24</v>
      </c>
      <c r="J469" s="17">
        <f t="shared" si="11"/>
        <v>39862.399999999994</v>
      </c>
      <c r="K469" s="17"/>
      <c r="L469" s="16" t="s">
        <v>18</v>
      </c>
      <c r="M469" s="16" t="s">
        <v>22</v>
      </c>
      <c r="N469" s="39"/>
      <c r="O469" s="20"/>
    </row>
    <row r="470" spans="1:21" s="12" customFormat="1" ht="42.75" customHeight="1">
      <c r="A470" s="15" t="s">
        <v>96</v>
      </c>
      <c r="B470" s="75" t="s">
        <v>873</v>
      </c>
      <c r="C470" s="39" t="s">
        <v>17</v>
      </c>
      <c r="D470" s="39"/>
      <c r="E470" s="39">
        <v>4</v>
      </c>
      <c r="F470" s="39"/>
      <c r="G470" s="39">
        <v>4</v>
      </c>
      <c r="H470" s="40">
        <f>SUM(Tabla1326[[#This Row],[PRIMER TRIMESTRE]:[CUARTO TRIMESTRE]])</f>
        <v>8</v>
      </c>
      <c r="I470" s="17">
        <v>6982.2</v>
      </c>
      <c r="J470" s="17">
        <f t="shared" si="11"/>
        <v>55857.599999999999</v>
      </c>
      <c r="K470" s="17"/>
      <c r="L470" s="16" t="s">
        <v>18</v>
      </c>
      <c r="M470" s="16" t="s">
        <v>22</v>
      </c>
      <c r="N470" s="39"/>
      <c r="O470" s="20"/>
    </row>
    <row r="471" spans="1:21" s="26" customFormat="1" ht="27.75" customHeight="1">
      <c r="A471" s="22" t="s">
        <v>96</v>
      </c>
      <c r="B471" s="76"/>
      <c r="C471" s="42"/>
      <c r="D471" s="42"/>
      <c r="E471" s="42"/>
      <c r="F471" s="42"/>
      <c r="G471" s="42"/>
      <c r="H471" s="43"/>
      <c r="I471" s="24"/>
      <c r="J471" s="24"/>
      <c r="K471" s="25">
        <f>SUM(J383:J470)</f>
        <v>32896029.880000003</v>
      </c>
      <c r="L471" s="23"/>
      <c r="M471" s="23"/>
      <c r="N471" s="42"/>
      <c r="O471" s="24"/>
      <c r="R471" s="27"/>
      <c r="U471" s="23"/>
    </row>
    <row r="472" spans="1:21" s="12" customFormat="1" ht="27" customHeight="1">
      <c r="A472" s="15" t="s">
        <v>95</v>
      </c>
      <c r="B472" s="75" t="str">
        <f ca="1">+UPPER(Tabla1326[[#This Row],[DESCRIPCIÓN DE LA COMPRA O CONTRATACIÓN]])</f>
        <v>CUT-OUTS 15 KV 200 AMPERES</v>
      </c>
      <c r="C472" s="39" t="s">
        <v>17</v>
      </c>
      <c r="D472" s="140">
        <v>40</v>
      </c>
      <c r="E472" s="140"/>
      <c r="F472" s="140">
        <v>40</v>
      </c>
      <c r="G472" s="39"/>
      <c r="H472" s="40">
        <f>SUM(Tabla1326[[#This Row],[PRIMER TRIMESTRE]:[CUARTO TRIMESTRE]])</f>
        <v>80</v>
      </c>
      <c r="I472" s="17">
        <v>7354.4</v>
      </c>
      <c r="J472" s="17">
        <f t="shared" ref="J472:J492" si="12">+H472*I472</f>
        <v>588352</v>
      </c>
      <c r="K472" s="17"/>
      <c r="L472" s="16" t="s">
        <v>27</v>
      </c>
      <c r="M472" s="16" t="s">
        <v>22</v>
      </c>
      <c r="N472" s="39"/>
      <c r="O472" s="20"/>
    </row>
    <row r="473" spans="1:21" s="12" customFormat="1">
      <c r="A473" s="15" t="s">
        <v>95</v>
      </c>
      <c r="B473" s="75" t="str">
        <f ca="1">+UPPER(Tabla1326[[#This Row],[DESCRIPCIÓN DE LA COMPRA O CONTRATACIÓN]])</f>
        <v>CUT-OUTS 15 KV 100 AMPERES</v>
      </c>
      <c r="C473" s="39" t="s">
        <v>17</v>
      </c>
      <c r="D473" s="140">
        <v>50</v>
      </c>
      <c r="E473" s="140"/>
      <c r="F473" s="140">
        <v>50</v>
      </c>
      <c r="G473" s="39"/>
      <c r="H473" s="40">
        <f>SUM(Tabla1326[[#This Row],[PRIMER TRIMESTRE]:[CUARTO TRIMESTRE]])</f>
        <v>100</v>
      </c>
      <c r="I473" s="17">
        <v>5452</v>
      </c>
      <c r="J473" s="17">
        <f t="shared" si="12"/>
        <v>545200</v>
      </c>
      <c r="K473" s="17"/>
      <c r="L473" s="16" t="s">
        <v>27</v>
      </c>
      <c r="M473" s="16" t="s">
        <v>22</v>
      </c>
      <c r="N473" s="39"/>
      <c r="O473" s="20"/>
    </row>
    <row r="474" spans="1:21" s="12" customFormat="1">
      <c r="A474" s="15" t="s">
        <v>95</v>
      </c>
      <c r="B474" s="75" t="str">
        <f ca="1">+UPPER(Tabla1326[[#This Row],[DESCRIPCIÓN DE LA COMPRA O CONTRATACIÓN]])</f>
        <v>APARTARRAYOS DE 9KV</v>
      </c>
      <c r="C474" s="39" t="s">
        <v>17</v>
      </c>
      <c r="D474" s="140">
        <v>50</v>
      </c>
      <c r="E474" s="140"/>
      <c r="F474" s="140">
        <v>50</v>
      </c>
      <c r="G474" s="39"/>
      <c r="H474" s="40">
        <f>SUM(Tabla1326[[#This Row],[PRIMER TRIMESTRE]:[CUARTO TRIMESTRE]])</f>
        <v>100</v>
      </c>
      <c r="I474" s="17">
        <v>2842</v>
      </c>
      <c r="J474" s="17">
        <f t="shared" si="12"/>
        <v>284200</v>
      </c>
      <c r="K474" s="17"/>
      <c r="L474" s="16" t="s">
        <v>27</v>
      </c>
      <c r="M474" s="16" t="s">
        <v>22</v>
      </c>
      <c r="N474" s="39"/>
      <c r="O474" s="20"/>
    </row>
    <row r="475" spans="1:21" s="12" customFormat="1">
      <c r="A475" s="15" t="s">
        <v>95</v>
      </c>
      <c r="B475" s="75" t="str">
        <f ca="1">+UPPER(Tabla1326[[#This Row],[DESCRIPCIÓN DE LA COMPRA O CONTRATACIÓN]])</f>
        <v>APARTARRAYOS DE 220V, SECUNDARIO</v>
      </c>
      <c r="C475" s="39" t="s">
        <v>17</v>
      </c>
      <c r="D475" s="140">
        <v>15</v>
      </c>
      <c r="E475" s="140"/>
      <c r="F475" s="140">
        <v>15</v>
      </c>
      <c r="G475" s="39"/>
      <c r="H475" s="40">
        <f>SUM(Tabla1326[[#This Row],[PRIMER TRIMESTRE]:[CUARTO TRIMESTRE]])</f>
        <v>30</v>
      </c>
      <c r="I475" s="17">
        <v>4500</v>
      </c>
      <c r="J475" s="17">
        <f t="shared" si="12"/>
        <v>135000</v>
      </c>
      <c r="K475" s="17"/>
      <c r="L475" s="16" t="s">
        <v>27</v>
      </c>
      <c r="M475" s="16" t="s">
        <v>22</v>
      </c>
      <c r="N475" s="39"/>
      <c r="O475" s="20"/>
    </row>
    <row r="476" spans="1:21" s="12" customFormat="1">
      <c r="A476" s="15" t="s">
        <v>95</v>
      </c>
      <c r="B476" s="75" t="str">
        <f ca="1">+UPPER(Tabla1326[[#This Row],[DESCRIPCIÓN DE LA COMPRA O CONTRATACIÓN]])</f>
        <v>APARTARRAYOS DE 480V, SECUNDARIO</v>
      </c>
      <c r="C476" s="39" t="s">
        <v>17</v>
      </c>
      <c r="D476" s="140">
        <v>15</v>
      </c>
      <c r="E476" s="140"/>
      <c r="F476" s="140">
        <v>15</v>
      </c>
      <c r="G476" s="39"/>
      <c r="H476" s="40">
        <f>SUM(Tabla1326[[#This Row],[PRIMER TRIMESTRE]:[CUARTO TRIMESTRE]])</f>
        <v>30</v>
      </c>
      <c r="I476" s="72">
        <v>4500</v>
      </c>
      <c r="J476" s="17">
        <f>+H476*I476</f>
        <v>135000</v>
      </c>
      <c r="K476" s="17"/>
      <c r="L476" s="16" t="s">
        <v>27</v>
      </c>
      <c r="M476" s="16" t="s">
        <v>22</v>
      </c>
      <c r="N476" s="39"/>
      <c r="O476" s="18"/>
    </row>
    <row r="477" spans="1:21" s="12" customFormat="1" ht="25.5">
      <c r="A477" s="15" t="s">
        <v>95</v>
      </c>
      <c r="B477" s="77" t="str">
        <f ca="1">+UPPER(Tabla1326[[#This Row],[DESCRIPCIÓN DE LA COMPRA O CONTRATACIÓN]])</f>
        <v>LÁMPARA FLUORESCENTE, DE 2 X 4 PIES, 32 WATTS, COMPLETA</v>
      </c>
      <c r="C477" s="39" t="s">
        <v>17</v>
      </c>
      <c r="D477" s="140">
        <v>150</v>
      </c>
      <c r="E477" s="140"/>
      <c r="F477" s="140">
        <v>150</v>
      </c>
      <c r="G477" s="39"/>
      <c r="H477" s="40">
        <f>SUM(Tabla1326[[#This Row],[PRIMER TRIMESTRE]:[CUARTO TRIMESTRE]])</f>
        <v>300</v>
      </c>
      <c r="I477" s="17">
        <v>63.44</v>
      </c>
      <c r="J477" s="17">
        <f t="shared" si="12"/>
        <v>19032</v>
      </c>
      <c r="K477" s="17"/>
      <c r="L477" s="16" t="s">
        <v>27</v>
      </c>
      <c r="M477" s="16" t="s">
        <v>22</v>
      </c>
      <c r="N477" s="39"/>
      <c r="O477" s="20"/>
    </row>
    <row r="478" spans="1:21" s="12" customFormat="1" ht="25.5">
      <c r="A478" s="15" t="s">
        <v>95</v>
      </c>
      <c r="B478" s="77" t="s">
        <v>881</v>
      </c>
      <c r="C478" s="39" t="s">
        <v>17</v>
      </c>
      <c r="D478" s="140">
        <v>100</v>
      </c>
      <c r="E478" s="140"/>
      <c r="F478" s="140">
        <v>100</v>
      </c>
      <c r="G478" s="39"/>
      <c r="H478" s="40">
        <f>SUM(Tabla1326[[#This Row],[PRIMER TRIMESTRE]:[CUARTO TRIMESTRE]])</f>
        <v>200</v>
      </c>
      <c r="I478" s="17">
        <v>877.77</v>
      </c>
      <c r="J478" s="17">
        <f t="shared" si="12"/>
        <v>175554</v>
      </c>
      <c r="K478" s="17"/>
      <c r="L478" s="16" t="s">
        <v>27</v>
      </c>
      <c r="M478" s="16" t="s">
        <v>22</v>
      </c>
      <c r="N478" s="39"/>
      <c r="O478" s="20"/>
    </row>
    <row r="479" spans="1:21" s="12" customFormat="1" ht="30.75" customHeight="1">
      <c r="A479" s="15" t="s">
        <v>95</v>
      </c>
      <c r="B479" s="75" t="s">
        <v>874</v>
      </c>
      <c r="C479" s="39" t="s">
        <v>17</v>
      </c>
      <c r="D479" s="140">
        <v>50</v>
      </c>
      <c r="E479" s="140"/>
      <c r="F479" s="140">
        <v>50</v>
      </c>
      <c r="G479" s="39"/>
      <c r="H479" s="40">
        <f>SUM(Tabla1326[[#This Row],[PRIMER TRIMESTRE]:[CUARTO TRIMESTRE]])</f>
        <v>100</v>
      </c>
      <c r="I479" s="17">
        <v>9.84</v>
      </c>
      <c r="J479" s="17">
        <f t="shared" si="12"/>
        <v>984</v>
      </c>
      <c r="K479" s="17"/>
      <c r="L479" s="16" t="s">
        <v>27</v>
      </c>
      <c r="M479" s="16" t="s">
        <v>22</v>
      </c>
      <c r="N479" s="39"/>
      <c r="O479" s="20"/>
    </row>
    <row r="480" spans="1:21" s="12" customFormat="1" ht="30.75" customHeight="1">
      <c r="A480" s="15" t="s">
        <v>95</v>
      </c>
      <c r="B480" s="75" t="s">
        <v>875</v>
      </c>
      <c r="C480" s="39" t="s">
        <v>17</v>
      </c>
      <c r="D480" s="140">
        <v>50</v>
      </c>
      <c r="E480" s="140"/>
      <c r="F480" s="140">
        <v>50</v>
      </c>
      <c r="G480" s="39"/>
      <c r="H480" s="40">
        <f>SUM(Tabla1326[[#This Row],[PRIMER TRIMESTRE]:[CUARTO TRIMESTRE]])</f>
        <v>100</v>
      </c>
      <c r="I480" s="17">
        <v>26.3</v>
      </c>
      <c r="J480" s="17">
        <f t="shared" si="12"/>
        <v>2630</v>
      </c>
      <c r="K480" s="17"/>
      <c r="L480" s="16" t="s">
        <v>27</v>
      </c>
      <c r="M480" s="16" t="s">
        <v>22</v>
      </c>
      <c r="N480" s="39"/>
      <c r="O480" s="20"/>
    </row>
    <row r="481" spans="1:21" s="12" customFormat="1">
      <c r="A481" s="15" t="s">
        <v>95</v>
      </c>
      <c r="B481" s="75" t="s">
        <v>876</v>
      </c>
      <c r="C481" s="39" t="s">
        <v>17</v>
      </c>
      <c r="D481" s="140">
        <v>50</v>
      </c>
      <c r="E481" s="140"/>
      <c r="F481" s="140">
        <v>50</v>
      </c>
      <c r="G481" s="39"/>
      <c r="H481" s="40">
        <f>SUM(Tabla1326[[#This Row],[PRIMER TRIMESTRE]:[CUARTO TRIMESTRE]])</f>
        <v>100</v>
      </c>
      <c r="I481" s="17">
        <v>60.07</v>
      </c>
      <c r="J481" s="17">
        <f t="shared" si="12"/>
        <v>6007</v>
      </c>
      <c r="K481" s="17"/>
      <c r="L481" s="16" t="s">
        <v>27</v>
      </c>
      <c r="M481" s="16" t="s">
        <v>22</v>
      </c>
      <c r="N481" s="39"/>
      <c r="O481" s="20"/>
    </row>
    <row r="482" spans="1:21" s="12" customFormat="1">
      <c r="A482" s="15" t="s">
        <v>95</v>
      </c>
      <c r="B482" s="75" t="s">
        <v>877</v>
      </c>
      <c r="C482" s="39" t="s">
        <v>17</v>
      </c>
      <c r="D482" s="140">
        <v>25</v>
      </c>
      <c r="E482" s="140"/>
      <c r="F482" s="140">
        <v>25</v>
      </c>
      <c r="G482" s="39"/>
      <c r="H482" s="40">
        <f>SUM(Tabla1326[[#This Row],[PRIMER TRIMESTRE]:[CUARTO TRIMESTRE]])</f>
        <v>50</v>
      </c>
      <c r="I482" s="17">
        <v>153.30000000000001</v>
      </c>
      <c r="J482" s="17">
        <f t="shared" si="12"/>
        <v>7665.0000000000009</v>
      </c>
      <c r="K482" s="17"/>
      <c r="L482" s="16" t="s">
        <v>27</v>
      </c>
      <c r="M482" s="16" t="s">
        <v>22</v>
      </c>
      <c r="N482" s="39"/>
      <c r="O482" s="20"/>
    </row>
    <row r="483" spans="1:21" s="12" customFormat="1">
      <c r="A483" s="15" t="s">
        <v>95</v>
      </c>
      <c r="B483" s="75" t="s">
        <v>878</v>
      </c>
      <c r="C483" s="39" t="s">
        <v>17</v>
      </c>
      <c r="D483" s="140">
        <v>25</v>
      </c>
      <c r="E483" s="140"/>
      <c r="F483" s="140">
        <v>25</v>
      </c>
      <c r="G483" s="39"/>
      <c r="H483" s="40">
        <f>SUM(Tabla1326[[#This Row],[PRIMER TRIMESTRE]:[CUARTO TRIMESTRE]])</f>
        <v>50</v>
      </c>
      <c r="I483" s="17">
        <v>169.36</v>
      </c>
      <c r="J483" s="17">
        <f t="shared" si="12"/>
        <v>8468</v>
      </c>
      <c r="K483" s="17"/>
      <c r="L483" s="16" t="s">
        <v>27</v>
      </c>
      <c r="M483" s="16" t="s">
        <v>22</v>
      </c>
      <c r="N483" s="39"/>
      <c r="O483" s="20"/>
    </row>
    <row r="484" spans="1:21" s="12" customFormat="1">
      <c r="A484" s="15" t="s">
        <v>95</v>
      </c>
      <c r="B484" s="75" t="s">
        <v>879</v>
      </c>
      <c r="C484" s="39" t="s">
        <v>17</v>
      </c>
      <c r="D484" s="140">
        <v>15</v>
      </c>
      <c r="E484" s="140"/>
      <c r="F484" s="140">
        <v>15</v>
      </c>
      <c r="G484" s="39"/>
      <c r="H484" s="40">
        <f>SUM(Tabla1326[[#This Row],[PRIMER TRIMESTRE]:[CUARTO TRIMESTRE]])</f>
        <v>30</v>
      </c>
      <c r="I484" s="17">
        <v>6948.2</v>
      </c>
      <c r="J484" s="17">
        <f>+H484*I484</f>
        <v>208446</v>
      </c>
      <c r="K484" s="17"/>
      <c r="L484" s="16" t="s">
        <v>27</v>
      </c>
      <c r="M484" s="16" t="s">
        <v>22</v>
      </c>
      <c r="N484" s="39"/>
      <c r="O484" s="20"/>
    </row>
    <row r="485" spans="1:21" s="12" customFormat="1">
      <c r="A485" s="15" t="s">
        <v>95</v>
      </c>
      <c r="B485" s="75" t="s">
        <v>880</v>
      </c>
      <c r="C485" s="39" t="s">
        <v>17</v>
      </c>
      <c r="D485" s="140">
        <v>40</v>
      </c>
      <c r="E485" s="140"/>
      <c r="F485" s="140">
        <v>40</v>
      </c>
      <c r="G485" s="39"/>
      <c r="H485" s="40">
        <f>SUM(Tabla1326[[#This Row],[PRIMER TRIMESTRE]:[CUARTO TRIMESTRE]])</f>
        <v>80</v>
      </c>
      <c r="I485" s="17">
        <v>14000</v>
      </c>
      <c r="J485" s="17">
        <f>+H485*I485</f>
        <v>1120000</v>
      </c>
      <c r="K485" s="17"/>
      <c r="L485" s="16" t="s">
        <v>27</v>
      </c>
      <c r="M485" s="16" t="s">
        <v>22</v>
      </c>
      <c r="N485" s="39"/>
      <c r="O485" s="20"/>
    </row>
    <row r="486" spans="1:21" s="12" customFormat="1">
      <c r="A486" s="15" t="s">
        <v>95</v>
      </c>
      <c r="B486" s="75" t="s">
        <v>882</v>
      </c>
      <c r="C486" s="39" t="s">
        <v>17</v>
      </c>
      <c r="D486" s="140">
        <v>30</v>
      </c>
      <c r="E486" s="140"/>
      <c r="F486" s="140">
        <v>30</v>
      </c>
      <c r="G486" s="39"/>
      <c r="H486" s="40">
        <f>SUM(Tabla1326[[#This Row],[PRIMER TRIMESTRE]:[CUARTO TRIMESTRE]])</f>
        <v>60</v>
      </c>
      <c r="I486" s="17">
        <v>477.41</v>
      </c>
      <c r="J486" s="17">
        <f t="shared" si="12"/>
        <v>28644.600000000002</v>
      </c>
      <c r="K486" s="17"/>
      <c r="L486" s="16" t="s">
        <v>27</v>
      </c>
      <c r="M486" s="16" t="s">
        <v>22</v>
      </c>
      <c r="N486" s="39"/>
      <c r="O486" s="20"/>
    </row>
    <row r="487" spans="1:21" s="12" customFormat="1">
      <c r="A487" s="15" t="s">
        <v>95</v>
      </c>
      <c r="B487" s="75" t="s">
        <v>883</v>
      </c>
      <c r="C487" s="39" t="s">
        <v>17</v>
      </c>
      <c r="D487" s="140">
        <v>20</v>
      </c>
      <c r="E487" s="140"/>
      <c r="F487" s="140">
        <v>20</v>
      </c>
      <c r="G487" s="39"/>
      <c r="H487" s="40">
        <f>SUM(Tabla1326[[#This Row],[PRIMER TRIMESTRE]:[CUARTO TRIMESTRE]])</f>
        <v>40</v>
      </c>
      <c r="I487" s="17">
        <v>223.74</v>
      </c>
      <c r="J487" s="17">
        <f t="shared" si="12"/>
        <v>8949.6</v>
      </c>
      <c r="K487" s="17"/>
      <c r="L487" s="16" t="s">
        <v>27</v>
      </c>
      <c r="M487" s="16" t="s">
        <v>22</v>
      </c>
      <c r="N487" s="39"/>
      <c r="O487" s="20"/>
    </row>
    <row r="488" spans="1:21" s="12" customFormat="1" ht="25.5">
      <c r="A488" s="15" t="s">
        <v>95</v>
      </c>
      <c r="B488" s="75" t="s">
        <v>884</v>
      </c>
      <c r="C488" s="39" t="s">
        <v>17</v>
      </c>
      <c r="D488" s="140">
        <v>50</v>
      </c>
      <c r="E488" s="140"/>
      <c r="F488" s="140">
        <v>50</v>
      </c>
      <c r="G488" s="39"/>
      <c r="H488" s="40">
        <f>SUM(Tabla1326[[#This Row],[PRIMER TRIMESTRE]:[CUARTO TRIMESTRE]])</f>
        <v>100</v>
      </c>
      <c r="I488" s="17">
        <v>562.6</v>
      </c>
      <c r="J488" s="17">
        <f t="shared" si="12"/>
        <v>56260</v>
      </c>
      <c r="K488" s="17"/>
      <c r="L488" s="16" t="s">
        <v>27</v>
      </c>
      <c r="M488" s="16" t="s">
        <v>22</v>
      </c>
      <c r="N488" s="39"/>
      <c r="O488" s="20"/>
    </row>
    <row r="489" spans="1:21" s="12" customFormat="1">
      <c r="A489" s="15" t="s">
        <v>95</v>
      </c>
      <c r="B489" s="75" t="s">
        <v>885</v>
      </c>
      <c r="C489" s="39" t="s">
        <v>344</v>
      </c>
      <c r="D489" s="140">
        <v>100</v>
      </c>
      <c r="E489" s="140"/>
      <c r="F489" s="140">
        <v>100</v>
      </c>
      <c r="G489" s="39"/>
      <c r="H489" s="40">
        <f>SUM(Tabla1326[[#This Row],[PRIMER TRIMESTRE]:[CUARTO TRIMESTRE]])</f>
        <v>200</v>
      </c>
      <c r="I489" s="17">
        <v>572</v>
      </c>
      <c r="J489" s="17">
        <f t="shared" si="12"/>
        <v>114400</v>
      </c>
      <c r="K489" s="17"/>
      <c r="L489" s="16" t="s">
        <v>27</v>
      </c>
      <c r="M489" s="16" t="s">
        <v>22</v>
      </c>
      <c r="N489" s="39"/>
      <c r="O489" s="20"/>
    </row>
    <row r="490" spans="1:21" s="12" customFormat="1">
      <c r="A490" s="15" t="s">
        <v>95</v>
      </c>
      <c r="B490" s="75" t="s">
        <v>886</v>
      </c>
      <c r="C490" s="39" t="s">
        <v>344</v>
      </c>
      <c r="D490" s="140">
        <v>100</v>
      </c>
      <c r="E490" s="140"/>
      <c r="F490" s="140">
        <v>100</v>
      </c>
      <c r="G490" s="39"/>
      <c r="H490" s="40">
        <f>SUM(Tabla1326[[#This Row],[PRIMER TRIMESTRE]:[CUARTO TRIMESTRE]])</f>
        <v>200</v>
      </c>
      <c r="I490" s="17">
        <v>1216</v>
      </c>
      <c r="J490" s="17">
        <f t="shared" si="12"/>
        <v>243200</v>
      </c>
      <c r="K490" s="17"/>
      <c r="L490" s="16" t="s">
        <v>27</v>
      </c>
      <c r="M490" s="16" t="s">
        <v>22</v>
      </c>
      <c r="N490" s="39"/>
      <c r="O490" s="20"/>
    </row>
    <row r="491" spans="1:21" s="12" customFormat="1">
      <c r="A491" s="15" t="s">
        <v>95</v>
      </c>
      <c r="B491" s="75" t="s">
        <v>887</v>
      </c>
      <c r="C491" s="39" t="s">
        <v>344</v>
      </c>
      <c r="D491" s="140">
        <v>100</v>
      </c>
      <c r="E491" s="140"/>
      <c r="F491" s="140">
        <v>100</v>
      </c>
      <c r="G491" s="39"/>
      <c r="H491" s="40">
        <f>SUM(Tabla1326[[#This Row],[PRIMER TRIMESTRE]:[CUARTO TRIMESTRE]])</f>
        <v>200</v>
      </c>
      <c r="I491" s="17">
        <v>1860</v>
      </c>
      <c r="J491" s="17">
        <f t="shared" si="12"/>
        <v>372000</v>
      </c>
      <c r="K491" s="17"/>
      <c r="L491" s="16" t="s">
        <v>27</v>
      </c>
      <c r="M491" s="16" t="s">
        <v>22</v>
      </c>
      <c r="N491" s="39"/>
      <c r="O491" s="20"/>
    </row>
    <row r="492" spans="1:21" s="12" customFormat="1">
      <c r="A492" s="15" t="s">
        <v>95</v>
      </c>
      <c r="B492" s="75" t="s">
        <v>888</v>
      </c>
      <c r="C492" s="39" t="s">
        <v>344</v>
      </c>
      <c r="D492" s="140">
        <v>100</v>
      </c>
      <c r="E492" s="140"/>
      <c r="F492" s="140">
        <v>100</v>
      </c>
      <c r="G492" s="39"/>
      <c r="H492" s="40">
        <f>SUM(Tabla1326[[#This Row],[PRIMER TRIMESTRE]:[CUARTO TRIMESTRE]])</f>
        <v>200</v>
      </c>
      <c r="I492" s="17">
        <v>406</v>
      </c>
      <c r="J492" s="17">
        <f t="shared" si="12"/>
        <v>81200</v>
      </c>
      <c r="K492" s="17"/>
      <c r="L492" s="16" t="s">
        <v>27</v>
      </c>
      <c r="M492" s="16" t="s">
        <v>22</v>
      </c>
      <c r="N492" s="39"/>
      <c r="O492" s="20"/>
    </row>
    <row r="493" spans="1:21" s="26" customFormat="1" ht="44.25" customHeight="1">
      <c r="A493" s="22" t="s">
        <v>95</v>
      </c>
      <c r="B493" s="76"/>
      <c r="C493" s="42"/>
      <c r="D493" s="42"/>
      <c r="E493" s="42"/>
      <c r="F493" s="42"/>
      <c r="G493" s="42"/>
      <c r="H493" s="43"/>
      <c r="I493" s="24"/>
      <c r="J493" s="24"/>
      <c r="K493" s="25">
        <f>SUM(J472:J492)</f>
        <v>4141192.2</v>
      </c>
      <c r="L493" s="23"/>
      <c r="M493" s="23"/>
      <c r="N493" s="42"/>
      <c r="O493" s="24"/>
      <c r="R493" s="27"/>
      <c r="U493" s="23"/>
    </row>
    <row r="494" spans="1:21" s="12" customFormat="1">
      <c r="A494" s="15" t="s">
        <v>97</v>
      </c>
      <c r="B494" s="75" t="s">
        <v>227</v>
      </c>
      <c r="C494" s="39" t="s">
        <v>17</v>
      </c>
      <c r="D494" s="140">
        <v>40</v>
      </c>
      <c r="E494" s="140"/>
      <c r="F494" s="140">
        <v>40</v>
      </c>
      <c r="G494" s="140"/>
      <c r="H494" s="40">
        <f>SUM(Tabla1326[[#This Row],[PRIMER TRIMESTRE]:[CUARTO TRIMESTRE]])</f>
        <v>80</v>
      </c>
      <c r="I494" s="17">
        <v>110.2</v>
      </c>
      <c r="J494" s="17">
        <f>+Tabla1326[[#This Row],[CANTIDAD TOTAL]]*Tabla1326[[#This Row],[PRECIO UNITARIO ESTIMADO]]</f>
        <v>8816</v>
      </c>
      <c r="K494" s="17"/>
      <c r="L494" s="16" t="s">
        <v>27</v>
      </c>
      <c r="M494" s="16" t="s">
        <v>22</v>
      </c>
      <c r="N494" s="39"/>
      <c r="O494" s="20"/>
    </row>
    <row r="495" spans="1:21" s="12" customFormat="1">
      <c r="A495" s="15" t="s">
        <v>97</v>
      </c>
      <c r="B495" s="75" t="s">
        <v>228</v>
      </c>
      <c r="C495" s="39" t="s">
        <v>17</v>
      </c>
      <c r="D495" s="140">
        <v>100</v>
      </c>
      <c r="E495" s="140"/>
      <c r="F495" s="140">
        <v>100</v>
      </c>
      <c r="G495" s="140"/>
      <c r="H495" s="40">
        <f>SUM(Tabla1326[[#This Row],[PRIMER TRIMESTRE]:[CUARTO TRIMESTRE]])</f>
        <v>200</v>
      </c>
      <c r="I495" s="17">
        <v>156.5</v>
      </c>
      <c r="J495" s="17">
        <f>+Tabla1326[[#This Row],[CANTIDAD TOTAL]]*Tabla1326[[#This Row],[PRECIO UNITARIO ESTIMADO]]</f>
        <v>31300</v>
      </c>
      <c r="K495" s="17"/>
      <c r="L495" s="16" t="s">
        <v>27</v>
      </c>
      <c r="M495" s="16" t="s">
        <v>22</v>
      </c>
      <c r="N495" s="39"/>
      <c r="O495" s="20"/>
    </row>
    <row r="496" spans="1:21" s="12" customFormat="1" ht="19.5" customHeight="1">
      <c r="A496" s="15" t="s">
        <v>97</v>
      </c>
      <c r="B496" s="75" t="s">
        <v>572</v>
      </c>
      <c r="C496" s="39" t="s">
        <v>17</v>
      </c>
      <c r="D496" s="140">
        <v>11</v>
      </c>
      <c r="E496" s="140"/>
      <c r="F496" s="140">
        <v>10</v>
      </c>
      <c r="G496" s="140"/>
      <c r="H496" s="40">
        <f>SUM(Tabla1326[[#This Row],[PRIMER TRIMESTRE]:[CUARTO TRIMESTRE]])</f>
        <v>21</v>
      </c>
      <c r="I496" s="17">
        <v>14500</v>
      </c>
      <c r="J496" s="17">
        <f>+H496*I496</f>
        <v>304500</v>
      </c>
      <c r="K496" s="17"/>
      <c r="L496" s="16" t="s">
        <v>27</v>
      </c>
      <c r="M496" s="30" t="s">
        <v>22</v>
      </c>
      <c r="N496" s="44"/>
      <c r="O496" s="20"/>
    </row>
    <row r="497" spans="1:15" s="12" customFormat="1" ht="34.5" customHeight="1">
      <c r="A497" s="15" t="s">
        <v>97</v>
      </c>
      <c r="B497" s="75" t="s">
        <v>220</v>
      </c>
      <c r="C497" s="39" t="s">
        <v>17</v>
      </c>
      <c r="D497" s="140">
        <v>1</v>
      </c>
      <c r="E497" s="140"/>
      <c r="F497" s="140">
        <v>1</v>
      </c>
      <c r="G497" s="140"/>
      <c r="H497" s="40">
        <f>SUM(Tabla1326[[#This Row],[PRIMER TRIMESTRE]:[CUARTO TRIMESTRE]])</f>
        <v>2</v>
      </c>
      <c r="I497" s="17">
        <v>40165</v>
      </c>
      <c r="J497" s="17">
        <f>+Tabla1326[[#This Row],[CANTIDAD TOTAL]]*Tabla1326[[#This Row],[PRECIO UNITARIO ESTIMADO]]</f>
        <v>80330</v>
      </c>
      <c r="K497" s="17"/>
      <c r="L497" s="16" t="s">
        <v>27</v>
      </c>
      <c r="M497" s="16" t="s">
        <v>22</v>
      </c>
      <c r="N497" s="39"/>
      <c r="O497" s="20"/>
    </row>
    <row r="498" spans="1:15" s="12" customFormat="1">
      <c r="A498" s="15" t="s">
        <v>97</v>
      </c>
      <c r="B498" s="75" t="s">
        <v>213</v>
      </c>
      <c r="C498" s="39" t="s">
        <v>17</v>
      </c>
      <c r="D498" s="140">
        <v>4</v>
      </c>
      <c r="E498" s="140"/>
      <c r="F498" s="140">
        <v>4</v>
      </c>
      <c r="G498" s="140"/>
      <c r="H498" s="40">
        <f>SUM(Tabla1326[[#This Row],[PRIMER TRIMESTRE]:[CUARTO TRIMESTRE]])</f>
        <v>8</v>
      </c>
      <c r="I498" s="17">
        <v>30999.38</v>
      </c>
      <c r="J498" s="17">
        <f>+Tabla1326[[#This Row],[CANTIDAD TOTAL]]*Tabla1326[[#This Row],[PRECIO UNITARIO ESTIMADO]]</f>
        <v>247995.04</v>
      </c>
      <c r="K498" s="17"/>
      <c r="L498" s="16" t="s">
        <v>27</v>
      </c>
      <c r="M498" s="16" t="s">
        <v>22</v>
      </c>
      <c r="N498" s="39"/>
      <c r="O498" s="20"/>
    </row>
    <row r="499" spans="1:15" s="12" customFormat="1">
      <c r="A499" s="15" t="s">
        <v>97</v>
      </c>
      <c r="B499" s="75" t="s">
        <v>226</v>
      </c>
      <c r="C499" s="39" t="s">
        <v>17</v>
      </c>
      <c r="D499" s="140">
        <v>3</v>
      </c>
      <c r="E499" s="140"/>
      <c r="F499" s="140">
        <v>4</v>
      </c>
      <c r="G499" s="140"/>
      <c r="H499" s="40">
        <f>SUM(Tabla1326[[#This Row],[PRIMER TRIMESTRE]:[CUARTO TRIMESTRE]])</f>
        <v>7</v>
      </c>
      <c r="I499" s="17">
        <v>14929.2</v>
      </c>
      <c r="J499" s="17">
        <f>+Tabla1326[[#This Row],[CANTIDAD TOTAL]]*Tabla1326[[#This Row],[PRECIO UNITARIO ESTIMADO]]</f>
        <v>104504.40000000001</v>
      </c>
      <c r="K499" s="17"/>
      <c r="L499" s="16" t="s">
        <v>27</v>
      </c>
      <c r="M499" s="16" t="s">
        <v>22</v>
      </c>
      <c r="N499" s="39"/>
      <c r="O499" s="20"/>
    </row>
    <row r="500" spans="1:15" s="12" customFormat="1" ht="20.25" customHeight="1">
      <c r="A500" s="15" t="s">
        <v>97</v>
      </c>
      <c r="B500" s="75" t="s">
        <v>229</v>
      </c>
      <c r="C500" s="39" t="s">
        <v>17</v>
      </c>
      <c r="D500" s="140">
        <v>30</v>
      </c>
      <c r="E500" s="140"/>
      <c r="F500" s="140">
        <v>30</v>
      </c>
      <c r="G500" s="140"/>
      <c r="H500" s="40">
        <f>SUM(Tabla1326[[#This Row],[PRIMER TRIMESTRE]:[CUARTO TRIMESTRE]])</f>
        <v>60</v>
      </c>
      <c r="I500" s="17">
        <v>3040.44</v>
      </c>
      <c r="J500" s="17">
        <f>+Tabla1326[[#This Row],[CANTIDAD TOTAL]]*Tabla1326[[#This Row],[PRECIO UNITARIO ESTIMADO]]</f>
        <v>182426.4</v>
      </c>
      <c r="K500" s="17"/>
      <c r="L500" s="16" t="s">
        <v>27</v>
      </c>
      <c r="M500" s="16" t="s">
        <v>22</v>
      </c>
      <c r="N500" s="39"/>
      <c r="O500" s="20"/>
    </row>
    <row r="501" spans="1:15" s="12" customFormat="1" ht="34.5" customHeight="1">
      <c r="A501" s="15" t="s">
        <v>97</v>
      </c>
      <c r="B501" s="75" t="s">
        <v>772</v>
      </c>
      <c r="C501" s="39" t="s">
        <v>17</v>
      </c>
      <c r="D501" s="140">
        <v>30</v>
      </c>
      <c r="E501" s="140"/>
      <c r="F501" s="140">
        <v>30</v>
      </c>
      <c r="G501" s="140"/>
      <c r="H501" s="40">
        <f>SUM(Tabla1326[[#This Row],[PRIMER TRIMESTRE]:[CUARTO TRIMESTRE]])</f>
        <v>60</v>
      </c>
      <c r="I501" s="72">
        <v>3428.95</v>
      </c>
      <c r="J501" s="17">
        <f>+H501*I501</f>
        <v>205737</v>
      </c>
      <c r="K501" s="17"/>
      <c r="L501" s="16" t="s">
        <v>27</v>
      </c>
      <c r="M501" s="16" t="s">
        <v>22</v>
      </c>
      <c r="N501" s="39"/>
      <c r="O501" s="18"/>
    </row>
    <row r="502" spans="1:15" s="12" customFormat="1" ht="27.75" customHeight="1">
      <c r="A502" s="15" t="s">
        <v>97</v>
      </c>
      <c r="B502" s="75" t="s">
        <v>770</v>
      </c>
      <c r="C502" s="39" t="s">
        <v>17</v>
      </c>
      <c r="D502" s="140">
        <v>20</v>
      </c>
      <c r="E502" s="140"/>
      <c r="F502" s="140">
        <v>20</v>
      </c>
      <c r="G502" s="140"/>
      <c r="H502" s="40">
        <f>SUM(Tabla1326[[#This Row],[PRIMER TRIMESTRE]:[CUARTO TRIMESTRE]])</f>
        <v>40</v>
      </c>
      <c r="I502" s="17">
        <v>12528</v>
      </c>
      <c r="J502" s="17">
        <f>+Tabla1326[[#This Row],[CANTIDAD TOTAL]]*Tabla1326[[#This Row],[PRECIO UNITARIO ESTIMADO]]</f>
        <v>501120</v>
      </c>
      <c r="K502" s="17"/>
      <c r="L502" s="16" t="s">
        <v>27</v>
      </c>
      <c r="M502" s="16" t="s">
        <v>22</v>
      </c>
      <c r="N502" s="39"/>
      <c r="O502" s="20"/>
    </row>
    <row r="503" spans="1:15" s="12" customFormat="1" ht="27.75" customHeight="1">
      <c r="A503" s="15" t="s">
        <v>97</v>
      </c>
      <c r="B503" s="75" t="s">
        <v>771</v>
      </c>
      <c r="C503" s="39" t="s">
        <v>17</v>
      </c>
      <c r="D503" s="140">
        <v>15</v>
      </c>
      <c r="E503" s="140"/>
      <c r="F503" s="140">
        <v>15</v>
      </c>
      <c r="G503" s="140"/>
      <c r="H503" s="40">
        <f>SUM(Tabla1326[[#This Row],[PRIMER TRIMESTRE]:[CUARTO TRIMESTRE]])</f>
        <v>30</v>
      </c>
      <c r="I503" s="72">
        <v>42303</v>
      </c>
      <c r="J503" s="17">
        <f>+H503*I503</f>
        <v>1269090</v>
      </c>
      <c r="K503" s="17"/>
      <c r="L503" s="16" t="s">
        <v>27</v>
      </c>
      <c r="M503" s="16" t="s">
        <v>22</v>
      </c>
      <c r="N503" s="39"/>
      <c r="O503" s="18"/>
    </row>
    <row r="504" spans="1:15" s="12" customFormat="1" ht="26.25" customHeight="1">
      <c r="A504" s="15" t="s">
        <v>97</v>
      </c>
      <c r="B504" s="75" t="s">
        <v>212</v>
      </c>
      <c r="C504" s="39" t="s">
        <v>17</v>
      </c>
      <c r="D504" s="140">
        <v>1</v>
      </c>
      <c r="E504" s="140"/>
      <c r="F504" s="140"/>
      <c r="G504" s="140"/>
      <c r="H504" s="40">
        <f>SUM(Tabla1326[[#This Row],[PRIMER TRIMESTRE]:[CUARTO TRIMESTRE]])</f>
        <v>1</v>
      </c>
      <c r="I504" s="17">
        <v>280500</v>
      </c>
      <c r="J504" s="17">
        <f>+Tabla1326[[#This Row],[CANTIDAD TOTAL]]*Tabla1326[[#This Row],[PRECIO UNITARIO ESTIMADO]]</f>
        <v>280500</v>
      </c>
      <c r="K504" s="17"/>
      <c r="L504" s="16" t="s">
        <v>27</v>
      </c>
      <c r="M504" s="16" t="s">
        <v>22</v>
      </c>
      <c r="N504" s="39"/>
      <c r="O504" s="20"/>
    </row>
    <row r="505" spans="1:15" s="12" customFormat="1">
      <c r="A505" s="15" t="s">
        <v>97</v>
      </c>
      <c r="B505" s="75" t="s">
        <v>214</v>
      </c>
      <c r="C505" s="39" t="s">
        <v>17</v>
      </c>
      <c r="D505" s="140">
        <v>1</v>
      </c>
      <c r="E505" s="140"/>
      <c r="F505" s="140">
        <v>1</v>
      </c>
      <c r="G505" s="140"/>
      <c r="H505" s="40">
        <f>SUM(Tabla1326[[#This Row],[PRIMER TRIMESTRE]:[CUARTO TRIMESTRE]])</f>
        <v>2</v>
      </c>
      <c r="I505" s="17">
        <v>62762.6</v>
      </c>
      <c r="J505" s="17">
        <f>+Tabla1326[[#This Row],[CANTIDAD TOTAL]]*Tabla1326[[#This Row],[PRECIO UNITARIO ESTIMADO]]</f>
        <v>125525.2</v>
      </c>
      <c r="K505" s="17"/>
      <c r="L505" s="16" t="s">
        <v>27</v>
      </c>
      <c r="M505" s="16" t="s">
        <v>22</v>
      </c>
      <c r="N505" s="39"/>
      <c r="O505" s="20"/>
    </row>
    <row r="506" spans="1:15" s="12" customFormat="1">
      <c r="A506" s="15" t="s">
        <v>97</v>
      </c>
      <c r="B506" s="75" t="s">
        <v>215</v>
      </c>
      <c r="C506" s="39" t="s">
        <v>17</v>
      </c>
      <c r="D506" s="140">
        <v>6</v>
      </c>
      <c r="E506" s="140"/>
      <c r="F506" s="140">
        <v>5</v>
      </c>
      <c r="G506" s="140"/>
      <c r="H506" s="40">
        <f>SUM(Tabla1326[[#This Row],[PRIMER TRIMESTRE]:[CUARTO TRIMESTRE]])</f>
        <v>11</v>
      </c>
      <c r="I506" s="17">
        <v>14453.6</v>
      </c>
      <c r="J506" s="17">
        <f>+Tabla1326[[#This Row],[CANTIDAD TOTAL]]*Tabla1326[[#This Row],[PRECIO UNITARIO ESTIMADO]]</f>
        <v>158989.6</v>
      </c>
      <c r="K506" s="17"/>
      <c r="L506" s="16" t="s">
        <v>27</v>
      </c>
      <c r="M506" s="16" t="s">
        <v>22</v>
      </c>
      <c r="N506" s="39"/>
      <c r="O506" s="20"/>
    </row>
    <row r="507" spans="1:15" s="12" customFormat="1">
      <c r="A507" s="15" t="s">
        <v>97</v>
      </c>
      <c r="B507" s="75" t="s">
        <v>216</v>
      </c>
      <c r="C507" s="39" t="s">
        <v>17</v>
      </c>
      <c r="D507" s="140">
        <v>1</v>
      </c>
      <c r="E507" s="140"/>
      <c r="F507" s="140"/>
      <c r="G507" s="140"/>
      <c r="H507" s="40">
        <f>SUM(Tabla1326[[#This Row],[PRIMER TRIMESTRE]:[CUARTO TRIMESTRE]])</f>
        <v>1</v>
      </c>
      <c r="I507" s="17">
        <v>58701.8</v>
      </c>
      <c r="J507" s="17">
        <f>+Tabla1326[[#This Row],[CANTIDAD TOTAL]]*Tabla1326[[#This Row],[PRECIO UNITARIO ESTIMADO]]</f>
        <v>58701.8</v>
      </c>
      <c r="K507" s="17"/>
      <c r="L507" s="16" t="s">
        <v>27</v>
      </c>
      <c r="M507" s="16" t="s">
        <v>22</v>
      </c>
      <c r="N507" s="39"/>
      <c r="O507" s="20"/>
    </row>
    <row r="508" spans="1:15" s="12" customFormat="1" ht="34.5" customHeight="1">
      <c r="A508" s="15" t="s">
        <v>97</v>
      </c>
      <c r="B508" s="75" t="s">
        <v>217</v>
      </c>
      <c r="C508" s="39" t="s">
        <v>17</v>
      </c>
      <c r="D508" s="140">
        <v>1</v>
      </c>
      <c r="E508" s="140"/>
      <c r="F508" s="140">
        <v>1</v>
      </c>
      <c r="G508" s="140"/>
      <c r="H508" s="40">
        <f>SUM(Tabla1326[[#This Row],[PRIMER TRIMESTRE]:[CUARTO TRIMESTRE]])</f>
        <v>2</v>
      </c>
      <c r="I508" s="17">
        <v>36540</v>
      </c>
      <c r="J508" s="17">
        <f>+Tabla1326[[#This Row],[CANTIDAD TOTAL]]*Tabla1326[[#This Row],[PRECIO UNITARIO ESTIMADO]]</f>
        <v>73080</v>
      </c>
      <c r="K508" s="17"/>
      <c r="L508" s="16" t="s">
        <v>27</v>
      </c>
      <c r="M508" s="16" t="s">
        <v>22</v>
      </c>
      <c r="N508" s="39"/>
      <c r="O508" s="20"/>
    </row>
    <row r="509" spans="1:15" s="12" customFormat="1" ht="34.5" customHeight="1">
      <c r="A509" s="15" t="s">
        <v>97</v>
      </c>
      <c r="B509" s="75" t="s">
        <v>218</v>
      </c>
      <c r="C509" s="39" t="s">
        <v>17</v>
      </c>
      <c r="D509" s="140">
        <v>1</v>
      </c>
      <c r="E509" s="140"/>
      <c r="F509" s="140"/>
      <c r="G509" s="140"/>
      <c r="H509" s="40">
        <f>SUM(Tabla1326[[#This Row],[PRIMER TRIMESTRE]:[CUARTO TRIMESTRE]])</f>
        <v>1</v>
      </c>
      <c r="I509" s="17">
        <v>60262</v>
      </c>
      <c r="J509" s="17">
        <f>+Tabla1326[[#This Row],[CANTIDAD TOTAL]]*Tabla1326[[#This Row],[PRECIO UNITARIO ESTIMADO]]</f>
        <v>60262</v>
      </c>
      <c r="K509" s="17"/>
      <c r="L509" s="16" t="s">
        <v>27</v>
      </c>
      <c r="M509" s="16" t="s">
        <v>22</v>
      </c>
      <c r="N509" s="39"/>
      <c r="O509" s="20"/>
    </row>
    <row r="510" spans="1:15" s="12" customFormat="1" ht="34.5" customHeight="1">
      <c r="A510" s="15" t="s">
        <v>97</v>
      </c>
      <c r="B510" s="75" t="s">
        <v>219</v>
      </c>
      <c r="C510" s="39" t="s">
        <v>17</v>
      </c>
      <c r="D510" s="140">
        <v>1</v>
      </c>
      <c r="E510" s="140"/>
      <c r="F510" s="140">
        <v>2</v>
      </c>
      <c r="G510" s="140"/>
      <c r="H510" s="40">
        <f>SUM(Tabla1326[[#This Row],[PRIMER TRIMESTRE]:[CUARTO TRIMESTRE]])</f>
        <v>3</v>
      </c>
      <c r="I510" s="17">
        <v>59757.4</v>
      </c>
      <c r="J510" s="17">
        <f>+Tabla1326[[#This Row],[CANTIDAD TOTAL]]*Tabla1326[[#This Row],[PRECIO UNITARIO ESTIMADO]]</f>
        <v>179272.2</v>
      </c>
      <c r="K510" s="17"/>
      <c r="L510" s="16" t="s">
        <v>27</v>
      </c>
      <c r="M510" s="16" t="s">
        <v>22</v>
      </c>
      <c r="N510" s="39"/>
      <c r="O510" s="20"/>
    </row>
    <row r="511" spans="1:15" s="12" customFormat="1" ht="34.5" customHeight="1">
      <c r="A511" s="15" t="s">
        <v>97</v>
      </c>
      <c r="B511" s="75" t="s">
        <v>317</v>
      </c>
      <c r="C511" s="44" t="s">
        <v>17</v>
      </c>
      <c r="D511" s="140">
        <v>2</v>
      </c>
      <c r="E511" s="140"/>
      <c r="F511" s="140">
        <v>2</v>
      </c>
      <c r="G511" s="140"/>
      <c r="H511" s="40">
        <f>SUM(Tabla1326[[#This Row],[PRIMER TRIMESTRE]:[CUARTO TRIMESTRE]])</f>
        <v>4</v>
      </c>
      <c r="I511" s="17">
        <f>1252664.4/5</f>
        <v>250532.87999999998</v>
      </c>
      <c r="J511" s="17">
        <f>+Tabla1326[[#This Row],[CANTIDAD TOTAL]]*Tabla1326[[#This Row],[PRECIO UNITARIO ESTIMADO]]</f>
        <v>1002131.5199999999</v>
      </c>
      <c r="K511" s="17"/>
      <c r="L511" s="16" t="s">
        <v>27</v>
      </c>
      <c r="M511" s="30" t="s">
        <v>22</v>
      </c>
      <c r="N511" s="44"/>
      <c r="O511" s="20"/>
    </row>
    <row r="512" spans="1:15" s="12" customFormat="1" ht="34.5" customHeight="1">
      <c r="A512" s="15" t="s">
        <v>97</v>
      </c>
      <c r="B512" s="75" t="s">
        <v>221</v>
      </c>
      <c r="C512" s="39" t="s">
        <v>17</v>
      </c>
      <c r="D512" s="140">
        <v>1</v>
      </c>
      <c r="E512" s="140"/>
      <c r="F512" s="140">
        <v>1</v>
      </c>
      <c r="G512" s="140"/>
      <c r="H512" s="40">
        <f>SUM(Tabla1326[[#This Row],[PRIMER TRIMESTRE]:[CUARTO TRIMESTRE]])</f>
        <v>2</v>
      </c>
      <c r="I512" s="17">
        <v>100060.44</v>
      </c>
      <c r="J512" s="17">
        <f>+Tabla1326[[#This Row],[CANTIDAD TOTAL]]*Tabla1326[[#This Row],[PRECIO UNITARIO ESTIMADO]]</f>
        <v>200120.88</v>
      </c>
      <c r="K512" s="17"/>
      <c r="L512" s="16" t="s">
        <v>27</v>
      </c>
      <c r="M512" s="16" t="s">
        <v>22</v>
      </c>
      <c r="N512" s="39"/>
      <c r="O512" s="20"/>
    </row>
    <row r="513" spans="1:21" s="12" customFormat="1" ht="34.5" customHeight="1">
      <c r="A513" s="15" t="s">
        <v>97</v>
      </c>
      <c r="B513" s="75" t="s">
        <v>222</v>
      </c>
      <c r="C513" s="39" t="s">
        <v>17</v>
      </c>
      <c r="D513" s="140">
        <v>1</v>
      </c>
      <c r="E513" s="140"/>
      <c r="F513" s="140">
        <v>2</v>
      </c>
      <c r="G513" s="140"/>
      <c r="H513" s="40">
        <f>SUM(Tabla1326[[#This Row],[PRIMER TRIMESTRE]:[CUARTO TRIMESTRE]])</f>
        <v>3</v>
      </c>
      <c r="I513" s="17">
        <v>327948.84999999998</v>
      </c>
      <c r="J513" s="17">
        <f>+Tabla1326[[#This Row],[CANTIDAD TOTAL]]*Tabla1326[[#This Row],[PRECIO UNITARIO ESTIMADO]]</f>
        <v>983846.54999999993</v>
      </c>
      <c r="K513" s="17"/>
      <c r="L513" s="16" t="s">
        <v>27</v>
      </c>
      <c r="M513" s="16" t="s">
        <v>22</v>
      </c>
      <c r="N513" s="39"/>
      <c r="O513" s="20"/>
    </row>
    <row r="514" spans="1:21" s="12" customFormat="1" ht="34.5" customHeight="1">
      <c r="A514" s="15" t="s">
        <v>97</v>
      </c>
      <c r="B514" s="75" t="s">
        <v>223</v>
      </c>
      <c r="C514" s="39" t="s">
        <v>17</v>
      </c>
      <c r="D514" s="140">
        <v>1</v>
      </c>
      <c r="E514" s="140"/>
      <c r="F514" s="140">
        <v>3</v>
      </c>
      <c r="G514" s="140"/>
      <c r="H514" s="40">
        <f>SUM(Tabla1326[[#This Row],[PRIMER TRIMESTRE]:[CUARTO TRIMESTRE]])</f>
        <v>4</v>
      </c>
      <c r="I514" s="17">
        <v>16744.599999999999</v>
      </c>
      <c r="J514" s="17">
        <f>+Tabla1326[[#This Row],[CANTIDAD TOTAL]]*Tabla1326[[#This Row],[PRECIO UNITARIO ESTIMADO]]</f>
        <v>66978.399999999994</v>
      </c>
      <c r="K514" s="17"/>
      <c r="L514" s="16" t="s">
        <v>27</v>
      </c>
      <c r="M514" s="16" t="s">
        <v>22</v>
      </c>
      <c r="N514" s="39"/>
      <c r="O514" s="20"/>
    </row>
    <row r="515" spans="1:21" s="12" customFormat="1" ht="34.5" customHeight="1">
      <c r="A515" s="15" t="s">
        <v>97</v>
      </c>
      <c r="B515" s="75" t="s">
        <v>224</v>
      </c>
      <c r="C515" s="39" t="s">
        <v>17</v>
      </c>
      <c r="D515" s="140">
        <v>1</v>
      </c>
      <c r="E515" s="140"/>
      <c r="F515" s="140"/>
      <c r="G515" s="140"/>
      <c r="H515" s="40">
        <f>SUM(Tabla1326[[#This Row],[PRIMER TRIMESTRE]:[CUARTO TRIMESTRE]])</f>
        <v>1</v>
      </c>
      <c r="I515" s="17">
        <v>52380.2</v>
      </c>
      <c r="J515" s="17">
        <f>+Tabla1326[[#This Row],[CANTIDAD TOTAL]]*Tabla1326[[#This Row],[PRECIO UNITARIO ESTIMADO]]</f>
        <v>52380.2</v>
      </c>
      <c r="K515" s="17"/>
      <c r="L515" s="16" t="s">
        <v>27</v>
      </c>
      <c r="M515" s="16" t="s">
        <v>22</v>
      </c>
      <c r="N515" s="39"/>
      <c r="O515" s="20"/>
    </row>
    <row r="516" spans="1:21" s="12" customFormat="1">
      <c r="A516" s="15" t="s">
        <v>97</v>
      </c>
      <c r="B516" s="75" t="s">
        <v>225</v>
      </c>
      <c r="C516" s="39" t="s">
        <v>17</v>
      </c>
      <c r="D516" s="140">
        <v>1</v>
      </c>
      <c r="E516" s="140"/>
      <c r="F516" s="140"/>
      <c r="G516" s="140"/>
      <c r="H516" s="40">
        <f>SUM(Tabla1326[[#This Row],[PRIMER TRIMESTRE]:[CUARTO TRIMESTRE]])</f>
        <v>1</v>
      </c>
      <c r="I516" s="17">
        <v>99342.399999999994</v>
      </c>
      <c r="J516" s="17">
        <f>+Tabla1326[[#This Row],[CANTIDAD TOTAL]]*Tabla1326[[#This Row],[PRECIO UNITARIO ESTIMADO]]</f>
        <v>99342.399999999994</v>
      </c>
      <c r="K516" s="17"/>
      <c r="L516" s="16" t="s">
        <v>27</v>
      </c>
      <c r="M516" s="16" t="s">
        <v>22</v>
      </c>
      <c r="N516" s="39"/>
      <c r="O516" s="20"/>
    </row>
    <row r="517" spans="1:21" s="26" customFormat="1" ht="55.5" customHeight="1">
      <c r="A517" s="22" t="s">
        <v>97</v>
      </c>
      <c r="B517" s="76"/>
      <c r="C517" s="42"/>
      <c r="D517" s="42"/>
      <c r="E517" s="42"/>
      <c r="F517" s="42"/>
      <c r="G517" s="42"/>
      <c r="H517" s="43"/>
      <c r="I517" s="24"/>
      <c r="J517" s="24"/>
      <c r="K517" s="25">
        <f>SUM(J494:J516)</f>
        <v>6276949.5900000008</v>
      </c>
      <c r="L517" s="23"/>
      <c r="M517" s="23"/>
      <c r="N517" s="42"/>
      <c r="O517" s="24"/>
      <c r="R517" s="27"/>
      <c r="U517" s="23"/>
    </row>
    <row r="518" spans="1:21" s="12" customFormat="1" ht="31.5">
      <c r="A518" s="15" t="s">
        <v>99</v>
      </c>
      <c r="B518" s="75" t="s">
        <v>306</v>
      </c>
      <c r="C518" s="44" t="s">
        <v>33</v>
      </c>
      <c r="D518" s="39"/>
      <c r="E518" s="140">
        <v>90</v>
      </c>
      <c r="F518" s="39"/>
      <c r="G518" s="39"/>
      <c r="H518" s="40">
        <f>SUM(Tabla1326[[#This Row],[PRIMER TRIMESTRE]:[CUARTO TRIMESTRE]])</f>
        <v>90</v>
      </c>
      <c r="I518" s="17">
        <v>260</v>
      </c>
      <c r="J518" s="17">
        <f>+Tabla1326[[#This Row],[CANTIDAD TOTAL]]*Tabla1326[[#This Row],[PRECIO UNITARIO ESTIMADO]]</f>
        <v>23400</v>
      </c>
      <c r="K518" s="17"/>
      <c r="L518" s="16" t="s">
        <v>15</v>
      </c>
      <c r="M518" s="16" t="s">
        <v>22</v>
      </c>
      <c r="N518" s="39" t="s">
        <v>418</v>
      </c>
      <c r="O518" s="20"/>
    </row>
    <row r="519" spans="1:21" s="12" customFormat="1" ht="31.5">
      <c r="A519" s="15" t="s">
        <v>99</v>
      </c>
      <c r="B519" s="75" t="s">
        <v>307</v>
      </c>
      <c r="C519" s="44" t="s">
        <v>308</v>
      </c>
      <c r="D519" s="39"/>
      <c r="E519" s="140">
        <v>3</v>
      </c>
      <c r="F519" s="39"/>
      <c r="G519" s="39"/>
      <c r="H519" s="40">
        <f>SUM(Tabla1326[[#This Row],[PRIMER TRIMESTRE]:[CUARTO TRIMESTRE]])</f>
        <v>3</v>
      </c>
      <c r="I519" s="17">
        <v>1237.82</v>
      </c>
      <c r="J519" s="17">
        <f>+Tabla1326[[#This Row],[CANTIDAD TOTAL]]*Tabla1326[[#This Row],[PRECIO UNITARIO ESTIMADO]]</f>
        <v>3713.46</v>
      </c>
      <c r="K519" s="17"/>
      <c r="L519" s="16" t="s">
        <v>15</v>
      </c>
      <c r="M519" s="16" t="s">
        <v>22</v>
      </c>
      <c r="N519" s="39" t="s">
        <v>418</v>
      </c>
      <c r="O519" s="20"/>
    </row>
    <row r="520" spans="1:21" s="12" customFormat="1" ht="31.5">
      <c r="A520" s="15" t="s">
        <v>99</v>
      </c>
      <c r="B520" s="75" t="s">
        <v>309</v>
      </c>
      <c r="C520" s="44" t="s">
        <v>308</v>
      </c>
      <c r="D520" s="39"/>
      <c r="E520" s="140">
        <v>3</v>
      </c>
      <c r="F520" s="39"/>
      <c r="G520" s="39"/>
      <c r="H520" s="40">
        <f>SUM(Tabla1326[[#This Row],[PRIMER TRIMESTRE]:[CUARTO TRIMESTRE]])</f>
        <v>3</v>
      </c>
      <c r="I520" s="17">
        <v>1770</v>
      </c>
      <c r="J520" s="17">
        <f>+Tabla1326[[#This Row],[CANTIDAD TOTAL]]*Tabla1326[[#This Row],[PRECIO UNITARIO ESTIMADO]]</f>
        <v>5310</v>
      </c>
      <c r="K520" s="17"/>
      <c r="L520" s="16" t="s">
        <v>15</v>
      </c>
      <c r="M520" s="30" t="s">
        <v>22</v>
      </c>
      <c r="N520" s="39" t="s">
        <v>418</v>
      </c>
      <c r="O520" s="20"/>
    </row>
    <row r="521" spans="1:21" s="12" customFormat="1" ht="31.5">
      <c r="A521" s="15" t="s">
        <v>99</v>
      </c>
      <c r="B521" s="75" t="s">
        <v>230</v>
      </c>
      <c r="C521" s="39" t="s">
        <v>17</v>
      </c>
      <c r="D521" s="39"/>
      <c r="E521" s="140">
        <v>11</v>
      </c>
      <c r="F521" s="39"/>
      <c r="G521" s="39"/>
      <c r="H521" s="40">
        <f>SUM(Tabla1326[[#This Row],[PRIMER TRIMESTRE]:[CUARTO TRIMESTRE]])</f>
        <v>11</v>
      </c>
      <c r="I521" s="17">
        <v>1740</v>
      </c>
      <c r="J521" s="17">
        <f>+Tabla1326[[#This Row],[CANTIDAD TOTAL]]*Tabla1326[[#This Row],[PRECIO UNITARIO ESTIMADO]]</f>
        <v>19140</v>
      </c>
      <c r="K521" s="17"/>
      <c r="L521" s="16" t="s">
        <v>15</v>
      </c>
      <c r="M521" s="16" t="s">
        <v>22</v>
      </c>
      <c r="N521" s="39" t="s">
        <v>418</v>
      </c>
      <c r="O521" s="20"/>
    </row>
    <row r="522" spans="1:21" s="12" customFormat="1" ht="31.5">
      <c r="A522" s="15" t="s">
        <v>99</v>
      </c>
      <c r="B522" s="75" t="s">
        <v>310</v>
      </c>
      <c r="C522" s="44" t="s">
        <v>308</v>
      </c>
      <c r="D522" s="39"/>
      <c r="E522" s="140">
        <v>1</v>
      </c>
      <c r="F522" s="39"/>
      <c r="G522" s="39"/>
      <c r="H522" s="40">
        <f>SUM(Tabla1326[[#This Row],[PRIMER TRIMESTRE]:[CUARTO TRIMESTRE]])</f>
        <v>1</v>
      </c>
      <c r="I522" s="17">
        <v>1298</v>
      </c>
      <c r="J522" s="17">
        <f>+Tabla1326[[#This Row],[CANTIDAD TOTAL]]*Tabla1326[[#This Row],[PRECIO UNITARIO ESTIMADO]]</f>
        <v>1298</v>
      </c>
      <c r="K522" s="17"/>
      <c r="L522" s="16" t="s">
        <v>15</v>
      </c>
      <c r="M522" s="30" t="s">
        <v>22</v>
      </c>
      <c r="N522" s="39" t="s">
        <v>418</v>
      </c>
      <c r="O522" s="20"/>
    </row>
    <row r="523" spans="1:21" s="12" customFormat="1" ht="31.5">
      <c r="A523" s="15" t="s">
        <v>99</v>
      </c>
      <c r="B523" s="75" t="s">
        <v>311</v>
      </c>
      <c r="C523" s="44" t="s">
        <v>312</v>
      </c>
      <c r="D523" s="39"/>
      <c r="E523" s="140">
        <v>2</v>
      </c>
      <c r="F523" s="39"/>
      <c r="G523" s="39"/>
      <c r="H523" s="40">
        <f>SUM(Tabla1326[[#This Row],[PRIMER TRIMESTRE]:[CUARTO TRIMESTRE]])</f>
        <v>2</v>
      </c>
      <c r="I523" s="17">
        <v>3418.58</v>
      </c>
      <c r="J523" s="17">
        <f>+Tabla1326[[#This Row],[CANTIDAD TOTAL]]*Tabla1326[[#This Row],[PRECIO UNITARIO ESTIMADO]]</f>
        <v>6837.16</v>
      </c>
      <c r="K523" s="17"/>
      <c r="L523" s="16" t="s">
        <v>15</v>
      </c>
      <c r="M523" s="30" t="s">
        <v>22</v>
      </c>
      <c r="N523" s="39" t="s">
        <v>418</v>
      </c>
      <c r="O523" s="20"/>
    </row>
    <row r="524" spans="1:21" s="12" customFormat="1" ht="31.5">
      <c r="A524" s="15" t="s">
        <v>99</v>
      </c>
      <c r="B524" s="75" t="s">
        <v>314</v>
      </c>
      <c r="C524" s="44" t="s">
        <v>315</v>
      </c>
      <c r="D524" s="39"/>
      <c r="E524" s="140">
        <v>1</v>
      </c>
      <c r="F524" s="39"/>
      <c r="G524" s="39"/>
      <c r="H524" s="40">
        <f>SUM(Tabla1326[[#This Row],[PRIMER TRIMESTRE]:[CUARTO TRIMESTRE]])</f>
        <v>1</v>
      </c>
      <c r="I524" s="17">
        <v>1569.4</v>
      </c>
      <c r="J524" s="17">
        <f>+Tabla1326[[#This Row],[CANTIDAD TOTAL]]*Tabla1326[[#This Row],[PRECIO UNITARIO ESTIMADO]]</f>
        <v>1569.4</v>
      </c>
      <c r="K524" s="17"/>
      <c r="L524" s="16" t="s">
        <v>15</v>
      </c>
      <c r="M524" s="30" t="s">
        <v>22</v>
      </c>
      <c r="N524" s="39" t="s">
        <v>418</v>
      </c>
      <c r="O524" s="20"/>
    </row>
    <row r="525" spans="1:21" s="12" customFormat="1" ht="31.5">
      <c r="A525" s="15" t="s">
        <v>99</v>
      </c>
      <c r="B525" s="75" t="s">
        <v>313</v>
      </c>
      <c r="C525" s="44" t="s">
        <v>308</v>
      </c>
      <c r="D525" s="39"/>
      <c r="E525" s="140">
        <v>2</v>
      </c>
      <c r="F525" s="39"/>
      <c r="G525" s="39"/>
      <c r="H525" s="40">
        <f>SUM(Tabla1326[[#This Row],[PRIMER TRIMESTRE]:[CUARTO TRIMESTRE]])</f>
        <v>2</v>
      </c>
      <c r="I525" s="17">
        <v>3651.69</v>
      </c>
      <c r="J525" s="17">
        <f>+Tabla1326[[#This Row],[CANTIDAD TOTAL]]*Tabla1326[[#This Row],[PRECIO UNITARIO ESTIMADO]]</f>
        <v>7303.38</v>
      </c>
      <c r="K525" s="17"/>
      <c r="L525" s="16" t="s">
        <v>15</v>
      </c>
      <c r="M525" s="30" t="s">
        <v>22</v>
      </c>
      <c r="N525" s="39" t="s">
        <v>418</v>
      </c>
      <c r="O525" s="20"/>
    </row>
    <row r="526" spans="1:21" s="12" customFormat="1" ht="31.5">
      <c r="A526" s="15" t="s">
        <v>99</v>
      </c>
      <c r="B526" s="75" t="s">
        <v>231</v>
      </c>
      <c r="C526" s="39" t="s">
        <v>17</v>
      </c>
      <c r="D526" s="39"/>
      <c r="E526" s="140">
        <v>60</v>
      </c>
      <c r="F526" s="39"/>
      <c r="G526" s="39"/>
      <c r="H526" s="40">
        <f>SUM(Tabla1326[[#This Row],[PRIMER TRIMESTRE]:[CUARTO TRIMESTRE]])</f>
        <v>60</v>
      </c>
      <c r="I526" s="17">
        <v>574.20000000000005</v>
      </c>
      <c r="J526" s="17">
        <f>+Tabla1326[[#This Row],[CANTIDAD TOTAL]]*Tabla1326[[#This Row],[PRECIO UNITARIO ESTIMADO]]</f>
        <v>34452</v>
      </c>
      <c r="K526" s="17"/>
      <c r="L526" s="16" t="s">
        <v>15</v>
      </c>
      <c r="M526" s="16" t="s">
        <v>22</v>
      </c>
      <c r="N526" s="39" t="s">
        <v>418</v>
      </c>
      <c r="O526" s="20"/>
    </row>
    <row r="527" spans="1:21" s="12" customFormat="1" ht="31.5">
      <c r="A527" s="15" t="s">
        <v>99</v>
      </c>
      <c r="B527" s="75" t="s">
        <v>232</v>
      </c>
      <c r="C527" s="39" t="s">
        <v>17</v>
      </c>
      <c r="D527" s="39"/>
      <c r="E527" s="140">
        <v>30</v>
      </c>
      <c r="F527" s="39"/>
      <c r="G527" s="39"/>
      <c r="H527" s="40">
        <f>SUM(Tabla1326[[#This Row],[PRIMER TRIMESTRE]:[CUARTO TRIMESTRE]])</f>
        <v>30</v>
      </c>
      <c r="I527" s="17">
        <v>1035</v>
      </c>
      <c r="J527" s="17">
        <f>+Tabla1326[[#This Row],[CANTIDAD TOTAL]]*Tabla1326[[#This Row],[PRECIO UNITARIO ESTIMADO]]</f>
        <v>31050</v>
      </c>
      <c r="K527" s="17"/>
      <c r="L527" s="16" t="s">
        <v>15</v>
      </c>
      <c r="M527" s="16" t="s">
        <v>22</v>
      </c>
      <c r="N527" s="39" t="s">
        <v>418</v>
      </c>
      <c r="O527" s="20"/>
    </row>
    <row r="528" spans="1:21" s="26" customFormat="1" ht="27.75" customHeight="1">
      <c r="A528" s="22" t="s">
        <v>99</v>
      </c>
      <c r="B528" s="76"/>
      <c r="C528" s="42"/>
      <c r="D528" s="42"/>
      <c r="E528" s="42"/>
      <c r="F528" s="42"/>
      <c r="G528" s="42"/>
      <c r="H528" s="43"/>
      <c r="I528" s="24"/>
      <c r="J528" s="24"/>
      <c r="K528" s="25">
        <f>SUM(J518:J527)</f>
        <v>134073.4</v>
      </c>
      <c r="L528" s="23"/>
      <c r="M528" s="23"/>
      <c r="N528" s="42"/>
      <c r="O528" s="24"/>
      <c r="R528" s="27"/>
      <c r="U528" s="23"/>
    </row>
    <row r="529" spans="1:21" s="12" customFormat="1" ht="31.5">
      <c r="A529" s="15" t="s">
        <v>113</v>
      </c>
      <c r="B529" s="75" t="s">
        <v>236</v>
      </c>
      <c r="C529" s="39" t="s">
        <v>17</v>
      </c>
      <c r="D529" s="39"/>
      <c r="E529" s="140">
        <v>120</v>
      </c>
      <c r="F529" s="39"/>
      <c r="G529" s="39"/>
      <c r="H529" s="40">
        <f>SUM(Tabla1326[[#This Row],[PRIMER TRIMESTRE]:[CUARTO TRIMESTRE]])</f>
        <v>120</v>
      </c>
      <c r="I529" s="17">
        <v>806.2</v>
      </c>
      <c r="J529" s="17">
        <f>+Tabla1326[[#This Row],[CANTIDAD TOTAL]]*Tabla1326[[#This Row],[PRECIO UNITARIO ESTIMADO]]</f>
        <v>96744</v>
      </c>
      <c r="K529" s="17"/>
      <c r="L529" s="16" t="s">
        <v>15</v>
      </c>
      <c r="M529" s="16" t="s">
        <v>22</v>
      </c>
      <c r="N529" s="39" t="s">
        <v>418</v>
      </c>
      <c r="O529" s="20"/>
    </row>
    <row r="530" spans="1:21" s="12" customFormat="1" ht="31.5">
      <c r="A530" s="15" t="s">
        <v>113</v>
      </c>
      <c r="B530" s="75" t="s">
        <v>233</v>
      </c>
      <c r="C530" s="39" t="s">
        <v>234</v>
      </c>
      <c r="D530" s="39"/>
      <c r="E530" s="140">
        <v>1</v>
      </c>
      <c r="F530" s="39"/>
      <c r="G530" s="39"/>
      <c r="H530" s="40">
        <f>SUM(Tabla1326[[#This Row],[PRIMER TRIMESTRE]:[CUARTO TRIMESTRE]])</f>
        <v>1</v>
      </c>
      <c r="I530" s="17">
        <v>7099.2</v>
      </c>
      <c r="J530" s="17">
        <f>+Tabla1326[[#This Row],[CANTIDAD TOTAL]]*Tabla1326[[#This Row],[PRECIO UNITARIO ESTIMADO]]</f>
        <v>7099.2</v>
      </c>
      <c r="K530" s="17"/>
      <c r="L530" s="16" t="s">
        <v>15</v>
      </c>
      <c r="M530" s="16" t="s">
        <v>22</v>
      </c>
      <c r="N530" s="39" t="s">
        <v>418</v>
      </c>
      <c r="O530" s="20"/>
    </row>
    <row r="531" spans="1:21" s="12" customFormat="1" ht="31.5">
      <c r="A531" s="15" t="s">
        <v>113</v>
      </c>
      <c r="B531" s="75" t="s">
        <v>235</v>
      </c>
      <c r="C531" s="39" t="s">
        <v>69</v>
      </c>
      <c r="D531" s="39"/>
      <c r="E531" s="140">
        <v>200</v>
      </c>
      <c r="F531" s="39"/>
      <c r="G531" s="39"/>
      <c r="H531" s="40">
        <f>SUM(Tabla1326[[#This Row],[PRIMER TRIMESTRE]:[CUARTO TRIMESTRE]])</f>
        <v>200</v>
      </c>
      <c r="I531" s="17">
        <v>52.2</v>
      </c>
      <c r="J531" s="17">
        <f>+Tabla1326[[#This Row],[CANTIDAD TOTAL]]*Tabla1326[[#This Row],[PRECIO UNITARIO ESTIMADO]]</f>
        <v>10440</v>
      </c>
      <c r="K531" s="17"/>
      <c r="L531" s="16" t="s">
        <v>15</v>
      </c>
      <c r="M531" s="16" t="s">
        <v>22</v>
      </c>
      <c r="N531" s="39" t="s">
        <v>418</v>
      </c>
      <c r="O531" s="20"/>
    </row>
    <row r="532" spans="1:21" s="12" customFormat="1" ht="31.5">
      <c r="A532" s="15" t="s">
        <v>113</v>
      </c>
      <c r="B532" s="75" t="s">
        <v>320</v>
      </c>
      <c r="C532" s="44" t="s">
        <v>17</v>
      </c>
      <c r="D532" s="39"/>
      <c r="E532" s="140">
        <v>121</v>
      </c>
      <c r="F532" s="39"/>
      <c r="G532" s="39"/>
      <c r="H532" s="40">
        <f>SUM(Tabla1326[[#This Row],[PRIMER TRIMESTRE]:[CUARTO TRIMESTRE]])</f>
        <v>121</v>
      </c>
      <c r="I532" s="17">
        <f>41960.8/121</f>
        <v>346.7834710743802</v>
      </c>
      <c r="J532" s="17">
        <f>+Tabla1326[[#This Row],[CANTIDAD TOTAL]]*Tabla1326[[#This Row],[PRECIO UNITARIO ESTIMADO]]</f>
        <v>41960.800000000003</v>
      </c>
      <c r="K532" s="17"/>
      <c r="L532" s="16" t="s">
        <v>15</v>
      </c>
      <c r="M532" s="30" t="s">
        <v>22</v>
      </c>
      <c r="N532" s="44" t="s">
        <v>418</v>
      </c>
      <c r="O532" s="20"/>
    </row>
    <row r="533" spans="1:21" s="12" customFormat="1" ht="31.5">
      <c r="A533" s="15" t="s">
        <v>113</v>
      </c>
      <c r="B533" s="75" t="s">
        <v>237</v>
      </c>
      <c r="C533" s="39" t="s">
        <v>17</v>
      </c>
      <c r="D533" s="39"/>
      <c r="E533" s="140">
        <v>1</v>
      </c>
      <c r="F533" s="39"/>
      <c r="G533" s="39"/>
      <c r="H533" s="40">
        <f>SUM(Tabla1326[[#This Row],[PRIMER TRIMESTRE]:[CUARTO TRIMESTRE]])</f>
        <v>1</v>
      </c>
      <c r="I533" s="17">
        <v>668</v>
      </c>
      <c r="J533" s="17">
        <f>+Tabla1326[[#This Row],[CANTIDAD TOTAL]]*Tabla1326[[#This Row],[PRECIO UNITARIO ESTIMADO]]</f>
        <v>668</v>
      </c>
      <c r="K533" s="17"/>
      <c r="L533" s="16" t="s">
        <v>15</v>
      </c>
      <c r="M533" s="16" t="s">
        <v>22</v>
      </c>
      <c r="N533" s="39" t="s">
        <v>418</v>
      </c>
      <c r="O533" s="20"/>
    </row>
    <row r="534" spans="1:21" s="12" customFormat="1" ht="31.5">
      <c r="A534" s="15" t="s">
        <v>113</v>
      </c>
      <c r="B534" s="75" t="s">
        <v>238</v>
      </c>
      <c r="C534" s="39" t="s">
        <v>208</v>
      </c>
      <c r="D534" s="39"/>
      <c r="E534" s="140">
        <v>72</v>
      </c>
      <c r="F534" s="39"/>
      <c r="G534" s="39"/>
      <c r="H534" s="40">
        <f>SUM(Tabla1326[[#This Row],[PRIMER TRIMESTRE]:[CUARTO TRIMESTRE]])</f>
        <v>72</v>
      </c>
      <c r="I534" s="17">
        <v>754</v>
      </c>
      <c r="J534" s="17">
        <f>+Tabla1326[[#This Row],[CANTIDAD TOTAL]]*Tabla1326[[#This Row],[PRECIO UNITARIO ESTIMADO]]</f>
        <v>54288</v>
      </c>
      <c r="K534" s="17"/>
      <c r="L534" s="16" t="s">
        <v>15</v>
      </c>
      <c r="M534" s="16" t="s">
        <v>22</v>
      </c>
      <c r="N534" s="39" t="s">
        <v>418</v>
      </c>
      <c r="O534" s="20"/>
    </row>
    <row r="535" spans="1:21" s="26" customFormat="1" ht="27.75" customHeight="1">
      <c r="A535" s="22" t="s">
        <v>113</v>
      </c>
      <c r="B535" s="76"/>
      <c r="C535" s="42"/>
      <c r="D535" s="42"/>
      <c r="E535" s="42"/>
      <c r="F535" s="42"/>
      <c r="G535" s="42"/>
      <c r="H535" s="43"/>
      <c r="I535" s="24"/>
      <c r="J535" s="24"/>
      <c r="K535" s="25">
        <f>SUM(J529:J534)</f>
        <v>211200</v>
      </c>
      <c r="L535" s="23"/>
      <c r="M535" s="23"/>
      <c r="N535" s="42"/>
      <c r="O535" s="24"/>
      <c r="R535" s="27"/>
      <c r="U535" s="23"/>
    </row>
    <row r="536" spans="1:21" s="12" customFormat="1">
      <c r="A536" s="15" t="s">
        <v>115</v>
      </c>
      <c r="B536" s="75" t="s">
        <v>239</v>
      </c>
      <c r="C536" s="39" t="s">
        <v>208</v>
      </c>
      <c r="D536" s="39"/>
      <c r="E536" s="140">
        <v>75</v>
      </c>
      <c r="F536" s="39"/>
      <c r="G536" s="39"/>
      <c r="H536" s="40">
        <f>SUM(Tabla1326[[#This Row],[PRIMER TRIMESTRE]:[CUARTO TRIMESTRE]])</f>
        <v>75</v>
      </c>
      <c r="I536" s="72">
        <v>232</v>
      </c>
      <c r="J536" s="17">
        <f>+Tabla1326[[#This Row],[CANTIDAD TOTAL]]*Tabla1326[[#This Row],[PRECIO UNITARIO ESTIMADO]]</f>
        <v>17400</v>
      </c>
      <c r="K536" s="17"/>
      <c r="L536" s="16" t="s">
        <v>15</v>
      </c>
      <c r="M536" s="16" t="s">
        <v>22</v>
      </c>
      <c r="N536" s="39" t="s">
        <v>418</v>
      </c>
      <c r="O536" s="20"/>
    </row>
    <row r="537" spans="1:21" s="12" customFormat="1">
      <c r="A537" s="15" t="s">
        <v>115</v>
      </c>
      <c r="B537" s="75" t="s">
        <v>240</v>
      </c>
      <c r="C537" s="39" t="s">
        <v>208</v>
      </c>
      <c r="D537" s="39"/>
      <c r="E537" s="140">
        <v>1</v>
      </c>
      <c r="F537" s="39"/>
      <c r="G537" s="39"/>
      <c r="H537" s="40">
        <f>SUM(Tabla1326[[#This Row],[PRIMER TRIMESTRE]:[CUARTO TRIMESTRE]])</f>
        <v>1</v>
      </c>
      <c r="I537" s="72">
        <v>5341.57</v>
      </c>
      <c r="J537" s="17">
        <f>+Tabla1326[[#This Row],[CANTIDAD TOTAL]]*Tabla1326[[#This Row],[PRECIO UNITARIO ESTIMADO]]</f>
        <v>5341.57</v>
      </c>
      <c r="K537" s="17"/>
      <c r="L537" s="16" t="s">
        <v>15</v>
      </c>
      <c r="M537" s="16" t="s">
        <v>22</v>
      </c>
      <c r="N537" s="39" t="s">
        <v>418</v>
      </c>
      <c r="O537" s="20"/>
    </row>
    <row r="538" spans="1:21" s="12" customFormat="1">
      <c r="A538" s="15" t="s">
        <v>115</v>
      </c>
      <c r="B538" s="75" t="s">
        <v>319</v>
      </c>
      <c r="C538" s="44" t="s">
        <v>17</v>
      </c>
      <c r="D538" s="39"/>
      <c r="E538" s="140">
        <v>6</v>
      </c>
      <c r="F538" s="39"/>
      <c r="G538" s="39"/>
      <c r="H538" s="40">
        <f>SUM(Tabla1326[[#This Row],[PRIMER TRIMESTRE]:[CUARTO TRIMESTRE]])</f>
        <v>6</v>
      </c>
      <c r="I538" s="17">
        <f>544724/8</f>
        <v>68090.5</v>
      </c>
      <c r="J538" s="17">
        <f>+Tabla1326[[#This Row],[CANTIDAD TOTAL]]*Tabla1326[[#This Row],[PRECIO UNITARIO ESTIMADO]]</f>
        <v>408543</v>
      </c>
      <c r="K538" s="17"/>
      <c r="L538" s="16" t="s">
        <v>15</v>
      </c>
      <c r="M538" s="30" t="s">
        <v>22</v>
      </c>
      <c r="N538" s="44" t="s">
        <v>418</v>
      </c>
      <c r="O538" s="20"/>
    </row>
    <row r="539" spans="1:21" s="26" customFormat="1" ht="27.75" customHeight="1">
      <c r="A539" s="22" t="s">
        <v>115</v>
      </c>
      <c r="B539" s="76"/>
      <c r="C539" s="42"/>
      <c r="D539" s="42"/>
      <c r="E539" s="42"/>
      <c r="F539" s="42"/>
      <c r="G539" s="42"/>
      <c r="H539" s="43"/>
      <c r="I539" s="24"/>
      <c r="J539" s="24"/>
      <c r="K539" s="25">
        <f>SUM(J536:J538)</f>
        <v>431284.57</v>
      </c>
      <c r="L539" s="23"/>
      <c r="M539" s="23"/>
      <c r="N539" s="42"/>
      <c r="O539" s="24"/>
      <c r="R539" s="27"/>
      <c r="U539" s="23"/>
    </row>
    <row r="540" spans="1:21" s="12" customFormat="1" ht="31.5">
      <c r="A540" s="15" t="s">
        <v>118</v>
      </c>
      <c r="B540" s="75" t="s">
        <v>241</v>
      </c>
      <c r="C540" s="39" t="s">
        <v>17</v>
      </c>
      <c r="D540" s="39"/>
      <c r="E540" s="39"/>
      <c r="F540" s="140">
        <v>30</v>
      </c>
      <c r="G540" s="39"/>
      <c r="H540" s="40">
        <f>SUM(Tabla1326[[#This Row],[PRIMER TRIMESTRE]:[CUARTO TRIMESTRE]])</f>
        <v>30</v>
      </c>
      <c r="I540" s="17">
        <v>7544.8</v>
      </c>
      <c r="J540" s="17">
        <f>+Tabla1326[[#This Row],[CANTIDAD TOTAL]]*Tabla1326[[#This Row],[PRECIO UNITARIO ESTIMADO]]</f>
        <v>226344</v>
      </c>
      <c r="K540" s="17"/>
      <c r="L540" s="16" t="s">
        <v>27</v>
      </c>
      <c r="M540" s="16" t="s">
        <v>22</v>
      </c>
      <c r="N540" s="39" t="s">
        <v>418</v>
      </c>
      <c r="O540" s="20"/>
    </row>
    <row r="541" spans="1:21" s="12" customFormat="1" ht="31.5">
      <c r="A541" s="15" t="s">
        <v>118</v>
      </c>
      <c r="B541" s="75" t="s">
        <v>242</v>
      </c>
      <c r="C541" s="39" t="s">
        <v>17</v>
      </c>
      <c r="D541" s="39"/>
      <c r="E541" s="39"/>
      <c r="F541" s="140">
        <v>9</v>
      </c>
      <c r="G541" s="39"/>
      <c r="H541" s="40">
        <f>SUM(Tabla1326[[#This Row],[PRIMER TRIMESTRE]:[CUARTO TRIMESTRE]])</f>
        <v>9</v>
      </c>
      <c r="I541" s="17">
        <v>4756</v>
      </c>
      <c r="J541" s="17">
        <f>+Tabla1326[[#This Row],[CANTIDAD TOTAL]]*Tabla1326[[#This Row],[PRECIO UNITARIO ESTIMADO]]</f>
        <v>42804</v>
      </c>
      <c r="K541" s="17"/>
      <c r="L541" s="16" t="s">
        <v>27</v>
      </c>
      <c r="M541" s="16" t="s">
        <v>22</v>
      </c>
      <c r="N541" s="39" t="s">
        <v>418</v>
      </c>
      <c r="O541" s="20"/>
    </row>
    <row r="542" spans="1:21" s="12" customFormat="1" ht="31.5">
      <c r="A542" s="15" t="s">
        <v>118</v>
      </c>
      <c r="B542" s="75" t="s">
        <v>243</v>
      </c>
      <c r="C542" s="39" t="s">
        <v>17</v>
      </c>
      <c r="D542" s="39"/>
      <c r="E542" s="39"/>
      <c r="F542" s="140">
        <v>4</v>
      </c>
      <c r="G542" s="39"/>
      <c r="H542" s="40">
        <f>SUM(Tabla1326[[#This Row],[PRIMER TRIMESTRE]:[CUARTO TRIMESTRE]])</f>
        <v>4</v>
      </c>
      <c r="I542" s="17">
        <v>4610.34</v>
      </c>
      <c r="J542" s="17">
        <f>+Tabla1326[[#This Row],[CANTIDAD TOTAL]]*Tabla1326[[#This Row],[PRECIO UNITARIO ESTIMADO]]</f>
        <v>18441.36</v>
      </c>
      <c r="K542" s="17"/>
      <c r="L542" s="16" t="s">
        <v>27</v>
      </c>
      <c r="M542" s="16" t="s">
        <v>22</v>
      </c>
      <c r="N542" s="39" t="s">
        <v>418</v>
      </c>
      <c r="O542" s="20"/>
    </row>
    <row r="543" spans="1:21" s="12" customFormat="1" ht="31.5">
      <c r="A543" s="15" t="s">
        <v>118</v>
      </c>
      <c r="B543" s="75" t="s">
        <v>336</v>
      </c>
      <c r="C543" s="44" t="s">
        <v>17</v>
      </c>
      <c r="D543" s="39"/>
      <c r="E543" s="39"/>
      <c r="F543" s="140">
        <v>1</v>
      </c>
      <c r="G543" s="39"/>
      <c r="H543" s="40">
        <f>SUM(Tabla1326[[#This Row],[PRIMER TRIMESTRE]:[CUARTO TRIMESTRE]])</f>
        <v>1</v>
      </c>
      <c r="I543" s="17">
        <v>10115</v>
      </c>
      <c r="J543" s="17">
        <f>+Tabla1326[[#This Row],[CANTIDAD TOTAL]]*Tabla1326[[#This Row],[PRECIO UNITARIO ESTIMADO]]</f>
        <v>10115</v>
      </c>
      <c r="K543" s="17"/>
      <c r="L543" s="16" t="s">
        <v>27</v>
      </c>
      <c r="M543" s="30" t="s">
        <v>22</v>
      </c>
      <c r="N543" s="44" t="s">
        <v>418</v>
      </c>
      <c r="O543" s="20"/>
    </row>
    <row r="544" spans="1:21" s="12" customFormat="1" ht="31.5">
      <c r="A544" s="15" t="s">
        <v>118</v>
      </c>
      <c r="B544" s="75" t="s">
        <v>337</v>
      </c>
      <c r="C544" s="44" t="s">
        <v>17</v>
      </c>
      <c r="D544" s="39"/>
      <c r="E544" s="39"/>
      <c r="F544" s="140">
        <v>3</v>
      </c>
      <c r="G544" s="39"/>
      <c r="H544" s="40">
        <f>SUM(Tabla1326[[#This Row],[PRIMER TRIMESTRE]:[CUARTO TRIMESTRE]])</f>
        <v>3</v>
      </c>
      <c r="I544" s="17">
        <v>3225.3333333333335</v>
      </c>
      <c r="J544" s="17">
        <f>+Tabla1326[[#This Row],[CANTIDAD TOTAL]]*Tabla1326[[#This Row],[PRECIO UNITARIO ESTIMADO]]</f>
        <v>9676</v>
      </c>
      <c r="K544" s="17"/>
      <c r="L544" s="16" t="s">
        <v>27</v>
      </c>
      <c r="M544" s="30" t="s">
        <v>22</v>
      </c>
      <c r="N544" s="44" t="s">
        <v>418</v>
      </c>
      <c r="O544" s="20"/>
    </row>
    <row r="545" spans="1:15" s="12" customFormat="1" ht="31.5">
      <c r="A545" s="15" t="s">
        <v>118</v>
      </c>
      <c r="B545" s="75" t="s">
        <v>338</v>
      </c>
      <c r="C545" s="44" t="s">
        <v>17</v>
      </c>
      <c r="D545" s="39"/>
      <c r="E545" s="39"/>
      <c r="F545" s="140">
        <v>2</v>
      </c>
      <c r="G545" s="39"/>
      <c r="H545" s="40">
        <f>SUM(Tabla1326[[#This Row],[PRIMER TRIMESTRE]:[CUARTO TRIMESTRE]])</f>
        <v>2</v>
      </c>
      <c r="I545" s="17">
        <f>+(5938.35+4838)/2</f>
        <v>5388.1750000000002</v>
      </c>
      <c r="J545" s="17">
        <f>+Tabla1326[[#This Row],[CANTIDAD TOTAL]]*Tabla1326[[#This Row],[PRECIO UNITARIO ESTIMADO]]</f>
        <v>10776.35</v>
      </c>
      <c r="K545" s="17"/>
      <c r="L545" s="16" t="s">
        <v>27</v>
      </c>
      <c r="M545" s="30" t="s">
        <v>22</v>
      </c>
      <c r="N545" s="44" t="s">
        <v>418</v>
      </c>
      <c r="O545" s="20"/>
    </row>
    <row r="546" spans="1:15" s="12" customFormat="1" ht="31.5">
      <c r="A546" s="15" t="s">
        <v>118</v>
      </c>
      <c r="B546" s="75" t="s">
        <v>334</v>
      </c>
      <c r="C546" s="44" t="s">
        <v>17</v>
      </c>
      <c r="D546" s="39"/>
      <c r="E546" s="39"/>
      <c r="F546" s="140">
        <v>1</v>
      </c>
      <c r="G546" s="39"/>
      <c r="H546" s="40">
        <f>SUM(Tabla1326[[#This Row],[PRIMER TRIMESTRE]:[CUARTO TRIMESTRE]])</f>
        <v>1</v>
      </c>
      <c r="I546" s="17">
        <v>7080</v>
      </c>
      <c r="J546" s="17">
        <f>+Tabla1326[[#This Row],[CANTIDAD TOTAL]]*Tabla1326[[#This Row],[PRECIO UNITARIO ESTIMADO]]</f>
        <v>7080</v>
      </c>
      <c r="K546" s="17"/>
      <c r="L546" s="16" t="s">
        <v>27</v>
      </c>
      <c r="M546" s="30" t="s">
        <v>22</v>
      </c>
      <c r="N546" s="44" t="s">
        <v>418</v>
      </c>
      <c r="O546" s="20"/>
    </row>
    <row r="547" spans="1:15" s="12" customFormat="1" ht="31.5">
      <c r="A547" s="15" t="s">
        <v>118</v>
      </c>
      <c r="B547" s="75" t="s">
        <v>340</v>
      </c>
      <c r="C547" s="44" t="s">
        <v>17</v>
      </c>
      <c r="D547" s="39"/>
      <c r="E547" s="39"/>
      <c r="F547" s="140">
        <v>2</v>
      </c>
      <c r="G547" s="39"/>
      <c r="H547" s="40">
        <f>SUM(Tabla1326[[#This Row],[PRIMER TRIMESTRE]:[CUARTO TRIMESTRE]])</f>
        <v>2</v>
      </c>
      <c r="I547" s="17">
        <v>13684.27</v>
      </c>
      <c r="J547" s="17">
        <f>+Tabla1326[[#This Row],[CANTIDAD TOTAL]]*Tabla1326[[#This Row],[PRECIO UNITARIO ESTIMADO]]</f>
        <v>27368.54</v>
      </c>
      <c r="K547" s="17"/>
      <c r="L547" s="16" t="s">
        <v>27</v>
      </c>
      <c r="M547" s="30" t="s">
        <v>22</v>
      </c>
      <c r="N547" s="44" t="s">
        <v>418</v>
      </c>
      <c r="O547" s="20"/>
    </row>
    <row r="548" spans="1:15" s="12" customFormat="1" ht="31.5">
      <c r="A548" s="15" t="s">
        <v>118</v>
      </c>
      <c r="B548" s="75" t="s">
        <v>251</v>
      </c>
      <c r="C548" s="39" t="s">
        <v>17</v>
      </c>
      <c r="D548" s="39"/>
      <c r="E548" s="39"/>
      <c r="F548" s="140">
        <v>40</v>
      </c>
      <c r="G548" s="39"/>
      <c r="H548" s="40">
        <f>SUM(Tabla1326[[#This Row],[PRIMER TRIMESTRE]:[CUARTO TRIMESTRE]])</f>
        <v>40</v>
      </c>
      <c r="I548" s="17">
        <v>9118.43</v>
      </c>
      <c r="J548" s="17">
        <f>+Tabla1326[[#This Row],[CANTIDAD TOTAL]]*Tabla1326[[#This Row],[PRECIO UNITARIO ESTIMADO]]</f>
        <v>364737.2</v>
      </c>
      <c r="K548" s="17"/>
      <c r="L548" s="16" t="s">
        <v>27</v>
      </c>
      <c r="M548" s="16" t="s">
        <v>22</v>
      </c>
      <c r="N548" s="39" t="s">
        <v>418</v>
      </c>
      <c r="O548" s="20"/>
    </row>
    <row r="549" spans="1:15" s="12" customFormat="1" ht="31.5">
      <c r="A549" s="15" t="s">
        <v>118</v>
      </c>
      <c r="B549" s="75" t="s">
        <v>428</v>
      </c>
      <c r="C549" s="39" t="s">
        <v>17</v>
      </c>
      <c r="D549" s="39"/>
      <c r="E549" s="39"/>
      <c r="F549" s="140">
        <v>14</v>
      </c>
      <c r="G549" s="39"/>
      <c r="H549" s="40">
        <f>SUM(Tabla1326[[#This Row],[PRIMER TRIMESTRE]:[CUARTO TRIMESTRE]])</f>
        <v>14</v>
      </c>
      <c r="I549" s="17">
        <v>3074</v>
      </c>
      <c r="J549" s="17">
        <f>+Tabla1326[[#This Row],[CANTIDAD TOTAL]]*Tabla1326[[#This Row],[PRECIO UNITARIO ESTIMADO]]</f>
        <v>43036</v>
      </c>
      <c r="K549" s="17"/>
      <c r="L549" s="16" t="s">
        <v>27</v>
      </c>
      <c r="M549" s="16" t="s">
        <v>22</v>
      </c>
      <c r="N549" s="39" t="s">
        <v>418</v>
      </c>
      <c r="O549" s="20"/>
    </row>
    <row r="550" spans="1:15" s="12" customFormat="1" ht="31.5">
      <c r="A550" s="15" t="s">
        <v>118</v>
      </c>
      <c r="B550" s="75" t="s">
        <v>244</v>
      </c>
      <c r="C550" s="39" t="s">
        <v>17</v>
      </c>
      <c r="D550" s="39"/>
      <c r="E550" s="39"/>
      <c r="F550" s="140">
        <v>4</v>
      </c>
      <c r="G550" s="39"/>
      <c r="H550" s="40">
        <f>SUM(Tabla1326[[#This Row],[PRIMER TRIMESTRE]:[CUARTO TRIMESTRE]])</f>
        <v>4</v>
      </c>
      <c r="I550" s="17">
        <v>24940</v>
      </c>
      <c r="J550" s="17">
        <f>+Tabla1326[[#This Row],[CANTIDAD TOTAL]]*Tabla1326[[#This Row],[PRECIO UNITARIO ESTIMADO]]</f>
        <v>99760</v>
      </c>
      <c r="K550" s="17"/>
      <c r="L550" s="16" t="s">
        <v>27</v>
      </c>
      <c r="M550" s="16" t="s">
        <v>22</v>
      </c>
      <c r="N550" s="39" t="s">
        <v>418</v>
      </c>
      <c r="O550" s="20"/>
    </row>
    <row r="551" spans="1:15" s="12" customFormat="1" ht="31.5">
      <c r="A551" s="15" t="s">
        <v>118</v>
      </c>
      <c r="B551" s="75" t="s">
        <v>429</v>
      </c>
      <c r="C551" s="39" t="s">
        <v>17</v>
      </c>
      <c r="D551" s="39"/>
      <c r="E551" s="39"/>
      <c r="F551" s="140">
        <v>6</v>
      </c>
      <c r="G551" s="39"/>
      <c r="H551" s="40">
        <f>SUM(Tabla1326[[#This Row],[PRIMER TRIMESTRE]:[CUARTO TRIMESTRE]])</f>
        <v>6</v>
      </c>
      <c r="I551" s="17">
        <v>77185.240000000005</v>
      </c>
      <c r="J551" s="17">
        <f>+Tabla1326[[#This Row],[CANTIDAD TOTAL]]*Tabla1326[[#This Row],[PRECIO UNITARIO ESTIMADO]]</f>
        <v>463111.44000000006</v>
      </c>
      <c r="K551" s="17"/>
      <c r="L551" s="16" t="s">
        <v>27</v>
      </c>
      <c r="M551" s="16" t="s">
        <v>22</v>
      </c>
      <c r="N551" s="39" t="s">
        <v>418</v>
      </c>
      <c r="O551" s="20"/>
    </row>
    <row r="552" spans="1:15" s="12" customFormat="1" ht="31.5">
      <c r="A552" s="15" t="s">
        <v>118</v>
      </c>
      <c r="B552" s="75" t="s">
        <v>245</v>
      </c>
      <c r="C552" s="39" t="s">
        <v>17</v>
      </c>
      <c r="D552" s="39"/>
      <c r="E552" s="39"/>
      <c r="F552" s="140">
        <v>10</v>
      </c>
      <c r="G552" s="39"/>
      <c r="H552" s="40">
        <f>SUM(Tabla1326[[#This Row],[PRIMER TRIMESTRE]:[CUARTO TRIMESTRE]])</f>
        <v>10</v>
      </c>
      <c r="I552" s="17">
        <v>10788</v>
      </c>
      <c r="J552" s="17">
        <f>+Tabla1326[[#This Row],[CANTIDAD TOTAL]]*Tabla1326[[#This Row],[PRECIO UNITARIO ESTIMADO]]</f>
        <v>107880</v>
      </c>
      <c r="K552" s="17"/>
      <c r="L552" s="16" t="s">
        <v>27</v>
      </c>
      <c r="M552" s="16" t="s">
        <v>22</v>
      </c>
      <c r="N552" s="39" t="s">
        <v>418</v>
      </c>
      <c r="O552" s="20"/>
    </row>
    <row r="553" spans="1:15" s="12" customFormat="1" ht="31.5">
      <c r="A553" s="15" t="s">
        <v>118</v>
      </c>
      <c r="B553" s="75" t="s">
        <v>246</v>
      </c>
      <c r="C553" s="39" t="s">
        <v>17</v>
      </c>
      <c r="D553" s="39"/>
      <c r="E553" s="39"/>
      <c r="F553" s="140">
        <v>30</v>
      </c>
      <c r="G553" s="39"/>
      <c r="H553" s="40">
        <f>SUM(Tabla1326[[#This Row],[PRIMER TRIMESTRE]:[CUARTO TRIMESTRE]])</f>
        <v>30</v>
      </c>
      <c r="I553" s="17">
        <v>2467.71</v>
      </c>
      <c r="J553" s="17">
        <f>+Tabla1326[[#This Row],[CANTIDAD TOTAL]]*Tabla1326[[#This Row],[PRECIO UNITARIO ESTIMADO]]</f>
        <v>74031.3</v>
      </c>
      <c r="K553" s="17"/>
      <c r="L553" s="16" t="s">
        <v>27</v>
      </c>
      <c r="M553" s="16" t="s">
        <v>22</v>
      </c>
      <c r="N553" s="39" t="s">
        <v>418</v>
      </c>
      <c r="O553" s="20"/>
    </row>
    <row r="554" spans="1:15" s="12" customFormat="1" ht="31.5">
      <c r="A554" s="15" t="s">
        <v>118</v>
      </c>
      <c r="B554" s="75" t="s">
        <v>247</v>
      </c>
      <c r="C554" s="39" t="s">
        <v>17</v>
      </c>
      <c r="D554" s="39"/>
      <c r="E554" s="39"/>
      <c r="F554" s="140">
        <v>6</v>
      </c>
      <c r="G554" s="39"/>
      <c r="H554" s="40">
        <f>SUM(Tabla1326[[#This Row],[PRIMER TRIMESTRE]:[CUARTO TRIMESTRE]])</f>
        <v>6</v>
      </c>
      <c r="I554" s="17">
        <v>14434.48</v>
      </c>
      <c r="J554" s="17">
        <f>+Tabla1326[[#This Row],[CANTIDAD TOTAL]]*Tabla1326[[#This Row],[PRECIO UNITARIO ESTIMADO]]</f>
        <v>86606.88</v>
      </c>
      <c r="K554" s="17"/>
      <c r="L554" s="16" t="s">
        <v>27</v>
      </c>
      <c r="M554" s="16" t="s">
        <v>22</v>
      </c>
      <c r="N554" s="39" t="s">
        <v>418</v>
      </c>
      <c r="O554" s="20"/>
    </row>
    <row r="555" spans="1:15" s="12" customFormat="1" ht="31.5">
      <c r="A555" s="15" t="s">
        <v>118</v>
      </c>
      <c r="B555" s="75" t="s">
        <v>339</v>
      </c>
      <c r="C555" s="44" t="s">
        <v>17</v>
      </c>
      <c r="D555" s="39"/>
      <c r="E555" s="39"/>
      <c r="F555" s="140">
        <v>20</v>
      </c>
      <c r="G555" s="39"/>
      <c r="H555" s="40">
        <f>SUM(Tabla1326[[#This Row],[PRIMER TRIMESTRE]:[CUARTO TRIMESTRE]])</f>
        <v>20</v>
      </c>
      <c r="I555" s="17">
        <f>115079.5/24</f>
        <v>4794.979166666667</v>
      </c>
      <c r="J555" s="17">
        <f>+Tabla1326[[#This Row],[CANTIDAD TOTAL]]*Tabla1326[[#This Row],[PRECIO UNITARIO ESTIMADO]]</f>
        <v>95899.583333333343</v>
      </c>
      <c r="K555" s="17"/>
      <c r="L555" s="16" t="s">
        <v>27</v>
      </c>
      <c r="M555" s="30" t="s">
        <v>22</v>
      </c>
      <c r="N555" s="44" t="s">
        <v>418</v>
      </c>
      <c r="O555" s="20"/>
    </row>
    <row r="556" spans="1:15" s="12" customFormat="1" ht="31.5">
      <c r="A556" s="15" t="s">
        <v>118</v>
      </c>
      <c r="B556" s="75" t="s">
        <v>248</v>
      </c>
      <c r="C556" s="39" t="s">
        <v>17</v>
      </c>
      <c r="D556" s="39"/>
      <c r="E556" s="39"/>
      <c r="F556" s="140">
        <v>22</v>
      </c>
      <c r="G556" s="39"/>
      <c r="H556" s="40">
        <f>SUM(Tabla1326[[#This Row],[PRIMER TRIMESTRE]:[CUARTO TRIMESTRE]])</f>
        <v>22</v>
      </c>
      <c r="I556" s="17">
        <v>2262</v>
      </c>
      <c r="J556" s="17">
        <f>+Tabla1326[[#This Row],[CANTIDAD TOTAL]]*Tabla1326[[#This Row],[PRECIO UNITARIO ESTIMADO]]</f>
        <v>49764</v>
      </c>
      <c r="K556" s="17"/>
      <c r="L556" s="16" t="s">
        <v>27</v>
      </c>
      <c r="M556" s="16" t="s">
        <v>22</v>
      </c>
      <c r="N556" s="39" t="s">
        <v>418</v>
      </c>
      <c r="O556" s="20"/>
    </row>
    <row r="557" spans="1:15" s="12" customFormat="1" ht="31.5">
      <c r="A557" s="15" t="s">
        <v>118</v>
      </c>
      <c r="B557" s="75" t="s">
        <v>249</v>
      </c>
      <c r="C557" s="39" t="s">
        <v>17</v>
      </c>
      <c r="D557" s="39"/>
      <c r="E557" s="39"/>
      <c r="F557" s="140">
        <v>130</v>
      </c>
      <c r="G557" s="39"/>
      <c r="H557" s="40">
        <f>SUM(Tabla1326[[#This Row],[PRIMER TRIMESTRE]:[CUARTO TRIMESTRE]])</f>
        <v>130</v>
      </c>
      <c r="I557" s="17">
        <v>3250</v>
      </c>
      <c r="J557" s="17">
        <f>+Tabla1326[[#This Row],[CANTIDAD TOTAL]]*Tabla1326[[#This Row],[PRECIO UNITARIO ESTIMADO]]</f>
        <v>422500</v>
      </c>
      <c r="K557" s="17"/>
      <c r="L557" s="16" t="s">
        <v>27</v>
      </c>
      <c r="M557" s="16" t="s">
        <v>22</v>
      </c>
      <c r="N557" s="39" t="s">
        <v>418</v>
      </c>
      <c r="O557" s="20"/>
    </row>
    <row r="558" spans="1:15" s="12" customFormat="1" ht="31.5">
      <c r="A558" s="15" t="s">
        <v>118</v>
      </c>
      <c r="B558" s="75" t="s">
        <v>250</v>
      </c>
      <c r="C558" s="39" t="s">
        <v>17</v>
      </c>
      <c r="D558" s="39"/>
      <c r="E558" s="39"/>
      <c r="F558" s="140">
        <v>40</v>
      </c>
      <c r="G558" s="39"/>
      <c r="H558" s="40">
        <f>SUM(Tabla1326[[#This Row],[PRIMER TRIMESTRE]:[CUARTO TRIMESTRE]])</f>
        <v>40</v>
      </c>
      <c r="I558" s="17">
        <v>3959.88</v>
      </c>
      <c r="J558" s="17">
        <f>+Tabla1326[[#This Row],[CANTIDAD TOTAL]]*Tabla1326[[#This Row],[PRECIO UNITARIO ESTIMADO]]</f>
        <v>158395.20000000001</v>
      </c>
      <c r="K558" s="17"/>
      <c r="L558" s="16" t="s">
        <v>27</v>
      </c>
      <c r="M558" s="16" t="s">
        <v>22</v>
      </c>
      <c r="N558" s="39" t="s">
        <v>418</v>
      </c>
      <c r="O558" s="20"/>
    </row>
    <row r="559" spans="1:15" s="12" customFormat="1" ht="31.5">
      <c r="A559" s="15" t="s">
        <v>118</v>
      </c>
      <c r="B559" s="75" t="s">
        <v>321</v>
      </c>
      <c r="C559" s="44" t="s">
        <v>17</v>
      </c>
      <c r="D559" s="39"/>
      <c r="E559" s="39"/>
      <c r="F559" s="140">
        <v>16</v>
      </c>
      <c r="G559" s="39"/>
      <c r="H559" s="40">
        <f>SUM(Tabla1326[[#This Row],[PRIMER TRIMESTRE]:[CUARTO TRIMESTRE]])</f>
        <v>16</v>
      </c>
      <c r="I559" s="17">
        <f>31243.78/16</f>
        <v>1952.7362499999999</v>
      </c>
      <c r="J559" s="17">
        <f>+Tabla1326[[#This Row],[CANTIDAD TOTAL]]*Tabla1326[[#This Row],[PRECIO UNITARIO ESTIMADO]]</f>
        <v>31243.78</v>
      </c>
      <c r="K559" s="17"/>
      <c r="L559" s="16" t="s">
        <v>27</v>
      </c>
      <c r="M559" s="30" t="s">
        <v>22</v>
      </c>
      <c r="N559" s="44" t="s">
        <v>418</v>
      </c>
      <c r="O559" s="20"/>
    </row>
    <row r="560" spans="1:15" s="12" customFormat="1" ht="31.5">
      <c r="A560" s="15" t="s">
        <v>118</v>
      </c>
      <c r="B560" s="75" t="s">
        <v>323</v>
      </c>
      <c r="C560" s="39" t="s">
        <v>17</v>
      </c>
      <c r="D560" s="39"/>
      <c r="E560" s="39"/>
      <c r="F560" s="140">
        <v>3</v>
      </c>
      <c r="G560" s="39"/>
      <c r="H560" s="40">
        <f>SUM(Tabla1326[[#This Row],[PRIMER TRIMESTRE]:[CUARTO TRIMESTRE]])</f>
        <v>3</v>
      </c>
      <c r="I560" s="17">
        <f>16086.57/3</f>
        <v>5362.19</v>
      </c>
      <c r="J560" s="17">
        <f>+Tabla1326[[#This Row],[CANTIDAD TOTAL]]*Tabla1326[[#This Row],[PRECIO UNITARIO ESTIMADO]]</f>
        <v>16086.57</v>
      </c>
      <c r="K560" s="17"/>
      <c r="L560" s="16" t="s">
        <v>27</v>
      </c>
      <c r="M560" s="16" t="s">
        <v>22</v>
      </c>
      <c r="N560" s="39" t="s">
        <v>418</v>
      </c>
      <c r="O560" s="20"/>
    </row>
    <row r="561" spans="1:21" s="26" customFormat="1" ht="27.75" customHeight="1">
      <c r="A561" s="22" t="s">
        <v>118</v>
      </c>
      <c r="B561" s="76"/>
      <c r="C561" s="42"/>
      <c r="D561" s="42"/>
      <c r="E561" s="42"/>
      <c r="F561" s="42"/>
      <c r="G561" s="42"/>
      <c r="H561" s="43"/>
      <c r="I561" s="24"/>
      <c r="J561" s="24"/>
      <c r="K561" s="25">
        <f>SUM(J540:J560)</f>
        <v>2365657.2033333331</v>
      </c>
      <c r="L561" s="23"/>
      <c r="M561" s="23"/>
      <c r="N561" s="42"/>
      <c r="O561" s="24"/>
      <c r="R561" s="27"/>
      <c r="U561" s="23"/>
    </row>
    <row r="562" spans="1:21" s="12" customFormat="1">
      <c r="A562" s="15" t="s">
        <v>119</v>
      </c>
      <c r="B562" s="75" t="s">
        <v>341</v>
      </c>
      <c r="C562" s="44" t="s">
        <v>17</v>
      </c>
      <c r="D562" s="39"/>
      <c r="E562" s="39"/>
      <c r="F562" s="140">
        <v>1</v>
      </c>
      <c r="G562" s="39"/>
      <c r="H562" s="40">
        <f>SUM(Tabla1326[[#This Row],[PRIMER TRIMESTRE]:[CUARTO TRIMESTRE]])</f>
        <v>1</v>
      </c>
      <c r="I562" s="17">
        <f>2160.9+22288+501.5+6355.8+18041.9+5084.64+8389.8+3050.76+2466.06+1983.5+6203.28</f>
        <v>76526.14</v>
      </c>
      <c r="J562" s="17">
        <f>+Tabla1326[[#This Row],[CANTIDAD TOTAL]]*Tabla1326[[#This Row],[PRECIO UNITARIO ESTIMADO]]</f>
        <v>76526.14</v>
      </c>
      <c r="K562" s="17"/>
      <c r="L562" s="16" t="s">
        <v>15</v>
      </c>
      <c r="M562" s="30" t="s">
        <v>22</v>
      </c>
      <c r="N562" s="44" t="s">
        <v>418</v>
      </c>
      <c r="O562" s="20"/>
    </row>
    <row r="563" spans="1:21" s="12" customFormat="1" ht="34.5" customHeight="1">
      <c r="A563" s="15" t="s">
        <v>119</v>
      </c>
      <c r="B563" s="75" t="s">
        <v>252</v>
      </c>
      <c r="C563" s="39" t="s">
        <v>17</v>
      </c>
      <c r="D563" s="39"/>
      <c r="E563" s="39"/>
      <c r="F563" s="140">
        <v>50</v>
      </c>
      <c r="G563" s="39"/>
      <c r="H563" s="40">
        <f>SUM(Tabla1326[[#This Row],[PRIMER TRIMESTRE]:[CUARTO TRIMESTRE]])</f>
        <v>50</v>
      </c>
      <c r="I563" s="17">
        <v>26.45</v>
      </c>
      <c r="J563" s="17">
        <f>+Tabla1326[[#This Row],[CANTIDAD TOTAL]]*Tabla1326[[#This Row],[PRECIO UNITARIO ESTIMADO]]</f>
        <v>1322.5</v>
      </c>
      <c r="K563" s="17"/>
      <c r="L563" s="16" t="s">
        <v>15</v>
      </c>
      <c r="M563" s="16" t="s">
        <v>22</v>
      </c>
      <c r="N563" s="39" t="s">
        <v>418</v>
      </c>
      <c r="O563" s="20"/>
    </row>
    <row r="564" spans="1:21" s="12" customFormat="1">
      <c r="A564" s="15" t="s">
        <v>119</v>
      </c>
      <c r="B564" s="75" t="s">
        <v>253</v>
      </c>
      <c r="C564" s="39" t="s">
        <v>208</v>
      </c>
      <c r="D564" s="39"/>
      <c r="E564" s="39"/>
      <c r="F564" s="140">
        <v>50</v>
      </c>
      <c r="G564" s="39"/>
      <c r="H564" s="40">
        <f>SUM(Tabla1326[[#This Row],[PRIMER TRIMESTRE]:[CUARTO TRIMESTRE]])</f>
        <v>50</v>
      </c>
      <c r="I564" s="17">
        <v>52.28</v>
      </c>
      <c r="J564" s="17">
        <f>+Tabla1326[[#This Row],[CANTIDAD TOTAL]]*Tabla1326[[#This Row],[PRECIO UNITARIO ESTIMADO]]</f>
        <v>2614</v>
      </c>
      <c r="K564" s="17"/>
      <c r="L564" s="16" t="s">
        <v>15</v>
      </c>
      <c r="M564" s="16" t="s">
        <v>22</v>
      </c>
      <c r="N564" s="39" t="s">
        <v>418</v>
      </c>
      <c r="O564" s="20"/>
    </row>
    <row r="565" spans="1:21" s="12" customFormat="1">
      <c r="A565" s="32" t="s">
        <v>119</v>
      </c>
      <c r="B565" s="75" t="s">
        <v>402</v>
      </c>
      <c r="C565" s="45" t="s">
        <v>17</v>
      </c>
      <c r="D565" s="39"/>
      <c r="E565" s="39"/>
      <c r="F565" s="140">
        <v>300</v>
      </c>
      <c r="G565" s="39"/>
      <c r="H565" s="40">
        <f>SUM(Tabla1326[[#This Row],[PRIMER TRIMESTRE]:[CUARTO TRIMESTRE]])</f>
        <v>300</v>
      </c>
      <c r="I565" s="17">
        <v>182.9</v>
      </c>
      <c r="J565" s="17">
        <f>+H565*I565</f>
        <v>54870</v>
      </c>
      <c r="K565" s="31"/>
      <c r="L565" s="16" t="s">
        <v>15</v>
      </c>
      <c r="M565" s="16" t="s">
        <v>22</v>
      </c>
      <c r="N565" s="45" t="s">
        <v>418</v>
      </c>
      <c r="O565" s="20"/>
    </row>
    <row r="566" spans="1:21" s="12" customFormat="1">
      <c r="A566" s="15" t="s">
        <v>119</v>
      </c>
      <c r="B566" s="75" t="s">
        <v>256</v>
      </c>
      <c r="C566" s="39" t="s">
        <v>17</v>
      </c>
      <c r="D566" s="39"/>
      <c r="E566" s="39"/>
      <c r="F566" s="140">
        <v>140</v>
      </c>
      <c r="G566" s="39"/>
      <c r="H566" s="40">
        <f>SUM(Tabla1326[[#This Row],[PRIMER TRIMESTRE]:[CUARTO TRIMESTRE]])</f>
        <v>140</v>
      </c>
      <c r="I566" s="17">
        <v>434.24</v>
      </c>
      <c r="J566" s="17">
        <f>+Tabla1326[[#This Row],[CANTIDAD TOTAL]]*Tabla1326[[#This Row],[PRECIO UNITARIO ESTIMADO]]</f>
        <v>60793.599999999999</v>
      </c>
      <c r="K566" s="17"/>
      <c r="L566" s="16" t="s">
        <v>15</v>
      </c>
      <c r="M566" s="16" t="s">
        <v>22</v>
      </c>
      <c r="N566" s="39" t="s">
        <v>418</v>
      </c>
      <c r="O566" s="20"/>
    </row>
    <row r="567" spans="1:21" s="12" customFormat="1">
      <c r="A567" s="15" t="s">
        <v>119</v>
      </c>
      <c r="B567" s="75" t="s">
        <v>324</v>
      </c>
      <c r="C567" s="39" t="s">
        <v>17</v>
      </c>
      <c r="D567" s="39"/>
      <c r="E567" s="39"/>
      <c r="F567" s="140">
        <v>2</v>
      </c>
      <c r="G567" s="39"/>
      <c r="H567" s="40">
        <f>SUM(Tabla1326[[#This Row],[PRIMER TRIMESTRE]:[CUARTO TRIMESTRE]])</f>
        <v>2</v>
      </c>
      <c r="I567" s="17">
        <f>3536.75/2</f>
        <v>1768.375</v>
      </c>
      <c r="J567" s="17">
        <f>+Tabla1326[[#This Row],[CANTIDAD TOTAL]]*Tabla1326[[#This Row],[PRECIO UNITARIO ESTIMADO]]</f>
        <v>3536.75</v>
      </c>
      <c r="K567" s="17"/>
      <c r="L567" s="16" t="s">
        <v>15</v>
      </c>
      <c r="M567" s="16" t="s">
        <v>22</v>
      </c>
      <c r="N567" s="39" t="s">
        <v>418</v>
      </c>
      <c r="O567" s="20"/>
    </row>
    <row r="568" spans="1:21" s="12" customFormat="1">
      <c r="A568" s="15" t="s">
        <v>119</v>
      </c>
      <c r="B568" s="75" t="s">
        <v>257</v>
      </c>
      <c r="C568" s="39" t="s">
        <v>17</v>
      </c>
      <c r="D568" s="39"/>
      <c r="E568" s="39"/>
      <c r="F568" s="140">
        <v>1</v>
      </c>
      <c r="G568" s="39"/>
      <c r="H568" s="40">
        <f>SUM(Tabla1326[[#This Row],[PRIMER TRIMESTRE]:[CUARTO TRIMESTRE]])</f>
        <v>1</v>
      </c>
      <c r="I568" s="17">
        <v>522</v>
      </c>
      <c r="J568" s="17">
        <f>+Tabla1326[[#This Row],[CANTIDAD TOTAL]]*Tabla1326[[#This Row],[PRECIO UNITARIO ESTIMADO]]</f>
        <v>522</v>
      </c>
      <c r="K568" s="17"/>
      <c r="L568" s="16" t="s">
        <v>15</v>
      </c>
      <c r="M568" s="16" t="s">
        <v>22</v>
      </c>
      <c r="N568" s="39" t="s">
        <v>418</v>
      </c>
      <c r="O568" s="20"/>
    </row>
    <row r="569" spans="1:21" s="12" customFormat="1">
      <c r="A569" s="15" t="s">
        <v>119</v>
      </c>
      <c r="B569" s="75" t="s">
        <v>258</v>
      </c>
      <c r="C569" s="39" t="s">
        <v>17</v>
      </c>
      <c r="D569" s="39"/>
      <c r="E569" s="39"/>
      <c r="F569" s="140">
        <v>25</v>
      </c>
      <c r="G569" s="39"/>
      <c r="H569" s="40">
        <f>SUM(Tabla1326[[#This Row],[PRIMER TRIMESTRE]:[CUARTO TRIMESTRE]])</f>
        <v>25</v>
      </c>
      <c r="I569" s="17">
        <v>1250</v>
      </c>
      <c r="J569" s="17">
        <f>+Tabla1326[[#This Row],[CANTIDAD TOTAL]]*Tabla1326[[#This Row],[PRECIO UNITARIO ESTIMADO]]</f>
        <v>31250</v>
      </c>
      <c r="K569" s="17"/>
      <c r="L569" s="16" t="s">
        <v>15</v>
      </c>
      <c r="M569" s="16" t="s">
        <v>22</v>
      </c>
      <c r="N569" s="39" t="s">
        <v>418</v>
      </c>
      <c r="O569" s="20"/>
    </row>
    <row r="570" spans="1:21" s="12" customFormat="1">
      <c r="A570" s="15" t="s">
        <v>119</v>
      </c>
      <c r="B570" s="75" t="s">
        <v>259</v>
      </c>
      <c r="C570" s="39" t="s">
        <v>17</v>
      </c>
      <c r="D570" s="39"/>
      <c r="E570" s="39"/>
      <c r="F570" s="140">
        <v>42</v>
      </c>
      <c r="G570" s="39"/>
      <c r="H570" s="40">
        <f>SUM(Tabla1326[[#This Row],[PRIMER TRIMESTRE]:[CUARTO TRIMESTRE]])</f>
        <v>42</v>
      </c>
      <c r="I570" s="17">
        <v>1245.07</v>
      </c>
      <c r="J570" s="17">
        <f>+Tabla1326[[#This Row],[CANTIDAD TOTAL]]*Tabla1326[[#This Row],[PRECIO UNITARIO ESTIMADO]]</f>
        <v>52292.939999999995</v>
      </c>
      <c r="K570" s="17"/>
      <c r="L570" s="16" t="s">
        <v>15</v>
      </c>
      <c r="M570" s="16" t="s">
        <v>22</v>
      </c>
      <c r="N570" s="39" t="s">
        <v>418</v>
      </c>
      <c r="O570" s="20"/>
    </row>
    <row r="571" spans="1:21" s="12" customFormat="1">
      <c r="A571" s="15" t="s">
        <v>119</v>
      </c>
      <c r="B571" s="75" t="s">
        <v>260</v>
      </c>
      <c r="C571" s="39" t="s">
        <v>17</v>
      </c>
      <c r="D571" s="39"/>
      <c r="E571" s="39"/>
      <c r="F571" s="140">
        <v>40</v>
      </c>
      <c r="G571" s="39"/>
      <c r="H571" s="40">
        <f>SUM(Tabla1326[[#This Row],[PRIMER TRIMESTRE]:[CUARTO TRIMESTRE]])</f>
        <v>40</v>
      </c>
      <c r="I571" s="17">
        <v>29.28</v>
      </c>
      <c r="J571" s="17">
        <f>+Tabla1326[[#This Row],[CANTIDAD TOTAL]]*Tabla1326[[#This Row],[PRECIO UNITARIO ESTIMADO]]</f>
        <v>1171.2</v>
      </c>
      <c r="K571" s="17"/>
      <c r="L571" s="16" t="s">
        <v>15</v>
      </c>
      <c r="M571" s="16" t="s">
        <v>22</v>
      </c>
      <c r="N571" s="39" t="s">
        <v>418</v>
      </c>
      <c r="O571" s="20"/>
    </row>
    <row r="572" spans="1:21" s="26" customFormat="1" ht="27.75" customHeight="1">
      <c r="A572" s="22" t="s">
        <v>119</v>
      </c>
      <c r="B572" s="76"/>
      <c r="C572" s="42"/>
      <c r="D572" s="42"/>
      <c r="E572" s="42"/>
      <c r="F572" s="42"/>
      <c r="G572" s="42"/>
      <c r="H572" s="43"/>
      <c r="I572" s="24"/>
      <c r="J572" s="24"/>
      <c r="K572" s="25">
        <f>SUM(J562:J571)</f>
        <v>284899.13</v>
      </c>
      <c r="L572" s="23"/>
      <c r="M572" s="23"/>
      <c r="N572" s="42"/>
      <c r="O572" s="24"/>
      <c r="R572" s="27"/>
      <c r="U572" s="23"/>
    </row>
    <row r="573" spans="1:21" s="12" customFormat="1" ht="30.75" customHeight="1">
      <c r="A573" s="15" t="s">
        <v>121</v>
      </c>
      <c r="B573" s="75" t="s">
        <v>273</v>
      </c>
      <c r="C573" s="39" t="s">
        <v>17</v>
      </c>
      <c r="D573" s="39"/>
      <c r="E573" s="141">
        <v>25</v>
      </c>
      <c r="F573" s="141"/>
      <c r="G573" s="141">
        <v>25</v>
      </c>
      <c r="H573" s="40">
        <f>SUM(Tabla1326[[#This Row],[PRIMER TRIMESTRE]:[CUARTO TRIMESTRE]])</f>
        <v>50</v>
      </c>
      <c r="I573" s="17">
        <v>5684</v>
      </c>
      <c r="J573" s="17">
        <f>+Tabla1326[[#This Row],[CANTIDAD TOTAL]]*Tabla1326[[#This Row],[PRECIO UNITARIO ESTIMADO]]</f>
        <v>284200</v>
      </c>
      <c r="K573" s="17"/>
      <c r="L573" s="16" t="s">
        <v>15</v>
      </c>
      <c r="M573" s="16" t="s">
        <v>22</v>
      </c>
      <c r="N573" s="39" t="s">
        <v>418</v>
      </c>
      <c r="O573" s="20"/>
    </row>
    <row r="574" spans="1:21" s="26" customFormat="1" ht="27.75" customHeight="1">
      <c r="A574" s="22" t="s">
        <v>121</v>
      </c>
      <c r="B574" s="76"/>
      <c r="C574" s="42"/>
      <c r="D574" s="42"/>
      <c r="E574" s="42"/>
      <c r="F574" s="42"/>
      <c r="G574" s="42"/>
      <c r="H574" s="43"/>
      <c r="I574" s="24"/>
      <c r="J574" s="24"/>
      <c r="K574" s="25">
        <f>SUM(J573)</f>
        <v>284200</v>
      </c>
      <c r="L574" s="23"/>
      <c r="M574" s="23"/>
      <c r="N574" s="42"/>
      <c r="O574" s="24"/>
      <c r="R574" s="27"/>
      <c r="U574" s="23"/>
    </row>
    <row r="575" spans="1:21" s="12" customFormat="1">
      <c r="A575" s="15" t="s">
        <v>122</v>
      </c>
      <c r="B575" s="75" t="s">
        <v>274</v>
      </c>
      <c r="C575" s="39" t="s">
        <v>17</v>
      </c>
      <c r="D575" s="39"/>
      <c r="E575" s="141">
        <v>150</v>
      </c>
      <c r="F575" s="141"/>
      <c r="G575" s="141">
        <v>150</v>
      </c>
      <c r="H575" s="40">
        <f>SUM(Tabla1326[[#This Row],[PRIMER TRIMESTRE]:[CUARTO TRIMESTRE]])</f>
        <v>300</v>
      </c>
      <c r="I575" s="17">
        <v>133.47</v>
      </c>
      <c r="J575" s="17">
        <f>+Tabla1326[[#This Row],[CANTIDAD TOTAL]]*Tabla1326[[#This Row],[PRECIO UNITARIO ESTIMADO]]</f>
        <v>40041</v>
      </c>
      <c r="K575" s="17"/>
      <c r="L575" s="16" t="s">
        <v>15</v>
      </c>
      <c r="M575" s="16" t="s">
        <v>22</v>
      </c>
      <c r="N575" s="39" t="s">
        <v>418</v>
      </c>
      <c r="O575" s="20"/>
    </row>
    <row r="576" spans="1:21" s="12" customFormat="1" ht="33" customHeight="1">
      <c r="A576" s="15" t="s">
        <v>122</v>
      </c>
      <c r="B576" s="75" t="s">
        <v>275</v>
      </c>
      <c r="C576" s="39" t="s">
        <v>17</v>
      </c>
      <c r="D576" s="39"/>
      <c r="E576" s="141">
        <v>50</v>
      </c>
      <c r="F576" s="141"/>
      <c r="G576" s="141">
        <v>50</v>
      </c>
      <c r="H576" s="40">
        <f>SUM(Tabla1326[[#This Row],[PRIMER TRIMESTRE]:[CUARTO TRIMESTRE]])</f>
        <v>100</v>
      </c>
      <c r="I576" s="17">
        <v>115.24</v>
      </c>
      <c r="J576" s="17">
        <f>+Tabla1326[[#This Row],[CANTIDAD TOTAL]]*Tabla1326[[#This Row],[PRECIO UNITARIO ESTIMADO]]</f>
        <v>11524</v>
      </c>
      <c r="K576" s="17"/>
      <c r="L576" s="16" t="s">
        <v>15</v>
      </c>
      <c r="M576" s="16" t="s">
        <v>22</v>
      </c>
      <c r="N576" s="39" t="s">
        <v>418</v>
      </c>
      <c r="O576" s="20"/>
    </row>
    <row r="577" spans="1:21" s="12" customFormat="1" ht="16.5" customHeight="1">
      <c r="A577" s="15" t="s">
        <v>122</v>
      </c>
      <c r="B577" s="75" t="s">
        <v>125</v>
      </c>
      <c r="C577" s="39" t="s">
        <v>17</v>
      </c>
      <c r="D577" s="39"/>
      <c r="E577" s="141">
        <v>35</v>
      </c>
      <c r="F577" s="141"/>
      <c r="G577" s="141">
        <v>35</v>
      </c>
      <c r="H577" s="40">
        <f>SUM(Tabla1326[[#This Row],[PRIMER TRIMESTRE]:[CUARTO TRIMESTRE]])</f>
        <v>70</v>
      </c>
      <c r="I577" s="17">
        <v>1624</v>
      </c>
      <c r="J577" s="17">
        <f>+Tabla1326[[#This Row],[CANTIDAD TOTAL]]*Tabla1326[[#This Row],[PRECIO UNITARIO ESTIMADO]]</f>
        <v>113680</v>
      </c>
      <c r="K577" s="17"/>
      <c r="L577" s="16" t="s">
        <v>15</v>
      </c>
      <c r="M577" s="16" t="s">
        <v>22</v>
      </c>
      <c r="N577" s="39" t="s">
        <v>418</v>
      </c>
      <c r="O577" s="20"/>
      <c r="R577" s="19" t="s">
        <v>126</v>
      </c>
    </row>
    <row r="578" spans="1:21" s="12" customFormat="1">
      <c r="A578" s="15" t="s">
        <v>122</v>
      </c>
      <c r="B578" s="75" t="s">
        <v>276</v>
      </c>
      <c r="C578" s="39" t="s">
        <v>17</v>
      </c>
      <c r="D578" s="39"/>
      <c r="E578" s="141">
        <v>50</v>
      </c>
      <c r="F578" s="141"/>
      <c r="G578" s="141">
        <v>50</v>
      </c>
      <c r="H578" s="40">
        <f>SUM(Tabla1326[[#This Row],[PRIMER TRIMESTRE]:[CUARTO TRIMESTRE]])</f>
        <v>100</v>
      </c>
      <c r="I578" s="17">
        <v>101.68</v>
      </c>
      <c r="J578" s="17">
        <f>+Tabla1326[[#This Row],[CANTIDAD TOTAL]]*Tabla1326[[#This Row],[PRECIO UNITARIO ESTIMADO]]</f>
        <v>10168</v>
      </c>
      <c r="K578" s="17"/>
      <c r="L578" s="16" t="s">
        <v>15</v>
      </c>
      <c r="M578" s="16" t="s">
        <v>22</v>
      </c>
      <c r="N578" s="39" t="s">
        <v>418</v>
      </c>
      <c r="O578" s="20"/>
    </row>
    <row r="579" spans="1:21" s="12" customFormat="1">
      <c r="A579" s="15" t="s">
        <v>122</v>
      </c>
      <c r="B579" s="75" t="s">
        <v>277</v>
      </c>
      <c r="C579" s="39" t="s">
        <v>17</v>
      </c>
      <c r="D579" s="39"/>
      <c r="E579" s="141">
        <v>50</v>
      </c>
      <c r="F579" s="141"/>
      <c r="G579" s="141">
        <v>50</v>
      </c>
      <c r="H579" s="40">
        <f>SUM(Tabla1326[[#This Row],[PRIMER TRIMESTRE]:[CUARTO TRIMESTRE]])</f>
        <v>100</v>
      </c>
      <c r="I579" s="17">
        <v>27.14</v>
      </c>
      <c r="J579" s="17">
        <f>+Tabla1326[[#This Row],[CANTIDAD TOTAL]]*Tabla1326[[#This Row],[PRECIO UNITARIO ESTIMADO]]</f>
        <v>2714</v>
      </c>
      <c r="K579" s="17"/>
      <c r="L579" s="16" t="s">
        <v>15</v>
      </c>
      <c r="M579" s="16" t="s">
        <v>22</v>
      </c>
      <c r="N579" s="39" t="s">
        <v>418</v>
      </c>
      <c r="O579" s="20"/>
    </row>
    <row r="580" spans="1:21" s="12" customFormat="1">
      <c r="A580" s="15" t="s">
        <v>122</v>
      </c>
      <c r="B580" s="75" t="s">
        <v>327</v>
      </c>
      <c r="C580" s="44" t="s">
        <v>102</v>
      </c>
      <c r="D580" s="39"/>
      <c r="E580" s="141">
        <v>178</v>
      </c>
      <c r="F580" s="141"/>
      <c r="G580" s="141">
        <v>178</v>
      </c>
      <c r="H580" s="40">
        <f>SUM(Tabla1326[[#This Row],[PRIMER TRIMESTRE]:[CUARTO TRIMESTRE]])</f>
        <v>356</v>
      </c>
      <c r="I580" s="17">
        <f>43660/209</f>
        <v>208.89952153110048</v>
      </c>
      <c r="J580" s="17">
        <f>+Tabla1326[[#This Row],[CANTIDAD TOTAL]]*Tabla1326[[#This Row],[PRECIO UNITARIO ESTIMADO]]</f>
        <v>74368.229665071776</v>
      </c>
      <c r="K580" s="17"/>
      <c r="L580" s="16" t="s">
        <v>15</v>
      </c>
      <c r="M580" s="30" t="s">
        <v>22</v>
      </c>
      <c r="N580" s="44" t="s">
        <v>418</v>
      </c>
      <c r="O580" s="20"/>
    </row>
    <row r="581" spans="1:21" s="12" customFormat="1">
      <c r="A581" s="15" t="s">
        <v>122</v>
      </c>
      <c r="B581" s="75" t="s">
        <v>328</v>
      </c>
      <c r="C581" s="44" t="s">
        <v>17</v>
      </c>
      <c r="D581" s="39"/>
      <c r="E581" s="141">
        <v>1</v>
      </c>
      <c r="F581" s="141"/>
      <c r="G581" s="141">
        <v>1</v>
      </c>
      <c r="H581" s="40">
        <f>SUM(Tabla1326[[#This Row],[PRIMER TRIMESTRE]:[CUARTO TRIMESTRE]])</f>
        <v>2</v>
      </c>
      <c r="I581" s="17">
        <v>12626</v>
      </c>
      <c r="J581" s="17">
        <f>+Tabla1326[[#This Row],[CANTIDAD TOTAL]]*Tabla1326[[#This Row],[PRECIO UNITARIO ESTIMADO]]</f>
        <v>25252</v>
      </c>
      <c r="K581" s="17"/>
      <c r="L581" s="16" t="s">
        <v>15</v>
      </c>
      <c r="M581" s="30" t="s">
        <v>22</v>
      </c>
      <c r="N581" s="44" t="s">
        <v>418</v>
      </c>
      <c r="O581" s="20"/>
    </row>
    <row r="582" spans="1:21" s="12" customFormat="1">
      <c r="A582" s="15" t="s">
        <v>122</v>
      </c>
      <c r="B582" s="75" t="s">
        <v>329</v>
      </c>
      <c r="C582" s="44" t="s">
        <v>17</v>
      </c>
      <c r="D582" s="39"/>
      <c r="E582" s="141">
        <v>35</v>
      </c>
      <c r="F582" s="141"/>
      <c r="G582" s="141">
        <v>35</v>
      </c>
      <c r="H582" s="40">
        <f>SUM(Tabla1326[[#This Row],[PRIMER TRIMESTRE]:[CUARTO TRIMESTRE]])</f>
        <v>70</v>
      </c>
      <c r="I582" s="17">
        <f>1382216.68/118</f>
        <v>11713.700677966101</v>
      </c>
      <c r="J582" s="17">
        <f>+Tabla1326[[#This Row],[CANTIDAD TOTAL]]*Tabla1326[[#This Row],[PRECIO UNITARIO ESTIMADO]]</f>
        <v>819959.04745762702</v>
      </c>
      <c r="K582" s="17"/>
      <c r="L582" s="16" t="s">
        <v>15</v>
      </c>
      <c r="M582" s="30" t="s">
        <v>22</v>
      </c>
      <c r="N582" s="44" t="s">
        <v>418</v>
      </c>
      <c r="O582" s="20"/>
    </row>
    <row r="583" spans="1:21" s="12" customFormat="1">
      <c r="A583" s="15" t="s">
        <v>122</v>
      </c>
      <c r="B583" s="75" t="s">
        <v>330</v>
      </c>
      <c r="C583" s="44" t="s">
        <v>17</v>
      </c>
      <c r="D583" s="39"/>
      <c r="E583" s="141">
        <v>63</v>
      </c>
      <c r="F583" s="141"/>
      <c r="G583" s="141">
        <v>63</v>
      </c>
      <c r="H583" s="40">
        <f>SUM(Tabla1326[[#This Row],[PRIMER TRIMESTRE]:[CUARTO TRIMESTRE]])</f>
        <v>126</v>
      </c>
      <c r="I583" s="17">
        <v>413</v>
      </c>
      <c r="J583" s="17">
        <f>+Tabla1326[[#This Row],[CANTIDAD TOTAL]]*Tabla1326[[#This Row],[PRECIO UNITARIO ESTIMADO]]</f>
        <v>52038</v>
      </c>
      <c r="K583" s="17"/>
      <c r="L583" s="16" t="s">
        <v>15</v>
      </c>
      <c r="M583" s="30" t="s">
        <v>22</v>
      </c>
      <c r="N583" s="44" t="s">
        <v>418</v>
      </c>
      <c r="O583" s="20"/>
    </row>
    <row r="584" spans="1:21" s="26" customFormat="1" ht="27.75" customHeight="1">
      <c r="A584" s="22" t="s">
        <v>122</v>
      </c>
      <c r="B584" s="76"/>
      <c r="C584" s="42"/>
      <c r="D584" s="42"/>
      <c r="E584" s="42"/>
      <c r="F584" s="42"/>
      <c r="G584" s="42"/>
      <c r="H584" s="43"/>
      <c r="I584" s="24"/>
      <c r="J584" s="24"/>
      <c r="K584" s="25">
        <f>SUM(J575:J583)</f>
        <v>1149744.2771226987</v>
      </c>
      <c r="L584" s="23"/>
      <c r="M584" s="23"/>
      <c r="N584" s="42"/>
      <c r="O584" s="24"/>
      <c r="R584" s="27"/>
      <c r="U584" s="23"/>
    </row>
    <row r="585" spans="1:21" s="12" customFormat="1">
      <c r="A585" s="15" t="s">
        <v>278</v>
      </c>
      <c r="B585" s="75" t="s">
        <v>279</v>
      </c>
      <c r="C585" s="39" t="s">
        <v>17</v>
      </c>
      <c r="D585" s="39"/>
      <c r="E585" s="39">
        <v>5</v>
      </c>
      <c r="F585" s="39"/>
      <c r="G585" s="39"/>
      <c r="H585" s="40">
        <f>SUM(Tabla1326[[#This Row],[PRIMER TRIMESTRE]:[CUARTO TRIMESTRE]])</f>
        <v>5</v>
      </c>
      <c r="I585" s="17">
        <v>259.68</v>
      </c>
      <c r="J585" s="17">
        <f>+Tabla1326[[#This Row],[CANTIDAD TOTAL]]*Tabla1326[[#This Row],[PRECIO UNITARIO ESTIMADO]]</f>
        <v>1298.4000000000001</v>
      </c>
      <c r="K585" s="17"/>
      <c r="L585" s="16" t="s">
        <v>15</v>
      </c>
      <c r="M585" s="16" t="s">
        <v>22</v>
      </c>
      <c r="N585" s="39" t="s">
        <v>342</v>
      </c>
      <c r="O585" s="20"/>
    </row>
    <row r="586" spans="1:21" s="12" customFormat="1" ht="39" customHeight="1">
      <c r="A586" s="15" t="s">
        <v>278</v>
      </c>
      <c r="B586" s="75" t="s">
        <v>280</v>
      </c>
      <c r="C586" s="39" t="s">
        <v>17</v>
      </c>
      <c r="D586" s="39"/>
      <c r="E586" s="39">
        <v>100</v>
      </c>
      <c r="F586" s="39"/>
      <c r="G586" s="39">
        <v>100</v>
      </c>
      <c r="H586" s="40">
        <f>SUM(Tabla1326[[#This Row],[PRIMER TRIMESTRE]:[CUARTO TRIMESTRE]])</f>
        <v>200</v>
      </c>
      <c r="I586" s="17">
        <v>150</v>
      </c>
      <c r="J586" s="17">
        <f>+Tabla1326[[#This Row],[CANTIDAD TOTAL]]*Tabla1326[[#This Row],[PRECIO UNITARIO ESTIMADO]]</f>
        <v>30000</v>
      </c>
      <c r="K586" s="17"/>
      <c r="L586" s="16" t="s">
        <v>15</v>
      </c>
      <c r="M586" s="16" t="s">
        <v>22</v>
      </c>
      <c r="N586" s="39" t="s">
        <v>342</v>
      </c>
      <c r="O586" s="20"/>
    </row>
    <row r="587" spans="1:21" s="12" customFormat="1">
      <c r="A587" s="15" t="s">
        <v>278</v>
      </c>
      <c r="B587" s="75" t="s">
        <v>566</v>
      </c>
      <c r="C587" s="39" t="s">
        <v>17</v>
      </c>
      <c r="D587" s="39"/>
      <c r="E587" s="39">
        <v>49</v>
      </c>
      <c r="F587" s="39"/>
      <c r="G587" s="39">
        <v>40</v>
      </c>
      <c r="H587" s="40">
        <f>SUM(Tabla1326[[#This Row],[PRIMER TRIMESTRE]:[CUARTO TRIMESTRE]])</f>
        <v>89</v>
      </c>
      <c r="I587" s="17">
        <v>140</v>
      </c>
      <c r="J587" s="17">
        <f>+Tabla1326[[#This Row],[CANTIDAD TOTAL]]*Tabla1326[[#This Row],[PRECIO UNITARIO ESTIMADO]]</f>
        <v>12460</v>
      </c>
      <c r="K587" s="17"/>
      <c r="L587" s="16" t="s">
        <v>15</v>
      </c>
      <c r="M587" s="16" t="s">
        <v>22</v>
      </c>
      <c r="N587" s="39" t="s">
        <v>342</v>
      </c>
      <c r="O587" s="29"/>
    </row>
    <row r="588" spans="1:21" s="12" customFormat="1">
      <c r="A588" s="15" t="s">
        <v>278</v>
      </c>
      <c r="B588" s="75" t="s">
        <v>727</v>
      </c>
      <c r="C588" s="39" t="s">
        <v>17</v>
      </c>
      <c r="D588" s="39"/>
      <c r="E588" s="39"/>
      <c r="F588" s="39"/>
      <c r="G588" s="39">
        <v>10</v>
      </c>
      <c r="H588" s="40">
        <f>SUM(Tabla1326[[#This Row],[PRIMER TRIMESTRE]:[CUARTO TRIMESTRE]])</f>
        <v>10</v>
      </c>
      <c r="I588" s="17">
        <v>21895</v>
      </c>
      <c r="J588" s="17">
        <f>+H588*I588</f>
        <v>218950</v>
      </c>
      <c r="K588" s="17"/>
      <c r="L588" s="16" t="s">
        <v>15</v>
      </c>
      <c r="M588" s="16" t="s">
        <v>22</v>
      </c>
      <c r="N588" s="39" t="s">
        <v>342</v>
      </c>
      <c r="O588" s="18"/>
    </row>
    <row r="589" spans="1:21" s="26" customFormat="1" ht="27.75" customHeight="1">
      <c r="A589" s="22" t="s">
        <v>278</v>
      </c>
      <c r="B589" s="76"/>
      <c r="C589" s="42"/>
      <c r="D589" s="42"/>
      <c r="E589" s="42"/>
      <c r="F589" s="42"/>
      <c r="G589" s="42"/>
      <c r="H589" s="43"/>
      <c r="I589" s="24"/>
      <c r="J589" s="24"/>
      <c r="K589" s="25">
        <f>SUM(J585:J588)</f>
        <v>262708.40000000002</v>
      </c>
      <c r="L589" s="23"/>
      <c r="M589" s="23"/>
      <c r="N589" s="42"/>
      <c r="O589" s="24"/>
      <c r="R589" s="27"/>
      <c r="U589" s="23"/>
    </row>
    <row r="590" spans="1:21" s="12" customFormat="1">
      <c r="A590" s="15" t="s">
        <v>124</v>
      </c>
      <c r="B590" s="75" t="s">
        <v>281</v>
      </c>
      <c r="C590" s="39" t="s">
        <v>102</v>
      </c>
      <c r="D590" s="142"/>
      <c r="E590" s="142">
        <v>150</v>
      </c>
      <c r="F590" s="142"/>
      <c r="G590" s="39">
        <v>150</v>
      </c>
      <c r="H590" s="40">
        <f>SUM(Tabla1326[[#This Row],[PRIMER TRIMESTRE]:[CUARTO TRIMESTRE]])</f>
        <v>300</v>
      </c>
      <c r="I590" s="17">
        <v>191.84</v>
      </c>
      <c r="J590" s="17">
        <f>+Tabla1326[[#This Row],[CANTIDAD TOTAL]]*Tabla1326[[#This Row],[PRECIO UNITARIO ESTIMADO]]</f>
        <v>57552</v>
      </c>
      <c r="K590" s="17"/>
      <c r="L590" s="16" t="s">
        <v>15</v>
      </c>
      <c r="M590" s="16" t="s">
        <v>22</v>
      </c>
      <c r="N590" s="39" t="s">
        <v>342</v>
      </c>
      <c r="O590" s="20"/>
    </row>
    <row r="591" spans="1:21" s="12" customFormat="1">
      <c r="A591" s="15" t="s">
        <v>124</v>
      </c>
      <c r="B591" s="75" t="s">
        <v>282</v>
      </c>
      <c r="C591" s="39" t="s">
        <v>69</v>
      </c>
      <c r="D591" s="142"/>
      <c r="E591" s="142">
        <v>250</v>
      </c>
      <c r="F591" s="142"/>
      <c r="G591" s="39">
        <v>250</v>
      </c>
      <c r="H591" s="40">
        <f>SUM(Tabla1326[[#This Row],[PRIMER TRIMESTRE]:[CUARTO TRIMESTRE]])</f>
        <v>500</v>
      </c>
      <c r="I591" s="17">
        <v>83.78</v>
      </c>
      <c r="J591" s="17">
        <f>+Tabla1326[[#This Row],[CANTIDAD TOTAL]]*Tabla1326[[#This Row],[PRECIO UNITARIO ESTIMADO]]</f>
        <v>41890</v>
      </c>
      <c r="K591" s="17"/>
      <c r="L591" s="16" t="s">
        <v>15</v>
      </c>
      <c r="M591" s="16" t="s">
        <v>22</v>
      </c>
      <c r="N591" s="39" t="s">
        <v>342</v>
      </c>
      <c r="O591" s="20"/>
    </row>
    <row r="592" spans="1:21" s="12" customFormat="1">
      <c r="A592" s="15" t="s">
        <v>124</v>
      </c>
      <c r="B592" s="75" t="s">
        <v>283</v>
      </c>
      <c r="C592" s="39" t="s">
        <v>17</v>
      </c>
      <c r="D592" s="142"/>
      <c r="E592" s="142">
        <v>20</v>
      </c>
      <c r="F592" s="142"/>
      <c r="G592" s="39">
        <v>20</v>
      </c>
      <c r="H592" s="40">
        <f>SUM(Tabla1326[[#This Row],[PRIMER TRIMESTRE]:[CUARTO TRIMESTRE]])</f>
        <v>40</v>
      </c>
      <c r="I592" s="17">
        <v>82.94</v>
      </c>
      <c r="J592" s="17">
        <f>+Tabla1326[[#This Row],[CANTIDAD TOTAL]]*Tabla1326[[#This Row],[PRECIO UNITARIO ESTIMADO]]</f>
        <v>3317.6</v>
      </c>
      <c r="K592" s="17"/>
      <c r="L592" s="16" t="s">
        <v>15</v>
      </c>
      <c r="M592" s="16" t="s">
        <v>22</v>
      </c>
      <c r="N592" s="39" t="s">
        <v>342</v>
      </c>
      <c r="O592" s="20"/>
    </row>
    <row r="593" spans="1:15" s="12" customFormat="1">
      <c r="A593" s="15" t="s">
        <v>124</v>
      </c>
      <c r="B593" s="75" t="s">
        <v>284</v>
      </c>
      <c r="C593" s="39" t="s">
        <v>17</v>
      </c>
      <c r="D593" s="142"/>
      <c r="E593" s="142">
        <v>400</v>
      </c>
      <c r="F593" s="142"/>
      <c r="G593" s="39">
        <v>400</v>
      </c>
      <c r="H593" s="40">
        <f>SUM(Tabla1326[[#This Row],[PRIMER TRIMESTRE]:[CUARTO TRIMESTRE]])</f>
        <v>800</v>
      </c>
      <c r="I593" s="17">
        <v>26.67</v>
      </c>
      <c r="J593" s="17">
        <f>+Tabla1326[[#This Row],[CANTIDAD TOTAL]]*Tabla1326[[#This Row],[PRECIO UNITARIO ESTIMADO]]</f>
        <v>21336</v>
      </c>
      <c r="K593" s="17"/>
      <c r="L593" s="16" t="s">
        <v>15</v>
      </c>
      <c r="M593" s="16" t="s">
        <v>22</v>
      </c>
      <c r="N593" s="39" t="s">
        <v>342</v>
      </c>
      <c r="O593" s="20"/>
    </row>
    <row r="594" spans="1:15" s="12" customFormat="1">
      <c r="A594" s="15" t="s">
        <v>124</v>
      </c>
      <c r="B594" s="75" t="s">
        <v>726</v>
      </c>
      <c r="C594" s="39" t="s">
        <v>17</v>
      </c>
      <c r="D594" s="142"/>
      <c r="E594" s="142">
        <v>100</v>
      </c>
      <c r="F594" s="142"/>
      <c r="G594" s="39">
        <v>100</v>
      </c>
      <c r="H594" s="40">
        <f>SUM(Tabla1326[[#This Row],[PRIMER TRIMESTRE]:[CUARTO TRIMESTRE]])</f>
        <v>200</v>
      </c>
      <c r="I594" s="72">
        <v>50</v>
      </c>
      <c r="J594" s="17">
        <f>+H594*I594</f>
        <v>10000</v>
      </c>
      <c r="K594" s="17"/>
      <c r="L594" s="16" t="s">
        <v>15</v>
      </c>
      <c r="M594" s="16" t="s">
        <v>22</v>
      </c>
      <c r="N594" s="39" t="s">
        <v>342</v>
      </c>
      <c r="O594" s="18"/>
    </row>
    <row r="595" spans="1:15" s="12" customFormat="1">
      <c r="A595" s="15" t="s">
        <v>124</v>
      </c>
      <c r="B595" s="75" t="s">
        <v>285</v>
      </c>
      <c r="C595" s="39" t="s">
        <v>33</v>
      </c>
      <c r="D595" s="142"/>
      <c r="E595" s="142">
        <v>150</v>
      </c>
      <c r="F595" s="142"/>
      <c r="G595" s="39">
        <v>150</v>
      </c>
      <c r="H595" s="40">
        <f>SUM(Tabla1326[[#This Row],[PRIMER TRIMESTRE]:[CUARTO TRIMESTRE]])</f>
        <v>300</v>
      </c>
      <c r="I595" s="17">
        <v>115.94</v>
      </c>
      <c r="J595" s="17">
        <f>+Tabla1326[[#This Row],[CANTIDAD TOTAL]]*Tabla1326[[#This Row],[PRECIO UNITARIO ESTIMADO]]</f>
        <v>34782</v>
      </c>
      <c r="K595" s="17"/>
      <c r="L595" s="16" t="s">
        <v>15</v>
      </c>
      <c r="M595" s="16" t="s">
        <v>22</v>
      </c>
      <c r="N595" s="39" t="s">
        <v>342</v>
      </c>
      <c r="O595" s="20"/>
    </row>
    <row r="596" spans="1:15" s="12" customFormat="1">
      <c r="A596" s="15" t="s">
        <v>124</v>
      </c>
      <c r="B596" s="75" t="s">
        <v>287</v>
      </c>
      <c r="C596" s="39" t="s">
        <v>288</v>
      </c>
      <c r="D596" s="142"/>
      <c r="E596" s="142">
        <v>50</v>
      </c>
      <c r="F596" s="142"/>
      <c r="G596" s="39">
        <v>50</v>
      </c>
      <c r="H596" s="40">
        <f>SUM(Tabla1326[[#This Row],[PRIMER TRIMESTRE]:[CUARTO TRIMESTRE]])</f>
        <v>100</v>
      </c>
      <c r="I596" s="17">
        <v>255.31</v>
      </c>
      <c r="J596" s="17">
        <f>+Tabla1326[[#This Row],[CANTIDAD TOTAL]]*Tabla1326[[#This Row],[PRECIO UNITARIO ESTIMADO]]</f>
        <v>25531</v>
      </c>
      <c r="K596" s="17"/>
      <c r="L596" s="16" t="s">
        <v>15</v>
      </c>
      <c r="M596" s="16" t="s">
        <v>22</v>
      </c>
      <c r="N596" s="39" t="s">
        <v>342</v>
      </c>
      <c r="O596" s="20"/>
    </row>
    <row r="597" spans="1:15" s="12" customFormat="1" ht="30.75" customHeight="1">
      <c r="A597" s="15" t="s">
        <v>124</v>
      </c>
      <c r="B597" s="75" t="s">
        <v>723</v>
      </c>
      <c r="C597" s="39" t="s">
        <v>722</v>
      </c>
      <c r="D597" s="142"/>
      <c r="E597" s="142">
        <v>12</v>
      </c>
      <c r="F597" s="142"/>
      <c r="G597" s="39">
        <v>12</v>
      </c>
      <c r="H597" s="40">
        <f>SUM(Tabla1326[[#This Row],[PRIMER TRIMESTRE]:[CUARTO TRIMESTRE]])</f>
        <v>24</v>
      </c>
      <c r="I597" s="17">
        <v>945</v>
      </c>
      <c r="J597" s="17">
        <f>+Tabla1326[[#This Row],[CANTIDAD TOTAL]]*Tabla1326[[#This Row],[PRECIO UNITARIO ESTIMADO]]</f>
        <v>22680</v>
      </c>
      <c r="K597" s="17"/>
      <c r="L597" s="16" t="s">
        <v>15</v>
      </c>
      <c r="M597" s="16" t="s">
        <v>22</v>
      </c>
      <c r="N597" s="39" t="s">
        <v>342</v>
      </c>
      <c r="O597" s="20"/>
    </row>
    <row r="598" spans="1:15" s="12" customFormat="1" ht="30.75" customHeight="1">
      <c r="A598" s="15" t="s">
        <v>124</v>
      </c>
      <c r="B598" s="75" t="s">
        <v>739</v>
      </c>
      <c r="C598" s="39" t="s">
        <v>740</v>
      </c>
      <c r="D598" s="142"/>
      <c r="E598" s="142"/>
      <c r="F598" s="142"/>
      <c r="G598" s="39">
        <v>40</v>
      </c>
      <c r="H598" s="40">
        <f>SUM(Tabla1326[[#This Row],[PRIMER TRIMESTRE]:[CUARTO TRIMESTRE]])</f>
        <v>40</v>
      </c>
      <c r="I598" s="17">
        <v>174.91</v>
      </c>
      <c r="J598" s="17">
        <f>+H598*I598</f>
        <v>6996.4</v>
      </c>
      <c r="K598" s="17"/>
      <c r="L598" s="16" t="s">
        <v>15</v>
      </c>
      <c r="M598" s="16" t="s">
        <v>22</v>
      </c>
      <c r="N598" s="39" t="s">
        <v>342</v>
      </c>
      <c r="O598" s="18"/>
    </row>
    <row r="599" spans="1:15" s="12" customFormat="1" ht="33" customHeight="1">
      <c r="A599" s="15" t="s">
        <v>124</v>
      </c>
      <c r="B599" s="75" t="s">
        <v>289</v>
      </c>
      <c r="C599" s="39" t="s">
        <v>290</v>
      </c>
      <c r="D599" s="142"/>
      <c r="E599" s="142">
        <v>200</v>
      </c>
      <c r="F599" s="142"/>
      <c r="G599" s="39">
        <f>200+20</f>
        <v>220</v>
      </c>
      <c r="H599" s="40">
        <f>SUM(Tabla1326[[#This Row],[PRIMER TRIMESTRE]:[CUARTO TRIMESTRE]])</f>
        <v>420</v>
      </c>
      <c r="I599" s="17">
        <v>240</v>
      </c>
      <c r="J599" s="17">
        <f>+Tabla1326[[#This Row],[CANTIDAD TOTAL]]*Tabla1326[[#This Row],[PRECIO UNITARIO ESTIMADO]]</f>
        <v>100800</v>
      </c>
      <c r="K599" s="17"/>
      <c r="L599" s="16" t="s">
        <v>15</v>
      </c>
      <c r="M599" s="16" t="s">
        <v>22</v>
      </c>
      <c r="N599" s="39" t="s">
        <v>342</v>
      </c>
      <c r="O599" s="20"/>
    </row>
    <row r="600" spans="1:15" s="12" customFormat="1" ht="39" customHeight="1">
      <c r="A600" s="15" t="s">
        <v>124</v>
      </c>
      <c r="B600" s="75" t="s">
        <v>291</v>
      </c>
      <c r="C600" s="39" t="s">
        <v>290</v>
      </c>
      <c r="D600" s="142"/>
      <c r="E600" s="142">
        <v>70</v>
      </c>
      <c r="F600" s="142"/>
      <c r="G600" s="39">
        <v>70</v>
      </c>
      <c r="H600" s="40">
        <f>SUM(Tabla1326[[#This Row],[PRIMER TRIMESTRE]:[CUARTO TRIMESTRE]])</f>
        <v>140</v>
      </c>
      <c r="I600" s="17">
        <v>121.8</v>
      </c>
      <c r="J600" s="17">
        <f>+Tabla1326[[#This Row],[CANTIDAD TOTAL]]*Tabla1326[[#This Row],[PRECIO UNITARIO ESTIMADO]]</f>
        <v>17052</v>
      </c>
      <c r="K600" s="17"/>
      <c r="L600" s="16" t="s">
        <v>15</v>
      </c>
      <c r="M600" s="16" t="s">
        <v>22</v>
      </c>
      <c r="N600" s="39" t="s">
        <v>342</v>
      </c>
      <c r="O600" s="20"/>
    </row>
    <row r="601" spans="1:15" s="12" customFormat="1" ht="27" customHeight="1">
      <c r="A601" s="15" t="s">
        <v>124</v>
      </c>
      <c r="B601" s="75" t="s">
        <v>469</v>
      </c>
      <c r="C601" s="39" t="s">
        <v>17</v>
      </c>
      <c r="D601" s="142"/>
      <c r="E601" s="142"/>
      <c r="F601" s="142"/>
      <c r="G601" s="39">
        <f>258/2</f>
        <v>129</v>
      </c>
      <c r="H601" s="40">
        <f>SUM(Tabla1326[[#This Row],[PRIMER TRIMESTRE]:[CUARTO TRIMESTRE]])</f>
        <v>129</v>
      </c>
      <c r="I601" s="17">
        <v>217.18</v>
      </c>
      <c r="J601" s="17">
        <f>+H601*I601</f>
        <v>28016.22</v>
      </c>
      <c r="K601" s="17"/>
      <c r="L601" s="16" t="s">
        <v>15</v>
      </c>
      <c r="M601" s="16" t="s">
        <v>22</v>
      </c>
      <c r="N601" s="39" t="s">
        <v>342</v>
      </c>
      <c r="O601" s="18"/>
    </row>
    <row r="602" spans="1:15" s="12" customFormat="1" ht="27" customHeight="1">
      <c r="A602" s="15" t="s">
        <v>124</v>
      </c>
      <c r="B602" s="75" t="s">
        <v>564</v>
      </c>
      <c r="C602" s="39" t="s">
        <v>17</v>
      </c>
      <c r="D602" s="142"/>
      <c r="E602" s="142">
        <v>350</v>
      </c>
      <c r="F602" s="142"/>
      <c r="G602" s="39">
        <v>350</v>
      </c>
      <c r="H602" s="40">
        <f>SUM(Tabla1326[[#This Row],[PRIMER TRIMESTRE]:[CUARTO TRIMESTRE]])</f>
        <v>700</v>
      </c>
      <c r="I602" s="17">
        <v>130</v>
      </c>
      <c r="J602" s="17">
        <f>+H602*I602</f>
        <v>91000</v>
      </c>
      <c r="K602" s="17"/>
      <c r="L602" s="16" t="s">
        <v>15</v>
      </c>
      <c r="M602" s="16" t="s">
        <v>22</v>
      </c>
      <c r="N602" s="39" t="s">
        <v>342</v>
      </c>
      <c r="O602" s="18"/>
    </row>
    <row r="603" spans="1:15" s="12" customFormat="1">
      <c r="A603" s="15" t="s">
        <v>124</v>
      </c>
      <c r="B603" s="75" t="s">
        <v>741</v>
      </c>
      <c r="C603" s="39" t="s">
        <v>17</v>
      </c>
      <c r="D603" s="142"/>
      <c r="E603" s="142"/>
      <c r="F603" s="142"/>
      <c r="G603" s="39">
        <v>100</v>
      </c>
      <c r="H603" s="40">
        <f>SUM(Tabla1326[[#This Row],[PRIMER TRIMESTRE]:[CUARTO TRIMESTRE]])</f>
        <v>100</v>
      </c>
      <c r="I603" s="17">
        <v>217.18</v>
      </c>
      <c r="J603" s="17">
        <f>+Tabla1326[[#This Row],[CANTIDAD TOTAL]]*Tabla1326[[#This Row],[PRECIO UNITARIO ESTIMADO]]</f>
        <v>21718</v>
      </c>
      <c r="K603" s="17"/>
      <c r="L603" s="16" t="s">
        <v>15</v>
      </c>
      <c r="M603" s="16" t="s">
        <v>22</v>
      </c>
      <c r="N603" s="39" t="s">
        <v>342</v>
      </c>
      <c r="O603" s="20"/>
    </row>
    <row r="604" spans="1:15" s="12" customFormat="1">
      <c r="A604" s="15" t="s">
        <v>124</v>
      </c>
      <c r="B604" s="75" t="s">
        <v>292</v>
      </c>
      <c r="C604" s="39" t="s">
        <v>17</v>
      </c>
      <c r="D604" s="142"/>
      <c r="E604" s="142"/>
      <c r="F604" s="142"/>
      <c r="G604" s="39">
        <v>1000</v>
      </c>
      <c r="H604" s="40">
        <f>SUM(Tabla1326[[#This Row],[PRIMER TRIMESTRE]:[CUARTO TRIMESTRE]])</f>
        <v>1000</v>
      </c>
      <c r="I604" s="17">
        <v>377.54</v>
      </c>
      <c r="J604" s="17">
        <f>+Tabla1326[[#This Row],[CANTIDAD TOTAL]]*Tabla1326[[#This Row],[PRECIO UNITARIO ESTIMADO]]</f>
        <v>377540</v>
      </c>
      <c r="K604" s="17"/>
      <c r="L604" s="16" t="s">
        <v>15</v>
      </c>
      <c r="M604" s="16" t="s">
        <v>22</v>
      </c>
      <c r="N604" s="39" t="s">
        <v>342</v>
      </c>
      <c r="O604" s="20"/>
    </row>
    <row r="605" spans="1:15" s="12" customFormat="1">
      <c r="A605" s="15" t="s">
        <v>124</v>
      </c>
      <c r="B605" s="75" t="s">
        <v>725</v>
      </c>
      <c r="C605" s="39" t="s">
        <v>17</v>
      </c>
      <c r="D605" s="142"/>
      <c r="E605" s="142">
        <v>50</v>
      </c>
      <c r="F605" s="142"/>
      <c r="G605" s="39">
        <v>50</v>
      </c>
      <c r="H605" s="40">
        <f>SUM(Tabla1326[[#This Row],[PRIMER TRIMESTRE]:[CUARTO TRIMESTRE]])</f>
        <v>100</v>
      </c>
      <c r="I605" s="17">
        <v>90</v>
      </c>
      <c r="J605" s="17">
        <f>+H605*I605</f>
        <v>9000</v>
      </c>
      <c r="K605" s="17"/>
      <c r="L605" s="16" t="s">
        <v>15</v>
      </c>
      <c r="M605" s="16" t="s">
        <v>22</v>
      </c>
      <c r="N605" s="39" t="s">
        <v>342</v>
      </c>
      <c r="O605" s="18"/>
    </row>
    <row r="606" spans="1:15" s="12" customFormat="1">
      <c r="A606" s="15" t="s">
        <v>124</v>
      </c>
      <c r="B606" s="75" t="s">
        <v>293</v>
      </c>
      <c r="C606" s="39" t="s">
        <v>33</v>
      </c>
      <c r="D606" s="142"/>
      <c r="E606" s="142">
        <v>80</v>
      </c>
      <c r="F606" s="142"/>
      <c r="G606" s="39">
        <v>80</v>
      </c>
      <c r="H606" s="40">
        <f>SUM(Tabla1326[[#This Row],[PRIMER TRIMESTRE]:[CUARTO TRIMESTRE]])</f>
        <v>160</v>
      </c>
      <c r="I606" s="17">
        <v>214.6</v>
      </c>
      <c r="J606" s="17">
        <f>+Tabla1326[[#This Row],[CANTIDAD TOTAL]]*Tabla1326[[#This Row],[PRECIO UNITARIO ESTIMADO]]</f>
        <v>34336</v>
      </c>
      <c r="K606" s="17"/>
      <c r="L606" s="16" t="s">
        <v>15</v>
      </c>
      <c r="M606" s="16" t="s">
        <v>22</v>
      </c>
      <c r="N606" s="39" t="s">
        <v>342</v>
      </c>
      <c r="O606" s="20"/>
    </row>
    <row r="607" spans="1:15" s="12" customFormat="1">
      <c r="A607" s="15" t="s">
        <v>124</v>
      </c>
      <c r="B607" s="75" t="s">
        <v>294</v>
      </c>
      <c r="C607" s="39" t="s">
        <v>17</v>
      </c>
      <c r="D607" s="142"/>
      <c r="E607" s="143">
        <v>17</v>
      </c>
      <c r="F607" s="143"/>
      <c r="G607" s="70">
        <v>17</v>
      </c>
      <c r="H607" s="40">
        <f>SUM(Tabla1326[[#This Row],[PRIMER TRIMESTRE]:[CUARTO TRIMESTRE]])</f>
        <v>34</v>
      </c>
      <c r="I607" s="17">
        <v>424.95</v>
      </c>
      <c r="J607" s="17">
        <f>+Tabla1326[[#This Row],[CANTIDAD TOTAL]]*Tabla1326[[#This Row],[PRECIO UNITARIO ESTIMADO]]</f>
        <v>14448.3</v>
      </c>
      <c r="K607" s="17"/>
      <c r="L607" s="16" t="s">
        <v>15</v>
      </c>
      <c r="M607" s="16" t="s">
        <v>22</v>
      </c>
      <c r="N607" s="39" t="s">
        <v>342</v>
      </c>
      <c r="O607" s="20"/>
    </row>
    <row r="608" spans="1:15" s="12" customFormat="1">
      <c r="A608" s="15" t="s">
        <v>124</v>
      </c>
      <c r="B608" s="75" t="s">
        <v>331</v>
      </c>
      <c r="C608" s="39" t="s">
        <v>33</v>
      </c>
      <c r="D608" s="142"/>
      <c r="E608" s="142">
        <v>80</v>
      </c>
      <c r="F608" s="142"/>
      <c r="G608" s="39">
        <v>80</v>
      </c>
      <c r="H608" s="40">
        <f>SUM(Tabla1326[[#This Row],[PRIMER TRIMESTRE]:[CUARTO TRIMESTRE]])</f>
        <v>160</v>
      </c>
      <c r="I608" s="17">
        <v>404.45</v>
      </c>
      <c r="J608" s="17">
        <f>+Tabla1326[[#This Row],[CANTIDAD TOTAL]]*Tabla1326[[#This Row],[PRECIO UNITARIO ESTIMADO]]</f>
        <v>64712</v>
      </c>
      <c r="K608" s="17"/>
      <c r="L608" s="16" t="s">
        <v>15</v>
      </c>
      <c r="M608" s="16" t="s">
        <v>22</v>
      </c>
      <c r="N608" s="39" t="s">
        <v>342</v>
      </c>
      <c r="O608" s="20"/>
    </row>
    <row r="609" spans="1:21" s="12" customFormat="1">
      <c r="A609" s="15" t="s">
        <v>124</v>
      </c>
      <c r="B609" s="75" t="s">
        <v>724</v>
      </c>
      <c r="C609" s="39" t="s">
        <v>17</v>
      </c>
      <c r="D609" s="142"/>
      <c r="E609" s="142">
        <v>50</v>
      </c>
      <c r="F609" s="142"/>
      <c r="G609" s="39">
        <v>50</v>
      </c>
      <c r="H609" s="40">
        <f>SUM(Tabla1326[[#This Row],[PRIMER TRIMESTRE]:[CUARTO TRIMESTRE]])</f>
        <v>100</v>
      </c>
      <c r="I609" s="17">
        <v>140</v>
      </c>
      <c r="J609" s="17">
        <f>+H609*I609</f>
        <v>14000</v>
      </c>
      <c r="K609" s="17"/>
      <c r="L609" s="16" t="s">
        <v>15</v>
      </c>
      <c r="M609" s="16" t="s">
        <v>22</v>
      </c>
      <c r="N609" s="39" t="s">
        <v>342</v>
      </c>
      <c r="O609" s="18"/>
    </row>
    <row r="610" spans="1:21" s="26" customFormat="1" ht="27.75" customHeight="1">
      <c r="A610" s="22" t="s">
        <v>124</v>
      </c>
      <c r="B610" s="76"/>
      <c r="C610" s="42"/>
      <c r="D610" s="42"/>
      <c r="E610" s="42"/>
      <c r="F610" s="42"/>
      <c r="G610" s="42"/>
      <c r="H610" s="43"/>
      <c r="I610" s="24"/>
      <c r="J610" s="24"/>
      <c r="K610" s="25">
        <f>SUM(J590:J609)</f>
        <v>996707.52</v>
      </c>
      <c r="L610" s="23"/>
      <c r="M610" s="23"/>
      <c r="N610" s="42"/>
      <c r="O610" s="24"/>
      <c r="R610" s="27"/>
      <c r="U610" s="23"/>
    </row>
    <row r="611" spans="1:21" s="12" customFormat="1" ht="41.25" customHeight="1">
      <c r="A611" s="15" t="s">
        <v>117</v>
      </c>
      <c r="B611" s="75" t="s">
        <v>781</v>
      </c>
      <c r="C611" s="39" t="s">
        <v>17</v>
      </c>
      <c r="D611" s="39"/>
      <c r="E611" s="39">
        <v>1</v>
      </c>
      <c r="F611" s="39"/>
      <c r="G611" s="39"/>
      <c r="H611" s="40">
        <f>SUM(Tabla1326[[#This Row],[PRIMER TRIMESTRE]:[CUARTO TRIMESTRE]])</f>
        <v>1</v>
      </c>
      <c r="I611" s="17">
        <v>15000000</v>
      </c>
      <c r="J611" s="17">
        <f>+H611*I611</f>
        <v>15000000</v>
      </c>
      <c r="K611" s="17"/>
      <c r="L611" s="16" t="s">
        <v>18</v>
      </c>
      <c r="M611" s="16" t="s">
        <v>19</v>
      </c>
      <c r="N611" s="39"/>
      <c r="O611" s="20"/>
      <c r="R611" s="19"/>
      <c r="U611" s="16"/>
    </row>
    <row r="612" spans="1:21" s="12" customFormat="1" ht="41.25" customHeight="1">
      <c r="A612" s="15" t="s">
        <v>117</v>
      </c>
      <c r="B612" s="75" t="s">
        <v>779</v>
      </c>
      <c r="C612" s="39" t="s">
        <v>17</v>
      </c>
      <c r="D612" s="39"/>
      <c r="E612" s="39">
        <v>1</v>
      </c>
      <c r="F612" s="39"/>
      <c r="G612" s="39"/>
      <c r="H612" s="40">
        <f>SUM(Tabla1326[[#This Row],[PRIMER TRIMESTRE]:[CUARTO TRIMESTRE]])</f>
        <v>1</v>
      </c>
      <c r="I612" s="17">
        <v>1500000</v>
      </c>
      <c r="J612" s="17">
        <f>+H612*I612</f>
        <v>1500000</v>
      </c>
      <c r="K612" s="17"/>
      <c r="L612" s="16" t="s">
        <v>18</v>
      </c>
      <c r="M612" s="16" t="s">
        <v>22</v>
      </c>
      <c r="N612" s="39" t="s">
        <v>418</v>
      </c>
      <c r="O612" s="18"/>
      <c r="R612" s="19"/>
      <c r="U612" s="16"/>
    </row>
    <row r="613" spans="1:21" s="12" customFormat="1" ht="41.25" customHeight="1">
      <c r="A613" s="15" t="s">
        <v>117</v>
      </c>
      <c r="B613" s="75" t="s">
        <v>780</v>
      </c>
      <c r="C613" s="39" t="s">
        <v>17</v>
      </c>
      <c r="D613" s="39"/>
      <c r="E613" s="39">
        <v>1</v>
      </c>
      <c r="F613" s="39"/>
      <c r="G613" s="39"/>
      <c r="H613" s="40">
        <f>SUM(Tabla1326[[#This Row],[PRIMER TRIMESTRE]:[CUARTO TRIMESTRE]])</f>
        <v>1</v>
      </c>
      <c r="I613" s="17">
        <v>2500000</v>
      </c>
      <c r="J613" s="17">
        <f>+H613*I613</f>
        <v>2500000</v>
      </c>
      <c r="K613" s="17"/>
      <c r="L613" s="16" t="s">
        <v>18</v>
      </c>
      <c r="M613" s="16" t="s">
        <v>22</v>
      </c>
      <c r="N613" s="39" t="s">
        <v>418</v>
      </c>
      <c r="O613" s="18"/>
      <c r="R613" s="19"/>
      <c r="U613" s="16"/>
    </row>
    <row r="614" spans="1:21" s="12" customFormat="1" ht="41.25" customHeight="1">
      <c r="A614" s="15" t="s">
        <v>117</v>
      </c>
      <c r="B614" s="75" t="s">
        <v>889</v>
      </c>
      <c r="C614" s="39" t="s">
        <v>17</v>
      </c>
      <c r="D614" s="39"/>
      <c r="E614" s="39">
        <v>5</v>
      </c>
      <c r="F614" s="39"/>
      <c r="G614" s="39">
        <v>5</v>
      </c>
      <c r="H614" s="40">
        <f>SUM(Tabla1326[[#This Row],[PRIMER TRIMESTRE]:[CUARTO TRIMESTRE]])</f>
        <v>10</v>
      </c>
      <c r="I614" s="17">
        <v>42500</v>
      </c>
      <c r="J614" s="17">
        <v>850000</v>
      </c>
      <c r="K614" s="17"/>
      <c r="L614" s="16" t="s">
        <v>18</v>
      </c>
      <c r="M614" s="16" t="s">
        <v>22</v>
      </c>
      <c r="N614" s="39" t="s">
        <v>418</v>
      </c>
      <c r="O614" s="18"/>
      <c r="R614" s="19"/>
      <c r="U614" s="16"/>
    </row>
    <row r="615" spans="1:21" s="12" customFormat="1" ht="25.5">
      <c r="A615" s="15" t="s">
        <v>117</v>
      </c>
      <c r="B615" s="75" t="s">
        <v>890</v>
      </c>
      <c r="C615" s="39" t="s">
        <v>17</v>
      </c>
      <c r="D615" s="39"/>
      <c r="E615" s="39">
        <v>70</v>
      </c>
      <c r="F615" s="39"/>
      <c r="G615" s="39">
        <v>70</v>
      </c>
      <c r="H615" s="40">
        <f>SUM(Tabla1326[[#This Row],[PRIMER TRIMESTRE]:[CUARTO TRIMESTRE]])</f>
        <v>140</v>
      </c>
      <c r="I615" s="17">
        <v>5350</v>
      </c>
      <c r="J615" s="17">
        <f>+Tabla1326[[#This Row],[CANTIDAD TOTAL]]*Tabla1326[[#This Row],[PRECIO UNITARIO ESTIMADO]]</f>
        <v>749000</v>
      </c>
      <c r="K615" s="17"/>
      <c r="L615" s="16" t="s">
        <v>18</v>
      </c>
      <c r="M615" s="16" t="s">
        <v>22</v>
      </c>
      <c r="N615" s="39" t="s">
        <v>418</v>
      </c>
      <c r="O615" s="20"/>
    </row>
    <row r="616" spans="1:21" s="26" customFormat="1" ht="27.75" customHeight="1">
      <c r="A616" s="22" t="s">
        <v>117</v>
      </c>
      <c r="B616" s="76" t="s">
        <v>891</v>
      </c>
      <c r="C616" s="42"/>
      <c r="D616" s="42"/>
      <c r="E616" s="42"/>
      <c r="F616" s="42"/>
      <c r="G616" s="42"/>
      <c r="H616" s="43"/>
      <c r="I616" s="24"/>
      <c r="J616" s="24"/>
      <c r="K616" s="25">
        <f>SUM(J611:J613)</f>
        <v>19000000</v>
      </c>
      <c r="L616" s="23"/>
      <c r="M616" s="23"/>
      <c r="N616" s="42"/>
      <c r="O616" s="24"/>
      <c r="R616" s="27"/>
      <c r="U616" s="23"/>
    </row>
    <row r="617" spans="1:21" s="12" customFormat="1" ht="49.5" customHeight="1">
      <c r="A617" s="15" t="s">
        <v>115</v>
      </c>
      <c r="B617" s="75" t="s">
        <v>892</v>
      </c>
      <c r="C617" s="39" t="s">
        <v>17</v>
      </c>
      <c r="D617" s="39"/>
      <c r="E617" s="39">
        <v>10</v>
      </c>
      <c r="F617" s="39"/>
      <c r="G617" s="39">
        <v>15</v>
      </c>
      <c r="H617" s="41">
        <f>SUM(Tabla1326[[#This Row],[PRIMER TRIMESTRE]:[CUARTO TRIMESTRE]])</f>
        <v>25</v>
      </c>
      <c r="I617" s="17">
        <v>3519</v>
      </c>
      <c r="J617" s="17">
        <f>+Tabla1326[[#This Row],[CANTIDAD TOTAL]]*Tabla1326[[#This Row],[PRECIO UNITARIO ESTIMADO]]</f>
        <v>87975</v>
      </c>
      <c r="K617" s="17"/>
      <c r="L617" s="16" t="s">
        <v>27</v>
      </c>
      <c r="M617" s="16" t="s">
        <v>22</v>
      </c>
      <c r="N617" s="39" t="s">
        <v>418</v>
      </c>
      <c r="O617" s="20"/>
      <c r="R617" s="19"/>
      <c r="U617" s="16"/>
    </row>
    <row r="618" spans="1:21" s="12" customFormat="1" ht="25.5">
      <c r="A618" s="15" t="s">
        <v>115</v>
      </c>
      <c r="B618" s="75" t="s">
        <v>893</v>
      </c>
      <c r="C618" s="39" t="s">
        <v>17</v>
      </c>
      <c r="D618" s="39"/>
      <c r="E618" s="39">
        <v>20</v>
      </c>
      <c r="F618" s="39"/>
      <c r="G618" s="39">
        <v>20</v>
      </c>
      <c r="H618" s="41">
        <f>SUM(Tabla1326[[#This Row],[PRIMER TRIMESTRE]:[CUARTO TRIMESTRE]])</f>
        <v>40</v>
      </c>
      <c r="I618" s="17">
        <v>1564</v>
      </c>
      <c r="J618" s="17">
        <f>+Tabla1326[[#This Row],[CANTIDAD TOTAL]]*Tabla1326[[#This Row],[PRECIO UNITARIO ESTIMADO]]</f>
        <v>62560</v>
      </c>
      <c r="K618" s="17"/>
      <c r="L618" s="16" t="s">
        <v>27</v>
      </c>
      <c r="M618" s="16" t="s">
        <v>22</v>
      </c>
      <c r="N618" s="39" t="s">
        <v>418</v>
      </c>
      <c r="O618" s="20"/>
    </row>
    <row r="619" spans="1:21" s="12" customFormat="1" ht="25.5">
      <c r="A619" s="15" t="s">
        <v>115</v>
      </c>
      <c r="B619" s="75" t="s">
        <v>894</v>
      </c>
      <c r="C619" s="39" t="s">
        <v>17</v>
      </c>
      <c r="D619" s="39"/>
      <c r="E619" s="39">
        <v>40</v>
      </c>
      <c r="F619" s="39"/>
      <c r="G619" s="39">
        <v>40</v>
      </c>
      <c r="H619" s="41">
        <f>SUM(Tabla1326[[#This Row],[PRIMER TRIMESTRE]:[CUARTO TRIMESTRE]])</f>
        <v>80</v>
      </c>
      <c r="I619" s="17">
        <v>586.5</v>
      </c>
      <c r="J619" s="17">
        <f>+Tabla1326[[#This Row],[CANTIDAD TOTAL]]*Tabla1326[[#This Row],[PRECIO UNITARIO ESTIMADO]]</f>
        <v>46920</v>
      </c>
      <c r="K619" s="17"/>
      <c r="L619" s="16" t="s">
        <v>27</v>
      </c>
      <c r="M619" s="16" t="s">
        <v>22</v>
      </c>
      <c r="N619" s="39" t="s">
        <v>418</v>
      </c>
      <c r="O619" s="20"/>
    </row>
    <row r="620" spans="1:21" s="12" customFormat="1" ht="25.5">
      <c r="A620" s="15" t="s">
        <v>115</v>
      </c>
      <c r="B620" s="75" t="s">
        <v>895</v>
      </c>
      <c r="C620" s="39" t="s">
        <v>17</v>
      </c>
      <c r="D620" s="39"/>
      <c r="E620" s="39">
        <v>8</v>
      </c>
      <c r="F620" s="39"/>
      <c r="G620" s="39"/>
      <c r="H620" s="41">
        <f>SUM(Tabla1326[[#This Row],[PRIMER TRIMESTRE]:[CUARTO TRIMESTRE]])</f>
        <v>8</v>
      </c>
      <c r="I620" s="17">
        <v>586.5</v>
      </c>
      <c r="J620" s="17">
        <f>+Tabla1326[[#This Row],[CANTIDAD TOTAL]]*Tabla1326[[#This Row],[PRECIO UNITARIO ESTIMADO]]</f>
        <v>4692</v>
      </c>
      <c r="K620" s="17"/>
      <c r="L620" s="16" t="s">
        <v>27</v>
      </c>
      <c r="M620" s="16" t="s">
        <v>22</v>
      </c>
      <c r="N620" s="39" t="s">
        <v>418</v>
      </c>
      <c r="O620" s="20"/>
    </row>
    <row r="621" spans="1:21" s="12" customFormat="1" ht="47.25">
      <c r="A621" s="15" t="s">
        <v>115</v>
      </c>
      <c r="B621" s="16" t="str">
        <f ca="1">+UPPER(Tabla1326[[#This Row],[DESCRIPCIÓN DE LA COMPRA O CONTRATACIÓN]])</f>
        <v>DISCOS EXTERNOS PARA EL STOCK DE EQUIPOS Y SUPLIR LAS NECESIDADES  DE LAS DIFERENTES DEPENDENCIAS</v>
      </c>
      <c r="C621" s="39" t="s">
        <v>17</v>
      </c>
      <c r="D621" s="39"/>
      <c r="E621" s="39">
        <v>5</v>
      </c>
      <c r="F621" s="39"/>
      <c r="G621" s="39"/>
      <c r="H621" s="41">
        <f>SUM(Tabla1326[[#This Row],[PRIMER TRIMESTRE]:[CUARTO TRIMESTRE]])</f>
        <v>5</v>
      </c>
      <c r="I621" s="17">
        <v>5083</v>
      </c>
      <c r="J621" s="17">
        <f>+Tabla1326[[#This Row],[CANTIDAD TOTAL]]*Tabla1326[[#This Row],[PRECIO UNITARIO ESTIMADO]]</f>
        <v>25415</v>
      </c>
      <c r="K621" s="17"/>
      <c r="L621" s="16" t="s">
        <v>27</v>
      </c>
      <c r="M621" s="16" t="s">
        <v>22</v>
      </c>
      <c r="N621" s="39" t="s">
        <v>418</v>
      </c>
      <c r="O621" s="20"/>
    </row>
    <row r="622" spans="1:21" s="12" customFormat="1" ht="47.25">
      <c r="A622" s="15" t="s">
        <v>115</v>
      </c>
      <c r="B622" s="16" t="str">
        <f ca="1">+UPPER(Tabla1326[[#This Row],[DESCRIPCIÓN DE LA COMPRA O CONTRATACIÓN]])</f>
        <v>ADQUISICIÓN DE10 POWER SUPPLAY PARA EL STOCK DE EQUIPOS Y SUPLIR LAS NECESIDADES  DE LAS DIFERENTES DEPENDENCIAS</v>
      </c>
      <c r="C622" s="39" t="s">
        <v>17</v>
      </c>
      <c r="D622" s="39"/>
      <c r="E622" s="39">
        <v>5</v>
      </c>
      <c r="F622" s="39"/>
      <c r="G622" s="39"/>
      <c r="H622" s="41">
        <f>SUM(Tabla1326[[#This Row],[PRIMER TRIMESTRE]:[CUARTO TRIMESTRE]])</f>
        <v>5</v>
      </c>
      <c r="I622" s="17">
        <v>1955</v>
      </c>
      <c r="J622" s="17">
        <f>+Tabla1326[[#This Row],[CANTIDAD TOTAL]]*Tabla1326[[#This Row],[PRECIO UNITARIO ESTIMADO]]</f>
        <v>9775</v>
      </c>
      <c r="K622" s="17"/>
      <c r="L622" s="16" t="s">
        <v>27</v>
      </c>
      <c r="M622" s="16" t="s">
        <v>22</v>
      </c>
      <c r="N622" s="39" t="s">
        <v>418</v>
      </c>
      <c r="O622" s="20"/>
    </row>
    <row r="623" spans="1:21" s="12" customFormat="1" ht="38.25">
      <c r="A623" s="15" t="s">
        <v>115</v>
      </c>
      <c r="B623" s="75" t="s">
        <v>901</v>
      </c>
      <c r="C623" s="39" t="s">
        <v>17</v>
      </c>
      <c r="D623" s="39"/>
      <c r="E623" s="39">
        <v>5</v>
      </c>
      <c r="F623" s="39"/>
      <c r="G623" s="39"/>
      <c r="H623" s="41">
        <f>SUM(Tabla1326[[#This Row],[PRIMER TRIMESTRE]:[CUARTO TRIMESTRE]])</f>
        <v>5</v>
      </c>
      <c r="I623" s="17">
        <v>1368.5</v>
      </c>
      <c r="J623" s="17">
        <f>+Tabla1326[[#This Row],[CANTIDAD TOTAL]]*Tabla1326[[#This Row],[PRECIO UNITARIO ESTIMADO]]</f>
        <v>6842.5</v>
      </c>
      <c r="K623" s="17"/>
      <c r="L623" s="16" t="s">
        <v>27</v>
      </c>
      <c r="M623" s="16" t="s">
        <v>22</v>
      </c>
      <c r="N623" s="39" t="s">
        <v>418</v>
      </c>
      <c r="O623" s="20"/>
    </row>
    <row r="624" spans="1:21" s="12" customFormat="1" ht="38.25">
      <c r="A624" s="15" t="s">
        <v>115</v>
      </c>
      <c r="B624" s="75" t="s">
        <v>902</v>
      </c>
      <c r="C624" s="39" t="s">
        <v>17</v>
      </c>
      <c r="D624" s="39"/>
      <c r="E624" s="39">
        <v>5</v>
      </c>
      <c r="F624" s="39"/>
      <c r="G624" s="39">
        <v>5</v>
      </c>
      <c r="H624" s="41">
        <f>SUM(Tabla1326[[#This Row],[PRIMER TRIMESTRE]:[CUARTO TRIMESTRE]])</f>
        <v>10</v>
      </c>
      <c r="I624" s="17">
        <v>156.4</v>
      </c>
      <c r="J624" s="17">
        <f>+Tabla1326[[#This Row],[CANTIDAD TOTAL]]*Tabla1326[[#This Row],[PRECIO UNITARIO ESTIMADO]]</f>
        <v>1564</v>
      </c>
      <c r="K624" s="17"/>
      <c r="L624" s="16" t="s">
        <v>27</v>
      </c>
      <c r="M624" s="16" t="s">
        <v>22</v>
      </c>
      <c r="N624" s="39" t="s">
        <v>418</v>
      </c>
      <c r="O624" s="20"/>
    </row>
    <row r="625" spans="1:15" s="12" customFormat="1" ht="25.5">
      <c r="A625" s="15" t="s">
        <v>115</v>
      </c>
      <c r="B625" s="75" t="s">
        <v>896</v>
      </c>
      <c r="C625" s="39" t="s">
        <v>17</v>
      </c>
      <c r="D625" s="39"/>
      <c r="E625" s="39">
        <v>30</v>
      </c>
      <c r="F625" s="39"/>
      <c r="G625" s="39">
        <v>30</v>
      </c>
      <c r="H625" s="41">
        <f>SUM(Tabla1326[[#This Row],[PRIMER TRIMESTRE]:[CUARTO TRIMESTRE]])</f>
        <v>60</v>
      </c>
      <c r="I625" s="17">
        <v>50000</v>
      </c>
      <c r="J625" s="17">
        <f>+Tabla1326[[#This Row],[CANTIDAD TOTAL]]*Tabla1326[[#This Row],[PRECIO UNITARIO ESTIMADO]]</f>
        <v>3000000</v>
      </c>
      <c r="K625" s="17"/>
      <c r="L625" s="16" t="s">
        <v>27</v>
      </c>
      <c r="M625" s="16" t="s">
        <v>22</v>
      </c>
      <c r="N625" s="39" t="s">
        <v>418</v>
      </c>
      <c r="O625" s="20"/>
    </row>
    <row r="626" spans="1:15" s="12" customFormat="1">
      <c r="A626" s="15" t="s">
        <v>115</v>
      </c>
      <c r="B626" s="75" t="s">
        <v>897</v>
      </c>
      <c r="C626" s="39" t="s">
        <v>17</v>
      </c>
      <c r="D626" s="39"/>
      <c r="E626" s="39">
        <v>2</v>
      </c>
      <c r="F626" s="39"/>
      <c r="G626" s="39">
        <v>1</v>
      </c>
      <c r="H626" s="41">
        <f>SUM(Tabla1326[[#This Row],[PRIMER TRIMESTRE]:[CUARTO TRIMESTRE]])</f>
        <v>3</v>
      </c>
      <c r="I626" s="17">
        <v>85000</v>
      </c>
      <c r="J626" s="17">
        <f>+Tabla1326[[#This Row],[CANTIDAD TOTAL]]*Tabla1326[[#This Row],[PRECIO UNITARIO ESTIMADO]]</f>
        <v>255000</v>
      </c>
      <c r="K626" s="17"/>
      <c r="L626" s="16" t="s">
        <v>27</v>
      </c>
      <c r="M626" s="16" t="s">
        <v>22</v>
      </c>
      <c r="N626" s="39" t="s">
        <v>418</v>
      </c>
      <c r="O626" s="20"/>
    </row>
    <row r="627" spans="1:15" s="12" customFormat="1" ht="25.5">
      <c r="A627" s="15" t="s">
        <v>115</v>
      </c>
      <c r="B627" s="75" t="s">
        <v>898</v>
      </c>
      <c r="C627" s="39" t="s">
        <v>17</v>
      </c>
      <c r="D627" s="39"/>
      <c r="E627" s="39">
        <v>15</v>
      </c>
      <c r="F627" s="39"/>
      <c r="G627" s="39">
        <v>15</v>
      </c>
      <c r="H627" s="41">
        <f>SUM(Tabla1326[[#This Row],[PRIMER TRIMESTRE]:[CUARTO TRIMESTRE]])</f>
        <v>30</v>
      </c>
      <c r="I627" s="17">
        <v>6000</v>
      </c>
      <c r="J627" s="17">
        <f>+Tabla1326[[#This Row],[CANTIDAD TOTAL]]*Tabla1326[[#This Row],[PRECIO UNITARIO ESTIMADO]]</f>
        <v>180000</v>
      </c>
      <c r="K627" s="17"/>
      <c r="L627" s="16" t="s">
        <v>27</v>
      </c>
      <c r="M627" s="16" t="s">
        <v>22</v>
      </c>
      <c r="N627" s="39" t="s">
        <v>418</v>
      </c>
      <c r="O627" s="20"/>
    </row>
    <row r="628" spans="1:15" s="12" customFormat="1">
      <c r="A628" s="15" t="s">
        <v>115</v>
      </c>
      <c r="B628" s="16" t="str">
        <f ca="1">+UPPER(Tabla1326[[#This Row],[DESCRIPCIÓN DE LA COMPRA O CONTRATACIÓN]])</f>
        <v xml:space="preserve">CABLE UTP </v>
      </c>
      <c r="C628" s="39" t="s">
        <v>208</v>
      </c>
      <c r="D628" s="39"/>
      <c r="E628" s="39">
        <v>15</v>
      </c>
      <c r="F628" s="39"/>
      <c r="G628" s="39">
        <v>15</v>
      </c>
      <c r="H628" s="41">
        <f>SUM(Tabla1326[[#This Row],[PRIMER TRIMESTRE]:[CUARTO TRIMESTRE]])</f>
        <v>30</v>
      </c>
      <c r="I628" s="17">
        <v>4000</v>
      </c>
      <c r="J628" s="17">
        <f>+Tabla1326[[#This Row],[CANTIDAD TOTAL]]*Tabla1326[[#This Row],[PRECIO UNITARIO ESTIMADO]]</f>
        <v>120000</v>
      </c>
      <c r="K628" s="17"/>
      <c r="L628" s="16" t="s">
        <v>27</v>
      </c>
      <c r="M628" s="16" t="s">
        <v>22</v>
      </c>
      <c r="N628" s="39" t="s">
        <v>418</v>
      </c>
      <c r="O628" s="20"/>
    </row>
    <row r="629" spans="1:15" s="12" customFormat="1">
      <c r="A629" s="15" t="s">
        <v>115</v>
      </c>
      <c r="B629" s="16" t="str">
        <f ca="1">+UPPER(Tabla1326[[#This Row],[DESCRIPCIÓN DE LA COMPRA O CONTRATACIÓN]])</f>
        <v>FACEPLATE</v>
      </c>
      <c r="C629" s="39" t="s">
        <v>17</v>
      </c>
      <c r="D629" s="39"/>
      <c r="E629" s="39">
        <v>50</v>
      </c>
      <c r="F629" s="39"/>
      <c r="G629" s="39">
        <v>50</v>
      </c>
      <c r="H629" s="41">
        <f>SUM(Tabla1326[[#This Row],[PRIMER TRIMESTRE]:[CUARTO TRIMESTRE]])</f>
        <v>100</v>
      </c>
      <c r="I629" s="17">
        <v>15</v>
      </c>
      <c r="J629" s="17">
        <f>+Tabla1326[[#This Row],[CANTIDAD TOTAL]]*Tabla1326[[#This Row],[PRECIO UNITARIO ESTIMADO]]</f>
        <v>1500</v>
      </c>
      <c r="K629" s="17"/>
      <c r="L629" s="16" t="s">
        <v>27</v>
      </c>
      <c r="M629" s="16" t="s">
        <v>22</v>
      </c>
      <c r="N629" s="39" t="s">
        <v>418</v>
      </c>
      <c r="O629" s="20"/>
    </row>
    <row r="630" spans="1:15" s="12" customFormat="1">
      <c r="A630" s="15" t="s">
        <v>115</v>
      </c>
      <c r="B630" s="16" t="str">
        <f ca="1">+UPPER(Tabla1326[[#This Row],[DESCRIPCIÓN DE LA COMPRA O CONTRATACIÓN]])</f>
        <v>CONECTORES JACK</v>
      </c>
      <c r="C630" s="39" t="s">
        <v>17</v>
      </c>
      <c r="D630" s="39"/>
      <c r="E630" s="39">
        <v>250</v>
      </c>
      <c r="F630" s="39"/>
      <c r="G630" s="39">
        <v>250</v>
      </c>
      <c r="H630" s="41">
        <f>SUM(Tabla1326[[#This Row],[PRIMER TRIMESTRE]:[CUARTO TRIMESTRE]])</f>
        <v>500</v>
      </c>
      <c r="I630" s="17">
        <v>125</v>
      </c>
      <c r="J630" s="17">
        <f>+Tabla1326[[#This Row],[CANTIDAD TOTAL]]*Tabla1326[[#This Row],[PRECIO UNITARIO ESTIMADO]]</f>
        <v>62500</v>
      </c>
      <c r="K630" s="17"/>
      <c r="L630" s="16" t="s">
        <v>27</v>
      </c>
      <c r="M630" s="16" t="s">
        <v>22</v>
      </c>
      <c r="N630" s="39" t="s">
        <v>418</v>
      </c>
      <c r="O630" s="20"/>
    </row>
    <row r="631" spans="1:15" s="12" customFormat="1">
      <c r="A631" s="15" t="s">
        <v>115</v>
      </c>
      <c r="B631" s="16" t="str">
        <f ca="1">+UPPER(Tabla1326[[#This Row],[DESCRIPCIÓN DE LA COMPRA O CONTRATACIÓN]])</f>
        <v>CAJAS 2X4 PARA FACEPLATE</v>
      </c>
      <c r="C631" s="39" t="s">
        <v>208</v>
      </c>
      <c r="D631" s="39"/>
      <c r="E631" s="39">
        <v>50</v>
      </c>
      <c r="F631" s="39"/>
      <c r="G631" s="39">
        <v>50</v>
      </c>
      <c r="H631" s="41">
        <f>SUM(Tabla1326[[#This Row],[PRIMER TRIMESTRE]:[CUARTO TRIMESTRE]])</f>
        <v>100</v>
      </c>
      <c r="I631" s="17">
        <v>30</v>
      </c>
      <c r="J631" s="17">
        <f>+Tabla1326[[#This Row],[CANTIDAD TOTAL]]*Tabla1326[[#This Row],[PRECIO UNITARIO ESTIMADO]]</f>
        <v>3000</v>
      </c>
      <c r="K631" s="17"/>
      <c r="L631" s="16" t="s">
        <v>27</v>
      </c>
      <c r="M631" s="16" t="s">
        <v>22</v>
      </c>
      <c r="N631" s="39" t="s">
        <v>418</v>
      </c>
      <c r="O631" s="20"/>
    </row>
    <row r="632" spans="1:15" s="12" customFormat="1">
      <c r="A632" s="15" t="s">
        <v>115</v>
      </c>
      <c r="B632" s="16" t="str">
        <f ca="1">+UPPER(Tabla1326[[#This Row],[DESCRIPCIÓN DE LA COMPRA O CONTRATACIÓN]])</f>
        <v>PATCHCORD DE 1 PIE</v>
      </c>
      <c r="C632" s="39" t="s">
        <v>17</v>
      </c>
      <c r="D632" s="39"/>
      <c r="E632" s="39">
        <v>300</v>
      </c>
      <c r="F632" s="39"/>
      <c r="G632" s="39">
        <v>300</v>
      </c>
      <c r="H632" s="41">
        <f>SUM(Tabla1326[[#This Row],[PRIMER TRIMESTRE]:[CUARTO TRIMESTRE]])</f>
        <v>600</v>
      </c>
      <c r="I632" s="17">
        <v>15</v>
      </c>
      <c r="J632" s="17">
        <f>+Tabla1326[[#This Row],[CANTIDAD TOTAL]]*Tabla1326[[#This Row],[PRECIO UNITARIO ESTIMADO]]</f>
        <v>9000</v>
      </c>
      <c r="K632" s="17"/>
      <c r="L632" s="16" t="s">
        <v>27</v>
      </c>
      <c r="M632" s="16" t="s">
        <v>22</v>
      </c>
      <c r="N632" s="39" t="s">
        <v>418</v>
      </c>
      <c r="O632" s="20"/>
    </row>
    <row r="633" spans="1:15" s="12" customFormat="1">
      <c r="A633" s="15" t="s">
        <v>115</v>
      </c>
      <c r="B633" s="16" t="str">
        <f ca="1">+UPPER(Tabla1326[[#This Row],[DESCRIPCIÓN DE LA COMPRA O CONTRATACIÓN]])</f>
        <v>PATCHCORDS DE 3 PIE</v>
      </c>
      <c r="C633" s="39" t="s">
        <v>17</v>
      </c>
      <c r="D633" s="39"/>
      <c r="E633" s="39">
        <v>150</v>
      </c>
      <c r="F633" s="39"/>
      <c r="G633" s="39">
        <v>150</v>
      </c>
      <c r="H633" s="41">
        <f>SUM(Tabla1326[[#This Row],[PRIMER TRIMESTRE]:[CUARTO TRIMESTRE]])</f>
        <v>300</v>
      </c>
      <c r="I633" s="17">
        <v>35</v>
      </c>
      <c r="J633" s="17">
        <f>+Tabla1326[[#This Row],[CANTIDAD TOTAL]]*Tabla1326[[#This Row],[PRECIO UNITARIO ESTIMADO]]</f>
        <v>10500</v>
      </c>
      <c r="K633" s="17"/>
      <c r="L633" s="16" t="s">
        <v>27</v>
      </c>
      <c r="M633" s="16" t="s">
        <v>22</v>
      </c>
      <c r="N633" s="39" t="s">
        <v>418</v>
      </c>
      <c r="O633" s="20"/>
    </row>
    <row r="634" spans="1:15" s="12" customFormat="1">
      <c r="A634" s="15" t="s">
        <v>115</v>
      </c>
      <c r="B634" s="16" t="str">
        <f ca="1">+UPPER(Tabla1326[[#This Row],[DESCRIPCIÓN DE LA COMPRA O CONTRATACIÓN]])</f>
        <v>CINTAS PARA BACKUP</v>
      </c>
      <c r="C634" s="39" t="s">
        <v>17</v>
      </c>
      <c r="D634" s="39"/>
      <c r="E634" s="39">
        <v>10</v>
      </c>
      <c r="F634" s="39"/>
      <c r="G634" s="39">
        <v>7</v>
      </c>
      <c r="H634" s="41">
        <f>SUM(Tabla1326[[#This Row],[PRIMER TRIMESTRE]:[CUARTO TRIMESTRE]])</f>
        <v>17</v>
      </c>
      <c r="I634" s="17">
        <v>1500</v>
      </c>
      <c r="J634" s="17">
        <f>+Tabla1326[[#This Row],[CANTIDAD TOTAL]]*Tabla1326[[#This Row],[PRECIO UNITARIO ESTIMADO]]</f>
        <v>25500</v>
      </c>
      <c r="K634" s="17"/>
      <c r="L634" s="16" t="s">
        <v>27</v>
      </c>
      <c r="M634" s="16" t="s">
        <v>22</v>
      </c>
      <c r="N634" s="39" t="s">
        <v>418</v>
      </c>
      <c r="O634" s="20"/>
    </row>
    <row r="635" spans="1:15" s="12" customFormat="1">
      <c r="A635" s="15" t="s">
        <v>115</v>
      </c>
      <c r="B635" s="16" t="str">
        <f ca="1">+UPPER(Tabla1326[[#This Row],[DESCRIPCIÓN DE LA COMPRA O CONTRATACIÓN]])</f>
        <v>SOFTWARE DE MONITOREO DE LA RED LAN/WAN</v>
      </c>
      <c r="C635" s="39" t="s">
        <v>17</v>
      </c>
      <c r="D635" s="39"/>
      <c r="E635" s="39">
        <v>1</v>
      </c>
      <c r="F635" s="39"/>
      <c r="G635" s="39"/>
      <c r="H635" s="41">
        <f>SUM(Tabla1326[[#This Row],[PRIMER TRIMESTRE]:[CUARTO TRIMESTRE]])</f>
        <v>1</v>
      </c>
      <c r="I635" s="17">
        <v>1230000</v>
      </c>
      <c r="J635" s="17">
        <f>+Tabla1326[[#This Row],[CANTIDAD TOTAL]]*Tabla1326[[#This Row],[PRECIO UNITARIO ESTIMADO]]</f>
        <v>1230000</v>
      </c>
      <c r="K635" s="17"/>
      <c r="L635" s="16" t="s">
        <v>27</v>
      </c>
      <c r="M635" s="16" t="s">
        <v>22</v>
      </c>
      <c r="N635" s="39" t="s">
        <v>418</v>
      </c>
      <c r="O635" s="20"/>
    </row>
    <row r="636" spans="1:15" s="12" customFormat="1" ht="31.5">
      <c r="A636" s="15" t="s">
        <v>115</v>
      </c>
      <c r="B636" s="16" t="str">
        <f ca="1">+UPPER(Tabla1326[[#This Row],[DESCRIPCIÓN DE LA COMPRA O CONTRATACIÓN]])</f>
        <v>DISCOS DUROS HP 1TB PARA AUMENTAR LA CAPACIDAD DE ALMACENAMIENTO.</v>
      </c>
      <c r="C636" s="39" t="s">
        <v>17</v>
      </c>
      <c r="D636" s="39"/>
      <c r="E636" s="39">
        <v>3</v>
      </c>
      <c r="F636" s="39"/>
      <c r="G636" s="39">
        <v>3</v>
      </c>
      <c r="H636" s="41">
        <f>SUM(Tabla1326[[#This Row],[PRIMER TRIMESTRE]:[CUARTO TRIMESTRE]])</f>
        <v>6</v>
      </c>
      <c r="I636" s="72">
        <v>33800</v>
      </c>
      <c r="J636" s="17">
        <f>+Tabla1326[[#This Row],[CANTIDAD TOTAL]]*Tabla1326[[#This Row],[PRECIO UNITARIO ESTIMADO]]</f>
        <v>202800</v>
      </c>
      <c r="K636" s="17"/>
      <c r="L636" s="16" t="s">
        <v>27</v>
      </c>
      <c r="M636" s="16" t="s">
        <v>19</v>
      </c>
      <c r="N636" s="39" t="s">
        <v>418</v>
      </c>
      <c r="O636" s="20"/>
    </row>
    <row r="637" spans="1:15" s="12" customFormat="1">
      <c r="A637" s="15" t="s">
        <v>115</v>
      </c>
      <c r="B637" s="75" t="s">
        <v>899</v>
      </c>
      <c r="C637" s="39" t="s">
        <v>17</v>
      </c>
      <c r="D637" s="39"/>
      <c r="E637" s="39">
        <v>1</v>
      </c>
      <c r="F637" s="39"/>
      <c r="G637" s="39"/>
      <c r="H637" s="41">
        <f>SUM(Tabla1326[[#This Row],[PRIMER TRIMESTRE]:[CUARTO TRIMESTRE]])</f>
        <v>1</v>
      </c>
      <c r="I637" s="17">
        <v>945000</v>
      </c>
      <c r="J637" s="17">
        <f>+Tabla1326[[#This Row],[CANTIDAD TOTAL]]*Tabla1326[[#This Row],[PRECIO UNITARIO ESTIMADO]]</f>
        <v>945000</v>
      </c>
      <c r="K637" s="17"/>
      <c r="L637" s="16" t="s">
        <v>27</v>
      </c>
      <c r="M637" s="16" t="s">
        <v>22</v>
      </c>
      <c r="N637" s="39" t="s">
        <v>418</v>
      </c>
      <c r="O637" s="20"/>
    </row>
    <row r="638" spans="1:15" s="12" customFormat="1" ht="35.25" customHeight="1">
      <c r="A638" s="15" t="s">
        <v>115</v>
      </c>
      <c r="B638" s="75" t="s">
        <v>900</v>
      </c>
      <c r="C638" s="39" t="s">
        <v>17</v>
      </c>
      <c r="D638" s="39"/>
      <c r="E638" s="39">
        <v>1</v>
      </c>
      <c r="F638" s="39"/>
      <c r="G638" s="39"/>
      <c r="H638" s="41">
        <f>SUM(Tabla1326[[#This Row],[PRIMER TRIMESTRE]:[CUARTO TRIMESTRE]])</f>
        <v>1</v>
      </c>
      <c r="I638" s="17">
        <v>1115000</v>
      </c>
      <c r="J638" s="17">
        <f>+Tabla1326[[#This Row],[CANTIDAD TOTAL]]*Tabla1326[[#This Row],[PRECIO UNITARIO ESTIMADO]]</f>
        <v>1115000</v>
      </c>
      <c r="K638" s="31"/>
      <c r="L638" s="16" t="s">
        <v>27</v>
      </c>
      <c r="M638" s="28" t="s">
        <v>22</v>
      </c>
      <c r="N638" s="39" t="s">
        <v>418</v>
      </c>
      <c r="O638" s="20"/>
    </row>
    <row r="639" spans="1:15" s="12" customFormat="1" ht="35.25" customHeight="1">
      <c r="A639" s="15" t="s">
        <v>115</v>
      </c>
      <c r="B639" s="75" t="s">
        <v>782</v>
      </c>
      <c r="C639" s="39" t="s">
        <v>17</v>
      </c>
      <c r="D639" s="39"/>
      <c r="E639" s="39">
        <v>2</v>
      </c>
      <c r="F639" s="39"/>
      <c r="G639" s="39">
        <v>2</v>
      </c>
      <c r="H639" s="41">
        <f>SUM(Tabla1326[[#This Row],[PRIMER TRIMESTRE]:[CUARTO TRIMESTRE]])</f>
        <v>4</v>
      </c>
      <c r="I639" s="17">
        <v>5000</v>
      </c>
      <c r="J639" s="17">
        <f>+Tabla1326[[#This Row],[CANTIDAD TOTAL]]*Tabla1326[[#This Row],[PRECIO UNITARIO ESTIMADO]]</f>
        <v>20000</v>
      </c>
      <c r="K639" s="17"/>
      <c r="L639" s="16" t="s">
        <v>27</v>
      </c>
      <c r="M639" s="16" t="s">
        <v>22</v>
      </c>
      <c r="N639" s="39" t="s">
        <v>418</v>
      </c>
      <c r="O639" s="18"/>
    </row>
    <row r="640" spans="1:15" s="12" customFormat="1" ht="35.25" customHeight="1">
      <c r="A640" s="15" t="s">
        <v>115</v>
      </c>
      <c r="B640" s="75" t="s">
        <v>783</v>
      </c>
      <c r="C640" s="39" t="s">
        <v>17</v>
      </c>
      <c r="D640" s="39"/>
      <c r="E640" s="39">
        <v>1</v>
      </c>
      <c r="F640" s="39"/>
      <c r="G640" s="39">
        <v>1</v>
      </c>
      <c r="H640" s="41">
        <f>SUM(Tabla1326[[#This Row],[PRIMER TRIMESTRE]:[CUARTO TRIMESTRE]])</f>
        <v>2</v>
      </c>
      <c r="I640" s="17">
        <v>62000</v>
      </c>
      <c r="J640" s="17">
        <f>+Tabla1326[[#This Row],[CANTIDAD TOTAL]]*Tabla1326[[#This Row],[PRECIO UNITARIO ESTIMADO]]</f>
        <v>124000</v>
      </c>
      <c r="K640" s="17"/>
      <c r="L640" s="16" t="s">
        <v>27</v>
      </c>
      <c r="M640" s="16" t="s">
        <v>22</v>
      </c>
      <c r="N640" s="39" t="s">
        <v>418</v>
      </c>
      <c r="O640" s="18"/>
    </row>
    <row r="641" spans="1:21" s="26" customFormat="1" ht="35.25" customHeight="1">
      <c r="A641" s="22" t="s">
        <v>115</v>
      </c>
      <c r="B641" s="76"/>
      <c r="C641" s="42"/>
      <c r="D641" s="42"/>
      <c r="E641" s="42"/>
      <c r="F641" s="42"/>
      <c r="G641" s="42"/>
      <c r="H641" s="43"/>
      <c r="I641" s="24"/>
      <c r="J641" s="24"/>
      <c r="K641" s="25">
        <f>SUM(J617:J640)</f>
        <v>7549543.5</v>
      </c>
      <c r="L641" s="23"/>
      <c r="M641" s="23"/>
      <c r="N641" s="42"/>
      <c r="O641" s="24"/>
      <c r="R641" s="27"/>
      <c r="U641" s="23"/>
    </row>
    <row r="642" spans="1:21" s="12" customFormat="1">
      <c r="A642" s="32" t="s">
        <v>120</v>
      </c>
      <c r="B642" s="75" t="s">
        <v>392</v>
      </c>
      <c r="C642" s="45" t="s">
        <v>208</v>
      </c>
      <c r="D642" s="142"/>
      <c r="E642" s="142">
        <v>350</v>
      </c>
      <c r="F642" s="142"/>
      <c r="G642" s="39">
        <v>350</v>
      </c>
      <c r="H642" s="41">
        <f>SUM(Tabla1326[[#This Row],[PRIMER TRIMESTRE]:[CUARTO TRIMESTRE]])</f>
        <v>700</v>
      </c>
      <c r="I642" s="17">
        <v>48.12</v>
      </c>
      <c r="J642" s="17">
        <f>+H642*I642</f>
        <v>33684</v>
      </c>
      <c r="K642" s="31"/>
      <c r="L642" s="16" t="s">
        <v>27</v>
      </c>
      <c r="M642" s="16" t="s">
        <v>22</v>
      </c>
      <c r="N642" s="45" t="s">
        <v>418</v>
      </c>
      <c r="O642" s="20"/>
    </row>
    <row r="643" spans="1:21" s="12" customFormat="1">
      <c r="A643" s="32" t="s">
        <v>120</v>
      </c>
      <c r="B643" s="75" t="s">
        <v>393</v>
      </c>
      <c r="C643" s="45" t="s">
        <v>208</v>
      </c>
      <c r="D643" s="142"/>
      <c r="E643" s="142">
        <v>300</v>
      </c>
      <c r="F643" s="142"/>
      <c r="G643" s="39">
        <v>300</v>
      </c>
      <c r="H643" s="41">
        <f>SUM(Tabla1326[[#This Row],[PRIMER TRIMESTRE]:[CUARTO TRIMESTRE]])</f>
        <v>600</v>
      </c>
      <c r="I643" s="17">
        <v>41.28</v>
      </c>
      <c r="J643" s="17">
        <f>+H643*I643</f>
        <v>24768</v>
      </c>
      <c r="K643" s="31"/>
      <c r="L643" s="16" t="s">
        <v>27</v>
      </c>
      <c r="M643" s="16" t="s">
        <v>22</v>
      </c>
      <c r="N643" s="45" t="s">
        <v>418</v>
      </c>
      <c r="O643" s="20"/>
    </row>
    <row r="644" spans="1:21" s="12" customFormat="1">
      <c r="A644" s="15" t="s">
        <v>120</v>
      </c>
      <c r="B644" s="75" t="s">
        <v>743</v>
      </c>
      <c r="C644" s="45" t="s">
        <v>208</v>
      </c>
      <c r="D644" s="142"/>
      <c r="E644" s="142">
        <v>200</v>
      </c>
      <c r="F644" s="142"/>
      <c r="G644" s="39">
        <v>200</v>
      </c>
      <c r="H644" s="41">
        <f>SUM(Tabla1326[[#This Row],[PRIMER TRIMESTRE]:[CUARTO TRIMESTRE]])</f>
        <v>400</v>
      </c>
      <c r="I644" s="17">
        <f>4.42*12</f>
        <v>53.04</v>
      </c>
      <c r="J644" s="17">
        <f>+H644*I644</f>
        <v>21216</v>
      </c>
      <c r="K644" s="17"/>
      <c r="L644" s="16" t="s">
        <v>27</v>
      </c>
      <c r="M644" s="16" t="s">
        <v>22</v>
      </c>
      <c r="N644" s="45" t="s">
        <v>418</v>
      </c>
      <c r="O644" s="18"/>
    </row>
    <row r="645" spans="1:21" s="12" customFormat="1">
      <c r="A645" s="32" t="s">
        <v>120</v>
      </c>
      <c r="B645" s="75" t="s">
        <v>398</v>
      </c>
      <c r="C645" s="45" t="s">
        <v>208</v>
      </c>
      <c r="D645" s="142"/>
      <c r="E645" s="142">
        <v>300</v>
      </c>
      <c r="F645" s="142"/>
      <c r="G645" s="39">
        <v>300</v>
      </c>
      <c r="H645" s="41">
        <f>SUM(Tabla1326[[#This Row],[PRIMER TRIMESTRE]:[CUARTO TRIMESTRE]])</f>
        <v>600</v>
      </c>
      <c r="I645" s="17">
        <v>22.42</v>
      </c>
      <c r="J645" s="17">
        <f>+H645*I645</f>
        <v>13452.000000000002</v>
      </c>
      <c r="K645" s="31"/>
      <c r="L645" s="16" t="s">
        <v>27</v>
      </c>
      <c r="M645" s="16" t="s">
        <v>22</v>
      </c>
      <c r="N645" s="45" t="s">
        <v>418</v>
      </c>
      <c r="O645" s="20"/>
    </row>
    <row r="646" spans="1:21" s="12" customFormat="1">
      <c r="A646" s="15" t="s">
        <v>120</v>
      </c>
      <c r="B646" s="75" t="s">
        <v>262</v>
      </c>
      <c r="C646" s="39" t="s">
        <v>17</v>
      </c>
      <c r="D646" s="142"/>
      <c r="E646" s="142">
        <v>120</v>
      </c>
      <c r="F646" s="142"/>
      <c r="G646" s="39">
        <v>120</v>
      </c>
      <c r="H646" s="41">
        <f>SUM(Tabla1326[[#This Row],[PRIMER TRIMESTRE]:[CUARTO TRIMESTRE]])</f>
        <v>240</v>
      </c>
      <c r="I646" s="17">
        <v>88.16</v>
      </c>
      <c r="J646" s="17">
        <f>+Tabla1326[[#This Row],[CANTIDAD TOTAL]]*Tabla1326[[#This Row],[PRECIO UNITARIO ESTIMADO]]</f>
        <v>21158.399999999998</v>
      </c>
      <c r="K646" s="31"/>
      <c r="L646" s="16" t="s">
        <v>27</v>
      </c>
      <c r="M646" s="16" t="s">
        <v>22</v>
      </c>
      <c r="N646" s="45" t="s">
        <v>418</v>
      </c>
      <c r="O646" s="20"/>
    </row>
    <row r="647" spans="1:21" s="12" customFormat="1">
      <c r="A647" s="65" t="s">
        <v>120</v>
      </c>
      <c r="B647" s="75" t="s">
        <v>748</v>
      </c>
      <c r="C647" s="67" t="s">
        <v>17</v>
      </c>
      <c r="D647" s="142"/>
      <c r="E647" s="142">
        <v>150</v>
      </c>
      <c r="F647" s="142"/>
      <c r="G647" s="39">
        <v>150</v>
      </c>
      <c r="H647" s="41">
        <f>SUM(Tabla1326[[#This Row],[PRIMER TRIMESTRE]:[CUARTO TRIMESTRE]])</f>
        <v>300</v>
      </c>
      <c r="I647" s="17">
        <v>463.74</v>
      </c>
      <c r="J647" s="17">
        <f>+H647*I647</f>
        <v>139122</v>
      </c>
      <c r="K647" s="68"/>
      <c r="L647" s="16" t="s">
        <v>27</v>
      </c>
      <c r="M647" s="66" t="s">
        <v>22</v>
      </c>
      <c r="N647" s="45" t="s">
        <v>418</v>
      </c>
      <c r="O647" s="69"/>
    </row>
    <row r="648" spans="1:21" s="12" customFormat="1">
      <c r="A648" s="15" t="s">
        <v>120</v>
      </c>
      <c r="B648" s="75" t="s">
        <v>263</v>
      </c>
      <c r="C648" s="39" t="s">
        <v>17</v>
      </c>
      <c r="D648" s="142"/>
      <c r="E648" s="142">
        <v>200</v>
      </c>
      <c r="F648" s="142"/>
      <c r="G648" s="39">
        <v>200</v>
      </c>
      <c r="H648" s="41">
        <f>SUM(Tabla1326[[#This Row],[PRIMER TRIMESTRE]:[CUARTO TRIMESTRE]])</f>
        <v>400</v>
      </c>
      <c r="I648" s="17">
        <v>217.02</v>
      </c>
      <c r="J648" s="17">
        <f>+Tabla1326[[#This Row],[CANTIDAD TOTAL]]*Tabla1326[[#This Row],[PRECIO UNITARIO ESTIMADO]]</f>
        <v>86808</v>
      </c>
      <c r="K648" s="31"/>
      <c r="L648" s="16" t="s">
        <v>27</v>
      </c>
      <c r="M648" s="16" t="s">
        <v>22</v>
      </c>
      <c r="N648" s="45" t="s">
        <v>418</v>
      </c>
      <c r="O648" s="20"/>
    </row>
    <row r="649" spans="1:21" s="12" customFormat="1">
      <c r="A649" s="65" t="s">
        <v>120</v>
      </c>
      <c r="B649" s="75" t="s">
        <v>749</v>
      </c>
      <c r="C649" s="67" t="s">
        <v>17</v>
      </c>
      <c r="D649" s="142"/>
      <c r="E649" s="142">
        <v>75</v>
      </c>
      <c r="F649" s="142"/>
      <c r="G649" s="39">
        <v>75</v>
      </c>
      <c r="H649" s="41">
        <f>SUM(Tabla1326[[#This Row],[PRIMER TRIMESTRE]:[CUARTO TRIMESTRE]])</f>
        <v>150</v>
      </c>
      <c r="I649" s="17">
        <v>186.44</v>
      </c>
      <c r="J649" s="17">
        <f>+H649*I649</f>
        <v>27966</v>
      </c>
      <c r="K649" s="68"/>
      <c r="L649" s="16" t="s">
        <v>27</v>
      </c>
      <c r="M649" s="66" t="s">
        <v>22</v>
      </c>
      <c r="N649" s="45" t="s">
        <v>418</v>
      </c>
      <c r="O649" s="69"/>
    </row>
    <row r="650" spans="1:21" s="12" customFormat="1">
      <c r="A650" s="65" t="s">
        <v>120</v>
      </c>
      <c r="B650" s="75" t="s">
        <v>750</v>
      </c>
      <c r="C650" s="67" t="s">
        <v>17</v>
      </c>
      <c r="D650" s="142"/>
      <c r="E650" s="142">
        <v>50</v>
      </c>
      <c r="F650" s="142"/>
      <c r="G650" s="39">
        <v>50</v>
      </c>
      <c r="H650" s="41">
        <f>SUM(Tabla1326[[#This Row],[PRIMER TRIMESTRE]:[CUARTO TRIMESTRE]])</f>
        <v>100</v>
      </c>
      <c r="I650" s="17">
        <v>129.80000000000001</v>
      </c>
      <c r="J650" s="17">
        <f>+H650*I650</f>
        <v>12980.000000000002</v>
      </c>
      <c r="K650" s="68"/>
      <c r="L650" s="16" t="s">
        <v>27</v>
      </c>
      <c r="M650" s="66" t="s">
        <v>22</v>
      </c>
      <c r="N650" s="45" t="s">
        <v>418</v>
      </c>
      <c r="O650" s="69"/>
    </row>
    <row r="651" spans="1:21" s="12" customFormat="1">
      <c r="A651" s="32" t="s">
        <v>120</v>
      </c>
      <c r="B651" s="75" t="s">
        <v>403</v>
      </c>
      <c r="C651" s="45" t="s">
        <v>416</v>
      </c>
      <c r="D651" s="142"/>
      <c r="E651" s="142">
        <v>300</v>
      </c>
      <c r="F651" s="142"/>
      <c r="G651" s="39">
        <v>300</v>
      </c>
      <c r="H651" s="41">
        <f>SUM(Tabla1326[[#This Row],[PRIMER TRIMESTRE]:[CUARTO TRIMESTRE]])</f>
        <v>600</v>
      </c>
      <c r="I651" s="17">
        <v>75</v>
      </c>
      <c r="J651" s="17">
        <f>+H651*I651</f>
        <v>45000</v>
      </c>
      <c r="K651" s="31"/>
      <c r="L651" s="16" t="s">
        <v>27</v>
      </c>
      <c r="M651" s="16" t="s">
        <v>22</v>
      </c>
      <c r="N651" s="45" t="s">
        <v>418</v>
      </c>
      <c r="O651" s="20"/>
    </row>
    <row r="652" spans="1:21" s="12" customFormat="1">
      <c r="A652" s="15" t="s">
        <v>120</v>
      </c>
      <c r="B652" s="75" t="s">
        <v>744</v>
      </c>
      <c r="C652" s="39" t="s">
        <v>17</v>
      </c>
      <c r="D652" s="142"/>
      <c r="E652" s="142">
        <v>400</v>
      </c>
      <c r="F652" s="142"/>
      <c r="G652" s="39">
        <v>400</v>
      </c>
      <c r="H652" s="41">
        <f>SUM(Tabla1326[[#This Row],[PRIMER TRIMESTRE]:[CUARTO TRIMESTRE]])</f>
        <v>800</v>
      </c>
      <c r="I652" s="17">
        <v>43.66</v>
      </c>
      <c r="J652" s="17">
        <f>+H652*I652</f>
        <v>34928</v>
      </c>
      <c r="K652" s="17"/>
      <c r="L652" s="16" t="s">
        <v>27</v>
      </c>
      <c r="M652" s="16" t="s">
        <v>22</v>
      </c>
      <c r="N652" s="45" t="s">
        <v>418</v>
      </c>
      <c r="O652" s="18"/>
    </row>
    <row r="653" spans="1:21" s="12" customFormat="1">
      <c r="A653" s="15" t="s">
        <v>120</v>
      </c>
      <c r="B653" s="75" t="s">
        <v>264</v>
      </c>
      <c r="C653" s="39" t="s">
        <v>17</v>
      </c>
      <c r="D653" s="142"/>
      <c r="E653" s="142">
        <v>2</v>
      </c>
      <c r="F653" s="142"/>
      <c r="G653" s="39"/>
      <c r="H653" s="41">
        <f>SUM(Tabla1326[[#This Row],[PRIMER TRIMESTRE]:[CUARTO TRIMESTRE]])</f>
        <v>2</v>
      </c>
      <c r="I653" s="17">
        <v>185</v>
      </c>
      <c r="J653" s="17">
        <f>+Tabla1326[[#This Row],[CANTIDAD TOTAL]]*Tabla1326[[#This Row],[PRECIO UNITARIO ESTIMADO]]</f>
        <v>370</v>
      </c>
      <c r="K653" s="31"/>
      <c r="L653" s="16" t="s">
        <v>27</v>
      </c>
      <c r="M653" s="16" t="s">
        <v>22</v>
      </c>
      <c r="N653" s="45" t="s">
        <v>418</v>
      </c>
      <c r="O653" s="20"/>
    </row>
    <row r="654" spans="1:21" s="12" customFormat="1">
      <c r="A654" s="15" t="s">
        <v>120</v>
      </c>
      <c r="B654" s="75" t="s">
        <v>745</v>
      </c>
      <c r="C654" s="39" t="s">
        <v>208</v>
      </c>
      <c r="D654" s="142"/>
      <c r="E654" s="142">
        <v>125</v>
      </c>
      <c r="F654" s="142"/>
      <c r="G654" s="39">
        <v>125</v>
      </c>
      <c r="H654" s="41">
        <f>SUM(Tabla1326[[#This Row],[PRIMER TRIMESTRE]:[CUARTO TRIMESTRE]])</f>
        <v>250</v>
      </c>
      <c r="I654" s="17">
        <v>43.66</v>
      </c>
      <c r="J654" s="17">
        <f t="shared" ref="J654:J669" si="13">+H654*I654</f>
        <v>10915</v>
      </c>
      <c r="K654" s="17"/>
      <c r="L654" s="16" t="s">
        <v>27</v>
      </c>
      <c r="M654" s="16" t="s">
        <v>22</v>
      </c>
      <c r="N654" s="45" t="s">
        <v>418</v>
      </c>
      <c r="O654" s="18"/>
    </row>
    <row r="655" spans="1:21" s="12" customFormat="1">
      <c r="A655" s="15" t="s">
        <v>120</v>
      </c>
      <c r="B655" s="75" t="s">
        <v>414</v>
      </c>
      <c r="C655" s="39" t="s">
        <v>417</v>
      </c>
      <c r="D655" s="142"/>
      <c r="E655" s="142">
        <v>2000</v>
      </c>
      <c r="F655" s="142"/>
      <c r="G655" s="39">
        <v>2000</v>
      </c>
      <c r="H655" s="41">
        <f>SUM(Tabla1326[[#This Row],[PRIMER TRIMESTRE]:[CUARTO TRIMESTRE]])</f>
        <v>4000</v>
      </c>
      <c r="I655" s="17">
        <v>13.57</v>
      </c>
      <c r="J655" s="17">
        <f t="shared" si="13"/>
        <v>54280</v>
      </c>
      <c r="K655" s="17"/>
      <c r="L655" s="16" t="s">
        <v>27</v>
      </c>
      <c r="M655" s="16" t="s">
        <v>22</v>
      </c>
      <c r="N655" s="45" t="s">
        <v>418</v>
      </c>
      <c r="O655" s="20"/>
    </row>
    <row r="656" spans="1:21" s="12" customFormat="1">
      <c r="A656" s="15" t="s">
        <v>120</v>
      </c>
      <c r="B656" s="75" t="s">
        <v>760</v>
      </c>
      <c r="C656" s="39" t="s">
        <v>208</v>
      </c>
      <c r="D656" s="142"/>
      <c r="E656" s="142">
        <v>150</v>
      </c>
      <c r="F656" s="142"/>
      <c r="G656" s="39">
        <v>150</v>
      </c>
      <c r="H656" s="41">
        <f>SUM(Tabla1326[[#This Row],[PRIMER TRIMESTRE]:[CUARTO TRIMESTRE]])</f>
        <v>300</v>
      </c>
      <c r="I656" s="17">
        <v>43.66</v>
      </c>
      <c r="J656" s="17">
        <f t="shared" si="13"/>
        <v>13097.999999999998</v>
      </c>
      <c r="K656" s="17"/>
      <c r="L656" s="16" t="s">
        <v>27</v>
      </c>
      <c r="M656" s="16" t="s">
        <v>22</v>
      </c>
      <c r="N656" s="45" t="s">
        <v>418</v>
      </c>
      <c r="O656" s="18"/>
    </row>
    <row r="657" spans="1:15" s="12" customFormat="1">
      <c r="A657" s="15" t="s">
        <v>120</v>
      </c>
      <c r="B657" s="75" t="s">
        <v>761</v>
      </c>
      <c r="C657" s="39" t="s">
        <v>208</v>
      </c>
      <c r="D657" s="142"/>
      <c r="E657" s="142">
        <v>200</v>
      </c>
      <c r="F657" s="142"/>
      <c r="G657" s="39">
        <v>200</v>
      </c>
      <c r="H657" s="41">
        <f>SUM(Tabla1326[[#This Row],[PRIMER TRIMESTRE]:[CUARTO TRIMESTRE]])</f>
        <v>400</v>
      </c>
      <c r="I657" s="17">
        <v>12.98</v>
      </c>
      <c r="J657" s="17">
        <f t="shared" si="13"/>
        <v>5192</v>
      </c>
      <c r="K657" s="17"/>
      <c r="L657" s="16" t="s">
        <v>27</v>
      </c>
      <c r="M657" s="16" t="s">
        <v>22</v>
      </c>
      <c r="N657" s="45" t="s">
        <v>418</v>
      </c>
      <c r="O657" s="18"/>
    </row>
    <row r="658" spans="1:15" s="12" customFormat="1">
      <c r="A658" s="32" t="s">
        <v>120</v>
      </c>
      <c r="B658" s="75" t="s">
        <v>399</v>
      </c>
      <c r="C658" s="45" t="s">
        <v>208</v>
      </c>
      <c r="D658" s="142"/>
      <c r="E658" s="142">
        <v>200</v>
      </c>
      <c r="F658" s="142"/>
      <c r="G658" s="39">
        <v>200</v>
      </c>
      <c r="H658" s="41">
        <f>SUM(Tabla1326[[#This Row],[PRIMER TRIMESTRE]:[CUARTO TRIMESTRE]])</f>
        <v>400</v>
      </c>
      <c r="I658" s="17">
        <v>86.81</v>
      </c>
      <c r="J658" s="17">
        <f t="shared" si="13"/>
        <v>34724</v>
      </c>
      <c r="K658" s="31"/>
      <c r="L658" s="16" t="s">
        <v>27</v>
      </c>
      <c r="M658" s="16" t="s">
        <v>22</v>
      </c>
      <c r="N658" s="45" t="s">
        <v>418</v>
      </c>
      <c r="O658" s="20"/>
    </row>
    <row r="659" spans="1:15" s="12" customFormat="1" ht="36" customHeight="1">
      <c r="A659" s="32" t="s">
        <v>120</v>
      </c>
      <c r="B659" s="75" t="s">
        <v>400</v>
      </c>
      <c r="C659" s="45" t="s">
        <v>208</v>
      </c>
      <c r="D659" s="142"/>
      <c r="E659" s="142">
        <v>200</v>
      </c>
      <c r="F659" s="142"/>
      <c r="G659" s="39">
        <v>200</v>
      </c>
      <c r="H659" s="41">
        <f>SUM(Tabla1326[[#This Row],[PRIMER TRIMESTRE]:[CUARTO TRIMESTRE]])</f>
        <v>400</v>
      </c>
      <c r="I659" s="17">
        <v>25.4</v>
      </c>
      <c r="J659" s="17">
        <f t="shared" si="13"/>
        <v>10160</v>
      </c>
      <c r="K659" s="31"/>
      <c r="L659" s="16" t="s">
        <v>27</v>
      </c>
      <c r="M659" s="16" t="s">
        <v>22</v>
      </c>
      <c r="N659" s="45" t="s">
        <v>418</v>
      </c>
      <c r="O659" s="20"/>
    </row>
    <row r="660" spans="1:15" s="12" customFormat="1" ht="25.5">
      <c r="A660" s="32" t="s">
        <v>120</v>
      </c>
      <c r="B660" s="75" t="s">
        <v>395</v>
      </c>
      <c r="C660" s="45" t="s">
        <v>208</v>
      </c>
      <c r="D660" s="142"/>
      <c r="E660" s="142">
        <v>200</v>
      </c>
      <c r="F660" s="142"/>
      <c r="G660" s="39">
        <v>200</v>
      </c>
      <c r="H660" s="41">
        <f>SUM(Tabla1326[[#This Row],[PRIMER TRIMESTRE]:[CUARTO TRIMESTRE]])</f>
        <v>400</v>
      </c>
      <c r="I660" s="17">
        <v>235.20000000000002</v>
      </c>
      <c r="J660" s="17">
        <f t="shared" si="13"/>
        <v>94080</v>
      </c>
      <c r="K660" s="31"/>
      <c r="L660" s="16" t="s">
        <v>27</v>
      </c>
      <c r="M660" s="16" t="s">
        <v>22</v>
      </c>
      <c r="N660" s="45" t="s">
        <v>418</v>
      </c>
      <c r="O660" s="20"/>
    </row>
    <row r="661" spans="1:15" s="12" customFormat="1">
      <c r="A661" s="15" t="s">
        <v>120</v>
      </c>
      <c r="B661" s="75" t="s">
        <v>746</v>
      </c>
      <c r="C661" s="39" t="s">
        <v>17</v>
      </c>
      <c r="D661" s="142"/>
      <c r="E661" s="142">
        <v>100</v>
      </c>
      <c r="F661" s="142"/>
      <c r="G661" s="39">
        <v>100</v>
      </c>
      <c r="H661" s="41">
        <f>SUM(Tabla1326[[#This Row],[PRIMER TRIMESTRE]:[CUARTO TRIMESTRE]])</f>
        <v>200</v>
      </c>
      <c r="I661" s="17">
        <v>23.32</v>
      </c>
      <c r="J661" s="17">
        <f t="shared" si="13"/>
        <v>4664</v>
      </c>
      <c r="K661" s="17"/>
      <c r="L661" s="16" t="s">
        <v>27</v>
      </c>
      <c r="M661" s="16" t="s">
        <v>22</v>
      </c>
      <c r="N661" s="45" t="s">
        <v>418</v>
      </c>
      <c r="O661" s="18"/>
    </row>
    <row r="662" spans="1:15" s="12" customFormat="1">
      <c r="A662" s="15" t="s">
        <v>120</v>
      </c>
      <c r="B662" s="75" t="s">
        <v>747</v>
      </c>
      <c r="C662" s="39" t="s">
        <v>17</v>
      </c>
      <c r="D662" s="142"/>
      <c r="E662" s="142">
        <v>150</v>
      </c>
      <c r="F662" s="142"/>
      <c r="G662" s="39">
        <v>150</v>
      </c>
      <c r="H662" s="41">
        <f>SUM(Tabla1326[[#This Row],[PRIMER TRIMESTRE]:[CUARTO TRIMESTRE]])</f>
        <v>300</v>
      </c>
      <c r="I662" s="17">
        <v>23.32</v>
      </c>
      <c r="J662" s="17">
        <f t="shared" si="13"/>
        <v>6996</v>
      </c>
      <c r="K662" s="17"/>
      <c r="L662" s="16" t="s">
        <v>27</v>
      </c>
      <c r="M662" s="16" t="s">
        <v>22</v>
      </c>
      <c r="N662" s="45" t="s">
        <v>418</v>
      </c>
      <c r="O662" s="18"/>
    </row>
    <row r="663" spans="1:15" s="12" customFormat="1" ht="36.75" customHeight="1">
      <c r="A663" s="32" t="s">
        <v>120</v>
      </c>
      <c r="B663" s="75" t="s">
        <v>396</v>
      </c>
      <c r="C663" s="45" t="s">
        <v>208</v>
      </c>
      <c r="D663" s="142"/>
      <c r="E663" s="142">
        <v>250</v>
      </c>
      <c r="F663" s="142"/>
      <c r="G663" s="39">
        <v>250</v>
      </c>
      <c r="H663" s="41">
        <f>SUM(Tabla1326[[#This Row],[PRIMER TRIMESTRE]:[CUARTO TRIMESTRE]])</f>
        <v>500</v>
      </c>
      <c r="I663" s="17">
        <v>194.7</v>
      </c>
      <c r="J663" s="17">
        <f t="shared" si="13"/>
        <v>97350</v>
      </c>
      <c r="K663" s="31"/>
      <c r="L663" s="16" t="s">
        <v>27</v>
      </c>
      <c r="M663" s="16" t="s">
        <v>22</v>
      </c>
      <c r="N663" s="45" t="s">
        <v>418</v>
      </c>
      <c r="O663" s="20"/>
    </row>
    <row r="664" spans="1:15" s="12" customFormat="1" ht="39" customHeight="1">
      <c r="A664" s="32" t="s">
        <v>120</v>
      </c>
      <c r="B664" s="75" t="s">
        <v>397</v>
      </c>
      <c r="C664" s="45" t="s">
        <v>208</v>
      </c>
      <c r="D664" s="142"/>
      <c r="E664" s="142">
        <v>50</v>
      </c>
      <c r="F664" s="142"/>
      <c r="G664" s="39">
        <v>50</v>
      </c>
      <c r="H664" s="41">
        <f>SUM(Tabla1326[[#This Row],[PRIMER TRIMESTRE]:[CUARTO TRIMESTRE]])</f>
        <v>100</v>
      </c>
      <c r="I664" s="17">
        <v>309.14</v>
      </c>
      <c r="J664" s="17">
        <f t="shared" si="13"/>
        <v>30914</v>
      </c>
      <c r="K664" s="31"/>
      <c r="L664" s="16" t="s">
        <v>27</v>
      </c>
      <c r="M664" s="16" t="s">
        <v>22</v>
      </c>
      <c r="N664" s="45" t="s">
        <v>418</v>
      </c>
      <c r="O664" s="20"/>
    </row>
    <row r="665" spans="1:15" s="12" customFormat="1">
      <c r="A665" s="32" t="s">
        <v>120</v>
      </c>
      <c r="B665" s="75" t="s">
        <v>404</v>
      </c>
      <c r="C665" s="45" t="s">
        <v>255</v>
      </c>
      <c r="D665" s="142"/>
      <c r="E665" s="142">
        <v>200</v>
      </c>
      <c r="F665" s="142"/>
      <c r="G665" s="39">
        <v>200</v>
      </c>
      <c r="H665" s="41">
        <f>SUM(Tabla1326[[#This Row],[PRIMER TRIMESTRE]:[CUARTO TRIMESTRE]])</f>
        <v>400</v>
      </c>
      <c r="I665" s="17">
        <v>29.5</v>
      </c>
      <c r="J665" s="17">
        <f t="shared" si="13"/>
        <v>11800</v>
      </c>
      <c r="K665" s="31"/>
      <c r="L665" s="16" t="s">
        <v>27</v>
      </c>
      <c r="M665" s="16" t="s">
        <v>22</v>
      </c>
      <c r="N665" s="45" t="s">
        <v>418</v>
      </c>
      <c r="O665" s="20"/>
    </row>
    <row r="666" spans="1:15" s="12" customFormat="1">
      <c r="A666" s="32" t="s">
        <v>120</v>
      </c>
      <c r="B666" s="75" t="s">
        <v>254</v>
      </c>
      <c r="C666" s="45" t="s">
        <v>417</v>
      </c>
      <c r="D666" s="142"/>
      <c r="E666" s="142">
        <v>200</v>
      </c>
      <c r="F666" s="142"/>
      <c r="G666" s="39">
        <v>200</v>
      </c>
      <c r="H666" s="41">
        <f>SUM(Tabla1326[[#This Row],[PRIMER TRIMESTRE]:[CUARTO TRIMESTRE]])</f>
        <v>400</v>
      </c>
      <c r="I666" s="17">
        <v>12</v>
      </c>
      <c r="J666" s="17">
        <f t="shared" si="13"/>
        <v>4800</v>
      </c>
      <c r="K666" s="31"/>
      <c r="L666" s="16" t="s">
        <v>27</v>
      </c>
      <c r="M666" s="16" t="s">
        <v>22</v>
      </c>
      <c r="N666" s="45" t="s">
        <v>418</v>
      </c>
      <c r="O666" s="20"/>
    </row>
    <row r="667" spans="1:15" s="12" customFormat="1" ht="40.5" customHeight="1">
      <c r="A667" s="32" t="s">
        <v>120</v>
      </c>
      <c r="B667" s="75" t="s">
        <v>394</v>
      </c>
      <c r="C667" s="45" t="s">
        <v>208</v>
      </c>
      <c r="D667" s="142"/>
      <c r="E667" s="142">
        <v>250</v>
      </c>
      <c r="F667" s="142"/>
      <c r="G667" s="39">
        <v>250</v>
      </c>
      <c r="H667" s="41">
        <f>SUM(Tabla1326[[#This Row],[PRIMER TRIMESTRE]:[CUARTO TRIMESTRE]])</f>
        <v>500</v>
      </c>
      <c r="I667" s="17">
        <v>69.599999999999994</v>
      </c>
      <c r="J667" s="17">
        <f t="shared" si="13"/>
        <v>34800</v>
      </c>
      <c r="K667" s="31"/>
      <c r="L667" s="16" t="s">
        <v>27</v>
      </c>
      <c r="M667" s="16" t="s">
        <v>22</v>
      </c>
      <c r="N667" s="45" t="s">
        <v>418</v>
      </c>
      <c r="O667" s="20"/>
    </row>
    <row r="668" spans="1:15" s="12" customFormat="1">
      <c r="A668" s="32" t="s">
        <v>120</v>
      </c>
      <c r="B668" s="75" t="s">
        <v>408</v>
      </c>
      <c r="C668" s="45" t="s">
        <v>417</v>
      </c>
      <c r="D668" s="142"/>
      <c r="E668" s="142">
        <v>200</v>
      </c>
      <c r="F668" s="142"/>
      <c r="G668" s="39">
        <v>200</v>
      </c>
      <c r="H668" s="41">
        <f>SUM(Tabla1326[[#This Row],[PRIMER TRIMESTRE]:[CUARTO TRIMESTRE]])</f>
        <v>400</v>
      </c>
      <c r="I668" s="17">
        <v>43.7</v>
      </c>
      <c r="J668" s="17">
        <f t="shared" si="13"/>
        <v>17480</v>
      </c>
      <c r="K668" s="31"/>
      <c r="L668" s="16" t="s">
        <v>27</v>
      </c>
      <c r="M668" s="30" t="s">
        <v>22</v>
      </c>
      <c r="N668" s="45" t="s">
        <v>418</v>
      </c>
      <c r="O668" s="20"/>
    </row>
    <row r="669" spans="1:15" s="12" customFormat="1">
      <c r="A669" s="32" t="s">
        <v>120</v>
      </c>
      <c r="B669" s="75" t="s">
        <v>409</v>
      </c>
      <c r="C669" s="45" t="s">
        <v>417</v>
      </c>
      <c r="D669" s="142"/>
      <c r="E669" s="142">
        <v>100</v>
      </c>
      <c r="F669" s="142"/>
      <c r="G669" s="39">
        <v>100</v>
      </c>
      <c r="H669" s="41">
        <f>SUM(Tabla1326[[#This Row],[PRIMER TRIMESTRE]:[CUARTO TRIMESTRE]])</f>
        <v>200</v>
      </c>
      <c r="I669" s="17">
        <v>15.21</v>
      </c>
      <c r="J669" s="17">
        <f t="shared" si="13"/>
        <v>3042</v>
      </c>
      <c r="K669" s="31"/>
      <c r="L669" s="16" t="s">
        <v>27</v>
      </c>
      <c r="M669" s="30" t="s">
        <v>22</v>
      </c>
      <c r="N669" s="45" t="s">
        <v>418</v>
      </c>
      <c r="O669" s="20"/>
    </row>
    <row r="670" spans="1:15" s="12" customFormat="1">
      <c r="A670" s="15" t="s">
        <v>120</v>
      </c>
      <c r="B670" s="75" t="s">
        <v>265</v>
      </c>
      <c r="C670" s="39" t="s">
        <v>17</v>
      </c>
      <c r="D670" s="142"/>
      <c r="E670" s="142">
        <v>15</v>
      </c>
      <c r="F670" s="142"/>
      <c r="G670" s="39">
        <v>10</v>
      </c>
      <c r="H670" s="41">
        <f>SUM(Tabla1326[[#This Row],[PRIMER TRIMESTRE]:[CUARTO TRIMESTRE]])</f>
        <v>25</v>
      </c>
      <c r="I670" s="17">
        <v>185.6</v>
      </c>
      <c r="J670" s="17">
        <f>+Tabla1326[[#This Row],[CANTIDAD TOTAL]]*Tabla1326[[#This Row],[PRECIO UNITARIO ESTIMADO]]</f>
        <v>4640</v>
      </c>
      <c r="K670" s="31"/>
      <c r="L670" s="16" t="s">
        <v>27</v>
      </c>
      <c r="M670" s="16" t="s">
        <v>22</v>
      </c>
      <c r="N670" s="45" t="s">
        <v>418</v>
      </c>
      <c r="O670" s="20"/>
    </row>
    <row r="671" spans="1:15" s="12" customFormat="1">
      <c r="A671" s="15" t="s">
        <v>120</v>
      </c>
      <c r="B671" s="75" t="s">
        <v>261</v>
      </c>
      <c r="C671" s="39" t="s">
        <v>17</v>
      </c>
      <c r="D671" s="142"/>
      <c r="E671" s="142">
        <v>150</v>
      </c>
      <c r="F671" s="142"/>
      <c r="G671" s="39">
        <v>150</v>
      </c>
      <c r="H671" s="41">
        <f>SUM(Tabla1326[[#This Row],[PRIMER TRIMESTRE]:[CUARTO TRIMESTRE]])</f>
        <v>300</v>
      </c>
      <c r="I671" s="17">
        <v>148</v>
      </c>
      <c r="J671" s="17">
        <f>+Tabla1326[[#This Row],[CANTIDAD TOTAL]]*Tabla1326[[#This Row],[PRECIO UNITARIO ESTIMADO]]</f>
        <v>44400</v>
      </c>
      <c r="K671" s="31"/>
      <c r="L671" s="16" t="s">
        <v>27</v>
      </c>
      <c r="M671" s="16" t="s">
        <v>22</v>
      </c>
      <c r="N671" s="45" t="s">
        <v>418</v>
      </c>
      <c r="O671" s="20"/>
    </row>
    <row r="672" spans="1:15" s="12" customFormat="1">
      <c r="A672" s="15" t="s">
        <v>120</v>
      </c>
      <c r="B672" s="75" t="s">
        <v>751</v>
      </c>
      <c r="C672" s="39" t="s">
        <v>17</v>
      </c>
      <c r="D672" s="142"/>
      <c r="E672" s="142">
        <v>75</v>
      </c>
      <c r="F672" s="142"/>
      <c r="G672" s="39">
        <v>75</v>
      </c>
      <c r="H672" s="41">
        <f>SUM(Tabla1326[[#This Row],[PRIMER TRIMESTRE]:[CUARTO TRIMESTRE]])</f>
        <v>150</v>
      </c>
      <c r="I672" s="17">
        <v>15.54</v>
      </c>
      <c r="J672" s="17">
        <f>+H672*I672</f>
        <v>2331</v>
      </c>
      <c r="K672" s="17"/>
      <c r="L672" s="16" t="s">
        <v>27</v>
      </c>
      <c r="M672" s="16" t="s">
        <v>22</v>
      </c>
      <c r="N672" s="45" t="s">
        <v>418</v>
      </c>
      <c r="O672" s="18"/>
    </row>
    <row r="673" spans="1:15" s="12" customFormat="1">
      <c r="A673" s="15" t="s">
        <v>752</v>
      </c>
      <c r="B673" s="75" t="s">
        <v>754</v>
      </c>
      <c r="C673" s="39" t="s">
        <v>17</v>
      </c>
      <c r="D673" s="142"/>
      <c r="E673" s="142">
        <v>75</v>
      </c>
      <c r="F673" s="142"/>
      <c r="G673" s="39">
        <v>75</v>
      </c>
      <c r="H673" s="41">
        <f>SUM(Tabla1326[[#This Row],[PRIMER TRIMESTRE]:[CUARTO TRIMESTRE]])</f>
        <v>150</v>
      </c>
      <c r="I673" s="17">
        <v>15.54</v>
      </c>
      <c r="J673" s="17">
        <f>+H673*I673</f>
        <v>2331</v>
      </c>
      <c r="K673" s="17"/>
      <c r="L673" s="16" t="s">
        <v>27</v>
      </c>
      <c r="M673" s="16" t="s">
        <v>22</v>
      </c>
      <c r="N673" s="45" t="s">
        <v>418</v>
      </c>
      <c r="O673" s="18"/>
    </row>
    <row r="674" spans="1:15" s="12" customFormat="1">
      <c r="A674" s="15" t="s">
        <v>753</v>
      </c>
      <c r="B674" s="75" t="s">
        <v>755</v>
      </c>
      <c r="C674" s="39" t="s">
        <v>17</v>
      </c>
      <c r="D674" s="142"/>
      <c r="E674" s="142">
        <v>75</v>
      </c>
      <c r="F674" s="142"/>
      <c r="G674" s="39">
        <v>75</v>
      </c>
      <c r="H674" s="41">
        <f>SUM(Tabla1326[[#This Row],[PRIMER TRIMESTRE]:[CUARTO TRIMESTRE]])</f>
        <v>150</v>
      </c>
      <c r="I674" s="17">
        <v>15.54</v>
      </c>
      <c r="J674" s="17">
        <f>+H674*I674</f>
        <v>2331</v>
      </c>
      <c r="K674" s="17"/>
      <c r="L674" s="16" t="s">
        <v>27</v>
      </c>
      <c r="M674" s="16" t="s">
        <v>22</v>
      </c>
      <c r="N674" s="45" t="s">
        <v>418</v>
      </c>
      <c r="O674" s="18"/>
    </row>
    <row r="675" spans="1:15" s="12" customFormat="1">
      <c r="A675" s="32" t="s">
        <v>120</v>
      </c>
      <c r="B675" s="75" t="s">
        <v>390</v>
      </c>
      <c r="C675" s="39" t="s">
        <v>266</v>
      </c>
      <c r="D675" s="142"/>
      <c r="E675" s="142">
        <v>2500</v>
      </c>
      <c r="F675" s="142"/>
      <c r="G675" s="39">
        <v>2500</v>
      </c>
      <c r="H675" s="41">
        <f>SUM(Tabla1326[[#This Row],[PRIMER TRIMESTRE]:[CUARTO TRIMESTRE]])</f>
        <v>5000</v>
      </c>
      <c r="I675" s="17">
        <v>145.13999999999999</v>
      </c>
      <c r="J675" s="17">
        <f>+H675*I675</f>
        <v>725699.99999999988</v>
      </c>
      <c r="K675" s="31"/>
      <c r="L675" s="16" t="s">
        <v>27</v>
      </c>
      <c r="M675" s="16" t="s">
        <v>22</v>
      </c>
      <c r="N675" s="45" t="s">
        <v>418</v>
      </c>
      <c r="O675" s="20"/>
    </row>
    <row r="676" spans="1:15" s="12" customFormat="1">
      <c r="A676" s="32" t="s">
        <v>120</v>
      </c>
      <c r="B676" s="75" t="s">
        <v>391</v>
      </c>
      <c r="C676" s="45" t="s">
        <v>415</v>
      </c>
      <c r="D676" s="142"/>
      <c r="E676" s="142">
        <v>200</v>
      </c>
      <c r="F676" s="142"/>
      <c r="G676" s="39">
        <v>200</v>
      </c>
      <c r="H676" s="41">
        <f>SUM(Tabla1326[[#This Row],[PRIMER TRIMESTRE]:[CUARTO TRIMESTRE]])</f>
        <v>400</v>
      </c>
      <c r="I676" s="17">
        <v>214.76</v>
      </c>
      <c r="J676" s="17">
        <f>+H676*I676</f>
        <v>85904</v>
      </c>
      <c r="K676" s="31"/>
      <c r="L676" s="16" t="s">
        <v>27</v>
      </c>
      <c r="M676" s="30" t="s">
        <v>22</v>
      </c>
      <c r="N676" s="45" t="s">
        <v>418</v>
      </c>
      <c r="O676" s="20"/>
    </row>
    <row r="677" spans="1:15" s="12" customFormat="1">
      <c r="A677" s="15" t="s">
        <v>120</v>
      </c>
      <c r="B677" s="75" t="s">
        <v>267</v>
      </c>
      <c r="C677" s="39" t="s">
        <v>102</v>
      </c>
      <c r="D677" s="142"/>
      <c r="E677" s="142">
        <v>5</v>
      </c>
      <c r="F677" s="142"/>
      <c r="G677" s="39"/>
      <c r="H677" s="41">
        <f>SUM(Tabla1326[[#This Row],[PRIMER TRIMESTRE]:[CUARTO TRIMESTRE]])</f>
        <v>5</v>
      </c>
      <c r="I677" s="17">
        <v>1063.19</v>
      </c>
      <c r="J677" s="17">
        <f>+Tabla1326[[#This Row],[CANTIDAD TOTAL]]*Tabla1326[[#This Row],[PRECIO UNITARIO ESTIMADO]]</f>
        <v>5315.9500000000007</v>
      </c>
      <c r="K677" s="31"/>
      <c r="L677" s="16" t="s">
        <v>27</v>
      </c>
      <c r="M677" s="16" t="s">
        <v>22</v>
      </c>
      <c r="N677" s="45" t="s">
        <v>418</v>
      </c>
      <c r="O677" s="20"/>
    </row>
    <row r="678" spans="1:15" s="12" customFormat="1">
      <c r="A678" s="15" t="s">
        <v>120</v>
      </c>
      <c r="B678" s="75" t="s">
        <v>759</v>
      </c>
      <c r="C678" s="39" t="s">
        <v>208</v>
      </c>
      <c r="D678" s="142"/>
      <c r="E678" s="142">
        <v>75</v>
      </c>
      <c r="F678" s="142"/>
      <c r="G678" s="39">
        <v>75</v>
      </c>
      <c r="H678" s="41">
        <f>SUM(Tabla1326[[#This Row],[PRIMER TRIMESTRE]:[CUARTO TRIMESTRE]])</f>
        <v>150</v>
      </c>
      <c r="I678" s="17">
        <v>161.66</v>
      </c>
      <c r="J678" s="17">
        <f>+H678*I678</f>
        <v>24249</v>
      </c>
      <c r="K678" s="17"/>
      <c r="L678" s="16" t="s">
        <v>27</v>
      </c>
      <c r="M678" s="16" t="s">
        <v>22</v>
      </c>
      <c r="N678" s="45" t="s">
        <v>418</v>
      </c>
      <c r="O678" s="18"/>
    </row>
    <row r="679" spans="1:15" s="12" customFormat="1">
      <c r="A679" s="15" t="s">
        <v>120</v>
      </c>
      <c r="B679" s="75" t="s">
        <v>268</v>
      </c>
      <c r="C679" s="39" t="s">
        <v>208</v>
      </c>
      <c r="D679" s="142"/>
      <c r="E679" s="142">
        <v>10</v>
      </c>
      <c r="F679" s="142"/>
      <c r="G679" s="39">
        <v>10</v>
      </c>
      <c r="H679" s="41">
        <f>SUM(Tabla1326[[#This Row],[PRIMER TRIMESTRE]:[CUARTO TRIMESTRE]])</f>
        <v>20</v>
      </c>
      <c r="I679" s="17">
        <v>1450</v>
      </c>
      <c r="J679" s="17">
        <f>+Tabla1326[[#This Row],[CANTIDAD TOTAL]]*Tabla1326[[#This Row],[PRECIO UNITARIO ESTIMADO]]</f>
        <v>29000</v>
      </c>
      <c r="K679" s="31"/>
      <c r="L679" s="16" t="s">
        <v>27</v>
      </c>
      <c r="M679" s="16" t="s">
        <v>22</v>
      </c>
      <c r="N679" s="45" t="s">
        <v>418</v>
      </c>
      <c r="O679" s="20"/>
    </row>
    <row r="680" spans="1:15" s="12" customFormat="1">
      <c r="A680" s="15" t="s">
        <v>120</v>
      </c>
      <c r="B680" s="75" t="s">
        <v>269</v>
      </c>
      <c r="C680" s="39" t="s">
        <v>266</v>
      </c>
      <c r="D680" s="142"/>
      <c r="E680" s="142">
        <v>10</v>
      </c>
      <c r="F680" s="142"/>
      <c r="G680" s="39">
        <v>10</v>
      </c>
      <c r="H680" s="41">
        <f>SUM(Tabla1326[[#This Row],[PRIMER TRIMESTRE]:[CUARTO TRIMESTRE]])</f>
        <v>20</v>
      </c>
      <c r="I680" s="17">
        <v>2552</v>
      </c>
      <c r="J680" s="17">
        <f>+Tabla1326[[#This Row],[CANTIDAD TOTAL]]*Tabla1326[[#This Row],[PRECIO UNITARIO ESTIMADO]]</f>
        <v>51040</v>
      </c>
      <c r="K680" s="31"/>
      <c r="L680" s="16" t="s">
        <v>27</v>
      </c>
      <c r="M680" s="16" t="s">
        <v>22</v>
      </c>
      <c r="N680" s="45" t="s">
        <v>418</v>
      </c>
      <c r="O680" s="20"/>
    </row>
    <row r="681" spans="1:15" s="12" customFormat="1">
      <c r="A681" s="15" t="s">
        <v>120</v>
      </c>
      <c r="B681" s="75" t="s">
        <v>756</v>
      </c>
      <c r="C681" s="39" t="s">
        <v>234</v>
      </c>
      <c r="D681" s="142"/>
      <c r="E681" s="142">
        <v>200</v>
      </c>
      <c r="F681" s="142"/>
      <c r="G681" s="39">
        <v>200</v>
      </c>
      <c r="H681" s="41">
        <f>SUM(Tabla1326[[#This Row],[PRIMER TRIMESTRE]:[CUARTO TRIMESTRE]])</f>
        <v>400</v>
      </c>
      <c r="I681" s="17">
        <v>24.78</v>
      </c>
      <c r="J681" s="17">
        <f t="shared" ref="J681:J687" si="14">+H681*I681</f>
        <v>9912</v>
      </c>
      <c r="K681" s="17"/>
      <c r="L681" s="16" t="s">
        <v>27</v>
      </c>
      <c r="M681" s="16" t="s">
        <v>22</v>
      </c>
      <c r="N681" s="45" t="s">
        <v>418</v>
      </c>
      <c r="O681" s="18"/>
    </row>
    <row r="682" spans="1:15" s="12" customFormat="1">
      <c r="A682" s="15" t="s">
        <v>120</v>
      </c>
      <c r="B682" s="75" t="s">
        <v>763</v>
      </c>
      <c r="C682" s="39" t="s">
        <v>17</v>
      </c>
      <c r="D682" s="142"/>
      <c r="E682" s="142">
        <v>100</v>
      </c>
      <c r="F682" s="142"/>
      <c r="G682" s="39">
        <v>100</v>
      </c>
      <c r="H682" s="41">
        <f>SUM(Tabla1326[[#This Row],[PRIMER TRIMESTRE]:[CUARTO TRIMESTRE]])</f>
        <v>200</v>
      </c>
      <c r="I682" s="17">
        <v>186.44</v>
      </c>
      <c r="J682" s="17">
        <f t="shared" si="14"/>
        <v>37288</v>
      </c>
      <c r="K682" s="17"/>
      <c r="L682" s="16" t="s">
        <v>27</v>
      </c>
      <c r="M682" s="16" t="s">
        <v>22</v>
      </c>
      <c r="N682" s="45" t="s">
        <v>418</v>
      </c>
      <c r="O682" s="18"/>
    </row>
    <row r="683" spans="1:15" s="12" customFormat="1">
      <c r="A683" s="32" t="s">
        <v>120</v>
      </c>
      <c r="B683" s="75" t="s">
        <v>410</v>
      </c>
      <c r="C683" s="45" t="s">
        <v>417</v>
      </c>
      <c r="D683" s="142"/>
      <c r="E683" s="142">
        <v>300</v>
      </c>
      <c r="F683" s="142"/>
      <c r="G683" s="39">
        <v>400</v>
      </c>
      <c r="H683" s="41">
        <f>SUM(Tabla1326[[#This Row],[PRIMER TRIMESTRE]:[CUARTO TRIMESTRE]])</f>
        <v>700</v>
      </c>
      <c r="I683" s="17">
        <v>10</v>
      </c>
      <c r="J683" s="17">
        <f t="shared" si="14"/>
        <v>7000</v>
      </c>
      <c r="K683" s="31"/>
      <c r="L683" s="16" t="s">
        <v>27</v>
      </c>
      <c r="M683" s="30" t="s">
        <v>22</v>
      </c>
      <c r="N683" s="45" t="s">
        <v>418</v>
      </c>
      <c r="O683" s="20"/>
    </row>
    <row r="684" spans="1:15" s="12" customFormat="1">
      <c r="A684" s="32" t="s">
        <v>120</v>
      </c>
      <c r="B684" s="75" t="s">
        <v>411</v>
      </c>
      <c r="C684" s="45" t="s">
        <v>417</v>
      </c>
      <c r="D684" s="142"/>
      <c r="E684" s="142">
        <v>400</v>
      </c>
      <c r="F684" s="142"/>
      <c r="G684" s="39">
        <v>400</v>
      </c>
      <c r="H684" s="41">
        <f>SUM(Tabla1326[[#This Row],[PRIMER TRIMESTRE]:[CUARTO TRIMESTRE]])</f>
        <v>800</v>
      </c>
      <c r="I684" s="17">
        <v>14.37</v>
      </c>
      <c r="J684" s="17">
        <f t="shared" si="14"/>
        <v>11496</v>
      </c>
      <c r="K684" s="31"/>
      <c r="L684" s="16" t="s">
        <v>27</v>
      </c>
      <c r="M684" s="30" t="s">
        <v>22</v>
      </c>
      <c r="N684" s="45" t="s">
        <v>418</v>
      </c>
      <c r="O684" s="20"/>
    </row>
    <row r="685" spans="1:15" s="12" customFormat="1">
      <c r="A685" s="32" t="s">
        <v>120</v>
      </c>
      <c r="B685" s="75" t="s">
        <v>412</v>
      </c>
      <c r="C685" s="45" t="s">
        <v>417</v>
      </c>
      <c r="D685" s="142"/>
      <c r="E685" s="142">
        <v>400</v>
      </c>
      <c r="F685" s="142"/>
      <c r="G685" s="39">
        <v>400</v>
      </c>
      <c r="H685" s="41">
        <f>SUM(Tabla1326[[#This Row],[PRIMER TRIMESTRE]:[CUARTO TRIMESTRE]])</f>
        <v>800</v>
      </c>
      <c r="I685" s="17">
        <v>24.79</v>
      </c>
      <c r="J685" s="17">
        <f t="shared" si="14"/>
        <v>19832</v>
      </c>
      <c r="K685" s="31"/>
      <c r="L685" s="16" t="s">
        <v>27</v>
      </c>
      <c r="M685" s="30" t="s">
        <v>22</v>
      </c>
      <c r="N685" s="45" t="s">
        <v>418</v>
      </c>
      <c r="O685" s="20"/>
    </row>
    <row r="686" spans="1:15" s="12" customFormat="1">
      <c r="A686" s="32" t="s">
        <v>120</v>
      </c>
      <c r="B686" s="75" t="s">
        <v>413</v>
      </c>
      <c r="C686" s="45" t="s">
        <v>208</v>
      </c>
      <c r="D686" s="142"/>
      <c r="E686" s="142">
        <v>100</v>
      </c>
      <c r="F686" s="142"/>
      <c r="G686" s="39">
        <v>100</v>
      </c>
      <c r="H686" s="41">
        <f>SUM(Tabla1326[[#This Row],[PRIMER TRIMESTRE]:[CUARTO TRIMESTRE]])</f>
        <v>200</v>
      </c>
      <c r="I686" s="17">
        <v>371.09</v>
      </c>
      <c r="J686" s="17">
        <f t="shared" si="14"/>
        <v>74218</v>
      </c>
      <c r="K686" s="31"/>
      <c r="L686" s="16" t="s">
        <v>27</v>
      </c>
      <c r="M686" s="30" t="s">
        <v>22</v>
      </c>
      <c r="N686" s="45" t="s">
        <v>418</v>
      </c>
      <c r="O686" s="20"/>
    </row>
    <row r="687" spans="1:15" s="12" customFormat="1">
      <c r="A687" s="15" t="s">
        <v>120</v>
      </c>
      <c r="B687" s="75" t="s">
        <v>762</v>
      </c>
      <c r="C687" s="39" t="s">
        <v>208</v>
      </c>
      <c r="D687" s="142"/>
      <c r="E687" s="142">
        <v>50</v>
      </c>
      <c r="F687" s="142"/>
      <c r="G687" s="39">
        <v>50</v>
      </c>
      <c r="H687" s="41">
        <f>SUM(Tabla1326[[#This Row],[PRIMER TRIMESTRE]:[CUARTO TRIMESTRE]])</f>
        <v>100</v>
      </c>
      <c r="I687" s="17">
        <v>433.06</v>
      </c>
      <c r="J687" s="17">
        <f t="shared" si="14"/>
        <v>43306</v>
      </c>
      <c r="K687" s="17"/>
      <c r="L687" s="16" t="s">
        <v>27</v>
      </c>
      <c r="M687" s="16" t="s">
        <v>22</v>
      </c>
      <c r="N687" s="45" t="s">
        <v>418</v>
      </c>
      <c r="O687" s="18"/>
    </row>
    <row r="688" spans="1:15" s="12" customFormat="1">
      <c r="A688" s="15" t="s">
        <v>120</v>
      </c>
      <c r="B688" s="75" t="s">
        <v>270</v>
      </c>
      <c r="C688" s="39" t="s">
        <v>17</v>
      </c>
      <c r="D688" s="142"/>
      <c r="E688" s="142">
        <v>35</v>
      </c>
      <c r="F688" s="142"/>
      <c r="G688" s="39">
        <v>35</v>
      </c>
      <c r="H688" s="41">
        <f>SUM(Tabla1326[[#This Row],[PRIMER TRIMESTRE]:[CUARTO TRIMESTRE]])</f>
        <v>70</v>
      </c>
      <c r="I688" s="17">
        <v>9.2799999999999994</v>
      </c>
      <c r="J688" s="17">
        <f>+Tabla1326[[#This Row],[CANTIDAD TOTAL]]*Tabla1326[[#This Row],[PRECIO UNITARIO ESTIMADO]]</f>
        <v>649.59999999999991</v>
      </c>
      <c r="K688" s="31"/>
      <c r="L688" s="16" t="s">
        <v>27</v>
      </c>
      <c r="M688" s="16" t="s">
        <v>22</v>
      </c>
      <c r="N688" s="45" t="s">
        <v>418</v>
      </c>
      <c r="O688" s="20"/>
    </row>
    <row r="689" spans="1:15" s="12" customFormat="1">
      <c r="A689" s="32" t="s">
        <v>120</v>
      </c>
      <c r="B689" s="75" t="s">
        <v>405</v>
      </c>
      <c r="C689" s="45" t="s">
        <v>17</v>
      </c>
      <c r="D689" s="142"/>
      <c r="E689" s="142">
        <v>200</v>
      </c>
      <c r="F689" s="142"/>
      <c r="G689" s="39">
        <v>200</v>
      </c>
      <c r="H689" s="41">
        <f>SUM(Tabla1326[[#This Row],[PRIMER TRIMESTRE]:[CUARTO TRIMESTRE]])</f>
        <v>400</v>
      </c>
      <c r="I689" s="17">
        <v>11.21</v>
      </c>
      <c r="J689" s="17">
        <f>+H689*I689</f>
        <v>4484</v>
      </c>
      <c r="K689" s="31"/>
      <c r="L689" s="16" t="s">
        <v>27</v>
      </c>
      <c r="M689" s="16" t="s">
        <v>22</v>
      </c>
      <c r="N689" s="45" t="s">
        <v>418</v>
      </c>
      <c r="O689" s="20"/>
    </row>
    <row r="690" spans="1:15" s="12" customFormat="1">
      <c r="A690" s="32" t="s">
        <v>120</v>
      </c>
      <c r="B690" s="75" t="s">
        <v>406</v>
      </c>
      <c r="C690" s="45" t="s">
        <v>17</v>
      </c>
      <c r="D690" s="142"/>
      <c r="E690" s="142">
        <v>200</v>
      </c>
      <c r="F690" s="142"/>
      <c r="G690" s="39">
        <v>200</v>
      </c>
      <c r="H690" s="41">
        <f>SUM(Tabla1326[[#This Row],[PRIMER TRIMESTRE]:[CUARTO TRIMESTRE]])</f>
        <v>400</v>
      </c>
      <c r="I690" s="17">
        <v>10.56</v>
      </c>
      <c r="J690" s="17">
        <f>+H690*I690</f>
        <v>4224</v>
      </c>
      <c r="K690" s="31"/>
      <c r="L690" s="16" t="s">
        <v>27</v>
      </c>
      <c r="M690" s="30" t="s">
        <v>22</v>
      </c>
      <c r="N690" s="45" t="s">
        <v>418</v>
      </c>
      <c r="O690" s="20"/>
    </row>
    <row r="691" spans="1:15" s="12" customFormat="1">
      <c r="A691" s="32" t="s">
        <v>120</v>
      </c>
      <c r="B691" s="75" t="s">
        <v>407</v>
      </c>
      <c r="C691" s="45" t="s">
        <v>17</v>
      </c>
      <c r="D691" s="142"/>
      <c r="E691" s="142">
        <v>200</v>
      </c>
      <c r="F691" s="142"/>
      <c r="G691" s="39">
        <v>200</v>
      </c>
      <c r="H691" s="41">
        <f>SUM(Tabla1326[[#This Row],[PRIMER TRIMESTRE]:[CUARTO TRIMESTRE]])</f>
        <v>400</v>
      </c>
      <c r="I691" s="17">
        <v>11.21</v>
      </c>
      <c r="J691" s="17">
        <f>+H691*I691</f>
        <v>4484</v>
      </c>
      <c r="K691" s="31"/>
      <c r="L691" s="16" t="s">
        <v>27</v>
      </c>
      <c r="M691" s="30" t="s">
        <v>22</v>
      </c>
      <c r="N691" s="45" t="s">
        <v>418</v>
      </c>
      <c r="O691" s="20"/>
    </row>
    <row r="692" spans="1:15" s="12" customFormat="1">
      <c r="A692" s="15" t="s">
        <v>120</v>
      </c>
      <c r="B692" s="75" t="s">
        <v>742</v>
      </c>
      <c r="C692" s="44" t="s">
        <v>17</v>
      </c>
      <c r="D692" s="142"/>
      <c r="E692" s="142">
        <v>100</v>
      </c>
      <c r="F692" s="142"/>
      <c r="G692" s="39">
        <v>100</v>
      </c>
      <c r="H692" s="41">
        <f>SUM(Tabla1326[[#This Row],[PRIMER TRIMESTRE]:[CUARTO TRIMESTRE]])</f>
        <v>200</v>
      </c>
      <c r="I692" s="17">
        <v>53.1</v>
      </c>
      <c r="J692" s="17">
        <f>+Tabla1326[[#This Row],[CANTIDAD TOTAL]]*Tabla1326[[#This Row],[PRECIO UNITARIO ESTIMADO]]</f>
        <v>10620</v>
      </c>
      <c r="K692" s="31"/>
      <c r="L692" s="16" t="s">
        <v>27</v>
      </c>
      <c r="M692" s="30" t="s">
        <v>22</v>
      </c>
      <c r="N692" s="45" t="s">
        <v>418</v>
      </c>
      <c r="O692" s="20"/>
    </row>
    <row r="693" spans="1:15" s="12" customFormat="1">
      <c r="A693" s="32" t="s">
        <v>120</v>
      </c>
      <c r="B693" s="75" t="s">
        <v>271</v>
      </c>
      <c r="C693" s="45" t="s">
        <v>17</v>
      </c>
      <c r="D693" s="142"/>
      <c r="E693" s="142">
        <v>150</v>
      </c>
      <c r="F693" s="142"/>
      <c r="G693" s="39">
        <v>150</v>
      </c>
      <c r="H693" s="41">
        <f>SUM(Tabla1326[[#This Row],[PRIMER TRIMESTRE]:[CUARTO TRIMESTRE]])</f>
        <v>300</v>
      </c>
      <c r="I693" s="17">
        <v>18.399999999999999</v>
      </c>
      <c r="J693" s="17">
        <f>+H693*I693</f>
        <v>5520</v>
      </c>
      <c r="K693" s="31"/>
      <c r="L693" s="16" t="s">
        <v>27</v>
      </c>
      <c r="M693" s="16" t="s">
        <v>22</v>
      </c>
      <c r="N693" s="45" t="s">
        <v>418</v>
      </c>
      <c r="O693" s="20"/>
    </row>
    <row r="694" spans="1:15" s="12" customFormat="1">
      <c r="A694" s="15" t="s">
        <v>120</v>
      </c>
      <c r="B694" s="75" t="s">
        <v>757</v>
      </c>
      <c r="C694" s="39" t="s">
        <v>17</v>
      </c>
      <c r="D694" s="142"/>
      <c r="E694" s="142">
        <v>100</v>
      </c>
      <c r="F694" s="142"/>
      <c r="G694" s="39">
        <v>100</v>
      </c>
      <c r="H694" s="41">
        <f>SUM(Tabla1326[[#This Row],[PRIMER TRIMESTRE]:[CUARTO TRIMESTRE]])</f>
        <v>200</v>
      </c>
      <c r="I694" s="17">
        <v>12.92</v>
      </c>
      <c r="J694" s="17">
        <f>+H694*I694</f>
        <v>2584</v>
      </c>
      <c r="K694" s="17"/>
      <c r="L694" s="16" t="s">
        <v>27</v>
      </c>
      <c r="M694" s="16" t="s">
        <v>22</v>
      </c>
      <c r="N694" s="45" t="s">
        <v>418</v>
      </c>
      <c r="O694" s="18"/>
    </row>
    <row r="695" spans="1:15" s="12" customFormat="1">
      <c r="A695" s="15" t="s">
        <v>120</v>
      </c>
      <c r="B695" s="75" t="s">
        <v>325</v>
      </c>
      <c r="C695" s="44" t="s">
        <v>17</v>
      </c>
      <c r="D695" s="142"/>
      <c r="E695" s="142">
        <v>500</v>
      </c>
      <c r="F695" s="142"/>
      <c r="G695" s="39">
        <v>500</v>
      </c>
      <c r="H695" s="41">
        <f>SUM(Tabla1326[[#This Row],[PRIMER TRIMESTRE]:[CUARTO TRIMESTRE]])</f>
        <v>1000</v>
      </c>
      <c r="I695" s="17">
        <f>337351.26/1251</f>
        <v>269.66527577937649</v>
      </c>
      <c r="J695" s="17">
        <f>+Tabla1326[[#This Row],[CANTIDAD TOTAL]]*Tabla1326[[#This Row],[PRECIO UNITARIO ESTIMADO]]</f>
        <v>269665.2757793765</v>
      </c>
      <c r="K695" s="31"/>
      <c r="L695" s="16" t="s">
        <v>27</v>
      </c>
      <c r="M695" s="30" t="s">
        <v>22</v>
      </c>
      <c r="N695" s="45" t="s">
        <v>418</v>
      </c>
      <c r="O695" s="20"/>
    </row>
    <row r="696" spans="1:15" s="12" customFormat="1">
      <c r="A696" s="15" t="s">
        <v>120</v>
      </c>
      <c r="B696" s="75" t="s">
        <v>784</v>
      </c>
      <c r="C696" s="39" t="s">
        <v>17</v>
      </c>
      <c r="D696" s="142"/>
      <c r="E696" s="142">
        <v>300</v>
      </c>
      <c r="F696" s="142"/>
      <c r="G696" s="39">
        <v>300</v>
      </c>
      <c r="H696" s="41">
        <f>SUM(Tabla1326[[#This Row],[PRIMER TRIMESTRE]:[CUARTO TRIMESTRE]])</f>
        <v>600</v>
      </c>
      <c r="I696" s="72">
        <f>20*1.18</f>
        <v>23.599999999999998</v>
      </c>
      <c r="J696" s="17">
        <f>+H696*I696</f>
        <v>14159.999999999998</v>
      </c>
      <c r="K696" s="17"/>
      <c r="L696" s="16" t="s">
        <v>27</v>
      </c>
      <c r="M696" s="16" t="s">
        <v>22</v>
      </c>
      <c r="N696" s="45" t="s">
        <v>418</v>
      </c>
      <c r="O696" s="18"/>
    </row>
    <row r="697" spans="1:15" s="12" customFormat="1">
      <c r="A697" s="15" t="s">
        <v>120</v>
      </c>
      <c r="B697" s="75" t="s">
        <v>785</v>
      </c>
      <c r="C697" s="39" t="s">
        <v>17</v>
      </c>
      <c r="D697" s="142"/>
      <c r="E697" s="142">
        <v>300</v>
      </c>
      <c r="F697" s="142"/>
      <c r="G697" s="39">
        <v>300</v>
      </c>
      <c r="H697" s="41">
        <f>SUM(Tabla1326[[#This Row],[PRIMER TRIMESTRE]:[CUARTO TRIMESTRE]])</f>
        <v>600</v>
      </c>
      <c r="I697" s="72">
        <f>4*1.18</f>
        <v>4.72</v>
      </c>
      <c r="J697" s="17">
        <f>+H697*I697</f>
        <v>2832</v>
      </c>
      <c r="K697" s="17"/>
      <c r="L697" s="16" t="s">
        <v>27</v>
      </c>
      <c r="M697" s="16" t="s">
        <v>22</v>
      </c>
      <c r="N697" s="45" t="s">
        <v>418</v>
      </c>
      <c r="O697" s="18"/>
    </row>
    <row r="698" spans="1:15" s="12" customFormat="1">
      <c r="A698" s="15" t="s">
        <v>120</v>
      </c>
      <c r="B698" s="75" t="s">
        <v>272</v>
      </c>
      <c r="C698" s="39" t="s">
        <v>17</v>
      </c>
      <c r="D698" s="142"/>
      <c r="E698" s="142">
        <v>36</v>
      </c>
      <c r="F698" s="142"/>
      <c r="G698" s="39">
        <v>35</v>
      </c>
      <c r="H698" s="41">
        <f>SUM(Tabla1326[[#This Row],[PRIMER TRIMESTRE]:[CUARTO TRIMESTRE]])</f>
        <v>71</v>
      </c>
      <c r="I698" s="17">
        <v>348</v>
      </c>
      <c r="J698" s="17">
        <f>+Tabla1326[[#This Row],[CANTIDAD TOTAL]]*Tabla1326[[#This Row],[PRECIO UNITARIO ESTIMADO]]</f>
        <v>24708</v>
      </c>
      <c r="K698" s="31"/>
      <c r="L698" s="16" t="s">
        <v>27</v>
      </c>
      <c r="M698" s="16" t="s">
        <v>22</v>
      </c>
      <c r="N698" s="45" t="s">
        <v>418</v>
      </c>
      <c r="O698" s="20"/>
    </row>
    <row r="699" spans="1:15" s="12" customFormat="1" ht="20.25" customHeight="1">
      <c r="A699" s="15" t="s">
        <v>120</v>
      </c>
      <c r="B699" s="75" t="s">
        <v>758</v>
      </c>
      <c r="C699" s="39" t="s">
        <v>17</v>
      </c>
      <c r="D699" s="142"/>
      <c r="E699" s="142">
        <v>50</v>
      </c>
      <c r="F699" s="142"/>
      <c r="G699" s="39">
        <v>50</v>
      </c>
      <c r="H699" s="41">
        <f>SUM(Tabla1326[[#This Row],[PRIMER TRIMESTRE]:[CUARTO TRIMESTRE]])</f>
        <v>100</v>
      </c>
      <c r="I699" s="17">
        <v>61.95</v>
      </c>
      <c r="J699" s="17">
        <f>+H699*I699</f>
        <v>6195</v>
      </c>
      <c r="K699" s="17"/>
      <c r="L699" s="16" t="s">
        <v>27</v>
      </c>
      <c r="M699" s="16" t="s">
        <v>22</v>
      </c>
      <c r="N699" s="45" t="s">
        <v>418</v>
      </c>
      <c r="O699" s="18"/>
    </row>
    <row r="700" spans="1:15" s="12" customFormat="1">
      <c r="A700" s="32" t="s">
        <v>120</v>
      </c>
      <c r="B700" s="78" t="s">
        <v>477</v>
      </c>
      <c r="C700" s="45" t="s">
        <v>417</v>
      </c>
      <c r="D700" s="142"/>
      <c r="E700" s="142">
        <v>80</v>
      </c>
      <c r="F700" s="142"/>
      <c r="G700" s="39">
        <v>80</v>
      </c>
      <c r="H700" s="41">
        <f>SUM(Tabla1326[[#This Row],[PRIMER TRIMESTRE]:[CUARTO TRIMESTRE]])</f>
        <v>160</v>
      </c>
      <c r="I700" s="17">
        <v>650</v>
      </c>
      <c r="J700" s="17">
        <f>+H700*I700</f>
        <v>104000</v>
      </c>
      <c r="K700" s="31"/>
      <c r="L700" s="16" t="s">
        <v>27</v>
      </c>
      <c r="M700" s="30" t="s">
        <v>22</v>
      </c>
      <c r="N700" s="45" t="s">
        <v>418</v>
      </c>
      <c r="O700" s="20"/>
    </row>
    <row r="701" spans="1:15" s="12" customFormat="1">
      <c r="A701" s="32" t="s">
        <v>120</v>
      </c>
      <c r="B701" s="78" t="s">
        <v>478</v>
      </c>
      <c r="C701" s="45" t="s">
        <v>417</v>
      </c>
      <c r="D701" s="142"/>
      <c r="E701" s="142">
        <v>80</v>
      </c>
      <c r="F701" s="142"/>
      <c r="G701" s="39">
        <v>80</v>
      </c>
      <c r="H701" s="41">
        <f>SUM(Tabla1326[[#This Row],[PRIMER TRIMESTRE]:[CUARTO TRIMESTRE]])</f>
        <v>160</v>
      </c>
      <c r="I701" s="17">
        <v>950</v>
      </c>
      <c r="J701" s="17">
        <f>+H701*I701</f>
        <v>152000</v>
      </c>
      <c r="K701" s="31"/>
      <c r="L701" s="16" t="s">
        <v>27</v>
      </c>
      <c r="M701" s="30" t="s">
        <v>22</v>
      </c>
      <c r="N701" s="45" t="s">
        <v>418</v>
      </c>
      <c r="O701" s="20"/>
    </row>
    <row r="702" spans="1:15" s="12" customFormat="1">
      <c r="A702" s="32" t="s">
        <v>120</v>
      </c>
      <c r="B702" s="79" t="s">
        <v>479</v>
      </c>
      <c r="C702" s="45" t="s">
        <v>417</v>
      </c>
      <c r="D702" s="142"/>
      <c r="E702" s="142">
        <v>25</v>
      </c>
      <c r="F702" s="142"/>
      <c r="G702" s="39">
        <v>25</v>
      </c>
      <c r="H702" s="41">
        <f>SUM(Tabla1326[[#This Row],[PRIMER TRIMESTRE]:[CUARTO TRIMESTRE]])</f>
        <v>50</v>
      </c>
      <c r="I702" s="17">
        <v>650</v>
      </c>
      <c r="J702" s="17">
        <f t="shared" ref="J702:J765" si="15">+H702*I702</f>
        <v>32500</v>
      </c>
      <c r="K702" s="31"/>
      <c r="L702" s="16" t="s">
        <v>27</v>
      </c>
      <c r="M702" s="30" t="s">
        <v>22</v>
      </c>
      <c r="N702" s="45" t="s">
        <v>418</v>
      </c>
      <c r="O702" s="20"/>
    </row>
    <row r="703" spans="1:15" s="12" customFormat="1">
      <c r="A703" s="32" t="s">
        <v>120</v>
      </c>
      <c r="B703" s="78" t="s">
        <v>480</v>
      </c>
      <c r="C703" s="45" t="s">
        <v>417</v>
      </c>
      <c r="D703" s="142"/>
      <c r="E703" s="142">
        <v>25</v>
      </c>
      <c r="F703" s="142"/>
      <c r="G703" s="39">
        <v>25</v>
      </c>
      <c r="H703" s="41">
        <f>SUM(Tabla1326[[#This Row],[PRIMER TRIMESTRE]:[CUARTO TRIMESTRE]])</f>
        <v>50</v>
      </c>
      <c r="I703" s="17">
        <v>800</v>
      </c>
      <c r="J703" s="17">
        <f t="shared" si="15"/>
        <v>40000</v>
      </c>
      <c r="K703" s="31"/>
      <c r="L703" s="16" t="s">
        <v>27</v>
      </c>
      <c r="M703" s="30" t="s">
        <v>22</v>
      </c>
      <c r="N703" s="45" t="s">
        <v>418</v>
      </c>
      <c r="O703" s="20"/>
    </row>
    <row r="704" spans="1:15" s="12" customFormat="1">
      <c r="A704" s="32" t="s">
        <v>120</v>
      </c>
      <c r="B704" s="78" t="s">
        <v>481</v>
      </c>
      <c r="C704" s="45" t="s">
        <v>417</v>
      </c>
      <c r="D704" s="142"/>
      <c r="E704" s="142">
        <v>15</v>
      </c>
      <c r="F704" s="142"/>
      <c r="G704" s="39">
        <v>15</v>
      </c>
      <c r="H704" s="41">
        <f>SUM(Tabla1326[[#This Row],[PRIMER TRIMESTRE]:[CUARTO TRIMESTRE]])</f>
        <v>30</v>
      </c>
      <c r="I704" s="17">
        <v>1190</v>
      </c>
      <c r="J704" s="17">
        <f t="shared" si="15"/>
        <v>35700</v>
      </c>
      <c r="K704" s="31"/>
      <c r="L704" s="16" t="s">
        <v>27</v>
      </c>
      <c r="M704" s="30" t="s">
        <v>22</v>
      </c>
      <c r="N704" s="45" t="s">
        <v>418</v>
      </c>
      <c r="O704" s="20"/>
    </row>
    <row r="705" spans="1:15" s="12" customFormat="1">
      <c r="A705" s="32" t="s">
        <v>120</v>
      </c>
      <c r="B705" s="78" t="s">
        <v>482</v>
      </c>
      <c r="C705" s="45" t="s">
        <v>417</v>
      </c>
      <c r="D705" s="142"/>
      <c r="E705" s="142">
        <v>15</v>
      </c>
      <c r="F705" s="142"/>
      <c r="G705" s="39">
        <v>15</v>
      </c>
      <c r="H705" s="41">
        <f>SUM(Tabla1326[[#This Row],[PRIMER TRIMESTRE]:[CUARTO TRIMESTRE]])</f>
        <v>30</v>
      </c>
      <c r="I705" s="17">
        <v>1050</v>
      </c>
      <c r="J705" s="17">
        <f t="shared" si="15"/>
        <v>31500</v>
      </c>
      <c r="K705" s="31"/>
      <c r="L705" s="16" t="s">
        <v>27</v>
      </c>
      <c r="M705" s="30" t="s">
        <v>22</v>
      </c>
      <c r="N705" s="45" t="s">
        <v>418</v>
      </c>
      <c r="O705" s="20"/>
    </row>
    <row r="706" spans="1:15" s="12" customFormat="1">
      <c r="A706" s="32" t="s">
        <v>120</v>
      </c>
      <c r="B706" s="78" t="s">
        <v>483</v>
      </c>
      <c r="C706" s="45" t="s">
        <v>417</v>
      </c>
      <c r="D706" s="142"/>
      <c r="E706" s="142">
        <v>5</v>
      </c>
      <c r="F706" s="142"/>
      <c r="G706" s="39">
        <v>5</v>
      </c>
      <c r="H706" s="41">
        <f>SUM(Tabla1326[[#This Row],[PRIMER TRIMESTRE]:[CUARTO TRIMESTRE]])</f>
        <v>10</v>
      </c>
      <c r="I706" s="17">
        <v>990</v>
      </c>
      <c r="J706" s="17">
        <f t="shared" si="15"/>
        <v>9900</v>
      </c>
      <c r="K706" s="31"/>
      <c r="L706" s="16" t="s">
        <v>27</v>
      </c>
      <c r="M706" s="30" t="s">
        <v>22</v>
      </c>
      <c r="N706" s="45" t="s">
        <v>418</v>
      </c>
      <c r="O706" s="20"/>
    </row>
    <row r="707" spans="1:15" s="12" customFormat="1">
      <c r="A707" s="32" t="s">
        <v>120</v>
      </c>
      <c r="B707" s="78" t="s">
        <v>484</v>
      </c>
      <c r="C707" s="45" t="s">
        <v>417</v>
      </c>
      <c r="D707" s="142"/>
      <c r="E707" s="142">
        <v>60</v>
      </c>
      <c r="F707" s="142"/>
      <c r="G707" s="39">
        <v>60</v>
      </c>
      <c r="H707" s="41">
        <f>SUM(Tabla1326[[#This Row],[PRIMER TRIMESTRE]:[CUARTO TRIMESTRE]])</f>
        <v>120</v>
      </c>
      <c r="I707" s="17">
        <v>450</v>
      </c>
      <c r="J707" s="17">
        <f t="shared" si="15"/>
        <v>54000</v>
      </c>
      <c r="K707" s="31"/>
      <c r="L707" s="16" t="s">
        <v>27</v>
      </c>
      <c r="M707" s="30" t="s">
        <v>22</v>
      </c>
      <c r="N707" s="45" t="s">
        <v>418</v>
      </c>
      <c r="O707" s="20"/>
    </row>
    <row r="708" spans="1:15" s="12" customFormat="1">
      <c r="A708" s="32" t="s">
        <v>120</v>
      </c>
      <c r="B708" s="78" t="s">
        <v>485</v>
      </c>
      <c r="C708" s="45" t="s">
        <v>417</v>
      </c>
      <c r="D708" s="142"/>
      <c r="E708" s="142">
        <v>60</v>
      </c>
      <c r="F708" s="142"/>
      <c r="G708" s="39">
        <v>60</v>
      </c>
      <c r="H708" s="41">
        <f>SUM(Tabla1326[[#This Row],[PRIMER TRIMESTRE]:[CUARTO TRIMESTRE]])</f>
        <v>120</v>
      </c>
      <c r="I708" s="17">
        <v>550</v>
      </c>
      <c r="J708" s="17">
        <f t="shared" si="15"/>
        <v>66000</v>
      </c>
      <c r="K708" s="31"/>
      <c r="L708" s="16" t="s">
        <v>27</v>
      </c>
      <c r="M708" s="30" t="s">
        <v>22</v>
      </c>
      <c r="N708" s="45" t="s">
        <v>418</v>
      </c>
      <c r="O708" s="20"/>
    </row>
    <row r="709" spans="1:15" s="12" customFormat="1">
      <c r="A709" s="32" t="s">
        <v>120</v>
      </c>
      <c r="B709" s="78" t="s">
        <v>486</v>
      </c>
      <c r="C709" s="45" t="s">
        <v>417</v>
      </c>
      <c r="D709" s="142"/>
      <c r="E709" s="142">
        <v>5</v>
      </c>
      <c r="F709" s="142"/>
      <c r="G709" s="39">
        <v>5</v>
      </c>
      <c r="H709" s="41">
        <f>SUM(Tabla1326[[#This Row],[PRIMER TRIMESTRE]:[CUARTO TRIMESTRE]])</f>
        <v>10</v>
      </c>
      <c r="I709" s="17">
        <v>1000</v>
      </c>
      <c r="J709" s="17">
        <f t="shared" si="15"/>
        <v>10000</v>
      </c>
      <c r="K709" s="31"/>
      <c r="L709" s="16" t="s">
        <v>27</v>
      </c>
      <c r="M709" s="30" t="s">
        <v>22</v>
      </c>
      <c r="N709" s="45" t="s">
        <v>418</v>
      </c>
      <c r="O709" s="20"/>
    </row>
    <row r="710" spans="1:15" s="12" customFormat="1">
      <c r="A710" s="32" t="s">
        <v>120</v>
      </c>
      <c r="B710" s="78" t="s">
        <v>487</v>
      </c>
      <c r="C710" s="45" t="s">
        <v>417</v>
      </c>
      <c r="D710" s="142"/>
      <c r="E710" s="142">
        <v>5</v>
      </c>
      <c r="F710" s="142"/>
      <c r="G710" s="39">
        <v>5</v>
      </c>
      <c r="H710" s="41">
        <f>SUM(Tabla1326[[#This Row],[PRIMER TRIMESTRE]:[CUARTO TRIMESTRE]])</f>
        <v>10</v>
      </c>
      <c r="I710" s="17">
        <v>850</v>
      </c>
      <c r="J710" s="17">
        <f t="shared" si="15"/>
        <v>8500</v>
      </c>
      <c r="K710" s="31"/>
      <c r="L710" s="16" t="s">
        <v>27</v>
      </c>
      <c r="M710" s="30" t="s">
        <v>22</v>
      </c>
      <c r="N710" s="45" t="s">
        <v>418</v>
      </c>
      <c r="O710" s="20"/>
    </row>
    <row r="711" spans="1:15" s="12" customFormat="1">
      <c r="A711" s="32" t="s">
        <v>120</v>
      </c>
      <c r="B711" s="78" t="s">
        <v>488</v>
      </c>
      <c r="C711" s="45" t="s">
        <v>417</v>
      </c>
      <c r="D711" s="142"/>
      <c r="E711" s="142">
        <v>10</v>
      </c>
      <c r="F711" s="142"/>
      <c r="G711" s="39">
        <v>10</v>
      </c>
      <c r="H711" s="41">
        <f>SUM(Tabla1326[[#This Row],[PRIMER TRIMESTRE]:[CUARTO TRIMESTRE]])</f>
        <v>20</v>
      </c>
      <c r="I711" s="17">
        <v>850</v>
      </c>
      <c r="J711" s="17">
        <f t="shared" si="15"/>
        <v>17000</v>
      </c>
      <c r="K711" s="31"/>
      <c r="L711" s="16" t="s">
        <v>27</v>
      </c>
      <c r="M711" s="30" t="s">
        <v>22</v>
      </c>
      <c r="N711" s="45" t="s">
        <v>418</v>
      </c>
      <c r="O711" s="20"/>
    </row>
    <row r="712" spans="1:15" s="12" customFormat="1">
      <c r="A712" s="32" t="s">
        <v>120</v>
      </c>
      <c r="B712" s="78" t="s">
        <v>489</v>
      </c>
      <c r="C712" s="45" t="s">
        <v>417</v>
      </c>
      <c r="D712" s="142"/>
      <c r="E712" s="142">
        <v>5</v>
      </c>
      <c r="F712" s="142"/>
      <c r="G712" s="39">
        <v>5</v>
      </c>
      <c r="H712" s="41">
        <f>SUM(Tabla1326[[#This Row],[PRIMER TRIMESTRE]:[CUARTO TRIMESTRE]])</f>
        <v>10</v>
      </c>
      <c r="I712" s="17">
        <v>650</v>
      </c>
      <c r="J712" s="17">
        <f t="shared" si="15"/>
        <v>6500</v>
      </c>
      <c r="K712" s="31"/>
      <c r="L712" s="16" t="s">
        <v>27</v>
      </c>
      <c r="M712" s="30" t="s">
        <v>22</v>
      </c>
      <c r="N712" s="45" t="s">
        <v>418</v>
      </c>
      <c r="O712" s="20"/>
    </row>
    <row r="713" spans="1:15" s="12" customFormat="1">
      <c r="A713" s="32" t="s">
        <v>120</v>
      </c>
      <c r="B713" s="78" t="s">
        <v>490</v>
      </c>
      <c r="C713" s="45" t="s">
        <v>417</v>
      </c>
      <c r="D713" s="142"/>
      <c r="E713" s="142">
        <v>8</v>
      </c>
      <c r="F713" s="142"/>
      <c r="G713" s="39">
        <v>7</v>
      </c>
      <c r="H713" s="41">
        <f>SUM(Tabla1326[[#This Row],[PRIMER TRIMESTRE]:[CUARTO TRIMESTRE]])</f>
        <v>15</v>
      </c>
      <c r="I713" s="17">
        <v>1100</v>
      </c>
      <c r="J713" s="17">
        <f t="shared" si="15"/>
        <v>16500</v>
      </c>
      <c r="K713" s="31"/>
      <c r="L713" s="16" t="s">
        <v>27</v>
      </c>
      <c r="M713" s="30" t="s">
        <v>22</v>
      </c>
      <c r="N713" s="45" t="s">
        <v>418</v>
      </c>
      <c r="O713" s="20"/>
    </row>
    <row r="714" spans="1:15" s="12" customFormat="1">
      <c r="A714" s="32" t="s">
        <v>120</v>
      </c>
      <c r="B714" s="78" t="s">
        <v>491</v>
      </c>
      <c r="C714" s="45" t="s">
        <v>417</v>
      </c>
      <c r="D714" s="142"/>
      <c r="E714" s="142">
        <v>5</v>
      </c>
      <c r="F714" s="142"/>
      <c r="G714" s="39">
        <v>5</v>
      </c>
      <c r="H714" s="41">
        <f>SUM(Tabla1326[[#This Row],[PRIMER TRIMESTRE]:[CUARTO TRIMESTRE]])</f>
        <v>10</v>
      </c>
      <c r="I714" s="17">
        <v>1100</v>
      </c>
      <c r="J714" s="17">
        <f t="shared" si="15"/>
        <v>11000</v>
      </c>
      <c r="K714" s="31"/>
      <c r="L714" s="16" t="s">
        <v>27</v>
      </c>
      <c r="M714" s="30" t="s">
        <v>22</v>
      </c>
      <c r="N714" s="45" t="s">
        <v>418</v>
      </c>
      <c r="O714" s="20"/>
    </row>
    <row r="715" spans="1:15" s="12" customFormat="1">
      <c r="A715" s="32" t="s">
        <v>120</v>
      </c>
      <c r="B715" s="78" t="s">
        <v>492</v>
      </c>
      <c r="C715" s="45" t="s">
        <v>417</v>
      </c>
      <c r="D715" s="142"/>
      <c r="E715" s="142">
        <v>8</v>
      </c>
      <c r="F715" s="142"/>
      <c r="G715" s="39">
        <v>7</v>
      </c>
      <c r="H715" s="41">
        <f>SUM(Tabla1326[[#This Row],[PRIMER TRIMESTRE]:[CUARTO TRIMESTRE]])</f>
        <v>15</v>
      </c>
      <c r="I715" s="17">
        <v>1500</v>
      </c>
      <c r="J715" s="17">
        <f t="shared" si="15"/>
        <v>22500</v>
      </c>
      <c r="K715" s="31"/>
      <c r="L715" s="16" t="s">
        <v>27</v>
      </c>
      <c r="M715" s="30" t="s">
        <v>22</v>
      </c>
      <c r="N715" s="45" t="s">
        <v>418</v>
      </c>
      <c r="O715" s="20"/>
    </row>
    <row r="716" spans="1:15" s="12" customFormat="1">
      <c r="A716" s="32" t="s">
        <v>120</v>
      </c>
      <c r="B716" s="78" t="s">
        <v>493</v>
      </c>
      <c r="C716" s="45" t="s">
        <v>417</v>
      </c>
      <c r="D716" s="142"/>
      <c r="E716" s="142">
        <v>8</v>
      </c>
      <c r="F716" s="142"/>
      <c r="G716" s="39">
        <v>7</v>
      </c>
      <c r="H716" s="41">
        <f>SUM(Tabla1326[[#This Row],[PRIMER TRIMESTRE]:[CUARTO TRIMESTRE]])</f>
        <v>15</v>
      </c>
      <c r="I716" s="17">
        <v>1650</v>
      </c>
      <c r="J716" s="17">
        <f t="shared" si="15"/>
        <v>24750</v>
      </c>
      <c r="K716" s="31"/>
      <c r="L716" s="16" t="s">
        <v>27</v>
      </c>
      <c r="M716" s="30" t="s">
        <v>22</v>
      </c>
      <c r="N716" s="45" t="s">
        <v>418</v>
      </c>
      <c r="O716" s="20"/>
    </row>
    <row r="717" spans="1:15" s="12" customFormat="1">
      <c r="A717" s="32" t="s">
        <v>120</v>
      </c>
      <c r="B717" s="78" t="s">
        <v>494</v>
      </c>
      <c r="C717" s="45" t="s">
        <v>417</v>
      </c>
      <c r="D717" s="142"/>
      <c r="E717" s="142">
        <v>3</v>
      </c>
      <c r="F717" s="142"/>
      <c r="G717" s="39">
        <v>2</v>
      </c>
      <c r="H717" s="41">
        <f>SUM(Tabla1326[[#This Row],[PRIMER TRIMESTRE]:[CUARTO TRIMESTRE]])</f>
        <v>5</v>
      </c>
      <c r="I717" s="17">
        <v>1250</v>
      </c>
      <c r="J717" s="17">
        <f t="shared" si="15"/>
        <v>6250</v>
      </c>
      <c r="K717" s="31"/>
      <c r="L717" s="16" t="s">
        <v>27</v>
      </c>
      <c r="M717" s="30" t="s">
        <v>22</v>
      </c>
      <c r="N717" s="45" t="s">
        <v>418</v>
      </c>
      <c r="O717" s="20"/>
    </row>
    <row r="718" spans="1:15" s="12" customFormat="1">
      <c r="A718" s="32" t="s">
        <v>120</v>
      </c>
      <c r="B718" s="79" t="s">
        <v>495</v>
      </c>
      <c r="C718" s="45" t="s">
        <v>417</v>
      </c>
      <c r="D718" s="142"/>
      <c r="E718" s="142">
        <v>3</v>
      </c>
      <c r="F718" s="142"/>
      <c r="G718" s="39">
        <v>2</v>
      </c>
      <c r="H718" s="41">
        <f>SUM(Tabla1326[[#This Row],[PRIMER TRIMESTRE]:[CUARTO TRIMESTRE]])</f>
        <v>5</v>
      </c>
      <c r="I718" s="17">
        <v>1672</v>
      </c>
      <c r="J718" s="17">
        <f t="shared" si="15"/>
        <v>8360</v>
      </c>
      <c r="K718" s="31"/>
      <c r="L718" s="16" t="s">
        <v>27</v>
      </c>
      <c r="M718" s="30" t="s">
        <v>22</v>
      </c>
      <c r="N718" s="45" t="s">
        <v>418</v>
      </c>
      <c r="O718" s="20"/>
    </row>
    <row r="719" spans="1:15" s="12" customFormat="1" ht="25.5">
      <c r="A719" s="32" t="s">
        <v>120</v>
      </c>
      <c r="B719" s="79" t="s">
        <v>533</v>
      </c>
      <c r="C719" s="45" t="s">
        <v>417</v>
      </c>
      <c r="D719" s="142"/>
      <c r="E719" s="142">
        <v>25</v>
      </c>
      <c r="F719" s="142"/>
      <c r="G719" s="39">
        <v>25</v>
      </c>
      <c r="H719" s="41">
        <f>SUM(Tabla1326[[#This Row],[PRIMER TRIMESTRE]:[CUARTO TRIMESTRE]])</f>
        <v>50</v>
      </c>
      <c r="I719" s="17">
        <v>720</v>
      </c>
      <c r="J719" s="17">
        <f>+H719*I719</f>
        <v>36000</v>
      </c>
      <c r="K719" s="31"/>
      <c r="L719" s="16" t="s">
        <v>27</v>
      </c>
      <c r="M719" s="30" t="s">
        <v>22</v>
      </c>
      <c r="N719" s="45" t="s">
        <v>418</v>
      </c>
      <c r="O719" s="20"/>
    </row>
    <row r="720" spans="1:15" s="12" customFormat="1" ht="25.5">
      <c r="A720" s="32" t="s">
        <v>120</v>
      </c>
      <c r="B720" s="79" t="s">
        <v>534</v>
      </c>
      <c r="C720" s="45" t="s">
        <v>417</v>
      </c>
      <c r="D720" s="142"/>
      <c r="E720" s="142">
        <v>2</v>
      </c>
      <c r="F720" s="142"/>
      <c r="G720" s="39"/>
      <c r="H720" s="41">
        <f>SUM(Tabla1326[[#This Row],[PRIMER TRIMESTRE]:[CUARTO TRIMESTRE]])</f>
        <v>2</v>
      </c>
      <c r="I720" s="17">
        <v>1280</v>
      </c>
      <c r="J720" s="17">
        <f>+H720*I720</f>
        <v>2560</v>
      </c>
      <c r="K720" s="31"/>
      <c r="L720" s="16" t="s">
        <v>27</v>
      </c>
      <c r="M720" s="30" t="s">
        <v>22</v>
      </c>
      <c r="N720" s="45" t="s">
        <v>418</v>
      </c>
      <c r="O720" s="20"/>
    </row>
    <row r="721" spans="1:15" s="12" customFormat="1">
      <c r="A721" s="32" t="s">
        <v>120</v>
      </c>
      <c r="B721" s="79" t="s">
        <v>474</v>
      </c>
      <c r="C721" s="45" t="s">
        <v>417</v>
      </c>
      <c r="D721" s="142"/>
      <c r="E721" s="142">
        <v>20</v>
      </c>
      <c r="F721" s="142"/>
      <c r="G721" s="39">
        <v>20</v>
      </c>
      <c r="H721" s="41">
        <f>SUM(Tabla1326[[#This Row],[PRIMER TRIMESTRE]:[CUARTO TRIMESTRE]])</f>
        <v>40</v>
      </c>
      <c r="I721" s="17">
        <v>2900</v>
      </c>
      <c r="J721" s="17">
        <f>+H721*I721</f>
        <v>116000</v>
      </c>
      <c r="K721" s="31"/>
      <c r="L721" s="16" t="s">
        <v>27</v>
      </c>
      <c r="M721" s="30" t="s">
        <v>22</v>
      </c>
      <c r="N721" s="45" t="s">
        <v>418</v>
      </c>
      <c r="O721" s="20"/>
    </row>
    <row r="722" spans="1:15" s="12" customFormat="1">
      <c r="A722" s="32" t="s">
        <v>120</v>
      </c>
      <c r="B722" s="78" t="s">
        <v>475</v>
      </c>
      <c r="C722" s="45" t="s">
        <v>417</v>
      </c>
      <c r="D722" s="142"/>
      <c r="E722" s="142">
        <v>20</v>
      </c>
      <c r="F722" s="142"/>
      <c r="G722" s="39">
        <v>20</v>
      </c>
      <c r="H722" s="41">
        <f>SUM(Tabla1326[[#This Row],[PRIMER TRIMESTRE]:[CUARTO TRIMESTRE]])</f>
        <v>40</v>
      </c>
      <c r="I722" s="17">
        <v>2350</v>
      </c>
      <c r="J722" s="17">
        <f>+H722*I722</f>
        <v>94000</v>
      </c>
      <c r="K722" s="31"/>
      <c r="L722" s="16" t="s">
        <v>27</v>
      </c>
      <c r="M722" s="30" t="s">
        <v>22</v>
      </c>
      <c r="N722" s="45" t="s">
        <v>418</v>
      </c>
      <c r="O722" s="20"/>
    </row>
    <row r="723" spans="1:15" s="12" customFormat="1">
      <c r="A723" s="32" t="s">
        <v>120</v>
      </c>
      <c r="B723" s="78" t="s">
        <v>476</v>
      </c>
      <c r="C723" s="45" t="s">
        <v>417</v>
      </c>
      <c r="D723" s="142"/>
      <c r="E723" s="142">
        <v>15</v>
      </c>
      <c r="F723" s="142"/>
      <c r="G723" s="39">
        <v>15</v>
      </c>
      <c r="H723" s="41">
        <f>SUM(Tabla1326[[#This Row],[PRIMER TRIMESTRE]:[CUARTO TRIMESTRE]])</f>
        <v>30</v>
      </c>
      <c r="I723" s="17">
        <v>3990</v>
      </c>
      <c r="J723" s="17">
        <f>+H723*I723</f>
        <v>119700</v>
      </c>
      <c r="K723" s="31"/>
      <c r="L723" s="16" t="s">
        <v>27</v>
      </c>
      <c r="M723" s="30" t="s">
        <v>22</v>
      </c>
      <c r="N723" s="45" t="s">
        <v>418</v>
      </c>
      <c r="O723" s="20"/>
    </row>
    <row r="724" spans="1:15" s="12" customFormat="1">
      <c r="A724" s="32" t="s">
        <v>120</v>
      </c>
      <c r="B724" s="79" t="s">
        <v>496</v>
      </c>
      <c r="C724" s="45" t="s">
        <v>417</v>
      </c>
      <c r="D724" s="142"/>
      <c r="E724" s="142">
        <v>23</v>
      </c>
      <c r="F724" s="142"/>
      <c r="G724" s="39">
        <v>23</v>
      </c>
      <c r="H724" s="41">
        <f>SUM(Tabla1326[[#This Row],[PRIMER TRIMESTRE]:[CUARTO TRIMESTRE]])</f>
        <v>46</v>
      </c>
      <c r="I724" s="17">
        <v>4200</v>
      </c>
      <c r="J724" s="17">
        <f t="shared" si="15"/>
        <v>193200</v>
      </c>
      <c r="K724" s="31"/>
      <c r="L724" s="16" t="s">
        <v>27</v>
      </c>
      <c r="M724" s="30" t="s">
        <v>22</v>
      </c>
      <c r="N724" s="45" t="s">
        <v>418</v>
      </c>
      <c r="O724" s="20"/>
    </row>
    <row r="725" spans="1:15" s="12" customFormat="1">
      <c r="A725" s="32" t="s">
        <v>120</v>
      </c>
      <c r="B725" s="78" t="s">
        <v>497</v>
      </c>
      <c r="C725" s="45" t="s">
        <v>417</v>
      </c>
      <c r="D725" s="142"/>
      <c r="E725" s="142">
        <v>15</v>
      </c>
      <c r="F725" s="142"/>
      <c r="G725" s="39">
        <v>15</v>
      </c>
      <c r="H725" s="41">
        <f>SUM(Tabla1326[[#This Row],[PRIMER TRIMESTRE]:[CUARTO TRIMESTRE]])</f>
        <v>30</v>
      </c>
      <c r="I725" s="17">
        <v>4200</v>
      </c>
      <c r="J725" s="17">
        <f t="shared" si="15"/>
        <v>126000</v>
      </c>
      <c r="K725" s="31"/>
      <c r="L725" s="16" t="s">
        <v>27</v>
      </c>
      <c r="M725" s="30" t="s">
        <v>22</v>
      </c>
      <c r="N725" s="45" t="s">
        <v>418</v>
      </c>
      <c r="O725" s="20"/>
    </row>
    <row r="726" spans="1:15" s="12" customFormat="1">
      <c r="A726" s="32" t="s">
        <v>120</v>
      </c>
      <c r="B726" s="78" t="s">
        <v>498</v>
      </c>
      <c r="C726" s="45" t="s">
        <v>417</v>
      </c>
      <c r="D726" s="142"/>
      <c r="E726" s="142">
        <v>10</v>
      </c>
      <c r="F726" s="142"/>
      <c r="G726" s="39">
        <v>10</v>
      </c>
      <c r="H726" s="41">
        <f>SUM(Tabla1326[[#This Row],[PRIMER TRIMESTRE]:[CUARTO TRIMESTRE]])</f>
        <v>20</v>
      </c>
      <c r="I726" s="17">
        <v>4200</v>
      </c>
      <c r="J726" s="17">
        <f t="shared" si="15"/>
        <v>84000</v>
      </c>
      <c r="K726" s="31"/>
      <c r="L726" s="16" t="s">
        <v>27</v>
      </c>
      <c r="M726" s="30" t="s">
        <v>22</v>
      </c>
      <c r="N726" s="45" t="s">
        <v>418</v>
      </c>
      <c r="O726" s="20"/>
    </row>
    <row r="727" spans="1:15" s="12" customFormat="1">
      <c r="A727" s="32" t="s">
        <v>120</v>
      </c>
      <c r="B727" s="78" t="s">
        <v>499</v>
      </c>
      <c r="C727" s="45" t="s">
        <v>417</v>
      </c>
      <c r="D727" s="142"/>
      <c r="E727" s="142">
        <v>10</v>
      </c>
      <c r="F727" s="142"/>
      <c r="G727" s="39">
        <v>10</v>
      </c>
      <c r="H727" s="41">
        <f>SUM(Tabla1326[[#This Row],[PRIMER TRIMESTRE]:[CUARTO TRIMESTRE]])</f>
        <v>20</v>
      </c>
      <c r="I727" s="17">
        <v>4200</v>
      </c>
      <c r="J727" s="17">
        <f t="shared" si="15"/>
        <v>84000</v>
      </c>
      <c r="K727" s="31"/>
      <c r="L727" s="16" t="s">
        <v>27</v>
      </c>
      <c r="M727" s="30" t="s">
        <v>22</v>
      </c>
      <c r="N727" s="45" t="s">
        <v>418</v>
      </c>
      <c r="O727" s="20"/>
    </row>
    <row r="728" spans="1:15" s="12" customFormat="1">
      <c r="A728" s="32" t="s">
        <v>120</v>
      </c>
      <c r="B728" s="79" t="s">
        <v>500</v>
      </c>
      <c r="C728" s="45" t="s">
        <v>417</v>
      </c>
      <c r="D728" s="142"/>
      <c r="E728" s="142">
        <v>13</v>
      </c>
      <c r="F728" s="142"/>
      <c r="G728" s="39">
        <v>13</v>
      </c>
      <c r="H728" s="41">
        <f>SUM(Tabla1326[[#This Row],[PRIMER TRIMESTRE]:[CUARTO TRIMESTRE]])</f>
        <v>26</v>
      </c>
      <c r="I728" s="17">
        <v>8210.5</v>
      </c>
      <c r="J728" s="17">
        <f t="shared" si="15"/>
        <v>213473</v>
      </c>
      <c r="K728" s="31"/>
      <c r="L728" s="16" t="s">
        <v>27</v>
      </c>
      <c r="M728" s="30" t="s">
        <v>22</v>
      </c>
      <c r="N728" s="45" t="s">
        <v>418</v>
      </c>
      <c r="O728" s="20"/>
    </row>
    <row r="729" spans="1:15" s="12" customFormat="1">
      <c r="A729" s="32" t="s">
        <v>120</v>
      </c>
      <c r="B729" s="79" t="s">
        <v>501</v>
      </c>
      <c r="C729" s="45" t="s">
        <v>417</v>
      </c>
      <c r="D729" s="142"/>
      <c r="E729" s="142">
        <v>4</v>
      </c>
      <c r="F729" s="142"/>
      <c r="G729" s="39">
        <v>4</v>
      </c>
      <c r="H729" s="41">
        <f>SUM(Tabla1326[[#This Row],[PRIMER TRIMESTRE]:[CUARTO TRIMESTRE]])</f>
        <v>8</v>
      </c>
      <c r="I729" s="17">
        <v>3250</v>
      </c>
      <c r="J729" s="17">
        <f t="shared" si="15"/>
        <v>26000</v>
      </c>
      <c r="K729" s="31"/>
      <c r="L729" s="16" t="s">
        <v>27</v>
      </c>
      <c r="M729" s="30" t="s">
        <v>22</v>
      </c>
      <c r="N729" s="45" t="s">
        <v>418</v>
      </c>
      <c r="O729" s="20"/>
    </row>
    <row r="730" spans="1:15" s="12" customFormat="1">
      <c r="A730" s="32" t="s">
        <v>120</v>
      </c>
      <c r="B730" s="78" t="s">
        <v>502</v>
      </c>
      <c r="C730" s="45" t="s">
        <v>417</v>
      </c>
      <c r="D730" s="142"/>
      <c r="E730" s="142">
        <v>2</v>
      </c>
      <c r="F730" s="142"/>
      <c r="G730" s="39">
        <v>2</v>
      </c>
      <c r="H730" s="41">
        <f>SUM(Tabla1326[[#This Row],[PRIMER TRIMESTRE]:[CUARTO TRIMESTRE]])</f>
        <v>4</v>
      </c>
      <c r="I730" s="17">
        <v>450</v>
      </c>
      <c r="J730" s="17">
        <f t="shared" si="15"/>
        <v>1800</v>
      </c>
      <c r="K730" s="31"/>
      <c r="L730" s="16" t="s">
        <v>27</v>
      </c>
      <c r="M730" s="30" t="s">
        <v>22</v>
      </c>
      <c r="N730" s="45" t="s">
        <v>418</v>
      </c>
      <c r="O730" s="20"/>
    </row>
    <row r="731" spans="1:15" s="12" customFormat="1">
      <c r="A731" s="32" t="s">
        <v>120</v>
      </c>
      <c r="B731" s="78" t="s">
        <v>503</v>
      </c>
      <c r="C731" s="45" t="s">
        <v>417</v>
      </c>
      <c r="D731" s="142"/>
      <c r="E731" s="142">
        <v>1</v>
      </c>
      <c r="F731" s="142"/>
      <c r="G731" s="39"/>
      <c r="H731" s="41">
        <f>SUM(Tabla1326[[#This Row],[PRIMER TRIMESTRE]:[CUARTO TRIMESTRE]])</f>
        <v>1</v>
      </c>
      <c r="I731" s="17">
        <v>450</v>
      </c>
      <c r="J731" s="17">
        <f t="shared" si="15"/>
        <v>450</v>
      </c>
      <c r="K731" s="31"/>
      <c r="L731" s="16" t="s">
        <v>27</v>
      </c>
      <c r="M731" s="30" t="s">
        <v>22</v>
      </c>
      <c r="N731" s="45" t="s">
        <v>418</v>
      </c>
      <c r="O731" s="20"/>
    </row>
    <row r="732" spans="1:15" s="12" customFormat="1">
      <c r="A732" s="32" t="s">
        <v>120</v>
      </c>
      <c r="B732" s="78" t="s">
        <v>504</v>
      </c>
      <c r="C732" s="45" t="s">
        <v>417</v>
      </c>
      <c r="D732" s="142"/>
      <c r="E732" s="142">
        <v>1</v>
      </c>
      <c r="F732" s="142"/>
      <c r="G732" s="39"/>
      <c r="H732" s="41">
        <f>SUM(Tabla1326[[#This Row],[PRIMER TRIMESTRE]:[CUARTO TRIMESTRE]])</f>
        <v>1</v>
      </c>
      <c r="I732" s="17">
        <v>450</v>
      </c>
      <c r="J732" s="17">
        <f t="shared" si="15"/>
        <v>450</v>
      </c>
      <c r="K732" s="31"/>
      <c r="L732" s="16" t="s">
        <v>27</v>
      </c>
      <c r="M732" s="30" t="s">
        <v>22</v>
      </c>
      <c r="N732" s="45" t="s">
        <v>418</v>
      </c>
      <c r="O732" s="20"/>
    </row>
    <row r="733" spans="1:15" s="12" customFormat="1">
      <c r="A733" s="32" t="s">
        <v>120</v>
      </c>
      <c r="B733" s="78" t="s">
        <v>505</v>
      </c>
      <c r="C733" s="45" t="s">
        <v>417</v>
      </c>
      <c r="D733" s="142"/>
      <c r="E733" s="142">
        <v>1</v>
      </c>
      <c r="F733" s="142"/>
      <c r="G733" s="39"/>
      <c r="H733" s="41">
        <f>SUM(Tabla1326[[#This Row],[PRIMER TRIMESTRE]:[CUARTO TRIMESTRE]])</f>
        <v>1</v>
      </c>
      <c r="I733" s="17">
        <v>450</v>
      </c>
      <c r="J733" s="17">
        <f t="shared" si="15"/>
        <v>450</v>
      </c>
      <c r="K733" s="31"/>
      <c r="L733" s="16" t="s">
        <v>27</v>
      </c>
      <c r="M733" s="30" t="s">
        <v>22</v>
      </c>
      <c r="N733" s="45" t="s">
        <v>418</v>
      </c>
      <c r="O733" s="20"/>
    </row>
    <row r="734" spans="1:15" s="12" customFormat="1">
      <c r="A734" s="32" t="s">
        <v>120</v>
      </c>
      <c r="B734" s="78" t="s">
        <v>506</v>
      </c>
      <c r="C734" s="45" t="s">
        <v>417</v>
      </c>
      <c r="D734" s="142"/>
      <c r="E734" s="142">
        <v>3</v>
      </c>
      <c r="F734" s="142"/>
      <c r="G734" s="39">
        <v>2</v>
      </c>
      <c r="H734" s="41">
        <f>SUM(Tabla1326[[#This Row],[PRIMER TRIMESTRE]:[CUARTO TRIMESTRE]])</f>
        <v>5</v>
      </c>
      <c r="I734" s="17">
        <v>5800</v>
      </c>
      <c r="J734" s="17">
        <f t="shared" si="15"/>
        <v>29000</v>
      </c>
      <c r="K734" s="31"/>
      <c r="L734" s="16" t="s">
        <v>27</v>
      </c>
      <c r="M734" s="30" t="s">
        <v>22</v>
      </c>
      <c r="N734" s="45" t="s">
        <v>418</v>
      </c>
      <c r="O734" s="20"/>
    </row>
    <row r="735" spans="1:15" s="12" customFormat="1">
      <c r="A735" s="32" t="s">
        <v>120</v>
      </c>
      <c r="B735" s="78" t="s">
        <v>507</v>
      </c>
      <c r="C735" s="45" t="s">
        <v>417</v>
      </c>
      <c r="D735" s="142"/>
      <c r="E735" s="142">
        <v>3</v>
      </c>
      <c r="F735" s="142"/>
      <c r="G735" s="39">
        <v>3</v>
      </c>
      <c r="H735" s="41">
        <f>SUM(Tabla1326[[#This Row],[PRIMER TRIMESTRE]:[CUARTO TRIMESTRE]])</f>
        <v>6</v>
      </c>
      <c r="I735" s="17">
        <v>2800</v>
      </c>
      <c r="J735" s="17">
        <f t="shared" si="15"/>
        <v>16800</v>
      </c>
      <c r="K735" s="31"/>
      <c r="L735" s="16" t="s">
        <v>27</v>
      </c>
      <c r="M735" s="30" t="s">
        <v>22</v>
      </c>
      <c r="N735" s="45" t="s">
        <v>418</v>
      </c>
      <c r="O735" s="20"/>
    </row>
    <row r="736" spans="1:15" s="12" customFormat="1">
      <c r="A736" s="32" t="s">
        <v>120</v>
      </c>
      <c r="B736" s="78" t="s">
        <v>508</v>
      </c>
      <c r="C736" s="45" t="s">
        <v>417</v>
      </c>
      <c r="D736" s="142"/>
      <c r="E736" s="142">
        <v>3</v>
      </c>
      <c r="F736" s="142"/>
      <c r="G736" s="39">
        <v>2</v>
      </c>
      <c r="H736" s="41">
        <f>SUM(Tabla1326[[#This Row],[PRIMER TRIMESTRE]:[CUARTO TRIMESTRE]])</f>
        <v>5</v>
      </c>
      <c r="I736" s="17">
        <v>5100</v>
      </c>
      <c r="J736" s="17">
        <f t="shared" si="15"/>
        <v>25500</v>
      </c>
      <c r="K736" s="31"/>
      <c r="L736" s="16" t="s">
        <v>27</v>
      </c>
      <c r="M736" s="30" t="s">
        <v>22</v>
      </c>
      <c r="N736" s="45" t="s">
        <v>418</v>
      </c>
      <c r="O736" s="20"/>
    </row>
    <row r="737" spans="1:15" s="12" customFormat="1">
      <c r="A737" s="32" t="s">
        <v>120</v>
      </c>
      <c r="B737" s="78" t="s">
        <v>509</v>
      </c>
      <c r="C737" s="45" t="s">
        <v>417</v>
      </c>
      <c r="D737" s="142"/>
      <c r="E737" s="142">
        <v>5</v>
      </c>
      <c r="F737" s="142"/>
      <c r="G737" s="39">
        <v>5</v>
      </c>
      <c r="H737" s="41">
        <f>SUM(Tabla1326[[#This Row],[PRIMER TRIMESTRE]:[CUARTO TRIMESTRE]])</f>
        <v>10</v>
      </c>
      <c r="I737" s="17">
        <v>5100</v>
      </c>
      <c r="J737" s="17">
        <f t="shared" si="15"/>
        <v>51000</v>
      </c>
      <c r="K737" s="31"/>
      <c r="L737" s="16" t="s">
        <v>27</v>
      </c>
      <c r="M737" s="30" t="s">
        <v>22</v>
      </c>
      <c r="N737" s="45" t="s">
        <v>418</v>
      </c>
      <c r="O737" s="20"/>
    </row>
    <row r="738" spans="1:15" s="12" customFormat="1">
      <c r="A738" s="32" t="s">
        <v>120</v>
      </c>
      <c r="B738" s="78" t="s">
        <v>510</v>
      </c>
      <c r="C738" s="45" t="s">
        <v>417</v>
      </c>
      <c r="D738" s="142"/>
      <c r="E738" s="142">
        <v>5</v>
      </c>
      <c r="F738" s="142"/>
      <c r="G738" s="39">
        <v>5</v>
      </c>
      <c r="H738" s="41">
        <f>SUM(Tabla1326[[#This Row],[PRIMER TRIMESTRE]:[CUARTO TRIMESTRE]])</f>
        <v>10</v>
      </c>
      <c r="I738" s="17">
        <v>5100</v>
      </c>
      <c r="J738" s="17">
        <f t="shared" si="15"/>
        <v>51000</v>
      </c>
      <c r="K738" s="31"/>
      <c r="L738" s="16" t="s">
        <v>27</v>
      </c>
      <c r="M738" s="30" t="s">
        <v>22</v>
      </c>
      <c r="N738" s="45" t="s">
        <v>418</v>
      </c>
      <c r="O738" s="20"/>
    </row>
    <row r="739" spans="1:15" s="12" customFormat="1">
      <c r="A739" s="32" t="s">
        <v>120</v>
      </c>
      <c r="B739" s="78" t="s">
        <v>511</v>
      </c>
      <c r="C739" s="45" t="s">
        <v>417</v>
      </c>
      <c r="D739" s="142"/>
      <c r="E739" s="142">
        <v>5</v>
      </c>
      <c r="F739" s="142"/>
      <c r="G739" s="39">
        <v>5</v>
      </c>
      <c r="H739" s="41">
        <f>SUM(Tabla1326[[#This Row],[PRIMER TRIMESTRE]:[CUARTO TRIMESTRE]])</f>
        <v>10</v>
      </c>
      <c r="I739" s="17">
        <v>5100</v>
      </c>
      <c r="J739" s="17">
        <f t="shared" si="15"/>
        <v>51000</v>
      </c>
      <c r="K739" s="31"/>
      <c r="L739" s="16" t="s">
        <v>27</v>
      </c>
      <c r="M739" s="30" t="s">
        <v>22</v>
      </c>
      <c r="N739" s="45" t="s">
        <v>418</v>
      </c>
      <c r="O739" s="20"/>
    </row>
    <row r="740" spans="1:15" s="12" customFormat="1">
      <c r="A740" s="32" t="s">
        <v>120</v>
      </c>
      <c r="B740" s="78" t="s">
        <v>512</v>
      </c>
      <c r="C740" s="45" t="s">
        <v>417</v>
      </c>
      <c r="D740" s="142"/>
      <c r="E740" s="142">
        <v>5</v>
      </c>
      <c r="F740" s="142"/>
      <c r="G740" s="39">
        <v>5</v>
      </c>
      <c r="H740" s="41">
        <f>SUM(Tabla1326[[#This Row],[PRIMER TRIMESTRE]:[CUARTO TRIMESTRE]])</f>
        <v>10</v>
      </c>
      <c r="I740" s="17">
        <v>2000</v>
      </c>
      <c r="J740" s="17">
        <f t="shared" si="15"/>
        <v>20000</v>
      </c>
      <c r="K740" s="31"/>
      <c r="L740" s="16" t="s">
        <v>27</v>
      </c>
      <c r="M740" s="30" t="s">
        <v>22</v>
      </c>
      <c r="N740" s="45" t="s">
        <v>418</v>
      </c>
      <c r="O740" s="20"/>
    </row>
    <row r="741" spans="1:15" s="12" customFormat="1">
      <c r="A741" s="32" t="s">
        <v>120</v>
      </c>
      <c r="B741" s="78" t="s">
        <v>513</v>
      </c>
      <c r="C741" s="45" t="s">
        <v>417</v>
      </c>
      <c r="D741" s="142"/>
      <c r="E741" s="142">
        <v>5</v>
      </c>
      <c r="F741" s="142"/>
      <c r="G741" s="39">
        <v>5</v>
      </c>
      <c r="H741" s="41">
        <f>SUM(Tabla1326[[#This Row],[PRIMER TRIMESTRE]:[CUARTO TRIMESTRE]])</f>
        <v>10</v>
      </c>
      <c r="I741" s="17">
        <v>2500</v>
      </c>
      <c r="J741" s="17">
        <f t="shared" si="15"/>
        <v>25000</v>
      </c>
      <c r="K741" s="31"/>
      <c r="L741" s="16" t="s">
        <v>27</v>
      </c>
      <c r="M741" s="30" t="s">
        <v>22</v>
      </c>
      <c r="N741" s="45" t="s">
        <v>418</v>
      </c>
      <c r="O741" s="20"/>
    </row>
    <row r="742" spans="1:15" s="12" customFormat="1">
      <c r="A742" s="32" t="s">
        <v>120</v>
      </c>
      <c r="B742" s="78" t="s">
        <v>514</v>
      </c>
      <c r="C742" s="45" t="s">
        <v>417</v>
      </c>
      <c r="D742" s="142"/>
      <c r="E742" s="142">
        <v>5</v>
      </c>
      <c r="F742" s="142"/>
      <c r="G742" s="39">
        <v>5</v>
      </c>
      <c r="H742" s="41">
        <f>SUM(Tabla1326[[#This Row],[PRIMER TRIMESTRE]:[CUARTO TRIMESTRE]])</f>
        <v>10</v>
      </c>
      <c r="I742" s="17">
        <v>2500</v>
      </c>
      <c r="J742" s="17">
        <f t="shared" si="15"/>
        <v>25000</v>
      </c>
      <c r="K742" s="31"/>
      <c r="L742" s="16" t="s">
        <v>27</v>
      </c>
      <c r="M742" s="30" t="s">
        <v>22</v>
      </c>
      <c r="N742" s="45" t="s">
        <v>418</v>
      </c>
      <c r="O742" s="20"/>
    </row>
    <row r="743" spans="1:15" s="12" customFormat="1">
      <c r="A743" s="32" t="s">
        <v>120</v>
      </c>
      <c r="B743" s="78" t="s">
        <v>515</v>
      </c>
      <c r="C743" s="45" t="s">
        <v>417</v>
      </c>
      <c r="D743" s="142"/>
      <c r="E743" s="142">
        <v>5</v>
      </c>
      <c r="F743" s="142"/>
      <c r="G743" s="39">
        <v>5</v>
      </c>
      <c r="H743" s="41">
        <f>SUM(Tabla1326[[#This Row],[PRIMER TRIMESTRE]:[CUARTO TRIMESTRE]])</f>
        <v>10</v>
      </c>
      <c r="I743" s="17">
        <v>2500</v>
      </c>
      <c r="J743" s="17">
        <f t="shared" si="15"/>
        <v>25000</v>
      </c>
      <c r="K743" s="31"/>
      <c r="L743" s="16" t="s">
        <v>27</v>
      </c>
      <c r="M743" s="30" t="s">
        <v>22</v>
      </c>
      <c r="N743" s="45" t="s">
        <v>418</v>
      </c>
      <c r="O743" s="20"/>
    </row>
    <row r="744" spans="1:15" s="12" customFormat="1">
      <c r="A744" s="32" t="s">
        <v>120</v>
      </c>
      <c r="B744" s="78" t="s">
        <v>516</v>
      </c>
      <c r="C744" s="45" t="s">
        <v>417</v>
      </c>
      <c r="D744" s="142"/>
      <c r="E744" s="142">
        <v>5</v>
      </c>
      <c r="F744" s="142"/>
      <c r="G744" s="39">
        <v>5</v>
      </c>
      <c r="H744" s="41">
        <f>SUM(Tabla1326[[#This Row],[PRIMER TRIMESTRE]:[CUARTO TRIMESTRE]])</f>
        <v>10</v>
      </c>
      <c r="I744" s="17">
        <v>2500</v>
      </c>
      <c r="J744" s="17">
        <f t="shared" si="15"/>
        <v>25000</v>
      </c>
      <c r="K744" s="31"/>
      <c r="L744" s="16" t="s">
        <v>27</v>
      </c>
      <c r="M744" s="30" t="s">
        <v>22</v>
      </c>
      <c r="N744" s="45" t="s">
        <v>418</v>
      </c>
      <c r="O744" s="20"/>
    </row>
    <row r="745" spans="1:15" s="12" customFormat="1">
      <c r="A745" s="32" t="s">
        <v>120</v>
      </c>
      <c r="B745" s="78" t="s">
        <v>517</v>
      </c>
      <c r="C745" s="45" t="s">
        <v>417</v>
      </c>
      <c r="D745" s="142"/>
      <c r="E745" s="142">
        <v>5</v>
      </c>
      <c r="F745" s="142"/>
      <c r="G745" s="39">
        <v>5</v>
      </c>
      <c r="H745" s="41">
        <f>SUM(Tabla1326[[#This Row],[PRIMER TRIMESTRE]:[CUARTO TRIMESTRE]])</f>
        <v>10</v>
      </c>
      <c r="I745" s="17">
        <v>4100</v>
      </c>
      <c r="J745" s="17">
        <f t="shared" si="15"/>
        <v>41000</v>
      </c>
      <c r="K745" s="31"/>
      <c r="L745" s="16" t="s">
        <v>27</v>
      </c>
      <c r="M745" s="30" t="s">
        <v>22</v>
      </c>
      <c r="N745" s="45" t="s">
        <v>418</v>
      </c>
      <c r="O745" s="20"/>
    </row>
    <row r="746" spans="1:15" s="12" customFormat="1">
      <c r="A746" s="32" t="s">
        <v>120</v>
      </c>
      <c r="B746" s="78" t="s">
        <v>518</v>
      </c>
      <c r="C746" s="45" t="s">
        <v>417</v>
      </c>
      <c r="D746" s="142"/>
      <c r="E746" s="142">
        <v>5</v>
      </c>
      <c r="F746" s="142"/>
      <c r="G746" s="39">
        <v>5</v>
      </c>
      <c r="H746" s="41">
        <f>SUM(Tabla1326[[#This Row],[PRIMER TRIMESTRE]:[CUARTO TRIMESTRE]])</f>
        <v>10</v>
      </c>
      <c r="I746" s="17">
        <v>3800</v>
      </c>
      <c r="J746" s="17">
        <f t="shared" si="15"/>
        <v>38000</v>
      </c>
      <c r="K746" s="31"/>
      <c r="L746" s="16" t="s">
        <v>27</v>
      </c>
      <c r="M746" s="30" t="s">
        <v>22</v>
      </c>
      <c r="N746" s="45" t="s">
        <v>418</v>
      </c>
      <c r="O746" s="20"/>
    </row>
    <row r="747" spans="1:15" s="12" customFormat="1">
      <c r="A747" s="32" t="s">
        <v>120</v>
      </c>
      <c r="B747" s="78" t="s">
        <v>519</v>
      </c>
      <c r="C747" s="45" t="s">
        <v>417</v>
      </c>
      <c r="D747" s="142"/>
      <c r="E747" s="142">
        <v>5</v>
      </c>
      <c r="F747" s="142"/>
      <c r="G747" s="39">
        <v>5</v>
      </c>
      <c r="H747" s="41">
        <f>SUM(Tabla1326[[#This Row],[PRIMER TRIMESTRE]:[CUARTO TRIMESTRE]])</f>
        <v>10</v>
      </c>
      <c r="I747" s="17">
        <v>5400</v>
      </c>
      <c r="J747" s="17">
        <f t="shared" si="15"/>
        <v>54000</v>
      </c>
      <c r="K747" s="31"/>
      <c r="L747" s="16" t="s">
        <v>27</v>
      </c>
      <c r="M747" s="30" t="s">
        <v>22</v>
      </c>
      <c r="N747" s="45" t="s">
        <v>418</v>
      </c>
      <c r="O747" s="20"/>
    </row>
    <row r="748" spans="1:15" s="12" customFormat="1">
      <c r="A748" s="32" t="s">
        <v>120</v>
      </c>
      <c r="B748" s="78" t="s">
        <v>520</v>
      </c>
      <c r="C748" s="45" t="s">
        <v>417</v>
      </c>
      <c r="D748" s="142"/>
      <c r="E748" s="142">
        <v>5</v>
      </c>
      <c r="F748" s="142"/>
      <c r="G748" s="39">
        <v>5</v>
      </c>
      <c r="H748" s="41">
        <f>SUM(Tabla1326[[#This Row],[PRIMER TRIMESTRE]:[CUARTO TRIMESTRE]])</f>
        <v>10</v>
      </c>
      <c r="I748" s="17">
        <v>5400</v>
      </c>
      <c r="J748" s="17">
        <f t="shared" si="15"/>
        <v>54000</v>
      </c>
      <c r="K748" s="31"/>
      <c r="L748" s="16" t="s">
        <v>27</v>
      </c>
      <c r="M748" s="30" t="s">
        <v>22</v>
      </c>
      <c r="N748" s="45" t="s">
        <v>418</v>
      </c>
      <c r="O748" s="20"/>
    </row>
    <row r="749" spans="1:15" s="12" customFormat="1">
      <c r="A749" s="32" t="s">
        <v>120</v>
      </c>
      <c r="B749" s="78" t="s">
        <v>521</v>
      </c>
      <c r="C749" s="45" t="s">
        <v>417</v>
      </c>
      <c r="D749" s="142"/>
      <c r="E749" s="142">
        <v>5</v>
      </c>
      <c r="F749" s="142"/>
      <c r="G749" s="39">
        <v>5</v>
      </c>
      <c r="H749" s="41">
        <f>SUM(Tabla1326[[#This Row],[PRIMER TRIMESTRE]:[CUARTO TRIMESTRE]])</f>
        <v>10</v>
      </c>
      <c r="I749" s="17">
        <v>5400</v>
      </c>
      <c r="J749" s="17">
        <f t="shared" si="15"/>
        <v>54000</v>
      </c>
      <c r="K749" s="31"/>
      <c r="L749" s="16" t="s">
        <v>27</v>
      </c>
      <c r="M749" s="30" t="s">
        <v>22</v>
      </c>
      <c r="N749" s="45" t="s">
        <v>418</v>
      </c>
      <c r="O749" s="20"/>
    </row>
    <row r="750" spans="1:15" s="12" customFormat="1">
      <c r="A750" s="32" t="s">
        <v>120</v>
      </c>
      <c r="B750" s="78" t="s">
        <v>522</v>
      </c>
      <c r="C750" s="45" t="s">
        <v>417</v>
      </c>
      <c r="D750" s="142"/>
      <c r="E750" s="142">
        <v>15</v>
      </c>
      <c r="F750" s="142"/>
      <c r="G750" s="39">
        <v>15</v>
      </c>
      <c r="H750" s="41">
        <f>SUM(Tabla1326[[#This Row],[PRIMER TRIMESTRE]:[CUARTO TRIMESTRE]])</f>
        <v>30</v>
      </c>
      <c r="I750" s="17">
        <v>3100</v>
      </c>
      <c r="J750" s="17">
        <f t="shared" si="15"/>
        <v>93000</v>
      </c>
      <c r="K750" s="31"/>
      <c r="L750" s="16" t="s">
        <v>27</v>
      </c>
      <c r="M750" s="30" t="s">
        <v>22</v>
      </c>
      <c r="N750" s="45" t="s">
        <v>418</v>
      </c>
      <c r="O750" s="20"/>
    </row>
    <row r="751" spans="1:15" s="12" customFormat="1">
      <c r="A751" s="32" t="s">
        <v>120</v>
      </c>
      <c r="B751" s="78" t="s">
        <v>523</v>
      </c>
      <c r="C751" s="45" t="s">
        <v>417</v>
      </c>
      <c r="D751" s="142"/>
      <c r="E751" s="142">
        <v>2</v>
      </c>
      <c r="F751" s="142"/>
      <c r="G751" s="39"/>
      <c r="H751" s="41">
        <f>SUM(Tabla1326[[#This Row],[PRIMER TRIMESTRE]:[CUARTO TRIMESTRE]])</f>
        <v>2</v>
      </c>
      <c r="I751" s="17">
        <v>5100</v>
      </c>
      <c r="J751" s="17">
        <f t="shared" si="15"/>
        <v>10200</v>
      </c>
      <c r="K751" s="31"/>
      <c r="L751" s="16" t="s">
        <v>27</v>
      </c>
      <c r="M751" s="30" t="s">
        <v>22</v>
      </c>
      <c r="N751" s="45" t="s">
        <v>418</v>
      </c>
      <c r="O751" s="20"/>
    </row>
    <row r="752" spans="1:15" s="12" customFormat="1">
      <c r="A752" s="32" t="s">
        <v>120</v>
      </c>
      <c r="B752" s="78" t="s">
        <v>524</v>
      </c>
      <c r="C752" s="45" t="s">
        <v>417</v>
      </c>
      <c r="D752" s="142"/>
      <c r="E752" s="142">
        <v>5</v>
      </c>
      <c r="F752" s="142"/>
      <c r="G752" s="39">
        <v>5</v>
      </c>
      <c r="H752" s="41">
        <f>SUM(Tabla1326[[#This Row],[PRIMER TRIMESTRE]:[CUARTO TRIMESTRE]])</f>
        <v>10</v>
      </c>
      <c r="I752" s="17">
        <v>3000</v>
      </c>
      <c r="J752" s="17">
        <f t="shared" si="15"/>
        <v>30000</v>
      </c>
      <c r="K752" s="31"/>
      <c r="L752" s="16" t="s">
        <v>27</v>
      </c>
      <c r="M752" s="30" t="s">
        <v>22</v>
      </c>
      <c r="N752" s="45" t="s">
        <v>418</v>
      </c>
      <c r="O752" s="20"/>
    </row>
    <row r="753" spans="1:15" s="12" customFormat="1">
      <c r="A753" s="32" t="s">
        <v>120</v>
      </c>
      <c r="B753" s="78" t="s">
        <v>525</v>
      </c>
      <c r="C753" s="45" t="s">
        <v>417</v>
      </c>
      <c r="D753" s="142"/>
      <c r="E753" s="142">
        <v>5</v>
      </c>
      <c r="F753" s="142"/>
      <c r="G753" s="39">
        <v>5</v>
      </c>
      <c r="H753" s="41">
        <f>SUM(Tabla1326[[#This Row],[PRIMER TRIMESTRE]:[CUARTO TRIMESTRE]])</f>
        <v>10</v>
      </c>
      <c r="I753" s="17">
        <v>3800</v>
      </c>
      <c r="J753" s="17">
        <f t="shared" si="15"/>
        <v>38000</v>
      </c>
      <c r="K753" s="31"/>
      <c r="L753" s="16" t="s">
        <v>27</v>
      </c>
      <c r="M753" s="30" t="s">
        <v>22</v>
      </c>
      <c r="N753" s="45" t="s">
        <v>418</v>
      </c>
      <c r="O753" s="20"/>
    </row>
    <row r="754" spans="1:15" s="12" customFormat="1">
      <c r="A754" s="32" t="s">
        <v>120</v>
      </c>
      <c r="B754" s="78" t="s">
        <v>526</v>
      </c>
      <c r="C754" s="45" t="s">
        <v>417</v>
      </c>
      <c r="D754" s="142"/>
      <c r="E754" s="142">
        <v>5</v>
      </c>
      <c r="F754" s="142"/>
      <c r="G754" s="39">
        <v>5</v>
      </c>
      <c r="H754" s="41">
        <f>SUM(Tabla1326[[#This Row],[PRIMER TRIMESTRE]:[CUARTO TRIMESTRE]])</f>
        <v>10</v>
      </c>
      <c r="I754" s="17">
        <v>3800</v>
      </c>
      <c r="J754" s="17">
        <f t="shared" si="15"/>
        <v>38000</v>
      </c>
      <c r="K754" s="31"/>
      <c r="L754" s="16" t="s">
        <v>27</v>
      </c>
      <c r="M754" s="30" t="s">
        <v>22</v>
      </c>
      <c r="N754" s="45" t="s">
        <v>418</v>
      </c>
      <c r="O754" s="20"/>
    </row>
    <row r="755" spans="1:15" s="12" customFormat="1">
      <c r="A755" s="32" t="s">
        <v>120</v>
      </c>
      <c r="B755" s="78" t="s">
        <v>527</v>
      </c>
      <c r="C755" s="45" t="s">
        <v>417</v>
      </c>
      <c r="D755" s="142"/>
      <c r="E755" s="142">
        <v>5</v>
      </c>
      <c r="F755" s="142"/>
      <c r="G755" s="39">
        <v>5</v>
      </c>
      <c r="H755" s="41">
        <f>SUM(Tabla1326[[#This Row],[PRIMER TRIMESTRE]:[CUARTO TRIMESTRE]])</f>
        <v>10</v>
      </c>
      <c r="I755" s="17">
        <v>3800</v>
      </c>
      <c r="J755" s="17">
        <f t="shared" si="15"/>
        <v>38000</v>
      </c>
      <c r="K755" s="31"/>
      <c r="L755" s="16" t="s">
        <v>27</v>
      </c>
      <c r="M755" s="30" t="s">
        <v>22</v>
      </c>
      <c r="N755" s="45" t="s">
        <v>418</v>
      </c>
      <c r="O755" s="20"/>
    </row>
    <row r="756" spans="1:15" s="12" customFormat="1">
      <c r="A756" s="32" t="s">
        <v>120</v>
      </c>
      <c r="B756" s="78" t="s">
        <v>528</v>
      </c>
      <c r="C756" s="45" t="s">
        <v>417</v>
      </c>
      <c r="D756" s="142"/>
      <c r="E756" s="142">
        <v>5</v>
      </c>
      <c r="F756" s="142"/>
      <c r="G756" s="39">
        <v>5</v>
      </c>
      <c r="H756" s="41">
        <f>SUM(Tabla1326[[#This Row],[PRIMER TRIMESTRE]:[CUARTO TRIMESTRE]])</f>
        <v>10</v>
      </c>
      <c r="I756" s="17">
        <v>6400</v>
      </c>
      <c r="J756" s="17">
        <f t="shared" si="15"/>
        <v>64000</v>
      </c>
      <c r="K756" s="31"/>
      <c r="L756" s="16" t="s">
        <v>27</v>
      </c>
      <c r="M756" s="30" t="s">
        <v>22</v>
      </c>
      <c r="N756" s="45" t="s">
        <v>418</v>
      </c>
      <c r="O756" s="20"/>
    </row>
    <row r="757" spans="1:15" s="12" customFormat="1" ht="27.75" customHeight="1">
      <c r="A757" s="32" t="s">
        <v>120</v>
      </c>
      <c r="B757" s="79" t="s">
        <v>529</v>
      </c>
      <c r="C757" s="45" t="s">
        <v>417</v>
      </c>
      <c r="D757" s="142"/>
      <c r="E757" s="143">
        <v>25</v>
      </c>
      <c r="F757" s="143"/>
      <c r="G757" s="70">
        <v>25</v>
      </c>
      <c r="H757" s="71">
        <f>SUM(Tabla1326[[#This Row],[PRIMER TRIMESTRE]:[CUARTO TRIMESTRE]])</f>
        <v>50</v>
      </c>
      <c r="I757" s="17">
        <f>9750*1.18</f>
        <v>11505</v>
      </c>
      <c r="J757" s="17">
        <f t="shared" si="15"/>
        <v>575250</v>
      </c>
      <c r="K757" s="31"/>
      <c r="L757" s="16" t="s">
        <v>27</v>
      </c>
      <c r="M757" s="30" t="s">
        <v>22</v>
      </c>
      <c r="N757" s="45" t="s">
        <v>418</v>
      </c>
      <c r="O757" s="20"/>
    </row>
    <row r="758" spans="1:15" s="12" customFormat="1" ht="27.75" customHeight="1">
      <c r="A758" s="32" t="s">
        <v>120</v>
      </c>
      <c r="B758" s="79" t="s">
        <v>530</v>
      </c>
      <c r="C758" s="45" t="s">
        <v>417</v>
      </c>
      <c r="D758" s="142"/>
      <c r="E758" s="143">
        <v>25</v>
      </c>
      <c r="F758" s="143"/>
      <c r="G758" s="70">
        <v>25</v>
      </c>
      <c r="H758" s="41">
        <f>SUM(Tabla1326[[#This Row],[PRIMER TRIMESTRE]:[CUARTO TRIMESTRE]])</f>
        <v>50</v>
      </c>
      <c r="I758" s="17">
        <v>11505</v>
      </c>
      <c r="J758" s="17">
        <f t="shared" si="15"/>
        <v>575250</v>
      </c>
      <c r="K758" s="31"/>
      <c r="L758" s="16" t="s">
        <v>27</v>
      </c>
      <c r="M758" s="30" t="s">
        <v>22</v>
      </c>
      <c r="N758" s="45" t="s">
        <v>418</v>
      </c>
      <c r="O758" s="20"/>
    </row>
    <row r="759" spans="1:15" s="12" customFormat="1" ht="27.75" customHeight="1">
      <c r="A759" s="32" t="s">
        <v>120</v>
      </c>
      <c r="B759" s="79" t="s">
        <v>531</v>
      </c>
      <c r="C759" s="45" t="s">
        <v>417</v>
      </c>
      <c r="D759" s="142"/>
      <c r="E759" s="143">
        <v>25</v>
      </c>
      <c r="F759" s="143"/>
      <c r="G759" s="70">
        <v>25</v>
      </c>
      <c r="H759" s="41">
        <f>SUM(Tabla1326[[#This Row],[PRIMER TRIMESTRE]:[CUARTO TRIMESTRE]])</f>
        <v>50</v>
      </c>
      <c r="I759" s="17">
        <v>11505</v>
      </c>
      <c r="J759" s="17">
        <f t="shared" si="15"/>
        <v>575250</v>
      </c>
      <c r="K759" s="31"/>
      <c r="L759" s="16" t="s">
        <v>27</v>
      </c>
      <c r="M759" s="30" t="s">
        <v>22</v>
      </c>
      <c r="N759" s="45" t="s">
        <v>418</v>
      </c>
      <c r="O759" s="20"/>
    </row>
    <row r="760" spans="1:15" s="12" customFormat="1" ht="27.75" customHeight="1">
      <c r="A760" s="32" t="s">
        <v>120</v>
      </c>
      <c r="B760" s="79" t="s">
        <v>532</v>
      </c>
      <c r="C760" s="45" t="s">
        <v>417</v>
      </c>
      <c r="D760" s="142"/>
      <c r="E760" s="143">
        <v>40</v>
      </c>
      <c r="F760" s="143"/>
      <c r="G760" s="70">
        <v>40</v>
      </c>
      <c r="H760" s="41">
        <f>SUM(Tabla1326[[#This Row],[PRIMER TRIMESTRE]:[CUARTO TRIMESTRE]])</f>
        <v>80</v>
      </c>
      <c r="I760" s="17">
        <v>11505</v>
      </c>
      <c r="J760" s="17">
        <f t="shared" si="15"/>
        <v>920400</v>
      </c>
      <c r="K760" s="31"/>
      <c r="L760" s="16" t="s">
        <v>27</v>
      </c>
      <c r="M760" s="30" t="s">
        <v>22</v>
      </c>
      <c r="N760" s="45" t="s">
        <v>418</v>
      </c>
      <c r="O760" s="20"/>
    </row>
    <row r="761" spans="1:15" s="12" customFormat="1">
      <c r="A761" s="15" t="s">
        <v>120</v>
      </c>
      <c r="B761" s="80" t="s">
        <v>790</v>
      </c>
      <c r="C761" s="45" t="s">
        <v>417</v>
      </c>
      <c r="D761" s="142"/>
      <c r="E761" s="143">
        <v>4</v>
      </c>
      <c r="F761" s="143"/>
      <c r="G761" s="70">
        <v>3</v>
      </c>
      <c r="H761" s="41">
        <f>SUM(Tabla1326[[#This Row],[PRIMER TRIMESTRE]:[CUARTO TRIMESTRE]])</f>
        <v>7</v>
      </c>
      <c r="I761" s="72">
        <v>3760.11</v>
      </c>
      <c r="J761" s="17">
        <f t="shared" si="15"/>
        <v>26320.77</v>
      </c>
      <c r="K761" s="17"/>
      <c r="L761" s="16" t="s">
        <v>27</v>
      </c>
      <c r="M761" s="16" t="s">
        <v>22</v>
      </c>
      <c r="N761" s="45" t="s">
        <v>418</v>
      </c>
      <c r="O761" s="18"/>
    </row>
    <row r="762" spans="1:15" s="12" customFormat="1">
      <c r="A762" s="15" t="s">
        <v>120</v>
      </c>
      <c r="B762" s="80" t="s">
        <v>791</v>
      </c>
      <c r="C762" s="45" t="s">
        <v>417</v>
      </c>
      <c r="D762" s="142"/>
      <c r="E762" s="143">
        <v>5</v>
      </c>
      <c r="F762" s="143"/>
      <c r="G762" s="70">
        <v>5</v>
      </c>
      <c r="H762" s="41">
        <f>SUM(Tabla1326[[#This Row],[PRIMER TRIMESTRE]:[CUARTO TRIMESTRE]])</f>
        <v>10</v>
      </c>
      <c r="I762" s="72">
        <v>3914.09</v>
      </c>
      <c r="J762" s="17">
        <f t="shared" si="15"/>
        <v>39140.9</v>
      </c>
      <c r="K762" s="17"/>
      <c r="L762" s="16" t="s">
        <v>27</v>
      </c>
      <c r="M762" s="16" t="s">
        <v>22</v>
      </c>
      <c r="N762" s="45" t="s">
        <v>418</v>
      </c>
      <c r="O762" s="18"/>
    </row>
    <row r="763" spans="1:15" s="12" customFormat="1">
      <c r="A763" s="15" t="s">
        <v>120</v>
      </c>
      <c r="B763" s="80" t="s">
        <v>792</v>
      </c>
      <c r="C763" s="45" t="s">
        <v>417</v>
      </c>
      <c r="D763" s="142"/>
      <c r="E763" s="143">
        <v>5</v>
      </c>
      <c r="F763" s="143"/>
      <c r="G763" s="70">
        <v>5</v>
      </c>
      <c r="H763" s="41">
        <f>SUM(Tabla1326[[#This Row],[PRIMER TRIMESTRE]:[CUARTO TRIMESTRE]])</f>
        <v>10</v>
      </c>
      <c r="I763" s="72">
        <v>4257.1899999999996</v>
      </c>
      <c r="J763" s="17">
        <f t="shared" si="15"/>
        <v>42571.899999999994</v>
      </c>
      <c r="K763" s="17"/>
      <c r="L763" s="16" t="s">
        <v>27</v>
      </c>
      <c r="M763" s="16" t="s">
        <v>22</v>
      </c>
      <c r="N763" s="45" t="s">
        <v>418</v>
      </c>
      <c r="O763" s="18"/>
    </row>
    <row r="764" spans="1:15" s="12" customFormat="1">
      <c r="A764" s="15" t="s">
        <v>120</v>
      </c>
      <c r="B764" s="80" t="s">
        <v>793</v>
      </c>
      <c r="C764" s="45" t="s">
        <v>417</v>
      </c>
      <c r="D764" s="142"/>
      <c r="E764" s="143">
        <v>5</v>
      </c>
      <c r="F764" s="143"/>
      <c r="G764" s="70">
        <v>5</v>
      </c>
      <c r="H764" s="41">
        <f>SUM(Tabla1326[[#This Row],[PRIMER TRIMESTRE]:[CUARTO TRIMESTRE]])</f>
        <v>10</v>
      </c>
      <c r="I764" s="72">
        <v>4257.1899999999996</v>
      </c>
      <c r="J764" s="17">
        <f t="shared" si="15"/>
        <v>42571.899999999994</v>
      </c>
      <c r="K764" s="17"/>
      <c r="L764" s="16" t="s">
        <v>27</v>
      </c>
      <c r="M764" s="16" t="s">
        <v>22</v>
      </c>
      <c r="N764" s="45" t="s">
        <v>418</v>
      </c>
      <c r="O764" s="18"/>
    </row>
    <row r="765" spans="1:15" s="12" customFormat="1">
      <c r="A765" s="15" t="s">
        <v>120</v>
      </c>
      <c r="B765" s="80" t="s">
        <v>794</v>
      </c>
      <c r="C765" s="45" t="s">
        <v>417</v>
      </c>
      <c r="D765" s="142"/>
      <c r="E765" s="143">
        <v>5</v>
      </c>
      <c r="F765" s="143"/>
      <c r="G765" s="70">
        <v>5</v>
      </c>
      <c r="H765" s="41">
        <f>SUM(Tabla1326[[#This Row],[PRIMER TRIMESTRE]:[CUARTO TRIMESTRE]])</f>
        <v>10</v>
      </c>
      <c r="I765" s="72">
        <v>4257.8999999999996</v>
      </c>
      <c r="J765" s="17">
        <f t="shared" si="15"/>
        <v>42579</v>
      </c>
      <c r="K765" s="17"/>
      <c r="L765" s="16" t="s">
        <v>27</v>
      </c>
      <c r="M765" s="16" t="s">
        <v>22</v>
      </c>
      <c r="N765" s="45" t="s">
        <v>418</v>
      </c>
      <c r="O765" s="18"/>
    </row>
    <row r="766" spans="1:15" s="12" customFormat="1">
      <c r="A766" s="15" t="s">
        <v>120</v>
      </c>
      <c r="B766" s="80" t="s">
        <v>795</v>
      </c>
      <c r="C766" s="45" t="s">
        <v>417</v>
      </c>
      <c r="D766" s="142"/>
      <c r="E766" s="143">
        <v>10</v>
      </c>
      <c r="F766" s="143"/>
      <c r="G766" s="70">
        <v>10</v>
      </c>
      <c r="H766" s="41">
        <f>SUM(Tabla1326[[#This Row],[PRIMER TRIMESTRE]:[CUARTO TRIMESTRE]])</f>
        <v>20</v>
      </c>
      <c r="I766" s="72">
        <v>4238.76</v>
      </c>
      <c r="J766" s="17">
        <f>+H766*I766</f>
        <v>84775.200000000012</v>
      </c>
      <c r="K766" s="17"/>
      <c r="L766" s="16" t="s">
        <v>27</v>
      </c>
      <c r="M766" s="16" t="s">
        <v>22</v>
      </c>
      <c r="N766" s="45" t="s">
        <v>418</v>
      </c>
      <c r="O766" s="18"/>
    </row>
    <row r="767" spans="1:15" s="12" customFormat="1">
      <c r="A767" s="15" t="s">
        <v>120</v>
      </c>
      <c r="B767" s="80" t="s">
        <v>796</v>
      </c>
      <c r="C767" s="45" t="s">
        <v>417</v>
      </c>
      <c r="D767" s="142"/>
      <c r="E767" s="143">
        <v>10</v>
      </c>
      <c r="F767" s="143"/>
      <c r="G767" s="70">
        <v>10</v>
      </c>
      <c r="H767" s="41">
        <f>SUM(Tabla1326[[#This Row],[PRIMER TRIMESTRE]:[CUARTO TRIMESTRE]])</f>
        <v>20</v>
      </c>
      <c r="I767" s="72">
        <v>3199.82</v>
      </c>
      <c r="J767" s="17">
        <f>+H767*I767</f>
        <v>63996.4</v>
      </c>
      <c r="K767" s="17"/>
      <c r="L767" s="16" t="s">
        <v>27</v>
      </c>
      <c r="M767" s="16" t="s">
        <v>22</v>
      </c>
      <c r="N767" s="45" t="s">
        <v>418</v>
      </c>
      <c r="O767" s="18"/>
    </row>
    <row r="768" spans="1:15" s="12" customFormat="1">
      <c r="A768" s="15" t="s">
        <v>120</v>
      </c>
      <c r="B768" s="80" t="s">
        <v>797</v>
      </c>
      <c r="C768" s="45" t="s">
        <v>417</v>
      </c>
      <c r="D768" s="142"/>
      <c r="E768" s="143">
        <v>10</v>
      </c>
      <c r="F768" s="143"/>
      <c r="G768" s="70">
        <v>5</v>
      </c>
      <c r="H768" s="41">
        <f>SUM(Tabla1326[[#This Row],[PRIMER TRIMESTRE]:[CUARTO TRIMESTRE]])</f>
        <v>15</v>
      </c>
      <c r="I768" s="72">
        <v>3679.8</v>
      </c>
      <c r="J768" s="17">
        <f>+H768*I768</f>
        <v>55197</v>
      </c>
      <c r="K768" s="17"/>
      <c r="L768" s="16" t="s">
        <v>27</v>
      </c>
      <c r="M768" s="16" t="s">
        <v>22</v>
      </c>
      <c r="N768" s="45" t="s">
        <v>418</v>
      </c>
      <c r="O768" s="18"/>
    </row>
    <row r="769" spans="1:21" s="12" customFormat="1">
      <c r="A769" s="15" t="s">
        <v>120</v>
      </c>
      <c r="B769" s="80" t="s">
        <v>798</v>
      </c>
      <c r="C769" s="45" t="s">
        <v>417</v>
      </c>
      <c r="D769" s="142"/>
      <c r="E769" s="143">
        <v>2</v>
      </c>
      <c r="F769" s="143"/>
      <c r="G769" s="70">
        <v>3</v>
      </c>
      <c r="H769" s="41">
        <f>SUM(Tabla1326[[#This Row],[PRIMER TRIMESTRE]:[CUARTO TRIMESTRE]])</f>
        <v>5</v>
      </c>
      <c r="I769" s="72">
        <v>3304</v>
      </c>
      <c r="J769" s="17">
        <f>+H769*I769</f>
        <v>16520</v>
      </c>
      <c r="K769" s="17"/>
      <c r="L769" s="16" t="s">
        <v>27</v>
      </c>
      <c r="M769" s="16" t="s">
        <v>22</v>
      </c>
      <c r="N769" s="45" t="s">
        <v>418</v>
      </c>
      <c r="O769" s="18"/>
    </row>
    <row r="770" spans="1:21" s="26" customFormat="1" ht="27.75" customHeight="1">
      <c r="A770" s="22" t="s">
        <v>120</v>
      </c>
      <c r="B770" s="76"/>
      <c r="C770" s="42"/>
      <c r="D770" s="42"/>
      <c r="E770" s="42"/>
      <c r="F770" s="42"/>
      <c r="G770" s="42"/>
      <c r="H770" s="144"/>
      <c r="I770" s="24"/>
      <c r="J770" s="24"/>
      <c r="K770" s="25">
        <f>SUM(J642:J760)</f>
        <v>7723860.2257793769</v>
      </c>
      <c r="L770" s="23"/>
      <c r="M770" s="23"/>
      <c r="N770" s="42"/>
      <c r="O770" s="24"/>
      <c r="R770" s="27"/>
      <c r="U770" s="23"/>
    </row>
    <row r="771" spans="1:21" s="12" customFormat="1">
      <c r="A771" s="15" t="s">
        <v>295</v>
      </c>
      <c r="B771" s="75" t="s">
        <v>296</v>
      </c>
      <c r="C771" s="39" t="s">
        <v>17</v>
      </c>
      <c r="D771" s="39"/>
      <c r="E771" s="39">
        <v>4</v>
      </c>
      <c r="F771" s="39"/>
      <c r="G771" s="39">
        <v>4</v>
      </c>
      <c r="H771" s="40">
        <f>SUM(Tabla1326[[#This Row],[PRIMER TRIMESTRE]:[CUARTO TRIMESTRE]])</f>
        <v>8</v>
      </c>
      <c r="I771" s="17">
        <v>5300.02</v>
      </c>
      <c r="J771" s="17">
        <f>+Tabla1326[[#This Row],[CANTIDAD TOTAL]]*Tabla1326[[#This Row],[PRECIO UNITARIO ESTIMADO]]</f>
        <v>42400.160000000003</v>
      </c>
      <c r="K771" s="17"/>
      <c r="L771" s="16" t="s">
        <v>15</v>
      </c>
      <c r="M771" s="16" t="s">
        <v>22</v>
      </c>
      <c r="N771" s="39" t="s">
        <v>342</v>
      </c>
      <c r="O771" s="20"/>
    </row>
    <row r="772" spans="1:21" s="12" customFormat="1">
      <c r="A772" s="15" t="s">
        <v>295</v>
      </c>
      <c r="B772" s="75" t="s">
        <v>297</v>
      </c>
      <c r="C772" s="39" t="s">
        <v>17</v>
      </c>
      <c r="D772" s="39"/>
      <c r="E772" s="39">
        <v>4</v>
      </c>
      <c r="F772" s="39"/>
      <c r="G772" s="39">
        <v>4</v>
      </c>
      <c r="H772" s="40">
        <f>SUM(Tabla1326[[#This Row],[PRIMER TRIMESTRE]:[CUARTO TRIMESTRE]])</f>
        <v>8</v>
      </c>
      <c r="I772" s="17">
        <v>11775.77</v>
      </c>
      <c r="J772" s="17">
        <f>+Tabla1326[[#This Row],[CANTIDAD TOTAL]]*Tabla1326[[#This Row],[PRECIO UNITARIO ESTIMADO]]</f>
        <v>94206.16</v>
      </c>
      <c r="K772" s="17"/>
      <c r="L772" s="16" t="s">
        <v>15</v>
      </c>
      <c r="M772" s="16" t="s">
        <v>22</v>
      </c>
      <c r="N772" s="39" t="s">
        <v>342</v>
      </c>
      <c r="O772" s="20"/>
    </row>
    <row r="773" spans="1:21" s="12" customFormat="1">
      <c r="A773" s="15" t="s">
        <v>295</v>
      </c>
      <c r="B773" s="75" t="s">
        <v>298</v>
      </c>
      <c r="C773" s="39" t="s">
        <v>17</v>
      </c>
      <c r="D773" s="39"/>
      <c r="E773" s="39">
        <v>4</v>
      </c>
      <c r="F773" s="39"/>
      <c r="G773" s="39">
        <v>4</v>
      </c>
      <c r="H773" s="40">
        <f>SUM(Tabla1326[[#This Row],[PRIMER TRIMESTRE]:[CUARTO TRIMESTRE]])</f>
        <v>8</v>
      </c>
      <c r="I773" s="17">
        <v>18999.439999999999</v>
      </c>
      <c r="J773" s="17">
        <f>+Tabla1326[[#This Row],[CANTIDAD TOTAL]]*Tabla1326[[#This Row],[PRECIO UNITARIO ESTIMADO]]</f>
        <v>151995.51999999999</v>
      </c>
      <c r="K773" s="17"/>
      <c r="L773" s="16" t="s">
        <v>15</v>
      </c>
      <c r="M773" s="16" t="s">
        <v>22</v>
      </c>
      <c r="N773" s="39" t="s">
        <v>342</v>
      </c>
      <c r="O773" s="20"/>
    </row>
    <row r="774" spans="1:21" s="12" customFormat="1">
      <c r="A774" s="15" t="s">
        <v>295</v>
      </c>
      <c r="B774" s="75" t="s">
        <v>299</v>
      </c>
      <c r="C774" s="39" t="s">
        <v>17</v>
      </c>
      <c r="D774" s="39"/>
      <c r="E774" s="39">
        <v>2</v>
      </c>
      <c r="F774" s="39"/>
      <c r="G774" s="39">
        <v>2</v>
      </c>
      <c r="H774" s="40">
        <f>SUM(Tabla1326[[#This Row],[PRIMER TRIMESTRE]:[CUARTO TRIMESTRE]])</f>
        <v>4</v>
      </c>
      <c r="I774" s="17">
        <v>784</v>
      </c>
      <c r="J774" s="17">
        <f>+Tabla1326[[#This Row],[CANTIDAD TOTAL]]*Tabla1326[[#This Row],[PRECIO UNITARIO ESTIMADO]]</f>
        <v>3136</v>
      </c>
      <c r="K774" s="17"/>
      <c r="L774" s="16" t="s">
        <v>15</v>
      </c>
      <c r="M774" s="16" t="s">
        <v>22</v>
      </c>
      <c r="N774" s="39" t="s">
        <v>342</v>
      </c>
      <c r="O774" s="20"/>
    </row>
    <row r="775" spans="1:21" s="12" customFormat="1">
      <c r="A775" s="15" t="s">
        <v>295</v>
      </c>
      <c r="B775" s="75" t="s">
        <v>300</v>
      </c>
      <c r="C775" s="39" t="s">
        <v>17</v>
      </c>
      <c r="D775" s="39"/>
      <c r="E775" s="39">
        <v>2</v>
      </c>
      <c r="F775" s="39"/>
      <c r="G775" s="39">
        <v>1</v>
      </c>
      <c r="H775" s="40">
        <f>SUM(Tabla1326[[#This Row],[PRIMER TRIMESTRE]:[CUARTO TRIMESTRE]])</f>
        <v>3</v>
      </c>
      <c r="I775" s="17">
        <v>21495</v>
      </c>
      <c r="J775" s="17">
        <f>+Tabla1326[[#This Row],[CANTIDAD TOTAL]]*Tabla1326[[#This Row],[PRECIO UNITARIO ESTIMADO]]</f>
        <v>64485</v>
      </c>
      <c r="K775" s="17"/>
      <c r="L775" s="16" t="s">
        <v>15</v>
      </c>
      <c r="M775" s="16" t="s">
        <v>22</v>
      </c>
      <c r="N775" s="39" t="s">
        <v>342</v>
      </c>
      <c r="O775" s="20"/>
    </row>
    <row r="776" spans="1:21" s="12" customFormat="1">
      <c r="A776" s="15" t="s">
        <v>295</v>
      </c>
      <c r="B776" s="75" t="s">
        <v>441</v>
      </c>
      <c r="C776" s="39" t="s">
        <v>17</v>
      </c>
      <c r="D776" s="39"/>
      <c r="E776" s="39">
        <v>3</v>
      </c>
      <c r="F776" s="39"/>
      <c r="G776" s="39">
        <v>3</v>
      </c>
      <c r="H776" s="40">
        <f>SUM(Tabla1326[[#This Row],[PRIMER TRIMESTRE]:[CUARTO TRIMESTRE]])</f>
        <v>6</v>
      </c>
      <c r="I776" s="17">
        <v>9000</v>
      </c>
      <c r="J776" s="17">
        <f>+H776*I776</f>
        <v>54000</v>
      </c>
      <c r="K776" s="17"/>
      <c r="L776" s="16" t="s">
        <v>15</v>
      </c>
      <c r="M776" s="16" t="s">
        <v>22</v>
      </c>
      <c r="N776" s="39" t="s">
        <v>342</v>
      </c>
      <c r="O776" s="18"/>
    </row>
    <row r="777" spans="1:21" s="12" customFormat="1">
      <c r="A777" s="15" t="s">
        <v>295</v>
      </c>
      <c r="B777" s="75" t="s">
        <v>301</v>
      </c>
      <c r="C777" s="39" t="s">
        <v>17</v>
      </c>
      <c r="D777" s="39"/>
      <c r="E777" s="39">
        <v>4</v>
      </c>
      <c r="F777" s="39"/>
      <c r="G777" s="39">
        <v>4</v>
      </c>
      <c r="H777" s="40">
        <f>SUM(Tabla1326[[#This Row],[PRIMER TRIMESTRE]:[CUARTO TRIMESTRE]])</f>
        <v>8</v>
      </c>
      <c r="I777" s="17">
        <v>8004</v>
      </c>
      <c r="J777" s="17">
        <f>+Tabla1326[[#This Row],[CANTIDAD TOTAL]]*Tabla1326[[#This Row],[PRECIO UNITARIO ESTIMADO]]</f>
        <v>64032</v>
      </c>
      <c r="K777" s="17"/>
      <c r="L777" s="16" t="s">
        <v>15</v>
      </c>
      <c r="M777" s="16" t="s">
        <v>22</v>
      </c>
      <c r="N777" s="39" t="s">
        <v>342</v>
      </c>
      <c r="O777" s="20"/>
    </row>
    <row r="778" spans="1:21" s="12" customFormat="1">
      <c r="A778" s="15" t="s">
        <v>295</v>
      </c>
      <c r="B778" s="75" t="s">
        <v>316</v>
      </c>
      <c r="C778" s="44" t="s">
        <v>17</v>
      </c>
      <c r="D778" s="39"/>
      <c r="E778" s="39">
        <v>2</v>
      </c>
      <c r="F778" s="39"/>
      <c r="G778" s="39">
        <v>2</v>
      </c>
      <c r="H778" s="40">
        <f>SUM(Tabla1326[[#This Row],[PRIMER TRIMESTRE]:[CUARTO TRIMESTRE]])</f>
        <v>4</v>
      </c>
      <c r="I778" s="17">
        <v>8802.7999999999993</v>
      </c>
      <c r="J778" s="17">
        <f>+Tabla1326[[#This Row],[CANTIDAD TOTAL]]*Tabla1326[[#This Row],[PRECIO UNITARIO ESTIMADO]]</f>
        <v>35211.199999999997</v>
      </c>
      <c r="K778" s="17"/>
      <c r="L778" s="16" t="s">
        <v>15</v>
      </c>
      <c r="M778" s="30" t="s">
        <v>22</v>
      </c>
      <c r="N778" s="44" t="s">
        <v>342</v>
      </c>
      <c r="O778" s="20"/>
    </row>
    <row r="779" spans="1:21" s="12" customFormat="1">
      <c r="A779" s="15" t="s">
        <v>295</v>
      </c>
      <c r="B779" s="75" t="s">
        <v>322</v>
      </c>
      <c r="C779" s="39" t="s">
        <v>17</v>
      </c>
      <c r="D779" s="39"/>
      <c r="E779" s="39">
        <v>1</v>
      </c>
      <c r="F779" s="39"/>
      <c r="G779" s="39"/>
      <c r="H779" s="40">
        <f>SUM(Tabla1326[[#This Row],[PRIMER TRIMESTRE]:[CUARTO TRIMESTRE]])</f>
        <v>1</v>
      </c>
      <c r="I779" s="17">
        <v>64546</v>
      </c>
      <c r="J779" s="17">
        <f>+Tabla1326[[#This Row],[CANTIDAD TOTAL]]*Tabla1326[[#This Row],[PRECIO UNITARIO ESTIMADO]]</f>
        <v>64546</v>
      </c>
      <c r="K779" s="17"/>
      <c r="L779" s="16" t="s">
        <v>15</v>
      </c>
      <c r="M779" s="30" t="s">
        <v>22</v>
      </c>
      <c r="N779" s="39" t="s">
        <v>342</v>
      </c>
      <c r="O779" s="20"/>
    </row>
    <row r="780" spans="1:21" s="26" customFormat="1" ht="27.75" customHeight="1">
      <c r="A780" s="22" t="s">
        <v>295</v>
      </c>
      <c r="B780" s="76"/>
      <c r="C780" s="42"/>
      <c r="D780" s="42"/>
      <c r="E780" s="42"/>
      <c r="F780" s="42"/>
      <c r="G780" s="42"/>
      <c r="H780" s="43"/>
      <c r="I780" s="24"/>
      <c r="J780" s="24"/>
      <c r="K780" s="25">
        <f>SUM(J771:J779)</f>
        <v>574012.04</v>
      </c>
      <c r="L780" s="23"/>
      <c r="M780" s="23"/>
      <c r="N780" s="42"/>
      <c r="O780" s="24"/>
      <c r="R780" s="27"/>
      <c r="U780" s="23"/>
    </row>
    <row r="781" spans="1:21" s="12" customFormat="1">
      <c r="A781" s="15" t="s">
        <v>147</v>
      </c>
      <c r="B781" s="75" t="s">
        <v>302</v>
      </c>
      <c r="C781" s="39" t="s">
        <v>17</v>
      </c>
      <c r="D781" s="39"/>
      <c r="E781" s="39">
        <v>400</v>
      </c>
      <c r="F781" s="39"/>
      <c r="G781" s="39">
        <v>400</v>
      </c>
      <c r="H781" s="40">
        <f>SUM(Tabla1326[[#This Row],[PRIMER TRIMESTRE]:[CUARTO TRIMESTRE]])</f>
        <v>800</v>
      </c>
      <c r="I781" s="17">
        <v>452.4</v>
      </c>
      <c r="J781" s="17">
        <f>+Tabla1326[[#This Row],[CANTIDAD TOTAL]]*Tabla1326[[#This Row],[PRECIO UNITARIO ESTIMADO]]</f>
        <v>361920</v>
      </c>
      <c r="K781" s="17"/>
      <c r="L781" s="16" t="s">
        <v>15</v>
      </c>
      <c r="M781" s="16" t="s">
        <v>22</v>
      </c>
      <c r="N781" s="39" t="s">
        <v>342</v>
      </c>
      <c r="O781" s="20"/>
    </row>
    <row r="782" spans="1:21" s="12" customFormat="1" ht="36.75" customHeight="1">
      <c r="A782" s="15" t="s">
        <v>147</v>
      </c>
      <c r="B782" s="75" t="s">
        <v>326</v>
      </c>
      <c r="C782" s="44" t="s">
        <v>17</v>
      </c>
      <c r="D782" s="39"/>
      <c r="E782" s="39">
        <v>100</v>
      </c>
      <c r="F782" s="39"/>
      <c r="G782" s="39">
        <v>100</v>
      </c>
      <c r="H782" s="40">
        <f>SUM(Tabla1326[[#This Row],[PRIMER TRIMESTRE]:[CUARTO TRIMESTRE]])</f>
        <v>200</v>
      </c>
      <c r="I782" s="17">
        <v>2596</v>
      </c>
      <c r="J782" s="17">
        <f>+Tabla1326[[#This Row],[CANTIDAD TOTAL]]*Tabla1326[[#This Row],[PRECIO UNITARIO ESTIMADO]]</f>
        <v>519200</v>
      </c>
      <c r="K782" s="17"/>
      <c r="L782" s="16" t="s">
        <v>15</v>
      </c>
      <c r="M782" s="16" t="s">
        <v>22</v>
      </c>
      <c r="N782" s="44" t="s">
        <v>342</v>
      </c>
      <c r="O782" s="20"/>
    </row>
    <row r="783" spans="1:21" s="12" customFormat="1">
      <c r="A783" s="15" t="s">
        <v>147</v>
      </c>
      <c r="B783" s="75" t="s">
        <v>332</v>
      </c>
      <c r="C783" s="44" t="s">
        <v>17</v>
      </c>
      <c r="D783" s="39"/>
      <c r="E783" s="39">
        <v>40</v>
      </c>
      <c r="F783" s="39"/>
      <c r="G783" s="39">
        <v>40</v>
      </c>
      <c r="H783" s="40">
        <f>SUM(Tabla1326[[#This Row],[PRIMER TRIMESTRE]:[CUARTO TRIMESTRE]])</f>
        <v>80</v>
      </c>
      <c r="I783" s="17">
        <v>460.2</v>
      </c>
      <c r="J783" s="17">
        <f>+Tabla1326[[#This Row],[CANTIDAD TOTAL]]*Tabla1326[[#This Row],[PRECIO UNITARIO ESTIMADO]]</f>
        <v>36816</v>
      </c>
      <c r="K783" s="17"/>
      <c r="L783" s="16" t="s">
        <v>15</v>
      </c>
      <c r="M783" s="16" t="s">
        <v>22</v>
      </c>
      <c r="N783" s="44" t="s">
        <v>342</v>
      </c>
      <c r="O783" s="20"/>
    </row>
    <row r="784" spans="1:21" s="12" customFormat="1">
      <c r="A784" s="15" t="s">
        <v>147</v>
      </c>
      <c r="B784" s="75" t="s">
        <v>333</v>
      </c>
      <c r="C784" s="44" t="s">
        <v>17</v>
      </c>
      <c r="D784" s="39"/>
      <c r="E784" s="39">
        <v>400</v>
      </c>
      <c r="F784" s="39"/>
      <c r="G784" s="39">
        <v>400</v>
      </c>
      <c r="H784" s="40">
        <f>SUM(Tabla1326[[#This Row],[PRIMER TRIMESTRE]:[CUARTO TRIMESTRE]])</f>
        <v>800</v>
      </c>
      <c r="I784" s="17">
        <f>76995/450</f>
        <v>171.1</v>
      </c>
      <c r="J784" s="17">
        <f>+Tabla1326[[#This Row],[CANTIDAD TOTAL]]*Tabla1326[[#This Row],[PRECIO UNITARIO ESTIMADO]]</f>
        <v>136880</v>
      </c>
      <c r="K784" s="17"/>
      <c r="L784" s="16" t="s">
        <v>15</v>
      </c>
      <c r="M784" s="16" t="s">
        <v>22</v>
      </c>
      <c r="N784" s="44" t="s">
        <v>342</v>
      </c>
      <c r="O784" s="20"/>
    </row>
    <row r="785" spans="1:23" s="12" customFormat="1">
      <c r="A785" s="15" t="s">
        <v>147</v>
      </c>
      <c r="B785" s="75" t="s">
        <v>303</v>
      </c>
      <c r="C785" s="39" t="s">
        <v>149</v>
      </c>
      <c r="D785" s="39"/>
      <c r="E785" s="39">
        <v>7</v>
      </c>
      <c r="F785" s="39"/>
      <c r="G785" s="39">
        <v>7</v>
      </c>
      <c r="H785" s="40">
        <f>SUM(Tabla1326[[#This Row],[PRIMER TRIMESTRE]:[CUARTO TRIMESTRE]])</f>
        <v>14</v>
      </c>
      <c r="I785" s="17">
        <v>1856</v>
      </c>
      <c r="J785" s="17">
        <f>+Tabla1326[[#This Row],[CANTIDAD TOTAL]]*Tabla1326[[#This Row],[PRECIO UNITARIO ESTIMADO]]</f>
        <v>25984</v>
      </c>
      <c r="K785" s="17"/>
      <c r="L785" s="16" t="s">
        <v>15</v>
      </c>
      <c r="M785" s="16" t="s">
        <v>22</v>
      </c>
      <c r="N785" s="39" t="s">
        <v>342</v>
      </c>
      <c r="O785" s="20"/>
    </row>
    <row r="786" spans="1:23" s="12" customFormat="1">
      <c r="A786" s="15" t="s">
        <v>147</v>
      </c>
      <c r="B786" s="75" t="s">
        <v>568</v>
      </c>
      <c r="C786" s="39" t="s">
        <v>149</v>
      </c>
      <c r="D786" s="39"/>
      <c r="E786" s="39">
        <v>50</v>
      </c>
      <c r="F786" s="39"/>
      <c r="G786" s="39">
        <v>50</v>
      </c>
      <c r="H786" s="40">
        <f>SUM(Tabla1326[[#This Row],[PRIMER TRIMESTRE]:[CUARTO TRIMESTRE]])</f>
        <v>100</v>
      </c>
      <c r="I786" s="17">
        <v>488.31</v>
      </c>
      <c r="J786" s="17">
        <f>+Tabla1326[[#This Row],[CANTIDAD TOTAL]]*Tabla1326[[#This Row],[PRECIO UNITARIO ESTIMADO]]</f>
        <v>48831</v>
      </c>
      <c r="K786" s="17"/>
      <c r="L786" s="16" t="s">
        <v>15</v>
      </c>
      <c r="M786" s="16" t="s">
        <v>22</v>
      </c>
      <c r="N786" s="39" t="s">
        <v>342</v>
      </c>
      <c r="O786" s="20"/>
    </row>
    <row r="787" spans="1:23" s="12" customFormat="1">
      <c r="A787" s="15" t="s">
        <v>147</v>
      </c>
      <c r="B787" s="75" t="s">
        <v>569</v>
      </c>
      <c r="C787" s="39" t="s">
        <v>149</v>
      </c>
      <c r="D787" s="39"/>
      <c r="E787" s="39">
        <v>50</v>
      </c>
      <c r="F787" s="39"/>
      <c r="G787" s="39">
        <v>50</v>
      </c>
      <c r="H787" s="40">
        <f>SUM(Tabla1326[[#This Row],[PRIMER TRIMESTRE]:[CUARTO TRIMESTRE]])</f>
        <v>100</v>
      </c>
      <c r="I787" s="17">
        <v>550.4</v>
      </c>
      <c r="J787" s="17">
        <f>+H787*I787</f>
        <v>55040</v>
      </c>
      <c r="K787" s="17"/>
      <c r="L787" s="16" t="s">
        <v>15</v>
      </c>
      <c r="M787" s="16" t="s">
        <v>22</v>
      </c>
      <c r="N787" s="39" t="s">
        <v>342</v>
      </c>
      <c r="O787" s="18"/>
    </row>
    <row r="788" spans="1:23" s="26" customFormat="1" ht="27.75" customHeight="1">
      <c r="A788" s="22" t="s">
        <v>147</v>
      </c>
      <c r="B788" s="76"/>
      <c r="C788" s="42"/>
      <c r="D788" s="42"/>
      <c r="E788" s="42"/>
      <c r="F788" s="42"/>
      <c r="G788" s="42"/>
      <c r="H788" s="43"/>
      <c r="I788" s="24"/>
      <c r="J788" s="24"/>
      <c r="K788" s="25">
        <f>SUM(J781:J787)</f>
        <v>1184671</v>
      </c>
      <c r="L788" s="23"/>
      <c r="M788" s="23"/>
      <c r="N788" s="42"/>
      <c r="O788" s="24"/>
      <c r="R788" s="27"/>
      <c r="U788" s="23"/>
    </row>
    <row r="789" spans="1:23" s="12" customFormat="1">
      <c r="A789" s="15" t="s">
        <v>153</v>
      </c>
      <c r="B789" s="75" t="s">
        <v>304</v>
      </c>
      <c r="C789" s="39" t="s">
        <v>17</v>
      </c>
      <c r="D789" s="39"/>
      <c r="E789" s="39">
        <v>600</v>
      </c>
      <c r="F789" s="39"/>
      <c r="G789" s="39">
        <v>600</v>
      </c>
      <c r="H789" s="51">
        <f>SUM(Tabla1326[[#This Row],[PRIMER TRIMESTRE]:[CUARTO TRIMESTRE]])</f>
        <v>1200</v>
      </c>
      <c r="I789" s="17">
        <v>5.4</v>
      </c>
      <c r="J789" s="17">
        <f>+H789*I789</f>
        <v>6480</v>
      </c>
      <c r="K789" s="17"/>
      <c r="L789" s="16" t="s">
        <v>15</v>
      </c>
      <c r="M789" s="16" t="s">
        <v>22</v>
      </c>
      <c r="N789" s="39" t="s">
        <v>342</v>
      </c>
      <c r="O789" s="20"/>
    </row>
    <row r="790" spans="1:23" s="12" customFormat="1">
      <c r="A790" s="15" t="s">
        <v>153</v>
      </c>
      <c r="B790" s="75" t="s">
        <v>768</v>
      </c>
      <c r="C790" s="39" t="s">
        <v>17</v>
      </c>
      <c r="D790" s="39"/>
      <c r="E790" s="39">
        <v>1000</v>
      </c>
      <c r="F790" s="39"/>
      <c r="G790" s="39">
        <v>1000</v>
      </c>
      <c r="H790" s="51">
        <f>SUM(Tabla1326[[#This Row],[PRIMER TRIMESTRE]:[CUARTO TRIMESTRE]])</f>
        <v>2000</v>
      </c>
      <c r="I790" s="17">
        <v>48.75</v>
      </c>
      <c r="J790" s="17">
        <f>+H790*I790</f>
        <v>97500</v>
      </c>
      <c r="K790" s="17"/>
      <c r="L790" s="16" t="s">
        <v>15</v>
      </c>
      <c r="M790" s="16" t="s">
        <v>22</v>
      </c>
      <c r="N790" s="39" t="s">
        <v>342</v>
      </c>
      <c r="O790" s="18"/>
    </row>
    <row r="791" spans="1:23" s="26" customFormat="1" ht="27.75" customHeight="1">
      <c r="A791" s="22" t="s">
        <v>153</v>
      </c>
      <c r="B791" s="76"/>
      <c r="C791" s="42"/>
      <c r="D791" s="42"/>
      <c r="E791" s="42"/>
      <c r="F791" s="42"/>
      <c r="G791" s="42"/>
      <c r="H791" s="43"/>
      <c r="I791" s="24"/>
      <c r="J791" s="24"/>
      <c r="K791" s="25">
        <f>SUM(J789:J790)</f>
        <v>103980</v>
      </c>
      <c r="L791" s="23"/>
      <c r="M791" s="23"/>
      <c r="N791" s="42"/>
      <c r="O791" s="24"/>
      <c r="R791" s="27"/>
      <c r="U791" s="23"/>
    </row>
    <row r="792" spans="1:23" s="55" customFormat="1">
      <c r="A792" s="49" t="s">
        <v>573</v>
      </c>
      <c r="B792" s="81" t="s">
        <v>574</v>
      </c>
      <c r="C792" s="50" t="s">
        <v>17</v>
      </c>
      <c r="D792" s="50"/>
      <c r="E792" s="50">
        <v>2000</v>
      </c>
      <c r="F792" s="50"/>
      <c r="G792" s="50"/>
      <c r="H792" s="51">
        <f>SUM(Tabla1326[[#This Row],[PRIMER TRIMESTRE]:[CUARTO TRIMESTRE]])</f>
        <v>2000</v>
      </c>
      <c r="I792" s="52">
        <v>500</v>
      </c>
      <c r="J792" s="52">
        <f>+Tabla1326[[#This Row],[CANTIDAD TOTAL]]*Tabla1326[[#This Row],[PRECIO UNITARIO ESTIMADO]]</f>
        <v>1000000</v>
      </c>
      <c r="K792" s="50"/>
      <c r="L792" s="41" t="s">
        <v>27</v>
      </c>
      <c r="M792" s="41" t="s">
        <v>22</v>
      </c>
      <c r="N792" s="53"/>
      <c r="O792" s="53"/>
      <c r="P792" s="39"/>
      <c r="Q792" s="54"/>
      <c r="S792"/>
      <c r="T792" s="56"/>
      <c r="U792" s="56"/>
      <c r="V792" s="56"/>
      <c r="W792" s="56"/>
    </row>
    <row r="793" spans="1:23" s="55" customFormat="1">
      <c r="A793" s="49" t="s">
        <v>573</v>
      </c>
      <c r="B793" s="81" t="s">
        <v>575</v>
      </c>
      <c r="C793" s="50" t="s">
        <v>17</v>
      </c>
      <c r="D793" s="50"/>
      <c r="E793" s="50">
        <v>1000</v>
      </c>
      <c r="F793" s="50"/>
      <c r="G793" s="50"/>
      <c r="H793" s="51">
        <f>SUM(Tabla1326[[#This Row],[PRIMER TRIMESTRE]:[CUARTO TRIMESTRE]])</f>
        <v>1000</v>
      </c>
      <c r="I793" s="52">
        <v>1000</v>
      </c>
      <c r="J793" s="52">
        <f>+Tabla1326[[#This Row],[CANTIDAD TOTAL]]*Tabla1326[[#This Row],[PRECIO UNITARIO ESTIMADO]]</f>
        <v>1000000</v>
      </c>
      <c r="K793" s="50"/>
      <c r="L793" s="41" t="s">
        <v>27</v>
      </c>
      <c r="M793" s="41" t="s">
        <v>22</v>
      </c>
      <c r="N793" s="53"/>
      <c r="O793" s="53"/>
      <c r="P793" s="39"/>
      <c r="Q793" s="54"/>
      <c r="S793"/>
      <c r="T793" s="56"/>
      <c r="U793" s="56"/>
      <c r="V793" s="56"/>
      <c r="W793" s="56"/>
    </row>
    <row r="794" spans="1:23" s="55" customFormat="1">
      <c r="A794" s="49" t="s">
        <v>573</v>
      </c>
      <c r="B794" s="81" t="s">
        <v>576</v>
      </c>
      <c r="C794" s="50" t="s">
        <v>17</v>
      </c>
      <c r="D794" s="50"/>
      <c r="E794" s="50"/>
      <c r="F794" s="50"/>
      <c r="G794" s="50">
        <v>1500</v>
      </c>
      <c r="H794" s="51">
        <f>SUM(Tabla1326[[#This Row],[PRIMER TRIMESTRE]:[CUARTO TRIMESTRE]])</f>
        <v>1500</v>
      </c>
      <c r="I794" s="52">
        <v>2000</v>
      </c>
      <c r="J794" s="52">
        <f>+Tabla1326[[#This Row],[CANTIDAD TOTAL]]*Tabla1326[[#This Row],[PRECIO UNITARIO ESTIMADO]]</f>
        <v>3000000</v>
      </c>
      <c r="K794" s="50"/>
      <c r="L794" s="41" t="s">
        <v>27</v>
      </c>
      <c r="M794" s="41" t="s">
        <v>22</v>
      </c>
      <c r="N794" s="53"/>
      <c r="O794" s="53"/>
      <c r="P794" s="39"/>
      <c r="Q794" s="54"/>
      <c r="S794"/>
      <c r="T794" s="56"/>
      <c r="U794" s="56"/>
      <c r="V794" s="56"/>
      <c r="W794" s="56"/>
    </row>
    <row r="795" spans="1:23" s="64" customFormat="1">
      <c r="A795" s="57" t="s">
        <v>573</v>
      </c>
      <c r="B795" s="82"/>
      <c r="C795" s="58"/>
      <c r="D795" s="58"/>
      <c r="E795" s="58"/>
      <c r="F795" s="58"/>
      <c r="G795" s="58"/>
      <c r="H795" s="59"/>
      <c r="I795" s="57"/>
      <c r="J795" s="60"/>
      <c r="K795" s="25">
        <f>+SUM($J$792:$J$794)</f>
        <v>5000000</v>
      </c>
      <c r="L795" s="61"/>
      <c r="M795" s="61"/>
      <c r="N795" s="62"/>
      <c r="O795" s="62"/>
      <c r="P795" s="63"/>
      <c r="Q795" s="58"/>
      <c r="S795"/>
      <c r="T795" s="56"/>
      <c r="U795" s="56"/>
      <c r="V795" s="56"/>
      <c r="W795" s="56"/>
    </row>
    <row r="796" spans="1:23" s="12" customFormat="1">
      <c r="A796" s="15"/>
      <c r="B796" s="75"/>
      <c r="C796" s="39"/>
      <c r="D796" s="39"/>
      <c r="E796" s="39"/>
      <c r="F796" s="39"/>
      <c r="G796" s="39"/>
      <c r="H796" s="46"/>
      <c r="I796" s="17"/>
      <c r="J796" s="17"/>
      <c r="K796" s="17"/>
      <c r="L796" s="16"/>
      <c r="M796" s="16"/>
      <c r="N796" s="39"/>
      <c r="O796" s="20"/>
    </row>
    <row r="797" spans="1:23" s="34" customFormat="1" ht="24" thickBot="1">
      <c r="A797" s="33"/>
      <c r="B797" s="83" t="s">
        <v>908</v>
      </c>
      <c r="C797" s="47"/>
      <c r="D797" s="47"/>
      <c r="E797" s="47"/>
      <c r="F797" s="47"/>
      <c r="G797" s="47"/>
      <c r="H797" s="48"/>
      <c r="I797" s="35"/>
      <c r="J797" s="35"/>
      <c r="K797" s="74">
        <f>SUM(K11:K796)</f>
        <v>215481112.60940042</v>
      </c>
      <c r="N797" s="47"/>
      <c r="O797" s="36"/>
    </row>
  </sheetData>
  <mergeCells count="4">
    <mergeCell ref="A3:A5"/>
    <mergeCell ref="A6:N6"/>
    <mergeCell ref="A7:B7"/>
    <mergeCell ref="D9:G9"/>
  </mergeCells>
  <dataValidations xWindow="1010" yWindow="375" count="18">
    <dataValidation type="list" allowBlank="1" showInputMessage="1" showErrorMessage="1" promptTitle="PACC" prompt="Seleccione el Código de Bienes y Servicios._x000a_" sqref="A371:A377">
      <formula1>$S$14:$S$686</formula1>
    </dataValidation>
    <dataValidation type="list" allowBlank="1" showInputMessage="1" showErrorMessage="1" promptTitle="PACC" prompt="Seleccione el Código de Bienes y Servicios._x000a_" sqref="A792:A795">
      <formula1>$S$9:$S$316</formula1>
    </dataValidation>
    <dataValidation type="list" allowBlank="1" showInputMessage="1" showErrorMessage="1" promptTitle="PACC" prompt="Seleccione el Código de Bienes y Servicios._x000a_" sqref="A11:A28 A796:A797 A32:A360 A378:A791">
      <formula1>$R$14:$R$328</formula1>
    </dataValidation>
    <dataValidation type="list" allowBlank="1" showInputMessage="1" showErrorMessage="1" promptTitle="PACC" prompt="Seleccione el procedimiento de selección." sqref="L29 L31">
      <formula1>$W$14:$W$17</formula1>
    </dataValidation>
    <dataValidation type="list" allowBlank="1" showInputMessage="1" showErrorMessage="1" promptTitle="PACC" prompt="Seleccione el procedimiento de selección." sqref="M617 L378:L385 L11:L28 L796:L797 L30 L32:L360 L399:L791">
      <formula1>$U$14:$U$15</formula1>
    </dataValidation>
    <dataValidation type="list" allowBlank="1" showInputMessage="1" showErrorMessage="1" promptTitle="PACC" prompt="Seleccione el procedimiento de selección." sqref="K792:K795">
      <formula1>#REF!</formula1>
    </dataValidation>
    <dataValidation allowBlank="1" showInputMessage="1" showErrorMessage="1" promptTitle="PACC" prompt="Digite la unidad de medida._x000a__x000a_" sqref="D333:D336 C11:C332 C378:C797"/>
    <dataValidation allowBlank="1" showInputMessage="1" showErrorMessage="1" promptTitle="PACC" prompt="Digite las observaciones que considere." sqref="O29:O31 O792:O795 N796:N797 N11:N360 N378:N791 O361:O377"/>
    <dataValidation allowBlank="1" showInputMessage="1" showErrorMessage="1" promptTitle="PACC" prompt="Este valor se calculará sumando los costos totales que posean el mismo Código de Catálogo de Bienes y Servicios." sqref="K18:K20 J792:J794 K29:K31 K248:K252 K131:K145 K221:K222 K254:K263 K378 K279:K324 K182:K214 K386:K493 K796:K797 L386:L398 K326:K360 K565 K611:K769 L361:L377"/>
    <dataValidation allowBlank="1" showInputMessage="1" showErrorMessage="1" promptTitle="PACC" prompt="Digite la fuente de financiamiento del procedimiento de referencia." sqref="N792:N795 M796:M797 M11:M360 M378:M616 M618:M791 N361:N377"/>
    <dataValidation allowBlank="1" showInputMessage="1" showErrorMessage="1" promptTitle="PACC" prompt="Digite el precio unitario estimado._x000a_" sqref="I796:I797 I11:I360 I378:I791"/>
    <dataValidation allowBlank="1" showInputMessage="1" showErrorMessage="1" promptTitle="PACC" prompt="Este valor se calculará automáticamente, resultado de la multiplicación de la cantidad total por el precio unitario estimado." sqref="I795:J795 K21:K28 J248:J252 J131:J145 J215:K220 J279:J324 J221:J222 J253:K253 J254:J263 J325:K325 I792:I794 K16:K17 J11:K15 J16:J67 J264:K278 J379:K385 J386:J493 J223:K247 J770:K791 J182:J214 J796:J797 K32:K67 J68:K130 J146:K181 J494:K564 J566:K610 J565 J611:J769 J326:J378 K361:K377"/>
    <dataValidation allowBlank="1" showInputMessage="1" showErrorMessage="1" promptTitle="PACC" prompt="La cantidad total resultará de la suma de las cantidades requeridas en cada trimestre. " sqref="F279:F283 I375:I377 G182:G214 I361:I373 H11:H797"/>
    <dataValidation allowBlank="1" showInputMessage="1" showErrorMessage="1" promptTitle="PACC" prompt="Digite la cantidad requerida en este período._x000a_" sqref="E80:G84 E182:F214 G108 E168:E171 G168:G171 D16:G16 D14:G14 E426:G426 F486:F492 E427:E436 D479:F481 G387 E398:G399 E392:E397 E387 E388:G391 G442:G457 G392:G397 D486:D492 D477:D478 E458:G464 F482:F483 D482:D483 D484:F485 E442:E457 G465:G470 G580 G583 D581:G582 E437:G441 D572:E580 E173:E174 E108 D12:G12 D472:F476 E242 E109:G167 D497 F497 D382:G382 D504:F516 D517:D529 G527 F528:G537 E538:G538 D532:E537 F539:G540 D539:E541 G541:G542 E542:E547 E554 D548:E553 E559 D555:E558 F543:G564 G567 E568 D567:E567 F568:G570 F572:G579 E571:G571 D569:E570 F584:G584 E585:G588 D583:E584 E612 E771:G797 D773:D797 D613:E614 D616:E616 E615 E617:E640 G173:G174 E465:E470 E400:E425 G400:G425 D471:G471 G248:G253 E11:G11 E87:G87 E91:G96 E175:G181 E103:G107 D770:G770 E215:G220 G242 E243:G247 D221:G238 E239:G241 D248:D252 F248:F252 E333:F336 D253:F253 E254:G278 E379:G379 D378:G378 E381:G381 D380:G380 F477:F478 G427:G436 E383:G386 D498:F500 D493:G493 D494:F496 E517:E531 D501:G503 F517:G526 D560:E564 E565:G566 D610:E611 E590:G609 D589:G589 D641:E641 F610:G641 E642:G656 E658:G769 G97:G101 D102:G102 D97:E101 D294:D304 D305:E311 E279:E302 F284:F311 G279:G293 D312:F322 D329:F332 E323:G328 D337:F352 D361:F370 E353:G360 D371:F377"/>
    <dataValidation type="list" allowBlank="1" showInputMessage="1" showErrorMessage="1" promptTitle="PACC" prompt="Seleccione el Código de Bienes y Servicios._x000a_" sqref="A29:A31">
      <formula1>$T$14:$T$630</formula1>
    </dataValidation>
    <dataValidation type="list" allowBlank="1" showInputMessage="1" showErrorMessage="1" promptTitle="PACC" prompt="Seleccione el Código de Bienes y Servicios._x000a_" sqref="A361:A370">
      <formula1>$S$14:$S$660</formula1>
    </dataValidation>
    <dataValidation type="list" allowBlank="1" showInputMessage="1" showErrorMessage="1" promptTitle="PACC" prompt="Seleccione el procedimiento de selección." sqref="M361:M377">
      <formula1>$V$14:$V$15</formula1>
    </dataValidation>
    <dataValidation allowBlank="1" showInputMessage="1" showErrorMessage="1" promptTitle="PACC" prompt="Digite la descripción de la compra o contratación." sqref="B11:B797"/>
  </dataValidations>
  <printOptions horizontalCentered="1"/>
  <pageMargins left="0" right="0" top="0" bottom="0.43307086614173229" header="0.31496062992125984" footer="0.31496062992125984"/>
  <pageSetup paperSize="5" scale="53" orientation="landscape" r:id="rId1"/>
  <headerFooter>
    <oddFooter>&amp;C&amp;P/&amp;N</oddFooter>
  </headerFooter>
  <rowBreaks count="3" manualBreakCount="3">
    <brk id="68" max="13" man="1"/>
    <brk id="535" max="13" man="1"/>
    <brk id="561" max="13" man="1"/>
  </rowBreaks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797"/>
  <sheetViews>
    <sheetView view="pageBreakPreview" topLeftCell="A10" zoomScale="60" zoomScaleNormal="80" workbookViewId="0">
      <selection activeCell="K77" sqref="K77"/>
    </sheetView>
  </sheetViews>
  <sheetFormatPr baseColWidth="10" defaultColWidth="11.42578125" defaultRowHeight="18"/>
  <cols>
    <col min="1" max="1" width="38.42578125" style="104" customWidth="1"/>
    <col min="2" max="2" width="48.42578125" style="104" customWidth="1"/>
    <col min="3" max="3" width="13.28515625" style="37" customWidth="1"/>
    <col min="4" max="4" width="7.5703125" style="37" customWidth="1"/>
    <col min="5" max="5" width="7.85546875" style="37" customWidth="1"/>
    <col min="6" max="6" width="8.140625" style="37" customWidth="1"/>
    <col min="7" max="7" width="8.28515625" style="37" customWidth="1"/>
    <col min="8" max="8" width="15.7109375" style="37" bestFit="1" customWidth="1"/>
    <col min="9" max="9" width="19.7109375" style="104" customWidth="1"/>
    <col min="10" max="10" width="23.140625" style="104" customWidth="1"/>
    <col min="11" max="11" width="32.5703125" style="104" customWidth="1"/>
    <col min="12" max="12" width="30.28515625" style="104" customWidth="1"/>
    <col min="13" max="13" width="33.140625" style="104" customWidth="1"/>
    <col min="14" max="14" width="12.5703125" style="37" customWidth="1"/>
    <col min="15" max="15" width="18.85546875" style="104" customWidth="1"/>
    <col min="16" max="16" width="17.140625" style="104" customWidth="1"/>
    <col min="17" max="17" width="21.42578125" style="104" customWidth="1"/>
    <col min="18" max="18" width="64.5703125" style="104" hidden="1" customWidth="1"/>
    <col min="19" max="19" width="20.85546875" style="104" customWidth="1"/>
    <col min="20" max="20" width="0" style="104" hidden="1" customWidth="1"/>
    <col min="21" max="21" width="52.28515625" style="104" hidden="1" customWidth="1"/>
    <col min="22" max="22" width="17.7109375" style="104" customWidth="1"/>
    <col min="23" max="16384" width="11.42578125" style="104"/>
  </cols>
  <sheetData>
    <row r="1" spans="1:21" ht="18.75" thickBot="1"/>
    <row r="2" spans="1:21">
      <c r="A2" s="7" t="s">
        <v>0</v>
      </c>
      <c r="N2" s="8">
        <v>42035</v>
      </c>
    </row>
    <row r="3" spans="1:21">
      <c r="A3" s="554"/>
      <c r="N3" s="9"/>
    </row>
    <row r="4" spans="1:21" ht="20.25">
      <c r="A4" s="554"/>
      <c r="B4" s="10"/>
      <c r="C4" s="10"/>
      <c r="D4" s="10"/>
      <c r="E4" s="10"/>
      <c r="F4" s="10"/>
      <c r="G4" s="10"/>
      <c r="H4" s="10"/>
      <c r="I4" s="10"/>
      <c r="J4" s="10"/>
      <c r="K4" s="10"/>
      <c r="N4" s="11">
        <v>1</v>
      </c>
    </row>
    <row r="5" spans="1:21" ht="18.75" thickBot="1">
      <c r="A5" s="554"/>
      <c r="B5" s="12"/>
      <c r="C5" s="38"/>
      <c r="D5" s="38"/>
      <c r="E5" s="38"/>
      <c r="F5" s="38"/>
      <c r="G5" s="38"/>
      <c r="H5" s="38"/>
      <c r="I5" s="12"/>
      <c r="J5" s="12"/>
      <c r="K5" s="12"/>
      <c r="N5" s="13">
        <v>10</v>
      </c>
    </row>
    <row r="6" spans="1:21" ht="25.5" customHeight="1">
      <c r="A6" s="560" t="s">
        <v>1</v>
      </c>
      <c r="B6" s="560"/>
      <c r="C6" s="560"/>
      <c r="D6" s="560"/>
      <c r="E6" s="560"/>
      <c r="F6" s="560"/>
      <c r="G6" s="560"/>
      <c r="H6" s="560"/>
      <c r="I6" s="560"/>
      <c r="J6" s="560"/>
      <c r="K6" s="560"/>
      <c r="L6" s="560"/>
      <c r="M6" s="560"/>
      <c r="N6" s="560"/>
    </row>
    <row r="7" spans="1:21">
      <c r="A7" s="561" t="s">
        <v>459</v>
      </c>
      <c r="B7" s="561"/>
      <c r="C7" s="38"/>
      <c r="D7" s="38"/>
      <c r="E7" s="38"/>
      <c r="F7" s="38"/>
      <c r="G7" s="38"/>
      <c r="H7" s="38"/>
      <c r="I7" s="12"/>
      <c r="J7" s="12"/>
      <c r="K7" s="12"/>
    </row>
    <row r="8" spans="1:21" ht="18.75" thickBot="1"/>
    <row r="9" spans="1:21" ht="18.75" thickBot="1">
      <c r="C9" s="1"/>
      <c r="D9" s="557" t="s">
        <v>2</v>
      </c>
      <c r="E9" s="558"/>
      <c r="F9" s="558"/>
      <c r="G9" s="559"/>
      <c r="H9" s="1"/>
      <c r="I9" s="1"/>
      <c r="J9" s="1"/>
      <c r="K9" s="1"/>
    </row>
    <row r="10" spans="1:21" s="14" customFormat="1" ht="78">
      <c r="A10" s="2" t="s">
        <v>3</v>
      </c>
      <c r="B10" s="3" t="s">
        <v>4</v>
      </c>
      <c r="C10" s="3" t="s">
        <v>5</v>
      </c>
      <c r="D10" s="4" t="s">
        <v>6</v>
      </c>
      <c r="E10" s="4" t="s">
        <v>7</v>
      </c>
      <c r="F10" s="4" t="s">
        <v>8</v>
      </c>
      <c r="G10" s="4" t="s">
        <v>9</v>
      </c>
      <c r="H10" s="3" t="s">
        <v>10</v>
      </c>
      <c r="I10" s="3" t="s">
        <v>11</v>
      </c>
      <c r="J10" s="3" t="s">
        <v>12</v>
      </c>
      <c r="K10" s="3" t="s">
        <v>442</v>
      </c>
      <c r="L10" s="3" t="s">
        <v>13</v>
      </c>
      <c r="M10" s="3" t="s">
        <v>14</v>
      </c>
      <c r="N10" s="3" t="s">
        <v>305</v>
      </c>
      <c r="O10" s="6" t="s">
        <v>425</v>
      </c>
      <c r="P10" s="5"/>
      <c r="Q10" s="5"/>
      <c r="R10" s="5"/>
      <c r="S10" s="5"/>
    </row>
    <row r="11" spans="1:21" s="12" customFormat="1" ht="49.5" customHeight="1">
      <c r="A11" s="15" t="s">
        <v>16</v>
      </c>
      <c r="B11" s="75" t="s">
        <v>427</v>
      </c>
      <c r="C11" s="39" t="s">
        <v>17</v>
      </c>
      <c r="D11" s="39"/>
      <c r="E11" s="39">
        <v>750</v>
      </c>
      <c r="F11" s="39"/>
      <c r="G11" s="39">
        <v>750</v>
      </c>
      <c r="H11" s="41">
        <f>SUM(Tabla13267[[#This Row],[PRIMER TRIMESTRE]:[CUARTO TRIMESTRE]])</f>
        <v>1500</v>
      </c>
      <c r="I11" s="17">
        <v>4568.04</v>
      </c>
      <c r="J11" s="17">
        <f>+Tabla13267[[#This Row],[CANTIDAD TOTAL]]*Tabla13267[[#This Row],[PRECIO UNITARIO ESTIMADO]]</f>
        <v>6852060</v>
      </c>
      <c r="K11" s="21"/>
      <c r="L11" s="145" t="s">
        <v>27</v>
      </c>
      <c r="M11" s="16" t="s">
        <v>19</v>
      </c>
      <c r="N11" s="39"/>
      <c r="O11" s="20"/>
      <c r="R11" s="19"/>
      <c r="U11" s="16"/>
    </row>
    <row r="12" spans="1:21" s="12" customFormat="1" ht="35.25" customHeight="1">
      <c r="A12" s="15" t="s">
        <v>16</v>
      </c>
      <c r="B12" s="75" t="s">
        <v>426</v>
      </c>
      <c r="C12" s="39" t="s">
        <v>17</v>
      </c>
      <c r="D12" s="39"/>
      <c r="E12" s="39"/>
      <c r="F12" s="39">
        <v>570</v>
      </c>
      <c r="G12" s="39"/>
      <c r="H12" s="41">
        <f>SUM(Tabla13267[[#This Row],[PRIMER TRIMESTRE]:[CUARTO TRIMESTRE]])</f>
        <v>570</v>
      </c>
      <c r="I12" s="17">
        <v>33696</v>
      </c>
      <c r="J12" s="17">
        <f>+Tabla13267[[#This Row],[CANTIDAD TOTAL]]*Tabla13267[[#This Row],[PRECIO UNITARIO ESTIMADO]]</f>
        <v>19206720</v>
      </c>
      <c r="K12" s="17"/>
      <c r="L12" s="16" t="s">
        <v>18</v>
      </c>
      <c r="M12" s="16" t="s">
        <v>19</v>
      </c>
      <c r="N12" s="39"/>
      <c r="O12" s="20"/>
      <c r="R12" s="19" t="s">
        <v>20</v>
      </c>
      <c r="U12" s="16" t="s">
        <v>21</v>
      </c>
    </row>
    <row r="13" spans="1:21" s="12" customFormat="1" ht="30.75" customHeight="1">
      <c r="A13" s="15" t="s">
        <v>16</v>
      </c>
      <c r="B13" s="75" t="s">
        <v>24</v>
      </c>
      <c r="C13" s="39" t="s">
        <v>25</v>
      </c>
      <c r="D13" s="39"/>
      <c r="E13" s="39">
        <v>3000</v>
      </c>
      <c r="F13" s="39"/>
      <c r="G13" s="39"/>
      <c r="H13" s="41">
        <f>SUM(Tabla13267[[#This Row],[PRIMER TRIMESTRE]:[CUARTO TRIMESTRE]])</f>
        <v>3000</v>
      </c>
      <c r="I13" s="17">
        <v>3628</v>
      </c>
      <c r="J13" s="17">
        <f>+Tabla13267[[#This Row],[CANTIDAD TOTAL]]*Tabla13267[[#This Row],[PRECIO UNITARIO ESTIMADO]]</f>
        <v>10884000</v>
      </c>
      <c r="K13" s="17"/>
      <c r="L13" s="16" t="s">
        <v>18</v>
      </c>
      <c r="M13" s="16" t="s">
        <v>19</v>
      </c>
      <c r="N13" s="39"/>
      <c r="O13" s="20"/>
      <c r="R13" s="12" t="s">
        <v>26</v>
      </c>
      <c r="U13" s="12" t="s">
        <v>27</v>
      </c>
    </row>
    <row r="14" spans="1:21" s="12" customFormat="1" ht="29.25" customHeight="1">
      <c r="A14" s="15" t="s">
        <v>16</v>
      </c>
      <c r="B14" s="75" t="s">
        <v>769</v>
      </c>
      <c r="C14" s="39" t="s">
        <v>23</v>
      </c>
      <c r="D14" s="39">
        <f>24/4</f>
        <v>6</v>
      </c>
      <c r="E14" s="39">
        <v>6</v>
      </c>
      <c r="F14" s="39">
        <v>6</v>
      </c>
      <c r="G14" s="39">
        <v>6</v>
      </c>
      <c r="H14" s="41">
        <f>SUM(Tabla13267[[#This Row],[PRIMER TRIMESTRE]:[CUARTO TRIMESTRE]])</f>
        <v>24</v>
      </c>
      <c r="I14" s="17">
        <v>28440</v>
      </c>
      <c r="J14" s="17">
        <f>+Tabla13267[[#This Row],[CANTIDAD TOTAL]]*Tabla13267[[#This Row],[PRECIO UNITARIO ESTIMADO]]</f>
        <v>682560</v>
      </c>
      <c r="K14" s="17"/>
      <c r="L14" s="16" t="s">
        <v>15</v>
      </c>
      <c r="M14" s="16" t="s">
        <v>19</v>
      </c>
      <c r="N14" s="39" t="s">
        <v>342</v>
      </c>
      <c r="O14" s="18"/>
      <c r="R14" s="19" t="s">
        <v>28</v>
      </c>
      <c r="U14" s="16" t="s">
        <v>15</v>
      </c>
    </row>
    <row r="15" spans="1:21" s="12" customFormat="1" ht="33" customHeight="1">
      <c r="A15" s="15" t="s">
        <v>16</v>
      </c>
      <c r="B15" s="75" t="s">
        <v>29</v>
      </c>
      <c r="C15" s="39" t="s">
        <v>30</v>
      </c>
      <c r="D15" s="39"/>
      <c r="E15" s="39">
        <v>24000</v>
      </c>
      <c r="F15" s="39"/>
      <c r="G15" s="39">
        <v>24000</v>
      </c>
      <c r="H15" s="41">
        <f>SUM(Tabla13267[[#This Row],[PRIMER TRIMESTRE]:[CUARTO TRIMESTRE]])</f>
        <v>48000</v>
      </c>
      <c r="I15" s="17">
        <v>862.27</v>
      </c>
      <c r="J15" s="17">
        <f>+Tabla13267[[#This Row],[CANTIDAD TOTAL]]*Tabla13267[[#This Row],[PRECIO UNITARIO ESTIMADO]]</f>
        <v>41388960</v>
      </c>
      <c r="K15" s="17"/>
      <c r="L15" s="16" t="s">
        <v>18</v>
      </c>
      <c r="M15" s="16" t="s">
        <v>19</v>
      </c>
      <c r="N15" s="39"/>
      <c r="O15" s="20"/>
      <c r="R15" s="19" t="s">
        <v>31</v>
      </c>
      <c r="U15" s="16" t="s">
        <v>32</v>
      </c>
    </row>
    <row r="16" spans="1:21" s="26" customFormat="1" ht="29.25" customHeight="1">
      <c r="A16" s="22" t="s">
        <v>16</v>
      </c>
      <c r="B16" s="76" t="s">
        <v>443</v>
      </c>
      <c r="C16" s="42"/>
      <c r="D16" s="42"/>
      <c r="E16" s="42"/>
      <c r="F16" s="42"/>
      <c r="G16" s="42"/>
      <c r="H16" s="43"/>
      <c r="I16" s="24"/>
      <c r="J16" s="24"/>
      <c r="K16" s="25">
        <f>SUM(J14:J15)</f>
        <v>42071520</v>
      </c>
      <c r="L16" s="23"/>
      <c r="M16" s="23"/>
      <c r="N16" s="42"/>
      <c r="O16" s="24"/>
      <c r="R16" s="27"/>
      <c r="U16" s="23"/>
    </row>
    <row r="17" spans="1:23" s="111" customFormat="1" ht="35.25" customHeight="1">
      <c r="A17" s="105" t="s">
        <v>34</v>
      </c>
      <c r="B17" s="106" t="s">
        <v>717</v>
      </c>
      <c r="C17" s="107" t="s">
        <v>35</v>
      </c>
      <c r="D17" s="107">
        <v>6</v>
      </c>
      <c r="E17" s="107"/>
      <c r="F17" s="107">
        <v>6</v>
      </c>
      <c r="G17" s="107"/>
      <c r="H17" s="108">
        <f>SUM(Tabla13267[[#This Row],[PRIMER TRIMESTRE]:[CUARTO TRIMESTRE]])</f>
        <v>12</v>
      </c>
      <c r="I17" s="109">
        <v>31896.55</v>
      </c>
      <c r="J17" s="109">
        <f>+Tabla13267[[#This Row],[CANTIDAD TOTAL]]*Tabla13267[[#This Row],[PRECIO UNITARIO ESTIMADO]]</f>
        <v>382758.6</v>
      </c>
      <c r="K17" s="109"/>
      <c r="L17" s="110" t="s">
        <v>15</v>
      </c>
      <c r="M17" s="110" t="s">
        <v>22</v>
      </c>
      <c r="N17" s="107" t="s">
        <v>418</v>
      </c>
      <c r="O17" s="110"/>
      <c r="R17" s="112" t="s">
        <v>37</v>
      </c>
      <c r="U17" s="110"/>
    </row>
    <row r="18" spans="1:23" s="111" customFormat="1" ht="33.75" customHeight="1">
      <c r="A18" s="105" t="s">
        <v>34</v>
      </c>
      <c r="B18" s="106" t="s">
        <v>714</v>
      </c>
      <c r="C18" s="107" t="s">
        <v>35</v>
      </c>
      <c r="D18" s="107">
        <v>6</v>
      </c>
      <c r="E18" s="107"/>
      <c r="F18" s="107">
        <v>6</v>
      </c>
      <c r="G18" s="107"/>
      <c r="H18" s="108">
        <f>SUM(Tabla13267[[#This Row],[PRIMER TRIMESTRE]:[CUARTO TRIMESTRE]])</f>
        <v>12</v>
      </c>
      <c r="I18" s="109">
        <v>28017.24</v>
      </c>
      <c r="J18" s="109">
        <f>+H18*I18</f>
        <v>336206.88</v>
      </c>
      <c r="K18" s="127"/>
      <c r="L18" s="110" t="s">
        <v>15</v>
      </c>
      <c r="M18" s="110" t="s">
        <v>22</v>
      </c>
      <c r="N18" s="107" t="s">
        <v>418</v>
      </c>
      <c r="O18" s="110"/>
      <c r="R18" s="112" t="s">
        <v>36</v>
      </c>
      <c r="U18" s="110"/>
    </row>
    <row r="19" spans="1:23" s="111" customFormat="1" ht="33.75" customHeight="1">
      <c r="A19" s="105" t="s">
        <v>34</v>
      </c>
      <c r="B19" s="106" t="s">
        <v>715</v>
      </c>
      <c r="C19" s="107" t="s">
        <v>35</v>
      </c>
      <c r="D19" s="107">
        <v>3</v>
      </c>
      <c r="E19" s="107"/>
      <c r="F19" s="107">
        <v>3</v>
      </c>
      <c r="G19" s="107"/>
      <c r="H19" s="108">
        <f>SUM(Tabla13267[[#This Row],[PRIMER TRIMESTRE]:[CUARTO TRIMESTRE]])</f>
        <v>6</v>
      </c>
      <c r="I19" s="109">
        <v>23612</v>
      </c>
      <c r="J19" s="109">
        <f>+H19*I19</f>
        <v>141672</v>
      </c>
      <c r="K19" s="109"/>
      <c r="L19" s="110" t="s">
        <v>15</v>
      </c>
      <c r="M19" s="110" t="s">
        <v>22</v>
      </c>
      <c r="N19" s="107" t="s">
        <v>418</v>
      </c>
      <c r="O19" s="109"/>
      <c r="R19" s="112"/>
      <c r="U19" s="110"/>
    </row>
    <row r="20" spans="1:23" s="111" customFormat="1" ht="33.75" customHeight="1">
      <c r="A20" s="105" t="s">
        <v>34</v>
      </c>
      <c r="B20" s="106" t="s">
        <v>716</v>
      </c>
      <c r="C20" s="107" t="s">
        <v>35</v>
      </c>
      <c r="D20" s="107">
        <v>5</v>
      </c>
      <c r="E20" s="107"/>
      <c r="F20" s="107">
        <v>5</v>
      </c>
      <c r="G20" s="107"/>
      <c r="H20" s="108">
        <f>SUM(Tabla13267[[#This Row],[PRIMER TRIMESTRE]:[CUARTO TRIMESTRE]])</f>
        <v>10</v>
      </c>
      <c r="I20" s="109">
        <v>23112.13</v>
      </c>
      <c r="J20" s="109">
        <f>+H20*I20</f>
        <v>231121.30000000002</v>
      </c>
      <c r="K20" s="109"/>
      <c r="L20" s="110" t="s">
        <v>15</v>
      </c>
      <c r="M20" s="110" t="s">
        <v>22</v>
      </c>
      <c r="N20" s="107" t="s">
        <v>418</v>
      </c>
      <c r="O20" s="109"/>
      <c r="R20" s="112"/>
      <c r="U20" s="110"/>
    </row>
    <row r="21" spans="1:23" s="111" customFormat="1" ht="31.5">
      <c r="A21" s="105" t="s">
        <v>34</v>
      </c>
      <c r="B21" s="106" t="s">
        <v>787</v>
      </c>
      <c r="C21" s="107" t="s">
        <v>35</v>
      </c>
      <c r="D21" s="107">
        <v>1</v>
      </c>
      <c r="E21" s="107"/>
      <c r="F21" s="107"/>
      <c r="G21" s="107"/>
      <c r="H21" s="108">
        <f>SUM(Tabla13267[[#This Row],[PRIMER TRIMESTRE]:[CUARTO TRIMESTRE]])</f>
        <v>1</v>
      </c>
      <c r="I21" s="109">
        <v>24630.67</v>
      </c>
      <c r="J21" s="109">
        <f>+Tabla13267[[#This Row],[CANTIDAD TOTAL]]*Tabla13267[[#This Row],[PRECIO UNITARIO ESTIMADO]]</f>
        <v>24630.67</v>
      </c>
      <c r="K21" s="109"/>
      <c r="L21" s="110" t="s">
        <v>15</v>
      </c>
      <c r="M21" s="110" t="s">
        <v>22</v>
      </c>
      <c r="N21" s="107" t="s">
        <v>418</v>
      </c>
      <c r="O21" s="110"/>
      <c r="R21" s="112" t="s">
        <v>38</v>
      </c>
      <c r="U21" s="110"/>
    </row>
    <row r="22" spans="1:23" s="111" customFormat="1" ht="31.5">
      <c r="A22" s="105" t="s">
        <v>34</v>
      </c>
      <c r="B22" s="106" t="s">
        <v>786</v>
      </c>
      <c r="C22" s="107" t="s">
        <v>35</v>
      </c>
      <c r="D22" s="107">
        <v>1</v>
      </c>
      <c r="E22" s="107"/>
      <c r="F22" s="107"/>
      <c r="G22" s="107"/>
      <c r="H22" s="108">
        <f>SUM(Tabla13267[[#This Row],[PRIMER TRIMESTRE]:[CUARTO TRIMESTRE]])</f>
        <v>1</v>
      </c>
      <c r="I22" s="109">
        <f>+I21*1.05</f>
        <v>25862.2035</v>
      </c>
      <c r="J22" s="109">
        <f>+H22*I22</f>
        <v>25862.2035</v>
      </c>
      <c r="K22" s="109"/>
      <c r="L22" s="110" t="s">
        <v>15</v>
      </c>
      <c r="M22" s="110" t="s">
        <v>22</v>
      </c>
      <c r="N22" s="107" t="s">
        <v>418</v>
      </c>
      <c r="O22" s="109"/>
      <c r="R22" s="112"/>
      <c r="U22" s="110"/>
    </row>
    <row r="23" spans="1:23" s="111" customFormat="1" ht="31.5">
      <c r="A23" s="105" t="s">
        <v>34</v>
      </c>
      <c r="B23" s="106" t="s">
        <v>720</v>
      </c>
      <c r="C23" s="107" t="s">
        <v>721</v>
      </c>
      <c r="D23" s="107">
        <v>7</v>
      </c>
      <c r="E23" s="107"/>
      <c r="F23" s="107">
        <v>7</v>
      </c>
      <c r="G23" s="107"/>
      <c r="H23" s="108">
        <f>SUM(Tabla13267[[#This Row],[PRIMER TRIMESTRE]:[CUARTO TRIMESTRE]])</f>
        <v>14</v>
      </c>
      <c r="I23" s="109">
        <v>3700</v>
      </c>
      <c r="J23" s="109">
        <f>+Tabla13267[[#This Row],[CANTIDAD TOTAL]]*Tabla13267[[#This Row],[PRECIO UNITARIO ESTIMADO]]</f>
        <v>51800</v>
      </c>
      <c r="K23" s="109"/>
      <c r="L23" s="110" t="s">
        <v>15</v>
      </c>
      <c r="M23" s="110" t="s">
        <v>22</v>
      </c>
      <c r="N23" s="107" t="s">
        <v>418</v>
      </c>
      <c r="O23" s="110"/>
      <c r="R23" s="112" t="s">
        <v>39</v>
      </c>
      <c r="U23" s="110"/>
    </row>
    <row r="24" spans="1:23" s="111" customFormat="1" ht="31.5">
      <c r="A24" s="105" t="s">
        <v>34</v>
      </c>
      <c r="B24" s="106" t="s">
        <v>719</v>
      </c>
      <c r="C24" s="107" t="s">
        <v>718</v>
      </c>
      <c r="D24" s="107">
        <v>5</v>
      </c>
      <c r="E24" s="107"/>
      <c r="F24" s="107">
        <v>5</v>
      </c>
      <c r="G24" s="107"/>
      <c r="H24" s="108">
        <f>SUM(Tabla13267[[#This Row],[PRIMER TRIMESTRE]:[CUARTO TRIMESTRE]])</f>
        <v>10</v>
      </c>
      <c r="I24" s="109">
        <v>800</v>
      </c>
      <c r="J24" s="109">
        <f>+Tabla13267[[#This Row],[CANTIDAD TOTAL]]*Tabla13267[[#This Row],[PRECIO UNITARIO ESTIMADO]]</f>
        <v>8000</v>
      </c>
      <c r="K24" s="109"/>
      <c r="L24" s="110" t="s">
        <v>15</v>
      </c>
      <c r="M24" s="110" t="s">
        <v>22</v>
      </c>
      <c r="N24" s="107" t="s">
        <v>418</v>
      </c>
      <c r="O24" s="110"/>
      <c r="R24" s="112" t="s">
        <v>40</v>
      </c>
      <c r="U24" s="110"/>
    </row>
    <row r="25" spans="1:23" s="26" customFormat="1" ht="44.25" customHeight="1">
      <c r="A25" s="22" t="s">
        <v>34</v>
      </c>
      <c r="B25" s="76" t="s">
        <v>444</v>
      </c>
      <c r="C25" s="42"/>
      <c r="D25" s="42"/>
      <c r="E25" s="42"/>
      <c r="F25" s="42"/>
      <c r="G25" s="42"/>
      <c r="H25" s="43"/>
      <c r="I25" s="24"/>
      <c r="J25" s="24"/>
      <c r="K25" s="25">
        <f>SUBTOTAL(109,J17:J24)</f>
        <v>1202051.6535</v>
      </c>
      <c r="L25" s="23"/>
      <c r="M25" s="23"/>
      <c r="N25" s="42"/>
      <c r="O25" s="24"/>
      <c r="R25" s="27"/>
      <c r="U25" s="23"/>
    </row>
    <row r="26" spans="1:23" s="12" customFormat="1" ht="31.5">
      <c r="A26" s="15" t="s">
        <v>41</v>
      </c>
      <c r="B26" s="75" t="s">
        <v>42</v>
      </c>
      <c r="C26" s="39" t="s">
        <v>17</v>
      </c>
      <c r="D26" s="39"/>
      <c r="E26" s="39"/>
      <c r="F26" s="39">
        <v>1</v>
      </c>
      <c r="G26" s="39"/>
      <c r="H26" s="40">
        <f>SUM(Tabla13267[[#This Row],[PRIMER TRIMESTRE]:[CUARTO TRIMESTRE]])</f>
        <v>1</v>
      </c>
      <c r="I26" s="17">
        <v>26999</v>
      </c>
      <c r="J26" s="17">
        <f>+Tabla13267[[#This Row],[CANTIDAD TOTAL]]*Tabla13267[[#This Row],[PRECIO UNITARIO ESTIMADO]]</f>
        <v>26999</v>
      </c>
      <c r="K26" s="17"/>
      <c r="L26" s="16" t="s">
        <v>15</v>
      </c>
      <c r="M26" s="16" t="s">
        <v>22</v>
      </c>
      <c r="N26" s="39" t="s">
        <v>418</v>
      </c>
      <c r="O26" s="20"/>
      <c r="R26" s="19" t="s">
        <v>43</v>
      </c>
      <c r="U26" s="16"/>
    </row>
    <row r="27" spans="1:23" s="12" customFormat="1" ht="31.5">
      <c r="A27" s="15" t="s">
        <v>41</v>
      </c>
      <c r="B27" s="75" t="s">
        <v>44</v>
      </c>
      <c r="C27" s="39" t="s">
        <v>17</v>
      </c>
      <c r="D27" s="39"/>
      <c r="E27" s="39"/>
      <c r="F27" s="39">
        <v>2</v>
      </c>
      <c r="G27" s="39"/>
      <c r="H27" s="40">
        <f>SUM(Tabla13267[[#This Row],[PRIMER TRIMESTRE]:[CUARTO TRIMESTRE]])</f>
        <v>2</v>
      </c>
      <c r="I27" s="17">
        <v>90854.41</v>
      </c>
      <c r="J27" s="17">
        <f>+Tabla13267[[#This Row],[CANTIDAD TOTAL]]*Tabla13267[[#This Row],[PRECIO UNITARIO ESTIMADO]]</f>
        <v>181708.82</v>
      </c>
      <c r="K27" s="17"/>
      <c r="L27" s="16" t="s">
        <v>15</v>
      </c>
      <c r="M27" s="16" t="s">
        <v>22</v>
      </c>
      <c r="N27" s="39" t="s">
        <v>418</v>
      </c>
      <c r="O27" s="20"/>
      <c r="R27" s="19" t="s">
        <v>45</v>
      </c>
      <c r="U27" s="16"/>
    </row>
    <row r="28" spans="1:23" s="26" customFormat="1" ht="49.5" customHeight="1">
      <c r="A28" s="22" t="s">
        <v>41</v>
      </c>
      <c r="B28" s="76"/>
      <c r="C28" s="42"/>
      <c r="D28" s="42"/>
      <c r="E28" s="42"/>
      <c r="F28" s="42"/>
      <c r="G28" s="42"/>
      <c r="H28" s="43"/>
      <c r="I28" s="24"/>
      <c r="J28" s="24"/>
      <c r="K28" s="25">
        <f>SUBTOTAL(109,J26:J27)</f>
        <v>208707.82</v>
      </c>
      <c r="L28" s="23"/>
      <c r="M28" s="23"/>
      <c r="N28" s="42"/>
      <c r="O28" s="24"/>
      <c r="R28" s="27"/>
      <c r="U28" s="23"/>
    </row>
    <row r="29" spans="1:23" s="12" customFormat="1" ht="34.5" customHeight="1">
      <c r="A29" s="15" t="s">
        <v>46</v>
      </c>
      <c r="B29" s="75" t="s">
        <v>445</v>
      </c>
      <c r="C29" s="39" t="s">
        <v>17</v>
      </c>
      <c r="D29" s="39"/>
      <c r="E29" s="39">
        <v>2</v>
      </c>
      <c r="F29" s="39"/>
      <c r="G29" s="39"/>
      <c r="H29" s="40">
        <f>SUM(Tabla13267[[#This Row],[PRIMER TRIMESTRE]:[CUARTO TRIMESTRE]])</f>
        <v>2</v>
      </c>
      <c r="I29" s="17">
        <v>1136476.48</v>
      </c>
      <c r="J29" s="17">
        <f>+H29*I29</f>
        <v>2272952.96</v>
      </c>
      <c r="K29" s="17"/>
      <c r="L29" s="16" t="s">
        <v>18</v>
      </c>
      <c r="M29" s="16" t="s">
        <v>22</v>
      </c>
      <c r="N29" s="39"/>
      <c r="O29" s="16"/>
      <c r="T29" s="19" t="s">
        <v>446</v>
      </c>
      <c r="W29" s="16"/>
    </row>
    <row r="30" spans="1:23" s="111" customFormat="1" ht="34.5" customHeight="1">
      <c r="A30" s="105" t="s">
        <v>46</v>
      </c>
      <c r="B30" s="106" t="s">
        <v>778</v>
      </c>
      <c r="C30" s="107" t="s">
        <v>17</v>
      </c>
      <c r="D30" s="107">
        <v>1</v>
      </c>
      <c r="E30" s="107"/>
      <c r="F30" s="107"/>
      <c r="G30" s="107"/>
      <c r="H30" s="108">
        <f>SUM(Tabla13267[[#This Row],[PRIMER TRIMESTRE]:[CUARTO TRIMESTRE]])</f>
        <v>1</v>
      </c>
      <c r="I30" s="109">
        <v>1800000</v>
      </c>
      <c r="J30" s="109">
        <f>+H30*I30</f>
        <v>1800000</v>
      </c>
      <c r="K30" s="109"/>
      <c r="L30" s="110" t="s">
        <v>27</v>
      </c>
      <c r="M30" s="110" t="s">
        <v>22</v>
      </c>
      <c r="N30" s="107"/>
      <c r="O30" s="109"/>
      <c r="T30" s="112"/>
      <c r="W30" s="110"/>
    </row>
    <row r="31" spans="1:23" s="12" customFormat="1" ht="34.5" customHeight="1">
      <c r="A31" s="15" t="s">
        <v>46</v>
      </c>
      <c r="B31" s="75" t="s">
        <v>447</v>
      </c>
      <c r="C31" s="39" t="s">
        <v>17</v>
      </c>
      <c r="D31" s="39"/>
      <c r="E31" s="39">
        <v>2</v>
      </c>
      <c r="F31" s="39"/>
      <c r="G31" s="39"/>
      <c r="H31" s="40">
        <f>SUM(Tabla13267[[#This Row],[PRIMER TRIMESTRE]:[CUARTO TRIMESTRE]])</f>
        <v>2</v>
      </c>
      <c r="I31" s="17">
        <v>440000</v>
      </c>
      <c r="J31" s="17">
        <f>+H31*I31</f>
        <v>880000</v>
      </c>
      <c r="K31" s="17"/>
      <c r="L31" s="16" t="s">
        <v>18</v>
      </c>
      <c r="M31" s="16" t="s">
        <v>22</v>
      </c>
      <c r="N31" s="39"/>
      <c r="O31" s="16"/>
      <c r="T31" s="19" t="s">
        <v>448</v>
      </c>
      <c r="W31" s="16"/>
    </row>
    <row r="32" spans="1:23" s="12" customFormat="1">
      <c r="A32" s="15" t="s">
        <v>46</v>
      </c>
      <c r="B32" s="75" t="s">
        <v>47</v>
      </c>
      <c r="C32" s="39" t="s">
        <v>17</v>
      </c>
      <c r="D32" s="39"/>
      <c r="E32" s="39">
        <v>10</v>
      </c>
      <c r="F32" s="39"/>
      <c r="G32" s="39">
        <v>10</v>
      </c>
      <c r="H32" s="40">
        <f>SUM(Tabla13267[[#This Row],[PRIMER TRIMESTRE]:[CUARTO TRIMESTRE]])</f>
        <v>20</v>
      </c>
      <c r="I32" s="17">
        <v>3103.38</v>
      </c>
      <c r="J32" s="17">
        <f>+Tabla13267[[#This Row],[CANTIDAD TOTAL]]*Tabla13267[[#This Row],[PRECIO UNITARIO ESTIMADO]]</f>
        <v>62067.600000000006</v>
      </c>
      <c r="K32" s="17"/>
      <c r="L32" s="16" t="s">
        <v>27</v>
      </c>
      <c r="M32" s="16" t="s">
        <v>22</v>
      </c>
      <c r="N32" s="39" t="s">
        <v>418</v>
      </c>
      <c r="O32" s="20"/>
      <c r="R32" s="19" t="s">
        <v>48</v>
      </c>
      <c r="U32" s="16"/>
    </row>
    <row r="33" spans="1:21" s="12" customFormat="1">
      <c r="A33" s="15" t="s">
        <v>46</v>
      </c>
      <c r="B33" s="75" t="s">
        <v>49</v>
      </c>
      <c r="C33" s="39" t="s">
        <v>17</v>
      </c>
      <c r="D33" s="39"/>
      <c r="E33" s="39">
        <v>1</v>
      </c>
      <c r="F33" s="39"/>
      <c r="G33" s="39"/>
      <c r="H33" s="40">
        <f>SUM(Tabla13267[[#This Row],[PRIMER TRIMESTRE]:[CUARTO TRIMESTRE]])</f>
        <v>1</v>
      </c>
      <c r="I33" s="17">
        <v>59999.99</v>
      </c>
      <c r="J33" s="17">
        <f>+Tabla13267[[#This Row],[CANTIDAD TOTAL]]*Tabla13267[[#This Row],[PRECIO UNITARIO ESTIMADO]]</f>
        <v>59999.99</v>
      </c>
      <c r="K33" s="17"/>
      <c r="L33" s="16" t="s">
        <v>27</v>
      </c>
      <c r="M33" s="16" t="s">
        <v>22</v>
      </c>
      <c r="N33" s="39" t="s">
        <v>418</v>
      </c>
      <c r="O33" s="20"/>
      <c r="R33" s="19" t="s">
        <v>50</v>
      </c>
      <c r="U33" s="16"/>
    </row>
    <row r="34" spans="1:21" s="12" customFormat="1">
      <c r="A34" s="15" t="s">
        <v>46</v>
      </c>
      <c r="B34" s="75" t="s">
        <v>51</v>
      </c>
      <c r="C34" s="39" t="s">
        <v>17</v>
      </c>
      <c r="D34" s="39"/>
      <c r="E34" s="39">
        <v>2</v>
      </c>
      <c r="F34" s="39"/>
      <c r="G34" s="39"/>
      <c r="H34" s="40">
        <f>SUM(Tabla13267[[#This Row],[PRIMER TRIMESTRE]:[CUARTO TRIMESTRE]])</f>
        <v>2</v>
      </c>
      <c r="I34" s="17">
        <v>7733.6</v>
      </c>
      <c r="J34" s="17">
        <f>+Tabla13267[[#This Row],[CANTIDAD TOTAL]]*Tabla13267[[#This Row],[PRECIO UNITARIO ESTIMADO]]</f>
        <v>15467.2</v>
      </c>
      <c r="K34" s="17"/>
      <c r="L34" s="16" t="s">
        <v>27</v>
      </c>
      <c r="M34" s="16" t="s">
        <v>22</v>
      </c>
      <c r="N34" s="39" t="s">
        <v>418</v>
      </c>
      <c r="O34" s="20"/>
      <c r="R34" s="19" t="s">
        <v>52</v>
      </c>
      <c r="U34" s="16"/>
    </row>
    <row r="35" spans="1:21" s="12" customFormat="1">
      <c r="A35" s="15" t="s">
        <v>46</v>
      </c>
      <c r="B35" s="75" t="s">
        <v>55</v>
      </c>
      <c r="C35" s="39" t="s">
        <v>17</v>
      </c>
      <c r="D35" s="39"/>
      <c r="E35" s="39">
        <v>2</v>
      </c>
      <c r="F35" s="39"/>
      <c r="G35" s="39"/>
      <c r="H35" s="40">
        <f>SUM(Tabla13267[[#This Row],[PRIMER TRIMESTRE]:[CUARTO TRIMESTRE]])</f>
        <v>2</v>
      </c>
      <c r="I35" s="17">
        <v>7014.5</v>
      </c>
      <c r="J35" s="17">
        <f>+Tabla13267[[#This Row],[CANTIDAD TOTAL]]*Tabla13267[[#This Row],[PRECIO UNITARIO ESTIMADO]]</f>
        <v>14029</v>
      </c>
      <c r="K35" s="17"/>
      <c r="L35" s="16" t="s">
        <v>27</v>
      </c>
      <c r="M35" s="16" t="s">
        <v>22</v>
      </c>
      <c r="N35" s="39" t="s">
        <v>418</v>
      </c>
      <c r="O35" s="20"/>
      <c r="R35" s="19" t="s">
        <v>56</v>
      </c>
      <c r="U35" s="16"/>
    </row>
    <row r="36" spans="1:21" s="12" customFormat="1">
      <c r="A36" s="15" t="s">
        <v>46</v>
      </c>
      <c r="B36" s="75" t="s">
        <v>57</v>
      </c>
      <c r="C36" s="39" t="s">
        <v>17</v>
      </c>
      <c r="D36" s="39"/>
      <c r="E36" s="39">
        <v>4</v>
      </c>
      <c r="F36" s="39"/>
      <c r="G36" s="39">
        <v>4</v>
      </c>
      <c r="H36" s="40">
        <f>SUM(Tabla13267[[#This Row],[PRIMER TRIMESTRE]:[CUARTO TRIMESTRE]])</f>
        <v>8</v>
      </c>
      <c r="I36" s="17">
        <v>12138.01</v>
      </c>
      <c r="J36" s="17">
        <f>+Tabla13267[[#This Row],[CANTIDAD TOTAL]]*Tabla13267[[#This Row],[PRECIO UNITARIO ESTIMADO]]</f>
        <v>97104.08</v>
      </c>
      <c r="K36" s="17"/>
      <c r="L36" s="16" t="s">
        <v>27</v>
      </c>
      <c r="M36" s="16" t="s">
        <v>22</v>
      </c>
      <c r="N36" s="39" t="s">
        <v>418</v>
      </c>
      <c r="O36" s="20"/>
      <c r="R36" s="19" t="s">
        <v>58</v>
      </c>
      <c r="U36" s="16"/>
    </row>
    <row r="37" spans="1:21" s="12" customFormat="1">
      <c r="A37" s="15" t="s">
        <v>46</v>
      </c>
      <c r="B37" s="75" t="s">
        <v>59</v>
      </c>
      <c r="C37" s="39" t="s">
        <v>17</v>
      </c>
      <c r="D37" s="39"/>
      <c r="E37" s="39">
        <v>6</v>
      </c>
      <c r="F37" s="39"/>
      <c r="G37" s="39">
        <v>6</v>
      </c>
      <c r="H37" s="40">
        <f>SUM(Tabla13267[[#This Row],[PRIMER TRIMESTRE]:[CUARTO TRIMESTRE]])</f>
        <v>12</v>
      </c>
      <c r="I37" s="17">
        <v>2122.8000000000002</v>
      </c>
      <c r="J37" s="17">
        <f>+Tabla13267[[#This Row],[CANTIDAD TOTAL]]*Tabla13267[[#This Row],[PRECIO UNITARIO ESTIMADO]]</f>
        <v>25473.600000000002</v>
      </c>
      <c r="K37" s="17"/>
      <c r="L37" s="16" t="s">
        <v>27</v>
      </c>
      <c r="M37" s="16" t="s">
        <v>22</v>
      </c>
      <c r="N37" s="39" t="s">
        <v>418</v>
      </c>
      <c r="O37" s="20"/>
      <c r="R37" s="19" t="s">
        <v>60</v>
      </c>
      <c r="U37" s="16"/>
    </row>
    <row r="38" spans="1:21" s="111" customFormat="1">
      <c r="A38" s="105" t="s">
        <v>46</v>
      </c>
      <c r="B38" s="106" t="s">
        <v>550</v>
      </c>
      <c r="C38" s="107" t="s">
        <v>17</v>
      </c>
      <c r="D38" s="107">
        <v>50</v>
      </c>
      <c r="E38" s="107"/>
      <c r="F38" s="107">
        <v>50</v>
      </c>
      <c r="G38" s="107"/>
      <c r="H38" s="108">
        <f>SUM(Tabla13267[[#This Row],[PRIMER TRIMESTRE]:[CUARTO TRIMESTRE]])</f>
        <v>100</v>
      </c>
      <c r="I38" s="109">
        <v>9480</v>
      </c>
      <c r="J38" s="109">
        <f t="shared" ref="J38:J67" si="0">+H38*I38</f>
        <v>948000</v>
      </c>
      <c r="K38" s="109"/>
      <c r="L38" s="110" t="s">
        <v>27</v>
      </c>
      <c r="M38" s="110" t="s">
        <v>22</v>
      </c>
      <c r="N38" s="107" t="s">
        <v>418</v>
      </c>
      <c r="O38" s="110"/>
      <c r="R38" s="112"/>
      <c r="U38" s="110"/>
    </row>
    <row r="39" spans="1:21" s="111" customFormat="1">
      <c r="A39" s="105" t="s">
        <v>46</v>
      </c>
      <c r="B39" s="106" t="s">
        <v>551</v>
      </c>
      <c r="C39" s="107" t="s">
        <v>17</v>
      </c>
      <c r="D39" s="107">
        <v>5</v>
      </c>
      <c r="E39" s="107"/>
      <c r="F39" s="107">
        <v>5</v>
      </c>
      <c r="G39" s="107"/>
      <c r="H39" s="108">
        <v>12</v>
      </c>
      <c r="I39" s="109">
        <v>31680</v>
      </c>
      <c r="J39" s="109">
        <f>+H39*I39</f>
        <v>380160</v>
      </c>
      <c r="K39" s="109"/>
      <c r="L39" s="110" t="s">
        <v>27</v>
      </c>
      <c r="M39" s="110" t="s">
        <v>22</v>
      </c>
      <c r="N39" s="107" t="s">
        <v>418</v>
      </c>
      <c r="O39" s="110"/>
      <c r="R39" s="112"/>
      <c r="U39" s="110"/>
    </row>
    <row r="40" spans="1:21" s="111" customFormat="1" ht="31.5">
      <c r="A40" s="105" t="s">
        <v>46</v>
      </c>
      <c r="B40" s="106" t="s">
        <v>552</v>
      </c>
      <c r="C40" s="107" t="s">
        <v>17</v>
      </c>
      <c r="D40" s="107">
        <v>30</v>
      </c>
      <c r="E40" s="107"/>
      <c r="F40" s="107">
        <v>30</v>
      </c>
      <c r="G40" s="107"/>
      <c r="H40" s="108">
        <v>80</v>
      </c>
      <c r="I40" s="109">
        <v>9279.9</v>
      </c>
      <c r="J40" s="109">
        <f t="shared" si="0"/>
        <v>742392</v>
      </c>
      <c r="K40" s="109"/>
      <c r="L40" s="110" t="s">
        <v>27</v>
      </c>
      <c r="M40" s="110" t="s">
        <v>22</v>
      </c>
      <c r="N40" s="107" t="s">
        <v>418</v>
      </c>
      <c r="O40" s="110" t="s">
        <v>907</v>
      </c>
      <c r="R40" s="112"/>
      <c r="U40" s="110"/>
    </row>
    <row r="41" spans="1:21" s="111" customFormat="1">
      <c r="A41" s="105" t="s">
        <v>46</v>
      </c>
      <c r="B41" s="106" t="s">
        <v>54</v>
      </c>
      <c r="C41" s="107" t="s">
        <v>17</v>
      </c>
      <c r="D41" s="107">
        <v>6</v>
      </c>
      <c r="E41" s="107"/>
      <c r="F41" s="107">
        <v>6</v>
      </c>
      <c r="G41" s="107"/>
      <c r="H41" s="108">
        <f>SUM(Tabla13267[[#This Row],[PRIMER TRIMESTRE]:[CUARTO TRIMESTRE]])</f>
        <v>12</v>
      </c>
      <c r="I41" s="109">
        <v>9079.9</v>
      </c>
      <c r="J41" s="109">
        <f t="shared" si="0"/>
        <v>108958.79999999999</v>
      </c>
      <c r="K41" s="109"/>
      <c r="L41" s="110" t="s">
        <v>27</v>
      </c>
      <c r="M41" s="110" t="s">
        <v>22</v>
      </c>
      <c r="N41" s="107" t="s">
        <v>418</v>
      </c>
      <c r="O41" s="110"/>
      <c r="R41" s="112"/>
      <c r="U41" s="110"/>
    </row>
    <row r="42" spans="1:21" s="111" customFormat="1">
      <c r="A42" s="105" t="s">
        <v>46</v>
      </c>
      <c r="B42" s="106" t="s">
        <v>53</v>
      </c>
      <c r="C42" s="107" t="s">
        <v>17</v>
      </c>
      <c r="D42" s="107">
        <v>15</v>
      </c>
      <c r="E42" s="107"/>
      <c r="F42" s="107">
        <v>15</v>
      </c>
      <c r="G42" s="107"/>
      <c r="H42" s="108">
        <v>40</v>
      </c>
      <c r="I42" s="109">
        <v>9048</v>
      </c>
      <c r="J42" s="109">
        <f t="shared" si="0"/>
        <v>361920</v>
      </c>
      <c r="K42" s="109"/>
      <c r="L42" s="110" t="s">
        <v>27</v>
      </c>
      <c r="M42" s="110" t="s">
        <v>22</v>
      </c>
      <c r="N42" s="107" t="s">
        <v>418</v>
      </c>
      <c r="O42" s="110"/>
      <c r="R42" s="112"/>
      <c r="U42" s="110"/>
    </row>
    <row r="43" spans="1:21" s="111" customFormat="1">
      <c r="A43" s="105" t="s">
        <v>46</v>
      </c>
      <c r="B43" s="106" t="s">
        <v>553</v>
      </c>
      <c r="C43" s="107" t="s">
        <v>17</v>
      </c>
      <c r="D43" s="107">
        <v>12</v>
      </c>
      <c r="E43" s="107"/>
      <c r="F43" s="107">
        <v>12</v>
      </c>
      <c r="G43" s="107"/>
      <c r="H43" s="108">
        <f>SUM(Tabla13267[[#This Row],[PRIMER TRIMESTRE]:[CUARTO TRIMESTRE]])</f>
        <v>24</v>
      </c>
      <c r="I43" s="109">
        <v>7043.16</v>
      </c>
      <c r="J43" s="109">
        <f t="shared" si="0"/>
        <v>169035.84</v>
      </c>
      <c r="K43" s="109"/>
      <c r="L43" s="110" t="s">
        <v>27</v>
      </c>
      <c r="M43" s="110" t="s">
        <v>22</v>
      </c>
      <c r="N43" s="107" t="s">
        <v>418</v>
      </c>
      <c r="O43" s="110"/>
      <c r="R43" s="112"/>
      <c r="U43" s="110"/>
    </row>
    <row r="44" spans="1:21" s="111" customFormat="1">
      <c r="A44" s="105" t="s">
        <v>46</v>
      </c>
      <c r="B44" s="106" t="s">
        <v>554</v>
      </c>
      <c r="C44" s="107" t="s">
        <v>17</v>
      </c>
      <c r="D44" s="107">
        <v>25</v>
      </c>
      <c r="E44" s="107"/>
      <c r="F44" s="107">
        <v>25</v>
      </c>
      <c r="G44" s="107"/>
      <c r="H44" s="108">
        <v>60</v>
      </c>
      <c r="I44" s="109">
        <v>12210</v>
      </c>
      <c r="J44" s="109">
        <f t="shared" si="0"/>
        <v>732600</v>
      </c>
      <c r="K44" s="109"/>
      <c r="L44" s="110" t="s">
        <v>27</v>
      </c>
      <c r="M44" s="110" t="s">
        <v>22</v>
      </c>
      <c r="N44" s="107" t="s">
        <v>418</v>
      </c>
      <c r="O44" s="110"/>
      <c r="R44" s="112"/>
      <c r="U44" s="110"/>
    </row>
    <row r="45" spans="1:21" s="111" customFormat="1">
      <c r="A45" s="105" t="s">
        <v>46</v>
      </c>
      <c r="B45" s="106" t="s">
        <v>555</v>
      </c>
      <c r="C45" s="107" t="s">
        <v>17</v>
      </c>
      <c r="D45" s="107">
        <v>15</v>
      </c>
      <c r="E45" s="107"/>
      <c r="F45" s="107">
        <v>15</v>
      </c>
      <c r="G45" s="107"/>
      <c r="H45" s="108">
        <v>40</v>
      </c>
      <c r="I45" s="109">
        <v>4029.25</v>
      </c>
      <c r="J45" s="109">
        <f t="shared" si="0"/>
        <v>161170</v>
      </c>
      <c r="K45" s="109"/>
      <c r="L45" s="110" t="s">
        <v>27</v>
      </c>
      <c r="M45" s="110" t="s">
        <v>22</v>
      </c>
      <c r="N45" s="107" t="s">
        <v>418</v>
      </c>
      <c r="O45" s="110"/>
      <c r="R45" s="112"/>
      <c r="U45" s="110"/>
    </row>
    <row r="46" spans="1:21" s="111" customFormat="1">
      <c r="A46" s="105" t="s">
        <v>46</v>
      </c>
      <c r="B46" s="106" t="s">
        <v>556</v>
      </c>
      <c r="C46" s="107" t="s">
        <v>17</v>
      </c>
      <c r="D46" s="107">
        <v>8</v>
      </c>
      <c r="E46" s="107"/>
      <c r="F46" s="107">
        <v>8</v>
      </c>
      <c r="G46" s="107"/>
      <c r="H46" s="108">
        <v>16</v>
      </c>
      <c r="I46" s="109">
        <v>33660</v>
      </c>
      <c r="J46" s="109">
        <f t="shared" si="0"/>
        <v>538560</v>
      </c>
      <c r="K46" s="109"/>
      <c r="L46" s="110" t="s">
        <v>27</v>
      </c>
      <c r="M46" s="110" t="s">
        <v>22</v>
      </c>
      <c r="N46" s="107" t="s">
        <v>418</v>
      </c>
      <c r="O46" s="110"/>
      <c r="R46" s="112"/>
      <c r="U46" s="110"/>
    </row>
    <row r="47" spans="1:21" s="111" customFormat="1">
      <c r="A47" s="105" t="s">
        <v>46</v>
      </c>
      <c r="B47" s="106" t="s">
        <v>557</v>
      </c>
      <c r="C47" s="107" t="s">
        <v>17</v>
      </c>
      <c r="D47" s="107">
        <v>20</v>
      </c>
      <c r="E47" s="107"/>
      <c r="F47" s="107">
        <v>20</v>
      </c>
      <c r="G47" s="107"/>
      <c r="H47" s="108">
        <v>40</v>
      </c>
      <c r="I47" s="109">
        <v>27205.48</v>
      </c>
      <c r="J47" s="109">
        <f t="shared" si="0"/>
        <v>1088219.2</v>
      </c>
      <c r="K47" s="109"/>
      <c r="L47" s="110" t="s">
        <v>27</v>
      </c>
      <c r="M47" s="110" t="s">
        <v>22</v>
      </c>
      <c r="N47" s="107" t="s">
        <v>418</v>
      </c>
      <c r="O47" s="110"/>
      <c r="R47" s="112"/>
      <c r="U47" s="110"/>
    </row>
    <row r="48" spans="1:21" s="111" customFormat="1">
      <c r="A48" s="105" t="s">
        <v>46</v>
      </c>
      <c r="B48" s="106" t="s">
        <v>558</v>
      </c>
      <c r="C48" s="107" t="s">
        <v>17</v>
      </c>
      <c r="D48" s="107">
        <v>2</v>
      </c>
      <c r="E48" s="107"/>
      <c r="F48" s="107">
        <v>2</v>
      </c>
      <c r="G48" s="107"/>
      <c r="H48" s="108">
        <f>SUM(Tabla13267[[#This Row],[PRIMER TRIMESTRE]:[CUARTO TRIMESTRE]])</f>
        <v>4</v>
      </c>
      <c r="I48" s="109">
        <v>14272.5</v>
      </c>
      <c r="J48" s="109">
        <f>+H48*I48</f>
        <v>57090</v>
      </c>
      <c r="K48" s="109"/>
      <c r="L48" s="110" t="s">
        <v>27</v>
      </c>
      <c r="M48" s="110" t="s">
        <v>22</v>
      </c>
      <c r="N48" s="107" t="s">
        <v>418</v>
      </c>
      <c r="O48" s="110"/>
      <c r="R48" s="112"/>
      <c r="U48" s="110"/>
    </row>
    <row r="49" spans="1:21" s="111" customFormat="1">
      <c r="A49" s="105" t="s">
        <v>46</v>
      </c>
      <c r="B49" s="106" t="s">
        <v>559</v>
      </c>
      <c r="C49" s="107" t="s">
        <v>17</v>
      </c>
      <c r="D49" s="107">
        <v>2</v>
      </c>
      <c r="E49" s="107"/>
      <c r="F49" s="107">
        <v>2</v>
      </c>
      <c r="G49" s="107"/>
      <c r="H49" s="108">
        <f>SUM(Tabla13267[[#This Row],[PRIMER TRIMESTRE]:[CUARTO TRIMESTRE]])</f>
        <v>4</v>
      </c>
      <c r="I49" s="109">
        <v>14272.5</v>
      </c>
      <c r="J49" s="109">
        <f t="shared" si="0"/>
        <v>57090</v>
      </c>
      <c r="K49" s="109"/>
      <c r="L49" s="110" t="s">
        <v>27</v>
      </c>
      <c r="M49" s="110" t="s">
        <v>22</v>
      </c>
      <c r="N49" s="107" t="s">
        <v>418</v>
      </c>
      <c r="O49" s="110"/>
      <c r="R49" s="112"/>
      <c r="U49" s="110"/>
    </row>
    <row r="50" spans="1:21" s="111" customFormat="1">
      <c r="A50" s="105" t="s">
        <v>46</v>
      </c>
      <c r="B50" s="106" t="s">
        <v>560</v>
      </c>
      <c r="C50" s="107" t="s">
        <v>17</v>
      </c>
      <c r="D50" s="107">
        <v>20</v>
      </c>
      <c r="E50" s="107"/>
      <c r="F50" s="107">
        <v>20</v>
      </c>
      <c r="G50" s="107"/>
      <c r="H50" s="108">
        <f>SUM(Tabla13267[[#This Row],[PRIMER TRIMESTRE]:[CUARTO TRIMESTRE]])</f>
        <v>40</v>
      </c>
      <c r="I50" s="109">
        <v>14190</v>
      </c>
      <c r="J50" s="109">
        <f t="shared" si="0"/>
        <v>567600</v>
      </c>
      <c r="K50" s="109"/>
      <c r="L50" s="110" t="s">
        <v>27</v>
      </c>
      <c r="M50" s="110" t="s">
        <v>22</v>
      </c>
      <c r="N50" s="107" t="s">
        <v>418</v>
      </c>
      <c r="O50" s="110"/>
      <c r="R50" s="112"/>
      <c r="U50" s="110"/>
    </row>
    <row r="51" spans="1:21" s="111" customFormat="1">
      <c r="A51" s="105" t="s">
        <v>46</v>
      </c>
      <c r="B51" s="106" t="s">
        <v>561</v>
      </c>
      <c r="C51" s="107" t="s">
        <v>17</v>
      </c>
      <c r="D51" s="107">
        <v>24</v>
      </c>
      <c r="E51" s="107"/>
      <c r="F51" s="107">
        <v>24</v>
      </c>
      <c r="G51" s="107"/>
      <c r="H51" s="108">
        <f>SUM(Tabla13267[[#This Row],[PRIMER TRIMESTRE]:[CUARTO TRIMESTRE]])</f>
        <v>48</v>
      </c>
      <c r="I51" s="109">
        <v>4200</v>
      </c>
      <c r="J51" s="109">
        <f t="shared" si="0"/>
        <v>201600</v>
      </c>
      <c r="K51" s="109"/>
      <c r="L51" s="110" t="s">
        <v>27</v>
      </c>
      <c r="M51" s="110" t="s">
        <v>22</v>
      </c>
      <c r="N51" s="107" t="s">
        <v>418</v>
      </c>
      <c r="O51" s="110"/>
      <c r="R51" s="112"/>
      <c r="U51" s="110"/>
    </row>
    <row r="52" spans="1:21" s="111" customFormat="1">
      <c r="A52" s="105" t="s">
        <v>46</v>
      </c>
      <c r="B52" s="106" t="s">
        <v>764</v>
      </c>
      <c r="C52" s="107" t="s">
        <v>17</v>
      </c>
      <c r="D52" s="107">
        <v>2</v>
      </c>
      <c r="E52" s="107"/>
      <c r="F52" s="107">
        <v>2</v>
      </c>
      <c r="G52" s="107"/>
      <c r="H52" s="108">
        <f>SUM(Tabla13267[[#This Row],[PRIMER TRIMESTRE]:[CUARTO TRIMESTRE]])</f>
        <v>4</v>
      </c>
      <c r="I52" s="109">
        <v>12650</v>
      </c>
      <c r="J52" s="109">
        <f>+H52*I52</f>
        <v>50600</v>
      </c>
      <c r="K52" s="109"/>
      <c r="L52" s="110" t="s">
        <v>27</v>
      </c>
      <c r="M52" s="110" t="s">
        <v>22</v>
      </c>
      <c r="N52" s="107" t="s">
        <v>418</v>
      </c>
      <c r="O52" s="109"/>
      <c r="R52" s="112"/>
      <c r="U52" s="110"/>
    </row>
    <row r="53" spans="1:21" s="120" customFormat="1">
      <c r="A53" s="114" t="s">
        <v>46</v>
      </c>
      <c r="B53" s="115" t="s">
        <v>535</v>
      </c>
      <c r="C53" s="116" t="s">
        <v>17</v>
      </c>
      <c r="D53" s="116">
        <v>30</v>
      </c>
      <c r="E53" s="116"/>
      <c r="F53" s="116">
        <v>30</v>
      </c>
      <c r="G53" s="116"/>
      <c r="H53" s="117">
        <f>SUM(Tabla13267[[#This Row],[PRIMER TRIMESTRE]:[CUARTO TRIMESTRE]])</f>
        <v>60</v>
      </c>
      <c r="I53" s="118">
        <v>180</v>
      </c>
      <c r="J53" s="118">
        <f t="shared" si="0"/>
        <v>10800</v>
      </c>
      <c r="K53" s="118"/>
      <c r="L53" s="119" t="s">
        <v>15</v>
      </c>
      <c r="M53" s="119" t="s">
        <v>22</v>
      </c>
      <c r="N53" s="116" t="s">
        <v>418</v>
      </c>
      <c r="O53" s="118"/>
      <c r="R53" s="121"/>
      <c r="U53" s="119"/>
    </row>
    <row r="54" spans="1:21" s="120" customFormat="1">
      <c r="A54" s="114" t="s">
        <v>46</v>
      </c>
      <c r="B54" s="115" t="s">
        <v>536</v>
      </c>
      <c r="C54" s="116" t="s">
        <v>17</v>
      </c>
      <c r="D54" s="116">
        <v>50</v>
      </c>
      <c r="E54" s="116"/>
      <c r="F54" s="116">
        <v>50</v>
      </c>
      <c r="G54" s="116"/>
      <c r="H54" s="117">
        <f>SUM(Tabla13267[[#This Row],[PRIMER TRIMESTRE]:[CUARTO TRIMESTRE]])</f>
        <v>100</v>
      </c>
      <c r="I54" s="118">
        <v>225</v>
      </c>
      <c r="J54" s="118">
        <f t="shared" si="0"/>
        <v>22500</v>
      </c>
      <c r="K54" s="118"/>
      <c r="L54" s="119" t="s">
        <v>15</v>
      </c>
      <c r="M54" s="119" t="s">
        <v>22</v>
      </c>
      <c r="N54" s="116" t="s">
        <v>418</v>
      </c>
      <c r="O54" s="118"/>
      <c r="R54" s="121"/>
      <c r="U54" s="119"/>
    </row>
    <row r="55" spans="1:21" s="120" customFormat="1">
      <c r="A55" s="114" t="s">
        <v>46</v>
      </c>
      <c r="B55" s="115" t="s">
        <v>537</v>
      </c>
      <c r="C55" s="116" t="s">
        <v>17</v>
      </c>
      <c r="D55" s="116">
        <v>20</v>
      </c>
      <c r="E55" s="116"/>
      <c r="F55" s="116">
        <v>20</v>
      </c>
      <c r="G55" s="116"/>
      <c r="H55" s="117">
        <f>SUM(Tabla13267[[#This Row],[PRIMER TRIMESTRE]:[CUARTO TRIMESTRE]])</f>
        <v>40</v>
      </c>
      <c r="I55" s="118">
        <v>250</v>
      </c>
      <c r="J55" s="118">
        <f t="shared" si="0"/>
        <v>10000</v>
      </c>
      <c r="K55" s="118"/>
      <c r="L55" s="119" t="s">
        <v>15</v>
      </c>
      <c r="M55" s="119" t="s">
        <v>22</v>
      </c>
      <c r="N55" s="116" t="s">
        <v>418</v>
      </c>
      <c r="O55" s="118"/>
      <c r="R55" s="121"/>
      <c r="U55" s="119"/>
    </row>
    <row r="56" spans="1:21" s="120" customFormat="1">
      <c r="A56" s="114" t="s">
        <v>46</v>
      </c>
      <c r="B56" s="115" t="s">
        <v>538</v>
      </c>
      <c r="C56" s="116" t="s">
        <v>17</v>
      </c>
      <c r="D56" s="116">
        <v>20</v>
      </c>
      <c r="E56" s="116"/>
      <c r="F56" s="116">
        <v>20</v>
      </c>
      <c r="G56" s="116"/>
      <c r="H56" s="117">
        <f>SUM(Tabla13267[[#This Row],[PRIMER TRIMESTRE]:[CUARTO TRIMESTRE]])</f>
        <v>40</v>
      </c>
      <c r="I56" s="118">
        <v>350</v>
      </c>
      <c r="J56" s="118">
        <f t="shared" si="0"/>
        <v>14000</v>
      </c>
      <c r="K56" s="118"/>
      <c r="L56" s="119" t="s">
        <v>15</v>
      </c>
      <c r="M56" s="119" t="s">
        <v>22</v>
      </c>
      <c r="N56" s="116" t="s">
        <v>418</v>
      </c>
      <c r="O56" s="118"/>
      <c r="R56" s="121"/>
      <c r="U56" s="119"/>
    </row>
    <row r="57" spans="1:21" s="120" customFormat="1">
      <c r="A57" s="114" t="s">
        <v>46</v>
      </c>
      <c r="B57" s="115" t="s">
        <v>539</v>
      </c>
      <c r="C57" s="116" t="s">
        <v>17</v>
      </c>
      <c r="D57" s="116">
        <v>25</v>
      </c>
      <c r="E57" s="116"/>
      <c r="F57" s="116">
        <v>25</v>
      </c>
      <c r="G57" s="116"/>
      <c r="H57" s="117">
        <f>SUM(Tabla13267[[#This Row],[PRIMER TRIMESTRE]:[CUARTO TRIMESTRE]])</f>
        <v>50</v>
      </c>
      <c r="I57" s="118">
        <v>550</v>
      </c>
      <c r="J57" s="118">
        <f t="shared" si="0"/>
        <v>27500</v>
      </c>
      <c r="K57" s="118"/>
      <c r="L57" s="119" t="s">
        <v>15</v>
      </c>
      <c r="M57" s="119" t="s">
        <v>22</v>
      </c>
      <c r="N57" s="116" t="s">
        <v>418</v>
      </c>
      <c r="O57" s="118"/>
      <c r="R57" s="121"/>
      <c r="U57" s="119"/>
    </row>
    <row r="58" spans="1:21" s="120" customFormat="1">
      <c r="A58" s="114" t="s">
        <v>46</v>
      </c>
      <c r="B58" s="115" t="s">
        <v>540</v>
      </c>
      <c r="C58" s="116" t="s">
        <v>17</v>
      </c>
      <c r="D58" s="116">
        <v>25</v>
      </c>
      <c r="E58" s="116"/>
      <c r="F58" s="116">
        <v>25</v>
      </c>
      <c r="G58" s="116"/>
      <c r="H58" s="117">
        <f>SUM(Tabla13267[[#This Row],[PRIMER TRIMESTRE]:[CUARTO TRIMESTRE]])</f>
        <v>50</v>
      </c>
      <c r="I58" s="118">
        <v>450</v>
      </c>
      <c r="J58" s="118">
        <f t="shared" si="0"/>
        <v>22500</v>
      </c>
      <c r="K58" s="118"/>
      <c r="L58" s="119" t="s">
        <v>15</v>
      </c>
      <c r="M58" s="119" t="s">
        <v>22</v>
      </c>
      <c r="N58" s="116" t="s">
        <v>418</v>
      </c>
      <c r="O58" s="118"/>
      <c r="R58" s="121"/>
      <c r="U58" s="119"/>
    </row>
    <row r="59" spans="1:21" s="120" customFormat="1">
      <c r="A59" s="114" t="s">
        <v>46</v>
      </c>
      <c r="B59" s="115" t="s">
        <v>541</v>
      </c>
      <c r="C59" s="116" t="s">
        <v>17</v>
      </c>
      <c r="D59" s="116">
        <v>25</v>
      </c>
      <c r="E59" s="116"/>
      <c r="F59" s="116">
        <v>25</v>
      </c>
      <c r="G59" s="116"/>
      <c r="H59" s="117">
        <f>SUM(Tabla13267[[#This Row],[PRIMER TRIMESTRE]:[CUARTO TRIMESTRE]])</f>
        <v>50</v>
      </c>
      <c r="I59" s="118">
        <v>450</v>
      </c>
      <c r="J59" s="118">
        <f t="shared" si="0"/>
        <v>22500</v>
      </c>
      <c r="K59" s="118"/>
      <c r="L59" s="119" t="s">
        <v>15</v>
      </c>
      <c r="M59" s="119" t="s">
        <v>22</v>
      </c>
      <c r="N59" s="116" t="s">
        <v>418</v>
      </c>
      <c r="O59" s="118"/>
      <c r="R59" s="121"/>
      <c r="U59" s="119"/>
    </row>
    <row r="60" spans="1:21" s="120" customFormat="1">
      <c r="A60" s="114" t="s">
        <v>46</v>
      </c>
      <c r="B60" s="115" t="s">
        <v>542</v>
      </c>
      <c r="C60" s="116" t="s">
        <v>17</v>
      </c>
      <c r="D60" s="116">
        <v>25</v>
      </c>
      <c r="E60" s="116"/>
      <c r="F60" s="116">
        <v>25</v>
      </c>
      <c r="G60" s="116"/>
      <c r="H60" s="117">
        <f>SUM(Tabla13267[[#This Row],[PRIMER TRIMESTRE]:[CUARTO TRIMESTRE]])</f>
        <v>50</v>
      </c>
      <c r="I60" s="118">
        <v>500</v>
      </c>
      <c r="J60" s="118">
        <f t="shared" si="0"/>
        <v>25000</v>
      </c>
      <c r="K60" s="118"/>
      <c r="L60" s="119" t="s">
        <v>15</v>
      </c>
      <c r="M60" s="119" t="s">
        <v>22</v>
      </c>
      <c r="N60" s="116" t="s">
        <v>418</v>
      </c>
      <c r="O60" s="118"/>
      <c r="R60" s="121"/>
      <c r="U60" s="119"/>
    </row>
    <row r="61" spans="1:21" s="120" customFormat="1">
      <c r="A61" s="114" t="s">
        <v>46</v>
      </c>
      <c r="B61" s="115" t="s">
        <v>543</v>
      </c>
      <c r="C61" s="116" t="s">
        <v>17</v>
      </c>
      <c r="D61" s="116">
        <v>25</v>
      </c>
      <c r="E61" s="116"/>
      <c r="F61" s="116">
        <v>25</v>
      </c>
      <c r="G61" s="116"/>
      <c r="H61" s="117">
        <f>SUM(Tabla13267[[#This Row],[PRIMER TRIMESTRE]:[CUARTO TRIMESTRE]])</f>
        <v>50</v>
      </c>
      <c r="I61" s="118">
        <v>500</v>
      </c>
      <c r="J61" s="118">
        <f t="shared" si="0"/>
        <v>25000</v>
      </c>
      <c r="K61" s="118"/>
      <c r="L61" s="119" t="s">
        <v>15</v>
      </c>
      <c r="M61" s="119" t="s">
        <v>22</v>
      </c>
      <c r="N61" s="116" t="s">
        <v>418</v>
      </c>
      <c r="O61" s="118"/>
      <c r="R61" s="121"/>
      <c r="U61" s="119"/>
    </row>
    <row r="62" spans="1:21" s="120" customFormat="1">
      <c r="A62" s="114" t="s">
        <v>46</v>
      </c>
      <c r="B62" s="115" t="s">
        <v>544</v>
      </c>
      <c r="C62" s="116" t="s">
        <v>17</v>
      </c>
      <c r="D62" s="116">
        <v>25</v>
      </c>
      <c r="E62" s="116"/>
      <c r="F62" s="116">
        <v>25</v>
      </c>
      <c r="G62" s="116"/>
      <c r="H62" s="117">
        <f>SUM(Tabla13267[[#This Row],[PRIMER TRIMESTRE]:[CUARTO TRIMESTRE]])</f>
        <v>50</v>
      </c>
      <c r="I62" s="118">
        <v>400</v>
      </c>
      <c r="J62" s="118">
        <f t="shared" si="0"/>
        <v>20000</v>
      </c>
      <c r="K62" s="118"/>
      <c r="L62" s="119" t="s">
        <v>15</v>
      </c>
      <c r="M62" s="119" t="s">
        <v>22</v>
      </c>
      <c r="N62" s="116" t="s">
        <v>418</v>
      </c>
      <c r="O62" s="118"/>
      <c r="R62" s="121"/>
      <c r="U62" s="119"/>
    </row>
    <row r="63" spans="1:21" s="120" customFormat="1">
      <c r="A63" s="114" t="s">
        <v>46</v>
      </c>
      <c r="B63" s="115" t="s">
        <v>545</v>
      </c>
      <c r="C63" s="116" t="s">
        <v>17</v>
      </c>
      <c r="D63" s="116">
        <v>25</v>
      </c>
      <c r="E63" s="116"/>
      <c r="F63" s="116">
        <v>25</v>
      </c>
      <c r="G63" s="116"/>
      <c r="H63" s="117">
        <f>SUM(Tabla13267[[#This Row],[PRIMER TRIMESTRE]:[CUARTO TRIMESTRE]])</f>
        <v>50</v>
      </c>
      <c r="I63" s="118">
        <v>400</v>
      </c>
      <c r="J63" s="118">
        <f t="shared" si="0"/>
        <v>20000</v>
      </c>
      <c r="K63" s="118"/>
      <c r="L63" s="119" t="s">
        <v>15</v>
      </c>
      <c r="M63" s="119" t="s">
        <v>22</v>
      </c>
      <c r="N63" s="116" t="s">
        <v>418</v>
      </c>
      <c r="O63" s="118"/>
      <c r="R63" s="121"/>
      <c r="U63" s="119"/>
    </row>
    <row r="64" spans="1:21" s="120" customFormat="1">
      <c r="A64" s="114" t="s">
        <v>46</v>
      </c>
      <c r="B64" s="115" t="s">
        <v>546</v>
      </c>
      <c r="C64" s="116" t="s">
        <v>17</v>
      </c>
      <c r="D64" s="116">
        <v>25</v>
      </c>
      <c r="E64" s="116"/>
      <c r="F64" s="116">
        <v>25</v>
      </c>
      <c r="G64" s="116"/>
      <c r="H64" s="117">
        <f>SUM(Tabla13267[[#This Row],[PRIMER TRIMESTRE]:[CUARTO TRIMESTRE]])</f>
        <v>50</v>
      </c>
      <c r="I64" s="118">
        <v>400</v>
      </c>
      <c r="J64" s="118">
        <f t="shared" si="0"/>
        <v>20000</v>
      </c>
      <c r="K64" s="118"/>
      <c r="L64" s="119" t="s">
        <v>15</v>
      </c>
      <c r="M64" s="119" t="s">
        <v>22</v>
      </c>
      <c r="N64" s="116" t="s">
        <v>418</v>
      </c>
      <c r="O64" s="118"/>
      <c r="R64" s="121"/>
      <c r="U64" s="119"/>
    </row>
    <row r="65" spans="1:21" s="120" customFormat="1">
      <c r="A65" s="114" t="s">
        <v>46</v>
      </c>
      <c r="B65" s="115" t="s">
        <v>547</v>
      </c>
      <c r="C65" s="116" t="s">
        <v>17</v>
      </c>
      <c r="D65" s="116">
        <v>25</v>
      </c>
      <c r="E65" s="116"/>
      <c r="F65" s="116">
        <v>25</v>
      </c>
      <c r="G65" s="116"/>
      <c r="H65" s="117">
        <f>SUM(Tabla13267[[#This Row],[PRIMER TRIMESTRE]:[CUARTO TRIMESTRE]])</f>
        <v>50</v>
      </c>
      <c r="I65" s="118">
        <v>375</v>
      </c>
      <c r="J65" s="118">
        <f t="shared" si="0"/>
        <v>18750</v>
      </c>
      <c r="K65" s="118"/>
      <c r="L65" s="119" t="s">
        <v>15</v>
      </c>
      <c r="M65" s="119" t="s">
        <v>22</v>
      </c>
      <c r="N65" s="116" t="s">
        <v>418</v>
      </c>
      <c r="O65" s="118"/>
      <c r="R65" s="121"/>
      <c r="U65" s="119"/>
    </row>
    <row r="66" spans="1:21" s="120" customFormat="1">
      <c r="A66" s="114" t="s">
        <v>46</v>
      </c>
      <c r="B66" s="115" t="s">
        <v>548</v>
      </c>
      <c r="C66" s="116" t="s">
        <v>17</v>
      </c>
      <c r="D66" s="116">
        <v>25</v>
      </c>
      <c r="E66" s="116"/>
      <c r="F66" s="116">
        <v>25</v>
      </c>
      <c r="G66" s="116"/>
      <c r="H66" s="117">
        <f>SUM(Tabla13267[[#This Row],[PRIMER TRIMESTRE]:[CUARTO TRIMESTRE]])</f>
        <v>50</v>
      </c>
      <c r="I66" s="118">
        <v>300</v>
      </c>
      <c r="J66" s="118">
        <f t="shared" si="0"/>
        <v>15000</v>
      </c>
      <c r="K66" s="118"/>
      <c r="L66" s="119" t="s">
        <v>15</v>
      </c>
      <c r="M66" s="119" t="s">
        <v>22</v>
      </c>
      <c r="N66" s="116" t="s">
        <v>418</v>
      </c>
      <c r="O66" s="118"/>
      <c r="R66" s="121"/>
      <c r="U66" s="119"/>
    </row>
    <row r="67" spans="1:21" s="120" customFormat="1">
      <c r="A67" s="114" t="s">
        <v>46</v>
      </c>
      <c r="B67" s="115" t="s">
        <v>549</v>
      </c>
      <c r="C67" s="116" t="s">
        <v>17</v>
      </c>
      <c r="D67" s="116">
        <v>20</v>
      </c>
      <c r="E67" s="116"/>
      <c r="F67" s="116">
        <v>20</v>
      </c>
      <c r="G67" s="116"/>
      <c r="H67" s="117">
        <f>SUM(Tabla13267[[#This Row],[PRIMER TRIMESTRE]:[CUARTO TRIMESTRE]])</f>
        <v>40</v>
      </c>
      <c r="I67" s="118">
        <v>400</v>
      </c>
      <c r="J67" s="118">
        <f t="shared" si="0"/>
        <v>16000</v>
      </c>
      <c r="K67" s="118"/>
      <c r="L67" s="119" t="s">
        <v>15</v>
      </c>
      <c r="M67" s="119" t="s">
        <v>22</v>
      </c>
      <c r="N67" s="116" t="s">
        <v>418</v>
      </c>
      <c r="O67" s="118"/>
      <c r="R67" s="121"/>
      <c r="U67" s="119"/>
    </row>
    <row r="68" spans="1:21" s="26" customFormat="1" ht="29.25" customHeight="1">
      <c r="A68" s="22" t="s">
        <v>46</v>
      </c>
      <c r="B68" s="76"/>
      <c r="C68" s="42"/>
      <c r="D68" s="42"/>
      <c r="E68" s="42"/>
      <c r="F68" s="42"/>
      <c r="G68" s="42"/>
      <c r="H68" s="43"/>
      <c r="I68" s="24"/>
      <c r="J68" s="24"/>
      <c r="K68" s="25">
        <f>SUBTOTAL(109,J32:J67)</f>
        <v>6728687.3099999996</v>
      </c>
      <c r="L68" s="23"/>
      <c r="M68" s="23"/>
      <c r="N68" s="42"/>
      <c r="O68" s="24"/>
      <c r="R68" s="27"/>
      <c r="U68" s="23"/>
    </row>
    <row r="69" spans="1:21" s="111" customFormat="1" ht="31.5">
      <c r="A69" s="105" t="s">
        <v>56</v>
      </c>
      <c r="B69" s="106" t="s">
        <v>563</v>
      </c>
      <c r="C69" s="107" t="s">
        <v>17</v>
      </c>
      <c r="D69" s="107">
        <v>6</v>
      </c>
      <c r="E69" s="107"/>
      <c r="F69" s="107">
        <v>6</v>
      </c>
      <c r="G69" s="107"/>
      <c r="H69" s="108">
        <f>SUM(Tabla13267[[#This Row],[PRIMER TRIMESTRE]:[CUARTO TRIMESTRE]])</f>
        <v>12</v>
      </c>
      <c r="I69" s="109">
        <v>4500</v>
      </c>
      <c r="J69" s="109">
        <f>+H69*I69</f>
        <v>54000</v>
      </c>
      <c r="K69" s="109"/>
      <c r="L69" s="110" t="s">
        <v>27</v>
      </c>
      <c r="M69" s="110" t="s">
        <v>22</v>
      </c>
      <c r="N69" s="107" t="s">
        <v>418</v>
      </c>
      <c r="O69" s="109"/>
      <c r="R69" s="112"/>
      <c r="U69" s="110"/>
    </row>
    <row r="70" spans="1:21" s="111" customFormat="1" ht="31.5">
      <c r="A70" s="105" t="s">
        <v>56</v>
      </c>
      <c r="B70" s="106" t="s">
        <v>562</v>
      </c>
      <c r="C70" s="107" t="s">
        <v>17</v>
      </c>
      <c r="D70" s="107">
        <v>6</v>
      </c>
      <c r="E70" s="107"/>
      <c r="F70" s="107">
        <v>6</v>
      </c>
      <c r="G70" s="107"/>
      <c r="H70" s="108">
        <f>SUM(Tabla13267[[#This Row],[PRIMER TRIMESTRE]:[CUARTO TRIMESTRE]])</f>
        <v>12</v>
      </c>
      <c r="I70" s="109">
        <v>6800</v>
      </c>
      <c r="J70" s="109">
        <f>+H70*I70</f>
        <v>81600</v>
      </c>
      <c r="K70" s="109"/>
      <c r="L70" s="110" t="s">
        <v>27</v>
      </c>
      <c r="M70" s="110" t="s">
        <v>22</v>
      </c>
      <c r="N70" s="107" t="s">
        <v>418</v>
      </c>
      <c r="O70" s="109"/>
      <c r="R70" s="112"/>
      <c r="U70" s="110"/>
    </row>
    <row r="71" spans="1:21" s="111" customFormat="1" ht="31.5">
      <c r="A71" s="105" t="s">
        <v>56</v>
      </c>
      <c r="B71" s="106" t="s">
        <v>61</v>
      </c>
      <c r="C71" s="107" t="s">
        <v>17</v>
      </c>
      <c r="D71" s="107">
        <v>45</v>
      </c>
      <c r="E71" s="107"/>
      <c r="F71" s="107">
        <v>45</v>
      </c>
      <c r="G71" s="107"/>
      <c r="H71" s="108">
        <f>SUM(Tabla13267[[#This Row],[PRIMER TRIMESTRE]:[CUARTO TRIMESTRE]])</f>
        <v>90</v>
      </c>
      <c r="I71" s="109">
        <f>3600*1.2</f>
        <v>4320</v>
      </c>
      <c r="J71" s="109">
        <f>+Tabla13267[[#This Row],[CANTIDAD TOTAL]]*Tabla13267[[#This Row],[PRECIO UNITARIO ESTIMADO]]</f>
        <v>388800</v>
      </c>
      <c r="K71" s="109"/>
      <c r="L71" s="110" t="s">
        <v>27</v>
      </c>
      <c r="M71" s="110" t="s">
        <v>22</v>
      </c>
      <c r="N71" s="107" t="s">
        <v>418</v>
      </c>
      <c r="O71" s="110"/>
      <c r="R71" s="112" t="s">
        <v>62</v>
      </c>
      <c r="U71" s="110"/>
    </row>
    <row r="72" spans="1:21" s="111" customFormat="1" ht="31.5">
      <c r="A72" s="105" t="s">
        <v>56</v>
      </c>
      <c r="B72" s="106" t="s">
        <v>63</v>
      </c>
      <c r="C72" s="107" t="s">
        <v>17</v>
      </c>
      <c r="D72" s="107">
        <v>35</v>
      </c>
      <c r="E72" s="107"/>
      <c r="F72" s="107">
        <v>35</v>
      </c>
      <c r="G72" s="107"/>
      <c r="H72" s="108">
        <f>SUM(Tabla13267[[#This Row],[PRIMER TRIMESTRE]:[CUARTO TRIMESTRE]])</f>
        <v>70</v>
      </c>
      <c r="I72" s="109">
        <v>6409</v>
      </c>
      <c r="J72" s="109">
        <f>+Tabla13267[[#This Row],[CANTIDAD TOTAL]]*Tabla13267[[#This Row],[PRECIO UNITARIO ESTIMADO]]</f>
        <v>448630</v>
      </c>
      <c r="K72" s="109"/>
      <c r="L72" s="110" t="s">
        <v>27</v>
      </c>
      <c r="M72" s="110" t="s">
        <v>22</v>
      </c>
      <c r="N72" s="107" t="s">
        <v>418</v>
      </c>
      <c r="O72" s="110"/>
      <c r="R72" s="112"/>
      <c r="U72" s="110"/>
    </row>
    <row r="73" spans="1:21" s="111" customFormat="1" ht="31.5">
      <c r="A73" s="105" t="s">
        <v>56</v>
      </c>
      <c r="B73" s="106" t="s">
        <v>64</v>
      </c>
      <c r="C73" s="107" t="s">
        <v>17</v>
      </c>
      <c r="D73" s="107">
        <v>15</v>
      </c>
      <c r="E73" s="107"/>
      <c r="F73" s="107">
        <v>15</v>
      </c>
      <c r="G73" s="107"/>
      <c r="H73" s="108">
        <f>SUM(Tabla13267[[#This Row],[PRIMER TRIMESTRE]:[CUARTO TRIMESTRE]])</f>
        <v>30</v>
      </c>
      <c r="I73" s="109">
        <v>6500</v>
      </c>
      <c r="J73" s="109">
        <f>+Tabla13267[[#This Row],[CANTIDAD TOTAL]]*Tabla13267[[#This Row],[PRECIO UNITARIO ESTIMADO]]</f>
        <v>195000</v>
      </c>
      <c r="K73" s="109"/>
      <c r="L73" s="110" t="s">
        <v>27</v>
      </c>
      <c r="M73" s="110" t="s">
        <v>22</v>
      </c>
      <c r="N73" s="107" t="s">
        <v>418</v>
      </c>
      <c r="O73" s="110"/>
      <c r="R73" s="112"/>
      <c r="U73" s="110"/>
    </row>
    <row r="74" spans="1:21" s="111" customFormat="1" ht="31.5">
      <c r="A74" s="105" t="s">
        <v>56</v>
      </c>
      <c r="B74" s="106" t="s">
        <v>65</v>
      </c>
      <c r="C74" s="107" t="s">
        <v>17</v>
      </c>
      <c r="D74" s="107">
        <v>8</v>
      </c>
      <c r="E74" s="107"/>
      <c r="F74" s="107">
        <v>8</v>
      </c>
      <c r="G74" s="107"/>
      <c r="H74" s="108">
        <f>SUM(Tabla13267[[#This Row],[PRIMER TRIMESTRE]:[CUARTO TRIMESTRE]])</f>
        <v>16</v>
      </c>
      <c r="I74" s="109">
        <v>7965.33</v>
      </c>
      <c r="J74" s="109">
        <f>+Tabla13267[[#This Row],[CANTIDAD TOTAL]]*Tabla13267[[#This Row],[PRECIO UNITARIO ESTIMADO]]</f>
        <v>127445.28</v>
      </c>
      <c r="K74" s="109"/>
      <c r="L74" s="110" t="s">
        <v>27</v>
      </c>
      <c r="M74" s="110" t="s">
        <v>22</v>
      </c>
      <c r="N74" s="107" t="s">
        <v>418</v>
      </c>
      <c r="O74" s="110"/>
      <c r="R74" s="112"/>
      <c r="U74" s="110"/>
    </row>
    <row r="75" spans="1:21" s="111" customFormat="1" ht="31.5">
      <c r="A75" s="105" t="s">
        <v>56</v>
      </c>
      <c r="B75" s="106" t="s">
        <v>66</v>
      </c>
      <c r="C75" s="107" t="s">
        <v>17</v>
      </c>
      <c r="D75" s="107">
        <v>5</v>
      </c>
      <c r="E75" s="107"/>
      <c r="F75" s="107">
        <v>5</v>
      </c>
      <c r="G75" s="107"/>
      <c r="H75" s="108">
        <f>SUM(Tabla13267[[#This Row],[PRIMER TRIMESTRE]:[CUARTO TRIMESTRE]])</f>
        <v>10</v>
      </c>
      <c r="I75" s="109">
        <v>9976</v>
      </c>
      <c r="J75" s="109">
        <f>+Tabla13267[[#This Row],[CANTIDAD TOTAL]]*Tabla13267[[#This Row],[PRECIO UNITARIO ESTIMADO]]</f>
        <v>99760</v>
      </c>
      <c r="K75" s="109"/>
      <c r="L75" s="110" t="s">
        <v>27</v>
      </c>
      <c r="M75" s="110" t="s">
        <v>22</v>
      </c>
      <c r="N75" s="107" t="s">
        <v>418</v>
      </c>
      <c r="O75" s="110"/>
      <c r="R75" s="112" t="s">
        <v>67</v>
      </c>
      <c r="U75" s="110"/>
    </row>
    <row r="76" spans="1:21" s="111" customFormat="1" ht="31.5">
      <c r="A76" s="105" t="s">
        <v>56</v>
      </c>
      <c r="B76" s="106" t="s">
        <v>765</v>
      </c>
      <c r="C76" s="107" t="s">
        <v>17</v>
      </c>
      <c r="D76" s="107">
        <v>4</v>
      </c>
      <c r="E76" s="107"/>
      <c r="F76" s="107">
        <v>4</v>
      </c>
      <c r="G76" s="107"/>
      <c r="H76" s="108">
        <f>SUM(Tabla13267[[#This Row],[PRIMER TRIMESTRE]:[CUARTO TRIMESTRE]])</f>
        <v>8</v>
      </c>
      <c r="I76" s="109">
        <v>11500</v>
      </c>
      <c r="J76" s="109">
        <f>+H76*I76</f>
        <v>92000</v>
      </c>
      <c r="K76" s="109"/>
      <c r="L76" s="110" t="s">
        <v>27</v>
      </c>
      <c r="M76" s="110" t="s">
        <v>22</v>
      </c>
      <c r="N76" s="107" t="s">
        <v>418</v>
      </c>
      <c r="O76" s="109"/>
      <c r="R76" s="112"/>
      <c r="U76" s="110"/>
    </row>
    <row r="77" spans="1:21" s="26" customFormat="1" ht="44.25" customHeight="1">
      <c r="A77" s="22" t="s">
        <v>56</v>
      </c>
      <c r="B77" s="76"/>
      <c r="C77" s="42"/>
      <c r="D77" s="42"/>
      <c r="E77" s="42"/>
      <c r="F77" s="42"/>
      <c r="G77" s="42"/>
      <c r="H77" s="43"/>
      <c r="I77" s="24"/>
      <c r="J77" s="24"/>
      <c r="K77" s="25">
        <f>SUM(J69:J76)</f>
        <v>1487235.28</v>
      </c>
      <c r="L77" s="23"/>
      <c r="M77" s="23"/>
      <c r="N77" s="42"/>
      <c r="O77" s="24"/>
      <c r="R77" s="27"/>
      <c r="U77" s="23"/>
    </row>
    <row r="78" spans="1:21" s="12" customFormat="1">
      <c r="A78" s="15" t="s">
        <v>62</v>
      </c>
      <c r="B78" s="75" t="s">
        <v>68</v>
      </c>
      <c r="C78" s="39" t="s">
        <v>69</v>
      </c>
      <c r="D78" s="39"/>
      <c r="E78" s="39">
        <v>40</v>
      </c>
      <c r="F78" s="39"/>
      <c r="G78" s="39">
        <v>40</v>
      </c>
      <c r="H78" s="40">
        <f>SUM(Tabla13267[[#This Row],[PRIMER TRIMESTRE]:[CUARTO TRIMESTRE]])</f>
        <v>80</v>
      </c>
      <c r="I78" s="17">
        <v>320.89999999999998</v>
      </c>
      <c r="J78" s="17">
        <f>+Tabla13267[[#This Row],[CANTIDAD TOTAL]]*Tabla13267[[#This Row],[PRECIO UNITARIO ESTIMADO]]</f>
        <v>25672</v>
      </c>
      <c r="K78" s="17"/>
      <c r="L78" s="16" t="s">
        <v>15</v>
      </c>
      <c r="M78" s="16" t="s">
        <v>22</v>
      </c>
      <c r="N78" s="39" t="s">
        <v>418</v>
      </c>
      <c r="O78" s="20"/>
      <c r="R78" s="19" t="s">
        <v>70</v>
      </c>
      <c r="U78" s="16"/>
    </row>
    <row r="79" spans="1:21" s="12" customFormat="1">
      <c r="A79" s="15" t="s">
        <v>62</v>
      </c>
      <c r="B79" s="75" t="s">
        <v>461</v>
      </c>
      <c r="C79" s="39" t="s">
        <v>69</v>
      </c>
      <c r="D79" s="39"/>
      <c r="E79" s="39"/>
      <c r="F79" s="39"/>
      <c r="G79" s="39">
        <v>40</v>
      </c>
      <c r="H79" s="40">
        <f>SUM(Tabla13267[[#This Row],[PRIMER TRIMESTRE]:[CUARTO TRIMESTRE]])</f>
        <v>40</v>
      </c>
      <c r="I79" s="17">
        <v>561.17999999999995</v>
      </c>
      <c r="J79" s="17">
        <f>+H79*I79</f>
        <v>22447.199999999997</v>
      </c>
      <c r="K79" s="17"/>
      <c r="L79" s="16" t="s">
        <v>15</v>
      </c>
      <c r="M79" s="16" t="s">
        <v>22</v>
      </c>
      <c r="N79" s="39" t="s">
        <v>418</v>
      </c>
      <c r="O79" s="18"/>
      <c r="R79" s="19"/>
      <c r="U79" s="16"/>
    </row>
    <row r="80" spans="1:21" s="12" customFormat="1" ht="19.5" customHeight="1">
      <c r="A80" s="15" t="s">
        <v>62</v>
      </c>
      <c r="B80" s="75" t="s">
        <v>567</v>
      </c>
      <c r="C80" s="39" t="s">
        <v>17</v>
      </c>
      <c r="D80" s="39"/>
      <c r="E80" s="39"/>
      <c r="F80" s="39"/>
      <c r="G80" s="39">
        <v>10</v>
      </c>
      <c r="H80" s="40">
        <f>SUM(Tabla13267[[#This Row],[PRIMER TRIMESTRE]:[CUARTO TRIMESTRE]])</f>
        <v>10</v>
      </c>
      <c r="I80" s="17">
        <v>350</v>
      </c>
      <c r="J80" s="17">
        <f>+Tabla13267[[#This Row],[CANTIDAD TOTAL]]*Tabla13267[[#This Row],[PRECIO UNITARIO ESTIMADO]]</f>
        <v>3500</v>
      </c>
      <c r="K80" s="17"/>
      <c r="L80" s="16" t="s">
        <v>15</v>
      </c>
      <c r="M80" s="16" t="s">
        <v>22</v>
      </c>
      <c r="N80" s="45" t="s">
        <v>418</v>
      </c>
      <c r="O80" s="29"/>
      <c r="R80" s="19"/>
    </row>
    <row r="81" spans="1:21" s="12" customFormat="1">
      <c r="A81" s="15" t="s">
        <v>62</v>
      </c>
      <c r="B81" s="75" t="s">
        <v>472</v>
      </c>
      <c r="C81" s="39" t="s">
        <v>17</v>
      </c>
      <c r="D81" s="39"/>
      <c r="E81" s="39"/>
      <c r="F81" s="39"/>
      <c r="G81" s="39">
        <v>40</v>
      </c>
      <c r="H81" s="40">
        <f>SUM(Tabla13267[[#This Row],[PRIMER TRIMESTRE]:[CUARTO TRIMESTRE]])</f>
        <v>40</v>
      </c>
      <c r="I81" s="17">
        <v>450.4</v>
      </c>
      <c r="J81" s="17">
        <f>+H81*I81</f>
        <v>18016</v>
      </c>
      <c r="K81" s="17"/>
      <c r="L81" s="16" t="s">
        <v>15</v>
      </c>
      <c r="M81" s="16" t="s">
        <v>22</v>
      </c>
      <c r="N81" s="39" t="s">
        <v>418</v>
      </c>
      <c r="O81" s="18"/>
      <c r="R81" s="19"/>
    </row>
    <row r="82" spans="1:21" s="12" customFormat="1">
      <c r="A82" s="15" t="s">
        <v>62</v>
      </c>
      <c r="B82" s="75" t="s">
        <v>440</v>
      </c>
      <c r="C82" s="39" t="s">
        <v>17</v>
      </c>
      <c r="D82" s="39"/>
      <c r="E82" s="39">
        <v>9</v>
      </c>
      <c r="F82" s="39"/>
      <c r="G82" s="39">
        <v>9</v>
      </c>
      <c r="H82" s="40">
        <f>SUM(Tabla13267[[#This Row],[PRIMER TRIMESTRE]:[CUARTO TRIMESTRE]])</f>
        <v>18</v>
      </c>
      <c r="I82" s="17">
        <v>7000</v>
      </c>
      <c r="J82" s="17">
        <f>+H82*I82</f>
        <v>126000</v>
      </c>
      <c r="K82" s="17"/>
      <c r="L82" s="16" t="s">
        <v>15</v>
      </c>
      <c r="M82" s="16" t="s">
        <v>22</v>
      </c>
      <c r="N82" s="39" t="s">
        <v>418</v>
      </c>
      <c r="O82" s="18"/>
      <c r="R82" s="19"/>
    </row>
    <row r="83" spans="1:21" s="12" customFormat="1">
      <c r="A83" s="15" t="s">
        <v>62</v>
      </c>
      <c r="B83" s="75" t="s">
        <v>435</v>
      </c>
      <c r="C83" s="39" t="s">
        <v>17</v>
      </c>
      <c r="D83" s="39"/>
      <c r="E83" s="39">
        <v>60</v>
      </c>
      <c r="F83" s="39"/>
      <c r="G83" s="39">
        <v>60</v>
      </c>
      <c r="H83" s="40">
        <f>SUM(Tabla13267[[#This Row],[PRIMER TRIMESTRE]:[CUARTO TRIMESTRE]])</f>
        <v>120</v>
      </c>
      <c r="I83" s="17">
        <v>110</v>
      </c>
      <c r="J83" s="17">
        <f>+Tabla13267[[#This Row],[CANTIDAD TOTAL]]*Tabla13267[[#This Row],[PRECIO UNITARIO ESTIMADO]]</f>
        <v>13200</v>
      </c>
      <c r="K83" s="17"/>
      <c r="L83" s="16" t="s">
        <v>15</v>
      </c>
      <c r="M83" s="28" t="s">
        <v>22</v>
      </c>
      <c r="N83" s="39" t="s">
        <v>418</v>
      </c>
      <c r="O83" s="29"/>
      <c r="R83" s="19"/>
    </row>
    <row r="84" spans="1:21" s="12" customFormat="1">
      <c r="A84" s="15" t="s">
        <v>62</v>
      </c>
      <c r="B84" s="75" t="s">
        <v>729</v>
      </c>
      <c r="C84" s="39" t="s">
        <v>17</v>
      </c>
      <c r="D84" s="39"/>
      <c r="E84" s="39"/>
      <c r="F84" s="39"/>
      <c r="G84" s="39">
        <v>90</v>
      </c>
      <c r="H84" s="40">
        <f>SUM(Tabla13267[[#This Row],[PRIMER TRIMESTRE]:[CUARTO TRIMESTRE]])</f>
        <v>90</v>
      </c>
      <c r="I84" s="17">
        <v>260</v>
      </c>
      <c r="J84" s="17">
        <f>+Tabla13267[[#This Row],[CANTIDAD TOTAL]]*Tabla13267[[#This Row],[PRECIO UNITARIO ESTIMADO]]</f>
        <v>23400</v>
      </c>
      <c r="K84" s="17"/>
      <c r="L84" s="16" t="s">
        <v>15</v>
      </c>
      <c r="M84" s="16" t="s">
        <v>22</v>
      </c>
      <c r="N84" s="39" t="s">
        <v>418</v>
      </c>
      <c r="O84" s="20"/>
      <c r="R84" s="19" t="s">
        <v>176</v>
      </c>
    </row>
    <row r="85" spans="1:21" s="12" customFormat="1">
      <c r="A85" s="15" t="s">
        <v>62</v>
      </c>
      <c r="B85" s="75" t="s">
        <v>731</v>
      </c>
      <c r="C85" s="39" t="s">
        <v>17</v>
      </c>
      <c r="D85" s="39"/>
      <c r="E85" s="39"/>
      <c r="F85" s="39"/>
      <c r="G85" s="39">
        <v>50</v>
      </c>
      <c r="H85" s="40">
        <f>SUM(Tabla13267[[#This Row],[PRIMER TRIMESTRE]:[CUARTO TRIMESTRE]])</f>
        <v>50</v>
      </c>
      <c r="I85" s="17">
        <v>375</v>
      </c>
      <c r="J85" s="17">
        <f>+Tabla13267[[#This Row],[CANTIDAD TOTAL]]*Tabla13267[[#This Row],[PRECIO UNITARIO ESTIMADO]]</f>
        <v>18750</v>
      </c>
      <c r="K85" s="17"/>
      <c r="L85" s="16" t="s">
        <v>15</v>
      </c>
      <c r="M85" s="16" t="s">
        <v>22</v>
      </c>
      <c r="N85" s="39" t="s">
        <v>418</v>
      </c>
      <c r="O85" s="20"/>
      <c r="R85" s="19" t="s">
        <v>71</v>
      </c>
      <c r="U85" s="16"/>
    </row>
    <row r="86" spans="1:21" s="12" customFormat="1">
      <c r="A86" s="15" t="s">
        <v>62</v>
      </c>
      <c r="B86" s="75" t="s">
        <v>72</v>
      </c>
      <c r="C86" s="39" t="s">
        <v>17</v>
      </c>
      <c r="D86" s="39"/>
      <c r="E86" s="39">
        <v>300</v>
      </c>
      <c r="F86" s="39"/>
      <c r="G86" s="39">
        <v>300</v>
      </c>
      <c r="H86" s="40">
        <f>SUM(Tabla13267[[#This Row],[PRIMER TRIMESTRE]:[CUARTO TRIMESTRE]])</f>
        <v>600</v>
      </c>
      <c r="I86" s="72">
        <v>295</v>
      </c>
      <c r="J86" s="17">
        <f>+Tabla13267[[#This Row],[CANTIDAD TOTAL]]*Tabla13267[[#This Row],[PRECIO UNITARIO ESTIMADO]]</f>
        <v>177000</v>
      </c>
      <c r="K86" s="17"/>
      <c r="L86" s="16" t="s">
        <v>15</v>
      </c>
      <c r="M86" s="16" t="s">
        <v>22</v>
      </c>
      <c r="N86" s="39" t="s">
        <v>418</v>
      </c>
      <c r="O86" s="20"/>
      <c r="R86" s="19" t="s">
        <v>73</v>
      </c>
      <c r="U86" s="16"/>
    </row>
    <row r="87" spans="1:21" s="12" customFormat="1">
      <c r="A87" s="15" t="s">
        <v>62</v>
      </c>
      <c r="B87" s="75" t="s">
        <v>467</v>
      </c>
      <c r="C87" s="39" t="s">
        <v>17</v>
      </c>
      <c r="D87" s="39"/>
      <c r="E87" s="39"/>
      <c r="F87" s="39"/>
      <c r="G87" s="39">
        <v>50</v>
      </c>
      <c r="H87" s="40">
        <f>SUM(Tabla13267[[#This Row],[PRIMER TRIMESTRE]:[CUARTO TRIMESTRE]])</f>
        <v>50</v>
      </c>
      <c r="I87" s="72">
        <v>852.71</v>
      </c>
      <c r="J87" s="17">
        <f>+H87*I87</f>
        <v>42635.5</v>
      </c>
      <c r="K87" s="17"/>
      <c r="L87" s="16" t="s">
        <v>15</v>
      </c>
      <c r="M87" s="16"/>
      <c r="N87" s="39" t="s">
        <v>418</v>
      </c>
      <c r="O87" s="18"/>
      <c r="R87" s="19"/>
    </row>
    <row r="88" spans="1:21" s="12" customFormat="1">
      <c r="A88" s="15" t="s">
        <v>62</v>
      </c>
      <c r="B88" s="75" t="s">
        <v>432</v>
      </c>
      <c r="C88" s="39" t="s">
        <v>17</v>
      </c>
      <c r="D88" s="39"/>
      <c r="E88" s="39"/>
      <c r="F88" s="39"/>
      <c r="G88" s="39">
        <v>23</v>
      </c>
      <c r="H88" s="40">
        <f>SUM(Tabla13267[[#This Row],[PRIMER TRIMESTRE]:[CUARTO TRIMESTRE]])</f>
        <v>23</v>
      </c>
      <c r="I88" s="72">
        <v>350</v>
      </c>
      <c r="J88" s="17">
        <f>+Tabla13267[[#This Row],[CANTIDAD TOTAL]]*Tabla13267[[#This Row],[PRECIO UNITARIO ESTIMADO]]</f>
        <v>8050</v>
      </c>
      <c r="K88" s="17"/>
      <c r="L88" s="16" t="s">
        <v>15</v>
      </c>
      <c r="M88" s="16" t="s">
        <v>22</v>
      </c>
      <c r="N88" s="45" t="s">
        <v>418</v>
      </c>
      <c r="O88" s="29"/>
      <c r="R88" s="19"/>
      <c r="U88" s="16"/>
    </row>
    <row r="89" spans="1:21" s="12" customFormat="1">
      <c r="A89" s="15" t="s">
        <v>62</v>
      </c>
      <c r="B89" s="75" t="s">
        <v>431</v>
      </c>
      <c r="C89" s="39" t="s">
        <v>17</v>
      </c>
      <c r="D89" s="39"/>
      <c r="E89" s="39">
        <v>117</v>
      </c>
      <c r="F89" s="39"/>
      <c r="G89" s="39">
        <v>116</v>
      </c>
      <c r="H89" s="40">
        <f>SUM(Tabla13267[[#This Row],[PRIMER TRIMESTRE]:[CUARTO TRIMESTRE]])</f>
        <v>233</v>
      </c>
      <c r="I89" s="72">
        <v>397.45</v>
      </c>
      <c r="J89" s="17">
        <f>+Tabla13267[[#This Row],[CANTIDAD TOTAL]]*Tabla13267[[#This Row],[PRECIO UNITARIO ESTIMADO]]</f>
        <v>92605.849999999991</v>
      </c>
      <c r="K89" s="17"/>
      <c r="L89" s="16" t="s">
        <v>15</v>
      </c>
      <c r="M89" s="16" t="s">
        <v>22</v>
      </c>
      <c r="N89" s="39" t="s">
        <v>418</v>
      </c>
      <c r="O89" s="20"/>
      <c r="R89" s="19" t="s">
        <v>74</v>
      </c>
      <c r="U89" s="16"/>
    </row>
    <row r="90" spans="1:21" s="12" customFormat="1">
      <c r="A90" s="15" t="s">
        <v>62</v>
      </c>
      <c r="B90" s="75" t="s">
        <v>434</v>
      </c>
      <c r="C90" s="39" t="s">
        <v>17</v>
      </c>
      <c r="D90" s="39"/>
      <c r="E90" s="39">
        <v>50</v>
      </c>
      <c r="F90" s="39"/>
      <c r="G90" s="39">
        <v>50</v>
      </c>
      <c r="H90" s="40">
        <f>SUM(Tabla13267[[#This Row],[PRIMER TRIMESTRE]:[CUARTO TRIMESTRE]])</f>
        <v>100</v>
      </c>
      <c r="I90" s="72">
        <v>1120.9100000000001</v>
      </c>
      <c r="J90" s="17">
        <f>+Tabla13267[[#This Row],[CANTIDAD TOTAL]]*Tabla13267[[#This Row],[PRECIO UNITARIO ESTIMADO]]</f>
        <v>112091.00000000001</v>
      </c>
      <c r="K90" s="17"/>
      <c r="L90" s="16" t="s">
        <v>15</v>
      </c>
      <c r="M90" s="16" t="s">
        <v>22</v>
      </c>
      <c r="N90" s="39" t="s">
        <v>418</v>
      </c>
      <c r="O90" s="20"/>
      <c r="R90" s="19" t="s">
        <v>75</v>
      </c>
      <c r="U90" s="16"/>
    </row>
    <row r="91" spans="1:21" s="12" customFormat="1">
      <c r="A91" s="15" t="s">
        <v>62</v>
      </c>
      <c r="B91" s="75" t="s">
        <v>76</v>
      </c>
      <c r="C91" s="39" t="s">
        <v>17</v>
      </c>
      <c r="D91" s="39"/>
      <c r="E91" s="39"/>
      <c r="F91" s="39"/>
      <c r="G91" s="39">
        <v>50</v>
      </c>
      <c r="H91" s="40">
        <f>SUM(Tabla13267[[#This Row],[PRIMER TRIMESTRE]:[CUARTO TRIMESTRE]])</f>
        <v>50</v>
      </c>
      <c r="I91" s="17">
        <v>100.57</v>
      </c>
      <c r="J91" s="17">
        <f>+Tabla13267[[#This Row],[CANTIDAD TOTAL]]*Tabla13267[[#This Row],[PRECIO UNITARIO ESTIMADO]]</f>
        <v>5028.5</v>
      </c>
      <c r="K91" s="17"/>
      <c r="L91" s="16" t="s">
        <v>15</v>
      </c>
      <c r="M91" s="16" t="s">
        <v>22</v>
      </c>
      <c r="N91" s="39" t="s">
        <v>418</v>
      </c>
      <c r="O91" s="20"/>
      <c r="R91" s="19" t="s">
        <v>77</v>
      </c>
    </row>
    <row r="92" spans="1:21" s="12" customFormat="1">
      <c r="A92" s="15" t="s">
        <v>62</v>
      </c>
      <c r="B92" s="75" t="s">
        <v>433</v>
      </c>
      <c r="C92" s="39" t="s">
        <v>17</v>
      </c>
      <c r="D92" s="39"/>
      <c r="E92" s="39"/>
      <c r="F92" s="39"/>
      <c r="G92" s="39">
        <v>7</v>
      </c>
      <c r="H92" s="40">
        <f>SUM(Tabla13267[[#This Row],[PRIMER TRIMESTRE]:[CUARTO TRIMESTRE]])</f>
        <v>7</v>
      </c>
      <c r="I92" s="17">
        <v>1144.23</v>
      </c>
      <c r="J92" s="17">
        <f>+Tabla13267[[#This Row],[CANTIDAD TOTAL]]*Tabla13267[[#This Row],[PRECIO UNITARIO ESTIMADO]]</f>
        <v>8009.6100000000006</v>
      </c>
      <c r="K92" s="17"/>
      <c r="L92" s="16" t="s">
        <v>15</v>
      </c>
      <c r="M92" s="16" t="s">
        <v>22</v>
      </c>
      <c r="N92" s="45" t="s">
        <v>418</v>
      </c>
      <c r="O92" s="29"/>
      <c r="R92" s="19"/>
    </row>
    <row r="93" spans="1:21" s="12" customFormat="1">
      <c r="A93" s="15" t="s">
        <v>62</v>
      </c>
      <c r="B93" s="75" t="s">
        <v>78</v>
      </c>
      <c r="C93" s="39" t="s">
        <v>17</v>
      </c>
      <c r="D93" s="39"/>
      <c r="E93" s="39">
        <v>4</v>
      </c>
      <c r="F93" s="39"/>
      <c r="G93" s="39">
        <v>2</v>
      </c>
      <c r="H93" s="40">
        <f>SUM(Tabla13267[[#This Row],[PRIMER TRIMESTRE]:[CUARTO TRIMESTRE]])</f>
        <v>6</v>
      </c>
      <c r="I93" s="17">
        <v>377</v>
      </c>
      <c r="J93" s="17">
        <f>+Tabla13267[[#This Row],[CANTIDAD TOTAL]]*Tabla13267[[#This Row],[PRECIO UNITARIO ESTIMADO]]</f>
        <v>2262</v>
      </c>
      <c r="K93" s="17"/>
      <c r="L93" s="16" t="s">
        <v>15</v>
      </c>
      <c r="M93" s="16" t="s">
        <v>22</v>
      </c>
      <c r="N93" s="39" t="s">
        <v>418</v>
      </c>
      <c r="O93" s="20"/>
      <c r="R93" s="19" t="s">
        <v>79</v>
      </c>
    </row>
    <row r="94" spans="1:21" s="12" customFormat="1">
      <c r="A94" s="15" t="s">
        <v>62</v>
      </c>
      <c r="B94" s="75" t="s">
        <v>437</v>
      </c>
      <c r="C94" s="70" t="s">
        <v>17</v>
      </c>
      <c r="D94" s="39"/>
      <c r="E94" s="70"/>
      <c r="F94" s="70"/>
      <c r="G94" s="70">
        <v>50</v>
      </c>
      <c r="H94" s="40">
        <f>SUM(Tabla13267[[#This Row],[PRIMER TRIMESTRE]:[CUARTO TRIMESTRE]])</f>
        <v>50</v>
      </c>
      <c r="I94" s="17">
        <v>125</v>
      </c>
      <c r="J94" s="17">
        <f>+Tabla13267[[#This Row],[CANTIDAD TOTAL]]*Tabla13267[[#This Row],[PRECIO UNITARIO ESTIMADO]]</f>
        <v>6250</v>
      </c>
      <c r="K94" s="17"/>
      <c r="L94" s="16" t="s">
        <v>15</v>
      </c>
      <c r="M94" s="16" t="s">
        <v>22</v>
      </c>
      <c r="N94" s="39" t="s">
        <v>418</v>
      </c>
      <c r="O94" s="20"/>
      <c r="R94" s="19" t="s">
        <v>116</v>
      </c>
    </row>
    <row r="95" spans="1:21" s="12" customFormat="1">
      <c r="A95" s="15" t="s">
        <v>62</v>
      </c>
      <c r="B95" s="75" t="s">
        <v>438</v>
      </c>
      <c r="C95" s="70" t="s">
        <v>17</v>
      </c>
      <c r="D95" s="39"/>
      <c r="E95" s="70">
        <v>450</v>
      </c>
      <c r="F95" s="70"/>
      <c r="G95" s="70">
        <v>450</v>
      </c>
      <c r="H95" s="40">
        <f>SUM(Tabla13267[[#This Row],[PRIMER TRIMESTRE]:[CUARTO TRIMESTRE]])</f>
        <v>900</v>
      </c>
      <c r="I95" s="17">
        <v>80</v>
      </c>
      <c r="J95" s="17">
        <f>+Tabla13267[[#This Row],[CANTIDAD TOTAL]]*Tabla13267[[#This Row],[PRECIO UNITARIO ESTIMADO]]</f>
        <v>72000</v>
      </c>
      <c r="K95" s="17"/>
      <c r="L95" s="16" t="s">
        <v>15</v>
      </c>
      <c r="M95" s="16" t="s">
        <v>22</v>
      </c>
      <c r="N95" s="39" t="s">
        <v>418</v>
      </c>
      <c r="O95" s="29"/>
      <c r="R95" s="19"/>
    </row>
    <row r="96" spans="1:21" s="12" customFormat="1">
      <c r="A96" s="15" t="s">
        <v>62</v>
      </c>
      <c r="B96" s="75" t="s">
        <v>430</v>
      </c>
      <c r="C96" s="70" t="s">
        <v>17</v>
      </c>
      <c r="D96" s="39"/>
      <c r="E96" s="70">
        <v>280</v>
      </c>
      <c r="F96" s="70"/>
      <c r="G96" s="70">
        <v>280</v>
      </c>
      <c r="H96" s="40">
        <f>SUM(Tabla13267[[#This Row],[PRIMER TRIMESTRE]:[CUARTO TRIMESTRE]])</f>
        <v>560</v>
      </c>
      <c r="I96" s="17">
        <v>46.8</v>
      </c>
      <c r="J96" s="17">
        <f>+Tabla13267[[#This Row],[CANTIDAD TOTAL]]*Tabla13267[[#This Row],[PRECIO UNITARIO ESTIMADO]]</f>
        <v>26208</v>
      </c>
      <c r="K96" s="17"/>
      <c r="L96" s="16" t="s">
        <v>15</v>
      </c>
      <c r="M96" s="16" t="s">
        <v>22</v>
      </c>
      <c r="N96" s="39" t="s">
        <v>418</v>
      </c>
      <c r="O96" s="20"/>
      <c r="R96" s="19" t="s">
        <v>117</v>
      </c>
    </row>
    <row r="97" spans="1:21" s="12" customFormat="1">
      <c r="A97" s="15" t="s">
        <v>62</v>
      </c>
      <c r="B97" s="75" t="s">
        <v>598</v>
      </c>
      <c r="C97" s="39" t="s">
        <v>17</v>
      </c>
      <c r="D97" s="39"/>
      <c r="E97" s="39"/>
      <c r="F97" s="142"/>
      <c r="G97" s="39">
        <v>50</v>
      </c>
      <c r="H97" s="40">
        <f>SUM(Tabla13267[[#This Row],[PRIMER TRIMESTRE]:[CUARTO TRIMESTRE]])</f>
        <v>50</v>
      </c>
      <c r="I97" s="17">
        <v>153.05000000000001</v>
      </c>
      <c r="J97" s="17">
        <f>+Tabla13267[[#This Row],[CANTIDAD TOTAL]]*Tabla13267[[#This Row],[PRECIO UNITARIO ESTIMADO]]</f>
        <v>7652.5000000000009</v>
      </c>
      <c r="K97" s="17"/>
      <c r="L97" s="16" t="s">
        <v>15</v>
      </c>
      <c r="M97" s="16" t="s">
        <v>22</v>
      </c>
      <c r="N97" s="39" t="s">
        <v>418</v>
      </c>
      <c r="O97" s="20"/>
      <c r="R97" s="19" t="s">
        <v>141</v>
      </c>
    </row>
    <row r="98" spans="1:21" s="12" customFormat="1">
      <c r="A98" s="15" t="s">
        <v>62</v>
      </c>
      <c r="B98" s="75" t="s">
        <v>599</v>
      </c>
      <c r="C98" s="39" t="s">
        <v>17</v>
      </c>
      <c r="D98" s="39"/>
      <c r="E98" s="39"/>
      <c r="F98" s="142"/>
      <c r="G98" s="39">
        <v>50</v>
      </c>
      <c r="H98" s="40">
        <f>SUM(Tabla13267[[#This Row],[PRIMER TRIMESTRE]:[CUARTO TRIMESTRE]])</f>
        <v>50</v>
      </c>
      <c r="I98" s="17">
        <v>72.88</v>
      </c>
      <c r="J98" s="17">
        <f>+H98*I98</f>
        <v>3644</v>
      </c>
      <c r="K98" s="17"/>
      <c r="L98" s="16" t="s">
        <v>15</v>
      </c>
      <c r="M98" s="16" t="s">
        <v>22</v>
      </c>
      <c r="N98" s="39" t="s">
        <v>418</v>
      </c>
      <c r="O98" s="18"/>
      <c r="R98" s="19"/>
    </row>
    <row r="99" spans="1:21" s="12" customFormat="1">
      <c r="A99" s="15" t="s">
        <v>62</v>
      </c>
      <c r="B99" s="75" t="s">
        <v>600</v>
      </c>
      <c r="C99" s="39" t="s">
        <v>17</v>
      </c>
      <c r="D99" s="39"/>
      <c r="E99" s="39"/>
      <c r="F99" s="142"/>
      <c r="G99" s="39">
        <v>50</v>
      </c>
      <c r="H99" s="40">
        <f>SUM(Tabla13267[[#This Row],[PRIMER TRIMESTRE]:[CUARTO TRIMESTRE]])</f>
        <v>50</v>
      </c>
      <c r="I99" s="17">
        <v>86</v>
      </c>
      <c r="J99" s="17">
        <f>+Tabla13267[[#This Row],[CANTIDAD TOTAL]]*Tabla13267[[#This Row],[PRECIO UNITARIO ESTIMADO]]</f>
        <v>4300</v>
      </c>
      <c r="K99" s="17"/>
      <c r="L99" s="16" t="s">
        <v>15</v>
      </c>
      <c r="M99" s="16" t="s">
        <v>22</v>
      </c>
      <c r="N99" s="39" t="s">
        <v>418</v>
      </c>
      <c r="O99" s="20"/>
      <c r="R99" s="19" t="s">
        <v>142</v>
      </c>
    </row>
    <row r="100" spans="1:21" s="12" customFormat="1">
      <c r="A100" s="15" t="s">
        <v>62</v>
      </c>
      <c r="B100" s="75" t="s">
        <v>601</v>
      </c>
      <c r="C100" s="39" t="s">
        <v>17</v>
      </c>
      <c r="D100" s="39"/>
      <c r="E100" s="39"/>
      <c r="F100" s="142"/>
      <c r="G100" s="39">
        <v>50</v>
      </c>
      <c r="H100" s="40">
        <f>SUM(Tabla13267[[#This Row],[PRIMER TRIMESTRE]:[CUARTO TRIMESTRE]])</f>
        <v>50</v>
      </c>
      <c r="I100" s="17">
        <v>158.88</v>
      </c>
      <c r="J100" s="17">
        <f>+H100*I100</f>
        <v>7944</v>
      </c>
      <c r="K100" s="17"/>
      <c r="L100" s="16" t="s">
        <v>15</v>
      </c>
      <c r="M100" s="16" t="s">
        <v>22</v>
      </c>
      <c r="N100" s="39" t="s">
        <v>418</v>
      </c>
      <c r="O100" s="18"/>
      <c r="R100" s="19"/>
    </row>
    <row r="101" spans="1:21" s="12" customFormat="1">
      <c r="A101" s="15" t="s">
        <v>62</v>
      </c>
      <c r="B101" s="75" t="s">
        <v>144</v>
      </c>
      <c r="C101" s="39" t="s">
        <v>17</v>
      </c>
      <c r="D101" s="39"/>
      <c r="E101" s="39"/>
      <c r="F101" s="142"/>
      <c r="G101" s="39">
        <v>120</v>
      </c>
      <c r="H101" s="40">
        <f>SUM(Tabla13267[[#This Row],[PRIMER TRIMESTRE]:[CUARTO TRIMESTRE]])</f>
        <v>120</v>
      </c>
      <c r="I101" s="17">
        <v>62.87</v>
      </c>
      <c r="J101" s="17">
        <f>+Tabla13267[[#This Row],[CANTIDAD TOTAL]]*Tabla13267[[#This Row],[PRECIO UNITARIO ESTIMADO]]</f>
        <v>7544.4</v>
      </c>
      <c r="K101" s="17"/>
      <c r="L101" s="16" t="s">
        <v>15</v>
      </c>
      <c r="M101" s="16" t="s">
        <v>22</v>
      </c>
      <c r="N101" s="39" t="s">
        <v>418</v>
      </c>
      <c r="O101" s="20"/>
      <c r="R101" s="19" t="s">
        <v>145</v>
      </c>
    </row>
    <row r="102" spans="1:21" s="26" customFormat="1" ht="29.25" customHeight="1">
      <c r="A102" s="22" t="s">
        <v>62</v>
      </c>
      <c r="B102" s="76"/>
      <c r="C102" s="42"/>
      <c r="D102" s="42"/>
      <c r="E102" s="42"/>
      <c r="F102" s="42"/>
      <c r="G102" s="42"/>
      <c r="H102" s="43"/>
      <c r="I102" s="24"/>
      <c r="J102" s="24"/>
      <c r="K102" s="25">
        <f>SUM(J78:J101)</f>
        <v>834210.56</v>
      </c>
      <c r="L102" s="23"/>
      <c r="M102" s="23"/>
      <c r="N102" s="42"/>
      <c r="O102" s="24"/>
      <c r="R102" s="27"/>
      <c r="U102" s="23"/>
    </row>
    <row r="103" spans="1:21" s="12" customFormat="1">
      <c r="A103" s="15" t="s">
        <v>80</v>
      </c>
      <c r="B103" s="75" t="s">
        <v>788</v>
      </c>
      <c r="C103" s="39" t="s">
        <v>69</v>
      </c>
      <c r="D103" s="39"/>
      <c r="E103" s="39">
        <v>125</v>
      </c>
      <c r="F103" s="39"/>
      <c r="G103" s="39">
        <v>125</v>
      </c>
      <c r="H103" s="40">
        <f>SUM(Tabla13267[[#This Row],[PRIMER TRIMESTRE]:[CUARTO TRIMESTRE]])</f>
        <v>250</v>
      </c>
      <c r="I103" s="17">
        <v>5.46</v>
      </c>
      <c r="J103" s="17">
        <f>+Tabla13267[[#This Row],[CANTIDAD TOTAL]]*Tabla13267[[#This Row],[PRECIO UNITARIO ESTIMADO]]</f>
        <v>1365</v>
      </c>
      <c r="K103" s="17"/>
      <c r="L103" s="16" t="s">
        <v>27</v>
      </c>
      <c r="M103" s="16" t="s">
        <v>22</v>
      </c>
      <c r="N103" s="39" t="s">
        <v>418</v>
      </c>
      <c r="O103" s="20"/>
      <c r="R103" s="19" t="s">
        <v>81</v>
      </c>
    </row>
    <row r="104" spans="1:21" s="12" customFormat="1">
      <c r="A104" s="15" t="s">
        <v>80</v>
      </c>
      <c r="B104" s="75" t="s">
        <v>789</v>
      </c>
      <c r="C104" s="39" t="s">
        <v>69</v>
      </c>
      <c r="D104" s="39"/>
      <c r="E104" s="39">
        <v>120</v>
      </c>
      <c r="F104" s="39"/>
      <c r="G104" s="39">
        <v>120</v>
      </c>
      <c r="H104" s="40">
        <f>SUM(Tabla13267[[#This Row],[PRIMER TRIMESTRE]:[CUARTO TRIMESTRE]])</f>
        <v>240</v>
      </c>
      <c r="I104" s="17">
        <v>6.4</v>
      </c>
      <c r="J104" s="17">
        <f>+Tabla13267[[#This Row],[CANTIDAD TOTAL]]*Tabla13267[[#This Row],[PRECIO UNITARIO ESTIMADO]]</f>
        <v>1536</v>
      </c>
      <c r="K104" s="17"/>
      <c r="L104" s="16" t="s">
        <v>27</v>
      </c>
      <c r="M104" s="16" t="s">
        <v>22</v>
      </c>
      <c r="N104" s="39" t="s">
        <v>418</v>
      </c>
      <c r="O104" s="20"/>
      <c r="R104" s="19" t="s">
        <v>82</v>
      </c>
    </row>
    <row r="105" spans="1:21" s="12" customFormat="1">
      <c r="A105" s="15" t="s">
        <v>80</v>
      </c>
      <c r="B105" s="75" t="s">
        <v>83</v>
      </c>
      <c r="C105" s="39" t="s">
        <v>69</v>
      </c>
      <c r="D105" s="39"/>
      <c r="E105" s="39">
        <v>1</v>
      </c>
      <c r="F105" s="39"/>
      <c r="G105" s="39">
        <v>1</v>
      </c>
      <c r="H105" s="40">
        <f>SUM(Tabla13267[[#This Row],[PRIMER TRIMESTRE]:[CUARTO TRIMESTRE]])</f>
        <v>2</v>
      </c>
      <c r="I105" s="17">
        <v>290</v>
      </c>
      <c r="J105" s="17">
        <f>+Tabla13267[[#This Row],[CANTIDAD TOTAL]]*Tabla13267[[#This Row],[PRECIO UNITARIO ESTIMADO]]</f>
        <v>580</v>
      </c>
      <c r="K105" s="17"/>
      <c r="L105" s="16" t="s">
        <v>27</v>
      </c>
      <c r="M105" s="16" t="s">
        <v>22</v>
      </c>
      <c r="N105" s="39" t="s">
        <v>418</v>
      </c>
      <c r="O105" s="20"/>
      <c r="R105" s="19" t="s">
        <v>84</v>
      </c>
    </row>
    <row r="106" spans="1:21" s="12" customFormat="1">
      <c r="A106" s="15" t="s">
        <v>80</v>
      </c>
      <c r="B106" s="75" t="s">
        <v>85</v>
      </c>
      <c r="C106" s="39" t="s">
        <v>69</v>
      </c>
      <c r="D106" s="39"/>
      <c r="E106" s="39">
        <v>1800</v>
      </c>
      <c r="F106" s="39"/>
      <c r="G106" s="39">
        <v>1800</v>
      </c>
      <c r="H106" s="40">
        <f>SUM(Tabla13267[[#This Row],[PRIMER TRIMESTRE]:[CUARTO TRIMESTRE]])</f>
        <v>3600</v>
      </c>
      <c r="I106" s="17">
        <v>4.0599999999999996</v>
      </c>
      <c r="J106" s="17">
        <f>+Tabla13267[[#This Row],[CANTIDAD TOTAL]]*Tabla13267[[#This Row],[PRECIO UNITARIO ESTIMADO]]</f>
        <v>14615.999999999998</v>
      </c>
      <c r="K106" s="17"/>
      <c r="L106" s="16" t="s">
        <v>27</v>
      </c>
      <c r="M106" s="16" t="s">
        <v>22</v>
      </c>
      <c r="N106" s="39" t="s">
        <v>418</v>
      </c>
      <c r="O106" s="20"/>
      <c r="R106" s="19" t="s">
        <v>86</v>
      </c>
    </row>
    <row r="107" spans="1:21" s="12" customFormat="1">
      <c r="A107" s="15" t="s">
        <v>80</v>
      </c>
      <c r="B107" s="75" t="s">
        <v>87</v>
      </c>
      <c r="C107" s="39" t="s">
        <v>69</v>
      </c>
      <c r="D107" s="39"/>
      <c r="E107" s="39">
        <v>1400</v>
      </c>
      <c r="F107" s="39"/>
      <c r="G107" s="39">
        <v>1400</v>
      </c>
      <c r="H107" s="40">
        <f>SUM(Tabla13267[[#This Row],[PRIMER TRIMESTRE]:[CUARTO TRIMESTRE]])</f>
        <v>2800</v>
      </c>
      <c r="I107" s="17">
        <v>3.71</v>
      </c>
      <c r="J107" s="17">
        <f>+Tabla13267[[#This Row],[CANTIDAD TOTAL]]*Tabla13267[[#This Row],[PRECIO UNITARIO ESTIMADO]]</f>
        <v>10388</v>
      </c>
      <c r="K107" s="17"/>
      <c r="L107" s="16" t="s">
        <v>27</v>
      </c>
      <c r="M107" s="16" t="s">
        <v>22</v>
      </c>
      <c r="N107" s="39" t="s">
        <v>418</v>
      </c>
      <c r="O107" s="20"/>
      <c r="R107" s="19" t="s">
        <v>88</v>
      </c>
    </row>
    <row r="108" spans="1:21" s="12" customFormat="1">
      <c r="A108" s="15" t="s">
        <v>80</v>
      </c>
      <c r="B108" s="75" t="s">
        <v>89</v>
      </c>
      <c r="C108" s="39" t="s">
        <v>69</v>
      </c>
      <c r="D108" s="39"/>
      <c r="E108" s="39">
        <v>40</v>
      </c>
      <c r="F108" s="39"/>
      <c r="G108" s="39"/>
      <c r="H108" s="40">
        <f>SUM(Tabla13267[[#This Row],[PRIMER TRIMESTRE]:[CUARTO TRIMESTRE]])</f>
        <v>40</v>
      </c>
      <c r="I108" s="17">
        <v>7.3</v>
      </c>
      <c r="J108" s="17">
        <f>+Tabla13267[[#This Row],[CANTIDAD TOTAL]]*Tabla13267[[#This Row],[PRECIO UNITARIO ESTIMADO]]</f>
        <v>292</v>
      </c>
      <c r="K108" s="17"/>
      <c r="L108" s="16" t="s">
        <v>27</v>
      </c>
      <c r="M108" s="16" t="s">
        <v>22</v>
      </c>
      <c r="N108" s="39" t="s">
        <v>418</v>
      </c>
      <c r="O108" s="20"/>
      <c r="R108" s="19" t="s">
        <v>90</v>
      </c>
    </row>
    <row r="109" spans="1:21" s="12" customFormat="1">
      <c r="A109" s="15" t="s">
        <v>80</v>
      </c>
      <c r="B109" s="75" t="s">
        <v>91</v>
      </c>
      <c r="C109" s="39" t="s">
        <v>69</v>
      </c>
      <c r="D109" s="39"/>
      <c r="E109" s="39">
        <v>2</v>
      </c>
      <c r="F109" s="39"/>
      <c r="G109" s="39"/>
      <c r="H109" s="40">
        <f>SUM(Tabla13267[[#This Row],[PRIMER TRIMESTRE]:[CUARTO TRIMESTRE]])</f>
        <v>2</v>
      </c>
      <c r="I109" s="17">
        <v>169.82</v>
      </c>
      <c r="J109" s="17">
        <f>+Tabla13267[[#This Row],[CANTIDAD TOTAL]]*Tabla13267[[#This Row],[PRECIO UNITARIO ESTIMADO]]</f>
        <v>339.64</v>
      </c>
      <c r="K109" s="17"/>
      <c r="L109" s="16" t="s">
        <v>27</v>
      </c>
      <c r="M109" s="16" t="s">
        <v>22</v>
      </c>
      <c r="N109" s="39" t="s">
        <v>418</v>
      </c>
      <c r="O109" s="20"/>
      <c r="R109" s="19" t="s">
        <v>92</v>
      </c>
    </row>
    <row r="110" spans="1:21" s="12" customFormat="1" ht="36.75" customHeight="1">
      <c r="A110" s="15" t="s">
        <v>80</v>
      </c>
      <c r="B110" s="75" t="s">
        <v>98</v>
      </c>
      <c r="C110" s="39" t="s">
        <v>93</v>
      </c>
      <c r="D110" s="39"/>
      <c r="E110" s="39">
        <v>150</v>
      </c>
      <c r="F110" s="39"/>
      <c r="G110" s="39">
        <v>150</v>
      </c>
      <c r="H110" s="40">
        <f>SUM(Tabla13267[[#This Row],[PRIMER TRIMESTRE]:[CUARTO TRIMESTRE]])</f>
        <v>300</v>
      </c>
      <c r="I110" s="17">
        <v>272.60000000000002</v>
      </c>
      <c r="J110" s="17">
        <f>+Tabla13267[[#This Row],[CANTIDAD TOTAL]]*Tabla13267[[#This Row],[PRECIO UNITARIO ESTIMADO]]</f>
        <v>81780</v>
      </c>
      <c r="K110" s="17"/>
      <c r="L110" s="16" t="s">
        <v>27</v>
      </c>
      <c r="M110" s="16" t="s">
        <v>22</v>
      </c>
      <c r="N110" s="39" t="s">
        <v>418</v>
      </c>
      <c r="O110" s="20"/>
      <c r="R110" s="19" t="s">
        <v>99</v>
      </c>
    </row>
    <row r="111" spans="1:21" s="12" customFormat="1">
      <c r="A111" s="15" t="s">
        <v>80</v>
      </c>
      <c r="B111" s="75" t="s">
        <v>100</v>
      </c>
      <c r="C111" s="39" t="s">
        <v>93</v>
      </c>
      <c r="D111" s="39"/>
      <c r="E111" s="39">
        <v>25</v>
      </c>
      <c r="F111" s="39"/>
      <c r="G111" s="39">
        <v>25</v>
      </c>
      <c r="H111" s="40">
        <f>SUM(Tabla13267[[#This Row],[PRIMER TRIMESTRE]:[CUARTO TRIMESTRE]])</f>
        <v>50</v>
      </c>
      <c r="I111" s="17">
        <v>30.16</v>
      </c>
      <c r="J111" s="17">
        <f>+Tabla13267[[#This Row],[CANTIDAD TOTAL]]*Tabla13267[[#This Row],[PRECIO UNITARIO ESTIMADO]]</f>
        <v>1508</v>
      </c>
      <c r="K111" s="17"/>
      <c r="L111" s="16" t="s">
        <v>27</v>
      </c>
      <c r="M111" s="16" t="s">
        <v>22</v>
      </c>
      <c r="N111" s="39" t="s">
        <v>418</v>
      </c>
      <c r="O111" s="20"/>
      <c r="R111" s="19" t="s">
        <v>101</v>
      </c>
    </row>
    <row r="112" spans="1:21" s="12" customFormat="1" ht="31.5">
      <c r="A112" s="15" t="s">
        <v>80</v>
      </c>
      <c r="B112" s="75" t="s">
        <v>103</v>
      </c>
      <c r="C112" s="39" t="s">
        <v>17</v>
      </c>
      <c r="D112" s="39"/>
      <c r="E112" s="39">
        <v>150</v>
      </c>
      <c r="F112" s="39"/>
      <c r="G112" s="39"/>
      <c r="H112" s="40">
        <f>SUM(Tabla13267[[#This Row],[PRIMER TRIMESTRE]:[CUARTO TRIMESTRE]])</f>
        <v>150</v>
      </c>
      <c r="I112" s="17">
        <v>0.75</v>
      </c>
      <c r="J112" s="17">
        <f>+Tabla13267[[#This Row],[CANTIDAD TOTAL]]*Tabla13267[[#This Row],[PRECIO UNITARIO ESTIMADO]]</f>
        <v>112.5</v>
      </c>
      <c r="K112" s="17"/>
      <c r="L112" s="16" t="s">
        <v>27</v>
      </c>
      <c r="M112" s="16" t="s">
        <v>22</v>
      </c>
      <c r="N112" s="39" t="s">
        <v>418</v>
      </c>
      <c r="O112" s="20"/>
      <c r="R112" s="19" t="s">
        <v>104</v>
      </c>
    </row>
    <row r="113" spans="1:18" s="12" customFormat="1">
      <c r="A113" s="15" t="s">
        <v>80</v>
      </c>
      <c r="B113" s="75" t="s">
        <v>105</v>
      </c>
      <c r="C113" s="39" t="s">
        <v>17</v>
      </c>
      <c r="D113" s="39"/>
      <c r="E113" s="39">
        <v>40</v>
      </c>
      <c r="F113" s="39"/>
      <c r="G113" s="39">
        <v>40</v>
      </c>
      <c r="H113" s="40">
        <f>SUM(Tabla13267[[#This Row],[PRIMER TRIMESTRE]:[CUARTO TRIMESTRE]])</f>
        <v>80</v>
      </c>
      <c r="I113" s="17">
        <v>33.64</v>
      </c>
      <c r="J113" s="17">
        <f>+Tabla13267[[#This Row],[CANTIDAD TOTAL]]*Tabla13267[[#This Row],[PRECIO UNITARIO ESTIMADO]]</f>
        <v>2691.2</v>
      </c>
      <c r="K113" s="17"/>
      <c r="L113" s="16" t="s">
        <v>27</v>
      </c>
      <c r="M113" s="16" t="s">
        <v>22</v>
      </c>
      <c r="N113" s="39" t="s">
        <v>418</v>
      </c>
      <c r="O113" s="20"/>
      <c r="R113" s="19" t="s">
        <v>106</v>
      </c>
    </row>
    <row r="114" spans="1:18" s="12" customFormat="1">
      <c r="A114" s="15" t="s">
        <v>80</v>
      </c>
      <c r="B114" s="75" t="s">
        <v>107</v>
      </c>
      <c r="C114" s="70" t="s">
        <v>17</v>
      </c>
      <c r="D114" s="39"/>
      <c r="E114" s="70">
        <v>5</v>
      </c>
      <c r="F114" s="70"/>
      <c r="G114" s="70"/>
      <c r="H114" s="40">
        <f>SUM(Tabla13267[[#This Row],[PRIMER TRIMESTRE]:[CUARTO TRIMESTRE]])</f>
        <v>5</v>
      </c>
      <c r="I114" s="17">
        <v>86.24</v>
      </c>
      <c r="J114" s="17">
        <f>+Tabla13267[[#This Row],[CANTIDAD TOTAL]]*Tabla13267[[#This Row],[PRECIO UNITARIO ESTIMADO]]</f>
        <v>431.2</v>
      </c>
      <c r="K114" s="17"/>
      <c r="L114" s="16" t="s">
        <v>27</v>
      </c>
      <c r="M114" s="16" t="s">
        <v>22</v>
      </c>
      <c r="N114" s="39" t="s">
        <v>418</v>
      </c>
      <c r="O114" s="20"/>
      <c r="R114" s="19" t="s">
        <v>108</v>
      </c>
    </row>
    <row r="115" spans="1:18" s="12" customFormat="1">
      <c r="A115" s="15" t="s">
        <v>80</v>
      </c>
      <c r="B115" s="75" t="s">
        <v>436</v>
      </c>
      <c r="C115" s="70" t="s">
        <v>17</v>
      </c>
      <c r="D115" s="39"/>
      <c r="E115" s="70"/>
      <c r="F115" s="70"/>
      <c r="G115" s="70">
        <v>13</v>
      </c>
      <c r="H115" s="40">
        <f>SUM(Tabla13267[[#This Row],[PRIMER TRIMESTRE]:[CUARTO TRIMESTRE]])</f>
        <v>13</v>
      </c>
      <c r="I115" s="17">
        <v>450</v>
      </c>
      <c r="J115" s="17">
        <f>+Tabla13267[[#This Row],[CANTIDAD TOTAL]]*Tabla13267[[#This Row],[PRECIO UNITARIO ESTIMADO]]</f>
        <v>5850</v>
      </c>
      <c r="K115" s="17"/>
      <c r="L115" s="16" t="s">
        <v>27</v>
      </c>
      <c r="M115" s="16" t="s">
        <v>22</v>
      </c>
      <c r="N115" s="39" t="s">
        <v>418</v>
      </c>
      <c r="O115" s="20"/>
      <c r="R115" s="19" t="s">
        <v>109</v>
      </c>
    </row>
    <row r="116" spans="1:18" s="12" customFormat="1">
      <c r="A116" s="15" t="s">
        <v>80</v>
      </c>
      <c r="B116" s="75" t="s">
        <v>110</v>
      </c>
      <c r="C116" s="70" t="s">
        <v>17</v>
      </c>
      <c r="D116" s="39"/>
      <c r="E116" s="70"/>
      <c r="F116" s="70"/>
      <c r="G116" s="70">
        <v>6</v>
      </c>
      <c r="H116" s="40">
        <f>SUM(Tabla13267[[#This Row],[PRIMER TRIMESTRE]:[CUARTO TRIMESTRE]])</f>
        <v>6</v>
      </c>
      <c r="I116" s="17">
        <v>5823.23</v>
      </c>
      <c r="J116" s="17">
        <f>+Tabla13267[[#This Row],[CANTIDAD TOTAL]]*Tabla13267[[#This Row],[PRECIO UNITARIO ESTIMADO]]</f>
        <v>34939.379999999997</v>
      </c>
      <c r="K116" s="17"/>
      <c r="L116" s="16" t="s">
        <v>27</v>
      </c>
      <c r="M116" s="16" t="s">
        <v>22</v>
      </c>
      <c r="N116" s="39" t="s">
        <v>418</v>
      </c>
      <c r="O116" s="20"/>
      <c r="R116" s="19" t="s">
        <v>111</v>
      </c>
    </row>
    <row r="117" spans="1:18" s="12" customFormat="1">
      <c r="A117" s="15" t="s">
        <v>80</v>
      </c>
      <c r="B117" s="77" t="s">
        <v>112</v>
      </c>
      <c r="C117" s="70" t="s">
        <v>288</v>
      </c>
      <c r="D117" s="39"/>
      <c r="E117" s="70">
        <v>40</v>
      </c>
      <c r="F117" s="70"/>
      <c r="G117" s="70">
        <v>40</v>
      </c>
      <c r="H117" s="40">
        <f>SUM(Tabla13267[[#This Row],[PRIMER TRIMESTRE]:[CUARTO TRIMESTRE]])</f>
        <v>80</v>
      </c>
      <c r="I117" s="17">
        <v>1624</v>
      </c>
      <c r="J117" s="17">
        <f>+Tabla13267[[#This Row],[CANTIDAD TOTAL]]*Tabla13267[[#This Row],[PRECIO UNITARIO ESTIMADO]]</f>
        <v>129920</v>
      </c>
      <c r="K117" s="17"/>
      <c r="L117" s="16" t="s">
        <v>27</v>
      </c>
      <c r="M117" s="16" t="s">
        <v>22</v>
      </c>
      <c r="N117" s="39" t="s">
        <v>418</v>
      </c>
      <c r="O117" s="20"/>
      <c r="R117" s="19" t="s">
        <v>113</v>
      </c>
    </row>
    <row r="118" spans="1:18" s="12" customFormat="1" ht="31.5">
      <c r="A118" s="15" t="s">
        <v>80</v>
      </c>
      <c r="B118" s="77" t="s">
        <v>766</v>
      </c>
      <c r="C118" s="70" t="s">
        <v>767</v>
      </c>
      <c r="D118" s="39"/>
      <c r="E118" s="70">
        <v>200</v>
      </c>
      <c r="F118" s="70"/>
      <c r="G118" s="70">
        <v>200</v>
      </c>
      <c r="H118" s="40">
        <f>SUM(Tabla13267[[#This Row],[PRIMER TRIMESTRE]:[CUARTO TRIMESTRE]])</f>
        <v>400</v>
      </c>
      <c r="I118" s="17">
        <v>470</v>
      </c>
      <c r="J118" s="17">
        <f>+Tabla13267[[#This Row],[CANTIDAD TOTAL]]*Tabla13267[[#This Row],[PRECIO UNITARIO ESTIMADO]]</f>
        <v>188000</v>
      </c>
      <c r="K118" s="17"/>
      <c r="L118" s="16" t="s">
        <v>27</v>
      </c>
      <c r="M118" s="16" t="s">
        <v>22</v>
      </c>
      <c r="N118" s="39" t="s">
        <v>418</v>
      </c>
      <c r="O118" s="20"/>
      <c r="R118" s="19" t="s">
        <v>114</v>
      </c>
    </row>
    <row r="119" spans="1:18" s="12" customFormat="1">
      <c r="A119" s="15" t="s">
        <v>80</v>
      </c>
      <c r="B119" s="75" t="s">
        <v>730</v>
      </c>
      <c r="C119" s="70" t="s">
        <v>17</v>
      </c>
      <c r="D119" s="39"/>
      <c r="E119" s="70"/>
      <c r="F119" s="70"/>
      <c r="G119" s="70">
        <v>7</v>
      </c>
      <c r="H119" s="40">
        <f>SUM(Tabla13267[[#This Row],[PRIMER TRIMESTRE]:[CUARTO TRIMESTRE]])</f>
        <v>7</v>
      </c>
      <c r="I119" s="17">
        <v>246.34</v>
      </c>
      <c r="J119" s="17">
        <f t="shared" ref="J119:J126" si="1">+H119*I119</f>
        <v>1724.38</v>
      </c>
      <c r="K119" s="17"/>
      <c r="L119" s="16" t="s">
        <v>27</v>
      </c>
      <c r="M119" s="16" t="s">
        <v>22</v>
      </c>
      <c r="N119" s="39" t="s">
        <v>418</v>
      </c>
      <c r="O119" s="18"/>
      <c r="R119" s="19"/>
    </row>
    <row r="120" spans="1:18" s="12" customFormat="1" ht="17.25" customHeight="1">
      <c r="A120" s="15" t="s">
        <v>80</v>
      </c>
      <c r="B120" s="75" t="s">
        <v>570</v>
      </c>
      <c r="C120" s="70" t="s">
        <v>17</v>
      </c>
      <c r="D120" s="39"/>
      <c r="E120" s="70">
        <v>15</v>
      </c>
      <c r="F120" s="70"/>
      <c r="G120" s="70">
        <v>15</v>
      </c>
      <c r="H120" s="40">
        <f>SUM(Tabla13267[[#This Row],[PRIMER TRIMESTRE]:[CUARTO TRIMESTRE]])</f>
        <v>30</v>
      </c>
      <c r="I120" s="17">
        <v>4100</v>
      </c>
      <c r="J120" s="17">
        <f t="shared" si="1"/>
        <v>123000</v>
      </c>
      <c r="K120" s="17"/>
      <c r="L120" s="16" t="s">
        <v>27</v>
      </c>
      <c r="M120" s="16" t="s">
        <v>22</v>
      </c>
      <c r="N120" s="39" t="s">
        <v>418</v>
      </c>
      <c r="O120" s="18"/>
      <c r="R120" s="19"/>
    </row>
    <row r="121" spans="1:18" s="12" customFormat="1">
      <c r="A121" s="15" t="s">
        <v>80</v>
      </c>
      <c r="B121" s="75" t="s">
        <v>694</v>
      </c>
      <c r="C121" s="70" t="s">
        <v>17</v>
      </c>
      <c r="D121" s="39"/>
      <c r="E121" s="70">
        <v>10</v>
      </c>
      <c r="F121" s="70"/>
      <c r="G121" s="70">
        <v>10</v>
      </c>
      <c r="H121" s="40">
        <f>SUM(Tabla13267[[#This Row],[PRIMER TRIMESTRE]:[CUARTO TRIMESTRE]])</f>
        <v>20</v>
      </c>
      <c r="I121" s="72">
        <v>850</v>
      </c>
      <c r="J121" s="17">
        <f t="shared" si="1"/>
        <v>17000</v>
      </c>
      <c r="K121" s="17"/>
      <c r="L121" s="16" t="s">
        <v>27</v>
      </c>
      <c r="M121" s="16" t="s">
        <v>22</v>
      </c>
      <c r="N121" s="39" t="s">
        <v>418</v>
      </c>
      <c r="O121" s="18"/>
      <c r="R121" s="19"/>
    </row>
    <row r="122" spans="1:18" s="12" customFormat="1">
      <c r="A122" s="15" t="s">
        <v>80</v>
      </c>
      <c r="B122" s="75" t="s">
        <v>695</v>
      </c>
      <c r="C122" s="70" t="s">
        <v>17</v>
      </c>
      <c r="D122" s="39"/>
      <c r="E122" s="70">
        <v>10</v>
      </c>
      <c r="F122" s="70"/>
      <c r="G122" s="70">
        <v>10</v>
      </c>
      <c r="H122" s="40">
        <f>SUM(Tabla13267[[#This Row],[PRIMER TRIMESTRE]:[CUARTO TRIMESTRE]])</f>
        <v>20</v>
      </c>
      <c r="I122" s="72">
        <v>850</v>
      </c>
      <c r="J122" s="17">
        <f t="shared" si="1"/>
        <v>17000</v>
      </c>
      <c r="K122" s="17"/>
      <c r="L122" s="16" t="s">
        <v>27</v>
      </c>
      <c r="M122" s="16" t="s">
        <v>22</v>
      </c>
      <c r="N122" s="39" t="s">
        <v>418</v>
      </c>
      <c r="O122" s="18"/>
      <c r="R122" s="19"/>
    </row>
    <row r="123" spans="1:18" s="12" customFormat="1">
      <c r="A123" s="15" t="s">
        <v>80</v>
      </c>
      <c r="B123" s="75" t="s">
        <v>696</v>
      </c>
      <c r="C123" s="70" t="s">
        <v>17</v>
      </c>
      <c r="D123" s="39"/>
      <c r="E123" s="70">
        <v>10</v>
      </c>
      <c r="F123" s="70"/>
      <c r="G123" s="70">
        <v>10</v>
      </c>
      <c r="H123" s="40">
        <f>SUM(Tabla13267[[#This Row],[PRIMER TRIMESTRE]:[CUARTO TRIMESTRE]])</f>
        <v>20</v>
      </c>
      <c r="I123" s="72">
        <v>970</v>
      </c>
      <c r="J123" s="17">
        <f t="shared" si="1"/>
        <v>19400</v>
      </c>
      <c r="K123" s="17"/>
      <c r="L123" s="16" t="s">
        <v>27</v>
      </c>
      <c r="M123" s="16" t="s">
        <v>22</v>
      </c>
      <c r="N123" s="39" t="s">
        <v>418</v>
      </c>
      <c r="O123" s="18"/>
      <c r="R123" s="19"/>
    </row>
    <row r="124" spans="1:18" s="12" customFormat="1">
      <c r="A124" s="15" t="s">
        <v>80</v>
      </c>
      <c r="B124" s="75" t="s">
        <v>697</v>
      </c>
      <c r="C124" s="70" t="s">
        <v>17</v>
      </c>
      <c r="D124" s="39"/>
      <c r="E124" s="70">
        <v>5</v>
      </c>
      <c r="F124" s="70"/>
      <c r="G124" s="70">
        <v>5</v>
      </c>
      <c r="H124" s="40">
        <f>SUM(Tabla13267[[#This Row],[PRIMER TRIMESTRE]:[CUARTO TRIMESTRE]])</f>
        <v>10</v>
      </c>
      <c r="I124" s="72">
        <v>1870</v>
      </c>
      <c r="J124" s="17">
        <f t="shared" si="1"/>
        <v>18700</v>
      </c>
      <c r="K124" s="17"/>
      <c r="L124" s="16" t="s">
        <v>27</v>
      </c>
      <c r="M124" s="16" t="s">
        <v>22</v>
      </c>
      <c r="N124" s="39" t="s">
        <v>418</v>
      </c>
      <c r="O124" s="18"/>
      <c r="R124" s="19"/>
    </row>
    <row r="125" spans="1:18" s="12" customFormat="1">
      <c r="A125" s="15" t="s">
        <v>80</v>
      </c>
      <c r="B125" s="75" t="s">
        <v>698</v>
      </c>
      <c r="C125" s="39" t="s">
        <v>17</v>
      </c>
      <c r="D125" s="39"/>
      <c r="E125" s="39">
        <v>5</v>
      </c>
      <c r="F125" s="39"/>
      <c r="G125" s="39">
        <v>5</v>
      </c>
      <c r="H125" s="40">
        <f>SUM(Tabla13267[[#This Row],[PRIMER TRIMESTRE]:[CUARTO TRIMESTRE]])</f>
        <v>10</v>
      </c>
      <c r="I125" s="72">
        <v>2150</v>
      </c>
      <c r="J125" s="17">
        <f t="shared" si="1"/>
        <v>21500</v>
      </c>
      <c r="K125" s="17"/>
      <c r="L125" s="16" t="s">
        <v>27</v>
      </c>
      <c r="M125" s="16" t="s">
        <v>22</v>
      </c>
      <c r="N125" s="39" t="s">
        <v>418</v>
      </c>
      <c r="O125" s="18"/>
      <c r="R125" s="19"/>
    </row>
    <row r="126" spans="1:18" s="12" customFormat="1">
      <c r="A126" s="15" t="s">
        <v>80</v>
      </c>
      <c r="B126" s="75" t="s">
        <v>699</v>
      </c>
      <c r="C126" s="39" t="s">
        <v>17</v>
      </c>
      <c r="D126" s="39"/>
      <c r="E126" s="39">
        <v>5</v>
      </c>
      <c r="F126" s="39"/>
      <c r="G126" s="39">
        <v>5</v>
      </c>
      <c r="H126" s="40">
        <f>SUM(Tabla13267[[#This Row],[PRIMER TRIMESTRE]:[CUARTO TRIMESTRE]])</f>
        <v>10</v>
      </c>
      <c r="I126" s="72">
        <v>2860</v>
      </c>
      <c r="J126" s="17">
        <f t="shared" si="1"/>
        <v>28600</v>
      </c>
      <c r="K126" s="17"/>
      <c r="L126" s="16" t="s">
        <v>27</v>
      </c>
      <c r="M126" s="16" t="s">
        <v>22</v>
      </c>
      <c r="N126" s="39" t="s">
        <v>418</v>
      </c>
      <c r="O126" s="18"/>
      <c r="R126" s="19"/>
    </row>
    <row r="127" spans="1:18" s="12" customFormat="1">
      <c r="A127" s="15" t="s">
        <v>80</v>
      </c>
      <c r="B127" s="75" t="s">
        <v>577</v>
      </c>
      <c r="C127" s="39" t="s">
        <v>17</v>
      </c>
      <c r="D127" s="39"/>
      <c r="E127" s="39">
        <v>10</v>
      </c>
      <c r="F127" s="39"/>
      <c r="G127" s="39">
        <v>10</v>
      </c>
      <c r="H127" s="40">
        <f>SUM(Tabla13267[[#This Row],[PRIMER TRIMESTRE]:[CUARTO TRIMESTRE]])</f>
        <v>20</v>
      </c>
      <c r="I127" s="17">
        <v>1232.8699999999999</v>
      </c>
      <c r="J127" s="17">
        <f>+Tabla13267[[#This Row],[CANTIDAD TOTAL]]*Tabla13267[[#This Row],[PRECIO UNITARIO ESTIMADO]]</f>
        <v>24657.399999999998</v>
      </c>
      <c r="K127" s="17"/>
      <c r="L127" s="16" t="s">
        <v>27</v>
      </c>
      <c r="M127" s="16" t="s">
        <v>22</v>
      </c>
      <c r="N127" s="39" t="s">
        <v>418</v>
      </c>
      <c r="O127" s="20"/>
      <c r="R127" s="19" t="s">
        <v>123</v>
      </c>
    </row>
    <row r="128" spans="1:18" s="12" customFormat="1">
      <c r="A128" s="15" t="s">
        <v>80</v>
      </c>
      <c r="B128" s="75" t="s">
        <v>578</v>
      </c>
      <c r="C128" s="39" t="s">
        <v>17</v>
      </c>
      <c r="D128" s="39"/>
      <c r="E128" s="39">
        <v>10</v>
      </c>
      <c r="F128" s="39"/>
      <c r="G128" s="39">
        <v>10</v>
      </c>
      <c r="H128" s="40">
        <f>SUM(Tabla13267[[#This Row],[PRIMER TRIMESTRE]:[CUARTO TRIMESTRE]])</f>
        <v>20</v>
      </c>
      <c r="I128" s="17">
        <v>2186.6</v>
      </c>
      <c r="J128" s="17">
        <f>+Tabla13267[[#This Row],[CANTIDAD TOTAL]]*Tabla13267[[#This Row],[PRECIO UNITARIO ESTIMADO]]</f>
        <v>43732</v>
      </c>
      <c r="K128" s="17"/>
      <c r="L128" s="16" t="s">
        <v>27</v>
      </c>
      <c r="M128" s="16" t="s">
        <v>22</v>
      </c>
      <c r="N128" s="39" t="s">
        <v>418</v>
      </c>
      <c r="O128" s="20"/>
      <c r="R128" s="19"/>
    </row>
    <row r="129" spans="1:18" s="12" customFormat="1">
      <c r="A129" s="15" t="s">
        <v>80</v>
      </c>
      <c r="B129" s="75" t="s">
        <v>700</v>
      </c>
      <c r="C129" s="44" t="s">
        <v>17</v>
      </c>
      <c r="D129" s="39"/>
      <c r="E129" s="39">
        <v>10</v>
      </c>
      <c r="F129" s="39"/>
      <c r="G129" s="39">
        <v>10</v>
      </c>
      <c r="H129" s="40">
        <f>SUM(Tabla13267[[#This Row],[PRIMER TRIMESTRE]:[CUARTO TRIMESTRE]])</f>
        <v>20</v>
      </c>
      <c r="I129" s="17">
        <v>4484</v>
      </c>
      <c r="J129" s="17">
        <f>+Tabla13267[[#This Row],[CANTIDAD TOTAL]]*Tabla13267[[#This Row],[PRECIO UNITARIO ESTIMADO]]</f>
        <v>89680</v>
      </c>
      <c r="K129" s="17"/>
      <c r="L129" s="16" t="s">
        <v>27</v>
      </c>
      <c r="M129" s="30" t="s">
        <v>22</v>
      </c>
      <c r="N129" s="39" t="s">
        <v>418</v>
      </c>
      <c r="O129" s="20"/>
      <c r="R129" s="19"/>
    </row>
    <row r="130" spans="1:18" s="12" customFormat="1">
      <c r="A130" s="15" t="s">
        <v>80</v>
      </c>
      <c r="B130" s="75" t="s">
        <v>701</v>
      </c>
      <c r="C130" s="44" t="s">
        <v>17</v>
      </c>
      <c r="D130" s="39"/>
      <c r="E130" s="39">
        <v>8</v>
      </c>
      <c r="F130" s="39"/>
      <c r="G130" s="39">
        <v>8</v>
      </c>
      <c r="H130" s="40">
        <f>SUM(Tabla13267[[#This Row],[PRIMER TRIMESTRE]:[CUARTO TRIMESTRE]])</f>
        <v>16</v>
      </c>
      <c r="I130" s="72">
        <f>+I129*1.25</f>
        <v>5605</v>
      </c>
      <c r="J130" s="17">
        <f>+H130*I130</f>
        <v>89680</v>
      </c>
      <c r="K130" s="17"/>
      <c r="L130" s="16" t="s">
        <v>27</v>
      </c>
      <c r="M130" s="16" t="s">
        <v>22</v>
      </c>
      <c r="N130" s="39" t="s">
        <v>418</v>
      </c>
      <c r="O130" s="18"/>
      <c r="R130" s="19"/>
    </row>
    <row r="131" spans="1:18" s="12" customFormat="1">
      <c r="A131" s="15" t="s">
        <v>80</v>
      </c>
      <c r="B131" s="75" t="s">
        <v>580</v>
      </c>
      <c r="C131" s="39" t="s">
        <v>17</v>
      </c>
      <c r="D131" s="39"/>
      <c r="E131" s="39">
        <v>200</v>
      </c>
      <c r="F131" s="39"/>
      <c r="G131" s="39">
        <v>200</v>
      </c>
      <c r="H131" s="40">
        <f>SUM(Tabla13267[[#This Row],[PRIMER TRIMESTRE]:[CUARTO TRIMESTRE]])</f>
        <v>400</v>
      </c>
      <c r="I131" s="17">
        <v>29</v>
      </c>
      <c r="J131" s="17">
        <f t="shared" ref="J131:J145" si="2">+H131*I131</f>
        <v>11600</v>
      </c>
      <c r="K131" s="17"/>
      <c r="L131" s="16" t="s">
        <v>27</v>
      </c>
      <c r="M131" s="16" t="s">
        <v>22</v>
      </c>
      <c r="N131" s="39" t="s">
        <v>418</v>
      </c>
      <c r="O131" s="20"/>
    </row>
    <row r="132" spans="1:18" s="12" customFormat="1">
      <c r="A132" s="15" t="s">
        <v>80</v>
      </c>
      <c r="B132" s="75" t="s">
        <v>579</v>
      </c>
      <c r="C132" s="39" t="s">
        <v>17</v>
      </c>
      <c r="D132" s="39"/>
      <c r="E132" s="39">
        <v>200</v>
      </c>
      <c r="F132" s="39"/>
      <c r="G132" s="39">
        <v>200</v>
      </c>
      <c r="H132" s="40">
        <f>SUM(Tabla13267[[#This Row],[PRIMER TRIMESTRE]:[CUARTO TRIMESTRE]])</f>
        <v>400</v>
      </c>
      <c r="I132" s="17">
        <v>31.16</v>
      </c>
      <c r="J132" s="17">
        <f t="shared" si="2"/>
        <v>12464</v>
      </c>
      <c r="K132" s="17"/>
      <c r="L132" s="16" t="s">
        <v>27</v>
      </c>
      <c r="M132" s="16" t="s">
        <v>22</v>
      </c>
      <c r="N132" s="39" t="s">
        <v>418</v>
      </c>
      <c r="O132" s="18"/>
    </row>
    <row r="133" spans="1:18" s="12" customFormat="1">
      <c r="A133" s="15" t="s">
        <v>80</v>
      </c>
      <c r="B133" s="75" t="s">
        <v>581</v>
      </c>
      <c r="C133" s="39" t="s">
        <v>17</v>
      </c>
      <c r="D133" s="39"/>
      <c r="E133" s="39">
        <v>50</v>
      </c>
      <c r="F133" s="39"/>
      <c r="G133" s="39">
        <v>50</v>
      </c>
      <c r="H133" s="40">
        <f>SUM(Tabla13267[[#This Row],[PRIMER TRIMESTRE]:[CUARTO TRIMESTRE]])</f>
        <v>100</v>
      </c>
      <c r="I133" s="17">
        <v>54.52</v>
      </c>
      <c r="J133" s="17">
        <f t="shared" si="2"/>
        <v>5452</v>
      </c>
      <c r="K133" s="17"/>
      <c r="L133" s="16" t="s">
        <v>27</v>
      </c>
      <c r="M133" s="16" t="s">
        <v>22</v>
      </c>
      <c r="N133" s="39" t="s">
        <v>418</v>
      </c>
      <c r="O133" s="20"/>
    </row>
    <row r="134" spans="1:18" s="12" customFormat="1">
      <c r="A134" s="15" t="s">
        <v>80</v>
      </c>
      <c r="B134" s="75" t="s">
        <v>582</v>
      </c>
      <c r="C134" s="39" t="s">
        <v>17</v>
      </c>
      <c r="D134" s="39"/>
      <c r="E134" s="39">
        <v>50</v>
      </c>
      <c r="F134" s="39"/>
      <c r="G134" s="39">
        <v>50</v>
      </c>
      <c r="H134" s="40">
        <f>SUM(Tabla13267[[#This Row],[PRIMER TRIMESTRE]:[CUARTO TRIMESTRE]])</f>
        <v>100</v>
      </c>
      <c r="I134" s="17">
        <v>55.84</v>
      </c>
      <c r="J134" s="17">
        <f t="shared" si="2"/>
        <v>5584</v>
      </c>
      <c r="K134" s="17"/>
      <c r="L134" s="16" t="s">
        <v>27</v>
      </c>
      <c r="M134" s="16" t="s">
        <v>22</v>
      </c>
      <c r="N134" s="39" t="s">
        <v>418</v>
      </c>
      <c r="O134" s="18"/>
    </row>
    <row r="135" spans="1:18" s="12" customFormat="1">
      <c r="A135" s="15" t="s">
        <v>80</v>
      </c>
      <c r="B135" s="75" t="s">
        <v>583</v>
      </c>
      <c r="C135" s="39" t="s">
        <v>17</v>
      </c>
      <c r="D135" s="39"/>
      <c r="E135" s="39">
        <v>90</v>
      </c>
      <c r="F135" s="39"/>
      <c r="G135" s="39">
        <v>90</v>
      </c>
      <c r="H135" s="40">
        <f>SUM(Tabla13267[[#This Row],[PRIMER TRIMESTRE]:[CUARTO TRIMESTRE]])</f>
        <v>180</v>
      </c>
      <c r="I135" s="17">
        <v>67.28</v>
      </c>
      <c r="J135" s="17">
        <f t="shared" si="2"/>
        <v>12110.4</v>
      </c>
      <c r="K135" s="17"/>
      <c r="L135" s="16" t="s">
        <v>27</v>
      </c>
      <c r="M135" s="16" t="s">
        <v>22</v>
      </c>
      <c r="N135" s="39" t="s">
        <v>418</v>
      </c>
      <c r="O135" s="20"/>
    </row>
    <row r="136" spans="1:18" s="12" customFormat="1">
      <c r="A136" s="15" t="s">
        <v>80</v>
      </c>
      <c r="B136" s="75" t="s">
        <v>584</v>
      </c>
      <c r="C136" s="39" t="s">
        <v>17</v>
      </c>
      <c r="D136" s="39"/>
      <c r="E136" s="39">
        <v>30</v>
      </c>
      <c r="F136" s="39"/>
      <c r="G136" s="39">
        <v>30</v>
      </c>
      <c r="H136" s="40">
        <f>SUM(Tabla13267[[#This Row],[PRIMER TRIMESTRE]:[CUARTO TRIMESTRE]])</f>
        <v>60</v>
      </c>
      <c r="I136" s="17">
        <v>68.28</v>
      </c>
      <c r="J136" s="17">
        <f t="shared" si="2"/>
        <v>4096.8</v>
      </c>
      <c r="K136" s="17"/>
      <c r="L136" s="16" t="s">
        <v>27</v>
      </c>
      <c r="M136" s="16" t="s">
        <v>22</v>
      </c>
      <c r="N136" s="39" t="s">
        <v>418</v>
      </c>
      <c r="O136" s="18"/>
    </row>
    <row r="137" spans="1:18" s="12" customFormat="1">
      <c r="A137" s="15" t="s">
        <v>80</v>
      </c>
      <c r="B137" s="75" t="s">
        <v>585</v>
      </c>
      <c r="C137" s="39" t="s">
        <v>17</v>
      </c>
      <c r="D137" s="39"/>
      <c r="E137" s="39">
        <v>20</v>
      </c>
      <c r="F137" s="39"/>
      <c r="G137" s="39">
        <v>20</v>
      </c>
      <c r="H137" s="40">
        <f>SUM(Tabla13267[[#This Row],[PRIMER TRIMESTRE]:[CUARTO TRIMESTRE]])</f>
        <v>40</v>
      </c>
      <c r="I137" s="17">
        <v>80</v>
      </c>
      <c r="J137" s="17">
        <f t="shared" si="2"/>
        <v>3200</v>
      </c>
      <c r="K137" s="17"/>
      <c r="L137" s="16" t="s">
        <v>27</v>
      </c>
      <c r="M137" s="16" t="s">
        <v>22</v>
      </c>
      <c r="N137" s="39" t="s">
        <v>418</v>
      </c>
      <c r="O137" s="20"/>
    </row>
    <row r="138" spans="1:18" s="12" customFormat="1">
      <c r="A138" s="15" t="s">
        <v>80</v>
      </c>
      <c r="B138" s="75" t="s">
        <v>586</v>
      </c>
      <c r="C138" s="39" t="s">
        <v>17</v>
      </c>
      <c r="D138" s="39"/>
      <c r="E138" s="39">
        <v>20</v>
      </c>
      <c r="F138" s="39"/>
      <c r="G138" s="39">
        <v>20</v>
      </c>
      <c r="H138" s="40">
        <f>SUM(Tabla13267[[#This Row],[PRIMER TRIMESTRE]:[CUARTO TRIMESTRE]])</f>
        <v>40</v>
      </c>
      <c r="I138" s="72">
        <v>85</v>
      </c>
      <c r="J138" s="17">
        <f t="shared" si="2"/>
        <v>3400</v>
      </c>
      <c r="K138" s="17"/>
      <c r="L138" s="16" t="s">
        <v>27</v>
      </c>
      <c r="M138" s="16" t="s">
        <v>22</v>
      </c>
      <c r="N138" s="39" t="s">
        <v>418</v>
      </c>
      <c r="O138" s="18"/>
    </row>
    <row r="139" spans="1:18" s="12" customFormat="1">
      <c r="A139" s="15" t="s">
        <v>80</v>
      </c>
      <c r="B139" s="75" t="s">
        <v>587</v>
      </c>
      <c r="C139" s="39" t="s">
        <v>17</v>
      </c>
      <c r="D139" s="39"/>
      <c r="E139" s="39">
        <v>10</v>
      </c>
      <c r="F139" s="39"/>
      <c r="G139" s="39">
        <v>10</v>
      </c>
      <c r="H139" s="40">
        <f>SUM(Tabla13267[[#This Row],[PRIMER TRIMESTRE]:[CUARTO TRIMESTRE]])</f>
        <v>20</v>
      </c>
      <c r="I139" s="72">
        <v>1044.3</v>
      </c>
      <c r="J139" s="17">
        <f t="shared" si="2"/>
        <v>20886</v>
      </c>
      <c r="K139" s="17"/>
      <c r="L139" s="16" t="s">
        <v>27</v>
      </c>
      <c r="M139" s="16" t="s">
        <v>22</v>
      </c>
      <c r="N139" s="39" t="s">
        <v>418</v>
      </c>
      <c r="O139" s="18"/>
    </row>
    <row r="140" spans="1:18" s="12" customFormat="1">
      <c r="A140" s="15" t="s">
        <v>80</v>
      </c>
      <c r="B140" s="75" t="s">
        <v>588</v>
      </c>
      <c r="C140" s="39" t="s">
        <v>17</v>
      </c>
      <c r="D140" s="39"/>
      <c r="E140" s="39">
        <v>20</v>
      </c>
      <c r="F140" s="39"/>
      <c r="G140" s="39">
        <v>20</v>
      </c>
      <c r="H140" s="40">
        <f>SUM(Tabla13267[[#This Row],[PRIMER TRIMESTRE]:[CUARTO TRIMESTRE]])</f>
        <v>40</v>
      </c>
      <c r="I140" s="17">
        <v>1000</v>
      </c>
      <c r="J140" s="17">
        <f t="shared" si="2"/>
        <v>40000</v>
      </c>
      <c r="K140" s="17"/>
      <c r="L140" s="16" t="s">
        <v>27</v>
      </c>
      <c r="M140" s="16" t="s">
        <v>22</v>
      </c>
      <c r="N140" s="39" t="s">
        <v>418</v>
      </c>
      <c r="O140" s="20"/>
    </row>
    <row r="141" spans="1:18" s="12" customFormat="1">
      <c r="A141" s="15" t="s">
        <v>80</v>
      </c>
      <c r="B141" s="75" t="s">
        <v>589</v>
      </c>
      <c r="C141" s="39" t="s">
        <v>17</v>
      </c>
      <c r="D141" s="39"/>
      <c r="E141" s="39">
        <v>20</v>
      </c>
      <c r="F141" s="39"/>
      <c r="G141" s="39">
        <v>20</v>
      </c>
      <c r="H141" s="40">
        <f>SUM(Tabla13267[[#This Row],[PRIMER TRIMESTRE]:[CUARTO TRIMESTRE]])</f>
        <v>40</v>
      </c>
      <c r="I141" s="72">
        <v>1144.5999999999999</v>
      </c>
      <c r="J141" s="17">
        <f t="shared" si="2"/>
        <v>45784</v>
      </c>
      <c r="K141" s="17"/>
      <c r="L141" s="16" t="s">
        <v>27</v>
      </c>
      <c r="M141" s="16" t="s">
        <v>22</v>
      </c>
      <c r="N141" s="39" t="s">
        <v>418</v>
      </c>
      <c r="O141" s="18"/>
    </row>
    <row r="142" spans="1:18" s="12" customFormat="1">
      <c r="A142" s="15" t="s">
        <v>80</v>
      </c>
      <c r="B142" s="75" t="s">
        <v>590</v>
      </c>
      <c r="C142" s="39" t="s">
        <v>17</v>
      </c>
      <c r="D142" s="39"/>
      <c r="E142" s="39">
        <v>10</v>
      </c>
      <c r="F142" s="39"/>
      <c r="G142" s="39">
        <v>10</v>
      </c>
      <c r="H142" s="40">
        <f>SUM(Tabla13267[[#This Row],[PRIMER TRIMESTRE]:[CUARTO TRIMESTRE]])</f>
        <v>20</v>
      </c>
      <c r="I142" s="72">
        <v>1534</v>
      </c>
      <c r="J142" s="17">
        <f t="shared" si="2"/>
        <v>30680</v>
      </c>
      <c r="K142" s="17"/>
      <c r="L142" s="16" t="s">
        <v>27</v>
      </c>
      <c r="M142" s="16" t="s">
        <v>22</v>
      </c>
      <c r="N142" s="39" t="s">
        <v>418</v>
      </c>
      <c r="O142" s="18"/>
    </row>
    <row r="143" spans="1:18" s="12" customFormat="1">
      <c r="A143" s="15" t="s">
        <v>80</v>
      </c>
      <c r="B143" s="75" t="s">
        <v>594</v>
      </c>
      <c r="C143" s="39" t="s">
        <v>17</v>
      </c>
      <c r="D143" s="39"/>
      <c r="E143" s="39">
        <f>500+750</f>
        <v>1250</v>
      </c>
      <c r="F143" s="39"/>
      <c r="G143" s="39">
        <f>500+750</f>
        <v>1250</v>
      </c>
      <c r="H143" s="40">
        <f>SUM(Tabla13267[[#This Row],[PRIMER TRIMESTRE]:[CUARTO TRIMESTRE]])</f>
        <v>2500</v>
      </c>
      <c r="I143" s="17">
        <v>6.37</v>
      </c>
      <c r="J143" s="17">
        <f t="shared" si="2"/>
        <v>15925</v>
      </c>
      <c r="K143" s="17"/>
      <c r="L143" s="16" t="s">
        <v>27</v>
      </c>
      <c r="M143" s="16" t="s">
        <v>22</v>
      </c>
      <c r="N143" s="39" t="s">
        <v>418</v>
      </c>
      <c r="O143" s="20"/>
    </row>
    <row r="144" spans="1:18" s="12" customFormat="1" ht="18.75" customHeight="1">
      <c r="A144" s="15" t="s">
        <v>80</v>
      </c>
      <c r="B144" s="75" t="s">
        <v>595</v>
      </c>
      <c r="C144" s="39" t="s">
        <v>17</v>
      </c>
      <c r="D144" s="39"/>
      <c r="E144" s="39">
        <f>300+1000</f>
        <v>1300</v>
      </c>
      <c r="F144" s="39"/>
      <c r="G144" s="39">
        <f>300+1000</f>
        <v>1300</v>
      </c>
      <c r="H144" s="40">
        <f>SUM(Tabla13267[[#This Row],[PRIMER TRIMESTRE]:[CUARTO TRIMESTRE]])</f>
        <v>2600</v>
      </c>
      <c r="I144" s="17">
        <v>11.82</v>
      </c>
      <c r="J144" s="17">
        <f t="shared" si="2"/>
        <v>30732</v>
      </c>
      <c r="K144" s="17"/>
      <c r="L144" s="16" t="s">
        <v>27</v>
      </c>
      <c r="M144" s="16" t="s">
        <v>22</v>
      </c>
      <c r="N144" s="39" t="s">
        <v>418</v>
      </c>
      <c r="O144" s="20"/>
    </row>
    <row r="145" spans="1:18" s="12" customFormat="1">
      <c r="A145" s="15" t="s">
        <v>80</v>
      </c>
      <c r="B145" s="75" t="s">
        <v>596</v>
      </c>
      <c r="C145" s="39" t="s">
        <v>17</v>
      </c>
      <c r="D145" s="39"/>
      <c r="E145" s="39">
        <v>50</v>
      </c>
      <c r="F145" s="39"/>
      <c r="G145" s="39">
        <v>50</v>
      </c>
      <c r="H145" s="40">
        <f>SUM(Tabla13267[[#This Row],[PRIMER TRIMESTRE]:[CUARTO TRIMESTRE]])</f>
        <v>100</v>
      </c>
      <c r="I145" s="17">
        <v>15.46</v>
      </c>
      <c r="J145" s="17">
        <f t="shared" si="2"/>
        <v>1546</v>
      </c>
      <c r="K145" s="17"/>
      <c r="L145" s="16" t="s">
        <v>27</v>
      </c>
      <c r="M145" s="16" t="s">
        <v>22</v>
      </c>
      <c r="N145" s="39" t="s">
        <v>418</v>
      </c>
      <c r="O145" s="20"/>
    </row>
    <row r="146" spans="1:18" s="12" customFormat="1">
      <c r="A146" s="15" t="s">
        <v>80</v>
      </c>
      <c r="B146" s="75" t="s">
        <v>592</v>
      </c>
      <c r="C146" s="39" t="s">
        <v>17</v>
      </c>
      <c r="D146" s="39"/>
      <c r="E146" s="39">
        <v>50</v>
      </c>
      <c r="F146" s="39"/>
      <c r="G146" s="39">
        <v>50</v>
      </c>
      <c r="H146" s="40">
        <f>SUM(Tabla13267[[#This Row],[PRIMER TRIMESTRE]:[CUARTO TRIMESTRE]])</f>
        <v>100</v>
      </c>
      <c r="I146" s="17">
        <v>103.84</v>
      </c>
      <c r="J146" s="17">
        <f>+Tabla13267[[#This Row],[CANTIDAD TOTAL]]*Tabla13267[[#This Row],[PRECIO UNITARIO ESTIMADO]]</f>
        <v>10384</v>
      </c>
      <c r="K146" s="17"/>
      <c r="L146" s="16" t="s">
        <v>27</v>
      </c>
      <c r="M146" s="30" t="s">
        <v>22</v>
      </c>
      <c r="N146" s="39" t="s">
        <v>418</v>
      </c>
      <c r="O146" s="20"/>
      <c r="R146" s="19"/>
    </row>
    <row r="147" spans="1:18" s="12" customFormat="1">
      <c r="A147" s="15" t="s">
        <v>80</v>
      </c>
      <c r="B147" s="75" t="s">
        <v>593</v>
      </c>
      <c r="C147" s="39" t="s">
        <v>17</v>
      </c>
      <c r="D147" s="39"/>
      <c r="E147" s="39">
        <v>50</v>
      </c>
      <c r="F147" s="39"/>
      <c r="G147" s="39">
        <v>50</v>
      </c>
      <c r="H147" s="40">
        <f>SUM(Tabla13267[[#This Row],[PRIMER TRIMESTRE]:[CUARTO TRIMESTRE]])</f>
        <v>100</v>
      </c>
      <c r="I147" s="17">
        <v>22.42</v>
      </c>
      <c r="J147" s="17">
        <f>+Tabla13267[[#This Row],[CANTIDAD TOTAL]]*Tabla13267[[#This Row],[PRECIO UNITARIO ESTIMADO]]</f>
        <v>2242</v>
      </c>
      <c r="K147" s="17"/>
      <c r="L147" s="16" t="s">
        <v>27</v>
      </c>
      <c r="M147" s="30" t="s">
        <v>22</v>
      </c>
      <c r="N147" s="39" t="s">
        <v>418</v>
      </c>
      <c r="O147" s="20"/>
      <c r="R147" s="19"/>
    </row>
    <row r="148" spans="1:18" s="12" customFormat="1">
      <c r="A148" s="15" t="s">
        <v>80</v>
      </c>
      <c r="B148" s="75" t="s">
        <v>591</v>
      </c>
      <c r="C148" s="39" t="s">
        <v>17</v>
      </c>
      <c r="D148" s="39"/>
      <c r="E148" s="39">
        <v>50</v>
      </c>
      <c r="F148" s="39"/>
      <c r="G148" s="39">
        <v>50</v>
      </c>
      <c r="H148" s="40">
        <f>SUM(Tabla13267[[#This Row],[PRIMER TRIMESTRE]:[CUARTO TRIMESTRE]])</f>
        <v>100</v>
      </c>
      <c r="I148" s="17">
        <v>489.7</v>
      </c>
      <c r="J148" s="17">
        <f>+Tabla13267[[#This Row],[CANTIDAD TOTAL]]*Tabla13267[[#This Row],[PRECIO UNITARIO ESTIMADO]]</f>
        <v>48970</v>
      </c>
      <c r="K148" s="17"/>
      <c r="L148" s="16" t="s">
        <v>27</v>
      </c>
      <c r="M148" s="30" t="s">
        <v>22</v>
      </c>
      <c r="N148" s="39" t="s">
        <v>418</v>
      </c>
      <c r="O148" s="20"/>
      <c r="R148" s="19"/>
    </row>
    <row r="149" spans="1:18" s="12" customFormat="1">
      <c r="A149" s="15" t="s">
        <v>80</v>
      </c>
      <c r="B149" s="75" t="s">
        <v>616</v>
      </c>
      <c r="C149" s="44" t="s">
        <v>17</v>
      </c>
      <c r="D149" s="39"/>
      <c r="E149" s="39">
        <v>20</v>
      </c>
      <c r="F149" s="39"/>
      <c r="G149" s="39">
        <v>20</v>
      </c>
      <c r="H149" s="40">
        <f>SUM(Tabla13267[[#This Row],[PRIMER TRIMESTRE]:[CUARTO TRIMESTRE]])</f>
        <v>40</v>
      </c>
      <c r="I149" s="17">
        <v>767</v>
      </c>
      <c r="J149" s="17">
        <f>+Tabla13267[[#This Row],[CANTIDAD TOTAL]]*Tabla13267[[#This Row],[PRECIO UNITARIO ESTIMADO]]</f>
        <v>30680</v>
      </c>
      <c r="K149" s="17"/>
      <c r="L149" s="16" t="s">
        <v>27</v>
      </c>
      <c r="M149" s="30" t="s">
        <v>22</v>
      </c>
      <c r="N149" s="39" t="s">
        <v>418</v>
      </c>
      <c r="O149" s="20"/>
      <c r="R149" s="19"/>
    </row>
    <row r="150" spans="1:18" s="12" customFormat="1">
      <c r="A150" s="15" t="s">
        <v>80</v>
      </c>
      <c r="B150" s="75" t="s">
        <v>617</v>
      </c>
      <c r="C150" s="44" t="s">
        <v>17</v>
      </c>
      <c r="D150" s="39"/>
      <c r="E150" s="39">
        <v>20</v>
      </c>
      <c r="F150" s="39"/>
      <c r="G150" s="39">
        <v>20</v>
      </c>
      <c r="H150" s="40">
        <f>SUM(Tabla13267[[#This Row],[PRIMER TRIMESTRE]:[CUARTO TRIMESTRE]])</f>
        <v>40</v>
      </c>
      <c r="I150" s="17">
        <v>1003</v>
      </c>
      <c r="J150" s="17">
        <f t="shared" ref="J150:J166" si="3">+H150*I150</f>
        <v>40120</v>
      </c>
      <c r="K150" s="17"/>
      <c r="L150" s="16" t="s">
        <v>27</v>
      </c>
      <c r="M150" s="16" t="s">
        <v>22</v>
      </c>
      <c r="N150" s="39" t="s">
        <v>418</v>
      </c>
      <c r="O150" s="18"/>
      <c r="R150" s="19"/>
    </row>
    <row r="151" spans="1:18" s="12" customFormat="1">
      <c r="A151" s="15" t="s">
        <v>80</v>
      </c>
      <c r="B151" s="75" t="s">
        <v>618</v>
      </c>
      <c r="C151" s="44" t="s">
        <v>17</v>
      </c>
      <c r="D151" s="39"/>
      <c r="E151" s="39">
        <v>20</v>
      </c>
      <c r="F151" s="39"/>
      <c r="G151" s="39">
        <v>20</v>
      </c>
      <c r="H151" s="40">
        <f>SUM(Tabla13267[[#This Row],[PRIMER TRIMESTRE]:[CUARTO TRIMESTRE]])</f>
        <v>40</v>
      </c>
      <c r="I151" s="17">
        <v>1357</v>
      </c>
      <c r="J151" s="17">
        <f t="shared" si="3"/>
        <v>54280</v>
      </c>
      <c r="K151" s="17"/>
      <c r="L151" s="16" t="s">
        <v>27</v>
      </c>
      <c r="M151" s="16" t="s">
        <v>22</v>
      </c>
      <c r="N151" s="39" t="s">
        <v>418</v>
      </c>
      <c r="O151" s="18"/>
      <c r="R151" s="19"/>
    </row>
    <row r="152" spans="1:18" s="12" customFormat="1">
      <c r="A152" s="15" t="s">
        <v>80</v>
      </c>
      <c r="B152" s="75" t="s">
        <v>619</v>
      </c>
      <c r="C152" s="44" t="s">
        <v>17</v>
      </c>
      <c r="D152" s="39"/>
      <c r="E152" s="39">
        <v>20</v>
      </c>
      <c r="F152" s="39"/>
      <c r="G152" s="39">
        <v>20</v>
      </c>
      <c r="H152" s="40">
        <f>SUM(Tabla13267[[#This Row],[PRIMER TRIMESTRE]:[CUARTO TRIMESTRE]])</f>
        <v>40</v>
      </c>
      <c r="I152" s="17">
        <v>2950</v>
      </c>
      <c r="J152" s="17">
        <f t="shared" si="3"/>
        <v>118000</v>
      </c>
      <c r="K152" s="17"/>
      <c r="L152" s="16" t="s">
        <v>27</v>
      </c>
      <c r="M152" s="16" t="s">
        <v>22</v>
      </c>
      <c r="N152" s="39" t="s">
        <v>418</v>
      </c>
      <c r="O152" s="18"/>
      <c r="R152" s="19"/>
    </row>
    <row r="153" spans="1:18" s="12" customFormat="1">
      <c r="A153" s="15" t="s">
        <v>80</v>
      </c>
      <c r="B153" s="75" t="s">
        <v>620</v>
      </c>
      <c r="C153" s="44" t="s">
        <v>17</v>
      </c>
      <c r="D153" s="39"/>
      <c r="E153" s="39">
        <v>20</v>
      </c>
      <c r="F153" s="39"/>
      <c r="G153" s="39">
        <v>20</v>
      </c>
      <c r="H153" s="40">
        <f>SUM(Tabla13267[[#This Row],[PRIMER TRIMESTRE]:[CUARTO TRIMESTRE]])</f>
        <v>40</v>
      </c>
      <c r="I153" s="17">
        <v>4484</v>
      </c>
      <c r="J153" s="17">
        <f t="shared" si="3"/>
        <v>179360</v>
      </c>
      <c r="K153" s="17"/>
      <c r="L153" s="16" t="s">
        <v>27</v>
      </c>
      <c r="M153" s="16" t="s">
        <v>22</v>
      </c>
      <c r="N153" s="39" t="s">
        <v>418</v>
      </c>
      <c r="O153" s="18"/>
      <c r="R153" s="19"/>
    </row>
    <row r="154" spans="1:18" s="12" customFormat="1">
      <c r="A154" s="15" t="s">
        <v>80</v>
      </c>
      <c r="B154" s="75" t="s">
        <v>621</v>
      </c>
      <c r="C154" s="44" t="s">
        <v>17</v>
      </c>
      <c r="D154" s="39"/>
      <c r="E154" s="39">
        <v>5</v>
      </c>
      <c r="F154" s="39"/>
      <c r="G154" s="39">
        <v>5</v>
      </c>
      <c r="H154" s="40">
        <f>SUM(Tabla13267[[#This Row],[PRIMER TRIMESTRE]:[CUARTO TRIMESTRE]])</f>
        <v>10</v>
      </c>
      <c r="I154" s="17">
        <v>6372</v>
      </c>
      <c r="J154" s="17">
        <f t="shared" si="3"/>
        <v>63720</v>
      </c>
      <c r="K154" s="17"/>
      <c r="L154" s="16" t="s">
        <v>27</v>
      </c>
      <c r="M154" s="16" t="s">
        <v>22</v>
      </c>
      <c r="N154" s="39" t="s">
        <v>418</v>
      </c>
      <c r="O154" s="18"/>
      <c r="R154" s="19"/>
    </row>
    <row r="155" spans="1:18" s="12" customFormat="1">
      <c r="A155" s="15" t="s">
        <v>80</v>
      </c>
      <c r="B155" s="75" t="s">
        <v>622</v>
      </c>
      <c r="C155" s="44" t="s">
        <v>17</v>
      </c>
      <c r="D155" s="39"/>
      <c r="E155" s="39">
        <v>20</v>
      </c>
      <c r="F155" s="39"/>
      <c r="G155" s="39">
        <v>20</v>
      </c>
      <c r="H155" s="40">
        <f>SUM(Tabla13267[[#This Row],[PRIMER TRIMESTRE]:[CUARTO TRIMESTRE]])</f>
        <v>40</v>
      </c>
      <c r="I155" s="17">
        <v>11092</v>
      </c>
      <c r="J155" s="17">
        <f t="shared" si="3"/>
        <v>443680</v>
      </c>
      <c r="K155" s="17"/>
      <c r="L155" s="16" t="s">
        <v>27</v>
      </c>
      <c r="M155" s="16" t="s">
        <v>22</v>
      </c>
      <c r="N155" s="39" t="s">
        <v>418</v>
      </c>
      <c r="O155" s="18"/>
      <c r="R155" s="19"/>
    </row>
    <row r="156" spans="1:18" s="12" customFormat="1">
      <c r="A156" s="15" t="s">
        <v>80</v>
      </c>
      <c r="B156" s="75" t="s">
        <v>623</v>
      </c>
      <c r="C156" s="44" t="s">
        <v>17</v>
      </c>
      <c r="D156" s="39"/>
      <c r="E156" s="39">
        <v>20</v>
      </c>
      <c r="F156" s="39"/>
      <c r="G156" s="39">
        <v>20</v>
      </c>
      <c r="H156" s="40">
        <f>SUM(Tabla13267[[#This Row],[PRIMER TRIMESTRE]:[CUARTO TRIMESTRE]])</f>
        <v>40</v>
      </c>
      <c r="I156" s="17">
        <v>13924</v>
      </c>
      <c r="J156" s="17">
        <f t="shared" si="3"/>
        <v>556960</v>
      </c>
      <c r="K156" s="17"/>
      <c r="L156" s="16" t="s">
        <v>27</v>
      </c>
      <c r="M156" s="16" t="s">
        <v>22</v>
      </c>
      <c r="N156" s="39" t="s">
        <v>418</v>
      </c>
      <c r="O156" s="18"/>
      <c r="R156" s="19"/>
    </row>
    <row r="157" spans="1:18" s="12" customFormat="1">
      <c r="A157" s="15" t="s">
        <v>80</v>
      </c>
      <c r="B157" s="75" t="s">
        <v>624</v>
      </c>
      <c r="C157" s="44" t="s">
        <v>17</v>
      </c>
      <c r="D157" s="39"/>
      <c r="E157" s="39">
        <v>5</v>
      </c>
      <c r="F157" s="39"/>
      <c r="G157" s="39">
        <v>5</v>
      </c>
      <c r="H157" s="40">
        <f>SUM(Tabla13267[[#This Row],[PRIMER TRIMESTRE]:[CUARTO TRIMESTRE]])</f>
        <v>10</v>
      </c>
      <c r="I157" s="17">
        <v>20886</v>
      </c>
      <c r="J157" s="17">
        <f t="shared" si="3"/>
        <v>208860</v>
      </c>
      <c r="K157" s="17"/>
      <c r="L157" s="16" t="s">
        <v>27</v>
      </c>
      <c r="M157" s="16" t="s">
        <v>22</v>
      </c>
      <c r="N157" s="39" t="s">
        <v>418</v>
      </c>
      <c r="O157" s="18"/>
      <c r="R157" s="19"/>
    </row>
    <row r="158" spans="1:18" s="12" customFormat="1">
      <c r="A158" s="15" t="s">
        <v>80</v>
      </c>
      <c r="B158" s="75" t="s">
        <v>625</v>
      </c>
      <c r="C158" s="44" t="s">
        <v>17</v>
      </c>
      <c r="D158" s="39"/>
      <c r="E158" s="39">
        <v>20</v>
      </c>
      <c r="F158" s="39"/>
      <c r="G158" s="39">
        <v>20</v>
      </c>
      <c r="H158" s="40">
        <f>SUM(Tabla13267[[#This Row],[PRIMER TRIMESTRE]:[CUARTO TRIMESTRE]])</f>
        <v>40</v>
      </c>
      <c r="I158" s="17">
        <v>1121</v>
      </c>
      <c r="J158" s="17">
        <f t="shared" si="3"/>
        <v>44840</v>
      </c>
      <c r="K158" s="17"/>
      <c r="L158" s="16" t="s">
        <v>27</v>
      </c>
      <c r="M158" s="16" t="s">
        <v>22</v>
      </c>
      <c r="N158" s="39" t="s">
        <v>418</v>
      </c>
      <c r="O158" s="18"/>
      <c r="R158" s="19"/>
    </row>
    <row r="159" spans="1:18" s="12" customFormat="1">
      <c r="A159" s="15" t="s">
        <v>80</v>
      </c>
      <c r="B159" s="75" t="s">
        <v>626</v>
      </c>
      <c r="C159" s="44" t="s">
        <v>17</v>
      </c>
      <c r="D159" s="39"/>
      <c r="E159" s="39">
        <v>20</v>
      </c>
      <c r="F159" s="39"/>
      <c r="G159" s="39">
        <v>20</v>
      </c>
      <c r="H159" s="40">
        <f>SUM(Tabla13267[[#This Row],[PRIMER TRIMESTRE]:[CUARTO TRIMESTRE]])</f>
        <v>40</v>
      </c>
      <c r="I159" s="17">
        <v>1239</v>
      </c>
      <c r="J159" s="17">
        <f t="shared" si="3"/>
        <v>49560</v>
      </c>
      <c r="K159" s="17"/>
      <c r="L159" s="16" t="s">
        <v>27</v>
      </c>
      <c r="M159" s="16" t="s">
        <v>22</v>
      </c>
      <c r="N159" s="39" t="s">
        <v>418</v>
      </c>
      <c r="O159" s="18"/>
      <c r="R159" s="19"/>
    </row>
    <row r="160" spans="1:18" s="12" customFormat="1">
      <c r="A160" s="15" t="s">
        <v>80</v>
      </c>
      <c r="B160" s="75" t="s">
        <v>627</v>
      </c>
      <c r="C160" s="44" t="s">
        <v>17</v>
      </c>
      <c r="D160" s="39"/>
      <c r="E160" s="39">
        <v>20</v>
      </c>
      <c r="F160" s="39"/>
      <c r="G160" s="39">
        <v>20</v>
      </c>
      <c r="H160" s="40">
        <f>SUM(Tabla13267[[#This Row],[PRIMER TRIMESTRE]:[CUARTO TRIMESTRE]])</f>
        <v>40</v>
      </c>
      <c r="I160" s="17">
        <v>1593</v>
      </c>
      <c r="J160" s="17">
        <f t="shared" si="3"/>
        <v>63720</v>
      </c>
      <c r="K160" s="17"/>
      <c r="L160" s="16" t="s">
        <v>27</v>
      </c>
      <c r="M160" s="16" t="s">
        <v>22</v>
      </c>
      <c r="N160" s="39" t="s">
        <v>418</v>
      </c>
      <c r="O160" s="18"/>
      <c r="R160" s="19"/>
    </row>
    <row r="161" spans="1:18" s="12" customFormat="1">
      <c r="A161" s="15" t="s">
        <v>80</v>
      </c>
      <c r="B161" s="75" t="s">
        <v>628</v>
      </c>
      <c r="C161" s="44" t="s">
        <v>17</v>
      </c>
      <c r="D161" s="39"/>
      <c r="E161" s="39">
        <v>15</v>
      </c>
      <c r="F161" s="39"/>
      <c r="G161" s="39">
        <v>15</v>
      </c>
      <c r="H161" s="40">
        <f>SUM(Tabla13267[[#This Row],[PRIMER TRIMESTRE]:[CUARTO TRIMESTRE]])</f>
        <v>30</v>
      </c>
      <c r="I161" s="17">
        <v>3717</v>
      </c>
      <c r="J161" s="17">
        <f t="shared" si="3"/>
        <v>111510</v>
      </c>
      <c r="K161" s="17"/>
      <c r="L161" s="16" t="s">
        <v>27</v>
      </c>
      <c r="M161" s="16" t="s">
        <v>22</v>
      </c>
      <c r="N161" s="39" t="s">
        <v>418</v>
      </c>
      <c r="O161" s="18"/>
      <c r="R161" s="19"/>
    </row>
    <row r="162" spans="1:18" s="12" customFormat="1">
      <c r="A162" s="15" t="s">
        <v>80</v>
      </c>
      <c r="B162" s="75" t="s">
        <v>629</v>
      </c>
      <c r="C162" s="44" t="s">
        <v>17</v>
      </c>
      <c r="D162" s="39"/>
      <c r="E162" s="39">
        <v>10</v>
      </c>
      <c r="F162" s="39"/>
      <c r="G162" s="39">
        <v>10</v>
      </c>
      <c r="H162" s="40">
        <f>SUM(Tabla13267[[#This Row],[PRIMER TRIMESTRE]:[CUARTO TRIMESTRE]])</f>
        <v>20</v>
      </c>
      <c r="I162" s="17">
        <v>5133</v>
      </c>
      <c r="J162" s="17">
        <f t="shared" si="3"/>
        <v>102660</v>
      </c>
      <c r="K162" s="17"/>
      <c r="L162" s="16" t="s">
        <v>27</v>
      </c>
      <c r="M162" s="16" t="s">
        <v>22</v>
      </c>
      <c r="N162" s="39" t="s">
        <v>418</v>
      </c>
      <c r="O162" s="18"/>
      <c r="R162" s="19"/>
    </row>
    <row r="163" spans="1:18" s="12" customFormat="1">
      <c r="A163" s="15" t="s">
        <v>80</v>
      </c>
      <c r="B163" s="75" t="s">
        <v>630</v>
      </c>
      <c r="C163" s="44" t="s">
        <v>17</v>
      </c>
      <c r="D163" s="39"/>
      <c r="E163" s="39">
        <v>5</v>
      </c>
      <c r="F163" s="39"/>
      <c r="G163" s="39">
        <v>5</v>
      </c>
      <c r="H163" s="40">
        <f>SUM(Tabla13267[[#This Row],[PRIMER TRIMESTRE]:[CUARTO TRIMESTRE]])</f>
        <v>10</v>
      </c>
      <c r="I163" s="17">
        <v>7127</v>
      </c>
      <c r="J163" s="17">
        <f t="shared" si="3"/>
        <v>71270</v>
      </c>
      <c r="K163" s="17"/>
      <c r="L163" s="16" t="s">
        <v>27</v>
      </c>
      <c r="M163" s="16" t="s">
        <v>22</v>
      </c>
      <c r="N163" s="39" t="s">
        <v>418</v>
      </c>
      <c r="O163" s="18"/>
      <c r="R163" s="19"/>
    </row>
    <row r="164" spans="1:18" s="12" customFormat="1">
      <c r="A164" s="15" t="s">
        <v>80</v>
      </c>
      <c r="B164" s="75" t="s">
        <v>631</v>
      </c>
      <c r="C164" s="44" t="s">
        <v>17</v>
      </c>
      <c r="D164" s="39"/>
      <c r="E164" s="39">
        <v>18</v>
      </c>
      <c r="F164" s="39"/>
      <c r="G164" s="39">
        <v>18</v>
      </c>
      <c r="H164" s="40">
        <f>SUM(Tabla13267[[#This Row],[PRIMER TRIMESTRE]:[CUARTO TRIMESTRE]])</f>
        <v>36</v>
      </c>
      <c r="I164" s="17">
        <v>12580</v>
      </c>
      <c r="J164" s="17">
        <f t="shared" si="3"/>
        <v>452880</v>
      </c>
      <c r="K164" s="17"/>
      <c r="L164" s="16" t="s">
        <v>27</v>
      </c>
      <c r="M164" s="16" t="s">
        <v>22</v>
      </c>
      <c r="N164" s="39" t="s">
        <v>418</v>
      </c>
      <c r="O164" s="18"/>
      <c r="R164" s="19"/>
    </row>
    <row r="165" spans="1:18" s="12" customFormat="1">
      <c r="A165" s="15" t="s">
        <v>80</v>
      </c>
      <c r="B165" s="75" t="s">
        <v>632</v>
      </c>
      <c r="C165" s="44" t="s">
        <v>17</v>
      </c>
      <c r="D165" s="39"/>
      <c r="E165" s="39">
        <v>20</v>
      </c>
      <c r="F165" s="39"/>
      <c r="G165" s="39">
        <v>20</v>
      </c>
      <c r="H165" s="40">
        <f>SUM(Tabla13267[[#This Row],[PRIMER TRIMESTRE]:[CUARTO TRIMESTRE]])</f>
        <v>40</v>
      </c>
      <c r="I165" s="17">
        <v>15045</v>
      </c>
      <c r="J165" s="17">
        <f t="shared" si="3"/>
        <v>601800</v>
      </c>
      <c r="K165" s="17"/>
      <c r="L165" s="16" t="s">
        <v>27</v>
      </c>
      <c r="M165" s="16" t="s">
        <v>22</v>
      </c>
      <c r="N165" s="39" t="s">
        <v>418</v>
      </c>
      <c r="O165" s="18"/>
      <c r="R165" s="19"/>
    </row>
    <row r="166" spans="1:18" s="12" customFormat="1">
      <c r="A166" s="15" t="s">
        <v>80</v>
      </c>
      <c r="B166" s="75" t="s">
        <v>633</v>
      </c>
      <c r="C166" s="44" t="s">
        <v>17</v>
      </c>
      <c r="D166" s="39"/>
      <c r="E166" s="39">
        <v>5</v>
      </c>
      <c r="F166" s="39"/>
      <c r="G166" s="39">
        <v>5</v>
      </c>
      <c r="H166" s="40">
        <f>SUM(Tabla13267[[#This Row],[PRIMER TRIMESTRE]:[CUARTO TRIMESTRE]])</f>
        <v>10</v>
      </c>
      <c r="I166" s="17">
        <v>22396.400000000001</v>
      </c>
      <c r="J166" s="17">
        <f t="shared" si="3"/>
        <v>223964</v>
      </c>
      <c r="K166" s="17"/>
      <c r="L166" s="16" t="s">
        <v>27</v>
      </c>
      <c r="M166" s="16" t="s">
        <v>22</v>
      </c>
      <c r="N166" s="39" t="s">
        <v>418</v>
      </c>
      <c r="O166" s="18"/>
      <c r="R166" s="19"/>
    </row>
    <row r="167" spans="1:18" s="12" customFormat="1">
      <c r="A167" s="15" t="s">
        <v>80</v>
      </c>
      <c r="B167" s="75" t="s">
        <v>127</v>
      </c>
      <c r="C167" s="39" t="s">
        <v>17</v>
      </c>
      <c r="D167" s="39"/>
      <c r="E167" s="39">
        <v>8</v>
      </c>
      <c r="F167" s="39"/>
      <c r="G167" s="39">
        <v>8</v>
      </c>
      <c r="H167" s="40">
        <f>SUM(Tabla13267[[#This Row],[PRIMER TRIMESTRE]:[CUARTO TRIMESTRE]])</f>
        <v>16</v>
      </c>
      <c r="I167" s="17">
        <v>3213.2</v>
      </c>
      <c r="J167" s="17">
        <f>+Tabla13267[[#This Row],[CANTIDAD TOTAL]]*Tabla13267[[#This Row],[PRECIO UNITARIO ESTIMADO]]</f>
        <v>51411.199999999997</v>
      </c>
      <c r="K167" s="17"/>
      <c r="L167" s="16" t="s">
        <v>27</v>
      </c>
      <c r="M167" s="16" t="s">
        <v>22</v>
      </c>
      <c r="N167" s="39" t="s">
        <v>418</v>
      </c>
      <c r="O167" s="20"/>
      <c r="R167" s="19" t="s">
        <v>128</v>
      </c>
    </row>
    <row r="168" spans="1:18" s="12" customFormat="1">
      <c r="A168" s="15" t="s">
        <v>80</v>
      </c>
      <c r="B168" s="75" t="s">
        <v>129</v>
      </c>
      <c r="C168" s="39" t="s">
        <v>17</v>
      </c>
      <c r="D168" s="39"/>
      <c r="E168" s="39">
        <f>1400+750</f>
        <v>2150</v>
      </c>
      <c r="F168" s="39"/>
      <c r="G168" s="39">
        <f>1400+750</f>
        <v>2150</v>
      </c>
      <c r="H168" s="40">
        <f>SUM(Tabla13267[[#This Row],[PRIMER TRIMESTRE]:[CUARTO TRIMESTRE]])</f>
        <v>4300</v>
      </c>
      <c r="I168" s="17">
        <v>3.52</v>
      </c>
      <c r="J168" s="17">
        <f>+Tabla13267[[#This Row],[CANTIDAD TOTAL]]*Tabla13267[[#This Row],[PRECIO UNITARIO ESTIMADO]]</f>
        <v>15136</v>
      </c>
      <c r="K168" s="17"/>
      <c r="L168" s="16" t="s">
        <v>27</v>
      </c>
      <c r="M168" s="16" t="s">
        <v>22</v>
      </c>
      <c r="N168" s="39" t="s">
        <v>418</v>
      </c>
      <c r="O168" s="20"/>
      <c r="R168" s="19" t="s">
        <v>130</v>
      </c>
    </row>
    <row r="169" spans="1:18" s="12" customFormat="1">
      <c r="A169" s="15" t="s">
        <v>80</v>
      </c>
      <c r="B169" s="75" t="s">
        <v>131</v>
      </c>
      <c r="C169" s="39" t="s">
        <v>17</v>
      </c>
      <c r="D169" s="39"/>
      <c r="E169" s="39">
        <f>1000+500</f>
        <v>1500</v>
      </c>
      <c r="F169" s="39"/>
      <c r="G169" s="39">
        <f>1000+500</f>
        <v>1500</v>
      </c>
      <c r="H169" s="40">
        <f>SUM(Tabla13267[[#This Row],[PRIMER TRIMESTRE]:[CUARTO TRIMESTRE]])</f>
        <v>3000</v>
      </c>
      <c r="I169" s="17">
        <v>0.86</v>
      </c>
      <c r="J169" s="17">
        <f>+Tabla13267[[#This Row],[CANTIDAD TOTAL]]*Tabla13267[[#This Row],[PRECIO UNITARIO ESTIMADO]]</f>
        <v>2580</v>
      </c>
      <c r="K169" s="17"/>
      <c r="L169" s="16" t="s">
        <v>27</v>
      </c>
      <c r="M169" s="16" t="s">
        <v>22</v>
      </c>
      <c r="N169" s="39" t="s">
        <v>418</v>
      </c>
      <c r="O169" s="20"/>
      <c r="R169" s="19" t="s">
        <v>132</v>
      </c>
    </row>
    <row r="170" spans="1:18" s="12" customFormat="1">
      <c r="A170" s="15" t="s">
        <v>80</v>
      </c>
      <c r="B170" s="75" t="s">
        <v>473</v>
      </c>
      <c r="C170" s="39" t="s">
        <v>17</v>
      </c>
      <c r="D170" s="39"/>
      <c r="E170" s="39">
        <v>600</v>
      </c>
      <c r="F170" s="39"/>
      <c r="G170" s="39">
        <v>600</v>
      </c>
      <c r="H170" s="40">
        <f>SUM(Tabla13267[[#This Row],[PRIMER TRIMESTRE]:[CUARTO TRIMESTRE]])</f>
        <v>1200</v>
      </c>
      <c r="I170" s="17">
        <v>15.46</v>
      </c>
      <c r="J170" s="17">
        <f>+H170*I170</f>
        <v>18552</v>
      </c>
      <c r="K170" s="17"/>
      <c r="L170" s="16" t="s">
        <v>27</v>
      </c>
      <c r="M170" s="16" t="s">
        <v>22</v>
      </c>
      <c r="N170" s="39" t="s">
        <v>418</v>
      </c>
      <c r="O170" s="18"/>
      <c r="R170" s="19"/>
    </row>
    <row r="171" spans="1:18" s="12" customFormat="1">
      <c r="A171" s="15" t="s">
        <v>80</v>
      </c>
      <c r="B171" s="75" t="s">
        <v>661</v>
      </c>
      <c r="C171" s="39" t="s">
        <v>17</v>
      </c>
      <c r="D171" s="39"/>
      <c r="E171" s="39">
        <v>100</v>
      </c>
      <c r="F171" s="39"/>
      <c r="G171" s="39">
        <v>100</v>
      </c>
      <c r="H171" s="40">
        <f>SUM(Tabla13267[[#This Row],[PRIMER TRIMESTRE]:[CUARTO TRIMESTRE]])</f>
        <v>200</v>
      </c>
      <c r="I171" s="72">
        <v>15.46</v>
      </c>
      <c r="J171" s="17">
        <f>+H171*I171</f>
        <v>3092</v>
      </c>
      <c r="K171" s="17"/>
      <c r="L171" s="16" t="s">
        <v>27</v>
      </c>
      <c r="M171" s="16" t="s">
        <v>22</v>
      </c>
      <c r="N171" s="39" t="s">
        <v>418</v>
      </c>
      <c r="O171" s="18"/>
      <c r="R171" s="19"/>
    </row>
    <row r="172" spans="1:18" s="12" customFormat="1">
      <c r="A172" s="15" t="s">
        <v>80</v>
      </c>
      <c r="B172" s="75" t="s">
        <v>133</v>
      </c>
      <c r="C172" s="39" t="s">
        <v>17</v>
      </c>
      <c r="D172" s="39"/>
      <c r="E172" s="39">
        <v>1000</v>
      </c>
      <c r="F172" s="39"/>
      <c r="G172" s="39">
        <v>1000</v>
      </c>
      <c r="H172" s="40">
        <f>SUM(Tabla13267[[#This Row],[PRIMER TRIMESTRE]:[CUARTO TRIMESTRE]])</f>
        <v>2000</v>
      </c>
      <c r="I172" s="17">
        <v>40.17</v>
      </c>
      <c r="J172" s="17">
        <f>+Tabla13267[[#This Row],[CANTIDAD TOTAL]]*Tabla13267[[#This Row],[PRECIO UNITARIO ESTIMADO]]</f>
        <v>80340</v>
      </c>
      <c r="K172" s="17"/>
      <c r="L172" s="16" t="s">
        <v>27</v>
      </c>
      <c r="M172" s="16" t="s">
        <v>22</v>
      </c>
      <c r="N172" s="39" t="s">
        <v>418</v>
      </c>
      <c r="O172" s="20"/>
      <c r="R172" s="19" t="s">
        <v>134</v>
      </c>
    </row>
    <row r="173" spans="1:18" s="12" customFormat="1">
      <c r="A173" s="15" t="s">
        <v>80</v>
      </c>
      <c r="B173" s="75" t="s">
        <v>135</v>
      </c>
      <c r="C173" s="39" t="s">
        <v>17</v>
      </c>
      <c r="D173" s="39"/>
      <c r="E173" s="39">
        <v>1000</v>
      </c>
      <c r="F173" s="39"/>
      <c r="G173" s="39">
        <v>1000</v>
      </c>
      <c r="H173" s="40">
        <f>SUM(Tabla13267[[#This Row],[PRIMER TRIMESTRE]:[CUARTO TRIMESTRE]])</f>
        <v>2000</v>
      </c>
      <c r="I173" s="17">
        <v>116.85</v>
      </c>
      <c r="J173" s="17">
        <f>+Tabla13267[[#This Row],[CANTIDAD TOTAL]]*Tabla13267[[#This Row],[PRECIO UNITARIO ESTIMADO]]</f>
        <v>233700</v>
      </c>
      <c r="K173" s="17"/>
      <c r="L173" s="16" t="s">
        <v>27</v>
      </c>
      <c r="M173" s="16" t="s">
        <v>22</v>
      </c>
      <c r="N173" s="39" t="s">
        <v>418</v>
      </c>
      <c r="O173" s="20"/>
      <c r="R173" s="19" t="s">
        <v>136</v>
      </c>
    </row>
    <row r="174" spans="1:18" s="12" customFormat="1">
      <c r="A174" s="15" t="s">
        <v>80</v>
      </c>
      <c r="B174" s="75" t="s">
        <v>597</v>
      </c>
      <c r="C174" s="39" t="s">
        <v>17</v>
      </c>
      <c r="D174" s="39"/>
      <c r="E174" s="39">
        <v>1000</v>
      </c>
      <c r="F174" s="39"/>
      <c r="G174" s="39">
        <v>1000</v>
      </c>
      <c r="H174" s="40">
        <f>SUM(Tabla13267[[#This Row],[PRIMER TRIMESTRE]:[CUARTO TRIMESTRE]])</f>
        <v>2000</v>
      </c>
      <c r="I174" s="72">
        <v>107.31</v>
      </c>
      <c r="J174" s="17">
        <f>+H174*I174</f>
        <v>214620</v>
      </c>
      <c r="K174" s="17"/>
      <c r="L174" s="16" t="s">
        <v>27</v>
      </c>
      <c r="M174" s="16" t="s">
        <v>22</v>
      </c>
      <c r="N174" s="39" t="s">
        <v>418</v>
      </c>
      <c r="O174" s="18"/>
      <c r="R174" s="19"/>
    </row>
    <row r="175" spans="1:18" s="12" customFormat="1">
      <c r="A175" s="15" t="s">
        <v>80</v>
      </c>
      <c r="B175" s="75" t="s">
        <v>137</v>
      </c>
      <c r="C175" s="39" t="s">
        <v>17</v>
      </c>
      <c r="D175" s="39"/>
      <c r="E175" s="39">
        <v>80</v>
      </c>
      <c r="F175" s="39"/>
      <c r="G175" s="39">
        <v>80</v>
      </c>
      <c r="H175" s="40">
        <f>SUM(Tabla13267[[#This Row],[PRIMER TRIMESTRE]:[CUARTO TRIMESTRE]])</f>
        <v>160</v>
      </c>
      <c r="I175" s="17">
        <v>220.12</v>
      </c>
      <c r="J175" s="17">
        <f>+Tabla13267[[#This Row],[CANTIDAD TOTAL]]*Tabla13267[[#This Row],[PRECIO UNITARIO ESTIMADO]]</f>
        <v>35219.199999999997</v>
      </c>
      <c r="K175" s="17"/>
      <c r="L175" s="16" t="s">
        <v>27</v>
      </c>
      <c r="M175" s="16" t="s">
        <v>22</v>
      </c>
      <c r="N175" s="39" t="s">
        <v>418</v>
      </c>
      <c r="O175" s="20"/>
      <c r="R175" s="19" t="s">
        <v>138</v>
      </c>
    </row>
    <row r="176" spans="1:18" s="12" customFormat="1">
      <c r="A176" s="15" t="s">
        <v>80</v>
      </c>
      <c r="B176" s="75" t="s">
        <v>139</v>
      </c>
      <c r="C176" s="39" t="s">
        <v>17</v>
      </c>
      <c r="D176" s="39"/>
      <c r="E176" s="39">
        <v>75</v>
      </c>
      <c r="F176" s="39"/>
      <c r="G176" s="39">
        <v>60</v>
      </c>
      <c r="H176" s="40">
        <f>SUM(Tabla13267[[#This Row],[PRIMER TRIMESTRE]:[CUARTO TRIMESTRE]])</f>
        <v>135</v>
      </c>
      <c r="I176" s="17">
        <v>180</v>
      </c>
      <c r="J176" s="17">
        <f>+Tabla13267[[#This Row],[CANTIDAD TOTAL]]*Tabla13267[[#This Row],[PRECIO UNITARIO ESTIMADO]]</f>
        <v>24300</v>
      </c>
      <c r="K176" s="17"/>
      <c r="L176" s="16" t="s">
        <v>27</v>
      </c>
      <c r="M176" s="16" t="s">
        <v>22</v>
      </c>
      <c r="N176" s="39" t="s">
        <v>418</v>
      </c>
      <c r="O176" s="20"/>
      <c r="R176" s="19" t="s">
        <v>140</v>
      </c>
    </row>
    <row r="177" spans="1:18" s="12" customFormat="1" ht="36.75" customHeight="1">
      <c r="A177" s="15" t="s">
        <v>80</v>
      </c>
      <c r="B177" s="75" t="s">
        <v>571</v>
      </c>
      <c r="C177" s="39" t="s">
        <v>17</v>
      </c>
      <c r="D177" s="39"/>
      <c r="E177" s="39"/>
      <c r="F177" s="39"/>
      <c r="G177" s="39">
        <v>5</v>
      </c>
      <c r="H177" s="40">
        <f>SUM(Tabla13267[[#This Row],[PRIMER TRIMESTRE]:[CUARTO TRIMESTRE]])</f>
        <v>5</v>
      </c>
      <c r="I177" s="17">
        <v>12159.7</v>
      </c>
      <c r="J177" s="17">
        <f>+Tabla13267[[#This Row],[CANTIDAD TOTAL]]*Tabla13267[[#This Row],[PRECIO UNITARIO ESTIMADO]]</f>
        <v>60798.5</v>
      </c>
      <c r="K177" s="17"/>
      <c r="L177" s="16" t="s">
        <v>27</v>
      </c>
      <c r="M177" s="16" t="s">
        <v>22</v>
      </c>
      <c r="N177" s="39" t="s">
        <v>418</v>
      </c>
      <c r="O177" s="20"/>
      <c r="R177" s="19" t="s">
        <v>143</v>
      </c>
    </row>
    <row r="178" spans="1:18" s="12" customFormat="1" ht="27.75" customHeight="1">
      <c r="A178" s="15" t="s">
        <v>80</v>
      </c>
      <c r="B178" s="75" t="s">
        <v>186</v>
      </c>
      <c r="C178" s="39" t="s">
        <v>17</v>
      </c>
      <c r="D178" s="39"/>
      <c r="E178" s="39">
        <v>2</v>
      </c>
      <c r="F178" s="39"/>
      <c r="G178" s="39"/>
      <c r="H178" s="40">
        <f>SUM(Tabla13267[[#This Row],[PRIMER TRIMESTRE]:[CUARTO TRIMESTRE]])</f>
        <v>2</v>
      </c>
      <c r="I178" s="17">
        <v>2600</v>
      </c>
      <c r="J178" s="17">
        <f>+Tabla13267[[#This Row],[CANTIDAD TOTAL]]*Tabla13267[[#This Row],[PRECIO UNITARIO ESTIMADO]]</f>
        <v>5200</v>
      </c>
      <c r="K178" s="17"/>
      <c r="L178" s="16" t="s">
        <v>27</v>
      </c>
      <c r="M178" s="16" t="s">
        <v>22</v>
      </c>
      <c r="N178" s="39" t="s">
        <v>418</v>
      </c>
      <c r="O178" s="20"/>
      <c r="R178" s="19" t="s">
        <v>187</v>
      </c>
    </row>
    <row r="179" spans="1:18" s="12" customFormat="1">
      <c r="A179" s="15" t="s">
        <v>80</v>
      </c>
      <c r="B179" s="75" t="s">
        <v>148</v>
      </c>
      <c r="C179" s="39" t="s">
        <v>149</v>
      </c>
      <c r="D179" s="39"/>
      <c r="E179" s="39">
        <v>100</v>
      </c>
      <c r="F179" s="39"/>
      <c r="G179" s="39">
        <v>100</v>
      </c>
      <c r="H179" s="40">
        <f>SUM(Tabla13267[[#This Row],[PRIMER TRIMESTRE]:[CUARTO TRIMESTRE]])</f>
        <v>200</v>
      </c>
      <c r="I179" s="17">
        <v>127.6</v>
      </c>
      <c r="J179" s="17">
        <f>+Tabla13267[[#This Row],[CANTIDAD TOTAL]]*Tabla13267[[#This Row],[PRECIO UNITARIO ESTIMADO]]</f>
        <v>25520</v>
      </c>
      <c r="K179" s="17"/>
      <c r="L179" s="16" t="s">
        <v>27</v>
      </c>
      <c r="M179" s="16" t="s">
        <v>22</v>
      </c>
      <c r="N179" s="39" t="s">
        <v>418</v>
      </c>
      <c r="O179" s="20"/>
      <c r="R179" s="19" t="s">
        <v>150</v>
      </c>
    </row>
    <row r="180" spans="1:18" s="12" customFormat="1">
      <c r="A180" s="15" t="s">
        <v>80</v>
      </c>
      <c r="B180" s="75" t="s">
        <v>439</v>
      </c>
      <c r="C180" s="39" t="s">
        <v>149</v>
      </c>
      <c r="D180" s="39"/>
      <c r="E180" s="39"/>
      <c r="F180" s="39"/>
      <c r="G180" s="39">
        <v>300</v>
      </c>
      <c r="H180" s="40">
        <f>SUM(Tabla13267[[#This Row],[PRIMER TRIMESTRE]:[CUARTO TRIMESTRE]])</f>
        <v>300</v>
      </c>
      <c r="I180" s="17">
        <v>123.91</v>
      </c>
      <c r="J180" s="17">
        <f>+Tabla13267[[#This Row],[CANTIDAD TOTAL]]*Tabla13267[[#This Row],[PRECIO UNITARIO ESTIMADO]]</f>
        <v>37173</v>
      </c>
      <c r="K180" s="17"/>
      <c r="L180" s="16" t="s">
        <v>27</v>
      </c>
      <c r="M180" s="16" t="s">
        <v>22</v>
      </c>
      <c r="N180" s="39" t="s">
        <v>418</v>
      </c>
      <c r="O180" s="20"/>
      <c r="R180" s="19" t="s">
        <v>151</v>
      </c>
    </row>
    <row r="181" spans="1:18" s="12" customFormat="1">
      <c r="A181" s="15" t="s">
        <v>80</v>
      </c>
      <c r="B181" s="75" t="s">
        <v>471</v>
      </c>
      <c r="C181" s="39" t="s">
        <v>17</v>
      </c>
      <c r="D181" s="39"/>
      <c r="E181" s="39">
        <f>1400/2</f>
        <v>700</v>
      </c>
      <c r="F181" s="39"/>
      <c r="G181" s="39">
        <f>50+700</f>
        <v>750</v>
      </c>
      <c r="H181" s="40">
        <f>SUM(Tabla13267[[#This Row],[PRIMER TRIMESTRE]:[CUARTO TRIMESTRE]])</f>
        <v>1450</v>
      </c>
      <c r="I181" s="17">
        <v>55.38</v>
      </c>
      <c r="J181" s="17">
        <f>+Tabla13267[[#This Row],[CANTIDAD TOTAL]]*Tabla13267[[#This Row],[PRECIO UNITARIO ESTIMADO]]</f>
        <v>80301</v>
      </c>
      <c r="K181" s="17"/>
      <c r="L181" s="16" t="s">
        <v>27</v>
      </c>
      <c r="M181" s="16" t="s">
        <v>22</v>
      </c>
      <c r="N181" s="39" t="s">
        <v>418</v>
      </c>
      <c r="O181" s="20"/>
      <c r="R181" s="19" t="s">
        <v>152</v>
      </c>
    </row>
    <row r="182" spans="1:18" s="12" customFormat="1">
      <c r="A182" s="164" t="s">
        <v>80</v>
      </c>
      <c r="B182" s="165" t="s">
        <v>644</v>
      </c>
      <c r="C182" s="166" t="s">
        <v>17</v>
      </c>
      <c r="D182" s="166"/>
      <c r="E182" s="166">
        <v>175</v>
      </c>
      <c r="F182" s="166"/>
      <c r="G182" s="167">
        <v>175</v>
      </c>
      <c r="H182" s="167">
        <f>SUM(Tabla13267[[#This Row],[PRIMER TRIMESTRE]:[CUARTO TRIMESTRE]])</f>
        <v>350</v>
      </c>
      <c r="I182" s="168">
        <v>731.35</v>
      </c>
      <c r="J182" s="168">
        <f t="shared" ref="J182:J214" si="4">+H182*I182</f>
        <v>255972.5</v>
      </c>
      <c r="K182" s="17"/>
      <c r="L182" s="16" t="s">
        <v>27</v>
      </c>
      <c r="M182" s="16" t="s">
        <v>22</v>
      </c>
      <c r="N182" s="39"/>
      <c r="O182" s="20"/>
    </row>
    <row r="183" spans="1:18" s="12" customFormat="1">
      <c r="A183" s="164" t="s">
        <v>80</v>
      </c>
      <c r="B183" s="165" t="s">
        <v>645</v>
      </c>
      <c r="C183" s="166" t="s">
        <v>17</v>
      </c>
      <c r="D183" s="166"/>
      <c r="E183" s="166">
        <v>300</v>
      </c>
      <c r="F183" s="166"/>
      <c r="G183" s="167">
        <v>300</v>
      </c>
      <c r="H183" s="167">
        <f>SUM(Tabla13267[[#This Row],[PRIMER TRIMESTRE]:[CUARTO TRIMESTRE]])</f>
        <v>600</v>
      </c>
      <c r="I183" s="168">
        <v>1013.28</v>
      </c>
      <c r="J183" s="168">
        <f t="shared" si="4"/>
        <v>607968</v>
      </c>
      <c r="K183" s="17"/>
      <c r="L183" s="16" t="s">
        <v>27</v>
      </c>
      <c r="M183" s="16" t="s">
        <v>22</v>
      </c>
      <c r="N183" s="39"/>
      <c r="O183" s="20"/>
    </row>
    <row r="184" spans="1:18" s="12" customFormat="1">
      <c r="A184" s="164" t="s">
        <v>80</v>
      </c>
      <c r="B184" s="165" t="s">
        <v>646</v>
      </c>
      <c r="C184" s="166" t="s">
        <v>17</v>
      </c>
      <c r="D184" s="166"/>
      <c r="E184" s="166">
        <v>300</v>
      </c>
      <c r="F184" s="166"/>
      <c r="G184" s="167">
        <v>300</v>
      </c>
      <c r="H184" s="167">
        <f>SUM(Tabla13267[[#This Row],[PRIMER TRIMESTRE]:[CUARTO TRIMESTRE]])</f>
        <v>600</v>
      </c>
      <c r="I184" s="168">
        <v>1196.97</v>
      </c>
      <c r="J184" s="168">
        <f t="shared" si="4"/>
        <v>718182</v>
      </c>
      <c r="K184" s="17"/>
      <c r="L184" s="16" t="s">
        <v>27</v>
      </c>
      <c r="M184" s="16" t="s">
        <v>22</v>
      </c>
      <c r="N184" s="39"/>
      <c r="O184" s="20"/>
    </row>
    <row r="185" spans="1:18" s="12" customFormat="1">
      <c r="A185" s="164" t="s">
        <v>80</v>
      </c>
      <c r="B185" s="165" t="s">
        <v>647</v>
      </c>
      <c r="C185" s="166" t="s">
        <v>17</v>
      </c>
      <c r="D185" s="166"/>
      <c r="E185" s="166">
        <v>200</v>
      </c>
      <c r="F185" s="166"/>
      <c r="G185" s="167">
        <v>200</v>
      </c>
      <c r="H185" s="167">
        <f>SUM(Tabla13267[[#This Row],[PRIMER TRIMESTRE]:[CUARTO TRIMESTRE]])</f>
        <v>400</v>
      </c>
      <c r="I185" s="168">
        <v>1882.41</v>
      </c>
      <c r="J185" s="168">
        <f t="shared" si="4"/>
        <v>752964</v>
      </c>
      <c r="K185" s="17"/>
      <c r="L185" s="16" t="s">
        <v>27</v>
      </c>
      <c r="M185" s="16" t="s">
        <v>22</v>
      </c>
      <c r="N185" s="39"/>
      <c r="O185" s="20"/>
    </row>
    <row r="186" spans="1:18" s="12" customFormat="1">
      <c r="A186" s="164" t="s">
        <v>80</v>
      </c>
      <c r="B186" s="165" t="s">
        <v>648</v>
      </c>
      <c r="C186" s="166" t="s">
        <v>17</v>
      </c>
      <c r="D186" s="166"/>
      <c r="E186" s="166">
        <v>200</v>
      </c>
      <c r="F186" s="166"/>
      <c r="G186" s="167">
        <v>200</v>
      </c>
      <c r="H186" s="167">
        <f>SUM(Tabla13267[[#This Row],[PRIMER TRIMESTRE]:[CUARTO TRIMESTRE]])</f>
        <v>400</v>
      </c>
      <c r="I186" s="168">
        <v>2110.4699999999998</v>
      </c>
      <c r="J186" s="168">
        <f t="shared" si="4"/>
        <v>844187.99999999988</v>
      </c>
      <c r="K186" s="17"/>
      <c r="L186" s="16" t="s">
        <v>27</v>
      </c>
      <c r="M186" s="16" t="s">
        <v>22</v>
      </c>
      <c r="N186" s="39"/>
      <c r="O186" s="20"/>
    </row>
    <row r="187" spans="1:18" s="12" customFormat="1">
      <c r="A187" s="164" t="s">
        <v>80</v>
      </c>
      <c r="B187" s="165" t="s">
        <v>649</v>
      </c>
      <c r="C187" s="166" t="s">
        <v>17</v>
      </c>
      <c r="D187" s="166"/>
      <c r="E187" s="166">
        <v>40</v>
      </c>
      <c r="F187" s="166"/>
      <c r="G187" s="167">
        <v>40</v>
      </c>
      <c r="H187" s="167">
        <f>SUM(Tabla13267[[#This Row],[PRIMER TRIMESTRE]:[CUARTO TRIMESTRE]])</f>
        <v>80</v>
      </c>
      <c r="I187" s="168">
        <v>2920.5</v>
      </c>
      <c r="J187" s="168">
        <f t="shared" si="4"/>
        <v>233640</v>
      </c>
      <c r="K187" s="17"/>
      <c r="L187" s="16" t="s">
        <v>27</v>
      </c>
      <c r="M187" s="16" t="s">
        <v>22</v>
      </c>
      <c r="N187" s="39"/>
      <c r="O187" s="18"/>
    </row>
    <row r="188" spans="1:18" s="12" customFormat="1">
      <c r="A188" s="164" t="s">
        <v>80</v>
      </c>
      <c r="B188" s="165" t="s">
        <v>650</v>
      </c>
      <c r="C188" s="166" t="s">
        <v>17</v>
      </c>
      <c r="D188" s="166"/>
      <c r="E188" s="166">
        <v>130</v>
      </c>
      <c r="F188" s="166"/>
      <c r="G188" s="167">
        <v>130</v>
      </c>
      <c r="H188" s="167">
        <f>SUM(Tabla13267[[#This Row],[PRIMER TRIMESTRE]:[CUARTO TRIMESTRE]])</f>
        <v>260</v>
      </c>
      <c r="I188" s="168">
        <v>2919.76</v>
      </c>
      <c r="J188" s="168">
        <f t="shared" si="4"/>
        <v>759137.60000000009</v>
      </c>
      <c r="K188" s="17"/>
      <c r="L188" s="16" t="s">
        <v>27</v>
      </c>
      <c r="M188" s="16" t="s">
        <v>22</v>
      </c>
      <c r="N188" s="39"/>
      <c r="O188" s="20"/>
    </row>
    <row r="189" spans="1:18" s="12" customFormat="1">
      <c r="A189" s="164" t="s">
        <v>80</v>
      </c>
      <c r="B189" s="165" t="s">
        <v>651</v>
      </c>
      <c r="C189" s="166" t="s">
        <v>17</v>
      </c>
      <c r="D189" s="166"/>
      <c r="E189" s="166">
        <v>80</v>
      </c>
      <c r="F189" s="166"/>
      <c r="G189" s="167">
        <v>80</v>
      </c>
      <c r="H189" s="167">
        <f>SUM(Tabla13267[[#This Row],[PRIMER TRIMESTRE]:[CUARTO TRIMESTRE]])</f>
        <v>160</v>
      </c>
      <c r="I189" s="168">
        <v>5347.76</v>
      </c>
      <c r="J189" s="168">
        <f t="shared" si="4"/>
        <v>855641.60000000009</v>
      </c>
      <c r="K189" s="17"/>
      <c r="L189" s="16" t="s">
        <v>27</v>
      </c>
      <c r="M189" s="16" t="s">
        <v>22</v>
      </c>
      <c r="N189" s="39"/>
      <c r="O189" s="20"/>
    </row>
    <row r="190" spans="1:18" s="12" customFormat="1">
      <c r="A190" s="164" t="s">
        <v>80</v>
      </c>
      <c r="B190" s="165" t="s">
        <v>652</v>
      </c>
      <c r="C190" s="166" t="s">
        <v>17</v>
      </c>
      <c r="D190" s="166"/>
      <c r="E190" s="166">
        <v>20</v>
      </c>
      <c r="F190" s="166"/>
      <c r="G190" s="167">
        <v>20</v>
      </c>
      <c r="H190" s="167">
        <f>SUM(Tabla13267[[#This Row],[PRIMER TRIMESTRE]:[CUARTO TRIMESTRE]])</f>
        <v>40</v>
      </c>
      <c r="I190" s="168">
        <v>9696.06</v>
      </c>
      <c r="J190" s="168">
        <f t="shared" si="4"/>
        <v>387842.39999999997</v>
      </c>
      <c r="K190" s="17"/>
      <c r="L190" s="16" t="s">
        <v>27</v>
      </c>
      <c r="M190" s="16" t="s">
        <v>22</v>
      </c>
      <c r="N190" s="39"/>
      <c r="O190" s="18"/>
    </row>
    <row r="191" spans="1:18" s="12" customFormat="1">
      <c r="A191" s="164" t="s">
        <v>80</v>
      </c>
      <c r="B191" s="165" t="s">
        <v>653</v>
      </c>
      <c r="C191" s="166" t="s">
        <v>17</v>
      </c>
      <c r="D191" s="166"/>
      <c r="E191" s="166">
        <v>5</v>
      </c>
      <c r="F191" s="166"/>
      <c r="G191" s="167">
        <v>5</v>
      </c>
      <c r="H191" s="167">
        <f>SUM(Tabla13267[[#This Row],[PRIMER TRIMESTRE]:[CUARTO TRIMESTRE]])</f>
        <v>10</v>
      </c>
      <c r="I191" s="168">
        <v>13263.2</v>
      </c>
      <c r="J191" s="168">
        <f t="shared" si="4"/>
        <v>132632</v>
      </c>
      <c r="K191" s="17"/>
      <c r="L191" s="16" t="s">
        <v>27</v>
      </c>
      <c r="M191" s="16" t="s">
        <v>22</v>
      </c>
      <c r="N191" s="39"/>
      <c r="O191" s="18"/>
    </row>
    <row r="192" spans="1:18" s="12" customFormat="1" ht="46.5" customHeight="1">
      <c r="A192" s="164" t="s">
        <v>80</v>
      </c>
      <c r="B192" s="165" t="s">
        <v>348</v>
      </c>
      <c r="C192" s="166" t="s">
        <v>17</v>
      </c>
      <c r="D192" s="166"/>
      <c r="E192" s="166">
        <v>30</v>
      </c>
      <c r="F192" s="166"/>
      <c r="G192" s="167">
        <v>30</v>
      </c>
      <c r="H192" s="167">
        <f>SUM(Tabla13267[[#This Row],[PRIMER TRIMESTRE]:[CUARTO TRIMESTRE]])</f>
        <v>60</v>
      </c>
      <c r="I192" s="168">
        <v>1200</v>
      </c>
      <c r="J192" s="168">
        <f t="shared" si="4"/>
        <v>72000</v>
      </c>
      <c r="K192" s="17"/>
      <c r="L192" s="16" t="s">
        <v>27</v>
      </c>
      <c r="M192" s="16" t="s">
        <v>22</v>
      </c>
      <c r="N192" s="39"/>
      <c r="O192" s="20"/>
    </row>
    <row r="193" spans="1:15" s="12" customFormat="1" ht="46.5" customHeight="1">
      <c r="A193" s="164" t="s">
        <v>80</v>
      </c>
      <c r="B193" s="165" t="s">
        <v>349</v>
      </c>
      <c r="C193" s="166" t="s">
        <v>17</v>
      </c>
      <c r="D193" s="166"/>
      <c r="E193" s="166">
        <v>50</v>
      </c>
      <c r="F193" s="166"/>
      <c r="G193" s="167">
        <v>50</v>
      </c>
      <c r="H193" s="167">
        <f>SUM(Tabla13267[[#This Row],[PRIMER TRIMESTRE]:[CUARTO TRIMESTRE]])</f>
        <v>100</v>
      </c>
      <c r="I193" s="168">
        <v>1400</v>
      </c>
      <c r="J193" s="168">
        <f t="shared" si="4"/>
        <v>140000</v>
      </c>
      <c r="K193" s="17"/>
      <c r="L193" s="16" t="s">
        <v>27</v>
      </c>
      <c r="M193" s="16" t="s">
        <v>22</v>
      </c>
      <c r="N193" s="39"/>
      <c r="O193" s="20"/>
    </row>
    <row r="194" spans="1:15" s="12" customFormat="1" ht="46.5" customHeight="1">
      <c r="A194" s="164" t="s">
        <v>80</v>
      </c>
      <c r="B194" s="165" t="s">
        <v>350</v>
      </c>
      <c r="C194" s="166" t="s">
        <v>17</v>
      </c>
      <c r="D194" s="166"/>
      <c r="E194" s="166">
        <v>45</v>
      </c>
      <c r="F194" s="166"/>
      <c r="G194" s="167">
        <v>45</v>
      </c>
      <c r="H194" s="167">
        <f>SUM(Tabla13267[[#This Row],[PRIMER TRIMESTRE]:[CUARTO TRIMESTRE]])</f>
        <v>90</v>
      </c>
      <c r="I194" s="168">
        <v>1600</v>
      </c>
      <c r="J194" s="168">
        <f t="shared" si="4"/>
        <v>144000</v>
      </c>
      <c r="K194" s="17"/>
      <c r="L194" s="16" t="s">
        <v>27</v>
      </c>
      <c r="M194" s="16" t="s">
        <v>22</v>
      </c>
      <c r="N194" s="39"/>
      <c r="O194" s="20"/>
    </row>
    <row r="195" spans="1:15" s="12" customFormat="1" ht="46.5" customHeight="1">
      <c r="A195" s="164" t="s">
        <v>80</v>
      </c>
      <c r="B195" s="165" t="s">
        <v>351</v>
      </c>
      <c r="C195" s="166" t="s">
        <v>17</v>
      </c>
      <c r="D195" s="166"/>
      <c r="E195" s="166">
        <v>30</v>
      </c>
      <c r="F195" s="166"/>
      <c r="G195" s="167">
        <v>30</v>
      </c>
      <c r="H195" s="167">
        <f>SUM(Tabla13267[[#This Row],[PRIMER TRIMESTRE]:[CUARTO TRIMESTRE]])</f>
        <v>60</v>
      </c>
      <c r="I195" s="168">
        <v>1800</v>
      </c>
      <c r="J195" s="168">
        <f t="shared" si="4"/>
        <v>108000</v>
      </c>
      <c r="K195" s="17"/>
      <c r="L195" s="16" t="s">
        <v>27</v>
      </c>
      <c r="M195" s="16" t="s">
        <v>22</v>
      </c>
      <c r="N195" s="39"/>
      <c r="O195" s="20"/>
    </row>
    <row r="196" spans="1:15" s="12" customFormat="1" ht="46.5" customHeight="1">
      <c r="A196" s="164" t="s">
        <v>80</v>
      </c>
      <c r="B196" s="165" t="s">
        <v>352</v>
      </c>
      <c r="C196" s="166" t="s">
        <v>17</v>
      </c>
      <c r="D196" s="166"/>
      <c r="E196" s="166">
        <v>25</v>
      </c>
      <c r="F196" s="166"/>
      <c r="G196" s="167">
        <v>25</v>
      </c>
      <c r="H196" s="167">
        <f>SUM(Tabla13267[[#This Row],[PRIMER TRIMESTRE]:[CUARTO TRIMESTRE]])</f>
        <v>50</v>
      </c>
      <c r="I196" s="168">
        <v>2000</v>
      </c>
      <c r="J196" s="168">
        <f t="shared" si="4"/>
        <v>100000</v>
      </c>
      <c r="K196" s="17"/>
      <c r="L196" s="16" t="s">
        <v>27</v>
      </c>
      <c r="M196" s="16" t="s">
        <v>22</v>
      </c>
      <c r="N196" s="39"/>
      <c r="O196" s="20"/>
    </row>
    <row r="197" spans="1:15" s="12" customFormat="1" ht="46.5" customHeight="1">
      <c r="A197" s="164" t="s">
        <v>80</v>
      </c>
      <c r="B197" s="165" t="s">
        <v>345</v>
      </c>
      <c r="C197" s="166" t="s">
        <v>17</v>
      </c>
      <c r="D197" s="166"/>
      <c r="E197" s="166">
        <v>10</v>
      </c>
      <c r="F197" s="166"/>
      <c r="G197" s="167">
        <v>10</v>
      </c>
      <c r="H197" s="167">
        <f>SUM(Tabla13267[[#This Row],[PRIMER TRIMESTRE]:[CUARTO TRIMESTRE]])</f>
        <v>20</v>
      </c>
      <c r="I197" s="168">
        <v>2500</v>
      </c>
      <c r="J197" s="168">
        <f t="shared" si="4"/>
        <v>50000</v>
      </c>
      <c r="K197" s="17"/>
      <c r="L197" s="16" t="s">
        <v>27</v>
      </c>
      <c r="M197" s="16" t="s">
        <v>22</v>
      </c>
      <c r="N197" s="39"/>
      <c r="O197" s="20"/>
    </row>
    <row r="198" spans="1:15" s="12" customFormat="1" ht="46.5" customHeight="1">
      <c r="A198" s="164" t="s">
        <v>80</v>
      </c>
      <c r="B198" s="165" t="s">
        <v>346</v>
      </c>
      <c r="C198" s="166" t="s">
        <v>17</v>
      </c>
      <c r="D198" s="166"/>
      <c r="E198" s="166">
        <v>25</v>
      </c>
      <c r="F198" s="166"/>
      <c r="G198" s="167">
        <v>25</v>
      </c>
      <c r="H198" s="167">
        <f>SUM(Tabla13267[[#This Row],[PRIMER TRIMESTRE]:[CUARTO TRIMESTRE]])</f>
        <v>50</v>
      </c>
      <c r="I198" s="168">
        <v>3100</v>
      </c>
      <c r="J198" s="168">
        <f t="shared" si="4"/>
        <v>155000</v>
      </c>
      <c r="K198" s="17"/>
      <c r="L198" s="16" t="s">
        <v>27</v>
      </c>
      <c r="M198" s="16" t="s">
        <v>22</v>
      </c>
      <c r="N198" s="39"/>
      <c r="O198" s="20"/>
    </row>
    <row r="199" spans="1:15" s="12" customFormat="1" ht="46.5" customHeight="1">
      <c r="A199" s="164" t="s">
        <v>80</v>
      </c>
      <c r="B199" s="165" t="s">
        <v>347</v>
      </c>
      <c r="C199" s="166" t="s">
        <v>17</v>
      </c>
      <c r="D199" s="166"/>
      <c r="E199" s="166">
        <v>10</v>
      </c>
      <c r="F199" s="166"/>
      <c r="G199" s="167">
        <v>10</v>
      </c>
      <c r="H199" s="167">
        <f>SUM(Tabla13267[[#This Row],[PRIMER TRIMESTRE]:[CUARTO TRIMESTRE]])</f>
        <v>20</v>
      </c>
      <c r="I199" s="168">
        <v>4100</v>
      </c>
      <c r="J199" s="168">
        <f t="shared" si="4"/>
        <v>82000</v>
      </c>
      <c r="K199" s="17"/>
      <c r="L199" s="16" t="s">
        <v>27</v>
      </c>
      <c r="M199" s="16" t="s">
        <v>22</v>
      </c>
      <c r="N199" s="39"/>
      <c r="O199" s="20"/>
    </row>
    <row r="200" spans="1:15" s="12" customFormat="1" ht="46.5" customHeight="1">
      <c r="A200" s="164" t="s">
        <v>80</v>
      </c>
      <c r="B200" s="165" t="s">
        <v>356</v>
      </c>
      <c r="C200" s="166" t="s">
        <v>17</v>
      </c>
      <c r="D200" s="166"/>
      <c r="E200" s="166">
        <v>40</v>
      </c>
      <c r="F200" s="166"/>
      <c r="G200" s="167">
        <v>40</v>
      </c>
      <c r="H200" s="167">
        <f>SUM(Tabla13267[[#This Row],[PRIMER TRIMESTRE]:[CUARTO TRIMESTRE]])</f>
        <v>80</v>
      </c>
      <c r="I200" s="168">
        <v>1200</v>
      </c>
      <c r="J200" s="168">
        <f t="shared" si="4"/>
        <v>96000</v>
      </c>
      <c r="K200" s="17"/>
      <c r="L200" s="16" t="s">
        <v>27</v>
      </c>
      <c r="M200" s="16" t="s">
        <v>22</v>
      </c>
      <c r="N200" s="39"/>
      <c r="O200" s="20"/>
    </row>
    <row r="201" spans="1:15" s="12" customFormat="1" ht="46.5" customHeight="1">
      <c r="A201" s="164" t="s">
        <v>80</v>
      </c>
      <c r="B201" s="165" t="s">
        <v>357</v>
      </c>
      <c r="C201" s="166" t="s">
        <v>17</v>
      </c>
      <c r="D201" s="166"/>
      <c r="E201" s="166">
        <v>40</v>
      </c>
      <c r="F201" s="166"/>
      <c r="G201" s="167">
        <v>40</v>
      </c>
      <c r="H201" s="167">
        <f>SUM(Tabla13267[[#This Row],[PRIMER TRIMESTRE]:[CUARTO TRIMESTRE]])</f>
        <v>80</v>
      </c>
      <c r="I201" s="168">
        <v>1400</v>
      </c>
      <c r="J201" s="168">
        <f t="shared" si="4"/>
        <v>112000</v>
      </c>
      <c r="K201" s="17"/>
      <c r="L201" s="16" t="s">
        <v>27</v>
      </c>
      <c r="M201" s="16" t="s">
        <v>22</v>
      </c>
      <c r="N201" s="39"/>
      <c r="O201" s="20"/>
    </row>
    <row r="202" spans="1:15" s="12" customFormat="1" ht="46.5" customHeight="1">
      <c r="A202" s="164" t="s">
        <v>80</v>
      </c>
      <c r="B202" s="165" t="s">
        <v>358</v>
      </c>
      <c r="C202" s="166" t="s">
        <v>17</v>
      </c>
      <c r="D202" s="166"/>
      <c r="E202" s="166">
        <v>30</v>
      </c>
      <c r="F202" s="166"/>
      <c r="G202" s="167">
        <v>30</v>
      </c>
      <c r="H202" s="167">
        <f>SUM(Tabla13267[[#This Row],[PRIMER TRIMESTRE]:[CUARTO TRIMESTRE]])</f>
        <v>60</v>
      </c>
      <c r="I202" s="168">
        <v>1600</v>
      </c>
      <c r="J202" s="168">
        <f t="shared" si="4"/>
        <v>96000</v>
      </c>
      <c r="K202" s="17"/>
      <c r="L202" s="16" t="s">
        <v>27</v>
      </c>
      <c r="M202" s="16" t="s">
        <v>22</v>
      </c>
      <c r="N202" s="39"/>
      <c r="O202" s="20"/>
    </row>
    <row r="203" spans="1:15" s="12" customFormat="1" ht="46.5" customHeight="1">
      <c r="A203" s="164" t="s">
        <v>80</v>
      </c>
      <c r="B203" s="165" t="s">
        <v>359</v>
      </c>
      <c r="C203" s="166" t="s">
        <v>17</v>
      </c>
      <c r="D203" s="166"/>
      <c r="E203" s="166">
        <v>30</v>
      </c>
      <c r="F203" s="166"/>
      <c r="G203" s="167">
        <v>30</v>
      </c>
      <c r="H203" s="167">
        <f>SUM(Tabla13267[[#This Row],[PRIMER TRIMESTRE]:[CUARTO TRIMESTRE]])</f>
        <v>60</v>
      </c>
      <c r="I203" s="168">
        <v>1800</v>
      </c>
      <c r="J203" s="168">
        <f t="shared" si="4"/>
        <v>108000</v>
      </c>
      <c r="K203" s="17"/>
      <c r="L203" s="16" t="s">
        <v>27</v>
      </c>
      <c r="M203" s="16" t="s">
        <v>22</v>
      </c>
      <c r="N203" s="39"/>
      <c r="O203" s="20"/>
    </row>
    <row r="204" spans="1:15" s="12" customFormat="1" ht="46.5" customHeight="1">
      <c r="A204" s="164" t="s">
        <v>80</v>
      </c>
      <c r="B204" s="165" t="s">
        <v>360</v>
      </c>
      <c r="C204" s="166" t="s">
        <v>17</v>
      </c>
      <c r="D204" s="166"/>
      <c r="E204" s="166">
        <v>20</v>
      </c>
      <c r="F204" s="166"/>
      <c r="G204" s="167">
        <v>20</v>
      </c>
      <c r="H204" s="167">
        <f>SUM(Tabla13267[[#This Row],[PRIMER TRIMESTRE]:[CUARTO TRIMESTRE]])</f>
        <v>40</v>
      </c>
      <c r="I204" s="168">
        <v>2000</v>
      </c>
      <c r="J204" s="168">
        <f t="shared" si="4"/>
        <v>80000</v>
      </c>
      <c r="K204" s="17"/>
      <c r="L204" s="16" t="s">
        <v>27</v>
      </c>
      <c r="M204" s="16" t="s">
        <v>22</v>
      </c>
      <c r="N204" s="39"/>
      <c r="O204" s="20"/>
    </row>
    <row r="205" spans="1:15" s="12" customFormat="1" ht="46.5" customHeight="1">
      <c r="A205" s="164" t="s">
        <v>80</v>
      </c>
      <c r="B205" s="165" t="s">
        <v>353</v>
      </c>
      <c r="C205" s="166" t="s">
        <v>17</v>
      </c>
      <c r="D205" s="166"/>
      <c r="E205" s="166">
        <v>10</v>
      </c>
      <c r="F205" s="166"/>
      <c r="G205" s="167">
        <v>10</v>
      </c>
      <c r="H205" s="167">
        <f>SUM(Tabla13267[[#This Row],[PRIMER TRIMESTRE]:[CUARTO TRIMESTRE]])</f>
        <v>20</v>
      </c>
      <c r="I205" s="168">
        <v>2500</v>
      </c>
      <c r="J205" s="168">
        <f t="shared" si="4"/>
        <v>50000</v>
      </c>
      <c r="K205" s="17"/>
      <c r="L205" s="16" t="s">
        <v>27</v>
      </c>
      <c r="M205" s="16" t="s">
        <v>22</v>
      </c>
      <c r="N205" s="39"/>
      <c r="O205" s="20"/>
    </row>
    <row r="206" spans="1:15" s="12" customFormat="1" ht="46.5" customHeight="1">
      <c r="A206" s="164" t="s">
        <v>80</v>
      </c>
      <c r="B206" s="165" t="s">
        <v>354</v>
      </c>
      <c r="C206" s="166" t="s">
        <v>17</v>
      </c>
      <c r="D206" s="166"/>
      <c r="E206" s="166">
        <v>15</v>
      </c>
      <c r="F206" s="166"/>
      <c r="G206" s="167">
        <v>15</v>
      </c>
      <c r="H206" s="167">
        <f>SUM(Tabla13267[[#This Row],[PRIMER TRIMESTRE]:[CUARTO TRIMESTRE]])</f>
        <v>30</v>
      </c>
      <c r="I206" s="168">
        <v>8502.7999999999993</v>
      </c>
      <c r="J206" s="168">
        <f t="shared" si="4"/>
        <v>255083.99999999997</v>
      </c>
      <c r="K206" s="17"/>
      <c r="L206" s="16" t="s">
        <v>27</v>
      </c>
      <c r="M206" s="16" t="s">
        <v>22</v>
      </c>
      <c r="N206" s="39"/>
      <c r="O206" s="20"/>
    </row>
    <row r="207" spans="1:15" s="12" customFormat="1" ht="46.5" customHeight="1">
      <c r="A207" s="164" t="s">
        <v>80</v>
      </c>
      <c r="B207" s="165" t="s">
        <v>355</v>
      </c>
      <c r="C207" s="166" t="s">
        <v>17</v>
      </c>
      <c r="D207" s="166"/>
      <c r="E207" s="166">
        <v>10</v>
      </c>
      <c r="F207" s="166"/>
      <c r="G207" s="167">
        <v>10</v>
      </c>
      <c r="H207" s="167">
        <f>SUM(Tabla13267[[#This Row],[PRIMER TRIMESTRE]:[CUARTO TRIMESTRE]])</f>
        <v>20</v>
      </c>
      <c r="I207" s="168">
        <v>12180</v>
      </c>
      <c r="J207" s="168">
        <f t="shared" si="4"/>
        <v>243600</v>
      </c>
      <c r="K207" s="17"/>
      <c r="L207" s="16" t="s">
        <v>27</v>
      </c>
      <c r="M207" s="16" t="s">
        <v>22</v>
      </c>
      <c r="N207" s="39"/>
      <c r="O207" s="20"/>
    </row>
    <row r="208" spans="1:15" s="12" customFormat="1" ht="46.5" customHeight="1">
      <c r="A208" s="164" t="s">
        <v>80</v>
      </c>
      <c r="B208" s="165" t="s">
        <v>363</v>
      </c>
      <c r="C208" s="166" t="s">
        <v>17</v>
      </c>
      <c r="D208" s="166"/>
      <c r="E208" s="166">
        <v>40</v>
      </c>
      <c r="F208" s="166"/>
      <c r="G208" s="167">
        <v>40</v>
      </c>
      <c r="H208" s="167">
        <f>SUM(Tabla13267[[#This Row],[PRIMER TRIMESTRE]:[CUARTO TRIMESTRE]])</f>
        <v>80</v>
      </c>
      <c r="I208" s="168">
        <v>1200</v>
      </c>
      <c r="J208" s="168">
        <f t="shared" si="4"/>
        <v>96000</v>
      </c>
      <c r="K208" s="17"/>
      <c r="L208" s="16" t="s">
        <v>27</v>
      </c>
      <c r="M208" s="16" t="s">
        <v>22</v>
      </c>
      <c r="N208" s="39"/>
      <c r="O208" s="20"/>
    </row>
    <row r="209" spans="1:18" s="12" customFormat="1" ht="46.5" customHeight="1">
      <c r="A209" s="164" t="s">
        <v>80</v>
      </c>
      <c r="B209" s="165" t="s">
        <v>364</v>
      </c>
      <c r="C209" s="166" t="s">
        <v>17</v>
      </c>
      <c r="D209" s="166"/>
      <c r="E209" s="166">
        <v>40</v>
      </c>
      <c r="F209" s="166"/>
      <c r="G209" s="167">
        <v>40</v>
      </c>
      <c r="H209" s="167">
        <f>SUM(Tabla13267[[#This Row],[PRIMER TRIMESTRE]:[CUARTO TRIMESTRE]])</f>
        <v>80</v>
      </c>
      <c r="I209" s="168">
        <v>1400</v>
      </c>
      <c r="J209" s="168">
        <f t="shared" si="4"/>
        <v>112000</v>
      </c>
      <c r="K209" s="17"/>
      <c r="L209" s="16" t="s">
        <v>27</v>
      </c>
      <c r="M209" s="16" t="s">
        <v>22</v>
      </c>
      <c r="N209" s="39"/>
      <c r="O209" s="20"/>
    </row>
    <row r="210" spans="1:18" s="12" customFormat="1" ht="46.5" customHeight="1">
      <c r="A210" s="164" t="s">
        <v>80</v>
      </c>
      <c r="B210" s="165" t="s">
        <v>365</v>
      </c>
      <c r="C210" s="166" t="s">
        <v>17</v>
      </c>
      <c r="D210" s="166"/>
      <c r="E210" s="166">
        <v>25</v>
      </c>
      <c r="F210" s="166"/>
      <c r="G210" s="167">
        <v>250</v>
      </c>
      <c r="H210" s="167">
        <f>SUM(Tabla13267[[#This Row],[PRIMER TRIMESTRE]:[CUARTO TRIMESTRE]])</f>
        <v>275</v>
      </c>
      <c r="I210" s="168">
        <v>1600</v>
      </c>
      <c r="J210" s="168">
        <f t="shared" si="4"/>
        <v>440000</v>
      </c>
      <c r="K210" s="17"/>
      <c r="L210" s="16" t="s">
        <v>27</v>
      </c>
      <c r="M210" s="16" t="s">
        <v>22</v>
      </c>
      <c r="N210" s="39"/>
      <c r="O210" s="20"/>
    </row>
    <row r="211" spans="1:18" s="12" customFormat="1" ht="46.5" customHeight="1">
      <c r="A211" s="164" t="s">
        <v>80</v>
      </c>
      <c r="B211" s="165" t="s">
        <v>366</v>
      </c>
      <c r="C211" s="166" t="s">
        <v>17</v>
      </c>
      <c r="D211" s="166"/>
      <c r="E211" s="166">
        <v>40</v>
      </c>
      <c r="F211" s="166"/>
      <c r="G211" s="167">
        <v>40</v>
      </c>
      <c r="H211" s="167">
        <f>SUM(Tabla13267[[#This Row],[PRIMER TRIMESTRE]:[CUARTO TRIMESTRE]])</f>
        <v>80</v>
      </c>
      <c r="I211" s="168">
        <v>1800</v>
      </c>
      <c r="J211" s="168">
        <f t="shared" si="4"/>
        <v>144000</v>
      </c>
      <c r="K211" s="17"/>
      <c r="L211" s="16" t="s">
        <v>27</v>
      </c>
      <c r="M211" s="16" t="s">
        <v>22</v>
      </c>
      <c r="N211" s="39"/>
      <c r="O211" s="20"/>
    </row>
    <row r="212" spans="1:18" s="12" customFormat="1" ht="46.5" customHeight="1">
      <c r="A212" s="164" t="s">
        <v>80</v>
      </c>
      <c r="B212" s="165" t="s">
        <v>367</v>
      </c>
      <c r="C212" s="166" t="s">
        <v>17</v>
      </c>
      <c r="D212" s="166"/>
      <c r="E212" s="166">
        <v>20</v>
      </c>
      <c r="F212" s="166"/>
      <c r="G212" s="167">
        <v>20</v>
      </c>
      <c r="H212" s="167">
        <f>SUM(Tabla13267[[#This Row],[PRIMER TRIMESTRE]:[CUARTO TRIMESTRE]])</f>
        <v>40</v>
      </c>
      <c r="I212" s="168">
        <v>2000</v>
      </c>
      <c r="J212" s="168">
        <f t="shared" si="4"/>
        <v>80000</v>
      </c>
      <c r="K212" s="17"/>
      <c r="L212" s="16" t="s">
        <v>27</v>
      </c>
      <c r="M212" s="16" t="s">
        <v>22</v>
      </c>
      <c r="N212" s="39"/>
      <c r="O212" s="20"/>
    </row>
    <row r="213" spans="1:18" s="12" customFormat="1" ht="46.5" customHeight="1">
      <c r="A213" s="164" t="s">
        <v>80</v>
      </c>
      <c r="B213" s="165" t="s">
        <v>361</v>
      </c>
      <c r="C213" s="166" t="s">
        <v>17</v>
      </c>
      <c r="D213" s="166"/>
      <c r="E213" s="166">
        <v>10</v>
      </c>
      <c r="F213" s="166"/>
      <c r="G213" s="167">
        <v>10</v>
      </c>
      <c r="H213" s="167">
        <f>SUM(Tabla13267[[#This Row],[PRIMER TRIMESTRE]:[CUARTO TRIMESTRE]])</f>
        <v>20</v>
      </c>
      <c r="I213" s="168">
        <v>2500</v>
      </c>
      <c r="J213" s="168">
        <f t="shared" si="4"/>
        <v>50000</v>
      </c>
      <c r="K213" s="17"/>
      <c r="L213" s="16" t="s">
        <v>27</v>
      </c>
      <c r="M213" s="16" t="s">
        <v>22</v>
      </c>
      <c r="N213" s="39"/>
      <c r="O213" s="20"/>
    </row>
    <row r="214" spans="1:18" s="12" customFormat="1" ht="46.5" customHeight="1">
      <c r="A214" s="164" t="s">
        <v>80</v>
      </c>
      <c r="B214" s="165" t="s">
        <v>362</v>
      </c>
      <c r="C214" s="166" t="s">
        <v>17</v>
      </c>
      <c r="D214" s="166"/>
      <c r="E214" s="166">
        <v>15</v>
      </c>
      <c r="F214" s="166"/>
      <c r="G214" s="167">
        <v>15</v>
      </c>
      <c r="H214" s="167">
        <f>SUM(Tabla13267[[#This Row],[PRIMER TRIMESTRE]:[CUARTO TRIMESTRE]])</f>
        <v>30</v>
      </c>
      <c r="I214" s="168">
        <v>3100</v>
      </c>
      <c r="J214" s="168">
        <f t="shared" si="4"/>
        <v>93000</v>
      </c>
      <c r="K214" s="17"/>
      <c r="L214" s="16" t="s">
        <v>27</v>
      </c>
      <c r="M214" s="16" t="s">
        <v>22</v>
      </c>
      <c r="N214" s="39"/>
      <c r="O214" s="20"/>
    </row>
    <row r="215" spans="1:18" s="12" customFormat="1">
      <c r="A215" s="15" t="s">
        <v>80</v>
      </c>
      <c r="B215" s="75" t="s">
        <v>154</v>
      </c>
      <c r="C215" s="39" t="s">
        <v>470</v>
      </c>
      <c r="D215" s="39"/>
      <c r="E215" s="39"/>
      <c r="F215" s="39"/>
      <c r="G215" s="39">
        <v>200</v>
      </c>
      <c r="H215" s="40">
        <f>SUM(Tabla13267[[#This Row],[PRIMER TRIMESTRE]:[CUARTO TRIMESTRE]])</f>
        <v>200</v>
      </c>
      <c r="I215" s="17">
        <v>100</v>
      </c>
      <c r="J215" s="17">
        <f>+Tabla13267[[#This Row],[CANTIDAD TOTAL]]*Tabla13267[[#This Row],[PRECIO UNITARIO ESTIMADO]]</f>
        <v>20000</v>
      </c>
      <c r="K215" s="17"/>
      <c r="L215" s="16" t="s">
        <v>27</v>
      </c>
      <c r="M215" s="16" t="s">
        <v>22</v>
      </c>
      <c r="N215" s="39" t="s">
        <v>418</v>
      </c>
      <c r="O215" s="20"/>
      <c r="R215" s="19" t="s">
        <v>155</v>
      </c>
    </row>
    <row r="216" spans="1:18" s="12" customFormat="1">
      <c r="A216" s="15" t="s">
        <v>80</v>
      </c>
      <c r="B216" s="75" t="s">
        <v>156</v>
      </c>
      <c r="C216" s="39" t="s">
        <v>17</v>
      </c>
      <c r="D216" s="39"/>
      <c r="E216" s="39">
        <v>40</v>
      </c>
      <c r="F216" s="39"/>
      <c r="G216" s="39">
        <v>40</v>
      </c>
      <c r="H216" s="40">
        <f>SUM(Tabla13267[[#This Row],[PRIMER TRIMESTRE]:[CUARTO TRIMESTRE]])</f>
        <v>80</v>
      </c>
      <c r="I216" s="17">
        <v>439.81</v>
      </c>
      <c r="J216" s="17">
        <f>+Tabla13267[[#This Row],[CANTIDAD TOTAL]]*Tabla13267[[#This Row],[PRECIO UNITARIO ESTIMADO]]</f>
        <v>35184.800000000003</v>
      </c>
      <c r="K216" s="17"/>
      <c r="L216" s="16" t="s">
        <v>15</v>
      </c>
      <c r="M216" s="16" t="s">
        <v>22</v>
      </c>
      <c r="N216" s="39" t="s">
        <v>418</v>
      </c>
      <c r="O216" s="20"/>
      <c r="R216" s="19" t="s">
        <v>157</v>
      </c>
    </row>
    <row r="217" spans="1:18" s="12" customFormat="1">
      <c r="A217" s="15" t="s">
        <v>80</v>
      </c>
      <c r="B217" s="75" t="s">
        <v>728</v>
      </c>
      <c r="C217" s="39" t="s">
        <v>17</v>
      </c>
      <c r="D217" s="39"/>
      <c r="E217" s="39"/>
      <c r="F217" s="39"/>
      <c r="G217" s="39">
        <v>21</v>
      </c>
      <c r="H217" s="40">
        <f>SUM(Tabla13267[[#This Row],[PRIMER TRIMESTRE]:[CUARTO TRIMESTRE]])</f>
        <v>21</v>
      </c>
      <c r="I217" s="17">
        <v>1800.17</v>
      </c>
      <c r="J217" s="17">
        <f>+H217*I217</f>
        <v>37803.57</v>
      </c>
      <c r="K217" s="17"/>
      <c r="L217" s="16" t="s">
        <v>15</v>
      </c>
      <c r="M217" s="16" t="s">
        <v>22</v>
      </c>
      <c r="N217" s="39" t="s">
        <v>418</v>
      </c>
      <c r="O217" s="18"/>
      <c r="R217" s="19"/>
    </row>
    <row r="218" spans="1:18" s="12" customFormat="1" ht="31.5">
      <c r="A218" s="15" t="s">
        <v>80</v>
      </c>
      <c r="B218" s="75" t="s">
        <v>158</v>
      </c>
      <c r="C218" s="39" t="s">
        <v>17</v>
      </c>
      <c r="D218" s="39"/>
      <c r="E218" s="39">
        <v>2</v>
      </c>
      <c r="F218" s="39"/>
      <c r="G218" s="39"/>
      <c r="H218" s="40">
        <f>SUM(Tabla13267[[#This Row],[PRIMER TRIMESTRE]:[CUARTO TRIMESTRE]])</f>
        <v>2</v>
      </c>
      <c r="I218" s="17">
        <v>1120</v>
      </c>
      <c r="J218" s="17">
        <f>+Tabla13267[[#This Row],[CANTIDAD TOTAL]]*Tabla13267[[#This Row],[PRECIO UNITARIO ESTIMADO]]</f>
        <v>2240</v>
      </c>
      <c r="K218" s="17"/>
      <c r="L218" s="16" t="s">
        <v>15</v>
      </c>
      <c r="M218" s="16" t="s">
        <v>22</v>
      </c>
      <c r="N218" s="39" t="s">
        <v>418</v>
      </c>
      <c r="O218" s="20"/>
      <c r="R218" s="19" t="s">
        <v>159</v>
      </c>
    </row>
    <row r="219" spans="1:18" s="12" customFormat="1" ht="31.5">
      <c r="A219" s="15" t="s">
        <v>80</v>
      </c>
      <c r="B219" s="75" t="s">
        <v>160</v>
      </c>
      <c r="C219" s="39" t="s">
        <v>17</v>
      </c>
      <c r="D219" s="39"/>
      <c r="E219" s="39">
        <v>6</v>
      </c>
      <c r="F219" s="39"/>
      <c r="G219" s="39"/>
      <c r="H219" s="40">
        <f>SUM(Tabla13267[[#This Row],[PRIMER TRIMESTRE]:[CUARTO TRIMESTRE]])</f>
        <v>6</v>
      </c>
      <c r="I219" s="17">
        <v>1908</v>
      </c>
      <c r="J219" s="17">
        <f>+Tabla13267[[#This Row],[CANTIDAD TOTAL]]*Tabla13267[[#This Row],[PRECIO UNITARIO ESTIMADO]]</f>
        <v>11448</v>
      </c>
      <c r="K219" s="17"/>
      <c r="L219" s="16" t="s">
        <v>15</v>
      </c>
      <c r="M219" s="16" t="s">
        <v>22</v>
      </c>
      <c r="N219" s="39" t="s">
        <v>418</v>
      </c>
      <c r="O219" s="20"/>
      <c r="R219" s="19" t="s">
        <v>161</v>
      </c>
    </row>
    <row r="220" spans="1:18" s="12" customFormat="1">
      <c r="A220" s="15" t="s">
        <v>80</v>
      </c>
      <c r="B220" s="75" t="s">
        <v>162</v>
      </c>
      <c r="C220" s="39" t="s">
        <v>17</v>
      </c>
      <c r="D220" s="39"/>
      <c r="E220" s="39">
        <v>60</v>
      </c>
      <c r="F220" s="39"/>
      <c r="G220" s="39">
        <v>60</v>
      </c>
      <c r="H220" s="40">
        <f>SUM(Tabla13267[[#This Row],[PRIMER TRIMESTRE]:[CUARTO TRIMESTRE]])</f>
        <v>120</v>
      </c>
      <c r="I220" s="17">
        <v>29</v>
      </c>
      <c r="J220" s="17">
        <f>+Tabla13267[[#This Row],[CANTIDAD TOTAL]]*Tabla13267[[#This Row],[PRECIO UNITARIO ESTIMADO]]</f>
        <v>3480</v>
      </c>
      <c r="K220" s="17"/>
      <c r="L220" s="16" t="s">
        <v>15</v>
      </c>
      <c r="M220" s="16" t="s">
        <v>22</v>
      </c>
      <c r="N220" s="39" t="s">
        <v>418</v>
      </c>
      <c r="O220" s="20"/>
      <c r="R220" s="19" t="s">
        <v>163</v>
      </c>
    </row>
    <row r="221" spans="1:18" s="12" customFormat="1">
      <c r="A221" s="15" t="s">
        <v>80</v>
      </c>
      <c r="B221" s="75" t="s">
        <v>368</v>
      </c>
      <c r="C221" s="39" t="s">
        <v>17</v>
      </c>
      <c r="D221" s="39"/>
      <c r="E221" s="39">
        <v>200</v>
      </c>
      <c r="F221" s="39"/>
      <c r="G221" s="39">
        <v>200</v>
      </c>
      <c r="H221" s="40">
        <f>SUM(Tabla13267[[#This Row],[PRIMER TRIMESTRE]:[CUARTO TRIMESTRE]])</f>
        <v>400</v>
      </c>
      <c r="I221" s="17">
        <v>75.400000000000006</v>
      </c>
      <c r="J221" s="17">
        <f>+H221*I221</f>
        <v>30160.000000000004</v>
      </c>
      <c r="K221" s="17"/>
      <c r="L221" s="16" t="s">
        <v>15</v>
      </c>
      <c r="M221" s="16" t="s">
        <v>22</v>
      </c>
      <c r="N221" s="39" t="s">
        <v>418</v>
      </c>
      <c r="O221" s="20"/>
    </row>
    <row r="222" spans="1:18" s="12" customFormat="1">
      <c r="A222" s="15" t="s">
        <v>80</v>
      </c>
      <c r="B222" s="75" t="s">
        <v>602</v>
      </c>
      <c r="C222" s="39" t="s">
        <v>17</v>
      </c>
      <c r="D222" s="39"/>
      <c r="E222" s="39">
        <v>200</v>
      </c>
      <c r="F222" s="39"/>
      <c r="G222" s="39">
        <v>200</v>
      </c>
      <c r="H222" s="40">
        <f>SUM(Tabla13267[[#This Row],[PRIMER TRIMESTRE]:[CUARTO TRIMESTRE]])</f>
        <v>400</v>
      </c>
      <c r="I222" s="17">
        <v>90</v>
      </c>
      <c r="J222" s="17">
        <f>+H222*I222</f>
        <v>36000</v>
      </c>
      <c r="K222" s="17"/>
      <c r="L222" s="16" t="s">
        <v>15</v>
      </c>
      <c r="M222" s="16" t="s">
        <v>22</v>
      </c>
      <c r="N222" s="39" t="s">
        <v>418</v>
      </c>
      <c r="O222" s="20"/>
    </row>
    <row r="223" spans="1:18" s="12" customFormat="1" ht="38.25" customHeight="1">
      <c r="A223" s="15" t="s">
        <v>80</v>
      </c>
      <c r="B223" s="75" t="s">
        <v>164</v>
      </c>
      <c r="C223" s="39" t="s">
        <v>17</v>
      </c>
      <c r="D223" s="39"/>
      <c r="E223" s="39">
        <v>6</v>
      </c>
      <c r="F223" s="39"/>
      <c r="G223" s="39"/>
      <c r="H223" s="40">
        <f>SUM(Tabla13267[[#This Row],[PRIMER TRIMESTRE]:[CUARTO TRIMESTRE]])</f>
        <v>6</v>
      </c>
      <c r="I223" s="17">
        <v>3419.05</v>
      </c>
      <c r="J223" s="17">
        <f>+Tabla13267[[#This Row],[CANTIDAD TOTAL]]*Tabla13267[[#This Row],[PRECIO UNITARIO ESTIMADO]]</f>
        <v>20514.300000000003</v>
      </c>
      <c r="K223" s="17"/>
      <c r="L223" s="16" t="s">
        <v>15</v>
      </c>
      <c r="M223" s="16" t="s">
        <v>22</v>
      </c>
      <c r="N223" s="39" t="s">
        <v>418</v>
      </c>
      <c r="O223" s="20"/>
      <c r="R223" s="19" t="s">
        <v>165</v>
      </c>
    </row>
    <row r="224" spans="1:18" s="12" customFormat="1">
      <c r="A224" s="15" t="s">
        <v>80</v>
      </c>
      <c r="B224" s="75" t="s">
        <v>462</v>
      </c>
      <c r="C224" s="39" t="s">
        <v>17</v>
      </c>
      <c r="D224" s="39"/>
      <c r="E224" s="39">
        <v>30</v>
      </c>
      <c r="F224" s="39"/>
      <c r="G224" s="39"/>
      <c r="H224" s="40">
        <f>SUM(Tabla13267[[#This Row],[PRIMER TRIMESTRE]:[CUARTO TRIMESTRE]])</f>
        <v>30</v>
      </c>
      <c r="I224" s="17">
        <v>1896.06</v>
      </c>
      <c r="J224" s="17">
        <f>+H224*I224</f>
        <v>56881.799999999996</v>
      </c>
      <c r="K224" s="17"/>
      <c r="L224" s="16" t="s">
        <v>15</v>
      </c>
      <c r="M224" s="16" t="s">
        <v>22</v>
      </c>
      <c r="N224" s="39" t="s">
        <v>418</v>
      </c>
      <c r="O224" s="18"/>
      <c r="R224" s="19"/>
    </row>
    <row r="225" spans="1:18" s="12" customFormat="1" ht="31.5">
      <c r="A225" s="15" t="s">
        <v>80</v>
      </c>
      <c r="B225" s="75" t="s">
        <v>463</v>
      </c>
      <c r="C225" s="39" t="s">
        <v>17</v>
      </c>
      <c r="D225" s="39"/>
      <c r="E225" s="39">
        <v>30</v>
      </c>
      <c r="F225" s="39"/>
      <c r="G225" s="39"/>
      <c r="H225" s="40">
        <f>SUM(Tabla13267[[#This Row],[PRIMER TRIMESTRE]:[CUARTO TRIMESTRE]])</f>
        <v>30</v>
      </c>
      <c r="I225" s="17">
        <v>2320</v>
      </c>
      <c r="J225" s="17">
        <f>+Tabla13267[[#This Row],[CANTIDAD TOTAL]]*Tabla13267[[#This Row],[PRECIO UNITARIO ESTIMADO]]</f>
        <v>69600</v>
      </c>
      <c r="K225" s="17"/>
      <c r="L225" s="16" t="s">
        <v>15</v>
      </c>
      <c r="M225" s="16" t="s">
        <v>22</v>
      </c>
      <c r="N225" s="39" t="s">
        <v>418</v>
      </c>
      <c r="O225" s="20"/>
      <c r="R225" s="19" t="s">
        <v>166</v>
      </c>
    </row>
    <row r="226" spans="1:18" s="12" customFormat="1">
      <c r="A226" s="15" t="s">
        <v>80</v>
      </c>
      <c r="B226" s="75" t="s">
        <v>465</v>
      </c>
      <c r="C226" s="39" t="s">
        <v>17</v>
      </c>
      <c r="D226" s="39"/>
      <c r="E226" s="39">
        <v>30</v>
      </c>
      <c r="F226" s="39"/>
      <c r="G226" s="39"/>
      <c r="H226" s="40">
        <f>SUM(Tabla13267[[#This Row],[PRIMER TRIMESTRE]:[CUARTO TRIMESTRE]])</f>
        <v>30</v>
      </c>
      <c r="I226" s="17">
        <v>2682</v>
      </c>
      <c r="J226" s="17">
        <f>+Tabla13267[[#This Row],[CANTIDAD TOTAL]]*Tabla13267[[#This Row],[PRECIO UNITARIO ESTIMADO]]</f>
        <v>80460</v>
      </c>
      <c r="K226" s="17"/>
      <c r="L226" s="16" t="s">
        <v>15</v>
      </c>
      <c r="M226" s="16" t="s">
        <v>22</v>
      </c>
      <c r="N226" s="39" t="s">
        <v>418</v>
      </c>
      <c r="O226" s="20"/>
      <c r="R226" s="19" t="s">
        <v>168</v>
      </c>
    </row>
    <row r="227" spans="1:18" s="12" customFormat="1">
      <c r="A227" s="15" t="s">
        <v>80</v>
      </c>
      <c r="B227" s="75" t="s">
        <v>464</v>
      </c>
      <c r="C227" s="39" t="s">
        <v>17</v>
      </c>
      <c r="D227" s="39"/>
      <c r="E227" s="39">
        <v>25</v>
      </c>
      <c r="F227" s="39"/>
      <c r="G227" s="39">
        <v>25</v>
      </c>
      <c r="H227" s="40">
        <f>SUM(Tabla13267[[#This Row],[PRIMER TRIMESTRE]:[CUARTO TRIMESTRE]])</f>
        <v>50</v>
      </c>
      <c r="I227" s="17">
        <v>50</v>
      </c>
      <c r="J227" s="17">
        <f>+Tabla13267[[#This Row],[CANTIDAD TOTAL]]*Tabla13267[[#This Row],[PRECIO UNITARIO ESTIMADO]]</f>
        <v>2500</v>
      </c>
      <c r="K227" s="17"/>
      <c r="L227" s="16" t="s">
        <v>15</v>
      </c>
      <c r="M227" s="16" t="s">
        <v>22</v>
      </c>
      <c r="N227" s="39" t="s">
        <v>418</v>
      </c>
      <c r="O227" s="20"/>
      <c r="R227" s="19" t="s">
        <v>167</v>
      </c>
    </row>
    <row r="228" spans="1:18" s="12" customFormat="1">
      <c r="A228" s="15" t="s">
        <v>80</v>
      </c>
      <c r="B228" s="75" t="s">
        <v>466</v>
      </c>
      <c r="C228" s="39" t="s">
        <v>17</v>
      </c>
      <c r="D228" s="39"/>
      <c r="E228" s="39">
        <v>8</v>
      </c>
      <c r="F228" s="39"/>
      <c r="G228" s="39">
        <v>7</v>
      </c>
      <c r="H228" s="40">
        <f>SUM(Tabla13267[[#This Row],[PRIMER TRIMESTRE]:[CUARTO TRIMESTRE]])</f>
        <v>15</v>
      </c>
      <c r="I228" s="17">
        <v>1746.26</v>
      </c>
      <c r="J228" s="17">
        <f>+Tabla13267[[#This Row],[CANTIDAD TOTAL]]*Tabla13267[[#This Row],[PRECIO UNITARIO ESTIMADO]]</f>
        <v>26193.9</v>
      </c>
      <c r="K228" s="17"/>
      <c r="L228" s="16" t="s">
        <v>15</v>
      </c>
      <c r="M228" s="16" t="s">
        <v>22</v>
      </c>
      <c r="N228" s="39" t="s">
        <v>418</v>
      </c>
      <c r="O228" s="20"/>
      <c r="R228" s="19" t="s">
        <v>169</v>
      </c>
    </row>
    <row r="229" spans="1:18" s="12" customFormat="1">
      <c r="A229" s="15" t="s">
        <v>80</v>
      </c>
      <c r="B229" s="75" t="s">
        <v>170</v>
      </c>
      <c r="C229" s="39" t="s">
        <v>17</v>
      </c>
      <c r="D229" s="39"/>
      <c r="E229" s="39">
        <v>8</v>
      </c>
      <c r="F229" s="39"/>
      <c r="G229" s="39"/>
      <c r="H229" s="40">
        <f>SUM(Tabla13267[[#This Row],[PRIMER TRIMESTRE]:[CUARTO TRIMESTRE]])</f>
        <v>8</v>
      </c>
      <c r="I229" s="17">
        <v>458.2</v>
      </c>
      <c r="J229" s="17">
        <f>+Tabla13267[[#This Row],[CANTIDAD TOTAL]]*Tabla13267[[#This Row],[PRECIO UNITARIO ESTIMADO]]</f>
        <v>3665.6</v>
      </c>
      <c r="K229" s="17"/>
      <c r="L229" s="16" t="s">
        <v>15</v>
      </c>
      <c r="M229" s="16" t="s">
        <v>22</v>
      </c>
      <c r="N229" s="39" t="s">
        <v>418</v>
      </c>
      <c r="O229" s="20"/>
      <c r="R229" s="19" t="s">
        <v>171</v>
      </c>
    </row>
    <row r="230" spans="1:18" s="12" customFormat="1">
      <c r="A230" s="15" t="s">
        <v>80</v>
      </c>
      <c r="B230" s="75" t="s">
        <v>172</v>
      </c>
      <c r="C230" s="39" t="s">
        <v>17</v>
      </c>
      <c r="D230" s="39"/>
      <c r="E230" s="39">
        <v>3</v>
      </c>
      <c r="F230" s="39"/>
      <c r="G230" s="39"/>
      <c r="H230" s="40">
        <f>SUM(Tabla13267[[#This Row],[PRIMER TRIMESTRE]:[CUARTO TRIMESTRE]])</f>
        <v>3</v>
      </c>
      <c r="I230" s="17">
        <v>90</v>
      </c>
      <c r="J230" s="17">
        <f>+Tabla13267[[#This Row],[CANTIDAD TOTAL]]*Tabla13267[[#This Row],[PRECIO UNITARIO ESTIMADO]]</f>
        <v>270</v>
      </c>
      <c r="K230" s="17"/>
      <c r="L230" s="16" t="s">
        <v>15</v>
      </c>
      <c r="M230" s="16" t="s">
        <v>22</v>
      </c>
      <c r="N230" s="39" t="s">
        <v>418</v>
      </c>
      <c r="O230" s="20"/>
      <c r="R230" s="19" t="s">
        <v>173</v>
      </c>
    </row>
    <row r="231" spans="1:18" s="12" customFormat="1">
      <c r="A231" s="15" t="s">
        <v>80</v>
      </c>
      <c r="B231" s="75" t="s">
        <v>732</v>
      </c>
      <c r="C231" s="39" t="s">
        <v>17</v>
      </c>
      <c r="D231" s="39"/>
      <c r="E231" s="39">
        <v>50</v>
      </c>
      <c r="F231" s="39"/>
      <c r="G231" s="39"/>
      <c r="H231" s="40">
        <f>SUM(Tabla13267[[#This Row],[PRIMER TRIMESTRE]:[CUARTO TRIMESTRE]])</f>
        <v>50</v>
      </c>
      <c r="I231" s="72">
        <v>142.85</v>
      </c>
      <c r="J231" s="17">
        <f>+H231*I231</f>
        <v>7142.5</v>
      </c>
      <c r="K231" s="17"/>
      <c r="L231" s="16" t="s">
        <v>15</v>
      </c>
      <c r="M231" s="16" t="s">
        <v>22</v>
      </c>
      <c r="N231" s="39" t="s">
        <v>418</v>
      </c>
      <c r="O231" s="18"/>
      <c r="R231" s="19"/>
    </row>
    <row r="232" spans="1:18" s="12" customFormat="1">
      <c r="A232" s="15" t="s">
        <v>80</v>
      </c>
      <c r="B232" s="75" t="s">
        <v>733</v>
      </c>
      <c r="C232" s="39" t="s">
        <v>17</v>
      </c>
      <c r="D232" s="39"/>
      <c r="E232" s="39">
        <v>50</v>
      </c>
      <c r="F232" s="39"/>
      <c r="G232" s="39"/>
      <c r="H232" s="40">
        <f>SUM(Tabla13267[[#This Row],[PRIMER TRIMESTRE]:[CUARTO TRIMESTRE]])</f>
        <v>50</v>
      </c>
      <c r="I232" s="17">
        <v>39.56</v>
      </c>
      <c r="J232" s="17">
        <f t="shared" ref="J232:J237" si="5">+H232*I232</f>
        <v>1978</v>
      </c>
      <c r="K232" s="17"/>
      <c r="L232" s="16" t="s">
        <v>15</v>
      </c>
      <c r="M232" s="16" t="s">
        <v>22</v>
      </c>
      <c r="N232" s="39" t="s">
        <v>418</v>
      </c>
      <c r="O232" s="18"/>
      <c r="R232" s="19"/>
    </row>
    <row r="233" spans="1:18" s="12" customFormat="1">
      <c r="A233" s="15" t="s">
        <v>80</v>
      </c>
      <c r="B233" s="75" t="s">
        <v>734</v>
      </c>
      <c r="C233" s="39" t="s">
        <v>17</v>
      </c>
      <c r="D233" s="39"/>
      <c r="E233" s="39">
        <v>50</v>
      </c>
      <c r="F233" s="39"/>
      <c r="G233" s="39"/>
      <c r="H233" s="40">
        <f>SUM(Tabla13267[[#This Row],[PRIMER TRIMESTRE]:[CUARTO TRIMESTRE]])</f>
        <v>50</v>
      </c>
      <c r="I233" s="17">
        <v>41.8</v>
      </c>
      <c r="J233" s="17">
        <f t="shared" si="5"/>
        <v>2090</v>
      </c>
      <c r="K233" s="17"/>
      <c r="L233" s="16" t="s">
        <v>15</v>
      </c>
      <c r="M233" s="16" t="s">
        <v>22</v>
      </c>
      <c r="N233" s="39" t="s">
        <v>418</v>
      </c>
      <c r="O233" s="18"/>
      <c r="R233" s="19"/>
    </row>
    <row r="234" spans="1:18" s="12" customFormat="1">
      <c r="A234" s="15" t="s">
        <v>80</v>
      </c>
      <c r="B234" s="75" t="s">
        <v>735</v>
      </c>
      <c r="C234" s="39" t="s">
        <v>17</v>
      </c>
      <c r="D234" s="39"/>
      <c r="E234" s="39">
        <v>50</v>
      </c>
      <c r="F234" s="39"/>
      <c r="G234" s="39"/>
      <c r="H234" s="40">
        <f>SUM(Tabla13267[[#This Row],[PRIMER TRIMESTRE]:[CUARTO TRIMESTRE]])</f>
        <v>50</v>
      </c>
      <c r="I234" s="17">
        <v>50.27</v>
      </c>
      <c r="J234" s="17">
        <f t="shared" si="5"/>
        <v>2513.5</v>
      </c>
      <c r="K234" s="17"/>
      <c r="L234" s="16" t="s">
        <v>15</v>
      </c>
      <c r="M234" s="16" t="s">
        <v>22</v>
      </c>
      <c r="N234" s="39" t="s">
        <v>418</v>
      </c>
      <c r="O234" s="18"/>
      <c r="R234" s="19"/>
    </row>
    <row r="235" spans="1:18" s="12" customFormat="1">
      <c r="A235" s="15" t="s">
        <v>80</v>
      </c>
      <c r="B235" s="75" t="s">
        <v>736</v>
      </c>
      <c r="C235" s="39" t="s">
        <v>17</v>
      </c>
      <c r="D235" s="39"/>
      <c r="E235" s="39">
        <v>50</v>
      </c>
      <c r="F235" s="39"/>
      <c r="G235" s="39"/>
      <c r="H235" s="40">
        <f>SUM(Tabla13267[[#This Row],[PRIMER TRIMESTRE]:[CUARTO TRIMESTRE]])</f>
        <v>50</v>
      </c>
      <c r="I235" s="17">
        <v>60.89</v>
      </c>
      <c r="J235" s="17">
        <f t="shared" si="5"/>
        <v>3044.5</v>
      </c>
      <c r="K235" s="17"/>
      <c r="L235" s="16" t="s">
        <v>15</v>
      </c>
      <c r="M235" s="16" t="s">
        <v>22</v>
      </c>
      <c r="N235" s="39" t="s">
        <v>418</v>
      </c>
      <c r="O235" s="18"/>
      <c r="R235" s="19"/>
    </row>
    <row r="236" spans="1:18" s="12" customFormat="1">
      <c r="A236" s="15" t="s">
        <v>80</v>
      </c>
      <c r="B236" s="75" t="s">
        <v>737</v>
      </c>
      <c r="C236" s="39" t="s">
        <v>17</v>
      </c>
      <c r="D236" s="39"/>
      <c r="E236" s="39">
        <v>50</v>
      </c>
      <c r="F236" s="39"/>
      <c r="G236" s="39"/>
      <c r="H236" s="40">
        <f>SUM(Tabla13267[[#This Row],[PRIMER TRIMESTRE]:[CUARTO TRIMESTRE]])</f>
        <v>50</v>
      </c>
      <c r="I236" s="17">
        <v>65.36</v>
      </c>
      <c r="J236" s="17">
        <f t="shared" si="5"/>
        <v>3268</v>
      </c>
      <c r="K236" s="17"/>
      <c r="L236" s="16" t="s">
        <v>15</v>
      </c>
      <c r="M236" s="16" t="s">
        <v>22</v>
      </c>
      <c r="N236" s="39" t="s">
        <v>418</v>
      </c>
      <c r="O236" s="18"/>
      <c r="R236" s="19"/>
    </row>
    <row r="237" spans="1:18" s="12" customFormat="1">
      <c r="A237" s="15" t="s">
        <v>80</v>
      </c>
      <c r="B237" s="75" t="s">
        <v>738</v>
      </c>
      <c r="C237" s="39" t="s">
        <v>17</v>
      </c>
      <c r="D237" s="39"/>
      <c r="E237" s="39">
        <v>50</v>
      </c>
      <c r="F237" s="39"/>
      <c r="G237" s="39"/>
      <c r="H237" s="40">
        <f>SUM(Tabla13267[[#This Row],[PRIMER TRIMESTRE]:[CUARTO TRIMESTRE]])</f>
        <v>50</v>
      </c>
      <c r="I237" s="17">
        <v>352.74</v>
      </c>
      <c r="J237" s="17">
        <f t="shared" si="5"/>
        <v>17637</v>
      </c>
      <c r="K237" s="17"/>
      <c r="L237" s="16" t="s">
        <v>15</v>
      </c>
      <c r="M237" s="16" t="s">
        <v>22</v>
      </c>
      <c r="N237" s="39" t="s">
        <v>418</v>
      </c>
      <c r="O237" s="18"/>
      <c r="R237" s="19"/>
    </row>
    <row r="238" spans="1:18" s="12" customFormat="1">
      <c r="A238" s="15" t="s">
        <v>80</v>
      </c>
      <c r="B238" s="75" t="s">
        <v>565</v>
      </c>
      <c r="C238" s="39" t="s">
        <v>17</v>
      </c>
      <c r="D238" s="39"/>
      <c r="E238" s="39">
        <v>10</v>
      </c>
      <c r="F238" s="39"/>
      <c r="G238" s="39"/>
      <c r="H238" s="40">
        <f>SUM(Tabla13267[[#This Row],[PRIMER TRIMESTRE]:[CUARTO TRIMESTRE]])</f>
        <v>10</v>
      </c>
      <c r="I238" s="17">
        <v>141.38</v>
      </c>
      <c r="J238" s="17">
        <f>+Tabla13267[[#This Row],[CANTIDAD TOTAL]]*Tabla13267[[#This Row],[PRECIO UNITARIO ESTIMADO]]</f>
        <v>1413.8</v>
      </c>
      <c r="K238" s="17"/>
      <c r="L238" s="16" t="s">
        <v>15</v>
      </c>
      <c r="M238" s="16" t="s">
        <v>22</v>
      </c>
      <c r="N238" s="39" t="s">
        <v>418</v>
      </c>
      <c r="O238" s="20"/>
      <c r="R238" s="19" t="s">
        <v>146</v>
      </c>
    </row>
    <row r="239" spans="1:18" s="12" customFormat="1">
      <c r="A239" s="15" t="s">
        <v>80</v>
      </c>
      <c r="B239" s="75" t="s">
        <v>174</v>
      </c>
      <c r="C239" s="39" t="s">
        <v>17</v>
      </c>
      <c r="D239" s="39"/>
      <c r="E239" s="39">
        <v>2</v>
      </c>
      <c r="F239" s="39"/>
      <c r="G239" s="39"/>
      <c r="H239" s="40">
        <f>SUM(Tabla13267[[#This Row],[PRIMER TRIMESTRE]:[CUARTO TRIMESTRE]])</f>
        <v>2</v>
      </c>
      <c r="I239" s="17">
        <v>57420</v>
      </c>
      <c r="J239" s="17">
        <f>+Tabla13267[[#This Row],[CANTIDAD TOTAL]]*Tabla13267[[#This Row],[PRECIO UNITARIO ESTIMADO]]</f>
        <v>114840</v>
      </c>
      <c r="K239" s="17"/>
      <c r="L239" s="16" t="s">
        <v>27</v>
      </c>
      <c r="M239" s="16" t="s">
        <v>22</v>
      </c>
      <c r="N239" s="39" t="s">
        <v>418</v>
      </c>
      <c r="O239" s="20"/>
      <c r="R239" s="19" t="s">
        <v>175</v>
      </c>
    </row>
    <row r="240" spans="1:18" s="12" customFormat="1">
      <c r="A240" s="15" t="s">
        <v>80</v>
      </c>
      <c r="B240" s="75" t="s">
        <v>177</v>
      </c>
      <c r="C240" s="39" t="s">
        <v>93</v>
      </c>
      <c r="D240" s="39"/>
      <c r="E240" s="39">
        <v>40</v>
      </c>
      <c r="F240" s="39"/>
      <c r="G240" s="39">
        <v>40</v>
      </c>
      <c r="H240" s="40">
        <f>SUM(Tabla13267[[#This Row],[PRIMER TRIMESTRE]:[CUARTO TRIMESTRE]])</f>
        <v>80</v>
      </c>
      <c r="I240" s="17">
        <v>226.78</v>
      </c>
      <c r="J240" s="17">
        <f>+Tabla13267[[#This Row],[CANTIDAD TOTAL]]*Tabla13267[[#This Row],[PRECIO UNITARIO ESTIMADO]]</f>
        <v>18142.400000000001</v>
      </c>
      <c r="K240" s="17"/>
      <c r="L240" s="16" t="s">
        <v>27</v>
      </c>
      <c r="M240" s="16" t="s">
        <v>22</v>
      </c>
      <c r="N240" s="39" t="s">
        <v>418</v>
      </c>
      <c r="O240" s="20"/>
      <c r="R240" s="19" t="s">
        <v>178</v>
      </c>
    </row>
    <row r="241" spans="1:18" s="12" customFormat="1" ht="31.5" customHeight="1">
      <c r="A241" s="15" t="s">
        <v>80</v>
      </c>
      <c r="B241" s="75" t="s">
        <v>460</v>
      </c>
      <c r="C241" s="39" t="s">
        <v>93</v>
      </c>
      <c r="D241" s="39"/>
      <c r="E241" s="39"/>
      <c r="F241" s="39"/>
      <c r="G241" s="39">
        <v>50</v>
      </c>
      <c r="H241" s="40">
        <f>SUM(Tabla13267[[#This Row],[PRIMER TRIMESTRE]:[CUARTO TRIMESTRE]])</f>
        <v>50</v>
      </c>
      <c r="I241" s="17">
        <v>2055.4</v>
      </c>
      <c r="J241" s="17">
        <f>+H241*I241</f>
        <v>102770</v>
      </c>
      <c r="K241" s="17"/>
      <c r="L241" s="16" t="s">
        <v>27</v>
      </c>
      <c r="M241" s="16" t="s">
        <v>22</v>
      </c>
      <c r="N241" s="39" t="s">
        <v>418</v>
      </c>
      <c r="O241" s="18"/>
      <c r="R241" s="19"/>
    </row>
    <row r="242" spans="1:18" s="12" customFormat="1">
      <c r="A242" s="15" t="s">
        <v>80</v>
      </c>
      <c r="B242" s="75" t="s">
        <v>179</v>
      </c>
      <c r="C242" s="39" t="s">
        <v>93</v>
      </c>
      <c r="D242" s="39"/>
      <c r="E242" s="39">
        <v>25</v>
      </c>
      <c r="F242" s="39"/>
      <c r="G242" s="39">
        <v>20</v>
      </c>
      <c r="H242" s="40">
        <f>SUM(Tabla13267[[#This Row],[PRIMER TRIMESTRE]:[CUARTO TRIMESTRE]])</f>
        <v>45</v>
      </c>
      <c r="I242" s="17">
        <v>222.14</v>
      </c>
      <c r="J242" s="17">
        <f>+Tabla13267[[#This Row],[CANTIDAD TOTAL]]*Tabla13267[[#This Row],[PRECIO UNITARIO ESTIMADO]]</f>
        <v>9996.2999999999993</v>
      </c>
      <c r="K242" s="17"/>
      <c r="L242" s="16" t="s">
        <v>27</v>
      </c>
      <c r="M242" s="16" t="s">
        <v>22</v>
      </c>
      <c r="N242" s="39" t="s">
        <v>418</v>
      </c>
      <c r="O242" s="20"/>
      <c r="R242" s="19" t="s">
        <v>180</v>
      </c>
    </row>
    <row r="243" spans="1:18" s="12" customFormat="1">
      <c r="A243" s="15" t="s">
        <v>80</v>
      </c>
      <c r="B243" s="75" t="s">
        <v>181</v>
      </c>
      <c r="C243" s="39" t="s">
        <v>69</v>
      </c>
      <c r="D243" s="39"/>
      <c r="E243" s="39">
        <v>41</v>
      </c>
      <c r="F243" s="39"/>
      <c r="G243" s="39">
        <v>41</v>
      </c>
      <c r="H243" s="40">
        <f>SUM(Tabla13267[[#This Row],[PRIMER TRIMESTRE]:[CUARTO TRIMESTRE]])</f>
        <v>82</v>
      </c>
      <c r="I243" s="17">
        <v>6206</v>
      </c>
      <c r="J243" s="17">
        <f>+Tabla13267[[#This Row],[CANTIDAD TOTAL]]*Tabla13267[[#This Row],[PRECIO UNITARIO ESTIMADO]]</f>
        <v>508892</v>
      </c>
      <c r="K243" s="17"/>
      <c r="L243" s="16" t="s">
        <v>27</v>
      </c>
      <c r="M243" s="16" t="s">
        <v>22</v>
      </c>
      <c r="N243" s="39" t="s">
        <v>418</v>
      </c>
      <c r="O243" s="20"/>
      <c r="R243" s="19" t="s">
        <v>182</v>
      </c>
    </row>
    <row r="244" spans="1:18" s="12" customFormat="1" ht="36.75" customHeight="1">
      <c r="A244" s="15" t="s">
        <v>80</v>
      </c>
      <c r="B244" s="75" t="s">
        <v>468</v>
      </c>
      <c r="C244" s="39" t="s">
        <v>17</v>
      </c>
      <c r="D244" s="39"/>
      <c r="E244" s="39"/>
      <c r="F244" s="39"/>
      <c r="G244" s="39">
        <v>30</v>
      </c>
      <c r="H244" s="40">
        <f>SUM(Tabla13267[[#This Row],[PRIMER TRIMESTRE]:[CUARTO TRIMESTRE]])</f>
        <v>30</v>
      </c>
      <c r="I244" s="17">
        <v>4827</v>
      </c>
      <c r="J244" s="17">
        <f>+Tabla13267[[#This Row],[CANTIDAD TOTAL]]*Tabla13267[[#This Row],[PRECIO UNITARIO ESTIMADO]]</f>
        <v>144810</v>
      </c>
      <c r="K244" s="17"/>
      <c r="L244" s="16" t="s">
        <v>27</v>
      </c>
      <c r="M244" s="16" t="s">
        <v>22</v>
      </c>
      <c r="N244" s="39" t="s">
        <v>418</v>
      </c>
      <c r="O244" s="20"/>
      <c r="R244" s="19" t="s">
        <v>183</v>
      </c>
    </row>
    <row r="245" spans="1:18" s="12" customFormat="1">
      <c r="A245" s="15" t="s">
        <v>80</v>
      </c>
      <c r="B245" s="75" t="s">
        <v>773</v>
      </c>
      <c r="C245" s="39" t="s">
        <v>17</v>
      </c>
      <c r="D245" s="39"/>
      <c r="E245" s="39">
        <v>70</v>
      </c>
      <c r="F245" s="39"/>
      <c r="G245" s="39">
        <v>70</v>
      </c>
      <c r="H245" s="40">
        <f>SUM(Tabla13267[[#This Row],[PRIMER TRIMESTRE]:[CUARTO TRIMESTRE]])</f>
        <v>140</v>
      </c>
      <c r="I245" s="72">
        <v>500</v>
      </c>
      <c r="J245" s="17">
        <f t="shared" ref="J245:J252" si="6">+H245*I245</f>
        <v>70000</v>
      </c>
      <c r="K245" s="17"/>
      <c r="L245" s="16" t="s">
        <v>27</v>
      </c>
      <c r="M245" s="16" t="s">
        <v>22</v>
      </c>
      <c r="N245" s="39" t="s">
        <v>418</v>
      </c>
      <c r="O245" s="18"/>
      <c r="R245" s="19"/>
    </row>
    <row r="246" spans="1:18" s="12" customFormat="1">
      <c r="A246" s="15" t="s">
        <v>80</v>
      </c>
      <c r="B246" s="75" t="s">
        <v>774</v>
      </c>
      <c r="C246" s="39" t="s">
        <v>17</v>
      </c>
      <c r="D246" s="39"/>
      <c r="E246" s="39">
        <v>70</v>
      </c>
      <c r="F246" s="39"/>
      <c r="G246" s="39">
        <v>70</v>
      </c>
      <c r="H246" s="40">
        <f>SUM(Tabla13267[[#This Row],[PRIMER TRIMESTRE]:[CUARTO TRIMESTRE]])</f>
        <v>140</v>
      </c>
      <c r="I246" s="72">
        <v>1380</v>
      </c>
      <c r="J246" s="17">
        <f t="shared" si="6"/>
        <v>193200</v>
      </c>
      <c r="K246" s="17"/>
      <c r="L246" s="16" t="s">
        <v>27</v>
      </c>
      <c r="M246" s="16" t="s">
        <v>22</v>
      </c>
      <c r="N246" s="39" t="s">
        <v>418</v>
      </c>
      <c r="O246" s="18"/>
      <c r="R246" s="19"/>
    </row>
    <row r="247" spans="1:18" s="12" customFormat="1">
      <c r="A247" s="15" t="s">
        <v>80</v>
      </c>
      <c r="B247" s="75" t="s">
        <v>775</v>
      </c>
      <c r="C247" s="39" t="s">
        <v>17</v>
      </c>
      <c r="D247" s="39"/>
      <c r="E247" s="39">
        <v>70</v>
      </c>
      <c r="F247" s="39"/>
      <c r="G247" s="39">
        <v>70</v>
      </c>
      <c r="H247" s="40">
        <f>SUM(Tabla13267[[#This Row],[PRIMER TRIMESTRE]:[CUARTO TRIMESTRE]])</f>
        <v>140</v>
      </c>
      <c r="I247" s="72">
        <v>3200</v>
      </c>
      <c r="J247" s="17">
        <f t="shared" si="6"/>
        <v>448000</v>
      </c>
      <c r="K247" s="17"/>
      <c r="L247" s="16" t="s">
        <v>27</v>
      </c>
      <c r="M247" s="16" t="s">
        <v>22</v>
      </c>
      <c r="N247" s="39" t="s">
        <v>418</v>
      </c>
      <c r="O247" s="18"/>
      <c r="R247" s="19"/>
    </row>
    <row r="248" spans="1:18" s="12" customFormat="1" ht="35.25" customHeight="1">
      <c r="A248" s="15" t="s">
        <v>80</v>
      </c>
      <c r="B248" s="75" t="s">
        <v>420</v>
      </c>
      <c r="C248" s="39" t="s">
        <v>17</v>
      </c>
      <c r="D248" s="39"/>
      <c r="E248" s="39">
        <v>9</v>
      </c>
      <c r="F248" s="39"/>
      <c r="G248" s="39"/>
      <c r="H248" s="40">
        <f>SUM(Tabla13267[[#This Row],[PRIMER TRIMESTRE]:[CUARTO TRIMESTRE]])</f>
        <v>9</v>
      </c>
      <c r="I248" s="17">
        <v>2171.81</v>
      </c>
      <c r="J248" s="17">
        <f t="shared" si="6"/>
        <v>19546.29</v>
      </c>
      <c r="K248" s="17"/>
      <c r="L248" s="16" t="s">
        <v>27</v>
      </c>
      <c r="M248" s="16" t="s">
        <v>22</v>
      </c>
      <c r="N248" s="39"/>
      <c r="O248" s="20"/>
    </row>
    <row r="249" spans="1:18" s="12" customFormat="1" ht="35.25" customHeight="1">
      <c r="A249" s="32" t="s">
        <v>80</v>
      </c>
      <c r="B249" s="75" t="s">
        <v>421</v>
      </c>
      <c r="C249" s="39" t="s">
        <v>17</v>
      </c>
      <c r="D249" s="39"/>
      <c r="E249" s="39">
        <v>15</v>
      </c>
      <c r="F249" s="39"/>
      <c r="G249" s="39"/>
      <c r="H249" s="41">
        <f>SUM(Tabla13267[[#This Row],[PRIMER TRIMESTRE]:[CUARTO TRIMESTRE]])</f>
        <v>15</v>
      </c>
      <c r="I249" s="17">
        <v>3225.53</v>
      </c>
      <c r="J249" s="17">
        <f t="shared" si="6"/>
        <v>48382.950000000004</v>
      </c>
      <c r="K249" s="31"/>
      <c r="L249" s="16" t="s">
        <v>27</v>
      </c>
      <c r="M249" s="28" t="s">
        <v>22</v>
      </c>
      <c r="N249" s="45"/>
      <c r="O249" s="20"/>
    </row>
    <row r="250" spans="1:18" s="12" customFormat="1" ht="35.25" customHeight="1">
      <c r="A250" s="32" t="s">
        <v>80</v>
      </c>
      <c r="B250" s="75" t="s">
        <v>422</v>
      </c>
      <c r="C250" s="39" t="s">
        <v>17</v>
      </c>
      <c r="D250" s="39"/>
      <c r="E250" s="39">
        <v>12</v>
      </c>
      <c r="F250" s="39"/>
      <c r="G250" s="39"/>
      <c r="H250" s="41">
        <f>SUM(Tabla13267[[#This Row],[PRIMER TRIMESTRE]:[CUARTO TRIMESTRE]])</f>
        <v>12</v>
      </c>
      <c r="I250" s="17">
        <v>4361.28</v>
      </c>
      <c r="J250" s="17">
        <f t="shared" si="6"/>
        <v>52335.360000000001</v>
      </c>
      <c r="K250" s="31"/>
      <c r="L250" s="16" t="s">
        <v>27</v>
      </c>
      <c r="M250" s="28" t="s">
        <v>22</v>
      </c>
      <c r="N250" s="45"/>
      <c r="O250" s="20"/>
    </row>
    <row r="251" spans="1:18" s="12" customFormat="1" ht="35.25" customHeight="1">
      <c r="A251" s="32" t="s">
        <v>80</v>
      </c>
      <c r="B251" s="75" t="s">
        <v>423</v>
      </c>
      <c r="C251" s="39" t="s">
        <v>17</v>
      </c>
      <c r="D251" s="39"/>
      <c r="E251" s="39">
        <v>12</v>
      </c>
      <c r="F251" s="39"/>
      <c r="G251" s="39"/>
      <c r="H251" s="41">
        <f>SUM(Tabla13267[[#This Row],[PRIMER TRIMESTRE]:[CUARTO TRIMESTRE]])</f>
        <v>12</v>
      </c>
      <c r="I251" s="17">
        <v>6561.39</v>
      </c>
      <c r="J251" s="17">
        <f t="shared" si="6"/>
        <v>78736.680000000008</v>
      </c>
      <c r="K251" s="31"/>
      <c r="L251" s="16" t="s">
        <v>27</v>
      </c>
      <c r="M251" s="28" t="s">
        <v>22</v>
      </c>
      <c r="N251" s="45"/>
      <c r="O251" s="20"/>
    </row>
    <row r="252" spans="1:18" s="12" customFormat="1" ht="35.25" customHeight="1">
      <c r="A252" s="32" t="s">
        <v>80</v>
      </c>
      <c r="B252" s="75" t="s">
        <v>424</v>
      </c>
      <c r="C252" s="39" t="s">
        <v>17</v>
      </c>
      <c r="D252" s="39"/>
      <c r="E252" s="39">
        <v>8</v>
      </c>
      <c r="F252" s="39"/>
      <c r="G252" s="39"/>
      <c r="H252" s="41">
        <f>SUM(Tabla13267[[#This Row],[PRIMER TRIMESTRE]:[CUARTO TRIMESTRE]])</f>
        <v>8</v>
      </c>
      <c r="I252" s="17">
        <v>12136.3</v>
      </c>
      <c r="J252" s="17">
        <f t="shared" si="6"/>
        <v>97090.4</v>
      </c>
      <c r="K252" s="31"/>
      <c r="L252" s="16" t="s">
        <v>27</v>
      </c>
      <c r="M252" s="28" t="s">
        <v>22</v>
      </c>
      <c r="N252" s="45"/>
      <c r="O252" s="20"/>
    </row>
    <row r="253" spans="1:18" s="12" customFormat="1">
      <c r="A253" s="15" t="s">
        <v>80</v>
      </c>
      <c r="B253" s="75" t="s">
        <v>184</v>
      </c>
      <c r="C253" s="39" t="s">
        <v>17</v>
      </c>
      <c r="D253" s="39"/>
      <c r="E253" s="39">
        <v>35</v>
      </c>
      <c r="F253" s="39"/>
      <c r="G253" s="39"/>
      <c r="H253" s="40">
        <f>SUM(Tabla13267[[#This Row],[PRIMER TRIMESTRE]:[CUARTO TRIMESTRE]])</f>
        <v>35</v>
      </c>
      <c r="I253" s="17">
        <v>1347.46</v>
      </c>
      <c r="J253" s="17">
        <f>+Tabla13267[[#This Row],[CANTIDAD TOTAL]]*Tabla13267[[#This Row],[PRECIO UNITARIO ESTIMADO]]</f>
        <v>47161.1</v>
      </c>
      <c r="K253" s="17"/>
      <c r="L253" s="16" t="s">
        <v>27</v>
      </c>
      <c r="M253" s="16" t="s">
        <v>22</v>
      </c>
      <c r="N253" s="39" t="s">
        <v>418</v>
      </c>
      <c r="O253" s="20"/>
      <c r="R253" s="19" t="s">
        <v>185</v>
      </c>
    </row>
    <row r="254" spans="1:18" s="12" customFormat="1" ht="27.75" customHeight="1">
      <c r="A254" s="15" t="s">
        <v>80</v>
      </c>
      <c r="B254" s="75" t="s">
        <v>369</v>
      </c>
      <c r="C254" s="39" t="s">
        <v>17</v>
      </c>
      <c r="D254" s="39"/>
      <c r="E254" s="39">
        <v>750</v>
      </c>
      <c r="F254" s="39"/>
      <c r="G254" s="39">
        <v>750</v>
      </c>
      <c r="H254" s="40">
        <f>SUM(Tabla13267[[#This Row],[PRIMER TRIMESTRE]:[CUARTO TRIMESTRE]])</f>
        <v>1500</v>
      </c>
      <c r="I254" s="17">
        <v>4.55</v>
      </c>
      <c r="J254" s="17">
        <f t="shared" ref="J254:J263" si="7">+H254*I254</f>
        <v>6825</v>
      </c>
      <c r="K254" s="17"/>
      <c r="L254" s="16" t="s">
        <v>27</v>
      </c>
      <c r="M254" s="16" t="s">
        <v>22</v>
      </c>
      <c r="N254" s="39" t="s">
        <v>418</v>
      </c>
      <c r="O254" s="20"/>
    </row>
    <row r="255" spans="1:18" s="12" customFormat="1" ht="27.75" customHeight="1">
      <c r="A255" s="32" t="s">
        <v>80</v>
      </c>
      <c r="B255" s="75" t="s">
        <v>449</v>
      </c>
      <c r="C255" s="39" t="s">
        <v>17</v>
      </c>
      <c r="D255" s="39"/>
      <c r="E255" s="39">
        <v>750</v>
      </c>
      <c r="F255" s="39"/>
      <c r="G255" s="39">
        <v>750</v>
      </c>
      <c r="H255" s="40">
        <f>SUM(Tabla13267[[#This Row],[PRIMER TRIMESTRE]:[CUARTO TRIMESTRE]])</f>
        <v>1500</v>
      </c>
      <c r="I255" s="17">
        <v>4.55</v>
      </c>
      <c r="J255" s="17">
        <f t="shared" si="7"/>
        <v>6825</v>
      </c>
      <c r="K255" s="31"/>
      <c r="L255" s="16" t="s">
        <v>27</v>
      </c>
      <c r="M255" s="28" t="s">
        <v>22</v>
      </c>
      <c r="N255" s="39" t="s">
        <v>418</v>
      </c>
      <c r="O255" s="29"/>
    </row>
    <row r="256" spans="1:18" s="12" customFormat="1" ht="27.75" customHeight="1">
      <c r="A256" s="32" t="s">
        <v>80</v>
      </c>
      <c r="B256" s="75" t="s">
        <v>450</v>
      </c>
      <c r="C256" s="39" t="s">
        <v>17</v>
      </c>
      <c r="D256" s="39"/>
      <c r="E256" s="39">
        <v>750</v>
      </c>
      <c r="F256" s="39"/>
      <c r="G256" s="39">
        <v>750</v>
      </c>
      <c r="H256" s="40">
        <f>SUM(Tabla13267[[#This Row],[PRIMER TRIMESTRE]:[CUARTO TRIMESTRE]])</f>
        <v>1500</v>
      </c>
      <c r="I256" s="17">
        <v>4.55</v>
      </c>
      <c r="J256" s="17">
        <f t="shared" si="7"/>
        <v>6825</v>
      </c>
      <c r="K256" s="31"/>
      <c r="L256" s="16" t="s">
        <v>27</v>
      </c>
      <c r="M256" s="28" t="s">
        <v>22</v>
      </c>
      <c r="N256" s="39" t="s">
        <v>418</v>
      </c>
      <c r="O256" s="29"/>
    </row>
    <row r="257" spans="1:18" s="12" customFormat="1" ht="27.75" customHeight="1">
      <c r="A257" s="32" t="s">
        <v>80</v>
      </c>
      <c r="B257" s="75" t="s">
        <v>451</v>
      </c>
      <c r="C257" s="39" t="s">
        <v>17</v>
      </c>
      <c r="D257" s="39"/>
      <c r="E257" s="39">
        <v>750</v>
      </c>
      <c r="F257" s="39"/>
      <c r="G257" s="39">
        <v>750</v>
      </c>
      <c r="H257" s="40">
        <f>SUM(Tabla13267[[#This Row],[PRIMER TRIMESTRE]:[CUARTO TRIMESTRE]])</f>
        <v>1500</v>
      </c>
      <c r="I257" s="17">
        <v>4.55</v>
      </c>
      <c r="J257" s="17">
        <f t="shared" si="7"/>
        <v>6825</v>
      </c>
      <c r="K257" s="31"/>
      <c r="L257" s="16" t="s">
        <v>27</v>
      </c>
      <c r="M257" s="28" t="s">
        <v>22</v>
      </c>
      <c r="N257" s="39" t="s">
        <v>418</v>
      </c>
      <c r="O257" s="29"/>
    </row>
    <row r="258" spans="1:18" s="12" customFormat="1" ht="27.75" customHeight="1">
      <c r="A258" s="32" t="s">
        <v>80</v>
      </c>
      <c r="B258" s="75" t="s">
        <v>453</v>
      </c>
      <c r="C258" s="39" t="s">
        <v>17</v>
      </c>
      <c r="D258" s="39"/>
      <c r="E258" s="39">
        <v>750</v>
      </c>
      <c r="F258" s="39"/>
      <c r="G258" s="39">
        <v>750</v>
      </c>
      <c r="H258" s="40">
        <f>SUM(Tabla13267[[#This Row],[PRIMER TRIMESTRE]:[CUARTO TRIMESTRE]])</f>
        <v>1500</v>
      </c>
      <c r="I258" s="17">
        <v>4.55</v>
      </c>
      <c r="J258" s="17">
        <f t="shared" si="7"/>
        <v>6825</v>
      </c>
      <c r="K258" s="31"/>
      <c r="L258" s="16" t="s">
        <v>27</v>
      </c>
      <c r="M258" s="28" t="s">
        <v>22</v>
      </c>
      <c r="N258" s="39" t="s">
        <v>418</v>
      </c>
      <c r="O258" s="29"/>
    </row>
    <row r="259" spans="1:18" s="12" customFormat="1" ht="27.75" customHeight="1">
      <c r="A259" s="32" t="s">
        <v>80</v>
      </c>
      <c r="B259" s="75" t="s">
        <v>452</v>
      </c>
      <c r="C259" s="39" t="s">
        <v>17</v>
      </c>
      <c r="D259" s="39"/>
      <c r="E259" s="39">
        <v>750</v>
      </c>
      <c r="F259" s="39"/>
      <c r="G259" s="39">
        <v>750</v>
      </c>
      <c r="H259" s="40">
        <f>SUM(Tabla13267[[#This Row],[PRIMER TRIMESTRE]:[CUARTO TRIMESTRE]])</f>
        <v>1500</v>
      </c>
      <c r="I259" s="17">
        <v>4.55</v>
      </c>
      <c r="J259" s="17">
        <f t="shared" si="7"/>
        <v>6825</v>
      </c>
      <c r="K259" s="31"/>
      <c r="L259" s="16" t="s">
        <v>27</v>
      </c>
      <c r="M259" s="28" t="s">
        <v>22</v>
      </c>
      <c r="N259" s="39" t="s">
        <v>418</v>
      </c>
      <c r="O259" s="29"/>
    </row>
    <row r="260" spans="1:18" s="12" customFormat="1" ht="27.75" customHeight="1">
      <c r="A260" s="15" t="s">
        <v>80</v>
      </c>
      <c r="B260" s="75" t="s">
        <v>603</v>
      </c>
      <c r="C260" s="39" t="s">
        <v>17</v>
      </c>
      <c r="D260" s="39"/>
      <c r="E260" s="39">
        <v>200</v>
      </c>
      <c r="F260" s="39"/>
      <c r="G260" s="39">
        <v>200</v>
      </c>
      <c r="H260" s="40">
        <f>SUM(Tabla13267[[#This Row],[PRIMER TRIMESTRE]:[CUARTO TRIMESTRE]])</f>
        <v>400</v>
      </c>
      <c r="I260" s="17">
        <v>737.74</v>
      </c>
      <c r="J260" s="17">
        <f t="shared" si="7"/>
        <v>295096</v>
      </c>
      <c r="K260" s="17"/>
      <c r="L260" s="16" t="s">
        <v>27</v>
      </c>
      <c r="M260" s="16" t="s">
        <v>22</v>
      </c>
      <c r="N260" s="39" t="s">
        <v>418</v>
      </c>
      <c r="O260" s="20"/>
    </row>
    <row r="261" spans="1:18" s="12" customFormat="1" ht="27.75" customHeight="1">
      <c r="A261" s="15" t="s">
        <v>80</v>
      </c>
      <c r="B261" s="75" t="s">
        <v>604</v>
      </c>
      <c r="C261" s="39" t="s">
        <v>17</v>
      </c>
      <c r="D261" s="39"/>
      <c r="E261" s="39">
        <v>175</v>
      </c>
      <c r="F261" s="39"/>
      <c r="G261" s="39">
        <v>175</v>
      </c>
      <c r="H261" s="40">
        <f>SUM(Tabla13267[[#This Row],[PRIMER TRIMESTRE]:[CUARTO TRIMESTRE]])</f>
        <v>350</v>
      </c>
      <c r="I261" s="17">
        <v>2121.4499999999998</v>
      </c>
      <c r="J261" s="17">
        <f t="shared" si="7"/>
        <v>742507.49999999988</v>
      </c>
      <c r="K261" s="17"/>
      <c r="L261" s="16" t="s">
        <v>27</v>
      </c>
      <c r="M261" s="16" t="s">
        <v>22</v>
      </c>
      <c r="N261" s="39" t="s">
        <v>418</v>
      </c>
      <c r="O261" s="20"/>
    </row>
    <row r="262" spans="1:18" s="12" customFormat="1" ht="27.75" customHeight="1">
      <c r="A262" s="32" t="s">
        <v>80</v>
      </c>
      <c r="B262" s="75" t="s">
        <v>605</v>
      </c>
      <c r="C262" s="39" t="s">
        <v>17</v>
      </c>
      <c r="D262" s="39"/>
      <c r="E262" s="39">
        <v>175</v>
      </c>
      <c r="F262" s="39"/>
      <c r="G262" s="39">
        <v>175</v>
      </c>
      <c r="H262" s="40">
        <f>SUM(Tabla13267[[#This Row],[PRIMER TRIMESTRE]:[CUARTO TRIMESTRE]])</f>
        <v>350</v>
      </c>
      <c r="I262" s="17">
        <v>2121.4499999999998</v>
      </c>
      <c r="J262" s="17">
        <f t="shared" si="7"/>
        <v>742507.49999999988</v>
      </c>
      <c r="K262" s="31"/>
      <c r="L262" s="16" t="s">
        <v>27</v>
      </c>
      <c r="M262" s="28" t="s">
        <v>22</v>
      </c>
      <c r="N262" s="39" t="s">
        <v>418</v>
      </c>
      <c r="O262" s="29"/>
    </row>
    <row r="263" spans="1:18" s="12" customFormat="1" ht="27.75" customHeight="1">
      <c r="A263" s="15" t="s">
        <v>80</v>
      </c>
      <c r="B263" s="75" t="s">
        <v>606</v>
      </c>
      <c r="C263" s="39" t="s">
        <v>17</v>
      </c>
      <c r="D263" s="39"/>
      <c r="E263" s="39">
        <v>175</v>
      </c>
      <c r="F263" s="39"/>
      <c r="G263" s="39">
        <v>175</v>
      </c>
      <c r="H263" s="40">
        <f>SUM(Tabla13267[[#This Row],[PRIMER TRIMESTRE]:[CUARTO TRIMESTRE]])</f>
        <v>350</v>
      </c>
      <c r="I263" s="17">
        <v>3601.69</v>
      </c>
      <c r="J263" s="17">
        <f t="shared" si="7"/>
        <v>1260591.5</v>
      </c>
      <c r="K263" s="17"/>
      <c r="L263" s="16" t="s">
        <v>27</v>
      </c>
      <c r="M263" s="16" t="s">
        <v>22</v>
      </c>
      <c r="N263" s="39" t="s">
        <v>418</v>
      </c>
      <c r="O263" s="20"/>
    </row>
    <row r="264" spans="1:18" s="12" customFormat="1" ht="27.75" customHeight="1">
      <c r="A264" s="15" t="s">
        <v>80</v>
      </c>
      <c r="B264" s="75" t="s">
        <v>188</v>
      </c>
      <c r="C264" s="39" t="s">
        <v>189</v>
      </c>
      <c r="D264" s="39"/>
      <c r="E264" s="39">
        <v>140</v>
      </c>
      <c r="F264" s="39"/>
      <c r="G264" s="39">
        <v>140</v>
      </c>
      <c r="H264" s="40">
        <f>SUM(Tabla13267[[#This Row],[PRIMER TRIMESTRE]:[CUARTO TRIMESTRE]])</f>
        <v>280</v>
      </c>
      <c r="I264" s="17">
        <v>104.4</v>
      </c>
      <c r="J264" s="17">
        <f>+Tabla13267[[#This Row],[CANTIDAD TOTAL]]*Tabla13267[[#This Row],[PRECIO UNITARIO ESTIMADO]]</f>
        <v>29232</v>
      </c>
      <c r="K264" s="17"/>
      <c r="L264" s="16" t="s">
        <v>27</v>
      </c>
      <c r="M264" s="16" t="s">
        <v>22</v>
      </c>
      <c r="N264" s="39" t="s">
        <v>418</v>
      </c>
      <c r="O264" s="20"/>
      <c r="R264" s="19" t="s">
        <v>190</v>
      </c>
    </row>
    <row r="265" spans="1:18" s="12" customFormat="1" ht="27.75" customHeight="1">
      <c r="A265" s="15" t="s">
        <v>80</v>
      </c>
      <c r="B265" s="75" t="s">
        <v>191</v>
      </c>
      <c r="C265" s="39" t="s">
        <v>17</v>
      </c>
      <c r="D265" s="39"/>
      <c r="E265" s="39">
        <v>600</v>
      </c>
      <c r="F265" s="39"/>
      <c r="G265" s="39">
        <v>600</v>
      </c>
      <c r="H265" s="40">
        <f>SUM(Tabla13267[[#This Row],[PRIMER TRIMESTRE]:[CUARTO TRIMESTRE]])</f>
        <v>1200</v>
      </c>
      <c r="I265" s="17">
        <v>754</v>
      </c>
      <c r="J265" s="17">
        <f>+Tabla13267[[#This Row],[CANTIDAD TOTAL]]*Tabla13267[[#This Row],[PRECIO UNITARIO ESTIMADO]]</f>
        <v>904800</v>
      </c>
      <c r="K265" s="17"/>
      <c r="L265" s="16" t="s">
        <v>27</v>
      </c>
      <c r="M265" s="16" t="s">
        <v>22</v>
      </c>
      <c r="N265" s="39" t="s">
        <v>418</v>
      </c>
      <c r="O265" s="20"/>
      <c r="R265" s="19" t="s">
        <v>192</v>
      </c>
    </row>
    <row r="266" spans="1:18" s="12" customFormat="1" ht="27.75" customHeight="1">
      <c r="A266" s="15" t="s">
        <v>80</v>
      </c>
      <c r="B266" s="75" t="s">
        <v>193</v>
      </c>
      <c r="C266" s="39" t="s">
        <v>17</v>
      </c>
      <c r="D266" s="39"/>
      <c r="E266" s="39">
        <v>400</v>
      </c>
      <c r="F266" s="39"/>
      <c r="G266" s="39">
        <v>400</v>
      </c>
      <c r="H266" s="40">
        <f>SUM(Tabla13267[[#This Row],[PRIMER TRIMESTRE]:[CUARTO TRIMESTRE]])</f>
        <v>800</v>
      </c>
      <c r="I266" s="17">
        <v>222.06</v>
      </c>
      <c r="J266" s="17">
        <f>+Tabla13267[[#This Row],[CANTIDAD TOTAL]]*Tabla13267[[#This Row],[PRECIO UNITARIO ESTIMADO]]</f>
        <v>177648</v>
      </c>
      <c r="K266" s="17"/>
      <c r="L266" s="16" t="s">
        <v>27</v>
      </c>
      <c r="M266" s="16" t="s">
        <v>22</v>
      </c>
      <c r="N266" s="39" t="s">
        <v>418</v>
      </c>
      <c r="O266" s="20"/>
      <c r="R266" s="19" t="s">
        <v>194</v>
      </c>
    </row>
    <row r="267" spans="1:18" s="12" customFormat="1" ht="27.75" customHeight="1">
      <c r="A267" s="15" t="s">
        <v>80</v>
      </c>
      <c r="B267" s="75" t="s">
        <v>195</v>
      </c>
      <c r="C267" s="39" t="s">
        <v>17</v>
      </c>
      <c r="D267" s="39"/>
      <c r="E267" s="39">
        <v>3</v>
      </c>
      <c r="F267" s="39"/>
      <c r="G267" s="39">
        <v>2</v>
      </c>
      <c r="H267" s="40">
        <f>SUM(Tabla13267[[#This Row],[PRIMER TRIMESTRE]:[CUARTO TRIMESTRE]])</f>
        <v>5</v>
      </c>
      <c r="I267" s="17">
        <v>272.06</v>
      </c>
      <c r="J267" s="17">
        <f>+Tabla13267[[#This Row],[CANTIDAD TOTAL]]*Tabla13267[[#This Row],[PRECIO UNITARIO ESTIMADO]]</f>
        <v>1360.3</v>
      </c>
      <c r="K267" s="17"/>
      <c r="L267" s="16" t="s">
        <v>27</v>
      </c>
      <c r="M267" s="16" t="s">
        <v>22</v>
      </c>
      <c r="N267" s="39" t="s">
        <v>418</v>
      </c>
      <c r="O267" s="20"/>
      <c r="R267" s="19" t="s">
        <v>196</v>
      </c>
    </row>
    <row r="268" spans="1:18" s="12" customFormat="1" ht="27.75" customHeight="1">
      <c r="A268" s="15" t="s">
        <v>80</v>
      </c>
      <c r="B268" s="75" t="s">
        <v>654</v>
      </c>
      <c r="C268" s="39" t="s">
        <v>17</v>
      </c>
      <c r="D268" s="39"/>
      <c r="E268" s="39">
        <f>(1500+2000+8000+8000)/2+1000</f>
        <v>10750</v>
      </c>
      <c r="F268" s="39"/>
      <c r="G268" s="39">
        <f>9750+1000</f>
        <v>10750</v>
      </c>
      <c r="H268" s="40">
        <f>SUM(Tabla13267[[#This Row],[PRIMER TRIMESTRE]:[CUARTO TRIMESTRE]])</f>
        <v>21500</v>
      </c>
      <c r="I268" s="17">
        <v>2.86</v>
      </c>
      <c r="J268" s="17">
        <f>+Tabla13267[[#This Row],[CANTIDAD TOTAL]]*Tabla13267[[#This Row],[PRECIO UNITARIO ESTIMADO]]</f>
        <v>61490</v>
      </c>
      <c r="K268" s="17"/>
      <c r="L268" s="16" t="s">
        <v>27</v>
      </c>
      <c r="M268" s="16" t="s">
        <v>22</v>
      </c>
      <c r="N268" s="39" t="s">
        <v>418</v>
      </c>
      <c r="O268" s="20"/>
      <c r="R268" s="19" t="s">
        <v>197</v>
      </c>
    </row>
    <row r="269" spans="1:18" s="12" customFormat="1" ht="27.75" customHeight="1">
      <c r="A269" s="15" t="s">
        <v>80</v>
      </c>
      <c r="B269" s="75" t="s">
        <v>655</v>
      </c>
      <c r="C269" s="39" t="s">
        <v>17</v>
      </c>
      <c r="D269" s="39"/>
      <c r="E269" s="39">
        <f>500+9500</f>
        <v>10000</v>
      </c>
      <c r="F269" s="39"/>
      <c r="G269" s="39">
        <f>500+9500</f>
        <v>10000</v>
      </c>
      <c r="H269" s="40">
        <f>SUM(Tabla13267[[#This Row],[PRIMER TRIMESTRE]:[CUARTO TRIMESTRE]])</f>
        <v>20000</v>
      </c>
      <c r="I269" s="17">
        <v>4.09</v>
      </c>
      <c r="J269" s="17">
        <f>+Tabla13267[[#This Row],[CANTIDAD TOTAL]]*Tabla13267[[#This Row],[PRECIO UNITARIO ESTIMADO]]</f>
        <v>81800</v>
      </c>
      <c r="K269" s="17"/>
      <c r="L269" s="16" t="s">
        <v>27</v>
      </c>
      <c r="M269" s="16" t="s">
        <v>22</v>
      </c>
      <c r="N269" s="39" t="s">
        <v>418</v>
      </c>
      <c r="O269" s="20"/>
      <c r="R269" s="19" t="s">
        <v>198</v>
      </c>
    </row>
    <row r="270" spans="1:18" s="12" customFormat="1" ht="27.75" customHeight="1">
      <c r="A270" s="15" t="s">
        <v>80</v>
      </c>
      <c r="B270" s="75" t="s">
        <v>659</v>
      </c>
      <c r="C270" s="39" t="s">
        <v>17</v>
      </c>
      <c r="D270" s="39"/>
      <c r="E270" s="39">
        <v>200</v>
      </c>
      <c r="F270" s="39"/>
      <c r="G270" s="39">
        <v>200</v>
      </c>
      <c r="H270" s="40">
        <f>SUM(Tabla13267[[#This Row],[PRIMER TRIMESTRE]:[CUARTO TRIMESTRE]])</f>
        <v>400</v>
      </c>
      <c r="I270" s="72">
        <v>11.82</v>
      </c>
      <c r="J270" s="17">
        <f>+H270*I270</f>
        <v>4728</v>
      </c>
      <c r="K270" s="17"/>
      <c r="L270" s="16" t="s">
        <v>27</v>
      </c>
      <c r="M270" s="16" t="s">
        <v>22</v>
      </c>
      <c r="N270" s="39" t="s">
        <v>418</v>
      </c>
      <c r="O270" s="18"/>
      <c r="R270" s="19"/>
    </row>
    <row r="271" spans="1:18" s="12" customFormat="1" ht="27.75" customHeight="1">
      <c r="A271" s="15" t="s">
        <v>80</v>
      </c>
      <c r="B271" s="75" t="s">
        <v>660</v>
      </c>
      <c r="C271" s="39" t="s">
        <v>17</v>
      </c>
      <c r="D271" s="39"/>
      <c r="E271" s="39">
        <v>50</v>
      </c>
      <c r="F271" s="39"/>
      <c r="G271" s="39">
        <v>50</v>
      </c>
      <c r="H271" s="40">
        <f>SUM(Tabla13267[[#This Row],[PRIMER TRIMESTRE]:[CUARTO TRIMESTRE]])</f>
        <v>100</v>
      </c>
      <c r="I271" s="72">
        <v>13.65</v>
      </c>
      <c r="J271" s="17">
        <f>+H271*I271</f>
        <v>1365</v>
      </c>
      <c r="K271" s="17"/>
      <c r="L271" s="16" t="s">
        <v>27</v>
      </c>
      <c r="M271" s="16" t="s">
        <v>22</v>
      </c>
      <c r="N271" s="39" t="s">
        <v>418</v>
      </c>
      <c r="O271" s="18"/>
      <c r="R271" s="19"/>
    </row>
    <row r="272" spans="1:18" s="12" customFormat="1">
      <c r="A272" s="15" t="s">
        <v>80</v>
      </c>
      <c r="B272" s="75" t="s">
        <v>656</v>
      </c>
      <c r="C272" s="39" t="s">
        <v>17</v>
      </c>
      <c r="D272" s="39"/>
      <c r="E272" s="39">
        <v>50</v>
      </c>
      <c r="F272" s="39"/>
      <c r="G272" s="39">
        <v>50</v>
      </c>
      <c r="H272" s="40">
        <f>SUM(Tabla13267[[#This Row],[PRIMER TRIMESTRE]:[CUARTO TRIMESTRE]])</f>
        <v>100</v>
      </c>
      <c r="I272" s="17">
        <v>22.39</v>
      </c>
      <c r="J272" s="17">
        <f>+Tabla13267[[#This Row],[CANTIDAD TOTAL]]*Tabla13267[[#This Row],[PRECIO UNITARIO ESTIMADO]]</f>
        <v>2239</v>
      </c>
      <c r="K272" s="17"/>
      <c r="L272" s="16" t="s">
        <v>27</v>
      </c>
      <c r="M272" s="16" t="s">
        <v>22</v>
      </c>
      <c r="N272" s="39" t="s">
        <v>418</v>
      </c>
      <c r="O272" s="20"/>
      <c r="R272" s="19" t="s">
        <v>199</v>
      </c>
    </row>
    <row r="273" spans="1:18" s="12" customFormat="1">
      <c r="A273" s="15" t="s">
        <v>80</v>
      </c>
      <c r="B273" s="75" t="s">
        <v>657</v>
      </c>
      <c r="C273" s="39" t="s">
        <v>17</v>
      </c>
      <c r="D273" s="39"/>
      <c r="E273" s="39">
        <v>50</v>
      </c>
      <c r="F273" s="39"/>
      <c r="G273" s="39">
        <v>50</v>
      </c>
      <c r="H273" s="40">
        <f>SUM(Tabla13267[[#This Row],[PRIMER TRIMESTRE]:[CUARTO TRIMESTRE]])</f>
        <v>100</v>
      </c>
      <c r="I273" s="17">
        <v>59.97</v>
      </c>
      <c r="J273" s="17">
        <f>+Tabla13267[[#This Row],[CANTIDAD TOTAL]]*Tabla13267[[#This Row],[PRECIO UNITARIO ESTIMADO]]</f>
        <v>5997</v>
      </c>
      <c r="K273" s="17"/>
      <c r="L273" s="16" t="s">
        <v>27</v>
      </c>
      <c r="M273" s="16" t="s">
        <v>22</v>
      </c>
      <c r="N273" s="39" t="s">
        <v>418</v>
      </c>
      <c r="O273" s="20"/>
      <c r="R273" s="19" t="s">
        <v>200</v>
      </c>
    </row>
    <row r="274" spans="1:18" s="12" customFormat="1">
      <c r="A274" s="15" t="s">
        <v>80</v>
      </c>
      <c r="B274" s="75" t="s">
        <v>658</v>
      </c>
      <c r="C274" s="39" t="s">
        <v>17</v>
      </c>
      <c r="D274" s="39"/>
      <c r="E274" s="39">
        <v>50</v>
      </c>
      <c r="F274" s="39"/>
      <c r="G274" s="39">
        <v>50</v>
      </c>
      <c r="H274" s="40">
        <f>SUM(Tabla13267[[#This Row],[PRIMER TRIMESTRE]:[CUARTO TRIMESTRE]])</f>
        <v>100</v>
      </c>
      <c r="I274" s="17">
        <v>101.5</v>
      </c>
      <c r="J274" s="17">
        <f>+Tabla13267[[#This Row],[CANTIDAD TOTAL]]*Tabla13267[[#This Row],[PRECIO UNITARIO ESTIMADO]]</f>
        <v>10150</v>
      </c>
      <c r="K274" s="17"/>
      <c r="L274" s="16" t="s">
        <v>27</v>
      </c>
      <c r="M274" s="16" t="s">
        <v>22</v>
      </c>
      <c r="N274" s="39" t="s">
        <v>418</v>
      </c>
      <c r="O274" s="20"/>
      <c r="R274" s="19" t="s">
        <v>201</v>
      </c>
    </row>
    <row r="275" spans="1:18" s="12" customFormat="1">
      <c r="A275" s="15" t="s">
        <v>80</v>
      </c>
      <c r="B275" s="75" t="s">
        <v>202</v>
      </c>
      <c r="C275" s="39" t="s">
        <v>17</v>
      </c>
      <c r="D275" s="39"/>
      <c r="E275" s="39">
        <v>12</v>
      </c>
      <c r="F275" s="39"/>
      <c r="G275" s="39">
        <v>12</v>
      </c>
      <c r="H275" s="40">
        <f>SUM(Tabla13267[[#This Row],[PRIMER TRIMESTRE]:[CUARTO TRIMESTRE]])</f>
        <v>24</v>
      </c>
      <c r="I275" s="17">
        <v>3364</v>
      </c>
      <c r="J275" s="17">
        <f>+Tabla13267[[#This Row],[CANTIDAD TOTAL]]*Tabla13267[[#This Row],[PRECIO UNITARIO ESTIMADO]]</f>
        <v>80736</v>
      </c>
      <c r="K275" s="17"/>
      <c r="L275" s="16" t="s">
        <v>27</v>
      </c>
      <c r="M275" s="16" t="s">
        <v>22</v>
      </c>
      <c r="N275" s="39" t="s">
        <v>418</v>
      </c>
      <c r="O275" s="20"/>
      <c r="R275" s="19" t="s">
        <v>203</v>
      </c>
    </row>
    <row r="276" spans="1:18" s="12" customFormat="1">
      <c r="A276" s="15" t="s">
        <v>80</v>
      </c>
      <c r="B276" s="75" t="s">
        <v>776</v>
      </c>
      <c r="C276" s="39" t="s">
        <v>17</v>
      </c>
      <c r="D276" s="39"/>
      <c r="E276" s="39">
        <v>250</v>
      </c>
      <c r="F276" s="39"/>
      <c r="G276" s="39">
        <v>250</v>
      </c>
      <c r="H276" s="40">
        <f>SUM(Tabla13267[[#This Row],[PRIMER TRIMESTRE]:[CUARTO TRIMESTRE]])</f>
        <v>500</v>
      </c>
      <c r="I276" s="17">
        <v>32.479999999999997</v>
      </c>
      <c r="J276" s="17">
        <f>+Tabla13267[[#This Row],[CANTIDAD TOTAL]]*Tabla13267[[#This Row],[PRECIO UNITARIO ESTIMADO]]</f>
        <v>16239.999999999998</v>
      </c>
      <c r="K276" s="17"/>
      <c r="L276" s="16" t="s">
        <v>27</v>
      </c>
      <c r="M276" s="16" t="s">
        <v>22</v>
      </c>
      <c r="N276" s="39" t="s">
        <v>418</v>
      </c>
      <c r="O276" s="20"/>
      <c r="R276" s="19" t="s">
        <v>204</v>
      </c>
    </row>
    <row r="277" spans="1:18" s="12" customFormat="1">
      <c r="A277" s="15" t="s">
        <v>80</v>
      </c>
      <c r="B277" s="75" t="s">
        <v>205</v>
      </c>
      <c r="C277" s="39" t="s">
        <v>17</v>
      </c>
      <c r="D277" s="39"/>
      <c r="E277" s="39">
        <v>150</v>
      </c>
      <c r="F277" s="39"/>
      <c r="G277" s="39">
        <v>150</v>
      </c>
      <c r="H277" s="40">
        <f>SUM(Tabla13267[[#This Row],[PRIMER TRIMESTRE]:[CUARTO TRIMESTRE]])</f>
        <v>300</v>
      </c>
      <c r="I277" s="17">
        <v>2.3199999999999998</v>
      </c>
      <c r="J277" s="17">
        <f>+Tabla13267[[#This Row],[CANTIDAD TOTAL]]*Tabla13267[[#This Row],[PRECIO UNITARIO ESTIMADO]]</f>
        <v>696</v>
      </c>
      <c r="K277" s="17"/>
      <c r="L277" s="16" t="s">
        <v>27</v>
      </c>
      <c r="M277" s="16" t="s">
        <v>22</v>
      </c>
      <c r="N277" s="39" t="s">
        <v>418</v>
      </c>
      <c r="O277" s="20"/>
    </row>
    <row r="278" spans="1:18" s="12" customFormat="1">
      <c r="A278" s="15" t="s">
        <v>80</v>
      </c>
      <c r="B278" s="75" t="s">
        <v>206</v>
      </c>
      <c r="C278" s="39" t="s">
        <v>17</v>
      </c>
      <c r="D278" s="39"/>
      <c r="E278" s="39">
        <v>550</v>
      </c>
      <c r="F278" s="39"/>
      <c r="G278" s="39">
        <v>550</v>
      </c>
      <c r="H278" s="40">
        <f>SUM(Tabla13267[[#This Row],[PRIMER TRIMESTRE]:[CUARTO TRIMESTRE]])</f>
        <v>1100</v>
      </c>
      <c r="I278" s="17">
        <v>3.48</v>
      </c>
      <c r="J278" s="17">
        <f>+Tabla13267[[#This Row],[CANTIDAD TOTAL]]*Tabla13267[[#This Row],[PRECIO UNITARIO ESTIMADO]]</f>
        <v>3828</v>
      </c>
      <c r="K278" s="17"/>
      <c r="L278" s="16" t="s">
        <v>27</v>
      </c>
      <c r="M278" s="16" t="s">
        <v>22</v>
      </c>
      <c r="N278" s="39" t="s">
        <v>418</v>
      </c>
      <c r="O278" s="20"/>
    </row>
    <row r="279" spans="1:18" s="12" customFormat="1">
      <c r="A279" s="32" t="s">
        <v>80</v>
      </c>
      <c r="B279" s="75" t="s">
        <v>638</v>
      </c>
      <c r="C279" s="39" t="s">
        <v>17</v>
      </c>
      <c r="D279" s="39"/>
      <c r="E279" s="39">
        <v>40</v>
      </c>
      <c r="F279" s="40"/>
      <c r="G279" s="39">
        <v>40</v>
      </c>
      <c r="H279" s="40">
        <f>SUM(Tabla13267[[#This Row],[PRIMER TRIMESTRE]:[CUARTO TRIMESTRE]])</f>
        <v>80</v>
      </c>
      <c r="I279" s="72">
        <v>7.28</v>
      </c>
      <c r="J279" s="17">
        <f t="shared" ref="J279:J324" si="8">+H279*I279</f>
        <v>582.4</v>
      </c>
      <c r="K279" s="31"/>
      <c r="L279" s="16" t="s">
        <v>27</v>
      </c>
      <c r="M279" s="28" t="s">
        <v>22</v>
      </c>
      <c r="N279" s="45"/>
      <c r="O279" s="29"/>
    </row>
    <row r="280" spans="1:18" s="12" customFormat="1">
      <c r="A280" s="32" t="s">
        <v>80</v>
      </c>
      <c r="B280" s="75" t="s">
        <v>639</v>
      </c>
      <c r="C280" s="39" t="s">
        <v>17</v>
      </c>
      <c r="D280" s="39"/>
      <c r="E280" s="39">
        <v>40</v>
      </c>
      <c r="F280" s="40"/>
      <c r="G280" s="39">
        <v>40</v>
      </c>
      <c r="H280" s="40">
        <f>SUM(Tabla13267[[#This Row],[PRIMER TRIMESTRE]:[CUARTO TRIMESTRE]])</f>
        <v>80</v>
      </c>
      <c r="I280" s="72">
        <v>11.82</v>
      </c>
      <c r="J280" s="17">
        <f t="shared" si="8"/>
        <v>945.6</v>
      </c>
      <c r="K280" s="31"/>
      <c r="L280" s="16" t="s">
        <v>27</v>
      </c>
      <c r="M280" s="28" t="s">
        <v>22</v>
      </c>
      <c r="N280" s="45"/>
      <c r="O280" s="29"/>
    </row>
    <row r="281" spans="1:18" s="12" customFormat="1">
      <c r="A281" s="32" t="s">
        <v>80</v>
      </c>
      <c r="B281" s="75" t="s">
        <v>642</v>
      </c>
      <c r="C281" s="39" t="s">
        <v>17</v>
      </c>
      <c r="D281" s="39"/>
      <c r="E281" s="39">
        <v>40</v>
      </c>
      <c r="F281" s="40"/>
      <c r="G281" s="39">
        <v>40</v>
      </c>
      <c r="H281" s="40">
        <f>SUM(Tabla13267[[#This Row],[PRIMER TRIMESTRE]:[CUARTO TRIMESTRE]])</f>
        <v>80</v>
      </c>
      <c r="I281" s="72">
        <v>22.74</v>
      </c>
      <c r="J281" s="17">
        <f t="shared" si="8"/>
        <v>1819.1999999999998</v>
      </c>
      <c r="K281" s="31"/>
      <c r="L281" s="16" t="s">
        <v>27</v>
      </c>
      <c r="M281" s="28" t="s">
        <v>22</v>
      </c>
      <c r="N281" s="45"/>
      <c r="O281" s="29"/>
    </row>
    <row r="282" spans="1:18" s="12" customFormat="1">
      <c r="A282" s="32" t="s">
        <v>80</v>
      </c>
      <c r="B282" s="75" t="s">
        <v>643</v>
      </c>
      <c r="C282" s="39" t="s">
        <v>17</v>
      </c>
      <c r="D282" s="39"/>
      <c r="E282" s="39">
        <v>20</v>
      </c>
      <c r="F282" s="40"/>
      <c r="G282" s="39">
        <v>20</v>
      </c>
      <c r="H282" s="40">
        <f>SUM(Tabla13267[[#This Row],[PRIMER TRIMESTRE]:[CUARTO TRIMESTRE]])</f>
        <v>40</v>
      </c>
      <c r="I282" s="72">
        <v>53.66</v>
      </c>
      <c r="J282" s="17">
        <f t="shared" si="8"/>
        <v>2146.3999999999996</v>
      </c>
      <c r="K282" s="31"/>
      <c r="L282" s="16" t="s">
        <v>27</v>
      </c>
      <c r="M282" s="28" t="s">
        <v>22</v>
      </c>
      <c r="N282" s="45"/>
      <c r="O282" s="29"/>
    </row>
    <row r="283" spans="1:18" s="12" customFormat="1">
      <c r="A283" s="32" t="s">
        <v>80</v>
      </c>
      <c r="B283" s="75" t="s">
        <v>640</v>
      </c>
      <c r="C283" s="39" t="s">
        <v>17</v>
      </c>
      <c r="D283" s="39"/>
      <c r="E283" s="39">
        <v>20</v>
      </c>
      <c r="F283" s="40"/>
      <c r="G283" s="39">
        <v>20</v>
      </c>
      <c r="H283" s="40">
        <f>SUM(Tabla13267[[#This Row],[PRIMER TRIMESTRE]:[CUARTO TRIMESTRE]])</f>
        <v>40</v>
      </c>
      <c r="I283" s="72">
        <v>90</v>
      </c>
      <c r="J283" s="17">
        <f t="shared" si="8"/>
        <v>3600</v>
      </c>
      <c r="K283" s="31"/>
      <c r="L283" s="16" t="s">
        <v>27</v>
      </c>
      <c r="M283" s="28" t="s">
        <v>22</v>
      </c>
      <c r="N283" s="45"/>
      <c r="O283" s="29"/>
    </row>
    <row r="284" spans="1:18" s="12" customFormat="1">
      <c r="A284" s="15" t="s">
        <v>80</v>
      </c>
      <c r="B284" s="75" t="s">
        <v>641</v>
      </c>
      <c r="C284" s="39" t="s">
        <v>17</v>
      </c>
      <c r="D284" s="39"/>
      <c r="E284" s="39">
        <v>20</v>
      </c>
      <c r="F284" s="39"/>
      <c r="G284" s="39">
        <v>20</v>
      </c>
      <c r="H284" s="40">
        <f>SUM(Tabla13267[[#This Row],[PRIMER TRIMESTRE]:[CUARTO TRIMESTRE]])</f>
        <v>40</v>
      </c>
      <c r="I284" s="72">
        <v>1799.03</v>
      </c>
      <c r="J284" s="17">
        <f t="shared" si="8"/>
        <v>71961.2</v>
      </c>
      <c r="K284" s="17"/>
      <c r="L284" s="16" t="s">
        <v>27</v>
      </c>
      <c r="M284" s="16" t="s">
        <v>22</v>
      </c>
      <c r="N284" s="39"/>
      <c r="O284" s="20"/>
    </row>
    <row r="285" spans="1:18" s="12" customFormat="1">
      <c r="A285" s="15" t="s">
        <v>80</v>
      </c>
      <c r="B285" s="75" t="s">
        <v>607</v>
      </c>
      <c r="C285" s="39" t="s">
        <v>17</v>
      </c>
      <c r="D285" s="39"/>
      <c r="E285" s="39">
        <v>20</v>
      </c>
      <c r="F285" s="39"/>
      <c r="G285" s="39">
        <v>20</v>
      </c>
      <c r="H285" s="40">
        <f>SUM(Tabla13267[[#This Row],[PRIMER TRIMESTRE]:[CUARTO TRIMESTRE]])</f>
        <v>40</v>
      </c>
      <c r="I285" s="17">
        <v>3068</v>
      </c>
      <c r="J285" s="17">
        <f t="shared" si="8"/>
        <v>122720</v>
      </c>
      <c r="K285" s="17"/>
      <c r="L285" s="16" t="s">
        <v>27</v>
      </c>
      <c r="M285" s="16" t="s">
        <v>22</v>
      </c>
      <c r="N285" s="39"/>
      <c r="O285" s="18"/>
    </row>
    <row r="286" spans="1:18" s="12" customFormat="1">
      <c r="A286" s="15" t="s">
        <v>80</v>
      </c>
      <c r="B286" s="75" t="s">
        <v>608</v>
      </c>
      <c r="C286" s="39" t="s">
        <v>17</v>
      </c>
      <c r="D286" s="39"/>
      <c r="E286" s="39">
        <v>20</v>
      </c>
      <c r="F286" s="39"/>
      <c r="G286" s="39">
        <v>20</v>
      </c>
      <c r="H286" s="40">
        <f>SUM(Tabla13267[[#This Row],[PRIMER TRIMESTRE]:[CUARTO TRIMESTRE]])</f>
        <v>40</v>
      </c>
      <c r="I286" s="17">
        <v>4425</v>
      </c>
      <c r="J286" s="17">
        <f t="shared" si="8"/>
        <v>177000</v>
      </c>
      <c r="K286" s="17"/>
      <c r="L286" s="16" t="s">
        <v>27</v>
      </c>
      <c r="M286" s="16" t="s">
        <v>22</v>
      </c>
      <c r="N286" s="39"/>
      <c r="O286" s="18"/>
    </row>
    <row r="287" spans="1:18" s="12" customFormat="1">
      <c r="A287" s="15" t="s">
        <v>80</v>
      </c>
      <c r="B287" s="75" t="s">
        <v>609</v>
      </c>
      <c r="C287" s="39" t="s">
        <v>17</v>
      </c>
      <c r="D287" s="39"/>
      <c r="E287" s="39">
        <v>20</v>
      </c>
      <c r="F287" s="39"/>
      <c r="G287" s="39">
        <v>20</v>
      </c>
      <c r="H287" s="40">
        <f>SUM(Tabla13267[[#This Row],[PRIMER TRIMESTRE]:[CUARTO TRIMESTRE]])</f>
        <v>40</v>
      </c>
      <c r="I287" s="17">
        <v>5074</v>
      </c>
      <c r="J287" s="17">
        <f t="shared" si="8"/>
        <v>202960</v>
      </c>
      <c r="K287" s="17"/>
      <c r="L287" s="16" t="s">
        <v>27</v>
      </c>
      <c r="M287" s="16" t="s">
        <v>22</v>
      </c>
      <c r="N287" s="39"/>
      <c r="O287" s="18"/>
    </row>
    <row r="288" spans="1:18" s="12" customFormat="1">
      <c r="A288" s="15" t="s">
        <v>80</v>
      </c>
      <c r="B288" s="75" t="s">
        <v>610</v>
      </c>
      <c r="C288" s="39" t="s">
        <v>17</v>
      </c>
      <c r="D288" s="39"/>
      <c r="E288" s="39">
        <v>20</v>
      </c>
      <c r="F288" s="39"/>
      <c r="G288" s="39">
        <v>20</v>
      </c>
      <c r="H288" s="40">
        <f>SUM(Tabla13267[[#This Row],[PRIMER TRIMESTRE]:[CUARTO TRIMESTRE]])</f>
        <v>40</v>
      </c>
      <c r="I288" s="17">
        <v>6431</v>
      </c>
      <c r="J288" s="17">
        <f t="shared" si="8"/>
        <v>257240</v>
      </c>
      <c r="K288" s="17"/>
      <c r="L288" s="16" t="s">
        <v>27</v>
      </c>
      <c r="M288" s="16" t="s">
        <v>22</v>
      </c>
      <c r="N288" s="39"/>
      <c r="O288" s="18"/>
    </row>
    <row r="289" spans="1:15" s="12" customFormat="1">
      <c r="A289" s="15" t="s">
        <v>80</v>
      </c>
      <c r="B289" s="75" t="s">
        <v>611</v>
      </c>
      <c r="C289" s="39" t="s">
        <v>17</v>
      </c>
      <c r="D289" s="39"/>
      <c r="E289" s="39">
        <v>20</v>
      </c>
      <c r="F289" s="39"/>
      <c r="G289" s="39">
        <v>20</v>
      </c>
      <c r="H289" s="40">
        <f>SUM(Tabla13267[[#This Row],[PRIMER TRIMESTRE]:[CUARTO TRIMESTRE]])</f>
        <v>40</v>
      </c>
      <c r="I289" s="17">
        <v>7943</v>
      </c>
      <c r="J289" s="17">
        <f t="shared" si="8"/>
        <v>317720</v>
      </c>
      <c r="K289" s="17"/>
      <c r="L289" s="16" t="s">
        <v>27</v>
      </c>
      <c r="M289" s="16" t="s">
        <v>22</v>
      </c>
      <c r="N289" s="39"/>
      <c r="O289" s="18"/>
    </row>
    <row r="290" spans="1:15" s="12" customFormat="1">
      <c r="A290" s="15" t="s">
        <v>80</v>
      </c>
      <c r="B290" s="75" t="s">
        <v>612</v>
      </c>
      <c r="C290" s="39" t="s">
        <v>17</v>
      </c>
      <c r="D290" s="39"/>
      <c r="E290" s="39">
        <v>8</v>
      </c>
      <c r="F290" s="39"/>
      <c r="G290" s="39">
        <v>8</v>
      </c>
      <c r="H290" s="40">
        <f>SUM(Tabla13267[[#This Row],[PRIMER TRIMESTRE]:[CUARTO TRIMESTRE]])</f>
        <v>16</v>
      </c>
      <c r="I290" s="17">
        <v>9145</v>
      </c>
      <c r="J290" s="17">
        <f t="shared" si="8"/>
        <v>146320</v>
      </c>
      <c r="K290" s="17"/>
      <c r="L290" s="16" t="s">
        <v>27</v>
      </c>
      <c r="M290" s="16" t="s">
        <v>22</v>
      </c>
      <c r="N290" s="39"/>
      <c r="O290" s="18"/>
    </row>
    <row r="291" spans="1:15" s="12" customFormat="1">
      <c r="A291" s="15" t="s">
        <v>80</v>
      </c>
      <c r="B291" s="75" t="s">
        <v>613</v>
      </c>
      <c r="C291" s="39" t="s">
        <v>17</v>
      </c>
      <c r="D291" s="39"/>
      <c r="E291" s="39">
        <v>15</v>
      </c>
      <c r="F291" s="39"/>
      <c r="G291" s="39">
        <v>15</v>
      </c>
      <c r="H291" s="40">
        <f>SUM(Tabla13267[[#This Row],[PRIMER TRIMESTRE]:[CUARTO TRIMESTRE]])</f>
        <v>30</v>
      </c>
      <c r="I291" s="17">
        <v>10502</v>
      </c>
      <c r="J291" s="17">
        <f t="shared" si="8"/>
        <v>315060</v>
      </c>
      <c r="K291" s="17"/>
      <c r="L291" s="16" t="s">
        <v>27</v>
      </c>
      <c r="M291" s="16" t="s">
        <v>22</v>
      </c>
      <c r="N291" s="39"/>
      <c r="O291" s="18"/>
    </row>
    <row r="292" spans="1:15" s="12" customFormat="1">
      <c r="A292" s="15" t="s">
        <v>80</v>
      </c>
      <c r="B292" s="75" t="s">
        <v>614</v>
      </c>
      <c r="C292" s="39" t="s">
        <v>17</v>
      </c>
      <c r="D292" s="39"/>
      <c r="E292" s="39">
        <v>15</v>
      </c>
      <c r="F292" s="39"/>
      <c r="G292" s="39">
        <v>15</v>
      </c>
      <c r="H292" s="40">
        <f>SUM(Tabla13267[[#This Row],[PRIMER TRIMESTRE]:[CUARTO TRIMESTRE]])</f>
        <v>30</v>
      </c>
      <c r="I292" s="17">
        <v>11564</v>
      </c>
      <c r="J292" s="17">
        <f t="shared" si="8"/>
        <v>346920</v>
      </c>
      <c r="K292" s="17"/>
      <c r="L292" s="16" t="s">
        <v>27</v>
      </c>
      <c r="M292" s="16" t="s">
        <v>22</v>
      </c>
      <c r="N292" s="39"/>
      <c r="O292" s="18"/>
    </row>
    <row r="293" spans="1:15" s="12" customFormat="1">
      <c r="A293" s="15" t="s">
        <v>80</v>
      </c>
      <c r="B293" s="75" t="s">
        <v>615</v>
      </c>
      <c r="C293" s="39" t="s">
        <v>17</v>
      </c>
      <c r="D293" s="39"/>
      <c r="E293" s="39">
        <v>5</v>
      </c>
      <c r="F293" s="39"/>
      <c r="G293" s="39">
        <v>5</v>
      </c>
      <c r="H293" s="40">
        <f>SUM(Tabla13267[[#This Row],[PRIMER TRIMESTRE]:[CUARTO TRIMESTRE]])</f>
        <v>10</v>
      </c>
      <c r="I293" s="17">
        <v>13747</v>
      </c>
      <c r="J293" s="17">
        <f t="shared" si="8"/>
        <v>137470</v>
      </c>
      <c r="K293" s="17"/>
      <c r="L293" s="16" t="s">
        <v>27</v>
      </c>
      <c r="M293" s="16" t="s">
        <v>22</v>
      </c>
      <c r="N293" s="39"/>
      <c r="O293" s="18"/>
    </row>
    <row r="294" spans="1:15" s="12" customFormat="1">
      <c r="A294" s="146" t="s">
        <v>80</v>
      </c>
      <c r="B294" s="94" t="s">
        <v>702</v>
      </c>
      <c r="C294" s="95" t="s">
        <v>17</v>
      </c>
      <c r="D294" s="95"/>
      <c r="E294" s="95"/>
      <c r="F294" s="95"/>
      <c r="G294" s="39"/>
      <c r="H294" s="96">
        <f>SUM(Tabla13267[[#This Row],[PRIMER TRIMESTRE]:[CUARTO TRIMESTRE]])</f>
        <v>0</v>
      </c>
      <c r="I294" s="97">
        <v>1052.51</v>
      </c>
      <c r="J294" s="97">
        <f t="shared" si="8"/>
        <v>0</v>
      </c>
      <c r="K294" s="17"/>
      <c r="L294" s="16" t="s">
        <v>27</v>
      </c>
      <c r="M294" s="16" t="s">
        <v>22</v>
      </c>
      <c r="N294" s="39"/>
      <c r="O294" s="20"/>
    </row>
    <row r="295" spans="1:15" s="12" customFormat="1">
      <c r="A295" s="146" t="s">
        <v>80</v>
      </c>
      <c r="B295" s="94" t="s">
        <v>370</v>
      </c>
      <c r="C295" s="95" t="s">
        <v>17</v>
      </c>
      <c r="D295" s="95"/>
      <c r="E295" s="95"/>
      <c r="F295" s="95"/>
      <c r="G295" s="39"/>
      <c r="H295" s="96">
        <f>SUM(Tabla13267[[#This Row],[PRIMER TRIMESTRE]:[CUARTO TRIMESTRE]])</f>
        <v>0</v>
      </c>
      <c r="I295" s="97">
        <v>3302.0937420000005</v>
      </c>
      <c r="J295" s="97">
        <f t="shared" si="8"/>
        <v>0</v>
      </c>
      <c r="K295" s="17"/>
      <c r="L295" s="16" t="s">
        <v>27</v>
      </c>
      <c r="M295" s="16" t="s">
        <v>22</v>
      </c>
      <c r="N295" s="39"/>
      <c r="O295" s="20"/>
    </row>
    <row r="296" spans="1:15" s="12" customFormat="1">
      <c r="A296" s="146" t="s">
        <v>80</v>
      </c>
      <c r="B296" s="94" t="s">
        <v>371</v>
      </c>
      <c r="C296" s="95" t="s">
        <v>17</v>
      </c>
      <c r="D296" s="95"/>
      <c r="E296" s="95"/>
      <c r="F296" s="95"/>
      <c r="G296" s="39"/>
      <c r="H296" s="96">
        <f>SUM(Tabla13267[[#This Row],[PRIMER TRIMESTRE]:[CUARTO TRIMESTRE]])</f>
        <v>0</v>
      </c>
      <c r="I296" s="97">
        <v>5605.3296870000004</v>
      </c>
      <c r="J296" s="97">
        <f t="shared" si="8"/>
        <v>0</v>
      </c>
      <c r="K296" s="17"/>
      <c r="L296" s="16" t="s">
        <v>27</v>
      </c>
      <c r="M296" s="16" t="s">
        <v>22</v>
      </c>
      <c r="N296" s="39"/>
      <c r="O296" s="20"/>
    </row>
    <row r="297" spans="1:15" s="12" customFormat="1">
      <c r="A297" s="146" t="s">
        <v>80</v>
      </c>
      <c r="B297" s="94" t="s">
        <v>799</v>
      </c>
      <c r="C297" s="95" t="s">
        <v>17</v>
      </c>
      <c r="D297" s="95"/>
      <c r="E297" s="95"/>
      <c r="F297" s="95"/>
      <c r="G297" s="39"/>
      <c r="H297" s="96">
        <f>SUM(Tabla13267[[#This Row],[PRIMER TRIMESTRE]:[CUARTO TRIMESTRE]])</f>
        <v>0</v>
      </c>
      <c r="I297" s="97">
        <v>12700</v>
      </c>
      <c r="J297" s="97">
        <f>+H297*I297</f>
        <v>0</v>
      </c>
      <c r="K297" s="17"/>
      <c r="L297" s="16" t="s">
        <v>27</v>
      </c>
      <c r="M297" s="16"/>
      <c r="N297" s="39"/>
      <c r="O297" s="18"/>
    </row>
    <row r="298" spans="1:15" s="12" customFormat="1">
      <c r="A298" s="146" t="s">
        <v>80</v>
      </c>
      <c r="B298" s="94" t="s">
        <v>372</v>
      </c>
      <c r="C298" s="95" t="s">
        <v>17</v>
      </c>
      <c r="D298" s="95"/>
      <c r="E298" s="95"/>
      <c r="F298" s="95"/>
      <c r="G298" s="39"/>
      <c r="H298" s="96">
        <f>SUM(Tabla13267[[#This Row],[PRIMER TRIMESTRE]:[CUARTO TRIMESTRE]])</f>
        <v>0</v>
      </c>
      <c r="I298" s="97">
        <v>256.14999999999998</v>
      </c>
      <c r="J298" s="97">
        <f t="shared" si="8"/>
        <v>0</v>
      </c>
      <c r="K298" s="17"/>
      <c r="L298" s="16" t="s">
        <v>27</v>
      </c>
      <c r="M298" s="16" t="s">
        <v>22</v>
      </c>
      <c r="N298" s="39"/>
      <c r="O298" s="20"/>
    </row>
    <row r="299" spans="1:15" s="12" customFormat="1">
      <c r="A299" s="146" t="s">
        <v>80</v>
      </c>
      <c r="B299" s="94" t="s">
        <v>373</v>
      </c>
      <c r="C299" s="95" t="s">
        <v>17</v>
      </c>
      <c r="D299" s="95"/>
      <c r="E299" s="95"/>
      <c r="F299" s="95"/>
      <c r="G299" s="39"/>
      <c r="H299" s="96">
        <f>SUM(Tabla13267[[#This Row],[PRIMER TRIMESTRE]:[CUARTO TRIMESTRE]])</f>
        <v>0</v>
      </c>
      <c r="I299" s="97">
        <v>260.58531900000003</v>
      </c>
      <c r="J299" s="97">
        <f t="shared" si="8"/>
        <v>0</v>
      </c>
      <c r="K299" s="17"/>
      <c r="L299" s="16" t="s">
        <v>27</v>
      </c>
      <c r="M299" s="16" t="s">
        <v>22</v>
      </c>
      <c r="N299" s="39"/>
      <c r="O299" s="20"/>
    </row>
    <row r="300" spans="1:15" s="12" customFormat="1">
      <c r="A300" s="146" t="s">
        <v>80</v>
      </c>
      <c r="B300" s="94" t="s">
        <v>374</v>
      </c>
      <c r="C300" s="95" t="s">
        <v>17</v>
      </c>
      <c r="D300" s="95"/>
      <c r="E300" s="95"/>
      <c r="F300" s="95"/>
      <c r="G300" s="39"/>
      <c r="H300" s="96">
        <f>SUM(Tabla13267[[#This Row],[PRIMER TRIMESTRE]:[CUARTO TRIMESTRE]])</f>
        <v>0</v>
      </c>
      <c r="I300" s="97">
        <v>383.08377000000007</v>
      </c>
      <c r="J300" s="97">
        <f t="shared" si="8"/>
        <v>0</v>
      </c>
      <c r="K300" s="17"/>
      <c r="L300" s="16" t="s">
        <v>27</v>
      </c>
      <c r="M300" s="16" t="s">
        <v>22</v>
      </c>
      <c r="N300" s="39"/>
      <c r="O300" s="20"/>
    </row>
    <row r="301" spans="1:15" s="12" customFormat="1">
      <c r="A301" s="146" t="s">
        <v>80</v>
      </c>
      <c r="B301" s="94" t="s">
        <v>375</v>
      </c>
      <c r="C301" s="95" t="s">
        <v>17</v>
      </c>
      <c r="D301" s="95"/>
      <c r="E301" s="95"/>
      <c r="F301" s="95"/>
      <c r="G301" s="39"/>
      <c r="H301" s="96">
        <f>SUM(Tabla13267[[#This Row],[PRIMER TRIMESTRE]:[CUARTO TRIMESTRE]])</f>
        <v>0</v>
      </c>
      <c r="I301" s="97">
        <v>450</v>
      </c>
      <c r="J301" s="97">
        <f t="shared" si="8"/>
        <v>0</v>
      </c>
      <c r="K301" s="17"/>
      <c r="L301" s="16" t="s">
        <v>27</v>
      </c>
      <c r="M301" s="16" t="s">
        <v>22</v>
      </c>
      <c r="N301" s="39"/>
      <c r="O301" s="20"/>
    </row>
    <row r="302" spans="1:15" s="12" customFormat="1">
      <c r="A302" s="146" t="s">
        <v>80</v>
      </c>
      <c r="B302" s="94" t="s">
        <v>376</v>
      </c>
      <c r="C302" s="95" t="s">
        <v>17</v>
      </c>
      <c r="D302" s="95"/>
      <c r="E302" s="95"/>
      <c r="F302" s="95"/>
      <c r="G302" s="39"/>
      <c r="H302" s="96">
        <f>SUM(Tabla13267[[#This Row],[PRIMER TRIMESTRE]:[CUARTO TRIMESTRE]])</f>
        <v>0</v>
      </c>
      <c r="I302" s="97">
        <v>667.77</v>
      </c>
      <c r="J302" s="97">
        <f t="shared" si="8"/>
        <v>0</v>
      </c>
      <c r="K302" s="17"/>
      <c r="L302" s="16" t="s">
        <v>27</v>
      </c>
      <c r="M302" s="16" t="s">
        <v>22</v>
      </c>
      <c r="N302" s="39"/>
      <c r="O302" s="20"/>
    </row>
    <row r="303" spans="1:15" s="12" customFormat="1">
      <c r="A303" s="146" t="s">
        <v>80</v>
      </c>
      <c r="B303" s="94" t="s">
        <v>377</v>
      </c>
      <c r="C303" s="95" t="s">
        <v>17</v>
      </c>
      <c r="D303" s="95"/>
      <c r="E303" s="95"/>
      <c r="F303" s="95"/>
      <c r="G303" s="39"/>
      <c r="H303" s="96">
        <f>SUM(Tabla13267[[#This Row],[PRIMER TRIMESTRE]:[CUARTO TRIMESTRE]])</f>
        <v>0</v>
      </c>
      <c r="I303" s="97">
        <v>160.61749500000002</v>
      </c>
      <c r="J303" s="97">
        <f t="shared" si="8"/>
        <v>0</v>
      </c>
      <c r="K303" s="17"/>
      <c r="L303" s="16" t="s">
        <v>27</v>
      </c>
      <c r="M303" s="16" t="s">
        <v>22</v>
      </c>
      <c r="N303" s="39"/>
      <c r="O303" s="20"/>
    </row>
    <row r="304" spans="1:15" s="12" customFormat="1">
      <c r="A304" s="146" t="s">
        <v>80</v>
      </c>
      <c r="B304" s="94" t="s">
        <v>378</v>
      </c>
      <c r="C304" s="95" t="s">
        <v>17</v>
      </c>
      <c r="D304" s="95"/>
      <c r="E304" s="95"/>
      <c r="F304" s="95"/>
      <c r="G304" s="39"/>
      <c r="H304" s="96">
        <f>SUM(Tabla13267[[#This Row],[PRIMER TRIMESTRE]:[CUARTO TRIMESTRE]])</f>
        <v>0</v>
      </c>
      <c r="I304" s="97">
        <v>631.80422099999998</v>
      </c>
      <c r="J304" s="97">
        <f t="shared" si="8"/>
        <v>0</v>
      </c>
      <c r="K304" s="17"/>
      <c r="L304" s="16" t="s">
        <v>27</v>
      </c>
      <c r="M304" s="16" t="s">
        <v>22</v>
      </c>
      <c r="N304" s="39"/>
      <c r="O304" s="20"/>
    </row>
    <row r="305" spans="1:15" s="12" customFormat="1">
      <c r="A305" s="146" t="s">
        <v>80</v>
      </c>
      <c r="B305" s="94" t="s">
        <v>379</v>
      </c>
      <c r="C305" s="95" t="s">
        <v>17</v>
      </c>
      <c r="D305" s="95"/>
      <c r="E305" s="95"/>
      <c r="F305" s="95"/>
      <c r="G305" s="39"/>
      <c r="H305" s="96">
        <f>SUM(Tabla13267[[#This Row],[PRIMER TRIMESTRE]:[CUARTO TRIMESTRE]])</f>
        <v>0</v>
      </c>
      <c r="I305" s="97">
        <v>1565.22</v>
      </c>
      <c r="J305" s="97">
        <f t="shared" si="8"/>
        <v>0</v>
      </c>
      <c r="K305" s="17"/>
      <c r="L305" s="16" t="s">
        <v>27</v>
      </c>
      <c r="M305" s="16" t="s">
        <v>22</v>
      </c>
      <c r="N305" s="39"/>
      <c r="O305" s="20"/>
    </row>
    <row r="306" spans="1:15" s="12" customFormat="1">
      <c r="A306" s="146" t="s">
        <v>80</v>
      </c>
      <c r="B306" s="94" t="s">
        <v>380</v>
      </c>
      <c r="C306" s="95" t="s">
        <v>17</v>
      </c>
      <c r="D306" s="95"/>
      <c r="E306" s="95"/>
      <c r="F306" s="95"/>
      <c r="G306" s="39"/>
      <c r="H306" s="96">
        <f>SUM(Tabla13267[[#This Row],[PRIMER TRIMESTRE]:[CUARTO TRIMESTRE]])</f>
        <v>0</v>
      </c>
      <c r="I306" s="97">
        <v>2310.9299999999998</v>
      </c>
      <c r="J306" s="97">
        <f t="shared" si="8"/>
        <v>0</v>
      </c>
      <c r="K306" s="17"/>
      <c r="L306" s="16" t="s">
        <v>27</v>
      </c>
      <c r="M306" s="16" t="s">
        <v>22</v>
      </c>
      <c r="N306" s="39"/>
      <c r="O306" s="20"/>
    </row>
    <row r="307" spans="1:15" s="12" customFormat="1">
      <c r="A307" s="146" t="s">
        <v>80</v>
      </c>
      <c r="B307" s="94" t="s">
        <v>381</v>
      </c>
      <c r="C307" s="95" t="s">
        <v>17</v>
      </c>
      <c r="D307" s="95"/>
      <c r="E307" s="95"/>
      <c r="F307" s="95"/>
      <c r="G307" s="39"/>
      <c r="H307" s="96">
        <f>SUM(Tabla13267[[#This Row],[PRIMER TRIMESTRE]:[CUARTO TRIMESTRE]])</f>
        <v>0</v>
      </c>
      <c r="I307" s="97">
        <v>4630.1499999999996</v>
      </c>
      <c r="J307" s="97">
        <f t="shared" si="8"/>
        <v>0</v>
      </c>
      <c r="K307" s="17"/>
      <c r="L307" s="16" t="s">
        <v>27</v>
      </c>
      <c r="M307" s="16" t="s">
        <v>22</v>
      </c>
      <c r="N307" s="39"/>
      <c r="O307" s="20"/>
    </row>
    <row r="308" spans="1:15" s="12" customFormat="1">
      <c r="A308" s="146" t="s">
        <v>80</v>
      </c>
      <c r="B308" s="94" t="s">
        <v>382</v>
      </c>
      <c r="C308" s="95" t="s">
        <v>17</v>
      </c>
      <c r="D308" s="95"/>
      <c r="E308" s="95"/>
      <c r="F308" s="95"/>
      <c r="G308" s="39"/>
      <c r="H308" s="96">
        <f>SUM(Tabla13267[[#This Row],[PRIMER TRIMESTRE]:[CUARTO TRIMESTRE]])</f>
        <v>0</v>
      </c>
      <c r="I308" s="97">
        <v>6410</v>
      </c>
      <c r="J308" s="97">
        <f t="shared" si="8"/>
        <v>0</v>
      </c>
      <c r="K308" s="17"/>
      <c r="L308" s="16" t="s">
        <v>27</v>
      </c>
      <c r="M308" s="16" t="s">
        <v>22</v>
      </c>
      <c r="N308" s="39"/>
      <c r="O308" s="20"/>
    </row>
    <row r="309" spans="1:15" s="12" customFormat="1">
      <c r="A309" s="146" t="s">
        <v>80</v>
      </c>
      <c r="B309" s="94" t="s">
        <v>383</v>
      </c>
      <c r="C309" s="95" t="s">
        <v>17</v>
      </c>
      <c r="D309" s="95"/>
      <c r="E309" s="95"/>
      <c r="F309" s="95"/>
      <c r="G309" s="39"/>
      <c r="H309" s="96">
        <f>SUM(Tabla13267[[#This Row],[PRIMER TRIMESTRE]:[CUARTO TRIMESTRE]])</f>
        <v>0</v>
      </c>
      <c r="I309" s="97">
        <v>10255.09</v>
      </c>
      <c r="J309" s="97">
        <f t="shared" si="8"/>
        <v>0</v>
      </c>
      <c r="K309" s="17"/>
      <c r="L309" s="16" t="s">
        <v>27</v>
      </c>
      <c r="M309" s="16" t="s">
        <v>22</v>
      </c>
      <c r="N309" s="39"/>
      <c r="O309" s="20"/>
    </row>
    <row r="310" spans="1:15" s="12" customFormat="1">
      <c r="A310" s="146" t="s">
        <v>80</v>
      </c>
      <c r="B310" s="94" t="s">
        <v>384</v>
      </c>
      <c r="C310" s="95" t="s">
        <v>17</v>
      </c>
      <c r="D310" s="95"/>
      <c r="E310" s="95"/>
      <c r="F310" s="95"/>
      <c r="G310" s="39"/>
      <c r="H310" s="96">
        <f>SUM(Tabla13267[[#This Row],[PRIMER TRIMESTRE]:[CUARTO TRIMESTRE]])</f>
        <v>0</v>
      </c>
      <c r="I310" s="97">
        <v>14777.68</v>
      </c>
      <c r="J310" s="97">
        <f t="shared" si="8"/>
        <v>0</v>
      </c>
      <c r="K310" s="17"/>
      <c r="L310" s="16" t="s">
        <v>27</v>
      </c>
      <c r="M310" s="16" t="s">
        <v>22</v>
      </c>
      <c r="N310" s="39"/>
      <c r="O310" s="20"/>
    </row>
    <row r="311" spans="1:15" s="12" customFormat="1">
      <c r="A311" s="146" t="s">
        <v>80</v>
      </c>
      <c r="B311" s="94" t="s">
        <v>385</v>
      </c>
      <c r="C311" s="95" t="s">
        <v>17</v>
      </c>
      <c r="D311" s="95"/>
      <c r="E311" s="95"/>
      <c r="F311" s="95"/>
      <c r="G311" s="39"/>
      <c r="H311" s="96">
        <f>SUM(Tabla13267[[#This Row],[PRIMER TRIMESTRE]:[CUARTO TRIMESTRE]])</f>
        <v>0</v>
      </c>
      <c r="I311" s="97">
        <v>24012.400000000001</v>
      </c>
      <c r="J311" s="97">
        <f t="shared" si="8"/>
        <v>0</v>
      </c>
      <c r="K311" s="17"/>
      <c r="L311" s="16" t="s">
        <v>27</v>
      </c>
      <c r="M311" s="16" t="s">
        <v>22</v>
      </c>
      <c r="N311" s="39"/>
      <c r="O311" s="20"/>
    </row>
    <row r="312" spans="1:15" s="12" customFormat="1">
      <c r="A312" s="135" t="s">
        <v>80</v>
      </c>
      <c r="B312" s="131" t="s">
        <v>386</v>
      </c>
      <c r="C312" s="132" t="s">
        <v>17</v>
      </c>
      <c r="D312" s="132"/>
      <c r="E312" s="132"/>
      <c r="F312" s="132"/>
      <c r="G312" s="39"/>
      <c r="H312" s="147">
        <f>SUM(Tabla13267[[#This Row],[PRIMER TRIMESTRE]:[CUARTO TRIMESTRE]])</f>
        <v>0</v>
      </c>
      <c r="I312" s="134">
        <v>37525.1</v>
      </c>
      <c r="J312" s="134">
        <f t="shared" si="8"/>
        <v>0</v>
      </c>
      <c r="K312" s="17"/>
      <c r="L312" s="16" t="s">
        <v>27</v>
      </c>
      <c r="M312" s="16" t="s">
        <v>22</v>
      </c>
      <c r="N312" s="39"/>
      <c r="O312" s="20"/>
    </row>
    <row r="313" spans="1:15" s="12" customFormat="1">
      <c r="A313" s="135" t="s">
        <v>80</v>
      </c>
      <c r="B313" s="131" t="s">
        <v>800</v>
      </c>
      <c r="C313" s="132" t="s">
        <v>17</v>
      </c>
      <c r="D313" s="132"/>
      <c r="E313" s="132"/>
      <c r="F313" s="132"/>
      <c r="G313" s="39"/>
      <c r="H313" s="147">
        <f>SUM(Tabla13267[[#This Row],[PRIMER TRIMESTRE]:[CUARTO TRIMESTRE]])</f>
        <v>0</v>
      </c>
      <c r="I313" s="134">
        <v>4500</v>
      </c>
      <c r="J313" s="134">
        <f>+H313*I313</f>
        <v>0</v>
      </c>
      <c r="K313" s="17"/>
      <c r="L313" s="16" t="s">
        <v>27</v>
      </c>
      <c r="M313" s="16" t="s">
        <v>22</v>
      </c>
      <c r="N313" s="39"/>
      <c r="O313" s="18"/>
    </row>
    <row r="314" spans="1:15" s="12" customFormat="1">
      <c r="A314" s="135" t="s">
        <v>80</v>
      </c>
      <c r="B314" s="131" t="s">
        <v>713</v>
      </c>
      <c r="C314" s="132" t="s">
        <v>17</v>
      </c>
      <c r="D314" s="132"/>
      <c r="E314" s="132"/>
      <c r="F314" s="132"/>
      <c r="G314" s="39"/>
      <c r="H314" s="147">
        <f>SUM(Tabla13267[[#This Row],[PRIMER TRIMESTRE]:[CUARTO TRIMESTRE]])</f>
        <v>0</v>
      </c>
      <c r="I314" s="134">
        <v>8201.02</v>
      </c>
      <c r="J314" s="134">
        <f>+H314*I314</f>
        <v>0</v>
      </c>
      <c r="K314" s="17"/>
      <c r="L314" s="16" t="s">
        <v>27</v>
      </c>
      <c r="M314" s="16" t="s">
        <v>22</v>
      </c>
      <c r="N314" s="39"/>
      <c r="O314" s="18"/>
    </row>
    <row r="315" spans="1:15" s="12" customFormat="1">
      <c r="A315" s="130" t="s">
        <v>80</v>
      </c>
      <c r="B315" s="131" t="s">
        <v>712</v>
      </c>
      <c r="C315" s="132" t="s">
        <v>17</v>
      </c>
      <c r="D315" s="132"/>
      <c r="E315" s="132"/>
      <c r="F315" s="132"/>
      <c r="G315" s="39"/>
      <c r="H315" s="147">
        <f>SUM(Tabla13267[[#This Row],[PRIMER TRIMESTRE]:[CUARTO TRIMESTRE]])</f>
        <v>0</v>
      </c>
      <c r="I315" s="134">
        <v>15544</v>
      </c>
      <c r="J315" s="134">
        <f t="shared" si="8"/>
        <v>0</v>
      </c>
      <c r="K315" s="31"/>
      <c r="L315" s="16" t="s">
        <v>27</v>
      </c>
      <c r="M315" s="28" t="s">
        <v>22</v>
      </c>
      <c r="N315" s="45"/>
      <c r="O315" s="20"/>
    </row>
    <row r="316" spans="1:15" s="12" customFormat="1">
      <c r="A316" s="148" t="s">
        <v>80</v>
      </c>
      <c r="B316" s="131" t="s">
        <v>711</v>
      </c>
      <c r="C316" s="132" t="s">
        <v>17</v>
      </c>
      <c r="D316" s="132"/>
      <c r="E316" s="132"/>
      <c r="F316" s="132"/>
      <c r="G316" s="39"/>
      <c r="H316" s="147">
        <f>SUM(Tabla13267[[#This Row],[PRIMER TRIMESTRE]:[CUARTO TRIMESTRE]])</f>
        <v>0</v>
      </c>
      <c r="I316" s="134">
        <v>20650.03</v>
      </c>
      <c r="J316" s="134">
        <f>+H316*I316</f>
        <v>0</v>
      </c>
      <c r="K316" s="68"/>
      <c r="L316" s="16" t="s">
        <v>27</v>
      </c>
      <c r="M316" s="66" t="s">
        <v>22</v>
      </c>
      <c r="N316" s="67"/>
      <c r="O316" s="69"/>
    </row>
    <row r="317" spans="1:15" s="12" customFormat="1">
      <c r="A317" s="130" t="s">
        <v>80</v>
      </c>
      <c r="B317" s="131" t="s">
        <v>710</v>
      </c>
      <c r="C317" s="132" t="s">
        <v>17</v>
      </c>
      <c r="D317" s="132"/>
      <c r="E317" s="132"/>
      <c r="F317" s="132"/>
      <c r="G317" s="39"/>
      <c r="H317" s="147">
        <f>SUM(Tabla13267[[#This Row],[PRIMER TRIMESTRE]:[CUARTO TRIMESTRE]])</f>
        <v>0</v>
      </c>
      <c r="I317" s="134">
        <v>39221.919999999998</v>
      </c>
      <c r="J317" s="134">
        <f t="shared" si="8"/>
        <v>0</v>
      </c>
      <c r="K317" s="31"/>
      <c r="L317" s="16" t="s">
        <v>27</v>
      </c>
      <c r="M317" s="28" t="s">
        <v>22</v>
      </c>
      <c r="N317" s="45"/>
      <c r="O317" s="20"/>
    </row>
    <row r="318" spans="1:15" s="12" customFormat="1">
      <c r="A318" s="148" t="s">
        <v>80</v>
      </c>
      <c r="B318" s="131" t="s">
        <v>709</v>
      </c>
      <c r="C318" s="132" t="s">
        <v>17</v>
      </c>
      <c r="D318" s="132"/>
      <c r="E318" s="132"/>
      <c r="F318" s="132"/>
      <c r="G318" s="39"/>
      <c r="H318" s="147">
        <f>SUM(Tabla13267[[#This Row],[PRIMER TRIMESTRE]:[CUARTO TRIMESTRE]])</f>
        <v>0</v>
      </c>
      <c r="I318" s="134">
        <f>17500*1.18</f>
        <v>20650</v>
      </c>
      <c r="J318" s="134">
        <f>+H318*I318</f>
        <v>0</v>
      </c>
      <c r="K318" s="68"/>
      <c r="L318" s="16" t="s">
        <v>27</v>
      </c>
      <c r="M318" s="66" t="s">
        <v>22</v>
      </c>
      <c r="N318" s="67"/>
      <c r="O318" s="69"/>
    </row>
    <row r="319" spans="1:15" s="12" customFormat="1">
      <c r="A319" s="135" t="s">
        <v>80</v>
      </c>
      <c r="B319" s="131" t="s">
        <v>708</v>
      </c>
      <c r="C319" s="132" t="s">
        <v>17</v>
      </c>
      <c r="D319" s="132"/>
      <c r="E319" s="132"/>
      <c r="F319" s="132"/>
      <c r="G319" s="39"/>
      <c r="H319" s="147">
        <f>SUM(Tabla13267[[#This Row],[PRIMER TRIMESTRE]:[CUARTO TRIMESTRE]])</f>
        <v>0</v>
      </c>
      <c r="I319" s="134">
        <f>25175*1.18</f>
        <v>29706.5</v>
      </c>
      <c r="J319" s="134">
        <f>+H319*I319</f>
        <v>0</v>
      </c>
      <c r="K319" s="17"/>
      <c r="L319" s="16" t="s">
        <v>27</v>
      </c>
      <c r="M319" s="16" t="s">
        <v>22</v>
      </c>
      <c r="N319" s="39"/>
      <c r="O319" s="18"/>
    </row>
    <row r="320" spans="1:15" s="12" customFormat="1">
      <c r="A320" s="130" t="s">
        <v>80</v>
      </c>
      <c r="B320" s="131" t="s">
        <v>707</v>
      </c>
      <c r="C320" s="132" t="s">
        <v>17</v>
      </c>
      <c r="D320" s="132"/>
      <c r="E320" s="132"/>
      <c r="F320" s="132"/>
      <c r="G320" s="39"/>
      <c r="H320" s="147">
        <f>SUM(Tabla13267[[#This Row],[PRIMER TRIMESTRE]:[CUARTO TRIMESTRE]])</f>
        <v>0</v>
      </c>
      <c r="I320" s="134">
        <f>34500*1.18</f>
        <v>40710</v>
      </c>
      <c r="J320" s="134">
        <f t="shared" si="8"/>
        <v>0</v>
      </c>
      <c r="K320" s="31"/>
      <c r="L320" s="16" t="s">
        <v>27</v>
      </c>
      <c r="M320" s="28" t="s">
        <v>22</v>
      </c>
      <c r="N320" s="45"/>
      <c r="O320" s="20"/>
    </row>
    <row r="321" spans="1:18" s="12" customFormat="1">
      <c r="A321" s="135" t="s">
        <v>80</v>
      </c>
      <c r="B321" s="131" t="s">
        <v>706</v>
      </c>
      <c r="C321" s="132" t="s">
        <v>17</v>
      </c>
      <c r="D321" s="132"/>
      <c r="E321" s="132"/>
      <c r="F321" s="132"/>
      <c r="G321" s="39"/>
      <c r="H321" s="147">
        <f>SUM(Tabla13267[[#This Row],[PRIMER TRIMESTRE]:[CUARTO TRIMESTRE]])</f>
        <v>0</v>
      </c>
      <c r="I321" s="134">
        <v>67131.600000000006</v>
      </c>
      <c r="J321" s="134">
        <f t="shared" si="8"/>
        <v>0</v>
      </c>
      <c r="K321" s="17"/>
      <c r="L321" s="16" t="s">
        <v>27</v>
      </c>
      <c r="M321" s="16" t="s">
        <v>22</v>
      </c>
      <c r="N321" s="39"/>
      <c r="O321" s="18"/>
    </row>
    <row r="322" spans="1:18" s="12" customFormat="1">
      <c r="A322" s="135" t="s">
        <v>80</v>
      </c>
      <c r="B322" s="131" t="s">
        <v>705</v>
      </c>
      <c r="C322" s="132" t="s">
        <v>17</v>
      </c>
      <c r="D322" s="132"/>
      <c r="E322" s="132"/>
      <c r="F322" s="132"/>
      <c r="G322" s="39"/>
      <c r="H322" s="147">
        <f>SUM(Tabla13267[[#This Row],[PRIMER TRIMESTRE]:[CUARTO TRIMESTRE]])</f>
        <v>0</v>
      </c>
      <c r="I322" s="134">
        <v>80240</v>
      </c>
      <c r="J322" s="134">
        <f t="shared" si="8"/>
        <v>0</v>
      </c>
      <c r="K322" s="17"/>
      <c r="L322" s="16" t="s">
        <v>27</v>
      </c>
      <c r="M322" s="16" t="s">
        <v>22</v>
      </c>
      <c r="N322" s="39"/>
      <c r="O322" s="18"/>
    </row>
    <row r="323" spans="1:18" s="12" customFormat="1">
      <c r="A323" s="15" t="s">
        <v>80</v>
      </c>
      <c r="B323" s="75" t="s">
        <v>703</v>
      </c>
      <c r="C323" s="39" t="s">
        <v>17</v>
      </c>
      <c r="D323" s="39"/>
      <c r="E323" s="39">
        <v>50</v>
      </c>
      <c r="F323" s="39"/>
      <c r="G323" s="39">
        <v>50</v>
      </c>
      <c r="H323" s="40">
        <f>SUM(Tabla13267[[#This Row],[PRIMER TRIMESTRE]:[CUARTO TRIMESTRE]])</f>
        <v>100</v>
      </c>
      <c r="I323" s="72">
        <v>1926.1</v>
      </c>
      <c r="J323" s="17">
        <f t="shared" si="8"/>
        <v>192610</v>
      </c>
      <c r="K323" s="17"/>
      <c r="L323" s="16" t="s">
        <v>27</v>
      </c>
      <c r="M323" s="16" t="s">
        <v>22</v>
      </c>
      <c r="N323" s="39"/>
      <c r="O323" s="18"/>
    </row>
    <row r="324" spans="1:18" s="12" customFormat="1">
      <c r="A324" s="15" t="s">
        <v>80</v>
      </c>
      <c r="B324" s="75" t="s">
        <v>704</v>
      </c>
      <c r="C324" s="39" t="s">
        <v>17</v>
      </c>
      <c r="D324" s="39"/>
      <c r="E324" s="39">
        <v>45</v>
      </c>
      <c r="F324" s="39"/>
      <c r="G324" s="39">
        <v>45</v>
      </c>
      <c r="H324" s="40">
        <f>SUM(Tabla13267[[#This Row],[PRIMER TRIMESTRE]:[CUARTO TRIMESTRE]])</f>
        <v>90</v>
      </c>
      <c r="I324" s="72">
        <v>3940</v>
      </c>
      <c r="J324" s="17">
        <f t="shared" si="8"/>
        <v>354600</v>
      </c>
      <c r="K324" s="17"/>
      <c r="L324" s="16" t="s">
        <v>27</v>
      </c>
      <c r="M324" s="16" t="s">
        <v>22</v>
      </c>
      <c r="N324" s="39"/>
      <c r="O324" s="18"/>
    </row>
    <row r="325" spans="1:18" s="12" customFormat="1">
      <c r="A325" s="15" t="s">
        <v>80</v>
      </c>
      <c r="B325" s="75" t="s">
        <v>318</v>
      </c>
      <c r="C325" s="44" t="s">
        <v>17</v>
      </c>
      <c r="D325" s="39"/>
      <c r="E325" s="39">
        <v>150</v>
      </c>
      <c r="F325" s="39"/>
      <c r="G325" s="39">
        <v>150</v>
      </c>
      <c r="H325" s="40">
        <f>SUM(Tabla13267[[#This Row],[PRIMER TRIMESTRE]:[CUARTO TRIMESTRE]])</f>
        <v>300</v>
      </c>
      <c r="I325" s="17">
        <v>135.69999999999999</v>
      </c>
      <c r="J325" s="17">
        <f>+Tabla13267[[#This Row],[CANTIDAD TOTAL]]*Tabla13267[[#This Row],[PRECIO UNITARIO ESTIMADO]]</f>
        <v>40710</v>
      </c>
      <c r="K325" s="17"/>
      <c r="L325" s="16" t="s">
        <v>27</v>
      </c>
      <c r="M325" s="30" t="s">
        <v>22</v>
      </c>
      <c r="N325" s="39" t="s">
        <v>418</v>
      </c>
      <c r="O325" s="20"/>
      <c r="R325" s="19"/>
    </row>
    <row r="326" spans="1:18" s="12" customFormat="1">
      <c r="A326" s="15" t="s">
        <v>80</v>
      </c>
      <c r="B326" s="75" t="s">
        <v>387</v>
      </c>
      <c r="C326" s="39" t="s">
        <v>17</v>
      </c>
      <c r="D326" s="39"/>
      <c r="E326" s="39">
        <v>2000</v>
      </c>
      <c r="F326" s="39"/>
      <c r="G326" s="39">
        <v>2000</v>
      </c>
      <c r="H326" s="40">
        <f>SUM(Tabla13267[[#This Row],[PRIMER TRIMESTRE]:[CUARTO TRIMESTRE]])</f>
        <v>4000</v>
      </c>
      <c r="I326" s="17">
        <v>4.1100000000000003</v>
      </c>
      <c r="J326" s="17">
        <f t="shared" ref="J326:J377" si="9">+H326*I326</f>
        <v>16440</v>
      </c>
      <c r="K326" s="17"/>
      <c r="L326" s="16" t="s">
        <v>27</v>
      </c>
      <c r="M326" s="16" t="s">
        <v>22</v>
      </c>
      <c r="N326" s="39"/>
      <c r="O326" s="20"/>
    </row>
    <row r="327" spans="1:18" s="12" customFormat="1">
      <c r="A327" s="15" t="s">
        <v>80</v>
      </c>
      <c r="B327" s="75" t="s">
        <v>388</v>
      </c>
      <c r="C327" s="39" t="s">
        <v>17</v>
      </c>
      <c r="D327" s="39"/>
      <c r="E327" s="39">
        <v>2000</v>
      </c>
      <c r="F327" s="39"/>
      <c r="G327" s="39">
        <v>2000</v>
      </c>
      <c r="H327" s="40">
        <f>SUM(Tabla13267[[#This Row],[PRIMER TRIMESTRE]:[CUARTO TRIMESTRE]])</f>
        <v>4000</v>
      </c>
      <c r="I327" s="17">
        <v>5.25</v>
      </c>
      <c r="J327" s="17">
        <f t="shared" si="9"/>
        <v>21000</v>
      </c>
      <c r="K327" s="17"/>
      <c r="L327" s="16" t="s">
        <v>27</v>
      </c>
      <c r="M327" s="16" t="s">
        <v>22</v>
      </c>
      <c r="N327" s="39"/>
      <c r="O327" s="20"/>
    </row>
    <row r="328" spans="1:18" s="12" customFormat="1">
      <c r="A328" s="15" t="s">
        <v>80</v>
      </c>
      <c r="B328" s="75" t="s">
        <v>389</v>
      </c>
      <c r="C328" s="39" t="s">
        <v>17</v>
      </c>
      <c r="D328" s="39"/>
      <c r="E328" s="39">
        <v>500</v>
      </c>
      <c r="F328" s="39"/>
      <c r="G328" s="39">
        <v>500</v>
      </c>
      <c r="H328" s="40">
        <f>SUM(Tabla13267[[#This Row],[PRIMER TRIMESTRE]:[CUARTO TRIMESTRE]])</f>
        <v>1000</v>
      </c>
      <c r="I328" s="17">
        <v>11</v>
      </c>
      <c r="J328" s="17">
        <f t="shared" si="9"/>
        <v>11000</v>
      </c>
      <c r="K328" s="17"/>
      <c r="L328" s="16" t="s">
        <v>27</v>
      </c>
      <c r="M328" s="16" t="s">
        <v>22</v>
      </c>
      <c r="N328" s="39"/>
      <c r="O328" s="20"/>
    </row>
    <row r="329" spans="1:18" s="12" customFormat="1" ht="43.5" customHeight="1">
      <c r="A329" s="100" t="s">
        <v>80</v>
      </c>
      <c r="B329" s="90" t="s">
        <v>663</v>
      </c>
      <c r="C329" s="91" t="s">
        <v>17</v>
      </c>
      <c r="D329" s="91"/>
      <c r="E329" s="91"/>
      <c r="F329" s="91"/>
      <c r="G329" s="39"/>
      <c r="H329" s="92">
        <f>SUM(Tabla13267[[#This Row],[PRIMER TRIMESTRE]:[CUARTO TRIMESTRE]])</f>
        <v>0</v>
      </c>
      <c r="I329" s="93">
        <v>15930</v>
      </c>
      <c r="J329" s="93">
        <f t="shared" si="9"/>
        <v>0</v>
      </c>
      <c r="K329" s="17"/>
      <c r="L329" s="16" t="s">
        <v>27</v>
      </c>
      <c r="M329" s="16" t="s">
        <v>22</v>
      </c>
      <c r="N329" s="39"/>
      <c r="O329" s="18"/>
    </row>
    <row r="330" spans="1:18" s="12" customFormat="1" ht="43.5" customHeight="1">
      <c r="A330" s="100" t="s">
        <v>80</v>
      </c>
      <c r="B330" s="90" t="s">
        <v>662</v>
      </c>
      <c r="C330" s="91" t="s">
        <v>17</v>
      </c>
      <c r="D330" s="91"/>
      <c r="E330" s="91"/>
      <c r="F330" s="91"/>
      <c r="G330" s="39"/>
      <c r="H330" s="92">
        <f>SUM(Tabla13267[[#This Row],[PRIMER TRIMESTRE]:[CUARTO TRIMESTRE]])</f>
        <v>0</v>
      </c>
      <c r="I330" s="93">
        <f>15500*1.18</f>
        <v>18290</v>
      </c>
      <c r="J330" s="93">
        <f t="shared" si="9"/>
        <v>0</v>
      </c>
      <c r="K330" s="17"/>
      <c r="L330" s="16" t="s">
        <v>27</v>
      </c>
      <c r="M330" s="16" t="s">
        <v>22</v>
      </c>
      <c r="N330" s="39"/>
      <c r="O330" s="18"/>
    </row>
    <row r="331" spans="1:18" s="12" customFormat="1" ht="43.5" customHeight="1">
      <c r="A331" s="100" t="s">
        <v>80</v>
      </c>
      <c r="B331" s="90" t="s">
        <v>664</v>
      </c>
      <c r="C331" s="91" t="s">
        <v>17</v>
      </c>
      <c r="D331" s="91"/>
      <c r="E331" s="91"/>
      <c r="F331" s="91"/>
      <c r="G331" s="39"/>
      <c r="H331" s="92">
        <f>SUM(Tabla13267[[#This Row],[PRIMER TRIMESTRE]:[CUARTO TRIMESTRE]])</f>
        <v>0</v>
      </c>
      <c r="I331" s="93">
        <f>18500*1.18</f>
        <v>21830</v>
      </c>
      <c r="J331" s="93">
        <f t="shared" si="9"/>
        <v>0</v>
      </c>
      <c r="K331" s="17"/>
      <c r="L331" s="16" t="s">
        <v>27</v>
      </c>
      <c r="M331" s="16" t="s">
        <v>22</v>
      </c>
      <c r="N331" s="39"/>
      <c r="O331" s="18"/>
    </row>
    <row r="332" spans="1:18" s="12" customFormat="1" ht="38.25">
      <c r="A332" s="100" t="s">
        <v>80</v>
      </c>
      <c r="B332" s="90" t="s">
        <v>672</v>
      </c>
      <c r="C332" s="91" t="s">
        <v>17</v>
      </c>
      <c r="D332" s="91"/>
      <c r="E332" s="91"/>
      <c r="F332" s="91"/>
      <c r="G332" s="39"/>
      <c r="H332" s="92">
        <f>SUM(Tabla13267[[#This Row],[PRIMER TRIMESTRE]:[CUARTO TRIMESTRE]])</f>
        <v>0</v>
      </c>
      <c r="I332" s="93">
        <f>13800*1.18</f>
        <v>16284</v>
      </c>
      <c r="J332" s="93">
        <f>+H332*I332</f>
        <v>0</v>
      </c>
      <c r="K332" s="17"/>
      <c r="L332" s="16" t="s">
        <v>27</v>
      </c>
      <c r="M332" s="16" t="s">
        <v>22</v>
      </c>
      <c r="N332" s="39"/>
      <c r="O332" s="18"/>
    </row>
    <row r="333" spans="1:18" s="12" customFormat="1" ht="84" customHeight="1">
      <c r="A333" s="101" t="s">
        <v>80</v>
      </c>
      <c r="B333" s="90" t="s">
        <v>665</v>
      </c>
      <c r="C333" s="91" t="s">
        <v>17</v>
      </c>
      <c r="D333" s="91"/>
      <c r="E333" s="91"/>
      <c r="F333" s="91"/>
      <c r="G333" s="39"/>
      <c r="H333" s="102">
        <f>SUM(Tabla13267[[#This Row],[PRIMER TRIMESTRE]:[CUARTO TRIMESTRE]])</f>
        <v>0</v>
      </c>
      <c r="I333" s="93">
        <f>15950*1.18</f>
        <v>18821</v>
      </c>
      <c r="J333" s="93">
        <f t="shared" si="9"/>
        <v>0</v>
      </c>
      <c r="K333" s="31"/>
      <c r="L333" s="16" t="s">
        <v>27</v>
      </c>
      <c r="M333" s="28" t="s">
        <v>22</v>
      </c>
      <c r="N333" s="45"/>
      <c r="O333" s="29"/>
    </row>
    <row r="334" spans="1:18" s="12" customFormat="1" ht="84" customHeight="1">
      <c r="A334" s="101" t="s">
        <v>80</v>
      </c>
      <c r="B334" s="90" t="s">
        <v>666</v>
      </c>
      <c r="C334" s="91" t="s">
        <v>17</v>
      </c>
      <c r="D334" s="91"/>
      <c r="E334" s="91"/>
      <c r="F334" s="91"/>
      <c r="G334" s="39"/>
      <c r="H334" s="102">
        <f>SUM(Tabla13267[[#This Row],[PRIMER TRIMESTRE]:[CUARTO TRIMESTRE]])</f>
        <v>0</v>
      </c>
      <c r="I334" s="93">
        <f>18950*1.18</f>
        <v>22361</v>
      </c>
      <c r="J334" s="93">
        <f t="shared" si="9"/>
        <v>0</v>
      </c>
      <c r="K334" s="31"/>
      <c r="L334" s="16" t="s">
        <v>27</v>
      </c>
      <c r="M334" s="28" t="s">
        <v>22</v>
      </c>
      <c r="N334" s="45"/>
      <c r="O334" s="29"/>
    </row>
    <row r="335" spans="1:18" s="12" customFormat="1" ht="75.75" customHeight="1">
      <c r="A335" s="101" t="s">
        <v>80</v>
      </c>
      <c r="B335" s="90" t="s">
        <v>667</v>
      </c>
      <c r="C335" s="91" t="s">
        <v>17</v>
      </c>
      <c r="D335" s="91"/>
      <c r="E335" s="91"/>
      <c r="F335" s="91"/>
      <c r="G335" s="39"/>
      <c r="H335" s="102">
        <f>SUM(Tabla13267[[#This Row],[PRIMER TRIMESTRE]:[CUARTO TRIMESTRE]])</f>
        <v>0</v>
      </c>
      <c r="I335" s="93">
        <f>23500*1.18</f>
        <v>27730</v>
      </c>
      <c r="J335" s="93">
        <f t="shared" si="9"/>
        <v>0</v>
      </c>
      <c r="K335" s="31"/>
      <c r="L335" s="16" t="s">
        <v>27</v>
      </c>
      <c r="M335" s="28" t="s">
        <v>22</v>
      </c>
      <c r="N335" s="45"/>
      <c r="O335" s="29"/>
    </row>
    <row r="336" spans="1:18" s="12" customFormat="1" ht="75.75" customHeight="1">
      <c r="A336" s="101" t="s">
        <v>80</v>
      </c>
      <c r="B336" s="90" t="s">
        <v>668</v>
      </c>
      <c r="C336" s="91" t="s">
        <v>17</v>
      </c>
      <c r="D336" s="91"/>
      <c r="E336" s="91"/>
      <c r="F336" s="91"/>
      <c r="G336" s="39"/>
      <c r="H336" s="102">
        <f>SUM(Tabla13267[[#This Row],[PRIMER TRIMESTRE]:[CUARTO TRIMESTRE]])</f>
        <v>0</v>
      </c>
      <c r="I336" s="93">
        <f>32800*1.18</f>
        <v>38704</v>
      </c>
      <c r="J336" s="93">
        <f t="shared" si="9"/>
        <v>0</v>
      </c>
      <c r="K336" s="31"/>
      <c r="L336" s="16" t="s">
        <v>27</v>
      </c>
      <c r="M336" s="28" t="s">
        <v>22</v>
      </c>
      <c r="N336" s="45"/>
      <c r="O336" s="29"/>
    </row>
    <row r="337" spans="1:15" s="12" customFormat="1" ht="75.75" customHeight="1">
      <c r="A337" s="101" t="s">
        <v>80</v>
      </c>
      <c r="B337" s="90" t="s">
        <v>669</v>
      </c>
      <c r="C337" s="91" t="s">
        <v>17</v>
      </c>
      <c r="D337" s="91"/>
      <c r="E337" s="91"/>
      <c r="F337" s="91"/>
      <c r="G337" s="39"/>
      <c r="H337" s="102">
        <f>SUM(Tabla13267[[#This Row],[PRIMER TRIMESTRE]:[CUARTO TRIMESTRE]])</f>
        <v>0</v>
      </c>
      <c r="I337" s="93">
        <f>56500*1.18</f>
        <v>66670</v>
      </c>
      <c r="J337" s="93">
        <f t="shared" si="9"/>
        <v>0</v>
      </c>
      <c r="K337" s="31"/>
      <c r="L337" s="16" t="s">
        <v>27</v>
      </c>
      <c r="M337" s="28" t="s">
        <v>22</v>
      </c>
      <c r="N337" s="45"/>
      <c r="O337" s="29"/>
    </row>
    <row r="338" spans="1:15" s="12" customFormat="1" ht="75.75" customHeight="1">
      <c r="A338" s="101" t="s">
        <v>80</v>
      </c>
      <c r="B338" s="90" t="s">
        <v>670</v>
      </c>
      <c r="C338" s="91" t="s">
        <v>17</v>
      </c>
      <c r="D338" s="91"/>
      <c r="E338" s="91"/>
      <c r="F338" s="91"/>
      <c r="G338" s="39"/>
      <c r="H338" s="102">
        <f>SUM(Tabla13267[[#This Row],[PRIMER TRIMESTRE]:[CUARTO TRIMESTRE]])</f>
        <v>0</v>
      </c>
      <c r="I338" s="93">
        <f>74000*1.18</f>
        <v>87320</v>
      </c>
      <c r="J338" s="93">
        <f t="shared" si="9"/>
        <v>0</v>
      </c>
      <c r="K338" s="31"/>
      <c r="L338" s="16" t="s">
        <v>27</v>
      </c>
      <c r="M338" s="28" t="s">
        <v>22</v>
      </c>
      <c r="N338" s="45"/>
      <c r="O338" s="29"/>
    </row>
    <row r="339" spans="1:15" s="12" customFormat="1" ht="75.75" customHeight="1">
      <c r="A339" s="101" t="s">
        <v>80</v>
      </c>
      <c r="B339" s="90" t="s">
        <v>671</v>
      </c>
      <c r="C339" s="91" t="s">
        <v>17</v>
      </c>
      <c r="D339" s="91"/>
      <c r="E339" s="91"/>
      <c r="F339" s="91"/>
      <c r="G339" s="39"/>
      <c r="H339" s="102">
        <f>SUM(Tabla13267[[#This Row],[PRIMER TRIMESTRE]:[CUARTO TRIMESTRE]])</f>
        <v>0</v>
      </c>
      <c r="I339" s="93">
        <f>245000*1.18</f>
        <v>289100</v>
      </c>
      <c r="J339" s="93">
        <f t="shared" si="9"/>
        <v>0</v>
      </c>
      <c r="K339" s="31"/>
      <c r="L339" s="16" t="s">
        <v>27</v>
      </c>
      <c r="M339" s="28" t="s">
        <v>22</v>
      </c>
      <c r="N339" s="45"/>
      <c r="O339" s="29"/>
    </row>
    <row r="340" spans="1:15" s="12" customFormat="1" ht="75.75" customHeight="1">
      <c r="A340" s="146" t="s">
        <v>80</v>
      </c>
      <c r="B340" s="94" t="s">
        <v>673</v>
      </c>
      <c r="C340" s="95" t="s">
        <v>17</v>
      </c>
      <c r="D340" s="95"/>
      <c r="E340" s="95"/>
      <c r="F340" s="95"/>
      <c r="G340" s="39"/>
      <c r="H340" s="149">
        <f>SUM(Tabla13267[[#This Row],[PRIMER TRIMESTRE]:[CUARTO TRIMESTRE]])</f>
        <v>0</v>
      </c>
      <c r="I340" s="97">
        <v>16284</v>
      </c>
      <c r="J340" s="97">
        <f>+H340*I340</f>
        <v>0</v>
      </c>
      <c r="K340" s="17"/>
      <c r="L340" s="16" t="s">
        <v>27</v>
      </c>
      <c r="M340" s="16" t="s">
        <v>22</v>
      </c>
      <c r="N340" s="39"/>
      <c r="O340" s="18"/>
    </row>
    <row r="341" spans="1:15" s="12" customFormat="1" ht="86.25" customHeight="1">
      <c r="A341" s="150" t="s">
        <v>80</v>
      </c>
      <c r="B341" s="94" t="s">
        <v>674</v>
      </c>
      <c r="C341" s="95" t="s">
        <v>17</v>
      </c>
      <c r="D341" s="95"/>
      <c r="E341" s="95"/>
      <c r="F341" s="95"/>
      <c r="G341" s="39"/>
      <c r="H341" s="149">
        <f>SUM(Tabla13267[[#This Row],[PRIMER TRIMESTRE]:[CUARTO TRIMESTRE]])</f>
        <v>0</v>
      </c>
      <c r="I341" s="97">
        <v>22420</v>
      </c>
      <c r="J341" s="97">
        <f t="shared" si="9"/>
        <v>0</v>
      </c>
      <c r="K341" s="31"/>
      <c r="L341" s="16" t="s">
        <v>27</v>
      </c>
      <c r="M341" s="28" t="s">
        <v>22</v>
      </c>
      <c r="N341" s="45"/>
      <c r="O341" s="29"/>
    </row>
    <row r="342" spans="1:15" s="12" customFormat="1" ht="86.25" customHeight="1">
      <c r="A342" s="150" t="s">
        <v>80</v>
      </c>
      <c r="B342" s="94" t="s">
        <v>675</v>
      </c>
      <c r="C342" s="95" t="s">
        <v>17</v>
      </c>
      <c r="D342" s="95"/>
      <c r="E342" s="95"/>
      <c r="F342" s="95"/>
      <c r="G342" s="39"/>
      <c r="H342" s="149">
        <f>SUM(Tabla13267[[#This Row],[PRIMER TRIMESTRE]:[CUARTO TRIMESTRE]])</f>
        <v>0</v>
      </c>
      <c r="I342" s="97">
        <v>34072.5</v>
      </c>
      <c r="J342" s="97">
        <f t="shared" si="9"/>
        <v>0</v>
      </c>
      <c r="K342" s="31"/>
      <c r="L342" s="16" t="s">
        <v>27</v>
      </c>
      <c r="M342" s="28" t="s">
        <v>22</v>
      </c>
      <c r="N342" s="45"/>
      <c r="O342" s="29"/>
    </row>
    <row r="343" spans="1:15" s="12" customFormat="1" ht="86.25" customHeight="1">
      <c r="A343" s="150" t="s">
        <v>80</v>
      </c>
      <c r="B343" s="94" t="s">
        <v>676</v>
      </c>
      <c r="C343" s="95" t="s">
        <v>17</v>
      </c>
      <c r="D343" s="95"/>
      <c r="E343" s="95"/>
      <c r="F343" s="95"/>
      <c r="G343" s="39"/>
      <c r="H343" s="149">
        <f>SUM(Tabla13267[[#This Row],[PRIMER TRIMESTRE]:[CUARTO TRIMESTRE]])</f>
        <v>0</v>
      </c>
      <c r="I343" s="97">
        <v>40200</v>
      </c>
      <c r="J343" s="97">
        <f t="shared" si="9"/>
        <v>0</v>
      </c>
      <c r="K343" s="31"/>
      <c r="L343" s="16" t="s">
        <v>27</v>
      </c>
      <c r="M343" s="28" t="s">
        <v>22</v>
      </c>
      <c r="N343" s="45"/>
      <c r="O343" s="29"/>
    </row>
    <row r="344" spans="1:15" s="12" customFormat="1" ht="86.25" customHeight="1">
      <c r="A344" s="150" t="s">
        <v>80</v>
      </c>
      <c r="B344" s="94" t="s">
        <v>677</v>
      </c>
      <c r="C344" s="95" t="s">
        <v>17</v>
      </c>
      <c r="D344" s="95"/>
      <c r="E344" s="95"/>
      <c r="F344" s="95"/>
      <c r="G344" s="39"/>
      <c r="H344" s="149">
        <f>SUM(Tabla13267[[#This Row],[PRIMER TRIMESTRE]:[CUARTO TRIMESTRE]])</f>
        <v>0</v>
      </c>
      <c r="I344" s="97">
        <v>49500</v>
      </c>
      <c r="J344" s="97">
        <f t="shared" si="9"/>
        <v>0</v>
      </c>
      <c r="K344" s="31"/>
      <c r="L344" s="16" t="s">
        <v>27</v>
      </c>
      <c r="M344" s="28" t="s">
        <v>22</v>
      </c>
      <c r="N344" s="45"/>
      <c r="O344" s="29"/>
    </row>
    <row r="345" spans="1:15" s="12" customFormat="1" ht="86.25" customHeight="1">
      <c r="A345" s="150" t="s">
        <v>80</v>
      </c>
      <c r="B345" s="94" t="s">
        <v>678</v>
      </c>
      <c r="C345" s="95" t="s">
        <v>17</v>
      </c>
      <c r="D345" s="95"/>
      <c r="E345" s="95"/>
      <c r="F345" s="95"/>
      <c r="G345" s="39"/>
      <c r="H345" s="149">
        <f>SUM(Tabla13267[[#This Row],[PRIMER TRIMESTRE]:[CUARTO TRIMESTRE]])</f>
        <v>0</v>
      </c>
      <c r="I345" s="97">
        <v>73250</v>
      </c>
      <c r="J345" s="97">
        <f t="shared" si="9"/>
        <v>0</v>
      </c>
      <c r="K345" s="31"/>
      <c r="L345" s="16" t="s">
        <v>27</v>
      </c>
      <c r="M345" s="28" t="s">
        <v>22</v>
      </c>
      <c r="N345" s="45"/>
      <c r="O345" s="29"/>
    </row>
    <row r="346" spans="1:15" s="12" customFormat="1" ht="86.25" customHeight="1">
      <c r="A346" s="150" t="s">
        <v>80</v>
      </c>
      <c r="B346" s="94" t="s">
        <v>679</v>
      </c>
      <c r="C346" s="95" t="s">
        <v>17</v>
      </c>
      <c r="D346" s="95"/>
      <c r="E346" s="95"/>
      <c r="F346" s="95"/>
      <c r="G346" s="39"/>
      <c r="H346" s="149">
        <f>SUM(Tabla13267[[#This Row],[PRIMER TRIMESTRE]:[CUARTO TRIMESTRE]])</f>
        <v>0</v>
      </c>
      <c r="I346" s="97">
        <v>289000</v>
      </c>
      <c r="J346" s="97">
        <f t="shared" si="9"/>
        <v>0</v>
      </c>
      <c r="K346" s="31"/>
      <c r="L346" s="16" t="s">
        <v>27</v>
      </c>
      <c r="M346" s="28" t="s">
        <v>22</v>
      </c>
      <c r="N346" s="45"/>
      <c r="O346" s="29"/>
    </row>
    <row r="347" spans="1:15" s="12" customFormat="1" ht="89.25" customHeight="1">
      <c r="A347" s="150" t="s">
        <v>80</v>
      </c>
      <c r="B347" s="94" t="s">
        <v>680</v>
      </c>
      <c r="C347" s="95" t="s">
        <v>17</v>
      </c>
      <c r="D347" s="95"/>
      <c r="E347" s="95"/>
      <c r="F347" s="95"/>
      <c r="G347" s="39"/>
      <c r="H347" s="149">
        <f>SUM(Tabla13267[[#This Row],[PRIMER TRIMESTRE]:[CUARTO TRIMESTRE]])</f>
        <v>0</v>
      </c>
      <c r="I347" s="97">
        <f>26800*1.18</f>
        <v>31624</v>
      </c>
      <c r="J347" s="97">
        <f t="shared" si="9"/>
        <v>0</v>
      </c>
      <c r="K347" s="31"/>
      <c r="L347" s="16" t="s">
        <v>27</v>
      </c>
      <c r="M347" s="28" t="s">
        <v>22</v>
      </c>
      <c r="N347" s="45"/>
      <c r="O347" s="29"/>
    </row>
    <row r="348" spans="1:15" s="12" customFormat="1" ht="89.25" customHeight="1">
      <c r="A348" s="150" t="s">
        <v>80</v>
      </c>
      <c r="B348" s="94" t="s">
        <v>681</v>
      </c>
      <c r="C348" s="95" t="s">
        <v>17</v>
      </c>
      <c r="D348" s="95"/>
      <c r="E348" s="95"/>
      <c r="F348" s="95"/>
      <c r="G348" s="39"/>
      <c r="H348" s="149">
        <f>SUM(Tabla13267[[#This Row],[PRIMER TRIMESTRE]:[CUARTO TRIMESTRE]])</f>
        <v>0</v>
      </c>
      <c r="I348" s="97">
        <f>39500*1.18</f>
        <v>46610</v>
      </c>
      <c r="J348" s="97">
        <f t="shared" si="9"/>
        <v>0</v>
      </c>
      <c r="K348" s="31"/>
      <c r="L348" s="16" t="s">
        <v>27</v>
      </c>
      <c r="M348" s="28" t="s">
        <v>22</v>
      </c>
      <c r="N348" s="45"/>
      <c r="O348" s="29"/>
    </row>
    <row r="349" spans="1:15" s="12" customFormat="1" ht="89.25" customHeight="1">
      <c r="A349" s="150" t="s">
        <v>80</v>
      </c>
      <c r="B349" s="94" t="s">
        <v>683</v>
      </c>
      <c r="C349" s="95" t="s">
        <v>17</v>
      </c>
      <c r="D349" s="95"/>
      <c r="E349" s="95"/>
      <c r="F349" s="95"/>
      <c r="G349" s="39"/>
      <c r="H349" s="149">
        <f>SUM(Tabla13267[[#This Row],[PRIMER TRIMESTRE]:[CUARTO TRIMESTRE]])</f>
        <v>0</v>
      </c>
      <c r="I349" s="97">
        <v>68487.199999999997</v>
      </c>
      <c r="J349" s="97">
        <f t="shared" si="9"/>
        <v>0</v>
      </c>
      <c r="K349" s="31"/>
      <c r="L349" s="16" t="s">
        <v>27</v>
      </c>
      <c r="M349" s="28" t="s">
        <v>22</v>
      </c>
      <c r="N349" s="45"/>
      <c r="O349" s="29"/>
    </row>
    <row r="350" spans="1:15" s="12" customFormat="1" ht="89.25" customHeight="1">
      <c r="A350" s="129" t="s">
        <v>80</v>
      </c>
      <c r="B350" s="115" t="s">
        <v>682</v>
      </c>
      <c r="C350" s="116" t="s">
        <v>17</v>
      </c>
      <c r="D350" s="116"/>
      <c r="E350" s="116"/>
      <c r="F350" s="116"/>
      <c r="G350" s="39"/>
      <c r="H350" s="128">
        <f>SUM(Tabla13267[[#This Row],[PRIMER TRIMESTRE]:[CUARTO TRIMESTRE]])</f>
        <v>0</v>
      </c>
      <c r="I350" s="118">
        <v>434570.4</v>
      </c>
      <c r="J350" s="118">
        <f t="shared" si="9"/>
        <v>0</v>
      </c>
      <c r="K350" s="31"/>
      <c r="L350" s="16" t="s">
        <v>27</v>
      </c>
      <c r="M350" s="28" t="s">
        <v>22</v>
      </c>
      <c r="N350" s="45"/>
      <c r="O350" s="29"/>
    </row>
    <row r="351" spans="1:15" s="12" customFormat="1" ht="89.25" customHeight="1">
      <c r="A351" s="114" t="s">
        <v>80</v>
      </c>
      <c r="B351" s="115" t="s">
        <v>911</v>
      </c>
      <c r="C351" s="116" t="s">
        <v>17</v>
      </c>
      <c r="D351" s="116"/>
      <c r="E351" s="116"/>
      <c r="F351" s="116"/>
      <c r="G351" s="39"/>
      <c r="H351" s="128">
        <f>SUM(Tabla13267[[#This Row],[PRIMER TRIMESTRE]:[CUARTO TRIMESTRE]])</f>
        <v>0</v>
      </c>
      <c r="I351" s="118"/>
      <c r="J351" s="118">
        <f t="shared" si="9"/>
        <v>0</v>
      </c>
      <c r="K351" s="17"/>
      <c r="L351" s="16"/>
      <c r="M351" s="16"/>
      <c r="N351" s="39"/>
      <c r="O351" s="18"/>
    </row>
    <row r="352" spans="1:15" s="12" customFormat="1" ht="89.25" customHeight="1">
      <c r="A352" s="114" t="s">
        <v>80</v>
      </c>
      <c r="B352" s="115" t="s">
        <v>912</v>
      </c>
      <c r="C352" s="116" t="s">
        <v>17</v>
      </c>
      <c r="D352" s="116"/>
      <c r="E352" s="116"/>
      <c r="F352" s="116"/>
      <c r="G352" s="39"/>
      <c r="H352" s="128">
        <f>SUM(Tabla13267[[#This Row],[PRIMER TRIMESTRE]:[CUARTO TRIMESTRE]])</f>
        <v>0</v>
      </c>
      <c r="I352" s="118"/>
      <c r="J352" s="118">
        <f t="shared" si="9"/>
        <v>0</v>
      </c>
      <c r="K352" s="17"/>
      <c r="L352" s="16"/>
      <c r="M352" s="16"/>
      <c r="N352" s="39"/>
      <c r="O352" s="18"/>
    </row>
    <row r="353" spans="1:16" s="12" customFormat="1" ht="51" customHeight="1">
      <c r="A353" s="15" t="s">
        <v>80</v>
      </c>
      <c r="B353" s="75" t="s">
        <v>634</v>
      </c>
      <c r="C353" s="39" t="s">
        <v>17</v>
      </c>
      <c r="D353" s="39"/>
      <c r="E353" s="39"/>
      <c r="F353" s="39"/>
      <c r="G353" s="39"/>
      <c r="H353" s="41">
        <f>SUM(Tabla13267[[#This Row],[PRIMER TRIMESTRE]:[CUARTO TRIMESTRE]])</f>
        <v>0</v>
      </c>
      <c r="I353" s="17">
        <v>70800</v>
      </c>
      <c r="J353" s="17">
        <f t="shared" si="9"/>
        <v>0</v>
      </c>
      <c r="K353" s="17"/>
      <c r="L353" s="16" t="s">
        <v>27</v>
      </c>
      <c r="M353" s="16" t="s">
        <v>22</v>
      </c>
      <c r="N353" s="39"/>
      <c r="O353" s="18"/>
    </row>
    <row r="354" spans="1:16" s="12" customFormat="1" ht="51" customHeight="1">
      <c r="A354" s="15" t="s">
        <v>80</v>
      </c>
      <c r="B354" s="75" t="s">
        <v>635</v>
      </c>
      <c r="C354" s="39" t="s">
        <v>17</v>
      </c>
      <c r="D354" s="39"/>
      <c r="E354" s="39"/>
      <c r="F354" s="39"/>
      <c r="G354" s="39"/>
      <c r="H354" s="41">
        <f>SUM(Tabla13267[[#This Row],[PRIMER TRIMESTRE]:[CUARTO TRIMESTRE]])</f>
        <v>0</v>
      </c>
      <c r="I354" s="17">
        <v>94400</v>
      </c>
      <c r="J354" s="17">
        <f t="shared" si="9"/>
        <v>0</v>
      </c>
      <c r="K354" s="17"/>
      <c r="L354" s="16" t="s">
        <v>27</v>
      </c>
      <c r="M354" s="16" t="s">
        <v>22</v>
      </c>
      <c r="N354" s="39"/>
      <c r="O354" s="18"/>
    </row>
    <row r="355" spans="1:16" s="12" customFormat="1" ht="51" customHeight="1">
      <c r="A355" s="15" t="s">
        <v>80</v>
      </c>
      <c r="B355" s="75" t="s">
        <v>636</v>
      </c>
      <c r="C355" s="39" t="s">
        <v>17</v>
      </c>
      <c r="D355" s="39"/>
      <c r="E355" s="39"/>
      <c r="F355" s="39"/>
      <c r="G355" s="39"/>
      <c r="H355" s="41">
        <f>SUM(Tabla13267[[#This Row],[PRIMER TRIMESTRE]:[CUARTO TRIMESTRE]])</f>
        <v>0</v>
      </c>
      <c r="I355" s="17">
        <v>106200</v>
      </c>
      <c r="J355" s="17">
        <f t="shared" si="9"/>
        <v>0</v>
      </c>
      <c r="K355" s="17"/>
      <c r="L355" s="16" t="s">
        <v>27</v>
      </c>
      <c r="M355" s="16" t="s">
        <v>22</v>
      </c>
      <c r="N355" s="39"/>
      <c r="O355" s="18"/>
    </row>
    <row r="356" spans="1:16" s="12" customFormat="1" ht="51" customHeight="1">
      <c r="A356" s="15" t="s">
        <v>80</v>
      </c>
      <c r="B356" s="75" t="s">
        <v>637</v>
      </c>
      <c r="C356" s="39" t="s">
        <v>17</v>
      </c>
      <c r="D356" s="39"/>
      <c r="E356" s="39"/>
      <c r="F356" s="39"/>
      <c r="G356" s="39"/>
      <c r="H356" s="41">
        <f>SUM(Tabla13267[[#This Row],[PRIMER TRIMESTRE]:[CUARTO TRIMESTRE]])</f>
        <v>0</v>
      </c>
      <c r="I356" s="17">
        <v>112100</v>
      </c>
      <c r="J356" s="17">
        <f t="shared" si="9"/>
        <v>0</v>
      </c>
      <c r="K356" s="17"/>
      <c r="L356" s="16" t="s">
        <v>27</v>
      </c>
      <c r="M356" s="16" t="s">
        <v>22</v>
      </c>
      <c r="N356" s="39"/>
      <c r="O356" s="18"/>
    </row>
    <row r="357" spans="1:16" s="12" customFormat="1" ht="74.25" customHeight="1">
      <c r="A357" s="15" t="s">
        <v>80</v>
      </c>
      <c r="B357" s="75" t="s">
        <v>684</v>
      </c>
      <c r="C357" s="39" t="s">
        <v>17</v>
      </c>
      <c r="D357" s="39"/>
      <c r="E357" s="39"/>
      <c r="F357" s="39"/>
      <c r="G357" s="39"/>
      <c r="H357" s="41">
        <f>SUM(Tabla13267[[#This Row],[PRIMER TRIMESTRE]:[CUARTO TRIMESTRE]])</f>
        <v>0</v>
      </c>
      <c r="I357" s="17">
        <v>28910</v>
      </c>
      <c r="J357" s="17">
        <f t="shared" si="9"/>
        <v>0</v>
      </c>
      <c r="K357" s="17"/>
      <c r="L357" s="16" t="s">
        <v>27</v>
      </c>
      <c r="M357" s="16" t="s">
        <v>22</v>
      </c>
      <c r="N357" s="39"/>
      <c r="O357" s="18"/>
    </row>
    <row r="358" spans="1:16" s="12" customFormat="1" ht="74.25" customHeight="1">
      <c r="A358" s="15" t="s">
        <v>80</v>
      </c>
      <c r="B358" s="75" t="s">
        <v>685</v>
      </c>
      <c r="C358" s="39" t="s">
        <v>17</v>
      </c>
      <c r="D358" s="39"/>
      <c r="E358" s="39"/>
      <c r="F358" s="39"/>
      <c r="G358" s="39"/>
      <c r="H358" s="41">
        <f>SUM(Tabla13267[[#This Row],[PRIMER TRIMESTRE]:[CUARTO TRIMESTRE]])</f>
        <v>0</v>
      </c>
      <c r="I358" s="17">
        <v>42480</v>
      </c>
      <c r="J358" s="17">
        <f t="shared" si="9"/>
        <v>0</v>
      </c>
      <c r="K358" s="17"/>
      <c r="L358" s="16" t="s">
        <v>27</v>
      </c>
      <c r="M358" s="16" t="s">
        <v>22</v>
      </c>
      <c r="N358" s="39"/>
      <c r="O358" s="18"/>
    </row>
    <row r="359" spans="1:16" s="12" customFormat="1" ht="74.25" customHeight="1">
      <c r="A359" s="15" t="s">
        <v>80</v>
      </c>
      <c r="B359" s="75" t="s">
        <v>686</v>
      </c>
      <c r="C359" s="39" t="s">
        <v>17</v>
      </c>
      <c r="D359" s="39"/>
      <c r="E359" s="39"/>
      <c r="F359" s="39"/>
      <c r="G359" s="39"/>
      <c r="H359" s="41">
        <f>SUM(Tabla13267[[#This Row],[PRIMER TRIMESTRE]:[CUARTO TRIMESTRE]])</f>
        <v>0</v>
      </c>
      <c r="I359" s="17">
        <v>64900</v>
      </c>
      <c r="J359" s="17">
        <f t="shared" si="9"/>
        <v>0</v>
      </c>
      <c r="K359" s="17"/>
      <c r="L359" s="16" t="s">
        <v>27</v>
      </c>
      <c r="M359" s="16" t="s">
        <v>22</v>
      </c>
      <c r="N359" s="39"/>
      <c r="O359" s="18"/>
    </row>
    <row r="360" spans="1:16" s="12" customFormat="1" ht="74.25" customHeight="1">
      <c r="A360" s="15" t="s">
        <v>80</v>
      </c>
      <c r="B360" s="75" t="s">
        <v>687</v>
      </c>
      <c r="C360" s="39" t="s">
        <v>17</v>
      </c>
      <c r="D360" s="39"/>
      <c r="E360" s="39"/>
      <c r="F360" s="39"/>
      <c r="G360" s="39"/>
      <c r="H360" s="41">
        <f>SUM(Tabla13267[[#This Row],[PRIMER TRIMESTRE]:[CUARTO TRIMESTRE]])</f>
        <v>0</v>
      </c>
      <c r="I360" s="17">
        <v>92040</v>
      </c>
      <c r="J360" s="17">
        <f t="shared" si="9"/>
        <v>0</v>
      </c>
      <c r="K360" s="17"/>
      <c r="L360" s="16" t="s">
        <v>27</v>
      </c>
      <c r="M360" s="16" t="s">
        <v>22</v>
      </c>
      <c r="N360" s="39"/>
      <c r="O360" s="18"/>
    </row>
    <row r="361" spans="1:16" s="12" customFormat="1" ht="55.5" customHeight="1">
      <c r="A361" s="152" t="s">
        <v>80</v>
      </c>
      <c r="B361" s="153" t="s">
        <v>688</v>
      </c>
      <c r="C361" s="151" t="s">
        <v>17</v>
      </c>
      <c r="D361" s="151"/>
      <c r="E361" s="151"/>
      <c r="F361" s="151"/>
      <c r="G361" s="39"/>
      <c r="H361" s="154">
        <f>SUM(Tabla13267[[#This Row],[PRIMER TRIMESTRE]:[CUARTO TRIMESTRE]])</f>
        <v>0</v>
      </c>
      <c r="I361" s="155">
        <v>6377.7</v>
      </c>
      <c r="J361" s="155">
        <f t="shared" si="9"/>
        <v>0</v>
      </c>
      <c r="K361" s="31"/>
      <c r="L361" s="17" t="s">
        <v>27</v>
      </c>
      <c r="M361" s="28" t="s">
        <v>22</v>
      </c>
      <c r="N361" s="45"/>
      <c r="O361" s="28"/>
      <c r="P361" s="29"/>
    </row>
    <row r="362" spans="1:16" s="12" customFormat="1" ht="55.5" customHeight="1">
      <c r="A362" s="152" t="s">
        <v>80</v>
      </c>
      <c r="B362" s="153" t="s">
        <v>689</v>
      </c>
      <c r="C362" s="151" t="s">
        <v>17</v>
      </c>
      <c r="D362" s="151"/>
      <c r="E362" s="151"/>
      <c r="F362" s="151"/>
      <c r="G362" s="39"/>
      <c r="H362" s="154">
        <f>SUM(Tabla13267[[#This Row],[PRIMER TRIMESTRE]:[CUARTO TRIMESTRE]])</f>
        <v>0</v>
      </c>
      <c r="I362" s="155">
        <v>6769.1</v>
      </c>
      <c r="J362" s="155">
        <f t="shared" si="9"/>
        <v>0</v>
      </c>
      <c r="K362" s="31"/>
      <c r="L362" s="17" t="s">
        <v>27</v>
      </c>
      <c r="M362" s="28" t="s">
        <v>22</v>
      </c>
      <c r="N362" s="45"/>
      <c r="O362" s="28"/>
      <c r="P362" s="29"/>
    </row>
    <row r="363" spans="1:16" s="12" customFormat="1" ht="55.5" customHeight="1">
      <c r="A363" s="152" t="s">
        <v>80</v>
      </c>
      <c r="B363" s="153" t="s">
        <v>690</v>
      </c>
      <c r="C363" s="151" t="s">
        <v>17</v>
      </c>
      <c r="D363" s="151"/>
      <c r="E363" s="151"/>
      <c r="F363" s="151"/>
      <c r="G363" s="39"/>
      <c r="H363" s="154">
        <f>SUM(Tabla13267[[#This Row],[PRIMER TRIMESTRE]:[CUARTO TRIMESTRE]])</f>
        <v>0</v>
      </c>
      <c r="I363" s="155">
        <v>6890.2</v>
      </c>
      <c r="J363" s="155">
        <f t="shared" si="9"/>
        <v>0</v>
      </c>
      <c r="K363" s="31"/>
      <c r="L363" s="17" t="s">
        <v>27</v>
      </c>
      <c r="M363" s="28" t="s">
        <v>22</v>
      </c>
      <c r="N363" s="45"/>
      <c r="O363" s="28"/>
      <c r="P363" s="29"/>
    </row>
    <row r="364" spans="1:16" s="12" customFormat="1" ht="55.5" customHeight="1">
      <c r="A364" s="156" t="s">
        <v>80</v>
      </c>
      <c r="B364" s="153" t="s">
        <v>905</v>
      </c>
      <c r="C364" s="151" t="s">
        <v>17</v>
      </c>
      <c r="D364" s="151"/>
      <c r="E364" s="151"/>
      <c r="F364" s="151"/>
      <c r="G364" s="39"/>
      <c r="H364" s="154">
        <f>SUM(Tabla13267[[#This Row],[PRIMER TRIMESTRE]:[CUARTO TRIMESTRE]])</f>
        <v>0</v>
      </c>
      <c r="I364" s="155"/>
      <c r="J364" s="109">
        <f>+H364*I364</f>
        <v>0</v>
      </c>
      <c r="K364" s="17"/>
      <c r="L364" s="17"/>
      <c r="M364" s="16"/>
      <c r="N364" s="39"/>
      <c r="O364" s="18"/>
      <c r="P364" s="29"/>
    </row>
    <row r="365" spans="1:16" s="12" customFormat="1" ht="25.5">
      <c r="A365" s="152" t="s">
        <v>80</v>
      </c>
      <c r="B365" s="153" t="s">
        <v>691</v>
      </c>
      <c r="C365" s="151" t="s">
        <v>17</v>
      </c>
      <c r="D365" s="151"/>
      <c r="E365" s="151"/>
      <c r="F365" s="151"/>
      <c r="G365" s="39"/>
      <c r="H365" s="154">
        <f>SUM(Tabla13267[[#This Row],[PRIMER TRIMESTRE]:[CUARTO TRIMESTRE]])</f>
        <v>0</v>
      </c>
      <c r="I365" s="155">
        <f>2500*1.18</f>
        <v>2950</v>
      </c>
      <c r="J365" s="155">
        <f t="shared" si="9"/>
        <v>0</v>
      </c>
      <c r="K365" s="31"/>
      <c r="L365" s="17" t="s">
        <v>27</v>
      </c>
      <c r="M365" s="28" t="s">
        <v>22</v>
      </c>
      <c r="N365" s="45"/>
      <c r="O365" s="28"/>
      <c r="P365" s="29"/>
    </row>
    <row r="366" spans="1:16" s="12" customFormat="1" ht="25.5">
      <c r="A366" s="152" t="s">
        <v>80</v>
      </c>
      <c r="B366" s="153" t="s">
        <v>906</v>
      </c>
      <c r="C366" s="151" t="s">
        <v>17</v>
      </c>
      <c r="D366" s="151"/>
      <c r="E366" s="151"/>
      <c r="F366" s="151"/>
      <c r="G366" s="39"/>
      <c r="H366" s="154">
        <f>SUM(Tabla13267[[#This Row],[PRIMER TRIMESTRE]:[CUARTO TRIMESTRE]])</f>
        <v>0</v>
      </c>
      <c r="I366" s="155"/>
      <c r="J366" s="109">
        <f>+H366*I366</f>
        <v>0</v>
      </c>
      <c r="K366" s="17"/>
      <c r="L366" s="17"/>
      <c r="M366" s="16"/>
      <c r="N366" s="39"/>
      <c r="O366" s="18"/>
      <c r="P366" s="29"/>
    </row>
    <row r="367" spans="1:16" s="12" customFormat="1" ht="25.5">
      <c r="A367" s="152" t="s">
        <v>80</v>
      </c>
      <c r="B367" s="153" t="s">
        <v>692</v>
      </c>
      <c r="C367" s="151" t="s">
        <v>17</v>
      </c>
      <c r="D367" s="151"/>
      <c r="E367" s="151"/>
      <c r="F367" s="151"/>
      <c r="G367" s="39"/>
      <c r="H367" s="154">
        <f>SUM(Tabla13267[[#This Row],[PRIMER TRIMESTRE]:[CUARTO TRIMESTRE]])</f>
        <v>0</v>
      </c>
      <c r="I367" s="155">
        <v>20380.96</v>
      </c>
      <c r="J367" s="155">
        <f t="shared" si="9"/>
        <v>0</v>
      </c>
      <c r="K367" s="31"/>
      <c r="L367" s="17" t="s">
        <v>27</v>
      </c>
      <c r="M367" s="28" t="s">
        <v>22</v>
      </c>
      <c r="N367" s="45"/>
      <c r="O367" s="28"/>
      <c r="P367" s="29"/>
    </row>
    <row r="368" spans="1:16" s="12" customFormat="1" ht="25.5">
      <c r="A368" s="152" t="s">
        <v>80</v>
      </c>
      <c r="B368" s="153" t="s">
        <v>693</v>
      </c>
      <c r="C368" s="151" t="s">
        <v>17</v>
      </c>
      <c r="D368" s="151"/>
      <c r="E368" s="151"/>
      <c r="F368" s="151"/>
      <c r="G368" s="39"/>
      <c r="H368" s="154">
        <f>SUM(Tabla13267[[#This Row],[PRIMER TRIMESTRE]:[CUARTO TRIMESTRE]])</f>
        <v>0</v>
      </c>
      <c r="I368" s="155">
        <v>29236.86</v>
      </c>
      <c r="J368" s="155">
        <f t="shared" si="9"/>
        <v>0</v>
      </c>
      <c r="K368" s="31"/>
      <c r="L368" s="17" t="s">
        <v>27</v>
      </c>
      <c r="M368" s="28" t="s">
        <v>22</v>
      </c>
      <c r="N368" s="45"/>
      <c r="O368" s="28"/>
      <c r="P368" s="29"/>
    </row>
    <row r="369" spans="1:21" s="12" customFormat="1" ht="25.5">
      <c r="A369" s="156" t="s">
        <v>80</v>
      </c>
      <c r="B369" s="153" t="s">
        <v>909</v>
      </c>
      <c r="C369" s="151" t="s">
        <v>17</v>
      </c>
      <c r="D369" s="151"/>
      <c r="E369" s="151"/>
      <c r="F369" s="151"/>
      <c r="G369" s="39"/>
      <c r="H369" s="154">
        <f>SUM(Tabla13267[[#This Row],[PRIMER TRIMESTRE]:[CUARTO TRIMESTRE]])</f>
        <v>0</v>
      </c>
      <c r="I369" s="155"/>
      <c r="J369" s="109">
        <f t="shared" si="9"/>
        <v>0</v>
      </c>
      <c r="K369" s="17"/>
      <c r="L369" s="17"/>
      <c r="M369" s="16"/>
      <c r="N369" s="39"/>
      <c r="O369" s="18"/>
      <c r="P369" s="29"/>
    </row>
    <row r="370" spans="1:21" s="12" customFormat="1" ht="25.5">
      <c r="A370" s="156" t="s">
        <v>80</v>
      </c>
      <c r="B370" s="153" t="s">
        <v>910</v>
      </c>
      <c r="C370" s="151" t="s">
        <v>17</v>
      </c>
      <c r="D370" s="151"/>
      <c r="E370" s="151"/>
      <c r="F370" s="151"/>
      <c r="G370" s="39"/>
      <c r="H370" s="154">
        <f>SUM(Tabla13267[[#This Row],[PRIMER TRIMESTRE]:[CUARTO TRIMESTRE]])</f>
        <v>0</v>
      </c>
      <c r="I370" s="155"/>
      <c r="J370" s="109">
        <f t="shared" si="9"/>
        <v>0</v>
      </c>
      <c r="K370" s="17"/>
      <c r="L370" s="17"/>
      <c r="M370" s="16"/>
      <c r="N370" s="39"/>
      <c r="O370" s="18"/>
      <c r="P370" s="29"/>
    </row>
    <row r="371" spans="1:21" s="12" customFormat="1">
      <c r="A371" s="157" t="s">
        <v>80</v>
      </c>
      <c r="B371" s="158" t="s">
        <v>454</v>
      </c>
      <c r="C371" s="159" t="s">
        <v>17</v>
      </c>
      <c r="D371" s="159"/>
      <c r="E371" s="159"/>
      <c r="F371" s="159"/>
      <c r="G371" s="39"/>
      <c r="H371" s="160">
        <f>SUM(Tabla13267[[#This Row],[PRIMER TRIMESTRE]:[CUARTO TRIMESTRE]])</f>
        <v>0</v>
      </c>
      <c r="I371" s="161">
        <v>236</v>
      </c>
      <c r="J371" s="161">
        <f t="shared" si="9"/>
        <v>0</v>
      </c>
      <c r="K371" s="31"/>
      <c r="L371" s="17" t="s">
        <v>27</v>
      </c>
      <c r="M371" s="28" t="s">
        <v>22</v>
      </c>
      <c r="N371" s="45"/>
      <c r="O371" s="28"/>
      <c r="P371" s="29"/>
    </row>
    <row r="372" spans="1:21" s="12" customFormat="1">
      <c r="A372" s="157" t="s">
        <v>80</v>
      </c>
      <c r="B372" s="158" t="s">
        <v>455</v>
      </c>
      <c r="C372" s="159" t="s">
        <v>17</v>
      </c>
      <c r="D372" s="159"/>
      <c r="E372" s="159"/>
      <c r="F372" s="159"/>
      <c r="G372" s="39"/>
      <c r="H372" s="160">
        <f>SUM(Tabla13267[[#This Row],[PRIMER TRIMESTRE]:[CUARTO TRIMESTRE]])</f>
        <v>0</v>
      </c>
      <c r="I372" s="161">
        <v>344.56</v>
      </c>
      <c r="J372" s="161">
        <f t="shared" si="9"/>
        <v>0</v>
      </c>
      <c r="K372" s="31"/>
      <c r="L372" s="17" t="s">
        <v>27</v>
      </c>
      <c r="M372" s="28" t="s">
        <v>22</v>
      </c>
      <c r="N372" s="45"/>
      <c r="O372" s="28"/>
      <c r="P372" s="29"/>
    </row>
    <row r="373" spans="1:21" s="12" customFormat="1">
      <c r="A373" s="157" t="s">
        <v>80</v>
      </c>
      <c r="B373" s="158" t="s">
        <v>456</v>
      </c>
      <c r="C373" s="159" t="s">
        <v>17</v>
      </c>
      <c r="D373" s="159"/>
      <c r="E373" s="159"/>
      <c r="F373" s="159"/>
      <c r="G373" s="39"/>
      <c r="H373" s="160">
        <f>SUM(Tabla13267[[#This Row],[PRIMER TRIMESTRE]:[CUARTO TRIMESTRE]])</f>
        <v>0</v>
      </c>
      <c r="I373" s="161">
        <v>499.14</v>
      </c>
      <c r="J373" s="161">
        <f t="shared" si="9"/>
        <v>0</v>
      </c>
      <c r="K373" s="31"/>
      <c r="L373" s="17" t="s">
        <v>27</v>
      </c>
      <c r="M373" s="28" t="s">
        <v>22</v>
      </c>
      <c r="N373" s="45"/>
      <c r="O373" s="28"/>
      <c r="P373" s="29"/>
    </row>
    <row r="374" spans="1:21" s="12" customFormat="1">
      <c r="A374" s="157" t="s">
        <v>80</v>
      </c>
      <c r="B374" s="158" t="s">
        <v>457</v>
      </c>
      <c r="C374" s="159" t="s">
        <v>17</v>
      </c>
      <c r="D374" s="159"/>
      <c r="E374" s="159"/>
      <c r="F374" s="159"/>
      <c r="G374" s="39"/>
      <c r="H374" s="160">
        <f>SUM(Tabla13267[[#This Row],[PRIMER TRIMESTRE]:[CUARTO TRIMESTRE]])</f>
        <v>0</v>
      </c>
      <c r="I374" s="161">
        <v>1598.9</v>
      </c>
      <c r="J374" s="161">
        <f t="shared" si="9"/>
        <v>0</v>
      </c>
      <c r="K374" s="31"/>
      <c r="L374" s="17" t="s">
        <v>27</v>
      </c>
      <c r="M374" s="28" t="s">
        <v>22</v>
      </c>
      <c r="N374" s="45"/>
      <c r="O374" s="28"/>
      <c r="P374" s="29"/>
    </row>
    <row r="375" spans="1:21" s="12" customFormat="1">
      <c r="A375" s="157" t="s">
        <v>80</v>
      </c>
      <c r="B375" s="158" t="s">
        <v>458</v>
      </c>
      <c r="C375" s="159" t="s">
        <v>17</v>
      </c>
      <c r="D375" s="159"/>
      <c r="E375" s="159"/>
      <c r="F375" s="159"/>
      <c r="G375" s="39"/>
      <c r="H375" s="160">
        <f>SUM(Tabla13267[[#This Row],[PRIMER TRIMESTRE]:[CUARTO TRIMESTRE]])</f>
        <v>0</v>
      </c>
      <c r="I375" s="161">
        <v>1849.06</v>
      </c>
      <c r="J375" s="161">
        <f t="shared" si="9"/>
        <v>0</v>
      </c>
      <c r="K375" s="31"/>
      <c r="L375" s="17" t="s">
        <v>27</v>
      </c>
      <c r="M375" s="28" t="s">
        <v>22</v>
      </c>
      <c r="N375" s="45"/>
      <c r="O375" s="28"/>
      <c r="P375" s="29"/>
    </row>
    <row r="376" spans="1:21" s="12" customFormat="1">
      <c r="A376" s="162" t="s">
        <v>80</v>
      </c>
      <c r="B376" s="158" t="s">
        <v>801</v>
      </c>
      <c r="C376" s="159" t="s">
        <v>17</v>
      </c>
      <c r="D376" s="159"/>
      <c r="E376" s="159"/>
      <c r="F376" s="159"/>
      <c r="G376" s="39"/>
      <c r="H376" s="160">
        <f>SUM(Tabla13267[[#This Row],[PRIMER TRIMESTRE]:[CUARTO TRIMESTRE]])</f>
        <v>0</v>
      </c>
      <c r="I376" s="161">
        <v>5444</v>
      </c>
      <c r="J376" s="161">
        <f t="shared" si="9"/>
        <v>0</v>
      </c>
      <c r="K376" s="17"/>
      <c r="L376" s="17" t="s">
        <v>27</v>
      </c>
      <c r="M376" s="28" t="s">
        <v>22</v>
      </c>
      <c r="N376" s="39"/>
      <c r="O376" s="18"/>
      <c r="P376" s="29"/>
    </row>
    <row r="377" spans="1:21" s="12" customFormat="1">
      <c r="A377" s="162" t="s">
        <v>80</v>
      </c>
      <c r="B377" s="158" t="s">
        <v>802</v>
      </c>
      <c r="C377" s="159" t="s">
        <v>17</v>
      </c>
      <c r="D377" s="159"/>
      <c r="E377" s="159"/>
      <c r="F377" s="159"/>
      <c r="G377" s="39"/>
      <c r="H377" s="160">
        <f>SUM(Tabla13267[[#This Row],[PRIMER TRIMESTRE]:[CUARTO TRIMESTRE]])</f>
        <v>0</v>
      </c>
      <c r="I377" s="161">
        <v>6844</v>
      </c>
      <c r="J377" s="161">
        <f t="shared" si="9"/>
        <v>0</v>
      </c>
      <c r="K377" s="17"/>
      <c r="L377" s="17" t="s">
        <v>27</v>
      </c>
      <c r="M377" s="28" t="s">
        <v>22</v>
      </c>
      <c r="N377" s="39"/>
      <c r="O377" s="18"/>
      <c r="P377" s="29"/>
    </row>
    <row r="378" spans="1:21" s="26" customFormat="1" ht="26.25" customHeight="1">
      <c r="A378" s="22" t="s">
        <v>80</v>
      </c>
      <c r="B378" s="76"/>
      <c r="C378" s="42"/>
      <c r="D378" s="42"/>
      <c r="E378" s="42"/>
      <c r="F378" s="42"/>
      <c r="G378" s="42"/>
      <c r="H378" s="43"/>
      <c r="I378" s="24"/>
      <c r="J378" s="24"/>
      <c r="K378" s="163">
        <f>SUM(J103:J377)</f>
        <v>23668917.25</v>
      </c>
      <c r="L378" s="23"/>
      <c r="M378" s="23"/>
      <c r="N378" s="42"/>
      <c r="O378" s="24"/>
      <c r="R378" s="27"/>
      <c r="U378" s="23"/>
    </row>
    <row r="379" spans="1:21" s="12" customFormat="1">
      <c r="A379" s="15" t="s">
        <v>81</v>
      </c>
      <c r="B379" s="75" t="s">
        <v>207</v>
      </c>
      <c r="C379" s="39" t="s">
        <v>33</v>
      </c>
      <c r="D379" s="39"/>
      <c r="E379" s="39"/>
      <c r="F379" s="39">
        <v>40</v>
      </c>
      <c r="G379" s="39"/>
      <c r="H379" s="40">
        <f>SUM(Tabla13267[[#This Row],[PRIMER TRIMESTRE]:[CUARTO TRIMESTRE]])</f>
        <v>40</v>
      </c>
      <c r="I379" s="17">
        <v>871.93</v>
      </c>
      <c r="J379" s="17">
        <f>+Tabla13267[[#This Row],[CANTIDAD TOTAL]]*Tabla13267[[#This Row],[PRECIO UNITARIO ESTIMADO]]</f>
        <v>34877.199999999997</v>
      </c>
      <c r="K379" s="17"/>
      <c r="L379" s="16" t="s">
        <v>15</v>
      </c>
      <c r="M379" s="16" t="s">
        <v>22</v>
      </c>
      <c r="N379" s="39" t="s">
        <v>418</v>
      </c>
      <c r="O379" s="20"/>
    </row>
    <row r="380" spans="1:21" s="26" customFormat="1" ht="27.75" customHeight="1">
      <c r="A380" s="22" t="s">
        <v>81</v>
      </c>
      <c r="B380" s="76"/>
      <c r="C380" s="42"/>
      <c r="D380" s="42"/>
      <c r="E380" s="42"/>
      <c r="F380" s="42"/>
      <c r="G380" s="42"/>
      <c r="H380" s="43"/>
      <c r="I380" s="24"/>
      <c r="J380" s="24"/>
      <c r="K380" s="25">
        <f>SUM(J379)</f>
        <v>34877.199999999997</v>
      </c>
      <c r="L380" s="23"/>
      <c r="M380" s="23"/>
      <c r="N380" s="42"/>
      <c r="O380" s="24"/>
      <c r="R380" s="27"/>
      <c r="U380" s="23"/>
    </row>
    <row r="381" spans="1:21" s="12" customFormat="1" ht="34.5" customHeight="1">
      <c r="A381" s="15" t="s">
        <v>94</v>
      </c>
      <c r="B381" s="75" t="s">
        <v>209</v>
      </c>
      <c r="C381" s="39" t="s">
        <v>17</v>
      </c>
      <c r="D381" s="39"/>
      <c r="E381" s="39">
        <v>230</v>
      </c>
      <c r="F381" s="39"/>
      <c r="G381" s="39">
        <v>230</v>
      </c>
      <c r="H381" s="40">
        <f>SUM(Tabla13267[[#This Row],[PRIMER TRIMESTRE]:[CUARTO TRIMESTRE]])</f>
        <v>460</v>
      </c>
      <c r="I381" s="17">
        <v>1417.52</v>
      </c>
      <c r="J381" s="17">
        <f>+Tabla13267[[#This Row],[CANTIDAD TOTAL]]*Tabla13267[[#This Row],[PRECIO UNITARIO ESTIMADO]]</f>
        <v>652059.19999999995</v>
      </c>
      <c r="K381" s="17"/>
      <c r="L381" s="16" t="s">
        <v>15</v>
      </c>
      <c r="M381" s="16" t="s">
        <v>22</v>
      </c>
      <c r="N381" s="39" t="s">
        <v>418</v>
      </c>
      <c r="O381" s="20"/>
    </row>
    <row r="382" spans="1:21" s="26" customFormat="1" ht="27.75" customHeight="1">
      <c r="A382" s="22" t="s">
        <v>94</v>
      </c>
      <c r="B382" s="76"/>
      <c r="C382" s="42"/>
      <c r="D382" s="42"/>
      <c r="E382" s="42"/>
      <c r="F382" s="42"/>
      <c r="G382" s="42"/>
      <c r="H382" s="43"/>
      <c r="I382" s="24"/>
      <c r="J382" s="24"/>
      <c r="K382" s="25">
        <f>SUM(J381:J381)</f>
        <v>652059.19999999995</v>
      </c>
      <c r="L382" s="23"/>
      <c r="M382" s="23"/>
      <c r="N382" s="42"/>
      <c r="O382" s="24"/>
      <c r="R382" s="27"/>
      <c r="U382" s="23"/>
    </row>
    <row r="383" spans="1:21" s="12" customFormat="1" ht="33.75" customHeight="1">
      <c r="A383" s="15" t="s">
        <v>96</v>
      </c>
      <c r="B383" s="75" t="s">
        <v>777</v>
      </c>
      <c r="C383" s="39" t="s">
        <v>17</v>
      </c>
      <c r="D383" s="39"/>
      <c r="E383" s="39">
        <v>100</v>
      </c>
      <c r="F383" s="39"/>
      <c r="G383" s="39">
        <v>100</v>
      </c>
      <c r="H383" s="40">
        <f>SUM(Tabla13267[[#This Row],[PRIMER TRIMESTRE]:[CUARTO TRIMESTRE]])</f>
        <v>200</v>
      </c>
      <c r="I383" s="17">
        <v>275.5</v>
      </c>
      <c r="J383" s="17">
        <f>+Tabla13267[[#This Row],[CANTIDAD TOTAL]]*Tabla13267[[#This Row],[PRECIO UNITARIO ESTIMADO]]</f>
        <v>55100</v>
      </c>
      <c r="K383" s="17"/>
      <c r="L383" s="16" t="s">
        <v>15</v>
      </c>
      <c r="M383" s="16" t="s">
        <v>22</v>
      </c>
      <c r="N383" s="39" t="s">
        <v>418</v>
      </c>
      <c r="O383" s="20"/>
    </row>
    <row r="384" spans="1:21" s="12" customFormat="1" ht="33.75" customHeight="1">
      <c r="A384" s="15" t="s">
        <v>96</v>
      </c>
      <c r="B384" s="75" t="s">
        <v>210</v>
      </c>
      <c r="C384" s="39" t="s">
        <v>17</v>
      </c>
      <c r="D384" s="39"/>
      <c r="E384" s="39">
        <v>60</v>
      </c>
      <c r="F384" s="39"/>
      <c r="G384" s="39">
        <v>60</v>
      </c>
      <c r="H384" s="40">
        <f>SUM(Tabla13267[[#This Row],[PRIMER TRIMESTRE]:[CUARTO TRIMESTRE]])</f>
        <v>120</v>
      </c>
      <c r="I384" s="17">
        <v>194.88</v>
      </c>
      <c r="J384" s="17">
        <f>+Tabla13267[[#This Row],[CANTIDAD TOTAL]]*Tabla13267[[#This Row],[PRECIO UNITARIO ESTIMADO]]</f>
        <v>23385.599999999999</v>
      </c>
      <c r="K384" s="17"/>
      <c r="L384" s="16" t="s">
        <v>15</v>
      </c>
      <c r="M384" s="16" t="s">
        <v>22</v>
      </c>
      <c r="N384" s="39" t="s">
        <v>418</v>
      </c>
      <c r="O384" s="20"/>
    </row>
    <row r="385" spans="1:15" s="12" customFormat="1" ht="33.75" customHeight="1">
      <c r="A385" s="15" t="s">
        <v>96</v>
      </c>
      <c r="B385" s="75" t="s">
        <v>211</v>
      </c>
      <c r="C385" s="39" t="s">
        <v>17</v>
      </c>
      <c r="D385" s="39"/>
      <c r="E385" s="39">
        <v>50</v>
      </c>
      <c r="F385" s="39"/>
      <c r="G385" s="39">
        <v>50</v>
      </c>
      <c r="H385" s="40">
        <f>SUM(Tabla13267[[#This Row],[PRIMER TRIMESTRE]:[CUARTO TRIMESTRE]])</f>
        <v>100</v>
      </c>
      <c r="I385" s="17">
        <v>313.2</v>
      </c>
      <c r="J385" s="17">
        <f>+Tabla13267[[#This Row],[CANTIDAD TOTAL]]*Tabla13267[[#This Row],[PRECIO UNITARIO ESTIMADO]]</f>
        <v>31320</v>
      </c>
      <c r="K385" s="17"/>
      <c r="L385" s="16" t="s">
        <v>15</v>
      </c>
      <c r="M385" s="16" t="s">
        <v>22</v>
      </c>
      <c r="N385" s="39" t="s">
        <v>418</v>
      </c>
      <c r="O385" s="20"/>
    </row>
    <row r="386" spans="1:15" s="12" customFormat="1" ht="31.5">
      <c r="A386" s="15" t="s">
        <v>96</v>
      </c>
      <c r="B386" s="75" t="s">
        <v>803</v>
      </c>
      <c r="C386" s="39" t="s">
        <v>343</v>
      </c>
      <c r="D386" s="39"/>
      <c r="E386" s="39">
        <v>2000</v>
      </c>
      <c r="F386" s="39"/>
      <c r="G386" s="39">
        <v>2000</v>
      </c>
      <c r="H386" s="40">
        <f>SUM(Tabla13267[[#This Row],[PRIMER TRIMESTRE]:[CUARTO TRIMESTRE]])</f>
        <v>4000</v>
      </c>
      <c r="I386" s="72">
        <v>4.41</v>
      </c>
      <c r="J386" s="17">
        <f t="shared" ref="J386:J440" si="10">+H386*I386</f>
        <v>17640</v>
      </c>
      <c r="K386" s="17"/>
      <c r="L386" s="17" t="s">
        <v>27</v>
      </c>
      <c r="M386" s="16" t="s">
        <v>22</v>
      </c>
      <c r="N386" s="39" t="s">
        <v>418</v>
      </c>
      <c r="O386" s="20"/>
    </row>
    <row r="387" spans="1:15" s="12" customFormat="1" ht="31.5">
      <c r="A387" s="15" t="s">
        <v>96</v>
      </c>
      <c r="B387" s="75" t="s">
        <v>804</v>
      </c>
      <c r="C387" s="39" t="s">
        <v>343</v>
      </c>
      <c r="D387" s="39"/>
      <c r="E387" s="39">
        <v>1700</v>
      </c>
      <c r="F387" s="39"/>
      <c r="G387" s="39">
        <v>1700</v>
      </c>
      <c r="H387" s="40">
        <f>SUM(Tabla13267[[#This Row],[PRIMER TRIMESTRE]:[CUARTO TRIMESTRE]])</f>
        <v>3400</v>
      </c>
      <c r="I387" s="17">
        <v>10.54</v>
      </c>
      <c r="J387" s="17">
        <f t="shared" si="10"/>
        <v>35836</v>
      </c>
      <c r="K387" s="17"/>
      <c r="L387" s="17" t="s">
        <v>27</v>
      </c>
      <c r="M387" s="16" t="s">
        <v>22</v>
      </c>
      <c r="N387" s="39" t="s">
        <v>418</v>
      </c>
      <c r="O387" s="20"/>
    </row>
    <row r="388" spans="1:15" s="12" customFormat="1" ht="31.5">
      <c r="A388" s="15" t="s">
        <v>96</v>
      </c>
      <c r="B388" s="75" t="s">
        <v>805</v>
      </c>
      <c r="C388" s="39" t="s">
        <v>343</v>
      </c>
      <c r="D388" s="39"/>
      <c r="E388" s="39">
        <v>1300</v>
      </c>
      <c r="F388" s="39"/>
      <c r="G388" s="39">
        <v>1300</v>
      </c>
      <c r="H388" s="40">
        <f>SUM(Tabla13267[[#This Row],[PRIMER TRIMESTRE]:[CUARTO TRIMESTRE]])</f>
        <v>2600</v>
      </c>
      <c r="I388" s="72">
        <v>16.41</v>
      </c>
      <c r="J388" s="17">
        <f t="shared" si="10"/>
        <v>42666</v>
      </c>
      <c r="K388" s="17"/>
      <c r="L388" s="17" t="s">
        <v>27</v>
      </c>
      <c r="M388" s="16" t="s">
        <v>22</v>
      </c>
      <c r="N388" s="39" t="s">
        <v>418</v>
      </c>
      <c r="O388" s="20"/>
    </row>
    <row r="389" spans="1:15" s="12" customFormat="1" ht="31.5">
      <c r="A389" s="15" t="s">
        <v>96</v>
      </c>
      <c r="B389" s="75" t="s">
        <v>806</v>
      </c>
      <c r="C389" s="39" t="s">
        <v>343</v>
      </c>
      <c r="D389" s="39"/>
      <c r="E389" s="39">
        <v>1300</v>
      </c>
      <c r="F389" s="39"/>
      <c r="G389" s="39">
        <v>1300</v>
      </c>
      <c r="H389" s="40">
        <f>SUM(Tabla13267[[#This Row],[PRIMER TRIMESTRE]:[CUARTO TRIMESTRE]])</f>
        <v>2600</v>
      </c>
      <c r="I389" s="72">
        <v>25.61</v>
      </c>
      <c r="J389" s="17">
        <f t="shared" si="10"/>
        <v>66586</v>
      </c>
      <c r="K389" s="17"/>
      <c r="L389" s="17" t="s">
        <v>27</v>
      </c>
      <c r="M389" s="16" t="s">
        <v>22</v>
      </c>
      <c r="N389" s="39" t="s">
        <v>418</v>
      </c>
      <c r="O389" s="20"/>
    </row>
    <row r="390" spans="1:15" s="12" customFormat="1" ht="31.5">
      <c r="A390" s="15" t="s">
        <v>96</v>
      </c>
      <c r="B390" s="75" t="s">
        <v>807</v>
      </c>
      <c r="C390" s="39" t="s">
        <v>343</v>
      </c>
      <c r="D390" s="39"/>
      <c r="E390" s="39">
        <v>1300</v>
      </c>
      <c r="F390" s="39"/>
      <c r="G390" s="39">
        <v>1300</v>
      </c>
      <c r="H390" s="40">
        <f>SUM(Tabla13267[[#This Row],[PRIMER TRIMESTRE]:[CUARTO TRIMESTRE]])</f>
        <v>2600</v>
      </c>
      <c r="I390" s="72">
        <v>40.869999999999997</v>
      </c>
      <c r="J390" s="17">
        <f t="shared" si="10"/>
        <v>106262</v>
      </c>
      <c r="K390" s="17"/>
      <c r="L390" s="17" t="s">
        <v>27</v>
      </c>
      <c r="M390" s="16" t="s">
        <v>22</v>
      </c>
      <c r="N390" s="39" t="s">
        <v>418</v>
      </c>
      <c r="O390" s="20"/>
    </row>
    <row r="391" spans="1:15" s="12" customFormat="1" ht="31.5">
      <c r="A391" s="15" t="s">
        <v>96</v>
      </c>
      <c r="B391" s="75" t="s">
        <v>808</v>
      </c>
      <c r="C391" s="39" t="s">
        <v>343</v>
      </c>
      <c r="D391" s="39"/>
      <c r="E391" s="39">
        <v>90</v>
      </c>
      <c r="F391" s="39"/>
      <c r="G391" s="39">
        <v>90</v>
      </c>
      <c r="H391" s="40">
        <f>SUM(Tabla13267[[#This Row],[PRIMER TRIMESTRE]:[CUARTO TRIMESTRE]])</f>
        <v>180</v>
      </c>
      <c r="I391" s="72">
        <v>64.05</v>
      </c>
      <c r="J391" s="17">
        <f t="shared" si="10"/>
        <v>11529</v>
      </c>
      <c r="K391" s="17"/>
      <c r="L391" s="17" t="s">
        <v>27</v>
      </c>
      <c r="M391" s="16" t="s">
        <v>22</v>
      </c>
      <c r="N391" s="39" t="s">
        <v>418</v>
      </c>
      <c r="O391" s="20"/>
    </row>
    <row r="392" spans="1:15" s="12" customFormat="1" ht="31.5">
      <c r="A392" s="15" t="s">
        <v>96</v>
      </c>
      <c r="B392" s="75" t="s">
        <v>809</v>
      </c>
      <c r="C392" s="39" t="s">
        <v>343</v>
      </c>
      <c r="D392" s="39"/>
      <c r="E392" s="39">
        <v>600</v>
      </c>
      <c r="F392" s="39"/>
      <c r="G392" s="39">
        <v>600</v>
      </c>
      <c r="H392" s="40">
        <f>SUM(Tabla13267[[#This Row],[PRIMER TRIMESTRE]:[CUARTO TRIMESTRE]])</f>
        <v>1200</v>
      </c>
      <c r="I392" s="72">
        <v>103.14</v>
      </c>
      <c r="J392" s="17">
        <f t="shared" si="10"/>
        <v>123768</v>
      </c>
      <c r="K392" s="17"/>
      <c r="L392" s="17" t="s">
        <v>27</v>
      </c>
      <c r="M392" s="16" t="s">
        <v>22</v>
      </c>
      <c r="N392" s="39" t="s">
        <v>418</v>
      </c>
      <c r="O392" s="20"/>
    </row>
    <row r="393" spans="1:15" s="12" customFormat="1" ht="31.5">
      <c r="A393" s="15" t="s">
        <v>96</v>
      </c>
      <c r="B393" s="75" t="s">
        <v>810</v>
      </c>
      <c r="C393" s="39" t="s">
        <v>343</v>
      </c>
      <c r="D393" s="39"/>
      <c r="E393" s="39">
        <v>600</v>
      </c>
      <c r="F393" s="39"/>
      <c r="G393" s="39">
        <v>600</v>
      </c>
      <c r="H393" s="40">
        <f>SUM(Tabla13267[[#This Row],[PRIMER TRIMESTRE]:[CUARTO TRIMESTRE]])</f>
        <v>1200</v>
      </c>
      <c r="I393" s="17">
        <v>127.96</v>
      </c>
      <c r="J393" s="17">
        <f t="shared" si="10"/>
        <v>153552</v>
      </c>
      <c r="K393" s="17"/>
      <c r="L393" s="17" t="s">
        <v>27</v>
      </c>
      <c r="M393" s="16" t="s">
        <v>22</v>
      </c>
      <c r="N393" s="39" t="s">
        <v>418</v>
      </c>
      <c r="O393" s="20"/>
    </row>
    <row r="394" spans="1:15" s="12" customFormat="1" ht="31.5">
      <c r="A394" s="15" t="s">
        <v>96</v>
      </c>
      <c r="B394" s="75" t="s">
        <v>811</v>
      </c>
      <c r="C394" s="39" t="s">
        <v>343</v>
      </c>
      <c r="D394" s="39"/>
      <c r="E394" s="39">
        <v>300</v>
      </c>
      <c r="F394" s="39"/>
      <c r="G394" s="39">
        <v>300</v>
      </c>
      <c r="H394" s="40">
        <f>SUM(Tabla13267[[#This Row],[PRIMER TRIMESTRE]:[CUARTO TRIMESTRE]])</f>
        <v>600</v>
      </c>
      <c r="I394" s="17">
        <v>159.21</v>
      </c>
      <c r="J394" s="17">
        <f t="shared" si="10"/>
        <v>95526</v>
      </c>
      <c r="K394" s="17"/>
      <c r="L394" s="17" t="s">
        <v>27</v>
      </c>
      <c r="M394" s="16" t="s">
        <v>22</v>
      </c>
      <c r="N394" s="39" t="s">
        <v>418</v>
      </c>
      <c r="O394" s="20"/>
    </row>
    <row r="395" spans="1:15" s="12" customFormat="1" ht="31.5">
      <c r="A395" s="15" t="s">
        <v>96</v>
      </c>
      <c r="B395" s="75" t="s">
        <v>812</v>
      </c>
      <c r="C395" s="39" t="s">
        <v>343</v>
      </c>
      <c r="D395" s="39"/>
      <c r="E395" s="39">
        <v>300</v>
      </c>
      <c r="F395" s="39"/>
      <c r="G395" s="39">
        <v>300</v>
      </c>
      <c r="H395" s="40">
        <f>SUM(Tabla13267[[#This Row],[PRIMER TRIMESTRE]:[CUARTO TRIMESTRE]])</f>
        <v>600</v>
      </c>
      <c r="I395" s="17">
        <v>198.41</v>
      </c>
      <c r="J395" s="17">
        <f t="shared" si="10"/>
        <v>119046</v>
      </c>
      <c r="K395" s="17"/>
      <c r="L395" s="17" t="s">
        <v>27</v>
      </c>
      <c r="M395" s="16" t="s">
        <v>22</v>
      </c>
      <c r="N395" s="39" t="s">
        <v>418</v>
      </c>
      <c r="O395" s="20"/>
    </row>
    <row r="396" spans="1:15" s="12" customFormat="1" ht="31.5">
      <c r="A396" s="15" t="s">
        <v>96</v>
      </c>
      <c r="B396" s="75" t="s">
        <v>813</v>
      </c>
      <c r="C396" s="39" t="s">
        <v>343</v>
      </c>
      <c r="D396" s="39"/>
      <c r="E396" s="39">
        <v>300</v>
      </c>
      <c r="F396" s="39"/>
      <c r="G396" s="39">
        <v>300</v>
      </c>
      <c r="H396" s="40">
        <f>SUM(Tabla13267[[#This Row],[PRIMER TRIMESTRE]:[CUARTO TRIMESTRE]])</f>
        <v>600</v>
      </c>
      <c r="I396" s="17">
        <v>237.63</v>
      </c>
      <c r="J396" s="17">
        <f t="shared" si="10"/>
        <v>142578</v>
      </c>
      <c r="K396" s="17"/>
      <c r="L396" s="17" t="s">
        <v>27</v>
      </c>
      <c r="M396" s="16" t="s">
        <v>22</v>
      </c>
      <c r="N396" s="39" t="s">
        <v>418</v>
      </c>
      <c r="O396" s="20"/>
    </row>
    <row r="397" spans="1:15" s="12" customFormat="1" ht="31.5">
      <c r="A397" s="15" t="s">
        <v>96</v>
      </c>
      <c r="B397" s="75" t="s">
        <v>814</v>
      </c>
      <c r="C397" s="39" t="s">
        <v>343</v>
      </c>
      <c r="D397" s="39"/>
      <c r="E397" s="39">
        <v>300</v>
      </c>
      <c r="F397" s="39"/>
      <c r="G397" s="39">
        <v>300</v>
      </c>
      <c r="H397" s="40">
        <f>SUM(Tabla13267[[#This Row],[PRIMER TRIMESTRE]:[CUARTO TRIMESTRE]])</f>
        <v>600</v>
      </c>
      <c r="I397" s="17">
        <v>333.78</v>
      </c>
      <c r="J397" s="17">
        <f t="shared" si="10"/>
        <v>200267.99999999997</v>
      </c>
      <c r="K397" s="17"/>
      <c r="L397" s="17" t="s">
        <v>27</v>
      </c>
      <c r="M397" s="16" t="s">
        <v>22</v>
      </c>
      <c r="N397" s="39" t="s">
        <v>418</v>
      </c>
      <c r="O397" s="20"/>
    </row>
    <row r="398" spans="1:15" s="12" customFormat="1" ht="31.5">
      <c r="A398" s="15" t="s">
        <v>96</v>
      </c>
      <c r="B398" s="75" t="s">
        <v>815</v>
      </c>
      <c r="C398" s="39" t="s">
        <v>17</v>
      </c>
      <c r="D398" s="39"/>
      <c r="E398" s="39">
        <v>30</v>
      </c>
      <c r="F398" s="39"/>
      <c r="G398" s="39">
        <v>20</v>
      </c>
      <c r="H398" s="40">
        <f>SUM(Tabla13267[[#This Row],[PRIMER TRIMESTRE]:[CUARTO TRIMESTRE]])</f>
        <v>50</v>
      </c>
      <c r="I398" s="17">
        <v>3213.2</v>
      </c>
      <c r="J398" s="17">
        <f t="shared" si="10"/>
        <v>160660</v>
      </c>
      <c r="K398" s="17"/>
      <c r="L398" s="17" t="s">
        <v>27</v>
      </c>
      <c r="M398" s="16" t="s">
        <v>22</v>
      </c>
      <c r="N398" s="39"/>
      <c r="O398" s="20"/>
    </row>
    <row r="399" spans="1:15" s="12" customFormat="1" ht="60.75" customHeight="1">
      <c r="A399" s="15" t="s">
        <v>96</v>
      </c>
      <c r="B399" s="75" t="s">
        <v>816</v>
      </c>
      <c r="C399" s="39" t="s">
        <v>17</v>
      </c>
      <c r="D399" s="39"/>
      <c r="E399" s="70">
        <v>2</v>
      </c>
      <c r="F399" s="39"/>
      <c r="G399" s="39">
        <v>2</v>
      </c>
      <c r="H399" s="40">
        <f>SUM(Tabla13267[[#This Row],[PRIMER TRIMESTRE]:[CUARTO TRIMESTRE]])</f>
        <v>4</v>
      </c>
      <c r="I399" s="72">
        <v>565000</v>
      </c>
      <c r="J399" s="17">
        <f t="shared" si="10"/>
        <v>2260000</v>
      </c>
      <c r="K399" s="17"/>
      <c r="L399" s="16" t="s">
        <v>18</v>
      </c>
      <c r="M399" s="16" t="s">
        <v>19</v>
      </c>
      <c r="N399" s="39"/>
      <c r="O399" s="20"/>
    </row>
    <row r="400" spans="1:15" s="12" customFormat="1" ht="60.75" customHeight="1">
      <c r="A400" s="15" t="s">
        <v>96</v>
      </c>
      <c r="B400" s="75" t="s">
        <v>817</v>
      </c>
      <c r="C400" s="39" t="s">
        <v>17</v>
      </c>
      <c r="D400" s="39"/>
      <c r="E400" s="70">
        <v>1</v>
      </c>
      <c r="F400" s="39"/>
      <c r="G400" s="39">
        <v>2</v>
      </c>
      <c r="H400" s="40">
        <f>SUM(Tabla13267[[#This Row],[PRIMER TRIMESTRE]:[CUARTO TRIMESTRE]])</f>
        <v>3</v>
      </c>
      <c r="I400" s="17">
        <v>461958.2</v>
      </c>
      <c r="J400" s="17">
        <f t="shared" si="10"/>
        <v>1385874.6</v>
      </c>
      <c r="K400" s="17"/>
      <c r="L400" s="16" t="s">
        <v>18</v>
      </c>
      <c r="M400" s="16" t="s">
        <v>19</v>
      </c>
      <c r="N400" s="39"/>
      <c r="O400" s="20"/>
    </row>
    <row r="401" spans="1:15" s="12" customFormat="1" ht="60.75" customHeight="1">
      <c r="A401" s="15" t="s">
        <v>96</v>
      </c>
      <c r="B401" s="75" t="s">
        <v>818</v>
      </c>
      <c r="C401" s="39" t="s">
        <v>17</v>
      </c>
      <c r="D401" s="39"/>
      <c r="E401" s="70">
        <v>2</v>
      </c>
      <c r="F401" s="39"/>
      <c r="G401" s="39">
        <v>3</v>
      </c>
      <c r="H401" s="40">
        <f>SUM(Tabla13267[[#This Row],[PRIMER TRIMESTRE]:[CUARTO TRIMESTRE]])</f>
        <v>5</v>
      </c>
      <c r="I401" s="17">
        <v>580000</v>
      </c>
      <c r="J401" s="17">
        <f t="shared" si="10"/>
        <v>2900000</v>
      </c>
      <c r="K401" s="17"/>
      <c r="L401" s="16" t="s">
        <v>18</v>
      </c>
      <c r="M401" s="16" t="s">
        <v>19</v>
      </c>
      <c r="N401" s="39"/>
      <c r="O401" s="20"/>
    </row>
    <row r="402" spans="1:15" s="12" customFormat="1" ht="60.75" customHeight="1">
      <c r="A402" s="15" t="s">
        <v>96</v>
      </c>
      <c r="B402" s="75" t="s">
        <v>819</v>
      </c>
      <c r="C402" s="39" t="s">
        <v>17</v>
      </c>
      <c r="D402" s="39"/>
      <c r="E402" s="70">
        <v>1</v>
      </c>
      <c r="F402" s="39"/>
      <c r="G402" s="39">
        <v>2</v>
      </c>
      <c r="H402" s="40">
        <f>SUM(Tabla13267[[#This Row],[PRIMER TRIMESTRE]:[CUARTO TRIMESTRE]])</f>
        <v>3</v>
      </c>
      <c r="I402" s="17">
        <v>69429</v>
      </c>
      <c r="J402" s="17">
        <f t="shared" si="10"/>
        <v>208287</v>
      </c>
      <c r="K402" s="17"/>
      <c r="L402" s="16" t="s">
        <v>18</v>
      </c>
      <c r="M402" s="16" t="s">
        <v>19</v>
      </c>
      <c r="N402" s="39"/>
      <c r="O402" s="20"/>
    </row>
    <row r="403" spans="1:15" s="12" customFormat="1" ht="60.75" customHeight="1">
      <c r="A403" s="15" t="s">
        <v>96</v>
      </c>
      <c r="B403" s="75" t="s">
        <v>820</v>
      </c>
      <c r="C403" s="39" t="s">
        <v>17</v>
      </c>
      <c r="D403" s="39"/>
      <c r="E403" s="70">
        <v>1</v>
      </c>
      <c r="F403" s="39"/>
      <c r="G403" s="39">
        <v>2</v>
      </c>
      <c r="H403" s="40">
        <f>SUM(Tabla13267[[#This Row],[PRIMER TRIMESTRE]:[CUARTO TRIMESTRE]])</f>
        <v>3</v>
      </c>
      <c r="I403" s="17">
        <v>70038.45</v>
      </c>
      <c r="J403" s="17">
        <f t="shared" si="10"/>
        <v>210115.34999999998</v>
      </c>
      <c r="K403" s="17"/>
      <c r="L403" s="16" t="s">
        <v>18</v>
      </c>
      <c r="M403" s="16" t="s">
        <v>19</v>
      </c>
      <c r="N403" s="39"/>
      <c r="O403" s="20"/>
    </row>
    <row r="404" spans="1:15" s="12" customFormat="1" ht="60.75" customHeight="1">
      <c r="A404" s="15" t="s">
        <v>96</v>
      </c>
      <c r="B404" s="75" t="s">
        <v>821</v>
      </c>
      <c r="C404" s="39" t="s">
        <v>17</v>
      </c>
      <c r="D404" s="39"/>
      <c r="E404" s="70">
        <v>2</v>
      </c>
      <c r="F404" s="39"/>
      <c r="G404" s="39">
        <v>3</v>
      </c>
      <c r="H404" s="40">
        <f>SUM(Tabla13267[[#This Row],[PRIMER TRIMESTRE]:[CUARTO TRIMESTRE]])</f>
        <v>5</v>
      </c>
      <c r="I404" s="17">
        <v>61630.63</v>
      </c>
      <c r="J404" s="17">
        <f t="shared" si="10"/>
        <v>308153.14999999997</v>
      </c>
      <c r="K404" s="17"/>
      <c r="L404" s="16" t="s">
        <v>18</v>
      </c>
      <c r="M404" s="16" t="s">
        <v>19</v>
      </c>
      <c r="N404" s="39"/>
      <c r="O404" s="20"/>
    </row>
    <row r="405" spans="1:15" s="12" customFormat="1" ht="60.75" customHeight="1">
      <c r="A405" s="15" t="s">
        <v>96</v>
      </c>
      <c r="B405" s="75" t="s">
        <v>822</v>
      </c>
      <c r="C405" s="39" t="s">
        <v>17</v>
      </c>
      <c r="D405" s="39"/>
      <c r="E405" s="70">
        <v>2</v>
      </c>
      <c r="F405" s="39"/>
      <c r="G405" s="39">
        <v>3</v>
      </c>
      <c r="H405" s="40">
        <f>SUM(Tabla13267[[#This Row],[PRIMER TRIMESTRE]:[CUARTO TRIMESTRE]])</f>
        <v>5</v>
      </c>
      <c r="I405" s="17">
        <v>54792</v>
      </c>
      <c r="J405" s="17">
        <f t="shared" si="10"/>
        <v>273960</v>
      </c>
      <c r="K405" s="17"/>
      <c r="L405" s="16" t="s">
        <v>18</v>
      </c>
      <c r="M405" s="16" t="s">
        <v>19</v>
      </c>
      <c r="N405" s="39"/>
      <c r="O405" s="20"/>
    </row>
    <row r="406" spans="1:15" s="12" customFormat="1" ht="60.75" customHeight="1">
      <c r="A406" s="15" t="s">
        <v>96</v>
      </c>
      <c r="B406" s="75" t="s">
        <v>823</v>
      </c>
      <c r="C406" s="39" t="s">
        <v>17</v>
      </c>
      <c r="D406" s="39"/>
      <c r="E406" s="70">
        <v>2</v>
      </c>
      <c r="F406" s="39"/>
      <c r="G406" s="39">
        <v>3</v>
      </c>
      <c r="H406" s="40">
        <f>SUM(Tabla13267[[#This Row],[PRIMER TRIMESTRE]:[CUARTO TRIMESTRE]])</f>
        <v>5</v>
      </c>
      <c r="I406" s="17">
        <v>49560</v>
      </c>
      <c r="J406" s="17">
        <f t="shared" si="10"/>
        <v>247800</v>
      </c>
      <c r="K406" s="17"/>
      <c r="L406" s="16" t="s">
        <v>18</v>
      </c>
      <c r="M406" s="16" t="s">
        <v>19</v>
      </c>
      <c r="N406" s="39"/>
      <c r="O406" s="20"/>
    </row>
    <row r="407" spans="1:15" s="12" customFormat="1" ht="60.75" customHeight="1">
      <c r="A407" s="15" t="s">
        <v>96</v>
      </c>
      <c r="B407" s="75" t="s">
        <v>824</v>
      </c>
      <c r="C407" s="39" t="s">
        <v>17</v>
      </c>
      <c r="D407" s="39"/>
      <c r="E407" s="70">
        <v>2</v>
      </c>
      <c r="F407" s="39"/>
      <c r="G407" s="39">
        <v>3</v>
      </c>
      <c r="H407" s="40">
        <f>SUM(Tabla13267[[#This Row],[PRIMER TRIMESTRE]:[CUARTO TRIMESTRE]])</f>
        <v>5</v>
      </c>
      <c r="I407" s="17">
        <v>46658.86</v>
      </c>
      <c r="J407" s="17">
        <f t="shared" si="10"/>
        <v>233294.3</v>
      </c>
      <c r="K407" s="17"/>
      <c r="L407" s="16" t="s">
        <v>18</v>
      </c>
      <c r="M407" s="16" t="s">
        <v>19</v>
      </c>
      <c r="N407" s="39"/>
      <c r="O407" s="20"/>
    </row>
    <row r="408" spans="1:15" s="12" customFormat="1" ht="60.75" customHeight="1">
      <c r="A408" s="15" t="s">
        <v>96</v>
      </c>
      <c r="B408" s="75" t="s">
        <v>825</v>
      </c>
      <c r="C408" s="39"/>
      <c r="D408" s="39"/>
      <c r="E408" s="70">
        <v>1</v>
      </c>
      <c r="F408" s="39"/>
      <c r="G408" s="39"/>
      <c r="H408" s="40">
        <f>SUM(Tabla13267[[#This Row],[PRIMER TRIMESTRE]:[CUARTO TRIMESTRE]])</f>
        <v>1</v>
      </c>
      <c r="I408" s="17">
        <v>47216.69</v>
      </c>
      <c r="J408" s="17">
        <v>47216.69</v>
      </c>
      <c r="K408" s="17"/>
      <c r="L408" s="16" t="s">
        <v>18</v>
      </c>
      <c r="M408" s="16" t="s">
        <v>19</v>
      </c>
      <c r="N408" s="39"/>
      <c r="O408" s="18"/>
    </row>
    <row r="409" spans="1:15" s="12" customFormat="1" ht="60.75" customHeight="1">
      <c r="A409" s="15" t="s">
        <v>96</v>
      </c>
      <c r="B409" s="75" t="s">
        <v>826</v>
      </c>
      <c r="C409" s="39" t="s">
        <v>17</v>
      </c>
      <c r="D409" s="39"/>
      <c r="E409" s="70">
        <v>2</v>
      </c>
      <c r="F409" s="39"/>
      <c r="G409" s="39">
        <v>3</v>
      </c>
      <c r="H409" s="40">
        <f>SUM(Tabla13267[[#This Row],[PRIMER TRIMESTRE]:[CUARTO TRIMESTRE]])</f>
        <v>5</v>
      </c>
      <c r="I409" s="17">
        <v>59766.34</v>
      </c>
      <c r="J409" s="17">
        <f t="shared" si="10"/>
        <v>298831.69999999995</v>
      </c>
      <c r="K409" s="17"/>
      <c r="L409" s="16" t="s">
        <v>18</v>
      </c>
      <c r="M409" s="16" t="s">
        <v>19</v>
      </c>
      <c r="N409" s="39"/>
      <c r="O409" s="20"/>
    </row>
    <row r="410" spans="1:15" s="12" customFormat="1" ht="31.5">
      <c r="A410" s="15" t="s">
        <v>96</v>
      </c>
      <c r="B410" s="75" t="s">
        <v>827</v>
      </c>
      <c r="C410" s="39" t="s">
        <v>17</v>
      </c>
      <c r="D410" s="39"/>
      <c r="E410" s="70">
        <v>2</v>
      </c>
      <c r="F410" s="39"/>
      <c r="G410" s="39">
        <v>4</v>
      </c>
      <c r="H410" s="40">
        <f>SUM(Tabla13267[[#This Row],[PRIMER TRIMESTRE]:[CUARTO TRIMESTRE]])</f>
        <v>6</v>
      </c>
      <c r="I410" s="17">
        <v>2266.44</v>
      </c>
      <c r="J410" s="17">
        <f t="shared" si="10"/>
        <v>13598.64</v>
      </c>
      <c r="K410" s="17"/>
      <c r="L410" s="16" t="s">
        <v>18</v>
      </c>
      <c r="M410" s="16" t="s">
        <v>22</v>
      </c>
      <c r="N410" s="39"/>
      <c r="O410" s="20"/>
    </row>
    <row r="411" spans="1:15" s="12" customFormat="1" ht="31.5">
      <c r="A411" s="15" t="s">
        <v>96</v>
      </c>
      <c r="B411" s="75" t="s">
        <v>828</v>
      </c>
      <c r="C411" s="39" t="s">
        <v>17</v>
      </c>
      <c r="D411" s="39"/>
      <c r="E411" s="70">
        <v>2</v>
      </c>
      <c r="F411" s="39"/>
      <c r="G411" s="39">
        <v>4</v>
      </c>
      <c r="H411" s="40">
        <f>SUM(Tabla13267[[#This Row],[PRIMER TRIMESTRE]:[CUARTO TRIMESTRE]])</f>
        <v>6</v>
      </c>
      <c r="I411" s="17">
        <v>3112.58</v>
      </c>
      <c r="J411" s="17">
        <f t="shared" si="10"/>
        <v>18675.48</v>
      </c>
      <c r="K411" s="17"/>
      <c r="L411" s="16" t="s">
        <v>18</v>
      </c>
      <c r="M411" s="16" t="s">
        <v>22</v>
      </c>
      <c r="N411" s="39"/>
      <c r="O411" s="20"/>
    </row>
    <row r="412" spans="1:15" s="12" customFormat="1" ht="31.5">
      <c r="A412" s="15" t="s">
        <v>96</v>
      </c>
      <c r="B412" s="75" t="s">
        <v>829</v>
      </c>
      <c r="C412" s="39" t="s">
        <v>17</v>
      </c>
      <c r="D412" s="39"/>
      <c r="E412" s="70">
        <v>2</v>
      </c>
      <c r="F412" s="39"/>
      <c r="G412" s="39">
        <v>4</v>
      </c>
      <c r="H412" s="40">
        <f>SUM(Tabla13267[[#This Row],[PRIMER TRIMESTRE]:[CUARTO TRIMESTRE]])</f>
        <v>6</v>
      </c>
      <c r="I412" s="17">
        <v>4036</v>
      </c>
      <c r="J412" s="17">
        <f t="shared" si="10"/>
        <v>24216</v>
      </c>
      <c r="K412" s="17"/>
      <c r="L412" s="16" t="s">
        <v>18</v>
      </c>
      <c r="M412" s="16" t="s">
        <v>22</v>
      </c>
      <c r="N412" s="39"/>
      <c r="O412" s="20"/>
    </row>
    <row r="413" spans="1:15" s="12" customFormat="1" ht="31.5">
      <c r="A413" s="15" t="s">
        <v>96</v>
      </c>
      <c r="B413" s="75" t="s">
        <v>830</v>
      </c>
      <c r="C413" s="39" t="s">
        <v>17</v>
      </c>
      <c r="D413" s="39"/>
      <c r="E413" s="70">
        <v>5</v>
      </c>
      <c r="F413" s="39"/>
      <c r="G413" s="39">
        <v>5</v>
      </c>
      <c r="H413" s="40">
        <f>SUM(Tabla13267[[#This Row],[PRIMER TRIMESTRE]:[CUARTO TRIMESTRE]])</f>
        <v>10</v>
      </c>
      <c r="I413" s="17">
        <v>4200</v>
      </c>
      <c r="J413" s="17">
        <f t="shared" si="10"/>
        <v>42000</v>
      </c>
      <c r="K413" s="17"/>
      <c r="L413" s="16" t="s">
        <v>18</v>
      </c>
      <c r="M413" s="16" t="s">
        <v>22</v>
      </c>
      <c r="N413" s="39"/>
      <c r="O413" s="20"/>
    </row>
    <row r="414" spans="1:15" s="12" customFormat="1" ht="31.5">
      <c r="A414" s="15" t="s">
        <v>96</v>
      </c>
      <c r="B414" s="75" t="s">
        <v>831</v>
      </c>
      <c r="C414" s="39" t="s">
        <v>17</v>
      </c>
      <c r="D414" s="39"/>
      <c r="E414" s="70">
        <v>3</v>
      </c>
      <c r="F414" s="39"/>
      <c r="G414" s="39">
        <v>3</v>
      </c>
      <c r="H414" s="40">
        <f>SUM(Tabla13267[[#This Row],[PRIMER TRIMESTRE]:[CUARTO TRIMESTRE]])</f>
        <v>6</v>
      </c>
      <c r="I414" s="17">
        <v>14785.13</v>
      </c>
      <c r="J414" s="17">
        <f t="shared" si="10"/>
        <v>88710.78</v>
      </c>
      <c r="K414" s="17"/>
      <c r="L414" s="16" t="s">
        <v>18</v>
      </c>
      <c r="M414" s="16" t="s">
        <v>22</v>
      </c>
      <c r="N414" s="39"/>
      <c r="O414" s="20"/>
    </row>
    <row r="415" spans="1:15" s="12" customFormat="1" ht="31.5">
      <c r="A415" s="15" t="s">
        <v>96</v>
      </c>
      <c r="B415" s="75" t="s">
        <v>832</v>
      </c>
      <c r="C415" s="39" t="s">
        <v>17</v>
      </c>
      <c r="D415" s="39"/>
      <c r="E415" s="39">
        <v>3</v>
      </c>
      <c r="F415" s="39"/>
      <c r="G415" s="39">
        <v>3</v>
      </c>
      <c r="H415" s="40">
        <f>SUM(Tabla13267[[#This Row],[PRIMER TRIMESTRE]:[CUARTO TRIMESTRE]])</f>
        <v>6</v>
      </c>
      <c r="I415" s="17">
        <v>18762</v>
      </c>
      <c r="J415" s="17">
        <f t="shared" si="10"/>
        <v>112572</v>
      </c>
      <c r="K415" s="17"/>
      <c r="L415" s="16" t="s">
        <v>18</v>
      </c>
      <c r="M415" s="16" t="s">
        <v>22</v>
      </c>
      <c r="N415" s="39"/>
      <c r="O415" s="20"/>
    </row>
    <row r="416" spans="1:15" s="12" customFormat="1" ht="31.5">
      <c r="A416" s="15" t="s">
        <v>96</v>
      </c>
      <c r="B416" s="75" t="s">
        <v>833</v>
      </c>
      <c r="C416" s="39" t="s">
        <v>17</v>
      </c>
      <c r="D416" s="39"/>
      <c r="E416" s="39">
        <v>2</v>
      </c>
      <c r="F416" s="39"/>
      <c r="G416" s="39">
        <v>2</v>
      </c>
      <c r="H416" s="40">
        <f>SUM(Tabla13267[[#This Row],[PRIMER TRIMESTRE]:[CUARTO TRIMESTRE]])</f>
        <v>4</v>
      </c>
      <c r="I416" s="17">
        <v>20692.080000000002</v>
      </c>
      <c r="J416" s="17">
        <f t="shared" si="10"/>
        <v>82768.320000000007</v>
      </c>
      <c r="K416" s="17"/>
      <c r="L416" s="16" t="s">
        <v>18</v>
      </c>
      <c r="M416" s="16" t="s">
        <v>22</v>
      </c>
      <c r="N416" s="39"/>
      <c r="O416" s="20"/>
    </row>
    <row r="417" spans="1:15" s="12" customFormat="1" ht="31.5">
      <c r="A417" s="15" t="s">
        <v>96</v>
      </c>
      <c r="B417" s="75" t="s">
        <v>834</v>
      </c>
      <c r="C417" s="39" t="s">
        <v>17</v>
      </c>
      <c r="D417" s="39"/>
      <c r="E417" s="39">
        <v>4</v>
      </c>
      <c r="F417" s="39"/>
      <c r="G417" s="39">
        <v>4</v>
      </c>
      <c r="H417" s="40">
        <f>SUM(Tabla13267[[#This Row],[PRIMER TRIMESTRE]:[CUARTO TRIMESTRE]])</f>
        <v>8</v>
      </c>
      <c r="I417" s="17">
        <v>24187.57</v>
      </c>
      <c r="J417" s="17">
        <f t="shared" si="10"/>
        <v>193500.56</v>
      </c>
      <c r="K417" s="17"/>
      <c r="L417" s="16" t="s">
        <v>18</v>
      </c>
      <c r="M417" s="16" t="s">
        <v>22</v>
      </c>
      <c r="N417" s="39"/>
      <c r="O417" s="20"/>
    </row>
    <row r="418" spans="1:15" s="12" customFormat="1" ht="31.5">
      <c r="A418" s="15" t="s">
        <v>96</v>
      </c>
      <c r="B418" s="75" t="s">
        <v>835</v>
      </c>
      <c r="C418" s="39" t="s">
        <v>17</v>
      </c>
      <c r="D418" s="39"/>
      <c r="E418" s="39">
        <v>2</v>
      </c>
      <c r="F418" s="39"/>
      <c r="G418" s="39">
        <v>2</v>
      </c>
      <c r="H418" s="40">
        <f>SUM(Tabla13267[[#This Row],[PRIMER TRIMESTRE]:[CUARTO TRIMESTRE]])</f>
        <v>4</v>
      </c>
      <c r="I418" s="17">
        <v>29750.19</v>
      </c>
      <c r="J418" s="17">
        <f t="shared" si="10"/>
        <v>119000.76</v>
      </c>
      <c r="K418" s="17"/>
      <c r="L418" s="16" t="s">
        <v>18</v>
      </c>
      <c r="M418" s="16" t="s">
        <v>22</v>
      </c>
      <c r="N418" s="39"/>
      <c r="O418" s="20"/>
    </row>
    <row r="419" spans="1:15" s="12" customFormat="1" ht="31.5">
      <c r="A419" s="15" t="s">
        <v>96</v>
      </c>
      <c r="B419" s="75" t="s">
        <v>836</v>
      </c>
      <c r="C419" s="39" t="s">
        <v>17</v>
      </c>
      <c r="D419" s="39"/>
      <c r="E419" s="39">
        <v>2</v>
      </c>
      <c r="F419" s="39"/>
      <c r="G419" s="39">
        <v>2</v>
      </c>
      <c r="H419" s="40">
        <f>SUM(Tabla13267[[#This Row],[PRIMER TRIMESTRE]:[CUARTO TRIMESTRE]])</f>
        <v>4</v>
      </c>
      <c r="I419" s="17">
        <v>33000</v>
      </c>
      <c r="J419" s="17">
        <f t="shared" si="10"/>
        <v>132000</v>
      </c>
      <c r="K419" s="17"/>
      <c r="L419" s="16" t="s">
        <v>18</v>
      </c>
      <c r="M419" s="16" t="s">
        <v>22</v>
      </c>
      <c r="N419" s="39"/>
      <c r="O419" s="20"/>
    </row>
    <row r="420" spans="1:15" s="12" customFormat="1" ht="50.25" customHeight="1">
      <c r="A420" s="15" t="s">
        <v>96</v>
      </c>
      <c r="B420" s="75" t="s">
        <v>837</v>
      </c>
      <c r="C420" s="39" t="s">
        <v>343</v>
      </c>
      <c r="D420" s="39"/>
      <c r="E420" s="39">
        <v>750</v>
      </c>
      <c r="F420" s="39"/>
      <c r="G420" s="39">
        <v>750</v>
      </c>
      <c r="H420" s="40">
        <f>SUM(Tabla13267[[#This Row],[PRIMER TRIMESTRE]:[CUARTO TRIMESTRE]])</f>
        <v>1500</v>
      </c>
      <c r="I420" s="72">
        <v>17</v>
      </c>
      <c r="J420" s="17">
        <f t="shared" si="10"/>
        <v>25500</v>
      </c>
      <c r="K420" s="17"/>
      <c r="L420" s="16" t="s">
        <v>18</v>
      </c>
      <c r="M420" s="16" t="s">
        <v>22</v>
      </c>
      <c r="N420" s="39"/>
      <c r="O420" s="18"/>
    </row>
    <row r="421" spans="1:15" s="12" customFormat="1" ht="50.25" customHeight="1">
      <c r="A421" s="15" t="s">
        <v>96</v>
      </c>
      <c r="B421" s="75" t="s">
        <v>838</v>
      </c>
      <c r="C421" s="39" t="s">
        <v>343</v>
      </c>
      <c r="D421" s="39"/>
      <c r="E421" s="39">
        <v>700</v>
      </c>
      <c r="F421" s="39"/>
      <c r="G421" s="39">
        <v>700</v>
      </c>
      <c r="H421" s="40">
        <f>SUM(Tabla13267[[#This Row],[PRIMER TRIMESTRE]:[CUARTO TRIMESTRE]])</f>
        <v>1400</v>
      </c>
      <c r="I421" s="17">
        <v>92.28</v>
      </c>
      <c r="J421" s="17">
        <f t="shared" si="10"/>
        <v>129192</v>
      </c>
      <c r="K421" s="17"/>
      <c r="L421" s="16" t="s">
        <v>18</v>
      </c>
      <c r="M421" s="16" t="s">
        <v>22</v>
      </c>
      <c r="N421" s="39"/>
      <c r="O421" s="20"/>
    </row>
    <row r="422" spans="1:15" s="12" customFormat="1" ht="50.25" customHeight="1">
      <c r="A422" s="15" t="s">
        <v>96</v>
      </c>
      <c r="B422" s="75" t="s">
        <v>839</v>
      </c>
      <c r="C422" s="39" t="s">
        <v>343</v>
      </c>
      <c r="D422" s="39"/>
      <c r="E422" s="39">
        <v>750</v>
      </c>
      <c r="F422" s="39"/>
      <c r="G422" s="39">
        <v>750</v>
      </c>
      <c r="H422" s="40">
        <f>SUM(Tabla13267[[#This Row],[PRIMER TRIMESTRE]:[CUARTO TRIMESTRE]])</f>
        <v>1500</v>
      </c>
      <c r="I422" s="17">
        <v>131.91999999999999</v>
      </c>
      <c r="J422" s="17">
        <f t="shared" si="10"/>
        <v>197879.99999999997</v>
      </c>
      <c r="K422" s="17"/>
      <c r="L422" s="16" t="s">
        <v>18</v>
      </c>
      <c r="M422" s="16" t="s">
        <v>22</v>
      </c>
      <c r="N422" s="39"/>
      <c r="O422" s="20"/>
    </row>
    <row r="423" spans="1:15" s="12" customFormat="1" ht="50.25" customHeight="1">
      <c r="A423" s="15" t="s">
        <v>96</v>
      </c>
      <c r="B423" s="75" t="s">
        <v>840</v>
      </c>
      <c r="C423" s="39" t="s">
        <v>343</v>
      </c>
      <c r="D423" s="39"/>
      <c r="E423" s="39">
        <v>600</v>
      </c>
      <c r="F423" s="39"/>
      <c r="G423" s="39">
        <v>600</v>
      </c>
      <c r="H423" s="40">
        <f>SUM(Tabla13267[[#This Row],[PRIMER TRIMESTRE]:[CUARTO TRIMESTRE]])</f>
        <v>1200</v>
      </c>
      <c r="I423" s="17">
        <v>200.68</v>
      </c>
      <c r="J423" s="17">
        <f t="shared" si="10"/>
        <v>240816</v>
      </c>
      <c r="K423" s="17"/>
      <c r="L423" s="16" t="s">
        <v>18</v>
      </c>
      <c r="M423" s="16" t="s">
        <v>22</v>
      </c>
      <c r="N423" s="39"/>
      <c r="O423" s="20"/>
    </row>
    <row r="424" spans="1:15" s="12" customFormat="1" ht="50.25" customHeight="1">
      <c r="A424" s="15" t="s">
        <v>96</v>
      </c>
      <c r="B424" s="75" t="s">
        <v>841</v>
      </c>
      <c r="C424" s="39" t="s">
        <v>343</v>
      </c>
      <c r="D424" s="39"/>
      <c r="E424" s="39">
        <v>600</v>
      </c>
      <c r="F424" s="39"/>
      <c r="G424" s="39">
        <v>600</v>
      </c>
      <c r="H424" s="40">
        <f>SUM(Tabla13267[[#This Row],[PRIMER TRIMESTRE]:[CUARTO TRIMESTRE]])</f>
        <v>1200</v>
      </c>
      <c r="I424" s="17">
        <v>329.66</v>
      </c>
      <c r="J424" s="17">
        <f t="shared" si="10"/>
        <v>395592.00000000006</v>
      </c>
      <c r="K424" s="17"/>
      <c r="L424" s="16" t="s">
        <v>18</v>
      </c>
      <c r="M424" s="16" t="s">
        <v>22</v>
      </c>
      <c r="N424" s="39"/>
      <c r="O424" s="20"/>
    </row>
    <row r="425" spans="1:15" s="12" customFormat="1" ht="50.25" customHeight="1">
      <c r="A425" s="15" t="s">
        <v>96</v>
      </c>
      <c r="B425" s="75" t="s">
        <v>842</v>
      </c>
      <c r="C425" s="39" t="s">
        <v>343</v>
      </c>
      <c r="D425" s="39"/>
      <c r="E425" s="39">
        <v>250</v>
      </c>
      <c r="F425" s="39"/>
      <c r="G425" s="39">
        <v>250</v>
      </c>
      <c r="H425" s="40">
        <f>SUM(Tabla13267[[#This Row],[PRIMER TRIMESTRE]:[CUARTO TRIMESTRE]])</f>
        <v>500</v>
      </c>
      <c r="I425" s="17">
        <v>569.70000000000005</v>
      </c>
      <c r="J425" s="17">
        <f t="shared" si="10"/>
        <v>284850</v>
      </c>
      <c r="K425" s="17"/>
      <c r="L425" s="16" t="s">
        <v>18</v>
      </c>
      <c r="M425" s="16" t="s">
        <v>22</v>
      </c>
      <c r="N425" s="39"/>
      <c r="O425" s="20"/>
    </row>
    <row r="426" spans="1:15" s="12" customFormat="1" ht="50.25" customHeight="1">
      <c r="A426" s="15" t="s">
        <v>96</v>
      </c>
      <c r="B426" s="75" t="s">
        <v>843</v>
      </c>
      <c r="C426" s="39" t="s">
        <v>17</v>
      </c>
      <c r="D426" s="39"/>
      <c r="E426" s="39">
        <v>10</v>
      </c>
      <c r="F426" s="39"/>
      <c r="G426" s="39">
        <v>10</v>
      </c>
      <c r="H426" s="40">
        <f>SUM(Tabla13267[[#This Row],[PRIMER TRIMESTRE]:[CUARTO TRIMESTRE]])</f>
        <v>20</v>
      </c>
      <c r="I426" s="17">
        <v>4270</v>
      </c>
      <c r="J426" s="17">
        <f t="shared" si="10"/>
        <v>85400</v>
      </c>
      <c r="K426" s="17"/>
      <c r="L426" s="16" t="s">
        <v>18</v>
      </c>
      <c r="M426" s="16" t="s">
        <v>22</v>
      </c>
      <c r="N426" s="39"/>
      <c r="O426" s="20"/>
    </row>
    <row r="427" spans="1:15" s="12" customFormat="1" ht="50.25" customHeight="1">
      <c r="A427" s="15" t="s">
        <v>96</v>
      </c>
      <c r="B427" s="75" t="s">
        <v>844</v>
      </c>
      <c r="C427" s="39" t="s">
        <v>17</v>
      </c>
      <c r="D427" s="39"/>
      <c r="E427" s="39">
        <v>10</v>
      </c>
      <c r="F427" s="39"/>
      <c r="G427" s="39">
        <v>10</v>
      </c>
      <c r="H427" s="40">
        <f>SUM(Tabla13267[[#This Row],[PRIMER TRIMESTRE]:[CUARTO TRIMESTRE]])</f>
        <v>20</v>
      </c>
      <c r="I427" s="17">
        <v>4320</v>
      </c>
      <c r="J427" s="17">
        <f t="shared" si="10"/>
        <v>86400</v>
      </c>
      <c r="K427" s="17"/>
      <c r="L427" s="16" t="s">
        <v>18</v>
      </c>
      <c r="M427" s="16" t="s">
        <v>22</v>
      </c>
      <c r="N427" s="39"/>
      <c r="O427" s="20"/>
    </row>
    <row r="428" spans="1:15" s="12" customFormat="1" ht="50.25" customHeight="1">
      <c r="A428" s="15" t="s">
        <v>96</v>
      </c>
      <c r="B428" s="75" t="s">
        <v>845</v>
      </c>
      <c r="C428" s="39" t="s">
        <v>17</v>
      </c>
      <c r="D428" s="39"/>
      <c r="E428" s="39">
        <v>10</v>
      </c>
      <c r="F428" s="39"/>
      <c r="G428" s="39">
        <v>10</v>
      </c>
      <c r="H428" s="40">
        <f>SUM(Tabla13267[[#This Row],[PRIMER TRIMESTRE]:[CUARTO TRIMESTRE]])</f>
        <v>20</v>
      </c>
      <c r="I428" s="17">
        <v>4560</v>
      </c>
      <c r="J428" s="17">
        <f t="shared" si="10"/>
        <v>91200</v>
      </c>
      <c r="K428" s="17"/>
      <c r="L428" s="16" t="s">
        <v>18</v>
      </c>
      <c r="M428" s="16" t="s">
        <v>22</v>
      </c>
      <c r="N428" s="39"/>
      <c r="O428" s="20"/>
    </row>
    <row r="429" spans="1:15" s="12" customFormat="1" ht="50.25" customHeight="1">
      <c r="A429" s="15" t="s">
        <v>96</v>
      </c>
      <c r="B429" s="75" t="s">
        <v>846</v>
      </c>
      <c r="C429" s="39" t="s">
        <v>17</v>
      </c>
      <c r="D429" s="39"/>
      <c r="E429" s="39">
        <v>12</v>
      </c>
      <c r="F429" s="39"/>
      <c r="G429" s="39">
        <v>12</v>
      </c>
      <c r="H429" s="40">
        <f>SUM(Tabla13267[[#This Row],[PRIMER TRIMESTRE]:[CUARTO TRIMESTRE]])</f>
        <v>24</v>
      </c>
      <c r="I429" s="17">
        <v>5684</v>
      </c>
      <c r="J429" s="17">
        <f t="shared" si="10"/>
        <v>136416</v>
      </c>
      <c r="K429" s="17"/>
      <c r="L429" s="16" t="s">
        <v>18</v>
      </c>
      <c r="M429" s="16" t="s">
        <v>22</v>
      </c>
      <c r="N429" s="39"/>
      <c r="O429" s="20"/>
    </row>
    <row r="430" spans="1:15" s="12" customFormat="1" ht="50.25" customHeight="1">
      <c r="A430" s="15" t="s">
        <v>96</v>
      </c>
      <c r="B430" s="75" t="s">
        <v>847</v>
      </c>
      <c r="C430" s="39" t="s">
        <v>17</v>
      </c>
      <c r="D430" s="39"/>
      <c r="E430" s="39">
        <v>10</v>
      </c>
      <c r="F430" s="39"/>
      <c r="G430" s="39">
        <v>10</v>
      </c>
      <c r="H430" s="40">
        <f>SUM(Tabla13267[[#This Row],[PRIMER TRIMESTRE]:[CUARTO TRIMESTRE]])</f>
        <v>20</v>
      </c>
      <c r="I430" s="17">
        <v>5300</v>
      </c>
      <c r="J430" s="17">
        <f t="shared" si="10"/>
        <v>106000</v>
      </c>
      <c r="K430" s="17"/>
      <c r="L430" s="16" t="s">
        <v>18</v>
      </c>
      <c r="M430" s="16" t="s">
        <v>22</v>
      </c>
      <c r="N430" s="39"/>
      <c r="O430" s="20"/>
    </row>
    <row r="431" spans="1:15" s="12" customFormat="1" ht="39.75" customHeight="1">
      <c r="A431" s="15" t="s">
        <v>96</v>
      </c>
      <c r="B431" s="75" t="s">
        <v>848</v>
      </c>
      <c r="C431" s="39" t="s">
        <v>17</v>
      </c>
      <c r="D431" s="39"/>
      <c r="E431" s="39">
        <v>10</v>
      </c>
      <c r="F431" s="39"/>
      <c r="G431" s="39">
        <v>10</v>
      </c>
      <c r="H431" s="40">
        <f>SUM(Tabla13267[[#This Row],[PRIMER TRIMESTRE]:[CUARTO TRIMESTRE]])</f>
        <v>20</v>
      </c>
      <c r="I431" s="17">
        <v>4958</v>
      </c>
      <c r="J431" s="17">
        <f t="shared" si="10"/>
        <v>99160</v>
      </c>
      <c r="K431" s="17"/>
      <c r="L431" s="16" t="s">
        <v>18</v>
      </c>
      <c r="M431" s="16" t="s">
        <v>22</v>
      </c>
      <c r="N431" s="39"/>
      <c r="O431" s="20"/>
    </row>
    <row r="432" spans="1:15" s="12" customFormat="1" ht="39.75" customHeight="1">
      <c r="A432" s="15" t="s">
        <v>96</v>
      </c>
      <c r="B432" s="75" t="s">
        <v>849</v>
      </c>
      <c r="C432" s="39" t="s">
        <v>17</v>
      </c>
      <c r="D432" s="39"/>
      <c r="E432" s="39">
        <v>10</v>
      </c>
      <c r="F432" s="39"/>
      <c r="G432" s="39">
        <v>10</v>
      </c>
      <c r="H432" s="40">
        <f>SUM(Tabla13267[[#This Row],[PRIMER TRIMESTRE]:[CUARTO TRIMESTRE]])</f>
        <v>20</v>
      </c>
      <c r="I432" s="17">
        <v>6958</v>
      </c>
      <c r="J432" s="17">
        <f t="shared" si="10"/>
        <v>139160</v>
      </c>
      <c r="K432" s="17"/>
      <c r="L432" s="16" t="s">
        <v>18</v>
      </c>
      <c r="M432" s="16" t="s">
        <v>22</v>
      </c>
      <c r="N432" s="39"/>
      <c r="O432" s="20"/>
    </row>
    <row r="433" spans="1:15" s="12" customFormat="1" ht="39.75" customHeight="1">
      <c r="A433" s="15" t="s">
        <v>96</v>
      </c>
      <c r="B433" s="75" t="s">
        <v>850</v>
      </c>
      <c r="C433" s="39" t="s">
        <v>17</v>
      </c>
      <c r="D433" s="39"/>
      <c r="E433" s="39">
        <v>10</v>
      </c>
      <c r="F433" s="39"/>
      <c r="G433" s="39">
        <v>10</v>
      </c>
      <c r="H433" s="40">
        <f>SUM(Tabla13267[[#This Row],[PRIMER TRIMESTRE]:[CUARTO TRIMESTRE]])</f>
        <v>20</v>
      </c>
      <c r="I433" s="17">
        <v>7050</v>
      </c>
      <c r="J433" s="17">
        <f t="shared" si="10"/>
        <v>141000</v>
      </c>
      <c r="K433" s="17"/>
      <c r="L433" s="16" t="s">
        <v>18</v>
      </c>
      <c r="M433" s="16" t="s">
        <v>22</v>
      </c>
      <c r="N433" s="39"/>
      <c r="O433" s="20"/>
    </row>
    <row r="434" spans="1:15" s="12" customFormat="1" ht="39.75" customHeight="1">
      <c r="A434" s="15" t="s">
        <v>96</v>
      </c>
      <c r="B434" s="75" t="s">
        <v>851</v>
      </c>
      <c r="C434" s="39" t="s">
        <v>17</v>
      </c>
      <c r="D434" s="39"/>
      <c r="E434" s="39">
        <v>12</v>
      </c>
      <c r="F434" s="39"/>
      <c r="G434" s="39">
        <v>12</v>
      </c>
      <c r="H434" s="40">
        <f>SUM(Tabla13267[[#This Row],[PRIMER TRIMESTRE]:[CUARTO TRIMESTRE]])</f>
        <v>24</v>
      </c>
      <c r="I434" s="17">
        <v>7950</v>
      </c>
      <c r="J434" s="17">
        <f t="shared" si="10"/>
        <v>190800</v>
      </c>
      <c r="K434" s="17"/>
      <c r="L434" s="16" t="s">
        <v>18</v>
      </c>
      <c r="M434" s="16" t="s">
        <v>22</v>
      </c>
      <c r="N434" s="39"/>
      <c r="O434" s="20"/>
    </row>
    <row r="435" spans="1:15" s="12" customFormat="1" ht="39.75" customHeight="1">
      <c r="A435" s="15" t="s">
        <v>96</v>
      </c>
      <c r="B435" s="75" t="s">
        <v>852</v>
      </c>
      <c r="C435" s="39" t="s">
        <v>17</v>
      </c>
      <c r="D435" s="39"/>
      <c r="E435" s="39">
        <v>10</v>
      </c>
      <c r="F435" s="39"/>
      <c r="G435" s="39">
        <v>10</v>
      </c>
      <c r="H435" s="40">
        <f>SUM(Tabla13267[[#This Row],[PRIMER TRIMESTRE]:[CUARTO TRIMESTRE]])</f>
        <v>20</v>
      </c>
      <c r="I435" s="17">
        <v>8338.15</v>
      </c>
      <c r="J435" s="17">
        <f t="shared" si="10"/>
        <v>166763</v>
      </c>
      <c r="K435" s="17"/>
      <c r="L435" s="16" t="s">
        <v>18</v>
      </c>
      <c r="M435" s="16" t="s">
        <v>22</v>
      </c>
      <c r="N435" s="39"/>
      <c r="O435" s="20"/>
    </row>
    <row r="436" spans="1:15" s="12" customFormat="1" ht="39.75" customHeight="1">
      <c r="A436" s="15" t="s">
        <v>96</v>
      </c>
      <c r="B436" s="75" t="s">
        <v>853</v>
      </c>
      <c r="C436" s="39" t="s">
        <v>17</v>
      </c>
      <c r="D436" s="39"/>
      <c r="E436" s="39">
        <v>10</v>
      </c>
      <c r="F436" s="39"/>
      <c r="G436" s="39">
        <v>10</v>
      </c>
      <c r="H436" s="40">
        <f>SUM(Tabla13267[[#This Row],[PRIMER TRIMESTRE]:[CUARTO TRIMESTRE]])</f>
        <v>20</v>
      </c>
      <c r="I436" s="17">
        <v>9900.17</v>
      </c>
      <c r="J436" s="17">
        <f t="shared" si="10"/>
        <v>198003.4</v>
      </c>
      <c r="K436" s="17"/>
      <c r="L436" s="16" t="s">
        <v>18</v>
      </c>
      <c r="M436" s="16" t="s">
        <v>22</v>
      </c>
      <c r="N436" s="39"/>
      <c r="O436" s="20"/>
    </row>
    <row r="437" spans="1:15" s="12" customFormat="1" ht="47.25">
      <c r="A437" s="15" t="s">
        <v>96</v>
      </c>
      <c r="B437" s="16" t="str">
        <f ca="1">+UPPER(Tabla13267[[#This Row],[DESCRIPCIÓN DE LA COMPRA O CONTRATACIÓN]])</f>
        <v>MONITORES DE FASE A 460 VOLTIOS, CONTRA PÉRDIDA DE FASE E INVERSIÓN DE GIRO CON SU BASE</v>
      </c>
      <c r="C437" s="39" t="s">
        <v>17</v>
      </c>
      <c r="D437" s="39"/>
      <c r="E437" s="39">
        <v>120</v>
      </c>
      <c r="F437" s="39"/>
      <c r="G437" s="39">
        <v>120</v>
      </c>
      <c r="H437" s="40">
        <f>SUM(Tabla13267[[#This Row],[PRIMER TRIMESTRE]:[CUARTO TRIMESTRE]])</f>
        <v>240</v>
      </c>
      <c r="I437" s="17">
        <v>2018.4</v>
      </c>
      <c r="J437" s="17">
        <f t="shared" si="10"/>
        <v>484416</v>
      </c>
      <c r="K437" s="17"/>
      <c r="L437" s="16" t="s">
        <v>18</v>
      </c>
      <c r="M437" s="16" t="s">
        <v>22</v>
      </c>
      <c r="N437" s="39"/>
      <c r="O437" s="20"/>
    </row>
    <row r="438" spans="1:15" s="12" customFormat="1" ht="47.25">
      <c r="A438" s="15" t="s">
        <v>96</v>
      </c>
      <c r="B438" s="16" t="str">
        <f ca="1">+UPPER(Tabla13267[[#This Row],[DESCRIPCIÓN DE LA COMPRA O CONTRATACIÓN]])</f>
        <v>MONITORES DE FASE A 230 VOLTIOS, CONTRA PÉRDIDA DE FASE E INVERSIÓN DE GIRO CON SU BASE</v>
      </c>
      <c r="C438" s="39" t="s">
        <v>17</v>
      </c>
      <c r="D438" s="39"/>
      <c r="E438" s="39">
        <v>45</v>
      </c>
      <c r="F438" s="39"/>
      <c r="G438" s="39">
        <v>45</v>
      </c>
      <c r="H438" s="40">
        <f>SUM(Tabla13267[[#This Row],[PRIMER TRIMESTRE]:[CUARTO TRIMESTRE]])</f>
        <v>90</v>
      </c>
      <c r="I438" s="17">
        <v>2540.06</v>
      </c>
      <c r="J438" s="17">
        <f t="shared" si="10"/>
        <v>228605.4</v>
      </c>
      <c r="K438" s="17"/>
      <c r="L438" s="16" t="s">
        <v>18</v>
      </c>
      <c r="M438" s="16" t="s">
        <v>22</v>
      </c>
      <c r="N438" s="39"/>
      <c r="O438" s="20"/>
    </row>
    <row r="439" spans="1:15" s="12" customFormat="1" ht="31.5">
      <c r="A439" s="15" t="s">
        <v>96</v>
      </c>
      <c r="B439" s="75" t="s">
        <v>854</v>
      </c>
      <c r="C439" s="39" t="s">
        <v>17</v>
      </c>
      <c r="D439" s="39"/>
      <c r="E439" s="70">
        <v>2</v>
      </c>
      <c r="F439" s="39"/>
      <c r="G439" s="39">
        <v>4</v>
      </c>
      <c r="H439" s="40">
        <f>SUM(Tabla13267[[#This Row],[PRIMER TRIMESTRE]:[CUARTO TRIMESTRE]])</f>
        <v>6</v>
      </c>
      <c r="I439" s="72">
        <v>21949.98</v>
      </c>
      <c r="J439" s="17">
        <f t="shared" si="10"/>
        <v>131699.88</v>
      </c>
      <c r="K439" s="17"/>
      <c r="L439" s="16" t="s">
        <v>18</v>
      </c>
      <c r="M439" s="16" t="s">
        <v>19</v>
      </c>
      <c r="N439" s="39"/>
      <c r="O439" s="18"/>
    </row>
    <row r="440" spans="1:15" s="12" customFormat="1" ht="31.5">
      <c r="A440" s="15" t="s">
        <v>96</v>
      </c>
      <c r="B440" s="75" t="s">
        <v>855</v>
      </c>
      <c r="C440" s="39" t="s">
        <v>17</v>
      </c>
      <c r="D440" s="39"/>
      <c r="E440" s="70">
        <v>2</v>
      </c>
      <c r="F440" s="39"/>
      <c r="G440" s="39">
        <v>4</v>
      </c>
      <c r="H440" s="40">
        <f>SUM(Tabla13267[[#This Row],[PRIMER TRIMESTRE]:[CUARTO TRIMESTRE]])</f>
        <v>6</v>
      </c>
      <c r="I440" s="72">
        <v>28382.54</v>
      </c>
      <c r="J440" s="17">
        <f t="shared" si="10"/>
        <v>170295.24</v>
      </c>
      <c r="K440" s="17"/>
      <c r="L440" s="16" t="s">
        <v>18</v>
      </c>
      <c r="M440" s="16" t="s">
        <v>19</v>
      </c>
      <c r="N440" s="39"/>
      <c r="O440" s="18"/>
    </row>
    <row r="441" spans="1:15" s="12" customFormat="1" ht="47.25">
      <c r="A441" s="15" t="s">
        <v>96</v>
      </c>
      <c r="B441" s="16" t="str">
        <f ca="1">+UPPER(Tabla13267[[#This Row],[DESCRIPCIÓN DE LA COMPRA O CONTRATACIÓN]])</f>
        <v>MOTORES ELÉCTRICOS SUMERGIBLES, 3Ø, 230 /460 VOLTIOS, 60HZ, 1.15 FS, 3,450 RPM 7.5 HP NEMA 6</v>
      </c>
      <c r="C441" s="39" t="s">
        <v>17</v>
      </c>
      <c r="D441" s="39"/>
      <c r="E441" s="70">
        <v>2</v>
      </c>
      <c r="F441" s="39"/>
      <c r="G441" s="39">
        <v>3</v>
      </c>
      <c r="H441" s="40">
        <f>SUM(Tabla13267[[#This Row],[PRIMER TRIMESTRE]:[CUARTO TRIMESTRE]])</f>
        <v>5</v>
      </c>
      <c r="I441" s="72">
        <v>112200</v>
      </c>
      <c r="J441" s="17">
        <f>+H441*I441</f>
        <v>561000</v>
      </c>
      <c r="K441" s="17"/>
      <c r="L441" s="16" t="s">
        <v>18</v>
      </c>
      <c r="M441" s="16" t="s">
        <v>19</v>
      </c>
      <c r="N441" s="39"/>
      <c r="O441" s="18"/>
    </row>
    <row r="442" spans="1:15" s="12" customFormat="1" ht="47.25">
      <c r="A442" s="15" t="s">
        <v>96</v>
      </c>
      <c r="B442" s="16" t="str">
        <f ca="1">+UPPER(Tabla13267[[#This Row],[DESCRIPCIÓN DE LA COMPRA O CONTRATACIÓN]])</f>
        <v>MOTORES ELÉCTRICOS SUMERGIBLES, 3Ø, 230 /460 VOLTIOS, 60HZ, 1.15 FS, 3,450 RPM 20 HP NEMA 6</v>
      </c>
      <c r="C442" s="39" t="s">
        <v>17</v>
      </c>
      <c r="D442" s="39"/>
      <c r="E442" s="70">
        <v>6</v>
      </c>
      <c r="F442" s="39"/>
      <c r="G442" s="39">
        <v>3</v>
      </c>
      <c r="H442" s="40">
        <f>SUM(Tabla13267[[#This Row],[PRIMER TRIMESTRE]:[CUARTO TRIMESTRE]])</f>
        <v>9</v>
      </c>
      <c r="I442" s="17">
        <v>63826.21</v>
      </c>
      <c r="J442" s="17">
        <f t="shared" ref="J442:J470" si="11">+H442*I442</f>
        <v>574435.89</v>
      </c>
      <c r="K442" s="17"/>
      <c r="L442" s="16" t="s">
        <v>18</v>
      </c>
      <c r="M442" s="16" t="s">
        <v>19</v>
      </c>
      <c r="N442" s="39"/>
      <c r="O442" s="20"/>
    </row>
    <row r="443" spans="1:15" s="12" customFormat="1" ht="31.5" customHeight="1">
      <c r="A443" s="15" t="s">
        <v>96</v>
      </c>
      <c r="B443" s="75" t="s">
        <v>856</v>
      </c>
      <c r="C443" s="39" t="s">
        <v>17</v>
      </c>
      <c r="D443" s="39"/>
      <c r="E443" s="70">
        <v>5</v>
      </c>
      <c r="F443" s="39"/>
      <c r="G443" s="39">
        <v>3</v>
      </c>
      <c r="H443" s="40">
        <f>SUM(Tabla13267[[#This Row],[PRIMER TRIMESTRE]:[CUARTO TRIMESTRE]])</f>
        <v>8</v>
      </c>
      <c r="I443" s="17">
        <v>79201.600000000006</v>
      </c>
      <c r="J443" s="17">
        <f t="shared" si="11"/>
        <v>633612.80000000005</v>
      </c>
      <c r="K443" s="31"/>
      <c r="L443" s="16" t="s">
        <v>18</v>
      </c>
      <c r="M443" s="28" t="s">
        <v>19</v>
      </c>
      <c r="N443" s="45"/>
      <c r="O443" s="20"/>
    </row>
    <row r="444" spans="1:15" s="12" customFormat="1" ht="35.25" customHeight="1">
      <c r="A444" s="15" t="s">
        <v>96</v>
      </c>
      <c r="B444" s="75" t="s">
        <v>857</v>
      </c>
      <c r="C444" s="39" t="s">
        <v>17</v>
      </c>
      <c r="D444" s="39"/>
      <c r="E444" s="70">
        <v>5</v>
      </c>
      <c r="F444" s="39"/>
      <c r="G444" s="39">
        <v>3</v>
      </c>
      <c r="H444" s="40">
        <f>SUM(Tabla13267[[#This Row],[PRIMER TRIMESTRE]:[CUARTO TRIMESTRE]])</f>
        <v>8</v>
      </c>
      <c r="I444" s="17">
        <v>96701</v>
      </c>
      <c r="J444" s="17">
        <f t="shared" si="11"/>
        <v>773608</v>
      </c>
      <c r="K444" s="31"/>
      <c r="L444" s="16" t="s">
        <v>18</v>
      </c>
      <c r="M444" s="28" t="s">
        <v>19</v>
      </c>
      <c r="N444" s="45"/>
      <c r="O444" s="20"/>
    </row>
    <row r="445" spans="1:15" s="12" customFormat="1" ht="31.5" customHeight="1">
      <c r="A445" s="15" t="s">
        <v>96</v>
      </c>
      <c r="B445" s="75" t="s">
        <v>858</v>
      </c>
      <c r="C445" s="39" t="s">
        <v>17</v>
      </c>
      <c r="D445" s="39"/>
      <c r="E445" s="70">
        <v>4</v>
      </c>
      <c r="F445" s="39"/>
      <c r="G445" s="39">
        <v>3</v>
      </c>
      <c r="H445" s="40">
        <f>SUM(Tabla13267[[#This Row],[PRIMER TRIMESTRE]:[CUARTO TRIMESTRE]])</f>
        <v>7</v>
      </c>
      <c r="I445" s="17">
        <v>120944.77</v>
      </c>
      <c r="J445" s="17">
        <f t="shared" si="11"/>
        <v>846613.39</v>
      </c>
      <c r="K445" s="31"/>
      <c r="L445" s="16" t="s">
        <v>18</v>
      </c>
      <c r="M445" s="28" t="s">
        <v>19</v>
      </c>
      <c r="N445" s="45"/>
      <c r="O445" s="20"/>
    </row>
    <row r="446" spans="1:15" s="12" customFormat="1" ht="31.5" customHeight="1">
      <c r="A446" s="15" t="s">
        <v>96</v>
      </c>
      <c r="B446" s="75" t="s">
        <v>859</v>
      </c>
      <c r="C446" s="39" t="s">
        <v>17</v>
      </c>
      <c r="D446" s="39"/>
      <c r="E446" s="70">
        <v>4</v>
      </c>
      <c r="F446" s="39"/>
      <c r="G446" s="39">
        <v>2</v>
      </c>
      <c r="H446" s="40">
        <f>SUM(Tabla13267[[#This Row],[PRIMER TRIMESTRE]:[CUARTO TRIMESTRE]])</f>
        <v>6</v>
      </c>
      <c r="I446" s="17">
        <v>143968.70000000001</v>
      </c>
      <c r="J446" s="17">
        <f t="shared" si="11"/>
        <v>863812.20000000007</v>
      </c>
      <c r="K446" s="31"/>
      <c r="L446" s="16" t="s">
        <v>18</v>
      </c>
      <c r="M446" s="28" t="s">
        <v>19</v>
      </c>
      <c r="N446" s="45"/>
      <c r="O446" s="20"/>
    </row>
    <row r="447" spans="1:15" s="12" customFormat="1" ht="31.5" customHeight="1">
      <c r="A447" s="15" t="s">
        <v>96</v>
      </c>
      <c r="B447" s="75" t="s">
        <v>860</v>
      </c>
      <c r="C447" s="39" t="s">
        <v>17</v>
      </c>
      <c r="D447" s="39"/>
      <c r="E447" s="70">
        <v>2</v>
      </c>
      <c r="F447" s="39"/>
      <c r="G447" s="39">
        <v>2</v>
      </c>
      <c r="H447" s="40">
        <f>SUM(Tabla13267[[#This Row],[PRIMER TRIMESTRE]:[CUARTO TRIMESTRE]])</f>
        <v>4</v>
      </c>
      <c r="I447" s="72">
        <v>856370.9</v>
      </c>
      <c r="J447" s="17">
        <f>+H447*I447</f>
        <v>3425483.6</v>
      </c>
      <c r="K447" s="17"/>
      <c r="L447" s="16" t="s">
        <v>18</v>
      </c>
      <c r="M447" s="16" t="s">
        <v>19</v>
      </c>
      <c r="N447" s="39"/>
      <c r="O447" s="18"/>
    </row>
    <row r="448" spans="1:15" s="12" customFormat="1" ht="31.5" customHeight="1">
      <c r="A448" s="15" t="s">
        <v>96</v>
      </c>
      <c r="B448" s="75" t="s">
        <v>861</v>
      </c>
      <c r="C448" s="39" t="s">
        <v>17</v>
      </c>
      <c r="D448" s="39"/>
      <c r="E448" s="70">
        <v>3</v>
      </c>
      <c r="F448" s="39"/>
      <c r="G448" s="39">
        <v>3</v>
      </c>
      <c r="H448" s="40">
        <f>SUM(Tabla13267[[#This Row],[PRIMER TRIMESTRE]:[CUARTO TRIMESTRE]])</f>
        <v>6</v>
      </c>
      <c r="I448" s="17">
        <v>216363.42</v>
      </c>
      <c r="J448" s="17">
        <f t="shared" si="11"/>
        <v>1298180.52</v>
      </c>
      <c r="K448" s="31"/>
      <c r="L448" s="16" t="s">
        <v>18</v>
      </c>
      <c r="M448" s="28" t="s">
        <v>19</v>
      </c>
      <c r="N448" s="45"/>
      <c r="O448" s="20"/>
    </row>
    <row r="449" spans="1:15" s="12" customFormat="1" ht="31.5" customHeight="1">
      <c r="A449" s="15" t="s">
        <v>96</v>
      </c>
      <c r="B449" s="75" t="s">
        <v>862</v>
      </c>
      <c r="C449" s="39" t="s">
        <v>17</v>
      </c>
      <c r="D449" s="39"/>
      <c r="E449" s="70">
        <v>1</v>
      </c>
      <c r="F449" s="39"/>
      <c r="G449" s="39">
        <v>1</v>
      </c>
      <c r="H449" s="40">
        <f>SUM(Tabla13267[[#This Row],[PRIMER TRIMESTRE]:[CUARTO TRIMESTRE]])</f>
        <v>2</v>
      </c>
      <c r="I449" s="17">
        <v>339848.52</v>
      </c>
      <c r="J449" s="17">
        <f t="shared" si="11"/>
        <v>679697.04</v>
      </c>
      <c r="K449" s="31"/>
      <c r="L449" s="16" t="s">
        <v>18</v>
      </c>
      <c r="M449" s="28" t="s">
        <v>19</v>
      </c>
      <c r="N449" s="45"/>
      <c r="O449" s="20"/>
    </row>
    <row r="450" spans="1:15" s="12" customFormat="1" ht="47.25">
      <c r="A450" s="15" t="s">
        <v>96</v>
      </c>
      <c r="B450" s="16" t="str">
        <f ca="1">+UPPER(Tabla13267[[#This Row],[DESCRIPCIÓN DE LA COMPRA O CONTRATACIÓN]])</f>
        <v xml:space="preserve">MOTORES ELÉCTRICOS MONOFASICO SUMERGIBLES, 230 VOLTIOS, 3,450 RPM  3 HP CON CAJA DE CONTROLS </v>
      </c>
      <c r="C450" s="39" t="s">
        <v>17</v>
      </c>
      <c r="D450" s="39"/>
      <c r="E450" s="70">
        <v>2</v>
      </c>
      <c r="F450" s="39"/>
      <c r="G450" s="39">
        <v>6</v>
      </c>
      <c r="H450" s="40">
        <f>SUM(Tabla13267[[#This Row],[PRIMER TRIMESTRE]:[CUARTO TRIMESTRE]])</f>
        <v>8</v>
      </c>
      <c r="I450" s="17">
        <v>16820</v>
      </c>
      <c r="J450" s="17">
        <f t="shared" si="11"/>
        <v>134560</v>
      </c>
      <c r="K450" s="31"/>
      <c r="L450" s="16" t="s">
        <v>18</v>
      </c>
      <c r="M450" s="28" t="s">
        <v>19</v>
      </c>
      <c r="N450" s="45"/>
      <c r="O450" s="20"/>
    </row>
    <row r="451" spans="1:15" s="12" customFormat="1" ht="47.25">
      <c r="A451" s="15" t="s">
        <v>96</v>
      </c>
      <c r="B451" s="16" t="str">
        <f ca="1">+UPPER(Tabla13267[[#This Row],[DESCRIPCIÓN DE LA COMPRA O CONTRATACIÓN]])</f>
        <v xml:space="preserve">MOTORES ELÉCTRICOS MONOFASICO SUMERGIBLES, 230 VOLTIOS, 3,450 RPM  5 HP CON CAJA DE CONTROLS </v>
      </c>
      <c r="C451" s="39" t="s">
        <v>17</v>
      </c>
      <c r="D451" s="39"/>
      <c r="E451" s="70">
        <v>3</v>
      </c>
      <c r="F451" s="39"/>
      <c r="G451" s="39">
        <v>6</v>
      </c>
      <c r="H451" s="40">
        <f>SUM(Tabla13267[[#This Row],[PRIMER TRIMESTRE]:[CUARTO TRIMESTRE]])</f>
        <v>9</v>
      </c>
      <c r="I451" s="17">
        <v>20517.099999999999</v>
      </c>
      <c r="J451" s="17">
        <f t="shared" si="11"/>
        <v>184653.9</v>
      </c>
      <c r="K451" s="31"/>
      <c r="L451" s="16" t="s">
        <v>18</v>
      </c>
      <c r="M451" s="28" t="s">
        <v>19</v>
      </c>
      <c r="N451" s="45"/>
      <c r="O451" s="20"/>
    </row>
    <row r="452" spans="1:15" s="12" customFormat="1" ht="47.25">
      <c r="A452" s="15" t="s">
        <v>96</v>
      </c>
      <c r="B452" s="16" t="str">
        <f ca="1">+UPPER(Tabla13267[[#This Row],[DESCRIPCIÓN DE LA COMPRA O CONTRATACIÓN]])</f>
        <v xml:space="preserve">MOTORES ELÉCTRICOS MONOFASICO SUMERGIBLES, 230 VOLTIOS, 3,450 RPM  7.5 HP CON CAJA DE CONTROLS </v>
      </c>
      <c r="C452" s="39" t="s">
        <v>17</v>
      </c>
      <c r="D452" s="39"/>
      <c r="E452" s="70">
        <v>3</v>
      </c>
      <c r="F452" s="39"/>
      <c r="G452" s="39">
        <v>4</v>
      </c>
      <c r="H452" s="40">
        <f>SUM(Tabla13267[[#This Row],[PRIMER TRIMESTRE]:[CUARTO TRIMESTRE]])</f>
        <v>7</v>
      </c>
      <c r="I452" s="17">
        <v>36619.75</v>
      </c>
      <c r="J452" s="17">
        <f t="shared" si="11"/>
        <v>256338.25</v>
      </c>
      <c r="K452" s="31"/>
      <c r="L452" s="16" t="s">
        <v>18</v>
      </c>
      <c r="M452" s="28" t="s">
        <v>19</v>
      </c>
      <c r="N452" s="45"/>
      <c r="O452" s="20"/>
    </row>
    <row r="453" spans="1:15" s="12" customFormat="1" ht="47.25">
      <c r="A453" s="15" t="s">
        <v>96</v>
      </c>
      <c r="B453" s="16" t="str">
        <f ca="1">+UPPER(Tabla13267[[#This Row],[DESCRIPCIÓN DE LA COMPRA O CONTRATACIÓN]])</f>
        <v>ELECTROBOMBAS HORIZONTAL, 0.75HP, 1Ø, 115/230V, TIPO MONOBLOCK,3500 RPM, 20 GPM VS 100 PIES TDH</v>
      </c>
      <c r="C453" s="39" t="s">
        <v>17</v>
      </c>
      <c r="D453" s="39"/>
      <c r="E453" s="39">
        <v>3</v>
      </c>
      <c r="F453" s="39"/>
      <c r="G453" s="39">
        <v>3</v>
      </c>
      <c r="H453" s="40">
        <f>SUM(Tabla13267[[#This Row],[PRIMER TRIMESTRE]:[CUARTO TRIMESTRE]])</f>
        <v>6</v>
      </c>
      <c r="I453" s="17">
        <v>15370.13</v>
      </c>
      <c r="J453" s="17">
        <f t="shared" si="11"/>
        <v>92220.78</v>
      </c>
      <c r="K453" s="31"/>
      <c r="L453" s="16" t="s">
        <v>18</v>
      </c>
      <c r="M453" s="28" t="s">
        <v>19</v>
      </c>
      <c r="N453" s="45"/>
      <c r="O453" s="20"/>
    </row>
    <row r="454" spans="1:15" s="12" customFormat="1" ht="31.5">
      <c r="A454" s="15" t="s">
        <v>96</v>
      </c>
      <c r="B454" s="16" t="str">
        <f ca="1">+UPPER(Tabla13267[[#This Row],[DESCRIPCIÓN DE LA COMPRA O CONTRATACIÓN]])</f>
        <v>ELECTROBOMBAS SUMERGIBLE, 1.00HP, 230V, 1Ø, 60HZ, CON SU CAJA DE CONTROL, 3500 RPM</v>
      </c>
      <c r="C454" s="39" t="s">
        <v>17</v>
      </c>
      <c r="D454" s="39"/>
      <c r="E454" s="39">
        <v>3</v>
      </c>
      <c r="F454" s="39"/>
      <c r="G454" s="39">
        <v>3</v>
      </c>
      <c r="H454" s="40">
        <f>SUM(Tabla13267[[#This Row],[PRIMER TRIMESTRE]:[CUARTO TRIMESTRE]])</f>
        <v>6</v>
      </c>
      <c r="I454" s="17">
        <v>42000</v>
      </c>
      <c r="J454" s="17">
        <f t="shared" si="11"/>
        <v>252000</v>
      </c>
      <c r="K454" s="31"/>
      <c r="L454" s="16" t="s">
        <v>18</v>
      </c>
      <c r="M454" s="28" t="s">
        <v>19</v>
      </c>
      <c r="N454" s="45"/>
      <c r="O454" s="20"/>
    </row>
    <row r="455" spans="1:15" s="12" customFormat="1" ht="47.25">
      <c r="A455" s="15" t="s">
        <v>96</v>
      </c>
      <c r="B455" s="16" t="s">
        <v>863</v>
      </c>
      <c r="C455" s="39" t="s">
        <v>17</v>
      </c>
      <c r="D455" s="39"/>
      <c r="E455" s="39">
        <v>6</v>
      </c>
      <c r="F455" s="39"/>
      <c r="G455" s="39">
        <v>6</v>
      </c>
      <c r="H455" s="40">
        <f>SUM(Tabla13267[[#This Row],[PRIMER TRIMESTRE]:[CUARTO TRIMESTRE]])</f>
        <v>12</v>
      </c>
      <c r="I455" s="17">
        <v>24051.94</v>
      </c>
      <c r="J455" s="17">
        <f t="shared" si="11"/>
        <v>288623.27999999997</v>
      </c>
      <c r="K455" s="31"/>
      <c r="L455" s="16" t="s">
        <v>18</v>
      </c>
      <c r="M455" s="28" t="s">
        <v>22</v>
      </c>
      <c r="N455" s="45"/>
      <c r="O455" s="20"/>
    </row>
    <row r="456" spans="1:15" s="12" customFormat="1" ht="47.25">
      <c r="A456" s="15" t="s">
        <v>96</v>
      </c>
      <c r="B456" s="16" t="str">
        <f ca="1">+UPPER(Tabla13267[[#This Row],[DESCRIPCIÓN DE LA COMPRA O CONTRATACIÓN]])</f>
        <v>TRANSFORMADORES 1Ø, 60HZ, SUMERGIDOS EN ACEITE, 7.2/12.47 KV, 120/240V, TIPO POSTE, HOMOLGADOS CON IDÉNTICA IMPEDANCIA 25 KVA</v>
      </c>
      <c r="C456" s="39" t="s">
        <v>17</v>
      </c>
      <c r="D456" s="39"/>
      <c r="E456" s="39">
        <v>4</v>
      </c>
      <c r="F456" s="39"/>
      <c r="G456" s="39">
        <v>4</v>
      </c>
      <c r="H456" s="40">
        <f>SUM(Tabla13267[[#This Row],[PRIMER TRIMESTRE]:[CUARTO TRIMESTRE]])</f>
        <v>8</v>
      </c>
      <c r="I456" s="17">
        <v>34220</v>
      </c>
      <c r="J456" s="17">
        <f t="shared" si="11"/>
        <v>273760</v>
      </c>
      <c r="K456" s="31"/>
      <c r="L456" s="16" t="s">
        <v>18</v>
      </c>
      <c r="M456" s="28" t="s">
        <v>22</v>
      </c>
      <c r="N456" s="45"/>
      <c r="O456" s="20"/>
    </row>
    <row r="457" spans="1:15" s="12" customFormat="1" ht="63">
      <c r="A457" s="15" t="s">
        <v>96</v>
      </c>
      <c r="B457" s="16" t="str">
        <f ca="1">+UPPER(Tabla13267[[#This Row],[DESCRIPCIÓN DE LA COMPRA O CONTRATACIÓN]])</f>
        <v>TRANSFORMADORES 1Ø, 60HZ, SUMERGIDOS EN ACEITE, 7.2/12.47 KV, 120/240V, TIPO POSTE, HOMOLGADOS CON IDÉNTICA IMPEDANCIA 37.5 KVA</v>
      </c>
      <c r="C457" s="39" t="s">
        <v>17</v>
      </c>
      <c r="D457" s="39"/>
      <c r="E457" s="39">
        <v>2</v>
      </c>
      <c r="F457" s="39"/>
      <c r="G457" s="39">
        <v>2</v>
      </c>
      <c r="H457" s="40">
        <f>SUM(Tabla13267[[#This Row],[PRIMER TRIMESTRE]:[CUARTO TRIMESTRE]])</f>
        <v>4</v>
      </c>
      <c r="I457" s="17">
        <v>58875.22</v>
      </c>
      <c r="J457" s="17">
        <f t="shared" si="11"/>
        <v>235500.88</v>
      </c>
      <c r="K457" s="31"/>
      <c r="L457" s="16" t="s">
        <v>18</v>
      </c>
      <c r="M457" s="28" t="s">
        <v>22</v>
      </c>
      <c r="N457" s="45"/>
      <c r="O457" s="20"/>
    </row>
    <row r="458" spans="1:15" s="12" customFormat="1" ht="47.25">
      <c r="A458" s="15" t="s">
        <v>96</v>
      </c>
      <c r="B458" s="73" t="str">
        <f ca="1">+UPPER(Tabla13267[[#This Row],[DESCRIPCIÓN DE LA COMPRA O CONTRATACIÓN]])</f>
        <v>TRANSFORMADORES 1Ø, 60HZ, SUMERGIDOS EN ACEITE, 7.2/12.47 KV, 240/480V, TIPO POSTE HOMOLGADOS CON IDÉNTICA IMPEDANCIA 15 KVA</v>
      </c>
      <c r="C458" s="39" t="s">
        <v>17</v>
      </c>
      <c r="D458" s="39"/>
      <c r="E458" s="39">
        <v>8</v>
      </c>
      <c r="F458" s="39"/>
      <c r="G458" s="39">
        <v>8</v>
      </c>
      <c r="H458" s="40">
        <f>SUM(Tabla13267[[#This Row],[PRIMER TRIMESTRE]:[CUARTO TRIMESTRE]])</f>
        <v>16</v>
      </c>
      <c r="I458" s="17">
        <v>25498.09</v>
      </c>
      <c r="J458" s="17">
        <f t="shared" si="11"/>
        <v>407969.44</v>
      </c>
      <c r="K458" s="31"/>
      <c r="L458" s="16" t="s">
        <v>18</v>
      </c>
      <c r="M458" s="28" t="s">
        <v>22</v>
      </c>
      <c r="N458" s="45"/>
      <c r="O458" s="20"/>
    </row>
    <row r="459" spans="1:15" s="12" customFormat="1" ht="47.25">
      <c r="A459" s="15" t="s">
        <v>96</v>
      </c>
      <c r="B459" s="73" t="str">
        <f ca="1">+UPPER(Tabla13267[[#This Row],[DESCRIPCIÓN DE LA COMPRA O CONTRATACIÓN]])</f>
        <v>TRANSFORMADORES 1Ø, 60HZ, SUMERGIDOS EN ACEITE, 7.2/12.47 KV, 240/480V, TIPO POSTE HOMOLGADOS CON IDÉNTICA IMPEDANCIA 25 KVA</v>
      </c>
      <c r="C459" s="39" t="s">
        <v>17</v>
      </c>
      <c r="D459" s="39"/>
      <c r="E459" s="39">
        <v>6</v>
      </c>
      <c r="F459" s="39"/>
      <c r="G459" s="39">
        <v>6</v>
      </c>
      <c r="H459" s="40">
        <f>SUM(Tabla13267[[#This Row],[PRIMER TRIMESTRE]:[CUARTO TRIMESTRE]])</f>
        <v>12</v>
      </c>
      <c r="I459" s="17">
        <v>37186.82</v>
      </c>
      <c r="J459" s="17">
        <f t="shared" si="11"/>
        <v>446241.83999999997</v>
      </c>
      <c r="K459" s="31"/>
      <c r="L459" s="16" t="s">
        <v>18</v>
      </c>
      <c r="M459" s="28" t="s">
        <v>22</v>
      </c>
      <c r="N459" s="45"/>
      <c r="O459" s="20"/>
    </row>
    <row r="460" spans="1:15" s="12" customFormat="1" ht="38.25">
      <c r="A460" s="15" t="s">
        <v>96</v>
      </c>
      <c r="B460" s="77" t="s">
        <v>864</v>
      </c>
      <c r="C460" s="39" t="s">
        <v>17</v>
      </c>
      <c r="D460" s="39"/>
      <c r="E460" s="39">
        <v>10</v>
      </c>
      <c r="F460" s="39"/>
      <c r="G460" s="39">
        <v>10</v>
      </c>
      <c r="H460" s="40">
        <f>SUM(Tabla13267[[#This Row],[PRIMER TRIMESTRE]:[CUARTO TRIMESTRE]])</f>
        <v>20</v>
      </c>
      <c r="I460" s="17">
        <v>44076.54</v>
      </c>
      <c r="J460" s="17">
        <f t="shared" si="11"/>
        <v>881530.8</v>
      </c>
      <c r="K460" s="31"/>
      <c r="L460" s="16" t="s">
        <v>18</v>
      </c>
      <c r="M460" s="28" t="s">
        <v>22</v>
      </c>
      <c r="N460" s="45"/>
      <c r="O460" s="20"/>
    </row>
    <row r="461" spans="1:15" s="12" customFormat="1" ht="38.25">
      <c r="A461" s="15" t="s">
        <v>96</v>
      </c>
      <c r="B461" s="75" t="s">
        <v>865</v>
      </c>
      <c r="C461" s="39" t="s">
        <v>17</v>
      </c>
      <c r="D461" s="39"/>
      <c r="E461" s="39">
        <v>10</v>
      </c>
      <c r="F461" s="39"/>
      <c r="G461" s="39">
        <v>10</v>
      </c>
      <c r="H461" s="40">
        <f>SUM(Tabla13267[[#This Row],[PRIMER TRIMESTRE]:[CUARTO TRIMESTRE]])</f>
        <v>20</v>
      </c>
      <c r="I461" s="17">
        <v>54061.7</v>
      </c>
      <c r="J461" s="17">
        <f t="shared" si="11"/>
        <v>1081234</v>
      </c>
      <c r="K461" s="31"/>
      <c r="L461" s="16" t="s">
        <v>18</v>
      </c>
      <c r="M461" s="28" t="s">
        <v>22</v>
      </c>
      <c r="N461" s="45"/>
      <c r="O461" s="20"/>
    </row>
    <row r="462" spans="1:15" s="12" customFormat="1" ht="38.25">
      <c r="A462" s="15" t="s">
        <v>96</v>
      </c>
      <c r="B462" s="75" t="s">
        <v>866</v>
      </c>
      <c r="C462" s="39" t="s">
        <v>17</v>
      </c>
      <c r="D462" s="39"/>
      <c r="E462" s="39">
        <v>7</v>
      </c>
      <c r="F462" s="39"/>
      <c r="G462" s="39">
        <v>7</v>
      </c>
      <c r="H462" s="40">
        <f>SUM(Tabla13267[[#This Row],[PRIMER TRIMESTRE]:[CUARTO TRIMESTRE]])</f>
        <v>14</v>
      </c>
      <c r="I462" s="17">
        <v>81423.539999999994</v>
      </c>
      <c r="J462" s="17">
        <f t="shared" si="11"/>
        <v>1139929.5599999998</v>
      </c>
      <c r="K462" s="17"/>
      <c r="L462" s="16" t="s">
        <v>18</v>
      </c>
      <c r="M462" s="16" t="s">
        <v>22</v>
      </c>
      <c r="N462" s="39"/>
      <c r="O462" s="20"/>
    </row>
    <row r="463" spans="1:15" s="12" customFormat="1" ht="63">
      <c r="A463" s="15" t="s">
        <v>96</v>
      </c>
      <c r="B463" s="16" t="str">
        <f ca="1">+UPPER(Tabla13267[[#This Row],[DESCRIPCIÓN DE LA COMPRA O CONTRATACIÓN]])</f>
        <v>TRANSFORMADORES 1Ø, 60HZ, SUMERGIDOS EN ACEITE, 7.2/12.47 KV, 240/480V, TIPO POSTE HOMOLGADOS CON IDÉNTICA IMPEDANCIA 100 KVA</v>
      </c>
      <c r="C463" s="39" t="s">
        <v>17</v>
      </c>
      <c r="D463" s="39"/>
      <c r="E463" s="39">
        <v>6</v>
      </c>
      <c r="F463" s="39"/>
      <c r="G463" s="39">
        <v>6</v>
      </c>
      <c r="H463" s="40">
        <f>SUM(Tabla13267[[#This Row],[PRIMER TRIMESTRE]:[CUARTO TRIMESTRE]])</f>
        <v>12</v>
      </c>
      <c r="I463" s="17">
        <v>108938.74</v>
      </c>
      <c r="J463" s="17">
        <f t="shared" si="11"/>
        <v>1307264.8800000001</v>
      </c>
      <c r="K463" s="17"/>
      <c r="L463" s="16" t="s">
        <v>18</v>
      </c>
      <c r="M463" s="16" t="s">
        <v>22</v>
      </c>
      <c r="N463" s="39"/>
      <c r="O463" s="20"/>
    </row>
    <row r="464" spans="1:15" s="12" customFormat="1" ht="38.25">
      <c r="A464" s="15" t="s">
        <v>96</v>
      </c>
      <c r="B464" s="75" t="s">
        <v>867</v>
      </c>
      <c r="C464" s="39" t="s">
        <v>17</v>
      </c>
      <c r="D464" s="39"/>
      <c r="E464" s="39">
        <v>5</v>
      </c>
      <c r="F464" s="39"/>
      <c r="G464" s="39">
        <v>5</v>
      </c>
      <c r="H464" s="40">
        <f>SUM(Tabla13267[[#This Row],[PRIMER TRIMESTRE]:[CUARTO TRIMESTRE]])</f>
        <v>10</v>
      </c>
      <c r="I464" s="17">
        <v>160529.56</v>
      </c>
      <c r="J464" s="17">
        <f t="shared" si="11"/>
        <v>1605295.6</v>
      </c>
      <c r="K464" s="17"/>
      <c r="L464" s="16" t="s">
        <v>18</v>
      </c>
      <c r="M464" s="16" t="s">
        <v>22</v>
      </c>
      <c r="N464" s="39"/>
      <c r="O464" s="20"/>
    </row>
    <row r="465" spans="1:21" s="12" customFormat="1" ht="31.5" customHeight="1">
      <c r="A465" s="15" t="s">
        <v>96</v>
      </c>
      <c r="B465" s="75" t="s">
        <v>868</v>
      </c>
      <c r="C465" s="39" t="s">
        <v>17</v>
      </c>
      <c r="D465" s="39"/>
      <c r="E465" s="39">
        <v>7</v>
      </c>
      <c r="F465" s="39"/>
      <c r="G465" s="39">
        <v>7</v>
      </c>
      <c r="H465" s="40">
        <f>SUM(Tabla13267[[#This Row],[PRIMER TRIMESTRE]:[CUARTO TRIMESTRE]])</f>
        <v>14</v>
      </c>
      <c r="I465" s="17">
        <v>7243.54</v>
      </c>
      <c r="J465" s="17">
        <f t="shared" si="11"/>
        <v>101409.56</v>
      </c>
      <c r="K465" s="17"/>
      <c r="L465" s="16" t="s">
        <v>18</v>
      </c>
      <c r="M465" s="16" t="s">
        <v>22</v>
      </c>
      <c r="N465" s="39"/>
      <c r="O465" s="20"/>
    </row>
    <row r="466" spans="1:21" s="12" customFormat="1" ht="42.75" customHeight="1">
      <c r="A466" s="15" t="s">
        <v>96</v>
      </c>
      <c r="B466" s="75" t="s">
        <v>869</v>
      </c>
      <c r="C466" s="39" t="s">
        <v>17</v>
      </c>
      <c r="D466" s="39"/>
      <c r="E466" s="39">
        <v>7</v>
      </c>
      <c r="F466" s="39"/>
      <c r="G466" s="39">
        <v>7</v>
      </c>
      <c r="H466" s="40">
        <f>SUM(Tabla13267[[#This Row],[PRIMER TRIMESTRE]:[CUARTO TRIMESTRE]])</f>
        <v>14</v>
      </c>
      <c r="I466" s="17">
        <v>4466.2299999999996</v>
      </c>
      <c r="J466" s="17">
        <f t="shared" si="11"/>
        <v>62527.219999999994</v>
      </c>
      <c r="K466" s="17"/>
      <c r="L466" s="16" t="s">
        <v>18</v>
      </c>
      <c r="M466" s="16" t="s">
        <v>22</v>
      </c>
      <c r="N466" s="39"/>
      <c r="O466" s="20"/>
    </row>
    <row r="467" spans="1:21" s="12" customFormat="1" ht="42.75" customHeight="1">
      <c r="A467" s="15" t="s">
        <v>96</v>
      </c>
      <c r="B467" s="75" t="s">
        <v>870</v>
      </c>
      <c r="C467" s="39" t="s">
        <v>17</v>
      </c>
      <c r="D467" s="39"/>
      <c r="E467" s="39">
        <v>6</v>
      </c>
      <c r="F467" s="39"/>
      <c r="G467" s="39">
        <v>6</v>
      </c>
      <c r="H467" s="40">
        <f>SUM(Tabla13267[[#This Row],[PRIMER TRIMESTRE]:[CUARTO TRIMESTRE]])</f>
        <v>12</v>
      </c>
      <c r="I467" s="17">
        <v>3950</v>
      </c>
      <c r="J467" s="17">
        <f t="shared" si="11"/>
        <v>47400</v>
      </c>
      <c r="K467" s="17"/>
      <c r="L467" s="16" t="s">
        <v>18</v>
      </c>
      <c r="M467" s="16" t="s">
        <v>22</v>
      </c>
      <c r="N467" s="39"/>
      <c r="O467" s="20"/>
    </row>
    <row r="468" spans="1:21" s="12" customFormat="1" ht="42.75" customHeight="1">
      <c r="A468" s="15" t="s">
        <v>96</v>
      </c>
      <c r="B468" s="75" t="s">
        <v>871</v>
      </c>
      <c r="C468" s="39" t="s">
        <v>17</v>
      </c>
      <c r="D468" s="39"/>
      <c r="E468" s="39">
        <v>5</v>
      </c>
      <c r="F468" s="39"/>
      <c r="G468" s="39">
        <v>5</v>
      </c>
      <c r="H468" s="40">
        <f>SUM(Tabla13267[[#This Row],[PRIMER TRIMESTRE]:[CUARTO TRIMESTRE]])</f>
        <v>10</v>
      </c>
      <c r="I468" s="17">
        <v>2995.96</v>
      </c>
      <c r="J468" s="17">
        <f t="shared" si="11"/>
        <v>29959.599999999999</v>
      </c>
      <c r="K468" s="17"/>
      <c r="L468" s="16" t="s">
        <v>18</v>
      </c>
      <c r="M468" s="16" t="s">
        <v>22</v>
      </c>
      <c r="N468" s="39"/>
      <c r="O468" s="20"/>
    </row>
    <row r="469" spans="1:21" s="12" customFormat="1" ht="42.75" customHeight="1">
      <c r="A469" s="15" t="s">
        <v>96</v>
      </c>
      <c r="B469" s="75" t="s">
        <v>872</v>
      </c>
      <c r="C469" s="39" t="s">
        <v>17</v>
      </c>
      <c r="D469" s="39"/>
      <c r="E469" s="39">
        <v>5</v>
      </c>
      <c r="F469" s="39"/>
      <c r="G469" s="39">
        <v>5</v>
      </c>
      <c r="H469" s="40">
        <f>SUM(Tabla13267[[#This Row],[PRIMER TRIMESTRE]:[CUARTO TRIMESTRE]])</f>
        <v>10</v>
      </c>
      <c r="I469" s="17">
        <v>3986.24</v>
      </c>
      <c r="J469" s="17">
        <f t="shared" si="11"/>
        <v>39862.399999999994</v>
      </c>
      <c r="K469" s="17"/>
      <c r="L469" s="16" t="s">
        <v>18</v>
      </c>
      <c r="M469" s="16" t="s">
        <v>22</v>
      </c>
      <c r="N469" s="39"/>
      <c r="O469" s="20"/>
    </row>
    <row r="470" spans="1:21" s="12" customFormat="1" ht="42.75" customHeight="1">
      <c r="A470" s="15" t="s">
        <v>96</v>
      </c>
      <c r="B470" s="75" t="s">
        <v>873</v>
      </c>
      <c r="C470" s="39" t="s">
        <v>17</v>
      </c>
      <c r="D470" s="39"/>
      <c r="E470" s="39">
        <v>4</v>
      </c>
      <c r="F470" s="39"/>
      <c r="G470" s="39">
        <v>4</v>
      </c>
      <c r="H470" s="40">
        <f>SUM(Tabla13267[[#This Row],[PRIMER TRIMESTRE]:[CUARTO TRIMESTRE]])</f>
        <v>8</v>
      </c>
      <c r="I470" s="17">
        <v>6982.2</v>
      </c>
      <c r="J470" s="17">
        <f t="shared" si="11"/>
        <v>55857.599999999999</v>
      </c>
      <c r="K470" s="17"/>
      <c r="L470" s="16" t="s">
        <v>18</v>
      </c>
      <c r="M470" s="16" t="s">
        <v>22</v>
      </c>
      <c r="N470" s="39"/>
      <c r="O470" s="20"/>
    </row>
    <row r="471" spans="1:21" s="26" customFormat="1" ht="27.75" customHeight="1">
      <c r="A471" s="22" t="s">
        <v>96</v>
      </c>
      <c r="B471" s="76"/>
      <c r="C471" s="42"/>
      <c r="D471" s="42"/>
      <c r="E471" s="42"/>
      <c r="F471" s="42"/>
      <c r="G471" s="42"/>
      <c r="H471" s="43"/>
      <c r="I471" s="24"/>
      <c r="J471" s="24"/>
      <c r="K471" s="25">
        <f>SUM(J383:J470)</f>
        <v>32896029.880000003</v>
      </c>
      <c r="L471" s="23"/>
      <c r="M471" s="23"/>
      <c r="N471" s="42"/>
      <c r="O471" s="24"/>
      <c r="R471" s="27"/>
      <c r="U471" s="23"/>
    </row>
    <row r="472" spans="1:21" s="12" customFormat="1" ht="27" customHeight="1">
      <c r="A472" s="15" t="s">
        <v>95</v>
      </c>
      <c r="B472" s="75" t="str">
        <f ca="1">+UPPER(Tabla13267[[#This Row],[DESCRIPCIÓN DE LA COMPRA O CONTRATACIÓN]])</f>
        <v>CUT-OUTS 15 KV 200 AMPERES</v>
      </c>
      <c r="C472" s="39" t="s">
        <v>17</v>
      </c>
      <c r="D472" s="140">
        <v>40</v>
      </c>
      <c r="E472" s="140"/>
      <c r="F472" s="140">
        <v>40</v>
      </c>
      <c r="G472" s="39"/>
      <c r="H472" s="40">
        <f>SUM(Tabla13267[[#This Row],[PRIMER TRIMESTRE]:[CUARTO TRIMESTRE]])</f>
        <v>80</v>
      </c>
      <c r="I472" s="17">
        <v>7354.4</v>
      </c>
      <c r="J472" s="17">
        <f t="shared" ref="J472:J492" si="12">+H472*I472</f>
        <v>588352</v>
      </c>
      <c r="K472" s="17"/>
      <c r="L472" s="16" t="s">
        <v>27</v>
      </c>
      <c r="M472" s="16" t="s">
        <v>22</v>
      </c>
      <c r="N472" s="39"/>
      <c r="O472" s="20"/>
    </row>
    <row r="473" spans="1:21" s="12" customFormat="1">
      <c r="A473" s="15" t="s">
        <v>95</v>
      </c>
      <c r="B473" s="75" t="str">
        <f ca="1">+UPPER(Tabla13267[[#This Row],[DESCRIPCIÓN DE LA COMPRA O CONTRATACIÓN]])</f>
        <v>CUT-OUTS 15 KV 100 AMPERES</v>
      </c>
      <c r="C473" s="39" t="s">
        <v>17</v>
      </c>
      <c r="D473" s="140">
        <v>50</v>
      </c>
      <c r="E473" s="140"/>
      <c r="F473" s="140">
        <v>50</v>
      </c>
      <c r="G473" s="39"/>
      <c r="H473" s="40">
        <f>SUM(Tabla13267[[#This Row],[PRIMER TRIMESTRE]:[CUARTO TRIMESTRE]])</f>
        <v>100</v>
      </c>
      <c r="I473" s="17">
        <v>5452</v>
      </c>
      <c r="J473" s="17">
        <f t="shared" si="12"/>
        <v>545200</v>
      </c>
      <c r="K473" s="17"/>
      <c r="L473" s="16" t="s">
        <v>27</v>
      </c>
      <c r="M473" s="16" t="s">
        <v>22</v>
      </c>
      <c r="N473" s="39"/>
      <c r="O473" s="20"/>
    </row>
    <row r="474" spans="1:21" s="12" customFormat="1">
      <c r="A474" s="15" t="s">
        <v>95</v>
      </c>
      <c r="B474" s="75" t="str">
        <f ca="1">+UPPER(Tabla13267[[#This Row],[DESCRIPCIÓN DE LA COMPRA O CONTRATACIÓN]])</f>
        <v>APARTARRAYOS DE 9KV</v>
      </c>
      <c r="C474" s="39" t="s">
        <v>17</v>
      </c>
      <c r="D474" s="140">
        <v>50</v>
      </c>
      <c r="E474" s="140"/>
      <c r="F474" s="140">
        <v>50</v>
      </c>
      <c r="G474" s="39"/>
      <c r="H474" s="40">
        <f>SUM(Tabla13267[[#This Row],[PRIMER TRIMESTRE]:[CUARTO TRIMESTRE]])</f>
        <v>100</v>
      </c>
      <c r="I474" s="17">
        <v>2842</v>
      </c>
      <c r="J474" s="17">
        <f t="shared" si="12"/>
        <v>284200</v>
      </c>
      <c r="K474" s="17"/>
      <c r="L474" s="16" t="s">
        <v>27</v>
      </c>
      <c r="M474" s="16" t="s">
        <v>22</v>
      </c>
      <c r="N474" s="39"/>
      <c r="O474" s="20"/>
    </row>
    <row r="475" spans="1:21" s="12" customFormat="1">
      <c r="A475" s="15" t="s">
        <v>95</v>
      </c>
      <c r="B475" s="75" t="str">
        <f ca="1">+UPPER(Tabla13267[[#This Row],[DESCRIPCIÓN DE LA COMPRA O CONTRATACIÓN]])</f>
        <v>APARTARRAYOS DE 220V, SECUNDARIO</v>
      </c>
      <c r="C475" s="39" t="s">
        <v>17</v>
      </c>
      <c r="D475" s="140">
        <v>15</v>
      </c>
      <c r="E475" s="140"/>
      <c r="F475" s="140">
        <v>15</v>
      </c>
      <c r="G475" s="39"/>
      <c r="H475" s="40">
        <f>SUM(Tabla13267[[#This Row],[PRIMER TRIMESTRE]:[CUARTO TRIMESTRE]])</f>
        <v>30</v>
      </c>
      <c r="I475" s="17">
        <v>4500</v>
      </c>
      <c r="J475" s="17">
        <f t="shared" si="12"/>
        <v>135000</v>
      </c>
      <c r="K475" s="17"/>
      <c r="L475" s="16" t="s">
        <v>27</v>
      </c>
      <c r="M475" s="16" t="s">
        <v>22</v>
      </c>
      <c r="N475" s="39"/>
      <c r="O475" s="20"/>
    </row>
    <row r="476" spans="1:21" s="12" customFormat="1">
      <c r="A476" s="15" t="s">
        <v>95</v>
      </c>
      <c r="B476" s="75" t="str">
        <f ca="1">+UPPER(Tabla13267[[#This Row],[DESCRIPCIÓN DE LA COMPRA O CONTRATACIÓN]])</f>
        <v>APARTARRAYOS DE 480V, SECUNDARIO</v>
      </c>
      <c r="C476" s="39" t="s">
        <v>17</v>
      </c>
      <c r="D476" s="140">
        <v>15</v>
      </c>
      <c r="E476" s="140"/>
      <c r="F476" s="140">
        <v>15</v>
      </c>
      <c r="G476" s="39"/>
      <c r="H476" s="40">
        <f>SUM(Tabla13267[[#This Row],[PRIMER TRIMESTRE]:[CUARTO TRIMESTRE]])</f>
        <v>30</v>
      </c>
      <c r="I476" s="72">
        <v>4500</v>
      </c>
      <c r="J476" s="17">
        <f>+H476*I476</f>
        <v>135000</v>
      </c>
      <c r="K476" s="17"/>
      <c r="L476" s="16" t="s">
        <v>27</v>
      </c>
      <c r="M476" s="16" t="s">
        <v>22</v>
      </c>
      <c r="N476" s="39"/>
      <c r="O476" s="18"/>
    </row>
    <row r="477" spans="1:21" s="12" customFormat="1" ht="25.5">
      <c r="A477" s="15" t="s">
        <v>95</v>
      </c>
      <c r="B477" s="77" t="str">
        <f ca="1">+UPPER(Tabla13267[[#This Row],[DESCRIPCIÓN DE LA COMPRA O CONTRATACIÓN]])</f>
        <v>LÁMPARA FLUORESCENTE, DE 2 X 4 PIES, 32 WATTS, COMPLETA</v>
      </c>
      <c r="C477" s="39" t="s">
        <v>17</v>
      </c>
      <c r="D477" s="140">
        <v>150</v>
      </c>
      <c r="E477" s="140"/>
      <c r="F477" s="140">
        <v>150</v>
      </c>
      <c r="G477" s="39"/>
      <c r="H477" s="40">
        <f>SUM(Tabla13267[[#This Row],[PRIMER TRIMESTRE]:[CUARTO TRIMESTRE]])</f>
        <v>300</v>
      </c>
      <c r="I477" s="17">
        <v>63.44</v>
      </c>
      <c r="J477" s="17">
        <f t="shared" si="12"/>
        <v>19032</v>
      </c>
      <c r="K477" s="17"/>
      <c r="L477" s="16" t="s">
        <v>27</v>
      </c>
      <c r="M477" s="16" t="s">
        <v>22</v>
      </c>
      <c r="N477" s="39"/>
      <c r="O477" s="20"/>
    </row>
    <row r="478" spans="1:21" s="12" customFormat="1" ht="25.5">
      <c r="A478" s="15" t="s">
        <v>95</v>
      </c>
      <c r="B478" s="77" t="s">
        <v>881</v>
      </c>
      <c r="C478" s="39" t="s">
        <v>17</v>
      </c>
      <c r="D478" s="140">
        <v>100</v>
      </c>
      <c r="E478" s="140"/>
      <c r="F478" s="140">
        <v>100</v>
      </c>
      <c r="G478" s="39"/>
      <c r="H478" s="40">
        <f>SUM(Tabla13267[[#This Row],[PRIMER TRIMESTRE]:[CUARTO TRIMESTRE]])</f>
        <v>200</v>
      </c>
      <c r="I478" s="17">
        <v>877.77</v>
      </c>
      <c r="J478" s="17">
        <f t="shared" si="12"/>
        <v>175554</v>
      </c>
      <c r="K478" s="17"/>
      <c r="L478" s="16" t="s">
        <v>27</v>
      </c>
      <c r="M478" s="16" t="s">
        <v>22</v>
      </c>
      <c r="N478" s="39"/>
      <c r="O478" s="20"/>
    </row>
    <row r="479" spans="1:21" s="12" customFormat="1" ht="30.75" customHeight="1">
      <c r="A479" s="15" t="s">
        <v>95</v>
      </c>
      <c r="B479" s="75" t="s">
        <v>874</v>
      </c>
      <c r="C479" s="39" t="s">
        <v>17</v>
      </c>
      <c r="D479" s="140">
        <v>50</v>
      </c>
      <c r="E479" s="140"/>
      <c r="F479" s="140">
        <v>50</v>
      </c>
      <c r="G479" s="39"/>
      <c r="H479" s="40">
        <f>SUM(Tabla13267[[#This Row],[PRIMER TRIMESTRE]:[CUARTO TRIMESTRE]])</f>
        <v>100</v>
      </c>
      <c r="I479" s="17">
        <v>9.84</v>
      </c>
      <c r="J479" s="17">
        <f t="shared" si="12"/>
        <v>984</v>
      </c>
      <c r="K479" s="17"/>
      <c r="L479" s="16" t="s">
        <v>27</v>
      </c>
      <c r="M479" s="16" t="s">
        <v>22</v>
      </c>
      <c r="N479" s="39"/>
      <c r="O479" s="20"/>
    </row>
    <row r="480" spans="1:21" s="12" customFormat="1" ht="30.75" customHeight="1">
      <c r="A480" s="15" t="s">
        <v>95</v>
      </c>
      <c r="B480" s="75" t="s">
        <v>875</v>
      </c>
      <c r="C480" s="39" t="s">
        <v>17</v>
      </c>
      <c r="D480" s="140">
        <v>50</v>
      </c>
      <c r="E480" s="140"/>
      <c r="F480" s="140">
        <v>50</v>
      </c>
      <c r="G480" s="39"/>
      <c r="H480" s="40">
        <f>SUM(Tabla13267[[#This Row],[PRIMER TRIMESTRE]:[CUARTO TRIMESTRE]])</f>
        <v>100</v>
      </c>
      <c r="I480" s="17">
        <v>26.3</v>
      </c>
      <c r="J480" s="17">
        <f t="shared" si="12"/>
        <v>2630</v>
      </c>
      <c r="K480" s="17"/>
      <c r="L480" s="16" t="s">
        <v>27</v>
      </c>
      <c r="M480" s="16" t="s">
        <v>22</v>
      </c>
      <c r="N480" s="39"/>
      <c r="O480" s="20"/>
    </row>
    <row r="481" spans="1:21" s="12" customFormat="1">
      <c r="A481" s="15" t="s">
        <v>95</v>
      </c>
      <c r="B481" s="75" t="s">
        <v>876</v>
      </c>
      <c r="C481" s="39" t="s">
        <v>17</v>
      </c>
      <c r="D481" s="140">
        <v>50</v>
      </c>
      <c r="E481" s="140"/>
      <c r="F481" s="140">
        <v>50</v>
      </c>
      <c r="G481" s="39"/>
      <c r="H481" s="40">
        <f>SUM(Tabla13267[[#This Row],[PRIMER TRIMESTRE]:[CUARTO TRIMESTRE]])</f>
        <v>100</v>
      </c>
      <c r="I481" s="17">
        <v>60.07</v>
      </c>
      <c r="J481" s="17">
        <f t="shared" si="12"/>
        <v>6007</v>
      </c>
      <c r="K481" s="17"/>
      <c r="L481" s="16" t="s">
        <v>27</v>
      </c>
      <c r="M481" s="16" t="s">
        <v>22</v>
      </c>
      <c r="N481" s="39"/>
      <c r="O481" s="20"/>
    </row>
    <row r="482" spans="1:21" s="12" customFormat="1">
      <c r="A482" s="15" t="s">
        <v>95</v>
      </c>
      <c r="B482" s="75" t="s">
        <v>877</v>
      </c>
      <c r="C482" s="39" t="s">
        <v>17</v>
      </c>
      <c r="D482" s="140">
        <v>25</v>
      </c>
      <c r="E482" s="140"/>
      <c r="F482" s="140">
        <v>25</v>
      </c>
      <c r="G482" s="39"/>
      <c r="H482" s="40">
        <f>SUM(Tabla13267[[#This Row],[PRIMER TRIMESTRE]:[CUARTO TRIMESTRE]])</f>
        <v>50</v>
      </c>
      <c r="I482" s="17">
        <v>153.30000000000001</v>
      </c>
      <c r="J482" s="17">
        <f t="shared" si="12"/>
        <v>7665.0000000000009</v>
      </c>
      <c r="K482" s="17"/>
      <c r="L482" s="16" t="s">
        <v>27</v>
      </c>
      <c r="M482" s="16" t="s">
        <v>22</v>
      </c>
      <c r="N482" s="39"/>
      <c r="O482" s="20"/>
    </row>
    <row r="483" spans="1:21" s="12" customFormat="1">
      <c r="A483" s="15" t="s">
        <v>95</v>
      </c>
      <c r="B483" s="75" t="s">
        <v>878</v>
      </c>
      <c r="C483" s="39" t="s">
        <v>17</v>
      </c>
      <c r="D483" s="140">
        <v>25</v>
      </c>
      <c r="E483" s="140"/>
      <c r="F483" s="140">
        <v>25</v>
      </c>
      <c r="G483" s="39"/>
      <c r="H483" s="40">
        <f>SUM(Tabla13267[[#This Row],[PRIMER TRIMESTRE]:[CUARTO TRIMESTRE]])</f>
        <v>50</v>
      </c>
      <c r="I483" s="17">
        <v>169.36</v>
      </c>
      <c r="J483" s="17">
        <f t="shared" si="12"/>
        <v>8468</v>
      </c>
      <c r="K483" s="17"/>
      <c r="L483" s="16" t="s">
        <v>27</v>
      </c>
      <c r="M483" s="16" t="s">
        <v>22</v>
      </c>
      <c r="N483" s="39"/>
      <c r="O483" s="20"/>
    </row>
    <row r="484" spans="1:21" s="12" customFormat="1">
      <c r="A484" s="15" t="s">
        <v>95</v>
      </c>
      <c r="B484" s="75" t="s">
        <v>879</v>
      </c>
      <c r="C484" s="39" t="s">
        <v>17</v>
      </c>
      <c r="D484" s="140">
        <v>15</v>
      </c>
      <c r="E484" s="140"/>
      <c r="F484" s="140">
        <v>15</v>
      </c>
      <c r="G484" s="39"/>
      <c r="H484" s="40">
        <f>SUM(Tabla13267[[#This Row],[PRIMER TRIMESTRE]:[CUARTO TRIMESTRE]])</f>
        <v>30</v>
      </c>
      <c r="I484" s="17">
        <v>6948.2</v>
      </c>
      <c r="J484" s="17">
        <f>+H484*I484</f>
        <v>208446</v>
      </c>
      <c r="K484" s="17"/>
      <c r="L484" s="16" t="s">
        <v>27</v>
      </c>
      <c r="M484" s="16" t="s">
        <v>22</v>
      </c>
      <c r="N484" s="39"/>
      <c r="O484" s="20"/>
    </row>
    <row r="485" spans="1:21" s="12" customFormat="1">
      <c r="A485" s="15" t="s">
        <v>95</v>
      </c>
      <c r="B485" s="75" t="s">
        <v>880</v>
      </c>
      <c r="C485" s="39" t="s">
        <v>17</v>
      </c>
      <c r="D485" s="140">
        <v>40</v>
      </c>
      <c r="E485" s="140"/>
      <c r="F485" s="140">
        <v>40</v>
      </c>
      <c r="G485" s="39"/>
      <c r="H485" s="40">
        <f>SUM(Tabla13267[[#This Row],[PRIMER TRIMESTRE]:[CUARTO TRIMESTRE]])</f>
        <v>80</v>
      </c>
      <c r="I485" s="17">
        <v>14000</v>
      </c>
      <c r="J485" s="17">
        <f>+H485*I485</f>
        <v>1120000</v>
      </c>
      <c r="K485" s="17"/>
      <c r="L485" s="16" t="s">
        <v>27</v>
      </c>
      <c r="M485" s="16" t="s">
        <v>22</v>
      </c>
      <c r="N485" s="39"/>
      <c r="O485" s="20"/>
    </row>
    <row r="486" spans="1:21" s="12" customFormat="1">
      <c r="A486" s="15" t="s">
        <v>95</v>
      </c>
      <c r="B486" s="75" t="s">
        <v>882</v>
      </c>
      <c r="C486" s="39" t="s">
        <v>17</v>
      </c>
      <c r="D486" s="140">
        <v>30</v>
      </c>
      <c r="E486" s="140"/>
      <c r="F486" s="140">
        <v>30</v>
      </c>
      <c r="G486" s="39"/>
      <c r="H486" s="40">
        <f>SUM(Tabla13267[[#This Row],[PRIMER TRIMESTRE]:[CUARTO TRIMESTRE]])</f>
        <v>60</v>
      </c>
      <c r="I486" s="17">
        <v>477.41</v>
      </c>
      <c r="J486" s="17">
        <f t="shared" si="12"/>
        <v>28644.600000000002</v>
      </c>
      <c r="K486" s="17"/>
      <c r="L486" s="16" t="s">
        <v>27</v>
      </c>
      <c r="M486" s="16" t="s">
        <v>22</v>
      </c>
      <c r="N486" s="39"/>
      <c r="O486" s="20"/>
    </row>
    <row r="487" spans="1:21" s="12" customFormat="1">
      <c r="A487" s="15" t="s">
        <v>95</v>
      </c>
      <c r="B487" s="75" t="s">
        <v>883</v>
      </c>
      <c r="C487" s="39" t="s">
        <v>17</v>
      </c>
      <c r="D487" s="140">
        <v>20</v>
      </c>
      <c r="E487" s="140"/>
      <c r="F487" s="140">
        <v>20</v>
      </c>
      <c r="G487" s="39"/>
      <c r="H487" s="40">
        <f>SUM(Tabla13267[[#This Row],[PRIMER TRIMESTRE]:[CUARTO TRIMESTRE]])</f>
        <v>40</v>
      </c>
      <c r="I487" s="17">
        <v>223.74</v>
      </c>
      <c r="J487" s="17">
        <f t="shared" si="12"/>
        <v>8949.6</v>
      </c>
      <c r="K487" s="17"/>
      <c r="L487" s="16" t="s">
        <v>27</v>
      </c>
      <c r="M487" s="16" t="s">
        <v>22</v>
      </c>
      <c r="N487" s="39"/>
      <c r="O487" s="20"/>
    </row>
    <row r="488" spans="1:21" s="12" customFormat="1" ht="25.5">
      <c r="A488" s="15" t="s">
        <v>95</v>
      </c>
      <c r="B488" s="75" t="s">
        <v>884</v>
      </c>
      <c r="C488" s="39" t="s">
        <v>17</v>
      </c>
      <c r="D488" s="140">
        <v>50</v>
      </c>
      <c r="E488" s="140"/>
      <c r="F488" s="140">
        <v>50</v>
      </c>
      <c r="G488" s="39"/>
      <c r="H488" s="40">
        <f>SUM(Tabla13267[[#This Row],[PRIMER TRIMESTRE]:[CUARTO TRIMESTRE]])</f>
        <v>100</v>
      </c>
      <c r="I488" s="17">
        <v>562.6</v>
      </c>
      <c r="J488" s="17">
        <f t="shared" si="12"/>
        <v>56260</v>
      </c>
      <c r="K488" s="17"/>
      <c r="L488" s="16" t="s">
        <v>27</v>
      </c>
      <c r="M488" s="16" t="s">
        <v>22</v>
      </c>
      <c r="N488" s="39"/>
      <c r="O488" s="20"/>
    </row>
    <row r="489" spans="1:21" s="12" customFormat="1">
      <c r="A489" s="15" t="s">
        <v>95</v>
      </c>
      <c r="B489" s="75" t="s">
        <v>885</v>
      </c>
      <c r="C489" s="39" t="s">
        <v>344</v>
      </c>
      <c r="D489" s="140">
        <v>100</v>
      </c>
      <c r="E489" s="140"/>
      <c r="F489" s="140">
        <v>100</v>
      </c>
      <c r="G489" s="39"/>
      <c r="H489" s="40">
        <f>SUM(Tabla13267[[#This Row],[PRIMER TRIMESTRE]:[CUARTO TRIMESTRE]])</f>
        <v>200</v>
      </c>
      <c r="I489" s="17">
        <v>572</v>
      </c>
      <c r="J489" s="17">
        <f t="shared" si="12"/>
        <v>114400</v>
      </c>
      <c r="K489" s="17"/>
      <c r="L489" s="16" t="s">
        <v>27</v>
      </c>
      <c r="M489" s="16" t="s">
        <v>22</v>
      </c>
      <c r="N489" s="39"/>
      <c r="O489" s="20"/>
    </row>
    <row r="490" spans="1:21" s="12" customFormat="1">
      <c r="A490" s="15" t="s">
        <v>95</v>
      </c>
      <c r="B490" s="75" t="s">
        <v>886</v>
      </c>
      <c r="C490" s="39" t="s">
        <v>344</v>
      </c>
      <c r="D490" s="140">
        <v>100</v>
      </c>
      <c r="E490" s="140"/>
      <c r="F490" s="140">
        <v>100</v>
      </c>
      <c r="G490" s="39"/>
      <c r="H490" s="40">
        <f>SUM(Tabla13267[[#This Row],[PRIMER TRIMESTRE]:[CUARTO TRIMESTRE]])</f>
        <v>200</v>
      </c>
      <c r="I490" s="17">
        <v>1216</v>
      </c>
      <c r="J490" s="17">
        <f t="shared" si="12"/>
        <v>243200</v>
      </c>
      <c r="K490" s="17"/>
      <c r="L490" s="16" t="s">
        <v>27</v>
      </c>
      <c r="M490" s="16" t="s">
        <v>22</v>
      </c>
      <c r="N490" s="39"/>
      <c r="O490" s="20"/>
    </row>
    <row r="491" spans="1:21" s="12" customFormat="1">
      <c r="A491" s="15" t="s">
        <v>95</v>
      </c>
      <c r="B491" s="75" t="s">
        <v>887</v>
      </c>
      <c r="C491" s="39" t="s">
        <v>344</v>
      </c>
      <c r="D491" s="140">
        <v>100</v>
      </c>
      <c r="E491" s="140"/>
      <c r="F491" s="140">
        <v>100</v>
      </c>
      <c r="G491" s="39"/>
      <c r="H491" s="40">
        <f>SUM(Tabla13267[[#This Row],[PRIMER TRIMESTRE]:[CUARTO TRIMESTRE]])</f>
        <v>200</v>
      </c>
      <c r="I491" s="17">
        <v>1860</v>
      </c>
      <c r="J491" s="17">
        <f t="shared" si="12"/>
        <v>372000</v>
      </c>
      <c r="K491" s="17"/>
      <c r="L491" s="16" t="s">
        <v>27</v>
      </c>
      <c r="M491" s="16" t="s">
        <v>22</v>
      </c>
      <c r="N491" s="39"/>
      <c r="O491" s="20"/>
    </row>
    <row r="492" spans="1:21" s="12" customFormat="1">
      <c r="A492" s="15" t="s">
        <v>95</v>
      </c>
      <c r="B492" s="75" t="s">
        <v>888</v>
      </c>
      <c r="C492" s="39" t="s">
        <v>344</v>
      </c>
      <c r="D492" s="140">
        <v>100</v>
      </c>
      <c r="E492" s="140"/>
      <c r="F492" s="140">
        <v>100</v>
      </c>
      <c r="G492" s="39"/>
      <c r="H492" s="40">
        <f>SUM(Tabla13267[[#This Row],[PRIMER TRIMESTRE]:[CUARTO TRIMESTRE]])</f>
        <v>200</v>
      </c>
      <c r="I492" s="17">
        <v>406</v>
      </c>
      <c r="J492" s="17">
        <f t="shared" si="12"/>
        <v>81200</v>
      </c>
      <c r="K492" s="17"/>
      <c r="L492" s="16" t="s">
        <v>27</v>
      </c>
      <c r="M492" s="16" t="s">
        <v>22</v>
      </c>
      <c r="N492" s="39"/>
      <c r="O492" s="20"/>
    </row>
    <row r="493" spans="1:21" s="26" customFormat="1" ht="44.25" customHeight="1">
      <c r="A493" s="22" t="s">
        <v>95</v>
      </c>
      <c r="B493" s="76"/>
      <c r="C493" s="42"/>
      <c r="D493" s="42"/>
      <c r="E493" s="42"/>
      <c r="F493" s="42"/>
      <c r="G493" s="42"/>
      <c r="H493" s="43"/>
      <c r="I493" s="24"/>
      <c r="J493" s="24"/>
      <c r="K493" s="25">
        <f>SUM(J472:J492)</f>
        <v>4141192.2</v>
      </c>
      <c r="L493" s="23"/>
      <c r="M493" s="23"/>
      <c r="N493" s="42"/>
      <c r="O493" s="24"/>
      <c r="R493" s="27"/>
      <c r="U493" s="23"/>
    </row>
    <row r="494" spans="1:21" s="12" customFormat="1">
      <c r="A494" s="15" t="s">
        <v>97</v>
      </c>
      <c r="B494" s="75" t="s">
        <v>227</v>
      </c>
      <c r="C494" s="39" t="s">
        <v>17</v>
      </c>
      <c r="D494" s="140">
        <v>40</v>
      </c>
      <c r="E494" s="140"/>
      <c r="F494" s="140">
        <v>40</v>
      </c>
      <c r="G494" s="140"/>
      <c r="H494" s="40">
        <f>SUM(Tabla13267[[#This Row],[PRIMER TRIMESTRE]:[CUARTO TRIMESTRE]])</f>
        <v>80</v>
      </c>
      <c r="I494" s="17">
        <v>110.2</v>
      </c>
      <c r="J494" s="17">
        <f>+Tabla13267[[#This Row],[CANTIDAD TOTAL]]*Tabla13267[[#This Row],[PRECIO UNITARIO ESTIMADO]]</f>
        <v>8816</v>
      </c>
      <c r="K494" s="17"/>
      <c r="L494" s="16" t="s">
        <v>27</v>
      </c>
      <c r="M494" s="16" t="s">
        <v>22</v>
      </c>
      <c r="N494" s="39"/>
      <c r="O494" s="20"/>
    </row>
    <row r="495" spans="1:21" s="12" customFormat="1">
      <c r="A495" s="15" t="s">
        <v>97</v>
      </c>
      <c r="B495" s="75" t="s">
        <v>228</v>
      </c>
      <c r="C495" s="39" t="s">
        <v>17</v>
      </c>
      <c r="D495" s="140">
        <v>100</v>
      </c>
      <c r="E495" s="140"/>
      <c r="F495" s="140">
        <v>100</v>
      </c>
      <c r="G495" s="140"/>
      <c r="H495" s="40">
        <f>SUM(Tabla13267[[#This Row],[PRIMER TRIMESTRE]:[CUARTO TRIMESTRE]])</f>
        <v>200</v>
      </c>
      <c r="I495" s="17">
        <v>156.5</v>
      </c>
      <c r="J495" s="17">
        <f>+Tabla13267[[#This Row],[CANTIDAD TOTAL]]*Tabla13267[[#This Row],[PRECIO UNITARIO ESTIMADO]]</f>
        <v>31300</v>
      </c>
      <c r="K495" s="17"/>
      <c r="L495" s="16" t="s">
        <v>27</v>
      </c>
      <c r="M495" s="16" t="s">
        <v>22</v>
      </c>
      <c r="N495" s="39"/>
      <c r="O495" s="20"/>
    </row>
    <row r="496" spans="1:21" s="12" customFormat="1" ht="19.5" customHeight="1">
      <c r="A496" s="15" t="s">
        <v>97</v>
      </c>
      <c r="B496" s="75" t="s">
        <v>572</v>
      </c>
      <c r="C496" s="39" t="s">
        <v>17</v>
      </c>
      <c r="D496" s="140">
        <v>11</v>
      </c>
      <c r="E496" s="140"/>
      <c r="F496" s="140">
        <v>10</v>
      </c>
      <c r="G496" s="140"/>
      <c r="H496" s="40">
        <f>SUM(Tabla13267[[#This Row],[PRIMER TRIMESTRE]:[CUARTO TRIMESTRE]])</f>
        <v>21</v>
      </c>
      <c r="I496" s="17">
        <v>14500</v>
      </c>
      <c r="J496" s="17">
        <f>+H496*I496</f>
        <v>304500</v>
      </c>
      <c r="K496" s="17"/>
      <c r="L496" s="16" t="s">
        <v>27</v>
      </c>
      <c r="M496" s="30" t="s">
        <v>22</v>
      </c>
      <c r="N496" s="44"/>
      <c r="O496" s="20"/>
    </row>
    <row r="497" spans="1:15" s="12" customFormat="1" ht="34.5" customHeight="1">
      <c r="A497" s="15" t="s">
        <v>97</v>
      </c>
      <c r="B497" s="75" t="s">
        <v>220</v>
      </c>
      <c r="C497" s="39" t="s">
        <v>17</v>
      </c>
      <c r="D497" s="140">
        <v>1</v>
      </c>
      <c r="E497" s="140"/>
      <c r="F497" s="140">
        <v>1</v>
      </c>
      <c r="G497" s="140"/>
      <c r="H497" s="40">
        <f>SUM(Tabla13267[[#This Row],[PRIMER TRIMESTRE]:[CUARTO TRIMESTRE]])</f>
        <v>2</v>
      </c>
      <c r="I497" s="17">
        <v>40165</v>
      </c>
      <c r="J497" s="17">
        <f>+Tabla13267[[#This Row],[CANTIDAD TOTAL]]*Tabla13267[[#This Row],[PRECIO UNITARIO ESTIMADO]]</f>
        <v>80330</v>
      </c>
      <c r="K497" s="17"/>
      <c r="L497" s="16" t="s">
        <v>27</v>
      </c>
      <c r="M497" s="16" t="s">
        <v>22</v>
      </c>
      <c r="N497" s="39"/>
      <c r="O497" s="20"/>
    </row>
    <row r="498" spans="1:15" s="12" customFormat="1">
      <c r="A498" s="15" t="s">
        <v>97</v>
      </c>
      <c r="B498" s="75" t="s">
        <v>213</v>
      </c>
      <c r="C498" s="39" t="s">
        <v>17</v>
      </c>
      <c r="D498" s="140">
        <v>4</v>
      </c>
      <c r="E498" s="140"/>
      <c r="F498" s="140">
        <v>4</v>
      </c>
      <c r="G498" s="140"/>
      <c r="H498" s="40">
        <f>SUM(Tabla13267[[#This Row],[PRIMER TRIMESTRE]:[CUARTO TRIMESTRE]])</f>
        <v>8</v>
      </c>
      <c r="I498" s="17">
        <v>30999.38</v>
      </c>
      <c r="J498" s="17">
        <f>+Tabla13267[[#This Row],[CANTIDAD TOTAL]]*Tabla13267[[#This Row],[PRECIO UNITARIO ESTIMADO]]</f>
        <v>247995.04</v>
      </c>
      <c r="K498" s="17"/>
      <c r="L498" s="16" t="s">
        <v>27</v>
      </c>
      <c r="M498" s="16" t="s">
        <v>22</v>
      </c>
      <c r="N498" s="39"/>
      <c r="O498" s="20"/>
    </row>
    <row r="499" spans="1:15" s="12" customFormat="1">
      <c r="A499" s="15" t="s">
        <v>97</v>
      </c>
      <c r="B499" s="75" t="s">
        <v>226</v>
      </c>
      <c r="C499" s="39" t="s">
        <v>17</v>
      </c>
      <c r="D499" s="140">
        <v>3</v>
      </c>
      <c r="E499" s="140"/>
      <c r="F499" s="140">
        <v>4</v>
      </c>
      <c r="G499" s="140"/>
      <c r="H499" s="40">
        <f>SUM(Tabla13267[[#This Row],[PRIMER TRIMESTRE]:[CUARTO TRIMESTRE]])</f>
        <v>7</v>
      </c>
      <c r="I499" s="17">
        <v>14929.2</v>
      </c>
      <c r="J499" s="17">
        <f>+Tabla13267[[#This Row],[CANTIDAD TOTAL]]*Tabla13267[[#This Row],[PRECIO UNITARIO ESTIMADO]]</f>
        <v>104504.40000000001</v>
      </c>
      <c r="K499" s="17"/>
      <c r="L499" s="16" t="s">
        <v>27</v>
      </c>
      <c r="M499" s="16" t="s">
        <v>22</v>
      </c>
      <c r="N499" s="39"/>
      <c r="O499" s="20"/>
    </row>
    <row r="500" spans="1:15" s="12" customFormat="1" ht="20.25" customHeight="1">
      <c r="A500" s="15" t="s">
        <v>97</v>
      </c>
      <c r="B500" s="75" t="s">
        <v>229</v>
      </c>
      <c r="C500" s="39" t="s">
        <v>17</v>
      </c>
      <c r="D500" s="140">
        <v>30</v>
      </c>
      <c r="E500" s="140"/>
      <c r="F500" s="140">
        <v>30</v>
      </c>
      <c r="G500" s="140"/>
      <c r="H500" s="40">
        <f>SUM(Tabla13267[[#This Row],[PRIMER TRIMESTRE]:[CUARTO TRIMESTRE]])</f>
        <v>60</v>
      </c>
      <c r="I500" s="17">
        <v>3040.44</v>
      </c>
      <c r="J500" s="17">
        <f>+Tabla13267[[#This Row],[CANTIDAD TOTAL]]*Tabla13267[[#This Row],[PRECIO UNITARIO ESTIMADO]]</f>
        <v>182426.4</v>
      </c>
      <c r="K500" s="17"/>
      <c r="L500" s="16" t="s">
        <v>27</v>
      </c>
      <c r="M500" s="16" t="s">
        <v>22</v>
      </c>
      <c r="N500" s="39"/>
      <c r="O500" s="20"/>
    </row>
    <row r="501" spans="1:15" s="12" customFormat="1" ht="34.5" customHeight="1">
      <c r="A501" s="15" t="s">
        <v>97</v>
      </c>
      <c r="B501" s="75" t="s">
        <v>772</v>
      </c>
      <c r="C501" s="39" t="s">
        <v>17</v>
      </c>
      <c r="D501" s="140">
        <v>30</v>
      </c>
      <c r="E501" s="140"/>
      <c r="F501" s="140">
        <v>30</v>
      </c>
      <c r="G501" s="140"/>
      <c r="H501" s="40">
        <f>SUM(Tabla13267[[#This Row],[PRIMER TRIMESTRE]:[CUARTO TRIMESTRE]])</f>
        <v>60</v>
      </c>
      <c r="I501" s="72">
        <v>3428.95</v>
      </c>
      <c r="J501" s="17">
        <f>+H501*I501</f>
        <v>205737</v>
      </c>
      <c r="K501" s="17"/>
      <c r="L501" s="16" t="s">
        <v>27</v>
      </c>
      <c r="M501" s="16" t="s">
        <v>22</v>
      </c>
      <c r="N501" s="39"/>
      <c r="O501" s="18"/>
    </row>
    <row r="502" spans="1:15" s="12" customFormat="1" ht="27.75" customHeight="1">
      <c r="A502" s="15" t="s">
        <v>97</v>
      </c>
      <c r="B502" s="75" t="s">
        <v>770</v>
      </c>
      <c r="C502" s="39" t="s">
        <v>17</v>
      </c>
      <c r="D502" s="140">
        <v>20</v>
      </c>
      <c r="E502" s="140"/>
      <c r="F502" s="140">
        <v>20</v>
      </c>
      <c r="G502" s="140"/>
      <c r="H502" s="40">
        <f>SUM(Tabla13267[[#This Row],[PRIMER TRIMESTRE]:[CUARTO TRIMESTRE]])</f>
        <v>40</v>
      </c>
      <c r="I502" s="17">
        <v>12528</v>
      </c>
      <c r="J502" s="17">
        <f>+Tabla13267[[#This Row],[CANTIDAD TOTAL]]*Tabla13267[[#This Row],[PRECIO UNITARIO ESTIMADO]]</f>
        <v>501120</v>
      </c>
      <c r="K502" s="17"/>
      <c r="L502" s="16" t="s">
        <v>27</v>
      </c>
      <c r="M502" s="16" t="s">
        <v>22</v>
      </c>
      <c r="N502" s="39"/>
      <c r="O502" s="20"/>
    </row>
    <row r="503" spans="1:15" s="12" customFormat="1" ht="27.75" customHeight="1">
      <c r="A503" s="15" t="s">
        <v>97</v>
      </c>
      <c r="B503" s="75" t="s">
        <v>771</v>
      </c>
      <c r="C503" s="39" t="s">
        <v>17</v>
      </c>
      <c r="D503" s="140">
        <v>15</v>
      </c>
      <c r="E503" s="140"/>
      <c r="F503" s="140">
        <v>15</v>
      </c>
      <c r="G503" s="140"/>
      <c r="H503" s="40">
        <f>SUM(Tabla13267[[#This Row],[PRIMER TRIMESTRE]:[CUARTO TRIMESTRE]])</f>
        <v>30</v>
      </c>
      <c r="I503" s="72">
        <v>42303</v>
      </c>
      <c r="J503" s="17">
        <f>+H503*I503</f>
        <v>1269090</v>
      </c>
      <c r="K503" s="17"/>
      <c r="L503" s="16" t="s">
        <v>27</v>
      </c>
      <c r="M503" s="16" t="s">
        <v>22</v>
      </c>
      <c r="N503" s="39"/>
      <c r="O503" s="18"/>
    </row>
    <row r="504" spans="1:15" s="12" customFormat="1" ht="26.25" customHeight="1">
      <c r="A504" s="15" t="s">
        <v>97</v>
      </c>
      <c r="B504" s="75" t="s">
        <v>212</v>
      </c>
      <c r="C504" s="39" t="s">
        <v>17</v>
      </c>
      <c r="D504" s="140">
        <v>1</v>
      </c>
      <c r="E504" s="140"/>
      <c r="F504" s="140"/>
      <c r="G504" s="140"/>
      <c r="H504" s="40">
        <f>SUM(Tabla13267[[#This Row],[PRIMER TRIMESTRE]:[CUARTO TRIMESTRE]])</f>
        <v>1</v>
      </c>
      <c r="I504" s="17">
        <v>280500</v>
      </c>
      <c r="J504" s="17">
        <f>+Tabla13267[[#This Row],[CANTIDAD TOTAL]]*Tabla13267[[#This Row],[PRECIO UNITARIO ESTIMADO]]</f>
        <v>280500</v>
      </c>
      <c r="K504" s="17"/>
      <c r="L504" s="16" t="s">
        <v>27</v>
      </c>
      <c r="M504" s="16" t="s">
        <v>22</v>
      </c>
      <c r="N504" s="39"/>
      <c r="O504" s="20"/>
    </row>
    <row r="505" spans="1:15" s="12" customFormat="1">
      <c r="A505" s="15" t="s">
        <v>97</v>
      </c>
      <c r="B505" s="75" t="s">
        <v>214</v>
      </c>
      <c r="C505" s="39" t="s">
        <v>17</v>
      </c>
      <c r="D505" s="140">
        <v>1</v>
      </c>
      <c r="E505" s="140"/>
      <c r="F505" s="140">
        <v>1</v>
      </c>
      <c r="G505" s="140"/>
      <c r="H505" s="40">
        <f>SUM(Tabla13267[[#This Row],[PRIMER TRIMESTRE]:[CUARTO TRIMESTRE]])</f>
        <v>2</v>
      </c>
      <c r="I505" s="17">
        <v>62762.6</v>
      </c>
      <c r="J505" s="17">
        <f>+Tabla13267[[#This Row],[CANTIDAD TOTAL]]*Tabla13267[[#This Row],[PRECIO UNITARIO ESTIMADO]]</f>
        <v>125525.2</v>
      </c>
      <c r="K505" s="17"/>
      <c r="L505" s="16" t="s">
        <v>27</v>
      </c>
      <c r="M505" s="16" t="s">
        <v>22</v>
      </c>
      <c r="N505" s="39"/>
      <c r="O505" s="20"/>
    </row>
    <row r="506" spans="1:15" s="12" customFormat="1">
      <c r="A506" s="15" t="s">
        <v>97</v>
      </c>
      <c r="B506" s="75" t="s">
        <v>215</v>
      </c>
      <c r="C506" s="39" t="s">
        <v>17</v>
      </c>
      <c r="D506" s="140">
        <v>6</v>
      </c>
      <c r="E506" s="140"/>
      <c r="F506" s="140">
        <v>5</v>
      </c>
      <c r="G506" s="140"/>
      <c r="H506" s="40">
        <f>SUM(Tabla13267[[#This Row],[PRIMER TRIMESTRE]:[CUARTO TRIMESTRE]])</f>
        <v>11</v>
      </c>
      <c r="I506" s="17">
        <v>14453.6</v>
      </c>
      <c r="J506" s="17">
        <f>+Tabla13267[[#This Row],[CANTIDAD TOTAL]]*Tabla13267[[#This Row],[PRECIO UNITARIO ESTIMADO]]</f>
        <v>158989.6</v>
      </c>
      <c r="K506" s="17"/>
      <c r="L506" s="16" t="s">
        <v>27</v>
      </c>
      <c r="M506" s="16" t="s">
        <v>22</v>
      </c>
      <c r="N506" s="39"/>
      <c r="O506" s="20"/>
    </row>
    <row r="507" spans="1:15" s="12" customFormat="1">
      <c r="A507" s="15" t="s">
        <v>97</v>
      </c>
      <c r="B507" s="75" t="s">
        <v>216</v>
      </c>
      <c r="C507" s="39" t="s">
        <v>17</v>
      </c>
      <c r="D507" s="140">
        <v>1</v>
      </c>
      <c r="E507" s="140"/>
      <c r="F507" s="140"/>
      <c r="G507" s="140"/>
      <c r="H507" s="40">
        <f>SUM(Tabla13267[[#This Row],[PRIMER TRIMESTRE]:[CUARTO TRIMESTRE]])</f>
        <v>1</v>
      </c>
      <c r="I507" s="17">
        <v>58701.8</v>
      </c>
      <c r="J507" s="17">
        <f>+Tabla13267[[#This Row],[CANTIDAD TOTAL]]*Tabla13267[[#This Row],[PRECIO UNITARIO ESTIMADO]]</f>
        <v>58701.8</v>
      </c>
      <c r="K507" s="17"/>
      <c r="L507" s="16" t="s">
        <v>27</v>
      </c>
      <c r="M507" s="16" t="s">
        <v>22</v>
      </c>
      <c r="N507" s="39"/>
      <c r="O507" s="20"/>
    </row>
    <row r="508" spans="1:15" s="12" customFormat="1" ht="34.5" customHeight="1">
      <c r="A508" s="15" t="s">
        <v>97</v>
      </c>
      <c r="B508" s="75" t="s">
        <v>217</v>
      </c>
      <c r="C508" s="39" t="s">
        <v>17</v>
      </c>
      <c r="D508" s="140">
        <v>1</v>
      </c>
      <c r="E508" s="140"/>
      <c r="F508" s="140">
        <v>1</v>
      </c>
      <c r="G508" s="140"/>
      <c r="H508" s="40">
        <f>SUM(Tabla13267[[#This Row],[PRIMER TRIMESTRE]:[CUARTO TRIMESTRE]])</f>
        <v>2</v>
      </c>
      <c r="I508" s="17">
        <v>36540</v>
      </c>
      <c r="J508" s="17">
        <f>+Tabla13267[[#This Row],[CANTIDAD TOTAL]]*Tabla13267[[#This Row],[PRECIO UNITARIO ESTIMADO]]</f>
        <v>73080</v>
      </c>
      <c r="K508" s="17"/>
      <c r="L508" s="16" t="s">
        <v>27</v>
      </c>
      <c r="M508" s="16" t="s">
        <v>22</v>
      </c>
      <c r="N508" s="39"/>
      <c r="O508" s="20"/>
    </row>
    <row r="509" spans="1:15" s="12" customFormat="1" ht="34.5" customHeight="1">
      <c r="A509" s="15" t="s">
        <v>97</v>
      </c>
      <c r="B509" s="75" t="s">
        <v>218</v>
      </c>
      <c r="C509" s="39" t="s">
        <v>17</v>
      </c>
      <c r="D509" s="140">
        <v>1</v>
      </c>
      <c r="E509" s="140"/>
      <c r="F509" s="140"/>
      <c r="G509" s="140"/>
      <c r="H509" s="40">
        <f>SUM(Tabla13267[[#This Row],[PRIMER TRIMESTRE]:[CUARTO TRIMESTRE]])</f>
        <v>1</v>
      </c>
      <c r="I509" s="17">
        <v>60262</v>
      </c>
      <c r="J509" s="17">
        <f>+Tabla13267[[#This Row],[CANTIDAD TOTAL]]*Tabla13267[[#This Row],[PRECIO UNITARIO ESTIMADO]]</f>
        <v>60262</v>
      </c>
      <c r="K509" s="17"/>
      <c r="L509" s="16" t="s">
        <v>27</v>
      </c>
      <c r="M509" s="16" t="s">
        <v>22</v>
      </c>
      <c r="N509" s="39"/>
      <c r="O509" s="20"/>
    </row>
    <row r="510" spans="1:15" s="12" customFormat="1" ht="34.5" customHeight="1">
      <c r="A510" s="15" t="s">
        <v>97</v>
      </c>
      <c r="B510" s="75" t="s">
        <v>219</v>
      </c>
      <c r="C510" s="39" t="s">
        <v>17</v>
      </c>
      <c r="D510" s="140">
        <v>1</v>
      </c>
      <c r="E510" s="140"/>
      <c r="F510" s="140">
        <v>2</v>
      </c>
      <c r="G510" s="140"/>
      <c r="H510" s="40">
        <f>SUM(Tabla13267[[#This Row],[PRIMER TRIMESTRE]:[CUARTO TRIMESTRE]])</f>
        <v>3</v>
      </c>
      <c r="I510" s="17">
        <v>59757.4</v>
      </c>
      <c r="J510" s="17">
        <f>+Tabla13267[[#This Row],[CANTIDAD TOTAL]]*Tabla13267[[#This Row],[PRECIO UNITARIO ESTIMADO]]</f>
        <v>179272.2</v>
      </c>
      <c r="K510" s="17"/>
      <c r="L510" s="16" t="s">
        <v>27</v>
      </c>
      <c r="M510" s="16" t="s">
        <v>22</v>
      </c>
      <c r="N510" s="39"/>
      <c r="O510" s="20"/>
    </row>
    <row r="511" spans="1:15" s="12" customFormat="1" ht="34.5" customHeight="1">
      <c r="A511" s="15" t="s">
        <v>97</v>
      </c>
      <c r="B511" s="75" t="s">
        <v>317</v>
      </c>
      <c r="C511" s="44" t="s">
        <v>17</v>
      </c>
      <c r="D511" s="140">
        <v>2</v>
      </c>
      <c r="E511" s="140"/>
      <c r="F511" s="140">
        <v>2</v>
      </c>
      <c r="G511" s="140"/>
      <c r="H511" s="40">
        <f>SUM(Tabla13267[[#This Row],[PRIMER TRIMESTRE]:[CUARTO TRIMESTRE]])</f>
        <v>4</v>
      </c>
      <c r="I511" s="17">
        <f>1252664.4/5</f>
        <v>250532.87999999998</v>
      </c>
      <c r="J511" s="17">
        <f>+Tabla13267[[#This Row],[CANTIDAD TOTAL]]*Tabla13267[[#This Row],[PRECIO UNITARIO ESTIMADO]]</f>
        <v>1002131.5199999999</v>
      </c>
      <c r="K511" s="17"/>
      <c r="L511" s="16" t="s">
        <v>27</v>
      </c>
      <c r="M511" s="30" t="s">
        <v>22</v>
      </c>
      <c r="N511" s="44"/>
      <c r="O511" s="20"/>
    </row>
    <row r="512" spans="1:15" s="12" customFormat="1" ht="34.5" customHeight="1">
      <c r="A512" s="15" t="s">
        <v>97</v>
      </c>
      <c r="B512" s="75" t="s">
        <v>221</v>
      </c>
      <c r="C512" s="39" t="s">
        <v>17</v>
      </c>
      <c r="D512" s="140">
        <v>1</v>
      </c>
      <c r="E512" s="140"/>
      <c r="F512" s="140">
        <v>1</v>
      </c>
      <c r="G512" s="140"/>
      <c r="H512" s="40">
        <f>SUM(Tabla13267[[#This Row],[PRIMER TRIMESTRE]:[CUARTO TRIMESTRE]])</f>
        <v>2</v>
      </c>
      <c r="I512" s="17">
        <v>100060.44</v>
      </c>
      <c r="J512" s="17">
        <f>+Tabla13267[[#This Row],[CANTIDAD TOTAL]]*Tabla13267[[#This Row],[PRECIO UNITARIO ESTIMADO]]</f>
        <v>200120.88</v>
      </c>
      <c r="K512" s="17"/>
      <c r="L512" s="16" t="s">
        <v>27</v>
      </c>
      <c r="M512" s="16" t="s">
        <v>22</v>
      </c>
      <c r="N512" s="39"/>
      <c r="O512" s="20"/>
    </row>
    <row r="513" spans="1:21" s="12" customFormat="1" ht="34.5" customHeight="1">
      <c r="A513" s="15" t="s">
        <v>97</v>
      </c>
      <c r="B513" s="75" t="s">
        <v>222</v>
      </c>
      <c r="C513" s="39" t="s">
        <v>17</v>
      </c>
      <c r="D513" s="140">
        <v>1</v>
      </c>
      <c r="E513" s="140"/>
      <c r="F513" s="140">
        <v>2</v>
      </c>
      <c r="G513" s="140"/>
      <c r="H513" s="40">
        <f>SUM(Tabla13267[[#This Row],[PRIMER TRIMESTRE]:[CUARTO TRIMESTRE]])</f>
        <v>3</v>
      </c>
      <c r="I513" s="17">
        <v>327948.84999999998</v>
      </c>
      <c r="J513" s="17">
        <f>+Tabla13267[[#This Row],[CANTIDAD TOTAL]]*Tabla13267[[#This Row],[PRECIO UNITARIO ESTIMADO]]</f>
        <v>983846.54999999993</v>
      </c>
      <c r="K513" s="17"/>
      <c r="L513" s="16" t="s">
        <v>27</v>
      </c>
      <c r="M513" s="16" t="s">
        <v>22</v>
      </c>
      <c r="N513" s="39"/>
      <c r="O513" s="20"/>
    </row>
    <row r="514" spans="1:21" s="12" customFormat="1" ht="34.5" customHeight="1">
      <c r="A514" s="15" t="s">
        <v>97</v>
      </c>
      <c r="B514" s="75" t="s">
        <v>223</v>
      </c>
      <c r="C514" s="39" t="s">
        <v>17</v>
      </c>
      <c r="D514" s="140">
        <v>1</v>
      </c>
      <c r="E514" s="140"/>
      <c r="F514" s="140">
        <v>3</v>
      </c>
      <c r="G514" s="140"/>
      <c r="H514" s="40">
        <f>SUM(Tabla13267[[#This Row],[PRIMER TRIMESTRE]:[CUARTO TRIMESTRE]])</f>
        <v>4</v>
      </c>
      <c r="I514" s="17">
        <v>16744.599999999999</v>
      </c>
      <c r="J514" s="17">
        <f>+Tabla13267[[#This Row],[CANTIDAD TOTAL]]*Tabla13267[[#This Row],[PRECIO UNITARIO ESTIMADO]]</f>
        <v>66978.399999999994</v>
      </c>
      <c r="K514" s="17"/>
      <c r="L514" s="16" t="s">
        <v>27</v>
      </c>
      <c r="M514" s="16" t="s">
        <v>22</v>
      </c>
      <c r="N514" s="39"/>
      <c r="O514" s="20"/>
    </row>
    <row r="515" spans="1:21" s="12" customFormat="1" ht="34.5" customHeight="1">
      <c r="A515" s="15" t="s">
        <v>97</v>
      </c>
      <c r="B515" s="75" t="s">
        <v>224</v>
      </c>
      <c r="C515" s="39" t="s">
        <v>17</v>
      </c>
      <c r="D515" s="140">
        <v>1</v>
      </c>
      <c r="E515" s="140"/>
      <c r="F515" s="140"/>
      <c r="G515" s="140"/>
      <c r="H515" s="40">
        <f>SUM(Tabla13267[[#This Row],[PRIMER TRIMESTRE]:[CUARTO TRIMESTRE]])</f>
        <v>1</v>
      </c>
      <c r="I515" s="17">
        <v>52380.2</v>
      </c>
      <c r="J515" s="17">
        <f>+Tabla13267[[#This Row],[CANTIDAD TOTAL]]*Tabla13267[[#This Row],[PRECIO UNITARIO ESTIMADO]]</f>
        <v>52380.2</v>
      </c>
      <c r="K515" s="17"/>
      <c r="L515" s="16" t="s">
        <v>27</v>
      </c>
      <c r="M515" s="16" t="s">
        <v>22</v>
      </c>
      <c r="N515" s="39"/>
      <c r="O515" s="20"/>
    </row>
    <row r="516" spans="1:21" s="12" customFormat="1">
      <c r="A516" s="15" t="s">
        <v>97</v>
      </c>
      <c r="B516" s="75" t="s">
        <v>225</v>
      </c>
      <c r="C516" s="39" t="s">
        <v>17</v>
      </c>
      <c r="D516" s="140">
        <v>1</v>
      </c>
      <c r="E516" s="140"/>
      <c r="F516" s="140"/>
      <c r="G516" s="140"/>
      <c r="H516" s="40">
        <f>SUM(Tabla13267[[#This Row],[PRIMER TRIMESTRE]:[CUARTO TRIMESTRE]])</f>
        <v>1</v>
      </c>
      <c r="I516" s="17">
        <v>99342.399999999994</v>
      </c>
      <c r="J516" s="17">
        <f>+Tabla13267[[#This Row],[CANTIDAD TOTAL]]*Tabla13267[[#This Row],[PRECIO UNITARIO ESTIMADO]]</f>
        <v>99342.399999999994</v>
      </c>
      <c r="K516" s="17"/>
      <c r="L516" s="16" t="s">
        <v>27</v>
      </c>
      <c r="M516" s="16" t="s">
        <v>22</v>
      </c>
      <c r="N516" s="39"/>
      <c r="O516" s="20"/>
    </row>
    <row r="517" spans="1:21" s="26" customFormat="1" ht="55.5" customHeight="1">
      <c r="A517" s="22" t="s">
        <v>97</v>
      </c>
      <c r="B517" s="76"/>
      <c r="C517" s="42"/>
      <c r="D517" s="42"/>
      <c r="E517" s="42"/>
      <c r="F517" s="42"/>
      <c r="G517" s="42"/>
      <c r="H517" s="43"/>
      <c r="I517" s="24"/>
      <c r="J517" s="24"/>
      <c r="K517" s="25">
        <f>SUM(J494:J516)</f>
        <v>6276949.5900000008</v>
      </c>
      <c r="L517" s="23"/>
      <c r="M517" s="23"/>
      <c r="N517" s="42"/>
      <c r="O517" s="24"/>
      <c r="R517" s="27"/>
      <c r="U517" s="23"/>
    </row>
    <row r="518" spans="1:21" s="12" customFormat="1" ht="31.5">
      <c r="A518" s="15" t="s">
        <v>99</v>
      </c>
      <c r="B518" s="75" t="s">
        <v>306</v>
      </c>
      <c r="C518" s="44" t="s">
        <v>33</v>
      </c>
      <c r="D518" s="39"/>
      <c r="E518" s="140">
        <v>90</v>
      </c>
      <c r="F518" s="39"/>
      <c r="G518" s="39"/>
      <c r="H518" s="40">
        <f>SUM(Tabla13267[[#This Row],[PRIMER TRIMESTRE]:[CUARTO TRIMESTRE]])</f>
        <v>90</v>
      </c>
      <c r="I518" s="17">
        <v>260</v>
      </c>
      <c r="J518" s="17">
        <f>+Tabla13267[[#This Row],[CANTIDAD TOTAL]]*Tabla13267[[#This Row],[PRECIO UNITARIO ESTIMADO]]</f>
        <v>23400</v>
      </c>
      <c r="K518" s="17"/>
      <c r="L518" s="16" t="s">
        <v>15</v>
      </c>
      <c r="M518" s="16" t="s">
        <v>22</v>
      </c>
      <c r="N518" s="39" t="s">
        <v>418</v>
      </c>
      <c r="O518" s="20"/>
    </row>
    <row r="519" spans="1:21" s="12" customFormat="1" ht="31.5">
      <c r="A519" s="15" t="s">
        <v>99</v>
      </c>
      <c r="B519" s="75" t="s">
        <v>307</v>
      </c>
      <c r="C519" s="44" t="s">
        <v>308</v>
      </c>
      <c r="D519" s="39"/>
      <c r="E519" s="140">
        <v>3</v>
      </c>
      <c r="F519" s="39"/>
      <c r="G519" s="39"/>
      <c r="H519" s="40">
        <f>SUM(Tabla13267[[#This Row],[PRIMER TRIMESTRE]:[CUARTO TRIMESTRE]])</f>
        <v>3</v>
      </c>
      <c r="I519" s="17">
        <v>1237.82</v>
      </c>
      <c r="J519" s="17">
        <f>+Tabla13267[[#This Row],[CANTIDAD TOTAL]]*Tabla13267[[#This Row],[PRECIO UNITARIO ESTIMADO]]</f>
        <v>3713.46</v>
      </c>
      <c r="K519" s="17"/>
      <c r="L519" s="16" t="s">
        <v>15</v>
      </c>
      <c r="M519" s="16" t="s">
        <v>22</v>
      </c>
      <c r="N519" s="39" t="s">
        <v>418</v>
      </c>
      <c r="O519" s="20"/>
    </row>
    <row r="520" spans="1:21" s="12" customFormat="1" ht="31.5">
      <c r="A520" s="15" t="s">
        <v>99</v>
      </c>
      <c r="B520" s="75" t="s">
        <v>309</v>
      </c>
      <c r="C520" s="44" t="s">
        <v>308</v>
      </c>
      <c r="D520" s="39"/>
      <c r="E520" s="140">
        <v>3</v>
      </c>
      <c r="F520" s="39"/>
      <c r="G520" s="39"/>
      <c r="H520" s="40">
        <f>SUM(Tabla13267[[#This Row],[PRIMER TRIMESTRE]:[CUARTO TRIMESTRE]])</f>
        <v>3</v>
      </c>
      <c r="I520" s="17">
        <v>1770</v>
      </c>
      <c r="J520" s="17">
        <f>+Tabla13267[[#This Row],[CANTIDAD TOTAL]]*Tabla13267[[#This Row],[PRECIO UNITARIO ESTIMADO]]</f>
        <v>5310</v>
      </c>
      <c r="K520" s="17"/>
      <c r="L520" s="16" t="s">
        <v>15</v>
      </c>
      <c r="M520" s="30" t="s">
        <v>22</v>
      </c>
      <c r="N520" s="39" t="s">
        <v>418</v>
      </c>
      <c r="O520" s="20"/>
    </row>
    <row r="521" spans="1:21" s="12" customFormat="1" ht="31.5">
      <c r="A521" s="15" t="s">
        <v>99</v>
      </c>
      <c r="B521" s="75" t="s">
        <v>230</v>
      </c>
      <c r="C521" s="39" t="s">
        <v>17</v>
      </c>
      <c r="D521" s="39"/>
      <c r="E521" s="140">
        <v>11</v>
      </c>
      <c r="F521" s="39"/>
      <c r="G521" s="39"/>
      <c r="H521" s="40">
        <f>SUM(Tabla13267[[#This Row],[PRIMER TRIMESTRE]:[CUARTO TRIMESTRE]])</f>
        <v>11</v>
      </c>
      <c r="I521" s="17">
        <v>1740</v>
      </c>
      <c r="J521" s="17">
        <f>+Tabla13267[[#This Row],[CANTIDAD TOTAL]]*Tabla13267[[#This Row],[PRECIO UNITARIO ESTIMADO]]</f>
        <v>19140</v>
      </c>
      <c r="K521" s="17"/>
      <c r="L521" s="16" t="s">
        <v>15</v>
      </c>
      <c r="M521" s="16" t="s">
        <v>22</v>
      </c>
      <c r="N521" s="39" t="s">
        <v>418</v>
      </c>
      <c r="O521" s="20"/>
    </row>
    <row r="522" spans="1:21" s="12" customFormat="1" ht="31.5">
      <c r="A522" s="15" t="s">
        <v>99</v>
      </c>
      <c r="B522" s="75" t="s">
        <v>310</v>
      </c>
      <c r="C522" s="44" t="s">
        <v>308</v>
      </c>
      <c r="D522" s="39"/>
      <c r="E522" s="140">
        <v>1</v>
      </c>
      <c r="F522" s="39"/>
      <c r="G522" s="39"/>
      <c r="H522" s="40">
        <f>SUM(Tabla13267[[#This Row],[PRIMER TRIMESTRE]:[CUARTO TRIMESTRE]])</f>
        <v>1</v>
      </c>
      <c r="I522" s="17">
        <v>1298</v>
      </c>
      <c r="J522" s="17">
        <f>+Tabla13267[[#This Row],[CANTIDAD TOTAL]]*Tabla13267[[#This Row],[PRECIO UNITARIO ESTIMADO]]</f>
        <v>1298</v>
      </c>
      <c r="K522" s="17"/>
      <c r="L522" s="16" t="s">
        <v>15</v>
      </c>
      <c r="M522" s="30" t="s">
        <v>22</v>
      </c>
      <c r="N522" s="39" t="s">
        <v>418</v>
      </c>
      <c r="O522" s="20"/>
    </row>
    <row r="523" spans="1:21" s="12" customFormat="1" ht="31.5">
      <c r="A523" s="15" t="s">
        <v>99</v>
      </c>
      <c r="B523" s="75" t="s">
        <v>311</v>
      </c>
      <c r="C523" s="44" t="s">
        <v>312</v>
      </c>
      <c r="D523" s="39"/>
      <c r="E523" s="140">
        <v>2</v>
      </c>
      <c r="F523" s="39"/>
      <c r="G523" s="39"/>
      <c r="H523" s="40">
        <f>SUM(Tabla13267[[#This Row],[PRIMER TRIMESTRE]:[CUARTO TRIMESTRE]])</f>
        <v>2</v>
      </c>
      <c r="I523" s="17">
        <v>3418.58</v>
      </c>
      <c r="J523" s="17">
        <f>+Tabla13267[[#This Row],[CANTIDAD TOTAL]]*Tabla13267[[#This Row],[PRECIO UNITARIO ESTIMADO]]</f>
        <v>6837.16</v>
      </c>
      <c r="K523" s="17"/>
      <c r="L523" s="16" t="s">
        <v>15</v>
      </c>
      <c r="M523" s="30" t="s">
        <v>22</v>
      </c>
      <c r="N523" s="39" t="s">
        <v>418</v>
      </c>
      <c r="O523" s="20"/>
    </row>
    <row r="524" spans="1:21" s="12" customFormat="1" ht="31.5">
      <c r="A524" s="15" t="s">
        <v>99</v>
      </c>
      <c r="B524" s="75" t="s">
        <v>314</v>
      </c>
      <c r="C524" s="44" t="s">
        <v>315</v>
      </c>
      <c r="D524" s="39"/>
      <c r="E524" s="140">
        <v>1</v>
      </c>
      <c r="F524" s="39"/>
      <c r="G524" s="39"/>
      <c r="H524" s="40">
        <f>SUM(Tabla13267[[#This Row],[PRIMER TRIMESTRE]:[CUARTO TRIMESTRE]])</f>
        <v>1</v>
      </c>
      <c r="I524" s="17">
        <v>1569.4</v>
      </c>
      <c r="J524" s="17">
        <f>+Tabla13267[[#This Row],[CANTIDAD TOTAL]]*Tabla13267[[#This Row],[PRECIO UNITARIO ESTIMADO]]</f>
        <v>1569.4</v>
      </c>
      <c r="K524" s="17"/>
      <c r="L524" s="16" t="s">
        <v>15</v>
      </c>
      <c r="M524" s="30" t="s">
        <v>22</v>
      </c>
      <c r="N524" s="39" t="s">
        <v>418</v>
      </c>
      <c r="O524" s="20"/>
    </row>
    <row r="525" spans="1:21" s="12" customFormat="1" ht="31.5">
      <c r="A525" s="15" t="s">
        <v>99</v>
      </c>
      <c r="B525" s="75" t="s">
        <v>313</v>
      </c>
      <c r="C525" s="44" t="s">
        <v>308</v>
      </c>
      <c r="D525" s="39"/>
      <c r="E525" s="140">
        <v>2</v>
      </c>
      <c r="F525" s="39"/>
      <c r="G525" s="39"/>
      <c r="H525" s="40">
        <f>SUM(Tabla13267[[#This Row],[PRIMER TRIMESTRE]:[CUARTO TRIMESTRE]])</f>
        <v>2</v>
      </c>
      <c r="I525" s="17">
        <v>3651.69</v>
      </c>
      <c r="J525" s="17">
        <f>+Tabla13267[[#This Row],[CANTIDAD TOTAL]]*Tabla13267[[#This Row],[PRECIO UNITARIO ESTIMADO]]</f>
        <v>7303.38</v>
      </c>
      <c r="K525" s="17"/>
      <c r="L525" s="16" t="s">
        <v>15</v>
      </c>
      <c r="M525" s="30" t="s">
        <v>22</v>
      </c>
      <c r="N525" s="39" t="s">
        <v>418</v>
      </c>
      <c r="O525" s="20"/>
    </row>
    <row r="526" spans="1:21" s="12" customFormat="1" ht="31.5">
      <c r="A526" s="15" t="s">
        <v>99</v>
      </c>
      <c r="B526" s="75" t="s">
        <v>231</v>
      </c>
      <c r="C526" s="39" t="s">
        <v>17</v>
      </c>
      <c r="D526" s="39"/>
      <c r="E526" s="140">
        <v>60</v>
      </c>
      <c r="F526" s="39"/>
      <c r="G526" s="39"/>
      <c r="H526" s="40">
        <f>SUM(Tabla13267[[#This Row],[PRIMER TRIMESTRE]:[CUARTO TRIMESTRE]])</f>
        <v>60</v>
      </c>
      <c r="I526" s="17">
        <v>574.20000000000005</v>
      </c>
      <c r="J526" s="17">
        <f>+Tabla13267[[#This Row],[CANTIDAD TOTAL]]*Tabla13267[[#This Row],[PRECIO UNITARIO ESTIMADO]]</f>
        <v>34452</v>
      </c>
      <c r="K526" s="17"/>
      <c r="L526" s="16" t="s">
        <v>15</v>
      </c>
      <c r="M526" s="16" t="s">
        <v>22</v>
      </c>
      <c r="N526" s="39" t="s">
        <v>418</v>
      </c>
      <c r="O526" s="20"/>
    </row>
    <row r="527" spans="1:21" s="12" customFormat="1" ht="31.5">
      <c r="A527" s="15" t="s">
        <v>99</v>
      </c>
      <c r="B527" s="75" t="s">
        <v>232</v>
      </c>
      <c r="C527" s="39" t="s">
        <v>17</v>
      </c>
      <c r="D527" s="39"/>
      <c r="E527" s="140">
        <v>30</v>
      </c>
      <c r="F527" s="39"/>
      <c r="G527" s="39"/>
      <c r="H527" s="40">
        <f>SUM(Tabla13267[[#This Row],[PRIMER TRIMESTRE]:[CUARTO TRIMESTRE]])</f>
        <v>30</v>
      </c>
      <c r="I527" s="17">
        <v>1035</v>
      </c>
      <c r="J527" s="17">
        <f>+Tabla13267[[#This Row],[CANTIDAD TOTAL]]*Tabla13267[[#This Row],[PRECIO UNITARIO ESTIMADO]]</f>
        <v>31050</v>
      </c>
      <c r="K527" s="17"/>
      <c r="L527" s="16" t="s">
        <v>15</v>
      </c>
      <c r="M527" s="16" t="s">
        <v>22</v>
      </c>
      <c r="N527" s="39" t="s">
        <v>418</v>
      </c>
      <c r="O527" s="20"/>
    </row>
    <row r="528" spans="1:21" s="26" customFormat="1" ht="27.75" customHeight="1">
      <c r="A528" s="22" t="s">
        <v>99</v>
      </c>
      <c r="B528" s="76"/>
      <c r="C528" s="42"/>
      <c r="D528" s="42"/>
      <c r="E528" s="42"/>
      <c r="F528" s="42"/>
      <c r="G528" s="42"/>
      <c r="H528" s="43"/>
      <c r="I528" s="24"/>
      <c r="J528" s="24"/>
      <c r="K528" s="25">
        <f>SUM(J518:J527)</f>
        <v>134073.4</v>
      </c>
      <c r="L528" s="23"/>
      <c r="M528" s="23"/>
      <c r="N528" s="42"/>
      <c r="O528" s="24"/>
      <c r="R528" s="27"/>
      <c r="U528" s="23"/>
    </row>
    <row r="529" spans="1:21" s="12" customFormat="1" ht="31.5">
      <c r="A529" s="15" t="s">
        <v>113</v>
      </c>
      <c r="B529" s="75" t="s">
        <v>236</v>
      </c>
      <c r="C529" s="39" t="s">
        <v>17</v>
      </c>
      <c r="D529" s="39"/>
      <c r="E529" s="140">
        <v>120</v>
      </c>
      <c r="F529" s="39"/>
      <c r="G529" s="39"/>
      <c r="H529" s="40">
        <f>SUM(Tabla13267[[#This Row],[PRIMER TRIMESTRE]:[CUARTO TRIMESTRE]])</f>
        <v>120</v>
      </c>
      <c r="I529" s="17">
        <v>806.2</v>
      </c>
      <c r="J529" s="17">
        <f>+Tabla13267[[#This Row],[CANTIDAD TOTAL]]*Tabla13267[[#This Row],[PRECIO UNITARIO ESTIMADO]]</f>
        <v>96744</v>
      </c>
      <c r="K529" s="17"/>
      <c r="L529" s="16" t="s">
        <v>15</v>
      </c>
      <c r="M529" s="16" t="s">
        <v>22</v>
      </c>
      <c r="N529" s="39" t="s">
        <v>418</v>
      </c>
      <c r="O529" s="20"/>
    </row>
    <row r="530" spans="1:21" s="12" customFormat="1" ht="31.5">
      <c r="A530" s="15" t="s">
        <v>113</v>
      </c>
      <c r="B530" s="75" t="s">
        <v>233</v>
      </c>
      <c r="C530" s="39" t="s">
        <v>234</v>
      </c>
      <c r="D530" s="39"/>
      <c r="E530" s="140">
        <v>1</v>
      </c>
      <c r="F530" s="39"/>
      <c r="G530" s="39"/>
      <c r="H530" s="40">
        <f>SUM(Tabla13267[[#This Row],[PRIMER TRIMESTRE]:[CUARTO TRIMESTRE]])</f>
        <v>1</v>
      </c>
      <c r="I530" s="17">
        <v>7099.2</v>
      </c>
      <c r="J530" s="17">
        <f>+Tabla13267[[#This Row],[CANTIDAD TOTAL]]*Tabla13267[[#This Row],[PRECIO UNITARIO ESTIMADO]]</f>
        <v>7099.2</v>
      </c>
      <c r="K530" s="17"/>
      <c r="L530" s="16" t="s">
        <v>15</v>
      </c>
      <c r="M530" s="16" t="s">
        <v>22</v>
      </c>
      <c r="N530" s="39" t="s">
        <v>418</v>
      </c>
      <c r="O530" s="20"/>
    </row>
    <row r="531" spans="1:21" s="12" customFormat="1" ht="31.5">
      <c r="A531" s="15" t="s">
        <v>113</v>
      </c>
      <c r="B531" s="75" t="s">
        <v>235</v>
      </c>
      <c r="C531" s="39" t="s">
        <v>69</v>
      </c>
      <c r="D531" s="39"/>
      <c r="E531" s="140">
        <v>200</v>
      </c>
      <c r="F531" s="39"/>
      <c r="G531" s="39"/>
      <c r="H531" s="40">
        <f>SUM(Tabla13267[[#This Row],[PRIMER TRIMESTRE]:[CUARTO TRIMESTRE]])</f>
        <v>200</v>
      </c>
      <c r="I531" s="17">
        <v>52.2</v>
      </c>
      <c r="J531" s="17">
        <f>+Tabla13267[[#This Row],[CANTIDAD TOTAL]]*Tabla13267[[#This Row],[PRECIO UNITARIO ESTIMADO]]</f>
        <v>10440</v>
      </c>
      <c r="K531" s="17"/>
      <c r="L531" s="16" t="s">
        <v>15</v>
      </c>
      <c r="M531" s="16" t="s">
        <v>22</v>
      </c>
      <c r="N531" s="39" t="s">
        <v>418</v>
      </c>
      <c r="O531" s="20"/>
    </row>
    <row r="532" spans="1:21" s="12" customFormat="1" ht="31.5">
      <c r="A532" s="15" t="s">
        <v>113</v>
      </c>
      <c r="B532" s="75" t="s">
        <v>320</v>
      </c>
      <c r="C532" s="44" t="s">
        <v>17</v>
      </c>
      <c r="D532" s="39"/>
      <c r="E532" s="140">
        <v>121</v>
      </c>
      <c r="F532" s="39"/>
      <c r="G532" s="39"/>
      <c r="H532" s="40">
        <f>SUM(Tabla13267[[#This Row],[PRIMER TRIMESTRE]:[CUARTO TRIMESTRE]])</f>
        <v>121</v>
      </c>
      <c r="I532" s="17">
        <f>41960.8/121</f>
        <v>346.7834710743802</v>
      </c>
      <c r="J532" s="17">
        <f>+Tabla13267[[#This Row],[CANTIDAD TOTAL]]*Tabla13267[[#This Row],[PRECIO UNITARIO ESTIMADO]]</f>
        <v>41960.800000000003</v>
      </c>
      <c r="K532" s="17"/>
      <c r="L532" s="16" t="s">
        <v>15</v>
      </c>
      <c r="M532" s="30" t="s">
        <v>22</v>
      </c>
      <c r="N532" s="44" t="s">
        <v>418</v>
      </c>
      <c r="O532" s="20"/>
    </row>
    <row r="533" spans="1:21" s="12" customFormat="1" ht="31.5">
      <c r="A533" s="15" t="s">
        <v>113</v>
      </c>
      <c r="B533" s="75" t="s">
        <v>237</v>
      </c>
      <c r="C533" s="39" t="s">
        <v>17</v>
      </c>
      <c r="D533" s="39"/>
      <c r="E533" s="140">
        <v>1</v>
      </c>
      <c r="F533" s="39"/>
      <c r="G533" s="39"/>
      <c r="H533" s="40">
        <f>SUM(Tabla13267[[#This Row],[PRIMER TRIMESTRE]:[CUARTO TRIMESTRE]])</f>
        <v>1</v>
      </c>
      <c r="I533" s="17">
        <v>668</v>
      </c>
      <c r="J533" s="17">
        <f>+Tabla13267[[#This Row],[CANTIDAD TOTAL]]*Tabla13267[[#This Row],[PRECIO UNITARIO ESTIMADO]]</f>
        <v>668</v>
      </c>
      <c r="K533" s="17"/>
      <c r="L533" s="16" t="s">
        <v>15</v>
      </c>
      <c r="M533" s="16" t="s">
        <v>22</v>
      </c>
      <c r="N533" s="39" t="s">
        <v>418</v>
      </c>
      <c r="O533" s="20"/>
    </row>
    <row r="534" spans="1:21" s="12" customFormat="1" ht="31.5">
      <c r="A534" s="15" t="s">
        <v>113</v>
      </c>
      <c r="B534" s="75" t="s">
        <v>238</v>
      </c>
      <c r="C534" s="39" t="s">
        <v>208</v>
      </c>
      <c r="D534" s="39"/>
      <c r="E534" s="140">
        <v>72</v>
      </c>
      <c r="F534" s="39"/>
      <c r="G534" s="39"/>
      <c r="H534" s="40">
        <f>SUM(Tabla13267[[#This Row],[PRIMER TRIMESTRE]:[CUARTO TRIMESTRE]])</f>
        <v>72</v>
      </c>
      <c r="I534" s="17">
        <v>754</v>
      </c>
      <c r="J534" s="17">
        <f>+Tabla13267[[#This Row],[CANTIDAD TOTAL]]*Tabla13267[[#This Row],[PRECIO UNITARIO ESTIMADO]]</f>
        <v>54288</v>
      </c>
      <c r="K534" s="17"/>
      <c r="L534" s="16" t="s">
        <v>15</v>
      </c>
      <c r="M534" s="16" t="s">
        <v>22</v>
      </c>
      <c r="N534" s="39" t="s">
        <v>418</v>
      </c>
      <c r="O534" s="20"/>
    </row>
    <row r="535" spans="1:21" s="26" customFormat="1" ht="27.75" customHeight="1">
      <c r="A535" s="22" t="s">
        <v>113</v>
      </c>
      <c r="B535" s="76"/>
      <c r="C535" s="42"/>
      <c r="D535" s="42"/>
      <c r="E535" s="42"/>
      <c r="F535" s="42"/>
      <c r="G535" s="42"/>
      <c r="H535" s="43"/>
      <c r="I535" s="24"/>
      <c r="J535" s="24"/>
      <c r="K535" s="25">
        <f>SUM(J529:J534)</f>
        <v>211200</v>
      </c>
      <c r="L535" s="23"/>
      <c r="M535" s="23"/>
      <c r="N535" s="42"/>
      <c r="O535" s="24"/>
      <c r="R535" s="27"/>
      <c r="U535" s="23"/>
    </row>
    <row r="536" spans="1:21" s="12" customFormat="1">
      <c r="A536" s="15" t="s">
        <v>115</v>
      </c>
      <c r="B536" s="75" t="s">
        <v>239</v>
      </c>
      <c r="C536" s="39" t="s">
        <v>208</v>
      </c>
      <c r="D536" s="39"/>
      <c r="E536" s="140">
        <v>75</v>
      </c>
      <c r="F536" s="39"/>
      <c r="G536" s="39"/>
      <c r="H536" s="40">
        <f>SUM(Tabla13267[[#This Row],[PRIMER TRIMESTRE]:[CUARTO TRIMESTRE]])</f>
        <v>75</v>
      </c>
      <c r="I536" s="72">
        <v>232</v>
      </c>
      <c r="J536" s="17">
        <f>+Tabla13267[[#This Row],[CANTIDAD TOTAL]]*Tabla13267[[#This Row],[PRECIO UNITARIO ESTIMADO]]</f>
        <v>17400</v>
      </c>
      <c r="K536" s="17"/>
      <c r="L536" s="16" t="s">
        <v>15</v>
      </c>
      <c r="M536" s="16" t="s">
        <v>22</v>
      </c>
      <c r="N536" s="39" t="s">
        <v>418</v>
      </c>
      <c r="O536" s="20"/>
    </row>
    <row r="537" spans="1:21" s="12" customFormat="1">
      <c r="A537" s="15" t="s">
        <v>115</v>
      </c>
      <c r="B537" s="75" t="s">
        <v>240</v>
      </c>
      <c r="C537" s="39" t="s">
        <v>208</v>
      </c>
      <c r="D537" s="39"/>
      <c r="E537" s="140">
        <v>1</v>
      </c>
      <c r="F537" s="39"/>
      <c r="G537" s="39"/>
      <c r="H537" s="40">
        <f>SUM(Tabla13267[[#This Row],[PRIMER TRIMESTRE]:[CUARTO TRIMESTRE]])</f>
        <v>1</v>
      </c>
      <c r="I537" s="72">
        <v>5341.57</v>
      </c>
      <c r="J537" s="17">
        <f>+Tabla13267[[#This Row],[CANTIDAD TOTAL]]*Tabla13267[[#This Row],[PRECIO UNITARIO ESTIMADO]]</f>
        <v>5341.57</v>
      </c>
      <c r="K537" s="17"/>
      <c r="L537" s="16" t="s">
        <v>15</v>
      </c>
      <c r="M537" s="16" t="s">
        <v>22</v>
      </c>
      <c r="N537" s="39" t="s">
        <v>418</v>
      </c>
      <c r="O537" s="20"/>
    </row>
    <row r="538" spans="1:21" s="12" customFormat="1">
      <c r="A538" s="15" t="s">
        <v>115</v>
      </c>
      <c r="B538" s="75" t="s">
        <v>319</v>
      </c>
      <c r="C538" s="44" t="s">
        <v>17</v>
      </c>
      <c r="D538" s="39"/>
      <c r="E538" s="140">
        <v>6</v>
      </c>
      <c r="F538" s="39"/>
      <c r="G538" s="39"/>
      <c r="H538" s="40">
        <f>SUM(Tabla13267[[#This Row],[PRIMER TRIMESTRE]:[CUARTO TRIMESTRE]])</f>
        <v>6</v>
      </c>
      <c r="I538" s="17">
        <f>544724/8</f>
        <v>68090.5</v>
      </c>
      <c r="J538" s="17">
        <f>+Tabla13267[[#This Row],[CANTIDAD TOTAL]]*Tabla13267[[#This Row],[PRECIO UNITARIO ESTIMADO]]</f>
        <v>408543</v>
      </c>
      <c r="K538" s="17"/>
      <c r="L538" s="16" t="s">
        <v>15</v>
      </c>
      <c r="M538" s="30" t="s">
        <v>22</v>
      </c>
      <c r="N538" s="44" t="s">
        <v>418</v>
      </c>
      <c r="O538" s="20"/>
    </row>
    <row r="539" spans="1:21" s="26" customFormat="1" ht="27.75" customHeight="1">
      <c r="A539" s="22" t="s">
        <v>115</v>
      </c>
      <c r="B539" s="76"/>
      <c r="C539" s="42"/>
      <c r="D539" s="42"/>
      <c r="E539" s="42"/>
      <c r="F539" s="42"/>
      <c r="G539" s="42"/>
      <c r="H539" s="43"/>
      <c r="I539" s="24"/>
      <c r="J539" s="24"/>
      <c r="K539" s="25">
        <f>SUM(J536:J538)</f>
        <v>431284.57</v>
      </c>
      <c r="L539" s="23"/>
      <c r="M539" s="23"/>
      <c r="N539" s="42"/>
      <c r="O539" s="24"/>
      <c r="R539" s="27"/>
      <c r="U539" s="23"/>
    </row>
    <row r="540" spans="1:21" s="12" customFormat="1" ht="31.5">
      <c r="A540" s="15" t="s">
        <v>118</v>
      </c>
      <c r="B540" s="75" t="s">
        <v>241</v>
      </c>
      <c r="C540" s="39" t="s">
        <v>17</v>
      </c>
      <c r="D540" s="39"/>
      <c r="E540" s="39"/>
      <c r="F540" s="140">
        <v>30</v>
      </c>
      <c r="G540" s="39"/>
      <c r="H540" s="40">
        <f>SUM(Tabla13267[[#This Row],[PRIMER TRIMESTRE]:[CUARTO TRIMESTRE]])</f>
        <v>30</v>
      </c>
      <c r="I540" s="17">
        <v>7544.8</v>
      </c>
      <c r="J540" s="17">
        <f>+Tabla13267[[#This Row],[CANTIDAD TOTAL]]*Tabla13267[[#This Row],[PRECIO UNITARIO ESTIMADO]]</f>
        <v>226344</v>
      </c>
      <c r="K540" s="17"/>
      <c r="L540" s="16" t="s">
        <v>27</v>
      </c>
      <c r="M540" s="16" t="s">
        <v>22</v>
      </c>
      <c r="N540" s="39" t="s">
        <v>418</v>
      </c>
      <c r="O540" s="20"/>
    </row>
    <row r="541" spans="1:21" s="12" customFormat="1" ht="31.5">
      <c r="A541" s="15" t="s">
        <v>118</v>
      </c>
      <c r="B541" s="75" t="s">
        <v>242</v>
      </c>
      <c r="C541" s="39" t="s">
        <v>17</v>
      </c>
      <c r="D541" s="39"/>
      <c r="E541" s="39"/>
      <c r="F541" s="140">
        <v>9</v>
      </c>
      <c r="G541" s="39"/>
      <c r="H541" s="40">
        <f>SUM(Tabla13267[[#This Row],[PRIMER TRIMESTRE]:[CUARTO TRIMESTRE]])</f>
        <v>9</v>
      </c>
      <c r="I541" s="17">
        <v>4756</v>
      </c>
      <c r="J541" s="17">
        <f>+Tabla13267[[#This Row],[CANTIDAD TOTAL]]*Tabla13267[[#This Row],[PRECIO UNITARIO ESTIMADO]]</f>
        <v>42804</v>
      </c>
      <c r="K541" s="17"/>
      <c r="L541" s="16" t="s">
        <v>27</v>
      </c>
      <c r="M541" s="16" t="s">
        <v>22</v>
      </c>
      <c r="N541" s="39" t="s">
        <v>418</v>
      </c>
      <c r="O541" s="20"/>
    </row>
    <row r="542" spans="1:21" s="12" customFormat="1" ht="31.5">
      <c r="A542" s="15" t="s">
        <v>118</v>
      </c>
      <c r="B542" s="75" t="s">
        <v>243</v>
      </c>
      <c r="C542" s="39" t="s">
        <v>17</v>
      </c>
      <c r="D542" s="39"/>
      <c r="E542" s="39"/>
      <c r="F542" s="140">
        <v>4</v>
      </c>
      <c r="G542" s="39"/>
      <c r="H542" s="40">
        <f>SUM(Tabla13267[[#This Row],[PRIMER TRIMESTRE]:[CUARTO TRIMESTRE]])</f>
        <v>4</v>
      </c>
      <c r="I542" s="17">
        <v>4610.34</v>
      </c>
      <c r="J542" s="17">
        <f>+Tabla13267[[#This Row],[CANTIDAD TOTAL]]*Tabla13267[[#This Row],[PRECIO UNITARIO ESTIMADO]]</f>
        <v>18441.36</v>
      </c>
      <c r="K542" s="17"/>
      <c r="L542" s="16" t="s">
        <v>27</v>
      </c>
      <c r="M542" s="16" t="s">
        <v>22</v>
      </c>
      <c r="N542" s="39" t="s">
        <v>418</v>
      </c>
      <c r="O542" s="20"/>
    </row>
    <row r="543" spans="1:21" s="12" customFormat="1" ht="31.5">
      <c r="A543" s="15" t="s">
        <v>118</v>
      </c>
      <c r="B543" s="75" t="s">
        <v>336</v>
      </c>
      <c r="C543" s="44" t="s">
        <v>17</v>
      </c>
      <c r="D543" s="39"/>
      <c r="E543" s="39"/>
      <c r="F543" s="140">
        <v>1</v>
      </c>
      <c r="G543" s="39"/>
      <c r="H543" s="40">
        <f>SUM(Tabla13267[[#This Row],[PRIMER TRIMESTRE]:[CUARTO TRIMESTRE]])</f>
        <v>1</v>
      </c>
      <c r="I543" s="17">
        <v>10115</v>
      </c>
      <c r="J543" s="17">
        <f>+Tabla13267[[#This Row],[CANTIDAD TOTAL]]*Tabla13267[[#This Row],[PRECIO UNITARIO ESTIMADO]]</f>
        <v>10115</v>
      </c>
      <c r="K543" s="17"/>
      <c r="L543" s="16" t="s">
        <v>27</v>
      </c>
      <c r="M543" s="30" t="s">
        <v>22</v>
      </c>
      <c r="N543" s="44" t="s">
        <v>418</v>
      </c>
      <c r="O543" s="20"/>
    </row>
    <row r="544" spans="1:21" s="12" customFormat="1" ht="31.5">
      <c r="A544" s="15" t="s">
        <v>118</v>
      </c>
      <c r="B544" s="75" t="s">
        <v>337</v>
      </c>
      <c r="C544" s="44" t="s">
        <v>17</v>
      </c>
      <c r="D544" s="39"/>
      <c r="E544" s="39"/>
      <c r="F544" s="140">
        <v>3</v>
      </c>
      <c r="G544" s="39"/>
      <c r="H544" s="40">
        <f>SUM(Tabla13267[[#This Row],[PRIMER TRIMESTRE]:[CUARTO TRIMESTRE]])</f>
        <v>3</v>
      </c>
      <c r="I544" s="17">
        <v>3225.3333333333335</v>
      </c>
      <c r="J544" s="17">
        <f>+Tabla13267[[#This Row],[CANTIDAD TOTAL]]*Tabla13267[[#This Row],[PRECIO UNITARIO ESTIMADO]]</f>
        <v>9676</v>
      </c>
      <c r="K544" s="17"/>
      <c r="L544" s="16" t="s">
        <v>27</v>
      </c>
      <c r="M544" s="30" t="s">
        <v>22</v>
      </c>
      <c r="N544" s="44" t="s">
        <v>418</v>
      </c>
      <c r="O544" s="20"/>
    </row>
    <row r="545" spans="1:15" s="12" customFormat="1" ht="31.5">
      <c r="A545" s="15" t="s">
        <v>118</v>
      </c>
      <c r="B545" s="75" t="s">
        <v>338</v>
      </c>
      <c r="C545" s="44" t="s">
        <v>17</v>
      </c>
      <c r="D545" s="39"/>
      <c r="E545" s="39"/>
      <c r="F545" s="140">
        <v>2</v>
      </c>
      <c r="G545" s="39"/>
      <c r="H545" s="40">
        <f>SUM(Tabla13267[[#This Row],[PRIMER TRIMESTRE]:[CUARTO TRIMESTRE]])</f>
        <v>2</v>
      </c>
      <c r="I545" s="17">
        <f>+(5938.35+4838)/2</f>
        <v>5388.1750000000002</v>
      </c>
      <c r="J545" s="17">
        <f>+Tabla13267[[#This Row],[CANTIDAD TOTAL]]*Tabla13267[[#This Row],[PRECIO UNITARIO ESTIMADO]]</f>
        <v>10776.35</v>
      </c>
      <c r="K545" s="17"/>
      <c r="L545" s="16" t="s">
        <v>27</v>
      </c>
      <c r="M545" s="30" t="s">
        <v>22</v>
      </c>
      <c r="N545" s="44" t="s">
        <v>418</v>
      </c>
      <c r="O545" s="20"/>
    </row>
    <row r="546" spans="1:15" s="12" customFormat="1" ht="31.5">
      <c r="A546" s="15" t="s">
        <v>118</v>
      </c>
      <c r="B546" s="75" t="s">
        <v>334</v>
      </c>
      <c r="C546" s="44" t="s">
        <v>17</v>
      </c>
      <c r="D546" s="39"/>
      <c r="E546" s="39"/>
      <c r="F546" s="140">
        <v>1</v>
      </c>
      <c r="G546" s="39"/>
      <c r="H546" s="40">
        <f>SUM(Tabla13267[[#This Row],[PRIMER TRIMESTRE]:[CUARTO TRIMESTRE]])</f>
        <v>1</v>
      </c>
      <c r="I546" s="17">
        <v>7080</v>
      </c>
      <c r="J546" s="17">
        <f>+Tabla13267[[#This Row],[CANTIDAD TOTAL]]*Tabla13267[[#This Row],[PRECIO UNITARIO ESTIMADO]]</f>
        <v>7080</v>
      </c>
      <c r="K546" s="17"/>
      <c r="L546" s="16" t="s">
        <v>27</v>
      </c>
      <c r="M546" s="30" t="s">
        <v>22</v>
      </c>
      <c r="N546" s="44" t="s">
        <v>418</v>
      </c>
      <c r="O546" s="20"/>
    </row>
    <row r="547" spans="1:15" s="12" customFormat="1" ht="31.5">
      <c r="A547" s="15" t="s">
        <v>118</v>
      </c>
      <c r="B547" s="75" t="s">
        <v>340</v>
      </c>
      <c r="C547" s="44" t="s">
        <v>17</v>
      </c>
      <c r="D547" s="39"/>
      <c r="E547" s="39"/>
      <c r="F547" s="140">
        <v>2</v>
      </c>
      <c r="G547" s="39"/>
      <c r="H547" s="40">
        <f>SUM(Tabla13267[[#This Row],[PRIMER TRIMESTRE]:[CUARTO TRIMESTRE]])</f>
        <v>2</v>
      </c>
      <c r="I547" s="17">
        <v>13684.27</v>
      </c>
      <c r="J547" s="17">
        <f>+Tabla13267[[#This Row],[CANTIDAD TOTAL]]*Tabla13267[[#This Row],[PRECIO UNITARIO ESTIMADO]]</f>
        <v>27368.54</v>
      </c>
      <c r="K547" s="17"/>
      <c r="L547" s="16" t="s">
        <v>27</v>
      </c>
      <c r="M547" s="30" t="s">
        <v>22</v>
      </c>
      <c r="N547" s="44" t="s">
        <v>418</v>
      </c>
      <c r="O547" s="20"/>
    </row>
    <row r="548" spans="1:15" s="12" customFormat="1" ht="31.5">
      <c r="A548" s="15" t="s">
        <v>118</v>
      </c>
      <c r="B548" s="75" t="s">
        <v>251</v>
      </c>
      <c r="C548" s="39" t="s">
        <v>17</v>
      </c>
      <c r="D548" s="39"/>
      <c r="E548" s="39"/>
      <c r="F548" s="140">
        <v>40</v>
      </c>
      <c r="G548" s="39"/>
      <c r="H548" s="40">
        <f>SUM(Tabla13267[[#This Row],[PRIMER TRIMESTRE]:[CUARTO TRIMESTRE]])</f>
        <v>40</v>
      </c>
      <c r="I548" s="17">
        <v>9118.43</v>
      </c>
      <c r="J548" s="17">
        <f>+Tabla13267[[#This Row],[CANTIDAD TOTAL]]*Tabla13267[[#This Row],[PRECIO UNITARIO ESTIMADO]]</f>
        <v>364737.2</v>
      </c>
      <c r="K548" s="17"/>
      <c r="L548" s="16" t="s">
        <v>27</v>
      </c>
      <c r="M548" s="16" t="s">
        <v>22</v>
      </c>
      <c r="N548" s="39" t="s">
        <v>418</v>
      </c>
      <c r="O548" s="20"/>
    </row>
    <row r="549" spans="1:15" s="12" customFormat="1" ht="31.5">
      <c r="A549" s="15" t="s">
        <v>118</v>
      </c>
      <c r="B549" s="75" t="s">
        <v>428</v>
      </c>
      <c r="C549" s="39" t="s">
        <v>17</v>
      </c>
      <c r="D549" s="39"/>
      <c r="E549" s="39"/>
      <c r="F549" s="140">
        <v>14</v>
      </c>
      <c r="G549" s="39"/>
      <c r="H549" s="40">
        <f>SUM(Tabla13267[[#This Row],[PRIMER TRIMESTRE]:[CUARTO TRIMESTRE]])</f>
        <v>14</v>
      </c>
      <c r="I549" s="17">
        <v>3074</v>
      </c>
      <c r="J549" s="17">
        <f>+Tabla13267[[#This Row],[CANTIDAD TOTAL]]*Tabla13267[[#This Row],[PRECIO UNITARIO ESTIMADO]]</f>
        <v>43036</v>
      </c>
      <c r="K549" s="17"/>
      <c r="L549" s="16" t="s">
        <v>27</v>
      </c>
      <c r="M549" s="16" t="s">
        <v>22</v>
      </c>
      <c r="N549" s="39" t="s">
        <v>418</v>
      </c>
      <c r="O549" s="20"/>
    </row>
    <row r="550" spans="1:15" s="12" customFormat="1" ht="31.5">
      <c r="A550" s="15" t="s">
        <v>118</v>
      </c>
      <c r="B550" s="75" t="s">
        <v>244</v>
      </c>
      <c r="C550" s="39" t="s">
        <v>17</v>
      </c>
      <c r="D550" s="39"/>
      <c r="E550" s="39"/>
      <c r="F550" s="140">
        <v>4</v>
      </c>
      <c r="G550" s="39"/>
      <c r="H550" s="40">
        <f>SUM(Tabla13267[[#This Row],[PRIMER TRIMESTRE]:[CUARTO TRIMESTRE]])</f>
        <v>4</v>
      </c>
      <c r="I550" s="17">
        <v>24940</v>
      </c>
      <c r="J550" s="17">
        <f>+Tabla13267[[#This Row],[CANTIDAD TOTAL]]*Tabla13267[[#This Row],[PRECIO UNITARIO ESTIMADO]]</f>
        <v>99760</v>
      </c>
      <c r="K550" s="17"/>
      <c r="L550" s="16" t="s">
        <v>27</v>
      </c>
      <c r="M550" s="16" t="s">
        <v>22</v>
      </c>
      <c r="N550" s="39" t="s">
        <v>418</v>
      </c>
      <c r="O550" s="20"/>
    </row>
    <row r="551" spans="1:15" s="12" customFormat="1" ht="31.5">
      <c r="A551" s="15" t="s">
        <v>118</v>
      </c>
      <c r="B551" s="75" t="s">
        <v>429</v>
      </c>
      <c r="C551" s="39" t="s">
        <v>17</v>
      </c>
      <c r="D551" s="39"/>
      <c r="E551" s="39"/>
      <c r="F551" s="140">
        <v>6</v>
      </c>
      <c r="G551" s="39"/>
      <c r="H551" s="40">
        <f>SUM(Tabla13267[[#This Row],[PRIMER TRIMESTRE]:[CUARTO TRIMESTRE]])</f>
        <v>6</v>
      </c>
      <c r="I551" s="17">
        <v>77185.240000000005</v>
      </c>
      <c r="J551" s="17">
        <f>+Tabla13267[[#This Row],[CANTIDAD TOTAL]]*Tabla13267[[#This Row],[PRECIO UNITARIO ESTIMADO]]</f>
        <v>463111.44000000006</v>
      </c>
      <c r="K551" s="17"/>
      <c r="L551" s="16" t="s">
        <v>27</v>
      </c>
      <c r="M551" s="16" t="s">
        <v>22</v>
      </c>
      <c r="N551" s="39" t="s">
        <v>418</v>
      </c>
      <c r="O551" s="20"/>
    </row>
    <row r="552" spans="1:15" s="12" customFormat="1" ht="31.5">
      <c r="A552" s="15" t="s">
        <v>118</v>
      </c>
      <c r="B552" s="75" t="s">
        <v>245</v>
      </c>
      <c r="C552" s="39" t="s">
        <v>17</v>
      </c>
      <c r="D552" s="39"/>
      <c r="E552" s="39"/>
      <c r="F552" s="140">
        <v>10</v>
      </c>
      <c r="G552" s="39"/>
      <c r="H552" s="40">
        <f>SUM(Tabla13267[[#This Row],[PRIMER TRIMESTRE]:[CUARTO TRIMESTRE]])</f>
        <v>10</v>
      </c>
      <c r="I552" s="17">
        <v>10788</v>
      </c>
      <c r="J552" s="17">
        <f>+Tabla13267[[#This Row],[CANTIDAD TOTAL]]*Tabla13267[[#This Row],[PRECIO UNITARIO ESTIMADO]]</f>
        <v>107880</v>
      </c>
      <c r="K552" s="17"/>
      <c r="L552" s="16" t="s">
        <v>27</v>
      </c>
      <c r="M552" s="16" t="s">
        <v>22</v>
      </c>
      <c r="N552" s="39" t="s">
        <v>418</v>
      </c>
      <c r="O552" s="20"/>
    </row>
    <row r="553" spans="1:15" s="12" customFormat="1" ht="31.5">
      <c r="A553" s="15" t="s">
        <v>118</v>
      </c>
      <c r="B553" s="75" t="s">
        <v>246</v>
      </c>
      <c r="C553" s="39" t="s">
        <v>17</v>
      </c>
      <c r="D553" s="39"/>
      <c r="E553" s="39"/>
      <c r="F553" s="140">
        <v>30</v>
      </c>
      <c r="G553" s="39"/>
      <c r="H553" s="40">
        <f>SUM(Tabla13267[[#This Row],[PRIMER TRIMESTRE]:[CUARTO TRIMESTRE]])</f>
        <v>30</v>
      </c>
      <c r="I553" s="17">
        <v>2467.71</v>
      </c>
      <c r="J553" s="17">
        <f>+Tabla13267[[#This Row],[CANTIDAD TOTAL]]*Tabla13267[[#This Row],[PRECIO UNITARIO ESTIMADO]]</f>
        <v>74031.3</v>
      </c>
      <c r="K553" s="17"/>
      <c r="L553" s="16" t="s">
        <v>27</v>
      </c>
      <c r="M553" s="16" t="s">
        <v>22</v>
      </c>
      <c r="N553" s="39" t="s">
        <v>418</v>
      </c>
      <c r="O553" s="20"/>
    </row>
    <row r="554" spans="1:15" s="12" customFormat="1" ht="31.5">
      <c r="A554" s="15" t="s">
        <v>118</v>
      </c>
      <c r="B554" s="75" t="s">
        <v>247</v>
      </c>
      <c r="C554" s="39" t="s">
        <v>17</v>
      </c>
      <c r="D554" s="39"/>
      <c r="E554" s="39"/>
      <c r="F554" s="140">
        <v>6</v>
      </c>
      <c r="G554" s="39"/>
      <c r="H554" s="40">
        <f>SUM(Tabla13267[[#This Row],[PRIMER TRIMESTRE]:[CUARTO TRIMESTRE]])</f>
        <v>6</v>
      </c>
      <c r="I554" s="17">
        <v>14434.48</v>
      </c>
      <c r="J554" s="17">
        <f>+Tabla13267[[#This Row],[CANTIDAD TOTAL]]*Tabla13267[[#This Row],[PRECIO UNITARIO ESTIMADO]]</f>
        <v>86606.88</v>
      </c>
      <c r="K554" s="17"/>
      <c r="L554" s="16" t="s">
        <v>27</v>
      </c>
      <c r="M554" s="16" t="s">
        <v>22</v>
      </c>
      <c r="N554" s="39" t="s">
        <v>418</v>
      </c>
      <c r="O554" s="20"/>
    </row>
    <row r="555" spans="1:15" s="12" customFormat="1" ht="31.5">
      <c r="A555" s="15" t="s">
        <v>118</v>
      </c>
      <c r="B555" s="75" t="s">
        <v>339</v>
      </c>
      <c r="C555" s="44" t="s">
        <v>17</v>
      </c>
      <c r="D555" s="39"/>
      <c r="E555" s="39"/>
      <c r="F555" s="140">
        <v>20</v>
      </c>
      <c r="G555" s="39"/>
      <c r="H555" s="40">
        <f>SUM(Tabla13267[[#This Row],[PRIMER TRIMESTRE]:[CUARTO TRIMESTRE]])</f>
        <v>20</v>
      </c>
      <c r="I555" s="17">
        <f>115079.5/24</f>
        <v>4794.979166666667</v>
      </c>
      <c r="J555" s="17">
        <f>+Tabla13267[[#This Row],[CANTIDAD TOTAL]]*Tabla13267[[#This Row],[PRECIO UNITARIO ESTIMADO]]</f>
        <v>95899.583333333343</v>
      </c>
      <c r="K555" s="17"/>
      <c r="L555" s="16" t="s">
        <v>27</v>
      </c>
      <c r="M555" s="30" t="s">
        <v>22</v>
      </c>
      <c r="N555" s="44" t="s">
        <v>418</v>
      </c>
      <c r="O555" s="20"/>
    </row>
    <row r="556" spans="1:15" s="12" customFormat="1" ht="31.5">
      <c r="A556" s="15" t="s">
        <v>118</v>
      </c>
      <c r="B556" s="75" t="s">
        <v>248</v>
      </c>
      <c r="C556" s="39" t="s">
        <v>17</v>
      </c>
      <c r="D556" s="39"/>
      <c r="E556" s="39"/>
      <c r="F556" s="140">
        <v>22</v>
      </c>
      <c r="G556" s="39"/>
      <c r="H556" s="40">
        <f>SUM(Tabla13267[[#This Row],[PRIMER TRIMESTRE]:[CUARTO TRIMESTRE]])</f>
        <v>22</v>
      </c>
      <c r="I556" s="17">
        <v>2262</v>
      </c>
      <c r="J556" s="17">
        <f>+Tabla13267[[#This Row],[CANTIDAD TOTAL]]*Tabla13267[[#This Row],[PRECIO UNITARIO ESTIMADO]]</f>
        <v>49764</v>
      </c>
      <c r="K556" s="17"/>
      <c r="L556" s="16" t="s">
        <v>27</v>
      </c>
      <c r="M556" s="16" t="s">
        <v>22</v>
      </c>
      <c r="N556" s="39" t="s">
        <v>418</v>
      </c>
      <c r="O556" s="20"/>
    </row>
    <row r="557" spans="1:15" s="12" customFormat="1" ht="31.5">
      <c r="A557" s="15" t="s">
        <v>118</v>
      </c>
      <c r="B557" s="75" t="s">
        <v>249</v>
      </c>
      <c r="C557" s="39" t="s">
        <v>17</v>
      </c>
      <c r="D557" s="39"/>
      <c r="E557" s="39"/>
      <c r="F557" s="140">
        <v>130</v>
      </c>
      <c r="G557" s="39"/>
      <c r="H557" s="40">
        <f>SUM(Tabla13267[[#This Row],[PRIMER TRIMESTRE]:[CUARTO TRIMESTRE]])</f>
        <v>130</v>
      </c>
      <c r="I557" s="17">
        <v>3250</v>
      </c>
      <c r="J557" s="17">
        <f>+Tabla13267[[#This Row],[CANTIDAD TOTAL]]*Tabla13267[[#This Row],[PRECIO UNITARIO ESTIMADO]]</f>
        <v>422500</v>
      </c>
      <c r="K557" s="17"/>
      <c r="L557" s="16" t="s">
        <v>27</v>
      </c>
      <c r="M557" s="16" t="s">
        <v>22</v>
      </c>
      <c r="N557" s="39" t="s">
        <v>418</v>
      </c>
      <c r="O557" s="20"/>
    </row>
    <row r="558" spans="1:15" s="12" customFormat="1" ht="31.5">
      <c r="A558" s="15" t="s">
        <v>118</v>
      </c>
      <c r="B558" s="75" t="s">
        <v>250</v>
      </c>
      <c r="C558" s="39" t="s">
        <v>17</v>
      </c>
      <c r="D558" s="39"/>
      <c r="E558" s="39"/>
      <c r="F558" s="140">
        <v>40</v>
      </c>
      <c r="G558" s="39"/>
      <c r="H558" s="40">
        <f>SUM(Tabla13267[[#This Row],[PRIMER TRIMESTRE]:[CUARTO TRIMESTRE]])</f>
        <v>40</v>
      </c>
      <c r="I558" s="17">
        <v>3959.88</v>
      </c>
      <c r="J558" s="17">
        <f>+Tabla13267[[#This Row],[CANTIDAD TOTAL]]*Tabla13267[[#This Row],[PRECIO UNITARIO ESTIMADO]]</f>
        <v>158395.20000000001</v>
      </c>
      <c r="K558" s="17"/>
      <c r="L558" s="16" t="s">
        <v>27</v>
      </c>
      <c r="M558" s="16" t="s">
        <v>22</v>
      </c>
      <c r="N558" s="39" t="s">
        <v>418</v>
      </c>
      <c r="O558" s="20"/>
    </row>
    <row r="559" spans="1:15" s="12" customFormat="1" ht="31.5">
      <c r="A559" s="15" t="s">
        <v>118</v>
      </c>
      <c r="B559" s="75" t="s">
        <v>321</v>
      </c>
      <c r="C559" s="44" t="s">
        <v>17</v>
      </c>
      <c r="D559" s="39"/>
      <c r="E559" s="39"/>
      <c r="F559" s="140">
        <v>16</v>
      </c>
      <c r="G559" s="39"/>
      <c r="H559" s="40">
        <f>SUM(Tabla13267[[#This Row],[PRIMER TRIMESTRE]:[CUARTO TRIMESTRE]])</f>
        <v>16</v>
      </c>
      <c r="I559" s="17">
        <f>31243.78/16</f>
        <v>1952.7362499999999</v>
      </c>
      <c r="J559" s="17">
        <f>+Tabla13267[[#This Row],[CANTIDAD TOTAL]]*Tabla13267[[#This Row],[PRECIO UNITARIO ESTIMADO]]</f>
        <v>31243.78</v>
      </c>
      <c r="K559" s="17"/>
      <c r="L559" s="16" t="s">
        <v>27</v>
      </c>
      <c r="M559" s="30" t="s">
        <v>22</v>
      </c>
      <c r="N559" s="44" t="s">
        <v>418</v>
      </c>
      <c r="O559" s="20"/>
    </row>
    <row r="560" spans="1:15" s="12" customFormat="1" ht="31.5">
      <c r="A560" s="15" t="s">
        <v>118</v>
      </c>
      <c r="B560" s="75" t="s">
        <v>323</v>
      </c>
      <c r="C560" s="39" t="s">
        <v>17</v>
      </c>
      <c r="D560" s="39"/>
      <c r="E560" s="39"/>
      <c r="F560" s="140">
        <v>3</v>
      </c>
      <c r="G560" s="39"/>
      <c r="H560" s="40">
        <f>SUM(Tabla13267[[#This Row],[PRIMER TRIMESTRE]:[CUARTO TRIMESTRE]])</f>
        <v>3</v>
      </c>
      <c r="I560" s="17">
        <f>16086.57/3</f>
        <v>5362.19</v>
      </c>
      <c r="J560" s="17">
        <f>+Tabla13267[[#This Row],[CANTIDAD TOTAL]]*Tabla13267[[#This Row],[PRECIO UNITARIO ESTIMADO]]</f>
        <v>16086.57</v>
      </c>
      <c r="K560" s="17"/>
      <c r="L560" s="16" t="s">
        <v>27</v>
      </c>
      <c r="M560" s="16" t="s">
        <v>22</v>
      </c>
      <c r="N560" s="39" t="s">
        <v>418</v>
      </c>
      <c r="O560" s="20"/>
    </row>
    <row r="561" spans="1:21" s="26" customFormat="1" ht="27.75" customHeight="1">
      <c r="A561" s="22" t="s">
        <v>118</v>
      </c>
      <c r="B561" s="76"/>
      <c r="C561" s="42"/>
      <c r="D561" s="42"/>
      <c r="E561" s="42"/>
      <c r="F561" s="42"/>
      <c r="G561" s="42"/>
      <c r="H561" s="43"/>
      <c r="I561" s="24"/>
      <c r="J561" s="24"/>
      <c r="K561" s="25">
        <f>SUM(J540:J560)</f>
        <v>2365657.2033333331</v>
      </c>
      <c r="L561" s="23"/>
      <c r="M561" s="23"/>
      <c r="N561" s="42"/>
      <c r="O561" s="24"/>
      <c r="R561" s="27"/>
      <c r="U561" s="23"/>
    </row>
    <row r="562" spans="1:21" s="12" customFormat="1">
      <c r="A562" s="15" t="s">
        <v>119</v>
      </c>
      <c r="B562" s="75" t="s">
        <v>341</v>
      </c>
      <c r="C562" s="44" t="s">
        <v>17</v>
      </c>
      <c r="D562" s="39"/>
      <c r="E562" s="39"/>
      <c r="F562" s="140">
        <v>1</v>
      </c>
      <c r="G562" s="39"/>
      <c r="H562" s="40">
        <f>SUM(Tabla13267[[#This Row],[PRIMER TRIMESTRE]:[CUARTO TRIMESTRE]])</f>
        <v>1</v>
      </c>
      <c r="I562" s="17">
        <f>2160.9+22288+501.5+6355.8+18041.9+5084.64+8389.8+3050.76+2466.06+1983.5+6203.28</f>
        <v>76526.14</v>
      </c>
      <c r="J562" s="17">
        <f>+Tabla13267[[#This Row],[CANTIDAD TOTAL]]*Tabla13267[[#This Row],[PRECIO UNITARIO ESTIMADO]]</f>
        <v>76526.14</v>
      </c>
      <c r="K562" s="17"/>
      <c r="L562" s="16" t="s">
        <v>15</v>
      </c>
      <c r="M562" s="30" t="s">
        <v>22</v>
      </c>
      <c r="N562" s="44" t="s">
        <v>418</v>
      </c>
      <c r="O562" s="20"/>
    </row>
    <row r="563" spans="1:21" s="12" customFormat="1" ht="34.5" customHeight="1">
      <c r="A563" s="15" t="s">
        <v>119</v>
      </c>
      <c r="B563" s="75" t="s">
        <v>252</v>
      </c>
      <c r="C563" s="39" t="s">
        <v>17</v>
      </c>
      <c r="D563" s="39"/>
      <c r="E563" s="39"/>
      <c r="F563" s="140">
        <v>50</v>
      </c>
      <c r="G563" s="39"/>
      <c r="H563" s="40">
        <f>SUM(Tabla13267[[#This Row],[PRIMER TRIMESTRE]:[CUARTO TRIMESTRE]])</f>
        <v>50</v>
      </c>
      <c r="I563" s="17">
        <v>26.45</v>
      </c>
      <c r="J563" s="17">
        <f>+Tabla13267[[#This Row],[CANTIDAD TOTAL]]*Tabla13267[[#This Row],[PRECIO UNITARIO ESTIMADO]]</f>
        <v>1322.5</v>
      </c>
      <c r="K563" s="17"/>
      <c r="L563" s="16" t="s">
        <v>15</v>
      </c>
      <c r="M563" s="16" t="s">
        <v>22</v>
      </c>
      <c r="N563" s="39" t="s">
        <v>418</v>
      </c>
      <c r="O563" s="20"/>
    </row>
    <row r="564" spans="1:21" s="12" customFormat="1">
      <c r="A564" s="15" t="s">
        <v>119</v>
      </c>
      <c r="B564" s="75" t="s">
        <v>253</v>
      </c>
      <c r="C564" s="39" t="s">
        <v>208</v>
      </c>
      <c r="D564" s="39"/>
      <c r="E564" s="39"/>
      <c r="F564" s="140">
        <v>50</v>
      </c>
      <c r="G564" s="39"/>
      <c r="H564" s="40">
        <f>SUM(Tabla13267[[#This Row],[PRIMER TRIMESTRE]:[CUARTO TRIMESTRE]])</f>
        <v>50</v>
      </c>
      <c r="I564" s="17">
        <v>52.28</v>
      </c>
      <c r="J564" s="17">
        <f>+Tabla13267[[#This Row],[CANTIDAD TOTAL]]*Tabla13267[[#This Row],[PRECIO UNITARIO ESTIMADO]]</f>
        <v>2614</v>
      </c>
      <c r="K564" s="17"/>
      <c r="L564" s="16" t="s">
        <v>15</v>
      </c>
      <c r="M564" s="16" t="s">
        <v>22</v>
      </c>
      <c r="N564" s="39" t="s">
        <v>418</v>
      </c>
      <c r="O564" s="20"/>
    </row>
    <row r="565" spans="1:21" s="12" customFormat="1">
      <c r="A565" s="32" t="s">
        <v>119</v>
      </c>
      <c r="B565" s="75" t="s">
        <v>402</v>
      </c>
      <c r="C565" s="45" t="s">
        <v>17</v>
      </c>
      <c r="D565" s="39"/>
      <c r="E565" s="39"/>
      <c r="F565" s="140">
        <v>300</v>
      </c>
      <c r="G565" s="39"/>
      <c r="H565" s="40">
        <f>SUM(Tabla13267[[#This Row],[PRIMER TRIMESTRE]:[CUARTO TRIMESTRE]])</f>
        <v>300</v>
      </c>
      <c r="I565" s="17">
        <v>182.9</v>
      </c>
      <c r="J565" s="17">
        <f>+H565*I565</f>
        <v>54870</v>
      </c>
      <c r="K565" s="31"/>
      <c r="L565" s="16" t="s">
        <v>15</v>
      </c>
      <c r="M565" s="16" t="s">
        <v>22</v>
      </c>
      <c r="N565" s="45" t="s">
        <v>418</v>
      </c>
      <c r="O565" s="20"/>
    </row>
    <row r="566" spans="1:21" s="12" customFormat="1">
      <c r="A566" s="15" t="s">
        <v>119</v>
      </c>
      <c r="B566" s="75" t="s">
        <v>256</v>
      </c>
      <c r="C566" s="39" t="s">
        <v>17</v>
      </c>
      <c r="D566" s="39"/>
      <c r="E566" s="39"/>
      <c r="F566" s="140">
        <v>140</v>
      </c>
      <c r="G566" s="39"/>
      <c r="H566" s="40">
        <f>SUM(Tabla13267[[#This Row],[PRIMER TRIMESTRE]:[CUARTO TRIMESTRE]])</f>
        <v>140</v>
      </c>
      <c r="I566" s="17">
        <v>434.24</v>
      </c>
      <c r="J566" s="17">
        <f>+Tabla13267[[#This Row],[CANTIDAD TOTAL]]*Tabla13267[[#This Row],[PRECIO UNITARIO ESTIMADO]]</f>
        <v>60793.599999999999</v>
      </c>
      <c r="K566" s="17"/>
      <c r="L566" s="16" t="s">
        <v>15</v>
      </c>
      <c r="M566" s="16" t="s">
        <v>22</v>
      </c>
      <c r="N566" s="39" t="s">
        <v>418</v>
      </c>
      <c r="O566" s="20"/>
    </row>
    <row r="567" spans="1:21" s="12" customFormat="1">
      <c r="A567" s="15" t="s">
        <v>119</v>
      </c>
      <c r="B567" s="75" t="s">
        <v>324</v>
      </c>
      <c r="C567" s="39" t="s">
        <v>17</v>
      </c>
      <c r="D567" s="39"/>
      <c r="E567" s="39"/>
      <c r="F567" s="140">
        <v>2</v>
      </c>
      <c r="G567" s="39"/>
      <c r="H567" s="40">
        <f>SUM(Tabla13267[[#This Row],[PRIMER TRIMESTRE]:[CUARTO TRIMESTRE]])</f>
        <v>2</v>
      </c>
      <c r="I567" s="17">
        <f>3536.75/2</f>
        <v>1768.375</v>
      </c>
      <c r="J567" s="17">
        <f>+Tabla13267[[#This Row],[CANTIDAD TOTAL]]*Tabla13267[[#This Row],[PRECIO UNITARIO ESTIMADO]]</f>
        <v>3536.75</v>
      </c>
      <c r="K567" s="17"/>
      <c r="L567" s="16" t="s">
        <v>15</v>
      </c>
      <c r="M567" s="16" t="s">
        <v>22</v>
      </c>
      <c r="N567" s="39" t="s">
        <v>418</v>
      </c>
      <c r="O567" s="20"/>
    </row>
    <row r="568" spans="1:21" s="12" customFormat="1">
      <c r="A568" s="15" t="s">
        <v>119</v>
      </c>
      <c r="B568" s="75" t="s">
        <v>257</v>
      </c>
      <c r="C568" s="39" t="s">
        <v>17</v>
      </c>
      <c r="D568" s="39"/>
      <c r="E568" s="39"/>
      <c r="F568" s="140">
        <v>1</v>
      </c>
      <c r="G568" s="39"/>
      <c r="H568" s="40">
        <f>SUM(Tabla13267[[#This Row],[PRIMER TRIMESTRE]:[CUARTO TRIMESTRE]])</f>
        <v>1</v>
      </c>
      <c r="I568" s="17">
        <v>522</v>
      </c>
      <c r="J568" s="17">
        <f>+Tabla13267[[#This Row],[CANTIDAD TOTAL]]*Tabla13267[[#This Row],[PRECIO UNITARIO ESTIMADO]]</f>
        <v>522</v>
      </c>
      <c r="K568" s="17"/>
      <c r="L568" s="16" t="s">
        <v>15</v>
      </c>
      <c r="M568" s="16" t="s">
        <v>22</v>
      </c>
      <c r="N568" s="39" t="s">
        <v>418</v>
      </c>
      <c r="O568" s="20"/>
    </row>
    <row r="569" spans="1:21" s="12" customFormat="1">
      <c r="A569" s="15" t="s">
        <v>119</v>
      </c>
      <c r="B569" s="75" t="s">
        <v>258</v>
      </c>
      <c r="C569" s="39" t="s">
        <v>17</v>
      </c>
      <c r="D569" s="39"/>
      <c r="E569" s="39"/>
      <c r="F569" s="140">
        <v>25</v>
      </c>
      <c r="G569" s="39"/>
      <c r="H569" s="40">
        <f>SUM(Tabla13267[[#This Row],[PRIMER TRIMESTRE]:[CUARTO TRIMESTRE]])</f>
        <v>25</v>
      </c>
      <c r="I569" s="17">
        <v>1250</v>
      </c>
      <c r="J569" s="17">
        <f>+Tabla13267[[#This Row],[CANTIDAD TOTAL]]*Tabla13267[[#This Row],[PRECIO UNITARIO ESTIMADO]]</f>
        <v>31250</v>
      </c>
      <c r="K569" s="17"/>
      <c r="L569" s="16" t="s">
        <v>15</v>
      </c>
      <c r="M569" s="16" t="s">
        <v>22</v>
      </c>
      <c r="N569" s="39" t="s">
        <v>418</v>
      </c>
      <c r="O569" s="20"/>
    </row>
    <row r="570" spans="1:21" s="12" customFormat="1">
      <c r="A570" s="15" t="s">
        <v>119</v>
      </c>
      <c r="B570" s="75" t="s">
        <v>259</v>
      </c>
      <c r="C570" s="39" t="s">
        <v>17</v>
      </c>
      <c r="D570" s="39"/>
      <c r="E570" s="39"/>
      <c r="F570" s="140">
        <v>42</v>
      </c>
      <c r="G570" s="39"/>
      <c r="H570" s="40">
        <f>SUM(Tabla13267[[#This Row],[PRIMER TRIMESTRE]:[CUARTO TRIMESTRE]])</f>
        <v>42</v>
      </c>
      <c r="I570" s="17">
        <v>1245.07</v>
      </c>
      <c r="J570" s="17">
        <f>+Tabla13267[[#This Row],[CANTIDAD TOTAL]]*Tabla13267[[#This Row],[PRECIO UNITARIO ESTIMADO]]</f>
        <v>52292.939999999995</v>
      </c>
      <c r="K570" s="17"/>
      <c r="L570" s="16" t="s">
        <v>15</v>
      </c>
      <c r="M570" s="16" t="s">
        <v>22</v>
      </c>
      <c r="N570" s="39" t="s">
        <v>418</v>
      </c>
      <c r="O570" s="20"/>
    </row>
    <row r="571" spans="1:21" s="12" customFormat="1">
      <c r="A571" s="15" t="s">
        <v>119</v>
      </c>
      <c r="B571" s="75" t="s">
        <v>260</v>
      </c>
      <c r="C571" s="39" t="s">
        <v>17</v>
      </c>
      <c r="D571" s="39"/>
      <c r="E571" s="39"/>
      <c r="F571" s="140">
        <v>40</v>
      </c>
      <c r="G571" s="39"/>
      <c r="H571" s="40">
        <f>SUM(Tabla13267[[#This Row],[PRIMER TRIMESTRE]:[CUARTO TRIMESTRE]])</f>
        <v>40</v>
      </c>
      <c r="I571" s="17">
        <v>29.28</v>
      </c>
      <c r="J571" s="17">
        <f>+Tabla13267[[#This Row],[CANTIDAD TOTAL]]*Tabla13267[[#This Row],[PRECIO UNITARIO ESTIMADO]]</f>
        <v>1171.2</v>
      </c>
      <c r="K571" s="17"/>
      <c r="L571" s="16" t="s">
        <v>15</v>
      </c>
      <c r="M571" s="16" t="s">
        <v>22</v>
      </c>
      <c r="N571" s="39" t="s">
        <v>418</v>
      </c>
      <c r="O571" s="20"/>
    </row>
    <row r="572" spans="1:21" s="26" customFormat="1" ht="27.75" customHeight="1">
      <c r="A572" s="22" t="s">
        <v>119</v>
      </c>
      <c r="B572" s="76"/>
      <c r="C572" s="42"/>
      <c r="D572" s="42"/>
      <c r="E572" s="42"/>
      <c r="F572" s="42"/>
      <c r="G572" s="42"/>
      <c r="H572" s="43"/>
      <c r="I572" s="24"/>
      <c r="J572" s="24"/>
      <c r="K572" s="25">
        <f>SUM(J562:J571)</f>
        <v>284899.13</v>
      </c>
      <c r="L572" s="23"/>
      <c r="M572" s="23"/>
      <c r="N572" s="42"/>
      <c r="O572" s="24"/>
      <c r="R572" s="27"/>
      <c r="U572" s="23"/>
    </row>
    <row r="573" spans="1:21" s="12" customFormat="1" ht="30.75" customHeight="1">
      <c r="A573" s="15" t="s">
        <v>121</v>
      </c>
      <c r="B573" s="75" t="s">
        <v>273</v>
      </c>
      <c r="C573" s="39" t="s">
        <v>17</v>
      </c>
      <c r="D573" s="39"/>
      <c r="E573" s="141">
        <v>25</v>
      </c>
      <c r="F573" s="141"/>
      <c r="G573" s="141">
        <v>25</v>
      </c>
      <c r="H573" s="40">
        <f>SUM(Tabla13267[[#This Row],[PRIMER TRIMESTRE]:[CUARTO TRIMESTRE]])</f>
        <v>50</v>
      </c>
      <c r="I573" s="17">
        <v>5684</v>
      </c>
      <c r="J573" s="17">
        <f>+Tabla13267[[#This Row],[CANTIDAD TOTAL]]*Tabla13267[[#This Row],[PRECIO UNITARIO ESTIMADO]]</f>
        <v>284200</v>
      </c>
      <c r="K573" s="17"/>
      <c r="L573" s="16" t="s">
        <v>15</v>
      </c>
      <c r="M573" s="16" t="s">
        <v>22</v>
      </c>
      <c r="N573" s="39" t="s">
        <v>418</v>
      </c>
      <c r="O573" s="20"/>
    </row>
    <row r="574" spans="1:21" s="26" customFormat="1" ht="27.75" customHeight="1">
      <c r="A574" s="22" t="s">
        <v>121</v>
      </c>
      <c r="B574" s="76"/>
      <c r="C574" s="42"/>
      <c r="D574" s="42"/>
      <c r="E574" s="42"/>
      <c r="F574" s="42"/>
      <c r="G574" s="42"/>
      <c r="H574" s="43"/>
      <c r="I574" s="24"/>
      <c r="J574" s="24"/>
      <c r="K574" s="25">
        <f>SUM(J573)</f>
        <v>284200</v>
      </c>
      <c r="L574" s="23"/>
      <c r="M574" s="23"/>
      <c r="N574" s="42"/>
      <c r="O574" s="24"/>
      <c r="R574" s="27"/>
      <c r="U574" s="23"/>
    </row>
    <row r="575" spans="1:21" s="12" customFormat="1">
      <c r="A575" s="15" t="s">
        <v>122</v>
      </c>
      <c r="B575" s="75" t="s">
        <v>274</v>
      </c>
      <c r="C575" s="39" t="s">
        <v>17</v>
      </c>
      <c r="D575" s="39"/>
      <c r="E575" s="141">
        <v>150</v>
      </c>
      <c r="F575" s="141"/>
      <c r="G575" s="141">
        <v>150</v>
      </c>
      <c r="H575" s="40">
        <f>SUM(Tabla13267[[#This Row],[PRIMER TRIMESTRE]:[CUARTO TRIMESTRE]])</f>
        <v>300</v>
      </c>
      <c r="I575" s="17">
        <v>133.47</v>
      </c>
      <c r="J575" s="17">
        <f>+Tabla13267[[#This Row],[CANTIDAD TOTAL]]*Tabla13267[[#This Row],[PRECIO UNITARIO ESTIMADO]]</f>
        <v>40041</v>
      </c>
      <c r="K575" s="17"/>
      <c r="L575" s="16" t="s">
        <v>15</v>
      </c>
      <c r="M575" s="16" t="s">
        <v>22</v>
      </c>
      <c r="N575" s="39" t="s">
        <v>418</v>
      </c>
      <c r="O575" s="20"/>
    </row>
    <row r="576" spans="1:21" s="12" customFormat="1" ht="33" customHeight="1">
      <c r="A576" s="15" t="s">
        <v>122</v>
      </c>
      <c r="B576" s="75" t="s">
        <v>275</v>
      </c>
      <c r="C576" s="39" t="s">
        <v>17</v>
      </c>
      <c r="D576" s="39"/>
      <c r="E576" s="141">
        <v>50</v>
      </c>
      <c r="F576" s="141"/>
      <c r="G576" s="141">
        <v>50</v>
      </c>
      <c r="H576" s="40">
        <f>SUM(Tabla13267[[#This Row],[PRIMER TRIMESTRE]:[CUARTO TRIMESTRE]])</f>
        <v>100</v>
      </c>
      <c r="I576" s="17">
        <v>115.24</v>
      </c>
      <c r="J576" s="17">
        <f>+Tabla13267[[#This Row],[CANTIDAD TOTAL]]*Tabla13267[[#This Row],[PRECIO UNITARIO ESTIMADO]]</f>
        <v>11524</v>
      </c>
      <c r="K576" s="17"/>
      <c r="L576" s="16" t="s">
        <v>15</v>
      </c>
      <c r="M576" s="16" t="s">
        <v>22</v>
      </c>
      <c r="N576" s="39" t="s">
        <v>418</v>
      </c>
      <c r="O576" s="20"/>
    </row>
    <row r="577" spans="1:21" s="12" customFormat="1" ht="16.5" customHeight="1">
      <c r="A577" s="15" t="s">
        <v>122</v>
      </c>
      <c r="B577" s="75" t="s">
        <v>125</v>
      </c>
      <c r="C577" s="39" t="s">
        <v>17</v>
      </c>
      <c r="D577" s="39"/>
      <c r="E577" s="141">
        <v>35</v>
      </c>
      <c r="F577" s="141"/>
      <c r="G577" s="141">
        <v>35</v>
      </c>
      <c r="H577" s="40">
        <f>SUM(Tabla13267[[#This Row],[PRIMER TRIMESTRE]:[CUARTO TRIMESTRE]])</f>
        <v>70</v>
      </c>
      <c r="I577" s="17">
        <v>1624</v>
      </c>
      <c r="J577" s="17">
        <f>+Tabla13267[[#This Row],[CANTIDAD TOTAL]]*Tabla13267[[#This Row],[PRECIO UNITARIO ESTIMADO]]</f>
        <v>113680</v>
      </c>
      <c r="K577" s="17"/>
      <c r="L577" s="16" t="s">
        <v>15</v>
      </c>
      <c r="M577" s="16" t="s">
        <v>22</v>
      </c>
      <c r="N577" s="39" t="s">
        <v>418</v>
      </c>
      <c r="O577" s="20"/>
      <c r="R577" s="19" t="s">
        <v>126</v>
      </c>
    </row>
    <row r="578" spans="1:21" s="12" customFormat="1">
      <c r="A578" s="15" t="s">
        <v>122</v>
      </c>
      <c r="B578" s="75" t="s">
        <v>276</v>
      </c>
      <c r="C578" s="39" t="s">
        <v>17</v>
      </c>
      <c r="D578" s="39"/>
      <c r="E578" s="141">
        <v>50</v>
      </c>
      <c r="F578" s="141"/>
      <c r="G578" s="141">
        <v>50</v>
      </c>
      <c r="H578" s="40">
        <f>SUM(Tabla13267[[#This Row],[PRIMER TRIMESTRE]:[CUARTO TRIMESTRE]])</f>
        <v>100</v>
      </c>
      <c r="I578" s="17">
        <v>101.68</v>
      </c>
      <c r="J578" s="17">
        <f>+Tabla13267[[#This Row],[CANTIDAD TOTAL]]*Tabla13267[[#This Row],[PRECIO UNITARIO ESTIMADO]]</f>
        <v>10168</v>
      </c>
      <c r="K578" s="17"/>
      <c r="L578" s="16" t="s">
        <v>15</v>
      </c>
      <c r="M578" s="16" t="s">
        <v>22</v>
      </c>
      <c r="N578" s="39" t="s">
        <v>418</v>
      </c>
      <c r="O578" s="20"/>
    </row>
    <row r="579" spans="1:21" s="12" customFormat="1">
      <c r="A579" s="15" t="s">
        <v>122</v>
      </c>
      <c r="B579" s="75" t="s">
        <v>277</v>
      </c>
      <c r="C579" s="39" t="s">
        <v>17</v>
      </c>
      <c r="D579" s="39"/>
      <c r="E579" s="141">
        <v>50</v>
      </c>
      <c r="F579" s="141"/>
      <c r="G579" s="141">
        <v>50</v>
      </c>
      <c r="H579" s="40">
        <f>SUM(Tabla13267[[#This Row],[PRIMER TRIMESTRE]:[CUARTO TRIMESTRE]])</f>
        <v>100</v>
      </c>
      <c r="I579" s="17">
        <v>27.14</v>
      </c>
      <c r="J579" s="17">
        <f>+Tabla13267[[#This Row],[CANTIDAD TOTAL]]*Tabla13267[[#This Row],[PRECIO UNITARIO ESTIMADO]]</f>
        <v>2714</v>
      </c>
      <c r="K579" s="17"/>
      <c r="L579" s="16" t="s">
        <v>15</v>
      </c>
      <c r="M579" s="16" t="s">
        <v>22</v>
      </c>
      <c r="N579" s="39" t="s">
        <v>418</v>
      </c>
      <c r="O579" s="20"/>
    </row>
    <row r="580" spans="1:21" s="12" customFormat="1">
      <c r="A580" s="15" t="s">
        <v>122</v>
      </c>
      <c r="B580" s="75" t="s">
        <v>327</v>
      </c>
      <c r="C580" s="44" t="s">
        <v>102</v>
      </c>
      <c r="D580" s="39"/>
      <c r="E580" s="141">
        <v>178</v>
      </c>
      <c r="F580" s="141"/>
      <c r="G580" s="141">
        <v>178</v>
      </c>
      <c r="H580" s="40">
        <f>SUM(Tabla13267[[#This Row],[PRIMER TRIMESTRE]:[CUARTO TRIMESTRE]])</f>
        <v>356</v>
      </c>
      <c r="I580" s="17">
        <f>43660/209</f>
        <v>208.89952153110048</v>
      </c>
      <c r="J580" s="17">
        <f>+Tabla13267[[#This Row],[CANTIDAD TOTAL]]*Tabla13267[[#This Row],[PRECIO UNITARIO ESTIMADO]]</f>
        <v>74368.229665071776</v>
      </c>
      <c r="K580" s="17"/>
      <c r="L580" s="16" t="s">
        <v>15</v>
      </c>
      <c r="M580" s="30" t="s">
        <v>22</v>
      </c>
      <c r="N580" s="44" t="s">
        <v>418</v>
      </c>
      <c r="O580" s="20"/>
    </row>
    <row r="581" spans="1:21" s="12" customFormat="1">
      <c r="A581" s="15" t="s">
        <v>122</v>
      </c>
      <c r="B581" s="75" t="s">
        <v>328</v>
      </c>
      <c r="C581" s="44" t="s">
        <v>17</v>
      </c>
      <c r="D581" s="39"/>
      <c r="E581" s="141">
        <v>1</v>
      </c>
      <c r="F581" s="141"/>
      <c r="G581" s="141">
        <v>1</v>
      </c>
      <c r="H581" s="40">
        <f>SUM(Tabla13267[[#This Row],[PRIMER TRIMESTRE]:[CUARTO TRIMESTRE]])</f>
        <v>2</v>
      </c>
      <c r="I581" s="17">
        <v>12626</v>
      </c>
      <c r="J581" s="17">
        <f>+Tabla13267[[#This Row],[CANTIDAD TOTAL]]*Tabla13267[[#This Row],[PRECIO UNITARIO ESTIMADO]]</f>
        <v>25252</v>
      </c>
      <c r="K581" s="17"/>
      <c r="L581" s="16" t="s">
        <v>15</v>
      </c>
      <c r="M581" s="30" t="s">
        <v>22</v>
      </c>
      <c r="N581" s="44" t="s">
        <v>418</v>
      </c>
      <c r="O581" s="20"/>
    </row>
    <row r="582" spans="1:21" s="12" customFormat="1">
      <c r="A582" s="15" t="s">
        <v>122</v>
      </c>
      <c r="B582" s="75" t="s">
        <v>329</v>
      </c>
      <c r="C582" s="44" t="s">
        <v>17</v>
      </c>
      <c r="D582" s="39"/>
      <c r="E582" s="141">
        <v>35</v>
      </c>
      <c r="F582" s="141"/>
      <c r="G582" s="141">
        <v>35</v>
      </c>
      <c r="H582" s="40">
        <f>SUM(Tabla13267[[#This Row],[PRIMER TRIMESTRE]:[CUARTO TRIMESTRE]])</f>
        <v>70</v>
      </c>
      <c r="I582" s="17">
        <f>1382216.68/118</f>
        <v>11713.700677966101</v>
      </c>
      <c r="J582" s="17">
        <f>+Tabla13267[[#This Row],[CANTIDAD TOTAL]]*Tabla13267[[#This Row],[PRECIO UNITARIO ESTIMADO]]</f>
        <v>819959.04745762702</v>
      </c>
      <c r="K582" s="17"/>
      <c r="L582" s="16" t="s">
        <v>15</v>
      </c>
      <c r="M582" s="30" t="s">
        <v>22</v>
      </c>
      <c r="N582" s="44" t="s">
        <v>418</v>
      </c>
      <c r="O582" s="20"/>
    </row>
    <row r="583" spans="1:21" s="12" customFormat="1">
      <c r="A583" s="15" t="s">
        <v>122</v>
      </c>
      <c r="B583" s="75" t="s">
        <v>330</v>
      </c>
      <c r="C583" s="44" t="s">
        <v>17</v>
      </c>
      <c r="D583" s="39"/>
      <c r="E583" s="141">
        <v>63</v>
      </c>
      <c r="F583" s="141"/>
      <c r="G583" s="141">
        <v>63</v>
      </c>
      <c r="H583" s="40">
        <f>SUM(Tabla13267[[#This Row],[PRIMER TRIMESTRE]:[CUARTO TRIMESTRE]])</f>
        <v>126</v>
      </c>
      <c r="I583" s="17">
        <v>413</v>
      </c>
      <c r="J583" s="17">
        <f>+Tabla13267[[#This Row],[CANTIDAD TOTAL]]*Tabla13267[[#This Row],[PRECIO UNITARIO ESTIMADO]]</f>
        <v>52038</v>
      </c>
      <c r="K583" s="17"/>
      <c r="L583" s="16" t="s">
        <v>15</v>
      </c>
      <c r="M583" s="30" t="s">
        <v>22</v>
      </c>
      <c r="N583" s="44" t="s">
        <v>418</v>
      </c>
      <c r="O583" s="20"/>
    </row>
    <row r="584" spans="1:21" s="26" customFormat="1" ht="27.75" customHeight="1">
      <c r="A584" s="22" t="s">
        <v>122</v>
      </c>
      <c r="B584" s="76"/>
      <c r="C584" s="42"/>
      <c r="D584" s="42"/>
      <c r="E584" s="42"/>
      <c r="F584" s="42"/>
      <c r="G584" s="42"/>
      <c r="H584" s="43"/>
      <c r="I584" s="24"/>
      <c r="J584" s="24"/>
      <c r="K584" s="25">
        <f>SUM(J575:J583)</f>
        <v>1149744.2771226987</v>
      </c>
      <c r="L584" s="23"/>
      <c r="M584" s="23"/>
      <c r="N584" s="42"/>
      <c r="O584" s="24"/>
      <c r="R584" s="27"/>
      <c r="U584" s="23"/>
    </row>
    <row r="585" spans="1:21" s="12" customFormat="1">
      <c r="A585" s="15" t="s">
        <v>278</v>
      </c>
      <c r="B585" s="75" t="s">
        <v>279</v>
      </c>
      <c r="C585" s="39" t="s">
        <v>17</v>
      </c>
      <c r="D585" s="39"/>
      <c r="E585" s="39">
        <v>5</v>
      </c>
      <c r="F585" s="39"/>
      <c r="G585" s="39"/>
      <c r="H585" s="40">
        <f>SUM(Tabla13267[[#This Row],[PRIMER TRIMESTRE]:[CUARTO TRIMESTRE]])</f>
        <v>5</v>
      </c>
      <c r="I585" s="17">
        <v>259.68</v>
      </c>
      <c r="J585" s="17">
        <f>+Tabla13267[[#This Row],[CANTIDAD TOTAL]]*Tabla13267[[#This Row],[PRECIO UNITARIO ESTIMADO]]</f>
        <v>1298.4000000000001</v>
      </c>
      <c r="K585" s="17"/>
      <c r="L585" s="16" t="s">
        <v>15</v>
      </c>
      <c r="M585" s="16" t="s">
        <v>22</v>
      </c>
      <c r="N585" s="39" t="s">
        <v>342</v>
      </c>
      <c r="O585" s="20"/>
    </row>
    <row r="586" spans="1:21" s="12" customFormat="1" ht="39" customHeight="1">
      <c r="A586" s="15" t="s">
        <v>278</v>
      </c>
      <c r="B586" s="75" t="s">
        <v>280</v>
      </c>
      <c r="C586" s="39" t="s">
        <v>17</v>
      </c>
      <c r="D586" s="39"/>
      <c r="E586" s="39">
        <v>100</v>
      </c>
      <c r="F586" s="39"/>
      <c r="G586" s="39">
        <v>100</v>
      </c>
      <c r="H586" s="40">
        <f>SUM(Tabla13267[[#This Row],[PRIMER TRIMESTRE]:[CUARTO TRIMESTRE]])</f>
        <v>200</v>
      </c>
      <c r="I586" s="17">
        <v>150</v>
      </c>
      <c r="J586" s="17">
        <f>+Tabla13267[[#This Row],[CANTIDAD TOTAL]]*Tabla13267[[#This Row],[PRECIO UNITARIO ESTIMADO]]</f>
        <v>30000</v>
      </c>
      <c r="K586" s="17"/>
      <c r="L586" s="16" t="s">
        <v>15</v>
      </c>
      <c r="M586" s="16" t="s">
        <v>22</v>
      </c>
      <c r="N586" s="39" t="s">
        <v>342</v>
      </c>
      <c r="O586" s="20"/>
    </row>
    <row r="587" spans="1:21" s="12" customFormat="1">
      <c r="A587" s="15" t="s">
        <v>278</v>
      </c>
      <c r="B587" s="75" t="s">
        <v>566</v>
      </c>
      <c r="C587" s="39" t="s">
        <v>17</v>
      </c>
      <c r="D587" s="39"/>
      <c r="E587" s="39">
        <v>49</v>
      </c>
      <c r="F587" s="39"/>
      <c r="G587" s="39">
        <v>40</v>
      </c>
      <c r="H587" s="40">
        <f>SUM(Tabla13267[[#This Row],[PRIMER TRIMESTRE]:[CUARTO TRIMESTRE]])</f>
        <v>89</v>
      </c>
      <c r="I587" s="17">
        <v>140</v>
      </c>
      <c r="J587" s="17">
        <f>+Tabla13267[[#This Row],[CANTIDAD TOTAL]]*Tabla13267[[#This Row],[PRECIO UNITARIO ESTIMADO]]</f>
        <v>12460</v>
      </c>
      <c r="K587" s="17"/>
      <c r="L587" s="16" t="s">
        <v>15</v>
      </c>
      <c r="M587" s="16" t="s">
        <v>22</v>
      </c>
      <c r="N587" s="39" t="s">
        <v>342</v>
      </c>
      <c r="O587" s="29"/>
    </row>
    <row r="588" spans="1:21" s="12" customFormat="1">
      <c r="A588" s="15" t="s">
        <v>278</v>
      </c>
      <c r="B588" s="75" t="s">
        <v>727</v>
      </c>
      <c r="C588" s="39" t="s">
        <v>17</v>
      </c>
      <c r="D588" s="39"/>
      <c r="E588" s="39"/>
      <c r="F588" s="39"/>
      <c r="G588" s="39">
        <v>10</v>
      </c>
      <c r="H588" s="40">
        <f>SUM(Tabla13267[[#This Row],[PRIMER TRIMESTRE]:[CUARTO TRIMESTRE]])</f>
        <v>10</v>
      </c>
      <c r="I588" s="17">
        <v>21895</v>
      </c>
      <c r="J588" s="17">
        <f>+H588*I588</f>
        <v>218950</v>
      </c>
      <c r="K588" s="17"/>
      <c r="L588" s="16" t="s">
        <v>15</v>
      </c>
      <c r="M588" s="16" t="s">
        <v>22</v>
      </c>
      <c r="N588" s="39" t="s">
        <v>342</v>
      </c>
      <c r="O588" s="18"/>
    </row>
    <row r="589" spans="1:21" s="26" customFormat="1" ht="27.75" customHeight="1">
      <c r="A589" s="22" t="s">
        <v>278</v>
      </c>
      <c r="B589" s="76"/>
      <c r="C589" s="42"/>
      <c r="D589" s="42"/>
      <c r="E589" s="42"/>
      <c r="F589" s="42"/>
      <c r="G589" s="42"/>
      <c r="H589" s="43"/>
      <c r="I589" s="24"/>
      <c r="J589" s="24"/>
      <c r="K589" s="25">
        <f>SUM(J585:J588)</f>
        <v>262708.40000000002</v>
      </c>
      <c r="L589" s="23"/>
      <c r="M589" s="23"/>
      <c r="N589" s="42"/>
      <c r="O589" s="24"/>
      <c r="R589" s="27"/>
      <c r="U589" s="23"/>
    </row>
    <row r="590" spans="1:21" s="12" customFormat="1">
      <c r="A590" s="15" t="s">
        <v>124</v>
      </c>
      <c r="B590" s="75" t="s">
        <v>281</v>
      </c>
      <c r="C590" s="39" t="s">
        <v>102</v>
      </c>
      <c r="D590" s="142"/>
      <c r="E590" s="142">
        <v>150</v>
      </c>
      <c r="F590" s="142"/>
      <c r="G590" s="39">
        <v>150</v>
      </c>
      <c r="H590" s="40">
        <f>SUM(Tabla13267[[#This Row],[PRIMER TRIMESTRE]:[CUARTO TRIMESTRE]])</f>
        <v>300</v>
      </c>
      <c r="I590" s="17">
        <v>191.84</v>
      </c>
      <c r="J590" s="17">
        <f>+Tabla13267[[#This Row],[CANTIDAD TOTAL]]*Tabla13267[[#This Row],[PRECIO UNITARIO ESTIMADO]]</f>
        <v>57552</v>
      </c>
      <c r="K590" s="17"/>
      <c r="L590" s="16" t="s">
        <v>15</v>
      </c>
      <c r="M590" s="16" t="s">
        <v>22</v>
      </c>
      <c r="N590" s="39" t="s">
        <v>342</v>
      </c>
      <c r="O590" s="20"/>
    </row>
    <row r="591" spans="1:21" s="12" customFormat="1">
      <c r="A591" s="15" t="s">
        <v>124</v>
      </c>
      <c r="B591" s="75" t="s">
        <v>282</v>
      </c>
      <c r="C591" s="39" t="s">
        <v>69</v>
      </c>
      <c r="D591" s="142"/>
      <c r="E591" s="142">
        <v>250</v>
      </c>
      <c r="F591" s="142"/>
      <c r="G591" s="39">
        <v>250</v>
      </c>
      <c r="H591" s="40">
        <f>SUM(Tabla13267[[#This Row],[PRIMER TRIMESTRE]:[CUARTO TRIMESTRE]])</f>
        <v>500</v>
      </c>
      <c r="I591" s="17">
        <v>83.78</v>
      </c>
      <c r="J591" s="17">
        <f>+Tabla13267[[#This Row],[CANTIDAD TOTAL]]*Tabla13267[[#This Row],[PRECIO UNITARIO ESTIMADO]]</f>
        <v>41890</v>
      </c>
      <c r="K591" s="17"/>
      <c r="L591" s="16" t="s">
        <v>15</v>
      </c>
      <c r="M591" s="16" t="s">
        <v>22</v>
      </c>
      <c r="N591" s="39" t="s">
        <v>342</v>
      </c>
      <c r="O591" s="20"/>
    </row>
    <row r="592" spans="1:21" s="12" customFormat="1">
      <c r="A592" s="15" t="s">
        <v>124</v>
      </c>
      <c r="B592" s="75" t="s">
        <v>283</v>
      </c>
      <c r="C592" s="39" t="s">
        <v>17</v>
      </c>
      <c r="D592" s="142"/>
      <c r="E592" s="142">
        <v>20</v>
      </c>
      <c r="F592" s="142"/>
      <c r="G592" s="39">
        <v>20</v>
      </c>
      <c r="H592" s="40">
        <f>SUM(Tabla13267[[#This Row],[PRIMER TRIMESTRE]:[CUARTO TRIMESTRE]])</f>
        <v>40</v>
      </c>
      <c r="I592" s="17">
        <v>82.94</v>
      </c>
      <c r="J592" s="17">
        <f>+Tabla13267[[#This Row],[CANTIDAD TOTAL]]*Tabla13267[[#This Row],[PRECIO UNITARIO ESTIMADO]]</f>
        <v>3317.6</v>
      </c>
      <c r="K592" s="17"/>
      <c r="L592" s="16" t="s">
        <v>15</v>
      </c>
      <c r="M592" s="16" t="s">
        <v>22</v>
      </c>
      <c r="N592" s="39" t="s">
        <v>342</v>
      </c>
      <c r="O592" s="20"/>
    </row>
    <row r="593" spans="1:15" s="12" customFormat="1">
      <c r="A593" s="15" t="s">
        <v>124</v>
      </c>
      <c r="B593" s="75" t="s">
        <v>284</v>
      </c>
      <c r="C593" s="39" t="s">
        <v>17</v>
      </c>
      <c r="D593" s="142"/>
      <c r="E593" s="142">
        <v>400</v>
      </c>
      <c r="F593" s="142"/>
      <c r="G593" s="39">
        <v>400</v>
      </c>
      <c r="H593" s="40">
        <f>SUM(Tabla13267[[#This Row],[PRIMER TRIMESTRE]:[CUARTO TRIMESTRE]])</f>
        <v>800</v>
      </c>
      <c r="I593" s="17">
        <v>26.67</v>
      </c>
      <c r="J593" s="17">
        <f>+Tabla13267[[#This Row],[CANTIDAD TOTAL]]*Tabla13267[[#This Row],[PRECIO UNITARIO ESTIMADO]]</f>
        <v>21336</v>
      </c>
      <c r="K593" s="17"/>
      <c r="L593" s="16" t="s">
        <v>15</v>
      </c>
      <c r="M593" s="16" t="s">
        <v>22</v>
      </c>
      <c r="N593" s="39" t="s">
        <v>342</v>
      </c>
      <c r="O593" s="20"/>
    </row>
    <row r="594" spans="1:15" s="12" customFormat="1">
      <c r="A594" s="15" t="s">
        <v>124</v>
      </c>
      <c r="B594" s="75" t="s">
        <v>726</v>
      </c>
      <c r="C594" s="39" t="s">
        <v>17</v>
      </c>
      <c r="D594" s="142"/>
      <c r="E594" s="142">
        <v>100</v>
      </c>
      <c r="F594" s="142"/>
      <c r="G594" s="39">
        <v>100</v>
      </c>
      <c r="H594" s="40">
        <f>SUM(Tabla13267[[#This Row],[PRIMER TRIMESTRE]:[CUARTO TRIMESTRE]])</f>
        <v>200</v>
      </c>
      <c r="I594" s="72">
        <v>50</v>
      </c>
      <c r="J594" s="17">
        <f>+H594*I594</f>
        <v>10000</v>
      </c>
      <c r="K594" s="17"/>
      <c r="L594" s="16" t="s">
        <v>15</v>
      </c>
      <c r="M594" s="16" t="s">
        <v>22</v>
      </c>
      <c r="N594" s="39" t="s">
        <v>342</v>
      </c>
      <c r="O594" s="18"/>
    </row>
    <row r="595" spans="1:15" s="12" customFormat="1">
      <c r="A595" s="15" t="s">
        <v>124</v>
      </c>
      <c r="B595" s="75" t="s">
        <v>285</v>
      </c>
      <c r="C595" s="39" t="s">
        <v>33</v>
      </c>
      <c r="D595" s="142"/>
      <c r="E595" s="142">
        <v>150</v>
      </c>
      <c r="F595" s="142"/>
      <c r="G595" s="39">
        <v>150</v>
      </c>
      <c r="H595" s="40">
        <f>SUM(Tabla13267[[#This Row],[PRIMER TRIMESTRE]:[CUARTO TRIMESTRE]])</f>
        <v>300</v>
      </c>
      <c r="I595" s="17">
        <v>115.94</v>
      </c>
      <c r="J595" s="17">
        <f>+Tabla13267[[#This Row],[CANTIDAD TOTAL]]*Tabla13267[[#This Row],[PRECIO UNITARIO ESTIMADO]]</f>
        <v>34782</v>
      </c>
      <c r="K595" s="17"/>
      <c r="L595" s="16" t="s">
        <v>15</v>
      </c>
      <c r="M595" s="16" t="s">
        <v>22</v>
      </c>
      <c r="N595" s="39" t="s">
        <v>342</v>
      </c>
      <c r="O595" s="20"/>
    </row>
    <row r="596" spans="1:15" s="12" customFormat="1">
      <c r="A596" s="15" t="s">
        <v>124</v>
      </c>
      <c r="B596" s="75" t="s">
        <v>287</v>
      </c>
      <c r="C596" s="39" t="s">
        <v>288</v>
      </c>
      <c r="D596" s="142"/>
      <c r="E596" s="142">
        <v>50</v>
      </c>
      <c r="F596" s="142"/>
      <c r="G596" s="39">
        <v>50</v>
      </c>
      <c r="H596" s="40">
        <f>SUM(Tabla13267[[#This Row],[PRIMER TRIMESTRE]:[CUARTO TRIMESTRE]])</f>
        <v>100</v>
      </c>
      <c r="I596" s="17">
        <v>255.31</v>
      </c>
      <c r="J596" s="17">
        <f>+Tabla13267[[#This Row],[CANTIDAD TOTAL]]*Tabla13267[[#This Row],[PRECIO UNITARIO ESTIMADO]]</f>
        <v>25531</v>
      </c>
      <c r="K596" s="17"/>
      <c r="L596" s="16" t="s">
        <v>15</v>
      </c>
      <c r="M596" s="16" t="s">
        <v>22</v>
      </c>
      <c r="N596" s="39" t="s">
        <v>342</v>
      </c>
      <c r="O596" s="20"/>
    </row>
    <row r="597" spans="1:15" s="12" customFormat="1" ht="30.75" customHeight="1">
      <c r="A597" s="15" t="s">
        <v>124</v>
      </c>
      <c r="B597" s="75" t="s">
        <v>723</v>
      </c>
      <c r="C597" s="39" t="s">
        <v>722</v>
      </c>
      <c r="D597" s="142"/>
      <c r="E597" s="142">
        <v>12</v>
      </c>
      <c r="F597" s="142"/>
      <c r="G597" s="39">
        <v>12</v>
      </c>
      <c r="H597" s="40">
        <f>SUM(Tabla13267[[#This Row],[PRIMER TRIMESTRE]:[CUARTO TRIMESTRE]])</f>
        <v>24</v>
      </c>
      <c r="I597" s="17">
        <v>945</v>
      </c>
      <c r="J597" s="17">
        <f>+Tabla13267[[#This Row],[CANTIDAD TOTAL]]*Tabla13267[[#This Row],[PRECIO UNITARIO ESTIMADO]]</f>
        <v>22680</v>
      </c>
      <c r="K597" s="17"/>
      <c r="L597" s="16" t="s">
        <v>15</v>
      </c>
      <c r="M597" s="16" t="s">
        <v>22</v>
      </c>
      <c r="N597" s="39" t="s">
        <v>342</v>
      </c>
      <c r="O597" s="20"/>
    </row>
    <row r="598" spans="1:15" s="12" customFormat="1" ht="30.75" customHeight="1">
      <c r="A598" s="15" t="s">
        <v>124</v>
      </c>
      <c r="B598" s="75" t="s">
        <v>739</v>
      </c>
      <c r="C598" s="39" t="s">
        <v>740</v>
      </c>
      <c r="D598" s="142"/>
      <c r="E598" s="142"/>
      <c r="F598" s="142"/>
      <c r="G598" s="39">
        <v>40</v>
      </c>
      <c r="H598" s="40">
        <f>SUM(Tabla13267[[#This Row],[PRIMER TRIMESTRE]:[CUARTO TRIMESTRE]])</f>
        <v>40</v>
      </c>
      <c r="I598" s="17">
        <v>174.91</v>
      </c>
      <c r="J598" s="17">
        <f>+H598*I598</f>
        <v>6996.4</v>
      </c>
      <c r="K598" s="17"/>
      <c r="L598" s="16" t="s">
        <v>15</v>
      </c>
      <c r="M598" s="16" t="s">
        <v>22</v>
      </c>
      <c r="N598" s="39" t="s">
        <v>342</v>
      </c>
      <c r="O598" s="18"/>
    </row>
    <row r="599" spans="1:15" s="12" customFormat="1" ht="33" customHeight="1">
      <c r="A599" s="15" t="s">
        <v>124</v>
      </c>
      <c r="B599" s="75" t="s">
        <v>289</v>
      </c>
      <c r="C599" s="39" t="s">
        <v>290</v>
      </c>
      <c r="D599" s="142"/>
      <c r="E599" s="142">
        <v>200</v>
      </c>
      <c r="F599" s="142"/>
      <c r="G599" s="39">
        <f>200+20</f>
        <v>220</v>
      </c>
      <c r="H599" s="40">
        <f>SUM(Tabla13267[[#This Row],[PRIMER TRIMESTRE]:[CUARTO TRIMESTRE]])</f>
        <v>420</v>
      </c>
      <c r="I599" s="17">
        <v>240</v>
      </c>
      <c r="J599" s="17">
        <f>+Tabla13267[[#This Row],[CANTIDAD TOTAL]]*Tabla13267[[#This Row],[PRECIO UNITARIO ESTIMADO]]</f>
        <v>100800</v>
      </c>
      <c r="K599" s="17"/>
      <c r="L599" s="16" t="s">
        <v>15</v>
      </c>
      <c r="M599" s="16" t="s">
        <v>22</v>
      </c>
      <c r="N599" s="39" t="s">
        <v>342</v>
      </c>
      <c r="O599" s="20"/>
    </row>
    <row r="600" spans="1:15" s="12" customFormat="1" ht="39" customHeight="1">
      <c r="A600" s="15" t="s">
        <v>124</v>
      </c>
      <c r="B600" s="75" t="s">
        <v>291</v>
      </c>
      <c r="C600" s="39" t="s">
        <v>290</v>
      </c>
      <c r="D600" s="142"/>
      <c r="E600" s="142">
        <v>70</v>
      </c>
      <c r="F600" s="142"/>
      <c r="G600" s="39">
        <v>70</v>
      </c>
      <c r="H600" s="40">
        <f>SUM(Tabla13267[[#This Row],[PRIMER TRIMESTRE]:[CUARTO TRIMESTRE]])</f>
        <v>140</v>
      </c>
      <c r="I600" s="17">
        <v>121.8</v>
      </c>
      <c r="J600" s="17">
        <f>+Tabla13267[[#This Row],[CANTIDAD TOTAL]]*Tabla13267[[#This Row],[PRECIO UNITARIO ESTIMADO]]</f>
        <v>17052</v>
      </c>
      <c r="K600" s="17"/>
      <c r="L600" s="16" t="s">
        <v>15</v>
      </c>
      <c r="M600" s="16" t="s">
        <v>22</v>
      </c>
      <c r="N600" s="39" t="s">
        <v>342</v>
      </c>
      <c r="O600" s="20"/>
    </row>
    <row r="601" spans="1:15" s="12" customFormat="1" ht="27" customHeight="1">
      <c r="A601" s="15" t="s">
        <v>124</v>
      </c>
      <c r="B601" s="75" t="s">
        <v>469</v>
      </c>
      <c r="C601" s="39" t="s">
        <v>17</v>
      </c>
      <c r="D601" s="142"/>
      <c r="E601" s="142"/>
      <c r="F601" s="142"/>
      <c r="G601" s="39">
        <f>258/2</f>
        <v>129</v>
      </c>
      <c r="H601" s="40">
        <f>SUM(Tabla13267[[#This Row],[PRIMER TRIMESTRE]:[CUARTO TRIMESTRE]])</f>
        <v>129</v>
      </c>
      <c r="I601" s="17">
        <v>217.18</v>
      </c>
      <c r="J601" s="17">
        <f>+H601*I601</f>
        <v>28016.22</v>
      </c>
      <c r="K601" s="17"/>
      <c r="L601" s="16" t="s">
        <v>15</v>
      </c>
      <c r="M601" s="16" t="s">
        <v>22</v>
      </c>
      <c r="N601" s="39" t="s">
        <v>342</v>
      </c>
      <c r="O601" s="18"/>
    </row>
    <row r="602" spans="1:15" s="12" customFormat="1" ht="27" customHeight="1">
      <c r="A602" s="15" t="s">
        <v>124</v>
      </c>
      <c r="B602" s="75" t="s">
        <v>564</v>
      </c>
      <c r="C602" s="39" t="s">
        <v>17</v>
      </c>
      <c r="D602" s="142"/>
      <c r="E602" s="142">
        <v>350</v>
      </c>
      <c r="F602" s="142"/>
      <c r="G602" s="39">
        <v>350</v>
      </c>
      <c r="H602" s="40">
        <f>SUM(Tabla13267[[#This Row],[PRIMER TRIMESTRE]:[CUARTO TRIMESTRE]])</f>
        <v>700</v>
      </c>
      <c r="I602" s="17">
        <v>130</v>
      </c>
      <c r="J602" s="17">
        <f>+H602*I602</f>
        <v>91000</v>
      </c>
      <c r="K602" s="17"/>
      <c r="L602" s="16" t="s">
        <v>15</v>
      </c>
      <c r="M602" s="16" t="s">
        <v>22</v>
      </c>
      <c r="N602" s="39" t="s">
        <v>342</v>
      </c>
      <c r="O602" s="18"/>
    </row>
    <row r="603" spans="1:15" s="12" customFormat="1">
      <c r="A603" s="15" t="s">
        <v>124</v>
      </c>
      <c r="B603" s="75" t="s">
        <v>741</v>
      </c>
      <c r="C603" s="39" t="s">
        <v>17</v>
      </c>
      <c r="D603" s="142"/>
      <c r="E603" s="142"/>
      <c r="F603" s="142"/>
      <c r="G603" s="39">
        <v>100</v>
      </c>
      <c r="H603" s="40">
        <f>SUM(Tabla13267[[#This Row],[PRIMER TRIMESTRE]:[CUARTO TRIMESTRE]])</f>
        <v>100</v>
      </c>
      <c r="I603" s="17">
        <v>217.18</v>
      </c>
      <c r="J603" s="17">
        <f>+Tabla13267[[#This Row],[CANTIDAD TOTAL]]*Tabla13267[[#This Row],[PRECIO UNITARIO ESTIMADO]]</f>
        <v>21718</v>
      </c>
      <c r="K603" s="17"/>
      <c r="L603" s="16" t="s">
        <v>15</v>
      </c>
      <c r="M603" s="16" t="s">
        <v>22</v>
      </c>
      <c r="N603" s="39" t="s">
        <v>342</v>
      </c>
      <c r="O603" s="20"/>
    </row>
    <row r="604" spans="1:15" s="12" customFormat="1">
      <c r="A604" s="15" t="s">
        <v>124</v>
      </c>
      <c r="B604" s="75" t="s">
        <v>292</v>
      </c>
      <c r="C604" s="39" t="s">
        <v>17</v>
      </c>
      <c r="D604" s="142"/>
      <c r="E604" s="142"/>
      <c r="F604" s="142"/>
      <c r="G604" s="39">
        <v>1000</v>
      </c>
      <c r="H604" s="40">
        <f>SUM(Tabla13267[[#This Row],[PRIMER TRIMESTRE]:[CUARTO TRIMESTRE]])</f>
        <v>1000</v>
      </c>
      <c r="I604" s="17">
        <v>377.54</v>
      </c>
      <c r="J604" s="17">
        <f>+Tabla13267[[#This Row],[CANTIDAD TOTAL]]*Tabla13267[[#This Row],[PRECIO UNITARIO ESTIMADO]]</f>
        <v>377540</v>
      </c>
      <c r="K604" s="17"/>
      <c r="L604" s="16" t="s">
        <v>15</v>
      </c>
      <c r="M604" s="16" t="s">
        <v>22</v>
      </c>
      <c r="N604" s="39" t="s">
        <v>342</v>
      </c>
      <c r="O604" s="20"/>
    </row>
    <row r="605" spans="1:15" s="12" customFormat="1">
      <c r="A605" s="15" t="s">
        <v>124</v>
      </c>
      <c r="B605" s="75" t="s">
        <v>725</v>
      </c>
      <c r="C605" s="39" t="s">
        <v>17</v>
      </c>
      <c r="D605" s="142"/>
      <c r="E605" s="142">
        <v>50</v>
      </c>
      <c r="F605" s="142"/>
      <c r="G605" s="39">
        <v>50</v>
      </c>
      <c r="H605" s="40">
        <f>SUM(Tabla13267[[#This Row],[PRIMER TRIMESTRE]:[CUARTO TRIMESTRE]])</f>
        <v>100</v>
      </c>
      <c r="I605" s="17">
        <v>90</v>
      </c>
      <c r="J605" s="17">
        <f>+H605*I605</f>
        <v>9000</v>
      </c>
      <c r="K605" s="17"/>
      <c r="L605" s="16" t="s">
        <v>15</v>
      </c>
      <c r="M605" s="16" t="s">
        <v>22</v>
      </c>
      <c r="N605" s="39" t="s">
        <v>342</v>
      </c>
      <c r="O605" s="18"/>
    </row>
    <row r="606" spans="1:15" s="12" customFormat="1">
      <c r="A606" s="15" t="s">
        <v>124</v>
      </c>
      <c r="B606" s="75" t="s">
        <v>293</v>
      </c>
      <c r="C606" s="39" t="s">
        <v>33</v>
      </c>
      <c r="D606" s="142"/>
      <c r="E606" s="142">
        <v>80</v>
      </c>
      <c r="F606" s="142"/>
      <c r="G606" s="39">
        <v>80</v>
      </c>
      <c r="H606" s="40">
        <f>SUM(Tabla13267[[#This Row],[PRIMER TRIMESTRE]:[CUARTO TRIMESTRE]])</f>
        <v>160</v>
      </c>
      <c r="I606" s="17">
        <v>214.6</v>
      </c>
      <c r="J606" s="17">
        <f>+Tabla13267[[#This Row],[CANTIDAD TOTAL]]*Tabla13267[[#This Row],[PRECIO UNITARIO ESTIMADO]]</f>
        <v>34336</v>
      </c>
      <c r="K606" s="17"/>
      <c r="L606" s="16" t="s">
        <v>15</v>
      </c>
      <c r="M606" s="16" t="s">
        <v>22</v>
      </c>
      <c r="N606" s="39" t="s">
        <v>342</v>
      </c>
      <c r="O606" s="20"/>
    </row>
    <row r="607" spans="1:15" s="12" customFormat="1">
      <c r="A607" s="15" t="s">
        <v>124</v>
      </c>
      <c r="B607" s="75" t="s">
        <v>294</v>
      </c>
      <c r="C607" s="39" t="s">
        <v>17</v>
      </c>
      <c r="D607" s="142"/>
      <c r="E607" s="143">
        <v>17</v>
      </c>
      <c r="F607" s="143"/>
      <c r="G607" s="70">
        <v>17</v>
      </c>
      <c r="H607" s="40">
        <f>SUM(Tabla13267[[#This Row],[PRIMER TRIMESTRE]:[CUARTO TRIMESTRE]])</f>
        <v>34</v>
      </c>
      <c r="I607" s="17">
        <v>424.95</v>
      </c>
      <c r="J607" s="17">
        <f>+Tabla13267[[#This Row],[CANTIDAD TOTAL]]*Tabla13267[[#This Row],[PRECIO UNITARIO ESTIMADO]]</f>
        <v>14448.3</v>
      </c>
      <c r="K607" s="17"/>
      <c r="L607" s="16" t="s">
        <v>15</v>
      </c>
      <c r="M607" s="16" t="s">
        <v>22</v>
      </c>
      <c r="N607" s="39" t="s">
        <v>342</v>
      </c>
      <c r="O607" s="20"/>
    </row>
    <row r="608" spans="1:15" s="12" customFormat="1">
      <c r="A608" s="15" t="s">
        <v>124</v>
      </c>
      <c r="B608" s="75" t="s">
        <v>331</v>
      </c>
      <c r="C608" s="39" t="s">
        <v>33</v>
      </c>
      <c r="D608" s="142"/>
      <c r="E608" s="142">
        <v>80</v>
      </c>
      <c r="F608" s="142"/>
      <c r="G608" s="39">
        <v>80</v>
      </c>
      <c r="H608" s="40">
        <f>SUM(Tabla13267[[#This Row],[PRIMER TRIMESTRE]:[CUARTO TRIMESTRE]])</f>
        <v>160</v>
      </c>
      <c r="I608" s="17">
        <v>404.45</v>
      </c>
      <c r="J608" s="17">
        <f>+Tabla13267[[#This Row],[CANTIDAD TOTAL]]*Tabla13267[[#This Row],[PRECIO UNITARIO ESTIMADO]]</f>
        <v>64712</v>
      </c>
      <c r="K608" s="17"/>
      <c r="L608" s="16" t="s">
        <v>15</v>
      </c>
      <c r="M608" s="16" t="s">
        <v>22</v>
      </c>
      <c r="N608" s="39" t="s">
        <v>342</v>
      </c>
      <c r="O608" s="20"/>
    </row>
    <row r="609" spans="1:21" s="12" customFormat="1">
      <c r="A609" s="15" t="s">
        <v>124</v>
      </c>
      <c r="B609" s="75" t="s">
        <v>724</v>
      </c>
      <c r="C609" s="39" t="s">
        <v>17</v>
      </c>
      <c r="D609" s="142"/>
      <c r="E609" s="142">
        <v>50</v>
      </c>
      <c r="F609" s="142"/>
      <c r="G609" s="39">
        <v>50</v>
      </c>
      <c r="H609" s="40">
        <f>SUM(Tabla13267[[#This Row],[PRIMER TRIMESTRE]:[CUARTO TRIMESTRE]])</f>
        <v>100</v>
      </c>
      <c r="I609" s="17">
        <v>140</v>
      </c>
      <c r="J609" s="17">
        <f>+H609*I609</f>
        <v>14000</v>
      </c>
      <c r="K609" s="17"/>
      <c r="L609" s="16" t="s">
        <v>15</v>
      </c>
      <c r="M609" s="16" t="s">
        <v>22</v>
      </c>
      <c r="N609" s="39" t="s">
        <v>342</v>
      </c>
      <c r="O609" s="18"/>
    </row>
    <row r="610" spans="1:21" s="26" customFormat="1" ht="27.75" customHeight="1">
      <c r="A610" s="22" t="s">
        <v>124</v>
      </c>
      <c r="B610" s="76"/>
      <c r="C610" s="42"/>
      <c r="D610" s="42"/>
      <c r="E610" s="42"/>
      <c r="F610" s="42"/>
      <c r="G610" s="42"/>
      <c r="H610" s="43"/>
      <c r="I610" s="24"/>
      <c r="J610" s="24"/>
      <c r="K610" s="25">
        <f>SUM(J590:J609)</f>
        <v>996707.52</v>
      </c>
      <c r="L610" s="23"/>
      <c r="M610" s="23"/>
      <c r="N610" s="42"/>
      <c r="O610" s="24"/>
      <c r="R610" s="27"/>
      <c r="U610" s="23"/>
    </row>
    <row r="611" spans="1:21" s="12" customFormat="1" ht="41.25" customHeight="1">
      <c r="A611" s="15" t="s">
        <v>117</v>
      </c>
      <c r="B611" s="75" t="s">
        <v>781</v>
      </c>
      <c r="C611" s="39" t="s">
        <v>17</v>
      </c>
      <c r="D611" s="39"/>
      <c r="E611" s="39">
        <v>1</v>
      </c>
      <c r="F611" s="39"/>
      <c r="G611" s="39"/>
      <c r="H611" s="40">
        <f>SUM(Tabla13267[[#This Row],[PRIMER TRIMESTRE]:[CUARTO TRIMESTRE]])</f>
        <v>1</v>
      </c>
      <c r="I611" s="17">
        <v>15000000</v>
      </c>
      <c r="J611" s="17">
        <f>+H611*I611</f>
        <v>15000000</v>
      </c>
      <c r="K611" s="17"/>
      <c r="L611" s="16" t="s">
        <v>18</v>
      </c>
      <c r="M611" s="16" t="s">
        <v>19</v>
      </c>
      <c r="N611" s="39"/>
      <c r="O611" s="20"/>
      <c r="R611" s="19"/>
      <c r="U611" s="16"/>
    </row>
    <row r="612" spans="1:21" s="12" customFormat="1" ht="41.25" customHeight="1">
      <c r="A612" s="15" t="s">
        <v>117</v>
      </c>
      <c r="B612" s="75" t="s">
        <v>779</v>
      </c>
      <c r="C612" s="39" t="s">
        <v>17</v>
      </c>
      <c r="D612" s="39"/>
      <c r="E612" s="39">
        <v>1</v>
      </c>
      <c r="F612" s="39"/>
      <c r="G612" s="39"/>
      <c r="H612" s="40">
        <f>SUM(Tabla13267[[#This Row],[PRIMER TRIMESTRE]:[CUARTO TRIMESTRE]])</f>
        <v>1</v>
      </c>
      <c r="I612" s="17">
        <v>1500000</v>
      </c>
      <c r="J612" s="17">
        <f>+H612*I612</f>
        <v>1500000</v>
      </c>
      <c r="K612" s="17"/>
      <c r="L612" s="16" t="s">
        <v>18</v>
      </c>
      <c r="M612" s="16" t="s">
        <v>22</v>
      </c>
      <c r="N612" s="39" t="s">
        <v>418</v>
      </c>
      <c r="O612" s="18"/>
      <c r="R612" s="19"/>
      <c r="U612" s="16"/>
    </row>
    <row r="613" spans="1:21" s="12" customFormat="1" ht="41.25" customHeight="1">
      <c r="A613" s="15" t="s">
        <v>117</v>
      </c>
      <c r="B613" s="75" t="s">
        <v>780</v>
      </c>
      <c r="C613" s="39" t="s">
        <v>17</v>
      </c>
      <c r="D613" s="39"/>
      <c r="E613" s="39">
        <v>1</v>
      </c>
      <c r="F613" s="39"/>
      <c r="G613" s="39"/>
      <c r="H613" s="40">
        <f>SUM(Tabla13267[[#This Row],[PRIMER TRIMESTRE]:[CUARTO TRIMESTRE]])</f>
        <v>1</v>
      </c>
      <c r="I613" s="17">
        <v>2500000</v>
      </c>
      <c r="J613" s="17">
        <f>+H613*I613</f>
        <v>2500000</v>
      </c>
      <c r="K613" s="17"/>
      <c r="L613" s="16" t="s">
        <v>18</v>
      </c>
      <c r="M613" s="16" t="s">
        <v>22</v>
      </c>
      <c r="N613" s="39" t="s">
        <v>418</v>
      </c>
      <c r="O613" s="18"/>
      <c r="R613" s="19"/>
      <c r="U613" s="16"/>
    </row>
    <row r="614" spans="1:21" s="12" customFormat="1" ht="41.25" customHeight="1">
      <c r="A614" s="15" t="s">
        <v>117</v>
      </c>
      <c r="B614" s="75" t="s">
        <v>889</v>
      </c>
      <c r="C614" s="39" t="s">
        <v>17</v>
      </c>
      <c r="D614" s="39"/>
      <c r="E614" s="39">
        <v>5</v>
      </c>
      <c r="F614" s="39"/>
      <c r="G614" s="39">
        <v>5</v>
      </c>
      <c r="H614" s="40">
        <f>SUM(Tabla13267[[#This Row],[PRIMER TRIMESTRE]:[CUARTO TRIMESTRE]])</f>
        <v>10</v>
      </c>
      <c r="I614" s="17">
        <v>42500</v>
      </c>
      <c r="J614" s="17">
        <v>850000</v>
      </c>
      <c r="K614" s="17"/>
      <c r="L614" s="16" t="s">
        <v>18</v>
      </c>
      <c r="M614" s="16" t="s">
        <v>22</v>
      </c>
      <c r="N614" s="39" t="s">
        <v>418</v>
      </c>
      <c r="O614" s="18"/>
      <c r="R614" s="19"/>
      <c r="U614" s="16"/>
    </row>
    <row r="615" spans="1:21" s="12" customFormat="1" ht="25.5">
      <c r="A615" s="15" t="s">
        <v>117</v>
      </c>
      <c r="B615" s="75" t="s">
        <v>890</v>
      </c>
      <c r="C615" s="39" t="s">
        <v>17</v>
      </c>
      <c r="D615" s="39"/>
      <c r="E615" s="39">
        <v>70</v>
      </c>
      <c r="F615" s="39"/>
      <c r="G615" s="39">
        <v>70</v>
      </c>
      <c r="H615" s="40">
        <f>SUM(Tabla13267[[#This Row],[PRIMER TRIMESTRE]:[CUARTO TRIMESTRE]])</f>
        <v>140</v>
      </c>
      <c r="I615" s="17">
        <v>5350</v>
      </c>
      <c r="J615" s="17">
        <f>+Tabla13267[[#This Row],[CANTIDAD TOTAL]]*Tabla13267[[#This Row],[PRECIO UNITARIO ESTIMADO]]</f>
        <v>749000</v>
      </c>
      <c r="K615" s="17"/>
      <c r="L615" s="16" t="s">
        <v>18</v>
      </c>
      <c r="M615" s="16" t="s">
        <v>22</v>
      </c>
      <c r="N615" s="39" t="s">
        <v>418</v>
      </c>
      <c r="O615" s="20"/>
    </row>
    <row r="616" spans="1:21" s="26" customFormat="1" ht="27.75" customHeight="1">
      <c r="A616" s="22" t="s">
        <v>117</v>
      </c>
      <c r="B616" s="76" t="s">
        <v>891</v>
      </c>
      <c r="C616" s="42"/>
      <c r="D616" s="42"/>
      <c r="E616" s="42"/>
      <c r="F616" s="42"/>
      <c r="G616" s="42"/>
      <c r="H616" s="43"/>
      <c r="I616" s="24"/>
      <c r="J616" s="24"/>
      <c r="K616" s="25">
        <f>SUM(J611:J613)</f>
        <v>19000000</v>
      </c>
      <c r="L616" s="23"/>
      <c r="M616" s="23"/>
      <c r="N616" s="42"/>
      <c r="O616" s="24"/>
      <c r="R616" s="27"/>
      <c r="U616" s="23"/>
    </row>
    <row r="617" spans="1:21" s="12" customFormat="1" ht="49.5" customHeight="1">
      <c r="A617" s="15" t="s">
        <v>115</v>
      </c>
      <c r="B617" s="75" t="s">
        <v>892</v>
      </c>
      <c r="C617" s="39" t="s">
        <v>17</v>
      </c>
      <c r="D617" s="39"/>
      <c r="E617" s="39">
        <v>10</v>
      </c>
      <c r="F617" s="39"/>
      <c r="G617" s="39">
        <v>15</v>
      </c>
      <c r="H617" s="41">
        <f>SUM(Tabla13267[[#This Row],[PRIMER TRIMESTRE]:[CUARTO TRIMESTRE]])</f>
        <v>25</v>
      </c>
      <c r="I617" s="17">
        <v>3519</v>
      </c>
      <c r="J617" s="17">
        <f>+Tabla13267[[#This Row],[CANTIDAD TOTAL]]*Tabla13267[[#This Row],[PRECIO UNITARIO ESTIMADO]]</f>
        <v>87975</v>
      </c>
      <c r="K617" s="17"/>
      <c r="L617" s="16" t="s">
        <v>27</v>
      </c>
      <c r="M617" s="16" t="s">
        <v>22</v>
      </c>
      <c r="N617" s="39" t="s">
        <v>418</v>
      </c>
      <c r="O617" s="20"/>
      <c r="R617" s="19"/>
      <c r="U617" s="16"/>
    </row>
    <row r="618" spans="1:21" s="12" customFormat="1" ht="25.5">
      <c r="A618" s="15" t="s">
        <v>115</v>
      </c>
      <c r="B618" s="75" t="s">
        <v>893</v>
      </c>
      <c r="C618" s="39" t="s">
        <v>17</v>
      </c>
      <c r="D618" s="39"/>
      <c r="E618" s="39">
        <v>20</v>
      </c>
      <c r="F618" s="39"/>
      <c r="G618" s="39">
        <v>20</v>
      </c>
      <c r="H618" s="41">
        <f>SUM(Tabla13267[[#This Row],[PRIMER TRIMESTRE]:[CUARTO TRIMESTRE]])</f>
        <v>40</v>
      </c>
      <c r="I618" s="17">
        <v>1564</v>
      </c>
      <c r="J618" s="17">
        <f>+Tabla13267[[#This Row],[CANTIDAD TOTAL]]*Tabla13267[[#This Row],[PRECIO UNITARIO ESTIMADO]]</f>
        <v>62560</v>
      </c>
      <c r="K618" s="17"/>
      <c r="L618" s="16" t="s">
        <v>27</v>
      </c>
      <c r="M618" s="16" t="s">
        <v>22</v>
      </c>
      <c r="N618" s="39" t="s">
        <v>418</v>
      </c>
      <c r="O618" s="20"/>
    </row>
    <row r="619" spans="1:21" s="12" customFormat="1" ht="25.5">
      <c r="A619" s="15" t="s">
        <v>115</v>
      </c>
      <c r="B619" s="75" t="s">
        <v>894</v>
      </c>
      <c r="C619" s="39" t="s">
        <v>17</v>
      </c>
      <c r="D619" s="39"/>
      <c r="E619" s="39">
        <v>40</v>
      </c>
      <c r="F619" s="39"/>
      <c r="G619" s="39">
        <v>40</v>
      </c>
      <c r="H619" s="41">
        <f>SUM(Tabla13267[[#This Row],[PRIMER TRIMESTRE]:[CUARTO TRIMESTRE]])</f>
        <v>80</v>
      </c>
      <c r="I619" s="17">
        <v>586.5</v>
      </c>
      <c r="J619" s="17">
        <f>+Tabla13267[[#This Row],[CANTIDAD TOTAL]]*Tabla13267[[#This Row],[PRECIO UNITARIO ESTIMADO]]</f>
        <v>46920</v>
      </c>
      <c r="K619" s="17"/>
      <c r="L619" s="16" t="s">
        <v>27</v>
      </c>
      <c r="M619" s="16" t="s">
        <v>22</v>
      </c>
      <c r="N619" s="39" t="s">
        <v>418</v>
      </c>
      <c r="O619" s="20"/>
    </row>
    <row r="620" spans="1:21" s="12" customFormat="1" ht="25.5">
      <c r="A620" s="15" t="s">
        <v>115</v>
      </c>
      <c r="B620" s="75" t="s">
        <v>895</v>
      </c>
      <c r="C620" s="39" t="s">
        <v>17</v>
      </c>
      <c r="D620" s="39"/>
      <c r="E620" s="39">
        <v>8</v>
      </c>
      <c r="F620" s="39"/>
      <c r="G620" s="39"/>
      <c r="H620" s="41">
        <f>SUM(Tabla13267[[#This Row],[PRIMER TRIMESTRE]:[CUARTO TRIMESTRE]])</f>
        <v>8</v>
      </c>
      <c r="I620" s="17">
        <v>586.5</v>
      </c>
      <c r="J620" s="17">
        <f>+Tabla13267[[#This Row],[CANTIDAD TOTAL]]*Tabla13267[[#This Row],[PRECIO UNITARIO ESTIMADO]]</f>
        <v>4692</v>
      </c>
      <c r="K620" s="17"/>
      <c r="L620" s="16" t="s">
        <v>27</v>
      </c>
      <c r="M620" s="16" t="s">
        <v>22</v>
      </c>
      <c r="N620" s="39" t="s">
        <v>418</v>
      </c>
      <c r="O620" s="20"/>
    </row>
    <row r="621" spans="1:21" s="12" customFormat="1" ht="47.25">
      <c r="A621" s="15" t="s">
        <v>115</v>
      </c>
      <c r="B621" s="16" t="str">
        <f ca="1">+UPPER(Tabla13267[[#This Row],[DESCRIPCIÓN DE LA COMPRA O CONTRATACIÓN]])</f>
        <v>DISCOS EXTERNOS PARA EL STOCK DE EQUIPOS Y SUPLIR LAS NECESIDADES  DE LAS DIFERENTES DEPENDENCIAS</v>
      </c>
      <c r="C621" s="39" t="s">
        <v>17</v>
      </c>
      <c r="D621" s="39"/>
      <c r="E621" s="39">
        <v>5</v>
      </c>
      <c r="F621" s="39"/>
      <c r="G621" s="39"/>
      <c r="H621" s="41">
        <f>SUM(Tabla13267[[#This Row],[PRIMER TRIMESTRE]:[CUARTO TRIMESTRE]])</f>
        <v>5</v>
      </c>
      <c r="I621" s="17">
        <v>5083</v>
      </c>
      <c r="J621" s="17">
        <f>+Tabla13267[[#This Row],[CANTIDAD TOTAL]]*Tabla13267[[#This Row],[PRECIO UNITARIO ESTIMADO]]</f>
        <v>25415</v>
      </c>
      <c r="K621" s="17"/>
      <c r="L621" s="16" t="s">
        <v>27</v>
      </c>
      <c r="M621" s="16" t="s">
        <v>22</v>
      </c>
      <c r="N621" s="39" t="s">
        <v>418</v>
      </c>
      <c r="O621" s="20"/>
    </row>
    <row r="622" spans="1:21" s="12" customFormat="1" ht="47.25">
      <c r="A622" s="15" t="s">
        <v>115</v>
      </c>
      <c r="B622" s="16" t="str">
        <f ca="1">+UPPER(Tabla13267[[#This Row],[DESCRIPCIÓN DE LA COMPRA O CONTRATACIÓN]])</f>
        <v>ADQUISICIÓN DE10 POWER SUPPLAY PARA EL STOCK DE EQUIPOS Y SUPLIR LAS NECESIDADES  DE LAS DIFERENTES DEPENDENCIAS</v>
      </c>
      <c r="C622" s="39" t="s">
        <v>17</v>
      </c>
      <c r="D622" s="39"/>
      <c r="E622" s="39">
        <v>5</v>
      </c>
      <c r="F622" s="39"/>
      <c r="G622" s="39"/>
      <c r="H622" s="41">
        <f>SUM(Tabla13267[[#This Row],[PRIMER TRIMESTRE]:[CUARTO TRIMESTRE]])</f>
        <v>5</v>
      </c>
      <c r="I622" s="17">
        <v>1955</v>
      </c>
      <c r="J622" s="17">
        <f>+Tabla13267[[#This Row],[CANTIDAD TOTAL]]*Tabla13267[[#This Row],[PRECIO UNITARIO ESTIMADO]]</f>
        <v>9775</v>
      </c>
      <c r="K622" s="17"/>
      <c r="L622" s="16" t="s">
        <v>27</v>
      </c>
      <c r="M622" s="16" t="s">
        <v>22</v>
      </c>
      <c r="N622" s="39" t="s">
        <v>418</v>
      </c>
      <c r="O622" s="20"/>
    </row>
    <row r="623" spans="1:21" s="12" customFormat="1" ht="38.25">
      <c r="A623" s="15" t="s">
        <v>115</v>
      </c>
      <c r="B623" s="75" t="s">
        <v>901</v>
      </c>
      <c r="C623" s="39" t="s">
        <v>17</v>
      </c>
      <c r="D623" s="39"/>
      <c r="E623" s="39">
        <v>5</v>
      </c>
      <c r="F623" s="39"/>
      <c r="G623" s="39"/>
      <c r="H623" s="41">
        <f>SUM(Tabla13267[[#This Row],[PRIMER TRIMESTRE]:[CUARTO TRIMESTRE]])</f>
        <v>5</v>
      </c>
      <c r="I623" s="17">
        <v>1368.5</v>
      </c>
      <c r="J623" s="17">
        <f>+Tabla13267[[#This Row],[CANTIDAD TOTAL]]*Tabla13267[[#This Row],[PRECIO UNITARIO ESTIMADO]]</f>
        <v>6842.5</v>
      </c>
      <c r="K623" s="17"/>
      <c r="L623" s="16" t="s">
        <v>27</v>
      </c>
      <c r="M623" s="16" t="s">
        <v>22</v>
      </c>
      <c r="N623" s="39" t="s">
        <v>418</v>
      </c>
      <c r="O623" s="20"/>
    </row>
    <row r="624" spans="1:21" s="12" customFormat="1" ht="38.25">
      <c r="A624" s="15" t="s">
        <v>115</v>
      </c>
      <c r="B624" s="75" t="s">
        <v>902</v>
      </c>
      <c r="C624" s="39" t="s">
        <v>17</v>
      </c>
      <c r="D624" s="39"/>
      <c r="E624" s="39">
        <v>5</v>
      </c>
      <c r="F624" s="39"/>
      <c r="G624" s="39">
        <v>5</v>
      </c>
      <c r="H624" s="41">
        <f>SUM(Tabla13267[[#This Row],[PRIMER TRIMESTRE]:[CUARTO TRIMESTRE]])</f>
        <v>10</v>
      </c>
      <c r="I624" s="17">
        <v>156.4</v>
      </c>
      <c r="J624" s="17">
        <f>+Tabla13267[[#This Row],[CANTIDAD TOTAL]]*Tabla13267[[#This Row],[PRECIO UNITARIO ESTIMADO]]</f>
        <v>1564</v>
      </c>
      <c r="K624" s="17"/>
      <c r="L624" s="16" t="s">
        <v>27</v>
      </c>
      <c r="M624" s="16" t="s">
        <v>22</v>
      </c>
      <c r="N624" s="39" t="s">
        <v>418</v>
      </c>
      <c r="O624" s="20"/>
    </row>
    <row r="625" spans="1:15" s="12" customFormat="1" ht="25.5">
      <c r="A625" s="15" t="s">
        <v>115</v>
      </c>
      <c r="B625" s="75" t="s">
        <v>896</v>
      </c>
      <c r="C625" s="39" t="s">
        <v>17</v>
      </c>
      <c r="D625" s="39"/>
      <c r="E625" s="39">
        <v>30</v>
      </c>
      <c r="F625" s="39"/>
      <c r="G625" s="39">
        <v>30</v>
      </c>
      <c r="H625" s="41">
        <f>SUM(Tabla13267[[#This Row],[PRIMER TRIMESTRE]:[CUARTO TRIMESTRE]])</f>
        <v>60</v>
      </c>
      <c r="I625" s="17">
        <v>50000</v>
      </c>
      <c r="J625" s="17">
        <f>+Tabla13267[[#This Row],[CANTIDAD TOTAL]]*Tabla13267[[#This Row],[PRECIO UNITARIO ESTIMADO]]</f>
        <v>3000000</v>
      </c>
      <c r="K625" s="17"/>
      <c r="L625" s="16" t="s">
        <v>27</v>
      </c>
      <c r="M625" s="16" t="s">
        <v>22</v>
      </c>
      <c r="N625" s="39" t="s">
        <v>418</v>
      </c>
      <c r="O625" s="20"/>
    </row>
    <row r="626" spans="1:15" s="12" customFormat="1">
      <c r="A626" s="15" t="s">
        <v>115</v>
      </c>
      <c r="B626" s="75" t="s">
        <v>897</v>
      </c>
      <c r="C626" s="39" t="s">
        <v>17</v>
      </c>
      <c r="D626" s="39"/>
      <c r="E626" s="39">
        <v>2</v>
      </c>
      <c r="F626" s="39"/>
      <c r="G626" s="39">
        <v>1</v>
      </c>
      <c r="H626" s="41">
        <f>SUM(Tabla13267[[#This Row],[PRIMER TRIMESTRE]:[CUARTO TRIMESTRE]])</f>
        <v>3</v>
      </c>
      <c r="I626" s="17">
        <v>85000</v>
      </c>
      <c r="J626" s="17">
        <f>+Tabla13267[[#This Row],[CANTIDAD TOTAL]]*Tabla13267[[#This Row],[PRECIO UNITARIO ESTIMADO]]</f>
        <v>255000</v>
      </c>
      <c r="K626" s="17"/>
      <c r="L626" s="16" t="s">
        <v>27</v>
      </c>
      <c r="M626" s="16" t="s">
        <v>22</v>
      </c>
      <c r="N626" s="39" t="s">
        <v>418</v>
      </c>
      <c r="O626" s="20"/>
    </row>
    <row r="627" spans="1:15" s="12" customFormat="1" ht="25.5">
      <c r="A627" s="15" t="s">
        <v>115</v>
      </c>
      <c r="B627" s="75" t="s">
        <v>898</v>
      </c>
      <c r="C627" s="39" t="s">
        <v>17</v>
      </c>
      <c r="D627" s="39"/>
      <c r="E627" s="39">
        <v>15</v>
      </c>
      <c r="F627" s="39"/>
      <c r="G627" s="39">
        <v>15</v>
      </c>
      <c r="H627" s="41">
        <f>SUM(Tabla13267[[#This Row],[PRIMER TRIMESTRE]:[CUARTO TRIMESTRE]])</f>
        <v>30</v>
      </c>
      <c r="I627" s="17">
        <v>6000</v>
      </c>
      <c r="J627" s="17">
        <f>+Tabla13267[[#This Row],[CANTIDAD TOTAL]]*Tabla13267[[#This Row],[PRECIO UNITARIO ESTIMADO]]</f>
        <v>180000</v>
      </c>
      <c r="K627" s="17"/>
      <c r="L627" s="16" t="s">
        <v>27</v>
      </c>
      <c r="M627" s="16" t="s">
        <v>22</v>
      </c>
      <c r="N627" s="39" t="s">
        <v>418</v>
      </c>
      <c r="O627" s="20"/>
    </row>
    <row r="628" spans="1:15" s="12" customFormat="1">
      <c r="A628" s="15" t="s">
        <v>115</v>
      </c>
      <c r="B628" s="16" t="str">
        <f ca="1">+UPPER(Tabla13267[[#This Row],[DESCRIPCIÓN DE LA COMPRA O CONTRATACIÓN]])</f>
        <v xml:space="preserve">CABLE UTP </v>
      </c>
      <c r="C628" s="39" t="s">
        <v>208</v>
      </c>
      <c r="D628" s="39"/>
      <c r="E628" s="39">
        <v>15</v>
      </c>
      <c r="F628" s="39"/>
      <c r="G628" s="39">
        <v>15</v>
      </c>
      <c r="H628" s="41">
        <f>SUM(Tabla13267[[#This Row],[PRIMER TRIMESTRE]:[CUARTO TRIMESTRE]])</f>
        <v>30</v>
      </c>
      <c r="I628" s="17">
        <v>4000</v>
      </c>
      <c r="J628" s="17">
        <f>+Tabla13267[[#This Row],[CANTIDAD TOTAL]]*Tabla13267[[#This Row],[PRECIO UNITARIO ESTIMADO]]</f>
        <v>120000</v>
      </c>
      <c r="K628" s="17"/>
      <c r="L628" s="16" t="s">
        <v>27</v>
      </c>
      <c r="M628" s="16" t="s">
        <v>22</v>
      </c>
      <c r="N628" s="39" t="s">
        <v>418</v>
      </c>
      <c r="O628" s="20"/>
    </row>
    <row r="629" spans="1:15" s="12" customFormat="1">
      <c r="A629" s="15" t="s">
        <v>115</v>
      </c>
      <c r="B629" s="16" t="str">
        <f ca="1">+UPPER(Tabla13267[[#This Row],[DESCRIPCIÓN DE LA COMPRA O CONTRATACIÓN]])</f>
        <v>FACEPLATE</v>
      </c>
      <c r="C629" s="39" t="s">
        <v>17</v>
      </c>
      <c r="D629" s="39"/>
      <c r="E629" s="39">
        <v>50</v>
      </c>
      <c r="F629" s="39"/>
      <c r="G629" s="39">
        <v>50</v>
      </c>
      <c r="H629" s="41">
        <f>SUM(Tabla13267[[#This Row],[PRIMER TRIMESTRE]:[CUARTO TRIMESTRE]])</f>
        <v>100</v>
      </c>
      <c r="I629" s="17">
        <v>15</v>
      </c>
      <c r="J629" s="17">
        <f>+Tabla13267[[#This Row],[CANTIDAD TOTAL]]*Tabla13267[[#This Row],[PRECIO UNITARIO ESTIMADO]]</f>
        <v>1500</v>
      </c>
      <c r="K629" s="17"/>
      <c r="L629" s="16" t="s">
        <v>27</v>
      </c>
      <c r="M629" s="16" t="s">
        <v>22</v>
      </c>
      <c r="N629" s="39" t="s">
        <v>418</v>
      </c>
      <c r="O629" s="20"/>
    </row>
    <row r="630" spans="1:15" s="12" customFormat="1">
      <c r="A630" s="15" t="s">
        <v>115</v>
      </c>
      <c r="B630" s="16" t="str">
        <f ca="1">+UPPER(Tabla13267[[#This Row],[DESCRIPCIÓN DE LA COMPRA O CONTRATACIÓN]])</f>
        <v>CONECTORES JACK</v>
      </c>
      <c r="C630" s="39" t="s">
        <v>17</v>
      </c>
      <c r="D630" s="39"/>
      <c r="E630" s="39">
        <v>250</v>
      </c>
      <c r="F630" s="39"/>
      <c r="G630" s="39">
        <v>250</v>
      </c>
      <c r="H630" s="41">
        <f>SUM(Tabla13267[[#This Row],[PRIMER TRIMESTRE]:[CUARTO TRIMESTRE]])</f>
        <v>500</v>
      </c>
      <c r="I630" s="17">
        <v>125</v>
      </c>
      <c r="J630" s="17">
        <f>+Tabla13267[[#This Row],[CANTIDAD TOTAL]]*Tabla13267[[#This Row],[PRECIO UNITARIO ESTIMADO]]</f>
        <v>62500</v>
      </c>
      <c r="K630" s="17"/>
      <c r="L630" s="16" t="s">
        <v>27</v>
      </c>
      <c r="M630" s="16" t="s">
        <v>22</v>
      </c>
      <c r="N630" s="39" t="s">
        <v>418</v>
      </c>
      <c r="O630" s="20"/>
    </row>
    <row r="631" spans="1:15" s="12" customFormat="1">
      <c r="A631" s="15" t="s">
        <v>115</v>
      </c>
      <c r="B631" s="16" t="str">
        <f ca="1">+UPPER(Tabla13267[[#This Row],[DESCRIPCIÓN DE LA COMPRA O CONTRATACIÓN]])</f>
        <v>CAJAS 2X4 PARA FACEPLATE</v>
      </c>
      <c r="C631" s="39" t="s">
        <v>208</v>
      </c>
      <c r="D631" s="39"/>
      <c r="E631" s="39">
        <v>50</v>
      </c>
      <c r="F631" s="39"/>
      <c r="G631" s="39">
        <v>50</v>
      </c>
      <c r="H631" s="41">
        <f>SUM(Tabla13267[[#This Row],[PRIMER TRIMESTRE]:[CUARTO TRIMESTRE]])</f>
        <v>100</v>
      </c>
      <c r="I631" s="17">
        <v>30</v>
      </c>
      <c r="J631" s="17">
        <f>+Tabla13267[[#This Row],[CANTIDAD TOTAL]]*Tabla13267[[#This Row],[PRECIO UNITARIO ESTIMADO]]</f>
        <v>3000</v>
      </c>
      <c r="K631" s="17"/>
      <c r="L631" s="16" t="s">
        <v>27</v>
      </c>
      <c r="M631" s="16" t="s">
        <v>22</v>
      </c>
      <c r="N631" s="39" t="s">
        <v>418</v>
      </c>
      <c r="O631" s="20"/>
    </row>
    <row r="632" spans="1:15" s="12" customFormat="1">
      <c r="A632" s="15" t="s">
        <v>115</v>
      </c>
      <c r="B632" s="16" t="str">
        <f ca="1">+UPPER(Tabla13267[[#This Row],[DESCRIPCIÓN DE LA COMPRA O CONTRATACIÓN]])</f>
        <v>PATCHCORD DE 1 PIE</v>
      </c>
      <c r="C632" s="39" t="s">
        <v>17</v>
      </c>
      <c r="D632" s="39"/>
      <c r="E632" s="39">
        <v>300</v>
      </c>
      <c r="F632" s="39"/>
      <c r="G632" s="39">
        <v>300</v>
      </c>
      <c r="H632" s="41">
        <f>SUM(Tabla13267[[#This Row],[PRIMER TRIMESTRE]:[CUARTO TRIMESTRE]])</f>
        <v>600</v>
      </c>
      <c r="I632" s="17">
        <v>15</v>
      </c>
      <c r="J632" s="17">
        <f>+Tabla13267[[#This Row],[CANTIDAD TOTAL]]*Tabla13267[[#This Row],[PRECIO UNITARIO ESTIMADO]]</f>
        <v>9000</v>
      </c>
      <c r="K632" s="17"/>
      <c r="L632" s="16" t="s">
        <v>27</v>
      </c>
      <c r="M632" s="16" t="s">
        <v>22</v>
      </c>
      <c r="N632" s="39" t="s">
        <v>418</v>
      </c>
      <c r="O632" s="20"/>
    </row>
    <row r="633" spans="1:15" s="12" customFormat="1">
      <c r="A633" s="15" t="s">
        <v>115</v>
      </c>
      <c r="B633" s="16" t="str">
        <f ca="1">+UPPER(Tabla13267[[#This Row],[DESCRIPCIÓN DE LA COMPRA O CONTRATACIÓN]])</f>
        <v>PATCHCORDS DE 3 PIE</v>
      </c>
      <c r="C633" s="39" t="s">
        <v>17</v>
      </c>
      <c r="D633" s="39"/>
      <c r="E633" s="39">
        <v>150</v>
      </c>
      <c r="F633" s="39"/>
      <c r="G633" s="39">
        <v>150</v>
      </c>
      <c r="H633" s="41">
        <f>SUM(Tabla13267[[#This Row],[PRIMER TRIMESTRE]:[CUARTO TRIMESTRE]])</f>
        <v>300</v>
      </c>
      <c r="I633" s="17">
        <v>35</v>
      </c>
      <c r="J633" s="17">
        <f>+Tabla13267[[#This Row],[CANTIDAD TOTAL]]*Tabla13267[[#This Row],[PRECIO UNITARIO ESTIMADO]]</f>
        <v>10500</v>
      </c>
      <c r="K633" s="17"/>
      <c r="L633" s="16" t="s">
        <v>27</v>
      </c>
      <c r="M633" s="16" t="s">
        <v>22</v>
      </c>
      <c r="N633" s="39" t="s">
        <v>418</v>
      </c>
      <c r="O633" s="20"/>
    </row>
    <row r="634" spans="1:15" s="12" customFormat="1">
      <c r="A634" s="15" t="s">
        <v>115</v>
      </c>
      <c r="B634" s="16" t="str">
        <f ca="1">+UPPER(Tabla13267[[#This Row],[DESCRIPCIÓN DE LA COMPRA O CONTRATACIÓN]])</f>
        <v>CINTAS PARA BACKUP</v>
      </c>
      <c r="C634" s="39" t="s">
        <v>17</v>
      </c>
      <c r="D634" s="39"/>
      <c r="E634" s="39">
        <v>10</v>
      </c>
      <c r="F634" s="39"/>
      <c r="G634" s="39">
        <v>7</v>
      </c>
      <c r="H634" s="41">
        <f>SUM(Tabla13267[[#This Row],[PRIMER TRIMESTRE]:[CUARTO TRIMESTRE]])</f>
        <v>17</v>
      </c>
      <c r="I634" s="17">
        <v>1500</v>
      </c>
      <c r="J634" s="17">
        <f>+Tabla13267[[#This Row],[CANTIDAD TOTAL]]*Tabla13267[[#This Row],[PRECIO UNITARIO ESTIMADO]]</f>
        <v>25500</v>
      </c>
      <c r="K634" s="17"/>
      <c r="L634" s="16" t="s">
        <v>27</v>
      </c>
      <c r="M634" s="16" t="s">
        <v>22</v>
      </c>
      <c r="N634" s="39" t="s">
        <v>418</v>
      </c>
      <c r="O634" s="20"/>
    </row>
    <row r="635" spans="1:15" s="12" customFormat="1">
      <c r="A635" s="15" t="s">
        <v>115</v>
      </c>
      <c r="B635" s="16" t="str">
        <f ca="1">+UPPER(Tabla13267[[#This Row],[DESCRIPCIÓN DE LA COMPRA O CONTRATACIÓN]])</f>
        <v>SOFTWARE DE MONITOREO DE LA RED LAN/WAN</v>
      </c>
      <c r="C635" s="39" t="s">
        <v>17</v>
      </c>
      <c r="D635" s="39"/>
      <c r="E635" s="39">
        <v>1</v>
      </c>
      <c r="F635" s="39"/>
      <c r="G635" s="39"/>
      <c r="H635" s="41">
        <f>SUM(Tabla13267[[#This Row],[PRIMER TRIMESTRE]:[CUARTO TRIMESTRE]])</f>
        <v>1</v>
      </c>
      <c r="I635" s="17">
        <v>1230000</v>
      </c>
      <c r="J635" s="17">
        <f>+Tabla13267[[#This Row],[CANTIDAD TOTAL]]*Tabla13267[[#This Row],[PRECIO UNITARIO ESTIMADO]]</f>
        <v>1230000</v>
      </c>
      <c r="K635" s="17"/>
      <c r="L635" s="16" t="s">
        <v>27</v>
      </c>
      <c r="M635" s="16" t="s">
        <v>22</v>
      </c>
      <c r="N635" s="39" t="s">
        <v>418</v>
      </c>
      <c r="O635" s="20"/>
    </row>
    <row r="636" spans="1:15" s="12" customFormat="1" ht="31.5">
      <c r="A636" s="15" t="s">
        <v>115</v>
      </c>
      <c r="B636" s="16" t="str">
        <f ca="1">+UPPER(Tabla13267[[#This Row],[DESCRIPCIÓN DE LA COMPRA O CONTRATACIÓN]])</f>
        <v>DISCOS DUROS HP 1TB PARA AUMENTAR LA CAPACIDAD DE ALMACENAMIENTO.</v>
      </c>
      <c r="C636" s="39" t="s">
        <v>17</v>
      </c>
      <c r="D636" s="39"/>
      <c r="E636" s="39">
        <v>3</v>
      </c>
      <c r="F636" s="39"/>
      <c r="G636" s="39">
        <v>3</v>
      </c>
      <c r="H636" s="41">
        <f>SUM(Tabla13267[[#This Row],[PRIMER TRIMESTRE]:[CUARTO TRIMESTRE]])</f>
        <v>6</v>
      </c>
      <c r="I636" s="72">
        <v>33800</v>
      </c>
      <c r="J636" s="17">
        <f>+Tabla13267[[#This Row],[CANTIDAD TOTAL]]*Tabla13267[[#This Row],[PRECIO UNITARIO ESTIMADO]]</f>
        <v>202800</v>
      </c>
      <c r="K636" s="17"/>
      <c r="L636" s="16" t="s">
        <v>27</v>
      </c>
      <c r="M636" s="16" t="s">
        <v>19</v>
      </c>
      <c r="N636" s="39" t="s">
        <v>418</v>
      </c>
      <c r="O636" s="20"/>
    </row>
    <row r="637" spans="1:15" s="12" customFormat="1">
      <c r="A637" s="15" t="s">
        <v>115</v>
      </c>
      <c r="B637" s="75" t="s">
        <v>899</v>
      </c>
      <c r="C637" s="39" t="s">
        <v>17</v>
      </c>
      <c r="D637" s="39"/>
      <c r="E637" s="39">
        <v>1</v>
      </c>
      <c r="F637" s="39"/>
      <c r="G637" s="39"/>
      <c r="H637" s="41">
        <f>SUM(Tabla13267[[#This Row],[PRIMER TRIMESTRE]:[CUARTO TRIMESTRE]])</f>
        <v>1</v>
      </c>
      <c r="I637" s="17">
        <v>945000</v>
      </c>
      <c r="J637" s="17">
        <f>+Tabla13267[[#This Row],[CANTIDAD TOTAL]]*Tabla13267[[#This Row],[PRECIO UNITARIO ESTIMADO]]</f>
        <v>945000</v>
      </c>
      <c r="K637" s="17"/>
      <c r="L637" s="16" t="s">
        <v>27</v>
      </c>
      <c r="M637" s="16" t="s">
        <v>22</v>
      </c>
      <c r="N637" s="39" t="s">
        <v>418</v>
      </c>
      <c r="O637" s="20"/>
    </row>
    <row r="638" spans="1:15" s="12" customFormat="1" ht="35.25" customHeight="1">
      <c r="A638" s="15" t="s">
        <v>115</v>
      </c>
      <c r="B638" s="75" t="s">
        <v>900</v>
      </c>
      <c r="C638" s="39" t="s">
        <v>17</v>
      </c>
      <c r="D638" s="39"/>
      <c r="E638" s="39">
        <v>1</v>
      </c>
      <c r="F638" s="39"/>
      <c r="G638" s="39"/>
      <c r="H638" s="41">
        <f>SUM(Tabla13267[[#This Row],[PRIMER TRIMESTRE]:[CUARTO TRIMESTRE]])</f>
        <v>1</v>
      </c>
      <c r="I638" s="17">
        <v>1115000</v>
      </c>
      <c r="J638" s="17">
        <f>+Tabla13267[[#This Row],[CANTIDAD TOTAL]]*Tabla13267[[#This Row],[PRECIO UNITARIO ESTIMADO]]</f>
        <v>1115000</v>
      </c>
      <c r="K638" s="31"/>
      <c r="L638" s="16" t="s">
        <v>27</v>
      </c>
      <c r="M638" s="28" t="s">
        <v>22</v>
      </c>
      <c r="N638" s="39" t="s">
        <v>418</v>
      </c>
      <c r="O638" s="20"/>
    </row>
    <row r="639" spans="1:15" s="12" customFormat="1" ht="35.25" customHeight="1">
      <c r="A639" s="15" t="s">
        <v>115</v>
      </c>
      <c r="B639" s="75" t="s">
        <v>782</v>
      </c>
      <c r="C639" s="39" t="s">
        <v>17</v>
      </c>
      <c r="D639" s="39"/>
      <c r="E639" s="39">
        <v>2</v>
      </c>
      <c r="F639" s="39"/>
      <c r="G639" s="39">
        <v>2</v>
      </c>
      <c r="H639" s="41">
        <f>SUM(Tabla13267[[#This Row],[PRIMER TRIMESTRE]:[CUARTO TRIMESTRE]])</f>
        <v>4</v>
      </c>
      <c r="I639" s="17">
        <v>5000</v>
      </c>
      <c r="J639" s="17">
        <f>+Tabla13267[[#This Row],[CANTIDAD TOTAL]]*Tabla13267[[#This Row],[PRECIO UNITARIO ESTIMADO]]</f>
        <v>20000</v>
      </c>
      <c r="K639" s="17"/>
      <c r="L639" s="16" t="s">
        <v>27</v>
      </c>
      <c r="M639" s="16" t="s">
        <v>22</v>
      </c>
      <c r="N639" s="39" t="s">
        <v>418</v>
      </c>
      <c r="O639" s="18"/>
    </row>
    <row r="640" spans="1:15" s="12" customFormat="1" ht="35.25" customHeight="1">
      <c r="A640" s="15" t="s">
        <v>115</v>
      </c>
      <c r="B640" s="75" t="s">
        <v>783</v>
      </c>
      <c r="C640" s="39" t="s">
        <v>17</v>
      </c>
      <c r="D640" s="39"/>
      <c r="E640" s="39">
        <v>1</v>
      </c>
      <c r="F640" s="39"/>
      <c r="G640" s="39">
        <v>1</v>
      </c>
      <c r="H640" s="41">
        <f>SUM(Tabla13267[[#This Row],[PRIMER TRIMESTRE]:[CUARTO TRIMESTRE]])</f>
        <v>2</v>
      </c>
      <c r="I640" s="17">
        <v>62000</v>
      </c>
      <c r="J640" s="17">
        <f>+Tabla13267[[#This Row],[CANTIDAD TOTAL]]*Tabla13267[[#This Row],[PRECIO UNITARIO ESTIMADO]]</f>
        <v>124000</v>
      </c>
      <c r="K640" s="17"/>
      <c r="L640" s="16" t="s">
        <v>27</v>
      </c>
      <c r="M640" s="16" t="s">
        <v>22</v>
      </c>
      <c r="N640" s="39" t="s">
        <v>418</v>
      </c>
      <c r="O640" s="18"/>
    </row>
    <row r="641" spans="1:21" s="26" customFormat="1" ht="35.25" customHeight="1">
      <c r="A641" s="22" t="s">
        <v>115</v>
      </c>
      <c r="B641" s="76"/>
      <c r="C641" s="42"/>
      <c r="D641" s="42"/>
      <c r="E641" s="42"/>
      <c r="F641" s="42"/>
      <c r="G641" s="42"/>
      <c r="H641" s="43"/>
      <c r="I641" s="24"/>
      <c r="J641" s="24"/>
      <c r="K641" s="25">
        <f>SUM(J617:J640)</f>
        <v>7549543.5</v>
      </c>
      <c r="L641" s="23"/>
      <c r="M641" s="23"/>
      <c r="N641" s="42"/>
      <c r="O641" s="24"/>
      <c r="R641" s="27"/>
      <c r="U641" s="23"/>
    </row>
    <row r="642" spans="1:21" s="12" customFormat="1">
      <c r="A642" s="32" t="s">
        <v>120</v>
      </c>
      <c r="B642" s="75" t="s">
        <v>392</v>
      </c>
      <c r="C642" s="45" t="s">
        <v>208</v>
      </c>
      <c r="D642" s="142"/>
      <c r="E642" s="142">
        <v>350</v>
      </c>
      <c r="F642" s="142"/>
      <c r="G642" s="39">
        <v>350</v>
      </c>
      <c r="H642" s="41">
        <f>SUM(Tabla13267[[#This Row],[PRIMER TRIMESTRE]:[CUARTO TRIMESTRE]])</f>
        <v>700</v>
      </c>
      <c r="I642" s="17">
        <v>48.12</v>
      </c>
      <c r="J642" s="17">
        <f>+H642*I642</f>
        <v>33684</v>
      </c>
      <c r="K642" s="31"/>
      <c r="L642" s="16" t="s">
        <v>27</v>
      </c>
      <c r="M642" s="16" t="s">
        <v>22</v>
      </c>
      <c r="N642" s="45" t="s">
        <v>418</v>
      </c>
      <c r="O642" s="20"/>
    </row>
    <row r="643" spans="1:21" s="12" customFormat="1">
      <c r="A643" s="32" t="s">
        <v>120</v>
      </c>
      <c r="B643" s="75" t="s">
        <v>393</v>
      </c>
      <c r="C643" s="45" t="s">
        <v>208</v>
      </c>
      <c r="D643" s="142"/>
      <c r="E643" s="142">
        <v>300</v>
      </c>
      <c r="F643" s="142"/>
      <c r="G643" s="39">
        <v>300</v>
      </c>
      <c r="H643" s="41">
        <f>SUM(Tabla13267[[#This Row],[PRIMER TRIMESTRE]:[CUARTO TRIMESTRE]])</f>
        <v>600</v>
      </c>
      <c r="I643" s="17">
        <v>41.28</v>
      </c>
      <c r="J643" s="17">
        <f>+H643*I643</f>
        <v>24768</v>
      </c>
      <c r="K643" s="31"/>
      <c r="L643" s="16" t="s">
        <v>27</v>
      </c>
      <c r="M643" s="16" t="s">
        <v>22</v>
      </c>
      <c r="N643" s="45" t="s">
        <v>418</v>
      </c>
      <c r="O643" s="20"/>
    </row>
    <row r="644" spans="1:21" s="12" customFormat="1">
      <c r="A644" s="15" t="s">
        <v>120</v>
      </c>
      <c r="B644" s="75" t="s">
        <v>743</v>
      </c>
      <c r="C644" s="45" t="s">
        <v>208</v>
      </c>
      <c r="D644" s="142"/>
      <c r="E644" s="142">
        <v>200</v>
      </c>
      <c r="F644" s="142"/>
      <c r="G644" s="39">
        <v>200</v>
      </c>
      <c r="H644" s="41">
        <f>SUM(Tabla13267[[#This Row],[PRIMER TRIMESTRE]:[CUARTO TRIMESTRE]])</f>
        <v>400</v>
      </c>
      <c r="I644" s="17">
        <f>4.42*12</f>
        <v>53.04</v>
      </c>
      <c r="J644" s="17">
        <f>+H644*I644</f>
        <v>21216</v>
      </c>
      <c r="K644" s="17"/>
      <c r="L644" s="16" t="s">
        <v>27</v>
      </c>
      <c r="M644" s="16" t="s">
        <v>22</v>
      </c>
      <c r="N644" s="45" t="s">
        <v>418</v>
      </c>
      <c r="O644" s="18"/>
    </row>
    <row r="645" spans="1:21" s="12" customFormat="1">
      <c r="A645" s="32" t="s">
        <v>120</v>
      </c>
      <c r="B645" s="75" t="s">
        <v>398</v>
      </c>
      <c r="C645" s="45" t="s">
        <v>208</v>
      </c>
      <c r="D645" s="142"/>
      <c r="E645" s="142">
        <v>300</v>
      </c>
      <c r="F645" s="142"/>
      <c r="G645" s="39">
        <v>300</v>
      </c>
      <c r="H645" s="41">
        <f>SUM(Tabla13267[[#This Row],[PRIMER TRIMESTRE]:[CUARTO TRIMESTRE]])</f>
        <v>600</v>
      </c>
      <c r="I645" s="17">
        <v>22.42</v>
      </c>
      <c r="J645" s="17">
        <f>+H645*I645</f>
        <v>13452.000000000002</v>
      </c>
      <c r="K645" s="31"/>
      <c r="L645" s="16" t="s">
        <v>27</v>
      </c>
      <c r="M645" s="16" t="s">
        <v>22</v>
      </c>
      <c r="N645" s="45" t="s">
        <v>418</v>
      </c>
      <c r="O645" s="20"/>
    </row>
    <row r="646" spans="1:21" s="12" customFormat="1">
      <c r="A646" s="15" t="s">
        <v>120</v>
      </c>
      <c r="B646" s="75" t="s">
        <v>262</v>
      </c>
      <c r="C646" s="39" t="s">
        <v>17</v>
      </c>
      <c r="D646" s="142"/>
      <c r="E646" s="142">
        <v>120</v>
      </c>
      <c r="F646" s="142"/>
      <c r="G646" s="39">
        <v>120</v>
      </c>
      <c r="H646" s="41">
        <f>SUM(Tabla13267[[#This Row],[PRIMER TRIMESTRE]:[CUARTO TRIMESTRE]])</f>
        <v>240</v>
      </c>
      <c r="I646" s="17">
        <v>88.16</v>
      </c>
      <c r="J646" s="17">
        <f>+Tabla13267[[#This Row],[CANTIDAD TOTAL]]*Tabla13267[[#This Row],[PRECIO UNITARIO ESTIMADO]]</f>
        <v>21158.399999999998</v>
      </c>
      <c r="K646" s="31"/>
      <c r="L646" s="16" t="s">
        <v>27</v>
      </c>
      <c r="M646" s="16" t="s">
        <v>22</v>
      </c>
      <c r="N646" s="45" t="s">
        <v>418</v>
      </c>
      <c r="O646" s="20"/>
    </row>
    <row r="647" spans="1:21" s="12" customFormat="1">
      <c r="A647" s="65" t="s">
        <v>120</v>
      </c>
      <c r="B647" s="75" t="s">
        <v>748</v>
      </c>
      <c r="C647" s="67" t="s">
        <v>17</v>
      </c>
      <c r="D647" s="142"/>
      <c r="E647" s="142">
        <v>150</v>
      </c>
      <c r="F647" s="142"/>
      <c r="G647" s="39">
        <v>150</v>
      </c>
      <c r="H647" s="41">
        <f>SUM(Tabla13267[[#This Row],[PRIMER TRIMESTRE]:[CUARTO TRIMESTRE]])</f>
        <v>300</v>
      </c>
      <c r="I647" s="17">
        <v>463.74</v>
      </c>
      <c r="J647" s="17">
        <f>+H647*I647</f>
        <v>139122</v>
      </c>
      <c r="K647" s="68"/>
      <c r="L647" s="16" t="s">
        <v>27</v>
      </c>
      <c r="M647" s="66" t="s">
        <v>22</v>
      </c>
      <c r="N647" s="45" t="s">
        <v>418</v>
      </c>
      <c r="O647" s="69"/>
    </row>
    <row r="648" spans="1:21" s="12" customFormat="1">
      <c r="A648" s="15" t="s">
        <v>120</v>
      </c>
      <c r="B648" s="75" t="s">
        <v>263</v>
      </c>
      <c r="C648" s="39" t="s">
        <v>17</v>
      </c>
      <c r="D648" s="142"/>
      <c r="E648" s="142">
        <v>200</v>
      </c>
      <c r="F648" s="142"/>
      <c r="G648" s="39">
        <v>200</v>
      </c>
      <c r="H648" s="41">
        <f>SUM(Tabla13267[[#This Row],[PRIMER TRIMESTRE]:[CUARTO TRIMESTRE]])</f>
        <v>400</v>
      </c>
      <c r="I648" s="17">
        <v>217.02</v>
      </c>
      <c r="J648" s="17">
        <f>+Tabla13267[[#This Row],[CANTIDAD TOTAL]]*Tabla13267[[#This Row],[PRECIO UNITARIO ESTIMADO]]</f>
        <v>86808</v>
      </c>
      <c r="K648" s="31"/>
      <c r="L648" s="16" t="s">
        <v>27</v>
      </c>
      <c r="M648" s="16" t="s">
        <v>22</v>
      </c>
      <c r="N648" s="45" t="s">
        <v>418</v>
      </c>
      <c r="O648" s="20"/>
    </row>
    <row r="649" spans="1:21" s="12" customFormat="1">
      <c r="A649" s="65" t="s">
        <v>120</v>
      </c>
      <c r="B649" s="75" t="s">
        <v>749</v>
      </c>
      <c r="C649" s="67" t="s">
        <v>17</v>
      </c>
      <c r="D649" s="142"/>
      <c r="E649" s="142">
        <v>75</v>
      </c>
      <c r="F649" s="142"/>
      <c r="G649" s="39">
        <v>75</v>
      </c>
      <c r="H649" s="41">
        <f>SUM(Tabla13267[[#This Row],[PRIMER TRIMESTRE]:[CUARTO TRIMESTRE]])</f>
        <v>150</v>
      </c>
      <c r="I649" s="17">
        <v>186.44</v>
      </c>
      <c r="J649" s="17">
        <f>+H649*I649</f>
        <v>27966</v>
      </c>
      <c r="K649" s="68"/>
      <c r="L649" s="16" t="s">
        <v>27</v>
      </c>
      <c r="M649" s="66" t="s">
        <v>22</v>
      </c>
      <c r="N649" s="45" t="s">
        <v>418</v>
      </c>
      <c r="O649" s="69"/>
    </row>
    <row r="650" spans="1:21" s="12" customFormat="1">
      <c r="A650" s="65" t="s">
        <v>120</v>
      </c>
      <c r="B650" s="75" t="s">
        <v>750</v>
      </c>
      <c r="C650" s="67" t="s">
        <v>17</v>
      </c>
      <c r="D650" s="142"/>
      <c r="E650" s="142">
        <v>50</v>
      </c>
      <c r="F650" s="142"/>
      <c r="G650" s="39">
        <v>50</v>
      </c>
      <c r="H650" s="41">
        <f>SUM(Tabla13267[[#This Row],[PRIMER TRIMESTRE]:[CUARTO TRIMESTRE]])</f>
        <v>100</v>
      </c>
      <c r="I650" s="17">
        <v>129.80000000000001</v>
      </c>
      <c r="J650" s="17">
        <f>+H650*I650</f>
        <v>12980.000000000002</v>
      </c>
      <c r="K650" s="68"/>
      <c r="L650" s="16" t="s">
        <v>27</v>
      </c>
      <c r="M650" s="66" t="s">
        <v>22</v>
      </c>
      <c r="N650" s="45" t="s">
        <v>418</v>
      </c>
      <c r="O650" s="69"/>
    </row>
    <row r="651" spans="1:21" s="12" customFormat="1">
      <c r="A651" s="32" t="s">
        <v>120</v>
      </c>
      <c r="B651" s="75" t="s">
        <v>403</v>
      </c>
      <c r="C651" s="45" t="s">
        <v>416</v>
      </c>
      <c r="D651" s="142"/>
      <c r="E651" s="142">
        <v>300</v>
      </c>
      <c r="F651" s="142"/>
      <c r="G651" s="39">
        <v>300</v>
      </c>
      <c r="H651" s="41">
        <f>SUM(Tabla13267[[#This Row],[PRIMER TRIMESTRE]:[CUARTO TRIMESTRE]])</f>
        <v>600</v>
      </c>
      <c r="I651" s="17">
        <v>75</v>
      </c>
      <c r="J651" s="17">
        <f>+H651*I651</f>
        <v>45000</v>
      </c>
      <c r="K651" s="31"/>
      <c r="L651" s="16" t="s">
        <v>27</v>
      </c>
      <c r="M651" s="16" t="s">
        <v>22</v>
      </c>
      <c r="N651" s="45" t="s">
        <v>418</v>
      </c>
      <c r="O651" s="20"/>
    </row>
    <row r="652" spans="1:21" s="12" customFormat="1">
      <c r="A652" s="15" t="s">
        <v>120</v>
      </c>
      <c r="B652" s="75" t="s">
        <v>744</v>
      </c>
      <c r="C652" s="39" t="s">
        <v>17</v>
      </c>
      <c r="D652" s="142"/>
      <c r="E652" s="142">
        <v>400</v>
      </c>
      <c r="F652" s="142"/>
      <c r="G652" s="39">
        <v>400</v>
      </c>
      <c r="H652" s="41">
        <f>SUM(Tabla13267[[#This Row],[PRIMER TRIMESTRE]:[CUARTO TRIMESTRE]])</f>
        <v>800</v>
      </c>
      <c r="I652" s="17">
        <v>43.66</v>
      </c>
      <c r="J652" s="17">
        <f>+H652*I652</f>
        <v>34928</v>
      </c>
      <c r="K652" s="17"/>
      <c r="L652" s="16" t="s">
        <v>27</v>
      </c>
      <c r="M652" s="16" t="s">
        <v>22</v>
      </c>
      <c r="N652" s="45" t="s">
        <v>418</v>
      </c>
      <c r="O652" s="18"/>
    </row>
    <row r="653" spans="1:21" s="12" customFormat="1">
      <c r="A653" s="15" t="s">
        <v>120</v>
      </c>
      <c r="B653" s="75" t="s">
        <v>264</v>
      </c>
      <c r="C653" s="39" t="s">
        <v>17</v>
      </c>
      <c r="D653" s="142"/>
      <c r="E653" s="142">
        <v>2</v>
      </c>
      <c r="F653" s="142"/>
      <c r="G653" s="39"/>
      <c r="H653" s="41">
        <f>SUM(Tabla13267[[#This Row],[PRIMER TRIMESTRE]:[CUARTO TRIMESTRE]])</f>
        <v>2</v>
      </c>
      <c r="I653" s="17">
        <v>185</v>
      </c>
      <c r="J653" s="17">
        <f>+Tabla13267[[#This Row],[CANTIDAD TOTAL]]*Tabla13267[[#This Row],[PRECIO UNITARIO ESTIMADO]]</f>
        <v>370</v>
      </c>
      <c r="K653" s="31"/>
      <c r="L653" s="16" t="s">
        <v>27</v>
      </c>
      <c r="M653" s="16" t="s">
        <v>22</v>
      </c>
      <c r="N653" s="45" t="s">
        <v>418</v>
      </c>
      <c r="O653" s="20"/>
    </row>
    <row r="654" spans="1:21" s="12" customFormat="1">
      <c r="A654" s="15" t="s">
        <v>120</v>
      </c>
      <c r="B654" s="75" t="s">
        <v>745</v>
      </c>
      <c r="C654" s="39" t="s">
        <v>208</v>
      </c>
      <c r="D654" s="142"/>
      <c r="E654" s="142">
        <v>125</v>
      </c>
      <c r="F654" s="142"/>
      <c r="G654" s="39">
        <v>125</v>
      </c>
      <c r="H654" s="41">
        <f>SUM(Tabla13267[[#This Row],[PRIMER TRIMESTRE]:[CUARTO TRIMESTRE]])</f>
        <v>250</v>
      </c>
      <c r="I654" s="17">
        <v>43.66</v>
      </c>
      <c r="J654" s="17">
        <f t="shared" ref="J654:J669" si="13">+H654*I654</f>
        <v>10915</v>
      </c>
      <c r="K654" s="17"/>
      <c r="L654" s="16" t="s">
        <v>27</v>
      </c>
      <c r="M654" s="16" t="s">
        <v>22</v>
      </c>
      <c r="N654" s="45" t="s">
        <v>418</v>
      </c>
      <c r="O654" s="18"/>
    </row>
    <row r="655" spans="1:21" s="12" customFormat="1">
      <c r="A655" s="15" t="s">
        <v>120</v>
      </c>
      <c r="B655" s="75" t="s">
        <v>414</v>
      </c>
      <c r="C655" s="39" t="s">
        <v>417</v>
      </c>
      <c r="D655" s="142"/>
      <c r="E655" s="142">
        <v>2000</v>
      </c>
      <c r="F655" s="142"/>
      <c r="G655" s="39">
        <v>2000</v>
      </c>
      <c r="H655" s="41">
        <f>SUM(Tabla13267[[#This Row],[PRIMER TRIMESTRE]:[CUARTO TRIMESTRE]])</f>
        <v>4000</v>
      </c>
      <c r="I655" s="17">
        <v>13.57</v>
      </c>
      <c r="J655" s="17">
        <f t="shared" si="13"/>
        <v>54280</v>
      </c>
      <c r="K655" s="17"/>
      <c r="L655" s="16" t="s">
        <v>27</v>
      </c>
      <c r="M655" s="16" t="s">
        <v>22</v>
      </c>
      <c r="N655" s="45" t="s">
        <v>418</v>
      </c>
      <c r="O655" s="20"/>
    </row>
    <row r="656" spans="1:21" s="12" customFormat="1">
      <c r="A656" s="15" t="s">
        <v>120</v>
      </c>
      <c r="B656" s="75" t="s">
        <v>760</v>
      </c>
      <c r="C656" s="39" t="s">
        <v>208</v>
      </c>
      <c r="D656" s="142"/>
      <c r="E656" s="142">
        <v>150</v>
      </c>
      <c r="F656" s="142"/>
      <c r="G656" s="39">
        <v>150</v>
      </c>
      <c r="H656" s="41">
        <f>SUM(Tabla13267[[#This Row],[PRIMER TRIMESTRE]:[CUARTO TRIMESTRE]])</f>
        <v>300</v>
      </c>
      <c r="I656" s="17">
        <v>43.66</v>
      </c>
      <c r="J656" s="17">
        <f t="shared" si="13"/>
        <v>13097.999999999998</v>
      </c>
      <c r="K656" s="17"/>
      <c r="L656" s="16" t="s">
        <v>27</v>
      </c>
      <c r="M656" s="16" t="s">
        <v>22</v>
      </c>
      <c r="N656" s="45" t="s">
        <v>418</v>
      </c>
      <c r="O656" s="18"/>
    </row>
    <row r="657" spans="1:15" s="12" customFormat="1">
      <c r="A657" s="15" t="s">
        <v>120</v>
      </c>
      <c r="B657" s="75" t="s">
        <v>761</v>
      </c>
      <c r="C657" s="39" t="s">
        <v>208</v>
      </c>
      <c r="D657" s="142"/>
      <c r="E657" s="142">
        <v>200</v>
      </c>
      <c r="F657" s="142"/>
      <c r="G657" s="39">
        <v>200</v>
      </c>
      <c r="H657" s="41">
        <f>SUM(Tabla13267[[#This Row],[PRIMER TRIMESTRE]:[CUARTO TRIMESTRE]])</f>
        <v>400</v>
      </c>
      <c r="I657" s="17">
        <v>12.98</v>
      </c>
      <c r="J657" s="17">
        <f t="shared" si="13"/>
        <v>5192</v>
      </c>
      <c r="K657" s="17"/>
      <c r="L657" s="16" t="s">
        <v>27</v>
      </c>
      <c r="M657" s="16" t="s">
        <v>22</v>
      </c>
      <c r="N657" s="45" t="s">
        <v>418</v>
      </c>
      <c r="O657" s="18"/>
    </row>
    <row r="658" spans="1:15" s="12" customFormat="1">
      <c r="A658" s="32" t="s">
        <v>120</v>
      </c>
      <c r="B658" s="75" t="s">
        <v>399</v>
      </c>
      <c r="C658" s="45" t="s">
        <v>208</v>
      </c>
      <c r="D658" s="142"/>
      <c r="E658" s="142">
        <v>200</v>
      </c>
      <c r="F658" s="142"/>
      <c r="G658" s="39">
        <v>200</v>
      </c>
      <c r="H658" s="41">
        <f>SUM(Tabla13267[[#This Row],[PRIMER TRIMESTRE]:[CUARTO TRIMESTRE]])</f>
        <v>400</v>
      </c>
      <c r="I658" s="17">
        <v>86.81</v>
      </c>
      <c r="J658" s="17">
        <f t="shared" si="13"/>
        <v>34724</v>
      </c>
      <c r="K658" s="31"/>
      <c r="L658" s="16" t="s">
        <v>27</v>
      </c>
      <c r="M658" s="16" t="s">
        <v>22</v>
      </c>
      <c r="N658" s="45" t="s">
        <v>418</v>
      </c>
      <c r="O658" s="20"/>
    </row>
    <row r="659" spans="1:15" s="12" customFormat="1" ht="36" customHeight="1">
      <c r="A659" s="32" t="s">
        <v>120</v>
      </c>
      <c r="B659" s="75" t="s">
        <v>400</v>
      </c>
      <c r="C659" s="45" t="s">
        <v>208</v>
      </c>
      <c r="D659" s="142"/>
      <c r="E659" s="142">
        <v>200</v>
      </c>
      <c r="F659" s="142"/>
      <c r="G659" s="39">
        <v>200</v>
      </c>
      <c r="H659" s="41">
        <f>SUM(Tabla13267[[#This Row],[PRIMER TRIMESTRE]:[CUARTO TRIMESTRE]])</f>
        <v>400</v>
      </c>
      <c r="I659" s="17">
        <v>25.4</v>
      </c>
      <c r="J659" s="17">
        <f t="shared" si="13"/>
        <v>10160</v>
      </c>
      <c r="K659" s="31"/>
      <c r="L659" s="16" t="s">
        <v>27</v>
      </c>
      <c r="M659" s="16" t="s">
        <v>22</v>
      </c>
      <c r="N659" s="45" t="s">
        <v>418</v>
      </c>
      <c r="O659" s="20"/>
    </row>
    <row r="660" spans="1:15" s="12" customFormat="1" ht="25.5">
      <c r="A660" s="32" t="s">
        <v>120</v>
      </c>
      <c r="B660" s="75" t="s">
        <v>395</v>
      </c>
      <c r="C660" s="45" t="s">
        <v>208</v>
      </c>
      <c r="D660" s="142"/>
      <c r="E660" s="142">
        <v>200</v>
      </c>
      <c r="F660" s="142"/>
      <c r="G660" s="39">
        <v>200</v>
      </c>
      <c r="H660" s="41">
        <f>SUM(Tabla13267[[#This Row],[PRIMER TRIMESTRE]:[CUARTO TRIMESTRE]])</f>
        <v>400</v>
      </c>
      <c r="I660" s="17">
        <v>235.20000000000002</v>
      </c>
      <c r="J660" s="17">
        <f t="shared" si="13"/>
        <v>94080</v>
      </c>
      <c r="K660" s="31"/>
      <c r="L660" s="16" t="s">
        <v>27</v>
      </c>
      <c r="M660" s="16" t="s">
        <v>22</v>
      </c>
      <c r="N660" s="45" t="s">
        <v>418</v>
      </c>
      <c r="O660" s="20"/>
    </row>
    <row r="661" spans="1:15" s="12" customFormat="1">
      <c r="A661" s="15" t="s">
        <v>120</v>
      </c>
      <c r="B661" s="75" t="s">
        <v>746</v>
      </c>
      <c r="C661" s="39" t="s">
        <v>17</v>
      </c>
      <c r="D661" s="142"/>
      <c r="E661" s="142">
        <v>100</v>
      </c>
      <c r="F661" s="142"/>
      <c r="G661" s="39">
        <v>100</v>
      </c>
      <c r="H661" s="41">
        <f>SUM(Tabla13267[[#This Row],[PRIMER TRIMESTRE]:[CUARTO TRIMESTRE]])</f>
        <v>200</v>
      </c>
      <c r="I661" s="17">
        <v>23.32</v>
      </c>
      <c r="J661" s="17">
        <f t="shared" si="13"/>
        <v>4664</v>
      </c>
      <c r="K661" s="17"/>
      <c r="L661" s="16" t="s">
        <v>27</v>
      </c>
      <c r="M661" s="16" t="s">
        <v>22</v>
      </c>
      <c r="N661" s="45" t="s">
        <v>418</v>
      </c>
      <c r="O661" s="18"/>
    </row>
    <row r="662" spans="1:15" s="12" customFormat="1">
      <c r="A662" s="15" t="s">
        <v>120</v>
      </c>
      <c r="B662" s="75" t="s">
        <v>747</v>
      </c>
      <c r="C662" s="39" t="s">
        <v>17</v>
      </c>
      <c r="D662" s="142"/>
      <c r="E662" s="142">
        <v>150</v>
      </c>
      <c r="F662" s="142"/>
      <c r="G662" s="39">
        <v>150</v>
      </c>
      <c r="H662" s="41">
        <f>SUM(Tabla13267[[#This Row],[PRIMER TRIMESTRE]:[CUARTO TRIMESTRE]])</f>
        <v>300</v>
      </c>
      <c r="I662" s="17">
        <v>23.32</v>
      </c>
      <c r="J662" s="17">
        <f t="shared" si="13"/>
        <v>6996</v>
      </c>
      <c r="K662" s="17"/>
      <c r="L662" s="16" t="s">
        <v>27</v>
      </c>
      <c r="M662" s="16" t="s">
        <v>22</v>
      </c>
      <c r="N662" s="45" t="s">
        <v>418</v>
      </c>
      <c r="O662" s="18"/>
    </row>
    <row r="663" spans="1:15" s="12" customFormat="1" ht="36.75" customHeight="1">
      <c r="A663" s="32" t="s">
        <v>120</v>
      </c>
      <c r="B663" s="75" t="s">
        <v>396</v>
      </c>
      <c r="C663" s="45" t="s">
        <v>208</v>
      </c>
      <c r="D663" s="142"/>
      <c r="E663" s="142">
        <v>250</v>
      </c>
      <c r="F663" s="142"/>
      <c r="G663" s="39">
        <v>250</v>
      </c>
      <c r="H663" s="41">
        <f>SUM(Tabla13267[[#This Row],[PRIMER TRIMESTRE]:[CUARTO TRIMESTRE]])</f>
        <v>500</v>
      </c>
      <c r="I663" s="17">
        <v>194.7</v>
      </c>
      <c r="J663" s="17">
        <f t="shared" si="13"/>
        <v>97350</v>
      </c>
      <c r="K663" s="31"/>
      <c r="L663" s="16" t="s">
        <v>27</v>
      </c>
      <c r="M663" s="16" t="s">
        <v>22</v>
      </c>
      <c r="N663" s="45" t="s">
        <v>418</v>
      </c>
      <c r="O663" s="20"/>
    </row>
    <row r="664" spans="1:15" s="12" customFormat="1" ht="39" customHeight="1">
      <c r="A664" s="32" t="s">
        <v>120</v>
      </c>
      <c r="B664" s="75" t="s">
        <v>397</v>
      </c>
      <c r="C664" s="45" t="s">
        <v>208</v>
      </c>
      <c r="D664" s="142"/>
      <c r="E664" s="142">
        <v>50</v>
      </c>
      <c r="F664" s="142"/>
      <c r="G664" s="39">
        <v>50</v>
      </c>
      <c r="H664" s="41">
        <f>SUM(Tabla13267[[#This Row],[PRIMER TRIMESTRE]:[CUARTO TRIMESTRE]])</f>
        <v>100</v>
      </c>
      <c r="I664" s="17">
        <v>309.14</v>
      </c>
      <c r="J664" s="17">
        <f t="shared" si="13"/>
        <v>30914</v>
      </c>
      <c r="K664" s="31"/>
      <c r="L664" s="16" t="s">
        <v>27</v>
      </c>
      <c r="M664" s="16" t="s">
        <v>22</v>
      </c>
      <c r="N664" s="45" t="s">
        <v>418</v>
      </c>
      <c r="O664" s="20"/>
    </row>
    <row r="665" spans="1:15" s="12" customFormat="1">
      <c r="A665" s="32" t="s">
        <v>120</v>
      </c>
      <c r="B665" s="75" t="s">
        <v>404</v>
      </c>
      <c r="C665" s="45" t="s">
        <v>255</v>
      </c>
      <c r="D665" s="142"/>
      <c r="E665" s="142">
        <v>200</v>
      </c>
      <c r="F665" s="142"/>
      <c r="G665" s="39">
        <v>200</v>
      </c>
      <c r="H665" s="41">
        <f>SUM(Tabla13267[[#This Row],[PRIMER TRIMESTRE]:[CUARTO TRIMESTRE]])</f>
        <v>400</v>
      </c>
      <c r="I665" s="17">
        <v>29.5</v>
      </c>
      <c r="J665" s="17">
        <f t="shared" si="13"/>
        <v>11800</v>
      </c>
      <c r="K665" s="31"/>
      <c r="L665" s="16" t="s">
        <v>27</v>
      </c>
      <c r="M665" s="16" t="s">
        <v>22</v>
      </c>
      <c r="N665" s="45" t="s">
        <v>418</v>
      </c>
      <c r="O665" s="20"/>
    </row>
    <row r="666" spans="1:15" s="12" customFormat="1">
      <c r="A666" s="32" t="s">
        <v>120</v>
      </c>
      <c r="B666" s="75" t="s">
        <v>254</v>
      </c>
      <c r="C666" s="45" t="s">
        <v>417</v>
      </c>
      <c r="D666" s="142"/>
      <c r="E666" s="142">
        <v>200</v>
      </c>
      <c r="F666" s="142"/>
      <c r="G666" s="39">
        <v>200</v>
      </c>
      <c r="H666" s="41">
        <f>SUM(Tabla13267[[#This Row],[PRIMER TRIMESTRE]:[CUARTO TRIMESTRE]])</f>
        <v>400</v>
      </c>
      <c r="I666" s="17">
        <v>12</v>
      </c>
      <c r="J666" s="17">
        <f t="shared" si="13"/>
        <v>4800</v>
      </c>
      <c r="K666" s="31"/>
      <c r="L666" s="16" t="s">
        <v>27</v>
      </c>
      <c r="M666" s="16" t="s">
        <v>22</v>
      </c>
      <c r="N666" s="45" t="s">
        <v>418</v>
      </c>
      <c r="O666" s="20"/>
    </row>
    <row r="667" spans="1:15" s="12" customFormat="1" ht="40.5" customHeight="1">
      <c r="A667" s="32" t="s">
        <v>120</v>
      </c>
      <c r="B667" s="75" t="s">
        <v>394</v>
      </c>
      <c r="C667" s="45" t="s">
        <v>208</v>
      </c>
      <c r="D667" s="142"/>
      <c r="E667" s="142">
        <v>250</v>
      </c>
      <c r="F667" s="142"/>
      <c r="G667" s="39">
        <v>250</v>
      </c>
      <c r="H667" s="41">
        <f>SUM(Tabla13267[[#This Row],[PRIMER TRIMESTRE]:[CUARTO TRIMESTRE]])</f>
        <v>500</v>
      </c>
      <c r="I667" s="17">
        <v>69.599999999999994</v>
      </c>
      <c r="J667" s="17">
        <f t="shared" si="13"/>
        <v>34800</v>
      </c>
      <c r="K667" s="31"/>
      <c r="L667" s="16" t="s">
        <v>27</v>
      </c>
      <c r="M667" s="16" t="s">
        <v>22</v>
      </c>
      <c r="N667" s="45" t="s">
        <v>418</v>
      </c>
      <c r="O667" s="20"/>
    </row>
    <row r="668" spans="1:15" s="12" customFormat="1">
      <c r="A668" s="32" t="s">
        <v>120</v>
      </c>
      <c r="B668" s="75" t="s">
        <v>408</v>
      </c>
      <c r="C668" s="45" t="s">
        <v>417</v>
      </c>
      <c r="D668" s="142"/>
      <c r="E668" s="142">
        <v>200</v>
      </c>
      <c r="F668" s="142"/>
      <c r="G668" s="39">
        <v>200</v>
      </c>
      <c r="H668" s="41">
        <f>SUM(Tabla13267[[#This Row],[PRIMER TRIMESTRE]:[CUARTO TRIMESTRE]])</f>
        <v>400</v>
      </c>
      <c r="I668" s="17">
        <v>43.7</v>
      </c>
      <c r="J668" s="17">
        <f t="shared" si="13"/>
        <v>17480</v>
      </c>
      <c r="K668" s="31"/>
      <c r="L668" s="16" t="s">
        <v>27</v>
      </c>
      <c r="M668" s="30" t="s">
        <v>22</v>
      </c>
      <c r="N668" s="45" t="s">
        <v>418</v>
      </c>
      <c r="O668" s="20"/>
    </row>
    <row r="669" spans="1:15" s="12" customFormat="1">
      <c r="A669" s="32" t="s">
        <v>120</v>
      </c>
      <c r="B669" s="75" t="s">
        <v>409</v>
      </c>
      <c r="C669" s="45" t="s">
        <v>417</v>
      </c>
      <c r="D669" s="142"/>
      <c r="E669" s="142">
        <v>100</v>
      </c>
      <c r="F669" s="142"/>
      <c r="G669" s="39">
        <v>100</v>
      </c>
      <c r="H669" s="41">
        <f>SUM(Tabla13267[[#This Row],[PRIMER TRIMESTRE]:[CUARTO TRIMESTRE]])</f>
        <v>200</v>
      </c>
      <c r="I669" s="17">
        <v>15.21</v>
      </c>
      <c r="J669" s="17">
        <f t="shared" si="13"/>
        <v>3042</v>
      </c>
      <c r="K669" s="31"/>
      <c r="L669" s="16" t="s">
        <v>27</v>
      </c>
      <c r="M669" s="30" t="s">
        <v>22</v>
      </c>
      <c r="N669" s="45" t="s">
        <v>418</v>
      </c>
      <c r="O669" s="20"/>
    </row>
    <row r="670" spans="1:15" s="12" customFormat="1">
      <c r="A670" s="15" t="s">
        <v>120</v>
      </c>
      <c r="B670" s="75" t="s">
        <v>265</v>
      </c>
      <c r="C670" s="39" t="s">
        <v>17</v>
      </c>
      <c r="D670" s="142"/>
      <c r="E670" s="142">
        <v>15</v>
      </c>
      <c r="F670" s="142"/>
      <c r="G670" s="39">
        <v>10</v>
      </c>
      <c r="H670" s="41">
        <f>SUM(Tabla13267[[#This Row],[PRIMER TRIMESTRE]:[CUARTO TRIMESTRE]])</f>
        <v>25</v>
      </c>
      <c r="I670" s="17">
        <v>185.6</v>
      </c>
      <c r="J670" s="17">
        <f>+Tabla13267[[#This Row],[CANTIDAD TOTAL]]*Tabla13267[[#This Row],[PRECIO UNITARIO ESTIMADO]]</f>
        <v>4640</v>
      </c>
      <c r="K670" s="31"/>
      <c r="L670" s="16" t="s">
        <v>27</v>
      </c>
      <c r="M670" s="16" t="s">
        <v>22</v>
      </c>
      <c r="N670" s="45" t="s">
        <v>418</v>
      </c>
      <c r="O670" s="20"/>
    </row>
    <row r="671" spans="1:15" s="12" customFormat="1">
      <c r="A671" s="15" t="s">
        <v>120</v>
      </c>
      <c r="B671" s="75" t="s">
        <v>261</v>
      </c>
      <c r="C671" s="39" t="s">
        <v>17</v>
      </c>
      <c r="D671" s="142"/>
      <c r="E671" s="142">
        <v>150</v>
      </c>
      <c r="F671" s="142"/>
      <c r="G671" s="39">
        <v>150</v>
      </c>
      <c r="H671" s="41">
        <f>SUM(Tabla13267[[#This Row],[PRIMER TRIMESTRE]:[CUARTO TRIMESTRE]])</f>
        <v>300</v>
      </c>
      <c r="I671" s="17">
        <v>148</v>
      </c>
      <c r="J671" s="17">
        <f>+Tabla13267[[#This Row],[CANTIDAD TOTAL]]*Tabla13267[[#This Row],[PRECIO UNITARIO ESTIMADO]]</f>
        <v>44400</v>
      </c>
      <c r="K671" s="31"/>
      <c r="L671" s="16" t="s">
        <v>27</v>
      </c>
      <c r="M671" s="16" t="s">
        <v>22</v>
      </c>
      <c r="N671" s="45" t="s">
        <v>418</v>
      </c>
      <c r="O671" s="20"/>
    </row>
    <row r="672" spans="1:15" s="12" customFormat="1">
      <c r="A672" s="15" t="s">
        <v>120</v>
      </c>
      <c r="B672" s="75" t="s">
        <v>751</v>
      </c>
      <c r="C672" s="39" t="s">
        <v>17</v>
      </c>
      <c r="D672" s="142"/>
      <c r="E672" s="142">
        <v>75</v>
      </c>
      <c r="F672" s="142"/>
      <c r="G672" s="39">
        <v>75</v>
      </c>
      <c r="H672" s="41">
        <f>SUM(Tabla13267[[#This Row],[PRIMER TRIMESTRE]:[CUARTO TRIMESTRE]])</f>
        <v>150</v>
      </c>
      <c r="I672" s="17">
        <v>15.54</v>
      </c>
      <c r="J672" s="17">
        <f>+H672*I672</f>
        <v>2331</v>
      </c>
      <c r="K672" s="17"/>
      <c r="L672" s="16" t="s">
        <v>27</v>
      </c>
      <c r="M672" s="16" t="s">
        <v>22</v>
      </c>
      <c r="N672" s="45" t="s">
        <v>418</v>
      </c>
      <c r="O672" s="18"/>
    </row>
    <row r="673" spans="1:15" s="12" customFormat="1">
      <c r="A673" s="15" t="s">
        <v>752</v>
      </c>
      <c r="B673" s="75" t="s">
        <v>754</v>
      </c>
      <c r="C673" s="39" t="s">
        <v>17</v>
      </c>
      <c r="D673" s="142"/>
      <c r="E673" s="142">
        <v>75</v>
      </c>
      <c r="F673" s="142"/>
      <c r="G673" s="39">
        <v>75</v>
      </c>
      <c r="H673" s="41">
        <f>SUM(Tabla13267[[#This Row],[PRIMER TRIMESTRE]:[CUARTO TRIMESTRE]])</f>
        <v>150</v>
      </c>
      <c r="I673" s="17">
        <v>15.54</v>
      </c>
      <c r="J673" s="17">
        <f>+H673*I673</f>
        <v>2331</v>
      </c>
      <c r="K673" s="17"/>
      <c r="L673" s="16" t="s">
        <v>27</v>
      </c>
      <c r="M673" s="16" t="s">
        <v>22</v>
      </c>
      <c r="N673" s="45" t="s">
        <v>418</v>
      </c>
      <c r="O673" s="18"/>
    </row>
    <row r="674" spans="1:15" s="12" customFormat="1">
      <c r="A674" s="15" t="s">
        <v>753</v>
      </c>
      <c r="B674" s="75" t="s">
        <v>755</v>
      </c>
      <c r="C674" s="39" t="s">
        <v>17</v>
      </c>
      <c r="D674" s="142"/>
      <c r="E674" s="142">
        <v>75</v>
      </c>
      <c r="F674" s="142"/>
      <c r="G674" s="39">
        <v>75</v>
      </c>
      <c r="H674" s="41">
        <f>SUM(Tabla13267[[#This Row],[PRIMER TRIMESTRE]:[CUARTO TRIMESTRE]])</f>
        <v>150</v>
      </c>
      <c r="I674" s="17">
        <v>15.54</v>
      </c>
      <c r="J674" s="17">
        <f>+H674*I674</f>
        <v>2331</v>
      </c>
      <c r="K674" s="17"/>
      <c r="L674" s="16" t="s">
        <v>27</v>
      </c>
      <c r="M674" s="16" t="s">
        <v>22</v>
      </c>
      <c r="N674" s="45" t="s">
        <v>418</v>
      </c>
      <c r="O674" s="18"/>
    </row>
    <row r="675" spans="1:15" s="12" customFormat="1">
      <c r="A675" s="32" t="s">
        <v>120</v>
      </c>
      <c r="B675" s="75" t="s">
        <v>390</v>
      </c>
      <c r="C675" s="39" t="s">
        <v>266</v>
      </c>
      <c r="D675" s="142"/>
      <c r="E675" s="142">
        <v>2500</v>
      </c>
      <c r="F675" s="142"/>
      <c r="G675" s="39">
        <v>2500</v>
      </c>
      <c r="H675" s="41">
        <f>SUM(Tabla13267[[#This Row],[PRIMER TRIMESTRE]:[CUARTO TRIMESTRE]])</f>
        <v>5000</v>
      </c>
      <c r="I675" s="17">
        <v>145.13999999999999</v>
      </c>
      <c r="J675" s="17">
        <f>+H675*I675</f>
        <v>725699.99999999988</v>
      </c>
      <c r="K675" s="31"/>
      <c r="L675" s="16" t="s">
        <v>27</v>
      </c>
      <c r="M675" s="16" t="s">
        <v>22</v>
      </c>
      <c r="N675" s="45" t="s">
        <v>418</v>
      </c>
      <c r="O675" s="20"/>
    </row>
    <row r="676" spans="1:15" s="12" customFormat="1">
      <c r="A676" s="32" t="s">
        <v>120</v>
      </c>
      <c r="B676" s="75" t="s">
        <v>391</v>
      </c>
      <c r="C676" s="45" t="s">
        <v>415</v>
      </c>
      <c r="D676" s="142"/>
      <c r="E676" s="142">
        <v>200</v>
      </c>
      <c r="F676" s="142"/>
      <c r="G676" s="39">
        <v>200</v>
      </c>
      <c r="H676" s="41">
        <f>SUM(Tabla13267[[#This Row],[PRIMER TRIMESTRE]:[CUARTO TRIMESTRE]])</f>
        <v>400</v>
      </c>
      <c r="I676" s="17">
        <v>214.76</v>
      </c>
      <c r="J676" s="17">
        <f>+H676*I676</f>
        <v>85904</v>
      </c>
      <c r="K676" s="31"/>
      <c r="L676" s="16" t="s">
        <v>27</v>
      </c>
      <c r="M676" s="30" t="s">
        <v>22</v>
      </c>
      <c r="N676" s="45" t="s">
        <v>418</v>
      </c>
      <c r="O676" s="20"/>
    </row>
    <row r="677" spans="1:15" s="12" customFormat="1">
      <c r="A677" s="15" t="s">
        <v>120</v>
      </c>
      <c r="B677" s="75" t="s">
        <v>267</v>
      </c>
      <c r="C677" s="39" t="s">
        <v>102</v>
      </c>
      <c r="D677" s="142"/>
      <c r="E677" s="142">
        <v>5</v>
      </c>
      <c r="F677" s="142"/>
      <c r="G677" s="39"/>
      <c r="H677" s="41">
        <f>SUM(Tabla13267[[#This Row],[PRIMER TRIMESTRE]:[CUARTO TRIMESTRE]])</f>
        <v>5</v>
      </c>
      <c r="I677" s="17">
        <v>1063.19</v>
      </c>
      <c r="J677" s="17">
        <f>+Tabla13267[[#This Row],[CANTIDAD TOTAL]]*Tabla13267[[#This Row],[PRECIO UNITARIO ESTIMADO]]</f>
        <v>5315.9500000000007</v>
      </c>
      <c r="K677" s="31"/>
      <c r="L677" s="16" t="s">
        <v>27</v>
      </c>
      <c r="M677" s="16" t="s">
        <v>22</v>
      </c>
      <c r="N677" s="45" t="s">
        <v>418</v>
      </c>
      <c r="O677" s="20"/>
    </row>
    <row r="678" spans="1:15" s="12" customFormat="1">
      <c r="A678" s="15" t="s">
        <v>120</v>
      </c>
      <c r="B678" s="75" t="s">
        <v>759</v>
      </c>
      <c r="C678" s="39" t="s">
        <v>208</v>
      </c>
      <c r="D678" s="142"/>
      <c r="E678" s="142">
        <v>75</v>
      </c>
      <c r="F678" s="142"/>
      <c r="G678" s="39">
        <v>75</v>
      </c>
      <c r="H678" s="41">
        <f>SUM(Tabla13267[[#This Row],[PRIMER TRIMESTRE]:[CUARTO TRIMESTRE]])</f>
        <v>150</v>
      </c>
      <c r="I678" s="17">
        <v>161.66</v>
      </c>
      <c r="J678" s="17">
        <f>+H678*I678</f>
        <v>24249</v>
      </c>
      <c r="K678" s="17"/>
      <c r="L678" s="16" t="s">
        <v>27</v>
      </c>
      <c r="M678" s="16" t="s">
        <v>22</v>
      </c>
      <c r="N678" s="45" t="s">
        <v>418</v>
      </c>
      <c r="O678" s="18"/>
    </row>
    <row r="679" spans="1:15" s="12" customFormat="1">
      <c r="A679" s="15" t="s">
        <v>120</v>
      </c>
      <c r="B679" s="75" t="s">
        <v>268</v>
      </c>
      <c r="C679" s="39" t="s">
        <v>208</v>
      </c>
      <c r="D679" s="142"/>
      <c r="E679" s="142">
        <v>10</v>
      </c>
      <c r="F679" s="142"/>
      <c r="G679" s="39">
        <v>10</v>
      </c>
      <c r="H679" s="41">
        <f>SUM(Tabla13267[[#This Row],[PRIMER TRIMESTRE]:[CUARTO TRIMESTRE]])</f>
        <v>20</v>
      </c>
      <c r="I679" s="17">
        <v>1450</v>
      </c>
      <c r="J679" s="17">
        <f>+Tabla13267[[#This Row],[CANTIDAD TOTAL]]*Tabla13267[[#This Row],[PRECIO UNITARIO ESTIMADO]]</f>
        <v>29000</v>
      </c>
      <c r="K679" s="31"/>
      <c r="L679" s="16" t="s">
        <v>27</v>
      </c>
      <c r="M679" s="16" t="s">
        <v>22</v>
      </c>
      <c r="N679" s="45" t="s">
        <v>418</v>
      </c>
      <c r="O679" s="20"/>
    </row>
    <row r="680" spans="1:15" s="12" customFormat="1">
      <c r="A680" s="15" t="s">
        <v>120</v>
      </c>
      <c r="B680" s="75" t="s">
        <v>269</v>
      </c>
      <c r="C680" s="39" t="s">
        <v>266</v>
      </c>
      <c r="D680" s="142"/>
      <c r="E680" s="142">
        <v>10</v>
      </c>
      <c r="F680" s="142"/>
      <c r="G680" s="39">
        <v>10</v>
      </c>
      <c r="H680" s="41">
        <f>SUM(Tabla13267[[#This Row],[PRIMER TRIMESTRE]:[CUARTO TRIMESTRE]])</f>
        <v>20</v>
      </c>
      <c r="I680" s="17">
        <v>2552</v>
      </c>
      <c r="J680" s="17">
        <f>+Tabla13267[[#This Row],[CANTIDAD TOTAL]]*Tabla13267[[#This Row],[PRECIO UNITARIO ESTIMADO]]</f>
        <v>51040</v>
      </c>
      <c r="K680" s="31"/>
      <c r="L680" s="16" t="s">
        <v>27</v>
      </c>
      <c r="M680" s="16" t="s">
        <v>22</v>
      </c>
      <c r="N680" s="45" t="s">
        <v>418</v>
      </c>
      <c r="O680" s="20"/>
    </row>
    <row r="681" spans="1:15" s="12" customFormat="1">
      <c r="A681" s="15" t="s">
        <v>120</v>
      </c>
      <c r="B681" s="75" t="s">
        <v>756</v>
      </c>
      <c r="C681" s="39" t="s">
        <v>234</v>
      </c>
      <c r="D681" s="142"/>
      <c r="E681" s="142">
        <v>200</v>
      </c>
      <c r="F681" s="142"/>
      <c r="G681" s="39">
        <v>200</v>
      </c>
      <c r="H681" s="41">
        <f>SUM(Tabla13267[[#This Row],[PRIMER TRIMESTRE]:[CUARTO TRIMESTRE]])</f>
        <v>400</v>
      </c>
      <c r="I681" s="17">
        <v>24.78</v>
      </c>
      <c r="J681" s="17">
        <f t="shared" ref="J681:J687" si="14">+H681*I681</f>
        <v>9912</v>
      </c>
      <c r="K681" s="17"/>
      <c r="L681" s="16" t="s">
        <v>27</v>
      </c>
      <c r="M681" s="16" t="s">
        <v>22</v>
      </c>
      <c r="N681" s="45" t="s">
        <v>418</v>
      </c>
      <c r="O681" s="18"/>
    </row>
    <row r="682" spans="1:15" s="12" customFormat="1">
      <c r="A682" s="15" t="s">
        <v>120</v>
      </c>
      <c r="B682" s="75" t="s">
        <v>763</v>
      </c>
      <c r="C682" s="39" t="s">
        <v>17</v>
      </c>
      <c r="D682" s="142"/>
      <c r="E682" s="142">
        <v>100</v>
      </c>
      <c r="F682" s="142"/>
      <c r="G682" s="39">
        <v>100</v>
      </c>
      <c r="H682" s="41">
        <f>SUM(Tabla13267[[#This Row],[PRIMER TRIMESTRE]:[CUARTO TRIMESTRE]])</f>
        <v>200</v>
      </c>
      <c r="I682" s="17">
        <v>186.44</v>
      </c>
      <c r="J682" s="17">
        <f t="shared" si="14"/>
        <v>37288</v>
      </c>
      <c r="K682" s="17"/>
      <c r="L682" s="16" t="s">
        <v>27</v>
      </c>
      <c r="M682" s="16" t="s">
        <v>22</v>
      </c>
      <c r="N682" s="45" t="s">
        <v>418</v>
      </c>
      <c r="O682" s="18"/>
    </row>
    <row r="683" spans="1:15" s="12" customFormat="1">
      <c r="A683" s="32" t="s">
        <v>120</v>
      </c>
      <c r="B683" s="75" t="s">
        <v>410</v>
      </c>
      <c r="C683" s="45" t="s">
        <v>417</v>
      </c>
      <c r="D683" s="142"/>
      <c r="E683" s="142">
        <v>300</v>
      </c>
      <c r="F683" s="142"/>
      <c r="G683" s="39">
        <v>400</v>
      </c>
      <c r="H683" s="41">
        <f>SUM(Tabla13267[[#This Row],[PRIMER TRIMESTRE]:[CUARTO TRIMESTRE]])</f>
        <v>700</v>
      </c>
      <c r="I683" s="17">
        <v>10</v>
      </c>
      <c r="J683" s="17">
        <f t="shared" si="14"/>
        <v>7000</v>
      </c>
      <c r="K683" s="31"/>
      <c r="L683" s="16" t="s">
        <v>27</v>
      </c>
      <c r="M683" s="30" t="s">
        <v>22</v>
      </c>
      <c r="N683" s="45" t="s">
        <v>418</v>
      </c>
      <c r="O683" s="20"/>
    </row>
    <row r="684" spans="1:15" s="12" customFormat="1">
      <c r="A684" s="32" t="s">
        <v>120</v>
      </c>
      <c r="B684" s="75" t="s">
        <v>411</v>
      </c>
      <c r="C684" s="45" t="s">
        <v>417</v>
      </c>
      <c r="D684" s="142"/>
      <c r="E684" s="142">
        <v>400</v>
      </c>
      <c r="F684" s="142"/>
      <c r="G684" s="39">
        <v>400</v>
      </c>
      <c r="H684" s="41">
        <f>SUM(Tabla13267[[#This Row],[PRIMER TRIMESTRE]:[CUARTO TRIMESTRE]])</f>
        <v>800</v>
      </c>
      <c r="I684" s="17">
        <v>14.37</v>
      </c>
      <c r="J684" s="17">
        <f t="shared" si="14"/>
        <v>11496</v>
      </c>
      <c r="K684" s="31"/>
      <c r="L684" s="16" t="s">
        <v>27</v>
      </c>
      <c r="M684" s="30" t="s">
        <v>22</v>
      </c>
      <c r="N684" s="45" t="s">
        <v>418</v>
      </c>
      <c r="O684" s="20"/>
    </row>
    <row r="685" spans="1:15" s="12" customFormat="1">
      <c r="A685" s="32" t="s">
        <v>120</v>
      </c>
      <c r="B685" s="75" t="s">
        <v>412</v>
      </c>
      <c r="C685" s="45" t="s">
        <v>417</v>
      </c>
      <c r="D685" s="142"/>
      <c r="E685" s="142">
        <v>400</v>
      </c>
      <c r="F685" s="142"/>
      <c r="G685" s="39">
        <v>400</v>
      </c>
      <c r="H685" s="41">
        <f>SUM(Tabla13267[[#This Row],[PRIMER TRIMESTRE]:[CUARTO TRIMESTRE]])</f>
        <v>800</v>
      </c>
      <c r="I685" s="17">
        <v>24.79</v>
      </c>
      <c r="J685" s="17">
        <f t="shared" si="14"/>
        <v>19832</v>
      </c>
      <c r="K685" s="31"/>
      <c r="L685" s="16" t="s">
        <v>27</v>
      </c>
      <c r="M685" s="30" t="s">
        <v>22</v>
      </c>
      <c r="N685" s="45" t="s">
        <v>418</v>
      </c>
      <c r="O685" s="20"/>
    </row>
    <row r="686" spans="1:15" s="12" customFormat="1">
      <c r="A686" s="32" t="s">
        <v>120</v>
      </c>
      <c r="B686" s="75" t="s">
        <v>413</v>
      </c>
      <c r="C686" s="45" t="s">
        <v>208</v>
      </c>
      <c r="D686" s="142"/>
      <c r="E686" s="142">
        <v>100</v>
      </c>
      <c r="F686" s="142"/>
      <c r="G686" s="39">
        <v>100</v>
      </c>
      <c r="H686" s="41">
        <f>SUM(Tabla13267[[#This Row],[PRIMER TRIMESTRE]:[CUARTO TRIMESTRE]])</f>
        <v>200</v>
      </c>
      <c r="I686" s="17">
        <v>371.09</v>
      </c>
      <c r="J686" s="17">
        <f t="shared" si="14"/>
        <v>74218</v>
      </c>
      <c r="K686" s="31"/>
      <c r="L686" s="16" t="s">
        <v>27</v>
      </c>
      <c r="M686" s="30" t="s">
        <v>22</v>
      </c>
      <c r="N686" s="45" t="s">
        <v>418</v>
      </c>
      <c r="O686" s="20"/>
    </row>
    <row r="687" spans="1:15" s="12" customFormat="1">
      <c r="A687" s="15" t="s">
        <v>120</v>
      </c>
      <c r="B687" s="75" t="s">
        <v>762</v>
      </c>
      <c r="C687" s="39" t="s">
        <v>208</v>
      </c>
      <c r="D687" s="142"/>
      <c r="E687" s="142">
        <v>50</v>
      </c>
      <c r="F687" s="142"/>
      <c r="G687" s="39">
        <v>50</v>
      </c>
      <c r="H687" s="41">
        <f>SUM(Tabla13267[[#This Row],[PRIMER TRIMESTRE]:[CUARTO TRIMESTRE]])</f>
        <v>100</v>
      </c>
      <c r="I687" s="17">
        <v>433.06</v>
      </c>
      <c r="J687" s="17">
        <f t="shared" si="14"/>
        <v>43306</v>
      </c>
      <c r="K687" s="17"/>
      <c r="L687" s="16" t="s">
        <v>27</v>
      </c>
      <c r="M687" s="16" t="s">
        <v>22</v>
      </c>
      <c r="N687" s="45" t="s">
        <v>418</v>
      </c>
      <c r="O687" s="18"/>
    </row>
    <row r="688" spans="1:15" s="12" customFormat="1">
      <c r="A688" s="15" t="s">
        <v>120</v>
      </c>
      <c r="B688" s="75" t="s">
        <v>270</v>
      </c>
      <c r="C688" s="39" t="s">
        <v>17</v>
      </c>
      <c r="D688" s="142"/>
      <c r="E688" s="142">
        <v>35</v>
      </c>
      <c r="F688" s="142"/>
      <c r="G688" s="39">
        <v>35</v>
      </c>
      <c r="H688" s="41">
        <f>SUM(Tabla13267[[#This Row],[PRIMER TRIMESTRE]:[CUARTO TRIMESTRE]])</f>
        <v>70</v>
      </c>
      <c r="I688" s="17">
        <v>9.2799999999999994</v>
      </c>
      <c r="J688" s="17">
        <f>+Tabla13267[[#This Row],[CANTIDAD TOTAL]]*Tabla13267[[#This Row],[PRECIO UNITARIO ESTIMADO]]</f>
        <v>649.59999999999991</v>
      </c>
      <c r="K688" s="31"/>
      <c r="L688" s="16" t="s">
        <v>27</v>
      </c>
      <c r="M688" s="16" t="s">
        <v>22</v>
      </c>
      <c r="N688" s="45" t="s">
        <v>418</v>
      </c>
      <c r="O688" s="20"/>
    </row>
    <row r="689" spans="1:15" s="12" customFormat="1">
      <c r="A689" s="32" t="s">
        <v>120</v>
      </c>
      <c r="B689" s="75" t="s">
        <v>405</v>
      </c>
      <c r="C689" s="45" t="s">
        <v>17</v>
      </c>
      <c r="D689" s="142"/>
      <c r="E689" s="142">
        <v>200</v>
      </c>
      <c r="F689" s="142"/>
      <c r="G689" s="39">
        <v>200</v>
      </c>
      <c r="H689" s="41">
        <f>SUM(Tabla13267[[#This Row],[PRIMER TRIMESTRE]:[CUARTO TRIMESTRE]])</f>
        <v>400</v>
      </c>
      <c r="I689" s="17">
        <v>11.21</v>
      </c>
      <c r="J689" s="17">
        <f>+H689*I689</f>
        <v>4484</v>
      </c>
      <c r="K689" s="31"/>
      <c r="L689" s="16" t="s">
        <v>27</v>
      </c>
      <c r="M689" s="16" t="s">
        <v>22</v>
      </c>
      <c r="N689" s="45" t="s">
        <v>418</v>
      </c>
      <c r="O689" s="20"/>
    </row>
    <row r="690" spans="1:15" s="12" customFormat="1">
      <c r="A690" s="32" t="s">
        <v>120</v>
      </c>
      <c r="B690" s="75" t="s">
        <v>406</v>
      </c>
      <c r="C690" s="45" t="s">
        <v>17</v>
      </c>
      <c r="D690" s="142"/>
      <c r="E690" s="142">
        <v>200</v>
      </c>
      <c r="F690" s="142"/>
      <c r="G690" s="39">
        <v>200</v>
      </c>
      <c r="H690" s="41">
        <f>SUM(Tabla13267[[#This Row],[PRIMER TRIMESTRE]:[CUARTO TRIMESTRE]])</f>
        <v>400</v>
      </c>
      <c r="I690" s="17">
        <v>10.56</v>
      </c>
      <c r="J690" s="17">
        <f>+H690*I690</f>
        <v>4224</v>
      </c>
      <c r="K690" s="31"/>
      <c r="L690" s="16" t="s">
        <v>27</v>
      </c>
      <c r="M690" s="30" t="s">
        <v>22</v>
      </c>
      <c r="N690" s="45" t="s">
        <v>418</v>
      </c>
      <c r="O690" s="20"/>
    </row>
    <row r="691" spans="1:15" s="12" customFormat="1">
      <c r="A691" s="32" t="s">
        <v>120</v>
      </c>
      <c r="B691" s="75" t="s">
        <v>407</v>
      </c>
      <c r="C691" s="45" t="s">
        <v>17</v>
      </c>
      <c r="D691" s="142"/>
      <c r="E691" s="142">
        <v>200</v>
      </c>
      <c r="F691" s="142"/>
      <c r="G691" s="39">
        <v>200</v>
      </c>
      <c r="H691" s="41">
        <f>SUM(Tabla13267[[#This Row],[PRIMER TRIMESTRE]:[CUARTO TRIMESTRE]])</f>
        <v>400</v>
      </c>
      <c r="I691" s="17">
        <v>11.21</v>
      </c>
      <c r="J691" s="17">
        <f>+H691*I691</f>
        <v>4484</v>
      </c>
      <c r="K691" s="31"/>
      <c r="L691" s="16" t="s">
        <v>27</v>
      </c>
      <c r="M691" s="30" t="s">
        <v>22</v>
      </c>
      <c r="N691" s="45" t="s">
        <v>418</v>
      </c>
      <c r="O691" s="20"/>
    </row>
    <row r="692" spans="1:15" s="12" customFormat="1">
      <c r="A692" s="15" t="s">
        <v>120</v>
      </c>
      <c r="B692" s="75" t="s">
        <v>742</v>
      </c>
      <c r="C692" s="44" t="s">
        <v>17</v>
      </c>
      <c r="D692" s="142"/>
      <c r="E692" s="142">
        <v>100</v>
      </c>
      <c r="F692" s="142"/>
      <c r="G692" s="39">
        <v>100</v>
      </c>
      <c r="H692" s="41">
        <f>SUM(Tabla13267[[#This Row],[PRIMER TRIMESTRE]:[CUARTO TRIMESTRE]])</f>
        <v>200</v>
      </c>
      <c r="I692" s="17">
        <v>53.1</v>
      </c>
      <c r="J692" s="17">
        <f>+Tabla13267[[#This Row],[CANTIDAD TOTAL]]*Tabla13267[[#This Row],[PRECIO UNITARIO ESTIMADO]]</f>
        <v>10620</v>
      </c>
      <c r="K692" s="31"/>
      <c r="L692" s="16" t="s">
        <v>27</v>
      </c>
      <c r="M692" s="30" t="s">
        <v>22</v>
      </c>
      <c r="N692" s="45" t="s">
        <v>418</v>
      </c>
      <c r="O692" s="20"/>
    </row>
    <row r="693" spans="1:15" s="12" customFormat="1">
      <c r="A693" s="32" t="s">
        <v>120</v>
      </c>
      <c r="B693" s="75" t="s">
        <v>271</v>
      </c>
      <c r="C693" s="45" t="s">
        <v>17</v>
      </c>
      <c r="D693" s="142"/>
      <c r="E693" s="142">
        <v>150</v>
      </c>
      <c r="F693" s="142"/>
      <c r="G693" s="39">
        <v>150</v>
      </c>
      <c r="H693" s="41">
        <f>SUM(Tabla13267[[#This Row],[PRIMER TRIMESTRE]:[CUARTO TRIMESTRE]])</f>
        <v>300</v>
      </c>
      <c r="I693" s="17">
        <v>18.399999999999999</v>
      </c>
      <c r="J693" s="17">
        <f>+H693*I693</f>
        <v>5520</v>
      </c>
      <c r="K693" s="31"/>
      <c r="L693" s="16" t="s">
        <v>27</v>
      </c>
      <c r="M693" s="16" t="s">
        <v>22</v>
      </c>
      <c r="N693" s="45" t="s">
        <v>418</v>
      </c>
      <c r="O693" s="20"/>
    </row>
    <row r="694" spans="1:15" s="12" customFormat="1">
      <c r="A694" s="15" t="s">
        <v>120</v>
      </c>
      <c r="B694" s="75" t="s">
        <v>757</v>
      </c>
      <c r="C694" s="39" t="s">
        <v>17</v>
      </c>
      <c r="D694" s="142"/>
      <c r="E694" s="142">
        <v>100</v>
      </c>
      <c r="F694" s="142"/>
      <c r="G694" s="39">
        <v>100</v>
      </c>
      <c r="H694" s="41">
        <f>SUM(Tabla13267[[#This Row],[PRIMER TRIMESTRE]:[CUARTO TRIMESTRE]])</f>
        <v>200</v>
      </c>
      <c r="I694" s="17">
        <v>12.92</v>
      </c>
      <c r="J694" s="17">
        <f>+H694*I694</f>
        <v>2584</v>
      </c>
      <c r="K694" s="17"/>
      <c r="L694" s="16" t="s">
        <v>27</v>
      </c>
      <c r="M694" s="16" t="s">
        <v>22</v>
      </c>
      <c r="N694" s="45" t="s">
        <v>418</v>
      </c>
      <c r="O694" s="18"/>
    </row>
    <row r="695" spans="1:15" s="12" customFormat="1">
      <c r="A695" s="15" t="s">
        <v>120</v>
      </c>
      <c r="B695" s="75" t="s">
        <v>325</v>
      </c>
      <c r="C695" s="44" t="s">
        <v>17</v>
      </c>
      <c r="D695" s="142"/>
      <c r="E695" s="142">
        <v>500</v>
      </c>
      <c r="F695" s="142"/>
      <c r="G695" s="39">
        <v>500</v>
      </c>
      <c r="H695" s="41">
        <f>SUM(Tabla13267[[#This Row],[PRIMER TRIMESTRE]:[CUARTO TRIMESTRE]])</f>
        <v>1000</v>
      </c>
      <c r="I695" s="17">
        <f>337351.26/1251</f>
        <v>269.66527577937649</v>
      </c>
      <c r="J695" s="17">
        <f>+Tabla13267[[#This Row],[CANTIDAD TOTAL]]*Tabla13267[[#This Row],[PRECIO UNITARIO ESTIMADO]]</f>
        <v>269665.2757793765</v>
      </c>
      <c r="K695" s="31"/>
      <c r="L695" s="16" t="s">
        <v>27</v>
      </c>
      <c r="M695" s="30" t="s">
        <v>22</v>
      </c>
      <c r="N695" s="45" t="s">
        <v>418</v>
      </c>
      <c r="O695" s="20"/>
    </row>
    <row r="696" spans="1:15" s="12" customFormat="1">
      <c r="A696" s="15" t="s">
        <v>120</v>
      </c>
      <c r="B696" s="75" t="s">
        <v>784</v>
      </c>
      <c r="C696" s="39" t="s">
        <v>17</v>
      </c>
      <c r="D696" s="142"/>
      <c r="E696" s="142">
        <v>300</v>
      </c>
      <c r="F696" s="142"/>
      <c r="G696" s="39">
        <v>300</v>
      </c>
      <c r="H696" s="41">
        <f>SUM(Tabla13267[[#This Row],[PRIMER TRIMESTRE]:[CUARTO TRIMESTRE]])</f>
        <v>600</v>
      </c>
      <c r="I696" s="72">
        <f>20*1.18</f>
        <v>23.599999999999998</v>
      </c>
      <c r="J696" s="17">
        <f>+H696*I696</f>
        <v>14159.999999999998</v>
      </c>
      <c r="K696" s="17"/>
      <c r="L696" s="16" t="s">
        <v>27</v>
      </c>
      <c r="M696" s="16" t="s">
        <v>22</v>
      </c>
      <c r="N696" s="45" t="s">
        <v>418</v>
      </c>
      <c r="O696" s="18"/>
    </row>
    <row r="697" spans="1:15" s="12" customFormat="1">
      <c r="A697" s="15" t="s">
        <v>120</v>
      </c>
      <c r="B697" s="75" t="s">
        <v>785</v>
      </c>
      <c r="C697" s="39" t="s">
        <v>17</v>
      </c>
      <c r="D697" s="142"/>
      <c r="E697" s="142">
        <v>300</v>
      </c>
      <c r="F697" s="142"/>
      <c r="G697" s="39">
        <v>300</v>
      </c>
      <c r="H697" s="41">
        <f>SUM(Tabla13267[[#This Row],[PRIMER TRIMESTRE]:[CUARTO TRIMESTRE]])</f>
        <v>600</v>
      </c>
      <c r="I697" s="72">
        <f>4*1.18</f>
        <v>4.72</v>
      </c>
      <c r="J697" s="17">
        <f>+H697*I697</f>
        <v>2832</v>
      </c>
      <c r="K697" s="17"/>
      <c r="L697" s="16" t="s">
        <v>27</v>
      </c>
      <c r="M697" s="16" t="s">
        <v>22</v>
      </c>
      <c r="N697" s="45" t="s">
        <v>418</v>
      </c>
      <c r="O697" s="18"/>
    </row>
    <row r="698" spans="1:15" s="12" customFormat="1">
      <c r="A698" s="15" t="s">
        <v>120</v>
      </c>
      <c r="B698" s="75" t="s">
        <v>272</v>
      </c>
      <c r="C698" s="39" t="s">
        <v>17</v>
      </c>
      <c r="D698" s="142"/>
      <c r="E698" s="142">
        <v>36</v>
      </c>
      <c r="F698" s="142"/>
      <c r="G698" s="39">
        <v>35</v>
      </c>
      <c r="H698" s="41">
        <f>SUM(Tabla13267[[#This Row],[PRIMER TRIMESTRE]:[CUARTO TRIMESTRE]])</f>
        <v>71</v>
      </c>
      <c r="I698" s="17">
        <v>348</v>
      </c>
      <c r="J698" s="17">
        <f>+Tabla13267[[#This Row],[CANTIDAD TOTAL]]*Tabla13267[[#This Row],[PRECIO UNITARIO ESTIMADO]]</f>
        <v>24708</v>
      </c>
      <c r="K698" s="31"/>
      <c r="L698" s="16" t="s">
        <v>27</v>
      </c>
      <c r="M698" s="16" t="s">
        <v>22</v>
      </c>
      <c r="N698" s="45" t="s">
        <v>418</v>
      </c>
      <c r="O698" s="20"/>
    </row>
    <row r="699" spans="1:15" s="12" customFormat="1" ht="20.25" customHeight="1">
      <c r="A699" s="15" t="s">
        <v>120</v>
      </c>
      <c r="B699" s="75" t="s">
        <v>758</v>
      </c>
      <c r="C699" s="39" t="s">
        <v>17</v>
      </c>
      <c r="D699" s="142"/>
      <c r="E699" s="142">
        <v>50</v>
      </c>
      <c r="F699" s="142"/>
      <c r="G699" s="39">
        <v>50</v>
      </c>
      <c r="H699" s="41">
        <f>SUM(Tabla13267[[#This Row],[PRIMER TRIMESTRE]:[CUARTO TRIMESTRE]])</f>
        <v>100</v>
      </c>
      <c r="I699" s="17">
        <v>61.95</v>
      </c>
      <c r="J699" s="17">
        <f>+H699*I699</f>
        <v>6195</v>
      </c>
      <c r="K699" s="17"/>
      <c r="L699" s="16" t="s">
        <v>27</v>
      </c>
      <c r="M699" s="16" t="s">
        <v>22</v>
      </c>
      <c r="N699" s="45" t="s">
        <v>418</v>
      </c>
      <c r="O699" s="18"/>
    </row>
    <row r="700" spans="1:15" s="12" customFormat="1">
      <c r="A700" s="32" t="s">
        <v>120</v>
      </c>
      <c r="B700" s="78" t="s">
        <v>477</v>
      </c>
      <c r="C700" s="45" t="s">
        <v>417</v>
      </c>
      <c r="D700" s="142"/>
      <c r="E700" s="142">
        <v>80</v>
      </c>
      <c r="F700" s="142"/>
      <c r="G700" s="39">
        <v>80</v>
      </c>
      <c r="H700" s="41">
        <f>SUM(Tabla13267[[#This Row],[PRIMER TRIMESTRE]:[CUARTO TRIMESTRE]])</f>
        <v>160</v>
      </c>
      <c r="I700" s="17">
        <v>650</v>
      </c>
      <c r="J700" s="17">
        <f>+H700*I700</f>
        <v>104000</v>
      </c>
      <c r="K700" s="31"/>
      <c r="L700" s="16" t="s">
        <v>27</v>
      </c>
      <c r="M700" s="30" t="s">
        <v>22</v>
      </c>
      <c r="N700" s="45" t="s">
        <v>418</v>
      </c>
      <c r="O700" s="20"/>
    </row>
    <row r="701" spans="1:15" s="12" customFormat="1">
      <c r="A701" s="32" t="s">
        <v>120</v>
      </c>
      <c r="B701" s="78" t="s">
        <v>478</v>
      </c>
      <c r="C701" s="45" t="s">
        <v>417</v>
      </c>
      <c r="D701" s="142"/>
      <c r="E701" s="142">
        <v>80</v>
      </c>
      <c r="F701" s="142"/>
      <c r="G701" s="39">
        <v>80</v>
      </c>
      <c r="H701" s="41">
        <f>SUM(Tabla13267[[#This Row],[PRIMER TRIMESTRE]:[CUARTO TRIMESTRE]])</f>
        <v>160</v>
      </c>
      <c r="I701" s="17">
        <v>950</v>
      </c>
      <c r="J701" s="17">
        <f>+H701*I701</f>
        <v>152000</v>
      </c>
      <c r="K701" s="31"/>
      <c r="L701" s="16" t="s">
        <v>27</v>
      </c>
      <c r="M701" s="30" t="s">
        <v>22</v>
      </c>
      <c r="N701" s="45" t="s">
        <v>418</v>
      </c>
      <c r="O701" s="20"/>
    </row>
    <row r="702" spans="1:15" s="12" customFormat="1">
      <c r="A702" s="32" t="s">
        <v>120</v>
      </c>
      <c r="B702" s="79" t="s">
        <v>479</v>
      </c>
      <c r="C702" s="45" t="s">
        <v>417</v>
      </c>
      <c r="D702" s="142"/>
      <c r="E702" s="142">
        <v>25</v>
      </c>
      <c r="F702" s="142"/>
      <c r="G702" s="39">
        <v>25</v>
      </c>
      <c r="H702" s="41">
        <f>SUM(Tabla13267[[#This Row],[PRIMER TRIMESTRE]:[CUARTO TRIMESTRE]])</f>
        <v>50</v>
      </c>
      <c r="I702" s="17">
        <v>650</v>
      </c>
      <c r="J702" s="17">
        <f t="shared" ref="J702:J765" si="15">+H702*I702</f>
        <v>32500</v>
      </c>
      <c r="K702" s="31"/>
      <c r="L702" s="16" t="s">
        <v>27</v>
      </c>
      <c r="M702" s="30" t="s">
        <v>22</v>
      </c>
      <c r="N702" s="45" t="s">
        <v>418</v>
      </c>
      <c r="O702" s="20"/>
    </row>
    <row r="703" spans="1:15" s="12" customFormat="1">
      <c r="A703" s="32" t="s">
        <v>120</v>
      </c>
      <c r="B703" s="78" t="s">
        <v>480</v>
      </c>
      <c r="C703" s="45" t="s">
        <v>417</v>
      </c>
      <c r="D703" s="142"/>
      <c r="E703" s="142">
        <v>25</v>
      </c>
      <c r="F703" s="142"/>
      <c r="G703" s="39">
        <v>25</v>
      </c>
      <c r="H703" s="41">
        <f>SUM(Tabla13267[[#This Row],[PRIMER TRIMESTRE]:[CUARTO TRIMESTRE]])</f>
        <v>50</v>
      </c>
      <c r="I703" s="17">
        <v>800</v>
      </c>
      <c r="J703" s="17">
        <f t="shared" si="15"/>
        <v>40000</v>
      </c>
      <c r="K703" s="31"/>
      <c r="L703" s="16" t="s">
        <v>27</v>
      </c>
      <c r="M703" s="30" t="s">
        <v>22</v>
      </c>
      <c r="N703" s="45" t="s">
        <v>418</v>
      </c>
      <c r="O703" s="20"/>
    </row>
    <row r="704" spans="1:15" s="12" customFormat="1">
      <c r="A704" s="32" t="s">
        <v>120</v>
      </c>
      <c r="B704" s="78" t="s">
        <v>481</v>
      </c>
      <c r="C704" s="45" t="s">
        <v>417</v>
      </c>
      <c r="D704" s="142"/>
      <c r="E704" s="142">
        <v>15</v>
      </c>
      <c r="F704" s="142"/>
      <c r="G704" s="39">
        <v>15</v>
      </c>
      <c r="H704" s="41">
        <f>SUM(Tabla13267[[#This Row],[PRIMER TRIMESTRE]:[CUARTO TRIMESTRE]])</f>
        <v>30</v>
      </c>
      <c r="I704" s="17">
        <v>1190</v>
      </c>
      <c r="J704" s="17">
        <f t="shared" si="15"/>
        <v>35700</v>
      </c>
      <c r="K704" s="31"/>
      <c r="L704" s="16" t="s">
        <v>27</v>
      </c>
      <c r="M704" s="30" t="s">
        <v>22</v>
      </c>
      <c r="N704" s="45" t="s">
        <v>418</v>
      </c>
      <c r="O704" s="20"/>
    </row>
    <row r="705" spans="1:15" s="12" customFormat="1">
      <c r="A705" s="32" t="s">
        <v>120</v>
      </c>
      <c r="B705" s="78" t="s">
        <v>482</v>
      </c>
      <c r="C705" s="45" t="s">
        <v>417</v>
      </c>
      <c r="D705" s="142"/>
      <c r="E705" s="142">
        <v>15</v>
      </c>
      <c r="F705" s="142"/>
      <c r="G705" s="39">
        <v>15</v>
      </c>
      <c r="H705" s="41">
        <f>SUM(Tabla13267[[#This Row],[PRIMER TRIMESTRE]:[CUARTO TRIMESTRE]])</f>
        <v>30</v>
      </c>
      <c r="I705" s="17">
        <v>1050</v>
      </c>
      <c r="J705" s="17">
        <f t="shared" si="15"/>
        <v>31500</v>
      </c>
      <c r="K705" s="31"/>
      <c r="L705" s="16" t="s">
        <v>27</v>
      </c>
      <c r="M705" s="30" t="s">
        <v>22</v>
      </c>
      <c r="N705" s="45" t="s">
        <v>418</v>
      </c>
      <c r="O705" s="20"/>
    </row>
    <row r="706" spans="1:15" s="12" customFormat="1">
      <c r="A706" s="32" t="s">
        <v>120</v>
      </c>
      <c r="B706" s="78" t="s">
        <v>483</v>
      </c>
      <c r="C706" s="45" t="s">
        <v>417</v>
      </c>
      <c r="D706" s="142"/>
      <c r="E706" s="142">
        <v>5</v>
      </c>
      <c r="F706" s="142"/>
      <c r="G706" s="39">
        <v>5</v>
      </c>
      <c r="H706" s="41">
        <f>SUM(Tabla13267[[#This Row],[PRIMER TRIMESTRE]:[CUARTO TRIMESTRE]])</f>
        <v>10</v>
      </c>
      <c r="I706" s="17">
        <v>990</v>
      </c>
      <c r="J706" s="17">
        <f t="shared" si="15"/>
        <v>9900</v>
      </c>
      <c r="K706" s="31"/>
      <c r="L706" s="16" t="s">
        <v>27</v>
      </c>
      <c r="M706" s="30" t="s">
        <v>22</v>
      </c>
      <c r="N706" s="45" t="s">
        <v>418</v>
      </c>
      <c r="O706" s="20"/>
    </row>
    <row r="707" spans="1:15" s="12" customFormat="1">
      <c r="A707" s="32" t="s">
        <v>120</v>
      </c>
      <c r="B707" s="78" t="s">
        <v>484</v>
      </c>
      <c r="C707" s="45" t="s">
        <v>417</v>
      </c>
      <c r="D707" s="142"/>
      <c r="E707" s="142">
        <v>60</v>
      </c>
      <c r="F707" s="142"/>
      <c r="G707" s="39">
        <v>60</v>
      </c>
      <c r="H707" s="41">
        <f>SUM(Tabla13267[[#This Row],[PRIMER TRIMESTRE]:[CUARTO TRIMESTRE]])</f>
        <v>120</v>
      </c>
      <c r="I707" s="17">
        <v>450</v>
      </c>
      <c r="J707" s="17">
        <f t="shared" si="15"/>
        <v>54000</v>
      </c>
      <c r="K707" s="31"/>
      <c r="L707" s="16" t="s">
        <v>27</v>
      </c>
      <c r="M707" s="30" t="s">
        <v>22</v>
      </c>
      <c r="N707" s="45" t="s">
        <v>418</v>
      </c>
      <c r="O707" s="20"/>
    </row>
    <row r="708" spans="1:15" s="12" customFormat="1">
      <c r="A708" s="32" t="s">
        <v>120</v>
      </c>
      <c r="B708" s="78" t="s">
        <v>485</v>
      </c>
      <c r="C708" s="45" t="s">
        <v>417</v>
      </c>
      <c r="D708" s="142"/>
      <c r="E708" s="142">
        <v>60</v>
      </c>
      <c r="F708" s="142"/>
      <c r="G708" s="39">
        <v>60</v>
      </c>
      <c r="H708" s="41">
        <f>SUM(Tabla13267[[#This Row],[PRIMER TRIMESTRE]:[CUARTO TRIMESTRE]])</f>
        <v>120</v>
      </c>
      <c r="I708" s="17">
        <v>550</v>
      </c>
      <c r="J708" s="17">
        <f t="shared" si="15"/>
        <v>66000</v>
      </c>
      <c r="K708" s="31"/>
      <c r="L708" s="16" t="s">
        <v>27</v>
      </c>
      <c r="M708" s="30" t="s">
        <v>22</v>
      </c>
      <c r="N708" s="45" t="s">
        <v>418</v>
      </c>
      <c r="O708" s="20"/>
    </row>
    <row r="709" spans="1:15" s="12" customFormat="1">
      <c r="A709" s="32" t="s">
        <v>120</v>
      </c>
      <c r="B709" s="78" t="s">
        <v>486</v>
      </c>
      <c r="C709" s="45" t="s">
        <v>417</v>
      </c>
      <c r="D709" s="142"/>
      <c r="E709" s="142">
        <v>5</v>
      </c>
      <c r="F709" s="142"/>
      <c r="G709" s="39">
        <v>5</v>
      </c>
      <c r="H709" s="41">
        <f>SUM(Tabla13267[[#This Row],[PRIMER TRIMESTRE]:[CUARTO TRIMESTRE]])</f>
        <v>10</v>
      </c>
      <c r="I709" s="17">
        <v>1000</v>
      </c>
      <c r="J709" s="17">
        <f t="shared" si="15"/>
        <v>10000</v>
      </c>
      <c r="K709" s="31"/>
      <c r="L709" s="16" t="s">
        <v>27</v>
      </c>
      <c r="M709" s="30" t="s">
        <v>22</v>
      </c>
      <c r="N709" s="45" t="s">
        <v>418</v>
      </c>
      <c r="O709" s="20"/>
    </row>
    <row r="710" spans="1:15" s="12" customFormat="1">
      <c r="A710" s="32" t="s">
        <v>120</v>
      </c>
      <c r="B710" s="78" t="s">
        <v>487</v>
      </c>
      <c r="C710" s="45" t="s">
        <v>417</v>
      </c>
      <c r="D710" s="142"/>
      <c r="E710" s="142">
        <v>5</v>
      </c>
      <c r="F710" s="142"/>
      <c r="G710" s="39">
        <v>5</v>
      </c>
      <c r="H710" s="41">
        <f>SUM(Tabla13267[[#This Row],[PRIMER TRIMESTRE]:[CUARTO TRIMESTRE]])</f>
        <v>10</v>
      </c>
      <c r="I710" s="17">
        <v>850</v>
      </c>
      <c r="J710" s="17">
        <f t="shared" si="15"/>
        <v>8500</v>
      </c>
      <c r="K710" s="31"/>
      <c r="L710" s="16" t="s">
        <v>27</v>
      </c>
      <c r="M710" s="30" t="s">
        <v>22</v>
      </c>
      <c r="N710" s="45" t="s">
        <v>418</v>
      </c>
      <c r="O710" s="20"/>
    </row>
    <row r="711" spans="1:15" s="12" customFormat="1">
      <c r="A711" s="32" t="s">
        <v>120</v>
      </c>
      <c r="B711" s="78" t="s">
        <v>488</v>
      </c>
      <c r="C711" s="45" t="s">
        <v>417</v>
      </c>
      <c r="D711" s="142"/>
      <c r="E711" s="142">
        <v>10</v>
      </c>
      <c r="F711" s="142"/>
      <c r="G711" s="39">
        <v>10</v>
      </c>
      <c r="H711" s="41">
        <f>SUM(Tabla13267[[#This Row],[PRIMER TRIMESTRE]:[CUARTO TRIMESTRE]])</f>
        <v>20</v>
      </c>
      <c r="I711" s="17">
        <v>850</v>
      </c>
      <c r="J711" s="17">
        <f t="shared" si="15"/>
        <v>17000</v>
      </c>
      <c r="K711" s="31"/>
      <c r="L711" s="16" t="s">
        <v>27</v>
      </c>
      <c r="M711" s="30" t="s">
        <v>22</v>
      </c>
      <c r="N711" s="45" t="s">
        <v>418</v>
      </c>
      <c r="O711" s="20"/>
    </row>
    <row r="712" spans="1:15" s="12" customFormat="1">
      <c r="A712" s="32" t="s">
        <v>120</v>
      </c>
      <c r="B712" s="78" t="s">
        <v>489</v>
      </c>
      <c r="C712" s="45" t="s">
        <v>417</v>
      </c>
      <c r="D712" s="142"/>
      <c r="E712" s="142">
        <v>5</v>
      </c>
      <c r="F712" s="142"/>
      <c r="G712" s="39">
        <v>5</v>
      </c>
      <c r="H712" s="41">
        <f>SUM(Tabla13267[[#This Row],[PRIMER TRIMESTRE]:[CUARTO TRIMESTRE]])</f>
        <v>10</v>
      </c>
      <c r="I712" s="17">
        <v>650</v>
      </c>
      <c r="J712" s="17">
        <f t="shared" si="15"/>
        <v>6500</v>
      </c>
      <c r="K712" s="31"/>
      <c r="L712" s="16" t="s">
        <v>27</v>
      </c>
      <c r="M712" s="30" t="s">
        <v>22</v>
      </c>
      <c r="N712" s="45" t="s">
        <v>418</v>
      </c>
      <c r="O712" s="20"/>
    </row>
    <row r="713" spans="1:15" s="12" customFormat="1">
      <c r="A713" s="32" t="s">
        <v>120</v>
      </c>
      <c r="B713" s="78" t="s">
        <v>490</v>
      </c>
      <c r="C713" s="45" t="s">
        <v>417</v>
      </c>
      <c r="D713" s="142"/>
      <c r="E713" s="142">
        <v>8</v>
      </c>
      <c r="F713" s="142"/>
      <c r="G713" s="39">
        <v>7</v>
      </c>
      <c r="H713" s="41">
        <f>SUM(Tabla13267[[#This Row],[PRIMER TRIMESTRE]:[CUARTO TRIMESTRE]])</f>
        <v>15</v>
      </c>
      <c r="I713" s="17">
        <v>1100</v>
      </c>
      <c r="J713" s="17">
        <f t="shared" si="15"/>
        <v>16500</v>
      </c>
      <c r="K713" s="31"/>
      <c r="L713" s="16" t="s">
        <v>27</v>
      </c>
      <c r="M713" s="30" t="s">
        <v>22</v>
      </c>
      <c r="N713" s="45" t="s">
        <v>418</v>
      </c>
      <c r="O713" s="20"/>
    </row>
    <row r="714" spans="1:15" s="12" customFormat="1">
      <c r="A714" s="32" t="s">
        <v>120</v>
      </c>
      <c r="B714" s="78" t="s">
        <v>491</v>
      </c>
      <c r="C714" s="45" t="s">
        <v>417</v>
      </c>
      <c r="D714" s="142"/>
      <c r="E714" s="142">
        <v>5</v>
      </c>
      <c r="F714" s="142"/>
      <c r="G714" s="39">
        <v>5</v>
      </c>
      <c r="H714" s="41">
        <f>SUM(Tabla13267[[#This Row],[PRIMER TRIMESTRE]:[CUARTO TRIMESTRE]])</f>
        <v>10</v>
      </c>
      <c r="I714" s="17">
        <v>1100</v>
      </c>
      <c r="J714" s="17">
        <f t="shared" si="15"/>
        <v>11000</v>
      </c>
      <c r="K714" s="31"/>
      <c r="L714" s="16" t="s">
        <v>27</v>
      </c>
      <c r="M714" s="30" t="s">
        <v>22</v>
      </c>
      <c r="N714" s="45" t="s">
        <v>418</v>
      </c>
      <c r="O714" s="20"/>
    </row>
    <row r="715" spans="1:15" s="12" customFormat="1">
      <c r="A715" s="32" t="s">
        <v>120</v>
      </c>
      <c r="B715" s="78" t="s">
        <v>492</v>
      </c>
      <c r="C715" s="45" t="s">
        <v>417</v>
      </c>
      <c r="D715" s="142"/>
      <c r="E715" s="142">
        <v>8</v>
      </c>
      <c r="F715" s="142"/>
      <c r="G715" s="39">
        <v>7</v>
      </c>
      <c r="H715" s="41">
        <f>SUM(Tabla13267[[#This Row],[PRIMER TRIMESTRE]:[CUARTO TRIMESTRE]])</f>
        <v>15</v>
      </c>
      <c r="I715" s="17">
        <v>1500</v>
      </c>
      <c r="J715" s="17">
        <f t="shared" si="15"/>
        <v>22500</v>
      </c>
      <c r="K715" s="31"/>
      <c r="L715" s="16" t="s">
        <v>27</v>
      </c>
      <c r="M715" s="30" t="s">
        <v>22</v>
      </c>
      <c r="N715" s="45" t="s">
        <v>418</v>
      </c>
      <c r="O715" s="20"/>
    </row>
    <row r="716" spans="1:15" s="12" customFormat="1">
      <c r="A716" s="32" t="s">
        <v>120</v>
      </c>
      <c r="B716" s="78" t="s">
        <v>493</v>
      </c>
      <c r="C716" s="45" t="s">
        <v>417</v>
      </c>
      <c r="D716" s="142"/>
      <c r="E716" s="142">
        <v>8</v>
      </c>
      <c r="F716" s="142"/>
      <c r="G716" s="39">
        <v>7</v>
      </c>
      <c r="H716" s="41">
        <f>SUM(Tabla13267[[#This Row],[PRIMER TRIMESTRE]:[CUARTO TRIMESTRE]])</f>
        <v>15</v>
      </c>
      <c r="I716" s="17">
        <v>1650</v>
      </c>
      <c r="J716" s="17">
        <f t="shared" si="15"/>
        <v>24750</v>
      </c>
      <c r="K716" s="31"/>
      <c r="L716" s="16" t="s">
        <v>27</v>
      </c>
      <c r="M716" s="30" t="s">
        <v>22</v>
      </c>
      <c r="N716" s="45" t="s">
        <v>418</v>
      </c>
      <c r="O716" s="20"/>
    </row>
    <row r="717" spans="1:15" s="12" customFormat="1">
      <c r="A717" s="32" t="s">
        <v>120</v>
      </c>
      <c r="B717" s="78" t="s">
        <v>494</v>
      </c>
      <c r="C717" s="45" t="s">
        <v>417</v>
      </c>
      <c r="D717" s="142"/>
      <c r="E717" s="142">
        <v>3</v>
      </c>
      <c r="F717" s="142"/>
      <c r="G717" s="39">
        <v>2</v>
      </c>
      <c r="H717" s="41">
        <f>SUM(Tabla13267[[#This Row],[PRIMER TRIMESTRE]:[CUARTO TRIMESTRE]])</f>
        <v>5</v>
      </c>
      <c r="I717" s="17">
        <v>1250</v>
      </c>
      <c r="J717" s="17">
        <f t="shared" si="15"/>
        <v>6250</v>
      </c>
      <c r="K717" s="31"/>
      <c r="L717" s="16" t="s">
        <v>27</v>
      </c>
      <c r="M717" s="30" t="s">
        <v>22</v>
      </c>
      <c r="N717" s="45" t="s">
        <v>418</v>
      </c>
      <c r="O717" s="20"/>
    </row>
    <row r="718" spans="1:15" s="12" customFormat="1">
      <c r="A718" s="32" t="s">
        <v>120</v>
      </c>
      <c r="B718" s="79" t="s">
        <v>495</v>
      </c>
      <c r="C718" s="45" t="s">
        <v>417</v>
      </c>
      <c r="D718" s="142"/>
      <c r="E718" s="142">
        <v>3</v>
      </c>
      <c r="F718" s="142"/>
      <c r="G718" s="39">
        <v>2</v>
      </c>
      <c r="H718" s="41">
        <f>SUM(Tabla13267[[#This Row],[PRIMER TRIMESTRE]:[CUARTO TRIMESTRE]])</f>
        <v>5</v>
      </c>
      <c r="I718" s="17">
        <v>1672</v>
      </c>
      <c r="J718" s="17">
        <f t="shared" si="15"/>
        <v>8360</v>
      </c>
      <c r="K718" s="31"/>
      <c r="L718" s="16" t="s">
        <v>27</v>
      </c>
      <c r="M718" s="30" t="s">
        <v>22</v>
      </c>
      <c r="N718" s="45" t="s">
        <v>418</v>
      </c>
      <c r="O718" s="20"/>
    </row>
    <row r="719" spans="1:15" s="12" customFormat="1" ht="25.5">
      <c r="A719" s="32" t="s">
        <v>120</v>
      </c>
      <c r="B719" s="79" t="s">
        <v>533</v>
      </c>
      <c r="C719" s="45" t="s">
        <v>417</v>
      </c>
      <c r="D719" s="142"/>
      <c r="E719" s="142">
        <v>25</v>
      </c>
      <c r="F719" s="142"/>
      <c r="G719" s="39">
        <v>25</v>
      </c>
      <c r="H719" s="41">
        <f>SUM(Tabla13267[[#This Row],[PRIMER TRIMESTRE]:[CUARTO TRIMESTRE]])</f>
        <v>50</v>
      </c>
      <c r="I719" s="17">
        <v>720</v>
      </c>
      <c r="J719" s="17">
        <f>+H719*I719</f>
        <v>36000</v>
      </c>
      <c r="K719" s="31"/>
      <c r="L719" s="16" t="s">
        <v>27</v>
      </c>
      <c r="M719" s="30" t="s">
        <v>22</v>
      </c>
      <c r="N719" s="45" t="s">
        <v>418</v>
      </c>
      <c r="O719" s="20"/>
    </row>
    <row r="720" spans="1:15" s="12" customFormat="1" ht="25.5">
      <c r="A720" s="32" t="s">
        <v>120</v>
      </c>
      <c r="B720" s="79" t="s">
        <v>534</v>
      </c>
      <c r="C720" s="45" t="s">
        <v>417</v>
      </c>
      <c r="D720" s="142"/>
      <c r="E720" s="142">
        <v>2</v>
      </c>
      <c r="F720" s="142"/>
      <c r="G720" s="39"/>
      <c r="H720" s="41">
        <f>SUM(Tabla13267[[#This Row],[PRIMER TRIMESTRE]:[CUARTO TRIMESTRE]])</f>
        <v>2</v>
      </c>
      <c r="I720" s="17">
        <v>1280</v>
      </c>
      <c r="J720" s="17">
        <f>+H720*I720</f>
        <v>2560</v>
      </c>
      <c r="K720" s="31"/>
      <c r="L720" s="16" t="s">
        <v>27</v>
      </c>
      <c r="M720" s="30" t="s">
        <v>22</v>
      </c>
      <c r="N720" s="45" t="s">
        <v>418</v>
      </c>
      <c r="O720" s="20"/>
    </row>
    <row r="721" spans="1:15" s="12" customFormat="1">
      <c r="A721" s="32" t="s">
        <v>120</v>
      </c>
      <c r="B721" s="79" t="s">
        <v>474</v>
      </c>
      <c r="C721" s="45" t="s">
        <v>417</v>
      </c>
      <c r="D721" s="142"/>
      <c r="E721" s="142">
        <v>20</v>
      </c>
      <c r="F721" s="142"/>
      <c r="G721" s="39">
        <v>20</v>
      </c>
      <c r="H721" s="41">
        <f>SUM(Tabla13267[[#This Row],[PRIMER TRIMESTRE]:[CUARTO TRIMESTRE]])</f>
        <v>40</v>
      </c>
      <c r="I721" s="17">
        <v>2900</v>
      </c>
      <c r="J721" s="17">
        <f>+H721*I721</f>
        <v>116000</v>
      </c>
      <c r="K721" s="31"/>
      <c r="L721" s="16" t="s">
        <v>27</v>
      </c>
      <c r="M721" s="30" t="s">
        <v>22</v>
      </c>
      <c r="N721" s="45" t="s">
        <v>418</v>
      </c>
      <c r="O721" s="20"/>
    </row>
    <row r="722" spans="1:15" s="12" customFormat="1">
      <c r="A722" s="32" t="s">
        <v>120</v>
      </c>
      <c r="B722" s="78" t="s">
        <v>475</v>
      </c>
      <c r="C722" s="45" t="s">
        <v>417</v>
      </c>
      <c r="D722" s="142"/>
      <c r="E722" s="142">
        <v>20</v>
      </c>
      <c r="F722" s="142"/>
      <c r="G722" s="39">
        <v>20</v>
      </c>
      <c r="H722" s="41">
        <f>SUM(Tabla13267[[#This Row],[PRIMER TRIMESTRE]:[CUARTO TRIMESTRE]])</f>
        <v>40</v>
      </c>
      <c r="I722" s="17">
        <v>2350</v>
      </c>
      <c r="J722" s="17">
        <f>+H722*I722</f>
        <v>94000</v>
      </c>
      <c r="K722" s="31"/>
      <c r="L722" s="16" t="s">
        <v>27</v>
      </c>
      <c r="M722" s="30" t="s">
        <v>22</v>
      </c>
      <c r="N722" s="45" t="s">
        <v>418</v>
      </c>
      <c r="O722" s="20"/>
    </row>
    <row r="723" spans="1:15" s="12" customFormat="1">
      <c r="A723" s="32" t="s">
        <v>120</v>
      </c>
      <c r="B723" s="78" t="s">
        <v>476</v>
      </c>
      <c r="C723" s="45" t="s">
        <v>417</v>
      </c>
      <c r="D723" s="142"/>
      <c r="E723" s="142">
        <v>15</v>
      </c>
      <c r="F723" s="142"/>
      <c r="G723" s="39">
        <v>15</v>
      </c>
      <c r="H723" s="41">
        <f>SUM(Tabla13267[[#This Row],[PRIMER TRIMESTRE]:[CUARTO TRIMESTRE]])</f>
        <v>30</v>
      </c>
      <c r="I723" s="17">
        <v>3990</v>
      </c>
      <c r="J723" s="17">
        <f>+H723*I723</f>
        <v>119700</v>
      </c>
      <c r="K723" s="31"/>
      <c r="L723" s="16" t="s">
        <v>27</v>
      </c>
      <c r="M723" s="30" t="s">
        <v>22</v>
      </c>
      <c r="N723" s="45" t="s">
        <v>418</v>
      </c>
      <c r="O723" s="20"/>
    </row>
    <row r="724" spans="1:15" s="12" customFormat="1">
      <c r="A724" s="32" t="s">
        <v>120</v>
      </c>
      <c r="B724" s="79" t="s">
        <v>496</v>
      </c>
      <c r="C724" s="45" t="s">
        <v>417</v>
      </c>
      <c r="D724" s="142"/>
      <c r="E724" s="142">
        <v>23</v>
      </c>
      <c r="F724" s="142"/>
      <c r="G724" s="39">
        <v>23</v>
      </c>
      <c r="H724" s="41">
        <f>SUM(Tabla13267[[#This Row],[PRIMER TRIMESTRE]:[CUARTO TRIMESTRE]])</f>
        <v>46</v>
      </c>
      <c r="I724" s="17">
        <v>4200</v>
      </c>
      <c r="J724" s="17">
        <f t="shared" si="15"/>
        <v>193200</v>
      </c>
      <c r="K724" s="31"/>
      <c r="L724" s="16" t="s">
        <v>27</v>
      </c>
      <c r="M724" s="30" t="s">
        <v>22</v>
      </c>
      <c r="N724" s="45" t="s">
        <v>418</v>
      </c>
      <c r="O724" s="20"/>
    </row>
    <row r="725" spans="1:15" s="12" customFormat="1">
      <c r="A725" s="32" t="s">
        <v>120</v>
      </c>
      <c r="B725" s="78" t="s">
        <v>497</v>
      </c>
      <c r="C725" s="45" t="s">
        <v>417</v>
      </c>
      <c r="D725" s="142"/>
      <c r="E725" s="142">
        <v>15</v>
      </c>
      <c r="F725" s="142"/>
      <c r="G725" s="39">
        <v>15</v>
      </c>
      <c r="H725" s="41">
        <f>SUM(Tabla13267[[#This Row],[PRIMER TRIMESTRE]:[CUARTO TRIMESTRE]])</f>
        <v>30</v>
      </c>
      <c r="I725" s="17">
        <v>4200</v>
      </c>
      <c r="J725" s="17">
        <f t="shared" si="15"/>
        <v>126000</v>
      </c>
      <c r="K725" s="31"/>
      <c r="L725" s="16" t="s">
        <v>27</v>
      </c>
      <c r="M725" s="30" t="s">
        <v>22</v>
      </c>
      <c r="N725" s="45" t="s">
        <v>418</v>
      </c>
      <c r="O725" s="20"/>
    </row>
    <row r="726" spans="1:15" s="12" customFormat="1">
      <c r="A726" s="32" t="s">
        <v>120</v>
      </c>
      <c r="B726" s="78" t="s">
        <v>498</v>
      </c>
      <c r="C726" s="45" t="s">
        <v>417</v>
      </c>
      <c r="D726" s="142"/>
      <c r="E726" s="142">
        <v>10</v>
      </c>
      <c r="F726" s="142"/>
      <c r="G726" s="39">
        <v>10</v>
      </c>
      <c r="H726" s="41">
        <f>SUM(Tabla13267[[#This Row],[PRIMER TRIMESTRE]:[CUARTO TRIMESTRE]])</f>
        <v>20</v>
      </c>
      <c r="I726" s="17">
        <v>4200</v>
      </c>
      <c r="J726" s="17">
        <f t="shared" si="15"/>
        <v>84000</v>
      </c>
      <c r="K726" s="31"/>
      <c r="L726" s="16" t="s">
        <v>27</v>
      </c>
      <c r="M726" s="30" t="s">
        <v>22</v>
      </c>
      <c r="N726" s="45" t="s">
        <v>418</v>
      </c>
      <c r="O726" s="20"/>
    </row>
    <row r="727" spans="1:15" s="12" customFormat="1">
      <c r="A727" s="32" t="s">
        <v>120</v>
      </c>
      <c r="B727" s="78" t="s">
        <v>499</v>
      </c>
      <c r="C727" s="45" t="s">
        <v>417</v>
      </c>
      <c r="D727" s="142"/>
      <c r="E727" s="142">
        <v>10</v>
      </c>
      <c r="F727" s="142"/>
      <c r="G727" s="39">
        <v>10</v>
      </c>
      <c r="H727" s="41">
        <f>SUM(Tabla13267[[#This Row],[PRIMER TRIMESTRE]:[CUARTO TRIMESTRE]])</f>
        <v>20</v>
      </c>
      <c r="I727" s="17">
        <v>4200</v>
      </c>
      <c r="J727" s="17">
        <f t="shared" si="15"/>
        <v>84000</v>
      </c>
      <c r="K727" s="31"/>
      <c r="L727" s="16" t="s">
        <v>27</v>
      </c>
      <c r="M727" s="30" t="s">
        <v>22</v>
      </c>
      <c r="N727" s="45" t="s">
        <v>418</v>
      </c>
      <c r="O727" s="20"/>
    </row>
    <row r="728" spans="1:15" s="12" customFormat="1">
      <c r="A728" s="32" t="s">
        <v>120</v>
      </c>
      <c r="B728" s="79" t="s">
        <v>500</v>
      </c>
      <c r="C728" s="45" t="s">
        <v>417</v>
      </c>
      <c r="D728" s="142"/>
      <c r="E728" s="142">
        <v>13</v>
      </c>
      <c r="F728" s="142"/>
      <c r="G728" s="39">
        <v>13</v>
      </c>
      <c r="H728" s="41">
        <f>SUM(Tabla13267[[#This Row],[PRIMER TRIMESTRE]:[CUARTO TRIMESTRE]])</f>
        <v>26</v>
      </c>
      <c r="I728" s="17">
        <v>8210.5</v>
      </c>
      <c r="J728" s="17">
        <f t="shared" si="15"/>
        <v>213473</v>
      </c>
      <c r="K728" s="31"/>
      <c r="L728" s="16" t="s">
        <v>27</v>
      </c>
      <c r="M728" s="30" t="s">
        <v>22</v>
      </c>
      <c r="N728" s="45" t="s">
        <v>418</v>
      </c>
      <c r="O728" s="20"/>
    </row>
    <row r="729" spans="1:15" s="12" customFormat="1">
      <c r="A729" s="32" t="s">
        <v>120</v>
      </c>
      <c r="B729" s="79" t="s">
        <v>501</v>
      </c>
      <c r="C729" s="45" t="s">
        <v>417</v>
      </c>
      <c r="D729" s="142"/>
      <c r="E729" s="142">
        <v>4</v>
      </c>
      <c r="F729" s="142"/>
      <c r="G729" s="39">
        <v>4</v>
      </c>
      <c r="H729" s="41">
        <f>SUM(Tabla13267[[#This Row],[PRIMER TRIMESTRE]:[CUARTO TRIMESTRE]])</f>
        <v>8</v>
      </c>
      <c r="I729" s="17">
        <v>3250</v>
      </c>
      <c r="J729" s="17">
        <f t="shared" si="15"/>
        <v>26000</v>
      </c>
      <c r="K729" s="31"/>
      <c r="L729" s="16" t="s">
        <v>27</v>
      </c>
      <c r="M729" s="30" t="s">
        <v>22</v>
      </c>
      <c r="N729" s="45" t="s">
        <v>418</v>
      </c>
      <c r="O729" s="20"/>
    </row>
    <row r="730" spans="1:15" s="12" customFormat="1">
      <c r="A730" s="32" t="s">
        <v>120</v>
      </c>
      <c r="B730" s="78" t="s">
        <v>502</v>
      </c>
      <c r="C730" s="45" t="s">
        <v>417</v>
      </c>
      <c r="D730" s="142"/>
      <c r="E730" s="142">
        <v>2</v>
      </c>
      <c r="F730" s="142"/>
      <c r="G730" s="39">
        <v>2</v>
      </c>
      <c r="H730" s="41">
        <f>SUM(Tabla13267[[#This Row],[PRIMER TRIMESTRE]:[CUARTO TRIMESTRE]])</f>
        <v>4</v>
      </c>
      <c r="I730" s="17">
        <v>450</v>
      </c>
      <c r="J730" s="17">
        <f t="shared" si="15"/>
        <v>1800</v>
      </c>
      <c r="K730" s="31"/>
      <c r="L730" s="16" t="s">
        <v>27</v>
      </c>
      <c r="M730" s="30" t="s">
        <v>22</v>
      </c>
      <c r="N730" s="45" t="s">
        <v>418</v>
      </c>
      <c r="O730" s="20"/>
    </row>
    <row r="731" spans="1:15" s="12" customFormat="1">
      <c r="A731" s="32" t="s">
        <v>120</v>
      </c>
      <c r="B731" s="78" t="s">
        <v>503</v>
      </c>
      <c r="C731" s="45" t="s">
        <v>417</v>
      </c>
      <c r="D731" s="142"/>
      <c r="E731" s="142">
        <v>1</v>
      </c>
      <c r="F731" s="142"/>
      <c r="G731" s="39"/>
      <c r="H731" s="41">
        <f>SUM(Tabla13267[[#This Row],[PRIMER TRIMESTRE]:[CUARTO TRIMESTRE]])</f>
        <v>1</v>
      </c>
      <c r="I731" s="17">
        <v>450</v>
      </c>
      <c r="J731" s="17">
        <f t="shared" si="15"/>
        <v>450</v>
      </c>
      <c r="K731" s="31"/>
      <c r="L731" s="16" t="s">
        <v>27</v>
      </c>
      <c r="M731" s="30" t="s">
        <v>22</v>
      </c>
      <c r="N731" s="45" t="s">
        <v>418</v>
      </c>
      <c r="O731" s="20"/>
    </row>
    <row r="732" spans="1:15" s="12" customFormat="1">
      <c r="A732" s="32" t="s">
        <v>120</v>
      </c>
      <c r="B732" s="78" t="s">
        <v>504</v>
      </c>
      <c r="C732" s="45" t="s">
        <v>417</v>
      </c>
      <c r="D732" s="142"/>
      <c r="E732" s="142">
        <v>1</v>
      </c>
      <c r="F732" s="142"/>
      <c r="G732" s="39"/>
      <c r="H732" s="41">
        <f>SUM(Tabla13267[[#This Row],[PRIMER TRIMESTRE]:[CUARTO TRIMESTRE]])</f>
        <v>1</v>
      </c>
      <c r="I732" s="17">
        <v>450</v>
      </c>
      <c r="J732" s="17">
        <f t="shared" si="15"/>
        <v>450</v>
      </c>
      <c r="K732" s="31"/>
      <c r="L732" s="16" t="s">
        <v>27</v>
      </c>
      <c r="M732" s="30" t="s">
        <v>22</v>
      </c>
      <c r="N732" s="45" t="s">
        <v>418</v>
      </c>
      <c r="O732" s="20"/>
    </row>
    <row r="733" spans="1:15" s="12" customFormat="1">
      <c r="A733" s="32" t="s">
        <v>120</v>
      </c>
      <c r="B733" s="78" t="s">
        <v>505</v>
      </c>
      <c r="C733" s="45" t="s">
        <v>417</v>
      </c>
      <c r="D733" s="142"/>
      <c r="E733" s="142">
        <v>1</v>
      </c>
      <c r="F733" s="142"/>
      <c r="G733" s="39"/>
      <c r="H733" s="41">
        <f>SUM(Tabla13267[[#This Row],[PRIMER TRIMESTRE]:[CUARTO TRIMESTRE]])</f>
        <v>1</v>
      </c>
      <c r="I733" s="17">
        <v>450</v>
      </c>
      <c r="J733" s="17">
        <f t="shared" si="15"/>
        <v>450</v>
      </c>
      <c r="K733" s="31"/>
      <c r="L733" s="16" t="s">
        <v>27</v>
      </c>
      <c r="M733" s="30" t="s">
        <v>22</v>
      </c>
      <c r="N733" s="45" t="s">
        <v>418</v>
      </c>
      <c r="O733" s="20"/>
    </row>
    <row r="734" spans="1:15" s="12" customFormat="1">
      <c r="A734" s="32" t="s">
        <v>120</v>
      </c>
      <c r="B734" s="78" t="s">
        <v>506</v>
      </c>
      <c r="C734" s="45" t="s">
        <v>417</v>
      </c>
      <c r="D734" s="142"/>
      <c r="E734" s="142">
        <v>3</v>
      </c>
      <c r="F734" s="142"/>
      <c r="G734" s="39">
        <v>2</v>
      </c>
      <c r="H734" s="41">
        <f>SUM(Tabla13267[[#This Row],[PRIMER TRIMESTRE]:[CUARTO TRIMESTRE]])</f>
        <v>5</v>
      </c>
      <c r="I734" s="17">
        <v>5800</v>
      </c>
      <c r="J734" s="17">
        <f t="shared" si="15"/>
        <v>29000</v>
      </c>
      <c r="K734" s="31"/>
      <c r="L734" s="16" t="s">
        <v>27</v>
      </c>
      <c r="M734" s="30" t="s">
        <v>22</v>
      </c>
      <c r="N734" s="45" t="s">
        <v>418</v>
      </c>
      <c r="O734" s="20"/>
    </row>
    <row r="735" spans="1:15" s="12" customFormat="1">
      <c r="A735" s="32" t="s">
        <v>120</v>
      </c>
      <c r="B735" s="78" t="s">
        <v>507</v>
      </c>
      <c r="C735" s="45" t="s">
        <v>417</v>
      </c>
      <c r="D735" s="142"/>
      <c r="E735" s="142">
        <v>3</v>
      </c>
      <c r="F735" s="142"/>
      <c r="G735" s="39">
        <v>3</v>
      </c>
      <c r="H735" s="41">
        <f>SUM(Tabla13267[[#This Row],[PRIMER TRIMESTRE]:[CUARTO TRIMESTRE]])</f>
        <v>6</v>
      </c>
      <c r="I735" s="17">
        <v>2800</v>
      </c>
      <c r="J735" s="17">
        <f t="shared" si="15"/>
        <v>16800</v>
      </c>
      <c r="K735" s="31"/>
      <c r="L735" s="16" t="s">
        <v>27</v>
      </c>
      <c r="M735" s="30" t="s">
        <v>22</v>
      </c>
      <c r="N735" s="45" t="s">
        <v>418</v>
      </c>
      <c r="O735" s="20"/>
    </row>
    <row r="736" spans="1:15" s="12" customFormat="1">
      <c r="A736" s="32" t="s">
        <v>120</v>
      </c>
      <c r="B736" s="78" t="s">
        <v>508</v>
      </c>
      <c r="C736" s="45" t="s">
        <v>417</v>
      </c>
      <c r="D736" s="142"/>
      <c r="E736" s="142">
        <v>3</v>
      </c>
      <c r="F736" s="142"/>
      <c r="G736" s="39">
        <v>2</v>
      </c>
      <c r="H736" s="41">
        <f>SUM(Tabla13267[[#This Row],[PRIMER TRIMESTRE]:[CUARTO TRIMESTRE]])</f>
        <v>5</v>
      </c>
      <c r="I736" s="17">
        <v>5100</v>
      </c>
      <c r="J736" s="17">
        <f t="shared" si="15"/>
        <v>25500</v>
      </c>
      <c r="K736" s="31"/>
      <c r="L736" s="16" t="s">
        <v>27</v>
      </c>
      <c r="M736" s="30" t="s">
        <v>22</v>
      </c>
      <c r="N736" s="45" t="s">
        <v>418</v>
      </c>
      <c r="O736" s="20"/>
    </row>
    <row r="737" spans="1:15" s="12" customFormat="1">
      <c r="A737" s="32" t="s">
        <v>120</v>
      </c>
      <c r="B737" s="78" t="s">
        <v>509</v>
      </c>
      <c r="C737" s="45" t="s">
        <v>417</v>
      </c>
      <c r="D737" s="142"/>
      <c r="E737" s="142">
        <v>5</v>
      </c>
      <c r="F737" s="142"/>
      <c r="G737" s="39">
        <v>5</v>
      </c>
      <c r="H737" s="41">
        <f>SUM(Tabla13267[[#This Row],[PRIMER TRIMESTRE]:[CUARTO TRIMESTRE]])</f>
        <v>10</v>
      </c>
      <c r="I737" s="17">
        <v>5100</v>
      </c>
      <c r="J737" s="17">
        <f t="shared" si="15"/>
        <v>51000</v>
      </c>
      <c r="K737" s="31"/>
      <c r="L737" s="16" t="s">
        <v>27</v>
      </c>
      <c r="M737" s="30" t="s">
        <v>22</v>
      </c>
      <c r="N737" s="45" t="s">
        <v>418</v>
      </c>
      <c r="O737" s="20"/>
    </row>
    <row r="738" spans="1:15" s="12" customFormat="1">
      <c r="A738" s="32" t="s">
        <v>120</v>
      </c>
      <c r="B738" s="78" t="s">
        <v>510</v>
      </c>
      <c r="C738" s="45" t="s">
        <v>417</v>
      </c>
      <c r="D738" s="142"/>
      <c r="E738" s="142">
        <v>5</v>
      </c>
      <c r="F738" s="142"/>
      <c r="G738" s="39">
        <v>5</v>
      </c>
      <c r="H738" s="41">
        <f>SUM(Tabla13267[[#This Row],[PRIMER TRIMESTRE]:[CUARTO TRIMESTRE]])</f>
        <v>10</v>
      </c>
      <c r="I738" s="17">
        <v>5100</v>
      </c>
      <c r="J738" s="17">
        <f t="shared" si="15"/>
        <v>51000</v>
      </c>
      <c r="K738" s="31"/>
      <c r="L738" s="16" t="s">
        <v>27</v>
      </c>
      <c r="M738" s="30" t="s">
        <v>22</v>
      </c>
      <c r="N738" s="45" t="s">
        <v>418</v>
      </c>
      <c r="O738" s="20"/>
    </row>
    <row r="739" spans="1:15" s="12" customFormat="1">
      <c r="A739" s="32" t="s">
        <v>120</v>
      </c>
      <c r="B739" s="78" t="s">
        <v>511</v>
      </c>
      <c r="C739" s="45" t="s">
        <v>417</v>
      </c>
      <c r="D739" s="142"/>
      <c r="E739" s="142">
        <v>5</v>
      </c>
      <c r="F739" s="142"/>
      <c r="G739" s="39">
        <v>5</v>
      </c>
      <c r="H739" s="41">
        <f>SUM(Tabla13267[[#This Row],[PRIMER TRIMESTRE]:[CUARTO TRIMESTRE]])</f>
        <v>10</v>
      </c>
      <c r="I739" s="17">
        <v>5100</v>
      </c>
      <c r="J739" s="17">
        <f t="shared" si="15"/>
        <v>51000</v>
      </c>
      <c r="K739" s="31"/>
      <c r="L739" s="16" t="s">
        <v>27</v>
      </c>
      <c r="M739" s="30" t="s">
        <v>22</v>
      </c>
      <c r="N739" s="45" t="s">
        <v>418</v>
      </c>
      <c r="O739" s="20"/>
    </row>
    <row r="740" spans="1:15" s="12" customFormat="1">
      <c r="A740" s="32" t="s">
        <v>120</v>
      </c>
      <c r="B740" s="78" t="s">
        <v>512</v>
      </c>
      <c r="C740" s="45" t="s">
        <v>417</v>
      </c>
      <c r="D740" s="142"/>
      <c r="E740" s="142">
        <v>5</v>
      </c>
      <c r="F740" s="142"/>
      <c r="G740" s="39">
        <v>5</v>
      </c>
      <c r="H740" s="41">
        <f>SUM(Tabla13267[[#This Row],[PRIMER TRIMESTRE]:[CUARTO TRIMESTRE]])</f>
        <v>10</v>
      </c>
      <c r="I740" s="17">
        <v>2000</v>
      </c>
      <c r="J740" s="17">
        <f t="shared" si="15"/>
        <v>20000</v>
      </c>
      <c r="K740" s="31"/>
      <c r="L740" s="16" t="s">
        <v>27</v>
      </c>
      <c r="M740" s="30" t="s">
        <v>22</v>
      </c>
      <c r="N740" s="45" t="s">
        <v>418</v>
      </c>
      <c r="O740" s="20"/>
    </row>
    <row r="741" spans="1:15" s="12" customFormat="1">
      <c r="A741" s="32" t="s">
        <v>120</v>
      </c>
      <c r="B741" s="78" t="s">
        <v>513</v>
      </c>
      <c r="C741" s="45" t="s">
        <v>417</v>
      </c>
      <c r="D741" s="142"/>
      <c r="E741" s="142">
        <v>5</v>
      </c>
      <c r="F741" s="142"/>
      <c r="G741" s="39">
        <v>5</v>
      </c>
      <c r="H741" s="41">
        <f>SUM(Tabla13267[[#This Row],[PRIMER TRIMESTRE]:[CUARTO TRIMESTRE]])</f>
        <v>10</v>
      </c>
      <c r="I741" s="17">
        <v>2500</v>
      </c>
      <c r="J741" s="17">
        <f t="shared" si="15"/>
        <v>25000</v>
      </c>
      <c r="K741" s="31"/>
      <c r="L741" s="16" t="s">
        <v>27</v>
      </c>
      <c r="M741" s="30" t="s">
        <v>22</v>
      </c>
      <c r="N741" s="45" t="s">
        <v>418</v>
      </c>
      <c r="O741" s="20"/>
    </row>
    <row r="742" spans="1:15" s="12" customFormat="1">
      <c r="A742" s="32" t="s">
        <v>120</v>
      </c>
      <c r="B742" s="78" t="s">
        <v>514</v>
      </c>
      <c r="C742" s="45" t="s">
        <v>417</v>
      </c>
      <c r="D742" s="142"/>
      <c r="E742" s="142">
        <v>5</v>
      </c>
      <c r="F742" s="142"/>
      <c r="G742" s="39">
        <v>5</v>
      </c>
      <c r="H742" s="41">
        <f>SUM(Tabla13267[[#This Row],[PRIMER TRIMESTRE]:[CUARTO TRIMESTRE]])</f>
        <v>10</v>
      </c>
      <c r="I742" s="17">
        <v>2500</v>
      </c>
      <c r="J742" s="17">
        <f t="shared" si="15"/>
        <v>25000</v>
      </c>
      <c r="K742" s="31"/>
      <c r="L742" s="16" t="s">
        <v>27</v>
      </c>
      <c r="M742" s="30" t="s">
        <v>22</v>
      </c>
      <c r="N742" s="45" t="s">
        <v>418</v>
      </c>
      <c r="O742" s="20"/>
    </row>
    <row r="743" spans="1:15" s="12" customFormat="1">
      <c r="A743" s="32" t="s">
        <v>120</v>
      </c>
      <c r="B743" s="78" t="s">
        <v>515</v>
      </c>
      <c r="C743" s="45" t="s">
        <v>417</v>
      </c>
      <c r="D743" s="142"/>
      <c r="E743" s="142">
        <v>5</v>
      </c>
      <c r="F743" s="142"/>
      <c r="G743" s="39">
        <v>5</v>
      </c>
      <c r="H743" s="41">
        <f>SUM(Tabla13267[[#This Row],[PRIMER TRIMESTRE]:[CUARTO TRIMESTRE]])</f>
        <v>10</v>
      </c>
      <c r="I743" s="17">
        <v>2500</v>
      </c>
      <c r="J743" s="17">
        <f t="shared" si="15"/>
        <v>25000</v>
      </c>
      <c r="K743" s="31"/>
      <c r="L743" s="16" t="s">
        <v>27</v>
      </c>
      <c r="M743" s="30" t="s">
        <v>22</v>
      </c>
      <c r="N743" s="45" t="s">
        <v>418</v>
      </c>
      <c r="O743" s="20"/>
    </row>
    <row r="744" spans="1:15" s="12" customFormat="1">
      <c r="A744" s="32" t="s">
        <v>120</v>
      </c>
      <c r="B744" s="78" t="s">
        <v>516</v>
      </c>
      <c r="C744" s="45" t="s">
        <v>417</v>
      </c>
      <c r="D744" s="142"/>
      <c r="E744" s="142">
        <v>5</v>
      </c>
      <c r="F744" s="142"/>
      <c r="G744" s="39">
        <v>5</v>
      </c>
      <c r="H744" s="41">
        <f>SUM(Tabla13267[[#This Row],[PRIMER TRIMESTRE]:[CUARTO TRIMESTRE]])</f>
        <v>10</v>
      </c>
      <c r="I744" s="17">
        <v>2500</v>
      </c>
      <c r="J744" s="17">
        <f t="shared" si="15"/>
        <v>25000</v>
      </c>
      <c r="K744" s="31"/>
      <c r="L744" s="16" t="s">
        <v>27</v>
      </c>
      <c r="M744" s="30" t="s">
        <v>22</v>
      </c>
      <c r="N744" s="45" t="s">
        <v>418</v>
      </c>
      <c r="O744" s="20"/>
    </row>
    <row r="745" spans="1:15" s="12" customFormat="1">
      <c r="A745" s="32" t="s">
        <v>120</v>
      </c>
      <c r="B745" s="78" t="s">
        <v>517</v>
      </c>
      <c r="C745" s="45" t="s">
        <v>417</v>
      </c>
      <c r="D745" s="142"/>
      <c r="E745" s="142">
        <v>5</v>
      </c>
      <c r="F745" s="142"/>
      <c r="G745" s="39">
        <v>5</v>
      </c>
      <c r="H745" s="41">
        <f>SUM(Tabla13267[[#This Row],[PRIMER TRIMESTRE]:[CUARTO TRIMESTRE]])</f>
        <v>10</v>
      </c>
      <c r="I745" s="17">
        <v>4100</v>
      </c>
      <c r="J745" s="17">
        <f t="shared" si="15"/>
        <v>41000</v>
      </c>
      <c r="K745" s="31"/>
      <c r="L745" s="16" t="s">
        <v>27</v>
      </c>
      <c r="M745" s="30" t="s">
        <v>22</v>
      </c>
      <c r="N745" s="45" t="s">
        <v>418</v>
      </c>
      <c r="O745" s="20"/>
    </row>
    <row r="746" spans="1:15" s="12" customFormat="1">
      <c r="A746" s="32" t="s">
        <v>120</v>
      </c>
      <c r="B746" s="78" t="s">
        <v>518</v>
      </c>
      <c r="C746" s="45" t="s">
        <v>417</v>
      </c>
      <c r="D746" s="142"/>
      <c r="E746" s="142">
        <v>5</v>
      </c>
      <c r="F746" s="142"/>
      <c r="G746" s="39">
        <v>5</v>
      </c>
      <c r="H746" s="41">
        <f>SUM(Tabla13267[[#This Row],[PRIMER TRIMESTRE]:[CUARTO TRIMESTRE]])</f>
        <v>10</v>
      </c>
      <c r="I746" s="17">
        <v>3800</v>
      </c>
      <c r="J746" s="17">
        <f t="shared" si="15"/>
        <v>38000</v>
      </c>
      <c r="K746" s="31"/>
      <c r="L746" s="16" t="s">
        <v>27</v>
      </c>
      <c r="M746" s="30" t="s">
        <v>22</v>
      </c>
      <c r="N746" s="45" t="s">
        <v>418</v>
      </c>
      <c r="O746" s="20"/>
    </row>
    <row r="747" spans="1:15" s="12" customFormat="1">
      <c r="A747" s="32" t="s">
        <v>120</v>
      </c>
      <c r="B747" s="78" t="s">
        <v>519</v>
      </c>
      <c r="C747" s="45" t="s">
        <v>417</v>
      </c>
      <c r="D747" s="142"/>
      <c r="E747" s="142">
        <v>5</v>
      </c>
      <c r="F747" s="142"/>
      <c r="G747" s="39">
        <v>5</v>
      </c>
      <c r="H747" s="41">
        <f>SUM(Tabla13267[[#This Row],[PRIMER TRIMESTRE]:[CUARTO TRIMESTRE]])</f>
        <v>10</v>
      </c>
      <c r="I747" s="17">
        <v>5400</v>
      </c>
      <c r="J747" s="17">
        <f t="shared" si="15"/>
        <v>54000</v>
      </c>
      <c r="K747" s="31"/>
      <c r="L747" s="16" t="s">
        <v>27</v>
      </c>
      <c r="M747" s="30" t="s">
        <v>22</v>
      </c>
      <c r="N747" s="45" t="s">
        <v>418</v>
      </c>
      <c r="O747" s="20"/>
    </row>
    <row r="748" spans="1:15" s="12" customFormat="1">
      <c r="A748" s="32" t="s">
        <v>120</v>
      </c>
      <c r="B748" s="78" t="s">
        <v>520</v>
      </c>
      <c r="C748" s="45" t="s">
        <v>417</v>
      </c>
      <c r="D748" s="142"/>
      <c r="E748" s="142">
        <v>5</v>
      </c>
      <c r="F748" s="142"/>
      <c r="G748" s="39">
        <v>5</v>
      </c>
      <c r="H748" s="41">
        <f>SUM(Tabla13267[[#This Row],[PRIMER TRIMESTRE]:[CUARTO TRIMESTRE]])</f>
        <v>10</v>
      </c>
      <c r="I748" s="17">
        <v>5400</v>
      </c>
      <c r="J748" s="17">
        <f t="shared" si="15"/>
        <v>54000</v>
      </c>
      <c r="K748" s="31"/>
      <c r="L748" s="16" t="s">
        <v>27</v>
      </c>
      <c r="M748" s="30" t="s">
        <v>22</v>
      </c>
      <c r="N748" s="45" t="s">
        <v>418</v>
      </c>
      <c r="O748" s="20"/>
    </row>
    <row r="749" spans="1:15" s="12" customFormat="1">
      <c r="A749" s="32" t="s">
        <v>120</v>
      </c>
      <c r="B749" s="78" t="s">
        <v>521</v>
      </c>
      <c r="C749" s="45" t="s">
        <v>417</v>
      </c>
      <c r="D749" s="142"/>
      <c r="E749" s="142">
        <v>5</v>
      </c>
      <c r="F749" s="142"/>
      <c r="G749" s="39">
        <v>5</v>
      </c>
      <c r="H749" s="41">
        <f>SUM(Tabla13267[[#This Row],[PRIMER TRIMESTRE]:[CUARTO TRIMESTRE]])</f>
        <v>10</v>
      </c>
      <c r="I749" s="17">
        <v>5400</v>
      </c>
      <c r="J749" s="17">
        <f t="shared" si="15"/>
        <v>54000</v>
      </c>
      <c r="K749" s="31"/>
      <c r="L749" s="16" t="s">
        <v>27</v>
      </c>
      <c r="M749" s="30" t="s">
        <v>22</v>
      </c>
      <c r="N749" s="45" t="s">
        <v>418</v>
      </c>
      <c r="O749" s="20"/>
    </row>
    <row r="750" spans="1:15" s="12" customFormat="1">
      <c r="A750" s="32" t="s">
        <v>120</v>
      </c>
      <c r="B750" s="78" t="s">
        <v>522</v>
      </c>
      <c r="C750" s="45" t="s">
        <v>417</v>
      </c>
      <c r="D750" s="142"/>
      <c r="E750" s="142">
        <v>15</v>
      </c>
      <c r="F750" s="142"/>
      <c r="G750" s="39">
        <v>15</v>
      </c>
      <c r="H750" s="41">
        <f>SUM(Tabla13267[[#This Row],[PRIMER TRIMESTRE]:[CUARTO TRIMESTRE]])</f>
        <v>30</v>
      </c>
      <c r="I750" s="17">
        <v>3100</v>
      </c>
      <c r="J750" s="17">
        <f t="shared" si="15"/>
        <v>93000</v>
      </c>
      <c r="K750" s="31"/>
      <c r="L750" s="16" t="s">
        <v>27</v>
      </c>
      <c r="M750" s="30" t="s">
        <v>22</v>
      </c>
      <c r="N750" s="45" t="s">
        <v>418</v>
      </c>
      <c r="O750" s="20"/>
    </row>
    <row r="751" spans="1:15" s="12" customFormat="1">
      <c r="A751" s="32" t="s">
        <v>120</v>
      </c>
      <c r="B751" s="78" t="s">
        <v>523</v>
      </c>
      <c r="C751" s="45" t="s">
        <v>417</v>
      </c>
      <c r="D751" s="142"/>
      <c r="E751" s="142">
        <v>2</v>
      </c>
      <c r="F751" s="142"/>
      <c r="G751" s="39"/>
      <c r="H751" s="41">
        <f>SUM(Tabla13267[[#This Row],[PRIMER TRIMESTRE]:[CUARTO TRIMESTRE]])</f>
        <v>2</v>
      </c>
      <c r="I751" s="17">
        <v>5100</v>
      </c>
      <c r="J751" s="17">
        <f t="shared" si="15"/>
        <v>10200</v>
      </c>
      <c r="K751" s="31"/>
      <c r="L751" s="16" t="s">
        <v>27</v>
      </c>
      <c r="M751" s="30" t="s">
        <v>22</v>
      </c>
      <c r="N751" s="45" t="s">
        <v>418</v>
      </c>
      <c r="O751" s="20"/>
    </row>
    <row r="752" spans="1:15" s="12" customFormat="1">
      <c r="A752" s="32" t="s">
        <v>120</v>
      </c>
      <c r="B752" s="78" t="s">
        <v>524</v>
      </c>
      <c r="C752" s="45" t="s">
        <v>417</v>
      </c>
      <c r="D752" s="142"/>
      <c r="E752" s="142">
        <v>5</v>
      </c>
      <c r="F752" s="142"/>
      <c r="G752" s="39">
        <v>5</v>
      </c>
      <c r="H752" s="41">
        <f>SUM(Tabla13267[[#This Row],[PRIMER TRIMESTRE]:[CUARTO TRIMESTRE]])</f>
        <v>10</v>
      </c>
      <c r="I752" s="17">
        <v>3000</v>
      </c>
      <c r="J752" s="17">
        <f t="shared" si="15"/>
        <v>30000</v>
      </c>
      <c r="K752" s="31"/>
      <c r="L752" s="16" t="s">
        <v>27</v>
      </c>
      <c r="M752" s="30" t="s">
        <v>22</v>
      </c>
      <c r="N752" s="45" t="s">
        <v>418</v>
      </c>
      <c r="O752" s="20"/>
    </row>
    <row r="753" spans="1:15" s="12" customFormat="1">
      <c r="A753" s="32" t="s">
        <v>120</v>
      </c>
      <c r="B753" s="78" t="s">
        <v>525</v>
      </c>
      <c r="C753" s="45" t="s">
        <v>417</v>
      </c>
      <c r="D753" s="142"/>
      <c r="E753" s="142">
        <v>5</v>
      </c>
      <c r="F753" s="142"/>
      <c r="G753" s="39">
        <v>5</v>
      </c>
      <c r="H753" s="41">
        <f>SUM(Tabla13267[[#This Row],[PRIMER TRIMESTRE]:[CUARTO TRIMESTRE]])</f>
        <v>10</v>
      </c>
      <c r="I753" s="17">
        <v>3800</v>
      </c>
      <c r="J753" s="17">
        <f t="shared" si="15"/>
        <v>38000</v>
      </c>
      <c r="K753" s="31"/>
      <c r="L753" s="16" t="s">
        <v>27</v>
      </c>
      <c r="M753" s="30" t="s">
        <v>22</v>
      </c>
      <c r="N753" s="45" t="s">
        <v>418</v>
      </c>
      <c r="O753" s="20"/>
    </row>
    <row r="754" spans="1:15" s="12" customFormat="1">
      <c r="A754" s="32" t="s">
        <v>120</v>
      </c>
      <c r="B754" s="78" t="s">
        <v>526</v>
      </c>
      <c r="C754" s="45" t="s">
        <v>417</v>
      </c>
      <c r="D754" s="142"/>
      <c r="E754" s="142">
        <v>5</v>
      </c>
      <c r="F754" s="142"/>
      <c r="G754" s="39">
        <v>5</v>
      </c>
      <c r="H754" s="41">
        <f>SUM(Tabla13267[[#This Row],[PRIMER TRIMESTRE]:[CUARTO TRIMESTRE]])</f>
        <v>10</v>
      </c>
      <c r="I754" s="17">
        <v>3800</v>
      </c>
      <c r="J754" s="17">
        <f t="shared" si="15"/>
        <v>38000</v>
      </c>
      <c r="K754" s="31"/>
      <c r="L754" s="16" t="s">
        <v>27</v>
      </c>
      <c r="M754" s="30" t="s">
        <v>22</v>
      </c>
      <c r="N754" s="45" t="s">
        <v>418</v>
      </c>
      <c r="O754" s="20"/>
    </row>
    <row r="755" spans="1:15" s="12" customFormat="1">
      <c r="A755" s="32" t="s">
        <v>120</v>
      </c>
      <c r="B755" s="78" t="s">
        <v>527</v>
      </c>
      <c r="C755" s="45" t="s">
        <v>417</v>
      </c>
      <c r="D755" s="142"/>
      <c r="E755" s="142">
        <v>5</v>
      </c>
      <c r="F755" s="142"/>
      <c r="G755" s="39">
        <v>5</v>
      </c>
      <c r="H755" s="41">
        <f>SUM(Tabla13267[[#This Row],[PRIMER TRIMESTRE]:[CUARTO TRIMESTRE]])</f>
        <v>10</v>
      </c>
      <c r="I755" s="17">
        <v>3800</v>
      </c>
      <c r="J755" s="17">
        <f t="shared" si="15"/>
        <v>38000</v>
      </c>
      <c r="K755" s="31"/>
      <c r="L755" s="16" t="s">
        <v>27</v>
      </c>
      <c r="M755" s="30" t="s">
        <v>22</v>
      </c>
      <c r="N755" s="45" t="s">
        <v>418</v>
      </c>
      <c r="O755" s="20"/>
    </row>
    <row r="756" spans="1:15" s="12" customFormat="1">
      <c r="A756" s="32" t="s">
        <v>120</v>
      </c>
      <c r="B756" s="78" t="s">
        <v>528</v>
      </c>
      <c r="C756" s="45" t="s">
        <v>417</v>
      </c>
      <c r="D756" s="142"/>
      <c r="E756" s="142">
        <v>5</v>
      </c>
      <c r="F756" s="142"/>
      <c r="G756" s="39">
        <v>5</v>
      </c>
      <c r="H756" s="41">
        <f>SUM(Tabla13267[[#This Row],[PRIMER TRIMESTRE]:[CUARTO TRIMESTRE]])</f>
        <v>10</v>
      </c>
      <c r="I756" s="17">
        <v>6400</v>
      </c>
      <c r="J756" s="17">
        <f t="shared" si="15"/>
        <v>64000</v>
      </c>
      <c r="K756" s="31"/>
      <c r="L756" s="16" t="s">
        <v>27</v>
      </c>
      <c r="M756" s="30" t="s">
        <v>22</v>
      </c>
      <c r="N756" s="45" t="s">
        <v>418</v>
      </c>
      <c r="O756" s="20"/>
    </row>
    <row r="757" spans="1:15" s="12" customFormat="1" ht="27.75" customHeight="1">
      <c r="A757" s="32" t="s">
        <v>120</v>
      </c>
      <c r="B757" s="79" t="s">
        <v>529</v>
      </c>
      <c r="C757" s="45" t="s">
        <v>417</v>
      </c>
      <c r="D757" s="142"/>
      <c r="E757" s="143">
        <v>25</v>
      </c>
      <c r="F757" s="143"/>
      <c r="G757" s="70">
        <v>25</v>
      </c>
      <c r="H757" s="71">
        <f>SUM(Tabla13267[[#This Row],[PRIMER TRIMESTRE]:[CUARTO TRIMESTRE]])</f>
        <v>50</v>
      </c>
      <c r="I757" s="17">
        <f>9750*1.18</f>
        <v>11505</v>
      </c>
      <c r="J757" s="17">
        <f t="shared" si="15"/>
        <v>575250</v>
      </c>
      <c r="K757" s="31"/>
      <c r="L757" s="16" t="s">
        <v>27</v>
      </c>
      <c r="M757" s="30" t="s">
        <v>22</v>
      </c>
      <c r="N757" s="45" t="s">
        <v>418</v>
      </c>
      <c r="O757" s="20"/>
    </row>
    <row r="758" spans="1:15" s="12" customFormat="1" ht="27.75" customHeight="1">
      <c r="A758" s="32" t="s">
        <v>120</v>
      </c>
      <c r="B758" s="79" t="s">
        <v>530</v>
      </c>
      <c r="C758" s="45" t="s">
        <v>417</v>
      </c>
      <c r="D758" s="142"/>
      <c r="E758" s="143">
        <v>25</v>
      </c>
      <c r="F758" s="143"/>
      <c r="G758" s="70">
        <v>25</v>
      </c>
      <c r="H758" s="41">
        <f>SUM(Tabla13267[[#This Row],[PRIMER TRIMESTRE]:[CUARTO TRIMESTRE]])</f>
        <v>50</v>
      </c>
      <c r="I758" s="17">
        <v>11505</v>
      </c>
      <c r="J758" s="17">
        <f t="shared" si="15"/>
        <v>575250</v>
      </c>
      <c r="K758" s="31"/>
      <c r="L758" s="16" t="s">
        <v>27</v>
      </c>
      <c r="M758" s="30" t="s">
        <v>22</v>
      </c>
      <c r="N758" s="45" t="s">
        <v>418</v>
      </c>
      <c r="O758" s="20"/>
    </row>
    <row r="759" spans="1:15" s="12" customFormat="1" ht="27.75" customHeight="1">
      <c r="A759" s="32" t="s">
        <v>120</v>
      </c>
      <c r="B759" s="79" t="s">
        <v>531</v>
      </c>
      <c r="C759" s="45" t="s">
        <v>417</v>
      </c>
      <c r="D759" s="142"/>
      <c r="E759" s="143">
        <v>25</v>
      </c>
      <c r="F759" s="143"/>
      <c r="G759" s="70">
        <v>25</v>
      </c>
      <c r="H759" s="41">
        <f>SUM(Tabla13267[[#This Row],[PRIMER TRIMESTRE]:[CUARTO TRIMESTRE]])</f>
        <v>50</v>
      </c>
      <c r="I759" s="17">
        <v>11505</v>
      </c>
      <c r="J759" s="17">
        <f t="shared" si="15"/>
        <v>575250</v>
      </c>
      <c r="K759" s="31"/>
      <c r="L759" s="16" t="s">
        <v>27</v>
      </c>
      <c r="M759" s="30" t="s">
        <v>22</v>
      </c>
      <c r="N759" s="45" t="s">
        <v>418</v>
      </c>
      <c r="O759" s="20"/>
    </row>
    <row r="760" spans="1:15" s="12" customFormat="1" ht="27.75" customHeight="1">
      <c r="A760" s="32" t="s">
        <v>120</v>
      </c>
      <c r="B760" s="79" t="s">
        <v>532</v>
      </c>
      <c r="C760" s="45" t="s">
        <v>417</v>
      </c>
      <c r="D760" s="142"/>
      <c r="E760" s="143">
        <v>40</v>
      </c>
      <c r="F760" s="143"/>
      <c r="G760" s="70">
        <v>40</v>
      </c>
      <c r="H760" s="41">
        <f>SUM(Tabla13267[[#This Row],[PRIMER TRIMESTRE]:[CUARTO TRIMESTRE]])</f>
        <v>80</v>
      </c>
      <c r="I760" s="17">
        <v>11505</v>
      </c>
      <c r="J760" s="17">
        <f t="shared" si="15"/>
        <v>920400</v>
      </c>
      <c r="K760" s="31"/>
      <c r="L760" s="16" t="s">
        <v>27</v>
      </c>
      <c r="M760" s="30" t="s">
        <v>22</v>
      </c>
      <c r="N760" s="45" t="s">
        <v>418</v>
      </c>
      <c r="O760" s="20"/>
    </row>
    <row r="761" spans="1:15" s="12" customFormat="1">
      <c r="A761" s="15" t="s">
        <v>120</v>
      </c>
      <c r="B761" s="80" t="s">
        <v>790</v>
      </c>
      <c r="C761" s="45" t="s">
        <v>417</v>
      </c>
      <c r="D761" s="142"/>
      <c r="E761" s="143">
        <v>4</v>
      </c>
      <c r="F761" s="143"/>
      <c r="G761" s="70">
        <v>3</v>
      </c>
      <c r="H761" s="41">
        <f>SUM(Tabla13267[[#This Row],[PRIMER TRIMESTRE]:[CUARTO TRIMESTRE]])</f>
        <v>7</v>
      </c>
      <c r="I761" s="72">
        <v>3760.11</v>
      </c>
      <c r="J761" s="17">
        <f t="shared" si="15"/>
        <v>26320.77</v>
      </c>
      <c r="K761" s="17"/>
      <c r="L761" s="16" t="s">
        <v>27</v>
      </c>
      <c r="M761" s="16" t="s">
        <v>22</v>
      </c>
      <c r="N761" s="45" t="s">
        <v>418</v>
      </c>
      <c r="O761" s="18"/>
    </row>
    <row r="762" spans="1:15" s="12" customFormat="1">
      <c r="A762" s="15" t="s">
        <v>120</v>
      </c>
      <c r="B762" s="80" t="s">
        <v>791</v>
      </c>
      <c r="C762" s="45" t="s">
        <v>417</v>
      </c>
      <c r="D762" s="142"/>
      <c r="E762" s="143">
        <v>5</v>
      </c>
      <c r="F762" s="143"/>
      <c r="G762" s="70">
        <v>5</v>
      </c>
      <c r="H762" s="41">
        <f>SUM(Tabla13267[[#This Row],[PRIMER TRIMESTRE]:[CUARTO TRIMESTRE]])</f>
        <v>10</v>
      </c>
      <c r="I762" s="72">
        <v>3914.09</v>
      </c>
      <c r="J762" s="17">
        <f t="shared" si="15"/>
        <v>39140.9</v>
      </c>
      <c r="K762" s="17"/>
      <c r="L762" s="16" t="s">
        <v>27</v>
      </c>
      <c r="M762" s="16" t="s">
        <v>22</v>
      </c>
      <c r="N762" s="45" t="s">
        <v>418</v>
      </c>
      <c r="O762" s="18"/>
    </row>
    <row r="763" spans="1:15" s="12" customFormat="1">
      <c r="A763" s="15" t="s">
        <v>120</v>
      </c>
      <c r="B763" s="80" t="s">
        <v>792</v>
      </c>
      <c r="C763" s="45" t="s">
        <v>417</v>
      </c>
      <c r="D763" s="142"/>
      <c r="E763" s="143">
        <v>5</v>
      </c>
      <c r="F763" s="143"/>
      <c r="G763" s="70">
        <v>5</v>
      </c>
      <c r="H763" s="41">
        <f>SUM(Tabla13267[[#This Row],[PRIMER TRIMESTRE]:[CUARTO TRIMESTRE]])</f>
        <v>10</v>
      </c>
      <c r="I763" s="72">
        <v>4257.1899999999996</v>
      </c>
      <c r="J763" s="17">
        <f t="shared" si="15"/>
        <v>42571.899999999994</v>
      </c>
      <c r="K763" s="17"/>
      <c r="L763" s="16" t="s">
        <v>27</v>
      </c>
      <c r="M763" s="16" t="s">
        <v>22</v>
      </c>
      <c r="N763" s="45" t="s">
        <v>418</v>
      </c>
      <c r="O763" s="18"/>
    </row>
    <row r="764" spans="1:15" s="12" customFormat="1">
      <c r="A764" s="15" t="s">
        <v>120</v>
      </c>
      <c r="B764" s="80" t="s">
        <v>793</v>
      </c>
      <c r="C764" s="45" t="s">
        <v>417</v>
      </c>
      <c r="D764" s="142"/>
      <c r="E764" s="143">
        <v>5</v>
      </c>
      <c r="F764" s="143"/>
      <c r="G764" s="70">
        <v>5</v>
      </c>
      <c r="H764" s="41">
        <f>SUM(Tabla13267[[#This Row],[PRIMER TRIMESTRE]:[CUARTO TRIMESTRE]])</f>
        <v>10</v>
      </c>
      <c r="I764" s="72">
        <v>4257.1899999999996</v>
      </c>
      <c r="J764" s="17">
        <f t="shared" si="15"/>
        <v>42571.899999999994</v>
      </c>
      <c r="K764" s="17"/>
      <c r="L764" s="16" t="s">
        <v>27</v>
      </c>
      <c r="M764" s="16" t="s">
        <v>22</v>
      </c>
      <c r="N764" s="45" t="s">
        <v>418</v>
      </c>
      <c r="O764" s="18"/>
    </row>
    <row r="765" spans="1:15" s="12" customFormat="1">
      <c r="A765" s="15" t="s">
        <v>120</v>
      </c>
      <c r="B765" s="80" t="s">
        <v>794</v>
      </c>
      <c r="C765" s="45" t="s">
        <v>417</v>
      </c>
      <c r="D765" s="142"/>
      <c r="E765" s="143">
        <v>5</v>
      </c>
      <c r="F765" s="143"/>
      <c r="G765" s="70">
        <v>5</v>
      </c>
      <c r="H765" s="41">
        <f>SUM(Tabla13267[[#This Row],[PRIMER TRIMESTRE]:[CUARTO TRIMESTRE]])</f>
        <v>10</v>
      </c>
      <c r="I765" s="72">
        <v>4257.8999999999996</v>
      </c>
      <c r="J765" s="17">
        <f t="shared" si="15"/>
        <v>42579</v>
      </c>
      <c r="K765" s="17"/>
      <c r="L765" s="16" t="s">
        <v>27</v>
      </c>
      <c r="M765" s="16" t="s">
        <v>22</v>
      </c>
      <c r="N765" s="45" t="s">
        <v>418</v>
      </c>
      <c r="O765" s="18"/>
    </row>
    <row r="766" spans="1:15" s="12" customFormat="1">
      <c r="A766" s="15" t="s">
        <v>120</v>
      </c>
      <c r="B766" s="80" t="s">
        <v>795</v>
      </c>
      <c r="C766" s="45" t="s">
        <v>417</v>
      </c>
      <c r="D766" s="142"/>
      <c r="E766" s="143">
        <v>10</v>
      </c>
      <c r="F766" s="143"/>
      <c r="G766" s="70">
        <v>10</v>
      </c>
      <c r="H766" s="41">
        <f>SUM(Tabla13267[[#This Row],[PRIMER TRIMESTRE]:[CUARTO TRIMESTRE]])</f>
        <v>20</v>
      </c>
      <c r="I766" s="72">
        <v>4238.76</v>
      </c>
      <c r="J766" s="17">
        <f>+H766*I766</f>
        <v>84775.200000000012</v>
      </c>
      <c r="K766" s="17"/>
      <c r="L766" s="16" t="s">
        <v>27</v>
      </c>
      <c r="M766" s="16" t="s">
        <v>22</v>
      </c>
      <c r="N766" s="45" t="s">
        <v>418</v>
      </c>
      <c r="O766" s="18"/>
    </row>
    <row r="767" spans="1:15" s="12" customFormat="1">
      <c r="A767" s="15" t="s">
        <v>120</v>
      </c>
      <c r="B767" s="80" t="s">
        <v>796</v>
      </c>
      <c r="C767" s="45" t="s">
        <v>417</v>
      </c>
      <c r="D767" s="142"/>
      <c r="E767" s="143">
        <v>10</v>
      </c>
      <c r="F767" s="143"/>
      <c r="G767" s="70">
        <v>10</v>
      </c>
      <c r="H767" s="41">
        <f>SUM(Tabla13267[[#This Row],[PRIMER TRIMESTRE]:[CUARTO TRIMESTRE]])</f>
        <v>20</v>
      </c>
      <c r="I767" s="72">
        <v>3199.82</v>
      </c>
      <c r="J767" s="17">
        <f>+H767*I767</f>
        <v>63996.4</v>
      </c>
      <c r="K767" s="17"/>
      <c r="L767" s="16" t="s">
        <v>27</v>
      </c>
      <c r="M767" s="16" t="s">
        <v>22</v>
      </c>
      <c r="N767" s="45" t="s">
        <v>418</v>
      </c>
      <c r="O767" s="18"/>
    </row>
    <row r="768" spans="1:15" s="12" customFormat="1">
      <c r="A768" s="15" t="s">
        <v>120</v>
      </c>
      <c r="B768" s="80" t="s">
        <v>797</v>
      </c>
      <c r="C768" s="45" t="s">
        <v>417</v>
      </c>
      <c r="D768" s="142"/>
      <c r="E768" s="143">
        <v>10</v>
      </c>
      <c r="F768" s="143"/>
      <c r="G768" s="70">
        <v>5</v>
      </c>
      <c r="H768" s="41">
        <f>SUM(Tabla13267[[#This Row],[PRIMER TRIMESTRE]:[CUARTO TRIMESTRE]])</f>
        <v>15</v>
      </c>
      <c r="I768" s="72">
        <v>3679.8</v>
      </c>
      <c r="J768" s="17">
        <f>+H768*I768</f>
        <v>55197</v>
      </c>
      <c r="K768" s="17"/>
      <c r="L768" s="16" t="s">
        <v>27</v>
      </c>
      <c r="M768" s="16" t="s">
        <v>22</v>
      </c>
      <c r="N768" s="45" t="s">
        <v>418</v>
      </c>
      <c r="O768" s="18"/>
    </row>
    <row r="769" spans="1:21" s="12" customFormat="1">
      <c r="A769" s="15" t="s">
        <v>120</v>
      </c>
      <c r="B769" s="80" t="s">
        <v>798</v>
      </c>
      <c r="C769" s="45" t="s">
        <v>417</v>
      </c>
      <c r="D769" s="142"/>
      <c r="E769" s="143">
        <v>2</v>
      </c>
      <c r="F769" s="143"/>
      <c r="G769" s="70">
        <v>3</v>
      </c>
      <c r="H769" s="41">
        <f>SUM(Tabla13267[[#This Row],[PRIMER TRIMESTRE]:[CUARTO TRIMESTRE]])</f>
        <v>5</v>
      </c>
      <c r="I769" s="72">
        <v>3304</v>
      </c>
      <c r="J769" s="17">
        <f>+H769*I769</f>
        <v>16520</v>
      </c>
      <c r="K769" s="17"/>
      <c r="L769" s="16" t="s">
        <v>27</v>
      </c>
      <c r="M769" s="16" t="s">
        <v>22</v>
      </c>
      <c r="N769" s="45" t="s">
        <v>418</v>
      </c>
      <c r="O769" s="18"/>
    </row>
    <row r="770" spans="1:21" s="26" customFormat="1" ht="27.75" customHeight="1">
      <c r="A770" s="22" t="s">
        <v>120</v>
      </c>
      <c r="B770" s="76"/>
      <c r="C770" s="42"/>
      <c r="D770" s="42"/>
      <c r="E770" s="42"/>
      <c r="F770" s="42"/>
      <c r="G770" s="42"/>
      <c r="H770" s="144"/>
      <c r="I770" s="24"/>
      <c r="J770" s="24"/>
      <c r="K770" s="25">
        <f>SUM(J642:J760)</f>
        <v>7723860.2257793769</v>
      </c>
      <c r="L770" s="23"/>
      <c r="M770" s="23"/>
      <c r="N770" s="42"/>
      <c r="O770" s="24"/>
      <c r="R770" s="27"/>
      <c r="U770" s="23"/>
    </row>
    <row r="771" spans="1:21" s="12" customFormat="1">
      <c r="A771" s="15" t="s">
        <v>295</v>
      </c>
      <c r="B771" s="75" t="s">
        <v>296</v>
      </c>
      <c r="C771" s="39" t="s">
        <v>17</v>
      </c>
      <c r="D771" s="39"/>
      <c r="E771" s="39">
        <v>4</v>
      </c>
      <c r="F771" s="39"/>
      <c r="G771" s="39">
        <v>4</v>
      </c>
      <c r="H771" s="40">
        <f>SUM(Tabla13267[[#This Row],[PRIMER TRIMESTRE]:[CUARTO TRIMESTRE]])</f>
        <v>8</v>
      </c>
      <c r="I771" s="17">
        <v>5300.02</v>
      </c>
      <c r="J771" s="17">
        <f>+Tabla13267[[#This Row],[CANTIDAD TOTAL]]*Tabla13267[[#This Row],[PRECIO UNITARIO ESTIMADO]]</f>
        <v>42400.160000000003</v>
      </c>
      <c r="K771" s="17"/>
      <c r="L771" s="16" t="s">
        <v>15</v>
      </c>
      <c r="M771" s="16" t="s">
        <v>22</v>
      </c>
      <c r="N771" s="39" t="s">
        <v>342</v>
      </c>
      <c r="O771" s="20"/>
    </row>
    <row r="772" spans="1:21" s="12" customFormat="1">
      <c r="A772" s="15" t="s">
        <v>295</v>
      </c>
      <c r="B772" s="75" t="s">
        <v>297</v>
      </c>
      <c r="C772" s="39" t="s">
        <v>17</v>
      </c>
      <c r="D772" s="39"/>
      <c r="E772" s="39">
        <v>4</v>
      </c>
      <c r="F772" s="39"/>
      <c r="G772" s="39">
        <v>4</v>
      </c>
      <c r="H772" s="40">
        <f>SUM(Tabla13267[[#This Row],[PRIMER TRIMESTRE]:[CUARTO TRIMESTRE]])</f>
        <v>8</v>
      </c>
      <c r="I772" s="17">
        <v>11775.77</v>
      </c>
      <c r="J772" s="17">
        <f>+Tabla13267[[#This Row],[CANTIDAD TOTAL]]*Tabla13267[[#This Row],[PRECIO UNITARIO ESTIMADO]]</f>
        <v>94206.16</v>
      </c>
      <c r="K772" s="17"/>
      <c r="L772" s="16" t="s">
        <v>15</v>
      </c>
      <c r="M772" s="16" t="s">
        <v>22</v>
      </c>
      <c r="N772" s="39" t="s">
        <v>342</v>
      </c>
      <c r="O772" s="20"/>
    </row>
    <row r="773" spans="1:21" s="12" customFormat="1">
      <c r="A773" s="15" t="s">
        <v>295</v>
      </c>
      <c r="B773" s="75" t="s">
        <v>298</v>
      </c>
      <c r="C773" s="39" t="s">
        <v>17</v>
      </c>
      <c r="D773" s="39"/>
      <c r="E773" s="39">
        <v>4</v>
      </c>
      <c r="F773" s="39"/>
      <c r="G773" s="39">
        <v>4</v>
      </c>
      <c r="H773" s="40">
        <f>SUM(Tabla13267[[#This Row],[PRIMER TRIMESTRE]:[CUARTO TRIMESTRE]])</f>
        <v>8</v>
      </c>
      <c r="I773" s="17">
        <v>18999.439999999999</v>
      </c>
      <c r="J773" s="17">
        <f>+Tabla13267[[#This Row],[CANTIDAD TOTAL]]*Tabla13267[[#This Row],[PRECIO UNITARIO ESTIMADO]]</f>
        <v>151995.51999999999</v>
      </c>
      <c r="K773" s="17"/>
      <c r="L773" s="16" t="s">
        <v>15</v>
      </c>
      <c r="M773" s="16" t="s">
        <v>22</v>
      </c>
      <c r="N773" s="39" t="s">
        <v>342</v>
      </c>
      <c r="O773" s="20"/>
    </row>
    <row r="774" spans="1:21" s="12" customFormat="1">
      <c r="A774" s="15" t="s">
        <v>295</v>
      </c>
      <c r="B774" s="75" t="s">
        <v>299</v>
      </c>
      <c r="C774" s="39" t="s">
        <v>17</v>
      </c>
      <c r="D774" s="39"/>
      <c r="E774" s="39">
        <v>2</v>
      </c>
      <c r="F774" s="39"/>
      <c r="G774" s="39">
        <v>2</v>
      </c>
      <c r="H774" s="40">
        <f>SUM(Tabla13267[[#This Row],[PRIMER TRIMESTRE]:[CUARTO TRIMESTRE]])</f>
        <v>4</v>
      </c>
      <c r="I774" s="17">
        <v>784</v>
      </c>
      <c r="J774" s="17">
        <f>+Tabla13267[[#This Row],[CANTIDAD TOTAL]]*Tabla13267[[#This Row],[PRECIO UNITARIO ESTIMADO]]</f>
        <v>3136</v>
      </c>
      <c r="K774" s="17"/>
      <c r="L774" s="16" t="s">
        <v>15</v>
      </c>
      <c r="M774" s="16" t="s">
        <v>22</v>
      </c>
      <c r="N774" s="39" t="s">
        <v>342</v>
      </c>
      <c r="O774" s="20"/>
    </row>
    <row r="775" spans="1:21" s="12" customFormat="1">
      <c r="A775" s="15" t="s">
        <v>295</v>
      </c>
      <c r="B775" s="75" t="s">
        <v>300</v>
      </c>
      <c r="C775" s="39" t="s">
        <v>17</v>
      </c>
      <c r="D775" s="39"/>
      <c r="E775" s="39">
        <v>2</v>
      </c>
      <c r="F775" s="39"/>
      <c r="G775" s="39">
        <v>1</v>
      </c>
      <c r="H775" s="40">
        <f>SUM(Tabla13267[[#This Row],[PRIMER TRIMESTRE]:[CUARTO TRIMESTRE]])</f>
        <v>3</v>
      </c>
      <c r="I775" s="17">
        <v>21495</v>
      </c>
      <c r="J775" s="17">
        <f>+Tabla13267[[#This Row],[CANTIDAD TOTAL]]*Tabla13267[[#This Row],[PRECIO UNITARIO ESTIMADO]]</f>
        <v>64485</v>
      </c>
      <c r="K775" s="17"/>
      <c r="L775" s="16" t="s">
        <v>15</v>
      </c>
      <c r="M775" s="16" t="s">
        <v>22</v>
      </c>
      <c r="N775" s="39" t="s">
        <v>342</v>
      </c>
      <c r="O775" s="20"/>
    </row>
    <row r="776" spans="1:21" s="12" customFormat="1">
      <c r="A776" s="15" t="s">
        <v>295</v>
      </c>
      <c r="B776" s="75" t="s">
        <v>441</v>
      </c>
      <c r="C776" s="39" t="s">
        <v>17</v>
      </c>
      <c r="D776" s="39"/>
      <c r="E776" s="39">
        <v>3</v>
      </c>
      <c r="F776" s="39"/>
      <c r="G776" s="39">
        <v>3</v>
      </c>
      <c r="H776" s="40">
        <f>SUM(Tabla13267[[#This Row],[PRIMER TRIMESTRE]:[CUARTO TRIMESTRE]])</f>
        <v>6</v>
      </c>
      <c r="I776" s="17">
        <v>9000</v>
      </c>
      <c r="J776" s="17">
        <f>+H776*I776</f>
        <v>54000</v>
      </c>
      <c r="K776" s="17"/>
      <c r="L776" s="16" t="s">
        <v>15</v>
      </c>
      <c r="M776" s="16" t="s">
        <v>22</v>
      </c>
      <c r="N776" s="39" t="s">
        <v>342</v>
      </c>
      <c r="O776" s="18"/>
    </row>
    <row r="777" spans="1:21" s="12" customFormat="1">
      <c r="A777" s="15" t="s">
        <v>295</v>
      </c>
      <c r="B777" s="75" t="s">
        <v>301</v>
      </c>
      <c r="C777" s="39" t="s">
        <v>17</v>
      </c>
      <c r="D777" s="39"/>
      <c r="E777" s="39">
        <v>4</v>
      </c>
      <c r="F777" s="39"/>
      <c r="G777" s="39">
        <v>4</v>
      </c>
      <c r="H777" s="40">
        <f>SUM(Tabla13267[[#This Row],[PRIMER TRIMESTRE]:[CUARTO TRIMESTRE]])</f>
        <v>8</v>
      </c>
      <c r="I777" s="17">
        <v>8004</v>
      </c>
      <c r="J777" s="17">
        <f>+Tabla13267[[#This Row],[CANTIDAD TOTAL]]*Tabla13267[[#This Row],[PRECIO UNITARIO ESTIMADO]]</f>
        <v>64032</v>
      </c>
      <c r="K777" s="17"/>
      <c r="L777" s="16" t="s">
        <v>15</v>
      </c>
      <c r="M777" s="16" t="s">
        <v>22</v>
      </c>
      <c r="N777" s="39" t="s">
        <v>342</v>
      </c>
      <c r="O777" s="20"/>
    </row>
    <row r="778" spans="1:21" s="12" customFormat="1">
      <c r="A778" s="15" t="s">
        <v>295</v>
      </c>
      <c r="B778" s="75" t="s">
        <v>316</v>
      </c>
      <c r="C778" s="44" t="s">
        <v>17</v>
      </c>
      <c r="D778" s="39"/>
      <c r="E778" s="39">
        <v>2</v>
      </c>
      <c r="F778" s="39"/>
      <c r="G778" s="39">
        <v>2</v>
      </c>
      <c r="H778" s="40">
        <f>SUM(Tabla13267[[#This Row],[PRIMER TRIMESTRE]:[CUARTO TRIMESTRE]])</f>
        <v>4</v>
      </c>
      <c r="I778" s="17">
        <v>8802.7999999999993</v>
      </c>
      <c r="J778" s="17">
        <f>+Tabla13267[[#This Row],[CANTIDAD TOTAL]]*Tabla13267[[#This Row],[PRECIO UNITARIO ESTIMADO]]</f>
        <v>35211.199999999997</v>
      </c>
      <c r="K778" s="17"/>
      <c r="L778" s="16" t="s">
        <v>15</v>
      </c>
      <c r="M778" s="30" t="s">
        <v>22</v>
      </c>
      <c r="N778" s="44" t="s">
        <v>342</v>
      </c>
      <c r="O778" s="20"/>
    </row>
    <row r="779" spans="1:21" s="12" customFormat="1">
      <c r="A779" s="15" t="s">
        <v>295</v>
      </c>
      <c r="B779" s="75" t="s">
        <v>322</v>
      </c>
      <c r="C779" s="39" t="s">
        <v>17</v>
      </c>
      <c r="D779" s="39"/>
      <c r="E779" s="39">
        <v>1</v>
      </c>
      <c r="F779" s="39"/>
      <c r="G779" s="39"/>
      <c r="H779" s="40">
        <f>SUM(Tabla13267[[#This Row],[PRIMER TRIMESTRE]:[CUARTO TRIMESTRE]])</f>
        <v>1</v>
      </c>
      <c r="I779" s="17">
        <v>64546</v>
      </c>
      <c r="J779" s="17">
        <f>+Tabla13267[[#This Row],[CANTIDAD TOTAL]]*Tabla13267[[#This Row],[PRECIO UNITARIO ESTIMADO]]</f>
        <v>64546</v>
      </c>
      <c r="K779" s="17"/>
      <c r="L779" s="16" t="s">
        <v>15</v>
      </c>
      <c r="M779" s="30" t="s">
        <v>22</v>
      </c>
      <c r="N779" s="39" t="s">
        <v>342</v>
      </c>
      <c r="O779" s="20"/>
    </row>
    <row r="780" spans="1:21" s="26" customFormat="1" ht="27.75" customHeight="1">
      <c r="A780" s="22" t="s">
        <v>295</v>
      </c>
      <c r="B780" s="76"/>
      <c r="C780" s="42"/>
      <c r="D780" s="42"/>
      <c r="E780" s="42"/>
      <c r="F780" s="42"/>
      <c r="G780" s="42"/>
      <c r="H780" s="43"/>
      <c r="I780" s="24"/>
      <c r="J780" s="24"/>
      <c r="K780" s="25">
        <f>SUM(J771:J779)</f>
        <v>574012.04</v>
      </c>
      <c r="L780" s="23"/>
      <c r="M780" s="23"/>
      <c r="N780" s="42"/>
      <c r="O780" s="24"/>
      <c r="R780" s="27"/>
      <c r="U780" s="23"/>
    </row>
    <row r="781" spans="1:21" s="12" customFormat="1">
      <c r="A781" s="15" t="s">
        <v>147</v>
      </c>
      <c r="B781" s="75" t="s">
        <v>302</v>
      </c>
      <c r="C781" s="39" t="s">
        <v>17</v>
      </c>
      <c r="D781" s="39"/>
      <c r="E781" s="39">
        <v>400</v>
      </c>
      <c r="F781" s="39"/>
      <c r="G781" s="39">
        <v>400</v>
      </c>
      <c r="H781" s="40">
        <f>SUM(Tabla13267[[#This Row],[PRIMER TRIMESTRE]:[CUARTO TRIMESTRE]])</f>
        <v>800</v>
      </c>
      <c r="I781" s="17">
        <v>452.4</v>
      </c>
      <c r="J781" s="17">
        <f>+Tabla13267[[#This Row],[CANTIDAD TOTAL]]*Tabla13267[[#This Row],[PRECIO UNITARIO ESTIMADO]]</f>
        <v>361920</v>
      </c>
      <c r="K781" s="17"/>
      <c r="L781" s="16" t="s">
        <v>15</v>
      </c>
      <c r="M781" s="16" t="s">
        <v>22</v>
      </c>
      <c r="N781" s="39" t="s">
        <v>342</v>
      </c>
      <c r="O781" s="20"/>
    </row>
    <row r="782" spans="1:21" s="12" customFormat="1" ht="36.75" customHeight="1">
      <c r="A782" s="15" t="s">
        <v>147</v>
      </c>
      <c r="B782" s="75" t="s">
        <v>326</v>
      </c>
      <c r="C782" s="44" t="s">
        <v>17</v>
      </c>
      <c r="D782" s="39"/>
      <c r="E782" s="39">
        <v>100</v>
      </c>
      <c r="F782" s="39"/>
      <c r="G782" s="39">
        <v>100</v>
      </c>
      <c r="H782" s="40">
        <f>SUM(Tabla13267[[#This Row],[PRIMER TRIMESTRE]:[CUARTO TRIMESTRE]])</f>
        <v>200</v>
      </c>
      <c r="I782" s="17">
        <v>2596</v>
      </c>
      <c r="J782" s="17">
        <f>+Tabla13267[[#This Row],[CANTIDAD TOTAL]]*Tabla13267[[#This Row],[PRECIO UNITARIO ESTIMADO]]</f>
        <v>519200</v>
      </c>
      <c r="K782" s="17"/>
      <c r="L782" s="16" t="s">
        <v>15</v>
      </c>
      <c r="M782" s="16" t="s">
        <v>22</v>
      </c>
      <c r="N782" s="44" t="s">
        <v>342</v>
      </c>
      <c r="O782" s="20"/>
    </row>
    <row r="783" spans="1:21" s="12" customFormat="1">
      <c r="A783" s="15" t="s">
        <v>147</v>
      </c>
      <c r="B783" s="75" t="s">
        <v>332</v>
      </c>
      <c r="C783" s="44" t="s">
        <v>17</v>
      </c>
      <c r="D783" s="39"/>
      <c r="E783" s="39">
        <v>40</v>
      </c>
      <c r="F783" s="39"/>
      <c r="G783" s="39">
        <v>40</v>
      </c>
      <c r="H783" s="40">
        <f>SUM(Tabla13267[[#This Row],[PRIMER TRIMESTRE]:[CUARTO TRIMESTRE]])</f>
        <v>80</v>
      </c>
      <c r="I783" s="17">
        <v>460.2</v>
      </c>
      <c r="J783" s="17">
        <f>+Tabla13267[[#This Row],[CANTIDAD TOTAL]]*Tabla13267[[#This Row],[PRECIO UNITARIO ESTIMADO]]</f>
        <v>36816</v>
      </c>
      <c r="K783" s="17"/>
      <c r="L783" s="16" t="s">
        <v>15</v>
      </c>
      <c r="M783" s="16" t="s">
        <v>22</v>
      </c>
      <c r="N783" s="44" t="s">
        <v>342</v>
      </c>
      <c r="O783" s="20"/>
    </row>
    <row r="784" spans="1:21" s="12" customFormat="1">
      <c r="A784" s="15" t="s">
        <v>147</v>
      </c>
      <c r="B784" s="75" t="s">
        <v>333</v>
      </c>
      <c r="C784" s="44" t="s">
        <v>17</v>
      </c>
      <c r="D784" s="39"/>
      <c r="E784" s="39">
        <v>400</v>
      </c>
      <c r="F784" s="39"/>
      <c r="G784" s="39">
        <v>400</v>
      </c>
      <c r="H784" s="40">
        <f>SUM(Tabla13267[[#This Row],[PRIMER TRIMESTRE]:[CUARTO TRIMESTRE]])</f>
        <v>800</v>
      </c>
      <c r="I784" s="17">
        <f>76995/450</f>
        <v>171.1</v>
      </c>
      <c r="J784" s="17">
        <f>+Tabla13267[[#This Row],[CANTIDAD TOTAL]]*Tabla13267[[#This Row],[PRECIO UNITARIO ESTIMADO]]</f>
        <v>136880</v>
      </c>
      <c r="K784" s="17"/>
      <c r="L784" s="16" t="s">
        <v>15</v>
      </c>
      <c r="M784" s="16" t="s">
        <v>22</v>
      </c>
      <c r="N784" s="44" t="s">
        <v>342</v>
      </c>
      <c r="O784" s="20"/>
    </row>
    <row r="785" spans="1:23" s="12" customFormat="1">
      <c r="A785" s="15" t="s">
        <v>147</v>
      </c>
      <c r="B785" s="75" t="s">
        <v>303</v>
      </c>
      <c r="C785" s="39" t="s">
        <v>149</v>
      </c>
      <c r="D785" s="39"/>
      <c r="E785" s="39">
        <v>7</v>
      </c>
      <c r="F785" s="39"/>
      <c r="G785" s="39">
        <v>7</v>
      </c>
      <c r="H785" s="40">
        <f>SUM(Tabla13267[[#This Row],[PRIMER TRIMESTRE]:[CUARTO TRIMESTRE]])</f>
        <v>14</v>
      </c>
      <c r="I785" s="17">
        <v>1856</v>
      </c>
      <c r="J785" s="17">
        <f>+Tabla13267[[#This Row],[CANTIDAD TOTAL]]*Tabla13267[[#This Row],[PRECIO UNITARIO ESTIMADO]]</f>
        <v>25984</v>
      </c>
      <c r="K785" s="17"/>
      <c r="L785" s="16" t="s">
        <v>15</v>
      </c>
      <c r="M785" s="16" t="s">
        <v>22</v>
      </c>
      <c r="N785" s="39" t="s">
        <v>342</v>
      </c>
      <c r="O785" s="20"/>
    </row>
    <row r="786" spans="1:23" s="12" customFormat="1">
      <c r="A786" s="15" t="s">
        <v>147</v>
      </c>
      <c r="B786" s="75" t="s">
        <v>568</v>
      </c>
      <c r="C786" s="39" t="s">
        <v>149</v>
      </c>
      <c r="D786" s="39"/>
      <c r="E786" s="39">
        <v>50</v>
      </c>
      <c r="F786" s="39"/>
      <c r="G786" s="39">
        <v>50</v>
      </c>
      <c r="H786" s="40">
        <f>SUM(Tabla13267[[#This Row],[PRIMER TRIMESTRE]:[CUARTO TRIMESTRE]])</f>
        <v>100</v>
      </c>
      <c r="I786" s="17">
        <v>488.31</v>
      </c>
      <c r="J786" s="17">
        <f>+Tabla13267[[#This Row],[CANTIDAD TOTAL]]*Tabla13267[[#This Row],[PRECIO UNITARIO ESTIMADO]]</f>
        <v>48831</v>
      </c>
      <c r="K786" s="17"/>
      <c r="L786" s="16" t="s">
        <v>15</v>
      </c>
      <c r="M786" s="16" t="s">
        <v>22</v>
      </c>
      <c r="N786" s="39" t="s">
        <v>342</v>
      </c>
      <c r="O786" s="20"/>
    </row>
    <row r="787" spans="1:23" s="12" customFormat="1">
      <c r="A787" s="15" t="s">
        <v>147</v>
      </c>
      <c r="B787" s="75" t="s">
        <v>569</v>
      </c>
      <c r="C787" s="39" t="s">
        <v>149</v>
      </c>
      <c r="D787" s="39"/>
      <c r="E787" s="39">
        <v>50</v>
      </c>
      <c r="F787" s="39"/>
      <c r="G787" s="39">
        <v>50</v>
      </c>
      <c r="H787" s="40">
        <f>SUM(Tabla13267[[#This Row],[PRIMER TRIMESTRE]:[CUARTO TRIMESTRE]])</f>
        <v>100</v>
      </c>
      <c r="I787" s="17">
        <v>550.4</v>
      </c>
      <c r="J787" s="17">
        <f>+H787*I787</f>
        <v>55040</v>
      </c>
      <c r="K787" s="17"/>
      <c r="L787" s="16" t="s">
        <v>15</v>
      </c>
      <c r="M787" s="16" t="s">
        <v>22</v>
      </c>
      <c r="N787" s="39" t="s">
        <v>342</v>
      </c>
      <c r="O787" s="18"/>
    </row>
    <row r="788" spans="1:23" s="26" customFormat="1" ht="27.75" customHeight="1">
      <c r="A788" s="22" t="s">
        <v>147</v>
      </c>
      <c r="B788" s="76"/>
      <c r="C788" s="42"/>
      <c r="D788" s="42"/>
      <c r="E788" s="42"/>
      <c r="F788" s="42"/>
      <c r="G788" s="42"/>
      <c r="H788" s="43"/>
      <c r="I788" s="24"/>
      <c r="J788" s="24"/>
      <c r="K788" s="25">
        <f>SUM(J781:J787)</f>
        <v>1184671</v>
      </c>
      <c r="L788" s="23"/>
      <c r="M788" s="23"/>
      <c r="N788" s="42"/>
      <c r="O788" s="24"/>
      <c r="R788" s="27"/>
      <c r="U788" s="23"/>
    </row>
    <row r="789" spans="1:23" s="12" customFormat="1">
      <c r="A789" s="15" t="s">
        <v>153</v>
      </c>
      <c r="B789" s="75" t="s">
        <v>304</v>
      </c>
      <c r="C789" s="39" t="s">
        <v>17</v>
      </c>
      <c r="D789" s="39"/>
      <c r="E789" s="39">
        <v>600</v>
      </c>
      <c r="F789" s="39"/>
      <c r="G789" s="39">
        <v>600</v>
      </c>
      <c r="H789" s="51">
        <f>SUM(Tabla13267[[#This Row],[PRIMER TRIMESTRE]:[CUARTO TRIMESTRE]])</f>
        <v>1200</v>
      </c>
      <c r="I789" s="17">
        <v>5.4</v>
      </c>
      <c r="J789" s="17">
        <f>+H789*I789</f>
        <v>6480</v>
      </c>
      <c r="K789" s="17"/>
      <c r="L789" s="16" t="s">
        <v>15</v>
      </c>
      <c r="M789" s="16" t="s">
        <v>22</v>
      </c>
      <c r="N789" s="39" t="s">
        <v>342</v>
      </c>
      <c r="O789" s="20"/>
    </row>
    <row r="790" spans="1:23" s="12" customFormat="1">
      <c r="A790" s="15" t="s">
        <v>153</v>
      </c>
      <c r="B790" s="75" t="s">
        <v>768</v>
      </c>
      <c r="C790" s="39" t="s">
        <v>17</v>
      </c>
      <c r="D790" s="39"/>
      <c r="E790" s="39">
        <v>1000</v>
      </c>
      <c r="F790" s="39"/>
      <c r="G790" s="39">
        <v>1000</v>
      </c>
      <c r="H790" s="51">
        <f>SUM(Tabla13267[[#This Row],[PRIMER TRIMESTRE]:[CUARTO TRIMESTRE]])</f>
        <v>2000</v>
      </c>
      <c r="I790" s="17">
        <v>48.75</v>
      </c>
      <c r="J790" s="17">
        <f>+H790*I790</f>
        <v>97500</v>
      </c>
      <c r="K790" s="17"/>
      <c r="L790" s="16" t="s">
        <v>15</v>
      </c>
      <c r="M790" s="16" t="s">
        <v>22</v>
      </c>
      <c r="N790" s="39" t="s">
        <v>342</v>
      </c>
      <c r="O790" s="18"/>
    </row>
    <row r="791" spans="1:23" s="26" customFormat="1" ht="27.75" customHeight="1">
      <c r="A791" s="22" t="s">
        <v>153</v>
      </c>
      <c r="B791" s="76"/>
      <c r="C791" s="42"/>
      <c r="D791" s="42"/>
      <c r="E791" s="42"/>
      <c r="F791" s="42"/>
      <c r="G791" s="42"/>
      <c r="H791" s="43"/>
      <c r="I791" s="24"/>
      <c r="J791" s="24"/>
      <c r="K791" s="25">
        <f>SUM(J789:J790)</f>
        <v>103980</v>
      </c>
      <c r="L791" s="23"/>
      <c r="M791" s="23"/>
      <c r="N791" s="42"/>
      <c r="O791" s="24"/>
      <c r="R791" s="27"/>
      <c r="U791" s="23"/>
    </row>
    <row r="792" spans="1:23" s="55" customFormat="1">
      <c r="A792" s="49" t="s">
        <v>573</v>
      </c>
      <c r="B792" s="81" t="s">
        <v>574</v>
      </c>
      <c r="C792" s="50" t="s">
        <v>17</v>
      </c>
      <c r="D792" s="50"/>
      <c r="E792" s="50">
        <v>2000</v>
      </c>
      <c r="F792" s="50"/>
      <c r="G792" s="50"/>
      <c r="H792" s="51">
        <f>SUM(Tabla13267[[#This Row],[PRIMER TRIMESTRE]:[CUARTO TRIMESTRE]])</f>
        <v>2000</v>
      </c>
      <c r="I792" s="52">
        <v>500</v>
      </c>
      <c r="J792" s="52">
        <f>+Tabla13267[[#This Row],[CANTIDAD TOTAL]]*Tabla13267[[#This Row],[PRECIO UNITARIO ESTIMADO]]</f>
        <v>1000000</v>
      </c>
      <c r="K792" s="50"/>
      <c r="L792" s="41" t="s">
        <v>27</v>
      </c>
      <c r="M792" s="41" t="s">
        <v>22</v>
      </c>
      <c r="N792" s="53"/>
      <c r="O792" s="53"/>
      <c r="P792" s="39"/>
      <c r="Q792" s="54"/>
      <c r="S792"/>
      <c r="T792" s="56"/>
      <c r="U792" s="56"/>
      <c r="V792" s="56"/>
      <c r="W792" s="56"/>
    </row>
    <row r="793" spans="1:23" s="55" customFormat="1">
      <c r="A793" s="49" t="s">
        <v>573</v>
      </c>
      <c r="B793" s="81" t="s">
        <v>575</v>
      </c>
      <c r="C793" s="50" t="s">
        <v>17</v>
      </c>
      <c r="D793" s="50"/>
      <c r="E793" s="50">
        <v>1000</v>
      </c>
      <c r="F793" s="50"/>
      <c r="G793" s="50"/>
      <c r="H793" s="51">
        <f>SUM(Tabla13267[[#This Row],[PRIMER TRIMESTRE]:[CUARTO TRIMESTRE]])</f>
        <v>1000</v>
      </c>
      <c r="I793" s="52">
        <v>1000</v>
      </c>
      <c r="J793" s="52">
        <f>+Tabla13267[[#This Row],[CANTIDAD TOTAL]]*Tabla13267[[#This Row],[PRECIO UNITARIO ESTIMADO]]</f>
        <v>1000000</v>
      </c>
      <c r="K793" s="50"/>
      <c r="L793" s="41" t="s">
        <v>27</v>
      </c>
      <c r="M793" s="41" t="s">
        <v>22</v>
      </c>
      <c r="N793" s="53"/>
      <c r="O793" s="53"/>
      <c r="P793" s="39"/>
      <c r="Q793" s="54"/>
      <c r="S793"/>
      <c r="T793" s="56"/>
      <c r="U793" s="56"/>
      <c r="V793" s="56"/>
      <c r="W793" s="56"/>
    </row>
    <row r="794" spans="1:23" s="55" customFormat="1">
      <c r="A794" s="49" t="s">
        <v>573</v>
      </c>
      <c r="B794" s="81" t="s">
        <v>576</v>
      </c>
      <c r="C794" s="50" t="s">
        <v>17</v>
      </c>
      <c r="D794" s="50"/>
      <c r="E794" s="50"/>
      <c r="F794" s="50"/>
      <c r="G794" s="50">
        <v>1500</v>
      </c>
      <c r="H794" s="51">
        <f>SUM(Tabla13267[[#This Row],[PRIMER TRIMESTRE]:[CUARTO TRIMESTRE]])</f>
        <v>1500</v>
      </c>
      <c r="I794" s="52">
        <v>2000</v>
      </c>
      <c r="J794" s="52">
        <f>+Tabla13267[[#This Row],[CANTIDAD TOTAL]]*Tabla13267[[#This Row],[PRECIO UNITARIO ESTIMADO]]</f>
        <v>3000000</v>
      </c>
      <c r="K794" s="50"/>
      <c r="L794" s="41" t="s">
        <v>27</v>
      </c>
      <c r="M794" s="41" t="s">
        <v>22</v>
      </c>
      <c r="N794" s="53"/>
      <c r="O794" s="53"/>
      <c r="P794" s="39"/>
      <c r="Q794" s="54"/>
      <c r="S794"/>
      <c r="T794" s="56"/>
      <c r="U794" s="56"/>
      <c r="V794" s="56"/>
      <c r="W794" s="56"/>
    </row>
    <row r="795" spans="1:23" s="64" customFormat="1">
      <c r="A795" s="57" t="s">
        <v>573</v>
      </c>
      <c r="B795" s="82"/>
      <c r="C795" s="58"/>
      <c r="D795" s="58"/>
      <c r="E795" s="58"/>
      <c r="F795" s="58"/>
      <c r="G795" s="58"/>
      <c r="H795" s="59"/>
      <c r="I795" s="57"/>
      <c r="J795" s="60"/>
      <c r="K795" s="25">
        <f>+SUM($J$792:$J$794)</f>
        <v>5000000</v>
      </c>
      <c r="L795" s="61"/>
      <c r="M795" s="61"/>
      <c r="N795" s="62"/>
      <c r="O795" s="62"/>
      <c r="P795" s="63"/>
      <c r="Q795" s="58"/>
      <c r="S795"/>
      <c r="T795" s="56"/>
      <c r="U795" s="56"/>
      <c r="V795" s="56"/>
      <c r="W795" s="56"/>
    </row>
    <row r="796" spans="1:23" s="12" customFormat="1">
      <c r="A796" s="15"/>
      <c r="B796" s="75"/>
      <c r="C796" s="39"/>
      <c r="D796" s="39"/>
      <c r="E796" s="39"/>
      <c r="F796" s="39"/>
      <c r="G796" s="39"/>
      <c r="H796" s="46"/>
      <c r="I796" s="17"/>
      <c r="J796" s="17"/>
      <c r="K796" s="17"/>
      <c r="L796" s="16"/>
      <c r="M796" s="16"/>
      <c r="N796" s="39"/>
      <c r="O796" s="20"/>
    </row>
    <row r="797" spans="1:23" s="34" customFormat="1" ht="24" thickBot="1">
      <c r="A797" s="33"/>
      <c r="B797" s="83" t="s">
        <v>908</v>
      </c>
      <c r="C797" s="47"/>
      <c r="D797" s="47"/>
      <c r="E797" s="47"/>
      <c r="F797" s="47"/>
      <c r="G797" s="47"/>
      <c r="H797" s="48"/>
      <c r="I797" s="35"/>
      <c r="J797" s="35"/>
      <c r="K797" s="74">
        <f>SUM(K11:K796)</f>
        <v>167458979.20973545</v>
      </c>
      <c r="N797" s="47"/>
      <c r="O797" s="36"/>
    </row>
  </sheetData>
  <mergeCells count="4">
    <mergeCell ref="A3:A5"/>
    <mergeCell ref="A6:N6"/>
    <mergeCell ref="A7:B7"/>
    <mergeCell ref="D9:G9"/>
  </mergeCells>
  <dataValidations xWindow="1140" yWindow="397" count="18">
    <dataValidation allowBlank="1" showInputMessage="1" showErrorMessage="1" promptTitle="PACC" prompt="Digite la descripción de la compra o contratación." sqref="B11:B797"/>
    <dataValidation type="list" allowBlank="1" showInputMessage="1" showErrorMessage="1" promptTitle="PACC" prompt="Seleccione el procedimiento de selección." sqref="M361:M377">
      <formula1>$V$14:$V$15</formula1>
    </dataValidation>
    <dataValidation type="list" allowBlank="1" showInputMessage="1" showErrorMessage="1" promptTitle="PACC" prompt="Seleccione el Código de Bienes y Servicios._x000a_" sqref="A361:A370">
      <formula1>$S$14:$S$660</formula1>
    </dataValidation>
    <dataValidation type="list" allowBlank="1" showInputMessage="1" showErrorMessage="1" promptTitle="PACC" prompt="Seleccione el Código de Bienes y Servicios._x000a_" sqref="A29:A31">
      <formula1>$T$14:$T$630</formula1>
    </dataValidation>
    <dataValidation allowBlank="1" showInputMessage="1" showErrorMessage="1" promptTitle="PACC" prompt="Digite la cantidad requerida en este período._x000a_" sqref="E80:G84 E182:F214 G108 E168:E171 G168:G171 D16:G16 D14:G14 E426:G426 F486:F492 E427:E436 D479:F481 G387 E398:G399 E392:E397 E387 E388:G391 G442:G457 G392:G397 D486:D492 D477:D478 E458:G464 F482:F483 D482:D483 D484:F485 E442:E457 G465:G470 G580 G583 D581:G582 E437:G441 D572:E580 E173:E174 E108 D12:G12 D472:F476 E242 E109:G167 D497 F497 D382:G382 D504:F516 D517:D529 G527 F528:G537 E538:G538 D532:E537 F539:G540 D539:E541 G541:G542 E542:E547 E554 D548:E553 E559 D555:E558 F543:G564 G567 E568 D567:E567 F568:G570 F572:G579 E571:G571 D569:E570 F584:G584 E585:G588 D583:E584 E612 E771:G797 D773:D797 D613:E614 D616:E616 E615 E617:E640 G173:G174 E465:E470 E400:E425 G400:G425 D471:G471 G248:G253 E11:G11 E87:G87 E91:G96 E175:G181 E103:G107 D770:G770 G242 E243:G247 E353:G360 D248:D252 E248:E252 E333:F336 G231:G238 E254:G278 E379:G379 D378:G378 E381:G381 D380:G380 F477:F478 G427:G436 E383:G386 D498:F500 D493:G493 D494:F496 E517:E531 D501:G503 F517:G526 D560:E564 E565:G566 D610:E611 E590:G609 D589:G589 D641:E641 F610:G641 E642:G656 E658:G769 G97:G101 D102:G102 D97:E101 D294:D304 D305:E311 E279:E302 F284:F311 G279:G293 D312:F322 D329:F332 E323:G328 D337:F352 D361:F377 D221:D238 E224:E226 E215:G223 G224:G226 E231:E238 E227:G230 E239:G241 D253 E253"/>
    <dataValidation allowBlank="1" showInputMessage="1" showErrorMessage="1" promptTitle="PACC" prompt="La cantidad total resultará de la suma de las cantidades requeridas en cada trimestre. " sqref="F279:F283 I375:I377 G182:G214 I361:I373 H11:H797"/>
    <dataValidation allowBlank="1" showInputMessage="1" showErrorMessage="1" promptTitle="PACC" prompt="Este valor se calculará automáticamente, resultado de la multiplicación de la cantidad total por el precio unitario estimado." sqref="I795:J795 K21:K28 J248:J252 J131:J145 J215:K220 J279:J324 J221:J222 J253:K253 J254:J263 J325:K325 I792:I794 K16:K17 J11:K15 J16:J67 J264:K278 J379:K385 J386:J493 J223:K247 J770:K791 J182:J214 J796:J797 K32:K67 J68:K130 J146:K181 J494:K564 J566:K610 J565 J611:J769 J326:J378 K361:K377"/>
    <dataValidation allowBlank="1" showInputMessage="1" showErrorMessage="1" promptTitle="PACC" prompt="Digite el precio unitario estimado._x000a_" sqref="I796:I797 I11:I360 I378:I791"/>
    <dataValidation allowBlank="1" showInputMessage="1" showErrorMessage="1" promptTitle="PACC" prompt="Digite la fuente de financiamiento del procedimiento de referencia." sqref="N792:N795 M796:M797 M11:M360 M378:M616 M618:M791 N361:N377"/>
    <dataValidation allowBlank="1" showInputMessage="1" showErrorMessage="1" promptTitle="PACC" prompt="Este valor se calculará sumando los costos totales que posean el mismo Código de Catálogo de Bienes y Servicios." sqref="K18:K20 J792:J794 K29:K31 K248:K252 K131:K145 K221:K222 K254:K263 K378 K279:K324 K182:K214 K386:K493 K796:K797 L386:L398 K326:K360 K565 K611:K769 L361:L377"/>
    <dataValidation allowBlank="1" showInputMessage="1" showErrorMessage="1" promptTitle="PACC" prompt="Digite las observaciones que considere." sqref="O29:O31 O792:O795 N796:N797 N11:N360 N378:N791 O361:O377"/>
    <dataValidation allowBlank="1" showInputMessage="1" showErrorMessage="1" promptTitle="PACC" prompt="Digite la unidad de medida._x000a__x000a_" sqref="D333:D336 C11:C332 C378:C797"/>
    <dataValidation type="list" allowBlank="1" showInputMessage="1" showErrorMessage="1" promptTitle="PACC" prompt="Seleccione el procedimiento de selección." sqref="K792:K795">
      <formula1>#REF!</formula1>
    </dataValidation>
    <dataValidation type="list" allowBlank="1" showInputMessage="1" showErrorMessage="1" promptTitle="PACC" prompt="Seleccione el procedimiento de selección." sqref="M617 L378:L385 L11:L28 L796:L797 L30 L32:L360 L399:L791">
      <formula1>$U$14:$U$15</formula1>
    </dataValidation>
    <dataValidation type="list" allowBlank="1" showInputMessage="1" showErrorMessage="1" promptTitle="PACC" prompt="Seleccione el procedimiento de selección." sqref="L29 L31">
      <formula1>$W$14:$W$17</formula1>
    </dataValidation>
    <dataValidation type="list" allowBlank="1" showInputMessage="1" showErrorMessage="1" promptTitle="PACC" prompt="Seleccione el Código de Bienes y Servicios._x000a_" sqref="A11:A28 A796:A797 A32:A360 A378:A791">
      <formula1>$R$14:$R$328</formula1>
    </dataValidation>
    <dataValidation type="list" allowBlank="1" showInputMessage="1" showErrorMessage="1" promptTitle="PACC" prompt="Seleccione el Código de Bienes y Servicios._x000a_" sqref="A792:A795">
      <formula1>$S$9:$S$316</formula1>
    </dataValidation>
    <dataValidation type="list" allowBlank="1" showInputMessage="1" showErrorMessage="1" promptTitle="PACC" prompt="Seleccione el Código de Bienes y Servicios._x000a_" sqref="A371:A377">
      <formula1>$S$14:$S$686</formula1>
    </dataValidation>
  </dataValidations>
  <printOptions horizontalCentered="1"/>
  <pageMargins left="0" right="0" top="0" bottom="0.43307086614173229" header="0.31496062992125984" footer="0.31496062992125984"/>
  <pageSetup paperSize="5" scale="53" orientation="landscape" r:id="rId1"/>
  <headerFooter>
    <oddFooter>&amp;C&amp;P/&amp;N</oddFooter>
  </headerFooter>
  <rowBreaks count="3" manualBreakCount="3">
    <brk id="68" max="13" man="1"/>
    <brk id="535" max="13" man="1"/>
    <brk id="561" max="13" man="1"/>
  </rowBreaks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1412"/>
  <sheetViews>
    <sheetView zoomScale="85" zoomScaleNormal="85" workbookViewId="0">
      <selection activeCell="A162" sqref="A162"/>
    </sheetView>
  </sheetViews>
  <sheetFormatPr baseColWidth="10" defaultColWidth="11.42578125" defaultRowHeight="15"/>
  <cols>
    <col min="1" max="1" width="48.140625" customWidth="1"/>
    <col min="2" max="2" width="50.5703125" customWidth="1"/>
    <col min="3" max="3" width="11.42578125" customWidth="1"/>
    <col min="9" max="9" width="26.5703125" customWidth="1"/>
    <col min="10" max="10" width="17.42578125" bestFit="1" customWidth="1"/>
    <col min="11" max="11" width="23.140625" customWidth="1"/>
    <col min="12" max="12" width="10.7109375" bestFit="1" customWidth="1"/>
    <col min="13" max="13" width="22.140625" customWidth="1"/>
    <col min="14" max="14" width="13.42578125" customWidth="1"/>
    <col min="15" max="15" width="14.5703125" customWidth="1"/>
  </cols>
  <sheetData>
    <row r="1" spans="1:15" ht="138.75" customHeight="1" thickBot="1">
      <c r="A1" s="2" t="s">
        <v>1634</v>
      </c>
      <c r="B1" s="258" t="s">
        <v>1635</v>
      </c>
      <c r="C1" s="3" t="s">
        <v>5</v>
      </c>
      <c r="D1" s="257" t="s">
        <v>1636</v>
      </c>
      <c r="E1" s="257" t="s">
        <v>1738</v>
      </c>
      <c r="F1" s="257" t="s">
        <v>1739</v>
      </c>
      <c r="G1" s="257" t="s">
        <v>1740</v>
      </c>
      <c r="H1" s="257" t="s">
        <v>10</v>
      </c>
      <c r="I1" s="256" t="s">
        <v>11</v>
      </c>
      <c r="J1" s="256" t="s">
        <v>12</v>
      </c>
      <c r="K1" s="291" t="s">
        <v>1637</v>
      </c>
      <c r="L1" s="279" t="s">
        <v>1639</v>
      </c>
      <c r="M1" s="256" t="s">
        <v>13</v>
      </c>
      <c r="N1" s="256" t="s">
        <v>1638</v>
      </c>
      <c r="O1" s="256" t="s">
        <v>1649</v>
      </c>
    </row>
    <row r="2" spans="1:15" ht="26.25" thickTop="1">
      <c r="A2" s="178" t="s">
        <v>16</v>
      </c>
      <c r="B2" s="75" t="s">
        <v>1640</v>
      </c>
      <c r="C2" s="39" t="s">
        <v>17</v>
      </c>
      <c r="D2" s="255">
        <v>150</v>
      </c>
      <c r="E2" s="325" t="e">
        <f>#REF!</f>
        <v>#REF!</v>
      </c>
      <c r="F2" s="325" t="e">
        <f>#REF!</f>
        <v>#REF!</v>
      </c>
      <c r="G2" s="325" t="e">
        <f>#REF!</f>
        <v>#REF!</v>
      </c>
      <c r="H2" s="325" t="e">
        <f>G2+F2+E2+D2</f>
        <v>#REF!</v>
      </c>
      <c r="I2" s="265">
        <v>4568.04</v>
      </c>
      <c r="J2" s="266" t="e">
        <f>H2*I2</f>
        <v>#REF!</v>
      </c>
      <c r="K2" s="306"/>
      <c r="L2" s="280">
        <v>42413</v>
      </c>
      <c r="M2" s="262" t="s">
        <v>15</v>
      </c>
      <c r="N2" s="266"/>
      <c r="O2" s="266" t="s">
        <v>1642</v>
      </c>
    </row>
    <row r="3" spans="1:15" ht="17.25">
      <c r="A3" s="178" t="s">
        <v>16</v>
      </c>
      <c r="B3" s="21"/>
      <c r="C3" s="39" t="s">
        <v>17</v>
      </c>
      <c r="D3" s="255"/>
      <c r="E3" s="325" t="e">
        <f>#REF!</f>
        <v>#REF!</v>
      </c>
      <c r="F3" s="325" t="e">
        <f>#REF!</f>
        <v>#REF!</v>
      </c>
      <c r="G3" s="325" t="e">
        <f>#REF!</f>
        <v>#REF!</v>
      </c>
      <c r="H3" s="325" t="e">
        <f t="shared" ref="H3:H8" si="0">G3+F3+E3+D3</f>
        <v>#REF!</v>
      </c>
      <c r="I3" s="265"/>
      <c r="J3" s="266" t="e">
        <f>H3*I3</f>
        <v>#REF!</v>
      </c>
      <c r="K3" s="307"/>
      <c r="L3" s="280"/>
      <c r="M3" s="308"/>
      <c r="N3" s="265"/>
      <c r="O3" s="266"/>
    </row>
    <row r="4" spans="1:15" ht="17.25">
      <c r="A4" s="178" t="s">
        <v>16</v>
      </c>
      <c r="B4" s="75" t="s">
        <v>24</v>
      </c>
      <c r="C4" s="39" t="s">
        <v>25</v>
      </c>
      <c r="D4" s="255">
        <v>305</v>
      </c>
      <c r="E4" s="325" t="e">
        <f>#REF!</f>
        <v>#REF!</v>
      </c>
      <c r="F4" s="325" t="e">
        <f>#REF!</f>
        <v>#REF!</v>
      </c>
      <c r="G4" s="325" t="e">
        <f>#REF!</f>
        <v>#REF!</v>
      </c>
      <c r="H4" s="325" t="e">
        <f t="shared" si="0"/>
        <v>#REF!</v>
      </c>
      <c r="I4" s="265">
        <v>18694.72</v>
      </c>
      <c r="J4" s="266">
        <f>I4*D4</f>
        <v>5701889.6000000006</v>
      </c>
      <c r="K4" s="306"/>
      <c r="L4" s="280">
        <v>42380</v>
      </c>
      <c r="M4" s="262" t="s">
        <v>1641</v>
      </c>
      <c r="N4" s="266"/>
      <c r="O4" s="266" t="s">
        <v>1642</v>
      </c>
    </row>
    <row r="5" spans="1:15" ht="17.25">
      <c r="A5" s="178" t="s">
        <v>16</v>
      </c>
      <c r="B5" s="75" t="s">
        <v>1385</v>
      </c>
      <c r="C5" s="39" t="s">
        <v>23</v>
      </c>
      <c r="D5" s="255">
        <v>24</v>
      </c>
      <c r="E5" s="325" t="e">
        <f>#REF!</f>
        <v>#REF!</v>
      </c>
      <c r="F5" s="325" t="e">
        <f>#REF!</f>
        <v>#REF!</v>
      </c>
      <c r="G5" s="325" t="e">
        <f>#REF!</f>
        <v>#REF!</v>
      </c>
      <c r="H5" s="325" t="e">
        <f t="shared" si="0"/>
        <v>#REF!</v>
      </c>
      <c r="I5" s="265">
        <v>24200</v>
      </c>
      <c r="J5" s="266">
        <f>I5*D5</f>
        <v>580800</v>
      </c>
      <c r="K5" s="307"/>
      <c r="L5" s="280">
        <v>42431</v>
      </c>
      <c r="M5" s="262" t="s">
        <v>15</v>
      </c>
      <c r="N5" s="254" t="s">
        <v>342</v>
      </c>
      <c r="O5" s="266" t="s">
        <v>1642</v>
      </c>
    </row>
    <row r="6" spans="1:15" ht="17.25">
      <c r="A6" s="178" t="s">
        <v>16</v>
      </c>
      <c r="B6" s="75" t="s">
        <v>29</v>
      </c>
      <c r="C6" s="39" t="s">
        <v>30</v>
      </c>
      <c r="D6" s="255">
        <v>90000</v>
      </c>
      <c r="E6" s="325" t="e">
        <f>#REF!</f>
        <v>#REF!</v>
      </c>
      <c r="F6" s="325" t="e">
        <f>#REF!</f>
        <v>#REF!</v>
      </c>
      <c r="G6" s="325" t="e">
        <f>#REF!</f>
        <v>#REF!</v>
      </c>
      <c r="H6" s="325" t="e">
        <f t="shared" si="0"/>
        <v>#REF!</v>
      </c>
      <c r="I6" s="265">
        <v>1189.3599999999999</v>
      </c>
      <c r="J6" s="266">
        <f>D6*I6</f>
        <v>107042399.99999999</v>
      </c>
      <c r="K6" s="306"/>
      <c r="L6" s="280">
        <v>42431</v>
      </c>
      <c r="M6" s="262" t="s">
        <v>1641</v>
      </c>
      <c r="N6" s="266"/>
      <c r="O6" s="266" t="s">
        <v>1642</v>
      </c>
    </row>
    <row r="7" spans="1:15" ht="17.25">
      <c r="A7" s="178" t="s">
        <v>16</v>
      </c>
      <c r="B7" s="21"/>
      <c r="C7" s="39" t="s">
        <v>30</v>
      </c>
      <c r="D7" s="255"/>
      <c r="E7" s="325" t="e">
        <f>#REF!</f>
        <v>#REF!</v>
      </c>
      <c r="F7" s="325" t="e">
        <f>#REF!</f>
        <v>#REF!</v>
      </c>
      <c r="G7" s="325" t="e">
        <f>#REF!</f>
        <v>#REF!</v>
      </c>
      <c r="H7" s="325" t="e">
        <f t="shared" si="0"/>
        <v>#REF!</v>
      </c>
      <c r="I7" s="265"/>
      <c r="J7" s="266" t="e">
        <f>I7*H7</f>
        <v>#REF!</v>
      </c>
      <c r="K7" s="307"/>
      <c r="L7" s="280"/>
      <c r="M7" s="308"/>
      <c r="N7" s="265"/>
      <c r="O7" s="266"/>
    </row>
    <row r="8" spans="1:15" ht="17.25">
      <c r="A8" s="178" t="s">
        <v>16</v>
      </c>
      <c r="B8" s="21"/>
      <c r="C8" s="39" t="s">
        <v>17</v>
      </c>
      <c r="D8" s="255"/>
      <c r="E8" s="325" t="e">
        <f>#REF!</f>
        <v>#REF!</v>
      </c>
      <c r="F8" s="325" t="e">
        <f>#REF!</f>
        <v>#REF!</v>
      </c>
      <c r="G8" s="325" t="e">
        <f>#REF!</f>
        <v>#REF!</v>
      </c>
      <c r="H8" s="325" t="e">
        <f t="shared" si="0"/>
        <v>#REF!</v>
      </c>
      <c r="I8" s="266"/>
      <c r="J8" s="266" t="e">
        <f>I8*H8</f>
        <v>#REF!</v>
      </c>
      <c r="K8" s="306"/>
      <c r="L8" s="280"/>
      <c r="M8" s="309"/>
      <c r="N8" s="266"/>
      <c r="O8" s="266"/>
    </row>
    <row r="9" spans="1:15" ht="17.25">
      <c r="A9" s="179" t="s">
        <v>16</v>
      </c>
      <c r="B9" s="42"/>
      <c r="C9" s="42"/>
      <c r="D9" s="42"/>
      <c r="E9" s="42"/>
      <c r="F9" s="42"/>
      <c r="G9" s="42"/>
      <c r="H9" s="42"/>
      <c r="I9" s="42"/>
      <c r="J9" s="42"/>
      <c r="K9" s="293" t="e">
        <f>SUM(J2:J8)</f>
        <v>#REF!</v>
      </c>
      <c r="L9" s="281"/>
      <c r="M9" s="42"/>
      <c r="N9" s="42"/>
      <c r="O9" s="42"/>
    </row>
    <row r="10" spans="1:15" ht="30">
      <c r="A10" s="180" t="s">
        <v>34</v>
      </c>
      <c r="B10" s="77" t="s">
        <v>717</v>
      </c>
      <c r="C10" s="70" t="s">
        <v>35</v>
      </c>
      <c r="D10" s="255"/>
      <c r="E10" s="325" t="e">
        <f>#REF!</f>
        <v>#REF!</v>
      </c>
      <c r="F10" s="325" t="e">
        <f>#REF!</f>
        <v>#REF!</v>
      </c>
      <c r="G10" s="325" t="e">
        <f>#REF!</f>
        <v>#REF!</v>
      </c>
      <c r="H10" s="325" t="e">
        <f>G10+F10+E10+D10</f>
        <v>#REF!</v>
      </c>
      <c r="I10" s="266"/>
      <c r="J10" s="266" t="e">
        <f>I10*H10</f>
        <v>#REF!</v>
      </c>
      <c r="K10" s="306"/>
      <c r="L10" s="280"/>
      <c r="M10" s="309"/>
      <c r="N10" s="266"/>
      <c r="O10" s="266"/>
    </row>
    <row r="11" spans="1:15" ht="30">
      <c r="A11" s="180" t="s">
        <v>34</v>
      </c>
      <c r="B11" s="77" t="s">
        <v>714</v>
      </c>
      <c r="C11" s="70" t="s">
        <v>35</v>
      </c>
      <c r="D11" s="255">
        <v>8</v>
      </c>
      <c r="E11" s="325" t="e">
        <f>#REF!</f>
        <v>#REF!</v>
      </c>
      <c r="F11" s="325" t="e">
        <f>#REF!</f>
        <v>#REF!</v>
      </c>
      <c r="G11" s="325" t="e">
        <f>#REF!</f>
        <v>#REF!</v>
      </c>
      <c r="H11" s="325" t="e">
        <f t="shared" ref="H11:H77" si="1">G11+F11+E11+D11</f>
        <v>#REF!</v>
      </c>
      <c r="I11" s="266">
        <v>33457.699999999997</v>
      </c>
      <c r="J11" s="266">
        <f>I11*D11</f>
        <v>267661.59999999998</v>
      </c>
      <c r="K11" s="307"/>
      <c r="L11" s="310">
        <v>42423</v>
      </c>
      <c r="M11" s="308" t="s">
        <v>15</v>
      </c>
      <c r="N11" s="254" t="s">
        <v>342</v>
      </c>
      <c r="O11" s="266" t="s">
        <v>1642</v>
      </c>
    </row>
    <row r="12" spans="1:15" ht="30">
      <c r="A12" s="180" t="s">
        <v>34</v>
      </c>
      <c r="B12" s="77" t="s">
        <v>715</v>
      </c>
      <c r="C12" s="70" t="s">
        <v>35</v>
      </c>
      <c r="D12" s="255"/>
      <c r="E12" s="325" t="e">
        <f>#REF!</f>
        <v>#REF!</v>
      </c>
      <c r="F12" s="325" t="e">
        <f>#REF!</f>
        <v>#REF!</v>
      </c>
      <c r="G12" s="325" t="e">
        <f>#REF!</f>
        <v>#REF!</v>
      </c>
      <c r="H12" s="325" t="e">
        <f t="shared" si="1"/>
        <v>#REF!</v>
      </c>
      <c r="I12" s="266"/>
      <c r="J12" s="266" t="e">
        <f>I12*H12</f>
        <v>#REF!</v>
      </c>
      <c r="K12" s="306"/>
      <c r="L12" s="280"/>
      <c r="M12" s="309"/>
      <c r="N12" s="266"/>
      <c r="O12" s="266"/>
    </row>
    <row r="13" spans="1:15" ht="30">
      <c r="A13" s="180" t="s">
        <v>34</v>
      </c>
      <c r="B13" s="77" t="s">
        <v>716</v>
      </c>
      <c r="C13" s="70" t="s">
        <v>35</v>
      </c>
      <c r="D13" s="255">
        <v>6</v>
      </c>
      <c r="E13" s="325" t="e">
        <f>#REF!</f>
        <v>#REF!</v>
      </c>
      <c r="F13" s="325" t="e">
        <f>#REF!</f>
        <v>#REF!</v>
      </c>
      <c r="G13" s="325" t="e">
        <f>#REF!</f>
        <v>#REF!</v>
      </c>
      <c r="H13" s="325" t="e">
        <f t="shared" si="1"/>
        <v>#REF!</v>
      </c>
      <c r="I13" s="266">
        <v>33457.699999999997</v>
      </c>
      <c r="J13" s="266">
        <f>I13*D13</f>
        <v>200746.19999999998</v>
      </c>
      <c r="K13" s="307"/>
      <c r="L13" s="310">
        <v>42423</v>
      </c>
      <c r="M13" s="308" t="s">
        <v>15</v>
      </c>
      <c r="N13" s="254" t="s">
        <v>342</v>
      </c>
      <c r="O13" s="266" t="s">
        <v>1642</v>
      </c>
    </row>
    <row r="14" spans="1:15" ht="30">
      <c r="A14" s="180" t="s">
        <v>34</v>
      </c>
      <c r="B14" s="77" t="s">
        <v>787</v>
      </c>
      <c r="C14" s="70" t="s">
        <v>35</v>
      </c>
      <c r="D14" s="255"/>
      <c r="E14" s="325" t="e">
        <f>#REF!</f>
        <v>#REF!</v>
      </c>
      <c r="F14" s="325" t="e">
        <f>#REF!</f>
        <v>#REF!</v>
      </c>
      <c r="G14" s="325" t="e">
        <f>#REF!</f>
        <v>#REF!</v>
      </c>
      <c r="H14" s="325" t="e">
        <f t="shared" si="1"/>
        <v>#REF!</v>
      </c>
      <c r="I14" s="266"/>
      <c r="J14" s="266" t="e">
        <f>I14*H14</f>
        <v>#REF!</v>
      </c>
      <c r="K14" s="306"/>
      <c r="L14" s="280"/>
      <c r="M14" s="309"/>
      <c r="N14" s="266"/>
      <c r="O14" s="266"/>
    </row>
    <row r="15" spans="1:15" ht="30">
      <c r="A15" s="180" t="s">
        <v>34</v>
      </c>
      <c r="B15" s="77" t="s">
        <v>786</v>
      </c>
      <c r="C15" s="70" t="s">
        <v>35</v>
      </c>
      <c r="D15" s="255"/>
      <c r="E15" s="325" t="e">
        <f>#REF!</f>
        <v>#REF!</v>
      </c>
      <c r="F15" s="325" t="e">
        <f>#REF!</f>
        <v>#REF!</v>
      </c>
      <c r="G15" s="325" t="e">
        <f>#REF!</f>
        <v>#REF!</v>
      </c>
      <c r="H15" s="325" t="e">
        <f t="shared" si="1"/>
        <v>#REF!</v>
      </c>
      <c r="I15" s="265"/>
      <c r="J15" s="266" t="e">
        <f>I15*H15</f>
        <v>#REF!</v>
      </c>
      <c r="K15" s="307"/>
      <c r="L15" s="310"/>
      <c r="M15" s="308"/>
      <c r="N15" s="265"/>
      <c r="O15" s="266"/>
    </row>
    <row r="16" spans="1:15" ht="30">
      <c r="A16" s="180" t="s">
        <v>34</v>
      </c>
      <c r="B16" s="77" t="s">
        <v>720</v>
      </c>
      <c r="C16" s="70" t="s">
        <v>721</v>
      </c>
      <c r="D16" s="255"/>
      <c r="E16" s="325" t="e">
        <f>#REF!</f>
        <v>#REF!</v>
      </c>
      <c r="F16" s="325" t="e">
        <f>#REF!</f>
        <v>#REF!</v>
      </c>
      <c r="G16" s="325" t="e">
        <f>#REF!</f>
        <v>#REF!</v>
      </c>
      <c r="H16" s="325" t="e">
        <f t="shared" si="1"/>
        <v>#REF!</v>
      </c>
      <c r="I16" s="266"/>
      <c r="J16" s="266" t="e">
        <f>I16*H16</f>
        <v>#REF!</v>
      </c>
      <c r="K16" s="306"/>
      <c r="L16" s="280"/>
      <c r="M16" s="309"/>
      <c r="N16" s="266"/>
      <c r="O16" s="266"/>
    </row>
    <row r="17" spans="1:15" ht="30">
      <c r="A17" s="180" t="s">
        <v>34</v>
      </c>
      <c r="B17" s="77" t="s">
        <v>719</v>
      </c>
      <c r="C17" s="70" t="s">
        <v>718</v>
      </c>
      <c r="D17" s="255"/>
      <c r="E17" s="325" t="e">
        <f>#REF!</f>
        <v>#REF!</v>
      </c>
      <c r="F17" s="325" t="e">
        <f>#REF!</f>
        <v>#REF!</v>
      </c>
      <c r="G17" s="325" t="e">
        <f>#REF!</f>
        <v>#REF!</v>
      </c>
      <c r="H17" s="325" t="e">
        <f t="shared" si="1"/>
        <v>#REF!</v>
      </c>
      <c r="I17" s="265"/>
      <c r="J17" s="266" t="e">
        <f>I17*H17</f>
        <v>#REF!</v>
      </c>
      <c r="K17" s="307"/>
      <c r="L17" s="310"/>
      <c r="M17" s="308"/>
      <c r="N17" s="265"/>
      <c r="O17" s="266"/>
    </row>
    <row r="18" spans="1:15" ht="31.5">
      <c r="A18" s="179" t="s">
        <v>34</v>
      </c>
      <c r="B18" s="42"/>
      <c r="C18" s="42"/>
      <c r="D18" s="42"/>
      <c r="E18" s="42"/>
      <c r="F18" s="42"/>
      <c r="G18" s="42"/>
      <c r="H18" s="42"/>
      <c r="I18" s="42"/>
      <c r="J18" s="42"/>
      <c r="K18" s="293" t="e">
        <f>SUM(J10:J17)</f>
        <v>#REF!</v>
      </c>
      <c r="L18" s="281"/>
      <c r="M18" s="42"/>
      <c r="N18" s="42"/>
      <c r="O18" s="42"/>
    </row>
    <row r="19" spans="1:15" ht="17.25">
      <c r="A19" s="180" t="s">
        <v>1288</v>
      </c>
      <c r="B19" s="77" t="s">
        <v>1290</v>
      </c>
      <c r="C19" s="70" t="s">
        <v>33</v>
      </c>
      <c r="D19" s="255">
        <v>85100</v>
      </c>
      <c r="E19" s="325" t="e">
        <f>#REF!</f>
        <v>#REF!</v>
      </c>
      <c r="F19" s="325" t="e">
        <f>#REF!</f>
        <v>#REF!</v>
      </c>
      <c r="G19" s="325" t="e">
        <f>#REF!</f>
        <v>#REF!</v>
      </c>
      <c r="H19" s="325" t="e">
        <f t="shared" si="1"/>
        <v>#REF!</v>
      </c>
      <c r="I19" s="265">
        <v>110.5</v>
      </c>
      <c r="J19" s="265">
        <f>I19*D19</f>
        <v>9403550</v>
      </c>
      <c r="K19" s="307"/>
      <c r="L19" s="310">
        <v>42423</v>
      </c>
      <c r="M19" s="262" t="s">
        <v>1641</v>
      </c>
      <c r="N19" s="255" t="s">
        <v>418</v>
      </c>
      <c r="O19" s="266" t="s">
        <v>1642</v>
      </c>
    </row>
    <row r="20" spans="1:15" ht="31.5">
      <c r="A20" s="180" t="s">
        <v>1288</v>
      </c>
      <c r="B20" s="77" t="s">
        <v>1289</v>
      </c>
      <c r="C20" s="70" t="s">
        <v>33</v>
      </c>
      <c r="D20" s="255">
        <v>9000</v>
      </c>
      <c r="E20" s="325" t="e">
        <f>#REF!</f>
        <v>#REF!</v>
      </c>
      <c r="F20" s="325" t="e">
        <f>#REF!</f>
        <v>#REF!</v>
      </c>
      <c r="G20" s="325" t="e">
        <f>#REF!</f>
        <v>#REF!</v>
      </c>
      <c r="H20" s="325" t="e">
        <f t="shared" si="1"/>
        <v>#REF!</v>
      </c>
      <c r="I20" s="265">
        <v>147.9</v>
      </c>
      <c r="J20" s="265">
        <f>I20*D20</f>
        <v>1331100</v>
      </c>
      <c r="K20" s="306"/>
      <c r="L20" s="280">
        <v>42444</v>
      </c>
      <c r="M20" s="309" t="s">
        <v>1736</v>
      </c>
      <c r="N20" s="255" t="s">
        <v>418</v>
      </c>
      <c r="O20" s="266" t="s">
        <v>1642</v>
      </c>
    </row>
    <row r="21" spans="1:15" ht="17.25">
      <c r="A21" s="179" t="s">
        <v>1288</v>
      </c>
      <c r="B21" s="42"/>
      <c r="C21" s="42"/>
      <c r="D21" s="42"/>
      <c r="E21" s="42"/>
      <c r="F21" s="42"/>
      <c r="G21" s="42"/>
      <c r="H21" s="42"/>
      <c r="I21" s="42"/>
      <c r="J21" s="42"/>
      <c r="K21" s="293">
        <f>SUM(J19:J20)</f>
        <v>10734650</v>
      </c>
      <c r="L21" s="282"/>
      <c r="M21" s="267"/>
      <c r="N21" s="267"/>
      <c r="O21" s="267"/>
    </row>
    <row r="22" spans="1:15" ht="30">
      <c r="A22" s="180" t="s">
        <v>41</v>
      </c>
      <c r="B22" s="77" t="s">
        <v>42</v>
      </c>
      <c r="C22" s="70" t="s">
        <v>17</v>
      </c>
      <c r="D22" s="255"/>
      <c r="E22" s="325" t="e">
        <f>#REF!</f>
        <v>#REF!</v>
      </c>
      <c r="F22" s="325" t="e">
        <f>#REF!</f>
        <v>#REF!</v>
      </c>
      <c r="G22" s="325" t="e">
        <f>#REF!</f>
        <v>#REF!</v>
      </c>
      <c r="H22" s="325" t="e">
        <f t="shared" si="1"/>
        <v>#REF!</v>
      </c>
      <c r="I22" s="260"/>
      <c r="J22" s="266" t="e">
        <f>I22*H22</f>
        <v>#REF!</v>
      </c>
      <c r="K22" s="294"/>
      <c r="L22" s="271"/>
      <c r="M22" s="264"/>
      <c r="N22" s="260"/>
      <c r="O22" s="260"/>
    </row>
    <row r="23" spans="1:15" ht="30">
      <c r="A23" s="180" t="s">
        <v>41</v>
      </c>
      <c r="B23" s="77" t="s">
        <v>44</v>
      </c>
      <c r="C23" s="70" t="s">
        <v>17</v>
      </c>
      <c r="D23" s="255"/>
      <c r="E23" s="325" t="e">
        <f>#REF!</f>
        <v>#REF!</v>
      </c>
      <c r="F23" s="325" t="e">
        <f>#REF!</f>
        <v>#REF!</v>
      </c>
      <c r="G23" s="325" t="e">
        <f>#REF!</f>
        <v>#REF!</v>
      </c>
      <c r="H23" s="325" t="e">
        <f t="shared" si="1"/>
        <v>#REF!</v>
      </c>
      <c r="I23" s="261"/>
      <c r="J23" s="266" t="e">
        <f>I23*H23</f>
        <v>#REF!</v>
      </c>
      <c r="K23" s="295"/>
      <c r="L23" s="270"/>
      <c r="M23" s="263"/>
      <c r="N23" s="261"/>
      <c r="O23" s="260"/>
    </row>
    <row r="24" spans="1:15" ht="31.5">
      <c r="A24" s="179" t="s">
        <v>41</v>
      </c>
      <c r="B24" s="42"/>
      <c r="C24" s="42"/>
      <c r="D24" s="42"/>
      <c r="E24" s="42"/>
      <c r="F24" s="42"/>
      <c r="G24" s="42"/>
      <c r="H24" s="42"/>
      <c r="I24" s="42"/>
      <c r="J24" s="42"/>
      <c r="K24" s="293" t="e">
        <f>SUM(J22:J23)</f>
        <v>#REF!</v>
      </c>
      <c r="L24" s="281"/>
      <c r="M24" s="42"/>
      <c r="N24" s="42"/>
      <c r="O24" s="42"/>
    </row>
    <row r="25" spans="1:15" ht="30">
      <c r="A25" s="178" t="s">
        <v>1386</v>
      </c>
      <c r="B25" s="75" t="s">
        <v>1387</v>
      </c>
      <c r="C25" s="53" t="s">
        <v>1388</v>
      </c>
      <c r="D25" s="304">
        <v>3</v>
      </c>
      <c r="E25" s="325" t="e">
        <f>#REF!</f>
        <v>#REF!</v>
      </c>
      <c r="F25" s="325" t="e">
        <f>#REF!</f>
        <v>#REF!</v>
      </c>
      <c r="G25" s="325" t="e">
        <f>#REF!</f>
        <v>#REF!</v>
      </c>
      <c r="H25" s="325" t="e">
        <f t="shared" si="1"/>
        <v>#REF!</v>
      </c>
      <c r="I25" s="305">
        <v>40000</v>
      </c>
      <c r="J25" s="305">
        <f>I25*D25</f>
        <v>120000</v>
      </c>
      <c r="K25" s="311"/>
      <c r="L25" s="312">
        <v>42424</v>
      </c>
      <c r="M25" s="313" t="s">
        <v>15</v>
      </c>
      <c r="N25" s="304" t="s">
        <v>418</v>
      </c>
      <c r="O25" s="314" t="s">
        <v>1644</v>
      </c>
    </row>
    <row r="26" spans="1:15" ht="31.5">
      <c r="A26" s="178" t="s">
        <v>1386</v>
      </c>
      <c r="B26" s="75" t="s">
        <v>1551</v>
      </c>
      <c r="C26" s="176" t="s">
        <v>35</v>
      </c>
      <c r="D26" s="304">
        <v>7</v>
      </c>
      <c r="E26" s="325" t="e">
        <f>#REF!</f>
        <v>#REF!</v>
      </c>
      <c r="F26" s="325" t="e">
        <f>#REF!</f>
        <v>#REF!</v>
      </c>
      <c r="G26" s="325" t="e">
        <f>#REF!</f>
        <v>#REF!</v>
      </c>
      <c r="H26" s="325" t="e">
        <f t="shared" si="1"/>
        <v>#REF!</v>
      </c>
      <c r="I26" s="305">
        <v>6000</v>
      </c>
      <c r="J26" s="305">
        <f>I26*D26</f>
        <v>42000</v>
      </c>
      <c r="K26" s="315"/>
      <c r="L26" s="312">
        <v>42424</v>
      </c>
      <c r="M26" s="308" t="s">
        <v>1663</v>
      </c>
      <c r="N26" s="304" t="s">
        <v>418</v>
      </c>
      <c r="O26" s="314" t="s">
        <v>1642</v>
      </c>
    </row>
    <row r="27" spans="1:15" ht="30">
      <c r="A27" s="178" t="s">
        <v>1386</v>
      </c>
      <c r="B27" s="251" t="s">
        <v>1633</v>
      </c>
      <c r="C27" s="70" t="s">
        <v>17</v>
      </c>
      <c r="D27" s="304"/>
      <c r="E27" s="325" t="e">
        <f>#REF!</f>
        <v>#REF!</v>
      </c>
      <c r="F27" s="325" t="e">
        <f>#REF!</f>
        <v>#REF!</v>
      </c>
      <c r="G27" s="325" t="e">
        <f>#REF!</f>
        <v>#REF!</v>
      </c>
      <c r="H27" s="325" t="e">
        <f t="shared" si="1"/>
        <v>#REF!</v>
      </c>
      <c r="I27" s="305"/>
      <c r="J27" s="305" t="e">
        <f>I27*H27</f>
        <v>#REF!</v>
      </c>
      <c r="K27" s="311"/>
      <c r="L27" s="312"/>
      <c r="M27" s="313"/>
      <c r="N27" s="305"/>
      <c r="O27" s="314"/>
    </row>
    <row r="28" spans="1:15" ht="31.5">
      <c r="A28" s="178" t="s">
        <v>1386</v>
      </c>
      <c r="B28" s="75" t="s">
        <v>1699</v>
      </c>
      <c r="C28" s="70" t="s">
        <v>17</v>
      </c>
      <c r="D28" s="304">
        <v>1</v>
      </c>
      <c r="E28" s="325" t="e">
        <f>#REF!</f>
        <v>#REF!</v>
      </c>
      <c r="F28" s="325" t="e">
        <f>#REF!</f>
        <v>#REF!</v>
      </c>
      <c r="G28" s="325" t="e">
        <f>#REF!</f>
        <v>#REF!</v>
      </c>
      <c r="H28" s="325" t="e">
        <f t="shared" si="1"/>
        <v>#REF!</v>
      </c>
      <c r="I28" s="305">
        <v>33545.870000000003</v>
      </c>
      <c r="J28" s="305">
        <f>I28*D28</f>
        <v>33545.870000000003</v>
      </c>
      <c r="K28" s="315"/>
      <c r="L28" s="312">
        <v>42424</v>
      </c>
      <c r="M28" s="308" t="s">
        <v>1663</v>
      </c>
      <c r="N28" s="304" t="s">
        <v>418</v>
      </c>
      <c r="O28" s="314" t="s">
        <v>1642</v>
      </c>
    </row>
    <row r="29" spans="1:15" ht="31.5">
      <c r="A29" s="178" t="s">
        <v>1386</v>
      </c>
      <c r="B29" s="75" t="s">
        <v>1701</v>
      </c>
      <c r="C29" s="70" t="s">
        <v>17</v>
      </c>
      <c r="D29" s="304">
        <v>1</v>
      </c>
      <c r="E29" s="325" t="e">
        <f>#REF!</f>
        <v>#REF!</v>
      </c>
      <c r="F29" s="325" t="e">
        <f>#REF!</f>
        <v>#REF!</v>
      </c>
      <c r="G29" s="325" t="e">
        <f>#REF!</f>
        <v>#REF!</v>
      </c>
      <c r="H29" s="325" t="e">
        <f t="shared" si="1"/>
        <v>#REF!</v>
      </c>
      <c r="I29" s="305">
        <v>48024.76</v>
      </c>
      <c r="J29" s="305">
        <f>I29*D29</f>
        <v>48024.76</v>
      </c>
      <c r="K29" s="311"/>
      <c r="L29" s="312">
        <v>42398</v>
      </c>
      <c r="M29" s="308" t="s">
        <v>1663</v>
      </c>
      <c r="N29" s="304" t="s">
        <v>418</v>
      </c>
      <c r="O29" s="314" t="s">
        <v>1644</v>
      </c>
    </row>
    <row r="30" spans="1:15" ht="31.5">
      <c r="A30" s="178" t="s">
        <v>1386</v>
      </c>
      <c r="B30" s="75" t="s">
        <v>1764</v>
      </c>
      <c r="C30" s="70" t="s">
        <v>17</v>
      </c>
      <c r="D30" s="304">
        <v>1</v>
      </c>
      <c r="E30" s="325">
        <v>0</v>
      </c>
      <c r="F30" s="325">
        <v>0</v>
      </c>
      <c r="G30" s="325">
        <v>0</v>
      </c>
      <c r="H30" s="325">
        <f>G30+F30+E30+D30</f>
        <v>1</v>
      </c>
      <c r="I30" s="305">
        <v>13599.84</v>
      </c>
      <c r="J30" s="305">
        <f>I30*D30</f>
        <v>13599.84</v>
      </c>
      <c r="K30" s="311"/>
      <c r="L30" s="312">
        <v>42458</v>
      </c>
      <c r="M30" s="308" t="s">
        <v>1663</v>
      </c>
      <c r="N30" s="304" t="s">
        <v>418</v>
      </c>
      <c r="O30" s="314" t="s">
        <v>1644</v>
      </c>
    </row>
    <row r="31" spans="1:15" ht="31.5">
      <c r="A31" s="178" t="s">
        <v>1386</v>
      </c>
      <c r="B31" s="75" t="s">
        <v>1389</v>
      </c>
      <c r="C31" s="53" t="s">
        <v>1390</v>
      </c>
      <c r="D31" s="304">
        <v>1441</v>
      </c>
      <c r="E31" s="325" t="e">
        <f>#REF!</f>
        <v>#REF!</v>
      </c>
      <c r="F31" s="325" t="e">
        <f>#REF!</f>
        <v>#REF!</v>
      </c>
      <c r="G31" s="325" t="e">
        <f>#REF!</f>
        <v>#REF!</v>
      </c>
      <c r="H31" s="325" t="e">
        <f t="shared" si="1"/>
        <v>#REF!</v>
      </c>
      <c r="I31" s="305">
        <v>25</v>
      </c>
      <c r="J31" s="305">
        <f>I31*D31</f>
        <v>36025</v>
      </c>
      <c r="K31" s="315"/>
      <c r="L31" s="316">
        <v>42419</v>
      </c>
      <c r="M31" s="308" t="s">
        <v>1663</v>
      </c>
      <c r="N31" s="304" t="s">
        <v>418</v>
      </c>
      <c r="O31" s="314" t="s">
        <v>1644</v>
      </c>
    </row>
    <row r="32" spans="1:15" ht="31.5">
      <c r="A32" s="179" t="s">
        <v>1386</v>
      </c>
      <c r="B32" s="42"/>
      <c r="C32" s="42"/>
      <c r="D32" s="42"/>
      <c r="E32" s="42"/>
      <c r="F32" s="42"/>
      <c r="G32" s="42"/>
      <c r="H32" s="42"/>
      <c r="I32" s="42"/>
      <c r="J32" s="42"/>
      <c r="K32" s="293" t="e">
        <f>SUM(J25:J31)</f>
        <v>#REF!</v>
      </c>
      <c r="L32" s="281"/>
      <c r="M32" s="42"/>
      <c r="N32" s="42"/>
      <c r="O32" s="42"/>
    </row>
    <row r="33" spans="1:15" ht="31.5">
      <c r="A33" s="180" t="s">
        <v>1672</v>
      </c>
      <c r="B33" s="77" t="s">
        <v>1673</v>
      </c>
      <c r="C33" s="244" t="s">
        <v>17</v>
      </c>
      <c r="D33" s="289">
        <v>1</v>
      </c>
      <c r="E33" s="325" t="e">
        <f>#REF!</f>
        <v>#REF!</v>
      </c>
      <c r="F33" s="325" t="e">
        <f>#REF!</f>
        <v>#REF!</v>
      </c>
      <c r="G33" s="325" t="e">
        <f>#REF!</f>
        <v>#REF!</v>
      </c>
      <c r="H33" s="325" t="e">
        <f t="shared" si="1"/>
        <v>#REF!</v>
      </c>
      <c r="I33" s="317">
        <v>36889.160000000003</v>
      </c>
      <c r="J33" s="290">
        <f>I33*D33</f>
        <v>36889.160000000003</v>
      </c>
      <c r="K33" s="306"/>
      <c r="L33" s="310">
        <v>42403</v>
      </c>
      <c r="M33" s="308" t="s">
        <v>1663</v>
      </c>
      <c r="N33" s="255" t="s">
        <v>418</v>
      </c>
      <c r="O33" s="266" t="s">
        <v>1644</v>
      </c>
    </row>
    <row r="34" spans="1:15" ht="17.25">
      <c r="A34" s="180" t="s">
        <v>46</v>
      </c>
      <c r="B34" s="77" t="s">
        <v>1391</v>
      </c>
      <c r="C34" s="244" t="s">
        <v>17</v>
      </c>
      <c r="D34" s="289"/>
      <c r="E34" s="325" t="e">
        <f>#REF!</f>
        <v>#REF!</v>
      </c>
      <c r="F34" s="325" t="e">
        <f>#REF!</f>
        <v>#REF!</v>
      </c>
      <c r="G34" s="325" t="e">
        <f>#REF!</f>
        <v>#REF!</v>
      </c>
      <c r="H34" s="325" t="e">
        <f t="shared" si="1"/>
        <v>#REF!</v>
      </c>
      <c r="I34" s="317"/>
      <c r="J34" s="290" t="e">
        <f>I34*H34</f>
        <v>#REF!</v>
      </c>
      <c r="K34" s="307"/>
      <c r="L34" s="318"/>
      <c r="M34" s="319"/>
      <c r="N34" s="317"/>
      <c r="O34" s="266"/>
    </row>
    <row r="35" spans="1:15" ht="17.25">
      <c r="A35" s="180" t="s">
        <v>46</v>
      </c>
      <c r="B35" s="77" t="s">
        <v>1392</v>
      </c>
      <c r="C35" s="177" t="s">
        <v>17</v>
      </c>
      <c r="D35" s="255"/>
      <c r="E35" s="325" t="e">
        <f>#REF!</f>
        <v>#REF!</v>
      </c>
      <c r="F35" s="325" t="e">
        <f>#REF!</f>
        <v>#REF!</v>
      </c>
      <c r="G35" s="325" t="e">
        <f>#REF!</f>
        <v>#REF!</v>
      </c>
      <c r="H35" s="325" t="e">
        <f t="shared" si="1"/>
        <v>#REF!</v>
      </c>
      <c r="I35" s="265"/>
      <c r="J35" s="290" t="e">
        <f>I35*H35</f>
        <v>#REF!</v>
      </c>
      <c r="K35" s="306"/>
      <c r="L35" s="310"/>
      <c r="M35" s="308"/>
      <c r="N35" s="265"/>
      <c r="O35" s="266"/>
    </row>
    <row r="36" spans="1:15" ht="31.5">
      <c r="A36" s="180" t="s">
        <v>1666</v>
      </c>
      <c r="B36" s="77" t="s">
        <v>1669</v>
      </c>
      <c r="C36" s="177" t="s">
        <v>17</v>
      </c>
      <c r="D36" s="255">
        <v>1</v>
      </c>
      <c r="E36" s="325" t="e">
        <f>#REF!</f>
        <v>#REF!</v>
      </c>
      <c r="F36" s="325" t="e">
        <f>#REF!</f>
        <v>#REF!</v>
      </c>
      <c r="G36" s="325" t="e">
        <f>#REF!</f>
        <v>#REF!</v>
      </c>
      <c r="H36" s="325" t="e">
        <f t="shared" si="1"/>
        <v>#REF!</v>
      </c>
      <c r="I36" s="265">
        <v>42422.239999999998</v>
      </c>
      <c r="J36" s="265">
        <f t="shared" ref="J36:J49" si="2">I36*D36</f>
        <v>42422.239999999998</v>
      </c>
      <c r="K36" s="307"/>
      <c r="L36" s="310">
        <v>42401</v>
      </c>
      <c r="M36" s="308" t="s">
        <v>1663</v>
      </c>
      <c r="N36" s="255" t="s">
        <v>418</v>
      </c>
      <c r="O36" s="266" t="s">
        <v>1642</v>
      </c>
    </row>
    <row r="37" spans="1:15" ht="31.5">
      <c r="A37" s="180" t="s">
        <v>1667</v>
      </c>
      <c r="B37" s="77" t="s">
        <v>1670</v>
      </c>
      <c r="C37" s="177" t="s">
        <v>290</v>
      </c>
      <c r="D37" s="255">
        <v>2</v>
      </c>
      <c r="E37" s="325" t="e">
        <f>#REF!</f>
        <v>#REF!</v>
      </c>
      <c r="F37" s="325" t="e">
        <f>#REF!</f>
        <v>#REF!</v>
      </c>
      <c r="G37" s="325" t="e">
        <f>#REF!</f>
        <v>#REF!</v>
      </c>
      <c r="H37" s="325" t="e">
        <f t="shared" si="1"/>
        <v>#REF!</v>
      </c>
      <c r="I37" s="265">
        <v>10920</v>
      </c>
      <c r="J37" s="265">
        <f t="shared" si="2"/>
        <v>21840</v>
      </c>
      <c r="K37" s="306"/>
      <c r="L37" s="310">
        <v>42401</v>
      </c>
      <c r="M37" s="308" t="s">
        <v>1663</v>
      </c>
      <c r="N37" s="255" t="s">
        <v>418</v>
      </c>
      <c r="O37" s="266" t="s">
        <v>1642</v>
      </c>
    </row>
    <row r="38" spans="1:15" ht="31.5">
      <c r="A38" s="180" t="s">
        <v>1668</v>
      </c>
      <c r="B38" s="77" t="s">
        <v>1692</v>
      </c>
      <c r="C38" s="177" t="s">
        <v>17</v>
      </c>
      <c r="D38" s="255">
        <v>2</v>
      </c>
      <c r="E38" s="325" t="e">
        <f>#REF!</f>
        <v>#REF!</v>
      </c>
      <c r="F38" s="325" t="e">
        <f>#REF!</f>
        <v>#REF!</v>
      </c>
      <c r="G38" s="325" t="e">
        <f>#REF!</f>
        <v>#REF!</v>
      </c>
      <c r="H38" s="325" t="e">
        <f t="shared" si="1"/>
        <v>#REF!</v>
      </c>
      <c r="I38" s="265">
        <v>19975.419999999998</v>
      </c>
      <c r="J38" s="265">
        <f t="shared" si="2"/>
        <v>39950.839999999997</v>
      </c>
      <c r="K38" s="307"/>
      <c r="L38" s="310">
        <v>42423</v>
      </c>
      <c r="M38" s="308" t="s">
        <v>1663</v>
      </c>
      <c r="N38" s="255" t="s">
        <v>418</v>
      </c>
      <c r="O38" s="266" t="s">
        <v>1642</v>
      </c>
    </row>
    <row r="39" spans="1:15" ht="31.5">
      <c r="A39" s="180" t="s">
        <v>1668</v>
      </c>
      <c r="B39" s="77" t="s">
        <v>1671</v>
      </c>
      <c r="C39" s="177" t="s">
        <v>17</v>
      </c>
      <c r="D39" s="255">
        <v>8</v>
      </c>
      <c r="E39" s="325" t="e">
        <f>#REF!</f>
        <v>#REF!</v>
      </c>
      <c r="F39" s="325" t="e">
        <f>#REF!</f>
        <v>#REF!</v>
      </c>
      <c r="G39" s="325" t="e">
        <f>#REF!</f>
        <v>#REF!</v>
      </c>
      <c r="H39" s="325" t="e">
        <f t="shared" si="1"/>
        <v>#REF!</v>
      </c>
      <c r="I39" s="265">
        <v>1000</v>
      </c>
      <c r="J39" s="265">
        <f t="shared" si="2"/>
        <v>8000</v>
      </c>
      <c r="K39" s="306"/>
      <c r="L39" s="310">
        <v>42401</v>
      </c>
      <c r="M39" s="308" t="s">
        <v>1663</v>
      </c>
      <c r="N39" s="255" t="s">
        <v>418</v>
      </c>
      <c r="O39" s="266" t="s">
        <v>1644</v>
      </c>
    </row>
    <row r="40" spans="1:15" ht="31.5">
      <c r="A40" s="180" t="s">
        <v>46</v>
      </c>
      <c r="B40" s="77" t="s">
        <v>1693</v>
      </c>
      <c r="C40" s="177" t="s">
        <v>17</v>
      </c>
      <c r="D40" s="255">
        <v>1</v>
      </c>
      <c r="E40" s="325" t="e">
        <f>#REF!</f>
        <v>#REF!</v>
      </c>
      <c r="F40" s="325" t="e">
        <f>#REF!</f>
        <v>#REF!</v>
      </c>
      <c r="G40" s="325" t="e">
        <f>#REF!</f>
        <v>#REF!</v>
      </c>
      <c r="H40" s="325" t="e">
        <f t="shared" si="1"/>
        <v>#REF!</v>
      </c>
      <c r="I40" s="265">
        <v>21072.15</v>
      </c>
      <c r="J40" s="265">
        <f t="shared" si="2"/>
        <v>21072.15</v>
      </c>
      <c r="K40" s="307"/>
      <c r="L40" s="310">
        <v>42376</v>
      </c>
      <c r="M40" s="308" t="s">
        <v>1663</v>
      </c>
      <c r="N40" s="255" t="s">
        <v>418</v>
      </c>
      <c r="O40" s="266" t="s">
        <v>1644</v>
      </c>
    </row>
    <row r="41" spans="1:15" ht="31.5">
      <c r="A41" s="180" t="s">
        <v>46</v>
      </c>
      <c r="B41" s="77" t="s">
        <v>1694</v>
      </c>
      <c r="C41" s="177" t="s">
        <v>17</v>
      </c>
      <c r="D41" s="255">
        <v>1</v>
      </c>
      <c r="E41" s="325" t="e">
        <f>#REF!</f>
        <v>#REF!</v>
      </c>
      <c r="F41" s="325" t="e">
        <f>#REF!</f>
        <v>#REF!</v>
      </c>
      <c r="G41" s="325" t="e">
        <f>#REF!</f>
        <v>#REF!</v>
      </c>
      <c r="H41" s="325" t="e">
        <f t="shared" si="1"/>
        <v>#REF!</v>
      </c>
      <c r="I41" s="265">
        <v>41502.43</v>
      </c>
      <c r="J41" s="265">
        <f t="shared" si="2"/>
        <v>41502.43</v>
      </c>
      <c r="K41" s="307"/>
      <c r="L41" s="310">
        <v>42425</v>
      </c>
      <c r="M41" s="308" t="s">
        <v>1663</v>
      </c>
      <c r="N41" s="255" t="s">
        <v>418</v>
      </c>
      <c r="O41" s="266" t="s">
        <v>1644</v>
      </c>
    </row>
    <row r="42" spans="1:15" ht="17.25">
      <c r="A42" s="180" t="s">
        <v>46</v>
      </c>
      <c r="B42" s="77" t="s">
        <v>1393</v>
      </c>
      <c r="C42" s="177" t="s">
        <v>17</v>
      </c>
      <c r="D42" s="255"/>
      <c r="E42" s="325" t="e">
        <f>#REF!</f>
        <v>#REF!</v>
      </c>
      <c r="F42" s="325" t="e">
        <f>#REF!</f>
        <v>#REF!</v>
      </c>
      <c r="G42" s="325" t="e">
        <f>#REF!</f>
        <v>#REF!</v>
      </c>
      <c r="H42" s="325" t="e">
        <f t="shared" si="1"/>
        <v>#REF!</v>
      </c>
      <c r="I42" s="266"/>
      <c r="J42" s="265">
        <f t="shared" si="2"/>
        <v>0</v>
      </c>
      <c r="K42" s="306"/>
      <c r="L42" s="280"/>
      <c r="M42" s="309"/>
      <c r="N42" s="266"/>
      <c r="O42" s="266"/>
    </row>
    <row r="43" spans="1:15" ht="17.25">
      <c r="A43" s="180" t="s">
        <v>46</v>
      </c>
      <c r="B43" s="77" t="s">
        <v>1394</v>
      </c>
      <c r="C43" s="177" t="s">
        <v>17</v>
      </c>
      <c r="D43" s="255"/>
      <c r="E43" s="325" t="e">
        <f>#REF!</f>
        <v>#REF!</v>
      </c>
      <c r="F43" s="325" t="e">
        <f>#REF!</f>
        <v>#REF!</v>
      </c>
      <c r="G43" s="325" t="e">
        <f>#REF!</f>
        <v>#REF!</v>
      </c>
      <c r="H43" s="325" t="e">
        <f t="shared" si="1"/>
        <v>#REF!</v>
      </c>
      <c r="I43" s="265"/>
      <c r="J43" s="265">
        <f t="shared" si="2"/>
        <v>0</v>
      </c>
      <c r="K43" s="307"/>
      <c r="L43" s="310"/>
      <c r="M43" s="308"/>
      <c r="N43" s="265"/>
      <c r="O43" s="266"/>
    </row>
    <row r="44" spans="1:15" ht="17.25">
      <c r="A44" s="180" t="s">
        <v>46</v>
      </c>
      <c r="B44" s="77" t="s">
        <v>1395</v>
      </c>
      <c r="C44" s="177" t="s">
        <v>17</v>
      </c>
      <c r="D44" s="255"/>
      <c r="E44" s="325" t="e">
        <f>#REF!</f>
        <v>#REF!</v>
      </c>
      <c r="F44" s="325" t="e">
        <f>#REF!</f>
        <v>#REF!</v>
      </c>
      <c r="G44" s="325" t="e">
        <f>#REF!</f>
        <v>#REF!</v>
      </c>
      <c r="H44" s="325" t="e">
        <f t="shared" si="1"/>
        <v>#REF!</v>
      </c>
      <c r="I44" s="266"/>
      <c r="J44" s="265">
        <f t="shared" si="2"/>
        <v>0</v>
      </c>
      <c r="K44" s="306"/>
      <c r="L44" s="280"/>
      <c r="M44" s="309"/>
      <c r="N44" s="266"/>
      <c r="O44" s="266"/>
    </row>
    <row r="45" spans="1:15" ht="17.25">
      <c r="A45" s="180" t="s">
        <v>46</v>
      </c>
      <c r="B45" s="77" t="s">
        <v>1396</v>
      </c>
      <c r="C45" s="177" t="s">
        <v>17</v>
      </c>
      <c r="D45" s="255"/>
      <c r="E45" s="325" t="e">
        <f>#REF!</f>
        <v>#REF!</v>
      </c>
      <c r="F45" s="325" t="e">
        <f>#REF!</f>
        <v>#REF!</v>
      </c>
      <c r="G45" s="325" t="e">
        <f>#REF!</f>
        <v>#REF!</v>
      </c>
      <c r="H45" s="325" t="e">
        <f t="shared" si="1"/>
        <v>#REF!</v>
      </c>
      <c r="I45" s="265"/>
      <c r="J45" s="265">
        <f t="shared" si="2"/>
        <v>0</v>
      </c>
      <c r="K45" s="307"/>
      <c r="L45" s="310"/>
      <c r="M45" s="308"/>
      <c r="N45" s="265"/>
      <c r="O45" s="266"/>
    </row>
    <row r="46" spans="1:15" ht="17.25">
      <c r="A46" s="180" t="s">
        <v>46</v>
      </c>
      <c r="B46" s="77" t="s">
        <v>1622</v>
      </c>
      <c r="C46" s="177" t="s">
        <v>17</v>
      </c>
      <c r="D46" s="255"/>
      <c r="E46" s="325" t="e">
        <f>#REF!</f>
        <v>#REF!</v>
      </c>
      <c r="F46" s="325" t="e">
        <f>#REF!</f>
        <v>#REF!</v>
      </c>
      <c r="G46" s="325" t="e">
        <f>#REF!</f>
        <v>#REF!</v>
      </c>
      <c r="H46" s="325" t="e">
        <f t="shared" si="1"/>
        <v>#REF!</v>
      </c>
      <c r="I46" s="266"/>
      <c r="J46" s="265">
        <f t="shared" si="2"/>
        <v>0</v>
      </c>
      <c r="K46" s="306"/>
      <c r="L46" s="280"/>
      <c r="M46" s="309"/>
      <c r="N46" s="255"/>
      <c r="O46" s="266"/>
    </row>
    <row r="47" spans="1:15" ht="17.25">
      <c r="A47" s="180" t="s">
        <v>46</v>
      </c>
      <c r="B47" s="77" t="s">
        <v>1397</v>
      </c>
      <c r="C47" s="177" t="s">
        <v>17</v>
      </c>
      <c r="D47" s="255"/>
      <c r="E47" s="325" t="e">
        <f>#REF!</f>
        <v>#REF!</v>
      </c>
      <c r="F47" s="325" t="e">
        <f>#REF!</f>
        <v>#REF!</v>
      </c>
      <c r="G47" s="325" t="e">
        <f>#REF!</f>
        <v>#REF!</v>
      </c>
      <c r="H47" s="325" t="e">
        <f t="shared" si="1"/>
        <v>#REF!</v>
      </c>
      <c r="I47" s="265"/>
      <c r="J47" s="265">
        <f t="shared" si="2"/>
        <v>0</v>
      </c>
      <c r="K47" s="307"/>
      <c r="L47" s="310"/>
      <c r="M47" s="308"/>
      <c r="N47" s="254"/>
      <c r="O47" s="266"/>
    </row>
    <row r="48" spans="1:15" ht="17.25">
      <c r="A48" s="180" t="s">
        <v>46</v>
      </c>
      <c r="B48" s="77" t="s">
        <v>550</v>
      </c>
      <c r="C48" s="70" t="s">
        <v>17</v>
      </c>
      <c r="D48" s="255">
        <v>42</v>
      </c>
      <c r="E48" s="325" t="e">
        <f>#REF!</f>
        <v>#REF!</v>
      </c>
      <c r="F48" s="325" t="e">
        <f>#REF!</f>
        <v>#REF!</v>
      </c>
      <c r="G48" s="325" t="e">
        <f>#REF!</f>
        <v>#REF!</v>
      </c>
      <c r="H48" s="325" t="e">
        <f t="shared" si="1"/>
        <v>#REF!</v>
      </c>
      <c r="I48" s="265">
        <v>5889.84</v>
      </c>
      <c r="J48" s="265" t="e">
        <f>I48*H48</f>
        <v>#REF!</v>
      </c>
      <c r="K48" s="306"/>
      <c r="L48" s="280">
        <v>42352</v>
      </c>
      <c r="M48" s="313" t="s">
        <v>15</v>
      </c>
      <c r="N48" s="255" t="s">
        <v>418</v>
      </c>
      <c r="O48" s="255" t="s">
        <v>418</v>
      </c>
    </row>
    <row r="49" spans="1:15" ht="17.25">
      <c r="A49" s="180" t="s">
        <v>46</v>
      </c>
      <c r="B49" s="77" t="s">
        <v>551</v>
      </c>
      <c r="C49" s="70" t="s">
        <v>17</v>
      </c>
      <c r="D49" s="255">
        <v>8</v>
      </c>
      <c r="E49" s="325" t="e">
        <f>#REF!</f>
        <v>#REF!</v>
      </c>
      <c r="F49" s="325" t="e">
        <f>#REF!</f>
        <v>#REF!</v>
      </c>
      <c r="G49" s="325" t="e">
        <f>#REF!</f>
        <v>#REF!</v>
      </c>
      <c r="H49" s="325" t="e">
        <f t="shared" si="1"/>
        <v>#REF!</v>
      </c>
      <c r="I49" s="265">
        <v>12271.39</v>
      </c>
      <c r="J49" s="265">
        <f t="shared" si="2"/>
        <v>98171.12</v>
      </c>
      <c r="K49" s="307"/>
      <c r="L49" s="280">
        <v>42352</v>
      </c>
      <c r="M49" s="313" t="s">
        <v>15</v>
      </c>
      <c r="N49" s="255" t="s">
        <v>418</v>
      </c>
      <c r="O49" s="255" t="s">
        <v>418</v>
      </c>
    </row>
    <row r="50" spans="1:15" ht="17.25">
      <c r="A50" s="180" t="s">
        <v>46</v>
      </c>
      <c r="B50" s="77" t="s">
        <v>552</v>
      </c>
      <c r="C50" s="70" t="s">
        <v>17</v>
      </c>
      <c r="D50" s="255"/>
      <c r="E50" s="325" t="e">
        <f>#REF!</f>
        <v>#REF!</v>
      </c>
      <c r="F50" s="325" t="e">
        <f>#REF!</f>
        <v>#REF!</v>
      </c>
      <c r="G50" s="325" t="e">
        <f>#REF!</f>
        <v>#REF!</v>
      </c>
      <c r="H50" s="325" t="e">
        <f t="shared" si="1"/>
        <v>#REF!</v>
      </c>
      <c r="I50" s="266"/>
      <c r="J50" s="265" t="e">
        <f t="shared" ref="J50:J65" si="3">I50*H50</f>
        <v>#REF!</v>
      </c>
      <c r="K50" s="306"/>
      <c r="L50" s="280"/>
      <c r="M50" s="309"/>
      <c r="N50" s="255"/>
      <c r="O50" s="266"/>
    </row>
    <row r="51" spans="1:15" ht="17.25">
      <c r="A51" s="180" t="s">
        <v>46</v>
      </c>
      <c r="B51" s="77" t="s">
        <v>54</v>
      </c>
      <c r="C51" s="70" t="s">
        <v>17</v>
      </c>
      <c r="D51" s="255"/>
      <c r="E51" s="325" t="e">
        <f>#REF!</f>
        <v>#REF!</v>
      </c>
      <c r="F51" s="325" t="e">
        <f>#REF!</f>
        <v>#REF!</v>
      </c>
      <c r="G51" s="325" t="e">
        <f>#REF!</f>
        <v>#REF!</v>
      </c>
      <c r="H51" s="325" t="e">
        <f t="shared" si="1"/>
        <v>#REF!</v>
      </c>
      <c r="I51" s="265"/>
      <c r="J51" s="265" t="e">
        <f t="shared" si="3"/>
        <v>#REF!</v>
      </c>
      <c r="K51" s="307"/>
      <c r="L51" s="310"/>
      <c r="M51" s="308"/>
      <c r="N51" s="254"/>
      <c r="O51" s="266"/>
    </row>
    <row r="52" spans="1:15" ht="17.25">
      <c r="A52" s="180" t="s">
        <v>46</v>
      </c>
      <c r="B52" s="77" t="s">
        <v>53</v>
      </c>
      <c r="C52" s="70" t="s">
        <v>17</v>
      </c>
      <c r="D52" s="255"/>
      <c r="E52" s="325" t="e">
        <f>#REF!</f>
        <v>#REF!</v>
      </c>
      <c r="F52" s="325" t="e">
        <f>#REF!</f>
        <v>#REF!</v>
      </c>
      <c r="G52" s="325" t="e">
        <f>#REF!</f>
        <v>#REF!</v>
      </c>
      <c r="H52" s="325" t="e">
        <f t="shared" si="1"/>
        <v>#REF!</v>
      </c>
      <c r="I52" s="266"/>
      <c r="J52" s="265" t="e">
        <f t="shared" si="3"/>
        <v>#REF!</v>
      </c>
      <c r="K52" s="306"/>
      <c r="L52" s="280"/>
      <c r="M52" s="309"/>
      <c r="N52" s="255"/>
      <c r="O52" s="266"/>
    </row>
    <row r="53" spans="1:15" ht="17.25">
      <c r="A53" s="180" t="s">
        <v>46</v>
      </c>
      <c r="B53" s="77" t="s">
        <v>553</v>
      </c>
      <c r="C53" s="70" t="s">
        <v>17</v>
      </c>
      <c r="D53" s="255"/>
      <c r="E53" s="325" t="e">
        <f>#REF!</f>
        <v>#REF!</v>
      </c>
      <c r="F53" s="325" t="e">
        <f>#REF!</f>
        <v>#REF!</v>
      </c>
      <c r="G53" s="325" t="e">
        <f>#REF!</f>
        <v>#REF!</v>
      </c>
      <c r="H53" s="325" t="e">
        <f t="shared" si="1"/>
        <v>#REF!</v>
      </c>
      <c r="I53" s="265"/>
      <c r="J53" s="265" t="e">
        <f t="shared" si="3"/>
        <v>#REF!</v>
      </c>
      <c r="K53" s="307"/>
      <c r="L53" s="310"/>
      <c r="M53" s="308"/>
      <c r="N53" s="254"/>
      <c r="O53" s="266"/>
    </row>
    <row r="54" spans="1:15" ht="17.25">
      <c r="A54" s="180" t="s">
        <v>46</v>
      </c>
      <c r="B54" s="77" t="s">
        <v>554</v>
      </c>
      <c r="C54" s="70" t="s">
        <v>17</v>
      </c>
      <c r="D54" s="255"/>
      <c r="E54" s="325" t="e">
        <f>#REF!</f>
        <v>#REF!</v>
      </c>
      <c r="F54" s="325" t="e">
        <f>#REF!</f>
        <v>#REF!</v>
      </c>
      <c r="G54" s="325" t="e">
        <f>#REF!</f>
        <v>#REF!</v>
      </c>
      <c r="H54" s="325" t="e">
        <f t="shared" si="1"/>
        <v>#REF!</v>
      </c>
      <c r="I54" s="266"/>
      <c r="J54" s="265" t="e">
        <f t="shared" si="3"/>
        <v>#REF!</v>
      </c>
      <c r="K54" s="306"/>
      <c r="L54" s="280"/>
      <c r="M54" s="309"/>
      <c r="N54" s="255"/>
      <c r="O54" s="266"/>
    </row>
    <row r="55" spans="1:15" ht="17.25">
      <c r="A55" s="180" t="s">
        <v>46</v>
      </c>
      <c r="B55" s="77" t="s">
        <v>555</v>
      </c>
      <c r="C55" s="70" t="s">
        <v>17</v>
      </c>
      <c r="D55" s="255"/>
      <c r="E55" s="325" t="e">
        <f>#REF!</f>
        <v>#REF!</v>
      </c>
      <c r="F55" s="325" t="e">
        <f>#REF!</f>
        <v>#REF!</v>
      </c>
      <c r="G55" s="325" t="e">
        <f>#REF!</f>
        <v>#REF!</v>
      </c>
      <c r="H55" s="325" t="e">
        <f t="shared" si="1"/>
        <v>#REF!</v>
      </c>
      <c r="I55" s="265"/>
      <c r="J55" s="265" t="e">
        <f t="shared" si="3"/>
        <v>#REF!</v>
      </c>
      <c r="K55" s="307"/>
      <c r="L55" s="310"/>
      <c r="M55" s="308"/>
      <c r="N55" s="254"/>
      <c r="O55" s="266"/>
    </row>
    <row r="56" spans="1:15" ht="31.5">
      <c r="A56" s="180" t="s">
        <v>46</v>
      </c>
      <c r="B56" s="77" t="s">
        <v>1741</v>
      </c>
      <c r="C56" s="70" t="s">
        <v>17</v>
      </c>
      <c r="D56" s="255">
        <v>4</v>
      </c>
      <c r="E56" s="325" t="e">
        <f>#REF!</f>
        <v>#REF!</v>
      </c>
      <c r="F56" s="325" t="e">
        <f>#REF!</f>
        <v>#REF!</v>
      </c>
      <c r="G56" s="325" t="e">
        <f>#REF!</f>
        <v>#REF!</v>
      </c>
      <c r="H56" s="325" t="e">
        <f>G56+F56+E56+D56</f>
        <v>#REF!</v>
      </c>
      <c r="I56" s="265">
        <v>11758.48</v>
      </c>
      <c r="J56" s="265" t="e">
        <f>I56*H56</f>
        <v>#REF!</v>
      </c>
      <c r="K56" s="307"/>
      <c r="L56" s="280">
        <v>42352</v>
      </c>
      <c r="M56" s="308" t="s">
        <v>1663</v>
      </c>
      <c r="N56" s="255" t="s">
        <v>418</v>
      </c>
      <c r="O56" s="255" t="s">
        <v>418</v>
      </c>
    </row>
    <row r="57" spans="1:15" ht="17.25">
      <c r="A57" s="180" t="s">
        <v>46</v>
      </c>
      <c r="B57" s="77" t="s">
        <v>556</v>
      </c>
      <c r="C57" s="70" t="s">
        <v>17</v>
      </c>
      <c r="D57" s="255"/>
      <c r="E57" s="325" t="e">
        <f>#REF!</f>
        <v>#REF!</v>
      </c>
      <c r="F57" s="325" t="e">
        <f>#REF!</f>
        <v>#REF!</v>
      </c>
      <c r="G57" s="325" t="e">
        <f>#REF!</f>
        <v>#REF!</v>
      </c>
      <c r="H57" s="325" t="e">
        <f t="shared" si="1"/>
        <v>#REF!</v>
      </c>
      <c r="I57" s="266"/>
      <c r="J57" s="265" t="e">
        <f t="shared" si="3"/>
        <v>#REF!</v>
      </c>
      <c r="K57" s="306"/>
      <c r="L57" s="280"/>
      <c r="M57" s="309"/>
      <c r="N57" s="255"/>
      <c r="O57" s="266"/>
    </row>
    <row r="58" spans="1:15" ht="17.25">
      <c r="A58" s="180" t="s">
        <v>46</v>
      </c>
      <c r="B58" s="77" t="s">
        <v>557</v>
      </c>
      <c r="C58" s="70" t="s">
        <v>17</v>
      </c>
      <c r="D58" s="255"/>
      <c r="E58" s="325" t="e">
        <f>#REF!</f>
        <v>#REF!</v>
      </c>
      <c r="F58" s="325" t="e">
        <f>#REF!</f>
        <v>#REF!</v>
      </c>
      <c r="G58" s="325" t="e">
        <f>#REF!</f>
        <v>#REF!</v>
      </c>
      <c r="H58" s="325" t="e">
        <f t="shared" si="1"/>
        <v>#REF!</v>
      </c>
      <c r="I58" s="265"/>
      <c r="J58" s="265" t="e">
        <f t="shared" si="3"/>
        <v>#REF!</v>
      </c>
      <c r="K58" s="307"/>
      <c r="L58" s="310"/>
      <c r="M58" s="308"/>
      <c r="N58" s="254"/>
      <c r="O58" s="266"/>
    </row>
    <row r="59" spans="1:15" ht="17.25">
      <c r="A59" s="180" t="s">
        <v>46</v>
      </c>
      <c r="B59" s="77" t="s">
        <v>558</v>
      </c>
      <c r="C59" s="70" t="s">
        <v>17</v>
      </c>
      <c r="D59" s="255"/>
      <c r="E59" s="325" t="e">
        <f>#REF!</f>
        <v>#REF!</v>
      </c>
      <c r="F59" s="325" t="e">
        <f>#REF!</f>
        <v>#REF!</v>
      </c>
      <c r="G59" s="325" t="e">
        <f>#REF!</f>
        <v>#REF!</v>
      </c>
      <c r="H59" s="325" t="e">
        <f t="shared" si="1"/>
        <v>#REF!</v>
      </c>
      <c r="I59" s="266"/>
      <c r="J59" s="265" t="e">
        <f t="shared" si="3"/>
        <v>#REF!</v>
      </c>
      <c r="K59" s="306"/>
      <c r="L59" s="280"/>
      <c r="M59" s="309"/>
      <c r="N59" s="255"/>
      <c r="O59" s="266"/>
    </row>
    <row r="60" spans="1:15" ht="17.25">
      <c r="A60" s="180" t="s">
        <v>46</v>
      </c>
      <c r="B60" s="77" t="s">
        <v>1398</v>
      </c>
      <c r="C60" s="70" t="s">
        <v>17</v>
      </c>
      <c r="D60" s="255">
        <v>28</v>
      </c>
      <c r="E60" s="325" t="e">
        <f>#REF!</f>
        <v>#REF!</v>
      </c>
      <c r="F60" s="325" t="e">
        <f>#REF!</f>
        <v>#REF!</v>
      </c>
      <c r="G60" s="325" t="e">
        <f>#REF!</f>
        <v>#REF!</v>
      </c>
      <c r="H60" s="325" t="e">
        <f t="shared" si="1"/>
        <v>#REF!</v>
      </c>
      <c r="I60" s="265">
        <v>6229.66</v>
      </c>
      <c r="J60" s="265" t="e">
        <f t="shared" si="3"/>
        <v>#REF!</v>
      </c>
      <c r="K60" s="307"/>
      <c r="L60" s="280">
        <v>42352</v>
      </c>
      <c r="M60" s="313" t="s">
        <v>15</v>
      </c>
      <c r="N60" s="255" t="s">
        <v>418</v>
      </c>
      <c r="O60" s="255" t="s">
        <v>418</v>
      </c>
    </row>
    <row r="61" spans="1:15" ht="17.25">
      <c r="A61" s="180" t="s">
        <v>46</v>
      </c>
      <c r="B61" s="77" t="s">
        <v>560</v>
      </c>
      <c r="C61" s="70" t="s">
        <v>17</v>
      </c>
      <c r="D61" s="255"/>
      <c r="E61" s="325" t="e">
        <f>#REF!</f>
        <v>#REF!</v>
      </c>
      <c r="F61" s="325" t="e">
        <f>#REF!</f>
        <v>#REF!</v>
      </c>
      <c r="G61" s="325" t="e">
        <f>#REF!</f>
        <v>#REF!</v>
      </c>
      <c r="H61" s="325" t="e">
        <f t="shared" si="1"/>
        <v>#REF!</v>
      </c>
      <c r="I61" s="266"/>
      <c r="J61" s="265" t="e">
        <f t="shared" si="3"/>
        <v>#REF!</v>
      </c>
      <c r="K61" s="306"/>
      <c r="L61" s="280"/>
      <c r="M61" s="309"/>
      <c r="N61" s="255"/>
      <c r="O61" s="266"/>
    </row>
    <row r="62" spans="1:15" ht="17.25">
      <c r="A62" s="180" t="s">
        <v>46</v>
      </c>
      <c r="B62" s="77" t="s">
        <v>561</v>
      </c>
      <c r="C62" s="70" t="s">
        <v>17</v>
      </c>
      <c r="D62" s="255"/>
      <c r="E62" s="325" t="e">
        <f>#REF!</f>
        <v>#REF!</v>
      </c>
      <c r="F62" s="325" t="e">
        <f>#REF!</f>
        <v>#REF!</v>
      </c>
      <c r="G62" s="325" t="e">
        <f>#REF!</f>
        <v>#REF!</v>
      </c>
      <c r="H62" s="325" t="e">
        <f t="shared" si="1"/>
        <v>#REF!</v>
      </c>
      <c r="I62" s="265"/>
      <c r="J62" s="265" t="e">
        <f t="shared" si="3"/>
        <v>#REF!</v>
      </c>
      <c r="K62" s="307"/>
      <c r="L62" s="310"/>
      <c r="M62" s="308"/>
      <c r="N62" s="254"/>
      <c r="O62" s="266"/>
    </row>
    <row r="63" spans="1:15" ht="17.25">
      <c r="A63" s="180" t="s">
        <v>46</v>
      </c>
      <c r="B63" s="77" t="s">
        <v>764</v>
      </c>
      <c r="C63" s="70" t="s">
        <v>17</v>
      </c>
      <c r="D63" s="255"/>
      <c r="E63" s="325" t="e">
        <f>#REF!</f>
        <v>#REF!</v>
      </c>
      <c r="F63" s="325" t="e">
        <f>#REF!</f>
        <v>#REF!</v>
      </c>
      <c r="G63" s="325" t="e">
        <f>#REF!</f>
        <v>#REF!</v>
      </c>
      <c r="H63" s="325" t="e">
        <f t="shared" si="1"/>
        <v>#REF!</v>
      </c>
      <c r="I63" s="266"/>
      <c r="J63" s="265" t="e">
        <f t="shared" si="3"/>
        <v>#REF!</v>
      </c>
      <c r="K63" s="306"/>
      <c r="L63" s="280"/>
      <c r="M63" s="309"/>
      <c r="N63" s="255"/>
      <c r="O63" s="266"/>
    </row>
    <row r="64" spans="1:15" ht="17.25">
      <c r="A64" s="180" t="s">
        <v>46</v>
      </c>
      <c r="B64" s="77" t="s">
        <v>1399</v>
      </c>
      <c r="C64" s="70" t="s">
        <v>17</v>
      </c>
      <c r="D64" s="255"/>
      <c r="E64" s="325" t="e">
        <f>#REF!</f>
        <v>#REF!</v>
      </c>
      <c r="F64" s="325" t="e">
        <f>#REF!</f>
        <v>#REF!</v>
      </c>
      <c r="G64" s="325" t="e">
        <f>#REF!</f>
        <v>#REF!</v>
      </c>
      <c r="H64" s="325" t="e">
        <f t="shared" si="1"/>
        <v>#REF!</v>
      </c>
      <c r="I64" s="265"/>
      <c r="J64" s="265" t="e">
        <f t="shared" si="3"/>
        <v>#REF!</v>
      </c>
      <c r="K64" s="307"/>
      <c r="L64" s="310"/>
      <c r="M64" s="309"/>
      <c r="N64" s="254"/>
      <c r="O64" s="266"/>
    </row>
    <row r="65" spans="1:15" ht="17.25">
      <c r="A65" s="180" t="s">
        <v>46</v>
      </c>
      <c r="B65" s="77" t="s">
        <v>1400</v>
      </c>
      <c r="C65" s="70" t="s">
        <v>17</v>
      </c>
      <c r="D65" s="255"/>
      <c r="E65" s="325" t="e">
        <f>#REF!</f>
        <v>#REF!</v>
      </c>
      <c r="F65" s="325" t="e">
        <f>#REF!</f>
        <v>#REF!</v>
      </c>
      <c r="G65" s="325" t="e">
        <f>#REF!</f>
        <v>#REF!</v>
      </c>
      <c r="H65" s="325" t="e">
        <f t="shared" si="1"/>
        <v>#REF!</v>
      </c>
      <c r="I65" s="266"/>
      <c r="J65" s="265" t="e">
        <f t="shared" si="3"/>
        <v>#REF!</v>
      </c>
      <c r="K65" s="306"/>
      <c r="L65" s="280"/>
      <c r="M65" s="309"/>
      <c r="N65" s="255"/>
      <c r="O65" s="266"/>
    </row>
    <row r="66" spans="1:15" ht="17.25">
      <c r="A66" s="179" t="s">
        <v>46</v>
      </c>
      <c r="B66" s="42"/>
      <c r="C66" s="43"/>
      <c r="D66" s="42"/>
      <c r="E66" s="42"/>
      <c r="F66" s="42"/>
      <c r="G66" s="42"/>
      <c r="H66" s="42"/>
      <c r="I66" s="42"/>
      <c r="J66" s="42"/>
      <c r="K66" s="293" t="e">
        <f>SUM(J33:J65)</f>
        <v>#REF!</v>
      </c>
      <c r="L66" s="281"/>
      <c r="M66" s="42"/>
      <c r="N66" s="42"/>
      <c r="O66" s="42"/>
    </row>
    <row r="67" spans="1:15" ht="30.75" customHeight="1">
      <c r="A67" s="180" t="s">
        <v>56</v>
      </c>
      <c r="B67" s="77" t="s">
        <v>563</v>
      </c>
      <c r="C67" s="70" t="s">
        <v>17</v>
      </c>
      <c r="D67" s="255"/>
      <c r="E67" s="325" t="e">
        <f>#REF!</f>
        <v>#REF!</v>
      </c>
      <c r="F67" s="325" t="e">
        <f>#REF!</f>
        <v>#REF!</v>
      </c>
      <c r="G67" s="325" t="e">
        <f>#REF!</f>
        <v>#REF!</v>
      </c>
      <c r="H67" s="325" t="e">
        <f t="shared" si="1"/>
        <v>#REF!</v>
      </c>
      <c r="I67" s="294"/>
      <c r="J67" s="306" t="e">
        <f>I67*H67</f>
        <v>#REF!</v>
      </c>
      <c r="K67" s="294"/>
      <c r="L67" s="271"/>
      <c r="M67" s="294"/>
      <c r="N67" s="271"/>
      <c r="O67" s="260"/>
    </row>
    <row r="68" spans="1:15" ht="31.5">
      <c r="A68" s="180" t="s">
        <v>56</v>
      </c>
      <c r="B68" s="77" t="s">
        <v>562</v>
      </c>
      <c r="C68" s="70" t="s">
        <v>17</v>
      </c>
      <c r="D68" s="255">
        <v>2</v>
      </c>
      <c r="E68" s="325" t="e">
        <f>#REF!</f>
        <v>#REF!</v>
      </c>
      <c r="F68" s="325" t="e">
        <f>#REF!</f>
        <v>#REF!</v>
      </c>
      <c r="G68" s="325" t="e">
        <f>#REF!</f>
        <v>#REF!</v>
      </c>
      <c r="H68" s="325" t="e">
        <f t="shared" si="1"/>
        <v>#REF!</v>
      </c>
      <c r="I68" s="266">
        <v>3940.68</v>
      </c>
      <c r="J68" s="306" t="e">
        <f t="shared" ref="J68:J77" si="4">I68*H68</f>
        <v>#REF!</v>
      </c>
      <c r="K68" s="295"/>
      <c r="L68" s="327">
        <v>42361</v>
      </c>
      <c r="M68" s="309" t="s">
        <v>1663</v>
      </c>
      <c r="N68" s="266" t="s">
        <v>418</v>
      </c>
      <c r="O68" s="266" t="s">
        <v>1642</v>
      </c>
    </row>
    <row r="69" spans="1:15" ht="17.25">
      <c r="A69" s="180" t="s">
        <v>56</v>
      </c>
      <c r="B69" s="77" t="s">
        <v>61</v>
      </c>
      <c r="C69" s="70" t="s">
        <v>17</v>
      </c>
      <c r="D69" s="255">
        <v>30</v>
      </c>
      <c r="E69" s="325" t="e">
        <f>#REF!</f>
        <v>#REF!</v>
      </c>
      <c r="F69" s="325" t="e">
        <f>#REF!</f>
        <v>#REF!</v>
      </c>
      <c r="G69" s="325" t="e">
        <f>#REF!</f>
        <v>#REF!</v>
      </c>
      <c r="H69" s="325" t="e">
        <f t="shared" si="1"/>
        <v>#REF!</v>
      </c>
      <c r="I69" s="266">
        <v>4555.09</v>
      </c>
      <c r="J69" s="306" t="e">
        <f t="shared" si="4"/>
        <v>#REF!</v>
      </c>
      <c r="K69" s="294"/>
      <c r="L69" s="327">
        <v>42361</v>
      </c>
      <c r="M69" s="309" t="s">
        <v>15</v>
      </c>
      <c r="N69" s="266" t="s">
        <v>418</v>
      </c>
      <c r="O69" s="266" t="s">
        <v>1642</v>
      </c>
    </row>
    <row r="70" spans="1:15" ht="17.25">
      <c r="A70" s="180" t="s">
        <v>56</v>
      </c>
      <c r="B70" s="77" t="s">
        <v>63</v>
      </c>
      <c r="C70" s="70" t="s">
        <v>17</v>
      </c>
      <c r="D70" s="255">
        <v>30</v>
      </c>
      <c r="E70" s="325" t="e">
        <f>#REF!</f>
        <v>#REF!</v>
      </c>
      <c r="F70" s="325" t="e">
        <f>#REF!</f>
        <v>#REF!</v>
      </c>
      <c r="G70" s="325" t="e">
        <f>#REF!</f>
        <v>#REF!</v>
      </c>
      <c r="H70" s="325" t="e">
        <f t="shared" si="1"/>
        <v>#REF!</v>
      </c>
      <c r="I70" s="266">
        <v>5805.09</v>
      </c>
      <c r="J70" s="306" t="e">
        <f t="shared" si="4"/>
        <v>#REF!</v>
      </c>
      <c r="K70" s="295"/>
      <c r="L70" s="327">
        <v>42361</v>
      </c>
      <c r="M70" s="309" t="s">
        <v>15</v>
      </c>
      <c r="N70" s="266" t="s">
        <v>418</v>
      </c>
      <c r="O70" s="266" t="s">
        <v>1642</v>
      </c>
    </row>
    <row r="71" spans="1:15" ht="17.25">
      <c r="A71" s="180" t="s">
        <v>56</v>
      </c>
      <c r="B71" s="77" t="s">
        <v>64</v>
      </c>
      <c r="C71" s="70" t="s">
        <v>17</v>
      </c>
      <c r="D71" s="255">
        <v>15</v>
      </c>
      <c r="E71" s="325" t="e">
        <f>#REF!</f>
        <v>#REF!</v>
      </c>
      <c r="F71" s="325" t="e">
        <f>#REF!</f>
        <v>#REF!</v>
      </c>
      <c r="G71" s="325" t="e">
        <f>#REF!</f>
        <v>#REF!</v>
      </c>
      <c r="H71" s="325" t="e">
        <f t="shared" si="1"/>
        <v>#REF!</v>
      </c>
      <c r="I71" s="266">
        <v>6652.55</v>
      </c>
      <c r="J71" s="306" t="e">
        <f t="shared" si="4"/>
        <v>#REF!</v>
      </c>
      <c r="K71" s="294"/>
      <c r="L71" s="327">
        <v>42361</v>
      </c>
      <c r="M71" s="309" t="s">
        <v>15</v>
      </c>
      <c r="N71" s="266" t="s">
        <v>418</v>
      </c>
      <c r="O71" s="266" t="s">
        <v>1642</v>
      </c>
    </row>
    <row r="72" spans="1:15" ht="17.25">
      <c r="A72" s="180" t="s">
        <v>56</v>
      </c>
      <c r="B72" s="77" t="s">
        <v>65</v>
      </c>
      <c r="C72" s="70" t="s">
        <v>17</v>
      </c>
      <c r="D72" s="255"/>
      <c r="E72" s="325" t="e">
        <f>#REF!</f>
        <v>#REF!</v>
      </c>
      <c r="F72" s="325" t="e">
        <f>#REF!</f>
        <v>#REF!</v>
      </c>
      <c r="G72" s="325" t="e">
        <f>#REF!</f>
        <v>#REF!</v>
      </c>
      <c r="H72" s="325" t="e">
        <f t="shared" si="1"/>
        <v>#REF!</v>
      </c>
      <c r="I72" s="266"/>
      <c r="J72" s="306" t="e">
        <f t="shared" si="4"/>
        <v>#REF!</v>
      </c>
      <c r="K72" s="295"/>
      <c r="L72" s="327"/>
      <c r="M72" s="309"/>
      <c r="N72" s="261"/>
      <c r="O72" s="260"/>
    </row>
    <row r="73" spans="1:15" ht="31.5">
      <c r="A73" s="180" t="s">
        <v>56</v>
      </c>
      <c r="B73" s="77" t="s">
        <v>1422</v>
      </c>
      <c r="C73" s="70" t="s">
        <v>17</v>
      </c>
      <c r="D73" s="255">
        <v>8</v>
      </c>
      <c r="E73" s="325" t="e">
        <f>#REF!</f>
        <v>#REF!</v>
      </c>
      <c r="F73" s="325" t="e">
        <f>#REF!</f>
        <v>#REF!</v>
      </c>
      <c r="G73" s="325" t="e">
        <f>#REF!</f>
        <v>#REF!</v>
      </c>
      <c r="H73" s="325" t="e">
        <f t="shared" si="1"/>
        <v>#REF!</v>
      </c>
      <c r="I73" s="266">
        <v>7015.26</v>
      </c>
      <c r="J73" s="306" t="e">
        <f t="shared" si="4"/>
        <v>#REF!</v>
      </c>
      <c r="K73" s="294"/>
      <c r="L73" s="327">
        <v>42361</v>
      </c>
      <c r="M73" s="309" t="s">
        <v>1663</v>
      </c>
      <c r="N73" s="266" t="s">
        <v>418</v>
      </c>
      <c r="O73" s="266" t="s">
        <v>1642</v>
      </c>
    </row>
    <row r="74" spans="1:15" ht="31.5">
      <c r="A74" s="180" t="s">
        <v>56</v>
      </c>
      <c r="B74" s="77" t="s">
        <v>66</v>
      </c>
      <c r="C74" s="70" t="s">
        <v>17</v>
      </c>
      <c r="D74" s="255">
        <v>12</v>
      </c>
      <c r="E74" s="325" t="e">
        <f>#REF!</f>
        <v>#REF!</v>
      </c>
      <c r="F74" s="325" t="e">
        <f>#REF!</f>
        <v>#REF!</v>
      </c>
      <c r="G74" s="325" t="e">
        <f>#REF!</f>
        <v>#REF!</v>
      </c>
      <c r="H74" s="325" t="e">
        <f t="shared" si="1"/>
        <v>#REF!</v>
      </c>
      <c r="I74" s="266">
        <v>7275.43</v>
      </c>
      <c r="J74" s="306" t="e">
        <f t="shared" si="4"/>
        <v>#REF!</v>
      </c>
      <c r="K74" s="295"/>
      <c r="L74" s="327">
        <v>42361</v>
      </c>
      <c r="M74" s="309" t="s">
        <v>1663</v>
      </c>
      <c r="N74" s="266" t="s">
        <v>418</v>
      </c>
      <c r="O74" s="266" t="s">
        <v>1642</v>
      </c>
    </row>
    <row r="75" spans="1:15" ht="31.5">
      <c r="A75" s="180" t="s">
        <v>56</v>
      </c>
      <c r="B75" s="77" t="s">
        <v>1763</v>
      </c>
      <c r="C75" s="70" t="s">
        <v>17</v>
      </c>
      <c r="D75" s="255">
        <v>12</v>
      </c>
      <c r="E75" s="325">
        <v>0</v>
      </c>
      <c r="F75" s="325">
        <v>0</v>
      </c>
      <c r="G75" s="325">
        <v>0</v>
      </c>
      <c r="H75" s="325">
        <f>G75+F75+E75+D75</f>
        <v>12</v>
      </c>
      <c r="I75" s="266">
        <v>1100</v>
      </c>
      <c r="J75" s="306">
        <f t="shared" si="4"/>
        <v>13200</v>
      </c>
      <c r="K75" s="295"/>
      <c r="L75" s="327">
        <v>42453</v>
      </c>
      <c r="M75" s="309" t="s">
        <v>1663</v>
      </c>
      <c r="N75" s="266" t="s">
        <v>418</v>
      </c>
      <c r="O75" s="266" t="s">
        <v>1642</v>
      </c>
    </row>
    <row r="76" spans="1:15" ht="31.5">
      <c r="A76" s="180" t="s">
        <v>56</v>
      </c>
      <c r="B76" s="77" t="s">
        <v>765</v>
      </c>
      <c r="C76" s="70" t="s">
        <v>17</v>
      </c>
      <c r="D76" s="255">
        <v>8</v>
      </c>
      <c r="E76" s="325" t="e">
        <f>#REF!</f>
        <v>#REF!</v>
      </c>
      <c r="F76" s="325" t="e">
        <f>#REF!</f>
        <v>#REF!</v>
      </c>
      <c r="G76" s="325" t="e">
        <f>#REF!</f>
        <v>#REF!</v>
      </c>
      <c r="H76" s="325" t="e">
        <f t="shared" si="1"/>
        <v>#REF!</v>
      </c>
      <c r="I76" s="266">
        <v>9788.14</v>
      </c>
      <c r="J76" s="306" t="e">
        <f t="shared" si="4"/>
        <v>#REF!</v>
      </c>
      <c r="K76" s="294"/>
      <c r="L76" s="327">
        <v>42361</v>
      </c>
      <c r="M76" s="309" t="s">
        <v>1663</v>
      </c>
      <c r="N76" s="266" t="s">
        <v>418</v>
      </c>
      <c r="O76" s="266" t="s">
        <v>1642</v>
      </c>
    </row>
    <row r="77" spans="1:15" ht="17.25">
      <c r="A77" s="180" t="s">
        <v>56</v>
      </c>
      <c r="B77" s="77" t="s">
        <v>1401</v>
      </c>
      <c r="C77" s="70" t="s">
        <v>17</v>
      </c>
      <c r="D77" s="255"/>
      <c r="E77" s="325" t="e">
        <f>#REF!</f>
        <v>#REF!</v>
      </c>
      <c r="F77" s="325" t="e">
        <f>#REF!</f>
        <v>#REF!</v>
      </c>
      <c r="G77" s="325" t="e">
        <f>#REF!</f>
        <v>#REF!</v>
      </c>
      <c r="H77" s="325" t="e">
        <f t="shared" si="1"/>
        <v>#REF!</v>
      </c>
      <c r="I77" s="295"/>
      <c r="J77" s="306" t="e">
        <f t="shared" si="4"/>
        <v>#REF!</v>
      </c>
      <c r="K77" s="295"/>
      <c r="L77" s="270"/>
      <c r="M77" s="263"/>
      <c r="N77" s="261"/>
      <c r="O77" s="260"/>
    </row>
    <row r="78" spans="1:15" ht="31.5">
      <c r="A78" s="179" t="s">
        <v>56</v>
      </c>
      <c r="B78" s="42"/>
      <c r="C78" s="42"/>
      <c r="D78" s="42"/>
      <c r="E78" s="42"/>
      <c r="F78" s="42"/>
      <c r="G78" s="42"/>
      <c r="H78" s="42"/>
      <c r="I78" s="42"/>
      <c r="J78" s="42"/>
      <c r="K78" s="293" t="e">
        <f>SUM(J67:J77)</f>
        <v>#REF!</v>
      </c>
      <c r="L78" s="281"/>
      <c r="M78" s="42"/>
      <c r="N78" s="42"/>
      <c r="O78" s="42"/>
    </row>
    <row r="79" spans="1:15" ht="17.25">
      <c r="A79" s="180" t="s">
        <v>62</v>
      </c>
      <c r="B79" s="77" t="s">
        <v>68</v>
      </c>
      <c r="C79" s="70" t="s">
        <v>69</v>
      </c>
      <c r="D79" s="255"/>
      <c r="E79" s="325" t="e">
        <f>#REF!</f>
        <v>#REF!</v>
      </c>
      <c r="F79" s="325" t="e">
        <f>#REF!</f>
        <v>#REF!</v>
      </c>
      <c r="G79" s="325" t="e">
        <f>#REF!</f>
        <v>#REF!</v>
      </c>
      <c r="H79" s="325" t="e">
        <f t="shared" ref="H79:H141" si="5">G79+F79+E79+D79</f>
        <v>#REF!</v>
      </c>
      <c r="I79" s="261"/>
      <c r="J79" s="265" t="e">
        <f>I79*H79</f>
        <v>#REF!</v>
      </c>
      <c r="K79" s="295"/>
      <c r="L79" s="270"/>
      <c r="M79" s="263"/>
      <c r="N79" s="261"/>
      <c r="O79" s="260"/>
    </row>
    <row r="80" spans="1:15" ht="17.25">
      <c r="A80" s="180" t="s">
        <v>62</v>
      </c>
      <c r="B80" s="77" t="s">
        <v>461</v>
      </c>
      <c r="C80" s="70" t="s">
        <v>69</v>
      </c>
      <c r="D80" s="255"/>
      <c r="E80" s="325" t="e">
        <f>#REF!</f>
        <v>#REF!</v>
      </c>
      <c r="F80" s="325" t="e">
        <f>#REF!</f>
        <v>#REF!</v>
      </c>
      <c r="G80" s="325" t="e">
        <f>#REF!</f>
        <v>#REF!</v>
      </c>
      <c r="H80" s="325" t="e">
        <f t="shared" si="5"/>
        <v>#REF!</v>
      </c>
      <c r="I80" s="260"/>
      <c r="J80" s="265" t="e">
        <f t="shared" ref="J80:J89" si="6">I80*H80</f>
        <v>#REF!</v>
      </c>
      <c r="K80" s="294"/>
      <c r="L80" s="271"/>
      <c r="M80" s="264"/>
      <c r="N80" s="260"/>
      <c r="O80" s="260"/>
    </row>
    <row r="81" spans="1:15" ht="17.25">
      <c r="A81" s="180" t="s">
        <v>62</v>
      </c>
      <c r="B81" s="77" t="s">
        <v>1149</v>
      </c>
      <c r="C81" s="70" t="s">
        <v>69</v>
      </c>
      <c r="D81" s="255"/>
      <c r="E81" s="325" t="e">
        <f>#REF!</f>
        <v>#REF!</v>
      </c>
      <c r="F81" s="325" t="e">
        <f>#REF!</f>
        <v>#REF!</v>
      </c>
      <c r="G81" s="325" t="e">
        <f>#REF!</f>
        <v>#REF!</v>
      </c>
      <c r="H81" s="325" t="e">
        <f t="shared" si="5"/>
        <v>#REF!</v>
      </c>
      <c r="I81" s="261"/>
      <c r="J81" s="265" t="e">
        <f t="shared" si="6"/>
        <v>#REF!</v>
      </c>
      <c r="K81" s="295"/>
      <c r="L81" s="270"/>
      <c r="M81" s="263"/>
      <c r="N81" s="261"/>
      <c r="O81" s="260"/>
    </row>
    <row r="82" spans="1:15" ht="17.25">
      <c r="A82" s="180" t="s">
        <v>62</v>
      </c>
      <c r="B82" s="77" t="s">
        <v>567</v>
      </c>
      <c r="C82" s="70" t="s">
        <v>17</v>
      </c>
      <c r="D82" s="255"/>
      <c r="E82" s="325" t="e">
        <f>#REF!</f>
        <v>#REF!</v>
      </c>
      <c r="F82" s="325" t="e">
        <f>#REF!</f>
        <v>#REF!</v>
      </c>
      <c r="G82" s="325" t="e">
        <f>#REF!</f>
        <v>#REF!</v>
      </c>
      <c r="H82" s="325" t="e">
        <f t="shared" si="5"/>
        <v>#REF!</v>
      </c>
      <c r="I82" s="260"/>
      <c r="J82" s="265" t="e">
        <f t="shared" si="6"/>
        <v>#REF!</v>
      </c>
      <c r="K82" s="294"/>
      <c r="L82" s="271"/>
      <c r="M82" s="264"/>
      <c r="N82" s="260"/>
      <c r="O82" s="260"/>
    </row>
    <row r="83" spans="1:15" ht="17.25">
      <c r="A83" s="180" t="s">
        <v>62</v>
      </c>
      <c r="B83" s="77" t="s">
        <v>472</v>
      </c>
      <c r="C83" s="70" t="s">
        <v>17</v>
      </c>
      <c r="D83" s="255"/>
      <c r="E83" s="325" t="e">
        <f>#REF!</f>
        <v>#REF!</v>
      </c>
      <c r="F83" s="325" t="e">
        <f>#REF!</f>
        <v>#REF!</v>
      </c>
      <c r="G83" s="325" t="e">
        <f>#REF!</f>
        <v>#REF!</v>
      </c>
      <c r="H83" s="325" t="e">
        <f t="shared" si="5"/>
        <v>#REF!</v>
      </c>
      <c r="I83" s="261"/>
      <c r="J83" s="265" t="e">
        <f t="shared" si="6"/>
        <v>#REF!</v>
      </c>
      <c r="K83" s="295"/>
      <c r="L83" s="270"/>
      <c r="M83" s="263"/>
      <c r="N83" s="261"/>
      <c r="O83" s="260"/>
    </row>
    <row r="84" spans="1:15" ht="17.25">
      <c r="A84" s="180" t="s">
        <v>62</v>
      </c>
      <c r="B84" s="77" t="s">
        <v>1150</v>
      </c>
      <c r="C84" s="70" t="s">
        <v>17</v>
      </c>
      <c r="D84" s="255"/>
      <c r="E84" s="325" t="e">
        <f>#REF!</f>
        <v>#REF!</v>
      </c>
      <c r="F84" s="325" t="e">
        <f>#REF!</f>
        <v>#REF!</v>
      </c>
      <c r="G84" s="325" t="e">
        <f>#REF!</f>
        <v>#REF!</v>
      </c>
      <c r="H84" s="325" t="e">
        <f t="shared" si="5"/>
        <v>#REF!</v>
      </c>
      <c r="I84" s="260"/>
      <c r="J84" s="265" t="e">
        <f t="shared" si="6"/>
        <v>#REF!</v>
      </c>
      <c r="K84" s="294"/>
      <c r="L84" s="271"/>
      <c r="M84" s="264"/>
      <c r="N84" s="260"/>
      <c r="O84" s="260"/>
    </row>
    <row r="85" spans="1:15" ht="17.25">
      <c r="A85" s="180" t="s">
        <v>62</v>
      </c>
      <c r="B85" s="77" t="s">
        <v>440</v>
      </c>
      <c r="C85" s="70" t="s">
        <v>17</v>
      </c>
      <c r="D85" s="255"/>
      <c r="E85" s="325" t="e">
        <f>#REF!</f>
        <v>#REF!</v>
      </c>
      <c r="F85" s="325" t="e">
        <f>#REF!</f>
        <v>#REF!</v>
      </c>
      <c r="G85" s="325" t="e">
        <f>#REF!</f>
        <v>#REF!</v>
      </c>
      <c r="H85" s="325" t="e">
        <f t="shared" si="5"/>
        <v>#REF!</v>
      </c>
      <c r="I85" s="261"/>
      <c r="J85" s="265" t="e">
        <f t="shared" si="6"/>
        <v>#REF!</v>
      </c>
      <c r="K85" s="295"/>
      <c r="L85" s="270"/>
      <c r="M85" s="263"/>
      <c r="N85" s="261"/>
      <c r="O85" s="260"/>
    </row>
    <row r="86" spans="1:15" ht="17.25">
      <c r="A86" s="180" t="s">
        <v>62</v>
      </c>
      <c r="B86" s="77" t="s">
        <v>435</v>
      </c>
      <c r="C86" s="70" t="s">
        <v>17</v>
      </c>
      <c r="D86" s="255"/>
      <c r="E86" s="325" t="e">
        <f>#REF!</f>
        <v>#REF!</v>
      </c>
      <c r="F86" s="325" t="e">
        <f>#REF!</f>
        <v>#REF!</v>
      </c>
      <c r="G86" s="325" t="e">
        <f>#REF!</f>
        <v>#REF!</v>
      </c>
      <c r="H86" s="325" t="e">
        <f t="shared" si="5"/>
        <v>#REF!</v>
      </c>
      <c r="I86" s="260"/>
      <c r="J86" s="265" t="e">
        <f t="shared" si="6"/>
        <v>#REF!</v>
      </c>
      <c r="K86" s="294"/>
      <c r="L86" s="271"/>
      <c r="M86" s="264"/>
      <c r="N86" s="260"/>
      <c r="O86" s="260"/>
    </row>
    <row r="87" spans="1:15" ht="17.25">
      <c r="A87" s="180" t="s">
        <v>62</v>
      </c>
      <c r="B87" s="77" t="s">
        <v>729</v>
      </c>
      <c r="C87" s="70" t="s">
        <v>17</v>
      </c>
      <c r="D87" s="255"/>
      <c r="E87" s="325" t="e">
        <f>#REF!</f>
        <v>#REF!</v>
      </c>
      <c r="F87" s="325" t="e">
        <f>#REF!</f>
        <v>#REF!</v>
      </c>
      <c r="G87" s="325" t="e">
        <f>#REF!</f>
        <v>#REF!</v>
      </c>
      <c r="H87" s="325" t="e">
        <f t="shared" si="5"/>
        <v>#REF!</v>
      </c>
      <c r="I87" s="261"/>
      <c r="J87" s="265" t="e">
        <f t="shared" si="6"/>
        <v>#REF!</v>
      </c>
      <c r="K87" s="295"/>
      <c r="L87" s="270"/>
      <c r="M87" s="263"/>
      <c r="N87" s="261"/>
      <c r="O87" s="260"/>
    </row>
    <row r="88" spans="1:15" ht="17.25">
      <c r="A88" s="180" t="s">
        <v>62</v>
      </c>
      <c r="B88" s="77" t="s">
        <v>731</v>
      </c>
      <c r="C88" s="70" t="s">
        <v>17</v>
      </c>
      <c r="D88" s="255"/>
      <c r="E88" s="325" t="e">
        <f>#REF!</f>
        <v>#REF!</v>
      </c>
      <c r="F88" s="325" t="e">
        <f>#REF!</f>
        <v>#REF!</v>
      </c>
      <c r="G88" s="325" t="e">
        <f>#REF!</f>
        <v>#REF!</v>
      </c>
      <c r="H88" s="325" t="e">
        <f t="shared" si="5"/>
        <v>#REF!</v>
      </c>
      <c r="I88" s="260"/>
      <c r="J88" s="265" t="e">
        <f t="shared" si="6"/>
        <v>#REF!</v>
      </c>
      <c r="K88" s="294"/>
      <c r="L88" s="271"/>
      <c r="M88" s="264"/>
      <c r="N88" s="260"/>
      <c r="O88" s="260"/>
    </row>
    <row r="89" spans="1:15" ht="17.25">
      <c r="A89" s="180" t="s">
        <v>62</v>
      </c>
      <c r="B89" s="17" t="s">
        <v>1589</v>
      </c>
      <c r="C89" s="248" t="s">
        <v>17</v>
      </c>
      <c r="D89" s="255"/>
      <c r="E89" s="325" t="e">
        <f>#REF!</f>
        <v>#REF!</v>
      </c>
      <c r="F89" s="325" t="e">
        <f>#REF!</f>
        <v>#REF!</v>
      </c>
      <c r="G89" s="325" t="e">
        <f>#REF!</f>
        <v>#REF!</v>
      </c>
      <c r="H89" s="325" t="e">
        <f t="shared" si="5"/>
        <v>#REF!</v>
      </c>
      <c r="I89" s="261"/>
      <c r="J89" s="265" t="e">
        <f t="shared" si="6"/>
        <v>#REF!</v>
      </c>
      <c r="K89" s="295"/>
      <c r="L89" s="270"/>
      <c r="M89" s="263"/>
      <c r="N89" s="261"/>
      <c r="O89" s="260"/>
    </row>
    <row r="90" spans="1:15" ht="31.5">
      <c r="A90" s="180" t="s">
        <v>62</v>
      </c>
      <c r="B90" s="77" t="s">
        <v>72</v>
      </c>
      <c r="C90" s="70" t="s">
        <v>17</v>
      </c>
      <c r="D90" s="255">
        <v>300</v>
      </c>
      <c r="E90" s="325" t="e">
        <f>#REF!</f>
        <v>#REF!</v>
      </c>
      <c r="F90" s="325" t="e">
        <f>#REF!</f>
        <v>#REF!</v>
      </c>
      <c r="G90" s="325" t="e">
        <f>#REF!</f>
        <v>#REF!</v>
      </c>
      <c r="H90" s="325" t="e">
        <f t="shared" si="5"/>
        <v>#REF!</v>
      </c>
      <c r="I90" s="266">
        <v>220</v>
      </c>
      <c r="J90" s="266">
        <f>I90*D90</f>
        <v>66000</v>
      </c>
      <c r="K90" s="306"/>
      <c r="L90" s="280">
        <v>42396</v>
      </c>
      <c r="M90" s="308" t="s">
        <v>1663</v>
      </c>
      <c r="N90" s="254" t="s">
        <v>342</v>
      </c>
      <c r="O90" s="266" t="s">
        <v>1642</v>
      </c>
    </row>
    <row r="91" spans="1:15" ht="17.25">
      <c r="A91" s="180" t="s">
        <v>62</v>
      </c>
      <c r="B91" s="77" t="s">
        <v>467</v>
      </c>
      <c r="C91" s="70" t="s">
        <v>17</v>
      </c>
      <c r="D91" s="255"/>
      <c r="E91" s="325" t="e">
        <f>#REF!</f>
        <v>#REF!</v>
      </c>
      <c r="F91" s="325" t="e">
        <f>#REF!</f>
        <v>#REF!</v>
      </c>
      <c r="G91" s="325" t="e">
        <f>#REF!</f>
        <v>#REF!</v>
      </c>
      <c r="H91" s="325" t="e">
        <f t="shared" si="5"/>
        <v>#REF!</v>
      </c>
      <c r="I91" s="265"/>
      <c r="J91" s="265" t="e">
        <f>I91*H91</f>
        <v>#REF!</v>
      </c>
      <c r="K91" s="307"/>
      <c r="L91" s="310"/>
      <c r="M91" s="308"/>
      <c r="N91" s="265"/>
      <c r="O91" s="266"/>
    </row>
    <row r="92" spans="1:15" ht="17.25">
      <c r="A92" s="180" t="s">
        <v>62</v>
      </c>
      <c r="B92" s="75" t="s">
        <v>1155</v>
      </c>
      <c r="C92" s="39" t="s">
        <v>17</v>
      </c>
      <c r="D92" s="255"/>
      <c r="E92" s="325" t="e">
        <f>#REF!</f>
        <v>#REF!</v>
      </c>
      <c r="F92" s="325" t="e">
        <f>#REF!</f>
        <v>#REF!</v>
      </c>
      <c r="G92" s="325" t="e">
        <f>#REF!</f>
        <v>#REF!</v>
      </c>
      <c r="H92" s="325" t="e">
        <f t="shared" si="5"/>
        <v>#REF!</v>
      </c>
      <c r="I92" s="266"/>
      <c r="J92" s="265" t="e">
        <f>I92*H92</f>
        <v>#REF!</v>
      </c>
      <c r="K92" s="306"/>
      <c r="L92" s="280"/>
      <c r="M92" s="309"/>
      <c r="N92" s="266"/>
      <c r="O92" s="266"/>
    </row>
    <row r="93" spans="1:15" ht="17.25">
      <c r="A93" s="180" t="s">
        <v>62</v>
      </c>
      <c r="B93" s="75" t="s">
        <v>1156</v>
      </c>
      <c r="C93" s="39" t="s">
        <v>17</v>
      </c>
      <c r="D93" s="255"/>
      <c r="E93" s="325" t="e">
        <f>#REF!</f>
        <v>#REF!</v>
      </c>
      <c r="F93" s="325" t="e">
        <f>#REF!</f>
        <v>#REF!</v>
      </c>
      <c r="G93" s="325" t="e">
        <f>#REF!</f>
        <v>#REF!</v>
      </c>
      <c r="H93" s="325" t="e">
        <f t="shared" si="5"/>
        <v>#REF!</v>
      </c>
      <c r="I93" s="265"/>
      <c r="J93" s="265" t="e">
        <f>I93*H93</f>
        <v>#REF!</v>
      </c>
      <c r="K93" s="307"/>
      <c r="L93" s="310"/>
      <c r="M93" s="308"/>
      <c r="N93" s="265"/>
      <c r="O93" s="266"/>
    </row>
    <row r="94" spans="1:15" ht="17.25">
      <c r="A94" s="180" t="s">
        <v>62</v>
      </c>
      <c r="B94" s="75" t="s">
        <v>1612</v>
      </c>
      <c r="C94" s="39" t="s">
        <v>17</v>
      </c>
      <c r="D94" s="255"/>
      <c r="E94" s="325" t="e">
        <f>#REF!</f>
        <v>#REF!</v>
      </c>
      <c r="F94" s="325" t="e">
        <f>#REF!</f>
        <v>#REF!</v>
      </c>
      <c r="G94" s="325" t="e">
        <f>#REF!</f>
        <v>#REF!</v>
      </c>
      <c r="H94" s="325" t="e">
        <f t="shared" si="5"/>
        <v>#REF!</v>
      </c>
      <c r="I94" s="266"/>
      <c r="J94" s="265" t="e">
        <f>I94*H94</f>
        <v>#REF!</v>
      </c>
      <c r="K94" s="306"/>
      <c r="L94" s="280"/>
      <c r="M94" s="309"/>
      <c r="N94" s="266"/>
      <c r="O94" s="266"/>
    </row>
    <row r="95" spans="1:15" ht="17.25">
      <c r="A95" s="180" t="s">
        <v>62</v>
      </c>
      <c r="B95" s="75" t="s">
        <v>1613</v>
      </c>
      <c r="C95" s="39" t="s">
        <v>17</v>
      </c>
      <c r="D95" s="255"/>
      <c r="E95" s="325" t="e">
        <f>#REF!</f>
        <v>#REF!</v>
      </c>
      <c r="F95" s="325" t="e">
        <f>#REF!</f>
        <v>#REF!</v>
      </c>
      <c r="G95" s="325" t="e">
        <f>#REF!</f>
        <v>#REF!</v>
      </c>
      <c r="H95" s="325" t="e">
        <f t="shared" si="5"/>
        <v>#REF!</v>
      </c>
      <c r="I95" s="265"/>
      <c r="J95" s="265" t="e">
        <f>I95*H95</f>
        <v>#REF!</v>
      </c>
      <c r="K95" s="307"/>
      <c r="L95" s="310"/>
      <c r="M95" s="308"/>
      <c r="N95" s="265"/>
      <c r="O95" s="266"/>
    </row>
    <row r="96" spans="1:15" ht="31.5">
      <c r="A96" s="180" t="s">
        <v>62</v>
      </c>
      <c r="B96" s="75" t="s">
        <v>1706</v>
      </c>
      <c r="C96" s="39" t="s">
        <v>17</v>
      </c>
      <c r="D96" s="255">
        <v>2</v>
      </c>
      <c r="E96" s="325" t="e">
        <f>#REF!</f>
        <v>#REF!</v>
      </c>
      <c r="F96" s="325" t="e">
        <f>#REF!</f>
        <v>#REF!</v>
      </c>
      <c r="G96" s="325" t="e">
        <f>#REF!</f>
        <v>#REF!</v>
      </c>
      <c r="H96" s="325" t="e">
        <f t="shared" si="5"/>
        <v>#REF!</v>
      </c>
      <c r="I96" s="265">
        <v>1275</v>
      </c>
      <c r="J96" s="266">
        <f>I96*D96</f>
        <v>2550</v>
      </c>
      <c r="K96" s="307"/>
      <c r="L96" s="310">
        <v>42396</v>
      </c>
      <c r="M96" s="308" t="s">
        <v>1663</v>
      </c>
      <c r="N96" s="254" t="s">
        <v>342</v>
      </c>
      <c r="O96" s="266" t="s">
        <v>1642</v>
      </c>
    </row>
    <row r="97" spans="1:15" ht="17.25">
      <c r="A97" s="180" t="s">
        <v>62</v>
      </c>
      <c r="B97" s="75" t="s">
        <v>1614</v>
      </c>
      <c r="C97" s="39" t="s">
        <v>17</v>
      </c>
      <c r="D97" s="255"/>
      <c r="E97" s="325" t="e">
        <f>#REF!</f>
        <v>#REF!</v>
      </c>
      <c r="F97" s="325" t="e">
        <f>#REF!</f>
        <v>#REF!</v>
      </c>
      <c r="G97" s="325" t="e">
        <f>#REF!</f>
        <v>#REF!</v>
      </c>
      <c r="H97" s="325" t="e">
        <f t="shared" si="5"/>
        <v>#REF!</v>
      </c>
      <c r="I97" s="266"/>
      <c r="J97" s="266" t="e">
        <f>I97*H97</f>
        <v>#REF!</v>
      </c>
      <c r="K97" s="306"/>
      <c r="L97" s="280"/>
      <c r="M97" s="309"/>
      <c r="N97" s="266"/>
      <c r="O97" s="266"/>
    </row>
    <row r="98" spans="1:15" ht="17.25">
      <c r="A98" s="180" t="s">
        <v>62</v>
      </c>
      <c r="B98" s="75" t="s">
        <v>1615</v>
      </c>
      <c r="C98" s="39" t="s">
        <v>17</v>
      </c>
      <c r="D98" s="255"/>
      <c r="E98" s="325" t="e">
        <f>#REF!</f>
        <v>#REF!</v>
      </c>
      <c r="F98" s="325" t="e">
        <f>#REF!</f>
        <v>#REF!</v>
      </c>
      <c r="G98" s="325" t="e">
        <f>#REF!</f>
        <v>#REF!</v>
      </c>
      <c r="H98" s="325" t="e">
        <f t="shared" si="5"/>
        <v>#REF!</v>
      </c>
      <c r="I98" s="265"/>
      <c r="J98" s="266" t="e">
        <f t="shared" ref="J98:J107" si="7">I98*H98</f>
        <v>#REF!</v>
      </c>
      <c r="K98" s="307"/>
      <c r="L98" s="310"/>
      <c r="M98" s="308"/>
      <c r="N98" s="265"/>
      <c r="O98" s="266"/>
    </row>
    <row r="99" spans="1:15" ht="17.25">
      <c r="A99" s="180" t="s">
        <v>62</v>
      </c>
      <c r="B99" s="75" t="s">
        <v>1616</v>
      </c>
      <c r="C99" s="39" t="s">
        <v>718</v>
      </c>
      <c r="D99" s="255"/>
      <c r="E99" s="325" t="e">
        <f>#REF!</f>
        <v>#REF!</v>
      </c>
      <c r="F99" s="325" t="e">
        <f>#REF!</f>
        <v>#REF!</v>
      </c>
      <c r="G99" s="325" t="e">
        <f>#REF!</f>
        <v>#REF!</v>
      </c>
      <c r="H99" s="325" t="e">
        <f t="shared" si="5"/>
        <v>#REF!</v>
      </c>
      <c r="I99" s="266"/>
      <c r="J99" s="266" t="e">
        <f t="shared" si="7"/>
        <v>#REF!</v>
      </c>
      <c r="K99" s="306"/>
      <c r="L99" s="280"/>
      <c r="M99" s="309"/>
      <c r="N99" s="266"/>
      <c r="O99" s="266"/>
    </row>
    <row r="100" spans="1:15" ht="17.25">
      <c r="A100" s="180" t="s">
        <v>62</v>
      </c>
      <c r="B100" s="75" t="s">
        <v>1617</v>
      </c>
      <c r="C100" s="39" t="s">
        <v>718</v>
      </c>
      <c r="D100" s="255"/>
      <c r="E100" s="325" t="e">
        <f>#REF!</f>
        <v>#REF!</v>
      </c>
      <c r="F100" s="325" t="e">
        <f>#REF!</f>
        <v>#REF!</v>
      </c>
      <c r="G100" s="325" t="e">
        <f>#REF!</f>
        <v>#REF!</v>
      </c>
      <c r="H100" s="325" t="e">
        <f t="shared" si="5"/>
        <v>#REF!</v>
      </c>
      <c r="I100" s="265"/>
      <c r="J100" s="266" t="e">
        <f t="shared" si="7"/>
        <v>#REF!</v>
      </c>
      <c r="K100" s="307"/>
      <c r="L100" s="310"/>
      <c r="M100" s="308"/>
      <c r="N100" s="265"/>
      <c r="O100" s="266"/>
    </row>
    <row r="101" spans="1:15" ht="17.25">
      <c r="A101" s="180" t="s">
        <v>62</v>
      </c>
      <c r="B101" s="75" t="s">
        <v>1618</v>
      </c>
      <c r="C101" s="39" t="s">
        <v>718</v>
      </c>
      <c r="D101" s="255"/>
      <c r="E101" s="325" t="e">
        <f>#REF!</f>
        <v>#REF!</v>
      </c>
      <c r="F101" s="325" t="e">
        <f>#REF!</f>
        <v>#REF!</v>
      </c>
      <c r="G101" s="325" t="e">
        <f>#REF!</f>
        <v>#REF!</v>
      </c>
      <c r="H101" s="325" t="e">
        <f t="shared" si="5"/>
        <v>#REF!</v>
      </c>
      <c r="I101" s="266"/>
      <c r="J101" s="266" t="e">
        <f t="shared" si="7"/>
        <v>#REF!</v>
      </c>
      <c r="K101" s="306"/>
      <c r="L101" s="280"/>
      <c r="M101" s="309"/>
      <c r="N101" s="266"/>
      <c r="O101" s="266"/>
    </row>
    <row r="102" spans="1:15" ht="17.25">
      <c r="A102" s="180" t="s">
        <v>62</v>
      </c>
      <c r="B102" s="75" t="s">
        <v>1157</v>
      </c>
      <c r="C102" s="39" t="s">
        <v>17</v>
      </c>
      <c r="D102" s="255"/>
      <c r="E102" s="325" t="e">
        <f>#REF!</f>
        <v>#REF!</v>
      </c>
      <c r="F102" s="325" t="e">
        <f>#REF!</f>
        <v>#REF!</v>
      </c>
      <c r="G102" s="325" t="e">
        <f>#REF!</f>
        <v>#REF!</v>
      </c>
      <c r="H102" s="325" t="e">
        <f t="shared" si="5"/>
        <v>#REF!</v>
      </c>
      <c r="I102" s="265"/>
      <c r="J102" s="266" t="e">
        <f t="shared" si="7"/>
        <v>#REF!</v>
      </c>
      <c r="K102" s="307"/>
      <c r="L102" s="310"/>
      <c r="M102" s="308"/>
      <c r="N102" s="265"/>
      <c r="O102" s="266"/>
    </row>
    <row r="103" spans="1:15" ht="17.25">
      <c r="A103" s="180" t="s">
        <v>62</v>
      </c>
      <c r="B103" s="75" t="s">
        <v>1158</v>
      </c>
      <c r="C103" s="39" t="s">
        <v>17</v>
      </c>
      <c r="D103" s="255"/>
      <c r="E103" s="325" t="e">
        <f>#REF!</f>
        <v>#REF!</v>
      </c>
      <c r="F103" s="325" t="e">
        <f>#REF!</f>
        <v>#REF!</v>
      </c>
      <c r="G103" s="325" t="e">
        <f>#REF!</f>
        <v>#REF!</v>
      </c>
      <c r="H103" s="325" t="e">
        <f t="shared" si="5"/>
        <v>#REF!</v>
      </c>
      <c r="I103" s="266"/>
      <c r="J103" s="266" t="e">
        <f t="shared" si="7"/>
        <v>#REF!</v>
      </c>
      <c r="K103" s="306"/>
      <c r="L103" s="280"/>
      <c r="M103" s="309"/>
      <c r="N103" s="266"/>
      <c r="O103" s="266"/>
    </row>
    <row r="104" spans="1:15" ht="17.25">
      <c r="A104" s="180" t="s">
        <v>62</v>
      </c>
      <c r="B104" s="75" t="s">
        <v>1151</v>
      </c>
      <c r="C104" s="39" t="s">
        <v>17</v>
      </c>
      <c r="D104" s="255"/>
      <c r="E104" s="325" t="e">
        <f>#REF!</f>
        <v>#REF!</v>
      </c>
      <c r="F104" s="325" t="e">
        <f>#REF!</f>
        <v>#REF!</v>
      </c>
      <c r="G104" s="325" t="e">
        <f>#REF!</f>
        <v>#REF!</v>
      </c>
      <c r="H104" s="325" t="e">
        <f t="shared" si="5"/>
        <v>#REF!</v>
      </c>
      <c r="I104" s="265"/>
      <c r="J104" s="266" t="e">
        <f t="shared" si="7"/>
        <v>#REF!</v>
      </c>
      <c r="K104" s="307"/>
      <c r="L104" s="310"/>
      <c r="M104" s="308"/>
      <c r="N104" s="265"/>
      <c r="O104" s="266"/>
    </row>
    <row r="105" spans="1:15" ht="17.25">
      <c r="A105" s="180" t="s">
        <v>62</v>
      </c>
      <c r="B105" s="75" t="s">
        <v>1152</v>
      </c>
      <c r="C105" s="39" t="s">
        <v>17</v>
      </c>
      <c r="D105" s="255"/>
      <c r="E105" s="325" t="e">
        <f>#REF!</f>
        <v>#REF!</v>
      </c>
      <c r="F105" s="325" t="e">
        <f>#REF!</f>
        <v>#REF!</v>
      </c>
      <c r="G105" s="325" t="e">
        <f>#REF!</f>
        <v>#REF!</v>
      </c>
      <c r="H105" s="325" t="e">
        <f t="shared" si="5"/>
        <v>#REF!</v>
      </c>
      <c r="I105" s="266"/>
      <c r="J105" s="266" t="e">
        <f t="shared" si="7"/>
        <v>#REF!</v>
      </c>
      <c r="K105" s="306"/>
      <c r="L105" s="280"/>
      <c r="M105" s="309"/>
      <c r="N105" s="266"/>
      <c r="O105" s="266"/>
    </row>
    <row r="106" spans="1:15" ht="17.25">
      <c r="A106" s="180" t="s">
        <v>62</v>
      </c>
      <c r="B106" s="75" t="s">
        <v>1153</v>
      </c>
      <c r="C106" s="39" t="s">
        <v>17</v>
      </c>
      <c r="D106" s="255"/>
      <c r="E106" s="325" t="e">
        <f>#REF!</f>
        <v>#REF!</v>
      </c>
      <c r="F106" s="325" t="e">
        <f>#REF!</f>
        <v>#REF!</v>
      </c>
      <c r="G106" s="325" t="e">
        <f>#REF!</f>
        <v>#REF!</v>
      </c>
      <c r="H106" s="325" t="e">
        <f t="shared" si="5"/>
        <v>#REF!</v>
      </c>
      <c r="I106" s="265"/>
      <c r="J106" s="266" t="e">
        <f t="shared" si="7"/>
        <v>#REF!</v>
      </c>
      <c r="K106" s="307"/>
      <c r="L106" s="310"/>
      <c r="M106" s="308"/>
      <c r="N106" s="265"/>
      <c r="O106" s="266"/>
    </row>
    <row r="107" spans="1:15" ht="17.25">
      <c r="A107" s="180" t="s">
        <v>62</v>
      </c>
      <c r="B107" s="75" t="s">
        <v>1154</v>
      </c>
      <c r="C107" s="39" t="s">
        <v>17</v>
      </c>
      <c r="D107" s="255"/>
      <c r="E107" s="325" t="e">
        <f>#REF!</f>
        <v>#REF!</v>
      </c>
      <c r="F107" s="325" t="e">
        <f>#REF!</f>
        <v>#REF!</v>
      </c>
      <c r="G107" s="325" t="e">
        <f>#REF!</f>
        <v>#REF!</v>
      </c>
      <c r="H107" s="325" t="e">
        <f t="shared" si="5"/>
        <v>#REF!</v>
      </c>
      <c r="I107" s="266"/>
      <c r="J107" s="266" t="e">
        <f t="shared" si="7"/>
        <v>#REF!</v>
      </c>
      <c r="K107" s="306"/>
      <c r="L107" s="280"/>
      <c r="M107" s="309"/>
      <c r="N107" s="266"/>
      <c r="O107" s="266"/>
    </row>
    <row r="108" spans="1:15" ht="31.5">
      <c r="A108" s="180" t="s">
        <v>62</v>
      </c>
      <c r="B108" s="77" t="s">
        <v>1709</v>
      </c>
      <c r="C108" s="39" t="s">
        <v>17</v>
      </c>
      <c r="D108" s="255">
        <v>4</v>
      </c>
      <c r="E108" s="325" t="e">
        <f>#REF!</f>
        <v>#REF!</v>
      </c>
      <c r="F108" s="325" t="e">
        <f>#REF!</f>
        <v>#REF!</v>
      </c>
      <c r="G108" s="325" t="e">
        <f>#REF!</f>
        <v>#REF!</v>
      </c>
      <c r="H108" s="325" t="e">
        <f t="shared" si="5"/>
        <v>#REF!</v>
      </c>
      <c r="I108" s="266">
        <v>98.59</v>
      </c>
      <c r="J108" s="266">
        <f>I108*D108</f>
        <v>394.36</v>
      </c>
      <c r="K108" s="306"/>
      <c r="L108" s="280">
        <v>42396</v>
      </c>
      <c r="M108" s="308" t="s">
        <v>1663</v>
      </c>
      <c r="N108" s="254" t="s">
        <v>342</v>
      </c>
      <c r="O108" s="266" t="s">
        <v>1642</v>
      </c>
    </row>
    <row r="109" spans="1:15" ht="17.25">
      <c r="A109" s="180" t="s">
        <v>62</v>
      </c>
      <c r="B109" s="77" t="s">
        <v>432</v>
      </c>
      <c r="C109" s="70" t="s">
        <v>17</v>
      </c>
      <c r="D109" s="255"/>
      <c r="E109" s="325" t="e">
        <f>#REF!</f>
        <v>#REF!</v>
      </c>
      <c r="F109" s="325" t="e">
        <f>#REF!</f>
        <v>#REF!</v>
      </c>
      <c r="G109" s="325" t="e">
        <f>#REF!</f>
        <v>#REF!</v>
      </c>
      <c r="H109" s="325" t="e">
        <f t="shared" si="5"/>
        <v>#REF!</v>
      </c>
      <c r="I109" s="265"/>
      <c r="J109" s="265" t="e">
        <f>I109*H109</f>
        <v>#REF!</v>
      </c>
      <c r="K109" s="307"/>
      <c r="L109" s="310"/>
      <c r="M109" s="308"/>
      <c r="N109" s="265"/>
      <c r="O109" s="266"/>
    </row>
    <row r="110" spans="1:15" ht="31.5">
      <c r="A110" s="180" t="s">
        <v>62</v>
      </c>
      <c r="B110" s="77" t="s">
        <v>431</v>
      </c>
      <c r="C110" s="70" t="s">
        <v>17</v>
      </c>
      <c r="D110" s="255">
        <v>200</v>
      </c>
      <c r="E110" s="325" t="e">
        <f>#REF!</f>
        <v>#REF!</v>
      </c>
      <c r="F110" s="325" t="e">
        <f>#REF!</f>
        <v>#REF!</v>
      </c>
      <c r="G110" s="325" t="e">
        <f>#REF!</f>
        <v>#REF!</v>
      </c>
      <c r="H110" s="325" t="e">
        <f t="shared" si="5"/>
        <v>#REF!</v>
      </c>
      <c r="I110" s="266">
        <v>380</v>
      </c>
      <c r="J110" s="266">
        <f>I110*D110</f>
        <v>76000</v>
      </c>
      <c r="K110" s="306"/>
      <c r="L110" s="280">
        <v>42396</v>
      </c>
      <c r="M110" s="308" t="s">
        <v>1663</v>
      </c>
      <c r="N110" s="254" t="s">
        <v>342</v>
      </c>
      <c r="O110" s="266" t="s">
        <v>1642</v>
      </c>
    </row>
    <row r="111" spans="1:15" ht="31.5">
      <c r="A111" s="180" t="s">
        <v>62</v>
      </c>
      <c r="B111" s="75" t="s">
        <v>960</v>
      </c>
      <c r="C111" s="39" t="s">
        <v>17</v>
      </c>
      <c r="D111" s="255">
        <v>100</v>
      </c>
      <c r="E111" s="325" t="e">
        <f>#REF!</f>
        <v>#REF!</v>
      </c>
      <c r="F111" s="325" t="e">
        <f>#REF!</f>
        <v>#REF!</v>
      </c>
      <c r="G111" s="325" t="e">
        <f>#REF!</f>
        <v>#REF!</v>
      </c>
      <c r="H111" s="325" t="e">
        <f t="shared" si="5"/>
        <v>#REF!</v>
      </c>
      <c r="I111" s="265">
        <v>400.75</v>
      </c>
      <c r="J111" s="266">
        <f>I111*D111</f>
        <v>40075</v>
      </c>
      <c r="K111" s="307"/>
      <c r="L111" s="280">
        <v>42396</v>
      </c>
      <c r="M111" s="308" t="s">
        <v>1663</v>
      </c>
      <c r="N111" s="254" t="s">
        <v>342</v>
      </c>
      <c r="O111" s="266" t="s">
        <v>1642</v>
      </c>
    </row>
    <row r="112" spans="1:15" ht="17.25">
      <c r="A112" s="180" t="s">
        <v>62</v>
      </c>
      <c r="B112" s="75" t="s">
        <v>961</v>
      </c>
      <c r="C112" s="39" t="s">
        <v>17</v>
      </c>
      <c r="D112" s="255"/>
      <c r="E112" s="325" t="e">
        <f>#REF!</f>
        <v>#REF!</v>
      </c>
      <c r="F112" s="325" t="e">
        <f>#REF!</f>
        <v>#REF!</v>
      </c>
      <c r="G112" s="325" t="e">
        <f>#REF!</f>
        <v>#REF!</v>
      </c>
      <c r="H112" s="325" t="e">
        <f t="shared" si="5"/>
        <v>#REF!</v>
      </c>
      <c r="I112" s="266"/>
      <c r="J112" s="266" t="e">
        <f>I112*H112</f>
        <v>#REF!</v>
      </c>
      <c r="K112" s="306"/>
      <c r="L112" s="280"/>
      <c r="M112" s="309"/>
      <c r="N112" s="266"/>
      <c r="O112" s="266"/>
    </row>
    <row r="113" spans="1:15" ht="17.25">
      <c r="A113" s="180" t="s">
        <v>62</v>
      </c>
      <c r="B113" s="75" t="s">
        <v>962</v>
      </c>
      <c r="C113" s="39" t="s">
        <v>17</v>
      </c>
      <c r="D113" s="255"/>
      <c r="E113" s="325" t="e">
        <f>#REF!</f>
        <v>#REF!</v>
      </c>
      <c r="F113" s="325" t="e">
        <f>#REF!</f>
        <v>#REF!</v>
      </c>
      <c r="G113" s="325" t="e">
        <f>#REF!</f>
        <v>#REF!</v>
      </c>
      <c r="H113" s="325" t="e">
        <f t="shared" si="5"/>
        <v>#REF!</v>
      </c>
      <c r="I113" s="265"/>
      <c r="J113" s="266" t="e">
        <f>I113*H113</f>
        <v>#REF!</v>
      </c>
      <c r="K113" s="307"/>
      <c r="L113" s="310"/>
      <c r="M113" s="308"/>
      <c r="N113" s="265"/>
      <c r="O113" s="266"/>
    </row>
    <row r="114" spans="1:15" ht="31.5">
      <c r="A114" s="180" t="s">
        <v>62</v>
      </c>
      <c r="B114" s="77" t="s">
        <v>434</v>
      </c>
      <c r="C114" s="70" t="s">
        <v>17</v>
      </c>
      <c r="D114" s="255">
        <v>200</v>
      </c>
      <c r="E114" s="325" t="e">
        <f>#REF!</f>
        <v>#REF!</v>
      </c>
      <c r="F114" s="325" t="e">
        <f>#REF!</f>
        <v>#REF!</v>
      </c>
      <c r="G114" s="325" t="e">
        <f>#REF!</f>
        <v>#REF!</v>
      </c>
      <c r="H114" s="325" t="e">
        <f t="shared" si="5"/>
        <v>#REF!</v>
      </c>
      <c r="I114" s="266">
        <v>220.55</v>
      </c>
      <c r="J114" s="266">
        <f>I114*D114</f>
        <v>44110</v>
      </c>
      <c r="K114" s="306"/>
      <c r="L114" s="280">
        <v>42396</v>
      </c>
      <c r="M114" s="308" t="s">
        <v>1663</v>
      </c>
      <c r="N114" s="254" t="s">
        <v>342</v>
      </c>
      <c r="O114" s="266" t="s">
        <v>1642</v>
      </c>
    </row>
    <row r="115" spans="1:15" ht="17.25">
      <c r="A115" s="180" t="s">
        <v>62</v>
      </c>
      <c r="B115" s="77" t="s">
        <v>76</v>
      </c>
      <c r="C115" s="70" t="s">
        <v>17</v>
      </c>
      <c r="D115" s="255"/>
      <c r="E115" s="325" t="e">
        <f>#REF!</f>
        <v>#REF!</v>
      </c>
      <c r="F115" s="325" t="e">
        <f>#REF!</f>
        <v>#REF!</v>
      </c>
      <c r="G115" s="325" t="e">
        <f>#REF!</f>
        <v>#REF!</v>
      </c>
      <c r="H115" s="325" t="e">
        <f t="shared" si="5"/>
        <v>#REF!</v>
      </c>
      <c r="I115" s="265"/>
      <c r="J115" s="265" t="e">
        <f>I115*H115</f>
        <v>#REF!</v>
      </c>
      <c r="K115" s="307"/>
      <c r="L115" s="310"/>
      <c r="M115" s="308"/>
      <c r="N115" s="265"/>
      <c r="O115" s="266"/>
    </row>
    <row r="116" spans="1:15" ht="17.25">
      <c r="A116" s="180" t="s">
        <v>62</v>
      </c>
      <c r="B116" s="77" t="s">
        <v>433</v>
      </c>
      <c r="C116" s="70" t="s">
        <v>17</v>
      </c>
      <c r="D116" s="255"/>
      <c r="E116" s="325" t="e">
        <f>#REF!</f>
        <v>#REF!</v>
      </c>
      <c r="F116" s="325" t="e">
        <f>#REF!</f>
        <v>#REF!</v>
      </c>
      <c r="G116" s="325" t="e">
        <f>#REF!</f>
        <v>#REF!</v>
      </c>
      <c r="H116" s="325" t="e">
        <f t="shared" si="5"/>
        <v>#REF!</v>
      </c>
      <c r="I116" s="266"/>
      <c r="J116" s="265" t="e">
        <f t="shared" ref="J116:J134" si="8">I116*H116</f>
        <v>#REF!</v>
      </c>
      <c r="K116" s="306"/>
      <c r="L116" s="280"/>
      <c r="M116" s="309"/>
      <c r="N116" s="266"/>
      <c r="O116" s="266"/>
    </row>
    <row r="117" spans="1:15" ht="17.25">
      <c r="A117" s="180" t="s">
        <v>62</v>
      </c>
      <c r="B117" s="77" t="s">
        <v>433</v>
      </c>
      <c r="C117" s="70" t="s">
        <v>17</v>
      </c>
      <c r="D117" s="255"/>
      <c r="E117" s="325" t="e">
        <f>#REF!</f>
        <v>#REF!</v>
      </c>
      <c r="F117" s="325" t="e">
        <f>#REF!</f>
        <v>#REF!</v>
      </c>
      <c r="G117" s="325" t="e">
        <f>#REF!</f>
        <v>#REF!</v>
      </c>
      <c r="H117" s="325" t="e">
        <f t="shared" si="5"/>
        <v>#REF!</v>
      </c>
      <c r="I117" s="265"/>
      <c r="J117" s="265" t="e">
        <f t="shared" si="8"/>
        <v>#REF!</v>
      </c>
      <c r="K117" s="307"/>
      <c r="L117" s="310"/>
      <c r="M117" s="308"/>
      <c r="N117" s="265"/>
      <c r="O117" s="266"/>
    </row>
    <row r="118" spans="1:15" ht="17.25">
      <c r="A118" s="180" t="s">
        <v>62</v>
      </c>
      <c r="B118" s="77" t="s">
        <v>1159</v>
      </c>
      <c r="C118" s="70" t="s">
        <v>17</v>
      </c>
      <c r="D118" s="255"/>
      <c r="E118" s="325" t="e">
        <f>#REF!</f>
        <v>#REF!</v>
      </c>
      <c r="F118" s="325" t="e">
        <f>#REF!</f>
        <v>#REF!</v>
      </c>
      <c r="G118" s="325" t="e">
        <f>#REF!</f>
        <v>#REF!</v>
      </c>
      <c r="H118" s="325" t="e">
        <f t="shared" si="5"/>
        <v>#REF!</v>
      </c>
      <c r="I118" s="266"/>
      <c r="J118" s="265" t="e">
        <f t="shared" si="8"/>
        <v>#REF!</v>
      </c>
      <c r="K118" s="306"/>
      <c r="L118" s="280"/>
      <c r="M118" s="309"/>
      <c r="N118" s="266"/>
      <c r="O118" s="266"/>
    </row>
    <row r="119" spans="1:15" ht="17.25">
      <c r="A119" s="180" t="s">
        <v>62</v>
      </c>
      <c r="B119" s="75" t="s">
        <v>78</v>
      </c>
      <c r="C119" s="39" t="s">
        <v>17</v>
      </c>
      <c r="D119" s="255"/>
      <c r="E119" s="325" t="e">
        <f>#REF!</f>
        <v>#REF!</v>
      </c>
      <c r="F119" s="325" t="e">
        <f>#REF!</f>
        <v>#REF!</v>
      </c>
      <c r="G119" s="325" t="e">
        <f>#REF!</f>
        <v>#REF!</v>
      </c>
      <c r="H119" s="325" t="e">
        <f t="shared" si="5"/>
        <v>#REF!</v>
      </c>
      <c r="I119" s="265"/>
      <c r="J119" s="265" t="e">
        <f t="shared" si="8"/>
        <v>#REF!</v>
      </c>
      <c r="K119" s="307"/>
      <c r="L119" s="310"/>
      <c r="M119" s="308"/>
      <c r="N119" s="265"/>
      <c r="O119" s="266"/>
    </row>
    <row r="120" spans="1:15" ht="17.25">
      <c r="A120" s="180" t="s">
        <v>62</v>
      </c>
      <c r="B120" s="75" t="s">
        <v>1179</v>
      </c>
      <c r="C120" s="39" t="s">
        <v>17</v>
      </c>
      <c r="D120" s="255"/>
      <c r="E120" s="325" t="e">
        <f>#REF!</f>
        <v>#REF!</v>
      </c>
      <c r="F120" s="325" t="e">
        <f>#REF!</f>
        <v>#REF!</v>
      </c>
      <c r="G120" s="325" t="e">
        <f>#REF!</f>
        <v>#REF!</v>
      </c>
      <c r="H120" s="325" t="e">
        <f t="shared" si="5"/>
        <v>#REF!</v>
      </c>
      <c r="I120" s="266"/>
      <c r="J120" s="265" t="e">
        <f t="shared" si="8"/>
        <v>#REF!</v>
      </c>
      <c r="K120" s="306"/>
      <c r="L120" s="280"/>
      <c r="M120" s="309"/>
      <c r="N120" s="266"/>
      <c r="O120" s="266"/>
    </row>
    <row r="121" spans="1:15" ht="17.25">
      <c r="A121" s="180" t="s">
        <v>62</v>
      </c>
      <c r="B121" s="75" t="s">
        <v>1180</v>
      </c>
      <c r="C121" s="39" t="s">
        <v>17</v>
      </c>
      <c r="D121" s="255"/>
      <c r="E121" s="325" t="e">
        <f>#REF!</f>
        <v>#REF!</v>
      </c>
      <c r="F121" s="325" t="e">
        <f>#REF!</f>
        <v>#REF!</v>
      </c>
      <c r="G121" s="325" t="e">
        <f>#REF!</f>
        <v>#REF!</v>
      </c>
      <c r="H121" s="325" t="e">
        <f t="shared" si="5"/>
        <v>#REF!</v>
      </c>
      <c r="I121" s="265"/>
      <c r="J121" s="265" t="e">
        <f t="shared" si="8"/>
        <v>#REF!</v>
      </c>
      <c r="K121" s="307"/>
      <c r="L121" s="310"/>
      <c r="M121" s="308"/>
      <c r="N121" s="265"/>
      <c r="O121" s="266"/>
    </row>
    <row r="122" spans="1:15" ht="17.25">
      <c r="A122" s="180" t="s">
        <v>62</v>
      </c>
      <c r="B122" s="75" t="s">
        <v>1557</v>
      </c>
      <c r="C122" s="39" t="s">
        <v>17</v>
      </c>
      <c r="D122" s="255"/>
      <c r="E122" s="325" t="e">
        <f>#REF!</f>
        <v>#REF!</v>
      </c>
      <c r="F122" s="325" t="e">
        <f>#REF!</f>
        <v>#REF!</v>
      </c>
      <c r="G122" s="325" t="e">
        <f>#REF!</f>
        <v>#REF!</v>
      </c>
      <c r="H122" s="325" t="e">
        <f t="shared" si="5"/>
        <v>#REF!</v>
      </c>
      <c r="I122" s="266"/>
      <c r="J122" s="265" t="e">
        <f t="shared" si="8"/>
        <v>#REF!</v>
      </c>
      <c r="K122" s="306"/>
      <c r="L122" s="280"/>
      <c r="M122" s="309"/>
      <c r="N122" s="266"/>
      <c r="O122" s="266"/>
    </row>
    <row r="123" spans="1:15" ht="17.25">
      <c r="A123" s="180" t="s">
        <v>62</v>
      </c>
      <c r="B123" s="75" t="s">
        <v>1558</v>
      </c>
      <c r="C123" s="39" t="s">
        <v>17</v>
      </c>
      <c r="D123" s="255"/>
      <c r="E123" s="325" t="e">
        <f>#REF!</f>
        <v>#REF!</v>
      </c>
      <c r="F123" s="325" t="e">
        <f>#REF!</f>
        <v>#REF!</v>
      </c>
      <c r="G123" s="325" t="e">
        <f>#REF!</f>
        <v>#REF!</v>
      </c>
      <c r="H123" s="325" t="e">
        <f t="shared" si="5"/>
        <v>#REF!</v>
      </c>
      <c r="I123" s="265"/>
      <c r="J123" s="265" t="e">
        <f t="shared" si="8"/>
        <v>#REF!</v>
      </c>
      <c r="K123" s="307"/>
      <c r="L123" s="310"/>
      <c r="M123" s="308"/>
      <c r="N123" s="265"/>
      <c r="O123" s="266"/>
    </row>
    <row r="124" spans="1:15" ht="17.25">
      <c r="A124" s="180" t="s">
        <v>62</v>
      </c>
      <c r="B124" s="75" t="s">
        <v>1560</v>
      </c>
      <c r="C124" s="39" t="s">
        <v>17</v>
      </c>
      <c r="D124" s="255"/>
      <c r="E124" s="325" t="e">
        <f>#REF!</f>
        <v>#REF!</v>
      </c>
      <c r="F124" s="325" t="e">
        <f>#REF!</f>
        <v>#REF!</v>
      </c>
      <c r="G124" s="325" t="e">
        <f>#REF!</f>
        <v>#REF!</v>
      </c>
      <c r="H124" s="325" t="e">
        <f t="shared" si="5"/>
        <v>#REF!</v>
      </c>
      <c r="I124" s="266"/>
      <c r="J124" s="265" t="e">
        <f t="shared" si="8"/>
        <v>#REF!</v>
      </c>
      <c r="K124" s="306"/>
      <c r="L124" s="280"/>
      <c r="M124" s="309"/>
      <c r="N124" s="266"/>
      <c r="O124" s="266"/>
    </row>
    <row r="125" spans="1:15" ht="17.25">
      <c r="A125" s="180" t="s">
        <v>62</v>
      </c>
      <c r="B125" s="75" t="s">
        <v>1559</v>
      </c>
      <c r="C125" s="39" t="s">
        <v>17</v>
      </c>
      <c r="D125" s="255"/>
      <c r="E125" s="325" t="e">
        <f>#REF!</f>
        <v>#REF!</v>
      </c>
      <c r="F125" s="325" t="e">
        <f>#REF!</f>
        <v>#REF!</v>
      </c>
      <c r="G125" s="325" t="e">
        <f>#REF!</f>
        <v>#REF!</v>
      </c>
      <c r="H125" s="325" t="e">
        <f t="shared" si="5"/>
        <v>#REF!</v>
      </c>
      <c r="I125" s="265"/>
      <c r="J125" s="265" t="e">
        <f t="shared" si="8"/>
        <v>#REF!</v>
      </c>
      <c r="K125" s="307"/>
      <c r="L125" s="310"/>
      <c r="M125" s="308"/>
      <c r="N125" s="265"/>
      <c r="O125" s="266"/>
    </row>
    <row r="126" spans="1:15" ht="17.25">
      <c r="A126" s="180" t="s">
        <v>62</v>
      </c>
      <c r="B126" s="75" t="s">
        <v>1554</v>
      </c>
      <c r="C126" s="39" t="s">
        <v>17</v>
      </c>
      <c r="D126" s="255"/>
      <c r="E126" s="325" t="e">
        <f>#REF!</f>
        <v>#REF!</v>
      </c>
      <c r="F126" s="325" t="e">
        <f>#REF!</f>
        <v>#REF!</v>
      </c>
      <c r="G126" s="325" t="e">
        <f>#REF!</f>
        <v>#REF!</v>
      </c>
      <c r="H126" s="325" t="e">
        <f t="shared" si="5"/>
        <v>#REF!</v>
      </c>
      <c r="I126" s="266"/>
      <c r="J126" s="265" t="e">
        <f t="shared" si="8"/>
        <v>#REF!</v>
      </c>
      <c r="K126" s="306"/>
      <c r="L126" s="280"/>
      <c r="M126" s="309"/>
      <c r="N126" s="266"/>
      <c r="O126" s="266"/>
    </row>
    <row r="127" spans="1:15" ht="17.25">
      <c r="A127" s="180" t="s">
        <v>62</v>
      </c>
      <c r="B127" s="75" t="s">
        <v>923</v>
      </c>
      <c r="C127" s="39" t="s">
        <v>17</v>
      </c>
      <c r="D127" s="255"/>
      <c r="E127" s="325" t="e">
        <f>#REF!</f>
        <v>#REF!</v>
      </c>
      <c r="F127" s="325" t="e">
        <f>#REF!</f>
        <v>#REF!</v>
      </c>
      <c r="G127" s="325" t="e">
        <f>#REF!</f>
        <v>#REF!</v>
      </c>
      <c r="H127" s="325" t="e">
        <f t="shared" si="5"/>
        <v>#REF!</v>
      </c>
      <c r="I127" s="265"/>
      <c r="J127" s="265" t="e">
        <f t="shared" si="8"/>
        <v>#REF!</v>
      </c>
      <c r="K127" s="307"/>
      <c r="L127" s="310"/>
      <c r="M127" s="308"/>
      <c r="N127" s="265"/>
      <c r="O127" s="266"/>
    </row>
    <row r="128" spans="1:15" ht="17.25">
      <c r="A128" s="180" t="s">
        <v>62</v>
      </c>
      <c r="B128" s="77" t="s">
        <v>437</v>
      </c>
      <c r="C128" s="70" t="s">
        <v>17</v>
      </c>
      <c r="D128" s="255"/>
      <c r="E128" s="325" t="e">
        <f>#REF!</f>
        <v>#REF!</v>
      </c>
      <c r="F128" s="325" t="e">
        <f>#REF!</f>
        <v>#REF!</v>
      </c>
      <c r="G128" s="325" t="e">
        <f>#REF!</f>
        <v>#REF!</v>
      </c>
      <c r="H128" s="325" t="e">
        <f t="shared" si="5"/>
        <v>#REF!</v>
      </c>
      <c r="I128" s="266"/>
      <c r="J128" s="265" t="e">
        <f t="shared" si="8"/>
        <v>#REF!</v>
      </c>
      <c r="K128" s="306"/>
      <c r="L128" s="280"/>
      <c r="M128" s="309"/>
      <c r="N128" s="266"/>
      <c r="O128" s="266"/>
    </row>
    <row r="129" spans="1:15" ht="17.25">
      <c r="A129" s="180" t="s">
        <v>62</v>
      </c>
      <c r="B129" s="77" t="s">
        <v>438</v>
      </c>
      <c r="C129" s="70" t="s">
        <v>17</v>
      </c>
      <c r="D129" s="255"/>
      <c r="E129" s="325" t="e">
        <f>#REF!</f>
        <v>#REF!</v>
      </c>
      <c r="F129" s="325" t="e">
        <f>#REF!</f>
        <v>#REF!</v>
      </c>
      <c r="G129" s="325" t="e">
        <f>#REF!</f>
        <v>#REF!</v>
      </c>
      <c r="H129" s="325" t="e">
        <f t="shared" si="5"/>
        <v>#REF!</v>
      </c>
      <c r="I129" s="265"/>
      <c r="J129" s="265" t="e">
        <f t="shared" si="8"/>
        <v>#REF!</v>
      </c>
      <c r="K129" s="307"/>
      <c r="L129" s="310"/>
      <c r="M129" s="308"/>
      <c r="N129" s="265"/>
      <c r="O129" s="266"/>
    </row>
    <row r="130" spans="1:15" ht="17.25">
      <c r="A130" s="180" t="s">
        <v>62</v>
      </c>
      <c r="B130" s="77" t="s">
        <v>430</v>
      </c>
      <c r="C130" s="70" t="s">
        <v>17</v>
      </c>
      <c r="D130" s="255"/>
      <c r="E130" s="325" t="e">
        <f>#REF!</f>
        <v>#REF!</v>
      </c>
      <c r="F130" s="325" t="e">
        <f>#REF!</f>
        <v>#REF!</v>
      </c>
      <c r="G130" s="325" t="e">
        <f>#REF!</f>
        <v>#REF!</v>
      </c>
      <c r="H130" s="325" t="e">
        <f t="shared" si="5"/>
        <v>#REF!</v>
      </c>
      <c r="I130" s="266"/>
      <c r="J130" s="265" t="e">
        <f t="shared" si="8"/>
        <v>#REF!</v>
      </c>
      <c r="K130" s="306"/>
      <c r="L130" s="280"/>
      <c r="M130" s="309"/>
      <c r="N130" s="266"/>
      <c r="O130" s="266"/>
    </row>
    <row r="131" spans="1:15" ht="17.25">
      <c r="A131" s="180" t="s">
        <v>62</v>
      </c>
      <c r="B131" s="77" t="s">
        <v>139</v>
      </c>
      <c r="C131" s="70" t="s">
        <v>17</v>
      </c>
      <c r="D131" s="255"/>
      <c r="E131" s="325" t="e">
        <f>#REF!</f>
        <v>#REF!</v>
      </c>
      <c r="F131" s="325" t="e">
        <f>#REF!</f>
        <v>#REF!</v>
      </c>
      <c r="G131" s="325" t="e">
        <f>#REF!</f>
        <v>#REF!</v>
      </c>
      <c r="H131" s="325" t="e">
        <f t="shared" si="5"/>
        <v>#REF!</v>
      </c>
      <c r="I131" s="265"/>
      <c r="J131" s="265" t="e">
        <f t="shared" si="8"/>
        <v>#REF!</v>
      </c>
      <c r="K131" s="307"/>
      <c r="L131" s="310"/>
      <c r="M131" s="308"/>
      <c r="N131" s="265"/>
      <c r="O131" s="266"/>
    </row>
    <row r="132" spans="1:15" ht="17.25">
      <c r="A132" s="180" t="s">
        <v>62</v>
      </c>
      <c r="B132" s="75" t="s">
        <v>1170</v>
      </c>
      <c r="C132" s="39" t="s">
        <v>1162</v>
      </c>
      <c r="D132" s="255"/>
      <c r="E132" s="325" t="e">
        <f>#REF!</f>
        <v>#REF!</v>
      </c>
      <c r="F132" s="325" t="e">
        <f>#REF!</f>
        <v>#REF!</v>
      </c>
      <c r="G132" s="325" t="e">
        <f>#REF!</f>
        <v>#REF!</v>
      </c>
      <c r="H132" s="325" t="e">
        <f t="shared" si="5"/>
        <v>#REF!</v>
      </c>
      <c r="I132" s="266"/>
      <c r="J132" s="265" t="e">
        <f t="shared" si="8"/>
        <v>#REF!</v>
      </c>
      <c r="K132" s="306"/>
      <c r="L132" s="280"/>
      <c r="M132" s="309"/>
      <c r="N132" s="266"/>
      <c r="O132" s="266"/>
    </row>
    <row r="133" spans="1:15" ht="17.25">
      <c r="A133" s="180" t="s">
        <v>62</v>
      </c>
      <c r="B133" s="75" t="s">
        <v>1171</v>
      </c>
      <c r="C133" s="39" t="s">
        <v>1162</v>
      </c>
      <c r="D133" s="255"/>
      <c r="E133" s="325" t="e">
        <f>#REF!</f>
        <v>#REF!</v>
      </c>
      <c r="F133" s="325" t="e">
        <f>#REF!</f>
        <v>#REF!</v>
      </c>
      <c r="G133" s="325" t="e">
        <f>#REF!</f>
        <v>#REF!</v>
      </c>
      <c r="H133" s="325" t="e">
        <f t="shared" si="5"/>
        <v>#REF!</v>
      </c>
      <c r="I133" s="265"/>
      <c r="J133" s="265" t="e">
        <f t="shared" si="8"/>
        <v>#REF!</v>
      </c>
      <c r="K133" s="307"/>
      <c r="L133" s="310"/>
      <c r="M133" s="308"/>
      <c r="N133" s="265"/>
      <c r="O133" s="266"/>
    </row>
    <row r="134" spans="1:15" ht="17.25">
      <c r="A134" s="180" t="s">
        <v>62</v>
      </c>
      <c r="B134" s="75" t="s">
        <v>1344</v>
      </c>
      <c r="C134" s="70" t="s">
        <v>17</v>
      </c>
      <c r="D134" s="255"/>
      <c r="E134" s="325" t="e">
        <f>#REF!</f>
        <v>#REF!</v>
      </c>
      <c r="F134" s="325" t="e">
        <f>#REF!</f>
        <v>#REF!</v>
      </c>
      <c r="G134" s="325" t="e">
        <f>#REF!</f>
        <v>#REF!</v>
      </c>
      <c r="H134" s="325" t="e">
        <f t="shared" si="5"/>
        <v>#REF!</v>
      </c>
      <c r="I134" s="266"/>
      <c r="J134" s="265" t="e">
        <f t="shared" si="8"/>
        <v>#REF!</v>
      </c>
      <c r="K134" s="306"/>
      <c r="L134" s="280"/>
      <c r="M134" s="309"/>
      <c r="N134" s="266"/>
      <c r="O134" s="266"/>
    </row>
    <row r="135" spans="1:15" ht="31.5">
      <c r="A135" s="180" t="s">
        <v>62</v>
      </c>
      <c r="B135" s="77" t="s">
        <v>1710</v>
      </c>
      <c r="C135" s="70" t="s">
        <v>17</v>
      </c>
      <c r="D135" s="255">
        <v>2</v>
      </c>
      <c r="E135" s="325" t="e">
        <f>#REF!</f>
        <v>#REF!</v>
      </c>
      <c r="F135" s="325" t="e">
        <f>#REF!</f>
        <v>#REF!</v>
      </c>
      <c r="G135" s="325" t="e">
        <f>#REF!</f>
        <v>#REF!</v>
      </c>
      <c r="H135" s="325" t="e">
        <f t="shared" si="5"/>
        <v>#REF!</v>
      </c>
      <c r="I135" s="266">
        <v>55.42</v>
      </c>
      <c r="J135" s="266">
        <f>I135*D135</f>
        <v>110.84</v>
      </c>
      <c r="K135" s="306"/>
      <c r="L135" s="280">
        <v>42396</v>
      </c>
      <c r="M135" s="308" t="s">
        <v>1663</v>
      </c>
      <c r="N135" s="254" t="s">
        <v>342</v>
      </c>
      <c r="O135" s="266" t="s">
        <v>1642</v>
      </c>
    </row>
    <row r="136" spans="1:15" ht="17.25">
      <c r="A136" s="180" t="s">
        <v>62</v>
      </c>
      <c r="B136" s="77" t="s">
        <v>107</v>
      </c>
      <c r="C136" s="70" t="s">
        <v>17</v>
      </c>
      <c r="D136" s="255"/>
      <c r="E136" s="325" t="e">
        <f>#REF!</f>
        <v>#REF!</v>
      </c>
      <c r="F136" s="325" t="e">
        <f>#REF!</f>
        <v>#REF!</v>
      </c>
      <c r="G136" s="325" t="e">
        <f>#REF!</f>
        <v>#REF!</v>
      </c>
      <c r="H136" s="325" t="e">
        <f t="shared" si="5"/>
        <v>#REF!</v>
      </c>
      <c r="I136" s="265"/>
      <c r="J136" s="265" t="e">
        <f>I136*H136</f>
        <v>#REF!</v>
      </c>
      <c r="K136" s="307"/>
      <c r="L136" s="310"/>
      <c r="M136" s="308"/>
      <c r="N136" s="265"/>
      <c r="O136" s="266"/>
    </row>
    <row r="137" spans="1:15" ht="17.25">
      <c r="A137" s="180" t="s">
        <v>62</v>
      </c>
      <c r="B137" s="77" t="s">
        <v>598</v>
      </c>
      <c r="C137" s="70" t="s">
        <v>17</v>
      </c>
      <c r="D137" s="255"/>
      <c r="E137" s="325" t="e">
        <f>#REF!</f>
        <v>#REF!</v>
      </c>
      <c r="F137" s="325" t="e">
        <f>#REF!</f>
        <v>#REF!</v>
      </c>
      <c r="G137" s="325" t="e">
        <f>#REF!</f>
        <v>#REF!</v>
      </c>
      <c r="H137" s="325" t="e">
        <f t="shared" si="5"/>
        <v>#REF!</v>
      </c>
      <c r="I137" s="266"/>
      <c r="J137" s="265" t="e">
        <f t="shared" ref="J137:J142" si="9">I137*H137</f>
        <v>#REF!</v>
      </c>
      <c r="K137" s="306"/>
      <c r="L137" s="280"/>
      <c r="M137" s="309"/>
      <c r="N137" s="266"/>
      <c r="O137" s="266"/>
    </row>
    <row r="138" spans="1:15" ht="17.25">
      <c r="A138" s="180" t="s">
        <v>62</v>
      </c>
      <c r="B138" s="77" t="s">
        <v>599</v>
      </c>
      <c r="C138" s="70" t="s">
        <v>17</v>
      </c>
      <c r="D138" s="255"/>
      <c r="E138" s="325" t="e">
        <f>#REF!</f>
        <v>#REF!</v>
      </c>
      <c r="F138" s="325" t="e">
        <f>#REF!</f>
        <v>#REF!</v>
      </c>
      <c r="G138" s="325" t="e">
        <f>#REF!</f>
        <v>#REF!</v>
      </c>
      <c r="H138" s="325" t="e">
        <f t="shared" si="5"/>
        <v>#REF!</v>
      </c>
      <c r="I138" s="265"/>
      <c r="J138" s="265" t="e">
        <f t="shared" si="9"/>
        <v>#REF!</v>
      </c>
      <c r="K138" s="307"/>
      <c r="L138" s="310"/>
      <c r="M138" s="308"/>
      <c r="N138" s="265"/>
      <c r="O138" s="266"/>
    </row>
    <row r="139" spans="1:15" ht="17.25">
      <c r="A139" s="180" t="s">
        <v>62</v>
      </c>
      <c r="B139" s="77" t="s">
        <v>600</v>
      </c>
      <c r="C139" s="70" t="s">
        <v>17</v>
      </c>
      <c r="D139" s="255"/>
      <c r="E139" s="325" t="e">
        <f>#REF!</f>
        <v>#REF!</v>
      </c>
      <c r="F139" s="325" t="e">
        <f>#REF!</f>
        <v>#REF!</v>
      </c>
      <c r="G139" s="325" t="e">
        <f>#REF!</f>
        <v>#REF!</v>
      </c>
      <c r="H139" s="325" t="e">
        <f t="shared" si="5"/>
        <v>#REF!</v>
      </c>
      <c r="I139" s="266"/>
      <c r="J139" s="265" t="e">
        <f t="shared" si="9"/>
        <v>#REF!</v>
      </c>
      <c r="K139" s="306"/>
      <c r="L139" s="280"/>
      <c r="M139" s="309"/>
      <c r="N139" s="266"/>
      <c r="O139" s="266"/>
    </row>
    <row r="140" spans="1:15" ht="17.25">
      <c r="A140" s="180" t="s">
        <v>62</v>
      </c>
      <c r="B140" s="77" t="s">
        <v>601</v>
      </c>
      <c r="C140" s="70" t="s">
        <v>17</v>
      </c>
      <c r="D140" s="255"/>
      <c r="E140" s="325" t="e">
        <f>#REF!</f>
        <v>#REF!</v>
      </c>
      <c r="F140" s="325" t="e">
        <f>#REF!</f>
        <v>#REF!</v>
      </c>
      <c r="G140" s="325" t="e">
        <f>#REF!</f>
        <v>#REF!</v>
      </c>
      <c r="H140" s="325" t="e">
        <f t="shared" si="5"/>
        <v>#REF!</v>
      </c>
      <c r="I140" s="265"/>
      <c r="J140" s="265" t="e">
        <f t="shared" si="9"/>
        <v>#REF!</v>
      </c>
      <c r="K140" s="307"/>
      <c r="L140" s="310"/>
      <c r="M140" s="308"/>
      <c r="N140" s="265"/>
      <c r="O140" s="266"/>
    </row>
    <row r="141" spans="1:15" ht="17.25">
      <c r="A141" s="180" t="s">
        <v>62</v>
      </c>
      <c r="B141" s="75" t="s">
        <v>1160</v>
      </c>
      <c r="C141" s="39" t="s">
        <v>1162</v>
      </c>
      <c r="D141" s="255"/>
      <c r="E141" s="325" t="e">
        <f>#REF!</f>
        <v>#REF!</v>
      </c>
      <c r="F141" s="325" t="e">
        <f>#REF!</f>
        <v>#REF!</v>
      </c>
      <c r="G141" s="325" t="e">
        <f>#REF!</f>
        <v>#REF!</v>
      </c>
      <c r="H141" s="325" t="e">
        <f t="shared" si="5"/>
        <v>#REF!</v>
      </c>
      <c r="I141" s="266"/>
      <c r="J141" s="265" t="e">
        <f t="shared" si="9"/>
        <v>#REF!</v>
      </c>
      <c r="K141" s="306"/>
      <c r="L141" s="280"/>
      <c r="M141" s="309"/>
      <c r="N141" s="266"/>
      <c r="O141" s="266"/>
    </row>
    <row r="142" spans="1:15" ht="17.25">
      <c r="A142" s="180" t="s">
        <v>62</v>
      </c>
      <c r="B142" s="75" t="s">
        <v>1161</v>
      </c>
      <c r="C142" s="39" t="s">
        <v>1162</v>
      </c>
      <c r="D142" s="255"/>
      <c r="E142" s="325" t="e">
        <f>#REF!</f>
        <v>#REF!</v>
      </c>
      <c r="F142" s="325" t="e">
        <f>#REF!</f>
        <v>#REF!</v>
      </c>
      <c r="G142" s="325" t="e">
        <f>#REF!</f>
        <v>#REF!</v>
      </c>
      <c r="H142" s="325" t="e">
        <f t="shared" ref="H142:H205" si="10">G142+F142+E142+D142</f>
        <v>#REF!</v>
      </c>
      <c r="I142" s="265"/>
      <c r="J142" s="265" t="e">
        <f t="shared" si="9"/>
        <v>#REF!</v>
      </c>
      <c r="K142" s="307"/>
      <c r="L142" s="310"/>
      <c r="M142" s="308"/>
      <c r="N142" s="265"/>
      <c r="O142" s="266"/>
    </row>
    <row r="143" spans="1:15" ht="31.5">
      <c r="A143" s="180" t="s">
        <v>62</v>
      </c>
      <c r="B143" s="77" t="s">
        <v>1704</v>
      </c>
      <c r="C143" s="39" t="s">
        <v>17</v>
      </c>
      <c r="D143" s="255">
        <v>3</v>
      </c>
      <c r="E143" s="325" t="e">
        <f>#REF!</f>
        <v>#REF!</v>
      </c>
      <c r="F143" s="325" t="e">
        <f>#REF!</f>
        <v>#REF!</v>
      </c>
      <c r="G143" s="325" t="e">
        <f>#REF!</f>
        <v>#REF!</v>
      </c>
      <c r="H143" s="325" t="e">
        <f t="shared" si="10"/>
        <v>#REF!</v>
      </c>
      <c r="I143" s="265">
        <v>194.89</v>
      </c>
      <c r="J143" s="266">
        <f>I143*D143</f>
        <v>584.66999999999996</v>
      </c>
      <c r="K143" s="307"/>
      <c r="L143" s="310">
        <v>42396</v>
      </c>
      <c r="M143" s="308" t="s">
        <v>1663</v>
      </c>
      <c r="N143" s="254" t="s">
        <v>342</v>
      </c>
      <c r="O143" s="266" t="s">
        <v>1642</v>
      </c>
    </row>
    <row r="144" spans="1:15" ht="31.5">
      <c r="A144" s="180" t="s">
        <v>62</v>
      </c>
      <c r="B144" s="77" t="s">
        <v>1705</v>
      </c>
      <c r="C144" s="39" t="s">
        <v>17</v>
      </c>
      <c r="D144" s="255">
        <v>2</v>
      </c>
      <c r="E144" s="325" t="e">
        <f>#REF!</f>
        <v>#REF!</v>
      </c>
      <c r="F144" s="325" t="e">
        <f>#REF!</f>
        <v>#REF!</v>
      </c>
      <c r="G144" s="325" t="e">
        <f>#REF!</f>
        <v>#REF!</v>
      </c>
      <c r="H144" s="325" t="e">
        <f t="shared" si="10"/>
        <v>#REF!</v>
      </c>
      <c r="I144" s="265">
        <v>271.89999999999998</v>
      </c>
      <c r="J144" s="266">
        <f>I144*D144</f>
        <v>543.79999999999995</v>
      </c>
      <c r="K144" s="307"/>
      <c r="L144" s="310">
        <v>42396</v>
      </c>
      <c r="M144" s="308" t="s">
        <v>1663</v>
      </c>
      <c r="N144" s="254" t="s">
        <v>342</v>
      </c>
      <c r="O144" s="266" t="s">
        <v>1642</v>
      </c>
    </row>
    <row r="145" spans="1:15" ht="31.5">
      <c r="A145" s="180" t="s">
        <v>62</v>
      </c>
      <c r="B145" s="77" t="s">
        <v>144</v>
      </c>
      <c r="C145" s="70" t="s">
        <v>17</v>
      </c>
      <c r="D145" s="255">
        <v>2</v>
      </c>
      <c r="E145" s="325" t="e">
        <f>#REF!</f>
        <v>#REF!</v>
      </c>
      <c r="F145" s="325" t="e">
        <f>#REF!</f>
        <v>#REF!</v>
      </c>
      <c r="G145" s="325" t="e">
        <f>#REF!</f>
        <v>#REF!</v>
      </c>
      <c r="H145" s="325" t="e">
        <f t="shared" si="10"/>
        <v>#REF!</v>
      </c>
      <c r="I145" s="266">
        <v>10</v>
      </c>
      <c r="J145" s="266">
        <f>I145*D145</f>
        <v>20</v>
      </c>
      <c r="K145" s="306"/>
      <c r="L145" s="280">
        <v>42396</v>
      </c>
      <c r="M145" s="308" t="s">
        <v>1663</v>
      </c>
      <c r="N145" s="254" t="s">
        <v>342</v>
      </c>
      <c r="O145" s="266" t="s">
        <v>1642</v>
      </c>
    </row>
    <row r="146" spans="1:15" ht="31.5">
      <c r="A146" s="180" t="s">
        <v>62</v>
      </c>
      <c r="B146" s="75" t="s">
        <v>1707</v>
      </c>
      <c r="C146" s="70" t="s">
        <v>17</v>
      </c>
      <c r="D146" s="255">
        <v>2</v>
      </c>
      <c r="E146" s="325" t="e">
        <f>#REF!</f>
        <v>#REF!</v>
      </c>
      <c r="F146" s="325" t="e">
        <f>#REF!</f>
        <v>#REF!</v>
      </c>
      <c r="G146" s="325" t="e">
        <f>#REF!</f>
        <v>#REF!</v>
      </c>
      <c r="H146" s="325" t="e">
        <f t="shared" si="10"/>
        <v>#REF!</v>
      </c>
      <c r="I146" s="266">
        <v>113.38</v>
      </c>
      <c r="J146" s="266">
        <f>I146*D146</f>
        <v>226.76</v>
      </c>
      <c r="K146" s="306"/>
      <c r="L146" s="280">
        <v>42396</v>
      </c>
      <c r="M146" s="308" t="s">
        <v>1663</v>
      </c>
      <c r="N146" s="254" t="s">
        <v>342</v>
      </c>
      <c r="O146" s="266" t="s">
        <v>1642</v>
      </c>
    </row>
    <row r="147" spans="1:15" ht="31.5">
      <c r="A147" s="180" t="s">
        <v>62</v>
      </c>
      <c r="B147" s="75" t="s">
        <v>1708</v>
      </c>
      <c r="C147" s="70" t="s">
        <v>17</v>
      </c>
      <c r="D147" s="255">
        <v>4</v>
      </c>
      <c r="E147" s="325" t="e">
        <f>#REF!</f>
        <v>#REF!</v>
      </c>
      <c r="F147" s="325" t="e">
        <f>#REF!</f>
        <v>#REF!</v>
      </c>
      <c r="G147" s="325" t="e">
        <f>#REF!</f>
        <v>#REF!</v>
      </c>
      <c r="H147" s="325" t="e">
        <f t="shared" si="10"/>
        <v>#REF!</v>
      </c>
      <c r="I147" s="266">
        <v>100.95</v>
      </c>
      <c r="J147" s="266">
        <f>I147*D147</f>
        <v>403.8</v>
      </c>
      <c r="K147" s="306"/>
      <c r="L147" s="280">
        <v>42396</v>
      </c>
      <c r="M147" s="308" t="s">
        <v>1663</v>
      </c>
      <c r="N147" s="254" t="s">
        <v>342</v>
      </c>
      <c r="O147" s="266" t="s">
        <v>1642</v>
      </c>
    </row>
    <row r="148" spans="1:15" ht="17.25">
      <c r="A148" s="180" t="s">
        <v>62</v>
      </c>
      <c r="B148" s="75" t="s">
        <v>1172</v>
      </c>
      <c r="C148" s="39" t="s">
        <v>1162</v>
      </c>
      <c r="D148" s="255"/>
      <c r="E148" s="325" t="e">
        <f>#REF!</f>
        <v>#REF!</v>
      </c>
      <c r="F148" s="325" t="e">
        <f>#REF!</f>
        <v>#REF!</v>
      </c>
      <c r="G148" s="325" t="e">
        <f>#REF!</f>
        <v>#REF!</v>
      </c>
      <c r="H148" s="325" t="e">
        <f t="shared" si="10"/>
        <v>#REF!</v>
      </c>
      <c r="I148" s="265"/>
      <c r="J148" s="265" t="e">
        <f>I148*H148</f>
        <v>#REF!</v>
      </c>
      <c r="K148" s="307"/>
      <c r="L148" s="310"/>
      <c r="M148" s="308"/>
      <c r="N148" s="265"/>
      <c r="O148" s="266"/>
    </row>
    <row r="149" spans="1:15" ht="17.25">
      <c r="A149" s="180" t="s">
        <v>62</v>
      </c>
      <c r="B149" s="75" t="s">
        <v>1173</v>
      </c>
      <c r="C149" s="39" t="s">
        <v>1162</v>
      </c>
      <c r="D149" s="255"/>
      <c r="E149" s="325" t="e">
        <f>#REF!</f>
        <v>#REF!</v>
      </c>
      <c r="F149" s="325" t="e">
        <f>#REF!</f>
        <v>#REF!</v>
      </c>
      <c r="G149" s="325" t="e">
        <f>#REF!</f>
        <v>#REF!</v>
      </c>
      <c r="H149" s="325" t="e">
        <f t="shared" si="10"/>
        <v>#REF!</v>
      </c>
      <c r="I149" s="266"/>
      <c r="J149" s="265" t="e">
        <f t="shared" ref="J149:J183" si="11">I149*H149</f>
        <v>#REF!</v>
      </c>
      <c r="K149" s="306"/>
      <c r="L149" s="280"/>
      <c r="M149" s="309"/>
      <c r="N149" s="266"/>
      <c r="O149" s="266"/>
    </row>
    <row r="150" spans="1:15" ht="17.25">
      <c r="A150" s="180" t="s">
        <v>62</v>
      </c>
      <c r="B150" s="75" t="s">
        <v>1174</v>
      </c>
      <c r="C150" s="39" t="s">
        <v>17</v>
      </c>
      <c r="D150" s="255"/>
      <c r="E150" s="325" t="e">
        <f>#REF!</f>
        <v>#REF!</v>
      </c>
      <c r="F150" s="325" t="e">
        <f>#REF!</f>
        <v>#REF!</v>
      </c>
      <c r="G150" s="325" t="e">
        <f>#REF!</f>
        <v>#REF!</v>
      </c>
      <c r="H150" s="325" t="e">
        <f t="shared" si="10"/>
        <v>#REF!</v>
      </c>
      <c r="I150" s="265"/>
      <c r="J150" s="265" t="e">
        <f t="shared" si="11"/>
        <v>#REF!</v>
      </c>
      <c r="K150" s="307"/>
      <c r="L150" s="310"/>
      <c r="M150" s="308"/>
      <c r="N150" s="265"/>
      <c r="O150" s="266"/>
    </row>
    <row r="151" spans="1:15" ht="17.25">
      <c r="A151" s="180" t="s">
        <v>62</v>
      </c>
      <c r="B151" s="75" t="s">
        <v>1175</v>
      </c>
      <c r="C151" s="39" t="s">
        <v>17</v>
      </c>
      <c r="D151" s="255"/>
      <c r="E151" s="325" t="e">
        <f>#REF!</f>
        <v>#REF!</v>
      </c>
      <c r="F151" s="325" t="e">
        <f>#REF!</f>
        <v>#REF!</v>
      </c>
      <c r="G151" s="325" t="e">
        <f>#REF!</f>
        <v>#REF!</v>
      </c>
      <c r="H151" s="325" t="e">
        <f t="shared" si="10"/>
        <v>#REF!</v>
      </c>
      <c r="I151" s="266"/>
      <c r="J151" s="265" t="e">
        <f t="shared" si="11"/>
        <v>#REF!</v>
      </c>
      <c r="K151" s="306"/>
      <c r="L151" s="280"/>
      <c r="M151" s="309"/>
      <c r="N151" s="266"/>
      <c r="O151" s="266"/>
    </row>
    <row r="152" spans="1:15" ht="17.25">
      <c r="A152" s="180" t="s">
        <v>62</v>
      </c>
      <c r="B152" s="75" t="s">
        <v>1176</v>
      </c>
      <c r="C152" s="39" t="s">
        <v>17</v>
      </c>
      <c r="D152" s="255"/>
      <c r="E152" s="325" t="e">
        <f>#REF!</f>
        <v>#REF!</v>
      </c>
      <c r="F152" s="325" t="e">
        <f>#REF!</f>
        <v>#REF!</v>
      </c>
      <c r="G152" s="325" t="e">
        <f>#REF!</f>
        <v>#REF!</v>
      </c>
      <c r="H152" s="325" t="e">
        <f t="shared" si="10"/>
        <v>#REF!</v>
      </c>
      <c r="I152" s="265"/>
      <c r="J152" s="265" t="e">
        <f t="shared" si="11"/>
        <v>#REF!</v>
      </c>
      <c r="K152" s="307"/>
      <c r="L152" s="310"/>
      <c r="M152" s="308"/>
      <c r="N152" s="265"/>
      <c r="O152" s="266"/>
    </row>
    <row r="153" spans="1:15" ht="17.25">
      <c r="A153" s="180" t="s">
        <v>62</v>
      </c>
      <c r="B153" s="75" t="s">
        <v>1177</v>
      </c>
      <c r="C153" s="39" t="s">
        <v>17</v>
      </c>
      <c r="D153" s="255"/>
      <c r="E153" s="325" t="e">
        <f>#REF!</f>
        <v>#REF!</v>
      </c>
      <c r="F153" s="325" t="e">
        <f>#REF!</f>
        <v>#REF!</v>
      </c>
      <c r="G153" s="325" t="e">
        <f>#REF!</f>
        <v>#REF!</v>
      </c>
      <c r="H153" s="325" t="e">
        <f t="shared" si="10"/>
        <v>#REF!</v>
      </c>
      <c r="I153" s="266"/>
      <c r="J153" s="265" t="e">
        <f t="shared" si="11"/>
        <v>#REF!</v>
      </c>
      <c r="K153" s="306"/>
      <c r="L153" s="280"/>
      <c r="M153" s="309"/>
      <c r="N153" s="266"/>
      <c r="O153" s="266"/>
    </row>
    <row r="154" spans="1:15" ht="17.25">
      <c r="A154" s="180" t="s">
        <v>62</v>
      </c>
      <c r="B154" s="75" t="s">
        <v>1178</v>
      </c>
      <c r="C154" s="39" t="s">
        <v>17</v>
      </c>
      <c r="D154" s="255"/>
      <c r="E154" s="325" t="e">
        <f>#REF!</f>
        <v>#REF!</v>
      </c>
      <c r="F154" s="325" t="e">
        <f>#REF!</f>
        <v>#REF!</v>
      </c>
      <c r="G154" s="325" t="e">
        <f>#REF!</f>
        <v>#REF!</v>
      </c>
      <c r="H154" s="325" t="e">
        <f t="shared" si="10"/>
        <v>#REF!</v>
      </c>
      <c r="I154" s="265"/>
      <c r="J154" s="265" t="e">
        <f t="shared" si="11"/>
        <v>#REF!</v>
      </c>
      <c r="K154" s="307"/>
      <c r="L154" s="310"/>
      <c r="M154" s="308"/>
      <c r="N154" s="265"/>
      <c r="O154" s="266"/>
    </row>
    <row r="155" spans="1:15" ht="17.25">
      <c r="A155" s="180" t="s">
        <v>62</v>
      </c>
      <c r="B155" s="75" t="s">
        <v>1163</v>
      </c>
      <c r="C155" s="39" t="s">
        <v>17</v>
      </c>
      <c r="D155" s="255"/>
      <c r="E155" s="325" t="e">
        <f>#REF!</f>
        <v>#REF!</v>
      </c>
      <c r="F155" s="325" t="e">
        <f>#REF!</f>
        <v>#REF!</v>
      </c>
      <c r="G155" s="325" t="e">
        <f>#REF!</f>
        <v>#REF!</v>
      </c>
      <c r="H155" s="325" t="e">
        <f t="shared" si="10"/>
        <v>#REF!</v>
      </c>
      <c r="I155" s="266"/>
      <c r="J155" s="265" t="e">
        <f t="shared" si="11"/>
        <v>#REF!</v>
      </c>
      <c r="K155" s="306"/>
      <c r="L155" s="280"/>
      <c r="M155" s="309"/>
      <c r="N155" s="266"/>
      <c r="O155" s="266"/>
    </row>
    <row r="156" spans="1:15" ht="17.25">
      <c r="A156" s="180" t="s">
        <v>62</v>
      </c>
      <c r="B156" s="75" t="s">
        <v>1164</v>
      </c>
      <c r="C156" s="39" t="s">
        <v>17</v>
      </c>
      <c r="D156" s="255"/>
      <c r="E156" s="325" t="e">
        <f>#REF!</f>
        <v>#REF!</v>
      </c>
      <c r="F156" s="325" t="e">
        <f>#REF!</f>
        <v>#REF!</v>
      </c>
      <c r="G156" s="325" t="e">
        <f>#REF!</f>
        <v>#REF!</v>
      </c>
      <c r="H156" s="325" t="e">
        <f t="shared" si="10"/>
        <v>#REF!</v>
      </c>
      <c r="I156" s="265"/>
      <c r="J156" s="265" t="e">
        <f t="shared" si="11"/>
        <v>#REF!</v>
      </c>
      <c r="K156" s="307"/>
      <c r="L156" s="310"/>
      <c r="M156" s="308"/>
      <c r="N156" s="265"/>
      <c r="O156" s="266"/>
    </row>
    <row r="157" spans="1:15" ht="17.25">
      <c r="A157" s="180" t="s">
        <v>62</v>
      </c>
      <c r="B157" s="75" t="s">
        <v>1165</v>
      </c>
      <c r="C157" s="39" t="s">
        <v>17</v>
      </c>
      <c r="D157" s="255"/>
      <c r="E157" s="325" t="e">
        <f>#REF!</f>
        <v>#REF!</v>
      </c>
      <c r="F157" s="325" t="e">
        <f>#REF!</f>
        <v>#REF!</v>
      </c>
      <c r="G157" s="325" t="e">
        <f>#REF!</f>
        <v>#REF!</v>
      </c>
      <c r="H157" s="325" t="e">
        <f t="shared" si="10"/>
        <v>#REF!</v>
      </c>
      <c r="I157" s="266"/>
      <c r="J157" s="265" t="e">
        <f t="shared" si="11"/>
        <v>#REF!</v>
      </c>
      <c r="K157" s="306"/>
      <c r="L157" s="280"/>
      <c r="M157" s="309"/>
      <c r="N157" s="266"/>
      <c r="O157" s="266"/>
    </row>
    <row r="158" spans="1:15" ht="17.25">
      <c r="A158" s="180" t="s">
        <v>62</v>
      </c>
      <c r="B158" s="77" t="s">
        <v>158</v>
      </c>
      <c r="C158" s="70" t="s">
        <v>17</v>
      </c>
      <c r="D158" s="255"/>
      <c r="E158" s="325" t="e">
        <f>#REF!</f>
        <v>#REF!</v>
      </c>
      <c r="F158" s="325" t="e">
        <f>#REF!</f>
        <v>#REF!</v>
      </c>
      <c r="G158" s="325" t="e">
        <f>#REF!</f>
        <v>#REF!</v>
      </c>
      <c r="H158" s="325" t="e">
        <f t="shared" si="10"/>
        <v>#REF!</v>
      </c>
      <c r="I158" s="265"/>
      <c r="J158" s="265" t="e">
        <f t="shared" si="11"/>
        <v>#REF!</v>
      </c>
      <c r="K158" s="307"/>
      <c r="L158" s="310"/>
      <c r="M158" s="308"/>
      <c r="N158" s="265"/>
      <c r="O158" s="266"/>
    </row>
    <row r="159" spans="1:15" ht="17.25">
      <c r="A159" s="180" t="s">
        <v>62</v>
      </c>
      <c r="B159" s="77" t="s">
        <v>1287</v>
      </c>
      <c r="C159" s="70" t="s">
        <v>17</v>
      </c>
      <c r="D159" s="255"/>
      <c r="E159" s="325" t="e">
        <f>#REF!</f>
        <v>#REF!</v>
      </c>
      <c r="F159" s="325" t="e">
        <f>#REF!</f>
        <v>#REF!</v>
      </c>
      <c r="G159" s="325" t="e">
        <f>#REF!</f>
        <v>#REF!</v>
      </c>
      <c r="H159" s="325" t="e">
        <f t="shared" si="10"/>
        <v>#REF!</v>
      </c>
      <c r="I159" s="266"/>
      <c r="J159" s="265" t="e">
        <f t="shared" si="11"/>
        <v>#REF!</v>
      </c>
      <c r="K159" s="306"/>
      <c r="L159" s="280"/>
      <c r="M159" s="309"/>
      <c r="N159" s="266"/>
      <c r="O159" s="266"/>
    </row>
    <row r="160" spans="1:15" ht="17.25">
      <c r="A160" s="180" t="s">
        <v>62</v>
      </c>
      <c r="B160" s="77" t="s">
        <v>160</v>
      </c>
      <c r="C160" s="70" t="s">
        <v>17</v>
      </c>
      <c r="D160" s="255"/>
      <c r="E160" s="325" t="e">
        <f>#REF!</f>
        <v>#REF!</v>
      </c>
      <c r="F160" s="325" t="e">
        <f>#REF!</f>
        <v>#REF!</v>
      </c>
      <c r="G160" s="325" t="e">
        <f>#REF!</f>
        <v>#REF!</v>
      </c>
      <c r="H160" s="325" t="e">
        <f t="shared" si="10"/>
        <v>#REF!</v>
      </c>
      <c r="I160" s="265"/>
      <c r="J160" s="265" t="e">
        <f t="shared" si="11"/>
        <v>#REF!</v>
      </c>
      <c r="K160" s="307"/>
      <c r="L160" s="310"/>
      <c r="M160" s="308"/>
      <c r="N160" s="265"/>
      <c r="O160" s="266"/>
    </row>
    <row r="161" spans="1:15" ht="17.25">
      <c r="A161" s="180" t="s">
        <v>62</v>
      </c>
      <c r="B161" s="77" t="s">
        <v>1545</v>
      </c>
      <c r="C161" s="70" t="s">
        <v>17</v>
      </c>
      <c r="D161" s="255"/>
      <c r="E161" s="325" t="e">
        <f>#REF!</f>
        <v>#REF!</v>
      </c>
      <c r="F161" s="325" t="e">
        <f>#REF!</f>
        <v>#REF!</v>
      </c>
      <c r="G161" s="325" t="e">
        <f>#REF!</f>
        <v>#REF!</v>
      </c>
      <c r="H161" s="325" t="e">
        <f t="shared" si="10"/>
        <v>#REF!</v>
      </c>
      <c r="I161" s="266"/>
      <c r="J161" s="265" t="e">
        <f t="shared" si="11"/>
        <v>#REF!</v>
      </c>
      <c r="K161" s="306"/>
      <c r="L161" s="280"/>
      <c r="M161" s="309"/>
      <c r="N161" s="266"/>
      <c r="O161" s="266"/>
    </row>
    <row r="162" spans="1:15" ht="17.25">
      <c r="A162" s="180" t="s">
        <v>62</v>
      </c>
      <c r="B162" s="77" t="s">
        <v>162</v>
      </c>
      <c r="C162" s="70" t="s">
        <v>17</v>
      </c>
      <c r="D162" s="255"/>
      <c r="E162" s="325" t="e">
        <f>#REF!</f>
        <v>#REF!</v>
      </c>
      <c r="F162" s="325" t="e">
        <f>#REF!</f>
        <v>#REF!</v>
      </c>
      <c r="G162" s="325" t="e">
        <f>#REF!</f>
        <v>#REF!</v>
      </c>
      <c r="H162" s="325" t="e">
        <f t="shared" si="10"/>
        <v>#REF!</v>
      </c>
      <c r="I162" s="265"/>
      <c r="J162" s="265" t="e">
        <f t="shared" si="11"/>
        <v>#REF!</v>
      </c>
      <c r="K162" s="307"/>
      <c r="L162" s="310"/>
      <c r="M162" s="308"/>
      <c r="N162" s="265"/>
      <c r="O162" s="266"/>
    </row>
    <row r="163" spans="1:15" ht="17.25">
      <c r="A163" s="180" t="s">
        <v>62</v>
      </c>
      <c r="B163" s="77" t="s">
        <v>368</v>
      </c>
      <c r="C163" s="70" t="s">
        <v>17</v>
      </c>
      <c r="D163" s="255"/>
      <c r="E163" s="325" t="e">
        <f>#REF!</f>
        <v>#REF!</v>
      </c>
      <c r="F163" s="325" t="e">
        <f>#REF!</f>
        <v>#REF!</v>
      </c>
      <c r="G163" s="325" t="e">
        <f>#REF!</f>
        <v>#REF!</v>
      </c>
      <c r="H163" s="325" t="e">
        <f t="shared" si="10"/>
        <v>#REF!</v>
      </c>
      <c r="I163" s="266"/>
      <c r="J163" s="265" t="e">
        <f t="shared" si="11"/>
        <v>#REF!</v>
      </c>
      <c r="K163" s="306"/>
      <c r="L163" s="280"/>
      <c r="M163" s="309"/>
      <c r="N163" s="266"/>
      <c r="O163" s="266"/>
    </row>
    <row r="164" spans="1:15" ht="17.25">
      <c r="A164" s="180" t="s">
        <v>62</v>
      </c>
      <c r="B164" s="77" t="s">
        <v>602</v>
      </c>
      <c r="C164" s="70" t="s">
        <v>17</v>
      </c>
      <c r="D164" s="255"/>
      <c r="E164" s="325" t="e">
        <f>#REF!</f>
        <v>#REF!</v>
      </c>
      <c r="F164" s="325" t="e">
        <f>#REF!</f>
        <v>#REF!</v>
      </c>
      <c r="G164" s="325" t="e">
        <f>#REF!</f>
        <v>#REF!</v>
      </c>
      <c r="H164" s="325" t="e">
        <f t="shared" si="10"/>
        <v>#REF!</v>
      </c>
      <c r="I164" s="265"/>
      <c r="J164" s="265" t="e">
        <f t="shared" si="11"/>
        <v>#REF!</v>
      </c>
      <c r="K164" s="307"/>
      <c r="L164" s="310"/>
      <c r="M164" s="308"/>
      <c r="N164" s="265"/>
      <c r="O164" s="266"/>
    </row>
    <row r="165" spans="1:15" ht="17.25">
      <c r="A165" s="180" t="s">
        <v>62</v>
      </c>
      <c r="B165" s="77" t="s">
        <v>164</v>
      </c>
      <c r="C165" s="70" t="s">
        <v>17</v>
      </c>
      <c r="D165" s="255"/>
      <c r="E165" s="325" t="e">
        <f>#REF!</f>
        <v>#REF!</v>
      </c>
      <c r="F165" s="325" t="e">
        <f>#REF!</f>
        <v>#REF!</v>
      </c>
      <c r="G165" s="325" t="e">
        <f>#REF!</f>
        <v>#REF!</v>
      </c>
      <c r="H165" s="325" t="e">
        <f t="shared" si="10"/>
        <v>#REF!</v>
      </c>
      <c r="I165" s="266"/>
      <c r="J165" s="265" t="e">
        <f t="shared" si="11"/>
        <v>#REF!</v>
      </c>
      <c r="K165" s="306"/>
      <c r="L165" s="280"/>
      <c r="M165" s="309"/>
      <c r="N165" s="266"/>
      <c r="O165" s="266"/>
    </row>
    <row r="166" spans="1:15" ht="17.25">
      <c r="A166" s="180" t="s">
        <v>62</v>
      </c>
      <c r="B166" s="75" t="s">
        <v>1166</v>
      </c>
      <c r="C166" s="39" t="s">
        <v>17</v>
      </c>
      <c r="D166" s="255"/>
      <c r="E166" s="325" t="e">
        <f>#REF!</f>
        <v>#REF!</v>
      </c>
      <c r="F166" s="325" t="e">
        <f>#REF!</f>
        <v>#REF!</v>
      </c>
      <c r="G166" s="325" t="e">
        <f>#REF!</f>
        <v>#REF!</v>
      </c>
      <c r="H166" s="325" t="e">
        <f t="shared" si="10"/>
        <v>#REF!</v>
      </c>
      <c r="I166" s="265"/>
      <c r="J166" s="265" t="e">
        <f t="shared" si="11"/>
        <v>#REF!</v>
      </c>
      <c r="K166" s="307"/>
      <c r="L166" s="310"/>
      <c r="M166" s="308"/>
      <c r="N166" s="265"/>
      <c r="O166" s="266"/>
    </row>
    <row r="167" spans="1:15" ht="17.25">
      <c r="A167" s="180" t="s">
        <v>62</v>
      </c>
      <c r="B167" s="75" t="s">
        <v>1167</v>
      </c>
      <c r="C167" s="39" t="s">
        <v>17</v>
      </c>
      <c r="D167" s="255"/>
      <c r="E167" s="325" t="e">
        <f>#REF!</f>
        <v>#REF!</v>
      </c>
      <c r="F167" s="325" t="e">
        <f>#REF!</f>
        <v>#REF!</v>
      </c>
      <c r="G167" s="325" t="e">
        <f>#REF!</f>
        <v>#REF!</v>
      </c>
      <c r="H167" s="325" t="e">
        <f t="shared" si="10"/>
        <v>#REF!</v>
      </c>
      <c r="I167" s="266"/>
      <c r="J167" s="265" t="e">
        <f t="shared" si="11"/>
        <v>#REF!</v>
      </c>
      <c r="K167" s="306"/>
      <c r="L167" s="280"/>
      <c r="M167" s="309"/>
      <c r="N167" s="266"/>
      <c r="O167" s="266"/>
    </row>
    <row r="168" spans="1:15" ht="17.25">
      <c r="A168" s="180" t="s">
        <v>62</v>
      </c>
      <c r="B168" s="77" t="s">
        <v>462</v>
      </c>
      <c r="C168" s="70" t="s">
        <v>17</v>
      </c>
      <c r="D168" s="255"/>
      <c r="E168" s="325" t="e">
        <f>#REF!</f>
        <v>#REF!</v>
      </c>
      <c r="F168" s="325" t="e">
        <f>#REF!</f>
        <v>#REF!</v>
      </c>
      <c r="G168" s="325" t="e">
        <f>#REF!</f>
        <v>#REF!</v>
      </c>
      <c r="H168" s="325" t="e">
        <f t="shared" si="10"/>
        <v>#REF!</v>
      </c>
      <c r="I168" s="265"/>
      <c r="J168" s="265" t="e">
        <f t="shared" si="11"/>
        <v>#REF!</v>
      </c>
      <c r="K168" s="307"/>
      <c r="L168" s="310"/>
      <c r="M168" s="308"/>
      <c r="N168" s="265"/>
      <c r="O168" s="266"/>
    </row>
    <row r="169" spans="1:15" ht="17.25">
      <c r="A169" s="180" t="s">
        <v>62</v>
      </c>
      <c r="B169" s="77" t="s">
        <v>463</v>
      </c>
      <c r="C169" s="70" t="s">
        <v>17</v>
      </c>
      <c r="D169" s="255"/>
      <c r="E169" s="325" t="e">
        <f>#REF!</f>
        <v>#REF!</v>
      </c>
      <c r="F169" s="325" t="e">
        <f>#REF!</f>
        <v>#REF!</v>
      </c>
      <c r="G169" s="325" t="e">
        <f>#REF!</f>
        <v>#REF!</v>
      </c>
      <c r="H169" s="325" t="e">
        <f t="shared" si="10"/>
        <v>#REF!</v>
      </c>
      <c r="I169" s="266"/>
      <c r="J169" s="265" t="e">
        <f t="shared" si="11"/>
        <v>#REF!</v>
      </c>
      <c r="K169" s="306"/>
      <c r="L169" s="280"/>
      <c r="M169" s="309"/>
      <c r="N169" s="266"/>
      <c r="O169" s="266"/>
    </row>
    <row r="170" spans="1:15" ht="17.25">
      <c r="A170" s="180" t="s">
        <v>62</v>
      </c>
      <c r="B170" s="77" t="s">
        <v>465</v>
      </c>
      <c r="C170" s="70" t="s">
        <v>17</v>
      </c>
      <c r="D170" s="255"/>
      <c r="E170" s="325" t="e">
        <f>#REF!</f>
        <v>#REF!</v>
      </c>
      <c r="F170" s="325" t="e">
        <f>#REF!</f>
        <v>#REF!</v>
      </c>
      <c r="G170" s="325" t="e">
        <f>#REF!</f>
        <v>#REF!</v>
      </c>
      <c r="H170" s="325" t="e">
        <f t="shared" si="10"/>
        <v>#REF!</v>
      </c>
      <c r="I170" s="265"/>
      <c r="J170" s="265" t="e">
        <f t="shared" si="11"/>
        <v>#REF!</v>
      </c>
      <c r="K170" s="307"/>
      <c r="L170" s="310"/>
      <c r="M170" s="308"/>
      <c r="N170" s="265"/>
      <c r="O170" s="266"/>
    </row>
    <row r="171" spans="1:15" ht="17.25">
      <c r="A171" s="180" t="s">
        <v>62</v>
      </c>
      <c r="B171" s="77" t="s">
        <v>464</v>
      </c>
      <c r="C171" s="70" t="s">
        <v>17</v>
      </c>
      <c r="D171" s="255"/>
      <c r="E171" s="325" t="e">
        <f>#REF!</f>
        <v>#REF!</v>
      </c>
      <c r="F171" s="325" t="e">
        <f>#REF!</f>
        <v>#REF!</v>
      </c>
      <c r="G171" s="325" t="e">
        <f>#REF!</f>
        <v>#REF!</v>
      </c>
      <c r="H171" s="325" t="e">
        <f t="shared" si="10"/>
        <v>#REF!</v>
      </c>
      <c r="I171" s="266"/>
      <c r="J171" s="265" t="e">
        <f t="shared" si="11"/>
        <v>#REF!</v>
      </c>
      <c r="K171" s="306"/>
      <c r="L171" s="280"/>
      <c r="M171" s="309"/>
      <c r="N171" s="266"/>
      <c r="O171" s="266"/>
    </row>
    <row r="172" spans="1:15" ht="17.25">
      <c r="A172" s="180" t="s">
        <v>62</v>
      </c>
      <c r="B172" s="77" t="s">
        <v>466</v>
      </c>
      <c r="C172" s="70" t="s">
        <v>17</v>
      </c>
      <c r="D172" s="255"/>
      <c r="E172" s="325" t="e">
        <f>#REF!</f>
        <v>#REF!</v>
      </c>
      <c r="F172" s="325" t="e">
        <f>#REF!</f>
        <v>#REF!</v>
      </c>
      <c r="G172" s="325" t="e">
        <f>#REF!</f>
        <v>#REF!</v>
      </c>
      <c r="H172" s="325" t="e">
        <f t="shared" si="10"/>
        <v>#REF!</v>
      </c>
      <c r="I172" s="265"/>
      <c r="J172" s="265" t="e">
        <f t="shared" si="11"/>
        <v>#REF!</v>
      </c>
      <c r="K172" s="307"/>
      <c r="L172" s="310"/>
      <c r="M172" s="308"/>
      <c r="N172" s="265"/>
      <c r="O172" s="266"/>
    </row>
    <row r="173" spans="1:15" ht="17.25">
      <c r="A173" s="180" t="s">
        <v>62</v>
      </c>
      <c r="B173" s="77" t="s">
        <v>1168</v>
      </c>
      <c r="C173" s="70" t="s">
        <v>17</v>
      </c>
      <c r="D173" s="255"/>
      <c r="E173" s="325" t="e">
        <f>#REF!</f>
        <v>#REF!</v>
      </c>
      <c r="F173" s="325" t="e">
        <f>#REF!</f>
        <v>#REF!</v>
      </c>
      <c r="G173" s="325" t="e">
        <f>#REF!</f>
        <v>#REF!</v>
      </c>
      <c r="H173" s="325" t="e">
        <f t="shared" si="10"/>
        <v>#REF!</v>
      </c>
      <c r="I173" s="266"/>
      <c r="J173" s="265" t="e">
        <f t="shared" si="11"/>
        <v>#REF!</v>
      </c>
      <c r="K173" s="306"/>
      <c r="L173" s="280"/>
      <c r="M173" s="309"/>
      <c r="N173" s="266"/>
      <c r="O173" s="266"/>
    </row>
    <row r="174" spans="1:15" ht="17.25">
      <c r="A174" s="180" t="s">
        <v>62</v>
      </c>
      <c r="B174" s="77" t="s">
        <v>170</v>
      </c>
      <c r="C174" s="70" t="s">
        <v>17</v>
      </c>
      <c r="D174" s="255"/>
      <c r="E174" s="325" t="e">
        <f>#REF!</f>
        <v>#REF!</v>
      </c>
      <c r="F174" s="325" t="e">
        <f>#REF!</f>
        <v>#REF!</v>
      </c>
      <c r="G174" s="325" t="e">
        <f>#REF!</f>
        <v>#REF!</v>
      </c>
      <c r="H174" s="325" t="e">
        <f t="shared" si="10"/>
        <v>#REF!</v>
      </c>
      <c r="I174" s="265"/>
      <c r="J174" s="265" t="e">
        <f t="shared" si="11"/>
        <v>#REF!</v>
      </c>
      <c r="K174" s="307"/>
      <c r="L174" s="310"/>
      <c r="M174" s="308"/>
      <c r="N174" s="265"/>
      <c r="O174" s="266"/>
    </row>
    <row r="175" spans="1:15" ht="17.25">
      <c r="A175" s="180" t="s">
        <v>62</v>
      </c>
      <c r="B175" s="77" t="s">
        <v>172</v>
      </c>
      <c r="C175" s="70" t="s">
        <v>17</v>
      </c>
      <c r="D175" s="255"/>
      <c r="E175" s="325" t="e">
        <f>#REF!</f>
        <v>#REF!</v>
      </c>
      <c r="F175" s="325" t="e">
        <f>#REF!</f>
        <v>#REF!</v>
      </c>
      <c r="G175" s="325" t="e">
        <f>#REF!</f>
        <v>#REF!</v>
      </c>
      <c r="H175" s="325" t="e">
        <f t="shared" si="10"/>
        <v>#REF!</v>
      </c>
      <c r="I175" s="266"/>
      <c r="J175" s="265" t="e">
        <f t="shared" si="11"/>
        <v>#REF!</v>
      </c>
      <c r="K175" s="306"/>
      <c r="L175" s="280"/>
      <c r="M175" s="309"/>
      <c r="N175" s="266"/>
      <c r="O175" s="266"/>
    </row>
    <row r="176" spans="1:15" ht="17.25">
      <c r="A176" s="180" t="s">
        <v>62</v>
      </c>
      <c r="B176" s="77" t="s">
        <v>732</v>
      </c>
      <c r="C176" s="70" t="s">
        <v>17</v>
      </c>
      <c r="D176" s="255"/>
      <c r="E176" s="325" t="e">
        <f>#REF!</f>
        <v>#REF!</v>
      </c>
      <c r="F176" s="325" t="e">
        <f>#REF!</f>
        <v>#REF!</v>
      </c>
      <c r="G176" s="325" t="e">
        <f>#REF!</f>
        <v>#REF!</v>
      </c>
      <c r="H176" s="325" t="e">
        <f t="shared" si="10"/>
        <v>#REF!</v>
      </c>
      <c r="I176" s="265"/>
      <c r="J176" s="265" t="e">
        <f t="shared" si="11"/>
        <v>#REF!</v>
      </c>
      <c r="K176" s="307"/>
      <c r="L176" s="310"/>
      <c r="M176" s="308"/>
      <c r="N176" s="265"/>
      <c r="O176" s="266"/>
    </row>
    <row r="177" spans="1:15" ht="17.25">
      <c r="A177" s="180" t="s">
        <v>62</v>
      </c>
      <c r="B177" s="77" t="s">
        <v>733</v>
      </c>
      <c r="C177" s="70" t="s">
        <v>17</v>
      </c>
      <c r="D177" s="255"/>
      <c r="E177" s="325" t="e">
        <f>#REF!</f>
        <v>#REF!</v>
      </c>
      <c r="F177" s="325" t="e">
        <f>#REF!</f>
        <v>#REF!</v>
      </c>
      <c r="G177" s="325" t="e">
        <f>#REF!</f>
        <v>#REF!</v>
      </c>
      <c r="H177" s="325" t="e">
        <f t="shared" si="10"/>
        <v>#REF!</v>
      </c>
      <c r="I177" s="266"/>
      <c r="J177" s="265" t="e">
        <f t="shared" si="11"/>
        <v>#REF!</v>
      </c>
      <c r="K177" s="306"/>
      <c r="L177" s="280"/>
      <c r="M177" s="309"/>
      <c r="N177" s="266"/>
      <c r="O177" s="266"/>
    </row>
    <row r="178" spans="1:15" ht="17.25">
      <c r="A178" s="180" t="s">
        <v>62</v>
      </c>
      <c r="B178" s="77" t="s">
        <v>734</v>
      </c>
      <c r="C178" s="70" t="s">
        <v>17</v>
      </c>
      <c r="D178" s="255"/>
      <c r="E178" s="325" t="e">
        <f>#REF!</f>
        <v>#REF!</v>
      </c>
      <c r="F178" s="325" t="e">
        <f>#REF!</f>
        <v>#REF!</v>
      </c>
      <c r="G178" s="325" t="e">
        <f>#REF!</f>
        <v>#REF!</v>
      </c>
      <c r="H178" s="325" t="e">
        <f t="shared" si="10"/>
        <v>#REF!</v>
      </c>
      <c r="I178" s="265"/>
      <c r="J178" s="265" t="e">
        <f t="shared" si="11"/>
        <v>#REF!</v>
      </c>
      <c r="K178" s="307"/>
      <c r="L178" s="310"/>
      <c r="M178" s="308"/>
      <c r="N178" s="265"/>
      <c r="O178" s="266"/>
    </row>
    <row r="179" spans="1:15" ht="17.25">
      <c r="A179" s="180" t="s">
        <v>62</v>
      </c>
      <c r="B179" s="77" t="s">
        <v>735</v>
      </c>
      <c r="C179" s="70" t="s">
        <v>17</v>
      </c>
      <c r="D179" s="255"/>
      <c r="E179" s="325" t="e">
        <f>#REF!</f>
        <v>#REF!</v>
      </c>
      <c r="F179" s="325" t="e">
        <f>#REF!</f>
        <v>#REF!</v>
      </c>
      <c r="G179" s="325" t="e">
        <f>#REF!</f>
        <v>#REF!</v>
      </c>
      <c r="H179" s="325" t="e">
        <f t="shared" si="10"/>
        <v>#REF!</v>
      </c>
      <c r="I179" s="266"/>
      <c r="J179" s="265" t="e">
        <f t="shared" si="11"/>
        <v>#REF!</v>
      </c>
      <c r="K179" s="306"/>
      <c r="L179" s="280"/>
      <c r="M179" s="309"/>
      <c r="N179" s="266"/>
      <c r="O179" s="266"/>
    </row>
    <row r="180" spans="1:15" ht="17.25">
      <c r="A180" s="180" t="s">
        <v>62</v>
      </c>
      <c r="B180" s="77" t="s">
        <v>736</v>
      </c>
      <c r="C180" s="70" t="s">
        <v>17</v>
      </c>
      <c r="D180" s="255"/>
      <c r="E180" s="325" t="e">
        <f>#REF!</f>
        <v>#REF!</v>
      </c>
      <c r="F180" s="325" t="e">
        <f>#REF!</f>
        <v>#REF!</v>
      </c>
      <c r="G180" s="325" t="e">
        <f>#REF!</f>
        <v>#REF!</v>
      </c>
      <c r="H180" s="325" t="e">
        <f t="shared" si="10"/>
        <v>#REF!</v>
      </c>
      <c r="I180" s="265"/>
      <c r="J180" s="265" t="e">
        <f t="shared" si="11"/>
        <v>#REF!</v>
      </c>
      <c r="K180" s="307"/>
      <c r="L180" s="310"/>
      <c r="M180" s="308"/>
      <c r="N180" s="265"/>
      <c r="O180" s="266"/>
    </row>
    <row r="181" spans="1:15" ht="17.25">
      <c r="A181" s="180" t="s">
        <v>62</v>
      </c>
      <c r="B181" s="77" t="s">
        <v>737</v>
      </c>
      <c r="C181" s="70" t="s">
        <v>17</v>
      </c>
      <c r="D181" s="255"/>
      <c r="E181" s="325" t="e">
        <f>#REF!</f>
        <v>#REF!</v>
      </c>
      <c r="F181" s="325" t="e">
        <f>#REF!</f>
        <v>#REF!</v>
      </c>
      <c r="G181" s="325" t="e">
        <f>#REF!</f>
        <v>#REF!</v>
      </c>
      <c r="H181" s="325" t="e">
        <f t="shared" si="10"/>
        <v>#REF!</v>
      </c>
      <c r="I181" s="266"/>
      <c r="J181" s="265" t="e">
        <f t="shared" si="11"/>
        <v>#REF!</v>
      </c>
      <c r="K181" s="306"/>
      <c r="L181" s="280"/>
      <c r="M181" s="309"/>
      <c r="N181" s="266"/>
      <c r="O181" s="266"/>
    </row>
    <row r="182" spans="1:15" ht="17.25">
      <c r="A182" s="180" t="s">
        <v>62</v>
      </c>
      <c r="B182" s="77" t="s">
        <v>738</v>
      </c>
      <c r="C182" s="70" t="s">
        <v>17</v>
      </c>
      <c r="D182" s="255"/>
      <c r="E182" s="325" t="e">
        <f>#REF!</f>
        <v>#REF!</v>
      </c>
      <c r="F182" s="325" t="e">
        <f>#REF!</f>
        <v>#REF!</v>
      </c>
      <c r="G182" s="325" t="e">
        <f>#REF!</f>
        <v>#REF!</v>
      </c>
      <c r="H182" s="325" t="e">
        <f t="shared" si="10"/>
        <v>#REF!</v>
      </c>
      <c r="I182" s="265"/>
      <c r="J182" s="265" t="e">
        <f t="shared" si="11"/>
        <v>#REF!</v>
      </c>
      <c r="K182" s="307"/>
      <c r="L182" s="310"/>
      <c r="M182" s="308"/>
      <c r="N182" s="265"/>
      <c r="O182" s="266"/>
    </row>
    <row r="183" spans="1:15" ht="17.25">
      <c r="A183" s="180" t="s">
        <v>62</v>
      </c>
      <c r="B183" s="75" t="s">
        <v>1169</v>
      </c>
      <c r="C183" s="39" t="s">
        <v>1162</v>
      </c>
      <c r="D183" s="255"/>
      <c r="E183" s="325" t="e">
        <f>#REF!</f>
        <v>#REF!</v>
      </c>
      <c r="F183" s="325" t="e">
        <f>#REF!</f>
        <v>#REF!</v>
      </c>
      <c r="G183" s="325" t="e">
        <f>#REF!</f>
        <v>#REF!</v>
      </c>
      <c r="H183" s="325" t="e">
        <f t="shared" si="10"/>
        <v>#REF!</v>
      </c>
      <c r="I183" s="266"/>
      <c r="J183" s="265" t="e">
        <f t="shared" si="11"/>
        <v>#REF!</v>
      </c>
      <c r="K183" s="306"/>
      <c r="L183" s="280"/>
      <c r="M183" s="309"/>
      <c r="N183" s="266"/>
      <c r="O183" s="266"/>
    </row>
    <row r="184" spans="1:15" ht="17.25">
      <c r="A184" s="179" t="s">
        <v>62</v>
      </c>
      <c r="B184" s="42"/>
      <c r="C184" s="42"/>
      <c r="D184" s="42"/>
      <c r="E184" s="42"/>
      <c r="F184" s="42"/>
      <c r="G184" s="42"/>
      <c r="H184" s="42"/>
      <c r="I184" s="42"/>
      <c r="J184" s="42"/>
      <c r="K184" s="293" t="e">
        <f>SUM(J79:J183)</f>
        <v>#REF!</v>
      </c>
      <c r="L184" s="281"/>
      <c r="M184" s="42"/>
      <c r="N184" s="42"/>
      <c r="O184" s="42"/>
    </row>
    <row r="185" spans="1:15" ht="30">
      <c r="A185" s="178" t="s">
        <v>73</v>
      </c>
      <c r="B185" s="75" t="s">
        <v>1275</v>
      </c>
      <c r="C185" s="53" t="s">
        <v>17</v>
      </c>
      <c r="D185" s="255"/>
      <c r="E185" s="325" t="e">
        <f>#REF!</f>
        <v>#REF!</v>
      </c>
      <c r="F185" s="325" t="e">
        <f>#REF!</f>
        <v>#REF!</v>
      </c>
      <c r="G185" s="325" t="e">
        <f>#REF!</f>
        <v>#REF!</v>
      </c>
      <c r="H185" s="325" t="e">
        <f t="shared" si="10"/>
        <v>#REF!</v>
      </c>
      <c r="I185" s="260"/>
      <c r="J185" s="266" t="e">
        <f>I185*H185</f>
        <v>#REF!</v>
      </c>
      <c r="K185" s="294"/>
      <c r="L185" s="271"/>
      <c r="M185" s="264"/>
      <c r="N185" s="260"/>
      <c r="O185" s="260"/>
    </row>
    <row r="186" spans="1:15" ht="30">
      <c r="A186" s="178" t="s">
        <v>73</v>
      </c>
      <c r="B186" s="75" t="s">
        <v>1276</v>
      </c>
      <c r="C186" s="53" t="s">
        <v>17</v>
      </c>
      <c r="D186" s="255"/>
      <c r="E186" s="325" t="e">
        <f>#REF!</f>
        <v>#REF!</v>
      </c>
      <c r="F186" s="325" t="e">
        <f>#REF!</f>
        <v>#REF!</v>
      </c>
      <c r="G186" s="325" t="e">
        <f>#REF!</f>
        <v>#REF!</v>
      </c>
      <c r="H186" s="325" t="e">
        <f t="shared" si="10"/>
        <v>#REF!</v>
      </c>
      <c r="I186" s="261"/>
      <c r="J186" s="266" t="e">
        <f>I186*H186</f>
        <v>#REF!</v>
      </c>
      <c r="K186" s="295"/>
      <c r="L186" s="270"/>
      <c r="M186" s="263"/>
      <c r="N186" s="261"/>
      <c r="O186" s="260"/>
    </row>
    <row r="187" spans="1:15" ht="30">
      <c r="A187" s="178" t="s">
        <v>73</v>
      </c>
      <c r="B187" s="75" t="s">
        <v>1277</v>
      </c>
      <c r="C187" s="53" t="s">
        <v>17</v>
      </c>
      <c r="D187" s="255"/>
      <c r="E187" s="325" t="e">
        <f>#REF!</f>
        <v>#REF!</v>
      </c>
      <c r="F187" s="325" t="e">
        <f>#REF!</f>
        <v>#REF!</v>
      </c>
      <c r="G187" s="325" t="e">
        <f>#REF!</f>
        <v>#REF!</v>
      </c>
      <c r="H187" s="325" t="e">
        <f t="shared" si="10"/>
        <v>#REF!</v>
      </c>
      <c r="I187" s="260"/>
      <c r="J187" s="266" t="e">
        <f>I187*H187</f>
        <v>#REF!</v>
      </c>
      <c r="K187" s="294"/>
      <c r="L187" s="271"/>
      <c r="M187" s="264"/>
      <c r="N187" s="260"/>
      <c r="O187" s="260"/>
    </row>
    <row r="188" spans="1:15" ht="30">
      <c r="A188" s="178" t="s">
        <v>73</v>
      </c>
      <c r="B188" s="75" t="s">
        <v>1278</v>
      </c>
      <c r="C188" s="53" t="s">
        <v>17</v>
      </c>
      <c r="D188" s="255"/>
      <c r="E188" s="325" t="e">
        <f>#REF!</f>
        <v>#REF!</v>
      </c>
      <c r="F188" s="325" t="e">
        <f>#REF!</f>
        <v>#REF!</v>
      </c>
      <c r="G188" s="325" t="e">
        <f>#REF!</f>
        <v>#REF!</v>
      </c>
      <c r="H188" s="325" t="e">
        <f t="shared" si="10"/>
        <v>#REF!</v>
      </c>
      <c r="I188" s="261"/>
      <c r="J188" s="266" t="e">
        <f>I188*H188</f>
        <v>#REF!</v>
      </c>
      <c r="K188" s="295"/>
      <c r="L188" s="270"/>
      <c r="M188" s="263"/>
      <c r="N188" s="261"/>
      <c r="O188" s="260"/>
    </row>
    <row r="189" spans="1:15" ht="31.5">
      <c r="A189" s="179" t="s">
        <v>73</v>
      </c>
      <c r="B189" s="76"/>
      <c r="C189" s="42"/>
      <c r="D189" s="269"/>
      <c r="E189" s="269"/>
      <c r="F189" s="269"/>
      <c r="G189" s="269"/>
      <c r="H189" s="269"/>
      <c r="I189" s="269"/>
      <c r="J189" s="269"/>
      <c r="K189" s="296" t="e">
        <f>SUM(J185:J188)</f>
        <v>#REF!</v>
      </c>
      <c r="L189" s="283"/>
      <c r="M189" s="269"/>
      <c r="N189" s="269"/>
      <c r="O189" s="269"/>
    </row>
    <row r="190" spans="1:15" ht="17.25">
      <c r="A190" s="178" t="s">
        <v>80</v>
      </c>
      <c r="B190" s="75" t="s">
        <v>788</v>
      </c>
      <c r="C190" s="39" t="s">
        <v>69</v>
      </c>
      <c r="D190" s="255"/>
      <c r="E190" s="325" t="e">
        <f>#REF!</f>
        <v>#REF!</v>
      </c>
      <c r="F190" s="325" t="e">
        <f>#REF!</f>
        <v>#REF!</v>
      </c>
      <c r="G190" s="325" t="e">
        <f>#REF!</f>
        <v>#REF!</v>
      </c>
      <c r="H190" s="325" t="e">
        <f t="shared" si="10"/>
        <v>#REF!</v>
      </c>
      <c r="I190" s="261"/>
      <c r="J190" s="265" t="e">
        <f>I190*H190</f>
        <v>#REF!</v>
      </c>
      <c r="K190" s="295"/>
      <c r="L190" s="270"/>
      <c r="M190" s="263"/>
      <c r="N190" s="261"/>
      <c r="O190" s="260"/>
    </row>
    <row r="191" spans="1:15" ht="17.25">
      <c r="A191" s="178" t="s">
        <v>80</v>
      </c>
      <c r="B191" s="75" t="s">
        <v>1346</v>
      </c>
      <c r="C191" s="39" t="s">
        <v>208</v>
      </c>
      <c r="D191" s="255"/>
      <c r="E191" s="325" t="e">
        <f>#REF!</f>
        <v>#REF!</v>
      </c>
      <c r="F191" s="325" t="e">
        <f>#REF!</f>
        <v>#REF!</v>
      </c>
      <c r="G191" s="325" t="e">
        <f>#REF!</f>
        <v>#REF!</v>
      </c>
      <c r="H191" s="325" t="e">
        <f t="shared" si="10"/>
        <v>#REF!</v>
      </c>
      <c r="I191" s="260"/>
      <c r="J191" s="265" t="e">
        <f t="shared" ref="J191:J196" si="12">I191*H191</f>
        <v>#REF!</v>
      </c>
      <c r="K191" s="294"/>
      <c r="L191" s="271"/>
      <c r="M191" s="264"/>
      <c r="N191" s="260"/>
      <c r="O191" s="260"/>
    </row>
    <row r="192" spans="1:15" ht="17.25">
      <c r="A192" s="178" t="s">
        <v>80</v>
      </c>
      <c r="B192" s="75" t="s">
        <v>789</v>
      </c>
      <c r="C192" s="39" t="s">
        <v>208</v>
      </c>
      <c r="D192" s="255"/>
      <c r="E192" s="325" t="e">
        <f>#REF!</f>
        <v>#REF!</v>
      </c>
      <c r="F192" s="325" t="e">
        <f>#REF!</f>
        <v>#REF!</v>
      </c>
      <c r="G192" s="325" t="e">
        <f>#REF!</f>
        <v>#REF!</v>
      </c>
      <c r="H192" s="325" t="e">
        <f t="shared" si="10"/>
        <v>#REF!</v>
      </c>
      <c r="I192" s="261"/>
      <c r="J192" s="265" t="e">
        <f t="shared" si="12"/>
        <v>#REF!</v>
      </c>
      <c r="K192" s="295"/>
      <c r="L192" s="270"/>
      <c r="M192" s="263"/>
      <c r="N192" s="261"/>
      <c r="O192" s="260"/>
    </row>
    <row r="193" spans="1:15" ht="17.25">
      <c r="A193" s="178" t="s">
        <v>80</v>
      </c>
      <c r="B193" s="75" t="s">
        <v>83</v>
      </c>
      <c r="C193" s="39" t="s">
        <v>69</v>
      </c>
      <c r="D193" s="255"/>
      <c r="E193" s="325" t="e">
        <f>#REF!</f>
        <v>#REF!</v>
      </c>
      <c r="F193" s="325" t="e">
        <f>#REF!</f>
        <v>#REF!</v>
      </c>
      <c r="G193" s="325" t="e">
        <f>#REF!</f>
        <v>#REF!</v>
      </c>
      <c r="H193" s="325" t="e">
        <f t="shared" si="10"/>
        <v>#REF!</v>
      </c>
      <c r="I193" s="260"/>
      <c r="J193" s="265" t="e">
        <f t="shared" si="12"/>
        <v>#REF!</v>
      </c>
      <c r="K193" s="294"/>
      <c r="L193" s="271"/>
      <c r="M193" s="264"/>
      <c r="N193" s="260"/>
      <c r="O193" s="260"/>
    </row>
    <row r="194" spans="1:15" ht="17.25">
      <c r="A194" s="178" t="s">
        <v>80</v>
      </c>
      <c r="B194" s="75" t="s">
        <v>1561</v>
      </c>
      <c r="C194" s="39" t="s">
        <v>69</v>
      </c>
      <c r="D194" s="255"/>
      <c r="E194" s="325" t="e">
        <f>#REF!</f>
        <v>#REF!</v>
      </c>
      <c r="F194" s="325" t="e">
        <f>#REF!</f>
        <v>#REF!</v>
      </c>
      <c r="G194" s="325" t="e">
        <f>#REF!</f>
        <v>#REF!</v>
      </c>
      <c r="H194" s="325" t="e">
        <f t="shared" si="10"/>
        <v>#REF!</v>
      </c>
      <c r="I194" s="261"/>
      <c r="J194" s="265" t="e">
        <f t="shared" si="12"/>
        <v>#REF!</v>
      </c>
      <c r="K194" s="295"/>
      <c r="L194" s="270"/>
      <c r="M194" s="263"/>
      <c r="N194" s="261"/>
      <c r="O194" s="260"/>
    </row>
    <row r="195" spans="1:15" ht="17.25">
      <c r="A195" s="178" t="s">
        <v>80</v>
      </c>
      <c r="B195" s="75" t="s">
        <v>85</v>
      </c>
      <c r="C195" s="39" t="s">
        <v>69</v>
      </c>
      <c r="D195" s="255"/>
      <c r="E195" s="325" t="e">
        <f>#REF!</f>
        <v>#REF!</v>
      </c>
      <c r="F195" s="325" t="e">
        <f>#REF!</f>
        <v>#REF!</v>
      </c>
      <c r="G195" s="325" t="e">
        <f>#REF!</f>
        <v>#REF!</v>
      </c>
      <c r="H195" s="325" t="e">
        <f t="shared" si="10"/>
        <v>#REF!</v>
      </c>
      <c r="I195" s="260"/>
      <c r="J195" s="265" t="e">
        <f t="shared" si="12"/>
        <v>#REF!</v>
      </c>
      <c r="K195" s="294"/>
      <c r="L195" s="271"/>
      <c r="M195" s="264"/>
      <c r="N195" s="260"/>
      <c r="O195" s="260"/>
    </row>
    <row r="196" spans="1:15" ht="17.25">
      <c r="A196" s="178" t="s">
        <v>80</v>
      </c>
      <c r="B196" s="75" t="s">
        <v>87</v>
      </c>
      <c r="C196" s="39" t="s">
        <v>69</v>
      </c>
      <c r="D196" s="255"/>
      <c r="E196" s="325" t="e">
        <f>#REF!</f>
        <v>#REF!</v>
      </c>
      <c r="F196" s="325" t="e">
        <f>#REF!</f>
        <v>#REF!</v>
      </c>
      <c r="G196" s="325" t="e">
        <f>#REF!</f>
        <v>#REF!</v>
      </c>
      <c r="H196" s="325" t="e">
        <f t="shared" si="10"/>
        <v>#REF!</v>
      </c>
      <c r="I196" s="261"/>
      <c r="J196" s="265" t="e">
        <f t="shared" si="12"/>
        <v>#REF!</v>
      </c>
      <c r="K196" s="295"/>
      <c r="L196" s="270"/>
      <c r="M196" s="263"/>
      <c r="N196" s="261"/>
      <c r="O196" s="260"/>
    </row>
    <row r="197" spans="1:15" ht="31.5">
      <c r="A197" s="178" t="s">
        <v>80</v>
      </c>
      <c r="B197" s="75" t="s">
        <v>1436</v>
      </c>
      <c r="C197" s="39" t="s">
        <v>69</v>
      </c>
      <c r="D197" s="255">
        <v>4</v>
      </c>
      <c r="E197" s="325" t="e">
        <f>#REF!</f>
        <v>#REF!</v>
      </c>
      <c r="F197" s="325" t="e">
        <f>#REF!</f>
        <v>#REF!</v>
      </c>
      <c r="G197" s="325" t="e">
        <f>#REF!</f>
        <v>#REF!</v>
      </c>
      <c r="H197" s="325" t="e">
        <f t="shared" si="10"/>
        <v>#REF!</v>
      </c>
      <c r="I197" s="266">
        <v>125</v>
      </c>
      <c r="J197" s="266">
        <f>I197*D197</f>
        <v>500</v>
      </c>
      <c r="K197" s="306"/>
      <c r="L197" s="280">
        <v>42396</v>
      </c>
      <c r="M197" s="308" t="s">
        <v>1663</v>
      </c>
      <c r="N197" s="254" t="s">
        <v>342</v>
      </c>
      <c r="O197" s="266" t="s">
        <v>1642</v>
      </c>
    </row>
    <row r="198" spans="1:15" ht="17.25">
      <c r="A198" s="178" t="s">
        <v>80</v>
      </c>
      <c r="B198" s="75" t="s">
        <v>89</v>
      </c>
      <c r="C198" s="39" t="s">
        <v>208</v>
      </c>
      <c r="D198" s="255"/>
      <c r="E198" s="325" t="e">
        <f>#REF!</f>
        <v>#REF!</v>
      </c>
      <c r="F198" s="325" t="e">
        <f>#REF!</f>
        <v>#REF!</v>
      </c>
      <c r="G198" s="325" t="e">
        <f>#REF!</f>
        <v>#REF!</v>
      </c>
      <c r="H198" s="325" t="e">
        <f t="shared" si="10"/>
        <v>#REF!</v>
      </c>
      <c r="I198" s="265"/>
      <c r="J198" s="265" t="e">
        <f>I198*H198</f>
        <v>#REF!</v>
      </c>
      <c r="K198" s="307"/>
      <c r="L198" s="310"/>
      <c r="M198" s="308"/>
      <c r="N198" s="265"/>
      <c r="O198" s="266"/>
    </row>
    <row r="199" spans="1:15" ht="17.25">
      <c r="A199" s="178" t="s">
        <v>80</v>
      </c>
      <c r="B199" s="75" t="s">
        <v>98</v>
      </c>
      <c r="C199" s="39" t="s">
        <v>93</v>
      </c>
      <c r="D199" s="255"/>
      <c r="E199" s="325" t="e">
        <f>#REF!</f>
        <v>#REF!</v>
      </c>
      <c r="F199" s="325" t="e">
        <f>#REF!</f>
        <v>#REF!</v>
      </c>
      <c r="G199" s="325" t="e">
        <f>#REF!</f>
        <v>#REF!</v>
      </c>
      <c r="H199" s="325" t="e">
        <f t="shared" si="10"/>
        <v>#REF!</v>
      </c>
      <c r="I199" s="266"/>
      <c r="J199" s="265" t="e">
        <f t="shared" ref="J199:J204" si="13">I199*H199</f>
        <v>#REF!</v>
      </c>
      <c r="K199" s="306"/>
      <c r="L199" s="280"/>
      <c r="M199" s="309"/>
      <c r="N199" s="266"/>
      <c r="O199" s="266"/>
    </row>
    <row r="200" spans="1:15" ht="17.25">
      <c r="A200" s="178" t="s">
        <v>80</v>
      </c>
      <c r="B200" s="75" t="s">
        <v>1601</v>
      </c>
      <c r="C200" s="39" t="s">
        <v>93</v>
      </c>
      <c r="D200" s="255"/>
      <c r="E200" s="325" t="e">
        <f>#REF!</f>
        <v>#REF!</v>
      </c>
      <c r="F200" s="325" t="e">
        <f>#REF!</f>
        <v>#REF!</v>
      </c>
      <c r="G200" s="325" t="e">
        <f>#REF!</f>
        <v>#REF!</v>
      </c>
      <c r="H200" s="325" t="e">
        <f t="shared" si="10"/>
        <v>#REF!</v>
      </c>
      <c r="I200" s="265"/>
      <c r="J200" s="265" t="e">
        <f t="shared" si="13"/>
        <v>#REF!</v>
      </c>
      <c r="K200" s="307"/>
      <c r="L200" s="310"/>
      <c r="M200" s="308"/>
      <c r="N200" s="265"/>
      <c r="O200" s="266"/>
    </row>
    <row r="201" spans="1:15" ht="17.25">
      <c r="A201" s="178" t="s">
        <v>80</v>
      </c>
      <c r="B201" s="75" t="s">
        <v>100</v>
      </c>
      <c r="C201" s="39" t="s">
        <v>93</v>
      </c>
      <c r="D201" s="255"/>
      <c r="E201" s="325" t="e">
        <f>#REF!</f>
        <v>#REF!</v>
      </c>
      <c r="F201" s="325" t="e">
        <f>#REF!</f>
        <v>#REF!</v>
      </c>
      <c r="G201" s="325" t="e">
        <f>#REF!</f>
        <v>#REF!</v>
      </c>
      <c r="H201" s="325" t="e">
        <f t="shared" si="10"/>
        <v>#REF!</v>
      </c>
      <c r="I201" s="266"/>
      <c r="J201" s="265" t="e">
        <f t="shared" si="13"/>
        <v>#REF!</v>
      </c>
      <c r="K201" s="306"/>
      <c r="L201" s="280"/>
      <c r="M201" s="309"/>
      <c r="N201" s="266"/>
      <c r="O201" s="266"/>
    </row>
    <row r="202" spans="1:15" ht="31.5">
      <c r="A202" s="178" t="s">
        <v>80</v>
      </c>
      <c r="B202" s="75" t="s">
        <v>1729</v>
      </c>
      <c r="C202" s="39" t="s">
        <v>17</v>
      </c>
      <c r="D202" s="255">
        <v>8</v>
      </c>
      <c r="E202" s="325" t="e">
        <f>#REF!</f>
        <v>#REF!</v>
      </c>
      <c r="F202" s="325" t="e">
        <f>#REF!</f>
        <v>#REF!</v>
      </c>
      <c r="G202" s="325" t="e">
        <f>#REF!</f>
        <v>#REF!</v>
      </c>
      <c r="H202" s="325" t="e">
        <f t="shared" si="10"/>
        <v>#REF!</v>
      </c>
      <c r="I202" s="266">
        <v>114</v>
      </c>
      <c r="J202" s="265" t="e">
        <f t="shared" si="13"/>
        <v>#REF!</v>
      </c>
      <c r="K202" s="306"/>
      <c r="L202" s="280">
        <v>42383</v>
      </c>
      <c r="M202" s="308" t="s">
        <v>1663</v>
      </c>
      <c r="N202" s="265"/>
      <c r="O202" s="266" t="s">
        <v>1642</v>
      </c>
    </row>
    <row r="203" spans="1:15" ht="31.5">
      <c r="A203" s="178" t="s">
        <v>80</v>
      </c>
      <c r="B203" s="75" t="s">
        <v>1730</v>
      </c>
      <c r="C203" s="39" t="s">
        <v>17</v>
      </c>
      <c r="D203" s="255">
        <v>8</v>
      </c>
      <c r="E203" s="325" t="e">
        <f>#REF!</f>
        <v>#REF!</v>
      </c>
      <c r="F203" s="325" t="e">
        <f>#REF!</f>
        <v>#REF!</v>
      </c>
      <c r="G203" s="325" t="e">
        <f>#REF!</f>
        <v>#REF!</v>
      </c>
      <c r="H203" s="325" t="e">
        <f t="shared" si="10"/>
        <v>#REF!</v>
      </c>
      <c r="I203" s="266">
        <v>570</v>
      </c>
      <c r="J203" s="265" t="e">
        <f t="shared" si="13"/>
        <v>#REF!</v>
      </c>
      <c r="K203" s="306"/>
      <c r="L203" s="280">
        <v>42383</v>
      </c>
      <c r="M203" s="308" t="s">
        <v>1663</v>
      </c>
      <c r="N203" s="265"/>
      <c r="O203" s="266" t="s">
        <v>1642</v>
      </c>
    </row>
    <row r="204" spans="1:15" ht="17.25">
      <c r="A204" s="178" t="s">
        <v>80</v>
      </c>
      <c r="B204" s="75" t="s">
        <v>105</v>
      </c>
      <c r="C204" s="39" t="s">
        <v>17</v>
      </c>
      <c r="D204" s="255"/>
      <c r="E204" s="325" t="e">
        <f>#REF!</f>
        <v>#REF!</v>
      </c>
      <c r="F204" s="325" t="e">
        <f>#REF!</f>
        <v>#REF!</v>
      </c>
      <c r="G204" s="325" t="e">
        <f>#REF!</f>
        <v>#REF!</v>
      </c>
      <c r="H204" s="325" t="e">
        <f t="shared" si="10"/>
        <v>#REF!</v>
      </c>
      <c r="I204" s="265"/>
      <c r="J204" s="265" t="e">
        <f t="shared" si="13"/>
        <v>#REF!</v>
      </c>
      <c r="K204" s="307"/>
      <c r="L204" s="310"/>
      <c r="M204" s="308"/>
      <c r="N204" s="265"/>
      <c r="O204" s="266"/>
    </row>
    <row r="205" spans="1:15" ht="31.5">
      <c r="A205" s="178" t="s">
        <v>80</v>
      </c>
      <c r="B205" s="75" t="s">
        <v>1725</v>
      </c>
      <c r="C205" s="39" t="s">
        <v>17</v>
      </c>
      <c r="D205" s="255">
        <v>10</v>
      </c>
      <c r="E205" s="325" t="e">
        <f>#REF!</f>
        <v>#REF!</v>
      </c>
      <c r="F205" s="325" t="e">
        <f>#REF!</f>
        <v>#REF!</v>
      </c>
      <c r="G205" s="325" t="e">
        <f>#REF!</f>
        <v>#REF!</v>
      </c>
      <c r="H205" s="325" t="e">
        <f t="shared" si="10"/>
        <v>#REF!</v>
      </c>
      <c r="I205" s="265">
        <v>45</v>
      </c>
      <c r="J205" s="266">
        <f>I205*D205</f>
        <v>450</v>
      </c>
      <c r="K205" s="307"/>
      <c r="L205" s="310">
        <v>42383</v>
      </c>
      <c r="M205" s="308" t="s">
        <v>1663</v>
      </c>
      <c r="N205" s="265"/>
      <c r="O205" s="266" t="s">
        <v>1642</v>
      </c>
    </row>
    <row r="206" spans="1:15" ht="17.25">
      <c r="A206" s="178" t="s">
        <v>80</v>
      </c>
      <c r="B206" s="75" t="s">
        <v>110</v>
      </c>
      <c r="C206" s="70" t="s">
        <v>17</v>
      </c>
      <c r="D206" s="255"/>
      <c r="E206" s="325" t="e">
        <f>#REF!</f>
        <v>#REF!</v>
      </c>
      <c r="F206" s="325" t="e">
        <f>#REF!</f>
        <v>#REF!</v>
      </c>
      <c r="G206" s="325" t="e">
        <f>#REF!</f>
        <v>#REF!</v>
      </c>
      <c r="H206" s="325" t="e">
        <f t="shared" ref="H206:H269" si="14">G206+F206+E206+D206</f>
        <v>#REF!</v>
      </c>
      <c r="I206" s="266"/>
      <c r="J206" s="266" t="e">
        <f>I206*H206</f>
        <v>#REF!</v>
      </c>
      <c r="K206" s="306"/>
      <c r="L206" s="280"/>
      <c r="M206" s="309"/>
      <c r="N206" s="266"/>
      <c r="O206" s="266"/>
    </row>
    <row r="207" spans="1:15" ht="17.25">
      <c r="A207" s="178" t="s">
        <v>80</v>
      </c>
      <c r="B207" s="77" t="s">
        <v>112</v>
      </c>
      <c r="C207" s="70" t="s">
        <v>288</v>
      </c>
      <c r="D207" s="255"/>
      <c r="E207" s="325" t="e">
        <f>#REF!</f>
        <v>#REF!</v>
      </c>
      <c r="F207" s="325" t="e">
        <f>#REF!</f>
        <v>#REF!</v>
      </c>
      <c r="G207" s="325" t="e">
        <f>#REF!</f>
        <v>#REF!</v>
      </c>
      <c r="H207" s="325" t="e">
        <f t="shared" si="14"/>
        <v>#REF!</v>
      </c>
      <c r="I207" s="265"/>
      <c r="J207" s="266" t="e">
        <f t="shared" ref="J207:J270" si="15">I207*H207</f>
        <v>#REF!</v>
      </c>
      <c r="K207" s="307"/>
      <c r="L207" s="310"/>
      <c r="M207" s="308"/>
      <c r="N207" s="265"/>
      <c r="O207" s="266"/>
    </row>
    <row r="208" spans="1:15" ht="17.25">
      <c r="A208" s="178" t="s">
        <v>80</v>
      </c>
      <c r="B208" s="77" t="s">
        <v>766</v>
      </c>
      <c r="C208" s="70" t="s">
        <v>767</v>
      </c>
      <c r="D208" s="255">
        <v>1000</v>
      </c>
      <c r="E208" s="325" t="e">
        <f>#REF!</f>
        <v>#REF!</v>
      </c>
      <c r="F208" s="325" t="e">
        <f>#REF!</f>
        <v>#REF!</v>
      </c>
      <c r="G208" s="325" t="e">
        <f>#REF!</f>
        <v>#REF!</v>
      </c>
      <c r="H208" s="325" t="e">
        <f t="shared" si="14"/>
        <v>#REF!</v>
      </c>
      <c r="I208" s="266">
        <v>578.80999999999995</v>
      </c>
      <c r="J208" s="266" t="e">
        <f t="shared" si="15"/>
        <v>#REF!</v>
      </c>
      <c r="K208" s="306"/>
      <c r="L208" s="280">
        <v>42396</v>
      </c>
      <c r="M208" s="309" t="s">
        <v>15</v>
      </c>
      <c r="N208" s="254" t="s">
        <v>342</v>
      </c>
      <c r="O208" s="266" t="s">
        <v>1642</v>
      </c>
    </row>
    <row r="209" spans="1:15" ht="17.25">
      <c r="A209" s="178" t="s">
        <v>80</v>
      </c>
      <c r="B209" s="77" t="s">
        <v>1623</v>
      </c>
      <c r="C209" s="70" t="s">
        <v>17</v>
      </c>
      <c r="D209" s="255"/>
      <c r="E209" s="325" t="e">
        <f>#REF!</f>
        <v>#REF!</v>
      </c>
      <c r="F209" s="325" t="e">
        <f>#REF!</f>
        <v>#REF!</v>
      </c>
      <c r="G209" s="325" t="e">
        <f>#REF!</f>
        <v>#REF!</v>
      </c>
      <c r="H209" s="325" t="e">
        <f t="shared" si="14"/>
        <v>#REF!</v>
      </c>
      <c r="I209" s="265"/>
      <c r="J209" s="266" t="e">
        <f t="shared" si="15"/>
        <v>#REF!</v>
      </c>
      <c r="K209" s="307"/>
      <c r="L209" s="310"/>
      <c r="M209" s="308"/>
      <c r="N209" s="265"/>
      <c r="O209" s="266"/>
    </row>
    <row r="210" spans="1:15" ht="31.5">
      <c r="A210" s="178" t="s">
        <v>80</v>
      </c>
      <c r="B210" s="77" t="s">
        <v>1431</v>
      </c>
      <c r="C210" s="70" t="s">
        <v>288</v>
      </c>
      <c r="D210" s="255">
        <v>2</v>
      </c>
      <c r="E210" s="325" t="e">
        <f>#REF!</f>
        <v>#REF!</v>
      </c>
      <c r="F210" s="325" t="e">
        <f>#REF!</f>
        <v>#REF!</v>
      </c>
      <c r="G210" s="325" t="e">
        <f>#REF!</f>
        <v>#REF!</v>
      </c>
      <c r="H210" s="325" t="e">
        <f t="shared" si="14"/>
        <v>#REF!</v>
      </c>
      <c r="I210" s="266">
        <v>1394.5</v>
      </c>
      <c r="J210" s="266" t="e">
        <f t="shared" si="15"/>
        <v>#REF!</v>
      </c>
      <c r="K210" s="306"/>
      <c r="L210" s="280">
        <v>42396</v>
      </c>
      <c r="M210" s="308" t="s">
        <v>1663</v>
      </c>
      <c r="N210" s="254" t="s">
        <v>342</v>
      </c>
      <c r="O210" s="266" t="s">
        <v>1642</v>
      </c>
    </row>
    <row r="211" spans="1:15" ht="17.25">
      <c r="A211" s="178" t="s">
        <v>80</v>
      </c>
      <c r="B211" s="77" t="s">
        <v>921</v>
      </c>
      <c r="C211" s="70" t="s">
        <v>17</v>
      </c>
      <c r="D211" s="255"/>
      <c r="E211" s="325" t="e">
        <f>#REF!</f>
        <v>#REF!</v>
      </c>
      <c r="F211" s="325" t="e">
        <f>#REF!</f>
        <v>#REF!</v>
      </c>
      <c r="G211" s="325" t="e">
        <f>#REF!</f>
        <v>#REF!</v>
      </c>
      <c r="H211" s="325" t="e">
        <f t="shared" si="14"/>
        <v>#REF!</v>
      </c>
      <c r="I211" s="261"/>
      <c r="J211" s="266" t="e">
        <f t="shared" si="15"/>
        <v>#REF!</v>
      </c>
      <c r="K211" s="295"/>
      <c r="L211" s="270"/>
      <c r="M211" s="263"/>
      <c r="N211" s="261"/>
      <c r="O211" s="260"/>
    </row>
    <row r="212" spans="1:15" ht="25.5">
      <c r="A212" s="178" t="s">
        <v>80</v>
      </c>
      <c r="B212" s="77" t="s">
        <v>1610</v>
      </c>
      <c r="C212" s="70" t="s">
        <v>17</v>
      </c>
      <c r="D212" s="255"/>
      <c r="E212" s="325" t="e">
        <f>#REF!</f>
        <v>#REF!</v>
      </c>
      <c r="F212" s="325" t="e">
        <f>#REF!</f>
        <v>#REF!</v>
      </c>
      <c r="G212" s="325" t="e">
        <f>#REF!</f>
        <v>#REF!</v>
      </c>
      <c r="H212" s="325" t="e">
        <f t="shared" si="14"/>
        <v>#REF!</v>
      </c>
      <c r="I212" s="260"/>
      <c r="J212" s="266" t="e">
        <f t="shared" si="15"/>
        <v>#REF!</v>
      </c>
      <c r="K212" s="294"/>
      <c r="L212" s="271"/>
      <c r="M212" s="264"/>
      <c r="N212" s="260"/>
      <c r="O212" s="260"/>
    </row>
    <row r="213" spans="1:15" ht="38.25">
      <c r="A213" s="178" t="s">
        <v>80</v>
      </c>
      <c r="B213" s="77" t="s">
        <v>1609</v>
      </c>
      <c r="C213" s="70" t="s">
        <v>17</v>
      </c>
      <c r="D213" s="255"/>
      <c r="E213" s="325" t="e">
        <f>#REF!</f>
        <v>#REF!</v>
      </c>
      <c r="F213" s="325" t="e">
        <f>#REF!</f>
        <v>#REF!</v>
      </c>
      <c r="G213" s="325" t="e">
        <f>#REF!</f>
        <v>#REF!</v>
      </c>
      <c r="H213" s="325" t="e">
        <f t="shared" si="14"/>
        <v>#REF!</v>
      </c>
      <c r="I213" s="261"/>
      <c r="J213" s="266" t="e">
        <f t="shared" si="15"/>
        <v>#REF!</v>
      </c>
      <c r="K213" s="295"/>
      <c r="L213" s="270"/>
      <c r="M213" s="263"/>
      <c r="N213" s="261"/>
      <c r="O213" s="260"/>
    </row>
    <row r="214" spans="1:15" ht="17.25">
      <c r="A214" s="178" t="s">
        <v>80</v>
      </c>
      <c r="B214" s="77" t="s">
        <v>1181</v>
      </c>
      <c r="C214" s="70" t="s">
        <v>17</v>
      </c>
      <c r="D214" s="255"/>
      <c r="E214" s="325" t="e">
        <f>#REF!</f>
        <v>#REF!</v>
      </c>
      <c r="F214" s="325" t="e">
        <f>#REF!</f>
        <v>#REF!</v>
      </c>
      <c r="G214" s="325" t="e">
        <f>#REF!</f>
        <v>#REF!</v>
      </c>
      <c r="H214" s="325" t="e">
        <f t="shared" si="14"/>
        <v>#REF!</v>
      </c>
      <c r="I214" s="260"/>
      <c r="J214" s="266" t="e">
        <f t="shared" si="15"/>
        <v>#REF!</v>
      </c>
      <c r="K214" s="294"/>
      <c r="L214" s="271"/>
      <c r="M214" s="264"/>
      <c r="N214" s="260"/>
      <c r="O214" s="260"/>
    </row>
    <row r="215" spans="1:15" ht="17.25">
      <c r="A215" s="178" t="s">
        <v>80</v>
      </c>
      <c r="B215" s="75" t="s">
        <v>730</v>
      </c>
      <c r="C215" s="70" t="s">
        <v>17</v>
      </c>
      <c r="D215" s="255"/>
      <c r="E215" s="325" t="e">
        <f>#REF!</f>
        <v>#REF!</v>
      </c>
      <c r="F215" s="325" t="e">
        <f>#REF!</f>
        <v>#REF!</v>
      </c>
      <c r="G215" s="325" t="e">
        <f>#REF!</f>
        <v>#REF!</v>
      </c>
      <c r="H215" s="325" t="e">
        <f t="shared" si="14"/>
        <v>#REF!</v>
      </c>
      <c r="I215" s="261"/>
      <c r="J215" s="266" t="e">
        <f t="shared" si="15"/>
        <v>#REF!</v>
      </c>
      <c r="K215" s="295"/>
      <c r="L215" s="270"/>
      <c r="M215" s="263"/>
      <c r="N215" s="261"/>
      <c r="O215" s="260"/>
    </row>
    <row r="216" spans="1:15" ht="17.25">
      <c r="A216" s="178" t="s">
        <v>80</v>
      </c>
      <c r="B216" s="75" t="s">
        <v>570</v>
      </c>
      <c r="C216" s="70" t="s">
        <v>17</v>
      </c>
      <c r="D216" s="255"/>
      <c r="E216" s="325" t="e">
        <f>#REF!</f>
        <v>#REF!</v>
      </c>
      <c r="F216" s="325" t="e">
        <f>#REF!</f>
        <v>#REF!</v>
      </c>
      <c r="G216" s="325" t="e">
        <f>#REF!</f>
        <v>#REF!</v>
      </c>
      <c r="H216" s="325" t="e">
        <f t="shared" si="14"/>
        <v>#REF!</v>
      </c>
      <c r="I216" s="260"/>
      <c r="J216" s="266" t="e">
        <f t="shared" si="15"/>
        <v>#REF!</v>
      </c>
      <c r="K216" s="294"/>
      <c r="L216" s="271"/>
      <c r="M216" s="264"/>
      <c r="N216" s="260"/>
      <c r="O216" s="260"/>
    </row>
    <row r="217" spans="1:15" ht="17.25">
      <c r="A217" s="178" t="s">
        <v>80</v>
      </c>
      <c r="B217" s="75" t="s">
        <v>919</v>
      </c>
      <c r="C217" s="70" t="s">
        <v>17</v>
      </c>
      <c r="D217" s="255"/>
      <c r="E217" s="325" t="e">
        <f>#REF!</f>
        <v>#REF!</v>
      </c>
      <c r="F217" s="325" t="e">
        <f>#REF!</f>
        <v>#REF!</v>
      </c>
      <c r="G217" s="325" t="e">
        <f>#REF!</f>
        <v>#REF!</v>
      </c>
      <c r="H217" s="325" t="e">
        <f t="shared" si="14"/>
        <v>#REF!</v>
      </c>
      <c r="I217" s="261"/>
      <c r="J217" s="266" t="e">
        <f t="shared" si="15"/>
        <v>#REF!</v>
      </c>
      <c r="K217" s="295"/>
      <c r="L217" s="270"/>
      <c r="M217" s="263"/>
      <c r="N217" s="261"/>
      <c r="O217" s="260"/>
    </row>
    <row r="218" spans="1:15" ht="17.25">
      <c r="A218" s="178" t="s">
        <v>80</v>
      </c>
      <c r="B218" s="75" t="s">
        <v>1555</v>
      </c>
      <c r="C218" s="70" t="s">
        <v>17</v>
      </c>
      <c r="D218" s="255"/>
      <c r="E218" s="325" t="e">
        <f>#REF!</f>
        <v>#REF!</v>
      </c>
      <c r="F218" s="325" t="e">
        <f>#REF!</f>
        <v>#REF!</v>
      </c>
      <c r="G218" s="325" t="e">
        <f>#REF!</f>
        <v>#REF!</v>
      </c>
      <c r="H218" s="325" t="e">
        <f t="shared" si="14"/>
        <v>#REF!</v>
      </c>
      <c r="I218" s="260"/>
      <c r="J218" s="266" t="e">
        <f t="shared" si="15"/>
        <v>#REF!</v>
      </c>
      <c r="K218" s="294"/>
      <c r="L218" s="271"/>
      <c r="M218" s="264"/>
      <c r="N218" s="260"/>
      <c r="O218" s="260"/>
    </row>
    <row r="219" spans="1:15" ht="17.25">
      <c r="A219" s="178" t="s">
        <v>80</v>
      </c>
      <c r="B219" s="75" t="s">
        <v>1590</v>
      </c>
      <c r="C219" s="176" t="s">
        <v>17</v>
      </c>
      <c r="D219" s="255"/>
      <c r="E219" s="325" t="e">
        <f>#REF!</f>
        <v>#REF!</v>
      </c>
      <c r="F219" s="325" t="e">
        <f>#REF!</f>
        <v>#REF!</v>
      </c>
      <c r="G219" s="325" t="e">
        <f>#REF!</f>
        <v>#REF!</v>
      </c>
      <c r="H219" s="325" t="e">
        <f t="shared" si="14"/>
        <v>#REF!</v>
      </c>
      <c r="I219" s="261"/>
      <c r="J219" s="266" t="e">
        <f t="shared" si="15"/>
        <v>#REF!</v>
      </c>
      <c r="K219" s="295"/>
      <c r="L219" s="270"/>
      <c r="M219" s="263"/>
      <c r="N219" s="261"/>
      <c r="O219" s="260"/>
    </row>
    <row r="220" spans="1:15" ht="17.25">
      <c r="A220" s="178" t="s">
        <v>80</v>
      </c>
      <c r="B220" s="75" t="s">
        <v>1556</v>
      </c>
      <c r="C220" s="176" t="s">
        <v>17</v>
      </c>
      <c r="D220" s="255"/>
      <c r="E220" s="325" t="e">
        <f>#REF!</f>
        <v>#REF!</v>
      </c>
      <c r="F220" s="325" t="e">
        <f>#REF!</f>
        <v>#REF!</v>
      </c>
      <c r="G220" s="325" t="e">
        <f>#REF!</f>
        <v>#REF!</v>
      </c>
      <c r="H220" s="325" t="e">
        <f t="shared" si="14"/>
        <v>#REF!</v>
      </c>
      <c r="I220" s="260"/>
      <c r="J220" s="266" t="e">
        <f t="shared" si="15"/>
        <v>#REF!</v>
      </c>
      <c r="K220" s="294"/>
      <c r="L220" s="271"/>
      <c r="M220" s="264"/>
      <c r="N220" s="260"/>
      <c r="O220" s="260"/>
    </row>
    <row r="221" spans="1:15" ht="25.5">
      <c r="A221" s="178" t="s">
        <v>80</v>
      </c>
      <c r="B221" s="77" t="s">
        <v>925</v>
      </c>
      <c r="C221" s="39" t="s">
        <v>93</v>
      </c>
      <c r="D221" s="255"/>
      <c r="E221" s="325" t="e">
        <f>#REF!</f>
        <v>#REF!</v>
      </c>
      <c r="F221" s="325" t="e">
        <f>#REF!</f>
        <v>#REF!</v>
      </c>
      <c r="G221" s="325" t="e">
        <f>#REF!</f>
        <v>#REF!</v>
      </c>
      <c r="H221" s="325" t="e">
        <f t="shared" si="14"/>
        <v>#REF!</v>
      </c>
      <c r="I221" s="261"/>
      <c r="J221" s="266" t="e">
        <f t="shared" si="15"/>
        <v>#REF!</v>
      </c>
      <c r="K221" s="295"/>
      <c r="L221" s="270"/>
      <c r="M221" s="263"/>
      <c r="N221" s="261"/>
      <c r="O221" s="260"/>
    </row>
    <row r="222" spans="1:15" ht="25.5">
      <c r="A222" s="178" t="s">
        <v>80</v>
      </c>
      <c r="B222" s="77" t="s">
        <v>926</v>
      </c>
      <c r="C222" s="39" t="s">
        <v>93</v>
      </c>
      <c r="D222" s="255"/>
      <c r="E222" s="325" t="e">
        <f>#REF!</f>
        <v>#REF!</v>
      </c>
      <c r="F222" s="325" t="e">
        <f>#REF!</f>
        <v>#REF!</v>
      </c>
      <c r="G222" s="325" t="e">
        <f>#REF!</f>
        <v>#REF!</v>
      </c>
      <c r="H222" s="325" t="e">
        <f t="shared" si="14"/>
        <v>#REF!</v>
      </c>
      <c r="I222" s="260"/>
      <c r="J222" s="266" t="e">
        <f t="shared" si="15"/>
        <v>#REF!</v>
      </c>
      <c r="K222" s="294"/>
      <c r="L222" s="271"/>
      <c r="M222" s="264"/>
      <c r="N222" s="260"/>
      <c r="O222" s="260"/>
    </row>
    <row r="223" spans="1:15" ht="17.25">
      <c r="A223" s="178" t="s">
        <v>80</v>
      </c>
      <c r="B223" s="77" t="s">
        <v>927</v>
      </c>
      <c r="C223" s="39" t="s">
        <v>17</v>
      </c>
      <c r="D223" s="255"/>
      <c r="E223" s="325" t="e">
        <f>#REF!</f>
        <v>#REF!</v>
      </c>
      <c r="F223" s="325" t="e">
        <f>#REF!</f>
        <v>#REF!</v>
      </c>
      <c r="G223" s="325" t="e">
        <f>#REF!</f>
        <v>#REF!</v>
      </c>
      <c r="H223" s="325" t="e">
        <f t="shared" si="14"/>
        <v>#REF!</v>
      </c>
      <c r="I223" s="261"/>
      <c r="J223" s="266" t="e">
        <f t="shared" si="15"/>
        <v>#REF!</v>
      </c>
      <c r="K223" s="295"/>
      <c r="L223" s="270"/>
      <c r="M223" s="263"/>
      <c r="N223" s="261"/>
      <c r="O223" s="260"/>
    </row>
    <row r="224" spans="1:15" ht="17.25">
      <c r="A224" s="178" t="s">
        <v>80</v>
      </c>
      <c r="B224" s="77" t="s">
        <v>928</v>
      </c>
      <c r="C224" s="39" t="s">
        <v>17</v>
      </c>
      <c r="D224" s="255"/>
      <c r="E224" s="325" t="e">
        <f>#REF!</f>
        <v>#REF!</v>
      </c>
      <c r="F224" s="325" t="e">
        <f>#REF!</f>
        <v>#REF!</v>
      </c>
      <c r="G224" s="325" t="e">
        <f>#REF!</f>
        <v>#REF!</v>
      </c>
      <c r="H224" s="325" t="e">
        <f t="shared" si="14"/>
        <v>#REF!</v>
      </c>
      <c r="I224" s="260"/>
      <c r="J224" s="266" t="e">
        <f t="shared" si="15"/>
        <v>#REF!</v>
      </c>
      <c r="K224" s="294"/>
      <c r="L224" s="271"/>
      <c r="M224" s="264"/>
      <c r="N224" s="260"/>
      <c r="O224" s="260"/>
    </row>
    <row r="225" spans="1:15" ht="17.25">
      <c r="A225" s="178" t="s">
        <v>80</v>
      </c>
      <c r="B225" s="77" t="s">
        <v>929</v>
      </c>
      <c r="C225" s="39" t="s">
        <v>17</v>
      </c>
      <c r="D225" s="255"/>
      <c r="E225" s="325" t="e">
        <f>#REF!</f>
        <v>#REF!</v>
      </c>
      <c r="F225" s="325" t="e">
        <f>#REF!</f>
        <v>#REF!</v>
      </c>
      <c r="G225" s="325" t="e">
        <f>#REF!</f>
        <v>#REF!</v>
      </c>
      <c r="H225" s="325" t="e">
        <f t="shared" si="14"/>
        <v>#REF!</v>
      </c>
      <c r="I225" s="261"/>
      <c r="J225" s="266" t="e">
        <f t="shared" si="15"/>
        <v>#REF!</v>
      </c>
      <c r="K225" s="295"/>
      <c r="L225" s="270"/>
      <c r="M225" s="263"/>
      <c r="N225" s="261"/>
      <c r="O225" s="260"/>
    </row>
    <row r="226" spans="1:15" ht="17.25">
      <c r="A226" s="178" t="s">
        <v>80</v>
      </c>
      <c r="B226" s="77" t="s">
        <v>930</v>
      </c>
      <c r="C226" s="39" t="s">
        <v>17</v>
      </c>
      <c r="D226" s="255"/>
      <c r="E226" s="325" t="e">
        <f>#REF!</f>
        <v>#REF!</v>
      </c>
      <c r="F226" s="325" t="e">
        <f>#REF!</f>
        <v>#REF!</v>
      </c>
      <c r="G226" s="325" t="e">
        <f>#REF!</f>
        <v>#REF!</v>
      </c>
      <c r="H226" s="325" t="e">
        <f t="shared" si="14"/>
        <v>#REF!</v>
      </c>
      <c r="I226" s="260"/>
      <c r="J226" s="266" t="e">
        <f t="shared" si="15"/>
        <v>#REF!</v>
      </c>
      <c r="K226" s="294"/>
      <c r="L226" s="271"/>
      <c r="M226" s="264"/>
      <c r="N226" s="260"/>
      <c r="O226" s="260"/>
    </row>
    <row r="227" spans="1:15" ht="17.25">
      <c r="A227" s="178" t="s">
        <v>80</v>
      </c>
      <c r="B227" s="77" t="s">
        <v>931</v>
      </c>
      <c r="C227" s="39" t="s">
        <v>17</v>
      </c>
      <c r="D227" s="255"/>
      <c r="E227" s="325" t="e">
        <f>#REF!</f>
        <v>#REF!</v>
      </c>
      <c r="F227" s="325" t="e">
        <f>#REF!</f>
        <v>#REF!</v>
      </c>
      <c r="G227" s="325" t="e">
        <f>#REF!</f>
        <v>#REF!</v>
      </c>
      <c r="H227" s="325" t="e">
        <f t="shared" si="14"/>
        <v>#REF!</v>
      </c>
      <c r="I227" s="261"/>
      <c r="J227" s="266" t="e">
        <f t="shared" si="15"/>
        <v>#REF!</v>
      </c>
      <c r="K227" s="295"/>
      <c r="L227" s="270"/>
      <c r="M227" s="263"/>
      <c r="N227" s="261"/>
      <c r="O227" s="260"/>
    </row>
    <row r="228" spans="1:15" ht="17.25">
      <c r="A228" s="178" t="s">
        <v>80</v>
      </c>
      <c r="B228" s="75" t="s">
        <v>694</v>
      </c>
      <c r="C228" s="70" t="s">
        <v>17</v>
      </c>
      <c r="D228" s="255"/>
      <c r="E228" s="325" t="e">
        <f>#REF!</f>
        <v>#REF!</v>
      </c>
      <c r="F228" s="325" t="e">
        <f>#REF!</f>
        <v>#REF!</v>
      </c>
      <c r="G228" s="325" t="e">
        <f>#REF!</f>
        <v>#REF!</v>
      </c>
      <c r="H228" s="325" t="e">
        <f t="shared" si="14"/>
        <v>#REF!</v>
      </c>
      <c r="I228" s="260"/>
      <c r="J228" s="266" t="e">
        <f t="shared" si="15"/>
        <v>#REF!</v>
      </c>
      <c r="K228" s="294"/>
      <c r="L228" s="271"/>
      <c r="M228" s="264"/>
      <c r="N228" s="260"/>
      <c r="O228" s="260"/>
    </row>
    <row r="229" spans="1:15" ht="17.25">
      <c r="A229" s="178" t="s">
        <v>80</v>
      </c>
      <c r="B229" s="75" t="s">
        <v>695</v>
      </c>
      <c r="C229" s="70" t="s">
        <v>17</v>
      </c>
      <c r="D229" s="255"/>
      <c r="E229" s="325" t="e">
        <f>#REF!</f>
        <v>#REF!</v>
      </c>
      <c r="F229" s="325" t="e">
        <f>#REF!</f>
        <v>#REF!</v>
      </c>
      <c r="G229" s="325" t="e">
        <f>#REF!</f>
        <v>#REF!</v>
      </c>
      <c r="H229" s="325" t="e">
        <f t="shared" si="14"/>
        <v>#REF!</v>
      </c>
      <c r="I229" s="261"/>
      <c r="J229" s="266" t="e">
        <f t="shared" si="15"/>
        <v>#REF!</v>
      </c>
      <c r="K229" s="295"/>
      <c r="L229" s="270"/>
      <c r="M229" s="263"/>
      <c r="N229" s="261"/>
      <c r="O229" s="260"/>
    </row>
    <row r="230" spans="1:15" ht="17.25">
      <c r="A230" s="178" t="s">
        <v>80</v>
      </c>
      <c r="B230" s="75" t="s">
        <v>1182</v>
      </c>
      <c r="C230" s="70" t="s">
        <v>17</v>
      </c>
      <c r="D230" s="255"/>
      <c r="E230" s="325" t="e">
        <f>#REF!</f>
        <v>#REF!</v>
      </c>
      <c r="F230" s="325" t="e">
        <f>#REF!</f>
        <v>#REF!</v>
      </c>
      <c r="G230" s="325" t="e">
        <f>#REF!</f>
        <v>#REF!</v>
      </c>
      <c r="H230" s="325" t="e">
        <f t="shared" si="14"/>
        <v>#REF!</v>
      </c>
      <c r="I230" s="260"/>
      <c r="J230" s="266" t="e">
        <f t="shared" si="15"/>
        <v>#REF!</v>
      </c>
      <c r="K230" s="294"/>
      <c r="L230" s="271"/>
      <c r="M230" s="264"/>
      <c r="N230" s="260"/>
      <c r="O230" s="260"/>
    </row>
    <row r="231" spans="1:15" ht="17.25">
      <c r="A231" s="178" t="s">
        <v>80</v>
      </c>
      <c r="B231" s="75" t="s">
        <v>1183</v>
      </c>
      <c r="C231" s="70" t="s">
        <v>17</v>
      </c>
      <c r="D231" s="255"/>
      <c r="E231" s="325" t="e">
        <f>#REF!</f>
        <v>#REF!</v>
      </c>
      <c r="F231" s="325" t="e">
        <f>#REF!</f>
        <v>#REF!</v>
      </c>
      <c r="G231" s="325" t="e">
        <f>#REF!</f>
        <v>#REF!</v>
      </c>
      <c r="H231" s="325" t="e">
        <f t="shared" si="14"/>
        <v>#REF!</v>
      </c>
      <c r="I231" s="261"/>
      <c r="J231" s="266" t="e">
        <f t="shared" si="15"/>
        <v>#REF!</v>
      </c>
      <c r="K231" s="295"/>
      <c r="L231" s="270"/>
      <c r="M231" s="263"/>
      <c r="N231" s="261"/>
      <c r="O231" s="260"/>
    </row>
    <row r="232" spans="1:15" ht="17.25">
      <c r="A232" s="178" t="s">
        <v>80</v>
      </c>
      <c r="B232" s="75" t="s">
        <v>1184</v>
      </c>
      <c r="C232" s="70" t="s">
        <v>17</v>
      </c>
      <c r="D232" s="255"/>
      <c r="E232" s="325" t="e">
        <f>#REF!</f>
        <v>#REF!</v>
      </c>
      <c r="F232" s="325" t="e">
        <f>#REF!</f>
        <v>#REF!</v>
      </c>
      <c r="G232" s="325" t="e">
        <f>#REF!</f>
        <v>#REF!</v>
      </c>
      <c r="H232" s="325" t="e">
        <f t="shared" si="14"/>
        <v>#REF!</v>
      </c>
      <c r="I232" s="260"/>
      <c r="J232" s="266" t="e">
        <f t="shared" si="15"/>
        <v>#REF!</v>
      </c>
      <c r="K232" s="294"/>
      <c r="L232" s="271"/>
      <c r="M232" s="264"/>
      <c r="N232" s="260"/>
      <c r="O232" s="260"/>
    </row>
    <row r="233" spans="1:15" ht="17.25">
      <c r="A233" s="178" t="s">
        <v>80</v>
      </c>
      <c r="B233" s="75" t="s">
        <v>1185</v>
      </c>
      <c r="C233" s="70" t="s">
        <v>17</v>
      </c>
      <c r="D233" s="255"/>
      <c r="E233" s="325" t="e">
        <f>#REF!</f>
        <v>#REF!</v>
      </c>
      <c r="F233" s="325" t="e">
        <f>#REF!</f>
        <v>#REF!</v>
      </c>
      <c r="G233" s="325" t="e">
        <f>#REF!</f>
        <v>#REF!</v>
      </c>
      <c r="H233" s="325" t="e">
        <f t="shared" si="14"/>
        <v>#REF!</v>
      </c>
      <c r="I233" s="261"/>
      <c r="J233" s="266" t="e">
        <f t="shared" si="15"/>
        <v>#REF!</v>
      </c>
      <c r="K233" s="295"/>
      <c r="L233" s="270"/>
      <c r="M233" s="263"/>
      <c r="N233" s="261"/>
      <c r="O233" s="260"/>
    </row>
    <row r="234" spans="1:15" ht="17.25">
      <c r="A234" s="178" t="s">
        <v>80</v>
      </c>
      <c r="B234" s="75" t="s">
        <v>696</v>
      </c>
      <c r="C234" s="70" t="s">
        <v>17</v>
      </c>
      <c r="D234" s="255"/>
      <c r="E234" s="325" t="e">
        <f>#REF!</f>
        <v>#REF!</v>
      </c>
      <c r="F234" s="325" t="e">
        <f>#REF!</f>
        <v>#REF!</v>
      </c>
      <c r="G234" s="325" t="e">
        <f>#REF!</f>
        <v>#REF!</v>
      </c>
      <c r="H234" s="325" t="e">
        <f t="shared" si="14"/>
        <v>#REF!</v>
      </c>
      <c r="I234" s="260"/>
      <c r="J234" s="266" t="e">
        <f t="shared" si="15"/>
        <v>#REF!</v>
      </c>
      <c r="K234" s="294"/>
      <c r="L234" s="271"/>
      <c r="M234" s="264"/>
      <c r="N234" s="260"/>
      <c r="O234" s="260"/>
    </row>
    <row r="235" spans="1:15" ht="17.25">
      <c r="A235" s="178" t="s">
        <v>80</v>
      </c>
      <c r="B235" s="75" t="s">
        <v>1186</v>
      </c>
      <c r="C235" s="70" t="s">
        <v>17</v>
      </c>
      <c r="D235" s="255"/>
      <c r="E235" s="325" t="e">
        <f>#REF!</f>
        <v>#REF!</v>
      </c>
      <c r="F235" s="325" t="e">
        <f>#REF!</f>
        <v>#REF!</v>
      </c>
      <c r="G235" s="325" t="e">
        <f>#REF!</f>
        <v>#REF!</v>
      </c>
      <c r="H235" s="325" t="e">
        <f t="shared" si="14"/>
        <v>#REF!</v>
      </c>
      <c r="I235" s="261"/>
      <c r="J235" s="266" t="e">
        <f t="shared" si="15"/>
        <v>#REF!</v>
      </c>
      <c r="K235" s="295"/>
      <c r="L235" s="270"/>
      <c r="M235" s="263"/>
      <c r="N235" s="261"/>
      <c r="O235" s="260"/>
    </row>
    <row r="236" spans="1:15" ht="17.25">
      <c r="A236" s="178" t="s">
        <v>80</v>
      </c>
      <c r="B236" s="75" t="s">
        <v>1187</v>
      </c>
      <c r="C236" s="70" t="s">
        <v>17</v>
      </c>
      <c r="D236" s="255"/>
      <c r="E236" s="325" t="e">
        <f>#REF!</f>
        <v>#REF!</v>
      </c>
      <c r="F236" s="325" t="e">
        <f>#REF!</f>
        <v>#REF!</v>
      </c>
      <c r="G236" s="325" t="e">
        <f>#REF!</f>
        <v>#REF!</v>
      </c>
      <c r="H236" s="325" t="e">
        <f t="shared" si="14"/>
        <v>#REF!</v>
      </c>
      <c r="I236" s="260"/>
      <c r="J236" s="266" t="e">
        <f t="shared" si="15"/>
        <v>#REF!</v>
      </c>
      <c r="K236" s="294"/>
      <c r="L236" s="271"/>
      <c r="M236" s="264"/>
      <c r="N236" s="260"/>
      <c r="O236" s="260"/>
    </row>
    <row r="237" spans="1:15" ht="17.25">
      <c r="A237" s="178" t="s">
        <v>80</v>
      </c>
      <c r="B237" s="75" t="s">
        <v>1188</v>
      </c>
      <c r="C237" s="70" t="s">
        <v>17</v>
      </c>
      <c r="D237" s="255"/>
      <c r="E237" s="325" t="e">
        <f>#REF!</f>
        <v>#REF!</v>
      </c>
      <c r="F237" s="325" t="e">
        <f>#REF!</f>
        <v>#REF!</v>
      </c>
      <c r="G237" s="325" t="e">
        <f>#REF!</f>
        <v>#REF!</v>
      </c>
      <c r="H237" s="325" t="e">
        <f t="shared" si="14"/>
        <v>#REF!</v>
      </c>
      <c r="I237" s="261"/>
      <c r="J237" s="266" t="e">
        <f t="shared" si="15"/>
        <v>#REF!</v>
      </c>
      <c r="K237" s="295"/>
      <c r="L237" s="270"/>
      <c r="M237" s="263"/>
      <c r="N237" s="261"/>
      <c r="O237" s="260"/>
    </row>
    <row r="238" spans="1:15" ht="17.25">
      <c r="A238" s="178" t="s">
        <v>80</v>
      </c>
      <c r="B238" s="75" t="s">
        <v>1189</v>
      </c>
      <c r="C238" s="70" t="s">
        <v>17</v>
      </c>
      <c r="D238" s="255"/>
      <c r="E238" s="325" t="e">
        <f>#REF!</f>
        <v>#REF!</v>
      </c>
      <c r="F238" s="325" t="e">
        <f>#REF!</f>
        <v>#REF!</v>
      </c>
      <c r="G238" s="325" t="e">
        <f>#REF!</f>
        <v>#REF!</v>
      </c>
      <c r="H238" s="325" t="e">
        <f t="shared" si="14"/>
        <v>#REF!</v>
      </c>
      <c r="I238" s="260"/>
      <c r="J238" s="266" t="e">
        <f t="shared" si="15"/>
        <v>#REF!</v>
      </c>
      <c r="K238" s="294"/>
      <c r="L238" s="271"/>
      <c r="M238" s="264"/>
      <c r="N238" s="260"/>
      <c r="O238" s="260"/>
    </row>
    <row r="239" spans="1:15" ht="17.25">
      <c r="A239" s="178" t="s">
        <v>80</v>
      </c>
      <c r="B239" s="75" t="s">
        <v>1190</v>
      </c>
      <c r="C239" s="70" t="s">
        <v>17</v>
      </c>
      <c r="D239" s="255"/>
      <c r="E239" s="325" t="e">
        <f>#REF!</f>
        <v>#REF!</v>
      </c>
      <c r="F239" s="325" t="e">
        <f>#REF!</f>
        <v>#REF!</v>
      </c>
      <c r="G239" s="325" t="e">
        <f>#REF!</f>
        <v>#REF!</v>
      </c>
      <c r="H239" s="325" t="e">
        <f t="shared" si="14"/>
        <v>#REF!</v>
      </c>
      <c r="I239" s="261"/>
      <c r="J239" s="266" t="e">
        <f t="shared" si="15"/>
        <v>#REF!</v>
      </c>
      <c r="K239" s="295"/>
      <c r="L239" s="270"/>
      <c r="M239" s="263"/>
      <c r="N239" s="261"/>
      <c r="O239" s="260"/>
    </row>
    <row r="240" spans="1:15" ht="17.25">
      <c r="A240" s="178" t="s">
        <v>80</v>
      </c>
      <c r="B240" s="75" t="s">
        <v>1191</v>
      </c>
      <c r="C240" s="70" t="s">
        <v>17</v>
      </c>
      <c r="D240" s="255"/>
      <c r="E240" s="325" t="e">
        <f>#REF!</f>
        <v>#REF!</v>
      </c>
      <c r="F240" s="325" t="e">
        <f>#REF!</f>
        <v>#REF!</v>
      </c>
      <c r="G240" s="325" t="e">
        <f>#REF!</f>
        <v>#REF!</v>
      </c>
      <c r="H240" s="325" t="e">
        <f t="shared" si="14"/>
        <v>#REF!</v>
      </c>
      <c r="I240" s="260"/>
      <c r="J240" s="266" t="e">
        <f t="shared" si="15"/>
        <v>#REF!</v>
      </c>
      <c r="K240" s="294"/>
      <c r="L240" s="271"/>
      <c r="M240" s="264"/>
      <c r="N240" s="260"/>
      <c r="O240" s="260"/>
    </row>
    <row r="241" spans="1:15" ht="17.25">
      <c r="A241" s="178" t="s">
        <v>80</v>
      </c>
      <c r="B241" s="75" t="s">
        <v>1192</v>
      </c>
      <c r="C241" s="70" t="s">
        <v>17</v>
      </c>
      <c r="D241" s="255"/>
      <c r="E241" s="325" t="e">
        <f>#REF!</f>
        <v>#REF!</v>
      </c>
      <c r="F241" s="325" t="e">
        <f>#REF!</f>
        <v>#REF!</v>
      </c>
      <c r="G241" s="325" t="e">
        <f>#REF!</f>
        <v>#REF!</v>
      </c>
      <c r="H241" s="325" t="e">
        <f t="shared" si="14"/>
        <v>#REF!</v>
      </c>
      <c r="I241" s="261"/>
      <c r="J241" s="266" t="e">
        <f t="shared" si="15"/>
        <v>#REF!</v>
      </c>
      <c r="K241" s="295"/>
      <c r="L241" s="270"/>
      <c r="M241" s="263"/>
      <c r="N241" s="261"/>
      <c r="O241" s="260"/>
    </row>
    <row r="242" spans="1:15" ht="17.25">
      <c r="A242" s="178" t="s">
        <v>80</v>
      </c>
      <c r="B242" s="75" t="s">
        <v>1193</v>
      </c>
      <c r="C242" s="70" t="s">
        <v>17</v>
      </c>
      <c r="D242" s="255"/>
      <c r="E242" s="325" t="e">
        <f>#REF!</f>
        <v>#REF!</v>
      </c>
      <c r="F242" s="325" t="e">
        <f>#REF!</f>
        <v>#REF!</v>
      </c>
      <c r="G242" s="325" t="e">
        <f>#REF!</f>
        <v>#REF!</v>
      </c>
      <c r="H242" s="325" t="e">
        <f t="shared" si="14"/>
        <v>#REF!</v>
      </c>
      <c r="I242" s="260"/>
      <c r="J242" s="266" t="e">
        <f t="shared" si="15"/>
        <v>#REF!</v>
      </c>
      <c r="K242" s="294"/>
      <c r="L242" s="271"/>
      <c r="M242" s="264"/>
      <c r="N242" s="260"/>
      <c r="O242" s="260"/>
    </row>
    <row r="243" spans="1:15" ht="17.25">
      <c r="A243" s="178" t="s">
        <v>80</v>
      </c>
      <c r="B243" s="75" t="s">
        <v>1194</v>
      </c>
      <c r="C243" s="70" t="s">
        <v>17</v>
      </c>
      <c r="D243" s="255"/>
      <c r="E243" s="325" t="e">
        <f>#REF!</f>
        <v>#REF!</v>
      </c>
      <c r="F243" s="325" t="e">
        <f>#REF!</f>
        <v>#REF!</v>
      </c>
      <c r="G243" s="325" t="e">
        <f>#REF!</f>
        <v>#REF!</v>
      </c>
      <c r="H243" s="325" t="e">
        <f t="shared" si="14"/>
        <v>#REF!</v>
      </c>
      <c r="I243" s="261"/>
      <c r="J243" s="266" t="e">
        <f t="shared" si="15"/>
        <v>#REF!</v>
      </c>
      <c r="K243" s="295"/>
      <c r="L243" s="270"/>
      <c r="M243" s="263"/>
      <c r="N243" s="261"/>
      <c r="O243" s="260"/>
    </row>
    <row r="244" spans="1:15" ht="17.25">
      <c r="A244" s="178" t="s">
        <v>80</v>
      </c>
      <c r="B244" s="75" t="s">
        <v>1195</v>
      </c>
      <c r="C244" s="70" t="s">
        <v>17</v>
      </c>
      <c r="D244" s="255"/>
      <c r="E244" s="325" t="e">
        <f>#REF!</f>
        <v>#REF!</v>
      </c>
      <c r="F244" s="325" t="e">
        <f>#REF!</f>
        <v>#REF!</v>
      </c>
      <c r="G244" s="325" t="e">
        <f>#REF!</f>
        <v>#REF!</v>
      </c>
      <c r="H244" s="325" t="e">
        <f t="shared" si="14"/>
        <v>#REF!</v>
      </c>
      <c r="I244" s="260"/>
      <c r="J244" s="266" t="e">
        <f t="shared" si="15"/>
        <v>#REF!</v>
      </c>
      <c r="K244" s="294"/>
      <c r="L244" s="271"/>
      <c r="M244" s="264"/>
      <c r="N244" s="260"/>
      <c r="O244" s="260"/>
    </row>
    <row r="245" spans="1:15" ht="17.25">
      <c r="A245" s="178" t="s">
        <v>80</v>
      </c>
      <c r="B245" s="75" t="s">
        <v>1196</v>
      </c>
      <c r="C245" s="70" t="s">
        <v>17</v>
      </c>
      <c r="D245" s="255"/>
      <c r="E245" s="325" t="e">
        <f>#REF!</f>
        <v>#REF!</v>
      </c>
      <c r="F245" s="325" t="e">
        <f>#REF!</f>
        <v>#REF!</v>
      </c>
      <c r="G245" s="325" t="e">
        <f>#REF!</f>
        <v>#REF!</v>
      </c>
      <c r="H245" s="325" t="e">
        <f t="shared" si="14"/>
        <v>#REF!</v>
      </c>
      <c r="I245" s="261"/>
      <c r="J245" s="266" t="e">
        <f t="shared" si="15"/>
        <v>#REF!</v>
      </c>
      <c r="K245" s="295"/>
      <c r="L245" s="270"/>
      <c r="M245" s="263"/>
      <c r="N245" s="261"/>
      <c r="O245" s="260"/>
    </row>
    <row r="246" spans="1:15" ht="31.5">
      <c r="A246" s="178" t="s">
        <v>80</v>
      </c>
      <c r="B246" s="75" t="s">
        <v>1197</v>
      </c>
      <c r="C246" s="70" t="s">
        <v>17</v>
      </c>
      <c r="D246" s="304">
        <v>4</v>
      </c>
      <c r="E246" s="325" t="e">
        <f>#REF!</f>
        <v>#REF!</v>
      </c>
      <c r="F246" s="325" t="e">
        <f>#REF!</f>
        <v>#REF!</v>
      </c>
      <c r="G246" s="325" t="e">
        <f>#REF!</f>
        <v>#REF!</v>
      </c>
      <c r="H246" s="325" t="e">
        <f t="shared" si="14"/>
        <v>#REF!</v>
      </c>
      <c r="I246" s="314">
        <v>2700</v>
      </c>
      <c r="J246" s="266" t="e">
        <f t="shared" si="15"/>
        <v>#REF!</v>
      </c>
      <c r="K246" s="315"/>
      <c r="L246" s="316">
        <v>42396</v>
      </c>
      <c r="M246" s="308" t="s">
        <v>1663</v>
      </c>
      <c r="N246" s="254" t="s">
        <v>342</v>
      </c>
      <c r="O246" s="314" t="s">
        <v>1642</v>
      </c>
    </row>
    <row r="247" spans="1:15" ht="17.25">
      <c r="A247" s="178" t="s">
        <v>80</v>
      </c>
      <c r="B247" s="75" t="s">
        <v>1198</v>
      </c>
      <c r="C247" s="70" t="s">
        <v>17</v>
      </c>
      <c r="D247" s="255"/>
      <c r="E247" s="325" t="e">
        <f>#REF!</f>
        <v>#REF!</v>
      </c>
      <c r="F247" s="325" t="e">
        <f>#REF!</f>
        <v>#REF!</v>
      </c>
      <c r="G247" s="325" t="e">
        <f>#REF!</f>
        <v>#REF!</v>
      </c>
      <c r="H247" s="325" t="e">
        <f t="shared" si="14"/>
        <v>#REF!</v>
      </c>
      <c r="I247" s="261"/>
      <c r="J247" s="266" t="e">
        <f t="shared" si="15"/>
        <v>#REF!</v>
      </c>
      <c r="K247" s="295"/>
      <c r="L247" s="270"/>
      <c r="M247" s="263"/>
      <c r="N247" s="261"/>
      <c r="O247" s="260"/>
    </row>
    <row r="248" spans="1:15" ht="17.25">
      <c r="A248" s="178" t="s">
        <v>80</v>
      </c>
      <c r="B248" s="75" t="s">
        <v>1199</v>
      </c>
      <c r="C248" s="70" t="s">
        <v>17</v>
      </c>
      <c r="D248" s="255"/>
      <c r="E248" s="325" t="e">
        <f>#REF!</f>
        <v>#REF!</v>
      </c>
      <c r="F248" s="325" t="e">
        <f>#REF!</f>
        <v>#REF!</v>
      </c>
      <c r="G248" s="325" t="e">
        <f>#REF!</f>
        <v>#REF!</v>
      </c>
      <c r="H248" s="325" t="e">
        <f t="shared" si="14"/>
        <v>#REF!</v>
      </c>
      <c r="I248" s="260"/>
      <c r="J248" s="266" t="e">
        <f t="shared" si="15"/>
        <v>#REF!</v>
      </c>
      <c r="K248" s="294"/>
      <c r="L248" s="271"/>
      <c r="M248" s="264"/>
      <c r="N248" s="260"/>
      <c r="O248" s="260"/>
    </row>
    <row r="249" spans="1:15" ht="17.25">
      <c r="A249" s="178" t="s">
        <v>80</v>
      </c>
      <c r="B249" s="75" t="s">
        <v>1200</v>
      </c>
      <c r="C249" s="70" t="s">
        <v>17</v>
      </c>
      <c r="D249" s="255"/>
      <c r="E249" s="325" t="e">
        <f>#REF!</f>
        <v>#REF!</v>
      </c>
      <c r="F249" s="325" t="e">
        <f>#REF!</f>
        <v>#REF!</v>
      </c>
      <c r="G249" s="325" t="e">
        <f>#REF!</f>
        <v>#REF!</v>
      </c>
      <c r="H249" s="325" t="e">
        <f t="shared" si="14"/>
        <v>#REF!</v>
      </c>
      <c r="I249" s="261"/>
      <c r="J249" s="266" t="e">
        <f t="shared" si="15"/>
        <v>#REF!</v>
      </c>
      <c r="K249" s="295"/>
      <c r="L249" s="270"/>
      <c r="M249" s="263"/>
      <c r="N249" s="261"/>
      <c r="O249" s="260"/>
    </row>
    <row r="250" spans="1:15" ht="17.25">
      <c r="A250" s="178" t="s">
        <v>80</v>
      </c>
      <c r="B250" s="75" t="s">
        <v>697</v>
      </c>
      <c r="C250" s="70" t="s">
        <v>17</v>
      </c>
      <c r="D250" s="255"/>
      <c r="E250" s="325" t="e">
        <f>#REF!</f>
        <v>#REF!</v>
      </c>
      <c r="F250" s="325" t="e">
        <f>#REF!</f>
        <v>#REF!</v>
      </c>
      <c r="G250" s="325" t="e">
        <f>#REF!</f>
        <v>#REF!</v>
      </c>
      <c r="H250" s="325" t="e">
        <f t="shared" si="14"/>
        <v>#REF!</v>
      </c>
      <c r="I250" s="260"/>
      <c r="J250" s="266" t="e">
        <f t="shared" si="15"/>
        <v>#REF!</v>
      </c>
      <c r="K250" s="294"/>
      <c r="L250" s="271"/>
      <c r="M250" s="264"/>
      <c r="N250" s="260"/>
      <c r="O250" s="260"/>
    </row>
    <row r="251" spans="1:15" ht="17.25">
      <c r="A251" s="178" t="s">
        <v>80</v>
      </c>
      <c r="B251" s="75" t="s">
        <v>698</v>
      </c>
      <c r="C251" s="39" t="s">
        <v>17</v>
      </c>
      <c r="D251" s="255"/>
      <c r="E251" s="325" t="e">
        <f>#REF!</f>
        <v>#REF!</v>
      </c>
      <c r="F251" s="325" t="e">
        <f>#REF!</f>
        <v>#REF!</v>
      </c>
      <c r="G251" s="325" t="e">
        <f>#REF!</f>
        <v>#REF!</v>
      </c>
      <c r="H251" s="325" t="e">
        <f t="shared" si="14"/>
        <v>#REF!</v>
      </c>
      <c r="I251" s="261"/>
      <c r="J251" s="266" t="e">
        <f t="shared" si="15"/>
        <v>#REF!</v>
      </c>
      <c r="K251" s="295"/>
      <c r="L251" s="270"/>
      <c r="M251" s="263"/>
      <c r="N251" s="261"/>
      <c r="O251" s="260"/>
    </row>
    <row r="252" spans="1:15" ht="17.25">
      <c r="A252" s="178" t="s">
        <v>80</v>
      </c>
      <c r="B252" s="75" t="s">
        <v>699</v>
      </c>
      <c r="C252" s="39" t="s">
        <v>17</v>
      </c>
      <c r="D252" s="255"/>
      <c r="E252" s="325" t="e">
        <f>#REF!</f>
        <v>#REF!</v>
      </c>
      <c r="F252" s="325" t="e">
        <f>#REF!</f>
        <v>#REF!</v>
      </c>
      <c r="G252" s="325" t="e">
        <f>#REF!</f>
        <v>#REF!</v>
      </c>
      <c r="H252" s="325" t="e">
        <f t="shared" si="14"/>
        <v>#REF!</v>
      </c>
      <c r="I252" s="260"/>
      <c r="J252" s="266" t="e">
        <f t="shared" si="15"/>
        <v>#REF!</v>
      </c>
      <c r="K252" s="294"/>
      <c r="L252" s="271"/>
      <c r="M252" s="264"/>
      <c r="N252" s="260"/>
      <c r="O252" s="260"/>
    </row>
    <row r="253" spans="1:15" ht="17.25">
      <c r="A253" s="178" t="s">
        <v>80</v>
      </c>
      <c r="B253" s="75" t="s">
        <v>1201</v>
      </c>
      <c r="C253" s="39" t="s">
        <v>17</v>
      </c>
      <c r="D253" s="255"/>
      <c r="E253" s="325" t="e">
        <f>#REF!</f>
        <v>#REF!</v>
      </c>
      <c r="F253" s="325" t="e">
        <f>#REF!</f>
        <v>#REF!</v>
      </c>
      <c r="G253" s="325" t="e">
        <f>#REF!</f>
        <v>#REF!</v>
      </c>
      <c r="H253" s="325" t="e">
        <f t="shared" si="14"/>
        <v>#REF!</v>
      </c>
      <c r="I253" s="261"/>
      <c r="J253" s="266" t="e">
        <f t="shared" si="15"/>
        <v>#REF!</v>
      </c>
      <c r="K253" s="295"/>
      <c r="L253" s="270"/>
      <c r="M253" s="263"/>
      <c r="N253" s="261"/>
      <c r="O253" s="260"/>
    </row>
    <row r="254" spans="1:15" ht="17.25">
      <c r="A254" s="178" t="s">
        <v>80</v>
      </c>
      <c r="B254" s="75" t="s">
        <v>1202</v>
      </c>
      <c r="C254" s="39" t="s">
        <v>17</v>
      </c>
      <c r="D254" s="255"/>
      <c r="E254" s="325" t="e">
        <f>#REF!</f>
        <v>#REF!</v>
      </c>
      <c r="F254" s="325" t="e">
        <f>#REF!</f>
        <v>#REF!</v>
      </c>
      <c r="G254" s="325" t="e">
        <f>#REF!</f>
        <v>#REF!</v>
      </c>
      <c r="H254" s="325" t="e">
        <f t="shared" si="14"/>
        <v>#REF!</v>
      </c>
      <c r="I254" s="260"/>
      <c r="J254" s="266" t="e">
        <f t="shared" si="15"/>
        <v>#REF!</v>
      </c>
      <c r="K254" s="294"/>
      <c r="L254" s="271"/>
      <c r="M254" s="264"/>
      <c r="N254" s="260"/>
      <c r="O254" s="260"/>
    </row>
    <row r="255" spans="1:15" ht="17.25">
      <c r="A255" s="178" t="s">
        <v>80</v>
      </c>
      <c r="B255" s="75" t="s">
        <v>1203</v>
      </c>
      <c r="C255" s="39" t="s">
        <v>17</v>
      </c>
      <c r="D255" s="255"/>
      <c r="E255" s="325" t="e">
        <f>#REF!</f>
        <v>#REF!</v>
      </c>
      <c r="F255" s="325" t="e">
        <f>#REF!</f>
        <v>#REF!</v>
      </c>
      <c r="G255" s="325" t="e">
        <f>#REF!</f>
        <v>#REF!</v>
      </c>
      <c r="H255" s="325" t="e">
        <f t="shared" si="14"/>
        <v>#REF!</v>
      </c>
      <c r="I255" s="261"/>
      <c r="J255" s="266" t="e">
        <f t="shared" si="15"/>
        <v>#REF!</v>
      </c>
      <c r="K255" s="295"/>
      <c r="L255" s="270"/>
      <c r="M255" s="263"/>
      <c r="N255" s="261"/>
      <c r="O255" s="260"/>
    </row>
    <row r="256" spans="1:15" ht="17.25">
      <c r="A256" s="178" t="s">
        <v>80</v>
      </c>
      <c r="B256" s="75" t="s">
        <v>1204</v>
      </c>
      <c r="C256" s="39" t="s">
        <v>17</v>
      </c>
      <c r="D256" s="255"/>
      <c r="E256" s="325" t="e">
        <f>#REF!</f>
        <v>#REF!</v>
      </c>
      <c r="F256" s="325" t="e">
        <f>#REF!</f>
        <v>#REF!</v>
      </c>
      <c r="G256" s="325" t="e">
        <f>#REF!</f>
        <v>#REF!</v>
      </c>
      <c r="H256" s="325" t="e">
        <f t="shared" si="14"/>
        <v>#REF!</v>
      </c>
      <c r="I256" s="260"/>
      <c r="J256" s="266" t="e">
        <f t="shared" si="15"/>
        <v>#REF!</v>
      </c>
      <c r="K256" s="294"/>
      <c r="L256" s="271"/>
      <c r="M256" s="264"/>
      <c r="N256" s="260"/>
      <c r="O256" s="260"/>
    </row>
    <row r="257" spans="1:15" ht="17.25">
      <c r="A257" s="178" t="s">
        <v>80</v>
      </c>
      <c r="B257" s="75" t="s">
        <v>1205</v>
      </c>
      <c r="C257" s="39" t="s">
        <v>17</v>
      </c>
      <c r="D257" s="255"/>
      <c r="E257" s="325" t="e">
        <f>#REF!</f>
        <v>#REF!</v>
      </c>
      <c r="F257" s="325" t="e">
        <f>#REF!</f>
        <v>#REF!</v>
      </c>
      <c r="G257" s="325" t="e">
        <f>#REF!</f>
        <v>#REF!</v>
      </c>
      <c r="H257" s="325" t="e">
        <f t="shared" si="14"/>
        <v>#REF!</v>
      </c>
      <c r="I257" s="261"/>
      <c r="J257" s="266" t="e">
        <f t="shared" si="15"/>
        <v>#REF!</v>
      </c>
      <c r="K257" s="295"/>
      <c r="L257" s="270"/>
      <c r="M257" s="263"/>
      <c r="N257" s="261"/>
      <c r="O257" s="260"/>
    </row>
    <row r="258" spans="1:15" ht="17.25">
      <c r="A258" s="178" t="s">
        <v>80</v>
      </c>
      <c r="B258" s="75" t="s">
        <v>1206</v>
      </c>
      <c r="C258" s="39" t="s">
        <v>17</v>
      </c>
      <c r="D258" s="255"/>
      <c r="E258" s="325" t="e">
        <f>#REF!</f>
        <v>#REF!</v>
      </c>
      <c r="F258" s="325" t="e">
        <f>#REF!</f>
        <v>#REF!</v>
      </c>
      <c r="G258" s="325" t="e">
        <f>#REF!</f>
        <v>#REF!</v>
      </c>
      <c r="H258" s="325" t="e">
        <f t="shared" si="14"/>
        <v>#REF!</v>
      </c>
      <c r="I258" s="260"/>
      <c r="J258" s="266" t="e">
        <f t="shared" si="15"/>
        <v>#REF!</v>
      </c>
      <c r="K258" s="294"/>
      <c r="L258" s="271"/>
      <c r="M258" s="264"/>
      <c r="N258" s="260"/>
      <c r="O258" s="260"/>
    </row>
    <row r="259" spans="1:15" ht="17.25">
      <c r="A259" s="178" t="s">
        <v>80</v>
      </c>
      <c r="B259" s="75" t="s">
        <v>1207</v>
      </c>
      <c r="C259" s="39" t="s">
        <v>17</v>
      </c>
      <c r="D259" s="255"/>
      <c r="E259" s="325" t="e">
        <f>#REF!</f>
        <v>#REF!</v>
      </c>
      <c r="F259" s="325" t="e">
        <f>#REF!</f>
        <v>#REF!</v>
      </c>
      <c r="G259" s="325" t="e">
        <f>#REF!</f>
        <v>#REF!</v>
      </c>
      <c r="H259" s="325" t="e">
        <f t="shared" si="14"/>
        <v>#REF!</v>
      </c>
      <c r="I259" s="261"/>
      <c r="J259" s="266" t="e">
        <f t="shared" si="15"/>
        <v>#REF!</v>
      </c>
      <c r="K259" s="295"/>
      <c r="L259" s="270"/>
      <c r="M259" s="263"/>
      <c r="N259" s="261"/>
      <c r="O259" s="260"/>
    </row>
    <row r="260" spans="1:15" ht="17.25">
      <c r="A260" s="178" t="s">
        <v>80</v>
      </c>
      <c r="B260" s="75" t="s">
        <v>1208</v>
      </c>
      <c r="C260" s="39" t="s">
        <v>17</v>
      </c>
      <c r="D260" s="255"/>
      <c r="E260" s="325" t="e">
        <f>#REF!</f>
        <v>#REF!</v>
      </c>
      <c r="F260" s="325" t="e">
        <f>#REF!</f>
        <v>#REF!</v>
      </c>
      <c r="G260" s="325" t="e">
        <f>#REF!</f>
        <v>#REF!</v>
      </c>
      <c r="H260" s="325" t="e">
        <f t="shared" si="14"/>
        <v>#REF!</v>
      </c>
      <c r="I260" s="260"/>
      <c r="J260" s="266" t="e">
        <f t="shared" si="15"/>
        <v>#REF!</v>
      </c>
      <c r="K260" s="294"/>
      <c r="L260" s="271"/>
      <c r="M260" s="264"/>
      <c r="N260" s="260"/>
      <c r="O260" s="260"/>
    </row>
    <row r="261" spans="1:15" ht="17.25">
      <c r="A261" s="178" t="s">
        <v>80</v>
      </c>
      <c r="B261" s="75" t="s">
        <v>1209</v>
      </c>
      <c r="C261" s="39" t="s">
        <v>17</v>
      </c>
      <c r="D261" s="255"/>
      <c r="E261" s="325" t="e">
        <f>#REF!</f>
        <v>#REF!</v>
      </c>
      <c r="F261" s="325" t="e">
        <f>#REF!</f>
        <v>#REF!</v>
      </c>
      <c r="G261" s="325" t="e">
        <f>#REF!</f>
        <v>#REF!</v>
      </c>
      <c r="H261" s="325" t="e">
        <f t="shared" si="14"/>
        <v>#REF!</v>
      </c>
      <c r="I261" s="261"/>
      <c r="J261" s="266" t="e">
        <f t="shared" si="15"/>
        <v>#REF!</v>
      </c>
      <c r="K261" s="295"/>
      <c r="L261" s="270"/>
      <c r="M261" s="263"/>
      <c r="N261" s="261"/>
      <c r="O261" s="260"/>
    </row>
    <row r="262" spans="1:15" ht="17.25">
      <c r="A262" s="178" t="s">
        <v>80</v>
      </c>
      <c r="B262" s="75" t="s">
        <v>1210</v>
      </c>
      <c r="C262" s="39" t="s">
        <v>17</v>
      </c>
      <c r="D262" s="255"/>
      <c r="E262" s="325" t="e">
        <f>#REF!</f>
        <v>#REF!</v>
      </c>
      <c r="F262" s="325" t="e">
        <f>#REF!</f>
        <v>#REF!</v>
      </c>
      <c r="G262" s="325" t="e">
        <f>#REF!</f>
        <v>#REF!</v>
      </c>
      <c r="H262" s="325" t="e">
        <f t="shared" si="14"/>
        <v>#REF!</v>
      </c>
      <c r="I262" s="260"/>
      <c r="J262" s="266" t="e">
        <f t="shared" si="15"/>
        <v>#REF!</v>
      </c>
      <c r="K262" s="294"/>
      <c r="L262" s="271"/>
      <c r="M262" s="264"/>
      <c r="N262" s="260"/>
      <c r="O262" s="260"/>
    </row>
    <row r="263" spans="1:15" ht="17.25">
      <c r="A263" s="178" t="s">
        <v>80</v>
      </c>
      <c r="B263" s="75" t="s">
        <v>1211</v>
      </c>
      <c r="C263" s="39" t="s">
        <v>17</v>
      </c>
      <c r="D263" s="255"/>
      <c r="E263" s="325" t="e">
        <f>#REF!</f>
        <v>#REF!</v>
      </c>
      <c r="F263" s="325" t="e">
        <f>#REF!</f>
        <v>#REF!</v>
      </c>
      <c r="G263" s="325" t="e">
        <f>#REF!</f>
        <v>#REF!</v>
      </c>
      <c r="H263" s="325" t="e">
        <f t="shared" si="14"/>
        <v>#REF!</v>
      </c>
      <c r="I263" s="261"/>
      <c r="J263" s="266" t="e">
        <f t="shared" si="15"/>
        <v>#REF!</v>
      </c>
      <c r="K263" s="295"/>
      <c r="L263" s="270"/>
      <c r="M263" s="263"/>
      <c r="N263" s="261"/>
      <c r="O263" s="260"/>
    </row>
    <row r="264" spans="1:15" ht="17.25">
      <c r="A264" s="178" t="s">
        <v>80</v>
      </c>
      <c r="B264" s="75" t="s">
        <v>1212</v>
      </c>
      <c r="C264" s="39" t="s">
        <v>17</v>
      </c>
      <c r="D264" s="255"/>
      <c r="E264" s="325" t="e">
        <f>#REF!</f>
        <v>#REF!</v>
      </c>
      <c r="F264" s="325" t="e">
        <f>#REF!</f>
        <v>#REF!</v>
      </c>
      <c r="G264" s="325" t="e">
        <f>#REF!</f>
        <v>#REF!</v>
      </c>
      <c r="H264" s="325" t="e">
        <f t="shared" si="14"/>
        <v>#REF!</v>
      </c>
      <c r="I264" s="260"/>
      <c r="J264" s="266" t="e">
        <f t="shared" si="15"/>
        <v>#REF!</v>
      </c>
      <c r="K264" s="294"/>
      <c r="L264" s="271"/>
      <c r="M264" s="264"/>
      <c r="N264" s="260"/>
      <c r="O264" s="260"/>
    </row>
    <row r="265" spans="1:15" ht="17.25">
      <c r="A265" s="178" t="s">
        <v>80</v>
      </c>
      <c r="B265" s="75" t="s">
        <v>580</v>
      </c>
      <c r="C265" s="39" t="s">
        <v>17</v>
      </c>
      <c r="D265" s="255"/>
      <c r="E265" s="325" t="e">
        <f>#REF!</f>
        <v>#REF!</v>
      </c>
      <c r="F265" s="325" t="e">
        <f>#REF!</f>
        <v>#REF!</v>
      </c>
      <c r="G265" s="325" t="e">
        <f>#REF!</f>
        <v>#REF!</v>
      </c>
      <c r="H265" s="325" t="e">
        <f t="shared" si="14"/>
        <v>#REF!</v>
      </c>
      <c r="I265" s="261"/>
      <c r="J265" s="266" t="e">
        <f t="shared" si="15"/>
        <v>#REF!</v>
      </c>
      <c r="K265" s="295"/>
      <c r="L265" s="270"/>
      <c r="M265" s="263"/>
      <c r="N265" s="261"/>
      <c r="O265" s="260"/>
    </row>
    <row r="266" spans="1:15" ht="17.25">
      <c r="A266" s="178" t="s">
        <v>80</v>
      </c>
      <c r="B266" s="75" t="s">
        <v>579</v>
      </c>
      <c r="C266" s="39" t="s">
        <v>17</v>
      </c>
      <c r="D266" s="255"/>
      <c r="E266" s="325" t="e">
        <f>#REF!</f>
        <v>#REF!</v>
      </c>
      <c r="F266" s="325" t="e">
        <f>#REF!</f>
        <v>#REF!</v>
      </c>
      <c r="G266" s="325" t="e">
        <f>#REF!</f>
        <v>#REF!</v>
      </c>
      <c r="H266" s="325" t="e">
        <f t="shared" si="14"/>
        <v>#REF!</v>
      </c>
      <c r="I266" s="260"/>
      <c r="J266" s="266" t="e">
        <f t="shared" si="15"/>
        <v>#REF!</v>
      </c>
      <c r="K266" s="294"/>
      <c r="L266" s="271"/>
      <c r="M266" s="264"/>
      <c r="N266" s="260"/>
      <c r="O266" s="260"/>
    </row>
    <row r="267" spans="1:15" ht="17.25">
      <c r="A267" s="178" t="s">
        <v>80</v>
      </c>
      <c r="B267" s="75" t="s">
        <v>581</v>
      </c>
      <c r="C267" s="39" t="s">
        <v>17</v>
      </c>
      <c r="D267" s="255"/>
      <c r="E267" s="325" t="e">
        <f>#REF!</f>
        <v>#REF!</v>
      </c>
      <c r="F267" s="325" t="e">
        <f>#REF!</f>
        <v>#REF!</v>
      </c>
      <c r="G267" s="325" t="e">
        <f>#REF!</f>
        <v>#REF!</v>
      </c>
      <c r="H267" s="325" t="e">
        <f t="shared" si="14"/>
        <v>#REF!</v>
      </c>
      <c r="I267" s="261"/>
      <c r="J267" s="266" t="e">
        <f t="shared" si="15"/>
        <v>#REF!</v>
      </c>
      <c r="K267" s="295"/>
      <c r="L267" s="270"/>
      <c r="M267" s="263"/>
      <c r="N267" s="261"/>
      <c r="O267" s="260"/>
    </row>
    <row r="268" spans="1:15" ht="17.25">
      <c r="A268" s="178" t="s">
        <v>80</v>
      </c>
      <c r="B268" s="75" t="s">
        <v>582</v>
      </c>
      <c r="C268" s="39" t="s">
        <v>17</v>
      </c>
      <c r="D268" s="255"/>
      <c r="E268" s="325" t="e">
        <f>#REF!</f>
        <v>#REF!</v>
      </c>
      <c r="F268" s="325" t="e">
        <f>#REF!</f>
        <v>#REF!</v>
      </c>
      <c r="G268" s="325" t="e">
        <f>#REF!</f>
        <v>#REF!</v>
      </c>
      <c r="H268" s="325" t="e">
        <f t="shared" si="14"/>
        <v>#REF!</v>
      </c>
      <c r="I268" s="260"/>
      <c r="J268" s="266" t="e">
        <f t="shared" si="15"/>
        <v>#REF!</v>
      </c>
      <c r="K268" s="294"/>
      <c r="L268" s="271"/>
      <c r="M268" s="264"/>
      <c r="N268" s="260"/>
      <c r="O268" s="260"/>
    </row>
    <row r="269" spans="1:15" ht="17.25">
      <c r="A269" s="178" t="s">
        <v>80</v>
      </c>
      <c r="B269" s="75" t="s">
        <v>583</v>
      </c>
      <c r="C269" s="39" t="s">
        <v>17</v>
      </c>
      <c r="D269" s="255"/>
      <c r="E269" s="325" t="e">
        <f>#REF!</f>
        <v>#REF!</v>
      </c>
      <c r="F269" s="325" t="e">
        <f>#REF!</f>
        <v>#REF!</v>
      </c>
      <c r="G269" s="325" t="e">
        <f>#REF!</f>
        <v>#REF!</v>
      </c>
      <c r="H269" s="325" t="e">
        <f t="shared" si="14"/>
        <v>#REF!</v>
      </c>
      <c r="I269" s="261"/>
      <c r="J269" s="266" t="e">
        <f t="shared" si="15"/>
        <v>#REF!</v>
      </c>
      <c r="K269" s="295"/>
      <c r="L269" s="270"/>
      <c r="M269" s="263"/>
      <c r="N269" s="261"/>
      <c r="O269" s="260"/>
    </row>
    <row r="270" spans="1:15" ht="17.25">
      <c r="A270" s="178" t="s">
        <v>80</v>
      </c>
      <c r="B270" s="75" t="s">
        <v>584</v>
      </c>
      <c r="C270" s="39" t="s">
        <v>17</v>
      </c>
      <c r="D270" s="255"/>
      <c r="E270" s="325" t="e">
        <f>#REF!</f>
        <v>#REF!</v>
      </c>
      <c r="F270" s="325" t="e">
        <f>#REF!</f>
        <v>#REF!</v>
      </c>
      <c r="G270" s="325" t="e">
        <f>#REF!</f>
        <v>#REF!</v>
      </c>
      <c r="H270" s="325" t="e">
        <f t="shared" ref="H270:H333" si="16">G270+F270+E270+D270</f>
        <v>#REF!</v>
      </c>
      <c r="I270" s="260"/>
      <c r="J270" s="266" t="e">
        <f t="shared" si="15"/>
        <v>#REF!</v>
      </c>
      <c r="K270" s="294"/>
      <c r="L270" s="271"/>
      <c r="M270" s="264"/>
      <c r="N270" s="260"/>
      <c r="O270" s="260"/>
    </row>
    <row r="271" spans="1:15" ht="17.25">
      <c r="A271" s="178" t="s">
        <v>80</v>
      </c>
      <c r="B271" s="75" t="s">
        <v>585</v>
      </c>
      <c r="C271" s="39" t="s">
        <v>17</v>
      </c>
      <c r="D271" s="255"/>
      <c r="E271" s="325" t="e">
        <f>#REF!</f>
        <v>#REF!</v>
      </c>
      <c r="F271" s="325" t="e">
        <f>#REF!</f>
        <v>#REF!</v>
      </c>
      <c r="G271" s="325" t="e">
        <f>#REF!</f>
        <v>#REF!</v>
      </c>
      <c r="H271" s="325" t="e">
        <f t="shared" si="16"/>
        <v>#REF!</v>
      </c>
      <c r="I271" s="261"/>
      <c r="J271" s="266" t="e">
        <f t="shared" ref="J271:J328" si="17">I271*H271</f>
        <v>#REF!</v>
      </c>
      <c r="K271" s="295"/>
      <c r="L271" s="270"/>
      <c r="M271" s="263"/>
      <c r="N271" s="261"/>
      <c r="O271" s="260"/>
    </row>
    <row r="272" spans="1:15" ht="17.25">
      <c r="A272" s="178" t="s">
        <v>80</v>
      </c>
      <c r="B272" s="75" t="s">
        <v>586</v>
      </c>
      <c r="C272" s="39" t="s">
        <v>17</v>
      </c>
      <c r="D272" s="255"/>
      <c r="E272" s="325" t="e">
        <f>#REF!</f>
        <v>#REF!</v>
      </c>
      <c r="F272" s="325" t="e">
        <f>#REF!</f>
        <v>#REF!</v>
      </c>
      <c r="G272" s="325" t="e">
        <f>#REF!</f>
        <v>#REF!</v>
      </c>
      <c r="H272" s="325" t="e">
        <f t="shared" si="16"/>
        <v>#REF!</v>
      </c>
      <c r="I272" s="260"/>
      <c r="J272" s="266" t="e">
        <f t="shared" si="17"/>
        <v>#REF!</v>
      </c>
      <c r="K272" s="294"/>
      <c r="L272" s="271"/>
      <c r="M272" s="264"/>
      <c r="N272" s="260"/>
      <c r="O272" s="260"/>
    </row>
    <row r="273" spans="1:15" ht="17.25">
      <c r="A273" s="178" t="s">
        <v>80</v>
      </c>
      <c r="B273" s="75" t="s">
        <v>587</v>
      </c>
      <c r="C273" s="39" t="s">
        <v>17</v>
      </c>
      <c r="D273" s="255"/>
      <c r="E273" s="325" t="e">
        <f>#REF!</f>
        <v>#REF!</v>
      </c>
      <c r="F273" s="325" t="e">
        <f>#REF!</f>
        <v>#REF!</v>
      </c>
      <c r="G273" s="325" t="e">
        <f>#REF!</f>
        <v>#REF!</v>
      </c>
      <c r="H273" s="325" t="e">
        <f t="shared" si="16"/>
        <v>#REF!</v>
      </c>
      <c r="I273" s="261"/>
      <c r="J273" s="266" t="e">
        <f t="shared" si="17"/>
        <v>#REF!</v>
      </c>
      <c r="K273" s="295"/>
      <c r="L273" s="270"/>
      <c r="M273" s="263"/>
      <c r="N273" s="261"/>
      <c r="O273" s="260"/>
    </row>
    <row r="274" spans="1:15" ht="17.25">
      <c r="A274" s="178" t="s">
        <v>80</v>
      </c>
      <c r="B274" s="75" t="s">
        <v>588</v>
      </c>
      <c r="C274" s="39" t="s">
        <v>17</v>
      </c>
      <c r="D274" s="255"/>
      <c r="E274" s="325" t="e">
        <f>#REF!</f>
        <v>#REF!</v>
      </c>
      <c r="F274" s="325" t="e">
        <f>#REF!</f>
        <v>#REF!</v>
      </c>
      <c r="G274" s="325" t="e">
        <f>#REF!</f>
        <v>#REF!</v>
      </c>
      <c r="H274" s="325" t="e">
        <f t="shared" si="16"/>
        <v>#REF!</v>
      </c>
      <c r="I274" s="260"/>
      <c r="J274" s="266" t="e">
        <f t="shared" si="17"/>
        <v>#REF!</v>
      </c>
      <c r="K274" s="294"/>
      <c r="L274" s="271"/>
      <c r="M274" s="264"/>
      <c r="N274" s="260"/>
      <c r="O274" s="260"/>
    </row>
    <row r="275" spans="1:15" ht="17.25">
      <c r="A275" s="178" t="s">
        <v>80</v>
      </c>
      <c r="B275" s="75" t="s">
        <v>589</v>
      </c>
      <c r="C275" s="39" t="s">
        <v>17</v>
      </c>
      <c r="D275" s="255"/>
      <c r="E275" s="325" t="e">
        <f>#REF!</f>
        <v>#REF!</v>
      </c>
      <c r="F275" s="325" t="e">
        <f>#REF!</f>
        <v>#REF!</v>
      </c>
      <c r="G275" s="325" t="e">
        <f>#REF!</f>
        <v>#REF!</v>
      </c>
      <c r="H275" s="325" t="e">
        <f t="shared" si="16"/>
        <v>#REF!</v>
      </c>
      <c r="I275" s="261"/>
      <c r="J275" s="266" t="e">
        <f t="shared" si="17"/>
        <v>#REF!</v>
      </c>
      <c r="K275" s="295"/>
      <c r="L275" s="270"/>
      <c r="M275" s="263"/>
      <c r="N275" s="261"/>
      <c r="O275" s="260"/>
    </row>
    <row r="276" spans="1:15" ht="17.25">
      <c r="A276" s="178" t="s">
        <v>80</v>
      </c>
      <c r="B276" s="75" t="s">
        <v>590</v>
      </c>
      <c r="C276" s="39" t="s">
        <v>17</v>
      </c>
      <c r="D276" s="255"/>
      <c r="E276" s="325" t="e">
        <f>#REF!</f>
        <v>#REF!</v>
      </c>
      <c r="F276" s="325" t="e">
        <f>#REF!</f>
        <v>#REF!</v>
      </c>
      <c r="G276" s="325" t="e">
        <f>#REF!</f>
        <v>#REF!</v>
      </c>
      <c r="H276" s="325" t="e">
        <f t="shared" si="16"/>
        <v>#REF!</v>
      </c>
      <c r="I276" s="260"/>
      <c r="J276" s="266" t="e">
        <f t="shared" si="17"/>
        <v>#REF!</v>
      </c>
      <c r="K276" s="294"/>
      <c r="L276" s="271"/>
      <c r="M276" s="264"/>
      <c r="N276" s="260"/>
      <c r="O276" s="260"/>
    </row>
    <row r="277" spans="1:15" ht="17.25">
      <c r="A277" s="178" t="s">
        <v>80</v>
      </c>
      <c r="B277" s="75" t="s">
        <v>1546</v>
      </c>
      <c r="C277" s="39" t="s">
        <v>17</v>
      </c>
      <c r="D277" s="255"/>
      <c r="E277" s="325" t="e">
        <f>#REF!</f>
        <v>#REF!</v>
      </c>
      <c r="F277" s="325" t="e">
        <f>#REF!</f>
        <v>#REF!</v>
      </c>
      <c r="G277" s="325" t="e">
        <f>#REF!</f>
        <v>#REF!</v>
      </c>
      <c r="H277" s="325" t="e">
        <f t="shared" si="16"/>
        <v>#REF!</v>
      </c>
      <c r="I277" s="261"/>
      <c r="J277" s="266" t="e">
        <f t="shared" si="17"/>
        <v>#REF!</v>
      </c>
      <c r="K277" s="295"/>
      <c r="L277" s="270"/>
      <c r="M277" s="263"/>
      <c r="N277" s="261"/>
      <c r="O277" s="260"/>
    </row>
    <row r="278" spans="1:15" ht="31.5">
      <c r="A278" s="178" t="s">
        <v>80</v>
      </c>
      <c r="B278" s="75" t="s">
        <v>594</v>
      </c>
      <c r="C278" s="39" t="s">
        <v>17</v>
      </c>
      <c r="D278" s="255">
        <v>4000</v>
      </c>
      <c r="E278" s="325" t="e">
        <f>#REF!</f>
        <v>#REF!</v>
      </c>
      <c r="F278" s="325" t="e">
        <f>#REF!</f>
        <v>#REF!</v>
      </c>
      <c r="G278" s="325" t="e">
        <f>#REF!</f>
        <v>#REF!</v>
      </c>
      <c r="H278" s="325" t="e">
        <f t="shared" si="16"/>
        <v>#REF!</v>
      </c>
      <c r="I278" s="266">
        <v>5.19</v>
      </c>
      <c r="J278" s="266" t="e">
        <f t="shared" si="17"/>
        <v>#REF!</v>
      </c>
      <c r="K278" s="306"/>
      <c r="L278" s="280">
        <v>42396</v>
      </c>
      <c r="M278" s="308" t="s">
        <v>1663</v>
      </c>
      <c r="N278" s="254" t="s">
        <v>342</v>
      </c>
      <c r="O278" s="266" t="s">
        <v>1642</v>
      </c>
    </row>
    <row r="279" spans="1:15" ht="31.5">
      <c r="A279" s="178" t="s">
        <v>80</v>
      </c>
      <c r="B279" s="75" t="s">
        <v>595</v>
      </c>
      <c r="C279" s="39" t="s">
        <v>17</v>
      </c>
      <c r="D279" s="255">
        <v>4000</v>
      </c>
      <c r="E279" s="325" t="e">
        <f>#REF!</f>
        <v>#REF!</v>
      </c>
      <c r="F279" s="325" t="e">
        <f>#REF!</f>
        <v>#REF!</v>
      </c>
      <c r="G279" s="325" t="e">
        <f>#REF!</f>
        <v>#REF!</v>
      </c>
      <c r="H279" s="325" t="e">
        <f t="shared" si="16"/>
        <v>#REF!</v>
      </c>
      <c r="I279" s="265">
        <v>7</v>
      </c>
      <c r="J279" s="266" t="e">
        <f t="shared" si="17"/>
        <v>#REF!</v>
      </c>
      <c r="K279" s="307"/>
      <c r="L279" s="280">
        <v>42396</v>
      </c>
      <c r="M279" s="308" t="s">
        <v>1663</v>
      </c>
      <c r="N279" s="254" t="s">
        <v>342</v>
      </c>
      <c r="O279" s="266" t="s">
        <v>1642</v>
      </c>
    </row>
    <row r="280" spans="1:15" ht="17.25">
      <c r="A280" s="178" t="s">
        <v>80</v>
      </c>
      <c r="B280" s="75" t="s">
        <v>596</v>
      </c>
      <c r="C280" s="39" t="s">
        <v>17</v>
      </c>
      <c r="D280" s="255"/>
      <c r="E280" s="325" t="e">
        <f>#REF!</f>
        <v>#REF!</v>
      </c>
      <c r="F280" s="325" t="e">
        <f>#REF!</f>
        <v>#REF!</v>
      </c>
      <c r="G280" s="325" t="e">
        <f>#REF!</f>
        <v>#REF!</v>
      </c>
      <c r="H280" s="325" t="e">
        <f t="shared" si="16"/>
        <v>#REF!</v>
      </c>
      <c r="I280" s="266"/>
      <c r="J280" s="266" t="e">
        <f t="shared" si="17"/>
        <v>#REF!</v>
      </c>
      <c r="K280" s="306"/>
      <c r="L280" s="280"/>
      <c r="M280" s="309"/>
      <c r="N280" s="266"/>
      <c r="O280" s="266"/>
    </row>
    <row r="281" spans="1:15" ht="17.25">
      <c r="A281" s="178" t="s">
        <v>80</v>
      </c>
      <c r="B281" s="75" t="s">
        <v>592</v>
      </c>
      <c r="C281" s="39" t="s">
        <v>17</v>
      </c>
      <c r="D281" s="255"/>
      <c r="E281" s="325" t="e">
        <f>#REF!</f>
        <v>#REF!</v>
      </c>
      <c r="F281" s="325" t="e">
        <f>#REF!</f>
        <v>#REF!</v>
      </c>
      <c r="G281" s="325" t="e">
        <f>#REF!</f>
        <v>#REF!</v>
      </c>
      <c r="H281" s="325" t="e">
        <f t="shared" si="16"/>
        <v>#REF!</v>
      </c>
      <c r="I281" s="265"/>
      <c r="J281" s="266" t="e">
        <f t="shared" si="17"/>
        <v>#REF!</v>
      </c>
      <c r="K281" s="307"/>
      <c r="L281" s="310"/>
      <c r="M281" s="308"/>
      <c r="N281" s="265"/>
      <c r="O281" s="266"/>
    </row>
    <row r="282" spans="1:15" ht="31.5">
      <c r="A282" s="178" t="s">
        <v>80</v>
      </c>
      <c r="B282" s="75" t="s">
        <v>593</v>
      </c>
      <c r="C282" s="39" t="s">
        <v>17</v>
      </c>
      <c r="D282" s="255">
        <v>6</v>
      </c>
      <c r="E282" s="325" t="e">
        <f>#REF!</f>
        <v>#REF!</v>
      </c>
      <c r="F282" s="325" t="e">
        <f>#REF!</f>
        <v>#REF!</v>
      </c>
      <c r="G282" s="325" t="e">
        <f>#REF!</f>
        <v>#REF!</v>
      </c>
      <c r="H282" s="325" t="e">
        <f t="shared" si="16"/>
        <v>#REF!</v>
      </c>
      <c r="I282" s="266">
        <v>175</v>
      </c>
      <c r="J282" s="266" t="e">
        <f t="shared" si="17"/>
        <v>#REF!</v>
      </c>
      <c r="K282" s="306"/>
      <c r="L282" s="280">
        <v>42396</v>
      </c>
      <c r="M282" s="308" t="s">
        <v>1663</v>
      </c>
      <c r="N282" s="254" t="s">
        <v>342</v>
      </c>
      <c r="O282" s="266" t="s">
        <v>1642</v>
      </c>
    </row>
    <row r="283" spans="1:15" ht="17.25">
      <c r="A283" s="178" t="s">
        <v>80</v>
      </c>
      <c r="B283" s="75" t="s">
        <v>591</v>
      </c>
      <c r="C283" s="39" t="s">
        <v>17</v>
      </c>
      <c r="D283" s="255"/>
      <c r="E283" s="325" t="e">
        <f>#REF!</f>
        <v>#REF!</v>
      </c>
      <c r="F283" s="325" t="e">
        <f>#REF!</f>
        <v>#REF!</v>
      </c>
      <c r="G283" s="325" t="e">
        <f>#REF!</f>
        <v>#REF!</v>
      </c>
      <c r="H283" s="325" t="e">
        <f t="shared" si="16"/>
        <v>#REF!</v>
      </c>
      <c r="I283" s="261"/>
      <c r="J283" s="266" t="e">
        <f t="shared" si="17"/>
        <v>#REF!</v>
      </c>
      <c r="K283" s="295"/>
      <c r="L283" s="270"/>
      <c r="M283" s="263"/>
      <c r="N283" s="261"/>
      <c r="O283" s="260"/>
    </row>
    <row r="284" spans="1:15" ht="17.25">
      <c r="A284" s="178" t="s">
        <v>80</v>
      </c>
      <c r="B284" s="75" t="s">
        <v>1531</v>
      </c>
      <c r="C284" s="176" t="s">
        <v>17</v>
      </c>
      <c r="D284" s="255"/>
      <c r="E284" s="325" t="e">
        <f>#REF!</f>
        <v>#REF!</v>
      </c>
      <c r="F284" s="325" t="e">
        <f>#REF!</f>
        <v>#REF!</v>
      </c>
      <c r="G284" s="325" t="e">
        <f>#REF!</f>
        <v>#REF!</v>
      </c>
      <c r="H284" s="325" t="e">
        <f t="shared" si="16"/>
        <v>#REF!</v>
      </c>
      <c r="I284" s="260"/>
      <c r="J284" s="266" t="e">
        <f t="shared" si="17"/>
        <v>#REF!</v>
      </c>
      <c r="K284" s="294"/>
      <c r="L284" s="271"/>
      <c r="M284" s="264"/>
      <c r="N284" s="260"/>
      <c r="O284" s="260"/>
    </row>
    <row r="285" spans="1:15" ht="17.25">
      <c r="A285" s="178" t="s">
        <v>80</v>
      </c>
      <c r="B285" s="75" t="s">
        <v>616</v>
      </c>
      <c r="C285" s="39" t="s">
        <v>17</v>
      </c>
      <c r="D285" s="255"/>
      <c r="E285" s="325" t="e">
        <f>#REF!</f>
        <v>#REF!</v>
      </c>
      <c r="F285" s="325" t="e">
        <f>#REF!</f>
        <v>#REF!</v>
      </c>
      <c r="G285" s="325" t="e">
        <f>#REF!</f>
        <v>#REF!</v>
      </c>
      <c r="H285" s="325" t="e">
        <f t="shared" si="16"/>
        <v>#REF!</v>
      </c>
      <c r="I285" s="261"/>
      <c r="J285" s="266" t="e">
        <f t="shared" si="17"/>
        <v>#REF!</v>
      </c>
      <c r="K285" s="295"/>
      <c r="L285" s="270"/>
      <c r="M285" s="263"/>
      <c r="N285" s="261"/>
      <c r="O285" s="260"/>
    </row>
    <row r="286" spans="1:15" ht="17.25">
      <c r="A286" s="178" t="s">
        <v>80</v>
      </c>
      <c r="B286" s="75" t="s">
        <v>617</v>
      </c>
      <c r="C286" s="39" t="s">
        <v>17</v>
      </c>
      <c r="D286" s="255"/>
      <c r="E286" s="325" t="e">
        <f>#REF!</f>
        <v>#REF!</v>
      </c>
      <c r="F286" s="325" t="e">
        <f>#REF!</f>
        <v>#REF!</v>
      </c>
      <c r="G286" s="325" t="e">
        <f>#REF!</f>
        <v>#REF!</v>
      </c>
      <c r="H286" s="325" t="e">
        <f t="shared" si="16"/>
        <v>#REF!</v>
      </c>
      <c r="I286" s="260"/>
      <c r="J286" s="266" t="e">
        <f t="shared" si="17"/>
        <v>#REF!</v>
      </c>
      <c r="K286" s="294"/>
      <c r="L286" s="271"/>
      <c r="M286" s="264"/>
      <c r="N286" s="260"/>
      <c r="O286" s="260"/>
    </row>
    <row r="287" spans="1:15" ht="17.25">
      <c r="A287" s="178" t="s">
        <v>80</v>
      </c>
      <c r="B287" s="75" t="s">
        <v>618</v>
      </c>
      <c r="C287" s="39" t="s">
        <v>17</v>
      </c>
      <c r="D287" s="255"/>
      <c r="E287" s="325" t="e">
        <f>#REF!</f>
        <v>#REF!</v>
      </c>
      <c r="F287" s="325" t="e">
        <f>#REF!</f>
        <v>#REF!</v>
      </c>
      <c r="G287" s="325" t="e">
        <f>#REF!</f>
        <v>#REF!</v>
      </c>
      <c r="H287" s="325" t="e">
        <f t="shared" si="16"/>
        <v>#REF!</v>
      </c>
      <c r="I287" s="261"/>
      <c r="J287" s="266" t="e">
        <f t="shared" si="17"/>
        <v>#REF!</v>
      </c>
      <c r="K287" s="295"/>
      <c r="L287" s="270"/>
      <c r="M287" s="263"/>
      <c r="N287" s="261"/>
      <c r="O287" s="260"/>
    </row>
    <row r="288" spans="1:15" ht="17.25">
      <c r="A288" s="178" t="s">
        <v>80</v>
      </c>
      <c r="B288" s="75" t="s">
        <v>619</v>
      </c>
      <c r="C288" s="39" t="s">
        <v>17</v>
      </c>
      <c r="D288" s="255"/>
      <c r="E288" s="325" t="e">
        <f>#REF!</f>
        <v>#REF!</v>
      </c>
      <c r="F288" s="325" t="e">
        <f>#REF!</f>
        <v>#REF!</v>
      </c>
      <c r="G288" s="325" t="e">
        <f>#REF!</f>
        <v>#REF!</v>
      </c>
      <c r="H288" s="325" t="e">
        <f t="shared" si="16"/>
        <v>#REF!</v>
      </c>
      <c r="I288" s="260"/>
      <c r="J288" s="266" t="e">
        <f t="shared" si="17"/>
        <v>#REF!</v>
      </c>
      <c r="K288" s="294"/>
      <c r="L288" s="271"/>
      <c r="M288" s="264"/>
      <c r="N288" s="260"/>
      <c r="O288" s="260"/>
    </row>
    <row r="289" spans="1:15" ht="17.25">
      <c r="A289" s="178" t="s">
        <v>80</v>
      </c>
      <c r="B289" s="75" t="s">
        <v>620</v>
      </c>
      <c r="C289" s="39" t="s">
        <v>17</v>
      </c>
      <c r="D289" s="255"/>
      <c r="E289" s="325" t="e">
        <f>#REF!</f>
        <v>#REF!</v>
      </c>
      <c r="F289" s="325" t="e">
        <f>#REF!</f>
        <v>#REF!</v>
      </c>
      <c r="G289" s="325" t="e">
        <f>#REF!</f>
        <v>#REF!</v>
      </c>
      <c r="H289" s="325" t="e">
        <f t="shared" si="16"/>
        <v>#REF!</v>
      </c>
      <c r="I289" s="261"/>
      <c r="J289" s="266" t="e">
        <f t="shared" si="17"/>
        <v>#REF!</v>
      </c>
      <c r="K289" s="295"/>
      <c r="L289" s="270"/>
      <c r="M289" s="263"/>
      <c r="N289" s="261"/>
      <c r="O289" s="260"/>
    </row>
    <row r="290" spans="1:15" ht="17.25">
      <c r="A290" s="178" t="s">
        <v>80</v>
      </c>
      <c r="B290" s="75" t="s">
        <v>621</v>
      </c>
      <c r="C290" s="39" t="s">
        <v>17</v>
      </c>
      <c r="D290" s="255"/>
      <c r="E290" s="325" t="e">
        <f>#REF!</f>
        <v>#REF!</v>
      </c>
      <c r="F290" s="325" t="e">
        <f>#REF!</f>
        <v>#REF!</v>
      </c>
      <c r="G290" s="325" t="e">
        <f>#REF!</f>
        <v>#REF!</v>
      </c>
      <c r="H290" s="325" t="e">
        <f t="shared" si="16"/>
        <v>#REF!</v>
      </c>
      <c r="I290" s="260"/>
      <c r="J290" s="266" t="e">
        <f t="shared" si="17"/>
        <v>#REF!</v>
      </c>
      <c r="K290" s="294"/>
      <c r="L290" s="271"/>
      <c r="M290" s="264"/>
      <c r="N290" s="260"/>
      <c r="O290" s="260"/>
    </row>
    <row r="291" spans="1:15" ht="17.25">
      <c r="A291" s="178" t="s">
        <v>80</v>
      </c>
      <c r="B291" s="75" t="s">
        <v>622</v>
      </c>
      <c r="C291" s="39" t="s">
        <v>17</v>
      </c>
      <c r="D291" s="255"/>
      <c r="E291" s="325" t="e">
        <f>#REF!</f>
        <v>#REF!</v>
      </c>
      <c r="F291" s="325" t="e">
        <f>#REF!</f>
        <v>#REF!</v>
      </c>
      <c r="G291" s="325" t="e">
        <f>#REF!</f>
        <v>#REF!</v>
      </c>
      <c r="H291" s="325" t="e">
        <f t="shared" si="16"/>
        <v>#REF!</v>
      </c>
      <c r="I291" s="261"/>
      <c r="J291" s="266" t="e">
        <f t="shared" si="17"/>
        <v>#REF!</v>
      </c>
      <c r="K291" s="295"/>
      <c r="L291" s="270"/>
      <c r="M291" s="263"/>
      <c r="N291" s="261"/>
      <c r="O291" s="260"/>
    </row>
    <row r="292" spans="1:15" ht="17.25">
      <c r="A292" s="178" t="s">
        <v>80</v>
      </c>
      <c r="B292" s="75" t="s">
        <v>623</v>
      </c>
      <c r="C292" s="39" t="s">
        <v>17</v>
      </c>
      <c r="D292" s="255"/>
      <c r="E292" s="325" t="e">
        <f>#REF!</f>
        <v>#REF!</v>
      </c>
      <c r="F292" s="325" t="e">
        <f>#REF!</f>
        <v>#REF!</v>
      </c>
      <c r="G292" s="325" t="e">
        <f>#REF!</f>
        <v>#REF!</v>
      </c>
      <c r="H292" s="325" t="e">
        <f t="shared" si="16"/>
        <v>#REF!</v>
      </c>
      <c r="I292" s="260"/>
      <c r="J292" s="266" t="e">
        <f t="shared" si="17"/>
        <v>#REF!</v>
      </c>
      <c r="K292" s="294"/>
      <c r="L292" s="271"/>
      <c r="M292" s="264"/>
      <c r="N292" s="260"/>
      <c r="O292" s="260"/>
    </row>
    <row r="293" spans="1:15" ht="17.25">
      <c r="A293" s="178" t="s">
        <v>80</v>
      </c>
      <c r="B293" s="75" t="s">
        <v>624</v>
      </c>
      <c r="C293" s="39" t="s">
        <v>17</v>
      </c>
      <c r="D293" s="255"/>
      <c r="E293" s="325" t="e">
        <f>#REF!</f>
        <v>#REF!</v>
      </c>
      <c r="F293" s="325" t="e">
        <f>#REF!</f>
        <v>#REF!</v>
      </c>
      <c r="G293" s="325" t="e">
        <f>#REF!</f>
        <v>#REF!</v>
      </c>
      <c r="H293" s="325" t="e">
        <f t="shared" si="16"/>
        <v>#REF!</v>
      </c>
      <c r="I293" s="261"/>
      <c r="J293" s="266" t="e">
        <f t="shared" si="17"/>
        <v>#REF!</v>
      </c>
      <c r="K293" s="295"/>
      <c r="L293" s="270"/>
      <c r="M293" s="263"/>
      <c r="N293" s="261"/>
      <c r="O293" s="260"/>
    </row>
    <row r="294" spans="1:15" ht="17.25">
      <c r="A294" s="178" t="s">
        <v>80</v>
      </c>
      <c r="B294" s="75" t="s">
        <v>625</v>
      </c>
      <c r="C294" s="39" t="s">
        <v>17</v>
      </c>
      <c r="D294" s="255"/>
      <c r="E294" s="325" t="e">
        <f>#REF!</f>
        <v>#REF!</v>
      </c>
      <c r="F294" s="325" t="e">
        <f>#REF!</f>
        <v>#REF!</v>
      </c>
      <c r="G294" s="325" t="e">
        <f>#REF!</f>
        <v>#REF!</v>
      </c>
      <c r="H294" s="325" t="e">
        <f t="shared" si="16"/>
        <v>#REF!</v>
      </c>
      <c r="I294" s="260"/>
      <c r="J294" s="266" t="e">
        <f t="shared" si="17"/>
        <v>#REF!</v>
      </c>
      <c r="K294" s="294"/>
      <c r="L294" s="271"/>
      <c r="M294" s="264"/>
      <c r="N294" s="260"/>
      <c r="O294" s="260"/>
    </row>
    <row r="295" spans="1:15" ht="17.25">
      <c r="A295" s="178" t="s">
        <v>80</v>
      </c>
      <c r="B295" s="75" t="s">
        <v>626</v>
      </c>
      <c r="C295" s="39" t="s">
        <v>17</v>
      </c>
      <c r="D295" s="255"/>
      <c r="E295" s="325" t="e">
        <f>#REF!</f>
        <v>#REF!</v>
      </c>
      <c r="F295" s="325" t="e">
        <f>#REF!</f>
        <v>#REF!</v>
      </c>
      <c r="G295" s="325" t="e">
        <f>#REF!</f>
        <v>#REF!</v>
      </c>
      <c r="H295" s="325" t="e">
        <f t="shared" si="16"/>
        <v>#REF!</v>
      </c>
      <c r="I295" s="261"/>
      <c r="J295" s="266" t="e">
        <f t="shared" si="17"/>
        <v>#REF!</v>
      </c>
      <c r="K295" s="295"/>
      <c r="L295" s="270"/>
      <c r="M295" s="263"/>
      <c r="N295" s="261"/>
      <c r="O295" s="260"/>
    </row>
    <row r="296" spans="1:15" ht="17.25">
      <c r="A296" s="178" t="s">
        <v>80</v>
      </c>
      <c r="B296" s="75" t="s">
        <v>627</v>
      </c>
      <c r="C296" s="39" t="s">
        <v>17</v>
      </c>
      <c r="D296" s="255"/>
      <c r="E296" s="325" t="e">
        <f>#REF!</f>
        <v>#REF!</v>
      </c>
      <c r="F296" s="325" t="e">
        <f>#REF!</f>
        <v>#REF!</v>
      </c>
      <c r="G296" s="325" t="e">
        <f>#REF!</f>
        <v>#REF!</v>
      </c>
      <c r="H296" s="325" t="e">
        <f t="shared" si="16"/>
        <v>#REF!</v>
      </c>
      <c r="I296" s="260"/>
      <c r="J296" s="266" t="e">
        <f t="shared" si="17"/>
        <v>#REF!</v>
      </c>
      <c r="K296" s="294"/>
      <c r="L296" s="271"/>
      <c r="M296" s="264"/>
      <c r="N296" s="260"/>
      <c r="O296" s="260"/>
    </row>
    <row r="297" spans="1:15" ht="17.25">
      <c r="A297" s="178" t="s">
        <v>80</v>
      </c>
      <c r="B297" s="75" t="s">
        <v>628</v>
      </c>
      <c r="C297" s="39" t="s">
        <v>17</v>
      </c>
      <c r="D297" s="255"/>
      <c r="E297" s="325" t="e">
        <f>#REF!</f>
        <v>#REF!</v>
      </c>
      <c r="F297" s="325" t="e">
        <f>#REF!</f>
        <v>#REF!</v>
      </c>
      <c r="G297" s="325" t="e">
        <f>#REF!</f>
        <v>#REF!</v>
      </c>
      <c r="H297" s="325" t="e">
        <f t="shared" si="16"/>
        <v>#REF!</v>
      </c>
      <c r="I297" s="261"/>
      <c r="J297" s="266" t="e">
        <f t="shared" si="17"/>
        <v>#REF!</v>
      </c>
      <c r="K297" s="295"/>
      <c r="L297" s="270"/>
      <c r="M297" s="263"/>
      <c r="N297" s="261"/>
      <c r="O297" s="260"/>
    </row>
    <row r="298" spans="1:15" ht="17.25">
      <c r="A298" s="178" t="s">
        <v>80</v>
      </c>
      <c r="B298" s="75" t="s">
        <v>629</v>
      </c>
      <c r="C298" s="39" t="s">
        <v>17</v>
      </c>
      <c r="D298" s="255"/>
      <c r="E298" s="325" t="e">
        <f>#REF!</f>
        <v>#REF!</v>
      </c>
      <c r="F298" s="325" t="e">
        <f>#REF!</f>
        <v>#REF!</v>
      </c>
      <c r="G298" s="325" t="e">
        <f>#REF!</f>
        <v>#REF!</v>
      </c>
      <c r="H298" s="325" t="e">
        <f t="shared" si="16"/>
        <v>#REF!</v>
      </c>
      <c r="I298" s="260"/>
      <c r="J298" s="266" t="e">
        <f t="shared" si="17"/>
        <v>#REF!</v>
      </c>
      <c r="K298" s="294"/>
      <c r="L298" s="271"/>
      <c r="M298" s="264"/>
      <c r="N298" s="260"/>
      <c r="O298" s="260"/>
    </row>
    <row r="299" spans="1:15" ht="17.25">
      <c r="A299" s="178" t="s">
        <v>80</v>
      </c>
      <c r="B299" s="75" t="s">
        <v>630</v>
      </c>
      <c r="C299" s="39" t="s">
        <v>17</v>
      </c>
      <c r="D299" s="255"/>
      <c r="E299" s="325" t="e">
        <f>#REF!</f>
        <v>#REF!</v>
      </c>
      <c r="F299" s="325" t="e">
        <f>#REF!</f>
        <v>#REF!</v>
      </c>
      <c r="G299" s="325" t="e">
        <f>#REF!</f>
        <v>#REF!</v>
      </c>
      <c r="H299" s="325" t="e">
        <f t="shared" si="16"/>
        <v>#REF!</v>
      </c>
      <c r="I299" s="261"/>
      <c r="J299" s="266" t="e">
        <f t="shared" si="17"/>
        <v>#REF!</v>
      </c>
      <c r="K299" s="295"/>
      <c r="L299" s="270"/>
      <c r="M299" s="263"/>
      <c r="N299" s="261"/>
      <c r="O299" s="260"/>
    </row>
    <row r="300" spans="1:15" ht="17.25">
      <c r="A300" s="178" t="s">
        <v>80</v>
      </c>
      <c r="B300" s="75" t="s">
        <v>631</v>
      </c>
      <c r="C300" s="39" t="s">
        <v>17</v>
      </c>
      <c r="D300" s="255"/>
      <c r="E300" s="325" t="e">
        <f>#REF!</f>
        <v>#REF!</v>
      </c>
      <c r="F300" s="325" t="e">
        <f>#REF!</f>
        <v>#REF!</v>
      </c>
      <c r="G300" s="325" t="e">
        <f>#REF!</f>
        <v>#REF!</v>
      </c>
      <c r="H300" s="325" t="e">
        <f t="shared" si="16"/>
        <v>#REF!</v>
      </c>
      <c r="I300" s="260"/>
      <c r="J300" s="266" t="e">
        <f t="shared" si="17"/>
        <v>#REF!</v>
      </c>
      <c r="K300" s="294"/>
      <c r="L300" s="271"/>
      <c r="M300" s="264"/>
      <c r="N300" s="260"/>
      <c r="O300" s="260"/>
    </row>
    <row r="301" spans="1:15" ht="17.25">
      <c r="A301" s="178" t="s">
        <v>80</v>
      </c>
      <c r="B301" s="75" t="s">
        <v>632</v>
      </c>
      <c r="C301" s="39" t="s">
        <v>17</v>
      </c>
      <c r="D301" s="255"/>
      <c r="E301" s="325" t="e">
        <f>#REF!</f>
        <v>#REF!</v>
      </c>
      <c r="F301" s="325" t="e">
        <f>#REF!</f>
        <v>#REF!</v>
      </c>
      <c r="G301" s="325" t="e">
        <f>#REF!</f>
        <v>#REF!</v>
      </c>
      <c r="H301" s="325" t="e">
        <f t="shared" si="16"/>
        <v>#REF!</v>
      </c>
      <c r="I301" s="261"/>
      <c r="J301" s="266" t="e">
        <f t="shared" si="17"/>
        <v>#REF!</v>
      </c>
      <c r="K301" s="295"/>
      <c r="L301" s="270"/>
      <c r="M301" s="263"/>
      <c r="N301" s="261"/>
      <c r="O301" s="260"/>
    </row>
    <row r="302" spans="1:15" ht="17.25">
      <c r="A302" s="178" t="s">
        <v>80</v>
      </c>
      <c r="B302" s="75" t="s">
        <v>633</v>
      </c>
      <c r="C302" s="39" t="s">
        <v>17</v>
      </c>
      <c r="D302" s="255"/>
      <c r="E302" s="325" t="e">
        <f>#REF!</f>
        <v>#REF!</v>
      </c>
      <c r="F302" s="325" t="e">
        <f>#REF!</f>
        <v>#REF!</v>
      </c>
      <c r="G302" s="325" t="e">
        <f>#REF!</f>
        <v>#REF!</v>
      </c>
      <c r="H302" s="325" t="e">
        <f t="shared" si="16"/>
        <v>#REF!</v>
      </c>
      <c r="I302" s="260"/>
      <c r="J302" s="266" t="e">
        <f t="shared" si="17"/>
        <v>#REF!</v>
      </c>
      <c r="K302" s="294"/>
      <c r="L302" s="271"/>
      <c r="M302" s="264"/>
      <c r="N302" s="260"/>
      <c r="O302" s="260"/>
    </row>
    <row r="303" spans="1:15" ht="31.5">
      <c r="A303" s="178" t="s">
        <v>80</v>
      </c>
      <c r="B303" s="75" t="s">
        <v>129</v>
      </c>
      <c r="C303" s="39" t="s">
        <v>17</v>
      </c>
      <c r="D303" s="255">
        <v>3000</v>
      </c>
      <c r="E303" s="325" t="e">
        <f>#REF!</f>
        <v>#REF!</v>
      </c>
      <c r="F303" s="325" t="e">
        <f>#REF!</f>
        <v>#REF!</v>
      </c>
      <c r="G303" s="325" t="e">
        <f>#REF!</f>
        <v>#REF!</v>
      </c>
      <c r="H303" s="325" t="e">
        <f t="shared" si="16"/>
        <v>#REF!</v>
      </c>
      <c r="I303" s="265">
        <v>2.95</v>
      </c>
      <c r="J303" s="266" t="e">
        <f t="shared" si="17"/>
        <v>#REF!</v>
      </c>
      <c r="K303" s="307"/>
      <c r="L303" s="310">
        <v>42396</v>
      </c>
      <c r="M303" s="308" t="s">
        <v>1663</v>
      </c>
      <c r="N303" s="254" t="s">
        <v>342</v>
      </c>
      <c r="O303" s="266" t="s">
        <v>1642</v>
      </c>
    </row>
    <row r="304" spans="1:15" ht="31.5">
      <c r="A304" s="178" t="s">
        <v>80</v>
      </c>
      <c r="B304" s="75" t="s">
        <v>131</v>
      </c>
      <c r="C304" s="39" t="s">
        <v>17</v>
      </c>
      <c r="D304" s="255">
        <v>3000</v>
      </c>
      <c r="E304" s="325" t="e">
        <f>#REF!</f>
        <v>#REF!</v>
      </c>
      <c r="F304" s="325" t="e">
        <f>#REF!</f>
        <v>#REF!</v>
      </c>
      <c r="G304" s="325" t="e">
        <f>#REF!</f>
        <v>#REF!</v>
      </c>
      <c r="H304" s="325" t="e">
        <f t="shared" si="16"/>
        <v>#REF!</v>
      </c>
      <c r="I304" s="266">
        <v>4.25</v>
      </c>
      <c r="J304" s="266" t="e">
        <f t="shared" si="17"/>
        <v>#REF!</v>
      </c>
      <c r="K304" s="306"/>
      <c r="L304" s="280">
        <v>42396</v>
      </c>
      <c r="M304" s="308" t="s">
        <v>1663</v>
      </c>
      <c r="N304" s="254" t="s">
        <v>342</v>
      </c>
      <c r="O304" s="266" t="s">
        <v>1642</v>
      </c>
    </row>
    <row r="305" spans="1:15" ht="17.25">
      <c r="A305" s="178" t="s">
        <v>80</v>
      </c>
      <c r="B305" s="75" t="s">
        <v>473</v>
      </c>
      <c r="C305" s="39" t="s">
        <v>17</v>
      </c>
      <c r="D305" s="255"/>
      <c r="E305" s="325" t="e">
        <f>#REF!</f>
        <v>#REF!</v>
      </c>
      <c r="F305" s="325" t="e">
        <f>#REF!</f>
        <v>#REF!</v>
      </c>
      <c r="G305" s="325" t="e">
        <f>#REF!</f>
        <v>#REF!</v>
      </c>
      <c r="H305" s="325" t="e">
        <f t="shared" si="16"/>
        <v>#REF!</v>
      </c>
      <c r="I305" s="261"/>
      <c r="J305" s="266" t="e">
        <f t="shared" si="17"/>
        <v>#REF!</v>
      </c>
      <c r="K305" s="295"/>
      <c r="L305" s="270"/>
      <c r="M305" s="263"/>
      <c r="N305" s="261"/>
      <c r="O305" s="260"/>
    </row>
    <row r="306" spans="1:15" ht="17.25">
      <c r="A306" s="178" t="s">
        <v>80</v>
      </c>
      <c r="B306" s="75" t="s">
        <v>661</v>
      </c>
      <c r="C306" s="39" t="s">
        <v>17</v>
      </c>
      <c r="D306" s="255"/>
      <c r="E306" s="325" t="e">
        <f>#REF!</f>
        <v>#REF!</v>
      </c>
      <c r="F306" s="325" t="e">
        <f>#REF!</f>
        <v>#REF!</v>
      </c>
      <c r="G306" s="325" t="e">
        <f>#REF!</f>
        <v>#REF!</v>
      </c>
      <c r="H306" s="325" t="e">
        <f t="shared" si="16"/>
        <v>#REF!</v>
      </c>
      <c r="I306" s="260"/>
      <c r="J306" s="266" t="e">
        <f t="shared" si="17"/>
        <v>#REF!</v>
      </c>
      <c r="K306" s="294"/>
      <c r="L306" s="271"/>
      <c r="M306" s="264"/>
      <c r="N306" s="260"/>
      <c r="O306" s="260"/>
    </row>
    <row r="307" spans="1:15" ht="17.25">
      <c r="A307" s="178" t="s">
        <v>80</v>
      </c>
      <c r="B307" s="75" t="s">
        <v>133</v>
      </c>
      <c r="C307" s="39" t="s">
        <v>17</v>
      </c>
      <c r="D307" s="255"/>
      <c r="E307" s="325" t="e">
        <f>#REF!</f>
        <v>#REF!</v>
      </c>
      <c r="F307" s="325" t="e">
        <f>#REF!</f>
        <v>#REF!</v>
      </c>
      <c r="G307" s="325" t="e">
        <f>#REF!</f>
        <v>#REF!</v>
      </c>
      <c r="H307" s="325" t="e">
        <f t="shared" si="16"/>
        <v>#REF!</v>
      </c>
      <c r="I307" s="261"/>
      <c r="J307" s="266" t="e">
        <f t="shared" si="17"/>
        <v>#REF!</v>
      </c>
      <c r="K307" s="295"/>
      <c r="L307" s="270"/>
      <c r="M307" s="263"/>
      <c r="N307" s="261"/>
      <c r="O307" s="260"/>
    </row>
    <row r="308" spans="1:15" ht="17.25">
      <c r="A308" s="178" t="s">
        <v>80</v>
      </c>
      <c r="B308" s="75" t="s">
        <v>135</v>
      </c>
      <c r="C308" s="39" t="s">
        <v>17</v>
      </c>
      <c r="D308" s="255"/>
      <c r="E308" s="325" t="e">
        <f>#REF!</f>
        <v>#REF!</v>
      </c>
      <c r="F308" s="325" t="e">
        <f>#REF!</f>
        <v>#REF!</v>
      </c>
      <c r="G308" s="325" t="e">
        <f>#REF!</f>
        <v>#REF!</v>
      </c>
      <c r="H308" s="325" t="e">
        <f t="shared" si="16"/>
        <v>#REF!</v>
      </c>
      <c r="I308" s="260"/>
      <c r="J308" s="266" t="e">
        <f t="shared" si="17"/>
        <v>#REF!</v>
      </c>
      <c r="K308" s="294"/>
      <c r="L308" s="271"/>
      <c r="M308" s="264"/>
      <c r="N308" s="260"/>
      <c r="O308" s="260"/>
    </row>
    <row r="309" spans="1:15" ht="17.25">
      <c r="A309" s="178" t="s">
        <v>80</v>
      </c>
      <c r="B309" s="75" t="s">
        <v>597</v>
      </c>
      <c r="C309" s="39" t="s">
        <v>17</v>
      </c>
      <c r="D309" s="255"/>
      <c r="E309" s="325" t="e">
        <f>#REF!</f>
        <v>#REF!</v>
      </c>
      <c r="F309" s="325" t="e">
        <f>#REF!</f>
        <v>#REF!</v>
      </c>
      <c r="G309" s="325" t="e">
        <f>#REF!</f>
        <v>#REF!</v>
      </c>
      <c r="H309" s="325" t="e">
        <f t="shared" si="16"/>
        <v>#REF!</v>
      </c>
      <c r="I309" s="261"/>
      <c r="J309" s="266" t="e">
        <f t="shared" si="17"/>
        <v>#REF!</v>
      </c>
      <c r="K309" s="295"/>
      <c r="L309" s="270"/>
      <c r="M309" s="263"/>
      <c r="N309" s="261"/>
      <c r="O309" s="260"/>
    </row>
    <row r="310" spans="1:15" ht="17.25">
      <c r="A310" s="178" t="s">
        <v>80</v>
      </c>
      <c r="B310" s="75" t="s">
        <v>1532</v>
      </c>
      <c r="C310" s="176" t="s">
        <v>17</v>
      </c>
      <c r="D310" s="255"/>
      <c r="E310" s="325" t="e">
        <f>#REF!</f>
        <v>#REF!</v>
      </c>
      <c r="F310" s="325" t="e">
        <f>#REF!</f>
        <v>#REF!</v>
      </c>
      <c r="G310" s="325" t="e">
        <f>#REF!</f>
        <v>#REF!</v>
      </c>
      <c r="H310" s="325" t="e">
        <f t="shared" si="16"/>
        <v>#REF!</v>
      </c>
      <c r="I310" s="260"/>
      <c r="J310" s="266" t="e">
        <f t="shared" si="17"/>
        <v>#REF!</v>
      </c>
      <c r="K310" s="294"/>
      <c r="L310" s="271"/>
      <c r="M310" s="264"/>
      <c r="N310" s="260"/>
      <c r="O310" s="260"/>
    </row>
    <row r="311" spans="1:15" ht="31.5">
      <c r="A311" s="178" t="s">
        <v>80</v>
      </c>
      <c r="B311" s="75" t="s">
        <v>1533</v>
      </c>
      <c r="C311" s="176" t="s">
        <v>17</v>
      </c>
      <c r="D311" s="255">
        <v>4</v>
      </c>
      <c r="E311" s="325" t="e">
        <f>#REF!</f>
        <v>#REF!</v>
      </c>
      <c r="F311" s="325" t="e">
        <f>#REF!</f>
        <v>#REF!</v>
      </c>
      <c r="G311" s="325" t="e">
        <f>#REF!</f>
        <v>#REF!</v>
      </c>
      <c r="H311" s="325" t="e">
        <f t="shared" si="16"/>
        <v>#REF!</v>
      </c>
      <c r="I311" s="265">
        <v>1014</v>
      </c>
      <c r="J311" s="266" t="e">
        <f t="shared" si="17"/>
        <v>#REF!</v>
      </c>
      <c r="K311" s="307"/>
      <c r="L311" s="310">
        <v>42383</v>
      </c>
      <c r="M311" s="308" t="s">
        <v>1663</v>
      </c>
      <c r="N311" s="254" t="s">
        <v>342</v>
      </c>
      <c r="O311" s="266" t="s">
        <v>1642</v>
      </c>
    </row>
    <row r="312" spans="1:15" ht="17.25">
      <c r="A312" s="178" t="s">
        <v>80</v>
      </c>
      <c r="B312" s="75" t="s">
        <v>1535</v>
      </c>
      <c r="C312" s="176" t="s">
        <v>17</v>
      </c>
      <c r="D312" s="255"/>
      <c r="E312" s="325" t="e">
        <f>#REF!</f>
        <v>#REF!</v>
      </c>
      <c r="F312" s="325" t="e">
        <f>#REF!</f>
        <v>#REF!</v>
      </c>
      <c r="G312" s="325" t="e">
        <f>#REF!</f>
        <v>#REF!</v>
      </c>
      <c r="H312" s="325" t="e">
        <f t="shared" si="16"/>
        <v>#REF!</v>
      </c>
      <c r="I312" s="266"/>
      <c r="J312" s="266" t="e">
        <f t="shared" si="17"/>
        <v>#REF!</v>
      </c>
      <c r="K312" s="306"/>
      <c r="L312" s="280"/>
      <c r="M312" s="309"/>
      <c r="N312" s="266"/>
      <c r="O312" s="266"/>
    </row>
    <row r="313" spans="1:15" ht="31.5">
      <c r="A313" s="178" t="s">
        <v>80</v>
      </c>
      <c r="B313" s="75" t="s">
        <v>1724</v>
      </c>
      <c r="C313" s="176" t="s">
        <v>17</v>
      </c>
      <c r="D313" s="255">
        <v>3</v>
      </c>
      <c r="E313" s="325" t="e">
        <f>#REF!</f>
        <v>#REF!</v>
      </c>
      <c r="F313" s="325" t="e">
        <f>#REF!</f>
        <v>#REF!</v>
      </c>
      <c r="G313" s="325" t="e">
        <f>#REF!</f>
        <v>#REF!</v>
      </c>
      <c r="H313" s="325" t="e">
        <f t="shared" si="16"/>
        <v>#REF!</v>
      </c>
      <c r="I313" s="266">
        <v>123</v>
      </c>
      <c r="J313" s="266" t="e">
        <f t="shared" si="17"/>
        <v>#REF!</v>
      </c>
      <c r="K313" s="306"/>
      <c r="L313" s="280">
        <v>42383</v>
      </c>
      <c r="M313" s="308" t="s">
        <v>1663</v>
      </c>
      <c r="N313" s="254" t="s">
        <v>342</v>
      </c>
      <c r="O313" s="266" t="s">
        <v>1642</v>
      </c>
    </row>
    <row r="314" spans="1:15" ht="51">
      <c r="A314" s="178" t="s">
        <v>80</v>
      </c>
      <c r="B314" s="75" t="s">
        <v>1536</v>
      </c>
      <c r="C314" s="176" t="s">
        <v>17</v>
      </c>
      <c r="D314" s="255"/>
      <c r="E314" s="325" t="e">
        <f>#REF!</f>
        <v>#REF!</v>
      </c>
      <c r="F314" s="325" t="e">
        <f>#REF!</f>
        <v>#REF!</v>
      </c>
      <c r="G314" s="325" t="e">
        <f>#REF!</f>
        <v>#REF!</v>
      </c>
      <c r="H314" s="325" t="e">
        <f t="shared" si="16"/>
        <v>#REF!</v>
      </c>
      <c r="I314" s="261"/>
      <c r="J314" s="266" t="e">
        <f t="shared" si="17"/>
        <v>#REF!</v>
      </c>
      <c r="K314" s="295"/>
      <c r="L314" s="270"/>
      <c r="M314" s="263"/>
      <c r="N314" s="261"/>
      <c r="O314" s="260"/>
    </row>
    <row r="315" spans="1:15" ht="17.25">
      <c r="A315" s="178" t="s">
        <v>80</v>
      </c>
      <c r="B315" s="75" t="s">
        <v>1340</v>
      </c>
      <c r="C315" s="39" t="s">
        <v>17</v>
      </c>
      <c r="D315" s="255"/>
      <c r="E315" s="325" t="e">
        <f>#REF!</f>
        <v>#REF!</v>
      </c>
      <c r="F315" s="325" t="e">
        <f>#REF!</f>
        <v>#REF!</v>
      </c>
      <c r="G315" s="325" t="e">
        <f>#REF!</f>
        <v>#REF!</v>
      </c>
      <c r="H315" s="325" t="e">
        <f t="shared" si="16"/>
        <v>#REF!</v>
      </c>
      <c r="I315" s="260"/>
      <c r="J315" s="266" t="e">
        <f t="shared" si="17"/>
        <v>#REF!</v>
      </c>
      <c r="K315" s="294"/>
      <c r="L315" s="271"/>
      <c r="M315" s="264"/>
      <c r="N315" s="260"/>
      <c r="O315" s="260"/>
    </row>
    <row r="316" spans="1:15" ht="17.25">
      <c r="A316" s="178" t="s">
        <v>80</v>
      </c>
      <c r="B316" s="75" t="s">
        <v>1537</v>
      </c>
      <c r="C316" s="39" t="s">
        <v>17</v>
      </c>
      <c r="D316" s="255"/>
      <c r="E316" s="325" t="e">
        <f>#REF!</f>
        <v>#REF!</v>
      </c>
      <c r="F316" s="325" t="e">
        <f>#REF!</f>
        <v>#REF!</v>
      </c>
      <c r="G316" s="325" t="e">
        <f>#REF!</f>
        <v>#REF!</v>
      </c>
      <c r="H316" s="325" t="e">
        <f t="shared" si="16"/>
        <v>#REF!</v>
      </c>
      <c r="I316" s="261"/>
      <c r="J316" s="266" t="e">
        <f t="shared" si="17"/>
        <v>#REF!</v>
      </c>
      <c r="K316" s="295"/>
      <c r="L316" s="270"/>
      <c r="M316" s="263"/>
      <c r="N316" s="261"/>
      <c r="O316" s="260"/>
    </row>
    <row r="317" spans="1:15" ht="17.25">
      <c r="A317" s="178" t="s">
        <v>80</v>
      </c>
      <c r="B317" s="75" t="s">
        <v>1341</v>
      </c>
      <c r="C317" s="39" t="s">
        <v>17</v>
      </c>
      <c r="D317" s="255"/>
      <c r="E317" s="325" t="e">
        <f>#REF!</f>
        <v>#REF!</v>
      </c>
      <c r="F317" s="325" t="e">
        <f>#REF!</f>
        <v>#REF!</v>
      </c>
      <c r="G317" s="325" t="e">
        <f>#REF!</f>
        <v>#REF!</v>
      </c>
      <c r="H317" s="325" t="e">
        <f t="shared" si="16"/>
        <v>#REF!</v>
      </c>
      <c r="I317" s="260"/>
      <c r="J317" s="266" t="e">
        <f t="shared" si="17"/>
        <v>#REF!</v>
      </c>
      <c r="K317" s="294"/>
      <c r="L317" s="271"/>
      <c r="M317" s="264"/>
      <c r="N317" s="260"/>
      <c r="O317" s="260"/>
    </row>
    <row r="318" spans="1:15" ht="17.25">
      <c r="A318" s="178" t="s">
        <v>80</v>
      </c>
      <c r="B318" s="75" t="s">
        <v>1342</v>
      </c>
      <c r="C318" s="39" t="s">
        <v>17</v>
      </c>
      <c r="D318" s="255"/>
      <c r="E318" s="325" t="e">
        <f>#REF!</f>
        <v>#REF!</v>
      </c>
      <c r="F318" s="325" t="e">
        <f>#REF!</f>
        <v>#REF!</v>
      </c>
      <c r="G318" s="325" t="e">
        <f>#REF!</f>
        <v>#REF!</v>
      </c>
      <c r="H318" s="325" t="e">
        <f t="shared" si="16"/>
        <v>#REF!</v>
      </c>
      <c r="I318" s="261"/>
      <c r="J318" s="266" t="e">
        <f t="shared" si="17"/>
        <v>#REF!</v>
      </c>
      <c r="K318" s="295"/>
      <c r="L318" s="270"/>
      <c r="M318" s="263"/>
      <c r="N318" s="261"/>
      <c r="O318" s="260"/>
    </row>
    <row r="319" spans="1:15" ht="17.25">
      <c r="A319" s="178" t="s">
        <v>80</v>
      </c>
      <c r="B319" s="75" t="s">
        <v>1343</v>
      </c>
      <c r="C319" s="39" t="s">
        <v>17</v>
      </c>
      <c r="D319" s="255"/>
      <c r="E319" s="325" t="e">
        <f>#REF!</f>
        <v>#REF!</v>
      </c>
      <c r="F319" s="325" t="e">
        <f>#REF!</f>
        <v>#REF!</v>
      </c>
      <c r="G319" s="325" t="e">
        <f>#REF!</f>
        <v>#REF!</v>
      </c>
      <c r="H319" s="325" t="e">
        <f t="shared" si="16"/>
        <v>#REF!</v>
      </c>
      <c r="I319" s="260"/>
      <c r="J319" s="266" t="e">
        <f t="shared" si="17"/>
        <v>#REF!</v>
      </c>
      <c r="K319" s="294"/>
      <c r="L319" s="271"/>
      <c r="M319" s="264"/>
      <c r="N319" s="260"/>
      <c r="O319" s="260"/>
    </row>
    <row r="320" spans="1:15" ht="17.25">
      <c r="A320" s="178" t="s">
        <v>80</v>
      </c>
      <c r="B320" s="75" t="s">
        <v>571</v>
      </c>
      <c r="C320" s="39" t="s">
        <v>17</v>
      </c>
      <c r="D320" s="255"/>
      <c r="E320" s="325" t="e">
        <f>#REF!</f>
        <v>#REF!</v>
      </c>
      <c r="F320" s="325" t="e">
        <f>#REF!</f>
        <v>#REF!</v>
      </c>
      <c r="G320" s="325" t="e">
        <f>#REF!</f>
        <v>#REF!</v>
      </c>
      <c r="H320" s="325" t="e">
        <f t="shared" si="16"/>
        <v>#REF!</v>
      </c>
      <c r="I320" s="261"/>
      <c r="J320" s="266" t="e">
        <f t="shared" si="17"/>
        <v>#REF!</v>
      </c>
      <c r="K320" s="295"/>
      <c r="L320" s="270"/>
      <c r="M320" s="263"/>
      <c r="N320" s="261"/>
      <c r="O320" s="260"/>
    </row>
    <row r="321" spans="1:15" ht="17.25">
      <c r="A321" s="178" t="s">
        <v>80</v>
      </c>
      <c r="B321" s="75" t="s">
        <v>186</v>
      </c>
      <c r="C321" s="39" t="s">
        <v>17</v>
      </c>
      <c r="D321" s="255"/>
      <c r="E321" s="325" t="e">
        <f>#REF!</f>
        <v>#REF!</v>
      </c>
      <c r="F321" s="325" t="e">
        <f>#REF!</f>
        <v>#REF!</v>
      </c>
      <c r="G321" s="325" t="e">
        <f>#REF!</f>
        <v>#REF!</v>
      </c>
      <c r="H321" s="325" t="e">
        <f t="shared" si="16"/>
        <v>#REF!</v>
      </c>
      <c r="I321" s="260"/>
      <c r="J321" s="266" t="e">
        <f t="shared" si="17"/>
        <v>#REF!</v>
      </c>
      <c r="K321" s="294"/>
      <c r="L321" s="271"/>
      <c r="M321" s="264"/>
      <c r="N321" s="260"/>
      <c r="O321" s="260"/>
    </row>
    <row r="322" spans="1:15" ht="17.25">
      <c r="A322" s="178" t="s">
        <v>80</v>
      </c>
      <c r="B322" s="75" t="s">
        <v>1550</v>
      </c>
      <c r="C322" s="39" t="s">
        <v>17</v>
      </c>
      <c r="D322" s="255"/>
      <c r="E322" s="325" t="e">
        <f>#REF!</f>
        <v>#REF!</v>
      </c>
      <c r="F322" s="325" t="e">
        <f>#REF!</f>
        <v>#REF!</v>
      </c>
      <c r="G322" s="325" t="e">
        <f>#REF!</f>
        <v>#REF!</v>
      </c>
      <c r="H322" s="325" t="e">
        <f t="shared" si="16"/>
        <v>#REF!</v>
      </c>
      <c r="I322" s="261"/>
      <c r="J322" s="266" t="e">
        <f t="shared" si="17"/>
        <v>#REF!</v>
      </c>
      <c r="K322" s="295"/>
      <c r="L322" s="270"/>
      <c r="M322" s="263"/>
      <c r="N322" s="261"/>
      <c r="O322" s="260"/>
    </row>
    <row r="323" spans="1:15" ht="31.5">
      <c r="A323" s="178" t="s">
        <v>80</v>
      </c>
      <c r="B323" s="75" t="s">
        <v>148</v>
      </c>
      <c r="C323" s="39" t="s">
        <v>149</v>
      </c>
      <c r="D323" s="255">
        <v>200</v>
      </c>
      <c r="E323" s="325" t="e">
        <f>#REF!</f>
        <v>#REF!</v>
      </c>
      <c r="F323" s="325" t="e">
        <f>#REF!</f>
        <v>#REF!</v>
      </c>
      <c r="G323" s="325" t="e">
        <f>#REF!</f>
        <v>#REF!</v>
      </c>
      <c r="H323" s="325" t="e">
        <f t="shared" si="16"/>
        <v>#REF!</v>
      </c>
      <c r="I323" s="266">
        <v>38</v>
      </c>
      <c r="J323" s="266" t="e">
        <f t="shared" si="17"/>
        <v>#REF!</v>
      </c>
      <c r="K323" s="306"/>
      <c r="L323" s="310">
        <v>42396</v>
      </c>
      <c r="M323" s="308" t="s">
        <v>1663</v>
      </c>
      <c r="N323" s="254" t="s">
        <v>342</v>
      </c>
      <c r="O323" s="266" t="s">
        <v>1642</v>
      </c>
    </row>
    <row r="324" spans="1:15" ht="31.5">
      <c r="A324" s="178" t="s">
        <v>80</v>
      </c>
      <c r="B324" s="75" t="s">
        <v>1430</v>
      </c>
      <c r="C324" s="39" t="s">
        <v>290</v>
      </c>
      <c r="D324" s="255">
        <v>2</v>
      </c>
      <c r="E324" s="325" t="e">
        <f>#REF!</f>
        <v>#REF!</v>
      </c>
      <c r="F324" s="325" t="e">
        <f>#REF!</f>
        <v>#REF!</v>
      </c>
      <c r="G324" s="325" t="e">
        <f>#REF!</f>
        <v>#REF!</v>
      </c>
      <c r="H324" s="325" t="e">
        <f t="shared" si="16"/>
        <v>#REF!</v>
      </c>
      <c r="I324" s="265">
        <v>793.52</v>
      </c>
      <c r="J324" s="266" t="e">
        <f t="shared" si="17"/>
        <v>#REF!</v>
      </c>
      <c r="K324" s="307"/>
      <c r="L324" s="310">
        <v>42396</v>
      </c>
      <c r="M324" s="308" t="s">
        <v>1663</v>
      </c>
      <c r="N324" s="254" t="s">
        <v>342</v>
      </c>
      <c r="O324" s="266" t="s">
        <v>1642</v>
      </c>
    </row>
    <row r="325" spans="1:15" ht="17.25">
      <c r="A325" s="178" t="s">
        <v>80</v>
      </c>
      <c r="B325" s="75" t="s">
        <v>439</v>
      </c>
      <c r="C325" s="39" t="s">
        <v>149</v>
      </c>
      <c r="D325" s="255"/>
      <c r="E325" s="325" t="e">
        <f>#REF!</f>
        <v>#REF!</v>
      </c>
      <c r="F325" s="325" t="e">
        <f>#REF!</f>
        <v>#REF!</v>
      </c>
      <c r="G325" s="325" t="e">
        <f>#REF!</f>
        <v>#REF!</v>
      </c>
      <c r="H325" s="325" t="e">
        <f t="shared" si="16"/>
        <v>#REF!</v>
      </c>
      <c r="I325" s="266"/>
      <c r="J325" s="266" t="e">
        <f t="shared" si="17"/>
        <v>#REF!</v>
      </c>
      <c r="K325" s="306"/>
      <c r="L325" s="280"/>
      <c r="M325" s="309"/>
      <c r="N325" s="266"/>
      <c r="O325" s="266"/>
    </row>
    <row r="326" spans="1:15" ht="17.25">
      <c r="A326" s="178" t="s">
        <v>80</v>
      </c>
      <c r="B326" s="75" t="s">
        <v>1553</v>
      </c>
      <c r="C326" s="39" t="s">
        <v>17</v>
      </c>
      <c r="D326" s="255"/>
      <c r="E326" s="325" t="e">
        <f>#REF!</f>
        <v>#REF!</v>
      </c>
      <c r="F326" s="325" t="e">
        <f>#REF!</f>
        <v>#REF!</v>
      </c>
      <c r="G326" s="325" t="e">
        <f>#REF!</f>
        <v>#REF!</v>
      </c>
      <c r="H326" s="325" t="e">
        <f t="shared" si="16"/>
        <v>#REF!</v>
      </c>
      <c r="I326" s="265"/>
      <c r="J326" s="266" t="e">
        <f t="shared" si="17"/>
        <v>#REF!</v>
      </c>
      <c r="K326" s="307"/>
      <c r="L326" s="310"/>
      <c r="M326" s="308"/>
      <c r="N326" s="265"/>
      <c r="O326" s="266"/>
    </row>
    <row r="327" spans="1:15" ht="17.25">
      <c r="A327" s="178" t="s">
        <v>80</v>
      </c>
      <c r="B327" s="75" t="s">
        <v>1538</v>
      </c>
      <c r="C327" s="39" t="s">
        <v>149</v>
      </c>
      <c r="D327" s="255"/>
      <c r="E327" s="325" t="e">
        <f>#REF!</f>
        <v>#REF!</v>
      </c>
      <c r="F327" s="325" t="e">
        <f>#REF!</f>
        <v>#REF!</v>
      </c>
      <c r="G327" s="325" t="e">
        <f>#REF!</f>
        <v>#REF!</v>
      </c>
      <c r="H327" s="325" t="e">
        <f t="shared" si="16"/>
        <v>#REF!</v>
      </c>
      <c r="I327" s="266"/>
      <c r="J327" s="266" t="e">
        <f t="shared" si="17"/>
        <v>#REF!</v>
      </c>
      <c r="K327" s="306"/>
      <c r="L327" s="280"/>
      <c r="M327" s="309"/>
      <c r="N327" s="266"/>
      <c r="O327" s="266"/>
    </row>
    <row r="328" spans="1:15" ht="31.5">
      <c r="A328" s="178" t="s">
        <v>80</v>
      </c>
      <c r="B328" s="75" t="s">
        <v>471</v>
      </c>
      <c r="C328" s="39" t="s">
        <v>17</v>
      </c>
      <c r="D328" s="255">
        <v>2400</v>
      </c>
      <c r="E328" s="325" t="e">
        <f>#REF!</f>
        <v>#REF!</v>
      </c>
      <c r="F328" s="325" t="e">
        <f>#REF!</f>
        <v>#REF!</v>
      </c>
      <c r="G328" s="325" t="e">
        <f>#REF!</f>
        <v>#REF!</v>
      </c>
      <c r="H328" s="325" t="e">
        <f t="shared" si="16"/>
        <v>#REF!</v>
      </c>
      <c r="I328" s="265">
        <v>35.6</v>
      </c>
      <c r="J328" s="266" t="e">
        <f t="shared" si="17"/>
        <v>#REF!</v>
      </c>
      <c r="K328" s="307"/>
      <c r="L328" s="310">
        <v>42396</v>
      </c>
      <c r="M328" s="308" t="s">
        <v>1663</v>
      </c>
      <c r="N328" s="254" t="s">
        <v>342</v>
      </c>
      <c r="O328" s="266" t="s">
        <v>1642</v>
      </c>
    </row>
    <row r="329" spans="1:15" ht="17.25">
      <c r="A329" s="178" t="s">
        <v>80</v>
      </c>
      <c r="B329" s="75" t="s">
        <v>1348</v>
      </c>
      <c r="C329" s="39" t="s">
        <v>17</v>
      </c>
      <c r="D329" s="255"/>
      <c r="E329" s="325" t="e">
        <f>#REF!</f>
        <v>#REF!</v>
      </c>
      <c r="F329" s="325" t="e">
        <f>#REF!</f>
        <v>#REF!</v>
      </c>
      <c r="G329" s="325" t="e">
        <f>#REF!</f>
        <v>#REF!</v>
      </c>
      <c r="H329" s="325" t="e">
        <f t="shared" si="16"/>
        <v>#REF!</v>
      </c>
      <c r="I329" s="266"/>
      <c r="J329" s="266" t="e">
        <f>I329*H329</f>
        <v>#REF!</v>
      </c>
      <c r="K329" s="306"/>
      <c r="L329" s="280"/>
      <c r="M329" s="309"/>
      <c r="N329" s="266"/>
      <c r="O329" s="266"/>
    </row>
    <row r="330" spans="1:15" ht="17.25">
      <c r="A330" s="178" t="s">
        <v>80</v>
      </c>
      <c r="B330" s="75" t="s">
        <v>1591</v>
      </c>
      <c r="C330" s="39" t="s">
        <v>17</v>
      </c>
      <c r="D330" s="255"/>
      <c r="E330" s="325" t="e">
        <f>#REF!</f>
        <v>#REF!</v>
      </c>
      <c r="F330" s="325" t="e">
        <f>#REF!</f>
        <v>#REF!</v>
      </c>
      <c r="G330" s="325" t="e">
        <f>#REF!</f>
        <v>#REF!</v>
      </c>
      <c r="H330" s="325" t="e">
        <f t="shared" si="16"/>
        <v>#REF!</v>
      </c>
      <c r="I330" s="265"/>
      <c r="J330" s="266" t="e">
        <f t="shared" ref="J330:J335" si="18">I330*H330</f>
        <v>#REF!</v>
      </c>
      <c r="K330" s="307"/>
      <c r="L330" s="310"/>
      <c r="M330" s="308"/>
      <c r="N330" s="265"/>
      <c r="O330" s="266"/>
    </row>
    <row r="331" spans="1:15" ht="17.25">
      <c r="A331" s="178" t="s">
        <v>80</v>
      </c>
      <c r="B331" s="75" t="s">
        <v>1349</v>
      </c>
      <c r="C331" s="39" t="s">
        <v>17</v>
      </c>
      <c r="D331" s="255"/>
      <c r="E331" s="325" t="e">
        <f>#REF!</f>
        <v>#REF!</v>
      </c>
      <c r="F331" s="325" t="e">
        <f>#REF!</f>
        <v>#REF!</v>
      </c>
      <c r="G331" s="325" t="e">
        <f>#REF!</f>
        <v>#REF!</v>
      </c>
      <c r="H331" s="325" t="e">
        <f t="shared" si="16"/>
        <v>#REF!</v>
      </c>
      <c r="I331" s="266"/>
      <c r="J331" s="266" t="e">
        <f t="shared" si="18"/>
        <v>#REF!</v>
      </c>
      <c r="K331" s="306"/>
      <c r="L331" s="280"/>
      <c r="M331" s="309"/>
      <c r="N331" s="266"/>
      <c r="O331" s="266"/>
    </row>
    <row r="332" spans="1:15" ht="31.5">
      <c r="A332" s="178" t="s">
        <v>80</v>
      </c>
      <c r="B332" s="75" t="s">
        <v>1711</v>
      </c>
      <c r="C332" s="39" t="s">
        <v>17</v>
      </c>
      <c r="D332" s="255">
        <v>25</v>
      </c>
      <c r="E332" s="325" t="e">
        <f>#REF!</f>
        <v>#REF!</v>
      </c>
      <c r="F332" s="325" t="e">
        <f>#REF!</f>
        <v>#REF!</v>
      </c>
      <c r="G332" s="325" t="e">
        <f>#REF!</f>
        <v>#REF!</v>
      </c>
      <c r="H332" s="325" t="e">
        <f t="shared" si="16"/>
        <v>#REF!</v>
      </c>
      <c r="I332" s="266">
        <v>2328.1799999999998</v>
      </c>
      <c r="J332" s="266" t="e">
        <f t="shared" si="18"/>
        <v>#REF!</v>
      </c>
      <c r="K332" s="306"/>
      <c r="L332" s="280">
        <v>42427</v>
      </c>
      <c r="M332" s="308" t="s">
        <v>1663</v>
      </c>
      <c r="N332" s="254" t="s">
        <v>342</v>
      </c>
      <c r="O332" s="266" t="s">
        <v>1642</v>
      </c>
    </row>
    <row r="333" spans="1:15" ht="17.25">
      <c r="A333" s="178" t="s">
        <v>80</v>
      </c>
      <c r="B333" s="75" t="s">
        <v>1563</v>
      </c>
      <c r="C333" s="39" t="s">
        <v>17</v>
      </c>
      <c r="D333" s="255"/>
      <c r="E333" s="325" t="e">
        <f>#REF!</f>
        <v>#REF!</v>
      </c>
      <c r="F333" s="325" t="e">
        <f>#REF!</f>
        <v>#REF!</v>
      </c>
      <c r="G333" s="325" t="e">
        <f>#REF!</f>
        <v>#REF!</v>
      </c>
      <c r="H333" s="325" t="e">
        <f t="shared" si="16"/>
        <v>#REF!</v>
      </c>
      <c r="I333" s="265"/>
      <c r="J333" s="266" t="e">
        <f t="shared" si="18"/>
        <v>#REF!</v>
      </c>
      <c r="K333" s="307"/>
      <c r="L333" s="310"/>
      <c r="M333" s="308"/>
      <c r="N333" s="265"/>
      <c r="O333" s="266"/>
    </row>
    <row r="334" spans="1:15" ht="17.25">
      <c r="A334" s="178" t="s">
        <v>80</v>
      </c>
      <c r="B334" s="75" t="s">
        <v>1562</v>
      </c>
      <c r="C334" s="39" t="s">
        <v>17</v>
      </c>
      <c r="D334" s="255"/>
      <c r="E334" s="325" t="e">
        <f>#REF!</f>
        <v>#REF!</v>
      </c>
      <c r="F334" s="325" t="e">
        <f>#REF!</f>
        <v>#REF!</v>
      </c>
      <c r="G334" s="325" t="e">
        <f>#REF!</f>
        <v>#REF!</v>
      </c>
      <c r="H334" s="325" t="e">
        <f t="shared" ref="H334:H399" si="19">G334+F334+E334+D334</f>
        <v>#REF!</v>
      </c>
      <c r="I334" s="266"/>
      <c r="J334" s="266" t="e">
        <f t="shared" si="18"/>
        <v>#REF!</v>
      </c>
      <c r="K334" s="306"/>
      <c r="L334" s="280"/>
      <c r="M334" s="309"/>
      <c r="N334" s="266"/>
      <c r="O334" s="266"/>
    </row>
    <row r="335" spans="1:15" ht="17.25">
      <c r="A335" s="178" t="s">
        <v>80</v>
      </c>
      <c r="B335" s="75" t="s">
        <v>1350</v>
      </c>
      <c r="C335" s="39" t="s">
        <v>17</v>
      </c>
      <c r="D335" s="255"/>
      <c r="E335" s="325" t="e">
        <f>#REF!</f>
        <v>#REF!</v>
      </c>
      <c r="F335" s="325" t="e">
        <f>#REF!</f>
        <v>#REF!</v>
      </c>
      <c r="G335" s="325" t="e">
        <f>#REF!</f>
        <v>#REF!</v>
      </c>
      <c r="H335" s="325" t="e">
        <f t="shared" si="19"/>
        <v>#REF!</v>
      </c>
      <c r="I335" s="265"/>
      <c r="J335" s="266" t="e">
        <f t="shared" si="18"/>
        <v>#REF!</v>
      </c>
      <c r="K335" s="307"/>
      <c r="L335" s="310"/>
      <c r="M335" s="308"/>
      <c r="N335" s="265"/>
      <c r="O335" s="266"/>
    </row>
    <row r="336" spans="1:15" ht="17.25">
      <c r="A336" s="178" t="s">
        <v>80</v>
      </c>
      <c r="B336" s="75" t="s">
        <v>644</v>
      </c>
      <c r="C336" s="39" t="s">
        <v>17</v>
      </c>
      <c r="D336" s="255">
        <v>330</v>
      </c>
      <c r="E336" s="325" t="e">
        <f>#REF!</f>
        <v>#REF!</v>
      </c>
      <c r="F336" s="325" t="e">
        <f>#REF!</f>
        <v>#REF!</v>
      </c>
      <c r="G336" s="325" t="e">
        <f>#REF!</f>
        <v>#REF!</v>
      </c>
      <c r="H336" s="325" t="e">
        <f t="shared" si="19"/>
        <v>#REF!</v>
      </c>
      <c r="I336" s="266">
        <v>400</v>
      </c>
      <c r="J336" s="266">
        <f t="shared" ref="J336:J345" si="20">I336*D336</f>
        <v>132000</v>
      </c>
      <c r="K336" s="306"/>
      <c r="L336" s="280">
        <v>42380</v>
      </c>
      <c r="M336" s="308" t="s">
        <v>15</v>
      </c>
      <c r="N336" s="254" t="s">
        <v>342</v>
      </c>
      <c r="O336" s="266" t="s">
        <v>1642</v>
      </c>
    </row>
    <row r="337" spans="1:15" ht="17.25">
      <c r="A337" s="178" t="s">
        <v>80</v>
      </c>
      <c r="B337" s="75" t="s">
        <v>645</v>
      </c>
      <c r="C337" s="39" t="s">
        <v>17</v>
      </c>
      <c r="D337" s="255">
        <v>636</v>
      </c>
      <c r="E337" s="325" t="e">
        <f>#REF!</f>
        <v>#REF!</v>
      </c>
      <c r="F337" s="325" t="e">
        <f>#REF!</f>
        <v>#REF!</v>
      </c>
      <c r="G337" s="325" t="e">
        <f>#REF!</f>
        <v>#REF!</v>
      </c>
      <c r="H337" s="325" t="e">
        <f t="shared" si="19"/>
        <v>#REF!</v>
      </c>
      <c r="I337" s="265">
        <v>500</v>
      </c>
      <c r="J337" s="266">
        <f t="shared" si="20"/>
        <v>318000</v>
      </c>
      <c r="K337" s="307"/>
      <c r="L337" s="280">
        <v>42380</v>
      </c>
      <c r="M337" s="308" t="s">
        <v>15</v>
      </c>
      <c r="N337" s="254" t="s">
        <v>342</v>
      </c>
      <c r="O337" s="266" t="s">
        <v>1642</v>
      </c>
    </row>
    <row r="338" spans="1:15" ht="17.25">
      <c r="A338" s="178" t="s">
        <v>80</v>
      </c>
      <c r="B338" s="75" t="s">
        <v>646</v>
      </c>
      <c r="C338" s="39" t="s">
        <v>17</v>
      </c>
      <c r="D338" s="255">
        <v>590</v>
      </c>
      <c r="E338" s="325" t="e">
        <f>#REF!</f>
        <v>#REF!</v>
      </c>
      <c r="F338" s="325" t="e">
        <f>#REF!</f>
        <v>#REF!</v>
      </c>
      <c r="G338" s="325" t="e">
        <f>#REF!</f>
        <v>#REF!</v>
      </c>
      <c r="H338" s="325" t="e">
        <f t="shared" si="19"/>
        <v>#REF!</v>
      </c>
      <c r="I338" s="266">
        <v>588</v>
      </c>
      <c r="J338" s="266">
        <f t="shared" si="20"/>
        <v>346920</v>
      </c>
      <c r="K338" s="306"/>
      <c r="L338" s="280">
        <v>42380</v>
      </c>
      <c r="M338" s="308" t="s">
        <v>15</v>
      </c>
      <c r="N338" s="254" t="s">
        <v>342</v>
      </c>
      <c r="O338" s="266" t="s">
        <v>1642</v>
      </c>
    </row>
    <row r="339" spans="1:15" ht="17.25">
      <c r="A339" s="178" t="s">
        <v>80</v>
      </c>
      <c r="B339" s="75" t="s">
        <v>647</v>
      </c>
      <c r="C339" s="39" t="s">
        <v>17</v>
      </c>
      <c r="D339" s="255">
        <v>448</v>
      </c>
      <c r="E339" s="325" t="e">
        <f>#REF!</f>
        <v>#REF!</v>
      </c>
      <c r="F339" s="325" t="e">
        <f>#REF!</f>
        <v>#REF!</v>
      </c>
      <c r="G339" s="325" t="e">
        <f>#REF!</f>
        <v>#REF!</v>
      </c>
      <c r="H339" s="325" t="e">
        <f t="shared" si="19"/>
        <v>#REF!</v>
      </c>
      <c r="I339" s="265">
        <v>1000</v>
      </c>
      <c r="J339" s="266">
        <f t="shared" si="20"/>
        <v>448000</v>
      </c>
      <c r="K339" s="307"/>
      <c r="L339" s="280">
        <v>42380</v>
      </c>
      <c r="M339" s="308" t="s">
        <v>15</v>
      </c>
      <c r="N339" s="254" t="s">
        <v>342</v>
      </c>
      <c r="O339" s="266" t="s">
        <v>1642</v>
      </c>
    </row>
    <row r="340" spans="1:15" ht="17.25">
      <c r="A340" s="178" t="s">
        <v>80</v>
      </c>
      <c r="B340" s="75" t="s">
        <v>648</v>
      </c>
      <c r="C340" s="39" t="s">
        <v>17</v>
      </c>
      <c r="D340" s="255">
        <v>330</v>
      </c>
      <c r="E340" s="325" t="e">
        <f>#REF!</f>
        <v>#REF!</v>
      </c>
      <c r="F340" s="325" t="e">
        <f>#REF!</f>
        <v>#REF!</v>
      </c>
      <c r="G340" s="325" t="e">
        <f>#REF!</f>
        <v>#REF!</v>
      </c>
      <c r="H340" s="325" t="e">
        <f t="shared" si="19"/>
        <v>#REF!</v>
      </c>
      <c r="I340" s="266">
        <v>1150</v>
      </c>
      <c r="J340" s="266">
        <f t="shared" si="20"/>
        <v>379500</v>
      </c>
      <c r="K340" s="306"/>
      <c r="L340" s="280">
        <v>42380</v>
      </c>
      <c r="M340" s="308" t="s">
        <v>15</v>
      </c>
      <c r="N340" s="254" t="s">
        <v>342</v>
      </c>
      <c r="O340" s="266" t="s">
        <v>1642</v>
      </c>
    </row>
    <row r="341" spans="1:15" ht="17.25">
      <c r="A341" s="178" t="s">
        <v>80</v>
      </c>
      <c r="B341" s="75" t="s">
        <v>649</v>
      </c>
      <c r="C341" s="39" t="s">
        <v>17</v>
      </c>
      <c r="D341" s="255">
        <v>76</v>
      </c>
      <c r="E341" s="325" t="e">
        <f>#REF!</f>
        <v>#REF!</v>
      </c>
      <c r="F341" s="325" t="e">
        <f>#REF!</f>
        <v>#REF!</v>
      </c>
      <c r="G341" s="325" t="e">
        <f>#REF!</f>
        <v>#REF!</v>
      </c>
      <c r="H341" s="325" t="e">
        <f t="shared" si="19"/>
        <v>#REF!</v>
      </c>
      <c r="I341" s="265">
        <v>1500</v>
      </c>
      <c r="J341" s="266">
        <f t="shared" si="20"/>
        <v>114000</v>
      </c>
      <c r="K341" s="307"/>
      <c r="L341" s="280">
        <v>42380</v>
      </c>
      <c r="M341" s="308" t="s">
        <v>15</v>
      </c>
      <c r="N341" s="254" t="s">
        <v>342</v>
      </c>
      <c r="O341" s="266" t="s">
        <v>1642</v>
      </c>
    </row>
    <row r="342" spans="1:15" ht="17.25">
      <c r="A342" s="178" t="s">
        <v>80</v>
      </c>
      <c r="B342" s="75" t="s">
        <v>650</v>
      </c>
      <c r="C342" s="39" t="s">
        <v>17</v>
      </c>
      <c r="D342" s="255">
        <v>262</v>
      </c>
      <c r="E342" s="325" t="e">
        <f>#REF!</f>
        <v>#REF!</v>
      </c>
      <c r="F342" s="325" t="e">
        <f>#REF!</f>
        <v>#REF!</v>
      </c>
      <c r="G342" s="325" t="e">
        <f>#REF!</f>
        <v>#REF!</v>
      </c>
      <c r="H342" s="325" t="e">
        <f t="shared" si="19"/>
        <v>#REF!</v>
      </c>
      <c r="I342" s="266">
        <v>2000</v>
      </c>
      <c r="J342" s="266">
        <f t="shared" si="20"/>
        <v>524000</v>
      </c>
      <c r="K342" s="306"/>
      <c r="L342" s="280">
        <v>42383</v>
      </c>
      <c r="M342" s="308" t="s">
        <v>15</v>
      </c>
      <c r="N342" s="254" t="s">
        <v>342</v>
      </c>
      <c r="O342" s="266" t="s">
        <v>1642</v>
      </c>
    </row>
    <row r="343" spans="1:15" ht="17.25">
      <c r="A343" s="178" t="s">
        <v>80</v>
      </c>
      <c r="B343" s="75" t="s">
        <v>651</v>
      </c>
      <c r="C343" s="39" t="s">
        <v>17</v>
      </c>
      <c r="D343" s="255">
        <v>108</v>
      </c>
      <c r="E343" s="325" t="e">
        <f>#REF!</f>
        <v>#REF!</v>
      </c>
      <c r="F343" s="325" t="e">
        <f>#REF!</f>
        <v>#REF!</v>
      </c>
      <c r="G343" s="325" t="e">
        <f>#REF!</f>
        <v>#REF!</v>
      </c>
      <c r="H343" s="325" t="e">
        <f t="shared" si="19"/>
        <v>#REF!</v>
      </c>
      <c r="I343" s="265">
        <v>2500</v>
      </c>
      <c r="J343" s="266">
        <f t="shared" si="20"/>
        <v>270000</v>
      </c>
      <c r="K343" s="307"/>
      <c r="L343" s="280">
        <v>42380</v>
      </c>
      <c r="M343" s="308" t="s">
        <v>15</v>
      </c>
      <c r="N343" s="254" t="s">
        <v>342</v>
      </c>
      <c r="O343" s="266" t="s">
        <v>1642</v>
      </c>
    </row>
    <row r="344" spans="1:15" ht="31.5">
      <c r="A344" s="178" t="s">
        <v>80</v>
      </c>
      <c r="B344" s="75" t="s">
        <v>652</v>
      </c>
      <c r="C344" s="39" t="s">
        <v>17</v>
      </c>
      <c r="D344" s="255">
        <v>6</v>
      </c>
      <c r="E344" s="325" t="e">
        <f>#REF!</f>
        <v>#REF!</v>
      </c>
      <c r="F344" s="325" t="e">
        <f>#REF!</f>
        <v>#REF!</v>
      </c>
      <c r="G344" s="325" t="e">
        <f>#REF!</f>
        <v>#REF!</v>
      </c>
      <c r="H344" s="325" t="e">
        <f t="shared" si="19"/>
        <v>#REF!</v>
      </c>
      <c r="I344" s="266">
        <v>4000</v>
      </c>
      <c r="J344" s="266">
        <f t="shared" si="20"/>
        <v>24000</v>
      </c>
      <c r="K344" s="306"/>
      <c r="L344" s="310">
        <v>42380</v>
      </c>
      <c r="M344" s="308" t="s">
        <v>1663</v>
      </c>
      <c r="N344" s="254" t="s">
        <v>342</v>
      </c>
      <c r="O344" s="266" t="s">
        <v>1642</v>
      </c>
    </row>
    <row r="345" spans="1:15" ht="17.25">
      <c r="A345" s="178" t="s">
        <v>80</v>
      </c>
      <c r="B345" s="75" t="s">
        <v>653</v>
      </c>
      <c r="C345" s="39" t="s">
        <v>17</v>
      </c>
      <c r="D345" s="255">
        <v>24</v>
      </c>
      <c r="E345" s="325" t="e">
        <f>#REF!</f>
        <v>#REF!</v>
      </c>
      <c r="F345" s="325" t="e">
        <f>#REF!</f>
        <v>#REF!</v>
      </c>
      <c r="G345" s="325" t="e">
        <f>#REF!</f>
        <v>#REF!</v>
      </c>
      <c r="H345" s="325" t="e">
        <f t="shared" si="19"/>
        <v>#REF!</v>
      </c>
      <c r="I345" s="265">
        <v>6000</v>
      </c>
      <c r="J345" s="266">
        <f t="shared" si="20"/>
        <v>144000</v>
      </c>
      <c r="K345" s="307"/>
      <c r="L345" s="310">
        <v>42380</v>
      </c>
      <c r="M345" s="308" t="s">
        <v>15</v>
      </c>
      <c r="N345" s="254" t="s">
        <v>342</v>
      </c>
      <c r="O345" s="266" t="s">
        <v>1642</v>
      </c>
    </row>
    <row r="346" spans="1:15" ht="17.25">
      <c r="A346" s="178" t="s">
        <v>80</v>
      </c>
      <c r="B346" s="75" t="s">
        <v>351</v>
      </c>
      <c r="C346" s="39" t="s">
        <v>17</v>
      </c>
      <c r="D346" s="255"/>
      <c r="E346" s="325" t="e">
        <f>#REF!</f>
        <v>#REF!</v>
      </c>
      <c r="F346" s="325" t="e">
        <f>#REF!</f>
        <v>#REF!</v>
      </c>
      <c r="G346" s="325" t="e">
        <f>#REF!</f>
        <v>#REF!</v>
      </c>
      <c r="H346" s="325" t="e">
        <f t="shared" si="19"/>
        <v>#REF!</v>
      </c>
      <c r="I346" s="266"/>
      <c r="J346" s="266" t="e">
        <f>I346*H346</f>
        <v>#REF!</v>
      </c>
      <c r="K346" s="306"/>
      <c r="L346" s="280"/>
      <c r="M346" s="309"/>
      <c r="N346" s="266"/>
      <c r="O346" s="266"/>
    </row>
    <row r="347" spans="1:15" ht="17.25">
      <c r="A347" s="178" t="s">
        <v>80</v>
      </c>
      <c r="B347" s="75" t="s">
        <v>352</v>
      </c>
      <c r="C347" s="39" t="s">
        <v>17</v>
      </c>
      <c r="D347" s="255"/>
      <c r="E347" s="325" t="e">
        <f>#REF!</f>
        <v>#REF!</v>
      </c>
      <c r="F347" s="325" t="e">
        <f>#REF!</f>
        <v>#REF!</v>
      </c>
      <c r="G347" s="325" t="e">
        <f>#REF!</f>
        <v>#REF!</v>
      </c>
      <c r="H347" s="325" t="e">
        <f t="shared" si="19"/>
        <v>#REF!</v>
      </c>
      <c r="I347" s="265"/>
      <c r="J347" s="266" t="e">
        <f t="shared" ref="J347:J412" si="21">I347*H347</f>
        <v>#REF!</v>
      </c>
      <c r="K347" s="307"/>
      <c r="L347" s="310"/>
      <c r="M347" s="308"/>
      <c r="N347" s="265"/>
      <c r="O347" s="266"/>
    </row>
    <row r="348" spans="1:15" ht="17.25">
      <c r="A348" s="178" t="s">
        <v>80</v>
      </c>
      <c r="B348" s="75" t="s">
        <v>345</v>
      </c>
      <c r="C348" s="39" t="s">
        <v>17</v>
      </c>
      <c r="D348" s="255"/>
      <c r="E348" s="325" t="e">
        <f>#REF!</f>
        <v>#REF!</v>
      </c>
      <c r="F348" s="325" t="e">
        <f>#REF!</f>
        <v>#REF!</v>
      </c>
      <c r="G348" s="325" t="e">
        <f>#REF!</f>
        <v>#REF!</v>
      </c>
      <c r="H348" s="325" t="e">
        <f t="shared" si="19"/>
        <v>#REF!</v>
      </c>
      <c r="I348" s="266"/>
      <c r="J348" s="266" t="e">
        <f t="shared" si="21"/>
        <v>#REF!</v>
      </c>
      <c r="K348" s="306"/>
      <c r="L348" s="280"/>
      <c r="M348" s="309"/>
      <c r="N348" s="266"/>
      <c r="O348" s="266"/>
    </row>
    <row r="349" spans="1:15" ht="17.25">
      <c r="A349" s="178" t="s">
        <v>80</v>
      </c>
      <c r="B349" s="75" t="s">
        <v>346</v>
      </c>
      <c r="C349" s="39" t="s">
        <v>17</v>
      </c>
      <c r="D349" s="255"/>
      <c r="E349" s="325" t="e">
        <f>#REF!</f>
        <v>#REF!</v>
      </c>
      <c r="F349" s="325" t="e">
        <f>#REF!</f>
        <v>#REF!</v>
      </c>
      <c r="G349" s="325" t="e">
        <f>#REF!</f>
        <v>#REF!</v>
      </c>
      <c r="H349" s="325" t="e">
        <f t="shared" si="19"/>
        <v>#REF!</v>
      </c>
      <c r="I349" s="265"/>
      <c r="J349" s="266" t="e">
        <f t="shared" si="21"/>
        <v>#REF!</v>
      </c>
      <c r="K349" s="307"/>
      <c r="L349" s="310"/>
      <c r="M349" s="308"/>
      <c r="N349" s="265"/>
      <c r="O349" s="266"/>
    </row>
    <row r="350" spans="1:15" ht="17.25">
      <c r="A350" s="178" t="s">
        <v>80</v>
      </c>
      <c r="B350" s="75" t="s">
        <v>347</v>
      </c>
      <c r="C350" s="39" t="s">
        <v>17</v>
      </c>
      <c r="D350" s="255"/>
      <c r="E350" s="325" t="e">
        <f>#REF!</f>
        <v>#REF!</v>
      </c>
      <c r="F350" s="325" t="e">
        <f>#REF!</f>
        <v>#REF!</v>
      </c>
      <c r="G350" s="325" t="e">
        <f>#REF!</f>
        <v>#REF!</v>
      </c>
      <c r="H350" s="325" t="e">
        <f t="shared" si="19"/>
        <v>#REF!</v>
      </c>
      <c r="I350" s="266"/>
      <c r="J350" s="266" t="e">
        <f t="shared" si="21"/>
        <v>#REF!</v>
      </c>
      <c r="K350" s="306"/>
      <c r="L350" s="280"/>
      <c r="M350" s="309"/>
      <c r="N350" s="266"/>
      <c r="O350" s="266"/>
    </row>
    <row r="351" spans="1:15" ht="31.5">
      <c r="A351" s="178" t="s">
        <v>80</v>
      </c>
      <c r="B351" s="75" t="s">
        <v>1213</v>
      </c>
      <c r="C351" s="39" t="s">
        <v>17</v>
      </c>
      <c r="D351" s="255">
        <v>4</v>
      </c>
      <c r="E351" s="325" t="e">
        <f>#REF!</f>
        <v>#REF!</v>
      </c>
      <c r="F351" s="325" t="e">
        <f>#REF!</f>
        <v>#REF!</v>
      </c>
      <c r="G351" s="325" t="e">
        <f>#REF!</f>
        <v>#REF!</v>
      </c>
      <c r="H351" s="325" t="e">
        <f t="shared" si="19"/>
        <v>#REF!</v>
      </c>
      <c r="I351" s="265">
        <v>4750</v>
      </c>
      <c r="J351" s="266" t="e">
        <f t="shared" si="21"/>
        <v>#REF!</v>
      </c>
      <c r="K351" s="307"/>
      <c r="L351" s="310">
        <v>42383</v>
      </c>
      <c r="M351" s="308" t="s">
        <v>1663</v>
      </c>
      <c r="N351" s="254" t="s">
        <v>342</v>
      </c>
      <c r="O351" s="266" t="s">
        <v>1642</v>
      </c>
    </row>
    <row r="352" spans="1:15" ht="17.25">
      <c r="A352" s="178" t="s">
        <v>80</v>
      </c>
      <c r="B352" s="75" t="s">
        <v>359</v>
      </c>
      <c r="C352" s="39" t="s">
        <v>17</v>
      </c>
      <c r="D352" s="255"/>
      <c r="E352" s="325" t="e">
        <f>#REF!</f>
        <v>#REF!</v>
      </c>
      <c r="F352" s="325" t="e">
        <f>#REF!</f>
        <v>#REF!</v>
      </c>
      <c r="G352" s="325" t="e">
        <f>#REF!</f>
        <v>#REF!</v>
      </c>
      <c r="H352" s="325" t="e">
        <f t="shared" si="19"/>
        <v>#REF!</v>
      </c>
      <c r="I352" s="266"/>
      <c r="J352" s="266" t="e">
        <f t="shared" si="21"/>
        <v>#REF!</v>
      </c>
      <c r="K352" s="306"/>
      <c r="L352" s="280"/>
      <c r="M352" s="309"/>
      <c r="N352" s="266"/>
      <c r="O352" s="266"/>
    </row>
    <row r="353" spans="1:15" ht="17.25">
      <c r="A353" s="178" t="s">
        <v>80</v>
      </c>
      <c r="B353" s="75" t="s">
        <v>360</v>
      </c>
      <c r="C353" s="39" t="s">
        <v>17</v>
      </c>
      <c r="D353" s="255"/>
      <c r="E353" s="325" t="e">
        <f>#REF!</f>
        <v>#REF!</v>
      </c>
      <c r="F353" s="325" t="e">
        <f>#REF!</f>
        <v>#REF!</v>
      </c>
      <c r="G353" s="325" t="e">
        <f>#REF!</f>
        <v>#REF!</v>
      </c>
      <c r="H353" s="325" t="e">
        <f t="shared" si="19"/>
        <v>#REF!</v>
      </c>
      <c r="I353" s="265"/>
      <c r="J353" s="266" t="e">
        <f t="shared" si="21"/>
        <v>#REF!</v>
      </c>
      <c r="K353" s="307"/>
      <c r="L353" s="310"/>
      <c r="M353" s="308"/>
      <c r="N353" s="265"/>
      <c r="O353" s="266"/>
    </row>
    <row r="354" spans="1:15" ht="17.25">
      <c r="A354" s="178" t="s">
        <v>80</v>
      </c>
      <c r="B354" s="75" t="s">
        <v>353</v>
      </c>
      <c r="C354" s="39" t="s">
        <v>17</v>
      </c>
      <c r="D354" s="255"/>
      <c r="E354" s="325" t="e">
        <f>#REF!</f>
        <v>#REF!</v>
      </c>
      <c r="F354" s="325" t="e">
        <f>#REF!</f>
        <v>#REF!</v>
      </c>
      <c r="G354" s="325" t="e">
        <f>#REF!</f>
        <v>#REF!</v>
      </c>
      <c r="H354" s="325" t="e">
        <f t="shared" si="19"/>
        <v>#REF!</v>
      </c>
      <c r="I354" s="266"/>
      <c r="J354" s="266" t="e">
        <f t="shared" si="21"/>
        <v>#REF!</v>
      </c>
      <c r="K354" s="306"/>
      <c r="L354" s="280"/>
      <c r="M354" s="309"/>
      <c r="N354" s="266"/>
      <c r="O354" s="266"/>
    </row>
    <row r="355" spans="1:15" ht="17.25">
      <c r="A355" s="178" t="s">
        <v>80</v>
      </c>
      <c r="B355" s="75" t="s">
        <v>354</v>
      </c>
      <c r="C355" s="39" t="s">
        <v>17</v>
      </c>
      <c r="D355" s="255"/>
      <c r="E355" s="325" t="e">
        <f>#REF!</f>
        <v>#REF!</v>
      </c>
      <c r="F355" s="325" t="e">
        <f>#REF!</f>
        <v>#REF!</v>
      </c>
      <c r="G355" s="325" t="e">
        <f>#REF!</f>
        <v>#REF!</v>
      </c>
      <c r="H355" s="325" t="e">
        <f t="shared" si="19"/>
        <v>#REF!</v>
      </c>
      <c r="I355" s="265"/>
      <c r="J355" s="266" t="e">
        <f t="shared" si="21"/>
        <v>#REF!</v>
      </c>
      <c r="K355" s="307"/>
      <c r="L355" s="310"/>
      <c r="M355" s="308"/>
      <c r="N355" s="265"/>
      <c r="O355" s="266"/>
    </row>
    <row r="356" spans="1:15" ht="17.25">
      <c r="A356" s="178" t="s">
        <v>80</v>
      </c>
      <c r="B356" s="75" t="s">
        <v>355</v>
      </c>
      <c r="C356" s="39" t="s">
        <v>17</v>
      </c>
      <c r="D356" s="255"/>
      <c r="E356" s="325" t="e">
        <f>#REF!</f>
        <v>#REF!</v>
      </c>
      <c r="F356" s="325" t="e">
        <f>#REF!</f>
        <v>#REF!</v>
      </c>
      <c r="G356" s="325" t="e">
        <f>#REF!</f>
        <v>#REF!</v>
      </c>
      <c r="H356" s="325" t="e">
        <f t="shared" si="19"/>
        <v>#REF!</v>
      </c>
      <c r="I356" s="266"/>
      <c r="J356" s="266" t="e">
        <f t="shared" si="21"/>
        <v>#REF!</v>
      </c>
      <c r="K356" s="306"/>
      <c r="L356" s="321"/>
      <c r="M356" s="322"/>
      <c r="N356" s="303"/>
      <c r="O356" s="320"/>
    </row>
    <row r="357" spans="1:15" ht="31.5">
      <c r="A357" s="178" t="s">
        <v>80</v>
      </c>
      <c r="B357" s="75" t="s">
        <v>1214</v>
      </c>
      <c r="C357" s="39" t="s">
        <v>17</v>
      </c>
      <c r="D357" s="255">
        <v>4</v>
      </c>
      <c r="E357" s="325" t="e">
        <f>#REF!</f>
        <v>#REF!</v>
      </c>
      <c r="F357" s="325" t="e">
        <f>#REF!</f>
        <v>#REF!</v>
      </c>
      <c r="G357" s="325" t="e">
        <f>#REF!</f>
        <v>#REF!</v>
      </c>
      <c r="H357" s="325" t="e">
        <f t="shared" si="19"/>
        <v>#REF!</v>
      </c>
      <c r="I357" s="265">
        <v>4750</v>
      </c>
      <c r="J357" s="266" t="e">
        <f t="shared" si="21"/>
        <v>#REF!</v>
      </c>
      <c r="K357" s="307"/>
      <c r="L357" s="310">
        <v>42383</v>
      </c>
      <c r="M357" s="308" t="s">
        <v>1663</v>
      </c>
      <c r="N357" s="254" t="s">
        <v>342</v>
      </c>
      <c r="O357" s="266" t="s">
        <v>1642</v>
      </c>
    </row>
    <row r="358" spans="1:15" ht="17.25">
      <c r="A358" s="178" t="s">
        <v>80</v>
      </c>
      <c r="B358" s="75" t="s">
        <v>366</v>
      </c>
      <c r="C358" s="39" t="s">
        <v>17</v>
      </c>
      <c r="D358" s="255"/>
      <c r="E358" s="325" t="e">
        <f>#REF!</f>
        <v>#REF!</v>
      </c>
      <c r="F358" s="325" t="e">
        <f>#REF!</f>
        <v>#REF!</v>
      </c>
      <c r="G358" s="325" t="e">
        <f>#REF!</f>
        <v>#REF!</v>
      </c>
      <c r="H358" s="325" t="e">
        <f t="shared" si="19"/>
        <v>#REF!</v>
      </c>
      <c r="I358" s="266"/>
      <c r="J358" s="266" t="e">
        <f t="shared" si="21"/>
        <v>#REF!</v>
      </c>
      <c r="K358" s="306"/>
      <c r="L358" s="280"/>
      <c r="M358" s="309"/>
      <c r="N358" s="266"/>
      <c r="O358" s="266"/>
    </row>
    <row r="359" spans="1:15" ht="17.25">
      <c r="A359" s="178" t="s">
        <v>80</v>
      </c>
      <c r="B359" s="75" t="s">
        <v>367</v>
      </c>
      <c r="C359" s="39" t="s">
        <v>17</v>
      </c>
      <c r="D359" s="255"/>
      <c r="E359" s="325" t="e">
        <f>#REF!</f>
        <v>#REF!</v>
      </c>
      <c r="F359" s="325" t="e">
        <f>#REF!</f>
        <v>#REF!</v>
      </c>
      <c r="G359" s="325" t="e">
        <f>#REF!</f>
        <v>#REF!</v>
      </c>
      <c r="H359" s="325" t="e">
        <f t="shared" si="19"/>
        <v>#REF!</v>
      </c>
      <c r="I359" s="265"/>
      <c r="J359" s="266" t="e">
        <f t="shared" si="21"/>
        <v>#REF!</v>
      </c>
      <c r="K359" s="307"/>
      <c r="L359" s="310"/>
      <c r="M359" s="308"/>
      <c r="N359" s="265"/>
      <c r="O359" s="266"/>
    </row>
    <row r="360" spans="1:15" ht="31.5">
      <c r="A360" s="178" t="s">
        <v>80</v>
      </c>
      <c r="B360" s="75" t="s">
        <v>361</v>
      </c>
      <c r="C360" s="39" t="s">
        <v>17</v>
      </c>
      <c r="D360" s="255">
        <v>4</v>
      </c>
      <c r="E360" s="325" t="e">
        <f>#REF!</f>
        <v>#REF!</v>
      </c>
      <c r="F360" s="325" t="e">
        <f>#REF!</f>
        <v>#REF!</v>
      </c>
      <c r="G360" s="325" t="e">
        <f>#REF!</f>
        <v>#REF!</v>
      </c>
      <c r="H360" s="325" t="e">
        <f t="shared" si="19"/>
        <v>#REF!</v>
      </c>
      <c r="I360" s="266">
        <v>4750</v>
      </c>
      <c r="J360" s="266" t="e">
        <f t="shared" si="21"/>
        <v>#REF!</v>
      </c>
      <c r="K360" s="306"/>
      <c r="L360" s="310">
        <v>42380</v>
      </c>
      <c r="M360" s="308" t="s">
        <v>1663</v>
      </c>
      <c r="N360" s="254" t="s">
        <v>342</v>
      </c>
      <c r="O360" s="266" t="s">
        <v>1642</v>
      </c>
    </row>
    <row r="361" spans="1:15" ht="31.5">
      <c r="A361" s="178" t="s">
        <v>80</v>
      </c>
      <c r="B361" s="75" t="s">
        <v>362</v>
      </c>
      <c r="C361" s="39" t="s">
        <v>17</v>
      </c>
      <c r="D361" s="255">
        <v>12</v>
      </c>
      <c r="E361" s="325" t="e">
        <f>#REF!</f>
        <v>#REF!</v>
      </c>
      <c r="F361" s="325" t="e">
        <f>#REF!</f>
        <v>#REF!</v>
      </c>
      <c r="G361" s="325" t="e">
        <f>#REF!</f>
        <v>#REF!</v>
      </c>
      <c r="H361" s="325" t="e">
        <f t="shared" si="19"/>
        <v>#REF!</v>
      </c>
      <c r="I361" s="265">
        <v>3500</v>
      </c>
      <c r="J361" s="266" t="e">
        <f t="shared" si="21"/>
        <v>#REF!</v>
      </c>
      <c r="K361" s="307"/>
      <c r="L361" s="310">
        <v>42380</v>
      </c>
      <c r="M361" s="308" t="s">
        <v>1663</v>
      </c>
      <c r="N361" s="254" t="s">
        <v>342</v>
      </c>
      <c r="O361" s="266" t="s">
        <v>1642</v>
      </c>
    </row>
    <row r="362" spans="1:15" ht="17.25">
      <c r="A362" s="178" t="s">
        <v>80</v>
      </c>
      <c r="B362" s="75" t="s">
        <v>1439</v>
      </c>
      <c r="C362" s="39" t="s">
        <v>17</v>
      </c>
      <c r="D362" s="255"/>
      <c r="E362" s="325" t="e">
        <f>#REF!</f>
        <v>#REF!</v>
      </c>
      <c r="F362" s="325" t="e">
        <f>#REF!</f>
        <v>#REF!</v>
      </c>
      <c r="G362" s="325" t="e">
        <f>#REF!</f>
        <v>#REF!</v>
      </c>
      <c r="H362" s="325" t="e">
        <f t="shared" si="19"/>
        <v>#REF!</v>
      </c>
      <c r="I362" s="266"/>
      <c r="J362" s="266" t="e">
        <f t="shared" si="21"/>
        <v>#REF!</v>
      </c>
      <c r="K362" s="306"/>
      <c r="L362" s="280"/>
      <c r="M362" s="309"/>
      <c r="N362" s="266"/>
      <c r="O362" s="266"/>
    </row>
    <row r="363" spans="1:15" ht="17.25">
      <c r="A363" s="178" t="s">
        <v>80</v>
      </c>
      <c r="B363" s="75" t="s">
        <v>920</v>
      </c>
      <c r="C363" s="39" t="s">
        <v>17</v>
      </c>
      <c r="D363" s="255"/>
      <c r="E363" s="325" t="e">
        <f>#REF!</f>
        <v>#REF!</v>
      </c>
      <c r="F363" s="325" t="e">
        <f>#REF!</f>
        <v>#REF!</v>
      </c>
      <c r="G363" s="325" t="e">
        <f>#REF!</f>
        <v>#REF!</v>
      </c>
      <c r="H363" s="325" t="e">
        <f t="shared" si="19"/>
        <v>#REF!</v>
      </c>
      <c r="I363" s="265"/>
      <c r="J363" s="266" t="e">
        <f t="shared" si="21"/>
        <v>#REF!</v>
      </c>
      <c r="K363" s="307"/>
      <c r="L363" s="310"/>
      <c r="M363" s="308"/>
      <c r="N363" s="265"/>
      <c r="O363" s="266"/>
    </row>
    <row r="364" spans="1:15" ht="17.25">
      <c r="A364" s="178" t="s">
        <v>80</v>
      </c>
      <c r="B364" s="75" t="s">
        <v>1578</v>
      </c>
      <c r="C364" s="39" t="s">
        <v>17</v>
      </c>
      <c r="D364" s="255"/>
      <c r="E364" s="325" t="e">
        <f>#REF!</f>
        <v>#REF!</v>
      </c>
      <c r="F364" s="325" t="e">
        <f>#REF!</f>
        <v>#REF!</v>
      </c>
      <c r="G364" s="325" t="e">
        <f>#REF!</f>
        <v>#REF!</v>
      </c>
      <c r="H364" s="325" t="e">
        <f t="shared" si="19"/>
        <v>#REF!</v>
      </c>
      <c r="I364" s="266"/>
      <c r="J364" s="266" t="e">
        <f t="shared" si="21"/>
        <v>#REF!</v>
      </c>
      <c r="K364" s="306"/>
      <c r="L364" s="280"/>
      <c r="M364" s="309"/>
      <c r="N364" s="266"/>
      <c r="O364" s="266"/>
    </row>
    <row r="365" spans="1:15" ht="17.25">
      <c r="A365" s="178" t="s">
        <v>80</v>
      </c>
      <c r="B365" s="75" t="s">
        <v>154</v>
      </c>
      <c r="C365" s="39" t="s">
        <v>470</v>
      </c>
      <c r="D365" s="255"/>
      <c r="E365" s="325" t="e">
        <f>#REF!</f>
        <v>#REF!</v>
      </c>
      <c r="F365" s="325" t="e">
        <f>#REF!</f>
        <v>#REF!</v>
      </c>
      <c r="G365" s="325" t="e">
        <f>#REF!</f>
        <v>#REF!</v>
      </c>
      <c r="H365" s="325" t="e">
        <f t="shared" si="19"/>
        <v>#REF!</v>
      </c>
      <c r="I365" s="265"/>
      <c r="J365" s="266" t="e">
        <f t="shared" si="21"/>
        <v>#REF!</v>
      </c>
      <c r="K365" s="307"/>
      <c r="L365" s="310"/>
      <c r="M365" s="308"/>
      <c r="N365" s="265"/>
      <c r="O365" s="266"/>
    </row>
    <row r="366" spans="1:15" ht="17.25">
      <c r="A366" s="178" t="s">
        <v>80</v>
      </c>
      <c r="B366" s="75" t="s">
        <v>177</v>
      </c>
      <c r="C366" s="39" t="s">
        <v>93</v>
      </c>
      <c r="D366" s="255"/>
      <c r="E366" s="325" t="e">
        <f>#REF!</f>
        <v>#REF!</v>
      </c>
      <c r="F366" s="325" t="e">
        <f>#REF!</f>
        <v>#REF!</v>
      </c>
      <c r="G366" s="325" t="e">
        <f>#REF!</f>
        <v>#REF!</v>
      </c>
      <c r="H366" s="325" t="e">
        <f t="shared" si="19"/>
        <v>#REF!</v>
      </c>
      <c r="I366" s="266"/>
      <c r="J366" s="266" t="e">
        <f t="shared" si="21"/>
        <v>#REF!</v>
      </c>
      <c r="K366" s="306"/>
      <c r="L366" s="280"/>
      <c r="M366" s="309"/>
      <c r="N366" s="266"/>
      <c r="O366" s="266"/>
    </row>
    <row r="367" spans="1:15" ht="17.25">
      <c r="A367" s="178" t="s">
        <v>80</v>
      </c>
      <c r="B367" s="75" t="s">
        <v>460</v>
      </c>
      <c r="C367" s="39" t="s">
        <v>93</v>
      </c>
      <c r="D367" s="255"/>
      <c r="E367" s="325" t="e">
        <f>#REF!</f>
        <v>#REF!</v>
      </c>
      <c r="F367" s="325" t="e">
        <f>#REF!</f>
        <v>#REF!</v>
      </c>
      <c r="G367" s="325" t="e">
        <f>#REF!</f>
        <v>#REF!</v>
      </c>
      <c r="H367" s="325" t="e">
        <f t="shared" si="19"/>
        <v>#REF!</v>
      </c>
      <c r="I367" s="265"/>
      <c r="J367" s="266" t="e">
        <f t="shared" si="21"/>
        <v>#REF!</v>
      </c>
      <c r="K367" s="307"/>
      <c r="L367" s="310"/>
      <c r="M367" s="308"/>
      <c r="N367" s="265"/>
      <c r="O367" s="266"/>
    </row>
    <row r="368" spans="1:15" ht="17.25">
      <c r="A368" s="178" t="s">
        <v>80</v>
      </c>
      <c r="B368" s="75" t="s">
        <v>179</v>
      </c>
      <c r="C368" s="39" t="s">
        <v>93</v>
      </c>
      <c r="D368" s="255"/>
      <c r="E368" s="325" t="e">
        <f>#REF!</f>
        <v>#REF!</v>
      </c>
      <c r="F368" s="325" t="e">
        <f>#REF!</f>
        <v>#REF!</v>
      </c>
      <c r="G368" s="325" t="e">
        <f>#REF!</f>
        <v>#REF!</v>
      </c>
      <c r="H368" s="325" t="e">
        <f t="shared" si="19"/>
        <v>#REF!</v>
      </c>
      <c r="I368" s="266"/>
      <c r="J368" s="266" t="e">
        <f t="shared" si="21"/>
        <v>#REF!</v>
      </c>
      <c r="K368" s="306"/>
      <c r="L368" s="280"/>
      <c r="M368" s="309"/>
      <c r="N368" s="266"/>
      <c r="O368" s="266"/>
    </row>
    <row r="369" spans="1:15" ht="17.25">
      <c r="A369" s="178" t="s">
        <v>80</v>
      </c>
      <c r="B369" s="75" t="s">
        <v>1549</v>
      </c>
      <c r="C369" s="39" t="s">
        <v>17</v>
      </c>
      <c r="D369" s="255"/>
      <c r="E369" s="325" t="e">
        <f>#REF!</f>
        <v>#REF!</v>
      </c>
      <c r="F369" s="325" t="e">
        <f>#REF!</f>
        <v>#REF!</v>
      </c>
      <c r="G369" s="325" t="e">
        <f>#REF!</f>
        <v>#REF!</v>
      </c>
      <c r="H369" s="325" t="e">
        <f t="shared" si="19"/>
        <v>#REF!</v>
      </c>
      <c r="I369" s="265"/>
      <c r="J369" s="266" t="e">
        <f t="shared" si="21"/>
        <v>#REF!</v>
      </c>
      <c r="K369" s="307"/>
      <c r="L369" s="310"/>
      <c r="M369" s="308"/>
      <c r="N369" s="265"/>
      <c r="O369" s="266"/>
    </row>
    <row r="370" spans="1:15" ht="17.25">
      <c r="A370" s="178" t="s">
        <v>80</v>
      </c>
      <c r="B370" s="75" t="s">
        <v>181</v>
      </c>
      <c r="C370" s="39" t="s">
        <v>69</v>
      </c>
      <c r="D370" s="255"/>
      <c r="E370" s="325" t="e">
        <f>#REF!</f>
        <v>#REF!</v>
      </c>
      <c r="F370" s="325" t="e">
        <f>#REF!</f>
        <v>#REF!</v>
      </c>
      <c r="G370" s="325" t="e">
        <f>#REF!</f>
        <v>#REF!</v>
      </c>
      <c r="H370" s="325" t="e">
        <f t="shared" si="19"/>
        <v>#REF!</v>
      </c>
      <c r="I370" s="266"/>
      <c r="J370" s="266" t="e">
        <f t="shared" si="21"/>
        <v>#REF!</v>
      </c>
      <c r="K370" s="306"/>
      <c r="L370" s="280"/>
      <c r="M370" s="309"/>
      <c r="N370" s="266"/>
      <c r="O370" s="266"/>
    </row>
    <row r="371" spans="1:15" ht="25.5">
      <c r="A371" s="178" t="s">
        <v>80</v>
      </c>
      <c r="B371" s="75" t="s">
        <v>468</v>
      </c>
      <c r="C371" s="39" t="s">
        <v>17</v>
      </c>
      <c r="D371" s="255"/>
      <c r="E371" s="325" t="e">
        <f>#REF!</f>
        <v>#REF!</v>
      </c>
      <c r="F371" s="325" t="e">
        <f>#REF!</f>
        <v>#REF!</v>
      </c>
      <c r="G371" s="325" t="e">
        <f>#REF!</f>
        <v>#REF!</v>
      </c>
      <c r="H371" s="325" t="e">
        <f t="shared" si="19"/>
        <v>#REF!</v>
      </c>
      <c r="I371" s="265"/>
      <c r="J371" s="266" t="e">
        <f t="shared" si="21"/>
        <v>#REF!</v>
      </c>
      <c r="K371" s="307"/>
      <c r="L371" s="310"/>
      <c r="M371" s="308"/>
      <c r="N371" s="265"/>
      <c r="O371" s="266"/>
    </row>
    <row r="372" spans="1:15" ht="17.25">
      <c r="A372" s="178" t="s">
        <v>80</v>
      </c>
      <c r="B372" s="75" t="s">
        <v>1564</v>
      </c>
      <c r="C372" s="39" t="s">
        <v>17</v>
      </c>
      <c r="D372" s="255"/>
      <c r="E372" s="325" t="e">
        <f>#REF!</f>
        <v>#REF!</v>
      </c>
      <c r="F372" s="325" t="e">
        <f>#REF!</f>
        <v>#REF!</v>
      </c>
      <c r="G372" s="325" t="e">
        <f>#REF!</f>
        <v>#REF!</v>
      </c>
      <c r="H372" s="325" t="e">
        <f t="shared" si="19"/>
        <v>#REF!</v>
      </c>
      <c r="I372" s="266"/>
      <c r="J372" s="266" t="e">
        <f t="shared" si="21"/>
        <v>#REF!</v>
      </c>
      <c r="K372" s="306"/>
      <c r="L372" s="280"/>
      <c r="M372" s="309"/>
      <c r="N372" s="266"/>
      <c r="O372" s="266"/>
    </row>
    <row r="373" spans="1:15" ht="17.25">
      <c r="A373" s="178" t="s">
        <v>80</v>
      </c>
      <c r="B373" s="75" t="s">
        <v>1565</v>
      </c>
      <c r="C373" s="39" t="s">
        <v>17</v>
      </c>
      <c r="D373" s="255"/>
      <c r="E373" s="325" t="e">
        <f>#REF!</f>
        <v>#REF!</v>
      </c>
      <c r="F373" s="325" t="e">
        <f>#REF!</f>
        <v>#REF!</v>
      </c>
      <c r="G373" s="325" t="e">
        <f>#REF!</f>
        <v>#REF!</v>
      </c>
      <c r="H373" s="325" t="e">
        <f t="shared" si="19"/>
        <v>#REF!</v>
      </c>
      <c r="I373" s="265"/>
      <c r="J373" s="266" t="e">
        <f t="shared" si="21"/>
        <v>#REF!</v>
      </c>
      <c r="K373" s="307"/>
      <c r="L373" s="310"/>
      <c r="M373" s="308"/>
      <c r="N373" s="265"/>
      <c r="O373" s="266"/>
    </row>
    <row r="374" spans="1:15" ht="17.25">
      <c r="A374" s="178" t="s">
        <v>80</v>
      </c>
      <c r="B374" s="75" t="s">
        <v>1548</v>
      </c>
      <c r="C374" s="39" t="s">
        <v>17</v>
      </c>
      <c r="D374" s="255"/>
      <c r="E374" s="325" t="e">
        <f>#REF!</f>
        <v>#REF!</v>
      </c>
      <c r="F374" s="325" t="e">
        <f>#REF!</f>
        <v>#REF!</v>
      </c>
      <c r="G374" s="325" t="e">
        <f>#REF!</f>
        <v>#REF!</v>
      </c>
      <c r="H374" s="325" t="e">
        <f t="shared" si="19"/>
        <v>#REF!</v>
      </c>
      <c r="I374" s="266"/>
      <c r="J374" s="266" t="e">
        <f t="shared" si="21"/>
        <v>#REF!</v>
      </c>
      <c r="K374" s="306"/>
      <c r="L374" s="280"/>
      <c r="M374" s="309"/>
      <c r="N374" s="266"/>
      <c r="O374" s="266"/>
    </row>
    <row r="375" spans="1:15" ht="17.25">
      <c r="A375" s="178" t="s">
        <v>80</v>
      </c>
      <c r="B375" s="75" t="s">
        <v>1619</v>
      </c>
      <c r="C375" s="39" t="s">
        <v>17</v>
      </c>
      <c r="D375" s="255"/>
      <c r="E375" s="325" t="e">
        <f>#REF!</f>
        <v>#REF!</v>
      </c>
      <c r="F375" s="325" t="e">
        <f>#REF!</f>
        <v>#REF!</v>
      </c>
      <c r="G375" s="325" t="e">
        <f>#REF!</f>
        <v>#REF!</v>
      </c>
      <c r="H375" s="325" t="e">
        <f t="shared" si="19"/>
        <v>#REF!</v>
      </c>
      <c r="I375" s="265"/>
      <c r="J375" s="266" t="e">
        <f t="shared" si="21"/>
        <v>#REF!</v>
      </c>
      <c r="K375" s="307"/>
      <c r="L375" s="310"/>
      <c r="M375" s="308"/>
      <c r="N375" s="265"/>
      <c r="O375" s="266"/>
    </row>
    <row r="376" spans="1:15" ht="31.5">
      <c r="A376" s="178" t="s">
        <v>80</v>
      </c>
      <c r="B376" s="75" t="s">
        <v>1566</v>
      </c>
      <c r="C376" s="39" t="s">
        <v>17</v>
      </c>
      <c r="D376" s="255">
        <v>1</v>
      </c>
      <c r="E376" s="325" t="e">
        <f>#REF!</f>
        <v>#REF!</v>
      </c>
      <c r="F376" s="325" t="e">
        <f>#REF!</f>
        <v>#REF!</v>
      </c>
      <c r="G376" s="325" t="e">
        <f>#REF!</f>
        <v>#REF!</v>
      </c>
      <c r="H376" s="325" t="e">
        <f t="shared" si="19"/>
        <v>#REF!</v>
      </c>
      <c r="I376" s="266">
        <v>600</v>
      </c>
      <c r="J376" s="266" t="e">
        <f t="shared" si="21"/>
        <v>#REF!</v>
      </c>
      <c r="K376" s="306"/>
      <c r="L376" s="280">
        <v>42383</v>
      </c>
      <c r="M376" s="308" t="s">
        <v>1663</v>
      </c>
      <c r="N376" s="254" t="s">
        <v>342</v>
      </c>
      <c r="O376" s="266" t="s">
        <v>1642</v>
      </c>
    </row>
    <row r="377" spans="1:15" ht="17.25">
      <c r="A377" s="178" t="s">
        <v>80</v>
      </c>
      <c r="B377" s="75" t="s">
        <v>184</v>
      </c>
      <c r="C377" s="39" t="s">
        <v>17</v>
      </c>
      <c r="D377" s="255"/>
      <c r="E377" s="325" t="e">
        <f>#REF!</f>
        <v>#REF!</v>
      </c>
      <c r="F377" s="325" t="e">
        <f>#REF!</f>
        <v>#REF!</v>
      </c>
      <c r="G377" s="325" t="e">
        <f>#REF!</f>
        <v>#REF!</v>
      </c>
      <c r="H377" s="325" t="e">
        <f t="shared" si="19"/>
        <v>#REF!</v>
      </c>
      <c r="I377" s="265"/>
      <c r="J377" s="266" t="e">
        <f t="shared" si="21"/>
        <v>#REF!</v>
      </c>
      <c r="K377" s="307"/>
      <c r="L377" s="310"/>
      <c r="M377" s="308"/>
      <c r="N377" s="265"/>
      <c r="O377" s="266"/>
    </row>
    <row r="378" spans="1:15" ht="31.5">
      <c r="A378" s="178" t="s">
        <v>80</v>
      </c>
      <c r="B378" s="75" t="s">
        <v>1426</v>
      </c>
      <c r="C378" s="39" t="s">
        <v>17</v>
      </c>
      <c r="D378" s="255">
        <v>15</v>
      </c>
      <c r="E378" s="325" t="e">
        <f>#REF!</f>
        <v>#REF!</v>
      </c>
      <c r="F378" s="325" t="e">
        <f>#REF!</f>
        <v>#REF!</v>
      </c>
      <c r="G378" s="325" t="e">
        <f>#REF!</f>
        <v>#REF!</v>
      </c>
      <c r="H378" s="325" t="e">
        <f t="shared" si="19"/>
        <v>#REF!</v>
      </c>
      <c r="I378" s="266">
        <v>423.61</v>
      </c>
      <c r="J378" s="266" t="e">
        <f t="shared" si="21"/>
        <v>#REF!</v>
      </c>
      <c r="K378" s="306"/>
      <c r="L378" s="280">
        <v>42396</v>
      </c>
      <c r="M378" s="308" t="s">
        <v>1663</v>
      </c>
      <c r="N378" s="254" t="s">
        <v>342</v>
      </c>
      <c r="O378" s="266" t="s">
        <v>1642</v>
      </c>
    </row>
    <row r="379" spans="1:15" ht="31.5">
      <c r="A379" s="178" t="s">
        <v>80</v>
      </c>
      <c r="B379" s="75" t="s">
        <v>1432</v>
      </c>
      <c r="C379" s="39" t="s">
        <v>17</v>
      </c>
      <c r="D379" s="255">
        <v>3</v>
      </c>
      <c r="E379" s="325" t="e">
        <f>#REF!</f>
        <v>#REF!</v>
      </c>
      <c r="F379" s="325" t="e">
        <f>#REF!</f>
        <v>#REF!</v>
      </c>
      <c r="G379" s="325" t="e">
        <f>#REF!</f>
        <v>#REF!</v>
      </c>
      <c r="H379" s="325" t="e">
        <f t="shared" si="19"/>
        <v>#REF!</v>
      </c>
      <c r="I379" s="265">
        <v>705.29</v>
      </c>
      <c r="J379" s="266" t="e">
        <f t="shared" si="21"/>
        <v>#REF!</v>
      </c>
      <c r="K379" s="307"/>
      <c r="L379" s="310">
        <v>42396</v>
      </c>
      <c r="M379" s="308" t="s">
        <v>1663</v>
      </c>
      <c r="N379" s="254" t="s">
        <v>342</v>
      </c>
      <c r="O379" s="266" t="s">
        <v>1642</v>
      </c>
    </row>
    <row r="380" spans="1:15" ht="31.5">
      <c r="A380" s="178" t="s">
        <v>80</v>
      </c>
      <c r="B380" s="75" t="s">
        <v>1726</v>
      </c>
      <c r="C380" s="39" t="s">
        <v>17</v>
      </c>
      <c r="D380" s="255">
        <v>1</v>
      </c>
      <c r="E380" s="325" t="e">
        <f>#REF!</f>
        <v>#REF!</v>
      </c>
      <c r="F380" s="325" t="e">
        <f>#REF!</f>
        <v>#REF!</v>
      </c>
      <c r="G380" s="325" t="e">
        <f>#REF!</f>
        <v>#REF!</v>
      </c>
      <c r="H380" s="325" t="e">
        <f t="shared" si="19"/>
        <v>#REF!</v>
      </c>
      <c r="I380" s="265">
        <v>333</v>
      </c>
      <c r="J380" s="266" t="e">
        <f t="shared" si="21"/>
        <v>#REF!</v>
      </c>
      <c r="K380" s="307"/>
      <c r="L380" s="310">
        <v>42383</v>
      </c>
      <c r="M380" s="308" t="s">
        <v>1663</v>
      </c>
      <c r="N380" s="266"/>
      <c r="O380" s="266" t="s">
        <v>1642</v>
      </c>
    </row>
    <row r="381" spans="1:15" ht="17.25">
      <c r="A381" s="178" t="s">
        <v>80</v>
      </c>
      <c r="B381" s="75" t="s">
        <v>1608</v>
      </c>
      <c r="C381" s="39" t="s">
        <v>17</v>
      </c>
      <c r="D381" s="255"/>
      <c r="E381" s="325" t="e">
        <f>#REF!</f>
        <v>#REF!</v>
      </c>
      <c r="F381" s="325" t="e">
        <f>#REF!</f>
        <v>#REF!</v>
      </c>
      <c r="G381" s="325" t="e">
        <f>#REF!</f>
        <v>#REF!</v>
      </c>
      <c r="H381" s="325" t="e">
        <f t="shared" si="19"/>
        <v>#REF!</v>
      </c>
      <c r="I381" s="266"/>
      <c r="J381" s="266" t="e">
        <f t="shared" si="21"/>
        <v>#REF!</v>
      </c>
      <c r="K381" s="306"/>
      <c r="L381" s="280"/>
      <c r="M381" s="309"/>
      <c r="N381" s="266"/>
      <c r="O381" s="266"/>
    </row>
    <row r="382" spans="1:15" ht="17.25">
      <c r="A382" s="178" t="s">
        <v>80</v>
      </c>
      <c r="B382" s="75" t="s">
        <v>1607</v>
      </c>
      <c r="C382" s="39" t="s">
        <v>17</v>
      </c>
      <c r="D382" s="255"/>
      <c r="E382" s="325" t="e">
        <f>#REF!</f>
        <v>#REF!</v>
      </c>
      <c r="F382" s="325" t="e">
        <f>#REF!</f>
        <v>#REF!</v>
      </c>
      <c r="G382" s="325" t="e">
        <f>#REF!</f>
        <v>#REF!</v>
      </c>
      <c r="H382" s="325" t="e">
        <f t="shared" si="19"/>
        <v>#REF!</v>
      </c>
      <c r="I382" s="265"/>
      <c r="J382" s="266" t="e">
        <f t="shared" si="21"/>
        <v>#REF!</v>
      </c>
      <c r="K382" s="307"/>
      <c r="L382" s="310"/>
      <c r="M382" s="308"/>
      <c r="N382" s="265"/>
      <c r="O382" s="266"/>
    </row>
    <row r="383" spans="1:15" ht="17.25">
      <c r="A383" s="178" t="s">
        <v>80</v>
      </c>
      <c r="B383" s="75" t="s">
        <v>369</v>
      </c>
      <c r="C383" s="39" t="s">
        <v>17</v>
      </c>
      <c r="D383" s="255"/>
      <c r="E383" s="325" t="e">
        <f>#REF!</f>
        <v>#REF!</v>
      </c>
      <c r="F383" s="325" t="e">
        <f>#REF!</f>
        <v>#REF!</v>
      </c>
      <c r="G383" s="325" t="e">
        <f>#REF!</f>
        <v>#REF!</v>
      </c>
      <c r="H383" s="325" t="e">
        <f t="shared" si="19"/>
        <v>#REF!</v>
      </c>
      <c r="I383" s="266"/>
      <c r="J383" s="266" t="e">
        <f t="shared" si="21"/>
        <v>#REF!</v>
      </c>
      <c r="K383" s="306"/>
      <c r="L383" s="280"/>
      <c r="M383" s="309"/>
      <c r="N383" s="266"/>
      <c r="O383" s="266"/>
    </row>
    <row r="384" spans="1:15" ht="17.25">
      <c r="A384" s="178" t="s">
        <v>80</v>
      </c>
      <c r="B384" s="75" t="s">
        <v>449</v>
      </c>
      <c r="C384" s="39" t="s">
        <v>17</v>
      </c>
      <c r="D384" s="255"/>
      <c r="E384" s="325" t="e">
        <f>#REF!</f>
        <v>#REF!</v>
      </c>
      <c r="F384" s="325" t="e">
        <f>#REF!</f>
        <v>#REF!</v>
      </c>
      <c r="G384" s="325" t="e">
        <f>#REF!</f>
        <v>#REF!</v>
      </c>
      <c r="H384" s="325" t="e">
        <f t="shared" si="19"/>
        <v>#REF!</v>
      </c>
      <c r="I384" s="265"/>
      <c r="J384" s="266" t="e">
        <f t="shared" si="21"/>
        <v>#REF!</v>
      </c>
      <c r="K384" s="307"/>
      <c r="L384" s="310"/>
      <c r="M384" s="308"/>
      <c r="N384" s="265"/>
      <c r="O384" s="266"/>
    </row>
    <row r="385" spans="1:15" ht="17.25">
      <c r="A385" s="178" t="s">
        <v>80</v>
      </c>
      <c r="B385" s="75" t="s">
        <v>450</v>
      </c>
      <c r="C385" s="39" t="s">
        <v>17</v>
      </c>
      <c r="D385" s="255"/>
      <c r="E385" s="325" t="e">
        <f>#REF!</f>
        <v>#REF!</v>
      </c>
      <c r="F385" s="325" t="e">
        <f>#REF!</f>
        <v>#REF!</v>
      </c>
      <c r="G385" s="325" t="e">
        <f>#REF!</f>
        <v>#REF!</v>
      </c>
      <c r="H385" s="325" t="e">
        <f t="shared" si="19"/>
        <v>#REF!</v>
      </c>
      <c r="I385" s="266"/>
      <c r="J385" s="266" t="e">
        <f t="shared" si="21"/>
        <v>#REF!</v>
      </c>
      <c r="K385" s="306"/>
      <c r="L385" s="280"/>
      <c r="M385" s="309"/>
      <c r="N385" s="266"/>
      <c r="O385" s="266"/>
    </row>
    <row r="386" spans="1:15" ht="17.25">
      <c r="A386" s="178" t="s">
        <v>80</v>
      </c>
      <c r="B386" s="75" t="s">
        <v>451</v>
      </c>
      <c r="C386" s="39" t="s">
        <v>17</v>
      </c>
      <c r="D386" s="255"/>
      <c r="E386" s="325" t="e">
        <f>#REF!</f>
        <v>#REF!</v>
      </c>
      <c r="F386" s="325" t="e">
        <f>#REF!</f>
        <v>#REF!</v>
      </c>
      <c r="G386" s="325" t="e">
        <f>#REF!</f>
        <v>#REF!</v>
      </c>
      <c r="H386" s="325" t="e">
        <f t="shared" si="19"/>
        <v>#REF!</v>
      </c>
      <c r="I386" s="265"/>
      <c r="J386" s="266" t="e">
        <f t="shared" si="21"/>
        <v>#REF!</v>
      </c>
      <c r="K386" s="307"/>
      <c r="L386" s="310"/>
      <c r="M386" s="308"/>
      <c r="N386" s="265"/>
      <c r="O386" s="266"/>
    </row>
    <row r="387" spans="1:15" ht="17.25">
      <c r="A387" s="178" t="s">
        <v>80</v>
      </c>
      <c r="B387" s="75" t="s">
        <v>453</v>
      </c>
      <c r="C387" s="39" t="s">
        <v>17</v>
      </c>
      <c r="D387" s="255"/>
      <c r="E387" s="325" t="e">
        <f>#REF!</f>
        <v>#REF!</v>
      </c>
      <c r="F387" s="325" t="e">
        <f>#REF!</f>
        <v>#REF!</v>
      </c>
      <c r="G387" s="325" t="e">
        <f>#REF!</f>
        <v>#REF!</v>
      </c>
      <c r="H387" s="325" t="e">
        <f t="shared" si="19"/>
        <v>#REF!</v>
      </c>
      <c r="I387" s="266"/>
      <c r="J387" s="266" t="e">
        <f t="shared" si="21"/>
        <v>#REF!</v>
      </c>
      <c r="K387" s="306"/>
      <c r="L387" s="280"/>
      <c r="M387" s="309"/>
      <c r="N387" s="266"/>
      <c r="O387" s="266"/>
    </row>
    <row r="388" spans="1:15" ht="17.25">
      <c r="A388" s="178" t="s">
        <v>80</v>
      </c>
      <c r="B388" s="75" t="s">
        <v>452</v>
      </c>
      <c r="C388" s="39" t="s">
        <v>17</v>
      </c>
      <c r="D388" s="255"/>
      <c r="E388" s="325" t="e">
        <f>#REF!</f>
        <v>#REF!</v>
      </c>
      <c r="F388" s="325" t="e">
        <f>#REF!</f>
        <v>#REF!</v>
      </c>
      <c r="G388" s="325" t="e">
        <f>#REF!</f>
        <v>#REF!</v>
      </c>
      <c r="H388" s="325" t="e">
        <f t="shared" si="19"/>
        <v>#REF!</v>
      </c>
      <c r="I388" s="265"/>
      <c r="J388" s="266" t="e">
        <f t="shared" si="21"/>
        <v>#REF!</v>
      </c>
      <c r="K388" s="307"/>
      <c r="L388" s="310"/>
      <c r="M388" s="308"/>
      <c r="N388" s="265"/>
      <c r="O388" s="266"/>
    </row>
    <row r="389" spans="1:15" ht="17.25">
      <c r="A389" s="178" t="s">
        <v>80</v>
      </c>
      <c r="B389" s="75" t="s">
        <v>603</v>
      </c>
      <c r="C389" s="39" t="s">
        <v>17</v>
      </c>
      <c r="D389" s="255"/>
      <c r="E389" s="325" t="e">
        <f>#REF!</f>
        <v>#REF!</v>
      </c>
      <c r="F389" s="325" t="e">
        <f>#REF!</f>
        <v>#REF!</v>
      </c>
      <c r="G389" s="325" t="e">
        <f>#REF!</f>
        <v>#REF!</v>
      </c>
      <c r="H389" s="325" t="e">
        <f t="shared" si="19"/>
        <v>#REF!</v>
      </c>
      <c r="I389" s="266"/>
      <c r="J389" s="266" t="e">
        <f t="shared" si="21"/>
        <v>#REF!</v>
      </c>
      <c r="K389" s="306"/>
      <c r="L389" s="280"/>
      <c r="M389" s="309"/>
      <c r="N389" s="266"/>
      <c r="O389" s="266"/>
    </row>
    <row r="390" spans="1:15" ht="17.25">
      <c r="A390" s="178" t="s">
        <v>80</v>
      </c>
      <c r="B390" s="75" t="s">
        <v>604</v>
      </c>
      <c r="C390" s="39" t="s">
        <v>17</v>
      </c>
      <c r="D390" s="255"/>
      <c r="E390" s="325" t="e">
        <f>#REF!</f>
        <v>#REF!</v>
      </c>
      <c r="F390" s="325" t="e">
        <f>#REF!</f>
        <v>#REF!</v>
      </c>
      <c r="G390" s="325" t="e">
        <f>#REF!</f>
        <v>#REF!</v>
      </c>
      <c r="H390" s="325" t="e">
        <f t="shared" si="19"/>
        <v>#REF!</v>
      </c>
      <c r="I390" s="265"/>
      <c r="J390" s="266" t="e">
        <f t="shared" si="21"/>
        <v>#REF!</v>
      </c>
      <c r="K390" s="307"/>
      <c r="L390" s="310"/>
      <c r="M390" s="308"/>
      <c r="N390" s="265"/>
      <c r="O390" s="266"/>
    </row>
    <row r="391" spans="1:15" ht="17.25">
      <c r="A391" s="178" t="s">
        <v>80</v>
      </c>
      <c r="B391" s="75" t="s">
        <v>605</v>
      </c>
      <c r="C391" s="39" t="s">
        <v>17</v>
      </c>
      <c r="D391" s="255"/>
      <c r="E391" s="325" t="e">
        <f>#REF!</f>
        <v>#REF!</v>
      </c>
      <c r="F391" s="325" t="e">
        <f>#REF!</f>
        <v>#REF!</v>
      </c>
      <c r="G391" s="325" t="e">
        <f>#REF!</f>
        <v>#REF!</v>
      </c>
      <c r="H391" s="325" t="e">
        <f t="shared" si="19"/>
        <v>#REF!</v>
      </c>
      <c r="I391" s="266"/>
      <c r="J391" s="266" t="e">
        <f t="shared" si="21"/>
        <v>#REF!</v>
      </c>
      <c r="K391" s="306"/>
      <c r="L391" s="280"/>
      <c r="M391" s="309"/>
      <c r="N391" s="266"/>
      <c r="O391" s="266"/>
    </row>
    <row r="392" spans="1:15" ht="17.25">
      <c r="A392" s="178" t="s">
        <v>80</v>
      </c>
      <c r="B392" s="75" t="s">
        <v>606</v>
      </c>
      <c r="C392" s="39" t="s">
        <v>17</v>
      </c>
      <c r="D392" s="255"/>
      <c r="E392" s="325" t="e">
        <f>#REF!</f>
        <v>#REF!</v>
      </c>
      <c r="F392" s="325" t="e">
        <f>#REF!</f>
        <v>#REF!</v>
      </c>
      <c r="G392" s="325" t="e">
        <f>#REF!</f>
        <v>#REF!</v>
      </c>
      <c r="H392" s="325" t="e">
        <f t="shared" si="19"/>
        <v>#REF!</v>
      </c>
      <c r="I392" s="265"/>
      <c r="J392" s="266" t="e">
        <f t="shared" si="21"/>
        <v>#REF!</v>
      </c>
      <c r="K392" s="307"/>
      <c r="L392" s="310"/>
      <c r="M392" s="308"/>
      <c r="N392" s="265"/>
      <c r="O392" s="266"/>
    </row>
    <row r="393" spans="1:15" ht="17.25">
      <c r="A393" s="178" t="s">
        <v>80</v>
      </c>
      <c r="B393" s="75" t="s">
        <v>188</v>
      </c>
      <c r="C393" s="39" t="s">
        <v>189</v>
      </c>
      <c r="D393" s="255"/>
      <c r="E393" s="325" t="e">
        <f>#REF!</f>
        <v>#REF!</v>
      </c>
      <c r="F393" s="325" t="e">
        <f>#REF!</f>
        <v>#REF!</v>
      </c>
      <c r="G393" s="325" t="e">
        <f>#REF!</f>
        <v>#REF!</v>
      </c>
      <c r="H393" s="325" t="e">
        <f t="shared" si="19"/>
        <v>#REF!</v>
      </c>
      <c r="I393" s="266"/>
      <c r="J393" s="266" t="e">
        <f t="shared" si="21"/>
        <v>#REF!</v>
      </c>
      <c r="K393" s="306"/>
      <c r="L393" s="280"/>
      <c r="M393" s="309"/>
      <c r="N393" s="266"/>
      <c r="O393" s="266"/>
    </row>
    <row r="394" spans="1:15" ht="17.25">
      <c r="A394" s="178" t="s">
        <v>80</v>
      </c>
      <c r="B394" s="75" t="s">
        <v>1760</v>
      </c>
      <c r="C394" s="39" t="s">
        <v>17</v>
      </c>
      <c r="D394" s="255">
        <v>200</v>
      </c>
      <c r="E394" s="325">
        <v>0</v>
      </c>
      <c r="F394" s="325">
        <v>0</v>
      </c>
      <c r="G394" s="325">
        <v>0</v>
      </c>
      <c r="H394" s="325">
        <f>G394++F394+E394+D394</f>
        <v>200</v>
      </c>
      <c r="I394" s="266">
        <v>815</v>
      </c>
      <c r="J394" s="266">
        <f t="shared" si="21"/>
        <v>163000</v>
      </c>
      <c r="K394" s="306"/>
      <c r="L394" s="280">
        <v>42432</v>
      </c>
      <c r="M394" s="309" t="s">
        <v>15</v>
      </c>
      <c r="N394" s="254" t="s">
        <v>342</v>
      </c>
      <c r="O394" s="266" t="s">
        <v>1642</v>
      </c>
    </row>
    <row r="395" spans="1:15" ht="31.5">
      <c r="A395" s="178" t="s">
        <v>80</v>
      </c>
      <c r="B395" s="75" t="s">
        <v>1761</v>
      </c>
      <c r="C395" s="39" t="s">
        <v>17</v>
      </c>
      <c r="D395" s="255">
        <v>30</v>
      </c>
      <c r="E395" s="325">
        <v>0</v>
      </c>
      <c r="F395" s="325">
        <v>0</v>
      </c>
      <c r="G395" s="325">
        <v>0</v>
      </c>
      <c r="H395" s="325">
        <f>G395+F395+E395+D395</f>
        <v>30</v>
      </c>
      <c r="I395" s="266">
        <v>815</v>
      </c>
      <c r="J395" s="266">
        <f>I395*H395</f>
        <v>24450</v>
      </c>
      <c r="K395" s="306"/>
      <c r="L395" s="280">
        <v>42432</v>
      </c>
      <c r="M395" s="308" t="s">
        <v>1663</v>
      </c>
      <c r="N395" s="254" t="s">
        <v>342</v>
      </c>
      <c r="O395" s="266" t="s">
        <v>1642</v>
      </c>
    </row>
    <row r="396" spans="1:15" ht="31.5">
      <c r="A396" s="178" t="s">
        <v>80</v>
      </c>
      <c r="B396" s="75" t="s">
        <v>191</v>
      </c>
      <c r="C396" s="39" t="s">
        <v>17</v>
      </c>
      <c r="D396" s="255">
        <v>23</v>
      </c>
      <c r="E396" s="325" t="e">
        <f>#REF!</f>
        <v>#REF!</v>
      </c>
      <c r="F396" s="325" t="e">
        <f>#REF!</f>
        <v>#REF!</v>
      </c>
      <c r="G396" s="325" t="e">
        <f>#REF!</f>
        <v>#REF!</v>
      </c>
      <c r="H396" s="325" t="e">
        <f t="shared" si="19"/>
        <v>#REF!</v>
      </c>
      <c r="I396" s="265">
        <v>730</v>
      </c>
      <c r="J396" s="266" t="e">
        <f t="shared" si="21"/>
        <v>#REF!</v>
      </c>
      <c r="K396" s="307"/>
      <c r="L396" s="310">
        <v>42397</v>
      </c>
      <c r="M396" s="308" t="s">
        <v>1663</v>
      </c>
      <c r="N396" s="254" t="s">
        <v>342</v>
      </c>
      <c r="O396" s="266" t="s">
        <v>1642</v>
      </c>
    </row>
    <row r="397" spans="1:15" ht="31.5">
      <c r="A397" s="178" t="s">
        <v>80</v>
      </c>
      <c r="B397" s="75" t="s">
        <v>193</v>
      </c>
      <c r="C397" s="39" t="s">
        <v>17</v>
      </c>
      <c r="D397" s="255">
        <v>14</v>
      </c>
      <c r="E397" s="325" t="e">
        <f>#REF!</f>
        <v>#REF!</v>
      </c>
      <c r="F397" s="325" t="e">
        <f>#REF!</f>
        <v>#REF!</v>
      </c>
      <c r="G397" s="325" t="e">
        <f>#REF!</f>
        <v>#REF!</v>
      </c>
      <c r="H397" s="325" t="e">
        <f t="shared" si="19"/>
        <v>#REF!</v>
      </c>
      <c r="I397" s="266">
        <v>267</v>
      </c>
      <c r="J397" s="266" t="e">
        <f t="shared" si="21"/>
        <v>#REF!</v>
      </c>
      <c r="K397" s="306"/>
      <c r="L397" s="310">
        <v>42396</v>
      </c>
      <c r="M397" s="308" t="s">
        <v>1663</v>
      </c>
      <c r="N397" s="254" t="s">
        <v>342</v>
      </c>
      <c r="O397" s="266" t="s">
        <v>1642</v>
      </c>
    </row>
    <row r="398" spans="1:15" ht="31.5">
      <c r="A398" s="178" t="s">
        <v>80</v>
      </c>
      <c r="B398" s="75" t="s">
        <v>1429</v>
      </c>
      <c r="C398" s="39" t="s">
        <v>17</v>
      </c>
      <c r="D398" s="255">
        <v>1000</v>
      </c>
      <c r="E398" s="325" t="e">
        <f>#REF!</f>
        <v>#REF!</v>
      </c>
      <c r="F398" s="325" t="e">
        <f>#REF!</f>
        <v>#REF!</v>
      </c>
      <c r="G398" s="325" t="e">
        <f>#REF!</f>
        <v>#REF!</v>
      </c>
      <c r="H398" s="325" t="e">
        <f t="shared" si="19"/>
        <v>#REF!</v>
      </c>
      <c r="I398" s="265">
        <v>1.23</v>
      </c>
      <c r="J398" s="266" t="e">
        <f t="shared" si="21"/>
        <v>#REF!</v>
      </c>
      <c r="K398" s="307"/>
      <c r="L398" s="310">
        <v>42396</v>
      </c>
      <c r="M398" s="308" t="s">
        <v>1663</v>
      </c>
      <c r="N398" s="254" t="s">
        <v>342</v>
      </c>
      <c r="O398" s="266" t="s">
        <v>1642</v>
      </c>
    </row>
    <row r="399" spans="1:15" ht="17.25">
      <c r="A399" s="178" t="s">
        <v>80</v>
      </c>
      <c r="B399" s="75" t="s">
        <v>654</v>
      </c>
      <c r="C399" s="39" t="s">
        <v>17</v>
      </c>
      <c r="D399" s="255"/>
      <c r="E399" s="325" t="e">
        <f>#REF!</f>
        <v>#REF!</v>
      </c>
      <c r="F399" s="325" t="e">
        <f>#REF!</f>
        <v>#REF!</v>
      </c>
      <c r="G399" s="325" t="e">
        <f>#REF!</f>
        <v>#REF!</v>
      </c>
      <c r="H399" s="325" t="e">
        <f t="shared" si="19"/>
        <v>#REF!</v>
      </c>
      <c r="I399" s="260"/>
      <c r="J399" s="266" t="e">
        <f t="shared" si="21"/>
        <v>#REF!</v>
      </c>
      <c r="K399" s="294"/>
      <c r="L399" s="271"/>
      <c r="M399" s="264"/>
      <c r="N399" s="260"/>
      <c r="O399" s="260"/>
    </row>
    <row r="400" spans="1:15" ht="17.25">
      <c r="A400" s="178" t="s">
        <v>80</v>
      </c>
      <c r="B400" s="75" t="s">
        <v>655</v>
      </c>
      <c r="C400" s="39" t="s">
        <v>17</v>
      </c>
      <c r="D400" s="255"/>
      <c r="E400" s="325" t="e">
        <f>#REF!</f>
        <v>#REF!</v>
      </c>
      <c r="F400" s="325" t="e">
        <f>#REF!</f>
        <v>#REF!</v>
      </c>
      <c r="G400" s="325" t="e">
        <f>#REF!</f>
        <v>#REF!</v>
      </c>
      <c r="H400" s="325" t="e">
        <f t="shared" ref="H400:H463" si="22">G400+F400+E400+D400</f>
        <v>#REF!</v>
      </c>
      <c r="I400" s="261"/>
      <c r="J400" s="266" t="e">
        <f t="shared" si="21"/>
        <v>#REF!</v>
      </c>
      <c r="K400" s="295"/>
      <c r="L400" s="270"/>
      <c r="M400" s="263"/>
      <c r="N400" s="261"/>
      <c r="O400" s="260"/>
    </row>
    <row r="401" spans="1:15" ht="17.25">
      <c r="A401" s="178" t="s">
        <v>80</v>
      </c>
      <c r="B401" s="75" t="s">
        <v>659</v>
      </c>
      <c r="C401" s="39" t="s">
        <v>17</v>
      </c>
      <c r="D401" s="255"/>
      <c r="E401" s="325" t="e">
        <f>#REF!</f>
        <v>#REF!</v>
      </c>
      <c r="F401" s="325" t="e">
        <f>#REF!</f>
        <v>#REF!</v>
      </c>
      <c r="G401" s="325" t="e">
        <f>#REF!</f>
        <v>#REF!</v>
      </c>
      <c r="H401" s="325" t="e">
        <f t="shared" si="22"/>
        <v>#REF!</v>
      </c>
      <c r="I401" s="260"/>
      <c r="J401" s="266" t="e">
        <f t="shared" si="21"/>
        <v>#REF!</v>
      </c>
      <c r="K401" s="294"/>
      <c r="L401" s="271"/>
      <c r="M401" s="264"/>
      <c r="N401" s="260"/>
      <c r="O401" s="260"/>
    </row>
    <row r="402" spans="1:15" ht="17.25">
      <c r="A402" s="178" t="s">
        <v>80</v>
      </c>
      <c r="B402" s="75" t="s">
        <v>660</v>
      </c>
      <c r="C402" s="39" t="s">
        <v>17</v>
      </c>
      <c r="D402" s="255"/>
      <c r="E402" s="325" t="e">
        <f>#REF!</f>
        <v>#REF!</v>
      </c>
      <c r="F402" s="325" t="e">
        <f>#REF!</f>
        <v>#REF!</v>
      </c>
      <c r="G402" s="325" t="e">
        <f>#REF!</f>
        <v>#REF!</v>
      </c>
      <c r="H402" s="325" t="e">
        <f t="shared" si="22"/>
        <v>#REF!</v>
      </c>
      <c r="I402" s="261"/>
      <c r="J402" s="266" t="e">
        <f t="shared" si="21"/>
        <v>#REF!</v>
      </c>
      <c r="K402" s="295"/>
      <c r="L402" s="270"/>
      <c r="M402" s="263"/>
      <c r="N402" s="261"/>
      <c r="O402" s="260"/>
    </row>
    <row r="403" spans="1:15" ht="17.25">
      <c r="A403" s="178" t="s">
        <v>80</v>
      </c>
      <c r="B403" s="75" t="s">
        <v>656</v>
      </c>
      <c r="C403" s="39" t="s">
        <v>17</v>
      </c>
      <c r="D403" s="255"/>
      <c r="E403" s="325" t="e">
        <f>#REF!</f>
        <v>#REF!</v>
      </c>
      <c r="F403" s="325" t="e">
        <f>#REF!</f>
        <v>#REF!</v>
      </c>
      <c r="G403" s="325" t="e">
        <f>#REF!</f>
        <v>#REF!</v>
      </c>
      <c r="H403" s="325" t="e">
        <f t="shared" si="22"/>
        <v>#REF!</v>
      </c>
      <c r="I403" s="260"/>
      <c r="J403" s="266" t="e">
        <f t="shared" si="21"/>
        <v>#REF!</v>
      </c>
      <c r="K403" s="294"/>
      <c r="L403" s="271"/>
      <c r="M403" s="264"/>
      <c r="N403" s="260"/>
      <c r="O403" s="260"/>
    </row>
    <row r="404" spans="1:15" ht="17.25">
      <c r="A404" s="178" t="s">
        <v>80</v>
      </c>
      <c r="B404" s="75" t="s">
        <v>657</v>
      </c>
      <c r="C404" s="39" t="s">
        <v>17</v>
      </c>
      <c r="D404" s="255"/>
      <c r="E404" s="325" t="e">
        <f>#REF!</f>
        <v>#REF!</v>
      </c>
      <c r="F404" s="325" t="e">
        <f>#REF!</f>
        <v>#REF!</v>
      </c>
      <c r="G404" s="325" t="e">
        <f>#REF!</f>
        <v>#REF!</v>
      </c>
      <c r="H404" s="325" t="e">
        <f t="shared" si="22"/>
        <v>#REF!</v>
      </c>
      <c r="I404" s="261"/>
      <c r="J404" s="266" t="e">
        <f t="shared" si="21"/>
        <v>#REF!</v>
      </c>
      <c r="K404" s="295"/>
      <c r="L404" s="270"/>
      <c r="M404" s="263"/>
      <c r="N404" s="261"/>
      <c r="O404" s="260"/>
    </row>
    <row r="405" spans="1:15" ht="17.25">
      <c r="A405" s="178" t="s">
        <v>80</v>
      </c>
      <c r="B405" s="75" t="s">
        <v>658</v>
      </c>
      <c r="C405" s="39" t="s">
        <v>17</v>
      </c>
      <c r="D405" s="255"/>
      <c r="E405" s="325" t="e">
        <f>#REF!</f>
        <v>#REF!</v>
      </c>
      <c r="F405" s="325" t="e">
        <f>#REF!</f>
        <v>#REF!</v>
      </c>
      <c r="G405" s="325" t="e">
        <f>#REF!</f>
        <v>#REF!</v>
      </c>
      <c r="H405" s="325" t="e">
        <f t="shared" si="22"/>
        <v>#REF!</v>
      </c>
      <c r="I405" s="260"/>
      <c r="J405" s="266" t="e">
        <f t="shared" si="21"/>
        <v>#REF!</v>
      </c>
      <c r="K405" s="294"/>
      <c r="L405" s="271"/>
      <c r="M405" s="264"/>
      <c r="N405" s="260"/>
      <c r="O405" s="260"/>
    </row>
    <row r="406" spans="1:15" ht="17.25">
      <c r="A406" s="178" t="s">
        <v>80</v>
      </c>
      <c r="B406" s="75" t="s">
        <v>202</v>
      </c>
      <c r="C406" s="39" t="s">
        <v>17</v>
      </c>
      <c r="D406" s="255"/>
      <c r="E406" s="325" t="e">
        <f>#REF!</f>
        <v>#REF!</v>
      </c>
      <c r="F406" s="325" t="e">
        <f>#REF!</f>
        <v>#REF!</v>
      </c>
      <c r="G406" s="325" t="e">
        <f>#REF!</f>
        <v>#REF!</v>
      </c>
      <c r="H406" s="325" t="e">
        <f t="shared" si="22"/>
        <v>#REF!</v>
      </c>
      <c r="I406" s="261"/>
      <c r="J406" s="266" t="e">
        <f t="shared" si="21"/>
        <v>#REF!</v>
      </c>
      <c r="K406" s="295"/>
      <c r="L406" s="270"/>
      <c r="M406" s="263"/>
      <c r="N406" s="261"/>
      <c r="O406" s="260"/>
    </row>
    <row r="407" spans="1:15" ht="17.25">
      <c r="A407" s="178" t="s">
        <v>80</v>
      </c>
      <c r="B407" s="75" t="s">
        <v>776</v>
      </c>
      <c r="C407" s="39" t="s">
        <v>17</v>
      </c>
      <c r="D407" s="255"/>
      <c r="E407" s="325" t="e">
        <f>#REF!</f>
        <v>#REF!</v>
      </c>
      <c r="F407" s="325" t="e">
        <f>#REF!</f>
        <v>#REF!</v>
      </c>
      <c r="G407" s="325" t="e">
        <f>#REF!</f>
        <v>#REF!</v>
      </c>
      <c r="H407" s="325" t="e">
        <f t="shared" si="22"/>
        <v>#REF!</v>
      </c>
      <c r="I407" s="260"/>
      <c r="J407" s="266" t="e">
        <f t="shared" si="21"/>
        <v>#REF!</v>
      </c>
      <c r="K407" s="294"/>
      <c r="L407" s="271"/>
      <c r="M407" s="264"/>
      <c r="N407" s="260"/>
      <c r="O407" s="260"/>
    </row>
    <row r="408" spans="1:15" ht="17.25">
      <c r="A408" s="178" t="s">
        <v>80</v>
      </c>
      <c r="B408" s="75" t="s">
        <v>205</v>
      </c>
      <c r="C408" s="39" t="s">
        <v>17</v>
      </c>
      <c r="D408" s="255"/>
      <c r="E408" s="325" t="e">
        <f>#REF!</f>
        <v>#REF!</v>
      </c>
      <c r="F408" s="325" t="e">
        <f>#REF!</f>
        <v>#REF!</v>
      </c>
      <c r="G408" s="325" t="e">
        <f>#REF!</f>
        <v>#REF!</v>
      </c>
      <c r="H408" s="325" t="e">
        <f t="shared" si="22"/>
        <v>#REF!</v>
      </c>
      <c r="I408" s="261"/>
      <c r="J408" s="266" t="e">
        <f t="shared" si="21"/>
        <v>#REF!</v>
      </c>
      <c r="K408" s="295"/>
      <c r="L408" s="270"/>
      <c r="M408" s="263"/>
      <c r="N408" s="261"/>
      <c r="O408" s="260"/>
    </row>
    <row r="409" spans="1:15" ht="17.25">
      <c r="A409" s="178" t="s">
        <v>80</v>
      </c>
      <c r="B409" s="75" t="s">
        <v>206</v>
      </c>
      <c r="C409" s="39" t="s">
        <v>17</v>
      </c>
      <c r="D409" s="255"/>
      <c r="E409" s="325" t="e">
        <f>#REF!</f>
        <v>#REF!</v>
      </c>
      <c r="F409" s="325" t="e">
        <f>#REF!</f>
        <v>#REF!</v>
      </c>
      <c r="G409" s="325" t="e">
        <f>#REF!</f>
        <v>#REF!</v>
      </c>
      <c r="H409" s="325" t="e">
        <f t="shared" si="22"/>
        <v>#REF!</v>
      </c>
      <c r="I409" s="260"/>
      <c r="J409" s="266" t="e">
        <f t="shared" si="21"/>
        <v>#REF!</v>
      </c>
      <c r="K409" s="294"/>
      <c r="L409" s="271"/>
      <c r="M409" s="264"/>
      <c r="N409" s="260"/>
      <c r="O409" s="260"/>
    </row>
    <row r="410" spans="1:15" ht="17.25">
      <c r="A410" s="178" t="s">
        <v>80</v>
      </c>
      <c r="B410" s="75" t="s">
        <v>1335</v>
      </c>
      <c r="C410" s="39" t="s">
        <v>17</v>
      </c>
      <c r="D410" s="255"/>
      <c r="E410" s="325" t="e">
        <f>#REF!</f>
        <v>#REF!</v>
      </c>
      <c r="F410" s="325" t="e">
        <f>#REF!</f>
        <v>#REF!</v>
      </c>
      <c r="G410" s="325" t="e">
        <f>#REF!</f>
        <v>#REF!</v>
      </c>
      <c r="H410" s="325" t="e">
        <f t="shared" si="22"/>
        <v>#REF!</v>
      </c>
      <c r="I410" s="261"/>
      <c r="J410" s="266" t="e">
        <f t="shared" si="21"/>
        <v>#REF!</v>
      </c>
      <c r="K410" s="295"/>
      <c r="L410" s="270"/>
      <c r="M410" s="263"/>
      <c r="N410" s="261"/>
      <c r="O410" s="260"/>
    </row>
    <row r="411" spans="1:15" ht="17.25">
      <c r="A411" s="178" t="s">
        <v>80</v>
      </c>
      <c r="B411" s="75" t="s">
        <v>1336</v>
      </c>
      <c r="C411" s="39" t="s">
        <v>17</v>
      </c>
      <c r="D411" s="255"/>
      <c r="E411" s="325" t="e">
        <f>#REF!</f>
        <v>#REF!</v>
      </c>
      <c r="F411" s="325" t="e">
        <f>#REF!</f>
        <v>#REF!</v>
      </c>
      <c r="G411" s="325" t="e">
        <f>#REF!</f>
        <v>#REF!</v>
      </c>
      <c r="H411" s="325" t="e">
        <f t="shared" si="22"/>
        <v>#REF!</v>
      </c>
      <c r="I411" s="260"/>
      <c r="J411" s="266" t="e">
        <f t="shared" si="21"/>
        <v>#REF!</v>
      </c>
      <c r="K411" s="294"/>
      <c r="L411" s="271"/>
      <c r="M411" s="264"/>
      <c r="N411" s="260"/>
      <c r="O411" s="260"/>
    </row>
    <row r="412" spans="1:15" ht="17.25">
      <c r="A412" s="178" t="s">
        <v>80</v>
      </c>
      <c r="B412" s="75" t="s">
        <v>1337</v>
      </c>
      <c r="C412" s="39" t="s">
        <v>17</v>
      </c>
      <c r="D412" s="255"/>
      <c r="E412" s="325" t="e">
        <f>#REF!</f>
        <v>#REF!</v>
      </c>
      <c r="F412" s="325" t="e">
        <f>#REF!</f>
        <v>#REF!</v>
      </c>
      <c r="G412" s="325" t="e">
        <f>#REF!</f>
        <v>#REF!</v>
      </c>
      <c r="H412" s="325" t="e">
        <f t="shared" si="22"/>
        <v>#REF!</v>
      </c>
      <c r="I412" s="261"/>
      <c r="J412" s="266" t="e">
        <f t="shared" si="21"/>
        <v>#REF!</v>
      </c>
      <c r="K412" s="295"/>
      <c r="L412" s="270"/>
      <c r="M412" s="263"/>
      <c r="N412" s="261"/>
      <c r="O412" s="260"/>
    </row>
    <row r="413" spans="1:15" ht="17.25">
      <c r="A413" s="178" t="s">
        <v>80</v>
      </c>
      <c r="B413" s="75" t="s">
        <v>638</v>
      </c>
      <c r="C413" s="39" t="s">
        <v>17</v>
      </c>
      <c r="D413" s="255"/>
      <c r="E413" s="325" t="e">
        <f>#REF!</f>
        <v>#REF!</v>
      </c>
      <c r="F413" s="325" t="e">
        <f>#REF!</f>
        <v>#REF!</v>
      </c>
      <c r="G413" s="325" t="e">
        <f>#REF!</f>
        <v>#REF!</v>
      </c>
      <c r="H413" s="325" t="e">
        <f t="shared" si="22"/>
        <v>#REF!</v>
      </c>
      <c r="I413" s="260"/>
      <c r="J413" s="266" t="e">
        <f t="shared" ref="J413:J476" si="23">I413*H413</f>
        <v>#REF!</v>
      </c>
      <c r="K413" s="294"/>
      <c r="L413" s="271"/>
      <c r="M413" s="264"/>
      <c r="N413" s="260"/>
      <c r="O413" s="260"/>
    </row>
    <row r="414" spans="1:15" ht="17.25">
      <c r="A414" s="178" t="s">
        <v>80</v>
      </c>
      <c r="B414" s="75" t="s">
        <v>639</v>
      </c>
      <c r="C414" s="39" t="s">
        <v>17</v>
      </c>
      <c r="D414" s="255"/>
      <c r="E414" s="325" t="e">
        <f>#REF!</f>
        <v>#REF!</v>
      </c>
      <c r="F414" s="325" t="e">
        <f>#REF!</f>
        <v>#REF!</v>
      </c>
      <c r="G414" s="325" t="e">
        <f>#REF!</f>
        <v>#REF!</v>
      </c>
      <c r="H414" s="325" t="e">
        <f t="shared" si="22"/>
        <v>#REF!</v>
      </c>
      <c r="I414" s="261"/>
      <c r="J414" s="266" t="e">
        <f t="shared" si="23"/>
        <v>#REF!</v>
      </c>
      <c r="K414" s="295"/>
      <c r="L414" s="270"/>
      <c r="M414" s="263"/>
      <c r="N414" s="261"/>
      <c r="O414" s="260"/>
    </row>
    <row r="415" spans="1:15" ht="17.25">
      <c r="A415" s="178" t="s">
        <v>80</v>
      </c>
      <c r="B415" s="75" t="s">
        <v>642</v>
      </c>
      <c r="C415" s="39" t="s">
        <v>17</v>
      </c>
      <c r="D415" s="255"/>
      <c r="E415" s="325" t="e">
        <f>#REF!</f>
        <v>#REF!</v>
      </c>
      <c r="F415" s="325" t="e">
        <f>#REF!</f>
        <v>#REF!</v>
      </c>
      <c r="G415" s="325" t="e">
        <f>#REF!</f>
        <v>#REF!</v>
      </c>
      <c r="H415" s="325" t="e">
        <f t="shared" si="22"/>
        <v>#REF!</v>
      </c>
      <c r="I415" s="260"/>
      <c r="J415" s="266" t="e">
        <f t="shared" si="23"/>
        <v>#REF!</v>
      </c>
      <c r="K415" s="294"/>
      <c r="L415" s="271"/>
      <c r="M415" s="264"/>
      <c r="N415" s="260"/>
      <c r="O415" s="260"/>
    </row>
    <row r="416" spans="1:15" ht="17.25">
      <c r="A416" s="178" t="s">
        <v>80</v>
      </c>
      <c r="B416" s="75" t="s">
        <v>643</v>
      </c>
      <c r="C416" s="39" t="s">
        <v>17</v>
      </c>
      <c r="D416" s="255"/>
      <c r="E416" s="325" t="e">
        <f>#REF!</f>
        <v>#REF!</v>
      </c>
      <c r="F416" s="325" t="e">
        <f>#REF!</f>
        <v>#REF!</v>
      </c>
      <c r="G416" s="325" t="e">
        <f>#REF!</f>
        <v>#REF!</v>
      </c>
      <c r="H416" s="325" t="e">
        <f t="shared" si="22"/>
        <v>#REF!</v>
      </c>
      <c r="I416" s="261"/>
      <c r="J416" s="266" t="e">
        <f t="shared" si="23"/>
        <v>#REF!</v>
      </c>
      <c r="K416" s="295"/>
      <c r="L416" s="270"/>
      <c r="M416" s="263"/>
      <c r="N416" s="261"/>
      <c r="O416" s="260"/>
    </row>
    <row r="417" spans="1:15" ht="17.25">
      <c r="A417" s="178" t="s">
        <v>80</v>
      </c>
      <c r="B417" s="75" t="s">
        <v>640</v>
      </c>
      <c r="C417" s="39" t="s">
        <v>17</v>
      </c>
      <c r="D417" s="255"/>
      <c r="E417" s="325" t="e">
        <f>#REF!</f>
        <v>#REF!</v>
      </c>
      <c r="F417" s="325" t="e">
        <f>#REF!</f>
        <v>#REF!</v>
      </c>
      <c r="G417" s="325" t="e">
        <f>#REF!</f>
        <v>#REF!</v>
      </c>
      <c r="H417" s="325" t="e">
        <f t="shared" si="22"/>
        <v>#REF!</v>
      </c>
      <c r="I417" s="260"/>
      <c r="J417" s="266" t="e">
        <f t="shared" si="23"/>
        <v>#REF!</v>
      </c>
      <c r="K417" s="294"/>
      <c r="L417" s="271"/>
      <c r="M417" s="264"/>
      <c r="N417" s="260"/>
      <c r="O417" s="260"/>
    </row>
    <row r="418" spans="1:15" ht="17.25">
      <c r="A418" s="178" t="s">
        <v>80</v>
      </c>
      <c r="B418" s="75" t="s">
        <v>641</v>
      </c>
      <c r="C418" s="39" t="s">
        <v>17</v>
      </c>
      <c r="D418" s="255"/>
      <c r="E418" s="325" t="e">
        <f>#REF!</f>
        <v>#REF!</v>
      </c>
      <c r="F418" s="325" t="e">
        <f>#REF!</f>
        <v>#REF!</v>
      </c>
      <c r="G418" s="325" t="e">
        <f>#REF!</f>
        <v>#REF!</v>
      </c>
      <c r="H418" s="325" t="e">
        <f t="shared" si="22"/>
        <v>#REF!</v>
      </c>
      <c r="I418" s="261"/>
      <c r="J418" s="266" t="e">
        <f t="shared" si="23"/>
        <v>#REF!</v>
      </c>
      <c r="K418" s="295"/>
      <c r="L418" s="270"/>
      <c r="M418" s="263"/>
      <c r="N418" s="261"/>
      <c r="O418" s="260"/>
    </row>
    <row r="419" spans="1:15" ht="17.25">
      <c r="A419" s="178" t="s">
        <v>80</v>
      </c>
      <c r="B419" s="75" t="s">
        <v>607</v>
      </c>
      <c r="C419" s="39" t="s">
        <v>17</v>
      </c>
      <c r="D419" s="255"/>
      <c r="E419" s="325" t="e">
        <f>#REF!</f>
        <v>#REF!</v>
      </c>
      <c r="F419" s="325" t="e">
        <f>#REF!</f>
        <v>#REF!</v>
      </c>
      <c r="G419" s="325" t="e">
        <f>#REF!</f>
        <v>#REF!</v>
      </c>
      <c r="H419" s="325" t="e">
        <f t="shared" si="22"/>
        <v>#REF!</v>
      </c>
      <c r="I419" s="260"/>
      <c r="J419" s="266" t="e">
        <f t="shared" si="23"/>
        <v>#REF!</v>
      </c>
      <c r="K419" s="294"/>
      <c r="L419" s="271"/>
      <c r="M419" s="264"/>
      <c r="N419" s="260"/>
      <c r="O419" s="260"/>
    </row>
    <row r="420" spans="1:15" ht="17.25">
      <c r="A420" s="178" t="s">
        <v>80</v>
      </c>
      <c r="B420" s="75" t="s">
        <v>608</v>
      </c>
      <c r="C420" s="39" t="s">
        <v>17</v>
      </c>
      <c r="D420" s="255"/>
      <c r="E420" s="325" t="e">
        <f>#REF!</f>
        <v>#REF!</v>
      </c>
      <c r="F420" s="325" t="e">
        <f>#REF!</f>
        <v>#REF!</v>
      </c>
      <c r="G420" s="325" t="e">
        <f>#REF!</f>
        <v>#REF!</v>
      </c>
      <c r="H420" s="325" t="e">
        <f t="shared" si="22"/>
        <v>#REF!</v>
      </c>
      <c r="I420" s="261"/>
      <c r="J420" s="266" t="e">
        <f t="shared" si="23"/>
        <v>#REF!</v>
      </c>
      <c r="K420" s="295"/>
      <c r="L420" s="270"/>
      <c r="M420" s="263"/>
      <c r="N420" s="261"/>
      <c r="O420" s="260"/>
    </row>
    <row r="421" spans="1:15" ht="17.25">
      <c r="A421" s="178" t="s">
        <v>80</v>
      </c>
      <c r="B421" s="75" t="s">
        <v>609</v>
      </c>
      <c r="C421" s="39" t="s">
        <v>17</v>
      </c>
      <c r="D421" s="255"/>
      <c r="E421" s="325" t="e">
        <f>#REF!</f>
        <v>#REF!</v>
      </c>
      <c r="F421" s="325" t="e">
        <f>#REF!</f>
        <v>#REF!</v>
      </c>
      <c r="G421" s="325" t="e">
        <f>#REF!</f>
        <v>#REF!</v>
      </c>
      <c r="H421" s="325" t="e">
        <f t="shared" si="22"/>
        <v>#REF!</v>
      </c>
      <c r="I421" s="260"/>
      <c r="J421" s="266" t="e">
        <f t="shared" si="23"/>
        <v>#REF!</v>
      </c>
      <c r="K421" s="294"/>
      <c r="L421" s="271"/>
      <c r="M421" s="264"/>
      <c r="N421" s="260"/>
      <c r="O421" s="260"/>
    </row>
    <row r="422" spans="1:15" ht="17.25">
      <c r="A422" s="178" t="s">
        <v>80</v>
      </c>
      <c r="B422" s="75" t="s">
        <v>610</v>
      </c>
      <c r="C422" s="39" t="s">
        <v>17</v>
      </c>
      <c r="D422" s="255"/>
      <c r="E422" s="325" t="e">
        <f>#REF!</f>
        <v>#REF!</v>
      </c>
      <c r="F422" s="325" t="e">
        <f>#REF!</f>
        <v>#REF!</v>
      </c>
      <c r="G422" s="325" t="e">
        <f>#REF!</f>
        <v>#REF!</v>
      </c>
      <c r="H422" s="325" t="e">
        <f t="shared" si="22"/>
        <v>#REF!</v>
      </c>
      <c r="I422" s="261"/>
      <c r="J422" s="266" t="e">
        <f t="shared" si="23"/>
        <v>#REF!</v>
      </c>
      <c r="K422" s="295"/>
      <c r="L422" s="270"/>
      <c r="M422" s="263"/>
      <c r="N422" s="261"/>
      <c r="O422" s="260"/>
    </row>
    <row r="423" spans="1:15" ht="17.25">
      <c r="A423" s="178" t="s">
        <v>80</v>
      </c>
      <c r="B423" s="75" t="s">
        <v>611</v>
      </c>
      <c r="C423" s="39" t="s">
        <v>17</v>
      </c>
      <c r="D423" s="255"/>
      <c r="E423" s="325" t="e">
        <f>#REF!</f>
        <v>#REF!</v>
      </c>
      <c r="F423" s="325" t="e">
        <f>#REF!</f>
        <v>#REF!</v>
      </c>
      <c r="G423" s="325" t="e">
        <f>#REF!</f>
        <v>#REF!</v>
      </c>
      <c r="H423" s="325" t="e">
        <f t="shared" si="22"/>
        <v>#REF!</v>
      </c>
      <c r="I423" s="260"/>
      <c r="J423" s="266" t="e">
        <f t="shared" si="23"/>
        <v>#REF!</v>
      </c>
      <c r="K423" s="294"/>
      <c r="L423" s="271"/>
      <c r="M423" s="264"/>
      <c r="N423" s="260"/>
      <c r="O423" s="260"/>
    </row>
    <row r="424" spans="1:15" ht="17.25">
      <c r="A424" s="178" t="s">
        <v>80</v>
      </c>
      <c r="B424" s="75" t="s">
        <v>612</v>
      </c>
      <c r="C424" s="39" t="s">
        <v>17</v>
      </c>
      <c r="D424" s="255"/>
      <c r="E424" s="325" t="e">
        <f>#REF!</f>
        <v>#REF!</v>
      </c>
      <c r="F424" s="325" t="e">
        <f>#REF!</f>
        <v>#REF!</v>
      </c>
      <c r="G424" s="325" t="e">
        <f>#REF!</f>
        <v>#REF!</v>
      </c>
      <c r="H424" s="325" t="e">
        <f t="shared" si="22"/>
        <v>#REF!</v>
      </c>
      <c r="I424" s="261"/>
      <c r="J424" s="266" t="e">
        <f t="shared" si="23"/>
        <v>#REF!</v>
      </c>
      <c r="K424" s="295"/>
      <c r="L424" s="270"/>
      <c r="M424" s="263"/>
      <c r="N424" s="261"/>
      <c r="O424" s="260"/>
    </row>
    <row r="425" spans="1:15" ht="17.25">
      <c r="A425" s="178" t="s">
        <v>80</v>
      </c>
      <c r="B425" s="75" t="s">
        <v>613</v>
      </c>
      <c r="C425" s="39" t="s">
        <v>17</v>
      </c>
      <c r="D425" s="255"/>
      <c r="E425" s="325" t="e">
        <f>#REF!</f>
        <v>#REF!</v>
      </c>
      <c r="F425" s="325" t="e">
        <f>#REF!</f>
        <v>#REF!</v>
      </c>
      <c r="G425" s="325" t="e">
        <f>#REF!</f>
        <v>#REF!</v>
      </c>
      <c r="H425" s="325" t="e">
        <f t="shared" si="22"/>
        <v>#REF!</v>
      </c>
      <c r="I425" s="260"/>
      <c r="J425" s="266" t="e">
        <f t="shared" si="23"/>
        <v>#REF!</v>
      </c>
      <c r="K425" s="294"/>
      <c r="L425" s="271"/>
      <c r="M425" s="264"/>
      <c r="N425" s="260"/>
      <c r="O425" s="260"/>
    </row>
    <row r="426" spans="1:15" ht="17.25">
      <c r="A426" s="178" t="s">
        <v>80</v>
      </c>
      <c r="B426" s="75" t="s">
        <v>614</v>
      </c>
      <c r="C426" s="39" t="s">
        <v>17</v>
      </c>
      <c r="D426" s="255"/>
      <c r="E426" s="325" t="e">
        <f>#REF!</f>
        <v>#REF!</v>
      </c>
      <c r="F426" s="325" t="e">
        <f>#REF!</f>
        <v>#REF!</v>
      </c>
      <c r="G426" s="325" t="e">
        <f>#REF!</f>
        <v>#REF!</v>
      </c>
      <c r="H426" s="325" t="e">
        <f t="shared" si="22"/>
        <v>#REF!</v>
      </c>
      <c r="I426" s="261"/>
      <c r="J426" s="266" t="e">
        <f t="shared" si="23"/>
        <v>#REF!</v>
      </c>
      <c r="K426" s="295"/>
      <c r="L426" s="270"/>
      <c r="M426" s="263"/>
      <c r="N426" s="261"/>
      <c r="O426" s="260"/>
    </row>
    <row r="427" spans="1:15" ht="17.25">
      <c r="A427" s="178" t="s">
        <v>80</v>
      </c>
      <c r="B427" s="75" t="s">
        <v>615</v>
      </c>
      <c r="C427" s="39" t="s">
        <v>17</v>
      </c>
      <c r="D427" s="255"/>
      <c r="E427" s="325" t="e">
        <f>#REF!</f>
        <v>#REF!</v>
      </c>
      <c r="F427" s="325" t="e">
        <f>#REF!</f>
        <v>#REF!</v>
      </c>
      <c r="G427" s="325" t="e">
        <f>#REF!</f>
        <v>#REF!</v>
      </c>
      <c r="H427" s="325" t="e">
        <f t="shared" si="22"/>
        <v>#REF!</v>
      </c>
      <c r="I427" s="260"/>
      <c r="J427" s="266" t="e">
        <f t="shared" si="23"/>
        <v>#REF!</v>
      </c>
      <c r="K427" s="294"/>
      <c r="L427" s="271"/>
      <c r="M427" s="264"/>
      <c r="N427" s="260"/>
      <c r="O427" s="260"/>
    </row>
    <row r="428" spans="1:15" ht="17.25">
      <c r="A428" s="178" t="s">
        <v>80</v>
      </c>
      <c r="B428" s="75" t="s">
        <v>1547</v>
      </c>
      <c r="C428" s="39" t="s">
        <v>17</v>
      </c>
      <c r="D428" s="255"/>
      <c r="E428" s="325" t="e">
        <f>#REF!</f>
        <v>#REF!</v>
      </c>
      <c r="F428" s="325" t="e">
        <f>#REF!</f>
        <v>#REF!</v>
      </c>
      <c r="G428" s="325" t="e">
        <f>#REF!</f>
        <v>#REF!</v>
      </c>
      <c r="H428" s="325" t="e">
        <f t="shared" si="22"/>
        <v>#REF!</v>
      </c>
      <c r="I428" s="261"/>
      <c r="J428" s="266" t="e">
        <f t="shared" si="23"/>
        <v>#REF!</v>
      </c>
      <c r="K428" s="295"/>
      <c r="L428" s="270"/>
      <c r="M428" s="263"/>
      <c r="N428" s="261"/>
      <c r="O428" s="260"/>
    </row>
    <row r="429" spans="1:15" ht="17.25">
      <c r="A429" s="178" t="s">
        <v>80</v>
      </c>
      <c r="B429" s="75" t="s">
        <v>1577</v>
      </c>
      <c r="C429" s="39" t="s">
        <v>17</v>
      </c>
      <c r="D429" s="255"/>
      <c r="E429" s="325" t="e">
        <f>#REF!</f>
        <v>#REF!</v>
      </c>
      <c r="F429" s="325" t="e">
        <f>#REF!</f>
        <v>#REF!</v>
      </c>
      <c r="G429" s="325" t="e">
        <f>#REF!</f>
        <v>#REF!</v>
      </c>
      <c r="H429" s="325" t="e">
        <f t="shared" si="22"/>
        <v>#REF!</v>
      </c>
      <c r="I429" s="260"/>
      <c r="J429" s="266" t="e">
        <f t="shared" si="23"/>
        <v>#REF!</v>
      </c>
      <c r="K429" s="294"/>
      <c r="L429" s="271"/>
      <c r="M429" s="264"/>
      <c r="N429" s="260"/>
      <c r="O429" s="260"/>
    </row>
    <row r="430" spans="1:15" ht="17.25">
      <c r="A430" s="178" t="s">
        <v>80</v>
      </c>
      <c r="B430" s="75" t="s">
        <v>1576</v>
      </c>
      <c r="C430" s="39" t="s">
        <v>17</v>
      </c>
      <c r="D430" s="255"/>
      <c r="E430" s="325" t="e">
        <f>#REF!</f>
        <v>#REF!</v>
      </c>
      <c r="F430" s="325" t="e">
        <f>#REF!</f>
        <v>#REF!</v>
      </c>
      <c r="G430" s="325" t="e">
        <f>#REF!</f>
        <v>#REF!</v>
      </c>
      <c r="H430" s="325" t="e">
        <f t="shared" si="22"/>
        <v>#REF!</v>
      </c>
      <c r="I430" s="261"/>
      <c r="J430" s="266" t="e">
        <f t="shared" si="23"/>
        <v>#REF!</v>
      </c>
      <c r="K430" s="295"/>
      <c r="L430" s="270"/>
      <c r="M430" s="263"/>
      <c r="N430" s="261"/>
      <c r="O430" s="260"/>
    </row>
    <row r="431" spans="1:15" ht="31.5">
      <c r="A431" s="178" t="s">
        <v>80</v>
      </c>
      <c r="B431" s="75" t="s">
        <v>1727</v>
      </c>
      <c r="C431" s="39" t="s">
        <v>17</v>
      </c>
      <c r="D431" s="255">
        <v>12</v>
      </c>
      <c r="E431" s="325" t="e">
        <f>#REF!</f>
        <v>#REF!</v>
      </c>
      <c r="F431" s="325" t="e">
        <f>#REF!</f>
        <v>#REF!</v>
      </c>
      <c r="G431" s="325" t="e">
        <f>#REF!</f>
        <v>#REF!</v>
      </c>
      <c r="H431" s="325" t="e">
        <f t="shared" si="22"/>
        <v>#REF!</v>
      </c>
      <c r="I431" s="265">
        <v>25</v>
      </c>
      <c r="J431" s="266" t="e">
        <f t="shared" si="23"/>
        <v>#REF!</v>
      </c>
      <c r="K431" s="307"/>
      <c r="L431" s="310">
        <v>42383</v>
      </c>
      <c r="M431" s="308" t="s">
        <v>1663</v>
      </c>
      <c r="N431" s="265"/>
      <c r="O431" s="266" t="s">
        <v>1642</v>
      </c>
    </row>
    <row r="432" spans="1:15" ht="17.25">
      <c r="A432" s="178" t="s">
        <v>80</v>
      </c>
      <c r="B432" s="75" t="s">
        <v>1575</v>
      </c>
      <c r="C432" s="39" t="s">
        <v>17</v>
      </c>
      <c r="D432" s="255"/>
      <c r="E432" s="325" t="e">
        <f>#REF!</f>
        <v>#REF!</v>
      </c>
      <c r="F432" s="325" t="e">
        <f>#REF!</f>
        <v>#REF!</v>
      </c>
      <c r="G432" s="325" t="e">
        <f>#REF!</f>
        <v>#REF!</v>
      </c>
      <c r="H432" s="325" t="e">
        <f t="shared" si="22"/>
        <v>#REF!</v>
      </c>
      <c r="I432" s="266"/>
      <c r="J432" s="266" t="e">
        <f t="shared" si="23"/>
        <v>#REF!</v>
      </c>
      <c r="K432" s="306"/>
      <c r="L432" s="280"/>
      <c r="M432" s="309"/>
      <c r="N432" s="266"/>
      <c r="O432" s="266"/>
    </row>
    <row r="433" spans="1:15" ht="17.25">
      <c r="A433" s="178" t="s">
        <v>80</v>
      </c>
      <c r="B433" s="75" t="s">
        <v>1574</v>
      </c>
      <c r="C433" s="39" t="s">
        <v>17</v>
      </c>
      <c r="D433" s="255"/>
      <c r="E433" s="325" t="e">
        <f>#REF!</f>
        <v>#REF!</v>
      </c>
      <c r="F433" s="325" t="e">
        <f>#REF!</f>
        <v>#REF!</v>
      </c>
      <c r="G433" s="325" t="e">
        <f>#REF!</f>
        <v>#REF!</v>
      </c>
      <c r="H433" s="325" t="e">
        <f t="shared" si="22"/>
        <v>#REF!</v>
      </c>
      <c r="I433" s="265"/>
      <c r="J433" s="266" t="e">
        <f t="shared" si="23"/>
        <v>#REF!</v>
      </c>
      <c r="K433" s="307"/>
      <c r="L433" s="310"/>
      <c r="M433" s="308"/>
      <c r="N433" s="265"/>
      <c r="O433" s="266"/>
    </row>
    <row r="434" spans="1:15" ht="17.25">
      <c r="A434" s="178" t="s">
        <v>80</v>
      </c>
      <c r="B434" s="75" t="s">
        <v>1338</v>
      </c>
      <c r="C434" s="39" t="s">
        <v>17</v>
      </c>
      <c r="D434" s="255"/>
      <c r="E434" s="325" t="e">
        <f>#REF!</f>
        <v>#REF!</v>
      </c>
      <c r="F434" s="325" t="e">
        <f>#REF!</f>
        <v>#REF!</v>
      </c>
      <c r="G434" s="325" t="e">
        <f>#REF!</f>
        <v>#REF!</v>
      </c>
      <c r="H434" s="325" t="e">
        <f t="shared" si="22"/>
        <v>#REF!</v>
      </c>
      <c r="I434" s="266"/>
      <c r="J434" s="266" t="e">
        <f t="shared" si="23"/>
        <v>#REF!</v>
      </c>
      <c r="K434" s="306"/>
      <c r="L434" s="280"/>
      <c r="M434" s="309"/>
      <c r="N434" s="266"/>
      <c r="O434" s="266"/>
    </row>
    <row r="435" spans="1:15" ht="17.25">
      <c r="A435" s="178" t="s">
        <v>80</v>
      </c>
      <c r="B435" s="75" t="s">
        <v>1573</v>
      </c>
      <c r="C435" s="39" t="s">
        <v>17</v>
      </c>
      <c r="D435" s="255"/>
      <c r="E435" s="325" t="e">
        <f>#REF!</f>
        <v>#REF!</v>
      </c>
      <c r="F435" s="325" t="e">
        <f>#REF!</f>
        <v>#REF!</v>
      </c>
      <c r="G435" s="325" t="e">
        <f>#REF!</f>
        <v>#REF!</v>
      </c>
      <c r="H435" s="325" t="e">
        <f t="shared" si="22"/>
        <v>#REF!</v>
      </c>
      <c r="I435" s="265"/>
      <c r="J435" s="266" t="e">
        <f t="shared" si="23"/>
        <v>#REF!</v>
      </c>
      <c r="K435" s="307"/>
      <c r="L435" s="310"/>
      <c r="M435" s="308"/>
      <c r="N435" s="265"/>
      <c r="O435" s="266"/>
    </row>
    <row r="436" spans="1:15" ht="17.25">
      <c r="A436" s="178" t="s">
        <v>80</v>
      </c>
      <c r="B436" s="75" t="s">
        <v>1339</v>
      </c>
      <c r="C436" s="39" t="s">
        <v>17</v>
      </c>
      <c r="D436" s="255"/>
      <c r="E436" s="325" t="e">
        <f>#REF!</f>
        <v>#REF!</v>
      </c>
      <c r="F436" s="325" t="e">
        <f>#REF!</f>
        <v>#REF!</v>
      </c>
      <c r="G436" s="325" t="e">
        <f>#REF!</f>
        <v>#REF!</v>
      </c>
      <c r="H436" s="325" t="e">
        <f t="shared" si="22"/>
        <v>#REF!</v>
      </c>
      <c r="I436" s="266"/>
      <c r="J436" s="266" t="e">
        <f t="shared" si="23"/>
        <v>#REF!</v>
      </c>
      <c r="K436" s="306"/>
      <c r="L436" s="280"/>
      <c r="M436" s="309"/>
      <c r="N436" s="266"/>
      <c r="O436" s="266"/>
    </row>
    <row r="437" spans="1:15" ht="31.5">
      <c r="A437" s="178" t="s">
        <v>80</v>
      </c>
      <c r="B437" s="75" t="s">
        <v>1703</v>
      </c>
      <c r="C437" s="39" t="s">
        <v>17</v>
      </c>
      <c r="D437" s="255">
        <v>300</v>
      </c>
      <c r="E437" s="325" t="e">
        <f>#REF!</f>
        <v>#REF!</v>
      </c>
      <c r="F437" s="325" t="e">
        <f>#REF!</f>
        <v>#REF!</v>
      </c>
      <c r="G437" s="325" t="e">
        <f>#REF!</f>
        <v>#REF!</v>
      </c>
      <c r="H437" s="325" t="e">
        <f t="shared" si="22"/>
        <v>#REF!</v>
      </c>
      <c r="I437" s="266">
        <v>0.81</v>
      </c>
      <c r="J437" s="266" t="e">
        <f t="shared" si="23"/>
        <v>#REF!</v>
      </c>
      <c r="K437" s="306"/>
      <c r="L437" s="280">
        <v>42396</v>
      </c>
      <c r="M437" s="308" t="s">
        <v>1663</v>
      </c>
      <c r="N437" s="265"/>
      <c r="O437" s="266" t="s">
        <v>1642</v>
      </c>
    </row>
    <row r="438" spans="1:15" ht="17.25">
      <c r="A438" s="178" t="s">
        <v>80</v>
      </c>
      <c r="B438" s="75" t="s">
        <v>1572</v>
      </c>
      <c r="C438" s="39" t="s">
        <v>17</v>
      </c>
      <c r="D438" s="255"/>
      <c r="E438" s="325" t="e">
        <f>#REF!</f>
        <v>#REF!</v>
      </c>
      <c r="F438" s="325" t="e">
        <f>#REF!</f>
        <v>#REF!</v>
      </c>
      <c r="G438" s="325" t="e">
        <f>#REF!</f>
        <v>#REF!</v>
      </c>
      <c r="H438" s="325" t="e">
        <f t="shared" si="22"/>
        <v>#REF!</v>
      </c>
      <c r="I438" s="265"/>
      <c r="J438" s="266" t="e">
        <f t="shared" si="23"/>
        <v>#REF!</v>
      </c>
      <c r="K438" s="307"/>
      <c r="L438" s="310"/>
      <c r="M438" s="308"/>
      <c r="N438" s="265"/>
      <c r="O438" s="266"/>
    </row>
    <row r="439" spans="1:15" ht="17.25">
      <c r="A439" s="178" t="s">
        <v>80</v>
      </c>
      <c r="B439" s="75" t="s">
        <v>1428</v>
      </c>
      <c r="C439" s="39" t="s">
        <v>17</v>
      </c>
      <c r="D439" s="255"/>
      <c r="E439" s="325" t="e">
        <f>#REF!</f>
        <v>#REF!</v>
      </c>
      <c r="F439" s="325" t="e">
        <f>#REF!</f>
        <v>#REF!</v>
      </c>
      <c r="G439" s="325" t="e">
        <f>#REF!</f>
        <v>#REF!</v>
      </c>
      <c r="H439" s="325" t="e">
        <f t="shared" si="22"/>
        <v>#REF!</v>
      </c>
      <c r="I439" s="266"/>
      <c r="J439" s="266" t="e">
        <f t="shared" si="23"/>
        <v>#REF!</v>
      </c>
      <c r="K439" s="306"/>
      <c r="L439" s="280"/>
      <c r="M439" s="309"/>
      <c r="N439" s="266"/>
      <c r="O439" s="266"/>
    </row>
    <row r="440" spans="1:15" ht="31.5">
      <c r="A440" s="178" t="s">
        <v>80</v>
      </c>
      <c r="B440" s="75" t="s">
        <v>1427</v>
      </c>
      <c r="C440" s="39" t="s">
        <v>17</v>
      </c>
      <c r="D440" s="255">
        <v>300</v>
      </c>
      <c r="E440" s="325" t="e">
        <f>#REF!</f>
        <v>#REF!</v>
      </c>
      <c r="F440" s="325" t="e">
        <f>#REF!</f>
        <v>#REF!</v>
      </c>
      <c r="G440" s="325" t="e">
        <f>#REF!</f>
        <v>#REF!</v>
      </c>
      <c r="H440" s="325" t="e">
        <f t="shared" si="22"/>
        <v>#REF!</v>
      </c>
      <c r="I440" s="265">
        <v>1</v>
      </c>
      <c r="J440" s="266" t="e">
        <f t="shared" si="23"/>
        <v>#REF!</v>
      </c>
      <c r="K440" s="307"/>
      <c r="L440" s="310">
        <v>42396</v>
      </c>
      <c r="M440" s="308" t="s">
        <v>1663</v>
      </c>
      <c r="N440" s="265"/>
      <c r="O440" s="266" t="s">
        <v>1642</v>
      </c>
    </row>
    <row r="441" spans="1:15" ht="31.5">
      <c r="A441" s="178" t="s">
        <v>80</v>
      </c>
      <c r="B441" s="75" t="s">
        <v>1433</v>
      </c>
      <c r="C441" s="39" t="s">
        <v>208</v>
      </c>
      <c r="D441" s="255">
        <v>3</v>
      </c>
      <c r="E441" s="325" t="e">
        <f>#REF!</f>
        <v>#REF!</v>
      </c>
      <c r="F441" s="325" t="e">
        <f>#REF!</f>
        <v>#REF!</v>
      </c>
      <c r="G441" s="325" t="e">
        <f>#REF!</f>
        <v>#REF!</v>
      </c>
      <c r="H441" s="325" t="e">
        <f t="shared" si="22"/>
        <v>#REF!</v>
      </c>
      <c r="I441" s="266">
        <v>361.44</v>
      </c>
      <c r="J441" s="266" t="e">
        <f t="shared" si="23"/>
        <v>#REF!</v>
      </c>
      <c r="K441" s="306"/>
      <c r="L441" s="280">
        <v>42396</v>
      </c>
      <c r="M441" s="308" t="s">
        <v>1663</v>
      </c>
      <c r="N441" s="266"/>
      <c r="O441" s="266" t="s">
        <v>1642</v>
      </c>
    </row>
    <row r="442" spans="1:15" ht="31.5">
      <c r="A442" s="178" t="s">
        <v>80</v>
      </c>
      <c r="B442" s="75" t="s">
        <v>1435</v>
      </c>
      <c r="C442" s="39" t="s">
        <v>17</v>
      </c>
      <c r="D442" s="255">
        <v>400</v>
      </c>
      <c r="E442" s="325" t="e">
        <f>#REF!</f>
        <v>#REF!</v>
      </c>
      <c r="F442" s="325" t="e">
        <f>#REF!</f>
        <v>#REF!</v>
      </c>
      <c r="G442" s="325" t="e">
        <f>#REF!</f>
        <v>#REF!</v>
      </c>
      <c r="H442" s="325" t="e">
        <f t="shared" si="22"/>
        <v>#REF!</v>
      </c>
      <c r="I442" s="265">
        <v>1.1499999999999999</v>
      </c>
      <c r="J442" s="266" t="e">
        <f t="shared" si="23"/>
        <v>#REF!</v>
      </c>
      <c r="K442" s="307"/>
      <c r="L442" s="310">
        <v>42396</v>
      </c>
      <c r="M442" s="308" t="s">
        <v>1663</v>
      </c>
      <c r="N442" s="265"/>
      <c r="O442" s="266" t="s">
        <v>1642</v>
      </c>
    </row>
    <row r="443" spans="1:15" ht="17.25">
      <c r="A443" s="178" t="s">
        <v>80</v>
      </c>
      <c r="B443" s="75" t="s">
        <v>1527</v>
      </c>
      <c r="C443" s="39" t="s">
        <v>17</v>
      </c>
      <c r="D443" s="255"/>
      <c r="E443" s="325" t="e">
        <f>#REF!</f>
        <v>#REF!</v>
      </c>
      <c r="F443" s="325" t="e">
        <f>#REF!</f>
        <v>#REF!</v>
      </c>
      <c r="G443" s="325" t="e">
        <f>#REF!</f>
        <v>#REF!</v>
      </c>
      <c r="H443" s="325" t="e">
        <f t="shared" si="22"/>
        <v>#REF!</v>
      </c>
      <c r="I443" s="266"/>
      <c r="J443" s="266" t="e">
        <f t="shared" si="23"/>
        <v>#REF!</v>
      </c>
      <c r="K443" s="306"/>
      <c r="L443" s="280"/>
      <c r="M443" s="309"/>
      <c r="N443" s="266"/>
      <c r="O443" s="266"/>
    </row>
    <row r="444" spans="1:15" ht="17.25">
      <c r="A444" s="178" t="s">
        <v>80</v>
      </c>
      <c r="B444" s="75" t="s">
        <v>702</v>
      </c>
      <c r="C444" s="39" t="s">
        <v>17</v>
      </c>
      <c r="D444" s="255"/>
      <c r="E444" s="325" t="e">
        <f>#REF!</f>
        <v>#REF!</v>
      </c>
      <c r="F444" s="325" t="e">
        <f>#REF!</f>
        <v>#REF!</v>
      </c>
      <c r="G444" s="325" t="e">
        <f>#REF!</f>
        <v>#REF!</v>
      </c>
      <c r="H444" s="325" t="e">
        <f t="shared" si="22"/>
        <v>#REF!</v>
      </c>
      <c r="I444" s="265"/>
      <c r="J444" s="266" t="e">
        <f t="shared" si="23"/>
        <v>#REF!</v>
      </c>
      <c r="K444" s="307"/>
      <c r="L444" s="310"/>
      <c r="M444" s="308"/>
      <c r="N444" s="265"/>
      <c r="O444" s="266"/>
    </row>
    <row r="445" spans="1:15" ht="17.25">
      <c r="A445" s="178" t="s">
        <v>80</v>
      </c>
      <c r="B445" s="75" t="s">
        <v>370</v>
      </c>
      <c r="C445" s="39" t="s">
        <v>17</v>
      </c>
      <c r="D445" s="255"/>
      <c r="E445" s="325" t="e">
        <f>#REF!</f>
        <v>#REF!</v>
      </c>
      <c r="F445" s="325" t="e">
        <f>#REF!</f>
        <v>#REF!</v>
      </c>
      <c r="G445" s="325" t="e">
        <f>#REF!</f>
        <v>#REF!</v>
      </c>
      <c r="H445" s="325" t="e">
        <f t="shared" si="22"/>
        <v>#REF!</v>
      </c>
      <c r="I445" s="266"/>
      <c r="J445" s="266" t="e">
        <f t="shared" si="23"/>
        <v>#REF!</v>
      </c>
      <c r="K445" s="306"/>
      <c r="L445" s="280"/>
      <c r="M445" s="309"/>
      <c r="N445" s="266"/>
      <c r="O445" s="266"/>
    </row>
    <row r="446" spans="1:15" ht="17.25">
      <c r="A446" s="178" t="s">
        <v>80</v>
      </c>
      <c r="B446" s="75" t="s">
        <v>371</v>
      </c>
      <c r="C446" s="39" t="s">
        <v>17</v>
      </c>
      <c r="D446" s="255"/>
      <c r="E446" s="325" t="e">
        <f>#REF!</f>
        <v>#REF!</v>
      </c>
      <c r="F446" s="325" t="e">
        <f>#REF!</f>
        <v>#REF!</v>
      </c>
      <c r="G446" s="325" t="e">
        <f>#REF!</f>
        <v>#REF!</v>
      </c>
      <c r="H446" s="325" t="e">
        <f t="shared" si="22"/>
        <v>#REF!</v>
      </c>
      <c r="I446" s="265"/>
      <c r="J446" s="266" t="e">
        <f t="shared" si="23"/>
        <v>#REF!</v>
      </c>
      <c r="K446" s="307"/>
      <c r="L446" s="310"/>
      <c r="M446" s="308"/>
      <c r="N446" s="265"/>
      <c r="O446" s="266"/>
    </row>
    <row r="447" spans="1:15" ht="17.25">
      <c r="A447" s="178" t="s">
        <v>80</v>
      </c>
      <c r="B447" s="75" t="s">
        <v>799</v>
      </c>
      <c r="C447" s="39" t="s">
        <v>17</v>
      </c>
      <c r="D447" s="255"/>
      <c r="E447" s="325" t="e">
        <f>#REF!</f>
        <v>#REF!</v>
      </c>
      <c r="F447" s="325" t="e">
        <f>#REF!</f>
        <v>#REF!</v>
      </c>
      <c r="G447" s="325" t="e">
        <f>#REF!</f>
        <v>#REF!</v>
      </c>
      <c r="H447" s="325" t="e">
        <f t="shared" si="22"/>
        <v>#REF!</v>
      </c>
      <c r="I447" s="266"/>
      <c r="J447" s="266" t="e">
        <f t="shared" si="23"/>
        <v>#REF!</v>
      </c>
      <c r="K447" s="306"/>
      <c r="L447" s="280"/>
      <c r="M447" s="309"/>
      <c r="N447" s="266"/>
      <c r="O447" s="266"/>
    </row>
    <row r="448" spans="1:15" ht="17.25">
      <c r="A448" s="178" t="s">
        <v>80</v>
      </c>
      <c r="B448" s="75" t="s">
        <v>372</v>
      </c>
      <c r="C448" s="39" t="s">
        <v>17</v>
      </c>
      <c r="D448" s="255">
        <v>1023</v>
      </c>
      <c r="E448" s="325" t="e">
        <f>#REF!</f>
        <v>#REF!</v>
      </c>
      <c r="F448" s="325" t="e">
        <f>#REF!</f>
        <v>#REF!</v>
      </c>
      <c r="G448" s="325" t="e">
        <f>#REF!</f>
        <v>#REF!</v>
      </c>
      <c r="H448" s="325" t="e">
        <f t="shared" si="22"/>
        <v>#REF!</v>
      </c>
      <c r="I448" s="265">
        <v>170</v>
      </c>
      <c r="J448" s="266" t="e">
        <f t="shared" si="23"/>
        <v>#REF!</v>
      </c>
      <c r="K448" s="307"/>
      <c r="L448" s="310">
        <v>42396</v>
      </c>
      <c r="M448" s="308" t="s">
        <v>15</v>
      </c>
      <c r="N448" s="265"/>
      <c r="O448" s="266" t="s">
        <v>1642</v>
      </c>
    </row>
    <row r="449" spans="1:15" ht="31.5">
      <c r="A449" s="178" t="s">
        <v>80</v>
      </c>
      <c r="B449" s="75" t="s">
        <v>373</v>
      </c>
      <c r="C449" s="39" t="s">
        <v>17</v>
      </c>
      <c r="D449" s="255">
        <v>17</v>
      </c>
      <c r="E449" s="325" t="e">
        <f>#REF!</f>
        <v>#REF!</v>
      </c>
      <c r="F449" s="325" t="e">
        <f>#REF!</f>
        <v>#REF!</v>
      </c>
      <c r="G449" s="325" t="e">
        <f>#REF!</f>
        <v>#REF!</v>
      </c>
      <c r="H449" s="325" t="e">
        <f t="shared" si="22"/>
        <v>#REF!</v>
      </c>
      <c r="I449" s="266">
        <v>222</v>
      </c>
      <c r="J449" s="266" t="e">
        <f t="shared" si="23"/>
        <v>#REF!</v>
      </c>
      <c r="K449" s="306"/>
      <c r="L449" s="280">
        <v>42380</v>
      </c>
      <c r="M449" s="308" t="s">
        <v>1663</v>
      </c>
      <c r="N449" s="265"/>
      <c r="O449" s="266" t="s">
        <v>1642</v>
      </c>
    </row>
    <row r="450" spans="1:15" ht="17.25">
      <c r="A450" s="178" t="s">
        <v>80</v>
      </c>
      <c r="B450" s="75" t="s">
        <v>374</v>
      </c>
      <c r="C450" s="39" t="s">
        <v>17</v>
      </c>
      <c r="D450" s="255"/>
      <c r="E450" s="325" t="e">
        <f>#REF!</f>
        <v>#REF!</v>
      </c>
      <c r="F450" s="325" t="e">
        <f>#REF!</f>
        <v>#REF!</v>
      </c>
      <c r="G450" s="325" t="e">
        <f>#REF!</f>
        <v>#REF!</v>
      </c>
      <c r="H450" s="325" t="e">
        <f t="shared" si="22"/>
        <v>#REF!</v>
      </c>
      <c r="I450" s="265"/>
      <c r="J450" s="266" t="e">
        <f t="shared" si="23"/>
        <v>#REF!</v>
      </c>
      <c r="K450" s="307"/>
      <c r="L450" s="310"/>
      <c r="M450" s="308"/>
      <c r="N450" s="265"/>
      <c r="O450" s="266"/>
    </row>
    <row r="451" spans="1:15" ht="17.25">
      <c r="A451" s="178" t="s">
        <v>80</v>
      </c>
      <c r="B451" s="75" t="s">
        <v>375</v>
      </c>
      <c r="C451" s="39" t="s">
        <v>17</v>
      </c>
      <c r="D451" s="255"/>
      <c r="E451" s="325" t="e">
        <f>#REF!</f>
        <v>#REF!</v>
      </c>
      <c r="F451" s="325" t="e">
        <f>#REF!</f>
        <v>#REF!</v>
      </c>
      <c r="G451" s="325" t="e">
        <f>#REF!</f>
        <v>#REF!</v>
      </c>
      <c r="H451" s="325" t="e">
        <f t="shared" si="22"/>
        <v>#REF!</v>
      </c>
      <c r="I451" s="266"/>
      <c r="J451" s="266" t="e">
        <f t="shared" si="23"/>
        <v>#REF!</v>
      </c>
      <c r="K451" s="306"/>
      <c r="L451" s="280"/>
      <c r="M451" s="309"/>
      <c r="N451" s="266"/>
      <c r="O451" s="266"/>
    </row>
    <row r="452" spans="1:15" ht="17.25">
      <c r="A452" s="178" t="s">
        <v>80</v>
      </c>
      <c r="B452" s="75" t="s">
        <v>376</v>
      </c>
      <c r="C452" s="39" t="s">
        <v>17</v>
      </c>
      <c r="D452" s="255"/>
      <c r="E452" s="325" t="e">
        <f>#REF!</f>
        <v>#REF!</v>
      </c>
      <c r="F452" s="325" t="e">
        <f>#REF!</f>
        <v>#REF!</v>
      </c>
      <c r="G452" s="325" t="e">
        <f>#REF!</f>
        <v>#REF!</v>
      </c>
      <c r="H452" s="325" t="e">
        <f t="shared" si="22"/>
        <v>#REF!</v>
      </c>
      <c r="I452" s="265"/>
      <c r="J452" s="266" t="e">
        <f t="shared" si="23"/>
        <v>#REF!</v>
      </c>
      <c r="K452" s="307"/>
      <c r="L452" s="310"/>
      <c r="M452" s="308"/>
      <c r="N452" s="265"/>
      <c r="O452" s="266"/>
    </row>
    <row r="453" spans="1:15" ht="17.25">
      <c r="A453" s="178" t="s">
        <v>80</v>
      </c>
      <c r="B453" s="75" t="s">
        <v>377</v>
      </c>
      <c r="C453" s="39" t="s">
        <v>17</v>
      </c>
      <c r="D453" s="255"/>
      <c r="E453" s="325" t="e">
        <f>#REF!</f>
        <v>#REF!</v>
      </c>
      <c r="F453" s="325" t="e">
        <f>#REF!</f>
        <v>#REF!</v>
      </c>
      <c r="G453" s="325" t="e">
        <f>#REF!</f>
        <v>#REF!</v>
      </c>
      <c r="H453" s="325" t="e">
        <f t="shared" si="22"/>
        <v>#REF!</v>
      </c>
      <c r="I453" s="266"/>
      <c r="J453" s="266" t="e">
        <f t="shared" si="23"/>
        <v>#REF!</v>
      </c>
      <c r="K453" s="306"/>
      <c r="L453" s="280"/>
      <c r="M453" s="309"/>
      <c r="N453" s="266"/>
      <c r="O453" s="266"/>
    </row>
    <row r="454" spans="1:15" ht="17.25">
      <c r="A454" s="178" t="s">
        <v>80</v>
      </c>
      <c r="B454" s="75" t="s">
        <v>378</v>
      </c>
      <c r="C454" s="39" t="s">
        <v>17</v>
      </c>
      <c r="D454" s="255">
        <v>175</v>
      </c>
      <c r="E454" s="325" t="e">
        <f>#REF!</f>
        <v>#REF!</v>
      </c>
      <c r="F454" s="325" t="e">
        <f>#REF!</f>
        <v>#REF!</v>
      </c>
      <c r="G454" s="325" t="e">
        <f>#REF!</f>
        <v>#REF!</v>
      </c>
      <c r="H454" s="325" t="e">
        <f t="shared" si="22"/>
        <v>#REF!</v>
      </c>
      <c r="I454" s="265">
        <v>580.01</v>
      </c>
      <c r="J454" s="266" t="e">
        <f t="shared" si="23"/>
        <v>#REF!</v>
      </c>
      <c r="K454" s="307"/>
      <c r="L454" s="310">
        <v>42380</v>
      </c>
      <c r="M454" s="308" t="s">
        <v>15</v>
      </c>
      <c r="N454" s="265"/>
      <c r="O454" s="266" t="s">
        <v>1642</v>
      </c>
    </row>
    <row r="455" spans="1:15" ht="31.5">
      <c r="A455" s="178" t="s">
        <v>80</v>
      </c>
      <c r="B455" s="75" t="s">
        <v>1526</v>
      </c>
      <c r="C455" s="176" t="s">
        <v>17</v>
      </c>
      <c r="D455" s="255">
        <v>30</v>
      </c>
      <c r="E455" s="325" t="e">
        <f>#REF!</f>
        <v>#REF!</v>
      </c>
      <c r="F455" s="325" t="e">
        <f>#REF!</f>
        <v>#REF!</v>
      </c>
      <c r="G455" s="325" t="e">
        <f>#REF!</f>
        <v>#REF!</v>
      </c>
      <c r="H455" s="325" t="e">
        <f t="shared" si="22"/>
        <v>#REF!</v>
      </c>
      <c r="I455" s="266">
        <v>30</v>
      </c>
      <c r="J455" s="266" t="e">
        <f t="shared" si="23"/>
        <v>#REF!</v>
      </c>
      <c r="K455" s="306"/>
      <c r="L455" s="310">
        <v>42380</v>
      </c>
      <c r="M455" s="308" t="s">
        <v>1663</v>
      </c>
      <c r="N455" s="265"/>
      <c r="O455" s="266" t="s">
        <v>1642</v>
      </c>
    </row>
    <row r="456" spans="1:15" ht="17.25">
      <c r="A456" s="178" t="s">
        <v>80</v>
      </c>
      <c r="B456" s="75" t="s">
        <v>379</v>
      </c>
      <c r="C456" s="39" t="s">
        <v>17</v>
      </c>
      <c r="D456" s="255">
        <v>170</v>
      </c>
      <c r="E456" s="325" t="e">
        <f>#REF!</f>
        <v>#REF!</v>
      </c>
      <c r="F456" s="325" t="e">
        <f>#REF!</f>
        <v>#REF!</v>
      </c>
      <c r="G456" s="325" t="e">
        <f>#REF!</f>
        <v>#REF!</v>
      </c>
      <c r="H456" s="325" t="e">
        <f t="shared" si="22"/>
        <v>#REF!</v>
      </c>
      <c r="I456" s="265">
        <v>1210</v>
      </c>
      <c r="J456" s="266" t="e">
        <f t="shared" si="23"/>
        <v>#REF!</v>
      </c>
      <c r="K456" s="307"/>
      <c r="L456" s="310">
        <v>42380</v>
      </c>
      <c r="M456" s="308" t="s">
        <v>15</v>
      </c>
      <c r="N456" s="265"/>
      <c r="O456" s="266" t="s">
        <v>1642</v>
      </c>
    </row>
    <row r="457" spans="1:15" ht="17.25">
      <c r="A457" s="178" t="s">
        <v>80</v>
      </c>
      <c r="B457" s="75" t="s">
        <v>380</v>
      </c>
      <c r="C457" s="39" t="s">
        <v>17</v>
      </c>
      <c r="D457" s="255">
        <v>179</v>
      </c>
      <c r="E457" s="325" t="e">
        <f>#REF!</f>
        <v>#REF!</v>
      </c>
      <c r="F457" s="325" t="e">
        <f>#REF!</f>
        <v>#REF!</v>
      </c>
      <c r="G457" s="325" t="e">
        <f>#REF!</f>
        <v>#REF!</v>
      </c>
      <c r="H457" s="325" t="e">
        <f t="shared" si="22"/>
        <v>#REF!</v>
      </c>
      <c r="I457" s="266">
        <v>1840</v>
      </c>
      <c r="J457" s="266" t="e">
        <f t="shared" si="23"/>
        <v>#REF!</v>
      </c>
      <c r="K457" s="306"/>
      <c r="L457" s="280">
        <v>42380</v>
      </c>
      <c r="M457" s="308" t="s">
        <v>15</v>
      </c>
      <c r="N457" s="265"/>
      <c r="O457" s="266" t="s">
        <v>1642</v>
      </c>
    </row>
    <row r="458" spans="1:15" ht="17.25">
      <c r="A458" s="178" t="s">
        <v>80</v>
      </c>
      <c r="B458" s="75" t="s">
        <v>381</v>
      </c>
      <c r="C458" s="39" t="s">
        <v>17</v>
      </c>
      <c r="D458" s="255">
        <v>147</v>
      </c>
      <c r="E458" s="325" t="e">
        <f>#REF!</f>
        <v>#REF!</v>
      </c>
      <c r="F458" s="325" t="e">
        <f>#REF!</f>
        <v>#REF!</v>
      </c>
      <c r="G458" s="325" t="e">
        <f>#REF!</f>
        <v>#REF!</v>
      </c>
      <c r="H458" s="325" t="e">
        <f t="shared" si="22"/>
        <v>#REF!</v>
      </c>
      <c r="I458" s="265">
        <v>3700</v>
      </c>
      <c r="J458" s="266" t="e">
        <f t="shared" si="23"/>
        <v>#REF!</v>
      </c>
      <c r="K458" s="307"/>
      <c r="L458" s="310">
        <v>42380</v>
      </c>
      <c r="M458" s="308" t="s">
        <v>15</v>
      </c>
      <c r="N458" s="265"/>
      <c r="O458" s="266" t="s">
        <v>1642</v>
      </c>
    </row>
    <row r="459" spans="1:15" ht="17.25">
      <c r="A459" s="178" t="s">
        <v>80</v>
      </c>
      <c r="B459" s="75" t="s">
        <v>382</v>
      </c>
      <c r="C459" s="39" t="s">
        <v>17</v>
      </c>
      <c r="D459" s="255">
        <v>94</v>
      </c>
      <c r="E459" s="325" t="e">
        <f>#REF!</f>
        <v>#REF!</v>
      </c>
      <c r="F459" s="325" t="e">
        <f>#REF!</f>
        <v>#REF!</v>
      </c>
      <c r="G459" s="325" t="e">
        <f>#REF!</f>
        <v>#REF!</v>
      </c>
      <c r="H459" s="325" t="e">
        <f t="shared" si="22"/>
        <v>#REF!</v>
      </c>
      <c r="I459" s="266">
        <v>6915</v>
      </c>
      <c r="J459" s="266" t="e">
        <f t="shared" si="23"/>
        <v>#REF!</v>
      </c>
      <c r="K459" s="306"/>
      <c r="L459" s="280">
        <v>42380</v>
      </c>
      <c r="M459" s="308" t="s">
        <v>15</v>
      </c>
      <c r="N459" s="265"/>
      <c r="O459" s="266" t="s">
        <v>1642</v>
      </c>
    </row>
    <row r="460" spans="1:15" ht="17.25">
      <c r="A460" s="178" t="s">
        <v>80</v>
      </c>
      <c r="B460" s="75" t="s">
        <v>383</v>
      </c>
      <c r="C460" s="39" t="s">
        <v>17</v>
      </c>
      <c r="D460" s="255">
        <v>21</v>
      </c>
      <c r="E460" s="325" t="e">
        <f>#REF!</f>
        <v>#REF!</v>
      </c>
      <c r="F460" s="325" t="e">
        <f>#REF!</f>
        <v>#REF!</v>
      </c>
      <c r="G460" s="325" t="e">
        <f>#REF!</f>
        <v>#REF!</v>
      </c>
      <c r="H460" s="325" t="e">
        <f t="shared" si="22"/>
        <v>#REF!</v>
      </c>
      <c r="I460" s="265">
        <v>12500</v>
      </c>
      <c r="J460" s="266" t="e">
        <f t="shared" si="23"/>
        <v>#REF!</v>
      </c>
      <c r="K460" s="307"/>
      <c r="L460" s="310">
        <v>42380</v>
      </c>
      <c r="M460" s="308" t="s">
        <v>15</v>
      </c>
      <c r="N460" s="265"/>
      <c r="O460" s="266" t="s">
        <v>1642</v>
      </c>
    </row>
    <row r="461" spans="1:15" ht="31.5">
      <c r="A461" s="178" t="s">
        <v>80</v>
      </c>
      <c r="B461" s="75" t="s">
        <v>384</v>
      </c>
      <c r="C461" s="39" t="s">
        <v>17</v>
      </c>
      <c r="D461" s="255">
        <v>84</v>
      </c>
      <c r="E461" s="325" t="e">
        <f>#REF!</f>
        <v>#REF!</v>
      </c>
      <c r="F461" s="325" t="e">
        <f>#REF!</f>
        <v>#REF!</v>
      </c>
      <c r="G461" s="325" t="e">
        <f>#REF!</f>
        <v>#REF!</v>
      </c>
      <c r="H461" s="325" t="e">
        <f t="shared" si="22"/>
        <v>#REF!</v>
      </c>
      <c r="I461" s="266">
        <v>12948.26</v>
      </c>
      <c r="J461" s="266" t="e">
        <f t="shared" si="23"/>
        <v>#REF!</v>
      </c>
      <c r="K461" s="306"/>
      <c r="L461" s="280">
        <v>42380</v>
      </c>
      <c r="M461" s="308" t="s">
        <v>1645</v>
      </c>
      <c r="N461" s="265"/>
      <c r="O461" s="266" t="s">
        <v>1642</v>
      </c>
    </row>
    <row r="462" spans="1:15" ht="31.5">
      <c r="A462" s="178" t="s">
        <v>80</v>
      </c>
      <c r="B462" s="75" t="s">
        <v>385</v>
      </c>
      <c r="C462" s="39" t="s">
        <v>17</v>
      </c>
      <c r="D462" s="255">
        <v>32</v>
      </c>
      <c r="E462" s="325" t="e">
        <f>#REF!</f>
        <v>#REF!</v>
      </c>
      <c r="F462" s="325" t="e">
        <f>#REF!</f>
        <v>#REF!</v>
      </c>
      <c r="G462" s="325" t="e">
        <f>#REF!</f>
        <v>#REF!</v>
      </c>
      <c r="H462" s="325" t="e">
        <f t="shared" si="22"/>
        <v>#REF!</v>
      </c>
      <c r="I462" s="265">
        <v>24450</v>
      </c>
      <c r="J462" s="266" t="e">
        <f t="shared" si="23"/>
        <v>#REF!</v>
      </c>
      <c r="K462" s="307"/>
      <c r="L462" s="280">
        <v>42380</v>
      </c>
      <c r="M462" s="308" t="s">
        <v>1645</v>
      </c>
      <c r="N462" s="265"/>
      <c r="O462" s="266" t="s">
        <v>1642</v>
      </c>
    </row>
    <row r="463" spans="1:15" ht="17.25">
      <c r="A463" s="178" t="s">
        <v>80</v>
      </c>
      <c r="B463" s="75" t="s">
        <v>386</v>
      </c>
      <c r="C463" s="39" t="s">
        <v>17</v>
      </c>
      <c r="D463" s="255">
        <v>4</v>
      </c>
      <c r="E463" s="325" t="e">
        <f>#REF!</f>
        <v>#REF!</v>
      </c>
      <c r="F463" s="325" t="e">
        <f>#REF!</f>
        <v>#REF!</v>
      </c>
      <c r="G463" s="325" t="e">
        <f>#REF!</f>
        <v>#REF!</v>
      </c>
      <c r="H463" s="325" t="e">
        <f t="shared" si="22"/>
        <v>#REF!</v>
      </c>
      <c r="I463" s="266">
        <v>32936.68</v>
      </c>
      <c r="J463" s="266" t="e">
        <f t="shared" si="23"/>
        <v>#REF!</v>
      </c>
      <c r="K463" s="306"/>
      <c r="L463" s="280">
        <v>42380</v>
      </c>
      <c r="M463" s="308" t="s">
        <v>15</v>
      </c>
      <c r="N463" s="265"/>
      <c r="O463" s="266" t="s">
        <v>1642</v>
      </c>
    </row>
    <row r="464" spans="1:15" ht="17.25">
      <c r="A464" s="178" t="s">
        <v>80</v>
      </c>
      <c r="B464" s="75" t="s">
        <v>800</v>
      </c>
      <c r="C464" s="39" t="s">
        <v>17</v>
      </c>
      <c r="D464" s="255"/>
      <c r="E464" s="325" t="e">
        <f>#REF!</f>
        <v>#REF!</v>
      </c>
      <c r="F464" s="325" t="e">
        <f>#REF!</f>
        <v>#REF!</v>
      </c>
      <c r="G464" s="325" t="e">
        <f>#REF!</f>
        <v>#REF!</v>
      </c>
      <c r="H464" s="325" t="e">
        <f t="shared" ref="H464:H527" si="24">G464+F464+E464+D464</f>
        <v>#REF!</v>
      </c>
      <c r="I464" s="265"/>
      <c r="J464" s="266" t="e">
        <f t="shared" si="23"/>
        <v>#REF!</v>
      </c>
      <c r="K464" s="307"/>
      <c r="L464" s="310"/>
      <c r="M464" s="308"/>
      <c r="N464" s="265"/>
      <c r="O464" s="266"/>
    </row>
    <row r="465" spans="1:15" ht="17.25">
      <c r="A465" s="178" t="s">
        <v>80</v>
      </c>
      <c r="B465" s="75" t="s">
        <v>713</v>
      </c>
      <c r="C465" s="39" t="s">
        <v>17</v>
      </c>
      <c r="D465" s="255"/>
      <c r="E465" s="325" t="e">
        <f>#REF!</f>
        <v>#REF!</v>
      </c>
      <c r="F465" s="325" t="e">
        <f>#REF!</f>
        <v>#REF!</v>
      </c>
      <c r="G465" s="325" t="e">
        <f>#REF!</f>
        <v>#REF!</v>
      </c>
      <c r="H465" s="325" t="e">
        <f t="shared" si="24"/>
        <v>#REF!</v>
      </c>
      <c r="I465" s="266"/>
      <c r="J465" s="266" t="e">
        <f t="shared" si="23"/>
        <v>#REF!</v>
      </c>
      <c r="K465" s="306"/>
      <c r="L465" s="280"/>
      <c r="M465" s="309"/>
      <c r="N465" s="266"/>
      <c r="O465" s="266"/>
    </row>
    <row r="466" spans="1:15" ht="17.25">
      <c r="A466" s="178" t="s">
        <v>80</v>
      </c>
      <c r="B466" s="75" t="s">
        <v>712</v>
      </c>
      <c r="C466" s="39" t="s">
        <v>17</v>
      </c>
      <c r="D466" s="255"/>
      <c r="E466" s="325" t="e">
        <f>#REF!</f>
        <v>#REF!</v>
      </c>
      <c r="F466" s="325" t="e">
        <f>#REF!</f>
        <v>#REF!</v>
      </c>
      <c r="G466" s="325" t="e">
        <f>#REF!</f>
        <v>#REF!</v>
      </c>
      <c r="H466" s="325" t="e">
        <f t="shared" si="24"/>
        <v>#REF!</v>
      </c>
      <c r="I466" s="265"/>
      <c r="J466" s="266" t="e">
        <f t="shared" si="23"/>
        <v>#REF!</v>
      </c>
      <c r="K466" s="307"/>
      <c r="L466" s="310"/>
      <c r="M466" s="308"/>
      <c r="N466" s="265"/>
      <c r="O466" s="266"/>
    </row>
    <row r="467" spans="1:15" ht="17.25">
      <c r="A467" s="178" t="s">
        <v>80</v>
      </c>
      <c r="B467" s="75" t="s">
        <v>711</v>
      </c>
      <c r="C467" s="39" t="s">
        <v>17</v>
      </c>
      <c r="D467" s="255"/>
      <c r="E467" s="325" t="e">
        <f>#REF!</f>
        <v>#REF!</v>
      </c>
      <c r="F467" s="325" t="e">
        <f>#REF!</f>
        <v>#REF!</v>
      </c>
      <c r="G467" s="325" t="e">
        <f>#REF!</f>
        <v>#REF!</v>
      </c>
      <c r="H467" s="325" t="e">
        <f t="shared" si="24"/>
        <v>#REF!</v>
      </c>
      <c r="I467" s="266"/>
      <c r="J467" s="266" t="e">
        <f t="shared" si="23"/>
        <v>#REF!</v>
      </c>
      <c r="K467" s="306"/>
      <c r="L467" s="280"/>
      <c r="M467" s="309"/>
      <c r="N467" s="266"/>
      <c r="O467" s="266"/>
    </row>
    <row r="468" spans="1:15" ht="31.5">
      <c r="A468" s="178" t="s">
        <v>80</v>
      </c>
      <c r="B468" s="75" t="s">
        <v>710</v>
      </c>
      <c r="C468" s="39" t="s">
        <v>17</v>
      </c>
      <c r="D468" s="255">
        <v>4</v>
      </c>
      <c r="E468" s="325" t="e">
        <f>#REF!</f>
        <v>#REF!</v>
      </c>
      <c r="F468" s="325" t="e">
        <f>#REF!</f>
        <v>#REF!</v>
      </c>
      <c r="G468" s="325" t="e">
        <f>#REF!</f>
        <v>#REF!</v>
      </c>
      <c r="H468" s="325" t="e">
        <f t="shared" si="24"/>
        <v>#REF!</v>
      </c>
      <c r="I468" s="265">
        <v>8398</v>
      </c>
      <c r="J468" s="266" t="e">
        <f t="shared" si="23"/>
        <v>#REF!</v>
      </c>
      <c r="K468" s="307"/>
      <c r="L468" s="310">
        <v>42422</v>
      </c>
      <c r="M468" s="308" t="s">
        <v>1663</v>
      </c>
      <c r="N468" s="254" t="s">
        <v>342</v>
      </c>
      <c r="O468" s="266" t="s">
        <v>1642</v>
      </c>
    </row>
    <row r="469" spans="1:15" ht="17.25">
      <c r="A469" s="178" t="s">
        <v>80</v>
      </c>
      <c r="B469" s="75" t="s">
        <v>709</v>
      </c>
      <c r="C469" s="39" t="s">
        <v>17</v>
      </c>
      <c r="D469" s="255"/>
      <c r="E469" s="325" t="e">
        <f>#REF!</f>
        <v>#REF!</v>
      </c>
      <c r="F469" s="325" t="e">
        <f>#REF!</f>
        <v>#REF!</v>
      </c>
      <c r="G469" s="325" t="e">
        <f>#REF!</f>
        <v>#REF!</v>
      </c>
      <c r="H469" s="325" t="e">
        <f t="shared" si="24"/>
        <v>#REF!</v>
      </c>
      <c r="I469" s="266"/>
      <c r="J469" s="266" t="e">
        <f t="shared" si="23"/>
        <v>#REF!</v>
      </c>
      <c r="K469" s="306"/>
      <c r="L469" s="280"/>
      <c r="M469" s="309"/>
      <c r="N469" s="266"/>
      <c r="O469" s="266"/>
    </row>
    <row r="470" spans="1:15" ht="17.25">
      <c r="A470" s="178" t="s">
        <v>80</v>
      </c>
      <c r="B470" s="75" t="s">
        <v>708</v>
      </c>
      <c r="C470" s="39" t="s">
        <v>17</v>
      </c>
      <c r="D470" s="255"/>
      <c r="E470" s="325" t="e">
        <f>#REF!</f>
        <v>#REF!</v>
      </c>
      <c r="F470" s="325" t="e">
        <f>#REF!</f>
        <v>#REF!</v>
      </c>
      <c r="G470" s="325" t="e">
        <f>#REF!</f>
        <v>#REF!</v>
      </c>
      <c r="H470" s="325" t="e">
        <f t="shared" si="24"/>
        <v>#REF!</v>
      </c>
      <c r="I470" s="265"/>
      <c r="J470" s="266" t="e">
        <f t="shared" si="23"/>
        <v>#REF!</v>
      </c>
      <c r="K470" s="307"/>
      <c r="L470" s="310"/>
      <c r="M470" s="308"/>
      <c r="N470" s="265"/>
      <c r="O470" s="266"/>
    </row>
    <row r="471" spans="1:15" ht="17.25">
      <c r="A471" s="178" t="s">
        <v>80</v>
      </c>
      <c r="B471" s="75" t="s">
        <v>707</v>
      </c>
      <c r="C471" s="39" t="s">
        <v>17</v>
      </c>
      <c r="D471" s="255"/>
      <c r="E471" s="325" t="e">
        <f>#REF!</f>
        <v>#REF!</v>
      </c>
      <c r="F471" s="325" t="e">
        <f>#REF!</f>
        <v>#REF!</v>
      </c>
      <c r="G471" s="325" t="e">
        <f>#REF!</f>
        <v>#REF!</v>
      </c>
      <c r="H471" s="325" t="e">
        <f t="shared" si="24"/>
        <v>#REF!</v>
      </c>
      <c r="I471" s="266"/>
      <c r="J471" s="266" t="e">
        <f t="shared" si="23"/>
        <v>#REF!</v>
      </c>
      <c r="K471" s="306"/>
      <c r="L471" s="280"/>
      <c r="M471" s="309"/>
      <c r="N471" s="266"/>
      <c r="O471" s="266"/>
    </row>
    <row r="472" spans="1:15" ht="17.25">
      <c r="A472" s="178" t="s">
        <v>80</v>
      </c>
      <c r="B472" s="75" t="s">
        <v>706</v>
      </c>
      <c r="C472" s="39" t="s">
        <v>17</v>
      </c>
      <c r="D472" s="255"/>
      <c r="E472" s="325" t="e">
        <f>#REF!</f>
        <v>#REF!</v>
      </c>
      <c r="F472" s="325" t="e">
        <f>#REF!</f>
        <v>#REF!</v>
      </c>
      <c r="G472" s="325" t="e">
        <f>#REF!</f>
        <v>#REF!</v>
      </c>
      <c r="H472" s="325" t="e">
        <f t="shared" si="24"/>
        <v>#REF!</v>
      </c>
      <c r="I472" s="265"/>
      <c r="J472" s="266" t="e">
        <f t="shared" si="23"/>
        <v>#REF!</v>
      </c>
      <c r="K472" s="307"/>
      <c r="L472" s="310"/>
      <c r="M472" s="308"/>
      <c r="N472" s="265"/>
      <c r="O472" s="266"/>
    </row>
    <row r="473" spans="1:15" ht="17.25">
      <c r="A473" s="178" t="s">
        <v>80</v>
      </c>
      <c r="B473" s="75" t="s">
        <v>705</v>
      </c>
      <c r="C473" s="39" t="s">
        <v>17</v>
      </c>
      <c r="D473" s="255"/>
      <c r="E473" s="325" t="e">
        <f>#REF!</f>
        <v>#REF!</v>
      </c>
      <c r="F473" s="325" t="e">
        <f>#REF!</f>
        <v>#REF!</v>
      </c>
      <c r="G473" s="325" t="e">
        <f>#REF!</f>
        <v>#REF!</v>
      </c>
      <c r="H473" s="325" t="e">
        <f t="shared" si="24"/>
        <v>#REF!</v>
      </c>
      <c r="I473" s="266"/>
      <c r="J473" s="266" t="e">
        <f t="shared" si="23"/>
        <v>#REF!</v>
      </c>
      <c r="K473" s="306"/>
      <c r="L473" s="280"/>
      <c r="M473" s="309"/>
      <c r="N473" s="266"/>
      <c r="O473" s="266"/>
    </row>
    <row r="474" spans="1:15" ht="31.5">
      <c r="A474" s="178" t="s">
        <v>80</v>
      </c>
      <c r="B474" s="75" t="s">
        <v>1687</v>
      </c>
      <c r="C474" s="39" t="s">
        <v>17</v>
      </c>
      <c r="D474" s="255">
        <v>1</v>
      </c>
      <c r="E474" s="325" t="e">
        <f>#REF!</f>
        <v>#REF!</v>
      </c>
      <c r="F474" s="325" t="e">
        <f>#REF!</f>
        <v>#REF!</v>
      </c>
      <c r="G474" s="325" t="e">
        <f>#REF!</f>
        <v>#REF!</v>
      </c>
      <c r="H474" s="325" t="e">
        <f t="shared" si="24"/>
        <v>#REF!</v>
      </c>
      <c r="I474" s="266">
        <v>1825</v>
      </c>
      <c r="J474" s="266" t="e">
        <f t="shared" si="23"/>
        <v>#REF!</v>
      </c>
      <c r="K474" s="306"/>
      <c r="L474" s="280">
        <v>42422</v>
      </c>
      <c r="M474" s="308" t="s">
        <v>1663</v>
      </c>
      <c r="N474" s="254" t="s">
        <v>342</v>
      </c>
      <c r="O474" s="266" t="s">
        <v>1642</v>
      </c>
    </row>
    <row r="475" spans="1:15" ht="17.25">
      <c r="A475" s="178" t="s">
        <v>80</v>
      </c>
      <c r="B475" s="75" t="s">
        <v>1528</v>
      </c>
      <c r="C475" s="39" t="s">
        <v>17</v>
      </c>
      <c r="D475" s="255"/>
      <c r="E475" s="325" t="e">
        <f>#REF!</f>
        <v>#REF!</v>
      </c>
      <c r="F475" s="325" t="e">
        <f>#REF!</f>
        <v>#REF!</v>
      </c>
      <c r="G475" s="325" t="e">
        <f>#REF!</f>
        <v>#REF!</v>
      </c>
      <c r="H475" s="325" t="e">
        <f t="shared" si="24"/>
        <v>#REF!</v>
      </c>
      <c r="I475" s="265"/>
      <c r="J475" s="266" t="e">
        <f t="shared" si="23"/>
        <v>#REF!</v>
      </c>
      <c r="K475" s="307"/>
      <c r="L475" s="310"/>
      <c r="M475" s="308"/>
      <c r="N475" s="265"/>
      <c r="O475" s="266"/>
    </row>
    <row r="476" spans="1:15" ht="31.5">
      <c r="A476" s="178" t="s">
        <v>80</v>
      </c>
      <c r="B476" s="75" t="s">
        <v>1722</v>
      </c>
      <c r="C476" s="39" t="s">
        <v>17</v>
      </c>
      <c r="D476" s="255">
        <v>2</v>
      </c>
      <c r="E476" s="325" t="e">
        <f>#REF!</f>
        <v>#REF!</v>
      </c>
      <c r="F476" s="325" t="e">
        <f>#REF!</f>
        <v>#REF!</v>
      </c>
      <c r="G476" s="325" t="e">
        <f>#REF!</f>
        <v>#REF!</v>
      </c>
      <c r="H476" s="325" t="e">
        <f t="shared" si="24"/>
        <v>#REF!</v>
      </c>
      <c r="I476" s="265">
        <v>4007</v>
      </c>
      <c r="J476" s="266" t="e">
        <f t="shared" si="23"/>
        <v>#REF!</v>
      </c>
      <c r="K476" s="307"/>
      <c r="L476" s="310">
        <v>42383</v>
      </c>
      <c r="M476" s="308" t="s">
        <v>1663</v>
      </c>
      <c r="N476" s="266"/>
      <c r="O476" s="266" t="s">
        <v>1642</v>
      </c>
    </row>
    <row r="477" spans="1:15" ht="17.25">
      <c r="A477" s="178" t="s">
        <v>80</v>
      </c>
      <c r="B477" s="75" t="s">
        <v>703</v>
      </c>
      <c r="C477" s="39" t="s">
        <v>17</v>
      </c>
      <c r="D477" s="255"/>
      <c r="E477" s="325" t="e">
        <f>#REF!</f>
        <v>#REF!</v>
      </c>
      <c r="F477" s="325" t="e">
        <f>#REF!</f>
        <v>#REF!</v>
      </c>
      <c r="G477" s="325" t="e">
        <f>#REF!</f>
        <v>#REF!</v>
      </c>
      <c r="H477" s="325" t="e">
        <f t="shared" si="24"/>
        <v>#REF!</v>
      </c>
      <c r="I477" s="266"/>
      <c r="J477" s="266" t="e">
        <f t="shared" ref="J477:J540" si="25">I477*H477</f>
        <v>#REF!</v>
      </c>
      <c r="K477" s="306"/>
      <c r="L477" s="280"/>
      <c r="M477" s="309"/>
      <c r="N477" s="266"/>
      <c r="O477" s="266"/>
    </row>
    <row r="478" spans="1:15" ht="31.5">
      <c r="A478" s="178" t="s">
        <v>80</v>
      </c>
      <c r="B478" s="75" t="s">
        <v>704</v>
      </c>
      <c r="C478" s="39" t="s">
        <v>17</v>
      </c>
      <c r="D478" s="255">
        <v>10</v>
      </c>
      <c r="E478" s="325" t="e">
        <f>#REF!</f>
        <v>#REF!</v>
      </c>
      <c r="F478" s="325" t="e">
        <f>#REF!</f>
        <v>#REF!</v>
      </c>
      <c r="G478" s="325" t="e">
        <f>#REF!</f>
        <v>#REF!</v>
      </c>
      <c r="H478" s="325" t="e">
        <f t="shared" si="24"/>
        <v>#REF!</v>
      </c>
      <c r="I478" s="265">
        <v>2702</v>
      </c>
      <c r="J478" s="266" t="e">
        <f t="shared" si="25"/>
        <v>#REF!</v>
      </c>
      <c r="K478" s="307"/>
      <c r="L478" s="310">
        <v>42422</v>
      </c>
      <c r="M478" s="308" t="s">
        <v>1663</v>
      </c>
      <c r="N478" s="265"/>
      <c r="O478" s="266" t="s">
        <v>1642</v>
      </c>
    </row>
    <row r="479" spans="1:15" ht="17.25">
      <c r="A479" s="178" t="s">
        <v>80</v>
      </c>
      <c r="B479" s="75" t="s">
        <v>1216</v>
      </c>
      <c r="C479" s="39" t="s">
        <v>17</v>
      </c>
      <c r="D479" s="255"/>
      <c r="E479" s="325" t="e">
        <f>#REF!</f>
        <v>#REF!</v>
      </c>
      <c r="F479" s="325" t="e">
        <f>#REF!</f>
        <v>#REF!</v>
      </c>
      <c r="G479" s="325" t="e">
        <f>#REF!</f>
        <v>#REF!</v>
      </c>
      <c r="H479" s="325" t="e">
        <f t="shared" si="24"/>
        <v>#REF!</v>
      </c>
      <c r="I479" s="266"/>
      <c r="J479" s="266" t="e">
        <f t="shared" si="25"/>
        <v>#REF!</v>
      </c>
      <c r="K479" s="306"/>
      <c r="L479" s="280"/>
      <c r="M479" s="309"/>
      <c r="N479" s="266"/>
      <c r="O479" s="266"/>
    </row>
    <row r="480" spans="1:15" ht="17.25">
      <c r="A480" s="178" t="s">
        <v>80</v>
      </c>
      <c r="B480" s="75" t="s">
        <v>1215</v>
      </c>
      <c r="C480" s="39" t="s">
        <v>17</v>
      </c>
      <c r="D480" s="255"/>
      <c r="E480" s="325" t="e">
        <f>#REF!</f>
        <v>#REF!</v>
      </c>
      <c r="F480" s="325" t="e">
        <f>#REF!</f>
        <v>#REF!</v>
      </c>
      <c r="G480" s="325" t="e">
        <f>#REF!</f>
        <v>#REF!</v>
      </c>
      <c r="H480" s="325" t="e">
        <f t="shared" si="24"/>
        <v>#REF!</v>
      </c>
      <c r="I480" s="265"/>
      <c r="J480" s="266" t="e">
        <f t="shared" si="25"/>
        <v>#REF!</v>
      </c>
      <c r="K480" s="307"/>
      <c r="L480" s="310"/>
      <c r="M480" s="308"/>
      <c r="N480" s="265"/>
      <c r="O480" s="266"/>
    </row>
    <row r="481" spans="1:15" ht="17.25">
      <c r="A481" s="178" t="s">
        <v>80</v>
      </c>
      <c r="B481" s="75" t="s">
        <v>1620</v>
      </c>
      <c r="C481" s="39" t="s">
        <v>17</v>
      </c>
      <c r="D481" s="255"/>
      <c r="E481" s="325" t="e">
        <f>#REF!</f>
        <v>#REF!</v>
      </c>
      <c r="F481" s="325" t="e">
        <f>#REF!</f>
        <v>#REF!</v>
      </c>
      <c r="G481" s="325" t="e">
        <f>#REF!</f>
        <v>#REF!</v>
      </c>
      <c r="H481" s="325" t="e">
        <f t="shared" si="24"/>
        <v>#REF!</v>
      </c>
      <c r="I481" s="266"/>
      <c r="J481" s="266" t="e">
        <f t="shared" si="25"/>
        <v>#REF!</v>
      </c>
      <c r="K481" s="306"/>
      <c r="L481" s="280"/>
      <c r="M481" s="309"/>
      <c r="N481" s="266"/>
      <c r="O481" s="266"/>
    </row>
    <row r="482" spans="1:15" ht="17.25">
      <c r="A482" s="178" t="s">
        <v>80</v>
      </c>
      <c r="B482" s="75" t="s">
        <v>1702</v>
      </c>
      <c r="C482" s="39" t="s">
        <v>17</v>
      </c>
      <c r="D482" s="255">
        <v>500</v>
      </c>
      <c r="E482" s="325" t="e">
        <f>#REF!</f>
        <v>#REF!</v>
      </c>
      <c r="F482" s="325" t="e">
        <f>#REF!</f>
        <v>#REF!</v>
      </c>
      <c r="G482" s="325" t="e">
        <f>#REF!</f>
        <v>#REF!</v>
      </c>
      <c r="H482" s="325" t="e">
        <f t="shared" si="24"/>
        <v>#REF!</v>
      </c>
      <c r="I482" s="266">
        <v>208.88</v>
      </c>
      <c r="J482" s="266" t="e">
        <f t="shared" si="25"/>
        <v>#REF!</v>
      </c>
      <c r="K482" s="306"/>
      <c r="L482" s="280">
        <v>42396</v>
      </c>
      <c r="M482" s="309" t="s">
        <v>15</v>
      </c>
      <c r="N482" s="266"/>
      <c r="O482" s="266" t="s">
        <v>1642</v>
      </c>
    </row>
    <row r="483" spans="1:15" ht="31.5">
      <c r="A483" s="178" t="s">
        <v>80</v>
      </c>
      <c r="B483" s="75" t="s">
        <v>1529</v>
      </c>
      <c r="C483" s="39" t="s">
        <v>17</v>
      </c>
      <c r="D483" s="255">
        <v>8000</v>
      </c>
      <c r="E483" s="325" t="e">
        <f>#REF!</f>
        <v>#REF!</v>
      </c>
      <c r="F483" s="325" t="e">
        <f>#REF!</f>
        <v>#REF!</v>
      </c>
      <c r="G483" s="325" t="e">
        <f>#REF!</f>
        <v>#REF!</v>
      </c>
      <c r="H483" s="325" t="e">
        <f t="shared" si="24"/>
        <v>#REF!</v>
      </c>
      <c r="I483" s="265">
        <v>2.16</v>
      </c>
      <c r="J483" s="266" t="e">
        <f t="shared" si="25"/>
        <v>#REF!</v>
      </c>
      <c r="K483" s="307"/>
      <c r="L483" s="310">
        <v>42396</v>
      </c>
      <c r="M483" s="308" t="s">
        <v>1663</v>
      </c>
      <c r="N483" s="265"/>
      <c r="O483" s="266" t="s">
        <v>1642</v>
      </c>
    </row>
    <row r="484" spans="1:15" ht="17.25">
      <c r="A484" s="178" t="s">
        <v>80</v>
      </c>
      <c r="B484" s="75" t="s">
        <v>1569</v>
      </c>
      <c r="C484" s="39" t="s">
        <v>17</v>
      </c>
      <c r="D484" s="255"/>
      <c r="E484" s="325" t="e">
        <f>#REF!</f>
        <v>#REF!</v>
      </c>
      <c r="F484" s="325" t="e">
        <f>#REF!</f>
        <v>#REF!</v>
      </c>
      <c r="G484" s="325" t="e">
        <f>#REF!</f>
        <v>#REF!</v>
      </c>
      <c r="H484" s="325" t="e">
        <f t="shared" si="24"/>
        <v>#REF!</v>
      </c>
      <c r="I484" s="266"/>
      <c r="J484" s="266" t="e">
        <f t="shared" si="25"/>
        <v>#REF!</v>
      </c>
      <c r="K484" s="306"/>
      <c r="L484" s="280"/>
      <c r="M484" s="309"/>
      <c r="N484" s="266"/>
      <c r="O484" s="266"/>
    </row>
    <row r="485" spans="1:15" ht="17.25">
      <c r="A485" s="178" t="s">
        <v>80</v>
      </c>
      <c r="B485" s="75" t="s">
        <v>1568</v>
      </c>
      <c r="C485" s="39" t="s">
        <v>17</v>
      </c>
      <c r="D485" s="255"/>
      <c r="E485" s="325" t="e">
        <f>#REF!</f>
        <v>#REF!</v>
      </c>
      <c r="F485" s="325" t="e">
        <f>#REF!</f>
        <v>#REF!</v>
      </c>
      <c r="G485" s="325" t="e">
        <f>#REF!</f>
        <v>#REF!</v>
      </c>
      <c r="H485" s="325" t="e">
        <f t="shared" si="24"/>
        <v>#REF!</v>
      </c>
      <c r="I485" s="265"/>
      <c r="J485" s="266" t="e">
        <f t="shared" si="25"/>
        <v>#REF!</v>
      </c>
      <c r="K485" s="307"/>
      <c r="L485" s="310"/>
      <c r="M485" s="308"/>
      <c r="N485" s="265"/>
      <c r="O485" s="266"/>
    </row>
    <row r="486" spans="1:15" ht="31.5">
      <c r="A486" s="178" t="s">
        <v>80</v>
      </c>
      <c r="B486" s="75" t="s">
        <v>1530</v>
      </c>
      <c r="C486" s="39" t="s">
        <v>17</v>
      </c>
      <c r="D486" s="255">
        <v>8000</v>
      </c>
      <c r="E486" s="325" t="e">
        <f>#REF!</f>
        <v>#REF!</v>
      </c>
      <c r="F486" s="325" t="e">
        <f>#REF!</f>
        <v>#REF!</v>
      </c>
      <c r="G486" s="325" t="e">
        <f>#REF!</f>
        <v>#REF!</v>
      </c>
      <c r="H486" s="325" t="e">
        <f t="shared" si="24"/>
        <v>#REF!</v>
      </c>
      <c r="I486" s="266">
        <v>3.5</v>
      </c>
      <c r="J486" s="266" t="e">
        <f t="shared" si="25"/>
        <v>#REF!</v>
      </c>
      <c r="K486" s="306"/>
      <c r="L486" s="310">
        <v>42396</v>
      </c>
      <c r="M486" s="308" t="s">
        <v>1663</v>
      </c>
      <c r="N486" s="265"/>
      <c r="O486" s="266" t="s">
        <v>1642</v>
      </c>
    </row>
    <row r="487" spans="1:15" ht="17.25">
      <c r="A487" s="178" t="s">
        <v>80</v>
      </c>
      <c r="B487" s="75" t="s">
        <v>387</v>
      </c>
      <c r="C487" s="39" t="s">
        <v>17</v>
      </c>
      <c r="D487" s="255"/>
      <c r="E487" s="325" t="e">
        <f>#REF!</f>
        <v>#REF!</v>
      </c>
      <c r="F487" s="325" t="e">
        <f>#REF!</f>
        <v>#REF!</v>
      </c>
      <c r="G487" s="325" t="e">
        <f>#REF!</f>
        <v>#REF!</v>
      </c>
      <c r="H487" s="325" t="e">
        <f t="shared" si="24"/>
        <v>#REF!</v>
      </c>
      <c r="I487" s="265"/>
      <c r="J487" s="266" t="e">
        <f t="shared" si="25"/>
        <v>#REF!</v>
      </c>
      <c r="K487" s="307"/>
      <c r="L487" s="310"/>
      <c r="M487" s="308"/>
      <c r="N487" s="265"/>
      <c r="O487" s="266"/>
    </row>
    <row r="488" spans="1:15" ht="17.25">
      <c r="A488" s="178" t="s">
        <v>80</v>
      </c>
      <c r="B488" s="75" t="s">
        <v>388</v>
      </c>
      <c r="C488" s="39" t="s">
        <v>17</v>
      </c>
      <c r="D488" s="255"/>
      <c r="E488" s="325" t="e">
        <f>#REF!</f>
        <v>#REF!</v>
      </c>
      <c r="F488" s="325" t="e">
        <f>#REF!</f>
        <v>#REF!</v>
      </c>
      <c r="G488" s="325" t="e">
        <f>#REF!</f>
        <v>#REF!</v>
      </c>
      <c r="H488" s="325" t="e">
        <f t="shared" si="24"/>
        <v>#REF!</v>
      </c>
      <c r="I488" s="266"/>
      <c r="J488" s="266" t="e">
        <f t="shared" si="25"/>
        <v>#REF!</v>
      </c>
      <c r="K488" s="306"/>
      <c r="L488" s="280"/>
      <c r="M488" s="309"/>
      <c r="N488" s="266"/>
      <c r="O488" s="266"/>
    </row>
    <row r="489" spans="1:15" ht="17.25">
      <c r="A489" s="178" t="s">
        <v>80</v>
      </c>
      <c r="B489" s="75" t="s">
        <v>1567</v>
      </c>
      <c r="C489" s="39" t="s">
        <v>17</v>
      </c>
      <c r="D489" s="255"/>
      <c r="E489" s="325" t="e">
        <f>#REF!</f>
        <v>#REF!</v>
      </c>
      <c r="F489" s="325" t="e">
        <f>#REF!</f>
        <v>#REF!</v>
      </c>
      <c r="G489" s="325" t="e">
        <f>#REF!</f>
        <v>#REF!</v>
      </c>
      <c r="H489" s="325" t="e">
        <f t="shared" si="24"/>
        <v>#REF!</v>
      </c>
      <c r="I489" s="265"/>
      <c r="J489" s="266" t="e">
        <f t="shared" si="25"/>
        <v>#REF!</v>
      </c>
      <c r="K489" s="307"/>
      <c r="L489" s="310"/>
      <c r="M489" s="308"/>
      <c r="N489" s="265"/>
      <c r="O489" s="266"/>
    </row>
    <row r="490" spans="1:15" ht="17.25">
      <c r="A490" s="178" t="s">
        <v>80</v>
      </c>
      <c r="B490" s="75" t="s">
        <v>389</v>
      </c>
      <c r="C490" s="39" t="s">
        <v>17</v>
      </c>
      <c r="D490" s="255"/>
      <c r="E490" s="325" t="e">
        <f>#REF!</f>
        <v>#REF!</v>
      </c>
      <c r="F490" s="325" t="e">
        <f>#REF!</f>
        <v>#REF!</v>
      </c>
      <c r="G490" s="325" t="e">
        <f>#REF!</f>
        <v>#REF!</v>
      </c>
      <c r="H490" s="325" t="e">
        <f t="shared" si="24"/>
        <v>#REF!</v>
      </c>
      <c r="I490" s="266"/>
      <c r="J490" s="266" t="e">
        <f t="shared" si="25"/>
        <v>#REF!</v>
      </c>
      <c r="K490" s="306"/>
      <c r="L490" s="280"/>
      <c r="M490" s="309"/>
      <c r="N490" s="266"/>
      <c r="O490" s="266"/>
    </row>
    <row r="491" spans="1:15" ht="31.5">
      <c r="A491" s="178" t="s">
        <v>80</v>
      </c>
      <c r="B491" s="75" t="s">
        <v>1723</v>
      </c>
      <c r="C491" s="39" t="s">
        <v>17</v>
      </c>
      <c r="D491" s="255">
        <v>1</v>
      </c>
      <c r="E491" s="325" t="e">
        <f>#REF!</f>
        <v>#REF!</v>
      </c>
      <c r="F491" s="325" t="e">
        <f>#REF!</f>
        <v>#REF!</v>
      </c>
      <c r="G491" s="325" t="e">
        <f>#REF!</f>
        <v>#REF!</v>
      </c>
      <c r="H491" s="325" t="e">
        <f t="shared" si="24"/>
        <v>#REF!</v>
      </c>
      <c r="I491" s="266">
        <v>1450</v>
      </c>
      <c r="J491" s="266" t="e">
        <f t="shared" si="25"/>
        <v>#REF!</v>
      </c>
      <c r="K491" s="306"/>
      <c r="L491" s="280">
        <v>42383</v>
      </c>
      <c r="M491" s="308" t="s">
        <v>1663</v>
      </c>
      <c r="N491" s="266"/>
      <c r="O491" s="266" t="s">
        <v>1642</v>
      </c>
    </row>
    <row r="492" spans="1:15" ht="25.5">
      <c r="A492" s="178" t="s">
        <v>80</v>
      </c>
      <c r="B492" s="75" t="s">
        <v>1716</v>
      </c>
      <c r="C492" s="39" t="s">
        <v>17</v>
      </c>
      <c r="D492" s="255">
        <v>3</v>
      </c>
      <c r="E492" s="325" t="e">
        <f>#REF!</f>
        <v>#REF!</v>
      </c>
      <c r="F492" s="325" t="e">
        <f>#REF!</f>
        <v>#REF!</v>
      </c>
      <c r="G492" s="325" t="e">
        <f>#REF!</f>
        <v>#REF!</v>
      </c>
      <c r="H492" s="325" t="e">
        <f t="shared" si="24"/>
        <v>#REF!</v>
      </c>
      <c r="I492" s="266">
        <v>93683</v>
      </c>
      <c r="J492" s="266" t="e">
        <f t="shared" si="25"/>
        <v>#REF!</v>
      </c>
      <c r="K492" s="306"/>
      <c r="L492" s="280">
        <v>42383</v>
      </c>
      <c r="M492" s="309" t="s">
        <v>15</v>
      </c>
      <c r="N492" s="265"/>
      <c r="O492" s="266" t="s">
        <v>1642</v>
      </c>
    </row>
    <row r="493" spans="1:15" ht="17.25">
      <c r="A493" s="178" t="s">
        <v>80</v>
      </c>
      <c r="B493" s="75" t="s">
        <v>1621</v>
      </c>
      <c r="C493" s="39" t="s">
        <v>17</v>
      </c>
      <c r="D493" s="255"/>
      <c r="E493" s="325" t="e">
        <f>#REF!</f>
        <v>#REF!</v>
      </c>
      <c r="F493" s="325" t="e">
        <f>#REF!</f>
        <v>#REF!</v>
      </c>
      <c r="G493" s="325" t="e">
        <f>#REF!</f>
        <v>#REF!</v>
      </c>
      <c r="H493" s="325" t="e">
        <f t="shared" si="24"/>
        <v>#REF!</v>
      </c>
      <c r="I493" s="265"/>
      <c r="J493" s="266" t="e">
        <f t="shared" si="25"/>
        <v>#REF!</v>
      </c>
      <c r="K493" s="307"/>
      <c r="L493" s="310"/>
      <c r="M493" s="308"/>
      <c r="N493" s="265"/>
      <c r="O493" s="266"/>
    </row>
    <row r="494" spans="1:15" ht="17.25">
      <c r="A494" s="178" t="s">
        <v>80</v>
      </c>
      <c r="B494" s="75" t="s">
        <v>1482</v>
      </c>
      <c r="C494" s="39" t="s">
        <v>17</v>
      </c>
      <c r="D494" s="255">
        <v>1</v>
      </c>
      <c r="E494" s="325" t="e">
        <f>#REF!</f>
        <v>#REF!</v>
      </c>
      <c r="F494" s="325" t="e">
        <f>#REF!</f>
        <v>#REF!</v>
      </c>
      <c r="G494" s="325" t="e">
        <f>#REF!</f>
        <v>#REF!</v>
      </c>
      <c r="H494" s="325" t="e">
        <f t="shared" si="24"/>
        <v>#REF!</v>
      </c>
      <c r="I494" s="266">
        <v>10250</v>
      </c>
      <c r="J494" s="266" t="e">
        <f t="shared" si="25"/>
        <v>#REF!</v>
      </c>
      <c r="K494" s="306"/>
      <c r="L494" s="280">
        <v>42383</v>
      </c>
      <c r="M494" s="309" t="s">
        <v>15</v>
      </c>
      <c r="N494" s="265"/>
      <c r="O494" s="266" t="s">
        <v>1642</v>
      </c>
    </row>
    <row r="495" spans="1:15" ht="17.25">
      <c r="A495" s="178" t="s">
        <v>80</v>
      </c>
      <c r="B495" s="75" t="s">
        <v>1483</v>
      </c>
      <c r="C495" s="39" t="s">
        <v>17</v>
      </c>
      <c r="D495" s="255"/>
      <c r="E495" s="325" t="e">
        <f>#REF!</f>
        <v>#REF!</v>
      </c>
      <c r="F495" s="325" t="e">
        <f>#REF!</f>
        <v>#REF!</v>
      </c>
      <c r="G495" s="325" t="e">
        <f>#REF!</f>
        <v>#REF!</v>
      </c>
      <c r="H495" s="325" t="e">
        <f t="shared" si="24"/>
        <v>#REF!</v>
      </c>
      <c r="I495" s="265"/>
      <c r="J495" s="266" t="e">
        <f t="shared" si="25"/>
        <v>#REF!</v>
      </c>
      <c r="K495" s="307"/>
      <c r="L495" s="310"/>
      <c r="M495" s="308"/>
      <c r="N495" s="265"/>
      <c r="O495" s="266"/>
    </row>
    <row r="496" spans="1:15" ht="25.5">
      <c r="A496" s="178" t="s">
        <v>80</v>
      </c>
      <c r="B496" s="75" t="s">
        <v>1484</v>
      </c>
      <c r="C496" s="39" t="s">
        <v>17</v>
      </c>
      <c r="D496" s="255"/>
      <c r="E496" s="325" t="e">
        <f>#REF!</f>
        <v>#REF!</v>
      </c>
      <c r="F496" s="325" t="e">
        <f>#REF!</f>
        <v>#REF!</v>
      </c>
      <c r="G496" s="325" t="e">
        <f>#REF!</f>
        <v>#REF!</v>
      </c>
      <c r="H496" s="325" t="e">
        <f t="shared" si="24"/>
        <v>#REF!</v>
      </c>
      <c r="I496" s="266"/>
      <c r="J496" s="266" t="e">
        <f t="shared" si="25"/>
        <v>#REF!</v>
      </c>
      <c r="K496" s="306"/>
      <c r="L496" s="280"/>
      <c r="M496" s="309"/>
      <c r="N496" s="266"/>
      <c r="O496" s="266"/>
    </row>
    <row r="497" spans="1:15" ht="25.5">
      <c r="A497" s="178" t="s">
        <v>80</v>
      </c>
      <c r="B497" s="75" t="s">
        <v>1485</v>
      </c>
      <c r="C497" s="39" t="s">
        <v>17</v>
      </c>
      <c r="D497" s="255"/>
      <c r="E497" s="325" t="e">
        <f>#REF!</f>
        <v>#REF!</v>
      </c>
      <c r="F497" s="325" t="e">
        <f>#REF!</f>
        <v>#REF!</v>
      </c>
      <c r="G497" s="325" t="e">
        <f>#REF!</f>
        <v>#REF!</v>
      </c>
      <c r="H497" s="325" t="e">
        <f t="shared" si="24"/>
        <v>#REF!</v>
      </c>
      <c r="I497" s="265"/>
      <c r="J497" s="266" t="e">
        <f t="shared" si="25"/>
        <v>#REF!</v>
      </c>
      <c r="K497" s="307"/>
      <c r="L497" s="310"/>
      <c r="M497" s="308"/>
      <c r="N497" s="265"/>
      <c r="O497" s="266"/>
    </row>
    <row r="498" spans="1:15" ht="17.25">
      <c r="A498" s="178" t="s">
        <v>80</v>
      </c>
      <c r="B498" s="75" t="s">
        <v>1486</v>
      </c>
      <c r="C498" s="39" t="s">
        <v>17</v>
      </c>
      <c r="D498" s="255"/>
      <c r="E498" s="325" t="e">
        <f>#REF!</f>
        <v>#REF!</v>
      </c>
      <c r="F498" s="325" t="e">
        <f>#REF!</f>
        <v>#REF!</v>
      </c>
      <c r="G498" s="325" t="e">
        <f>#REF!</f>
        <v>#REF!</v>
      </c>
      <c r="H498" s="325" t="e">
        <f t="shared" si="24"/>
        <v>#REF!</v>
      </c>
      <c r="I498" s="266"/>
      <c r="J498" s="266" t="e">
        <f t="shared" si="25"/>
        <v>#REF!</v>
      </c>
      <c r="K498" s="306"/>
      <c r="L498" s="280"/>
      <c r="M498" s="309"/>
      <c r="N498" s="266"/>
      <c r="O498" s="266"/>
    </row>
    <row r="499" spans="1:15" ht="25.5">
      <c r="A499" s="178" t="s">
        <v>80</v>
      </c>
      <c r="B499" s="75" t="s">
        <v>1487</v>
      </c>
      <c r="C499" s="39" t="s">
        <v>17</v>
      </c>
      <c r="D499" s="255"/>
      <c r="E499" s="325" t="e">
        <f>#REF!</f>
        <v>#REF!</v>
      </c>
      <c r="F499" s="325" t="e">
        <f>#REF!</f>
        <v>#REF!</v>
      </c>
      <c r="G499" s="325" t="e">
        <f>#REF!</f>
        <v>#REF!</v>
      </c>
      <c r="H499" s="325" t="e">
        <f t="shared" si="24"/>
        <v>#REF!</v>
      </c>
      <c r="I499" s="265"/>
      <c r="J499" s="266" t="e">
        <f t="shared" si="25"/>
        <v>#REF!</v>
      </c>
      <c r="K499" s="307"/>
      <c r="L499" s="310"/>
      <c r="M499" s="308"/>
      <c r="N499" s="265"/>
      <c r="O499" s="266"/>
    </row>
    <row r="500" spans="1:15" ht="25.5">
      <c r="A500" s="178" t="s">
        <v>80</v>
      </c>
      <c r="B500" s="75" t="s">
        <v>1488</v>
      </c>
      <c r="C500" s="39" t="s">
        <v>17</v>
      </c>
      <c r="D500" s="255"/>
      <c r="E500" s="325" t="e">
        <f>#REF!</f>
        <v>#REF!</v>
      </c>
      <c r="F500" s="325" t="e">
        <f>#REF!</f>
        <v>#REF!</v>
      </c>
      <c r="G500" s="325" t="e">
        <f>#REF!</f>
        <v>#REF!</v>
      </c>
      <c r="H500" s="325" t="e">
        <f t="shared" si="24"/>
        <v>#REF!</v>
      </c>
      <c r="I500" s="266"/>
      <c r="J500" s="266" t="e">
        <f t="shared" si="25"/>
        <v>#REF!</v>
      </c>
      <c r="K500" s="306"/>
      <c r="L500" s="280"/>
      <c r="M500" s="309"/>
      <c r="N500" s="266"/>
      <c r="O500" s="266"/>
    </row>
    <row r="501" spans="1:15" ht="38.25">
      <c r="A501" s="178" t="s">
        <v>1674</v>
      </c>
      <c r="B501" s="75" t="s">
        <v>1675</v>
      </c>
      <c r="C501" s="39" t="s">
        <v>17</v>
      </c>
      <c r="D501" s="255">
        <v>2</v>
      </c>
      <c r="E501" s="325" t="e">
        <f>#REF!</f>
        <v>#REF!</v>
      </c>
      <c r="F501" s="325" t="e">
        <f>#REF!</f>
        <v>#REF!</v>
      </c>
      <c r="G501" s="325" t="e">
        <f>#REF!</f>
        <v>#REF!</v>
      </c>
      <c r="H501" s="325" t="e">
        <f t="shared" si="24"/>
        <v>#REF!</v>
      </c>
      <c r="I501" s="266">
        <v>86000</v>
      </c>
      <c r="J501" s="266" t="e">
        <f t="shared" si="25"/>
        <v>#REF!</v>
      </c>
      <c r="K501" s="306"/>
      <c r="L501" s="280">
        <v>42397</v>
      </c>
      <c r="M501" s="309" t="s">
        <v>15</v>
      </c>
      <c r="N501" s="254" t="s">
        <v>342</v>
      </c>
      <c r="O501" s="266" t="s">
        <v>1642</v>
      </c>
    </row>
    <row r="502" spans="1:15" ht="25.5">
      <c r="A502" s="178" t="s">
        <v>80</v>
      </c>
      <c r="B502" s="75" t="s">
        <v>1489</v>
      </c>
      <c r="C502" s="39" t="s">
        <v>17</v>
      </c>
      <c r="D502" s="255"/>
      <c r="E502" s="325" t="e">
        <f>#REF!</f>
        <v>#REF!</v>
      </c>
      <c r="F502" s="325" t="e">
        <f>#REF!</f>
        <v>#REF!</v>
      </c>
      <c r="G502" s="325" t="e">
        <f>#REF!</f>
        <v>#REF!</v>
      </c>
      <c r="H502" s="325" t="e">
        <f t="shared" si="24"/>
        <v>#REF!</v>
      </c>
      <c r="I502" s="261"/>
      <c r="J502" s="266" t="e">
        <f t="shared" si="25"/>
        <v>#REF!</v>
      </c>
      <c r="K502" s="295"/>
      <c r="L502" s="270"/>
      <c r="M502" s="263"/>
      <c r="N502" s="261"/>
      <c r="O502" s="260"/>
    </row>
    <row r="503" spans="1:15" ht="25.5">
      <c r="A503" s="178" t="s">
        <v>80</v>
      </c>
      <c r="B503" s="75" t="s">
        <v>1490</v>
      </c>
      <c r="C503" s="39" t="s">
        <v>17</v>
      </c>
      <c r="D503" s="255"/>
      <c r="E503" s="325" t="e">
        <f>#REF!</f>
        <v>#REF!</v>
      </c>
      <c r="F503" s="325" t="e">
        <f>#REF!</f>
        <v>#REF!</v>
      </c>
      <c r="G503" s="325" t="e">
        <f>#REF!</f>
        <v>#REF!</v>
      </c>
      <c r="H503" s="325" t="e">
        <f t="shared" si="24"/>
        <v>#REF!</v>
      </c>
      <c r="I503" s="260"/>
      <c r="J503" s="266" t="e">
        <f t="shared" si="25"/>
        <v>#REF!</v>
      </c>
      <c r="K503" s="294"/>
      <c r="L503" s="271"/>
      <c r="M503" s="264"/>
      <c r="N503" s="260"/>
      <c r="O503" s="260"/>
    </row>
    <row r="504" spans="1:15" ht="25.5">
      <c r="A504" s="178" t="s">
        <v>80</v>
      </c>
      <c r="B504" s="75" t="s">
        <v>1491</v>
      </c>
      <c r="C504" s="39" t="s">
        <v>17</v>
      </c>
      <c r="D504" s="255"/>
      <c r="E504" s="325" t="e">
        <f>#REF!</f>
        <v>#REF!</v>
      </c>
      <c r="F504" s="325" t="e">
        <f>#REF!</f>
        <v>#REF!</v>
      </c>
      <c r="G504" s="325" t="e">
        <f>#REF!</f>
        <v>#REF!</v>
      </c>
      <c r="H504" s="325" t="e">
        <f t="shared" si="24"/>
        <v>#REF!</v>
      </c>
      <c r="I504" s="261"/>
      <c r="J504" s="266" t="e">
        <f t="shared" si="25"/>
        <v>#REF!</v>
      </c>
      <c r="K504" s="295"/>
      <c r="L504" s="270"/>
      <c r="M504" s="263"/>
      <c r="N504" s="261"/>
      <c r="O504" s="260"/>
    </row>
    <row r="505" spans="1:15" ht="25.5">
      <c r="A505" s="178" t="s">
        <v>80</v>
      </c>
      <c r="B505" s="75" t="s">
        <v>1492</v>
      </c>
      <c r="C505" s="39" t="s">
        <v>17</v>
      </c>
      <c r="D505" s="255"/>
      <c r="E505" s="325" t="e">
        <f>#REF!</f>
        <v>#REF!</v>
      </c>
      <c r="F505" s="325" t="e">
        <f>#REF!</f>
        <v>#REF!</v>
      </c>
      <c r="G505" s="325" t="e">
        <f>#REF!</f>
        <v>#REF!</v>
      </c>
      <c r="H505" s="325" t="e">
        <f t="shared" si="24"/>
        <v>#REF!</v>
      </c>
      <c r="I505" s="260"/>
      <c r="J505" s="266" t="e">
        <f t="shared" si="25"/>
        <v>#REF!</v>
      </c>
      <c r="K505" s="294"/>
      <c r="L505" s="271"/>
      <c r="M505" s="264"/>
      <c r="N505" s="260"/>
      <c r="O505" s="260"/>
    </row>
    <row r="506" spans="1:15" ht="25.5">
      <c r="A506" s="178" t="s">
        <v>80</v>
      </c>
      <c r="B506" s="75" t="s">
        <v>1493</v>
      </c>
      <c r="C506" s="39" t="s">
        <v>17</v>
      </c>
      <c r="D506" s="255"/>
      <c r="E506" s="325" t="e">
        <f>#REF!</f>
        <v>#REF!</v>
      </c>
      <c r="F506" s="325" t="e">
        <f>#REF!</f>
        <v>#REF!</v>
      </c>
      <c r="G506" s="325" t="e">
        <f>#REF!</f>
        <v>#REF!</v>
      </c>
      <c r="H506" s="325" t="e">
        <f t="shared" si="24"/>
        <v>#REF!</v>
      </c>
      <c r="I506" s="261"/>
      <c r="J506" s="266" t="e">
        <f t="shared" si="25"/>
        <v>#REF!</v>
      </c>
      <c r="K506" s="295"/>
      <c r="L506" s="270"/>
      <c r="M506" s="263"/>
      <c r="N506" s="261"/>
      <c r="O506" s="260"/>
    </row>
    <row r="507" spans="1:15" ht="25.5">
      <c r="A507" s="178" t="s">
        <v>80</v>
      </c>
      <c r="B507" s="75" t="s">
        <v>1494</v>
      </c>
      <c r="C507" s="39" t="s">
        <v>17</v>
      </c>
      <c r="D507" s="255"/>
      <c r="E507" s="325" t="e">
        <f>#REF!</f>
        <v>#REF!</v>
      </c>
      <c r="F507" s="325" t="e">
        <f>#REF!</f>
        <v>#REF!</v>
      </c>
      <c r="G507" s="325" t="e">
        <f>#REF!</f>
        <v>#REF!</v>
      </c>
      <c r="H507" s="325" t="e">
        <f t="shared" si="24"/>
        <v>#REF!</v>
      </c>
      <c r="I507" s="260"/>
      <c r="J507" s="266" t="e">
        <f t="shared" si="25"/>
        <v>#REF!</v>
      </c>
      <c r="K507" s="294"/>
      <c r="L507" s="271"/>
      <c r="M507" s="264"/>
      <c r="N507" s="260"/>
      <c r="O507" s="260"/>
    </row>
    <row r="508" spans="1:15" ht="25.5">
      <c r="A508" s="178" t="s">
        <v>80</v>
      </c>
      <c r="B508" s="75" t="s">
        <v>1495</v>
      </c>
      <c r="C508" s="39" t="s">
        <v>17</v>
      </c>
      <c r="D508" s="255"/>
      <c r="E508" s="325" t="e">
        <f>#REF!</f>
        <v>#REF!</v>
      </c>
      <c r="F508" s="325" t="e">
        <f>#REF!</f>
        <v>#REF!</v>
      </c>
      <c r="G508" s="325" t="e">
        <f>#REF!</f>
        <v>#REF!</v>
      </c>
      <c r="H508" s="325" t="e">
        <f t="shared" si="24"/>
        <v>#REF!</v>
      </c>
      <c r="I508" s="261"/>
      <c r="J508" s="266" t="e">
        <f t="shared" si="25"/>
        <v>#REF!</v>
      </c>
      <c r="K508" s="295"/>
      <c r="L508" s="270"/>
      <c r="M508" s="263"/>
      <c r="N508" s="261"/>
      <c r="O508" s="260"/>
    </row>
    <row r="509" spans="1:15" ht="38.25">
      <c r="A509" s="178" t="s">
        <v>80</v>
      </c>
      <c r="B509" s="75" t="s">
        <v>1496</v>
      </c>
      <c r="C509" s="39" t="s">
        <v>17</v>
      </c>
      <c r="D509" s="255"/>
      <c r="E509" s="325" t="e">
        <f>#REF!</f>
        <v>#REF!</v>
      </c>
      <c r="F509" s="325" t="e">
        <f>#REF!</f>
        <v>#REF!</v>
      </c>
      <c r="G509" s="325" t="e">
        <f>#REF!</f>
        <v>#REF!</v>
      </c>
      <c r="H509" s="325" t="e">
        <f t="shared" si="24"/>
        <v>#REF!</v>
      </c>
      <c r="I509" s="260"/>
      <c r="J509" s="266" t="e">
        <f t="shared" si="25"/>
        <v>#REF!</v>
      </c>
      <c r="K509" s="294"/>
      <c r="L509" s="271"/>
      <c r="M509" s="264"/>
      <c r="N509" s="260"/>
      <c r="O509" s="260"/>
    </row>
    <row r="510" spans="1:15" ht="25.5">
      <c r="A510" s="178" t="s">
        <v>80</v>
      </c>
      <c r="B510" s="75" t="s">
        <v>1497</v>
      </c>
      <c r="C510" s="39" t="s">
        <v>17</v>
      </c>
      <c r="D510" s="255"/>
      <c r="E510" s="325" t="e">
        <f>#REF!</f>
        <v>#REF!</v>
      </c>
      <c r="F510" s="325" t="e">
        <f>#REF!</f>
        <v>#REF!</v>
      </c>
      <c r="G510" s="325" t="e">
        <f>#REF!</f>
        <v>#REF!</v>
      </c>
      <c r="H510" s="325" t="e">
        <f t="shared" si="24"/>
        <v>#REF!</v>
      </c>
      <c r="I510" s="261"/>
      <c r="J510" s="266" t="e">
        <f t="shared" si="25"/>
        <v>#REF!</v>
      </c>
      <c r="K510" s="295"/>
      <c r="L510" s="270"/>
      <c r="M510" s="263"/>
      <c r="N510" s="261"/>
      <c r="O510" s="260"/>
    </row>
    <row r="511" spans="1:15" ht="25.5">
      <c r="A511" s="178" t="s">
        <v>80</v>
      </c>
      <c r="B511" s="75" t="s">
        <v>1498</v>
      </c>
      <c r="C511" s="39" t="s">
        <v>17</v>
      </c>
      <c r="D511" s="255"/>
      <c r="E511" s="325" t="e">
        <f>#REF!</f>
        <v>#REF!</v>
      </c>
      <c r="F511" s="325" t="e">
        <f>#REF!</f>
        <v>#REF!</v>
      </c>
      <c r="G511" s="325" t="e">
        <f>#REF!</f>
        <v>#REF!</v>
      </c>
      <c r="H511" s="325" t="e">
        <f t="shared" si="24"/>
        <v>#REF!</v>
      </c>
      <c r="I511" s="260"/>
      <c r="J511" s="266" t="e">
        <f t="shared" si="25"/>
        <v>#REF!</v>
      </c>
      <c r="K511" s="294"/>
      <c r="L511" s="271"/>
      <c r="M511" s="264"/>
      <c r="N511" s="260"/>
      <c r="O511" s="260"/>
    </row>
    <row r="512" spans="1:15" ht="17.25">
      <c r="A512" s="178" t="s">
        <v>80</v>
      </c>
      <c r="B512" s="75" t="s">
        <v>1499</v>
      </c>
      <c r="C512" s="39" t="s">
        <v>17</v>
      </c>
      <c r="D512" s="255"/>
      <c r="E512" s="325" t="e">
        <f>#REF!</f>
        <v>#REF!</v>
      </c>
      <c r="F512" s="325" t="e">
        <f>#REF!</f>
        <v>#REF!</v>
      </c>
      <c r="G512" s="325" t="e">
        <f>#REF!</f>
        <v>#REF!</v>
      </c>
      <c r="H512" s="325" t="e">
        <f t="shared" si="24"/>
        <v>#REF!</v>
      </c>
      <c r="I512" s="261"/>
      <c r="J512" s="266" t="e">
        <f t="shared" si="25"/>
        <v>#REF!</v>
      </c>
      <c r="K512" s="295"/>
      <c r="L512" s="270"/>
      <c r="M512" s="263"/>
      <c r="N512" s="261"/>
      <c r="O512" s="260"/>
    </row>
    <row r="513" spans="1:15" ht="25.5">
      <c r="A513" s="178" t="s">
        <v>80</v>
      </c>
      <c r="B513" s="75" t="s">
        <v>1500</v>
      </c>
      <c r="C513" s="39" t="s">
        <v>17</v>
      </c>
      <c r="D513" s="255"/>
      <c r="E513" s="325" t="e">
        <f>#REF!</f>
        <v>#REF!</v>
      </c>
      <c r="F513" s="325" t="e">
        <f>#REF!</f>
        <v>#REF!</v>
      </c>
      <c r="G513" s="325" t="e">
        <f>#REF!</f>
        <v>#REF!</v>
      </c>
      <c r="H513" s="325" t="e">
        <f t="shared" si="24"/>
        <v>#REF!</v>
      </c>
      <c r="I513" s="260"/>
      <c r="J513" s="266" t="e">
        <f t="shared" si="25"/>
        <v>#REF!</v>
      </c>
      <c r="K513" s="294"/>
      <c r="L513" s="271"/>
      <c r="M513" s="264"/>
      <c r="N513" s="260"/>
      <c r="O513" s="260"/>
    </row>
    <row r="514" spans="1:15" ht="25.5">
      <c r="A514" s="178" t="s">
        <v>80</v>
      </c>
      <c r="B514" s="75" t="s">
        <v>1501</v>
      </c>
      <c r="C514" s="39" t="s">
        <v>17</v>
      </c>
      <c r="D514" s="255"/>
      <c r="E514" s="325" t="e">
        <f>#REF!</f>
        <v>#REF!</v>
      </c>
      <c r="F514" s="325" t="e">
        <f>#REF!</f>
        <v>#REF!</v>
      </c>
      <c r="G514" s="325" t="e">
        <f>#REF!</f>
        <v>#REF!</v>
      </c>
      <c r="H514" s="325" t="e">
        <f t="shared" si="24"/>
        <v>#REF!</v>
      </c>
      <c r="I514" s="261"/>
      <c r="J514" s="266" t="e">
        <f t="shared" si="25"/>
        <v>#REF!</v>
      </c>
      <c r="K514" s="295"/>
      <c r="L514" s="270"/>
      <c r="M514" s="263"/>
      <c r="N514" s="261"/>
      <c r="O514" s="260"/>
    </row>
    <row r="515" spans="1:15" ht="17.25">
      <c r="A515" s="178" t="s">
        <v>80</v>
      </c>
      <c r="B515" s="75" t="s">
        <v>1534</v>
      </c>
      <c r="C515" s="39" t="s">
        <v>17</v>
      </c>
      <c r="D515" s="255"/>
      <c r="E515" s="325" t="e">
        <f>#REF!</f>
        <v>#REF!</v>
      </c>
      <c r="F515" s="325" t="e">
        <f>#REF!</f>
        <v>#REF!</v>
      </c>
      <c r="G515" s="325" t="e">
        <f>#REF!</f>
        <v>#REF!</v>
      </c>
      <c r="H515" s="325" t="e">
        <f t="shared" si="24"/>
        <v>#REF!</v>
      </c>
      <c r="I515" s="260"/>
      <c r="J515" s="266" t="e">
        <f t="shared" si="25"/>
        <v>#REF!</v>
      </c>
      <c r="K515" s="294"/>
      <c r="L515" s="271"/>
      <c r="M515" s="264"/>
      <c r="N515" s="260"/>
      <c r="O515" s="260"/>
    </row>
    <row r="516" spans="1:15" ht="31.5">
      <c r="A516" s="178" t="s">
        <v>80</v>
      </c>
      <c r="B516" s="75" t="s">
        <v>1682</v>
      </c>
      <c r="C516" s="39" t="s">
        <v>17</v>
      </c>
      <c r="D516" s="255">
        <v>1</v>
      </c>
      <c r="E516" s="325" t="e">
        <f>#REF!</f>
        <v>#REF!</v>
      </c>
      <c r="F516" s="325" t="e">
        <f>#REF!</f>
        <v>#REF!</v>
      </c>
      <c r="G516" s="325" t="e">
        <f>#REF!</f>
        <v>#REF!</v>
      </c>
      <c r="H516" s="325" t="e">
        <f t="shared" si="24"/>
        <v>#REF!</v>
      </c>
      <c r="I516" s="266">
        <v>16900</v>
      </c>
      <c r="J516" s="266" t="e">
        <f t="shared" si="25"/>
        <v>#REF!</v>
      </c>
      <c r="K516" s="306"/>
      <c r="L516" s="280">
        <v>42383</v>
      </c>
      <c r="M516" s="308" t="s">
        <v>1663</v>
      </c>
      <c r="N516" s="254" t="s">
        <v>342</v>
      </c>
      <c r="O516" s="266" t="s">
        <v>1642</v>
      </c>
    </row>
    <row r="517" spans="1:15" ht="38.25">
      <c r="A517" s="178" t="s">
        <v>80</v>
      </c>
      <c r="B517" s="75" t="s">
        <v>1502</v>
      </c>
      <c r="C517" s="39" t="s">
        <v>17</v>
      </c>
      <c r="D517" s="255"/>
      <c r="E517" s="325" t="e">
        <f>#REF!</f>
        <v>#REF!</v>
      </c>
      <c r="F517" s="325" t="e">
        <f>#REF!</f>
        <v>#REF!</v>
      </c>
      <c r="G517" s="325" t="e">
        <f>#REF!</f>
        <v>#REF!</v>
      </c>
      <c r="H517" s="325" t="e">
        <f t="shared" si="24"/>
        <v>#REF!</v>
      </c>
      <c r="I517" s="261"/>
      <c r="J517" s="266" t="e">
        <f t="shared" si="25"/>
        <v>#REF!</v>
      </c>
      <c r="K517" s="295"/>
      <c r="L517" s="270"/>
      <c r="M517" s="263"/>
      <c r="N517" s="261"/>
      <c r="O517" s="260"/>
    </row>
    <row r="518" spans="1:15" ht="17.25">
      <c r="A518" s="178" t="s">
        <v>80</v>
      </c>
      <c r="B518" s="75" t="s">
        <v>1503</v>
      </c>
      <c r="C518" s="39" t="s">
        <v>17</v>
      </c>
      <c r="D518" s="255"/>
      <c r="E518" s="325" t="e">
        <f>#REF!</f>
        <v>#REF!</v>
      </c>
      <c r="F518" s="325" t="e">
        <f>#REF!</f>
        <v>#REF!</v>
      </c>
      <c r="G518" s="325" t="e">
        <f>#REF!</f>
        <v>#REF!</v>
      </c>
      <c r="H518" s="325" t="e">
        <f t="shared" si="24"/>
        <v>#REF!</v>
      </c>
      <c r="I518" s="260"/>
      <c r="J518" s="266" t="e">
        <f t="shared" si="25"/>
        <v>#REF!</v>
      </c>
      <c r="K518" s="294"/>
      <c r="L518" s="271"/>
      <c r="M518" s="264"/>
      <c r="N518" s="260"/>
      <c r="O518" s="260"/>
    </row>
    <row r="519" spans="1:15" ht="17.25">
      <c r="A519" s="178" t="s">
        <v>80</v>
      </c>
      <c r="B519" s="75" t="s">
        <v>1504</v>
      </c>
      <c r="C519" s="39" t="s">
        <v>17</v>
      </c>
      <c r="D519" s="255"/>
      <c r="E519" s="325" t="e">
        <f>#REF!</f>
        <v>#REF!</v>
      </c>
      <c r="F519" s="325" t="e">
        <f>#REF!</f>
        <v>#REF!</v>
      </c>
      <c r="G519" s="325" t="e">
        <f>#REF!</f>
        <v>#REF!</v>
      </c>
      <c r="H519" s="325" t="e">
        <f t="shared" si="24"/>
        <v>#REF!</v>
      </c>
      <c r="I519" s="261"/>
      <c r="J519" s="266" t="e">
        <f t="shared" si="25"/>
        <v>#REF!</v>
      </c>
      <c r="K519" s="295"/>
      <c r="L519" s="270"/>
      <c r="M519" s="263"/>
      <c r="N519" s="261"/>
      <c r="O519" s="260"/>
    </row>
    <row r="520" spans="1:15" ht="25.5">
      <c r="A520" s="178" t="s">
        <v>80</v>
      </c>
      <c r="B520" s="75" t="s">
        <v>1505</v>
      </c>
      <c r="C520" s="39" t="s">
        <v>17</v>
      </c>
      <c r="D520" s="255"/>
      <c r="E520" s="325" t="e">
        <f>#REF!</f>
        <v>#REF!</v>
      </c>
      <c r="F520" s="325" t="e">
        <f>#REF!</f>
        <v>#REF!</v>
      </c>
      <c r="G520" s="325" t="e">
        <f>#REF!</f>
        <v>#REF!</v>
      </c>
      <c r="H520" s="325" t="e">
        <f t="shared" si="24"/>
        <v>#REF!</v>
      </c>
      <c r="I520" s="260"/>
      <c r="J520" s="266" t="e">
        <f t="shared" si="25"/>
        <v>#REF!</v>
      </c>
      <c r="K520" s="294"/>
      <c r="L520" s="271"/>
      <c r="M520" s="264"/>
      <c r="N520" s="260"/>
      <c r="O520" s="260"/>
    </row>
    <row r="521" spans="1:15" ht="38.25">
      <c r="A521" s="178" t="s">
        <v>80</v>
      </c>
      <c r="B521" s="75" t="s">
        <v>1506</v>
      </c>
      <c r="C521" s="39" t="s">
        <v>17</v>
      </c>
      <c r="D521" s="255"/>
      <c r="E521" s="325" t="e">
        <f>#REF!</f>
        <v>#REF!</v>
      </c>
      <c r="F521" s="325" t="e">
        <f>#REF!</f>
        <v>#REF!</v>
      </c>
      <c r="G521" s="325" t="e">
        <f>#REF!</f>
        <v>#REF!</v>
      </c>
      <c r="H521" s="325" t="e">
        <f t="shared" si="24"/>
        <v>#REF!</v>
      </c>
      <c r="I521" s="261"/>
      <c r="J521" s="266" t="e">
        <f t="shared" si="25"/>
        <v>#REF!</v>
      </c>
      <c r="K521" s="295"/>
      <c r="L521" s="270"/>
      <c r="M521" s="263"/>
      <c r="N521" s="261"/>
      <c r="O521" s="260"/>
    </row>
    <row r="522" spans="1:15" ht="38.25">
      <c r="A522" s="178" t="s">
        <v>80</v>
      </c>
      <c r="B522" s="75" t="s">
        <v>1507</v>
      </c>
      <c r="C522" s="39" t="s">
        <v>17</v>
      </c>
      <c r="D522" s="255"/>
      <c r="E522" s="325" t="e">
        <f>#REF!</f>
        <v>#REF!</v>
      </c>
      <c r="F522" s="325" t="e">
        <f>#REF!</f>
        <v>#REF!</v>
      </c>
      <c r="G522" s="325" t="e">
        <f>#REF!</f>
        <v>#REF!</v>
      </c>
      <c r="H522" s="325" t="e">
        <f t="shared" si="24"/>
        <v>#REF!</v>
      </c>
      <c r="I522" s="260"/>
      <c r="J522" s="266" t="e">
        <f t="shared" si="25"/>
        <v>#REF!</v>
      </c>
      <c r="K522" s="294"/>
      <c r="L522" s="271"/>
      <c r="M522" s="264"/>
      <c r="N522" s="260"/>
      <c r="O522" s="260"/>
    </row>
    <row r="523" spans="1:15" ht="38.25">
      <c r="A523" s="178" t="s">
        <v>80</v>
      </c>
      <c r="B523" s="75" t="s">
        <v>1592</v>
      </c>
      <c r="C523" s="39" t="s">
        <v>17</v>
      </c>
      <c r="D523" s="255"/>
      <c r="E523" s="325" t="e">
        <f>#REF!</f>
        <v>#REF!</v>
      </c>
      <c r="F523" s="325" t="e">
        <f>#REF!</f>
        <v>#REF!</v>
      </c>
      <c r="G523" s="325" t="e">
        <f>#REF!</f>
        <v>#REF!</v>
      </c>
      <c r="H523" s="325" t="e">
        <f t="shared" si="24"/>
        <v>#REF!</v>
      </c>
      <c r="I523" s="261"/>
      <c r="J523" s="266" t="e">
        <f t="shared" si="25"/>
        <v>#REF!</v>
      </c>
      <c r="K523" s="295"/>
      <c r="L523" s="270"/>
      <c r="M523" s="263"/>
      <c r="N523" s="261"/>
      <c r="O523" s="260"/>
    </row>
    <row r="524" spans="1:15" ht="17.25">
      <c r="A524" s="178" t="s">
        <v>80</v>
      </c>
      <c r="B524" s="75" t="s">
        <v>1552</v>
      </c>
      <c r="C524" s="39" t="s">
        <v>17</v>
      </c>
      <c r="D524" s="255"/>
      <c r="E524" s="325" t="e">
        <f>#REF!</f>
        <v>#REF!</v>
      </c>
      <c r="F524" s="325" t="e">
        <f>#REF!</f>
        <v>#REF!</v>
      </c>
      <c r="G524" s="325" t="e">
        <f>#REF!</f>
        <v>#REF!</v>
      </c>
      <c r="H524" s="325" t="e">
        <f t="shared" si="24"/>
        <v>#REF!</v>
      </c>
      <c r="I524" s="260"/>
      <c r="J524" s="266" t="e">
        <f t="shared" si="25"/>
        <v>#REF!</v>
      </c>
      <c r="K524" s="294"/>
      <c r="L524" s="271"/>
      <c r="M524" s="264"/>
      <c r="N524" s="260"/>
      <c r="O524" s="260"/>
    </row>
    <row r="525" spans="1:15" ht="25.5">
      <c r="A525" s="178" t="s">
        <v>80</v>
      </c>
      <c r="B525" s="75" t="s">
        <v>663</v>
      </c>
      <c r="C525" s="39" t="s">
        <v>17</v>
      </c>
      <c r="D525" s="255"/>
      <c r="E525" s="325" t="e">
        <f>#REF!</f>
        <v>#REF!</v>
      </c>
      <c r="F525" s="325" t="e">
        <f>#REF!</f>
        <v>#REF!</v>
      </c>
      <c r="G525" s="325" t="e">
        <f>#REF!</f>
        <v>#REF!</v>
      </c>
      <c r="H525" s="325" t="e">
        <f t="shared" si="24"/>
        <v>#REF!</v>
      </c>
      <c r="I525" s="261"/>
      <c r="J525" s="266" t="e">
        <f t="shared" si="25"/>
        <v>#REF!</v>
      </c>
      <c r="K525" s="295"/>
      <c r="L525" s="270"/>
      <c r="M525" s="263"/>
      <c r="N525" s="261"/>
      <c r="O525" s="260"/>
    </row>
    <row r="526" spans="1:15" ht="25.5">
      <c r="A526" s="178" t="s">
        <v>80</v>
      </c>
      <c r="B526" s="75" t="s">
        <v>662</v>
      </c>
      <c r="C526" s="39" t="s">
        <v>17</v>
      </c>
      <c r="D526" s="255"/>
      <c r="E526" s="325" t="e">
        <f>#REF!</f>
        <v>#REF!</v>
      </c>
      <c r="F526" s="325" t="e">
        <f>#REF!</f>
        <v>#REF!</v>
      </c>
      <c r="G526" s="325" t="e">
        <f>#REF!</f>
        <v>#REF!</v>
      </c>
      <c r="H526" s="325" t="e">
        <f t="shared" si="24"/>
        <v>#REF!</v>
      </c>
      <c r="I526" s="260"/>
      <c r="J526" s="266" t="e">
        <f t="shared" si="25"/>
        <v>#REF!</v>
      </c>
      <c r="K526" s="294"/>
      <c r="L526" s="271"/>
      <c r="M526" s="264"/>
      <c r="N526" s="260"/>
      <c r="O526" s="260"/>
    </row>
    <row r="527" spans="1:15" ht="25.5">
      <c r="A527" s="178" t="s">
        <v>80</v>
      </c>
      <c r="B527" s="75" t="s">
        <v>664</v>
      </c>
      <c r="C527" s="39" t="s">
        <v>17</v>
      </c>
      <c r="D527" s="255"/>
      <c r="E527" s="325" t="e">
        <f>#REF!</f>
        <v>#REF!</v>
      </c>
      <c r="F527" s="325" t="e">
        <f>#REF!</f>
        <v>#REF!</v>
      </c>
      <c r="G527" s="325" t="e">
        <f>#REF!</f>
        <v>#REF!</v>
      </c>
      <c r="H527" s="325" t="e">
        <f t="shared" si="24"/>
        <v>#REF!</v>
      </c>
      <c r="I527" s="261"/>
      <c r="J527" s="266" t="e">
        <f t="shared" si="25"/>
        <v>#REF!</v>
      </c>
      <c r="K527" s="295"/>
      <c r="L527" s="270"/>
      <c r="M527" s="263"/>
      <c r="N527" s="261"/>
      <c r="O527" s="260"/>
    </row>
    <row r="528" spans="1:15" ht="38.25">
      <c r="A528" s="178" t="s">
        <v>80</v>
      </c>
      <c r="B528" s="75" t="s">
        <v>672</v>
      </c>
      <c r="C528" s="39" t="s">
        <v>17</v>
      </c>
      <c r="D528" s="255"/>
      <c r="E528" s="325" t="e">
        <f>#REF!</f>
        <v>#REF!</v>
      </c>
      <c r="F528" s="325" t="e">
        <f>#REF!</f>
        <v>#REF!</v>
      </c>
      <c r="G528" s="325" t="e">
        <f>#REF!</f>
        <v>#REF!</v>
      </c>
      <c r="H528" s="325" t="e">
        <f t="shared" ref="H528:H591" si="26">G528+F528+E528+D528</f>
        <v>#REF!</v>
      </c>
      <c r="I528" s="260"/>
      <c r="J528" s="266" t="e">
        <f t="shared" si="25"/>
        <v>#REF!</v>
      </c>
      <c r="K528" s="294"/>
      <c r="L528" s="271"/>
      <c r="M528" s="264"/>
      <c r="N528" s="260"/>
      <c r="O528" s="260"/>
    </row>
    <row r="529" spans="1:15" ht="38.25">
      <c r="A529" s="178" t="s">
        <v>80</v>
      </c>
      <c r="B529" s="75" t="s">
        <v>665</v>
      </c>
      <c r="C529" s="39" t="s">
        <v>17</v>
      </c>
      <c r="D529" s="255"/>
      <c r="E529" s="325" t="e">
        <f>#REF!</f>
        <v>#REF!</v>
      </c>
      <c r="F529" s="325" t="e">
        <f>#REF!</f>
        <v>#REF!</v>
      </c>
      <c r="G529" s="325" t="e">
        <f>#REF!</f>
        <v>#REF!</v>
      </c>
      <c r="H529" s="325" t="e">
        <f t="shared" si="26"/>
        <v>#REF!</v>
      </c>
      <c r="I529" s="261"/>
      <c r="J529" s="266" t="e">
        <f t="shared" si="25"/>
        <v>#REF!</v>
      </c>
      <c r="K529" s="295"/>
      <c r="L529" s="270"/>
      <c r="M529" s="263"/>
      <c r="N529" s="261"/>
      <c r="O529" s="260"/>
    </row>
    <row r="530" spans="1:15" ht="38.25">
      <c r="A530" s="178" t="s">
        <v>80</v>
      </c>
      <c r="B530" s="75" t="s">
        <v>666</v>
      </c>
      <c r="C530" s="39" t="s">
        <v>17</v>
      </c>
      <c r="D530" s="255"/>
      <c r="E530" s="325" t="e">
        <f>#REF!</f>
        <v>#REF!</v>
      </c>
      <c r="F530" s="325" t="e">
        <f>#REF!</f>
        <v>#REF!</v>
      </c>
      <c r="G530" s="325" t="e">
        <f>#REF!</f>
        <v>#REF!</v>
      </c>
      <c r="H530" s="325" t="e">
        <f t="shared" si="26"/>
        <v>#REF!</v>
      </c>
      <c r="I530" s="260"/>
      <c r="J530" s="266" t="e">
        <f t="shared" si="25"/>
        <v>#REF!</v>
      </c>
      <c r="K530" s="294"/>
      <c r="L530" s="271"/>
      <c r="M530" s="264"/>
      <c r="N530" s="260"/>
      <c r="O530" s="260"/>
    </row>
    <row r="531" spans="1:15" ht="38.25">
      <c r="A531" s="178" t="s">
        <v>80</v>
      </c>
      <c r="B531" s="75" t="s">
        <v>667</v>
      </c>
      <c r="C531" s="39" t="s">
        <v>17</v>
      </c>
      <c r="D531" s="255"/>
      <c r="E531" s="325" t="e">
        <f>#REF!</f>
        <v>#REF!</v>
      </c>
      <c r="F531" s="325" t="e">
        <f>#REF!</f>
        <v>#REF!</v>
      </c>
      <c r="G531" s="325" t="e">
        <f>#REF!</f>
        <v>#REF!</v>
      </c>
      <c r="H531" s="325" t="e">
        <f t="shared" si="26"/>
        <v>#REF!</v>
      </c>
      <c r="I531" s="261"/>
      <c r="J531" s="266" t="e">
        <f t="shared" si="25"/>
        <v>#REF!</v>
      </c>
      <c r="K531" s="295"/>
      <c r="L531" s="270"/>
      <c r="M531" s="263"/>
      <c r="N531" s="261"/>
      <c r="O531" s="260"/>
    </row>
    <row r="532" spans="1:15" ht="38.25">
      <c r="A532" s="178" t="s">
        <v>80</v>
      </c>
      <c r="B532" s="75" t="s">
        <v>668</v>
      </c>
      <c r="C532" s="39" t="s">
        <v>17</v>
      </c>
      <c r="D532" s="255"/>
      <c r="E532" s="325" t="e">
        <f>#REF!</f>
        <v>#REF!</v>
      </c>
      <c r="F532" s="325" t="e">
        <f>#REF!</f>
        <v>#REF!</v>
      </c>
      <c r="G532" s="325" t="e">
        <f>#REF!</f>
        <v>#REF!</v>
      </c>
      <c r="H532" s="325" t="e">
        <f t="shared" si="26"/>
        <v>#REF!</v>
      </c>
      <c r="I532" s="260"/>
      <c r="J532" s="266" t="e">
        <f t="shared" si="25"/>
        <v>#REF!</v>
      </c>
      <c r="K532" s="294"/>
      <c r="L532" s="271"/>
      <c r="M532" s="264"/>
      <c r="N532" s="260"/>
      <c r="O532" s="260"/>
    </row>
    <row r="533" spans="1:15" ht="38.25">
      <c r="A533" s="178" t="s">
        <v>80</v>
      </c>
      <c r="B533" s="75" t="s">
        <v>669</v>
      </c>
      <c r="C533" s="39" t="s">
        <v>17</v>
      </c>
      <c r="D533" s="255"/>
      <c r="E533" s="325" t="e">
        <f>#REF!</f>
        <v>#REF!</v>
      </c>
      <c r="F533" s="325" t="e">
        <f>#REF!</f>
        <v>#REF!</v>
      </c>
      <c r="G533" s="325" t="e">
        <f>#REF!</f>
        <v>#REF!</v>
      </c>
      <c r="H533" s="325" t="e">
        <f t="shared" si="26"/>
        <v>#REF!</v>
      </c>
      <c r="I533" s="261"/>
      <c r="J533" s="266" t="e">
        <f t="shared" si="25"/>
        <v>#REF!</v>
      </c>
      <c r="K533" s="295"/>
      <c r="L533" s="270"/>
      <c r="M533" s="263"/>
      <c r="N533" s="261"/>
      <c r="O533" s="260"/>
    </row>
    <row r="534" spans="1:15" ht="38.25">
      <c r="A534" s="178" t="s">
        <v>80</v>
      </c>
      <c r="B534" s="75" t="s">
        <v>670</v>
      </c>
      <c r="C534" s="39" t="s">
        <v>17</v>
      </c>
      <c r="D534" s="255"/>
      <c r="E534" s="325" t="e">
        <f>#REF!</f>
        <v>#REF!</v>
      </c>
      <c r="F534" s="325" t="e">
        <f>#REF!</f>
        <v>#REF!</v>
      </c>
      <c r="G534" s="325" t="e">
        <f>#REF!</f>
        <v>#REF!</v>
      </c>
      <c r="H534" s="325" t="e">
        <f t="shared" si="26"/>
        <v>#REF!</v>
      </c>
      <c r="I534" s="260"/>
      <c r="J534" s="266" t="e">
        <f t="shared" si="25"/>
        <v>#REF!</v>
      </c>
      <c r="K534" s="294"/>
      <c r="L534" s="271"/>
      <c r="M534" s="264"/>
      <c r="N534" s="260"/>
      <c r="O534" s="260"/>
    </row>
    <row r="535" spans="1:15" ht="38.25">
      <c r="A535" s="178" t="s">
        <v>80</v>
      </c>
      <c r="B535" s="75" t="s">
        <v>671</v>
      </c>
      <c r="C535" s="39" t="s">
        <v>17</v>
      </c>
      <c r="D535" s="255"/>
      <c r="E535" s="325" t="e">
        <f>#REF!</f>
        <v>#REF!</v>
      </c>
      <c r="F535" s="325" t="e">
        <f>#REF!</f>
        <v>#REF!</v>
      </c>
      <c r="G535" s="325" t="e">
        <f>#REF!</f>
        <v>#REF!</v>
      </c>
      <c r="H535" s="325" t="e">
        <f t="shared" si="26"/>
        <v>#REF!</v>
      </c>
      <c r="I535" s="261"/>
      <c r="J535" s="266" t="e">
        <f t="shared" si="25"/>
        <v>#REF!</v>
      </c>
      <c r="K535" s="295"/>
      <c r="L535" s="270"/>
      <c r="M535" s="263"/>
      <c r="N535" s="261"/>
      <c r="O535" s="260"/>
    </row>
    <row r="536" spans="1:15" ht="38.25">
      <c r="A536" s="178" t="s">
        <v>80</v>
      </c>
      <c r="B536" s="75" t="s">
        <v>676</v>
      </c>
      <c r="C536" s="39" t="s">
        <v>17</v>
      </c>
      <c r="D536" s="255"/>
      <c r="E536" s="325" t="e">
        <f>#REF!</f>
        <v>#REF!</v>
      </c>
      <c r="F536" s="325" t="e">
        <f>#REF!</f>
        <v>#REF!</v>
      </c>
      <c r="G536" s="325" t="e">
        <f>#REF!</f>
        <v>#REF!</v>
      </c>
      <c r="H536" s="325" t="e">
        <f t="shared" si="26"/>
        <v>#REF!</v>
      </c>
      <c r="I536" s="260"/>
      <c r="J536" s="266" t="e">
        <f t="shared" si="25"/>
        <v>#REF!</v>
      </c>
      <c r="K536" s="294"/>
      <c r="L536" s="271"/>
      <c r="M536" s="264"/>
      <c r="N536" s="260"/>
      <c r="O536" s="260"/>
    </row>
    <row r="537" spans="1:15" ht="38.25">
      <c r="A537" s="178" t="s">
        <v>80</v>
      </c>
      <c r="B537" s="75" t="s">
        <v>677</v>
      </c>
      <c r="C537" s="39" t="s">
        <v>17</v>
      </c>
      <c r="D537" s="255"/>
      <c r="E537" s="325" t="e">
        <f>#REF!</f>
        <v>#REF!</v>
      </c>
      <c r="F537" s="325" t="e">
        <f>#REF!</f>
        <v>#REF!</v>
      </c>
      <c r="G537" s="325" t="e">
        <f>#REF!</f>
        <v>#REF!</v>
      </c>
      <c r="H537" s="325" t="e">
        <f t="shared" si="26"/>
        <v>#REF!</v>
      </c>
      <c r="I537" s="261"/>
      <c r="J537" s="266" t="e">
        <f t="shared" si="25"/>
        <v>#REF!</v>
      </c>
      <c r="K537" s="295"/>
      <c r="L537" s="270"/>
      <c r="M537" s="263"/>
      <c r="N537" s="261"/>
      <c r="O537" s="260"/>
    </row>
    <row r="538" spans="1:15" ht="38.25">
      <c r="A538" s="178" t="s">
        <v>80</v>
      </c>
      <c r="B538" s="75" t="s">
        <v>678</v>
      </c>
      <c r="C538" s="39" t="s">
        <v>17</v>
      </c>
      <c r="D538" s="255"/>
      <c r="E538" s="325" t="e">
        <f>#REF!</f>
        <v>#REF!</v>
      </c>
      <c r="F538" s="325" t="e">
        <f>#REF!</f>
        <v>#REF!</v>
      </c>
      <c r="G538" s="325" t="e">
        <f>#REF!</f>
        <v>#REF!</v>
      </c>
      <c r="H538" s="325" t="e">
        <f t="shared" si="26"/>
        <v>#REF!</v>
      </c>
      <c r="I538" s="260"/>
      <c r="J538" s="266" t="e">
        <f t="shared" si="25"/>
        <v>#REF!</v>
      </c>
      <c r="K538" s="294"/>
      <c r="L538" s="271"/>
      <c r="M538" s="264"/>
      <c r="N538" s="260"/>
      <c r="O538" s="260"/>
    </row>
    <row r="539" spans="1:15" ht="38.25">
      <c r="A539" s="178" t="s">
        <v>80</v>
      </c>
      <c r="B539" s="75" t="s">
        <v>679</v>
      </c>
      <c r="C539" s="39" t="s">
        <v>17</v>
      </c>
      <c r="D539" s="255"/>
      <c r="E539" s="325" t="e">
        <f>#REF!</f>
        <v>#REF!</v>
      </c>
      <c r="F539" s="325" t="e">
        <f>#REF!</f>
        <v>#REF!</v>
      </c>
      <c r="G539" s="325" t="e">
        <f>#REF!</f>
        <v>#REF!</v>
      </c>
      <c r="H539" s="325" t="e">
        <f t="shared" si="26"/>
        <v>#REF!</v>
      </c>
      <c r="I539" s="261"/>
      <c r="J539" s="266" t="e">
        <f t="shared" si="25"/>
        <v>#REF!</v>
      </c>
      <c r="K539" s="295"/>
      <c r="L539" s="270"/>
      <c r="M539" s="263"/>
      <c r="N539" s="261"/>
      <c r="O539" s="260"/>
    </row>
    <row r="540" spans="1:15" ht="38.25">
      <c r="A540" s="178" t="s">
        <v>80</v>
      </c>
      <c r="B540" s="75" t="s">
        <v>680</v>
      </c>
      <c r="C540" s="39" t="s">
        <v>17</v>
      </c>
      <c r="D540" s="255"/>
      <c r="E540" s="325" t="e">
        <f>#REF!</f>
        <v>#REF!</v>
      </c>
      <c r="F540" s="325" t="e">
        <f>#REF!</f>
        <v>#REF!</v>
      </c>
      <c r="G540" s="325" t="e">
        <f>#REF!</f>
        <v>#REF!</v>
      </c>
      <c r="H540" s="325" t="e">
        <f t="shared" si="26"/>
        <v>#REF!</v>
      </c>
      <c r="I540" s="260"/>
      <c r="J540" s="266" t="e">
        <f t="shared" si="25"/>
        <v>#REF!</v>
      </c>
      <c r="K540" s="294"/>
      <c r="L540" s="271"/>
      <c r="M540" s="264"/>
      <c r="N540" s="260"/>
      <c r="O540" s="260"/>
    </row>
    <row r="541" spans="1:15" ht="38.25">
      <c r="A541" s="178" t="s">
        <v>80</v>
      </c>
      <c r="B541" s="75" t="s">
        <v>681</v>
      </c>
      <c r="C541" s="39" t="s">
        <v>17</v>
      </c>
      <c r="D541" s="255"/>
      <c r="E541" s="325" t="e">
        <f>#REF!</f>
        <v>#REF!</v>
      </c>
      <c r="F541" s="325" t="e">
        <f>#REF!</f>
        <v>#REF!</v>
      </c>
      <c r="G541" s="325" t="e">
        <f>#REF!</f>
        <v>#REF!</v>
      </c>
      <c r="H541" s="325" t="e">
        <f t="shared" si="26"/>
        <v>#REF!</v>
      </c>
      <c r="I541" s="261"/>
      <c r="J541" s="266" t="e">
        <f t="shared" ref="J541:J564" si="27">I541*H541</f>
        <v>#REF!</v>
      </c>
      <c r="K541" s="295"/>
      <c r="L541" s="270"/>
      <c r="M541" s="263"/>
      <c r="N541" s="261"/>
      <c r="O541" s="260"/>
    </row>
    <row r="542" spans="1:15" ht="38.25">
      <c r="A542" s="178" t="s">
        <v>80</v>
      </c>
      <c r="B542" s="75" t="s">
        <v>683</v>
      </c>
      <c r="C542" s="39" t="s">
        <v>17</v>
      </c>
      <c r="D542" s="255"/>
      <c r="E542" s="325" t="e">
        <f>#REF!</f>
        <v>#REF!</v>
      </c>
      <c r="F542" s="325" t="e">
        <f>#REF!</f>
        <v>#REF!</v>
      </c>
      <c r="G542" s="325" t="e">
        <f>#REF!</f>
        <v>#REF!</v>
      </c>
      <c r="H542" s="325" t="e">
        <f t="shared" si="26"/>
        <v>#REF!</v>
      </c>
      <c r="I542" s="260"/>
      <c r="J542" s="266" t="e">
        <f t="shared" si="27"/>
        <v>#REF!</v>
      </c>
      <c r="K542" s="294"/>
      <c r="L542" s="271"/>
      <c r="M542" s="264"/>
      <c r="N542" s="260"/>
      <c r="O542" s="260"/>
    </row>
    <row r="543" spans="1:15" ht="38.25">
      <c r="A543" s="178" t="s">
        <v>80</v>
      </c>
      <c r="B543" s="75" t="s">
        <v>682</v>
      </c>
      <c r="C543" s="39" t="s">
        <v>17</v>
      </c>
      <c r="D543" s="255"/>
      <c r="E543" s="325" t="e">
        <f>#REF!</f>
        <v>#REF!</v>
      </c>
      <c r="F543" s="325" t="e">
        <f>#REF!</f>
        <v>#REF!</v>
      </c>
      <c r="G543" s="325" t="e">
        <f>#REF!</f>
        <v>#REF!</v>
      </c>
      <c r="H543" s="325" t="e">
        <f t="shared" si="26"/>
        <v>#REF!</v>
      </c>
      <c r="I543" s="261"/>
      <c r="J543" s="266" t="e">
        <f t="shared" si="27"/>
        <v>#REF!</v>
      </c>
      <c r="K543" s="295"/>
      <c r="L543" s="270"/>
      <c r="M543" s="263"/>
      <c r="N543" s="261"/>
      <c r="O543" s="260"/>
    </row>
    <row r="544" spans="1:15" ht="31.5">
      <c r="A544" s="178" t="s">
        <v>80</v>
      </c>
      <c r="B544" s="75" t="s">
        <v>1720</v>
      </c>
      <c r="C544" s="39" t="s">
        <v>17</v>
      </c>
      <c r="D544" s="255">
        <v>2</v>
      </c>
      <c r="E544" s="325" t="e">
        <f>#REF!</f>
        <v>#REF!</v>
      </c>
      <c r="F544" s="325" t="e">
        <f>#REF!</f>
        <v>#REF!</v>
      </c>
      <c r="G544" s="325" t="e">
        <f>#REF!</f>
        <v>#REF!</v>
      </c>
      <c r="H544" s="325" t="e">
        <f t="shared" si="26"/>
        <v>#REF!</v>
      </c>
      <c r="I544" s="265">
        <v>12500</v>
      </c>
      <c r="J544" s="266" t="e">
        <f t="shared" si="27"/>
        <v>#REF!</v>
      </c>
      <c r="K544" s="307"/>
      <c r="L544" s="310">
        <v>42383</v>
      </c>
      <c r="M544" s="308" t="s">
        <v>1663</v>
      </c>
      <c r="N544" s="265"/>
      <c r="O544" s="266" t="s">
        <v>1642</v>
      </c>
    </row>
    <row r="545" spans="1:15" ht="17.25">
      <c r="A545" s="178" t="s">
        <v>80</v>
      </c>
      <c r="B545" s="75" t="s">
        <v>635</v>
      </c>
      <c r="C545" s="39" t="s">
        <v>17</v>
      </c>
      <c r="D545" s="255"/>
      <c r="E545" s="325" t="e">
        <f>#REF!</f>
        <v>#REF!</v>
      </c>
      <c r="F545" s="325" t="e">
        <f>#REF!</f>
        <v>#REF!</v>
      </c>
      <c r="G545" s="325" t="e">
        <f>#REF!</f>
        <v>#REF!</v>
      </c>
      <c r="H545" s="325" t="e">
        <f t="shared" si="26"/>
        <v>#REF!</v>
      </c>
      <c r="I545" s="260"/>
      <c r="J545" s="266" t="e">
        <f t="shared" si="27"/>
        <v>#REF!</v>
      </c>
      <c r="K545" s="294"/>
      <c r="L545" s="271"/>
      <c r="M545" s="264"/>
      <c r="N545" s="260"/>
      <c r="O545" s="260"/>
    </row>
    <row r="546" spans="1:15" ht="17.25">
      <c r="A546" s="178" t="s">
        <v>80</v>
      </c>
      <c r="B546" s="75" t="s">
        <v>636</v>
      </c>
      <c r="C546" s="39" t="s">
        <v>17</v>
      </c>
      <c r="D546" s="255"/>
      <c r="E546" s="325" t="e">
        <f>#REF!</f>
        <v>#REF!</v>
      </c>
      <c r="F546" s="325" t="e">
        <f>#REF!</f>
        <v>#REF!</v>
      </c>
      <c r="G546" s="325" t="e">
        <f>#REF!</f>
        <v>#REF!</v>
      </c>
      <c r="H546" s="325" t="e">
        <f t="shared" si="26"/>
        <v>#REF!</v>
      </c>
      <c r="I546" s="261"/>
      <c r="J546" s="266" t="e">
        <f t="shared" si="27"/>
        <v>#REF!</v>
      </c>
      <c r="K546" s="295"/>
      <c r="L546" s="270"/>
      <c r="M546" s="263"/>
      <c r="N546" s="261"/>
      <c r="O546" s="260"/>
    </row>
    <row r="547" spans="1:15" ht="17.25">
      <c r="A547" s="178" t="s">
        <v>80</v>
      </c>
      <c r="B547" s="75" t="s">
        <v>637</v>
      </c>
      <c r="C547" s="39" t="s">
        <v>17</v>
      </c>
      <c r="D547" s="255"/>
      <c r="E547" s="325" t="e">
        <f>#REF!</f>
        <v>#REF!</v>
      </c>
      <c r="F547" s="325" t="e">
        <f>#REF!</f>
        <v>#REF!</v>
      </c>
      <c r="G547" s="325" t="e">
        <f>#REF!</f>
        <v>#REF!</v>
      </c>
      <c r="H547" s="325" t="e">
        <f t="shared" si="26"/>
        <v>#REF!</v>
      </c>
      <c r="I547" s="260"/>
      <c r="J547" s="266" t="e">
        <f t="shared" si="27"/>
        <v>#REF!</v>
      </c>
      <c r="K547" s="294"/>
      <c r="L547" s="271"/>
      <c r="M547" s="264"/>
      <c r="N547" s="260"/>
      <c r="O547" s="260"/>
    </row>
    <row r="548" spans="1:15" ht="38.25">
      <c r="A548" s="178" t="s">
        <v>80</v>
      </c>
      <c r="B548" s="75" t="s">
        <v>685</v>
      </c>
      <c r="C548" s="39" t="s">
        <v>17</v>
      </c>
      <c r="D548" s="255"/>
      <c r="E548" s="325" t="e">
        <f>#REF!</f>
        <v>#REF!</v>
      </c>
      <c r="F548" s="325" t="e">
        <f>#REF!</f>
        <v>#REF!</v>
      </c>
      <c r="G548" s="325" t="e">
        <f>#REF!</f>
        <v>#REF!</v>
      </c>
      <c r="H548" s="325" t="e">
        <f t="shared" si="26"/>
        <v>#REF!</v>
      </c>
      <c r="I548" s="261"/>
      <c r="J548" s="266" t="e">
        <f t="shared" si="27"/>
        <v>#REF!</v>
      </c>
      <c r="K548" s="295"/>
      <c r="L548" s="270"/>
      <c r="M548" s="263"/>
      <c r="N548" s="261"/>
      <c r="O548" s="260"/>
    </row>
    <row r="549" spans="1:15" ht="38.25">
      <c r="A549" s="178" t="s">
        <v>80</v>
      </c>
      <c r="B549" s="75" t="s">
        <v>686</v>
      </c>
      <c r="C549" s="39" t="s">
        <v>17</v>
      </c>
      <c r="D549" s="255"/>
      <c r="E549" s="325" t="e">
        <f>#REF!</f>
        <v>#REF!</v>
      </c>
      <c r="F549" s="325" t="e">
        <f>#REF!</f>
        <v>#REF!</v>
      </c>
      <c r="G549" s="325" t="e">
        <f>#REF!</f>
        <v>#REF!</v>
      </c>
      <c r="H549" s="325" t="e">
        <f t="shared" si="26"/>
        <v>#REF!</v>
      </c>
      <c r="I549" s="260"/>
      <c r="J549" s="266" t="e">
        <f t="shared" si="27"/>
        <v>#REF!</v>
      </c>
      <c r="K549" s="294"/>
      <c r="L549" s="271"/>
      <c r="M549" s="264"/>
      <c r="N549" s="260"/>
      <c r="O549" s="260"/>
    </row>
    <row r="550" spans="1:15" ht="38.25">
      <c r="A550" s="178" t="s">
        <v>80</v>
      </c>
      <c r="B550" s="75" t="s">
        <v>687</v>
      </c>
      <c r="C550" s="39" t="s">
        <v>17</v>
      </c>
      <c r="D550" s="255"/>
      <c r="E550" s="325" t="e">
        <f>#REF!</f>
        <v>#REF!</v>
      </c>
      <c r="F550" s="325" t="e">
        <f>#REF!</f>
        <v>#REF!</v>
      </c>
      <c r="G550" s="325" t="e">
        <f>#REF!</f>
        <v>#REF!</v>
      </c>
      <c r="H550" s="325" t="e">
        <f t="shared" si="26"/>
        <v>#REF!</v>
      </c>
      <c r="I550" s="261"/>
      <c r="J550" s="266" t="e">
        <f t="shared" si="27"/>
        <v>#REF!</v>
      </c>
      <c r="K550" s="295"/>
      <c r="L550" s="270"/>
      <c r="M550" s="263"/>
      <c r="N550" s="261"/>
      <c r="O550" s="260"/>
    </row>
    <row r="551" spans="1:15" ht="25.5">
      <c r="A551" s="178" t="s">
        <v>80</v>
      </c>
      <c r="B551" s="75" t="s">
        <v>688</v>
      </c>
      <c r="C551" s="39" t="s">
        <v>17</v>
      </c>
      <c r="D551" s="255"/>
      <c r="E551" s="325" t="e">
        <f>#REF!</f>
        <v>#REF!</v>
      </c>
      <c r="F551" s="325" t="e">
        <f>#REF!</f>
        <v>#REF!</v>
      </c>
      <c r="G551" s="325" t="e">
        <f>#REF!</f>
        <v>#REF!</v>
      </c>
      <c r="H551" s="325" t="e">
        <f t="shared" si="26"/>
        <v>#REF!</v>
      </c>
      <c r="I551" s="260"/>
      <c r="J551" s="266" t="e">
        <f t="shared" si="27"/>
        <v>#REF!</v>
      </c>
      <c r="K551" s="294"/>
      <c r="L551" s="271"/>
      <c r="M551" s="264"/>
      <c r="N551" s="260"/>
      <c r="O551" s="260"/>
    </row>
    <row r="552" spans="1:15" ht="25.5">
      <c r="A552" s="178" t="s">
        <v>80</v>
      </c>
      <c r="B552" s="75" t="s">
        <v>689</v>
      </c>
      <c r="C552" s="39" t="s">
        <v>17</v>
      </c>
      <c r="D552" s="255"/>
      <c r="E552" s="325" t="e">
        <f>#REF!</f>
        <v>#REF!</v>
      </c>
      <c r="F552" s="325" t="e">
        <f>#REF!</f>
        <v>#REF!</v>
      </c>
      <c r="G552" s="325" t="e">
        <f>#REF!</f>
        <v>#REF!</v>
      </c>
      <c r="H552" s="325" t="e">
        <f t="shared" si="26"/>
        <v>#REF!</v>
      </c>
      <c r="I552" s="261"/>
      <c r="J552" s="266" t="e">
        <f t="shared" si="27"/>
        <v>#REF!</v>
      </c>
      <c r="K552" s="295"/>
      <c r="L552" s="270"/>
      <c r="M552" s="263"/>
      <c r="N552" s="261"/>
      <c r="O552" s="260"/>
    </row>
    <row r="553" spans="1:15" ht="25.5">
      <c r="A553" s="178" t="s">
        <v>80</v>
      </c>
      <c r="B553" s="75" t="s">
        <v>690</v>
      </c>
      <c r="C553" s="39" t="s">
        <v>17</v>
      </c>
      <c r="D553" s="255"/>
      <c r="E553" s="325" t="e">
        <f>#REF!</f>
        <v>#REF!</v>
      </c>
      <c r="F553" s="325" t="e">
        <f>#REF!</f>
        <v>#REF!</v>
      </c>
      <c r="G553" s="325" t="e">
        <f>#REF!</f>
        <v>#REF!</v>
      </c>
      <c r="H553" s="325" t="e">
        <f t="shared" si="26"/>
        <v>#REF!</v>
      </c>
      <c r="I553" s="260"/>
      <c r="J553" s="266" t="e">
        <f t="shared" si="27"/>
        <v>#REF!</v>
      </c>
      <c r="K553" s="294"/>
      <c r="L553" s="271"/>
      <c r="M553" s="264"/>
      <c r="N553" s="260"/>
      <c r="O553" s="260"/>
    </row>
    <row r="554" spans="1:15" ht="25.5">
      <c r="A554" s="178" t="s">
        <v>80</v>
      </c>
      <c r="B554" s="75" t="s">
        <v>905</v>
      </c>
      <c r="C554" s="39" t="s">
        <v>17</v>
      </c>
      <c r="D554" s="255"/>
      <c r="E554" s="325" t="e">
        <f>#REF!</f>
        <v>#REF!</v>
      </c>
      <c r="F554" s="325" t="e">
        <f>#REF!</f>
        <v>#REF!</v>
      </c>
      <c r="G554" s="325" t="e">
        <f>#REF!</f>
        <v>#REF!</v>
      </c>
      <c r="H554" s="325" t="e">
        <f t="shared" si="26"/>
        <v>#REF!</v>
      </c>
      <c r="I554" s="261"/>
      <c r="J554" s="266" t="e">
        <f t="shared" si="27"/>
        <v>#REF!</v>
      </c>
      <c r="K554" s="295"/>
      <c r="L554" s="270"/>
      <c r="M554" s="263"/>
      <c r="N554" s="261"/>
      <c r="O554" s="260"/>
    </row>
    <row r="555" spans="1:15" ht="25.5">
      <c r="A555" s="178" t="s">
        <v>80</v>
      </c>
      <c r="B555" s="75" t="s">
        <v>691</v>
      </c>
      <c r="C555" s="39" t="s">
        <v>17</v>
      </c>
      <c r="D555" s="255"/>
      <c r="E555" s="325" t="e">
        <f>#REF!</f>
        <v>#REF!</v>
      </c>
      <c r="F555" s="325" t="e">
        <f>#REF!</f>
        <v>#REF!</v>
      </c>
      <c r="G555" s="325" t="e">
        <f>#REF!</f>
        <v>#REF!</v>
      </c>
      <c r="H555" s="325" t="e">
        <f t="shared" si="26"/>
        <v>#REF!</v>
      </c>
      <c r="I555" s="260"/>
      <c r="J555" s="266" t="e">
        <f t="shared" si="27"/>
        <v>#REF!</v>
      </c>
      <c r="K555" s="294"/>
      <c r="L555" s="271"/>
      <c r="M555" s="264"/>
      <c r="N555" s="260"/>
      <c r="O555" s="260"/>
    </row>
    <row r="556" spans="1:15" ht="25.5">
      <c r="A556" s="178" t="s">
        <v>80</v>
      </c>
      <c r="B556" s="75" t="s">
        <v>692</v>
      </c>
      <c r="C556" s="39" t="s">
        <v>17</v>
      </c>
      <c r="D556" s="255"/>
      <c r="E556" s="325" t="e">
        <f>#REF!</f>
        <v>#REF!</v>
      </c>
      <c r="F556" s="325" t="e">
        <f>#REF!</f>
        <v>#REF!</v>
      </c>
      <c r="G556" s="325" t="e">
        <f>#REF!</f>
        <v>#REF!</v>
      </c>
      <c r="H556" s="325" t="e">
        <f t="shared" si="26"/>
        <v>#REF!</v>
      </c>
      <c r="I556" s="261"/>
      <c r="J556" s="266" t="e">
        <f t="shared" si="27"/>
        <v>#REF!</v>
      </c>
      <c r="K556" s="295"/>
      <c r="L556" s="270"/>
      <c r="M556" s="263"/>
      <c r="N556" s="261"/>
      <c r="O556" s="260"/>
    </row>
    <row r="557" spans="1:15" ht="25.5">
      <c r="A557" s="178" t="s">
        <v>80</v>
      </c>
      <c r="B557" s="75" t="s">
        <v>693</v>
      </c>
      <c r="C557" s="39" t="s">
        <v>17</v>
      </c>
      <c r="D557" s="255"/>
      <c r="E557" s="325" t="e">
        <f>#REF!</f>
        <v>#REF!</v>
      </c>
      <c r="F557" s="325" t="e">
        <f>#REF!</f>
        <v>#REF!</v>
      </c>
      <c r="G557" s="325" t="e">
        <f>#REF!</f>
        <v>#REF!</v>
      </c>
      <c r="H557" s="325" t="e">
        <f t="shared" si="26"/>
        <v>#REF!</v>
      </c>
      <c r="I557" s="260"/>
      <c r="J557" s="266" t="e">
        <f t="shared" si="27"/>
        <v>#REF!</v>
      </c>
      <c r="K557" s="294"/>
      <c r="L557" s="271"/>
      <c r="M557" s="264"/>
      <c r="N557" s="260"/>
      <c r="O557" s="260"/>
    </row>
    <row r="558" spans="1:15" ht="17.25">
      <c r="A558" s="178" t="s">
        <v>80</v>
      </c>
      <c r="B558" s="75" t="s">
        <v>454</v>
      </c>
      <c r="C558" s="39" t="s">
        <v>17</v>
      </c>
      <c r="D558" s="255"/>
      <c r="E558" s="325" t="e">
        <f>#REF!</f>
        <v>#REF!</v>
      </c>
      <c r="F558" s="325" t="e">
        <f>#REF!</f>
        <v>#REF!</v>
      </c>
      <c r="G558" s="325" t="e">
        <f>#REF!</f>
        <v>#REF!</v>
      </c>
      <c r="H558" s="325" t="e">
        <f t="shared" si="26"/>
        <v>#REF!</v>
      </c>
      <c r="I558" s="261"/>
      <c r="J558" s="266" t="e">
        <f t="shared" si="27"/>
        <v>#REF!</v>
      </c>
      <c r="K558" s="295"/>
      <c r="L558" s="270"/>
      <c r="M558" s="263"/>
      <c r="N558" s="261"/>
      <c r="O558" s="260"/>
    </row>
    <row r="559" spans="1:15" ht="17.25">
      <c r="A559" s="178" t="s">
        <v>80</v>
      </c>
      <c r="B559" s="75" t="s">
        <v>455</v>
      </c>
      <c r="C559" s="39" t="s">
        <v>17</v>
      </c>
      <c r="D559" s="255"/>
      <c r="E559" s="325" t="e">
        <f>#REF!</f>
        <v>#REF!</v>
      </c>
      <c r="F559" s="325" t="e">
        <f>#REF!</f>
        <v>#REF!</v>
      </c>
      <c r="G559" s="325" t="e">
        <f>#REF!</f>
        <v>#REF!</v>
      </c>
      <c r="H559" s="325" t="e">
        <f t="shared" si="26"/>
        <v>#REF!</v>
      </c>
      <c r="I559" s="260"/>
      <c r="J559" s="266" t="e">
        <f t="shared" si="27"/>
        <v>#REF!</v>
      </c>
      <c r="K559" s="294"/>
      <c r="L559" s="271"/>
      <c r="M559" s="264"/>
      <c r="N559" s="260"/>
      <c r="O559" s="260"/>
    </row>
    <row r="560" spans="1:15" ht="17.25">
      <c r="A560" s="178" t="s">
        <v>80</v>
      </c>
      <c r="B560" s="75" t="s">
        <v>456</v>
      </c>
      <c r="C560" s="39" t="s">
        <v>17</v>
      </c>
      <c r="D560" s="255"/>
      <c r="E560" s="325" t="e">
        <f>#REF!</f>
        <v>#REF!</v>
      </c>
      <c r="F560" s="325" t="e">
        <f>#REF!</f>
        <v>#REF!</v>
      </c>
      <c r="G560" s="325" t="e">
        <f>#REF!</f>
        <v>#REF!</v>
      </c>
      <c r="H560" s="325" t="e">
        <f t="shared" si="26"/>
        <v>#REF!</v>
      </c>
      <c r="I560" s="261"/>
      <c r="J560" s="266" t="e">
        <f t="shared" si="27"/>
        <v>#REF!</v>
      </c>
      <c r="K560" s="295"/>
      <c r="L560" s="270"/>
      <c r="M560" s="263"/>
      <c r="N560" s="261"/>
      <c r="O560" s="260"/>
    </row>
    <row r="561" spans="1:15" ht="17.25">
      <c r="A561" s="178" t="s">
        <v>80</v>
      </c>
      <c r="B561" s="75" t="s">
        <v>457</v>
      </c>
      <c r="C561" s="39" t="s">
        <v>17</v>
      </c>
      <c r="D561" s="255"/>
      <c r="E561" s="325" t="e">
        <f>#REF!</f>
        <v>#REF!</v>
      </c>
      <c r="F561" s="325" t="e">
        <f>#REF!</f>
        <v>#REF!</v>
      </c>
      <c r="G561" s="325" t="e">
        <f>#REF!</f>
        <v>#REF!</v>
      </c>
      <c r="H561" s="325" t="e">
        <f t="shared" si="26"/>
        <v>#REF!</v>
      </c>
      <c r="I561" s="260"/>
      <c r="J561" s="266" t="e">
        <f t="shared" si="27"/>
        <v>#REF!</v>
      </c>
      <c r="K561" s="294"/>
      <c r="L561" s="271"/>
      <c r="M561" s="264"/>
      <c r="N561" s="260"/>
      <c r="O561" s="260"/>
    </row>
    <row r="562" spans="1:15" ht="17.25">
      <c r="A562" s="178" t="s">
        <v>80</v>
      </c>
      <c r="B562" s="75" t="s">
        <v>458</v>
      </c>
      <c r="C562" s="39" t="s">
        <v>17</v>
      </c>
      <c r="D562" s="255"/>
      <c r="E562" s="325" t="e">
        <f>#REF!</f>
        <v>#REF!</v>
      </c>
      <c r="F562" s="325" t="e">
        <f>#REF!</f>
        <v>#REF!</v>
      </c>
      <c r="G562" s="325" t="e">
        <f>#REF!</f>
        <v>#REF!</v>
      </c>
      <c r="H562" s="325" t="e">
        <f t="shared" si="26"/>
        <v>#REF!</v>
      </c>
      <c r="I562" s="261"/>
      <c r="J562" s="266" t="e">
        <f t="shared" si="27"/>
        <v>#REF!</v>
      </c>
      <c r="K562" s="295"/>
      <c r="L562" s="270"/>
      <c r="M562" s="263"/>
      <c r="N562" s="261"/>
      <c r="O562" s="260"/>
    </row>
    <row r="563" spans="1:15" ht="17.25">
      <c r="A563" s="178" t="s">
        <v>80</v>
      </c>
      <c r="B563" s="75" t="s">
        <v>801</v>
      </c>
      <c r="C563" s="39" t="s">
        <v>17</v>
      </c>
      <c r="D563" s="255"/>
      <c r="E563" s="325" t="e">
        <f>#REF!</f>
        <v>#REF!</v>
      </c>
      <c r="F563" s="325" t="e">
        <f>#REF!</f>
        <v>#REF!</v>
      </c>
      <c r="G563" s="325" t="e">
        <f>#REF!</f>
        <v>#REF!</v>
      </c>
      <c r="H563" s="325" t="e">
        <f t="shared" si="26"/>
        <v>#REF!</v>
      </c>
      <c r="I563" s="260"/>
      <c r="J563" s="266" t="e">
        <f t="shared" si="27"/>
        <v>#REF!</v>
      </c>
      <c r="K563" s="294"/>
      <c r="L563" s="271"/>
      <c r="M563" s="264"/>
      <c r="N563" s="260"/>
      <c r="O563" s="260"/>
    </row>
    <row r="564" spans="1:15" ht="17.25">
      <c r="A564" s="178" t="s">
        <v>80</v>
      </c>
      <c r="B564" s="75" t="s">
        <v>802</v>
      </c>
      <c r="C564" s="39" t="s">
        <v>17</v>
      </c>
      <c r="D564" s="255"/>
      <c r="E564" s="325" t="e">
        <f>#REF!</f>
        <v>#REF!</v>
      </c>
      <c r="F564" s="325" t="e">
        <f>#REF!</f>
        <v>#REF!</v>
      </c>
      <c r="G564" s="325" t="e">
        <f>#REF!</f>
        <v>#REF!</v>
      </c>
      <c r="H564" s="325" t="e">
        <f t="shared" si="26"/>
        <v>#REF!</v>
      </c>
      <c r="I564" s="261"/>
      <c r="J564" s="266" t="e">
        <f t="shared" si="27"/>
        <v>#REF!</v>
      </c>
      <c r="K564" s="295"/>
      <c r="L564" s="270"/>
      <c r="M564" s="263"/>
      <c r="N564" s="261"/>
      <c r="O564" s="260"/>
    </row>
    <row r="565" spans="1:15" ht="17.25">
      <c r="A565" s="179" t="s">
        <v>80</v>
      </c>
      <c r="B565" s="76"/>
      <c r="C565" s="42"/>
      <c r="D565" s="269"/>
      <c r="E565" s="269"/>
      <c r="F565" s="269"/>
      <c r="G565" s="269"/>
      <c r="H565" s="269"/>
      <c r="I565" s="269"/>
      <c r="J565" s="269"/>
      <c r="K565" s="294" t="e">
        <f>SUM(J190:J564)</f>
        <v>#REF!</v>
      </c>
      <c r="L565" s="283"/>
      <c r="M565" s="269"/>
      <c r="N565" s="269"/>
      <c r="O565" s="269"/>
    </row>
    <row r="566" spans="1:15" ht="17.25">
      <c r="A566" s="178" t="s">
        <v>81</v>
      </c>
      <c r="B566" s="75" t="s">
        <v>207</v>
      </c>
      <c r="C566" s="39" t="s">
        <v>33</v>
      </c>
      <c r="D566" s="255"/>
      <c r="E566" s="325" t="e">
        <f>#REF!</f>
        <v>#REF!</v>
      </c>
      <c r="F566" s="325" t="e">
        <f>#REF!</f>
        <v>#REF!</v>
      </c>
      <c r="G566" s="325" t="e">
        <f>#REF!</f>
        <v>#REF!</v>
      </c>
      <c r="H566" s="325" t="e">
        <f t="shared" si="26"/>
        <v>#REF!</v>
      </c>
      <c r="I566" s="265"/>
      <c r="J566" s="265" t="e">
        <f>I566*H566</f>
        <v>#REF!</v>
      </c>
      <c r="K566" s="307"/>
      <c r="L566" s="310"/>
      <c r="M566" s="308"/>
      <c r="N566" s="265"/>
      <c r="O566" s="266"/>
    </row>
    <row r="567" spans="1:15" ht="31.5">
      <c r="A567" s="178" t="s">
        <v>81</v>
      </c>
      <c r="B567" s="75" t="s">
        <v>1279</v>
      </c>
      <c r="C567" s="39" t="s">
        <v>33</v>
      </c>
      <c r="D567" s="255">
        <v>4</v>
      </c>
      <c r="E567" s="325" t="e">
        <f>#REF!</f>
        <v>#REF!</v>
      </c>
      <c r="F567" s="325" t="e">
        <f>#REF!</f>
        <v>#REF!</v>
      </c>
      <c r="G567" s="325" t="e">
        <f>#REF!</f>
        <v>#REF!</v>
      </c>
      <c r="H567" s="325" t="e">
        <f t="shared" si="26"/>
        <v>#REF!</v>
      </c>
      <c r="I567" s="266">
        <v>1110.94</v>
      </c>
      <c r="J567" s="266">
        <f>I567*D567</f>
        <v>4443.76</v>
      </c>
      <c r="K567" s="306"/>
      <c r="L567" s="280">
        <v>42396</v>
      </c>
      <c r="M567" s="308" t="s">
        <v>1663</v>
      </c>
      <c r="N567" s="254" t="s">
        <v>342</v>
      </c>
      <c r="O567" s="266" t="s">
        <v>1642</v>
      </c>
    </row>
    <row r="568" spans="1:15" ht="31.5">
      <c r="A568" s="178" t="s">
        <v>81</v>
      </c>
      <c r="B568" s="75" t="s">
        <v>1424</v>
      </c>
      <c r="C568" s="39" t="s">
        <v>33</v>
      </c>
      <c r="D568" s="255">
        <v>4</v>
      </c>
      <c r="E568" s="325" t="e">
        <f>#REF!</f>
        <v>#REF!</v>
      </c>
      <c r="F568" s="325" t="e">
        <f>#REF!</f>
        <v>#REF!</v>
      </c>
      <c r="G568" s="325" t="e">
        <f>#REF!</f>
        <v>#REF!</v>
      </c>
      <c r="H568" s="325" t="e">
        <f t="shared" si="26"/>
        <v>#REF!</v>
      </c>
      <c r="I568" s="265">
        <v>863.54</v>
      </c>
      <c r="J568" s="266">
        <f>I568*D568</f>
        <v>3454.16</v>
      </c>
      <c r="K568" s="307"/>
      <c r="L568" s="310">
        <v>42396</v>
      </c>
      <c r="M568" s="308" t="s">
        <v>1663</v>
      </c>
      <c r="N568" s="254" t="s">
        <v>342</v>
      </c>
      <c r="O568" s="266" t="s">
        <v>1642</v>
      </c>
    </row>
    <row r="569" spans="1:15" ht="17.25">
      <c r="A569" s="178" t="s">
        <v>81</v>
      </c>
      <c r="B569" s="75" t="s">
        <v>1347</v>
      </c>
      <c r="C569" s="39" t="s">
        <v>33</v>
      </c>
      <c r="D569" s="255"/>
      <c r="E569" s="325" t="e">
        <f>#REF!</f>
        <v>#REF!</v>
      </c>
      <c r="F569" s="325" t="e">
        <f>#REF!</f>
        <v>#REF!</v>
      </c>
      <c r="G569" s="325" t="e">
        <f>#REF!</f>
        <v>#REF!</v>
      </c>
      <c r="H569" s="325" t="e">
        <f t="shared" si="26"/>
        <v>#REF!</v>
      </c>
      <c r="I569" s="266"/>
      <c r="J569" s="266" t="e">
        <f>I569*H569</f>
        <v>#REF!</v>
      </c>
      <c r="K569" s="306"/>
      <c r="L569" s="280"/>
      <c r="M569" s="309"/>
      <c r="N569" s="266"/>
      <c r="O569" s="266"/>
    </row>
    <row r="570" spans="1:15" ht="31.5">
      <c r="A570" s="178" t="s">
        <v>81</v>
      </c>
      <c r="B570" s="75" t="s">
        <v>1280</v>
      </c>
      <c r="C570" s="39" t="s">
        <v>33</v>
      </c>
      <c r="D570" s="255">
        <v>12</v>
      </c>
      <c r="E570" s="325" t="e">
        <f>#REF!</f>
        <v>#REF!</v>
      </c>
      <c r="F570" s="325" t="e">
        <f>#REF!</f>
        <v>#REF!</v>
      </c>
      <c r="G570" s="325" t="e">
        <f>#REF!</f>
        <v>#REF!</v>
      </c>
      <c r="H570" s="325" t="e">
        <f t="shared" si="26"/>
        <v>#REF!</v>
      </c>
      <c r="I570" s="265">
        <v>863.54</v>
      </c>
      <c r="J570" s="266">
        <f>I570*D570</f>
        <v>10362.48</v>
      </c>
      <c r="K570" s="307"/>
      <c r="L570" s="310" t="s">
        <v>1648</v>
      </c>
      <c r="M570" s="308" t="s">
        <v>1663</v>
      </c>
      <c r="N570" s="254" t="s">
        <v>342</v>
      </c>
      <c r="O570" s="266" t="s">
        <v>1642</v>
      </c>
    </row>
    <row r="571" spans="1:15" ht="31.5">
      <c r="A571" s="178" t="s">
        <v>81</v>
      </c>
      <c r="B571" s="75" t="s">
        <v>1345</v>
      </c>
      <c r="C571" s="39" t="s">
        <v>33</v>
      </c>
      <c r="D571" s="255">
        <v>2</v>
      </c>
      <c r="E571" s="325" t="e">
        <f>#REF!</f>
        <v>#REF!</v>
      </c>
      <c r="F571" s="325" t="e">
        <f>#REF!</f>
        <v>#REF!</v>
      </c>
      <c r="G571" s="325" t="e">
        <f>#REF!</f>
        <v>#REF!</v>
      </c>
      <c r="H571" s="325" t="e">
        <f t="shared" si="26"/>
        <v>#REF!</v>
      </c>
      <c r="I571" s="266">
        <v>333.74</v>
      </c>
      <c r="J571" s="266">
        <f>I571*D571</f>
        <v>667.48</v>
      </c>
      <c r="K571" s="306"/>
      <c r="L571" s="280">
        <v>42396</v>
      </c>
      <c r="M571" s="308" t="s">
        <v>1663</v>
      </c>
      <c r="N571" s="254" t="s">
        <v>342</v>
      </c>
      <c r="O571" s="266" t="s">
        <v>1642</v>
      </c>
    </row>
    <row r="572" spans="1:15" ht="31.5">
      <c r="A572" s="178" t="s">
        <v>81</v>
      </c>
      <c r="B572" s="75" t="s">
        <v>1425</v>
      </c>
      <c r="C572" s="39" t="s">
        <v>33</v>
      </c>
      <c r="D572" s="255">
        <v>28</v>
      </c>
      <c r="E572" s="325" t="e">
        <f>#REF!</f>
        <v>#REF!</v>
      </c>
      <c r="F572" s="325" t="e">
        <f>#REF!</f>
        <v>#REF!</v>
      </c>
      <c r="G572" s="325" t="e">
        <f>#REF!</f>
        <v>#REF!</v>
      </c>
      <c r="H572" s="325" t="e">
        <f t="shared" si="26"/>
        <v>#REF!</v>
      </c>
      <c r="I572" s="265">
        <v>863.54</v>
      </c>
      <c r="J572" s="266">
        <f>I572*D572</f>
        <v>24179.119999999999</v>
      </c>
      <c r="K572" s="307"/>
      <c r="L572" s="310">
        <v>42396</v>
      </c>
      <c r="M572" s="308" t="s">
        <v>1663</v>
      </c>
      <c r="N572" s="254" t="s">
        <v>342</v>
      </c>
      <c r="O572" s="266" t="s">
        <v>1642</v>
      </c>
    </row>
    <row r="573" spans="1:15" ht="31.5">
      <c r="A573" s="178" t="s">
        <v>81</v>
      </c>
      <c r="B573" s="75" t="s">
        <v>1434</v>
      </c>
      <c r="C573" s="39" t="s">
        <v>33</v>
      </c>
      <c r="D573" s="255">
        <v>2</v>
      </c>
      <c r="E573" s="325" t="e">
        <f>#REF!</f>
        <v>#REF!</v>
      </c>
      <c r="F573" s="325" t="e">
        <f>#REF!</f>
        <v>#REF!</v>
      </c>
      <c r="G573" s="325" t="e">
        <f>#REF!</f>
        <v>#REF!</v>
      </c>
      <c r="H573" s="325" t="e">
        <f t="shared" si="26"/>
        <v>#REF!</v>
      </c>
      <c r="I573" s="266">
        <v>1164.6099999999999</v>
      </c>
      <c r="J573" s="266">
        <f>I573*D573</f>
        <v>2329.2199999999998</v>
      </c>
      <c r="K573" s="306"/>
      <c r="L573" s="280">
        <v>42396</v>
      </c>
      <c r="M573" s="308" t="s">
        <v>1663</v>
      </c>
      <c r="N573" s="254" t="s">
        <v>342</v>
      </c>
      <c r="O573" s="266" t="s">
        <v>1642</v>
      </c>
    </row>
    <row r="574" spans="1:15" ht="17.25">
      <c r="A574" s="179" t="s">
        <v>81</v>
      </c>
      <c r="B574" s="76"/>
      <c r="C574" s="42"/>
      <c r="D574" s="269"/>
      <c r="E574" s="269"/>
      <c r="F574" s="269"/>
      <c r="G574" s="269"/>
      <c r="H574" s="269"/>
      <c r="I574" s="269"/>
      <c r="J574" s="269"/>
      <c r="K574" s="296" t="e">
        <f>SUM(J566:J573)</f>
        <v>#REF!</v>
      </c>
      <c r="L574" s="283"/>
      <c r="M574" s="269"/>
      <c r="N574" s="269"/>
      <c r="O574" s="269"/>
    </row>
    <row r="575" spans="1:15" ht="17.25">
      <c r="A575" s="178" t="s">
        <v>95</v>
      </c>
      <c r="B575" s="75" t="s">
        <v>1468</v>
      </c>
      <c r="C575" s="39" t="s">
        <v>17</v>
      </c>
      <c r="D575" s="255"/>
      <c r="E575" s="325" t="e">
        <f>#REF!</f>
        <v>#REF!</v>
      </c>
      <c r="F575" s="325" t="e">
        <f>#REF!</f>
        <v>#REF!</v>
      </c>
      <c r="G575" s="325" t="e">
        <f>#REF!</f>
        <v>#REF!</v>
      </c>
      <c r="H575" s="325" t="e">
        <f t="shared" si="26"/>
        <v>#REF!</v>
      </c>
      <c r="I575" s="260"/>
      <c r="J575" s="266" t="e">
        <f>I575*H575</f>
        <v>#REF!</v>
      </c>
      <c r="K575" s="294"/>
      <c r="L575" s="271"/>
      <c r="M575" s="264"/>
      <c r="N575" s="260"/>
      <c r="O575" s="260"/>
    </row>
    <row r="576" spans="1:15" ht="17.25">
      <c r="A576" s="178" t="s">
        <v>95</v>
      </c>
      <c r="B576" s="75" t="s">
        <v>1469</v>
      </c>
      <c r="C576" s="39" t="s">
        <v>17</v>
      </c>
      <c r="D576" s="255"/>
      <c r="E576" s="325" t="e">
        <f>#REF!</f>
        <v>#REF!</v>
      </c>
      <c r="F576" s="325" t="e">
        <f>#REF!</f>
        <v>#REF!</v>
      </c>
      <c r="G576" s="325" t="e">
        <f>#REF!</f>
        <v>#REF!</v>
      </c>
      <c r="H576" s="325" t="e">
        <f t="shared" si="26"/>
        <v>#REF!</v>
      </c>
      <c r="I576" s="261"/>
      <c r="J576" s="266" t="e">
        <f t="shared" ref="J576:J592" si="28">I576*H576</f>
        <v>#REF!</v>
      </c>
      <c r="K576" s="295"/>
      <c r="L576" s="270"/>
      <c r="M576" s="263"/>
      <c r="N576" s="261"/>
      <c r="O576" s="260"/>
    </row>
    <row r="577" spans="1:15" ht="17.25">
      <c r="A577" s="178" t="s">
        <v>95</v>
      </c>
      <c r="B577" s="75" t="s">
        <v>1470</v>
      </c>
      <c r="C577" s="39" t="s">
        <v>17</v>
      </c>
      <c r="D577" s="255"/>
      <c r="E577" s="325" t="e">
        <f>#REF!</f>
        <v>#REF!</v>
      </c>
      <c r="F577" s="325" t="e">
        <f>#REF!</f>
        <v>#REF!</v>
      </c>
      <c r="G577" s="325" t="e">
        <f>#REF!</f>
        <v>#REF!</v>
      </c>
      <c r="H577" s="325" t="e">
        <f t="shared" si="26"/>
        <v>#REF!</v>
      </c>
      <c r="I577" s="260"/>
      <c r="J577" s="266" t="e">
        <f t="shared" si="28"/>
        <v>#REF!</v>
      </c>
      <c r="K577" s="294"/>
      <c r="L577" s="271"/>
      <c r="M577" s="264"/>
      <c r="N577" s="260"/>
      <c r="O577" s="260"/>
    </row>
    <row r="578" spans="1:15" ht="17.25">
      <c r="A578" s="178" t="s">
        <v>95</v>
      </c>
      <c r="B578" s="75" t="s">
        <v>1471</v>
      </c>
      <c r="C578" s="39" t="s">
        <v>17</v>
      </c>
      <c r="D578" s="255"/>
      <c r="E578" s="325" t="e">
        <f>#REF!</f>
        <v>#REF!</v>
      </c>
      <c r="F578" s="325" t="e">
        <f>#REF!</f>
        <v>#REF!</v>
      </c>
      <c r="G578" s="325" t="e">
        <f>#REF!</f>
        <v>#REF!</v>
      </c>
      <c r="H578" s="325" t="e">
        <f t="shared" si="26"/>
        <v>#REF!</v>
      </c>
      <c r="I578" s="261"/>
      <c r="J578" s="266" t="e">
        <f t="shared" si="28"/>
        <v>#REF!</v>
      </c>
      <c r="K578" s="295"/>
      <c r="L578" s="270"/>
      <c r="M578" s="263"/>
      <c r="N578" s="261"/>
      <c r="O578" s="260"/>
    </row>
    <row r="579" spans="1:15" ht="17.25">
      <c r="A579" s="178" t="s">
        <v>95</v>
      </c>
      <c r="B579" s="75" t="e">
        <f>+UPPER(#REF!)</f>
        <v>#REF!</v>
      </c>
      <c r="C579" s="39" t="s">
        <v>17</v>
      </c>
      <c r="D579" s="255"/>
      <c r="E579" s="325" t="e">
        <f>#REF!</f>
        <v>#REF!</v>
      </c>
      <c r="F579" s="325" t="e">
        <f>#REF!</f>
        <v>#REF!</v>
      </c>
      <c r="G579" s="325" t="e">
        <f>#REF!</f>
        <v>#REF!</v>
      </c>
      <c r="H579" s="325" t="e">
        <f t="shared" si="26"/>
        <v>#REF!</v>
      </c>
      <c r="I579" s="260"/>
      <c r="J579" s="266" t="e">
        <f t="shared" si="28"/>
        <v>#REF!</v>
      </c>
      <c r="K579" s="294"/>
      <c r="L579" s="271"/>
      <c r="M579" s="264"/>
      <c r="N579" s="260"/>
      <c r="O579" s="260"/>
    </row>
    <row r="580" spans="1:15" ht="17.25">
      <c r="A580" s="178" t="s">
        <v>95</v>
      </c>
      <c r="B580" s="75" t="s">
        <v>1539</v>
      </c>
      <c r="C580" s="39" t="s">
        <v>17</v>
      </c>
      <c r="D580" s="255"/>
      <c r="E580" s="325" t="e">
        <f>#REF!</f>
        <v>#REF!</v>
      </c>
      <c r="F580" s="325" t="e">
        <f>#REF!</f>
        <v>#REF!</v>
      </c>
      <c r="G580" s="325" t="e">
        <f>#REF!</f>
        <v>#REF!</v>
      </c>
      <c r="H580" s="325" t="e">
        <f t="shared" si="26"/>
        <v>#REF!</v>
      </c>
      <c r="I580" s="261"/>
      <c r="J580" s="266" t="e">
        <f t="shared" si="28"/>
        <v>#REF!</v>
      </c>
      <c r="K580" s="295"/>
      <c r="L580" s="270"/>
      <c r="M580" s="263"/>
      <c r="N580" s="261"/>
      <c r="O580" s="260"/>
    </row>
    <row r="581" spans="1:15" ht="17.25">
      <c r="A581" s="178" t="s">
        <v>95</v>
      </c>
      <c r="B581" s="75" t="s">
        <v>1540</v>
      </c>
      <c r="C581" s="39" t="s">
        <v>17</v>
      </c>
      <c r="D581" s="255"/>
      <c r="E581" s="325" t="e">
        <f>#REF!</f>
        <v>#REF!</v>
      </c>
      <c r="F581" s="325" t="e">
        <f>#REF!</f>
        <v>#REF!</v>
      </c>
      <c r="G581" s="325" t="e">
        <f>#REF!</f>
        <v>#REF!</v>
      </c>
      <c r="H581" s="325" t="e">
        <f t="shared" si="26"/>
        <v>#REF!</v>
      </c>
      <c r="I581" s="260"/>
      <c r="J581" s="266" t="e">
        <f t="shared" si="28"/>
        <v>#REF!</v>
      </c>
      <c r="K581" s="294"/>
      <c r="L581" s="271"/>
      <c r="M581" s="264"/>
      <c r="N581" s="260"/>
      <c r="O581" s="260"/>
    </row>
    <row r="582" spans="1:15" ht="17.25">
      <c r="A582" s="178" t="s">
        <v>95</v>
      </c>
      <c r="B582" s="75" t="s">
        <v>209</v>
      </c>
      <c r="C582" s="39" t="s">
        <v>17</v>
      </c>
      <c r="D582" s="255"/>
      <c r="E582" s="325" t="e">
        <f>#REF!</f>
        <v>#REF!</v>
      </c>
      <c r="F582" s="325" t="e">
        <f>#REF!</f>
        <v>#REF!</v>
      </c>
      <c r="G582" s="325" t="e">
        <f>#REF!</f>
        <v>#REF!</v>
      </c>
      <c r="H582" s="325" t="e">
        <f t="shared" si="26"/>
        <v>#REF!</v>
      </c>
      <c r="I582" s="261"/>
      <c r="J582" s="266" t="e">
        <f t="shared" si="28"/>
        <v>#REF!</v>
      </c>
      <c r="K582" s="295"/>
      <c r="L582" s="270"/>
      <c r="M582" s="263"/>
      <c r="N582" s="261"/>
      <c r="O582" s="260"/>
    </row>
    <row r="583" spans="1:15" ht="17.25">
      <c r="A583" s="178" t="s">
        <v>95</v>
      </c>
      <c r="B583" s="75" t="s">
        <v>1467</v>
      </c>
      <c r="C583" s="39" t="s">
        <v>17</v>
      </c>
      <c r="D583" s="255"/>
      <c r="E583" s="325" t="e">
        <f>#REF!</f>
        <v>#REF!</v>
      </c>
      <c r="F583" s="325" t="e">
        <f>#REF!</f>
        <v>#REF!</v>
      </c>
      <c r="G583" s="325" t="e">
        <f>#REF!</f>
        <v>#REF!</v>
      </c>
      <c r="H583" s="325" t="e">
        <f t="shared" si="26"/>
        <v>#REF!</v>
      </c>
      <c r="I583" s="260"/>
      <c r="J583" s="266" t="e">
        <f t="shared" si="28"/>
        <v>#REF!</v>
      </c>
      <c r="K583" s="294"/>
      <c r="L583" s="271"/>
      <c r="M583" s="264"/>
      <c r="N583" s="260"/>
      <c r="O583" s="260"/>
    </row>
    <row r="584" spans="1:15" ht="25.5">
      <c r="A584" s="178" t="s">
        <v>95</v>
      </c>
      <c r="B584" s="77" t="s">
        <v>881</v>
      </c>
      <c r="C584" s="39" t="s">
        <v>17</v>
      </c>
      <c r="D584" s="255"/>
      <c r="E584" s="325" t="e">
        <f>#REF!</f>
        <v>#REF!</v>
      </c>
      <c r="F584" s="325" t="e">
        <f>#REF!</f>
        <v>#REF!</v>
      </c>
      <c r="G584" s="325" t="e">
        <f>#REF!</f>
        <v>#REF!</v>
      </c>
      <c r="H584" s="325" t="e">
        <f t="shared" si="26"/>
        <v>#REF!</v>
      </c>
      <c r="I584" s="261"/>
      <c r="J584" s="266" t="e">
        <f t="shared" si="28"/>
        <v>#REF!</v>
      </c>
      <c r="K584" s="295"/>
      <c r="L584" s="270"/>
      <c r="M584" s="263"/>
      <c r="N584" s="261"/>
      <c r="O584" s="260"/>
    </row>
    <row r="585" spans="1:15" ht="25.5">
      <c r="A585" s="178" t="s">
        <v>95</v>
      </c>
      <c r="B585" s="77" t="s">
        <v>1624</v>
      </c>
      <c r="C585" s="39" t="s">
        <v>17</v>
      </c>
      <c r="D585" s="255"/>
      <c r="E585" s="325" t="e">
        <f>#REF!</f>
        <v>#REF!</v>
      </c>
      <c r="F585" s="325" t="e">
        <f>#REF!</f>
        <v>#REF!</v>
      </c>
      <c r="G585" s="325" t="e">
        <f>#REF!</f>
        <v>#REF!</v>
      </c>
      <c r="H585" s="325" t="e">
        <f t="shared" si="26"/>
        <v>#REF!</v>
      </c>
      <c r="I585" s="260"/>
      <c r="J585" s="266" t="e">
        <f t="shared" si="28"/>
        <v>#REF!</v>
      </c>
      <c r="K585" s="294"/>
      <c r="L585" s="271"/>
      <c r="M585" s="264"/>
      <c r="N585" s="260"/>
      <c r="O585" s="260"/>
    </row>
    <row r="586" spans="1:15" ht="25.5">
      <c r="A586" s="178" t="s">
        <v>95</v>
      </c>
      <c r="B586" s="77" t="s">
        <v>1593</v>
      </c>
      <c r="C586" s="39" t="s">
        <v>17</v>
      </c>
      <c r="D586" s="255"/>
      <c r="E586" s="325" t="e">
        <f>#REF!</f>
        <v>#REF!</v>
      </c>
      <c r="F586" s="325" t="e">
        <f>#REF!</f>
        <v>#REF!</v>
      </c>
      <c r="G586" s="325" t="e">
        <f>#REF!</f>
        <v>#REF!</v>
      </c>
      <c r="H586" s="325" t="e">
        <f t="shared" si="26"/>
        <v>#REF!</v>
      </c>
      <c r="I586" s="261"/>
      <c r="J586" s="266" t="e">
        <f t="shared" si="28"/>
        <v>#REF!</v>
      </c>
      <c r="K586" s="295"/>
      <c r="L586" s="270"/>
      <c r="M586" s="263"/>
      <c r="N586" s="261"/>
      <c r="O586" s="260"/>
    </row>
    <row r="587" spans="1:15" ht="17.25">
      <c r="A587" s="178" t="s">
        <v>95</v>
      </c>
      <c r="B587" s="77" t="s">
        <v>1544</v>
      </c>
      <c r="C587" s="39" t="s">
        <v>17</v>
      </c>
      <c r="D587" s="255"/>
      <c r="E587" s="325" t="e">
        <f>#REF!</f>
        <v>#REF!</v>
      </c>
      <c r="F587" s="325" t="e">
        <f>#REF!</f>
        <v>#REF!</v>
      </c>
      <c r="G587" s="325" t="e">
        <f>#REF!</f>
        <v>#REF!</v>
      </c>
      <c r="H587" s="325" t="e">
        <f t="shared" si="26"/>
        <v>#REF!</v>
      </c>
      <c r="I587" s="260"/>
      <c r="J587" s="266" t="e">
        <f t="shared" si="28"/>
        <v>#REF!</v>
      </c>
      <c r="K587" s="294"/>
      <c r="L587" s="271"/>
      <c r="M587" s="264"/>
      <c r="N587" s="260"/>
      <c r="O587" s="260"/>
    </row>
    <row r="588" spans="1:15" ht="17.25">
      <c r="A588" s="178" t="s">
        <v>95</v>
      </c>
      <c r="B588" s="77" t="s">
        <v>1543</v>
      </c>
      <c r="C588" s="39" t="s">
        <v>17</v>
      </c>
      <c r="D588" s="255"/>
      <c r="E588" s="325" t="e">
        <f>#REF!</f>
        <v>#REF!</v>
      </c>
      <c r="F588" s="325" t="e">
        <f>#REF!</f>
        <v>#REF!</v>
      </c>
      <c r="G588" s="325" t="e">
        <f>#REF!</f>
        <v>#REF!</v>
      </c>
      <c r="H588" s="325" t="e">
        <f t="shared" si="26"/>
        <v>#REF!</v>
      </c>
      <c r="I588" s="261"/>
      <c r="J588" s="266" t="e">
        <f t="shared" si="28"/>
        <v>#REF!</v>
      </c>
      <c r="K588" s="295"/>
      <c r="L588" s="270"/>
      <c r="M588" s="263"/>
      <c r="N588" s="261"/>
      <c r="O588" s="260"/>
    </row>
    <row r="589" spans="1:15" ht="31.5">
      <c r="A589" s="178" t="s">
        <v>95</v>
      </c>
      <c r="B589" s="77" t="s">
        <v>1625</v>
      </c>
      <c r="C589" s="39" t="s">
        <v>17</v>
      </c>
      <c r="D589" s="255">
        <v>91</v>
      </c>
      <c r="E589" s="325" t="e">
        <f>#REF!</f>
        <v>#REF!</v>
      </c>
      <c r="F589" s="325" t="e">
        <f>#REF!</f>
        <v>#REF!</v>
      </c>
      <c r="G589" s="325" t="e">
        <f>#REF!</f>
        <v>#REF!</v>
      </c>
      <c r="H589" s="325" t="e">
        <f t="shared" si="26"/>
        <v>#REF!</v>
      </c>
      <c r="I589" s="266">
        <v>241.53</v>
      </c>
      <c r="J589" s="266" t="e">
        <f t="shared" si="28"/>
        <v>#REF!</v>
      </c>
      <c r="K589" s="306"/>
      <c r="L589" s="280">
        <v>42397</v>
      </c>
      <c r="M589" s="308" t="s">
        <v>1663</v>
      </c>
      <c r="N589" s="266"/>
      <c r="O589" s="266" t="s">
        <v>1642</v>
      </c>
    </row>
    <row r="590" spans="1:15" ht="17.25">
      <c r="A590" s="178" t="s">
        <v>95</v>
      </c>
      <c r="B590" s="77" t="s">
        <v>1542</v>
      </c>
      <c r="C590" s="39" t="s">
        <v>17</v>
      </c>
      <c r="D590" s="255"/>
      <c r="E590" s="325" t="e">
        <f>#REF!</f>
        <v>#REF!</v>
      </c>
      <c r="F590" s="325" t="e">
        <f>#REF!</f>
        <v>#REF!</v>
      </c>
      <c r="G590" s="325" t="e">
        <f>#REF!</f>
        <v>#REF!</v>
      </c>
      <c r="H590" s="325" t="e">
        <f t="shared" si="26"/>
        <v>#REF!</v>
      </c>
      <c r="I590" s="261"/>
      <c r="J590" s="266" t="e">
        <f t="shared" si="28"/>
        <v>#REF!</v>
      </c>
      <c r="K590" s="295"/>
      <c r="L590" s="270"/>
      <c r="M590" s="263"/>
      <c r="N590" s="261"/>
      <c r="O590" s="260"/>
    </row>
    <row r="591" spans="1:15" ht="17.25">
      <c r="A591" s="178" t="s">
        <v>95</v>
      </c>
      <c r="B591" s="77" t="s">
        <v>1541</v>
      </c>
      <c r="C591" s="39" t="s">
        <v>17</v>
      </c>
      <c r="D591" s="255"/>
      <c r="E591" s="325" t="e">
        <f>#REF!</f>
        <v>#REF!</v>
      </c>
      <c r="F591" s="325" t="e">
        <f>#REF!</f>
        <v>#REF!</v>
      </c>
      <c r="G591" s="325" t="e">
        <f>#REF!</f>
        <v>#REF!</v>
      </c>
      <c r="H591" s="325" t="e">
        <f t="shared" si="26"/>
        <v>#REF!</v>
      </c>
      <c r="I591" s="260"/>
      <c r="J591" s="266" t="e">
        <f t="shared" si="28"/>
        <v>#REF!</v>
      </c>
      <c r="K591" s="294"/>
      <c r="L591" s="271"/>
      <c r="M591" s="264"/>
      <c r="N591" s="260"/>
      <c r="O591" s="260"/>
    </row>
    <row r="592" spans="1:15" ht="17.25">
      <c r="A592" s="178" t="s">
        <v>95</v>
      </c>
      <c r="B592" s="77" t="s">
        <v>1472</v>
      </c>
      <c r="C592" s="39" t="s">
        <v>17</v>
      </c>
      <c r="D592" s="255"/>
      <c r="E592" s="325" t="e">
        <f>#REF!</f>
        <v>#REF!</v>
      </c>
      <c r="F592" s="325" t="e">
        <f>#REF!</f>
        <v>#REF!</v>
      </c>
      <c r="G592" s="325" t="e">
        <f>#REF!</f>
        <v>#REF!</v>
      </c>
      <c r="H592" s="325" t="e">
        <f t="shared" ref="H592:H655" si="29">G592+F592+E592+D592</f>
        <v>#REF!</v>
      </c>
      <c r="I592" s="261"/>
      <c r="J592" s="266" t="e">
        <f t="shared" si="28"/>
        <v>#REF!</v>
      </c>
      <c r="K592" s="295"/>
      <c r="L592" s="270"/>
      <c r="M592" s="263"/>
      <c r="N592" s="261"/>
      <c r="O592" s="260"/>
    </row>
    <row r="593" spans="1:15" ht="31.5">
      <c r="A593" s="179" t="s">
        <v>95</v>
      </c>
      <c r="B593" s="76"/>
      <c r="C593" s="42"/>
      <c r="D593" s="76"/>
      <c r="E593" s="76"/>
      <c r="F593" s="76"/>
      <c r="G593" s="76"/>
      <c r="H593" s="76"/>
      <c r="I593" s="76"/>
      <c r="J593" s="76"/>
      <c r="K593" s="293" t="e">
        <f>SUM(J575:J592)</f>
        <v>#REF!</v>
      </c>
      <c r="L593" s="284"/>
      <c r="M593" s="76"/>
      <c r="N593" s="76"/>
      <c r="O593" s="76"/>
    </row>
    <row r="594" spans="1:15" ht="30">
      <c r="A594" s="178" t="s">
        <v>96</v>
      </c>
      <c r="B594" s="75" t="e">
        <f>+UPPER(#REF!)</f>
        <v>#REF!</v>
      </c>
      <c r="C594" s="39" t="s">
        <v>17</v>
      </c>
      <c r="D594" s="255"/>
      <c r="E594" s="325" t="e">
        <f>#REF!</f>
        <v>#REF!</v>
      </c>
      <c r="F594" s="325" t="e">
        <f>#REF!</f>
        <v>#REF!</v>
      </c>
      <c r="G594" s="325" t="e">
        <f>#REF!</f>
        <v>#REF!</v>
      </c>
      <c r="H594" s="325" t="e">
        <f t="shared" si="29"/>
        <v>#REF!</v>
      </c>
      <c r="I594" s="261"/>
      <c r="J594" s="265" t="e">
        <f>I594*H594</f>
        <v>#REF!</v>
      </c>
      <c r="K594" s="295"/>
      <c r="L594" s="270"/>
      <c r="M594" s="263"/>
      <c r="N594" s="261"/>
      <c r="O594" s="260"/>
    </row>
    <row r="595" spans="1:15" ht="30">
      <c r="A595" s="178" t="s">
        <v>96</v>
      </c>
      <c r="B595" s="75" t="e">
        <f>+UPPER(#REF!)</f>
        <v>#REF!</v>
      </c>
      <c r="C595" s="39" t="s">
        <v>17</v>
      </c>
      <c r="D595" s="255"/>
      <c r="E595" s="325" t="e">
        <f>#REF!</f>
        <v>#REF!</v>
      </c>
      <c r="F595" s="325" t="e">
        <f>#REF!</f>
        <v>#REF!</v>
      </c>
      <c r="G595" s="325" t="e">
        <f>#REF!</f>
        <v>#REF!</v>
      </c>
      <c r="H595" s="325" t="e">
        <f t="shared" si="29"/>
        <v>#REF!</v>
      </c>
      <c r="I595" s="260"/>
      <c r="J595" s="265" t="e">
        <f t="shared" ref="J595:J658" si="30">I595*H595</f>
        <v>#REF!</v>
      </c>
      <c r="K595" s="294"/>
      <c r="L595" s="271"/>
      <c r="M595" s="264"/>
      <c r="N595" s="260"/>
      <c r="O595" s="260"/>
    </row>
    <row r="596" spans="1:15" ht="30">
      <c r="A596" s="178" t="s">
        <v>96</v>
      </c>
      <c r="B596" s="75" t="e">
        <f>+UPPER(#REF!)</f>
        <v>#REF!</v>
      </c>
      <c r="C596" s="39" t="s">
        <v>17</v>
      </c>
      <c r="D596" s="255"/>
      <c r="E596" s="325" t="e">
        <f>#REF!</f>
        <v>#REF!</v>
      </c>
      <c r="F596" s="325" t="e">
        <f>#REF!</f>
        <v>#REF!</v>
      </c>
      <c r="G596" s="325" t="e">
        <f>#REF!</f>
        <v>#REF!</v>
      </c>
      <c r="H596" s="325" t="e">
        <f t="shared" si="29"/>
        <v>#REF!</v>
      </c>
      <c r="I596" s="261"/>
      <c r="J596" s="265" t="e">
        <f t="shared" si="30"/>
        <v>#REF!</v>
      </c>
      <c r="K596" s="295"/>
      <c r="L596" s="270"/>
      <c r="M596" s="263"/>
      <c r="N596" s="261"/>
      <c r="O596" s="260"/>
    </row>
    <row r="597" spans="1:15" ht="30">
      <c r="A597" s="178" t="s">
        <v>96</v>
      </c>
      <c r="B597" s="75" t="s">
        <v>1217</v>
      </c>
      <c r="C597" s="39" t="s">
        <v>17</v>
      </c>
      <c r="D597" s="255"/>
      <c r="E597" s="325" t="e">
        <f>#REF!</f>
        <v>#REF!</v>
      </c>
      <c r="F597" s="325" t="e">
        <f>#REF!</f>
        <v>#REF!</v>
      </c>
      <c r="G597" s="325" t="e">
        <f>#REF!</f>
        <v>#REF!</v>
      </c>
      <c r="H597" s="325" t="e">
        <f t="shared" si="29"/>
        <v>#REF!</v>
      </c>
      <c r="I597" s="260"/>
      <c r="J597" s="265" t="e">
        <f t="shared" si="30"/>
        <v>#REF!</v>
      </c>
      <c r="K597" s="294"/>
      <c r="L597" s="271"/>
      <c r="M597" s="264"/>
      <c r="N597" s="260"/>
      <c r="O597" s="260"/>
    </row>
    <row r="598" spans="1:15" ht="30">
      <c r="A598" s="178" t="s">
        <v>96</v>
      </c>
      <c r="B598" s="75" t="e">
        <f>+UPPER(#REF!)</f>
        <v>#REF!</v>
      </c>
      <c r="C598" s="39" t="s">
        <v>17</v>
      </c>
      <c r="D598" s="255"/>
      <c r="E598" s="325" t="e">
        <f>#REF!</f>
        <v>#REF!</v>
      </c>
      <c r="F598" s="325" t="e">
        <f>#REF!</f>
        <v>#REF!</v>
      </c>
      <c r="G598" s="325" t="e">
        <f>#REF!</f>
        <v>#REF!</v>
      </c>
      <c r="H598" s="325" t="e">
        <f t="shared" si="29"/>
        <v>#REF!</v>
      </c>
      <c r="I598" s="261"/>
      <c r="J598" s="265" t="e">
        <f t="shared" si="30"/>
        <v>#REF!</v>
      </c>
      <c r="K598" s="295"/>
      <c r="L598" s="270"/>
      <c r="M598" s="263"/>
      <c r="N598" s="261"/>
      <c r="O598" s="260"/>
    </row>
    <row r="599" spans="1:15" ht="30">
      <c r="A599" s="178" t="s">
        <v>96</v>
      </c>
      <c r="B599" s="75" t="e">
        <f>+UPPER(#REF!)</f>
        <v>#REF!</v>
      </c>
      <c r="C599" s="39" t="s">
        <v>17</v>
      </c>
      <c r="D599" s="255"/>
      <c r="E599" s="325" t="e">
        <f>#REF!</f>
        <v>#REF!</v>
      </c>
      <c r="F599" s="325" t="e">
        <f>#REF!</f>
        <v>#REF!</v>
      </c>
      <c r="G599" s="325" t="e">
        <f>#REF!</f>
        <v>#REF!</v>
      </c>
      <c r="H599" s="325" t="e">
        <f t="shared" si="29"/>
        <v>#REF!</v>
      </c>
      <c r="I599" s="260"/>
      <c r="J599" s="265" t="e">
        <f t="shared" si="30"/>
        <v>#REF!</v>
      </c>
      <c r="K599" s="294"/>
      <c r="L599" s="271"/>
      <c r="M599" s="264"/>
      <c r="N599" s="260"/>
      <c r="O599" s="260"/>
    </row>
    <row r="600" spans="1:15" ht="31.5">
      <c r="A600" s="178" t="s">
        <v>96</v>
      </c>
      <c r="B600" s="75" t="s">
        <v>1679</v>
      </c>
      <c r="C600" s="39" t="s">
        <v>17</v>
      </c>
      <c r="D600" s="255">
        <v>6</v>
      </c>
      <c r="E600" s="325" t="e">
        <f>#REF!</f>
        <v>#REF!</v>
      </c>
      <c r="F600" s="325" t="e">
        <f>#REF!</f>
        <v>#REF!</v>
      </c>
      <c r="G600" s="325" t="e">
        <f>#REF!</f>
        <v>#REF!</v>
      </c>
      <c r="H600" s="325" t="e">
        <f t="shared" si="29"/>
        <v>#REF!</v>
      </c>
      <c r="I600" s="266">
        <v>220</v>
      </c>
      <c r="J600" s="265" t="e">
        <f t="shared" si="30"/>
        <v>#REF!</v>
      </c>
      <c r="K600" s="306"/>
      <c r="L600" s="280">
        <v>42397</v>
      </c>
      <c r="M600" s="308" t="s">
        <v>1663</v>
      </c>
      <c r="N600" s="254" t="s">
        <v>342</v>
      </c>
      <c r="O600" s="266" t="s">
        <v>1642</v>
      </c>
    </row>
    <row r="601" spans="1:15" ht="30">
      <c r="A601" s="178" t="s">
        <v>96</v>
      </c>
      <c r="B601" s="75" t="s">
        <v>1597</v>
      </c>
      <c r="C601" s="39" t="s">
        <v>17</v>
      </c>
      <c r="D601" s="255"/>
      <c r="E601" s="325" t="e">
        <f>#REF!</f>
        <v>#REF!</v>
      </c>
      <c r="F601" s="325" t="e">
        <f>#REF!</f>
        <v>#REF!</v>
      </c>
      <c r="G601" s="325" t="e">
        <f>#REF!</f>
        <v>#REF!</v>
      </c>
      <c r="H601" s="325" t="e">
        <f t="shared" si="29"/>
        <v>#REF!</v>
      </c>
      <c r="I601" s="265"/>
      <c r="J601" s="265" t="e">
        <f t="shared" si="30"/>
        <v>#REF!</v>
      </c>
      <c r="K601" s="307"/>
      <c r="L601" s="310"/>
      <c r="M601" s="308"/>
      <c r="N601" s="265"/>
      <c r="O601" s="266"/>
    </row>
    <row r="602" spans="1:15" ht="30">
      <c r="A602" s="178" t="s">
        <v>96</v>
      </c>
      <c r="B602" s="75" t="s">
        <v>777</v>
      </c>
      <c r="C602" s="39" t="s">
        <v>17</v>
      </c>
      <c r="D602" s="255"/>
      <c r="E602" s="325" t="e">
        <f>#REF!</f>
        <v>#REF!</v>
      </c>
      <c r="F602" s="325" t="e">
        <f>#REF!</f>
        <v>#REF!</v>
      </c>
      <c r="G602" s="325" t="e">
        <f>#REF!</f>
        <v>#REF!</v>
      </c>
      <c r="H602" s="325" t="e">
        <f t="shared" si="29"/>
        <v>#REF!</v>
      </c>
      <c r="I602" s="266"/>
      <c r="J602" s="265" t="e">
        <f t="shared" si="30"/>
        <v>#REF!</v>
      </c>
      <c r="K602" s="306"/>
      <c r="L602" s="280"/>
      <c r="M602" s="309"/>
      <c r="N602" s="266"/>
      <c r="O602" s="266"/>
    </row>
    <row r="603" spans="1:15" ht="30">
      <c r="A603" s="178" t="s">
        <v>96</v>
      </c>
      <c r="B603" s="75" t="s">
        <v>1599</v>
      </c>
      <c r="C603" s="39" t="s">
        <v>17</v>
      </c>
      <c r="D603" s="255"/>
      <c r="E603" s="325" t="e">
        <f>#REF!</f>
        <v>#REF!</v>
      </c>
      <c r="F603" s="325" t="e">
        <f>#REF!</f>
        <v>#REF!</v>
      </c>
      <c r="G603" s="325" t="e">
        <f>#REF!</f>
        <v>#REF!</v>
      </c>
      <c r="H603" s="325" t="e">
        <f t="shared" si="29"/>
        <v>#REF!</v>
      </c>
      <c r="I603" s="265"/>
      <c r="J603" s="265" t="e">
        <f t="shared" si="30"/>
        <v>#REF!</v>
      </c>
      <c r="K603" s="307"/>
      <c r="L603" s="310"/>
      <c r="M603" s="308"/>
      <c r="N603" s="265"/>
      <c r="O603" s="266"/>
    </row>
    <row r="604" spans="1:15" ht="30">
      <c r="A604" s="178" t="s">
        <v>96</v>
      </c>
      <c r="B604" s="75" t="s">
        <v>1600</v>
      </c>
      <c r="C604" s="39" t="s">
        <v>17</v>
      </c>
      <c r="D604" s="255"/>
      <c r="E604" s="325" t="e">
        <f>#REF!</f>
        <v>#REF!</v>
      </c>
      <c r="F604" s="325" t="e">
        <f>#REF!</f>
        <v>#REF!</v>
      </c>
      <c r="G604" s="325" t="e">
        <f>#REF!</f>
        <v>#REF!</v>
      </c>
      <c r="H604" s="325" t="e">
        <f t="shared" si="29"/>
        <v>#REF!</v>
      </c>
      <c r="I604" s="266"/>
      <c r="J604" s="265" t="e">
        <f t="shared" si="30"/>
        <v>#REF!</v>
      </c>
      <c r="K604" s="306"/>
      <c r="L604" s="280"/>
      <c r="M604" s="309"/>
      <c r="N604" s="266"/>
      <c r="O604" s="266"/>
    </row>
    <row r="605" spans="1:15" ht="31.5">
      <c r="A605" s="178" t="s">
        <v>96</v>
      </c>
      <c r="B605" s="75" t="s">
        <v>1598</v>
      </c>
      <c r="C605" s="39" t="s">
        <v>17</v>
      </c>
      <c r="D605" s="255">
        <v>4</v>
      </c>
      <c r="E605" s="325" t="e">
        <f>#REF!</f>
        <v>#REF!</v>
      </c>
      <c r="F605" s="325" t="e">
        <f>#REF!</f>
        <v>#REF!</v>
      </c>
      <c r="G605" s="325" t="e">
        <f>#REF!</f>
        <v>#REF!</v>
      </c>
      <c r="H605" s="325" t="e">
        <f t="shared" si="29"/>
        <v>#REF!</v>
      </c>
      <c r="I605" s="265">
        <v>75</v>
      </c>
      <c r="J605" s="265" t="e">
        <f t="shared" si="30"/>
        <v>#REF!</v>
      </c>
      <c r="K605" s="307"/>
      <c r="L605" s="310">
        <v>42383</v>
      </c>
      <c r="M605" s="308" t="s">
        <v>1663</v>
      </c>
      <c r="N605" s="265"/>
      <c r="O605" s="266" t="s">
        <v>1642</v>
      </c>
    </row>
    <row r="606" spans="1:15" ht="30">
      <c r="A606" s="178" t="s">
        <v>96</v>
      </c>
      <c r="B606" s="75" t="s">
        <v>210</v>
      </c>
      <c r="C606" s="39" t="s">
        <v>17</v>
      </c>
      <c r="D606" s="255"/>
      <c r="E606" s="325" t="e">
        <f>#REF!</f>
        <v>#REF!</v>
      </c>
      <c r="F606" s="325" t="e">
        <f>#REF!</f>
        <v>#REF!</v>
      </c>
      <c r="G606" s="325" t="e">
        <f>#REF!</f>
        <v>#REF!</v>
      </c>
      <c r="H606" s="325" t="e">
        <f t="shared" si="29"/>
        <v>#REF!</v>
      </c>
      <c r="I606" s="266"/>
      <c r="J606" s="265" t="e">
        <f t="shared" si="30"/>
        <v>#REF!</v>
      </c>
      <c r="K606" s="306"/>
      <c r="L606" s="280"/>
      <c r="M606" s="309"/>
      <c r="N606" s="266"/>
      <c r="O606" s="266"/>
    </row>
    <row r="607" spans="1:15" ht="31.5">
      <c r="A607" s="178" t="s">
        <v>96</v>
      </c>
      <c r="B607" s="75" t="s">
        <v>1594</v>
      </c>
      <c r="C607" s="39" t="s">
        <v>17</v>
      </c>
      <c r="D607" s="255">
        <v>4</v>
      </c>
      <c r="E607" s="325" t="e">
        <f>#REF!</f>
        <v>#REF!</v>
      </c>
      <c r="F607" s="325" t="e">
        <f>#REF!</f>
        <v>#REF!</v>
      </c>
      <c r="G607" s="325" t="e">
        <f>#REF!</f>
        <v>#REF!</v>
      </c>
      <c r="H607" s="325" t="e">
        <f t="shared" si="29"/>
        <v>#REF!</v>
      </c>
      <c r="I607" s="265">
        <v>71</v>
      </c>
      <c r="J607" s="265" t="e">
        <f t="shared" si="30"/>
        <v>#REF!</v>
      </c>
      <c r="K607" s="307"/>
      <c r="L607" s="310">
        <v>42383</v>
      </c>
      <c r="M607" s="308" t="s">
        <v>1663</v>
      </c>
      <c r="N607" s="265"/>
      <c r="O607" s="266" t="s">
        <v>1642</v>
      </c>
    </row>
    <row r="608" spans="1:15" ht="30">
      <c r="A608" s="178" t="s">
        <v>96</v>
      </c>
      <c r="B608" s="75" t="s">
        <v>1596</v>
      </c>
      <c r="C608" s="39" t="s">
        <v>17</v>
      </c>
      <c r="D608" s="255"/>
      <c r="E608" s="325" t="e">
        <f>#REF!</f>
        <v>#REF!</v>
      </c>
      <c r="F608" s="325" t="e">
        <f>#REF!</f>
        <v>#REF!</v>
      </c>
      <c r="G608" s="325" t="e">
        <f>#REF!</f>
        <v>#REF!</v>
      </c>
      <c r="H608" s="325" t="e">
        <f t="shared" si="29"/>
        <v>#REF!</v>
      </c>
      <c r="I608" s="266"/>
      <c r="J608" s="265" t="e">
        <f t="shared" si="30"/>
        <v>#REF!</v>
      </c>
      <c r="K608" s="306"/>
      <c r="L608" s="280"/>
      <c r="M608" s="309"/>
      <c r="N608" s="266"/>
      <c r="O608" s="266"/>
    </row>
    <row r="609" spans="1:15" ht="30">
      <c r="A609" s="178" t="s">
        <v>96</v>
      </c>
      <c r="B609" s="75" t="s">
        <v>211</v>
      </c>
      <c r="C609" s="39" t="s">
        <v>17</v>
      </c>
      <c r="D609" s="255"/>
      <c r="E609" s="325" t="e">
        <f>#REF!</f>
        <v>#REF!</v>
      </c>
      <c r="F609" s="325" t="e">
        <f>#REF!</f>
        <v>#REF!</v>
      </c>
      <c r="G609" s="325" t="e">
        <f>#REF!</f>
        <v>#REF!</v>
      </c>
      <c r="H609" s="325" t="e">
        <f t="shared" si="29"/>
        <v>#REF!</v>
      </c>
      <c r="I609" s="265"/>
      <c r="J609" s="265" t="e">
        <f t="shared" si="30"/>
        <v>#REF!</v>
      </c>
      <c r="K609" s="307"/>
      <c r="L609" s="310"/>
      <c r="M609" s="308"/>
      <c r="N609" s="265"/>
      <c r="O609" s="266"/>
    </row>
    <row r="610" spans="1:15" ht="30">
      <c r="A610" s="178" t="s">
        <v>96</v>
      </c>
      <c r="B610" s="75" t="s">
        <v>772</v>
      </c>
      <c r="C610" s="39" t="s">
        <v>17</v>
      </c>
      <c r="D610" s="255"/>
      <c r="E610" s="325" t="e">
        <f>#REF!</f>
        <v>#REF!</v>
      </c>
      <c r="F610" s="325" t="e">
        <f>#REF!</f>
        <v>#REF!</v>
      </c>
      <c r="G610" s="325" t="e">
        <f>#REF!</f>
        <v>#REF!</v>
      </c>
      <c r="H610" s="325" t="e">
        <f t="shared" si="29"/>
        <v>#REF!</v>
      </c>
      <c r="I610" s="266"/>
      <c r="J610" s="265" t="e">
        <f t="shared" si="30"/>
        <v>#REF!</v>
      </c>
      <c r="K610" s="306"/>
      <c r="L610" s="280"/>
      <c r="M610" s="309"/>
      <c r="N610" s="266"/>
      <c r="O610" s="266"/>
    </row>
    <row r="611" spans="1:15" ht="31.5">
      <c r="A611" s="178" t="s">
        <v>96</v>
      </c>
      <c r="B611" s="75" t="s">
        <v>1690</v>
      </c>
      <c r="C611" s="39" t="s">
        <v>17</v>
      </c>
      <c r="D611" s="255">
        <v>200</v>
      </c>
      <c r="E611" s="325" t="e">
        <f>#REF!</f>
        <v>#REF!</v>
      </c>
      <c r="F611" s="325" t="e">
        <f>#REF!</f>
        <v>#REF!</v>
      </c>
      <c r="G611" s="325" t="e">
        <f>#REF!</f>
        <v>#REF!</v>
      </c>
      <c r="H611" s="325" t="e">
        <f t="shared" si="29"/>
        <v>#REF!</v>
      </c>
      <c r="I611" s="266">
        <v>258.5</v>
      </c>
      <c r="J611" s="265" t="e">
        <f t="shared" si="30"/>
        <v>#REF!</v>
      </c>
      <c r="K611" s="306"/>
      <c r="L611" s="280">
        <v>42408</v>
      </c>
      <c r="M611" s="308" t="s">
        <v>1663</v>
      </c>
      <c r="N611" s="254" t="s">
        <v>342</v>
      </c>
      <c r="O611" s="266" t="s">
        <v>1642</v>
      </c>
    </row>
    <row r="612" spans="1:15" ht="31.5">
      <c r="A612" s="178" t="s">
        <v>96</v>
      </c>
      <c r="B612" s="75" t="s">
        <v>229</v>
      </c>
      <c r="C612" s="39" t="s">
        <v>17</v>
      </c>
      <c r="D612" s="255">
        <v>25</v>
      </c>
      <c r="E612" s="325" t="e">
        <f>#REF!</f>
        <v>#REF!</v>
      </c>
      <c r="F612" s="325" t="e">
        <f>#REF!</f>
        <v>#REF!</v>
      </c>
      <c r="G612" s="325" t="e">
        <f>#REF!</f>
        <v>#REF!</v>
      </c>
      <c r="H612" s="325" t="e">
        <f t="shared" si="29"/>
        <v>#REF!</v>
      </c>
      <c r="I612" s="265">
        <v>2750</v>
      </c>
      <c r="J612" s="265" t="e">
        <f t="shared" si="30"/>
        <v>#REF!</v>
      </c>
      <c r="K612" s="307"/>
      <c r="L612" s="310">
        <v>42383</v>
      </c>
      <c r="M612" s="308" t="s">
        <v>1663</v>
      </c>
      <c r="N612" s="265"/>
      <c r="O612" s="266" t="s">
        <v>1642</v>
      </c>
    </row>
    <row r="613" spans="1:15" ht="31.5">
      <c r="A613" s="178" t="s">
        <v>96</v>
      </c>
      <c r="B613" s="75" t="s">
        <v>1712</v>
      </c>
      <c r="C613" s="39" t="s">
        <v>17</v>
      </c>
      <c r="D613" s="255">
        <v>1</v>
      </c>
      <c r="E613" s="325" t="e">
        <f>#REF!</f>
        <v>#REF!</v>
      </c>
      <c r="F613" s="325" t="e">
        <f>#REF!</f>
        <v>#REF!</v>
      </c>
      <c r="G613" s="325" t="e">
        <f>#REF!</f>
        <v>#REF!</v>
      </c>
      <c r="H613" s="325" t="e">
        <f t="shared" si="29"/>
        <v>#REF!</v>
      </c>
      <c r="I613" s="265">
        <v>2550</v>
      </c>
      <c r="J613" s="265" t="e">
        <f t="shared" si="30"/>
        <v>#REF!</v>
      </c>
      <c r="K613" s="307"/>
      <c r="L613" s="310">
        <v>42383</v>
      </c>
      <c r="M613" s="308" t="s">
        <v>1663</v>
      </c>
      <c r="N613" s="266"/>
      <c r="O613" s="266" t="s">
        <v>1642</v>
      </c>
    </row>
    <row r="614" spans="1:15" ht="30">
      <c r="A614" s="178" t="s">
        <v>96</v>
      </c>
      <c r="B614" s="75" t="s">
        <v>1218</v>
      </c>
      <c r="C614" s="39" t="s">
        <v>17</v>
      </c>
      <c r="D614" s="255">
        <v>70</v>
      </c>
      <c r="E614" s="325" t="e">
        <f>#REF!</f>
        <v>#REF!</v>
      </c>
      <c r="F614" s="325" t="e">
        <f>#REF!</f>
        <v>#REF!</v>
      </c>
      <c r="G614" s="325" t="e">
        <f>#REF!</f>
        <v>#REF!</v>
      </c>
      <c r="H614" s="325" t="e">
        <f t="shared" si="29"/>
        <v>#REF!</v>
      </c>
      <c r="I614" s="266">
        <v>4300</v>
      </c>
      <c r="J614" s="265" t="e">
        <f t="shared" si="30"/>
        <v>#REF!</v>
      </c>
      <c r="K614" s="306"/>
      <c r="L614" s="280">
        <v>42383</v>
      </c>
      <c r="M614" s="309" t="s">
        <v>15</v>
      </c>
      <c r="N614" s="266"/>
      <c r="O614" s="266" t="s">
        <v>1642</v>
      </c>
    </row>
    <row r="615" spans="1:15" ht="31.5">
      <c r="A615" s="178" t="s">
        <v>96</v>
      </c>
      <c r="B615" s="75" t="s">
        <v>1683</v>
      </c>
      <c r="C615" s="39" t="s">
        <v>17</v>
      </c>
      <c r="D615" s="255">
        <v>3</v>
      </c>
      <c r="E615" s="325" t="e">
        <f>#REF!</f>
        <v>#REF!</v>
      </c>
      <c r="F615" s="325" t="e">
        <f>#REF!</f>
        <v>#REF!</v>
      </c>
      <c r="G615" s="325" t="e">
        <f>#REF!</f>
        <v>#REF!</v>
      </c>
      <c r="H615" s="325" t="e">
        <f t="shared" si="29"/>
        <v>#REF!</v>
      </c>
      <c r="I615" s="266">
        <v>8400</v>
      </c>
      <c r="J615" s="265" t="e">
        <f t="shared" si="30"/>
        <v>#REF!</v>
      </c>
      <c r="K615" s="306"/>
      <c r="L615" s="280">
        <v>42383</v>
      </c>
      <c r="M615" s="308" t="s">
        <v>1663</v>
      </c>
      <c r="N615" s="254" t="s">
        <v>342</v>
      </c>
      <c r="O615" s="266" t="s">
        <v>1642</v>
      </c>
    </row>
    <row r="616" spans="1:15" ht="31.5">
      <c r="A616" s="178" t="s">
        <v>96</v>
      </c>
      <c r="B616" s="75" t="s">
        <v>1731</v>
      </c>
      <c r="C616" s="39" t="s">
        <v>17</v>
      </c>
      <c r="D616" s="255">
        <v>2</v>
      </c>
      <c r="E616" s="325" t="e">
        <f>#REF!</f>
        <v>#REF!</v>
      </c>
      <c r="F616" s="325" t="e">
        <f>#REF!</f>
        <v>#REF!</v>
      </c>
      <c r="G616" s="325" t="e">
        <f>#REF!</f>
        <v>#REF!</v>
      </c>
      <c r="H616" s="325" t="e">
        <f t="shared" si="29"/>
        <v>#REF!</v>
      </c>
      <c r="I616" s="266">
        <v>5100</v>
      </c>
      <c r="J616" s="265" t="e">
        <f t="shared" si="30"/>
        <v>#REF!</v>
      </c>
      <c r="K616" s="306"/>
      <c r="L616" s="280">
        <v>42383</v>
      </c>
      <c r="M616" s="308" t="s">
        <v>1663</v>
      </c>
      <c r="N616" s="266"/>
      <c r="O616" s="266" t="s">
        <v>1642</v>
      </c>
    </row>
    <row r="617" spans="1:15" ht="31.5">
      <c r="A617" s="178" t="s">
        <v>96</v>
      </c>
      <c r="B617" s="75" t="s">
        <v>770</v>
      </c>
      <c r="C617" s="39" t="s">
        <v>17</v>
      </c>
      <c r="D617" s="255">
        <v>10</v>
      </c>
      <c r="E617" s="325" t="e">
        <f>#REF!</f>
        <v>#REF!</v>
      </c>
      <c r="F617" s="325" t="e">
        <f>#REF!</f>
        <v>#REF!</v>
      </c>
      <c r="G617" s="325" t="e">
        <f>#REF!</f>
        <v>#REF!</v>
      </c>
      <c r="H617" s="325" t="e">
        <f t="shared" si="29"/>
        <v>#REF!</v>
      </c>
      <c r="I617" s="265">
        <v>7839</v>
      </c>
      <c r="J617" s="265" t="e">
        <f t="shared" si="30"/>
        <v>#REF!</v>
      </c>
      <c r="K617" s="307"/>
      <c r="L617" s="310">
        <v>42422</v>
      </c>
      <c r="M617" s="308" t="s">
        <v>1663</v>
      </c>
      <c r="N617" s="266"/>
      <c r="O617" s="266" t="s">
        <v>1642</v>
      </c>
    </row>
    <row r="618" spans="1:15" ht="30">
      <c r="A618" s="178" t="s">
        <v>96</v>
      </c>
      <c r="B618" s="75" t="s">
        <v>771</v>
      </c>
      <c r="C618" s="39" t="s">
        <v>17</v>
      </c>
      <c r="D618" s="255"/>
      <c r="E618" s="325" t="e">
        <f>#REF!</f>
        <v>#REF!</v>
      </c>
      <c r="F618" s="325" t="e">
        <f>#REF!</f>
        <v>#REF!</v>
      </c>
      <c r="G618" s="325" t="e">
        <f>#REF!</f>
        <v>#REF!</v>
      </c>
      <c r="H618" s="325" t="e">
        <f t="shared" si="29"/>
        <v>#REF!</v>
      </c>
      <c r="I618" s="266"/>
      <c r="J618" s="265" t="e">
        <f t="shared" si="30"/>
        <v>#REF!</v>
      </c>
      <c r="K618" s="306"/>
      <c r="L618" s="280"/>
      <c r="M618" s="309"/>
      <c r="N618" s="266"/>
      <c r="O618" s="266"/>
    </row>
    <row r="619" spans="1:15" ht="30">
      <c r="A619" s="178" t="s">
        <v>96</v>
      </c>
      <c r="B619" s="75" t="s">
        <v>1219</v>
      </c>
      <c r="C619" s="39" t="s">
        <v>17</v>
      </c>
      <c r="D619" s="255"/>
      <c r="E619" s="325" t="e">
        <f>#REF!</f>
        <v>#REF!</v>
      </c>
      <c r="F619" s="325" t="e">
        <f>#REF!</f>
        <v>#REF!</v>
      </c>
      <c r="G619" s="325" t="e">
        <f>#REF!</f>
        <v>#REF!</v>
      </c>
      <c r="H619" s="325" t="e">
        <f t="shared" si="29"/>
        <v>#REF!</v>
      </c>
      <c r="I619" s="265"/>
      <c r="J619" s="265" t="e">
        <f t="shared" si="30"/>
        <v>#REF!</v>
      </c>
      <c r="K619" s="307"/>
      <c r="L619" s="310"/>
      <c r="M619" s="308"/>
      <c r="N619" s="265"/>
      <c r="O619" s="266"/>
    </row>
    <row r="620" spans="1:15" ht="30">
      <c r="A620" s="178" t="s">
        <v>96</v>
      </c>
      <c r="B620" s="75" t="s">
        <v>803</v>
      </c>
      <c r="C620" s="39" t="s">
        <v>343</v>
      </c>
      <c r="D620" s="255"/>
      <c r="E620" s="325" t="e">
        <f>#REF!</f>
        <v>#REF!</v>
      </c>
      <c r="F620" s="325" t="e">
        <f>#REF!</f>
        <v>#REF!</v>
      </c>
      <c r="G620" s="325" t="e">
        <f>#REF!</f>
        <v>#REF!</v>
      </c>
      <c r="H620" s="325" t="e">
        <f t="shared" si="29"/>
        <v>#REF!</v>
      </c>
      <c r="I620" s="266"/>
      <c r="J620" s="265" t="e">
        <f t="shared" si="30"/>
        <v>#REF!</v>
      </c>
      <c r="K620" s="306"/>
      <c r="L620" s="280"/>
      <c r="M620" s="309"/>
      <c r="N620" s="266"/>
      <c r="O620" s="266"/>
    </row>
    <row r="621" spans="1:15" ht="30">
      <c r="A621" s="178" t="s">
        <v>96</v>
      </c>
      <c r="B621" s="75" t="s">
        <v>804</v>
      </c>
      <c r="C621" s="39" t="s">
        <v>343</v>
      </c>
      <c r="D621" s="255"/>
      <c r="E621" s="325" t="e">
        <f>#REF!</f>
        <v>#REF!</v>
      </c>
      <c r="F621" s="325" t="e">
        <f>#REF!</f>
        <v>#REF!</v>
      </c>
      <c r="G621" s="325" t="e">
        <f>#REF!</f>
        <v>#REF!</v>
      </c>
      <c r="H621" s="325" t="e">
        <f t="shared" si="29"/>
        <v>#REF!</v>
      </c>
      <c r="I621" s="265"/>
      <c r="J621" s="265" t="e">
        <f t="shared" si="30"/>
        <v>#REF!</v>
      </c>
      <c r="K621" s="307"/>
      <c r="L621" s="310"/>
      <c r="M621" s="308"/>
      <c r="N621" s="265"/>
      <c r="O621" s="266"/>
    </row>
    <row r="622" spans="1:15" ht="30">
      <c r="A622" s="178" t="s">
        <v>96</v>
      </c>
      <c r="B622" s="75" t="s">
        <v>805</v>
      </c>
      <c r="C622" s="39" t="s">
        <v>343</v>
      </c>
      <c r="D622" s="255"/>
      <c r="E622" s="325" t="e">
        <f>#REF!</f>
        <v>#REF!</v>
      </c>
      <c r="F622" s="325" t="e">
        <f>#REF!</f>
        <v>#REF!</v>
      </c>
      <c r="G622" s="325" t="e">
        <f>#REF!</f>
        <v>#REF!</v>
      </c>
      <c r="H622" s="325" t="e">
        <f t="shared" si="29"/>
        <v>#REF!</v>
      </c>
      <c r="I622" s="266"/>
      <c r="J622" s="265" t="e">
        <f t="shared" si="30"/>
        <v>#REF!</v>
      </c>
      <c r="K622" s="306"/>
      <c r="L622" s="280"/>
      <c r="M622" s="309"/>
      <c r="N622" s="266"/>
      <c r="O622" s="266"/>
    </row>
    <row r="623" spans="1:15" ht="30">
      <c r="A623" s="178" t="s">
        <v>96</v>
      </c>
      <c r="B623" s="75" t="s">
        <v>806</v>
      </c>
      <c r="C623" s="39" t="s">
        <v>343</v>
      </c>
      <c r="D623" s="255"/>
      <c r="E623" s="325" t="e">
        <f>#REF!</f>
        <v>#REF!</v>
      </c>
      <c r="F623" s="325" t="e">
        <f>#REF!</f>
        <v>#REF!</v>
      </c>
      <c r="G623" s="325" t="e">
        <f>#REF!</f>
        <v>#REF!</v>
      </c>
      <c r="H623" s="325" t="e">
        <f t="shared" si="29"/>
        <v>#REF!</v>
      </c>
      <c r="I623" s="265"/>
      <c r="J623" s="265" t="e">
        <f t="shared" si="30"/>
        <v>#REF!</v>
      </c>
      <c r="K623" s="307"/>
      <c r="L623" s="310"/>
      <c r="M623" s="308"/>
      <c r="N623" s="265"/>
      <c r="O623" s="266"/>
    </row>
    <row r="624" spans="1:15" ht="31.5">
      <c r="A624" s="178" t="s">
        <v>96</v>
      </c>
      <c r="B624" s="75" t="s">
        <v>807</v>
      </c>
      <c r="C624" s="39" t="s">
        <v>343</v>
      </c>
      <c r="D624" s="255">
        <v>180</v>
      </c>
      <c r="E624" s="325" t="e">
        <f>#REF!</f>
        <v>#REF!</v>
      </c>
      <c r="F624" s="325" t="e">
        <f>#REF!</f>
        <v>#REF!</v>
      </c>
      <c r="G624" s="325" t="e">
        <f>#REF!</f>
        <v>#REF!</v>
      </c>
      <c r="H624" s="325" t="e">
        <f t="shared" si="29"/>
        <v>#REF!</v>
      </c>
      <c r="I624" s="266">
        <v>45</v>
      </c>
      <c r="J624" s="265" t="e">
        <f t="shared" si="30"/>
        <v>#REF!</v>
      </c>
      <c r="K624" s="306"/>
      <c r="L624" s="280">
        <v>42397</v>
      </c>
      <c r="M624" s="308" t="s">
        <v>1663</v>
      </c>
      <c r="N624" s="254" t="s">
        <v>342</v>
      </c>
      <c r="O624" s="266" t="s">
        <v>1642</v>
      </c>
    </row>
    <row r="625" spans="1:15" ht="30">
      <c r="A625" s="178" t="s">
        <v>96</v>
      </c>
      <c r="B625" s="75" t="s">
        <v>808</v>
      </c>
      <c r="C625" s="39" t="s">
        <v>343</v>
      </c>
      <c r="D625" s="255"/>
      <c r="E625" s="325" t="e">
        <f>#REF!</f>
        <v>#REF!</v>
      </c>
      <c r="F625" s="325" t="e">
        <f>#REF!</f>
        <v>#REF!</v>
      </c>
      <c r="G625" s="325" t="e">
        <f>#REF!</f>
        <v>#REF!</v>
      </c>
      <c r="H625" s="325" t="e">
        <f t="shared" si="29"/>
        <v>#REF!</v>
      </c>
      <c r="I625" s="265"/>
      <c r="J625" s="265" t="e">
        <f t="shared" si="30"/>
        <v>#REF!</v>
      </c>
      <c r="K625" s="307"/>
      <c r="L625" s="310"/>
      <c r="M625" s="308"/>
      <c r="N625" s="265"/>
      <c r="O625" s="266"/>
    </row>
    <row r="626" spans="1:15" ht="30">
      <c r="A626" s="178" t="s">
        <v>96</v>
      </c>
      <c r="B626" s="75" t="s">
        <v>809</v>
      </c>
      <c r="C626" s="39" t="s">
        <v>343</v>
      </c>
      <c r="D626" s="255"/>
      <c r="E626" s="325" t="e">
        <f>#REF!</f>
        <v>#REF!</v>
      </c>
      <c r="F626" s="325" t="e">
        <f>#REF!</f>
        <v>#REF!</v>
      </c>
      <c r="G626" s="325" t="e">
        <f>#REF!</f>
        <v>#REF!</v>
      </c>
      <c r="H626" s="325" t="e">
        <f t="shared" si="29"/>
        <v>#REF!</v>
      </c>
      <c r="I626" s="266"/>
      <c r="J626" s="265" t="e">
        <f t="shared" si="30"/>
        <v>#REF!</v>
      </c>
      <c r="K626" s="306"/>
      <c r="L626" s="280"/>
      <c r="M626" s="309"/>
      <c r="N626" s="266"/>
      <c r="O626" s="266"/>
    </row>
    <row r="627" spans="1:15" ht="30">
      <c r="A627" s="178" t="s">
        <v>96</v>
      </c>
      <c r="B627" s="75" t="s">
        <v>810</v>
      </c>
      <c r="C627" s="39" t="s">
        <v>343</v>
      </c>
      <c r="D627" s="255"/>
      <c r="E627" s="325" t="e">
        <f>#REF!</f>
        <v>#REF!</v>
      </c>
      <c r="F627" s="325" t="e">
        <f>#REF!</f>
        <v>#REF!</v>
      </c>
      <c r="G627" s="325" t="e">
        <f>#REF!</f>
        <v>#REF!</v>
      </c>
      <c r="H627" s="325" t="e">
        <f t="shared" si="29"/>
        <v>#REF!</v>
      </c>
      <c r="I627" s="265"/>
      <c r="J627" s="265" t="e">
        <f t="shared" si="30"/>
        <v>#REF!</v>
      </c>
      <c r="K627" s="307"/>
      <c r="L627" s="310"/>
      <c r="M627" s="308"/>
      <c r="N627" s="265"/>
      <c r="O627" s="266"/>
    </row>
    <row r="628" spans="1:15" ht="30">
      <c r="A628" s="178" t="s">
        <v>96</v>
      </c>
      <c r="B628" s="75" t="s">
        <v>811</v>
      </c>
      <c r="C628" s="39" t="s">
        <v>343</v>
      </c>
      <c r="D628" s="255"/>
      <c r="E628" s="325" t="e">
        <f>#REF!</f>
        <v>#REF!</v>
      </c>
      <c r="F628" s="325" t="e">
        <f>#REF!</f>
        <v>#REF!</v>
      </c>
      <c r="G628" s="325" t="e">
        <f>#REF!</f>
        <v>#REF!</v>
      </c>
      <c r="H628" s="325" t="e">
        <f t="shared" si="29"/>
        <v>#REF!</v>
      </c>
      <c r="I628" s="266"/>
      <c r="J628" s="265" t="e">
        <f t="shared" si="30"/>
        <v>#REF!</v>
      </c>
      <c r="K628" s="306"/>
      <c r="L628" s="280"/>
      <c r="M628" s="309"/>
      <c r="N628" s="266"/>
      <c r="O628" s="266"/>
    </row>
    <row r="629" spans="1:15" ht="30">
      <c r="A629" s="178" t="s">
        <v>96</v>
      </c>
      <c r="B629" s="75" t="s">
        <v>812</v>
      </c>
      <c r="C629" s="39" t="s">
        <v>343</v>
      </c>
      <c r="D629" s="255">
        <v>1070</v>
      </c>
      <c r="E629" s="325" t="e">
        <f>#REF!</f>
        <v>#REF!</v>
      </c>
      <c r="F629" s="325" t="e">
        <f>#REF!</f>
        <v>#REF!</v>
      </c>
      <c r="G629" s="325" t="e">
        <f>#REF!</f>
        <v>#REF!</v>
      </c>
      <c r="H629" s="325" t="e">
        <f t="shared" si="29"/>
        <v>#REF!</v>
      </c>
      <c r="I629" s="265">
        <v>195</v>
      </c>
      <c r="J629" s="265" t="e">
        <f t="shared" si="30"/>
        <v>#REF!</v>
      </c>
      <c r="K629" s="307"/>
      <c r="L629" s="310">
        <v>42383</v>
      </c>
      <c r="M629" s="309" t="s">
        <v>15</v>
      </c>
      <c r="N629" s="254" t="s">
        <v>342</v>
      </c>
      <c r="O629" s="266" t="s">
        <v>1642</v>
      </c>
    </row>
    <row r="630" spans="1:15" ht="30">
      <c r="A630" s="178" t="s">
        <v>96</v>
      </c>
      <c r="B630" s="75" t="s">
        <v>1479</v>
      </c>
      <c r="C630" s="39" t="s">
        <v>343</v>
      </c>
      <c r="D630" s="255">
        <v>2928</v>
      </c>
      <c r="E630" s="325" t="e">
        <f>#REF!</f>
        <v>#REF!</v>
      </c>
      <c r="F630" s="325" t="e">
        <f>#REF!</f>
        <v>#REF!</v>
      </c>
      <c r="G630" s="325" t="e">
        <f>#REF!</f>
        <v>#REF!</v>
      </c>
      <c r="H630" s="325" t="e">
        <f t="shared" si="29"/>
        <v>#REF!</v>
      </c>
      <c r="I630" s="266">
        <v>175</v>
      </c>
      <c r="J630" s="265" t="e">
        <f t="shared" si="30"/>
        <v>#REF!</v>
      </c>
      <c r="K630" s="306"/>
      <c r="L630" s="280">
        <v>42430</v>
      </c>
      <c r="M630" s="309" t="s">
        <v>15</v>
      </c>
      <c r="N630" s="254" t="s">
        <v>342</v>
      </c>
      <c r="O630" s="266" t="s">
        <v>1642</v>
      </c>
    </row>
    <row r="631" spans="1:15" ht="31.5">
      <c r="A631" s="178" t="s">
        <v>96</v>
      </c>
      <c r="B631" s="75" t="s">
        <v>1463</v>
      </c>
      <c r="C631" s="39" t="s">
        <v>343</v>
      </c>
      <c r="D631" s="255">
        <v>380</v>
      </c>
      <c r="E631" s="325" t="e">
        <f>#REF!</f>
        <v>#REF!</v>
      </c>
      <c r="F631" s="325" t="e">
        <f>#REF!</f>
        <v>#REF!</v>
      </c>
      <c r="G631" s="325" t="e">
        <f>#REF!</f>
        <v>#REF!</v>
      </c>
      <c r="H631" s="325" t="e">
        <f t="shared" si="29"/>
        <v>#REF!</v>
      </c>
      <c r="I631" s="265">
        <v>14.5</v>
      </c>
      <c r="J631" s="265" t="e">
        <f t="shared" si="30"/>
        <v>#REF!</v>
      </c>
      <c r="K631" s="307"/>
      <c r="L631" s="310">
        <v>42430</v>
      </c>
      <c r="M631" s="308" t="s">
        <v>1663</v>
      </c>
      <c r="N631" s="254" t="s">
        <v>342</v>
      </c>
      <c r="O631" s="266" t="s">
        <v>1642</v>
      </c>
    </row>
    <row r="632" spans="1:15" ht="31.5">
      <c r="A632" s="178" t="s">
        <v>96</v>
      </c>
      <c r="B632" s="75" t="s">
        <v>1448</v>
      </c>
      <c r="C632" s="39" t="s">
        <v>343</v>
      </c>
      <c r="D632" s="255">
        <v>740</v>
      </c>
      <c r="E632" s="325" t="e">
        <f>#REF!</f>
        <v>#REF!</v>
      </c>
      <c r="F632" s="325" t="e">
        <f>#REF!</f>
        <v>#REF!</v>
      </c>
      <c r="G632" s="325" t="e">
        <f>#REF!</f>
        <v>#REF!</v>
      </c>
      <c r="H632" s="325" t="e">
        <f t="shared" si="29"/>
        <v>#REF!</v>
      </c>
      <c r="I632" s="266">
        <v>125</v>
      </c>
      <c r="J632" s="265" t="e">
        <f t="shared" si="30"/>
        <v>#REF!</v>
      </c>
      <c r="K632" s="306"/>
      <c r="L632" s="280">
        <v>42383</v>
      </c>
      <c r="M632" s="308" t="s">
        <v>1663</v>
      </c>
      <c r="N632" s="254" t="s">
        <v>342</v>
      </c>
      <c r="O632" s="266" t="s">
        <v>1642</v>
      </c>
    </row>
    <row r="633" spans="1:15" ht="30">
      <c r="A633" s="178" t="s">
        <v>96</v>
      </c>
      <c r="B633" s="75" t="s">
        <v>1476</v>
      </c>
      <c r="C633" s="39" t="s">
        <v>343</v>
      </c>
      <c r="D633" s="255"/>
      <c r="E633" s="325" t="e">
        <f>#REF!</f>
        <v>#REF!</v>
      </c>
      <c r="F633" s="325" t="e">
        <f>#REF!</f>
        <v>#REF!</v>
      </c>
      <c r="G633" s="325" t="e">
        <f>#REF!</f>
        <v>#REF!</v>
      </c>
      <c r="H633" s="325" t="e">
        <f t="shared" si="29"/>
        <v>#REF!</v>
      </c>
      <c r="I633" s="265"/>
      <c r="J633" s="265" t="e">
        <f t="shared" si="30"/>
        <v>#REF!</v>
      </c>
      <c r="K633" s="307"/>
      <c r="L633" s="310"/>
      <c r="M633" s="308"/>
      <c r="N633" s="265"/>
      <c r="O633" s="266"/>
    </row>
    <row r="634" spans="1:15" ht="30">
      <c r="A634" s="178" t="s">
        <v>96</v>
      </c>
      <c r="B634" s="75" t="s">
        <v>1477</v>
      </c>
      <c r="C634" s="39" t="s">
        <v>343</v>
      </c>
      <c r="D634" s="255"/>
      <c r="E634" s="325" t="e">
        <f>#REF!</f>
        <v>#REF!</v>
      </c>
      <c r="F634" s="325" t="e">
        <f>#REF!</f>
        <v>#REF!</v>
      </c>
      <c r="G634" s="325" t="e">
        <f>#REF!</f>
        <v>#REF!</v>
      </c>
      <c r="H634" s="325" t="e">
        <f t="shared" si="29"/>
        <v>#REF!</v>
      </c>
      <c r="I634" s="266"/>
      <c r="J634" s="265" t="e">
        <f t="shared" si="30"/>
        <v>#REF!</v>
      </c>
      <c r="K634" s="306"/>
      <c r="L634" s="280"/>
      <c r="M634" s="309"/>
      <c r="N634" s="266"/>
      <c r="O634" s="266"/>
    </row>
    <row r="635" spans="1:15" ht="31.5">
      <c r="A635" s="178" t="s">
        <v>96</v>
      </c>
      <c r="B635" s="75" t="s">
        <v>1680</v>
      </c>
      <c r="C635" s="39" t="s">
        <v>343</v>
      </c>
      <c r="D635" s="255">
        <v>140</v>
      </c>
      <c r="E635" s="325" t="e">
        <f>#REF!</f>
        <v>#REF!</v>
      </c>
      <c r="F635" s="325" t="e">
        <f>#REF!</f>
        <v>#REF!</v>
      </c>
      <c r="G635" s="325" t="e">
        <f>#REF!</f>
        <v>#REF!</v>
      </c>
      <c r="H635" s="325" t="e">
        <f t="shared" si="29"/>
        <v>#REF!</v>
      </c>
      <c r="I635" s="266">
        <v>80</v>
      </c>
      <c r="J635" s="265" t="e">
        <f t="shared" si="30"/>
        <v>#REF!</v>
      </c>
      <c r="K635" s="306"/>
      <c r="L635" s="280">
        <v>42430</v>
      </c>
      <c r="M635" s="308" t="s">
        <v>1663</v>
      </c>
      <c r="N635" s="254" t="s">
        <v>342</v>
      </c>
      <c r="O635" s="266" t="s">
        <v>1642</v>
      </c>
    </row>
    <row r="636" spans="1:15" ht="31.5">
      <c r="A636" s="178" t="s">
        <v>96</v>
      </c>
      <c r="B636" s="75" t="s">
        <v>1478</v>
      </c>
      <c r="C636" s="39" t="s">
        <v>343</v>
      </c>
      <c r="D636" s="255">
        <v>1000</v>
      </c>
      <c r="E636" s="325" t="e">
        <f>#REF!</f>
        <v>#REF!</v>
      </c>
      <c r="F636" s="325" t="e">
        <f>#REF!</f>
        <v>#REF!</v>
      </c>
      <c r="G636" s="325" t="e">
        <f>#REF!</f>
        <v>#REF!</v>
      </c>
      <c r="H636" s="325" t="e">
        <f t="shared" si="29"/>
        <v>#REF!</v>
      </c>
      <c r="I636" s="265">
        <v>95</v>
      </c>
      <c r="J636" s="265" t="e">
        <f t="shared" si="30"/>
        <v>#REF!</v>
      </c>
      <c r="K636" s="307"/>
      <c r="L636" s="310">
        <v>42383</v>
      </c>
      <c r="M636" s="308" t="s">
        <v>1663</v>
      </c>
      <c r="N636" s="254" t="s">
        <v>342</v>
      </c>
      <c r="O636" s="266" t="s">
        <v>1642</v>
      </c>
    </row>
    <row r="637" spans="1:15" ht="30">
      <c r="A637" s="178" t="s">
        <v>96</v>
      </c>
      <c r="B637" s="75" t="s">
        <v>1473</v>
      </c>
      <c r="C637" s="39" t="s">
        <v>343</v>
      </c>
      <c r="D637" s="255"/>
      <c r="E637" s="325" t="e">
        <f>#REF!</f>
        <v>#REF!</v>
      </c>
      <c r="F637" s="325" t="e">
        <f>#REF!</f>
        <v>#REF!</v>
      </c>
      <c r="G637" s="325" t="e">
        <f>#REF!</f>
        <v>#REF!</v>
      </c>
      <c r="H637" s="325" t="e">
        <f t="shared" si="29"/>
        <v>#REF!</v>
      </c>
      <c r="I637" s="266"/>
      <c r="J637" s="265" t="e">
        <f t="shared" si="30"/>
        <v>#REF!</v>
      </c>
      <c r="K637" s="306"/>
      <c r="L637" s="280"/>
      <c r="M637" s="309"/>
      <c r="N637" s="266"/>
      <c r="O637" s="266"/>
    </row>
    <row r="638" spans="1:15" ht="30">
      <c r="A638" s="178" t="s">
        <v>96</v>
      </c>
      <c r="B638" s="75" t="s">
        <v>1474</v>
      </c>
      <c r="C638" s="39" t="s">
        <v>343</v>
      </c>
      <c r="D638" s="255"/>
      <c r="E638" s="325" t="e">
        <f>#REF!</f>
        <v>#REF!</v>
      </c>
      <c r="F638" s="325" t="e">
        <f>#REF!</f>
        <v>#REF!</v>
      </c>
      <c r="G638" s="325" t="e">
        <f>#REF!</f>
        <v>#REF!</v>
      </c>
      <c r="H638" s="325" t="e">
        <f t="shared" si="29"/>
        <v>#REF!</v>
      </c>
      <c r="I638" s="265"/>
      <c r="J638" s="265" t="e">
        <f t="shared" si="30"/>
        <v>#REF!</v>
      </c>
      <c r="K638" s="307"/>
      <c r="L638" s="310"/>
      <c r="M638" s="308"/>
      <c r="N638" s="265"/>
      <c r="O638" s="266"/>
    </row>
    <row r="639" spans="1:15" ht="30">
      <c r="A639" s="178" t="s">
        <v>96</v>
      </c>
      <c r="B639" s="75" t="s">
        <v>1475</v>
      </c>
      <c r="C639" s="39" t="s">
        <v>343</v>
      </c>
      <c r="D639" s="255"/>
      <c r="E639" s="325" t="e">
        <f>#REF!</f>
        <v>#REF!</v>
      </c>
      <c r="F639" s="325" t="e">
        <f>#REF!</f>
        <v>#REF!</v>
      </c>
      <c r="G639" s="325" t="e">
        <f>#REF!</f>
        <v>#REF!</v>
      </c>
      <c r="H639" s="325" t="e">
        <f t="shared" si="29"/>
        <v>#REF!</v>
      </c>
      <c r="I639" s="266"/>
      <c r="J639" s="265" t="e">
        <f t="shared" si="30"/>
        <v>#REF!</v>
      </c>
      <c r="K639" s="306"/>
      <c r="L639" s="280"/>
      <c r="M639" s="309"/>
      <c r="N639" s="266"/>
      <c r="O639" s="266"/>
    </row>
    <row r="640" spans="1:15" ht="30">
      <c r="A640" s="178" t="s">
        <v>96</v>
      </c>
      <c r="B640" s="75" t="s">
        <v>1480</v>
      </c>
      <c r="C640" s="39" t="s">
        <v>343</v>
      </c>
      <c r="D640" s="255"/>
      <c r="E640" s="325" t="e">
        <f>#REF!</f>
        <v>#REF!</v>
      </c>
      <c r="F640" s="325" t="e">
        <f>#REF!</f>
        <v>#REF!</v>
      </c>
      <c r="G640" s="325" t="e">
        <f>#REF!</f>
        <v>#REF!</v>
      </c>
      <c r="H640" s="325" t="e">
        <f t="shared" si="29"/>
        <v>#REF!</v>
      </c>
      <c r="I640" s="265"/>
      <c r="J640" s="265" t="e">
        <f t="shared" si="30"/>
        <v>#REF!</v>
      </c>
      <c r="K640" s="307"/>
      <c r="L640" s="310"/>
      <c r="M640" s="308"/>
      <c r="N640" s="265"/>
      <c r="O640" s="266"/>
    </row>
    <row r="641" spans="1:15" ht="30">
      <c r="A641" s="178" t="s">
        <v>96</v>
      </c>
      <c r="B641" s="75" t="s">
        <v>1481</v>
      </c>
      <c r="C641" s="39" t="s">
        <v>343</v>
      </c>
      <c r="D641" s="255"/>
      <c r="E641" s="325" t="e">
        <f>#REF!</f>
        <v>#REF!</v>
      </c>
      <c r="F641" s="325" t="e">
        <f>#REF!</f>
        <v>#REF!</v>
      </c>
      <c r="G641" s="325" t="e">
        <f>#REF!</f>
        <v>#REF!</v>
      </c>
      <c r="H641" s="325" t="e">
        <f t="shared" si="29"/>
        <v>#REF!</v>
      </c>
      <c r="I641" s="266"/>
      <c r="J641" s="265" t="e">
        <f t="shared" si="30"/>
        <v>#REF!</v>
      </c>
      <c r="K641" s="306"/>
      <c r="L641" s="280"/>
      <c r="M641" s="309"/>
      <c r="N641" s="266"/>
      <c r="O641" s="266"/>
    </row>
    <row r="642" spans="1:15" ht="31.5">
      <c r="A642" s="178" t="s">
        <v>96</v>
      </c>
      <c r="B642" s="18" t="s">
        <v>1691</v>
      </c>
      <c r="C642" s="39" t="s">
        <v>343</v>
      </c>
      <c r="D642" s="255">
        <v>240</v>
      </c>
      <c r="E642" s="325" t="e">
        <f>#REF!</f>
        <v>#REF!</v>
      </c>
      <c r="F642" s="325" t="e">
        <f>#REF!</f>
        <v>#REF!</v>
      </c>
      <c r="G642" s="325" t="e">
        <f>#REF!</f>
        <v>#REF!</v>
      </c>
      <c r="H642" s="325" t="e">
        <f t="shared" si="29"/>
        <v>#REF!</v>
      </c>
      <c r="I642" s="266">
        <v>14.5</v>
      </c>
      <c r="J642" s="265" t="e">
        <f t="shared" si="30"/>
        <v>#REF!</v>
      </c>
      <c r="K642" s="306"/>
      <c r="L642" s="280">
        <v>42408</v>
      </c>
      <c r="M642" s="308" t="s">
        <v>1663</v>
      </c>
      <c r="N642" s="254" t="s">
        <v>342</v>
      </c>
      <c r="O642" s="266" t="s">
        <v>1642</v>
      </c>
    </row>
    <row r="643" spans="1:15" ht="30">
      <c r="A643" s="178" t="s">
        <v>96</v>
      </c>
      <c r="B643" s="75" t="s">
        <v>813</v>
      </c>
      <c r="C643" s="39" t="s">
        <v>343</v>
      </c>
      <c r="D643" s="255"/>
      <c r="E643" s="325" t="e">
        <f>#REF!</f>
        <v>#REF!</v>
      </c>
      <c r="F643" s="325" t="e">
        <f>#REF!</f>
        <v>#REF!</v>
      </c>
      <c r="G643" s="325" t="e">
        <f>#REF!</f>
        <v>#REF!</v>
      </c>
      <c r="H643" s="325" t="e">
        <f t="shared" si="29"/>
        <v>#REF!</v>
      </c>
      <c r="I643" s="265"/>
      <c r="J643" s="265" t="e">
        <f t="shared" si="30"/>
        <v>#REF!</v>
      </c>
      <c r="K643" s="307"/>
      <c r="L643" s="310"/>
      <c r="M643" s="308"/>
      <c r="N643" s="265"/>
      <c r="O643" s="266"/>
    </row>
    <row r="644" spans="1:15" ht="31.5">
      <c r="A644" s="178" t="s">
        <v>96</v>
      </c>
      <c r="B644" s="75" t="s">
        <v>1677</v>
      </c>
      <c r="C644" s="39" t="s">
        <v>343</v>
      </c>
      <c r="D644" s="255">
        <v>240</v>
      </c>
      <c r="E644" s="325" t="e">
        <f>#REF!</f>
        <v>#REF!</v>
      </c>
      <c r="F644" s="325" t="e">
        <f>#REF!</f>
        <v>#REF!</v>
      </c>
      <c r="G644" s="325" t="e">
        <f>#REF!</f>
        <v>#REF!</v>
      </c>
      <c r="H644" s="325" t="e">
        <f t="shared" si="29"/>
        <v>#REF!</v>
      </c>
      <c r="I644" s="265">
        <v>60</v>
      </c>
      <c r="J644" s="265" t="e">
        <f t="shared" si="30"/>
        <v>#REF!</v>
      </c>
      <c r="K644" s="307"/>
      <c r="L644" s="310">
        <v>42408</v>
      </c>
      <c r="M644" s="308" t="s">
        <v>1663</v>
      </c>
      <c r="N644" s="254" t="s">
        <v>342</v>
      </c>
      <c r="O644" s="266" t="s">
        <v>1642</v>
      </c>
    </row>
    <row r="645" spans="1:15" ht="30">
      <c r="A645" s="178" t="s">
        <v>96</v>
      </c>
      <c r="B645" s="75" t="s">
        <v>1571</v>
      </c>
      <c r="C645" s="39" t="s">
        <v>17</v>
      </c>
      <c r="D645" s="255"/>
      <c r="E645" s="325" t="e">
        <f>#REF!</f>
        <v>#REF!</v>
      </c>
      <c r="F645" s="325" t="e">
        <f>#REF!</f>
        <v>#REF!</v>
      </c>
      <c r="G645" s="325" t="e">
        <f>#REF!</f>
        <v>#REF!</v>
      </c>
      <c r="H645" s="325" t="e">
        <f t="shared" si="29"/>
        <v>#REF!</v>
      </c>
      <c r="I645" s="266"/>
      <c r="J645" s="265" t="e">
        <f t="shared" si="30"/>
        <v>#REF!</v>
      </c>
      <c r="K645" s="306"/>
      <c r="L645" s="280"/>
      <c r="M645" s="309"/>
      <c r="N645" s="266"/>
      <c r="O645" s="266"/>
    </row>
    <row r="646" spans="1:15" ht="30">
      <c r="A646" s="178" t="s">
        <v>96</v>
      </c>
      <c r="B646" s="75" t="s">
        <v>1570</v>
      </c>
      <c r="C646" s="39" t="s">
        <v>343</v>
      </c>
      <c r="D646" s="255"/>
      <c r="E646" s="325" t="e">
        <f>#REF!</f>
        <v>#REF!</v>
      </c>
      <c r="F646" s="325" t="e">
        <f>#REF!</f>
        <v>#REF!</v>
      </c>
      <c r="G646" s="325" t="e">
        <f>#REF!</f>
        <v>#REF!</v>
      </c>
      <c r="H646" s="325" t="e">
        <f t="shared" si="29"/>
        <v>#REF!</v>
      </c>
      <c r="I646" s="265"/>
      <c r="J646" s="265" t="e">
        <f t="shared" si="30"/>
        <v>#REF!</v>
      </c>
      <c r="K646" s="307"/>
      <c r="L646" s="310"/>
      <c r="M646" s="308"/>
      <c r="N646" s="265"/>
      <c r="O646" s="266"/>
    </row>
    <row r="647" spans="1:15" ht="30">
      <c r="A647" s="178" t="s">
        <v>96</v>
      </c>
      <c r="B647" s="75" t="s">
        <v>1603</v>
      </c>
      <c r="C647" s="39" t="s">
        <v>343</v>
      </c>
      <c r="D647" s="255"/>
      <c r="E647" s="325" t="e">
        <f>#REF!</f>
        <v>#REF!</v>
      </c>
      <c r="F647" s="325" t="e">
        <f>#REF!</f>
        <v>#REF!</v>
      </c>
      <c r="G647" s="325" t="e">
        <f>#REF!</f>
        <v>#REF!</v>
      </c>
      <c r="H647" s="325" t="e">
        <f t="shared" si="29"/>
        <v>#REF!</v>
      </c>
      <c r="I647" s="266"/>
      <c r="J647" s="265" t="e">
        <f t="shared" si="30"/>
        <v>#REF!</v>
      </c>
      <c r="K647" s="306"/>
      <c r="L647" s="280"/>
      <c r="M647" s="309"/>
      <c r="N647" s="266"/>
      <c r="O647" s="266"/>
    </row>
    <row r="648" spans="1:15" ht="31.5">
      <c r="A648" s="178" t="s">
        <v>96</v>
      </c>
      <c r="B648" s="75" t="s">
        <v>1602</v>
      </c>
      <c r="C648" s="39" t="s">
        <v>343</v>
      </c>
      <c r="D648" s="255">
        <v>150</v>
      </c>
      <c r="E648" s="325" t="e">
        <f>#REF!</f>
        <v>#REF!</v>
      </c>
      <c r="F648" s="325" t="e">
        <f>#REF!</f>
        <v>#REF!</v>
      </c>
      <c r="G648" s="325" t="e">
        <f>#REF!</f>
        <v>#REF!</v>
      </c>
      <c r="H648" s="325" t="e">
        <f t="shared" si="29"/>
        <v>#REF!</v>
      </c>
      <c r="I648" s="265">
        <v>110</v>
      </c>
      <c r="J648" s="265" t="e">
        <f t="shared" si="30"/>
        <v>#REF!</v>
      </c>
      <c r="K648" s="307"/>
      <c r="L648" s="310">
        <v>42383</v>
      </c>
      <c r="M648" s="308" t="s">
        <v>1663</v>
      </c>
      <c r="N648" s="254" t="s">
        <v>342</v>
      </c>
      <c r="O648" s="266" t="s">
        <v>1642</v>
      </c>
    </row>
    <row r="649" spans="1:15" ht="30">
      <c r="A649" s="178" t="s">
        <v>96</v>
      </c>
      <c r="B649" s="75" t="s">
        <v>814</v>
      </c>
      <c r="C649" s="39" t="s">
        <v>343</v>
      </c>
      <c r="D649" s="255"/>
      <c r="E649" s="325" t="e">
        <f>#REF!</f>
        <v>#REF!</v>
      </c>
      <c r="F649" s="325" t="e">
        <f>#REF!</f>
        <v>#REF!</v>
      </c>
      <c r="G649" s="325" t="e">
        <f>#REF!</f>
        <v>#REF!</v>
      </c>
      <c r="H649" s="325" t="e">
        <f t="shared" si="29"/>
        <v>#REF!</v>
      </c>
      <c r="I649" s="266"/>
      <c r="J649" s="265" t="e">
        <f t="shared" si="30"/>
        <v>#REF!</v>
      </c>
      <c r="K649" s="306"/>
      <c r="L649" s="280"/>
      <c r="M649" s="309"/>
      <c r="N649" s="266"/>
      <c r="O649" s="266"/>
    </row>
    <row r="650" spans="1:15" ht="30">
      <c r="A650" s="178" t="s">
        <v>96</v>
      </c>
      <c r="B650" s="77" t="s">
        <v>874</v>
      </c>
      <c r="C650" s="39" t="s">
        <v>17</v>
      </c>
      <c r="D650" s="255"/>
      <c r="E650" s="325" t="e">
        <f>#REF!</f>
        <v>#REF!</v>
      </c>
      <c r="F650" s="325" t="e">
        <f>#REF!</f>
        <v>#REF!</v>
      </c>
      <c r="G650" s="325" t="e">
        <f>#REF!</f>
        <v>#REF!</v>
      </c>
      <c r="H650" s="325" t="e">
        <f t="shared" si="29"/>
        <v>#REF!</v>
      </c>
      <c r="I650" s="265"/>
      <c r="J650" s="265" t="e">
        <f t="shared" si="30"/>
        <v>#REF!</v>
      </c>
      <c r="K650" s="307"/>
      <c r="L650" s="310"/>
      <c r="M650" s="308"/>
      <c r="N650" s="265"/>
      <c r="O650" s="266"/>
    </row>
    <row r="651" spans="1:15" ht="30">
      <c r="A651" s="178" t="s">
        <v>96</v>
      </c>
      <c r="B651" s="77" t="s">
        <v>875</v>
      </c>
      <c r="C651" s="39" t="s">
        <v>17</v>
      </c>
      <c r="D651" s="255"/>
      <c r="E651" s="325" t="e">
        <f>#REF!</f>
        <v>#REF!</v>
      </c>
      <c r="F651" s="325" t="e">
        <f>#REF!</f>
        <v>#REF!</v>
      </c>
      <c r="G651" s="325" t="e">
        <f>#REF!</f>
        <v>#REF!</v>
      </c>
      <c r="H651" s="325" t="e">
        <f t="shared" si="29"/>
        <v>#REF!</v>
      </c>
      <c r="I651" s="266"/>
      <c r="J651" s="265" t="e">
        <f t="shared" si="30"/>
        <v>#REF!</v>
      </c>
      <c r="K651" s="306"/>
      <c r="L651" s="280"/>
      <c r="M651" s="309"/>
      <c r="N651" s="266"/>
      <c r="O651" s="266"/>
    </row>
    <row r="652" spans="1:15" ht="31.5">
      <c r="A652" s="178" t="s">
        <v>96</v>
      </c>
      <c r="B652" s="77" t="s">
        <v>876</v>
      </c>
      <c r="C652" s="39" t="s">
        <v>17</v>
      </c>
      <c r="D652" s="255">
        <v>24</v>
      </c>
      <c r="E652" s="325" t="e">
        <f>#REF!</f>
        <v>#REF!</v>
      </c>
      <c r="F652" s="325" t="e">
        <f>#REF!</f>
        <v>#REF!</v>
      </c>
      <c r="G652" s="325" t="e">
        <f>#REF!</f>
        <v>#REF!</v>
      </c>
      <c r="H652" s="325" t="e">
        <f t="shared" si="29"/>
        <v>#REF!</v>
      </c>
      <c r="I652" s="265">
        <v>155</v>
      </c>
      <c r="J652" s="265" t="e">
        <f t="shared" si="30"/>
        <v>#REF!</v>
      </c>
      <c r="K652" s="307"/>
      <c r="L652" s="310">
        <v>42383</v>
      </c>
      <c r="M652" s="308" t="s">
        <v>1663</v>
      </c>
      <c r="N652" s="265"/>
      <c r="O652" s="266" t="s">
        <v>1642</v>
      </c>
    </row>
    <row r="653" spans="1:15" ht="30">
      <c r="A653" s="178" t="s">
        <v>96</v>
      </c>
      <c r="B653" s="77" t="s">
        <v>877</v>
      </c>
      <c r="C653" s="39" t="s">
        <v>17</v>
      </c>
      <c r="D653" s="255"/>
      <c r="E653" s="325" t="e">
        <f>#REF!</f>
        <v>#REF!</v>
      </c>
      <c r="F653" s="325" t="e">
        <f>#REF!</f>
        <v>#REF!</v>
      </c>
      <c r="G653" s="325" t="e">
        <f>#REF!</f>
        <v>#REF!</v>
      </c>
      <c r="H653" s="325" t="e">
        <f t="shared" si="29"/>
        <v>#REF!</v>
      </c>
      <c r="I653" s="266"/>
      <c r="J653" s="265" t="e">
        <f t="shared" si="30"/>
        <v>#REF!</v>
      </c>
      <c r="K653" s="306"/>
      <c r="L653" s="280"/>
      <c r="M653" s="309"/>
      <c r="N653" s="266"/>
      <c r="O653" s="266"/>
    </row>
    <row r="654" spans="1:15" ht="31.5">
      <c r="A654" s="178" t="s">
        <v>96</v>
      </c>
      <c r="B654" s="77" t="s">
        <v>878</v>
      </c>
      <c r="C654" s="39" t="s">
        <v>17</v>
      </c>
      <c r="D654" s="255">
        <v>12</v>
      </c>
      <c r="E654" s="325" t="e">
        <f>#REF!</f>
        <v>#REF!</v>
      </c>
      <c r="F654" s="325" t="e">
        <f>#REF!</f>
        <v>#REF!</v>
      </c>
      <c r="G654" s="325" t="e">
        <f>#REF!</f>
        <v>#REF!</v>
      </c>
      <c r="H654" s="325" t="e">
        <f t="shared" si="29"/>
        <v>#REF!</v>
      </c>
      <c r="I654" s="265">
        <v>280</v>
      </c>
      <c r="J654" s="265" t="e">
        <f t="shared" si="30"/>
        <v>#REF!</v>
      </c>
      <c r="K654" s="307"/>
      <c r="L654" s="310">
        <v>42383</v>
      </c>
      <c r="M654" s="308" t="s">
        <v>1663</v>
      </c>
      <c r="N654" s="265"/>
      <c r="O654" s="266" t="s">
        <v>1642</v>
      </c>
    </row>
    <row r="655" spans="1:15" ht="30">
      <c r="A655" s="178" t="s">
        <v>96</v>
      </c>
      <c r="B655" s="77" t="s">
        <v>1595</v>
      </c>
      <c r="C655" s="39" t="s">
        <v>17</v>
      </c>
      <c r="D655" s="255"/>
      <c r="E655" s="325" t="e">
        <f>#REF!</f>
        <v>#REF!</v>
      </c>
      <c r="F655" s="325" t="e">
        <f>#REF!</f>
        <v>#REF!</v>
      </c>
      <c r="G655" s="325" t="e">
        <f>#REF!</f>
        <v>#REF!</v>
      </c>
      <c r="H655" s="325" t="e">
        <f t="shared" si="29"/>
        <v>#REF!</v>
      </c>
      <c r="I655" s="266"/>
      <c r="J655" s="265" t="e">
        <f t="shared" si="30"/>
        <v>#REF!</v>
      </c>
      <c r="K655" s="306"/>
      <c r="L655" s="280"/>
      <c r="M655" s="309"/>
      <c r="N655" s="266"/>
      <c r="O655" s="266"/>
    </row>
    <row r="656" spans="1:15" ht="30">
      <c r="A656" s="178" t="s">
        <v>96</v>
      </c>
      <c r="B656" s="77" t="s">
        <v>879</v>
      </c>
      <c r="C656" s="39" t="s">
        <v>17</v>
      </c>
      <c r="D656" s="255"/>
      <c r="E656" s="325" t="e">
        <f>#REF!</f>
        <v>#REF!</v>
      </c>
      <c r="F656" s="325" t="e">
        <f>#REF!</f>
        <v>#REF!</v>
      </c>
      <c r="G656" s="325" t="e">
        <f>#REF!</f>
        <v>#REF!</v>
      </c>
      <c r="H656" s="325" t="e">
        <f t="shared" ref="H656:H719" si="31">G656+F656+E656+D656</f>
        <v>#REF!</v>
      </c>
      <c r="I656" s="265"/>
      <c r="J656" s="265" t="e">
        <f t="shared" si="30"/>
        <v>#REF!</v>
      </c>
      <c r="K656" s="307"/>
      <c r="L656" s="310"/>
      <c r="M656" s="308"/>
      <c r="N656" s="265"/>
      <c r="O656" s="266"/>
    </row>
    <row r="657" spans="1:15" ht="30">
      <c r="A657" s="178" t="s">
        <v>96</v>
      </c>
      <c r="B657" s="77" t="s">
        <v>1518</v>
      </c>
      <c r="C657" s="39" t="s">
        <v>208</v>
      </c>
      <c r="D657" s="255"/>
      <c r="E657" s="325" t="e">
        <f>#REF!</f>
        <v>#REF!</v>
      </c>
      <c r="F657" s="325" t="e">
        <f>#REF!</f>
        <v>#REF!</v>
      </c>
      <c r="G657" s="325" t="e">
        <f>#REF!</f>
        <v>#REF!</v>
      </c>
      <c r="H657" s="325" t="e">
        <f t="shared" si="31"/>
        <v>#REF!</v>
      </c>
      <c r="I657" s="266"/>
      <c r="J657" s="265" t="e">
        <f t="shared" si="30"/>
        <v>#REF!</v>
      </c>
      <c r="K657" s="306"/>
      <c r="L657" s="280"/>
      <c r="M657" s="309"/>
      <c r="N657" s="266"/>
      <c r="O657" s="266"/>
    </row>
    <row r="658" spans="1:15" ht="30">
      <c r="A658" s="178" t="s">
        <v>96</v>
      </c>
      <c r="B658" s="77" t="s">
        <v>1519</v>
      </c>
      <c r="C658" s="39" t="s">
        <v>208</v>
      </c>
      <c r="D658" s="255"/>
      <c r="E658" s="325" t="e">
        <f>#REF!</f>
        <v>#REF!</v>
      </c>
      <c r="F658" s="325" t="e">
        <f>#REF!</f>
        <v>#REF!</v>
      </c>
      <c r="G658" s="325" t="e">
        <f>#REF!</f>
        <v>#REF!</v>
      </c>
      <c r="H658" s="325" t="e">
        <f t="shared" si="31"/>
        <v>#REF!</v>
      </c>
      <c r="I658" s="265"/>
      <c r="J658" s="265" t="e">
        <f t="shared" si="30"/>
        <v>#REF!</v>
      </c>
      <c r="K658" s="307"/>
      <c r="L658" s="310"/>
      <c r="M658" s="308"/>
      <c r="N658" s="265"/>
      <c r="O658" s="266"/>
    </row>
    <row r="659" spans="1:15" ht="30">
      <c r="A659" s="178" t="s">
        <v>96</v>
      </c>
      <c r="B659" s="77" t="s">
        <v>1520</v>
      </c>
      <c r="C659" s="39" t="s">
        <v>208</v>
      </c>
      <c r="D659" s="255"/>
      <c r="E659" s="325" t="e">
        <f>#REF!</f>
        <v>#REF!</v>
      </c>
      <c r="F659" s="325" t="e">
        <f>#REF!</f>
        <v>#REF!</v>
      </c>
      <c r="G659" s="325" t="e">
        <f>#REF!</f>
        <v>#REF!</v>
      </c>
      <c r="H659" s="325" t="e">
        <f t="shared" si="31"/>
        <v>#REF!</v>
      </c>
      <c r="I659" s="266"/>
      <c r="J659" s="265" t="e">
        <f t="shared" ref="J659:J722" si="32">I659*H659</f>
        <v>#REF!</v>
      </c>
      <c r="K659" s="306"/>
      <c r="L659" s="280"/>
      <c r="M659" s="309"/>
      <c r="N659" s="266"/>
      <c r="O659" s="266"/>
    </row>
    <row r="660" spans="1:15" ht="31.5">
      <c r="A660" s="178" t="s">
        <v>96</v>
      </c>
      <c r="B660" s="77" t="s">
        <v>880</v>
      </c>
      <c r="C660" s="39" t="s">
        <v>17</v>
      </c>
      <c r="D660" s="255">
        <v>11</v>
      </c>
      <c r="E660" s="325" t="e">
        <f>#REF!</f>
        <v>#REF!</v>
      </c>
      <c r="F660" s="325" t="e">
        <f>#REF!</f>
        <v>#REF!</v>
      </c>
      <c r="G660" s="325" t="e">
        <f>#REF!</f>
        <v>#REF!</v>
      </c>
      <c r="H660" s="325" t="e">
        <f t="shared" si="31"/>
        <v>#REF!</v>
      </c>
      <c r="I660" s="265">
        <v>7800</v>
      </c>
      <c r="J660" s="265" t="e">
        <f t="shared" si="32"/>
        <v>#REF!</v>
      </c>
      <c r="K660" s="307"/>
      <c r="L660" s="310">
        <v>42430</v>
      </c>
      <c r="M660" s="308" t="s">
        <v>1663</v>
      </c>
      <c r="N660" s="265"/>
      <c r="O660" s="266" t="s">
        <v>1642</v>
      </c>
    </row>
    <row r="661" spans="1:15" ht="38.25">
      <c r="A661" s="178" t="s">
        <v>96</v>
      </c>
      <c r="B661" s="77" t="s">
        <v>924</v>
      </c>
      <c r="C661" s="39" t="s">
        <v>17</v>
      </c>
      <c r="D661" s="255"/>
      <c r="E661" s="325" t="e">
        <f>#REF!</f>
        <v>#REF!</v>
      </c>
      <c r="F661" s="325" t="e">
        <f>#REF!</f>
        <v>#REF!</v>
      </c>
      <c r="G661" s="325" t="e">
        <f>#REF!</f>
        <v>#REF!</v>
      </c>
      <c r="H661" s="325" t="e">
        <f t="shared" si="31"/>
        <v>#REF!</v>
      </c>
      <c r="I661" s="260"/>
      <c r="J661" s="265" t="e">
        <f t="shared" si="32"/>
        <v>#REF!</v>
      </c>
      <c r="K661" s="294"/>
      <c r="L661" s="271"/>
      <c r="M661" s="264"/>
      <c r="N661" s="260"/>
      <c r="O661" s="260"/>
    </row>
    <row r="662" spans="1:15" ht="30">
      <c r="A662" s="178" t="s">
        <v>96</v>
      </c>
      <c r="B662" s="75" t="s">
        <v>882</v>
      </c>
      <c r="C662" s="39" t="s">
        <v>17</v>
      </c>
      <c r="D662" s="255"/>
      <c r="E662" s="325" t="e">
        <f>#REF!</f>
        <v>#REF!</v>
      </c>
      <c r="F662" s="325" t="e">
        <f>#REF!</f>
        <v>#REF!</v>
      </c>
      <c r="G662" s="325" t="e">
        <f>#REF!</f>
        <v>#REF!</v>
      </c>
      <c r="H662" s="325" t="e">
        <f t="shared" si="31"/>
        <v>#REF!</v>
      </c>
      <c r="I662" s="261"/>
      <c r="J662" s="265" t="e">
        <f t="shared" si="32"/>
        <v>#REF!</v>
      </c>
      <c r="K662" s="295"/>
      <c r="L662" s="270"/>
      <c r="M662" s="263"/>
      <c r="N662" s="261"/>
      <c r="O662" s="260"/>
    </row>
    <row r="663" spans="1:15" ht="30">
      <c r="A663" s="178" t="s">
        <v>96</v>
      </c>
      <c r="B663" s="75" t="s">
        <v>883</v>
      </c>
      <c r="C663" s="39" t="s">
        <v>17</v>
      </c>
      <c r="D663" s="255"/>
      <c r="E663" s="325" t="e">
        <f>#REF!</f>
        <v>#REF!</v>
      </c>
      <c r="F663" s="325" t="e">
        <f>#REF!</f>
        <v>#REF!</v>
      </c>
      <c r="G663" s="325" t="e">
        <f>#REF!</f>
        <v>#REF!</v>
      </c>
      <c r="H663" s="325" t="e">
        <f t="shared" si="31"/>
        <v>#REF!</v>
      </c>
      <c r="I663" s="260"/>
      <c r="J663" s="265" t="e">
        <f t="shared" si="32"/>
        <v>#REF!</v>
      </c>
      <c r="K663" s="294"/>
      <c r="L663" s="271"/>
      <c r="M663" s="264"/>
      <c r="N663" s="260"/>
      <c r="O663" s="260"/>
    </row>
    <row r="664" spans="1:15" ht="30">
      <c r="A664" s="178" t="s">
        <v>96</v>
      </c>
      <c r="B664" s="75" t="s">
        <v>884</v>
      </c>
      <c r="C664" s="39" t="s">
        <v>17</v>
      </c>
      <c r="D664" s="255"/>
      <c r="E664" s="325" t="e">
        <f>#REF!</f>
        <v>#REF!</v>
      </c>
      <c r="F664" s="325" t="e">
        <f>#REF!</f>
        <v>#REF!</v>
      </c>
      <c r="G664" s="325" t="e">
        <f>#REF!</f>
        <v>#REF!</v>
      </c>
      <c r="H664" s="325" t="e">
        <f t="shared" si="31"/>
        <v>#REF!</v>
      </c>
      <c r="I664" s="261"/>
      <c r="J664" s="265" t="e">
        <f t="shared" si="32"/>
        <v>#REF!</v>
      </c>
      <c r="K664" s="295"/>
      <c r="L664" s="270"/>
      <c r="M664" s="263"/>
      <c r="N664" s="261"/>
      <c r="O664" s="260"/>
    </row>
    <row r="665" spans="1:15" ht="30">
      <c r="A665" s="178" t="s">
        <v>96</v>
      </c>
      <c r="B665" s="75" t="s">
        <v>885</v>
      </c>
      <c r="C665" s="39" t="s">
        <v>344</v>
      </c>
      <c r="D665" s="255"/>
      <c r="E665" s="325" t="e">
        <f>#REF!</f>
        <v>#REF!</v>
      </c>
      <c r="F665" s="325" t="e">
        <f>#REF!</f>
        <v>#REF!</v>
      </c>
      <c r="G665" s="325" t="e">
        <f>#REF!</f>
        <v>#REF!</v>
      </c>
      <c r="H665" s="325" t="e">
        <f t="shared" si="31"/>
        <v>#REF!</v>
      </c>
      <c r="I665" s="260"/>
      <c r="J665" s="265" t="e">
        <f t="shared" si="32"/>
        <v>#REF!</v>
      </c>
      <c r="K665" s="294"/>
      <c r="L665" s="271"/>
      <c r="M665" s="264"/>
      <c r="N665" s="260"/>
      <c r="O665" s="260"/>
    </row>
    <row r="666" spans="1:15" ht="30">
      <c r="A666" s="178" t="s">
        <v>96</v>
      </c>
      <c r="B666" s="75" t="s">
        <v>886</v>
      </c>
      <c r="C666" s="39" t="s">
        <v>344</v>
      </c>
      <c r="D666" s="255"/>
      <c r="E666" s="325" t="e">
        <f>#REF!</f>
        <v>#REF!</v>
      </c>
      <c r="F666" s="325" t="e">
        <f>#REF!</f>
        <v>#REF!</v>
      </c>
      <c r="G666" s="325" t="e">
        <f>#REF!</f>
        <v>#REF!</v>
      </c>
      <c r="H666" s="325" t="e">
        <f t="shared" si="31"/>
        <v>#REF!</v>
      </c>
      <c r="I666" s="261"/>
      <c r="J666" s="265" t="e">
        <f t="shared" si="32"/>
        <v>#REF!</v>
      </c>
      <c r="K666" s="295"/>
      <c r="L666" s="270"/>
      <c r="M666" s="263"/>
      <c r="N666" s="261"/>
      <c r="O666" s="260"/>
    </row>
    <row r="667" spans="1:15" ht="30">
      <c r="A667" s="178" t="s">
        <v>96</v>
      </c>
      <c r="B667" s="75" t="s">
        <v>887</v>
      </c>
      <c r="C667" s="39" t="s">
        <v>344</v>
      </c>
      <c r="D667" s="255"/>
      <c r="E667" s="325" t="e">
        <f>#REF!</f>
        <v>#REF!</v>
      </c>
      <c r="F667" s="325" t="e">
        <f>#REF!</f>
        <v>#REF!</v>
      </c>
      <c r="G667" s="325" t="e">
        <f>#REF!</f>
        <v>#REF!</v>
      </c>
      <c r="H667" s="325" t="e">
        <f t="shared" si="31"/>
        <v>#REF!</v>
      </c>
      <c r="I667" s="260"/>
      <c r="J667" s="265" t="e">
        <f t="shared" si="32"/>
        <v>#REF!</v>
      </c>
      <c r="K667" s="294"/>
      <c r="L667" s="271"/>
      <c r="M667" s="264"/>
      <c r="N667" s="260"/>
      <c r="O667" s="260"/>
    </row>
    <row r="668" spans="1:15" ht="30">
      <c r="A668" s="178" t="s">
        <v>96</v>
      </c>
      <c r="B668" s="75" t="s">
        <v>888</v>
      </c>
      <c r="C668" s="39" t="s">
        <v>344</v>
      </c>
      <c r="D668" s="255"/>
      <c r="E668" s="325" t="e">
        <f>#REF!</f>
        <v>#REF!</v>
      </c>
      <c r="F668" s="325" t="e">
        <f>#REF!</f>
        <v>#REF!</v>
      </c>
      <c r="G668" s="325" t="e">
        <f>#REF!</f>
        <v>#REF!</v>
      </c>
      <c r="H668" s="325" t="e">
        <f t="shared" si="31"/>
        <v>#REF!</v>
      </c>
      <c r="I668" s="261"/>
      <c r="J668" s="265" t="e">
        <f t="shared" si="32"/>
        <v>#REF!</v>
      </c>
      <c r="K668" s="295"/>
      <c r="L668" s="270"/>
      <c r="M668" s="263"/>
      <c r="N668" s="261"/>
      <c r="O668" s="260"/>
    </row>
    <row r="669" spans="1:15" ht="30">
      <c r="A669" s="178" t="s">
        <v>96</v>
      </c>
      <c r="B669" s="75" t="s">
        <v>815</v>
      </c>
      <c r="C669" s="39" t="s">
        <v>17</v>
      </c>
      <c r="D669" s="255"/>
      <c r="E669" s="325" t="e">
        <f>#REF!</f>
        <v>#REF!</v>
      </c>
      <c r="F669" s="325" t="e">
        <f>#REF!</f>
        <v>#REF!</v>
      </c>
      <c r="G669" s="325" t="e">
        <f>#REF!</f>
        <v>#REF!</v>
      </c>
      <c r="H669" s="325" t="e">
        <f t="shared" si="31"/>
        <v>#REF!</v>
      </c>
      <c r="I669" s="260"/>
      <c r="J669" s="265" t="e">
        <f t="shared" si="32"/>
        <v>#REF!</v>
      </c>
      <c r="K669" s="294"/>
      <c r="L669" s="271"/>
      <c r="M669" s="264"/>
      <c r="N669" s="260"/>
      <c r="O669" s="260"/>
    </row>
    <row r="670" spans="1:15" ht="31.5">
      <c r="A670" s="178" t="s">
        <v>96</v>
      </c>
      <c r="B670" s="75" t="s">
        <v>913</v>
      </c>
      <c r="C670" s="39" t="s">
        <v>343</v>
      </c>
      <c r="D670" s="255">
        <v>390</v>
      </c>
      <c r="E670" s="325" t="e">
        <f>#REF!</f>
        <v>#REF!</v>
      </c>
      <c r="F670" s="325" t="e">
        <f>#REF!</f>
        <v>#REF!</v>
      </c>
      <c r="G670" s="325" t="e">
        <f>#REF!</f>
        <v>#REF!</v>
      </c>
      <c r="H670" s="325" t="e">
        <f t="shared" si="31"/>
        <v>#REF!</v>
      </c>
      <c r="I670" s="265">
        <v>15</v>
      </c>
      <c r="J670" s="265" t="e">
        <f t="shared" si="32"/>
        <v>#REF!</v>
      </c>
      <c r="K670" s="307"/>
      <c r="L670" s="310">
        <v>42383</v>
      </c>
      <c r="M670" s="308" t="s">
        <v>1663</v>
      </c>
      <c r="N670" s="265"/>
      <c r="O670" s="266" t="s">
        <v>1642</v>
      </c>
    </row>
    <row r="671" spans="1:15" ht="30">
      <c r="A671" s="178" t="s">
        <v>96</v>
      </c>
      <c r="B671" s="75" t="s">
        <v>914</v>
      </c>
      <c r="C671" s="39" t="s">
        <v>343</v>
      </c>
      <c r="D671" s="255"/>
      <c r="E671" s="325" t="e">
        <f>#REF!</f>
        <v>#REF!</v>
      </c>
      <c r="F671" s="325" t="e">
        <f>#REF!</f>
        <v>#REF!</v>
      </c>
      <c r="G671" s="325" t="e">
        <f>#REF!</f>
        <v>#REF!</v>
      </c>
      <c r="H671" s="325" t="e">
        <f t="shared" si="31"/>
        <v>#REF!</v>
      </c>
      <c r="I671" s="260"/>
      <c r="J671" s="265" t="e">
        <f t="shared" si="32"/>
        <v>#REF!</v>
      </c>
      <c r="K671" s="294"/>
      <c r="L671" s="271"/>
      <c r="M671" s="264"/>
      <c r="N671" s="260"/>
      <c r="O671" s="260"/>
    </row>
    <row r="672" spans="1:15" ht="30">
      <c r="A672" s="178" t="s">
        <v>96</v>
      </c>
      <c r="B672" s="75" t="s">
        <v>915</v>
      </c>
      <c r="C672" s="39" t="s">
        <v>343</v>
      </c>
      <c r="D672" s="255"/>
      <c r="E672" s="325" t="e">
        <f>#REF!</f>
        <v>#REF!</v>
      </c>
      <c r="F672" s="325" t="e">
        <f>#REF!</f>
        <v>#REF!</v>
      </c>
      <c r="G672" s="325" t="e">
        <f>#REF!</f>
        <v>#REF!</v>
      </c>
      <c r="H672" s="325" t="e">
        <f t="shared" si="31"/>
        <v>#REF!</v>
      </c>
      <c r="I672" s="261"/>
      <c r="J672" s="265" t="e">
        <f t="shared" si="32"/>
        <v>#REF!</v>
      </c>
      <c r="K672" s="295"/>
      <c r="L672" s="270"/>
      <c r="M672" s="263"/>
      <c r="N672" s="261"/>
      <c r="O672" s="260"/>
    </row>
    <row r="673" spans="1:15" ht="30">
      <c r="A673" s="178" t="s">
        <v>96</v>
      </c>
      <c r="B673" s="75" t="s">
        <v>916</v>
      </c>
      <c r="C673" s="39" t="s">
        <v>343</v>
      </c>
      <c r="D673" s="255"/>
      <c r="E673" s="325" t="e">
        <f>#REF!</f>
        <v>#REF!</v>
      </c>
      <c r="F673" s="325" t="e">
        <f>#REF!</f>
        <v>#REF!</v>
      </c>
      <c r="G673" s="325" t="e">
        <f>#REF!</f>
        <v>#REF!</v>
      </c>
      <c r="H673" s="325" t="e">
        <f t="shared" si="31"/>
        <v>#REF!</v>
      </c>
      <c r="I673" s="260"/>
      <c r="J673" s="265" t="e">
        <f t="shared" si="32"/>
        <v>#REF!</v>
      </c>
      <c r="K673" s="294"/>
      <c r="L673" s="271"/>
      <c r="M673" s="264"/>
      <c r="N673" s="260"/>
      <c r="O673" s="260"/>
    </row>
    <row r="674" spans="1:15" ht="30">
      <c r="A674" s="178" t="s">
        <v>96</v>
      </c>
      <c r="B674" s="75" t="s">
        <v>917</v>
      </c>
      <c r="C674" s="39" t="s">
        <v>343</v>
      </c>
      <c r="D674" s="255"/>
      <c r="E674" s="325" t="e">
        <f>#REF!</f>
        <v>#REF!</v>
      </c>
      <c r="F674" s="325" t="e">
        <f>#REF!</f>
        <v>#REF!</v>
      </c>
      <c r="G674" s="325" t="e">
        <f>#REF!</f>
        <v>#REF!</v>
      </c>
      <c r="H674" s="325" t="e">
        <f t="shared" si="31"/>
        <v>#REF!</v>
      </c>
      <c r="I674" s="261"/>
      <c r="J674" s="265" t="e">
        <f t="shared" si="32"/>
        <v>#REF!</v>
      </c>
      <c r="K674" s="295"/>
      <c r="L674" s="270"/>
      <c r="M674" s="263"/>
      <c r="N674" s="261"/>
      <c r="O674" s="260"/>
    </row>
    <row r="675" spans="1:15" ht="30">
      <c r="A675" s="178" t="s">
        <v>96</v>
      </c>
      <c r="B675" s="75" t="s">
        <v>918</v>
      </c>
      <c r="C675" s="39" t="s">
        <v>343</v>
      </c>
      <c r="D675" s="255"/>
      <c r="E675" s="325" t="e">
        <f>#REF!</f>
        <v>#REF!</v>
      </c>
      <c r="F675" s="325" t="e">
        <f>#REF!</f>
        <v>#REF!</v>
      </c>
      <c r="G675" s="325" t="e">
        <f>#REF!</f>
        <v>#REF!</v>
      </c>
      <c r="H675" s="325" t="e">
        <f t="shared" si="31"/>
        <v>#REF!</v>
      </c>
      <c r="I675" s="260"/>
      <c r="J675" s="265" t="e">
        <f t="shared" si="32"/>
        <v>#REF!</v>
      </c>
      <c r="K675" s="294"/>
      <c r="L675" s="271"/>
      <c r="M675" s="264"/>
      <c r="N675" s="260"/>
      <c r="O675" s="260"/>
    </row>
    <row r="676" spans="1:15" ht="30">
      <c r="A676" s="178" t="s">
        <v>96</v>
      </c>
      <c r="B676" s="75" t="s">
        <v>1220</v>
      </c>
      <c r="C676" s="39" t="s">
        <v>17</v>
      </c>
      <c r="D676" s="255"/>
      <c r="E676" s="325" t="e">
        <f>#REF!</f>
        <v>#REF!</v>
      </c>
      <c r="F676" s="325" t="e">
        <f>#REF!</f>
        <v>#REF!</v>
      </c>
      <c r="G676" s="325" t="e">
        <f>#REF!</f>
        <v>#REF!</v>
      </c>
      <c r="H676" s="325" t="e">
        <f t="shared" si="31"/>
        <v>#REF!</v>
      </c>
      <c r="I676" s="261"/>
      <c r="J676" s="265" t="e">
        <f t="shared" si="32"/>
        <v>#REF!</v>
      </c>
      <c r="K676" s="295"/>
      <c r="L676" s="270"/>
      <c r="M676" s="263"/>
      <c r="N676" s="261"/>
      <c r="O676" s="260"/>
    </row>
    <row r="677" spans="1:15" ht="30">
      <c r="A677" s="178" t="s">
        <v>96</v>
      </c>
      <c r="B677" s="75" t="s">
        <v>1221</v>
      </c>
      <c r="C677" s="39" t="s">
        <v>17</v>
      </c>
      <c r="D677" s="255"/>
      <c r="E677" s="325" t="e">
        <f>#REF!</f>
        <v>#REF!</v>
      </c>
      <c r="F677" s="325" t="e">
        <f>#REF!</f>
        <v>#REF!</v>
      </c>
      <c r="G677" s="325" t="e">
        <f>#REF!</f>
        <v>#REF!</v>
      </c>
      <c r="H677" s="325" t="e">
        <f t="shared" si="31"/>
        <v>#REF!</v>
      </c>
      <c r="I677" s="260"/>
      <c r="J677" s="265" t="e">
        <f t="shared" si="32"/>
        <v>#REF!</v>
      </c>
      <c r="K677" s="294"/>
      <c r="L677" s="271"/>
      <c r="M677" s="264"/>
      <c r="N677" s="260"/>
      <c r="O677" s="260"/>
    </row>
    <row r="678" spans="1:15" ht="30">
      <c r="A678" s="178" t="s">
        <v>96</v>
      </c>
      <c r="B678" s="75" t="s">
        <v>1222</v>
      </c>
      <c r="C678" s="39" t="s">
        <v>17</v>
      </c>
      <c r="D678" s="255"/>
      <c r="E678" s="325" t="e">
        <f>#REF!</f>
        <v>#REF!</v>
      </c>
      <c r="F678" s="325" t="e">
        <f>#REF!</f>
        <v>#REF!</v>
      </c>
      <c r="G678" s="325" t="e">
        <f>#REF!</f>
        <v>#REF!</v>
      </c>
      <c r="H678" s="325" t="e">
        <f t="shared" si="31"/>
        <v>#REF!</v>
      </c>
      <c r="I678" s="261"/>
      <c r="J678" s="265" t="e">
        <f t="shared" si="32"/>
        <v>#REF!</v>
      </c>
      <c r="K678" s="295"/>
      <c r="L678" s="270"/>
      <c r="M678" s="263"/>
      <c r="N678" s="261"/>
      <c r="O678" s="260"/>
    </row>
    <row r="679" spans="1:15" ht="30">
      <c r="A679" s="178" t="s">
        <v>96</v>
      </c>
      <c r="B679" s="75" t="s">
        <v>1223</v>
      </c>
      <c r="C679" s="39" t="s">
        <v>17</v>
      </c>
      <c r="D679" s="255"/>
      <c r="E679" s="325" t="e">
        <f>#REF!</f>
        <v>#REF!</v>
      </c>
      <c r="F679" s="325" t="e">
        <f>#REF!</f>
        <v>#REF!</v>
      </c>
      <c r="G679" s="325" t="e">
        <f>#REF!</f>
        <v>#REF!</v>
      </c>
      <c r="H679" s="325" t="e">
        <f t="shared" si="31"/>
        <v>#REF!</v>
      </c>
      <c r="I679" s="260"/>
      <c r="J679" s="265" t="e">
        <f t="shared" si="32"/>
        <v>#REF!</v>
      </c>
      <c r="K679" s="294"/>
      <c r="L679" s="271"/>
      <c r="M679" s="264"/>
      <c r="N679" s="260"/>
      <c r="O679" s="260"/>
    </row>
    <row r="680" spans="1:15" ht="30">
      <c r="A680" s="178" t="s">
        <v>96</v>
      </c>
      <c r="B680" s="75" t="s">
        <v>1224</v>
      </c>
      <c r="C680" s="39" t="s">
        <v>17</v>
      </c>
      <c r="D680" s="255"/>
      <c r="E680" s="325" t="e">
        <f>#REF!</f>
        <v>#REF!</v>
      </c>
      <c r="F680" s="325" t="e">
        <f>#REF!</f>
        <v>#REF!</v>
      </c>
      <c r="G680" s="325" t="e">
        <f>#REF!</f>
        <v>#REF!</v>
      </c>
      <c r="H680" s="325" t="e">
        <f t="shared" si="31"/>
        <v>#REF!</v>
      </c>
      <c r="I680" s="261"/>
      <c r="J680" s="265" t="e">
        <f t="shared" si="32"/>
        <v>#REF!</v>
      </c>
      <c r="K680" s="295"/>
      <c r="L680" s="270"/>
      <c r="M680" s="263"/>
      <c r="N680" s="261"/>
      <c r="O680" s="260"/>
    </row>
    <row r="681" spans="1:15" ht="30">
      <c r="A681" s="178" t="s">
        <v>96</v>
      </c>
      <c r="B681" s="75" t="s">
        <v>1225</v>
      </c>
      <c r="C681" s="39" t="s">
        <v>17</v>
      </c>
      <c r="D681" s="255"/>
      <c r="E681" s="325" t="e">
        <f>#REF!</f>
        <v>#REF!</v>
      </c>
      <c r="F681" s="325" t="e">
        <f>#REF!</f>
        <v>#REF!</v>
      </c>
      <c r="G681" s="325" t="e">
        <f>#REF!</f>
        <v>#REF!</v>
      </c>
      <c r="H681" s="325" t="e">
        <f t="shared" si="31"/>
        <v>#REF!</v>
      </c>
      <c r="I681" s="260"/>
      <c r="J681" s="265" t="e">
        <f t="shared" si="32"/>
        <v>#REF!</v>
      </c>
      <c r="K681" s="294"/>
      <c r="L681" s="271"/>
      <c r="M681" s="264"/>
      <c r="N681" s="260"/>
      <c r="O681" s="260"/>
    </row>
    <row r="682" spans="1:15" ht="30">
      <c r="A682" s="178" t="s">
        <v>96</v>
      </c>
      <c r="B682" s="75" t="s">
        <v>1226</v>
      </c>
      <c r="C682" s="39" t="s">
        <v>17</v>
      </c>
      <c r="D682" s="255"/>
      <c r="E682" s="325" t="e">
        <f>#REF!</f>
        <v>#REF!</v>
      </c>
      <c r="F682" s="325" t="e">
        <f>#REF!</f>
        <v>#REF!</v>
      </c>
      <c r="G682" s="325" t="e">
        <f>#REF!</f>
        <v>#REF!</v>
      </c>
      <c r="H682" s="325" t="e">
        <f t="shared" si="31"/>
        <v>#REF!</v>
      </c>
      <c r="I682" s="261"/>
      <c r="J682" s="265" t="e">
        <f t="shared" si="32"/>
        <v>#REF!</v>
      </c>
      <c r="K682" s="295"/>
      <c r="L682" s="270"/>
      <c r="M682" s="263"/>
      <c r="N682" s="261"/>
      <c r="O682" s="260"/>
    </row>
    <row r="683" spans="1:15" ht="30">
      <c r="A683" s="178" t="s">
        <v>96</v>
      </c>
      <c r="B683" s="75" t="s">
        <v>773</v>
      </c>
      <c r="C683" s="39" t="s">
        <v>17</v>
      </c>
      <c r="D683" s="255"/>
      <c r="E683" s="325" t="e">
        <f>#REF!</f>
        <v>#REF!</v>
      </c>
      <c r="F683" s="325" t="e">
        <f>#REF!</f>
        <v>#REF!</v>
      </c>
      <c r="G683" s="325" t="e">
        <f>#REF!</f>
        <v>#REF!</v>
      </c>
      <c r="H683" s="325" t="e">
        <f t="shared" si="31"/>
        <v>#REF!</v>
      </c>
      <c r="I683" s="260"/>
      <c r="J683" s="265" t="e">
        <f t="shared" si="32"/>
        <v>#REF!</v>
      </c>
      <c r="K683" s="294"/>
      <c r="L683" s="271"/>
      <c r="M683" s="264"/>
      <c r="N683" s="260"/>
      <c r="O683" s="260"/>
    </row>
    <row r="684" spans="1:15" ht="30">
      <c r="A684" s="178" t="s">
        <v>96</v>
      </c>
      <c r="B684" s="75" t="s">
        <v>774</v>
      </c>
      <c r="C684" s="39" t="s">
        <v>17</v>
      </c>
      <c r="D684" s="255"/>
      <c r="E684" s="325" t="e">
        <f>#REF!</f>
        <v>#REF!</v>
      </c>
      <c r="F684" s="325" t="e">
        <f>#REF!</f>
        <v>#REF!</v>
      </c>
      <c r="G684" s="325" t="e">
        <f>#REF!</f>
        <v>#REF!</v>
      </c>
      <c r="H684" s="325" t="e">
        <f t="shared" si="31"/>
        <v>#REF!</v>
      </c>
      <c r="I684" s="261"/>
      <c r="J684" s="265" t="e">
        <f t="shared" si="32"/>
        <v>#REF!</v>
      </c>
      <c r="K684" s="295"/>
      <c r="L684" s="270"/>
      <c r="M684" s="263"/>
      <c r="N684" s="261"/>
      <c r="O684" s="260"/>
    </row>
    <row r="685" spans="1:15" ht="30">
      <c r="A685" s="178" t="s">
        <v>96</v>
      </c>
      <c r="B685" s="75" t="s">
        <v>775</v>
      </c>
      <c r="C685" s="39" t="s">
        <v>17</v>
      </c>
      <c r="D685" s="255"/>
      <c r="E685" s="325" t="e">
        <f>#REF!</f>
        <v>#REF!</v>
      </c>
      <c r="F685" s="325" t="e">
        <f>#REF!</f>
        <v>#REF!</v>
      </c>
      <c r="G685" s="325" t="e">
        <f>#REF!</f>
        <v>#REF!</v>
      </c>
      <c r="H685" s="325" t="e">
        <f t="shared" si="31"/>
        <v>#REF!</v>
      </c>
      <c r="I685" s="260"/>
      <c r="J685" s="265" t="e">
        <f t="shared" si="32"/>
        <v>#REF!</v>
      </c>
      <c r="K685" s="294"/>
      <c r="L685" s="271"/>
      <c r="M685" s="264"/>
      <c r="N685" s="260"/>
      <c r="O685" s="260"/>
    </row>
    <row r="686" spans="1:15" ht="51">
      <c r="A686" s="178" t="s">
        <v>96</v>
      </c>
      <c r="B686" s="75" t="s">
        <v>1717</v>
      </c>
      <c r="C686" s="39" t="s">
        <v>17</v>
      </c>
      <c r="D686" s="255">
        <v>1</v>
      </c>
      <c r="E686" s="325" t="e">
        <f>#REF!</f>
        <v>#REF!</v>
      </c>
      <c r="F686" s="325" t="e">
        <f>#REF!</f>
        <v>#REF!</v>
      </c>
      <c r="G686" s="325" t="e">
        <f>#REF!</f>
        <v>#REF!</v>
      </c>
      <c r="H686" s="325" t="e">
        <f t="shared" si="31"/>
        <v>#REF!</v>
      </c>
      <c r="I686" s="266">
        <v>57200</v>
      </c>
      <c r="J686" s="265" t="e">
        <f t="shared" si="32"/>
        <v>#REF!</v>
      </c>
      <c r="K686" s="306"/>
      <c r="L686" s="280">
        <v>42383</v>
      </c>
      <c r="M686" s="308" t="s">
        <v>1663</v>
      </c>
      <c r="N686" s="265"/>
      <c r="O686" s="266" t="s">
        <v>1642</v>
      </c>
    </row>
    <row r="687" spans="1:15" ht="51">
      <c r="A687" s="178" t="s">
        <v>96</v>
      </c>
      <c r="B687" s="75" t="s">
        <v>1678</v>
      </c>
      <c r="C687" s="39" t="s">
        <v>17</v>
      </c>
      <c r="D687" s="255">
        <v>2</v>
      </c>
      <c r="E687" s="325" t="e">
        <f>#REF!</f>
        <v>#REF!</v>
      </c>
      <c r="F687" s="325" t="e">
        <f>#REF!</f>
        <v>#REF!</v>
      </c>
      <c r="G687" s="325" t="e">
        <f>#REF!</f>
        <v>#REF!</v>
      </c>
      <c r="H687" s="325" t="e">
        <f t="shared" si="31"/>
        <v>#REF!</v>
      </c>
      <c r="I687" s="266">
        <v>27340</v>
      </c>
      <c r="J687" s="265" t="e">
        <f t="shared" si="32"/>
        <v>#REF!</v>
      </c>
      <c r="K687" s="306"/>
      <c r="L687" s="280">
        <v>42397</v>
      </c>
      <c r="M687" s="308" t="s">
        <v>1663</v>
      </c>
      <c r="N687" s="254" t="s">
        <v>342</v>
      </c>
      <c r="O687" s="266" t="s">
        <v>1642</v>
      </c>
    </row>
    <row r="688" spans="1:15" ht="38.25">
      <c r="A688" s="178" t="s">
        <v>96</v>
      </c>
      <c r="B688" s="75" t="s">
        <v>1715</v>
      </c>
      <c r="C688" s="39" t="s">
        <v>17</v>
      </c>
      <c r="D688" s="255">
        <v>2</v>
      </c>
      <c r="E688" s="325" t="e">
        <f>#REF!</f>
        <v>#REF!</v>
      </c>
      <c r="F688" s="325" t="e">
        <f>#REF!</f>
        <v>#REF!</v>
      </c>
      <c r="G688" s="325" t="e">
        <f>#REF!</f>
        <v>#REF!</v>
      </c>
      <c r="H688" s="325" t="e">
        <f t="shared" si="31"/>
        <v>#REF!</v>
      </c>
      <c r="I688" s="266">
        <v>270500</v>
      </c>
      <c r="J688" s="265" t="e">
        <f t="shared" si="32"/>
        <v>#REF!</v>
      </c>
      <c r="K688" s="306"/>
      <c r="L688" s="280">
        <v>42383</v>
      </c>
      <c r="M688" s="308" t="s">
        <v>15</v>
      </c>
      <c r="N688" s="265"/>
      <c r="O688" s="266" t="s">
        <v>1642</v>
      </c>
    </row>
    <row r="689" spans="1:15" ht="38.25">
      <c r="A689" s="178" t="s">
        <v>96</v>
      </c>
      <c r="B689" s="75" t="s">
        <v>1719</v>
      </c>
      <c r="C689" s="39" t="s">
        <v>17</v>
      </c>
      <c r="D689" s="255">
        <v>2</v>
      </c>
      <c r="E689" s="325" t="e">
        <f>#REF!</f>
        <v>#REF!</v>
      </c>
      <c r="F689" s="325" t="e">
        <f>#REF!</f>
        <v>#REF!</v>
      </c>
      <c r="G689" s="325" t="e">
        <f>#REF!</f>
        <v>#REF!</v>
      </c>
      <c r="H689" s="325" t="e">
        <f t="shared" si="31"/>
        <v>#REF!</v>
      </c>
      <c r="I689" s="266">
        <v>1451400</v>
      </c>
      <c r="J689" s="265" t="e">
        <f t="shared" si="32"/>
        <v>#REF!</v>
      </c>
      <c r="K689" s="306"/>
      <c r="L689" s="280">
        <v>42383</v>
      </c>
      <c r="M689" s="308" t="s">
        <v>15</v>
      </c>
      <c r="N689" s="265"/>
      <c r="O689" s="266" t="s">
        <v>1642</v>
      </c>
    </row>
    <row r="690" spans="1:15" ht="38.25">
      <c r="A690" s="178" t="s">
        <v>96</v>
      </c>
      <c r="B690" s="75" t="s">
        <v>816</v>
      </c>
      <c r="C690" s="39" t="s">
        <v>17</v>
      </c>
      <c r="D690" s="255">
        <v>3</v>
      </c>
      <c r="E690" s="325" t="e">
        <f>#REF!</f>
        <v>#REF!</v>
      </c>
      <c r="F690" s="325" t="e">
        <f>#REF!</f>
        <v>#REF!</v>
      </c>
      <c r="G690" s="325" t="e">
        <f>#REF!</f>
        <v>#REF!</v>
      </c>
      <c r="H690" s="325" t="e">
        <f t="shared" si="31"/>
        <v>#REF!</v>
      </c>
      <c r="I690" s="265">
        <v>68428</v>
      </c>
      <c r="J690" s="265" t="e">
        <f t="shared" si="32"/>
        <v>#REF!</v>
      </c>
      <c r="K690" s="307"/>
      <c r="L690" s="310">
        <v>42383</v>
      </c>
      <c r="M690" s="308" t="s">
        <v>15</v>
      </c>
      <c r="N690" s="265"/>
      <c r="O690" s="266" t="s">
        <v>1642</v>
      </c>
    </row>
    <row r="691" spans="1:15" ht="38.25">
      <c r="A691" s="178" t="s">
        <v>96</v>
      </c>
      <c r="B691" s="75" t="s">
        <v>817</v>
      </c>
      <c r="C691" s="39" t="s">
        <v>17</v>
      </c>
      <c r="D691" s="255"/>
      <c r="E691" s="325" t="e">
        <f>#REF!</f>
        <v>#REF!</v>
      </c>
      <c r="F691" s="325" t="e">
        <f>#REF!</f>
        <v>#REF!</v>
      </c>
      <c r="G691" s="325" t="e">
        <f>#REF!</f>
        <v>#REF!</v>
      </c>
      <c r="H691" s="325" t="e">
        <f t="shared" si="31"/>
        <v>#REF!</v>
      </c>
      <c r="I691" s="260"/>
      <c r="J691" s="265" t="e">
        <f t="shared" si="32"/>
        <v>#REF!</v>
      </c>
      <c r="K691" s="294"/>
      <c r="L691" s="271"/>
      <c r="M691" s="264"/>
      <c r="N691" s="260"/>
      <c r="O691" s="260"/>
    </row>
    <row r="692" spans="1:15" ht="38.25">
      <c r="A692" s="178" t="s">
        <v>96</v>
      </c>
      <c r="B692" s="75" t="s">
        <v>818</v>
      </c>
      <c r="C692" s="39" t="s">
        <v>17</v>
      </c>
      <c r="D692" s="255"/>
      <c r="E692" s="325" t="e">
        <f>#REF!</f>
        <v>#REF!</v>
      </c>
      <c r="F692" s="325" t="e">
        <f>#REF!</f>
        <v>#REF!</v>
      </c>
      <c r="G692" s="325" t="e">
        <f>#REF!</f>
        <v>#REF!</v>
      </c>
      <c r="H692" s="325" t="e">
        <f t="shared" si="31"/>
        <v>#REF!</v>
      </c>
      <c r="I692" s="261"/>
      <c r="J692" s="265" t="e">
        <f t="shared" si="32"/>
        <v>#REF!</v>
      </c>
      <c r="K692" s="295"/>
      <c r="L692" s="270"/>
      <c r="M692" s="263"/>
      <c r="N692" s="261"/>
      <c r="O692" s="260"/>
    </row>
    <row r="693" spans="1:15" ht="38.25">
      <c r="A693" s="178" t="s">
        <v>96</v>
      </c>
      <c r="B693" s="75" t="s">
        <v>819</v>
      </c>
      <c r="C693" s="39" t="s">
        <v>17</v>
      </c>
      <c r="D693" s="255"/>
      <c r="E693" s="325" t="e">
        <f>#REF!</f>
        <v>#REF!</v>
      </c>
      <c r="F693" s="325" t="e">
        <f>#REF!</f>
        <v>#REF!</v>
      </c>
      <c r="G693" s="325" t="e">
        <f>#REF!</f>
        <v>#REF!</v>
      </c>
      <c r="H693" s="325" t="e">
        <f t="shared" si="31"/>
        <v>#REF!</v>
      </c>
      <c r="I693" s="260"/>
      <c r="J693" s="265" t="e">
        <f t="shared" si="32"/>
        <v>#REF!</v>
      </c>
      <c r="K693" s="294"/>
      <c r="L693" s="271"/>
      <c r="M693" s="264"/>
      <c r="N693" s="260"/>
      <c r="O693" s="260"/>
    </row>
    <row r="694" spans="1:15" ht="38.25">
      <c r="A694" s="178" t="s">
        <v>96</v>
      </c>
      <c r="B694" s="75" t="s">
        <v>820</v>
      </c>
      <c r="C694" s="39" t="s">
        <v>17</v>
      </c>
      <c r="D694" s="255"/>
      <c r="E694" s="325" t="e">
        <f>#REF!</f>
        <v>#REF!</v>
      </c>
      <c r="F694" s="325" t="e">
        <f>#REF!</f>
        <v>#REF!</v>
      </c>
      <c r="G694" s="325" t="e">
        <f>#REF!</f>
        <v>#REF!</v>
      </c>
      <c r="H694" s="325" t="e">
        <f t="shared" si="31"/>
        <v>#REF!</v>
      </c>
      <c r="I694" s="261"/>
      <c r="J694" s="265" t="e">
        <f t="shared" si="32"/>
        <v>#REF!</v>
      </c>
      <c r="K694" s="295"/>
      <c r="L694" s="270"/>
      <c r="M694" s="263"/>
      <c r="N694" s="261"/>
      <c r="O694" s="260"/>
    </row>
    <row r="695" spans="1:15" ht="38.25">
      <c r="A695" s="178" t="s">
        <v>96</v>
      </c>
      <c r="B695" s="75" t="s">
        <v>821</v>
      </c>
      <c r="C695" s="39" t="s">
        <v>17</v>
      </c>
      <c r="D695" s="255"/>
      <c r="E695" s="325" t="e">
        <f>#REF!</f>
        <v>#REF!</v>
      </c>
      <c r="F695" s="325" t="e">
        <f>#REF!</f>
        <v>#REF!</v>
      </c>
      <c r="G695" s="325" t="e">
        <f>#REF!</f>
        <v>#REF!</v>
      </c>
      <c r="H695" s="325" t="e">
        <f t="shared" si="31"/>
        <v>#REF!</v>
      </c>
      <c r="I695" s="260"/>
      <c r="J695" s="265" t="e">
        <f t="shared" si="32"/>
        <v>#REF!</v>
      </c>
      <c r="K695" s="294"/>
      <c r="L695" s="271"/>
      <c r="M695" s="264"/>
      <c r="N695" s="260"/>
      <c r="O695" s="260"/>
    </row>
    <row r="696" spans="1:15" ht="38.25">
      <c r="A696" s="178" t="s">
        <v>96</v>
      </c>
      <c r="B696" s="75" t="s">
        <v>822</v>
      </c>
      <c r="C696" s="39" t="s">
        <v>17</v>
      </c>
      <c r="D696" s="255">
        <v>1</v>
      </c>
      <c r="E696" s="325" t="e">
        <f>#REF!</f>
        <v>#REF!</v>
      </c>
      <c r="F696" s="325" t="e">
        <f>#REF!</f>
        <v>#REF!</v>
      </c>
      <c r="G696" s="325" t="e">
        <f>#REF!</f>
        <v>#REF!</v>
      </c>
      <c r="H696" s="325" t="e">
        <f t="shared" si="31"/>
        <v>#REF!</v>
      </c>
      <c r="I696" s="265">
        <v>81200</v>
      </c>
      <c r="J696" s="265" t="e">
        <f t="shared" si="32"/>
        <v>#REF!</v>
      </c>
      <c r="K696" s="307"/>
      <c r="L696" s="310">
        <v>42383</v>
      </c>
      <c r="M696" s="308" t="s">
        <v>1663</v>
      </c>
      <c r="N696" s="265"/>
      <c r="O696" s="266" t="s">
        <v>1642</v>
      </c>
    </row>
    <row r="697" spans="1:15" ht="38.25">
      <c r="A697" s="178" t="s">
        <v>96</v>
      </c>
      <c r="B697" s="75" t="s">
        <v>823</v>
      </c>
      <c r="C697" s="39" t="s">
        <v>17</v>
      </c>
      <c r="D697" s="255">
        <v>1</v>
      </c>
      <c r="E697" s="325" t="e">
        <f>#REF!</f>
        <v>#REF!</v>
      </c>
      <c r="F697" s="325" t="e">
        <f>#REF!</f>
        <v>#REF!</v>
      </c>
      <c r="G697" s="325" t="e">
        <f>#REF!</f>
        <v>#REF!</v>
      </c>
      <c r="H697" s="325" t="e">
        <f t="shared" si="31"/>
        <v>#REF!</v>
      </c>
      <c r="I697" s="266">
        <v>21200</v>
      </c>
      <c r="J697" s="265" t="e">
        <f t="shared" si="32"/>
        <v>#REF!</v>
      </c>
      <c r="K697" s="306"/>
      <c r="L697" s="280">
        <v>42408</v>
      </c>
      <c r="M697" s="308" t="s">
        <v>1663</v>
      </c>
      <c r="N697" s="266"/>
      <c r="O697" s="266" t="s">
        <v>1642</v>
      </c>
    </row>
    <row r="698" spans="1:15" ht="31.5">
      <c r="A698" s="178" t="s">
        <v>96</v>
      </c>
      <c r="B698" s="75" t="s">
        <v>824</v>
      </c>
      <c r="C698" s="39" t="s">
        <v>17</v>
      </c>
      <c r="D698" s="255">
        <v>2</v>
      </c>
      <c r="E698" s="325" t="e">
        <f>#REF!</f>
        <v>#REF!</v>
      </c>
      <c r="F698" s="325" t="e">
        <f>#REF!</f>
        <v>#REF!</v>
      </c>
      <c r="G698" s="325" t="e">
        <f>#REF!</f>
        <v>#REF!</v>
      </c>
      <c r="H698" s="325" t="e">
        <f t="shared" si="31"/>
        <v>#REF!</v>
      </c>
      <c r="I698" s="265">
        <v>19500</v>
      </c>
      <c r="J698" s="265" t="e">
        <f t="shared" si="32"/>
        <v>#REF!</v>
      </c>
      <c r="K698" s="307"/>
      <c r="L698" s="310">
        <v>42408</v>
      </c>
      <c r="M698" s="308" t="s">
        <v>1663</v>
      </c>
      <c r="N698" s="266"/>
      <c r="O698" s="266" t="s">
        <v>1642</v>
      </c>
    </row>
    <row r="699" spans="1:15" ht="31.5">
      <c r="A699" s="178" t="s">
        <v>96</v>
      </c>
      <c r="B699" s="75" t="s">
        <v>1734</v>
      </c>
      <c r="C699" s="39" t="s">
        <v>17</v>
      </c>
      <c r="D699" s="255">
        <v>1</v>
      </c>
      <c r="E699" s="325" t="e">
        <f>#REF!</f>
        <v>#REF!</v>
      </c>
      <c r="F699" s="325" t="e">
        <f>#REF!</f>
        <v>#REF!</v>
      </c>
      <c r="G699" s="325" t="e">
        <f>#REF!</f>
        <v>#REF!</v>
      </c>
      <c r="H699" s="325" t="e">
        <f t="shared" si="31"/>
        <v>#REF!</v>
      </c>
      <c r="I699" s="265">
        <v>46900</v>
      </c>
      <c r="J699" s="265" t="e">
        <f t="shared" si="32"/>
        <v>#REF!</v>
      </c>
      <c r="K699" s="307"/>
      <c r="L699" s="310">
        <v>42383</v>
      </c>
      <c r="M699" s="308" t="s">
        <v>1663</v>
      </c>
      <c r="N699" s="266"/>
      <c r="O699" s="266" t="s">
        <v>1642</v>
      </c>
    </row>
    <row r="700" spans="1:15" ht="31.5">
      <c r="A700" s="178" t="s">
        <v>96</v>
      </c>
      <c r="B700" s="75" t="s">
        <v>1733</v>
      </c>
      <c r="C700" s="39" t="s">
        <v>17</v>
      </c>
      <c r="D700" s="255">
        <v>1</v>
      </c>
      <c r="E700" s="325" t="e">
        <f>#REF!</f>
        <v>#REF!</v>
      </c>
      <c r="F700" s="325" t="e">
        <f>#REF!</f>
        <v>#REF!</v>
      </c>
      <c r="G700" s="325" t="e">
        <f>#REF!</f>
        <v>#REF!</v>
      </c>
      <c r="H700" s="325" t="e">
        <f t="shared" si="31"/>
        <v>#REF!</v>
      </c>
      <c r="I700" s="265">
        <v>46900</v>
      </c>
      <c r="J700" s="265" t="e">
        <f t="shared" si="32"/>
        <v>#REF!</v>
      </c>
      <c r="K700" s="307"/>
      <c r="L700" s="310">
        <v>42383</v>
      </c>
      <c r="M700" s="308" t="s">
        <v>1663</v>
      </c>
      <c r="N700" s="266"/>
      <c r="O700" s="266" t="s">
        <v>1642</v>
      </c>
    </row>
    <row r="701" spans="1:15" ht="38.25">
      <c r="A701" s="178" t="s">
        <v>96</v>
      </c>
      <c r="B701" s="75" t="s">
        <v>1732</v>
      </c>
      <c r="C701" s="39" t="s">
        <v>17</v>
      </c>
      <c r="D701" s="255">
        <v>1</v>
      </c>
      <c r="E701" s="325" t="e">
        <f>#REF!</f>
        <v>#REF!</v>
      </c>
      <c r="F701" s="325" t="e">
        <f>#REF!</f>
        <v>#REF!</v>
      </c>
      <c r="G701" s="325" t="e">
        <f>#REF!</f>
        <v>#REF!</v>
      </c>
      <c r="H701" s="325" t="e">
        <f t="shared" si="31"/>
        <v>#REF!</v>
      </c>
      <c r="I701" s="265">
        <v>21200</v>
      </c>
      <c r="J701" s="265" t="e">
        <f t="shared" si="32"/>
        <v>#REF!</v>
      </c>
      <c r="K701" s="307"/>
      <c r="L701" s="310">
        <v>42383</v>
      </c>
      <c r="M701" s="308" t="s">
        <v>1663</v>
      </c>
      <c r="N701" s="266"/>
      <c r="O701" s="266" t="s">
        <v>1642</v>
      </c>
    </row>
    <row r="702" spans="1:15" ht="30">
      <c r="A702" s="178" t="s">
        <v>96</v>
      </c>
      <c r="B702" s="75" t="s">
        <v>825</v>
      </c>
      <c r="C702" s="39" t="s">
        <v>17</v>
      </c>
      <c r="D702" s="255"/>
      <c r="E702" s="325" t="e">
        <f>#REF!</f>
        <v>#REF!</v>
      </c>
      <c r="F702" s="325" t="e">
        <f>#REF!</f>
        <v>#REF!</v>
      </c>
      <c r="G702" s="325" t="e">
        <f>#REF!</f>
        <v>#REF!</v>
      </c>
      <c r="H702" s="325" t="e">
        <f t="shared" si="31"/>
        <v>#REF!</v>
      </c>
      <c r="I702" s="266"/>
      <c r="J702" s="265" t="e">
        <f t="shared" si="32"/>
        <v>#REF!</v>
      </c>
      <c r="K702" s="306"/>
      <c r="L702" s="280"/>
      <c r="M702" s="309"/>
      <c r="N702" s="266"/>
      <c r="O702" s="266"/>
    </row>
    <row r="703" spans="1:15" ht="31.5">
      <c r="A703" s="178" t="s">
        <v>96</v>
      </c>
      <c r="B703" s="75" t="s">
        <v>826</v>
      </c>
      <c r="C703" s="39" t="s">
        <v>17</v>
      </c>
      <c r="D703" s="255">
        <v>1</v>
      </c>
      <c r="E703" s="325" t="e">
        <f>#REF!</f>
        <v>#REF!</v>
      </c>
      <c r="F703" s="325" t="e">
        <f>#REF!</f>
        <v>#REF!</v>
      </c>
      <c r="G703" s="325" t="e">
        <f>#REF!</f>
        <v>#REF!</v>
      </c>
      <c r="H703" s="325" t="e">
        <f t="shared" si="31"/>
        <v>#REF!</v>
      </c>
      <c r="I703" s="265">
        <v>87904</v>
      </c>
      <c r="J703" s="265" t="e">
        <f t="shared" si="32"/>
        <v>#REF!</v>
      </c>
      <c r="K703" s="307"/>
      <c r="L703" s="310">
        <v>42417</v>
      </c>
      <c r="M703" s="308" t="s">
        <v>1663</v>
      </c>
      <c r="N703" s="265"/>
      <c r="O703" s="266" t="s">
        <v>1642</v>
      </c>
    </row>
    <row r="704" spans="1:15" ht="30">
      <c r="A704" s="178" t="s">
        <v>96</v>
      </c>
      <c r="B704" s="75" t="s">
        <v>1227</v>
      </c>
      <c r="C704" s="39" t="s">
        <v>17</v>
      </c>
      <c r="D704" s="255"/>
      <c r="E704" s="325" t="e">
        <f>#REF!</f>
        <v>#REF!</v>
      </c>
      <c r="F704" s="325" t="e">
        <f>#REF!</f>
        <v>#REF!</v>
      </c>
      <c r="G704" s="325" t="e">
        <f>#REF!</f>
        <v>#REF!</v>
      </c>
      <c r="H704" s="325" t="e">
        <f t="shared" si="31"/>
        <v>#REF!</v>
      </c>
      <c r="I704" s="260"/>
      <c r="J704" s="265" t="e">
        <f t="shared" si="32"/>
        <v>#REF!</v>
      </c>
      <c r="K704" s="294"/>
      <c r="L704" s="271"/>
      <c r="M704" s="264"/>
      <c r="N704" s="260"/>
      <c r="O704" s="260"/>
    </row>
    <row r="705" spans="1:15" ht="30">
      <c r="A705" s="178" t="s">
        <v>96</v>
      </c>
      <c r="B705" s="75" t="s">
        <v>1228</v>
      </c>
      <c r="C705" s="39" t="s">
        <v>17</v>
      </c>
      <c r="D705" s="255"/>
      <c r="E705" s="325" t="e">
        <f>#REF!</f>
        <v>#REF!</v>
      </c>
      <c r="F705" s="325" t="e">
        <f>#REF!</f>
        <v>#REF!</v>
      </c>
      <c r="G705" s="325" t="e">
        <f>#REF!</f>
        <v>#REF!</v>
      </c>
      <c r="H705" s="325" t="e">
        <f t="shared" si="31"/>
        <v>#REF!</v>
      </c>
      <c r="I705" s="261"/>
      <c r="J705" s="265" t="e">
        <f t="shared" si="32"/>
        <v>#REF!</v>
      </c>
      <c r="K705" s="295"/>
      <c r="L705" s="270"/>
      <c r="M705" s="263"/>
      <c r="N705" s="261"/>
      <c r="O705" s="260"/>
    </row>
    <row r="706" spans="1:15" ht="30">
      <c r="A706" s="178" t="s">
        <v>96</v>
      </c>
      <c r="B706" s="75" t="s">
        <v>1229</v>
      </c>
      <c r="C706" s="39" t="s">
        <v>17</v>
      </c>
      <c r="D706" s="255"/>
      <c r="E706" s="325" t="e">
        <f>#REF!</f>
        <v>#REF!</v>
      </c>
      <c r="F706" s="325" t="e">
        <f>#REF!</f>
        <v>#REF!</v>
      </c>
      <c r="G706" s="325" t="e">
        <f>#REF!</f>
        <v>#REF!</v>
      </c>
      <c r="H706" s="325" t="e">
        <f t="shared" si="31"/>
        <v>#REF!</v>
      </c>
      <c r="I706" s="260"/>
      <c r="J706" s="265" t="e">
        <f t="shared" si="32"/>
        <v>#REF!</v>
      </c>
      <c r="K706" s="294"/>
      <c r="L706" s="271"/>
      <c r="M706" s="264"/>
      <c r="N706" s="260"/>
      <c r="O706" s="260"/>
    </row>
    <row r="707" spans="1:15" ht="30">
      <c r="A707" s="178" t="s">
        <v>96</v>
      </c>
      <c r="B707" s="75" t="s">
        <v>827</v>
      </c>
      <c r="C707" s="39" t="s">
        <v>17</v>
      </c>
      <c r="D707" s="255"/>
      <c r="E707" s="325" t="e">
        <f>#REF!</f>
        <v>#REF!</v>
      </c>
      <c r="F707" s="325" t="e">
        <f>#REF!</f>
        <v>#REF!</v>
      </c>
      <c r="G707" s="325" t="e">
        <f>#REF!</f>
        <v>#REF!</v>
      </c>
      <c r="H707" s="325" t="e">
        <f t="shared" si="31"/>
        <v>#REF!</v>
      </c>
      <c r="I707" s="261"/>
      <c r="J707" s="265" t="e">
        <f t="shared" si="32"/>
        <v>#REF!</v>
      </c>
      <c r="K707" s="295"/>
      <c r="L707" s="270"/>
      <c r="M707" s="263"/>
      <c r="N707" s="261"/>
      <c r="O707" s="260"/>
    </row>
    <row r="708" spans="1:15" ht="30">
      <c r="A708" s="178" t="s">
        <v>96</v>
      </c>
      <c r="B708" s="75" t="s">
        <v>828</v>
      </c>
      <c r="C708" s="39" t="s">
        <v>17</v>
      </c>
      <c r="D708" s="255"/>
      <c r="E708" s="325" t="e">
        <f>#REF!</f>
        <v>#REF!</v>
      </c>
      <c r="F708" s="325" t="e">
        <f>#REF!</f>
        <v>#REF!</v>
      </c>
      <c r="G708" s="325" t="e">
        <f>#REF!</f>
        <v>#REF!</v>
      </c>
      <c r="H708" s="325" t="e">
        <f t="shared" si="31"/>
        <v>#REF!</v>
      </c>
      <c r="I708" s="260"/>
      <c r="J708" s="265" t="e">
        <f t="shared" si="32"/>
        <v>#REF!</v>
      </c>
      <c r="K708" s="294"/>
      <c r="L708" s="271"/>
      <c r="M708" s="264"/>
      <c r="N708" s="260"/>
      <c r="O708" s="260"/>
    </row>
    <row r="709" spans="1:15" ht="30">
      <c r="A709" s="178" t="s">
        <v>96</v>
      </c>
      <c r="B709" s="75" t="s">
        <v>829</v>
      </c>
      <c r="C709" s="39" t="s">
        <v>17</v>
      </c>
      <c r="D709" s="255"/>
      <c r="E709" s="325" t="e">
        <f>#REF!</f>
        <v>#REF!</v>
      </c>
      <c r="F709" s="325" t="e">
        <f>#REF!</f>
        <v>#REF!</v>
      </c>
      <c r="G709" s="325" t="e">
        <f>#REF!</f>
        <v>#REF!</v>
      </c>
      <c r="H709" s="325" t="e">
        <f t="shared" si="31"/>
        <v>#REF!</v>
      </c>
      <c r="I709" s="261"/>
      <c r="J709" s="265" t="e">
        <f t="shared" si="32"/>
        <v>#REF!</v>
      </c>
      <c r="K709" s="295"/>
      <c r="L709" s="270"/>
      <c r="M709" s="263"/>
      <c r="N709" s="261"/>
      <c r="O709" s="260"/>
    </row>
    <row r="710" spans="1:15" ht="30">
      <c r="A710" s="178" t="s">
        <v>96</v>
      </c>
      <c r="B710" s="75" t="s">
        <v>830</v>
      </c>
      <c r="C710" s="39" t="s">
        <v>17</v>
      </c>
      <c r="D710" s="255"/>
      <c r="E710" s="325" t="e">
        <f>#REF!</f>
        <v>#REF!</v>
      </c>
      <c r="F710" s="325" t="e">
        <f>#REF!</f>
        <v>#REF!</v>
      </c>
      <c r="G710" s="325" t="e">
        <f>#REF!</f>
        <v>#REF!</v>
      </c>
      <c r="H710" s="325" t="e">
        <f t="shared" si="31"/>
        <v>#REF!</v>
      </c>
      <c r="I710" s="260"/>
      <c r="J710" s="265" t="e">
        <f t="shared" si="32"/>
        <v>#REF!</v>
      </c>
      <c r="K710" s="294"/>
      <c r="L710" s="271"/>
      <c r="M710" s="264"/>
      <c r="N710" s="260"/>
      <c r="O710" s="260"/>
    </row>
    <row r="711" spans="1:15" ht="30">
      <c r="A711" s="178" t="s">
        <v>96</v>
      </c>
      <c r="B711" s="75" t="s">
        <v>831</v>
      </c>
      <c r="C711" s="39" t="s">
        <v>17</v>
      </c>
      <c r="D711" s="255"/>
      <c r="E711" s="325" t="e">
        <f>#REF!</f>
        <v>#REF!</v>
      </c>
      <c r="F711" s="325" t="e">
        <f>#REF!</f>
        <v>#REF!</v>
      </c>
      <c r="G711" s="325" t="e">
        <f>#REF!</f>
        <v>#REF!</v>
      </c>
      <c r="H711" s="325" t="e">
        <f t="shared" si="31"/>
        <v>#REF!</v>
      </c>
      <c r="I711" s="261"/>
      <c r="J711" s="265" t="e">
        <f t="shared" si="32"/>
        <v>#REF!</v>
      </c>
      <c r="K711" s="295"/>
      <c r="L711" s="270"/>
      <c r="M711" s="263"/>
      <c r="N711" s="261"/>
      <c r="O711" s="260"/>
    </row>
    <row r="712" spans="1:15" ht="30">
      <c r="A712" s="178" t="s">
        <v>96</v>
      </c>
      <c r="B712" s="75" t="s">
        <v>1511</v>
      </c>
      <c r="C712" s="39" t="s">
        <v>17</v>
      </c>
      <c r="D712" s="255"/>
      <c r="E712" s="325" t="e">
        <f>#REF!</f>
        <v>#REF!</v>
      </c>
      <c r="F712" s="325" t="e">
        <f>#REF!</f>
        <v>#REF!</v>
      </c>
      <c r="G712" s="325" t="e">
        <f>#REF!</f>
        <v>#REF!</v>
      </c>
      <c r="H712" s="325" t="e">
        <f t="shared" si="31"/>
        <v>#REF!</v>
      </c>
      <c r="I712" s="260"/>
      <c r="J712" s="265" t="e">
        <f t="shared" si="32"/>
        <v>#REF!</v>
      </c>
      <c r="K712" s="294"/>
      <c r="L712" s="271"/>
      <c r="M712" s="264"/>
      <c r="N712" s="260"/>
      <c r="O712" s="260"/>
    </row>
    <row r="713" spans="1:15" ht="30">
      <c r="A713" s="178" t="s">
        <v>96</v>
      </c>
      <c r="B713" s="75" t="s">
        <v>1512</v>
      </c>
      <c r="C713" s="236" t="s">
        <v>17</v>
      </c>
      <c r="D713" s="255"/>
      <c r="E713" s="325" t="e">
        <f>#REF!</f>
        <v>#REF!</v>
      </c>
      <c r="F713" s="325" t="e">
        <f>#REF!</f>
        <v>#REF!</v>
      </c>
      <c r="G713" s="325" t="e">
        <f>#REF!</f>
        <v>#REF!</v>
      </c>
      <c r="H713" s="325" t="e">
        <f t="shared" si="31"/>
        <v>#REF!</v>
      </c>
      <c r="I713" s="261"/>
      <c r="J713" s="265" t="e">
        <f t="shared" si="32"/>
        <v>#REF!</v>
      </c>
      <c r="K713" s="295"/>
      <c r="L713" s="270"/>
      <c r="M713" s="263"/>
      <c r="N713" s="261"/>
      <c r="O713" s="260"/>
    </row>
    <row r="714" spans="1:15" ht="30">
      <c r="A714" s="178" t="s">
        <v>96</v>
      </c>
      <c r="B714" s="75" t="s">
        <v>1513</v>
      </c>
      <c r="C714" s="236" t="s">
        <v>17</v>
      </c>
      <c r="D714" s="255">
        <v>2</v>
      </c>
      <c r="E714" s="325" t="e">
        <f>#REF!</f>
        <v>#REF!</v>
      </c>
      <c r="F714" s="325" t="e">
        <f>#REF!</f>
        <v>#REF!</v>
      </c>
      <c r="G714" s="325" t="e">
        <f>#REF!</f>
        <v>#REF!</v>
      </c>
      <c r="H714" s="325" t="e">
        <f t="shared" si="31"/>
        <v>#REF!</v>
      </c>
      <c r="I714" s="266">
        <v>291393</v>
      </c>
      <c r="J714" s="265" t="e">
        <f t="shared" si="32"/>
        <v>#REF!</v>
      </c>
      <c r="K714" s="306"/>
      <c r="L714" s="310">
        <v>42417</v>
      </c>
      <c r="M714" s="309" t="s">
        <v>15</v>
      </c>
      <c r="N714" s="266"/>
      <c r="O714" s="266" t="s">
        <v>1642</v>
      </c>
    </row>
    <row r="715" spans="1:15" ht="30">
      <c r="A715" s="178" t="s">
        <v>96</v>
      </c>
      <c r="B715" s="75" t="s">
        <v>1514</v>
      </c>
      <c r="C715" s="236" t="s">
        <v>17</v>
      </c>
      <c r="D715" s="255"/>
      <c r="E715" s="325" t="e">
        <f>#REF!</f>
        <v>#REF!</v>
      </c>
      <c r="F715" s="325" t="e">
        <f>#REF!</f>
        <v>#REF!</v>
      </c>
      <c r="G715" s="325" t="e">
        <f>#REF!</f>
        <v>#REF!</v>
      </c>
      <c r="H715" s="325" t="e">
        <f t="shared" si="31"/>
        <v>#REF!</v>
      </c>
      <c r="I715" s="265"/>
      <c r="J715" s="265" t="e">
        <f t="shared" si="32"/>
        <v>#REF!</v>
      </c>
      <c r="K715" s="307"/>
      <c r="L715" s="310"/>
      <c r="M715" s="308"/>
      <c r="N715" s="265"/>
      <c r="O715" s="266"/>
    </row>
    <row r="716" spans="1:15" ht="30">
      <c r="A716" s="178" t="s">
        <v>96</v>
      </c>
      <c r="B716" s="75" t="s">
        <v>1721</v>
      </c>
      <c r="C716" s="236" t="s">
        <v>17</v>
      </c>
      <c r="D716" s="255">
        <v>2</v>
      </c>
      <c r="E716" s="325" t="e">
        <f>#REF!</f>
        <v>#REF!</v>
      </c>
      <c r="F716" s="325" t="e">
        <f>#REF!</f>
        <v>#REF!</v>
      </c>
      <c r="G716" s="325" t="e">
        <f>#REF!</f>
        <v>#REF!</v>
      </c>
      <c r="H716" s="325" t="e">
        <f t="shared" si="31"/>
        <v>#REF!</v>
      </c>
      <c r="I716" s="265">
        <v>291939</v>
      </c>
      <c r="J716" s="265" t="e">
        <f t="shared" si="32"/>
        <v>#REF!</v>
      </c>
      <c r="K716" s="307"/>
      <c r="L716" s="310">
        <v>42417</v>
      </c>
      <c r="M716" s="309" t="s">
        <v>15</v>
      </c>
      <c r="N716" s="266"/>
      <c r="O716" s="266" t="s">
        <v>1642</v>
      </c>
    </row>
    <row r="717" spans="1:15" ht="30">
      <c r="A717" s="178" t="s">
        <v>96</v>
      </c>
      <c r="B717" s="75" t="s">
        <v>1515</v>
      </c>
      <c r="C717" s="236" t="s">
        <v>17</v>
      </c>
      <c r="D717" s="255"/>
      <c r="E717" s="325" t="e">
        <f>#REF!</f>
        <v>#REF!</v>
      </c>
      <c r="F717" s="325" t="e">
        <f>#REF!</f>
        <v>#REF!</v>
      </c>
      <c r="G717" s="325" t="e">
        <f>#REF!</f>
        <v>#REF!</v>
      </c>
      <c r="H717" s="325" t="e">
        <f t="shared" si="31"/>
        <v>#REF!</v>
      </c>
      <c r="I717" s="260"/>
      <c r="J717" s="265" t="e">
        <f t="shared" si="32"/>
        <v>#REF!</v>
      </c>
      <c r="K717" s="294"/>
      <c r="L717" s="271"/>
      <c r="M717" s="264"/>
      <c r="N717" s="260"/>
      <c r="O717" s="260"/>
    </row>
    <row r="718" spans="1:15" ht="30">
      <c r="A718" s="178" t="s">
        <v>96</v>
      </c>
      <c r="B718" s="75" t="s">
        <v>1516</v>
      </c>
      <c r="C718" s="236" t="s">
        <v>17</v>
      </c>
      <c r="D718" s="255"/>
      <c r="E718" s="325" t="e">
        <f>#REF!</f>
        <v>#REF!</v>
      </c>
      <c r="F718" s="325" t="e">
        <f>#REF!</f>
        <v>#REF!</v>
      </c>
      <c r="G718" s="325" t="e">
        <f>#REF!</f>
        <v>#REF!</v>
      </c>
      <c r="H718" s="325" t="e">
        <f t="shared" si="31"/>
        <v>#REF!</v>
      </c>
      <c r="I718" s="261"/>
      <c r="J718" s="265" t="e">
        <f t="shared" si="32"/>
        <v>#REF!</v>
      </c>
      <c r="K718" s="295"/>
      <c r="L718" s="270"/>
      <c r="M718" s="263"/>
      <c r="N718" s="261"/>
      <c r="O718" s="260"/>
    </row>
    <row r="719" spans="1:15" ht="30">
      <c r="A719" s="178" t="s">
        <v>96</v>
      </c>
      <c r="B719" s="75" t="s">
        <v>1517</v>
      </c>
      <c r="C719" s="236" t="s">
        <v>17</v>
      </c>
      <c r="D719" s="255"/>
      <c r="E719" s="325" t="e">
        <f>#REF!</f>
        <v>#REF!</v>
      </c>
      <c r="F719" s="325" t="e">
        <f>#REF!</f>
        <v>#REF!</v>
      </c>
      <c r="G719" s="325" t="e">
        <f>#REF!</f>
        <v>#REF!</v>
      </c>
      <c r="H719" s="325" t="e">
        <f t="shared" si="31"/>
        <v>#REF!</v>
      </c>
      <c r="I719" s="260"/>
      <c r="J719" s="265" t="e">
        <f t="shared" si="32"/>
        <v>#REF!</v>
      </c>
      <c r="K719" s="294"/>
      <c r="L719" s="271"/>
      <c r="M719" s="264"/>
      <c r="N719" s="260"/>
      <c r="O719" s="260"/>
    </row>
    <row r="720" spans="1:15" ht="30">
      <c r="A720" s="178" t="s">
        <v>96</v>
      </c>
      <c r="B720" s="75" t="s">
        <v>832</v>
      </c>
      <c r="C720" s="39" t="s">
        <v>17</v>
      </c>
      <c r="D720" s="255"/>
      <c r="E720" s="325" t="e">
        <f>#REF!</f>
        <v>#REF!</v>
      </c>
      <c r="F720" s="325" t="e">
        <f>#REF!</f>
        <v>#REF!</v>
      </c>
      <c r="G720" s="325" t="e">
        <f>#REF!</f>
        <v>#REF!</v>
      </c>
      <c r="H720" s="325" t="e">
        <f t="shared" ref="H720:H783" si="33">G720+F720+E720+D720</f>
        <v>#REF!</v>
      </c>
      <c r="I720" s="261"/>
      <c r="J720" s="265" t="e">
        <f t="shared" si="32"/>
        <v>#REF!</v>
      </c>
      <c r="K720" s="295"/>
      <c r="L720" s="270"/>
      <c r="M720" s="263"/>
      <c r="N720" s="261"/>
      <c r="O720" s="260"/>
    </row>
    <row r="721" spans="1:15" ht="30">
      <c r="A721" s="178" t="s">
        <v>96</v>
      </c>
      <c r="B721" s="75" t="s">
        <v>833</v>
      </c>
      <c r="C721" s="39" t="s">
        <v>17</v>
      </c>
      <c r="D721" s="255"/>
      <c r="E721" s="325" t="e">
        <f>#REF!</f>
        <v>#REF!</v>
      </c>
      <c r="F721" s="325" t="e">
        <f>#REF!</f>
        <v>#REF!</v>
      </c>
      <c r="G721" s="325" t="e">
        <f>#REF!</f>
        <v>#REF!</v>
      </c>
      <c r="H721" s="325" t="e">
        <f t="shared" si="33"/>
        <v>#REF!</v>
      </c>
      <c r="I721" s="260"/>
      <c r="J721" s="265" t="e">
        <f t="shared" si="32"/>
        <v>#REF!</v>
      </c>
      <c r="K721" s="294"/>
      <c r="L721" s="271"/>
      <c r="M721" s="264"/>
      <c r="N721" s="260"/>
      <c r="O721" s="260"/>
    </row>
    <row r="722" spans="1:15" ht="30">
      <c r="A722" s="178" t="s">
        <v>96</v>
      </c>
      <c r="B722" s="75" t="s">
        <v>834</v>
      </c>
      <c r="C722" s="39" t="s">
        <v>17</v>
      </c>
      <c r="D722" s="255"/>
      <c r="E722" s="325" t="e">
        <f>#REF!</f>
        <v>#REF!</v>
      </c>
      <c r="F722" s="325" t="e">
        <f>#REF!</f>
        <v>#REF!</v>
      </c>
      <c r="G722" s="325" t="e">
        <f>#REF!</f>
        <v>#REF!</v>
      </c>
      <c r="H722" s="325" t="e">
        <f t="shared" si="33"/>
        <v>#REF!</v>
      </c>
      <c r="I722" s="261"/>
      <c r="J722" s="265" t="e">
        <f t="shared" si="32"/>
        <v>#REF!</v>
      </c>
      <c r="K722" s="295"/>
      <c r="L722" s="270"/>
      <c r="M722" s="263"/>
      <c r="N722" s="261"/>
      <c r="O722" s="260"/>
    </row>
    <row r="723" spans="1:15" ht="30">
      <c r="A723" s="178" t="s">
        <v>96</v>
      </c>
      <c r="B723" s="75" t="s">
        <v>835</v>
      </c>
      <c r="C723" s="39" t="s">
        <v>17</v>
      </c>
      <c r="D723" s="255"/>
      <c r="E723" s="325" t="e">
        <f>#REF!</f>
        <v>#REF!</v>
      </c>
      <c r="F723" s="325" t="e">
        <f>#REF!</f>
        <v>#REF!</v>
      </c>
      <c r="G723" s="325" t="e">
        <f>#REF!</f>
        <v>#REF!</v>
      </c>
      <c r="H723" s="325" t="e">
        <f t="shared" si="33"/>
        <v>#REF!</v>
      </c>
      <c r="I723" s="260"/>
      <c r="J723" s="265" t="e">
        <f t="shared" ref="J723:J786" si="34">I723*H723</f>
        <v>#REF!</v>
      </c>
      <c r="K723" s="294"/>
      <c r="L723" s="271"/>
      <c r="M723" s="264"/>
      <c r="N723" s="260"/>
      <c r="O723" s="260"/>
    </row>
    <row r="724" spans="1:15" ht="30">
      <c r="A724" s="178" t="s">
        <v>96</v>
      </c>
      <c r="B724" s="75" t="s">
        <v>836</v>
      </c>
      <c r="C724" s="39" t="s">
        <v>17</v>
      </c>
      <c r="D724" s="255"/>
      <c r="E724" s="325" t="e">
        <f>#REF!</f>
        <v>#REF!</v>
      </c>
      <c r="F724" s="325" t="e">
        <f>#REF!</f>
        <v>#REF!</v>
      </c>
      <c r="G724" s="325" t="e">
        <f>#REF!</f>
        <v>#REF!</v>
      </c>
      <c r="H724" s="325" t="e">
        <f t="shared" si="33"/>
        <v>#REF!</v>
      </c>
      <c r="I724" s="261"/>
      <c r="J724" s="265" t="e">
        <f t="shared" si="34"/>
        <v>#REF!</v>
      </c>
      <c r="K724" s="295"/>
      <c r="L724" s="270"/>
      <c r="M724" s="263"/>
      <c r="N724" s="261"/>
      <c r="O724" s="260"/>
    </row>
    <row r="725" spans="1:15" ht="31.5">
      <c r="A725" s="178" t="s">
        <v>96</v>
      </c>
      <c r="B725" s="75" t="s">
        <v>1449</v>
      </c>
      <c r="C725" s="39" t="s">
        <v>17</v>
      </c>
      <c r="D725" s="255">
        <v>2</v>
      </c>
      <c r="E725" s="325" t="e">
        <f>#REF!</f>
        <v>#REF!</v>
      </c>
      <c r="F725" s="325" t="e">
        <f>#REF!</f>
        <v>#REF!</v>
      </c>
      <c r="G725" s="325" t="e">
        <f>#REF!</f>
        <v>#REF!</v>
      </c>
      <c r="H725" s="325" t="e">
        <f t="shared" si="33"/>
        <v>#REF!</v>
      </c>
      <c r="I725" s="266">
        <v>20600</v>
      </c>
      <c r="J725" s="265" t="e">
        <f t="shared" si="34"/>
        <v>#REF!</v>
      </c>
      <c r="K725" s="306"/>
      <c r="L725" s="280" t="s">
        <v>1743</v>
      </c>
      <c r="M725" s="308" t="s">
        <v>1663</v>
      </c>
      <c r="N725" s="260"/>
      <c r="O725" s="260" t="s">
        <v>1642</v>
      </c>
    </row>
    <row r="726" spans="1:15" ht="30">
      <c r="A726" s="178" t="s">
        <v>96</v>
      </c>
      <c r="B726" s="75" t="s">
        <v>843</v>
      </c>
      <c r="C726" s="39" t="s">
        <v>17</v>
      </c>
      <c r="D726" s="255"/>
      <c r="E726" s="325" t="e">
        <f>#REF!</f>
        <v>#REF!</v>
      </c>
      <c r="F726" s="325" t="e">
        <f>#REF!</f>
        <v>#REF!</v>
      </c>
      <c r="G726" s="325" t="e">
        <f>#REF!</f>
        <v>#REF!</v>
      </c>
      <c r="H726" s="325" t="e">
        <f t="shared" si="33"/>
        <v>#REF!</v>
      </c>
      <c r="I726" s="261"/>
      <c r="J726" s="265" t="e">
        <f t="shared" si="34"/>
        <v>#REF!</v>
      </c>
      <c r="K726" s="295"/>
      <c r="L726" s="270"/>
      <c r="M726" s="263"/>
      <c r="N726" s="261"/>
      <c r="O726" s="260"/>
    </row>
    <row r="727" spans="1:15" ht="30">
      <c r="A727" s="178" t="s">
        <v>96</v>
      </c>
      <c r="B727" s="75" t="s">
        <v>844</v>
      </c>
      <c r="C727" s="39" t="s">
        <v>17</v>
      </c>
      <c r="D727" s="255"/>
      <c r="E727" s="325" t="e">
        <f>#REF!</f>
        <v>#REF!</v>
      </c>
      <c r="F727" s="325" t="e">
        <f>#REF!</f>
        <v>#REF!</v>
      </c>
      <c r="G727" s="325" t="e">
        <f>#REF!</f>
        <v>#REF!</v>
      </c>
      <c r="H727" s="325" t="e">
        <f t="shared" si="33"/>
        <v>#REF!</v>
      </c>
      <c r="I727" s="260"/>
      <c r="J727" s="265" t="e">
        <f t="shared" si="34"/>
        <v>#REF!</v>
      </c>
      <c r="K727" s="294"/>
      <c r="L727" s="271"/>
      <c r="M727" s="264"/>
      <c r="N727" s="260"/>
      <c r="O727" s="260"/>
    </row>
    <row r="728" spans="1:15" ht="30">
      <c r="A728" s="178" t="s">
        <v>96</v>
      </c>
      <c r="B728" s="75" t="s">
        <v>845</v>
      </c>
      <c r="C728" s="39" t="s">
        <v>17</v>
      </c>
      <c r="D728" s="255"/>
      <c r="E728" s="325" t="e">
        <f>#REF!</f>
        <v>#REF!</v>
      </c>
      <c r="F728" s="325" t="e">
        <f>#REF!</f>
        <v>#REF!</v>
      </c>
      <c r="G728" s="325" t="e">
        <f>#REF!</f>
        <v>#REF!</v>
      </c>
      <c r="H728" s="325" t="e">
        <f t="shared" si="33"/>
        <v>#REF!</v>
      </c>
      <c r="I728" s="261"/>
      <c r="J728" s="265" t="e">
        <f t="shared" si="34"/>
        <v>#REF!</v>
      </c>
      <c r="K728" s="295"/>
      <c r="L728" s="270"/>
      <c r="M728" s="263"/>
      <c r="N728" s="261"/>
      <c r="O728" s="260"/>
    </row>
    <row r="729" spans="1:15" ht="30">
      <c r="A729" s="178" t="s">
        <v>96</v>
      </c>
      <c r="B729" s="75" t="s">
        <v>846</v>
      </c>
      <c r="C729" s="39" t="s">
        <v>17</v>
      </c>
      <c r="D729" s="255"/>
      <c r="E729" s="325" t="e">
        <f>#REF!</f>
        <v>#REF!</v>
      </c>
      <c r="F729" s="325" t="e">
        <f>#REF!</f>
        <v>#REF!</v>
      </c>
      <c r="G729" s="325" t="e">
        <f>#REF!</f>
        <v>#REF!</v>
      </c>
      <c r="H729" s="325" t="e">
        <f t="shared" si="33"/>
        <v>#REF!</v>
      </c>
      <c r="I729" s="260"/>
      <c r="J729" s="265" t="e">
        <f t="shared" si="34"/>
        <v>#REF!</v>
      </c>
      <c r="K729" s="294"/>
      <c r="L729" s="271"/>
      <c r="M729" s="264"/>
      <c r="N729" s="260"/>
      <c r="O729" s="260"/>
    </row>
    <row r="730" spans="1:15" ht="30">
      <c r="A730" s="178" t="s">
        <v>96</v>
      </c>
      <c r="B730" s="75" t="s">
        <v>847</v>
      </c>
      <c r="C730" s="39" t="s">
        <v>17</v>
      </c>
      <c r="D730" s="255"/>
      <c r="E730" s="325" t="e">
        <f>#REF!</f>
        <v>#REF!</v>
      </c>
      <c r="F730" s="325" t="e">
        <f>#REF!</f>
        <v>#REF!</v>
      </c>
      <c r="G730" s="325" t="e">
        <f>#REF!</f>
        <v>#REF!</v>
      </c>
      <c r="H730" s="325" t="e">
        <f t="shared" si="33"/>
        <v>#REF!</v>
      </c>
      <c r="I730" s="261"/>
      <c r="J730" s="265" t="e">
        <f t="shared" si="34"/>
        <v>#REF!</v>
      </c>
      <c r="K730" s="295"/>
      <c r="L730" s="270"/>
      <c r="M730" s="263"/>
      <c r="N730" s="261"/>
      <c r="O730" s="260"/>
    </row>
    <row r="731" spans="1:15" ht="30">
      <c r="A731" s="178" t="s">
        <v>96</v>
      </c>
      <c r="B731" s="75" t="s">
        <v>848</v>
      </c>
      <c r="C731" s="39" t="s">
        <v>17</v>
      </c>
      <c r="D731" s="255"/>
      <c r="E731" s="325" t="e">
        <f>#REF!</f>
        <v>#REF!</v>
      </c>
      <c r="F731" s="325" t="e">
        <f>#REF!</f>
        <v>#REF!</v>
      </c>
      <c r="G731" s="325" t="e">
        <f>#REF!</f>
        <v>#REF!</v>
      </c>
      <c r="H731" s="325" t="e">
        <f t="shared" si="33"/>
        <v>#REF!</v>
      </c>
      <c r="I731" s="260"/>
      <c r="J731" s="265" t="e">
        <f t="shared" si="34"/>
        <v>#REF!</v>
      </c>
      <c r="K731" s="294"/>
      <c r="L731" s="271"/>
      <c r="M731" s="264"/>
      <c r="N731" s="260"/>
      <c r="O731" s="260"/>
    </row>
    <row r="732" spans="1:15" ht="30">
      <c r="A732" s="178" t="s">
        <v>96</v>
      </c>
      <c r="B732" s="75" t="s">
        <v>849</v>
      </c>
      <c r="C732" s="39" t="s">
        <v>17</v>
      </c>
      <c r="D732" s="255"/>
      <c r="E732" s="325" t="e">
        <f>#REF!</f>
        <v>#REF!</v>
      </c>
      <c r="F732" s="325" t="e">
        <f>#REF!</f>
        <v>#REF!</v>
      </c>
      <c r="G732" s="325" t="e">
        <f>#REF!</f>
        <v>#REF!</v>
      </c>
      <c r="H732" s="325" t="e">
        <f t="shared" si="33"/>
        <v>#REF!</v>
      </c>
      <c r="I732" s="261"/>
      <c r="J732" s="265" t="e">
        <f t="shared" si="34"/>
        <v>#REF!</v>
      </c>
      <c r="K732" s="295"/>
      <c r="L732" s="270"/>
      <c r="M732" s="263"/>
      <c r="N732" s="261"/>
      <c r="O732" s="260"/>
    </row>
    <row r="733" spans="1:15" ht="38.25">
      <c r="A733" s="178" t="s">
        <v>96</v>
      </c>
      <c r="B733" s="75" t="s">
        <v>850</v>
      </c>
      <c r="C733" s="39" t="s">
        <v>17</v>
      </c>
      <c r="D733" s="255"/>
      <c r="E733" s="325" t="e">
        <f>#REF!</f>
        <v>#REF!</v>
      </c>
      <c r="F733" s="325" t="e">
        <f>#REF!</f>
        <v>#REF!</v>
      </c>
      <c r="G733" s="325" t="e">
        <f>#REF!</f>
        <v>#REF!</v>
      </c>
      <c r="H733" s="325" t="e">
        <f t="shared" si="33"/>
        <v>#REF!</v>
      </c>
      <c r="I733" s="260"/>
      <c r="J733" s="265" t="e">
        <f t="shared" si="34"/>
        <v>#REF!</v>
      </c>
      <c r="K733" s="294"/>
      <c r="L733" s="271"/>
      <c r="M733" s="264"/>
      <c r="N733" s="260"/>
      <c r="O733" s="260"/>
    </row>
    <row r="734" spans="1:15" ht="38.25">
      <c r="A734" s="178" t="s">
        <v>96</v>
      </c>
      <c r="B734" s="75" t="s">
        <v>851</v>
      </c>
      <c r="C734" s="39" t="s">
        <v>17</v>
      </c>
      <c r="D734" s="255"/>
      <c r="E734" s="325" t="e">
        <f>#REF!</f>
        <v>#REF!</v>
      </c>
      <c r="F734" s="325" t="e">
        <f>#REF!</f>
        <v>#REF!</v>
      </c>
      <c r="G734" s="325" t="e">
        <f>#REF!</f>
        <v>#REF!</v>
      </c>
      <c r="H734" s="325" t="e">
        <f t="shared" si="33"/>
        <v>#REF!</v>
      </c>
      <c r="I734" s="261"/>
      <c r="J734" s="265" t="e">
        <f t="shared" si="34"/>
        <v>#REF!</v>
      </c>
      <c r="K734" s="295"/>
      <c r="L734" s="270"/>
      <c r="M734" s="263"/>
      <c r="N734" s="261"/>
      <c r="O734" s="260"/>
    </row>
    <row r="735" spans="1:15" ht="38.25">
      <c r="A735" s="178" t="s">
        <v>96</v>
      </c>
      <c r="B735" s="75" t="s">
        <v>852</v>
      </c>
      <c r="C735" s="39" t="s">
        <v>17</v>
      </c>
      <c r="D735" s="255"/>
      <c r="E735" s="325" t="e">
        <f>#REF!</f>
        <v>#REF!</v>
      </c>
      <c r="F735" s="325" t="e">
        <f>#REF!</f>
        <v>#REF!</v>
      </c>
      <c r="G735" s="325" t="e">
        <f>#REF!</f>
        <v>#REF!</v>
      </c>
      <c r="H735" s="325" t="e">
        <f t="shared" si="33"/>
        <v>#REF!</v>
      </c>
      <c r="I735" s="260"/>
      <c r="J735" s="265" t="e">
        <f t="shared" si="34"/>
        <v>#REF!</v>
      </c>
      <c r="K735" s="294"/>
      <c r="L735" s="271"/>
      <c r="M735" s="264"/>
      <c r="N735" s="260"/>
      <c r="O735" s="260"/>
    </row>
    <row r="736" spans="1:15" ht="38.25">
      <c r="A736" s="178" t="s">
        <v>96</v>
      </c>
      <c r="B736" s="75" t="s">
        <v>853</v>
      </c>
      <c r="C736" s="39" t="s">
        <v>17</v>
      </c>
      <c r="D736" s="255"/>
      <c r="E736" s="325" t="e">
        <f>#REF!</f>
        <v>#REF!</v>
      </c>
      <c r="F736" s="325" t="e">
        <f>#REF!</f>
        <v>#REF!</v>
      </c>
      <c r="G736" s="325" t="e">
        <f>#REF!</f>
        <v>#REF!</v>
      </c>
      <c r="H736" s="325" t="e">
        <f t="shared" si="33"/>
        <v>#REF!</v>
      </c>
      <c r="I736" s="261"/>
      <c r="J736" s="265" t="e">
        <f t="shared" si="34"/>
        <v>#REF!</v>
      </c>
      <c r="K736" s="295"/>
      <c r="L736" s="270"/>
      <c r="M736" s="263"/>
      <c r="N736" s="261"/>
      <c r="O736" s="260"/>
    </row>
    <row r="737" spans="1:15" ht="30">
      <c r="A737" s="178" t="s">
        <v>96</v>
      </c>
      <c r="B737" s="16" t="e">
        <f>+UPPER(#REF!)</f>
        <v>#REF!</v>
      </c>
      <c r="C737" s="39" t="s">
        <v>17</v>
      </c>
      <c r="D737" s="255"/>
      <c r="E737" s="325" t="e">
        <f>#REF!</f>
        <v>#REF!</v>
      </c>
      <c r="F737" s="325" t="e">
        <f>#REF!</f>
        <v>#REF!</v>
      </c>
      <c r="G737" s="325" t="e">
        <f>#REF!</f>
        <v>#REF!</v>
      </c>
      <c r="H737" s="325" t="e">
        <f t="shared" si="33"/>
        <v>#REF!</v>
      </c>
      <c r="I737" s="260"/>
      <c r="J737" s="265" t="e">
        <f t="shared" si="34"/>
        <v>#REF!</v>
      </c>
      <c r="K737" s="294"/>
      <c r="L737" s="271"/>
      <c r="M737" s="264"/>
      <c r="N737" s="260"/>
      <c r="O737" s="260"/>
    </row>
    <row r="738" spans="1:15" ht="47.25">
      <c r="A738" s="178" t="s">
        <v>96</v>
      </c>
      <c r="B738" s="16" t="s">
        <v>1509</v>
      </c>
      <c r="C738" s="39" t="s">
        <v>17</v>
      </c>
      <c r="D738" s="255">
        <v>14</v>
      </c>
      <c r="E738" s="325" t="e">
        <f>#REF!</f>
        <v>#REF!</v>
      </c>
      <c r="F738" s="325" t="e">
        <f>#REF!</f>
        <v>#REF!</v>
      </c>
      <c r="G738" s="325" t="e">
        <f>#REF!</f>
        <v>#REF!</v>
      </c>
      <c r="H738" s="325" t="e">
        <f t="shared" si="33"/>
        <v>#REF!</v>
      </c>
      <c r="I738" s="265">
        <v>1390</v>
      </c>
      <c r="J738" s="265" t="e">
        <f t="shared" si="34"/>
        <v>#REF!</v>
      </c>
      <c r="K738" s="307"/>
      <c r="L738" s="310">
        <v>42383</v>
      </c>
      <c r="M738" s="308" t="s">
        <v>1663</v>
      </c>
      <c r="N738" s="265"/>
      <c r="O738" s="266" t="s">
        <v>1642</v>
      </c>
    </row>
    <row r="739" spans="1:15" ht="30">
      <c r="A739" s="178" t="s">
        <v>96</v>
      </c>
      <c r="B739" s="16" t="e">
        <f>+UPPER(#REF!)</f>
        <v>#REF!</v>
      </c>
      <c r="C739" s="39" t="s">
        <v>17</v>
      </c>
      <c r="D739" s="255"/>
      <c r="E739" s="325" t="e">
        <f>#REF!</f>
        <v>#REF!</v>
      </c>
      <c r="F739" s="325" t="e">
        <f>#REF!</f>
        <v>#REF!</v>
      </c>
      <c r="G739" s="325" t="e">
        <f>#REF!</f>
        <v>#REF!</v>
      </c>
      <c r="H739" s="325" t="e">
        <f t="shared" si="33"/>
        <v>#REF!</v>
      </c>
      <c r="I739" s="266"/>
      <c r="J739" s="265" t="e">
        <f t="shared" si="34"/>
        <v>#REF!</v>
      </c>
      <c r="K739" s="306"/>
      <c r="L739" s="280"/>
      <c r="M739" s="309"/>
      <c r="N739" s="266"/>
      <c r="O739" s="266"/>
    </row>
    <row r="740" spans="1:15" ht="30">
      <c r="A740" s="178" t="s">
        <v>1676</v>
      </c>
      <c r="B740" s="75" t="s">
        <v>854</v>
      </c>
      <c r="C740" s="39" t="s">
        <v>17</v>
      </c>
      <c r="D740" s="255">
        <v>2</v>
      </c>
      <c r="E740" s="325" t="e">
        <f>#REF!</f>
        <v>#REF!</v>
      </c>
      <c r="F740" s="325" t="e">
        <f>#REF!</f>
        <v>#REF!</v>
      </c>
      <c r="G740" s="325" t="e">
        <f>#REF!</f>
        <v>#REF!</v>
      </c>
      <c r="H740" s="325" t="e">
        <f t="shared" si="33"/>
        <v>#REF!</v>
      </c>
      <c r="I740" s="266">
        <v>169000</v>
      </c>
      <c r="J740" s="265" t="e">
        <f t="shared" si="34"/>
        <v>#REF!</v>
      </c>
      <c r="K740" s="306"/>
      <c r="L740" s="280">
        <v>42397</v>
      </c>
      <c r="M740" s="309" t="s">
        <v>15</v>
      </c>
      <c r="N740" s="254" t="s">
        <v>342</v>
      </c>
      <c r="O740" s="266" t="s">
        <v>1642</v>
      </c>
    </row>
    <row r="741" spans="1:15" ht="38.25">
      <c r="A741" s="178" t="s">
        <v>96</v>
      </c>
      <c r="B741" s="75" t="s">
        <v>1695</v>
      </c>
      <c r="C741" s="39" t="s">
        <v>17</v>
      </c>
      <c r="D741" s="255">
        <v>4</v>
      </c>
      <c r="E741" s="325" t="e">
        <f>#REF!</f>
        <v>#REF!</v>
      </c>
      <c r="F741" s="325" t="e">
        <f>#REF!</f>
        <v>#REF!</v>
      </c>
      <c r="G741" s="325" t="e">
        <f>#REF!</f>
        <v>#REF!</v>
      </c>
      <c r="H741" s="325" t="e">
        <f t="shared" si="33"/>
        <v>#REF!</v>
      </c>
      <c r="I741" s="266">
        <v>24635</v>
      </c>
      <c r="J741" s="265" t="e">
        <f t="shared" si="34"/>
        <v>#REF!</v>
      </c>
      <c r="K741" s="306"/>
      <c r="L741" s="280">
        <v>42430</v>
      </c>
      <c r="M741" s="309" t="s">
        <v>15</v>
      </c>
      <c r="N741" s="254" t="s">
        <v>342</v>
      </c>
      <c r="O741" s="266" t="s">
        <v>1642</v>
      </c>
    </row>
    <row r="742" spans="1:15" ht="30">
      <c r="A742" s="178" t="s">
        <v>96</v>
      </c>
      <c r="B742" s="75" t="s">
        <v>854</v>
      </c>
      <c r="C742" s="39" t="s">
        <v>17</v>
      </c>
      <c r="D742" s="255"/>
      <c r="E742" s="325" t="e">
        <f>#REF!</f>
        <v>#REF!</v>
      </c>
      <c r="F742" s="325" t="e">
        <f>#REF!</f>
        <v>#REF!</v>
      </c>
      <c r="G742" s="325" t="e">
        <f>#REF!</f>
        <v>#REF!</v>
      </c>
      <c r="H742" s="325" t="e">
        <f t="shared" si="33"/>
        <v>#REF!</v>
      </c>
      <c r="I742" s="265"/>
      <c r="J742" s="265" t="e">
        <f t="shared" si="34"/>
        <v>#REF!</v>
      </c>
      <c r="K742" s="307"/>
      <c r="L742" s="310"/>
      <c r="M742" s="308"/>
      <c r="N742" s="265"/>
      <c r="O742" s="266"/>
    </row>
    <row r="743" spans="1:15" ht="30">
      <c r="A743" s="178" t="s">
        <v>96</v>
      </c>
      <c r="B743" s="75" t="s">
        <v>1718</v>
      </c>
      <c r="C743" s="39" t="s">
        <v>17</v>
      </c>
      <c r="D743" s="255">
        <v>2</v>
      </c>
      <c r="E743" s="325" t="e">
        <f>#REF!</f>
        <v>#REF!</v>
      </c>
      <c r="F743" s="325" t="e">
        <f>#REF!</f>
        <v>#REF!</v>
      </c>
      <c r="G743" s="325" t="e">
        <f>#REF!</f>
        <v>#REF!</v>
      </c>
      <c r="H743" s="325" t="e">
        <f t="shared" si="33"/>
        <v>#REF!</v>
      </c>
      <c r="I743" s="265">
        <v>99567</v>
      </c>
      <c r="J743" s="265" t="e">
        <f t="shared" si="34"/>
        <v>#REF!</v>
      </c>
      <c r="K743" s="307"/>
      <c r="L743" s="310">
        <v>42383</v>
      </c>
      <c r="M743" s="309" t="s">
        <v>15</v>
      </c>
      <c r="N743" s="266"/>
      <c r="O743" s="266" t="s">
        <v>1642</v>
      </c>
    </row>
    <row r="744" spans="1:15" ht="30">
      <c r="A744" s="178" t="s">
        <v>96</v>
      </c>
      <c r="B744" s="75" t="s">
        <v>855</v>
      </c>
      <c r="C744" s="39" t="s">
        <v>17</v>
      </c>
      <c r="D744" s="255">
        <v>6</v>
      </c>
      <c r="E744" s="325" t="e">
        <f>#REF!</f>
        <v>#REF!</v>
      </c>
      <c r="F744" s="325" t="e">
        <f>#REF!</f>
        <v>#REF!</v>
      </c>
      <c r="G744" s="325" t="e">
        <f>#REF!</f>
        <v>#REF!</v>
      </c>
      <c r="H744" s="325" t="e">
        <f t="shared" si="33"/>
        <v>#REF!</v>
      </c>
      <c r="I744" s="266">
        <v>41535</v>
      </c>
      <c r="J744" s="265" t="e">
        <f t="shared" si="34"/>
        <v>#REF!</v>
      </c>
      <c r="K744" s="306"/>
      <c r="L744" s="280">
        <v>42430</v>
      </c>
      <c r="M744" s="309" t="s">
        <v>15</v>
      </c>
      <c r="N744" s="266"/>
      <c r="O744" s="266" t="s">
        <v>1642</v>
      </c>
    </row>
    <row r="745" spans="1:15" ht="30">
      <c r="A745" s="178" t="s">
        <v>96</v>
      </c>
      <c r="B745" s="16" t="e">
        <f>+UPPER(#REF!)</f>
        <v>#REF!</v>
      </c>
      <c r="C745" s="39" t="s">
        <v>17</v>
      </c>
      <c r="D745" s="255"/>
      <c r="E745" s="325" t="e">
        <f>#REF!</f>
        <v>#REF!</v>
      </c>
      <c r="F745" s="325" t="e">
        <f>#REF!</f>
        <v>#REF!</v>
      </c>
      <c r="G745" s="325" t="e">
        <f>#REF!</f>
        <v>#REF!</v>
      </c>
      <c r="H745" s="325" t="e">
        <f t="shared" si="33"/>
        <v>#REF!</v>
      </c>
      <c r="I745" s="265"/>
      <c r="J745" s="265" t="e">
        <f t="shared" si="34"/>
        <v>#REF!</v>
      </c>
      <c r="K745" s="307"/>
      <c r="L745" s="310"/>
      <c r="M745" s="308"/>
      <c r="N745" s="265"/>
      <c r="O745" s="266"/>
    </row>
    <row r="746" spans="1:15" ht="30">
      <c r="A746" s="178" t="s">
        <v>96</v>
      </c>
      <c r="B746" s="16" t="e">
        <f>+UPPER(#REF!)</f>
        <v>#REF!</v>
      </c>
      <c r="C746" s="39" t="s">
        <v>17</v>
      </c>
      <c r="D746" s="255">
        <v>6</v>
      </c>
      <c r="E746" s="325" t="e">
        <f>#REF!</f>
        <v>#REF!</v>
      </c>
      <c r="F746" s="325" t="e">
        <f>#REF!</f>
        <v>#REF!</v>
      </c>
      <c r="G746" s="325" t="e">
        <f>#REF!</f>
        <v>#REF!</v>
      </c>
      <c r="H746" s="325" t="e">
        <f t="shared" si="33"/>
        <v>#REF!</v>
      </c>
      <c r="I746" s="266">
        <v>41535</v>
      </c>
      <c r="J746" s="265" t="e">
        <f t="shared" si="34"/>
        <v>#REF!</v>
      </c>
      <c r="K746" s="306"/>
      <c r="L746" s="280">
        <v>42430</v>
      </c>
      <c r="M746" s="309" t="s">
        <v>15</v>
      </c>
      <c r="N746" s="266"/>
      <c r="O746" s="266" t="s">
        <v>1642</v>
      </c>
    </row>
    <row r="747" spans="1:15" ht="30">
      <c r="A747" s="178" t="s">
        <v>96</v>
      </c>
      <c r="B747" s="75" t="s">
        <v>856</v>
      </c>
      <c r="C747" s="39" t="s">
        <v>17</v>
      </c>
      <c r="D747" s="255"/>
      <c r="E747" s="325" t="e">
        <f>#REF!</f>
        <v>#REF!</v>
      </c>
      <c r="F747" s="325" t="e">
        <f>#REF!</f>
        <v>#REF!</v>
      </c>
      <c r="G747" s="325" t="e">
        <f>#REF!</f>
        <v>#REF!</v>
      </c>
      <c r="H747" s="325" t="e">
        <f t="shared" si="33"/>
        <v>#REF!</v>
      </c>
      <c r="I747" s="265"/>
      <c r="J747" s="265" t="e">
        <f t="shared" si="34"/>
        <v>#REF!</v>
      </c>
      <c r="K747" s="307"/>
      <c r="L747" s="310"/>
      <c r="M747" s="308"/>
      <c r="N747" s="265"/>
      <c r="O747" s="266"/>
    </row>
    <row r="748" spans="1:15" ht="31.5">
      <c r="A748" s="178" t="s">
        <v>96</v>
      </c>
      <c r="B748" s="75" t="s">
        <v>1684</v>
      </c>
      <c r="C748" s="39" t="s">
        <v>17</v>
      </c>
      <c r="D748" s="255">
        <v>1</v>
      </c>
      <c r="E748" s="325" t="e">
        <f>#REF!</f>
        <v>#REF!</v>
      </c>
      <c r="F748" s="325" t="e">
        <f>#REF!</f>
        <v>#REF!</v>
      </c>
      <c r="G748" s="325" t="e">
        <f>#REF!</f>
        <v>#REF!</v>
      </c>
      <c r="H748" s="325" t="e">
        <f t="shared" si="33"/>
        <v>#REF!</v>
      </c>
      <c r="I748" s="265">
        <v>63652.94</v>
      </c>
      <c r="J748" s="265" t="e">
        <f t="shared" si="34"/>
        <v>#REF!</v>
      </c>
      <c r="K748" s="307"/>
      <c r="L748" s="310">
        <v>42383</v>
      </c>
      <c r="M748" s="308" t="s">
        <v>1663</v>
      </c>
      <c r="N748" s="254" t="s">
        <v>342</v>
      </c>
      <c r="O748" s="266" t="s">
        <v>1642</v>
      </c>
    </row>
    <row r="749" spans="1:15" ht="30">
      <c r="A749" s="178" t="s">
        <v>96</v>
      </c>
      <c r="B749" s="75" t="s">
        <v>1446</v>
      </c>
      <c r="C749" s="39" t="s">
        <v>17</v>
      </c>
      <c r="D749" s="255">
        <v>5</v>
      </c>
      <c r="E749" s="325" t="e">
        <f>#REF!</f>
        <v>#REF!</v>
      </c>
      <c r="F749" s="325" t="e">
        <f>#REF!</f>
        <v>#REF!</v>
      </c>
      <c r="G749" s="325" t="e">
        <f>#REF!</f>
        <v>#REF!</v>
      </c>
      <c r="H749" s="325" t="e">
        <f t="shared" si="33"/>
        <v>#REF!</v>
      </c>
      <c r="I749" s="266">
        <v>169000</v>
      </c>
      <c r="J749" s="265" t="e">
        <f t="shared" si="34"/>
        <v>#REF!</v>
      </c>
      <c r="K749" s="306"/>
      <c r="L749" s="280">
        <v>42383</v>
      </c>
      <c r="M749" s="309" t="s">
        <v>15</v>
      </c>
      <c r="N749" s="266"/>
      <c r="O749" s="266" t="s">
        <v>1642</v>
      </c>
    </row>
    <row r="750" spans="1:15" ht="30">
      <c r="A750" s="178" t="s">
        <v>96</v>
      </c>
      <c r="B750" s="75" t="s">
        <v>1447</v>
      </c>
      <c r="C750" s="39" t="s">
        <v>17</v>
      </c>
      <c r="D750" s="255">
        <v>1</v>
      </c>
      <c r="E750" s="325" t="e">
        <f>#REF!</f>
        <v>#REF!</v>
      </c>
      <c r="F750" s="325" t="e">
        <f>#REF!</f>
        <v>#REF!</v>
      </c>
      <c r="G750" s="325" t="e">
        <f>#REF!</f>
        <v>#REF!</v>
      </c>
      <c r="H750" s="325" t="e">
        <f t="shared" si="33"/>
        <v>#REF!</v>
      </c>
      <c r="I750" s="265">
        <v>119000</v>
      </c>
      <c r="J750" s="265" t="e">
        <f t="shared" si="34"/>
        <v>#REF!</v>
      </c>
      <c r="K750" s="307"/>
      <c r="L750" s="310">
        <v>42352</v>
      </c>
      <c r="M750" s="307" t="s">
        <v>15</v>
      </c>
      <c r="N750" s="265"/>
      <c r="O750" s="266"/>
    </row>
    <row r="751" spans="1:15" ht="30">
      <c r="A751" s="178" t="s">
        <v>96</v>
      </c>
      <c r="B751" s="75" t="s">
        <v>857</v>
      </c>
      <c r="C751" s="39" t="s">
        <v>17</v>
      </c>
      <c r="D751" s="255">
        <v>4</v>
      </c>
      <c r="E751" s="325" t="e">
        <f>#REF!</f>
        <v>#REF!</v>
      </c>
      <c r="F751" s="325" t="e">
        <f>#REF!</f>
        <v>#REF!</v>
      </c>
      <c r="G751" s="325" t="e">
        <f>#REF!</f>
        <v>#REF!</v>
      </c>
      <c r="H751" s="325" t="e">
        <f t="shared" si="33"/>
        <v>#REF!</v>
      </c>
      <c r="I751" s="266">
        <v>135300</v>
      </c>
      <c r="J751" s="265" t="e">
        <f t="shared" si="34"/>
        <v>#REF!</v>
      </c>
      <c r="K751" s="306"/>
      <c r="L751" s="310">
        <v>42422</v>
      </c>
      <c r="M751" s="309" t="s">
        <v>15</v>
      </c>
      <c r="N751" s="266"/>
      <c r="O751" s="266" t="s">
        <v>1642</v>
      </c>
    </row>
    <row r="752" spans="1:15" ht="30">
      <c r="A752" s="178" t="s">
        <v>96</v>
      </c>
      <c r="B752" s="75" t="s">
        <v>858</v>
      </c>
      <c r="C752" s="39" t="s">
        <v>17</v>
      </c>
      <c r="D752" s="255">
        <v>1</v>
      </c>
      <c r="E752" s="325" t="e">
        <f>#REF!</f>
        <v>#REF!</v>
      </c>
      <c r="F752" s="325" t="e">
        <f>#REF!</f>
        <v>#REF!</v>
      </c>
      <c r="G752" s="325" t="e">
        <f>#REF!</f>
        <v>#REF!</v>
      </c>
      <c r="H752" s="325" t="e">
        <f t="shared" si="33"/>
        <v>#REF!</v>
      </c>
      <c r="I752" s="265">
        <v>212520</v>
      </c>
      <c r="J752" s="265" t="e">
        <f t="shared" si="34"/>
        <v>#REF!</v>
      </c>
      <c r="K752" s="307"/>
      <c r="L752" s="310">
        <v>42422</v>
      </c>
      <c r="M752" s="309" t="s">
        <v>15</v>
      </c>
      <c r="N752" s="265"/>
      <c r="O752" s="266" t="s">
        <v>1642</v>
      </c>
    </row>
    <row r="753" spans="1:15" ht="31.5">
      <c r="A753" s="178" t="s">
        <v>96</v>
      </c>
      <c r="B753" s="75" t="s">
        <v>859</v>
      </c>
      <c r="C753" s="39" t="s">
        <v>17</v>
      </c>
      <c r="D753" s="255">
        <v>6</v>
      </c>
      <c r="E753" s="325" t="e">
        <f>#REF!</f>
        <v>#REF!</v>
      </c>
      <c r="F753" s="325" t="e">
        <f>#REF!</f>
        <v>#REF!</v>
      </c>
      <c r="G753" s="325" t="e">
        <f>#REF!</f>
        <v>#REF!</v>
      </c>
      <c r="H753" s="325" t="e">
        <f t="shared" si="33"/>
        <v>#REF!</v>
      </c>
      <c r="I753" s="266">
        <v>206511.7</v>
      </c>
      <c r="J753" s="265" t="e">
        <f t="shared" si="34"/>
        <v>#REF!</v>
      </c>
      <c r="K753" s="306"/>
      <c r="L753" s="280">
        <v>42383</v>
      </c>
      <c r="M753" s="309" t="s">
        <v>1737</v>
      </c>
      <c r="N753" s="266"/>
      <c r="O753" s="266" t="s">
        <v>1642</v>
      </c>
    </row>
    <row r="754" spans="1:15" ht="31.5">
      <c r="A754" s="178" t="s">
        <v>96</v>
      </c>
      <c r="B754" s="75" t="s">
        <v>860</v>
      </c>
      <c r="C754" s="39" t="s">
        <v>17</v>
      </c>
      <c r="D754" s="255">
        <v>2</v>
      </c>
      <c r="E754" s="325" t="e">
        <f>#REF!</f>
        <v>#REF!</v>
      </c>
      <c r="F754" s="325" t="e">
        <f>#REF!</f>
        <v>#REF!</v>
      </c>
      <c r="G754" s="325" t="e">
        <f>#REF!</f>
        <v>#REF!</v>
      </c>
      <c r="H754" s="325" t="e">
        <f t="shared" si="33"/>
        <v>#REF!</v>
      </c>
      <c r="I754" s="265">
        <v>19500</v>
      </c>
      <c r="J754" s="265" t="e">
        <f t="shared" si="34"/>
        <v>#REF!</v>
      </c>
      <c r="K754" s="307"/>
      <c r="L754" s="280">
        <v>42383</v>
      </c>
      <c r="M754" s="308" t="s">
        <v>1663</v>
      </c>
      <c r="N754" s="265"/>
      <c r="O754" s="266" t="s">
        <v>1642</v>
      </c>
    </row>
    <row r="755" spans="1:15" ht="30">
      <c r="A755" s="178" t="s">
        <v>96</v>
      </c>
      <c r="B755" s="75" t="s">
        <v>861</v>
      </c>
      <c r="C755" s="39" t="s">
        <v>17</v>
      </c>
      <c r="D755" s="255"/>
      <c r="E755" s="325" t="e">
        <f>#REF!</f>
        <v>#REF!</v>
      </c>
      <c r="F755" s="325" t="e">
        <f>#REF!</f>
        <v>#REF!</v>
      </c>
      <c r="G755" s="325" t="e">
        <f>#REF!</f>
        <v>#REF!</v>
      </c>
      <c r="H755" s="325" t="e">
        <f t="shared" si="33"/>
        <v>#REF!</v>
      </c>
      <c r="I755" s="266"/>
      <c r="J755" s="265" t="e">
        <f t="shared" si="34"/>
        <v>#REF!</v>
      </c>
      <c r="K755" s="306"/>
      <c r="L755" s="280"/>
      <c r="M755" s="309"/>
      <c r="N755" s="266"/>
      <c r="O755" s="266"/>
    </row>
    <row r="756" spans="1:15" ht="30">
      <c r="A756" s="178" t="s">
        <v>96</v>
      </c>
      <c r="B756" s="75" t="s">
        <v>862</v>
      </c>
      <c r="C756" s="39" t="s">
        <v>17</v>
      </c>
      <c r="D756" s="255">
        <v>2</v>
      </c>
      <c r="E756" s="325" t="e">
        <f>#REF!</f>
        <v>#REF!</v>
      </c>
      <c r="F756" s="325" t="e">
        <f>#REF!</f>
        <v>#REF!</v>
      </c>
      <c r="G756" s="325" t="e">
        <f>#REF!</f>
        <v>#REF!</v>
      </c>
      <c r="H756" s="325" t="e">
        <f t="shared" si="33"/>
        <v>#REF!</v>
      </c>
      <c r="I756" s="265">
        <v>270500</v>
      </c>
      <c r="J756" s="265" t="e">
        <f t="shared" si="34"/>
        <v>#REF!</v>
      </c>
      <c r="K756" s="307"/>
      <c r="L756" s="280">
        <v>42383</v>
      </c>
      <c r="M756" s="308" t="s">
        <v>15</v>
      </c>
      <c r="N756" s="265"/>
      <c r="O756" s="266" t="s">
        <v>1642</v>
      </c>
    </row>
    <row r="757" spans="1:15" ht="30">
      <c r="A757" s="178" t="s">
        <v>96</v>
      </c>
      <c r="B757" s="16" t="e">
        <f>+UPPER(#REF!)</f>
        <v>#REF!</v>
      </c>
      <c r="C757" s="39" t="s">
        <v>17</v>
      </c>
      <c r="D757" s="255"/>
      <c r="E757" s="325" t="e">
        <f>#REF!</f>
        <v>#REF!</v>
      </c>
      <c r="F757" s="325" t="e">
        <f>#REF!</f>
        <v>#REF!</v>
      </c>
      <c r="G757" s="325" t="e">
        <f>#REF!</f>
        <v>#REF!</v>
      </c>
      <c r="H757" s="325" t="e">
        <f t="shared" si="33"/>
        <v>#REF!</v>
      </c>
      <c r="I757" s="266"/>
      <c r="J757" s="265" t="e">
        <f t="shared" si="34"/>
        <v>#REF!</v>
      </c>
      <c r="K757" s="306"/>
      <c r="L757" s="280"/>
      <c r="M757" s="309"/>
      <c r="N757" s="266"/>
      <c r="O757" s="266"/>
    </row>
    <row r="758" spans="1:15" ht="30">
      <c r="A758" s="178" t="s">
        <v>96</v>
      </c>
      <c r="B758" s="16" t="e">
        <f>+UPPER(#REF!)</f>
        <v>#REF!</v>
      </c>
      <c r="C758" s="39" t="s">
        <v>17</v>
      </c>
      <c r="D758" s="255"/>
      <c r="E758" s="325" t="e">
        <f>#REF!</f>
        <v>#REF!</v>
      </c>
      <c r="F758" s="325" t="e">
        <f>#REF!</f>
        <v>#REF!</v>
      </c>
      <c r="G758" s="325" t="e">
        <f>#REF!</f>
        <v>#REF!</v>
      </c>
      <c r="H758" s="325" t="e">
        <f t="shared" si="33"/>
        <v>#REF!</v>
      </c>
      <c r="I758" s="265"/>
      <c r="J758" s="265" t="e">
        <f t="shared" si="34"/>
        <v>#REF!</v>
      </c>
      <c r="K758" s="307"/>
      <c r="L758" s="310"/>
      <c r="M758" s="308"/>
      <c r="N758" s="265"/>
      <c r="O758" s="266"/>
    </row>
    <row r="759" spans="1:15" ht="30">
      <c r="A759" s="178" t="s">
        <v>96</v>
      </c>
      <c r="B759" s="16" t="e">
        <f>+UPPER(#REF!)</f>
        <v>#REF!</v>
      </c>
      <c r="C759" s="39" t="s">
        <v>17</v>
      </c>
      <c r="D759" s="255"/>
      <c r="E759" s="325" t="e">
        <f>#REF!</f>
        <v>#REF!</v>
      </c>
      <c r="F759" s="325" t="e">
        <f>#REF!</f>
        <v>#REF!</v>
      </c>
      <c r="G759" s="325" t="e">
        <f>#REF!</f>
        <v>#REF!</v>
      </c>
      <c r="H759" s="325" t="e">
        <f t="shared" si="33"/>
        <v>#REF!</v>
      </c>
      <c r="I759" s="266"/>
      <c r="J759" s="265" t="e">
        <f t="shared" si="34"/>
        <v>#REF!</v>
      </c>
      <c r="K759" s="306"/>
      <c r="L759" s="280"/>
      <c r="M759" s="309"/>
      <c r="N759" s="266"/>
      <c r="O759" s="266"/>
    </row>
    <row r="760" spans="1:15" ht="30">
      <c r="A760" s="178" t="s">
        <v>96</v>
      </c>
      <c r="B760" s="16" t="e">
        <f>+UPPER(#REF!)</f>
        <v>#REF!</v>
      </c>
      <c r="C760" s="39" t="s">
        <v>17</v>
      </c>
      <c r="D760" s="255"/>
      <c r="E760" s="325" t="e">
        <f>#REF!</f>
        <v>#REF!</v>
      </c>
      <c r="F760" s="325" t="e">
        <f>#REF!</f>
        <v>#REF!</v>
      </c>
      <c r="G760" s="325" t="e">
        <f>#REF!</f>
        <v>#REF!</v>
      </c>
      <c r="H760" s="325" t="e">
        <f t="shared" si="33"/>
        <v>#REF!</v>
      </c>
      <c r="I760" s="265"/>
      <c r="J760" s="265" t="e">
        <f t="shared" si="34"/>
        <v>#REF!</v>
      </c>
      <c r="K760" s="307"/>
      <c r="L760" s="310"/>
      <c r="M760" s="308"/>
      <c r="N760" s="265"/>
      <c r="O760" s="266"/>
    </row>
    <row r="761" spans="1:15" ht="30">
      <c r="A761" s="178" t="s">
        <v>96</v>
      </c>
      <c r="B761" s="16" t="e">
        <f>+UPPER(#REF!)</f>
        <v>#REF!</v>
      </c>
      <c r="C761" s="39" t="s">
        <v>17</v>
      </c>
      <c r="D761" s="255"/>
      <c r="E761" s="325" t="e">
        <f>#REF!</f>
        <v>#REF!</v>
      </c>
      <c r="F761" s="325" t="e">
        <f>#REF!</f>
        <v>#REF!</v>
      </c>
      <c r="G761" s="325" t="e">
        <f>#REF!</f>
        <v>#REF!</v>
      </c>
      <c r="H761" s="325" t="e">
        <f t="shared" si="33"/>
        <v>#REF!</v>
      </c>
      <c r="I761" s="266"/>
      <c r="J761" s="265" t="e">
        <f t="shared" si="34"/>
        <v>#REF!</v>
      </c>
      <c r="K761" s="306"/>
      <c r="L761" s="280"/>
      <c r="M761" s="309"/>
      <c r="N761" s="266"/>
      <c r="O761" s="266"/>
    </row>
    <row r="762" spans="1:15" ht="30">
      <c r="A762" s="178" t="s">
        <v>96</v>
      </c>
      <c r="B762" s="75" t="s">
        <v>1688</v>
      </c>
      <c r="C762" s="39" t="s">
        <v>17</v>
      </c>
      <c r="D762" s="255">
        <v>1</v>
      </c>
      <c r="E762" s="325" t="e">
        <f>#REF!</f>
        <v>#REF!</v>
      </c>
      <c r="F762" s="325" t="e">
        <f>#REF!</f>
        <v>#REF!</v>
      </c>
      <c r="G762" s="325" t="e">
        <f>#REF!</f>
        <v>#REF!</v>
      </c>
      <c r="H762" s="325" t="e">
        <f t="shared" si="33"/>
        <v>#REF!</v>
      </c>
      <c r="I762" s="266">
        <v>138190</v>
      </c>
      <c r="J762" s="265" t="e">
        <f t="shared" si="34"/>
        <v>#REF!</v>
      </c>
      <c r="K762" s="306"/>
      <c r="L762" s="280">
        <v>42408</v>
      </c>
      <c r="M762" s="309" t="s">
        <v>15</v>
      </c>
      <c r="N762" s="254" t="s">
        <v>342</v>
      </c>
      <c r="O762" s="266" t="s">
        <v>1642</v>
      </c>
    </row>
    <row r="763" spans="1:15" ht="30">
      <c r="A763" s="178" t="s">
        <v>96</v>
      </c>
      <c r="B763" s="75" t="s">
        <v>1230</v>
      </c>
      <c r="C763" s="39" t="s">
        <v>17</v>
      </c>
      <c r="D763" s="255"/>
      <c r="E763" s="325" t="e">
        <f>#REF!</f>
        <v>#REF!</v>
      </c>
      <c r="F763" s="325" t="e">
        <f>#REF!</f>
        <v>#REF!</v>
      </c>
      <c r="G763" s="325" t="e">
        <f>#REF!</f>
        <v>#REF!</v>
      </c>
      <c r="H763" s="325" t="e">
        <f t="shared" si="33"/>
        <v>#REF!</v>
      </c>
      <c r="I763" s="265"/>
      <c r="J763" s="265" t="e">
        <f t="shared" si="34"/>
        <v>#REF!</v>
      </c>
      <c r="K763" s="307"/>
      <c r="L763" s="310"/>
      <c r="M763" s="308"/>
      <c r="N763" s="265"/>
      <c r="O763" s="266"/>
    </row>
    <row r="764" spans="1:15" ht="31.5">
      <c r="A764" s="178" t="s">
        <v>96</v>
      </c>
      <c r="B764" s="75" t="s">
        <v>1231</v>
      </c>
      <c r="C764" s="39" t="s">
        <v>17</v>
      </c>
      <c r="D764" s="255">
        <v>2</v>
      </c>
      <c r="E764" s="325" t="e">
        <f>#REF!</f>
        <v>#REF!</v>
      </c>
      <c r="F764" s="325" t="e">
        <f>#REF!</f>
        <v>#REF!</v>
      </c>
      <c r="G764" s="325" t="e">
        <f>#REF!</f>
        <v>#REF!</v>
      </c>
      <c r="H764" s="325" t="e">
        <f t="shared" si="33"/>
        <v>#REF!</v>
      </c>
      <c r="I764" s="266">
        <v>45915</v>
      </c>
      <c r="J764" s="265" t="e">
        <f t="shared" si="34"/>
        <v>#REF!</v>
      </c>
      <c r="K764" s="306"/>
      <c r="L764" s="280">
        <v>42430</v>
      </c>
      <c r="M764" s="308" t="s">
        <v>1663</v>
      </c>
      <c r="N764" s="266"/>
      <c r="O764" s="266" t="s">
        <v>1642</v>
      </c>
    </row>
    <row r="765" spans="1:15" ht="30">
      <c r="A765" s="178" t="s">
        <v>96</v>
      </c>
      <c r="B765" s="75" t="s">
        <v>1232</v>
      </c>
      <c r="C765" s="39" t="s">
        <v>17</v>
      </c>
      <c r="D765" s="255"/>
      <c r="E765" s="325" t="e">
        <f>#REF!</f>
        <v>#REF!</v>
      </c>
      <c r="F765" s="325" t="e">
        <f>#REF!</f>
        <v>#REF!</v>
      </c>
      <c r="G765" s="325" t="e">
        <f>#REF!</f>
        <v>#REF!</v>
      </c>
      <c r="H765" s="325" t="e">
        <f t="shared" si="33"/>
        <v>#REF!</v>
      </c>
      <c r="I765" s="265"/>
      <c r="J765" s="265" t="e">
        <f t="shared" si="34"/>
        <v>#REF!</v>
      </c>
      <c r="K765" s="307"/>
      <c r="L765" s="310"/>
      <c r="M765" s="308"/>
      <c r="N765" s="265"/>
      <c r="O765" s="266"/>
    </row>
    <row r="766" spans="1:15" ht="31.5">
      <c r="A766" s="178" t="s">
        <v>96</v>
      </c>
      <c r="B766" s="75" t="s">
        <v>1233</v>
      </c>
      <c r="C766" s="39" t="s">
        <v>17</v>
      </c>
      <c r="D766" s="255">
        <v>1</v>
      </c>
      <c r="E766" s="325" t="e">
        <f>#REF!</f>
        <v>#REF!</v>
      </c>
      <c r="F766" s="325" t="e">
        <f>#REF!</f>
        <v>#REF!</v>
      </c>
      <c r="G766" s="325" t="e">
        <f>#REF!</f>
        <v>#REF!</v>
      </c>
      <c r="H766" s="325" t="e">
        <f t="shared" si="33"/>
        <v>#REF!</v>
      </c>
      <c r="I766" s="266">
        <v>85600</v>
      </c>
      <c r="J766" s="265" t="e">
        <f t="shared" si="34"/>
        <v>#REF!</v>
      </c>
      <c r="K766" s="306"/>
      <c r="L766" s="280">
        <v>42383</v>
      </c>
      <c r="M766" s="308" t="s">
        <v>1663</v>
      </c>
      <c r="N766" s="266"/>
      <c r="O766" s="266" t="s">
        <v>1642</v>
      </c>
    </row>
    <row r="767" spans="1:15" ht="30">
      <c r="A767" s="178" t="s">
        <v>96</v>
      </c>
      <c r="B767" s="75" t="s">
        <v>1234</v>
      </c>
      <c r="C767" s="39" t="s">
        <v>17</v>
      </c>
      <c r="D767" s="255">
        <v>7</v>
      </c>
      <c r="E767" s="325" t="e">
        <f>#REF!</f>
        <v>#REF!</v>
      </c>
      <c r="F767" s="325" t="e">
        <f>#REF!</f>
        <v>#REF!</v>
      </c>
      <c r="G767" s="325" t="e">
        <f>#REF!</f>
        <v>#REF!</v>
      </c>
      <c r="H767" s="325" t="e">
        <f t="shared" si="33"/>
        <v>#REF!</v>
      </c>
      <c r="I767" s="265">
        <v>41535</v>
      </c>
      <c r="J767" s="265" t="e">
        <f t="shared" si="34"/>
        <v>#REF!</v>
      </c>
      <c r="K767" s="307"/>
      <c r="L767" s="310">
        <v>42430</v>
      </c>
      <c r="M767" s="308" t="s">
        <v>15</v>
      </c>
      <c r="N767" s="266"/>
      <c r="O767" s="266" t="s">
        <v>1642</v>
      </c>
    </row>
    <row r="768" spans="1:15" ht="47.25">
      <c r="A768" s="178" t="s">
        <v>96</v>
      </c>
      <c r="B768" s="16" t="s">
        <v>1686</v>
      </c>
      <c r="C768" s="39" t="s">
        <v>17</v>
      </c>
      <c r="D768" s="255">
        <v>1</v>
      </c>
      <c r="E768" s="325" t="e">
        <f>#REF!</f>
        <v>#REF!</v>
      </c>
      <c r="F768" s="325" t="e">
        <f>#REF!</f>
        <v>#REF!</v>
      </c>
      <c r="G768" s="325" t="e">
        <f>#REF!</f>
        <v>#REF!</v>
      </c>
      <c r="H768" s="325" t="e">
        <f t="shared" si="33"/>
        <v>#REF!</v>
      </c>
      <c r="I768" s="265">
        <v>138500</v>
      </c>
      <c r="J768" s="265" t="e">
        <f t="shared" si="34"/>
        <v>#REF!</v>
      </c>
      <c r="K768" s="307"/>
      <c r="L768" s="310">
        <v>42383</v>
      </c>
      <c r="M768" s="309" t="s">
        <v>15</v>
      </c>
      <c r="N768" s="254" t="s">
        <v>342</v>
      </c>
      <c r="O768" s="266" t="s">
        <v>1642</v>
      </c>
    </row>
    <row r="769" spans="1:15" ht="47.25">
      <c r="A769" s="178" t="s">
        <v>96</v>
      </c>
      <c r="B769" s="16" t="s">
        <v>1685</v>
      </c>
      <c r="C769" s="39" t="s">
        <v>17</v>
      </c>
      <c r="D769" s="255">
        <v>3</v>
      </c>
      <c r="E769" s="325" t="e">
        <f>#REF!</f>
        <v>#REF!</v>
      </c>
      <c r="F769" s="325" t="e">
        <f>#REF!</f>
        <v>#REF!</v>
      </c>
      <c r="G769" s="325" t="e">
        <f>#REF!</f>
        <v>#REF!</v>
      </c>
      <c r="H769" s="325" t="e">
        <f t="shared" si="33"/>
        <v>#REF!</v>
      </c>
      <c r="I769" s="265">
        <v>214611</v>
      </c>
      <c r="J769" s="265" t="e">
        <f t="shared" si="34"/>
        <v>#REF!</v>
      </c>
      <c r="K769" s="307"/>
      <c r="L769" s="310">
        <v>42430</v>
      </c>
      <c r="M769" s="309" t="s">
        <v>15</v>
      </c>
      <c r="N769" s="254" t="s">
        <v>342</v>
      </c>
      <c r="O769" s="266" t="s">
        <v>1642</v>
      </c>
    </row>
    <row r="770" spans="1:15" ht="47.25">
      <c r="A770" s="178" t="s">
        <v>96</v>
      </c>
      <c r="B770" s="18" t="s">
        <v>1689</v>
      </c>
      <c r="C770" s="39" t="s">
        <v>17</v>
      </c>
      <c r="D770" s="255">
        <v>2</v>
      </c>
      <c r="E770" s="325" t="e">
        <f>#REF!</f>
        <v>#REF!</v>
      </c>
      <c r="F770" s="325" t="e">
        <f>#REF!</f>
        <v>#REF!</v>
      </c>
      <c r="G770" s="325" t="e">
        <f>#REF!</f>
        <v>#REF!</v>
      </c>
      <c r="H770" s="325" t="e">
        <f t="shared" si="33"/>
        <v>#REF!</v>
      </c>
      <c r="I770" s="265">
        <v>111480</v>
      </c>
      <c r="J770" s="265" t="e">
        <f t="shared" si="34"/>
        <v>#REF!</v>
      </c>
      <c r="K770" s="307"/>
      <c r="L770" s="310">
        <v>42408</v>
      </c>
      <c r="M770" s="309" t="s">
        <v>15</v>
      </c>
      <c r="N770" s="254" t="s">
        <v>342</v>
      </c>
      <c r="O770" s="266" t="s">
        <v>1642</v>
      </c>
    </row>
    <row r="771" spans="1:15" ht="47.25">
      <c r="A771" s="178" t="s">
        <v>96</v>
      </c>
      <c r="B771" s="16" t="s">
        <v>863</v>
      </c>
      <c r="C771" s="39" t="s">
        <v>17</v>
      </c>
      <c r="D771" s="255"/>
      <c r="E771" s="325" t="e">
        <f>#REF!</f>
        <v>#REF!</v>
      </c>
      <c r="F771" s="325" t="e">
        <f>#REF!</f>
        <v>#REF!</v>
      </c>
      <c r="G771" s="325" t="e">
        <f>#REF!</f>
        <v>#REF!</v>
      </c>
      <c r="H771" s="325" t="e">
        <f t="shared" si="33"/>
        <v>#REF!</v>
      </c>
      <c r="I771" s="260"/>
      <c r="J771" s="265" t="e">
        <f t="shared" si="34"/>
        <v>#REF!</v>
      </c>
      <c r="K771" s="294"/>
      <c r="L771" s="271"/>
      <c r="M771" s="264"/>
      <c r="N771" s="260"/>
      <c r="O771" s="260"/>
    </row>
    <row r="772" spans="1:15" ht="30">
      <c r="A772" s="178" t="s">
        <v>96</v>
      </c>
      <c r="B772" s="16" t="e">
        <f>+UPPER(#REF!)</f>
        <v>#REF!</v>
      </c>
      <c r="C772" s="39" t="s">
        <v>17</v>
      </c>
      <c r="D772" s="255"/>
      <c r="E772" s="325" t="e">
        <f>#REF!</f>
        <v>#REF!</v>
      </c>
      <c r="F772" s="325" t="e">
        <f>#REF!</f>
        <v>#REF!</v>
      </c>
      <c r="G772" s="325" t="e">
        <f>#REF!</f>
        <v>#REF!</v>
      </c>
      <c r="H772" s="325" t="e">
        <f t="shared" si="33"/>
        <v>#REF!</v>
      </c>
      <c r="I772" s="261"/>
      <c r="J772" s="265" t="e">
        <f t="shared" si="34"/>
        <v>#REF!</v>
      </c>
      <c r="K772" s="295"/>
      <c r="L772" s="270"/>
      <c r="M772" s="263"/>
      <c r="N772" s="261"/>
      <c r="O772" s="260"/>
    </row>
    <row r="773" spans="1:15" ht="30">
      <c r="A773" s="178" t="s">
        <v>96</v>
      </c>
      <c r="B773" s="16" t="e">
        <f>+UPPER(#REF!)</f>
        <v>#REF!</v>
      </c>
      <c r="C773" s="39" t="s">
        <v>17</v>
      </c>
      <c r="D773" s="255"/>
      <c r="E773" s="325" t="e">
        <f>#REF!</f>
        <v>#REF!</v>
      </c>
      <c r="F773" s="325" t="e">
        <f>#REF!</f>
        <v>#REF!</v>
      </c>
      <c r="G773" s="325" t="e">
        <f>#REF!</f>
        <v>#REF!</v>
      </c>
      <c r="H773" s="325" t="e">
        <f t="shared" si="33"/>
        <v>#REF!</v>
      </c>
      <c r="I773" s="260"/>
      <c r="J773" s="265" t="e">
        <f t="shared" si="34"/>
        <v>#REF!</v>
      </c>
      <c r="K773" s="294"/>
      <c r="L773" s="271"/>
      <c r="M773" s="264"/>
      <c r="N773" s="260"/>
      <c r="O773" s="260"/>
    </row>
    <row r="774" spans="1:15" ht="30">
      <c r="A774" s="178" t="s">
        <v>96</v>
      </c>
      <c r="B774" s="73" t="e">
        <f>+UPPER(#REF!)</f>
        <v>#REF!</v>
      </c>
      <c r="C774" s="39" t="s">
        <v>17</v>
      </c>
      <c r="D774" s="255"/>
      <c r="E774" s="325" t="e">
        <f>#REF!</f>
        <v>#REF!</v>
      </c>
      <c r="F774" s="325" t="e">
        <f>#REF!</f>
        <v>#REF!</v>
      </c>
      <c r="G774" s="325" t="e">
        <f>#REF!</f>
        <v>#REF!</v>
      </c>
      <c r="H774" s="325" t="e">
        <f t="shared" si="33"/>
        <v>#REF!</v>
      </c>
      <c r="I774" s="261"/>
      <c r="J774" s="265" t="e">
        <f t="shared" si="34"/>
        <v>#REF!</v>
      </c>
      <c r="K774" s="295"/>
      <c r="L774" s="270"/>
      <c r="M774" s="263"/>
      <c r="N774" s="261"/>
      <c r="O774" s="260"/>
    </row>
    <row r="775" spans="1:15" ht="30">
      <c r="A775" s="178" t="s">
        <v>96</v>
      </c>
      <c r="B775" s="73" t="e">
        <f>+UPPER(#REF!)</f>
        <v>#REF!</v>
      </c>
      <c r="C775" s="39" t="s">
        <v>17</v>
      </c>
      <c r="D775" s="255"/>
      <c r="E775" s="325" t="e">
        <f>#REF!</f>
        <v>#REF!</v>
      </c>
      <c r="F775" s="325" t="e">
        <f>#REF!</f>
        <v>#REF!</v>
      </c>
      <c r="G775" s="325" t="e">
        <f>#REF!</f>
        <v>#REF!</v>
      </c>
      <c r="H775" s="325" t="e">
        <f t="shared" si="33"/>
        <v>#REF!</v>
      </c>
      <c r="I775" s="260"/>
      <c r="J775" s="265" t="e">
        <f t="shared" si="34"/>
        <v>#REF!</v>
      </c>
      <c r="K775" s="294"/>
      <c r="L775" s="271"/>
      <c r="M775" s="264"/>
      <c r="N775" s="260"/>
      <c r="O775" s="260"/>
    </row>
    <row r="776" spans="1:15" ht="38.25">
      <c r="A776" s="178" t="s">
        <v>96</v>
      </c>
      <c r="B776" s="77" t="s">
        <v>864</v>
      </c>
      <c r="C776" s="39" t="s">
        <v>17</v>
      </c>
      <c r="D776" s="255"/>
      <c r="E776" s="325" t="e">
        <f>#REF!</f>
        <v>#REF!</v>
      </c>
      <c r="F776" s="325" t="e">
        <f>#REF!</f>
        <v>#REF!</v>
      </c>
      <c r="G776" s="325" t="e">
        <f>#REF!</f>
        <v>#REF!</v>
      </c>
      <c r="H776" s="325" t="e">
        <f t="shared" si="33"/>
        <v>#REF!</v>
      </c>
      <c r="I776" s="261"/>
      <c r="J776" s="265" t="e">
        <f t="shared" si="34"/>
        <v>#REF!</v>
      </c>
      <c r="K776" s="295"/>
      <c r="L776" s="270"/>
      <c r="M776" s="263"/>
      <c r="N776" s="261"/>
      <c r="O776" s="260"/>
    </row>
    <row r="777" spans="1:15" ht="38.25">
      <c r="A777" s="178" t="s">
        <v>96</v>
      </c>
      <c r="B777" s="75" t="s">
        <v>865</v>
      </c>
      <c r="C777" s="39" t="s">
        <v>17</v>
      </c>
      <c r="D777" s="255"/>
      <c r="E777" s="325" t="e">
        <f>#REF!</f>
        <v>#REF!</v>
      </c>
      <c r="F777" s="325" t="e">
        <f>#REF!</f>
        <v>#REF!</v>
      </c>
      <c r="G777" s="325" t="e">
        <f>#REF!</f>
        <v>#REF!</v>
      </c>
      <c r="H777" s="325" t="e">
        <f t="shared" si="33"/>
        <v>#REF!</v>
      </c>
      <c r="I777" s="260"/>
      <c r="J777" s="265" t="e">
        <f t="shared" si="34"/>
        <v>#REF!</v>
      </c>
      <c r="K777" s="294"/>
      <c r="L777" s="271"/>
      <c r="M777" s="264"/>
      <c r="N777" s="260"/>
      <c r="O777" s="260"/>
    </row>
    <row r="778" spans="1:15" ht="38.25">
      <c r="A778" s="178" t="s">
        <v>96</v>
      </c>
      <c r="B778" s="75" t="s">
        <v>866</v>
      </c>
      <c r="C778" s="39" t="s">
        <v>17</v>
      </c>
      <c r="D778" s="255"/>
      <c r="E778" s="325" t="e">
        <f>#REF!</f>
        <v>#REF!</v>
      </c>
      <c r="F778" s="325" t="e">
        <f>#REF!</f>
        <v>#REF!</v>
      </c>
      <c r="G778" s="325" t="e">
        <f>#REF!</f>
        <v>#REF!</v>
      </c>
      <c r="H778" s="325" t="e">
        <f t="shared" si="33"/>
        <v>#REF!</v>
      </c>
      <c r="I778" s="261"/>
      <c r="J778" s="265" t="e">
        <f t="shared" si="34"/>
        <v>#REF!</v>
      </c>
      <c r="K778" s="295"/>
      <c r="L778" s="270"/>
      <c r="M778" s="263"/>
      <c r="N778" s="261"/>
      <c r="O778" s="260"/>
    </row>
    <row r="779" spans="1:15" ht="30">
      <c r="A779" s="178" t="s">
        <v>96</v>
      </c>
      <c r="B779" s="16" t="e">
        <f>+UPPER(#REF!)</f>
        <v>#REF!</v>
      </c>
      <c r="C779" s="39" t="s">
        <v>17</v>
      </c>
      <c r="D779" s="255"/>
      <c r="E779" s="325" t="e">
        <f>#REF!</f>
        <v>#REF!</v>
      </c>
      <c r="F779" s="325" t="e">
        <f>#REF!</f>
        <v>#REF!</v>
      </c>
      <c r="G779" s="325" t="e">
        <f>#REF!</f>
        <v>#REF!</v>
      </c>
      <c r="H779" s="325" t="e">
        <f t="shared" si="33"/>
        <v>#REF!</v>
      </c>
      <c r="I779" s="260"/>
      <c r="J779" s="265" t="e">
        <f t="shared" si="34"/>
        <v>#REF!</v>
      </c>
      <c r="K779" s="294"/>
      <c r="L779" s="271"/>
      <c r="M779" s="264"/>
      <c r="N779" s="260"/>
      <c r="O779" s="260"/>
    </row>
    <row r="780" spans="1:15" ht="38.25">
      <c r="A780" s="178" t="s">
        <v>96</v>
      </c>
      <c r="B780" s="75" t="s">
        <v>867</v>
      </c>
      <c r="C780" s="39" t="s">
        <v>17</v>
      </c>
      <c r="D780" s="255"/>
      <c r="E780" s="325" t="e">
        <f>#REF!</f>
        <v>#REF!</v>
      </c>
      <c r="F780" s="325" t="e">
        <f>#REF!</f>
        <v>#REF!</v>
      </c>
      <c r="G780" s="325" t="e">
        <f>#REF!</f>
        <v>#REF!</v>
      </c>
      <c r="H780" s="325" t="e">
        <f t="shared" si="33"/>
        <v>#REF!</v>
      </c>
      <c r="I780" s="261"/>
      <c r="J780" s="265" t="e">
        <f t="shared" si="34"/>
        <v>#REF!</v>
      </c>
      <c r="K780" s="295"/>
      <c r="L780" s="270"/>
      <c r="M780" s="263"/>
      <c r="N780" s="261"/>
      <c r="O780" s="260"/>
    </row>
    <row r="781" spans="1:15" ht="38.25">
      <c r="A781" s="178" t="s">
        <v>96</v>
      </c>
      <c r="B781" s="75" t="s">
        <v>871</v>
      </c>
      <c r="C781" s="39" t="s">
        <v>17</v>
      </c>
      <c r="D781" s="255"/>
      <c r="E781" s="325" t="e">
        <f>#REF!</f>
        <v>#REF!</v>
      </c>
      <c r="F781" s="325" t="e">
        <f>#REF!</f>
        <v>#REF!</v>
      </c>
      <c r="G781" s="325" t="e">
        <f>#REF!</f>
        <v>#REF!</v>
      </c>
      <c r="H781" s="325" t="e">
        <f t="shared" si="33"/>
        <v>#REF!</v>
      </c>
      <c r="I781" s="260"/>
      <c r="J781" s="265" t="e">
        <f t="shared" si="34"/>
        <v>#REF!</v>
      </c>
      <c r="K781" s="294"/>
      <c r="L781" s="271"/>
      <c r="M781" s="264"/>
      <c r="N781" s="260"/>
      <c r="O781" s="260"/>
    </row>
    <row r="782" spans="1:15" ht="38.25">
      <c r="A782" s="178" t="s">
        <v>96</v>
      </c>
      <c r="B782" s="75" t="s">
        <v>872</v>
      </c>
      <c r="C782" s="39" t="s">
        <v>17</v>
      </c>
      <c r="D782" s="255"/>
      <c r="E782" s="325" t="e">
        <f>#REF!</f>
        <v>#REF!</v>
      </c>
      <c r="F782" s="325" t="e">
        <f>#REF!</f>
        <v>#REF!</v>
      </c>
      <c r="G782" s="325" t="e">
        <f>#REF!</f>
        <v>#REF!</v>
      </c>
      <c r="H782" s="325" t="e">
        <f t="shared" si="33"/>
        <v>#REF!</v>
      </c>
      <c r="I782" s="261"/>
      <c r="J782" s="265" t="e">
        <f t="shared" si="34"/>
        <v>#REF!</v>
      </c>
      <c r="K782" s="295"/>
      <c r="L782" s="270"/>
      <c r="M782" s="263"/>
      <c r="N782" s="261"/>
      <c r="O782" s="260"/>
    </row>
    <row r="783" spans="1:15" ht="38.25">
      <c r="A783" s="178" t="s">
        <v>96</v>
      </c>
      <c r="B783" s="75" t="s">
        <v>873</v>
      </c>
      <c r="C783" s="39" t="s">
        <v>17</v>
      </c>
      <c r="D783" s="255"/>
      <c r="E783" s="325" t="e">
        <f>#REF!</f>
        <v>#REF!</v>
      </c>
      <c r="F783" s="325" t="e">
        <f>#REF!</f>
        <v>#REF!</v>
      </c>
      <c r="G783" s="325" t="e">
        <f>#REF!</f>
        <v>#REF!</v>
      </c>
      <c r="H783" s="325" t="e">
        <f t="shared" si="33"/>
        <v>#REF!</v>
      </c>
      <c r="I783" s="260"/>
      <c r="J783" s="265" t="e">
        <f t="shared" si="34"/>
        <v>#REF!</v>
      </c>
      <c r="K783" s="294"/>
      <c r="L783" s="271"/>
      <c r="M783" s="264"/>
      <c r="N783" s="260"/>
      <c r="O783" s="260"/>
    </row>
    <row r="784" spans="1:15" ht="30">
      <c r="A784" s="178" t="s">
        <v>96</v>
      </c>
      <c r="B784" s="75" t="s">
        <v>1437</v>
      </c>
      <c r="C784" s="39" t="s">
        <v>1438</v>
      </c>
      <c r="D784" s="255">
        <v>1</v>
      </c>
      <c r="E784" s="325" t="e">
        <f>#REF!</f>
        <v>#REF!</v>
      </c>
      <c r="F784" s="325" t="e">
        <f>#REF!</f>
        <v>#REF!</v>
      </c>
      <c r="G784" s="325" t="e">
        <f>#REF!</f>
        <v>#REF!</v>
      </c>
      <c r="H784" s="325" t="e">
        <f t="shared" ref="H784:H851" si="35">G784+F784+E784+D784</f>
        <v>#REF!</v>
      </c>
      <c r="I784" s="265">
        <v>554145.56999999995</v>
      </c>
      <c r="J784" s="265" t="e">
        <f t="shared" si="34"/>
        <v>#REF!</v>
      </c>
      <c r="K784" s="307"/>
      <c r="L784" s="310">
        <v>42388</v>
      </c>
      <c r="M784" s="309" t="s">
        <v>15</v>
      </c>
      <c r="N784" s="265"/>
      <c r="O784" s="266" t="s">
        <v>1644</v>
      </c>
    </row>
    <row r="785" spans="1:15" ht="30">
      <c r="A785" s="178" t="s">
        <v>96</v>
      </c>
      <c r="B785" s="75" t="s">
        <v>1450</v>
      </c>
      <c r="C785" s="39" t="s">
        <v>17</v>
      </c>
      <c r="D785" s="255"/>
      <c r="E785" s="325" t="e">
        <f>#REF!</f>
        <v>#REF!</v>
      </c>
      <c r="F785" s="325" t="e">
        <f>#REF!</f>
        <v>#REF!</v>
      </c>
      <c r="G785" s="325" t="e">
        <f>#REF!</f>
        <v>#REF!</v>
      </c>
      <c r="H785" s="325" t="e">
        <f t="shared" si="35"/>
        <v>#REF!</v>
      </c>
      <c r="I785" s="266"/>
      <c r="J785" s="265" t="e">
        <f t="shared" si="34"/>
        <v>#REF!</v>
      </c>
      <c r="K785" s="306"/>
      <c r="L785" s="280"/>
      <c r="M785" s="309"/>
      <c r="N785" s="266"/>
      <c r="O785" s="266"/>
    </row>
    <row r="786" spans="1:15" ht="31.5">
      <c r="A786" s="178" t="s">
        <v>96</v>
      </c>
      <c r="B786" s="75" t="s">
        <v>1524</v>
      </c>
      <c r="C786" s="39" t="s">
        <v>17</v>
      </c>
      <c r="D786" s="255">
        <v>1</v>
      </c>
      <c r="E786" s="325" t="e">
        <f>#REF!</f>
        <v>#REF!</v>
      </c>
      <c r="F786" s="325" t="e">
        <f>#REF!</f>
        <v>#REF!</v>
      </c>
      <c r="G786" s="325" t="e">
        <f>#REF!</f>
        <v>#REF!</v>
      </c>
      <c r="H786" s="325" t="e">
        <f t="shared" si="35"/>
        <v>#REF!</v>
      </c>
      <c r="I786" s="265">
        <v>36179</v>
      </c>
      <c r="J786" s="265" t="e">
        <f t="shared" si="34"/>
        <v>#REF!</v>
      </c>
      <c r="K786" s="307"/>
      <c r="L786" s="310">
        <v>42386</v>
      </c>
      <c r="M786" s="308" t="s">
        <v>1663</v>
      </c>
      <c r="N786" s="265"/>
      <c r="O786" s="266" t="s">
        <v>1642</v>
      </c>
    </row>
    <row r="787" spans="1:15" ht="30">
      <c r="A787" s="178" t="s">
        <v>96</v>
      </c>
      <c r="B787" s="75" t="s">
        <v>1728</v>
      </c>
      <c r="C787" s="39" t="s">
        <v>17</v>
      </c>
      <c r="D787" s="255">
        <v>16</v>
      </c>
      <c r="E787" s="325" t="e">
        <f>#REF!</f>
        <v>#REF!</v>
      </c>
      <c r="F787" s="325" t="e">
        <f>#REF!</f>
        <v>#REF!</v>
      </c>
      <c r="G787" s="325" t="e">
        <f>#REF!</f>
        <v>#REF!</v>
      </c>
      <c r="H787" s="325" t="e">
        <f t="shared" si="35"/>
        <v>#REF!</v>
      </c>
      <c r="I787" s="265">
        <v>10873</v>
      </c>
      <c r="J787" s="265" t="e">
        <f t="shared" ref="J787:J796" si="36">I787*H787</f>
        <v>#REF!</v>
      </c>
      <c r="K787" s="307"/>
      <c r="L787" s="310">
        <v>42383</v>
      </c>
      <c r="M787" s="309" t="s">
        <v>15</v>
      </c>
      <c r="N787" s="265"/>
      <c r="O787" s="266" t="s">
        <v>1642</v>
      </c>
    </row>
    <row r="788" spans="1:15" ht="51">
      <c r="A788" s="178" t="s">
        <v>96</v>
      </c>
      <c r="B788" s="75" t="s">
        <v>1525</v>
      </c>
      <c r="C788" s="39" t="s">
        <v>17</v>
      </c>
      <c r="D788" s="255">
        <v>9</v>
      </c>
      <c r="E788" s="325" t="e">
        <f>#REF!</f>
        <v>#REF!</v>
      </c>
      <c r="F788" s="325" t="e">
        <f>#REF!</f>
        <v>#REF!</v>
      </c>
      <c r="G788" s="325" t="e">
        <f>#REF!</f>
        <v>#REF!</v>
      </c>
      <c r="H788" s="325" t="e">
        <f t="shared" si="35"/>
        <v>#REF!</v>
      </c>
      <c r="I788" s="266">
        <v>155636</v>
      </c>
      <c r="J788" s="265" t="e">
        <f t="shared" si="36"/>
        <v>#REF!</v>
      </c>
      <c r="K788" s="306"/>
      <c r="L788" s="280">
        <v>42383</v>
      </c>
      <c r="M788" s="308" t="s">
        <v>1645</v>
      </c>
      <c r="N788" s="265"/>
      <c r="O788" s="266" t="s">
        <v>1642</v>
      </c>
    </row>
    <row r="789" spans="1:15" ht="31.5">
      <c r="A789" s="178" t="s">
        <v>96</v>
      </c>
      <c r="B789" s="75" t="s">
        <v>1523</v>
      </c>
      <c r="C789" s="39" t="s">
        <v>17</v>
      </c>
      <c r="D789" s="255">
        <v>12</v>
      </c>
      <c r="E789" s="325" t="e">
        <f>#REF!</f>
        <v>#REF!</v>
      </c>
      <c r="F789" s="325" t="e">
        <f>#REF!</f>
        <v>#REF!</v>
      </c>
      <c r="G789" s="325" t="e">
        <f>#REF!</f>
        <v>#REF!</v>
      </c>
      <c r="H789" s="325" t="e">
        <f t="shared" si="35"/>
        <v>#REF!</v>
      </c>
      <c r="I789" s="265">
        <v>10200</v>
      </c>
      <c r="J789" s="265" t="e">
        <f t="shared" si="36"/>
        <v>#REF!</v>
      </c>
      <c r="K789" s="307"/>
      <c r="L789" s="280">
        <v>42383</v>
      </c>
      <c r="M789" s="308" t="s">
        <v>1663</v>
      </c>
      <c r="N789" s="265"/>
      <c r="O789" s="266" t="s">
        <v>1642</v>
      </c>
    </row>
    <row r="790" spans="1:15" ht="30">
      <c r="A790" s="178" t="s">
        <v>96</v>
      </c>
      <c r="B790" s="75" t="s">
        <v>1758</v>
      </c>
      <c r="C790" s="39" t="s">
        <v>17</v>
      </c>
      <c r="D790" s="255">
        <v>2</v>
      </c>
      <c r="E790" s="325">
        <v>0</v>
      </c>
      <c r="F790" s="325">
        <v>0</v>
      </c>
      <c r="G790" s="325">
        <v>0</v>
      </c>
      <c r="H790" s="325">
        <f>G790+F790+E7878+E790+D790</f>
        <v>2</v>
      </c>
      <c r="I790" s="265">
        <v>22800</v>
      </c>
      <c r="J790" s="265">
        <f t="shared" si="36"/>
        <v>45600</v>
      </c>
      <c r="K790" s="307"/>
      <c r="L790" s="280">
        <v>42451</v>
      </c>
      <c r="M790" s="309" t="s">
        <v>15</v>
      </c>
      <c r="N790" s="265"/>
      <c r="O790" s="266" t="s">
        <v>1642</v>
      </c>
    </row>
    <row r="791" spans="1:15" ht="30">
      <c r="A791" s="178" t="s">
        <v>96</v>
      </c>
      <c r="B791" s="75" t="s">
        <v>1510</v>
      </c>
      <c r="C791" s="39" t="s">
        <v>17</v>
      </c>
      <c r="D791" s="255"/>
      <c r="E791" s="325" t="e">
        <f>#REF!</f>
        <v>#REF!</v>
      </c>
      <c r="F791" s="325" t="e">
        <f>#REF!</f>
        <v>#REF!</v>
      </c>
      <c r="G791" s="325" t="e">
        <f>#REF!</f>
        <v>#REF!</v>
      </c>
      <c r="H791" s="325" t="e">
        <f t="shared" si="35"/>
        <v>#REF!</v>
      </c>
      <c r="I791" s="266"/>
      <c r="J791" s="265" t="e">
        <f t="shared" si="36"/>
        <v>#REF!</v>
      </c>
      <c r="K791" s="306"/>
      <c r="L791" s="280"/>
      <c r="M791" s="309"/>
      <c r="N791" s="266"/>
      <c r="O791" s="266"/>
    </row>
    <row r="792" spans="1:15" ht="30">
      <c r="A792" s="178" t="s">
        <v>96</v>
      </c>
      <c r="B792" s="75" t="s">
        <v>1611</v>
      </c>
      <c r="C792" s="39" t="s">
        <v>17</v>
      </c>
      <c r="D792" s="255"/>
      <c r="E792" s="325" t="e">
        <f>#REF!</f>
        <v>#REF!</v>
      </c>
      <c r="F792" s="325" t="e">
        <f>#REF!</f>
        <v>#REF!</v>
      </c>
      <c r="G792" s="325" t="e">
        <f>#REF!</f>
        <v>#REF!</v>
      </c>
      <c r="H792" s="325" t="e">
        <f t="shared" si="35"/>
        <v>#REF!</v>
      </c>
      <c r="I792" s="265"/>
      <c r="J792" s="265" t="e">
        <f t="shared" si="36"/>
        <v>#REF!</v>
      </c>
      <c r="K792" s="307"/>
      <c r="L792" s="310"/>
      <c r="M792" s="308"/>
      <c r="N792" s="265"/>
      <c r="O792" s="266"/>
    </row>
    <row r="793" spans="1:15" ht="31.5">
      <c r="A793" s="178" t="s">
        <v>96</v>
      </c>
      <c r="B793" s="75" t="s">
        <v>1714</v>
      </c>
      <c r="C793" s="39" t="s">
        <v>17</v>
      </c>
      <c r="D793" s="255">
        <v>1</v>
      </c>
      <c r="E793" s="325" t="e">
        <f>#REF!</f>
        <v>#REF!</v>
      </c>
      <c r="F793" s="325" t="e">
        <f>#REF!</f>
        <v>#REF!</v>
      </c>
      <c r="G793" s="325" t="e">
        <f>#REF!</f>
        <v>#REF!</v>
      </c>
      <c r="H793" s="325" t="e">
        <f t="shared" si="35"/>
        <v>#REF!</v>
      </c>
      <c r="I793" s="265">
        <v>55500</v>
      </c>
      <c r="J793" s="265" t="e">
        <f t="shared" si="36"/>
        <v>#REF!</v>
      </c>
      <c r="K793" s="307"/>
      <c r="L793" s="310">
        <v>42383</v>
      </c>
      <c r="M793" s="308" t="s">
        <v>1663</v>
      </c>
      <c r="N793" s="265"/>
      <c r="O793" s="266" t="s">
        <v>1642</v>
      </c>
    </row>
    <row r="794" spans="1:15" ht="31.5">
      <c r="A794" s="178" t="s">
        <v>96</v>
      </c>
      <c r="B794" s="75" t="s">
        <v>1744</v>
      </c>
      <c r="C794" s="39" t="s">
        <v>17</v>
      </c>
      <c r="D794" s="255">
        <v>2</v>
      </c>
      <c r="E794" s="325">
        <v>0</v>
      </c>
      <c r="F794" s="325">
        <v>0</v>
      </c>
      <c r="G794" s="325">
        <v>0</v>
      </c>
      <c r="H794" s="325">
        <f>G794+F794+E794+D794</f>
        <v>2</v>
      </c>
      <c r="I794" s="265">
        <v>6950</v>
      </c>
      <c r="J794" s="265">
        <f t="shared" si="36"/>
        <v>13900</v>
      </c>
      <c r="K794" s="307"/>
      <c r="L794" s="310">
        <v>42340</v>
      </c>
      <c r="M794" s="308" t="s">
        <v>1663</v>
      </c>
      <c r="N794" s="265"/>
      <c r="O794" s="266" t="s">
        <v>1642</v>
      </c>
    </row>
    <row r="795" spans="1:15" ht="30">
      <c r="A795" s="178" t="s">
        <v>96</v>
      </c>
      <c r="B795" s="75" t="s">
        <v>1521</v>
      </c>
      <c r="C795" s="39" t="s">
        <v>17</v>
      </c>
      <c r="D795" s="255"/>
      <c r="E795" s="325" t="e">
        <f>#REF!</f>
        <v>#REF!</v>
      </c>
      <c r="F795" s="325" t="e">
        <f>#REF!</f>
        <v>#REF!</v>
      </c>
      <c r="G795" s="325" t="e">
        <f>#REF!</f>
        <v>#REF!</v>
      </c>
      <c r="H795" s="325" t="e">
        <f t="shared" si="35"/>
        <v>#REF!</v>
      </c>
      <c r="I795" s="260"/>
      <c r="J795" s="265" t="e">
        <f t="shared" si="36"/>
        <v>#REF!</v>
      </c>
      <c r="K795" s="294"/>
      <c r="L795" s="271"/>
      <c r="M795" s="264"/>
      <c r="N795" s="260"/>
      <c r="O795" s="260"/>
    </row>
    <row r="796" spans="1:15" ht="30">
      <c r="A796" s="178" t="s">
        <v>96</v>
      </c>
      <c r="B796" s="75" t="s">
        <v>1522</v>
      </c>
      <c r="C796" s="39" t="s">
        <v>17</v>
      </c>
      <c r="D796" s="255"/>
      <c r="E796" s="325" t="e">
        <f>#REF!</f>
        <v>#REF!</v>
      </c>
      <c r="F796" s="325" t="e">
        <f>#REF!</f>
        <v>#REF!</v>
      </c>
      <c r="G796" s="325" t="e">
        <f>#REF!</f>
        <v>#REF!</v>
      </c>
      <c r="H796" s="325" t="e">
        <f t="shared" si="35"/>
        <v>#REF!</v>
      </c>
      <c r="I796" s="261"/>
      <c r="J796" s="265" t="e">
        <f t="shared" si="36"/>
        <v>#REF!</v>
      </c>
      <c r="K796" s="295"/>
      <c r="L796" s="270"/>
      <c r="M796" s="263"/>
      <c r="N796" s="261"/>
      <c r="O796" s="260"/>
    </row>
    <row r="797" spans="1:15" ht="31.5">
      <c r="A797" s="287" t="s">
        <v>96</v>
      </c>
      <c r="B797" s="76"/>
      <c r="C797" s="42"/>
      <c r="D797" s="76"/>
      <c r="E797" s="76"/>
      <c r="F797" s="76"/>
      <c r="G797" s="76"/>
      <c r="H797" s="76"/>
      <c r="I797" s="76"/>
      <c r="J797" s="76"/>
      <c r="K797" s="293" t="e">
        <f>SUM(J594:J796)</f>
        <v>#REF!</v>
      </c>
      <c r="L797" s="284"/>
      <c r="M797" s="76"/>
      <c r="N797" s="76"/>
      <c r="O797" s="76"/>
    </row>
    <row r="798" spans="1:15" ht="31.5">
      <c r="A798" s="178" t="s">
        <v>97</v>
      </c>
      <c r="B798" s="75" t="s">
        <v>1655</v>
      </c>
      <c r="C798" s="39" t="s">
        <v>17</v>
      </c>
      <c r="D798" s="255">
        <v>2</v>
      </c>
      <c r="E798" s="325" t="e">
        <f>#REF!</f>
        <v>#REF!</v>
      </c>
      <c r="F798" s="325" t="e">
        <f>#REF!</f>
        <v>#REF!</v>
      </c>
      <c r="G798" s="325" t="e">
        <f>#REF!</f>
        <v>#REF!</v>
      </c>
      <c r="H798" s="325" t="e">
        <f t="shared" si="35"/>
        <v>#REF!</v>
      </c>
      <c r="I798" s="265">
        <v>15000</v>
      </c>
      <c r="J798" s="265">
        <f>I798*D798</f>
        <v>30000</v>
      </c>
      <c r="K798" s="307"/>
      <c r="L798" s="323">
        <v>42422</v>
      </c>
      <c r="M798" s="308" t="s">
        <v>1663</v>
      </c>
      <c r="N798" s="254" t="s">
        <v>342</v>
      </c>
      <c r="O798" s="266" t="s">
        <v>1642</v>
      </c>
    </row>
    <row r="799" spans="1:15" ht="31.5">
      <c r="A799" s="178" t="s">
        <v>97</v>
      </c>
      <c r="B799" s="75" t="s">
        <v>1681</v>
      </c>
      <c r="C799" s="39" t="s">
        <v>17</v>
      </c>
      <c r="D799" s="255">
        <v>1</v>
      </c>
      <c r="E799" s="325" t="e">
        <f>#REF!</f>
        <v>#REF!</v>
      </c>
      <c r="F799" s="325" t="e">
        <f>#REF!</f>
        <v>#REF!</v>
      </c>
      <c r="G799" s="325" t="e">
        <f>#REF!</f>
        <v>#REF!</v>
      </c>
      <c r="H799" s="325" t="e">
        <f t="shared" si="35"/>
        <v>#REF!</v>
      </c>
      <c r="I799" s="265">
        <v>7000</v>
      </c>
      <c r="J799" s="265">
        <f>I799*D799</f>
        <v>7000</v>
      </c>
      <c r="K799" s="307"/>
      <c r="L799" s="323">
        <v>42383</v>
      </c>
      <c r="M799" s="308" t="s">
        <v>1663</v>
      </c>
      <c r="N799" s="254" t="s">
        <v>342</v>
      </c>
      <c r="O799" s="266" t="s">
        <v>1642</v>
      </c>
    </row>
    <row r="800" spans="1:15" ht="17.25">
      <c r="A800" s="178" t="s">
        <v>97</v>
      </c>
      <c r="B800" s="75" t="s">
        <v>227</v>
      </c>
      <c r="C800" s="39" t="s">
        <v>17</v>
      </c>
      <c r="D800" s="255"/>
      <c r="E800" s="325" t="e">
        <f>#REF!</f>
        <v>#REF!</v>
      </c>
      <c r="F800" s="325" t="e">
        <f>#REF!</f>
        <v>#REF!</v>
      </c>
      <c r="G800" s="325" t="e">
        <f>#REF!</f>
        <v>#REF!</v>
      </c>
      <c r="H800" s="325" t="e">
        <f t="shared" si="35"/>
        <v>#REF!</v>
      </c>
      <c r="I800" s="261"/>
      <c r="J800" s="265" t="e">
        <f>I800*H800</f>
        <v>#REF!</v>
      </c>
      <c r="K800" s="295"/>
      <c r="L800" s="270"/>
      <c r="M800" s="263"/>
      <c r="N800" s="261"/>
      <c r="O800" s="260"/>
    </row>
    <row r="801" spans="1:15" ht="17.25">
      <c r="A801" s="178" t="s">
        <v>97</v>
      </c>
      <c r="B801" s="75" t="s">
        <v>1235</v>
      </c>
      <c r="C801" s="39" t="s">
        <v>17</v>
      </c>
      <c r="D801" s="255"/>
      <c r="E801" s="325" t="e">
        <f>#REF!</f>
        <v>#REF!</v>
      </c>
      <c r="F801" s="325" t="e">
        <f>#REF!</f>
        <v>#REF!</v>
      </c>
      <c r="G801" s="325" t="e">
        <f>#REF!</f>
        <v>#REF!</v>
      </c>
      <c r="H801" s="325" t="e">
        <f t="shared" si="35"/>
        <v>#REF!</v>
      </c>
      <c r="I801" s="260"/>
      <c r="J801" s="265" t="e">
        <f>I801*H801</f>
        <v>#REF!</v>
      </c>
      <c r="K801" s="294"/>
      <c r="L801" s="271"/>
      <c r="M801" s="264"/>
      <c r="N801" s="260"/>
      <c r="O801" s="260"/>
    </row>
    <row r="802" spans="1:15" ht="17.25">
      <c r="A802" s="178" t="s">
        <v>97</v>
      </c>
      <c r="B802" s="75" t="s">
        <v>1236</v>
      </c>
      <c r="C802" s="39" t="s">
        <v>17</v>
      </c>
      <c r="D802" s="255"/>
      <c r="E802" s="325" t="e">
        <f>#REF!</f>
        <v>#REF!</v>
      </c>
      <c r="F802" s="325" t="e">
        <f>#REF!</f>
        <v>#REF!</v>
      </c>
      <c r="G802" s="325" t="e">
        <f>#REF!</f>
        <v>#REF!</v>
      </c>
      <c r="H802" s="325" t="e">
        <f t="shared" si="35"/>
        <v>#REF!</v>
      </c>
      <c r="I802" s="261"/>
      <c r="J802" s="265" t="e">
        <f>I802*H802</f>
        <v>#REF!</v>
      </c>
      <c r="K802" s="295"/>
      <c r="L802" s="270"/>
      <c r="M802" s="263"/>
      <c r="N802" s="261"/>
      <c r="O802" s="260"/>
    </row>
    <row r="803" spans="1:15" ht="17.25">
      <c r="A803" s="178" t="s">
        <v>97</v>
      </c>
      <c r="B803" s="75" t="s">
        <v>1334</v>
      </c>
      <c r="C803" s="39" t="s">
        <v>17</v>
      </c>
      <c r="D803" s="255"/>
      <c r="E803" s="325" t="e">
        <f>#REF!</f>
        <v>#REF!</v>
      </c>
      <c r="F803" s="325" t="e">
        <f>#REF!</f>
        <v>#REF!</v>
      </c>
      <c r="G803" s="325" t="e">
        <f>#REF!</f>
        <v>#REF!</v>
      </c>
      <c r="H803" s="325" t="e">
        <f t="shared" si="35"/>
        <v>#REF!</v>
      </c>
      <c r="I803" s="260"/>
      <c r="J803" s="265" t="e">
        <f>I803*H803</f>
        <v>#REF!</v>
      </c>
      <c r="K803" s="294"/>
      <c r="L803" s="271"/>
      <c r="M803" s="264"/>
      <c r="N803" s="260"/>
      <c r="O803" s="260"/>
    </row>
    <row r="804" spans="1:15" ht="17.25">
      <c r="A804" s="178" t="s">
        <v>97</v>
      </c>
      <c r="B804" s="75" t="s">
        <v>1237</v>
      </c>
      <c r="C804" s="39" t="s">
        <v>17</v>
      </c>
      <c r="D804" s="255"/>
      <c r="E804" s="325" t="e">
        <f>#REF!</f>
        <v>#REF!</v>
      </c>
      <c r="F804" s="325" t="e">
        <f>#REF!</f>
        <v>#REF!</v>
      </c>
      <c r="G804" s="325" t="e">
        <f>#REF!</f>
        <v>#REF!</v>
      </c>
      <c r="H804" s="325" t="e">
        <f t="shared" si="35"/>
        <v>#REF!</v>
      </c>
      <c r="I804" s="261"/>
      <c r="J804" s="265" t="e">
        <f>I804*H804</f>
        <v>#REF!</v>
      </c>
      <c r="K804" s="295"/>
      <c r="L804" s="270"/>
      <c r="M804" s="263"/>
      <c r="N804" s="261"/>
      <c r="O804" s="260"/>
    </row>
    <row r="805" spans="1:15" ht="31.5">
      <c r="A805" s="178" t="s">
        <v>97</v>
      </c>
      <c r="B805" s="75" t="s">
        <v>1713</v>
      </c>
      <c r="C805" s="39" t="s">
        <v>17</v>
      </c>
      <c r="D805" s="255">
        <v>5</v>
      </c>
      <c r="E805" s="325" t="e">
        <f>#REF!</f>
        <v>#REF!</v>
      </c>
      <c r="F805" s="325" t="e">
        <f>#REF!</f>
        <v>#REF!</v>
      </c>
      <c r="G805" s="325" t="e">
        <f>#REF!</f>
        <v>#REF!</v>
      </c>
      <c r="H805" s="325" t="e">
        <f t="shared" si="35"/>
        <v>#REF!</v>
      </c>
      <c r="I805" s="265">
        <v>1277</v>
      </c>
      <c r="J805" s="266">
        <f>I805*D805</f>
        <v>6385</v>
      </c>
      <c r="K805" s="307"/>
      <c r="L805" s="310">
        <v>42383</v>
      </c>
      <c r="M805" s="308" t="s">
        <v>1663</v>
      </c>
      <c r="N805" s="265"/>
      <c r="O805" s="266" t="s">
        <v>1642</v>
      </c>
    </row>
    <row r="806" spans="1:15" ht="17.25">
      <c r="A806" s="178" t="s">
        <v>97</v>
      </c>
      <c r="B806" s="75" t="s">
        <v>572</v>
      </c>
      <c r="C806" s="39" t="s">
        <v>17</v>
      </c>
      <c r="D806" s="255"/>
      <c r="E806" s="325" t="e">
        <f>#REF!</f>
        <v>#REF!</v>
      </c>
      <c r="F806" s="325" t="e">
        <f>#REF!</f>
        <v>#REF!</v>
      </c>
      <c r="G806" s="325" t="e">
        <f>#REF!</f>
        <v>#REF!</v>
      </c>
      <c r="H806" s="325" t="e">
        <f t="shared" si="35"/>
        <v>#REF!</v>
      </c>
      <c r="I806" s="266"/>
      <c r="J806" s="266" t="e">
        <f>I806*H806</f>
        <v>#REF!</v>
      </c>
      <c r="K806" s="306"/>
      <c r="L806" s="280"/>
      <c r="M806" s="309"/>
      <c r="N806" s="266"/>
      <c r="O806" s="266"/>
    </row>
    <row r="807" spans="1:15" ht="31.5">
      <c r="A807" s="178" t="s">
        <v>97</v>
      </c>
      <c r="B807" s="75" t="s">
        <v>1238</v>
      </c>
      <c r="C807" s="39" t="s">
        <v>17</v>
      </c>
      <c r="D807" s="255">
        <v>1</v>
      </c>
      <c r="E807" s="325" t="e">
        <f>#REF!</f>
        <v>#REF!</v>
      </c>
      <c r="F807" s="325" t="e">
        <f>#REF!</f>
        <v>#REF!</v>
      </c>
      <c r="G807" s="325" t="e">
        <f>#REF!</f>
        <v>#REF!</v>
      </c>
      <c r="H807" s="325" t="e">
        <f t="shared" si="35"/>
        <v>#REF!</v>
      </c>
      <c r="I807" s="265">
        <v>72000</v>
      </c>
      <c r="J807" s="266">
        <f>I807*D807</f>
        <v>72000</v>
      </c>
      <c r="K807" s="307"/>
      <c r="L807" s="310">
        <v>42383</v>
      </c>
      <c r="M807" s="308" t="s">
        <v>1663</v>
      </c>
      <c r="N807" s="265"/>
      <c r="O807" s="266" t="s">
        <v>1642</v>
      </c>
    </row>
    <row r="808" spans="1:15" ht="17.25">
      <c r="A808" s="178" t="s">
        <v>97</v>
      </c>
      <c r="B808" s="75" t="s">
        <v>1239</v>
      </c>
      <c r="C808" s="39" t="s">
        <v>17</v>
      </c>
      <c r="D808" s="255"/>
      <c r="E808" s="325" t="e">
        <f>#REF!</f>
        <v>#REF!</v>
      </c>
      <c r="F808" s="325" t="e">
        <f>#REF!</f>
        <v>#REF!</v>
      </c>
      <c r="G808" s="325" t="e">
        <f>#REF!</f>
        <v>#REF!</v>
      </c>
      <c r="H808" s="325" t="e">
        <f t="shared" si="35"/>
        <v>#REF!</v>
      </c>
      <c r="I808" s="260"/>
      <c r="J808" s="266" t="e">
        <f>I808*H808</f>
        <v>#REF!</v>
      </c>
      <c r="K808" s="294"/>
      <c r="L808" s="271"/>
      <c r="M808" s="264"/>
      <c r="N808" s="260"/>
      <c r="O808" s="260"/>
    </row>
    <row r="809" spans="1:15" ht="17.25">
      <c r="A809" s="178" t="s">
        <v>97</v>
      </c>
      <c r="B809" s="75" t="s">
        <v>220</v>
      </c>
      <c r="C809" s="39" t="s">
        <v>17</v>
      </c>
      <c r="D809" s="255"/>
      <c r="E809" s="325" t="e">
        <f>#REF!</f>
        <v>#REF!</v>
      </c>
      <c r="F809" s="325" t="e">
        <f>#REF!</f>
        <v>#REF!</v>
      </c>
      <c r="G809" s="325" t="e">
        <f>#REF!</f>
        <v>#REF!</v>
      </c>
      <c r="H809" s="325" t="e">
        <f t="shared" si="35"/>
        <v>#REF!</v>
      </c>
      <c r="I809" s="261"/>
      <c r="J809" s="266" t="e">
        <f>I809*H809</f>
        <v>#REF!</v>
      </c>
      <c r="K809" s="295"/>
      <c r="L809" s="270"/>
      <c r="M809" s="263"/>
      <c r="N809" s="261"/>
      <c r="O809" s="260"/>
    </row>
    <row r="810" spans="1:15" ht="17.25">
      <c r="A810" s="178" t="s">
        <v>97</v>
      </c>
      <c r="B810" s="75" t="s">
        <v>213</v>
      </c>
      <c r="C810" s="39" t="s">
        <v>17</v>
      </c>
      <c r="D810" s="255"/>
      <c r="E810" s="325" t="e">
        <f>#REF!</f>
        <v>#REF!</v>
      </c>
      <c r="F810" s="325" t="e">
        <f>#REF!</f>
        <v>#REF!</v>
      </c>
      <c r="G810" s="325" t="e">
        <f>#REF!</f>
        <v>#REF!</v>
      </c>
      <c r="H810" s="325" t="e">
        <f t="shared" si="35"/>
        <v>#REF!</v>
      </c>
      <c r="I810" s="260"/>
      <c r="J810" s="266" t="e">
        <f>I810*H810</f>
        <v>#REF!</v>
      </c>
      <c r="K810" s="294"/>
      <c r="L810" s="271"/>
      <c r="M810" s="264"/>
      <c r="N810" s="260"/>
      <c r="O810" s="260"/>
    </row>
    <row r="811" spans="1:15" ht="17.25">
      <c r="A811" s="178" t="s">
        <v>97</v>
      </c>
      <c r="B811" s="75" t="s">
        <v>226</v>
      </c>
      <c r="C811" s="39" t="s">
        <v>17</v>
      </c>
      <c r="D811" s="255"/>
      <c r="E811" s="325" t="e">
        <f>#REF!</f>
        <v>#REF!</v>
      </c>
      <c r="F811" s="325" t="e">
        <f>#REF!</f>
        <v>#REF!</v>
      </c>
      <c r="G811" s="325" t="e">
        <f>#REF!</f>
        <v>#REF!</v>
      </c>
      <c r="H811" s="325" t="e">
        <f t="shared" si="35"/>
        <v>#REF!</v>
      </c>
      <c r="I811" s="261"/>
      <c r="J811" s="266" t="e">
        <f>I811*H811</f>
        <v>#REF!</v>
      </c>
      <c r="K811" s="295"/>
      <c r="L811" s="270"/>
      <c r="M811" s="263"/>
      <c r="N811" s="261"/>
      <c r="O811" s="260"/>
    </row>
    <row r="812" spans="1:15" ht="25.5">
      <c r="A812" s="178" t="s">
        <v>97</v>
      </c>
      <c r="B812" s="75" t="s">
        <v>1696</v>
      </c>
      <c r="C812" s="39" t="s">
        <v>17</v>
      </c>
      <c r="D812" s="255">
        <v>1</v>
      </c>
      <c r="E812" s="325" t="e">
        <f>#REF!</f>
        <v>#REF!</v>
      </c>
      <c r="F812" s="325" t="e">
        <f>#REF!</f>
        <v>#REF!</v>
      </c>
      <c r="G812" s="325" t="e">
        <f>#REF!</f>
        <v>#REF!</v>
      </c>
      <c r="H812" s="325" t="e">
        <f t="shared" si="35"/>
        <v>#REF!</v>
      </c>
      <c r="I812" s="265">
        <v>157070</v>
      </c>
      <c r="J812" s="266">
        <f>I812*D812</f>
        <v>157070</v>
      </c>
      <c r="K812" s="307"/>
      <c r="L812" s="310">
        <v>42422</v>
      </c>
      <c r="M812" s="308" t="s">
        <v>15</v>
      </c>
      <c r="N812" s="254" t="s">
        <v>342</v>
      </c>
      <c r="O812" s="266" t="s">
        <v>1642</v>
      </c>
    </row>
    <row r="813" spans="1:15" ht="38.25">
      <c r="A813" s="178" t="s">
        <v>97</v>
      </c>
      <c r="B813" s="75" t="s">
        <v>1697</v>
      </c>
      <c r="C813" s="39" t="s">
        <v>17</v>
      </c>
      <c r="D813" s="255">
        <v>1</v>
      </c>
      <c r="E813" s="325" t="e">
        <f>#REF!</f>
        <v>#REF!</v>
      </c>
      <c r="F813" s="325" t="e">
        <f>#REF!</f>
        <v>#REF!</v>
      </c>
      <c r="G813" s="325" t="e">
        <f>#REF!</f>
        <v>#REF!</v>
      </c>
      <c r="H813" s="325" t="e">
        <f t="shared" si="35"/>
        <v>#REF!</v>
      </c>
      <c r="I813" s="265">
        <v>44270</v>
      </c>
      <c r="J813" s="266">
        <f>I813*D813</f>
        <v>44270</v>
      </c>
      <c r="K813" s="307"/>
      <c r="L813" s="310">
        <v>42422</v>
      </c>
      <c r="M813" s="308" t="s">
        <v>1663</v>
      </c>
      <c r="N813" s="254" t="s">
        <v>342</v>
      </c>
      <c r="O813" s="266" t="s">
        <v>1642</v>
      </c>
    </row>
    <row r="814" spans="1:15" ht="38.25">
      <c r="A814" s="178" t="s">
        <v>97</v>
      </c>
      <c r="B814" s="75" t="s">
        <v>1698</v>
      </c>
      <c r="C814" s="39" t="s">
        <v>17</v>
      </c>
      <c r="D814" s="255">
        <v>1</v>
      </c>
      <c r="E814" s="325" t="e">
        <f>#REF!</f>
        <v>#REF!</v>
      </c>
      <c r="F814" s="325" t="e">
        <f>#REF!</f>
        <v>#REF!</v>
      </c>
      <c r="G814" s="325" t="e">
        <f>#REF!</f>
        <v>#REF!</v>
      </c>
      <c r="H814" s="325" t="e">
        <f t="shared" si="35"/>
        <v>#REF!</v>
      </c>
      <c r="I814" s="265">
        <v>64420</v>
      </c>
      <c r="J814" s="266">
        <f>I814*D814</f>
        <v>64420</v>
      </c>
      <c r="K814" s="307"/>
      <c r="L814" s="310">
        <v>42422</v>
      </c>
      <c r="M814" s="308" t="s">
        <v>1663</v>
      </c>
      <c r="N814" s="254" t="s">
        <v>342</v>
      </c>
      <c r="O814" s="266" t="s">
        <v>1642</v>
      </c>
    </row>
    <row r="815" spans="1:15" ht="17.25">
      <c r="A815" s="178" t="s">
        <v>97</v>
      </c>
      <c r="B815" s="75" t="s">
        <v>212</v>
      </c>
      <c r="C815" s="39" t="s">
        <v>17</v>
      </c>
      <c r="D815" s="255"/>
      <c r="E815" s="325" t="e">
        <f>#REF!</f>
        <v>#REF!</v>
      </c>
      <c r="F815" s="325" t="e">
        <f>#REF!</f>
        <v>#REF!</v>
      </c>
      <c r="G815" s="325" t="e">
        <f>#REF!</f>
        <v>#REF!</v>
      </c>
      <c r="H815" s="325" t="e">
        <f t="shared" si="35"/>
        <v>#REF!</v>
      </c>
      <c r="I815" s="260"/>
      <c r="J815" s="266" t="e">
        <f>I815*H815</f>
        <v>#REF!</v>
      </c>
      <c r="K815" s="294"/>
      <c r="L815" s="271"/>
      <c r="M815" s="264"/>
      <c r="N815" s="260"/>
      <c r="O815" s="260"/>
    </row>
    <row r="816" spans="1:15" ht="17.25">
      <c r="A816" s="178" t="s">
        <v>97</v>
      </c>
      <c r="B816" s="75" t="s">
        <v>214</v>
      </c>
      <c r="C816" s="39" t="s">
        <v>17</v>
      </c>
      <c r="D816" s="255"/>
      <c r="E816" s="325" t="e">
        <f>#REF!</f>
        <v>#REF!</v>
      </c>
      <c r="F816" s="325" t="e">
        <f>#REF!</f>
        <v>#REF!</v>
      </c>
      <c r="G816" s="325" t="e">
        <f>#REF!</f>
        <v>#REF!</v>
      </c>
      <c r="H816" s="325" t="e">
        <f t="shared" si="35"/>
        <v>#REF!</v>
      </c>
      <c r="I816" s="261"/>
      <c r="J816" s="266" t="e">
        <f>I816*H816</f>
        <v>#REF!</v>
      </c>
      <c r="K816" s="295"/>
      <c r="L816" s="270"/>
      <c r="M816" s="263"/>
      <c r="N816" s="261"/>
      <c r="O816" s="260"/>
    </row>
    <row r="817" spans="1:15" ht="17.25">
      <c r="A817" s="178" t="s">
        <v>97</v>
      </c>
      <c r="B817" s="75" t="s">
        <v>215</v>
      </c>
      <c r="C817" s="39" t="s">
        <v>17</v>
      </c>
      <c r="D817" s="255"/>
      <c r="E817" s="325" t="e">
        <f>#REF!</f>
        <v>#REF!</v>
      </c>
      <c r="F817" s="325" t="e">
        <f>#REF!</f>
        <v>#REF!</v>
      </c>
      <c r="G817" s="325" t="e">
        <f>#REF!</f>
        <v>#REF!</v>
      </c>
      <c r="H817" s="325" t="e">
        <f t="shared" si="35"/>
        <v>#REF!</v>
      </c>
      <c r="I817" s="260"/>
      <c r="J817" s="266" t="e">
        <f>I817*H817</f>
        <v>#REF!</v>
      </c>
      <c r="K817" s="294"/>
      <c r="L817" s="271"/>
      <c r="M817" s="264"/>
      <c r="N817" s="260"/>
      <c r="O817" s="260"/>
    </row>
    <row r="818" spans="1:15" ht="17.25">
      <c r="A818" s="178" t="s">
        <v>97</v>
      </c>
      <c r="B818" s="75" t="s">
        <v>216</v>
      </c>
      <c r="C818" s="39" t="s">
        <v>17</v>
      </c>
      <c r="D818" s="255"/>
      <c r="E818" s="325" t="e">
        <f>#REF!</f>
        <v>#REF!</v>
      </c>
      <c r="F818" s="325" t="e">
        <f>#REF!</f>
        <v>#REF!</v>
      </c>
      <c r="G818" s="325" t="e">
        <f>#REF!</f>
        <v>#REF!</v>
      </c>
      <c r="H818" s="325" t="e">
        <f t="shared" si="35"/>
        <v>#REF!</v>
      </c>
      <c r="I818" s="261"/>
      <c r="J818" s="266" t="e">
        <f>I818*H818</f>
        <v>#REF!</v>
      </c>
      <c r="K818" s="295"/>
      <c r="L818" s="270"/>
      <c r="M818" s="263"/>
      <c r="N818" s="261"/>
      <c r="O818" s="260"/>
    </row>
    <row r="819" spans="1:15" ht="17.25">
      <c r="A819" s="178" t="s">
        <v>97</v>
      </c>
      <c r="B819" s="75" t="s">
        <v>217</v>
      </c>
      <c r="C819" s="39" t="s">
        <v>17</v>
      </c>
      <c r="D819" s="255"/>
      <c r="E819" s="325" t="e">
        <f>#REF!</f>
        <v>#REF!</v>
      </c>
      <c r="F819" s="325" t="e">
        <f>#REF!</f>
        <v>#REF!</v>
      </c>
      <c r="G819" s="325" t="e">
        <f>#REF!</f>
        <v>#REF!</v>
      </c>
      <c r="H819" s="325" t="e">
        <f t="shared" si="35"/>
        <v>#REF!</v>
      </c>
      <c r="I819" s="260"/>
      <c r="J819" s="266" t="e">
        <f>I819*H819</f>
        <v>#REF!</v>
      </c>
      <c r="K819" s="294"/>
      <c r="L819" s="271"/>
      <c r="M819" s="264"/>
      <c r="N819" s="260"/>
      <c r="O819" s="260"/>
    </row>
    <row r="820" spans="1:15" ht="31.5">
      <c r="A820" s="178" t="s">
        <v>97</v>
      </c>
      <c r="B820" s="75" t="s">
        <v>218</v>
      </c>
      <c r="C820" s="39" t="s">
        <v>17</v>
      </c>
      <c r="D820" s="255">
        <v>2</v>
      </c>
      <c r="E820" s="325" t="e">
        <f>#REF!</f>
        <v>#REF!</v>
      </c>
      <c r="F820" s="325" t="e">
        <f>#REF!</f>
        <v>#REF!</v>
      </c>
      <c r="G820" s="325" t="e">
        <f>#REF!</f>
        <v>#REF!</v>
      </c>
      <c r="H820" s="325" t="e">
        <f t="shared" si="35"/>
        <v>#REF!</v>
      </c>
      <c r="I820" s="265">
        <v>47790</v>
      </c>
      <c r="J820" s="266">
        <f>I820*D820</f>
        <v>95580</v>
      </c>
      <c r="K820" s="307"/>
      <c r="L820" s="310">
        <v>42430</v>
      </c>
      <c r="M820" s="308" t="s">
        <v>1663</v>
      </c>
      <c r="N820" s="254" t="s">
        <v>342</v>
      </c>
      <c r="O820" s="266" t="s">
        <v>1642</v>
      </c>
    </row>
    <row r="821" spans="1:15" ht="38.25">
      <c r="A821" s="178" t="s">
        <v>97</v>
      </c>
      <c r="B821" s="75" t="s">
        <v>1765</v>
      </c>
      <c r="C821" s="39" t="s">
        <v>17</v>
      </c>
      <c r="D821" s="255">
        <v>2</v>
      </c>
      <c r="E821" s="325">
        <v>0</v>
      </c>
      <c r="F821" s="325">
        <v>0</v>
      </c>
      <c r="G821" s="325">
        <v>0</v>
      </c>
      <c r="H821" s="325">
        <f>G821+F821+E821+D821</f>
        <v>2</v>
      </c>
      <c r="I821" s="265">
        <v>73150</v>
      </c>
      <c r="J821" s="266">
        <f>I821*H821</f>
        <v>146300</v>
      </c>
      <c r="K821" s="307"/>
      <c r="L821" s="310">
        <v>42430</v>
      </c>
      <c r="M821" s="308" t="s">
        <v>15</v>
      </c>
      <c r="N821" s="254" t="s">
        <v>342</v>
      </c>
      <c r="O821" s="266" t="s">
        <v>1642</v>
      </c>
    </row>
    <row r="822" spans="1:15" ht="38.25">
      <c r="A822" s="178" t="s">
        <v>97</v>
      </c>
      <c r="B822" s="75" t="s">
        <v>1766</v>
      </c>
      <c r="C822" s="39" t="s">
        <v>17</v>
      </c>
      <c r="D822" s="255">
        <v>2</v>
      </c>
      <c r="E822" s="325">
        <v>0</v>
      </c>
      <c r="F822" s="325">
        <v>0</v>
      </c>
      <c r="G822" s="325">
        <v>0</v>
      </c>
      <c r="H822" s="325">
        <f>G822+F822+E822+D822</f>
        <v>2</v>
      </c>
      <c r="I822" s="265">
        <v>47790</v>
      </c>
      <c r="J822" s="266">
        <f>I822*H822</f>
        <v>95580</v>
      </c>
      <c r="K822" s="307"/>
      <c r="L822" s="310">
        <v>42430</v>
      </c>
      <c r="M822" s="308" t="s">
        <v>1663</v>
      </c>
      <c r="N822" s="333"/>
      <c r="O822" s="266" t="s">
        <v>1642</v>
      </c>
    </row>
    <row r="823" spans="1:15" ht="17.25">
      <c r="A823" s="178" t="s">
        <v>97</v>
      </c>
      <c r="B823" s="75" t="s">
        <v>219</v>
      </c>
      <c r="C823" s="39" t="s">
        <v>17</v>
      </c>
      <c r="D823" s="255"/>
      <c r="E823" s="325" t="e">
        <f>#REF!</f>
        <v>#REF!</v>
      </c>
      <c r="F823" s="325" t="e">
        <f>#REF!</f>
        <v>#REF!</v>
      </c>
      <c r="G823" s="325" t="e">
        <f>#REF!</f>
        <v>#REF!</v>
      </c>
      <c r="H823" s="325" t="e">
        <f t="shared" si="35"/>
        <v>#REF!</v>
      </c>
      <c r="I823" s="266"/>
      <c r="J823" s="266" t="e">
        <f>I823*H823</f>
        <v>#REF!</v>
      </c>
      <c r="K823" s="306"/>
      <c r="L823" s="280"/>
      <c r="M823" s="309"/>
      <c r="N823" s="266"/>
      <c r="O823" s="266"/>
    </row>
    <row r="824" spans="1:15" ht="17.25">
      <c r="A824" s="178" t="s">
        <v>97</v>
      </c>
      <c r="B824" s="75" t="s">
        <v>317</v>
      </c>
      <c r="C824" s="39" t="s">
        <v>17</v>
      </c>
      <c r="D824" s="255"/>
      <c r="E824" s="325" t="e">
        <f>#REF!</f>
        <v>#REF!</v>
      </c>
      <c r="F824" s="325" t="e">
        <f>#REF!</f>
        <v>#REF!</v>
      </c>
      <c r="G824" s="325" t="e">
        <f>#REF!</f>
        <v>#REF!</v>
      </c>
      <c r="H824" s="325" t="e">
        <f t="shared" si="35"/>
        <v>#REF!</v>
      </c>
      <c r="I824" s="265"/>
      <c r="J824" s="265" t="e">
        <f>I824*H824</f>
        <v>#REF!</v>
      </c>
      <c r="K824" s="307"/>
      <c r="L824" s="310"/>
      <c r="M824" s="308"/>
      <c r="N824" s="265"/>
      <c r="O824" s="266"/>
    </row>
    <row r="825" spans="1:15" ht="17.25">
      <c r="A825" s="178" t="s">
        <v>97</v>
      </c>
      <c r="B825" s="75" t="s">
        <v>1462</v>
      </c>
      <c r="C825" s="39" t="s">
        <v>17</v>
      </c>
      <c r="D825" s="255">
        <v>2</v>
      </c>
      <c r="E825" s="325" t="e">
        <f>#REF!</f>
        <v>#REF!</v>
      </c>
      <c r="F825" s="325" t="e">
        <f>#REF!</f>
        <v>#REF!</v>
      </c>
      <c r="G825" s="325" t="e">
        <f>#REF!</f>
        <v>#REF!</v>
      </c>
      <c r="H825" s="325" t="e">
        <f t="shared" si="35"/>
        <v>#REF!</v>
      </c>
      <c r="I825" s="266">
        <v>98605</v>
      </c>
      <c r="J825" s="266">
        <f>I825*D825</f>
        <v>197210</v>
      </c>
      <c r="K825" s="306"/>
      <c r="L825" s="280">
        <v>42430</v>
      </c>
      <c r="M825" s="309" t="s">
        <v>15</v>
      </c>
      <c r="N825" s="254" t="s">
        <v>342</v>
      </c>
      <c r="O825" s="266" t="s">
        <v>1642</v>
      </c>
    </row>
    <row r="826" spans="1:15" ht="17.25">
      <c r="A826" s="178" t="s">
        <v>97</v>
      </c>
      <c r="B826" s="75" t="s">
        <v>1240</v>
      </c>
      <c r="C826" s="39" t="s">
        <v>17</v>
      </c>
      <c r="D826" s="255"/>
      <c r="E826" s="325" t="e">
        <f>#REF!</f>
        <v>#REF!</v>
      </c>
      <c r="F826" s="325" t="e">
        <f>#REF!</f>
        <v>#REF!</v>
      </c>
      <c r="G826" s="325" t="e">
        <f>#REF!</f>
        <v>#REF!</v>
      </c>
      <c r="H826" s="325" t="e">
        <f t="shared" si="35"/>
        <v>#REF!</v>
      </c>
      <c r="I826" s="261"/>
      <c r="J826" s="265" t="e">
        <f>I826*H826</f>
        <v>#REF!</v>
      </c>
      <c r="K826" s="295"/>
      <c r="L826" s="270"/>
      <c r="M826" s="263"/>
      <c r="N826" s="261"/>
      <c r="O826" s="260"/>
    </row>
    <row r="827" spans="1:15" ht="17.25">
      <c r="A827" s="178" t="s">
        <v>97</v>
      </c>
      <c r="B827" s="75" t="s">
        <v>1241</v>
      </c>
      <c r="C827" s="39" t="s">
        <v>17</v>
      </c>
      <c r="D827" s="255"/>
      <c r="E827" s="325" t="e">
        <f>#REF!</f>
        <v>#REF!</v>
      </c>
      <c r="F827" s="325" t="e">
        <f>#REF!</f>
        <v>#REF!</v>
      </c>
      <c r="G827" s="325" t="e">
        <f>#REF!</f>
        <v>#REF!</v>
      </c>
      <c r="H827" s="325" t="e">
        <f t="shared" si="35"/>
        <v>#REF!</v>
      </c>
      <c r="I827" s="260"/>
      <c r="J827" s="265" t="e">
        <f t="shared" ref="J827:J854" si="37">I827*H827</f>
        <v>#REF!</v>
      </c>
      <c r="K827" s="294"/>
      <c r="L827" s="271"/>
      <c r="M827" s="264"/>
      <c r="N827" s="260"/>
      <c r="O827" s="260"/>
    </row>
    <row r="828" spans="1:15" ht="17.25">
      <c r="A828" s="178" t="s">
        <v>97</v>
      </c>
      <c r="B828" s="75" t="s">
        <v>1242</v>
      </c>
      <c r="C828" s="39" t="s">
        <v>17</v>
      </c>
      <c r="D828" s="255"/>
      <c r="E828" s="325" t="e">
        <f>#REF!</f>
        <v>#REF!</v>
      </c>
      <c r="F828" s="325" t="e">
        <f>#REF!</f>
        <v>#REF!</v>
      </c>
      <c r="G828" s="325" t="e">
        <f>#REF!</f>
        <v>#REF!</v>
      </c>
      <c r="H828" s="325" t="e">
        <f t="shared" si="35"/>
        <v>#REF!</v>
      </c>
      <c r="I828" s="261"/>
      <c r="J828" s="265" t="e">
        <f t="shared" si="37"/>
        <v>#REF!</v>
      </c>
      <c r="K828" s="295"/>
      <c r="L828" s="270"/>
      <c r="M828" s="263"/>
      <c r="N828" s="261"/>
      <c r="O828" s="260"/>
    </row>
    <row r="829" spans="1:15" ht="17.25">
      <c r="A829" s="178" t="s">
        <v>97</v>
      </c>
      <c r="B829" s="75" t="s">
        <v>1243</v>
      </c>
      <c r="C829" s="39" t="s">
        <v>17</v>
      </c>
      <c r="D829" s="255"/>
      <c r="E829" s="325" t="e">
        <f>#REF!</f>
        <v>#REF!</v>
      </c>
      <c r="F829" s="325" t="e">
        <f>#REF!</f>
        <v>#REF!</v>
      </c>
      <c r="G829" s="325" t="e">
        <f>#REF!</f>
        <v>#REF!</v>
      </c>
      <c r="H829" s="325" t="e">
        <f t="shared" si="35"/>
        <v>#REF!</v>
      </c>
      <c r="I829" s="260"/>
      <c r="J829" s="265" t="e">
        <f t="shared" si="37"/>
        <v>#REF!</v>
      </c>
      <c r="K829" s="294"/>
      <c r="L829" s="271"/>
      <c r="M829" s="264"/>
      <c r="N829" s="260"/>
      <c r="O829" s="260"/>
    </row>
    <row r="830" spans="1:15" ht="17.25">
      <c r="A830" s="178" t="s">
        <v>97</v>
      </c>
      <c r="B830" s="75" t="s">
        <v>1244</v>
      </c>
      <c r="C830" s="39" t="s">
        <v>17</v>
      </c>
      <c r="D830" s="255"/>
      <c r="E830" s="325" t="e">
        <f>#REF!</f>
        <v>#REF!</v>
      </c>
      <c r="F830" s="325" t="e">
        <f>#REF!</f>
        <v>#REF!</v>
      </c>
      <c r="G830" s="325" t="e">
        <f>#REF!</f>
        <v>#REF!</v>
      </c>
      <c r="H830" s="325" t="e">
        <f t="shared" si="35"/>
        <v>#REF!</v>
      </c>
      <c r="I830" s="261"/>
      <c r="J830" s="265" t="e">
        <f t="shared" si="37"/>
        <v>#REF!</v>
      </c>
      <c r="K830" s="295"/>
      <c r="L830" s="270"/>
      <c r="M830" s="263"/>
      <c r="N830" s="261"/>
      <c r="O830" s="260"/>
    </row>
    <row r="831" spans="1:15" ht="17.25">
      <c r="A831" s="178" t="s">
        <v>97</v>
      </c>
      <c r="B831" s="75" t="s">
        <v>1245</v>
      </c>
      <c r="C831" s="39" t="s">
        <v>17</v>
      </c>
      <c r="D831" s="255"/>
      <c r="E831" s="325" t="e">
        <f>#REF!</f>
        <v>#REF!</v>
      </c>
      <c r="F831" s="325" t="e">
        <f>#REF!</f>
        <v>#REF!</v>
      </c>
      <c r="G831" s="325" t="e">
        <f>#REF!</f>
        <v>#REF!</v>
      </c>
      <c r="H831" s="325" t="e">
        <f t="shared" si="35"/>
        <v>#REF!</v>
      </c>
      <c r="I831" s="260"/>
      <c r="J831" s="265" t="e">
        <f t="shared" si="37"/>
        <v>#REF!</v>
      </c>
      <c r="K831" s="294"/>
      <c r="L831" s="271"/>
      <c r="M831" s="264"/>
      <c r="N831" s="260"/>
      <c r="O831" s="260"/>
    </row>
    <row r="832" spans="1:15" ht="17.25">
      <c r="A832" s="178" t="s">
        <v>97</v>
      </c>
      <c r="B832" s="75" t="s">
        <v>1246</v>
      </c>
      <c r="C832" s="39" t="s">
        <v>17</v>
      </c>
      <c r="D832" s="255"/>
      <c r="E832" s="325" t="e">
        <f>#REF!</f>
        <v>#REF!</v>
      </c>
      <c r="F832" s="325" t="e">
        <f>#REF!</f>
        <v>#REF!</v>
      </c>
      <c r="G832" s="325" t="e">
        <f>#REF!</f>
        <v>#REF!</v>
      </c>
      <c r="H832" s="325" t="e">
        <f t="shared" si="35"/>
        <v>#REF!</v>
      </c>
      <c r="I832" s="261"/>
      <c r="J832" s="265" t="e">
        <f t="shared" si="37"/>
        <v>#REF!</v>
      </c>
      <c r="K832" s="295"/>
      <c r="L832" s="270"/>
      <c r="M832" s="263"/>
      <c r="N832" s="261"/>
      <c r="O832" s="260"/>
    </row>
    <row r="833" spans="1:15" ht="17.25">
      <c r="A833" s="178" t="s">
        <v>97</v>
      </c>
      <c r="B833" s="75" t="s">
        <v>1247</v>
      </c>
      <c r="C833" s="39" t="s">
        <v>17</v>
      </c>
      <c r="D833" s="255"/>
      <c r="E833" s="325" t="e">
        <f>#REF!</f>
        <v>#REF!</v>
      </c>
      <c r="F833" s="325" t="e">
        <f>#REF!</f>
        <v>#REF!</v>
      </c>
      <c r="G833" s="325" t="e">
        <f>#REF!</f>
        <v>#REF!</v>
      </c>
      <c r="H833" s="325" t="e">
        <f t="shared" si="35"/>
        <v>#REF!</v>
      </c>
      <c r="I833" s="260"/>
      <c r="J833" s="265" t="e">
        <f t="shared" si="37"/>
        <v>#REF!</v>
      </c>
      <c r="K833" s="294"/>
      <c r="L833" s="271"/>
      <c r="M833" s="264"/>
      <c r="N833" s="260"/>
      <c r="O833" s="260"/>
    </row>
    <row r="834" spans="1:15" ht="17.25">
      <c r="A834" s="178" t="s">
        <v>97</v>
      </c>
      <c r="B834" s="75" t="s">
        <v>1248</v>
      </c>
      <c r="C834" s="39" t="s">
        <v>17</v>
      </c>
      <c r="D834" s="255"/>
      <c r="E834" s="325" t="e">
        <f>#REF!</f>
        <v>#REF!</v>
      </c>
      <c r="F834" s="325" t="e">
        <f>#REF!</f>
        <v>#REF!</v>
      </c>
      <c r="G834" s="325" t="e">
        <f>#REF!</f>
        <v>#REF!</v>
      </c>
      <c r="H834" s="325" t="e">
        <f t="shared" si="35"/>
        <v>#REF!</v>
      </c>
      <c r="I834" s="261"/>
      <c r="J834" s="265" t="e">
        <f t="shared" si="37"/>
        <v>#REF!</v>
      </c>
      <c r="K834" s="295"/>
      <c r="L834" s="270"/>
      <c r="M834" s="263"/>
      <c r="N834" s="261"/>
      <c r="O834" s="260"/>
    </row>
    <row r="835" spans="1:15" ht="17.25">
      <c r="A835" s="178" t="s">
        <v>97</v>
      </c>
      <c r="B835" s="75" t="s">
        <v>1249</v>
      </c>
      <c r="C835" s="39" t="s">
        <v>17</v>
      </c>
      <c r="D835" s="255"/>
      <c r="E835" s="325" t="e">
        <f>#REF!</f>
        <v>#REF!</v>
      </c>
      <c r="F835" s="325" t="e">
        <f>#REF!</f>
        <v>#REF!</v>
      </c>
      <c r="G835" s="325" t="e">
        <f>#REF!</f>
        <v>#REF!</v>
      </c>
      <c r="H835" s="325" t="e">
        <f t="shared" si="35"/>
        <v>#REF!</v>
      </c>
      <c r="I835" s="260"/>
      <c r="J835" s="265" t="e">
        <f t="shared" si="37"/>
        <v>#REF!</v>
      </c>
      <c r="K835" s="294"/>
      <c r="L835" s="271"/>
      <c r="M835" s="264"/>
      <c r="N835" s="260"/>
      <c r="O835" s="260"/>
    </row>
    <row r="836" spans="1:15" ht="17.25">
      <c r="A836" s="178" t="s">
        <v>97</v>
      </c>
      <c r="B836" s="75" t="s">
        <v>1250</v>
      </c>
      <c r="C836" s="39" t="s">
        <v>17</v>
      </c>
      <c r="D836" s="255"/>
      <c r="E836" s="325" t="e">
        <f>#REF!</f>
        <v>#REF!</v>
      </c>
      <c r="F836" s="325" t="e">
        <f>#REF!</f>
        <v>#REF!</v>
      </c>
      <c r="G836" s="325" t="e">
        <f>#REF!</f>
        <v>#REF!</v>
      </c>
      <c r="H836" s="325" t="e">
        <f t="shared" si="35"/>
        <v>#REF!</v>
      </c>
      <c r="I836" s="261"/>
      <c r="J836" s="265" t="e">
        <f t="shared" si="37"/>
        <v>#REF!</v>
      </c>
      <c r="K836" s="295"/>
      <c r="L836" s="270"/>
      <c r="M836" s="263"/>
      <c r="N836" s="261"/>
      <c r="O836" s="260"/>
    </row>
    <row r="837" spans="1:15" ht="17.25">
      <c r="A837" s="178" t="s">
        <v>97</v>
      </c>
      <c r="B837" s="75" t="s">
        <v>1251</v>
      </c>
      <c r="C837" s="39" t="s">
        <v>17</v>
      </c>
      <c r="D837" s="255"/>
      <c r="E837" s="325" t="e">
        <f>#REF!</f>
        <v>#REF!</v>
      </c>
      <c r="F837" s="325" t="e">
        <f>#REF!</f>
        <v>#REF!</v>
      </c>
      <c r="G837" s="325" t="e">
        <f>#REF!</f>
        <v>#REF!</v>
      </c>
      <c r="H837" s="325" t="e">
        <f t="shared" si="35"/>
        <v>#REF!</v>
      </c>
      <c r="I837" s="260"/>
      <c r="J837" s="265" t="e">
        <f t="shared" si="37"/>
        <v>#REF!</v>
      </c>
      <c r="K837" s="294"/>
      <c r="L837" s="271"/>
      <c r="M837" s="264"/>
      <c r="N837" s="260"/>
      <c r="O837" s="260"/>
    </row>
    <row r="838" spans="1:15" ht="17.25">
      <c r="A838" s="178" t="s">
        <v>97</v>
      </c>
      <c r="B838" s="75" t="s">
        <v>1252</v>
      </c>
      <c r="C838" s="39" t="s">
        <v>17</v>
      </c>
      <c r="D838" s="255"/>
      <c r="E838" s="325" t="e">
        <f>#REF!</f>
        <v>#REF!</v>
      </c>
      <c r="F838" s="325" t="e">
        <f>#REF!</f>
        <v>#REF!</v>
      </c>
      <c r="G838" s="325" t="e">
        <f>#REF!</f>
        <v>#REF!</v>
      </c>
      <c r="H838" s="325" t="e">
        <f t="shared" si="35"/>
        <v>#REF!</v>
      </c>
      <c r="I838" s="261"/>
      <c r="J838" s="265" t="e">
        <f t="shared" si="37"/>
        <v>#REF!</v>
      </c>
      <c r="K838" s="295"/>
      <c r="L838" s="270"/>
      <c r="M838" s="263"/>
      <c r="N838" s="261"/>
      <c r="O838" s="260"/>
    </row>
    <row r="839" spans="1:15" ht="17.25">
      <c r="A839" s="178" t="s">
        <v>97</v>
      </c>
      <c r="B839" s="75" t="s">
        <v>1253</v>
      </c>
      <c r="C839" s="39" t="s">
        <v>17</v>
      </c>
      <c r="D839" s="255"/>
      <c r="E839" s="325" t="e">
        <f>#REF!</f>
        <v>#REF!</v>
      </c>
      <c r="F839" s="325" t="e">
        <f>#REF!</f>
        <v>#REF!</v>
      </c>
      <c r="G839" s="325" t="e">
        <f>#REF!</f>
        <v>#REF!</v>
      </c>
      <c r="H839" s="325" t="e">
        <f t="shared" si="35"/>
        <v>#REF!</v>
      </c>
      <c r="I839" s="260"/>
      <c r="J839" s="265" t="e">
        <f t="shared" si="37"/>
        <v>#REF!</v>
      </c>
      <c r="K839" s="294"/>
      <c r="L839" s="271"/>
      <c r="M839" s="264"/>
      <c r="N839" s="260"/>
      <c r="O839" s="260"/>
    </row>
    <row r="840" spans="1:15" ht="17.25">
      <c r="A840" s="178" t="s">
        <v>97</v>
      </c>
      <c r="B840" s="75" t="s">
        <v>1254</v>
      </c>
      <c r="C840" s="39" t="s">
        <v>17</v>
      </c>
      <c r="D840" s="255"/>
      <c r="E840" s="325" t="e">
        <f>#REF!</f>
        <v>#REF!</v>
      </c>
      <c r="F840" s="325" t="e">
        <f>#REF!</f>
        <v>#REF!</v>
      </c>
      <c r="G840" s="325" t="e">
        <f>#REF!</f>
        <v>#REF!</v>
      </c>
      <c r="H840" s="325" t="e">
        <f t="shared" si="35"/>
        <v>#REF!</v>
      </c>
      <c r="I840" s="261"/>
      <c r="J840" s="265" t="e">
        <f t="shared" si="37"/>
        <v>#REF!</v>
      </c>
      <c r="K840" s="295"/>
      <c r="L840" s="270"/>
      <c r="M840" s="263"/>
      <c r="N840" s="261"/>
      <c r="O840" s="260"/>
    </row>
    <row r="841" spans="1:15" ht="17.25">
      <c r="A841" s="178" t="s">
        <v>97</v>
      </c>
      <c r="B841" s="75" t="s">
        <v>1255</v>
      </c>
      <c r="C841" s="39" t="s">
        <v>17</v>
      </c>
      <c r="D841" s="255"/>
      <c r="E841" s="325" t="e">
        <f>#REF!</f>
        <v>#REF!</v>
      </c>
      <c r="F841" s="325" t="e">
        <f>#REF!</f>
        <v>#REF!</v>
      </c>
      <c r="G841" s="325" t="e">
        <f>#REF!</f>
        <v>#REF!</v>
      </c>
      <c r="H841" s="325" t="e">
        <f t="shared" si="35"/>
        <v>#REF!</v>
      </c>
      <c r="I841" s="260"/>
      <c r="J841" s="265" t="e">
        <f t="shared" si="37"/>
        <v>#REF!</v>
      </c>
      <c r="K841" s="294"/>
      <c r="L841" s="271"/>
      <c r="M841" s="264"/>
      <c r="N841" s="260"/>
      <c r="O841" s="260"/>
    </row>
    <row r="842" spans="1:15" ht="17.25">
      <c r="A842" s="178" t="s">
        <v>97</v>
      </c>
      <c r="B842" s="75" t="s">
        <v>1256</v>
      </c>
      <c r="C842" s="39" t="s">
        <v>17</v>
      </c>
      <c r="D842" s="255"/>
      <c r="E842" s="325" t="e">
        <f>#REF!</f>
        <v>#REF!</v>
      </c>
      <c r="F842" s="325" t="e">
        <f>#REF!</f>
        <v>#REF!</v>
      </c>
      <c r="G842" s="325" t="e">
        <f>#REF!</f>
        <v>#REF!</v>
      </c>
      <c r="H842" s="325" t="e">
        <f t="shared" si="35"/>
        <v>#REF!</v>
      </c>
      <c r="I842" s="261"/>
      <c r="J842" s="265" t="e">
        <f t="shared" si="37"/>
        <v>#REF!</v>
      </c>
      <c r="K842" s="295"/>
      <c r="L842" s="270"/>
      <c r="M842" s="263"/>
      <c r="N842" s="261"/>
      <c r="O842" s="260"/>
    </row>
    <row r="843" spans="1:15" ht="17.25">
      <c r="A843" s="178" t="s">
        <v>97</v>
      </c>
      <c r="B843" s="75" t="s">
        <v>1257</v>
      </c>
      <c r="C843" s="39" t="s">
        <v>17</v>
      </c>
      <c r="D843" s="255"/>
      <c r="E843" s="325" t="e">
        <f>#REF!</f>
        <v>#REF!</v>
      </c>
      <c r="F843" s="325" t="e">
        <f>#REF!</f>
        <v>#REF!</v>
      </c>
      <c r="G843" s="325" t="e">
        <f>#REF!</f>
        <v>#REF!</v>
      </c>
      <c r="H843" s="325" t="e">
        <f t="shared" si="35"/>
        <v>#REF!</v>
      </c>
      <c r="I843" s="260"/>
      <c r="J843" s="265" t="e">
        <f t="shared" si="37"/>
        <v>#REF!</v>
      </c>
      <c r="K843" s="294"/>
      <c r="L843" s="271"/>
      <c r="M843" s="264"/>
      <c r="N843" s="260"/>
      <c r="O843" s="260"/>
    </row>
    <row r="844" spans="1:15" ht="17.25">
      <c r="A844" s="178" t="s">
        <v>97</v>
      </c>
      <c r="B844" s="75" t="s">
        <v>1258</v>
      </c>
      <c r="C844" s="39" t="s">
        <v>17</v>
      </c>
      <c r="D844" s="255"/>
      <c r="E844" s="325" t="e">
        <f>#REF!</f>
        <v>#REF!</v>
      </c>
      <c r="F844" s="325" t="e">
        <f>#REF!</f>
        <v>#REF!</v>
      </c>
      <c r="G844" s="325" t="e">
        <f>#REF!</f>
        <v>#REF!</v>
      </c>
      <c r="H844" s="325" t="e">
        <f t="shared" si="35"/>
        <v>#REF!</v>
      </c>
      <c r="I844" s="261"/>
      <c r="J844" s="265" t="e">
        <f t="shared" si="37"/>
        <v>#REF!</v>
      </c>
      <c r="K844" s="295"/>
      <c r="L844" s="270"/>
      <c r="M844" s="263"/>
      <c r="N844" s="261"/>
      <c r="O844" s="260"/>
    </row>
    <row r="845" spans="1:15" ht="17.25">
      <c r="A845" s="178" t="s">
        <v>97</v>
      </c>
      <c r="B845" s="75" t="s">
        <v>1259</v>
      </c>
      <c r="C845" s="39" t="s">
        <v>17</v>
      </c>
      <c r="D845" s="255"/>
      <c r="E845" s="325" t="e">
        <f>#REF!</f>
        <v>#REF!</v>
      </c>
      <c r="F845" s="325" t="e">
        <f>#REF!</f>
        <v>#REF!</v>
      </c>
      <c r="G845" s="325" t="e">
        <f>#REF!</f>
        <v>#REF!</v>
      </c>
      <c r="H845" s="325" t="e">
        <f t="shared" si="35"/>
        <v>#REF!</v>
      </c>
      <c r="I845" s="260"/>
      <c r="J845" s="265" t="e">
        <f t="shared" si="37"/>
        <v>#REF!</v>
      </c>
      <c r="K845" s="294"/>
      <c r="L845" s="271"/>
      <c r="M845" s="264"/>
      <c r="N845" s="260"/>
      <c r="O845" s="260"/>
    </row>
    <row r="846" spans="1:15" ht="17.25">
      <c r="A846" s="178" t="s">
        <v>97</v>
      </c>
      <c r="B846" s="75" t="s">
        <v>1260</v>
      </c>
      <c r="C846" s="39" t="s">
        <v>17</v>
      </c>
      <c r="D846" s="255"/>
      <c r="E846" s="325" t="e">
        <f>#REF!</f>
        <v>#REF!</v>
      </c>
      <c r="F846" s="325" t="e">
        <f>#REF!</f>
        <v>#REF!</v>
      </c>
      <c r="G846" s="325" t="e">
        <f>#REF!</f>
        <v>#REF!</v>
      </c>
      <c r="H846" s="325" t="e">
        <f t="shared" si="35"/>
        <v>#REF!</v>
      </c>
      <c r="I846" s="261"/>
      <c r="J846" s="265" t="e">
        <f t="shared" si="37"/>
        <v>#REF!</v>
      </c>
      <c r="K846" s="295"/>
      <c r="L846" s="270"/>
      <c r="M846" s="263"/>
      <c r="N846" s="261"/>
      <c r="O846" s="260"/>
    </row>
    <row r="847" spans="1:15" ht="17.25">
      <c r="A847" s="178" t="s">
        <v>97</v>
      </c>
      <c r="B847" s="75" t="s">
        <v>1261</v>
      </c>
      <c r="C847" s="39" t="s">
        <v>17</v>
      </c>
      <c r="D847" s="255"/>
      <c r="E847" s="325" t="e">
        <f>#REF!</f>
        <v>#REF!</v>
      </c>
      <c r="F847" s="325" t="e">
        <f>#REF!</f>
        <v>#REF!</v>
      </c>
      <c r="G847" s="325" t="e">
        <f>#REF!</f>
        <v>#REF!</v>
      </c>
      <c r="H847" s="325" t="e">
        <f t="shared" si="35"/>
        <v>#REF!</v>
      </c>
      <c r="I847" s="260"/>
      <c r="J847" s="265" t="e">
        <f t="shared" si="37"/>
        <v>#REF!</v>
      </c>
      <c r="K847" s="294"/>
      <c r="L847" s="271"/>
      <c r="M847" s="264"/>
      <c r="N847" s="260"/>
      <c r="O847" s="260"/>
    </row>
    <row r="848" spans="1:15" ht="17.25">
      <c r="A848" s="178" t="s">
        <v>97</v>
      </c>
      <c r="B848" s="75" t="s">
        <v>1262</v>
      </c>
      <c r="C848" s="39" t="s">
        <v>17</v>
      </c>
      <c r="D848" s="255"/>
      <c r="E848" s="325" t="e">
        <f>#REF!</f>
        <v>#REF!</v>
      </c>
      <c r="F848" s="325" t="e">
        <f>#REF!</f>
        <v>#REF!</v>
      </c>
      <c r="G848" s="325" t="e">
        <f>#REF!</f>
        <v>#REF!</v>
      </c>
      <c r="H848" s="325" t="e">
        <f t="shared" si="35"/>
        <v>#REF!</v>
      </c>
      <c r="I848" s="261"/>
      <c r="J848" s="265" t="e">
        <f t="shared" si="37"/>
        <v>#REF!</v>
      </c>
      <c r="K848" s="295"/>
      <c r="L848" s="270"/>
      <c r="M848" s="263"/>
      <c r="N848" s="261"/>
      <c r="O848" s="260"/>
    </row>
    <row r="849" spans="1:15" ht="17.25">
      <c r="A849" s="178" t="s">
        <v>97</v>
      </c>
      <c r="B849" s="75" t="s">
        <v>1263</v>
      </c>
      <c r="C849" s="39" t="s">
        <v>17</v>
      </c>
      <c r="D849" s="255"/>
      <c r="E849" s="325" t="e">
        <f>#REF!</f>
        <v>#REF!</v>
      </c>
      <c r="F849" s="325" t="e">
        <f>#REF!</f>
        <v>#REF!</v>
      </c>
      <c r="G849" s="325" t="e">
        <f>#REF!</f>
        <v>#REF!</v>
      </c>
      <c r="H849" s="325" t="e">
        <f t="shared" si="35"/>
        <v>#REF!</v>
      </c>
      <c r="I849" s="260"/>
      <c r="J849" s="265" t="e">
        <f t="shared" si="37"/>
        <v>#REF!</v>
      </c>
      <c r="K849" s="294"/>
      <c r="L849" s="271"/>
      <c r="M849" s="264"/>
      <c r="N849" s="260"/>
      <c r="O849" s="260"/>
    </row>
    <row r="850" spans="1:15" ht="17.25">
      <c r="A850" s="178" t="s">
        <v>97</v>
      </c>
      <c r="B850" s="75" t="s">
        <v>1264</v>
      </c>
      <c r="C850" s="39" t="s">
        <v>17</v>
      </c>
      <c r="D850" s="255"/>
      <c r="E850" s="325" t="e">
        <f>#REF!</f>
        <v>#REF!</v>
      </c>
      <c r="F850" s="325" t="e">
        <f>#REF!</f>
        <v>#REF!</v>
      </c>
      <c r="G850" s="325" t="e">
        <f>#REF!</f>
        <v>#REF!</v>
      </c>
      <c r="H850" s="325" t="e">
        <f t="shared" si="35"/>
        <v>#REF!</v>
      </c>
      <c r="I850" s="261"/>
      <c r="J850" s="265" t="e">
        <f t="shared" si="37"/>
        <v>#REF!</v>
      </c>
      <c r="K850" s="295"/>
      <c r="L850" s="270"/>
      <c r="M850" s="263"/>
      <c r="N850" s="261"/>
      <c r="O850" s="260"/>
    </row>
    <row r="851" spans="1:15" ht="17.25">
      <c r="A851" s="178" t="s">
        <v>97</v>
      </c>
      <c r="B851" s="75" t="s">
        <v>1265</v>
      </c>
      <c r="C851" s="39" t="s">
        <v>17</v>
      </c>
      <c r="D851" s="255"/>
      <c r="E851" s="325" t="e">
        <f>#REF!</f>
        <v>#REF!</v>
      </c>
      <c r="F851" s="325" t="e">
        <f>#REF!</f>
        <v>#REF!</v>
      </c>
      <c r="G851" s="325" t="e">
        <f>#REF!</f>
        <v>#REF!</v>
      </c>
      <c r="H851" s="325" t="e">
        <f t="shared" si="35"/>
        <v>#REF!</v>
      </c>
      <c r="I851" s="260"/>
      <c r="J851" s="265" t="e">
        <f t="shared" si="37"/>
        <v>#REF!</v>
      </c>
      <c r="K851" s="294"/>
      <c r="L851" s="271"/>
      <c r="M851" s="264"/>
      <c r="N851" s="260"/>
      <c r="O851" s="260"/>
    </row>
    <row r="852" spans="1:15" ht="17.25">
      <c r="A852" s="178" t="s">
        <v>97</v>
      </c>
      <c r="B852" s="75" t="s">
        <v>1266</v>
      </c>
      <c r="C852" s="39" t="s">
        <v>17</v>
      </c>
      <c r="D852" s="255"/>
      <c r="E852" s="325" t="e">
        <f>#REF!</f>
        <v>#REF!</v>
      </c>
      <c r="F852" s="325" t="e">
        <f>#REF!</f>
        <v>#REF!</v>
      </c>
      <c r="G852" s="325" t="e">
        <f>#REF!</f>
        <v>#REF!</v>
      </c>
      <c r="H852" s="325" t="e">
        <f t="shared" ref="H852:H915" si="38">G852+F852+E852+D852</f>
        <v>#REF!</v>
      </c>
      <c r="I852" s="261"/>
      <c r="J852" s="265" t="e">
        <f t="shared" si="37"/>
        <v>#REF!</v>
      </c>
      <c r="K852" s="295"/>
      <c r="L852" s="270"/>
      <c r="M852" s="263"/>
      <c r="N852" s="261"/>
      <c r="O852" s="260"/>
    </row>
    <row r="853" spans="1:15" ht="17.25">
      <c r="A853" s="178" t="s">
        <v>97</v>
      </c>
      <c r="B853" s="75" t="s">
        <v>1267</v>
      </c>
      <c r="C853" s="39" t="s">
        <v>17</v>
      </c>
      <c r="D853" s="255"/>
      <c r="E853" s="325" t="e">
        <f>#REF!</f>
        <v>#REF!</v>
      </c>
      <c r="F853" s="325" t="e">
        <f>#REF!</f>
        <v>#REF!</v>
      </c>
      <c r="G853" s="325" t="e">
        <f>#REF!</f>
        <v>#REF!</v>
      </c>
      <c r="H853" s="325" t="e">
        <f t="shared" si="38"/>
        <v>#REF!</v>
      </c>
      <c r="I853" s="260"/>
      <c r="J853" s="265" t="e">
        <f t="shared" si="37"/>
        <v>#REF!</v>
      </c>
      <c r="K853" s="294"/>
      <c r="L853" s="271"/>
      <c r="M853" s="264"/>
      <c r="N853" s="260"/>
      <c r="O853" s="260"/>
    </row>
    <row r="854" spans="1:15" ht="17.25">
      <c r="A854" s="178" t="s">
        <v>97</v>
      </c>
      <c r="B854" s="75" t="s">
        <v>1268</v>
      </c>
      <c r="C854" s="39" t="s">
        <v>17</v>
      </c>
      <c r="D854" s="255"/>
      <c r="E854" s="325" t="e">
        <f>#REF!</f>
        <v>#REF!</v>
      </c>
      <c r="F854" s="325" t="e">
        <f>#REF!</f>
        <v>#REF!</v>
      </c>
      <c r="G854" s="325" t="e">
        <f>#REF!</f>
        <v>#REF!</v>
      </c>
      <c r="H854" s="325" t="e">
        <f t="shared" si="38"/>
        <v>#REF!</v>
      </c>
      <c r="I854" s="261"/>
      <c r="J854" s="265" t="e">
        <f t="shared" si="37"/>
        <v>#REF!</v>
      </c>
      <c r="K854" s="295"/>
      <c r="L854" s="270"/>
      <c r="M854" s="263"/>
      <c r="N854" s="261"/>
      <c r="O854" s="260"/>
    </row>
    <row r="855" spans="1:15" ht="17.25">
      <c r="A855" s="178" t="s">
        <v>97</v>
      </c>
      <c r="B855" s="75" t="s">
        <v>221</v>
      </c>
      <c r="C855" s="39" t="s">
        <v>17</v>
      </c>
      <c r="D855" s="255">
        <v>2</v>
      </c>
      <c r="E855" s="325" t="e">
        <f>#REF!</f>
        <v>#REF!</v>
      </c>
      <c r="F855" s="325" t="e">
        <f>#REF!</f>
        <v>#REF!</v>
      </c>
      <c r="G855" s="325" t="e">
        <f>#REF!</f>
        <v>#REF!</v>
      </c>
      <c r="H855" s="325" t="e">
        <f t="shared" si="38"/>
        <v>#REF!</v>
      </c>
      <c r="I855" s="266">
        <v>73150</v>
      </c>
      <c r="J855" s="266">
        <f>I855*D855</f>
        <v>146300</v>
      </c>
      <c r="K855" s="306"/>
      <c r="L855" s="280">
        <v>42430</v>
      </c>
      <c r="M855" s="309" t="s">
        <v>15</v>
      </c>
      <c r="N855" s="254" t="s">
        <v>342</v>
      </c>
      <c r="O855" s="266" t="s">
        <v>1642</v>
      </c>
    </row>
    <row r="856" spans="1:15" ht="17.25">
      <c r="A856" s="178" t="s">
        <v>97</v>
      </c>
      <c r="B856" s="75" t="s">
        <v>222</v>
      </c>
      <c r="C856" s="39" t="s">
        <v>17</v>
      </c>
      <c r="D856" s="255">
        <v>1</v>
      </c>
      <c r="E856" s="325" t="e">
        <f>#REF!</f>
        <v>#REF!</v>
      </c>
      <c r="F856" s="325" t="e">
        <f>#REF!</f>
        <v>#REF!</v>
      </c>
      <c r="G856" s="325" t="e">
        <f>#REF!</f>
        <v>#REF!</v>
      </c>
      <c r="H856" s="325" t="e">
        <f t="shared" si="38"/>
        <v>#REF!</v>
      </c>
      <c r="I856" s="265">
        <v>254200</v>
      </c>
      <c r="J856" s="266">
        <f>I856*D856</f>
        <v>254200</v>
      </c>
      <c r="K856" s="307"/>
      <c r="L856" s="310">
        <v>42383</v>
      </c>
      <c r="M856" s="308" t="s">
        <v>15</v>
      </c>
      <c r="N856" s="254" t="s">
        <v>342</v>
      </c>
      <c r="O856" s="266" t="s">
        <v>1642</v>
      </c>
    </row>
    <row r="857" spans="1:15" ht="25.5">
      <c r="A857" s="178" t="s">
        <v>97</v>
      </c>
      <c r="B857" s="75" t="s">
        <v>223</v>
      </c>
      <c r="C857" s="39" t="s">
        <v>17</v>
      </c>
      <c r="D857" s="255"/>
      <c r="E857" s="325" t="e">
        <f>#REF!</f>
        <v>#REF!</v>
      </c>
      <c r="F857" s="325" t="e">
        <f>#REF!</f>
        <v>#REF!</v>
      </c>
      <c r="G857" s="325" t="e">
        <f>#REF!</f>
        <v>#REF!</v>
      </c>
      <c r="H857" s="325" t="e">
        <f t="shared" si="38"/>
        <v>#REF!</v>
      </c>
      <c r="I857" s="260"/>
      <c r="J857" s="266" t="e">
        <f>I857*H857</f>
        <v>#REF!</v>
      </c>
      <c r="K857" s="294"/>
      <c r="L857" s="271"/>
      <c r="M857" s="264"/>
      <c r="N857" s="260"/>
      <c r="O857" s="260"/>
    </row>
    <row r="858" spans="1:15" ht="17.25">
      <c r="A858" s="178" t="s">
        <v>97</v>
      </c>
      <c r="B858" s="75" t="s">
        <v>224</v>
      </c>
      <c r="C858" s="39" t="s">
        <v>17</v>
      </c>
      <c r="D858" s="255"/>
      <c r="E858" s="325" t="e">
        <f>#REF!</f>
        <v>#REF!</v>
      </c>
      <c r="F858" s="325" t="e">
        <f>#REF!</f>
        <v>#REF!</v>
      </c>
      <c r="G858" s="325" t="e">
        <f>#REF!</f>
        <v>#REF!</v>
      </c>
      <c r="H858" s="325" t="e">
        <f t="shared" si="38"/>
        <v>#REF!</v>
      </c>
      <c r="I858" s="261"/>
      <c r="J858" s="266" t="e">
        <f>I858*H858</f>
        <v>#REF!</v>
      </c>
      <c r="K858" s="295"/>
      <c r="L858" s="270"/>
      <c r="M858" s="263"/>
      <c r="N858" s="261"/>
      <c r="O858" s="260"/>
    </row>
    <row r="859" spans="1:15" ht="17.25">
      <c r="A859" s="178" t="s">
        <v>97</v>
      </c>
      <c r="B859" s="75" t="s">
        <v>225</v>
      </c>
      <c r="C859" s="39" t="s">
        <v>17</v>
      </c>
      <c r="D859" s="255"/>
      <c r="E859" s="325" t="e">
        <f>#REF!</f>
        <v>#REF!</v>
      </c>
      <c r="F859" s="325" t="e">
        <f>#REF!</f>
        <v>#REF!</v>
      </c>
      <c r="G859" s="325" t="e">
        <f>#REF!</f>
        <v>#REF!</v>
      </c>
      <c r="H859" s="325" t="e">
        <f t="shared" si="38"/>
        <v>#REF!</v>
      </c>
      <c r="I859" s="260"/>
      <c r="J859" s="266" t="e">
        <f>I859*H859</f>
        <v>#REF!</v>
      </c>
      <c r="K859" s="294"/>
      <c r="L859" s="271"/>
      <c r="M859" s="264"/>
      <c r="N859" s="260"/>
      <c r="O859" s="260"/>
    </row>
    <row r="860" spans="1:15" ht="31.5">
      <c r="A860" s="179" t="s">
        <v>97</v>
      </c>
      <c r="B860" s="76"/>
      <c r="C860" s="42"/>
      <c r="D860" s="76"/>
      <c r="E860" s="76"/>
      <c r="F860" s="76"/>
      <c r="G860" s="76"/>
      <c r="H860" s="76"/>
      <c r="I860" s="76"/>
      <c r="J860" s="76"/>
      <c r="K860" s="293" t="e">
        <f>SUM(J798:J859)</f>
        <v>#REF!</v>
      </c>
      <c r="L860" s="284"/>
      <c r="M860" s="76"/>
      <c r="N860" s="76"/>
      <c r="O860" s="76"/>
    </row>
    <row r="861" spans="1:15" ht="30">
      <c r="A861" s="178" t="s">
        <v>948</v>
      </c>
      <c r="B861" s="75" t="s">
        <v>949</v>
      </c>
      <c r="C861" s="39" t="s">
        <v>17</v>
      </c>
      <c r="D861" s="255"/>
      <c r="E861" s="325" t="e">
        <f>#REF!</f>
        <v>#REF!</v>
      </c>
      <c r="F861" s="325" t="e">
        <f>#REF!</f>
        <v>#REF!</v>
      </c>
      <c r="G861" s="325" t="e">
        <f>#REF!</f>
        <v>#REF!</v>
      </c>
      <c r="H861" s="325" t="e">
        <f t="shared" si="38"/>
        <v>#REF!</v>
      </c>
      <c r="I861" s="260"/>
      <c r="J861" s="266" t="e">
        <f>I861*H861</f>
        <v>#REF!</v>
      </c>
      <c r="K861" s="294"/>
      <c r="L861" s="271"/>
      <c r="M861" s="264"/>
      <c r="N861" s="260"/>
      <c r="O861" s="260"/>
    </row>
    <row r="862" spans="1:15" ht="30">
      <c r="A862" s="178" t="s">
        <v>948</v>
      </c>
      <c r="B862" s="75" t="s">
        <v>950</v>
      </c>
      <c r="C862" s="39" t="s">
        <v>17</v>
      </c>
      <c r="D862" s="255"/>
      <c r="E862" s="325" t="e">
        <f>#REF!</f>
        <v>#REF!</v>
      </c>
      <c r="F862" s="325" t="e">
        <f>#REF!</f>
        <v>#REF!</v>
      </c>
      <c r="G862" s="325" t="e">
        <f>#REF!</f>
        <v>#REF!</v>
      </c>
      <c r="H862" s="325" t="e">
        <f t="shared" si="38"/>
        <v>#REF!</v>
      </c>
      <c r="I862" s="261"/>
      <c r="J862" s="266" t="e">
        <f t="shared" ref="J862:J872" si="39">I862*H862</f>
        <v>#REF!</v>
      </c>
      <c r="K862" s="295"/>
      <c r="L862" s="270"/>
      <c r="M862" s="263"/>
      <c r="N862" s="261"/>
      <c r="O862" s="260"/>
    </row>
    <row r="863" spans="1:15" ht="30">
      <c r="A863" s="178" t="s">
        <v>948</v>
      </c>
      <c r="B863" s="75" t="s">
        <v>952</v>
      </c>
      <c r="C863" s="39" t="s">
        <v>17</v>
      </c>
      <c r="D863" s="255"/>
      <c r="E863" s="325" t="e">
        <f>#REF!</f>
        <v>#REF!</v>
      </c>
      <c r="F863" s="325" t="e">
        <f>#REF!</f>
        <v>#REF!</v>
      </c>
      <c r="G863" s="325" t="e">
        <f>#REF!</f>
        <v>#REF!</v>
      </c>
      <c r="H863" s="325" t="e">
        <f t="shared" si="38"/>
        <v>#REF!</v>
      </c>
      <c r="I863" s="260"/>
      <c r="J863" s="266" t="e">
        <f t="shared" si="39"/>
        <v>#REF!</v>
      </c>
      <c r="K863" s="294"/>
      <c r="L863" s="271"/>
      <c r="M863" s="264"/>
      <c r="N863" s="260"/>
      <c r="O863" s="260"/>
    </row>
    <row r="864" spans="1:15" ht="30">
      <c r="A864" s="178" t="s">
        <v>948</v>
      </c>
      <c r="B864" s="75" t="s">
        <v>953</v>
      </c>
      <c r="C864" s="39" t="s">
        <v>17</v>
      </c>
      <c r="D864" s="255"/>
      <c r="E864" s="325" t="e">
        <f>#REF!</f>
        <v>#REF!</v>
      </c>
      <c r="F864" s="325" t="e">
        <f>#REF!</f>
        <v>#REF!</v>
      </c>
      <c r="G864" s="325" t="e">
        <f>#REF!</f>
        <v>#REF!</v>
      </c>
      <c r="H864" s="325" t="e">
        <f t="shared" si="38"/>
        <v>#REF!</v>
      </c>
      <c r="I864" s="261"/>
      <c r="J864" s="266" t="e">
        <f t="shared" si="39"/>
        <v>#REF!</v>
      </c>
      <c r="K864" s="295"/>
      <c r="L864" s="270"/>
      <c r="M864" s="263"/>
      <c r="N864" s="261"/>
      <c r="O864" s="260"/>
    </row>
    <row r="865" spans="1:15" ht="30">
      <c r="A865" s="178" t="s">
        <v>948</v>
      </c>
      <c r="B865" s="75" t="s">
        <v>954</v>
      </c>
      <c r="C865" s="39" t="s">
        <v>17</v>
      </c>
      <c r="D865" s="255"/>
      <c r="E865" s="325" t="e">
        <f>#REF!</f>
        <v>#REF!</v>
      </c>
      <c r="F865" s="325" t="e">
        <f>#REF!</f>
        <v>#REF!</v>
      </c>
      <c r="G865" s="325" t="e">
        <f>#REF!</f>
        <v>#REF!</v>
      </c>
      <c r="H865" s="325" t="e">
        <f t="shared" si="38"/>
        <v>#REF!</v>
      </c>
      <c r="I865" s="260"/>
      <c r="J865" s="266" t="e">
        <f t="shared" si="39"/>
        <v>#REF!</v>
      </c>
      <c r="K865" s="294"/>
      <c r="L865" s="271"/>
      <c r="M865" s="264"/>
      <c r="N865" s="260"/>
      <c r="O865" s="260"/>
    </row>
    <row r="866" spans="1:15" ht="30">
      <c r="A866" s="178" t="s">
        <v>948</v>
      </c>
      <c r="B866" s="75" t="s">
        <v>955</v>
      </c>
      <c r="C866" s="39" t="s">
        <v>17</v>
      </c>
      <c r="D866" s="255"/>
      <c r="E866" s="325" t="e">
        <f>#REF!</f>
        <v>#REF!</v>
      </c>
      <c r="F866" s="325" t="e">
        <f>#REF!</f>
        <v>#REF!</v>
      </c>
      <c r="G866" s="325" t="e">
        <f>#REF!</f>
        <v>#REF!</v>
      </c>
      <c r="H866" s="325" t="e">
        <f t="shared" si="38"/>
        <v>#REF!</v>
      </c>
      <c r="I866" s="261"/>
      <c r="J866" s="266" t="e">
        <f t="shared" si="39"/>
        <v>#REF!</v>
      </c>
      <c r="K866" s="295"/>
      <c r="L866" s="270"/>
      <c r="M866" s="263"/>
      <c r="N866" s="261"/>
      <c r="O866" s="260"/>
    </row>
    <row r="867" spans="1:15" ht="30">
      <c r="A867" s="178" t="s">
        <v>948</v>
      </c>
      <c r="B867" s="75" t="s">
        <v>956</v>
      </c>
      <c r="C867" s="39" t="s">
        <v>17</v>
      </c>
      <c r="D867" s="255"/>
      <c r="E867" s="325" t="e">
        <f>#REF!</f>
        <v>#REF!</v>
      </c>
      <c r="F867" s="325" t="e">
        <f>#REF!</f>
        <v>#REF!</v>
      </c>
      <c r="G867" s="325" t="e">
        <f>#REF!</f>
        <v>#REF!</v>
      </c>
      <c r="H867" s="325" t="e">
        <f t="shared" si="38"/>
        <v>#REF!</v>
      </c>
      <c r="I867" s="260"/>
      <c r="J867" s="266" t="e">
        <f t="shared" si="39"/>
        <v>#REF!</v>
      </c>
      <c r="K867" s="294"/>
      <c r="L867" s="271"/>
      <c r="M867" s="264"/>
      <c r="N867" s="260"/>
      <c r="O867" s="260"/>
    </row>
    <row r="868" spans="1:15" ht="30">
      <c r="A868" s="178" t="s">
        <v>948</v>
      </c>
      <c r="B868" s="75" t="s">
        <v>957</v>
      </c>
      <c r="C868" s="39" t="s">
        <v>17</v>
      </c>
      <c r="D868" s="255"/>
      <c r="E868" s="325" t="e">
        <f>#REF!</f>
        <v>#REF!</v>
      </c>
      <c r="F868" s="325" t="e">
        <f>#REF!</f>
        <v>#REF!</v>
      </c>
      <c r="G868" s="325" t="e">
        <f>#REF!</f>
        <v>#REF!</v>
      </c>
      <c r="H868" s="325" t="e">
        <f t="shared" si="38"/>
        <v>#REF!</v>
      </c>
      <c r="I868" s="261"/>
      <c r="J868" s="266" t="e">
        <f t="shared" si="39"/>
        <v>#REF!</v>
      </c>
      <c r="K868" s="295"/>
      <c r="L868" s="270"/>
      <c r="M868" s="263"/>
      <c r="N868" s="261"/>
      <c r="O868" s="260"/>
    </row>
    <row r="869" spans="1:15" ht="30">
      <c r="A869" s="178" t="s">
        <v>948</v>
      </c>
      <c r="B869" s="75" t="s">
        <v>958</v>
      </c>
      <c r="C869" s="39" t="s">
        <v>17</v>
      </c>
      <c r="D869" s="255"/>
      <c r="E869" s="325" t="e">
        <f>#REF!</f>
        <v>#REF!</v>
      </c>
      <c r="F869" s="325" t="e">
        <f>#REF!</f>
        <v>#REF!</v>
      </c>
      <c r="G869" s="325" t="e">
        <f>#REF!</f>
        <v>#REF!</v>
      </c>
      <c r="H869" s="325" t="e">
        <f t="shared" si="38"/>
        <v>#REF!</v>
      </c>
      <c r="I869" s="260"/>
      <c r="J869" s="266" t="e">
        <f t="shared" si="39"/>
        <v>#REF!</v>
      </c>
      <c r="K869" s="294"/>
      <c r="L869" s="271"/>
      <c r="M869" s="264"/>
      <c r="N869" s="260"/>
      <c r="O869" s="260"/>
    </row>
    <row r="870" spans="1:15" ht="30">
      <c r="A870" s="178" t="s">
        <v>948</v>
      </c>
      <c r="B870" s="75" t="s">
        <v>951</v>
      </c>
      <c r="C870" s="39" t="s">
        <v>17</v>
      </c>
      <c r="D870" s="255"/>
      <c r="E870" s="325" t="e">
        <f>#REF!</f>
        <v>#REF!</v>
      </c>
      <c r="F870" s="325" t="e">
        <f>#REF!</f>
        <v>#REF!</v>
      </c>
      <c r="G870" s="325" t="e">
        <f>#REF!</f>
        <v>#REF!</v>
      </c>
      <c r="H870" s="325" t="e">
        <f t="shared" si="38"/>
        <v>#REF!</v>
      </c>
      <c r="I870" s="261"/>
      <c r="J870" s="266" t="e">
        <f t="shared" si="39"/>
        <v>#REF!</v>
      </c>
      <c r="K870" s="295"/>
      <c r="L870" s="270"/>
      <c r="M870" s="263"/>
      <c r="N870" s="261"/>
      <c r="O870" s="260"/>
    </row>
    <row r="871" spans="1:15" ht="30">
      <c r="A871" s="178" t="s">
        <v>948</v>
      </c>
      <c r="B871" s="75" t="s">
        <v>959</v>
      </c>
      <c r="C871" s="39" t="s">
        <v>17</v>
      </c>
      <c r="D871" s="255"/>
      <c r="E871" s="325" t="e">
        <f>#REF!</f>
        <v>#REF!</v>
      </c>
      <c r="F871" s="325" t="e">
        <f>#REF!</f>
        <v>#REF!</v>
      </c>
      <c r="G871" s="325" t="e">
        <f>#REF!</f>
        <v>#REF!</v>
      </c>
      <c r="H871" s="325" t="e">
        <f t="shared" si="38"/>
        <v>#REF!</v>
      </c>
      <c r="I871" s="260"/>
      <c r="J871" s="266" t="e">
        <f t="shared" si="39"/>
        <v>#REF!</v>
      </c>
      <c r="K871" s="294"/>
      <c r="L871" s="271"/>
      <c r="M871" s="264"/>
      <c r="N871" s="260"/>
      <c r="O871" s="260"/>
    </row>
    <row r="872" spans="1:15" ht="30">
      <c r="A872" s="178" t="s">
        <v>948</v>
      </c>
      <c r="B872" s="75" t="s">
        <v>963</v>
      </c>
      <c r="C872" s="39" t="s">
        <v>17</v>
      </c>
      <c r="D872" s="255"/>
      <c r="E872" s="325" t="e">
        <f>#REF!</f>
        <v>#REF!</v>
      </c>
      <c r="F872" s="325" t="e">
        <f>#REF!</f>
        <v>#REF!</v>
      </c>
      <c r="G872" s="325" t="e">
        <f>#REF!</f>
        <v>#REF!</v>
      </c>
      <c r="H872" s="325" t="e">
        <f t="shared" si="38"/>
        <v>#REF!</v>
      </c>
      <c r="I872" s="261"/>
      <c r="J872" s="266" t="e">
        <f t="shared" si="39"/>
        <v>#REF!</v>
      </c>
      <c r="K872" s="295"/>
      <c r="L872" s="270"/>
      <c r="M872" s="263"/>
      <c r="N872" s="261"/>
      <c r="O872" s="260"/>
    </row>
    <row r="873" spans="1:15" ht="31.5">
      <c r="A873" s="179" t="s">
        <v>948</v>
      </c>
      <c r="B873" s="76"/>
      <c r="C873" s="42"/>
      <c r="D873" s="76"/>
      <c r="E873" s="76"/>
      <c r="F873" s="76"/>
      <c r="G873" s="76"/>
      <c r="H873" s="76"/>
      <c r="I873" s="76"/>
      <c r="J873" s="76"/>
      <c r="K873" s="293" t="e">
        <f>SUM(J861:J872)</f>
        <v>#REF!</v>
      </c>
      <c r="L873" s="284"/>
      <c r="M873" s="76"/>
      <c r="N873" s="76"/>
      <c r="O873" s="76"/>
    </row>
    <row r="874" spans="1:15" ht="31.5">
      <c r="A874" s="178" t="s">
        <v>99</v>
      </c>
      <c r="B874" s="75" t="s">
        <v>1654</v>
      </c>
      <c r="C874" s="39" t="s">
        <v>17</v>
      </c>
      <c r="D874" s="255">
        <v>2</v>
      </c>
      <c r="E874" s="325" t="e">
        <f>#REF!</f>
        <v>#REF!</v>
      </c>
      <c r="F874" s="325" t="e">
        <f>#REF!</f>
        <v>#REF!</v>
      </c>
      <c r="G874" s="325" t="e">
        <f>#REF!</f>
        <v>#REF!</v>
      </c>
      <c r="H874" s="325" t="e">
        <f t="shared" si="38"/>
        <v>#REF!</v>
      </c>
      <c r="I874" s="266">
        <v>3619.98</v>
      </c>
      <c r="J874" s="266">
        <f>I874*D874</f>
        <v>7239.96</v>
      </c>
      <c r="K874" s="307"/>
      <c r="L874" s="310">
        <v>42423</v>
      </c>
      <c r="M874" s="308" t="s">
        <v>1663</v>
      </c>
      <c r="N874" s="254" t="s">
        <v>342</v>
      </c>
      <c r="O874" s="266" t="s">
        <v>1643</v>
      </c>
    </row>
    <row r="875" spans="1:15" ht="31.5">
      <c r="A875" s="178" t="s">
        <v>99</v>
      </c>
      <c r="B875" s="75" t="s">
        <v>1653</v>
      </c>
      <c r="C875" s="39" t="s">
        <v>17</v>
      </c>
      <c r="D875" s="255">
        <v>2</v>
      </c>
      <c r="E875" s="325" t="e">
        <f>#REF!</f>
        <v>#REF!</v>
      </c>
      <c r="F875" s="325" t="e">
        <f>#REF!</f>
        <v>#REF!</v>
      </c>
      <c r="G875" s="325" t="e">
        <f>#REF!</f>
        <v>#REF!</v>
      </c>
      <c r="H875" s="325" t="e">
        <f t="shared" si="38"/>
        <v>#REF!</v>
      </c>
      <c r="I875" s="266">
        <v>3619.98</v>
      </c>
      <c r="J875" s="266">
        <f>I875*D875</f>
        <v>7239.96</v>
      </c>
      <c r="K875" s="307"/>
      <c r="L875" s="310">
        <v>42423</v>
      </c>
      <c r="M875" s="308" t="s">
        <v>1663</v>
      </c>
      <c r="N875" s="254" t="s">
        <v>342</v>
      </c>
      <c r="O875" s="266" t="s">
        <v>1643</v>
      </c>
    </row>
    <row r="876" spans="1:15" ht="31.5">
      <c r="A876" s="178" t="s">
        <v>99</v>
      </c>
      <c r="B876" s="75" t="s">
        <v>1652</v>
      </c>
      <c r="C876" s="39" t="s">
        <v>17</v>
      </c>
      <c r="D876" s="255">
        <v>2</v>
      </c>
      <c r="E876" s="325" t="e">
        <f>#REF!</f>
        <v>#REF!</v>
      </c>
      <c r="F876" s="325" t="e">
        <f>#REF!</f>
        <v>#REF!</v>
      </c>
      <c r="G876" s="325" t="e">
        <f>#REF!</f>
        <v>#REF!</v>
      </c>
      <c r="H876" s="325" t="e">
        <f t="shared" si="38"/>
        <v>#REF!</v>
      </c>
      <c r="I876" s="265">
        <v>3619.98</v>
      </c>
      <c r="J876" s="266">
        <f>I876*D876</f>
        <v>7239.96</v>
      </c>
      <c r="K876" s="307"/>
      <c r="L876" s="310">
        <v>42423</v>
      </c>
      <c r="M876" s="308" t="s">
        <v>1663</v>
      </c>
      <c r="N876" s="254" t="s">
        <v>342</v>
      </c>
      <c r="O876" s="266" t="s">
        <v>1643</v>
      </c>
    </row>
    <row r="877" spans="1:15" ht="31.5">
      <c r="A877" s="178" t="s">
        <v>99</v>
      </c>
      <c r="B877" s="75" t="s">
        <v>1651</v>
      </c>
      <c r="C877" s="39" t="s">
        <v>33</v>
      </c>
      <c r="D877" s="255">
        <v>2</v>
      </c>
      <c r="E877" s="325" t="e">
        <f>#REF!</f>
        <v>#REF!</v>
      </c>
      <c r="F877" s="325" t="e">
        <f>#REF!</f>
        <v>#REF!</v>
      </c>
      <c r="G877" s="325" t="e">
        <f>#REF!</f>
        <v>#REF!</v>
      </c>
      <c r="H877" s="325" t="e">
        <f t="shared" si="38"/>
        <v>#REF!</v>
      </c>
      <c r="I877" s="265">
        <v>7990.49</v>
      </c>
      <c r="J877" s="266">
        <f>I877*D877</f>
        <v>15980.98</v>
      </c>
      <c r="K877" s="307"/>
      <c r="L877" s="310">
        <v>42423</v>
      </c>
      <c r="M877" s="308" t="s">
        <v>1663</v>
      </c>
      <c r="N877" s="254" t="s">
        <v>342</v>
      </c>
      <c r="O877" s="266" t="s">
        <v>1643</v>
      </c>
    </row>
    <row r="878" spans="1:15" ht="31.5">
      <c r="A878" s="178" t="s">
        <v>99</v>
      </c>
      <c r="B878" s="75" t="s">
        <v>1650</v>
      </c>
      <c r="C878" s="39" t="s">
        <v>33</v>
      </c>
      <c r="D878" s="255">
        <v>2</v>
      </c>
      <c r="E878" s="325" t="e">
        <f>#REF!</f>
        <v>#REF!</v>
      </c>
      <c r="F878" s="325" t="e">
        <f>#REF!</f>
        <v>#REF!</v>
      </c>
      <c r="G878" s="325" t="e">
        <f>#REF!</f>
        <v>#REF!</v>
      </c>
      <c r="H878" s="325" t="e">
        <f t="shared" si="38"/>
        <v>#REF!</v>
      </c>
      <c r="I878" s="265">
        <v>1928</v>
      </c>
      <c r="J878" s="266">
        <f>I878*D878</f>
        <v>3856</v>
      </c>
      <c r="K878" s="307"/>
      <c r="L878" s="310">
        <v>42423</v>
      </c>
      <c r="M878" s="308" t="s">
        <v>1663</v>
      </c>
      <c r="N878" s="254" t="s">
        <v>342</v>
      </c>
      <c r="O878" s="266" t="s">
        <v>1643</v>
      </c>
    </row>
    <row r="879" spans="1:15" ht="30">
      <c r="A879" s="178" t="s">
        <v>99</v>
      </c>
      <c r="B879" s="75" t="s">
        <v>306</v>
      </c>
      <c r="C879" s="39" t="s">
        <v>33</v>
      </c>
      <c r="D879" s="255"/>
      <c r="E879" s="325" t="e">
        <f>#REF!</f>
        <v>#REF!</v>
      </c>
      <c r="F879" s="325" t="e">
        <f>#REF!</f>
        <v>#REF!</v>
      </c>
      <c r="G879" s="325" t="e">
        <f>#REF!</f>
        <v>#REF!</v>
      </c>
      <c r="H879" s="325" t="e">
        <f t="shared" si="38"/>
        <v>#REF!</v>
      </c>
      <c r="I879" s="265"/>
      <c r="J879" s="265" t="e">
        <f>I879*H879</f>
        <v>#REF!</v>
      </c>
      <c r="K879" s="307"/>
      <c r="L879" s="310"/>
      <c r="M879" s="308"/>
      <c r="N879" s="265"/>
      <c r="O879" s="266"/>
    </row>
    <row r="880" spans="1:15" ht="31.5">
      <c r="A880" s="178" t="s">
        <v>99</v>
      </c>
      <c r="B880" s="75" t="s">
        <v>307</v>
      </c>
      <c r="C880" s="39" t="s">
        <v>308</v>
      </c>
      <c r="D880" s="255">
        <v>2</v>
      </c>
      <c r="E880" s="325" t="e">
        <f>#REF!</f>
        <v>#REF!</v>
      </c>
      <c r="F880" s="325" t="e">
        <f>#REF!</f>
        <v>#REF!</v>
      </c>
      <c r="G880" s="325" t="e">
        <f>#REF!</f>
        <v>#REF!</v>
      </c>
      <c r="H880" s="325" t="e">
        <f t="shared" si="38"/>
        <v>#REF!</v>
      </c>
      <c r="I880" s="266">
        <v>9121.4599999999991</v>
      </c>
      <c r="J880" s="266">
        <f>I880*D880</f>
        <v>18242.919999999998</v>
      </c>
      <c r="K880" s="306"/>
      <c r="L880" s="310">
        <v>42423</v>
      </c>
      <c r="M880" s="308" t="s">
        <v>1663</v>
      </c>
      <c r="N880" s="254" t="s">
        <v>342</v>
      </c>
      <c r="O880" s="266" t="s">
        <v>1643</v>
      </c>
    </row>
    <row r="881" spans="1:15" ht="31.5">
      <c r="A881" s="178" t="s">
        <v>99</v>
      </c>
      <c r="B881" s="75" t="s">
        <v>309</v>
      </c>
      <c r="C881" s="39" t="s">
        <v>308</v>
      </c>
      <c r="D881" s="255">
        <v>2</v>
      </c>
      <c r="E881" s="325" t="e">
        <f>#REF!</f>
        <v>#REF!</v>
      </c>
      <c r="F881" s="325" t="e">
        <f>#REF!</f>
        <v>#REF!</v>
      </c>
      <c r="G881" s="325" t="e">
        <f>#REF!</f>
        <v>#REF!</v>
      </c>
      <c r="H881" s="325" t="e">
        <f t="shared" si="38"/>
        <v>#REF!</v>
      </c>
      <c r="I881" s="265">
        <v>4019.08</v>
      </c>
      <c r="J881" s="266">
        <f>I881*D881</f>
        <v>8038.16</v>
      </c>
      <c r="K881" s="307"/>
      <c r="L881" s="310">
        <v>42423</v>
      </c>
      <c r="M881" s="308" t="s">
        <v>1663</v>
      </c>
      <c r="N881" s="254" t="s">
        <v>342</v>
      </c>
      <c r="O881" s="266" t="s">
        <v>1643</v>
      </c>
    </row>
    <row r="882" spans="1:15" ht="30">
      <c r="A882" s="178" t="s">
        <v>99</v>
      </c>
      <c r="B882" s="75" t="s">
        <v>230</v>
      </c>
      <c r="C882" s="39" t="s">
        <v>17</v>
      </c>
      <c r="D882" s="255"/>
      <c r="E882" s="325" t="e">
        <f>#REF!</f>
        <v>#REF!</v>
      </c>
      <c r="F882" s="325" t="e">
        <f>#REF!</f>
        <v>#REF!</v>
      </c>
      <c r="G882" s="325" t="e">
        <f>#REF!</f>
        <v>#REF!</v>
      </c>
      <c r="H882" s="325" t="e">
        <f t="shared" si="38"/>
        <v>#REF!</v>
      </c>
      <c r="I882" s="260"/>
      <c r="J882" s="266" t="e">
        <f>I882*H882</f>
        <v>#REF!</v>
      </c>
      <c r="K882" s="294"/>
      <c r="L882" s="271"/>
      <c r="M882" s="264"/>
      <c r="N882" s="260"/>
      <c r="O882" s="260"/>
    </row>
    <row r="883" spans="1:15" ht="30">
      <c r="A883" s="178" t="s">
        <v>99</v>
      </c>
      <c r="B883" s="75" t="s">
        <v>310</v>
      </c>
      <c r="C883" s="39" t="s">
        <v>308</v>
      </c>
      <c r="D883" s="255"/>
      <c r="E883" s="325" t="e">
        <f>#REF!</f>
        <v>#REF!</v>
      </c>
      <c r="F883" s="325" t="e">
        <f>#REF!</f>
        <v>#REF!</v>
      </c>
      <c r="G883" s="325" t="e">
        <f>#REF!</f>
        <v>#REF!</v>
      </c>
      <c r="H883" s="325" t="e">
        <f t="shared" si="38"/>
        <v>#REF!</v>
      </c>
      <c r="I883" s="261"/>
      <c r="J883" s="266" t="e">
        <f>I883*H883</f>
        <v>#REF!</v>
      </c>
      <c r="K883" s="295"/>
      <c r="L883" s="270"/>
      <c r="M883" s="263"/>
      <c r="N883" s="261"/>
      <c r="O883" s="260"/>
    </row>
    <row r="884" spans="1:15" ht="30">
      <c r="A884" s="178" t="s">
        <v>99</v>
      </c>
      <c r="B884" s="75" t="s">
        <v>311</v>
      </c>
      <c r="C884" s="39" t="s">
        <v>312</v>
      </c>
      <c r="D884" s="255"/>
      <c r="E884" s="325" t="e">
        <f>#REF!</f>
        <v>#REF!</v>
      </c>
      <c r="F884" s="325" t="e">
        <f>#REF!</f>
        <v>#REF!</v>
      </c>
      <c r="G884" s="325" t="e">
        <f>#REF!</f>
        <v>#REF!</v>
      </c>
      <c r="H884" s="325" t="e">
        <f t="shared" si="38"/>
        <v>#REF!</v>
      </c>
      <c r="I884" s="260"/>
      <c r="J884" s="266" t="e">
        <f>I884*H884</f>
        <v>#REF!</v>
      </c>
      <c r="K884" s="294"/>
      <c r="L884" s="271"/>
      <c r="M884" s="264"/>
      <c r="N884" s="260"/>
      <c r="O884" s="260"/>
    </row>
    <row r="885" spans="1:15" ht="30">
      <c r="A885" s="178" t="s">
        <v>99</v>
      </c>
      <c r="B885" s="75" t="s">
        <v>314</v>
      </c>
      <c r="C885" s="39" t="s">
        <v>315</v>
      </c>
      <c r="D885" s="255"/>
      <c r="E885" s="325" t="e">
        <f>#REF!</f>
        <v>#REF!</v>
      </c>
      <c r="F885" s="325" t="e">
        <f>#REF!</f>
        <v>#REF!</v>
      </c>
      <c r="G885" s="325" t="e">
        <f>#REF!</f>
        <v>#REF!</v>
      </c>
      <c r="H885" s="325" t="e">
        <f t="shared" si="38"/>
        <v>#REF!</v>
      </c>
      <c r="I885" s="261"/>
      <c r="J885" s="266" t="e">
        <f>I885*H885</f>
        <v>#REF!</v>
      </c>
      <c r="K885" s="295"/>
      <c r="L885" s="270"/>
      <c r="M885" s="263"/>
      <c r="N885" s="261"/>
      <c r="O885" s="260"/>
    </row>
    <row r="886" spans="1:15" ht="31.5">
      <c r="A886" s="178" t="s">
        <v>99</v>
      </c>
      <c r="B886" s="75" t="s">
        <v>313</v>
      </c>
      <c r="C886" s="39" t="s">
        <v>308</v>
      </c>
      <c r="D886" s="255">
        <v>1</v>
      </c>
      <c r="E886" s="325" t="e">
        <f>#REF!</f>
        <v>#REF!</v>
      </c>
      <c r="F886" s="325" t="e">
        <f>#REF!</f>
        <v>#REF!</v>
      </c>
      <c r="G886" s="325" t="e">
        <f>#REF!</f>
        <v>#REF!</v>
      </c>
      <c r="H886" s="325" t="e">
        <f t="shared" si="38"/>
        <v>#REF!</v>
      </c>
      <c r="I886" s="266">
        <v>2892.75</v>
      </c>
      <c r="J886" s="266">
        <f>I886*D886</f>
        <v>2892.75</v>
      </c>
      <c r="K886" s="306"/>
      <c r="L886" s="280">
        <v>42423</v>
      </c>
      <c r="M886" s="308" t="s">
        <v>1663</v>
      </c>
      <c r="N886" s="254" t="s">
        <v>342</v>
      </c>
      <c r="O886" s="266" t="s">
        <v>1642</v>
      </c>
    </row>
    <row r="887" spans="1:15" ht="30">
      <c r="A887" s="178" t="s">
        <v>99</v>
      </c>
      <c r="B887" s="75" t="s">
        <v>231</v>
      </c>
      <c r="C887" s="39" t="s">
        <v>17</v>
      </c>
      <c r="D887" s="255"/>
      <c r="E887" s="325" t="e">
        <f>#REF!</f>
        <v>#REF!</v>
      </c>
      <c r="F887" s="325" t="e">
        <f>#REF!</f>
        <v>#REF!</v>
      </c>
      <c r="G887" s="325" t="e">
        <f>#REF!</f>
        <v>#REF!</v>
      </c>
      <c r="H887" s="325" t="e">
        <f t="shared" si="38"/>
        <v>#REF!</v>
      </c>
      <c r="I887" s="265"/>
      <c r="J887" s="265" t="e">
        <f>I887*H887</f>
        <v>#REF!</v>
      </c>
      <c r="K887" s="307"/>
      <c r="L887" s="310"/>
      <c r="M887" s="308"/>
      <c r="N887" s="265"/>
      <c r="O887" s="266"/>
    </row>
    <row r="888" spans="1:15" ht="30">
      <c r="A888" s="178" t="s">
        <v>99</v>
      </c>
      <c r="B888" s="75" t="s">
        <v>232</v>
      </c>
      <c r="C888" s="39" t="s">
        <v>17</v>
      </c>
      <c r="D888" s="255"/>
      <c r="E888" s="325" t="e">
        <f>#REF!</f>
        <v>#REF!</v>
      </c>
      <c r="F888" s="325" t="e">
        <f>#REF!</f>
        <v>#REF!</v>
      </c>
      <c r="G888" s="325" t="e">
        <f>#REF!</f>
        <v>#REF!</v>
      </c>
      <c r="H888" s="325" t="e">
        <f t="shared" si="38"/>
        <v>#REF!</v>
      </c>
      <c r="I888" s="266"/>
      <c r="J888" s="266" t="e">
        <f>I888*H888</f>
        <v>#REF!</v>
      </c>
      <c r="K888" s="306"/>
      <c r="L888" s="280"/>
      <c r="M888" s="309"/>
      <c r="N888" s="266"/>
      <c r="O888" s="266"/>
    </row>
    <row r="889" spans="1:15" ht="30">
      <c r="A889" s="178" t="s">
        <v>99</v>
      </c>
      <c r="B889" s="75" t="s">
        <v>1031</v>
      </c>
      <c r="C889" s="39" t="s">
        <v>1037</v>
      </c>
      <c r="D889" s="255">
        <v>70</v>
      </c>
      <c r="E889" s="325" t="e">
        <f>#REF!</f>
        <v>#REF!</v>
      </c>
      <c r="F889" s="325" t="e">
        <f>#REF!</f>
        <v>#REF!</v>
      </c>
      <c r="G889" s="325" t="e">
        <f>#REF!</f>
        <v>#REF!</v>
      </c>
      <c r="H889" s="325" t="e">
        <f t="shared" si="38"/>
        <v>#REF!</v>
      </c>
      <c r="I889" s="265">
        <v>2575</v>
      </c>
      <c r="J889" s="266">
        <f>I889*D889</f>
        <v>180250</v>
      </c>
      <c r="K889" s="307"/>
      <c r="L889" s="310">
        <v>42423</v>
      </c>
      <c r="M889" s="308" t="s">
        <v>15</v>
      </c>
      <c r="N889" s="254" t="s">
        <v>342</v>
      </c>
      <c r="O889" s="266" t="s">
        <v>1642</v>
      </c>
    </row>
    <row r="890" spans="1:15" ht="31.5">
      <c r="A890" s="178" t="s">
        <v>99</v>
      </c>
      <c r="B890" s="75" t="s">
        <v>1032</v>
      </c>
      <c r="C890" s="39" t="s">
        <v>1037</v>
      </c>
      <c r="D890" s="255">
        <v>2</v>
      </c>
      <c r="E890" s="325" t="e">
        <f>#REF!</f>
        <v>#REF!</v>
      </c>
      <c r="F890" s="325" t="e">
        <f>#REF!</f>
        <v>#REF!</v>
      </c>
      <c r="G890" s="325" t="e">
        <f>#REF!</f>
        <v>#REF!</v>
      </c>
      <c r="H890" s="325" t="e">
        <f t="shared" si="38"/>
        <v>#REF!</v>
      </c>
      <c r="I890" s="266">
        <v>10547.47</v>
      </c>
      <c r="J890" s="266">
        <f>I890*D890</f>
        <v>21094.94</v>
      </c>
      <c r="K890" s="306"/>
      <c r="L890" s="280">
        <v>42423</v>
      </c>
      <c r="M890" s="308" t="s">
        <v>1663</v>
      </c>
      <c r="N890" s="254" t="s">
        <v>342</v>
      </c>
      <c r="O890" s="266" t="s">
        <v>1642</v>
      </c>
    </row>
    <row r="891" spans="1:15" ht="30">
      <c r="A891" s="178" t="s">
        <v>99</v>
      </c>
      <c r="B891" s="75" t="s">
        <v>1033</v>
      </c>
      <c r="C891" s="39" t="s">
        <v>1037</v>
      </c>
      <c r="D891" s="255"/>
      <c r="E891" s="325" t="e">
        <f>#REF!</f>
        <v>#REF!</v>
      </c>
      <c r="F891" s="325" t="e">
        <f>#REF!</f>
        <v>#REF!</v>
      </c>
      <c r="G891" s="325" t="e">
        <f>#REF!</f>
        <v>#REF!</v>
      </c>
      <c r="H891" s="325" t="e">
        <f t="shared" si="38"/>
        <v>#REF!</v>
      </c>
      <c r="I891" s="261"/>
      <c r="J891" s="265" t="e">
        <f>I891*H891</f>
        <v>#REF!</v>
      </c>
      <c r="K891" s="295"/>
      <c r="L891" s="270"/>
      <c r="M891" s="263"/>
      <c r="N891" s="261"/>
      <c r="O891" s="260"/>
    </row>
    <row r="892" spans="1:15" ht="30">
      <c r="A892" s="178" t="s">
        <v>99</v>
      </c>
      <c r="B892" s="75" t="s">
        <v>1034</v>
      </c>
      <c r="C892" s="39" t="s">
        <v>1037</v>
      </c>
      <c r="D892" s="255"/>
      <c r="E892" s="325" t="e">
        <f>#REF!</f>
        <v>#REF!</v>
      </c>
      <c r="F892" s="325" t="e">
        <f>#REF!</f>
        <v>#REF!</v>
      </c>
      <c r="G892" s="325" t="e">
        <f>#REF!</f>
        <v>#REF!</v>
      </c>
      <c r="H892" s="325" t="e">
        <f t="shared" si="38"/>
        <v>#REF!</v>
      </c>
      <c r="I892" s="260"/>
      <c r="J892" s="266" t="e">
        <f>I892*H892</f>
        <v>#REF!</v>
      </c>
      <c r="K892" s="294"/>
      <c r="L892" s="271"/>
      <c r="M892" s="264"/>
      <c r="N892" s="260"/>
      <c r="O892" s="260"/>
    </row>
    <row r="893" spans="1:15" ht="30">
      <c r="A893" s="178" t="s">
        <v>99</v>
      </c>
      <c r="B893" s="75" t="s">
        <v>1035</v>
      </c>
      <c r="C893" s="39" t="s">
        <v>1037</v>
      </c>
      <c r="D893" s="255"/>
      <c r="E893" s="325" t="e">
        <f>#REF!</f>
        <v>#REF!</v>
      </c>
      <c r="F893" s="325" t="e">
        <f>#REF!</f>
        <v>#REF!</v>
      </c>
      <c r="G893" s="325" t="e">
        <f>#REF!</f>
        <v>#REF!</v>
      </c>
      <c r="H893" s="325" t="e">
        <f t="shared" si="38"/>
        <v>#REF!</v>
      </c>
      <c r="I893" s="261"/>
      <c r="J893" s="265" t="e">
        <f>I893*H893</f>
        <v>#REF!</v>
      </c>
      <c r="K893" s="295"/>
      <c r="L893" s="270"/>
      <c r="M893" s="263"/>
      <c r="N893" s="261"/>
      <c r="O893" s="260"/>
    </row>
    <row r="894" spans="1:15" ht="31.5">
      <c r="A894" s="178" t="s">
        <v>99</v>
      </c>
      <c r="B894" s="75" t="s">
        <v>1036</v>
      </c>
      <c r="C894" s="39" t="s">
        <v>1037</v>
      </c>
      <c r="D894" s="255">
        <v>1</v>
      </c>
      <c r="E894" s="325" t="e">
        <f>#REF!</f>
        <v>#REF!</v>
      </c>
      <c r="F894" s="325" t="e">
        <f>#REF!</f>
        <v>#REF!</v>
      </c>
      <c r="G894" s="325" t="e">
        <f>#REF!</f>
        <v>#REF!</v>
      </c>
      <c r="H894" s="325" t="e">
        <f t="shared" si="38"/>
        <v>#REF!</v>
      </c>
      <c r="I894" s="266">
        <v>10141.74</v>
      </c>
      <c r="J894" s="266">
        <f t="shared" ref="J894:J904" si="40">I894*D894</f>
        <v>10141.74</v>
      </c>
      <c r="K894" s="306"/>
      <c r="L894" s="280">
        <v>42423</v>
      </c>
      <c r="M894" s="308" t="s">
        <v>1663</v>
      </c>
      <c r="N894" s="254" t="s">
        <v>342</v>
      </c>
      <c r="O894" s="266" t="s">
        <v>1642</v>
      </c>
    </row>
    <row r="895" spans="1:15" ht="31.5">
      <c r="A895" s="178" t="s">
        <v>99</v>
      </c>
      <c r="B895" s="75" t="s">
        <v>1038</v>
      </c>
      <c r="C895" s="39" t="s">
        <v>1037</v>
      </c>
      <c r="D895" s="255">
        <v>1</v>
      </c>
      <c r="E895" s="325" t="e">
        <f>#REF!</f>
        <v>#REF!</v>
      </c>
      <c r="F895" s="325" t="e">
        <f>#REF!</f>
        <v>#REF!</v>
      </c>
      <c r="G895" s="325" t="e">
        <f>#REF!</f>
        <v>#REF!</v>
      </c>
      <c r="H895" s="325" t="e">
        <f t="shared" si="38"/>
        <v>#REF!</v>
      </c>
      <c r="I895" s="265">
        <v>34985.32</v>
      </c>
      <c r="J895" s="266">
        <f t="shared" si="40"/>
        <v>34985.32</v>
      </c>
      <c r="K895" s="307"/>
      <c r="L895" s="310">
        <v>42423</v>
      </c>
      <c r="M895" s="308" t="s">
        <v>1663</v>
      </c>
      <c r="N895" s="254" t="s">
        <v>342</v>
      </c>
      <c r="O895" s="266" t="s">
        <v>1642</v>
      </c>
    </row>
    <row r="896" spans="1:15" ht="31.5">
      <c r="A896" s="178" t="s">
        <v>99</v>
      </c>
      <c r="B896" s="75" t="s">
        <v>1039</v>
      </c>
      <c r="C896" s="39" t="s">
        <v>1037</v>
      </c>
      <c r="D896" s="255">
        <v>1</v>
      </c>
      <c r="E896" s="325" t="e">
        <f>#REF!</f>
        <v>#REF!</v>
      </c>
      <c r="F896" s="325" t="e">
        <f>#REF!</f>
        <v>#REF!</v>
      </c>
      <c r="G896" s="325" t="e">
        <f>#REF!</f>
        <v>#REF!</v>
      </c>
      <c r="H896" s="325" t="e">
        <f t="shared" si="38"/>
        <v>#REF!</v>
      </c>
      <c r="I896" s="266">
        <v>73006.31</v>
      </c>
      <c r="J896" s="266">
        <f t="shared" si="40"/>
        <v>73006.31</v>
      </c>
      <c r="K896" s="306"/>
      <c r="L896" s="310">
        <v>42423</v>
      </c>
      <c r="M896" s="308" t="s">
        <v>1663</v>
      </c>
      <c r="N896" s="254" t="s">
        <v>342</v>
      </c>
      <c r="O896" s="266" t="s">
        <v>1642</v>
      </c>
    </row>
    <row r="897" spans="1:15" ht="31.5">
      <c r="A897" s="178" t="s">
        <v>99</v>
      </c>
      <c r="B897" s="75" t="s">
        <v>1040</v>
      </c>
      <c r="C897" s="39" t="s">
        <v>1037</v>
      </c>
      <c r="D897" s="255">
        <v>1</v>
      </c>
      <c r="E897" s="325" t="e">
        <f>#REF!</f>
        <v>#REF!</v>
      </c>
      <c r="F897" s="325" t="e">
        <f>#REF!</f>
        <v>#REF!</v>
      </c>
      <c r="G897" s="325" t="e">
        <f>#REF!</f>
        <v>#REF!</v>
      </c>
      <c r="H897" s="325" t="e">
        <f t="shared" si="38"/>
        <v>#REF!</v>
      </c>
      <c r="I897" s="265">
        <v>16570</v>
      </c>
      <c r="J897" s="266">
        <f t="shared" si="40"/>
        <v>16570</v>
      </c>
      <c r="K897" s="307"/>
      <c r="L897" s="310">
        <v>42423</v>
      </c>
      <c r="M897" s="308" t="s">
        <v>1663</v>
      </c>
      <c r="N897" s="254" t="s">
        <v>342</v>
      </c>
      <c r="O897" s="266" t="s">
        <v>1642</v>
      </c>
    </row>
    <row r="898" spans="1:15" ht="31.5">
      <c r="A898" s="178" t="s">
        <v>99</v>
      </c>
      <c r="B898" s="75" t="s">
        <v>1041</v>
      </c>
      <c r="C898" s="39" t="s">
        <v>1037</v>
      </c>
      <c r="D898" s="255">
        <v>1</v>
      </c>
      <c r="E898" s="325" t="e">
        <f>#REF!</f>
        <v>#REF!</v>
      </c>
      <c r="F898" s="325" t="e">
        <f>#REF!</f>
        <v>#REF!</v>
      </c>
      <c r="G898" s="325" t="e">
        <f>#REF!</f>
        <v>#REF!</v>
      </c>
      <c r="H898" s="325" t="e">
        <f t="shared" si="38"/>
        <v>#REF!</v>
      </c>
      <c r="I898" s="266">
        <v>43476.75</v>
      </c>
      <c r="J898" s="266">
        <f t="shared" si="40"/>
        <v>43476.75</v>
      </c>
      <c r="K898" s="306"/>
      <c r="L898" s="310">
        <v>42423</v>
      </c>
      <c r="M898" s="308" t="s">
        <v>1663</v>
      </c>
      <c r="N898" s="254" t="s">
        <v>342</v>
      </c>
      <c r="O898" s="266" t="s">
        <v>1642</v>
      </c>
    </row>
    <row r="899" spans="1:15" ht="31.5">
      <c r="A899" s="178" t="s">
        <v>99</v>
      </c>
      <c r="B899" s="75" t="s">
        <v>1042</v>
      </c>
      <c r="C899" s="39" t="s">
        <v>1037</v>
      </c>
      <c r="D899" s="255">
        <v>1</v>
      </c>
      <c r="E899" s="325" t="e">
        <f>#REF!</f>
        <v>#REF!</v>
      </c>
      <c r="F899" s="325" t="e">
        <f>#REF!</f>
        <v>#REF!</v>
      </c>
      <c r="G899" s="325" t="e">
        <f>#REF!</f>
        <v>#REF!</v>
      </c>
      <c r="H899" s="325" t="e">
        <f t="shared" si="38"/>
        <v>#REF!</v>
      </c>
      <c r="I899" s="265">
        <v>4255</v>
      </c>
      <c r="J899" s="266">
        <f t="shared" si="40"/>
        <v>4255</v>
      </c>
      <c r="K899" s="307"/>
      <c r="L899" s="310">
        <v>42423</v>
      </c>
      <c r="M899" s="308" t="s">
        <v>1663</v>
      </c>
      <c r="N899" s="254" t="s">
        <v>342</v>
      </c>
      <c r="O899" s="266" t="s">
        <v>1642</v>
      </c>
    </row>
    <row r="900" spans="1:15" ht="31.5">
      <c r="A900" s="178" t="s">
        <v>99</v>
      </c>
      <c r="B900" s="75" t="s">
        <v>1043</v>
      </c>
      <c r="C900" s="39" t="s">
        <v>1037</v>
      </c>
      <c r="D900" s="255">
        <v>1</v>
      </c>
      <c r="E900" s="325" t="e">
        <f>#REF!</f>
        <v>#REF!</v>
      </c>
      <c r="F900" s="325" t="e">
        <f>#REF!</f>
        <v>#REF!</v>
      </c>
      <c r="G900" s="325" t="e">
        <f>#REF!</f>
        <v>#REF!</v>
      </c>
      <c r="H900" s="325" t="e">
        <f t="shared" si="38"/>
        <v>#REF!</v>
      </c>
      <c r="I900" s="266">
        <v>4255</v>
      </c>
      <c r="J900" s="266">
        <f t="shared" si="40"/>
        <v>4255</v>
      </c>
      <c r="K900" s="306"/>
      <c r="L900" s="310">
        <v>42423</v>
      </c>
      <c r="M900" s="308" t="s">
        <v>1663</v>
      </c>
      <c r="N900" s="254" t="s">
        <v>342</v>
      </c>
      <c r="O900" s="266" t="s">
        <v>1642</v>
      </c>
    </row>
    <row r="901" spans="1:15" ht="31.5">
      <c r="A901" s="178" t="s">
        <v>99</v>
      </c>
      <c r="B901" s="75" t="s">
        <v>1044</v>
      </c>
      <c r="C901" s="39" t="s">
        <v>1037</v>
      </c>
      <c r="D901" s="255">
        <v>1</v>
      </c>
      <c r="E901" s="325" t="e">
        <f>#REF!</f>
        <v>#REF!</v>
      </c>
      <c r="F901" s="325" t="e">
        <f>#REF!</f>
        <v>#REF!</v>
      </c>
      <c r="G901" s="325" t="e">
        <f>#REF!</f>
        <v>#REF!</v>
      </c>
      <c r="H901" s="325" t="e">
        <f t="shared" si="38"/>
        <v>#REF!</v>
      </c>
      <c r="I901" s="265">
        <v>2050</v>
      </c>
      <c r="J901" s="266">
        <f t="shared" si="40"/>
        <v>2050</v>
      </c>
      <c r="K901" s="307"/>
      <c r="L901" s="310">
        <v>42423</v>
      </c>
      <c r="M901" s="308" t="s">
        <v>1663</v>
      </c>
      <c r="N901" s="254" t="s">
        <v>342</v>
      </c>
      <c r="O901" s="266" t="s">
        <v>1642</v>
      </c>
    </row>
    <row r="902" spans="1:15" ht="31.5">
      <c r="A902" s="178" t="s">
        <v>99</v>
      </c>
      <c r="B902" s="75" t="s">
        <v>1045</v>
      </c>
      <c r="C902" s="39" t="s">
        <v>1037</v>
      </c>
      <c r="D902" s="255">
        <v>1</v>
      </c>
      <c r="E902" s="325" t="e">
        <f>#REF!</f>
        <v>#REF!</v>
      </c>
      <c r="F902" s="325" t="e">
        <f>#REF!</f>
        <v>#REF!</v>
      </c>
      <c r="G902" s="325" t="e">
        <f>#REF!</f>
        <v>#REF!</v>
      </c>
      <c r="H902" s="325" t="e">
        <f t="shared" si="38"/>
        <v>#REF!</v>
      </c>
      <c r="I902" s="266">
        <v>4126.8999999999996</v>
      </c>
      <c r="J902" s="266">
        <f t="shared" si="40"/>
        <v>4126.8999999999996</v>
      </c>
      <c r="K902" s="306"/>
      <c r="L902" s="310">
        <v>42423</v>
      </c>
      <c r="M902" s="308" t="s">
        <v>1663</v>
      </c>
      <c r="N902" s="254" t="s">
        <v>342</v>
      </c>
      <c r="O902" s="266" t="s">
        <v>1642</v>
      </c>
    </row>
    <row r="903" spans="1:15" ht="31.5">
      <c r="A903" s="178" t="s">
        <v>99</v>
      </c>
      <c r="B903" s="75" t="s">
        <v>1046</v>
      </c>
      <c r="C903" s="39" t="s">
        <v>1037</v>
      </c>
      <c r="D903" s="255">
        <v>1</v>
      </c>
      <c r="E903" s="325" t="e">
        <f>#REF!</f>
        <v>#REF!</v>
      </c>
      <c r="F903" s="325" t="e">
        <f>#REF!</f>
        <v>#REF!</v>
      </c>
      <c r="G903" s="325" t="e">
        <f>#REF!</f>
        <v>#REF!</v>
      </c>
      <c r="H903" s="325" t="e">
        <f t="shared" si="38"/>
        <v>#REF!</v>
      </c>
      <c r="I903" s="265">
        <v>3589.58</v>
      </c>
      <c r="J903" s="266">
        <f t="shared" si="40"/>
        <v>3589.58</v>
      </c>
      <c r="K903" s="307"/>
      <c r="L903" s="310">
        <v>42423</v>
      </c>
      <c r="M903" s="308" t="s">
        <v>1663</v>
      </c>
      <c r="N903" s="254" t="s">
        <v>342</v>
      </c>
      <c r="O903" s="266" t="s">
        <v>1642</v>
      </c>
    </row>
    <row r="904" spans="1:15" ht="31.5">
      <c r="A904" s="178" t="s">
        <v>99</v>
      </c>
      <c r="B904" s="75" t="s">
        <v>1047</v>
      </c>
      <c r="C904" s="39" t="s">
        <v>1037</v>
      </c>
      <c r="D904" s="255">
        <v>1</v>
      </c>
      <c r="E904" s="325" t="e">
        <f>#REF!</f>
        <v>#REF!</v>
      </c>
      <c r="F904" s="325" t="e">
        <f>#REF!</f>
        <v>#REF!</v>
      </c>
      <c r="G904" s="325" t="e">
        <f>#REF!</f>
        <v>#REF!</v>
      </c>
      <c r="H904" s="325" t="e">
        <f t="shared" si="38"/>
        <v>#REF!</v>
      </c>
      <c r="I904" s="266">
        <v>11269.33</v>
      </c>
      <c r="J904" s="266">
        <f t="shared" si="40"/>
        <v>11269.33</v>
      </c>
      <c r="K904" s="306"/>
      <c r="L904" s="310">
        <v>42423</v>
      </c>
      <c r="M904" s="308" t="s">
        <v>1663</v>
      </c>
      <c r="N904" s="254" t="s">
        <v>342</v>
      </c>
      <c r="O904" s="266" t="s">
        <v>1642</v>
      </c>
    </row>
    <row r="905" spans="1:15" ht="38.25">
      <c r="A905" s="178" t="s">
        <v>99</v>
      </c>
      <c r="B905" s="75" t="s">
        <v>1048</v>
      </c>
      <c r="C905" s="39" t="s">
        <v>1063</v>
      </c>
      <c r="D905" s="255"/>
      <c r="E905" s="325" t="e">
        <f>#REF!</f>
        <v>#REF!</v>
      </c>
      <c r="F905" s="325" t="e">
        <f>#REF!</f>
        <v>#REF!</v>
      </c>
      <c r="G905" s="325" t="e">
        <f>#REF!</f>
        <v>#REF!</v>
      </c>
      <c r="H905" s="325" t="e">
        <f t="shared" si="38"/>
        <v>#REF!</v>
      </c>
      <c r="I905" s="261"/>
      <c r="J905" s="265" t="e">
        <f>I905*H905</f>
        <v>#REF!</v>
      </c>
      <c r="K905" s="295"/>
      <c r="L905" s="270"/>
      <c r="M905" s="263"/>
      <c r="N905" s="261"/>
      <c r="O905" s="260"/>
    </row>
    <row r="906" spans="1:15" ht="30">
      <c r="A906" s="178" t="s">
        <v>99</v>
      </c>
      <c r="B906" s="75" t="s">
        <v>1049</v>
      </c>
      <c r="C906" s="39" t="s">
        <v>1063</v>
      </c>
      <c r="D906" s="255"/>
      <c r="E906" s="325" t="e">
        <f>#REF!</f>
        <v>#REF!</v>
      </c>
      <c r="F906" s="325" t="e">
        <f>#REF!</f>
        <v>#REF!</v>
      </c>
      <c r="G906" s="325" t="e">
        <f>#REF!</f>
        <v>#REF!</v>
      </c>
      <c r="H906" s="325" t="e">
        <f t="shared" si="38"/>
        <v>#REF!</v>
      </c>
      <c r="I906" s="260"/>
      <c r="J906" s="265" t="e">
        <f>I906*H906</f>
        <v>#REF!</v>
      </c>
      <c r="K906" s="294"/>
      <c r="L906" s="271"/>
      <c r="M906" s="264"/>
      <c r="N906" s="260"/>
      <c r="O906" s="260"/>
    </row>
    <row r="907" spans="1:15" ht="30">
      <c r="A907" s="178" t="s">
        <v>99</v>
      </c>
      <c r="B907" s="75" t="s">
        <v>1050</v>
      </c>
      <c r="C907" s="39" t="s">
        <v>1063</v>
      </c>
      <c r="D907" s="255"/>
      <c r="E907" s="325" t="e">
        <f>#REF!</f>
        <v>#REF!</v>
      </c>
      <c r="F907" s="325" t="e">
        <f>#REF!</f>
        <v>#REF!</v>
      </c>
      <c r="G907" s="325" t="e">
        <f>#REF!</f>
        <v>#REF!</v>
      </c>
      <c r="H907" s="325" t="e">
        <f t="shared" si="38"/>
        <v>#REF!</v>
      </c>
      <c r="I907" s="261"/>
      <c r="J907" s="265" t="e">
        <f>I907*H907</f>
        <v>#REF!</v>
      </c>
      <c r="K907" s="295"/>
      <c r="L907" s="270"/>
      <c r="M907" s="263"/>
      <c r="N907" s="261"/>
      <c r="O907" s="260"/>
    </row>
    <row r="908" spans="1:15" ht="31.5">
      <c r="A908" s="178" t="s">
        <v>99</v>
      </c>
      <c r="B908" s="75" t="s">
        <v>1051</v>
      </c>
      <c r="C908" s="39" t="s">
        <v>1037</v>
      </c>
      <c r="D908" s="255">
        <v>1</v>
      </c>
      <c r="E908" s="325" t="e">
        <f>#REF!</f>
        <v>#REF!</v>
      </c>
      <c r="F908" s="325" t="e">
        <f>#REF!</f>
        <v>#REF!</v>
      </c>
      <c r="G908" s="325" t="e">
        <f>#REF!</f>
        <v>#REF!</v>
      </c>
      <c r="H908" s="325" t="e">
        <f t="shared" si="38"/>
        <v>#REF!</v>
      </c>
      <c r="I908" s="266">
        <v>2760</v>
      </c>
      <c r="J908" s="266">
        <f>I908*D908</f>
        <v>2760</v>
      </c>
      <c r="K908" s="306"/>
      <c r="L908" s="280">
        <v>42423</v>
      </c>
      <c r="M908" s="308" t="s">
        <v>1663</v>
      </c>
      <c r="N908" s="254" t="s">
        <v>342</v>
      </c>
      <c r="O908" s="266" t="s">
        <v>1642</v>
      </c>
    </row>
    <row r="909" spans="1:15" ht="30">
      <c r="A909" s="178" t="s">
        <v>99</v>
      </c>
      <c r="B909" s="75" t="s">
        <v>1052</v>
      </c>
      <c r="C909" s="39" t="s">
        <v>1064</v>
      </c>
      <c r="D909" s="255"/>
      <c r="E909" s="325" t="e">
        <f>#REF!</f>
        <v>#REF!</v>
      </c>
      <c r="F909" s="325" t="e">
        <f>#REF!</f>
        <v>#REF!</v>
      </c>
      <c r="G909" s="325" t="e">
        <f>#REF!</f>
        <v>#REF!</v>
      </c>
      <c r="H909" s="325" t="e">
        <f t="shared" si="38"/>
        <v>#REF!</v>
      </c>
      <c r="I909" s="261"/>
      <c r="J909" s="265" t="e">
        <f>I909*H909</f>
        <v>#REF!</v>
      </c>
      <c r="K909" s="295"/>
      <c r="L909" s="276"/>
      <c r="M909" s="263"/>
      <c r="N909" s="261"/>
      <c r="O909" s="260"/>
    </row>
    <row r="910" spans="1:15" ht="30">
      <c r="A910" s="178" t="s">
        <v>99</v>
      </c>
      <c r="B910" s="75" t="s">
        <v>1053</v>
      </c>
      <c r="C910" s="39" t="s">
        <v>1064</v>
      </c>
      <c r="D910" s="255"/>
      <c r="E910" s="325" t="e">
        <f>#REF!</f>
        <v>#REF!</v>
      </c>
      <c r="F910" s="325" t="e">
        <f>#REF!</f>
        <v>#REF!</v>
      </c>
      <c r="G910" s="325" t="e">
        <f>#REF!</f>
        <v>#REF!</v>
      </c>
      <c r="H910" s="325" t="e">
        <f t="shared" si="38"/>
        <v>#REF!</v>
      </c>
      <c r="I910" s="260"/>
      <c r="J910" s="265" t="e">
        <f t="shared" ref="J910:J917" si="41">I910*H910</f>
        <v>#REF!</v>
      </c>
      <c r="K910" s="294"/>
      <c r="L910" s="278"/>
      <c r="M910" s="263"/>
      <c r="N910" s="261"/>
      <c r="O910" s="260"/>
    </row>
    <row r="911" spans="1:15" ht="30">
      <c r="A911" s="178" t="s">
        <v>99</v>
      </c>
      <c r="B911" s="75" t="s">
        <v>1054</v>
      </c>
      <c r="C911" s="39" t="s">
        <v>1064</v>
      </c>
      <c r="D911" s="255"/>
      <c r="E911" s="325" t="e">
        <f>#REF!</f>
        <v>#REF!</v>
      </c>
      <c r="F911" s="325" t="e">
        <f>#REF!</f>
        <v>#REF!</v>
      </c>
      <c r="G911" s="325" t="e">
        <f>#REF!</f>
        <v>#REF!</v>
      </c>
      <c r="H911" s="325" t="e">
        <f t="shared" si="38"/>
        <v>#REF!</v>
      </c>
      <c r="I911" s="261"/>
      <c r="J911" s="265" t="e">
        <f t="shared" si="41"/>
        <v>#REF!</v>
      </c>
      <c r="K911" s="295"/>
      <c r="L911" s="276"/>
      <c r="M911" s="264"/>
      <c r="N911" s="261"/>
      <c r="O911" s="260"/>
    </row>
    <row r="912" spans="1:15" ht="30">
      <c r="A912" s="178" t="s">
        <v>99</v>
      </c>
      <c r="B912" s="75" t="s">
        <v>1055</v>
      </c>
      <c r="C912" s="39" t="s">
        <v>1065</v>
      </c>
      <c r="D912" s="255"/>
      <c r="E912" s="325" t="e">
        <f>#REF!</f>
        <v>#REF!</v>
      </c>
      <c r="F912" s="325" t="e">
        <f>#REF!</f>
        <v>#REF!</v>
      </c>
      <c r="G912" s="325" t="e">
        <f>#REF!</f>
        <v>#REF!</v>
      </c>
      <c r="H912" s="325" t="e">
        <f t="shared" si="38"/>
        <v>#REF!</v>
      </c>
      <c r="I912" s="260"/>
      <c r="J912" s="265" t="e">
        <f t="shared" si="41"/>
        <v>#REF!</v>
      </c>
      <c r="K912" s="294"/>
      <c r="L912" s="278"/>
      <c r="M912" s="264"/>
      <c r="N912" s="261"/>
      <c r="O912" s="260"/>
    </row>
    <row r="913" spans="1:15" ht="30">
      <c r="A913" s="178" t="s">
        <v>99</v>
      </c>
      <c r="B913" s="75" t="s">
        <v>1056</v>
      </c>
      <c r="C913" s="39" t="s">
        <v>1065</v>
      </c>
      <c r="D913" s="255"/>
      <c r="E913" s="325" t="e">
        <f>#REF!</f>
        <v>#REF!</v>
      </c>
      <c r="F913" s="325" t="e">
        <f>#REF!</f>
        <v>#REF!</v>
      </c>
      <c r="G913" s="325" t="e">
        <f>#REF!</f>
        <v>#REF!</v>
      </c>
      <c r="H913" s="325" t="e">
        <f t="shared" si="38"/>
        <v>#REF!</v>
      </c>
      <c r="I913" s="261"/>
      <c r="J913" s="265" t="e">
        <f t="shared" si="41"/>
        <v>#REF!</v>
      </c>
      <c r="K913" s="295"/>
      <c r="L913" s="278"/>
      <c r="M913" s="264"/>
      <c r="N913" s="261"/>
      <c r="O913" s="260"/>
    </row>
    <row r="914" spans="1:15" ht="30">
      <c r="A914" s="178" t="s">
        <v>99</v>
      </c>
      <c r="B914" s="75" t="s">
        <v>1057</v>
      </c>
      <c r="C914" s="39" t="s">
        <v>1065</v>
      </c>
      <c r="D914" s="255"/>
      <c r="E914" s="325" t="e">
        <f>#REF!</f>
        <v>#REF!</v>
      </c>
      <c r="F914" s="325" t="e">
        <f>#REF!</f>
        <v>#REF!</v>
      </c>
      <c r="G914" s="325" t="e">
        <f>#REF!</f>
        <v>#REF!</v>
      </c>
      <c r="H914" s="325" t="e">
        <f t="shared" si="38"/>
        <v>#REF!</v>
      </c>
      <c r="I914" s="260"/>
      <c r="J914" s="265" t="e">
        <f t="shared" si="41"/>
        <v>#REF!</v>
      </c>
      <c r="K914" s="294"/>
      <c r="L914" s="278"/>
      <c r="M914" s="264"/>
      <c r="N914" s="260"/>
      <c r="O914" s="260"/>
    </row>
    <row r="915" spans="1:15" ht="30">
      <c r="A915" s="178" t="s">
        <v>99</v>
      </c>
      <c r="B915" s="75" t="s">
        <v>1058</v>
      </c>
      <c r="C915" s="39" t="s">
        <v>1065</v>
      </c>
      <c r="D915" s="255"/>
      <c r="E915" s="325" t="e">
        <f>#REF!</f>
        <v>#REF!</v>
      </c>
      <c r="F915" s="325" t="e">
        <f>#REF!</f>
        <v>#REF!</v>
      </c>
      <c r="G915" s="325" t="e">
        <f>#REF!</f>
        <v>#REF!</v>
      </c>
      <c r="H915" s="325" t="e">
        <f t="shared" si="38"/>
        <v>#REF!</v>
      </c>
      <c r="I915" s="261"/>
      <c r="J915" s="265" t="e">
        <f t="shared" si="41"/>
        <v>#REF!</v>
      </c>
      <c r="K915" s="295"/>
      <c r="L915" s="270"/>
      <c r="M915" s="263"/>
      <c r="N915" s="261"/>
      <c r="O915" s="260"/>
    </row>
    <row r="916" spans="1:15" ht="30">
      <c r="A916" s="178" t="s">
        <v>99</v>
      </c>
      <c r="B916" s="75" t="s">
        <v>1059</v>
      </c>
      <c r="C916" s="39" t="s">
        <v>1065</v>
      </c>
      <c r="D916" s="255"/>
      <c r="E916" s="325" t="e">
        <f>#REF!</f>
        <v>#REF!</v>
      </c>
      <c r="F916" s="325" t="e">
        <f>#REF!</f>
        <v>#REF!</v>
      </c>
      <c r="G916" s="325" t="e">
        <f>#REF!</f>
        <v>#REF!</v>
      </c>
      <c r="H916" s="325" t="e">
        <f t="shared" ref="H916:H979" si="42">G916+F916+E916+D916</f>
        <v>#REF!</v>
      </c>
      <c r="I916" s="260"/>
      <c r="J916" s="265" t="e">
        <f t="shared" si="41"/>
        <v>#REF!</v>
      </c>
      <c r="K916" s="294"/>
      <c r="L916" s="271"/>
      <c r="M916" s="264"/>
      <c r="N916" s="260"/>
      <c r="O916" s="260"/>
    </row>
    <row r="917" spans="1:15" ht="30">
      <c r="A917" s="178" t="s">
        <v>99</v>
      </c>
      <c r="B917" s="75" t="s">
        <v>1060</v>
      </c>
      <c r="C917" s="39" t="s">
        <v>1065</v>
      </c>
      <c r="D917" s="255"/>
      <c r="E917" s="325" t="e">
        <f>#REF!</f>
        <v>#REF!</v>
      </c>
      <c r="F917" s="325" t="e">
        <f>#REF!</f>
        <v>#REF!</v>
      </c>
      <c r="G917" s="325" t="e">
        <f>#REF!</f>
        <v>#REF!</v>
      </c>
      <c r="H917" s="325" t="e">
        <f t="shared" si="42"/>
        <v>#REF!</v>
      </c>
      <c r="I917" s="261"/>
      <c r="J917" s="265" t="e">
        <f t="shared" si="41"/>
        <v>#REF!</v>
      </c>
      <c r="K917" s="295"/>
      <c r="L917" s="270"/>
      <c r="M917" s="263"/>
      <c r="N917" s="261"/>
      <c r="O917" s="260"/>
    </row>
    <row r="918" spans="1:15" ht="31.5">
      <c r="A918" s="178" t="s">
        <v>99</v>
      </c>
      <c r="B918" s="75" t="s">
        <v>1061</v>
      </c>
      <c r="C918" s="39" t="s">
        <v>1064</v>
      </c>
      <c r="D918" s="255">
        <v>2</v>
      </c>
      <c r="E918" s="325" t="e">
        <f>#REF!</f>
        <v>#REF!</v>
      </c>
      <c r="F918" s="325" t="e">
        <f>#REF!</f>
        <v>#REF!</v>
      </c>
      <c r="G918" s="325" t="e">
        <f>#REF!</f>
        <v>#REF!</v>
      </c>
      <c r="H918" s="325" t="e">
        <f t="shared" si="42"/>
        <v>#REF!</v>
      </c>
      <c r="I918" s="265">
        <v>3185.94</v>
      </c>
      <c r="J918" s="266">
        <f>I918*D918</f>
        <v>6371.88</v>
      </c>
      <c r="K918" s="306"/>
      <c r="L918" s="280">
        <v>42423</v>
      </c>
      <c r="M918" s="308" t="s">
        <v>1663</v>
      </c>
      <c r="N918" s="254" t="s">
        <v>342</v>
      </c>
      <c r="O918" s="266" t="s">
        <v>1642</v>
      </c>
    </row>
    <row r="919" spans="1:15" ht="30">
      <c r="A919" s="178" t="s">
        <v>99</v>
      </c>
      <c r="B919" s="75" t="s">
        <v>1062</v>
      </c>
      <c r="C919" s="39" t="s">
        <v>290</v>
      </c>
      <c r="D919" s="255"/>
      <c r="E919" s="325" t="e">
        <f>#REF!</f>
        <v>#REF!</v>
      </c>
      <c r="F919" s="325" t="e">
        <f>#REF!</f>
        <v>#REF!</v>
      </c>
      <c r="G919" s="325" t="e">
        <f>#REF!</f>
        <v>#REF!</v>
      </c>
      <c r="H919" s="325" t="e">
        <f t="shared" si="42"/>
        <v>#REF!</v>
      </c>
      <c r="I919" s="265"/>
      <c r="J919" s="265" t="e">
        <f>I919*H919</f>
        <v>#REF!</v>
      </c>
      <c r="K919" s="307"/>
      <c r="L919" s="310"/>
      <c r="M919" s="308"/>
      <c r="N919" s="265"/>
      <c r="O919" s="266"/>
    </row>
    <row r="920" spans="1:15" ht="31.5">
      <c r="A920" s="178" t="s">
        <v>99</v>
      </c>
      <c r="B920" s="75" t="s">
        <v>1066</v>
      </c>
      <c r="C920" s="39" t="s">
        <v>1067</v>
      </c>
      <c r="D920" s="255">
        <v>3</v>
      </c>
      <c r="E920" s="325" t="e">
        <f>#REF!</f>
        <v>#REF!</v>
      </c>
      <c r="F920" s="325" t="e">
        <f>#REF!</f>
        <v>#REF!</v>
      </c>
      <c r="G920" s="325" t="e">
        <f>#REF!</f>
        <v>#REF!</v>
      </c>
      <c r="H920" s="325" t="e">
        <f t="shared" si="42"/>
        <v>#REF!</v>
      </c>
      <c r="I920" s="266">
        <v>16069.25</v>
      </c>
      <c r="J920" s="266">
        <f>I920*D920</f>
        <v>48207.75</v>
      </c>
      <c r="K920" s="306"/>
      <c r="L920" s="280">
        <v>42423</v>
      </c>
      <c r="M920" s="308" t="s">
        <v>1663</v>
      </c>
      <c r="N920" s="254" t="s">
        <v>342</v>
      </c>
      <c r="O920" s="266" t="s">
        <v>1642</v>
      </c>
    </row>
    <row r="921" spans="1:15" ht="31.5">
      <c r="A921" s="178" t="s">
        <v>99</v>
      </c>
      <c r="B921" s="75" t="s">
        <v>1068</v>
      </c>
      <c r="C921" s="39" t="s">
        <v>1067</v>
      </c>
      <c r="D921" s="255">
        <v>3</v>
      </c>
      <c r="E921" s="325" t="e">
        <f>#REF!</f>
        <v>#REF!</v>
      </c>
      <c r="F921" s="325" t="e">
        <f>#REF!</f>
        <v>#REF!</v>
      </c>
      <c r="G921" s="325" t="e">
        <f>#REF!</f>
        <v>#REF!</v>
      </c>
      <c r="H921" s="325" t="e">
        <f t="shared" si="42"/>
        <v>#REF!</v>
      </c>
      <c r="I921" s="265">
        <v>16069.25</v>
      </c>
      <c r="J921" s="266">
        <f>I921*D921</f>
        <v>48207.75</v>
      </c>
      <c r="K921" s="307"/>
      <c r="L921" s="280">
        <v>42423</v>
      </c>
      <c r="M921" s="308" t="s">
        <v>1663</v>
      </c>
      <c r="N921" s="254" t="s">
        <v>342</v>
      </c>
      <c r="O921" s="266" t="s">
        <v>1642</v>
      </c>
    </row>
    <row r="922" spans="1:15" ht="30">
      <c r="A922" s="178" t="s">
        <v>99</v>
      </c>
      <c r="B922" s="75" t="s">
        <v>1069</v>
      </c>
      <c r="C922" s="39" t="s">
        <v>718</v>
      </c>
      <c r="D922" s="255"/>
      <c r="E922" s="325" t="e">
        <f>#REF!</f>
        <v>#REF!</v>
      </c>
      <c r="F922" s="325" t="e">
        <f>#REF!</f>
        <v>#REF!</v>
      </c>
      <c r="G922" s="325" t="e">
        <f>#REF!</f>
        <v>#REF!</v>
      </c>
      <c r="H922" s="325" t="e">
        <f t="shared" si="42"/>
        <v>#REF!</v>
      </c>
      <c r="I922" s="266"/>
      <c r="J922" s="266" t="e">
        <f>I922*H922</f>
        <v>#REF!</v>
      </c>
      <c r="K922" s="306"/>
      <c r="L922" s="280"/>
      <c r="M922" s="309"/>
      <c r="N922" s="266"/>
      <c r="O922" s="266"/>
    </row>
    <row r="923" spans="1:15" ht="38.25">
      <c r="A923" s="178" t="s">
        <v>99</v>
      </c>
      <c r="B923" s="75" t="s">
        <v>1070</v>
      </c>
      <c r="C923" s="39" t="s">
        <v>208</v>
      </c>
      <c r="D923" s="255">
        <v>15</v>
      </c>
      <c r="E923" s="325" t="e">
        <f>#REF!</f>
        <v>#REF!</v>
      </c>
      <c r="F923" s="325" t="e">
        <f>#REF!</f>
        <v>#REF!</v>
      </c>
      <c r="G923" s="325" t="e">
        <f>#REF!</f>
        <v>#REF!</v>
      </c>
      <c r="H923" s="325" t="e">
        <f t="shared" si="42"/>
        <v>#REF!</v>
      </c>
      <c r="I923" s="265">
        <v>3068.5</v>
      </c>
      <c r="J923" s="266">
        <f t="shared" ref="J923:J930" si="43">I923*D923</f>
        <v>46027.5</v>
      </c>
      <c r="K923" s="307"/>
      <c r="L923" s="280">
        <v>42423</v>
      </c>
      <c r="M923" s="308" t="s">
        <v>1663</v>
      </c>
      <c r="N923" s="254" t="s">
        <v>342</v>
      </c>
      <c r="O923" s="266" t="s">
        <v>1642</v>
      </c>
    </row>
    <row r="924" spans="1:15" ht="31.5">
      <c r="A924" s="178" t="s">
        <v>99</v>
      </c>
      <c r="B924" s="75" t="s">
        <v>1071</v>
      </c>
      <c r="C924" s="39" t="s">
        <v>1065</v>
      </c>
      <c r="D924" s="255">
        <v>10</v>
      </c>
      <c r="E924" s="325" t="e">
        <f>#REF!</f>
        <v>#REF!</v>
      </c>
      <c r="F924" s="325" t="e">
        <f>#REF!</f>
        <v>#REF!</v>
      </c>
      <c r="G924" s="325" t="e">
        <f>#REF!</f>
        <v>#REF!</v>
      </c>
      <c r="H924" s="325" t="e">
        <f t="shared" si="42"/>
        <v>#REF!</v>
      </c>
      <c r="I924" s="266">
        <v>646.72</v>
      </c>
      <c r="J924" s="266">
        <f t="shared" si="43"/>
        <v>6467.2000000000007</v>
      </c>
      <c r="K924" s="306"/>
      <c r="L924" s="280">
        <v>42423</v>
      </c>
      <c r="M924" s="308" t="s">
        <v>1663</v>
      </c>
      <c r="N924" s="254" t="s">
        <v>342</v>
      </c>
      <c r="O924" s="266" t="s">
        <v>1642</v>
      </c>
    </row>
    <row r="925" spans="1:15" ht="31.5">
      <c r="A925" s="178" t="s">
        <v>99</v>
      </c>
      <c r="B925" s="75" t="s">
        <v>1072</v>
      </c>
      <c r="C925" s="39" t="s">
        <v>1073</v>
      </c>
      <c r="D925" s="255">
        <v>10</v>
      </c>
      <c r="E925" s="325" t="e">
        <f>#REF!</f>
        <v>#REF!</v>
      </c>
      <c r="F925" s="325" t="e">
        <f>#REF!</f>
        <v>#REF!</v>
      </c>
      <c r="G925" s="325" t="e">
        <f>#REF!</f>
        <v>#REF!</v>
      </c>
      <c r="H925" s="325" t="e">
        <f t="shared" si="42"/>
        <v>#REF!</v>
      </c>
      <c r="I925" s="265">
        <v>36.78</v>
      </c>
      <c r="J925" s="266">
        <f t="shared" si="43"/>
        <v>367.8</v>
      </c>
      <c r="K925" s="307"/>
      <c r="L925" s="280">
        <v>42423</v>
      </c>
      <c r="M925" s="308" t="s">
        <v>1663</v>
      </c>
      <c r="N925" s="254" t="s">
        <v>342</v>
      </c>
      <c r="O925" s="266" t="s">
        <v>1642</v>
      </c>
    </row>
    <row r="926" spans="1:15" ht="31.5">
      <c r="A926" s="178" t="s">
        <v>99</v>
      </c>
      <c r="B926" s="75" t="s">
        <v>1074</v>
      </c>
      <c r="C926" s="39" t="s">
        <v>1067</v>
      </c>
      <c r="D926" s="255">
        <v>5</v>
      </c>
      <c r="E926" s="325" t="e">
        <f>#REF!</f>
        <v>#REF!</v>
      </c>
      <c r="F926" s="325" t="e">
        <f>#REF!</f>
        <v>#REF!</v>
      </c>
      <c r="G926" s="325" t="e">
        <f>#REF!</f>
        <v>#REF!</v>
      </c>
      <c r="H926" s="325" t="e">
        <f t="shared" si="42"/>
        <v>#REF!</v>
      </c>
      <c r="I926" s="266">
        <v>2061.58</v>
      </c>
      <c r="J926" s="266">
        <f t="shared" si="43"/>
        <v>10307.9</v>
      </c>
      <c r="K926" s="306"/>
      <c r="L926" s="280">
        <v>42423</v>
      </c>
      <c r="M926" s="308" t="s">
        <v>1663</v>
      </c>
      <c r="N926" s="254" t="s">
        <v>342</v>
      </c>
      <c r="O926" s="266" t="s">
        <v>1642</v>
      </c>
    </row>
    <row r="927" spans="1:15" ht="31.5">
      <c r="A927" s="178" t="s">
        <v>99</v>
      </c>
      <c r="B927" s="75" t="s">
        <v>1075</v>
      </c>
      <c r="C927" s="39" t="s">
        <v>1067</v>
      </c>
      <c r="D927" s="255">
        <v>5</v>
      </c>
      <c r="E927" s="325" t="e">
        <f>#REF!</f>
        <v>#REF!</v>
      </c>
      <c r="F927" s="325" t="e">
        <f>#REF!</f>
        <v>#REF!</v>
      </c>
      <c r="G927" s="325" t="e">
        <f>#REF!</f>
        <v>#REF!</v>
      </c>
      <c r="H927" s="325" t="e">
        <f t="shared" si="42"/>
        <v>#REF!</v>
      </c>
      <c r="I927" s="265">
        <v>1099.74</v>
      </c>
      <c r="J927" s="266">
        <f t="shared" si="43"/>
        <v>5498.7</v>
      </c>
      <c r="K927" s="307"/>
      <c r="L927" s="280">
        <v>42423</v>
      </c>
      <c r="M927" s="308" t="s">
        <v>1663</v>
      </c>
      <c r="N927" s="254" t="s">
        <v>342</v>
      </c>
      <c r="O927" s="266" t="s">
        <v>1642</v>
      </c>
    </row>
    <row r="928" spans="1:15" ht="31.5">
      <c r="A928" s="178" t="s">
        <v>99</v>
      </c>
      <c r="B928" s="75" t="s">
        <v>1076</v>
      </c>
      <c r="C928" s="39" t="s">
        <v>1067</v>
      </c>
      <c r="D928" s="255">
        <v>2</v>
      </c>
      <c r="E928" s="325" t="e">
        <f>#REF!</f>
        <v>#REF!</v>
      </c>
      <c r="F928" s="325" t="e">
        <f>#REF!</f>
        <v>#REF!</v>
      </c>
      <c r="G928" s="325" t="e">
        <f>#REF!</f>
        <v>#REF!</v>
      </c>
      <c r="H928" s="325" t="e">
        <f t="shared" si="42"/>
        <v>#REF!</v>
      </c>
      <c r="I928" s="266">
        <v>17119</v>
      </c>
      <c r="J928" s="266">
        <f t="shared" si="43"/>
        <v>34238</v>
      </c>
      <c r="K928" s="306"/>
      <c r="L928" s="280">
        <v>42423</v>
      </c>
      <c r="M928" s="308" t="s">
        <v>1663</v>
      </c>
      <c r="N928" s="254" t="s">
        <v>342</v>
      </c>
      <c r="O928" s="266" t="s">
        <v>1642</v>
      </c>
    </row>
    <row r="929" spans="1:15" ht="31.5">
      <c r="A929" s="178" t="s">
        <v>99</v>
      </c>
      <c r="B929" s="75" t="s">
        <v>1077</v>
      </c>
      <c r="C929" s="39" t="s">
        <v>718</v>
      </c>
      <c r="D929" s="255">
        <v>52</v>
      </c>
      <c r="E929" s="325" t="e">
        <f>#REF!</f>
        <v>#REF!</v>
      </c>
      <c r="F929" s="325" t="e">
        <f>#REF!</f>
        <v>#REF!</v>
      </c>
      <c r="G929" s="325" t="e">
        <f>#REF!</f>
        <v>#REF!</v>
      </c>
      <c r="H929" s="325" t="e">
        <f t="shared" si="42"/>
        <v>#REF!</v>
      </c>
      <c r="I929" s="265">
        <v>1192</v>
      </c>
      <c r="J929" s="266">
        <f t="shared" si="43"/>
        <v>61984</v>
      </c>
      <c r="K929" s="307"/>
      <c r="L929" s="310">
        <v>42423</v>
      </c>
      <c r="M929" s="308" t="s">
        <v>1663</v>
      </c>
      <c r="N929" s="254" t="s">
        <v>342</v>
      </c>
      <c r="O929" s="266" t="s">
        <v>1642</v>
      </c>
    </row>
    <row r="930" spans="1:15" ht="31.5">
      <c r="A930" s="178" t="s">
        <v>99</v>
      </c>
      <c r="B930" s="75" t="s">
        <v>1078</v>
      </c>
      <c r="C930" s="39" t="s">
        <v>1067</v>
      </c>
      <c r="D930" s="255">
        <v>5</v>
      </c>
      <c r="E930" s="325" t="e">
        <f>#REF!</f>
        <v>#REF!</v>
      </c>
      <c r="F930" s="325" t="e">
        <f>#REF!</f>
        <v>#REF!</v>
      </c>
      <c r="G930" s="325" t="e">
        <f>#REF!</f>
        <v>#REF!</v>
      </c>
      <c r="H930" s="325" t="e">
        <f t="shared" si="42"/>
        <v>#REF!</v>
      </c>
      <c r="I930" s="266">
        <v>702</v>
      </c>
      <c r="J930" s="266">
        <f t="shared" si="43"/>
        <v>3510</v>
      </c>
      <c r="K930" s="306"/>
      <c r="L930" s="310">
        <v>42423</v>
      </c>
      <c r="M930" s="308" t="s">
        <v>1663</v>
      </c>
      <c r="N930" s="254" t="s">
        <v>342</v>
      </c>
      <c r="O930" s="266" t="s">
        <v>1642</v>
      </c>
    </row>
    <row r="931" spans="1:15" ht="30">
      <c r="A931" s="178" t="s">
        <v>99</v>
      </c>
      <c r="B931" s="75" t="s">
        <v>1079</v>
      </c>
      <c r="C931" s="39" t="s">
        <v>208</v>
      </c>
      <c r="D931" s="255"/>
      <c r="E931" s="325" t="e">
        <f>#REF!</f>
        <v>#REF!</v>
      </c>
      <c r="F931" s="325" t="e">
        <f>#REF!</f>
        <v>#REF!</v>
      </c>
      <c r="G931" s="325" t="e">
        <f>#REF!</f>
        <v>#REF!</v>
      </c>
      <c r="H931" s="325" t="e">
        <f t="shared" si="42"/>
        <v>#REF!</v>
      </c>
      <c r="I931" s="265"/>
      <c r="J931" s="265" t="e">
        <f>I931*H931</f>
        <v>#REF!</v>
      </c>
      <c r="K931" s="307"/>
      <c r="L931" s="310"/>
      <c r="M931" s="308"/>
      <c r="N931" s="265"/>
      <c r="O931" s="266"/>
    </row>
    <row r="932" spans="1:15" ht="59.25" customHeight="1">
      <c r="A932" s="178" t="s">
        <v>99</v>
      </c>
      <c r="B932" s="75" t="s">
        <v>1080</v>
      </c>
      <c r="C932" s="39" t="s">
        <v>1067</v>
      </c>
      <c r="D932" s="272">
        <v>55</v>
      </c>
      <c r="E932" s="325" t="e">
        <f>#REF!</f>
        <v>#REF!</v>
      </c>
      <c r="F932" s="325" t="e">
        <f>#REF!</f>
        <v>#REF!</v>
      </c>
      <c r="G932" s="325" t="e">
        <f>#REF!</f>
        <v>#REF!</v>
      </c>
      <c r="H932" s="325" t="e">
        <f t="shared" si="42"/>
        <v>#REF!</v>
      </c>
      <c r="I932" s="266">
        <v>127.4</v>
      </c>
      <c r="J932" s="266">
        <f t="shared" ref="J932:J939" si="44">I932*D932</f>
        <v>7007</v>
      </c>
      <c r="K932" s="306"/>
      <c r="L932" s="310">
        <v>42423</v>
      </c>
      <c r="M932" s="308" t="s">
        <v>1663</v>
      </c>
      <c r="N932" s="254" t="s">
        <v>342</v>
      </c>
      <c r="O932" s="266" t="s">
        <v>1642</v>
      </c>
    </row>
    <row r="933" spans="1:15" ht="49.5" customHeight="1">
      <c r="A933" s="178" t="s">
        <v>99</v>
      </c>
      <c r="B933" s="75" t="s">
        <v>1081</v>
      </c>
      <c r="C933" s="39" t="s">
        <v>1067</v>
      </c>
      <c r="D933" s="272">
        <v>55</v>
      </c>
      <c r="E933" s="325" t="e">
        <f>#REF!</f>
        <v>#REF!</v>
      </c>
      <c r="F933" s="325" t="e">
        <f>#REF!</f>
        <v>#REF!</v>
      </c>
      <c r="G933" s="325" t="e">
        <f>#REF!</f>
        <v>#REF!</v>
      </c>
      <c r="H933" s="325" t="e">
        <f t="shared" si="42"/>
        <v>#REF!</v>
      </c>
      <c r="I933" s="265">
        <v>127.4</v>
      </c>
      <c r="J933" s="266">
        <f t="shared" si="44"/>
        <v>7007</v>
      </c>
      <c r="K933" s="307"/>
      <c r="L933" s="310">
        <v>42423</v>
      </c>
      <c r="M933" s="308" t="s">
        <v>1663</v>
      </c>
      <c r="N933" s="254" t="s">
        <v>342</v>
      </c>
      <c r="O933" s="266" t="s">
        <v>1642</v>
      </c>
    </row>
    <row r="934" spans="1:15" ht="62.25" customHeight="1">
      <c r="A934" s="178" t="s">
        <v>99</v>
      </c>
      <c r="B934" s="75" t="s">
        <v>1082</v>
      </c>
      <c r="C934" s="39" t="s">
        <v>1067</v>
      </c>
      <c r="D934" s="255">
        <v>5</v>
      </c>
      <c r="E934" s="325" t="e">
        <f>#REF!</f>
        <v>#REF!</v>
      </c>
      <c r="F934" s="325" t="e">
        <f>#REF!</f>
        <v>#REF!</v>
      </c>
      <c r="G934" s="325" t="e">
        <f>#REF!</f>
        <v>#REF!</v>
      </c>
      <c r="H934" s="325" t="e">
        <f t="shared" si="42"/>
        <v>#REF!</v>
      </c>
      <c r="I934" s="266">
        <v>520</v>
      </c>
      <c r="J934" s="266">
        <f t="shared" si="44"/>
        <v>2600</v>
      </c>
      <c r="K934" s="306"/>
      <c r="L934" s="310">
        <v>42423</v>
      </c>
      <c r="M934" s="308" t="s">
        <v>1663</v>
      </c>
      <c r="N934" s="254" t="s">
        <v>342</v>
      </c>
      <c r="O934" s="266" t="s">
        <v>1642</v>
      </c>
    </row>
    <row r="935" spans="1:15" ht="31.5">
      <c r="A935" s="178" t="s">
        <v>99</v>
      </c>
      <c r="B935" s="75" t="s">
        <v>1083</v>
      </c>
      <c r="C935" s="39" t="s">
        <v>1067</v>
      </c>
      <c r="D935" s="255">
        <v>15</v>
      </c>
      <c r="E935" s="325" t="e">
        <f>#REF!</f>
        <v>#REF!</v>
      </c>
      <c r="F935" s="325" t="e">
        <f>#REF!</f>
        <v>#REF!</v>
      </c>
      <c r="G935" s="325" t="e">
        <f>#REF!</f>
        <v>#REF!</v>
      </c>
      <c r="H935" s="325" t="e">
        <f t="shared" si="42"/>
        <v>#REF!</v>
      </c>
      <c r="I935" s="265">
        <v>442.5</v>
      </c>
      <c r="J935" s="266">
        <f t="shared" si="44"/>
        <v>6637.5</v>
      </c>
      <c r="K935" s="307"/>
      <c r="L935" s="310">
        <v>42423</v>
      </c>
      <c r="M935" s="308" t="s">
        <v>1663</v>
      </c>
      <c r="N935" s="254" t="s">
        <v>342</v>
      </c>
      <c r="O935" s="266" t="s">
        <v>1642</v>
      </c>
    </row>
    <row r="936" spans="1:15" ht="31.5">
      <c r="A936" s="178" t="s">
        <v>99</v>
      </c>
      <c r="B936" s="75" t="s">
        <v>1084</v>
      </c>
      <c r="C936" s="39" t="s">
        <v>1067</v>
      </c>
      <c r="D936" s="255">
        <v>10</v>
      </c>
      <c r="E936" s="325" t="e">
        <f>#REF!</f>
        <v>#REF!</v>
      </c>
      <c r="F936" s="325" t="e">
        <f>#REF!</f>
        <v>#REF!</v>
      </c>
      <c r="G936" s="325" t="e">
        <f>#REF!</f>
        <v>#REF!</v>
      </c>
      <c r="H936" s="325" t="e">
        <f t="shared" si="42"/>
        <v>#REF!</v>
      </c>
      <c r="I936" s="266">
        <v>1500</v>
      </c>
      <c r="J936" s="266">
        <f t="shared" si="44"/>
        <v>15000</v>
      </c>
      <c r="K936" s="306"/>
      <c r="L936" s="310">
        <v>42423</v>
      </c>
      <c r="M936" s="308" t="s">
        <v>1663</v>
      </c>
      <c r="N936" s="254" t="s">
        <v>342</v>
      </c>
      <c r="O936" s="266" t="s">
        <v>1642</v>
      </c>
    </row>
    <row r="937" spans="1:15" ht="30">
      <c r="A937" s="178" t="s">
        <v>99</v>
      </c>
      <c r="B937" s="75" t="s">
        <v>1085</v>
      </c>
      <c r="C937" s="39" t="s">
        <v>1067</v>
      </c>
      <c r="D937" s="255">
        <v>10</v>
      </c>
      <c r="E937" s="325" t="e">
        <f>#REF!</f>
        <v>#REF!</v>
      </c>
      <c r="F937" s="325" t="e">
        <f>#REF!</f>
        <v>#REF!</v>
      </c>
      <c r="G937" s="325" t="e">
        <f>#REF!</f>
        <v>#REF!</v>
      </c>
      <c r="H937" s="325" t="e">
        <f t="shared" si="42"/>
        <v>#REF!</v>
      </c>
      <c r="I937" s="265">
        <v>12201.2</v>
      </c>
      <c r="J937" s="266">
        <f t="shared" si="44"/>
        <v>122012</v>
      </c>
      <c r="K937" s="307"/>
      <c r="L937" s="310">
        <v>42423</v>
      </c>
      <c r="M937" s="308" t="s">
        <v>15</v>
      </c>
      <c r="N937" s="254" t="s">
        <v>342</v>
      </c>
      <c r="O937" s="266" t="s">
        <v>1642</v>
      </c>
    </row>
    <row r="938" spans="1:15" ht="30">
      <c r="A938" s="178" t="s">
        <v>99</v>
      </c>
      <c r="B938" s="75" t="s">
        <v>1086</v>
      </c>
      <c r="C938" s="39" t="s">
        <v>1067</v>
      </c>
      <c r="D938" s="255">
        <v>10</v>
      </c>
      <c r="E938" s="325" t="e">
        <f>#REF!</f>
        <v>#REF!</v>
      </c>
      <c r="F938" s="325" t="e">
        <f>#REF!</f>
        <v>#REF!</v>
      </c>
      <c r="G938" s="325" t="e">
        <f>#REF!</f>
        <v>#REF!</v>
      </c>
      <c r="H938" s="325" t="e">
        <f t="shared" si="42"/>
        <v>#REF!</v>
      </c>
      <c r="I938" s="266">
        <v>17523</v>
      </c>
      <c r="J938" s="266">
        <f t="shared" si="44"/>
        <v>175230</v>
      </c>
      <c r="K938" s="306"/>
      <c r="L938" s="310">
        <v>42423</v>
      </c>
      <c r="M938" s="308" t="s">
        <v>15</v>
      </c>
      <c r="N938" s="254" t="s">
        <v>342</v>
      </c>
      <c r="O938" s="266" t="s">
        <v>1642</v>
      </c>
    </row>
    <row r="939" spans="1:15" ht="56.25" customHeight="1">
      <c r="A939" s="178" t="s">
        <v>99</v>
      </c>
      <c r="B939" s="75" t="s">
        <v>1087</v>
      </c>
      <c r="C939" s="39" t="s">
        <v>208</v>
      </c>
      <c r="D939" s="255">
        <v>10</v>
      </c>
      <c r="E939" s="325" t="e">
        <f>#REF!</f>
        <v>#REF!</v>
      </c>
      <c r="F939" s="325" t="e">
        <f>#REF!</f>
        <v>#REF!</v>
      </c>
      <c r="G939" s="325" t="e">
        <f>#REF!</f>
        <v>#REF!</v>
      </c>
      <c r="H939" s="325" t="e">
        <f t="shared" si="42"/>
        <v>#REF!</v>
      </c>
      <c r="I939" s="265">
        <v>270</v>
      </c>
      <c r="J939" s="266">
        <f t="shared" si="44"/>
        <v>2700</v>
      </c>
      <c r="K939" s="307"/>
      <c r="L939" s="310">
        <v>42423</v>
      </c>
      <c r="M939" s="308" t="s">
        <v>1663</v>
      </c>
      <c r="N939" s="254" t="s">
        <v>342</v>
      </c>
      <c r="O939" s="266" t="s">
        <v>1642</v>
      </c>
    </row>
    <row r="940" spans="1:15" ht="51">
      <c r="A940" s="178" t="s">
        <v>99</v>
      </c>
      <c r="B940" s="75" t="s">
        <v>1088</v>
      </c>
      <c r="C940" s="39" t="s">
        <v>1067</v>
      </c>
      <c r="D940" s="255"/>
      <c r="E940" s="325" t="e">
        <f>#REF!</f>
        <v>#REF!</v>
      </c>
      <c r="F940" s="325" t="e">
        <f>#REF!</f>
        <v>#REF!</v>
      </c>
      <c r="G940" s="325" t="e">
        <f>#REF!</f>
        <v>#REF!</v>
      </c>
      <c r="H940" s="325" t="e">
        <f t="shared" si="42"/>
        <v>#REF!</v>
      </c>
      <c r="I940" s="260"/>
      <c r="J940" s="266" t="e">
        <f>I940*H940</f>
        <v>#REF!</v>
      </c>
      <c r="K940" s="294"/>
      <c r="L940" s="271"/>
      <c r="M940" s="264"/>
      <c r="N940" s="260"/>
      <c r="O940" s="260"/>
    </row>
    <row r="941" spans="1:15" ht="30">
      <c r="A941" s="178" t="s">
        <v>99</v>
      </c>
      <c r="B941" s="75" t="s">
        <v>1089</v>
      </c>
      <c r="C941" s="39" t="s">
        <v>1090</v>
      </c>
      <c r="D941" s="255"/>
      <c r="E941" s="325" t="e">
        <f>#REF!</f>
        <v>#REF!</v>
      </c>
      <c r="F941" s="325" t="e">
        <f>#REF!</f>
        <v>#REF!</v>
      </c>
      <c r="G941" s="325" t="e">
        <f>#REF!</f>
        <v>#REF!</v>
      </c>
      <c r="H941" s="325" t="e">
        <f t="shared" si="42"/>
        <v>#REF!</v>
      </c>
      <c r="I941" s="261"/>
      <c r="J941" s="265" t="e">
        <f>I941*H941</f>
        <v>#REF!</v>
      </c>
      <c r="K941" s="295"/>
      <c r="L941" s="270"/>
      <c r="M941" s="263"/>
      <c r="N941" s="261"/>
      <c r="O941" s="260"/>
    </row>
    <row r="942" spans="1:15" ht="30">
      <c r="A942" s="178" t="s">
        <v>99</v>
      </c>
      <c r="B942" s="75" t="s">
        <v>1091</v>
      </c>
      <c r="C942" s="39" t="s">
        <v>718</v>
      </c>
      <c r="D942" s="255"/>
      <c r="E942" s="325" t="e">
        <f>#REF!</f>
        <v>#REF!</v>
      </c>
      <c r="F942" s="325" t="e">
        <f>#REF!</f>
        <v>#REF!</v>
      </c>
      <c r="G942" s="325" t="e">
        <f>#REF!</f>
        <v>#REF!</v>
      </c>
      <c r="H942" s="325" t="e">
        <f t="shared" si="42"/>
        <v>#REF!</v>
      </c>
      <c r="I942" s="260"/>
      <c r="J942" s="266" t="e">
        <f>I942*H942</f>
        <v>#REF!</v>
      </c>
      <c r="K942" s="294"/>
      <c r="L942" s="271"/>
      <c r="M942" s="264"/>
      <c r="N942" s="260"/>
      <c r="O942" s="260"/>
    </row>
    <row r="943" spans="1:15" ht="31.5">
      <c r="A943" s="178" t="s">
        <v>99</v>
      </c>
      <c r="B943" s="75" t="s">
        <v>1092</v>
      </c>
      <c r="C943" s="39" t="s">
        <v>1067</v>
      </c>
      <c r="D943" s="255">
        <v>10</v>
      </c>
      <c r="E943" s="325" t="e">
        <f>#REF!</f>
        <v>#REF!</v>
      </c>
      <c r="F943" s="325" t="e">
        <f>#REF!</f>
        <v>#REF!</v>
      </c>
      <c r="G943" s="325" t="e">
        <f>#REF!</f>
        <v>#REF!</v>
      </c>
      <c r="H943" s="325" t="e">
        <f t="shared" si="42"/>
        <v>#REF!</v>
      </c>
      <c r="I943" s="265">
        <v>248.97</v>
      </c>
      <c r="J943" s="266">
        <f>I943*D943</f>
        <v>2489.6999999999998</v>
      </c>
      <c r="K943" s="307"/>
      <c r="L943" s="310">
        <v>42423</v>
      </c>
      <c r="M943" s="308" t="s">
        <v>1663</v>
      </c>
      <c r="N943" s="254" t="s">
        <v>342</v>
      </c>
      <c r="O943" s="266" t="s">
        <v>1642</v>
      </c>
    </row>
    <row r="944" spans="1:15" ht="30">
      <c r="A944" s="178" t="s">
        <v>99</v>
      </c>
      <c r="B944" s="75" t="s">
        <v>1093</v>
      </c>
      <c r="C944" s="39" t="s">
        <v>1067</v>
      </c>
      <c r="D944" s="255"/>
      <c r="E944" s="325" t="e">
        <f>#REF!</f>
        <v>#REF!</v>
      </c>
      <c r="F944" s="325" t="e">
        <f>#REF!</f>
        <v>#REF!</v>
      </c>
      <c r="G944" s="325" t="e">
        <f>#REF!</f>
        <v>#REF!</v>
      </c>
      <c r="H944" s="325" t="e">
        <f t="shared" si="42"/>
        <v>#REF!</v>
      </c>
      <c r="I944" s="260"/>
      <c r="J944" s="266" t="e">
        <f>I944*H944</f>
        <v>#REF!</v>
      </c>
      <c r="K944" s="294"/>
      <c r="L944" s="271"/>
      <c r="M944" s="264"/>
      <c r="N944" s="260"/>
      <c r="O944" s="260"/>
    </row>
    <row r="945" spans="1:15" ht="30">
      <c r="A945" s="178" t="s">
        <v>99</v>
      </c>
      <c r="B945" s="75" t="s">
        <v>1094</v>
      </c>
      <c r="C945" s="39" t="s">
        <v>208</v>
      </c>
      <c r="D945" s="255"/>
      <c r="E945" s="325" t="e">
        <f>#REF!</f>
        <v>#REF!</v>
      </c>
      <c r="F945" s="325" t="e">
        <f>#REF!</f>
        <v>#REF!</v>
      </c>
      <c r="G945" s="325" t="e">
        <f>#REF!</f>
        <v>#REF!</v>
      </c>
      <c r="H945" s="325" t="e">
        <f t="shared" si="42"/>
        <v>#REF!</v>
      </c>
      <c r="I945" s="261"/>
      <c r="J945" s="266" t="e">
        <f t="shared" ref="J945:J957" si="45">I945*H945</f>
        <v>#REF!</v>
      </c>
      <c r="K945" s="295"/>
      <c r="L945" s="265"/>
      <c r="M945" s="263"/>
      <c r="N945" s="261"/>
      <c r="O945" s="260"/>
    </row>
    <row r="946" spans="1:15" ht="30">
      <c r="A946" s="178" t="s">
        <v>99</v>
      </c>
      <c r="B946" s="75" t="s">
        <v>1095</v>
      </c>
      <c r="C946" s="39" t="s">
        <v>208</v>
      </c>
      <c r="D946" s="255"/>
      <c r="E946" s="325" t="e">
        <f>#REF!</f>
        <v>#REF!</v>
      </c>
      <c r="F946" s="325" t="e">
        <f>#REF!</f>
        <v>#REF!</v>
      </c>
      <c r="G946" s="325" t="e">
        <f>#REF!</f>
        <v>#REF!</v>
      </c>
      <c r="H946" s="325" t="e">
        <f t="shared" si="42"/>
        <v>#REF!</v>
      </c>
      <c r="I946" s="260"/>
      <c r="J946" s="266" t="e">
        <f t="shared" si="45"/>
        <v>#REF!</v>
      </c>
      <c r="K946" s="294"/>
      <c r="L946" s="278"/>
      <c r="M946" s="278"/>
      <c r="N946" s="278"/>
      <c r="O946" s="260"/>
    </row>
    <row r="947" spans="1:15" ht="30">
      <c r="A947" s="178" t="s">
        <v>99</v>
      </c>
      <c r="B947" s="75" t="s">
        <v>1096</v>
      </c>
      <c r="C947" s="39" t="s">
        <v>208</v>
      </c>
      <c r="D947" s="255"/>
      <c r="E947" s="325" t="e">
        <f>#REF!</f>
        <v>#REF!</v>
      </c>
      <c r="F947" s="325" t="e">
        <f>#REF!</f>
        <v>#REF!</v>
      </c>
      <c r="G947" s="325" t="e">
        <f>#REF!</f>
        <v>#REF!</v>
      </c>
      <c r="H947" s="325" t="e">
        <f t="shared" si="42"/>
        <v>#REF!</v>
      </c>
      <c r="I947" s="261"/>
      <c r="J947" s="266" t="e">
        <f t="shared" si="45"/>
        <v>#REF!</v>
      </c>
      <c r="K947" s="295"/>
      <c r="L947" s="276"/>
      <c r="M947" s="263"/>
      <c r="N947" s="261"/>
      <c r="O947" s="260"/>
    </row>
    <row r="948" spans="1:15" ht="30">
      <c r="A948" s="178" t="s">
        <v>99</v>
      </c>
      <c r="B948" s="75" t="s">
        <v>1098</v>
      </c>
      <c r="C948" s="39" t="s">
        <v>1099</v>
      </c>
      <c r="D948" s="255"/>
      <c r="E948" s="325" t="e">
        <f>#REF!</f>
        <v>#REF!</v>
      </c>
      <c r="F948" s="325" t="e">
        <f>#REF!</f>
        <v>#REF!</v>
      </c>
      <c r="G948" s="325" t="e">
        <f>#REF!</f>
        <v>#REF!</v>
      </c>
      <c r="H948" s="325" t="e">
        <f t="shared" si="42"/>
        <v>#REF!</v>
      </c>
      <c r="I948" s="260"/>
      <c r="J948" s="266" t="e">
        <f t="shared" si="45"/>
        <v>#REF!</v>
      </c>
      <c r="K948" s="294"/>
      <c r="L948" s="271"/>
      <c r="M948" s="264"/>
      <c r="N948" s="260"/>
      <c r="O948" s="260"/>
    </row>
    <row r="949" spans="1:15" ht="30">
      <c r="A949" s="178" t="s">
        <v>99</v>
      </c>
      <c r="B949" s="75" t="s">
        <v>1100</v>
      </c>
      <c r="C949" s="39" t="s">
        <v>1067</v>
      </c>
      <c r="D949" s="255"/>
      <c r="E949" s="325" t="e">
        <f>#REF!</f>
        <v>#REF!</v>
      </c>
      <c r="F949" s="325" t="e">
        <f>#REF!</f>
        <v>#REF!</v>
      </c>
      <c r="G949" s="325" t="e">
        <f>#REF!</f>
        <v>#REF!</v>
      </c>
      <c r="H949" s="325" t="e">
        <f t="shared" si="42"/>
        <v>#REF!</v>
      </c>
      <c r="I949" s="261"/>
      <c r="J949" s="266" t="e">
        <f t="shared" si="45"/>
        <v>#REF!</v>
      </c>
      <c r="K949" s="295"/>
      <c r="L949" s="270"/>
      <c r="M949" s="263"/>
      <c r="N949" s="261"/>
      <c r="O949" s="260"/>
    </row>
    <row r="950" spans="1:15" ht="30">
      <c r="A950" s="178" t="s">
        <v>99</v>
      </c>
      <c r="B950" s="75" t="s">
        <v>1101</v>
      </c>
      <c r="C950" s="39" t="s">
        <v>35</v>
      </c>
      <c r="D950" s="255"/>
      <c r="E950" s="325" t="e">
        <f>#REF!</f>
        <v>#REF!</v>
      </c>
      <c r="F950" s="325" t="e">
        <f>#REF!</f>
        <v>#REF!</v>
      </c>
      <c r="G950" s="325" t="e">
        <f>#REF!</f>
        <v>#REF!</v>
      </c>
      <c r="H950" s="325" t="e">
        <f t="shared" si="42"/>
        <v>#REF!</v>
      </c>
      <c r="I950" s="260"/>
      <c r="J950" s="266" t="e">
        <f t="shared" si="45"/>
        <v>#REF!</v>
      </c>
      <c r="K950" s="294"/>
      <c r="L950" s="271"/>
      <c r="M950" s="264"/>
      <c r="N950" s="260"/>
      <c r="O950" s="260"/>
    </row>
    <row r="951" spans="1:15" ht="30">
      <c r="A951" s="178" t="s">
        <v>99</v>
      </c>
      <c r="B951" s="75" t="s">
        <v>1626</v>
      </c>
      <c r="C951" s="39" t="s">
        <v>35</v>
      </c>
      <c r="D951" s="255"/>
      <c r="E951" s="325" t="e">
        <f>#REF!</f>
        <v>#REF!</v>
      </c>
      <c r="F951" s="325" t="e">
        <f>#REF!</f>
        <v>#REF!</v>
      </c>
      <c r="G951" s="325" t="e">
        <f>#REF!</f>
        <v>#REF!</v>
      </c>
      <c r="H951" s="325" t="e">
        <f t="shared" si="42"/>
        <v>#REF!</v>
      </c>
      <c r="I951" s="261"/>
      <c r="J951" s="266" t="e">
        <f t="shared" si="45"/>
        <v>#REF!</v>
      </c>
      <c r="K951" s="295"/>
      <c r="L951" s="270"/>
      <c r="M951" s="263"/>
      <c r="N951" s="261"/>
      <c r="O951" s="260"/>
    </row>
    <row r="952" spans="1:15" ht="30">
      <c r="A952" s="178" t="s">
        <v>99</v>
      </c>
      <c r="B952" s="75" t="s">
        <v>1102</v>
      </c>
      <c r="C952" s="39" t="s">
        <v>1065</v>
      </c>
      <c r="D952" s="255"/>
      <c r="E952" s="325" t="e">
        <f>#REF!</f>
        <v>#REF!</v>
      </c>
      <c r="F952" s="325" t="e">
        <f>#REF!</f>
        <v>#REF!</v>
      </c>
      <c r="G952" s="325" t="e">
        <f>#REF!</f>
        <v>#REF!</v>
      </c>
      <c r="H952" s="325" t="e">
        <f t="shared" si="42"/>
        <v>#REF!</v>
      </c>
      <c r="I952" s="260"/>
      <c r="J952" s="266" t="e">
        <f t="shared" si="45"/>
        <v>#REF!</v>
      </c>
      <c r="K952" s="294"/>
      <c r="L952" s="271"/>
      <c r="M952" s="264"/>
      <c r="N952" s="260"/>
      <c r="O952" s="260"/>
    </row>
    <row r="953" spans="1:15" ht="30">
      <c r="A953" s="178" t="s">
        <v>99</v>
      </c>
      <c r="B953" s="75" t="s">
        <v>1103</v>
      </c>
      <c r="C953" s="39" t="s">
        <v>1065</v>
      </c>
      <c r="D953" s="255"/>
      <c r="E953" s="325" t="e">
        <f>#REF!</f>
        <v>#REF!</v>
      </c>
      <c r="F953" s="325" t="e">
        <f>#REF!</f>
        <v>#REF!</v>
      </c>
      <c r="G953" s="325" t="e">
        <f>#REF!</f>
        <v>#REF!</v>
      </c>
      <c r="H953" s="325" t="e">
        <f t="shared" si="42"/>
        <v>#REF!</v>
      </c>
      <c r="I953" s="261"/>
      <c r="J953" s="266" t="e">
        <f t="shared" si="45"/>
        <v>#REF!</v>
      </c>
      <c r="K953" s="295"/>
      <c r="L953" s="270"/>
      <c r="M953" s="263"/>
      <c r="N953" s="261"/>
      <c r="O953" s="260"/>
    </row>
    <row r="954" spans="1:15" ht="30">
      <c r="A954" s="178" t="s">
        <v>99</v>
      </c>
      <c r="B954" s="75" t="s">
        <v>1104</v>
      </c>
      <c r="C954" s="39" t="s">
        <v>102</v>
      </c>
      <c r="D954" s="255"/>
      <c r="E954" s="325" t="e">
        <f>#REF!</f>
        <v>#REF!</v>
      </c>
      <c r="F954" s="325" t="e">
        <f>#REF!</f>
        <v>#REF!</v>
      </c>
      <c r="G954" s="325" t="e">
        <f>#REF!</f>
        <v>#REF!</v>
      </c>
      <c r="H954" s="325" t="e">
        <f t="shared" si="42"/>
        <v>#REF!</v>
      </c>
      <c r="I954" s="260"/>
      <c r="J954" s="266" t="e">
        <f t="shared" si="45"/>
        <v>#REF!</v>
      </c>
      <c r="K954" s="294"/>
      <c r="L954" s="271"/>
      <c r="M954" s="264"/>
      <c r="N954" s="260"/>
      <c r="O954" s="260"/>
    </row>
    <row r="955" spans="1:15" ht="30">
      <c r="A955" s="178" t="s">
        <v>99</v>
      </c>
      <c r="B955" s="75" t="s">
        <v>1106</v>
      </c>
      <c r="C955" s="39" t="s">
        <v>149</v>
      </c>
      <c r="D955" s="255"/>
      <c r="E955" s="325" t="e">
        <f>#REF!</f>
        <v>#REF!</v>
      </c>
      <c r="F955" s="325" t="e">
        <f>#REF!</f>
        <v>#REF!</v>
      </c>
      <c r="G955" s="325" t="e">
        <f>#REF!</f>
        <v>#REF!</v>
      </c>
      <c r="H955" s="325" t="e">
        <f t="shared" si="42"/>
        <v>#REF!</v>
      </c>
      <c r="I955" s="261"/>
      <c r="J955" s="266" t="e">
        <f t="shared" si="45"/>
        <v>#REF!</v>
      </c>
      <c r="K955" s="295"/>
      <c r="L955" s="270"/>
      <c r="M955" s="263"/>
      <c r="N955" s="261"/>
      <c r="O955" s="260"/>
    </row>
    <row r="956" spans="1:15" ht="30">
      <c r="A956" s="178" t="s">
        <v>99</v>
      </c>
      <c r="B956" s="75" t="s">
        <v>1107</v>
      </c>
      <c r="C956" s="39" t="s">
        <v>149</v>
      </c>
      <c r="D956" s="255"/>
      <c r="E956" s="325" t="e">
        <f>#REF!</f>
        <v>#REF!</v>
      </c>
      <c r="F956" s="325" t="e">
        <f>#REF!</f>
        <v>#REF!</v>
      </c>
      <c r="G956" s="325" t="e">
        <f>#REF!</f>
        <v>#REF!</v>
      </c>
      <c r="H956" s="325" t="e">
        <f t="shared" si="42"/>
        <v>#REF!</v>
      </c>
      <c r="I956" s="260"/>
      <c r="J956" s="266" t="e">
        <f t="shared" si="45"/>
        <v>#REF!</v>
      </c>
      <c r="K956" s="294"/>
      <c r="L956" s="271"/>
      <c r="M956" s="264"/>
      <c r="N956" s="260"/>
      <c r="O956" s="260"/>
    </row>
    <row r="957" spans="1:15" ht="30">
      <c r="A957" s="178" t="s">
        <v>99</v>
      </c>
      <c r="B957" s="75" t="s">
        <v>306</v>
      </c>
      <c r="C957" s="39" t="s">
        <v>290</v>
      </c>
      <c r="D957" s="255"/>
      <c r="E957" s="325" t="e">
        <f>#REF!</f>
        <v>#REF!</v>
      </c>
      <c r="F957" s="325" t="e">
        <f>#REF!</f>
        <v>#REF!</v>
      </c>
      <c r="G957" s="325" t="e">
        <f>#REF!</f>
        <v>#REF!</v>
      </c>
      <c r="H957" s="325" t="e">
        <f t="shared" si="42"/>
        <v>#REF!</v>
      </c>
      <c r="I957" s="261"/>
      <c r="J957" s="266" t="e">
        <f t="shared" si="45"/>
        <v>#REF!</v>
      </c>
      <c r="K957" s="295"/>
      <c r="L957" s="270"/>
      <c r="M957" s="263"/>
      <c r="N957" s="261"/>
      <c r="O957" s="260"/>
    </row>
    <row r="958" spans="1:15" ht="76.5">
      <c r="A958" s="178" t="s">
        <v>99</v>
      </c>
      <c r="B958" s="75" t="s">
        <v>1108</v>
      </c>
      <c r="C958" s="39" t="s">
        <v>1067</v>
      </c>
      <c r="D958" s="255">
        <v>5</v>
      </c>
      <c r="E958" s="325" t="e">
        <f>#REF!</f>
        <v>#REF!</v>
      </c>
      <c r="F958" s="325" t="e">
        <f>#REF!</f>
        <v>#REF!</v>
      </c>
      <c r="G958" s="325" t="e">
        <f>#REF!</f>
        <v>#REF!</v>
      </c>
      <c r="H958" s="325" t="e">
        <f t="shared" si="42"/>
        <v>#REF!</v>
      </c>
      <c r="I958" s="266">
        <v>4069.8</v>
      </c>
      <c r="J958" s="266">
        <f t="shared" ref="J958:J966" si="46">I958*D958</f>
        <v>20349</v>
      </c>
      <c r="K958" s="306"/>
      <c r="L958" s="280">
        <v>42423</v>
      </c>
      <c r="M958" s="308" t="s">
        <v>1663</v>
      </c>
      <c r="N958" s="254" t="s">
        <v>342</v>
      </c>
      <c r="O958" s="266" t="s">
        <v>1642</v>
      </c>
    </row>
    <row r="959" spans="1:15" ht="38.25">
      <c r="A959" s="178" t="s">
        <v>99</v>
      </c>
      <c r="B959" s="75" t="s">
        <v>1109</v>
      </c>
      <c r="C959" s="39" t="s">
        <v>1067</v>
      </c>
      <c r="D959" s="255">
        <v>1</v>
      </c>
      <c r="E959" s="325" t="e">
        <f>#REF!</f>
        <v>#REF!</v>
      </c>
      <c r="F959" s="325" t="e">
        <f>#REF!</f>
        <v>#REF!</v>
      </c>
      <c r="G959" s="325" t="e">
        <f>#REF!</f>
        <v>#REF!</v>
      </c>
      <c r="H959" s="325" t="e">
        <f t="shared" si="42"/>
        <v>#REF!</v>
      </c>
      <c r="I959" s="265">
        <v>1660.24</v>
      </c>
      <c r="J959" s="266">
        <f t="shared" si="46"/>
        <v>1660.24</v>
      </c>
      <c r="K959" s="307"/>
      <c r="L959" s="280">
        <v>42423</v>
      </c>
      <c r="M959" s="308" t="s">
        <v>1663</v>
      </c>
      <c r="N959" s="254" t="s">
        <v>342</v>
      </c>
      <c r="O959" s="266" t="s">
        <v>1642</v>
      </c>
    </row>
    <row r="960" spans="1:15" ht="73.5" customHeight="1">
      <c r="A960" s="178" t="s">
        <v>99</v>
      </c>
      <c r="B960" s="75" t="s">
        <v>1110</v>
      </c>
      <c r="C960" s="39" t="s">
        <v>1067</v>
      </c>
      <c r="D960" s="255">
        <v>2</v>
      </c>
      <c r="E960" s="325" t="e">
        <f>#REF!</f>
        <v>#REF!</v>
      </c>
      <c r="F960" s="325" t="e">
        <f>#REF!</f>
        <v>#REF!</v>
      </c>
      <c r="G960" s="325" t="e">
        <f>#REF!</f>
        <v>#REF!</v>
      </c>
      <c r="H960" s="325" t="e">
        <f t="shared" si="42"/>
        <v>#REF!</v>
      </c>
      <c r="I960" s="266">
        <v>4546.49</v>
      </c>
      <c r="J960" s="266">
        <f t="shared" si="46"/>
        <v>9092.98</v>
      </c>
      <c r="K960" s="306"/>
      <c r="L960" s="280">
        <v>42423</v>
      </c>
      <c r="M960" s="308" t="s">
        <v>1663</v>
      </c>
      <c r="N960" s="254" t="s">
        <v>342</v>
      </c>
      <c r="O960" s="266" t="s">
        <v>1642</v>
      </c>
    </row>
    <row r="961" spans="1:15" ht="51">
      <c r="A961" s="178" t="s">
        <v>99</v>
      </c>
      <c r="B961" s="75" t="s">
        <v>1111</v>
      </c>
      <c r="C961" s="39" t="s">
        <v>1067</v>
      </c>
      <c r="D961" s="255">
        <v>1</v>
      </c>
      <c r="E961" s="325" t="e">
        <f>#REF!</f>
        <v>#REF!</v>
      </c>
      <c r="F961" s="325" t="e">
        <f>#REF!</f>
        <v>#REF!</v>
      </c>
      <c r="G961" s="325" t="e">
        <f>#REF!</f>
        <v>#REF!</v>
      </c>
      <c r="H961" s="325" t="e">
        <f t="shared" si="42"/>
        <v>#REF!</v>
      </c>
      <c r="I961" s="265">
        <v>4335.6000000000004</v>
      </c>
      <c r="J961" s="266">
        <f t="shared" si="46"/>
        <v>4335.6000000000004</v>
      </c>
      <c r="K961" s="307"/>
      <c r="L961" s="280">
        <v>42423</v>
      </c>
      <c r="M961" s="308" t="s">
        <v>1663</v>
      </c>
      <c r="N961" s="254" t="s">
        <v>342</v>
      </c>
      <c r="O961" s="266" t="s">
        <v>1642</v>
      </c>
    </row>
    <row r="962" spans="1:15" ht="38.25">
      <c r="A962" s="178" t="s">
        <v>99</v>
      </c>
      <c r="B962" s="75" t="s">
        <v>1112</v>
      </c>
      <c r="C962" s="39" t="s">
        <v>1067</v>
      </c>
      <c r="D962" s="255">
        <v>2</v>
      </c>
      <c r="E962" s="325" t="e">
        <f>#REF!</f>
        <v>#REF!</v>
      </c>
      <c r="F962" s="325" t="e">
        <f>#REF!</f>
        <v>#REF!</v>
      </c>
      <c r="G962" s="325" t="e">
        <f>#REF!</f>
        <v>#REF!</v>
      </c>
      <c r="H962" s="325" t="e">
        <f t="shared" si="42"/>
        <v>#REF!</v>
      </c>
      <c r="I962" s="266">
        <v>18986.349999999999</v>
      </c>
      <c r="J962" s="266">
        <f t="shared" si="46"/>
        <v>37972.699999999997</v>
      </c>
      <c r="K962" s="306"/>
      <c r="L962" s="280">
        <v>42423</v>
      </c>
      <c r="M962" s="308" t="s">
        <v>1663</v>
      </c>
      <c r="N962" s="254" t="s">
        <v>342</v>
      </c>
      <c r="O962" s="266" t="s">
        <v>1642</v>
      </c>
    </row>
    <row r="963" spans="1:15" ht="38.25">
      <c r="A963" s="178" t="s">
        <v>99</v>
      </c>
      <c r="B963" s="75" t="s">
        <v>1113</v>
      </c>
      <c r="C963" s="39" t="s">
        <v>1067</v>
      </c>
      <c r="D963" s="255">
        <v>2</v>
      </c>
      <c r="E963" s="325" t="e">
        <f>#REF!</f>
        <v>#REF!</v>
      </c>
      <c r="F963" s="325" t="e">
        <f>#REF!</f>
        <v>#REF!</v>
      </c>
      <c r="G963" s="325" t="e">
        <f>#REF!</f>
        <v>#REF!</v>
      </c>
      <c r="H963" s="325" t="e">
        <f t="shared" si="42"/>
        <v>#REF!</v>
      </c>
      <c r="I963" s="265">
        <v>24449.08</v>
      </c>
      <c r="J963" s="266">
        <f t="shared" si="46"/>
        <v>48898.16</v>
      </c>
      <c r="K963" s="307"/>
      <c r="L963" s="280">
        <v>42423</v>
      </c>
      <c r="M963" s="308" t="s">
        <v>1663</v>
      </c>
      <c r="N963" s="254" t="s">
        <v>342</v>
      </c>
      <c r="O963" s="266" t="s">
        <v>1642</v>
      </c>
    </row>
    <row r="964" spans="1:15" ht="38.25">
      <c r="A964" s="178" t="s">
        <v>99</v>
      </c>
      <c r="B964" s="75" t="s">
        <v>1114</v>
      </c>
      <c r="C964" s="39" t="s">
        <v>1067</v>
      </c>
      <c r="D964" s="255">
        <v>6</v>
      </c>
      <c r="E964" s="325" t="e">
        <f>#REF!</f>
        <v>#REF!</v>
      </c>
      <c r="F964" s="325" t="e">
        <f>#REF!</f>
        <v>#REF!</v>
      </c>
      <c r="G964" s="325" t="e">
        <f>#REF!</f>
        <v>#REF!</v>
      </c>
      <c r="H964" s="325" t="e">
        <f t="shared" si="42"/>
        <v>#REF!</v>
      </c>
      <c r="I964" s="266">
        <v>14925.09</v>
      </c>
      <c r="J964" s="266">
        <f t="shared" si="46"/>
        <v>89550.540000000008</v>
      </c>
      <c r="K964" s="306"/>
      <c r="L964" s="280">
        <v>42423</v>
      </c>
      <c r="M964" s="308" t="s">
        <v>1663</v>
      </c>
      <c r="N964" s="254" t="s">
        <v>342</v>
      </c>
      <c r="O964" s="266" t="s">
        <v>1642</v>
      </c>
    </row>
    <row r="965" spans="1:15" ht="38.25">
      <c r="A965" s="178" t="s">
        <v>99</v>
      </c>
      <c r="B965" s="75" t="s">
        <v>1115</v>
      </c>
      <c r="C965" s="39" t="s">
        <v>1067</v>
      </c>
      <c r="D965" s="255">
        <v>1</v>
      </c>
      <c r="E965" s="325" t="e">
        <f>#REF!</f>
        <v>#REF!</v>
      </c>
      <c r="F965" s="325" t="e">
        <f>#REF!</f>
        <v>#REF!</v>
      </c>
      <c r="G965" s="325" t="e">
        <f>#REF!</f>
        <v>#REF!</v>
      </c>
      <c r="H965" s="325" t="e">
        <f t="shared" si="42"/>
        <v>#REF!</v>
      </c>
      <c r="I965" s="265">
        <v>26147.78</v>
      </c>
      <c r="J965" s="266">
        <f t="shared" si="46"/>
        <v>26147.78</v>
      </c>
      <c r="K965" s="307"/>
      <c r="L965" s="280">
        <v>42423</v>
      </c>
      <c r="M965" s="308" t="s">
        <v>1663</v>
      </c>
      <c r="N965" s="254" t="s">
        <v>342</v>
      </c>
      <c r="O965" s="266" t="s">
        <v>1642</v>
      </c>
    </row>
    <row r="966" spans="1:15" ht="64.5" customHeight="1">
      <c r="A966" s="178" t="s">
        <v>99</v>
      </c>
      <c r="B966" s="75" t="s">
        <v>1116</v>
      </c>
      <c r="C966" s="39" t="s">
        <v>1067</v>
      </c>
      <c r="D966" s="255">
        <v>1</v>
      </c>
      <c r="E966" s="325" t="e">
        <f>#REF!</f>
        <v>#REF!</v>
      </c>
      <c r="F966" s="325" t="e">
        <f>#REF!</f>
        <v>#REF!</v>
      </c>
      <c r="G966" s="325" t="e">
        <f>#REF!</f>
        <v>#REF!</v>
      </c>
      <c r="H966" s="325" t="e">
        <f t="shared" si="42"/>
        <v>#REF!</v>
      </c>
      <c r="I966" s="266">
        <v>24082.86</v>
      </c>
      <c r="J966" s="266">
        <f t="shared" si="46"/>
        <v>24082.86</v>
      </c>
      <c r="K966" s="306"/>
      <c r="L966" s="280">
        <v>42423</v>
      </c>
      <c r="M966" s="308" t="s">
        <v>1663</v>
      </c>
      <c r="N966" s="254" t="s">
        <v>342</v>
      </c>
      <c r="O966" s="266" t="s">
        <v>1642</v>
      </c>
    </row>
    <row r="967" spans="1:15" ht="30">
      <c r="A967" s="178" t="s">
        <v>99</v>
      </c>
      <c r="B967" s="75" t="s">
        <v>1117</v>
      </c>
      <c r="C967" s="39" t="s">
        <v>1067</v>
      </c>
      <c r="D967" s="255"/>
      <c r="E967" s="325" t="e">
        <f>#REF!</f>
        <v>#REF!</v>
      </c>
      <c r="F967" s="325" t="e">
        <f>#REF!</f>
        <v>#REF!</v>
      </c>
      <c r="G967" s="325" t="e">
        <f>#REF!</f>
        <v>#REF!</v>
      </c>
      <c r="H967" s="325" t="e">
        <f t="shared" si="42"/>
        <v>#REF!</v>
      </c>
      <c r="I967" s="261"/>
      <c r="J967" s="265" t="e">
        <f>I967*H967</f>
        <v>#REF!</v>
      </c>
      <c r="K967" s="295"/>
      <c r="L967" s="270"/>
      <c r="M967" s="263"/>
      <c r="N967" s="261"/>
      <c r="O967" s="260"/>
    </row>
    <row r="968" spans="1:15" ht="30">
      <c r="A968" s="178" t="s">
        <v>99</v>
      </c>
      <c r="B968" s="75" t="s">
        <v>1118</v>
      </c>
      <c r="C968" s="39" t="s">
        <v>1067</v>
      </c>
      <c r="D968" s="255"/>
      <c r="E968" s="325" t="e">
        <f>#REF!</f>
        <v>#REF!</v>
      </c>
      <c r="F968" s="325" t="e">
        <f>#REF!</f>
        <v>#REF!</v>
      </c>
      <c r="G968" s="325" t="e">
        <f>#REF!</f>
        <v>#REF!</v>
      </c>
      <c r="H968" s="325" t="e">
        <f t="shared" si="42"/>
        <v>#REF!</v>
      </c>
      <c r="I968" s="260"/>
      <c r="J968" s="266" t="e">
        <f>I968*H968</f>
        <v>#REF!</v>
      </c>
      <c r="K968" s="294"/>
      <c r="L968" s="271"/>
      <c r="M968" s="264"/>
      <c r="N968" s="260"/>
      <c r="O968" s="260"/>
    </row>
    <row r="969" spans="1:15" ht="30">
      <c r="A969" s="178" t="s">
        <v>99</v>
      </c>
      <c r="B969" s="75" t="s">
        <v>1119</v>
      </c>
      <c r="C969" s="39" t="s">
        <v>1067</v>
      </c>
      <c r="D969" s="255">
        <v>1</v>
      </c>
      <c r="E969" s="325" t="e">
        <f>#REF!</f>
        <v>#REF!</v>
      </c>
      <c r="F969" s="325" t="e">
        <f>#REF!</f>
        <v>#REF!</v>
      </c>
      <c r="G969" s="325" t="e">
        <f>#REF!</f>
        <v>#REF!</v>
      </c>
      <c r="H969" s="325" t="e">
        <f t="shared" si="42"/>
        <v>#REF!</v>
      </c>
      <c r="I969" s="265">
        <v>555750</v>
      </c>
      <c r="J969" s="266">
        <f>I969*D969</f>
        <v>555750</v>
      </c>
      <c r="K969" s="307"/>
      <c r="L969" s="280">
        <v>42423</v>
      </c>
      <c r="M969" s="308" t="s">
        <v>15</v>
      </c>
      <c r="N969" s="254" t="s">
        <v>342</v>
      </c>
      <c r="O969" s="266" t="s">
        <v>1642</v>
      </c>
    </row>
    <row r="970" spans="1:15" ht="54" customHeight="1">
      <c r="A970" s="178" t="s">
        <v>99</v>
      </c>
      <c r="B970" s="75" t="s">
        <v>1120</v>
      </c>
      <c r="C970" s="39" t="s">
        <v>1067</v>
      </c>
      <c r="D970" s="255">
        <v>1</v>
      </c>
      <c r="E970" s="325" t="e">
        <f>#REF!</f>
        <v>#REF!</v>
      </c>
      <c r="F970" s="325" t="e">
        <f>#REF!</f>
        <v>#REF!</v>
      </c>
      <c r="G970" s="325" t="e">
        <f>#REF!</f>
        <v>#REF!</v>
      </c>
      <c r="H970" s="325" t="e">
        <f t="shared" si="42"/>
        <v>#REF!</v>
      </c>
      <c r="I970" s="266">
        <v>21797.37</v>
      </c>
      <c r="J970" s="266">
        <f t="shared" ref="J970:J975" si="47">I970*D970</f>
        <v>21797.37</v>
      </c>
      <c r="K970" s="306"/>
      <c r="L970" s="280">
        <v>42423</v>
      </c>
      <c r="M970" s="308" t="s">
        <v>1663</v>
      </c>
      <c r="N970" s="254" t="s">
        <v>342</v>
      </c>
      <c r="O970" s="266" t="s">
        <v>1642</v>
      </c>
    </row>
    <row r="971" spans="1:15" ht="76.5">
      <c r="A971" s="178" t="s">
        <v>99</v>
      </c>
      <c r="B971" s="75" t="s">
        <v>1121</v>
      </c>
      <c r="C971" s="39" t="s">
        <v>1067</v>
      </c>
      <c r="D971" s="255">
        <v>1</v>
      </c>
      <c r="E971" s="325" t="e">
        <f>#REF!</f>
        <v>#REF!</v>
      </c>
      <c r="F971" s="325" t="e">
        <f>#REF!</f>
        <v>#REF!</v>
      </c>
      <c r="G971" s="325" t="e">
        <f>#REF!</f>
        <v>#REF!</v>
      </c>
      <c r="H971" s="325" t="e">
        <f t="shared" si="42"/>
        <v>#REF!</v>
      </c>
      <c r="I971" s="265">
        <v>283609.65000000002</v>
      </c>
      <c r="J971" s="266">
        <f t="shared" si="47"/>
        <v>283609.65000000002</v>
      </c>
      <c r="K971" s="307"/>
      <c r="L971" s="280">
        <v>42423</v>
      </c>
      <c r="M971" s="308" t="s">
        <v>15</v>
      </c>
      <c r="N971" s="254" t="s">
        <v>342</v>
      </c>
      <c r="O971" s="266" t="s">
        <v>1642</v>
      </c>
    </row>
    <row r="972" spans="1:15" ht="48.75" customHeight="1">
      <c r="A972" s="178" t="s">
        <v>99</v>
      </c>
      <c r="B972" s="75" t="s">
        <v>1122</v>
      </c>
      <c r="C972" s="39" t="s">
        <v>1067</v>
      </c>
      <c r="D972" s="255">
        <v>2</v>
      </c>
      <c r="E972" s="325" t="e">
        <f>#REF!</f>
        <v>#REF!</v>
      </c>
      <c r="F972" s="325" t="e">
        <f>#REF!</f>
        <v>#REF!</v>
      </c>
      <c r="G972" s="325" t="e">
        <f>#REF!</f>
        <v>#REF!</v>
      </c>
      <c r="H972" s="325" t="e">
        <f t="shared" si="42"/>
        <v>#REF!</v>
      </c>
      <c r="I972" s="266">
        <v>46712</v>
      </c>
      <c r="J972" s="266">
        <f t="shared" si="47"/>
        <v>93424</v>
      </c>
      <c r="K972" s="306"/>
      <c r="L972" s="280">
        <v>42423</v>
      </c>
      <c r="M972" s="308" t="s">
        <v>1663</v>
      </c>
      <c r="N972" s="254" t="s">
        <v>342</v>
      </c>
      <c r="O972" s="266" t="s">
        <v>1642</v>
      </c>
    </row>
    <row r="973" spans="1:15" ht="44.25" customHeight="1">
      <c r="A973" s="178" t="s">
        <v>99</v>
      </c>
      <c r="B973" s="75" t="s">
        <v>1123</v>
      </c>
      <c r="C973" s="39" t="s">
        <v>1067</v>
      </c>
      <c r="D973" s="255">
        <v>4</v>
      </c>
      <c r="E973" s="325" t="e">
        <f>#REF!</f>
        <v>#REF!</v>
      </c>
      <c r="F973" s="325" t="e">
        <f>#REF!</f>
        <v>#REF!</v>
      </c>
      <c r="G973" s="325" t="e">
        <f>#REF!</f>
        <v>#REF!</v>
      </c>
      <c r="H973" s="325" t="e">
        <f t="shared" si="42"/>
        <v>#REF!</v>
      </c>
      <c r="I973" s="265">
        <v>6608</v>
      </c>
      <c r="J973" s="266">
        <f t="shared" si="47"/>
        <v>26432</v>
      </c>
      <c r="K973" s="307"/>
      <c r="L973" s="310">
        <v>42423</v>
      </c>
      <c r="M973" s="308" t="s">
        <v>1663</v>
      </c>
      <c r="N973" s="254" t="s">
        <v>342</v>
      </c>
      <c r="O973" s="266" t="s">
        <v>1642</v>
      </c>
    </row>
    <row r="974" spans="1:15" ht="31.5">
      <c r="A974" s="178" t="s">
        <v>99</v>
      </c>
      <c r="B974" s="75" t="s">
        <v>1124</v>
      </c>
      <c r="C974" s="39" t="s">
        <v>1067</v>
      </c>
      <c r="D974" s="255">
        <v>1</v>
      </c>
      <c r="E974" s="325" t="e">
        <f>#REF!</f>
        <v>#REF!</v>
      </c>
      <c r="F974" s="325" t="e">
        <f>#REF!</f>
        <v>#REF!</v>
      </c>
      <c r="G974" s="325" t="e">
        <f>#REF!</f>
        <v>#REF!</v>
      </c>
      <c r="H974" s="325" t="e">
        <f t="shared" si="42"/>
        <v>#REF!</v>
      </c>
      <c r="I974" s="266">
        <v>15148.72</v>
      </c>
      <c r="J974" s="266">
        <f t="shared" si="47"/>
        <v>15148.72</v>
      </c>
      <c r="K974" s="306"/>
      <c r="L974" s="310">
        <v>42423</v>
      </c>
      <c r="M974" s="308" t="s">
        <v>1663</v>
      </c>
      <c r="N974" s="254" t="s">
        <v>342</v>
      </c>
      <c r="O974" s="266" t="s">
        <v>1642</v>
      </c>
    </row>
    <row r="975" spans="1:15" ht="31.5">
      <c r="A975" s="178" t="s">
        <v>99</v>
      </c>
      <c r="B975" s="75" t="s">
        <v>1125</v>
      </c>
      <c r="C975" s="39" t="s">
        <v>1067</v>
      </c>
      <c r="D975" s="255">
        <v>1</v>
      </c>
      <c r="E975" s="325" t="e">
        <f>#REF!</f>
        <v>#REF!</v>
      </c>
      <c r="F975" s="325" t="e">
        <f>#REF!</f>
        <v>#REF!</v>
      </c>
      <c r="G975" s="325" t="e">
        <f>#REF!</f>
        <v>#REF!</v>
      </c>
      <c r="H975" s="325" t="e">
        <f t="shared" si="42"/>
        <v>#REF!</v>
      </c>
      <c r="I975" s="265">
        <v>23521.05</v>
      </c>
      <c r="J975" s="266">
        <f t="shared" si="47"/>
        <v>23521.05</v>
      </c>
      <c r="K975" s="307"/>
      <c r="L975" s="310">
        <v>42423</v>
      </c>
      <c r="M975" s="308" t="s">
        <v>1663</v>
      </c>
      <c r="N975" s="254" t="s">
        <v>342</v>
      </c>
      <c r="O975" s="266" t="s">
        <v>1642</v>
      </c>
    </row>
    <row r="976" spans="1:15" ht="30">
      <c r="A976" s="178" t="s">
        <v>99</v>
      </c>
      <c r="B976" s="75" t="s">
        <v>1126</v>
      </c>
      <c r="C976" s="39" t="s">
        <v>1067</v>
      </c>
      <c r="D976" s="255"/>
      <c r="E976" s="325" t="e">
        <f>#REF!</f>
        <v>#REF!</v>
      </c>
      <c r="F976" s="325" t="e">
        <f>#REF!</f>
        <v>#REF!</v>
      </c>
      <c r="G976" s="325" t="e">
        <f>#REF!</f>
        <v>#REF!</v>
      </c>
      <c r="H976" s="325" t="e">
        <f t="shared" si="42"/>
        <v>#REF!</v>
      </c>
      <c r="I976" s="260"/>
      <c r="J976" s="266" t="e">
        <f>I976*H976</f>
        <v>#REF!</v>
      </c>
      <c r="K976" s="294"/>
      <c r="L976" s="271"/>
      <c r="M976" s="264"/>
      <c r="N976" s="260"/>
      <c r="O976" s="260"/>
    </row>
    <row r="977" spans="1:15" ht="30">
      <c r="A977" s="178" t="s">
        <v>99</v>
      </c>
      <c r="B977" s="75" t="s">
        <v>1093</v>
      </c>
      <c r="C977" s="39" t="s">
        <v>1067</v>
      </c>
      <c r="D977" s="255"/>
      <c r="E977" s="325" t="e">
        <f>#REF!</f>
        <v>#REF!</v>
      </c>
      <c r="F977" s="325" t="e">
        <f>#REF!</f>
        <v>#REF!</v>
      </c>
      <c r="G977" s="325" t="e">
        <f>#REF!</f>
        <v>#REF!</v>
      </c>
      <c r="H977" s="325" t="e">
        <f t="shared" si="42"/>
        <v>#REF!</v>
      </c>
      <c r="I977" s="261"/>
      <c r="J977" s="265" t="e">
        <f>I977*H977</f>
        <v>#REF!</v>
      </c>
      <c r="K977" s="295"/>
      <c r="L977" s="270"/>
      <c r="M977" s="263"/>
      <c r="N977" s="261"/>
      <c r="O977" s="260"/>
    </row>
    <row r="978" spans="1:15" ht="30">
      <c r="A978" s="178" t="s">
        <v>99</v>
      </c>
      <c r="B978" s="75" t="s">
        <v>1127</v>
      </c>
      <c r="C978" s="39" t="s">
        <v>1067</v>
      </c>
      <c r="D978" s="255">
        <v>2</v>
      </c>
      <c r="E978" s="325" t="e">
        <f>#REF!</f>
        <v>#REF!</v>
      </c>
      <c r="F978" s="325" t="e">
        <f>#REF!</f>
        <v>#REF!</v>
      </c>
      <c r="G978" s="325" t="e">
        <f>#REF!</f>
        <v>#REF!</v>
      </c>
      <c r="H978" s="325" t="e">
        <f t="shared" si="42"/>
        <v>#REF!</v>
      </c>
      <c r="I978" s="266">
        <v>57496.08</v>
      </c>
      <c r="J978" s="266">
        <f>I978*D978</f>
        <v>114992.16</v>
      </c>
      <c r="K978" s="306"/>
      <c r="L978" s="280">
        <v>42423</v>
      </c>
      <c r="M978" s="308" t="s">
        <v>15</v>
      </c>
      <c r="N978" s="254" t="s">
        <v>342</v>
      </c>
      <c r="O978" s="266" t="s">
        <v>1642</v>
      </c>
    </row>
    <row r="979" spans="1:15" ht="31.5">
      <c r="A979" s="178" t="s">
        <v>99</v>
      </c>
      <c r="B979" s="75" t="s">
        <v>1128</v>
      </c>
      <c r="C979" s="39" t="s">
        <v>1067</v>
      </c>
      <c r="D979" s="255">
        <v>3</v>
      </c>
      <c r="E979" s="325" t="e">
        <f>#REF!</f>
        <v>#REF!</v>
      </c>
      <c r="F979" s="325" t="e">
        <f>#REF!</f>
        <v>#REF!</v>
      </c>
      <c r="G979" s="325" t="e">
        <f>#REF!</f>
        <v>#REF!</v>
      </c>
      <c r="H979" s="325" t="e">
        <f t="shared" si="42"/>
        <v>#REF!</v>
      </c>
      <c r="I979" s="265">
        <v>17097.330000000002</v>
      </c>
      <c r="J979" s="266">
        <f>I979*D979</f>
        <v>51291.990000000005</v>
      </c>
      <c r="K979" s="307"/>
      <c r="L979" s="310">
        <v>42423</v>
      </c>
      <c r="M979" s="308" t="s">
        <v>1663</v>
      </c>
      <c r="N979" s="254" t="s">
        <v>342</v>
      </c>
      <c r="O979" s="266" t="s">
        <v>1642</v>
      </c>
    </row>
    <row r="980" spans="1:15" ht="31.5">
      <c r="A980" s="178" t="s">
        <v>99</v>
      </c>
      <c r="B980" s="75" t="s">
        <v>1129</v>
      </c>
      <c r="C980" s="39" t="s">
        <v>1067</v>
      </c>
      <c r="D980" s="255">
        <v>3</v>
      </c>
      <c r="E980" s="325" t="e">
        <f>#REF!</f>
        <v>#REF!</v>
      </c>
      <c r="F980" s="325" t="e">
        <f>#REF!</f>
        <v>#REF!</v>
      </c>
      <c r="G980" s="325" t="e">
        <f>#REF!</f>
        <v>#REF!</v>
      </c>
      <c r="H980" s="325" t="e">
        <f t="shared" ref="H980:H1046" si="48">G980+F980+E980+D980</f>
        <v>#REF!</v>
      </c>
      <c r="I980" s="266">
        <v>6232.95</v>
      </c>
      <c r="J980" s="266">
        <f>I980*D980</f>
        <v>18698.849999999999</v>
      </c>
      <c r="K980" s="306"/>
      <c r="L980" s="280">
        <v>42423</v>
      </c>
      <c r="M980" s="308" t="s">
        <v>1663</v>
      </c>
      <c r="N980" s="254" t="s">
        <v>342</v>
      </c>
      <c r="O980" s="266" t="s">
        <v>1642</v>
      </c>
    </row>
    <row r="981" spans="1:15" ht="53.25" customHeight="1">
      <c r="A981" s="178" t="s">
        <v>99</v>
      </c>
      <c r="B981" s="75" t="s">
        <v>1130</v>
      </c>
      <c r="C981" s="39" t="s">
        <v>1067</v>
      </c>
      <c r="D981" s="255">
        <v>2</v>
      </c>
      <c r="E981" s="325" t="e">
        <f>#REF!</f>
        <v>#REF!</v>
      </c>
      <c r="F981" s="325" t="e">
        <f>#REF!</f>
        <v>#REF!</v>
      </c>
      <c r="G981" s="325" t="e">
        <f>#REF!</f>
        <v>#REF!</v>
      </c>
      <c r="H981" s="325" t="e">
        <f t="shared" si="48"/>
        <v>#REF!</v>
      </c>
      <c r="I981" s="265">
        <v>5090.24</v>
      </c>
      <c r="J981" s="266">
        <f>I981*D981</f>
        <v>10180.48</v>
      </c>
      <c r="K981" s="307"/>
      <c r="L981" s="310">
        <v>42423</v>
      </c>
      <c r="M981" s="308" t="s">
        <v>1663</v>
      </c>
      <c r="N981" s="254" t="s">
        <v>342</v>
      </c>
      <c r="O981" s="266" t="s">
        <v>1642</v>
      </c>
    </row>
    <row r="982" spans="1:15" ht="31.5">
      <c r="A982" s="178" t="s">
        <v>99</v>
      </c>
      <c r="B982" s="75" t="s">
        <v>1131</v>
      </c>
      <c r="C982" s="39" t="s">
        <v>1067</v>
      </c>
      <c r="D982" s="255">
        <v>3</v>
      </c>
      <c r="E982" s="325" t="e">
        <f>#REF!</f>
        <v>#REF!</v>
      </c>
      <c r="F982" s="325" t="e">
        <f>#REF!</f>
        <v>#REF!</v>
      </c>
      <c r="G982" s="325" t="e">
        <f>#REF!</f>
        <v>#REF!</v>
      </c>
      <c r="H982" s="325" t="e">
        <f t="shared" si="48"/>
        <v>#REF!</v>
      </c>
      <c r="I982" s="266">
        <v>883.86</v>
      </c>
      <c r="J982" s="266">
        <f>I982*D982</f>
        <v>2651.58</v>
      </c>
      <c r="K982" s="306"/>
      <c r="L982" s="280">
        <v>42423</v>
      </c>
      <c r="M982" s="308" t="s">
        <v>1663</v>
      </c>
      <c r="N982" s="254" t="s">
        <v>342</v>
      </c>
      <c r="O982" s="266" t="s">
        <v>1642</v>
      </c>
    </row>
    <row r="983" spans="1:15" ht="30">
      <c r="A983" s="178" t="s">
        <v>99</v>
      </c>
      <c r="B983" s="75" t="s">
        <v>1508</v>
      </c>
      <c r="C983" s="39" t="s">
        <v>1067</v>
      </c>
      <c r="D983" s="255"/>
      <c r="E983" s="325" t="e">
        <f>#REF!</f>
        <v>#REF!</v>
      </c>
      <c r="F983" s="325" t="e">
        <f>#REF!</f>
        <v>#REF!</v>
      </c>
      <c r="G983" s="325" t="e">
        <f>#REF!</f>
        <v>#REF!</v>
      </c>
      <c r="H983" s="325" t="e">
        <f t="shared" si="48"/>
        <v>#REF!</v>
      </c>
      <c r="I983" s="265"/>
      <c r="J983" s="265" t="e">
        <f>I983*H983</f>
        <v>#REF!</v>
      </c>
      <c r="K983" s="307"/>
      <c r="L983" s="310"/>
      <c r="M983" s="308"/>
      <c r="N983" s="265"/>
      <c r="O983" s="266"/>
    </row>
    <row r="984" spans="1:15" ht="31.5">
      <c r="A984" s="178" t="s">
        <v>99</v>
      </c>
      <c r="B984" s="75" t="s">
        <v>1132</v>
      </c>
      <c r="C984" s="39" t="s">
        <v>1067</v>
      </c>
      <c r="D984" s="255">
        <v>1</v>
      </c>
      <c r="E984" s="325" t="e">
        <f>#REF!</f>
        <v>#REF!</v>
      </c>
      <c r="F984" s="325" t="e">
        <f>#REF!</f>
        <v>#REF!</v>
      </c>
      <c r="G984" s="325" t="e">
        <f>#REF!</f>
        <v>#REF!</v>
      </c>
      <c r="H984" s="325" t="e">
        <f t="shared" si="48"/>
        <v>#REF!</v>
      </c>
      <c r="I984" s="266">
        <v>62177.5</v>
      </c>
      <c r="J984" s="266">
        <f>I984*D984</f>
        <v>62177.5</v>
      </c>
      <c r="K984" s="306"/>
      <c r="L984" s="280">
        <v>42423</v>
      </c>
      <c r="M984" s="308" t="s">
        <v>1663</v>
      </c>
      <c r="N984" s="254" t="s">
        <v>342</v>
      </c>
      <c r="O984" s="266" t="s">
        <v>1642</v>
      </c>
    </row>
    <row r="985" spans="1:15" ht="63.75">
      <c r="A985" s="178" t="s">
        <v>99</v>
      </c>
      <c r="B985" s="75" t="s">
        <v>1133</v>
      </c>
      <c r="C985" s="39" t="s">
        <v>1067</v>
      </c>
      <c r="D985" s="255">
        <v>4</v>
      </c>
      <c r="E985" s="325" t="e">
        <f>#REF!</f>
        <v>#REF!</v>
      </c>
      <c r="F985" s="325" t="e">
        <f>#REF!</f>
        <v>#REF!</v>
      </c>
      <c r="G985" s="325" t="e">
        <f>#REF!</f>
        <v>#REF!</v>
      </c>
      <c r="H985" s="325" t="e">
        <f t="shared" si="48"/>
        <v>#REF!</v>
      </c>
      <c r="I985" s="265">
        <v>3662.82</v>
      </c>
      <c r="J985" s="266">
        <f>I985*D985</f>
        <v>14651.28</v>
      </c>
      <c r="K985" s="307"/>
      <c r="L985" s="280">
        <v>42423</v>
      </c>
      <c r="M985" s="308" t="s">
        <v>1663</v>
      </c>
      <c r="N985" s="254" t="s">
        <v>342</v>
      </c>
      <c r="O985" s="266" t="s">
        <v>1642</v>
      </c>
    </row>
    <row r="986" spans="1:15" ht="31.5">
      <c r="A986" s="178" t="s">
        <v>99</v>
      </c>
      <c r="B986" s="75" t="s">
        <v>1745</v>
      </c>
      <c r="C986" s="39" t="s">
        <v>1067</v>
      </c>
      <c r="D986" s="255">
        <v>1</v>
      </c>
      <c r="E986" s="325">
        <v>0</v>
      </c>
      <c r="F986" s="325">
        <v>0</v>
      </c>
      <c r="G986" s="325">
        <v>0</v>
      </c>
      <c r="H986" s="325">
        <v>1</v>
      </c>
      <c r="I986" s="265">
        <v>1150</v>
      </c>
      <c r="J986" s="266">
        <f>I986*D986</f>
        <v>1150</v>
      </c>
      <c r="K986" s="307"/>
      <c r="L986" s="280">
        <v>42340</v>
      </c>
      <c r="M986" s="308" t="s">
        <v>1663</v>
      </c>
      <c r="N986" s="254" t="s">
        <v>342</v>
      </c>
      <c r="O986" s="266" t="s">
        <v>1642</v>
      </c>
    </row>
    <row r="987" spans="1:15" ht="51">
      <c r="A987" s="178" t="s">
        <v>99</v>
      </c>
      <c r="B987" s="75" t="s">
        <v>1134</v>
      </c>
      <c r="C987" s="39" t="s">
        <v>1067</v>
      </c>
      <c r="D987" s="255">
        <v>1</v>
      </c>
      <c r="E987" s="325" t="e">
        <f>#REF!</f>
        <v>#REF!</v>
      </c>
      <c r="F987" s="325" t="e">
        <f>#REF!</f>
        <v>#REF!</v>
      </c>
      <c r="G987" s="325" t="e">
        <f>#REF!</f>
        <v>#REF!</v>
      </c>
      <c r="H987" s="325" t="e">
        <f t="shared" si="48"/>
        <v>#REF!</v>
      </c>
      <c r="I987" s="266">
        <v>386667.34</v>
      </c>
      <c r="J987" s="266">
        <f>I987*D987</f>
        <v>386667.34</v>
      </c>
      <c r="K987" s="306"/>
      <c r="L987" s="280">
        <v>42423</v>
      </c>
      <c r="M987" s="308" t="s">
        <v>15</v>
      </c>
      <c r="N987" s="254" t="s">
        <v>342</v>
      </c>
      <c r="O987" s="266" t="s">
        <v>1642</v>
      </c>
    </row>
    <row r="988" spans="1:15" ht="51">
      <c r="A988" s="178" t="s">
        <v>99</v>
      </c>
      <c r="B988" s="75" t="s">
        <v>1135</v>
      </c>
      <c r="C988" s="39" t="s">
        <v>1067</v>
      </c>
      <c r="D988" s="255"/>
      <c r="E988" s="325" t="e">
        <f>#REF!</f>
        <v>#REF!</v>
      </c>
      <c r="F988" s="325" t="e">
        <f>#REF!</f>
        <v>#REF!</v>
      </c>
      <c r="G988" s="325" t="e">
        <f>#REF!</f>
        <v>#REF!</v>
      </c>
      <c r="H988" s="325" t="e">
        <f t="shared" si="48"/>
        <v>#REF!</v>
      </c>
      <c r="I988" s="261"/>
      <c r="J988" s="265" t="e">
        <f>I988*H988</f>
        <v>#REF!</v>
      </c>
      <c r="K988" s="295"/>
      <c r="L988" s="270"/>
      <c r="M988" s="263"/>
      <c r="N988" s="261"/>
      <c r="O988" s="260"/>
    </row>
    <row r="989" spans="1:15" ht="38.25">
      <c r="A989" s="178" t="s">
        <v>99</v>
      </c>
      <c r="B989" s="75" t="s">
        <v>1136</v>
      </c>
      <c r="C989" s="39" t="s">
        <v>1067</v>
      </c>
      <c r="D989" s="255"/>
      <c r="E989" s="325" t="e">
        <f>#REF!</f>
        <v>#REF!</v>
      </c>
      <c r="F989" s="325" t="e">
        <f>#REF!</f>
        <v>#REF!</v>
      </c>
      <c r="G989" s="325" t="e">
        <f>#REF!</f>
        <v>#REF!</v>
      </c>
      <c r="H989" s="325" t="e">
        <f t="shared" si="48"/>
        <v>#REF!</v>
      </c>
      <c r="I989" s="260"/>
      <c r="J989" s="265" t="e">
        <f>I989*H989</f>
        <v>#REF!</v>
      </c>
      <c r="K989" s="294"/>
      <c r="L989" s="271"/>
      <c r="M989" s="264"/>
      <c r="N989" s="260"/>
      <c r="O989" s="260"/>
    </row>
    <row r="990" spans="1:15" ht="31.5">
      <c r="A990" s="178" t="s">
        <v>99</v>
      </c>
      <c r="B990" s="75" t="s">
        <v>1137</v>
      </c>
      <c r="C990" s="39" t="s">
        <v>1067</v>
      </c>
      <c r="D990" s="255">
        <v>1</v>
      </c>
      <c r="E990" s="325" t="e">
        <f>#REF!</f>
        <v>#REF!</v>
      </c>
      <c r="F990" s="325" t="e">
        <f>#REF!</f>
        <v>#REF!</v>
      </c>
      <c r="G990" s="325" t="e">
        <f>#REF!</f>
        <v>#REF!</v>
      </c>
      <c r="H990" s="325" t="e">
        <f t="shared" si="48"/>
        <v>#REF!</v>
      </c>
      <c r="I990" s="265">
        <v>38154.379999999997</v>
      </c>
      <c r="J990" s="266">
        <f>I990*D990</f>
        <v>38154.379999999997</v>
      </c>
      <c r="K990" s="307"/>
      <c r="L990" s="310">
        <v>42423</v>
      </c>
      <c r="M990" s="308" t="s">
        <v>1663</v>
      </c>
      <c r="N990" s="254" t="s">
        <v>342</v>
      </c>
      <c r="O990" s="266" t="s">
        <v>1642</v>
      </c>
    </row>
    <row r="991" spans="1:15" ht="30">
      <c r="A991" s="178" t="s">
        <v>99</v>
      </c>
      <c r="B991" s="75" t="s">
        <v>1148</v>
      </c>
      <c r="C991" s="39" t="s">
        <v>1067</v>
      </c>
      <c r="D991" s="255"/>
      <c r="E991" s="325" t="e">
        <f>#REF!</f>
        <v>#REF!</v>
      </c>
      <c r="F991" s="325" t="e">
        <f>#REF!</f>
        <v>#REF!</v>
      </c>
      <c r="G991" s="325" t="e">
        <f>#REF!</f>
        <v>#REF!</v>
      </c>
      <c r="H991" s="325" t="e">
        <f t="shared" si="48"/>
        <v>#REF!</v>
      </c>
      <c r="I991" s="266"/>
      <c r="J991" s="266" t="e">
        <f>I991*H991</f>
        <v>#REF!</v>
      </c>
      <c r="K991" s="306"/>
      <c r="L991" s="280"/>
      <c r="M991" s="309"/>
      <c r="N991" s="266"/>
      <c r="O991" s="266"/>
    </row>
    <row r="992" spans="1:15" ht="31.5">
      <c r="A992" s="178" t="s">
        <v>99</v>
      </c>
      <c r="B992" s="75" t="s">
        <v>1139</v>
      </c>
      <c r="C992" s="39" t="s">
        <v>1067</v>
      </c>
      <c r="D992" s="255">
        <v>1</v>
      </c>
      <c r="E992" s="325" t="e">
        <f>#REF!</f>
        <v>#REF!</v>
      </c>
      <c r="F992" s="325" t="e">
        <f>#REF!</f>
        <v>#REF!</v>
      </c>
      <c r="G992" s="325" t="e">
        <f>#REF!</f>
        <v>#REF!</v>
      </c>
      <c r="H992" s="325" t="e">
        <f t="shared" si="48"/>
        <v>#REF!</v>
      </c>
      <c r="I992" s="265">
        <v>8987.48</v>
      </c>
      <c r="J992" s="266">
        <f>I992*D992</f>
        <v>8987.48</v>
      </c>
      <c r="K992" s="307"/>
      <c r="L992" s="280" t="s">
        <v>1647</v>
      </c>
      <c r="M992" s="308" t="s">
        <v>1663</v>
      </c>
      <c r="N992" s="254" t="s">
        <v>342</v>
      </c>
      <c r="O992" s="266" t="s">
        <v>1642</v>
      </c>
    </row>
    <row r="993" spans="1:15" ht="63.75">
      <c r="A993" s="178" t="s">
        <v>99</v>
      </c>
      <c r="B993" s="75" t="s">
        <v>1140</v>
      </c>
      <c r="C993" s="39" t="s">
        <v>1067</v>
      </c>
      <c r="D993" s="255">
        <v>1</v>
      </c>
      <c r="E993" s="325" t="e">
        <f>#REF!</f>
        <v>#REF!</v>
      </c>
      <c r="F993" s="325" t="e">
        <f>#REF!</f>
        <v>#REF!</v>
      </c>
      <c r="G993" s="325" t="e">
        <f>#REF!</f>
        <v>#REF!</v>
      </c>
      <c r="H993" s="325" t="e">
        <f t="shared" si="48"/>
        <v>#REF!</v>
      </c>
      <c r="I993" s="266">
        <v>65247.06</v>
      </c>
      <c r="J993" s="266">
        <f>I993*D993</f>
        <v>65247.06</v>
      </c>
      <c r="K993" s="306"/>
      <c r="L993" s="280" t="s">
        <v>1647</v>
      </c>
      <c r="M993" s="308" t="s">
        <v>1663</v>
      </c>
      <c r="N993" s="254" t="s">
        <v>342</v>
      </c>
      <c r="O993" s="266" t="s">
        <v>1642</v>
      </c>
    </row>
    <row r="994" spans="1:15" ht="31.5">
      <c r="A994" s="178" t="s">
        <v>99</v>
      </c>
      <c r="B994" s="75" t="s">
        <v>1141</v>
      </c>
      <c r="C994" s="39" t="s">
        <v>718</v>
      </c>
      <c r="D994" s="255">
        <v>1</v>
      </c>
      <c r="E994" s="325" t="e">
        <f>#REF!</f>
        <v>#REF!</v>
      </c>
      <c r="F994" s="325" t="e">
        <f>#REF!</f>
        <v>#REF!</v>
      </c>
      <c r="G994" s="325" t="e">
        <f>#REF!</f>
        <v>#REF!</v>
      </c>
      <c r="H994" s="325" t="e">
        <f t="shared" si="48"/>
        <v>#REF!</v>
      </c>
      <c r="I994" s="265">
        <v>4140.1000000000004</v>
      </c>
      <c r="J994" s="266">
        <f>I994*D994</f>
        <v>4140.1000000000004</v>
      </c>
      <c r="K994" s="307"/>
      <c r="L994" s="280" t="s">
        <v>1647</v>
      </c>
      <c r="M994" s="308" t="s">
        <v>1663</v>
      </c>
      <c r="N994" s="254" t="s">
        <v>342</v>
      </c>
      <c r="O994" s="266" t="s">
        <v>1642</v>
      </c>
    </row>
    <row r="995" spans="1:15" ht="30">
      <c r="A995" s="178" t="s">
        <v>99</v>
      </c>
      <c r="B995" s="75" t="s">
        <v>1142</v>
      </c>
      <c r="C995" s="39" t="s">
        <v>718</v>
      </c>
      <c r="D995" s="255"/>
      <c r="E995" s="325" t="e">
        <f>#REF!</f>
        <v>#REF!</v>
      </c>
      <c r="F995" s="325" t="e">
        <f>#REF!</f>
        <v>#REF!</v>
      </c>
      <c r="G995" s="325" t="e">
        <f>#REF!</f>
        <v>#REF!</v>
      </c>
      <c r="H995" s="325" t="e">
        <f t="shared" si="48"/>
        <v>#REF!</v>
      </c>
      <c r="I995" s="266"/>
      <c r="J995" s="266" t="e">
        <f>I995*H995</f>
        <v>#REF!</v>
      </c>
      <c r="K995" s="306"/>
      <c r="L995" s="280"/>
      <c r="M995" s="309"/>
      <c r="N995" s="266"/>
      <c r="O995" s="266"/>
    </row>
    <row r="996" spans="1:15" ht="49.5" customHeight="1">
      <c r="A996" s="178" t="s">
        <v>99</v>
      </c>
      <c r="B996" s="75" t="s">
        <v>1143</v>
      </c>
      <c r="C996" s="39" t="s">
        <v>1065</v>
      </c>
      <c r="D996" s="255">
        <v>1</v>
      </c>
      <c r="E996" s="325" t="e">
        <f>#REF!</f>
        <v>#REF!</v>
      </c>
      <c r="F996" s="325" t="e">
        <f>#REF!</f>
        <v>#REF!</v>
      </c>
      <c r="G996" s="325" t="e">
        <f>#REF!</f>
        <v>#REF!</v>
      </c>
      <c r="H996" s="325" t="e">
        <f t="shared" si="48"/>
        <v>#REF!</v>
      </c>
      <c r="I996" s="265">
        <v>8912.93</v>
      </c>
      <c r="J996" s="266">
        <f>I996*D996</f>
        <v>8912.93</v>
      </c>
      <c r="K996" s="307"/>
      <c r="L996" s="280" t="s">
        <v>1647</v>
      </c>
      <c r="M996" s="308" t="s">
        <v>1663</v>
      </c>
      <c r="N996" s="254" t="s">
        <v>342</v>
      </c>
      <c r="O996" s="266" t="s">
        <v>1642</v>
      </c>
    </row>
    <row r="997" spans="1:15" ht="31.5">
      <c r="A997" s="178" t="s">
        <v>99</v>
      </c>
      <c r="B997" s="75" t="s">
        <v>1144</v>
      </c>
      <c r="C997" s="39" t="s">
        <v>102</v>
      </c>
      <c r="D997" s="255">
        <v>2</v>
      </c>
      <c r="E997" s="325" t="e">
        <f>#REF!</f>
        <v>#REF!</v>
      </c>
      <c r="F997" s="325" t="e">
        <f>#REF!</f>
        <v>#REF!</v>
      </c>
      <c r="G997" s="325" t="e">
        <f>#REF!</f>
        <v>#REF!</v>
      </c>
      <c r="H997" s="325" t="e">
        <f t="shared" si="48"/>
        <v>#REF!</v>
      </c>
      <c r="I997" s="266">
        <v>724.1</v>
      </c>
      <c r="J997" s="266">
        <f>I997*D997</f>
        <v>1448.2</v>
      </c>
      <c r="K997" s="306"/>
      <c r="L997" s="280" t="s">
        <v>1647</v>
      </c>
      <c r="M997" s="308" t="s">
        <v>1663</v>
      </c>
      <c r="N997" s="254" t="s">
        <v>342</v>
      </c>
      <c r="O997" s="266" t="s">
        <v>1642</v>
      </c>
    </row>
    <row r="998" spans="1:15" ht="30">
      <c r="A998" s="178" t="s">
        <v>99</v>
      </c>
      <c r="B998" s="75" t="s">
        <v>1145</v>
      </c>
      <c r="C998" s="39" t="s">
        <v>1067</v>
      </c>
      <c r="D998" s="255"/>
      <c r="E998" s="325" t="e">
        <f>#REF!</f>
        <v>#REF!</v>
      </c>
      <c r="F998" s="325" t="e">
        <f>#REF!</f>
        <v>#REF!</v>
      </c>
      <c r="G998" s="325" t="e">
        <f>#REF!</f>
        <v>#REF!</v>
      </c>
      <c r="H998" s="325" t="e">
        <f t="shared" si="48"/>
        <v>#REF!</v>
      </c>
      <c r="I998" s="261"/>
      <c r="J998" s="265" t="e">
        <f>I998*H998</f>
        <v>#REF!</v>
      </c>
      <c r="K998" s="295"/>
      <c r="L998" s="270"/>
      <c r="M998" s="263"/>
      <c r="N998" s="261"/>
      <c r="O998" s="260"/>
    </row>
    <row r="999" spans="1:15" ht="30">
      <c r="A999" s="178" t="s">
        <v>99</v>
      </c>
      <c r="B999" s="75" t="s">
        <v>1146</v>
      </c>
      <c r="C999" s="39" t="s">
        <v>1067</v>
      </c>
      <c r="D999" s="255"/>
      <c r="E999" s="325" t="e">
        <f>#REF!</f>
        <v>#REF!</v>
      </c>
      <c r="F999" s="325" t="e">
        <f>#REF!</f>
        <v>#REF!</v>
      </c>
      <c r="G999" s="325" t="e">
        <f>#REF!</f>
        <v>#REF!</v>
      </c>
      <c r="H999" s="325" t="e">
        <f t="shared" si="48"/>
        <v>#REF!</v>
      </c>
      <c r="I999" s="260"/>
      <c r="J999" s="265" t="e">
        <f t="shared" ref="J999:J1009" si="49">I999*H999</f>
        <v>#REF!</v>
      </c>
      <c r="K999" s="294"/>
      <c r="L999" s="271"/>
      <c r="M999" s="264"/>
      <c r="N999" s="260"/>
      <c r="O999" s="260"/>
    </row>
    <row r="1000" spans="1:15" ht="30">
      <c r="A1000" s="178" t="s">
        <v>99</v>
      </c>
      <c r="B1000" s="75" t="s">
        <v>1147</v>
      </c>
      <c r="C1000" s="39" t="s">
        <v>1067</v>
      </c>
      <c r="D1000" s="255"/>
      <c r="E1000" s="325" t="e">
        <f>#REF!</f>
        <v>#REF!</v>
      </c>
      <c r="F1000" s="325" t="e">
        <f>#REF!</f>
        <v>#REF!</v>
      </c>
      <c r="G1000" s="325" t="e">
        <f>#REF!</f>
        <v>#REF!</v>
      </c>
      <c r="H1000" s="325" t="e">
        <f t="shared" si="48"/>
        <v>#REF!</v>
      </c>
      <c r="I1000" s="261"/>
      <c r="J1000" s="265" t="e">
        <f t="shared" si="49"/>
        <v>#REF!</v>
      </c>
      <c r="K1000" s="295"/>
      <c r="L1000" s="270"/>
      <c r="M1000" s="263"/>
      <c r="N1000" s="261"/>
      <c r="O1000" s="260"/>
    </row>
    <row r="1001" spans="1:15" ht="30">
      <c r="A1001" s="178" t="s">
        <v>99</v>
      </c>
      <c r="B1001" s="75" t="s">
        <v>1452</v>
      </c>
      <c r="C1001" s="39" t="s">
        <v>17</v>
      </c>
      <c r="D1001" s="255">
        <v>40</v>
      </c>
      <c r="E1001" s="325" t="e">
        <f>#REF!</f>
        <v>#REF!</v>
      </c>
      <c r="F1001" s="325" t="e">
        <f>#REF!</f>
        <v>#REF!</v>
      </c>
      <c r="G1001" s="325" t="e">
        <f>#REF!</f>
        <v>#REF!</v>
      </c>
      <c r="H1001" s="325" t="e">
        <f t="shared" si="48"/>
        <v>#REF!</v>
      </c>
      <c r="I1001" s="266">
        <v>5589.05</v>
      </c>
      <c r="J1001" s="265" t="e">
        <f t="shared" si="49"/>
        <v>#REF!</v>
      </c>
      <c r="K1001" s="306"/>
      <c r="L1001" s="280">
        <v>42367</v>
      </c>
      <c r="M1001" s="309" t="s">
        <v>15</v>
      </c>
      <c r="N1001" s="266" t="s">
        <v>342</v>
      </c>
      <c r="O1001" s="266" t="s">
        <v>1642</v>
      </c>
    </row>
    <row r="1002" spans="1:15" ht="30">
      <c r="A1002" s="178" t="s">
        <v>99</v>
      </c>
      <c r="B1002" s="75" t="s">
        <v>1453</v>
      </c>
      <c r="C1002" s="39" t="s">
        <v>17</v>
      </c>
      <c r="D1002" s="255"/>
      <c r="E1002" s="325" t="e">
        <f>#REF!</f>
        <v>#REF!</v>
      </c>
      <c r="F1002" s="325" t="e">
        <f>#REF!</f>
        <v>#REF!</v>
      </c>
      <c r="G1002" s="325" t="e">
        <f>#REF!</f>
        <v>#REF!</v>
      </c>
      <c r="H1002" s="325" t="e">
        <f t="shared" si="48"/>
        <v>#REF!</v>
      </c>
      <c r="I1002" s="261"/>
      <c r="J1002" s="265" t="e">
        <f t="shared" si="49"/>
        <v>#REF!</v>
      </c>
      <c r="K1002" s="295"/>
      <c r="L1002" s="276"/>
      <c r="M1002" s="274"/>
      <c r="N1002" s="273"/>
      <c r="O1002" s="273"/>
    </row>
    <row r="1003" spans="1:15" ht="30">
      <c r="A1003" s="178" t="s">
        <v>99</v>
      </c>
      <c r="B1003" s="75" t="s">
        <v>1454</v>
      </c>
      <c r="C1003" s="39" t="s">
        <v>17</v>
      </c>
      <c r="D1003" s="255"/>
      <c r="E1003" s="325" t="e">
        <f>#REF!</f>
        <v>#REF!</v>
      </c>
      <c r="F1003" s="325" t="e">
        <f>#REF!</f>
        <v>#REF!</v>
      </c>
      <c r="G1003" s="325" t="e">
        <f>#REF!</f>
        <v>#REF!</v>
      </c>
      <c r="H1003" s="325" t="e">
        <f t="shared" si="48"/>
        <v>#REF!</v>
      </c>
      <c r="I1003" s="260"/>
      <c r="J1003" s="265" t="e">
        <f t="shared" si="49"/>
        <v>#REF!</v>
      </c>
      <c r="K1003" s="294"/>
      <c r="L1003" s="276"/>
      <c r="M1003" s="274"/>
      <c r="N1003" s="273"/>
      <c r="O1003" s="273"/>
    </row>
    <row r="1004" spans="1:15" ht="30">
      <c r="A1004" s="178" t="s">
        <v>99</v>
      </c>
      <c r="B1004" s="75" t="s">
        <v>1455</v>
      </c>
      <c r="C1004" s="39" t="s">
        <v>17</v>
      </c>
      <c r="D1004" s="255"/>
      <c r="E1004" s="325" t="e">
        <f>#REF!</f>
        <v>#REF!</v>
      </c>
      <c r="F1004" s="325" t="e">
        <f>#REF!</f>
        <v>#REF!</v>
      </c>
      <c r="G1004" s="325" t="e">
        <f>#REF!</f>
        <v>#REF!</v>
      </c>
      <c r="H1004" s="325" t="e">
        <f t="shared" si="48"/>
        <v>#REF!</v>
      </c>
      <c r="I1004" s="261"/>
      <c r="J1004" s="265" t="e">
        <f t="shared" si="49"/>
        <v>#REF!</v>
      </c>
      <c r="K1004" s="295"/>
      <c r="L1004" s="276"/>
      <c r="M1004" s="274"/>
      <c r="N1004" s="273"/>
      <c r="O1004" s="273"/>
    </row>
    <row r="1005" spans="1:15" ht="30">
      <c r="A1005" s="178" t="s">
        <v>99</v>
      </c>
      <c r="B1005" s="75" t="s">
        <v>1456</v>
      </c>
      <c r="C1005" s="39" t="s">
        <v>17</v>
      </c>
      <c r="D1005" s="255"/>
      <c r="E1005" s="325" t="e">
        <f>#REF!</f>
        <v>#REF!</v>
      </c>
      <c r="F1005" s="325" t="e">
        <f>#REF!</f>
        <v>#REF!</v>
      </c>
      <c r="G1005" s="325" t="e">
        <f>#REF!</f>
        <v>#REF!</v>
      </c>
      <c r="H1005" s="325" t="e">
        <f t="shared" si="48"/>
        <v>#REF!</v>
      </c>
      <c r="I1005" s="260"/>
      <c r="J1005" s="265" t="e">
        <f t="shared" si="49"/>
        <v>#REF!</v>
      </c>
      <c r="K1005" s="294"/>
      <c r="L1005" s="276"/>
      <c r="M1005" s="274"/>
      <c r="N1005" s="273"/>
      <c r="O1005" s="273"/>
    </row>
    <row r="1006" spans="1:15" ht="30">
      <c r="A1006" s="178" t="s">
        <v>99</v>
      </c>
      <c r="B1006" s="75" t="s">
        <v>1457</v>
      </c>
      <c r="C1006" s="39" t="s">
        <v>17</v>
      </c>
      <c r="D1006" s="255"/>
      <c r="E1006" s="325" t="e">
        <f>#REF!</f>
        <v>#REF!</v>
      </c>
      <c r="F1006" s="325" t="e">
        <f>#REF!</f>
        <v>#REF!</v>
      </c>
      <c r="G1006" s="325" t="e">
        <f>#REF!</f>
        <v>#REF!</v>
      </c>
      <c r="H1006" s="325" t="e">
        <f t="shared" si="48"/>
        <v>#REF!</v>
      </c>
      <c r="I1006" s="261"/>
      <c r="J1006" s="265" t="e">
        <f t="shared" si="49"/>
        <v>#REF!</v>
      </c>
      <c r="K1006" s="295"/>
      <c r="L1006" s="276"/>
      <c r="M1006" s="274"/>
      <c r="N1006" s="273"/>
      <c r="O1006" s="273"/>
    </row>
    <row r="1007" spans="1:15" ht="30">
      <c r="A1007" s="178" t="s">
        <v>99</v>
      </c>
      <c r="B1007" s="75" t="s">
        <v>1458</v>
      </c>
      <c r="C1007" s="39" t="s">
        <v>17</v>
      </c>
      <c r="D1007" s="255"/>
      <c r="E1007" s="325" t="e">
        <f>#REF!</f>
        <v>#REF!</v>
      </c>
      <c r="F1007" s="325" t="e">
        <f>#REF!</f>
        <v>#REF!</v>
      </c>
      <c r="G1007" s="325" t="e">
        <f>#REF!</f>
        <v>#REF!</v>
      </c>
      <c r="H1007" s="325" t="e">
        <f t="shared" si="48"/>
        <v>#REF!</v>
      </c>
      <c r="I1007" s="260"/>
      <c r="J1007" s="265" t="e">
        <f t="shared" si="49"/>
        <v>#REF!</v>
      </c>
      <c r="K1007" s="294"/>
      <c r="L1007" s="271"/>
      <c r="M1007" s="264"/>
      <c r="N1007" s="260"/>
      <c r="O1007" s="260"/>
    </row>
    <row r="1008" spans="1:15" ht="30">
      <c r="A1008" s="178" t="s">
        <v>99</v>
      </c>
      <c r="B1008" s="75" t="s">
        <v>1459</v>
      </c>
      <c r="C1008" s="39" t="s">
        <v>33</v>
      </c>
      <c r="D1008" s="255"/>
      <c r="E1008" s="325" t="e">
        <f>#REF!</f>
        <v>#REF!</v>
      </c>
      <c r="F1008" s="325" t="e">
        <f>#REF!</f>
        <v>#REF!</v>
      </c>
      <c r="G1008" s="325" t="e">
        <f>#REF!</f>
        <v>#REF!</v>
      </c>
      <c r="H1008" s="325" t="e">
        <f t="shared" si="48"/>
        <v>#REF!</v>
      </c>
      <c r="I1008" s="261"/>
      <c r="J1008" s="265" t="e">
        <f t="shared" si="49"/>
        <v>#REF!</v>
      </c>
      <c r="K1008" s="295"/>
      <c r="L1008" s="270"/>
      <c r="M1008" s="263"/>
      <c r="N1008" s="261"/>
      <c r="O1008" s="260"/>
    </row>
    <row r="1009" spans="1:15" ht="30">
      <c r="A1009" s="178" t="s">
        <v>99</v>
      </c>
      <c r="B1009" s="75" t="s">
        <v>1460</v>
      </c>
      <c r="C1009" s="39" t="s">
        <v>208</v>
      </c>
      <c r="D1009" s="255"/>
      <c r="E1009" s="325" t="e">
        <f>#REF!</f>
        <v>#REF!</v>
      </c>
      <c r="F1009" s="325" t="e">
        <f>#REF!</f>
        <v>#REF!</v>
      </c>
      <c r="G1009" s="325" t="e">
        <f>#REF!</f>
        <v>#REF!</v>
      </c>
      <c r="H1009" s="325" t="e">
        <f t="shared" si="48"/>
        <v>#REF!</v>
      </c>
      <c r="I1009" s="260"/>
      <c r="J1009" s="265" t="e">
        <f t="shared" si="49"/>
        <v>#REF!</v>
      </c>
      <c r="K1009" s="294"/>
      <c r="L1009" s="271"/>
      <c r="M1009" s="274"/>
      <c r="N1009" s="273"/>
      <c r="O1009" s="273"/>
    </row>
    <row r="1010" spans="1:15" ht="31.5">
      <c r="A1010" s="179" t="s">
        <v>99</v>
      </c>
      <c r="B1010" s="76"/>
      <c r="C1010" s="42"/>
      <c r="D1010" s="76"/>
      <c r="E1010" s="76"/>
      <c r="F1010" s="76"/>
      <c r="G1010" s="76"/>
      <c r="H1010" s="76"/>
      <c r="I1010" s="76"/>
      <c r="J1010" s="76"/>
      <c r="K1010" s="293" t="e">
        <f>SUM(J874:J1009)</f>
        <v>#REF!</v>
      </c>
      <c r="L1010" s="284"/>
      <c r="M1010" s="76"/>
      <c r="N1010" s="76"/>
      <c r="O1010" s="76"/>
    </row>
    <row r="1011" spans="1:15" ht="30">
      <c r="A1011" s="178" t="s">
        <v>113</v>
      </c>
      <c r="B1011" s="75" t="s">
        <v>236</v>
      </c>
      <c r="C1011" s="39" t="s">
        <v>17</v>
      </c>
      <c r="D1011" s="255"/>
      <c r="E1011" s="325" t="e">
        <f>#REF!</f>
        <v>#REF!</v>
      </c>
      <c r="F1011" s="325" t="e">
        <f>#REF!</f>
        <v>#REF!</v>
      </c>
      <c r="G1011" s="325" t="e">
        <f>#REF!</f>
        <v>#REF!</v>
      </c>
      <c r="H1011" s="325" t="e">
        <f t="shared" si="48"/>
        <v>#REF!</v>
      </c>
      <c r="I1011" s="260"/>
      <c r="J1011" s="266" t="e">
        <f>I1011*H1011</f>
        <v>#REF!</v>
      </c>
      <c r="K1011" s="294"/>
      <c r="L1011" s="271"/>
      <c r="M1011" s="264"/>
      <c r="N1011" s="260"/>
      <c r="O1011" s="260"/>
    </row>
    <row r="1012" spans="1:15" ht="31.5">
      <c r="A1012" s="178" t="s">
        <v>113</v>
      </c>
      <c r="B1012" s="75" t="s">
        <v>233</v>
      </c>
      <c r="C1012" s="39" t="s">
        <v>234</v>
      </c>
      <c r="D1012" s="255">
        <v>50</v>
      </c>
      <c r="E1012" s="325" t="e">
        <f>#REF!</f>
        <v>#REF!</v>
      </c>
      <c r="F1012" s="325" t="e">
        <f>#REF!</f>
        <v>#REF!</v>
      </c>
      <c r="G1012" s="325" t="e">
        <f>#REF!</f>
        <v>#REF!</v>
      </c>
      <c r="H1012" s="325" t="e">
        <f t="shared" si="48"/>
        <v>#REF!</v>
      </c>
      <c r="I1012" s="265">
        <v>17.5</v>
      </c>
      <c r="J1012" s="266">
        <f>I1012*D1012</f>
        <v>875</v>
      </c>
      <c r="K1012" s="307"/>
      <c r="L1012" s="280">
        <v>42396</v>
      </c>
      <c r="M1012" s="308" t="s">
        <v>1663</v>
      </c>
      <c r="N1012" s="254" t="s">
        <v>342</v>
      </c>
      <c r="O1012" s="266" t="s">
        <v>1642</v>
      </c>
    </row>
    <row r="1013" spans="1:15" ht="31.5">
      <c r="A1013" s="178" t="s">
        <v>113</v>
      </c>
      <c r="B1013" s="75" t="s">
        <v>235</v>
      </c>
      <c r="C1013" s="39" t="s">
        <v>69</v>
      </c>
      <c r="D1013" s="255">
        <v>100</v>
      </c>
      <c r="E1013" s="325" t="e">
        <f>#REF!</f>
        <v>#REF!</v>
      </c>
      <c r="F1013" s="325" t="e">
        <f>#REF!</f>
        <v>#REF!</v>
      </c>
      <c r="G1013" s="325" t="e">
        <f>#REF!</f>
        <v>#REF!</v>
      </c>
      <c r="H1013" s="325" t="e">
        <f t="shared" si="48"/>
        <v>#REF!</v>
      </c>
      <c r="I1013" s="266">
        <v>13.19</v>
      </c>
      <c r="J1013" s="266">
        <f>I1013*D1013</f>
        <v>1319</v>
      </c>
      <c r="K1013" s="306"/>
      <c r="L1013" s="280">
        <v>42396</v>
      </c>
      <c r="M1013" s="308" t="s">
        <v>1663</v>
      </c>
      <c r="N1013" s="254" t="s">
        <v>342</v>
      </c>
      <c r="O1013" s="266" t="s">
        <v>1642</v>
      </c>
    </row>
    <row r="1014" spans="1:15" ht="30">
      <c r="A1014" s="178" t="s">
        <v>113</v>
      </c>
      <c r="B1014" s="75" t="s">
        <v>320</v>
      </c>
      <c r="C1014" s="39" t="s">
        <v>17</v>
      </c>
      <c r="D1014" s="255"/>
      <c r="E1014" s="325" t="e">
        <f>#REF!</f>
        <v>#REF!</v>
      </c>
      <c r="F1014" s="325" t="e">
        <f>#REF!</f>
        <v>#REF!</v>
      </c>
      <c r="G1014" s="325" t="e">
        <f>#REF!</f>
        <v>#REF!</v>
      </c>
      <c r="H1014" s="325" t="e">
        <f t="shared" si="48"/>
        <v>#REF!</v>
      </c>
      <c r="I1014" s="261"/>
      <c r="J1014" s="265" t="e">
        <f>I1014*H1014</f>
        <v>#REF!</v>
      </c>
      <c r="K1014" s="295"/>
      <c r="L1014" s="270"/>
      <c r="M1014" s="263"/>
      <c r="N1014" s="261"/>
      <c r="O1014" s="260"/>
    </row>
    <row r="1015" spans="1:15" ht="30">
      <c r="A1015" s="178" t="s">
        <v>113</v>
      </c>
      <c r="B1015" s="75" t="s">
        <v>237</v>
      </c>
      <c r="C1015" s="39" t="s">
        <v>17</v>
      </c>
      <c r="D1015" s="255"/>
      <c r="E1015" s="325" t="e">
        <f>#REF!</f>
        <v>#REF!</v>
      </c>
      <c r="F1015" s="325" t="e">
        <f>#REF!</f>
        <v>#REF!</v>
      </c>
      <c r="G1015" s="325" t="e">
        <f>#REF!</f>
        <v>#REF!</v>
      </c>
      <c r="H1015" s="325" t="e">
        <f t="shared" si="48"/>
        <v>#REF!</v>
      </c>
      <c r="I1015" s="260"/>
      <c r="J1015" s="265" t="e">
        <f>I1015*H1015</f>
        <v>#REF!</v>
      </c>
      <c r="K1015" s="294"/>
      <c r="L1015" s="271"/>
      <c r="M1015" s="264"/>
      <c r="N1015" s="260"/>
      <c r="O1015" s="260"/>
    </row>
    <row r="1016" spans="1:15" ht="30">
      <c r="A1016" s="178" t="s">
        <v>113</v>
      </c>
      <c r="B1016" s="75" t="s">
        <v>238</v>
      </c>
      <c r="C1016" s="39" t="s">
        <v>208</v>
      </c>
      <c r="D1016" s="255"/>
      <c r="E1016" s="325" t="e">
        <f>#REF!</f>
        <v>#REF!</v>
      </c>
      <c r="F1016" s="325" t="e">
        <f>#REF!</f>
        <v>#REF!</v>
      </c>
      <c r="G1016" s="325" t="e">
        <f>#REF!</f>
        <v>#REF!</v>
      </c>
      <c r="H1016" s="325" t="e">
        <f t="shared" si="48"/>
        <v>#REF!</v>
      </c>
      <c r="I1016" s="261"/>
      <c r="J1016" s="265" t="e">
        <f>I1016*H1016</f>
        <v>#REF!</v>
      </c>
      <c r="K1016" s="295"/>
      <c r="L1016" s="270"/>
      <c r="M1016" s="263"/>
      <c r="N1016" s="261"/>
      <c r="O1016" s="260"/>
    </row>
    <row r="1017" spans="1:15" ht="31.5">
      <c r="A1017" s="179" t="s">
        <v>113</v>
      </c>
      <c r="B1017" s="76"/>
      <c r="C1017" s="42"/>
      <c r="D1017" s="76"/>
      <c r="E1017" s="76"/>
      <c r="F1017" s="76"/>
      <c r="G1017" s="76"/>
      <c r="H1017" s="76"/>
      <c r="I1017" s="76"/>
      <c r="J1017" s="76"/>
      <c r="K1017" s="293" t="e">
        <f>SUM(J1011:J1016)</f>
        <v>#REF!</v>
      </c>
      <c r="L1017" s="284"/>
      <c r="M1017" s="76"/>
      <c r="N1017" s="76"/>
      <c r="O1017" s="76"/>
    </row>
    <row r="1018" spans="1:15" ht="17.25">
      <c r="A1018" s="180" t="s">
        <v>115</v>
      </c>
      <c r="B1018" s="77" t="s">
        <v>319</v>
      </c>
      <c r="C1018" s="70" t="s">
        <v>17</v>
      </c>
      <c r="D1018" s="255"/>
      <c r="E1018" s="325" t="e">
        <f>#REF!</f>
        <v>#REF!</v>
      </c>
      <c r="F1018" s="325" t="e">
        <f>#REF!</f>
        <v>#REF!</v>
      </c>
      <c r="G1018" s="325" t="e">
        <f>#REF!</f>
        <v>#REF!</v>
      </c>
      <c r="H1018" s="325" t="e">
        <f t="shared" si="48"/>
        <v>#REF!</v>
      </c>
      <c r="I1018" s="261"/>
      <c r="J1018" s="265" t="e">
        <f>I1018*H1018</f>
        <v>#REF!</v>
      </c>
      <c r="K1018" s="295"/>
      <c r="L1018" s="270"/>
      <c r="M1018" s="263"/>
      <c r="N1018" s="261"/>
      <c r="O1018" s="260"/>
    </row>
    <row r="1019" spans="1:15" ht="17.25">
      <c r="A1019" s="178" t="s">
        <v>115</v>
      </c>
      <c r="B1019" s="75" t="s">
        <v>428</v>
      </c>
      <c r="C1019" s="39" t="s">
        <v>17</v>
      </c>
      <c r="D1019" s="255"/>
      <c r="E1019" s="325" t="e">
        <f>#REF!</f>
        <v>#REF!</v>
      </c>
      <c r="F1019" s="325" t="e">
        <f>#REF!</f>
        <v>#REF!</v>
      </c>
      <c r="G1019" s="325" t="e">
        <f>#REF!</f>
        <v>#REF!</v>
      </c>
      <c r="H1019" s="325" t="e">
        <f t="shared" si="48"/>
        <v>#REF!</v>
      </c>
      <c r="I1019" s="260"/>
      <c r="J1019" s="265" t="e">
        <f t="shared" ref="J1019:J1027" si="50">I1019*H1019</f>
        <v>#REF!</v>
      </c>
      <c r="K1019" s="294"/>
      <c r="L1019" s="271"/>
      <c r="M1019" s="264"/>
      <c r="N1019" s="260"/>
      <c r="O1019" s="260"/>
    </row>
    <row r="1020" spans="1:15" ht="17.25">
      <c r="A1020" s="178" t="s">
        <v>115</v>
      </c>
      <c r="B1020" s="75" t="s">
        <v>244</v>
      </c>
      <c r="C1020" s="39" t="s">
        <v>17</v>
      </c>
      <c r="D1020" s="255"/>
      <c r="E1020" s="325" t="e">
        <f>#REF!</f>
        <v>#REF!</v>
      </c>
      <c r="F1020" s="325" t="e">
        <f>#REF!</f>
        <v>#REF!</v>
      </c>
      <c r="G1020" s="325" t="e">
        <f>#REF!</f>
        <v>#REF!</v>
      </c>
      <c r="H1020" s="325" t="e">
        <f t="shared" si="48"/>
        <v>#REF!</v>
      </c>
      <c r="I1020" s="261"/>
      <c r="J1020" s="265" t="e">
        <f t="shared" si="50"/>
        <v>#REF!</v>
      </c>
      <c r="K1020" s="295"/>
      <c r="L1020" s="270"/>
      <c r="M1020" s="263"/>
      <c r="N1020" s="261"/>
      <c r="O1020" s="260"/>
    </row>
    <row r="1021" spans="1:15" ht="17.25">
      <c r="A1021" s="178" t="s">
        <v>115</v>
      </c>
      <c r="B1021" s="75" t="s">
        <v>429</v>
      </c>
      <c r="C1021" s="39" t="s">
        <v>17</v>
      </c>
      <c r="D1021" s="255"/>
      <c r="E1021" s="325" t="e">
        <f>#REF!</f>
        <v>#REF!</v>
      </c>
      <c r="F1021" s="325" t="e">
        <f>#REF!</f>
        <v>#REF!</v>
      </c>
      <c r="G1021" s="325" t="e">
        <f>#REF!</f>
        <v>#REF!</v>
      </c>
      <c r="H1021" s="325" t="e">
        <f t="shared" si="48"/>
        <v>#REF!</v>
      </c>
      <c r="I1021" s="260"/>
      <c r="J1021" s="265" t="e">
        <f t="shared" si="50"/>
        <v>#REF!</v>
      </c>
      <c r="K1021" s="294"/>
      <c r="L1021" s="271"/>
      <c r="M1021" s="264"/>
      <c r="N1021" s="260"/>
      <c r="O1021" s="260"/>
    </row>
    <row r="1022" spans="1:15" ht="17.25">
      <c r="A1022" s="178" t="s">
        <v>115</v>
      </c>
      <c r="B1022" s="75" t="s">
        <v>321</v>
      </c>
      <c r="C1022" s="39" t="s">
        <v>17</v>
      </c>
      <c r="D1022" s="255"/>
      <c r="E1022" s="325" t="e">
        <f>#REF!</f>
        <v>#REF!</v>
      </c>
      <c r="F1022" s="325" t="e">
        <f>#REF!</f>
        <v>#REF!</v>
      </c>
      <c r="G1022" s="325" t="e">
        <f>#REF!</f>
        <v>#REF!</v>
      </c>
      <c r="H1022" s="325" t="e">
        <f t="shared" si="48"/>
        <v>#REF!</v>
      </c>
      <c r="I1022" s="261"/>
      <c r="J1022" s="265" t="e">
        <f t="shared" si="50"/>
        <v>#REF!</v>
      </c>
      <c r="K1022" s="295"/>
      <c r="L1022" s="270"/>
      <c r="M1022" s="263"/>
      <c r="N1022" s="261"/>
      <c r="O1022" s="260"/>
    </row>
    <row r="1023" spans="1:15" ht="38.25">
      <c r="A1023" s="180" t="s">
        <v>115</v>
      </c>
      <c r="B1023" s="77" t="s">
        <v>892</v>
      </c>
      <c r="C1023" s="70" t="s">
        <v>17</v>
      </c>
      <c r="D1023" s="255"/>
      <c r="E1023" s="325" t="e">
        <f>#REF!</f>
        <v>#REF!</v>
      </c>
      <c r="F1023" s="325" t="e">
        <f>#REF!</f>
        <v>#REF!</v>
      </c>
      <c r="G1023" s="325" t="e">
        <f>#REF!</f>
        <v>#REF!</v>
      </c>
      <c r="H1023" s="325" t="e">
        <f t="shared" si="48"/>
        <v>#REF!</v>
      </c>
      <c r="I1023" s="260"/>
      <c r="J1023" s="265" t="e">
        <f t="shared" si="50"/>
        <v>#REF!</v>
      </c>
      <c r="K1023" s="294"/>
      <c r="L1023" s="271"/>
      <c r="M1023" s="264"/>
      <c r="N1023" s="260"/>
      <c r="O1023" s="260"/>
    </row>
    <row r="1024" spans="1:15" ht="25.5">
      <c r="A1024" s="180" t="s">
        <v>115</v>
      </c>
      <c r="B1024" s="77" t="s">
        <v>932</v>
      </c>
      <c r="C1024" s="70" t="s">
        <v>17</v>
      </c>
      <c r="D1024" s="255"/>
      <c r="E1024" s="325" t="e">
        <f>#REF!</f>
        <v>#REF!</v>
      </c>
      <c r="F1024" s="325" t="e">
        <f>#REF!</f>
        <v>#REF!</v>
      </c>
      <c r="G1024" s="325" t="e">
        <f>#REF!</f>
        <v>#REF!</v>
      </c>
      <c r="H1024" s="325" t="e">
        <f t="shared" si="48"/>
        <v>#REF!</v>
      </c>
      <c r="I1024" s="261"/>
      <c r="J1024" s="265" t="e">
        <f t="shared" si="50"/>
        <v>#REF!</v>
      </c>
      <c r="K1024" s="295"/>
      <c r="L1024" s="270"/>
      <c r="M1024" s="263"/>
      <c r="N1024" s="261"/>
      <c r="O1024" s="260"/>
    </row>
    <row r="1025" spans="1:15" ht="25.5">
      <c r="A1025" s="180" t="s">
        <v>115</v>
      </c>
      <c r="B1025" s="77" t="s">
        <v>894</v>
      </c>
      <c r="C1025" s="70" t="s">
        <v>17</v>
      </c>
      <c r="D1025" s="255"/>
      <c r="E1025" s="325" t="e">
        <f>#REF!</f>
        <v>#REF!</v>
      </c>
      <c r="F1025" s="325" t="e">
        <f>#REF!</f>
        <v>#REF!</v>
      </c>
      <c r="G1025" s="325" t="e">
        <f>#REF!</f>
        <v>#REF!</v>
      </c>
      <c r="H1025" s="325" t="e">
        <f t="shared" si="48"/>
        <v>#REF!</v>
      </c>
      <c r="I1025" s="260"/>
      <c r="J1025" s="265" t="e">
        <f t="shared" si="50"/>
        <v>#REF!</v>
      </c>
      <c r="K1025" s="294"/>
      <c r="L1025" s="271"/>
      <c r="M1025" s="264"/>
      <c r="N1025" s="260"/>
      <c r="O1025" s="260"/>
    </row>
    <row r="1026" spans="1:15" ht="25.5">
      <c r="A1026" s="180" t="s">
        <v>115</v>
      </c>
      <c r="B1026" s="77" t="s">
        <v>895</v>
      </c>
      <c r="C1026" s="70" t="s">
        <v>17</v>
      </c>
      <c r="D1026" s="255"/>
      <c r="E1026" s="325" t="e">
        <f>#REF!</f>
        <v>#REF!</v>
      </c>
      <c r="F1026" s="325" t="e">
        <f>#REF!</f>
        <v>#REF!</v>
      </c>
      <c r="G1026" s="325" t="e">
        <f>#REF!</f>
        <v>#REF!</v>
      </c>
      <c r="H1026" s="325" t="e">
        <f t="shared" si="48"/>
        <v>#REF!</v>
      </c>
      <c r="I1026" s="261"/>
      <c r="J1026" s="265" t="e">
        <f t="shared" si="50"/>
        <v>#REF!</v>
      </c>
      <c r="K1026" s="295"/>
      <c r="L1026" s="270"/>
      <c r="M1026" s="263"/>
      <c r="N1026" s="261"/>
      <c r="O1026" s="260"/>
    </row>
    <row r="1027" spans="1:15" ht="17.25">
      <c r="A1027" s="180" t="s">
        <v>115</v>
      </c>
      <c r="B1027" s="77" t="s">
        <v>897</v>
      </c>
      <c r="C1027" s="70" t="s">
        <v>17</v>
      </c>
      <c r="D1027" s="255"/>
      <c r="E1027" s="325" t="e">
        <f>#REF!</f>
        <v>#REF!</v>
      </c>
      <c r="F1027" s="325" t="e">
        <f>#REF!</f>
        <v>#REF!</v>
      </c>
      <c r="G1027" s="325" t="e">
        <f>#REF!</f>
        <v>#REF!</v>
      </c>
      <c r="H1027" s="325" t="e">
        <f t="shared" si="48"/>
        <v>#REF!</v>
      </c>
      <c r="I1027" s="260"/>
      <c r="J1027" s="265" t="e">
        <f t="shared" si="50"/>
        <v>#REF!</v>
      </c>
      <c r="K1027" s="294"/>
      <c r="L1027" s="271"/>
      <c r="M1027" s="264"/>
      <c r="N1027" s="260"/>
      <c r="O1027" s="260"/>
    </row>
    <row r="1028" spans="1:15" ht="31.5">
      <c r="A1028" s="180" t="s">
        <v>115</v>
      </c>
      <c r="B1028" s="77" t="s">
        <v>898</v>
      </c>
      <c r="C1028" s="70" t="s">
        <v>17</v>
      </c>
      <c r="D1028" s="304">
        <v>21</v>
      </c>
      <c r="E1028" s="325" t="e">
        <f>#REF!</f>
        <v>#REF!</v>
      </c>
      <c r="F1028" s="325" t="e">
        <f>#REF!</f>
        <v>#REF!</v>
      </c>
      <c r="G1028" s="325" t="e">
        <f>#REF!</f>
        <v>#REF!</v>
      </c>
      <c r="H1028" s="325" t="e">
        <f t="shared" si="48"/>
        <v>#REF!</v>
      </c>
      <c r="I1028" s="305">
        <v>1533.05</v>
      </c>
      <c r="J1028" s="314">
        <f>I1028*D1028</f>
        <v>32194.05</v>
      </c>
      <c r="K1028" s="311"/>
      <c r="L1028" s="312">
        <v>42440</v>
      </c>
      <c r="M1028" s="308" t="s">
        <v>1663</v>
      </c>
      <c r="N1028" s="254" t="s">
        <v>342</v>
      </c>
      <c r="O1028" s="314" t="s">
        <v>1642</v>
      </c>
    </row>
    <row r="1029" spans="1:15" ht="25.5">
      <c r="A1029" s="180" t="s">
        <v>115</v>
      </c>
      <c r="B1029" s="77" t="s">
        <v>933</v>
      </c>
      <c r="C1029" s="70" t="s">
        <v>17</v>
      </c>
      <c r="D1029" s="255"/>
      <c r="E1029" s="325" t="e">
        <f>#REF!</f>
        <v>#REF!</v>
      </c>
      <c r="F1029" s="325" t="e">
        <f>#REF!</f>
        <v>#REF!</v>
      </c>
      <c r="G1029" s="325" t="e">
        <f>#REF!</f>
        <v>#REF!</v>
      </c>
      <c r="H1029" s="325" t="e">
        <f t="shared" si="48"/>
        <v>#REF!</v>
      </c>
      <c r="I1029" s="260"/>
      <c r="J1029" s="266" t="e">
        <f>I1029*H1029</f>
        <v>#REF!</v>
      </c>
      <c r="K1029" s="294"/>
      <c r="L1029" s="271"/>
      <c r="M1029" s="264"/>
      <c r="N1029" s="260"/>
      <c r="O1029" s="260"/>
    </row>
    <row r="1030" spans="1:15" ht="25.5">
      <c r="A1030" s="180" t="s">
        <v>115</v>
      </c>
      <c r="B1030" s="77" t="s">
        <v>902</v>
      </c>
      <c r="C1030" s="70" t="s">
        <v>17</v>
      </c>
      <c r="D1030" s="255"/>
      <c r="E1030" s="325" t="e">
        <f>#REF!</f>
        <v>#REF!</v>
      </c>
      <c r="F1030" s="325" t="e">
        <f>#REF!</f>
        <v>#REF!</v>
      </c>
      <c r="G1030" s="325" t="e">
        <f>#REF!</f>
        <v>#REF!</v>
      </c>
      <c r="H1030" s="325" t="e">
        <f t="shared" si="48"/>
        <v>#REF!</v>
      </c>
      <c r="I1030" s="261"/>
      <c r="J1030" s="266" t="e">
        <f t="shared" ref="J1030:J1042" si="51">I1030*H1030</f>
        <v>#REF!</v>
      </c>
      <c r="K1030" s="295"/>
      <c r="L1030" s="270"/>
      <c r="M1030" s="263"/>
      <c r="N1030" s="261"/>
      <c r="O1030" s="260"/>
    </row>
    <row r="1031" spans="1:15" ht="17.25">
      <c r="A1031" s="180" t="s">
        <v>115</v>
      </c>
      <c r="B1031" s="77" t="s">
        <v>934</v>
      </c>
      <c r="C1031" s="70" t="s">
        <v>17</v>
      </c>
      <c r="D1031" s="255"/>
      <c r="E1031" s="325" t="e">
        <f>#REF!</f>
        <v>#REF!</v>
      </c>
      <c r="F1031" s="325" t="e">
        <f>#REF!</f>
        <v>#REF!</v>
      </c>
      <c r="G1031" s="325" t="e">
        <f>#REF!</f>
        <v>#REF!</v>
      </c>
      <c r="H1031" s="325" t="e">
        <f t="shared" si="48"/>
        <v>#REF!</v>
      </c>
      <c r="I1031" s="260"/>
      <c r="J1031" s="266" t="e">
        <f t="shared" si="51"/>
        <v>#REF!</v>
      </c>
      <c r="K1031" s="294"/>
      <c r="L1031" s="271"/>
      <c r="M1031" s="264"/>
      <c r="N1031" s="260"/>
      <c r="O1031" s="260"/>
    </row>
    <row r="1032" spans="1:15" ht="17.25">
      <c r="A1032" s="180" t="s">
        <v>115</v>
      </c>
      <c r="B1032" s="77" t="s">
        <v>935</v>
      </c>
      <c r="C1032" s="70" t="s">
        <v>208</v>
      </c>
      <c r="D1032" s="255"/>
      <c r="E1032" s="325" t="e">
        <f>#REF!</f>
        <v>#REF!</v>
      </c>
      <c r="F1032" s="325" t="e">
        <f>#REF!</f>
        <v>#REF!</v>
      </c>
      <c r="G1032" s="325" t="e">
        <f>#REF!</f>
        <v>#REF!</v>
      </c>
      <c r="H1032" s="325" t="e">
        <f t="shared" si="48"/>
        <v>#REF!</v>
      </c>
      <c r="I1032" s="261"/>
      <c r="J1032" s="266" t="e">
        <f t="shared" si="51"/>
        <v>#REF!</v>
      </c>
      <c r="K1032" s="295"/>
      <c r="L1032" s="270"/>
      <c r="M1032" s="263"/>
      <c r="N1032" s="261"/>
      <c r="O1032" s="260"/>
    </row>
    <row r="1033" spans="1:15" ht="25.5">
      <c r="A1033" s="180" t="s">
        <v>115</v>
      </c>
      <c r="B1033" s="77" t="s">
        <v>936</v>
      </c>
      <c r="C1033" s="70" t="s">
        <v>17</v>
      </c>
      <c r="D1033" s="255"/>
      <c r="E1033" s="325" t="e">
        <f>#REF!</f>
        <v>#REF!</v>
      </c>
      <c r="F1033" s="325" t="e">
        <f>#REF!</f>
        <v>#REF!</v>
      </c>
      <c r="G1033" s="325" t="e">
        <f>#REF!</f>
        <v>#REF!</v>
      </c>
      <c r="H1033" s="325" t="e">
        <f t="shared" si="48"/>
        <v>#REF!</v>
      </c>
      <c r="I1033" s="260"/>
      <c r="J1033" s="266" t="e">
        <f t="shared" si="51"/>
        <v>#REF!</v>
      </c>
      <c r="K1033" s="294"/>
      <c r="L1033" s="271"/>
      <c r="M1033" s="264"/>
      <c r="N1033" s="260"/>
      <c r="O1033" s="260"/>
    </row>
    <row r="1034" spans="1:15" ht="25.5">
      <c r="A1034" s="180" t="s">
        <v>115</v>
      </c>
      <c r="B1034" s="77" t="s">
        <v>937</v>
      </c>
      <c r="C1034" s="70" t="s">
        <v>17</v>
      </c>
      <c r="D1034" s="255"/>
      <c r="E1034" s="325" t="e">
        <f>#REF!</f>
        <v>#REF!</v>
      </c>
      <c r="F1034" s="325" t="e">
        <f>#REF!</f>
        <v>#REF!</v>
      </c>
      <c r="G1034" s="325" t="e">
        <f>#REF!</f>
        <v>#REF!</v>
      </c>
      <c r="H1034" s="325" t="e">
        <f t="shared" si="48"/>
        <v>#REF!</v>
      </c>
      <c r="I1034" s="261"/>
      <c r="J1034" s="266" t="e">
        <f t="shared" si="51"/>
        <v>#REF!</v>
      </c>
      <c r="K1034" s="295"/>
      <c r="L1034" s="270"/>
      <c r="M1034" s="263"/>
      <c r="N1034" s="261"/>
      <c r="O1034" s="260"/>
    </row>
    <row r="1035" spans="1:15" ht="25.5">
      <c r="A1035" s="180" t="s">
        <v>115</v>
      </c>
      <c r="B1035" s="77" t="s">
        <v>938</v>
      </c>
      <c r="C1035" s="70" t="s">
        <v>17</v>
      </c>
      <c r="D1035" s="255"/>
      <c r="E1035" s="325" t="e">
        <f>#REF!</f>
        <v>#REF!</v>
      </c>
      <c r="F1035" s="325" t="e">
        <f>#REF!</f>
        <v>#REF!</v>
      </c>
      <c r="G1035" s="325" t="e">
        <f>#REF!</f>
        <v>#REF!</v>
      </c>
      <c r="H1035" s="325" t="e">
        <f t="shared" si="48"/>
        <v>#REF!</v>
      </c>
      <c r="I1035" s="260"/>
      <c r="J1035" s="266" t="e">
        <f t="shared" si="51"/>
        <v>#REF!</v>
      </c>
      <c r="K1035" s="294"/>
      <c r="L1035" s="271"/>
      <c r="M1035" s="264"/>
      <c r="N1035" s="260"/>
      <c r="O1035" s="260"/>
    </row>
    <row r="1036" spans="1:15" ht="17.25">
      <c r="A1036" s="180" t="s">
        <v>115</v>
      </c>
      <c r="B1036" s="77" t="s">
        <v>1628</v>
      </c>
      <c r="C1036" s="70" t="s">
        <v>17</v>
      </c>
      <c r="D1036" s="255"/>
      <c r="E1036" s="325" t="e">
        <f>#REF!</f>
        <v>#REF!</v>
      </c>
      <c r="F1036" s="325" t="e">
        <f>#REF!</f>
        <v>#REF!</v>
      </c>
      <c r="G1036" s="325" t="e">
        <f>#REF!</f>
        <v>#REF!</v>
      </c>
      <c r="H1036" s="325" t="e">
        <f t="shared" si="48"/>
        <v>#REF!</v>
      </c>
      <c r="I1036" s="261"/>
      <c r="J1036" s="266" t="e">
        <f t="shared" si="51"/>
        <v>#REF!</v>
      </c>
      <c r="K1036" s="295"/>
      <c r="L1036" s="270"/>
      <c r="M1036" s="263"/>
      <c r="N1036" s="261"/>
      <c r="O1036" s="260"/>
    </row>
    <row r="1037" spans="1:15" ht="17.25">
      <c r="A1037" s="180" t="s">
        <v>115</v>
      </c>
      <c r="B1037" s="77" t="s">
        <v>1629</v>
      </c>
      <c r="C1037" s="70" t="s">
        <v>17</v>
      </c>
      <c r="D1037" s="255"/>
      <c r="E1037" s="325" t="e">
        <f>#REF!</f>
        <v>#REF!</v>
      </c>
      <c r="F1037" s="325" t="e">
        <f>#REF!</f>
        <v>#REF!</v>
      </c>
      <c r="G1037" s="325" t="e">
        <f>#REF!</f>
        <v>#REF!</v>
      </c>
      <c r="H1037" s="325" t="e">
        <f t="shared" si="48"/>
        <v>#REF!</v>
      </c>
      <c r="I1037" s="260"/>
      <c r="J1037" s="266" t="e">
        <f t="shared" si="51"/>
        <v>#REF!</v>
      </c>
      <c r="K1037" s="294"/>
      <c r="L1037" s="271"/>
      <c r="M1037" s="264"/>
      <c r="N1037" s="260"/>
      <c r="O1037" s="260"/>
    </row>
    <row r="1038" spans="1:15" ht="25.5">
      <c r="A1038" s="180" t="s">
        <v>115</v>
      </c>
      <c r="B1038" s="77" t="s">
        <v>939</v>
      </c>
      <c r="C1038" s="70" t="s">
        <v>17</v>
      </c>
      <c r="D1038" s="255"/>
      <c r="E1038" s="325" t="e">
        <f>#REF!</f>
        <v>#REF!</v>
      </c>
      <c r="F1038" s="325" t="e">
        <f>#REF!</f>
        <v>#REF!</v>
      </c>
      <c r="G1038" s="325" t="e">
        <f>#REF!</f>
        <v>#REF!</v>
      </c>
      <c r="H1038" s="325" t="e">
        <f t="shared" si="48"/>
        <v>#REF!</v>
      </c>
      <c r="I1038" s="261"/>
      <c r="J1038" s="266" t="e">
        <f t="shared" si="51"/>
        <v>#REF!</v>
      </c>
      <c r="K1038" s="295"/>
      <c r="L1038" s="270"/>
      <c r="M1038" s="263"/>
      <c r="N1038" s="261"/>
      <c r="O1038" s="260"/>
    </row>
    <row r="1039" spans="1:15" ht="17.25">
      <c r="A1039" s="180" t="s">
        <v>115</v>
      </c>
      <c r="B1039" s="77" t="s">
        <v>1630</v>
      </c>
      <c r="C1039" s="70" t="s">
        <v>17</v>
      </c>
      <c r="D1039" s="255"/>
      <c r="E1039" s="325" t="e">
        <f>#REF!</f>
        <v>#REF!</v>
      </c>
      <c r="F1039" s="325" t="e">
        <f>#REF!</f>
        <v>#REF!</v>
      </c>
      <c r="G1039" s="325" t="e">
        <f>#REF!</f>
        <v>#REF!</v>
      </c>
      <c r="H1039" s="325" t="e">
        <f t="shared" si="48"/>
        <v>#REF!</v>
      </c>
      <c r="I1039" s="260"/>
      <c r="J1039" s="266" t="e">
        <f t="shared" si="51"/>
        <v>#REF!</v>
      </c>
      <c r="K1039" s="294"/>
      <c r="L1039" s="271"/>
      <c r="M1039" s="264"/>
      <c r="N1039" s="260"/>
      <c r="O1039" s="260"/>
    </row>
    <row r="1040" spans="1:15" ht="17.25">
      <c r="A1040" s="180" t="s">
        <v>115</v>
      </c>
      <c r="B1040" s="77" t="s">
        <v>1631</v>
      </c>
      <c r="C1040" s="70" t="s">
        <v>17</v>
      </c>
      <c r="D1040" s="272"/>
      <c r="E1040" s="325" t="e">
        <f>#REF!</f>
        <v>#REF!</v>
      </c>
      <c r="F1040" s="325" t="e">
        <f>#REF!</f>
        <v>#REF!</v>
      </c>
      <c r="G1040" s="325" t="e">
        <f>#REF!</f>
        <v>#REF!</v>
      </c>
      <c r="H1040" s="325" t="e">
        <f t="shared" si="48"/>
        <v>#REF!</v>
      </c>
      <c r="I1040" s="275"/>
      <c r="J1040" s="266" t="e">
        <f t="shared" si="51"/>
        <v>#REF!</v>
      </c>
      <c r="K1040" s="298"/>
      <c r="L1040" s="276"/>
      <c r="M1040" s="277"/>
      <c r="N1040" s="275"/>
      <c r="O1040" s="273"/>
    </row>
    <row r="1041" spans="1:15" ht="17.25">
      <c r="A1041" s="180" t="s">
        <v>115</v>
      </c>
      <c r="B1041" s="77" t="s">
        <v>1632</v>
      </c>
      <c r="C1041" s="70" t="s">
        <v>17</v>
      </c>
      <c r="D1041" s="255"/>
      <c r="E1041" s="325" t="e">
        <f>#REF!</f>
        <v>#REF!</v>
      </c>
      <c r="F1041" s="325" t="e">
        <f>#REF!</f>
        <v>#REF!</v>
      </c>
      <c r="G1041" s="325" t="e">
        <f>#REF!</f>
        <v>#REF!</v>
      </c>
      <c r="H1041" s="325" t="e">
        <f t="shared" si="48"/>
        <v>#REF!</v>
      </c>
      <c r="I1041" s="260"/>
      <c r="J1041" s="266" t="e">
        <f t="shared" si="51"/>
        <v>#REF!</v>
      </c>
      <c r="K1041" s="294"/>
      <c r="L1041" s="271"/>
      <c r="M1041" s="264"/>
      <c r="N1041" s="260"/>
      <c r="O1041" s="260"/>
    </row>
    <row r="1042" spans="1:15" ht="25.5">
      <c r="A1042" s="180" t="s">
        <v>115</v>
      </c>
      <c r="B1042" s="77" t="s">
        <v>940</v>
      </c>
      <c r="C1042" s="70" t="s">
        <v>17</v>
      </c>
      <c r="D1042" s="255"/>
      <c r="E1042" s="325" t="e">
        <f>#REF!</f>
        <v>#REF!</v>
      </c>
      <c r="F1042" s="325" t="e">
        <f>#REF!</f>
        <v>#REF!</v>
      </c>
      <c r="G1042" s="325" t="e">
        <f>#REF!</f>
        <v>#REF!</v>
      </c>
      <c r="H1042" s="325" t="e">
        <f t="shared" si="48"/>
        <v>#REF!</v>
      </c>
      <c r="I1042" s="261"/>
      <c r="J1042" s="266" t="e">
        <f t="shared" si="51"/>
        <v>#REF!</v>
      </c>
      <c r="K1042" s="295"/>
      <c r="L1042" s="270"/>
      <c r="M1042" s="263"/>
      <c r="N1042" s="261"/>
      <c r="O1042" s="260"/>
    </row>
    <row r="1043" spans="1:15" ht="31.5">
      <c r="A1043" s="180" t="s">
        <v>115</v>
      </c>
      <c r="B1043" s="77" t="s">
        <v>1754</v>
      </c>
      <c r="C1043" s="70" t="s">
        <v>17</v>
      </c>
      <c r="D1043" s="304">
        <v>21</v>
      </c>
      <c r="E1043" s="325" t="e">
        <f>#REF!</f>
        <v>#REF!</v>
      </c>
      <c r="F1043" s="325" t="e">
        <f>#REF!</f>
        <v>#REF!</v>
      </c>
      <c r="G1043" s="325" t="e">
        <f>#REF!</f>
        <v>#REF!</v>
      </c>
      <c r="H1043" s="325" t="e">
        <f t="shared" si="48"/>
        <v>#REF!</v>
      </c>
      <c r="I1043" s="314">
        <v>4066.65</v>
      </c>
      <c r="J1043" s="314">
        <f>I1043*D1043</f>
        <v>85399.650000000009</v>
      </c>
      <c r="K1043" s="315"/>
      <c r="L1043" s="316">
        <v>42401</v>
      </c>
      <c r="M1043" s="308" t="s">
        <v>1663</v>
      </c>
      <c r="N1043" s="254" t="s">
        <v>342</v>
      </c>
      <c r="O1043" s="314" t="s">
        <v>1642</v>
      </c>
    </row>
    <row r="1044" spans="1:15" ht="25.5">
      <c r="A1044" s="180" t="s">
        <v>115</v>
      </c>
      <c r="B1044" s="77" t="s">
        <v>1752</v>
      </c>
      <c r="C1044" s="70" t="s">
        <v>17</v>
      </c>
      <c r="D1044" s="304">
        <v>21</v>
      </c>
      <c r="E1044" s="325">
        <v>0</v>
      </c>
      <c r="F1044" s="325">
        <v>0</v>
      </c>
      <c r="G1044" s="325">
        <v>0</v>
      </c>
      <c r="H1044" s="325">
        <f>G1044+F1044+E1044+D1044</f>
        <v>21</v>
      </c>
      <c r="I1044" s="314">
        <v>24735.84</v>
      </c>
      <c r="J1044" s="314">
        <f t="shared" ref="J1044:J1051" si="52">I1044*H1044</f>
        <v>519452.64</v>
      </c>
      <c r="K1044" s="315"/>
      <c r="L1044" s="316">
        <v>42080</v>
      </c>
      <c r="M1044" s="308" t="s">
        <v>15</v>
      </c>
      <c r="N1044" s="254" t="s">
        <v>342</v>
      </c>
      <c r="O1044" s="314" t="s">
        <v>1642</v>
      </c>
    </row>
    <row r="1045" spans="1:15" ht="31.5">
      <c r="A1045" s="180" t="s">
        <v>115</v>
      </c>
      <c r="B1045" s="77" t="s">
        <v>1753</v>
      </c>
      <c r="C1045" s="70" t="s">
        <v>17</v>
      </c>
      <c r="D1045" s="304">
        <v>21</v>
      </c>
      <c r="E1045" s="325">
        <v>0</v>
      </c>
      <c r="F1045" s="325">
        <v>0</v>
      </c>
      <c r="G1045" s="325">
        <v>0</v>
      </c>
      <c r="H1045" s="325">
        <f>G1045+F1045+E1045+D1045</f>
        <v>21</v>
      </c>
      <c r="I1045" s="314">
        <v>4066.75</v>
      </c>
      <c r="J1045" s="314">
        <f t="shared" si="52"/>
        <v>85401.75</v>
      </c>
      <c r="K1045" s="315"/>
      <c r="L1045" s="316">
        <v>42080</v>
      </c>
      <c r="M1045" s="308" t="s">
        <v>1663</v>
      </c>
      <c r="N1045" s="254" t="s">
        <v>342</v>
      </c>
      <c r="O1045" s="314" t="s">
        <v>1642</v>
      </c>
    </row>
    <row r="1046" spans="1:15" ht="17.25">
      <c r="A1046" s="178" t="s">
        <v>115</v>
      </c>
      <c r="B1046" s="75" t="s">
        <v>945</v>
      </c>
      <c r="C1046" s="39" t="s">
        <v>17</v>
      </c>
      <c r="D1046" s="255"/>
      <c r="E1046" s="325" t="e">
        <f>#REF!</f>
        <v>#REF!</v>
      </c>
      <c r="F1046" s="325" t="e">
        <f>#REF!</f>
        <v>#REF!</v>
      </c>
      <c r="G1046" s="325" t="e">
        <f>#REF!</f>
        <v>#REF!</v>
      </c>
      <c r="H1046" s="325" t="e">
        <f t="shared" si="48"/>
        <v>#REF!</v>
      </c>
      <c r="I1046" s="261"/>
      <c r="J1046" s="265" t="e">
        <f t="shared" si="52"/>
        <v>#REF!</v>
      </c>
      <c r="K1046" s="295"/>
      <c r="L1046" s="270"/>
      <c r="M1046" s="263"/>
      <c r="N1046" s="261"/>
      <c r="O1046" s="260"/>
    </row>
    <row r="1047" spans="1:15" ht="17.25">
      <c r="A1047" s="178" t="s">
        <v>115</v>
      </c>
      <c r="B1047" s="75" t="s">
        <v>946</v>
      </c>
      <c r="C1047" s="39" t="s">
        <v>17</v>
      </c>
      <c r="D1047" s="255"/>
      <c r="E1047" s="325" t="e">
        <f>#REF!</f>
        <v>#REF!</v>
      </c>
      <c r="F1047" s="325" t="e">
        <f>#REF!</f>
        <v>#REF!</v>
      </c>
      <c r="G1047" s="325" t="e">
        <f>#REF!</f>
        <v>#REF!</v>
      </c>
      <c r="H1047" s="325" t="e">
        <f t="shared" ref="H1047:H1112" si="53">G1047+F1047+E1047+D1047</f>
        <v>#REF!</v>
      </c>
      <c r="I1047" s="260"/>
      <c r="J1047" s="265" t="e">
        <f t="shared" si="52"/>
        <v>#REF!</v>
      </c>
      <c r="K1047" s="294"/>
      <c r="L1047" s="271"/>
      <c r="M1047" s="264"/>
      <c r="N1047" s="260"/>
      <c r="O1047" s="260"/>
    </row>
    <row r="1048" spans="1:15" ht="17.25">
      <c r="A1048" s="178" t="s">
        <v>115</v>
      </c>
      <c r="B1048" s="75" t="s">
        <v>947</v>
      </c>
      <c r="C1048" s="39" t="s">
        <v>17</v>
      </c>
      <c r="D1048" s="255"/>
      <c r="E1048" s="325" t="e">
        <f>#REF!</f>
        <v>#REF!</v>
      </c>
      <c r="F1048" s="325" t="e">
        <f>#REF!</f>
        <v>#REF!</v>
      </c>
      <c r="G1048" s="325" t="e">
        <f>#REF!</f>
        <v>#REF!</v>
      </c>
      <c r="H1048" s="325" t="e">
        <f t="shared" si="53"/>
        <v>#REF!</v>
      </c>
      <c r="I1048" s="261"/>
      <c r="J1048" s="265" t="e">
        <f t="shared" si="52"/>
        <v>#REF!</v>
      </c>
      <c r="K1048" s="295"/>
      <c r="L1048" s="270"/>
      <c r="M1048" s="263"/>
      <c r="N1048" s="261"/>
      <c r="O1048" s="260"/>
    </row>
    <row r="1049" spans="1:15" ht="17.25">
      <c r="A1049" s="178" t="s">
        <v>115</v>
      </c>
      <c r="B1049" s="75" t="s">
        <v>1440</v>
      </c>
      <c r="C1049" s="39" t="s">
        <v>17</v>
      </c>
      <c r="D1049" s="255"/>
      <c r="E1049" s="325" t="e">
        <f>#REF!</f>
        <v>#REF!</v>
      </c>
      <c r="F1049" s="325" t="e">
        <f>#REF!</f>
        <v>#REF!</v>
      </c>
      <c r="G1049" s="325" t="e">
        <f>#REF!</f>
        <v>#REF!</v>
      </c>
      <c r="H1049" s="325" t="e">
        <f t="shared" si="53"/>
        <v>#REF!</v>
      </c>
      <c r="I1049" s="260"/>
      <c r="J1049" s="265" t="e">
        <f t="shared" si="52"/>
        <v>#REF!</v>
      </c>
      <c r="K1049" s="294"/>
      <c r="L1049" s="271"/>
      <c r="M1049" s="264"/>
      <c r="N1049" s="260"/>
      <c r="O1049" s="260"/>
    </row>
    <row r="1050" spans="1:15" ht="17.25">
      <c r="A1050" s="178" t="s">
        <v>115</v>
      </c>
      <c r="B1050" s="75" t="s">
        <v>1441</v>
      </c>
      <c r="C1050" s="39" t="s">
        <v>17</v>
      </c>
      <c r="D1050" s="255"/>
      <c r="E1050" s="325" t="e">
        <f>#REF!</f>
        <v>#REF!</v>
      </c>
      <c r="F1050" s="325" t="e">
        <f>#REF!</f>
        <v>#REF!</v>
      </c>
      <c r="G1050" s="325" t="e">
        <f>#REF!</f>
        <v>#REF!</v>
      </c>
      <c r="H1050" s="325" t="e">
        <f t="shared" si="53"/>
        <v>#REF!</v>
      </c>
      <c r="I1050" s="261"/>
      <c r="J1050" s="265" t="e">
        <f t="shared" si="52"/>
        <v>#REF!</v>
      </c>
      <c r="K1050" s="295"/>
      <c r="L1050" s="270"/>
      <c r="M1050" s="263"/>
      <c r="N1050" s="261"/>
      <c r="O1050" s="260"/>
    </row>
    <row r="1051" spans="1:15" ht="17.25">
      <c r="A1051" s="178" t="s">
        <v>115</v>
      </c>
      <c r="B1051" s="75" t="s">
        <v>1442</v>
      </c>
      <c r="C1051" s="39" t="s">
        <v>17</v>
      </c>
      <c r="D1051" s="255"/>
      <c r="E1051" s="325" t="e">
        <f>#REF!</f>
        <v>#REF!</v>
      </c>
      <c r="F1051" s="325" t="e">
        <f>#REF!</f>
        <v>#REF!</v>
      </c>
      <c r="G1051" s="325" t="e">
        <f>#REF!</f>
        <v>#REF!</v>
      </c>
      <c r="H1051" s="325" t="e">
        <f t="shared" si="53"/>
        <v>#REF!</v>
      </c>
      <c r="I1051" s="260"/>
      <c r="J1051" s="265" t="e">
        <f t="shared" si="52"/>
        <v>#REF!</v>
      </c>
      <c r="K1051" s="294"/>
      <c r="L1051" s="271"/>
      <c r="M1051" s="264"/>
      <c r="N1051" s="260"/>
      <c r="O1051" s="260"/>
    </row>
    <row r="1052" spans="1:15" ht="17.25">
      <c r="A1052" s="179" t="s">
        <v>115</v>
      </c>
      <c r="B1052" s="76"/>
      <c r="C1052" s="42"/>
      <c r="D1052" s="76"/>
      <c r="E1052" s="76"/>
      <c r="F1052" s="76"/>
      <c r="G1052" s="76"/>
      <c r="H1052" s="76"/>
      <c r="I1052" s="76"/>
      <c r="J1052" s="76"/>
      <c r="K1052" s="293" t="e">
        <f>SUM(J1018:J1051)</f>
        <v>#REF!</v>
      </c>
      <c r="L1052" s="284"/>
      <c r="M1052" s="76"/>
      <c r="N1052" s="76"/>
      <c r="O1052" s="76"/>
    </row>
    <row r="1053" spans="1:15" ht="17.25">
      <c r="A1053" s="178" t="s">
        <v>117</v>
      </c>
      <c r="B1053" s="75" t="s">
        <v>941</v>
      </c>
      <c r="C1053" s="39" t="s">
        <v>17</v>
      </c>
      <c r="D1053" s="255"/>
      <c r="E1053" s="325" t="e">
        <f>#REF!</f>
        <v>#REF!</v>
      </c>
      <c r="F1053" s="325" t="e">
        <f>#REF!</f>
        <v>#REF!</v>
      </c>
      <c r="G1053" s="325" t="e">
        <f>#REF!</f>
        <v>#REF!</v>
      </c>
      <c r="H1053" s="325" t="e">
        <f t="shared" si="53"/>
        <v>#REF!</v>
      </c>
      <c r="I1053" s="260"/>
      <c r="J1053" s="266" t="e">
        <f>I1053*H1053</f>
        <v>#REF!</v>
      </c>
      <c r="K1053" s="294"/>
      <c r="L1053" s="271"/>
      <c r="M1053" s="264"/>
      <c r="N1053" s="260"/>
      <c r="O1053" s="260"/>
    </row>
    <row r="1054" spans="1:15" ht="17.25">
      <c r="A1054" s="178" t="s">
        <v>117</v>
      </c>
      <c r="B1054" s="75" t="s">
        <v>942</v>
      </c>
      <c r="C1054" s="39" t="s">
        <v>17</v>
      </c>
      <c r="D1054" s="255"/>
      <c r="E1054" s="325" t="e">
        <f>#REF!</f>
        <v>#REF!</v>
      </c>
      <c r="F1054" s="325" t="e">
        <f>#REF!</f>
        <v>#REF!</v>
      </c>
      <c r="G1054" s="325" t="e">
        <f>#REF!</f>
        <v>#REF!</v>
      </c>
      <c r="H1054" s="325" t="e">
        <f t="shared" si="53"/>
        <v>#REF!</v>
      </c>
      <c r="I1054" s="261"/>
      <c r="J1054" s="266" t="e">
        <f t="shared" ref="J1054:J1066" si="54">I1054*H1054</f>
        <v>#REF!</v>
      </c>
      <c r="K1054" s="295"/>
      <c r="L1054" s="270"/>
      <c r="M1054" s="263"/>
      <c r="N1054" s="261"/>
      <c r="O1054" s="260"/>
    </row>
    <row r="1055" spans="1:15" ht="17.25">
      <c r="A1055" s="178" t="s">
        <v>117</v>
      </c>
      <c r="B1055" s="75" t="s">
        <v>943</v>
      </c>
      <c r="C1055" s="39" t="s">
        <v>17</v>
      </c>
      <c r="D1055" s="255"/>
      <c r="E1055" s="325" t="e">
        <f>#REF!</f>
        <v>#REF!</v>
      </c>
      <c r="F1055" s="325" t="e">
        <f>#REF!</f>
        <v>#REF!</v>
      </c>
      <c r="G1055" s="325" t="e">
        <f>#REF!</f>
        <v>#REF!</v>
      </c>
      <c r="H1055" s="325" t="e">
        <f t="shared" si="53"/>
        <v>#REF!</v>
      </c>
      <c r="I1055" s="260"/>
      <c r="J1055" s="266" t="e">
        <f t="shared" si="54"/>
        <v>#REF!</v>
      </c>
      <c r="K1055" s="294"/>
      <c r="L1055" s="271"/>
      <c r="M1055" s="264"/>
      <c r="N1055" s="260"/>
      <c r="O1055" s="260"/>
    </row>
    <row r="1056" spans="1:15" ht="17.25">
      <c r="A1056" s="178" t="s">
        <v>117</v>
      </c>
      <c r="B1056" s="75" t="s">
        <v>1402</v>
      </c>
      <c r="C1056" s="39" t="s">
        <v>17</v>
      </c>
      <c r="D1056" s="255"/>
      <c r="E1056" s="325" t="e">
        <f>#REF!</f>
        <v>#REF!</v>
      </c>
      <c r="F1056" s="325" t="e">
        <f>#REF!</f>
        <v>#REF!</v>
      </c>
      <c r="G1056" s="325" t="e">
        <f>#REF!</f>
        <v>#REF!</v>
      </c>
      <c r="H1056" s="325" t="e">
        <f t="shared" si="53"/>
        <v>#REF!</v>
      </c>
      <c r="I1056" s="261"/>
      <c r="J1056" s="266" t="e">
        <f t="shared" si="54"/>
        <v>#REF!</v>
      </c>
      <c r="K1056" s="295"/>
      <c r="L1056" s="270"/>
      <c r="M1056" s="263"/>
      <c r="N1056" s="261"/>
      <c r="O1056" s="260"/>
    </row>
    <row r="1057" spans="1:15" ht="17.25">
      <c r="A1057" s="178" t="s">
        <v>117</v>
      </c>
      <c r="B1057" s="75" t="s">
        <v>944</v>
      </c>
      <c r="C1057" s="39" t="s">
        <v>17</v>
      </c>
      <c r="D1057" s="255"/>
      <c r="E1057" s="325" t="e">
        <f>#REF!</f>
        <v>#REF!</v>
      </c>
      <c r="F1057" s="325" t="e">
        <f>#REF!</f>
        <v>#REF!</v>
      </c>
      <c r="G1057" s="325" t="e">
        <f>#REF!</f>
        <v>#REF!</v>
      </c>
      <c r="H1057" s="325" t="e">
        <f t="shared" si="53"/>
        <v>#REF!</v>
      </c>
      <c r="I1057" s="260"/>
      <c r="J1057" s="266" t="e">
        <f t="shared" si="54"/>
        <v>#REF!</v>
      </c>
      <c r="K1057" s="294"/>
      <c r="L1057" s="271"/>
      <c r="M1057" s="264"/>
      <c r="N1057" s="260"/>
      <c r="O1057" s="260"/>
    </row>
    <row r="1058" spans="1:15" ht="25.5">
      <c r="A1058" s="178" t="s">
        <v>117</v>
      </c>
      <c r="B1058" s="75" t="s">
        <v>1755</v>
      </c>
      <c r="C1058" s="39" t="s">
        <v>17</v>
      </c>
      <c r="D1058" s="255">
        <v>1</v>
      </c>
      <c r="E1058" s="325">
        <v>0</v>
      </c>
      <c r="F1058" s="325">
        <v>0</v>
      </c>
      <c r="G1058" s="325">
        <v>0</v>
      </c>
      <c r="H1058" s="325">
        <f>G1058+F1058+E1058+D1058</f>
        <v>1</v>
      </c>
      <c r="I1058" s="266">
        <v>129350.6</v>
      </c>
      <c r="J1058" s="266">
        <f t="shared" si="54"/>
        <v>129350.6</v>
      </c>
      <c r="K1058" s="294"/>
      <c r="L1058" s="280">
        <v>42439</v>
      </c>
      <c r="M1058" s="309" t="s">
        <v>15</v>
      </c>
      <c r="N1058" s="254" t="s">
        <v>342</v>
      </c>
      <c r="O1058" s="266" t="s">
        <v>1642</v>
      </c>
    </row>
    <row r="1059" spans="1:15" ht="25.5">
      <c r="A1059" s="178" t="s">
        <v>117</v>
      </c>
      <c r="B1059" s="75" t="s">
        <v>1756</v>
      </c>
      <c r="C1059" s="39" t="s">
        <v>17</v>
      </c>
      <c r="D1059" s="255">
        <v>1</v>
      </c>
      <c r="E1059" s="325">
        <v>0</v>
      </c>
      <c r="F1059" s="325">
        <v>0</v>
      </c>
      <c r="G1059" s="325">
        <v>0</v>
      </c>
      <c r="H1059" s="325">
        <f>G1059+F1059+E1059+D1059</f>
        <v>1</v>
      </c>
      <c r="I1059" s="266">
        <v>253570.38</v>
      </c>
      <c r="J1059" s="266">
        <f>I1059*H1059</f>
        <v>253570.38</v>
      </c>
      <c r="K1059" s="294"/>
      <c r="L1059" s="280">
        <v>42439</v>
      </c>
      <c r="M1059" s="309" t="s">
        <v>15</v>
      </c>
      <c r="N1059" s="254" t="s">
        <v>342</v>
      </c>
      <c r="O1059" s="266" t="s">
        <v>1642</v>
      </c>
    </row>
    <row r="1060" spans="1:15" ht="17.25">
      <c r="A1060" s="178" t="s">
        <v>117</v>
      </c>
      <c r="B1060" s="75" t="s">
        <v>1403</v>
      </c>
      <c r="C1060" s="39" t="s">
        <v>17</v>
      </c>
      <c r="D1060" s="255"/>
      <c r="E1060" s="325" t="e">
        <f>#REF!</f>
        <v>#REF!</v>
      </c>
      <c r="F1060" s="325" t="e">
        <f>#REF!</f>
        <v>#REF!</v>
      </c>
      <c r="G1060" s="325" t="e">
        <f>#REF!</f>
        <v>#REF!</v>
      </c>
      <c r="H1060" s="325" t="e">
        <f t="shared" si="53"/>
        <v>#REF!</v>
      </c>
      <c r="I1060" s="261"/>
      <c r="J1060" s="266" t="e">
        <f t="shared" si="54"/>
        <v>#REF!</v>
      </c>
      <c r="K1060" s="295"/>
      <c r="L1060" s="270"/>
      <c r="M1060" s="263"/>
      <c r="N1060" s="261"/>
      <c r="O1060" s="260"/>
    </row>
    <row r="1061" spans="1:15" ht="17.25">
      <c r="A1061" s="178" t="s">
        <v>117</v>
      </c>
      <c r="B1061" s="75" t="s">
        <v>1420</v>
      </c>
      <c r="C1061" s="39" t="s">
        <v>17</v>
      </c>
      <c r="D1061" s="255"/>
      <c r="E1061" s="325" t="e">
        <f>#REF!</f>
        <v>#REF!</v>
      </c>
      <c r="F1061" s="325" t="e">
        <f>#REF!</f>
        <v>#REF!</v>
      </c>
      <c r="G1061" s="325" t="e">
        <f>#REF!</f>
        <v>#REF!</v>
      </c>
      <c r="H1061" s="325" t="e">
        <f t="shared" si="53"/>
        <v>#REF!</v>
      </c>
      <c r="I1061" s="260"/>
      <c r="J1061" s="266" t="e">
        <f t="shared" si="54"/>
        <v>#REF!</v>
      </c>
      <c r="K1061" s="294"/>
      <c r="L1061" s="271"/>
      <c r="M1061" s="264"/>
      <c r="N1061" s="260"/>
      <c r="O1061" s="260"/>
    </row>
    <row r="1062" spans="1:15" ht="17.25">
      <c r="A1062" s="178" t="s">
        <v>117</v>
      </c>
      <c r="B1062" s="75" t="s">
        <v>1404</v>
      </c>
      <c r="C1062" s="39" t="s">
        <v>17</v>
      </c>
      <c r="D1062" s="255"/>
      <c r="E1062" s="325" t="e">
        <f>#REF!</f>
        <v>#REF!</v>
      </c>
      <c r="F1062" s="325" t="e">
        <f>#REF!</f>
        <v>#REF!</v>
      </c>
      <c r="G1062" s="325" t="e">
        <f>#REF!</f>
        <v>#REF!</v>
      </c>
      <c r="H1062" s="325" t="e">
        <f t="shared" si="53"/>
        <v>#REF!</v>
      </c>
      <c r="I1062" s="261"/>
      <c r="J1062" s="266" t="e">
        <f t="shared" si="54"/>
        <v>#REF!</v>
      </c>
      <c r="K1062" s="295"/>
      <c r="L1062" s="270"/>
      <c r="M1062" s="263"/>
      <c r="N1062" s="261"/>
      <c r="O1062" s="260"/>
    </row>
    <row r="1063" spans="1:15" ht="17.25">
      <c r="A1063" s="178" t="s">
        <v>117</v>
      </c>
      <c r="B1063" s="75" t="s">
        <v>1405</v>
      </c>
      <c r="C1063" s="39" t="s">
        <v>17</v>
      </c>
      <c r="D1063" s="255"/>
      <c r="E1063" s="325" t="e">
        <f>#REF!</f>
        <v>#REF!</v>
      </c>
      <c r="F1063" s="325" t="e">
        <f>#REF!</f>
        <v>#REF!</v>
      </c>
      <c r="G1063" s="325" t="e">
        <f>#REF!</f>
        <v>#REF!</v>
      </c>
      <c r="H1063" s="325" t="e">
        <f t="shared" si="53"/>
        <v>#REF!</v>
      </c>
      <c r="I1063" s="260"/>
      <c r="J1063" s="266" t="e">
        <f t="shared" si="54"/>
        <v>#REF!</v>
      </c>
      <c r="K1063" s="294"/>
      <c r="L1063" s="271"/>
      <c r="M1063" s="264"/>
      <c r="N1063" s="260"/>
      <c r="O1063" s="260"/>
    </row>
    <row r="1064" spans="1:15" ht="17.25">
      <c r="A1064" s="178" t="s">
        <v>117</v>
      </c>
      <c r="B1064" s="75" t="s">
        <v>1406</v>
      </c>
      <c r="C1064" s="39" t="s">
        <v>17</v>
      </c>
      <c r="D1064" s="255"/>
      <c r="E1064" s="325" t="e">
        <f>#REF!</f>
        <v>#REF!</v>
      </c>
      <c r="F1064" s="325" t="e">
        <f>#REF!</f>
        <v>#REF!</v>
      </c>
      <c r="G1064" s="325" t="e">
        <f>#REF!</f>
        <v>#REF!</v>
      </c>
      <c r="H1064" s="325" t="e">
        <f t="shared" si="53"/>
        <v>#REF!</v>
      </c>
      <c r="I1064" s="261"/>
      <c r="J1064" s="266" t="e">
        <f t="shared" si="54"/>
        <v>#REF!</v>
      </c>
      <c r="K1064" s="295"/>
      <c r="L1064" s="270"/>
      <c r="M1064" s="263"/>
      <c r="N1064" s="261"/>
      <c r="O1064" s="260"/>
    </row>
    <row r="1065" spans="1:15" ht="17.25">
      <c r="A1065" s="178" t="s">
        <v>117</v>
      </c>
      <c r="B1065" s="75" t="s">
        <v>1407</v>
      </c>
      <c r="C1065" s="39" t="s">
        <v>17</v>
      </c>
      <c r="D1065" s="255"/>
      <c r="E1065" s="325" t="e">
        <f>#REF!</f>
        <v>#REF!</v>
      </c>
      <c r="F1065" s="325" t="e">
        <f>#REF!</f>
        <v>#REF!</v>
      </c>
      <c r="G1065" s="325" t="e">
        <f>#REF!</f>
        <v>#REF!</v>
      </c>
      <c r="H1065" s="325" t="e">
        <f t="shared" si="53"/>
        <v>#REF!</v>
      </c>
      <c r="I1065" s="260"/>
      <c r="J1065" s="266" t="e">
        <f t="shared" si="54"/>
        <v>#REF!</v>
      </c>
      <c r="K1065" s="294"/>
      <c r="L1065" s="271"/>
      <c r="M1065" s="264"/>
      <c r="N1065" s="260"/>
      <c r="O1065" s="260"/>
    </row>
    <row r="1066" spans="1:15" ht="17.25">
      <c r="A1066" s="178" t="s">
        <v>117</v>
      </c>
      <c r="B1066" s="75" t="s">
        <v>1408</v>
      </c>
      <c r="C1066" s="39" t="s">
        <v>17</v>
      </c>
      <c r="D1066" s="255"/>
      <c r="E1066" s="325" t="e">
        <f>#REF!</f>
        <v>#REF!</v>
      </c>
      <c r="F1066" s="325" t="e">
        <f>#REF!</f>
        <v>#REF!</v>
      </c>
      <c r="G1066" s="325" t="e">
        <f>#REF!</f>
        <v>#REF!</v>
      </c>
      <c r="H1066" s="325" t="e">
        <f t="shared" si="53"/>
        <v>#REF!</v>
      </c>
      <c r="I1066" s="261"/>
      <c r="J1066" s="266" t="e">
        <f t="shared" si="54"/>
        <v>#REF!</v>
      </c>
      <c r="K1066" s="295"/>
      <c r="L1066" s="270"/>
      <c r="M1066" s="263"/>
      <c r="N1066" s="261"/>
      <c r="O1066" s="260"/>
    </row>
    <row r="1067" spans="1:15" ht="17.25">
      <c r="A1067" s="179" t="s">
        <v>117</v>
      </c>
      <c r="B1067" s="76" t="s">
        <v>891</v>
      </c>
      <c r="C1067" s="42"/>
      <c r="D1067" s="76" t="s">
        <v>891</v>
      </c>
      <c r="E1067" s="76" t="s">
        <v>891</v>
      </c>
      <c r="F1067" s="76" t="s">
        <v>891</v>
      </c>
      <c r="G1067" s="76" t="s">
        <v>891</v>
      </c>
      <c r="H1067" s="76" t="s">
        <v>891</v>
      </c>
      <c r="I1067" s="76" t="s">
        <v>891</v>
      </c>
      <c r="J1067" s="76" t="s">
        <v>891</v>
      </c>
      <c r="K1067" s="293" t="e">
        <f>SUM(J1053:J1066)</f>
        <v>#REF!</v>
      </c>
      <c r="L1067" s="284" t="s">
        <v>891</v>
      </c>
      <c r="M1067" s="76" t="s">
        <v>891</v>
      </c>
      <c r="N1067" s="76" t="s">
        <v>891</v>
      </c>
      <c r="O1067" s="76" t="s">
        <v>891</v>
      </c>
    </row>
    <row r="1068" spans="1:15" ht="30">
      <c r="A1068" s="178" t="s">
        <v>118</v>
      </c>
      <c r="B1068" s="75" t="s">
        <v>241</v>
      </c>
      <c r="C1068" s="39" t="s">
        <v>17</v>
      </c>
      <c r="D1068" s="255"/>
      <c r="E1068" s="325" t="e">
        <f>#REF!</f>
        <v>#REF!</v>
      </c>
      <c r="F1068" s="325" t="e">
        <f>#REF!</f>
        <v>#REF!</v>
      </c>
      <c r="G1068" s="325" t="e">
        <f>#REF!</f>
        <v>#REF!</v>
      </c>
      <c r="H1068" s="325" t="e">
        <f t="shared" si="53"/>
        <v>#REF!</v>
      </c>
      <c r="I1068" s="261"/>
      <c r="J1068" s="265" t="e">
        <f>I1068*H1068</f>
        <v>#REF!</v>
      </c>
      <c r="K1068" s="295"/>
      <c r="L1068" s="270"/>
      <c r="M1068" s="263"/>
      <c r="N1068" s="261"/>
      <c r="O1068" s="260"/>
    </row>
    <row r="1069" spans="1:15" ht="30">
      <c r="A1069" s="178" t="s">
        <v>118</v>
      </c>
      <c r="B1069" s="75" t="s">
        <v>242</v>
      </c>
      <c r="C1069" s="39" t="s">
        <v>17</v>
      </c>
      <c r="D1069" s="255"/>
      <c r="E1069" s="325" t="e">
        <f>#REF!</f>
        <v>#REF!</v>
      </c>
      <c r="F1069" s="325" t="e">
        <f>#REF!</f>
        <v>#REF!</v>
      </c>
      <c r="G1069" s="325" t="e">
        <f>#REF!</f>
        <v>#REF!</v>
      </c>
      <c r="H1069" s="325" t="e">
        <f t="shared" si="53"/>
        <v>#REF!</v>
      </c>
      <c r="I1069" s="260"/>
      <c r="J1069" s="265" t="e">
        <f t="shared" ref="J1069:J1084" si="55">I1069*H1069</f>
        <v>#REF!</v>
      </c>
      <c r="K1069" s="294"/>
      <c r="L1069" s="271"/>
      <c r="M1069" s="264"/>
      <c r="N1069" s="260"/>
      <c r="O1069" s="260"/>
    </row>
    <row r="1070" spans="1:15" ht="30">
      <c r="A1070" s="178" t="s">
        <v>118</v>
      </c>
      <c r="B1070" s="75" t="s">
        <v>243</v>
      </c>
      <c r="C1070" s="39" t="s">
        <v>17</v>
      </c>
      <c r="D1070" s="255"/>
      <c r="E1070" s="325" t="e">
        <f>#REF!</f>
        <v>#REF!</v>
      </c>
      <c r="F1070" s="325" t="e">
        <f>#REF!</f>
        <v>#REF!</v>
      </c>
      <c r="G1070" s="325" t="e">
        <f>#REF!</f>
        <v>#REF!</v>
      </c>
      <c r="H1070" s="325" t="e">
        <f t="shared" si="53"/>
        <v>#REF!</v>
      </c>
      <c r="I1070" s="261"/>
      <c r="J1070" s="265" t="e">
        <f t="shared" si="55"/>
        <v>#REF!</v>
      </c>
      <c r="K1070" s="295"/>
      <c r="L1070" s="270"/>
      <c r="M1070" s="263"/>
      <c r="N1070" s="261"/>
      <c r="O1070" s="260"/>
    </row>
    <row r="1071" spans="1:15" ht="30">
      <c r="A1071" s="178" t="s">
        <v>118</v>
      </c>
      <c r="B1071" s="75" t="s">
        <v>336</v>
      </c>
      <c r="C1071" s="39" t="s">
        <v>17</v>
      </c>
      <c r="D1071" s="255"/>
      <c r="E1071" s="325" t="e">
        <f>#REF!</f>
        <v>#REF!</v>
      </c>
      <c r="F1071" s="325" t="e">
        <f>#REF!</f>
        <v>#REF!</v>
      </c>
      <c r="G1071" s="325" t="e">
        <f>#REF!</f>
        <v>#REF!</v>
      </c>
      <c r="H1071" s="325" t="e">
        <f t="shared" si="53"/>
        <v>#REF!</v>
      </c>
      <c r="I1071" s="260"/>
      <c r="J1071" s="265" t="e">
        <f t="shared" si="55"/>
        <v>#REF!</v>
      </c>
      <c r="K1071" s="294"/>
      <c r="L1071" s="271"/>
      <c r="M1071" s="264"/>
      <c r="N1071" s="260"/>
      <c r="O1071" s="260"/>
    </row>
    <row r="1072" spans="1:15" ht="30">
      <c r="A1072" s="178" t="s">
        <v>118</v>
      </c>
      <c r="B1072" s="75" t="s">
        <v>1322</v>
      </c>
      <c r="C1072" s="39" t="s">
        <v>17</v>
      </c>
      <c r="D1072" s="255"/>
      <c r="E1072" s="325" t="e">
        <f>#REF!</f>
        <v>#REF!</v>
      </c>
      <c r="F1072" s="325" t="e">
        <f>#REF!</f>
        <v>#REF!</v>
      </c>
      <c r="G1072" s="325" t="e">
        <f>#REF!</f>
        <v>#REF!</v>
      </c>
      <c r="H1072" s="325" t="e">
        <f t="shared" si="53"/>
        <v>#REF!</v>
      </c>
      <c r="I1072" s="261"/>
      <c r="J1072" s="265" t="e">
        <f t="shared" si="55"/>
        <v>#REF!</v>
      </c>
      <c r="K1072" s="295"/>
      <c r="L1072" s="270"/>
      <c r="M1072" s="263"/>
      <c r="N1072" s="261"/>
      <c r="O1072" s="260"/>
    </row>
    <row r="1073" spans="1:15" ht="30">
      <c r="A1073" s="178" t="s">
        <v>118</v>
      </c>
      <c r="B1073" s="75" t="s">
        <v>334</v>
      </c>
      <c r="C1073" s="39" t="s">
        <v>17</v>
      </c>
      <c r="D1073" s="255"/>
      <c r="E1073" s="325" t="e">
        <f>#REF!</f>
        <v>#REF!</v>
      </c>
      <c r="F1073" s="325" t="e">
        <f>#REF!</f>
        <v>#REF!</v>
      </c>
      <c r="G1073" s="325" t="e">
        <f>#REF!</f>
        <v>#REF!</v>
      </c>
      <c r="H1073" s="325" t="e">
        <f t="shared" si="53"/>
        <v>#REF!</v>
      </c>
      <c r="I1073" s="260"/>
      <c r="J1073" s="265" t="e">
        <f t="shared" si="55"/>
        <v>#REF!</v>
      </c>
      <c r="K1073" s="294"/>
      <c r="L1073" s="271"/>
      <c r="M1073" s="264"/>
      <c r="N1073" s="260"/>
      <c r="O1073" s="260"/>
    </row>
    <row r="1074" spans="1:15" ht="30">
      <c r="A1074" s="178" t="s">
        <v>118</v>
      </c>
      <c r="B1074" s="75" t="s">
        <v>340</v>
      </c>
      <c r="C1074" s="39" t="s">
        <v>17</v>
      </c>
      <c r="D1074" s="255"/>
      <c r="E1074" s="325" t="e">
        <f>#REF!</f>
        <v>#REF!</v>
      </c>
      <c r="F1074" s="325" t="e">
        <f>#REF!</f>
        <v>#REF!</v>
      </c>
      <c r="G1074" s="325" t="e">
        <f>#REF!</f>
        <v>#REF!</v>
      </c>
      <c r="H1074" s="325" t="e">
        <f t="shared" si="53"/>
        <v>#REF!</v>
      </c>
      <c r="I1074" s="261"/>
      <c r="J1074" s="265" t="e">
        <f t="shared" si="55"/>
        <v>#REF!</v>
      </c>
      <c r="K1074" s="295"/>
      <c r="L1074" s="270"/>
      <c r="M1074" s="263"/>
      <c r="N1074" s="261"/>
      <c r="O1074" s="260"/>
    </row>
    <row r="1075" spans="1:15" ht="30">
      <c r="A1075" s="178" t="s">
        <v>118</v>
      </c>
      <c r="B1075" s="75" t="s">
        <v>1138</v>
      </c>
      <c r="C1075" s="39" t="s">
        <v>1067</v>
      </c>
      <c r="D1075" s="255"/>
      <c r="E1075" s="325" t="e">
        <f>#REF!</f>
        <v>#REF!</v>
      </c>
      <c r="F1075" s="325" t="e">
        <f>#REF!</f>
        <v>#REF!</v>
      </c>
      <c r="G1075" s="325" t="e">
        <f>#REF!</f>
        <v>#REF!</v>
      </c>
      <c r="H1075" s="325" t="e">
        <f t="shared" si="53"/>
        <v>#REF!</v>
      </c>
      <c r="I1075" s="260"/>
      <c r="J1075" s="265" t="e">
        <f t="shared" si="55"/>
        <v>#REF!</v>
      </c>
      <c r="K1075" s="294"/>
      <c r="L1075" s="271"/>
      <c r="M1075" s="264"/>
      <c r="N1075" s="260"/>
      <c r="O1075" s="260"/>
    </row>
    <row r="1076" spans="1:15" ht="30">
      <c r="A1076" s="178" t="s">
        <v>118</v>
      </c>
      <c r="B1076" s="75" t="s">
        <v>245</v>
      </c>
      <c r="C1076" s="39" t="s">
        <v>17</v>
      </c>
      <c r="D1076" s="255"/>
      <c r="E1076" s="325" t="e">
        <f>#REF!</f>
        <v>#REF!</v>
      </c>
      <c r="F1076" s="325" t="e">
        <f>#REF!</f>
        <v>#REF!</v>
      </c>
      <c r="G1076" s="325" t="e">
        <f>#REF!</f>
        <v>#REF!</v>
      </c>
      <c r="H1076" s="325" t="e">
        <f t="shared" si="53"/>
        <v>#REF!</v>
      </c>
      <c r="I1076" s="261"/>
      <c r="J1076" s="265" t="e">
        <f t="shared" si="55"/>
        <v>#REF!</v>
      </c>
      <c r="K1076" s="295"/>
      <c r="L1076" s="270"/>
      <c r="M1076" s="263"/>
      <c r="N1076" s="261"/>
      <c r="O1076" s="260"/>
    </row>
    <row r="1077" spans="1:15" ht="30">
      <c r="A1077" s="178" t="s">
        <v>118</v>
      </c>
      <c r="B1077" s="75" t="s">
        <v>246</v>
      </c>
      <c r="C1077" s="39" t="s">
        <v>17</v>
      </c>
      <c r="D1077" s="255"/>
      <c r="E1077" s="325" t="e">
        <f>#REF!</f>
        <v>#REF!</v>
      </c>
      <c r="F1077" s="325" t="e">
        <f>#REF!</f>
        <v>#REF!</v>
      </c>
      <c r="G1077" s="325" t="e">
        <f>#REF!</f>
        <v>#REF!</v>
      </c>
      <c r="H1077" s="325" t="e">
        <f t="shared" si="53"/>
        <v>#REF!</v>
      </c>
      <c r="I1077" s="260"/>
      <c r="J1077" s="265" t="e">
        <f t="shared" si="55"/>
        <v>#REF!</v>
      </c>
      <c r="K1077" s="294"/>
      <c r="L1077" s="271"/>
      <c r="M1077" s="264"/>
      <c r="N1077" s="260"/>
      <c r="O1077" s="260"/>
    </row>
    <row r="1078" spans="1:15" ht="30">
      <c r="A1078" s="178" t="s">
        <v>118</v>
      </c>
      <c r="B1078" s="75" t="s">
        <v>247</v>
      </c>
      <c r="C1078" s="39" t="s">
        <v>17</v>
      </c>
      <c r="D1078" s="255"/>
      <c r="E1078" s="325" t="e">
        <f>#REF!</f>
        <v>#REF!</v>
      </c>
      <c r="F1078" s="325" t="e">
        <f>#REF!</f>
        <v>#REF!</v>
      </c>
      <c r="G1078" s="325" t="e">
        <f>#REF!</f>
        <v>#REF!</v>
      </c>
      <c r="H1078" s="325" t="e">
        <f t="shared" si="53"/>
        <v>#REF!</v>
      </c>
      <c r="I1078" s="261"/>
      <c r="J1078" s="265" t="e">
        <f t="shared" si="55"/>
        <v>#REF!</v>
      </c>
      <c r="K1078" s="295"/>
      <c r="L1078" s="270"/>
      <c r="M1078" s="263"/>
      <c r="N1078" s="261"/>
      <c r="O1078" s="260"/>
    </row>
    <row r="1079" spans="1:15" ht="30">
      <c r="A1079" s="178" t="s">
        <v>118</v>
      </c>
      <c r="B1079" s="75" t="s">
        <v>1604</v>
      </c>
      <c r="C1079" s="39" t="s">
        <v>17</v>
      </c>
      <c r="D1079" s="255"/>
      <c r="E1079" s="325" t="e">
        <f>#REF!</f>
        <v>#REF!</v>
      </c>
      <c r="F1079" s="325" t="e">
        <f>#REF!</f>
        <v>#REF!</v>
      </c>
      <c r="G1079" s="325" t="e">
        <f>#REF!</f>
        <v>#REF!</v>
      </c>
      <c r="H1079" s="325" t="e">
        <f t="shared" si="53"/>
        <v>#REF!</v>
      </c>
      <c r="I1079" s="260"/>
      <c r="J1079" s="265" t="e">
        <f t="shared" si="55"/>
        <v>#REF!</v>
      </c>
      <c r="K1079" s="294"/>
      <c r="L1079" s="271"/>
      <c r="M1079" s="264"/>
      <c r="N1079" s="260"/>
      <c r="O1079" s="260"/>
    </row>
    <row r="1080" spans="1:15" ht="30">
      <c r="A1080" s="178" t="s">
        <v>118</v>
      </c>
      <c r="B1080" s="75" t="s">
        <v>339</v>
      </c>
      <c r="C1080" s="39" t="s">
        <v>17</v>
      </c>
      <c r="D1080" s="255"/>
      <c r="E1080" s="325" t="e">
        <f>#REF!</f>
        <v>#REF!</v>
      </c>
      <c r="F1080" s="325" t="e">
        <f>#REF!</f>
        <v>#REF!</v>
      </c>
      <c r="G1080" s="325" t="e">
        <f>#REF!</f>
        <v>#REF!</v>
      </c>
      <c r="H1080" s="325" t="e">
        <f t="shared" si="53"/>
        <v>#REF!</v>
      </c>
      <c r="I1080" s="261"/>
      <c r="J1080" s="265" t="e">
        <f t="shared" si="55"/>
        <v>#REF!</v>
      </c>
      <c r="K1080" s="295"/>
      <c r="L1080" s="270"/>
      <c r="M1080" s="263"/>
      <c r="N1080" s="261"/>
      <c r="O1080" s="260"/>
    </row>
    <row r="1081" spans="1:15" ht="30">
      <c r="A1081" s="178" t="s">
        <v>118</v>
      </c>
      <c r="B1081" s="75" t="s">
        <v>248</v>
      </c>
      <c r="C1081" s="39" t="s">
        <v>17</v>
      </c>
      <c r="D1081" s="255"/>
      <c r="E1081" s="325" t="e">
        <f>#REF!</f>
        <v>#REF!</v>
      </c>
      <c r="F1081" s="325" t="e">
        <f>#REF!</f>
        <v>#REF!</v>
      </c>
      <c r="G1081" s="325" t="e">
        <f>#REF!</f>
        <v>#REF!</v>
      </c>
      <c r="H1081" s="325" t="e">
        <f t="shared" si="53"/>
        <v>#REF!</v>
      </c>
      <c r="I1081" s="260"/>
      <c r="J1081" s="265" t="e">
        <f t="shared" si="55"/>
        <v>#REF!</v>
      </c>
      <c r="K1081" s="294"/>
      <c r="L1081" s="271"/>
      <c r="M1081" s="264"/>
      <c r="N1081" s="260"/>
      <c r="O1081" s="260"/>
    </row>
    <row r="1082" spans="1:15" ht="30">
      <c r="A1082" s="178" t="s">
        <v>118</v>
      </c>
      <c r="B1082" s="75" t="s">
        <v>249</v>
      </c>
      <c r="C1082" s="39" t="s">
        <v>17</v>
      </c>
      <c r="D1082" s="255"/>
      <c r="E1082" s="325" t="e">
        <f>#REF!</f>
        <v>#REF!</v>
      </c>
      <c r="F1082" s="325" t="e">
        <f>#REF!</f>
        <v>#REF!</v>
      </c>
      <c r="G1082" s="325" t="e">
        <f>#REF!</f>
        <v>#REF!</v>
      </c>
      <c r="H1082" s="325" t="e">
        <f t="shared" si="53"/>
        <v>#REF!</v>
      </c>
      <c r="I1082" s="261"/>
      <c r="J1082" s="265" t="e">
        <f t="shared" si="55"/>
        <v>#REF!</v>
      </c>
      <c r="K1082" s="295"/>
      <c r="L1082" s="270"/>
      <c r="M1082" s="263"/>
      <c r="N1082" s="261"/>
      <c r="O1082" s="260"/>
    </row>
    <row r="1083" spans="1:15" ht="30">
      <c r="A1083" s="178" t="s">
        <v>118</v>
      </c>
      <c r="B1083" s="75" t="s">
        <v>250</v>
      </c>
      <c r="C1083" s="39" t="s">
        <v>17</v>
      </c>
      <c r="D1083" s="255"/>
      <c r="E1083" s="325" t="e">
        <f>#REF!</f>
        <v>#REF!</v>
      </c>
      <c r="F1083" s="325" t="e">
        <f>#REF!</f>
        <v>#REF!</v>
      </c>
      <c r="G1083" s="325" t="e">
        <f>#REF!</f>
        <v>#REF!</v>
      </c>
      <c r="H1083" s="325" t="e">
        <f t="shared" si="53"/>
        <v>#REF!</v>
      </c>
      <c r="I1083" s="260"/>
      <c r="J1083" s="265" t="e">
        <f t="shared" si="55"/>
        <v>#REF!</v>
      </c>
      <c r="K1083" s="294"/>
      <c r="L1083" s="271"/>
      <c r="M1083" s="264"/>
      <c r="N1083" s="260"/>
      <c r="O1083" s="260"/>
    </row>
    <row r="1084" spans="1:15" ht="30">
      <c r="A1084" s="178" t="s">
        <v>118</v>
      </c>
      <c r="B1084" s="75" t="s">
        <v>323</v>
      </c>
      <c r="C1084" s="39" t="s">
        <v>17</v>
      </c>
      <c r="D1084" s="255"/>
      <c r="E1084" s="325" t="e">
        <f>#REF!</f>
        <v>#REF!</v>
      </c>
      <c r="F1084" s="325" t="e">
        <f>#REF!</f>
        <v>#REF!</v>
      </c>
      <c r="G1084" s="325" t="e">
        <f>#REF!</f>
        <v>#REF!</v>
      </c>
      <c r="H1084" s="325" t="e">
        <f t="shared" si="53"/>
        <v>#REF!</v>
      </c>
      <c r="I1084" s="261"/>
      <c r="J1084" s="265" t="e">
        <f t="shared" si="55"/>
        <v>#REF!</v>
      </c>
      <c r="K1084" s="295"/>
      <c r="L1084" s="270"/>
      <c r="M1084" s="263"/>
      <c r="N1084" s="261"/>
      <c r="O1084" s="260"/>
    </row>
    <row r="1085" spans="1:15" ht="31.5">
      <c r="A1085" s="179" t="s">
        <v>118</v>
      </c>
      <c r="B1085" s="76"/>
      <c r="C1085" s="42"/>
      <c r="D1085" s="76"/>
      <c r="E1085" s="76"/>
      <c r="F1085" s="76"/>
      <c r="G1085" s="76"/>
      <c r="H1085" s="76"/>
      <c r="I1085" s="76"/>
      <c r="J1085" s="76"/>
      <c r="K1085" s="293" t="e">
        <f>SUM(J1068:J1084)</f>
        <v>#REF!</v>
      </c>
      <c r="L1085" s="284"/>
      <c r="M1085" s="76"/>
      <c r="N1085" s="76"/>
      <c r="O1085" s="76"/>
    </row>
    <row r="1086" spans="1:15" ht="17.25">
      <c r="A1086" s="178" t="s">
        <v>119</v>
      </c>
      <c r="B1086" s="75" t="s">
        <v>341</v>
      </c>
      <c r="C1086" s="39" t="s">
        <v>17</v>
      </c>
      <c r="D1086" s="255"/>
      <c r="E1086" s="325" t="e">
        <f>#REF!</f>
        <v>#REF!</v>
      </c>
      <c r="F1086" s="325" t="e">
        <f>#REF!</f>
        <v>#REF!</v>
      </c>
      <c r="G1086" s="325" t="e">
        <f>#REF!</f>
        <v>#REF!</v>
      </c>
      <c r="H1086" s="325" t="e">
        <f t="shared" si="53"/>
        <v>#REF!</v>
      </c>
      <c r="I1086" s="261"/>
      <c r="J1086" s="265" t="e">
        <f>I1086*H1086</f>
        <v>#REF!</v>
      </c>
      <c r="K1086" s="295"/>
      <c r="L1086" s="270"/>
      <c r="M1086" s="263"/>
      <c r="N1086" s="261"/>
      <c r="O1086" s="260"/>
    </row>
    <row r="1087" spans="1:15" ht="17.25">
      <c r="A1087" s="178" t="s">
        <v>119</v>
      </c>
      <c r="B1087" s="75" t="s">
        <v>252</v>
      </c>
      <c r="C1087" s="39" t="s">
        <v>17</v>
      </c>
      <c r="D1087" s="255"/>
      <c r="E1087" s="325" t="e">
        <f>#REF!</f>
        <v>#REF!</v>
      </c>
      <c r="F1087" s="325" t="e">
        <f>#REF!</f>
        <v>#REF!</v>
      </c>
      <c r="G1087" s="325" t="e">
        <f>#REF!</f>
        <v>#REF!</v>
      </c>
      <c r="H1087" s="325" t="e">
        <f t="shared" si="53"/>
        <v>#REF!</v>
      </c>
      <c r="I1087" s="260"/>
      <c r="J1087" s="265" t="e">
        <f t="shared" ref="J1087:J1092" si="56">I1087*H1087</f>
        <v>#REF!</v>
      </c>
      <c r="K1087" s="294"/>
      <c r="L1087" s="271"/>
      <c r="M1087" s="264"/>
      <c r="N1087" s="260"/>
      <c r="O1087" s="260"/>
    </row>
    <row r="1088" spans="1:15" ht="17.25">
      <c r="A1088" s="178" t="s">
        <v>119</v>
      </c>
      <c r="B1088" s="75" t="s">
        <v>1606</v>
      </c>
      <c r="C1088" s="39" t="s">
        <v>17</v>
      </c>
      <c r="D1088" s="255"/>
      <c r="E1088" s="325" t="e">
        <f>#REF!</f>
        <v>#REF!</v>
      </c>
      <c r="F1088" s="325" t="e">
        <f>#REF!</f>
        <v>#REF!</v>
      </c>
      <c r="G1088" s="325" t="e">
        <f>#REF!</f>
        <v>#REF!</v>
      </c>
      <c r="H1088" s="325" t="e">
        <f t="shared" si="53"/>
        <v>#REF!</v>
      </c>
      <c r="I1088" s="261"/>
      <c r="J1088" s="265" t="e">
        <f t="shared" si="56"/>
        <v>#REF!</v>
      </c>
      <c r="K1088" s="295"/>
      <c r="L1088" s="270"/>
      <c r="M1088" s="263"/>
      <c r="N1088" s="261"/>
      <c r="O1088" s="260"/>
    </row>
    <row r="1089" spans="1:15" ht="17.25">
      <c r="A1089" s="178" t="s">
        <v>119</v>
      </c>
      <c r="B1089" s="75" t="s">
        <v>1605</v>
      </c>
      <c r="C1089" s="39" t="s">
        <v>17</v>
      </c>
      <c r="D1089" s="255"/>
      <c r="E1089" s="325" t="e">
        <f>#REF!</f>
        <v>#REF!</v>
      </c>
      <c r="F1089" s="325" t="e">
        <f>#REF!</f>
        <v>#REF!</v>
      </c>
      <c r="G1089" s="325" t="e">
        <f>#REF!</f>
        <v>#REF!</v>
      </c>
      <c r="H1089" s="325" t="e">
        <f t="shared" si="53"/>
        <v>#REF!</v>
      </c>
      <c r="I1089" s="260"/>
      <c r="J1089" s="265" t="e">
        <f t="shared" si="56"/>
        <v>#REF!</v>
      </c>
      <c r="K1089" s="294"/>
      <c r="L1089" s="271"/>
      <c r="M1089" s="264"/>
      <c r="N1089" s="260"/>
      <c r="O1089" s="260"/>
    </row>
    <row r="1090" spans="1:15" ht="17.25">
      <c r="A1090" s="178" t="s">
        <v>119</v>
      </c>
      <c r="B1090" s="75" t="s">
        <v>256</v>
      </c>
      <c r="C1090" s="39" t="s">
        <v>17</v>
      </c>
      <c r="D1090" s="255"/>
      <c r="E1090" s="325" t="e">
        <f>#REF!</f>
        <v>#REF!</v>
      </c>
      <c r="F1090" s="325" t="e">
        <f>#REF!</f>
        <v>#REF!</v>
      </c>
      <c r="G1090" s="325" t="e">
        <f>#REF!</f>
        <v>#REF!</v>
      </c>
      <c r="H1090" s="325" t="e">
        <f t="shared" si="53"/>
        <v>#REF!</v>
      </c>
      <c r="I1090" s="261"/>
      <c r="J1090" s="265" t="e">
        <f t="shared" si="56"/>
        <v>#REF!</v>
      </c>
      <c r="K1090" s="295"/>
      <c r="L1090" s="270"/>
      <c r="M1090" s="263"/>
      <c r="N1090" s="261"/>
      <c r="O1090" s="260"/>
    </row>
    <row r="1091" spans="1:15" ht="17.25">
      <c r="A1091" s="178" t="s">
        <v>119</v>
      </c>
      <c r="B1091" s="75" t="s">
        <v>324</v>
      </c>
      <c r="C1091" s="39" t="s">
        <v>17</v>
      </c>
      <c r="D1091" s="255"/>
      <c r="E1091" s="325" t="e">
        <f>#REF!</f>
        <v>#REF!</v>
      </c>
      <c r="F1091" s="325" t="e">
        <f>#REF!</f>
        <v>#REF!</v>
      </c>
      <c r="G1091" s="325" t="e">
        <f>#REF!</f>
        <v>#REF!</v>
      </c>
      <c r="H1091" s="325" t="e">
        <f t="shared" si="53"/>
        <v>#REF!</v>
      </c>
      <c r="I1091" s="260"/>
      <c r="J1091" s="265" t="e">
        <f t="shared" si="56"/>
        <v>#REF!</v>
      </c>
      <c r="K1091" s="294"/>
      <c r="L1091" s="271"/>
      <c r="M1091" s="264"/>
      <c r="N1091" s="260"/>
      <c r="O1091" s="260"/>
    </row>
    <row r="1092" spans="1:15" ht="17.25">
      <c r="A1092" s="178" t="s">
        <v>119</v>
      </c>
      <c r="B1092" s="75" t="s">
        <v>257</v>
      </c>
      <c r="C1092" s="39" t="s">
        <v>17</v>
      </c>
      <c r="D1092" s="255"/>
      <c r="E1092" s="325" t="e">
        <f>#REF!</f>
        <v>#REF!</v>
      </c>
      <c r="F1092" s="325" t="e">
        <f>#REF!</f>
        <v>#REF!</v>
      </c>
      <c r="G1092" s="325" t="e">
        <f>#REF!</f>
        <v>#REF!</v>
      </c>
      <c r="H1092" s="325" t="e">
        <f t="shared" si="53"/>
        <v>#REF!</v>
      </c>
      <c r="I1092" s="261"/>
      <c r="J1092" s="265" t="e">
        <f t="shared" si="56"/>
        <v>#REF!</v>
      </c>
      <c r="K1092" s="295"/>
      <c r="L1092" s="270"/>
      <c r="M1092" s="263"/>
      <c r="N1092" s="261"/>
      <c r="O1092" s="260"/>
    </row>
    <row r="1093" spans="1:15" ht="17.25">
      <c r="A1093" s="179" t="s">
        <v>119</v>
      </c>
      <c r="B1093" s="76"/>
      <c r="C1093" s="42"/>
      <c r="D1093" s="269"/>
      <c r="E1093" s="269"/>
      <c r="F1093" s="269"/>
      <c r="G1093" s="269"/>
      <c r="H1093" s="269"/>
      <c r="I1093" s="269"/>
      <c r="J1093" s="269"/>
      <c r="K1093" s="296" t="e">
        <f>SUM(J1086:J1092)</f>
        <v>#REF!</v>
      </c>
      <c r="L1093" s="283"/>
      <c r="M1093" s="269"/>
      <c r="N1093" s="269"/>
      <c r="O1093" s="260"/>
    </row>
    <row r="1094" spans="1:15" ht="17.25">
      <c r="A1094" s="178" t="s">
        <v>120</v>
      </c>
      <c r="B1094" s="75" t="s">
        <v>392</v>
      </c>
      <c r="C1094" s="39" t="s">
        <v>208</v>
      </c>
      <c r="D1094" s="255">
        <v>100</v>
      </c>
      <c r="E1094" s="325" t="e">
        <f>#REF!</f>
        <v>#REF!</v>
      </c>
      <c r="F1094" s="325" t="e">
        <f>#REF!</f>
        <v>#REF!</v>
      </c>
      <c r="G1094" s="325" t="e">
        <f>#REF!</f>
        <v>#REF!</v>
      </c>
      <c r="H1094" s="325" t="e">
        <f t="shared" si="53"/>
        <v>#REF!</v>
      </c>
      <c r="I1094" s="265">
        <v>63.84</v>
      </c>
      <c r="J1094" s="265" t="e">
        <f>I1094*H1094</f>
        <v>#REF!</v>
      </c>
      <c r="K1094" s="307"/>
      <c r="L1094" s="280">
        <v>42727</v>
      </c>
      <c r="M1094" s="308" t="s">
        <v>15</v>
      </c>
      <c r="N1094" s="254" t="s">
        <v>342</v>
      </c>
      <c r="O1094" s="314" t="s">
        <v>1642</v>
      </c>
    </row>
    <row r="1095" spans="1:15" ht="17.25">
      <c r="A1095" s="178" t="s">
        <v>120</v>
      </c>
      <c r="B1095" s="75" t="s">
        <v>393</v>
      </c>
      <c r="C1095" s="39" t="s">
        <v>208</v>
      </c>
      <c r="D1095" s="255"/>
      <c r="E1095" s="325" t="e">
        <f>#REF!</f>
        <v>#REF!</v>
      </c>
      <c r="F1095" s="325" t="e">
        <f>#REF!</f>
        <v>#REF!</v>
      </c>
      <c r="G1095" s="325" t="e">
        <f>#REF!</f>
        <v>#REF!</v>
      </c>
      <c r="H1095" s="325" t="e">
        <f t="shared" si="53"/>
        <v>#REF!</v>
      </c>
      <c r="I1095" s="266"/>
      <c r="J1095" s="265" t="e">
        <f t="shared" ref="J1095:J1107" si="57">I1095*H1095</f>
        <v>#REF!</v>
      </c>
      <c r="K1095" s="306"/>
      <c r="L1095" s="280"/>
      <c r="M1095" s="309"/>
      <c r="N1095" s="260"/>
      <c r="O1095" s="260"/>
    </row>
    <row r="1096" spans="1:15" ht="17.25">
      <c r="A1096" s="178" t="s">
        <v>120</v>
      </c>
      <c r="B1096" s="75" t="s">
        <v>743</v>
      </c>
      <c r="C1096" s="39" t="s">
        <v>208</v>
      </c>
      <c r="D1096" s="255"/>
      <c r="E1096" s="325" t="e">
        <f>#REF!</f>
        <v>#REF!</v>
      </c>
      <c r="F1096" s="325" t="e">
        <f>#REF!</f>
        <v>#REF!</v>
      </c>
      <c r="G1096" s="325" t="e">
        <f>#REF!</f>
        <v>#REF!</v>
      </c>
      <c r="H1096" s="325" t="e">
        <f t="shared" si="53"/>
        <v>#REF!</v>
      </c>
      <c r="I1096" s="265"/>
      <c r="J1096" s="265" t="e">
        <f t="shared" si="57"/>
        <v>#REF!</v>
      </c>
      <c r="K1096" s="307"/>
      <c r="L1096" s="310"/>
      <c r="M1096" s="308"/>
      <c r="N1096" s="261"/>
      <c r="O1096" s="260"/>
    </row>
    <row r="1097" spans="1:15" ht="17.25">
      <c r="A1097" s="178" t="s">
        <v>120</v>
      </c>
      <c r="B1097" s="75" t="s">
        <v>398</v>
      </c>
      <c r="C1097" s="39" t="s">
        <v>208</v>
      </c>
      <c r="D1097" s="255"/>
      <c r="E1097" s="325" t="e">
        <f>#REF!</f>
        <v>#REF!</v>
      </c>
      <c r="F1097" s="325" t="e">
        <f>#REF!</f>
        <v>#REF!</v>
      </c>
      <c r="G1097" s="325" t="e">
        <f>#REF!</f>
        <v>#REF!</v>
      </c>
      <c r="H1097" s="325" t="e">
        <f t="shared" si="53"/>
        <v>#REF!</v>
      </c>
      <c r="I1097" s="266"/>
      <c r="J1097" s="265" t="e">
        <f t="shared" si="57"/>
        <v>#REF!</v>
      </c>
      <c r="K1097" s="306"/>
      <c r="L1097" s="280"/>
      <c r="M1097" s="309"/>
      <c r="N1097" s="260"/>
      <c r="O1097" s="260"/>
    </row>
    <row r="1098" spans="1:15" ht="17.25">
      <c r="A1098" s="178" t="s">
        <v>120</v>
      </c>
      <c r="B1098" s="75" t="s">
        <v>253</v>
      </c>
      <c r="C1098" s="39" t="s">
        <v>208</v>
      </c>
      <c r="D1098" s="255"/>
      <c r="E1098" s="325" t="e">
        <f>#REF!</f>
        <v>#REF!</v>
      </c>
      <c r="F1098" s="325" t="e">
        <f>#REF!</f>
        <v>#REF!</v>
      </c>
      <c r="G1098" s="325" t="e">
        <f>#REF!</f>
        <v>#REF!</v>
      </c>
      <c r="H1098" s="325" t="e">
        <f t="shared" si="53"/>
        <v>#REF!</v>
      </c>
      <c r="I1098" s="265"/>
      <c r="J1098" s="265" t="e">
        <f t="shared" si="57"/>
        <v>#REF!</v>
      </c>
      <c r="K1098" s="307"/>
      <c r="L1098" s="310"/>
      <c r="M1098" s="308"/>
      <c r="N1098" s="261"/>
      <c r="O1098" s="260"/>
    </row>
    <row r="1099" spans="1:15" ht="17.25">
      <c r="A1099" s="178" t="s">
        <v>120</v>
      </c>
      <c r="B1099" s="75" t="s">
        <v>402</v>
      </c>
      <c r="C1099" s="39" t="s">
        <v>17</v>
      </c>
      <c r="D1099" s="255">
        <v>100</v>
      </c>
      <c r="E1099" s="325" t="e">
        <f>#REF!</f>
        <v>#REF!</v>
      </c>
      <c r="F1099" s="325" t="e">
        <f>#REF!</f>
        <v>#REF!</v>
      </c>
      <c r="G1099" s="325" t="e">
        <f>#REF!</f>
        <v>#REF!</v>
      </c>
      <c r="H1099" s="325" t="e">
        <f t="shared" si="53"/>
        <v>#REF!</v>
      </c>
      <c r="I1099" s="266">
        <v>166.1</v>
      </c>
      <c r="J1099" s="265" t="e">
        <f t="shared" si="57"/>
        <v>#REF!</v>
      </c>
      <c r="K1099" s="306"/>
      <c r="L1099" s="280">
        <v>42727</v>
      </c>
      <c r="M1099" s="309" t="s">
        <v>15</v>
      </c>
      <c r="N1099" s="254" t="s">
        <v>342</v>
      </c>
      <c r="O1099" s="314" t="s">
        <v>1642</v>
      </c>
    </row>
    <row r="1100" spans="1:15" ht="17.25">
      <c r="A1100" s="178" t="s">
        <v>120</v>
      </c>
      <c r="B1100" s="75" t="s">
        <v>260</v>
      </c>
      <c r="C1100" s="39" t="s">
        <v>17</v>
      </c>
      <c r="D1100" s="255"/>
      <c r="E1100" s="325" t="e">
        <f>#REF!</f>
        <v>#REF!</v>
      </c>
      <c r="F1100" s="325" t="e">
        <f>#REF!</f>
        <v>#REF!</v>
      </c>
      <c r="G1100" s="325" t="e">
        <f>#REF!</f>
        <v>#REF!</v>
      </c>
      <c r="H1100" s="325" t="e">
        <f t="shared" si="53"/>
        <v>#REF!</v>
      </c>
      <c r="I1100" s="265"/>
      <c r="J1100" s="265" t="e">
        <f t="shared" si="57"/>
        <v>#REF!</v>
      </c>
      <c r="K1100" s="307"/>
      <c r="L1100" s="310"/>
      <c r="M1100" s="308"/>
      <c r="N1100" s="261"/>
      <c r="O1100" s="260"/>
    </row>
    <row r="1101" spans="1:15" ht="17.25">
      <c r="A1101" s="180" t="s">
        <v>120</v>
      </c>
      <c r="B1101" s="75" t="s">
        <v>239</v>
      </c>
      <c r="C1101" s="70" t="s">
        <v>208</v>
      </c>
      <c r="D1101" s="255">
        <v>100</v>
      </c>
      <c r="E1101" s="325" t="e">
        <f>#REF!</f>
        <v>#REF!</v>
      </c>
      <c r="F1101" s="325" t="e">
        <f>#REF!</f>
        <v>#REF!</v>
      </c>
      <c r="G1101" s="325" t="e">
        <f>#REF!</f>
        <v>#REF!</v>
      </c>
      <c r="H1101" s="325" t="e">
        <f t="shared" si="53"/>
        <v>#REF!</v>
      </c>
      <c r="I1101" s="266">
        <v>21.83</v>
      </c>
      <c r="J1101" s="265" t="e">
        <f t="shared" si="57"/>
        <v>#REF!</v>
      </c>
      <c r="K1101" s="306"/>
      <c r="L1101" s="280">
        <v>42727</v>
      </c>
      <c r="M1101" s="309" t="s">
        <v>15</v>
      </c>
      <c r="N1101" s="254" t="s">
        <v>342</v>
      </c>
      <c r="O1101" s="314" t="s">
        <v>1642</v>
      </c>
    </row>
    <row r="1102" spans="1:15" ht="17.25">
      <c r="A1102" s="178" t="s">
        <v>120</v>
      </c>
      <c r="B1102" s="75" t="s">
        <v>414</v>
      </c>
      <c r="C1102" s="39" t="s">
        <v>417</v>
      </c>
      <c r="D1102" s="255"/>
      <c r="E1102" s="325" t="e">
        <f>#REF!</f>
        <v>#REF!</v>
      </c>
      <c r="F1102" s="325" t="e">
        <f>#REF!</f>
        <v>#REF!</v>
      </c>
      <c r="G1102" s="325" t="e">
        <f>#REF!</f>
        <v>#REF!</v>
      </c>
      <c r="H1102" s="325" t="e">
        <f t="shared" si="53"/>
        <v>#REF!</v>
      </c>
      <c r="I1102" s="261"/>
      <c r="J1102" s="265" t="e">
        <f t="shared" si="57"/>
        <v>#REF!</v>
      </c>
      <c r="K1102" s="295"/>
      <c r="L1102" s="270"/>
      <c r="M1102" s="263"/>
      <c r="N1102" s="261"/>
      <c r="O1102" s="260"/>
    </row>
    <row r="1103" spans="1:15" ht="17.25">
      <c r="A1103" s="180" t="s">
        <v>120</v>
      </c>
      <c r="B1103" s="75" t="s">
        <v>240</v>
      </c>
      <c r="C1103" s="70" t="s">
        <v>208</v>
      </c>
      <c r="D1103" s="255"/>
      <c r="E1103" s="325" t="e">
        <f>#REF!</f>
        <v>#REF!</v>
      </c>
      <c r="F1103" s="325" t="e">
        <f>#REF!</f>
        <v>#REF!</v>
      </c>
      <c r="G1103" s="325" t="e">
        <f>#REF!</f>
        <v>#REF!</v>
      </c>
      <c r="H1103" s="325" t="e">
        <f t="shared" si="53"/>
        <v>#REF!</v>
      </c>
      <c r="I1103" s="260"/>
      <c r="J1103" s="265" t="e">
        <f t="shared" si="57"/>
        <v>#REF!</v>
      </c>
      <c r="K1103" s="294"/>
      <c r="L1103" s="271"/>
      <c r="M1103" s="264"/>
      <c r="N1103" s="260"/>
      <c r="O1103" s="260"/>
    </row>
    <row r="1104" spans="1:15" ht="17.25">
      <c r="A1104" s="178" t="s">
        <v>120</v>
      </c>
      <c r="B1104" s="75" t="s">
        <v>748</v>
      </c>
      <c r="C1104" s="39" t="s">
        <v>17</v>
      </c>
      <c r="D1104" s="255"/>
      <c r="E1104" s="325" t="e">
        <f>#REF!</f>
        <v>#REF!</v>
      </c>
      <c r="F1104" s="325" t="e">
        <f>#REF!</f>
        <v>#REF!</v>
      </c>
      <c r="G1104" s="325" t="e">
        <f>#REF!</f>
        <v>#REF!</v>
      </c>
      <c r="H1104" s="325" t="e">
        <f t="shared" si="53"/>
        <v>#REF!</v>
      </c>
      <c r="I1104" s="261"/>
      <c r="J1104" s="265" t="e">
        <f t="shared" si="57"/>
        <v>#REF!</v>
      </c>
      <c r="K1104" s="295"/>
      <c r="L1104" s="270"/>
      <c r="M1104" s="263"/>
      <c r="N1104" s="261"/>
      <c r="O1104" s="260"/>
    </row>
    <row r="1105" spans="1:15" ht="17.25">
      <c r="A1105" s="178" t="s">
        <v>120</v>
      </c>
      <c r="B1105" s="75" t="s">
        <v>263</v>
      </c>
      <c r="C1105" s="39" t="s">
        <v>17</v>
      </c>
      <c r="D1105" s="255"/>
      <c r="E1105" s="325" t="e">
        <f>#REF!</f>
        <v>#REF!</v>
      </c>
      <c r="F1105" s="325" t="e">
        <f>#REF!</f>
        <v>#REF!</v>
      </c>
      <c r="G1105" s="325" t="e">
        <f>#REF!</f>
        <v>#REF!</v>
      </c>
      <c r="H1105" s="325" t="e">
        <f t="shared" si="53"/>
        <v>#REF!</v>
      </c>
      <c r="I1105" s="260"/>
      <c r="J1105" s="265" t="e">
        <f t="shared" si="57"/>
        <v>#REF!</v>
      </c>
      <c r="K1105" s="294"/>
      <c r="L1105" s="271"/>
      <c r="M1105" s="264"/>
      <c r="N1105" s="260"/>
      <c r="O1105" s="260"/>
    </row>
    <row r="1106" spans="1:15" ht="17.25">
      <c r="A1106" s="178" t="s">
        <v>120</v>
      </c>
      <c r="B1106" s="75" t="s">
        <v>749</v>
      </c>
      <c r="C1106" s="39" t="s">
        <v>17</v>
      </c>
      <c r="D1106" s="255"/>
      <c r="E1106" s="325" t="e">
        <f>#REF!</f>
        <v>#REF!</v>
      </c>
      <c r="F1106" s="325" t="e">
        <f>#REF!</f>
        <v>#REF!</v>
      </c>
      <c r="G1106" s="325" t="e">
        <f>#REF!</f>
        <v>#REF!</v>
      </c>
      <c r="H1106" s="325" t="e">
        <f t="shared" si="53"/>
        <v>#REF!</v>
      </c>
      <c r="I1106" s="261"/>
      <c r="J1106" s="265" t="e">
        <f t="shared" si="57"/>
        <v>#REF!</v>
      </c>
      <c r="K1106" s="295"/>
      <c r="L1106" s="270"/>
      <c r="M1106" s="263"/>
      <c r="N1106" s="261"/>
      <c r="O1106" s="260"/>
    </row>
    <row r="1107" spans="1:15" ht="17.25">
      <c r="A1107" s="178" t="s">
        <v>120</v>
      </c>
      <c r="B1107" s="75" t="s">
        <v>750</v>
      </c>
      <c r="C1107" s="39" t="s">
        <v>17</v>
      </c>
      <c r="D1107" s="255"/>
      <c r="E1107" s="325" t="e">
        <f>#REF!</f>
        <v>#REF!</v>
      </c>
      <c r="F1107" s="325" t="e">
        <f>#REF!</f>
        <v>#REF!</v>
      </c>
      <c r="G1107" s="325" t="e">
        <f>#REF!</f>
        <v>#REF!</v>
      </c>
      <c r="H1107" s="325" t="e">
        <f t="shared" si="53"/>
        <v>#REF!</v>
      </c>
      <c r="I1107" s="260"/>
      <c r="J1107" s="265" t="e">
        <f t="shared" si="57"/>
        <v>#REF!</v>
      </c>
      <c r="K1107" s="294"/>
      <c r="L1107" s="271"/>
      <c r="M1107" s="264"/>
      <c r="N1107" s="260"/>
      <c r="O1107" s="260"/>
    </row>
    <row r="1108" spans="1:15" ht="31.5">
      <c r="A1108" s="178" t="s">
        <v>120</v>
      </c>
      <c r="B1108" s="75" t="s">
        <v>403</v>
      </c>
      <c r="C1108" s="39" t="s">
        <v>416</v>
      </c>
      <c r="D1108" s="304">
        <v>2</v>
      </c>
      <c r="E1108" s="325" t="e">
        <f>#REF!</f>
        <v>#REF!</v>
      </c>
      <c r="F1108" s="325" t="e">
        <f>#REF!</f>
        <v>#REF!</v>
      </c>
      <c r="G1108" s="325" t="e">
        <f>#REF!</f>
        <v>#REF!</v>
      </c>
      <c r="H1108" s="325" t="e">
        <f t="shared" si="53"/>
        <v>#REF!</v>
      </c>
      <c r="I1108" s="305">
        <v>33.9</v>
      </c>
      <c r="J1108" s="314">
        <f>I1108*D1108</f>
        <v>67.8</v>
      </c>
      <c r="K1108" s="311"/>
      <c r="L1108" s="312">
        <v>42386</v>
      </c>
      <c r="M1108" s="308" t="s">
        <v>1663</v>
      </c>
      <c r="N1108" s="254" t="s">
        <v>342</v>
      </c>
      <c r="O1108" s="314" t="s">
        <v>1642</v>
      </c>
    </row>
    <row r="1109" spans="1:15" ht="17.25">
      <c r="A1109" s="178" t="s">
        <v>120</v>
      </c>
      <c r="B1109" s="75" t="s">
        <v>744</v>
      </c>
      <c r="C1109" s="39" t="s">
        <v>17</v>
      </c>
      <c r="D1109" s="255"/>
      <c r="E1109" s="325" t="e">
        <f>#REF!</f>
        <v>#REF!</v>
      </c>
      <c r="F1109" s="325" t="e">
        <f>#REF!</f>
        <v>#REF!</v>
      </c>
      <c r="G1109" s="325" t="e">
        <f>#REF!</f>
        <v>#REF!</v>
      </c>
      <c r="H1109" s="325" t="e">
        <f t="shared" si="53"/>
        <v>#REF!</v>
      </c>
      <c r="I1109" s="260"/>
      <c r="J1109" s="266" t="e">
        <f>I1109*H1109</f>
        <v>#REF!</v>
      </c>
      <c r="K1109" s="294"/>
      <c r="L1109" s="271"/>
      <c r="M1109" s="264"/>
      <c r="N1109" s="260"/>
      <c r="O1109" s="260"/>
    </row>
    <row r="1110" spans="1:15" ht="17.25">
      <c r="A1110" s="178" t="s">
        <v>120</v>
      </c>
      <c r="B1110" s="75" t="s">
        <v>264</v>
      </c>
      <c r="C1110" s="39" t="s">
        <v>17</v>
      </c>
      <c r="D1110" s="255"/>
      <c r="E1110" s="325" t="e">
        <f>#REF!</f>
        <v>#REF!</v>
      </c>
      <c r="F1110" s="325" t="e">
        <f>#REF!</f>
        <v>#REF!</v>
      </c>
      <c r="G1110" s="325" t="e">
        <f>#REF!</f>
        <v>#REF!</v>
      </c>
      <c r="H1110" s="325" t="e">
        <f t="shared" si="53"/>
        <v>#REF!</v>
      </c>
      <c r="I1110" s="261"/>
      <c r="J1110" s="266" t="e">
        <f>I1110*H1110</f>
        <v>#REF!</v>
      </c>
      <c r="K1110" s="295"/>
      <c r="L1110" s="270"/>
      <c r="M1110" s="263"/>
      <c r="N1110" s="261"/>
      <c r="O1110" s="260"/>
    </row>
    <row r="1111" spans="1:15" ht="17.25">
      <c r="A1111" s="178" t="s">
        <v>120</v>
      </c>
      <c r="B1111" s="75" t="s">
        <v>745</v>
      </c>
      <c r="C1111" s="39" t="s">
        <v>208</v>
      </c>
      <c r="D1111" s="255"/>
      <c r="E1111" s="325" t="e">
        <f>#REF!</f>
        <v>#REF!</v>
      </c>
      <c r="F1111" s="325" t="e">
        <f>#REF!</f>
        <v>#REF!</v>
      </c>
      <c r="G1111" s="325" t="e">
        <f>#REF!</f>
        <v>#REF!</v>
      </c>
      <c r="H1111" s="325" t="e">
        <f t="shared" si="53"/>
        <v>#REF!</v>
      </c>
      <c r="I1111" s="260"/>
      <c r="J1111" s="266" t="e">
        <f>I1111*H1111</f>
        <v>#REF!</v>
      </c>
      <c r="K1111" s="294"/>
      <c r="L1111" s="271"/>
      <c r="M1111" s="264"/>
      <c r="N1111" s="260"/>
      <c r="O1111" s="260"/>
    </row>
    <row r="1112" spans="1:15" ht="31.5">
      <c r="A1112" s="178" t="s">
        <v>120</v>
      </c>
      <c r="B1112" s="75" t="s">
        <v>760</v>
      </c>
      <c r="C1112" s="39" t="s">
        <v>208</v>
      </c>
      <c r="D1112" s="304">
        <v>400</v>
      </c>
      <c r="E1112" s="325" t="e">
        <f>#REF!</f>
        <v>#REF!</v>
      </c>
      <c r="F1112" s="325" t="e">
        <f>#REF!</f>
        <v>#REF!</v>
      </c>
      <c r="G1112" s="325" t="e">
        <f>#REF!</f>
        <v>#REF!</v>
      </c>
      <c r="H1112" s="325" t="e">
        <f t="shared" si="53"/>
        <v>#REF!</v>
      </c>
      <c r="I1112" s="305">
        <v>246.77</v>
      </c>
      <c r="J1112" s="314">
        <f>I1112*D1112</f>
        <v>98708</v>
      </c>
      <c r="K1112" s="311"/>
      <c r="L1112" s="312">
        <v>42402</v>
      </c>
      <c r="M1112" s="308" t="s">
        <v>1663</v>
      </c>
      <c r="N1112" s="254" t="s">
        <v>342</v>
      </c>
      <c r="O1112" s="314" t="s">
        <v>1642</v>
      </c>
    </row>
    <row r="1113" spans="1:15" ht="17.25">
      <c r="A1113" s="178" t="s">
        <v>120</v>
      </c>
      <c r="B1113" s="75" t="s">
        <v>761</v>
      </c>
      <c r="C1113" s="39" t="s">
        <v>208</v>
      </c>
      <c r="D1113" s="255"/>
      <c r="E1113" s="325" t="e">
        <f>#REF!</f>
        <v>#REF!</v>
      </c>
      <c r="F1113" s="325" t="e">
        <f>#REF!</f>
        <v>#REF!</v>
      </c>
      <c r="G1113" s="325" t="e">
        <f>#REF!</f>
        <v>#REF!</v>
      </c>
      <c r="H1113" s="325" t="e">
        <f t="shared" ref="H1113:H1177" si="58">G1113+F1113+E1113+D1113</f>
        <v>#REF!</v>
      </c>
      <c r="I1113" s="260"/>
      <c r="J1113" s="266" t="e">
        <f>I1113*H1113</f>
        <v>#REF!</v>
      </c>
      <c r="K1113" s="294"/>
      <c r="L1113" s="271"/>
      <c r="M1113" s="264"/>
      <c r="N1113" s="260"/>
      <c r="O1113" s="260"/>
    </row>
    <row r="1114" spans="1:15" ht="17.25">
      <c r="A1114" s="178" t="s">
        <v>120</v>
      </c>
      <c r="B1114" s="75" t="s">
        <v>399</v>
      </c>
      <c r="C1114" s="39" t="s">
        <v>208</v>
      </c>
      <c r="D1114" s="255"/>
      <c r="E1114" s="325" t="e">
        <f>#REF!</f>
        <v>#REF!</v>
      </c>
      <c r="F1114" s="325" t="e">
        <f>#REF!</f>
        <v>#REF!</v>
      </c>
      <c r="G1114" s="325" t="e">
        <f>#REF!</f>
        <v>#REF!</v>
      </c>
      <c r="H1114" s="325" t="e">
        <f t="shared" si="58"/>
        <v>#REF!</v>
      </c>
      <c r="I1114" s="261"/>
      <c r="J1114" s="265" t="e">
        <f>I1114*H1114</f>
        <v>#REF!</v>
      </c>
      <c r="K1114" s="295"/>
      <c r="L1114" s="270"/>
      <c r="M1114" s="263"/>
      <c r="N1114" s="261"/>
      <c r="O1114" s="260"/>
    </row>
    <row r="1115" spans="1:15" ht="31.5">
      <c r="A1115" s="178" t="s">
        <v>120</v>
      </c>
      <c r="B1115" s="75" t="s">
        <v>400</v>
      </c>
      <c r="C1115" s="39" t="s">
        <v>208</v>
      </c>
      <c r="D1115" s="304">
        <v>3500</v>
      </c>
      <c r="E1115" s="325" t="e">
        <f>#REF!</f>
        <v>#REF!</v>
      </c>
      <c r="F1115" s="325" t="e">
        <f>#REF!</f>
        <v>#REF!</v>
      </c>
      <c r="G1115" s="325" t="e">
        <f>#REF!</f>
        <v>#REF!</v>
      </c>
      <c r="H1115" s="325" t="e">
        <f t="shared" si="58"/>
        <v>#REF!</v>
      </c>
      <c r="I1115" s="314">
        <v>5.6</v>
      </c>
      <c r="J1115" s="314">
        <f>I1115*D1115</f>
        <v>19600</v>
      </c>
      <c r="K1115" s="315"/>
      <c r="L1115" s="316">
        <v>42417</v>
      </c>
      <c r="M1115" s="308" t="s">
        <v>1663</v>
      </c>
      <c r="N1115" s="254" t="s">
        <v>342</v>
      </c>
      <c r="O1115" s="314" t="s">
        <v>1642</v>
      </c>
    </row>
    <row r="1116" spans="1:15" ht="25.5">
      <c r="A1116" s="178" t="s">
        <v>120</v>
      </c>
      <c r="B1116" s="75" t="s">
        <v>395</v>
      </c>
      <c r="C1116" s="39" t="s">
        <v>208</v>
      </c>
      <c r="D1116" s="255"/>
      <c r="E1116" s="325" t="e">
        <f>#REF!</f>
        <v>#REF!</v>
      </c>
      <c r="F1116" s="325" t="e">
        <f>#REF!</f>
        <v>#REF!</v>
      </c>
      <c r="G1116" s="325" t="e">
        <f>#REF!</f>
        <v>#REF!</v>
      </c>
      <c r="H1116" s="325" t="e">
        <f t="shared" si="58"/>
        <v>#REF!</v>
      </c>
      <c r="I1116" s="261"/>
      <c r="J1116" s="265" t="e">
        <f>I1116*H1116</f>
        <v>#REF!</v>
      </c>
      <c r="K1116" s="295"/>
      <c r="L1116" s="270"/>
      <c r="M1116" s="263"/>
      <c r="N1116" s="261"/>
      <c r="O1116" s="260"/>
    </row>
    <row r="1117" spans="1:15" ht="17.25">
      <c r="A1117" s="178" t="s">
        <v>120</v>
      </c>
      <c r="B1117" s="75" t="s">
        <v>746</v>
      </c>
      <c r="C1117" s="39" t="s">
        <v>17</v>
      </c>
      <c r="D1117" s="255"/>
      <c r="E1117" s="325" t="e">
        <f>#REF!</f>
        <v>#REF!</v>
      </c>
      <c r="F1117" s="325" t="e">
        <f>#REF!</f>
        <v>#REF!</v>
      </c>
      <c r="G1117" s="325" t="e">
        <f>#REF!</f>
        <v>#REF!</v>
      </c>
      <c r="H1117" s="325" t="e">
        <f t="shared" si="58"/>
        <v>#REF!</v>
      </c>
      <c r="I1117" s="260"/>
      <c r="J1117" s="265" t="e">
        <f>I1117*H1117</f>
        <v>#REF!</v>
      </c>
      <c r="K1117" s="294"/>
      <c r="L1117" s="271"/>
      <c r="M1117" s="264"/>
      <c r="N1117" s="260"/>
      <c r="O1117" s="260"/>
    </row>
    <row r="1118" spans="1:15" ht="17.25">
      <c r="A1118" s="178" t="s">
        <v>120</v>
      </c>
      <c r="B1118" s="75" t="s">
        <v>747</v>
      </c>
      <c r="C1118" s="39" t="s">
        <v>17</v>
      </c>
      <c r="D1118" s="255"/>
      <c r="E1118" s="325" t="e">
        <f>#REF!</f>
        <v>#REF!</v>
      </c>
      <c r="F1118" s="325" t="e">
        <f>#REF!</f>
        <v>#REF!</v>
      </c>
      <c r="G1118" s="325" t="e">
        <f>#REF!</f>
        <v>#REF!</v>
      </c>
      <c r="H1118" s="325" t="e">
        <f t="shared" si="58"/>
        <v>#REF!</v>
      </c>
      <c r="I1118" s="261"/>
      <c r="J1118" s="265" t="e">
        <f>I1118*H1118</f>
        <v>#REF!</v>
      </c>
      <c r="K1118" s="295"/>
      <c r="L1118" s="270"/>
      <c r="M1118" s="263"/>
      <c r="N1118" s="261"/>
      <c r="O1118" s="260"/>
    </row>
    <row r="1119" spans="1:15" ht="31.5">
      <c r="A1119" s="178" t="s">
        <v>120</v>
      </c>
      <c r="B1119" s="75" t="s">
        <v>396</v>
      </c>
      <c r="C1119" s="39" t="s">
        <v>208</v>
      </c>
      <c r="D1119" s="255">
        <v>400</v>
      </c>
      <c r="E1119" s="325" t="e">
        <f>#REF!</f>
        <v>#REF!</v>
      </c>
      <c r="F1119" s="325" t="e">
        <f>#REF!</f>
        <v>#REF!</v>
      </c>
      <c r="G1119" s="325" t="e">
        <f>#REF!</f>
        <v>#REF!</v>
      </c>
      <c r="H1119" s="325" t="e">
        <f t="shared" si="58"/>
        <v>#REF!</v>
      </c>
      <c r="I1119" s="266">
        <v>125</v>
      </c>
      <c r="J1119" s="266">
        <f>I1119*D1119</f>
        <v>50000</v>
      </c>
      <c r="K1119" s="306"/>
      <c r="L1119" s="280">
        <v>42409</v>
      </c>
      <c r="M1119" s="308" t="s">
        <v>1663</v>
      </c>
      <c r="N1119" s="254" t="s">
        <v>342</v>
      </c>
      <c r="O1119" s="266" t="s">
        <v>1642</v>
      </c>
    </row>
    <row r="1120" spans="1:15" ht="17.25">
      <c r="A1120" s="178" t="s">
        <v>120</v>
      </c>
      <c r="B1120" s="75" t="s">
        <v>397</v>
      </c>
      <c r="C1120" s="39" t="s">
        <v>208</v>
      </c>
      <c r="D1120" s="255"/>
      <c r="E1120" s="325" t="e">
        <f>#REF!</f>
        <v>#REF!</v>
      </c>
      <c r="F1120" s="325" t="e">
        <f>#REF!</f>
        <v>#REF!</v>
      </c>
      <c r="G1120" s="325" t="e">
        <f>#REF!</f>
        <v>#REF!</v>
      </c>
      <c r="H1120" s="325" t="e">
        <f t="shared" si="58"/>
        <v>#REF!</v>
      </c>
      <c r="I1120" s="261"/>
      <c r="J1120" s="265" t="e">
        <f>I1120*H1120</f>
        <v>#REF!</v>
      </c>
      <c r="K1120" s="295"/>
      <c r="L1120" s="270"/>
      <c r="M1120" s="263"/>
      <c r="N1120" s="261"/>
      <c r="O1120" s="260"/>
    </row>
    <row r="1121" spans="1:15" ht="31.5">
      <c r="A1121" s="178" t="s">
        <v>120</v>
      </c>
      <c r="B1121" s="75" t="s">
        <v>404</v>
      </c>
      <c r="C1121" s="39" t="s">
        <v>255</v>
      </c>
      <c r="D1121" s="304">
        <v>300</v>
      </c>
      <c r="E1121" s="325" t="e">
        <f>#REF!</f>
        <v>#REF!</v>
      </c>
      <c r="F1121" s="325" t="e">
        <f>#REF!</f>
        <v>#REF!</v>
      </c>
      <c r="G1121" s="325" t="e">
        <f>#REF!</f>
        <v>#REF!</v>
      </c>
      <c r="H1121" s="325" t="e">
        <f t="shared" si="58"/>
        <v>#REF!</v>
      </c>
      <c r="I1121" s="314">
        <v>29.42</v>
      </c>
      <c r="J1121" s="314">
        <f>I1121*D1121</f>
        <v>8826</v>
      </c>
      <c r="K1121" s="315"/>
      <c r="L1121" s="316">
        <v>42440</v>
      </c>
      <c r="M1121" s="308" t="s">
        <v>1663</v>
      </c>
      <c r="N1121" s="254" t="s">
        <v>342</v>
      </c>
      <c r="O1121" s="314" t="s">
        <v>1642</v>
      </c>
    </row>
    <row r="1122" spans="1:15" ht="17.25">
      <c r="A1122" s="178" t="s">
        <v>120</v>
      </c>
      <c r="B1122" s="75" t="s">
        <v>254</v>
      </c>
      <c r="C1122" s="39" t="s">
        <v>417</v>
      </c>
      <c r="D1122" s="255"/>
      <c r="E1122" s="325" t="e">
        <f>#REF!</f>
        <v>#REF!</v>
      </c>
      <c r="F1122" s="325" t="e">
        <f>#REF!</f>
        <v>#REF!</v>
      </c>
      <c r="G1122" s="325" t="e">
        <f>#REF!</f>
        <v>#REF!</v>
      </c>
      <c r="H1122" s="325" t="e">
        <f t="shared" si="58"/>
        <v>#REF!</v>
      </c>
      <c r="I1122" s="261"/>
      <c r="J1122" s="265" t="e">
        <f>I1122*H1122</f>
        <v>#REF!</v>
      </c>
      <c r="K1122" s="295"/>
      <c r="L1122" s="270"/>
      <c r="M1122" s="263"/>
      <c r="N1122" s="261"/>
      <c r="O1122" s="260"/>
    </row>
    <row r="1123" spans="1:15" ht="17.25">
      <c r="A1123" s="178" t="s">
        <v>120</v>
      </c>
      <c r="B1123" s="75" t="s">
        <v>394</v>
      </c>
      <c r="C1123" s="39" t="s">
        <v>208</v>
      </c>
      <c r="D1123" s="255"/>
      <c r="E1123" s="325" t="e">
        <f>#REF!</f>
        <v>#REF!</v>
      </c>
      <c r="F1123" s="325" t="e">
        <f>#REF!</f>
        <v>#REF!</v>
      </c>
      <c r="G1123" s="325" t="e">
        <f>#REF!</f>
        <v>#REF!</v>
      </c>
      <c r="H1123" s="325" t="e">
        <f t="shared" si="58"/>
        <v>#REF!</v>
      </c>
      <c r="I1123" s="260"/>
      <c r="J1123" s="266" t="e">
        <f>I1123*H1123</f>
        <v>#REF!</v>
      </c>
      <c r="K1123" s="294"/>
      <c r="L1123" s="271"/>
      <c r="M1123" s="264"/>
      <c r="N1123" s="260"/>
      <c r="O1123" s="260"/>
    </row>
    <row r="1124" spans="1:15" ht="31.5">
      <c r="A1124" s="178" t="s">
        <v>120</v>
      </c>
      <c r="B1124" s="75" t="s">
        <v>408</v>
      </c>
      <c r="C1124" s="39" t="s">
        <v>417</v>
      </c>
      <c r="D1124" s="304">
        <v>225</v>
      </c>
      <c r="E1124" s="325" t="e">
        <f>#REF!</f>
        <v>#REF!</v>
      </c>
      <c r="F1124" s="325" t="e">
        <f>#REF!</f>
        <v>#REF!</v>
      </c>
      <c r="G1124" s="325" t="e">
        <f>#REF!</f>
        <v>#REF!</v>
      </c>
      <c r="H1124" s="325" t="e">
        <f t="shared" si="58"/>
        <v>#REF!</v>
      </c>
      <c r="I1124" s="305">
        <v>318.91000000000003</v>
      </c>
      <c r="J1124" s="314">
        <f>I1124*D1124</f>
        <v>71754.75</v>
      </c>
      <c r="K1124" s="311"/>
      <c r="L1124" s="312">
        <v>42452</v>
      </c>
      <c r="M1124" s="308" t="s">
        <v>1663</v>
      </c>
      <c r="N1124" s="254" t="s">
        <v>342</v>
      </c>
      <c r="O1124" s="314" t="s">
        <v>1642</v>
      </c>
    </row>
    <row r="1125" spans="1:15" ht="17.25">
      <c r="A1125" s="178" t="s">
        <v>120</v>
      </c>
      <c r="B1125" s="75" t="s">
        <v>409</v>
      </c>
      <c r="C1125" s="39" t="s">
        <v>417</v>
      </c>
      <c r="D1125" s="255"/>
      <c r="E1125" s="325" t="e">
        <f>#REF!</f>
        <v>#REF!</v>
      </c>
      <c r="F1125" s="325" t="e">
        <f>#REF!</f>
        <v>#REF!</v>
      </c>
      <c r="G1125" s="325" t="e">
        <f>#REF!</f>
        <v>#REF!</v>
      </c>
      <c r="H1125" s="325" t="e">
        <f t="shared" si="58"/>
        <v>#REF!</v>
      </c>
      <c r="I1125" s="260"/>
      <c r="J1125" s="266" t="e">
        <f>I1125*H1125</f>
        <v>#REF!</v>
      </c>
      <c r="K1125" s="294"/>
      <c r="L1125" s="271"/>
      <c r="M1125" s="264"/>
      <c r="N1125" s="260"/>
      <c r="O1125" s="260"/>
    </row>
    <row r="1126" spans="1:15" ht="17.25">
      <c r="A1126" s="178" t="s">
        <v>120</v>
      </c>
      <c r="B1126" s="75" t="s">
        <v>265</v>
      </c>
      <c r="C1126" s="39" t="s">
        <v>17</v>
      </c>
      <c r="D1126" s="255"/>
      <c r="E1126" s="325" t="e">
        <f>#REF!</f>
        <v>#REF!</v>
      </c>
      <c r="F1126" s="325" t="e">
        <f>#REF!</f>
        <v>#REF!</v>
      </c>
      <c r="G1126" s="325" t="e">
        <f>#REF!</f>
        <v>#REF!</v>
      </c>
      <c r="H1126" s="325" t="e">
        <f t="shared" si="58"/>
        <v>#REF!</v>
      </c>
      <c r="I1126" s="261"/>
      <c r="J1126" s="266" t="e">
        <f t="shared" ref="J1126:J1153" si="59">I1126*H1126</f>
        <v>#REF!</v>
      </c>
      <c r="K1126" s="295"/>
      <c r="L1126" s="270"/>
      <c r="M1126" s="263"/>
      <c r="N1126" s="261"/>
      <c r="O1126" s="260"/>
    </row>
    <row r="1127" spans="1:15" ht="17.25">
      <c r="A1127" s="178" t="s">
        <v>120</v>
      </c>
      <c r="B1127" s="75" t="s">
        <v>261</v>
      </c>
      <c r="C1127" s="39" t="s">
        <v>17</v>
      </c>
      <c r="D1127" s="255"/>
      <c r="E1127" s="325" t="e">
        <f>#REF!</f>
        <v>#REF!</v>
      </c>
      <c r="F1127" s="325" t="e">
        <f>#REF!</f>
        <v>#REF!</v>
      </c>
      <c r="G1127" s="325" t="e">
        <f>#REF!</f>
        <v>#REF!</v>
      </c>
      <c r="H1127" s="325" t="e">
        <f t="shared" si="58"/>
        <v>#REF!</v>
      </c>
      <c r="I1127" s="260"/>
      <c r="J1127" s="266" t="e">
        <f t="shared" si="59"/>
        <v>#REF!</v>
      </c>
      <c r="K1127" s="294"/>
      <c r="L1127" s="271"/>
      <c r="M1127" s="264"/>
      <c r="N1127" s="260"/>
      <c r="O1127" s="260"/>
    </row>
    <row r="1128" spans="1:15" ht="17.25">
      <c r="A1128" s="178" t="s">
        <v>120</v>
      </c>
      <c r="B1128" s="75" t="s">
        <v>751</v>
      </c>
      <c r="C1128" s="39" t="s">
        <v>17</v>
      </c>
      <c r="D1128" s="255"/>
      <c r="E1128" s="325" t="e">
        <f>#REF!</f>
        <v>#REF!</v>
      </c>
      <c r="F1128" s="325" t="e">
        <f>#REF!</f>
        <v>#REF!</v>
      </c>
      <c r="G1128" s="325" t="e">
        <f>#REF!</f>
        <v>#REF!</v>
      </c>
      <c r="H1128" s="325" t="e">
        <f t="shared" si="58"/>
        <v>#REF!</v>
      </c>
      <c r="I1128" s="261"/>
      <c r="J1128" s="266" t="e">
        <f t="shared" si="59"/>
        <v>#REF!</v>
      </c>
      <c r="K1128" s="295"/>
      <c r="L1128" s="270"/>
      <c r="M1128" s="263"/>
      <c r="N1128" s="261"/>
      <c r="O1128" s="260"/>
    </row>
    <row r="1129" spans="1:15" ht="17.25">
      <c r="A1129" s="178" t="s">
        <v>120</v>
      </c>
      <c r="B1129" s="75" t="s">
        <v>754</v>
      </c>
      <c r="C1129" s="39" t="s">
        <v>17</v>
      </c>
      <c r="D1129" s="255"/>
      <c r="E1129" s="325" t="e">
        <f>#REF!</f>
        <v>#REF!</v>
      </c>
      <c r="F1129" s="325" t="e">
        <f>#REF!</f>
        <v>#REF!</v>
      </c>
      <c r="G1129" s="325" t="e">
        <f>#REF!</f>
        <v>#REF!</v>
      </c>
      <c r="H1129" s="325" t="e">
        <f t="shared" si="58"/>
        <v>#REF!</v>
      </c>
      <c r="I1129" s="260"/>
      <c r="J1129" s="266" t="e">
        <f t="shared" si="59"/>
        <v>#REF!</v>
      </c>
      <c r="K1129" s="294"/>
      <c r="L1129" s="271"/>
      <c r="M1129" s="264"/>
      <c r="N1129" s="260"/>
      <c r="O1129" s="260"/>
    </row>
    <row r="1130" spans="1:15" ht="17.25">
      <c r="A1130" s="178" t="s">
        <v>120</v>
      </c>
      <c r="B1130" s="75" t="s">
        <v>755</v>
      </c>
      <c r="C1130" s="39" t="s">
        <v>17</v>
      </c>
      <c r="D1130" s="255"/>
      <c r="E1130" s="325" t="e">
        <f>#REF!</f>
        <v>#REF!</v>
      </c>
      <c r="F1130" s="325" t="e">
        <f>#REF!</f>
        <v>#REF!</v>
      </c>
      <c r="G1130" s="325" t="e">
        <f>#REF!</f>
        <v>#REF!</v>
      </c>
      <c r="H1130" s="325" t="e">
        <f t="shared" si="58"/>
        <v>#REF!</v>
      </c>
      <c r="I1130" s="261"/>
      <c r="J1130" s="266" t="e">
        <f t="shared" si="59"/>
        <v>#REF!</v>
      </c>
      <c r="K1130" s="295"/>
      <c r="L1130" s="270"/>
      <c r="M1130" s="263"/>
      <c r="N1130" s="261"/>
      <c r="O1130" s="260"/>
    </row>
    <row r="1131" spans="1:15" ht="17.25">
      <c r="A1131" s="178" t="s">
        <v>752</v>
      </c>
      <c r="B1131" s="75" t="s">
        <v>390</v>
      </c>
      <c r="C1131" s="39" t="s">
        <v>266</v>
      </c>
      <c r="D1131" s="255">
        <v>1000</v>
      </c>
      <c r="E1131" s="325" t="e">
        <f>#REF!</f>
        <v>#REF!</v>
      </c>
      <c r="F1131" s="325" t="e">
        <f>#REF!</f>
        <v>#REF!</v>
      </c>
      <c r="G1131" s="325" t="e">
        <f>#REF!</f>
        <v>#REF!</v>
      </c>
      <c r="H1131" s="325" t="e">
        <f t="shared" si="58"/>
        <v>#REF!</v>
      </c>
      <c r="I1131" s="266">
        <v>141.41999999999999</v>
      </c>
      <c r="J1131" s="266" t="e">
        <f t="shared" si="59"/>
        <v>#REF!</v>
      </c>
      <c r="K1131" s="306"/>
      <c r="L1131" s="280">
        <v>42727</v>
      </c>
      <c r="M1131" s="280" t="s">
        <v>15</v>
      </c>
      <c r="N1131" s="280" t="s">
        <v>342</v>
      </c>
      <c r="O1131" s="266" t="s">
        <v>1642</v>
      </c>
    </row>
    <row r="1132" spans="1:15" ht="17.25">
      <c r="A1132" s="178" t="s">
        <v>120</v>
      </c>
      <c r="B1132" s="75" t="s">
        <v>391</v>
      </c>
      <c r="C1132" s="39" t="s">
        <v>415</v>
      </c>
      <c r="D1132" s="255"/>
      <c r="E1132" s="325" t="e">
        <f>#REF!</f>
        <v>#REF!</v>
      </c>
      <c r="F1132" s="325" t="e">
        <f>#REF!</f>
        <v>#REF!</v>
      </c>
      <c r="G1132" s="325" t="e">
        <f>#REF!</f>
        <v>#REF!</v>
      </c>
      <c r="H1132" s="325" t="e">
        <f t="shared" si="58"/>
        <v>#REF!</v>
      </c>
      <c r="I1132" s="265">
        <v>163.80000000000001</v>
      </c>
      <c r="J1132" s="266" t="e">
        <f t="shared" si="59"/>
        <v>#REF!</v>
      </c>
      <c r="K1132" s="307"/>
      <c r="L1132" s="310"/>
      <c r="M1132" s="308"/>
      <c r="N1132" s="280"/>
      <c r="O1132" s="266"/>
    </row>
    <row r="1133" spans="1:15" ht="17.25">
      <c r="A1133" s="178" t="s">
        <v>120</v>
      </c>
      <c r="B1133" s="75" t="s">
        <v>267</v>
      </c>
      <c r="C1133" s="39" t="s">
        <v>102</v>
      </c>
      <c r="D1133" s="255"/>
      <c r="E1133" s="325" t="e">
        <f>#REF!</f>
        <v>#REF!</v>
      </c>
      <c r="F1133" s="325" t="e">
        <f>#REF!</f>
        <v>#REF!</v>
      </c>
      <c r="G1133" s="325" t="e">
        <f>#REF!</f>
        <v>#REF!</v>
      </c>
      <c r="H1133" s="325" t="e">
        <f t="shared" si="58"/>
        <v>#REF!</v>
      </c>
      <c r="I1133" s="266"/>
      <c r="J1133" s="266" t="e">
        <f t="shared" si="59"/>
        <v>#REF!</v>
      </c>
      <c r="K1133" s="306"/>
      <c r="L1133" s="280"/>
      <c r="M1133" s="309"/>
      <c r="N1133" s="266"/>
      <c r="O1133" s="266"/>
    </row>
    <row r="1134" spans="1:15" ht="31.5">
      <c r="A1134" s="178" t="s">
        <v>120</v>
      </c>
      <c r="B1134" s="75" t="s">
        <v>759</v>
      </c>
      <c r="C1134" s="39" t="s">
        <v>208</v>
      </c>
      <c r="D1134" s="255">
        <v>50</v>
      </c>
      <c r="E1134" s="325" t="e">
        <f>#REF!</f>
        <v>#REF!</v>
      </c>
      <c r="F1134" s="325" t="e">
        <f>#REF!</f>
        <v>#REF!</v>
      </c>
      <c r="G1134" s="325" t="e">
        <f>#REF!</f>
        <v>#REF!</v>
      </c>
      <c r="H1134" s="325" t="e">
        <f t="shared" si="58"/>
        <v>#REF!</v>
      </c>
      <c r="I1134" s="265">
        <v>256.27</v>
      </c>
      <c r="J1134" s="266" t="e">
        <f t="shared" si="59"/>
        <v>#REF!</v>
      </c>
      <c r="K1134" s="307"/>
      <c r="L1134" s="310">
        <v>42727</v>
      </c>
      <c r="M1134" s="308" t="s">
        <v>1663</v>
      </c>
      <c r="N1134" s="280" t="s">
        <v>342</v>
      </c>
      <c r="O1134" s="266" t="s">
        <v>1642</v>
      </c>
    </row>
    <row r="1135" spans="1:15" ht="17.25">
      <c r="A1135" s="178" t="s">
        <v>120</v>
      </c>
      <c r="B1135" s="75" t="s">
        <v>268</v>
      </c>
      <c r="C1135" s="39" t="s">
        <v>208</v>
      </c>
      <c r="D1135" s="255"/>
      <c r="E1135" s="325" t="e">
        <f>#REF!</f>
        <v>#REF!</v>
      </c>
      <c r="F1135" s="325" t="e">
        <f>#REF!</f>
        <v>#REF!</v>
      </c>
      <c r="G1135" s="325" t="e">
        <f>#REF!</f>
        <v>#REF!</v>
      </c>
      <c r="H1135" s="325" t="e">
        <f t="shared" si="58"/>
        <v>#REF!</v>
      </c>
      <c r="I1135" s="260"/>
      <c r="J1135" s="266" t="e">
        <f t="shared" si="59"/>
        <v>#REF!</v>
      </c>
      <c r="K1135" s="294"/>
      <c r="L1135" s="271"/>
      <c r="M1135" s="264"/>
      <c r="N1135" s="260"/>
      <c r="O1135" s="260"/>
    </row>
    <row r="1136" spans="1:15" ht="17.25">
      <c r="A1136" s="178" t="s">
        <v>120</v>
      </c>
      <c r="B1136" s="75" t="s">
        <v>269</v>
      </c>
      <c r="C1136" s="39" t="s">
        <v>266</v>
      </c>
      <c r="D1136" s="255"/>
      <c r="E1136" s="325" t="e">
        <f>#REF!</f>
        <v>#REF!</v>
      </c>
      <c r="F1136" s="325" t="e">
        <f>#REF!</f>
        <v>#REF!</v>
      </c>
      <c r="G1136" s="325" t="e">
        <f>#REF!</f>
        <v>#REF!</v>
      </c>
      <c r="H1136" s="325" t="e">
        <f t="shared" si="58"/>
        <v>#REF!</v>
      </c>
      <c r="I1136" s="261"/>
      <c r="J1136" s="266" t="e">
        <f t="shared" si="59"/>
        <v>#REF!</v>
      </c>
      <c r="K1136" s="295"/>
      <c r="L1136" s="270"/>
      <c r="M1136" s="263"/>
      <c r="N1136" s="261"/>
      <c r="O1136" s="260"/>
    </row>
    <row r="1137" spans="1:15" ht="17.25">
      <c r="A1137" s="178" t="s">
        <v>120</v>
      </c>
      <c r="B1137" s="75" t="s">
        <v>756</v>
      </c>
      <c r="C1137" s="39" t="s">
        <v>234</v>
      </c>
      <c r="D1137" s="255"/>
      <c r="E1137" s="325" t="e">
        <f>#REF!</f>
        <v>#REF!</v>
      </c>
      <c r="F1137" s="325" t="e">
        <f>#REF!</f>
        <v>#REF!</v>
      </c>
      <c r="G1137" s="325" t="e">
        <f>#REF!</f>
        <v>#REF!</v>
      </c>
      <c r="H1137" s="325" t="e">
        <f t="shared" si="58"/>
        <v>#REF!</v>
      </c>
      <c r="I1137" s="260"/>
      <c r="J1137" s="266" t="e">
        <f t="shared" si="59"/>
        <v>#REF!</v>
      </c>
      <c r="K1137" s="294"/>
      <c r="L1137" s="271"/>
      <c r="M1137" s="264"/>
      <c r="N1137" s="260"/>
      <c r="O1137" s="260"/>
    </row>
    <row r="1138" spans="1:15" ht="17.25">
      <c r="A1138" s="178" t="s">
        <v>120</v>
      </c>
      <c r="B1138" s="75" t="s">
        <v>763</v>
      </c>
      <c r="C1138" s="39" t="s">
        <v>17</v>
      </c>
      <c r="D1138" s="255"/>
      <c r="E1138" s="325" t="e">
        <f>#REF!</f>
        <v>#REF!</v>
      </c>
      <c r="F1138" s="325" t="e">
        <f>#REF!</f>
        <v>#REF!</v>
      </c>
      <c r="G1138" s="325" t="e">
        <f>#REF!</f>
        <v>#REF!</v>
      </c>
      <c r="H1138" s="325" t="e">
        <f t="shared" si="58"/>
        <v>#REF!</v>
      </c>
      <c r="I1138" s="261"/>
      <c r="J1138" s="266" t="e">
        <f t="shared" si="59"/>
        <v>#REF!</v>
      </c>
      <c r="K1138" s="295"/>
      <c r="L1138" s="270"/>
      <c r="M1138" s="263"/>
      <c r="N1138" s="261"/>
      <c r="O1138" s="260"/>
    </row>
    <row r="1139" spans="1:15" ht="17.25">
      <c r="A1139" s="178" t="s">
        <v>120</v>
      </c>
      <c r="B1139" s="75" t="s">
        <v>410</v>
      </c>
      <c r="C1139" s="39" t="s">
        <v>417</v>
      </c>
      <c r="D1139" s="255"/>
      <c r="E1139" s="325" t="e">
        <f>#REF!</f>
        <v>#REF!</v>
      </c>
      <c r="F1139" s="325" t="e">
        <f>#REF!</f>
        <v>#REF!</v>
      </c>
      <c r="G1139" s="325" t="e">
        <f>#REF!</f>
        <v>#REF!</v>
      </c>
      <c r="H1139" s="325" t="e">
        <f t="shared" si="58"/>
        <v>#REF!</v>
      </c>
      <c r="I1139" s="260"/>
      <c r="J1139" s="266" t="e">
        <f t="shared" si="59"/>
        <v>#REF!</v>
      </c>
      <c r="K1139" s="294"/>
      <c r="L1139" s="271"/>
      <c r="M1139" s="264"/>
      <c r="N1139" s="260"/>
      <c r="O1139" s="260"/>
    </row>
    <row r="1140" spans="1:15" ht="17.25">
      <c r="A1140" s="178" t="s">
        <v>120</v>
      </c>
      <c r="B1140" s="75" t="s">
        <v>411</v>
      </c>
      <c r="C1140" s="39" t="s">
        <v>417</v>
      </c>
      <c r="D1140" s="255"/>
      <c r="E1140" s="325" t="e">
        <f>#REF!</f>
        <v>#REF!</v>
      </c>
      <c r="F1140" s="325" t="e">
        <f>#REF!</f>
        <v>#REF!</v>
      </c>
      <c r="G1140" s="325" t="e">
        <f>#REF!</f>
        <v>#REF!</v>
      </c>
      <c r="H1140" s="325" t="e">
        <f t="shared" si="58"/>
        <v>#REF!</v>
      </c>
      <c r="I1140" s="261"/>
      <c r="J1140" s="266" t="e">
        <f t="shared" si="59"/>
        <v>#REF!</v>
      </c>
      <c r="K1140" s="295"/>
      <c r="L1140" s="270"/>
      <c r="M1140" s="263"/>
      <c r="N1140" s="261"/>
      <c r="O1140" s="260"/>
    </row>
    <row r="1141" spans="1:15" ht="17.25">
      <c r="A1141" s="178" t="s">
        <v>120</v>
      </c>
      <c r="B1141" s="75" t="s">
        <v>412</v>
      </c>
      <c r="C1141" s="39" t="s">
        <v>417</v>
      </c>
      <c r="D1141" s="255"/>
      <c r="E1141" s="325" t="e">
        <f>#REF!</f>
        <v>#REF!</v>
      </c>
      <c r="F1141" s="325" t="e">
        <f>#REF!</f>
        <v>#REF!</v>
      </c>
      <c r="G1141" s="325" t="e">
        <f>#REF!</f>
        <v>#REF!</v>
      </c>
      <c r="H1141" s="325" t="e">
        <f t="shared" si="58"/>
        <v>#REF!</v>
      </c>
      <c r="I1141" s="260"/>
      <c r="J1141" s="266" t="e">
        <f t="shared" si="59"/>
        <v>#REF!</v>
      </c>
      <c r="K1141" s="294"/>
      <c r="L1141" s="271"/>
      <c r="M1141" s="264"/>
      <c r="N1141" s="260"/>
      <c r="O1141" s="260"/>
    </row>
    <row r="1142" spans="1:15" ht="17.25">
      <c r="A1142" s="178" t="s">
        <v>120</v>
      </c>
      <c r="B1142" s="75" t="s">
        <v>413</v>
      </c>
      <c r="C1142" s="39" t="s">
        <v>208</v>
      </c>
      <c r="D1142" s="255"/>
      <c r="E1142" s="325" t="e">
        <f>#REF!</f>
        <v>#REF!</v>
      </c>
      <c r="F1142" s="325" t="e">
        <f>#REF!</f>
        <v>#REF!</v>
      </c>
      <c r="G1142" s="325" t="e">
        <f>#REF!</f>
        <v>#REF!</v>
      </c>
      <c r="H1142" s="325" t="e">
        <f t="shared" si="58"/>
        <v>#REF!</v>
      </c>
      <c r="I1142" s="261"/>
      <c r="J1142" s="266" t="e">
        <f t="shared" si="59"/>
        <v>#REF!</v>
      </c>
      <c r="K1142" s="295"/>
      <c r="L1142" s="270"/>
      <c r="M1142" s="263"/>
      <c r="N1142" s="261"/>
      <c r="O1142" s="260"/>
    </row>
    <row r="1143" spans="1:15" ht="17.25">
      <c r="A1143" s="178" t="s">
        <v>120</v>
      </c>
      <c r="B1143" s="75" t="s">
        <v>762</v>
      </c>
      <c r="C1143" s="39" t="s">
        <v>208</v>
      </c>
      <c r="D1143" s="255"/>
      <c r="E1143" s="325" t="e">
        <f>#REF!</f>
        <v>#REF!</v>
      </c>
      <c r="F1143" s="325" t="e">
        <f>#REF!</f>
        <v>#REF!</v>
      </c>
      <c r="G1143" s="325" t="e">
        <f>#REF!</f>
        <v>#REF!</v>
      </c>
      <c r="H1143" s="325" t="e">
        <f t="shared" si="58"/>
        <v>#REF!</v>
      </c>
      <c r="I1143" s="260"/>
      <c r="J1143" s="266" t="e">
        <f t="shared" si="59"/>
        <v>#REF!</v>
      </c>
      <c r="K1143" s="294"/>
      <c r="L1143" s="271"/>
      <c r="M1143" s="264"/>
      <c r="N1143" s="260"/>
      <c r="O1143" s="260"/>
    </row>
    <row r="1144" spans="1:15" ht="17.25">
      <c r="A1144" s="178" t="s">
        <v>120</v>
      </c>
      <c r="B1144" s="75" t="s">
        <v>270</v>
      </c>
      <c r="C1144" s="39" t="s">
        <v>17</v>
      </c>
      <c r="D1144" s="255"/>
      <c r="E1144" s="325" t="e">
        <f>#REF!</f>
        <v>#REF!</v>
      </c>
      <c r="F1144" s="325" t="e">
        <f>#REF!</f>
        <v>#REF!</v>
      </c>
      <c r="G1144" s="325" t="e">
        <f>#REF!</f>
        <v>#REF!</v>
      </c>
      <c r="H1144" s="325" t="e">
        <f t="shared" si="58"/>
        <v>#REF!</v>
      </c>
      <c r="I1144" s="261"/>
      <c r="J1144" s="266" t="e">
        <f t="shared" si="59"/>
        <v>#REF!</v>
      </c>
      <c r="K1144" s="295"/>
      <c r="L1144" s="270"/>
      <c r="M1144" s="263"/>
      <c r="N1144" s="261"/>
      <c r="O1144" s="260"/>
    </row>
    <row r="1145" spans="1:15" ht="17.25">
      <c r="A1145" s="178" t="s">
        <v>120</v>
      </c>
      <c r="B1145" s="75" t="s">
        <v>405</v>
      </c>
      <c r="C1145" s="39" t="s">
        <v>17</v>
      </c>
      <c r="D1145" s="255"/>
      <c r="E1145" s="325" t="e">
        <f>#REF!</f>
        <v>#REF!</v>
      </c>
      <c r="F1145" s="325" t="e">
        <f>#REF!</f>
        <v>#REF!</v>
      </c>
      <c r="G1145" s="325" t="e">
        <f>#REF!</f>
        <v>#REF!</v>
      </c>
      <c r="H1145" s="325" t="e">
        <f t="shared" si="58"/>
        <v>#REF!</v>
      </c>
      <c r="I1145" s="260"/>
      <c r="J1145" s="266" t="e">
        <f t="shared" si="59"/>
        <v>#REF!</v>
      </c>
      <c r="K1145" s="294"/>
      <c r="L1145" s="271"/>
      <c r="M1145" s="264"/>
      <c r="N1145" s="260"/>
      <c r="O1145" s="260"/>
    </row>
    <row r="1146" spans="1:15" ht="17.25">
      <c r="A1146" s="178" t="s">
        <v>120</v>
      </c>
      <c r="B1146" s="75" t="s">
        <v>406</v>
      </c>
      <c r="C1146" s="39" t="s">
        <v>17</v>
      </c>
      <c r="D1146" s="255"/>
      <c r="E1146" s="325" t="e">
        <f>#REF!</f>
        <v>#REF!</v>
      </c>
      <c r="F1146" s="325" t="e">
        <f>#REF!</f>
        <v>#REF!</v>
      </c>
      <c r="G1146" s="325" t="e">
        <f>#REF!</f>
        <v>#REF!</v>
      </c>
      <c r="H1146" s="325" t="e">
        <f t="shared" si="58"/>
        <v>#REF!</v>
      </c>
      <c r="I1146" s="261"/>
      <c r="J1146" s="266" t="e">
        <f t="shared" si="59"/>
        <v>#REF!</v>
      </c>
      <c r="K1146" s="295"/>
      <c r="L1146" s="270"/>
      <c r="M1146" s="263"/>
      <c r="N1146" s="261"/>
      <c r="O1146" s="260"/>
    </row>
    <row r="1147" spans="1:15" ht="17.25">
      <c r="A1147" s="178" t="s">
        <v>120</v>
      </c>
      <c r="B1147" s="75" t="s">
        <v>407</v>
      </c>
      <c r="C1147" s="39" t="s">
        <v>17</v>
      </c>
      <c r="D1147" s="255"/>
      <c r="E1147" s="325" t="e">
        <f>#REF!</f>
        <v>#REF!</v>
      </c>
      <c r="F1147" s="325" t="e">
        <f>#REF!</f>
        <v>#REF!</v>
      </c>
      <c r="G1147" s="325" t="e">
        <f>#REF!</f>
        <v>#REF!</v>
      </c>
      <c r="H1147" s="325" t="e">
        <f t="shared" si="58"/>
        <v>#REF!</v>
      </c>
      <c r="I1147" s="260"/>
      <c r="J1147" s="266" t="e">
        <f t="shared" si="59"/>
        <v>#REF!</v>
      </c>
      <c r="K1147" s="294"/>
      <c r="L1147" s="271"/>
      <c r="M1147" s="264"/>
      <c r="N1147" s="260"/>
      <c r="O1147" s="260"/>
    </row>
    <row r="1148" spans="1:15" ht="17.25">
      <c r="A1148" s="178" t="s">
        <v>120</v>
      </c>
      <c r="B1148" s="75" t="s">
        <v>742</v>
      </c>
      <c r="C1148" s="39" t="s">
        <v>17</v>
      </c>
      <c r="D1148" s="255"/>
      <c r="E1148" s="325" t="e">
        <f>#REF!</f>
        <v>#REF!</v>
      </c>
      <c r="F1148" s="325" t="e">
        <f>#REF!</f>
        <v>#REF!</v>
      </c>
      <c r="G1148" s="325" t="e">
        <f>#REF!</f>
        <v>#REF!</v>
      </c>
      <c r="H1148" s="325" t="e">
        <f t="shared" si="58"/>
        <v>#REF!</v>
      </c>
      <c r="I1148" s="261"/>
      <c r="J1148" s="266" t="e">
        <f t="shared" si="59"/>
        <v>#REF!</v>
      </c>
      <c r="K1148" s="295"/>
      <c r="L1148" s="270"/>
      <c r="M1148" s="263"/>
      <c r="N1148" s="261"/>
      <c r="O1148" s="260"/>
    </row>
    <row r="1149" spans="1:15" ht="17.25">
      <c r="A1149" s="178" t="s">
        <v>120</v>
      </c>
      <c r="B1149" s="75" t="s">
        <v>271</v>
      </c>
      <c r="C1149" s="39" t="s">
        <v>17</v>
      </c>
      <c r="D1149" s="255"/>
      <c r="E1149" s="325" t="e">
        <f>#REF!</f>
        <v>#REF!</v>
      </c>
      <c r="F1149" s="325" t="e">
        <f>#REF!</f>
        <v>#REF!</v>
      </c>
      <c r="G1149" s="325" t="e">
        <f>#REF!</f>
        <v>#REF!</v>
      </c>
      <c r="H1149" s="325" t="e">
        <f t="shared" si="58"/>
        <v>#REF!</v>
      </c>
      <c r="I1149" s="260"/>
      <c r="J1149" s="266" t="e">
        <f t="shared" si="59"/>
        <v>#REF!</v>
      </c>
      <c r="K1149" s="294"/>
      <c r="L1149" s="271"/>
      <c r="M1149" s="264"/>
      <c r="N1149" s="260"/>
      <c r="O1149" s="260"/>
    </row>
    <row r="1150" spans="1:15" ht="17.25">
      <c r="A1150" s="178" t="s">
        <v>120</v>
      </c>
      <c r="B1150" s="75" t="s">
        <v>757</v>
      </c>
      <c r="C1150" s="39" t="s">
        <v>17</v>
      </c>
      <c r="D1150" s="255"/>
      <c r="E1150" s="325" t="e">
        <f>#REF!</f>
        <v>#REF!</v>
      </c>
      <c r="F1150" s="325" t="e">
        <f>#REF!</f>
        <v>#REF!</v>
      </c>
      <c r="G1150" s="325" t="e">
        <f>#REF!</f>
        <v>#REF!</v>
      </c>
      <c r="H1150" s="325" t="e">
        <f t="shared" si="58"/>
        <v>#REF!</v>
      </c>
      <c r="I1150" s="261"/>
      <c r="J1150" s="266" t="e">
        <f t="shared" si="59"/>
        <v>#REF!</v>
      </c>
      <c r="K1150" s="295"/>
      <c r="L1150" s="270"/>
      <c r="M1150" s="263"/>
      <c r="N1150" s="261"/>
      <c r="O1150" s="260"/>
    </row>
    <row r="1151" spans="1:15" ht="17.25">
      <c r="A1151" s="178" t="s">
        <v>120</v>
      </c>
      <c r="B1151" s="75" t="s">
        <v>325</v>
      </c>
      <c r="C1151" s="39" t="s">
        <v>17</v>
      </c>
      <c r="D1151" s="255"/>
      <c r="E1151" s="325" t="e">
        <f>#REF!</f>
        <v>#REF!</v>
      </c>
      <c r="F1151" s="325" t="e">
        <f>#REF!</f>
        <v>#REF!</v>
      </c>
      <c r="G1151" s="325" t="e">
        <f>#REF!</f>
        <v>#REF!</v>
      </c>
      <c r="H1151" s="325" t="e">
        <f t="shared" si="58"/>
        <v>#REF!</v>
      </c>
      <c r="I1151" s="260"/>
      <c r="J1151" s="266" t="e">
        <f t="shared" si="59"/>
        <v>#REF!</v>
      </c>
      <c r="K1151" s="294"/>
      <c r="L1151" s="271"/>
      <c r="M1151" s="264"/>
      <c r="N1151" s="260"/>
      <c r="O1151" s="260"/>
    </row>
    <row r="1152" spans="1:15" ht="17.25">
      <c r="A1152" s="178" t="s">
        <v>120</v>
      </c>
      <c r="B1152" s="75" t="s">
        <v>784</v>
      </c>
      <c r="C1152" s="39" t="s">
        <v>17</v>
      </c>
      <c r="D1152" s="255"/>
      <c r="E1152" s="325" t="e">
        <f>#REF!</f>
        <v>#REF!</v>
      </c>
      <c r="F1152" s="325" t="e">
        <f>#REF!</f>
        <v>#REF!</v>
      </c>
      <c r="G1152" s="325" t="e">
        <f>#REF!</f>
        <v>#REF!</v>
      </c>
      <c r="H1152" s="325" t="e">
        <f t="shared" si="58"/>
        <v>#REF!</v>
      </c>
      <c r="I1152" s="261"/>
      <c r="J1152" s="266" t="e">
        <f t="shared" si="59"/>
        <v>#REF!</v>
      </c>
      <c r="K1152" s="295"/>
      <c r="L1152" s="270"/>
      <c r="M1152" s="263"/>
      <c r="N1152" s="261"/>
      <c r="O1152" s="260"/>
    </row>
    <row r="1153" spans="1:15" ht="17.25">
      <c r="A1153" s="178" t="s">
        <v>120</v>
      </c>
      <c r="B1153" s="75" t="s">
        <v>785</v>
      </c>
      <c r="C1153" s="39" t="s">
        <v>17</v>
      </c>
      <c r="D1153" s="255"/>
      <c r="E1153" s="325" t="e">
        <f>#REF!</f>
        <v>#REF!</v>
      </c>
      <c r="F1153" s="325" t="e">
        <f>#REF!</f>
        <v>#REF!</v>
      </c>
      <c r="G1153" s="325" t="e">
        <f>#REF!</f>
        <v>#REF!</v>
      </c>
      <c r="H1153" s="325" t="e">
        <f t="shared" si="58"/>
        <v>#REF!</v>
      </c>
      <c r="I1153" s="260"/>
      <c r="J1153" s="266" t="e">
        <f t="shared" si="59"/>
        <v>#REF!</v>
      </c>
      <c r="K1153" s="294"/>
      <c r="L1153" s="271"/>
      <c r="M1153" s="264"/>
      <c r="N1153" s="260"/>
      <c r="O1153" s="260"/>
    </row>
    <row r="1154" spans="1:15" ht="31.5">
      <c r="A1154" s="178" t="s">
        <v>120</v>
      </c>
      <c r="B1154" s="75" t="s">
        <v>272</v>
      </c>
      <c r="C1154" s="39" t="s">
        <v>17</v>
      </c>
      <c r="D1154" s="304">
        <v>4</v>
      </c>
      <c r="E1154" s="325" t="e">
        <f>#REF!</f>
        <v>#REF!</v>
      </c>
      <c r="F1154" s="325" t="e">
        <f>#REF!</f>
        <v>#REF!</v>
      </c>
      <c r="G1154" s="325" t="e">
        <f>#REF!</f>
        <v>#REF!</v>
      </c>
      <c r="H1154" s="325" t="e">
        <f t="shared" si="58"/>
        <v>#REF!</v>
      </c>
      <c r="I1154" s="305">
        <v>267</v>
      </c>
      <c r="J1154" s="314">
        <f>I1154*D1154</f>
        <v>1068</v>
      </c>
      <c r="K1154" s="311"/>
      <c r="L1154" s="312">
        <v>42397</v>
      </c>
      <c r="M1154" s="308" t="s">
        <v>1663</v>
      </c>
      <c r="N1154" s="254" t="s">
        <v>342</v>
      </c>
      <c r="O1154" s="314" t="s">
        <v>1642</v>
      </c>
    </row>
    <row r="1155" spans="1:15" ht="31.5">
      <c r="A1155" s="178" t="s">
        <v>120</v>
      </c>
      <c r="B1155" s="75" t="s">
        <v>758</v>
      </c>
      <c r="C1155" s="39" t="s">
        <v>17</v>
      </c>
      <c r="D1155" s="304">
        <v>5</v>
      </c>
      <c r="E1155" s="325" t="e">
        <f>#REF!</f>
        <v>#REF!</v>
      </c>
      <c r="F1155" s="325" t="e">
        <f>#REF!</f>
        <v>#REF!</v>
      </c>
      <c r="G1155" s="325" t="e">
        <f>#REF!</f>
        <v>#REF!</v>
      </c>
      <c r="H1155" s="325" t="e">
        <f t="shared" si="58"/>
        <v>#REF!</v>
      </c>
      <c r="I1155" s="314">
        <v>250</v>
      </c>
      <c r="J1155" s="314">
        <f>I1155*D1155</f>
        <v>1250</v>
      </c>
      <c r="K1155" s="315"/>
      <c r="L1155" s="316">
        <v>42438</v>
      </c>
      <c r="M1155" s="308" t="s">
        <v>1663</v>
      </c>
      <c r="N1155" s="254" t="s">
        <v>342</v>
      </c>
      <c r="O1155" s="314" t="s">
        <v>1642</v>
      </c>
    </row>
    <row r="1156" spans="1:15" ht="31.5">
      <c r="A1156" s="178" t="s">
        <v>120</v>
      </c>
      <c r="B1156" s="75" t="s">
        <v>1767</v>
      </c>
      <c r="C1156" s="39" t="s">
        <v>17</v>
      </c>
      <c r="D1156" s="304">
        <v>1</v>
      </c>
      <c r="E1156" s="325">
        <v>0</v>
      </c>
      <c r="F1156" s="325">
        <v>0</v>
      </c>
      <c r="G1156" s="325">
        <v>0</v>
      </c>
      <c r="H1156" s="325">
        <f>G1156+F1156+E1156+D1156</f>
        <v>1</v>
      </c>
      <c r="I1156" s="314">
        <v>250</v>
      </c>
      <c r="J1156" s="314">
        <f>I1156*H1156</f>
        <v>250</v>
      </c>
      <c r="K1156" s="315"/>
      <c r="L1156" s="316">
        <v>42432</v>
      </c>
      <c r="M1156" s="308" t="s">
        <v>1663</v>
      </c>
      <c r="N1156" s="254" t="s">
        <v>342</v>
      </c>
      <c r="O1156" s="314" t="s">
        <v>1642</v>
      </c>
    </row>
    <row r="1157" spans="1:15" ht="17.25">
      <c r="A1157" s="178" t="s">
        <v>120</v>
      </c>
      <c r="B1157" s="184" t="s">
        <v>477</v>
      </c>
      <c r="C1157" s="39" t="s">
        <v>417</v>
      </c>
      <c r="D1157" s="255"/>
      <c r="E1157" s="325" t="e">
        <f>#REF!</f>
        <v>#REF!</v>
      </c>
      <c r="F1157" s="325" t="e">
        <f>#REF!</f>
        <v>#REF!</v>
      </c>
      <c r="G1157" s="325" t="e">
        <f>#REF!</f>
        <v>#REF!</v>
      </c>
      <c r="H1157" s="325" t="e">
        <f t="shared" si="58"/>
        <v>#REF!</v>
      </c>
      <c r="I1157" s="261"/>
      <c r="J1157" s="265" t="e">
        <f>I1157*H1157</f>
        <v>#REF!</v>
      </c>
      <c r="K1157" s="295"/>
      <c r="L1157" s="270"/>
      <c r="M1157" s="263"/>
      <c r="N1157" s="261"/>
      <c r="O1157" s="260"/>
    </row>
    <row r="1158" spans="1:15" ht="17.25">
      <c r="A1158" s="178" t="s">
        <v>120</v>
      </c>
      <c r="B1158" s="184" t="s">
        <v>478</v>
      </c>
      <c r="C1158" s="39" t="s">
        <v>417</v>
      </c>
      <c r="D1158" s="255"/>
      <c r="E1158" s="325" t="e">
        <f>#REF!</f>
        <v>#REF!</v>
      </c>
      <c r="F1158" s="325" t="e">
        <f>#REF!</f>
        <v>#REF!</v>
      </c>
      <c r="G1158" s="325" t="e">
        <f>#REF!</f>
        <v>#REF!</v>
      </c>
      <c r="H1158" s="325" t="e">
        <f t="shared" si="58"/>
        <v>#REF!</v>
      </c>
      <c r="I1158" s="260"/>
      <c r="J1158" s="265" t="e">
        <f t="shared" ref="J1158:J1181" si="60">I1158*H1158</f>
        <v>#REF!</v>
      </c>
      <c r="K1158" s="294"/>
      <c r="L1158" s="271"/>
      <c r="M1158" s="264"/>
      <c r="N1158" s="260"/>
      <c r="O1158" s="260"/>
    </row>
    <row r="1159" spans="1:15" ht="17.25">
      <c r="A1159" s="178" t="s">
        <v>120</v>
      </c>
      <c r="B1159" s="185" t="s">
        <v>479</v>
      </c>
      <c r="C1159" s="39" t="s">
        <v>417</v>
      </c>
      <c r="D1159" s="255"/>
      <c r="E1159" s="325" t="e">
        <f>#REF!</f>
        <v>#REF!</v>
      </c>
      <c r="F1159" s="325" t="e">
        <f>#REF!</f>
        <v>#REF!</v>
      </c>
      <c r="G1159" s="325" t="e">
        <f>#REF!</f>
        <v>#REF!</v>
      </c>
      <c r="H1159" s="325" t="e">
        <f t="shared" si="58"/>
        <v>#REF!</v>
      </c>
      <c r="I1159" s="261"/>
      <c r="J1159" s="265" t="e">
        <f t="shared" si="60"/>
        <v>#REF!</v>
      </c>
      <c r="K1159" s="295"/>
      <c r="L1159" s="270"/>
      <c r="M1159" s="263"/>
      <c r="N1159" s="261"/>
      <c r="O1159" s="260"/>
    </row>
    <row r="1160" spans="1:15" ht="17.25">
      <c r="A1160" s="178" t="s">
        <v>120</v>
      </c>
      <c r="B1160" s="184" t="s">
        <v>480</v>
      </c>
      <c r="C1160" s="39" t="s">
        <v>417</v>
      </c>
      <c r="D1160" s="255"/>
      <c r="E1160" s="325" t="e">
        <f>#REF!</f>
        <v>#REF!</v>
      </c>
      <c r="F1160" s="325" t="e">
        <f>#REF!</f>
        <v>#REF!</v>
      </c>
      <c r="G1160" s="325" t="e">
        <f>#REF!</f>
        <v>#REF!</v>
      </c>
      <c r="H1160" s="325" t="e">
        <f t="shared" si="58"/>
        <v>#REF!</v>
      </c>
      <c r="I1160" s="260"/>
      <c r="J1160" s="265" t="e">
        <f t="shared" si="60"/>
        <v>#REF!</v>
      </c>
      <c r="K1160" s="294"/>
      <c r="L1160" s="271"/>
      <c r="M1160" s="264"/>
      <c r="N1160" s="260"/>
      <c r="O1160" s="260"/>
    </row>
    <row r="1161" spans="1:15" ht="17.25">
      <c r="A1161" s="178" t="s">
        <v>120</v>
      </c>
      <c r="B1161" s="184" t="s">
        <v>481</v>
      </c>
      <c r="C1161" s="39" t="s">
        <v>417</v>
      </c>
      <c r="D1161" s="255"/>
      <c r="E1161" s="325" t="e">
        <f>#REF!</f>
        <v>#REF!</v>
      </c>
      <c r="F1161" s="325" t="e">
        <f>#REF!</f>
        <v>#REF!</v>
      </c>
      <c r="G1161" s="325" t="e">
        <f>#REF!</f>
        <v>#REF!</v>
      </c>
      <c r="H1161" s="325" t="e">
        <f t="shared" si="58"/>
        <v>#REF!</v>
      </c>
      <c r="I1161" s="261"/>
      <c r="J1161" s="265" t="e">
        <f t="shared" si="60"/>
        <v>#REF!</v>
      </c>
      <c r="K1161" s="295"/>
      <c r="L1161" s="270"/>
      <c r="M1161" s="263"/>
      <c r="N1161" s="261"/>
      <c r="O1161" s="260"/>
    </row>
    <row r="1162" spans="1:15" ht="17.25">
      <c r="A1162" s="178" t="s">
        <v>120</v>
      </c>
      <c r="B1162" s="184" t="s">
        <v>482</v>
      </c>
      <c r="C1162" s="39" t="s">
        <v>417</v>
      </c>
      <c r="D1162" s="255"/>
      <c r="E1162" s="325" t="e">
        <f>#REF!</f>
        <v>#REF!</v>
      </c>
      <c r="F1162" s="325" t="e">
        <f>#REF!</f>
        <v>#REF!</v>
      </c>
      <c r="G1162" s="325" t="e">
        <f>#REF!</f>
        <v>#REF!</v>
      </c>
      <c r="H1162" s="325" t="e">
        <f t="shared" si="58"/>
        <v>#REF!</v>
      </c>
      <c r="I1162" s="260"/>
      <c r="J1162" s="265" t="e">
        <f t="shared" si="60"/>
        <v>#REF!</v>
      </c>
      <c r="K1162" s="294"/>
      <c r="L1162" s="271"/>
      <c r="M1162" s="264"/>
      <c r="N1162" s="260"/>
      <c r="O1162" s="260"/>
    </row>
    <row r="1163" spans="1:15" ht="17.25">
      <c r="A1163" s="178" t="s">
        <v>120</v>
      </c>
      <c r="B1163" s="184" t="s">
        <v>483</v>
      </c>
      <c r="C1163" s="39" t="s">
        <v>417</v>
      </c>
      <c r="D1163" s="255"/>
      <c r="E1163" s="325" t="e">
        <f>#REF!</f>
        <v>#REF!</v>
      </c>
      <c r="F1163" s="325" t="e">
        <f>#REF!</f>
        <v>#REF!</v>
      </c>
      <c r="G1163" s="325" t="e">
        <f>#REF!</f>
        <v>#REF!</v>
      </c>
      <c r="H1163" s="325" t="e">
        <f t="shared" si="58"/>
        <v>#REF!</v>
      </c>
      <c r="I1163" s="261"/>
      <c r="J1163" s="265" t="e">
        <f t="shared" si="60"/>
        <v>#REF!</v>
      </c>
      <c r="K1163" s="295"/>
      <c r="L1163" s="270"/>
      <c r="M1163" s="263"/>
      <c r="N1163" s="261"/>
      <c r="O1163" s="260"/>
    </row>
    <row r="1164" spans="1:15" ht="17.25">
      <c r="A1164" s="178" t="s">
        <v>120</v>
      </c>
      <c r="B1164" s="184" t="s">
        <v>484</v>
      </c>
      <c r="C1164" s="39" t="s">
        <v>417</v>
      </c>
      <c r="D1164" s="255"/>
      <c r="E1164" s="325" t="e">
        <f>#REF!</f>
        <v>#REF!</v>
      </c>
      <c r="F1164" s="325" t="e">
        <f>#REF!</f>
        <v>#REF!</v>
      </c>
      <c r="G1164" s="325" t="e">
        <f>#REF!</f>
        <v>#REF!</v>
      </c>
      <c r="H1164" s="325" t="e">
        <f t="shared" si="58"/>
        <v>#REF!</v>
      </c>
      <c r="I1164" s="260"/>
      <c r="J1164" s="265" t="e">
        <f t="shared" si="60"/>
        <v>#REF!</v>
      </c>
      <c r="K1164" s="294"/>
      <c r="L1164" s="271"/>
      <c r="M1164" s="264"/>
      <c r="N1164" s="260"/>
      <c r="O1164" s="260"/>
    </row>
    <row r="1165" spans="1:15" ht="17.25">
      <c r="A1165" s="178" t="s">
        <v>120</v>
      </c>
      <c r="B1165" s="184" t="s">
        <v>485</v>
      </c>
      <c r="C1165" s="39" t="s">
        <v>417</v>
      </c>
      <c r="D1165" s="255"/>
      <c r="E1165" s="325" t="e">
        <f>#REF!</f>
        <v>#REF!</v>
      </c>
      <c r="F1165" s="325" t="e">
        <f>#REF!</f>
        <v>#REF!</v>
      </c>
      <c r="G1165" s="325" t="e">
        <f>#REF!</f>
        <v>#REF!</v>
      </c>
      <c r="H1165" s="325" t="e">
        <f t="shared" si="58"/>
        <v>#REF!</v>
      </c>
      <c r="I1165" s="261"/>
      <c r="J1165" s="265" t="e">
        <f t="shared" si="60"/>
        <v>#REF!</v>
      </c>
      <c r="K1165" s="295"/>
      <c r="L1165" s="270"/>
      <c r="M1165" s="263"/>
      <c r="N1165" s="261"/>
      <c r="O1165" s="260"/>
    </row>
    <row r="1166" spans="1:15" ht="17.25">
      <c r="A1166" s="178" t="s">
        <v>120</v>
      </c>
      <c r="B1166" s="184" t="s">
        <v>486</v>
      </c>
      <c r="C1166" s="39" t="s">
        <v>417</v>
      </c>
      <c r="D1166" s="255"/>
      <c r="E1166" s="325" t="e">
        <f>#REF!</f>
        <v>#REF!</v>
      </c>
      <c r="F1166" s="325" t="e">
        <f>#REF!</f>
        <v>#REF!</v>
      </c>
      <c r="G1166" s="325" t="e">
        <f>#REF!</f>
        <v>#REF!</v>
      </c>
      <c r="H1166" s="325" t="e">
        <f t="shared" si="58"/>
        <v>#REF!</v>
      </c>
      <c r="I1166" s="260"/>
      <c r="J1166" s="265" t="e">
        <f t="shared" si="60"/>
        <v>#REF!</v>
      </c>
      <c r="K1166" s="294"/>
      <c r="L1166" s="271"/>
      <c r="M1166" s="264"/>
      <c r="N1166" s="260"/>
      <c r="O1166" s="260"/>
    </row>
    <row r="1167" spans="1:15" ht="17.25">
      <c r="A1167" s="178" t="s">
        <v>120</v>
      </c>
      <c r="B1167" s="184" t="s">
        <v>487</v>
      </c>
      <c r="C1167" s="39" t="s">
        <v>417</v>
      </c>
      <c r="D1167" s="255"/>
      <c r="E1167" s="325" t="e">
        <f>#REF!</f>
        <v>#REF!</v>
      </c>
      <c r="F1167" s="325" t="e">
        <f>#REF!</f>
        <v>#REF!</v>
      </c>
      <c r="G1167" s="325" t="e">
        <f>#REF!</f>
        <v>#REF!</v>
      </c>
      <c r="H1167" s="325" t="e">
        <f t="shared" si="58"/>
        <v>#REF!</v>
      </c>
      <c r="I1167" s="261"/>
      <c r="J1167" s="265" t="e">
        <f t="shared" si="60"/>
        <v>#REF!</v>
      </c>
      <c r="K1167" s="295"/>
      <c r="L1167" s="270"/>
      <c r="M1167" s="263"/>
      <c r="N1167" s="261"/>
      <c r="O1167" s="260"/>
    </row>
    <row r="1168" spans="1:15" ht="17.25">
      <c r="A1168" s="178" t="s">
        <v>120</v>
      </c>
      <c r="B1168" s="184" t="s">
        <v>488</v>
      </c>
      <c r="C1168" s="39" t="s">
        <v>417</v>
      </c>
      <c r="D1168" s="255"/>
      <c r="E1168" s="325" t="e">
        <f>#REF!</f>
        <v>#REF!</v>
      </c>
      <c r="F1168" s="325" t="e">
        <f>#REF!</f>
        <v>#REF!</v>
      </c>
      <c r="G1168" s="325" t="e">
        <f>#REF!</f>
        <v>#REF!</v>
      </c>
      <c r="H1168" s="325" t="e">
        <f t="shared" si="58"/>
        <v>#REF!</v>
      </c>
      <c r="I1168" s="260"/>
      <c r="J1168" s="265" t="e">
        <f t="shared" si="60"/>
        <v>#REF!</v>
      </c>
      <c r="K1168" s="294"/>
      <c r="L1168" s="271"/>
      <c r="M1168" s="264"/>
      <c r="N1168" s="260"/>
      <c r="O1168" s="260"/>
    </row>
    <row r="1169" spans="1:15" ht="17.25">
      <c r="A1169" s="178" t="s">
        <v>120</v>
      </c>
      <c r="B1169" s="184" t="s">
        <v>489</v>
      </c>
      <c r="C1169" s="39" t="s">
        <v>417</v>
      </c>
      <c r="D1169" s="255"/>
      <c r="E1169" s="325" t="e">
        <f>#REF!</f>
        <v>#REF!</v>
      </c>
      <c r="F1169" s="325" t="e">
        <f>#REF!</f>
        <v>#REF!</v>
      </c>
      <c r="G1169" s="325" t="e">
        <f>#REF!</f>
        <v>#REF!</v>
      </c>
      <c r="H1169" s="325" t="e">
        <f t="shared" si="58"/>
        <v>#REF!</v>
      </c>
      <c r="I1169" s="261"/>
      <c r="J1169" s="265" t="e">
        <f t="shared" si="60"/>
        <v>#REF!</v>
      </c>
      <c r="K1169" s="295"/>
      <c r="L1169" s="270"/>
      <c r="M1169" s="263"/>
      <c r="N1169" s="261"/>
      <c r="O1169" s="260"/>
    </row>
    <row r="1170" spans="1:15" ht="17.25">
      <c r="A1170" s="178" t="s">
        <v>120</v>
      </c>
      <c r="B1170" s="184" t="s">
        <v>490</v>
      </c>
      <c r="C1170" s="39" t="s">
        <v>417</v>
      </c>
      <c r="D1170" s="255"/>
      <c r="E1170" s="325" t="e">
        <f>#REF!</f>
        <v>#REF!</v>
      </c>
      <c r="F1170" s="325" t="e">
        <f>#REF!</f>
        <v>#REF!</v>
      </c>
      <c r="G1170" s="325" t="e">
        <f>#REF!</f>
        <v>#REF!</v>
      </c>
      <c r="H1170" s="325" t="e">
        <f t="shared" si="58"/>
        <v>#REF!</v>
      </c>
      <c r="I1170" s="260"/>
      <c r="J1170" s="265" t="e">
        <f t="shared" si="60"/>
        <v>#REF!</v>
      </c>
      <c r="K1170" s="294"/>
      <c r="L1170" s="271"/>
      <c r="M1170" s="264"/>
      <c r="N1170" s="260"/>
      <c r="O1170" s="260"/>
    </row>
    <row r="1171" spans="1:15" ht="17.25">
      <c r="A1171" s="178" t="s">
        <v>120</v>
      </c>
      <c r="B1171" s="184" t="s">
        <v>491</v>
      </c>
      <c r="C1171" s="39" t="s">
        <v>417</v>
      </c>
      <c r="D1171" s="255"/>
      <c r="E1171" s="325" t="e">
        <f>#REF!</f>
        <v>#REF!</v>
      </c>
      <c r="F1171" s="325" t="e">
        <f>#REF!</f>
        <v>#REF!</v>
      </c>
      <c r="G1171" s="325" t="e">
        <f>#REF!</f>
        <v>#REF!</v>
      </c>
      <c r="H1171" s="325" t="e">
        <f t="shared" si="58"/>
        <v>#REF!</v>
      </c>
      <c r="I1171" s="261"/>
      <c r="J1171" s="265" t="e">
        <f t="shared" si="60"/>
        <v>#REF!</v>
      </c>
      <c r="K1171" s="295"/>
      <c r="L1171" s="270"/>
      <c r="M1171" s="263"/>
      <c r="N1171" s="261"/>
      <c r="O1171" s="260"/>
    </row>
    <row r="1172" spans="1:15" ht="17.25">
      <c r="A1172" s="178" t="s">
        <v>120</v>
      </c>
      <c r="B1172" s="184" t="s">
        <v>492</v>
      </c>
      <c r="C1172" s="39" t="s">
        <v>417</v>
      </c>
      <c r="D1172" s="255"/>
      <c r="E1172" s="325" t="e">
        <f>#REF!</f>
        <v>#REF!</v>
      </c>
      <c r="F1172" s="325" t="e">
        <f>#REF!</f>
        <v>#REF!</v>
      </c>
      <c r="G1172" s="325" t="e">
        <f>#REF!</f>
        <v>#REF!</v>
      </c>
      <c r="H1172" s="325" t="e">
        <f t="shared" si="58"/>
        <v>#REF!</v>
      </c>
      <c r="I1172" s="260"/>
      <c r="J1172" s="265" t="e">
        <f t="shared" si="60"/>
        <v>#REF!</v>
      </c>
      <c r="K1172" s="294"/>
      <c r="L1172" s="271"/>
      <c r="M1172" s="264"/>
      <c r="N1172" s="260"/>
      <c r="O1172" s="260"/>
    </row>
    <row r="1173" spans="1:15" ht="17.25">
      <c r="A1173" s="178" t="s">
        <v>120</v>
      </c>
      <c r="B1173" s="184" t="s">
        <v>493</v>
      </c>
      <c r="C1173" s="39" t="s">
        <v>417</v>
      </c>
      <c r="D1173" s="255"/>
      <c r="E1173" s="325" t="e">
        <f>#REF!</f>
        <v>#REF!</v>
      </c>
      <c r="F1173" s="325" t="e">
        <f>#REF!</f>
        <v>#REF!</v>
      </c>
      <c r="G1173" s="325" t="e">
        <f>#REF!</f>
        <v>#REF!</v>
      </c>
      <c r="H1173" s="325" t="e">
        <f t="shared" si="58"/>
        <v>#REF!</v>
      </c>
      <c r="I1173" s="261"/>
      <c r="J1173" s="265" t="e">
        <f t="shared" si="60"/>
        <v>#REF!</v>
      </c>
      <c r="K1173" s="295"/>
      <c r="L1173" s="270"/>
      <c r="M1173" s="263"/>
      <c r="N1173" s="261"/>
      <c r="O1173" s="260"/>
    </row>
    <row r="1174" spans="1:15" ht="17.25">
      <c r="A1174" s="178" t="s">
        <v>120</v>
      </c>
      <c r="B1174" s="184" t="s">
        <v>494</v>
      </c>
      <c r="C1174" s="39" t="s">
        <v>417</v>
      </c>
      <c r="D1174" s="255"/>
      <c r="E1174" s="325" t="e">
        <f>#REF!</f>
        <v>#REF!</v>
      </c>
      <c r="F1174" s="325" t="e">
        <f>#REF!</f>
        <v>#REF!</v>
      </c>
      <c r="G1174" s="325" t="e">
        <f>#REF!</f>
        <v>#REF!</v>
      </c>
      <c r="H1174" s="325" t="e">
        <f t="shared" si="58"/>
        <v>#REF!</v>
      </c>
      <c r="I1174" s="260"/>
      <c r="J1174" s="265" t="e">
        <f t="shared" si="60"/>
        <v>#REF!</v>
      </c>
      <c r="K1174" s="294"/>
      <c r="L1174" s="271"/>
      <c r="M1174" s="264"/>
      <c r="N1174" s="260"/>
      <c r="O1174" s="260"/>
    </row>
    <row r="1175" spans="1:15" ht="17.25">
      <c r="A1175" s="178" t="s">
        <v>120</v>
      </c>
      <c r="B1175" s="185" t="s">
        <v>495</v>
      </c>
      <c r="C1175" s="39" t="s">
        <v>417</v>
      </c>
      <c r="D1175" s="255"/>
      <c r="E1175" s="325" t="e">
        <f>#REF!</f>
        <v>#REF!</v>
      </c>
      <c r="F1175" s="325" t="e">
        <f>#REF!</f>
        <v>#REF!</v>
      </c>
      <c r="G1175" s="325" t="e">
        <f>#REF!</f>
        <v>#REF!</v>
      </c>
      <c r="H1175" s="325" t="e">
        <f t="shared" si="58"/>
        <v>#REF!</v>
      </c>
      <c r="I1175" s="261"/>
      <c r="J1175" s="265" t="e">
        <f t="shared" si="60"/>
        <v>#REF!</v>
      </c>
      <c r="K1175" s="295"/>
      <c r="L1175" s="270"/>
      <c r="M1175" s="263"/>
      <c r="N1175" s="261"/>
      <c r="O1175" s="260"/>
    </row>
    <row r="1176" spans="1:15" ht="25.5">
      <c r="A1176" s="178" t="s">
        <v>120</v>
      </c>
      <c r="B1176" s="185" t="s">
        <v>533</v>
      </c>
      <c r="C1176" s="39" t="s">
        <v>417</v>
      </c>
      <c r="D1176" s="255"/>
      <c r="E1176" s="325" t="e">
        <f>#REF!</f>
        <v>#REF!</v>
      </c>
      <c r="F1176" s="325" t="e">
        <f>#REF!</f>
        <v>#REF!</v>
      </c>
      <c r="G1176" s="325" t="e">
        <f>#REF!</f>
        <v>#REF!</v>
      </c>
      <c r="H1176" s="325" t="e">
        <f t="shared" si="58"/>
        <v>#REF!</v>
      </c>
      <c r="I1176" s="260"/>
      <c r="J1176" s="265" t="e">
        <f t="shared" si="60"/>
        <v>#REF!</v>
      </c>
      <c r="K1176" s="294"/>
      <c r="L1176" s="271"/>
      <c r="M1176" s="264"/>
      <c r="N1176" s="260"/>
      <c r="O1176" s="260"/>
    </row>
    <row r="1177" spans="1:15" ht="25.5">
      <c r="A1177" s="178" t="s">
        <v>120</v>
      </c>
      <c r="B1177" s="185" t="s">
        <v>534</v>
      </c>
      <c r="C1177" s="39" t="s">
        <v>417</v>
      </c>
      <c r="D1177" s="255"/>
      <c r="E1177" s="325" t="e">
        <f>#REF!</f>
        <v>#REF!</v>
      </c>
      <c r="F1177" s="325" t="e">
        <f>#REF!</f>
        <v>#REF!</v>
      </c>
      <c r="G1177" s="325" t="e">
        <f>#REF!</f>
        <v>#REF!</v>
      </c>
      <c r="H1177" s="325" t="e">
        <f t="shared" si="58"/>
        <v>#REF!</v>
      </c>
      <c r="I1177" s="261"/>
      <c r="J1177" s="265" t="e">
        <f t="shared" si="60"/>
        <v>#REF!</v>
      </c>
      <c r="K1177" s="295"/>
      <c r="L1177" s="270"/>
      <c r="M1177" s="263"/>
      <c r="N1177" s="261"/>
      <c r="O1177" s="260"/>
    </row>
    <row r="1178" spans="1:15" ht="17.25">
      <c r="A1178" s="178" t="s">
        <v>120</v>
      </c>
      <c r="B1178" s="185" t="s">
        <v>1443</v>
      </c>
      <c r="C1178" s="39" t="s">
        <v>417</v>
      </c>
      <c r="D1178" s="255"/>
      <c r="E1178" s="325" t="e">
        <f>#REF!</f>
        <v>#REF!</v>
      </c>
      <c r="F1178" s="325" t="e">
        <f>#REF!</f>
        <v>#REF!</v>
      </c>
      <c r="G1178" s="325" t="e">
        <f>#REF!</f>
        <v>#REF!</v>
      </c>
      <c r="H1178" s="325" t="e">
        <f t="shared" ref="H1178:H1242" si="61">G1178+F1178+E1178+D1178</f>
        <v>#REF!</v>
      </c>
      <c r="I1178" s="260"/>
      <c r="J1178" s="265" t="e">
        <f t="shared" si="60"/>
        <v>#REF!</v>
      </c>
      <c r="K1178" s="294"/>
      <c r="L1178" s="271"/>
      <c r="M1178" s="264"/>
      <c r="N1178" s="260"/>
      <c r="O1178" s="260"/>
    </row>
    <row r="1179" spans="1:15" ht="17.25">
      <c r="A1179" s="178" t="s">
        <v>120</v>
      </c>
      <c r="B1179" s="185" t="s">
        <v>1444</v>
      </c>
      <c r="C1179" s="39" t="s">
        <v>417</v>
      </c>
      <c r="D1179" s="255"/>
      <c r="E1179" s="325" t="e">
        <f>#REF!</f>
        <v>#REF!</v>
      </c>
      <c r="F1179" s="325" t="e">
        <f>#REF!</f>
        <v>#REF!</v>
      </c>
      <c r="G1179" s="325" t="e">
        <f>#REF!</f>
        <v>#REF!</v>
      </c>
      <c r="H1179" s="325" t="e">
        <f t="shared" si="61"/>
        <v>#REF!</v>
      </c>
      <c r="I1179" s="261"/>
      <c r="J1179" s="265" t="e">
        <f t="shared" si="60"/>
        <v>#REF!</v>
      </c>
      <c r="K1179" s="295"/>
      <c r="L1179" s="270"/>
      <c r="M1179" s="263"/>
      <c r="N1179" s="261"/>
      <c r="O1179" s="260"/>
    </row>
    <row r="1180" spans="1:15" ht="17.25">
      <c r="A1180" s="178" t="s">
        <v>120</v>
      </c>
      <c r="B1180" s="185" t="s">
        <v>1445</v>
      </c>
      <c r="C1180" s="39" t="s">
        <v>417</v>
      </c>
      <c r="D1180" s="255"/>
      <c r="E1180" s="325" t="e">
        <f>#REF!</f>
        <v>#REF!</v>
      </c>
      <c r="F1180" s="325" t="e">
        <f>#REF!</f>
        <v>#REF!</v>
      </c>
      <c r="G1180" s="325" t="e">
        <f>#REF!</f>
        <v>#REF!</v>
      </c>
      <c r="H1180" s="325" t="e">
        <f t="shared" si="61"/>
        <v>#REF!</v>
      </c>
      <c r="I1180" s="260"/>
      <c r="J1180" s="265" t="e">
        <f t="shared" si="60"/>
        <v>#REF!</v>
      </c>
      <c r="K1180" s="294"/>
      <c r="L1180" s="271"/>
      <c r="M1180" s="264"/>
      <c r="N1180" s="260"/>
      <c r="O1180" s="260"/>
    </row>
    <row r="1181" spans="1:15" ht="17.25">
      <c r="A1181" s="178" t="s">
        <v>120</v>
      </c>
      <c r="B1181" s="185" t="s">
        <v>474</v>
      </c>
      <c r="C1181" s="39" t="s">
        <v>417</v>
      </c>
      <c r="D1181" s="255"/>
      <c r="E1181" s="325" t="e">
        <f>#REF!</f>
        <v>#REF!</v>
      </c>
      <c r="F1181" s="325" t="e">
        <f>#REF!</f>
        <v>#REF!</v>
      </c>
      <c r="G1181" s="325" t="e">
        <f>#REF!</f>
        <v>#REF!</v>
      </c>
      <c r="H1181" s="325" t="e">
        <f t="shared" si="61"/>
        <v>#REF!</v>
      </c>
      <c r="I1181" s="261"/>
      <c r="J1181" s="265" t="e">
        <f t="shared" si="60"/>
        <v>#REF!</v>
      </c>
      <c r="K1181" s="295"/>
      <c r="L1181" s="270"/>
      <c r="M1181" s="263"/>
      <c r="N1181" s="261"/>
      <c r="O1181" s="260"/>
    </row>
    <row r="1182" spans="1:15" ht="31.5">
      <c r="A1182" s="178" t="s">
        <v>120</v>
      </c>
      <c r="B1182" s="184" t="s">
        <v>475</v>
      </c>
      <c r="C1182" s="39" t="s">
        <v>417</v>
      </c>
      <c r="D1182" s="304">
        <v>2</v>
      </c>
      <c r="E1182" s="325" t="e">
        <f>#REF!</f>
        <v>#REF!</v>
      </c>
      <c r="F1182" s="325" t="e">
        <f>#REF!</f>
        <v>#REF!</v>
      </c>
      <c r="G1182" s="325" t="e">
        <f>#REF!</f>
        <v>#REF!</v>
      </c>
      <c r="H1182" s="325" t="e">
        <f t="shared" si="61"/>
        <v>#REF!</v>
      </c>
      <c r="I1182" s="314">
        <v>2300</v>
      </c>
      <c r="J1182" s="314">
        <f>I1182*D1182</f>
        <v>4600</v>
      </c>
      <c r="K1182" s="315"/>
      <c r="L1182" s="316">
        <v>42450</v>
      </c>
      <c r="M1182" s="308" t="s">
        <v>1663</v>
      </c>
      <c r="N1182" s="254" t="s">
        <v>342</v>
      </c>
      <c r="O1182" s="314" t="s">
        <v>1642</v>
      </c>
    </row>
    <row r="1183" spans="1:15" ht="17.25">
      <c r="A1183" s="178" t="s">
        <v>120</v>
      </c>
      <c r="B1183" s="184" t="s">
        <v>476</v>
      </c>
      <c r="C1183" s="39" t="s">
        <v>417</v>
      </c>
      <c r="D1183" s="255"/>
      <c r="E1183" s="325" t="e">
        <f>#REF!</f>
        <v>#REF!</v>
      </c>
      <c r="F1183" s="325" t="e">
        <f>#REF!</f>
        <v>#REF!</v>
      </c>
      <c r="G1183" s="325" t="e">
        <f>#REF!</f>
        <v>#REF!</v>
      </c>
      <c r="H1183" s="325" t="e">
        <f t="shared" si="61"/>
        <v>#REF!</v>
      </c>
      <c r="I1183" s="261"/>
      <c r="J1183" s="265" t="e">
        <f>I1183*H1183</f>
        <v>#REF!</v>
      </c>
      <c r="K1183" s="295"/>
      <c r="L1183" s="270"/>
      <c r="M1183" s="263"/>
      <c r="N1183" s="261"/>
      <c r="O1183" s="260"/>
    </row>
    <row r="1184" spans="1:15" ht="17.25">
      <c r="A1184" s="178" t="s">
        <v>120</v>
      </c>
      <c r="B1184" s="185" t="s">
        <v>496</v>
      </c>
      <c r="C1184" s="39" t="s">
        <v>417</v>
      </c>
      <c r="D1184" s="255"/>
      <c r="E1184" s="325" t="e">
        <f>#REF!</f>
        <v>#REF!</v>
      </c>
      <c r="F1184" s="325" t="e">
        <f>#REF!</f>
        <v>#REF!</v>
      </c>
      <c r="G1184" s="325" t="e">
        <f>#REF!</f>
        <v>#REF!</v>
      </c>
      <c r="H1184" s="325" t="e">
        <f t="shared" si="61"/>
        <v>#REF!</v>
      </c>
      <c r="I1184" s="260"/>
      <c r="J1184" s="265" t="e">
        <f>I1184*H1184</f>
        <v>#REF!</v>
      </c>
      <c r="K1184" s="294"/>
      <c r="L1184" s="271"/>
      <c r="M1184" s="264"/>
      <c r="N1184" s="260"/>
      <c r="O1184" s="260"/>
    </row>
    <row r="1185" spans="1:15" ht="17.25">
      <c r="A1185" s="178" t="s">
        <v>120</v>
      </c>
      <c r="B1185" s="184" t="s">
        <v>497</v>
      </c>
      <c r="C1185" s="39" t="s">
        <v>417</v>
      </c>
      <c r="D1185" s="255"/>
      <c r="E1185" s="325" t="e">
        <f>#REF!</f>
        <v>#REF!</v>
      </c>
      <c r="F1185" s="325" t="e">
        <f>#REF!</f>
        <v>#REF!</v>
      </c>
      <c r="G1185" s="325" t="e">
        <f>#REF!</f>
        <v>#REF!</v>
      </c>
      <c r="H1185" s="325" t="e">
        <f t="shared" si="61"/>
        <v>#REF!</v>
      </c>
      <c r="I1185" s="261"/>
      <c r="J1185" s="265" t="e">
        <f>I1185*H1185</f>
        <v>#REF!</v>
      </c>
      <c r="K1185" s="295"/>
      <c r="L1185" s="270"/>
      <c r="M1185" s="263"/>
      <c r="N1185" s="261"/>
      <c r="O1185" s="260"/>
    </row>
    <row r="1186" spans="1:15" ht="17.25">
      <c r="A1186" s="178" t="s">
        <v>120</v>
      </c>
      <c r="B1186" s="184" t="s">
        <v>498</v>
      </c>
      <c r="C1186" s="39" t="s">
        <v>417</v>
      </c>
      <c r="D1186" s="255"/>
      <c r="E1186" s="325" t="e">
        <f>#REF!</f>
        <v>#REF!</v>
      </c>
      <c r="F1186" s="325" t="e">
        <f>#REF!</f>
        <v>#REF!</v>
      </c>
      <c r="G1186" s="325" t="e">
        <f>#REF!</f>
        <v>#REF!</v>
      </c>
      <c r="H1186" s="325" t="e">
        <f t="shared" si="61"/>
        <v>#REF!</v>
      </c>
      <c r="I1186" s="260"/>
      <c r="J1186" s="265" t="e">
        <f>I1186*H1186</f>
        <v>#REF!</v>
      </c>
      <c r="K1186" s="294"/>
      <c r="L1186" s="271"/>
      <c r="M1186" s="264"/>
      <c r="N1186" s="260"/>
      <c r="O1186" s="260"/>
    </row>
    <row r="1187" spans="1:15" ht="17.25">
      <c r="A1187" s="178" t="s">
        <v>120</v>
      </c>
      <c r="B1187" s="184" t="s">
        <v>499</v>
      </c>
      <c r="C1187" s="39" t="s">
        <v>417</v>
      </c>
      <c r="D1187" s="255"/>
      <c r="E1187" s="325" t="e">
        <f>#REF!</f>
        <v>#REF!</v>
      </c>
      <c r="F1187" s="325" t="e">
        <f>#REF!</f>
        <v>#REF!</v>
      </c>
      <c r="G1187" s="325" t="e">
        <f>#REF!</f>
        <v>#REF!</v>
      </c>
      <c r="H1187" s="325" t="e">
        <f t="shared" si="61"/>
        <v>#REF!</v>
      </c>
      <c r="I1187" s="261"/>
      <c r="J1187" s="265" t="e">
        <f>I1187*H1187</f>
        <v>#REF!</v>
      </c>
      <c r="K1187" s="295"/>
      <c r="L1187" s="270"/>
      <c r="M1187" s="263"/>
      <c r="N1187" s="261"/>
      <c r="O1187" s="260"/>
    </row>
    <row r="1188" spans="1:15" ht="31.5">
      <c r="A1188" s="178" t="s">
        <v>120</v>
      </c>
      <c r="B1188" s="185" t="s">
        <v>500</v>
      </c>
      <c r="C1188" s="39" t="s">
        <v>417</v>
      </c>
      <c r="D1188" s="304">
        <v>11</v>
      </c>
      <c r="E1188" s="325" t="e">
        <f>#REF!</f>
        <v>#REF!</v>
      </c>
      <c r="F1188" s="325" t="e">
        <f>#REF!</f>
        <v>#REF!</v>
      </c>
      <c r="G1188" s="325" t="e">
        <f>#REF!</f>
        <v>#REF!</v>
      </c>
      <c r="H1188" s="325" t="e">
        <f t="shared" si="61"/>
        <v>#REF!</v>
      </c>
      <c r="I1188" s="314">
        <v>6495</v>
      </c>
      <c r="J1188" s="314">
        <f>I1188*D1188</f>
        <v>71445</v>
      </c>
      <c r="K1188" s="315"/>
      <c r="L1188" s="316">
        <v>42425</v>
      </c>
      <c r="M1188" s="308" t="s">
        <v>1663</v>
      </c>
      <c r="N1188" s="254" t="s">
        <v>342</v>
      </c>
      <c r="O1188" s="314" t="s">
        <v>1642</v>
      </c>
    </row>
    <row r="1189" spans="1:15" ht="17.25">
      <c r="A1189" s="178" t="s">
        <v>120</v>
      </c>
      <c r="B1189" s="185" t="s">
        <v>501</v>
      </c>
      <c r="C1189" s="39" t="s">
        <v>417</v>
      </c>
      <c r="D1189" s="255"/>
      <c r="E1189" s="325" t="e">
        <f>#REF!</f>
        <v>#REF!</v>
      </c>
      <c r="F1189" s="325" t="e">
        <f>#REF!</f>
        <v>#REF!</v>
      </c>
      <c r="G1189" s="325" t="e">
        <f>#REF!</f>
        <v>#REF!</v>
      </c>
      <c r="H1189" s="325" t="e">
        <f t="shared" si="61"/>
        <v>#REF!</v>
      </c>
      <c r="I1189" s="261"/>
      <c r="J1189" s="265" t="e">
        <f>I1189*H1189</f>
        <v>#REF!</v>
      </c>
      <c r="K1189" s="295"/>
      <c r="L1189" s="270"/>
      <c r="M1189" s="263"/>
      <c r="N1189" s="261"/>
      <c r="O1189" s="260"/>
    </row>
    <row r="1190" spans="1:15" ht="17.25">
      <c r="A1190" s="178" t="s">
        <v>120</v>
      </c>
      <c r="B1190" s="184" t="s">
        <v>502</v>
      </c>
      <c r="C1190" s="39" t="s">
        <v>417</v>
      </c>
      <c r="D1190" s="255"/>
      <c r="E1190" s="325" t="e">
        <f>#REF!</f>
        <v>#REF!</v>
      </c>
      <c r="F1190" s="325" t="e">
        <f>#REF!</f>
        <v>#REF!</v>
      </c>
      <c r="G1190" s="325" t="e">
        <f>#REF!</f>
        <v>#REF!</v>
      </c>
      <c r="H1190" s="325" t="e">
        <f t="shared" si="61"/>
        <v>#REF!</v>
      </c>
      <c r="I1190" s="260"/>
      <c r="J1190" s="265" t="e">
        <f t="shared" ref="J1190:J1225" si="62">I1190*H1190</f>
        <v>#REF!</v>
      </c>
      <c r="K1190" s="294"/>
      <c r="L1190" s="271"/>
      <c r="M1190" s="264"/>
      <c r="N1190" s="260"/>
      <c r="O1190" s="260"/>
    </row>
    <row r="1191" spans="1:15" ht="17.25">
      <c r="A1191" s="178" t="s">
        <v>120</v>
      </c>
      <c r="B1191" s="184" t="s">
        <v>503</v>
      </c>
      <c r="C1191" s="39" t="s">
        <v>417</v>
      </c>
      <c r="D1191" s="255"/>
      <c r="E1191" s="325" t="e">
        <f>#REF!</f>
        <v>#REF!</v>
      </c>
      <c r="F1191" s="325" t="e">
        <f>#REF!</f>
        <v>#REF!</v>
      </c>
      <c r="G1191" s="325" t="e">
        <f>#REF!</f>
        <v>#REF!</v>
      </c>
      <c r="H1191" s="325" t="e">
        <f t="shared" si="61"/>
        <v>#REF!</v>
      </c>
      <c r="I1191" s="261"/>
      <c r="J1191" s="265" t="e">
        <f t="shared" si="62"/>
        <v>#REF!</v>
      </c>
      <c r="K1191" s="295"/>
      <c r="L1191" s="270"/>
      <c r="M1191" s="263"/>
      <c r="N1191" s="261"/>
      <c r="O1191" s="260"/>
    </row>
    <row r="1192" spans="1:15" ht="17.25">
      <c r="A1192" s="178" t="s">
        <v>120</v>
      </c>
      <c r="B1192" s="184" t="s">
        <v>504</v>
      </c>
      <c r="C1192" s="39" t="s">
        <v>417</v>
      </c>
      <c r="D1192" s="255"/>
      <c r="E1192" s="325" t="e">
        <f>#REF!</f>
        <v>#REF!</v>
      </c>
      <c r="F1192" s="325" t="e">
        <f>#REF!</f>
        <v>#REF!</v>
      </c>
      <c r="G1192" s="325" t="e">
        <f>#REF!</f>
        <v>#REF!</v>
      </c>
      <c r="H1192" s="325" t="e">
        <f t="shared" si="61"/>
        <v>#REF!</v>
      </c>
      <c r="I1192" s="260"/>
      <c r="J1192" s="265" t="e">
        <f t="shared" si="62"/>
        <v>#REF!</v>
      </c>
      <c r="K1192" s="294"/>
      <c r="L1192" s="271"/>
      <c r="M1192" s="264"/>
      <c r="N1192" s="260"/>
      <c r="O1192" s="260"/>
    </row>
    <row r="1193" spans="1:15" ht="17.25">
      <c r="A1193" s="178" t="s">
        <v>120</v>
      </c>
      <c r="B1193" s="184" t="s">
        <v>505</v>
      </c>
      <c r="C1193" s="39" t="s">
        <v>417</v>
      </c>
      <c r="D1193" s="255"/>
      <c r="E1193" s="325" t="e">
        <f>#REF!</f>
        <v>#REF!</v>
      </c>
      <c r="F1193" s="325" t="e">
        <f>#REF!</f>
        <v>#REF!</v>
      </c>
      <c r="G1193" s="325" t="e">
        <f>#REF!</f>
        <v>#REF!</v>
      </c>
      <c r="H1193" s="325" t="e">
        <f t="shared" si="61"/>
        <v>#REF!</v>
      </c>
      <c r="I1193" s="261"/>
      <c r="J1193" s="265" t="e">
        <f t="shared" si="62"/>
        <v>#REF!</v>
      </c>
      <c r="K1193" s="295"/>
      <c r="L1193" s="270"/>
      <c r="M1193" s="263"/>
      <c r="N1193" s="261"/>
      <c r="O1193" s="260"/>
    </row>
    <row r="1194" spans="1:15" ht="17.25">
      <c r="A1194" s="178" t="s">
        <v>120</v>
      </c>
      <c r="B1194" s="184" t="s">
        <v>506</v>
      </c>
      <c r="C1194" s="39" t="s">
        <v>417</v>
      </c>
      <c r="D1194" s="255"/>
      <c r="E1194" s="325" t="e">
        <f>#REF!</f>
        <v>#REF!</v>
      </c>
      <c r="F1194" s="325" t="e">
        <f>#REF!</f>
        <v>#REF!</v>
      </c>
      <c r="G1194" s="325" t="e">
        <f>#REF!</f>
        <v>#REF!</v>
      </c>
      <c r="H1194" s="325" t="e">
        <f t="shared" si="61"/>
        <v>#REF!</v>
      </c>
      <c r="I1194" s="260"/>
      <c r="J1194" s="265" t="e">
        <f t="shared" si="62"/>
        <v>#REF!</v>
      </c>
      <c r="K1194" s="294"/>
      <c r="L1194" s="271"/>
      <c r="M1194" s="264"/>
      <c r="N1194" s="260"/>
      <c r="O1194" s="260"/>
    </row>
    <row r="1195" spans="1:15" ht="17.25">
      <c r="A1195" s="178" t="s">
        <v>120</v>
      </c>
      <c r="B1195" s="184" t="s">
        <v>507</v>
      </c>
      <c r="C1195" s="39" t="s">
        <v>417</v>
      </c>
      <c r="D1195" s="255"/>
      <c r="E1195" s="325" t="e">
        <f>#REF!</f>
        <v>#REF!</v>
      </c>
      <c r="F1195" s="325" t="e">
        <f>#REF!</f>
        <v>#REF!</v>
      </c>
      <c r="G1195" s="325" t="e">
        <f>#REF!</f>
        <v>#REF!</v>
      </c>
      <c r="H1195" s="325" t="e">
        <f t="shared" si="61"/>
        <v>#REF!</v>
      </c>
      <c r="I1195" s="261"/>
      <c r="J1195" s="265" t="e">
        <f t="shared" si="62"/>
        <v>#REF!</v>
      </c>
      <c r="K1195" s="295"/>
      <c r="L1195" s="270"/>
      <c r="M1195" s="263"/>
      <c r="N1195" s="261"/>
      <c r="O1195" s="260"/>
    </row>
    <row r="1196" spans="1:15" ht="17.25">
      <c r="A1196" s="178" t="s">
        <v>120</v>
      </c>
      <c r="B1196" s="184" t="s">
        <v>508</v>
      </c>
      <c r="C1196" s="39" t="s">
        <v>417</v>
      </c>
      <c r="D1196" s="255"/>
      <c r="E1196" s="325" t="e">
        <f>#REF!</f>
        <v>#REF!</v>
      </c>
      <c r="F1196" s="325" t="e">
        <f>#REF!</f>
        <v>#REF!</v>
      </c>
      <c r="G1196" s="325" t="e">
        <f>#REF!</f>
        <v>#REF!</v>
      </c>
      <c r="H1196" s="325" t="e">
        <f t="shared" si="61"/>
        <v>#REF!</v>
      </c>
      <c r="I1196" s="260"/>
      <c r="J1196" s="265" t="e">
        <f t="shared" si="62"/>
        <v>#REF!</v>
      </c>
      <c r="K1196" s="294"/>
      <c r="L1196" s="271"/>
      <c r="M1196" s="264"/>
      <c r="N1196" s="260"/>
      <c r="O1196" s="260"/>
    </row>
    <row r="1197" spans="1:15" ht="17.25">
      <c r="A1197" s="178" t="s">
        <v>120</v>
      </c>
      <c r="B1197" s="184" t="s">
        <v>509</v>
      </c>
      <c r="C1197" s="39" t="s">
        <v>417</v>
      </c>
      <c r="D1197" s="255"/>
      <c r="E1197" s="325" t="e">
        <f>#REF!</f>
        <v>#REF!</v>
      </c>
      <c r="F1197" s="325" t="e">
        <f>#REF!</f>
        <v>#REF!</v>
      </c>
      <c r="G1197" s="325" t="e">
        <f>#REF!</f>
        <v>#REF!</v>
      </c>
      <c r="H1197" s="325" t="e">
        <f t="shared" si="61"/>
        <v>#REF!</v>
      </c>
      <c r="I1197" s="261"/>
      <c r="J1197" s="265" t="e">
        <f t="shared" si="62"/>
        <v>#REF!</v>
      </c>
      <c r="K1197" s="295"/>
      <c r="L1197" s="270"/>
      <c r="M1197" s="263"/>
      <c r="N1197" s="261"/>
      <c r="O1197" s="260"/>
    </row>
    <row r="1198" spans="1:15" ht="17.25">
      <c r="A1198" s="178" t="s">
        <v>120</v>
      </c>
      <c r="B1198" s="184" t="s">
        <v>510</v>
      </c>
      <c r="C1198" s="39" t="s">
        <v>417</v>
      </c>
      <c r="D1198" s="255"/>
      <c r="E1198" s="325" t="e">
        <f>#REF!</f>
        <v>#REF!</v>
      </c>
      <c r="F1198" s="325" t="e">
        <f>#REF!</f>
        <v>#REF!</v>
      </c>
      <c r="G1198" s="325" t="e">
        <f>#REF!</f>
        <v>#REF!</v>
      </c>
      <c r="H1198" s="325" t="e">
        <f t="shared" si="61"/>
        <v>#REF!</v>
      </c>
      <c r="I1198" s="260"/>
      <c r="J1198" s="265" t="e">
        <f t="shared" si="62"/>
        <v>#REF!</v>
      </c>
      <c r="K1198" s="294"/>
      <c r="L1198" s="271"/>
      <c r="M1198" s="264"/>
      <c r="N1198" s="260"/>
      <c r="O1198" s="260"/>
    </row>
    <row r="1199" spans="1:15" ht="17.25">
      <c r="A1199" s="178" t="s">
        <v>120</v>
      </c>
      <c r="B1199" s="184" t="s">
        <v>511</v>
      </c>
      <c r="C1199" s="39" t="s">
        <v>417</v>
      </c>
      <c r="D1199" s="255"/>
      <c r="E1199" s="325" t="e">
        <f>#REF!</f>
        <v>#REF!</v>
      </c>
      <c r="F1199" s="325" t="e">
        <f>#REF!</f>
        <v>#REF!</v>
      </c>
      <c r="G1199" s="325" t="e">
        <f>#REF!</f>
        <v>#REF!</v>
      </c>
      <c r="H1199" s="325" t="e">
        <f t="shared" si="61"/>
        <v>#REF!</v>
      </c>
      <c r="I1199" s="261"/>
      <c r="J1199" s="265" t="e">
        <f t="shared" si="62"/>
        <v>#REF!</v>
      </c>
      <c r="K1199" s="295"/>
      <c r="L1199" s="270"/>
      <c r="M1199" s="263"/>
      <c r="N1199" s="261"/>
      <c r="O1199" s="260"/>
    </row>
    <row r="1200" spans="1:15" ht="17.25">
      <c r="A1200" s="178" t="s">
        <v>120</v>
      </c>
      <c r="B1200" s="184" t="s">
        <v>512</v>
      </c>
      <c r="C1200" s="39" t="s">
        <v>417</v>
      </c>
      <c r="D1200" s="255"/>
      <c r="E1200" s="325" t="e">
        <f>#REF!</f>
        <v>#REF!</v>
      </c>
      <c r="F1200" s="325" t="e">
        <f>#REF!</f>
        <v>#REF!</v>
      </c>
      <c r="G1200" s="325" t="e">
        <f>#REF!</f>
        <v>#REF!</v>
      </c>
      <c r="H1200" s="325" t="e">
        <f t="shared" si="61"/>
        <v>#REF!</v>
      </c>
      <c r="I1200" s="260"/>
      <c r="J1200" s="265" t="e">
        <f t="shared" si="62"/>
        <v>#REF!</v>
      </c>
      <c r="K1200" s="294"/>
      <c r="L1200" s="271"/>
      <c r="M1200" s="264"/>
      <c r="N1200" s="260"/>
      <c r="O1200" s="260"/>
    </row>
    <row r="1201" spans="1:15" ht="17.25">
      <c r="A1201" s="178" t="s">
        <v>120</v>
      </c>
      <c r="B1201" s="184" t="s">
        <v>513</v>
      </c>
      <c r="C1201" s="39" t="s">
        <v>417</v>
      </c>
      <c r="D1201" s="255"/>
      <c r="E1201" s="325" t="e">
        <f>#REF!</f>
        <v>#REF!</v>
      </c>
      <c r="F1201" s="325" t="e">
        <f>#REF!</f>
        <v>#REF!</v>
      </c>
      <c r="G1201" s="325" t="e">
        <f>#REF!</f>
        <v>#REF!</v>
      </c>
      <c r="H1201" s="325" t="e">
        <f t="shared" si="61"/>
        <v>#REF!</v>
      </c>
      <c r="I1201" s="261"/>
      <c r="J1201" s="265" t="e">
        <f t="shared" si="62"/>
        <v>#REF!</v>
      </c>
      <c r="K1201" s="295"/>
      <c r="L1201" s="270"/>
      <c r="M1201" s="263"/>
      <c r="N1201" s="261"/>
      <c r="O1201" s="260"/>
    </row>
    <row r="1202" spans="1:15" ht="17.25">
      <c r="A1202" s="178" t="s">
        <v>120</v>
      </c>
      <c r="B1202" s="184" t="s">
        <v>514</v>
      </c>
      <c r="C1202" s="39" t="s">
        <v>417</v>
      </c>
      <c r="D1202" s="255"/>
      <c r="E1202" s="325" t="e">
        <f>#REF!</f>
        <v>#REF!</v>
      </c>
      <c r="F1202" s="325" t="e">
        <f>#REF!</f>
        <v>#REF!</v>
      </c>
      <c r="G1202" s="325" t="e">
        <f>#REF!</f>
        <v>#REF!</v>
      </c>
      <c r="H1202" s="325" t="e">
        <f t="shared" si="61"/>
        <v>#REF!</v>
      </c>
      <c r="I1202" s="260"/>
      <c r="J1202" s="265" t="e">
        <f t="shared" si="62"/>
        <v>#REF!</v>
      </c>
      <c r="K1202" s="294"/>
      <c r="L1202" s="271"/>
      <c r="M1202" s="264"/>
      <c r="N1202" s="260"/>
      <c r="O1202" s="260"/>
    </row>
    <row r="1203" spans="1:15" ht="17.25">
      <c r="A1203" s="178" t="s">
        <v>120</v>
      </c>
      <c r="B1203" s="184" t="s">
        <v>515</v>
      </c>
      <c r="C1203" s="39" t="s">
        <v>417</v>
      </c>
      <c r="D1203" s="255"/>
      <c r="E1203" s="325" t="e">
        <f>#REF!</f>
        <v>#REF!</v>
      </c>
      <c r="F1203" s="325" t="e">
        <f>#REF!</f>
        <v>#REF!</v>
      </c>
      <c r="G1203" s="325" t="e">
        <f>#REF!</f>
        <v>#REF!</v>
      </c>
      <c r="H1203" s="325" t="e">
        <f t="shared" si="61"/>
        <v>#REF!</v>
      </c>
      <c r="I1203" s="261"/>
      <c r="J1203" s="265" t="e">
        <f t="shared" si="62"/>
        <v>#REF!</v>
      </c>
      <c r="K1203" s="295"/>
      <c r="L1203" s="270"/>
      <c r="M1203" s="263"/>
      <c r="N1203" s="261"/>
      <c r="O1203" s="260"/>
    </row>
    <row r="1204" spans="1:15" ht="17.25">
      <c r="A1204" s="178" t="s">
        <v>120</v>
      </c>
      <c r="B1204" s="184" t="s">
        <v>516</v>
      </c>
      <c r="C1204" s="39" t="s">
        <v>417</v>
      </c>
      <c r="D1204" s="255"/>
      <c r="E1204" s="325" t="e">
        <f>#REF!</f>
        <v>#REF!</v>
      </c>
      <c r="F1204" s="325" t="e">
        <f>#REF!</f>
        <v>#REF!</v>
      </c>
      <c r="G1204" s="325" t="e">
        <f>#REF!</f>
        <v>#REF!</v>
      </c>
      <c r="H1204" s="325" t="e">
        <f t="shared" si="61"/>
        <v>#REF!</v>
      </c>
      <c r="I1204" s="260"/>
      <c r="J1204" s="265" t="e">
        <f t="shared" si="62"/>
        <v>#REF!</v>
      </c>
      <c r="K1204" s="294"/>
      <c r="L1204" s="271"/>
      <c r="M1204" s="264"/>
      <c r="N1204" s="260"/>
      <c r="O1204" s="260"/>
    </row>
    <row r="1205" spans="1:15" ht="17.25">
      <c r="A1205" s="178" t="s">
        <v>120</v>
      </c>
      <c r="B1205" s="184" t="s">
        <v>517</v>
      </c>
      <c r="C1205" s="39" t="s">
        <v>417</v>
      </c>
      <c r="D1205" s="255"/>
      <c r="E1205" s="325" t="e">
        <f>#REF!</f>
        <v>#REF!</v>
      </c>
      <c r="F1205" s="325" t="e">
        <f>#REF!</f>
        <v>#REF!</v>
      </c>
      <c r="G1205" s="325" t="e">
        <f>#REF!</f>
        <v>#REF!</v>
      </c>
      <c r="H1205" s="325" t="e">
        <f t="shared" si="61"/>
        <v>#REF!</v>
      </c>
      <c r="I1205" s="261"/>
      <c r="J1205" s="265" t="e">
        <f t="shared" si="62"/>
        <v>#REF!</v>
      </c>
      <c r="K1205" s="295"/>
      <c r="L1205" s="270"/>
      <c r="M1205" s="263"/>
      <c r="N1205" s="261"/>
      <c r="O1205" s="260"/>
    </row>
    <row r="1206" spans="1:15" ht="17.25">
      <c r="A1206" s="178" t="s">
        <v>120</v>
      </c>
      <c r="B1206" s="184" t="s">
        <v>518</v>
      </c>
      <c r="C1206" s="39" t="s">
        <v>417</v>
      </c>
      <c r="D1206" s="255"/>
      <c r="E1206" s="325" t="e">
        <f>#REF!</f>
        <v>#REF!</v>
      </c>
      <c r="F1206" s="325" t="e">
        <f>#REF!</f>
        <v>#REF!</v>
      </c>
      <c r="G1206" s="325" t="e">
        <f>#REF!</f>
        <v>#REF!</v>
      </c>
      <c r="H1206" s="325" t="e">
        <f t="shared" si="61"/>
        <v>#REF!</v>
      </c>
      <c r="I1206" s="260"/>
      <c r="J1206" s="265" t="e">
        <f t="shared" si="62"/>
        <v>#REF!</v>
      </c>
      <c r="K1206" s="294"/>
      <c r="L1206" s="271"/>
      <c r="M1206" s="264"/>
      <c r="N1206" s="260"/>
      <c r="O1206" s="260"/>
    </row>
    <row r="1207" spans="1:15" ht="17.25">
      <c r="A1207" s="178" t="s">
        <v>120</v>
      </c>
      <c r="B1207" s="184" t="s">
        <v>519</v>
      </c>
      <c r="C1207" s="39" t="s">
        <v>417</v>
      </c>
      <c r="D1207" s="255"/>
      <c r="E1207" s="325" t="e">
        <f>#REF!</f>
        <v>#REF!</v>
      </c>
      <c r="F1207" s="325" t="e">
        <f>#REF!</f>
        <v>#REF!</v>
      </c>
      <c r="G1207" s="325" t="e">
        <f>#REF!</f>
        <v>#REF!</v>
      </c>
      <c r="H1207" s="325" t="e">
        <f t="shared" si="61"/>
        <v>#REF!</v>
      </c>
      <c r="I1207" s="261"/>
      <c r="J1207" s="265" t="e">
        <f t="shared" si="62"/>
        <v>#REF!</v>
      </c>
      <c r="K1207" s="295"/>
      <c r="L1207" s="270"/>
      <c r="M1207" s="263"/>
      <c r="N1207" s="261"/>
      <c r="O1207" s="260"/>
    </row>
    <row r="1208" spans="1:15" ht="17.25">
      <c r="A1208" s="178" t="s">
        <v>120</v>
      </c>
      <c r="B1208" s="184" t="s">
        <v>520</v>
      </c>
      <c r="C1208" s="39" t="s">
        <v>417</v>
      </c>
      <c r="D1208" s="255"/>
      <c r="E1208" s="325" t="e">
        <f>#REF!</f>
        <v>#REF!</v>
      </c>
      <c r="F1208" s="325" t="e">
        <f>#REF!</f>
        <v>#REF!</v>
      </c>
      <c r="G1208" s="325" t="e">
        <f>#REF!</f>
        <v>#REF!</v>
      </c>
      <c r="H1208" s="325" t="e">
        <f t="shared" si="61"/>
        <v>#REF!</v>
      </c>
      <c r="I1208" s="260"/>
      <c r="J1208" s="265" t="e">
        <f t="shared" si="62"/>
        <v>#REF!</v>
      </c>
      <c r="K1208" s="294"/>
      <c r="L1208" s="271"/>
      <c r="M1208" s="264"/>
      <c r="N1208" s="260"/>
      <c r="O1208" s="260"/>
    </row>
    <row r="1209" spans="1:15" ht="17.25">
      <c r="A1209" s="178" t="s">
        <v>120</v>
      </c>
      <c r="B1209" s="184" t="s">
        <v>521</v>
      </c>
      <c r="C1209" s="39" t="s">
        <v>417</v>
      </c>
      <c r="D1209" s="255"/>
      <c r="E1209" s="325" t="e">
        <f>#REF!</f>
        <v>#REF!</v>
      </c>
      <c r="F1209" s="325" t="e">
        <f>#REF!</f>
        <v>#REF!</v>
      </c>
      <c r="G1209" s="325" t="e">
        <f>#REF!</f>
        <v>#REF!</v>
      </c>
      <c r="H1209" s="325" t="e">
        <f t="shared" si="61"/>
        <v>#REF!</v>
      </c>
      <c r="I1209" s="261"/>
      <c r="J1209" s="265" t="e">
        <f t="shared" si="62"/>
        <v>#REF!</v>
      </c>
      <c r="K1209" s="295"/>
      <c r="L1209" s="270"/>
      <c r="M1209" s="263"/>
      <c r="N1209" s="261"/>
      <c r="O1209" s="260"/>
    </row>
    <row r="1210" spans="1:15" ht="17.25">
      <c r="A1210" s="178" t="s">
        <v>120</v>
      </c>
      <c r="B1210" s="184" t="s">
        <v>522</v>
      </c>
      <c r="C1210" s="39" t="s">
        <v>417</v>
      </c>
      <c r="D1210" s="255"/>
      <c r="E1210" s="325" t="e">
        <f>#REF!</f>
        <v>#REF!</v>
      </c>
      <c r="F1210" s="325" t="e">
        <f>#REF!</f>
        <v>#REF!</v>
      </c>
      <c r="G1210" s="325" t="e">
        <f>#REF!</f>
        <v>#REF!</v>
      </c>
      <c r="H1210" s="325" t="e">
        <f t="shared" si="61"/>
        <v>#REF!</v>
      </c>
      <c r="I1210" s="260"/>
      <c r="J1210" s="265" t="e">
        <f t="shared" si="62"/>
        <v>#REF!</v>
      </c>
      <c r="K1210" s="294"/>
      <c r="L1210" s="271"/>
      <c r="M1210" s="264"/>
      <c r="N1210" s="260"/>
      <c r="O1210" s="260"/>
    </row>
    <row r="1211" spans="1:15" ht="17.25">
      <c r="A1211" s="178" t="s">
        <v>120</v>
      </c>
      <c r="B1211" s="184" t="s">
        <v>523</v>
      </c>
      <c r="C1211" s="39" t="s">
        <v>417</v>
      </c>
      <c r="D1211" s="255"/>
      <c r="E1211" s="325" t="e">
        <f>#REF!</f>
        <v>#REF!</v>
      </c>
      <c r="F1211" s="325" t="e">
        <f>#REF!</f>
        <v>#REF!</v>
      </c>
      <c r="G1211" s="325" t="e">
        <f>#REF!</f>
        <v>#REF!</v>
      </c>
      <c r="H1211" s="325" t="e">
        <f t="shared" si="61"/>
        <v>#REF!</v>
      </c>
      <c r="I1211" s="261"/>
      <c r="J1211" s="265" t="e">
        <f t="shared" si="62"/>
        <v>#REF!</v>
      </c>
      <c r="K1211" s="295"/>
      <c r="L1211" s="270"/>
      <c r="M1211" s="263"/>
      <c r="N1211" s="261"/>
      <c r="O1211" s="260"/>
    </row>
    <row r="1212" spans="1:15" ht="17.25">
      <c r="A1212" s="178" t="s">
        <v>120</v>
      </c>
      <c r="B1212" s="184" t="s">
        <v>524</v>
      </c>
      <c r="C1212" s="39" t="s">
        <v>417</v>
      </c>
      <c r="D1212" s="255"/>
      <c r="E1212" s="325" t="e">
        <f>#REF!</f>
        <v>#REF!</v>
      </c>
      <c r="F1212" s="325" t="e">
        <f>#REF!</f>
        <v>#REF!</v>
      </c>
      <c r="G1212" s="325" t="e">
        <f>#REF!</f>
        <v>#REF!</v>
      </c>
      <c r="H1212" s="325" t="e">
        <f t="shared" si="61"/>
        <v>#REF!</v>
      </c>
      <c r="I1212" s="260"/>
      <c r="J1212" s="265" t="e">
        <f t="shared" si="62"/>
        <v>#REF!</v>
      </c>
      <c r="K1212" s="294"/>
      <c r="L1212" s="271"/>
      <c r="M1212" s="264"/>
      <c r="N1212" s="260"/>
      <c r="O1212" s="260"/>
    </row>
    <row r="1213" spans="1:15" ht="17.25">
      <c r="A1213" s="178" t="s">
        <v>120</v>
      </c>
      <c r="B1213" s="184" t="s">
        <v>525</v>
      </c>
      <c r="C1213" s="39" t="s">
        <v>417</v>
      </c>
      <c r="D1213" s="255"/>
      <c r="E1213" s="325" t="e">
        <f>#REF!</f>
        <v>#REF!</v>
      </c>
      <c r="F1213" s="325" t="e">
        <f>#REF!</f>
        <v>#REF!</v>
      </c>
      <c r="G1213" s="325" t="e">
        <f>#REF!</f>
        <v>#REF!</v>
      </c>
      <c r="H1213" s="325" t="e">
        <f t="shared" si="61"/>
        <v>#REF!</v>
      </c>
      <c r="I1213" s="261"/>
      <c r="J1213" s="265" t="e">
        <f t="shared" si="62"/>
        <v>#REF!</v>
      </c>
      <c r="K1213" s="295"/>
      <c r="L1213" s="270"/>
      <c r="M1213" s="263"/>
      <c r="N1213" s="261"/>
      <c r="O1213" s="260"/>
    </row>
    <row r="1214" spans="1:15" ht="17.25">
      <c r="A1214" s="178" t="s">
        <v>120</v>
      </c>
      <c r="B1214" s="184" t="s">
        <v>526</v>
      </c>
      <c r="C1214" s="39" t="s">
        <v>417</v>
      </c>
      <c r="D1214" s="255"/>
      <c r="E1214" s="325" t="e">
        <f>#REF!</f>
        <v>#REF!</v>
      </c>
      <c r="F1214" s="325" t="e">
        <f>#REF!</f>
        <v>#REF!</v>
      </c>
      <c r="G1214" s="325" t="e">
        <f>#REF!</f>
        <v>#REF!</v>
      </c>
      <c r="H1214" s="325" t="e">
        <f t="shared" si="61"/>
        <v>#REF!</v>
      </c>
      <c r="I1214" s="260"/>
      <c r="J1214" s="265" t="e">
        <f t="shared" si="62"/>
        <v>#REF!</v>
      </c>
      <c r="K1214" s="294"/>
      <c r="L1214" s="271"/>
      <c r="M1214" s="264"/>
      <c r="N1214" s="260"/>
      <c r="O1214" s="260"/>
    </row>
    <row r="1215" spans="1:15" ht="17.25">
      <c r="A1215" s="178" t="s">
        <v>120</v>
      </c>
      <c r="B1215" s="184" t="s">
        <v>527</v>
      </c>
      <c r="C1215" s="39" t="s">
        <v>417</v>
      </c>
      <c r="D1215" s="255"/>
      <c r="E1215" s="325" t="e">
        <f>#REF!</f>
        <v>#REF!</v>
      </c>
      <c r="F1215" s="325" t="e">
        <f>#REF!</f>
        <v>#REF!</v>
      </c>
      <c r="G1215" s="325" t="e">
        <f>#REF!</f>
        <v>#REF!</v>
      </c>
      <c r="H1215" s="325" t="e">
        <f t="shared" si="61"/>
        <v>#REF!</v>
      </c>
      <c r="I1215" s="261"/>
      <c r="J1215" s="265" t="e">
        <f t="shared" si="62"/>
        <v>#REF!</v>
      </c>
      <c r="K1215" s="295"/>
      <c r="L1215" s="270"/>
      <c r="M1215" s="263"/>
      <c r="N1215" s="261"/>
      <c r="O1215" s="260"/>
    </row>
    <row r="1216" spans="1:15" ht="17.25">
      <c r="A1216" s="178" t="s">
        <v>120</v>
      </c>
      <c r="B1216" s="184" t="s">
        <v>528</v>
      </c>
      <c r="C1216" s="39" t="s">
        <v>417</v>
      </c>
      <c r="D1216" s="255"/>
      <c r="E1216" s="325" t="e">
        <f>#REF!</f>
        <v>#REF!</v>
      </c>
      <c r="F1216" s="325" t="e">
        <f>#REF!</f>
        <v>#REF!</v>
      </c>
      <c r="G1216" s="325" t="e">
        <f>#REF!</f>
        <v>#REF!</v>
      </c>
      <c r="H1216" s="325" t="e">
        <f t="shared" si="61"/>
        <v>#REF!</v>
      </c>
      <c r="I1216" s="260"/>
      <c r="J1216" s="265" t="e">
        <f t="shared" si="62"/>
        <v>#REF!</v>
      </c>
      <c r="K1216" s="294"/>
      <c r="L1216" s="271"/>
      <c r="M1216" s="264"/>
      <c r="N1216" s="260"/>
      <c r="O1216" s="260"/>
    </row>
    <row r="1217" spans="1:15" ht="17.25">
      <c r="A1217" s="178" t="s">
        <v>120</v>
      </c>
      <c r="B1217" s="185" t="s">
        <v>529</v>
      </c>
      <c r="C1217" s="39" t="s">
        <v>417</v>
      </c>
      <c r="D1217" s="255"/>
      <c r="E1217" s="325" t="e">
        <f>#REF!</f>
        <v>#REF!</v>
      </c>
      <c r="F1217" s="325" t="e">
        <f>#REF!</f>
        <v>#REF!</v>
      </c>
      <c r="G1217" s="325" t="e">
        <f>#REF!</f>
        <v>#REF!</v>
      </c>
      <c r="H1217" s="325" t="e">
        <f t="shared" si="61"/>
        <v>#REF!</v>
      </c>
      <c r="I1217" s="261"/>
      <c r="J1217" s="265" t="e">
        <f t="shared" si="62"/>
        <v>#REF!</v>
      </c>
      <c r="K1217" s="295"/>
      <c r="L1217" s="270"/>
      <c r="M1217" s="263"/>
      <c r="N1217" s="261"/>
      <c r="O1217" s="260"/>
    </row>
    <row r="1218" spans="1:15" ht="17.25">
      <c r="A1218" s="178" t="s">
        <v>120</v>
      </c>
      <c r="B1218" s="185" t="s">
        <v>530</v>
      </c>
      <c r="C1218" s="39" t="s">
        <v>417</v>
      </c>
      <c r="D1218" s="255"/>
      <c r="E1218" s="325" t="e">
        <f>#REF!</f>
        <v>#REF!</v>
      </c>
      <c r="F1218" s="325" t="e">
        <f>#REF!</f>
        <v>#REF!</v>
      </c>
      <c r="G1218" s="325" t="e">
        <f>#REF!</f>
        <v>#REF!</v>
      </c>
      <c r="H1218" s="325" t="e">
        <f t="shared" si="61"/>
        <v>#REF!</v>
      </c>
      <c r="I1218" s="260"/>
      <c r="J1218" s="265" t="e">
        <f t="shared" si="62"/>
        <v>#REF!</v>
      </c>
      <c r="K1218" s="294"/>
      <c r="L1218" s="271"/>
      <c r="M1218" s="264"/>
      <c r="N1218" s="260"/>
      <c r="O1218" s="260"/>
    </row>
    <row r="1219" spans="1:15" ht="17.25">
      <c r="A1219" s="178" t="s">
        <v>120</v>
      </c>
      <c r="B1219" s="185" t="s">
        <v>531</v>
      </c>
      <c r="C1219" s="39" t="s">
        <v>417</v>
      </c>
      <c r="D1219" s="255"/>
      <c r="E1219" s="325" t="e">
        <f>#REF!</f>
        <v>#REF!</v>
      </c>
      <c r="F1219" s="325" t="e">
        <f>#REF!</f>
        <v>#REF!</v>
      </c>
      <c r="G1219" s="325" t="e">
        <f>#REF!</f>
        <v>#REF!</v>
      </c>
      <c r="H1219" s="325" t="e">
        <f t="shared" si="61"/>
        <v>#REF!</v>
      </c>
      <c r="I1219" s="261"/>
      <c r="J1219" s="265" t="e">
        <f t="shared" si="62"/>
        <v>#REF!</v>
      </c>
      <c r="K1219" s="295"/>
      <c r="L1219" s="270"/>
      <c r="M1219" s="263"/>
      <c r="N1219" s="261"/>
      <c r="O1219" s="260"/>
    </row>
    <row r="1220" spans="1:15" ht="17.25">
      <c r="A1220" s="178" t="s">
        <v>120</v>
      </c>
      <c r="B1220" s="185" t="s">
        <v>532</v>
      </c>
      <c r="C1220" s="39" t="s">
        <v>417</v>
      </c>
      <c r="D1220" s="255"/>
      <c r="E1220" s="325" t="e">
        <f>#REF!</f>
        <v>#REF!</v>
      </c>
      <c r="F1220" s="325" t="e">
        <f>#REF!</f>
        <v>#REF!</v>
      </c>
      <c r="G1220" s="325" t="e">
        <f>#REF!</f>
        <v>#REF!</v>
      </c>
      <c r="H1220" s="325" t="e">
        <f t="shared" si="61"/>
        <v>#REF!</v>
      </c>
      <c r="I1220" s="260"/>
      <c r="J1220" s="265" t="e">
        <f t="shared" si="62"/>
        <v>#REF!</v>
      </c>
      <c r="K1220" s="294"/>
      <c r="L1220" s="271"/>
      <c r="M1220" s="264"/>
      <c r="N1220" s="260"/>
      <c r="O1220" s="260"/>
    </row>
    <row r="1221" spans="1:15" ht="17.25">
      <c r="A1221" s="178" t="s">
        <v>120</v>
      </c>
      <c r="B1221" s="80" t="s">
        <v>790</v>
      </c>
      <c r="C1221" s="39" t="s">
        <v>417</v>
      </c>
      <c r="D1221" s="255"/>
      <c r="E1221" s="325" t="e">
        <f>#REF!</f>
        <v>#REF!</v>
      </c>
      <c r="F1221" s="325" t="e">
        <f>#REF!</f>
        <v>#REF!</v>
      </c>
      <c r="G1221" s="325" t="e">
        <f>#REF!</f>
        <v>#REF!</v>
      </c>
      <c r="H1221" s="325" t="e">
        <f t="shared" si="61"/>
        <v>#REF!</v>
      </c>
      <c r="I1221" s="261"/>
      <c r="J1221" s="265" t="e">
        <f t="shared" si="62"/>
        <v>#REF!</v>
      </c>
      <c r="K1221" s="295"/>
      <c r="L1221" s="270"/>
      <c r="M1221" s="263"/>
      <c r="N1221" s="261"/>
      <c r="O1221" s="260"/>
    </row>
    <row r="1222" spans="1:15" ht="17.25">
      <c r="A1222" s="178" t="s">
        <v>120</v>
      </c>
      <c r="B1222" s="80" t="s">
        <v>791</v>
      </c>
      <c r="C1222" s="39" t="s">
        <v>417</v>
      </c>
      <c r="D1222" s="255"/>
      <c r="E1222" s="325" t="e">
        <f>#REF!</f>
        <v>#REF!</v>
      </c>
      <c r="F1222" s="325" t="e">
        <f>#REF!</f>
        <v>#REF!</v>
      </c>
      <c r="G1222" s="325" t="e">
        <f>#REF!</f>
        <v>#REF!</v>
      </c>
      <c r="H1222" s="325" t="e">
        <f t="shared" si="61"/>
        <v>#REF!</v>
      </c>
      <c r="I1222" s="260"/>
      <c r="J1222" s="265" t="e">
        <f t="shared" si="62"/>
        <v>#REF!</v>
      </c>
      <c r="K1222" s="294"/>
      <c r="L1222" s="271"/>
      <c r="M1222" s="264"/>
      <c r="N1222" s="260"/>
      <c r="O1222" s="260"/>
    </row>
    <row r="1223" spans="1:15" ht="17.25">
      <c r="A1223" s="178" t="s">
        <v>120</v>
      </c>
      <c r="B1223" s="80" t="s">
        <v>792</v>
      </c>
      <c r="C1223" s="39" t="s">
        <v>417</v>
      </c>
      <c r="D1223" s="255"/>
      <c r="E1223" s="325" t="e">
        <f>#REF!</f>
        <v>#REF!</v>
      </c>
      <c r="F1223" s="325" t="e">
        <f>#REF!</f>
        <v>#REF!</v>
      </c>
      <c r="G1223" s="325" t="e">
        <f>#REF!</f>
        <v>#REF!</v>
      </c>
      <c r="H1223" s="325" t="e">
        <f t="shared" si="61"/>
        <v>#REF!</v>
      </c>
      <c r="I1223" s="261"/>
      <c r="J1223" s="265" t="e">
        <f t="shared" si="62"/>
        <v>#REF!</v>
      </c>
      <c r="K1223" s="295"/>
      <c r="L1223" s="270"/>
      <c r="M1223" s="263"/>
      <c r="N1223" s="261"/>
      <c r="O1223" s="260"/>
    </row>
    <row r="1224" spans="1:15" ht="17.25">
      <c r="A1224" s="178" t="s">
        <v>120</v>
      </c>
      <c r="B1224" s="80" t="s">
        <v>793</v>
      </c>
      <c r="C1224" s="39" t="s">
        <v>417</v>
      </c>
      <c r="D1224" s="255"/>
      <c r="E1224" s="325" t="e">
        <f>#REF!</f>
        <v>#REF!</v>
      </c>
      <c r="F1224" s="325" t="e">
        <f>#REF!</f>
        <v>#REF!</v>
      </c>
      <c r="G1224" s="325" t="e">
        <f>#REF!</f>
        <v>#REF!</v>
      </c>
      <c r="H1224" s="325" t="e">
        <f t="shared" si="61"/>
        <v>#REF!</v>
      </c>
      <c r="I1224" s="260"/>
      <c r="J1224" s="265" t="e">
        <f t="shared" si="62"/>
        <v>#REF!</v>
      </c>
      <c r="K1224" s="294"/>
      <c r="L1224" s="271"/>
      <c r="M1224" s="264"/>
      <c r="N1224" s="260"/>
      <c r="O1224" s="260"/>
    </row>
    <row r="1225" spans="1:15" ht="17.25">
      <c r="A1225" s="178" t="s">
        <v>120</v>
      </c>
      <c r="B1225" s="80" t="s">
        <v>794</v>
      </c>
      <c r="C1225" s="39" t="s">
        <v>417</v>
      </c>
      <c r="D1225" s="255"/>
      <c r="E1225" s="325" t="e">
        <f>#REF!</f>
        <v>#REF!</v>
      </c>
      <c r="F1225" s="325" t="e">
        <f>#REF!</f>
        <v>#REF!</v>
      </c>
      <c r="G1225" s="325" t="e">
        <f>#REF!</f>
        <v>#REF!</v>
      </c>
      <c r="H1225" s="325" t="e">
        <f t="shared" si="61"/>
        <v>#REF!</v>
      </c>
      <c r="I1225" s="261"/>
      <c r="J1225" s="265" t="e">
        <f t="shared" si="62"/>
        <v>#REF!</v>
      </c>
      <c r="K1225" s="295"/>
      <c r="L1225" s="270"/>
      <c r="M1225" s="263"/>
      <c r="N1225" s="261"/>
      <c r="O1225" s="260"/>
    </row>
    <row r="1226" spans="1:15" ht="31.5">
      <c r="A1226" s="178" t="s">
        <v>120</v>
      </c>
      <c r="B1226" s="80" t="s">
        <v>795</v>
      </c>
      <c r="C1226" s="39" t="s">
        <v>417</v>
      </c>
      <c r="D1226" s="255">
        <v>1</v>
      </c>
      <c r="E1226" s="325" t="e">
        <f>#REF!</f>
        <v>#REF!</v>
      </c>
      <c r="F1226" s="325" t="e">
        <f>#REF!</f>
        <v>#REF!</v>
      </c>
      <c r="G1226" s="325" t="e">
        <f>#REF!</f>
        <v>#REF!</v>
      </c>
      <c r="H1226" s="325" t="e">
        <f t="shared" si="61"/>
        <v>#REF!</v>
      </c>
      <c r="I1226" s="266">
        <v>7800</v>
      </c>
      <c r="J1226" s="266">
        <f>I1226*D1226</f>
        <v>7800</v>
      </c>
      <c r="K1226" s="306"/>
      <c r="L1226" s="280">
        <v>42401</v>
      </c>
      <c r="M1226" s="308" t="s">
        <v>1663</v>
      </c>
      <c r="N1226" s="254" t="s">
        <v>342</v>
      </c>
      <c r="O1226" s="266" t="s">
        <v>1642</v>
      </c>
    </row>
    <row r="1227" spans="1:15" ht="17.25">
      <c r="A1227" s="178" t="s">
        <v>120</v>
      </c>
      <c r="B1227" s="80" t="s">
        <v>796</v>
      </c>
      <c r="C1227" s="39" t="s">
        <v>417</v>
      </c>
      <c r="D1227" s="255"/>
      <c r="E1227" s="325" t="e">
        <f>#REF!</f>
        <v>#REF!</v>
      </c>
      <c r="F1227" s="325" t="e">
        <f>#REF!</f>
        <v>#REF!</v>
      </c>
      <c r="G1227" s="325" t="e">
        <f>#REF!</f>
        <v>#REF!</v>
      </c>
      <c r="H1227" s="325" t="e">
        <f t="shared" si="61"/>
        <v>#REF!</v>
      </c>
      <c r="I1227" s="265"/>
      <c r="J1227" s="265" t="e">
        <f>I1227*H1227</f>
        <v>#REF!</v>
      </c>
      <c r="K1227" s="307"/>
      <c r="L1227" s="310"/>
      <c r="M1227" s="308"/>
      <c r="N1227" s="265"/>
      <c r="O1227" s="266"/>
    </row>
    <row r="1228" spans="1:15" ht="17.25">
      <c r="A1228" s="178" t="s">
        <v>120</v>
      </c>
      <c r="B1228" s="80" t="s">
        <v>797</v>
      </c>
      <c r="C1228" s="39" t="s">
        <v>417</v>
      </c>
      <c r="D1228" s="255"/>
      <c r="E1228" s="325" t="e">
        <f>#REF!</f>
        <v>#REF!</v>
      </c>
      <c r="F1228" s="325" t="e">
        <f>#REF!</f>
        <v>#REF!</v>
      </c>
      <c r="G1228" s="325" t="e">
        <f>#REF!</f>
        <v>#REF!</v>
      </c>
      <c r="H1228" s="325" t="e">
        <f t="shared" si="61"/>
        <v>#REF!</v>
      </c>
      <c r="I1228" s="266"/>
      <c r="J1228" s="265" t="e">
        <f>I1228*H1228</f>
        <v>#REF!</v>
      </c>
      <c r="K1228" s="306"/>
      <c r="L1228" s="280"/>
      <c r="M1228" s="309"/>
      <c r="N1228" s="266"/>
      <c r="O1228" s="266"/>
    </row>
    <row r="1229" spans="1:15" ht="17.25">
      <c r="A1229" s="178" t="s">
        <v>120</v>
      </c>
      <c r="B1229" s="80" t="s">
        <v>798</v>
      </c>
      <c r="C1229" s="39" t="s">
        <v>417</v>
      </c>
      <c r="D1229" s="255"/>
      <c r="E1229" s="325" t="e">
        <f>#REF!</f>
        <v>#REF!</v>
      </c>
      <c r="F1229" s="325" t="e">
        <f>#REF!</f>
        <v>#REF!</v>
      </c>
      <c r="G1229" s="325" t="e">
        <f>#REF!</f>
        <v>#REF!</v>
      </c>
      <c r="H1229" s="325" t="e">
        <f t="shared" si="61"/>
        <v>#REF!</v>
      </c>
      <c r="I1229" s="265"/>
      <c r="J1229" s="265" t="e">
        <f>I1229*H1229</f>
        <v>#REF!</v>
      </c>
      <c r="K1229" s="307"/>
      <c r="L1229" s="310"/>
      <c r="M1229" s="308"/>
      <c r="N1229" s="265"/>
      <c r="O1229" s="266"/>
    </row>
    <row r="1230" spans="1:15" ht="31.5">
      <c r="A1230" s="178" t="s">
        <v>120</v>
      </c>
      <c r="B1230" s="80" t="s">
        <v>1409</v>
      </c>
      <c r="C1230" s="39" t="s">
        <v>417</v>
      </c>
      <c r="D1230" s="255">
        <v>10</v>
      </c>
      <c r="E1230" s="325" t="e">
        <f>#REF!</f>
        <v>#REF!</v>
      </c>
      <c r="F1230" s="325" t="e">
        <f>#REF!</f>
        <v>#REF!</v>
      </c>
      <c r="G1230" s="325" t="e">
        <f>#REF!</f>
        <v>#REF!</v>
      </c>
      <c r="H1230" s="325" t="e">
        <f t="shared" si="61"/>
        <v>#REF!</v>
      </c>
      <c r="I1230" s="266">
        <v>3200</v>
      </c>
      <c r="J1230" s="266">
        <f>I1230*D1230</f>
        <v>32000</v>
      </c>
      <c r="K1230" s="306"/>
      <c r="L1230" s="280">
        <v>42401</v>
      </c>
      <c r="M1230" s="308" t="s">
        <v>1663</v>
      </c>
      <c r="N1230" s="254" t="s">
        <v>342</v>
      </c>
      <c r="O1230" s="266" t="s">
        <v>1642</v>
      </c>
    </row>
    <row r="1231" spans="1:15" ht="17.25">
      <c r="A1231" s="178" t="s">
        <v>120</v>
      </c>
      <c r="B1231" s="80" t="s">
        <v>1410</v>
      </c>
      <c r="C1231" s="39" t="s">
        <v>417</v>
      </c>
      <c r="D1231" s="255"/>
      <c r="E1231" s="325" t="e">
        <f>#REF!</f>
        <v>#REF!</v>
      </c>
      <c r="F1231" s="325" t="e">
        <f>#REF!</f>
        <v>#REF!</v>
      </c>
      <c r="G1231" s="325" t="e">
        <f>#REF!</f>
        <v>#REF!</v>
      </c>
      <c r="H1231" s="325" t="e">
        <f t="shared" si="61"/>
        <v>#REF!</v>
      </c>
      <c r="I1231" s="265"/>
      <c r="J1231" s="261" t="e">
        <f>I1231*H1231</f>
        <v>#REF!</v>
      </c>
      <c r="K1231" s="307"/>
      <c r="L1231" s="310"/>
      <c r="M1231" s="308"/>
      <c r="N1231" s="265"/>
      <c r="O1231" s="266"/>
    </row>
    <row r="1232" spans="1:15" ht="17.25">
      <c r="A1232" s="178" t="s">
        <v>120</v>
      </c>
      <c r="B1232" s="80" t="s">
        <v>1421</v>
      </c>
      <c r="C1232" s="39" t="s">
        <v>417</v>
      </c>
      <c r="D1232" s="255"/>
      <c r="E1232" s="325" t="e">
        <f>#REF!</f>
        <v>#REF!</v>
      </c>
      <c r="F1232" s="325" t="e">
        <f>#REF!</f>
        <v>#REF!</v>
      </c>
      <c r="G1232" s="325" t="e">
        <f>#REF!</f>
        <v>#REF!</v>
      </c>
      <c r="H1232" s="325" t="e">
        <f t="shared" si="61"/>
        <v>#REF!</v>
      </c>
      <c r="I1232" s="266"/>
      <c r="J1232" s="266" t="e">
        <f>I1232*H1232</f>
        <v>#REF!</v>
      </c>
      <c r="K1232" s="306"/>
      <c r="L1232" s="280"/>
      <c r="M1232" s="309"/>
      <c r="N1232" s="266"/>
      <c r="O1232" s="266"/>
    </row>
    <row r="1233" spans="1:15" ht="17.25">
      <c r="A1233" s="179" t="s">
        <v>120</v>
      </c>
      <c r="B1233" s="76"/>
      <c r="C1233" s="42"/>
      <c r="D1233" s="76"/>
      <c r="E1233" s="76"/>
      <c r="F1233" s="76"/>
      <c r="G1233" s="76"/>
      <c r="H1233" s="76"/>
      <c r="I1233" s="76"/>
      <c r="J1233" s="76"/>
      <c r="K1233" s="293" t="e">
        <f>SUM(J1094:J1232)</f>
        <v>#REF!</v>
      </c>
      <c r="L1233" s="284"/>
      <c r="M1233" s="76"/>
      <c r="N1233" s="76"/>
      <c r="O1233" s="76"/>
    </row>
    <row r="1234" spans="1:15" ht="36" customHeight="1">
      <c r="A1234" s="178" t="s">
        <v>121</v>
      </c>
      <c r="B1234" s="75" t="s">
        <v>273</v>
      </c>
      <c r="C1234" s="39" t="s">
        <v>17</v>
      </c>
      <c r="D1234" s="255">
        <v>0</v>
      </c>
      <c r="E1234" s="325" t="e">
        <f>#REF!</f>
        <v>#REF!</v>
      </c>
      <c r="F1234" s="325" t="e">
        <f>#REF!</f>
        <v>#REF!</v>
      </c>
      <c r="G1234" s="325" t="e">
        <f>#REF!</f>
        <v>#REF!</v>
      </c>
      <c r="H1234" s="325" t="e">
        <f t="shared" si="61"/>
        <v>#REF!</v>
      </c>
      <c r="I1234" s="266">
        <v>5572.03</v>
      </c>
      <c r="J1234" s="266" t="e">
        <f>I1234*H1234</f>
        <v>#REF!</v>
      </c>
      <c r="K1234" s="306"/>
      <c r="L1234" s="280"/>
      <c r="M1234" s="309"/>
      <c r="N1234" s="254"/>
      <c r="O1234" s="266"/>
    </row>
    <row r="1235" spans="1:15" ht="33" customHeight="1">
      <c r="A1235" s="178" t="s">
        <v>121</v>
      </c>
      <c r="B1235" s="75" t="s">
        <v>1757</v>
      </c>
      <c r="C1235" s="39" t="s">
        <v>17</v>
      </c>
      <c r="D1235" s="255">
        <v>0</v>
      </c>
      <c r="E1235" s="325">
        <v>0</v>
      </c>
      <c r="F1235" s="325">
        <v>0</v>
      </c>
      <c r="G1235" s="325">
        <v>0</v>
      </c>
      <c r="H1235" s="325">
        <f>G1235+F1235+E1235+D1235</f>
        <v>0</v>
      </c>
      <c r="I1235" s="266">
        <v>260.17</v>
      </c>
      <c r="J1235" s="266">
        <f>I1235*H1235</f>
        <v>0</v>
      </c>
      <c r="K1235" s="306"/>
      <c r="L1235" s="280"/>
      <c r="M1235" s="309"/>
      <c r="N1235" s="254"/>
      <c r="O1235" s="266"/>
    </row>
    <row r="1236" spans="1:15" ht="38.25">
      <c r="A1236" s="178" t="s">
        <v>121</v>
      </c>
      <c r="B1236" s="75" t="s">
        <v>1282</v>
      </c>
      <c r="C1236" s="39" t="s">
        <v>17</v>
      </c>
      <c r="D1236" s="255"/>
      <c r="E1236" s="325" t="e">
        <f>#REF!</f>
        <v>#REF!</v>
      </c>
      <c r="F1236" s="325" t="e">
        <f>#REF!</f>
        <v>#REF!</v>
      </c>
      <c r="G1236" s="325" t="e">
        <f>#REF!</f>
        <v>#REF!</v>
      </c>
      <c r="H1236" s="325" t="e">
        <f t="shared" si="61"/>
        <v>#REF!</v>
      </c>
      <c r="I1236" s="261"/>
      <c r="J1236" s="266" t="e">
        <f>I1236*H1236</f>
        <v>#REF!</v>
      </c>
      <c r="K1236" s="295"/>
      <c r="L1236" s="270"/>
      <c r="M1236" s="263"/>
      <c r="N1236" s="261"/>
      <c r="O1236" s="260"/>
    </row>
    <row r="1237" spans="1:15" ht="36" customHeight="1">
      <c r="A1237" s="178" t="s">
        <v>121</v>
      </c>
      <c r="B1237" s="75" t="s">
        <v>1283</v>
      </c>
      <c r="C1237" s="39" t="s">
        <v>17</v>
      </c>
      <c r="D1237" s="255"/>
      <c r="E1237" s="325" t="e">
        <f>#REF!</f>
        <v>#REF!</v>
      </c>
      <c r="F1237" s="325" t="e">
        <f>#REF!</f>
        <v>#REF!</v>
      </c>
      <c r="G1237" s="325" t="e">
        <f>#REF!</f>
        <v>#REF!</v>
      </c>
      <c r="H1237" s="325" t="e">
        <f t="shared" si="61"/>
        <v>#REF!</v>
      </c>
      <c r="I1237" s="260"/>
      <c r="J1237" s="266" t="e">
        <f>I1237*H1237</f>
        <v>#REF!</v>
      </c>
      <c r="K1237" s="294"/>
      <c r="L1237" s="271"/>
      <c r="M1237" s="264"/>
      <c r="N1237" s="260"/>
      <c r="O1237" s="260"/>
    </row>
    <row r="1238" spans="1:15" ht="43.5" customHeight="1">
      <c r="A1238" s="178" t="s">
        <v>121</v>
      </c>
      <c r="B1238" s="75" t="s">
        <v>1284</v>
      </c>
      <c r="C1238" s="39" t="s">
        <v>17</v>
      </c>
      <c r="D1238" s="255"/>
      <c r="E1238" s="325" t="e">
        <f>#REF!</f>
        <v>#REF!</v>
      </c>
      <c r="F1238" s="325" t="e">
        <f>#REF!</f>
        <v>#REF!</v>
      </c>
      <c r="G1238" s="325" t="e">
        <f>#REF!</f>
        <v>#REF!</v>
      </c>
      <c r="H1238" s="325" t="e">
        <f t="shared" si="61"/>
        <v>#REF!</v>
      </c>
      <c r="I1238" s="261"/>
      <c r="J1238" s="266" t="e">
        <f>I1238*H1238</f>
        <v>#REF!</v>
      </c>
      <c r="K1238" s="295"/>
      <c r="L1238" s="270"/>
      <c r="M1238" s="263"/>
      <c r="N1238" s="261"/>
      <c r="O1238" s="260"/>
    </row>
    <row r="1239" spans="1:15" ht="31.5">
      <c r="A1239" s="179" t="s">
        <v>121</v>
      </c>
      <c r="B1239" s="76"/>
      <c r="C1239" s="42"/>
      <c r="D1239" s="76"/>
      <c r="E1239" s="76"/>
      <c r="F1239" s="76"/>
      <c r="G1239" s="76"/>
      <c r="H1239" s="76"/>
      <c r="I1239" s="76"/>
      <c r="J1239" s="76"/>
      <c r="K1239" s="293" t="e">
        <f>SUM(J1234:J1238)</f>
        <v>#REF!</v>
      </c>
      <c r="L1239" s="284"/>
      <c r="M1239" s="76"/>
      <c r="N1239" s="76"/>
      <c r="O1239" s="76"/>
    </row>
    <row r="1240" spans="1:15" ht="17.25">
      <c r="A1240" s="180" t="s">
        <v>122</v>
      </c>
      <c r="B1240" s="77" t="s">
        <v>274</v>
      </c>
      <c r="C1240" s="70" t="s">
        <v>17</v>
      </c>
      <c r="D1240" s="255"/>
      <c r="E1240" s="325" t="e">
        <f>#REF!</f>
        <v>#REF!</v>
      </c>
      <c r="F1240" s="325" t="e">
        <f>#REF!</f>
        <v>#REF!</v>
      </c>
      <c r="G1240" s="325" t="e">
        <f>#REF!</f>
        <v>#REF!</v>
      </c>
      <c r="H1240" s="325" t="e">
        <f t="shared" si="61"/>
        <v>#REF!</v>
      </c>
      <c r="I1240" s="261"/>
      <c r="J1240" s="265" t="e">
        <f>I1240*H1240</f>
        <v>#REF!</v>
      </c>
      <c r="K1240" s="295"/>
      <c r="L1240" s="270"/>
      <c r="M1240" s="263"/>
      <c r="N1240" s="261"/>
      <c r="O1240" s="260"/>
    </row>
    <row r="1241" spans="1:15" ht="17.25">
      <c r="A1241" s="180" t="s">
        <v>122</v>
      </c>
      <c r="B1241" s="77" t="s">
        <v>275</v>
      </c>
      <c r="C1241" s="70" t="s">
        <v>17</v>
      </c>
      <c r="D1241" s="255"/>
      <c r="E1241" s="325" t="e">
        <f>#REF!</f>
        <v>#REF!</v>
      </c>
      <c r="F1241" s="325" t="e">
        <f>#REF!</f>
        <v>#REF!</v>
      </c>
      <c r="G1241" s="325" t="e">
        <f>#REF!</f>
        <v>#REF!</v>
      </c>
      <c r="H1241" s="325" t="e">
        <f t="shared" si="61"/>
        <v>#REF!</v>
      </c>
      <c r="I1241" s="260"/>
      <c r="J1241" s="265" t="e">
        <f t="shared" ref="J1241:J1250" si="63">I1241*H1241</f>
        <v>#REF!</v>
      </c>
      <c r="K1241" s="294"/>
      <c r="L1241" s="271"/>
      <c r="M1241" s="264"/>
      <c r="N1241" s="260"/>
      <c r="O1241" s="260"/>
    </row>
    <row r="1242" spans="1:15" ht="17.25">
      <c r="A1242" s="180" t="s">
        <v>122</v>
      </c>
      <c r="B1242" s="77" t="s">
        <v>125</v>
      </c>
      <c r="C1242" s="70" t="s">
        <v>17</v>
      </c>
      <c r="D1242" s="255"/>
      <c r="E1242" s="325" t="e">
        <f>#REF!</f>
        <v>#REF!</v>
      </c>
      <c r="F1242" s="325" t="e">
        <f>#REF!</f>
        <v>#REF!</v>
      </c>
      <c r="G1242" s="325" t="e">
        <f>#REF!</f>
        <v>#REF!</v>
      </c>
      <c r="H1242" s="325" t="e">
        <f t="shared" si="61"/>
        <v>#REF!</v>
      </c>
      <c r="I1242" s="261"/>
      <c r="J1242" s="265" t="e">
        <f t="shared" si="63"/>
        <v>#REF!</v>
      </c>
      <c r="K1242" s="295"/>
      <c r="L1242" s="270"/>
      <c r="M1242" s="263"/>
      <c r="N1242" s="261"/>
      <c r="O1242" s="260"/>
    </row>
    <row r="1243" spans="1:15" ht="25.5">
      <c r="A1243" s="180" t="s">
        <v>1588</v>
      </c>
      <c r="B1243" s="77" t="s">
        <v>1587</v>
      </c>
      <c r="C1243" s="70" t="s">
        <v>17</v>
      </c>
      <c r="D1243" s="255"/>
      <c r="E1243" s="325" t="e">
        <f>#REF!</f>
        <v>#REF!</v>
      </c>
      <c r="F1243" s="325" t="e">
        <f>#REF!</f>
        <v>#REF!</v>
      </c>
      <c r="G1243" s="325" t="e">
        <f>#REF!</f>
        <v>#REF!</v>
      </c>
      <c r="H1243" s="325" t="e">
        <f t="shared" ref="H1243:H1308" si="64">G1243+F1243+E1243+D1243</f>
        <v>#REF!</v>
      </c>
      <c r="I1243" s="260"/>
      <c r="J1243" s="265" t="e">
        <f t="shared" si="63"/>
        <v>#REF!</v>
      </c>
      <c r="K1243" s="294"/>
      <c r="L1243" s="271"/>
      <c r="M1243" s="264"/>
      <c r="N1243" s="260"/>
      <c r="O1243" s="260"/>
    </row>
    <row r="1244" spans="1:15" ht="17.25">
      <c r="A1244" s="180" t="s">
        <v>122</v>
      </c>
      <c r="B1244" s="77" t="s">
        <v>276</v>
      </c>
      <c r="C1244" s="70" t="s">
        <v>17</v>
      </c>
      <c r="D1244" s="255"/>
      <c r="E1244" s="325" t="e">
        <f>#REF!</f>
        <v>#REF!</v>
      </c>
      <c r="F1244" s="325" t="e">
        <f>#REF!</f>
        <v>#REF!</v>
      </c>
      <c r="G1244" s="325" t="e">
        <f>#REF!</f>
        <v>#REF!</v>
      </c>
      <c r="H1244" s="325" t="e">
        <f t="shared" si="64"/>
        <v>#REF!</v>
      </c>
      <c r="I1244" s="261"/>
      <c r="J1244" s="265" t="e">
        <f t="shared" si="63"/>
        <v>#REF!</v>
      </c>
      <c r="K1244" s="295"/>
      <c r="L1244" s="270"/>
      <c r="M1244" s="263"/>
      <c r="N1244" s="261"/>
      <c r="O1244" s="260"/>
    </row>
    <row r="1245" spans="1:15" ht="17.25">
      <c r="A1245" s="180" t="s">
        <v>122</v>
      </c>
      <c r="B1245" s="77" t="s">
        <v>277</v>
      </c>
      <c r="C1245" s="70" t="s">
        <v>17</v>
      </c>
      <c r="D1245" s="255"/>
      <c r="E1245" s="325" t="e">
        <f>#REF!</f>
        <v>#REF!</v>
      </c>
      <c r="F1245" s="325" t="e">
        <f>#REF!</f>
        <v>#REF!</v>
      </c>
      <c r="G1245" s="325" t="e">
        <f>#REF!</f>
        <v>#REF!</v>
      </c>
      <c r="H1245" s="325" t="e">
        <f t="shared" si="64"/>
        <v>#REF!</v>
      </c>
      <c r="I1245" s="260"/>
      <c r="J1245" s="265" t="e">
        <f t="shared" si="63"/>
        <v>#REF!</v>
      </c>
      <c r="K1245" s="294"/>
      <c r="L1245" s="271"/>
      <c r="M1245" s="264"/>
      <c r="N1245" s="260"/>
      <c r="O1245" s="260"/>
    </row>
    <row r="1246" spans="1:15" ht="17.25">
      <c r="A1246" s="180" t="s">
        <v>122</v>
      </c>
      <c r="B1246" s="77" t="s">
        <v>327</v>
      </c>
      <c r="C1246" s="70" t="s">
        <v>102</v>
      </c>
      <c r="D1246" s="255"/>
      <c r="E1246" s="325" t="e">
        <f>#REF!</f>
        <v>#REF!</v>
      </c>
      <c r="F1246" s="325" t="e">
        <f>#REF!</f>
        <v>#REF!</v>
      </c>
      <c r="G1246" s="325" t="e">
        <f>#REF!</f>
        <v>#REF!</v>
      </c>
      <c r="H1246" s="325" t="e">
        <f t="shared" si="64"/>
        <v>#REF!</v>
      </c>
      <c r="I1246" s="261"/>
      <c r="J1246" s="265" t="e">
        <f t="shared" si="63"/>
        <v>#REF!</v>
      </c>
      <c r="K1246" s="295"/>
      <c r="L1246" s="270"/>
      <c r="M1246" s="263"/>
      <c r="N1246" s="261"/>
      <c r="O1246" s="260"/>
    </row>
    <row r="1247" spans="1:15" ht="17.25">
      <c r="A1247" s="180" t="s">
        <v>122</v>
      </c>
      <c r="B1247" s="77" t="s">
        <v>1269</v>
      </c>
      <c r="C1247" s="70" t="s">
        <v>17</v>
      </c>
      <c r="D1247" s="255"/>
      <c r="E1247" s="325" t="e">
        <f>#REF!</f>
        <v>#REF!</v>
      </c>
      <c r="F1247" s="325" t="e">
        <f>#REF!</f>
        <v>#REF!</v>
      </c>
      <c r="G1247" s="325" t="e">
        <f>#REF!</f>
        <v>#REF!</v>
      </c>
      <c r="H1247" s="325" t="e">
        <f t="shared" si="64"/>
        <v>#REF!</v>
      </c>
      <c r="I1247" s="260"/>
      <c r="J1247" s="265" t="e">
        <f t="shared" si="63"/>
        <v>#REF!</v>
      </c>
      <c r="K1247" s="294"/>
      <c r="L1247" s="271"/>
      <c r="M1247" s="264"/>
      <c r="N1247" s="260"/>
      <c r="O1247" s="260"/>
    </row>
    <row r="1248" spans="1:15" ht="17.25">
      <c r="A1248" s="180" t="s">
        <v>122</v>
      </c>
      <c r="B1248" s="77" t="s">
        <v>328</v>
      </c>
      <c r="C1248" s="70" t="s">
        <v>17</v>
      </c>
      <c r="D1248" s="255"/>
      <c r="E1248" s="325" t="e">
        <f>#REF!</f>
        <v>#REF!</v>
      </c>
      <c r="F1248" s="325" t="e">
        <f>#REF!</f>
        <v>#REF!</v>
      </c>
      <c r="G1248" s="325" t="e">
        <f>#REF!</f>
        <v>#REF!</v>
      </c>
      <c r="H1248" s="325" t="e">
        <f t="shared" si="64"/>
        <v>#REF!</v>
      </c>
      <c r="I1248" s="261"/>
      <c r="J1248" s="265" t="e">
        <f t="shared" si="63"/>
        <v>#REF!</v>
      </c>
      <c r="K1248" s="295"/>
      <c r="L1248" s="270"/>
      <c r="M1248" s="263"/>
      <c r="N1248" s="261"/>
      <c r="O1248" s="260"/>
    </row>
    <row r="1249" spans="1:15" ht="17.25">
      <c r="A1249" s="180" t="s">
        <v>122</v>
      </c>
      <c r="B1249" s="77" t="s">
        <v>329</v>
      </c>
      <c r="C1249" s="70" t="s">
        <v>17</v>
      </c>
      <c r="D1249" s="255"/>
      <c r="E1249" s="325" t="e">
        <f>#REF!</f>
        <v>#REF!</v>
      </c>
      <c r="F1249" s="325" t="e">
        <f>#REF!</f>
        <v>#REF!</v>
      </c>
      <c r="G1249" s="325" t="e">
        <f>#REF!</f>
        <v>#REF!</v>
      </c>
      <c r="H1249" s="325" t="e">
        <f t="shared" si="64"/>
        <v>#REF!</v>
      </c>
      <c r="I1249" s="260"/>
      <c r="J1249" s="265" t="e">
        <f t="shared" si="63"/>
        <v>#REF!</v>
      </c>
      <c r="K1249" s="294"/>
      <c r="L1249" s="271"/>
      <c r="M1249" s="264"/>
      <c r="N1249" s="260"/>
      <c r="O1249" s="260"/>
    </row>
    <row r="1250" spans="1:15" ht="17.25">
      <c r="A1250" s="180" t="s">
        <v>122</v>
      </c>
      <c r="B1250" s="77" t="s">
        <v>330</v>
      </c>
      <c r="C1250" s="70" t="s">
        <v>17</v>
      </c>
      <c r="D1250" s="255"/>
      <c r="E1250" s="325" t="e">
        <f>#REF!</f>
        <v>#REF!</v>
      </c>
      <c r="F1250" s="325" t="e">
        <f>#REF!</f>
        <v>#REF!</v>
      </c>
      <c r="G1250" s="325" t="e">
        <f>#REF!</f>
        <v>#REF!</v>
      </c>
      <c r="H1250" s="325" t="e">
        <f t="shared" si="64"/>
        <v>#REF!</v>
      </c>
      <c r="I1250" s="261"/>
      <c r="J1250" s="265" t="e">
        <f t="shared" si="63"/>
        <v>#REF!</v>
      </c>
      <c r="K1250" s="295"/>
      <c r="L1250" s="270"/>
      <c r="M1250" s="263"/>
      <c r="N1250" s="261"/>
      <c r="O1250" s="260"/>
    </row>
    <row r="1251" spans="1:15" ht="17.25">
      <c r="A1251" s="179" t="s">
        <v>122</v>
      </c>
      <c r="B1251" s="76"/>
      <c r="C1251" s="42"/>
      <c r="D1251" s="76"/>
      <c r="E1251" s="76"/>
      <c r="F1251" s="76"/>
      <c r="G1251" s="76"/>
      <c r="H1251" s="325">
        <f t="shared" si="64"/>
        <v>0</v>
      </c>
      <c r="I1251" s="76"/>
      <c r="J1251" s="76"/>
      <c r="K1251" s="293" t="e">
        <f>SUM(J1240:J1250)</f>
        <v>#REF!</v>
      </c>
      <c r="L1251" s="284"/>
      <c r="M1251" s="76"/>
      <c r="N1251" s="76"/>
      <c r="O1251" s="76"/>
    </row>
    <row r="1252" spans="1:15" ht="17.25">
      <c r="A1252" s="178" t="s">
        <v>278</v>
      </c>
      <c r="B1252" s="75" t="s">
        <v>279</v>
      </c>
      <c r="C1252" s="39" t="s">
        <v>17</v>
      </c>
      <c r="D1252" s="255">
        <v>400</v>
      </c>
      <c r="E1252" s="325" t="e">
        <f>#REF!</f>
        <v>#REF!</v>
      </c>
      <c r="F1252" s="325" t="e">
        <f>#REF!</f>
        <v>#REF!</v>
      </c>
      <c r="G1252" s="325" t="e">
        <f>#REF!</f>
        <v>#REF!</v>
      </c>
      <c r="H1252" s="325" t="e">
        <f t="shared" si="64"/>
        <v>#REF!</v>
      </c>
      <c r="I1252" s="265">
        <v>285</v>
      </c>
      <c r="J1252" s="266">
        <f>I1252*D1252</f>
        <v>114000</v>
      </c>
      <c r="K1252" s="307"/>
      <c r="L1252" s="310">
        <v>42429</v>
      </c>
      <c r="M1252" s="308" t="s">
        <v>15</v>
      </c>
      <c r="N1252" s="254" t="s">
        <v>342</v>
      </c>
      <c r="O1252" s="266" t="s">
        <v>1642</v>
      </c>
    </row>
    <row r="1253" spans="1:15" ht="31.5">
      <c r="A1253" s="178" t="s">
        <v>278</v>
      </c>
      <c r="B1253" s="75" t="s">
        <v>137</v>
      </c>
      <c r="C1253" s="39" t="s">
        <v>17</v>
      </c>
      <c r="D1253" s="255">
        <v>30</v>
      </c>
      <c r="E1253" s="325" t="e">
        <f>#REF!</f>
        <v>#REF!</v>
      </c>
      <c r="F1253" s="325" t="e">
        <f>#REF!</f>
        <v>#REF!</v>
      </c>
      <c r="G1253" s="325" t="e">
        <f>#REF!</f>
        <v>#REF!</v>
      </c>
      <c r="H1253" s="325" t="e">
        <f t="shared" si="64"/>
        <v>#REF!</v>
      </c>
      <c r="I1253" s="266">
        <v>188</v>
      </c>
      <c r="J1253" s="266">
        <f>I1253*D1253</f>
        <v>5640</v>
      </c>
      <c r="K1253" s="306"/>
      <c r="L1253" s="280">
        <v>42429</v>
      </c>
      <c r="M1253" s="308" t="s">
        <v>1663</v>
      </c>
      <c r="N1253" s="254" t="s">
        <v>342</v>
      </c>
      <c r="O1253" s="266" t="s">
        <v>1642</v>
      </c>
    </row>
    <row r="1254" spans="1:15" ht="31.5">
      <c r="A1254" s="178" t="s">
        <v>278</v>
      </c>
      <c r="B1254" s="75" t="s">
        <v>280</v>
      </c>
      <c r="C1254" s="39" t="s">
        <v>17</v>
      </c>
      <c r="D1254" s="255">
        <v>100</v>
      </c>
      <c r="E1254" s="325" t="e">
        <f>#REF!</f>
        <v>#REF!</v>
      </c>
      <c r="F1254" s="325" t="e">
        <f>#REF!</f>
        <v>#REF!</v>
      </c>
      <c r="G1254" s="325" t="e">
        <f>#REF!</f>
        <v>#REF!</v>
      </c>
      <c r="H1254" s="325" t="e">
        <f t="shared" si="64"/>
        <v>#REF!</v>
      </c>
      <c r="I1254" s="265">
        <v>170</v>
      </c>
      <c r="J1254" s="266">
        <f>I1254*D1254</f>
        <v>17000</v>
      </c>
      <c r="K1254" s="307"/>
      <c r="L1254" s="310">
        <v>42429</v>
      </c>
      <c r="M1254" s="308" t="s">
        <v>1663</v>
      </c>
      <c r="N1254" s="254" t="s">
        <v>342</v>
      </c>
      <c r="O1254" s="266" t="s">
        <v>1642</v>
      </c>
    </row>
    <row r="1255" spans="1:15" ht="17.25">
      <c r="A1255" s="178" t="s">
        <v>278</v>
      </c>
      <c r="B1255" s="75" t="s">
        <v>566</v>
      </c>
      <c r="C1255" s="39" t="s">
        <v>17</v>
      </c>
      <c r="D1255" s="255"/>
      <c r="E1255" s="325" t="e">
        <f>#REF!</f>
        <v>#REF!</v>
      </c>
      <c r="F1255" s="325" t="e">
        <f>#REF!</f>
        <v>#REF!</v>
      </c>
      <c r="G1255" s="325" t="e">
        <f>#REF!</f>
        <v>#REF!</v>
      </c>
      <c r="H1255" s="325" t="e">
        <f t="shared" si="64"/>
        <v>#REF!</v>
      </c>
      <c r="I1255" s="260"/>
      <c r="J1255" s="266" t="e">
        <f>I1255*H1255</f>
        <v>#REF!</v>
      </c>
      <c r="K1255" s="294"/>
      <c r="L1255" s="271"/>
      <c r="M1255" s="264"/>
      <c r="N1255" s="260"/>
      <c r="O1255" s="260"/>
    </row>
    <row r="1256" spans="1:15" ht="17.25">
      <c r="A1256" s="178" t="s">
        <v>278</v>
      </c>
      <c r="B1256" s="75" t="s">
        <v>922</v>
      </c>
      <c r="C1256" s="39" t="s">
        <v>17</v>
      </c>
      <c r="D1256" s="255"/>
      <c r="E1256" s="325" t="e">
        <f>#REF!</f>
        <v>#REF!</v>
      </c>
      <c r="F1256" s="325" t="e">
        <f>#REF!</f>
        <v>#REF!</v>
      </c>
      <c r="G1256" s="325" t="e">
        <f>#REF!</f>
        <v>#REF!</v>
      </c>
      <c r="H1256" s="325" t="e">
        <f t="shared" si="64"/>
        <v>#REF!</v>
      </c>
      <c r="I1256" s="261"/>
      <c r="J1256" s="266" t="e">
        <f>I1256*H1256</f>
        <v>#REF!</v>
      </c>
      <c r="K1256" s="295"/>
      <c r="L1256" s="270"/>
      <c r="M1256" s="263"/>
      <c r="N1256" s="261"/>
      <c r="O1256" s="260"/>
    </row>
    <row r="1257" spans="1:15" ht="17.25">
      <c r="A1257" s="179" t="s">
        <v>278</v>
      </c>
      <c r="B1257" s="76"/>
      <c r="C1257" s="42"/>
      <c r="D1257" s="76"/>
      <c r="E1257" s="76"/>
      <c r="F1257" s="76"/>
      <c r="G1257" s="76"/>
      <c r="H1257" s="76"/>
      <c r="I1257" s="76"/>
      <c r="J1257" s="76"/>
      <c r="K1257" s="293" t="e">
        <f>SUM(J1252:J1256)</f>
        <v>#REF!</v>
      </c>
      <c r="L1257" s="284"/>
      <c r="M1257" s="76"/>
      <c r="N1257" s="76"/>
      <c r="O1257" s="76"/>
    </row>
    <row r="1258" spans="1:15" ht="17.25">
      <c r="A1258" s="178" t="s">
        <v>124</v>
      </c>
      <c r="B1258" s="75" t="s">
        <v>281</v>
      </c>
      <c r="C1258" s="39" t="s">
        <v>102</v>
      </c>
      <c r="D1258" s="255"/>
      <c r="E1258" s="325" t="e">
        <f>#REF!</f>
        <v>#REF!</v>
      </c>
      <c r="F1258" s="325" t="e">
        <f>#REF!</f>
        <v>#REF!</v>
      </c>
      <c r="G1258" s="325" t="e">
        <f>#REF!</f>
        <v>#REF!</v>
      </c>
      <c r="H1258" s="325" t="e">
        <f t="shared" si="64"/>
        <v>#REF!</v>
      </c>
      <c r="I1258" s="261"/>
      <c r="J1258" s="265" t="e">
        <f>I1258*H1258</f>
        <v>#REF!</v>
      </c>
      <c r="K1258" s="295"/>
      <c r="L1258" s="270"/>
      <c r="M1258" s="263"/>
      <c r="N1258" s="261"/>
      <c r="O1258" s="260"/>
    </row>
    <row r="1259" spans="1:15" ht="31.5">
      <c r="A1259" s="178" t="s">
        <v>124</v>
      </c>
      <c r="B1259" s="75" t="s">
        <v>282</v>
      </c>
      <c r="C1259" s="39" t="s">
        <v>69</v>
      </c>
      <c r="D1259" s="255">
        <v>50</v>
      </c>
      <c r="E1259" s="325" t="e">
        <f>#REF!</f>
        <v>#REF!</v>
      </c>
      <c r="F1259" s="325" t="e">
        <f>#REF!</f>
        <v>#REF!</v>
      </c>
      <c r="G1259" s="325" t="e">
        <f>#REF!</f>
        <v>#REF!</v>
      </c>
      <c r="H1259" s="325" t="e">
        <f t="shared" si="64"/>
        <v>#REF!</v>
      </c>
      <c r="I1259" s="266">
        <v>75</v>
      </c>
      <c r="J1259" s="266">
        <f>I1259*D1259</f>
        <v>3750</v>
      </c>
      <c r="K1259" s="306"/>
      <c r="L1259" s="280">
        <v>42429</v>
      </c>
      <c r="M1259" s="308" t="s">
        <v>1663</v>
      </c>
      <c r="N1259" s="254" t="s">
        <v>342</v>
      </c>
      <c r="O1259" s="266" t="s">
        <v>1642</v>
      </c>
    </row>
    <row r="1260" spans="1:15" ht="31.5">
      <c r="A1260" s="178" t="s">
        <v>124</v>
      </c>
      <c r="B1260" s="75" t="s">
        <v>283</v>
      </c>
      <c r="C1260" s="39" t="s">
        <v>17</v>
      </c>
      <c r="D1260" s="255">
        <v>50</v>
      </c>
      <c r="E1260" s="325" t="e">
        <f>#REF!</f>
        <v>#REF!</v>
      </c>
      <c r="F1260" s="325" t="e">
        <f>#REF!</f>
        <v>#REF!</v>
      </c>
      <c r="G1260" s="325" t="e">
        <f>#REF!</f>
        <v>#REF!</v>
      </c>
      <c r="H1260" s="325" t="e">
        <f t="shared" si="64"/>
        <v>#REF!</v>
      </c>
      <c r="I1260" s="265">
        <v>13</v>
      </c>
      <c r="J1260" s="266">
        <f>I1260*D1260</f>
        <v>650</v>
      </c>
      <c r="K1260" s="307"/>
      <c r="L1260" s="280">
        <v>42429</v>
      </c>
      <c r="M1260" s="308" t="s">
        <v>1663</v>
      </c>
      <c r="N1260" s="254" t="s">
        <v>342</v>
      </c>
      <c r="O1260" s="266" t="s">
        <v>1642</v>
      </c>
    </row>
    <row r="1261" spans="1:15" ht="31.5">
      <c r="A1261" s="178" t="s">
        <v>124</v>
      </c>
      <c r="B1261" s="75" t="s">
        <v>284</v>
      </c>
      <c r="C1261" s="39" t="s">
        <v>17</v>
      </c>
      <c r="D1261" s="255">
        <v>50</v>
      </c>
      <c r="E1261" s="325" t="e">
        <f>#REF!</f>
        <v>#REF!</v>
      </c>
      <c r="F1261" s="325" t="e">
        <f>#REF!</f>
        <v>#REF!</v>
      </c>
      <c r="G1261" s="325" t="e">
        <f>#REF!</f>
        <v>#REF!</v>
      </c>
      <c r="H1261" s="325" t="e">
        <f t="shared" si="64"/>
        <v>#REF!</v>
      </c>
      <c r="I1261" s="266">
        <v>3.5</v>
      </c>
      <c r="J1261" s="266">
        <f>I1261*D1261</f>
        <v>175</v>
      </c>
      <c r="K1261" s="306"/>
      <c r="L1261" s="280">
        <v>42429</v>
      </c>
      <c r="M1261" s="308" t="s">
        <v>1663</v>
      </c>
      <c r="N1261" s="254" t="s">
        <v>342</v>
      </c>
      <c r="O1261" s="266" t="s">
        <v>1642</v>
      </c>
    </row>
    <row r="1262" spans="1:15" ht="17.25">
      <c r="A1262" s="178" t="s">
        <v>124</v>
      </c>
      <c r="B1262" s="75" t="s">
        <v>726</v>
      </c>
      <c r="C1262" s="39" t="s">
        <v>17</v>
      </c>
      <c r="D1262" s="255"/>
      <c r="E1262" s="325" t="e">
        <f>#REF!</f>
        <v>#REF!</v>
      </c>
      <c r="F1262" s="325" t="e">
        <f>#REF!</f>
        <v>#REF!</v>
      </c>
      <c r="G1262" s="325" t="e">
        <f>#REF!</f>
        <v>#REF!</v>
      </c>
      <c r="H1262" s="325" t="e">
        <f t="shared" si="64"/>
        <v>#REF!</v>
      </c>
      <c r="I1262" s="265"/>
      <c r="J1262" s="265" t="e">
        <f>I1262*H1262</f>
        <v>#REF!</v>
      </c>
      <c r="K1262" s="307"/>
      <c r="L1262" s="310"/>
      <c r="M1262" s="308"/>
      <c r="N1262" s="265"/>
      <c r="O1262" s="266"/>
    </row>
    <row r="1263" spans="1:15" ht="31.5">
      <c r="A1263" s="178" t="s">
        <v>124</v>
      </c>
      <c r="B1263" s="75" t="s">
        <v>285</v>
      </c>
      <c r="C1263" s="39" t="s">
        <v>33</v>
      </c>
      <c r="D1263" s="255">
        <v>30</v>
      </c>
      <c r="E1263" s="325" t="e">
        <f>#REF!</f>
        <v>#REF!</v>
      </c>
      <c r="F1263" s="325" t="e">
        <f>#REF!</f>
        <v>#REF!</v>
      </c>
      <c r="G1263" s="325" t="e">
        <f>#REF!</f>
        <v>#REF!</v>
      </c>
      <c r="H1263" s="325" t="e">
        <f t="shared" si="64"/>
        <v>#REF!</v>
      </c>
      <c r="I1263" s="266">
        <v>130</v>
      </c>
      <c r="J1263" s="266">
        <f>I1263*D1263</f>
        <v>3900</v>
      </c>
      <c r="K1263" s="306"/>
      <c r="L1263" s="280">
        <v>42429</v>
      </c>
      <c r="M1263" s="308" t="s">
        <v>1663</v>
      </c>
      <c r="N1263" s="254" t="s">
        <v>342</v>
      </c>
      <c r="O1263" s="266" t="s">
        <v>1642</v>
      </c>
    </row>
    <row r="1264" spans="1:15" ht="17.25">
      <c r="A1264" s="178" t="s">
        <v>124</v>
      </c>
      <c r="B1264" s="75" t="s">
        <v>287</v>
      </c>
      <c r="C1264" s="39" t="s">
        <v>288</v>
      </c>
      <c r="D1264" s="255"/>
      <c r="E1264" s="325" t="e">
        <f>#REF!</f>
        <v>#REF!</v>
      </c>
      <c r="F1264" s="325" t="e">
        <f>#REF!</f>
        <v>#REF!</v>
      </c>
      <c r="G1264" s="325" t="e">
        <f>#REF!</f>
        <v>#REF!</v>
      </c>
      <c r="H1264" s="325" t="e">
        <f t="shared" si="64"/>
        <v>#REF!</v>
      </c>
      <c r="I1264" s="265"/>
      <c r="J1264" s="265" t="e">
        <f>I1264*H1264</f>
        <v>#REF!</v>
      </c>
      <c r="K1264" s="307"/>
      <c r="L1264" s="310"/>
      <c r="M1264" s="308"/>
      <c r="N1264" s="265"/>
      <c r="O1264" s="266"/>
    </row>
    <row r="1265" spans="1:15" ht="17.25">
      <c r="A1265" s="178" t="s">
        <v>124</v>
      </c>
      <c r="B1265" s="75" t="s">
        <v>293</v>
      </c>
      <c r="C1265" s="39" t="s">
        <v>290</v>
      </c>
      <c r="D1265" s="255"/>
      <c r="E1265" s="325" t="e">
        <f>#REF!</f>
        <v>#REF!</v>
      </c>
      <c r="F1265" s="325" t="e">
        <f>#REF!</f>
        <v>#REF!</v>
      </c>
      <c r="G1265" s="325" t="e">
        <f>#REF!</f>
        <v>#REF!</v>
      </c>
      <c r="H1265" s="325" t="e">
        <f t="shared" si="64"/>
        <v>#REF!</v>
      </c>
      <c r="I1265" s="266"/>
      <c r="J1265" s="265" t="e">
        <f>I1265*H1265</f>
        <v>#REF!</v>
      </c>
      <c r="K1265" s="306"/>
      <c r="L1265" s="280"/>
      <c r="M1265" s="309"/>
      <c r="N1265" s="266"/>
      <c r="O1265" s="266"/>
    </row>
    <row r="1266" spans="1:15" ht="31.5">
      <c r="A1266" s="178" t="s">
        <v>124</v>
      </c>
      <c r="B1266" s="75" t="s">
        <v>1411</v>
      </c>
      <c r="C1266" s="39" t="s">
        <v>290</v>
      </c>
      <c r="D1266" s="255">
        <v>10</v>
      </c>
      <c r="E1266" s="325" t="e">
        <f>#REF!</f>
        <v>#REF!</v>
      </c>
      <c r="F1266" s="325" t="e">
        <f>#REF!</f>
        <v>#REF!</v>
      </c>
      <c r="G1266" s="325" t="e">
        <f>#REF!</f>
        <v>#REF!</v>
      </c>
      <c r="H1266" s="325" t="e">
        <f t="shared" si="64"/>
        <v>#REF!</v>
      </c>
      <c r="I1266" s="265">
        <v>650</v>
      </c>
      <c r="J1266" s="266">
        <f>I1266*D1266</f>
        <v>6500</v>
      </c>
      <c r="K1266" s="307"/>
      <c r="L1266" s="310">
        <v>42429</v>
      </c>
      <c r="M1266" s="308" t="s">
        <v>1663</v>
      </c>
      <c r="N1266" s="254" t="s">
        <v>342</v>
      </c>
      <c r="O1266" s="266" t="s">
        <v>1642</v>
      </c>
    </row>
    <row r="1267" spans="1:15" ht="31.5">
      <c r="A1267" s="178" t="s">
        <v>124</v>
      </c>
      <c r="B1267" s="75" t="s">
        <v>1451</v>
      </c>
      <c r="C1267" s="39" t="s">
        <v>17</v>
      </c>
      <c r="D1267" s="255">
        <v>50</v>
      </c>
      <c r="E1267" s="325" t="e">
        <f>#REF!</f>
        <v>#REF!</v>
      </c>
      <c r="F1267" s="325" t="e">
        <f>#REF!</f>
        <v>#REF!</v>
      </c>
      <c r="G1267" s="325" t="e">
        <f>#REF!</f>
        <v>#REF!</v>
      </c>
      <c r="H1267" s="325" t="e">
        <f t="shared" si="64"/>
        <v>#REF!</v>
      </c>
      <c r="I1267" s="266">
        <v>13</v>
      </c>
      <c r="J1267" s="266">
        <f>I1267*D1267</f>
        <v>650</v>
      </c>
      <c r="K1267" s="306"/>
      <c r="L1267" s="310">
        <v>42429</v>
      </c>
      <c r="M1267" s="308" t="s">
        <v>1663</v>
      </c>
      <c r="N1267" s="254" t="s">
        <v>342</v>
      </c>
      <c r="O1267" s="266" t="s">
        <v>1642</v>
      </c>
    </row>
    <row r="1268" spans="1:15" ht="31.5">
      <c r="A1268" s="178" t="s">
        <v>124</v>
      </c>
      <c r="B1268" s="75" t="s">
        <v>1748</v>
      </c>
      <c r="C1268" s="39" t="s">
        <v>17</v>
      </c>
      <c r="D1268" s="255">
        <v>10</v>
      </c>
      <c r="E1268" s="325">
        <v>0</v>
      </c>
      <c r="F1268" s="325">
        <v>0</v>
      </c>
      <c r="G1268" s="325">
        <v>0</v>
      </c>
      <c r="H1268" s="325">
        <f>G1268+F1268+E1268+D1268</f>
        <v>10</v>
      </c>
      <c r="I1268" s="266">
        <v>469</v>
      </c>
      <c r="J1268" s="266">
        <f>I1268*H1268</f>
        <v>4690</v>
      </c>
      <c r="K1268" s="306"/>
      <c r="L1268" s="310">
        <v>42366</v>
      </c>
      <c r="M1268" s="308" t="s">
        <v>1663</v>
      </c>
      <c r="N1268" s="254" t="s">
        <v>342</v>
      </c>
      <c r="O1268" s="266" t="s">
        <v>1642</v>
      </c>
    </row>
    <row r="1269" spans="1:15" ht="17.25">
      <c r="A1269" s="178" t="s">
        <v>124</v>
      </c>
      <c r="B1269" s="75" t="s">
        <v>1759</v>
      </c>
      <c r="C1269" s="39" t="s">
        <v>17</v>
      </c>
      <c r="D1269" s="255">
        <v>100</v>
      </c>
      <c r="E1269" s="325"/>
      <c r="F1269" s="325"/>
      <c r="G1269" s="325"/>
      <c r="H1269" s="325">
        <f>G1269+G1269+F1269+E1269+D1269</f>
        <v>100</v>
      </c>
      <c r="I1269" s="266">
        <v>6270</v>
      </c>
      <c r="J1269" s="266">
        <f>I1269*H1269</f>
        <v>627000</v>
      </c>
      <c r="K1269" s="306"/>
      <c r="L1269" s="310">
        <v>42460</v>
      </c>
      <c r="M1269" s="308" t="s">
        <v>15</v>
      </c>
      <c r="N1269" s="254" t="s">
        <v>342</v>
      </c>
      <c r="O1269" s="266" t="s">
        <v>1642</v>
      </c>
    </row>
    <row r="1270" spans="1:15" ht="17.25">
      <c r="A1270" s="178" t="s">
        <v>124</v>
      </c>
      <c r="B1270" s="75" t="s">
        <v>1412</v>
      </c>
      <c r="C1270" s="39" t="s">
        <v>17</v>
      </c>
      <c r="D1270" s="255"/>
      <c r="E1270" s="325" t="e">
        <f>#REF!</f>
        <v>#REF!</v>
      </c>
      <c r="F1270" s="325" t="e">
        <f>#REF!</f>
        <v>#REF!</v>
      </c>
      <c r="G1270" s="325" t="e">
        <f>#REF!</f>
        <v>#REF!</v>
      </c>
      <c r="H1270" s="325" t="e">
        <f t="shared" si="64"/>
        <v>#REF!</v>
      </c>
      <c r="I1270" s="265"/>
      <c r="J1270" s="265" t="e">
        <f>I1270*H1270</f>
        <v>#REF!</v>
      </c>
      <c r="K1270" s="307"/>
      <c r="L1270" s="310"/>
      <c r="M1270" s="308"/>
      <c r="N1270" s="265"/>
      <c r="O1270" s="266"/>
    </row>
    <row r="1271" spans="1:15" ht="31.5">
      <c r="A1271" s="178" t="s">
        <v>124</v>
      </c>
      <c r="B1271" s="75" t="s">
        <v>1105</v>
      </c>
      <c r="C1271" s="39" t="s">
        <v>290</v>
      </c>
      <c r="D1271" s="255">
        <v>200</v>
      </c>
      <c r="E1271" s="325" t="e">
        <f>#REF!</f>
        <v>#REF!</v>
      </c>
      <c r="F1271" s="325" t="e">
        <f>#REF!</f>
        <v>#REF!</v>
      </c>
      <c r="G1271" s="325" t="e">
        <f>#REF!</f>
        <v>#REF!</v>
      </c>
      <c r="H1271" s="325" t="e">
        <f t="shared" si="64"/>
        <v>#REF!</v>
      </c>
      <c r="I1271" s="266">
        <v>190</v>
      </c>
      <c r="J1271" s="266">
        <f>I1271*D1271</f>
        <v>38000</v>
      </c>
      <c r="K1271" s="306"/>
      <c r="L1271" s="310">
        <v>42429</v>
      </c>
      <c r="M1271" s="308" t="s">
        <v>1663</v>
      </c>
      <c r="N1271" s="254" t="s">
        <v>342</v>
      </c>
      <c r="O1271" s="266" t="s">
        <v>1642</v>
      </c>
    </row>
    <row r="1272" spans="1:15" ht="17.25">
      <c r="A1272" s="178" t="s">
        <v>124</v>
      </c>
      <c r="B1272" s="75" t="s">
        <v>1097</v>
      </c>
      <c r="C1272" s="39" t="s">
        <v>17</v>
      </c>
      <c r="D1272" s="255"/>
      <c r="E1272" s="325" t="e">
        <f>#REF!</f>
        <v>#REF!</v>
      </c>
      <c r="F1272" s="325" t="e">
        <f>#REF!</f>
        <v>#REF!</v>
      </c>
      <c r="G1272" s="325" t="e">
        <f>#REF!</f>
        <v>#REF!</v>
      </c>
      <c r="H1272" s="325" t="e">
        <f t="shared" si="64"/>
        <v>#REF!</v>
      </c>
      <c r="I1272" s="265"/>
      <c r="J1272" s="265" t="e">
        <f>I1272*H1272</f>
        <v>#REF!</v>
      </c>
      <c r="K1272" s="307"/>
      <c r="L1272" s="310"/>
      <c r="M1272" s="308"/>
      <c r="N1272" s="265"/>
      <c r="O1272" s="266"/>
    </row>
    <row r="1273" spans="1:15" ht="31.5">
      <c r="A1273" s="178" t="s">
        <v>124</v>
      </c>
      <c r="B1273" s="75" t="s">
        <v>1413</v>
      </c>
      <c r="C1273" s="39" t="s">
        <v>1414</v>
      </c>
      <c r="D1273" s="255">
        <v>1060</v>
      </c>
      <c r="E1273" s="325" t="e">
        <f>#REF!</f>
        <v>#REF!</v>
      </c>
      <c r="F1273" s="325" t="e">
        <f>#REF!</f>
        <v>#REF!</v>
      </c>
      <c r="G1273" s="325" t="e">
        <f>#REF!</f>
        <v>#REF!</v>
      </c>
      <c r="H1273" s="325" t="e">
        <f t="shared" si="64"/>
        <v>#REF!</v>
      </c>
      <c r="I1273" s="266">
        <v>1050</v>
      </c>
      <c r="J1273" s="266">
        <f>I1273*D1273</f>
        <v>1113000</v>
      </c>
      <c r="K1273" s="306"/>
      <c r="L1273" s="280">
        <v>42429</v>
      </c>
      <c r="M1273" s="308" t="s">
        <v>1645</v>
      </c>
      <c r="N1273" s="254" t="s">
        <v>342</v>
      </c>
      <c r="O1273" s="266" t="s">
        <v>1642</v>
      </c>
    </row>
    <row r="1274" spans="1:15" ht="31.5">
      <c r="A1274" s="178" t="s">
        <v>124</v>
      </c>
      <c r="B1274" s="75" t="s">
        <v>291</v>
      </c>
      <c r="C1274" s="39" t="s">
        <v>290</v>
      </c>
      <c r="D1274" s="255">
        <v>200</v>
      </c>
      <c r="E1274" s="325" t="e">
        <f>#REF!</f>
        <v>#REF!</v>
      </c>
      <c r="F1274" s="325" t="e">
        <f>#REF!</f>
        <v>#REF!</v>
      </c>
      <c r="G1274" s="325" t="e">
        <f>#REF!</f>
        <v>#REF!</v>
      </c>
      <c r="H1274" s="325" t="e">
        <f t="shared" si="64"/>
        <v>#REF!</v>
      </c>
      <c r="I1274" s="265">
        <v>190</v>
      </c>
      <c r="J1274" s="266">
        <f>I1274*D1274</f>
        <v>38000</v>
      </c>
      <c r="K1274" s="307"/>
      <c r="L1274" s="310">
        <v>42429</v>
      </c>
      <c r="M1274" s="308" t="s">
        <v>1663</v>
      </c>
      <c r="N1274" s="254" t="s">
        <v>342</v>
      </c>
      <c r="O1274" s="266" t="s">
        <v>1642</v>
      </c>
    </row>
    <row r="1275" spans="1:15" ht="17.25">
      <c r="A1275" s="178" t="s">
        <v>124</v>
      </c>
      <c r="B1275" s="75" t="s">
        <v>469</v>
      </c>
      <c r="C1275" s="39" t="s">
        <v>17</v>
      </c>
      <c r="D1275" s="255"/>
      <c r="E1275" s="325" t="e">
        <f>#REF!</f>
        <v>#REF!</v>
      </c>
      <c r="F1275" s="325" t="e">
        <f>#REF!</f>
        <v>#REF!</v>
      </c>
      <c r="G1275" s="325" t="e">
        <f>#REF!</f>
        <v>#REF!</v>
      </c>
      <c r="H1275" s="325" t="e">
        <f t="shared" si="64"/>
        <v>#REF!</v>
      </c>
      <c r="I1275" s="266"/>
      <c r="J1275" s="266" t="e">
        <f>I1275*H1275</f>
        <v>#REF!</v>
      </c>
      <c r="K1275" s="306"/>
      <c r="L1275" s="280"/>
      <c r="M1275" s="309"/>
      <c r="N1275" s="266"/>
      <c r="O1275" s="266"/>
    </row>
    <row r="1276" spans="1:15" ht="31.5">
      <c r="A1276" s="178" t="s">
        <v>124</v>
      </c>
      <c r="B1276" s="75" t="s">
        <v>741</v>
      </c>
      <c r="C1276" s="39" t="s">
        <v>17</v>
      </c>
      <c r="D1276" s="255">
        <v>120</v>
      </c>
      <c r="E1276" s="325" t="e">
        <f>#REF!</f>
        <v>#REF!</v>
      </c>
      <c r="F1276" s="325" t="e">
        <f>#REF!</f>
        <v>#REF!</v>
      </c>
      <c r="G1276" s="325" t="e">
        <f>#REF!</f>
        <v>#REF!</v>
      </c>
      <c r="H1276" s="325" t="e">
        <f t="shared" si="64"/>
        <v>#REF!</v>
      </c>
      <c r="I1276" s="265">
        <v>115</v>
      </c>
      <c r="J1276" s="266">
        <f>I1276*D1276</f>
        <v>13800</v>
      </c>
      <c r="K1276" s="307"/>
      <c r="L1276" s="310">
        <v>42429</v>
      </c>
      <c r="M1276" s="308" t="s">
        <v>1663</v>
      </c>
      <c r="N1276" s="254" t="s">
        <v>342</v>
      </c>
      <c r="O1276" s="266" t="s">
        <v>1642</v>
      </c>
    </row>
    <row r="1277" spans="1:15" ht="17.25">
      <c r="A1277" s="178" t="s">
        <v>124</v>
      </c>
      <c r="B1277" s="75" t="s">
        <v>292</v>
      </c>
      <c r="C1277" s="39" t="s">
        <v>17</v>
      </c>
      <c r="D1277" s="255"/>
      <c r="E1277" s="325" t="e">
        <f>#REF!</f>
        <v>#REF!</v>
      </c>
      <c r="F1277" s="325" t="e">
        <f>#REF!</f>
        <v>#REF!</v>
      </c>
      <c r="G1277" s="325" t="e">
        <f>#REF!</f>
        <v>#REF!</v>
      </c>
      <c r="H1277" s="325" t="e">
        <f t="shared" si="64"/>
        <v>#REF!</v>
      </c>
      <c r="I1277" s="266"/>
      <c r="J1277" s="266" t="e">
        <f>I1277*H1277</f>
        <v>#REF!</v>
      </c>
      <c r="K1277" s="306"/>
      <c r="L1277" s="280"/>
      <c r="M1277" s="309"/>
      <c r="N1277" s="266"/>
      <c r="O1277" s="266"/>
    </row>
    <row r="1278" spans="1:15" ht="17.25">
      <c r="A1278" s="178" t="s">
        <v>124</v>
      </c>
      <c r="B1278" s="75" t="s">
        <v>725</v>
      </c>
      <c r="C1278" s="39" t="s">
        <v>17</v>
      </c>
      <c r="D1278" s="255"/>
      <c r="E1278" s="325" t="e">
        <f>#REF!</f>
        <v>#REF!</v>
      </c>
      <c r="F1278" s="325" t="e">
        <f>#REF!</f>
        <v>#REF!</v>
      </c>
      <c r="G1278" s="325" t="e">
        <f>#REF!</f>
        <v>#REF!</v>
      </c>
      <c r="H1278" s="325" t="e">
        <f t="shared" si="64"/>
        <v>#REF!</v>
      </c>
      <c r="I1278" s="265"/>
      <c r="J1278" s="266" t="e">
        <f>I1278*H1278</f>
        <v>#REF!</v>
      </c>
      <c r="K1278" s="307"/>
      <c r="L1278" s="310"/>
      <c r="M1278" s="308"/>
      <c r="N1278" s="265"/>
      <c r="O1278" s="266"/>
    </row>
    <row r="1279" spans="1:15" ht="17.25">
      <c r="A1279" s="178" t="s">
        <v>124</v>
      </c>
      <c r="B1279" s="75" t="s">
        <v>294</v>
      </c>
      <c r="C1279" s="39" t="s">
        <v>17</v>
      </c>
      <c r="D1279" s="255"/>
      <c r="E1279" s="325" t="e">
        <f>#REF!</f>
        <v>#REF!</v>
      </c>
      <c r="F1279" s="325" t="e">
        <f>#REF!</f>
        <v>#REF!</v>
      </c>
      <c r="G1279" s="325" t="e">
        <f>#REF!</f>
        <v>#REF!</v>
      </c>
      <c r="H1279" s="325" t="e">
        <f t="shared" si="64"/>
        <v>#REF!</v>
      </c>
      <c r="I1279" s="266"/>
      <c r="J1279" s="266" t="e">
        <f>I1279*H1279</f>
        <v>#REF!</v>
      </c>
      <c r="K1279" s="306"/>
      <c r="L1279" s="280"/>
      <c r="M1279" s="309"/>
      <c r="N1279" s="266"/>
      <c r="O1279" s="266"/>
    </row>
    <row r="1280" spans="1:15" ht="31.5">
      <c r="A1280" s="178" t="s">
        <v>124</v>
      </c>
      <c r="B1280" s="75" t="s">
        <v>331</v>
      </c>
      <c r="C1280" s="39" t="s">
        <v>33</v>
      </c>
      <c r="D1280" s="255">
        <v>20</v>
      </c>
      <c r="E1280" s="325" t="e">
        <f>#REF!</f>
        <v>#REF!</v>
      </c>
      <c r="F1280" s="325" t="e">
        <f>#REF!</f>
        <v>#REF!</v>
      </c>
      <c r="G1280" s="325" t="e">
        <f>#REF!</f>
        <v>#REF!</v>
      </c>
      <c r="H1280" s="325" t="e">
        <f t="shared" si="64"/>
        <v>#REF!</v>
      </c>
      <c r="I1280" s="265">
        <v>140</v>
      </c>
      <c r="J1280" s="266">
        <f>I1280*D1280</f>
        <v>2800</v>
      </c>
      <c r="K1280" s="307"/>
      <c r="L1280" s="310">
        <v>42429</v>
      </c>
      <c r="M1280" s="308" t="s">
        <v>1663</v>
      </c>
      <c r="N1280" s="254" t="s">
        <v>342</v>
      </c>
      <c r="O1280" s="266" t="s">
        <v>1642</v>
      </c>
    </row>
    <row r="1281" spans="1:15" ht="17.25">
      <c r="A1281" s="178" t="s">
        <v>124</v>
      </c>
      <c r="B1281" s="75" t="s">
        <v>724</v>
      </c>
      <c r="C1281" s="39" t="s">
        <v>17</v>
      </c>
      <c r="D1281" s="255"/>
      <c r="E1281" s="325" t="e">
        <f>#REF!</f>
        <v>#REF!</v>
      </c>
      <c r="F1281" s="325" t="e">
        <f>#REF!</f>
        <v>#REF!</v>
      </c>
      <c r="G1281" s="325" t="e">
        <f>#REF!</f>
        <v>#REF!</v>
      </c>
      <c r="H1281" s="325" t="e">
        <f t="shared" si="64"/>
        <v>#REF!</v>
      </c>
      <c r="I1281" s="266"/>
      <c r="J1281" s="266"/>
      <c r="K1281" s="306"/>
      <c r="L1281" s="280"/>
      <c r="M1281" s="309"/>
      <c r="N1281" s="266"/>
      <c r="O1281" s="266"/>
    </row>
    <row r="1282" spans="1:15" ht="17.25">
      <c r="A1282" s="178" t="s">
        <v>124</v>
      </c>
      <c r="B1282" s="75" t="s">
        <v>1415</v>
      </c>
      <c r="C1282" s="39" t="s">
        <v>1461</v>
      </c>
      <c r="D1282" s="255"/>
      <c r="E1282" s="325" t="e">
        <f>#REF!</f>
        <v>#REF!</v>
      </c>
      <c r="F1282" s="325" t="e">
        <f>#REF!</f>
        <v>#REF!</v>
      </c>
      <c r="G1282" s="325" t="e">
        <f>#REF!</f>
        <v>#REF!</v>
      </c>
      <c r="H1282" s="325" t="e">
        <f t="shared" si="64"/>
        <v>#REF!</v>
      </c>
      <c r="I1282" s="265"/>
      <c r="J1282" s="265" t="e">
        <f>I1282*H1282</f>
        <v>#REF!</v>
      </c>
      <c r="K1282" s="307"/>
      <c r="L1282" s="310"/>
      <c r="M1282" s="308"/>
      <c r="N1282" s="265"/>
      <c r="O1282" s="266"/>
    </row>
    <row r="1283" spans="1:15" ht="31.5">
      <c r="A1283" s="178" t="s">
        <v>124</v>
      </c>
      <c r="B1283" s="75" t="s">
        <v>1735</v>
      </c>
      <c r="C1283" s="39" t="s">
        <v>17</v>
      </c>
      <c r="D1283" s="255">
        <v>20</v>
      </c>
      <c r="E1283" s="325" t="e">
        <f>#REF!</f>
        <v>#REF!</v>
      </c>
      <c r="F1283" s="325" t="e">
        <f>#REF!</f>
        <v>#REF!</v>
      </c>
      <c r="G1283" s="325" t="e">
        <f>#REF!</f>
        <v>#REF!</v>
      </c>
      <c r="H1283" s="325" t="e">
        <f t="shared" si="64"/>
        <v>#REF!</v>
      </c>
      <c r="I1283" s="265">
        <v>55</v>
      </c>
      <c r="J1283" s="266">
        <f>I1283*D1283</f>
        <v>1100</v>
      </c>
      <c r="K1283" s="307"/>
      <c r="L1283" s="310">
        <v>42429</v>
      </c>
      <c r="M1283" s="308" t="s">
        <v>1663</v>
      </c>
      <c r="N1283" s="254" t="s">
        <v>342</v>
      </c>
      <c r="O1283" s="266" t="s">
        <v>1642</v>
      </c>
    </row>
    <row r="1284" spans="1:15" ht="17.25">
      <c r="A1284" s="178" t="s">
        <v>124</v>
      </c>
      <c r="B1284" s="75" t="s">
        <v>1416</v>
      </c>
      <c r="C1284" s="39" t="s">
        <v>1461</v>
      </c>
      <c r="D1284" s="255"/>
      <c r="E1284" s="325" t="e">
        <f>#REF!</f>
        <v>#REF!</v>
      </c>
      <c r="F1284" s="325" t="e">
        <f>#REF!</f>
        <v>#REF!</v>
      </c>
      <c r="G1284" s="325" t="e">
        <f>#REF!</f>
        <v>#REF!</v>
      </c>
      <c r="H1284" s="325" t="e">
        <f t="shared" si="64"/>
        <v>#REF!</v>
      </c>
      <c r="I1284" s="266"/>
      <c r="J1284" s="266" t="e">
        <f>I1284*H1284</f>
        <v>#REF!</v>
      </c>
      <c r="K1284" s="306"/>
      <c r="L1284" s="280"/>
      <c r="M1284" s="309"/>
      <c r="N1284" s="266"/>
      <c r="O1284" s="266"/>
    </row>
    <row r="1285" spans="1:15" ht="17.25">
      <c r="A1285" s="179" t="s">
        <v>124</v>
      </c>
      <c r="B1285" s="76"/>
      <c r="C1285" s="42"/>
      <c r="D1285" s="76"/>
      <c r="E1285" s="76"/>
      <c r="F1285" s="76"/>
      <c r="G1285" s="76"/>
      <c r="H1285" s="76"/>
      <c r="I1285" s="76"/>
      <c r="J1285" s="76"/>
      <c r="K1285" s="293" t="e">
        <f>SUM(J1258:J1284)</f>
        <v>#REF!</v>
      </c>
      <c r="L1285" s="284"/>
      <c r="M1285" s="76"/>
      <c r="N1285" s="76"/>
      <c r="O1285" s="76"/>
    </row>
    <row r="1286" spans="1:15" ht="17.25">
      <c r="A1286" s="178" t="s">
        <v>295</v>
      </c>
      <c r="B1286" s="75" t="s">
        <v>296</v>
      </c>
      <c r="C1286" s="39" t="s">
        <v>17</v>
      </c>
      <c r="D1286" s="255"/>
      <c r="E1286" s="325" t="e">
        <f>#REF!</f>
        <v>#REF!</v>
      </c>
      <c r="F1286" s="325" t="e">
        <f>#REF!</f>
        <v>#REF!</v>
      </c>
      <c r="G1286" s="325" t="e">
        <f>#REF!</f>
        <v>#REF!</v>
      </c>
      <c r="H1286" s="325" t="e">
        <f t="shared" si="64"/>
        <v>#REF!</v>
      </c>
      <c r="I1286" s="260"/>
      <c r="J1286" s="266" t="e">
        <f>I1286*H1286</f>
        <v>#REF!</v>
      </c>
      <c r="K1286" s="294"/>
      <c r="L1286" s="271"/>
      <c r="M1286" s="264"/>
      <c r="N1286" s="260"/>
      <c r="O1286" s="260"/>
    </row>
    <row r="1287" spans="1:15" ht="17.25">
      <c r="A1287" s="178" t="s">
        <v>295</v>
      </c>
      <c r="B1287" s="75" t="s">
        <v>297</v>
      </c>
      <c r="C1287" s="39" t="s">
        <v>17</v>
      </c>
      <c r="D1287" s="255"/>
      <c r="E1287" s="325" t="e">
        <f>#REF!</f>
        <v>#REF!</v>
      </c>
      <c r="F1287" s="325" t="e">
        <f>#REF!</f>
        <v>#REF!</v>
      </c>
      <c r="G1287" s="325" t="e">
        <f>#REF!</f>
        <v>#REF!</v>
      </c>
      <c r="H1287" s="325" t="e">
        <f t="shared" si="64"/>
        <v>#REF!</v>
      </c>
      <c r="I1287" s="261"/>
      <c r="J1287" s="266" t="e">
        <f t="shared" ref="J1287:J1292" si="65">I1287*H1287</f>
        <v>#REF!</v>
      </c>
      <c r="K1287" s="295"/>
      <c r="L1287" s="270"/>
      <c r="M1287" s="263"/>
      <c r="N1287" s="261"/>
      <c r="O1287" s="260"/>
    </row>
    <row r="1288" spans="1:15" ht="17.25">
      <c r="A1288" s="178" t="s">
        <v>295</v>
      </c>
      <c r="B1288" s="75" t="s">
        <v>298</v>
      </c>
      <c r="C1288" s="39" t="s">
        <v>17</v>
      </c>
      <c r="D1288" s="255"/>
      <c r="E1288" s="325" t="e">
        <f>#REF!</f>
        <v>#REF!</v>
      </c>
      <c r="F1288" s="325" t="e">
        <f>#REF!</f>
        <v>#REF!</v>
      </c>
      <c r="G1288" s="325" t="e">
        <f>#REF!</f>
        <v>#REF!</v>
      </c>
      <c r="H1288" s="325" t="e">
        <f t="shared" si="64"/>
        <v>#REF!</v>
      </c>
      <c r="I1288" s="260"/>
      <c r="J1288" s="266" t="e">
        <f t="shared" si="65"/>
        <v>#REF!</v>
      </c>
      <c r="K1288" s="294"/>
      <c r="L1288" s="271"/>
      <c r="M1288" s="264"/>
      <c r="N1288" s="260"/>
      <c r="O1288" s="260"/>
    </row>
    <row r="1289" spans="1:15" ht="17.25">
      <c r="A1289" s="178" t="s">
        <v>295</v>
      </c>
      <c r="B1289" s="75" t="s">
        <v>299</v>
      </c>
      <c r="C1289" s="39" t="s">
        <v>17</v>
      </c>
      <c r="D1289" s="255"/>
      <c r="E1289" s="325" t="e">
        <f>#REF!</f>
        <v>#REF!</v>
      </c>
      <c r="F1289" s="325" t="e">
        <f>#REF!</f>
        <v>#REF!</v>
      </c>
      <c r="G1289" s="325" t="e">
        <f>#REF!</f>
        <v>#REF!</v>
      </c>
      <c r="H1289" s="325" t="e">
        <f t="shared" si="64"/>
        <v>#REF!</v>
      </c>
      <c r="I1289" s="261"/>
      <c r="J1289" s="266" t="e">
        <f t="shared" si="65"/>
        <v>#REF!</v>
      </c>
      <c r="K1289" s="295"/>
      <c r="L1289" s="270"/>
      <c r="M1289" s="263"/>
      <c r="N1289" s="261"/>
      <c r="O1289" s="260"/>
    </row>
    <row r="1290" spans="1:15" ht="17.25">
      <c r="A1290" s="178" t="s">
        <v>295</v>
      </c>
      <c r="B1290" s="75" t="s">
        <v>300</v>
      </c>
      <c r="C1290" s="39" t="s">
        <v>17</v>
      </c>
      <c r="D1290" s="255"/>
      <c r="E1290" s="325" t="e">
        <f>#REF!</f>
        <v>#REF!</v>
      </c>
      <c r="F1290" s="325" t="e">
        <f>#REF!</f>
        <v>#REF!</v>
      </c>
      <c r="G1290" s="325" t="e">
        <f>#REF!</f>
        <v>#REF!</v>
      </c>
      <c r="H1290" s="325" t="e">
        <f t="shared" si="64"/>
        <v>#REF!</v>
      </c>
      <c r="I1290" s="260"/>
      <c r="J1290" s="266" t="e">
        <f t="shared" si="65"/>
        <v>#REF!</v>
      </c>
      <c r="K1290" s="294"/>
      <c r="L1290" s="271"/>
      <c r="M1290" s="264"/>
      <c r="N1290" s="260"/>
      <c r="O1290" s="260"/>
    </row>
    <row r="1291" spans="1:15" ht="17.25">
      <c r="A1291" s="178" t="s">
        <v>295</v>
      </c>
      <c r="B1291" s="75" t="s">
        <v>337</v>
      </c>
      <c r="C1291" s="39" t="s">
        <v>17</v>
      </c>
      <c r="D1291" s="255"/>
      <c r="E1291" s="325" t="e">
        <f>#REF!</f>
        <v>#REF!</v>
      </c>
      <c r="F1291" s="325" t="e">
        <f>#REF!</f>
        <v>#REF!</v>
      </c>
      <c r="G1291" s="325" t="e">
        <f>#REF!</f>
        <v>#REF!</v>
      </c>
      <c r="H1291" s="325" t="e">
        <f t="shared" si="64"/>
        <v>#REF!</v>
      </c>
      <c r="I1291" s="261"/>
      <c r="J1291" s="266" t="e">
        <f t="shared" si="65"/>
        <v>#REF!</v>
      </c>
      <c r="K1291" s="295"/>
      <c r="L1291" s="270"/>
      <c r="M1291" s="263"/>
      <c r="N1291" s="261"/>
      <c r="O1291" s="260"/>
    </row>
    <row r="1292" spans="1:15" ht="17.25">
      <c r="A1292" s="178" t="s">
        <v>295</v>
      </c>
      <c r="B1292" s="75" t="s">
        <v>441</v>
      </c>
      <c r="C1292" s="39" t="s">
        <v>17</v>
      </c>
      <c r="D1292" s="255"/>
      <c r="E1292" s="325" t="e">
        <f>#REF!</f>
        <v>#REF!</v>
      </c>
      <c r="F1292" s="325" t="e">
        <f>#REF!</f>
        <v>#REF!</v>
      </c>
      <c r="G1292" s="325" t="e">
        <f>#REF!</f>
        <v>#REF!</v>
      </c>
      <c r="H1292" s="325" t="e">
        <f t="shared" si="64"/>
        <v>#REF!</v>
      </c>
      <c r="I1292" s="260"/>
      <c r="J1292" s="266" t="e">
        <f t="shared" si="65"/>
        <v>#REF!</v>
      </c>
      <c r="K1292" s="294"/>
      <c r="L1292" s="271"/>
      <c r="M1292" s="264"/>
      <c r="N1292" s="260"/>
      <c r="O1292" s="260"/>
    </row>
    <row r="1293" spans="1:15" ht="31.5">
      <c r="A1293" s="178" t="s">
        <v>295</v>
      </c>
      <c r="B1293" s="75" t="s">
        <v>301</v>
      </c>
      <c r="C1293" s="39" t="s">
        <v>17</v>
      </c>
      <c r="D1293" s="304">
        <v>5</v>
      </c>
      <c r="E1293" s="325" t="e">
        <f>#REF!</f>
        <v>#REF!</v>
      </c>
      <c r="F1293" s="325" t="e">
        <f>#REF!</f>
        <v>#REF!</v>
      </c>
      <c r="G1293" s="325" t="e">
        <f>#REF!</f>
        <v>#REF!</v>
      </c>
      <c r="H1293" s="325" t="e">
        <f t="shared" si="64"/>
        <v>#REF!</v>
      </c>
      <c r="I1293" s="305">
        <v>7129.9</v>
      </c>
      <c r="J1293" s="314">
        <f>I1293*D1293</f>
        <v>35649.5</v>
      </c>
      <c r="K1293" s="311"/>
      <c r="L1293" s="312">
        <v>42416</v>
      </c>
      <c r="M1293" s="308" t="s">
        <v>1663</v>
      </c>
      <c r="N1293" s="254" t="s">
        <v>342</v>
      </c>
      <c r="O1293" s="314" t="s">
        <v>1642</v>
      </c>
    </row>
    <row r="1294" spans="1:15" ht="17.25">
      <c r="A1294" s="178" t="s">
        <v>295</v>
      </c>
      <c r="B1294" s="75" t="s">
        <v>316</v>
      </c>
      <c r="C1294" s="39" t="s">
        <v>17</v>
      </c>
      <c r="D1294" s="255"/>
      <c r="E1294" s="325" t="e">
        <f>#REF!</f>
        <v>#REF!</v>
      </c>
      <c r="F1294" s="325" t="e">
        <f>#REF!</f>
        <v>#REF!</v>
      </c>
      <c r="G1294" s="325" t="e">
        <f>#REF!</f>
        <v>#REF!</v>
      </c>
      <c r="H1294" s="325" t="e">
        <f t="shared" si="64"/>
        <v>#REF!</v>
      </c>
      <c r="I1294" s="260"/>
      <c r="J1294" s="266" t="e">
        <f>I1294*H1294</f>
        <v>#REF!</v>
      </c>
      <c r="K1294" s="294"/>
      <c r="L1294" s="271"/>
      <c r="M1294" s="264"/>
      <c r="N1294" s="260"/>
      <c r="O1294" s="260"/>
    </row>
    <row r="1295" spans="1:15" ht="17.25">
      <c r="A1295" s="178" t="s">
        <v>295</v>
      </c>
      <c r="B1295" s="75" t="s">
        <v>322</v>
      </c>
      <c r="C1295" s="39" t="s">
        <v>17</v>
      </c>
      <c r="D1295" s="255"/>
      <c r="E1295" s="325" t="e">
        <f>#REF!</f>
        <v>#REF!</v>
      </c>
      <c r="F1295" s="325" t="e">
        <f>#REF!</f>
        <v>#REF!</v>
      </c>
      <c r="G1295" s="325" t="e">
        <f>#REF!</f>
        <v>#REF!</v>
      </c>
      <c r="H1295" s="325" t="e">
        <f t="shared" si="64"/>
        <v>#REF!</v>
      </c>
      <c r="I1295" s="261"/>
      <c r="J1295" s="266" t="e">
        <f>I1295*H1295</f>
        <v>#REF!</v>
      </c>
      <c r="K1295" s="295"/>
      <c r="L1295" s="270"/>
      <c r="M1295" s="263"/>
      <c r="N1295" s="261"/>
      <c r="O1295" s="260"/>
    </row>
    <row r="1296" spans="1:15" ht="31.5">
      <c r="A1296" s="178" t="s">
        <v>295</v>
      </c>
      <c r="B1296" s="75" t="s">
        <v>1423</v>
      </c>
      <c r="C1296" s="39" t="s">
        <v>17</v>
      </c>
      <c r="D1296" s="304">
        <v>5</v>
      </c>
      <c r="E1296" s="325" t="e">
        <f>#REF!</f>
        <v>#REF!</v>
      </c>
      <c r="F1296" s="325" t="e">
        <f>#REF!</f>
        <v>#REF!</v>
      </c>
      <c r="G1296" s="325" t="e">
        <f>#REF!</f>
        <v>#REF!</v>
      </c>
      <c r="H1296" s="325" t="e">
        <f t="shared" si="64"/>
        <v>#REF!</v>
      </c>
      <c r="I1296" s="314">
        <v>7056</v>
      </c>
      <c r="J1296" s="314">
        <f>I1296*D1296</f>
        <v>35280</v>
      </c>
      <c r="K1296" s="315"/>
      <c r="L1296" s="312">
        <v>42416</v>
      </c>
      <c r="M1296" s="308" t="s">
        <v>1663</v>
      </c>
      <c r="N1296" s="254" t="s">
        <v>342</v>
      </c>
      <c r="O1296" s="314" t="s">
        <v>1642</v>
      </c>
    </row>
    <row r="1297" spans="1:15" ht="17.25">
      <c r="A1297" s="179" t="s">
        <v>295</v>
      </c>
      <c r="B1297" s="76"/>
      <c r="C1297" s="42"/>
      <c r="D1297" s="76"/>
      <c r="E1297" s="76"/>
      <c r="F1297" s="76"/>
      <c r="G1297" s="76"/>
      <c r="H1297" s="76"/>
      <c r="I1297" s="76"/>
      <c r="J1297" s="76"/>
      <c r="K1297" s="293" t="e">
        <f>SUM(J1286:J1296)</f>
        <v>#REF!</v>
      </c>
      <c r="L1297" s="284"/>
      <c r="M1297" s="76"/>
      <c r="N1297" s="76"/>
      <c r="O1297" s="76"/>
    </row>
    <row r="1298" spans="1:15" ht="17.25">
      <c r="A1298" s="178" t="s">
        <v>147</v>
      </c>
      <c r="B1298" s="75" t="s">
        <v>302</v>
      </c>
      <c r="C1298" s="39" t="s">
        <v>17</v>
      </c>
      <c r="D1298" s="255">
        <v>2000</v>
      </c>
      <c r="E1298" s="325" t="e">
        <f>#REF!</f>
        <v>#REF!</v>
      </c>
      <c r="F1298" s="325" t="e">
        <f>#REF!</f>
        <v>#REF!</v>
      </c>
      <c r="G1298" s="325" t="e">
        <f>#REF!</f>
        <v>#REF!</v>
      </c>
      <c r="H1298" s="325" t="e">
        <f t="shared" si="64"/>
        <v>#REF!</v>
      </c>
      <c r="I1298" s="266">
        <v>150</v>
      </c>
      <c r="J1298" s="266" t="e">
        <f>I1298*H1298</f>
        <v>#REF!</v>
      </c>
      <c r="K1298" s="294"/>
      <c r="L1298" s="312">
        <v>42340</v>
      </c>
      <c r="M1298" s="308" t="s">
        <v>1742</v>
      </c>
      <c r="N1298" s="254" t="s">
        <v>342</v>
      </c>
      <c r="O1298" s="314" t="s">
        <v>1642</v>
      </c>
    </row>
    <row r="1299" spans="1:15" ht="17.25">
      <c r="A1299" s="178" t="s">
        <v>147</v>
      </c>
      <c r="B1299" s="75" t="s">
        <v>326</v>
      </c>
      <c r="C1299" s="39" t="s">
        <v>17</v>
      </c>
      <c r="D1299" s="255"/>
      <c r="E1299" s="325" t="e">
        <f>#REF!</f>
        <v>#REF!</v>
      </c>
      <c r="F1299" s="325" t="e">
        <f>#REF!</f>
        <v>#REF!</v>
      </c>
      <c r="G1299" s="325" t="e">
        <f>#REF!</f>
        <v>#REF!</v>
      </c>
      <c r="H1299" s="325" t="e">
        <f t="shared" si="64"/>
        <v>#REF!</v>
      </c>
      <c r="I1299" s="261"/>
      <c r="J1299" s="266" t="e">
        <f t="shared" ref="J1299:J1315" si="66">I1299*H1299</f>
        <v>#REF!</v>
      </c>
      <c r="K1299" s="295"/>
      <c r="L1299" s="270"/>
      <c r="M1299" s="263"/>
      <c r="N1299" s="261"/>
      <c r="O1299" s="260"/>
    </row>
    <row r="1300" spans="1:15" ht="17.25">
      <c r="A1300" s="180" t="s">
        <v>147</v>
      </c>
      <c r="B1300" s="77" t="s">
        <v>332</v>
      </c>
      <c r="C1300" s="70" t="s">
        <v>17</v>
      </c>
      <c r="D1300" s="255"/>
      <c r="E1300" s="325" t="e">
        <f>#REF!</f>
        <v>#REF!</v>
      </c>
      <c r="F1300" s="325" t="e">
        <f>#REF!</f>
        <v>#REF!</v>
      </c>
      <c r="G1300" s="325" t="e">
        <f>#REF!</f>
        <v>#REF!</v>
      </c>
      <c r="H1300" s="325" t="e">
        <f t="shared" si="64"/>
        <v>#REF!</v>
      </c>
      <c r="I1300" s="260"/>
      <c r="J1300" s="266" t="e">
        <f t="shared" si="66"/>
        <v>#REF!</v>
      </c>
      <c r="K1300" s="294"/>
      <c r="L1300" s="271"/>
      <c r="M1300" s="264"/>
      <c r="N1300" s="260"/>
      <c r="O1300" s="260"/>
    </row>
    <row r="1301" spans="1:15" ht="17.25">
      <c r="A1301" s="178" t="s">
        <v>147</v>
      </c>
      <c r="B1301" s="75" t="s">
        <v>333</v>
      </c>
      <c r="C1301" s="39" t="s">
        <v>17</v>
      </c>
      <c r="D1301" s="255"/>
      <c r="E1301" s="325" t="e">
        <f>#REF!</f>
        <v>#REF!</v>
      </c>
      <c r="F1301" s="325" t="e">
        <f>#REF!</f>
        <v>#REF!</v>
      </c>
      <c r="G1301" s="325" t="e">
        <f>#REF!</f>
        <v>#REF!</v>
      </c>
      <c r="H1301" s="325" t="e">
        <f t="shared" si="64"/>
        <v>#REF!</v>
      </c>
      <c r="I1301" s="261"/>
      <c r="J1301" s="266" t="e">
        <f t="shared" si="66"/>
        <v>#REF!</v>
      </c>
      <c r="K1301" s="295"/>
      <c r="L1301" s="270"/>
      <c r="M1301" s="263"/>
      <c r="N1301" s="261"/>
      <c r="O1301" s="260"/>
    </row>
    <row r="1302" spans="1:15" ht="17.25">
      <c r="A1302" s="178" t="s">
        <v>147</v>
      </c>
      <c r="B1302" s="75" t="s">
        <v>1580</v>
      </c>
      <c r="C1302" s="39" t="s">
        <v>149</v>
      </c>
      <c r="D1302" s="255"/>
      <c r="E1302" s="325" t="e">
        <f>#REF!</f>
        <v>#REF!</v>
      </c>
      <c r="F1302" s="325" t="e">
        <f>#REF!</f>
        <v>#REF!</v>
      </c>
      <c r="G1302" s="325" t="e">
        <f>#REF!</f>
        <v>#REF!</v>
      </c>
      <c r="H1302" s="325" t="e">
        <f t="shared" si="64"/>
        <v>#REF!</v>
      </c>
      <c r="I1302" s="260"/>
      <c r="J1302" s="266" t="e">
        <f t="shared" si="66"/>
        <v>#REF!</v>
      </c>
      <c r="K1302" s="294"/>
      <c r="L1302" s="271"/>
      <c r="M1302" s="264"/>
      <c r="N1302" s="260"/>
      <c r="O1302" s="260"/>
    </row>
    <row r="1303" spans="1:15" ht="17.25">
      <c r="A1303" s="178" t="s">
        <v>147</v>
      </c>
      <c r="B1303" s="75" t="s">
        <v>1581</v>
      </c>
      <c r="C1303" s="39" t="s">
        <v>149</v>
      </c>
      <c r="D1303" s="255"/>
      <c r="E1303" s="325" t="e">
        <f>#REF!</f>
        <v>#REF!</v>
      </c>
      <c r="F1303" s="325" t="e">
        <f>#REF!</f>
        <v>#REF!</v>
      </c>
      <c r="G1303" s="325" t="e">
        <f>#REF!</f>
        <v>#REF!</v>
      </c>
      <c r="H1303" s="325" t="e">
        <f t="shared" si="64"/>
        <v>#REF!</v>
      </c>
      <c r="I1303" s="261"/>
      <c r="J1303" s="266" t="e">
        <f t="shared" si="66"/>
        <v>#REF!</v>
      </c>
      <c r="K1303" s="295"/>
      <c r="L1303" s="270"/>
      <c r="M1303" s="263"/>
      <c r="N1303" s="261"/>
      <c r="O1303" s="260"/>
    </row>
    <row r="1304" spans="1:15" ht="17.25">
      <c r="A1304" s="178" t="s">
        <v>147</v>
      </c>
      <c r="B1304" s="75" t="s">
        <v>1579</v>
      </c>
      <c r="C1304" s="39" t="s">
        <v>149</v>
      </c>
      <c r="D1304" s="255"/>
      <c r="E1304" s="325" t="e">
        <f>#REF!</f>
        <v>#REF!</v>
      </c>
      <c r="F1304" s="325" t="e">
        <f>#REF!</f>
        <v>#REF!</v>
      </c>
      <c r="G1304" s="325" t="e">
        <f>#REF!</f>
        <v>#REF!</v>
      </c>
      <c r="H1304" s="325" t="e">
        <f t="shared" si="64"/>
        <v>#REF!</v>
      </c>
      <c r="I1304" s="260"/>
      <c r="J1304" s="266" t="e">
        <f t="shared" si="66"/>
        <v>#REF!</v>
      </c>
      <c r="K1304" s="294"/>
      <c r="L1304" s="271"/>
      <c r="M1304" s="264"/>
      <c r="N1304" s="260"/>
      <c r="O1304" s="260"/>
    </row>
    <row r="1305" spans="1:15" ht="17.25">
      <c r="A1305" s="178" t="s">
        <v>147</v>
      </c>
      <c r="B1305" s="75" t="s">
        <v>303</v>
      </c>
      <c r="C1305" s="39" t="s">
        <v>149</v>
      </c>
      <c r="D1305" s="255"/>
      <c r="E1305" s="325" t="e">
        <f>#REF!</f>
        <v>#REF!</v>
      </c>
      <c r="F1305" s="325" t="e">
        <f>#REF!</f>
        <v>#REF!</v>
      </c>
      <c r="G1305" s="325" t="e">
        <f>#REF!</f>
        <v>#REF!</v>
      </c>
      <c r="H1305" s="325" t="e">
        <f t="shared" si="64"/>
        <v>#REF!</v>
      </c>
      <c r="I1305" s="261"/>
      <c r="J1305" s="266" t="e">
        <f t="shared" si="66"/>
        <v>#REF!</v>
      </c>
      <c r="K1305" s="295"/>
      <c r="L1305" s="270"/>
      <c r="M1305" s="263"/>
      <c r="N1305" s="261"/>
      <c r="O1305" s="260"/>
    </row>
    <row r="1306" spans="1:15" ht="17.25">
      <c r="A1306" s="178" t="s">
        <v>147</v>
      </c>
      <c r="B1306" s="75" t="s">
        <v>1582</v>
      </c>
      <c r="C1306" s="39" t="s">
        <v>149</v>
      </c>
      <c r="D1306" s="255"/>
      <c r="E1306" s="325" t="e">
        <f>#REF!</f>
        <v>#REF!</v>
      </c>
      <c r="F1306" s="325" t="e">
        <f>#REF!</f>
        <v>#REF!</v>
      </c>
      <c r="G1306" s="325" t="e">
        <f>#REF!</f>
        <v>#REF!</v>
      </c>
      <c r="H1306" s="325" t="e">
        <f t="shared" si="64"/>
        <v>#REF!</v>
      </c>
      <c r="I1306" s="260"/>
      <c r="J1306" s="266" t="e">
        <f t="shared" si="66"/>
        <v>#REF!</v>
      </c>
      <c r="K1306" s="294"/>
      <c r="L1306" s="271"/>
      <c r="M1306" s="264"/>
      <c r="N1306" s="260"/>
      <c r="O1306" s="260"/>
    </row>
    <row r="1307" spans="1:15" ht="17.25">
      <c r="A1307" s="178" t="s">
        <v>147</v>
      </c>
      <c r="B1307" s="75" t="s">
        <v>1583</v>
      </c>
      <c r="C1307" s="39" t="s">
        <v>149</v>
      </c>
      <c r="D1307" s="255"/>
      <c r="E1307" s="325" t="e">
        <f>#REF!</f>
        <v>#REF!</v>
      </c>
      <c r="F1307" s="325" t="e">
        <f>#REF!</f>
        <v>#REF!</v>
      </c>
      <c r="G1307" s="325" t="e">
        <f>#REF!</f>
        <v>#REF!</v>
      </c>
      <c r="H1307" s="325" t="e">
        <f t="shared" si="64"/>
        <v>#REF!</v>
      </c>
      <c r="I1307" s="261"/>
      <c r="J1307" s="266" t="e">
        <f t="shared" si="66"/>
        <v>#REF!</v>
      </c>
      <c r="K1307" s="295"/>
      <c r="L1307" s="270"/>
      <c r="M1307" s="263"/>
      <c r="N1307" s="261"/>
      <c r="O1307" s="260"/>
    </row>
    <row r="1308" spans="1:15" ht="17.25">
      <c r="A1308" s="178" t="s">
        <v>147</v>
      </c>
      <c r="B1308" s="75" t="s">
        <v>1584</v>
      </c>
      <c r="C1308" s="39" t="s">
        <v>149</v>
      </c>
      <c r="D1308" s="255"/>
      <c r="E1308" s="325" t="e">
        <f>#REF!</f>
        <v>#REF!</v>
      </c>
      <c r="F1308" s="325" t="e">
        <f>#REF!</f>
        <v>#REF!</v>
      </c>
      <c r="G1308" s="325" t="e">
        <f>#REF!</f>
        <v>#REF!</v>
      </c>
      <c r="H1308" s="325" t="e">
        <f t="shared" si="64"/>
        <v>#REF!</v>
      </c>
      <c r="I1308" s="260"/>
      <c r="J1308" s="266" t="e">
        <f t="shared" si="66"/>
        <v>#REF!</v>
      </c>
      <c r="K1308" s="294"/>
      <c r="L1308" s="271"/>
      <c r="M1308" s="264"/>
      <c r="N1308" s="260"/>
      <c r="O1308" s="260"/>
    </row>
    <row r="1309" spans="1:15" ht="17.25">
      <c r="A1309" s="178" t="s">
        <v>147</v>
      </c>
      <c r="B1309" s="75" t="s">
        <v>1585</v>
      </c>
      <c r="C1309" s="39" t="s">
        <v>149</v>
      </c>
      <c r="D1309" s="255"/>
      <c r="E1309" s="325" t="e">
        <f>#REF!</f>
        <v>#REF!</v>
      </c>
      <c r="F1309" s="325" t="e">
        <f>#REF!</f>
        <v>#REF!</v>
      </c>
      <c r="G1309" s="325" t="e">
        <f>#REF!</f>
        <v>#REF!</v>
      </c>
      <c r="H1309" s="325" t="e">
        <f t="shared" ref="H1309:H1372" si="67">G1309+F1309+E1309+D1309</f>
        <v>#REF!</v>
      </c>
      <c r="I1309" s="261"/>
      <c r="J1309" s="266" t="e">
        <f t="shared" si="66"/>
        <v>#REF!</v>
      </c>
      <c r="K1309" s="295"/>
      <c r="L1309" s="270"/>
      <c r="M1309" s="263"/>
      <c r="N1309" s="261"/>
      <c r="O1309" s="260"/>
    </row>
    <row r="1310" spans="1:15" ht="17.25">
      <c r="A1310" s="178" t="s">
        <v>147</v>
      </c>
      <c r="B1310" s="75" t="s">
        <v>1586</v>
      </c>
      <c r="C1310" s="39" t="s">
        <v>149</v>
      </c>
      <c r="D1310" s="255"/>
      <c r="E1310" s="325" t="e">
        <f>#REF!</f>
        <v>#REF!</v>
      </c>
      <c r="F1310" s="325" t="e">
        <f>#REF!</f>
        <v>#REF!</v>
      </c>
      <c r="G1310" s="325" t="e">
        <f>#REF!</f>
        <v>#REF!</v>
      </c>
      <c r="H1310" s="325" t="e">
        <f t="shared" si="67"/>
        <v>#REF!</v>
      </c>
      <c r="I1310" s="260"/>
      <c r="J1310" s="266" t="e">
        <f t="shared" si="66"/>
        <v>#REF!</v>
      </c>
      <c r="K1310" s="294"/>
      <c r="L1310" s="271"/>
      <c r="M1310" s="264"/>
      <c r="N1310" s="260"/>
      <c r="O1310" s="260"/>
    </row>
    <row r="1311" spans="1:15" ht="17.25">
      <c r="A1311" s="178" t="s">
        <v>147</v>
      </c>
      <c r="B1311" s="75" t="s">
        <v>1272</v>
      </c>
      <c r="C1311" s="39" t="s">
        <v>149</v>
      </c>
      <c r="D1311" s="255"/>
      <c r="E1311" s="325" t="e">
        <f>#REF!</f>
        <v>#REF!</v>
      </c>
      <c r="F1311" s="325" t="e">
        <f>#REF!</f>
        <v>#REF!</v>
      </c>
      <c r="G1311" s="325" t="e">
        <f>#REF!</f>
        <v>#REF!</v>
      </c>
      <c r="H1311" s="325" t="e">
        <f t="shared" si="67"/>
        <v>#REF!</v>
      </c>
      <c r="I1311" s="261"/>
      <c r="J1311" s="266" t="e">
        <f t="shared" si="66"/>
        <v>#REF!</v>
      </c>
      <c r="K1311" s="295"/>
      <c r="L1311" s="270"/>
      <c r="M1311" s="263"/>
      <c r="N1311" s="261"/>
      <c r="O1311" s="260"/>
    </row>
    <row r="1312" spans="1:15" ht="17.25">
      <c r="A1312" s="178" t="s">
        <v>147</v>
      </c>
      <c r="B1312" s="75" t="s">
        <v>1273</v>
      </c>
      <c r="C1312" s="39" t="s">
        <v>149</v>
      </c>
      <c r="D1312" s="255"/>
      <c r="E1312" s="325" t="e">
        <f>#REF!</f>
        <v>#REF!</v>
      </c>
      <c r="F1312" s="325" t="e">
        <f>#REF!</f>
        <v>#REF!</v>
      </c>
      <c r="G1312" s="325" t="e">
        <f>#REF!</f>
        <v>#REF!</v>
      </c>
      <c r="H1312" s="325" t="e">
        <f t="shared" si="67"/>
        <v>#REF!</v>
      </c>
      <c r="I1312" s="260"/>
      <c r="J1312" s="266" t="e">
        <f t="shared" si="66"/>
        <v>#REF!</v>
      </c>
      <c r="K1312" s="294"/>
      <c r="L1312" s="271"/>
      <c r="M1312" s="264"/>
      <c r="N1312" s="260"/>
      <c r="O1312" s="260"/>
    </row>
    <row r="1313" spans="1:15" ht="17.25">
      <c r="A1313" s="178" t="s">
        <v>147</v>
      </c>
      <c r="B1313" s="75" t="s">
        <v>1274</v>
      </c>
      <c r="C1313" s="39" t="s">
        <v>17</v>
      </c>
      <c r="D1313" s="255"/>
      <c r="E1313" s="325" t="e">
        <f>#REF!</f>
        <v>#REF!</v>
      </c>
      <c r="F1313" s="325" t="e">
        <f>#REF!</f>
        <v>#REF!</v>
      </c>
      <c r="G1313" s="325" t="e">
        <f>#REF!</f>
        <v>#REF!</v>
      </c>
      <c r="H1313" s="325" t="e">
        <f t="shared" si="67"/>
        <v>#REF!</v>
      </c>
      <c r="I1313" s="261"/>
      <c r="J1313" s="266" t="e">
        <f t="shared" si="66"/>
        <v>#REF!</v>
      </c>
      <c r="K1313" s="295"/>
      <c r="L1313" s="270"/>
      <c r="M1313" s="263"/>
      <c r="N1313" s="261"/>
      <c r="O1313" s="260"/>
    </row>
    <row r="1314" spans="1:15" ht="17.25">
      <c r="A1314" s="178" t="s">
        <v>147</v>
      </c>
      <c r="B1314" s="75" t="s">
        <v>1270</v>
      </c>
      <c r="C1314" s="39" t="s">
        <v>17</v>
      </c>
      <c r="D1314" s="255"/>
      <c r="E1314" s="325" t="e">
        <f>#REF!</f>
        <v>#REF!</v>
      </c>
      <c r="F1314" s="325" t="e">
        <f>#REF!</f>
        <v>#REF!</v>
      </c>
      <c r="G1314" s="325" t="e">
        <f>#REF!</f>
        <v>#REF!</v>
      </c>
      <c r="H1314" s="325" t="e">
        <f t="shared" si="67"/>
        <v>#REF!</v>
      </c>
      <c r="I1314" s="260"/>
      <c r="J1314" s="266" t="e">
        <f t="shared" si="66"/>
        <v>#REF!</v>
      </c>
      <c r="K1314" s="294"/>
      <c r="L1314" s="271"/>
      <c r="M1314" s="264"/>
      <c r="N1314" s="260"/>
      <c r="O1314" s="260"/>
    </row>
    <row r="1315" spans="1:15" ht="17.25">
      <c r="A1315" s="178" t="s">
        <v>147</v>
      </c>
      <c r="B1315" s="75" t="s">
        <v>1271</v>
      </c>
      <c r="C1315" s="39" t="s">
        <v>17</v>
      </c>
      <c r="D1315" s="255"/>
      <c r="E1315" s="325" t="e">
        <f>#REF!</f>
        <v>#REF!</v>
      </c>
      <c r="F1315" s="325" t="e">
        <f>#REF!</f>
        <v>#REF!</v>
      </c>
      <c r="G1315" s="325" t="e">
        <f>#REF!</f>
        <v>#REF!</v>
      </c>
      <c r="H1315" s="325" t="e">
        <f t="shared" si="67"/>
        <v>#REF!</v>
      </c>
      <c r="I1315" s="261"/>
      <c r="J1315" s="266" t="e">
        <f t="shared" si="66"/>
        <v>#REF!</v>
      </c>
      <c r="K1315" s="295"/>
      <c r="L1315" s="270"/>
      <c r="M1315" s="263"/>
      <c r="N1315" s="261"/>
      <c r="O1315" s="260"/>
    </row>
    <row r="1316" spans="1:15" ht="17.25">
      <c r="A1316" s="179" t="s">
        <v>147</v>
      </c>
      <c r="B1316" s="76"/>
      <c r="C1316" s="42"/>
      <c r="D1316" s="76"/>
      <c r="E1316" s="76"/>
      <c r="F1316" s="76"/>
      <c r="G1316" s="76"/>
      <c r="H1316" s="76"/>
      <c r="I1316" s="76"/>
      <c r="J1316" s="76"/>
      <c r="K1316" s="293" t="e">
        <f>SUM(J1298:J1315)</f>
        <v>#REF!</v>
      </c>
      <c r="L1316" s="284"/>
      <c r="M1316" s="76"/>
      <c r="N1316" s="76"/>
      <c r="O1316" s="76"/>
    </row>
    <row r="1317" spans="1:15" ht="31.5">
      <c r="A1317" s="178" t="s">
        <v>1656</v>
      </c>
      <c r="B1317" s="75" t="s">
        <v>1659</v>
      </c>
      <c r="C1317" s="39" t="s">
        <v>17</v>
      </c>
      <c r="D1317" s="255">
        <v>300</v>
      </c>
      <c r="E1317" s="325" t="e">
        <f>#REF!</f>
        <v>#REF!</v>
      </c>
      <c r="F1317" s="325" t="e">
        <f>#REF!</f>
        <v>#REF!</v>
      </c>
      <c r="G1317" s="325" t="e">
        <f>#REF!</f>
        <v>#REF!</v>
      </c>
      <c r="H1317" s="325" t="e">
        <f t="shared" si="67"/>
        <v>#REF!</v>
      </c>
      <c r="I1317" s="265">
        <v>290</v>
      </c>
      <c r="J1317" s="266">
        <f t="shared" ref="J1317:J1322" si="68">I1317*D1317</f>
        <v>87000</v>
      </c>
      <c r="K1317" s="307"/>
      <c r="L1317" s="312">
        <v>42424</v>
      </c>
      <c r="M1317" s="308" t="s">
        <v>1663</v>
      </c>
      <c r="N1317" s="254" t="s">
        <v>342</v>
      </c>
      <c r="O1317" s="324" t="s">
        <v>1642</v>
      </c>
    </row>
    <row r="1318" spans="1:15" ht="31.5">
      <c r="A1318" s="178" t="s">
        <v>1657</v>
      </c>
      <c r="B1318" s="75" t="s">
        <v>1660</v>
      </c>
      <c r="C1318" s="39" t="s">
        <v>17</v>
      </c>
      <c r="D1318" s="255">
        <v>100</v>
      </c>
      <c r="E1318" s="325" t="e">
        <f>#REF!</f>
        <v>#REF!</v>
      </c>
      <c r="F1318" s="325" t="e">
        <f>#REF!</f>
        <v>#REF!</v>
      </c>
      <c r="G1318" s="325" t="e">
        <f>#REF!</f>
        <v>#REF!</v>
      </c>
      <c r="H1318" s="325" t="e">
        <f t="shared" si="67"/>
        <v>#REF!</v>
      </c>
      <c r="I1318" s="265">
        <v>550</v>
      </c>
      <c r="J1318" s="266">
        <f t="shared" si="68"/>
        <v>55000</v>
      </c>
      <c r="K1318" s="307"/>
      <c r="L1318" s="312" t="s">
        <v>1661</v>
      </c>
      <c r="M1318" s="308" t="s">
        <v>1663</v>
      </c>
      <c r="N1318" s="254" t="s">
        <v>342</v>
      </c>
      <c r="O1318" s="324" t="s">
        <v>1642</v>
      </c>
    </row>
    <row r="1319" spans="1:15" ht="31.5">
      <c r="A1319" s="178" t="s">
        <v>1658</v>
      </c>
      <c r="B1319" s="75" t="s">
        <v>1662</v>
      </c>
      <c r="C1319" s="39" t="s">
        <v>17</v>
      </c>
      <c r="D1319" s="255">
        <v>7</v>
      </c>
      <c r="E1319" s="325" t="e">
        <f>#REF!</f>
        <v>#REF!</v>
      </c>
      <c r="F1319" s="325" t="e">
        <f>#REF!</f>
        <v>#REF!</v>
      </c>
      <c r="G1319" s="325" t="e">
        <f>#REF!</f>
        <v>#REF!</v>
      </c>
      <c r="H1319" s="325" t="e">
        <f t="shared" si="67"/>
        <v>#REF!</v>
      </c>
      <c r="I1319" s="265">
        <v>2100</v>
      </c>
      <c r="J1319" s="266">
        <f t="shared" si="68"/>
        <v>14700</v>
      </c>
      <c r="K1319" s="307"/>
      <c r="L1319" s="312">
        <v>42429</v>
      </c>
      <c r="M1319" s="308" t="s">
        <v>1663</v>
      </c>
      <c r="N1319" s="254" t="s">
        <v>342</v>
      </c>
      <c r="O1319" s="324" t="s">
        <v>1642</v>
      </c>
    </row>
    <row r="1320" spans="1:15" ht="31.5">
      <c r="A1320" s="178" t="s">
        <v>153</v>
      </c>
      <c r="B1320" s="75" t="s">
        <v>1664</v>
      </c>
      <c r="C1320" s="39" t="s">
        <v>17</v>
      </c>
      <c r="D1320" s="255">
        <v>12</v>
      </c>
      <c r="E1320" s="325" t="e">
        <f>#REF!</f>
        <v>#REF!</v>
      </c>
      <c r="F1320" s="325" t="e">
        <f>#REF!</f>
        <v>#REF!</v>
      </c>
      <c r="G1320" s="325" t="e">
        <f>#REF!</f>
        <v>#REF!</v>
      </c>
      <c r="H1320" s="325" t="e">
        <f t="shared" si="67"/>
        <v>#REF!</v>
      </c>
      <c r="I1320" s="265">
        <v>3950</v>
      </c>
      <c r="J1320" s="266">
        <f t="shared" si="68"/>
        <v>47400</v>
      </c>
      <c r="K1320" s="307"/>
      <c r="L1320" s="312">
        <v>42429</v>
      </c>
      <c r="M1320" s="308" t="s">
        <v>1663</v>
      </c>
      <c r="N1320" s="254" t="s">
        <v>342</v>
      </c>
      <c r="O1320" s="324" t="s">
        <v>1642</v>
      </c>
    </row>
    <row r="1321" spans="1:15" ht="31.5">
      <c r="A1321" s="178" t="s">
        <v>1658</v>
      </c>
      <c r="B1321" s="75" t="s">
        <v>1665</v>
      </c>
      <c r="C1321" s="39" t="s">
        <v>17</v>
      </c>
      <c r="D1321" s="255">
        <v>3500</v>
      </c>
      <c r="E1321" s="325" t="e">
        <f>#REF!</f>
        <v>#REF!</v>
      </c>
      <c r="F1321" s="325" t="e">
        <f>#REF!</f>
        <v>#REF!</v>
      </c>
      <c r="G1321" s="325" t="e">
        <f>#REF!</f>
        <v>#REF!</v>
      </c>
      <c r="H1321" s="325" t="e">
        <f t="shared" si="67"/>
        <v>#REF!</v>
      </c>
      <c r="I1321" s="265">
        <v>5.6</v>
      </c>
      <c r="J1321" s="266">
        <f t="shared" si="68"/>
        <v>19600</v>
      </c>
      <c r="K1321" s="307"/>
      <c r="L1321" s="312">
        <v>42429</v>
      </c>
      <c r="M1321" s="308" t="s">
        <v>1663</v>
      </c>
      <c r="N1321" s="254" t="s">
        <v>342</v>
      </c>
      <c r="O1321" s="324" t="s">
        <v>1642</v>
      </c>
    </row>
    <row r="1322" spans="1:15" ht="17.25">
      <c r="A1322" s="178" t="s">
        <v>153</v>
      </c>
      <c r="B1322" s="75" t="s">
        <v>768</v>
      </c>
      <c r="C1322" s="39" t="s">
        <v>17</v>
      </c>
      <c r="D1322" s="255">
        <v>10000</v>
      </c>
      <c r="E1322" s="325" t="e">
        <f>#REF!</f>
        <v>#REF!</v>
      </c>
      <c r="F1322" s="325" t="e">
        <f>#REF!</f>
        <v>#REF!</v>
      </c>
      <c r="G1322" s="325" t="e">
        <f>#REF!</f>
        <v>#REF!</v>
      </c>
      <c r="H1322" s="325" t="e">
        <f t="shared" si="67"/>
        <v>#REF!</v>
      </c>
      <c r="I1322" s="265">
        <v>37.43</v>
      </c>
      <c r="J1322" s="266">
        <f t="shared" si="68"/>
        <v>374300</v>
      </c>
      <c r="K1322" s="307"/>
      <c r="L1322" s="312">
        <v>42395</v>
      </c>
      <c r="M1322" s="313" t="s">
        <v>15</v>
      </c>
      <c r="N1322" s="254" t="s">
        <v>342</v>
      </c>
      <c r="O1322" s="324" t="s">
        <v>1642</v>
      </c>
    </row>
    <row r="1323" spans="1:15" ht="17.25">
      <c r="A1323" s="178" t="s">
        <v>153</v>
      </c>
      <c r="B1323" s="75" t="s">
        <v>1417</v>
      </c>
      <c r="C1323" s="39" t="s">
        <v>17</v>
      </c>
      <c r="D1323" s="272"/>
      <c r="E1323" s="325" t="e">
        <f>#REF!</f>
        <v>#REF!</v>
      </c>
      <c r="F1323" s="325" t="e">
        <f>#REF!</f>
        <v>#REF!</v>
      </c>
      <c r="G1323" s="325" t="e">
        <f>#REF!</f>
        <v>#REF!</v>
      </c>
      <c r="H1323" s="325" t="e">
        <f t="shared" si="67"/>
        <v>#REF!</v>
      </c>
      <c r="I1323" s="273"/>
      <c r="J1323" s="314" t="e">
        <f>I1323*H1323</f>
        <v>#REF!</v>
      </c>
      <c r="K1323" s="297"/>
      <c r="L1323" s="278"/>
      <c r="M1323" s="274"/>
      <c r="N1323" s="273"/>
      <c r="O1323" s="273"/>
    </row>
    <row r="1324" spans="1:15" ht="17.25">
      <c r="A1324" s="178" t="s">
        <v>153</v>
      </c>
      <c r="B1324" s="75" t="s">
        <v>1627</v>
      </c>
      <c r="C1324" s="39" t="s">
        <v>17</v>
      </c>
      <c r="D1324" s="255"/>
      <c r="E1324" s="325" t="e">
        <f>#REF!</f>
        <v>#REF!</v>
      </c>
      <c r="F1324" s="325" t="e">
        <f>#REF!</f>
        <v>#REF!</v>
      </c>
      <c r="G1324" s="325" t="e">
        <f>#REF!</f>
        <v>#REF!</v>
      </c>
      <c r="H1324" s="325" t="e">
        <f t="shared" si="67"/>
        <v>#REF!</v>
      </c>
      <c r="I1324" s="261"/>
      <c r="J1324" s="314" t="e">
        <f>I1324*H1324</f>
        <v>#REF!</v>
      </c>
      <c r="K1324" s="295"/>
      <c r="L1324" s="270"/>
      <c r="M1324" s="263"/>
      <c r="N1324" s="261"/>
      <c r="O1324" s="260"/>
    </row>
    <row r="1325" spans="1:15" ht="17.25">
      <c r="A1325" s="178" t="s">
        <v>153</v>
      </c>
      <c r="B1325" s="75" t="s">
        <v>1466</v>
      </c>
      <c r="C1325" s="39" t="s">
        <v>17</v>
      </c>
      <c r="D1325" s="255"/>
      <c r="E1325" s="325" t="e">
        <f>#REF!</f>
        <v>#REF!</v>
      </c>
      <c r="F1325" s="325" t="e">
        <f>#REF!</f>
        <v>#REF!</v>
      </c>
      <c r="G1325" s="325" t="e">
        <f>#REF!</f>
        <v>#REF!</v>
      </c>
      <c r="H1325" s="325" t="e">
        <f t="shared" si="67"/>
        <v>#REF!</v>
      </c>
      <c r="I1325" s="260"/>
      <c r="J1325" s="314" t="e">
        <f>I1325*H1325</f>
        <v>#REF!</v>
      </c>
      <c r="K1325" s="294"/>
      <c r="L1325" s="271"/>
      <c r="M1325" s="264"/>
      <c r="N1325" s="260"/>
      <c r="O1325" s="260"/>
    </row>
    <row r="1326" spans="1:15" ht="17.25">
      <c r="A1326" s="179" t="s">
        <v>153</v>
      </c>
      <c r="B1326" s="76"/>
      <c r="C1326" s="42"/>
      <c r="D1326" s="76"/>
      <c r="E1326" s="76"/>
      <c r="F1326" s="76"/>
      <c r="G1326" s="76"/>
      <c r="H1326" s="76"/>
      <c r="I1326" s="76"/>
      <c r="J1326" s="76"/>
      <c r="K1326" s="293" t="e">
        <f>SUM(J1317:J1325)</f>
        <v>#REF!</v>
      </c>
      <c r="L1326" s="284"/>
      <c r="M1326" s="76"/>
      <c r="N1326" s="76"/>
      <c r="O1326" s="76"/>
    </row>
    <row r="1327" spans="1:15" ht="30">
      <c r="A1327" s="180" t="s">
        <v>1024</v>
      </c>
      <c r="B1327" s="77" t="s">
        <v>1025</v>
      </c>
      <c r="C1327" s="70" t="s">
        <v>17</v>
      </c>
      <c r="D1327" s="255"/>
      <c r="E1327" s="325" t="e">
        <f>#REF!</f>
        <v>#REF!</v>
      </c>
      <c r="F1327" s="325" t="e">
        <f>#REF!</f>
        <v>#REF!</v>
      </c>
      <c r="G1327" s="325" t="e">
        <f>#REF!</f>
        <v>#REF!</v>
      </c>
      <c r="H1327" s="325" t="e">
        <f t="shared" si="67"/>
        <v>#REF!</v>
      </c>
      <c r="I1327" s="260"/>
      <c r="J1327" s="266" t="e">
        <f t="shared" ref="J1327:J1332" si="69">I1327*H1327</f>
        <v>#REF!</v>
      </c>
      <c r="K1327" s="294"/>
      <c r="L1327" s="271"/>
      <c r="M1327" s="264"/>
      <c r="N1327" s="260"/>
      <c r="O1327" s="260"/>
    </row>
    <row r="1328" spans="1:15" ht="30">
      <c r="A1328" s="180" t="s">
        <v>1024</v>
      </c>
      <c r="B1328" s="77" t="s">
        <v>1026</v>
      </c>
      <c r="C1328" s="70" t="s">
        <v>17</v>
      </c>
      <c r="D1328" s="255"/>
      <c r="E1328" s="325" t="e">
        <f>#REF!</f>
        <v>#REF!</v>
      </c>
      <c r="F1328" s="325" t="e">
        <f>#REF!</f>
        <v>#REF!</v>
      </c>
      <c r="G1328" s="325" t="e">
        <f>#REF!</f>
        <v>#REF!</v>
      </c>
      <c r="H1328" s="325" t="e">
        <f t="shared" si="67"/>
        <v>#REF!</v>
      </c>
      <c r="I1328" s="261"/>
      <c r="J1328" s="266" t="e">
        <f t="shared" si="69"/>
        <v>#REF!</v>
      </c>
      <c r="K1328" s="295"/>
      <c r="L1328" s="270"/>
      <c r="M1328" s="263"/>
      <c r="N1328" s="261"/>
      <c r="O1328" s="260"/>
    </row>
    <row r="1329" spans="1:15" ht="38.25">
      <c r="A1329" s="180" t="s">
        <v>1024</v>
      </c>
      <c r="B1329" s="77" t="s">
        <v>1027</v>
      </c>
      <c r="C1329" s="70" t="s">
        <v>17</v>
      </c>
      <c r="D1329" s="255"/>
      <c r="E1329" s="325" t="e">
        <f>#REF!</f>
        <v>#REF!</v>
      </c>
      <c r="F1329" s="325" t="e">
        <f>#REF!</f>
        <v>#REF!</v>
      </c>
      <c r="G1329" s="325" t="e">
        <f>#REF!</f>
        <v>#REF!</v>
      </c>
      <c r="H1329" s="325" t="e">
        <f t="shared" si="67"/>
        <v>#REF!</v>
      </c>
      <c r="I1329" s="260"/>
      <c r="J1329" s="266" t="e">
        <f t="shared" si="69"/>
        <v>#REF!</v>
      </c>
      <c r="K1329" s="294"/>
      <c r="L1329" s="271"/>
      <c r="M1329" s="264"/>
      <c r="N1329" s="260"/>
      <c r="O1329" s="260"/>
    </row>
    <row r="1330" spans="1:15" ht="30">
      <c r="A1330" s="180" t="s">
        <v>1024</v>
      </c>
      <c r="B1330" s="77" t="s">
        <v>1028</v>
      </c>
      <c r="C1330" s="70" t="s">
        <v>17</v>
      </c>
      <c r="D1330" s="255"/>
      <c r="E1330" s="325" t="e">
        <f>#REF!</f>
        <v>#REF!</v>
      </c>
      <c r="F1330" s="325" t="e">
        <f>#REF!</f>
        <v>#REF!</v>
      </c>
      <c r="G1330" s="325" t="e">
        <f>#REF!</f>
        <v>#REF!</v>
      </c>
      <c r="H1330" s="325" t="e">
        <f t="shared" si="67"/>
        <v>#REF!</v>
      </c>
      <c r="I1330" s="261"/>
      <c r="J1330" s="266" t="e">
        <f t="shared" si="69"/>
        <v>#REF!</v>
      </c>
      <c r="K1330" s="295"/>
      <c r="L1330" s="270"/>
      <c r="M1330" s="263"/>
      <c r="N1330" s="261"/>
      <c r="O1330" s="260"/>
    </row>
    <row r="1331" spans="1:15" ht="30">
      <c r="A1331" s="180" t="s">
        <v>1024</v>
      </c>
      <c r="B1331" s="77" t="s">
        <v>1029</v>
      </c>
      <c r="C1331" s="70" t="s">
        <v>17</v>
      </c>
      <c r="D1331" s="255"/>
      <c r="E1331" s="325" t="e">
        <f>#REF!</f>
        <v>#REF!</v>
      </c>
      <c r="F1331" s="325" t="e">
        <f>#REF!</f>
        <v>#REF!</v>
      </c>
      <c r="G1331" s="325" t="e">
        <f>#REF!</f>
        <v>#REF!</v>
      </c>
      <c r="H1331" s="325" t="e">
        <f t="shared" si="67"/>
        <v>#REF!</v>
      </c>
      <c r="I1331" s="260"/>
      <c r="J1331" s="266" t="e">
        <f t="shared" si="69"/>
        <v>#REF!</v>
      </c>
      <c r="K1331" s="294"/>
      <c r="L1331" s="271"/>
      <c r="M1331" s="264"/>
      <c r="N1331" s="260"/>
      <c r="O1331" s="260"/>
    </row>
    <row r="1332" spans="1:15" ht="30">
      <c r="A1332" s="180" t="s">
        <v>1024</v>
      </c>
      <c r="B1332" s="77" t="s">
        <v>1030</v>
      </c>
      <c r="C1332" s="70" t="s">
        <v>17</v>
      </c>
      <c r="D1332" s="255"/>
      <c r="E1332" s="325" t="e">
        <f>#REF!</f>
        <v>#REF!</v>
      </c>
      <c r="F1332" s="325" t="e">
        <f>#REF!</f>
        <v>#REF!</v>
      </c>
      <c r="G1332" s="325" t="e">
        <f>#REF!</f>
        <v>#REF!</v>
      </c>
      <c r="H1332" s="325" t="e">
        <f t="shared" si="67"/>
        <v>#REF!</v>
      </c>
      <c r="I1332" s="261"/>
      <c r="J1332" s="266" t="e">
        <f t="shared" si="69"/>
        <v>#REF!</v>
      </c>
      <c r="K1332" s="295"/>
      <c r="L1332" s="270"/>
      <c r="M1332" s="263"/>
      <c r="N1332" s="261"/>
      <c r="O1332" s="260"/>
    </row>
    <row r="1333" spans="1:15" ht="31.5">
      <c r="A1333" s="179" t="s">
        <v>1024</v>
      </c>
      <c r="B1333" s="76"/>
      <c r="C1333" s="42"/>
      <c r="D1333" s="76"/>
      <c r="E1333" s="76"/>
      <c r="F1333" s="76"/>
      <c r="G1333" s="76"/>
      <c r="H1333" s="76"/>
      <c r="I1333" s="76"/>
      <c r="J1333" s="76"/>
      <c r="K1333" s="293" t="e">
        <f>SUM(J1327:J1332)</f>
        <v>#REF!</v>
      </c>
      <c r="L1333" s="284"/>
      <c r="M1333" s="76"/>
      <c r="N1333" s="76"/>
      <c r="O1333" s="76"/>
    </row>
    <row r="1334" spans="1:15" ht="25.5">
      <c r="A1334" s="180" t="s">
        <v>167</v>
      </c>
      <c r="B1334" s="77" t="s">
        <v>964</v>
      </c>
      <c r="C1334" s="70" t="s">
        <v>17</v>
      </c>
      <c r="D1334" s="255"/>
      <c r="E1334" s="325" t="e">
        <f>#REF!</f>
        <v>#REF!</v>
      </c>
      <c r="F1334" s="325" t="e">
        <f>#REF!</f>
        <v>#REF!</v>
      </c>
      <c r="G1334" s="325" t="e">
        <f>#REF!</f>
        <v>#REF!</v>
      </c>
      <c r="H1334" s="325" t="e">
        <f t="shared" si="67"/>
        <v>#REF!</v>
      </c>
      <c r="I1334" s="261"/>
      <c r="J1334" s="265" t="e">
        <f>I1334*H1334</f>
        <v>#REF!</v>
      </c>
      <c r="K1334" s="295"/>
      <c r="L1334" s="270"/>
      <c r="M1334" s="263"/>
      <c r="N1334" s="261"/>
      <c r="O1334" s="260"/>
    </row>
    <row r="1335" spans="1:15" ht="25.5">
      <c r="A1335" s="180" t="s">
        <v>167</v>
      </c>
      <c r="B1335" s="77" t="s">
        <v>965</v>
      </c>
      <c r="C1335" s="70" t="s">
        <v>17</v>
      </c>
      <c r="D1335" s="255"/>
      <c r="E1335" s="325" t="e">
        <f>#REF!</f>
        <v>#REF!</v>
      </c>
      <c r="F1335" s="325" t="e">
        <f>#REF!</f>
        <v>#REF!</v>
      </c>
      <c r="G1335" s="325" t="e">
        <f>#REF!</f>
        <v>#REF!</v>
      </c>
      <c r="H1335" s="325" t="e">
        <f t="shared" si="67"/>
        <v>#REF!</v>
      </c>
      <c r="I1335" s="260"/>
      <c r="J1335" s="265" t="e">
        <f t="shared" ref="J1335:J1391" si="70">I1335*H1335</f>
        <v>#REF!</v>
      </c>
      <c r="K1335" s="294"/>
      <c r="L1335" s="271"/>
      <c r="M1335" s="264"/>
      <c r="N1335" s="260"/>
      <c r="O1335" s="260"/>
    </row>
    <row r="1336" spans="1:15" ht="25.5">
      <c r="A1336" s="180" t="s">
        <v>167</v>
      </c>
      <c r="B1336" s="77" t="s">
        <v>966</v>
      </c>
      <c r="C1336" s="70" t="s">
        <v>17</v>
      </c>
      <c r="D1336" s="255"/>
      <c r="E1336" s="325" t="e">
        <f>#REF!</f>
        <v>#REF!</v>
      </c>
      <c r="F1336" s="325" t="e">
        <f>#REF!</f>
        <v>#REF!</v>
      </c>
      <c r="G1336" s="325" t="e">
        <f>#REF!</f>
        <v>#REF!</v>
      </c>
      <c r="H1336" s="325" t="e">
        <f t="shared" si="67"/>
        <v>#REF!</v>
      </c>
      <c r="I1336" s="261"/>
      <c r="J1336" s="265" t="e">
        <f t="shared" si="70"/>
        <v>#REF!</v>
      </c>
      <c r="K1336" s="295"/>
      <c r="L1336" s="270"/>
      <c r="M1336" s="263"/>
      <c r="N1336" s="261"/>
      <c r="O1336" s="260"/>
    </row>
    <row r="1337" spans="1:15" ht="25.5">
      <c r="A1337" s="180" t="s">
        <v>167</v>
      </c>
      <c r="B1337" s="77" t="s">
        <v>967</v>
      </c>
      <c r="C1337" s="70" t="s">
        <v>17</v>
      </c>
      <c r="D1337" s="255"/>
      <c r="E1337" s="325" t="e">
        <f>#REF!</f>
        <v>#REF!</v>
      </c>
      <c r="F1337" s="325" t="e">
        <f>#REF!</f>
        <v>#REF!</v>
      </c>
      <c r="G1337" s="325" t="e">
        <f>#REF!</f>
        <v>#REF!</v>
      </c>
      <c r="H1337" s="325" t="e">
        <f t="shared" si="67"/>
        <v>#REF!</v>
      </c>
      <c r="I1337" s="260"/>
      <c r="J1337" s="265" t="e">
        <f t="shared" si="70"/>
        <v>#REF!</v>
      </c>
      <c r="K1337" s="294"/>
      <c r="L1337" s="271"/>
      <c r="M1337" s="264"/>
      <c r="N1337" s="260"/>
      <c r="O1337" s="260"/>
    </row>
    <row r="1338" spans="1:15" ht="25.5">
      <c r="A1338" s="180" t="s">
        <v>167</v>
      </c>
      <c r="B1338" s="77" t="s">
        <v>968</v>
      </c>
      <c r="C1338" s="70"/>
      <c r="D1338" s="255"/>
      <c r="E1338" s="325" t="e">
        <f>#REF!</f>
        <v>#REF!</v>
      </c>
      <c r="F1338" s="325" t="e">
        <f>#REF!</f>
        <v>#REF!</v>
      </c>
      <c r="G1338" s="325" t="e">
        <f>#REF!</f>
        <v>#REF!</v>
      </c>
      <c r="H1338" s="325" t="e">
        <f t="shared" si="67"/>
        <v>#REF!</v>
      </c>
      <c r="I1338" s="261"/>
      <c r="J1338" s="265" t="e">
        <f t="shared" si="70"/>
        <v>#REF!</v>
      </c>
      <c r="K1338" s="295"/>
      <c r="L1338" s="270"/>
      <c r="M1338" s="263"/>
      <c r="N1338" s="261"/>
      <c r="O1338" s="260"/>
    </row>
    <row r="1339" spans="1:15" ht="25.5">
      <c r="A1339" s="180" t="s">
        <v>167</v>
      </c>
      <c r="B1339" s="77" t="s">
        <v>969</v>
      </c>
      <c r="C1339" s="70" t="s">
        <v>17</v>
      </c>
      <c r="D1339" s="255"/>
      <c r="E1339" s="325" t="e">
        <f>#REF!</f>
        <v>#REF!</v>
      </c>
      <c r="F1339" s="325" t="e">
        <f>#REF!</f>
        <v>#REF!</v>
      </c>
      <c r="G1339" s="325" t="e">
        <f>#REF!</f>
        <v>#REF!</v>
      </c>
      <c r="H1339" s="325" t="e">
        <f t="shared" si="67"/>
        <v>#REF!</v>
      </c>
      <c r="I1339" s="260"/>
      <c r="J1339" s="265" t="e">
        <f t="shared" si="70"/>
        <v>#REF!</v>
      </c>
      <c r="K1339" s="294"/>
      <c r="L1339" s="271"/>
      <c r="M1339" s="264"/>
      <c r="N1339" s="260"/>
      <c r="O1339" s="260"/>
    </row>
    <row r="1340" spans="1:15" ht="25.5">
      <c r="A1340" s="180" t="s">
        <v>167</v>
      </c>
      <c r="B1340" s="77" t="s">
        <v>970</v>
      </c>
      <c r="C1340" s="70" t="s">
        <v>17</v>
      </c>
      <c r="D1340" s="255"/>
      <c r="E1340" s="325" t="e">
        <f>#REF!</f>
        <v>#REF!</v>
      </c>
      <c r="F1340" s="325" t="e">
        <f>#REF!</f>
        <v>#REF!</v>
      </c>
      <c r="G1340" s="325" t="e">
        <f>#REF!</f>
        <v>#REF!</v>
      </c>
      <c r="H1340" s="325" t="e">
        <f t="shared" si="67"/>
        <v>#REF!</v>
      </c>
      <c r="I1340" s="261"/>
      <c r="J1340" s="265" t="e">
        <f t="shared" si="70"/>
        <v>#REF!</v>
      </c>
      <c r="K1340" s="295"/>
      <c r="L1340" s="270"/>
      <c r="M1340" s="263"/>
      <c r="N1340" s="261"/>
      <c r="O1340" s="260"/>
    </row>
    <row r="1341" spans="1:15" ht="25.5">
      <c r="A1341" s="180" t="s">
        <v>167</v>
      </c>
      <c r="B1341" s="77" t="s">
        <v>971</v>
      </c>
      <c r="C1341" s="70" t="s">
        <v>17</v>
      </c>
      <c r="D1341" s="255"/>
      <c r="E1341" s="325" t="e">
        <f>#REF!</f>
        <v>#REF!</v>
      </c>
      <c r="F1341" s="325" t="e">
        <f>#REF!</f>
        <v>#REF!</v>
      </c>
      <c r="G1341" s="325" t="e">
        <f>#REF!</f>
        <v>#REF!</v>
      </c>
      <c r="H1341" s="325" t="e">
        <f t="shared" si="67"/>
        <v>#REF!</v>
      </c>
      <c r="I1341" s="260"/>
      <c r="J1341" s="265" t="e">
        <f t="shared" si="70"/>
        <v>#REF!</v>
      </c>
      <c r="K1341" s="294"/>
      <c r="L1341" s="271"/>
      <c r="M1341" s="264"/>
      <c r="N1341" s="260"/>
      <c r="O1341" s="260"/>
    </row>
    <row r="1342" spans="1:15" ht="25.5">
      <c r="A1342" s="180" t="s">
        <v>167</v>
      </c>
      <c r="B1342" s="77" t="s">
        <v>972</v>
      </c>
      <c r="C1342" s="70" t="s">
        <v>17</v>
      </c>
      <c r="D1342" s="255"/>
      <c r="E1342" s="325" t="e">
        <f>#REF!</f>
        <v>#REF!</v>
      </c>
      <c r="F1342" s="325" t="e">
        <f>#REF!</f>
        <v>#REF!</v>
      </c>
      <c r="G1342" s="325" t="e">
        <f>#REF!</f>
        <v>#REF!</v>
      </c>
      <c r="H1342" s="325" t="e">
        <f t="shared" si="67"/>
        <v>#REF!</v>
      </c>
      <c r="I1342" s="261"/>
      <c r="J1342" s="265" t="e">
        <f t="shared" si="70"/>
        <v>#REF!</v>
      </c>
      <c r="K1342" s="295"/>
      <c r="L1342" s="270"/>
      <c r="M1342" s="263"/>
      <c r="N1342" s="261"/>
      <c r="O1342" s="260"/>
    </row>
    <row r="1343" spans="1:15" ht="25.5">
      <c r="A1343" s="180" t="s">
        <v>167</v>
      </c>
      <c r="B1343" s="77" t="s">
        <v>973</v>
      </c>
      <c r="C1343" s="70"/>
      <c r="D1343" s="255"/>
      <c r="E1343" s="325" t="e">
        <f>#REF!</f>
        <v>#REF!</v>
      </c>
      <c r="F1343" s="325" t="e">
        <f>#REF!</f>
        <v>#REF!</v>
      </c>
      <c r="G1343" s="325" t="e">
        <f>#REF!</f>
        <v>#REF!</v>
      </c>
      <c r="H1343" s="325" t="e">
        <f t="shared" si="67"/>
        <v>#REF!</v>
      </c>
      <c r="I1343" s="260"/>
      <c r="J1343" s="265" t="e">
        <f t="shared" si="70"/>
        <v>#REF!</v>
      </c>
      <c r="K1343" s="294"/>
      <c r="L1343" s="271"/>
      <c r="M1343" s="264"/>
      <c r="N1343" s="260"/>
      <c r="O1343" s="260"/>
    </row>
    <row r="1344" spans="1:15" ht="25.5">
      <c r="A1344" s="180" t="s">
        <v>167</v>
      </c>
      <c r="B1344" s="77" t="s">
        <v>974</v>
      </c>
      <c r="C1344" s="70" t="s">
        <v>17</v>
      </c>
      <c r="D1344" s="255"/>
      <c r="E1344" s="325" t="e">
        <f>#REF!</f>
        <v>#REF!</v>
      </c>
      <c r="F1344" s="325" t="e">
        <f>#REF!</f>
        <v>#REF!</v>
      </c>
      <c r="G1344" s="325" t="e">
        <f>#REF!</f>
        <v>#REF!</v>
      </c>
      <c r="H1344" s="325" t="e">
        <f t="shared" si="67"/>
        <v>#REF!</v>
      </c>
      <c r="I1344" s="261"/>
      <c r="J1344" s="265" t="e">
        <f t="shared" si="70"/>
        <v>#REF!</v>
      </c>
      <c r="K1344" s="295"/>
      <c r="L1344" s="270"/>
      <c r="M1344" s="263"/>
      <c r="N1344" s="261"/>
      <c r="O1344" s="260"/>
    </row>
    <row r="1345" spans="1:15" ht="25.5">
      <c r="A1345" s="180" t="s">
        <v>167</v>
      </c>
      <c r="B1345" s="77" t="s">
        <v>975</v>
      </c>
      <c r="C1345" s="70" t="s">
        <v>17</v>
      </c>
      <c r="D1345" s="255"/>
      <c r="E1345" s="325" t="e">
        <f>#REF!</f>
        <v>#REF!</v>
      </c>
      <c r="F1345" s="325" t="e">
        <f>#REF!</f>
        <v>#REF!</v>
      </c>
      <c r="G1345" s="325" t="e">
        <f>#REF!</f>
        <v>#REF!</v>
      </c>
      <c r="H1345" s="325" t="e">
        <f t="shared" si="67"/>
        <v>#REF!</v>
      </c>
      <c r="I1345" s="260"/>
      <c r="J1345" s="265" t="e">
        <f t="shared" si="70"/>
        <v>#REF!</v>
      </c>
      <c r="K1345" s="294"/>
      <c r="L1345" s="271"/>
      <c r="M1345" s="264"/>
      <c r="N1345" s="260"/>
      <c r="O1345" s="260"/>
    </row>
    <row r="1346" spans="1:15" ht="25.5">
      <c r="A1346" s="180" t="s">
        <v>167</v>
      </c>
      <c r="B1346" s="77" t="s">
        <v>976</v>
      </c>
      <c r="C1346" s="70" t="s">
        <v>17</v>
      </c>
      <c r="D1346" s="255"/>
      <c r="E1346" s="325" t="e">
        <f>#REF!</f>
        <v>#REF!</v>
      </c>
      <c r="F1346" s="325" t="e">
        <f>#REF!</f>
        <v>#REF!</v>
      </c>
      <c r="G1346" s="325" t="e">
        <f>#REF!</f>
        <v>#REF!</v>
      </c>
      <c r="H1346" s="325" t="e">
        <f t="shared" si="67"/>
        <v>#REF!</v>
      </c>
      <c r="I1346" s="261"/>
      <c r="J1346" s="265" t="e">
        <f t="shared" si="70"/>
        <v>#REF!</v>
      </c>
      <c r="K1346" s="295"/>
      <c r="L1346" s="270"/>
      <c r="M1346" s="263"/>
      <c r="N1346" s="261"/>
      <c r="O1346" s="260"/>
    </row>
    <row r="1347" spans="1:15" ht="25.5">
      <c r="A1347" s="180" t="s">
        <v>167</v>
      </c>
      <c r="B1347" s="77" t="s">
        <v>977</v>
      </c>
      <c r="C1347" s="70" t="s">
        <v>17</v>
      </c>
      <c r="D1347" s="255"/>
      <c r="E1347" s="325" t="e">
        <f>#REF!</f>
        <v>#REF!</v>
      </c>
      <c r="F1347" s="325" t="e">
        <f>#REF!</f>
        <v>#REF!</v>
      </c>
      <c r="G1347" s="325" t="e">
        <f>#REF!</f>
        <v>#REF!</v>
      </c>
      <c r="H1347" s="325" t="e">
        <f t="shared" si="67"/>
        <v>#REF!</v>
      </c>
      <c r="I1347" s="260"/>
      <c r="J1347" s="265" t="e">
        <f t="shared" si="70"/>
        <v>#REF!</v>
      </c>
      <c r="K1347" s="294"/>
      <c r="L1347" s="271"/>
      <c r="M1347" s="264"/>
      <c r="N1347" s="260"/>
      <c r="O1347" s="260"/>
    </row>
    <row r="1348" spans="1:15" ht="38.25">
      <c r="A1348" s="180" t="s">
        <v>167</v>
      </c>
      <c r="B1348" s="77" t="s">
        <v>978</v>
      </c>
      <c r="C1348" s="70" t="s">
        <v>17</v>
      </c>
      <c r="D1348" s="255"/>
      <c r="E1348" s="325" t="e">
        <f>#REF!</f>
        <v>#REF!</v>
      </c>
      <c r="F1348" s="325" t="e">
        <f>#REF!</f>
        <v>#REF!</v>
      </c>
      <c r="G1348" s="325" t="e">
        <f>#REF!</f>
        <v>#REF!</v>
      </c>
      <c r="H1348" s="325" t="e">
        <f t="shared" si="67"/>
        <v>#REF!</v>
      </c>
      <c r="I1348" s="261"/>
      <c r="J1348" s="265" t="e">
        <f t="shared" si="70"/>
        <v>#REF!</v>
      </c>
      <c r="K1348" s="295"/>
      <c r="L1348" s="270"/>
      <c r="M1348" s="263"/>
      <c r="N1348" s="261"/>
      <c r="O1348" s="260"/>
    </row>
    <row r="1349" spans="1:15" ht="25.5">
      <c r="A1349" s="180" t="s">
        <v>167</v>
      </c>
      <c r="B1349" s="77" t="s">
        <v>979</v>
      </c>
      <c r="C1349" s="70" t="s">
        <v>17</v>
      </c>
      <c r="D1349" s="255"/>
      <c r="E1349" s="325" t="e">
        <f>#REF!</f>
        <v>#REF!</v>
      </c>
      <c r="F1349" s="325" t="e">
        <f>#REF!</f>
        <v>#REF!</v>
      </c>
      <c r="G1349" s="325" t="e">
        <f>#REF!</f>
        <v>#REF!</v>
      </c>
      <c r="H1349" s="325" t="e">
        <f t="shared" si="67"/>
        <v>#REF!</v>
      </c>
      <c r="I1349" s="260"/>
      <c r="J1349" s="265" t="e">
        <f t="shared" si="70"/>
        <v>#REF!</v>
      </c>
      <c r="K1349" s="294"/>
      <c r="L1349" s="271"/>
      <c r="M1349" s="264"/>
      <c r="N1349" s="260"/>
      <c r="O1349" s="260"/>
    </row>
    <row r="1350" spans="1:15" ht="25.5">
      <c r="A1350" s="180" t="s">
        <v>167</v>
      </c>
      <c r="B1350" s="77" t="s">
        <v>980</v>
      </c>
      <c r="C1350" s="70" t="s">
        <v>17</v>
      </c>
      <c r="D1350" s="255"/>
      <c r="E1350" s="325" t="e">
        <f>#REF!</f>
        <v>#REF!</v>
      </c>
      <c r="F1350" s="325" t="e">
        <f>#REF!</f>
        <v>#REF!</v>
      </c>
      <c r="G1350" s="325" t="e">
        <f>#REF!</f>
        <v>#REF!</v>
      </c>
      <c r="H1350" s="325" t="e">
        <f t="shared" si="67"/>
        <v>#REF!</v>
      </c>
      <c r="I1350" s="261"/>
      <c r="J1350" s="265" t="e">
        <f t="shared" si="70"/>
        <v>#REF!</v>
      </c>
      <c r="K1350" s="295"/>
      <c r="L1350" s="270"/>
      <c r="M1350" s="263"/>
      <c r="N1350" s="261"/>
      <c r="O1350" s="260"/>
    </row>
    <row r="1351" spans="1:15" ht="25.5">
      <c r="A1351" s="180" t="s">
        <v>167</v>
      </c>
      <c r="B1351" s="77" t="s">
        <v>981</v>
      </c>
      <c r="C1351" s="70" t="s">
        <v>17</v>
      </c>
      <c r="D1351" s="255"/>
      <c r="E1351" s="325" t="e">
        <f>#REF!</f>
        <v>#REF!</v>
      </c>
      <c r="F1351" s="325" t="e">
        <f>#REF!</f>
        <v>#REF!</v>
      </c>
      <c r="G1351" s="325" t="e">
        <f>#REF!</f>
        <v>#REF!</v>
      </c>
      <c r="H1351" s="325" t="e">
        <f t="shared" si="67"/>
        <v>#REF!</v>
      </c>
      <c r="I1351" s="260"/>
      <c r="J1351" s="265" t="e">
        <f t="shared" si="70"/>
        <v>#REF!</v>
      </c>
      <c r="K1351" s="294"/>
      <c r="L1351" s="271"/>
      <c r="M1351" s="264"/>
      <c r="N1351" s="260"/>
      <c r="O1351" s="260"/>
    </row>
    <row r="1352" spans="1:15" ht="25.5">
      <c r="A1352" s="180" t="s">
        <v>167</v>
      </c>
      <c r="B1352" s="77" t="s">
        <v>982</v>
      </c>
      <c r="C1352" s="70" t="s">
        <v>17</v>
      </c>
      <c r="D1352" s="255"/>
      <c r="E1352" s="325" t="e">
        <f>#REF!</f>
        <v>#REF!</v>
      </c>
      <c r="F1352" s="325" t="e">
        <f>#REF!</f>
        <v>#REF!</v>
      </c>
      <c r="G1352" s="325" t="e">
        <f>#REF!</f>
        <v>#REF!</v>
      </c>
      <c r="H1352" s="325" t="e">
        <f t="shared" si="67"/>
        <v>#REF!</v>
      </c>
      <c r="I1352" s="261"/>
      <c r="J1352" s="265" t="e">
        <f t="shared" si="70"/>
        <v>#REF!</v>
      </c>
      <c r="K1352" s="295"/>
      <c r="L1352" s="270"/>
      <c r="M1352" s="263"/>
      <c r="N1352" s="261"/>
      <c r="O1352" s="260"/>
    </row>
    <row r="1353" spans="1:15" ht="25.5">
      <c r="A1353" s="180" t="s">
        <v>167</v>
      </c>
      <c r="B1353" s="77" t="s">
        <v>983</v>
      </c>
      <c r="C1353" s="70" t="s">
        <v>17</v>
      </c>
      <c r="D1353" s="255"/>
      <c r="E1353" s="325" t="e">
        <f>#REF!</f>
        <v>#REF!</v>
      </c>
      <c r="F1353" s="325" t="e">
        <f>#REF!</f>
        <v>#REF!</v>
      </c>
      <c r="G1353" s="325" t="e">
        <f>#REF!</f>
        <v>#REF!</v>
      </c>
      <c r="H1353" s="325" t="e">
        <f t="shared" si="67"/>
        <v>#REF!</v>
      </c>
      <c r="I1353" s="260"/>
      <c r="J1353" s="265" t="e">
        <f t="shared" si="70"/>
        <v>#REF!</v>
      </c>
      <c r="K1353" s="294"/>
      <c r="L1353" s="271"/>
      <c r="M1353" s="264"/>
      <c r="N1353" s="260"/>
      <c r="O1353" s="260"/>
    </row>
    <row r="1354" spans="1:15" ht="25.5">
      <c r="A1354" s="180" t="s">
        <v>167</v>
      </c>
      <c r="B1354" s="77" t="s">
        <v>984</v>
      </c>
      <c r="C1354" s="70" t="s">
        <v>17</v>
      </c>
      <c r="D1354" s="255"/>
      <c r="E1354" s="325" t="e">
        <f>#REF!</f>
        <v>#REF!</v>
      </c>
      <c r="F1354" s="325" t="e">
        <f>#REF!</f>
        <v>#REF!</v>
      </c>
      <c r="G1354" s="325" t="e">
        <f>#REF!</f>
        <v>#REF!</v>
      </c>
      <c r="H1354" s="325" t="e">
        <f t="shared" si="67"/>
        <v>#REF!</v>
      </c>
      <c r="I1354" s="261"/>
      <c r="J1354" s="265" t="e">
        <f t="shared" si="70"/>
        <v>#REF!</v>
      </c>
      <c r="K1354" s="295"/>
      <c r="L1354" s="270"/>
      <c r="M1354" s="263"/>
      <c r="N1354" s="261"/>
      <c r="O1354" s="260"/>
    </row>
    <row r="1355" spans="1:15" ht="25.5">
      <c r="A1355" s="180" t="s">
        <v>167</v>
      </c>
      <c r="B1355" s="77" t="s">
        <v>985</v>
      </c>
      <c r="C1355" s="70" t="s">
        <v>17</v>
      </c>
      <c r="D1355" s="255"/>
      <c r="E1355" s="325" t="e">
        <f>#REF!</f>
        <v>#REF!</v>
      </c>
      <c r="F1355" s="325" t="e">
        <f>#REF!</f>
        <v>#REF!</v>
      </c>
      <c r="G1355" s="325" t="e">
        <f>#REF!</f>
        <v>#REF!</v>
      </c>
      <c r="H1355" s="325" t="e">
        <f t="shared" si="67"/>
        <v>#REF!</v>
      </c>
      <c r="I1355" s="260"/>
      <c r="J1355" s="265" t="e">
        <f t="shared" si="70"/>
        <v>#REF!</v>
      </c>
      <c r="K1355" s="294"/>
      <c r="L1355" s="271"/>
      <c r="M1355" s="264"/>
      <c r="N1355" s="260"/>
      <c r="O1355" s="260"/>
    </row>
    <row r="1356" spans="1:15" ht="38.25">
      <c r="A1356" s="180" t="s">
        <v>167</v>
      </c>
      <c r="B1356" s="77" t="s">
        <v>986</v>
      </c>
      <c r="C1356" s="70" t="s">
        <v>17</v>
      </c>
      <c r="D1356" s="255"/>
      <c r="E1356" s="325" t="e">
        <f>#REF!</f>
        <v>#REF!</v>
      </c>
      <c r="F1356" s="325" t="e">
        <f>#REF!</f>
        <v>#REF!</v>
      </c>
      <c r="G1356" s="325" t="e">
        <f>#REF!</f>
        <v>#REF!</v>
      </c>
      <c r="H1356" s="325" t="e">
        <f t="shared" si="67"/>
        <v>#REF!</v>
      </c>
      <c r="I1356" s="261"/>
      <c r="J1356" s="265" t="e">
        <f t="shared" si="70"/>
        <v>#REF!</v>
      </c>
      <c r="K1356" s="295"/>
      <c r="L1356" s="270"/>
      <c r="M1356" s="263"/>
      <c r="N1356" s="261"/>
      <c r="O1356" s="260"/>
    </row>
    <row r="1357" spans="1:15" ht="25.5">
      <c r="A1357" s="180" t="s">
        <v>167</v>
      </c>
      <c r="B1357" s="77" t="s">
        <v>987</v>
      </c>
      <c r="C1357" s="70" t="s">
        <v>17</v>
      </c>
      <c r="D1357" s="255"/>
      <c r="E1357" s="325" t="e">
        <f>#REF!</f>
        <v>#REF!</v>
      </c>
      <c r="F1357" s="325" t="e">
        <f>#REF!</f>
        <v>#REF!</v>
      </c>
      <c r="G1357" s="325" t="e">
        <f>#REF!</f>
        <v>#REF!</v>
      </c>
      <c r="H1357" s="325" t="e">
        <f t="shared" si="67"/>
        <v>#REF!</v>
      </c>
      <c r="I1357" s="260"/>
      <c r="J1357" s="265" t="e">
        <f t="shared" si="70"/>
        <v>#REF!</v>
      </c>
      <c r="K1357" s="294"/>
      <c r="L1357" s="271"/>
      <c r="M1357" s="264"/>
      <c r="N1357" s="260"/>
      <c r="O1357" s="260"/>
    </row>
    <row r="1358" spans="1:15" ht="25.5">
      <c r="A1358" s="180" t="s">
        <v>167</v>
      </c>
      <c r="B1358" s="77" t="s">
        <v>988</v>
      </c>
      <c r="C1358" s="70" t="s">
        <v>17</v>
      </c>
      <c r="D1358" s="255"/>
      <c r="E1358" s="325" t="e">
        <f>#REF!</f>
        <v>#REF!</v>
      </c>
      <c r="F1358" s="325" t="e">
        <f>#REF!</f>
        <v>#REF!</v>
      </c>
      <c r="G1358" s="325" t="e">
        <f>#REF!</f>
        <v>#REF!</v>
      </c>
      <c r="H1358" s="325" t="e">
        <f t="shared" si="67"/>
        <v>#REF!</v>
      </c>
      <c r="I1358" s="261"/>
      <c r="J1358" s="265" t="e">
        <f t="shared" si="70"/>
        <v>#REF!</v>
      </c>
      <c r="K1358" s="295"/>
      <c r="L1358" s="270"/>
      <c r="M1358" s="263"/>
      <c r="N1358" s="261"/>
      <c r="O1358" s="260"/>
    </row>
    <row r="1359" spans="1:15" ht="25.5">
      <c r="A1359" s="180" t="s">
        <v>167</v>
      </c>
      <c r="B1359" s="77" t="s">
        <v>989</v>
      </c>
      <c r="C1359" s="70" t="s">
        <v>17</v>
      </c>
      <c r="D1359" s="255"/>
      <c r="E1359" s="325" t="e">
        <f>#REF!</f>
        <v>#REF!</v>
      </c>
      <c r="F1359" s="325" t="e">
        <f>#REF!</f>
        <v>#REF!</v>
      </c>
      <c r="G1359" s="325" t="e">
        <f>#REF!</f>
        <v>#REF!</v>
      </c>
      <c r="H1359" s="325" t="e">
        <f t="shared" si="67"/>
        <v>#REF!</v>
      </c>
      <c r="I1359" s="260"/>
      <c r="J1359" s="265" t="e">
        <f t="shared" si="70"/>
        <v>#REF!</v>
      </c>
      <c r="K1359" s="294"/>
      <c r="L1359" s="271"/>
      <c r="M1359" s="264"/>
      <c r="N1359" s="260"/>
      <c r="O1359" s="260"/>
    </row>
    <row r="1360" spans="1:15" ht="51">
      <c r="A1360" s="180" t="s">
        <v>167</v>
      </c>
      <c r="B1360" s="77" t="s">
        <v>990</v>
      </c>
      <c r="C1360" s="70" t="s">
        <v>17</v>
      </c>
      <c r="D1360" s="255"/>
      <c r="E1360" s="325" t="e">
        <f>#REF!</f>
        <v>#REF!</v>
      </c>
      <c r="F1360" s="325" t="e">
        <f>#REF!</f>
        <v>#REF!</v>
      </c>
      <c r="G1360" s="325" t="e">
        <f>#REF!</f>
        <v>#REF!</v>
      </c>
      <c r="H1360" s="325" t="e">
        <f t="shared" si="67"/>
        <v>#REF!</v>
      </c>
      <c r="I1360" s="261"/>
      <c r="J1360" s="265" t="e">
        <f t="shared" si="70"/>
        <v>#REF!</v>
      </c>
      <c r="K1360" s="295"/>
      <c r="L1360" s="270"/>
      <c r="M1360" s="263"/>
      <c r="N1360" s="261"/>
      <c r="O1360" s="260"/>
    </row>
    <row r="1361" spans="1:15" ht="25.5">
      <c r="A1361" s="180" t="s">
        <v>167</v>
      </c>
      <c r="B1361" s="77" t="s">
        <v>991</v>
      </c>
      <c r="C1361" s="70" t="s">
        <v>17</v>
      </c>
      <c r="D1361" s="255"/>
      <c r="E1361" s="325" t="e">
        <f>#REF!</f>
        <v>#REF!</v>
      </c>
      <c r="F1361" s="325" t="e">
        <f>#REF!</f>
        <v>#REF!</v>
      </c>
      <c r="G1361" s="325" t="e">
        <f>#REF!</f>
        <v>#REF!</v>
      </c>
      <c r="H1361" s="325" t="e">
        <f t="shared" si="67"/>
        <v>#REF!</v>
      </c>
      <c r="I1361" s="260"/>
      <c r="J1361" s="265" t="e">
        <f t="shared" si="70"/>
        <v>#REF!</v>
      </c>
      <c r="K1361" s="294"/>
      <c r="L1361" s="271"/>
      <c r="M1361" s="264"/>
      <c r="N1361" s="260"/>
      <c r="O1361" s="260"/>
    </row>
    <row r="1362" spans="1:15" ht="25.5">
      <c r="A1362" s="180" t="s">
        <v>167</v>
      </c>
      <c r="B1362" s="77" t="s">
        <v>992</v>
      </c>
      <c r="C1362" s="70" t="s">
        <v>17</v>
      </c>
      <c r="D1362" s="255"/>
      <c r="E1362" s="325" t="e">
        <f>#REF!</f>
        <v>#REF!</v>
      </c>
      <c r="F1362" s="325" t="e">
        <f>#REF!</f>
        <v>#REF!</v>
      </c>
      <c r="G1362" s="325" t="e">
        <f>#REF!</f>
        <v>#REF!</v>
      </c>
      <c r="H1362" s="325" t="e">
        <f t="shared" si="67"/>
        <v>#REF!</v>
      </c>
      <c r="I1362" s="261"/>
      <c r="J1362" s="265" t="e">
        <f t="shared" si="70"/>
        <v>#REF!</v>
      </c>
      <c r="K1362" s="295"/>
      <c r="L1362" s="270"/>
      <c r="M1362" s="263"/>
      <c r="N1362" s="261"/>
      <c r="O1362" s="260"/>
    </row>
    <row r="1363" spans="1:15" ht="38.25">
      <c r="A1363" s="180" t="s">
        <v>167</v>
      </c>
      <c r="B1363" s="77" t="s">
        <v>993</v>
      </c>
      <c r="C1363" s="70" t="s">
        <v>17</v>
      </c>
      <c r="D1363" s="255"/>
      <c r="E1363" s="325" t="e">
        <f>#REF!</f>
        <v>#REF!</v>
      </c>
      <c r="F1363" s="325" t="e">
        <f>#REF!</f>
        <v>#REF!</v>
      </c>
      <c r="G1363" s="325" t="e">
        <f>#REF!</f>
        <v>#REF!</v>
      </c>
      <c r="H1363" s="325" t="e">
        <f t="shared" si="67"/>
        <v>#REF!</v>
      </c>
      <c r="I1363" s="260"/>
      <c r="J1363" s="265" t="e">
        <f t="shared" si="70"/>
        <v>#REF!</v>
      </c>
      <c r="K1363" s="294"/>
      <c r="L1363" s="271"/>
      <c r="M1363" s="264"/>
      <c r="N1363" s="260"/>
      <c r="O1363" s="260"/>
    </row>
    <row r="1364" spans="1:15" ht="25.5">
      <c r="A1364" s="180" t="s">
        <v>167</v>
      </c>
      <c r="B1364" s="77" t="s">
        <v>994</v>
      </c>
      <c r="C1364" s="70" t="s">
        <v>17</v>
      </c>
      <c r="D1364" s="255"/>
      <c r="E1364" s="325" t="e">
        <f>#REF!</f>
        <v>#REF!</v>
      </c>
      <c r="F1364" s="325" t="e">
        <f>#REF!</f>
        <v>#REF!</v>
      </c>
      <c r="G1364" s="325" t="e">
        <f>#REF!</f>
        <v>#REF!</v>
      </c>
      <c r="H1364" s="325" t="e">
        <f t="shared" si="67"/>
        <v>#REF!</v>
      </c>
      <c r="I1364" s="261"/>
      <c r="J1364" s="265" t="e">
        <f t="shared" si="70"/>
        <v>#REF!</v>
      </c>
      <c r="K1364" s="295"/>
      <c r="L1364" s="270"/>
      <c r="M1364" s="263"/>
      <c r="N1364" s="261"/>
      <c r="O1364" s="260"/>
    </row>
    <row r="1365" spans="1:15" ht="25.5">
      <c r="A1365" s="180" t="s">
        <v>167</v>
      </c>
      <c r="B1365" s="77" t="s">
        <v>995</v>
      </c>
      <c r="C1365" s="70" t="s">
        <v>17</v>
      </c>
      <c r="D1365" s="255"/>
      <c r="E1365" s="325" t="e">
        <f>#REF!</f>
        <v>#REF!</v>
      </c>
      <c r="F1365" s="325" t="e">
        <f>#REF!</f>
        <v>#REF!</v>
      </c>
      <c r="G1365" s="325" t="e">
        <f>#REF!</f>
        <v>#REF!</v>
      </c>
      <c r="H1365" s="325" t="e">
        <f t="shared" si="67"/>
        <v>#REF!</v>
      </c>
      <c r="I1365" s="260"/>
      <c r="J1365" s="265" t="e">
        <f t="shared" si="70"/>
        <v>#REF!</v>
      </c>
      <c r="K1365" s="294"/>
      <c r="L1365" s="271"/>
      <c r="M1365" s="264"/>
      <c r="N1365" s="260"/>
      <c r="O1365" s="260"/>
    </row>
    <row r="1366" spans="1:15" ht="25.5">
      <c r="A1366" s="180" t="s">
        <v>167</v>
      </c>
      <c r="B1366" s="77" t="s">
        <v>996</v>
      </c>
      <c r="C1366" s="70" t="s">
        <v>17</v>
      </c>
      <c r="D1366" s="255"/>
      <c r="E1366" s="325" t="e">
        <f>#REF!</f>
        <v>#REF!</v>
      </c>
      <c r="F1366" s="325" t="e">
        <f>#REF!</f>
        <v>#REF!</v>
      </c>
      <c r="G1366" s="325" t="e">
        <f>#REF!</f>
        <v>#REF!</v>
      </c>
      <c r="H1366" s="325" t="e">
        <f t="shared" si="67"/>
        <v>#REF!</v>
      </c>
      <c r="I1366" s="261"/>
      <c r="J1366" s="265" t="e">
        <f t="shared" si="70"/>
        <v>#REF!</v>
      </c>
      <c r="K1366" s="295"/>
      <c r="L1366" s="270"/>
      <c r="M1366" s="263"/>
      <c r="N1366" s="261"/>
      <c r="O1366" s="260"/>
    </row>
    <row r="1367" spans="1:15" ht="25.5">
      <c r="A1367" s="180" t="s">
        <v>167</v>
      </c>
      <c r="B1367" s="77" t="s">
        <v>997</v>
      </c>
      <c r="C1367" s="70" t="s">
        <v>17</v>
      </c>
      <c r="D1367" s="255"/>
      <c r="E1367" s="325" t="e">
        <f>#REF!</f>
        <v>#REF!</v>
      </c>
      <c r="F1367" s="325" t="e">
        <f>#REF!</f>
        <v>#REF!</v>
      </c>
      <c r="G1367" s="325" t="e">
        <f>#REF!</f>
        <v>#REF!</v>
      </c>
      <c r="H1367" s="325" t="e">
        <f t="shared" si="67"/>
        <v>#REF!</v>
      </c>
      <c r="I1367" s="260"/>
      <c r="J1367" s="265" t="e">
        <f t="shared" si="70"/>
        <v>#REF!</v>
      </c>
      <c r="K1367" s="294"/>
      <c r="L1367" s="271"/>
      <c r="M1367" s="264"/>
      <c r="N1367" s="260"/>
      <c r="O1367" s="260"/>
    </row>
    <row r="1368" spans="1:15" ht="38.25">
      <c r="A1368" s="180" t="s">
        <v>167</v>
      </c>
      <c r="B1368" s="77" t="s">
        <v>998</v>
      </c>
      <c r="C1368" s="70" t="s">
        <v>17</v>
      </c>
      <c r="D1368" s="255"/>
      <c r="E1368" s="325" t="e">
        <f>#REF!</f>
        <v>#REF!</v>
      </c>
      <c r="F1368" s="325" t="e">
        <f>#REF!</f>
        <v>#REF!</v>
      </c>
      <c r="G1368" s="325" t="e">
        <f>#REF!</f>
        <v>#REF!</v>
      </c>
      <c r="H1368" s="325" t="e">
        <f t="shared" si="67"/>
        <v>#REF!</v>
      </c>
      <c r="I1368" s="261"/>
      <c r="J1368" s="265" t="e">
        <f t="shared" si="70"/>
        <v>#REF!</v>
      </c>
      <c r="K1368" s="295"/>
      <c r="L1368" s="270"/>
      <c r="M1368" s="263"/>
      <c r="N1368" s="261"/>
      <c r="O1368" s="260"/>
    </row>
    <row r="1369" spans="1:15" ht="25.5">
      <c r="A1369" s="180" t="s">
        <v>167</v>
      </c>
      <c r="B1369" s="77" t="s">
        <v>999</v>
      </c>
      <c r="C1369" s="70" t="s">
        <v>17</v>
      </c>
      <c r="D1369" s="255"/>
      <c r="E1369" s="325" t="e">
        <f>#REF!</f>
        <v>#REF!</v>
      </c>
      <c r="F1369" s="325" t="e">
        <f>#REF!</f>
        <v>#REF!</v>
      </c>
      <c r="G1369" s="325" t="e">
        <f>#REF!</f>
        <v>#REF!</v>
      </c>
      <c r="H1369" s="325" t="e">
        <f t="shared" si="67"/>
        <v>#REF!</v>
      </c>
      <c r="I1369" s="260"/>
      <c r="J1369" s="265" t="e">
        <f t="shared" si="70"/>
        <v>#REF!</v>
      </c>
      <c r="K1369" s="294"/>
      <c r="L1369" s="271"/>
      <c r="M1369" s="264"/>
      <c r="N1369" s="260"/>
      <c r="O1369" s="260"/>
    </row>
    <row r="1370" spans="1:15" ht="25.5">
      <c r="A1370" s="180" t="s">
        <v>167</v>
      </c>
      <c r="B1370" s="77" t="s">
        <v>1000</v>
      </c>
      <c r="C1370" s="70" t="s">
        <v>17</v>
      </c>
      <c r="D1370" s="255"/>
      <c r="E1370" s="325" t="e">
        <f>#REF!</f>
        <v>#REF!</v>
      </c>
      <c r="F1370" s="325" t="e">
        <f>#REF!</f>
        <v>#REF!</v>
      </c>
      <c r="G1370" s="325" t="e">
        <f>#REF!</f>
        <v>#REF!</v>
      </c>
      <c r="H1370" s="325" t="e">
        <f t="shared" si="67"/>
        <v>#REF!</v>
      </c>
      <c r="I1370" s="261"/>
      <c r="J1370" s="265" t="e">
        <f t="shared" si="70"/>
        <v>#REF!</v>
      </c>
      <c r="K1370" s="295"/>
      <c r="L1370" s="270"/>
      <c r="M1370" s="263"/>
      <c r="N1370" s="261"/>
      <c r="O1370" s="260"/>
    </row>
    <row r="1371" spans="1:15" ht="25.5">
      <c r="A1371" s="180" t="s">
        <v>167</v>
      </c>
      <c r="B1371" s="77" t="s">
        <v>1001</v>
      </c>
      <c r="C1371" s="70" t="s">
        <v>17</v>
      </c>
      <c r="D1371" s="255"/>
      <c r="E1371" s="325" t="e">
        <f>#REF!</f>
        <v>#REF!</v>
      </c>
      <c r="F1371" s="325" t="e">
        <f>#REF!</f>
        <v>#REF!</v>
      </c>
      <c r="G1371" s="325" t="e">
        <f>#REF!</f>
        <v>#REF!</v>
      </c>
      <c r="H1371" s="325" t="e">
        <f t="shared" si="67"/>
        <v>#REF!</v>
      </c>
      <c r="I1371" s="260"/>
      <c r="J1371" s="265" t="e">
        <f t="shared" si="70"/>
        <v>#REF!</v>
      </c>
      <c r="K1371" s="294"/>
      <c r="L1371" s="271"/>
      <c r="M1371" s="264"/>
      <c r="N1371" s="260"/>
      <c r="O1371" s="260"/>
    </row>
    <row r="1372" spans="1:15" ht="38.25">
      <c r="A1372" s="180" t="s">
        <v>167</v>
      </c>
      <c r="B1372" s="77" t="s">
        <v>1002</v>
      </c>
      <c r="C1372" s="70" t="s">
        <v>17</v>
      </c>
      <c r="D1372" s="255"/>
      <c r="E1372" s="325" t="e">
        <f>#REF!</f>
        <v>#REF!</v>
      </c>
      <c r="F1372" s="325" t="e">
        <f>#REF!</f>
        <v>#REF!</v>
      </c>
      <c r="G1372" s="325" t="e">
        <f>#REF!</f>
        <v>#REF!</v>
      </c>
      <c r="H1372" s="325" t="e">
        <f t="shared" si="67"/>
        <v>#REF!</v>
      </c>
      <c r="I1372" s="261"/>
      <c r="J1372" s="265" t="e">
        <f t="shared" si="70"/>
        <v>#REF!</v>
      </c>
      <c r="K1372" s="295"/>
      <c r="L1372" s="270"/>
      <c r="M1372" s="263"/>
      <c r="N1372" s="261"/>
      <c r="O1372" s="260"/>
    </row>
    <row r="1373" spans="1:15" ht="38.25">
      <c r="A1373" s="180" t="s">
        <v>167</v>
      </c>
      <c r="B1373" s="77" t="s">
        <v>1003</v>
      </c>
      <c r="C1373" s="70" t="s">
        <v>17</v>
      </c>
      <c r="D1373" s="255"/>
      <c r="E1373" s="325" t="e">
        <f>#REF!</f>
        <v>#REF!</v>
      </c>
      <c r="F1373" s="325" t="e">
        <f>#REF!</f>
        <v>#REF!</v>
      </c>
      <c r="G1373" s="325" t="e">
        <f>#REF!</f>
        <v>#REF!</v>
      </c>
      <c r="H1373" s="325" t="e">
        <f t="shared" ref="H1373:H1410" si="71">G1373+F1373+E1373+D1373</f>
        <v>#REF!</v>
      </c>
      <c r="I1373" s="260"/>
      <c r="J1373" s="265" t="e">
        <f t="shared" si="70"/>
        <v>#REF!</v>
      </c>
      <c r="K1373" s="294"/>
      <c r="L1373" s="271"/>
      <c r="M1373" s="264"/>
      <c r="N1373" s="260"/>
      <c r="O1373" s="260"/>
    </row>
    <row r="1374" spans="1:15" ht="25.5">
      <c r="A1374" s="180" t="s">
        <v>167</v>
      </c>
      <c r="B1374" s="77" t="s">
        <v>1004</v>
      </c>
      <c r="C1374" s="70" t="s">
        <v>17</v>
      </c>
      <c r="D1374" s="255"/>
      <c r="E1374" s="325" t="e">
        <f>#REF!</f>
        <v>#REF!</v>
      </c>
      <c r="F1374" s="325" t="e">
        <f>#REF!</f>
        <v>#REF!</v>
      </c>
      <c r="G1374" s="325" t="e">
        <f>#REF!</f>
        <v>#REF!</v>
      </c>
      <c r="H1374" s="325" t="e">
        <f t="shared" si="71"/>
        <v>#REF!</v>
      </c>
      <c r="I1374" s="261"/>
      <c r="J1374" s="265" t="e">
        <f t="shared" si="70"/>
        <v>#REF!</v>
      </c>
      <c r="K1374" s="295"/>
      <c r="L1374" s="270"/>
      <c r="M1374" s="263"/>
      <c r="N1374" s="261"/>
      <c r="O1374" s="260"/>
    </row>
    <row r="1375" spans="1:15" ht="25.5">
      <c r="A1375" s="180" t="s">
        <v>167</v>
      </c>
      <c r="B1375" s="77" t="s">
        <v>1005</v>
      </c>
      <c r="C1375" s="70" t="s">
        <v>17</v>
      </c>
      <c r="D1375" s="255"/>
      <c r="E1375" s="325" t="e">
        <f>#REF!</f>
        <v>#REF!</v>
      </c>
      <c r="F1375" s="325" t="e">
        <f>#REF!</f>
        <v>#REF!</v>
      </c>
      <c r="G1375" s="325" t="e">
        <f>#REF!</f>
        <v>#REF!</v>
      </c>
      <c r="H1375" s="325" t="e">
        <f t="shared" si="71"/>
        <v>#REF!</v>
      </c>
      <c r="I1375" s="260"/>
      <c r="J1375" s="265" t="e">
        <f t="shared" si="70"/>
        <v>#REF!</v>
      </c>
      <c r="K1375" s="294"/>
      <c r="L1375" s="271"/>
      <c r="M1375" s="264"/>
      <c r="N1375" s="260"/>
      <c r="O1375" s="260"/>
    </row>
    <row r="1376" spans="1:15" ht="25.5">
      <c r="A1376" s="180" t="s">
        <v>167</v>
      </c>
      <c r="B1376" s="77" t="s">
        <v>1006</v>
      </c>
      <c r="C1376" s="70" t="s">
        <v>17</v>
      </c>
      <c r="D1376" s="255"/>
      <c r="E1376" s="325" t="e">
        <f>#REF!</f>
        <v>#REF!</v>
      </c>
      <c r="F1376" s="325" t="e">
        <f>#REF!</f>
        <v>#REF!</v>
      </c>
      <c r="G1376" s="325" t="e">
        <f>#REF!</f>
        <v>#REF!</v>
      </c>
      <c r="H1376" s="325" t="e">
        <f t="shared" si="71"/>
        <v>#REF!</v>
      </c>
      <c r="I1376" s="261"/>
      <c r="J1376" s="265" t="e">
        <f t="shared" si="70"/>
        <v>#REF!</v>
      </c>
      <c r="K1376" s="295"/>
      <c r="L1376" s="270"/>
      <c r="M1376" s="263"/>
      <c r="N1376" s="261"/>
      <c r="O1376" s="260"/>
    </row>
    <row r="1377" spans="1:15" ht="25.5">
      <c r="A1377" s="180" t="s">
        <v>167</v>
      </c>
      <c r="B1377" s="77" t="s">
        <v>1007</v>
      </c>
      <c r="C1377" s="70" t="s">
        <v>17</v>
      </c>
      <c r="D1377" s="255"/>
      <c r="E1377" s="325" t="e">
        <f>#REF!</f>
        <v>#REF!</v>
      </c>
      <c r="F1377" s="325" t="e">
        <f>#REF!</f>
        <v>#REF!</v>
      </c>
      <c r="G1377" s="325" t="e">
        <f>#REF!</f>
        <v>#REF!</v>
      </c>
      <c r="H1377" s="325" t="e">
        <f t="shared" si="71"/>
        <v>#REF!</v>
      </c>
      <c r="I1377" s="260"/>
      <c r="J1377" s="265" t="e">
        <f t="shared" si="70"/>
        <v>#REF!</v>
      </c>
      <c r="K1377" s="294"/>
      <c r="L1377" s="271"/>
      <c r="M1377" s="264"/>
      <c r="N1377" s="260"/>
      <c r="O1377" s="260"/>
    </row>
    <row r="1378" spans="1:15" ht="25.5">
      <c r="A1378" s="180" t="s">
        <v>167</v>
      </c>
      <c r="B1378" s="77" t="s">
        <v>1008</v>
      </c>
      <c r="C1378" s="70" t="s">
        <v>17</v>
      </c>
      <c r="D1378" s="255"/>
      <c r="E1378" s="325" t="e">
        <f>#REF!</f>
        <v>#REF!</v>
      </c>
      <c r="F1378" s="325" t="e">
        <f>#REF!</f>
        <v>#REF!</v>
      </c>
      <c r="G1378" s="325" t="e">
        <f>#REF!</f>
        <v>#REF!</v>
      </c>
      <c r="H1378" s="325" t="e">
        <f t="shared" si="71"/>
        <v>#REF!</v>
      </c>
      <c r="I1378" s="261"/>
      <c r="J1378" s="265" t="e">
        <f t="shared" si="70"/>
        <v>#REF!</v>
      </c>
      <c r="K1378" s="295"/>
      <c r="L1378" s="270"/>
      <c r="M1378" s="263"/>
      <c r="N1378" s="261"/>
      <c r="O1378" s="260"/>
    </row>
    <row r="1379" spans="1:15" ht="25.5">
      <c r="A1379" s="180" t="s">
        <v>167</v>
      </c>
      <c r="B1379" s="77" t="s">
        <v>1009</v>
      </c>
      <c r="C1379" s="70" t="s">
        <v>17</v>
      </c>
      <c r="D1379" s="255"/>
      <c r="E1379" s="325" t="e">
        <f>#REF!</f>
        <v>#REF!</v>
      </c>
      <c r="F1379" s="325" t="e">
        <f>#REF!</f>
        <v>#REF!</v>
      </c>
      <c r="G1379" s="325" t="e">
        <f>#REF!</f>
        <v>#REF!</v>
      </c>
      <c r="H1379" s="325" t="e">
        <f t="shared" si="71"/>
        <v>#REF!</v>
      </c>
      <c r="I1379" s="260"/>
      <c r="J1379" s="265" t="e">
        <f t="shared" si="70"/>
        <v>#REF!</v>
      </c>
      <c r="K1379" s="294"/>
      <c r="L1379" s="271"/>
      <c r="M1379" s="264"/>
      <c r="N1379" s="260"/>
      <c r="O1379" s="260"/>
    </row>
    <row r="1380" spans="1:15" ht="25.5">
      <c r="A1380" s="180" t="s">
        <v>167</v>
      </c>
      <c r="B1380" s="77" t="s">
        <v>1010</v>
      </c>
      <c r="C1380" s="70" t="s">
        <v>17</v>
      </c>
      <c r="D1380" s="255"/>
      <c r="E1380" s="325" t="e">
        <f>#REF!</f>
        <v>#REF!</v>
      </c>
      <c r="F1380" s="325" t="e">
        <f>#REF!</f>
        <v>#REF!</v>
      </c>
      <c r="G1380" s="325" t="e">
        <f>#REF!</f>
        <v>#REF!</v>
      </c>
      <c r="H1380" s="325" t="e">
        <f t="shared" si="71"/>
        <v>#REF!</v>
      </c>
      <c r="I1380" s="261"/>
      <c r="J1380" s="265" t="e">
        <f t="shared" si="70"/>
        <v>#REF!</v>
      </c>
      <c r="K1380" s="295"/>
      <c r="L1380" s="270"/>
      <c r="M1380" s="263"/>
      <c r="N1380" s="261"/>
      <c r="O1380" s="260"/>
    </row>
    <row r="1381" spans="1:15" ht="38.25">
      <c r="A1381" s="180" t="s">
        <v>167</v>
      </c>
      <c r="B1381" s="77" t="s">
        <v>1011</v>
      </c>
      <c r="C1381" s="70" t="s">
        <v>17</v>
      </c>
      <c r="D1381" s="255"/>
      <c r="E1381" s="325" t="e">
        <f>#REF!</f>
        <v>#REF!</v>
      </c>
      <c r="F1381" s="325" t="e">
        <f>#REF!</f>
        <v>#REF!</v>
      </c>
      <c r="G1381" s="325" t="e">
        <f>#REF!</f>
        <v>#REF!</v>
      </c>
      <c r="H1381" s="325" t="e">
        <f t="shared" si="71"/>
        <v>#REF!</v>
      </c>
      <c r="I1381" s="260"/>
      <c r="J1381" s="265" t="e">
        <f t="shared" si="70"/>
        <v>#REF!</v>
      </c>
      <c r="K1381" s="294"/>
      <c r="L1381" s="271"/>
      <c r="M1381" s="264"/>
      <c r="N1381" s="260"/>
      <c r="O1381" s="260"/>
    </row>
    <row r="1382" spans="1:15" ht="25.5">
      <c r="A1382" s="180" t="s">
        <v>167</v>
      </c>
      <c r="B1382" s="77" t="s">
        <v>1012</v>
      </c>
      <c r="C1382" s="70" t="s">
        <v>17</v>
      </c>
      <c r="D1382" s="255"/>
      <c r="E1382" s="325" t="e">
        <f>#REF!</f>
        <v>#REF!</v>
      </c>
      <c r="F1382" s="325" t="e">
        <f>#REF!</f>
        <v>#REF!</v>
      </c>
      <c r="G1382" s="325" t="e">
        <f>#REF!</f>
        <v>#REF!</v>
      </c>
      <c r="H1382" s="325" t="e">
        <f t="shared" si="71"/>
        <v>#REF!</v>
      </c>
      <c r="I1382" s="261"/>
      <c r="J1382" s="265" t="e">
        <f t="shared" si="70"/>
        <v>#REF!</v>
      </c>
      <c r="K1382" s="295"/>
      <c r="L1382" s="270"/>
      <c r="M1382" s="263"/>
      <c r="N1382" s="261"/>
      <c r="O1382" s="260"/>
    </row>
    <row r="1383" spans="1:15" ht="38.25">
      <c r="A1383" s="180" t="s">
        <v>167</v>
      </c>
      <c r="B1383" s="77" t="s">
        <v>1013</v>
      </c>
      <c r="C1383" s="70" t="s">
        <v>17</v>
      </c>
      <c r="D1383" s="255"/>
      <c r="E1383" s="325" t="e">
        <f>#REF!</f>
        <v>#REF!</v>
      </c>
      <c r="F1383" s="325" t="e">
        <f>#REF!</f>
        <v>#REF!</v>
      </c>
      <c r="G1383" s="325" t="e">
        <f>#REF!</f>
        <v>#REF!</v>
      </c>
      <c r="H1383" s="325" t="e">
        <f t="shared" si="71"/>
        <v>#REF!</v>
      </c>
      <c r="I1383" s="260"/>
      <c r="J1383" s="265" t="e">
        <f t="shared" si="70"/>
        <v>#REF!</v>
      </c>
      <c r="K1383" s="294"/>
      <c r="L1383" s="271"/>
      <c r="M1383" s="264"/>
      <c r="N1383" s="260"/>
      <c r="O1383" s="260"/>
    </row>
    <row r="1384" spans="1:15" ht="25.5">
      <c r="A1384" s="180" t="s">
        <v>167</v>
      </c>
      <c r="B1384" s="77" t="s">
        <v>1014</v>
      </c>
      <c r="C1384" s="70" t="s">
        <v>17</v>
      </c>
      <c r="D1384" s="255"/>
      <c r="E1384" s="325" t="e">
        <f>#REF!</f>
        <v>#REF!</v>
      </c>
      <c r="F1384" s="325" t="e">
        <f>#REF!</f>
        <v>#REF!</v>
      </c>
      <c r="G1384" s="325" t="e">
        <f>#REF!</f>
        <v>#REF!</v>
      </c>
      <c r="H1384" s="325" t="e">
        <f t="shared" si="71"/>
        <v>#REF!</v>
      </c>
      <c r="I1384" s="261"/>
      <c r="J1384" s="265" t="e">
        <f t="shared" si="70"/>
        <v>#REF!</v>
      </c>
      <c r="K1384" s="295"/>
      <c r="L1384" s="270"/>
      <c r="M1384" s="263"/>
      <c r="N1384" s="261"/>
      <c r="O1384" s="260"/>
    </row>
    <row r="1385" spans="1:15" ht="38.25">
      <c r="A1385" s="180" t="s">
        <v>167</v>
      </c>
      <c r="B1385" s="77" t="s">
        <v>1015</v>
      </c>
      <c r="C1385" s="70" t="s">
        <v>17</v>
      </c>
      <c r="D1385" s="255"/>
      <c r="E1385" s="325" t="e">
        <f>#REF!</f>
        <v>#REF!</v>
      </c>
      <c r="F1385" s="325" t="e">
        <f>#REF!</f>
        <v>#REF!</v>
      </c>
      <c r="G1385" s="325" t="e">
        <f>#REF!</f>
        <v>#REF!</v>
      </c>
      <c r="H1385" s="325" t="e">
        <f t="shared" si="71"/>
        <v>#REF!</v>
      </c>
      <c r="I1385" s="260"/>
      <c r="J1385" s="265" t="e">
        <f t="shared" si="70"/>
        <v>#REF!</v>
      </c>
      <c r="K1385" s="294"/>
      <c r="L1385" s="271"/>
      <c r="M1385" s="264"/>
      <c r="N1385" s="260"/>
      <c r="O1385" s="260"/>
    </row>
    <row r="1386" spans="1:15" ht="25.5">
      <c r="A1386" s="180" t="s">
        <v>167</v>
      </c>
      <c r="B1386" s="77" t="s">
        <v>1016</v>
      </c>
      <c r="C1386" s="70" t="s">
        <v>17</v>
      </c>
      <c r="D1386" s="255"/>
      <c r="E1386" s="325" t="e">
        <f>#REF!</f>
        <v>#REF!</v>
      </c>
      <c r="F1386" s="325" t="e">
        <f>#REF!</f>
        <v>#REF!</v>
      </c>
      <c r="G1386" s="325" t="e">
        <f>#REF!</f>
        <v>#REF!</v>
      </c>
      <c r="H1386" s="325" t="e">
        <f t="shared" si="71"/>
        <v>#REF!</v>
      </c>
      <c r="I1386" s="261"/>
      <c r="J1386" s="265" t="e">
        <f t="shared" si="70"/>
        <v>#REF!</v>
      </c>
      <c r="K1386" s="295"/>
      <c r="L1386" s="270"/>
      <c r="M1386" s="263"/>
      <c r="N1386" s="261"/>
      <c r="O1386" s="260"/>
    </row>
    <row r="1387" spans="1:15" ht="25.5">
      <c r="A1387" s="180" t="s">
        <v>167</v>
      </c>
      <c r="B1387" s="77" t="s">
        <v>1017</v>
      </c>
      <c r="C1387" s="70" t="s">
        <v>17</v>
      </c>
      <c r="D1387" s="255"/>
      <c r="E1387" s="325" t="e">
        <f>#REF!</f>
        <v>#REF!</v>
      </c>
      <c r="F1387" s="325" t="e">
        <f>#REF!</f>
        <v>#REF!</v>
      </c>
      <c r="G1387" s="325" t="e">
        <f>#REF!</f>
        <v>#REF!</v>
      </c>
      <c r="H1387" s="325" t="e">
        <f t="shared" si="71"/>
        <v>#REF!</v>
      </c>
      <c r="I1387" s="260"/>
      <c r="J1387" s="265" t="e">
        <f t="shared" si="70"/>
        <v>#REF!</v>
      </c>
      <c r="K1387" s="294"/>
      <c r="L1387" s="271"/>
      <c r="M1387" s="264"/>
      <c r="N1387" s="260"/>
      <c r="O1387" s="260"/>
    </row>
    <row r="1388" spans="1:15" ht="25.5">
      <c r="A1388" s="180" t="s">
        <v>167</v>
      </c>
      <c r="B1388" s="77" t="s">
        <v>1018</v>
      </c>
      <c r="C1388" s="70" t="s">
        <v>17</v>
      </c>
      <c r="D1388" s="255"/>
      <c r="E1388" s="325" t="e">
        <f>#REF!</f>
        <v>#REF!</v>
      </c>
      <c r="F1388" s="325" t="e">
        <f>#REF!</f>
        <v>#REF!</v>
      </c>
      <c r="G1388" s="325" t="e">
        <f>#REF!</f>
        <v>#REF!</v>
      </c>
      <c r="H1388" s="325" t="e">
        <f t="shared" si="71"/>
        <v>#REF!</v>
      </c>
      <c r="I1388" s="261"/>
      <c r="J1388" s="265" t="e">
        <f t="shared" si="70"/>
        <v>#REF!</v>
      </c>
      <c r="K1388" s="295"/>
      <c r="L1388" s="270"/>
      <c r="M1388" s="263"/>
      <c r="N1388" s="261"/>
      <c r="O1388" s="260"/>
    </row>
    <row r="1389" spans="1:15" ht="38.25">
      <c r="A1389" s="180" t="s">
        <v>167</v>
      </c>
      <c r="B1389" s="77" t="s">
        <v>1019</v>
      </c>
      <c r="C1389" s="70" t="s">
        <v>17</v>
      </c>
      <c r="D1389" s="255"/>
      <c r="E1389" s="325" t="e">
        <f>#REF!</f>
        <v>#REF!</v>
      </c>
      <c r="F1389" s="325" t="e">
        <f>#REF!</f>
        <v>#REF!</v>
      </c>
      <c r="G1389" s="325" t="e">
        <f>#REF!</f>
        <v>#REF!</v>
      </c>
      <c r="H1389" s="325" t="e">
        <f t="shared" si="71"/>
        <v>#REF!</v>
      </c>
      <c r="I1389" s="260"/>
      <c r="J1389" s="265" t="e">
        <f t="shared" si="70"/>
        <v>#REF!</v>
      </c>
      <c r="K1389" s="294"/>
      <c r="L1389" s="271"/>
      <c r="M1389" s="264"/>
      <c r="N1389" s="260"/>
      <c r="O1389" s="260"/>
    </row>
    <row r="1390" spans="1:15" ht="25.5">
      <c r="A1390" s="180" t="s">
        <v>167</v>
      </c>
      <c r="B1390" s="77" t="s">
        <v>1020</v>
      </c>
      <c r="C1390" s="70" t="s">
        <v>17</v>
      </c>
      <c r="D1390" s="255"/>
      <c r="E1390" s="325" t="e">
        <f>#REF!</f>
        <v>#REF!</v>
      </c>
      <c r="F1390" s="325" t="e">
        <f>#REF!</f>
        <v>#REF!</v>
      </c>
      <c r="G1390" s="325" t="e">
        <f>#REF!</f>
        <v>#REF!</v>
      </c>
      <c r="H1390" s="325" t="e">
        <f t="shared" si="71"/>
        <v>#REF!</v>
      </c>
      <c r="I1390" s="261"/>
      <c r="J1390" s="265" t="e">
        <f t="shared" si="70"/>
        <v>#REF!</v>
      </c>
      <c r="K1390" s="295"/>
      <c r="L1390" s="270"/>
      <c r="M1390" s="263"/>
      <c r="N1390" s="261"/>
      <c r="O1390" s="260"/>
    </row>
    <row r="1391" spans="1:15" ht="38.25">
      <c r="A1391" s="180" t="s">
        <v>167</v>
      </c>
      <c r="B1391" s="77" t="s">
        <v>1021</v>
      </c>
      <c r="C1391" s="70" t="s">
        <v>17</v>
      </c>
      <c r="D1391" s="255"/>
      <c r="E1391" s="325" t="e">
        <f>#REF!</f>
        <v>#REF!</v>
      </c>
      <c r="F1391" s="325" t="e">
        <f>#REF!</f>
        <v>#REF!</v>
      </c>
      <c r="G1391" s="325" t="e">
        <f>#REF!</f>
        <v>#REF!</v>
      </c>
      <c r="H1391" s="325" t="e">
        <f t="shared" si="71"/>
        <v>#REF!</v>
      </c>
      <c r="I1391" s="260"/>
      <c r="J1391" s="265" t="e">
        <f t="shared" si="70"/>
        <v>#REF!</v>
      </c>
      <c r="K1391" s="294"/>
      <c r="L1391" s="271"/>
      <c r="M1391" s="264"/>
      <c r="N1391" s="260"/>
      <c r="O1391" s="260"/>
    </row>
    <row r="1392" spans="1:15" ht="89.25">
      <c r="A1392" s="180" t="s">
        <v>167</v>
      </c>
      <c r="B1392" s="77" t="s">
        <v>1700</v>
      </c>
      <c r="C1392" s="70" t="s">
        <v>17</v>
      </c>
      <c r="D1392" s="255">
        <v>1</v>
      </c>
      <c r="E1392" s="325" t="e">
        <f>#REF!</f>
        <v>#REF!</v>
      </c>
      <c r="F1392" s="325" t="e">
        <f>#REF!</f>
        <v>#REF!</v>
      </c>
      <c r="G1392" s="325" t="e">
        <f>#REF!</f>
        <v>#REF!</v>
      </c>
      <c r="H1392" s="325" t="e">
        <f t="shared" si="71"/>
        <v>#REF!</v>
      </c>
      <c r="I1392" s="266">
        <v>189102.07999999999</v>
      </c>
      <c r="J1392" s="266">
        <f>I1392*D1392</f>
        <v>189102.07999999999</v>
      </c>
      <c r="K1392" s="306"/>
      <c r="L1392" s="280">
        <v>42409</v>
      </c>
      <c r="M1392" s="309" t="s">
        <v>15</v>
      </c>
      <c r="N1392" s="254" t="s">
        <v>342</v>
      </c>
      <c r="O1392" s="266" t="s">
        <v>1644</v>
      </c>
    </row>
    <row r="1393" spans="1:15" ht="38.25">
      <c r="A1393" s="180" t="s">
        <v>167</v>
      </c>
      <c r="B1393" s="77" t="s">
        <v>1762</v>
      </c>
      <c r="C1393" s="70" t="s">
        <v>17</v>
      </c>
      <c r="D1393" s="255">
        <v>1</v>
      </c>
      <c r="E1393" s="325">
        <v>0</v>
      </c>
      <c r="F1393" s="325">
        <v>0</v>
      </c>
      <c r="G1393" s="325">
        <v>0</v>
      </c>
      <c r="H1393" s="325">
        <f>G1393+F1393+E1393+D1393</f>
        <v>1</v>
      </c>
      <c r="I1393" s="266">
        <v>157171.28</v>
      </c>
      <c r="J1393" s="266">
        <f>I1393*H1393</f>
        <v>157171.28</v>
      </c>
      <c r="K1393" s="306"/>
      <c r="L1393" s="280">
        <v>42452</v>
      </c>
      <c r="M1393" s="309" t="s">
        <v>15</v>
      </c>
      <c r="N1393" s="254" t="s">
        <v>342</v>
      </c>
      <c r="O1393" s="266" t="s">
        <v>1644</v>
      </c>
    </row>
    <row r="1394" spans="1:15" ht="17.25">
      <c r="A1394" s="180" t="s">
        <v>167</v>
      </c>
      <c r="B1394" s="77" t="s">
        <v>1022</v>
      </c>
      <c r="C1394" s="70" t="s">
        <v>17</v>
      </c>
      <c r="D1394" s="255"/>
      <c r="E1394" s="325" t="e">
        <f>#REF!</f>
        <v>#REF!</v>
      </c>
      <c r="F1394" s="325" t="e">
        <f>#REF!</f>
        <v>#REF!</v>
      </c>
      <c r="G1394" s="325" t="e">
        <f>#REF!</f>
        <v>#REF!</v>
      </c>
      <c r="H1394" s="325" t="e">
        <f t="shared" si="71"/>
        <v>#REF!</v>
      </c>
      <c r="I1394" s="261"/>
      <c r="J1394" s="265" t="e">
        <f>I1394*H1394</f>
        <v>#REF!</v>
      </c>
      <c r="K1394" s="295"/>
      <c r="L1394" s="270"/>
      <c r="M1394" s="263"/>
      <c r="N1394" s="261"/>
      <c r="O1394" s="260"/>
    </row>
    <row r="1395" spans="1:15" ht="63.75">
      <c r="A1395" s="180" t="s">
        <v>167</v>
      </c>
      <c r="B1395" s="77" t="s">
        <v>1023</v>
      </c>
      <c r="C1395" s="70" t="s">
        <v>17</v>
      </c>
      <c r="D1395" s="255"/>
      <c r="E1395" s="325" t="e">
        <f>#REF!</f>
        <v>#REF!</v>
      </c>
      <c r="F1395" s="325" t="e">
        <f>#REF!</f>
        <v>#REF!</v>
      </c>
      <c r="G1395" s="325" t="e">
        <f>#REF!</f>
        <v>#REF!</v>
      </c>
      <c r="H1395" s="325" t="e">
        <f t="shared" si="71"/>
        <v>#REF!</v>
      </c>
      <c r="I1395" s="260"/>
      <c r="J1395" s="265" t="e">
        <f>I1395*H1395</f>
        <v>#REF!</v>
      </c>
      <c r="K1395" s="294"/>
      <c r="L1395" s="271"/>
      <c r="M1395" s="264"/>
      <c r="N1395" s="260"/>
      <c r="O1395" s="260"/>
    </row>
    <row r="1396" spans="1:15" ht="25.5">
      <c r="A1396" s="180" t="s">
        <v>167</v>
      </c>
      <c r="B1396" s="77" t="s">
        <v>1418</v>
      </c>
      <c r="C1396" s="70" t="s">
        <v>17</v>
      </c>
      <c r="D1396" s="255"/>
      <c r="E1396" s="325" t="e">
        <f>#REF!</f>
        <v>#REF!</v>
      </c>
      <c r="F1396" s="325" t="e">
        <f>#REF!</f>
        <v>#REF!</v>
      </c>
      <c r="G1396" s="325" t="e">
        <f>#REF!</f>
        <v>#REF!</v>
      </c>
      <c r="H1396" s="325" t="e">
        <f t="shared" si="71"/>
        <v>#REF!</v>
      </c>
      <c r="I1396" s="261"/>
      <c r="J1396" s="265" t="e">
        <f>I1396*H1396</f>
        <v>#REF!</v>
      </c>
      <c r="K1396" s="295"/>
      <c r="L1396" s="270"/>
      <c r="M1396" s="263"/>
      <c r="N1396" s="261"/>
      <c r="O1396" s="260"/>
    </row>
    <row r="1397" spans="1:15" ht="40.5" customHeight="1">
      <c r="A1397" s="179" t="s">
        <v>167</v>
      </c>
      <c r="B1397" s="76" t="s">
        <v>891</v>
      </c>
      <c r="C1397" s="42"/>
      <c r="D1397" s="76" t="s">
        <v>891</v>
      </c>
      <c r="E1397" s="76" t="s">
        <v>891</v>
      </c>
      <c r="F1397" s="76" t="s">
        <v>891</v>
      </c>
      <c r="G1397" s="76" t="s">
        <v>891</v>
      </c>
      <c r="H1397" s="76" t="s">
        <v>891</v>
      </c>
      <c r="I1397" s="76" t="s">
        <v>891</v>
      </c>
      <c r="J1397" s="76" t="s">
        <v>891</v>
      </c>
      <c r="K1397" s="293" t="e">
        <f>SUM(J1334:J1396)</f>
        <v>#REF!</v>
      </c>
      <c r="L1397" s="284" t="s">
        <v>891</v>
      </c>
      <c r="M1397" s="76" t="s">
        <v>891</v>
      </c>
      <c r="N1397" s="76" t="s">
        <v>891</v>
      </c>
      <c r="O1397" s="76" t="s">
        <v>891</v>
      </c>
    </row>
    <row r="1398" spans="1:15" ht="17.25">
      <c r="A1398" s="178" t="s">
        <v>573</v>
      </c>
      <c r="B1398" s="75" t="s">
        <v>574</v>
      </c>
      <c r="C1398" s="39" t="s">
        <v>17</v>
      </c>
      <c r="D1398" s="255"/>
      <c r="E1398" s="325" t="e">
        <f>#REF!</f>
        <v>#REF!</v>
      </c>
      <c r="F1398" s="325" t="e">
        <f>#REF!</f>
        <v>#REF!</v>
      </c>
      <c r="G1398" s="325" t="e">
        <f>#REF!</f>
        <v>#REF!</v>
      </c>
      <c r="H1398" s="325" t="e">
        <f t="shared" si="71"/>
        <v>#REF!</v>
      </c>
      <c r="I1398" s="265"/>
      <c r="J1398" s="265" t="e">
        <f>I1398*H1398</f>
        <v>#REF!</v>
      </c>
      <c r="K1398" s="307"/>
      <c r="L1398" s="310"/>
      <c r="M1398" s="308"/>
      <c r="N1398" s="265"/>
      <c r="O1398" s="260"/>
    </row>
    <row r="1399" spans="1:15" ht="31.5">
      <c r="A1399" s="178" t="s">
        <v>573</v>
      </c>
      <c r="B1399" s="75" t="s">
        <v>575</v>
      </c>
      <c r="C1399" s="39" t="s">
        <v>17</v>
      </c>
      <c r="D1399" s="255">
        <v>1400</v>
      </c>
      <c r="E1399" s="325" t="e">
        <f>#REF!</f>
        <v>#REF!</v>
      </c>
      <c r="F1399" s="325" t="e">
        <f>#REF!</f>
        <v>#REF!</v>
      </c>
      <c r="G1399" s="325" t="e">
        <f>#REF!</f>
        <v>#REF!</v>
      </c>
      <c r="H1399" s="325" t="e">
        <f t="shared" si="71"/>
        <v>#REF!</v>
      </c>
      <c r="I1399" s="266">
        <v>1000</v>
      </c>
      <c r="J1399" s="265" t="e">
        <f t="shared" ref="J1399:J1405" si="72">I1399*H1399</f>
        <v>#REF!</v>
      </c>
      <c r="K1399" s="306"/>
      <c r="L1399" s="280" t="s">
        <v>1746</v>
      </c>
      <c r="M1399" s="309" t="s">
        <v>1645</v>
      </c>
      <c r="N1399" s="266"/>
      <c r="O1399" s="266" t="s">
        <v>1642</v>
      </c>
    </row>
    <row r="1400" spans="1:15" ht="17.25">
      <c r="A1400" s="178" t="s">
        <v>573</v>
      </c>
      <c r="B1400" s="75" t="s">
        <v>576</v>
      </c>
      <c r="C1400" s="39" t="s">
        <v>17</v>
      </c>
      <c r="D1400" s="255"/>
      <c r="E1400" s="325" t="e">
        <f>#REF!</f>
        <v>#REF!</v>
      </c>
      <c r="F1400" s="325" t="e">
        <f>#REF!</f>
        <v>#REF!</v>
      </c>
      <c r="G1400" s="325" t="e">
        <f>#REF!</f>
        <v>#REF!</v>
      </c>
      <c r="H1400" s="325" t="e">
        <f t="shared" si="71"/>
        <v>#REF!</v>
      </c>
      <c r="I1400" s="265"/>
      <c r="J1400" s="265" t="e">
        <f t="shared" si="72"/>
        <v>#REF!</v>
      </c>
      <c r="K1400" s="307"/>
      <c r="L1400" s="310"/>
      <c r="M1400" s="308"/>
      <c r="N1400" s="265"/>
      <c r="O1400" s="260"/>
    </row>
    <row r="1401" spans="1:15" ht="31.5">
      <c r="A1401" s="178" t="s">
        <v>573</v>
      </c>
      <c r="B1401" s="75" t="s">
        <v>1331</v>
      </c>
      <c r="C1401" s="39" t="s">
        <v>17</v>
      </c>
      <c r="D1401" s="255">
        <v>1</v>
      </c>
      <c r="E1401" s="325" t="e">
        <f>#REF!</f>
        <v>#REF!</v>
      </c>
      <c r="F1401" s="325" t="e">
        <f>#REF!</f>
        <v>#REF!</v>
      </c>
      <c r="G1401" s="325" t="e">
        <f>#REF!</f>
        <v>#REF!</v>
      </c>
      <c r="H1401" s="325" t="e">
        <f t="shared" si="71"/>
        <v>#REF!</v>
      </c>
      <c r="I1401" s="266">
        <v>1321600</v>
      </c>
      <c r="J1401" s="265" t="e">
        <f t="shared" si="72"/>
        <v>#REF!</v>
      </c>
      <c r="K1401" s="306"/>
      <c r="L1401" s="280">
        <v>42341</v>
      </c>
      <c r="M1401" s="309" t="s">
        <v>1645</v>
      </c>
      <c r="N1401" s="266"/>
      <c r="O1401" s="266" t="s">
        <v>1646</v>
      </c>
    </row>
    <row r="1402" spans="1:15" ht="31.5">
      <c r="A1402" s="178" t="s">
        <v>573</v>
      </c>
      <c r="B1402" s="75" t="s">
        <v>1751</v>
      </c>
      <c r="C1402" s="39" t="s">
        <v>17</v>
      </c>
      <c r="D1402" s="255">
        <v>1</v>
      </c>
      <c r="E1402" s="325">
        <v>0</v>
      </c>
      <c r="F1402" s="325">
        <v>0</v>
      </c>
      <c r="G1402" s="325">
        <v>0</v>
      </c>
      <c r="H1402" s="325">
        <f>G1402+F1402+E1402+D1402</f>
        <v>1</v>
      </c>
      <c r="I1402" s="266">
        <v>37180</v>
      </c>
      <c r="J1402" s="265">
        <f>I1402*H1402</f>
        <v>37180</v>
      </c>
      <c r="K1402" s="306"/>
      <c r="L1402" s="280">
        <v>42338</v>
      </c>
      <c r="M1402" s="309" t="s">
        <v>1663</v>
      </c>
      <c r="N1402" s="266"/>
      <c r="O1402" s="266" t="s">
        <v>1646</v>
      </c>
    </row>
    <row r="1403" spans="1:15" ht="31.5">
      <c r="A1403" s="178" t="s">
        <v>573</v>
      </c>
      <c r="B1403" s="75" t="s">
        <v>1747</v>
      </c>
      <c r="C1403" s="39" t="s">
        <v>17</v>
      </c>
      <c r="D1403" s="255">
        <v>1</v>
      </c>
      <c r="E1403" s="325">
        <v>0</v>
      </c>
      <c r="F1403" s="325">
        <v>0</v>
      </c>
      <c r="G1403" s="325">
        <v>0</v>
      </c>
      <c r="H1403" s="325">
        <f>G1403+F1403+E1403+D1403</f>
        <v>1</v>
      </c>
      <c r="I1403" s="266">
        <v>330400</v>
      </c>
      <c r="J1403" s="265">
        <f>I1403*H1403</f>
        <v>330400</v>
      </c>
      <c r="K1403" s="306"/>
      <c r="L1403" s="280">
        <v>42338</v>
      </c>
      <c r="M1403" s="309" t="s">
        <v>1663</v>
      </c>
      <c r="N1403" s="266"/>
      <c r="O1403" s="266" t="s">
        <v>1646</v>
      </c>
    </row>
    <row r="1404" spans="1:15" ht="31.5">
      <c r="A1404" s="178" t="s">
        <v>573</v>
      </c>
      <c r="B1404" s="75" t="s">
        <v>1332</v>
      </c>
      <c r="C1404" s="39" t="s">
        <v>17</v>
      </c>
      <c r="D1404" s="255">
        <v>1</v>
      </c>
      <c r="E1404" s="325" t="e">
        <f>#REF!</f>
        <v>#REF!</v>
      </c>
      <c r="F1404" s="325" t="e">
        <f>#REF!</f>
        <v>#REF!</v>
      </c>
      <c r="G1404" s="325" t="e">
        <f>#REF!</f>
        <v>#REF!</v>
      </c>
      <c r="H1404" s="325" t="e">
        <f t="shared" si="71"/>
        <v>#REF!</v>
      </c>
      <c r="I1404" s="265">
        <v>29500</v>
      </c>
      <c r="J1404" s="265" t="e">
        <f t="shared" si="72"/>
        <v>#REF!</v>
      </c>
      <c r="K1404" s="307"/>
      <c r="L1404" s="310">
        <v>42346</v>
      </c>
      <c r="M1404" s="309" t="s">
        <v>1663</v>
      </c>
      <c r="N1404" s="265"/>
      <c r="O1404" s="266" t="s">
        <v>1646</v>
      </c>
    </row>
    <row r="1405" spans="1:15" ht="31.5">
      <c r="A1405" s="178" t="s">
        <v>573</v>
      </c>
      <c r="B1405" s="75" t="s">
        <v>1749</v>
      </c>
      <c r="C1405" s="39" t="s">
        <v>17</v>
      </c>
      <c r="D1405" s="255">
        <v>1</v>
      </c>
      <c r="E1405" s="325">
        <v>0</v>
      </c>
      <c r="F1405" s="325">
        <v>0</v>
      </c>
      <c r="G1405" s="325">
        <v>0</v>
      </c>
      <c r="H1405" s="325">
        <f>G1405+F1405+E1405+D1405</f>
        <v>1</v>
      </c>
      <c r="I1405" s="265">
        <v>75000</v>
      </c>
      <c r="J1405" s="265">
        <f t="shared" si="72"/>
        <v>75000</v>
      </c>
      <c r="K1405" s="307"/>
      <c r="L1405" s="310">
        <v>42335</v>
      </c>
      <c r="M1405" s="309" t="s">
        <v>1663</v>
      </c>
      <c r="N1405" s="265"/>
      <c r="O1405" s="266" t="s">
        <v>1646</v>
      </c>
    </row>
    <row r="1406" spans="1:15" ht="31.5">
      <c r="A1406" s="178" t="s">
        <v>573</v>
      </c>
      <c r="B1406" s="75" t="s">
        <v>1333</v>
      </c>
      <c r="C1406" s="39" t="s">
        <v>17</v>
      </c>
      <c r="D1406" s="255">
        <v>1</v>
      </c>
      <c r="E1406" s="325" t="e">
        <f>#REF!</f>
        <v>#REF!</v>
      </c>
      <c r="F1406" s="325" t="e">
        <f>#REF!</f>
        <v>#REF!</v>
      </c>
      <c r="G1406" s="325" t="e">
        <f>#REF!</f>
        <v>#REF!</v>
      </c>
      <c r="H1406" s="325" t="e">
        <f t="shared" si="71"/>
        <v>#REF!</v>
      </c>
      <c r="I1406" s="266">
        <v>803137.5</v>
      </c>
      <c r="J1406" s="266">
        <f>I1406*D1406</f>
        <v>803137.5</v>
      </c>
      <c r="K1406" s="306"/>
      <c r="L1406" s="280">
        <v>42397</v>
      </c>
      <c r="M1406" s="309" t="s">
        <v>1645</v>
      </c>
      <c r="N1406" s="266"/>
      <c r="O1406" s="266" t="s">
        <v>1646</v>
      </c>
    </row>
    <row r="1407" spans="1:15" ht="31.5">
      <c r="A1407" s="178" t="s">
        <v>573</v>
      </c>
      <c r="B1407" s="75" t="s">
        <v>1750</v>
      </c>
      <c r="C1407" s="39" t="s">
        <v>17</v>
      </c>
      <c r="D1407" s="255">
        <v>1</v>
      </c>
      <c r="E1407" s="325">
        <v>0</v>
      </c>
      <c r="F1407" s="325">
        <v>0</v>
      </c>
      <c r="G1407" s="325">
        <v>0</v>
      </c>
      <c r="H1407" s="325">
        <f>G1407+F1407+E1407+D1407</f>
        <v>1</v>
      </c>
      <c r="I1407" s="266">
        <v>1790461.2</v>
      </c>
      <c r="J1407" s="266">
        <f>I1407*H1407</f>
        <v>1790461.2</v>
      </c>
      <c r="K1407" s="306"/>
      <c r="L1407" s="280">
        <v>42347</v>
      </c>
      <c r="M1407" s="309" t="s">
        <v>1645</v>
      </c>
      <c r="N1407" s="266"/>
      <c r="O1407" s="266" t="s">
        <v>1646</v>
      </c>
    </row>
    <row r="1408" spans="1:15" ht="31.5">
      <c r="A1408" s="178" t="s">
        <v>573</v>
      </c>
      <c r="B1408" s="75" t="s">
        <v>1464</v>
      </c>
      <c r="C1408" s="39" t="s">
        <v>17</v>
      </c>
      <c r="D1408" s="272">
        <v>1</v>
      </c>
      <c r="E1408" s="325" t="e">
        <f>#REF!</f>
        <v>#REF!</v>
      </c>
      <c r="F1408" s="325" t="e">
        <f>#REF!</f>
        <v>#REF!</v>
      </c>
      <c r="G1408" s="325" t="e">
        <f>#REF!</f>
        <v>#REF!</v>
      </c>
      <c r="H1408" s="325" t="e">
        <f t="shared" si="71"/>
        <v>#REF!</v>
      </c>
      <c r="I1408" s="265">
        <v>85814.36</v>
      </c>
      <c r="J1408" s="265" t="e">
        <f>I1408*H1408</f>
        <v>#REF!</v>
      </c>
      <c r="K1408" s="307"/>
      <c r="L1408" s="310">
        <v>42318</v>
      </c>
      <c r="M1408" s="309" t="s">
        <v>1663</v>
      </c>
      <c r="N1408" s="265"/>
      <c r="O1408" s="266" t="s">
        <v>1646</v>
      </c>
    </row>
    <row r="1409" spans="1:15" ht="17.25">
      <c r="A1409" s="178" t="s">
        <v>573</v>
      </c>
      <c r="B1409" s="75" t="s">
        <v>1465</v>
      </c>
      <c r="C1409" s="39" t="s">
        <v>17</v>
      </c>
      <c r="D1409" s="255"/>
      <c r="E1409" s="325" t="e">
        <f>#REF!</f>
        <v>#REF!</v>
      </c>
      <c r="F1409" s="325" t="e">
        <f>#REF!</f>
        <v>#REF!</v>
      </c>
      <c r="G1409" s="325" t="e">
        <f>#REF!</f>
        <v>#REF!</v>
      </c>
      <c r="H1409" s="325" t="e">
        <f t="shared" si="71"/>
        <v>#REF!</v>
      </c>
      <c r="I1409" s="266"/>
      <c r="J1409" s="265" t="e">
        <f>I1409*H1409</f>
        <v>#REF!</v>
      </c>
      <c r="K1409" s="306"/>
      <c r="L1409" s="280"/>
      <c r="M1409" s="309"/>
      <c r="N1409" s="266"/>
      <c r="O1409" s="260"/>
    </row>
    <row r="1410" spans="1:15" ht="17.25">
      <c r="A1410" s="178" t="s">
        <v>573</v>
      </c>
      <c r="B1410" s="75" t="s">
        <v>1419</v>
      </c>
      <c r="C1410" s="39" t="s">
        <v>17</v>
      </c>
      <c r="D1410" s="255"/>
      <c r="E1410" s="325" t="e">
        <f>#REF!</f>
        <v>#REF!</v>
      </c>
      <c r="F1410" s="325" t="e">
        <f>#REF!</f>
        <v>#REF!</v>
      </c>
      <c r="G1410" s="325" t="e">
        <f>#REF!</f>
        <v>#REF!</v>
      </c>
      <c r="H1410" s="325" t="e">
        <f t="shared" si="71"/>
        <v>#REF!</v>
      </c>
      <c r="I1410" s="265"/>
      <c r="J1410" s="265" t="e">
        <f>I1410*H1410</f>
        <v>#REF!</v>
      </c>
      <c r="K1410" s="307"/>
      <c r="L1410" s="310"/>
      <c r="M1410" s="309"/>
      <c r="N1410" s="265"/>
      <c r="O1410" s="273"/>
    </row>
    <row r="1411" spans="1:15" ht="17.25">
      <c r="A1411" s="181" t="s">
        <v>573</v>
      </c>
      <c r="B1411" s="76"/>
      <c r="C1411" s="62"/>
      <c r="D1411" s="268"/>
      <c r="E1411" s="268"/>
      <c r="F1411" s="268"/>
      <c r="G1411" s="268"/>
      <c r="H1411" s="268"/>
      <c r="I1411" s="268"/>
      <c r="J1411" s="268"/>
      <c r="K1411" s="292" t="e">
        <f>SUM(J1398:J1410)</f>
        <v>#REF!</v>
      </c>
      <c r="L1411" s="285"/>
      <c r="M1411" s="268"/>
      <c r="N1411" s="268"/>
      <c r="O1411" s="268"/>
    </row>
    <row r="1412" spans="1:15" ht="24" thickBot="1">
      <c r="A1412" s="259"/>
      <c r="B1412" s="259"/>
      <c r="C1412" s="47"/>
      <c r="D1412" s="259"/>
      <c r="E1412" s="259"/>
      <c r="F1412" s="259"/>
      <c r="G1412" s="259"/>
      <c r="H1412" s="259"/>
      <c r="I1412" s="259"/>
      <c r="J1412" s="259"/>
      <c r="K1412" s="326" t="e">
        <f>SUM(K2:K1411)</f>
        <v>#REF!</v>
      </c>
      <c r="L1412" s="259"/>
      <c r="M1412" s="259"/>
      <c r="N1412" s="259"/>
      <c r="O1412" s="259"/>
    </row>
  </sheetData>
  <dataValidations xWindow="639" yWindow="485" count="7">
    <dataValidation type="list" allowBlank="1" showInputMessage="1" showErrorMessage="1" promptTitle="PACC" prompt="Seleccione el Código de Bienes y Servicios._x000a_" sqref="A25:A31">
      <formula1>$X$13:$X$1194</formula1>
    </dataValidation>
    <dataValidation type="list" allowBlank="1" showInputMessage="1" showErrorMessage="1" promptTitle="PACC" prompt="Seleccione el Código de Bienes y Servicios._x000a_" sqref="A570:A571 A594:A796 A574">
      <formula1>$W$15:$W$1162</formula1>
    </dataValidation>
    <dataValidation type="list" allowBlank="1" showInputMessage="1" showErrorMessage="1" promptTitle="PACC" prompt="Seleccione el Código de Bienes y Servicios._x000a_" sqref="A190:A569 A1334:A1396 A33:A184 A2:A24 A1398:A1411 A572:A573 A575:A593 A797:A1326">
      <formula1>$V$15:$V$551</formula1>
    </dataValidation>
    <dataValidation type="list" allowBlank="1" showInputMessage="1" showErrorMessage="1" promptTitle="PACC" prompt="Seleccione el Código de Bienes y Servicios._x000a_" sqref="A32 A1397 A185:A189 A1327:A1333">
      <formula1>$X$60:$X$1551</formula1>
    </dataValidation>
    <dataValidation allowBlank="1" showInputMessage="1" showErrorMessage="1" promptTitle="PACC" prompt="Digite la descripción de la compra o contratación." sqref="B2 B4:B6 B10:B17 B19:B20 B22:B23 O1316:O1322 B67:B77 B1411 B1334:B1371 B1398:B1400 B79:B183 E873:H873 L873:O873 L874:L878 B33:B65 D873:D878 I873:K878 I1251:O1251 D797:O797 D1326:O1326 D593:O593 D1093:N1093 D860:O860 D1010:O1010 D1017:O1017 D1052:O1052 D1067:O1067 D1085:O1085 D1233:O1233 D1239:O1239 D1251:G1251 D1257:O1257 D1285:O1285 D1297:O1297 D1316:N1316 B190:B1326"/>
    <dataValidation allowBlank="1" showInputMessage="1" showErrorMessage="1" promptTitle="PACC" prompt="Digite la unidad de medida._x000a__x000a_" sqref="C575:C593 C2:C550 C617:C1412"/>
    <dataValidation allowBlank="1" showInputMessage="1" showErrorMessage="1" promptTitle="PACC" prompt="Digite las observaciones que considere." sqref="N36:N41 B32 N5 N25:N26 N1392:N1393 N19:N20 D32:O32 L1411:O1411 D1412:O1412 A1412:B1412 B184 B78 N33 N1101 N11 N13 N90 N96 N108 N110:N111 N114 N135 N143:N147 N197 N208 N210 N246 N278:N279 N282 N303:N304 N311 N313 N323:N324 N328 N332 N336:N345 N351 N357 N360:N361 N376 N378:N379 N468 N474 N501 N516 N567:N568 N570:N573 N600 N611 N615 N624 N629:N632 N635:N636 N642 N644 N648 N687 N740:N741 N748 N762 N768:N770 N798:N799 N812:N814 N825 N874:N878 N880:N881 N886 N889:N890 N894:N904 N908 N918 N920:N921 N923:N930 N932:N939 N943 N958:N966 N969:N975 N978:N982 N855:N856 N990 N992:N994 N996:N997 N1012:N1013 N1028 N1298 N1108 N1112 N1115 N1119 N1121 N1124 N820:N822 N1182 N1188 N1226 N1230 N1252:N1254 N1259:N1261 N1263 N1234:N1235 N1271 N1273:N1274 N1276 N1280 N1283 N1293 N1296 N1317:N1322 D1411:J1411 D78:O78 D184:O184 O48:O49 O56 N46:N65 O60 N394:N398 N68:N71 N1043:N1045 N1058:N1059 N1266:N1269 N73:N76 N28:N31 N984:N987 N1094 N1099 N1154:N1156"/>
  </dataValidations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BreakPreview" zoomScale="90" zoomScaleNormal="100" zoomScaleSheetLayoutView="90" workbookViewId="0">
      <selection activeCell="C14" sqref="C14"/>
    </sheetView>
  </sheetViews>
  <sheetFormatPr baseColWidth="10" defaultColWidth="11.42578125" defaultRowHeight="15"/>
  <cols>
    <col min="1" max="1" width="6.140625" customWidth="1"/>
    <col min="2" max="2" width="34" style="186" bestFit="1" customWidth="1"/>
    <col min="3" max="3" width="18.5703125" style="189" bestFit="1" customWidth="1"/>
    <col min="4" max="4" width="18.85546875" style="216" customWidth="1"/>
    <col min="5" max="5" width="16.140625" style="212" customWidth="1"/>
    <col min="6" max="6" width="14.85546875" customWidth="1"/>
    <col min="7" max="7" width="11.140625" customWidth="1"/>
    <col min="8" max="8" width="30.85546875" style="186" customWidth="1"/>
    <col min="9" max="9" width="16" style="186" customWidth="1"/>
    <col min="10" max="10" width="15.42578125" customWidth="1"/>
    <col min="11" max="11" width="16.5703125" hidden="1" customWidth="1"/>
    <col min="12" max="12" width="16.140625" hidden="1" customWidth="1"/>
    <col min="13" max="13" width="31.5703125" customWidth="1"/>
    <col min="14" max="14" width="17.5703125" style="186" bestFit="1" customWidth="1"/>
    <col min="15" max="15" width="15.5703125" style="186" customWidth="1"/>
    <col min="16" max="16" width="15.5703125" hidden="1" customWidth="1"/>
    <col min="17" max="17" width="16.5703125" hidden="1" customWidth="1"/>
    <col min="18" max="18" width="11.42578125" customWidth="1"/>
  </cols>
  <sheetData>
    <row r="1" spans="1:17" ht="20.25" customHeight="1">
      <c r="A1" s="564" t="s">
        <v>1351</v>
      </c>
      <c r="B1" s="564"/>
      <c r="C1" s="564"/>
      <c r="D1" s="564"/>
      <c r="E1" s="564"/>
      <c r="F1" s="198"/>
      <c r="G1" s="198"/>
      <c r="H1" s="186" t="s">
        <v>1351</v>
      </c>
      <c r="M1" t="s">
        <v>1351</v>
      </c>
    </row>
    <row r="2" spans="1:17" ht="20.25" customHeight="1">
      <c r="A2" s="568" t="s">
        <v>1352</v>
      </c>
      <c r="B2" s="568"/>
      <c r="C2" s="568"/>
      <c r="D2" s="568"/>
      <c r="E2" s="568"/>
      <c r="F2" s="198"/>
      <c r="G2" s="198"/>
      <c r="H2" s="186" t="s">
        <v>1352</v>
      </c>
      <c r="M2" t="s">
        <v>1352</v>
      </c>
    </row>
    <row r="3" spans="1:17" ht="20.25" customHeight="1">
      <c r="A3" s="569" t="s">
        <v>1357</v>
      </c>
      <c r="B3" s="569"/>
      <c r="C3" s="569"/>
      <c r="D3" s="569"/>
      <c r="E3" s="569"/>
      <c r="F3" s="198"/>
      <c r="G3" s="198"/>
      <c r="H3" s="186" t="s">
        <v>1357</v>
      </c>
      <c r="M3" t="s">
        <v>1357</v>
      </c>
    </row>
    <row r="4" spans="1:17" ht="20.25" customHeight="1">
      <c r="F4" s="198"/>
      <c r="G4" s="198"/>
    </row>
    <row r="5" spans="1:17" ht="20.25" customHeight="1">
      <c r="A5" s="198"/>
      <c r="B5" s="228"/>
      <c r="C5" s="199"/>
      <c r="D5" s="215"/>
      <c r="E5" s="211"/>
      <c r="F5" s="198"/>
      <c r="G5" s="198"/>
      <c r="H5" s="564" t="s">
        <v>1360</v>
      </c>
      <c r="I5" s="564"/>
      <c r="J5" s="564"/>
      <c r="M5" s="564" t="s">
        <v>1330</v>
      </c>
      <c r="N5" s="564"/>
      <c r="O5" s="564"/>
    </row>
    <row r="6" spans="1:17" ht="20.25" customHeight="1">
      <c r="A6" s="564" t="s">
        <v>1355</v>
      </c>
      <c r="B6" s="564"/>
      <c r="C6" s="564"/>
      <c r="D6" s="564"/>
      <c r="E6" s="564"/>
      <c r="F6" s="198"/>
      <c r="G6" s="198"/>
      <c r="H6" s="209"/>
      <c r="I6" s="209"/>
      <c r="J6" s="209"/>
      <c r="M6" s="209"/>
      <c r="N6" s="209"/>
      <c r="O6" s="209"/>
    </row>
    <row r="7" spans="1:17" ht="33.75" customHeight="1">
      <c r="A7" s="564" t="s">
        <v>1356</v>
      </c>
      <c r="B7" s="564"/>
      <c r="C7" s="564"/>
      <c r="D7" s="564"/>
      <c r="E7" s="564"/>
      <c r="F7" s="198"/>
      <c r="G7" s="198"/>
      <c r="H7" s="209"/>
      <c r="I7" s="209"/>
      <c r="J7" s="209"/>
      <c r="M7" s="209"/>
      <c r="N7" s="209"/>
      <c r="O7" s="209"/>
    </row>
    <row r="8" spans="1:17" ht="18.75">
      <c r="A8" s="198"/>
      <c r="B8" s="229"/>
      <c r="C8" s="229"/>
      <c r="D8" s="229"/>
      <c r="E8" s="209"/>
      <c r="F8" s="198"/>
      <c r="G8" s="198"/>
      <c r="H8" s="209"/>
      <c r="I8" s="209"/>
      <c r="J8" s="209"/>
      <c r="M8" s="209"/>
      <c r="N8" s="209"/>
      <c r="O8" s="209"/>
    </row>
    <row r="9" spans="1:17" ht="22.5" customHeight="1">
      <c r="A9" s="198"/>
      <c r="B9" s="228"/>
      <c r="C9" s="199"/>
      <c r="D9" s="215"/>
      <c r="E9" s="565" t="s">
        <v>1359</v>
      </c>
      <c r="F9" s="565"/>
      <c r="G9" s="198"/>
      <c r="I9" s="562" t="s">
        <v>1361</v>
      </c>
      <c r="J9" s="562"/>
      <c r="K9" s="562" t="s">
        <v>1362</v>
      </c>
      <c r="L9" s="562"/>
      <c r="N9" s="562" t="s">
        <v>1361</v>
      </c>
      <c r="O9" s="562"/>
      <c r="P9" s="562" t="s">
        <v>1362</v>
      </c>
      <c r="Q9" s="562"/>
    </row>
    <row r="10" spans="1:17" ht="21" customHeight="1">
      <c r="A10" s="198"/>
      <c r="C10" s="218" t="s">
        <v>1353</v>
      </c>
      <c r="D10" s="219" t="s">
        <v>1354</v>
      </c>
      <c r="E10" s="218" t="s">
        <v>1353</v>
      </c>
      <c r="F10" s="219" t="s">
        <v>1354</v>
      </c>
      <c r="G10" s="198"/>
      <c r="I10" s="218" t="s">
        <v>1326</v>
      </c>
      <c r="J10" s="223" t="s">
        <v>1327</v>
      </c>
      <c r="K10" s="190" t="s">
        <v>1326</v>
      </c>
      <c r="L10" s="190" t="s">
        <v>1327</v>
      </c>
      <c r="N10" s="218" t="s">
        <v>1326</v>
      </c>
      <c r="O10" s="218" t="s">
        <v>1327</v>
      </c>
      <c r="P10" s="224" t="s">
        <v>1326</v>
      </c>
      <c r="Q10" s="224" t="s">
        <v>1327</v>
      </c>
    </row>
    <row r="11" spans="1:17" ht="33" customHeight="1">
      <c r="A11" s="198"/>
      <c r="B11" s="230" t="s">
        <v>1323</v>
      </c>
      <c r="C11" s="217" t="e">
        <f>+#REF!</f>
        <v>#REF!</v>
      </c>
      <c r="D11" s="217" t="e">
        <f>+C11/12</f>
        <v>#REF!</v>
      </c>
      <c r="E11" s="213"/>
      <c r="F11" s="198"/>
      <c r="G11" s="198"/>
      <c r="H11" s="205" t="s">
        <v>1318</v>
      </c>
      <c r="I11" s="201">
        <v>3230000</v>
      </c>
      <c r="J11" s="191">
        <f>+I11/12</f>
        <v>269166.66666666669</v>
      </c>
      <c r="M11" s="190" t="s">
        <v>1319</v>
      </c>
      <c r="N11" s="201" t="e">
        <f>+#REF!</f>
        <v>#REF!</v>
      </c>
      <c r="O11" s="189" t="e">
        <f>+N11/12</f>
        <v>#REF!</v>
      </c>
    </row>
    <row r="12" spans="1:17" ht="21" customHeight="1">
      <c r="A12" s="198"/>
      <c r="F12" s="198"/>
      <c r="G12" s="198"/>
      <c r="H12" s="200" t="s">
        <v>1292</v>
      </c>
      <c r="I12" s="201">
        <f>7197600+672308</f>
        <v>7869908</v>
      </c>
      <c r="J12" s="191">
        <f t="shared" ref="J12:J44" si="0">+I12/12</f>
        <v>655825.66666666663</v>
      </c>
      <c r="M12" s="193" t="s">
        <v>1292</v>
      </c>
      <c r="N12" s="201" t="e">
        <f>+#REF!+#REF!+#REF!+#REF!+#REF!+#REF!+#REF!</f>
        <v>#REF!</v>
      </c>
      <c r="O12" s="189" t="e">
        <f t="shared" ref="O12:O44" si="1">+N12/12</f>
        <v>#REF!</v>
      </c>
    </row>
    <row r="13" spans="1:17" ht="30">
      <c r="A13" s="198"/>
      <c r="B13" s="566" t="s">
        <v>1324</v>
      </c>
      <c r="C13" s="566"/>
      <c r="D13" s="231"/>
      <c r="E13" s="214"/>
      <c r="F13" s="198"/>
      <c r="G13" s="198"/>
      <c r="H13" s="200" t="s">
        <v>1293</v>
      </c>
      <c r="I13" s="201">
        <f>1037900+1203800+1172450</f>
        <v>3414150</v>
      </c>
      <c r="J13" s="191">
        <f t="shared" si="0"/>
        <v>284512.5</v>
      </c>
      <c r="M13" s="193" t="s">
        <v>1293</v>
      </c>
      <c r="N13" s="201" t="e">
        <f>SUM(#REF!)</f>
        <v>#REF!</v>
      </c>
      <c r="O13" s="189" t="e">
        <f t="shared" si="1"/>
        <v>#REF!</v>
      </c>
    </row>
    <row r="14" spans="1:17" ht="15.75">
      <c r="A14" s="198"/>
      <c r="B14" s="228" t="s">
        <v>1321</v>
      </c>
      <c r="C14" s="199" t="e">
        <f>+#REF!</f>
        <v>#REF!</v>
      </c>
      <c r="D14" s="215" t="e">
        <f>+C14/12</f>
        <v>#REF!</v>
      </c>
      <c r="F14" s="198"/>
      <c r="G14" s="198"/>
      <c r="I14" s="189"/>
      <c r="J14" s="188"/>
      <c r="N14" s="189"/>
      <c r="O14" s="189"/>
    </row>
    <row r="15" spans="1:17" ht="15.75">
      <c r="A15" s="198"/>
      <c r="B15" s="228" t="s">
        <v>1358</v>
      </c>
      <c r="C15" s="199" t="e">
        <f>+#REF!+#REF!</f>
        <v>#REF!</v>
      </c>
      <c r="D15" s="215" t="e">
        <f>+C15/12</f>
        <v>#REF!</v>
      </c>
      <c r="E15" s="222"/>
      <c r="F15" s="198"/>
      <c r="G15" s="198"/>
      <c r="H15" s="206" t="s">
        <v>1298</v>
      </c>
      <c r="I15" s="203">
        <f>SUM(I16:I19)</f>
        <v>72053680</v>
      </c>
      <c r="J15" s="197">
        <f t="shared" si="0"/>
        <v>6004473.333333333</v>
      </c>
      <c r="K15" s="220"/>
      <c r="L15" s="220"/>
      <c r="M15" s="195" t="s">
        <v>1298</v>
      </c>
      <c r="N15" s="203" t="e">
        <f>SUM(N16:N19)</f>
        <v>#REF!</v>
      </c>
      <c r="O15" s="203" t="e">
        <f>SUM(O16:O19)</f>
        <v>#REF!</v>
      </c>
      <c r="P15" s="220"/>
      <c r="Q15" s="220"/>
    </row>
    <row r="16" spans="1:17" ht="15.75">
      <c r="A16" s="198"/>
      <c r="B16" s="232" t="s">
        <v>1285</v>
      </c>
      <c r="C16" s="199" t="e">
        <f>SUM(#REF!)+#REF!+#REF!</f>
        <v>#REF!</v>
      </c>
      <c r="D16" s="215" t="e">
        <f>+C16/12</f>
        <v>#REF!</v>
      </c>
      <c r="E16" s="222"/>
      <c r="F16" s="198"/>
      <c r="G16" s="198"/>
      <c r="H16" s="186" t="s">
        <v>1294</v>
      </c>
      <c r="I16" s="189">
        <v>6339950</v>
      </c>
      <c r="J16" s="188">
        <f t="shared" si="0"/>
        <v>528329.16666666663</v>
      </c>
      <c r="M16" t="s">
        <v>1294</v>
      </c>
      <c r="N16" s="189" t="e">
        <f>+#REF!</f>
        <v>#REF!</v>
      </c>
      <c r="O16" s="189" t="e">
        <f t="shared" si="1"/>
        <v>#REF!</v>
      </c>
    </row>
    <row r="17" spans="1:17" ht="15.75">
      <c r="A17" s="198"/>
      <c r="B17" s="233" t="s">
        <v>1286</v>
      </c>
      <c r="C17" s="234" t="e">
        <f>+#REF!</f>
        <v>#REF!</v>
      </c>
      <c r="D17" s="235" t="e">
        <f>+C17/12</f>
        <v>#REF!</v>
      </c>
      <c r="E17" s="222"/>
      <c r="F17" s="198"/>
      <c r="G17" s="198"/>
      <c r="H17" s="186" t="s">
        <v>1295</v>
      </c>
      <c r="I17" s="189">
        <v>61060050</v>
      </c>
      <c r="J17" s="188">
        <f t="shared" si="0"/>
        <v>5088337.5</v>
      </c>
      <c r="M17" s="186" t="s">
        <v>1295</v>
      </c>
      <c r="N17" s="189" t="e">
        <f>+#REF!</f>
        <v>#REF!</v>
      </c>
      <c r="O17" s="189" t="e">
        <f t="shared" si="1"/>
        <v>#REF!</v>
      </c>
    </row>
    <row r="18" spans="1:17" ht="30">
      <c r="A18" s="198"/>
      <c r="B18" s="208" t="s">
        <v>1325</v>
      </c>
      <c r="C18" s="217" t="e">
        <f>SUM(C14:C17)</f>
        <v>#REF!</v>
      </c>
      <c r="D18" s="217" t="e">
        <f>+C18/12</f>
        <v>#REF!</v>
      </c>
      <c r="E18" s="226">
        <v>2200000000</v>
      </c>
      <c r="F18" s="226">
        <f>+E18/12</f>
        <v>183333333.33333334</v>
      </c>
      <c r="G18" s="198"/>
      <c r="H18" s="186" t="s">
        <v>1296</v>
      </c>
      <c r="I18" s="189">
        <v>53680</v>
      </c>
      <c r="J18" s="188">
        <f t="shared" si="0"/>
        <v>4473.333333333333</v>
      </c>
      <c r="M18" s="186" t="s">
        <v>1296</v>
      </c>
      <c r="N18" s="189">
        <v>0</v>
      </c>
      <c r="O18" s="189">
        <f t="shared" si="1"/>
        <v>0</v>
      </c>
    </row>
    <row r="19" spans="1:17" ht="15.75">
      <c r="A19" s="198"/>
      <c r="F19" s="198"/>
      <c r="G19" s="198"/>
      <c r="H19" s="186" t="s">
        <v>1297</v>
      </c>
      <c r="I19" s="189">
        <v>4600000</v>
      </c>
      <c r="J19" s="188">
        <f t="shared" si="0"/>
        <v>383333.33333333331</v>
      </c>
      <c r="M19" s="186" t="s">
        <v>1297</v>
      </c>
      <c r="N19" s="189" t="e">
        <f>+#REF!</f>
        <v>#REF!</v>
      </c>
      <c r="O19" s="189" t="e">
        <f t="shared" si="1"/>
        <v>#REF!</v>
      </c>
    </row>
    <row r="20" spans="1:17" ht="15.75">
      <c r="A20" s="198"/>
      <c r="B20" s="228"/>
      <c r="C20" s="199"/>
      <c r="D20" s="215"/>
      <c r="E20" s="563" t="s">
        <v>1363</v>
      </c>
      <c r="F20" s="563"/>
      <c r="G20" s="198"/>
      <c r="I20" s="189"/>
      <c r="J20" s="188"/>
      <c r="N20" s="189"/>
      <c r="O20" s="189"/>
    </row>
    <row r="21" spans="1:17" ht="30">
      <c r="B21" s="208" t="s">
        <v>1329</v>
      </c>
      <c r="C21" s="217" t="e">
        <f>+C11-C18</f>
        <v>#REF!</v>
      </c>
      <c r="D21" s="217" t="e">
        <f>+C21/12</f>
        <v>#REF!</v>
      </c>
      <c r="E21" s="226">
        <v>420000000</v>
      </c>
      <c r="F21" s="226">
        <f>+E21/12</f>
        <v>35000000</v>
      </c>
      <c r="H21" s="206" t="s">
        <v>1304</v>
      </c>
      <c r="I21" s="203">
        <f>SUM(I22:I27)</f>
        <v>2343503</v>
      </c>
      <c r="J21" s="197">
        <f t="shared" si="0"/>
        <v>195291.91666666666</v>
      </c>
      <c r="K21" s="220"/>
      <c r="L21" s="220"/>
      <c r="M21" s="195" t="s">
        <v>1304</v>
      </c>
      <c r="N21" s="203" t="e">
        <f>SUM(N22:N27)</f>
        <v>#REF!</v>
      </c>
      <c r="O21" s="203" t="e">
        <f>SUM(O22:O27)</f>
        <v>#REF!</v>
      </c>
      <c r="P21" s="220"/>
      <c r="Q21" s="220"/>
    </row>
    <row r="22" spans="1:17" ht="15.75">
      <c r="B22" s="228"/>
      <c r="C22" s="199"/>
      <c r="D22" s="215"/>
      <c r="E22" s="211"/>
      <c r="H22" s="186" t="s">
        <v>1299</v>
      </c>
      <c r="I22" s="189">
        <v>730000</v>
      </c>
      <c r="J22" s="188">
        <f t="shared" si="0"/>
        <v>60833.333333333336</v>
      </c>
      <c r="M22" s="186" t="s">
        <v>1299</v>
      </c>
      <c r="N22" s="189" t="e">
        <f>+#REF!+#REF!</f>
        <v>#REF!</v>
      </c>
      <c r="O22" s="189" t="e">
        <f t="shared" si="1"/>
        <v>#REF!</v>
      </c>
    </row>
    <row r="23" spans="1:17">
      <c r="B23" s="567" t="s">
        <v>1368</v>
      </c>
      <c r="C23" s="567"/>
      <c r="D23" s="567"/>
      <c r="H23" s="186" t="s">
        <v>1320</v>
      </c>
      <c r="I23" s="189">
        <v>990150</v>
      </c>
      <c r="J23" s="188">
        <f t="shared" si="0"/>
        <v>82512.5</v>
      </c>
      <c r="M23" s="186" t="s">
        <v>1320</v>
      </c>
      <c r="N23" s="189" t="e">
        <f>+#REF!+#REF!+#REF!+#REF!+#REF!</f>
        <v>#REF!</v>
      </c>
      <c r="O23" s="189" t="e">
        <f t="shared" si="1"/>
        <v>#REF!</v>
      </c>
    </row>
    <row r="24" spans="1:17">
      <c r="H24" s="186" t="s">
        <v>1300</v>
      </c>
      <c r="I24" s="189">
        <v>25353</v>
      </c>
      <c r="J24" s="188">
        <f t="shared" si="0"/>
        <v>2112.75</v>
      </c>
      <c r="M24" t="s">
        <v>1300</v>
      </c>
      <c r="N24" s="189"/>
      <c r="O24" s="189"/>
    </row>
    <row r="25" spans="1:17">
      <c r="B25" s="205" t="s">
        <v>1381</v>
      </c>
      <c r="C25" s="201">
        <f>SUM(C26:C27)</f>
        <v>1107600000</v>
      </c>
      <c r="D25" s="201">
        <f>SUM(D26:D27)</f>
        <v>92300000</v>
      </c>
      <c r="H25" s="186" t="s">
        <v>1301</v>
      </c>
      <c r="I25" s="189">
        <v>287500</v>
      </c>
      <c r="J25" s="188">
        <f t="shared" si="0"/>
        <v>23958.333333333332</v>
      </c>
      <c r="M25" t="s">
        <v>1301</v>
      </c>
      <c r="N25" s="189"/>
      <c r="O25" s="189"/>
    </row>
    <row r="26" spans="1:17" ht="30">
      <c r="B26" s="186" t="s">
        <v>1369</v>
      </c>
      <c r="C26" s="189">
        <f>+D26*12</f>
        <v>510360000</v>
      </c>
      <c r="D26" s="189">
        <v>42530000</v>
      </c>
      <c r="H26" s="207" t="s">
        <v>1302</v>
      </c>
      <c r="I26" s="189">
        <v>138000</v>
      </c>
      <c r="J26" s="188">
        <f t="shared" si="0"/>
        <v>11500</v>
      </c>
      <c r="M26" s="187" t="s">
        <v>1302</v>
      </c>
      <c r="N26" s="189"/>
      <c r="O26" s="189"/>
    </row>
    <row r="27" spans="1:17" ht="30">
      <c r="B27" s="207" t="s">
        <v>1370</v>
      </c>
      <c r="C27" s="189">
        <f>+D27*12</f>
        <v>597240000</v>
      </c>
      <c r="D27" s="189">
        <v>49770000</v>
      </c>
      <c r="H27" s="186" t="s">
        <v>1303</v>
      </c>
      <c r="I27" s="189">
        <v>172500</v>
      </c>
      <c r="J27" s="188">
        <f t="shared" si="0"/>
        <v>14375</v>
      </c>
      <c r="M27" t="s">
        <v>1303</v>
      </c>
      <c r="N27" s="189"/>
      <c r="O27" s="189"/>
    </row>
    <row r="28" spans="1:17">
      <c r="I28" s="189"/>
      <c r="J28" s="188"/>
      <c r="N28" s="189"/>
      <c r="O28" s="189"/>
    </row>
    <row r="29" spans="1:17">
      <c r="B29" s="205" t="s">
        <v>1371</v>
      </c>
      <c r="C29" s="201">
        <f>SUM(C30:C31)</f>
        <v>1135440000</v>
      </c>
      <c r="D29" s="201">
        <f>SUM(D30:D31)</f>
        <v>94620000</v>
      </c>
      <c r="H29" s="206" t="s">
        <v>1305</v>
      </c>
      <c r="I29" s="203">
        <f>SUM(I30:I32)</f>
        <v>24270000</v>
      </c>
      <c r="J29" s="197">
        <f>SUM(J30:J32)</f>
        <v>2022500.0000000002</v>
      </c>
      <c r="K29" s="220"/>
      <c r="L29" s="220"/>
      <c r="M29" s="195" t="s">
        <v>1305</v>
      </c>
      <c r="N29" s="203" t="e">
        <f>SUM(N30:N32)</f>
        <v>#REF!</v>
      </c>
      <c r="O29" s="203" t="e">
        <f>SUM(O30:O32)</f>
        <v>#REF!</v>
      </c>
      <c r="P29" s="220"/>
      <c r="Q29" s="220"/>
    </row>
    <row r="30" spans="1:17">
      <c r="B30" s="186" t="s">
        <v>1366</v>
      </c>
      <c r="C30" s="189">
        <f>+D30*12</f>
        <v>999600000</v>
      </c>
      <c r="D30" s="189">
        <v>83300000</v>
      </c>
      <c r="H30" s="186" t="s">
        <v>1306</v>
      </c>
      <c r="I30" s="189">
        <v>402500</v>
      </c>
      <c r="J30" s="188">
        <f t="shared" si="0"/>
        <v>33541.666666666664</v>
      </c>
      <c r="M30" t="s">
        <v>1306</v>
      </c>
      <c r="N30" s="189" t="e">
        <f>+#REF!</f>
        <v>#REF!</v>
      </c>
      <c r="O30" s="189" t="e">
        <f t="shared" si="1"/>
        <v>#REF!</v>
      </c>
    </row>
    <row r="31" spans="1:17">
      <c r="B31" s="186" t="s">
        <v>1367</v>
      </c>
      <c r="C31" s="189">
        <f>+D31*12</f>
        <v>135840000</v>
      </c>
      <c r="D31" s="189">
        <v>11320000</v>
      </c>
      <c r="H31" s="186" t="s">
        <v>1307</v>
      </c>
      <c r="I31" s="189">
        <v>23517500</v>
      </c>
      <c r="J31" s="188">
        <f t="shared" si="0"/>
        <v>1959791.6666666667</v>
      </c>
      <c r="M31" t="s">
        <v>1307</v>
      </c>
      <c r="N31" s="189" t="e">
        <f>+#REF!</f>
        <v>#REF!</v>
      </c>
      <c r="O31" s="189" t="e">
        <f t="shared" si="1"/>
        <v>#REF!</v>
      </c>
    </row>
    <row r="32" spans="1:17" s="186" customFormat="1">
      <c r="D32" s="189"/>
      <c r="E32" s="216"/>
      <c r="F32"/>
      <c r="H32" s="186" t="s">
        <v>1308</v>
      </c>
      <c r="I32" s="189">
        <v>350000</v>
      </c>
      <c r="J32" s="188">
        <f t="shared" si="0"/>
        <v>29166.666666666668</v>
      </c>
      <c r="K32"/>
      <c r="L32"/>
      <c r="M32" t="s">
        <v>1308</v>
      </c>
      <c r="N32" s="189" t="e">
        <f>SUM(#REF!)</f>
        <v>#REF!</v>
      </c>
      <c r="O32" s="189" t="e">
        <f t="shared" si="1"/>
        <v>#REF!</v>
      </c>
      <c r="P32"/>
      <c r="Q32"/>
    </row>
    <row r="33" spans="2:17">
      <c r="B33" s="205" t="s">
        <v>1380</v>
      </c>
      <c r="C33" s="201">
        <f>SUM(C34:C41)</f>
        <v>401760000</v>
      </c>
      <c r="D33" s="201">
        <f>SUM(D34:D41)</f>
        <v>33480000</v>
      </c>
      <c r="F33" s="186"/>
      <c r="I33" s="189"/>
      <c r="J33" s="188"/>
      <c r="N33" s="189"/>
      <c r="O33" s="189"/>
    </row>
    <row r="34" spans="2:17" s="186" customFormat="1" ht="18" customHeight="1">
      <c r="B34" s="186" t="s">
        <v>1365</v>
      </c>
      <c r="C34" s="186">
        <f t="shared" ref="C34:C41" si="2">+D34*12</f>
        <v>42120000</v>
      </c>
      <c r="D34" s="189">
        <v>3510000</v>
      </c>
      <c r="E34" s="216"/>
      <c r="F34"/>
      <c r="H34" s="200" t="s">
        <v>1309</v>
      </c>
      <c r="I34" s="201">
        <v>7853000</v>
      </c>
      <c r="J34" s="201">
        <f t="shared" si="0"/>
        <v>654416.66666666663</v>
      </c>
      <c r="M34" s="200" t="s">
        <v>1309</v>
      </c>
      <c r="N34" s="201" t="e">
        <f>+#REF!+#REF!</f>
        <v>#REF!</v>
      </c>
      <c r="O34" s="201" t="e">
        <f t="shared" si="1"/>
        <v>#REF!</v>
      </c>
    </row>
    <row r="35" spans="2:17" ht="28.5" customHeight="1">
      <c r="B35" s="186" t="s">
        <v>1372</v>
      </c>
      <c r="C35" s="189">
        <f t="shared" si="2"/>
        <v>11160000</v>
      </c>
      <c r="D35" s="189">
        <v>930000</v>
      </c>
      <c r="F35" s="186"/>
      <c r="H35" s="205"/>
      <c r="I35" s="189"/>
      <c r="J35" s="188"/>
      <c r="M35" s="190"/>
      <c r="N35" s="189"/>
      <c r="O35" s="201"/>
    </row>
    <row r="36" spans="2:17" ht="43.5" customHeight="1">
      <c r="B36" s="207" t="s">
        <v>1373</v>
      </c>
      <c r="C36" s="189">
        <f t="shared" si="2"/>
        <v>68520000</v>
      </c>
      <c r="D36" s="189">
        <v>5710000</v>
      </c>
      <c r="H36" s="202" t="s">
        <v>1313</v>
      </c>
      <c r="I36" s="203">
        <f>SUM(I37:I40)</f>
        <v>5161928</v>
      </c>
      <c r="J36" s="203">
        <f t="shared" si="0"/>
        <v>430160.66666666669</v>
      </c>
      <c r="K36" s="221"/>
      <c r="L36" s="221"/>
      <c r="M36" s="202" t="s">
        <v>1313</v>
      </c>
      <c r="N36" s="203" t="e">
        <f>SUM(N37:N40)</f>
        <v>#REF!</v>
      </c>
      <c r="O36" s="203" t="e">
        <f t="shared" si="1"/>
        <v>#REF!</v>
      </c>
      <c r="P36" s="221"/>
      <c r="Q36" s="221"/>
    </row>
    <row r="37" spans="2:17" ht="45">
      <c r="B37" s="207" t="s">
        <v>1374</v>
      </c>
      <c r="C37" s="189">
        <f t="shared" si="2"/>
        <v>24000000</v>
      </c>
      <c r="D37" s="189">
        <v>2000000</v>
      </c>
      <c r="H37" s="207" t="s">
        <v>1310</v>
      </c>
      <c r="I37" s="189">
        <v>115000</v>
      </c>
      <c r="J37" s="188">
        <f t="shared" si="0"/>
        <v>9583.3333333333339</v>
      </c>
      <c r="M37" s="187" t="s">
        <v>1310</v>
      </c>
      <c r="N37" s="189" t="e">
        <f>SUM(#REF!)</f>
        <v>#REF!</v>
      </c>
      <c r="O37" s="189" t="e">
        <f t="shared" si="1"/>
        <v>#REF!</v>
      </c>
    </row>
    <row r="38" spans="2:17" ht="30">
      <c r="B38" s="186" t="s">
        <v>1375</v>
      </c>
      <c r="C38" s="189">
        <f t="shared" si="2"/>
        <v>116400000</v>
      </c>
      <c r="D38" s="189">
        <v>9700000</v>
      </c>
      <c r="H38" s="207" t="s">
        <v>1311</v>
      </c>
      <c r="I38" s="189">
        <v>2370227</v>
      </c>
      <c r="J38" s="188">
        <f t="shared" si="0"/>
        <v>197518.91666666666</v>
      </c>
      <c r="M38" s="187" t="s">
        <v>1328</v>
      </c>
      <c r="N38" s="189" t="e">
        <f>+#REF!+#REF!</f>
        <v>#REF!</v>
      </c>
      <c r="O38" s="189" t="e">
        <f t="shared" si="1"/>
        <v>#REF!</v>
      </c>
    </row>
    <row r="39" spans="2:17">
      <c r="B39" s="186" t="s">
        <v>1376</v>
      </c>
      <c r="C39" s="189">
        <f t="shared" si="2"/>
        <v>72000000</v>
      </c>
      <c r="D39" s="189">
        <v>6000000</v>
      </c>
      <c r="H39" s="207" t="s">
        <v>1312</v>
      </c>
      <c r="I39" s="189">
        <v>2561701</v>
      </c>
      <c r="J39" s="188">
        <f t="shared" si="0"/>
        <v>213475.08333333334</v>
      </c>
      <c r="M39" s="187" t="s">
        <v>1312</v>
      </c>
      <c r="N39" s="189" t="e">
        <f>SUM(#REF!)</f>
        <v>#REF!</v>
      </c>
      <c r="O39" s="189" t="e">
        <f t="shared" si="1"/>
        <v>#REF!</v>
      </c>
    </row>
    <row r="40" spans="2:17" ht="30">
      <c r="B40" s="207" t="s">
        <v>1377</v>
      </c>
      <c r="C40" s="189">
        <f t="shared" si="2"/>
        <v>46080000</v>
      </c>
      <c r="D40" s="189">
        <v>3840000</v>
      </c>
      <c r="H40" s="207" t="s">
        <v>1314</v>
      </c>
      <c r="I40" s="189">
        <v>115000</v>
      </c>
      <c r="J40" s="188">
        <f t="shared" si="0"/>
        <v>9583.3333333333339</v>
      </c>
      <c r="M40" s="187" t="s">
        <v>1314</v>
      </c>
      <c r="N40" s="189" t="e">
        <f>+#REF!</f>
        <v>#REF!</v>
      </c>
      <c r="O40" s="189" t="e">
        <f t="shared" si="1"/>
        <v>#REF!</v>
      </c>
    </row>
    <row r="41" spans="2:17" ht="30">
      <c r="B41" s="207" t="s">
        <v>1378</v>
      </c>
      <c r="C41" s="189">
        <f t="shared" si="2"/>
        <v>21480000</v>
      </c>
      <c r="D41" s="189">
        <v>1790000</v>
      </c>
      <c r="I41" s="189"/>
      <c r="J41" s="188"/>
      <c r="N41" s="189"/>
      <c r="O41" s="189"/>
    </row>
    <row r="42" spans="2:17">
      <c r="D42" s="189"/>
      <c r="H42" s="202" t="s">
        <v>1315</v>
      </c>
      <c r="I42" s="203">
        <f>SUM(I43:I44)</f>
        <v>46000000</v>
      </c>
      <c r="J42" s="197">
        <f t="shared" si="0"/>
        <v>3833333.3333333335</v>
      </c>
      <c r="K42" s="220"/>
      <c r="L42" s="220"/>
      <c r="M42" s="196" t="s">
        <v>1315</v>
      </c>
      <c r="N42" s="203" t="e">
        <f>SUM(N43:N44)</f>
        <v>#REF!</v>
      </c>
      <c r="O42" s="203" t="e">
        <f>SUM(O43:O44)</f>
        <v>#REF!</v>
      </c>
      <c r="P42" s="220"/>
      <c r="Q42" s="220"/>
    </row>
    <row r="43" spans="2:17" ht="32.25" customHeight="1">
      <c r="B43" s="200" t="s">
        <v>1379</v>
      </c>
      <c r="C43" s="201">
        <f>+D43*12</f>
        <v>277200000</v>
      </c>
      <c r="D43" s="201">
        <v>23100000</v>
      </c>
      <c r="H43" s="207" t="s">
        <v>1316</v>
      </c>
      <c r="I43" s="189">
        <v>4000000</v>
      </c>
      <c r="J43" s="188">
        <f t="shared" si="0"/>
        <v>333333.33333333331</v>
      </c>
      <c r="M43" s="187" t="s">
        <v>1316</v>
      </c>
      <c r="N43" s="189" t="e">
        <f>+#REF!+#REF!+#REF!+#REF!</f>
        <v>#REF!</v>
      </c>
      <c r="O43" s="189" t="e">
        <f t="shared" si="1"/>
        <v>#REF!</v>
      </c>
    </row>
    <row r="44" spans="2:17">
      <c r="H44" s="207" t="s">
        <v>1317</v>
      </c>
      <c r="I44" s="189">
        <v>42000000</v>
      </c>
      <c r="J44" s="188">
        <f t="shared" si="0"/>
        <v>3500000</v>
      </c>
      <c r="M44" s="187" t="s">
        <v>1317</v>
      </c>
      <c r="N44" s="189" t="e">
        <f>+#REF!+#REF!</f>
        <v>#REF!</v>
      </c>
      <c r="O44" s="189" t="e">
        <f t="shared" si="1"/>
        <v>#REF!</v>
      </c>
    </row>
    <row r="45" spans="2:17">
      <c r="B45" s="205" t="s">
        <v>1382</v>
      </c>
      <c r="C45" s="201">
        <f>+C25</f>
        <v>1107600000</v>
      </c>
      <c r="D45" s="201">
        <f>+D25</f>
        <v>92300000</v>
      </c>
      <c r="I45" s="189"/>
      <c r="J45" s="188"/>
      <c r="N45" s="189"/>
    </row>
    <row r="46" spans="2:17">
      <c r="B46" s="205" t="s">
        <v>1383</v>
      </c>
      <c r="C46" s="201">
        <f>+C29+C33+C43</f>
        <v>1814400000</v>
      </c>
      <c r="D46" s="201">
        <f>+D29+D33+D43</f>
        <v>151200000</v>
      </c>
      <c r="H46" s="205" t="s">
        <v>1364</v>
      </c>
      <c r="I46" s="189"/>
      <c r="J46" s="188"/>
      <c r="K46" s="227">
        <v>2200000000</v>
      </c>
      <c r="L46" s="188">
        <f>+K46/12</f>
        <v>183333333.33333334</v>
      </c>
      <c r="M46" s="205" t="s">
        <v>1364</v>
      </c>
      <c r="N46" s="189" t="e">
        <f>+C18</f>
        <v>#REF!</v>
      </c>
      <c r="O46" s="188" t="e">
        <f>+N46/12</f>
        <v>#REF!</v>
      </c>
      <c r="P46" s="227">
        <v>2200000000</v>
      </c>
      <c r="Q46" s="188">
        <f>+P46/12</f>
        <v>183333333.33333334</v>
      </c>
    </row>
    <row r="47" spans="2:17">
      <c r="B47" s="230" t="s">
        <v>1384</v>
      </c>
      <c r="C47" s="204">
        <f>+C45-C46</f>
        <v>-706800000</v>
      </c>
      <c r="D47" s="204">
        <f>+D45-D46</f>
        <v>-58900000</v>
      </c>
      <c r="I47" s="189"/>
      <c r="J47" s="188"/>
      <c r="N47" s="189"/>
    </row>
    <row r="48" spans="2:17">
      <c r="I48" s="189"/>
      <c r="J48" s="188"/>
      <c r="N48" s="189"/>
    </row>
    <row r="49" spans="8:17">
      <c r="I49" s="189"/>
      <c r="J49" s="188"/>
      <c r="N49" s="189"/>
    </row>
    <row r="50" spans="8:17">
      <c r="I50" s="189"/>
      <c r="J50" s="188"/>
      <c r="N50" s="189"/>
    </row>
    <row r="51" spans="8:17">
      <c r="H51" s="208" t="s">
        <v>1291</v>
      </c>
      <c r="I51" s="204">
        <f>+I42+I36+I34+I29+I21+I15+I13+I12+I11</f>
        <v>172196169</v>
      </c>
      <c r="J51" s="192">
        <f>+J42+J36+J34+J29+J21+J15+J13+J12+J11</f>
        <v>14349680.75</v>
      </c>
      <c r="K51" s="225"/>
      <c r="L51" s="225"/>
      <c r="M51" s="194" t="s">
        <v>1291</v>
      </c>
      <c r="N51" s="204" t="e">
        <f>+N42+N36+N34+N29+N21+N15+N13+N12+N11+N46</f>
        <v>#REF!</v>
      </c>
      <c r="O51" s="204" t="e">
        <f>+O42+O36+O34+O29+O21+O15+O13+O12+O11+O46</f>
        <v>#REF!</v>
      </c>
      <c r="P51" s="226">
        <f>+P42+P36+P34+P29+P21+P15+P13+P12+P11+P46</f>
        <v>2200000000</v>
      </c>
      <c r="Q51" s="204">
        <f>+Q42+Q36+Q34+Q29+Q21+Q15+Q13+Q12+Q11+Q46</f>
        <v>183333333.33333334</v>
      </c>
    </row>
  </sheetData>
  <mergeCells count="15">
    <mergeCell ref="B23:D23"/>
    <mergeCell ref="A6:E6"/>
    <mergeCell ref="H5:J5"/>
    <mergeCell ref="M5:O5"/>
    <mergeCell ref="A1:E1"/>
    <mergeCell ref="A2:E2"/>
    <mergeCell ref="A3:E3"/>
    <mergeCell ref="P9:Q9"/>
    <mergeCell ref="N9:O9"/>
    <mergeCell ref="E20:F20"/>
    <mergeCell ref="A7:E7"/>
    <mergeCell ref="I9:J9"/>
    <mergeCell ref="K9:L9"/>
    <mergeCell ref="E9:F9"/>
    <mergeCell ref="B13:C13"/>
  </mergeCells>
  <pageMargins left="1.299212598425197" right="0.70866141732283472" top="0.19685039370078741" bottom="0.15748031496062992" header="0.31496062992125984" footer="0.31496062992125984"/>
  <pageSetup scale="75" orientation="portrait" r:id="rId1"/>
  <colBreaks count="2" manualBreakCount="2">
    <brk id="6" max="1048575" man="1"/>
    <brk id="12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4" tint="0.39997558519241921"/>
  </sheetPr>
  <dimension ref="A1:C49"/>
  <sheetViews>
    <sheetView view="pageLayout" topLeftCell="A49" zoomScaleNormal="100" workbookViewId="0">
      <selection activeCell="A47" sqref="A47"/>
    </sheetView>
  </sheetViews>
  <sheetFormatPr baseColWidth="10" defaultColWidth="11.42578125" defaultRowHeight="15"/>
  <cols>
    <col min="1" max="1" width="89.5703125" bestFit="1" customWidth="1"/>
    <col min="2" max="2" width="32.85546875" bestFit="1" customWidth="1"/>
    <col min="3" max="3" width="19.140625" hidden="1" customWidth="1"/>
  </cols>
  <sheetData>
    <row r="1" spans="1:3" ht="15.75" thickBot="1"/>
    <row r="2" spans="1:3" ht="18">
      <c r="A2" s="570" t="s">
        <v>1768</v>
      </c>
      <c r="B2" s="571"/>
    </row>
    <row r="3" spans="1:3" ht="15.75">
      <c r="A3" s="572" t="s">
        <v>1352</v>
      </c>
      <c r="B3" s="573"/>
    </row>
    <row r="4" spans="1:3" ht="15.75" customHeight="1">
      <c r="A4" s="572" t="s">
        <v>1769</v>
      </c>
      <c r="B4" s="573"/>
    </row>
    <row r="5" spans="1:3" ht="15.75" customHeight="1" thickBot="1">
      <c r="A5" s="574"/>
      <c r="B5" s="575"/>
    </row>
    <row r="6" spans="1:3" ht="36">
      <c r="A6" s="338" t="s">
        <v>3</v>
      </c>
      <c r="B6" s="338" t="s">
        <v>1770</v>
      </c>
      <c r="C6" s="338" t="s">
        <v>425</v>
      </c>
    </row>
    <row r="7" spans="1:3">
      <c r="A7" s="334" t="s">
        <v>16</v>
      </c>
      <c r="B7" s="335">
        <f>+'PACC 2017'!K18</f>
        <v>225630137.44</v>
      </c>
      <c r="C7" s="526"/>
    </row>
    <row r="8" spans="1:3">
      <c r="A8" s="334" t="s">
        <v>34</v>
      </c>
      <c r="B8" s="535">
        <f>'PACC 2017'!K35</f>
        <v>5219669.8810000001</v>
      </c>
      <c r="C8" s="526"/>
    </row>
    <row r="9" spans="1:3">
      <c r="A9" s="334" t="s">
        <v>1288</v>
      </c>
      <c r="B9" s="335">
        <f>+'PACC 2017'!K38</f>
        <v>54959121</v>
      </c>
      <c r="C9" s="526"/>
    </row>
    <row r="10" spans="1:3">
      <c r="A10" s="334" t="s">
        <v>41</v>
      </c>
      <c r="B10" s="335">
        <f>'PACC 2017'!K46</f>
        <v>1360500</v>
      </c>
      <c r="C10" s="526"/>
    </row>
    <row r="11" spans="1:3">
      <c r="A11" s="334" t="s">
        <v>1386</v>
      </c>
      <c r="B11" s="535">
        <f>'PACC 2017'!K56</f>
        <v>7414000</v>
      </c>
      <c r="C11" s="526"/>
    </row>
    <row r="12" spans="1:3">
      <c r="A12" s="334" t="s">
        <v>46</v>
      </c>
      <c r="B12" s="549">
        <f>'PACC 2017'!K121</f>
        <v>170308422.79999998</v>
      </c>
      <c r="C12" s="526"/>
    </row>
    <row r="13" spans="1:3">
      <c r="A13" s="334" t="s">
        <v>56</v>
      </c>
      <c r="B13" s="535">
        <f>'PACC 2017'!K154</f>
        <v>4452849.4800000004</v>
      </c>
      <c r="C13" s="526"/>
    </row>
    <row r="14" spans="1:3">
      <c r="A14" s="334" t="s">
        <v>62</v>
      </c>
      <c r="B14" s="535">
        <f>'PACC 2017'!K268</f>
        <v>11989711.699999997</v>
      </c>
      <c r="C14" s="526"/>
    </row>
    <row r="15" spans="1:3">
      <c r="A15" s="334" t="s">
        <v>73</v>
      </c>
      <c r="B15" s="535">
        <f>'PACC 2017'!K273</f>
        <v>6071000</v>
      </c>
      <c r="C15" s="526"/>
    </row>
    <row r="16" spans="1:3">
      <c r="A16" s="334" t="s">
        <v>80</v>
      </c>
      <c r="B16" s="535">
        <f>'PACC 2017'!K938</f>
        <v>399967503.18215001</v>
      </c>
      <c r="C16" s="526"/>
    </row>
    <row r="17" spans="1:3">
      <c r="A17" s="334" t="s">
        <v>81</v>
      </c>
      <c r="B17" s="535">
        <f>'PACC 2017'!K947</f>
        <v>24492388</v>
      </c>
      <c r="C17" s="526"/>
    </row>
    <row r="18" spans="1:3">
      <c r="A18" s="334" t="s">
        <v>95</v>
      </c>
      <c r="B18" s="535">
        <f>'PACC 2017'!K966</f>
        <v>15658335.6</v>
      </c>
      <c r="C18" s="526"/>
    </row>
    <row r="19" spans="1:3">
      <c r="A19" s="334" t="s">
        <v>96</v>
      </c>
      <c r="B19" s="335">
        <f>+'PACC 2017'!K1259</f>
        <v>608847708.8599999</v>
      </c>
      <c r="C19" s="526"/>
    </row>
    <row r="20" spans="1:3">
      <c r="A20" s="334" t="s">
        <v>97</v>
      </c>
      <c r="B20" s="335">
        <f>'PACC 2017'!K1335</f>
        <v>211081045.60000002</v>
      </c>
      <c r="C20" s="526"/>
    </row>
    <row r="21" spans="1:3">
      <c r="A21" s="334" t="s">
        <v>948</v>
      </c>
      <c r="B21" s="535">
        <f>'PACC 2017'!K1366</f>
        <v>3910810.67</v>
      </c>
      <c r="C21" s="526"/>
    </row>
    <row r="22" spans="1:3">
      <c r="A22" s="334" t="s">
        <v>99</v>
      </c>
      <c r="B22" s="535">
        <f>'PACC 2017'!K1564</f>
        <v>20233965.850000005</v>
      </c>
      <c r="C22" s="526"/>
    </row>
    <row r="23" spans="1:3">
      <c r="A23" s="334" t="s">
        <v>113</v>
      </c>
      <c r="B23" s="535">
        <f>'PACC 2017'!K1571</f>
        <v>1004002.1371900827</v>
      </c>
      <c r="C23" s="526"/>
    </row>
    <row r="24" spans="1:3">
      <c r="A24" s="334" t="s">
        <v>115</v>
      </c>
      <c r="B24" s="535">
        <f>'PACC 2017'!K1612</f>
        <v>7369599</v>
      </c>
      <c r="C24" s="526"/>
    </row>
    <row r="25" spans="1:3">
      <c r="A25" s="334" t="s">
        <v>117</v>
      </c>
      <c r="B25" s="535">
        <f>'PACC 2017'!K1637</f>
        <v>10775971.150000002</v>
      </c>
      <c r="C25" s="526"/>
    </row>
    <row r="26" spans="1:3">
      <c r="A26" s="334" t="s">
        <v>118</v>
      </c>
      <c r="B26" s="535">
        <f>'PACC 2017'!K1658</f>
        <v>6416218.7575000003</v>
      </c>
      <c r="C26" s="526"/>
    </row>
    <row r="27" spans="1:3">
      <c r="A27" s="334" t="s">
        <v>119</v>
      </c>
      <c r="B27" s="535">
        <f>'PACC 2017'!K1668</f>
        <v>487333.04000000004</v>
      </c>
      <c r="C27" s="526"/>
    </row>
    <row r="28" spans="1:3">
      <c r="A28" s="334" t="s">
        <v>120</v>
      </c>
      <c r="B28" s="535">
        <f>'PACC 2017'!K1869</f>
        <v>24527742.123381291</v>
      </c>
      <c r="C28" s="526"/>
    </row>
    <row r="29" spans="1:3">
      <c r="A29" s="334" t="s">
        <v>121</v>
      </c>
      <c r="B29" s="535">
        <f>'PACC 2017'!K1884</f>
        <v>4826387</v>
      </c>
      <c r="C29" s="526"/>
    </row>
    <row r="30" spans="1:3">
      <c r="A30" s="334" t="s">
        <v>122</v>
      </c>
      <c r="B30" s="535">
        <f>'PACC 2017'!K1900</f>
        <v>17920879.848511878</v>
      </c>
      <c r="C30" s="526"/>
    </row>
    <row r="31" spans="1:3">
      <c r="A31" s="334" t="s">
        <v>278</v>
      </c>
      <c r="B31" s="535">
        <f>'PACC 2017'!K1908</f>
        <v>713552</v>
      </c>
      <c r="C31" s="526"/>
    </row>
    <row r="32" spans="1:3">
      <c r="A32" s="334" t="s">
        <v>124</v>
      </c>
      <c r="B32" s="535">
        <f>'PACC 2017'!K1940</f>
        <v>1392288.4</v>
      </c>
      <c r="C32" s="526"/>
    </row>
    <row r="33" spans="1:3">
      <c r="A33" s="334" t="s">
        <v>295</v>
      </c>
      <c r="B33" s="535">
        <f>'PACC 2017'!K1966</f>
        <v>3246303.0266666668</v>
      </c>
      <c r="C33" s="526"/>
    </row>
    <row r="34" spans="1:3">
      <c r="A34" s="334" t="s">
        <v>147</v>
      </c>
      <c r="B34" s="535">
        <f>'PACC 2017'!K1993</f>
        <v>4287734</v>
      </c>
      <c r="C34" s="526"/>
    </row>
    <row r="35" spans="1:3">
      <c r="A35" s="334" t="s">
        <v>153</v>
      </c>
      <c r="B35" s="535">
        <f>'PACC 2017'!K2016</f>
        <v>5977770.3499999996</v>
      </c>
      <c r="C35" s="526"/>
    </row>
    <row r="36" spans="1:3">
      <c r="A36" s="334" t="s">
        <v>1024</v>
      </c>
      <c r="B36" s="535">
        <f>'PACC 2017'!K2024</f>
        <v>28629730.299999997</v>
      </c>
      <c r="C36" s="526"/>
    </row>
    <row r="37" spans="1:3">
      <c r="A37" s="334" t="s">
        <v>167</v>
      </c>
      <c r="B37" s="535">
        <f>'PACC 2017'!K2031</f>
        <v>15096171.310000001</v>
      </c>
      <c r="C37" s="526"/>
    </row>
    <row r="38" spans="1:3">
      <c r="A38" s="336" t="s">
        <v>573</v>
      </c>
      <c r="B38" s="535">
        <f>'PACC 2017'!K2044</f>
        <v>32670540</v>
      </c>
      <c r="C38" s="526"/>
    </row>
    <row r="39" spans="1:3" ht="30">
      <c r="A39" s="334" t="s">
        <v>1777</v>
      </c>
      <c r="B39" s="342">
        <f>'PACC 2017'!K2048</f>
        <v>15234914.536000002</v>
      </c>
      <c r="C39" s="526"/>
    </row>
    <row r="40" spans="1:3">
      <c r="A40" s="334" t="s">
        <v>1774</v>
      </c>
      <c r="B40" s="342">
        <f>'PACC 2017'!K2053</f>
        <v>20095898</v>
      </c>
      <c r="C40" s="526"/>
    </row>
    <row r="41" spans="1:3">
      <c r="A41" s="334" t="s">
        <v>1775</v>
      </c>
      <c r="B41" s="342">
        <f>'PACC 2017'!K2056</f>
        <v>6345000</v>
      </c>
      <c r="C41" s="526"/>
    </row>
    <row r="42" spans="1:3">
      <c r="A42" s="334" t="s">
        <v>1776</v>
      </c>
      <c r="B42" s="536">
        <f>+'PACC 2017'!K2070</f>
        <v>5613100</v>
      </c>
      <c r="C42" s="526"/>
    </row>
    <row r="43" spans="1:3">
      <c r="A43" s="334" t="s">
        <v>2659</v>
      </c>
      <c r="B43" s="360">
        <f>+'PACC 2017'!K2061</f>
        <v>11500000</v>
      </c>
      <c r="C43" s="526"/>
    </row>
    <row r="44" spans="1:3" ht="15.75">
      <c r="A44" s="336"/>
      <c r="B44" s="337">
        <f>SUM(B7:B43)</f>
        <v>1995728305.0423999</v>
      </c>
      <c r="C44" s="527"/>
    </row>
    <row r="45" spans="1:3" ht="45">
      <c r="A45" s="551" t="s">
        <v>2670</v>
      </c>
      <c r="B45" s="550"/>
      <c r="C45" s="526"/>
    </row>
    <row r="46" spans="1:3">
      <c r="B46" s="361"/>
    </row>
    <row r="47" spans="1:3">
      <c r="A47" t="s">
        <v>2672</v>
      </c>
      <c r="B47" s="553">
        <v>1574584121.9400001</v>
      </c>
    </row>
    <row r="48" spans="1:3">
      <c r="A48" t="s">
        <v>2671</v>
      </c>
      <c r="B48" s="553">
        <f>B47-B44</f>
        <v>-421144183.10239983</v>
      </c>
    </row>
    <row r="49" spans="2:2">
      <c r="B49" s="553"/>
    </row>
  </sheetData>
  <mergeCells count="3">
    <mergeCell ref="A2:B2"/>
    <mergeCell ref="A3:B3"/>
    <mergeCell ref="A4:B5"/>
  </mergeCells>
  <dataValidations disablePrompts="1" xWindow="1174" yWindow="455" count="6">
    <dataValidation allowBlank="1" showInputMessage="1" showErrorMessage="1" promptTitle="PACC" prompt="Este valor se calculará sumando los costos totales que posean el mismo Código de Catálogo de Bienes y Servicios." sqref="B11 B15:B16 B18:B19 B24 B28 B33:B44"/>
    <dataValidation allowBlank="1" showInputMessage="1" showErrorMessage="1" promptTitle="PACC" prompt="Este valor se calculará automáticamente, resultado de la multiplicación de la cantidad total por el precio unitario estimado." sqref="B7:B10 B12:B14 B17 B20:B23 B25:B27 B29:B32"/>
    <dataValidation type="list" allowBlank="1" showInputMessage="1" showErrorMessage="1" promptTitle="PACC" prompt="Seleccione el Código de Bienes y Servicios._x000a_" sqref="A16 A40:A41 A38 A44 A7:A10 A12:A14 A18:A35">
      <formula1>$B$1:$B$7</formula1>
    </dataValidation>
    <dataValidation type="list" allowBlank="1" showInputMessage="1" showErrorMessage="1" promptTitle="PACC" prompt="Seleccione el Código de Bienes y Servicios._x000a_" sqref="A17">
      <formula1>$C$1:$C$24</formula1>
    </dataValidation>
    <dataValidation allowBlank="1" showInputMessage="1" showErrorMessage="1" promptTitle="PACC" prompt="Digite el precio unitario estimado._x000a_" sqref="A42:A43"/>
    <dataValidation type="list" allowBlank="1" showInputMessage="1" showErrorMessage="1" promptTitle="PACC" prompt="Seleccione el Código de Bienes y Servicios._x000a_" sqref="A15 A11 A36:A37">
      <formula1>$F$4:$F$165</formula1>
    </dataValidation>
  </dataValidations>
  <pageMargins left="0.7" right="0.7" top="0.75" bottom="0.75" header="0.3" footer="0.3"/>
  <pageSetup paperSize="9" orientation="landscape" r:id="rId1"/>
  <drawing r:id="rId2"/>
  <legacyDrawing r:id="rId3"/>
  <tableParts count="1">
    <tablePart r:id="rId4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2" tint="-0.749992370372631"/>
  </sheetPr>
  <dimension ref="A1:O1474"/>
  <sheetViews>
    <sheetView topLeftCell="E41" zoomScaleNormal="100" workbookViewId="0">
      <selection activeCell="J50" sqref="J50"/>
    </sheetView>
  </sheetViews>
  <sheetFormatPr baseColWidth="10" defaultColWidth="11.42578125" defaultRowHeight="30.75" customHeight="1"/>
  <cols>
    <col min="1" max="1" width="47.140625" style="399" customWidth="1"/>
    <col min="2" max="2" width="48.42578125" style="399" customWidth="1"/>
    <col min="3" max="3" width="13.28515625" style="37" customWidth="1"/>
    <col min="4" max="4" width="9.5703125" style="37" customWidth="1"/>
    <col min="5" max="7" width="9.7109375" style="37" customWidth="1"/>
    <col min="8" max="8" width="15.7109375" style="37" customWidth="1"/>
    <col min="9" max="9" width="19.7109375" style="399" customWidth="1"/>
    <col min="10" max="10" width="22" style="399" customWidth="1"/>
    <col min="11" max="11" width="32.42578125" style="399" customWidth="1"/>
    <col min="12" max="12" width="32.140625" style="399" customWidth="1"/>
    <col min="13" max="13" width="25.85546875" style="399" customWidth="1"/>
    <col min="14" max="14" width="21" style="37" customWidth="1"/>
    <col min="15" max="16384" width="11.42578125" style="399"/>
  </cols>
  <sheetData>
    <row r="1" spans="1:15" ht="36" customHeight="1">
      <c r="A1" s="576" t="s">
        <v>1351</v>
      </c>
      <c r="B1" s="576"/>
      <c r="C1" s="576"/>
      <c r="D1" s="576"/>
      <c r="E1" s="576"/>
      <c r="F1" s="576"/>
      <c r="G1" s="576"/>
      <c r="H1" s="576"/>
      <c r="I1" s="576"/>
      <c r="J1" s="576"/>
      <c r="K1" s="576"/>
      <c r="L1" s="576"/>
    </row>
    <row r="2" spans="1:15" ht="18">
      <c r="A2" s="576" t="s">
        <v>1352</v>
      </c>
      <c r="B2" s="576"/>
      <c r="C2" s="576"/>
      <c r="D2" s="576"/>
      <c r="E2" s="576"/>
      <c r="F2" s="576"/>
      <c r="G2" s="576"/>
      <c r="H2" s="576"/>
      <c r="I2" s="576"/>
      <c r="J2" s="576"/>
      <c r="K2" s="576"/>
      <c r="L2" s="576"/>
    </row>
    <row r="3" spans="1:15" ht="18.75" thickBot="1">
      <c r="A3" s="576" t="s">
        <v>1840</v>
      </c>
      <c r="B3" s="576"/>
      <c r="C3" s="576"/>
      <c r="D3" s="576"/>
      <c r="E3" s="576"/>
      <c r="F3" s="576"/>
      <c r="G3" s="576"/>
      <c r="H3" s="576"/>
      <c r="I3" s="576"/>
      <c r="J3" s="576"/>
      <c r="K3" s="576"/>
      <c r="L3" s="576"/>
    </row>
    <row r="4" spans="1:15" ht="18">
      <c r="A4" s="7" t="s">
        <v>0</v>
      </c>
      <c r="N4" s="8">
        <v>42332</v>
      </c>
    </row>
    <row r="5" spans="1:15" ht="18">
      <c r="A5" s="554"/>
      <c r="N5" s="9"/>
    </row>
    <row r="6" spans="1:15" ht="20.25">
      <c r="A6" s="554"/>
      <c r="B6" s="10"/>
      <c r="C6" s="10"/>
      <c r="D6" s="10"/>
      <c r="E6" s="10"/>
      <c r="F6" s="10"/>
      <c r="G6" s="10"/>
      <c r="H6" s="10"/>
      <c r="I6" s="10"/>
      <c r="J6" s="10"/>
      <c r="K6" s="10"/>
      <c r="N6" s="11">
        <v>1</v>
      </c>
    </row>
    <row r="7" spans="1:15" ht="18.75" thickBot="1">
      <c r="A7" s="554"/>
      <c r="B7" s="12"/>
      <c r="C7" s="38"/>
      <c r="D7" s="38"/>
      <c r="E7" s="38"/>
      <c r="F7" s="38"/>
      <c r="G7" s="38"/>
      <c r="H7" s="38"/>
      <c r="I7" s="12"/>
      <c r="J7" s="12"/>
      <c r="K7" s="12"/>
      <c r="N7" s="13">
        <v>10</v>
      </c>
    </row>
    <row r="8" spans="1:15" s="172" customFormat="1" ht="15.75" customHeight="1">
      <c r="A8" s="577" t="s">
        <v>1841</v>
      </c>
      <c r="B8" s="577"/>
      <c r="C8" s="577"/>
      <c r="D8" s="577"/>
      <c r="E8" s="577"/>
      <c r="F8" s="577"/>
      <c r="G8" s="577"/>
      <c r="H8" s="577"/>
      <c r="I8" s="577"/>
      <c r="J8" s="577"/>
      <c r="K8" s="577"/>
      <c r="L8" s="577"/>
      <c r="N8" s="173"/>
    </row>
    <row r="9" spans="1:15" s="172" customFormat="1" ht="15.75" customHeight="1">
      <c r="A9" s="404"/>
      <c r="B9" s="404"/>
      <c r="C9" s="404"/>
      <c r="D9" s="404"/>
      <c r="E9" s="404"/>
      <c r="F9" s="404"/>
      <c r="G9" s="404"/>
      <c r="H9" s="404"/>
      <c r="I9" s="404"/>
      <c r="J9" s="404"/>
      <c r="K9" s="404"/>
      <c r="L9" s="404"/>
      <c r="N9" s="173"/>
    </row>
    <row r="10" spans="1:15" s="172" customFormat="1" ht="15.75" customHeight="1">
      <c r="A10" s="404"/>
      <c r="B10" s="404"/>
      <c r="C10" s="404"/>
      <c r="D10" s="404"/>
      <c r="E10" s="404"/>
      <c r="F10" s="404"/>
      <c r="G10" s="404"/>
      <c r="H10" s="404"/>
      <c r="I10" s="404"/>
      <c r="J10" s="404"/>
      <c r="K10" s="404"/>
      <c r="L10" s="404"/>
      <c r="N10" s="173"/>
    </row>
    <row r="11" spans="1:15" ht="18.75" thickBot="1"/>
    <row r="12" spans="1:15" ht="18.75" thickBot="1">
      <c r="C12" s="1"/>
      <c r="D12" s="557" t="s">
        <v>2</v>
      </c>
      <c r="E12" s="558"/>
      <c r="F12" s="558"/>
      <c r="G12" s="559"/>
      <c r="H12" s="1"/>
      <c r="I12" s="1"/>
      <c r="J12" s="1"/>
      <c r="K12" s="1"/>
    </row>
    <row r="13" spans="1:15" s="14" customFormat="1" ht="18"/>
    <row r="14" spans="1:15" s="12" customFormat="1" ht="18.75" customHeight="1" thickBot="1"/>
    <row r="15" spans="1:15" s="12" customFormat="1" ht="78">
      <c r="A15" s="2" t="s">
        <v>3</v>
      </c>
      <c r="B15" s="3" t="s">
        <v>4</v>
      </c>
      <c r="C15" s="3" t="s">
        <v>5</v>
      </c>
      <c r="D15" s="4" t="s">
        <v>6</v>
      </c>
      <c r="E15" s="4" t="s">
        <v>7</v>
      </c>
      <c r="F15" s="4" t="s">
        <v>8</v>
      </c>
      <c r="G15" s="4" t="s">
        <v>9</v>
      </c>
      <c r="H15" s="3" t="s">
        <v>10</v>
      </c>
      <c r="I15" s="3" t="s">
        <v>11</v>
      </c>
      <c r="J15" s="3" t="s">
        <v>12</v>
      </c>
      <c r="K15" s="3" t="s">
        <v>442</v>
      </c>
      <c r="L15" s="3" t="s">
        <v>13</v>
      </c>
      <c r="M15" s="3" t="s">
        <v>14</v>
      </c>
      <c r="N15" s="3" t="s">
        <v>305</v>
      </c>
      <c r="O15" s="6" t="s">
        <v>425</v>
      </c>
    </row>
    <row r="16" spans="1:15" s="12" customFormat="1" ht="31.5">
      <c r="A16" s="178" t="s">
        <v>16</v>
      </c>
      <c r="B16" s="75" t="s">
        <v>427</v>
      </c>
      <c r="C16" s="39" t="s">
        <v>17</v>
      </c>
      <c r="D16" s="236"/>
      <c r="E16" s="236"/>
      <c r="F16" s="236"/>
      <c r="G16" s="236"/>
      <c r="H16" s="236">
        <f>SUM(Tabla13211242[[#This Row],[PRIMER TRIMESTRE]:[CUARTO TRIMESTRE]])</f>
        <v>0</v>
      </c>
      <c r="I16" s="17">
        <v>4568.04</v>
      </c>
      <c r="J16" s="17">
        <f>+Tabla13211242[[#This Row],[CANTIDAD TOTAL]]*Tabla13211242[[#This Row],[PRECIO UNITARIO ESTIMADO]]</f>
        <v>0</v>
      </c>
      <c r="K16" s="21"/>
      <c r="L16" s="16" t="s">
        <v>18</v>
      </c>
      <c r="M16" s="16" t="s">
        <v>19</v>
      </c>
      <c r="N16" s="39"/>
      <c r="O16" s="20"/>
    </row>
    <row r="17" spans="1:15" s="12" customFormat="1" ht="31.5">
      <c r="A17" s="178" t="s">
        <v>16</v>
      </c>
      <c r="B17" s="75" t="s">
        <v>426</v>
      </c>
      <c r="C17" s="39" t="s">
        <v>17</v>
      </c>
      <c r="D17" s="236"/>
      <c r="E17" s="236"/>
      <c r="F17" s="236"/>
      <c r="G17" s="236"/>
      <c r="H17" s="236">
        <f>SUM(Tabla13211242[[#This Row],[PRIMER TRIMESTRE]:[CUARTO TRIMESTRE]])</f>
        <v>0</v>
      </c>
      <c r="I17" s="17">
        <v>33696</v>
      </c>
      <c r="J17" s="17">
        <f>+Tabla13211242[[#This Row],[CANTIDAD TOTAL]]*Tabla13211242[[#This Row],[PRECIO UNITARIO ESTIMADO]]</f>
        <v>0</v>
      </c>
      <c r="K17" s="17"/>
      <c r="L17" s="16" t="s">
        <v>18</v>
      </c>
      <c r="M17" s="16" t="s">
        <v>19</v>
      </c>
      <c r="N17" s="39"/>
      <c r="O17" s="20"/>
    </row>
    <row r="18" spans="1:15" s="12" customFormat="1" ht="31.5">
      <c r="A18" s="178" t="s">
        <v>16</v>
      </c>
      <c r="B18" s="75" t="s">
        <v>24</v>
      </c>
      <c r="C18" s="39" t="s">
        <v>25</v>
      </c>
      <c r="D18" s="210"/>
      <c r="E18" s="210"/>
      <c r="F18" s="210"/>
      <c r="G18" s="210"/>
      <c r="H18" s="236">
        <f>SUM(Tabla13211242[[#This Row],[PRIMER TRIMESTRE]:[CUARTO TRIMESTRE]])</f>
        <v>0</v>
      </c>
      <c r="I18" s="17">
        <v>3628</v>
      </c>
      <c r="J18" s="17">
        <f>+Tabla13211242[[#This Row],[CANTIDAD TOTAL]]*Tabla13211242[[#This Row],[PRECIO UNITARIO ESTIMADO]]</f>
        <v>0</v>
      </c>
      <c r="K18" s="17"/>
      <c r="L18" s="16" t="s">
        <v>18</v>
      </c>
      <c r="M18" s="16" t="s">
        <v>19</v>
      </c>
      <c r="N18" s="39"/>
      <c r="O18" s="20"/>
    </row>
    <row r="19" spans="1:15" s="12" customFormat="1" ht="31.5">
      <c r="A19" s="178" t="s">
        <v>16</v>
      </c>
      <c r="B19" s="75" t="s">
        <v>1385</v>
      </c>
      <c r="C19" s="39" t="s">
        <v>23</v>
      </c>
      <c r="D19" s="210"/>
      <c r="E19" s="210"/>
      <c r="F19" s="210"/>
      <c r="G19" s="210"/>
      <c r="H19" s="236">
        <f>SUM(Tabla13211242[[#This Row],[PRIMER TRIMESTRE]:[CUARTO TRIMESTRE]])</f>
        <v>0</v>
      </c>
      <c r="I19" s="17">
        <v>28440</v>
      </c>
      <c r="J19" s="17">
        <f>+Tabla13211242[[#This Row],[CANTIDAD TOTAL]]*Tabla13211242[[#This Row],[PRECIO UNITARIO ESTIMADO]]</f>
        <v>0</v>
      </c>
      <c r="K19" s="17"/>
      <c r="L19" s="16" t="s">
        <v>15</v>
      </c>
      <c r="M19" s="16" t="s">
        <v>19</v>
      </c>
      <c r="N19" s="39" t="s">
        <v>342</v>
      </c>
      <c r="O19" s="20"/>
    </row>
    <row r="20" spans="1:15" s="12" customFormat="1" ht="31.5">
      <c r="A20" s="178" t="s">
        <v>16</v>
      </c>
      <c r="B20" s="75" t="s">
        <v>29</v>
      </c>
      <c r="C20" s="39" t="s">
        <v>30</v>
      </c>
      <c r="D20" s="236"/>
      <c r="E20" s="236"/>
      <c r="F20" s="236"/>
      <c r="G20" s="236"/>
      <c r="H20" s="236">
        <f>SUM(Tabla13211242[[#This Row],[PRIMER TRIMESTRE]:[CUARTO TRIMESTRE]])</f>
        <v>0</v>
      </c>
      <c r="I20" s="17">
        <v>862.27</v>
      </c>
      <c r="J20" s="17">
        <f>+Tabla13211242[[#This Row],[CANTIDAD TOTAL]]*Tabla13211242[[#This Row],[PRECIO UNITARIO ESTIMADO]]</f>
        <v>0</v>
      </c>
      <c r="K20" s="17"/>
      <c r="L20" s="16" t="s">
        <v>18</v>
      </c>
      <c r="M20" s="16" t="s">
        <v>19</v>
      </c>
      <c r="N20" s="39"/>
      <c r="O20" s="20"/>
    </row>
    <row r="21" spans="1:15" s="12" customFormat="1" ht="31.5">
      <c r="A21" s="178" t="s">
        <v>16</v>
      </c>
      <c r="B21" s="75" t="s">
        <v>1842</v>
      </c>
      <c r="C21" s="39" t="s">
        <v>30</v>
      </c>
      <c r="D21" s="236"/>
      <c r="E21" s="236"/>
      <c r="F21" s="236"/>
      <c r="G21" s="236"/>
      <c r="H21" s="236">
        <f>SUM(Tabla13211242[[#This Row],[PRIMER TRIMESTRE]:[CUARTO TRIMESTRE]])</f>
        <v>0</v>
      </c>
      <c r="I21" s="17">
        <v>24.68</v>
      </c>
      <c r="J21" s="17">
        <f>+H21*I21</f>
        <v>0</v>
      </c>
      <c r="K21" s="17"/>
      <c r="L21" s="16" t="s">
        <v>18</v>
      </c>
      <c r="M21" s="16" t="s">
        <v>19</v>
      </c>
      <c r="N21" s="39"/>
      <c r="O21" s="20"/>
    </row>
    <row r="22" spans="1:15" s="169" customFormat="1" ht="31.5">
      <c r="A22" s="178" t="s">
        <v>16</v>
      </c>
      <c r="B22" s="75" t="s">
        <v>1843</v>
      </c>
      <c r="C22" s="39" t="s">
        <v>17</v>
      </c>
      <c r="D22" s="236"/>
      <c r="E22" s="236"/>
      <c r="F22" s="236"/>
      <c r="G22" s="236"/>
      <c r="H22" s="236">
        <f>SUM(Tabla13211242[[#This Row],[PRIMER TRIMESTRE]:[CUARTO TRIMESTRE]])</f>
        <v>0</v>
      </c>
      <c r="I22" s="17">
        <v>15000</v>
      </c>
      <c r="J22" s="17">
        <f>+H22*I22</f>
        <v>0</v>
      </c>
      <c r="K22" s="17"/>
      <c r="L22" s="16" t="s">
        <v>27</v>
      </c>
      <c r="M22" s="16" t="s">
        <v>19</v>
      </c>
      <c r="N22" s="39"/>
      <c r="O22" s="20"/>
    </row>
    <row r="23" spans="1:15" s="169" customFormat="1" ht="18">
      <c r="A23" s="179" t="s">
        <v>16</v>
      </c>
      <c r="B23" s="405" t="s">
        <v>443</v>
      </c>
      <c r="C23" s="42"/>
      <c r="D23" s="237"/>
      <c r="E23" s="237"/>
      <c r="F23" s="237"/>
      <c r="G23" s="237"/>
      <c r="H23" s="43"/>
      <c r="I23" s="24"/>
      <c r="J23" s="24"/>
      <c r="K23" s="25">
        <f>SUM(J16:J22)</f>
        <v>0</v>
      </c>
      <c r="L23" s="23"/>
      <c r="M23" s="23"/>
      <c r="N23" s="42"/>
      <c r="O23" s="20"/>
    </row>
    <row r="24" spans="1:15" s="169" customFormat="1" ht="30">
      <c r="A24" s="180" t="s">
        <v>34</v>
      </c>
      <c r="B24" s="77" t="s">
        <v>717</v>
      </c>
      <c r="C24" s="70" t="s">
        <v>35</v>
      </c>
      <c r="D24" s="210"/>
      <c r="E24" s="210"/>
      <c r="F24" s="210"/>
      <c r="G24" s="210"/>
      <c r="H24" s="406">
        <f>SUM(Tabla13211242[[#This Row],[PRIMER TRIMESTRE]:[CUARTO TRIMESTRE]])</f>
        <v>0</v>
      </c>
      <c r="I24" s="72">
        <v>31896.55</v>
      </c>
      <c r="J24" s="72">
        <f>+Tabla13211242[[#This Row],[CANTIDAD TOTAL]]*Tabla13211242[[#This Row],[PRECIO UNITARIO ESTIMADO]]</f>
        <v>0</v>
      </c>
      <c r="K24" s="72"/>
      <c r="L24" s="77" t="s">
        <v>27</v>
      </c>
      <c r="M24" s="73" t="s">
        <v>22</v>
      </c>
      <c r="N24" s="70" t="s">
        <v>418</v>
      </c>
      <c r="O24" s="20"/>
    </row>
    <row r="25" spans="1:15" s="169" customFormat="1" ht="30">
      <c r="A25" s="180" t="s">
        <v>34</v>
      </c>
      <c r="B25" s="77" t="s">
        <v>714</v>
      </c>
      <c r="C25" s="70" t="s">
        <v>35</v>
      </c>
      <c r="D25" s="210"/>
      <c r="E25" s="210"/>
      <c r="F25" s="210"/>
      <c r="G25" s="210"/>
      <c r="H25" s="406">
        <f>SUM(Tabla13211242[[#This Row],[PRIMER TRIMESTRE]:[CUARTO TRIMESTRE]])</f>
        <v>0</v>
      </c>
      <c r="I25" s="72">
        <v>28017.24</v>
      </c>
      <c r="J25" s="72">
        <f>+H25*I25</f>
        <v>0</v>
      </c>
      <c r="K25" s="171"/>
      <c r="L25" s="77" t="s">
        <v>27</v>
      </c>
      <c r="M25" s="73" t="s">
        <v>22</v>
      </c>
      <c r="N25" s="70" t="s">
        <v>418</v>
      </c>
      <c r="O25" s="20"/>
    </row>
    <row r="26" spans="1:15" s="169" customFormat="1" ht="30">
      <c r="A26" s="180" t="s">
        <v>34</v>
      </c>
      <c r="B26" s="77" t="s">
        <v>715</v>
      </c>
      <c r="C26" s="70" t="s">
        <v>35</v>
      </c>
      <c r="D26" s="210"/>
      <c r="E26" s="210"/>
      <c r="F26" s="210"/>
      <c r="G26" s="210"/>
      <c r="H26" s="406">
        <f>SUM(Tabla13211242[[#This Row],[PRIMER TRIMESTRE]:[CUARTO TRIMESTRE]])</f>
        <v>0</v>
      </c>
      <c r="I26" s="72">
        <v>23612</v>
      </c>
      <c r="J26" s="72">
        <f>+H26*I26</f>
        <v>0</v>
      </c>
      <c r="K26" s="72"/>
      <c r="L26" s="77" t="s">
        <v>27</v>
      </c>
      <c r="M26" s="73" t="s">
        <v>22</v>
      </c>
      <c r="N26" s="70" t="s">
        <v>418</v>
      </c>
      <c r="O26" s="20"/>
    </row>
    <row r="27" spans="1:15" s="169" customFormat="1" ht="30">
      <c r="A27" s="180" t="s">
        <v>34</v>
      </c>
      <c r="B27" s="77" t="s">
        <v>716</v>
      </c>
      <c r="C27" s="70" t="s">
        <v>35</v>
      </c>
      <c r="D27" s="210"/>
      <c r="E27" s="210"/>
      <c r="F27" s="210"/>
      <c r="G27" s="210"/>
      <c r="H27" s="406">
        <f>SUM(Tabla13211242[[#This Row],[PRIMER TRIMESTRE]:[CUARTO TRIMESTRE]])</f>
        <v>0</v>
      </c>
      <c r="I27" s="72">
        <v>23112.13</v>
      </c>
      <c r="J27" s="72">
        <f>+H27*I27</f>
        <v>0</v>
      </c>
      <c r="K27" s="72"/>
      <c r="L27" s="77" t="s">
        <v>27</v>
      </c>
      <c r="M27" s="73" t="s">
        <v>22</v>
      </c>
      <c r="N27" s="70" t="s">
        <v>418</v>
      </c>
      <c r="O27" s="20"/>
    </row>
    <row r="28" spans="1:15" s="169" customFormat="1" ht="30">
      <c r="A28" s="180" t="s">
        <v>34</v>
      </c>
      <c r="B28" s="77" t="s">
        <v>787</v>
      </c>
      <c r="C28" s="70" t="s">
        <v>35</v>
      </c>
      <c r="D28" s="210"/>
      <c r="E28" s="210"/>
      <c r="F28" s="210"/>
      <c r="G28" s="210"/>
      <c r="H28" s="406">
        <f>SUM(Tabla13211242[[#This Row],[PRIMER TRIMESTRE]:[CUARTO TRIMESTRE]])</f>
        <v>0</v>
      </c>
      <c r="I28" s="72">
        <v>24630.67</v>
      </c>
      <c r="J28" s="72">
        <f>+Tabla13211242[[#This Row],[CANTIDAD TOTAL]]*Tabla13211242[[#This Row],[PRECIO UNITARIO ESTIMADO]]</f>
        <v>0</v>
      </c>
      <c r="K28" s="72"/>
      <c r="L28" s="77" t="s">
        <v>27</v>
      </c>
      <c r="M28" s="73" t="s">
        <v>22</v>
      </c>
      <c r="N28" s="70" t="s">
        <v>418</v>
      </c>
      <c r="O28" s="20"/>
    </row>
    <row r="29" spans="1:15" s="169" customFormat="1" ht="30">
      <c r="A29" s="180" t="s">
        <v>34</v>
      </c>
      <c r="B29" s="77" t="s">
        <v>786</v>
      </c>
      <c r="C29" s="70" t="s">
        <v>35</v>
      </c>
      <c r="D29" s="210"/>
      <c r="E29" s="210"/>
      <c r="F29" s="210"/>
      <c r="G29" s="210"/>
      <c r="H29" s="406">
        <f>SUM(Tabla13211242[[#This Row],[PRIMER TRIMESTRE]:[CUARTO TRIMESTRE]])</f>
        <v>0</v>
      </c>
      <c r="I29" s="72">
        <f>+I28*1.05</f>
        <v>25862.2035</v>
      </c>
      <c r="J29" s="72">
        <f>+H29*I29</f>
        <v>0</v>
      </c>
      <c r="K29" s="72"/>
      <c r="L29" s="77" t="s">
        <v>27</v>
      </c>
      <c r="M29" s="73" t="s">
        <v>22</v>
      </c>
      <c r="N29" s="70" t="s">
        <v>418</v>
      </c>
      <c r="O29" s="20"/>
    </row>
    <row r="30" spans="1:15" s="26" customFormat="1" ht="30">
      <c r="A30" s="180" t="s">
        <v>34</v>
      </c>
      <c r="B30" s="77" t="s">
        <v>720</v>
      </c>
      <c r="C30" s="70" t="s">
        <v>721</v>
      </c>
      <c r="D30" s="210"/>
      <c r="E30" s="210"/>
      <c r="F30" s="210"/>
      <c r="G30" s="210"/>
      <c r="H30" s="406">
        <f>SUM(Tabla13211242[[#This Row],[PRIMER TRIMESTRE]:[CUARTO TRIMESTRE]])</f>
        <v>0</v>
      </c>
      <c r="I30" s="72">
        <v>3700</v>
      </c>
      <c r="J30" s="72">
        <f>+Tabla13211242[[#This Row],[CANTIDAD TOTAL]]*Tabla13211242[[#This Row],[PRECIO UNITARIO ESTIMADO]]</f>
        <v>0</v>
      </c>
      <c r="K30" s="72"/>
      <c r="L30" s="77" t="s">
        <v>27</v>
      </c>
      <c r="M30" s="73" t="s">
        <v>22</v>
      </c>
      <c r="N30" s="70" t="s">
        <v>418</v>
      </c>
      <c r="O30" s="23"/>
    </row>
    <row r="31" spans="1:15" s="169" customFormat="1" ht="30">
      <c r="A31" s="180" t="s">
        <v>34</v>
      </c>
      <c r="B31" s="77" t="s">
        <v>719</v>
      </c>
      <c r="C31" s="70" t="s">
        <v>718</v>
      </c>
      <c r="D31" s="210"/>
      <c r="E31" s="210"/>
      <c r="F31" s="210"/>
      <c r="G31" s="210"/>
      <c r="H31" s="406">
        <f>SUM(Tabla13211242[[#This Row],[PRIMER TRIMESTRE]:[CUARTO TRIMESTRE]])</f>
        <v>0</v>
      </c>
      <c r="I31" s="72">
        <v>800</v>
      </c>
      <c r="J31" s="72">
        <f>+Tabla13211242[[#This Row],[CANTIDAD TOTAL]]*Tabla13211242[[#This Row],[PRECIO UNITARIO ESTIMADO]]</f>
        <v>0</v>
      </c>
      <c r="K31" s="72"/>
      <c r="L31" s="77" t="s">
        <v>27</v>
      </c>
      <c r="M31" s="73" t="s">
        <v>22</v>
      </c>
      <c r="N31" s="70" t="s">
        <v>418</v>
      </c>
      <c r="O31" s="20"/>
    </row>
    <row r="32" spans="1:15" s="169" customFormat="1" ht="31.5">
      <c r="A32" s="179" t="s">
        <v>34</v>
      </c>
      <c r="B32" s="76" t="s">
        <v>444</v>
      </c>
      <c r="C32" s="42"/>
      <c r="D32" s="237"/>
      <c r="E32" s="237"/>
      <c r="F32" s="237"/>
      <c r="G32" s="237"/>
      <c r="H32" s="43"/>
      <c r="I32" s="24"/>
      <c r="J32" s="24"/>
      <c r="K32" s="25">
        <f>SUBTOTAL(109,J24:J31)</f>
        <v>0</v>
      </c>
      <c r="L32" s="23"/>
      <c r="M32" s="23"/>
      <c r="N32" s="42"/>
      <c r="O32" s="20"/>
    </row>
    <row r="33" spans="1:15" s="26" customFormat="1" ht="31.5">
      <c r="A33" s="180" t="s">
        <v>1288</v>
      </c>
      <c r="B33" s="77" t="s">
        <v>1290</v>
      </c>
      <c r="C33" s="70" t="s">
        <v>33</v>
      </c>
      <c r="D33" s="210"/>
      <c r="E33" s="210"/>
      <c r="F33" s="210"/>
      <c r="G33" s="210"/>
      <c r="H33" s="406">
        <f>SUM(Tabla13211242[[#This Row],[PRIMER TRIMESTRE]:[CUARTO TRIMESTRE]])</f>
        <v>0</v>
      </c>
      <c r="I33" s="72">
        <v>144.9</v>
      </c>
      <c r="J33" s="72">
        <f>+H33*I33</f>
        <v>0</v>
      </c>
      <c r="K33" s="72"/>
      <c r="L33" s="16" t="s">
        <v>18</v>
      </c>
      <c r="M33" s="73" t="s">
        <v>19</v>
      </c>
      <c r="N33" s="70"/>
      <c r="O33" s="23"/>
    </row>
    <row r="34" spans="1:15" s="12" customFormat="1" ht="31.5">
      <c r="A34" s="180" t="s">
        <v>1288</v>
      </c>
      <c r="B34" s="77" t="s">
        <v>1289</v>
      </c>
      <c r="C34" s="70" t="s">
        <v>33</v>
      </c>
      <c r="D34" s="210"/>
      <c r="E34" s="210"/>
      <c r="F34" s="210"/>
      <c r="G34" s="210"/>
      <c r="H34" s="406">
        <f>SUM(Tabla13211242[[#This Row],[PRIMER TRIMESTRE]:[CUARTO TRIMESTRE]])</f>
        <v>0</v>
      </c>
      <c r="I34" s="72">
        <v>144.9</v>
      </c>
      <c r="J34" s="72">
        <f>+H34*I34</f>
        <v>0</v>
      </c>
      <c r="K34" s="72"/>
      <c r="L34" s="16" t="s">
        <v>18</v>
      </c>
      <c r="M34" s="73" t="s">
        <v>19</v>
      </c>
      <c r="N34" s="70"/>
      <c r="O34" s="20"/>
    </row>
    <row r="35" spans="1:15" s="12" customFormat="1" ht="18">
      <c r="A35" s="179" t="s">
        <v>1288</v>
      </c>
      <c r="B35" s="76"/>
      <c r="C35" s="42"/>
      <c r="D35" s="237"/>
      <c r="E35" s="237"/>
      <c r="F35" s="237"/>
      <c r="G35" s="237"/>
      <c r="H35" s="43"/>
      <c r="I35" s="24"/>
      <c r="J35" s="24"/>
      <c r="K35" s="25">
        <f>SUBTOTAL(109,J33:J34)</f>
        <v>0</v>
      </c>
      <c r="L35" s="23"/>
      <c r="M35" s="23"/>
      <c r="N35" s="42"/>
      <c r="O35" s="20"/>
    </row>
    <row r="36" spans="1:15" s="26" customFormat="1" ht="30">
      <c r="A36" s="180" t="s">
        <v>41</v>
      </c>
      <c r="B36" s="77" t="s">
        <v>42</v>
      </c>
      <c r="C36" s="70" t="s">
        <v>17</v>
      </c>
      <c r="D36" s="210"/>
      <c r="E36" s="210"/>
      <c r="F36" s="210"/>
      <c r="G36" s="210"/>
      <c r="H36" s="40">
        <f>SUM(Tabla13211242[[#This Row],[PRIMER TRIMESTRE]:[CUARTO TRIMESTRE]])</f>
        <v>0</v>
      </c>
      <c r="I36" s="17">
        <v>26999</v>
      </c>
      <c r="J36" s="17">
        <f>+Tabla13211242[[#This Row],[CANTIDAD TOTAL]]*Tabla13211242[[#This Row],[PRECIO UNITARIO ESTIMADO]]</f>
        <v>0</v>
      </c>
      <c r="K36" s="17"/>
      <c r="L36" s="16" t="s">
        <v>15</v>
      </c>
      <c r="M36" s="16" t="s">
        <v>22</v>
      </c>
      <c r="N36" s="39" t="s">
        <v>418</v>
      </c>
      <c r="O36" s="23"/>
    </row>
    <row r="37" spans="1:15" s="55" customFormat="1" ht="30">
      <c r="A37" s="180" t="s">
        <v>41</v>
      </c>
      <c r="B37" s="77" t="s">
        <v>44</v>
      </c>
      <c r="C37" s="70" t="s">
        <v>17</v>
      </c>
      <c r="D37" s="210"/>
      <c r="E37" s="210"/>
      <c r="F37" s="210"/>
      <c r="G37" s="210"/>
      <c r="H37" s="40">
        <f>SUM(Tabla13211242[[#This Row],[PRIMER TRIMESTRE]:[CUARTO TRIMESTRE]])</f>
        <v>0</v>
      </c>
      <c r="I37" s="17">
        <v>90854.41</v>
      </c>
      <c r="J37" s="17">
        <f>+Tabla13211242[[#This Row],[CANTIDAD TOTAL]]*Tabla13211242[[#This Row],[PRECIO UNITARIO ESTIMADO]]</f>
        <v>0</v>
      </c>
      <c r="K37" s="17"/>
      <c r="L37" s="16" t="s">
        <v>15</v>
      </c>
      <c r="M37" s="16" t="s">
        <v>22</v>
      </c>
      <c r="N37" s="39" t="s">
        <v>418</v>
      </c>
      <c r="O37" s="20"/>
    </row>
    <row r="38" spans="1:15" s="55" customFormat="1" ht="31.5">
      <c r="A38" s="179" t="s">
        <v>41</v>
      </c>
      <c r="B38" s="76"/>
      <c r="C38" s="42"/>
      <c r="D38" s="237"/>
      <c r="E38" s="237"/>
      <c r="F38" s="237"/>
      <c r="G38" s="237"/>
      <c r="H38" s="43"/>
      <c r="I38" s="24"/>
      <c r="J38" s="24"/>
      <c r="K38" s="25">
        <f>SUBTOTAL(109,J36:J37)</f>
        <v>0</v>
      </c>
      <c r="L38" s="23"/>
      <c r="M38" s="23"/>
      <c r="N38" s="42"/>
      <c r="O38" s="20"/>
    </row>
    <row r="39" spans="1:15" s="55" customFormat="1" ht="30">
      <c r="A39" s="178" t="s">
        <v>1386</v>
      </c>
      <c r="B39" s="75" t="s">
        <v>1387</v>
      </c>
      <c r="C39" s="53" t="s">
        <v>1388</v>
      </c>
      <c r="D39" s="241"/>
      <c r="E39" s="241"/>
      <c r="F39" s="241"/>
      <c r="G39" s="241"/>
      <c r="H39" s="244">
        <f>SUM(Tabla13211242[[#This Row],[PRIMER TRIMESTRE]:[CUARTO TRIMESTRE]])</f>
        <v>0</v>
      </c>
      <c r="I39" s="245">
        <v>2500</v>
      </c>
      <c r="J39" s="245">
        <f>+H39*I39</f>
        <v>0</v>
      </c>
      <c r="K39" s="50"/>
      <c r="L39" s="77" t="s">
        <v>27</v>
      </c>
      <c r="M39" s="77" t="s">
        <v>22</v>
      </c>
      <c r="N39" s="53"/>
      <c r="O39" s="20"/>
    </row>
    <row r="40" spans="1:15" s="55" customFormat="1" ht="31.5">
      <c r="A40" s="16" t="s">
        <v>1386</v>
      </c>
      <c r="B40" s="75" t="s">
        <v>1551</v>
      </c>
      <c r="C40" s="176" t="s">
        <v>35</v>
      </c>
      <c r="D40" s="244"/>
      <c r="E40" s="244"/>
      <c r="F40" s="244"/>
      <c r="G40" s="244"/>
      <c r="H40" s="244">
        <f>SUM(Tabla13211242[[#This Row],[PRIMER TRIMESTRE]:[CUARTO TRIMESTRE]])</f>
        <v>0</v>
      </c>
      <c r="I40" s="245">
        <v>29000</v>
      </c>
      <c r="J40" s="245">
        <f>+H40*I40</f>
        <v>0</v>
      </c>
      <c r="K40" s="17"/>
      <c r="L40" s="16" t="s">
        <v>15</v>
      </c>
      <c r="M40" s="16" t="s">
        <v>22</v>
      </c>
      <c r="N40" s="39" t="s">
        <v>418</v>
      </c>
      <c r="O40" s="20"/>
    </row>
    <row r="41" spans="1:15" s="55" customFormat="1" ht="31.5">
      <c r="A41" s="16" t="s">
        <v>1386</v>
      </c>
      <c r="B41" s="75" t="s">
        <v>1844</v>
      </c>
      <c r="C41" s="53" t="s">
        <v>17</v>
      </c>
      <c r="D41" s="299"/>
      <c r="E41" s="299"/>
      <c r="F41" s="299"/>
      <c r="G41" s="299"/>
      <c r="H41" s="244">
        <f>SUM(Tabla13211242[[#This Row],[PRIMER TRIMESTRE]:[CUARTO TRIMESTRE]])</f>
        <v>0</v>
      </c>
      <c r="I41" s="248">
        <v>4000000</v>
      </c>
      <c r="J41" s="245">
        <f>+H41*I41</f>
        <v>0</v>
      </c>
      <c r="K41" s="17"/>
      <c r="L41" s="16" t="s">
        <v>18</v>
      </c>
      <c r="M41" s="16" t="s">
        <v>22</v>
      </c>
      <c r="N41" s="39"/>
      <c r="O41" s="20"/>
    </row>
    <row r="42" spans="1:15" s="55" customFormat="1" ht="30">
      <c r="A42" s="178" t="s">
        <v>1386</v>
      </c>
      <c r="B42" s="75" t="s">
        <v>1699</v>
      </c>
      <c r="C42" s="53" t="s">
        <v>17</v>
      </c>
      <c r="D42" s="299"/>
      <c r="E42" s="299"/>
      <c r="F42" s="299"/>
      <c r="G42" s="299"/>
      <c r="H42" s="46">
        <v>0</v>
      </c>
      <c r="I42" s="248">
        <v>0</v>
      </c>
      <c r="J42" s="248">
        <v>0</v>
      </c>
      <c r="K42" s="17"/>
      <c r="L42" s="16" t="s">
        <v>18</v>
      </c>
      <c r="M42" s="16" t="s">
        <v>22</v>
      </c>
      <c r="N42" s="39"/>
      <c r="O42" s="20"/>
    </row>
    <row r="43" spans="1:15" s="26" customFormat="1" ht="30">
      <c r="A43" s="178" t="s">
        <v>1386</v>
      </c>
      <c r="B43" s="75" t="s">
        <v>1701</v>
      </c>
      <c r="C43" s="53" t="s">
        <v>17</v>
      </c>
      <c r="D43" s="299"/>
      <c r="E43" s="299"/>
      <c r="F43" s="299"/>
      <c r="G43" s="299"/>
      <c r="H43" s="46">
        <v>0</v>
      </c>
      <c r="I43" s="248">
        <v>0</v>
      </c>
      <c r="J43" s="248">
        <v>0</v>
      </c>
      <c r="K43" s="17"/>
      <c r="L43" s="16" t="s">
        <v>18</v>
      </c>
      <c r="M43" s="77" t="s">
        <v>22</v>
      </c>
      <c r="N43" s="39"/>
      <c r="O43" s="23"/>
    </row>
    <row r="44" spans="1:15" s="26" customFormat="1" ht="30">
      <c r="A44" s="178" t="s">
        <v>1386</v>
      </c>
      <c r="B44" s="75" t="s">
        <v>1764</v>
      </c>
      <c r="C44" s="53" t="s">
        <v>17</v>
      </c>
      <c r="D44" s="299"/>
      <c r="E44" s="299"/>
      <c r="F44" s="299"/>
      <c r="G44" s="299"/>
      <c r="H44" s="46">
        <v>0</v>
      </c>
      <c r="I44" s="248">
        <v>0</v>
      </c>
      <c r="J44" s="248">
        <v>0</v>
      </c>
      <c r="K44" s="17"/>
      <c r="L44" s="77" t="s">
        <v>27</v>
      </c>
      <c r="M44" s="77" t="s">
        <v>22</v>
      </c>
      <c r="N44" s="39"/>
      <c r="O44" s="23"/>
    </row>
    <row r="45" spans="1:15" s="111" customFormat="1" ht="30">
      <c r="A45" s="178" t="s">
        <v>1386</v>
      </c>
      <c r="B45" s="75" t="s">
        <v>1389</v>
      </c>
      <c r="C45" s="53" t="s">
        <v>1390</v>
      </c>
      <c r="D45" s="241"/>
      <c r="E45" s="241"/>
      <c r="F45" s="241"/>
      <c r="G45" s="241"/>
      <c r="H45" s="244">
        <f>SUM(Tabla13211242[[#This Row],[PRIMER TRIMESTRE]:[CUARTO TRIMESTRE]])</f>
        <v>0</v>
      </c>
      <c r="I45" s="245">
        <v>277</v>
      </c>
      <c r="J45" s="245">
        <f>+H45*I45</f>
        <v>0</v>
      </c>
      <c r="K45" s="50"/>
      <c r="L45" s="77" t="s">
        <v>27</v>
      </c>
      <c r="M45" s="77" t="s">
        <v>22</v>
      </c>
      <c r="N45" s="53"/>
      <c r="O45" s="110"/>
    </row>
    <row r="46" spans="1:15" s="111" customFormat="1" ht="31.5">
      <c r="A46" s="179" t="s">
        <v>1386</v>
      </c>
      <c r="B46" s="76"/>
      <c r="C46" s="42"/>
      <c r="D46" s="237"/>
      <c r="E46" s="237"/>
      <c r="F46" s="237"/>
      <c r="G46" s="237"/>
      <c r="H46" s="43"/>
      <c r="I46" s="24"/>
      <c r="J46" s="24"/>
      <c r="K46" s="25">
        <f>SUM(J39:J45)</f>
        <v>0</v>
      </c>
      <c r="L46" s="23"/>
      <c r="M46" s="23"/>
      <c r="N46" s="42"/>
      <c r="O46" s="110"/>
    </row>
    <row r="47" spans="1:15" s="111" customFormat="1" ht="18">
      <c r="A47" s="180" t="s">
        <v>1672</v>
      </c>
      <c r="B47" s="77" t="s">
        <v>1845</v>
      </c>
      <c r="C47" s="244" t="s">
        <v>17</v>
      </c>
      <c r="D47" s="244"/>
      <c r="E47" s="244"/>
      <c r="F47" s="244"/>
      <c r="G47" s="244"/>
      <c r="H47" s="244">
        <v>0</v>
      </c>
      <c r="I47" s="244">
        <v>0</v>
      </c>
      <c r="J47" s="244">
        <v>0</v>
      </c>
      <c r="K47" s="244"/>
      <c r="L47" s="244" t="s">
        <v>1663</v>
      </c>
      <c r="M47" s="16" t="s">
        <v>22</v>
      </c>
      <c r="N47" s="244"/>
      <c r="O47" s="110"/>
    </row>
    <row r="48" spans="1:15" s="111" customFormat="1" ht="18">
      <c r="A48" s="180" t="s">
        <v>46</v>
      </c>
      <c r="B48" s="77" t="s">
        <v>1391</v>
      </c>
      <c r="C48" s="244" t="s">
        <v>17</v>
      </c>
      <c r="D48" s="244">
        <v>7</v>
      </c>
      <c r="E48" s="244">
        <v>7</v>
      </c>
      <c r="F48" s="244">
        <v>7</v>
      </c>
      <c r="G48" s="244">
        <v>7</v>
      </c>
      <c r="H48" s="244">
        <f>SUM(Tabla13211242[[#This Row],[PRIMER TRIMESTRE]:[CUARTO TRIMESTRE]])</f>
        <v>28</v>
      </c>
      <c r="I48" s="246">
        <v>1136476.48</v>
      </c>
      <c r="J48" s="246">
        <f t="shared" ref="J48:J79" si="0">+H48*I48</f>
        <v>31821341.439999998</v>
      </c>
      <c r="K48" s="77"/>
      <c r="L48" s="16" t="s">
        <v>18</v>
      </c>
      <c r="M48" s="16" t="s">
        <v>22</v>
      </c>
      <c r="N48" s="77"/>
      <c r="O48" s="110"/>
    </row>
    <row r="49" spans="1:15" s="111" customFormat="1" ht="18">
      <c r="A49" s="180" t="s">
        <v>46</v>
      </c>
      <c r="B49" s="77" t="s">
        <v>1392</v>
      </c>
      <c r="C49" s="177" t="s">
        <v>17</v>
      </c>
      <c r="D49" s="177"/>
      <c r="E49" s="177"/>
      <c r="F49" s="177"/>
      <c r="G49" s="177"/>
      <c r="H49" s="177">
        <f>SUM(Tabla13211242[[#This Row],[PRIMER TRIMESTRE]:[CUARTO TRIMESTRE]])</f>
        <v>0</v>
      </c>
      <c r="I49" s="246">
        <v>2600000</v>
      </c>
      <c r="J49" s="246">
        <f t="shared" si="0"/>
        <v>0</v>
      </c>
      <c r="K49" s="77"/>
      <c r="L49" s="16" t="s">
        <v>18</v>
      </c>
      <c r="M49" s="16" t="s">
        <v>22</v>
      </c>
      <c r="N49" s="77"/>
      <c r="O49" s="110"/>
    </row>
    <row r="50" spans="1:15" s="111" customFormat="1" ht="18">
      <c r="A50" s="180" t="s">
        <v>1666</v>
      </c>
      <c r="B50" s="77" t="s">
        <v>1669</v>
      </c>
      <c r="C50" s="177" t="s">
        <v>17</v>
      </c>
      <c r="D50" s="210"/>
      <c r="E50" s="210"/>
      <c r="F50" s="210"/>
      <c r="G50" s="210"/>
      <c r="H50" s="406">
        <v>0</v>
      </c>
      <c r="I50" s="247">
        <v>0</v>
      </c>
      <c r="J50" s="247">
        <v>0</v>
      </c>
      <c r="K50" s="72"/>
      <c r="L50" s="16" t="s">
        <v>18</v>
      </c>
      <c r="M50" s="16" t="s">
        <v>22</v>
      </c>
      <c r="N50" s="70"/>
      <c r="O50" s="110"/>
    </row>
    <row r="51" spans="1:15" s="111" customFormat="1" ht="18">
      <c r="A51" s="180" t="s">
        <v>1667</v>
      </c>
      <c r="B51" s="77" t="s">
        <v>1670</v>
      </c>
      <c r="C51" s="177" t="s">
        <v>17</v>
      </c>
      <c r="D51" s="210"/>
      <c r="E51" s="210"/>
      <c r="F51" s="210"/>
      <c r="G51" s="210"/>
      <c r="H51" s="406">
        <v>0</v>
      </c>
      <c r="I51" s="247">
        <v>0</v>
      </c>
      <c r="J51" s="247">
        <v>0</v>
      </c>
      <c r="K51" s="72"/>
      <c r="L51" s="16" t="s">
        <v>18</v>
      </c>
      <c r="M51" s="16" t="s">
        <v>22</v>
      </c>
      <c r="N51" s="70"/>
      <c r="O51" s="110"/>
    </row>
    <row r="52" spans="1:15" s="111" customFormat="1" ht="18">
      <c r="A52" s="180" t="s">
        <v>1668</v>
      </c>
      <c r="B52" s="77" t="s">
        <v>1846</v>
      </c>
      <c r="C52" s="177" t="s">
        <v>17</v>
      </c>
      <c r="D52" s="210"/>
      <c r="E52" s="210"/>
      <c r="F52" s="210"/>
      <c r="G52" s="210"/>
      <c r="H52" s="406">
        <v>0</v>
      </c>
      <c r="I52" s="247">
        <v>0</v>
      </c>
      <c r="J52" s="247">
        <v>0</v>
      </c>
      <c r="K52" s="72"/>
      <c r="L52" s="16" t="s">
        <v>18</v>
      </c>
      <c r="M52" s="16" t="s">
        <v>22</v>
      </c>
      <c r="N52" s="70"/>
      <c r="O52" s="110"/>
    </row>
    <row r="53" spans="1:15" s="111" customFormat="1" ht="18">
      <c r="A53" s="180" t="s">
        <v>1668</v>
      </c>
      <c r="B53" s="77" t="s">
        <v>1847</v>
      </c>
      <c r="C53" s="177" t="s">
        <v>17</v>
      </c>
      <c r="D53" s="210"/>
      <c r="E53" s="210"/>
      <c r="F53" s="210"/>
      <c r="G53" s="210"/>
      <c r="H53" s="406">
        <v>0</v>
      </c>
      <c r="I53" s="247">
        <v>0</v>
      </c>
      <c r="J53" s="247">
        <v>0</v>
      </c>
      <c r="K53" s="72"/>
      <c r="L53" s="16" t="s">
        <v>18</v>
      </c>
      <c r="M53" s="16" t="s">
        <v>22</v>
      </c>
      <c r="N53" s="70"/>
      <c r="O53" s="110"/>
    </row>
    <row r="54" spans="1:15" s="111" customFormat="1" ht="25.5">
      <c r="A54" s="180" t="s">
        <v>46</v>
      </c>
      <c r="B54" s="77" t="s">
        <v>1693</v>
      </c>
      <c r="C54" s="70" t="s">
        <v>17</v>
      </c>
      <c r="D54" s="210"/>
      <c r="E54" s="210"/>
      <c r="F54" s="210"/>
      <c r="G54" s="210"/>
      <c r="H54" s="406">
        <v>0</v>
      </c>
      <c r="I54" s="247">
        <v>0</v>
      </c>
      <c r="J54" s="247">
        <v>0</v>
      </c>
      <c r="K54" s="72"/>
      <c r="L54" s="16" t="s">
        <v>18</v>
      </c>
      <c r="M54" s="16" t="s">
        <v>22</v>
      </c>
      <c r="N54" s="70"/>
      <c r="O54" s="110"/>
    </row>
    <row r="55" spans="1:15" s="111" customFormat="1" ht="25.5">
      <c r="A55" s="180" t="s">
        <v>46</v>
      </c>
      <c r="B55" s="77" t="s">
        <v>1694</v>
      </c>
      <c r="C55" s="177" t="s">
        <v>17</v>
      </c>
      <c r="D55" s="210"/>
      <c r="E55" s="210"/>
      <c r="F55" s="210"/>
      <c r="G55" s="210"/>
      <c r="H55" s="406">
        <v>0</v>
      </c>
      <c r="I55" s="247">
        <v>0</v>
      </c>
      <c r="J55" s="247">
        <v>0</v>
      </c>
      <c r="K55" s="72"/>
      <c r="L55" s="16" t="s">
        <v>18</v>
      </c>
      <c r="M55" s="16" t="s">
        <v>22</v>
      </c>
      <c r="N55" s="70"/>
      <c r="O55" s="110"/>
    </row>
    <row r="56" spans="1:15" s="111" customFormat="1" ht="18">
      <c r="A56" s="180" t="s">
        <v>46</v>
      </c>
      <c r="B56" s="77" t="s">
        <v>1393</v>
      </c>
      <c r="C56" s="177" t="s">
        <v>17</v>
      </c>
      <c r="D56" s="77"/>
      <c r="E56" s="177"/>
      <c r="F56" s="177"/>
      <c r="G56" s="177"/>
      <c r="H56" s="177">
        <f>SUM(Tabla13211242[[#This Row],[PRIMER TRIMESTRE]:[CUARTO TRIMESTRE]])</f>
        <v>0</v>
      </c>
      <c r="I56" s="246">
        <v>1800000</v>
      </c>
      <c r="J56" s="246">
        <f t="shared" si="0"/>
        <v>0</v>
      </c>
      <c r="K56" s="77"/>
      <c r="L56" s="16" t="s">
        <v>18</v>
      </c>
      <c r="M56" s="16" t="s">
        <v>22</v>
      </c>
      <c r="N56" s="77"/>
      <c r="O56" s="110"/>
    </row>
    <row r="57" spans="1:15" s="111" customFormat="1" ht="18">
      <c r="A57" s="180" t="s">
        <v>46</v>
      </c>
      <c r="B57" s="77" t="s">
        <v>1394</v>
      </c>
      <c r="C57" s="177" t="s">
        <v>17</v>
      </c>
      <c r="D57" s="77"/>
      <c r="E57" s="177"/>
      <c r="F57" s="177"/>
      <c r="G57" s="177"/>
      <c r="H57" s="177">
        <f>SUM(Tabla13211242[[#This Row],[PRIMER TRIMESTRE]:[CUARTO TRIMESTRE]])</f>
        <v>0</v>
      </c>
      <c r="I57" s="246">
        <v>1800000</v>
      </c>
      <c r="J57" s="246">
        <f t="shared" si="0"/>
        <v>0</v>
      </c>
      <c r="K57" s="77"/>
      <c r="L57" s="16" t="s">
        <v>18</v>
      </c>
      <c r="M57" s="16" t="s">
        <v>22</v>
      </c>
      <c r="N57" s="77"/>
      <c r="O57" s="110"/>
    </row>
    <row r="58" spans="1:15" s="111" customFormat="1" ht="18">
      <c r="A58" s="180" t="s">
        <v>46</v>
      </c>
      <c r="B58" s="77" t="s">
        <v>1395</v>
      </c>
      <c r="C58" s="177" t="s">
        <v>17</v>
      </c>
      <c r="D58" s="77"/>
      <c r="E58" s="177"/>
      <c r="F58" s="177"/>
      <c r="G58" s="177"/>
      <c r="H58" s="177">
        <f>SUM(Tabla13211242[[#This Row],[PRIMER TRIMESTRE]:[CUARTO TRIMESTRE]])</f>
        <v>0</v>
      </c>
      <c r="I58" s="246">
        <v>11500000</v>
      </c>
      <c r="J58" s="246">
        <f t="shared" si="0"/>
        <v>0</v>
      </c>
      <c r="K58" s="77"/>
      <c r="L58" s="16" t="s">
        <v>18</v>
      </c>
      <c r="M58" s="16" t="s">
        <v>22</v>
      </c>
      <c r="N58" s="77"/>
      <c r="O58" s="110"/>
    </row>
    <row r="59" spans="1:15" s="111" customFormat="1" ht="18">
      <c r="A59" s="180" t="s">
        <v>46</v>
      </c>
      <c r="B59" s="77" t="s">
        <v>1396</v>
      </c>
      <c r="C59" s="177" t="s">
        <v>17</v>
      </c>
      <c r="D59" s="77"/>
      <c r="E59" s="177"/>
      <c r="F59" s="177"/>
      <c r="G59" s="177"/>
      <c r="H59" s="177">
        <f>SUM(Tabla13211242[[#This Row],[PRIMER TRIMESTRE]:[CUARTO TRIMESTRE]])</f>
        <v>0</v>
      </c>
      <c r="I59" s="246">
        <v>8120000</v>
      </c>
      <c r="J59" s="246">
        <f t="shared" si="0"/>
        <v>0</v>
      </c>
      <c r="K59" s="77"/>
      <c r="L59" s="16" t="s">
        <v>18</v>
      </c>
      <c r="M59" s="16" t="s">
        <v>22</v>
      </c>
      <c r="N59" s="77"/>
      <c r="O59" s="110"/>
    </row>
    <row r="60" spans="1:15" s="169" customFormat="1" ht="18">
      <c r="A60" s="180" t="s">
        <v>46</v>
      </c>
      <c r="B60" s="77" t="s">
        <v>1622</v>
      </c>
      <c r="C60" s="177" t="s">
        <v>17</v>
      </c>
      <c r="D60" s="210"/>
      <c r="E60" s="177"/>
      <c r="F60" s="177"/>
      <c r="G60" s="210"/>
      <c r="H60" s="177">
        <f>SUM(Tabla13211242[[#This Row],[PRIMER TRIMESTRE]:[CUARTO TRIMESTRE]])</f>
        <v>0</v>
      </c>
      <c r="I60" s="247">
        <v>58223</v>
      </c>
      <c r="J60" s="247">
        <f t="shared" si="0"/>
        <v>0</v>
      </c>
      <c r="K60" s="72"/>
      <c r="L60" s="16" t="s">
        <v>18</v>
      </c>
      <c r="M60" s="16" t="s">
        <v>22</v>
      </c>
      <c r="N60" s="39" t="s">
        <v>418</v>
      </c>
      <c r="O60" s="20"/>
    </row>
    <row r="61" spans="1:15" s="169" customFormat="1" ht="18">
      <c r="A61" s="180" t="s">
        <v>46</v>
      </c>
      <c r="B61" s="77" t="s">
        <v>1397</v>
      </c>
      <c r="C61" s="177" t="s">
        <v>17</v>
      </c>
      <c r="D61" s="77"/>
      <c r="E61" s="177"/>
      <c r="F61" s="177"/>
      <c r="G61" s="177"/>
      <c r="H61" s="177">
        <f>SUM(Tabla13211242[[#This Row],[PRIMER TRIMESTRE]:[CUARTO TRIMESTRE]])</f>
        <v>0</v>
      </c>
      <c r="I61" s="246">
        <v>55000</v>
      </c>
      <c r="J61" s="246">
        <f t="shared" si="0"/>
        <v>0</v>
      </c>
      <c r="K61" s="77"/>
      <c r="L61" s="16" t="s">
        <v>18</v>
      </c>
      <c r="M61" s="16" t="s">
        <v>22</v>
      </c>
      <c r="N61" s="39" t="s">
        <v>418</v>
      </c>
      <c r="O61" s="20"/>
    </row>
    <row r="62" spans="1:15" s="169" customFormat="1" ht="18">
      <c r="A62" s="180" t="s">
        <v>46</v>
      </c>
      <c r="B62" s="77" t="s">
        <v>550</v>
      </c>
      <c r="C62" s="70" t="s">
        <v>17</v>
      </c>
      <c r="D62" s="210"/>
      <c r="E62" s="210"/>
      <c r="F62" s="210"/>
      <c r="G62" s="210"/>
      <c r="H62" s="406">
        <f>SUM(Tabla13211242[[#This Row],[PRIMER TRIMESTRE]:[CUARTO TRIMESTRE]])</f>
        <v>0</v>
      </c>
      <c r="I62" s="72">
        <v>9480</v>
      </c>
      <c r="J62" s="72">
        <f t="shared" si="0"/>
        <v>0</v>
      </c>
      <c r="K62" s="72"/>
      <c r="L62" s="16" t="s">
        <v>18</v>
      </c>
      <c r="M62" s="73" t="s">
        <v>22</v>
      </c>
      <c r="N62" s="70" t="s">
        <v>418</v>
      </c>
      <c r="O62" s="20"/>
    </row>
    <row r="63" spans="1:15" s="169" customFormat="1" ht="18">
      <c r="A63" s="180" t="s">
        <v>46</v>
      </c>
      <c r="B63" s="77" t="s">
        <v>551</v>
      </c>
      <c r="C63" s="70" t="s">
        <v>17</v>
      </c>
      <c r="D63" s="210"/>
      <c r="E63" s="210"/>
      <c r="F63" s="210"/>
      <c r="G63" s="210"/>
      <c r="H63" s="406">
        <f>SUM(Tabla13211242[[#This Row],[PRIMER TRIMESTRE]:[CUARTO TRIMESTRE]])</f>
        <v>0</v>
      </c>
      <c r="I63" s="72">
        <v>31680</v>
      </c>
      <c r="J63" s="72">
        <f t="shared" si="0"/>
        <v>0</v>
      </c>
      <c r="K63" s="72"/>
      <c r="L63" s="16" t="s">
        <v>18</v>
      </c>
      <c r="M63" s="73" t="s">
        <v>22</v>
      </c>
      <c r="N63" s="70" t="s">
        <v>418</v>
      </c>
      <c r="O63" s="20"/>
    </row>
    <row r="64" spans="1:15" s="169" customFormat="1" ht="18">
      <c r="A64" s="180" t="s">
        <v>46</v>
      </c>
      <c r="B64" s="77" t="s">
        <v>552</v>
      </c>
      <c r="C64" s="70" t="s">
        <v>17</v>
      </c>
      <c r="D64" s="210"/>
      <c r="E64" s="210"/>
      <c r="F64" s="210"/>
      <c r="G64" s="210"/>
      <c r="H64" s="406">
        <f>SUM(Tabla13211242[[#This Row],[PRIMER TRIMESTRE]:[CUARTO TRIMESTRE]])</f>
        <v>0</v>
      </c>
      <c r="I64" s="72">
        <v>9279.9</v>
      </c>
      <c r="J64" s="72">
        <f t="shared" si="0"/>
        <v>0</v>
      </c>
      <c r="K64" s="72"/>
      <c r="L64" s="16" t="s">
        <v>18</v>
      </c>
      <c r="M64" s="73" t="s">
        <v>22</v>
      </c>
      <c r="N64" s="70" t="s">
        <v>418</v>
      </c>
      <c r="O64" s="20"/>
    </row>
    <row r="65" spans="1:15" s="169" customFormat="1" ht="18">
      <c r="A65" s="180" t="s">
        <v>46</v>
      </c>
      <c r="B65" s="77" t="s">
        <v>54</v>
      </c>
      <c r="C65" s="70" t="s">
        <v>17</v>
      </c>
      <c r="D65" s="210"/>
      <c r="E65" s="210"/>
      <c r="F65" s="210"/>
      <c r="G65" s="210"/>
      <c r="H65" s="406">
        <f>SUM(Tabla13211242[[#This Row],[PRIMER TRIMESTRE]:[CUARTO TRIMESTRE]])</f>
        <v>0</v>
      </c>
      <c r="I65" s="72">
        <v>9079.9</v>
      </c>
      <c r="J65" s="72">
        <f t="shared" si="0"/>
        <v>0</v>
      </c>
      <c r="K65" s="72"/>
      <c r="L65" s="16" t="s">
        <v>18</v>
      </c>
      <c r="M65" s="73" t="s">
        <v>22</v>
      </c>
      <c r="N65" s="70" t="s">
        <v>418</v>
      </c>
      <c r="O65" s="20"/>
    </row>
    <row r="66" spans="1:15" s="169" customFormat="1" ht="18">
      <c r="A66" s="180" t="s">
        <v>46</v>
      </c>
      <c r="B66" s="77" t="s">
        <v>53</v>
      </c>
      <c r="C66" s="70" t="s">
        <v>17</v>
      </c>
      <c r="D66" s="210"/>
      <c r="E66" s="210"/>
      <c r="F66" s="210"/>
      <c r="G66" s="210"/>
      <c r="H66" s="406">
        <f>SUM(Tabla13211242[[#This Row],[PRIMER TRIMESTRE]:[CUARTO TRIMESTRE]])</f>
        <v>0</v>
      </c>
      <c r="I66" s="72">
        <v>9048</v>
      </c>
      <c r="J66" s="72">
        <f t="shared" si="0"/>
        <v>0</v>
      </c>
      <c r="K66" s="72"/>
      <c r="L66" s="16" t="s">
        <v>18</v>
      </c>
      <c r="M66" s="73" t="s">
        <v>22</v>
      </c>
      <c r="N66" s="70" t="s">
        <v>418</v>
      </c>
      <c r="O66" s="20"/>
    </row>
    <row r="67" spans="1:15" s="169" customFormat="1" ht="18">
      <c r="A67" s="180" t="s">
        <v>46</v>
      </c>
      <c r="B67" s="77" t="s">
        <v>553</v>
      </c>
      <c r="C67" s="70" t="s">
        <v>17</v>
      </c>
      <c r="D67" s="210"/>
      <c r="E67" s="210"/>
      <c r="F67" s="210"/>
      <c r="G67" s="210"/>
      <c r="H67" s="406">
        <f>SUM(Tabla13211242[[#This Row],[PRIMER TRIMESTRE]:[CUARTO TRIMESTRE]])</f>
        <v>0</v>
      </c>
      <c r="I67" s="72">
        <v>7043.16</v>
      </c>
      <c r="J67" s="72">
        <f t="shared" si="0"/>
        <v>0</v>
      </c>
      <c r="K67" s="72"/>
      <c r="L67" s="16" t="s">
        <v>18</v>
      </c>
      <c r="M67" s="73" t="s">
        <v>22</v>
      </c>
      <c r="N67" s="70" t="s">
        <v>418</v>
      </c>
      <c r="O67" s="20"/>
    </row>
    <row r="68" spans="1:15" s="169" customFormat="1" ht="18">
      <c r="A68" s="180" t="s">
        <v>46</v>
      </c>
      <c r="B68" s="77" t="s">
        <v>554</v>
      </c>
      <c r="C68" s="70" t="s">
        <v>17</v>
      </c>
      <c r="D68" s="210"/>
      <c r="E68" s="210"/>
      <c r="F68" s="210"/>
      <c r="G68" s="210"/>
      <c r="H68" s="406">
        <f>SUM(Tabla13211242[[#This Row],[PRIMER TRIMESTRE]:[CUARTO TRIMESTRE]])</f>
        <v>0</v>
      </c>
      <c r="I68" s="72">
        <v>12210</v>
      </c>
      <c r="J68" s="72">
        <f t="shared" si="0"/>
        <v>0</v>
      </c>
      <c r="K68" s="72"/>
      <c r="L68" s="16" t="s">
        <v>18</v>
      </c>
      <c r="M68" s="73" t="s">
        <v>22</v>
      </c>
      <c r="N68" s="70" t="s">
        <v>418</v>
      </c>
      <c r="O68" s="20"/>
    </row>
    <row r="69" spans="1:15" s="169" customFormat="1" ht="18">
      <c r="A69" s="180" t="s">
        <v>46</v>
      </c>
      <c r="B69" s="77" t="s">
        <v>555</v>
      </c>
      <c r="C69" s="70" t="s">
        <v>17</v>
      </c>
      <c r="D69" s="210"/>
      <c r="E69" s="210"/>
      <c r="F69" s="210"/>
      <c r="G69" s="210"/>
      <c r="H69" s="406">
        <f>SUM(Tabla13211242[[#This Row],[PRIMER TRIMESTRE]:[CUARTO TRIMESTRE]])</f>
        <v>0</v>
      </c>
      <c r="I69" s="72">
        <v>4029.25</v>
      </c>
      <c r="J69" s="72">
        <f t="shared" si="0"/>
        <v>0</v>
      </c>
      <c r="K69" s="72"/>
      <c r="L69" s="16" t="s">
        <v>18</v>
      </c>
      <c r="M69" s="73" t="s">
        <v>22</v>
      </c>
      <c r="N69" s="70" t="s">
        <v>418</v>
      </c>
      <c r="O69" s="20"/>
    </row>
    <row r="70" spans="1:15" s="169" customFormat="1" ht="18">
      <c r="A70" s="407"/>
      <c r="B70" s="77"/>
      <c r="C70" s="70"/>
      <c r="D70" s="210"/>
      <c r="E70" s="210"/>
      <c r="F70" s="210"/>
      <c r="G70" s="210"/>
      <c r="H70" s="406"/>
      <c r="I70" s="72"/>
      <c r="J70" s="72"/>
      <c r="K70" s="72"/>
      <c r="L70" s="16"/>
      <c r="M70" s="73"/>
      <c r="N70" s="70"/>
      <c r="O70" s="20"/>
    </row>
    <row r="71" spans="1:15" s="169" customFormat="1" ht="18">
      <c r="A71" s="180" t="s">
        <v>46</v>
      </c>
      <c r="B71" s="77" t="s">
        <v>556</v>
      </c>
      <c r="C71" s="70" t="s">
        <v>17</v>
      </c>
      <c r="D71" s="210"/>
      <c r="E71" s="210"/>
      <c r="F71" s="210"/>
      <c r="G71" s="210"/>
      <c r="H71" s="406">
        <f>SUM(Tabla13211242[[#This Row],[PRIMER TRIMESTRE]:[CUARTO TRIMESTRE]])</f>
        <v>0</v>
      </c>
      <c r="I71" s="72">
        <v>33660</v>
      </c>
      <c r="J71" s="72">
        <f t="shared" si="0"/>
        <v>0</v>
      </c>
      <c r="K71" s="72"/>
      <c r="L71" s="16" t="s">
        <v>18</v>
      </c>
      <c r="M71" s="73" t="s">
        <v>22</v>
      </c>
      <c r="N71" s="70" t="s">
        <v>418</v>
      </c>
      <c r="O71" s="20"/>
    </row>
    <row r="72" spans="1:15" s="243" customFormat="1" ht="18">
      <c r="A72" s="180" t="s">
        <v>46</v>
      </c>
      <c r="B72" s="77" t="s">
        <v>557</v>
      </c>
      <c r="C72" s="70" t="s">
        <v>17</v>
      </c>
      <c r="D72" s="210"/>
      <c r="E72" s="210"/>
      <c r="F72" s="210"/>
      <c r="G72" s="210"/>
      <c r="H72" s="406">
        <f>SUM(Tabla13211242[[#This Row],[PRIMER TRIMESTRE]:[CUARTO TRIMESTRE]])</f>
        <v>0</v>
      </c>
      <c r="I72" s="72">
        <v>27205.48</v>
      </c>
      <c r="J72" s="72">
        <f t="shared" si="0"/>
        <v>0</v>
      </c>
      <c r="K72" s="72"/>
      <c r="L72" s="16" t="s">
        <v>18</v>
      </c>
      <c r="M72" s="73" t="s">
        <v>22</v>
      </c>
      <c r="N72" s="70" t="s">
        <v>418</v>
      </c>
      <c r="O72" s="408"/>
    </row>
    <row r="73" spans="1:15" s="169" customFormat="1" ht="18">
      <c r="A73" s="180" t="s">
        <v>46</v>
      </c>
      <c r="B73" s="77" t="s">
        <v>558</v>
      </c>
      <c r="C73" s="70" t="s">
        <v>17</v>
      </c>
      <c r="D73" s="210"/>
      <c r="E73" s="210"/>
      <c r="F73" s="210"/>
      <c r="G73" s="210"/>
      <c r="H73" s="406">
        <f>SUM(Tabla13211242[[#This Row],[PRIMER TRIMESTRE]:[CUARTO TRIMESTRE]])</f>
        <v>0</v>
      </c>
      <c r="I73" s="72">
        <v>14272.5</v>
      </c>
      <c r="J73" s="72">
        <f t="shared" si="0"/>
        <v>0</v>
      </c>
      <c r="K73" s="72"/>
      <c r="L73" s="16" t="s">
        <v>18</v>
      </c>
      <c r="M73" s="73" t="s">
        <v>22</v>
      </c>
      <c r="N73" s="70" t="s">
        <v>418</v>
      </c>
      <c r="O73" s="20"/>
    </row>
    <row r="74" spans="1:15" s="169" customFormat="1" ht="18">
      <c r="A74" s="180" t="s">
        <v>46</v>
      </c>
      <c r="B74" s="77" t="s">
        <v>1398</v>
      </c>
      <c r="C74" s="70" t="s">
        <v>17</v>
      </c>
      <c r="D74" s="70"/>
      <c r="E74" s="70"/>
      <c r="F74" s="70"/>
      <c r="G74" s="70"/>
      <c r="H74" s="70">
        <f>SUM(Tabla13211242[[#This Row],[PRIMER TRIMESTRE]:[CUARTO TRIMESTRE]])</f>
        <v>0</v>
      </c>
      <c r="I74" s="72">
        <v>9279.9</v>
      </c>
      <c r="J74" s="72">
        <f t="shared" si="0"/>
        <v>0</v>
      </c>
      <c r="K74" s="72"/>
      <c r="L74" s="16" t="s">
        <v>18</v>
      </c>
      <c r="M74" s="73" t="s">
        <v>22</v>
      </c>
      <c r="N74" s="70" t="s">
        <v>418</v>
      </c>
      <c r="O74" s="20"/>
    </row>
    <row r="75" spans="1:15" s="169" customFormat="1" ht="18">
      <c r="A75" s="180" t="s">
        <v>46</v>
      </c>
      <c r="B75" s="77" t="s">
        <v>560</v>
      </c>
      <c r="C75" s="70" t="s">
        <v>17</v>
      </c>
      <c r="D75" s="210"/>
      <c r="E75" s="210"/>
      <c r="F75" s="210"/>
      <c r="G75" s="210"/>
      <c r="H75" s="406">
        <f>SUM(Tabla13211242[[#This Row],[PRIMER TRIMESTRE]:[CUARTO TRIMESTRE]])</f>
        <v>0</v>
      </c>
      <c r="I75" s="72">
        <v>14190</v>
      </c>
      <c r="J75" s="72">
        <f t="shared" si="0"/>
        <v>0</v>
      </c>
      <c r="K75" s="72"/>
      <c r="L75" s="16" t="s">
        <v>18</v>
      </c>
      <c r="M75" s="73" t="s">
        <v>22</v>
      </c>
      <c r="N75" s="70" t="s">
        <v>418</v>
      </c>
      <c r="O75" s="20"/>
    </row>
    <row r="76" spans="1:15" s="169" customFormat="1" ht="18">
      <c r="A76" s="180" t="s">
        <v>46</v>
      </c>
      <c r="B76" s="77" t="s">
        <v>561</v>
      </c>
      <c r="C76" s="70" t="s">
        <v>17</v>
      </c>
      <c r="D76" s="210"/>
      <c r="E76" s="210"/>
      <c r="F76" s="210"/>
      <c r="G76" s="210"/>
      <c r="H76" s="406">
        <f>SUM(Tabla13211242[[#This Row],[PRIMER TRIMESTRE]:[CUARTO TRIMESTRE]])</f>
        <v>0</v>
      </c>
      <c r="I76" s="72">
        <v>4200</v>
      </c>
      <c r="J76" s="72">
        <f t="shared" si="0"/>
        <v>0</v>
      </c>
      <c r="K76" s="72"/>
      <c r="L76" s="16" t="s">
        <v>18</v>
      </c>
      <c r="M76" s="73" t="s">
        <v>22</v>
      </c>
      <c r="N76" s="70" t="s">
        <v>418</v>
      </c>
      <c r="O76" s="20"/>
    </row>
    <row r="77" spans="1:15" s="169" customFormat="1" ht="18">
      <c r="A77" s="180" t="s">
        <v>46</v>
      </c>
      <c r="B77" s="77" t="s">
        <v>764</v>
      </c>
      <c r="C77" s="70" t="s">
        <v>17</v>
      </c>
      <c r="D77" s="210"/>
      <c r="E77" s="210"/>
      <c r="F77" s="210"/>
      <c r="G77" s="210"/>
      <c r="H77" s="406">
        <f>SUM(Tabla13211242[[#This Row],[PRIMER TRIMESTRE]:[CUARTO TRIMESTRE]])</f>
        <v>0</v>
      </c>
      <c r="I77" s="72">
        <v>12650</v>
      </c>
      <c r="J77" s="72">
        <f t="shared" si="0"/>
        <v>0</v>
      </c>
      <c r="K77" s="72"/>
      <c r="L77" s="16" t="s">
        <v>18</v>
      </c>
      <c r="M77" s="73" t="s">
        <v>22</v>
      </c>
      <c r="N77" s="70" t="s">
        <v>418</v>
      </c>
      <c r="O77" s="20"/>
    </row>
    <row r="78" spans="1:15" s="26" customFormat="1" ht="18">
      <c r="A78" s="180" t="s">
        <v>46</v>
      </c>
      <c r="B78" s="77" t="s">
        <v>1399</v>
      </c>
      <c r="C78" s="70" t="s">
        <v>17</v>
      </c>
      <c r="D78" s="210"/>
      <c r="E78" s="210"/>
      <c r="F78" s="210"/>
      <c r="G78" s="210"/>
      <c r="H78" s="406">
        <f>SUM(Tabla13211242[[#This Row],[PRIMER TRIMESTRE]:[CUARTO TRIMESTRE]])</f>
        <v>0</v>
      </c>
      <c r="I78" s="72">
        <v>8500</v>
      </c>
      <c r="J78" s="72">
        <f t="shared" si="0"/>
        <v>0</v>
      </c>
      <c r="K78" s="72"/>
      <c r="L78" s="16" t="s">
        <v>18</v>
      </c>
      <c r="M78" s="73" t="s">
        <v>22</v>
      </c>
      <c r="N78" s="70" t="s">
        <v>418</v>
      </c>
      <c r="O78" s="23"/>
    </row>
    <row r="79" spans="1:15" s="169" customFormat="1" ht="18">
      <c r="A79" s="180" t="s">
        <v>46</v>
      </c>
      <c r="B79" s="77" t="s">
        <v>1400</v>
      </c>
      <c r="C79" s="70" t="s">
        <v>17</v>
      </c>
      <c r="D79" s="210"/>
      <c r="E79" s="210"/>
      <c r="F79" s="210"/>
      <c r="G79" s="210"/>
      <c r="H79" s="406">
        <f>SUM(Tabla13211242[[#This Row],[PRIMER TRIMESTRE]:[CUARTO TRIMESTRE]])</f>
        <v>0</v>
      </c>
      <c r="I79" s="72">
        <v>9500</v>
      </c>
      <c r="J79" s="72">
        <f t="shared" si="0"/>
        <v>0</v>
      </c>
      <c r="K79" s="72"/>
      <c r="L79" s="16" t="s">
        <v>18</v>
      </c>
      <c r="M79" s="73" t="s">
        <v>22</v>
      </c>
      <c r="N79" s="70" t="s">
        <v>418</v>
      </c>
      <c r="O79" s="20"/>
    </row>
    <row r="80" spans="1:15" s="169" customFormat="1" ht="18">
      <c r="A80" s="409" t="s">
        <v>46</v>
      </c>
      <c r="B80" s="43"/>
      <c r="C80" s="43"/>
      <c r="D80" s="238"/>
      <c r="E80" s="238"/>
      <c r="F80" s="238"/>
      <c r="G80" s="238"/>
      <c r="H80" s="43"/>
      <c r="I80" s="24"/>
      <c r="J80" s="24"/>
      <c r="K80" s="25">
        <f>SUBTOTAL(109,J48:J79)</f>
        <v>31821341.439999998</v>
      </c>
      <c r="L80" s="23"/>
      <c r="M80" s="23"/>
      <c r="N80" s="42"/>
      <c r="O80" s="20"/>
    </row>
    <row r="81" spans="1:15" s="169" customFormat="1" ht="30">
      <c r="A81" s="180" t="s">
        <v>56</v>
      </c>
      <c r="B81" s="77" t="s">
        <v>563</v>
      </c>
      <c r="C81" s="70" t="s">
        <v>17</v>
      </c>
      <c r="D81" s="210"/>
      <c r="E81" s="210"/>
      <c r="F81" s="210"/>
      <c r="G81" s="210"/>
      <c r="H81" s="406">
        <f>SUM(Tabla13211242[[#This Row],[PRIMER TRIMESTRE]:[CUARTO TRIMESTRE]])</f>
        <v>0</v>
      </c>
      <c r="I81" s="72">
        <v>4500</v>
      </c>
      <c r="J81" s="72">
        <f>+H81*I81</f>
        <v>0</v>
      </c>
      <c r="K81" s="72"/>
      <c r="L81" s="73" t="s">
        <v>27</v>
      </c>
      <c r="M81" s="73" t="s">
        <v>22</v>
      </c>
      <c r="N81" s="70" t="s">
        <v>418</v>
      </c>
      <c r="O81" s="20"/>
    </row>
    <row r="82" spans="1:15" s="169" customFormat="1" ht="30">
      <c r="A82" s="180" t="s">
        <v>56</v>
      </c>
      <c r="B82" s="77" t="s">
        <v>562</v>
      </c>
      <c r="C82" s="70" t="s">
        <v>17</v>
      </c>
      <c r="D82" s="210"/>
      <c r="E82" s="210"/>
      <c r="F82" s="210"/>
      <c r="G82" s="210"/>
      <c r="H82" s="406">
        <f>SUM(Tabla13211242[[#This Row],[PRIMER TRIMESTRE]:[CUARTO TRIMESTRE]])</f>
        <v>0</v>
      </c>
      <c r="I82" s="72">
        <v>6800</v>
      </c>
      <c r="J82" s="72">
        <f>+H82*I82</f>
        <v>0</v>
      </c>
      <c r="K82" s="72"/>
      <c r="L82" s="73" t="s">
        <v>27</v>
      </c>
      <c r="M82" s="73" t="s">
        <v>22</v>
      </c>
      <c r="N82" s="70" t="s">
        <v>418</v>
      </c>
      <c r="O82" s="20"/>
    </row>
    <row r="83" spans="1:15" s="169" customFormat="1" ht="30">
      <c r="A83" s="180" t="s">
        <v>56</v>
      </c>
      <c r="B83" s="77" t="s">
        <v>61</v>
      </c>
      <c r="C83" s="70" t="s">
        <v>17</v>
      </c>
      <c r="D83" s="210"/>
      <c r="E83" s="210"/>
      <c r="F83" s="210"/>
      <c r="G83" s="210"/>
      <c r="H83" s="406">
        <f>SUM(Tabla13211242[[#This Row],[PRIMER TRIMESTRE]:[CUARTO TRIMESTRE]])</f>
        <v>0</v>
      </c>
      <c r="I83" s="72">
        <f>3600*1.2</f>
        <v>4320</v>
      </c>
      <c r="J83" s="72">
        <f>+Tabla13211242[[#This Row],[CANTIDAD TOTAL]]*Tabla13211242[[#This Row],[PRECIO UNITARIO ESTIMADO]]</f>
        <v>0</v>
      </c>
      <c r="K83" s="72"/>
      <c r="L83" s="73" t="s">
        <v>27</v>
      </c>
      <c r="M83" s="73" t="s">
        <v>22</v>
      </c>
      <c r="N83" s="70" t="s">
        <v>418</v>
      </c>
      <c r="O83" s="20"/>
    </row>
    <row r="84" spans="1:15" s="169" customFormat="1" ht="30">
      <c r="A84" s="180" t="s">
        <v>56</v>
      </c>
      <c r="B84" s="77" t="s">
        <v>63</v>
      </c>
      <c r="C84" s="70" t="s">
        <v>17</v>
      </c>
      <c r="D84" s="210"/>
      <c r="E84" s="210"/>
      <c r="F84" s="210"/>
      <c r="G84" s="210"/>
      <c r="H84" s="406">
        <f>SUM(Tabla13211242[[#This Row],[PRIMER TRIMESTRE]:[CUARTO TRIMESTRE]])</f>
        <v>0</v>
      </c>
      <c r="I84" s="72">
        <v>6409</v>
      </c>
      <c r="J84" s="72">
        <f>+Tabla13211242[[#This Row],[CANTIDAD TOTAL]]*Tabla13211242[[#This Row],[PRECIO UNITARIO ESTIMADO]]</f>
        <v>0</v>
      </c>
      <c r="K84" s="72"/>
      <c r="L84" s="73" t="s">
        <v>27</v>
      </c>
      <c r="M84" s="73" t="s">
        <v>22</v>
      </c>
      <c r="N84" s="70" t="s">
        <v>418</v>
      </c>
      <c r="O84" s="20"/>
    </row>
    <row r="85" spans="1:15" s="169" customFormat="1" ht="30">
      <c r="A85" s="180" t="s">
        <v>56</v>
      </c>
      <c r="B85" s="77" t="s">
        <v>64</v>
      </c>
      <c r="C85" s="70" t="s">
        <v>17</v>
      </c>
      <c r="D85" s="210"/>
      <c r="E85" s="210"/>
      <c r="F85" s="210"/>
      <c r="G85" s="210"/>
      <c r="H85" s="406">
        <f>SUM(Tabla13211242[[#This Row],[PRIMER TRIMESTRE]:[CUARTO TRIMESTRE]])</f>
        <v>0</v>
      </c>
      <c r="I85" s="72">
        <v>6500</v>
      </c>
      <c r="J85" s="72">
        <f>+Tabla13211242[[#This Row],[CANTIDAD TOTAL]]*Tabla13211242[[#This Row],[PRECIO UNITARIO ESTIMADO]]</f>
        <v>0</v>
      </c>
      <c r="K85" s="72"/>
      <c r="L85" s="73" t="s">
        <v>27</v>
      </c>
      <c r="M85" s="73" t="s">
        <v>22</v>
      </c>
      <c r="N85" s="70" t="s">
        <v>418</v>
      </c>
      <c r="O85" s="20"/>
    </row>
    <row r="86" spans="1:15" s="169" customFormat="1" ht="30">
      <c r="A86" s="180" t="s">
        <v>56</v>
      </c>
      <c r="B86" s="77" t="s">
        <v>65</v>
      </c>
      <c r="C86" s="70" t="s">
        <v>17</v>
      </c>
      <c r="D86" s="210"/>
      <c r="E86" s="210"/>
      <c r="F86" s="210"/>
      <c r="G86" s="210"/>
      <c r="H86" s="406">
        <f>SUM(Tabla13211242[[#This Row],[PRIMER TRIMESTRE]:[CUARTO TRIMESTRE]])</f>
        <v>0</v>
      </c>
      <c r="I86" s="72">
        <v>6500</v>
      </c>
      <c r="J86" s="72">
        <f>+H86*I86</f>
        <v>0</v>
      </c>
      <c r="K86" s="72"/>
      <c r="L86" s="73" t="s">
        <v>27</v>
      </c>
      <c r="M86" s="73" t="s">
        <v>22</v>
      </c>
      <c r="N86" s="70" t="s">
        <v>418</v>
      </c>
      <c r="O86" s="20"/>
    </row>
    <row r="87" spans="1:15" s="169" customFormat="1" ht="30">
      <c r="A87" s="180" t="s">
        <v>56</v>
      </c>
      <c r="B87" s="77" t="s">
        <v>1422</v>
      </c>
      <c r="C87" s="70" t="s">
        <v>17</v>
      </c>
      <c r="D87" s="210"/>
      <c r="E87" s="210"/>
      <c r="F87" s="210"/>
      <c r="G87" s="210"/>
      <c r="H87" s="406">
        <f>SUM(Tabla13211242[[#This Row],[PRIMER TRIMESTRE]:[CUARTO TRIMESTRE]])</f>
        <v>0</v>
      </c>
      <c r="I87" s="72">
        <v>7965.33</v>
      </c>
      <c r="J87" s="72">
        <f>+Tabla13211242[[#This Row],[CANTIDAD TOTAL]]*Tabla13211242[[#This Row],[PRECIO UNITARIO ESTIMADO]]</f>
        <v>0</v>
      </c>
      <c r="K87" s="72"/>
      <c r="L87" s="73" t="s">
        <v>27</v>
      </c>
      <c r="M87" s="73" t="s">
        <v>22</v>
      </c>
      <c r="N87" s="70" t="s">
        <v>418</v>
      </c>
      <c r="O87" s="20"/>
    </row>
    <row r="88" spans="1:15" s="111" customFormat="1" ht="30">
      <c r="A88" s="180" t="s">
        <v>56</v>
      </c>
      <c r="B88" s="77" t="s">
        <v>66</v>
      </c>
      <c r="C88" s="70" t="s">
        <v>17</v>
      </c>
      <c r="D88" s="210"/>
      <c r="E88" s="210"/>
      <c r="F88" s="210"/>
      <c r="G88" s="210"/>
      <c r="H88" s="406">
        <f>SUM(Tabla13211242[[#This Row],[PRIMER TRIMESTRE]:[CUARTO TRIMESTRE]])</f>
        <v>0</v>
      </c>
      <c r="I88" s="72">
        <v>9976</v>
      </c>
      <c r="J88" s="72">
        <f>+Tabla13211242[[#This Row],[CANTIDAD TOTAL]]*Tabla13211242[[#This Row],[PRECIO UNITARIO ESTIMADO]]</f>
        <v>0</v>
      </c>
      <c r="K88" s="72"/>
      <c r="L88" s="73" t="s">
        <v>27</v>
      </c>
      <c r="M88" s="73" t="s">
        <v>22</v>
      </c>
      <c r="N88" s="70" t="s">
        <v>418</v>
      </c>
      <c r="O88" s="110"/>
    </row>
    <row r="89" spans="1:15" s="111" customFormat="1" ht="30">
      <c r="A89" s="180" t="s">
        <v>56</v>
      </c>
      <c r="B89" s="77" t="s">
        <v>1848</v>
      </c>
      <c r="C89" s="70" t="s">
        <v>17</v>
      </c>
      <c r="D89" s="210"/>
      <c r="E89" s="210"/>
      <c r="F89" s="210"/>
      <c r="G89" s="210"/>
      <c r="H89" s="406">
        <v>0</v>
      </c>
      <c r="I89" s="72">
        <v>0</v>
      </c>
      <c r="J89" s="72">
        <v>0</v>
      </c>
      <c r="K89" s="72"/>
      <c r="L89" s="73" t="s">
        <v>27</v>
      </c>
      <c r="M89" s="73" t="s">
        <v>22</v>
      </c>
      <c r="N89" s="70" t="s">
        <v>418</v>
      </c>
      <c r="O89" s="110"/>
    </row>
    <row r="90" spans="1:15" s="26" customFormat="1" ht="30">
      <c r="A90" s="180" t="s">
        <v>56</v>
      </c>
      <c r="B90" s="77" t="s">
        <v>765</v>
      </c>
      <c r="C90" s="70" t="s">
        <v>17</v>
      </c>
      <c r="D90" s="210"/>
      <c r="E90" s="210"/>
      <c r="F90" s="210"/>
      <c r="G90" s="210"/>
      <c r="H90" s="406">
        <f>SUM(Tabla13211242[[#This Row],[PRIMER TRIMESTRE]:[CUARTO TRIMESTRE]])</f>
        <v>0</v>
      </c>
      <c r="I90" s="72">
        <v>11500</v>
      </c>
      <c r="J90" s="72">
        <f>+H90*I90</f>
        <v>0</v>
      </c>
      <c r="K90" s="72"/>
      <c r="L90" s="73" t="s">
        <v>27</v>
      </c>
      <c r="M90" s="73" t="s">
        <v>22</v>
      </c>
      <c r="N90" s="70" t="s">
        <v>418</v>
      </c>
      <c r="O90" s="23"/>
    </row>
    <row r="91" spans="1:15" s="12" customFormat="1" ht="18">
      <c r="A91" s="70" t="s">
        <v>56</v>
      </c>
      <c r="B91" s="77" t="s">
        <v>1401</v>
      </c>
      <c r="C91" s="70" t="s">
        <v>17</v>
      </c>
      <c r="D91" s="70"/>
      <c r="E91" s="70"/>
      <c r="F91" s="70"/>
      <c r="G91" s="70"/>
      <c r="H91" s="70">
        <f>SUM(Tabla13211242[[#This Row],[PRIMER TRIMESTRE]:[CUARTO TRIMESTRE]])</f>
        <v>0</v>
      </c>
      <c r="I91" s="72">
        <v>250</v>
      </c>
      <c r="J91" s="72">
        <f>+H91*I91</f>
        <v>0</v>
      </c>
      <c r="K91" s="72"/>
      <c r="L91" s="73" t="s">
        <v>27</v>
      </c>
      <c r="M91" s="73" t="s">
        <v>22</v>
      </c>
      <c r="N91" s="70" t="s">
        <v>418</v>
      </c>
      <c r="O91" s="20"/>
    </row>
    <row r="92" spans="1:15" s="12" customFormat="1" ht="31.5">
      <c r="A92" s="179" t="s">
        <v>56</v>
      </c>
      <c r="B92" s="76"/>
      <c r="C92" s="42"/>
      <c r="D92" s="237"/>
      <c r="E92" s="237"/>
      <c r="F92" s="237"/>
      <c r="G92" s="237"/>
      <c r="H92" s="43"/>
      <c r="I92" s="24"/>
      <c r="J92" s="24"/>
      <c r="K92" s="25">
        <f>SUM(J81:J91)</f>
        <v>0</v>
      </c>
      <c r="L92" s="23"/>
      <c r="M92" s="23"/>
      <c r="N92" s="42"/>
      <c r="O92" s="20"/>
    </row>
    <row r="93" spans="1:15" s="12" customFormat="1" ht="18">
      <c r="A93" s="180" t="s">
        <v>62</v>
      </c>
      <c r="B93" s="77" t="s">
        <v>68</v>
      </c>
      <c r="C93" s="70" t="s">
        <v>69</v>
      </c>
      <c r="D93" s="210"/>
      <c r="E93" s="210"/>
      <c r="F93" s="210"/>
      <c r="G93" s="210"/>
      <c r="H93" s="406">
        <f>SUM(Tabla13211242[[#This Row],[PRIMER TRIMESTRE]:[CUARTO TRIMESTRE]])</f>
        <v>0</v>
      </c>
      <c r="I93" s="17">
        <v>320.89999999999998</v>
      </c>
      <c r="J93" s="17">
        <f>+Tabla13211242[[#This Row],[CANTIDAD TOTAL]]*Tabla13211242[[#This Row],[PRECIO UNITARIO ESTIMADO]]</f>
        <v>0</v>
      </c>
      <c r="K93" s="17"/>
      <c r="L93" s="16" t="s">
        <v>27</v>
      </c>
      <c r="M93" s="16" t="s">
        <v>22</v>
      </c>
      <c r="N93" s="39" t="s">
        <v>418</v>
      </c>
      <c r="O93" s="20"/>
    </row>
    <row r="94" spans="1:15" s="12" customFormat="1" ht="18">
      <c r="A94" s="180" t="s">
        <v>62</v>
      </c>
      <c r="B94" s="77" t="s">
        <v>461</v>
      </c>
      <c r="C94" s="70" t="s">
        <v>69</v>
      </c>
      <c r="D94" s="210"/>
      <c r="E94" s="210"/>
      <c r="F94" s="210"/>
      <c r="G94" s="210"/>
      <c r="H94" s="406">
        <f>SUM(Tabla13211242[[#This Row],[PRIMER TRIMESTRE]:[CUARTO TRIMESTRE]])</f>
        <v>0</v>
      </c>
      <c r="I94" s="17">
        <v>561.17999999999995</v>
      </c>
      <c r="J94" s="17">
        <f>+H94*I94</f>
        <v>0</v>
      </c>
      <c r="K94" s="17"/>
      <c r="L94" s="16" t="s">
        <v>27</v>
      </c>
      <c r="M94" s="16" t="s">
        <v>22</v>
      </c>
      <c r="N94" s="39" t="s">
        <v>418</v>
      </c>
      <c r="O94" s="20"/>
    </row>
    <row r="95" spans="1:15" s="12" customFormat="1" ht="18">
      <c r="A95" s="180" t="s">
        <v>62</v>
      </c>
      <c r="B95" s="77" t="s">
        <v>1149</v>
      </c>
      <c r="C95" s="70" t="s">
        <v>69</v>
      </c>
      <c r="D95" s="210"/>
      <c r="E95" s="210"/>
      <c r="F95" s="210"/>
      <c r="G95" s="210"/>
      <c r="H95" s="406">
        <f>SUM(Tabla13211242[[#This Row],[PRIMER TRIMESTRE]:[CUARTO TRIMESTRE]])</f>
        <v>0</v>
      </c>
      <c r="I95" s="17">
        <v>1900</v>
      </c>
      <c r="J95" s="17">
        <f>+H95*I95</f>
        <v>0</v>
      </c>
      <c r="K95" s="17"/>
      <c r="L95" s="16" t="s">
        <v>27</v>
      </c>
      <c r="M95" s="16" t="s">
        <v>22</v>
      </c>
      <c r="N95" s="39" t="s">
        <v>418</v>
      </c>
      <c r="O95" s="20"/>
    </row>
    <row r="96" spans="1:15" s="12" customFormat="1" ht="18">
      <c r="A96" s="180" t="s">
        <v>62</v>
      </c>
      <c r="B96" s="77" t="s">
        <v>567</v>
      </c>
      <c r="C96" s="70" t="s">
        <v>17</v>
      </c>
      <c r="D96" s="210"/>
      <c r="E96" s="210"/>
      <c r="F96" s="210"/>
      <c r="G96" s="210"/>
      <c r="H96" s="406">
        <f>SUM(Tabla13211242[[#This Row],[PRIMER TRIMESTRE]:[CUARTO TRIMESTRE]])</f>
        <v>0</v>
      </c>
      <c r="I96" s="17">
        <v>350</v>
      </c>
      <c r="J96" s="17">
        <f>+Tabla13211242[[#This Row],[CANTIDAD TOTAL]]*Tabla13211242[[#This Row],[PRECIO UNITARIO ESTIMADO]]</f>
        <v>0</v>
      </c>
      <c r="K96" s="17"/>
      <c r="L96" s="16" t="s">
        <v>27</v>
      </c>
      <c r="M96" s="16" t="s">
        <v>22</v>
      </c>
      <c r="N96" s="39" t="s">
        <v>418</v>
      </c>
      <c r="O96" s="20"/>
    </row>
    <row r="97" spans="1:15" s="12" customFormat="1" ht="18">
      <c r="A97" s="180" t="s">
        <v>62</v>
      </c>
      <c r="B97" s="77" t="s">
        <v>472</v>
      </c>
      <c r="C97" s="70" t="s">
        <v>17</v>
      </c>
      <c r="D97" s="210"/>
      <c r="E97" s="210"/>
      <c r="F97" s="210"/>
      <c r="G97" s="210"/>
      <c r="H97" s="406">
        <f>SUM(Tabla13211242[[#This Row],[PRIMER TRIMESTRE]:[CUARTO TRIMESTRE]])</f>
        <v>0</v>
      </c>
      <c r="I97" s="17">
        <v>450.4</v>
      </c>
      <c r="J97" s="17">
        <f>+H97*I97</f>
        <v>0</v>
      </c>
      <c r="K97" s="17"/>
      <c r="L97" s="16" t="s">
        <v>27</v>
      </c>
      <c r="M97" s="16" t="s">
        <v>22</v>
      </c>
      <c r="N97" s="39" t="s">
        <v>418</v>
      </c>
      <c r="O97" s="20"/>
    </row>
    <row r="98" spans="1:15" s="12" customFormat="1" ht="18">
      <c r="A98" s="180" t="s">
        <v>62</v>
      </c>
      <c r="B98" s="77" t="s">
        <v>1150</v>
      </c>
      <c r="C98" s="70" t="s">
        <v>17</v>
      </c>
      <c r="D98" s="210"/>
      <c r="E98" s="210"/>
      <c r="F98" s="210"/>
      <c r="G98" s="210"/>
      <c r="H98" s="406">
        <f>SUM(Tabla13211242[[#This Row],[PRIMER TRIMESTRE]:[CUARTO TRIMESTRE]])</f>
        <v>0</v>
      </c>
      <c r="I98" s="17">
        <v>450.4</v>
      </c>
      <c r="J98" s="17">
        <f>+H98*I98</f>
        <v>0</v>
      </c>
      <c r="K98" s="17"/>
      <c r="L98" s="16" t="s">
        <v>27</v>
      </c>
      <c r="M98" s="16" t="s">
        <v>22</v>
      </c>
      <c r="N98" s="39" t="s">
        <v>418</v>
      </c>
      <c r="O98" s="20"/>
    </row>
    <row r="99" spans="1:15" s="12" customFormat="1" ht="18">
      <c r="A99" s="180" t="s">
        <v>62</v>
      </c>
      <c r="B99" s="77" t="s">
        <v>440</v>
      </c>
      <c r="C99" s="70" t="s">
        <v>17</v>
      </c>
      <c r="D99" s="210"/>
      <c r="E99" s="210"/>
      <c r="F99" s="210"/>
      <c r="G99" s="210"/>
      <c r="H99" s="406">
        <f>SUM(Tabla13211242[[#This Row],[PRIMER TRIMESTRE]:[CUARTO TRIMESTRE]])</f>
        <v>0</v>
      </c>
      <c r="I99" s="17">
        <v>7000</v>
      </c>
      <c r="J99" s="17">
        <f>+H99*I99</f>
        <v>0</v>
      </c>
      <c r="K99" s="17"/>
      <c r="L99" s="16" t="s">
        <v>27</v>
      </c>
      <c r="M99" s="16" t="s">
        <v>22</v>
      </c>
      <c r="N99" s="39" t="s">
        <v>418</v>
      </c>
      <c r="O99" s="20"/>
    </row>
    <row r="100" spans="1:15" s="12" customFormat="1" ht="18">
      <c r="A100" s="180" t="s">
        <v>62</v>
      </c>
      <c r="B100" s="77" t="s">
        <v>435</v>
      </c>
      <c r="C100" s="70" t="s">
        <v>17</v>
      </c>
      <c r="D100" s="210"/>
      <c r="E100" s="210"/>
      <c r="F100" s="210"/>
      <c r="G100" s="210"/>
      <c r="H100" s="406">
        <f>SUM(Tabla13211242[[#This Row],[PRIMER TRIMESTRE]:[CUARTO TRIMESTRE]])</f>
        <v>0</v>
      </c>
      <c r="I100" s="17">
        <v>110</v>
      </c>
      <c r="J100" s="17">
        <f>+Tabla13211242[[#This Row],[CANTIDAD TOTAL]]*Tabla13211242[[#This Row],[PRECIO UNITARIO ESTIMADO]]</f>
        <v>0</v>
      </c>
      <c r="K100" s="17"/>
      <c r="L100" s="16" t="s">
        <v>27</v>
      </c>
      <c r="M100" s="16" t="s">
        <v>22</v>
      </c>
      <c r="N100" s="39" t="s">
        <v>418</v>
      </c>
      <c r="O100" s="20"/>
    </row>
    <row r="101" spans="1:15" s="12" customFormat="1" ht="18">
      <c r="A101" s="180" t="s">
        <v>62</v>
      </c>
      <c r="B101" s="77" t="s">
        <v>729</v>
      </c>
      <c r="C101" s="70" t="s">
        <v>17</v>
      </c>
      <c r="D101" s="210"/>
      <c r="E101" s="210"/>
      <c r="F101" s="210"/>
      <c r="G101" s="210"/>
      <c r="H101" s="406">
        <f>SUM(Tabla13211242[[#This Row],[PRIMER TRIMESTRE]:[CUARTO TRIMESTRE]])</f>
        <v>0</v>
      </c>
      <c r="I101" s="17">
        <v>260</v>
      </c>
      <c r="J101" s="17">
        <f>+Tabla13211242[[#This Row],[CANTIDAD TOTAL]]*Tabla13211242[[#This Row],[PRECIO UNITARIO ESTIMADO]]</f>
        <v>0</v>
      </c>
      <c r="K101" s="17"/>
      <c r="L101" s="16" t="s">
        <v>27</v>
      </c>
      <c r="M101" s="16" t="s">
        <v>22</v>
      </c>
      <c r="N101" s="39" t="s">
        <v>418</v>
      </c>
      <c r="O101" s="20"/>
    </row>
    <row r="102" spans="1:15" s="12" customFormat="1" ht="18">
      <c r="A102" s="180" t="s">
        <v>62</v>
      </c>
      <c r="B102" s="77" t="s">
        <v>731</v>
      </c>
      <c r="C102" s="70" t="s">
        <v>17</v>
      </c>
      <c r="D102" s="210"/>
      <c r="E102" s="210"/>
      <c r="F102" s="210"/>
      <c r="G102" s="210"/>
      <c r="H102" s="406">
        <f>SUM(Tabla13211242[[#This Row],[PRIMER TRIMESTRE]:[CUARTO TRIMESTRE]])</f>
        <v>0</v>
      </c>
      <c r="I102" s="17">
        <v>375</v>
      </c>
      <c r="J102" s="17">
        <f>+Tabla13211242[[#This Row],[CANTIDAD TOTAL]]*Tabla13211242[[#This Row],[PRECIO UNITARIO ESTIMADO]]</f>
        <v>0</v>
      </c>
      <c r="K102" s="17"/>
      <c r="L102" s="16" t="s">
        <v>27</v>
      </c>
      <c r="M102" s="16" t="s">
        <v>22</v>
      </c>
      <c r="N102" s="39" t="s">
        <v>418</v>
      </c>
      <c r="O102" s="20"/>
    </row>
    <row r="103" spans="1:15" s="12" customFormat="1" ht="18">
      <c r="A103" s="180" t="s">
        <v>62</v>
      </c>
      <c r="B103" s="17" t="s">
        <v>1589</v>
      </c>
      <c r="C103" s="248" t="s">
        <v>17</v>
      </c>
      <c r="D103" s="210"/>
      <c r="E103" s="17"/>
      <c r="F103" s="17"/>
      <c r="G103" s="17"/>
      <c r="H103" s="406">
        <f>SUM(Tabla13211242[[#This Row],[PRIMER TRIMESTRE]:[CUARTO TRIMESTRE]])</f>
        <v>0</v>
      </c>
      <c r="I103" s="17">
        <v>425</v>
      </c>
      <c r="J103" s="17">
        <f>+H103*I103</f>
        <v>0</v>
      </c>
      <c r="K103" s="17"/>
      <c r="L103" s="16" t="s">
        <v>27</v>
      </c>
      <c r="M103" s="16" t="s">
        <v>22</v>
      </c>
      <c r="N103" s="39" t="s">
        <v>418</v>
      </c>
      <c r="O103" s="20"/>
    </row>
    <row r="104" spans="1:15" s="12" customFormat="1" ht="18">
      <c r="A104" s="180" t="s">
        <v>62</v>
      </c>
      <c r="B104" s="77" t="s">
        <v>72</v>
      </c>
      <c r="C104" s="70" t="s">
        <v>17</v>
      </c>
      <c r="D104" s="210"/>
      <c r="E104" s="210"/>
      <c r="F104" s="210"/>
      <c r="G104" s="210"/>
      <c r="H104" s="406">
        <f>SUM(Tabla13211242[[#This Row],[PRIMER TRIMESTRE]:[CUARTO TRIMESTRE]])</f>
        <v>0</v>
      </c>
      <c r="I104" s="72">
        <v>295</v>
      </c>
      <c r="J104" s="17">
        <f>+Tabla13211242[[#This Row],[CANTIDAD TOTAL]]*Tabla13211242[[#This Row],[PRECIO UNITARIO ESTIMADO]]</f>
        <v>0</v>
      </c>
      <c r="K104" s="17"/>
      <c r="L104" s="16" t="s">
        <v>27</v>
      </c>
      <c r="M104" s="16" t="s">
        <v>22</v>
      </c>
      <c r="N104" s="39" t="s">
        <v>418</v>
      </c>
      <c r="O104" s="20"/>
    </row>
    <row r="105" spans="1:15" s="12" customFormat="1" ht="18">
      <c r="A105" s="180" t="s">
        <v>62</v>
      </c>
      <c r="B105" s="77" t="s">
        <v>467</v>
      </c>
      <c r="C105" s="70" t="s">
        <v>17</v>
      </c>
      <c r="D105" s="210"/>
      <c r="E105" s="210"/>
      <c r="F105" s="210"/>
      <c r="G105" s="210"/>
      <c r="H105" s="406">
        <f>SUM(Tabla13211242[[#This Row],[PRIMER TRIMESTRE]:[CUARTO TRIMESTRE]])</f>
        <v>0</v>
      </c>
      <c r="I105" s="72">
        <v>852.71</v>
      </c>
      <c r="J105" s="17">
        <f t="shared" ref="J105:J121" si="1">+H105*I105</f>
        <v>0</v>
      </c>
      <c r="K105" s="17"/>
      <c r="L105" s="16" t="s">
        <v>27</v>
      </c>
      <c r="M105" s="16" t="s">
        <v>22</v>
      </c>
      <c r="N105" s="39" t="s">
        <v>418</v>
      </c>
      <c r="O105" s="20"/>
    </row>
    <row r="106" spans="1:15" s="12" customFormat="1" ht="18">
      <c r="A106" s="180" t="s">
        <v>62</v>
      </c>
      <c r="B106" s="75" t="s">
        <v>1155</v>
      </c>
      <c r="C106" s="39" t="s">
        <v>17</v>
      </c>
      <c r="D106" s="236"/>
      <c r="E106" s="236"/>
      <c r="F106" s="236"/>
      <c r="G106" s="236"/>
      <c r="H106" s="40">
        <f>SUM(Tabla13211242[[#This Row],[PRIMER TRIMESTRE]:[CUARTO TRIMESTRE]])</f>
        <v>0</v>
      </c>
      <c r="I106" s="72">
        <v>600</v>
      </c>
      <c r="J106" s="17">
        <f t="shared" si="1"/>
        <v>0</v>
      </c>
      <c r="K106" s="17"/>
      <c r="L106" s="16" t="s">
        <v>27</v>
      </c>
      <c r="M106" s="16" t="s">
        <v>22</v>
      </c>
      <c r="N106" s="39" t="s">
        <v>418</v>
      </c>
      <c r="O106" s="20"/>
    </row>
    <row r="107" spans="1:15" s="12" customFormat="1" ht="18">
      <c r="A107" s="180" t="s">
        <v>62</v>
      </c>
      <c r="B107" s="75" t="s">
        <v>1156</v>
      </c>
      <c r="C107" s="39" t="s">
        <v>17</v>
      </c>
      <c r="D107" s="39"/>
      <c r="E107" s="39"/>
      <c r="F107" s="39"/>
      <c r="G107" s="39"/>
      <c r="H107" s="39">
        <f>SUM(Tabla13211242[[#This Row],[PRIMER TRIMESTRE]:[CUARTO TRIMESTRE]])</f>
        <v>0</v>
      </c>
      <c r="I107" s="72">
        <v>700</v>
      </c>
      <c r="J107" s="17">
        <f t="shared" si="1"/>
        <v>0</v>
      </c>
      <c r="K107" s="17"/>
      <c r="L107" s="16" t="s">
        <v>27</v>
      </c>
      <c r="M107" s="16" t="s">
        <v>22</v>
      </c>
      <c r="N107" s="39" t="s">
        <v>418</v>
      </c>
      <c r="O107" s="20"/>
    </row>
    <row r="108" spans="1:15" s="12" customFormat="1" ht="18">
      <c r="A108" s="180" t="s">
        <v>62</v>
      </c>
      <c r="B108" s="75" t="s">
        <v>1612</v>
      </c>
      <c r="C108" s="39" t="s">
        <v>17</v>
      </c>
      <c r="D108" s="39"/>
      <c r="E108" s="39"/>
      <c r="F108" s="39"/>
      <c r="G108" s="39"/>
      <c r="H108" s="39">
        <f>SUM(Tabla13211242[[#This Row],[PRIMER TRIMESTRE]:[CUARTO TRIMESTRE]])</f>
        <v>0</v>
      </c>
      <c r="I108" s="72">
        <v>835</v>
      </c>
      <c r="J108" s="17">
        <f t="shared" si="1"/>
        <v>0</v>
      </c>
      <c r="K108" s="17"/>
      <c r="L108" s="16" t="s">
        <v>27</v>
      </c>
      <c r="M108" s="16" t="s">
        <v>22</v>
      </c>
      <c r="N108" s="39" t="s">
        <v>418</v>
      </c>
      <c r="O108" s="20"/>
    </row>
    <row r="109" spans="1:15" s="12" customFormat="1" ht="18">
      <c r="A109" s="180" t="s">
        <v>62</v>
      </c>
      <c r="B109" s="75" t="s">
        <v>1613</v>
      </c>
      <c r="C109" s="39" t="s">
        <v>17</v>
      </c>
      <c r="D109" s="39"/>
      <c r="E109" s="39"/>
      <c r="F109" s="39"/>
      <c r="G109" s="39"/>
      <c r="H109" s="39">
        <f>SUM(Tabla13211242[[#This Row],[PRIMER TRIMESTRE]:[CUARTO TRIMESTRE]])</f>
        <v>0</v>
      </c>
      <c r="I109" s="72">
        <v>618</v>
      </c>
      <c r="J109" s="17">
        <f t="shared" si="1"/>
        <v>0</v>
      </c>
      <c r="K109" s="17"/>
      <c r="L109" s="16" t="s">
        <v>27</v>
      </c>
      <c r="M109" s="16" t="s">
        <v>22</v>
      </c>
      <c r="N109" s="39" t="s">
        <v>418</v>
      </c>
      <c r="O109" s="20"/>
    </row>
    <row r="110" spans="1:15" s="12" customFormat="1" ht="18">
      <c r="A110" s="180" t="s">
        <v>62</v>
      </c>
      <c r="B110" s="75" t="s">
        <v>1706</v>
      </c>
      <c r="C110" s="39" t="s">
        <v>17</v>
      </c>
      <c r="D110" s="236"/>
      <c r="E110" s="236"/>
      <c r="F110" s="236"/>
      <c r="G110" s="236"/>
      <c r="H110" s="40">
        <v>0</v>
      </c>
      <c r="I110" s="72">
        <v>0</v>
      </c>
      <c r="J110" s="17">
        <v>0</v>
      </c>
      <c r="K110" s="17"/>
      <c r="L110" s="16" t="s">
        <v>27</v>
      </c>
      <c r="M110" s="16" t="s">
        <v>22</v>
      </c>
      <c r="N110" s="39" t="s">
        <v>418</v>
      </c>
      <c r="O110" s="20"/>
    </row>
    <row r="111" spans="1:15" s="12" customFormat="1" ht="18">
      <c r="A111" s="180" t="s">
        <v>62</v>
      </c>
      <c r="B111" s="75" t="s">
        <v>1614</v>
      </c>
      <c r="C111" s="39" t="s">
        <v>17</v>
      </c>
      <c r="D111" s="39"/>
      <c r="E111" s="39"/>
      <c r="F111" s="39"/>
      <c r="G111" s="39"/>
      <c r="H111" s="39">
        <f>SUM(Tabla13211242[[#This Row],[PRIMER TRIMESTRE]:[CUARTO TRIMESTRE]])</f>
        <v>0</v>
      </c>
      <c r="I111" s="72">
        <v>280</v>
      </c>
      <c r="J111" s="17">
        <f t="shared" si="1"/>
        <v>0</v>
      </c>
      <c r="K111" s="17"/>
      <c r="L111" s="16" t="s">
        <v>27</v>
      </c>
      <c r="M111" s="16" t="s">
        <v>22</v>
      </c>
      <c r="N111" s="39" t="s">
        <v>418</v>
      </c>
      <c r="O111" s="20"/>
    </row>
    <row r="112" spans="1:15" s="12" customFormat="1" ht="18">
      <c r="A112" s="180" t="s">
        <v>62</v>
      </c>
      <c r="B112" s="75" t="s">
        <v>1615</v>
      </c>
      <c r="C112" s="39" t="s">
        <v>17</v>
      </c>
      <c r="D112" s="39"/>
      <c r="E112" s="39"/>
      <c r="F112" s="39"/>
      <c r="G112" s="39"/>
      <c r="H112" s="39">
        <f>SUM(Tabla13211242[[#This Row],[PRIMER TRIMESTRE]:[CUARTO TRIMESTRE]])</f>
        <v>0</v>
      </c>
      <c r="I112" s="72">
        <v>447.46</v>
      </c>
      <c r="J112" s="17">
        <f t="shared" si="1"/>
        <v>0</v>
      </c>
      <c r="K112" s="17"/>
      <c r="L112" s="16" t="s">
        <v>27</v>
      </c>
      <c r="M112" s="16" t="s">
        <v>22</v>
      </c>
      <c r="N112" s="39" t="s">
        <v>418</v>
      </c>
      <c r="O112" s="20"/>
    </row>
    <row r="113" spans="1:15" s="12" customFormat="1" ht="18">
      <c r="A113" s="180" t="s">
        <v>62</v>
      </c>
      <c r="B113" s="75" t="s">
        <v>1616</v>
      </c>
      <c r="C113" s="39" t="s">
        <v>718</v>
      </c>
      <c r="D113" s="39"/>
      <c r="E113" s="39"/>
      <c r="F113" s="39"/>
      <c r="G113" s="39"/>
      <c r="H113" s="39">
        <f>SUM(Tabla13211242[[#This Row],[PRIMER TRIMESTRE]:[CUARTO TRIMESTRE]])</f>
        <v>0</v>
      </c>
      <c r="I113" s="72">
        <v>452.8</v>
      </c>
      <c r="J113" s="17">
        <f t="shared" si="1"/>
        <v>0</v>
      </c>
      <c r="K113" s="17"/>
      <c r="L113" s="16" t="s">
        <v>27</v>
      </c>
      <c r="M113" s="16" t="s">
        <v>22</v>
      </c>
      <c r="N113" s="39" t="s">
        <v>418</v>
      </c>
      <c r="O113" s="20"/>
    </row>
    <row r="114" spans="1:15" s="12" customFormat="1" ht="18">
      <c r="A114" s="180" t="s">
        <v>62</v>
      </c>
      <c r="B114" s="75" t="s">
        <v>1617</v>
      </c>
      <c r="C114" s="39" t="s">
        <v>718</v>
      </c>
      <c r="D114" s="39"/>
      <c r="E114" s="39"/>
      <c r="F114" s="39"/>
      <c r="G114" s="39"/>
      <c r="H114" s="39">
        <f>SUM(Tabla13211242[[#This Row],[PRIMER TRIMESTRE]:[CUARTO TRIMESTRE]])</f>
        <v>0</v>
      </c>
      <c r="I114" s="72">
        <v>431</v>
      </c>
      <c r="J114" s="17">
        <f t="shared" si="1"/>
        <v>0</v>
      </c>
      <c r="K114" s="17"/>
      <c r="L114" s="16" t="s">
        <v>27</v>
      </c>
      <c r="M114" s="16" t="s">
        <v>22</v>
      </c>
      <c r="N114" s="39" t="s">
        <v>418</v>
      </c>
      <c r="O114" s="20"/>
    </row>
    <row r="115" spans="1:15" s="12" customFormat="1" ht="18">
      <c r="A115" s="180" t="s">
        <v>62</v>
      </c>
      <c r="B115" s="75" t="s">
        <v>1618</v>
      </c>
      <c r="C115" s="39" t="s">
        <v>718</v>
      </c>
      <c r="D115" s="39"/>
      <c r="E115" s="39"/>
      <c r="F115" s="39"/>
      <c r="G115" s="39"/>
      <c r="H115" s="39">
        <f>SUM(Tabla13211242[[#This Row],[PRIMER TRIMESTRE]:[CUARTO TRIMESTRE]])</f>
        <v>0</v>
      </c>
      <c r="I115" s="72">
        <v>145.30000000000001</v>
      </c>
      <c r="J115" s="17">
        <f t="shared" si="1"/>
        <v>0</v>
      </c>
      <c r="K115" s="17"/>
      <c r="L115" s="16" t="s">
        <v>27</v>
      </c>
      <c r="M115" s="16" t="s">
        <v>22</v>
      </c>
      <c r="N115" s="39" t="s">
        <v>418</v>
      </c>
      <c r="O115" s="20"/>
    </row>
    <row r="116" spans="1:15" s="12" customFormat="1" ht="18">
      <c r="A116" s="180" t="s">
        <v>62</v>
      </c>
      <c r="B116" s="75" t="s">
        <v>1157</v>
      </c>
      <c r="C116" s="39" t="s">
        <v>17</v>
      </c>
      <c r="D116" s="236"/>
      <c r="E116" s="236"/>
      <c r="F116" s="236"/>
      <c r="G116" s="236"/>
      <c r="H116" s="40">
        <f>SUM(Tabla13211242[[#This Row],[PRIMER TRIMESTRE]:[CUARTO TRIMESTRE]])</f>
        <v>0</v>
      </c>
      <c r="I116" s="72">
        <v>800</v>
      </c>
      <c r="J116" s="17">
        <f t="shared" si="1"/>
        <v>0</v>
      </c>
      <c r="K116" s="17"/>
      <c r="L116" s="16" t="s">
        <v>27</v>
      </c>
      <c r="M116" s="16" t="s">
        <v>22</v>
      </c>
      <c r="N116" s="39" t="s">
        <v>418</v>
      </c>
      <c r="O116" s="20"/>
    </row>
    <row r="117" spans="1:15" s="12" customFormat="1" ht="18">
      <c r="A117" s="180" t="s">
        <v>62</v>
      </c>
      <c r="B117" s="75" t="s">
        <v>1158</v>
      </c>
      <c r="C117" s="39" t="s">
        <v>17</v>
      </c>
      <c r="D117" s="236"/>
      <c r="E117" s="236"/>
      <c r="F117" s="236"/>
      <c r="G117" s="236"/>
      <c r="H117" s="40">
        <f>SUM(Tabla13211242[[#This Row],[PRIMER TRIMESTRE]:[CUARTO TRIMESTRE]])</f>
        <v>0</v>
      </c>
      <c r="I117" s="72">
        <v>900</v>
      </c>
      <c r="J117" s="17">
        <f t="shared" si="1"/>
        <v>0</v>
      </c>
      <c r="K117" s="17"/>
      <c r="L117" s="16" t="s">
        <v>27</v>
      </c>
      <c r="M117" s="16" t="s">
        <v>22</v>
      </c>
      <c r="N117" s="39" t="s">
        <v>418</v>
      </c>
      <c r="O117" s="20"/>
    </row>
    <row r="118" spans="1:15" s="12" customFormat="1" ht="18">
      <c r="A118" s="180" t="s">
        <v>62</v>
      </c>
      <c r="B118" s="75" t="s">
        <v>1151</v>
      </c>
      <c r="C118" s="39" t="s">
        <v>17</v>
      </c>
      <c r="D118" s="236"/>
      <c r="E118" s="236"/>
      <c r="F118" s="236"/>
      <c r="G118" s="236"/>
      <c r="H118" s="40">
        <f>SUM(Tabla13211242[[#This Row],[PRIMER TRIMESTRE]:[CUARTO TRIMESTRE]])</f>
        <v>0</v>
      </c>
      <c r="I118" s="72">
        <v>375</v>
      </c>
      <c r="J118" s="17">
        <f t="shared" si="1"/>
        <v>0</v>
      </c>
      <c r="K118" s="17"/>
      <c r="L118" s="16" t="s">
        <v>27</v>
      </c>
      <c r="M118" s="16" t="s">
        <v>22</v>
      </c>
      <c r="N118" s="39" t="s">
        <v>418</v>
      </c>
      <c r="O118" s="20"/>
    </row>
    <row r="119" spans="1:15" s="12" customFormat="1" ht="18">
      <c r="A119" s="180" t="s">
        <v>62</v>
      </c>
      <c r="B119" s="75" t="s">
        <v>1152</v>
      </c>
      <c r="C119" s="39" t="s">
        <v>17</v>
      </c>
      <c r="D119" s="236"/>
      <c r="E119" s="236"/>
      <c r="F119" s="236"/>
      <c r="G119" s="236"/>
      <c r="H119" s="40">
        <f>SUM(Tabla13211242[[#This Row],[PRIMER TRIMESTRE]:[CUARTO TRIMESTRE]])</f>
        <v>0</v>
      </c>
      <c r="I119" s="72">
        <v>1300</v>
      </c>
      <c r="J119" s="17">
        <f t="shared" si="1"/>
        <v>0</v>
      </c>
      <c r="K119" s="17"/>
      <c r="L119" s="16" t="s">
        <v>27</v>
      </c>
      <c r="M119" s="16" t="s">
        <v>22</v>
      </c>
      <c r="N119" s="39" t="s">
        <v>418</v>
      </c>
      <c r="O119" s="20"/>
    </row>
    <row r="120" spans="1:15" s="12" customFormat="1" ht="18">
      <c r="A120" s="180" t="s">
        <v>62</v>
      </c>
      <c r="B120" s="75" t="s">
        <v>1153</v>
      </c>
      <c r="C120" s="39" t="s">
        <v>17</v>
      </c>
      <c r="D120" s="236"/>
      <c r="E120" s="236"/>
      <c r="F120" s="236"/>
      <c r="G120" s="236"/>
      <c r="H120" s="40">
        <f>SUM(Tabla13211242[[#This Row],[PRIMER TRIMESTRE]:[CUARTO TRIMESTRE]])</f>
        <v>0</v>
      </c>
      <c r="I120" s="72">
        <v>900</v>
      </c>
      <c r="J120" s="17">
        <f t="shared" si="1"/>
        <v>0</v>
      </c>
      <c r="K120" s="17"/>
      <c r="L120" s="16" t="s">
        <v>27</v>
      </c>
      <c r="M120" s="16" t="s">
        <v>22</v>
      </c>
      <c r="N120" s="39" t="s">
        <v>418</v>
      </c>
      <c r="O120" s="20"/>
    </row>
    <row r="121" spans="1:15" s="12" customFormat="1" ht="18">
      <c r="A121" s="180" t="s">
        <v>62</v>
      </c>
      <c r="B121" s="75" t="s">
        <v>1154</v>
      </c>
      <c r="C121" s="39" t="s">
        <v>17</v>
      </c>
      <c r="D121" s="236"/>
      <c r="E121" s="236"/>
      <c r="F121" s="236"/>
      <c r="G121" s="236"/>
      <c r="H121" s="40">
        <f>SUM(Tabla13211242[[#This Row],[PRIMER TRIMESTRE]:[CUARTO TRIMESTRE]])</f>
        <v>0</v>
      </c>
      <c r="I121" s="72">
        <v>1800</v>
      </c>
      <c r="J121" s="17">
        <f t="shared" si="1"/>
        <v>0</v>
      </c>
      <c r="K121" s="17"/>
      <c r="L121" s="16" t="s">
        <v>27</v>
      </c>
      <c r="M121" s="16" t="s">
        <v>22</v>
      </c>
      <c r="N121" s="39" t="s">
        <v>418</v>
      </c>
      <c r="O121" s="20"/>
    </row>
    <row r="122" spans="1:15" s="12" customFormat="1" ht="18">
      <c r="A122" s="180" t="s">
        <v>62</v>
      </c>
      <c r="B122" s="75" t="s">
        <v>1709</v>
      </c>
      <c r="C122" s="70" t="s">
        <v>17</v>
      </c>
      <c r="D122" s="236"/>
      <c r="E122" s="236"/>
      <c r="F122" s="236"/>
      <c r="G122" s="236"/>
      <c r="H122" s="40">
        <v>0</v>
      </c>
      <c r="I122" s="72">
        <v>0</v>
      </c>
      <c r="J122" s="17">
        <v>0</v>
      </c>
      <c r="K122" s="17"/>
      <c r="L122" s="16" t="s">
        <v>27</v>
      </c>
      <c r="M122" s="16" t="s">
        <v>22</v>
      </c>
      <c r="N122" s="39" t="s">
        <v>418</v>
      </c>
      <c r="O122" s="20"/>
    </row>
    <row r="123" spans="1:15" s="26" customFormat="1" ht="18">
      <c r="A123" s="180" t="s">
        <v>62</v>
      </c>
      <c r="B123" s="77" t="s">
        <v>432</v>
      </c>
      <c r="C123" s="70" t="s">
        <v>17</v>
      </c>
      <c r="D123" s="210"/>
      <c r="E123" s="210"/>
      <c r="F123" s="210"/>
      <c r="G123" s="210"/>
      <c r="H123" s="406">
        <f>SUM(Tabla13211242[[#This Row],[PRIMER TRIMESTRE]:[CUARTO TRIMESTRE]])</f>
        <v>0</v>
      </c>
      <c r="I123" s="72">
        <v>350</v>
      </c>
      <c r="J123" s="17">
        <f>+Tabla13211242[[#This Row],[CANTIDAD TOTAL]]*Tabla13211242[[#This Row],[PRECIO UNITARIO ESTIMADO]]</f>
        <v>0</v>
      </c>
      <c r="K123" s="17"/>
      <c r="L123" s="16" t="s">
        <v>27</v>
      </c>
      <c r="M123" s="16" t="s">
        <v>22</v>
      </c>
      <c r="N123" s="39" t="s">
        <v>418</v>
      </c>
      <c r="O123" s="23"/>
    </row>
    <row r="124" spans="1:15" s="26" customFormat="1" ht="18">
      <c r="A124" s="180" t="s">
        <v>62</v>
      </c>
      <c r="B124" s="77" t="s">
        <v>431</v>
      </c>
      <c r="C124" s="70" t="s">
        <v>17</v>
      </c>
      <c r="D124" s="210"/>
      <c r="E124" s="210"/>
      <c r="F124" s="210"/>
      <c r="G124" s="210"/>
      <c r="H124" s="406">
        <f>SUM(Tabla13211242[[#This Row],[PRIMER TRIMESTRE]:[CUARTO TRIMESTRE]])</f>
        <v>0</v>
      </c>
      <c r="I124" s="72">
        <v>397.45</v>
      </c>
      <c r="J124" s="17">
        <f>+Tabla13211242[[#This Row],[CANTIDAD TOTAL]]*Tabla13211242[[#This Row],[PRECIO UNITARIO ESTIMADO]]</f>
        <v>0</v>
      </c>
      <c r="K124" s="17"/>
      <c r="L124" s="16" t="s">
        <v>27</v>
      </c>
      <c r="M124" s="16" t="s">
        <v>22</v>
      </c>
      <c r="N124" s="39" t="s">
        <v>418</v>
      </c>
      <c r="O124" s="23"/>
    </row>
    <row r="125" spans="1:15" s="26" customFormat="1" ht="18">
      <c r="A125" s="180" t="s">
        <v>62</v>
      </c>
      <c r="B125" s="75" t="s">
        <v>960</v>
      </c>
      <c r="C125" s="39" t="s">
        <v>17</v>
      </c>
      <c r="D125" s="236"/>
      <c r="E125" s="236"/>
      <c r="F125" s="236"/>
      <c r="G125" s="236"/>
      <c r="H125" s="40">
        <f>SUM(Tabla13211242[[#This Row],[PRIMER TRIMESTRE]:[CUARTO TRIMESTRE]])</f>
        <v>0</v>
      </c>
      <c r="I125" s="17">
        <v>400.75</v>
      </c>
      <c r="J125" s="17">
        <f>+H125*I125</f>
        <v>0</v>
      </c>
      <c r="K125" s="17"/>
      <c r="L125" s="16" t="s">
        <v>27</v>
      </c>
      <c r="M125" s="16" t="s">
        <v>22</v>
      </c>
      <c r="N125" s="39" t="s">
        <v>418</v>
      </c>
      <c r="O125" s="23"/>
    </row>
    <row r="126" spans="1:15" s="12" customFormat="1" ht="18">
      <c r="A126" s="180" t="s">
        <v>62</v>
      </c>
      <c r="B126" s="75" t="s">
        <v>961</v>
      </c>
      <c r="C126" s="39" t="s">
        <v>17</v>
      </c>
      <c r="D126" s="236"/>
      <c r="E126" s="236"/>
      <c r="F126" s="236"/>
      <c r="G126" s="236"/>
      <c r="H126" s="40">
        <f>SUM(Tabla13211242[[#This Row],[PRIMER TRIMESTRE]:[CUARTO TRIMESTRE]])</f>
        <v>0</v>
      </c>
      <c r="I126" s="17">
        <v>216</v>
      </c>
      <c r="J126" s="17">
        <f>+H126*I126</f>
        <v>0</v>
      </c>
      <c r="K126" s="17"/>
      <c r="L126" s="16" t="s">
        <v>27</v>
      </c>
      <c r="M126" s="16" t="s">
        <v>22</v>
      </c>
      <c r="N126" s="39" t="s">
        <v>418</v>
      </c>
      <c r="O126" s="20"/>
    </row>
    <row r="127" spans="1:15" s="12" customFormat="1" ht="18">
      <c r="A127" s="180" t="s">
        <v>62</v>
      </c>
      <c r="B127" s="75" t="s">
        <v>962</v>
      </c>
      <c r="C127" s="39" t="s">
        <v>17</v>
      </c>
      <c r="D127" s="236"/>
      <c r="E127" s="236"/>
      <c r="F127" s="236"/>
      <c r="G127" s="236"/>
      <c r="H127" s="40">
        <f>SUM(Tabla13211242[[#This Row],[PRIMER TRIMESTRE]:[CUARTO TRIMESTRE]])</f>
        <v>0</v>
      </c>
      <c r="I127" s="17">
        <v>249.67</v>
      </c>
      <c r="J127" s="17">
        <f>+H127*I127</f>
        <v>0</v>
      </c>
      <c r="K127" s="17"/>
      <c r="L127" s="16" t="s">
        <v>27</v>
      </c>
      <c r="M127" s="16" t="s">
        <v>22</v>
      </c>
      <c r="N127" s="39" t="s">
        <v>418</v>
      </c>
      <c r="O127" s="20"/>
    </row>
    <row r="128" spans="1:15" s="12" customFormat="1" ht="18">
      <c r="A128" s="180" t="s">
        <v>62</v>
      </c>
      <c r="B128" s="77" t="s">
        <v>434</v>
      </c>
      <c r="C128" s="70" t="s">
        <v>17</v>
      </c>
      <c r="D128" s="210"/>
      <c r="E128" s="210"/>
      <c r="F128" s="210"/>
      <c r="G128" s="210"/>
      <c r="H128" s="406">
        <f>SUM(Tabla13211242[[#This Row],[PRIMER TRIMESTRE]:[CUARTO TRIMESTRE]])</f>
        <v>0</v>
      </c>
      <c r="I128" s="72">
        <v>1120.9100000000001</v>
      </c>
      <c r="J128" s="17">
        <f>+Tabla13211242[[#This Row],[CANTIDAD TOTAL]]*Tabla13211242[[#This Row],[PRECIO UNITARIO ESTIMADO]]</f>
        <v>0</v>
      </c>
      <c r="K128" s="17"/>
      <c r="L128" s="16" t="s">
        <v>27</v>
      </c>
      <c r="M128" s="16" t="s">
        <v>22</v>
      </c>
      <c r="N128" s="39" t="s">
        <v>418</v>
      </c>
      <c r="O128" s="20"/>
    </row>
    <row r="129" spans="1:15" s="12" customFormat="1" ht="18">
      <c r="A129" s="180" t="s">
        <v>62</v>
      </c>
      <c r="B129" s="77" t="s">
        <v>76</v>
      </c>
      <c r="C129" s="70" t="s">
        <v>17</v>
      </c>
      <c r="D129" s="210"/>
      <c r="E129" s="210"/>
      <c r="F129" s="210"/>
      <c r="G129" s="210"/>
      <c r="H129" s="406">
        <f>SUM(Tabla13211242[[#This Row],[PRIMER TRIMESTRE]:[CUARTO TRIMESTRE]])</f>
        <v>0</v>
      </c>
      <c r="I129" s="17">
        <v>100.57</v>
      </c>
      <c r="J129" s="17">
        <f>+Tabla13211242[[#This Row],[CANTIDAD TOTAL]]*Tabla13211242[[#This Row],[PRECIO UNITARIO ESTIMADO]]</f>
        <v>0</v>
      </c>
      <c r="K129" s="17"/>
      <c r="L129" s="16" t="s">
        <v>27</v>
      </c>
      <c r="M129" s="16" t="s">
        <v>22</v>
      </c>
      <c r="N129" s="39" t="s">
        <v>418</v>
      </c>
      <c r="O129" s="20"/>
    </row>
    <row r="130" spans="1:15" s="12" customFormat="1" ht="18">
      <c r="A130" s="180" t="s">
        <v>62</v>
      </c>
      <c r="B130" s="77" t="s">
        <v>433</v>
      </c>
      <c r="C130" s="70" t="s">
        <v>17</v>
      </c>
      <c r="D130" s="210"/>
      <c r="E130" s="210"/>
      <c r="F130" s="210"/>
      <c r="G130" s="210"/>
      <c r="H130" s="406">
        <f>SUM(Tabla13211242[[#This Row],[PRIMER TRIMESTRE]:[CUARTO TRIMESTRE]])</f>
        <v>0</v>
      </c>
      <c r="I130" s="17">
        <v>1144.23</v>
      </c>
      <c r="J130" s="17">
        <f>+Tabla13211242[[#This Row],[CANTIDAD TOTAL]]*Tabla13211242[[#This Row],[PRECIO UNITARIO ESTIMADO]]</f>
        <v>0</v>
      </c>
      <c r="K130" s="17"/>
      <c r="L130" s="16" t="s">
        <v>27</v>
      </c>
      <c r="M130" s="16" t="s">
        <v>22</v>
      </c>
      <c r="N130" s="39" t="s">
        <v>418</v>
      </c>
      <c r="O130" s="20"/>
    </row>
    <row r="131" spans="1:15" s="12" customFormat="1" ht="18">
      <c r="A131" s="180" t="s">
        <v>62</v>
      </c>
      <c r="B131" s="77" t="s">
        <v>433</v>
      </c>
      <c r="C131" s="70" t="s">
        <v>17</v>
      </c>
      <c r="D131" s="210"/>
      <c r="E131" s="210"/>
      <c r="F131" s="210"/>
      <c r="G131" s="210"/>
      <c r="H131" s="210">
        <f>SUM(Tabla13211242[[#This Row],[PRIMER TRIMESTRE]:[CUARTO TRIMESTRE]])</f>
        <v>0</v>
      </c>
      <c r="I131" s="17">
        <v>280</v>
      </c>
      <c r="J131" s="17">
        <f>+H131*I131</f>
        <v>0</v>
      </c>
      <c r="K131" s="17"/>
      <c r="L131" s="16" t="s">
        <v>27</v>
      </c>
      <c r="M131" s="16" t="s">
        <v>22</v>
      </c>
      <c r="N131" s="39" t="s">
        <v>418</v>
      </c>
      <c r="O131" s="20"/>
    </row>
    <row r="132" spans="1:15" s="12" customFormat="1" ht="18">
      <c r="A132" s="180" t="s">
        <v>62</v>
      </c>
      <c r="B132" s="77" t="s">
        <v>1159</v>
      </c>
      <c r="C132" s="70" t="s">
        <v>17</v>
      </c>
      <c r="D132" s="210"/>
      <c r="E132" s="210"/>
      <c r="F132" s="210"/>
      <c r="G132" s="210"/>
      <c r="H132" s="406">
        <f>SUM(Tabla13211242[[#This Row],[PRIMER TRIMESTRE]:[CUARTO TRIMESTRE]])</f>
        <v>0</v>
      </c>
      <c r="I132" s="17">
        <v>377</v>
      </c>
      <c r="J132" s="17">
        <f>+H132*I132</f>
        <v>0</v>
      </c>
      <c r="K132" s="17"/>
      <c r="L132" s="16" t="s">
        <v>27</v>
      </c>
      <c r="M132" s="16" t="s">
        <v>22</v>
      </c>
      <c r="N132" s="39" t="s">
        <v>418</v>
      </c>
      <c r="O132" s="20"/>
    </row>
    <row r="133" spans="1:15" s="12" customFormat="1" ht="18">
      <c r="A133" s="180" t="s">
        <v>62</v>
      </c>
      <c r="B133" s="75" t="s">
        <v>78</v>
      </c>
      <c r="C133" s="39" t="s">
        <v>17</v>
      </c>
      <c r="D133" s="236"/>
      <c r="E133" s="236"/>
      <c r="F133" s="236"/>
      <c r="G133" s="236"/>
      <c r="H133" s="40">
        <f>SUM(Tabla13211242[[#This Row],[PRIMER TRIMESTRE]:[CUARTO TRIMESTRE]])</f>
        <v>0</v>
      </c>
      <c r="I133" s="17">
        <v>377</v>
      </c>
      <c r="J133" s="17">
        <f>+Tabla13211242[[#This Row],[CANTIDAD TOTAL]]*Tabla13211242[[#This Row],[PRECIO UNITARIO ESTIMADO]]</f>
        <v>0</v>
      </c>
      <c r="K133" s="17"/>
      <c r="L133" s="16" t="s">
        <v>27</v>
      </c>
      <c r="M133" s="16" t="s">
        <v>22</v>
      </c>
      <c r="N133" s="39" t="s">
        <v>418</v>
      </c>
      <c r="O133" s="20"/>
    </row>
    <row r="134" spans="1:15" s="12" customFormat="1" ht="18">
      <c r="A134" s="180" t="s">
        <v>62</v>
      </c>
      <c r="B134" s="75" t="s">
        <v>1179</v>
      </c>
      <c r="C134" s="39" t="s">
        <v>17</v>
      </c>
      <c r="D134" s="236"/>
      <c r="E134" s="236"/>
      <c r="F134" s="236"/>
      <c r="G134" s="236"/>
      <c r="H134" s="40">
        <f>SUM(Tabla13211242[[#This Row],[PRIMER TRIMESTRE]:[CUARTO TRIMESTRE]])</f>
        <v>0</v>
      </c>
      <c r="I134" s="17">
        <v>350</v>
      </c>
      <c r="J134" s="17">
        <f t="shared" ref="J134:J141" si="2">+H134*I134</f>
        <v>0</v>
      </c>
      <c r="K134" s="17"/>
      <c r="L134" s="16" t="s">
        <v>27</v>
      </c>
      <c r="M134" s="16" t="s">
        <v>22</v>
      </c>
      <c r="N134" s="39" t="s">
        <v>418</v>
      </c>
      <c r="O134" s="20"/>
    </row>
    <row r="135" spans="1:15" s="12" customFormat="1" ht="18">
      <c r="A135" s="180" t="s">
        <v>62</v>
      </c>
      <c r="B135" s="75" t="s">
        <v>1180</v>
      </c>
      <c r="C135" s="39" t="s">
        <v>17</v>
      </c>
      <c r="D135" s="236"/>
      <c r="E135" s="236"/>
      <c r="F135" s="236"/>
      <c r="G135" s="236"/>
      <c r="H135" s="40">
        <f>SUM(Tabla13211242[[#This Row],[PRIMER TRIMESTRE]:[CUARTO TRIMESTRE]])</f>
        <v>0</v>
      </c>
      <c r="I135" s="17">
        <v>350</v>
      </c>
      <c r="J135" s="17">
        <f t="shared" si="2"/>
        <v>0</v>
      </c>
      <c r="K135" s="17"/>
      <c r="L135" s="16" t="s">
        <v>27</v>
      </c>
      <c r="M135" s="16" t="s">
        <v>22</v>
      </c>
      <c r="N135" s="39" t="s">
        <v>418</v>
      </c>
      <c r="O135" s="20"/>
    </row>
    <row r="136" spans="1:15" s="12" customFormat="1" ht="18">
      <c r="A136" s="180" t="s">
        <v>62</v>
      </c>
      <c r="B136" s="75" t="s">
        <v>1557</v>
      </c>
      <c r="C136" s="39" t="s">
        <v>17</v>
      </c>
      <c r="D136" s="236"/>
      <c r="E136" s="236"/>
      <c r="F136" s="236"/>
      <c r="G136" s="236"/>
      <c r="H136" s="40">
        <f>SUM(Tabla13211242[[#This Row],[PRIMER TRIMESTRE]:[CUARTO TRIMESTRE]])</f>
        <v>0</v>
      </c>
      <c r="I136" s="17">
        <v>220.66</v>
      </c>
      <c r="J136" s="17">
        <f t="shared" si="2"/>
        <v>0</v>
      </c>
      <c r="K136" s="17"/>
      <c r="L136" s="16" t="s">
        <v>27</v>
      </c>
      <c r="M136" s="16" t="s">
        <v>22</v>
      </c>
      <c r="N136" s="39" t="s">
        <v>418</v>
      </c>
      <c r="O136" s="20"/>
    </row>
    <row r="137" spans="1:15" s="12" customFormat="1" ht="18">
      <c r="A137" s="180" t="s">
        <v>62</v>
      </c>
      <c r="B137" s="75" t="s">
        <v>1558</v>
      </c>
      <c r="C137" s="39" t="s">
        <v>17</v>
      </c>
      <c r="D137" s="236"/>
      <c r="E137" s="236"/>
      <c r="F137" s="236"/>
      <c r="G137" s="236"/>
      <c r="H137" s="40">
        <f>SUM(Tabla13211242[[#This Row],[PRIMER TRIMESTRE]:[CUARTO TRIMESTRE]])</f>
        <v>0</v>
      </c>
      <c r="I137" s="17">
        <v>353.52</v>
      </c>
      <c r="J137" s="17">
        <f t="shared" si="2"/>
        <v>0</v>
      </c>
      <c r="K137" s="17"/>
      <c r="L137" s="16" t="s">
        <v>27</v>
      </c>
      <c r="M137" s="16" t="s">
        <v>22</v>
      </c>
      <c r="N137" s="39" t="s">
        <v>418</v>
      </c>
      <c r="O137" s="20"/>
    </row>
    <row r="138" spans="1:15" s="12" customFormat="1" ht="18">
      <c r="A138" s="180" t="s">
        <v>62</v>
      </c>
      <c r="B138" s="75" t="s">
        <v>1560</v>
      </c>
      <c r="C138" s="39" t="s">
        <v>17</v>
      </c>
      <c r="D138" s="236"/>
      <c r="E138" s="236"/>
      <c r="F138" s="236"/>
      <c r="G138" s="236"/>
      <c r="H138" s="40">
        <f>SUM(Tabla13211242[[#This Row],[PRIMER TRIMESTRE]:[CUARTO TRIMESTRE]])</f>
        <v>0</v>
      </c>
      <c r="I138" s="17">
        <v>147.30000000000001</v>
      </c>
      <c r="J138" s="17">
        <f t="shared" si="2"/>
        <v>0</v>
      </c>
      <c r="K138" s="17"/>
      <c r="L138" s="16" t="s">
        <v>27</v>
      </c>
      <c r="M138" s="16" t="s">
        <v>22</v>
      </c>
      <c r="N138" s="39" t="s">
        <v>418</v>
      </c>
      <c r="O138" s="20"/>
    </row>
    <row r="139" spans="1:15" s="12" customFormat="1" ht="18">
      <c r="A139" s="180" t="s">
        <v>62</v>
      </c>
      <c r="B139" s="75" t="s">
        <v>1559</v>
      </c>
      <c r="C139" s="39" t="s">
        <v>17</v>
      </c>
      <c r="D139" s="236"/>
      <c r="E139" s="236"/>
      <c r="F139" s="236"/>
      <c r="G139" s="236"/>
      <c r="H139" s="40">
        <f>SUM(Tabla13211242[[#This Row],[PRIMER TRIMESTRE]:[CUARTO TRIMESTRE]])</f>
        <v>0</v>
      </c>
      <c r="I139" s="17">
        <v>6490.63</v>
      </c>
      <c r="J139" s="17">
        <f t="shared" si="2"/>
        <v>0</v>
      </c>
      <c r="K139" s="17"/>
      <c r="L139" s="16" t="s">
        <v>27</v>
      </c>
      <c r="M139" s="16" t="s">
        <v>22</v>
      </c>
      <c r="N139" s="39" t="s">
        <v>418</v>
      </c>
      <c r="O139" s="20"/>
    </row>
    <row r="140" spans="1:15" s="12" customFormat="1" ht="18">
      <c r="A140" s="180" t="s">
        <v>62</v>
      </c>
      <c r="B140" s="75" t="s">
        <v>1554</v>
      </c>
      <c r="C140" s="39" t="s">
        <v>17</v>
      </c>
      <c r="D140" s="236"/>
      <c r="E140" s="236"/>
      <c r="F140" s="236"/>
      <c r="G140" s="236"/>
      <c r="H140" s="40">
        <f>SUM(Tabla13211242[[#This Row],[PRIMER TRIMESTRE]:[CUARTO TRIMESTRE]])</f>
        <v>0</v>
      </c>
      <c r="I140" s="17">
        <v>597.1</v>
      </c>
      <c r="J140" s="17">
        <f t="shared" si="2"/>
        <v>0</v>
      </c>
      <c r="K140" s="17"/>
      <c r="L140" s="16" t="s">
        <v>27</v>
      </c>
      <c r="M140" s="16" t="s">
        <v>22</v>
      </c>
      <c r="N140" s="39" t="s">
        <v>418</v>
      </c>
      <c r="O140" s="20"/>
    </row>
    <row r="141" spans="1:15" s="12" customFormat="1" ht="18">
      <c r="A141" s="180" t="s">
        <v>62</v>
      </c>
      <c r="B141" s="75" t="s">
        <v>923</v>
      </c>
      <c r="C141" s="39" t="s">
        <v>17</v>
      </c>
      <c r="D141" s="236"/>
      <c r="E141" s="236"/>
      <c r="F141" s="236"/>
      <c r="G141" s="236"/>
      <c r="H141" s="40">
        <f>SUM(Tabla13211242[[#This Row],[PRIMER TRIMESTRE]:[CUARTO TRIMESTRE]])</f>
        <v>0</v>
      </c>
      <c r="I141" s="17">
        <v>5000</v>
      </c>
      <c r="J141" s="17">
        <f t="shared" si="2"/>
        <v>0</v>
      </c>
      <c r="K141" s="17"/>
      <c r="L141" s="16" t="s">
        <v>27</v>
      </c>
      <c r="M141" s="16" t="s">
        <v>22</v>
      </c>
      <c r="N141" s="39" t="s">
        <v>418</v>
      </c>
      <c r="O141" s="20"/>
    </row>
    <row r="142" spans="1:15" s="12" customFormat="1" ht="18">
      <c r="A142" s="180" t="s">
        <v>62</v>
      </c>
      <c r="B142" s="77" t="s">
        <v>437</v>
      </c>
      <c r="C142" s="70" t="s">
        <v>17</v>
      </c>
      <c r="D142" s="210"/>
      <c r="E142" s="210"/>
      <c r="F142" s="210"/>
      <c r="G142" s="210"/>
      <c r="H142" s="406">
        <f>SUM(Tabla13211242[[#This Row],[PRIMER TRIMESTRE]:[CUARTO TRIMESTRE]])</f>
        <v>0</v>
      </c>
      <c r="I142" s="17">
        <v>125</v>
      </c>
      <c r="J142" s="17">
        <f>+Tabla13211242[[#This Row],[CANTIDAD TOTAL]]*Tabla13211242[[#This Row],[PRECIO UNITARIO ESTIMADO]]</f>
        <v>0</v>
      </c>
      <c r="K142" s="17"/>
      <c r="L142" s="16" t="s">
        <v>27</v>
      </c>
      <c r="M142" s="16" t="s">
        <v>22</v>
      </c>
      <c r="N142" s="39" t="s">
        <v>418</v>
      </c>
      <c r="O142" s="20"/>
    </row>
    <row r="143" spans="1:15" s="12" customFormat="1" ht="18">
      <c r="A143" s="180" t="s">
        <v>62</v>
      </c>
      <c r="B143" s="77" t="s">
        <v>438</v>
      </c>
      <c r="C143" s="70" t="s">
        <v>17</v>
      </c>
      <c r="D143" s="210"/>
      <c r="E143" s="210"/>
      <c r="F143" s="210"/>
      <c r="G143" s="210"/>
      <c r="H143" s="406">
        <f>SUM(Tabla13211242[[#This Row],[PRIMER TRIMESTRE]:[CUARTO TRIMESTRE]])</f>
        <v>0</v>
      </c>
      <c r="I143" s="17">
        <v>80</v>
      </c>
      <c r="J143" s="17">
        <f>+Tabla13211242[[#This Row],[CANTIDAD TOTAL]]*Tabla13211242[[#This Row],[PRECIO UNITARIO ESTIMADO]]</f>
        <v>0</v>
      </c>
      <c r="K143" s="17"/>
      <c r="L143" s="16" t="s">
        <v>27</v>
      </c>
      <c r="M143" s="16" t="s">
        <v>22</v>
      </c>
      <c r="N143" s="39" t="s">
        <v>418</v>
      </c>
      <c r="O143" s="20"/>
    </row>
    <row r="144" spans="1:15" s="12" customFormat="1" ht="18">
      <c r="A144" s="180" t="s">
        <v>62</v>
      </c>
      <c r="B144" s="77" t="s">
        <v>430</v>
      </c>
      <c r="C144" s="70" t="s">
        <v>17</v>
      </c>
      <c r="D144" s="210"/>
      <c r="E144" s="210"/>
      <c r="F144" s="210"/>
      <c r="G144" s="210"/>
      <c r="H144" s="406">
        <f>SUM(Tabla13211242[[#This Row],[PRIMER TRIMESTRE]:[CUARTO TRIMESTRE]])</f>
        <v>0</v>
      </c>
      <c r="I144" s="17">
        <v>46.8</v>
      </c>
      <c r="J144" s="17">
        <f>+Tabla13211242[[#This Row],[CANTIDAD TOTAL]]*Tabla13211242[[#This Row],[PRECIO UNITARIO ESTIMADO]]</f>
        <v>0</v>
      </c>
      <c r="K144" s="17"/>
      <c r="L144" s="16" t="s">
        <v>27</v>
      </c>
      <c r="M144" s="16" t="s">
        <v>22</v>
      </c>
      <c r="N144" s="39" t="s">
        <v>418</v>
      </c>
      <c r="O144" s="20"/>
    </row>
    <row r="145" spans="1:15" s="12" customFormat="1" ht="18">
      <c r="A145" s="180" t="s">
        <v>62</v>
      </c>
      <c r="B145" s="77" t="s">
        <v>139</v>
      </c>
      <c r="C145" s="70" t="s">
        <v>17</v>
      </c>
      <c r="D145" s="210"/>
      <c r="E145" s="210"/>
      <c r="F145" s="210"/>
      <c r="G145" s="210"/>
      <c r="H145" s="406">
        <f>SUM(Tabla13211242[[#This Row],[PRIMER TRIMESTRE]:[CUARTO TRIMESTRE]])</f>
        <v>0</v>
      </c>
      <c r="I145" s="17">
        <v>180</v>
      </c>
      <c r="J145" s="17">
        <f>+Tabla13211242[[#This Row],[CANTIDAD TOTAL]]*Tabla13211242[[#This Row],[PRECIO UNITARIO ESTIMADO]]</f>
        <v>0</v>
      </c>
      <c r="K145" s="17"/>
      <c r="L145" s="16" t="s">
        <v>27</v>
      </c>
      <c r="M145" s="16" t="s">
        <v>22</v>
      </c>
      <c r="N145" s="39" t="s">
        <v>418</v>
      </c>
      <c r="O145" s="20"/>
    </row>
    <row r="146" spans="1:15" s="12" customFormat="1" ht="18">
      <c r="A146" s="180" t="s">
        <v>62</v>
      </c>
      <c r="B146" s="75" t="s">
        <v>1170</v>
      </c>
      <c r="C146" s="39" t="s">
        <v>1162</v>
      </c>
      <c r="D146" s="236"/>
      <c r="E146" s="236"/>
      <c r="F146" s="236"/>
      <c r="G146" s="236"/>
      <c r="H146" s="40">
        <f>SUM(Tabla13211242[[#This Row],[PRIMER TRIMESTRE]:[CUARTO TRIMESTRE]])</f>
        <v>0</v>
      </c>
      <c r="I146" s="17">
        <v>11000</v>
      </c>
      <c r="J146" s="17">
        <f>+H146*I146</f>
        <v>0</v>
      </c>
      <c r="K146" s="17"/>
      <c r="L146" s="16" t="s">
        <v>27</v>
      </c>
      <c r="M146" s="16" t="s">
        <v>22</v>
      </c>
      <c r="N146" s="39" t="s">
        <v>418</v>
      </c>
      <c r="O146" s="20"/>
    </row>
    <row r="147" spans="1:15" s="169" customFormat="1" ht="18">
      <c r="A147" s="180" t="s">
        <v>62</v>
      </c>
      <c r="B147" s="75" t="s">
        <v>1171</v>
      </c>
      <c r="C147" s="39" t="s">
        <v>1162</v>
      </c>
      <c r="D147" s="236"/>
      <c r="E147" s="236"/>
      <c r="F147" s="236"/>
      <c r="G147" s="236"/>
      <c r="H147" s="40">
        <f>SUM(Tabla13211242[[#This Row],[PRIMER TRIMESTRE]:[CUARTO TRIMESTRE]])</f>
        <v>0</v>
      </c>
      <c r="I147" s="17">
        <v>11000</v>
      </c>
      <c r="J147" s="17">
        <f>+H147*I147</f>
        <v>0</v>
      </c>
      <c r="K147" s="17"/>
      <c r="L147" s="16" t="s">
        <v>27</v>
      </c>
      <c r="M147" s="16" t="s">
        <v>22</v>
      </c>
      <c r="N147" s="39" t="s">
        <v>418</v>
      </c>
      <c r="O147" s="20"/>
    </row>
    <row r="148" spans="1:15" s="169" customFormat="1" ht="18">
      <c r="A148" s="180" t="s">
        <v>62</v>
      </c>
      <c r="B148" s="75" t="s">
        <v>1344</v>
      </c>
      <c r="C148" s="70" t="s">
        <v>17</v>
      </c>
      <c r="D148" s="236"/>
      <c r="E148" s="236"/>
      <c r="F148" s="236"/>
      <c r="G148" s="236"/>
      <c r="H148" s="40">
        <f>SUM(Tabla13211242[[#This Row],[PRIMER TRIMESTRE]:[CUARTO TRIMESTRE]])</f>
        <v>0</v>
      </c>
      <c r="I148" s="17">
        <v>29.5</v>
      </c>
      <c r="J148" s="17">
        <f>+H148*I148</f>
        <v>0</v>
      </c>
      <c r="K148" s="17"/>
      <c r="L148" s="16" t="s">
        <v>27</v>
      </c>
      <c r="M148" s="16" t="s">
        <v>22</v>
      </c>
      <c r="N148" s="39" t="s">
        <v>418</v>
      </c>
      <c r="O148" s="20"/>
    </row>
    <row r="149" spans="1:15" s="12" customFormat="1" ht="18">
      <c r="A149" s="180" t="s">
        <v>62</v>
      </c>
      <c r="B149" s="75" t="s">
        <v>1710</v>
      </c>
      <c r="C149" s="70" t="s">
        <v>17</v>
      </c>
      <c r="D149" s="236"/>
      <c r="E149" s="236"/>
      <c r="F149" s="236"/>
      <c r="G149" s="236"/>
      <c r="H149" s="40">
        <v>0</v>
      </c>
      <c r="I149" s="17">
        <v>0</v>
      </c>
      <c r="J149" s="17">
        <v>0</v>
      </c>
      <c r="K149" s="17"/>
      <c r="L149" s="16" t="s">
        <v>27</v>
      </c>
      <c r="M149" s="16" t="s">
        <v>22</v>
      </c>
      <c r="N149" s="70" t="s">
        <v>418</v>
      </c>
      <c r="O149" s="20"/>
    </row>
    <row r="150" spans="1:15" s="12" customFormat="1" ht="18">
      <c r="A150" s="180" t="s">
        <v>62</v>
      </c>
      <c r="B150" s="77" t="s">
        <v>107</v>
      </c>
      <c r="C150" s="70" t="s">
        <v>17</v>
      </c>
      <c r="D150" s="210"/>
      <c r="E150" s="210"/>
      <c r="F150" s="210"/>
      <c r="G150" s="210"/>
      <c r="H150" s="406">
        <f>SUM(Tabla13211242[[#This Row],[PRIMER TRIMESTRE]:[CUARTO TRIMESTRE]])</f>
        <v>0</v>
      </c>
      <c r="I150" s="72">
        <v>86.24</v>
      </c>
      <c r="J150" s="72">
        <f>+Tabla13211242[[#This Row],[CANTIDAD TOTAL]]*Tabla13211242[[#This Row],[PRECIO UNITARIO ESTIMADO]]</f>
        <v>0</v>
      </c>
      <c r="K150" s="72"/>
      <c r="L150" s="16" t="s">
        <v>27</v>
      </c>
      <c r="M150" s="16" t="s">
        <v>22</v>
      </c>
      <c r="N150" s="70" t="s">
        <v>418</v>
      </c>
      <c r="O150" s="20"/>
    </row>
    <row r="151" spans="1:15" s="12" customFormat="1" ht="18">
      <c r="A151" s="180" t="s">
        <v>62</v>
      </c>
      <c r="B151" s="77" t="s">
        <v>598</v>
      </c>
      <c r="C151" s="70" t="s">
        <v>17</v>
      </c>
      <c r="D151" s="210"/>
      <c r="E151" s="210"/>
      <c r="F151" s="210"/>
      <c r="G151" s="210"/>
      <c r="H151" s="406">
        <f>SUM(Tabla13211242[[#This Row],[PRIMER TRIMESTRE]:[CUARTO TRIMESTRE]])</f>
        <v>0</v>
      </c>
      <c r="I151" s="17">
        <v>153.05000000000001</v>
      </c>
      <c r="J151" s="17">
        <f>+Tabla13211242[[#This Row],[CANTIDAD TOTAL]]*Tabla13211242[[#This Row],[PRECIO UNITARIO ESTIMADO]]</f>
        <v>0</v>
      </c>
      <c r="K151" s="17"/>
      <c r="L151" s="16" t="s">
        <v>27</v>
      </c>
      <c r="M151" s="16" t="s">
        <v>22</v>
      </c>
      <c r="N151" s="39" t="s">
        <v>418</v>
      </c>
      <c r="O151" s="20"/>
    </row>
    <row r="152" spans="1:15" s="12" customFormat="1" ht="18">
      <c r="A152" s="180" t="s">
        <v>62</v>
      </c>
      <c r="B152" s="77" t="s">
        <v>599</v>
      </c>
      <c r="C152" s="70" t="s">
        <v>17</v>
      </c>
      <c r="D152" s="210"/>
      <c r="E152" s="210"/>
      <c r="F152" s="210"/>
      <c r="G152" s="210"/>
      <c r="H152" s="406">
        <f>SUM(Tabla13211242[[#This Row],[PRIMER TRIMESTRE]:[CUARTO TRIMESTRE]])</f>
        <v>0</v>
      </c>
      <c r="I152" s="17">
        <v>72.88</v>
      </c>
      <c r="J152" s="17">
        <f>+H152*I152</f>
        <v>0</v>
      </c>
      <c r="K152" s="17"/>
      <c r="L152" s="16" t="s">
        <v>27</v>
      </c>
      <c r="M152" s="16" t="s">
        <v>22</v>
      </c>
      <c r="N152" s="39" t="s">
        <v>418</v>
      </c>
      <c r="O152" s="20"/>
    </row>
    <row r="153" spans="1:15" s="12" customFormat="1" ht="18">
      <c r="A153" s="180" t="s">
        <v>62</v>
      </c>
      <c r="B153" s="77" t="s">
        <v>600</v>
      </c>
      <c r="C153" s="70" t="s">
        <v>17</v>
      </c>
      <c r="D153" s="210"/>
      <c r="E153" s="210"/>
      <c r="F153" s="210"/>
      <c r="G153" s="210"/>
      <c r="H153" s="406">
        <f>SUM(Tabla13211242[[#This Row],[PRIMER TRIMESTRE]:[CUARTO TRIMESTRE]])</f>
        <v>0</v>
      </c>
      <c r="I153" s="17">
        <v>86</v>
      </c>
      <c r="J153" s="17">
        <f>+Tabla13211242[[#This Row],[CANTIDAD TOTAL]]*Tabla13211242[[#This Row],[PRECIO UNITARIO ESTIMADO]]</f>
        <v>0</v>
      </c>
      <c r="K153" s="17"/>
      <c r="L153" s="16" t="s">
        <v>27</v>
      </c>
      <c r="M153" s="16" t="s">
        <v>22</v>
      </c>
      <c r="N153" s="39" t="s">
        <v>418</v>
      </c>
      <c r="O153" s="20"/>
    </row>
    <row r="154" spans="1:15" s="12" customFormat="1" ht="18">
      <c r="A154" s="180" t="s">
        <v>62</v>
      </c>
      <c r="B154" s="77" t="s">
        <v>601</v>
      </c>
      <c r="C154" s="70" t="s">
        <v>17</v>
      </c>
      <c r="D154" s="210"/>
      <c r="E154" s="210"/>
      <c r="F154" s="210"/>
      <c r="G154" s="210"/>
      <c r="H154" s="406">
        <f>SUM(Tabla13211242[[#This Row],[PRIMER TRIMESTRE]:[CUARTO TRIMESTRE]])</f>
        <v>0</v>
      </c>
      <c r="I154" s="17">
        <v>158.88</v>
      </c>
      <c r="J154" s="17">
        <f>+H154*I154</f>
        <v>0</v>
      </c>
      <c r="K154" s="17"/>
      <c r="L154" s="16" t="s">
        <v>27</v>
      </c>
      <c r="M154" s="16" t="s">
        <v>22</v>
      </c>
      <c r="N154" s="39" t="s">
        <v>418</v>
      </c>
      <c r="O154" s="20"/>
    </row>
    <row r="155" spans="1:15" s="12" customFormat="1" ht="18">
      <c r="A155" s="180" t="s">
        <v>62</v>
      </c>
      <c r="B155" s="75" t="s">
        <v>1160</v>
      </c>
      <c r="C155" s="39" t="s">
        <v>1162</v>
      </c>
      <c r="D155" s="236"/>
      <c r="E155" s="236"/>
      <c r="F155" s="236"/>
      <c r="G155" s="236"/>
      <c r="H155" s="40">
        <f>SUM(Tabla13211242[[#This Row],[PRIMER TRIMESTRE]:[CUARTO TRIMESTRE]])</f>
        <v>0</v>
      </c>
      <c r="I155" s="17">
        <v>2000</v>
      </c>
      <c r="J155" s="17">
        <f>+H155*I155</f>
        <v>0</v>
      </c>
      <c r="K155" s="17"/>
      <c r="L155" s="16" t="s">
        <v>27</v>
      </c>
      <c r="M155" s="16" t="s">
        <v>22</v>
      </c>
      <c r="N155" s="39" t="s">
        <v>418</v>
      </c>
      <c r="O155" s="20"/>
    </row>
    <row r="156" spans="1:15" s="12" customFormat="1" ht="18">
      <c r="A156" s="180" t="s">
        <v>62</v>
      </c>
      <c r="B156" s="75" t="s">
        <v>1161</v>
      </c>
      <c r="C156" s="39" t="s">
        <v>1162</v>
      </c>
      <c r="D156" s="236"/>
      <c r="E156" s="236"/>
      <c r="F156" s="236"/>
      <c r="G156" s="236"/>
      <c r="H156" s="40">
        <f>SUM(Tabla13211242[[#This Row],[PRIMER TRIMESTRE]:[CUARTO TRIMESTRE]])</f>
        <v>0</v>
      </c>
      <c r="I156" s="17">
        <v>2000</v>
      </c>
      <c r="J156" s="17">
        <f>+H156*I156</f>
        <v>0</v>
      </c>
      <c r="K156" s="17"/>
      <c r="L156" s="16" t="s">
        <v>27</v>
      </c>
      <c r="M156" s="16" t="s">
        <v>22</v>
      </c>
      <c r="N156" s="39" t="s">
        <v>418</v>
      </c>
      <c r="O156" s="20"/>
    </row>
    <row r="157" spans="1:15" s="12" customFormat="1" ht="18">
      <c r="A157" s="180" t="s">
        <v>62</v>
      </c>
      <c r="B157" s="75" t="s">
        <v>1849</v>
      </c>
      <c r="C157" s="39" t="s">
        <v>17</v>
      </c>
      <c r="D157" s="236"/>
      <c r="E157" s="236"/>
      <c r="F157" s="236"/>
      <c r="G157" s="236"/>
      <c r="H157" s="40">
        <v>0</v>
      </c>
      <c r="I157" s="17">
        <v>0</v>
      </c>
      <c r="J157" s="17">
        <v>0</v>
      </c>
      <c r="K157" s="17"/>
      <c r="L157" s="16" t="s">
        <v>27</v>
      </c>
      <c r="M157" s="16" t="s">
        <v>22</v>
      </c>
      <c r="N157" s="39" t="s">
        <v>418</v>
      </c>
      <c r="O157" s="20"/>
    </row>
    <row r="158" spans="1:15" s="12" customFormat="1" ht="18">
      <c r="A158" s="180" t="s">
        <v>62</v>
      </c>
      <c r="B158" s="77" t="s">
        <v>1705</v>
      </c>
      <c r="C158" s="70" t="s">
        <v>17</v>
      </c>
      <c r="D158" s="236"/>
      <c r="E158" s="236"/>
      <c r="F158" s="236"/>
      <c r="G158" s="236"/>
      <c r="H158" s="40">
        <v>0</v>
      </c>
      <c r="I158" s="17">
        <v>0</v>
      </c>
      <c r="J158" s="17">
        <v>0</v>
      </c>
      <c r="K158" s="17"/>
      <c r="L158" s="16" t="s">
        <v>27</v>
      </c>
      <c r="M158" s="16" t="s">
        <v>22</v>
      </c>
      <c r="N158" s="39" t="s">
        <v>418</v>
      </c>
      <c r="O158" s="20"/>
    </row>
    <row r="159" spans="1:15" s="12" customFormat="1" ht="18">
      <c r="A159" s="180" t="s">
        <v>62</v>
      </c>
      <c r="B159" s="77" t="s">
        <v>144</v>
      </c>
      <c r="C159" s="70" t="s">
        <v>17</v>
      </c>
      <c r="D159" s="210"/>
      <c r="E159" s="210"/>
      <c r="F159" s="210"/>
      <c r="G159" s="210"/>
      <c r="H159" s="406">
        <f>SUM(Tabla13211242[[#This Row],[PRIMER TRIMESTRE]:[CUARTO TRIMESTRE]])</f>
        <v>0</v>
      </c>
      <c r="I159" s="17">
        <v>62.87</v>
      </c>
      <c r="J159" s="17">
        <f>+Tabla13211242[[#This Row],[CANTIDAD TOTAL]]*Tabla13211242[[#This Row],[PRECIO UNITARIO ESTIMADO]]</f>
        <v>0</v>
      </c>
      <c r="K159" s="17"/>
      <c r="L159" s="16" t="s">
        <v>27</v>
      </c>
      <c r="M159" s="16" t="s">
        <v>22</v>
      </c>
      <c r="N159" s="39" t="s">
        <v>418</v>
      </c>
      <c r="O159" s="20"/>
    </row>
    <row r="160" spans="1:15" s="12" customFormat="1" ht="18">
      <c r="A160" s="180" t="s">
        <v>62</v>
      </c>
      <c r="B160" s="77" t="s">
        <v>1707</v>
      </c>
      <c r="C160" s="70" t="s">
        <v>17</v>
      </c>
      <c r="D160" s="210"/>
      <c r="E160" s="210"/>
      <c r="F160" s="210"/>
      <c r="G160" s="210"/>
      <c r="H160" s="406">
        <v>0</v>
      </c>
      <c r="I160" s="17">
        <v>0</v>
      </c>
      <c r="J160" s="17">
        <v>0</v>
      </c>
      <c r="K160" s="17"/>
      <c r="L160" s="16" t="s">
        <v>27</v>
      </c>
      <c r="M160" s="16" t="s">
        <v>22</v>
      </c>
      <c r="N160" s="39" t="s">
        <v>418</v>
      </c>
      <c r="O160" s="20"/>
    </row>
    <row r="161" spans="1:15" s="12" customFormat="1" ht="18">
      <c r="A161" s="180" t="s">
        <v>62</v>
      </c>
      <c r="B161" s="77" t="s">
        <v>1708</v>
      </c>
      <c r="C161" s="70" t="s">
        <v>17</v>
      </c>
      <c r="D161" s="210"/>
      <c r="E161" s="210"/>
      <c r="F161" s="210"/>
      <c r="G161" s="210"/>
      <c r="H161" s="406">
        <v>0</v>
      </c>
      <c r="I161" s="17">
        <v>0</v>
      </c>
      <c r="J161" s="17">
        <v>0</v>
      </c>
      <c r="K161" s="17"/>
      <c r="L161" s="16" t="s">
        <v>27</v>
      </c>
      <c r="M161" s="16" t="s">
        <v>22</v>
      </c>
      <c r="N161" s="39" t="s">
        <v>418</v>
      </c>
      <c r="O161" s="20"/>
    </row>
    <row r="162" spans="1:15" s="12" customFormat="1" ht="18">
      <c r="A162" s="180" t="s">
        <v>62</v>
      </c>
      <c r="B162" s="75" t="s">
        <v>1172</v>
      </c>
      <c r="C162" s="39" t="s">
        <v>1162</v>
      </c>
      <c r="D162" s="236"/>
      <c r="E162" s="236"/>
      <c r="F162" s="236"/>
      <c r="G162" s="236"/>
      <c r="H162" s="40">
        <f>SUM(Tabla13211242[[#This Row],[PRIMER TRIMESTRE]:[CUARTO TRIMESTRE]])</f>
        <v>0</v>
      </c>
      <c r="I162" s="17">
        <v>7800</v>
      </c>
      <c r="J162" s="17">
        <f t="shared" ref="J162:J171" si="3">+H162*I162</f>
        <v>0</v>
      </c>
      <c r="K162" s="17"/>
      <c r="L162" s="16" t="s">
        <v>27</v>
      </c>
      <c r="M162" s="16" t="s">
        <v>22</v>
      </c>
      <c r="N162" s="39" t="s">
        <v>418</v>
      </c>
      <c r="O162" s="20"/>
    </row>
    <row r="163" spans="1:15" s="12" customFormat="1" ht="18">
      <c r="A163" s="180" t="s">
        <v>62</v>
      </c>
      <c r="B163" s="75" t="s">
        <v>1173</v>
      </c>
      <c r="C163" s="39" t="s">
        <v>1162</v>
      </c>
      <c r="D163" s="236"/>
      <c r="E163" s="236"/>
      <c r="F163" s="236"/>
      <c r="G163" s="236"/>
      <c r="H163" s="40">
        <f>SUM(Tabla13211242[[#This Row],[PRIMER TRIMESTRE]:[CUARTO TRIMESTRE]])</f>
        <v>0</v>
      </c>
      <c r="I163" s="17">
        <v>7800</v>
      </c>
      <c r="J163" s="17">
        <f t="shared" si="3"/>
        <v>0</v>
      </c>
      <c r="K163" s="17"/>
      <c r="L163" s="16" t="s">
        <v>27</v>
      </c>
      <c r="M163" s="16" t="s">
        <v>22</v>
      </c>
      <c r="N163" s="39" t="s">
        <v>418</v>
      </c>
      <c r="O163" s="20"/>
    </row>
    <row r="164" spans="1:15" s="12" customFormat="1" ht="18">
      <c r="A164" s="180" t="s">
        <v>62</v>
      </c>
      <c r="B164" s="75" t="s">
        <v>1174</v>
      </c>
      <c r="C164" s="39" t="s">
        <v>17</v>
      </c>
      <c r="D164" s="236"/>
      <c r="E164" s="236"/>
      <c r="F164" s="236"/>
      <c r="G164" s="236"/>
      <c r="H164" s="40">
        <f>SUM(Tabla13211242[[#This Row],[PRIMER TRIMESTRE]:[CUARTO TRIMESTRE]])</f>
        <v>0</v>
      </c>
      <c r="I164" s="17">
        <v>5500</v>
      </c>
      <c r="J164" s="17">
        <f t="shared" si="3"/>
        <v>0</v>
      </c>
      <c r="K164" s="17"/>
      <c r="L164" s="16" t="s">
        <v>27</v>
      </c>
      <c r="M164" s="16" t="s">
        <v>22</v>
      </c>
      <c r="N164" s="39" t="s">
        <v>418</v>
      </c>
      <c r="O164" s="20"/>
    </row>
    <row r="165" spans="1:15" s="12" customFormat="1" ht="18">
      <c r="A165" s="180" t="s">
        <v>62</v>
      </c>
      <c r="B165" s="75" t="s">
        <v>1175</v>
      </c>
      <c r="C165" s="39" t="s">
        <v>17</v>
      </c>
      <c r="D165" s="236"/>
      <c r="E165" s="236"/>
      <c r="F165" s="236"/>
      <c r="G165" s="236"/>
      <c r="H165" s="40">
        <f>SUM(Tabla13211242[[#This Row],[PRIMER TRIMESTRE]:[CUARTO TRIMESTRE]])</f>
        <v>0</v>
      </c>
      <c r="I165" s="17">
        <v>7000</v>
      </c>
      <c r="J165" s="17">
        <f t="shared" si="3"/>
        <v>0</v>
      </c>
      <c r="K165" s="17"/>
      <c r="L165" s="16" t="s">
        <v>27</v>
      </c>
      <c r="M165" s="16" t="s">
        <v>22</v>
      </c>
      <c r="N165" s="39" t="s">
        <v>418</v>
      </c>
      <c r="O165" s="20"/>
    </row>
    <row r="166" spans="1:15" s="12" customFormat="1" ht="18">
      <c r="A166" s="180" t="s">
        <v>62</v>
      </c>
      <c r="B166" s="75" t="s">
        <v>1176</v>
      </c>
      <c r="C166" s="39" t="s">
        <v>17</v>
      </c>
      <c r="D166" s="236"/>
      <c r="E166" s="236"/>
      <c r="F166" s="236"/>
      <c r="G166" s="236"/>
      <c r="H166" s="40">
        <f>SUM(Tabla13211242[[#This Row],[PRIMER TRIMESTRE]:[CUARTO TRIMESTRE]])</f>
        <v>0</v>
      </c>
      <c r="I166" s="17">
        <v>9000</v>
      </c>
      <c r="J166" s="17">
        <f t="shared" si="3"/>
        <v>0</v>
      </c>
      <c r="K166" s="17"/>
      <c r="L166" s="16" t="s">
        <v>27</v>
      </c>
      <c r="M166" s="16" t="s">
        <v>22</v>
      </c>
      <c r="N166" s="39" t="s">
        <v>418</v>
      </c>
      <c r="O166" s="20"/>
    </row>
    <row r="167" spans="1:15" s="12" customFormat="1" ht="18">
      <c r="A167" s="180" t="s">
        <v>62</v>
      </c>
      <c r="B167" s="75" t="s">
        <v>1177</v>
      </c>
      <c r="C167" s="39" t="s">
        <v>17</v>
      </c>
      <c r="D167" s="236"/>
      <c r="E167" s="236"/>
      <c r="F167" s="236"/>
      <c r="G167" s="236"/>
      <c r="H167" s="40">
        <f>SUM(Tabla13211242[[#This Row],[PRIMER TRIMESTRE]:[CUARTO TRIMESTRE]])</f>
        <v>0</v>
      </c>
      <c r="I167" s="17">
        <v>11600</v>
      </c>
      <c r="J167" s="17">
        <f t="shared" si="3"/>
        <v>0</v>
      </c>
      <c r="K167" s="17"/>
      <c r="L167" s="16" t="s">
        <v>27</v>
      </c>
      <c r="M167" s="16" t="s">
        <v>22</v>
      </c>
      <c r="N167" s="39" t="s">
        <v>418</v>
      </c>
      <c r="O167" s="20"/>
    </row>
    <row r="168" spans="1:15" s="12" customFormat="1" ht="18">
      <c r="A168" s="180" t="s">
        <v>62</v>
      </c>
      <c r="B168" s="75" t="s">
        <v>1178</v>
      </c>
      <c r="C168" s="39" t="s">
        <v>17</v>
      </c>
      <c r="D168" s="236"/>
      <c r="E168" s="236"/>
      <c r="F168" s="236"/>
      <c r="G168" s="236"/>
      <c r="H168" s="40">
        <f>SUM(Tabla13211242[[#This Row],[PRIMER TRIMESTRE]:[CUARTO TRIMESTRE]])</f>
        <v>0</v>
      </c>
      <c r="I168" s="17">
        <v>11600</v>
      </c>
      <c r="J168" s="17">
        <f t="shared" si="3"/>
        <v>0</v>
      </c>
      <c r="K168" s="17"/>
      <c r="L168" s="16" t="s">
        <v>27</v>
      </c>
      <c r="M168" s="16" t="s">
        <v>22</v>
      </c>
      <c r="N168" s="39" t="s">
        <v>418</v>
      </c>
      <c r="O168" s="20"/>
    </row>
    <row r="169" spans="1:15" s="12" customFormat="1" ht="18">
      <c r="A169" s="180" t="s">
        <v>62</v>
      </c>
      <c r="B169" s="75" t="s">
        <v>1163</v>
      </c>
      <c r="C169" s="39" t="s">
        <v>17</v>
      </c>
      <c r="D169" s="236"/>
      <c r="E169" s="236"/>
      <c r="F169" s="236"/>
      <c r="G169" s="236"/>
      <c r="H169" s="40">
        <f>SUM(Tabla13211242[[#This Row],[PRIMER TRIMESTRE]:[CUARTO TRIMESTRE]])</f>
        <v>0</v>
      </c>
      <c r="I169" s="17">
        <v>400</v>
      </c>
      <c r="J169" s="17">
        <f t="shared" si="3"/>
        <v>0</v>
      </c>
      <c r="K169" s="17"/>
      <c r="L169" s="16" t="s">
        <v>27</v>
      </c>
      <c r="M169" s="16" t="s">
        <v>22</v>
      </c>
      <c r="N169" s="39" t="s">
        <v>418</v>
      </c>
      <c r="O169" s="20"/>
    </row>
    <row r="170" spans="1:15" s="12" customFormat="1" ht="18">
      <c r="A170" s="180" t="s">
        <v>62</v>
      </c>
      <c r="B170" s="75" t="s">
        <v>1164</v>
      </c>
      <c r="C170" s="39" t="s">
        <v>17</v>
      </c>
      <c r="D170" s="236"/>
      <c r="E170" s="236"/>
      <c r="F170" s="236"/>
      <c r="G170" s="236"/>
      <c r="H170" s="40">
        <f>SUM(Tabla13211242[[#This Row],[PRIMER TRIMESTRE]:[CUARTO TRIMESTRE]])</f>
        <v>0</v>
      </c>
      <c r="I170" s="17">
        <v>650</v>
      </c>
      <c r="J170" s="17">
        <f t="shared" si="3"/>
        <v>0</v>
      </c>
      <c r="K170" s="17"/>
      <c r="L170" s="16" t="s">
        <v>27</v>
      </c>
      <c r="M170" s="16" t="s">
        <v>22</v>
      </c>
      <c r="N170" s="39" t="s">
        <v>418</v>
      </c>
      <c r="O170" s="20"/>
    </row>
    <row r="171" spans="1:15" s="12" customFormat="1" ht="18">
      <c r="A171" s="180" t="s">
        <v>62</v>
      </c>
      <c r="B171" s="75" t="s">
        <v>1165</v>
      </c>
      <c r="C171" s="39" t="s">
        <v>17</v>
      </c>
      <c r="D171" s="236"/>
      <c r="E171" s="236"/>
      <c r="F171" s="236"/>
      <c r="G171" s="236"/>
      <c r="H171" s="40">
        <f>SUM(Tabla13211242[[#This Row],[PRIMER TRIMESTRE]:[CUARTO TRIMESTRE]])</f>
        <v>0</v>
      </c>
      <c r="I171" s="17">
        <v>1300</v>
      </c>
      <c r="J171" s="17">
        <f t="shared" si="3"/>
        <v>0</v>
      </c>
      <c r="K171" s="17"/>
      <c r="L171" s="16" t="s">
        <v>27</v>
      </c>
      <c r="M171" s="16" t="s">
        <v>22</v>
      </c>
      <c r="N171" s="39" t="s">
        <v>418</v>
      </c>
      <c r="O171" s="20"/>
    </row>
    <row r="172" spans="1:15" s="12" customFormat="1" ht="18">
      <c r="A172" s="180" t="s">
        <v>62</v>
      </c>
      <c r="B172" s="77" t="s">
        <v>158</v>
      </c>
      <c r="C172" s="70" t="s">
        <v>17</v>
      </c>
      <c r="D172" s="210"/>
      <c r="E172" s="210"/>
      <c r="F172" s="210"/>
      <c r="G172" s="210"/>
      <c r="H172" s="406">
        <f>SUM(Tabla13211242[[#This Row],[PRIMER TRIMESTRE]:[CUARTO TRIMESTRE]])</f>
        <v>0</v>
      </c>
      <c r="I172" s="17">
        <v>1120</v>
      </c>
      <c r="J172" s="17">
        <f>+Tabla13211242[[#This Row],[CANTIDAD TOTAL]]*Tabla13211242[[#This Row],[PRECIO UNITARIO ESTIMADO]]</f>
        <v>0</v>
      </c>
      <c r="K172" s="17"/>
      <c r="L172" s="16" t="s">
        <v>27</v>
      </c>
      <c r="M172" s="16" t="s">
        <v>22</v>
      </c>
      <c r="N172" s="39" t="s">
        <v>418</v>
      </c>
      <c r="O172" s="20"/>
    </row>
    <row r="173" spans="1:15" s="12" customFormat="1" ht="18">
      <c r="A173" s="180" t="s">
        <v>62</v>
      </c>
      <c r="B173" s="77" t="s">
        <v>1287</v>
      </c>
      <c r="C173" s="70" t="s">
        <v>17</v>
      </c>
      <c r="D173" s="210"/>
      <c r="E173" s="210"/>
      <c r="F173" s="210"/>
      <c r="G173" s="210"/>
      <c r="H173" s="406">
        <f>SUM(Tabla13211242[[#This Row],[PRIMER TRIMESTRE]:[CUARTO TRIMESTRE]])</f>
        <v>0</v>
      </c>
      <c r="I173" s="17">
        <v>2700</v>
      </c>
      <c r="J173" s="17">
        <f>+H173*I173</f>
        <v>0</v>
      </c>
      <c r="K173" s="17"/>
      <c r="L173" s="16" t="s">
        <v>27</v>
      </c>
      <c r="M173" s="16" t="s">
        <v>22</v>
      </c>
      <c r="N173" s="39" t="s">
        <v>418</v>
      </c>
      <c r="O173" s="20"/>
    </row>
    <row r="174" spans="1:15" s="12" customFormat="1" ht="18">
      <c r="A174" s="180" t="s">
        <v>62</v>
      </c>
      <c r="B174" s="77" t="s">
        <v>160</v>
      </c>
      <c r="C174" s="70" t="s">
        <v>17</v>
      </c>
      <c r="D174" s="210"/>
      <c r="E174" s="210"/>
      <c r="F174" s="210"/>
      <c r="G174" s="210"/>
      <c r="H174" s="406">
        <f>SUM(Tabla13211242[[#This Row],[PRIMER TRIMESTRE]:[CUARTO TRIMESTRE]])</f>
        <v>0</v>
      </c>
      <c r="I174" s="17">
        <v>1908</v>
      </c>
      <c r="J174" s="17">
        <f>+Tabla13211242[[#This Row],[CANTIDAD TOTAL]]*Tabla13211242[[#This Row],[PRECIO UNITARIO ESTIMADO]]</f>
        <v>0</v>
      </c>
      <c r="K174" s="17"/>
      <c r="L174" s="16" t="s">
        <v>27</v>
      </c>
      <c r="M174" s="16" t="s">
        <v>22</v>
      </c>
      <c r="N174" s="39" t="s">
        <v>418</v>
      </c>
      <c r="O174" s="20"/>
    </row>
    <row r="175" spans="1:15" s="12" customFormat="1" ht="18">
      <c r="A175" s="180" t="s">
        <v>62</v>
      </c>
      <c r="B175" s="77" t="s">
        <v>1545</v>
      </c>
      <c r="C175" s="70" t="s">
        <v>17</v>
      </c>
      <c r="D175" s="210"/>
      <c r="E175" s="210"/>
      <c r="F175" s="210"/>
      <c r="G175" s="210"/>
      <c r="H175" s="406">
        <f>SUM(Tabla13211242[[#This Row],[PRIMER TRIMESTRE]:[CUARTO TRIMESTRE]])</f>
        <v>0</v>
      </c>
      <c r="I175" s="17">
        <v>506.75</v>
      </c>
      <c r="J175" s="17">
        <f>+H175*I175</f>
        <v>0</v>
      </c>
      <c r="K175" s="17"/>
      <c r="L175" s="16" t="s">
        <v>27</v>
      </c>
      <c r="M175" s="16" t="s">
        <v>22</v>
      </c>
      <c r="N175" s="39" t="s">
        <v>418</v>
      </c>
      <c r="O175" s="20"/>
    </row>
    <row r="176" spans="1:15" s="12" customFormat="1" ht="18">
      <c r="A176" s="180" t="s">
        <v>62</v>
      </c>
      <c r="B176" s="77" t="s">
        <v>162</v>
      </c>
      <c r="C176" s="70" t="s">
        <v>17</v>
      </c>
      <c r="D176" s="210"/>
      <c r="E176" s="210"/>
      <c r="F176" s="210"/>
      <c r="G176" s="210"/>
      <c r="H176" s="406">
        <f>SUM(Tabla13211242[[#This Row],[PRIMER TRIMESTRE]:[CUARTO TRIMESTRE]])</f>
        <v>0</v>
      </c>
      <c r="I176" s="17">
        <v>29</v>
      </c>
      <c r="J176" s="17">
        <f>+Tabla13211242[[#This Row],[CANTIDAD TOTAL]]*Tabla13211242[[#This Row],[PRECIO UNITARIO ESTIMADO]]</f>
        <v>0</v>
      </c>
      <c r="K176" s="17"/>
      <c r="L176" s="16" t="s">
        <v>27</v>
      </c>
      <c r="M176" s="16" t="s">
        <v>22</v>
      </c>
      <c r="N176" s="39" t="s">
        <v>418</v>
      </c>
      <c r="O176" s="20"/>
    </row>
    <row r="177" spans="1:15" s="12" customFormat="1" ht="18">
      <c r="A177" s="180" t="s">
        <v>62</v>
      </c>
      <c r="B177" s="77" t="s">
        <v>368</v>
      </c>
      <c r="C177" s="70" t="s">
        <v>17</v>
      </c>
      <c r="D177" s="210"/>
      <c r="E177" s="210"/>
      <c r="F177" s="210"/>
      <c r="G177" s="210"/>
      <c r="H177" s="406">
        <f>SUM(Tabla13211242[[#This Row],[PRIMER TRIMESTRE]:[CUARTO TRIMESTRE]])</f>
        <v>0</v>
      </c>
      <c r="I177" s="17">
        <v>75.400000000000006</v>
      </c>
      <c r="J177" s="17">
        <f>+H177*I177</f>
        <v>0</v>
      </c>
      <c r="K177" s="17"/>
      <c r="L177" s="16" t="s">
        <v>27</v>
      </c>
      <c r="M177" s="16" t="s">
        <v>22</v>
      </c>
      <c r="N177" s="39" t="s">
        <v>418</v>
      </c>
      <c r="O177" s="20"/>
    </row>
    <row r="178" spans="1:15" s="12" customFormat="1" ht="18">
      <c r="A178" s="180" t="s">
        <v>62</v>
      </c>
      <c r="B178" s="77" t="s">
        <v>602</v>
      </c>
      <c r="C178" s="70" t="s">
        <v>17</v>
      </c>
      <c r="D178" s="210"/>
      <c r="E178" s="210"/>
      <c r="F178" s="210"/>
      <c r="G178" s="210"/>
      <c r="H178" s="406">
        <f>SUM(Tabla13211242[[#This Row],[PRIMER TRIMESTRE]:[CUARTO TRIMESTRE]])</f>
        <v>0</v>
      </c>
      <c r="I178" s="17">
        <v>90</v>
      </c>
      <c r="J178" s="17">
        <f>+H178*I178</f>
        <v>0</v>
      </c>
      <c r="K178" s="17"/>
      <c r="L178" s="16" t="s">
        <v>27</v>
      </c>
      <c r="M178" s="16" t="s">
        <v>22</v>
      </c>
      <c r="N178" s="39" t="s">
        <v>418</v>
      </c>
      <c r="O178" s="20"/>
    </row>
    <row r="179" spans="1:15" s="12" customFormat="1" ht="18">
      <c r="A179" s="180" t="s">
        <v>62</v>
      </c>
      <c r="B179" s="77" t="s">
        <v>164</v>
      </c>
      <c r="C179" s="70" t="s">
        <v>17</v>
      </c>
      <c r="D179" s="210"/>
      <c r="E179" s="210"/>
      <c r="F179" s="210"/>
      <c r="G179" s="210"/>
      <c r="H179" s="406">
        <f>SUM(Tabla13211242[[#This Row],[PRIMER TRIMESTRE]:[CUARTO TRIMESTRE]])</f>
        <v>0</v>
      </c>
      <c r="I179" s="17">
        <v>3419.05</v>
      </c>
      <c r="J179" s="17">
        <f>+Tabla13211242[[#This Row],[CANTIDAD TOTAL]]*Tabla13211242[[#This Row],[PRECIO UNITARIO ESTIMADO]]</f>
        <v>0</v>
      </c>
      <c r="K179" s="17"/>
      <c r="L179" s="16" t="s">
        <v>27</v>
      </c>
      <c r="M179" s="16" t="s">
        <v>22</v>
      </c>
      <c r="N179" s="39" t="s">
        <v>418</v>
      </c>
      <c r="O179" s="20"/>
    </row>
    <row r="180" spans="1:15" s="12" customFormat="1" ht="18">
      <c r="A180" s="180" t="s">
        <v>62</v>
      </c>
      <c r="B180" s="75" t="s">
        <v>1166</v>
      </c>
      <c r="C180" s="39" t="s">
        <v>17</v>
      </c>
      <c r="D180" s="236"/>
      <c r="E180" s="236"/>
      <c r="F180" s="236"/>
      <c r="G180" s="236"/>
      <c r="H180" s="40">
        <f>SUM(Tabla13211242[[#This Row],[PRIMER TRIMESTRE]:[CUARTO TRIMESTRE]])</f>
        <v>0</v>
      </c>
      <c r="I180" s="17">
        <v>400</v>
      </c>
      <c r="J180" s="17">
        <f>+H180*I180</f>
        <v>0</v>
      </c>
      <c r="K180" s="17"/>
      <c r="L180" s="16" t="s">
        <v>27</v>
      </c>
      <c r="M180" s="16" t="s">
        <v>22</v>
      </c>
      <c r="N180" s="39" t="s">
        <v>418</v>
      </c>
      <c r="O180" s="20"/>
    </row>
    <row r="181" spans="1:15" s="12" customFormat="1" ht="18">
      <c r="A181" s="180" t="s">
        <v>62</v>
      </c>
      <c r="B181" s="75" t="s">
        <v>1167</v>
      </c>
      <c r="C181" s="39" t="s">
        <v>17</v>
      </c>
      <c r="D181" s="236"/>
      <c r="E181" s="236"/>
      <c r="F181" s="236"/>
      <c r="G181" s="236"/>
      <c r="H181" s="40">
        <f>SUM(Tabla13211242[[#This Row],[PRIMER TRIMESTRE]:[CUARTO TRIMESTRE]])</f>
        <v>0</v>
      </c>
      <c r="I181" s="17">
        <v>1300</v>
      </c>
      <c r="J181" s="17">
        <f>+H181*I181</f>
        <v>0</v>
      </c>
      <c r="K181" s="17"/>
      <c r="L181" s="16" t="s">
        <v>27</v>
      </c>
      <c r="M181" s="16" t="s">
        <v>22</v>
      </c>
      <c r="N181" s="39" t="s">
        <v>418</v>
      </c>
      <c r="O181" s="20"/>
    </row>
    <row r="182" spans="1:15" s="12" customFormat="1" ht="18">
      <c r="A182" s="180" t="s">
        <v>62</v>
      </c>
      <c r="B182" s="77" t="s">
        <v>462</v>
      </c>
      <c r="C182" s="70" t="s">
        <v>17</v>
      </c>
      <c r="D182" s="210"/>
      <c r="E182" s="210"/>
      <c r="F182" s="210"/>
      <c r="G182" s="210"/>
      <c r="H182" s="406">
        <f>SUM(Tabla13211242[[#This Row],[PRIMER TRIMESTRE]:[CUARTO TRIMESTRE]])</f>
        <v>0</v>
      </c>
      <c r="I182" s="17">
        <v>1896.06</v>
      </c>
      <c r="J182" s="17">
        <f>+H182*I182</f>
        <v>0</v>
      </c>
      <c r="K182" s="17"/>
      <c r="L182" s="16" t="s">
        <v>27</v>
      </c>
      <c r="M182" s="16" t="s">
        <v>22</v>
      </c>
      <c r="N182" s="39" t="s">
        <v>418</v>
      </c>
      <c r="O182" s="20"/>
    </row>
    <row r="183" spans="1:15" s="12" customFormat="1" ht="18">
      <c r="A183" s="180" t="s">
        <v>62</v>
      </c>
      <c r="B183" s="77" t="s">
        <v>463</v>
      </c>
      <c r="C183" s="70" t="s">
        <v>17</v>
      </c>
      <c r="D183" s="210"/>
      <c r="E183" s="210"/>
      <c r="F183" s="210"/>
      <c r="G183" s="210"/>
      <c r="H183" s="406">
        <f>SUM(Tabla13211242[[#This Row],[PRIMER TRIMESTRE]:[CUARTO TRIMESTRE]])</f>
        <v>0</v>
      </c>
      <c r="I183" s="17">
        <v>2320</v>
      </c>
      <c r="J183" s="17">
        <f>+Tabla13211242[[#This Row],[CANTIDAD TOTAL]]*Tabla13211242[[#This Row],[PRECIO UNITARIO ESTIMADO]]</f>
        <v>0</v>
      </c>
      <c r="K183" s="17"/>
      <c r="L183" s="16" t="s">
        <v>27</v>
      </c>
      <c r="M183" s="16" t="s">
        <v>22</v>
      </c>
      <c r="N183" s="39" t="s">
        <v>418</v>
      </c>
      <c r="O183" s="20"/>
    </row>
    <row r="184" spans="1:15" s="12" customFormat="1" ht="18">
      <c r="A184" s="180" t="s">
        <v>62</v>
      </c>
      <c r="B184" s="77" t="s">
        <v>465</v>
      </c>
      <c r="C184" s="70" t="s">
        <v>17</v>
      </c>
      <c r="D184" s="210"/>
      <c r="E184" s="210"/>
      <c r="F184" s="210"/>
      <c r="G184" s="210"/>
      <c r="H184" s="406">
        <f>SUM(Tabla13211242[[#This Row],[PRIMER TRIMESTRE]:[CUARTO TRIMESTRE]])</f>
        <v>0</v>
      </c>
      <c r="I184" s="17">
        <v>2682</v>
      </c>
      <c r="J184" s="17">
        <f>+Tabla13211242[[#This Row],[CANTIDAD TOTAL]]*Tabla13211242[[#This Row],[PRECIO UNITARIO ESTIMADO]]</f>
        <v>0</v>
      </c>
      <c r="K184" s="17"/>
      <c r="L184" s="16" t="s">
        <v>27</v>
      </c>
      <c r="M184" s="16" t="s">
        <v>22</v>
      </c>
      <c r="N184" s="39" t="s">
        <v>418</v>
      </c>
      <c r="O184" s="20"/>
    </row>
    <row r="185" spans="1:15" s="12" customFormat="1" ht="18">
      <c r="A185" s="180" t="s">
        <v>62</v>
      </c>
      <c r="B185" s="77" t="s">
        <v>464</v>
      </c>
      <c r="C185" s="70" t="s">
        <v>17</v>
      </c>
      <c r="D185" s="210"/>
      <c r="E185" s="210"/>
      <c r="F185" s="210"/>
      <c r="G185" s="210"/>
      <c r="H185" s="406">
        <f>SUM(Tabla13211242[[#This Row],[PRIMER TRIMESTRE]:[CUARTO TRIMESTRE]])</f>
        <v>0</v>
      </c>
      <c r="I185" s="17">
        <v>50</v>
      </c>
      <c r="J185" s="17">
        <f>+Tabla13211242[[#This Row],[CANTIDAD TOTAL]]*Tabla13211242[[#This Row],[PRECIO UNITARIO ESTIMADO]]</f>
        <v>0</v>
      </c>
      <c r="K185" s="17"/>
      <c r="L185" s="16" t="s">
        <v>27</v>
      </c>
      <c r="M185" s="16" t="s">
        <v>22</v>
      </c>
      <c r="N185" s="39" t="s">
        <v>418</v>
      </c>
      <c r="O185" s="20"/>
    </row>
    <row r="186" spans="1:15" s="12" customFormat="1" ht="18">
      <c r="A186" s="180" t="s">
        <v>62</v>
      </c>
      <c r="B186" s="77" t="s">
        <v>466</v>
      </c>
      <c r="C186" s="70" t="s">
        <v>17</v>
      </c>
      <c r="D186" s="210"/>
      <c r="E186" s="210"/>
      <c r="F186" s="210"/>
      <c r="G186" s="210"/>
      <c r="H186" s="406">
        <f>SUM(Tabla13211242[[#This Row],[PRIMER TRIMESTRE]:[CUARTO TRIMESTRE]])</f>
        <v>0</v>
      </c>
      <c r="I186" s="17">
        <v>1746.26</v>
      </c>
      <c r="J186" s="17">
        <f>+Tabla13211242[[#This Row],[CANTIDAD TOTAL]]*Tabla13211242[[#This Row],[PRECIO UNITARIO ESTIMADO]]</f>
        <v>0</v>
      </c>
      <c r="K186" s="17"/>
      <c r="L186" s="16" t="s">
        <v>27</v>
      </c>
      <c r="M186" s="16" t="s">
        <v>22</v>
      </c>
      <c r="N186" s="39" t="s">
        <v>418</v>
      </c>
      <c r="O186" s="20"/>
    </row>
    <row r="187" spans="1:15" s="12" customFormat="1" ht="18">
      <c r="A187" s="180" t="s">
        <v>62</v>
      </c>
      <c r="B187" s="77" t="s">
        <v>1168</v>
      </c>
      <c r="C187" s="70" t="s">
        <v>17</v>
      </c>
      <c r="D187" s="210"/>
      <c r="E187" s="210"/>
      <c r="F187" s="210"/>
      <c r="G187" s="210"/>
      <c r="H187" s="406">
        <f>SUM(Tabla13211242[[#This Row],[PRIMER TRIMESTRE]:[CUARTO TRIMESTRE]])</f>
        <v>0</v>
      </c>
      <c r="I187" s="17">
        <v>6800</v>
      </c>
      <c r="J187" s="17">
        <f>+H187*I187</f>
        <v>0</v>
      </c>
      <c r="K187" s="17"/>
      <c r="L187" s="16" t="s">
        <v>27</v>
      </c>
      <c r="M187" s="16" t="s">
        <v>22</v>
      </c>
      <c r="N187" s="39" t="s">
        <v>418</v>
      </c>
      <c r="O187" s="20"/>
    </row>
    <row r="188" spans="1:15" s="12" customFormat="1" ht="18">
      <c r="A188" s="180" t="s">
        <v>62</v>
      </c>
      <c r="B188" s="77" t="s">
        <v>170</v>
      </c>
      <c r="C188" s="70" t="s">
        <v>17</v>
      </c>
      <c r="D188" s="210"/>
      <c r="E188" s="210"/>
      <c r="F188" s="210"/>
      <c r="G188" s="210"/>
      <c r="H188" s="406">
        <f>SUM(Tabla13211242[[#This Row],[PRIMER TRIMESTRE]:[CUARTO TRIMESTRE]])</f>
        <v>0</v>
      </c>
      <c r="I188" s="17">
        <v>458.2</v>
      </c>
      <c r="J188" s="17">
        <f>+Tabla13211242[[#This Row],[CANTIDAD TOTAL]]*Tabla13211242[[#This Row],[PRECIO UNITARIO ESTIMADO]]</f>
        <v>0</v>
      </c>
      <c r="K188" s="17"/>
      <c r="L188" s="16" t="s">
        <v>27</v>
      </c>
      <c r="M188" s="16" t="s">
        <v>22</v>
      </c>
      <c r="N188" s="39" t="s">
        <v>418</v>
      </c>
      <c r="O188" s="20"/>
    </row>
    <row r="189" spans="1:15" s="12" customFormat="1" ht="18">
      <c r="A189" s="180" t="s">
        <v>62</v>
      </c>
      <c r="B189" s="77" t="s">
        <v>172</v>
      </c>
      <c r="C189" s="70" t="s">
        <v>17</v>
      </c>
      <c r="D189" s="210"/>
      <c r="E189" s="210"/>
      <c r="F189" s="210"/>
      <c r="G189" s="210"/>
      <c r="H189" s="406">
        <f>SUM(Tabla13211242[[#This Row],[PRIMER TRIMESTRE]:[CUARTO TRIMESTRE]])</f>
        <v>0</v>
      </c>
      <c r="I189" s="17">
        <v>90</v>
      </c>
      <c r="J189" s="17">
        <f>+Tabla13211242[[#This Row],[CANTIDAD TOTAL]]*Tabla13211242[[#This Row],[PRECIO UNITARIO ESTIMADO]]</f>
        <v>0</v>
      </c>
      <c r="K189" s="17"/>
      <c r="L189" s="16" t="s">
        <v>27</v>
      </c>
      <c r="M189" s="16" t="s">
        <v>22</v>
      </c>
      <c r="N189" s="39" t="s">
        <v>418</v>
      </c>
      <c r="O189" s="20"/>
    </row>
    <row r="190" spans="1:15" s="12" customFormat="1" ht="18">
      <c r="A190" s="180" t="s">
        <v>62</v>
      </c>
      <c r="B190" s="77" t="s">
        <v>732</v>
      </c>
      <c r="C190" s="70" t="s">
        <v>17</v>
      </c>
      <c r="D190" s="210"/>
      <c r="E190" s="210"/>
      <c r="F190" s="210"/>
      <c r="G190" s="210"/>
      <c r="H190" s="406">
        <f>SUM(Tabla13211242[[#This Row],[PRIMER TRIMESTRE]:[CUARTO TRIMESTRE]])</f>
        <v>0</v>
      </c>
      <c r="I190" s="72">
        <v>142.85</v>
      </c>
      <c r="J190" s="17">
        <f t="shared" ref="J190:J197" si="4">+H190*I190</f>
        <v>0</v>
      </c>
      <c r="K190" s="17"/>
      <c r="L190" s="16" t="s">
        <v>27</v>
      </c>
      <c r="M190" s="16" t="s">
        <v>22</v>
      </c>
      <c r="N190" s="39" t="s">
        <v>418</v>
      </c>
      <c r="O190" s="20"/>
    </row>
    <row r="191" spans="1:15" s="12" customFormat="1" ht="18">
      <c r="A191" s="180" t="s">
        <v>62</v>
      </c>
      <c r="B191" s="77" t="s">
        <v>733</v>
      </c>
      <c r="C191" s="70" t="s">
        <v>17</v>
      </c>
      <c r="D191" s="210"/>
      <c r="E191" s="210"/>
      <c r="F191" s="210"/>
      <c r="G191" s="210"/>
      <c r="H191" s="406">
        <f>SUM(Tabla13211242[[#This Row],[PRIMER TRIMESTRE]:[CUARTO TRIMESTRE]])</f>
        <v>0</v>
      </c>
      <c r="I191" s="17">
        <v>39.56</v>
      </c>
      <c r="J191" s="17">
        <f t="shared" si="4"/>
        <v>0</v>
      </c>
      <c r="K191" s="17"/>
      <c r="L191" s="16" t="s">
        <v>27</v>
      </c>
      <c r="M191" s="16" t="s">
        <v>22</v>
      </c>
      <c r="N191" s="39" t="s">
        <v>418</v>
      </c>
      <c r="O191" s="20"/>
    </row>
    <row r="192" spans="1:15" s="12" customFormat="1" ht="18">
      <c r="A192" s="180" t="s">
        <v>62</v>
      </c>
      <c r="B192" s="77" t="s">
        <v>734</v>
      </c>
      <c r="C192" s="70" t="s">
        <v>17</v>
      </c>
      <c r="D192" s="210"/>
      <c r="E192" s="210"/>
      <c r="F192" s="210"/>
      <c r="G192" s="210"/>
      <c r="H192" s="406">
        <f>SUM(Tabla13211242[[#This Row],[PRIMER TRIMESTRE]:[CUARTO TRIMESTRE]])</f>
        <v>0</v>
      </c>
      <c r="I192" s="17">
        <v>41.8</v>
      </c>
      <c r="J192" s="17">
        <f t="shared" si="4"/>
        <v>0</v>
      </c>
      <c r="K192" s="17"/>
      <c r="L192" s="16" t="s">
        <v>27</v>
      </c>
      <c r="M192" s="16" t="s">
        <v>22</v>
      </c>
      <c r="N192" s="39" t="s">
        <v>418</v>
      </c>
      <c r="O192" s="20"/>
    </row>
    <row r="193" spans="1:15" s="12" customFormat="1" ht="18">
      <c r="A193" s="180" t="s">
        <v>62</v>
      </c>
      <c r="B193" s="77" t="s">
        <v>735</v>
      </c>
      <c r="C193" s="70" t="s">
        <v>17</v>
      </c>
      <c r="D193" s="210"/>
      <c r="E193" s="210"/>
      <c r="F193" s="210"/>
      <c r="G193" s="210"/>
      <c r="H193" s="406">
        <f>SUM(Tabla13211242[[#This Row],[PRIMER TRIMESTRE]:[CUARTO TRIMESTRE]])</f>
        <v>0</v>
      </c>
      <c r="I193" s="17">
        <v>50.27</v>
      </c>
      <c r="J193" s="17">
        <f t="shared" si="4"/>
        <v>0</v>
      </c>
      <c r="K193" s="17"/>
      <c r="L193" s="16" t="s">
        <v>27</v>
      </c>
      <c r="M193" s="16" t="s">
        <v>22</v>
      </c>
      <c r="N193" s="39" t="s">
        <v>418</v>
      </c>
      <c r="O193" s="20"/>
    </row>
    <row r="194" spans="1:15" s="12" customFormat="1" ht="18">
      <c r="A194" s="180" t="s">
        <v>62</v>
      </c>
      <c r="B194" s="77" t="s">
        <v>736</v>
      </c>
      <c r="C194" s="70" t="s">
        <v>17</v>
      </c>
      <c r="D194" s="210"/>
      <c r="E194" s="210"/>
      <c r="F194" s="210"/>
      <c r="G194" s="210"/>
      <c r="H194" s="406">
        <f>SUM(Tabla13211242[[#This Row],[PRIMER TRIMESTRE]:[CUARTO TRIMESTRE]])</f>
        <v>0</v>
      </c>
      <c r="I194" s="17">
        <v>60.89</v>
      </c>
      <c r="J194" s="17">
        <f t="shared" si="4"/>
        <v>0</v>
      </c>
      <c r="K194" s="17"/>
      <c r="L194" s="16" t="s">
        <v>27</v>
      </c>
      <c r="M194" s="16" t="s">
        <v>22</v>
      </c>
      <c r="N194" s="39" t="s">
        <v>418</v>
      </c>
      <c r="O194" s="20"/>
    </row>
    <row r="195" spans="1:15" s="12" customFormat="1" ht="18">
      <c r="A195" s="180" t="s">
        <v>62</v>
      </c>
      <c r="B195" s="77" t="s">
        <v>737</v>
      </c>
      <c r="C195" s="70" t="s">
        <v>17</v>
      </c>
      <c r="D195" s="210"/>
      <c r="E195" s="210"/>
      <c r="F195" s="210"/>
      <c r="G195" s="210"/>
      <c r="H195" s="406">
        <f>SUM(Tabla13211242[[#This Row],[PRIMER TRIMESTRE]:[CUARTO TRIMESTRE]])</f>
        <v>0</v>
      </c>
      <c r="I195" s="17">
        <v>65.36</v>
      </c>
      <c r="J195" s="17">
        <f t="shared" si="4"/>
        <v>0</v>
      </c>
      <c r="K195" s="17"/>
      <c r="L195" s="16" t="s">
        <v>27</v>
      </c>
      <c r="M195" s="16" t="s">
        <v>22</v>
      </c>
      <c r="N195" s="39" t="s">
        <v>418</v>
      </c>
      <c r="O195" s="20"/>
    </row>
    <row r="196" spans="1:15" s="26" customFormat="1" ht="18">
      <c r="A196" s="180" t="s">
        <v>62</v>
      </c>
      <c r="B196" s="77" t="s">
        <v>738</v>
      </c>
      <c r="C196" s="70" t="s">
        <v>17</v>
      </c>
      <c r="D196" s="210"/>
      <c r="E196" s="210"/>
      <c r="F196" s="210"/>
      <c r="G196" s="210"/>
      <c r="H196" s="406">
        <f>SUM(Tabla13211242[[#This Row],[PRIMER TRIMESTRE]:[CUARTO TRIMESTRE]])</f>
        <v>0</v>
      </c>
      <c r="I196" s="17">
        <v>352.74</v>
      </c>
      <c r="J196" s="17">
        <f t="shared" si="4"/>
        <v>0</v>
      </c>
      <c r="K196" s="17"/>
      <c r="L196" s="16" t="s">
        <v>27</v>
      </c>
      <c r="M196" s="16" t="s">
        <v>22</v>
      </c>
      <c r="N196" s="39" t="s">
        <v>418</v>
      </c>
      <c r="O196" s="23"/>
    </row>
    <row r="197" spans="1:15" s="55" customFormat="1" ht="18">
      <c r="A197" s="180" t="s">
        <v>62</v>
      </c>
      <c r="B197" s="75" t="s">
        <v>1169</v>
      </c>
      <c r="C197" s="39" t="s">
        <v>1162</v>
      </c>
      <c r="D197" s="236"/>
      <c r="E197" s="236"/>
      <c r="F197" s="236"/>
      <c r="G197" s="236"/>
      <c r="H197" s="40">
        <f>SUM(Tabla13211242[[#This Row],[PRIMER TRIMESTRE]:[CUARTO TRIMESTRE]])</f>
        <v>0</v>
      </c>
      <c r="I197" s="17">
        <v>2300</v>
      </c>
      <c r="J197" s="17">
        <f t="shared" si="4"/>
        <v>0</v>
      </c>
      <c r="K197" s="17"/>
      <c r="L197" s="16" t="s">
        <v>27</v>
      </c>
      <c r="M197" s="16" t="s">
        <v>22</v>
      </c>
      <c r="N197" s="39" t="s">
        <v>418</v>
      </c>
      <c r="O197" s="20"/>
    </row>
    <row r="198" spans="1:15" s="55" customFormat="1" ht="18">
      <c r="A198" s="179" t="s">
        <v>62</v>
      </c>
      <c r="B198" s="76"/>
      <c r="C198" s="42"/>
      <c r="D198" s="237"/>
      <c r="E198" s="237"/>
      <c r="F198" s="237"/>
      <c r="G198" s="237"/>
      <c r="H198" s="43"/>
      <c r="I198" s="24"/>
      <c r="J198" s="24"/>
      <c r="K198" s="25">
        <f>SUM(J93:J197)</f>
        <v>0</v>
      </c>
      <c r="L198" s="23"/>
      <c r="M198" s="23"/>
      <c r="N198" s="42"/>
      <c r="O198" s="20"/>
    </row>
    <row r="199" spans="1:15" s="55" customFormat="1" ht="30">
      <c r="A199" s="178" t="s">
        <v>73</v>
      </c>
      <c r="B199" s="75" t="s">
        <v>1275</v>
      </c>
      <c r="C199" s="53" t="s">
        <v>17</v>
      </c>
      <c r="D199" s="410"/>
      <c r="E199" s="410"/>
      <c r="F199" s="410"/>
      <c r="G199" s="410"/>
      <c r="H199" s="51">
        <f>SUM(Tabla13211242[[#This Row],[PRIMER TRIMESTRE]:[CUARTO TRIMESTRE]])</f>
        <v>0</v>
      </c>
      <c r="I199" s="52">
        <v>239750</v>
      </c>
      <c r="J199" s="52">
        <f>+H199*I199</f>
        <v>0</v>
      </c>
      <c r="K199" s="50"/>
      <c r="L199" s="16" t="s">
        <v>18</v>
      </c>
      <c r="M199" s="411" t="s">
        <v>22</v>
      </c>
      <c r="N199" s="39" t="s">
        <v>418</v>
      </c>
      <c r="O199" s="20"/>
    </row>
    <row r="200" spans="1:15" s="55" customFormat="1" ht="30">
      <c r="A200" s="178" t="s">
        <v>73</v>
      </c>
      <c r="B200" s="75" t="s">
        <v>1276</v>
      </c>
      <c r="C200" s="53" t="s">
        <v>17</v>
      </c>
      <c r="D200" s="410"/>
      <c r="E200" s="410"/>
      <c r="F200" s="410"/>
      <c r="G200" s="410"/>
      <c r="H200" s="51">
        <f>SUM(Tabla13211242[[#This Row],[PRIMER TRIMESTRE]:[CUARTO TRIMESTRE]])</f>
        <v>0</v>
      </c>
      <c r="I200" s="52">
        <v>37500</v>
      </c>
      <c r="J200" s="52">
        <f>+H200*I200</f>
        <v>0</v>
      </c>
      <c r="K200" s="50"/>
      <c r="L200" s="16" t="s">
        <v>18</v>
      </c>
      <c r="M200" s="411" t="s">
        <v>22</v>
      </c>
      <c r="N200" s="39" t="s">
        <v>418</v>
      </c>
      <c r="O200" s="20"/>
    </row>
    <row r="201" spans="1:15" s="26" customFormat="1" ht="30">
      <c r="A201" s="178" t="s">
        <v>73</v>
      </c>
      <c r="B201" s="75" t="s">
        <v>1277</v>
      </c>
      <c r="C201" s="53" t="s">
        <v>17</v>
      </c>
      <c r="D201" s="410"/>
      <c r="E201" s="410"/>
      <c r="F201" s="410"/>
      <c r="G201" s="410"/>
      <c r="H201" s="51">
        <f>SUM(Tabla13211242[[#This Row],[PRIMER TRIMESTRE]:[CUARTO TRIMESTRE]])</f>
        <v>0</v>
      </c>
      <c r="I201" s="52">
        <v>301000</v>
      </c>
      <c r="J201" s="52">
        <f>+H201*I201</f>
        <v>0</v>
      </c>
      <c r="K201" s="50"/>
      <c r="L201" s="16" t="s">
        <v>18</v>
      </c>
      <c r="M201" s="411" t="s">
        <v>22</v>
      </c>
      <c r="N201" s="39" t="s">
        <v>418</v>
      </c>
      <c r="O201" s="23"/>
    </row>
    <row r="202" spans="1:15" s="12" customFormat="1" ht="30">
      <c r="A202" s="178" t="s">
        <v>73</v>
      </c>
      <c r="B202" s="75" t="s">
        <v>1278</v>
      </c>
      <c r="C202" s="53" t="s">
        <v>17</v>
      </c>
      <c r="D202" s="410"/>
      <c r="E202" s="410"/>
      <c r="F202" s="410"/>
      <c r="G202" s="410"/>
      <c r="H202" s="51">
        <f>SUM(Tabla13211242[[#This Row],[PRIMER TRIMESTRE]:[CUARTO TRIMESTRE]])</f>
        <v>0</v>
      </c>
      <c r="I202" s="52">
        <v>350000</v>
      </c>
      <c r="J202" s="52">
        <f>+H202*I202</f>
        <v>0</v>
      </c>
      <c r="K202" s="50"/>
      <c r="L202" s="16" t="s">
        <v>18</v>
      </c>
      <c r="M202" s="411" t="s">
        <v>22</v>
      </c>
      <c r="N202" s="39" t="s">
        <v>418</v>
      </c>
      <c r="O202" s="20"/>
    </row>
    <row r="203" spans="1:15" s="12" customFormat="1" ht="31.5">
      <c r="A203" s="179" t="s">
        <v>73</v>
      </c>
      <c r="B203" s="76"/>
      <c r="C203" s="42"/>
      <c r="D203" s="237"/>
      <c r="E203" s="237"/>
      <c r="F203" s="237"/>
      <c r="G203" s="237"/>
      <c r="H203" s="43"/>
      <c r="I203" s="24"/>
      <c r="J203" s="24"/>
      <c r="K203" s="25">
        <f>SUM(J199:J202)</f>
        <v>0</v>
      </c>
      <c r="L203" s="23"/>
      <c r="M203" s="23"/>
      <c r="N203" s="42"/>
      <c r="O203" s="20"/>
    </row>
    <row r="204" spans="1:15" s="12" customFormat="1" ht="18">
      <c r="A204" s="178" t="s">
        <v>80</v>
      </c>
      <c r="B204" s="75" t="s">
        <v>788</v>
      </c>
      <c r="C204" s="39" t="s">
        <v>69</v>
      </c>
      <c r="D204" s="236"/>
      <c r="E204" s="236"/>
      <c r="F204" s="236"/>
      <c r="G204" s="236"/>
      <c r="H204" s="40">
        <f>SUM(Tabla13211242[[#This Row],[PRIMER TRIMESTRE]:[CUARTO TRIMESTRE]])</f>
        <v>0</v>
      </c>
      <c r="I204" s="17">
        <v>5.46</v>
      </c>
      <c r="J204" s="17">
        <f>+Tabla13211242[[#This Row],[CANTIDAD TOTAL]]*Tabla13211242[[#This Row],[PRECIO UNITARIO ESTIMADO]]</f>
        <v>0</v>
      </c>
      <c r="K204" s="17"/>
      <c r="L204" s="16" t="s">
        <v>18</v>
      </c>
      <c r="M204" s="16" t="s">
        <v>22</v>
      </c>
      <c r="N204" s="39" t="s">
        <v>418</v>
      </c>
      <c r="O204" s="20"/>
    </row>
    <row r="205" spans="1:15" s="12" customFormat="1" ht="18">
      <c r="A205" s="178" t="s">
        <v>80</v>
      </c>
      <c r="B205" s="75" t="s">
        <v>1346</v>
      </c>
      <c r="C205" s="39" t="s">
        <v>208</v>
      </c>
      <c r="D205" s="236"/>
      <c r="E205" s="236"/>
      <c r="F205" s="236"/>
      <c r="G205" s="236"/>
      <c r="H205" s="40">
        <f>SUM(Tabla13211242[[#This Row],[PRIMER TRIMESTRE]:[CUARTO TRIMESTRE]])</f>
        <v>0</v>
      </c>
      <c r="I205" s="17">
        <v>8</v>
      </c>
      <c r="J205" s="17">
        <f>+Tabla13211242[[#This Row],[CANTIDAD TOTAL]]*Tabla13211242[[#This Row],[PRECIO UNITARIO ESTIMADO]]</f>
        <v>0</v>
      </c>
      <c r="K205" s="17"/>
      <c r="L205" s="16" t="s">
        <v>18</v>
      </c>
      <c r="M205" s="16" t="s">
        <v>22</v>
      </c>
      <c r="N205" s="39" t="s">
        <v>418</v>
      </c>
      <c r="O205" s="20"/>
    </row>
    <row r="206" spans="1:15" s="12" customFormat="1" ht="18">
      <c r="A206" s="178" t="s">
        <v>80</v>
      </c>
      <c r="B206" s="75" t="s">
        <v>789</v>
      </c>
      <c r="C206" s="39" t="s">
        <v>208</v>
      </c>
      <c r="D206" s="236"/>
      <c r="E206" s="236"/>
      <c r="F206" s="236"/>
      <c r="G206" s="236"/>
      <c r="H206" s="40">
        <f>SUM(Tabla13211242[[#This Row],[PRIMER TRIMESTRE]:[CUARTO TRIMESTRE]])</f>
        <v>0</v>
      </c>
      <c r="I206" s="17">
        <v>6.4</v>
      </c>
      <c r="J206" s="17">
        <f>+Tabla13211242[[#This Row],[CANTIDAD TOTAL]]*Tabla13211242[[#This Row],[PRECIO UNITARIO ESTIMADO]]</f>
        <v>0</v>
      </c>
      <c r="K206" s="17"/>
      <c r="L206" s="16" t="s">
        <v>18</v>
      </c>
      <c r="M206" s="16" t="s">
        <v>22</v>
      </c>
      <c r="N206" s="39" t="s">
        <v>418</v>
      </c>
      <c r="O206" s="20"/>
    </row>
    <row r="207" spans="1:15" s="12" customFormat="1" ht="18">
      <c r="A207" s="178" t="s">
        <v>80</v>
      </c>
      <c r="B207" s="75" t="s">
        <v>83</v>
      </c>
      <c r="C207" s="39" t="s">
        <v>69</v>
      </c>
      <c r="D207" s="236"/>
      <c r="E207" s="236"/>
      <c r="F207" s="236"/>
      <c r="G207" s="236"/>
      <c r="H207" s="40">
        <f>SUM(Tabla13211242[[#This Row],[PRIMER TRIMESTRE]:[CUARTO TRIMESTRE]])</f>
        <v>0</v>
      </c>
      <c r="I207" s="17">
        <v>290</v>
      </c>
      <c r="J207" s="17">
        <f>+Tabla13211242[[#This Row],[CANTIDAD TOTAL]]*Tabla13211242[[#This Row],[PRECIO UNITARIO ESTIMADO]]</f>
        <v>0</v>
      </c>
      <c r="K207" s="17"/>
      <c r="L207" s="16" t="s">
        <v>18</v>
      </c>
      <c r="M207" s="16" t="s">
        <v>22</v>
      </c>
      <c r="N207" s="39" t="s">
        <v>418</v>
      </c>
      <c r="O207" s="20"/>
    </row>
    <row r="208" spans="1:15" s="12" customFormat="1" ht="18">
      <c r="A208" s="178" t="s">
        <v>80</v>
      </c>
      <c r="B208" s="75" t="s">
        <v>1561</v>
      </c>
      <c r="C208" s="39" t="s">
        <v>69</v>
      </c>
      <c r="D208" s="39"/>
      <c r="E208" s="236"/>
      <c r="F208" s="236"/>
      <c r="G208" s="236"/>
      <c r="H208" s="40">
        <f>SUM(Tabla13211242[[#This Row],[PRIMER TRIMESTRE]:[CUARTO TRIMESTRE]])</f>
        <v>0</v>
      </c>
      <c r="I208" s="17">
        <v>3200</v>
      </c>
      <c r="J208" s="17">
        <f>+H208*I208</f>
        <v>0</v>
      </c>
      <c r="K208" s="17"/>
      <c r="L208" s="16" t="s">
        <v>18</v>
      </c>
      <c r="M208" s="16" t="s">
        <v>22</v>
      </c>
      <c r="N208" s="39" t="s">
        <v>418</v>
      </c>
      <c r="O208" s="20"/>
    </row>
    <row r="209" spans="1:15" s="12" customFormat="1" ht="18">
      <c r="A209" s="178" t="s">
        <v>80</v>
      </c>
      <c r="B209" s="75" t="s">
        <v>85</v>
      </c>
      <c r="C209" s="39" t="s">
        <v>69</v>
      </c>
      <c r="D209" s="236"/>
      <c r="E209" s="236"/>
      <c r="F209" s="236"/>
      <c r="G209" s="236"/>
      <c r="H209" s="40">
        <f>SUM(Tabla13211242[[#This Row],[PRIMER TRIMESTRE]:[CUARTO TRIMESTRE]])</f>
        <v>0</v>
      </c>
      <c r="I209" s="17">
        <v>4.0599999999999996</v>
      </c>
      <c r="J209" s="17">
        <f>+Tabla13211242[[#This Row],[CANTIDAD TOTAL]]*Tabla13211242[[#This Row],[PRECIO UNITARIO ESTIMADO]]</f>
        <v>0</v>
      </c>
      <c r="K209" s="17"/>
      <c r="L209" s="16" t="s">
        <v>18</v>
      </c>
      <c r="M209" s="16" t="s">
        <v>22</v>
      </c>
      <c r="N209" s="39" t="s">
        <v>418</v>
      </c>
      <c r="O209" s="20"/>
    </row>
    <row r="210" spans="1:15" s="12" customFormat="1" ht="18">
      <c r="A210" s="178" t="s">
        <v>80</v>
      </c>
      <c r="B210" s="75" t="s">
        <v>87</v>
      </c>
      <c r="C210" s="39" t="s">
        <v>69</v>
      </c>
      <c r="D210" s="236"/>
      <c r="E210" s="236"/>
      <c r="F210" s="236"/>
      <c r="G210" s="236"/>
      <c r="H210" s="40">
        <f>SUM(Tabla13211242[[#This Row],[PRIMER TRIMESTRE]:[CUARTO TRIMESTRE]])</f>
        <v>0</v>
      </c>
      <c r="I210" s="17">
        <v>3.71</v>
      </c>
      <c r="J210" s="17">
        <f>+Tabla13211242[[#This Row],[CANTIDAD TOTAL]]*Tabla13211242[[#This Row],[PRECIO UNITARIO ESTIMADO]]</f>
        <v>0</v>
      </c>
      <c r="K210" s="17"/>
      <c r="L210" s="16" t="s">
        <v>18</v>
      </c>
      <c r="M210" s="16" t="s">
        <v>22</v>
      </c>
      <c r="N210" s="39" t="s">
        <v>418</v>
      </c>
      <c r="O210" s="20"/>
    </row>
    <row r="211" spans="1:15" s="12" customFormat="1" ht="18">
      <c r="A211" s="178" t="s">
        <v>80</v>
      </c>
      <c r="B211" s="75" t="s">
        <v>1436</v>
      </c>
      <c r="C211" s="39" t="s">
        <v>69</v>
      </c>
      <c r="D211" s="236"/>
      <c r="E211" s="236"/>
      <c r="F211" s="236"/>
      <c r="G211" s="236"/>
      <c r="H211" s="40">
        <f>SUM(Tabla13211242[[#This Row],[PRIMER TRIMESTRE]:[CUARTO TRIMESTRE]])</f>
        <v>0</v>
      </c>
      <c r="I211" s="17">
        <v>125</v>
      </c>
      <c r="J211" s="17">
        <f>+H211*I211</f>
        <v>0</v>
      </c>
      <c r="K211" s="17"/>
      <c r="L211" s="16" t="s">
        <v>18</v>
      </c>
      <c r="M211" s="16" t="s">
        <v>22</v>
      </c>
      <c r="N211" s="39" t="s">
        <v>418</v>
      </c>
      <c r="O211" s="20"/>
    </row>
    <row r="212" spans="1:15" s="12" customFormat="1" ht="18">
      <c r="A212" s="178" t="s">
        <v>80</v>
      </c>
      <c r="B212" s="75" t="s">
        <v>89</v>
      </c>
      <c r="C212" s="39" t="s">
        <v>208</v>
      </c>
      <c r="D212" s="236"/>
      <c r="E212" s="236"/>
      <c r="F212" s="236"/>
      <c r="G212" s="236"/>
      <c r="H212" s="40">
        <f>SUM(Tabla13211242[[#This Row],[PRIMER TRIMESTRE]:[CUARTO TRIMESTRE]])</f>
        <v>0</v>
      </c>
      <c r="I212" s="17">
        <v>7.3</v>
      </c>
      <c r="J212" s="17">
        <f>+Tabla13211242[[#This Row],[CANTIDAD TOTAL]]*Tabla13211242[[#This Row],[PRECIO UNITARIO ESTIMADO]]</f>
        <v>0</v>
      </c>
      <c r="K212" s="17"/>
      <c r="L212" s="16" t="s">
        <v>18</v>
      </c>
      <c r="M212" s="16" t="s">
        <v>22</v>
      </c>
      <c r="N212" s="39" t="s">
        <v>418</v>
      </c>
      <c r="O212" s="20"/>
    </row>
    <row r="213" spans="1:15" s="12" customFormat="1" ht="18">
      <c r="A213" s="178" t="s">
        <v>80</v>
      </c>
      <c r="B213" s="75" t="s">
        <v>98</v>
      </c>
      <c r="C213" s="39" t="s">
        <v>93</v>
      </c>
      <c r="D213" s="236"/>
      <c r="E213" s="236"/>
      <c r="F213" s="236"/>
      <c r="G213" s="236"/>
      <c r="H213" s="40">
        <f>SUM(Tabla13211242[[#This Row],[PRIMER TRIMESTRE]:[CUARTO TRIMESTRE]])</f>
        <v>0</v>
      </c>
      <c r="I213" s="17">
        <v>272.60000000000002</v>
      </c>
      <c r="J213" s="17">
        <f>+Tabla13211242[[#This Row],[CANTIDAD TOTAL]]*Tabla13211242[[#This Row],[PRECIO UNITARIO ESTIMADO]]</f>
        <v>0</v>
      </c>
      <c r="K213" s="17"/>
      <c r="L213" s="16" t="s">
        <v>18</v>
      </c>
      <c r="M213" s="16" t="s">
        <v>22</v>
      </c>
      <c r="N213" s="39" t="s">
        <v>418</v>
      </c>
      <c r="O213" s="20"/>
    </row>
    <row r="214" spans="1:15" s="12" customFormat="1" ht="18">
      <c r="A214" s="178" t="s">
        <v>80</v>
      </c>
      <c r="B214" s="75" t="s">
        <v>1601</v>
      </c>
      <c r="C214" s="39" t="s">
        <v>93</v>
      </c>
      <c r="D214" s="39"/>
      <c r="E214" s="39"/>
      <c r="F214" s="39"/>
      <c r="G214" s="39"/>
      <c r="H214" s="39">
        <f>SUM(Tabla13211242[[#This Row],[PRIMER TRIMESTRE]:[CUARTO TRIMESTRE]])</f>
        <v>0</v>
      </c>
      <c r="I214" s="17">
        <v>57</v>
      </c>
      <c r="J214" s="17">
        <f>+H214*I214</f>
        <v>0</v>
      </c>
      <c r="K214" s="17"/>
      <c r="L214" s="16" t="s">
        <v>18</v>
      </c>
      <c r="M214" s="16" t="s">
        <v>22</v>
      </c>
      <c r="N214" s="39" t="s">
        <v>418</v>
      </c>
      <c r="O214" s="20"/>
    </row>
    <row r="215" spans="1:15" s="12" customFormat="1" ht="18">
      <c r="A215" s="178" t="s">
        <v>80</v>
      </c>
      <c r="B215" s="75" t="s">
        <v>100</v>
      </c>
      <c r="C215" s="39" t="s">
        <v>93</v>
      </c>
      <c r="D215" s="236"/>
      <c r="E215" s="236"/>
      <c r="F215" s="236"/>
      <c r="G215" s="236"/>
      <c r="H215" s="40">
        <f>SUM(Tabla13211242[[#This Row],[PRIMER TRIMESTRE]:[CUARTO TRIMESTRE]])</f>
        <v>0</v>
      </c>
      <c r="I215" s="17">
        <v>30.16</v>
      </c>
      <c r="J215" s="17">
        <f>+Tabla13211242[[#This Row],[CANTIDAD TOTAL]]*Tabla13211242[[#This Row],[PRECIO UNITARIO ESTIMADO]]</f>
        <v>0</v>
      </c>
      <c r="K215" s="17"/>
      <c r="L215" s="16" t="s">
        <v>18</v>
      </c>
      <c r="M215" s="16" t="s">
        <v>22</v>
      </c>
      <c r="N215" s="39" t="s">
        <v>418</v>
      </c>
      <c r="O215" s="20"/>
    </row>
    <row r="216" spans="1:15" s="12" customFormat="1" ht="25.5">
      <c r="A216" s="178" t="s">
        <v>80</v>
      </c>
      <c r="B216" s="75" t="s">
        <v>1729</v>
      </c>
      <c r="C216" s="39" t="s">
        <v>17</v>
      </c>
      <c r="D216" s="236"/>
      <c r="E216" s="236"/>
      <c r="F216" s="236"/>
      <c r="G216" s="236"/>
      <c r="H216" s="40">
        <v>0</v>
      </c>
      <c r="I216" s="17">
        <v>0</v>
      </c>
      <c r="J216" s="17">
        <v>0</v>
      </c>
      <c r="K216" s="17"/>
      <c r="L216" s="16" t="s">
        <v>18</v>
      </c>
      <c r="M216" s="16" t="s">
        <v>22</v>
      </c>
      <c r="N216" s="39" t="s">
        <v>418</v>
      </c>
      <c r="O216" s="20"/>
    </row>
    <row r="217" spans="1:15" s="12" customFormat="1" ht="25.5">
      <c r="A217" s="178" t="s">
        <v>80</v>
      </c>
      <c r="B217" s="75" t="s">
        <v>1730</v>
      </c>
      <c r="C217" s="39" t="s">
        <v>17</v>
      </c>
      <c r="D217" s="236"/>
      <c r="E217" s="236"/>
      <c r="F217" s="236"/>
      <c r="G217" s="236"/>
      <c r="H217" s="40">
        <v>0</v>
      </c>
      <c r="I217" s="17">
        <v>0</v>
      </c>
      <c r="J217" s="17">
        <v>0</v>
      </c>
      <c r="K217" s="17"/>
      <c r="L217" s="16" t="s">
        <v>18</v>
      </c>
      <c r="M217" s="16" t="s">
        <v>22</v>
      </c>
      <c r="N217" s="39" t="s">
        <v>418</v>
      </c>
      <c r="O217" s="20"/>
    </row>
    <row r="218" spans="1:15" s="12" customFormat="1" ht="18">
      <c r="A218" s="178" t="s">
        <v>80</v>
      </c>
      <c r="B218" s="75" t="s">
        <v>105</v>
      </c>
      <c r="C218" s="39" t="s">
        <v>17</v>
      </c>
      <c r="D218" s="236"/>
      <c r="E218" s="236"/>
      <c r="F218" s="236"/>
      <c r="G218" s="236"/>
      <c r="H218" s="40">
        <f>SUM(Tabla13211242[[#This Row],[PRIMER TRIMESTRE]:[CUARTO TRIMESTRE]])</f>
        <v>0</v>
      </c>
      <c r="I218" s="17">
        <v>33.64</v>
      </c>
      <c r="J218" s="17">
        <f>+Tabla13211242[[#This Row],[CANTIDAD TOTAL]]*Tabla13211242[[#This Row],[PRECIO UNITARIO ESTIMADO]]</f>
        <v>0</v>
      </c>
      <c r="K218" s="17"/>
      <c r="L218" s="16" t="s">
        <v>18</v>
      </c>
      <c r="M218" s="16" t="s">
        <v>22</v>
      </c>
      <c r="N218" s="39" t="s">
        <v>418</v>
      </c>
      <c r="O218" s="20"/>
    </row>
    <row r="219" spans="1:15" s="12" customFormat="1" ht="18">
      <c r="A219" s="178" t="s">
        <v>80</v>
      </c>
      <c r="B219" s="75" t="s">
        <v>1725</v>
      </c>
      <c r="C219" s="70" t="s">
        <v>17</v>
      </c>
      <c r="D219" s="236"/>
      <c r="E219" s="236"/>
      <c r="F219" s="236"/>
      <c r="G219" s="236"/>
      <c r="H219" s="40">
        <v>0</v>
      </c>
      <c r="I219" s="17">
        <v>0</v>
      </c>
      <c r="J219" s="17">
        <v>0</v>
      </c>
      <c r="K219" s="17"/>
      <c r="L219" s="16" t="s">
        <v>18</v>
      </c>
      <c r="M219" s="16" t="s">
        <v>22</v>
      </c>
      <c r="N219" s="39" t="s">
        <v>418</v>
      </c>
      <c r="O219" s="20"/>
    </row>
    <row r="220" spans="1:15" s="12" customFormat="1" ht="18">
      <c r="A220" s="178" t="s">
        <v>80</v>
      </c>
      <c r="B220" s="75" t="s">
        <v>110</v>
      </c>
      <c r="C220" s="70" t="s">
        <v>17</v>
      </c>
      <c r="D220" s="236"/>
      <c r="E220" s="236"/>
      <c r="F220" s="210"/>
      <c r="G220" s="210"/>
      <c r="H220" s="40">
        <f>SUM(Tabla13211242[[#This Row],[PRIMER TRIMESTRE]:[CUARTO TRIMESTRE]])</f>
        <v>0</v>
      </c>
      <c r="I220" s="17">
        <v>5823.23</v>
      </c>
      <c r="J220" s="17">
        <f>+Tabla13211242[[#This Row],[CANTIDAD TOTAL]]*Tabla13211242[[#This Row],[PRECIO UNITARIO ESTIMADO]]</f>
        <v>0</v>
      </c>
      <c r="K220" s="17"/>
      <c r="L220" s="16" t="s">
        <v>18</v>
      </c>
      <c r="M220" s="16" t="s">
        <v>22</v>
      </c>
      <c r="N220" s="39" t="s">
        <v>418</v>
      </c>
      <c r="O220" s="20"/>
    </row>
    <row r="221" spans="1:15" s="12" customFormat="1" ht="18">
      <c r="A221" s="178" t="s">
        <v>80</v>
      </c>
      <c r="B221" s="77" t="s">
        <v>112</v>
      </c>
      <c r="C221" s="70" t="s">
        <v>288</v>
      </c>
      <c r="D221" s="236"/>
      <c r="E221" s="210"/>
      <c r="F221" s="210"/>
      <c r="G221" s="210"/>
      <c r="H221" s="40">
        <f>SUM(Tabla13211242[[#This Row],[PRIMER TRIMESTRE]:[CUARTO TRIMESTRE]])</f>
        <v>0</v>
      </c>
      <c r="I221" s="17">
        <v>1624</v>
      </c>
      <c r="J221" s="17">
        <f>+Tabla13211242[[#This Row],[CANTIDAD TOTAL]]*Tabla13211242[[#This Row],[PRECIO UNITARIO ESTIMADO]]</f>
        <v>0</v>
      </c>
      <c r="K221" s="17"/>
      <c r="L221" s="16" t="s">
        <v>18</v>
      </c>
      <c r="M221" s="16" t="s">
        <v>22</v>
      </c>
      <c r="N221" s="39" t="s">
        <v>418</v>
      </c>
      <c r="O221" s="20"/>
    </row>
    <row r="222" spans="1:15" s="12" customFormat="1" ht="18">
      <c r="A222" s="178" t="s">
        <v>80</v>
      </c>
      <c r="B222" s="77" t="s">
        <v>766</v>
      </c>
      <c r="C222" s="70" t="s">
        <v>767</v>
      </c>
      <c r="D222" s="236"/>
      <c r="E222" s="210"/>
      <c r="F222" s="210"/>
      <c r="G222" s="210"/>
      <c r="H222" s="40">
        <f>SUM(Tabla13211242[[#This Row],[PRIMER TRIMESTRE]:[CUARTO TRIMESTRE]])</f>
        <v>0</v>
      </c>
      <c r="I222" s="17">
        <v>470</v>
      </c>
      <c r="J222" s="17">
        <f>+Tabla13211242[[#This Row],[CANTIDAD TOTAL]]*Tabla13211242[[#This Row],[PRECIO UNITARIO ESTIMADO]]</f>
        <v>0</v>
      </c>
      <c r="K222" s="17"/>
      <c r="L222" s="16" t="s">
        <v>18</v>
      </c>
      <c r="M222" s="16" t="s">
        <v>22</v>
      </c>
      <c r="N222" s="39" t="s">
        <v>418</v>
      </c>
      <c r="O222" s="20"/>
    </row>
    <row r="223" spans="1:15" s="12" customFormat="1" ht="18">
      <c r="A223" s="178" t="s">
        <v>80</v>
      </c>
      <c r="B223" s="77" t="s">
        <v>1623</v>
      </c>
      <c r="C223" s="70" t="s">
        <v>17</v>
      </c>
      <c r="D223" s="236"/>
      <c r="E223" s="210"/>
      <c r="F223" s="210"/>
      <c r="G223" s="210"/>
      <c r="H223" s="40">
        <f>SUM(Tabla13211242[[#This Row],[PRIMER TRIMESTRE]:[CUARTO TRIMESTRE]])</f>
        <v>0</v>
      </c>
      <c r="I223" s="17">
        <v>1784.1</v>
      </c>
      <c r="J223" s="17">
        <f t="shared" ref="J223:J286" si="5">+H223*I223</f>
        <v>0</v>
      </c>
      <c r="K223" s="17"/>
      <c r="L223" s="16" t="s">
        <v>18</v>
      </c>
      <c r="M223" s="16" t="s">
        <v>22</v>
      </c>
      <c r="N223" s="39" t="s">
        <v>418</v>
      </c>
      <c r="O223" s="20"/>
    </row>
    <row r="224" spans="1:15" s="12" customFormat="1" ht="18">
      <c r="A224" s="178" t="s">
        <v>80</v>
      </c>
      <c r="B224" s="77" t="s">
        <v>1431</v>
      </c>
      <c r="C224" s="70" t="s">
        <v>288</v>
      </c>
      <c r="D224" s="236"/>
      <c r="E224" s="210"/>
      <c r="F224" s="210"/>
      <c r="G224" s="210"/>
      <c r="H224" s="40">
        <f>SUM(Tabla13211242[[#This Row],[PRIMER TRIMESTRE]:[CUARTO TRIMESTRE]])</f>
        <v>0</v>
      </c>
      <c r="I224" s="17">
        <v>1395</v>
      </c>
      <c r="J224" s="17">
        <f t="shared" si="5"/>
        <v>0</v>
      </c>
      <c r="K224" s="17"/>
      <c r="L224" s="16" t="s">
        <v>18</v>
      </c>
      <c r="M224" s="16" t="s">
        <v>22</v>
      </c>
      <c r="N224" s="39" t="s">
        <v>418</v>
      </c>
      <c r="O224" s="20"/>
    </row>
    <row r="225" spans="1:15" s="12" customFormat="1" ht="18">
      <c r="A225" s="178" t="s">
        <v>80</v>
      </c>
      <c r="B225" s="77" t="s">
        <v>921</v>
      </c>
      <c r="C225" s="70" t="s">
        <v>17</v>
      </c>
      <c r="D225" s="236"/>
      <c r="E225" s="210"/>
      <c r="F225" s="210"/>
      <c r="G225" s="210"/>
      <c r="H225" s="40">
        <f>SUM(Tabla13211242[[#This Row],[PRIMER TRIMESTRE]:[CUARTO TRIMESTRE]])</f>
        <v>0</v>
      </c>
      <c r="I225" s="17">
        <v>94</v>
      </c>
      <c r="J225" s="17">
        <f t="shared" si="5"/>
        <v>0</v>
      </c>
      <c r="K225" s="17"/>
      <c r="L225" s="16" t="s">
        <v>18</v>
      </c>
      <c r="M225" s="16" t="s">
        <v>22</v>
      </c>
      <c r="N225" s="39" t="s">
        <v>418</v>
      </c>
      <c r="O225" s="20"/>
    </row>
    <row r="226" spans="1:15" s="12" customFormat="1" ht="25.5">
      <c r="A226" s="178" t="s">
        <v>80</v>
      </c>
      <c r="B226" s="77" t="s">
        <v>1610</v>
      </c>
      <c r="C226" s="70" t="s">
        <v>17</v>
      </c>
      <c r="D226" s="70"/>
      <c r="E226" s="70"/>
      <c r="F226" s="70"/>
      <c r="G226" s="70"/>
      <c r="H226" s="70">
        <f>SUM(Tabla13211242[[#This Row],[PRIMER TRIMESTRE]:[CUARTO TRIMESTRE]])</f>
        <v>0</v>
      </c>
      <c r="I226" s="17">
        <v>573.88</v>
      </c>
      <c r="J226" s="17">
        <f t="shared" si="5"/>
        <v>0</v>
      </c>
      <c r="K226" s="17"/>
      <c r="L226" s="16" t="s">
        <v>18</v>
      </c>
      <c r="M226" s="16" t="s">
        <v>22</v>
      </c>
      <c r="N226" s="39" t="s">
        <v>418</v>
      </c>
      <c r="O226" s="20"/>
    </row>
    <row r="227" spans="1:15" s="12" customFormat="1" ht="38.25">
      <c r="A227" s="178" t="s">
        <v>80</v>
      </c>
      <c r="B227" s="77" t="s">
        <v>1609</v>
      </c>
      <c r="C227" s="70" t="s">
        <v>17</v>
      </c>
      <c r="D227" s="70"/>
      <c r="E227" s="70"/>
      <c r="F227" s="70"/>
      <c r="G227" s="70"/>
      <c r="H227" s="70">
        <f>SUM(Tabla13211242[[#This Row],[PRIMER TRIMESTRE]:[CUARTO TRIMESTRE]])</f>
        <v>0</v>
      </c>
      <c r="I227" s="17">
        <v>223.86</v>
      </c>
      <c r="J227" s="17">
        <f t="shared" si="5"/>
        <v>0</v>
      </c>
      <c r="K227" s="17"/>
      <c r="L227" s="16" t="s">
        <v>18</v>
      </c>
      <c r="M227" s="16" t="s">
        <v>22</v>
      </c>
      <c r="N227" s="39" t="s">
        <v>418</v>
      </c>
      <c r="O227" s="20"/>
    </row>
    <row r="228" spans="1:15" s="12" customFormat="1" ht="18">
      <c r="A228" s="178" t="s">
        <v>80</v>
      </c>
      <c r="B228" s="77" t="s">
        <v>1181</v>
      </c>
      <c r="C228" s="70" t="s">
        <v>17</v>
      </c>
      <c r="D228" s="236"/>
      <c r="E228" s="210"/>
      <c r="F228" s="210"/>
      <c r="G228" s="210"/>
      <c r="H228" s="40">
        <f>SUM(Tabla13211242[[#This Row],[PRIMER TRIMESTRE]:[CUARTO TRIMESTRE]])</f>
        <v>0</v>
      </c>
      <c r="I228" s="17">
        <v>175</v>
      </c>
      <c r="J228" s="17">
        <f t="shared" si="5"/>
        <v>0</v>
      </c>
      <c r="K228" s="17"/>
      <c r="L228" s="16" t="s">
        <v>18</v>
      </c>
      <c r="M228" s="16" t="s">
        <v>22</v>
      </c>
      <c r="N228" s="39" t="s">
        <v>418</v>
      </c>
      <c r="O228" s="20"/>
    </row>
    <row r="229" spans="1:15" s="12" customFormat="1" ht="18">
      <c r="A229" s="178" t="s">
        <v>80</v>
      </c>
      <c r="B229" s="75" t="s">
        <v>730</v>
      </c>
      <c r="C229" s="70" t="s">
        <v>17</v>
      </c>
      <c r="D229" s="236"/>
      <c r="E229" s="210"/>
      <c r="F229" s="210"/>
      <c r="G229" s="210"/>
      <c r="H229" s="40">
        <f>SUM(Tabla13211242[[#This Row],[PRIMER TRIMESTRE]:[CUARTO TRIMESTRE]])</f>
        <v>0</v>
      </c>
      <c r="I229" s="17">
        <v>246.34</v>
      </c>
      <c r="J229" s="17">
        <f t="shared" si="5"/>
        <v>0</v>
      </c>
      <c r="K229" s="17"/>
      <c r="L229" s="16" t="s">
        <v>18</v>
      </c>
      <c r="M229" s="16" t="s">
        <v>22</v>
      </c>
      <c r="N229" s="39" t="s">
        <v>418</v>
      </c>
      <c r="O229" s="20"/>
    </row>
    <row r="230" spans="1:15" s="12" customFormat="1" ht="18">
      <c r="A230" s="178" t="s">
        <v>80</v>
      </c>
      <c r="B230" s="75" t="s">
        <v>570</v>
      </c>
      <c r="C230" s="70" t="s">
        <v>17</v>
      </c>
      <c r="D230" s="236"/>
      <c r="E230" s="210"/>
      <c r="F230" s="210"/>
      <c r="G230" s="210"/>
      <c r="H230" s="40">
        <f>SUM(Tabla13211242[[#This Row],[PRIMER TRIMESTRE]:[CUARTO TRIMESTRE]])</f>
        <v>0</v>
      </c>
      <c r="I230" s="17">
        <v>4100</v>
      </c>
      <c r="J230" s="17">
        <f t="shared" si="5"/>
        <v>0</v>
      </c>
      <c r="K230" s="17"/>
      <c r="L230" s="16" t="s">
        <v>18</v>
      </c>
      <c r="M230" s="16" t="s">
        <v>22</v>
      </c>
      <c r="N230" s="39" t="s">
        <v>418</v>
      </c>
      <c r="O230" s="20"/>
    </row>
    <row r="231" spans="1:15" s="12" customFormat="1" ht="18">
      <c r="A231" s="178" t="s">
        <v>80</v>
      </c>
      <c r="B231" s="75" t="s">
        <v>919</v>
      </c>
      <c r="C231" s="70" t="s">
        <v>17</v>
      </c>
      <c r="D231" s="236"/>
      <c r="E231" s="210"/>
      <c r="F231" s="210"/>
      <c r="G231" s="210"/>
      <c r="H231" s="40">
        <f>SUM(Tabla13211242[[#This Row],[PRIMER TRIMESTRE]:[CUARTO TRIMESTRE]])</f>
        <v>0</v>
      </c>
      <c r="I231" s="17">
        <v>31500</v>
      </c>
      <c r="J231" s="17">
        <f t="shared" si="5"/>
        <v>0</v>
      </c>
      <c r="K231" s="17"/>
      <c r="L231" s="16" t="s">
        <v>18</v>
      </c>
      <c r="M231" s="16" t="s">
        <v>22</v>
      </c>
      <c r="N231" s="39"/>
      <c r="O231" s="20"/>
    </row>
    <row r="232" spans="1:15" s="12" customFormat="1" ht="18">
      <c r="A232" s="178" t="s">
        <v>80</v>
      </c>
      <c r="B232" s="75" t="s">
        <v>1555</v>
      </c>
      <c r="C232" s="70" t="s">
        <v>17</v>
      </c>
      <c r="D232" s="236"/>
      <c r="E232" s="236"/>
      <c r="F232" s="236"/>
      <c r="G232" s="236"/>
      <c r="H232" s="236">
        <f>SUM(Tabla13211242[[#This Row],[PRIMER TRIMESTRE]:[CUARTO TRIMESTRE]])</f>
        <v>0</v>
      </c>
      <c r="I232" s="17">
        <v>324</v>
      </c>
      <c r="J232" s="17">
        <f t="shared" si="5"/>
        <v>0</v>
      </c>
      <c r="K232" s="17"/>
      <c r="L232" s="16" t="s">
        <v>18</v>
      </c>
      <c r="M232" s="16" t="s">
        <v>22</v>
      </c>
      <c r="N232" s="39"/>
      <c r="O232" s="20"/>
    </row>
    <row r="233" spans="1:15" s="12" customFormat="1" ht="18">
      <c r="A233" s="178" t="s">
        <v>80</v>
      </c>
      <c r="B233" s="75" t="s">
        <v>1590</v>
      </c>
      <c r="C233" s="176" t="s">
        <v>17</v>
      </c>
      <c r="D233" s="236"/>
      <c r="E233" s="236"/>
      <c r="F233" s="236"/>
      <c r="G233" s="236"/>
      <c r="H233" s="236">
        <f>SUM(Tabla13211242[[#This Row],[PRIMER TRIMESTRE]:[CUARTO TRIMESTRE]])</f>
        <v>0</v>
      </c>
      <c r="I233" s="17">
        <v>196.4</v>
      </c>
      <c r="J233" s="17">
        <f t="shared" si="5"/>
        <v>0</v>
      </c>
      <c r="K233" s="17"/>
      <c r="L233" s="16" t="s">
        <v>18</v>
      </c>
      <c r="M233" s="16" t="s">
        <v>22</v>
      </c>
      <c r="N233" s="39"/>
      <c r="O233" s="20"/>
    </row>
    <row r="234" spans="1:15" s="12" customFormat="1" ht="18">
      <c r="A234" s="178" t="s">
        <v>80</v>
      </c>
      <c r="B234" s="75" t="s">
        <v>1556</v>
      </c>
      <c r="C234" s="176" t="s">
        <v>17</v>
      </c>
      <c r="D234" s="236"/>
      <c r="E234" s="236"/>
      <c r="F234" s="236"/>
      <c r="G234" s="236"/>
      <c r="H234" s="236">
        <f>SUM(Tabla13211242[[#This Row],[PRIMER TRIMESTRE]:[CUARTO TRIMESTRE]])</f>
        <v>0</v>
      </c>
      <c r="I234" s="17">
        <v>390</v>
      </c>
      <c r="J234" s="17">
        <f t="shared" si="5"/>
        <v>0</v>
      </c>
      <c r="K234" s="17"/>
      <c r="L234" s="16" t="s">
        <v>18</v>
      </c>
      <c r="M234" s="16" t="s">
        <v>22</v>
      </c>
      <c r="N234" s="39"/>
      <c r="O234" s="20"/>
    </row>
    <row r="235" spans="1:15" s="12" customFormat="1" ht="25.5">
      <c r="A235" s="178" t="s">
        <v>80</v>
      </c>
      <c r="B235" s="77" t="s">
        <v>925</v>
      </c>
      <c r="C235" s="39" t="s">
        <v>93</v>
      </c>
      <c r="D235" s="236"/>
      <c r="E235" s="236"/>
      <c r="F235" s="236"/>
      <c r="G235" s="236"/>
      <c r="H235" s="40">
        <f>SUM(Tabla13211242[[#This Row],[PRIMER TRIMESTRE]:[CUARTO TRIMESTRE]])</f>
        <v>0</v>
      </c>
      <c r="I235" s="17">
        <v>125</v>
      </c>
      <c r="J235" s="17">
        <f t="shared" si="5"/>
        <v>0</v>
      </c>
      <c r="K235" s="17"/>
      <c r="L235" s="16" t="s">
        <v>18</v>
      </c>
      <c r="M235" s="16" t="s">
        <v>22</v>
      </c>
      <c r="N235" s="39"/>
      <c r="O235" s="20"/>
    </row>
    <row r="236" spans="1:15" s="12" customFormat="1" ht="25.5">
      <c r="A236" s="178" t="s">
        <v>80</v>
      </c>
      <c r="B236" s="77" t="s">
        <v>926</v>
      </c>
      <c r="C236" s="39" t="s">
        <v>93</v>
      </c>
      <c r="D236" s="236"/>
      <c r="E236" s="236"/>
      <c r="F236" s="236"/>
      <c r="G236" s="236"/>
      <c r="H236" s="40">
        <f>SUM(Tabla13211242[[#This Row],[PRIMER TRIMESTRE]:[CUARTO TRIMESTRE]])</f>
        <v>0</v>
      </c>
      <c r="I236" s="17">
        <v>150</v>
      </c>
      <c r="J236" s="17">
        <f t="shared" si="5"/>
        <v>0</v>
      </c>
      <c r="K236" s="17"/>
      <c r="L236" s="16" t="s">
        <v>18</v>
      </c>
      <c r="M236" s="16" t="s">
        <v>22</v>
      </c>
      <c r="N236" s="39"/>
      <c r="O236" s="20"/>
    </row>
    <row r="237" spans="1:15" s="12" customFormat="1" ht="18">
      <c r="A237" s="178" t="s">
        <v>80</v>
      </c>
      <c r="B237" s="77" t="s">
        <v>927</v>
      </c>
      <c r="C237" s="39" t="s">
        <v>17</v>
      </c>
      <c r="D237" s="236"/>
      <c r="E237" s="236"/>
      <c r="F237" s="236"/>
      <c r="G237" s="236"/>
      <c r="H237" s="40">
        <f>SUM(Tabla13211242[[#This Row],[PRIMER TRIMESTRE]:[CUARTO TRIMESTRE]])</f>
        <v>0</v>
      </c>
      <c r="I237" s="17">
        <v>25000</v>
      </c>
      <c r="J237" s="17">
        <f t="shared" si="5"/>
        <v>0</v>
      </c>
      <c r="K237" s="17"/>
      <c r="L237" s="16" t="s">
        <v>18</v>
      </c>
      <c r="M237" s="16" t="s">
        <v>22</v>
      </c>
      <c r="N237" s="39"/>
      <c r="O237" s="20"/>
    </row>
    <row r="238" spans="1:15" s="12" customFormat="1" ht="18">
      <c r="A238" s="178" t="s">
        <v>80</v>
      </c>
      <c r="B238" s="77" t="s">
        <v>928</v>
      </c>
      <c r="C238" s="39" t="s">
        <v>17</v>
      </c>
      <c r="D238" s="236"/>
      <c r="E238" s="236"/>
      <c r="F238" s="236"/>
      <c r="G238" s="236"/>
      <c r="H238" s="40">
        <f>SUM(Tabla13211242[[#This Row],[PRIMER TRIMESTRE]:[CUARTO TRIMESTRE]])</f>
        <v>0</v>
      </c>
      <c r="I238" s="17">
        <v>10000</v>
      </c>
      <c r="J238" s="17">
        <f t="shared" si="5"/>
        <v>0</v>
      </c>
      <c r="K238" s="17"/>
      <c r="L238" s="16" t="s">
        <v>18</v>
      </c>
      <c r="M238" s="16" t="s">
        <v>22</v>
      </c>
      <c r="N238" s="39"/>
      <c r="O238" s="20"/>
    </row>
    <row r="239" spans="1:15" s="12" customFormat="1" ht="18">
      <c r="A239" s="178" t="s">
        <v>80</v>
      </c>
      <c r="B239" s="77" t="s">
        <v>929</v>
      </c>
      <c r="C239" s="39" t="s">
        <v>17</v>
      </c>
      <c r="D239" s="236"/>
      <c r="E239" s="236"/>
      <c r="F239" s="236"/>
      <c r="G239" s="236"/>
      <c r="H239" s="40">
        <f>SUM(Tabla13211242[[#This Row],[PRIMER TRIMESTRE]:[CUARTO TRIMESTRE]])</f>
        <v>0</v>
      </c>
      <c r="I239" s="17">
        <v>1000</v>
      </c>
      <c r="J239" s="17">
        <f t="shared" si="5"/>
        <v>0</v>
      </c>
      <c r="K239" s="17"/>
      <c r="L239" s="16" t="s">
        <v>18</v>
      </c>
      <c r="M239" s="16" t="s">
        <v>22</v>
      </c>
      <c r="N239" s="39"/>
      <c r="O239" s="20"/>
    </row>
    <row r="240" spans="1:15" s="12" customFormat="1" ht="18">
      <c r="A240" s="178" t="s">
        <v>80</v>
      </c>
      <c r="B240" s="77" t="s">
        <v>930</v>
      </c>
      <c r="C240" s="39" t="s">
        <v>17</v>
      </c>
      <c r="D240" s="236"/>
      <c r="E240" s="236"/>
      <c r="F240" s="236"/>
      <c r="G240" s="236"/>
      <c r="H240" s="40">
        <f>SUM(Tabla13211242[[#This Row],[PRIMER TRIMESTRE]:[CUARTO TRIMESTRE]])</f>
        <v>0</v>
      </c>
      <c r="I240" s="17">
        <v>2500</v>
      </c>
      <c r="J240" s="17">
        <f t="shared" si="5"/>
        <v>0</v>
      </c>
      <c r="K240" s="17"/>
      <c r="L240" s="16" t="s">
        <v>18</v>
      </c>
      <c r="M240" s="16" t="s">
        <v>22</v>
      </c>
      <c r="N240" s="39"/>
      <c r="O240" s="20"/>
    </row>
    <row r="241" spans="1:15" s="12" customFormat="1" ht="18">
      <c r="A241" s="178" t="s">
        <v>80</v>
      </c>
      <c r="B241" s="77" t="s">
        <v>931</v>
      </c>
      <c r="C241" s="39" t="s">
        <v>17</v>
      </c>
      <c r="D241" s="236"/>
      <c r="E241" s="236"/>
      <c r="F241" s="236"/>
      <c r="G241" s="236"/>
      <c r="H241" s="40">
        <f>SUM(Tabla13211242[[#This Row],[PRIMER TRIMESTRE]:[CUARTO TRIMESTRE]])</f>
        <v>0</v>
      </c>
      <c r="I241" s="17">
        <v>5000</v>
      </c>
      <c r="J241" s="17">
        <f t="shared" si="5"/>
        <v>0</v>
      </c>
      <c r="K241" s="17"/>
      <c r="L241" s="16" t="s">
        <v>18</v>
      </c>
      <c r="M241" s="16" t="s">
        <v>22</v>
      </c>
      <c r="N241" s="39"/>
      <c r="O241" s="20"/>
    </row>
    <row r="242" spans="1:15" s="12" customFormat="1" ht="18">
      <c r="A242" s="178" t="s">
        <v>80</v>
      </c>
      <c r="B242" s="75" t="s">
        <v>694</v>
      </c>
      <c r="C242" s="70" t="s">
        <v>17</v>
      </c>
      <c r="D242" s="236"/>
      <c r="E242" s="210"/>
      <c r="F242" s="210"/>
      <c r="G242" s="210"/>
      <c r="H242" s="40">
        <f>SUM(Tabla13211242[[#This Row],[PRIMER TRIMESTRE]:[CUARTO TRIMESTRE]])</f>
        <v>0</v>
      </c>
      <c r="I242" s="72">
        <v>850</v>
      </c>
      <c r="J242" s="17">
        <f t="shared" si="5"/>
        <v>0</v>
      </c>
      <c r="K242" s="17"/>
      <c r="L242" s="16" t="s">
        <v>18</v>
      </c>
      <c r="M242" s="16" t="s">
        <v>22</v>
      </c>
      <c r="N242" s="39" t="s">
        <v>418</v>
      </c>
      <c r="O242" s="20"/>
    </row>
    <row r="243" spans="1:15" s="12" customFormat="1" ht="18">
      <c r="A243" s="178" t="s">
        <v>80</v>
      </c>
      <c r="B243" s="75" t="s">
        <v>695</v>
      </c>
      <c r="C243" s="70" t="s">
        <v>17</v>
      </c>
      <c r="D243" s="236"/>
      <c r="E243" s="210"/>
      <c r="F243" s="210"/>
      <c r="G243" s="210"/>
      <c r="H243" s="40">
        <f>SUM(Tabla13211242[[#This Row],[PRIMER TRIMESTRE]:[CUARTO TRIMESTRE]])</f>
        <v>0</v>
      </c>
      <c r="I243" s="72">
        <v>850</v>
      </c>
      <c r="J243" s="17">
        <f t="shared" si="5"/>
        <v>0</v>
      </c>
      <c r="K243" s="17"/>
      <c r="L243" s="16" t="s">
        <v>18</v>
      </c>
      <c r="M243" s="16" t="s">
        <v>22</v>
      </c>
      <c r="N243" s="39" t="s">
        <v>418</v>
      </c>
      <c r="O243" s="20"/>
    </row>
    <row r="244" spans="1:15" s="12" customFormat="1" ht="18">
      <c r="A244" s="178" t="s">
        <v>80</v>
      </c>
      <c r="B244" s="75" t="s">
        <v>1182</v>
      </c>
      <c r="C244" s="70" t="s">
        <v>17</v>
      </c>
      <c r="D244" s="236"/>
      <c r="E244" s="210"/>
      <c r="F244" s="210"/>
      <c r="G244" s="210"/>
      <c r="H244" s="40">
        <f>SUM(Tabla13211242[[#This Row],[PRIMER TRIMESTRE]:[CUARTO TRIMESTRE]])</f>
        <v>0</v>
      </c>
      <c r="I244" s="72">
        <v>850</v>
      </c>
      <c r="J244" s="17">
        <f t="shared" si="5"/>
        <v>0</v>
      </c>
      <c r="K244" s="17"/>
      <c r="L244" s="16" t="s">
        <v>18</v>
      </c>
      <c r="M244" s="16" t="s">
        <v>22</v>
      </c>
      <c r="N244" s="39" t="s">
        <v>418</v>
      </c>
      <c r="O244" s="20"/>
    </row>
    <row r="245" spans="1:15" s="12" customFormat="1" ht="18">
      <c r="A245" s="178" t="s">
        <v>80</v>
      </c>
      <c r="B245" s="75" t="s">
        <v>1183</v>
      </c>
      <c r="C245" s="70" t="s">
        <v>17</v>
      </c>
      <c r="D245" s="236"/>
      <c r="E245" s="210"/>
      <c r="F245" s="210"/>
      <c r="G245" s="210"/>
      <c r="H245" s="40">
        <f>SUM(Tabla13211242[[#This Row],[PRIMER TRIMESTRE]:[CUARTO TRIMESTRE]])</f>
        <v>0</v>
      </c>
      <c r="I245" s="72">
        <v>850</v>
      </c>
      <c r="J245" s="17">
        <f t="shared" si="5"/>
        <v>0</v>
      </c>
      <c r="K245" s="17"/>
      <c r="L245" s="16" t="s">
        <v>18</v>
      </c>
      <c r="M245" s="16" t="s">
        <v>22</v>
      </c>
      <c r="N245" s="39" t="s">
        <v>418</v>
      </c>
      <c r="O245" s="20"/>
    </row>
    <row r="246" spans="1:15" s="12" customFormat="1" ht="18">
      <c r="A246" s="178" t="s">
        <v>80</v>
      </c>
      <c r="B246" s="75" t="s">
        <v>1184</v>
      </c>
      <c r="C246" s="70" t="s">
        <v>17</v>
      </c>
      <c r="D246" s="236"/>
      <c r="E246" s="210"/>
      <c r="F246" s="210"/>
      <c r="G246" s="210"/>
      <c r="H246" s="40">
        <f>SUM(Tabla13211242[[#This Row],[PRIMER TRIMESTRE]:[CUARTO TRIMESTRE]])</f>
        <v>0</v>
      </c>
      <c r="I246" s="72">
        <v>850</v>
      </c>
      <c r="J246" s="17">
        <f t="shared" si="5"/>
        <v>0</v>
      </c>
      <c r="K246" s="17"/>
      <c r="L246" s="16" t="s">
        <v>18</v>
      </c>
      <c r="M246" s="16" t="s">
        <v>22</v>
      </c>
      <c r="N246" s="39" t="s">
        <v>418</v>
      </c>
      <c r="O246" s="20"/>
    </row>
    <row r="247" spans="1:15" s="12" customFormat="1" ht="18">
      <c r="A247" s="178" t="s">
        <v>80</v>
      </c>
      <c r="B247" s="75" t="s">
        <v>1185</v>
      </c>
      <c r="C247" s="70" t="s">
        <v>17</v>
      </c>
      <c r="D247" s="236"/>
      <c r="E247" s="210"/>
      <c r="F247" s="210"/>
      <c r="G247" s="210"/>
      <c r="H247" s="40">
        <f>SUM(Tabla13211242[[#This Row],[PRIMER TRIMESTRE]:[CUARTO TRIMESTRE]])</f>
        <v>0</v>
      </c>
      <c r="I247" s="72">
        <v>850</v>
      </c>
      <c r="J247" s="17">
        <f t="shared" si="5"/>
        <v>0</v>
      </c>
      <c r="K247" s="17"/>
      <c r="L247" s="16" t="s">
        <v>18</v>
      </c>
      <c r="M247" s="16" t="s">
        <v>22</v>
      </c>
      <c r="N247" s="39" t="s">
        <v>418</v>
      </c>
      <c r="O247" s="20"/>
    </row>
    <row r="248" spans="1:15" s="12" customFormat="1" ht="18">
      <c r="A248" s="178" t="s">
        <v>80</v>
      </c>
      <c r="B248" s="75" t="s">
        <v>696</v>
      </c>
      <c r="C248" s="70" t="s">
        <v>17</v>
      </c>
      <c r="D248" s="236"/>
      <c r="E248" s="210"/>
      <c r="F248" s="210"/>
      <c r="G248" s="210"/>
      <c r="H248" s="40">
        <f>SUM(Tabla13211242[[#This Row],[PRIMER TRIMESTRE]:[CUARTO TRIMESTRE]])</f>
        <v>0</v>
      </c>
      <c r="I248" s="72">
        <v>970</v>
      </c>
      <c r="J248" s="17">
        <f t="shared" si="5"/>
        <v>0</v>
      </c>
      <c r="K248" s="17"/>
      <c r="L248" s="16" t="s">
        <v>18</v>
      </c>
      <c r="M248" s="16" t="s">
        <v>22</v>
      </c>
      <c r="N248" s="39" t="s">
        <v>418</v>
      </c>
      <c r="O248" s="20"/>
    </row>
    <row r="249" spans="1:15" s="12" customFormat="1" ht="18">
      <c r="A249" s="178" t="s">
        <v>80</v>
      </c>
      <c r="B249" s="75" t="s">
        <v>1186</v>
      </c>
      <c r="C249" s="70" t="s">
        <v>17</v>
      </c>
      <c r="D249" s="236"/>
      <c r="E249" s="210"/>
      <c r="F249" s="210"/>
      <c r="G249" s="210"/>
      <c r="H249" s="40">
        <f>SUM(Tabla13211242[[#This Row],[PRIMER TRIMESTRE]:[CUARTO TRIMESTRE]])</f>
        <v>0</v>
      </c>
      <c r="I249" s="72">
        <v>850</v>
      </c>
      <c r="J249" s="17">
        <f t="shared" si="5"/>
        <v>0</v>
      </c>
      <c r="K249" s="17"/>
      <c r="L249" s="16" t="s">
        <v>18</v>
      </c>
      <c r="M249" s="16" t="s">
        <v>22</v>
      </c>
      <c r="N249" s="39" t="s">
        <v>418</v>
      </c>
      <c r="O249" s="20"/>
    </row>
    <row r="250" spans="1:15" s="12" customFormat="1" ht="18">
      <c r="A250" s="178" t="s">
        <v>80</v>
      </c>
      <c r="B250" s="75" t="s">
        <v>1187</v>
      </c>
      <c r="C250" s="70" t="s">
        <v>17</v>
      </c>
      <c r="D250" s="236"/>
      <c r="E250" s="210"/>
      <c r="F250" s="210"/>
      <c r="G250" s="210"/>
      <c r="H250" s="40">
        <f>SUM(Tabla13211242[[#This Row],[PRIMER TRIMESTRE]:[CUARTO TRIMESTRE]])</f>
        <v>0</v>
      </c>
      <c r="I250" s="72">
        <v>850</v>
      </c>
      <c r="J250" s="17">
        <f t="shared" si="5"/>
        <v>0</v>
      </c>
      <c r="K250" s="17"/>
      <c r="L250" s="16" t="s">
        <v>18</v>
      </c>
      <c r="M250" s="16" t="s">
        <v>22</v>
      </c>
      <c r="N250" s="39" t="s">
        <v>418</v>
      </c>
      <c r="O250" s="20"/>
    </row>
    <row r="251" spans="1:15" s="12" customFormat="1" ht="18">
      <c r="A251" s="178" t="s">
        <v>80</v>
      </c>
      <c r="B251" s="75" t="s">
        <v>1188</v>
      </c>
      <c r="C251" s="70" t="s">
        <v>17</v>
      </c>
      <c r="D251" s="236"/>
      <c r="E251" s="210"/>
      <c r="F251" s="210"/>
      <c r="G251" s="210"/>
      <c r="H251" s="40">
        <f>SUM(Tabla13211242[[#This Row],[PRIMER TRIMESTRE]:[CUARTO TRIMESTRE]])</f>
        <v>0</v>
      </c>
      <c r="I251" s="72">
        <v>850</v>
      </c>
      <c r="J251" s="17">
        <f t="shared" si="5"/>
        <v>0</v>
      </c>
      <c r="K251" s="17"/>
      <c r="L251" s="16" t="s">
        <v>18</v>
      </c>
      <c r="M251" s="16" t="s">
        <v>22</v>
      </c>
      <c r="N251" s="39" t="s">
        <v>418</v>
      </c>
      <c r="O251" s="20"/>
    </row>
    <row r="252" spans="1:15" s="12" customFormat="1" ht="18">
      <c r="A252" s="178" t="s">
        <v>80</v>
      </c>
      <c r="B252" s="75" t="s">
        <v>1189</v>
      </c>
      <c r="C252" s="70" t="s">
        <v>17</v>
      </c>
      <c r="D252" s="236"/>
      <c r="E252" s="210"/>
      <c r="F252" s="210"/>
      <c r="G252" s="210"/>
      <c r="H252" s="40">
        <f>SUM(Tabla13211242[[#This Row],[PRIMER TRIMESTRE]:[CUARTO TRIMESTRE]])</f>
        <v>0</v>
      </c>
      <c r="I252" s="72">
        <v>850</v>
      </c>
      <c r="J252" s="17">
        <f t="shared" si="5"/>
        <v>0</v>
      </c>
      <c r="K252" s="17"/>
      <c r="L252" s="16" t="s">
        <v>18</v>
      </c>
      <c r="M252" s="16" t="s">
        <v>22</v>
      </c>
      <c r="N252" s="39" t="s">
        <v>418</v>
      </c>
      <c r="O252" s="20"/>
    </row>
    <row r="253" spans="1:15" s="12" customFormat="1" ht="18">
      <c r="A253" s="178" t="s">
        <v>80</v>
      </c>
      <c r="B253" s="75" t="s">
        <v>1190</v>
      </c>
      <c r="C253" s="70" t="s">
        <v>17</v>
      </c>
      <c r="D253" s="236"/>
      <c r="E253" s="210"/>
      <c r="F253" s="210"/>
      <c r="G253" s="210"/>
      <c r="H253" s="40">
        <f>SUM(Tabla13211242[[#This Row],[PRIMER TRIMESTRE]:[CUARTO TRIMESTRE]])</f>
        <v>0</v>
      </c>
      <c r="I253" s="72">
        <v>970</v>
      </c>
      <c r="J253" s="17">
        <f t="shared" si="5"/>
        <v>0</v>
      </c>
      <c r="K253" s="17"/>
      <c r="L253" s="16" t="s">
        <v>18</v>
      </c>
      <c r="M253" s="16" t="s">
        <v>22</v>
      </c>
      <c r="N253" s="39" t="s">
        <v>418</v>
      </c>
      <c r="O253" s="20"/>
    </row>
    <row r="254" spans="1:15" s="12" customFormat="1" ht="18">
      <c r="A254" s="178" t="s">
        <v>80</v>
      </c>
      <c r="B254" s="75" t="s">
        <v>1191</v>
      </c>
      <c r="C254" s="70" t="s">
        <v>17</v>
      </c>
      <c r="D254" s="236"/>
      <c r="E254" s="210"/>
      <c r="F254" s="210"/>
      <c r="G254" s="210"/>
      <c r="H254" s="40">
        <f>SUM(Tabla13211242[[#This Row],[PRIMER TRIMESTRE]:[CUARTO TRIMESTRE]])</f>
        <v>0</v>
      </c>
      <c r="I254" s="72">
        <v>970</v>
      </c>
      <c r="J254" s="17">
        <f t="shared" si="5"/>
        <v>0</v>
      </c>
      <c r="K254" s="17"/>
      <c r="L254" s="16" t="s">
        <v>18</v>
      </c>
      <c r="M254" s="16" t="s">
        <v>22</v>
      </c>
      <c r="N254" s="39" t="s">
        <v>418</v>
      </c>
      <c r="O254" s="20"/>
    </row>
    <row r="255" spans="1:15" s="12" customFormat="1" ht="18">
      <c r="A255" s="178" t="s">
        <v>80</v>
      </c>
      <c r="B255" s="75" t="s">
        <v>1192</v>
      </c>
      <c r="C255" s="70" t="s">
        <v>17</v>
      </c>
      <c r="D255" s="236"/>
      <c r="E255" s="210"/>
      <c r="F255" s="210"/>
      <c r="G255" s="210"/>
      <c r="H255" s="40">
        <f>SUM(Tabla13211242[[#This Row],[PRIMER TRIMESTRE]:[CUARTO TRIMESTRE]])</f>
        <v>0</v>
      </c>
      <c r="I255" s="72">
        <v>970</v>
      </c>
      <c r="J255" s="17">
        <f t="shared" si="5"/>
        <v>0</v>
      </c>
      <c r="K255" s="17"/>
      <c r="L255" s="16" t="s">
        <v>18</v>
      </c>
      <c r="M255" s="16" t="s">
        <v>22</v>
      </c>
      <c r="N255" s="39" t="s">
        <v>418</v>
      </c>
      <c r="O255" s="20"/>
    </row>
    <row r="256" spans="1:15" s="12" customFormat="1" ht="18">
      <c r="A256" s="178" t="s">
        <v>80</v>
      </c>
      <c r="B256" s="75" t="s">
        <v>1193</v>
      </c>
      <c r="C256" s="70" t="s">
        <v>17</v>
      </c>
      <c r="D256" s="236"/>
      <c r="E256" s="210"/>
      <c r="F256" s="210"/>
      <c r="G256" s="210"/>
      <c r="H256" s="40">
        <f>SUM(Tabla13211242[[#This Row],[PRIMER TRIMESTRE]:[CUARTO TRIMESTRE]])</f>
        <v>0</v>
      </c>
      <c r="I256" s="72">
        <v>970</v>
      </c>
      <c r="J256" s="17">
        <f t="shared" si="5"/>
        <v>0</v>
      </c>
      <c r="K256" s="17"/>
      <c r="L256" s="16" t="s">
        <v>18</v>
      </c>
      <c r="M256" s="16" t="s">
        <v>22</v>
      </c>
      <c r="N256" s="39" t="s">
        <v>418</v>
      </c>
      <c r="O256" s="20"/>
    </row>
    <row r="257" spans="1:15" s="12" customFormat="1" ht="18">
      <c r="A257" s="178" t="s">
        <v>80</v>
      </c>
      <c r="B257" s="75" t="s">
        <v>1194</v>
      </c>
      <c r="C257" s="70" t="s">
        <v>17</v>
      </c>
      <c r="D257" s="236"/>
      <c r="E257" s="210"/>
      <c r="F257" s="210"/>
      <c r="G257" s="210"/>
      <c r="H257" s="40">
        <f>SUM(Tabla13211242[[#This Row],[PRIMER TRIMESTRE]:[CUARTO TRIMESTRE]])</f>
        <v>0</v>
      </c>
      <c r="I257" s="72">
        <v>970</v>
      </c>
      <c r="J257" s="17">
        <f t="shared" si="5"/>
        <v>0</v>
      </c>
      <c r="K257" s="17"/>
      <c r="L257" s="16" t="s">
        <v>18</v>
      </c>
      <c r="M257" s="16" t="s">
        <v>22</v>
      </c>
      <c r="N257" s="39" t="s">
        <v>418</v>
      </c>
      <c r="O257" s="20"/>
    </row>
    <row r="258" spans="1:15" s="12" customFormat="1" ht="18">
      <c r="A258" s="178" t="s">
        <v>80</v>
      </c>
      <c r="B258" s="75" t="s">
        <v>1195</v>
      </c>
      <c r="C258" s="70" t="s">
        <v>17</v>
      </c>
      <c r="D258" s="236"/>
      <c r="E258" s="210"/>
      <c r="F258" s="210"/>
      <c r="G258" s="210"/>
      <c r="H258" s="40">
        <f>SUM(Tabla13211242[[#This Row],[PRIMER TRIMESTRE]:[CUARTO TRIMESTRE]])</f>
        <v>0</v>
      </c>
      <c r="I258" s="72">
        <v>1870</v>
      </c>
      <c r="J258" s="17">
        <f t="shared" si="5"/>
        <v>0</v>
      </c>
      <c r="K258" s="17"/>
      <c r="L258" s="16" t="s">
        <v>18</v>
      </c>
      <c r="M258" s="16" t="s">
        <v>22</v>
      </c>
      <c r="N258" s="39" t="s">
        <v>418</v>
      </c>
      <c r="O258" s="20"/>
    </row>
    <row r="259" spans="1:15" s="12" customFormat="1" ht="18">
      <c r="A259" s="178" t="s">
        <v>80</v>
      </c>
      <c r="B259" s="75" t="s">
        <v>1196</v>
      </c>
      <c r="C259" s="70" t="s">
        <v>17</v>
      </c>
      <c r="D259" s="236"/>
      <c r="E259" s="210"/>
      <c r="F259" s="210"/>
      <c r="G259" s="210"/>
      <c r="H259" s="40">
        <f>SUM(Tabla13211242[[#This Row],[PRIMER TRIMESTRE]:[CUARTO TRIMESTRE]])</f>
        <v>0</v>
      </c>
      <c r="I259" s="72">
        <v>2150</v>
      </c>
      <c r="J259" s="17">
        <f t="shared" si="5"/>
        <v>0</v>
      </c>
      <c r="K259" s="17"/>
      <c r="L259" s="16" t="s">
        <v>18</v>
      </c>
      <c r="M259" s="16" t="s">
        <v>22</v>
      </c>
      <c r="N259" s="39" t="s">
        <v>418</v>
      </c>
      <c r="O259" s="20"/>
    </row>
    <row r="260" spans="1:15" s="12" customFormat="1" ht="18">
      <c r="A260" s="178" t="s">
        <v>80</v>
      </c>
      <c r="B260" s="75" t="s">
        <v>1197</v>
      </c>
      <c r="C260" s="70" t="s">
        <v>17</v>
      </c>
      <c r="D260" s="236"/>
      <c r="E260" s="210"/>
      <c r="F260" s="210"/>
      <c r="G260" s="210"/>
      <c r="H260" s="40">
        <f>SUM(Tabla13211242[[#This Row],[PRIMER TRIMESTRE]:[CUARTO TRIMESTRE]])</f>
        <v>0</v>
      </c>
      <c r="I260" s="72">
        <v>2860</v>
      </c>
      <c r="J260" s="17">
        <f t="shared" si="5"/>
        <v>0</v>
      </c>
      <c r="K260" s="17"/>
      <c r="L260" s="16" t="s">
        <v>18</v>
      </c>
      <c r="M260" s="16" t="s">
        <v>22</v>
      </c>
      <c r="N260" s="39" t="s">
        <v>418</v>
      </c>
      <c r="O260" s="20"/>
    </row>
    <row r="261" spans="1:15" s="12" customFormat="1" ht="18">
      <c r="A261" s="178" t="s">
        <v>80</v>
      </c>
      <c r="B261" s="75" t="s">
        <v>1198</v>
      </c>
      <c r="C261" s="70" t="s">
        <v>17</v>
      </c>
      <c r="D261" s="236"/>
      <c r="E261" s="210"/>
      <c r="F261" s="210"/>
      <c r="G261" s="210"/>
      <c r="H261" s="40">
        <f>SUM(Tabla13211242[[#This Row],[PRIMER TRIMESTRE]:[CUARTO TRIMESTRE]])</f>
        <v>0</v>
      </c>
      <c r="I261" s="72">
        <v>2860</v>
      </c>
      <c r="J261" s="17">
        <f t="shared" si="5"/>
        <v>0</v>
      </c>
      <c r="K261" s="17"/>
      <c r="L261" s="16" t="s">
        <v>18</v>
      </c>
      <c r="M261" s="16" t="s">
        <v>22</v>
      </c>
      <c r="N261" s="39" t="s">
        <v>418</v>
      </c>
      <c r="O261" s="20"/>
    </row>
    <row r="262" spans="1:15" s="12" customFormat="1" ht="18">
      <c r="A262" s="178" t="s">
        <v>80</v>
      </c>
      <c r="B262" s="75" t="s">
        <v>1199</v>
      </c>
      <c r="C262" s="70" t="s">
        <v>17</v>
      </c>
      <c r="D262" s="236"/>
      <c r="E262" s="210"/>
      <c r="F262" s="210"/>
      <c r="G262" s="210"/>
      <c r="H262" s="40">
        <f>SUM(Tabla13211242[[#This Row],[PRIMER TRIMESTRE]:[CUARTO TRIMESTRE]])</f>
        <v>0</v>
      </c>
      <c r="I262" s="72">
        <v>2860</v>
      </c>
      <c r="J262" s="17">
        <f t="shared" si="5"/>
        <v>0</v>
      </c>
      <c r="K262" s="17"/>
      <c r="L262" s="16" t="s">
        <v>18</v>
      </c>
      <c r="M262" s="16" t="s">
        <v>22</v>
      </c>
      <c r="N262" s="39" t="s">
        <v>418</v>
      </c>
      <c r="O262" s="20"/>
    </row>
    <row r="263" spans="1:15" s="12" customFormat="1" ht="18">
      <c r="A263" s="178" t="s">
        <v>80</v>
      </c>
      <c r="B263" s="75" t="s">
        <v>1200</v>
      </c>
      <c r="C263" s="70" t="s">
        <v>17</v>
      </c>
      <c r="D263" s="236"/>
      <c r="E263" s="210"/>
      <c r="F263" s="210"/>
      <c r="G263" s="210"/>
      <c r="H263" s="40">
        <f>SUM(Tabla13211242[[#This Row],[PRIMER TRIMESTRE]:[CUARTO TRIMESTRE]])</f>
        <v>0</v>
      </c>
      <c r="I263" s="72">
        <v>2860</v>
      </c>
      <c r="J263" s="17">
        <f t="shared" si="5"/>
        <v>0</v>
      </c>
      <c r="K263" s="17"/>
      <c r="L263" s="16" t="s">
        <v>18</v>
      </c>
      <c r="M263" s="16" t="s">
        <v>22</v>
      </c>
      <c r="N263" s="39" t="s">
        <v>418</v>
      </c>
      <c r="O263" s="20"/>
    </row>
    <row r="264" spans="1:15" s="12" customFormat="1" ht="18">
      <c r="A264" s="178" t="s">
        <v>80</v>
      </c>
      <c r="B264" s="75" t="s">
        <v>697</v>
      </c>
      <c r="C264" s="70" t="s">
        <v>17</v>
      </c>
      <c r="D264" s="236"/>
      <c r="E264" s="210"/>
      <c r="F264" s="210"/>
      <c r="G264" s="210"/>
      <c r="H264" s="40">
        <f>SUM(Tabla13211242[[#This Row],[PRIMER TRIMESTRE]:[CUARTO TRIMESTRE]])</f>
        <v>0</v>
      </c>
      <c r="I264" s="72">
        <v>1870</v>
      </c>
      <c r="J264" s="17">
        <f t="shared" si="5"/>
        <v>0</v>
      </c>
      <c r="K264" s="17"/>
      <c r="L264" s="16" t="s">
        <v>18</v>
      </c>
      <c r="M264" s="16" t="s">
        <v>22</v>
      </c>
      <c r="N264" s="39" t="s">
        <v>418</v>
      </c>
      <c r="O264" s="20"/>
    </row>
    <row r="265" spans="1:15" s="12" customFormat="1" ht="18">
      <c r="A265" s="178" t="s">
        <v>80</v>
      </c>
      <c r="B265" s="75" t="s">
        <v>698</v>
      </c>
      <c r="C265" s="39" t="s">
        <v>17</v>
      </c>
      <c r="D265" s="236"/>
      <c r="E265" s="236"/>
      <c r="F265" s="236"/>
      <c r="G265" s="236"/>
      <c r="H265" s="40">
        <f>SUM(Tabla13211242[[#This Row],[PRIMER TRIMESTRE]:[CUARTO TRIMESTRE]])</f>
        <v>0</v>
      </c>
      <c r="I265" s="72">
        <v>2150</v>
      </c>
      <c r="J265" s="17">
        <f t="shared" si="5"/>
        <v>0</v>
      </c>
      <c r="K265" s="17"/>
      <c r="L265" s="16" t="s">
        <v>18</v>
      </c>
      <c r="M265" s="16" t="s">
        <v>22</v>
      </c>
      <c r="N265" s="39" t="s">
        <v>418</v>
      </c>
      <c r="O265" s="20"/>
    </row>
    <row r="266" spans="1:15" s="12" customFormat="1" ht="18">
      <c r="A266" s="178" t="s">
        <v>80</v>
      </c>
      <c r="B266" s="75" t="s">
        <v>699</v>
      </c>
      <c r="C266" s="39" t="s">
        <v>17</v>
      </c>
      <c r="D266" s="236"/>
      <c r="E266" s="236"/>
      <c r="F266" s="236"/>
      <c r="G266" s="236"/>
      <c r="H266" s="40">
        <f>SUM(Tabla13211242[[#This Row],[PRIMER TRIMESTRE]:[CUARTO TRIMESTRE]])</f>
        <v>0</v>
      </c>
      <c r="I266" s="72">
        <v>2860</v>
      </c>
      <c r="J266" s="17">
        <f t="shared" si="5"/>
        <v>0</v>
      </c>
      <c r="K266" s="17"/>
      <c r="L266" s="16" t="s">
        <v>18</v>
      </c>
      <c r="M266" s="16" t="s">
        <v>22</v>
      </c>
      <c r="N266" s="39" t="s">
        <v>418</v>
      </c>
      <c r="O266" s="20"/>
    </row>
    <row r="267" spans="1:15" s="12" customFormat="1" ht="18">
      <c r="A267" s="178" t="s">
        <v>80</v>
      </c>
      <c r="B267" s="75" t="s">
        <v>1201</v>
      </c>
      <c r="C267" s="39" t="s">
        <v>17</v>
      </c>
      <c r="D267" s="236"/>
      <c r="E267" s="236"/>
      <c r="F267" s="236"/>
      <c r="G267" s="236"/>
      <c r="H267" s="40">
        <f>SUM(Tabla13211242[[#This Row],[PRIMER TRIMESTRE]:[CUARTO TRIMESTRE]])</f>
        <v>0</v>
      </c>
      <c r="I267" s="72">
        <v>250</v>
      </c>
      <c r="J267" s="17">
        <f t="shared" si="5"/>
        <v>0</v>
      </c>
      <c r="K267" s="17"/>
      <c r="L267" s="16" t="s">
        <v>18</v>
      </c>
      <c r="M267" s="16" t="s">
        <v>22</v>
      </c>
      <c r="N267" s="39" t="s">
        <v>418</v>
      </c>
      <c r="O267" s="20"/>
    </row>
    <row r="268" spans="1:15" s="12" customFormat="1" ht="18">
      <c r="A268" s="178" t="s">
        <v>80</v>
      </c>
      <c r="B268" s="75" t="s">
        <v>1202</v>
      </c>
      <c r="C268" s="39" t="s">
        <v>17</v>
      </c>
      <c r="D268" s="236"/>
      <c r="E268" s="236"/>
      <c r="F268" s="236"/>
      <c r="G268" s="236"/>
      <c r="H268" s="40">
        <f>SUM(Tabla13211242[[#This Row],[PRIMER TRIMESTRE]:[CUARTO TRIMESTRE]])</f>
        <v>0</v>
      </c>
      <c r="I268" s="72">
        <v>275</v>
      </c>
      <c r="J268" s="17">
        <f t="shared" si="5"/>
        <v>0</v>
      </c>
      <c r="K268" s="17"/>
      <c r="L268" s="16" t="s">
        <v>18</v>
      </c>
      <c r="M268" s="16" t="s">
        <v>22</v>
      </c>
      <c r="N268" s="39" t="s">
        <v>418</v>
      </c>
      <c r="O268" s="20"/>
    </row>
    <row r="269" spans="1:15" s="12" customFormat="1" ht="18">
      <c r="A269" s="178" t="s">
        <v>80</v>
      </c>
      <c r="B269" s="75" t="s">
        <v>1203</v>
      </c>
      <c r="C269" s="39" t="s">
        <v>17</v>
      </c>
      <c r="D269" s="236"/>
      <c r="E269" s="236"/>
      <c r="F269" s="236"/>
      <c r="G269" s="236"/>
      <c r="H269" s="40">
        <f>SUM(Tabla13211242[[#This Row],[PRIMER TRIMESTRE]:[CUARTO TRIMESTRE]])</f>
        <v>0</v>
      </c>
      <c r="I269" s="72">
        <v>300</v>
      </c>
      <c r="J269" s="17">
        <f t="shared" si="5"/>
        <v>0</v>
      </c>
      <c r="K269" s="17"/>
      <c r="L269" s="16" t="s">
        <v>18</v>
      </c>
      <c r="M269" s="16" t="s">
        <v>22</v>
      </c>
      <c r="N269" s="39" t="s">
        <v>418</v>
      </c>
      <c r="O269" s="20"/>
    </row>
    <row r="270" spans="1:15" s="12" customFormat="1" ht="18">
      <c r="A270" s="178" t="s">
        <v>80</v>
      </c>
      <c r="B270" s="75" t="s">
        <v>1204</v>
      </c>
      <c r="C270" s="39" t="s">
        <v>17</v>
      </c>
      <c r="D270" s="236"/>
      <c r="E270" s="236"/>
      <c r="F270" s="236"/>
      <c r="G270" s="236"/>
      <c r="H270" s="40">
        <f>SUM(Tabla13211242[[#This Row],[PRIMER TRIMESTRE]:[CUARTO TRIMESTRE]])</f>
        <v>0</v>
      </c>
      <c r="I270" s="72">
        <v>400</v>
      </c>
      <c r="J270" s="17">
        <f t="shared" si="5"/>
        <v>0</v>
      </c>
      <c r="K270" s="17"/>
      <c r="L270" s="16" t="s">
        <v>18</v>
      </c>
      <c r="M270" s="16" t="s">
        <v>22</v>
      </c>
      <c r="N270" s="39" t="s">
        <v>418</v>
      </c>
      <c r="O270" s="20"/>
    </row>
    <row r="271" spans="1:15" s="12" customFormat="1" ht="18">
      <c r="A271" s="178" t="s">
        <v>80</v>
      </c>
      <c r="B271" s="75" t="s">
        <v>1205</v>
      </c>
      <c r="C271" s="39" t="s">
        <v>17</v>
      </c>
      <c r="D271" s="236"/>
      <c r="E271" s="236"/>
      <c r="F271" s="236"/>
      <c r="G271" s="236"/>
      <c r="H271" s="40">
        <f>SUM(Tabla13211242[[#This Row],[PRIMER TRIMESTRE]:[CUARTO TRIMESTRE]])</f>
        <v>0</v>
      </c>
      <c r="I271" s="72">
        <v>600</v>
      </c>
      <c r="J271" s="17">
        <f t="shared" si="5"/>
        <v>0</v>
      </c>
      <c r="K271" s="17"/>
      <c r="L271" s="16" t="s">
        <v>18</v>
      </c>
      <c r="M271" s="16" t="s">
        <v>22</v>
      </c>
      <c r="N271" s="39" t="s">
        <v>418</v>
      </c>
      <c r="O271" s="20"/>
    </row>
    <row r="272" spans="1:15" s="12" customFormat="1" ht="18">
      <c r="A272" s="178" t="s">
        <v>80</v>
      </c>
      <c r="B272" s="75" t="s">
        <v>1206</v>
      </c>
      <c r="C272" s="39" t="s">
        <v>17</v>
      </c>
      <c r="D272" s="236"/>
      <c r="E272" s="236"/>
      <c r="F272" s="236"/>
      <c r="G272" s="236"/>
      <c r="H272" s="40">
        <f>SUM(Tabla13211242[[#This Row],[PRIMER TRIMESTRE]:[CUARTO TRIMESTRE]])</f>
        <v>0</v>
      </c>
      <c r="I272" s="72">
        <v>800</v>
      </c>
      <c r="J272" s="17">
        <f t="shared" si="5"/>
        <v>0</v>
      </c>
      <c r="K272" s="17"/>
      <c r="L272" s="16" t="s">
        <v>18</v>
      </c>
      <c r="M272" s="16" t="s">
        <v>22</v>
      </c>
      <c r="N272" s="39" t="s">
        <v>418</v>
      </c>
      <c r="O272" s="20"/>
    </row>
    <row r="273" spans="1:15" s="12" customFormat="1" ht="18">
      <c r="A273" s="178" t="s">
        <v>80</v>
      </c>
      <c r="B273" s="75" t="s">
        <v>1207</v>
      </c>
      <c r="C273" s="39" t="s">
        <v>17</v>
      </c>
      <c r="D273" s="236"/>
      <c r="E273" s="236"/>
      <c r="F273" s="236"/>
      <c r="G273" s="236"/>
      <c r="H273" s="40">
        <f>SUM(Tabla13211242[[#This Row],[PRIMER TRIMESTRE]:[CUARTO TRIMESTRE]])</f>
        <v>0</v>
      </c>
      <c r="I273" s="72">
        <v>1200</v>
      </c>
      <c r="J273" s="17">
        <f t="shared" si="5"/>
        <v>0</v>
      </c>
      <c r="K273" s="17"/>
      <c r="L273" s="16" t="s">
        <v>18</v>
      </c>
      <c r="M273" s="16" t="s">
        <v>22</v>
      </c>
      <c r="N273" s="39" t="s">
        <v>418</v>
      </c>
      <c r="O273" s="20"/>
    </row>
    <row r="274" spans="1:15" s="12" customFormat="1" ht="18">
      <c r="A274" s="178" t="s">
        <v>80</v>
      </c>
      <c r="B274" s="75" t="s">
        <v>1208</v>
      </c>
      <c r="C274" s="39" t="s">
        <v>17</v>
      </c>
      <c r="D274" s="236"/>
      <c r="E274" s="236"/>
      <c r="F274" s="236"/>
      <c r="G274" s="236"/>
      <c r="H274" s="40">
        <f>SUM(Tabla13211242[[#This Row],[PRIMER TRIMESTRE]:[CUARTO TRIMESTRE]])</f>
        <v>0</v>
      </c>
      <c r="I274" s="72">
        <v>1600</v>
      </c>
      <c r="J274" s="17">
        <f t="shared" si="5"/>
        <v>0</v>
      </c>
      <c r="K274" s="17"/>
      <c r="L274" s="16" t="s">
        <v>18</v>
      </c>
      <c r="M274" s="16" t="s">
        <v>22</v>
      </c>
      <c r="N274" s="39" t="s">
        <v>418</v>
      </c>
      <c r="O274" s="20"/>
    </row>
    <row r="275" spans="1:15" s="12" customFormat="1" ht="18">
      <c r="A275" s="178" t="s">
        <v>80</v>
      </c>
      <c r="B275" s="75" t="s">
        <v>1209</v>
      </c>
      <c r="C275" s="39" t="s">
        <v>17</v>
      </c>
      <c r="D275" s="236"/>
      <c r="E275" s="236"/>
      <c r="F275" s="236"/>
      <c r="G275" s="236"/>
      <c r="H275" s="40">
        <f>SUM(Tabla13211242[[#This Row],[PRIMER TRIMESTRE]:[CUARTO TRIMESTRE]])</f>
        <v>0</v>
      </c>
      <c r="I275" s="72">
        <v>1800</v>
      </c>
      <c r="J275" s="17">
        <f t="shared" si="5"/>
        <v>0</v>
      </c>
      <c r="K275" s="17"/>
      <c r="L275" s="16" t="s">
        <v>18</v>
      </c>
      <c r="M275" s="16" t="s">
        <v>22</v>
      </c>
      <c r="N275" s="39" t="s">
        <v>418</v>
      </c>
      <c r="O275" s="20"/>
    </row>
    <row r="276" spans="1:15" s="12" customFormat="1" ht="18">
      <c r="A276" s="178" t="s">
        <v>80</v>
      </c>
      <c r="B276" s="75" t="s">
        <v>1210</v>
      </c>
      <c r="C276" s="39" t="s">
        <v>17</v>
      </c>
      <c r="D276" s="236"/>
      <c r="E276" s="236"/>
      <c r="F276" s="236"/>
      <c r="G276" s="236"/>
      <c r="H276" s="40">
        <f>SUM(Tabla13211242[[#This Row],[PRIMER TRIMESTRE]:[CUARTO TRIMESTRE]])</f>
        <v>0</v>
      </c>
      <c r="I276" s="72">
        <v>2000</v>
      </c>
      <c r="J276" s="17">
        <f t="shared" si="5"/>
        <v>0</v>
      </c>
      <c r="K276" s="17"/>
      <c r="L276" s="16" t="s">
        <v>18</v>
      </c>
      <c r="M276" s="16" t="s">
        <v>22</v>
      </c>
      <c r="N276" s="39" t="s">
        <v>418</v>
      </c>
      <c r="O276" s="20"/>
    </row>
    <row r="277" spans="1:15" s="12" customFormat="1" ht="18">
      <c r="A277" s="178" t="s">
        <v>80</v>
      </c>
      <c r="B277" s="75" t="s">
        <v>1211</v>
      </c>
      <c r="C277" s="39" t="s">
        <v>17</v>
      </c>
      <c r="D277" s="236"/>
      <c r="E277" s="236"/>
      <c r="F277" s="236"/>
      <c r="G277" s="236"/>
      <c r="H277" s="40">
        <f>SUM(Tabla13211242[[#This Row],[PRIMER TRIMESTRE]:[CUARTO TRIMESTRE]])</f>
        <v>0</v>
      </c>
      <c r="I277" s="72">
        <v>3200</v>
      </c>
      <c r="J277" s="17">
        <f t="shared" si="5"/>
        <v>0</v>
      </c>
      <c r="K277" s="17"/>
      <c r="L277" s="16" t="s">
        <v>18</v>
      </c>
      <c r="M277" s="16" t="s">
        <v>22</v>
      </c>
      <c r="N277" s="39" t="s">
        <v>418</v>
      </c>
      <c r="O277" s="20"/>
    </row>
    <row r="278" spans="1:15" s="12" customFormat="1" ht="18">
      <c r="A278" s="178" t="s">
        <v>80</v>
      </c>
      <c r="B278" s="75" t="s">
        <v>1212</v>
      </c>
      <c r="C278" s="39" t="s">
        <v>17</v>
      </c>
      <c r="D278" s="236"/>
      <c r="E278" s="236"/>
      <c r="F278" s="236"/>
      <c r="G278" s="236"/>
      <c r="H278" s="40">
        <f>SUM(Tabla13211242[[#This Row],[PRIMER TRIMESTRE]:[CUARTO TRIMESTRE]])</f>
        <v>0</v>
      </c>
      <c r="I278" s="72">
        <v>3800</v>
      </c>
      <c r="J278" s="17">
        <f t="shared" si="5"/>
        <v>0</v>
      </c>
      <c r="K278" s="17"/>
      <c r="L278" s="16" t="s">
        <v>18</v>
      </c>
      <c r="M278" s="16" t="s">
        <v>22</v>
      </c>
      <c r="N278" s="39" t="s">
        <v>418</v>
      </c>
      <c r="O278" s="20"/>
    </row>
    <row r="279" spans="1:15" s="12" customFormat="1" ht="18">
      <c r="A279" s="178" t="s">
        <v>80</v>
      </c>
      <c r="B279" s="75" t="s">
        <v>580</v>
      </c>
      <c r="C279" s="39" t="s">
        <v>17</v>
      </c>
      <c r="D279" s="236"/>
      <c r="E279" s="236"/>
      <c r="F279" s="236"/>
      <c r="G279" s="236"/>
      <c r="H279" s="40">
        <f>SUM(Tabla13211242[[#This Row],[PRIMER TRIMESTRE]:[CUARTO TRIMESTRE]])</f>
        <v>0</v>
      </c>
      <c r="I279" s="17">
        <v>29</v>
      </c>
      <c r="J279" s="17">
        <f t="shared" si="5"/>
        <v>0</v>
      </c>
      <c r="K279" s="17"/>
      <c r="L279" s="16" t="s">
        <v>18</v>
      </c>
      <c r="M279" s="16" t="s">
        <v>22</v>
      </c>
      <c r="N279" s="39" t="s">
        <v>418</v>
      </c>
      <c r="O279" s="20"/>
    </row>
    <row r="280" spans="1:15" s="12" customFormat="1" ht="18">
      <c r="A280" s="178" t="s">
        <v>80</v>
      </c>
      <c r="B280" s="75" t="s">
        <v>579</v>
      </c>
      <c r="C280" s="39" t="s">
        <v>17</v>
      </c>
      <c r="D280" s="236"/>
      <c r="E280" s="236"/>
      <c r="F280" s="236"/>
      <c r="G280" s="236"/>
      <c r="H280" s="40">
        <f>SUM(Tabla13211242[[#This Row],[PRIMER TRIMESTRE]:[CUARTO TRIMESTRE]])</f>
        <v>0</v>
      </c>
      <c r="I280" s="17">
        <v>31.16</v>
      </c>
      <c r="J280" s="17">
        <f t="shared" si="5"/>
        <v>0</v>
      </c>
      <c r="K280" s="17"/>
      <c r="L280" s="16" t="s">
        <v>18</v>
      </c>
      <c r="M280" s="16" t="s">
        <v>22</v>
      </c>
      <c r="N280" s="39" t="s">
        <v>418</v>
      </c>
      <c r="O280" s="20"/>
    </row>
    <row r="281" spans="1:15" s="12" customFormat="1" ht="18">
      <c r="A281" s="178" t="s">
        <v>80</v>
      </c>
      <c r="B281" s="75" t="s">
        <v>581</v>
      </c>
      <c r="C281" s="39" t="s">
        <v>17</v>
      </c>
      <c r="D281" s="236"/>
      <c r="E281" s="236"/>
      <c r="F281" s="236"/>
      <c r="G281" s="236"/>
      <c r="H281" s="40">
        <f>SUM(Tabla13211242[[#This Row],[PRIMER TRIMESTRE]:[CUARTO TRIMESTRE]])</f>
        <v>0</v>
      </c>
      <c r="I281" s="17">
        <v>54.52</v>
      </c>
      <c r="J281" s="17">
        <f t="shared" si="5"/>
        <v>0</v>
      </c>
      <c r="K281" s="17"/>
      <c r="L281" s="16" t="s">
        <v>18</v>
      </c>
      <c r="M281" s="16" t="s">
        <v>22</v>
      </c>
      <c r="N281" s="39" t="s">
        <v>418</v>
      </c>
      <c r="O281" s="20"/>
    </row>
    <row r="282" spans="1:15" s="12" customFormat="1" ht="18">
      <c r="A282" s="178" t="s">
        <v>80</v>
      </c>
      <c r="B282" s="75" t="s">
        <v>582</v>
      </c>
      <c r="C282" s="39" t="s">
        <v>17</v>
      </c>
      <c r="D282" s="236"/>
      <c r="E282" s="236"/>
      <c r="F282" s="236"/>
      <c r="G282" s="236"/>
      <c r="H282" s="40">
        <f>SUM(Tabla13211242[[#This Row],[PRIMER TRIMESTRE]:[CUARTO TRIMESTRE]])</f>
        <v>0</v>
      </c>
      <c r="I282" s="17">
        <v>55.84</v>
      </c>
      <c r="J282" s="17">
        <f t="shared" si="5"/>
        <v>0</v>
      </c>
      <c r="K282" s="17"/>
      <c r="L282" s="16" t="s">
        <v>18</v>
      </c>
      <c r="M282" s="16" t="s">
        <v>22</v>
      </c>
      <c r="N282" s="39" t="s">
        <v>418</v>
      </c>
      <c r="O282" s="20"/>
    </row>
    <row r="283" spans="1:15" s="12" customFormat="1" ht="18">
      <c r="A283" s="178" t="s">
        <v>80</v>
      </c>
      <c r="B283" s="75" t="s">
        <v>583</v>
      </c>
      <c r="C283" s="39" t="s">
        <v>17</v>
      </c>
      <c r="D283" s="236"/>
      <c r="E283" s="236"/>
      <c r="F283" s="236"/>
      <c r="G283" s="236"/>
      <c r="H283" s="40">
        <f>SUM(Tabla13211242[[#This Row],[PRIMER TRIMESTRE]:[CUARTO TRIMESTRE]])</f>
        <v>0</v>
      </c>
      <c r="I283" s="17">
        <v>67.28</v>
      </c>
      <c r="J283" s="17">
        <f t="shared" si="5"/>
        <v>0</v>
      </c>
      <c r="K283" s="17"/>
      <c r="L283" s="16" t="s">
        <v>18</v>
      </c>
      <c r="M283" s="16" t="s">
        <v>22</v>
      </c>
      <c r="N283" s="39" t="s">
        <v>418</v>
      </c>
      <c r="O283" s="20"/>
    </row>
    <row r="284" spans="1:15" s="12" customFormat="1" ht="18">
      <c r="A284" s="178" t="s">
        <v>80</v>
      </c>
      <c r="B284" s="75" t="s">
        <v>584</v>
      </c>
      <c r="C284" s="39" t="s">
        <v>17</v>
      </c>
      <c r="D284" s="236"/>
      <c r="E284" s="236"/>
      <c r="F284" s="236"/>
      <c r="G284" s="236"/>
      <c r="H284" s="40">
        <f>SUM(Tabla13211242[[#This Row],[PRIMER TRIMESTRE]:[CUARTO TRIMESTRE]])</f>
        <v>0</v>
      </c>
      <c r="I284" s="17">
        <v>68.28</v>
      </c>
      <c r="J284" s="17">
        <f t="shared" si="5"/>
        <v>0</v>
      </c>
      <c r="K284" s="17"/>
      <c r="L284" s="16" t="s">
        <v>18</v>
      </c>
      <c r="M284" s="16" t="s">
        <v>22</v>
      </c>
      <c r="N284" s="39" t="s">
        <v>418</v>
      </c>
      <c r="O284" s="20"/>
    </row>
    <row r="285" spans="1:15" s="12" customFormat="1" ht="18">
      <c r="A285" s="178" t="s">
        <v>80</v>
      </c>
      <c r="B285" s="75" t="s">
        <v>585</v>
      </c>
      <c r="C285" s="39" t="s">
        <v>17</v>
      </c>
      <c r="D285" s="236"/>
      <c r="E285" s="236"/>
      <c r="F285" s="236"/>
      <c r="G285" s="236"/>
      <c r="H285" s="40">
        <f>SUM(Tabla13211242[[#This Row],[PRIMER TRIMESTRE]:[CUARTO TRIMESTRE]])</f>
        <v>0</v>
      </c>
      <c r="I285" s="17">
        <v>80</v>
      </c>
      <c r="J285" s="17">
        <f t="shared" si="5"/>
        <v>0</v>
      </c>
      <c r="K285" s="17"/>
      <c r="L285" s="16" t="s">
        <v>18</v>
      </c>
      <c r="M285" s="16" t="s">
        <v>22</v>
      </c>
      <c r="N285" s="39" t="s">
        <v>418</v>
      </c>
      <c r="O285" s="20"/>
    </row>
    <row r="286" spans="1:15" s="12" customFormat="1" ht="18">
      <c r="A286" s="178" t="s">
        <v>80</v>
      </c>
      <c r="B286" s="75" t="s">
        <v>586</v>
      </c>
      <c r="C286" s="39" t="s">
        <v>17</v>
      </c>
      <c r="D286" s="236"/>
      <c r="E286" s="236"/>
      <c r="F286" s="236"/>
      <c r="G286" s="236"/>
      <c r="H286" s="40">
        <f>SUM(Tabla13211242[[#This Row],[PRIMER TRIMESTRE]:[CUARTO TRIMESTRE]])</f>
        <v>0</v>
      </c>
      <c r="I286" s="72">
        <v>85</v>
      </c>
      <c r="J286" s="17">
        <f t="shared" si="5"/>
        <v>0</v>
      </c>
      <c r="K286" s="17"/>
      <c r="L286" s="16" t="s">
        <v>18</v>
      </c>
      <c r="M286" s="16" t="s">
        <v>22</v>
      </c>
      <c r="N286" s="39" t="s">
        <v>418</v>
      </c>
      <c r="O286" s="20"/>
    </row>
    <row r="287" spans="1:15" s="12" customFormat="1" ht="18">
      <c r="A287" s="178" t="s">
        <v>80</v>
      </c>
      <c r="B287" s="75" t="s">
        <v>587</v>
      </c>
      <c r="C287" s="39" t="s">
        <v>17</v>
      </c>
      <c r="D287" s="236"/>
      <c r="E287" s="236"/>
      <c r="F287" s="236"/>
      <c r="G287" s="236"/>
      <c r="H287" s="40">
        <f>SUM(Tabla13211242[[#This Row],[PRIMER TRIMESTRE]:[CUARTO TRIMESTRE]])</f>
        <v>0</v>
      </c>
      <c r="I287" s="72">
        <v>1044.3</v>
      </c>
      <c r="J287" s="17">
        <f t="shared" ref="J287:J294" si="6">+H287*I287</f>
        <v>0</v>
      </c>
      <c r="K287" s="17"/>
      <c r="L287" s="16" t="s">
        <v>18</v>
      </c>
      <c r="M287" s="16" t="s">
        <v>22</v>
      </c>
      <c r="N287" s="39" t="s">
        <v>418</v>
      </c>
      <c r="O287" s="20"/>
    </row>
    <row r="288" spans="1:15" s="12" customFormat="1" ht="18">
      <c r="A288" s="178" t="s">
        <v>80</v>
      </c>
      <c r="B288" s="75" t="s">
        <v>588</v>
      </c>
      <c r="C288" s="39" t="s">
        <v>17</v>
      </c>
      <c r="D288" s="236"/>
      <c r="E288" s="236"/>
      <c r="F288" s="236"/>
      <c r="G288" s="236"/>
      <c r="H288" s="40">
        <f>SUM(Tabla13211242[[#This Row],[PRIMER TRIMESTRE]:[CUARTO TRIMESTRE]])</f>
        <v>0</v>
      </c>
      <c r="I288" s="17">
        <v>1000</v>
      </c>
      <c r="J288" s="17">
        <f t="shared" si="6"/>
        <v>0</v>
      </c>
      <c r="K288" s="17"/>
      <c r="L288" s="16" t="s">
        <v>18</v>
      </c>
      <c r="M288" s="16" t="s">
        <v>22</v>
      </c>
      <c r="N288" s="39" t="s">
        <v>418</v>
      </c>
      <c r="O288" s="20"/>
    </row>
    <row r="289" spans="1:15" s="12" customFormat="1" ht="18">
      <c r="A289" s="178" t="s">
        <v>80</v>
      </c>
      <c r="B289" s="75" t="s">
        <v>589</v>
      </c>
      <c r="C289" s="39" t="s">
        <v>17</v>
      </c>
      <c r="D289" s="236"/>
      <c r="E289" s="236"/>
      <c r="F289" s="236"/>
      <c r="G289" s="236"/>
      <c r="H289" s="40">
        <f>SUM(Tabla13211242[[#This Row],[PRIMER TRIMESTRE]:[CUARTO TRIMESTRE]])</f>
        <v>0</v>
      </c>
      <c r="I289" s="72">
        <v>1144.5999999999999</v>
      </c>
      <c r="J289" s="17">
        <f t="shared" si="6"/>
        <v>0</v>
      </c>
      <c r="K289" s="17"/>
      <c r="L289" s="16" t="s">
        <v>18</v>
      </c>
      <c r="M289" s="16" t="s">
        <v>22</v>
      </c>
      <c r="N289" s="39" t="s">
        <v>418</v>
      </c>
      <c r="O289" s="20"/>
    </row>
    <row r="290" spans="1:15" s="12" customFormat="1" ht="18">
      <c r="A290" s="178" t="s">
        <v>80</v>
      </c>
      <c r="B290" s="75" t="s">
        <v>590</v>
      </c>
      <c r="C290" s="39" t="s">
        <v>17</v>
      </c>
      <c r="D290" s="236"/>
      <c r="E290" s="236"/>
      <c r="F290" s="236"/>
      <c r="G290" s="236"/>
      <c r="H290" s="40">
        <f>SUM(Tabla13211242[[#This Row],[PRIMER TRIMESTRE]:[CUARTO TRIMESTRE]])</f>
        <v>0</v>
      </c>
      <c r="I290" s="72">
        <v>1534</v>
      </c>
      <c r="J290" s="17">
        <f t="shared" si="6"/>
        <v>0</v>
      </c>
      <c r="K290" s="17"/>
      <c r="L290" s="16" t="s">
        <v>18</v>
      </c>
      <c r="M290" s="16" t="s">
        <v>22</v>
      </c>
      <c r="N290" s="39" t="s">
        <v>418</v>
      </c>
      <c r="O290" s="20"/>
    </row>
    <row r="291" spans="1:15" s="12" customFormat="1" ht="18">
      <c r="A291" s="178" t="s">
        <v>80</v>
      </c>
      <c r="B291" s="75" t="s">
        <v>1546</v>
      </c>
      <c r="C291" s="39" t="s">
        <v>17</v>
      </c>
      <c r="D291" s="236"/>
      <c r="E291" s="236"/>
      <c r="F291" s="236"/>
      <c r="G291" s="236"/>
      <c r="H291" s="236">
        <f>SUM(Tabla13211242[[#This Row],[PRIMER TRIMESTRE]:[CUARTO TRIMESTRE]])</f>
        <v>0</v>
      </c>
      <c r="I291" s="72">
        <v>910</v>
      </c>
      <c r="J291" s="17">
        <f t="shared" si="6"/>
        <v>0</v>
      </c>
      <c r="K291" s="17"/>
      <c r="L291" s="16" t="s">
        <v>18</v>
      </c>
      <c r="M291" s="16" t="s">
        <v>22</v>
      </c>
      <c r="N291" s="39" t="s">
        <v>418</v>
      </c>
      <c r="O291" s="20"/>
    </row>
    <row r="292" spans="1:15" s="12" customFormat="1" ht="18">
      <c r="A292" s="178" t="s">
        <v>80</v>
      </c>
      <c r="B292" s="75" t="s">
        <v>594</v>
      </c>
      <c r="C292" s="39" t="s">
        <v>17</v>
      </c>
      <c r="D292" s="236"/>
      <c r="E292" s="236"/>
      <c r="F292" s="236"/>
      <c r="G292" s="236"/>
      <c r="H292" s="40">
        <f>SUM(Tabla13211242[[#This Row],[PRIMER TRIMESTRE]:[CUARTO TRIMESTRE]])</f>
        <v>0</v>
      </c>
      <c r="I292" s="17">
        <v>6.37</v>
      </c>
      <c r="J292" s="17">
        <f t="shared" si="6"/>
        <v>0</v>
      </c>
      <c r="K292" s="17"/>
      <c r="L292" s="16" t="s">
        <v>18</v>
      </c>
      <c r="M292" s="16" t="s">
        <v>22</v>
      </c>
      <c r="N292" s="39" t="s">
        <v>418</v>
      </c>
      <c r="O292" s="20"/>
    </row>
    <row r="293" spans="1:15" s="12" customFormat="1" ht="18">
      <c r="A293" s="178" t="s">
        <v>80</v>
      </c>
      <c r="B293" s="75" t="s">
        <v>595</v>
      </c>
      <c r="C293" s="39" t="s">
        <v>17</v>
      </c>
      <c r="D293" s="236"/>
      <c r="E293" s="236"/>
      <c r="F293" s="236"/>
      <c r="G293" s="236"/>
      <c r="H293" s="40">
        <f>SUM(Tabla13211242[[#This Row],[PRIMER TRIMESTRE]:[CUARTO TRIMESTRE]])</f>
        <v>0</v>
      </c>
      <c r="I293" s="17">
        <v>11.82</v>
      </c>
      <c r="J293" s="17">
        <f t="shared" si="6"/>
        <v>0</v>
      </c>
      <c r="K293" s="17"/>
      <c r="L293" s="16" t="s">
        <v>18</v>
      </c>
      <c r="M293" s="16" t="s">
        <v>22</v>
      </c>
      <c r="N293" s="39" t="s">
        <v>418</v>
      </c>
      <c r="O293" s="20"/>
    </row>
    <row r="294" spans="1:15" s="12" customFormat="1" ht="18">
      <c r="A294" s="178" t="s">
        <v>80</v>
      </c>
      <c r="B294" s="75" t="s">
        <v>596</v>
      </c>
      <c r="C294" s="39" t="s">
        <v>17</v>
      </c>
      <c r="D294" s="236"/>
      <c r="E294" s="236"/>
      <c r="F294" s="236"/>
      <c r="G294" s="236"/>
      <c r="H294" s="40">
        <f>SUM(Tabla13211242[[#This Row],[PRIMER TRIMESTRE]:[CUARTO TRIMESTRE]])</f>
        <v>0</v>
      </c>
      <c r="I294" s="17">
        <v>15.46</v>
      </c>
      <c r="J294" s="17">
        <f t="shared" si="6"/>
        <v>0</v>
      </c>
      <c r="K294" s="17"/>
      <c r="L294" s="16" t="s">
        <v>18</v>
      </c>
      <c r="M294" s="16" t="s">
        <v>22</v>
      </c>
      <c r="N294" s="39" t="s">
        <v>418</v>
      </c>
      <c r="O294" s="20"/>
    </row>
    <row r="295" spans="1:15" s="12" customFormat="1" ht="18">
      <c r="A295" s="178" t="s">
        <v>80</v>
      </c>
      <c r="B295" s="75" t="s">
        <v>592</v>
      </c>
      <c r="C295" s="39" t="s">
        <v>17</v>
      </c>
      <c r="D295" s="236"/>
      <c r="E295" s="236"/>
      <c r="F295" s="236"/>
      <c r="G295" s="236"/>
      <c r="H295" s="40">
        <f>SUM(Tabla13211242[[#This Row],[PRIMER TRIMESTRE]:[CUARTO TRIMESTRE]])</f>
        <v>0</v>
      </c>
      <c r="I295" s="17">
        <v>103.84</v>
      </c>
      <c r="J295" s="17">
        <f>+Tabla13211242[[#This Row],[CANTIDAD TOTAL]]*Tabla13211242[[#This Row],[PRECIO UNITARIO ESTIMADO]]</f>
        <v>0</v>
      </c>
      <c r="K295" s="17"/>
      <c r="L295" s="16" t="s">
        <v>18</v>
      </c>
      <c r="M295" s="16" t="s">
        <v>22</v>
      </c>
      <c r="N295" s="39" t="s">
        <v>418</v>
      </c>
      <c r="O295" s="20"/>
    </row>
    <row r="296" spans="1:15" s="12" customFormat="1" ht="18">
      <c r="A296" s="178" t="s">
        <v>80</v>
      </c>
      <c r="B296" s="75" t="s">
        <v>593</v>
      </c>
      <c r="C296" s="39" t="s">
        <v>17</v>
      </c>
      <c r="D296" s="236"/>
      <c r="E296" s="236"/>
      <c r="F296" s="236"/>
      <c r="G296" s="236"/>
      <c r="H296" s="40">
        <f>SUM(Tabla13211242[[#This Row],[PRIMER TRIMESTRE]:[CUARTO TRIMESTRE]])</f>
        <v>0</v>
      </c>
      <c r="I296" s="17">
        <v>22.42</v>
      </c>
      <c r="J296" s="17">
        <f>+Tabla13211242[[#This Row],[CANTIDAD TOTAL]]*Tabla13211242[[#This Row],[PRECIO UNITARIO ESTIMADO]]</f>
        <v>0</v>
      </c>
      <c r="K296" s="17"/>
      <c r="L296" s="16" t="s">
        <v>18</v>
      </c>
      <c r="M296" s="16" t="s">
        <v>22</v>
      </c>
      <c r="N296" s="39" t="s">
        <v>418</v>
      </c>
      <c r="O296" s="20"/>
    </row>
    <row r="297" spans="1:15" s="12" customFormat="1" ht="18">
      <c r="A297" s="178" t="s">
        <v>80</v>
      </c>
      <c r="B297" s="75" t="s">
        <v>591</v>
      </c>
      <c r="C297" s="39" t="s">
        <v>17</v>
      </c>
      <c r="D297" s="236"/>
      <c r="E297" s="236"/>
      <c r="F297" s="236"/>
      <c r="G297" s="236"/>
      <c r="H297" s="236">
        <f>SUM(Tabla13211242[[#This Row],[PRIMER TRIMESTRE]:[CUARTO TRIMESTRE]])</f>
        <v>0</v>
      </c>
      <c r="I297" s="17">
        <v>489.7</v>
      </c>
      <c r="J297" s="17">
        <f>+Tabla13211242[[#This Row],[CANTIDAD TOTAL]]*Tabla13211242[[#This Row],[PRECIO UNITARIO ESTIMADO]]</f>
        <v>0</v>
      </c>
      <c r="K297" s="17"/>
      <c r="L297" s="16" t="s">
        <v>18</v>
      </c>
      <c r="M297" s="16" t="s">
        <v>22</v>
      </c>
      <c r="N297" s="39" t="s">
        <v>418</v>
      </c>
      <c r="O297" s="20"/>
    </row>
    <row r="298" spans="1:15" s="12" customFormat="1" ht="18">
      <c r="A298" s="178" t="s">
        <v>80</v>
      </c>
      <c r="B298" s="75" t="s">
        <v>1531</v>
      </c>
      <c r="C298" s="176" t="s">
        <v>17</v>
      </c>
      <c r="D298" s="236"/>
      <c r="E298" s="236"/>
      <c r="F298" s="236"/>
      <c r="G298" s="236"/>
      <c r="H298" s="236">
        <f>SUM(Tabla13211242[[#This Row],[PRIMER TRIMESTRE]:[CUARTO TRIMESTRE]])</f>
        <v>0</v>
      </c>
      <c r="I298" s="17">
        <v>486.29</v>
      </c>
      <c r="J298" s="17">
        <f>+H298*I298</f>
        <v>0</v>
      </c>
      <c r="K298" s="17"/>
      <c r="L298" s="16" t="s">
        <v>18</v>
      </c>
      <c r="M298" s="16" t="s">
        <v>22</v>
      </c>
      <c r="N298" s="39" t="s">
        <v>418</v>
      </c>
      <c r="O298" s="20"/>
    </row>
    <row r="299" spans="1:15" s="12" customFormat="1" ht="18">
      <c r="A299" s="178" t="s">
        <v>80</v>
      </c>
      <c r="B299" s="75" t="s">
        <v>616</v>
      </c>
      <c r="C299" s="39" t="s">
        <v>17</v>
      </c>
      <c r="D299" s="236"/>
      <c r="E299" s="236"/>
      <c r="F299" s="236"/>
      <c r="G299" s="236"/>
      <c r="H299" s="40">
        <f>SUM(Tabla13211242[[#This Row],[PRIMER TRIMESTRE]:[CUARTO TRIMESTRE]])</f>
        <v>0</v>
      </c>
      <c r="I299" s="17">
        <v>767</v>
      </c>
      <c r="J299" s="17">
        <f>+Tabla13211242[[#This Row],[CANTIDAD TOTAL]]*Tabla13211242[[#This Row],[PRECIO UNITARIO ESTIMADO]]</f>
        <v>0</v>
      </c>
      <c r="K299" s="17"/>
      <c r="L299" s="16" t="s">
        <v>18</v>
      </c>
      <c r="M299" s="16" t="s">
        <v>22</v>
      </c>
      <c r="N299" s="39" t="s">
        <v>418</v>
      </c>
      <c r="O299" s="20"/>
    </row>
    <row r="300" spans="1:15" s="12" customFormat="1" ht="18">
      <c r="A300" s="178" t="s">
        <v>80</v>
      </c>
      <c r="B300" s="75" t="s">
        <v>617</v>
      </c>
      <c r="C300" s="39" t="s">
        <v>17</v>
      </c>
      <c r="D300" s="236"/>
      <c r="E300" s="236"/>
      <c r="F300" s="236"/>
      <c r="G300" s="236"/>
      <c r="H300" s="40">
        <f>SUM(Tabla13211242[[#This Row],[PRIMER TRIMESTRE]:[CUARTO TRIMESTRE]])</f>
        <v>0</v>
      </c>
      <c r="I300" s="17">
        <v>1003</v>
      </c>
      <c r="J300" s="17">
        <f t="shared" ref="J300:J316" si="7">+H300*I300</f>
        <v>0</v>
      </c>
      <c r="K300" s="17"/>
      <c r="L300" s="16" t="s">
        <v>18</v>
      </c>
      <c r="M300" s="16" t="s">
        <v>22</v>
      </c>
      <c r="N300" s="39" t="s">
        <v>418</v>
      </c>
      <c r="O300" s="20"/>
    </row>
    <row r="301" spans="1:15" s="12" customFormat="1" ht="18">
      <c r="A301" s="178" t="s">
        <v>80</v>
      </c>
      <c r="B301" s="75" t="s">
        <v>618</v>
      </c>
      <c r="C301" s="39" t="s">
        <v>17</v>
      </c>
      <c r="D301" s="236"/>
      <c r="E301" s="236"/>
      <c r="F301" s="236"/>
      <c r="G301" s="236"/>
      <c r="H301" s="40">
        <f>SUM(Tabla13211242[[#This Row],[PRIMER TRIMESTRE]:[CUARTO TRIMESTRE]])</f>
        <v>0</v>
      </c>
      <c r="I301" s="17">
        <v>1357</v>
      </c>
      <c r="J301" s="17">
        <f t="shared" si="7"/>
        <v>0</v>
      </c>
      <c r="K301" s="17"/>
      <c r="L301" s="16" t="s">
        <v>18</v>
      </c>
      <c r="M301" s="16" t="s">
        <v>22</v>
      </c>
      <c r="N301" s="39" t="s">
        <v>418</v>
      </c>
      <c r="O301" s="20"/>
    </row>
    <row r="302" spans="1:15" s="12" customFormat="1" ht="18">
      <c r="A302" s="178" t="s">
        <v>80</v>
      </c>
      <c r="B302" s="75" t="s">
        <v>619</v>
      </c>
      <c r="C302" s="39" t="s">
        <v>17</v>
      </c>
      <c r="D302" s="236"/>
      <c r="E302" s="236"/>
      <c r="F302" s="236"/>
      <c r="G302" s="236"/>
      <c r="H302" s="40">
        <f>SUM(Tabla13211242[[#This Row],[PRIMER TRIMESTRE]:[CUARTO TRIMESTRE]])</f>
        <v>0</v>
      </c>
      <c r="I302" s="17">
        <v>2950</v>
      </c>
      <c r="J302" s="17">
        <f t="shared" si="7"/>
        <v>0</v>
      </c>
      <c r="K302" s="17"/>
      <c r="L302" s="16" t="s">
        <v>18</v>
      </c>
      <c r="M302" s="16" t="s">
        <v>22</v>
      </c>
      <c r="N302" s="39" t="s">
        <v>418</v>
      </c>
      <c r="O302" s="20"/>
    </row>
    <row r="303" spans="1:15" s="12" customFormat="1" ht="18">
      <c r="A303" s="178" t="s">
        <v>80</v>
      </c>
      <c r="B303" s="75" t="s">
        <v>620</v>
      </c>
      <c r="C303" s="39" t="s">
        <v>17</v>
      </c>
      <c r="D303" s="236"/>
      <c r="E303" s="236"/>
      <c r="F303" s="236"/>
      <c r="G303" s="236"/>
      <c r="H303" s="40">
        <f>SUM(Tabla13211242[[#This Row],[PRIMER TRIMESTRE]:[CUARTO TRIMESTRE]])</f>
        <v>0</v>
      </c>
      <c r="I303" s="17">
        <v>4484</v>
      </c>
      <c r="J303" s="17">
        <f t="shared" si="7"/>
        <v>0</v>
      </c>
      <c r="K303" s="17"/>
      <c r="L303" s="16" t="s">
        <v>18</v>
      </c>
      <c r="M303" s="16" t="s">
        <v>22</v>
      </c>
      <c r="N303" s="39" t="s">
        <v>418</v>
      </c>
      <c r="O303" s="20"/>
    </row>
    <row r="304" spans="1:15" s="12" customFormat="1" ht="18">
      <c r="A304" s="178" t="s">
        <v>80</v>
      </c>
      <c r="B304" s="75" t="s">
        <v>621</v>
      </c>
      <c r="C304" s="39" t="s">
        <v>17</v>
      </c>
      <c r="D304" s="236"/>
      <c r="E304" s="236"/>
      <c r="F304" s="236"/>
      <c r="G304" s="236"/>
      <c r="H304" s="40">
        <f>SUM(Tabla13211242[[#This Row],[PRIMER TRIMESTRE]:[CUARTO TRIMESTRE]])</f>
        <v>0</v>
      </c>
      <c r="I304" s="17">
        <v>6372</v>
      </c>
      <c r="J304" s="17">
        <f t="shared" si="7"/>
        <v>0</v>
      </c>
      <c r="K304" s="17"/>
      <c r="L304" s="16" t="s">
        <v>18</v>
      </c>
      <c r="M304" s="16" t="s">
        <v>22</v>
      </c>
      <c r="N304" s="39" t="s">
        <v>418</v>
      </c>
      <c r="O304" s="20"/>
    </row>
    <row r="305" spans="1:15" s="12" customFormat="1" ht="18">
      <c r="A305" s="178" t="s">
        <v>80</v>
      </c>
      <c r="B305" s="75" t="s">
        <v>622</v>
      </c>
      <c r="C305" s="39" t="s">
        <v>17</v>
      </c>
      <c r="D305" s="236"/>
      <c r="E305" s="236"/>
      <c r="F305" s="236"/>
      <c r="G305" s="236"/>
      <c r="H305" s="40">
        <f>SUM(Tabla13211242[[#This Row],[PRIMER TRIMESTRE]:[CUARTO TRIMESTRE]])</f>
        <v>0</v>
      </c>
      <c r="I305" s="17">
        <v>11092</v>
      </c>
      <c r="J305" s="17">
        <f t="shared" si="7"/>
        <v>0</v>
      </c>
      <c r="K305" s="17"/>
      <c r="L305" s="16" t="s">
        <v>18</v>
      </c>
      <c r="M305" s="16" t="s">
        <v>22</v>
      </c>
      <c r="N305" s="39" t="s">
        <v>418</v>
      </c>
      <c r="O305" s="20"/>
    </row>
    <row r="306" spans="1:15" s="12" customFormat="1" ht="18">
      <c r="A306" s="178" t="s">
        <v>80</v>
      </c>
      <c r="B306" s="75" t="s">
        <v>623</v>
      </c>
      <c r="C306" s="39" t="s">
        <v>17</v>
      </c>
      <c r="D306" s="236"/>
      <c r="E306" s="236"/>
      <c r="F306" s="236"/>
      <c r="G306" s="236"/>
      <c r="H306" s="40">
        <f>SUM(Tabla13211242[[#This Row],[PRIMER TRIMESTRE]:[CUARTO TRIMESTRE]])</f>
        <v>0</v>
      </c>
      <c r="I306" s="17">
        <v>13924</v>
      </c>
      <c r="J306" s="17">
        <f t="shared" si="7"/>
        <v>0</v>
      </c>
      <c r="K306" s="17"/>
      <c r="L306" s="16" t="s">
        <v>18</v>
      </c>
      <c r="M306" s="16" t="s">
        <v>22</v>
      </c>
      <c r="N306" s="39" t="s">
        <v>418</v>
      </c>
      <c r="O306" s="20"/>
    </row>
    <row r="307" spans="1:15" s="12" customFormat="1" ht="18">
      <c r="A307" s="178" t="s">
        <v>80</v>
      </c>
      <c r="B307" s="75" t="s">
        <v>624</v>
      </c>
      <c r="C307" s="39" t="s">
        <v>17</v>
      </c>
      <c r="D307" s="236"/>
      <c r="E307" s="236"/>
      <c r="F307" s="236"/>
      <c r="G307" s="236"/>
      <c r="H307" s="40">
        <f>SUM(Tabla13211242[[#This Row],[PRIMER TRIMESTRE]:[CUARTO TRIMESTRE]])</f>
        <v>0</v>
      </c>
      <c r="I307" s="17">
        <v>20886</v>
      </c>
      <c r="J307" s="17">
        <f t="shared" si="7"/>
        <v>0</v>
      </c>
      <c r="K307" s="17"/>
      <c r="L307" s="16" t="s">
        <v>18</v>
      </c>
      <c r="M307" s="16" t="s">
        <v>22</v>
      </c>
      <c r="N307" s="39" t="s">
        <v>418</v>
      </c>
      <c r="O307" s="20"/>
    </row>
    <row r="308" spans="1:15" s="12" customFormat="1" ht="18">
      <c r="A308" s="178" t="s">
        <v>80</v>
      </c>
      <c r="B308" s="75" t="s">
        <v>625</v>
      </c>
      <c r="C308" s="39" t="s">
        <v>17</v>
      </c>
      <c r="D308" s="236"/>
      <c r="E308" s="236"/>
      <c r="F308" s="236"/>
      <c r="G308" s="236"/>
      <c r="H308" s="40">
        <f>SUM(Tabla13211242[[#This Row],[PRIMER TRIMESTRE]:[CUARTO TRIMESTRE]])</f>
        <v>0</v>
      </c>
      <c r="I308" s="17">
        <v>1121</v>
      </c>
      <c r="J308" s="17">
        <f t="shared" si="7"/>
        <v>0</v>
      </c>
      <c r="K308" s="17"/>
      <c r="L308" s="16" t="s">
        <v>18</v>
      </c>
      <c r="M308" s="16" t="s">
        <v>22</v>
      </c>
      <c r="N308" s="39" t="s">
        <v>418</v>
      </c>
      <c r="O308" s="20"/>
    </row>
    <row r="309" spans="1:15" s="12" customFormat="1" ht="18">
      <c r="A309" s="178" t="s">
        <v>80</v>
      </c>
      <c r="B309" s="75" t="s">
        <v>626</v>
      </c>
      <c r="C309" s="39" t="s">
        <v>17</v>
      </c>
      <c r="D309" s="236"/>
      <c r="E309" s="236"/>
      <c r="F309" s="236"/>
      <c r="G309" s="236"/>
      <c r="H309" s="40">
        <f>SUM(Tabla13211242[[#This Row],[PRIMER TRIMESTRE]:[CUARTO TRIMESTRE]])</f>
        <v>0</v>
      </c>
      <c r="I309" s="17">
        <v>1239</v>
      </c>
      <c r="J309" s="17">
        <f t="shared" si="7"/>
        <v>0</v>
      </c>
      <c r="K309" s="17"/>
      <c r="L309" s="16" t="s">
        <v>18</v>
      </c>
      <c r="M309" s="16" t="s">
        <v>22</v>
      </c>
      <c r="N309" s="39" t="s">
        <v>418</v>
      </c>
      <c r="O309" s="20"/>
    </row>
    <row r="310" spans="1:15" s="12" customFormat="1" ht="18">
      <c r="A310" s="178" t="s">
        <v>80</v>
      </c>
      <c r="B310" s="75" t="s">
        <v>627</v>
      </c>
      <c r="C310" s="39" t="s">
        <v>17</v>
      </c>
      <c r="D310" s="236"/>
      <c r="E310" s="236"/>
      <c r="F310" s="236"/>
      <c r="G310" s="236"/>
      <c r="H310" s="40">
        <f>SUM(Tabla13211242[[#This Row],[PRIMER TRIMESTRE]:[CUARTO TRIMESTRE]])</f>
        <v>0</v>
      </c>
      <c r="I310" s="17">
        <v>1593</v>
      </c>
      <c r="J310" s="17">
        <f t="shared" si="7"/>
        <v>0</v>
      </c>
      <c r="K310" s="17"/>
      <c r="L310" s="16" t="s">
        <v>18</v>
      </c>
      <c r="M310" s="16" t="s">
        <v>22</v>
      </c>
      <c r="N310" s="39" t="s">
        <v>418</v>
      </c>
      <c r="O310" s="20"/>
    </row>
    <row r="311" spans="1:15" s="12" customFormat="1" ht="18">
      <c r="A311" s="178" t="s">
        <v>80</v>
      </c>
      <c r="B311" s="75" t="s">
        <v>628</v>
      </c>
      <c r="C311" s="39" t="s">
        <v>17</v>
      </c>
      <c r="D311" s="236"/>
      <c r="E311" s="236"/>
      <c r="F311" s="236"/>
      <c r="G311" s="236"/>
      <c r="H311" s="40">
        <f>SUM(Tabla13211242[[#This Row],[PRIMER TRIMESTRE]:[CUARTO TRIMESTRE]])</f>
        <v>0</v>
      </c>
      <c r="I311" s="17">
        <v>3717</v>
      </c>
      <c r="J311" s="17">
        <f t="shared" si="7"/>
        <v>0</v>
      </c>
      <c r="K311" s="17"/>
      <c r="L311" s="16" t="s">
        <v>18</v>
      </c>
      <c r="M311" s="16" t="s">
        <v>22</v>
      </c>
      <c r="N311" s="39" t="s">
        <v>418</v>
      </c>
      <c r="O311" s="20"/>
    </row>
    <row r="312" spans="1:15" s="12" customFormat="1" ht="18">
      <c r="A312" s="178" t="s">
        <v>80</v>
      </c>
      <c r="B312" s="75" t="s">
        <v>629</v>
      </c>
      <c r="C312" s="39" t="s">
        <v>17</v>
      </c>
      <c r="D312" s="236"/>
      <c r="E312" s="236"/>
      <c r="F312" s="236"/>
      <c r="G312" s="236"/>
      <c r="H312" s="40">
        <f>SUM(Tabla13211242[[#This Row],[PRIMER TRIMESTRE]:[CUARTO TRIMESTRE]])</f>
        <v>0</v>
      </c>
      <c r="I312" s="17">
        <v>5133</v>
      </c>
      <c r="J312" s="17">
        <f t="shared" si="7"/>
        <v>0</v>
      </c>
      <c r="K312" s="17"/>
      <c r="L312" s="16" t="s">
        <v>18</v>
      </c>
      <c r="M312" s="16" t="s">
        <v>22</v>
      </c>
      <c r="N312" s="39" t="s">
        <v>418</v>
      </c>
      <c r="O312" s="20"/>
    </row>
    <row r="313" spans="1:15" s="12" customFormat="1" ht="18">
      <c r="A313" s="178" t="s">
        <v>80</v>
      </c>
      <c r="B313" s="75" t="s">
        <v>630</v>
      </c>
      <c r="C313" s="39" t="s">
        <v>17</v>
      </c>
      <c r="D313" s="236"/>
      <c r="E313" s="236"/>
      <c r="F313" s="236"/>
      <c r="G313" s="236"/>
      <c r="H313" s="40">
        <f>SUM(Tabla13211242[[#This Row],[PRIMER TRIMESTRE]:[CUARTO TRIMESTRE]])</f>
        <v>0</v>
      </c>
      <c r="I313" s="17">
        <v>7127</v>
      </c>
      <c r="J313" s="17">
        <f t="shared" si="7"/>
        <v>0</v>
      </c>
      <c r="K313" s="17"/>
      <c r="L313" s="16" t="s">
        <v>18</v>
      </c>
      <c r="M313" s="16" t="s">
        <v>22</v>
      </c>
      <c r="N313" s="39" t="s">
        <v>418</v>
      </c>
      <c r="O313" s="20"/>
    </row>
    <row r="314" spans="1:15" s="12" customFormat="1" ht="18">
      <c r="A314" s="178" t="s">
        <v>80</v>
      </c>
      <c r="B314" s="75" t="s">
        <v>631</v>
      </c>
      <c r="C314" s="39" t="s">
        <v>17</v>
      </c>
      <c r="D314" s="236"/>
      <c r="E314" s="236"/>
      <c r="F314" s="236"/>
      <c r="G314" s="236"/>
      <c r="H314" s="40">
        <f>SUM(Tabla13211242[[#This Row],[PRIMER TRIMESTRE]:[CUARTO TRIMESTRE]])</f>
        <v>0</v>
      </c>
      <c r="I314" s="17">
        <v>12580</v>
      </c>
      <c r="J314" s="17">
        <f t="shared" si="7"/>
        <v>0</v>
      </c>
      <c r="K314" s="17"/>
      <c r="L314" s="16" t="s">
        <v>18</v>
      </c>
      <c r="M314" s="16" t="s">
        <v>22</v>
      </c>
      <c r="N314" s="39" t="s">
        <v>418</v>
      </c>
      <c r="O314" s="20"/>
    </row>
    <row r="315" spans="1:15" s="12" customFormat="1" ht="18">
      <c r="A315" s="178" t="s">
        <v>80</v>
      </c>
      <c r="B315" s="75" t="s">
        <v>632</v>
      </c>
      <c r="C315" s="39" t="s">
        <v>17</v>
      </c>
      <c r="D315" s="236"/>
      <c r="E315" s="236"/>
      <c r="F315" s="236"/>
      <c r="G315" s="236"/>
      <c r="H315" s="40">
        <f>SUM(Tabla13211242[[#This Row],[PRIMER TRIMESTRE]:[CUARTO TRIMESTRE]])</f>
        <v>0</v>
      </c>
      <c r="I315" s="17">
        <v>15045</v>
      </c>
      <c r="J315" s="17">
        <f t="shared" si="7"/>
        <v>0</v>
      </c>
      <c r="K315" s="17"/>
      <c r="L315" s="16" t="s">
        <v>18</v>
      </c>
      <c r="M315" s="16" t="s">
        <v>22</v>
      </c>
      <c r="N315" s="39" t="s">
        <v>418</v>
      </c>
      <c r="O315" s="20"/>
    </row>
    <row r="316" spans="1:15" s="12" customFormat="1" ht="18">
      <c r="A316" s="178" t="s">
        <v>80</v>
      </c>
      <c r="B316" s="75" t="s">
        <v>633</v>
      </c>
      <c r="C316" s="39" t="s">
        <v>17</v>
      </c>
      <c r="D316" s="236"/>
      <c r="E316" s="236"/>
      <c r="F316" s="236"/>
      <c r="G316" s="236"/>
      <c r="H316" s="40">
        <f>SUM(Tabla13211242[[#This Row],[PRIMER TRIMESTRE]:[CUARTO TRIMESTRE]])</f>
        <v>0</v>
      </c>
      <c r="I316" s="17">
        <v>22396.400000000001</v>
      </c>
      <c r="J316" s="17">
        <f t="shared" si="7"/>
        <v>0</v>
      </c>
      <c r="K316" s="17"/>
      <c r="L316" s="16" t="s">
        <v>18</v>
      </c>
      <c r="M316" s="16" t="s">
        <v>22</v>
      </c>
      <c r="N316" s="39" t="s">
        <v>418</v>
      </c>
      <c r="O316" s="20"/>
    </row>
    <row r="317" spans="1:15" s="12" customFormat="1" ht="18">
      <c r="A317" s="178" t="s">
        <v>80</v>
      </c>
      <c r="B317" s="75" t="s">
        <v>129</v>
      </c>
      <c r="C317" s="39" t="s">
        <v>17</v>
      </c>
      <c r="D317" s="236"/>
      <c r="E317" s="236"/>
      <c r="F317" s="236"/>
      <c r="G317" s="236"/>
      <c r="H317" s="40">
        <f>SUM(Tabla13211242[[#This Row],[PRIMER TRIMESTRE]:[CUARTO TRIMESTRE]])</f>
        <v>0</v>
      </c>
      <c r="I317" s="17">
        <v>3.52</v>
      </c>
      <c r="J317" s="17">
        <f>+Tabla13211242[[#This Row],[CANTIDAD TOTAL]]*Tabla13211242[[#This Row],[PRECIO UNITARIO ESTIMADO]]</f>
        <v>0</v>
      </c>
      <c r="K317" s="17"/>
      <c r="L317" s="16" t="s">
        <v>18</v>
      </c>
      <c r="M317" s="16" t="s">
        <v>22</v>
      </c>
      <c r="N317" s="39" t="s">
        <v>418</v>
      </c>
      <c r="O317" s="20"/>
    </row>
    <row r="318" spans="1:15" s="12" customFormat="1" ht="18">
      <c r="A318" s="178" t="s">
        <v>80</v>
      </c>
      <c r="B318" s="75" t="s">
        <v>131</v>
      </c>
      <c r="C318" s="39" t="s">
        <v>17</v>
      </c>
      <c r="D318" s="236"/>
      <c r="E318" s="236"/>
      <c r="F318" s="236"/>
      <c r="G318" s="236"/>
      <c r="H318" s="40">
        <f>SUM(Tabla13211242[[#This Row],[PRIMER TRIMESTRE]:[CUARTO TRIMESTRE]])</f>
        <v>0</v>
      </c>
      <c r="I318" s="17">
        <v>5.86</v>
      </c>
      <c r="J318" s="17">
        <f>+Tabla13211242[[#This Row],[CANTIDAD TOTAL]]*Tabla13211242[[#This Row],[PRECIO UNITARIO ESTIMADO]]</f>
        <v>0</v>
      </c>
      <c r="K318" s="17"/>
      <c r="L318" s="16" t="s">
        <v>18</v>
      </c>
      <c r="M318" s="16" t="s">
        <v>22</v>
      </c>
      <c r="N318" s="39" t="s">
        <v>418</v>
      </c>
      <c r="O318" s="20"/>
    </row>
    <row r="319" spans="1:15" s="12" customFormat="1" ht="18">
      <c r="A319" s="178" t="s">
        <v>80</v>
      </c>
      <c r="B319" s="75" t="s">
        <v>473</v>
      </c>
      <c r="C319" s="39" t="s">
        <v>17</v>
      </c>
      <c r="D319" s="236"/>
      <c r="E319" s="236"/>
      <c r="F319" s="236"/>
      <c r="G319" s="236"/>
      <c r="H319" s="40">
        <f>SUM(Tabla13211242[[#This Row],[PRIMER TRIMESTRE]:[CUARTO TRIMESTRE]])</f>
        <v>0</v>
      </c>
      <c r="I319" s="17">
        <v>15.46</v>
      </c>
      <c r="J319" s="17">
        <f>+H319*I319</f>
        <v>0</v>
      </c>
      <c r="K319" s="17"/>
      <c r="L319" s="16" t="s">
        <v>18</v>
      </c>
      <c r="M319" s="16" t="s">
        <v>22</v>
      </c>
      <c r="N319" s="39" t="s">
        <v>418</v>
      </c>
      <c r="O319" s="20"/>
    </row>
    <row r="320" spans="1:15" s="12" customFormat="1" ht="18">
      <c r="A320" s="178" t="s">
        <v>80</v>
      </c>
      <c r="B320" s="75" t="s">
        <v>661</v>
      </c>
      <c r="C320" s="39" t="s">
        <v>17</v>
      </c>
      <c r="D320" s="236"/>
      <c r="E320" s="236"/>
      <c r="F320" s="236"/>
      <c r="G320" s="236"/>
      <c r="H320" s="40">
        <f>SUM(Tabla13211242[[#This Row],[PRIMER TRIMESTRE]:[CUARTO TRIMESTRE]])</f>
        <v>0</v>
      </c>
      <c r="I320" s="72">
        <v>15.46</v>
      </c>
      <c r="J320" s="17">
        <f>+H320*I320</f>
        <v>0</v>
      </c>
      <c r="K320" s="17"/>
      <c r="L320" s="16" t="s">
        <v>18</v>
      </c>
      <c r="M320" s="16" t="s">
        <v>22</v>
      </c>
      <c r="N320" s="39" t="s">
        <v>418</v>
      </c>
      <c r="O320" s="20"/>
    </row>
    <row r="321" spans="1:15" s="12" customFormat="1" ht="18">
      <c r="A321" s="178" t="s">
        <v>80</v>
      </c>
      <c r="B321" s="75" t="s">
        <v>133</v>
      </c>
      <c r="C321" s="39" t="s">
        <v>17</v>
      </c>
      <c r="D321" s="236"/>
      <c r="E321" s="236"/>
      <c r="F321" s="236"/>
      <c r="G321" s="236"/>
      <c r="H321" s="40">
        <f>SUM(Tabla13211242[[#This Row],[PRIMER TRIMESTRE]:[CUARTO TRIMESTRE]])</f>
        <v>0</v>
      </c>
      <c r="I321" s="17">
        <v>40.17</v>
      </c>
      <c r="J321" s="17">
        <f>+Tabla13211242[[#This Row],[CANTIDAD TOTAL]]*Tabla13211242[[#This Row],[PRECIO UNITARIO ESTIMADO]]</f>
        <v>0</v>
      </c>
      <c r="K321" s="17"/>
      <c r="L321" s="16" t="s">
        <v>18</v>
      </c>
      <c r="M321" s="16" t="s">
        <v>22</v>
      </c>
      <c r="N321" s="39" t="s">
        <v>418</v>
      </c>
      <c r="O321" s="20"/>
    </row>
    <row r="322" spans="1:15" s="12" customFormat="1" ht="18">
      <c r="A322" s="178" t="s">
        <v>80</v>
      </c>
      <c r="B322" s="75" t="s">
        <v>135</v>
      </c>
      <c r="C322" s="39" t="s">
        <v>17</v>
      </c>
      <c r="D322" s="236"/>
      <c r="E322" s="236"/>
      <c r="F322" s="236"/>
      <c r="G322" s="236"/>
      <c r="H322" s="40">
        <f>SUM(Tabla13211242[[#This Row],[PRIMER TRIMESTRE]:[CUARTO TRIMESTRE]])</f>
        <v>0</v>
      </c>
      <c r="I322" s="17">
        <v>116.85</v>
      </c>
      <c r="J322" s="17">
        <f>+Tabla13211242[[#This Row],[CANTIDAD TOTAL]]*Tabla13211242[[#This Row],[PRECIO UNITARIO ESTIMADO]]</f>
        <v>0</v>
      </c>
      <c r="K322" s="17"/>
      <c r="L322" s="16" t="s">
        <v>18</v>
      </c>
      <c r="M322" s="16" t="s">
        <v>22</v>
      </c>
      <c r="N322" s="39" t="s">
        <v>418</v>
      </c>
      <c r="O322" s="20"/>
    </row>
    <row r="323" spans="1:15" s="12" customFormat="1" ht="18">
      <c r="A323" s="178" t="s">
        <v>80</v>
      </c>
      <c r="B323" s="75" t="s">
        <v>597</v>
      </c>
      <c r="C323" s="39" t="s">
        <v>17</v>
      </c>
      <c r="D323" s="236"/>
      <c r="E323" s="236"/>
      <c r="F323" s="236"/>
      <c r="G323" s="236"/>
      <c r="H323" s="40">
        <f>SUM(Tabla13211242[[#This Row],[PRIMER TRIMESTRE]:[CUARTO TRIMESTRE]])</f>
        <v>0</v>
      </c>
      <c r="I323" s="72">
        <v>107.31</v>
      </c>
      <c r="J323" s="17">
        <f t="shared" ref="J323:J333" si="8">+H323*I323</f>
        <v>0</v>
      </c>
      <c r="K323" s="17"/>
      <c r="L323" s="16" t="s">
        <v>18</v>
      </c>
      <c r="M323" s="16" t="s">
        <v>22</v>
      </c>
      <c r="N323" s="39" t="s">
        <v>418</v>
      </c>
      <c r="O323" s="20"/>
    </row>
    <row r="324" spans="1:15" s="12" customFormat="1" ht="18">
      <c r="A324" s="178" t="s">
        <v>80</v>
      </c>
      <c r="B324" s="75" t="s">
        <v>1532</v>
      </c>
      <c r="C324" s="176" t="s">
        <v>17</v>
      </c>
      <c r="D324" s="236"/>
      <c r="E324" s="236"/>
      <c r="F324" s="236"/>
      <c r="G324" s="236"/>
      <c r="H324" s="236">
        <f>SUM(Tabla13211242[[#This Row],[PRIMER TRIMESTRE]:[CUARTO TRIMESTRE]])</f>
        <v>0</v>
      </c>
      <c r="I324" s="72">
        <v>300</v>
      </c>
      <c r="J324" s="72">
        <f t="shared" si="8"/>
        <v>0</v>
      </c>
      <c r="K324" s="17"/>
      <c r="L324" s="16" t="s">
        <v>18</v>
      </c>
      <c r="M324" s="16" t="s">
        <v>22</v>
      </c>
      <c r="N324" s="39" t="s">
        <v>418</v>
      </c>
      <c r="O324" s="20"/>
    </row>
    <row r="325" spans="1:15" s="12" customFormat="1" ht="18">
      <c r="A325" s="178" t="s">
        <v>80</v>
      </c>
      <c r="B325" s="75" t="s">
        <v>1533</v>
      </c>
      <c r="C325" s="176" t="s">
        <v>17</v>
      </c>
      <c r="D325" s="236"/>
      <c r="E325" s="236"/>
      <c r="F325" s="236"/>
      <c r="G325" s="236"/>
      <c r="H325" s="236">
        <f>SUM(Tabla13211242[[#This Row],[PRIMER TRIMESTRE]:[CUARTO TRIMESTRE]])</f>
        <v>0</v>
      </c>
      <c r="I325" s="72">
        <v>845.5</v>
      </c>
      <c r="J325" s="72">
        <f t="shared" si="8"/>
        <v>0</v>
      </c>
      <c r="K325" s="17"/>
      <c r="L325" s="16" t="s">
        <v>18</v>
      </c>
      <c r="M325" s="16" t="s">
        <v>22</v>
      </c>
      <c r="N325" s="39" t="s">
        <v>418</v>
      </c>
      <c r="O325" s="20"/>
    </row>
    <row r="326" spans="1:15" s="12" customFormat="1" ht="18">
      <c r="A326" s="178" t="s">
        <v>80</v>
      </c>
      <c r="B326" s="75" t="s">
        <v>1535</v>
      </c>
      <c r="C326" s="176" t="s">
        <v>17</v>
      </c>
      <c r="D326" s="236"/>
      <c r="E326" s="236"/>
      <c r="F326" s="236"/>
      <c r="G326" s="236"/>
      <c r="H326" s="236">
        <f>SUM(Tabla13211242[[#This Row],[PRIMER TRIMESTRE]:[CUARTO TRIMESTRE]])</f>
        <v>0</v>
      </c>
      <c r="I326" s="72">
        <v>3192.99</v>
      </c>
      <c r="J326" s="72">
        <f t="shared" si="8"/>
        <v>0</v>
      </c>
      <c r="K326" s="17"/>
      <c r="L326" s="16" t="s">
        <v>18</v>
      </c>
      <c r="M326" s="16" t="s">
        <v>22</v>
      </c>
      <c r="N326" s="39" t="s">
        <v>418</v>
      </c>
      <c r="O326" s="20"/>
    </row>
    <row r="327" spans="1:15" s="12" customFormat="1" ht="18">
      <c r="A327" s="178" t="s">
        <v>80</v>
      </c>
      <c r="B327" s="75" t="s">
        <v>1724</v>
      </c>
      <c r="C327" s="176" t="s">
        <v>17</v>
      </c>
      <c r="D327" s="236"/>
      <c r="E327" s="236"/>
      <c r="F327" s="236"/>
      <c r="G327" s="236"/>
      <c r="H327" s="40">
        <v>0</v>
      </c>
      <c r="I327" s="72">
        <v>0</v>
      </c>
      <c r="J327" s="72">
        <v>0</v>
      </c>
      <c r="K327" s="17"/>
      <c r="L327" s="16" t="s">
        <v>18</v>
      </c>
      <c r="M327" s="16" t="s">
        <v>22</v>
      </c>
      <c r="N327" s="39" t="s">
        <v>418</v>
      </c>
      <c r="O327" s="20"/>
    </row>
    <row r="328" spans="1:15" s="12" customFormat="1" ht="51">
      <c r="A328" s="178" t="s">
        <v>80</v>
      </c>
      <c r="B328" s="75" t="s">
        <v>1536</v>
      </c>
      <c r="C328" s="176" t="s">
        <v>17</v>
      </c>
      <c r="D328" s="236"/>
      <c r="E328" s="236"/>
      <c r="F328" s="236"/>
      <c r="G328" s="236"/>
      <c r="H328" s="236">
        <f>SUM(Tabla13211242[[#This Row],[PRIMER TRIMESTRE]:[CUARTO TRIMESTRE]])</f>
        <v>0</v>
      </c>
      <c r="I328" s="72">
        <v>45017.279999999999</v>
      </c>
      <c r="J328" s="72">
        <f t="shared" si="8"/>
        <v>0</v>
      </c>
      <c r="K328" s="17"/>
      <c r="L328" s="16" t="s">
        <v>18</v>
      </c>
      <c r="M328" s="16" t="s">
        <v>22</v>
      </c>
      <c r="N328" s="39" t="s">
        <v>418</v>
      </c>
      <c r="O328" s="20"/>
    </row>
    <row r="329" spans="1:15" s="12" customFormat="1" ht="18">
      <c r="A329" s="178" t="s">
        <v>80</v>
      </c>
      <c r="B329" s="75" t="s">
        <v>1340</v>
      </c>
      <c r="C329" s="39" t="s">
        <v>17</v>
      </c>
      <c r="D329" s="236"/>
      <c r="E329" s="236"/>
      <c r="F329" s="236"/>
      <c r="G329" s="236"/>
      <c r="H329" s="40">
        <f>SUM(Tabla13211242[[#This Row],[PRIMER TRIMESTRE]:[CUARTO TRIMESTRE]])</f>
        <v>0</v>
      </c>
      <c r="I329" s="72">
        <v>348.1</v>
      </c>
      <c r="J329" s="17">
        <f t="shared" si="8"/>
        <v>0</v>
      </c>
      <c r="K329" s="17"/>
      <c r="L329" s="16" t="s">
        <v>18</v>
      </c>
      <c r="M329" s="16" t="s">
        <v>22</v>
      </c>
      <c r="N329" s="39" t="s">
        <v>418</v>
      </c>
      <c r="O329" s="20"/>
    </row>
    <row r="330" spans="1:15" s="12" customFormat="1" ht="18">
      <c r="A330" s="178" t="s">
        <v>80</v>
      </c>
      <c r="B330" s="75" t="s">
        <v>1537</v>
      </c>
      <c r="C330" s="39" t="s">
        <v>17</v>
      </c>
      <c r="D330" s="236"/>
      <c r="E330" s="236"/>
      <c r="F330" s="236"/>
      <c r="G330" s="236"/>
      <c r="H330" s="236">
        <f>SUM(Tabla13211242[[#This Row],[PRIMER TRIMESTRE]:[CUARTO TRIMESTRE]])</f>
        <v>0</v>
      </c>
      <c r="I330" s="72">
        <v>7623.81</v>
      </c>
      <c r="J330" s="72">
        <f t="shared" si="8"/>
        <v>0</v>
      </c>
      <c r="K330" s="17"/>
      <c r="L330" s="16" t="s">
        <v>18</v>
      </c>
      <c r="M330" s="16" t="s">
        <v>22</v>
      </c>
      <c r="N330" s="39" t="s">
        <v>418</v>
      </c>
      <c r="O330" s="20"/>
    </row>
    <row r="331" spans="1:15" s="12" customFormat="1" ht="18">
      <c r="A331" s="178" t="s">
        <v>80</v>
      </c>
      <c r="B331" s="75" t="s">
        <v>1341</v>
      </c>
      <c r="C331" s="39" t="s">
        <v>17</v>
      </c>
      <c r="D331" s="236"/>
      <c r="E331" s="236"/>
      <c r="F331" s="236"/>
      <c r="G331" s="236"/>
      <c r="H331" s="40">
        <f>SUM(Tabla13211242[[#This Row],[PRIMER TRIMESTRE]:[CUARTO TRIMESTRE]])</f>
        <v>0</v>
      </c>
      <c r="I331" s="72">
        <v>88.5</v>
      </c>
      <c r="J331" s="17">
        <f t="shared" si="8"/>
        <v>0</v>
      </c>
      <c r="K331" s="17"/>
      <c r="L331" s="16" t="s">
        <v>18</v>
      </c>
      <c r="M331" s="16" t="s">
        <v>22</v>
      </c>
      <c r="N331" s="39" t="s">
        <v>418</v>
      </c>
      <c r="O331" s="20"/>
    </row>
    <row r="332" spans="1:15" s="12" customFormat="1" ht="18">
      <c r="A332" s="178" t="s">
        <v>80</v>
      </c>
      <c r="B332" s="75" t="s">
        <v>1342</v>
      </c>
      <c r="C332" s="39" t="s">
        <v>17</v>
      </c>
      <c r="D332" s="236"/>
      <c r="E332" s="236"/>
      <c r="F332" s="236"/>
      <c r="G332" s="236"/>
      <c r="H332" s="40">
        <f>SUM(Tabla13211242[[#This Row],[PRIMER TRIMESTRE]:[CUARTO TRIMESTRE]])</f>
        <v>0</v>
      </c>
      <c r="I332" s="72">
        <v>165.2</v>
      </c>
      <c r="J332" s="17">
        <f t="shared" si="8"/>
        <v>0</v>
      </c>
      <c r="K332" s="17"/>
      <c r="L332" s="16" t="s">
        <v>18</v>
      </c>
      <c r="M332" s="16" t="s">
        <v>22</v>
      </c>
      <c r="N332" s="39" t="s">
        <v>418</v>
      </c>
      <c r="O332" s="20"/>
    </row>
    <row r="333" spans="1:15" s="12" customFormat="1" ht="18">
      <c r="A333" s="178" t="s">
        <v>80</v>
      </c>
      <c r="B333" s="75" t="s">
        <v>1343</v>
      </c>
      <c r="C333" s="39" t="s">
        <v>17</v>
      </c>
      <c r="D333" s="236"/>
      <c r="E333" s="236"/>
      <c r="F333" s="236"/>
      <c r="G333" s="236"/>
      <c r="H333" s="40">
        <f>SUM(Tabla13211242[[#This Row],[PRIMER TRIMESTRE]:[CUARTO TRIMESTRE]])</f>
        <v>0</v>
      </c>
      <c r="I333" s="72">
        <v>855.5</v>
      </c>
      <c r="J333" s="17">
        <f t="shared" si="8"/>
        <v>0</v>
      </c>
      <c r="K333" s="17"/>
      <c r="L333" s="16" t="s">
        <v>18</v>
      </c>
      <c r="M333" s="16" t="s">
        <v>22</v>
      </c>
      <c r="N333" s="39" t="s">
        <v>418</v>
      </c>
      <c r="O333" s="20"/>
    </row>
    <row r="334" spans="1:15" s="12" customFormat="1" ht="18">
      <c r="A334" s="178" t="s">
        <v>80</v>
      </c>
      <c r="B334" s="75" t="s">
        <v>571</v>
      </c>
      <c r="C334" s="39" t="s">
        <v>17</v>
      </c>
      <c r="D334" s="236"/>
      <c r="E334" s="236"/>
      <c r="F334" s="236"/>
      <c r="G334" s="236"/>
      <c r="H334" s="40">
        <f>SUM(Tabla13211242[[#This Row],[PRIMER TRIMESTRE]:[CUARTO TRIMESTRE]])</f>
        <v>0</v>
      </c>
      <c r="I334" s="17">
        <v>12159.7</v>
      </c>
      <c r="J334" s="17">
        <f>+Tabla13211242[[#This Row],[CANTIDAD TOTAL]]*Tabla13211242[[#This Row],[PRECIO UNITARIO ESTIMADO]]</f>
        <v>0</v>
      </c>
      <c r="K334" s="17"/>
      <c r="L334" s="16" t="s">
        <v>18</v>
      </c>
      <c r="M334" s="16" t="s">
        <v>22</v>
      </c>
      <c r="N334" s="39" t="s">
        <v>418</v>
      </c>
      <c r="O334" s="20"/>
    </row>
    <row r="335" spans="1:15" s="12" customFormat="1" ht="18">
      <c r="A335" s="178" t="s">
        <v>80</v>
      </c>
      <c r="B335" s="75" t="s">
        <v>186</v>
      </c>
      <c r="C335" s="39" t="s">
        <v>17</v>
      </c>
      <c r="D335" s="236"/>
      <c r="E335" s="236"/>
      <c r="F335" s="236"/>
      <c r="G335" s="236"/>
      <c r="H335" s="40">
        <f>SUM(Tabla13211242[[#This Row],[PRIMER TRIMESTRE]:[CUARTO TRIMESTRE]])</f>
        <v>0</v>
      </c>
      <c r="I335" s="17">
        <v>2600</v>
      </c>
      <c r="J335" s="17">
        <f>+Tabla13211242[[#This Row],[CANTIDAD TOTAL]]*Tabla13211242[[#This Row],[PRECIO UNITARIO ESTIMADO]]</f>
        <v>0</v>
      </c>
      <c r="K335" s="17"/>
      <c r="L335" s="16" t="s">
        <v>18</v>
      </c>
      <c r="M335" s="16" t="s">
        <v>22</v>
      </c>
      <c r="N335" s="39" t="s">
        <v>418</v>
      </c>
      <c r="O335" s="20"/>
    </row>
    <row r="336" spans="1:15" s="12" customFormat="1" ht="18">
      <c r="A336" s="178" t="s">
        <v>80</v>
      </c>
      <c r="B336" s="75" t="s">
        <v>1550</v>
      </c>
      <c r="C336" s="39" t="s">
        <v>17</v>
      </c>
      <c r="D336" s="236"/>
      <c r="E336" s="236"/>
      <c r="F336" s="236"/>
      <c r="G336" s="236"/>
      <c r="H336" s="236">
        <f>SUM(Tabla13211242[[#This Row],[PRIMER TRIMESTRE]:[CUARTO TRIMESTRE]])</f>
        <v>0</v>
      </c>
      <c r="I336" s="17">
        <v>317.27</v>
      </c>
      <c r="J336" s="17">
        <f>+H336*I336</f>
        <v>0</v>
      </c>
      <c r="K336" s="17"/>
      <c r="L336" s="16" t="s">
        <v>18</v>
      </c>
      <c r="M336" s="16" t="s">
        <v>22</v>
      </c>
      <c r="N336" s="39" t="s">
        <v>418</v>
      </c>
      <c r="O336" s="20"/>
    </row>
    <row r="337" spans="1:15" s="12" customFormat="1" ht="18">
      <c r="A337" s="178" t="s">
        <v>80</v>
      </c>
      <c r="B337" s="75" t="s">
        <v>148</v>
      </c>
      <c r="C337" s="39" t="s">
        <v>149</v>
      </c>
      <c r="D337" s="236"/>
      <c r="E337" s="236"/>
      <c r="F337" s="236"/>
      <c r="G337" s="236"/>
      <c r="H337" s="40">
        <f>SUM(Tabla13211242[[#This Row],[PRIMER TRIMESTRE]:[CUARTO TRIMESTRE]])</f>
        <v>0</v>
      </c>
      <c r="I337" s="17">
        <v>127.6</v>
      </c>
      <c r="J337" s="17">
        <f>+Tabla13211242[[#This Row],[CANTIDAD TOTAL]]*Tabla13211242[[#This Row],[PRECIO UNITARIO ESTIMADO]]</f>
        <v>0</v>
      </c>
      <c r="K337" s="17"/>
      <c r="L337" s="16" t="s">
        <v>18</v>
      </c>
      <c r="M337" s="16" t="s">
        <v>22</v>
      </c>
      <c r="N337" s="39" t="s">
        <v>418</v>
      </c>
      <c r="O337" s="20"/>
    </row>
    <row r="338" spans="1:15" s="12" customFormat="1" ht="18">
      <c r="A338" s="178" t="s">
        <v>80</v>
      </c>
      <c r="B338" s="75" t="s">
        <v>1430</v>
      </c>
      <c r="C338" s="39" t="s">
        <v>290</v>
      </c>
      <c r="D338" s="236"/>
      <c r="E338" s="236"/>
      <c r="F338" s="236"/>
      <c r="G338" s="236"/>
      <c r="H338" s="40">
        <f>SUM(Tabla13211242[[#This Row],[PRIMER TRIMESTRE]:[CUARTO TRIMESTRE]])</f>
        <v>0</v>
      </c>
      <c r="I338" s="17">
        <v>793.52</v>
      </c>
      <c r="J338" s="17">
        <f>+Tabla13211242[[#This Row],[CANTIDAD TOTAL]]*Tabla13211242[[#This Row],[PRECIO UNITARIO ESTIMADO]]</f>
        <v>0</v>
      </c>
      <c r="K338" s="17"/>
      <c r="L338" s="16" t="s">
        <v>18</v>
      </c>
      <c r="M338" s="16" t="s">
        <v>22</v>
      </c>
      <c r="N338" s="39" t="s">
        <v>418</v>
      </c>
      <c r="O338" s="20"/>
    </row>
    <row r="339" spans="1:15" s="12" customFormat="1" ht="18">
      <c r="A339" s="178" t="s">
        <v>80</v>
      </c>
      <c r="B339" s="75" t="s">
        <v>439</v>
      </c>
      <c r="C339" s="39" t="s">
        <v>149</v>
      </c>
      <c r="D339" s="236"/>
      <c r="E339" s="236"/>
      <c r="F339" s="236"/>
      <c r="G339" s="236"/>
      <c r="H339" s="40">
        <f>SUM(Tabla13211242[[#This Row],[PRIMER TRIMESTRE]:[CUARTO TRIMESTRE]])</f>
        <v>0</v>
      </c>
      <c r="I339" s="17">
        <v>123.91</v>
      </c>
      <c r="J339" s="17">
        <f>+Tabla13211242[[#This Row],[CANTIDAD TOTAL]]*Tabla13211242[[#This Row],[PRECIO UNITARIO ESTIMADO]]</f>
        <v>0</v>
      </c>
      <c r="K339" s="17"/>
      <c r="L339" s="16" t="s">
        <v>18</v>
      </c>
      <c r="M339" s="16" t="s">
        <v>22</v>
      </c>
      <c r="N339" s="39" t="s">
        <v>418</v>
      </c>
      <c r="O339" s="20"/>
    </row>
    <row r="340" spans="1:15" s="12" customFormat="1" ht="18">
      <c r="A340" s="178" t="s">
        <v>80</v>
      </c>
      <c r="B340" s="75" t="s">
        <v>1553</v>
      </c>
      <c r="C340" s="39" t="s">
        <v>17</v>
      </c>
      <c r="D340" s="236"/>
      <c r="E340" s="236"/>
      <c r="F340" s="236"/>
      <c r="G340" s="236"/>
      <c r="H340" s="236">
        <f>SUM(Tabla13211242[[#This Row],[PRIMER TRIMESTRE]:[CUARTO TRIMESTRE]])</f>
        <v>0</v>
      </c>
      <c r="I340" s="17">
        <v>536.16999999999996</v>
      </c>
      <c r="J340" s="17">
        <f>+H340*I340</f>
        <v>0</v>
      </c>
      <c r="K340" s="17"/>
      <c r="L340" s="16" t="s">
        <v>18</v>
      </c>
      <c r="M340" s="16" t="s">
        <v>22</v>
      </c>
      <c r="N340" s="39" t="s">
        <v>418</v>
      </c>
      <c r="O340" s="20"/>
    </row>
    <row r="341" spans="1:15" s="12" customFormat="1" ht="25.5">
      <c r="A341" s="178" t="s">
        <v>80</v>
      </c>
      <c r="B341" s="75" t="s">
        <v>1538</v>
      </c>
      <c r="C341" s="39" t="s">
        <v>149</v>
      </c>
      <c r="D341" s="236"/>
      <c r="E341" s="236"/>
      <c r="F341" s="236"/>
      <c r="G341" s="236"/>
      <c r="H341" s="236">
        <f>SUM(Tabla13211242[[#This Row],[PRIMER TRIMESTRE]:[CUARTO TRIMESTRE]])</f>
        <v>0</v>
      </c>
      <c r="I341" s="17">
        <v>560</v>
      </c>
      <c r="J341" s="17">
        <f>+H341*I341</f>
        <v>0</v>
      </c>
      <c r="K341" s="17"/>
      <c r="L341" s="16" t="s">
        <v>18</v>
      </c>
      <c r="M341" s="16" t="s">
        <v>22</v>
      </c>
      <c r="N341" s="39" t="s">
        <v>418</v>
      </c>
      <c r="O341" s="20"/>
    </row>
    <row r="342" spans="1:15" s="12" customFormat="1" ht="18">
      <c r="A342" s="178" t="s">
        <v>80</v>
      </c>
      <c r="B342" s="75" t="s">
        <v>471</v>
      </c>
      <c r="C342" s="39" t="s">
        <v>17</v>
      </c>
      <c r="D342" s="236"/>
      <c r="E342" s="210"/>
      <c r="F342" s="236"/>
      <c r="G342" s="236"/>
      <c r="H342" s="40">
        <f>SUM(Tabla13211242[[#This Row],[PRIMER TRIMESTRE]:[CUARTO TRIMESTRE]])</f>
        <v>0</v>
      </c>
      <c r="I342" s="17">
        <v>55.38</v>
      </c>
      <c r="J342" s="17">
        <f>+Tabla13211242[[#This Row],[CANTIDAD TOTAL]]*Tabla13211242[[#This Row],[PRECIO UNITARIO ESTIMADO]]</f>
        <v>0</v>
      </c>
      <c r="K342" s="17"/>
      <c r="L342" s="16" t="s">
        <v>18</v>
      </c>
      <c r="M342" s="16" t="s">
        <v>22</v>
      </c>
      <c r="N342" s="39" t="s">
        <v>418</v>
      </c>
      <c r="O342" s="20"/>
    </row>
    <row r="343" spans="1:15" s="12" customFormat="1" ht="18">
      <c r="A343" s="178" t="s">
        <v>80</v>
      </c>
      <c r="B343" s="75" t="s">
        <v>1348</v>
      </c>
      <c r="C343" s="39" t="s">
        <v>17</v>
      </c>
      <c r="D343" s="236"/>
      <c r="E343" s="210"/>
      <c r="F343" s="236"/>
      <c r="G343" s="236"/>
      <c r="H343" s="40">
        <f>SUM(Tabla13211242[[#This Row],[PRIMER TRIMESTRE]:[CUARTO TRIMESTRE]])</f>
        <v>0</v>
      </c>
      <c r="I343" s="17">
        <v>85</v>
      </c>
      <c r="J343" s="17">
        <f t="shared" ref="J343:J378" si="9">+H343*I343</f>
        <v>0</v>
      </c>
      <c r="K343" s="17"/>
      <c r="L343" s="16" t="s">
        <v>18</v>
      </c>
      <c r="M343" s="16" t="s">
        <v>22</v>
      </c>
      <c r="N343" s="39" t="s">
        <v>418</v>
      </c>
      <c r="O343" s="20"/>
    </row>
    <row r="344" spans="1:15" s="12" customFormat="1" ht="18">
      <c r="A344" s="178" t="s">
        <v>80</v>
      </c>
      <c r="B344" s="75" t="s">
        <v>1591</v>
      </c>
      <c r="C344" s="39" t="s">
        <v>17</v>
      </c>
      <c r="D344" s="236"/>
      <c r="E344" s="210"/>
      <c r="F344" s="236"/>
      <c r="G344" s="236"/>
      <c r="H344" s="40">
        <f>SUM(Tabla13211242[[#This Row],[PRIMER TRIMESTRE]:[CUARTO TRIMESTRE]])</f>
        <v>0</v>
      </c>
      <c r="I344" s="17">
        <v>196.4</v>
      </c>
      <c r="J344" s="17">
        <f t="shared" si="9"/>
        <v>0</v>
      </c>
      <c r="K344" s="17"/>
      <c r="L344" s="16" t="s">
        <v>18</v>
      </c>
      <c r="M344" s="16" t="s">
        <v>22</v>
      </c>
      <c r="N344" s="39" t="s">
        <v>418</v>
      </c>
      <c r="O344" s="20"/>
    </row>
    <row r="345" spans="1:15" s="12" customFormat="1" ht="18">
      <c r="A345" s="178" t="s">
        <v>80</v>
      </c>
      <c r="B345" s="75" t="s">
        <v>1349</v>
      </c>
      <c r="C345" s="39" t="s">
        <v>17</v>
      </c>
      <c r="D345" s="236"/>
      <c r="E345" s="210"/>
      <c r="F345" s="236"/>
      <c r="G345" s="236"/>
      <c r="H345" s="40">
        <f>SUM(Tabla13211242[[#This Row],[PRIMER TRIMESTRE]:[CUARTO TRIMESTRE]])</f>
        <v>0</v>
      </c>
      <c r="I345" s="17">
        <v>55</v>
      </c>
      <c r="J345" s="17">
        <f t="shared" si="9"/>
        <v>0</v>
      </c>
      <c r="K345" s="17"/>
      <c r="L345" s="16" t="s">
        <v>18</v>
      </c>
      <c r="M345" s="16" t="s">
        <v>22</v>
      </c>
      <c r="N345" s="39" t="s">
        <v>418</v>
      </c>
      <c r="O345" s="20"/>
    </row>
    <row r="346" spans="1:15" s="12" customFormat="1" ht="18">
      <c r="A346" s="178" t="s">
        <v>80</v>
      </c>
      <c r="B346" s="75" t="s">
        <v>1711</v>
      </c>
      <c r="C346" s="39" t="s">
        <v>17</v>
      </c>
      <c r="D346" s="236"/>
      <c r="E346" s="210"/>
      <c r="F346" s="236"/>
      <c r="G346" s="236"/>
      <c r="H346" s="40">
        <v>0</v>
      </c>
      <c r="I346" s="17">
        <v>0</v>
      </c>
      <c r="J346" s="17">
        <v>0</v>
      </c>
      <c r="K346" s="17"/>
      <c r="L346" s="16" t="s">
        <v>18</v>
      </c>
      <c r="M346" s="16" t="s">
        <v>22</v>
      </c>
      <c r="N346" s="39" t="s">
        <v>418</v>
      </c>
      <c r="O346" s="20"/>
    </row>
    <row r="347" spans="1:15" s="12" customFormat="1" ht="18">
      <c r="A347" s="178" t="s">
        <v>80</v>
      </c>
      <c r="B347" s="75" t="s">
        <v>1563</v>
      </c>
      <c r="C347" s="39" t="s">
        <v>17</v>
      </c>
      <c r="D347" s="236"/>
      <c r="E347" s="236"/>
      <c r="F347" s="236"/>
      <c r="G347" s="236"/>
      <c r="H347" s="236">
        <f>SUM(Tabla13211242[[#This Row],[PRIMER TRIMESTRE]:[CUARTO TRIMESTRE]])</f>
        <v>0</v>
      </c>
      <c r="I347" s="17">
        <v>108.41</v>
      </c>
      <c r="J347" s="17">
        <f t="shared" si="9"/>
        <v>0</v>
      </c>
      <c r="K347" s="17"/>
      <c r="L347" s="16" t="s">
        <v>18</v>
      </c>
      <c r="M347" s="16" t="s">
        <v>22</v>
      </c>
      <c r="N347" s="39" t="s">
        <v>418</v>
      </c>
      <c r="O347" s="20"/>
    </row>
    <row r="348" spans="1:15" s="12" customFormat="1" ht="18">
      <c r="A348" s="178" t="s">
        <v>80</v>
      </c>
      <c r="B348" s="75" t="s">
        <v>1562</v>
      </c>
      <c r="C348" s="39" t="s">
        <v>17</v>
      </c>
      <c r="D348" s="236"/>
      <c r="E348" s="236"/>
      <c r="F348" s="236"/>
      <c r="G348" s="236"/>
      <c r="H348" s="236">
        <f>SUM(Tabla13211242[[#This Row],[PRIMER TRIMESTRE]:[CUARTO TRIMESTRE]])</f>
        <v>0</v>
      </c>
      <c r="I348" s="17">
        <v>23.1</v>
      </c>
      <c r="J348" s="17">
        <f t="shared" si="9"/>
        <v>0</v>
      </c>
      <c r="K348" s="17"/>
      <c r="L348" s="16" t="s">
        <v>18</v>
      </c>
      <c r="M348" s="16" t="s">
        <v>22</v>
      </c>
      <c r="N348" s="39" t="s">
        <v>418</v>
      </c>
      <c r="O348" s="20"/>
    </row>
    <row r="349" spans="1:15" s="12" customFormat="1" ht="18">
      <c r="A349" s="178" t="s">
        <v>80</v>
      </c>
      <c r="B349" s="75" t="s">
        <v>1350</v>
      </c>
      <c r="C349" s="39" t="s">
        <v>17</v>
      </c>
      <c r="D349" s="236"/>
      <c r="E349" s="210"/>
      <c r="F349" s="236"/>
      <c r="G349" s="236"/>
      <c r="H349" s="40">
        <f>SUM(Tabla13211242[[#This Row],[PRIMER TRIMESTRE]:[CUARTO TRIMESTRE]])</f>
        <v>0</v>
      </c>
      <c r="I349" s="17">
        <v>210</v>
      </c>
      <c r="J349" s="17">
        <f t="shared" si="9"/>
        <v>0</v>
      </c>
      <c r="K349" s="17"/>
      <c r="L349" s="16" t="s">
        <v>18</v>
      </c>
      <c r="M349" s="16" t="s">
        <v>22</v>
      </c>
      <c r="N349" s="39" t="s">
        <v>418</v>
      </c>
      <c r="O349" s="20"/>
    </row>
    <row r="350" spans="1:15" s="12" customFormat="1" ht="18">
      <c r="A350" s="178" t="s">
        <v>80</v>
      </c>
      <c r="B350" s="75" t="s">
        <v>644</v>
      </c>
      <c r="C350" s="39" t="s">
        <v>17</v>
      </c>
      <c r="D350" s="236"/>
      <c r="E350" s="236"/>
      <c r="F350" s="236"/>
      <c r="G350" s="240"/>
      <c r="H350" s="40">
        <f>SUM(Tabla13211242[[#This Row],[PRIMER TRIMESTRE]:[CUARTO TRIMESTRE]])</f>
        <v>0</v>
      </c>
      <c r="I350" s="17">
        <v>731.35</v>
      </c>
      <c r="J350" s="17">
        <f t="shared" si="9"/>
        <v>0</v>
      </c>
      <c r="K350" s="17"/>
      <c r="L350" s="16" t="s">
        <v>18</v>
      </c>
      <c r="M350" s="16" t="s">
        <v>22</v>
      </c>
      <c r="N350" s="39" t="s">
        <v>418</v>
      </c>
      <c r="O350" s="20"/>
    </row>
    <row r="351" spans="1:15" s="12" customFormat="1" ht="18">
      <c r="A351" s="178" t="s">
        <v>80</v>
      </c>
      <c r="B351" s="75" t="s">
        <v>645</v>
      </c>
      <c r="C351" s="39" t="s">
        <v>17</v>
      </c>
      <c r="D351" s="236"/>
      <c r="E351" s="236"/>
      <c r="F351" s="236"/>
      <c r="G351" s="240"/>
      <c r="H351" s="40">
        <f>SUM(Tabla13211242[[#This Row],[PRIMER TRIMESTRE]:[CUARTO TRIMESTRE]])</f>
        <v>0</v>
      </c>
      <c r="I351" s="17">
        <v>1013.28</v>
      </c>
      <c r="J351" s="17">
        <f t="shared" si="9"/>
        <v>0</v>
      </c>
      <c r="K351" s="17"/>
      <c r="L351" s="16" t="s">
        <v>18</v>
      </c>
      <c r="M351" s="16" t="s">
        <v>22</v>
      </c>
      <c r="N351" s="39" t="s">
        <v>418</v>
      </c>
      <c r="O351" s="20"/>
    </row>
    <row r="352" spans="1:15" s="12" customFormat="1" ht="18">
      <c r="A352" s="178" t="s">
        <v>80</v>
      </c>
      <c r="B352" s="75" t="s">
        <v>646</v>
      </c>
      <c r="C352" s="39" t="s">
        <v>17</v>
      </c>
      <c r="D352" s="236"/>
      <c r="E352" s="236"/>
      <c r="F352" s="236"/>
      <c r="G352" s="240"/>
      <c r="H352" s="40">
        <f>SUM(Tabla13211242[[#This Row],[PRIMER TRIMESTRE]:[CUARTO TRIMESTRE]])</f>
        <v>0</v>
      </c>
      <c r="I352" s="17">
        <v>1196.97</v>
      </c>
      <c r="J352" s="17">
        <f t="shared" si="9"/>
        <v>0</v>
      </c>
      <c r="K352" s="17"/>
      <c r="L352" s="16" t="s">
        <v>18</v>
      </c>
      <c r="M352" s="16" t="s">
        <v>22</v>
      </c>
      <c r="N352" s="39" t="s">
        <v>418</v>
      </c>
      <c r="O352" s="20"/>
    </row>
    <row r="353" spans="1:15" s="12" customFormat="1" ht="18">
      <c r="A353" s="178" t="s">
        <v>80</v>
      </c>
      <c r="B353" s="75" t="s">
        <v>647</v>
      </c>
      <c r="C353" s="39" t="s">
        <v>17</v>
      </c>
      <c r="D353" s="236"/>
      <c r="E353" s="236"/>
      <c r="F353" s="236"/>
      <c r="G353" s="240"/>
      <c r="H353" s="40">
        <f>SUM(Tabla13211242[[#This Row],[PRIMER TRIMESTRE]:[CUARTO TRIMESTRE]])</f>
        <v>0</v>
      </c>
      <c r="I353" s="17">
        <v>1882.41</v>
      </c>
      <c r="J353" s="17">
        <f t="shared" si="9"/>
        <v>0</v>
      </c>
      <c r="K353" s="17"/>
      <c r="L353" s="16" t="s">
        <v>18</v>
      </c>
      <c r="M353" s="16" t="s">
        <v>22</v>
      </c>
      <c r="N353" s="39" t="s">
        <v>418</v>
      </c>
      <c r="O353" s="20"/>
    </row>
    <row r="354" spans="1:15" s="12" customFormat="1" ht="18">
      <c r="A354" s="178" t="s">
        <v>80</v>
      </c>
      <c r="B354" s="75" t="s">
        <v>648</v>
      </c>
      <c r="C354" s="39" t="s">
        <v>17</v>
      </c>
      <c r="D354" s="236"/>
      <c r="E354" s="236"/>
      <c r="F354" s="236"/>
      <c r="G354" s="240"/>
      <c r="H354" s="40">
        <f>SUM(Tabla13211242[[#This Row],[PRIMER TRIMESTRE]:[CUARTO TRIMESTRE]])</f>
        <v>0</v>
      </c>
      <c r="I354" s="17">
        <v>2110.4699999999998</v>
      </c>
      <c r="J354" s="17">
        <f t="shared" si="9"/>
        <v>0</v>
      </c>
      <c r="K354" s="17"/>
      <c r="L354" s="16" t="s">
        <v>18</v>
      </c>
      <c r="M354" s="16" t="s">
        <v>22</v>
      </c>
      <c r="N354" s="39" t="s">
        <v>418</v>
      </c>
      <c r="O354" s="20"/>
    </row>
    <row r="355" spans="1:15" s="12" customFormat="1" ht="18">
      <c r="A355" s="178" t="s">
        <v>80</v>
      </c>
      <c r="B355" s="75" t="s">
        <v>649</v>
      </c>
      <c r="C355" s="39" t="s">
        <v>17</v>
      </c>
      <c r="D355" s="236"/>
      <c r="E355" s="236"/>
      <c r="F355" s="236"/>
      <c r="G355" s="240"/>
      <c r="H355" s="40">
        <f>SUM(Tabla13211242[[#This Row],[PRIMER TRIMESTRE]:[CUARTO TRIMESTRE]])</f>
        <v>0</v>
      </c>
      <c r="I355" s="17">
        <v>2920.5</v>
      </c>
      <c r="J355" s="17">
        <f t="shared" si="9"/>
        <v>0</v>
      </c>
      <c r="K355" s="17"/>
      <c r="L355" s="16" t="s">
        <v>18</v>
      </c>
      <c r="M355" s="16" t="s">
        <v>22</v>
      </c>
      <c r="N355" s="39" t="s">
        <v>418</v>
      </c>
      <c r="O355" s="20"/>
    </row>
    <row r="356" spans="1:15" s="12" customFormat="1" ht="18">
      <c r="A356" s="178" t="s">
        <v>80</v>
      </c>
      <c r="B356" s="75" t="s">
        <v>650</v>
      </c>
      <c r="C356" s="39" t="s">
        <v>17</v>
      </c>
      <c r="D356" s="236"/>
      <c r="E356" s="236"/>
      <c r="F356" s="236"/>
      <c r="G356" s="240"/>
      <c r="H356" s="40">
        <f>SUM(Tabla13211242[[#This Row],[PRIMER TRIMESTRE]:[CUARTO TRIMESTRE]])</f>
        <v>0</v>
      </c>
      <c r="I356" s="17">
        <v>2919.76</v>
      </c>
      <c r="J356" s="17">
        <f t="shared" si="9"/>
        <v>0</v>
      </c>
      <c r="K356" s="17"/>
      <c r="L356" s="16" t="s">
        <v>18</v>
      </c>
      <c r="M356" s="16" t="s">
        <v>22</v>
      </c>
      <c r="N356" s="39" t="s">
        <v>418</v>
      </c>
      <c r="O356" s="20"/>
    </row>
    <row r="357" spans="1:15" s="12" customFormat="1" ht="18">
      <c r="A357" s="178" t="s">
        <v>80</v>
      </c>
      <c r="B357" s="75" t="s">
        <v>651</v>
      </c>
      <c r="C357" s="39" t="s">
        <v>17</v>
      </c>
      <c r="D357" s="236"/>
      <c r="E357" s="236"/>
      <c r="F357" s="236"/>
      <c r="G357" s="240"/>
      <c r="H357" s="40">
        <f>SUM(Tabla13211242[[#This Row],[PRIMER TRIMESTRE]:[CUARTO TRIMESTRE]])</f>
        <v>0</v>
      </c>
      <c r="I357" s="17">
        <v>5347.76</v>
      </c>
      <c r="J357" s="17">
        <f t="shared" si="9"/>
        <v>0</v>
      </c>
      <c r="K357" s="17"/>
      <c r="L357" s="16" t="s">
        <v>18</v>
      </c>
      <c r="M357" s="16" t="s">
        <v>22</v>
      </c>
      <c r="N357" s="39" t="s">
        <v>418</v>
      </c>
      <c r="O357" s="20"/>
    </row>
    <row r="358" spans="1:15" s="12" customFormat="1" ht="18">
      <c r="A358" s="178" t="s">
        <v>80</v>
      </c>
      <c r="B358" s="75" t="s">
        <v>652</v>
      </c>
      <c r="C358" s="39" t="s">
        <v>17</v>
      </c>
      <c r="D358" s="236"/>
      <c r="E358" s="236"/>
      <c r="F358" s="236"/>
      <c r="G358" s="240"/>
      <c r="H358" s="40">
        <f>SUM(Tabla13211242[[#This Row],[PRIMER TRIMESTRE]:[CUARTO TRIMESTRE]])</f>
        <v>0</v>
      </c>
      <c r="I358" s="17">
        <v>9696.06</v>
      </c>
      <c r="J358" s="17">
        <f t="shared" si="9"/>
        <v>0</v>
      </c>
      <c r="K358" s="17"/>
      <c r="L358" s="16" t="s">
        <v>18</v>
      </c>
      <c r="M358" s="16" t="s">
        <v>22</v>
      </c>
      <c r="N358" s="39" t="s">
        <v>418</v>
      </c>
      <c r="O358" s="20"/>
    </row>
    <row r="359" spans="1:15" s="12" customFormat="1" ht="18">
      <c r="A359" s="178" t="s">
        <v>80</v>
      </c>
      <c r="B359" s="75" t="s">
        <v>653</v>
      </c>
      <c r="C359" s="39" t="s">
        <v>17</v>
      </c>
      <c r="D359" s="236"/>
      <c r="E359" s="236"/>
      <c r="F359" s="236"/>
      <c r="G359" s="240"/>
      <c r="H359" s="40">
        <f>SUM(Tabla13211242[[#This Row],[PRIMER TRIMESTRE]:[CUARTO TRIMESTRE]])</f>
        <v>0</v>
      </c>
      <c r="I359" s="17">
        <v>13263.2</v>
      </c>
      <c r="J359" s="17">
        <f t="shared" si="9"/>
        <v>0</v>
      </c>
      <c r="K359" s="17"/>
      <c r="L359" s="16" t="s">
        <v>18</v>
      </c>
      <c r="M359" s="16" t="s">
        <v>22</v>
      </c>
      <c r="N359" s="39" t="s">
        <v>418</v>
      </c>
      <c r="O359" s="20"/>
    </row>
    <row r="360" spans="1:15" s="12" customFormat="1" ht="18">
      <c r="A360" s="178" t="s">
        <v>80</v>
      </c>
      <c r="B360" s="75" t="s">
        <v>351</v>
      </c>
      <c r="C360" s="39" t="s">
        <v>17</v>
      </c>
      <c r="D360" s="236"/>
      <c r="E360" s="236"/>
      <c r="F360" s="236"/>
      <c r="G360" s="240"/>
      <c r="H360" s="40">
        <f>SUM(Tabla13211242[[#This Row],[PRIMER TRIMESTRE]:[CUARTO TRIMESTRE]])</f>
        <v>0</v>
      </c>
      <c r="I360" s="17">
        <v>1800</v>
      </c>
      <c r="J360" s="17">
        <f t="shared" si="9"/>
        <v>0</v>
      </c>
      <c r="K360" s="17"/>
      <c r="L360" s="16" t="s">
        <v>18</v>
      </c>
      <c r="M360" s="16" t="s">
        <v>22</v>
      </c>
      <c r="N360" s="39" t="s">
        <v>418</v>
      </c>
      <c r="O360" s="20"/>
    </row>
    <row r="361" spans="1:15" s="12" customFormat="1" ht="18">
      <c r="A361" s="178" t="s">
        <v>80</v>
      </c>
      <c r="B361" s="75" t="s">
        <v>352</v>
      </c>
      <c r="C361" s="39" t="s">
        <v>17</v>
      </c>
      <c r="D361" s="236"/>
      <c r="E361" s="236"/>
      <c r="F361" s="236"/>
      <c r="G361" s="240"/>
      <c r="H361" s="40">
        <f>SUM(Tabla13211242[[#This Row],[PRIMER TRIMESTRE]:[CUARTO TRIMESTRE]])</f>
        <v>0</v>
      </c>
      <c r="I361" s="17">
        <v>2000</v>
      </c>
      <c r="J361" s="17">
        <f t="shared" si="9"/>
        <v>0</v>
      </c>
      <c r="K361" s="17"/>
      <c r="L361" s="16" t="s">
        <v>18</v>
      </c>
      <c r="M361" s="16" t="s">
        <v>22</v>
      </c>
      <c r="N361" s="39" t="s">
        <v>418</v>
      </c>
      <c r="O361" s="20"/>
    </row>
    <row r="362" spans="1:15" s="12" customFormat="1" ht="18">
      <c r="A362" s="178" t="s">
        <v>80</v>
      </c>
      <c r="B362" s="75" t="s">
        <v>345</v>
      </c>
      <c r="C362" s="39" t="s">
        <v>17</v>
      </c>
      <c r="D362" s="236"/>
      <c r="E362" s="236"/>
      <c r="F362" s="236"/>
      <c r="G362" s="240"/>
      <c r="H362" s="40">
        <f>SUM(Tabla13211242[[#This Row],[PRIMER TRIMESTRE]:[CUARTO TRIMESTRE]])</f>
        <v>0</v>
      </c>
      <c r="I362" s="17">
        <v>2500</v>
      </c>
      <c r="J362" s="17">
        <f t="shared" si="9"/>
        <v>0</v>
      </c>
      <c r="K362" s="17"/>
      <c r="L362" s="16" t="s">
        <v>18</v>
      </c>
      <c r="M362" s="16" t="s">
        <v>22</v>
      </c>
      <c r="N362" s="39" t="s">
        <v>418</v>
      </c>
      <c r="O362" s="20"/>
    </row>
    <row r="363" spans="1:15" s="12" customFormat="1" ht="18">
      <c r="A363" s="178" t="s">
        <v>80</v>
      </c>
      <c r="B363" s="75" t="s">
        <v>346</v>
      </c>
      <c r="C363" s="39" t="s">
        <v>17</v>
      </c>
      <c r="D363" s="236"/>
      <c r="E363" s="236"/>
      <c r="F363" s="236"/>
      <c r="G363" s="240"/>
      <c r="H363" s="40">
        <f>SUM(Tabla13211242[[#This Row],[PRIMER TRIMESTRE]:[CUARTO TRIMESTRE]])</f>
        <v>0</v>
      </c>
      <c r="I363" s="17">
        <v>3100</v>
      </c>
      <c r="J363" s="17">
        <f t="shared" si="9"/>
        <v>0</v>
      </c>
      <c r="K363" s="17"/>
      <c r="L363" s="16" t="s">
        <v>18</v>
      </c>
      <c r="M363" s="16" t="s">
        <v>22</v>
      </c>
      <c r="N363" s="39" t="s">
        <v>418</v>
      </c>
      <c r="O363" s="20"/>
    </row>
    <row r="364" spans="1:15" s="12" customFormat="1" ht="18">
      <c r="A364" s="178" t="s">
        <v>80</v>
      </c>
      <c r="B364" s="75" t="s">
        <v>347</v>
      </c>
      <c r="C364" s="39" t="s">
        <v>17</v>
      </c>
      <c r="D364" s="236"/>
      <c r="E364" s="236"/>
      <c r="F364" s="236"/>
      <c r="G364" s="240"/>
      <c r="H364" s="40">
        <f>SUM(Tabla13211242[[#This Row],[PRIMER TRIMESTRE]:[CUARTO TRIMESTRE]])</f>
        <v>0</v>
      </c>
      <c r="I364" s="17">
        <v>4100</v>
      </c>
      <c r="J364" s="17">
        <f t="shared" si="9"/>
        <v>0</v>
      </c>
      <c r="K364" s="17"/>
      <c r="L364" s="16" t="s">
        <v>18</v>
      </c>
      <c r="M364" s="16" t="s">
        <v>22</v>
      </c>
      <c r="N364" s="39" t="s">
        <v>418</v>
      </c>
      <c r="O364" s="20"/>
    </row>
    <row r="365" spans="1:15" s="12" customFormat="1" ht="18">
      <c r="A365" s="178" t="s">
        <v>80</v>
      </c>
      <c r="B365" s="75" t="s">
        <v>1213</v>
      </c>
      <c r="C365" s="39" t="s">
        <v>17</v>
      </c>
      <c r="D365" s="236"/>
      <c r="E365" s="236"/>
      <c r="F365" s="236"/>
      <c r="G365" s="240"/>
      <c r="H365" s="40">
        <f>SUM(Tabla13211242[[#This Row],[PRIMER TRIMESTRE]:[CUARTO TRIMESTRE]])</f>
        <v>0</v>
      </c>
      <c r="I365" s="17">
        <v>8660</v>
      </c>
      <c r="J365" s="17">
        <f t="shared" si="9"/>
        <v>0</v>
      </c>
      <c r="K365" s="17"/>
      <c r="L365" s="16" t="s">
        <v>18</v>
      </c>
      <c r="M365" s="16" t="s">
        <v>22</v>
      </c>
      <c r="N365" s="39" t="s">
        <v>418</v>
      </c>
      <c r="O365" s="20"/>
    </row>
    <row r="366" spans="1:15" s="12" customFormat="1" ht="18">
      <c r="A366" s="178" t="s">
        <v>80</v>
      </c>
      <c r="B366" s="75" t="s">
        <v>359</v>
      </c>
      <c r="C366" s="39" t="s">
        <v>17</v>
      </c>
      <c r="D366" s="236"/>
      <c r="E366" s="236"/>
      <c r="F366" s="236"/>
      <c r="G366" s="240"/>
      <c r="H366" s="40">
        <f>SUM(Tabla13211242[[#This Row],[PRIMER TRIMESTRE]:[CUARTO TRIMESTRE]])</f>
        <v>0</v>
      </c>
      <c r="I366" s="17">
        <v>1800</v>
      </c>
      <c r="J366" s="17">
        <f t="shared" si="9"/>
        <v>0</v>
      </c>
      <c r="K366" s="17"/>
      <c r="L366" s="16" t="s">
        <v>18</v>
      </c>
      <c r="M366" s="16" t="s">
        <v>22</v>
      </c>
      <c r="N366" s="39" t="s">
        <v>418</v>
      </c>
      <c r="O366" s="20"/>
    </row>
    <row r="367" spans="1:15" s="12" customFormat="1" ht="18">
      <c r="A367" s="178" t="s">
        <v>80</v>
      </c>
      <c r="B367" s="75" t="s">
        <v>360</v>
      </c>
      <c r="C367" s="39" t="s">
        <v>17</v>
      </c>
      <c r="D367" s="236"/>
      <c r="E367" s="236"/>
      <c r="F367" s="236"/>
      <c r="G367" s="240"/>
      <c r="H367" s="40">
        <f>SUM(Tabla13211242[[#This Row],[PRIMER TRIMESTRE]:[CUARTO TRIMESTRE]])</f>
        <v>0</v>
      </c>
      <c r="I367" s="17">
        <v>2000</v>
      </c>
      <c r="J367" s="17">
        <f t="shared" si="9"/>
        <v>0</v>
      </c>
      <c r="K367" s="17"/>
      <c r="L367" s="16" t="s">
        <v>18</v>
      </c>
      <c r="M367" s="16" t="s">
        <v>22</v>
      </c>
      <c r="N367" s="39" t="s">
        <v>418</v>
      </c>
      <c r="O367" s="20"/>
    </row>
    <row r="368" spans="1:15" s="12" customFormat="1" ht="18">
      <c r="A368" s="178" t="s">
        <v>80</v>
      </c>
      <c r="B368" s="75" t="s">
        <v>353</v>
      </c>
      <c r="C368" s="39" t="s">
        <v>17</v>
      </c>
      <c r="D368" s="236"/>
      <c r="E368" s="236"/>
      <c r="F368" s="236"/>
      <c r="G368" s="240"/>
      <c r="H368" s="40">
        <f>SUM(Tabla13211242[[#This Row],[PRIMER TRIMESTRE]:[CUARTO TRIMESTRE]])</f>
        <v>0</v>
      </c>
      <c r="I368" s="17">
        <v>2500</v>
      </c>
      <c r="J368" s="17">
        <f t="shared" si="9"/>
        <v>0</v>
      </c>
      <c r="K368" s="17"/>
      <c r="L368" s="16" t="s">
        <v>18</v>
      </c>
      <c r="M368" s="16" t="s">
        <v>22</v>
      </c>
      <c r="N368" s="39" t="s">
        <v>418</v>
      </c>
      <c r="O368" s="20"/>
    </row>
    <row r="369" spans="1:15" s="12" customFormat="1" ht="18">
      <c r="A369" s="178" t="s">
        <v>80</v>
      </c>
      <c r="B369" s="75" t="s">
        <v>354</v>
      </c>
      <c r="C369" s="39" t="s">
        <v>17</v>
      </c>
      <c r="D369" s="236"/>
      <c r="E369" s="236"/>
      <c r="F369" s="236"/>
      <c r="G369" s="240"/>
      <c r="H369" s="40">
        <f>SUM(Tabla13211242[[#This Row],[PRIMER TRIMESTRE]:[CUARTO TRIMESTRE]])</f>
        <v>0</v>
      </c>
      <c r="I369" s="17">
        <v>8502.7999999999993</v>
      </c>
      <c r="J369" s="17">
        <f t="shared" si="9"/>
        <v>0</v>
      </c>
      <c r="K369" s="17"/>
      <c r="L369" s="16" t="s">
        <v>18</v>
      </c>
      <c r="M369" s="16" t="s">
        <v>22</v>
      </c>
      <c r="N369" s="39" t="s">
        <v>418</v>
      </c>
      <c r="O369" s="20"/>
    </row>
    <row r="370" spans="1:15" s="12" customFormat="1" ht="18">
      <c r="A370" s="178" t="s">
        <v>80</v>
      </c>
      <c r="B370" s="75" t="s">
        <v>355</v>
      </c>
      <c r="C370" s="39" t="s">
        <v>17</v>
      </c>
      <c r="D370" s="236"/>
      <c r="E370" s="236"/>
      <c r="F370" s="236"/>
      <c r="G370" s="240"/>
      <c r="H370" s="40">
        <f>SUM(Tabla13211242[[#This Row],[PRIMER TRIMESTRE]:[CUARTO TRIMESTRE]])</f>
        <v>0</v>
      </c>
      <c r="I370" s="17">
        <v>12180</v>
      </c>
      <c r="J370" s="17">
        <f t="shared" si="9"/>
        <v>0</v>
      </c>
      <c r="K370" s="17"/>
      <c r="L370" s="16" t="s">
        <v>18</v>
      </c>
      <c r="M370" s="16" t="s">
        <v>22</v>
      </c>
      <c r="N370" s="39" t="s">
        <v>418</v>
      </c>
      <c r="O370" s="20"/>
    </row>
    <row r="371" spans="1:15" s="12" customFormat="1" ht="18">
      <c r="A371" s="178" t="s">
        <v>80</v>
      </c>
      <c r="B371" s="75" t="s">
        <v>1214</v>
      </c>
      <c r="C371" s="39" t="s">
        <v>17</v>
      </c>
      <c r="D371" s="236"/>
      <c r="E371" s="236"/>
      <c r="F371" s="236"/>
      <c r="G371" s="240"/>
      <c r="H371" s="40">
        <f>SUM(Tabla13211242[[#This Row],[PRIMER TRIMESTRE]:[CUARTO TRIMESTRE]])</f>
        <v>0</v>
      </c>
      <c r="I371" s="17">
        <v>12180</v>
      </c>
      <c r="J371" s="17">
        <f t="shared" si="9"/>
        <v>0</v>
      </c>
      <c r="K371" s="17"/>
      <c r="L371" s="16" t="s">
        <v>18</v>
      </c>
      <c r="M371" s="16" t="s">
        <v>22</v>
      </c>
      <c r="N371" s="39" t="s">
        <v>418</v>
      </c>
      <c r="O371" s="20"/>
    </row>
    <row r="372" spans="1:15" s="12" customFormat="1" ht="18">
      <c r="A372" s="178" t="s">
        <v>80</v>
      </c>
      <c r="B372" s="75" t="s">
        <v>366</v>
      </c>
      <c r="C372" s="39" t="s">
        <v>17</v>
      </c>
      <c r="D372" s="236"/>
      <c r="E372" s="236"/>
      <c r="F372" s="236"/>
      <c r="G372" s="240"/>
      <c r="H372" s="40">
        <f>SUM(Tabla13211242[[#This Row],[PRIMER TRIMESTRE]:[CUARTO TRIMESTRE]])</f>
        <v>0</v>
      </c>
      <c r="I372" s="17">
        <v>1800</v>
      </c>
      <c r="J372" s="17">
        <f t="shared" si="9"/>
        <v>0</v>
      </c>
      <c r="K372" s="17"/>
      <c r="L372" s="16" t="s">
        <v>18</v>
      </c>
      <c r="M372" s="16" t="s">
        <v>22</v>
      </c>
      <c r="N372" s="39" t="s">
        <v>418</v>
      </c>
      <c r="O372" s="20"/>
    </row>
    <row r="373" spans="1:15" s="12" customFormat="1" ht="18">
      <c r="A373" s="178" t="s">
        <v>80</v>
      </c>
      <c r="B373" s="75" t="s">
        <v>367</v>
      </c>
      <c r="C373" s="39" t="s">
        <v>17</v>
      </c>
      <c r="D373" s="236"/>
      <c r="E373" s="236"/>
      <c r="F373" s="236"/>
      <c r="G373" s="240"/>
      <c r="H373" s="40">
        <f>SUM(Tabla13211242[[#This Row],[PRIMER TRIMESTRE]:[CUARTO TRIMESTRE]])</f>
        <v>0</v>
      </c>
      <c r="I373" s="17">
        <v>2000</v>
      </c>
      <c r="J373" s="17">
        <f t="shared" si="9"/>
        <v>0</v>
      </c>
      <c r="K373" s="17"/>
      <c r="L373" s="16" t="s">
        <v>18</v>
      </c>
      <c r="M373" s="16" t="s">
        <v>22</v>
      </c>
      <c r="N373" s="39" t="s">
        <v>418</v>
      </c>
      <c r="O373" s="20"/>
    </row>
    <row r="374" spans="1:15" s="12" customFormat="1" ht="18">
      <c r="A374" s="178" t="s">
        <v>80</v>
      </c>
      <c r="B374" s="75" t="s">
        <v>361</v>
      </c>
      <c r="C374" s="39" t="s">
        <v>17</v>
      </c>
      <c r="D374" s="236"/>
      <c r="E374" s="236"/>
      <c r="F374" s="236"/>
      <c r="G374" s="240"/>
      <c r="H374" s="40">
        <f>SUM(Tabla13211242[[#This Row],[PRIMER TRIMESTRE]:[CUARTO TRIMESTRE]])</f>
        <v>0</v>
      </c>
      <c r="I374" s="17">
        <v>2500</v>
      </c>
      <c r="J374" s="17">
        <f t="shared" si="9"/>
        <v>0</v>
      </c>
      <c r="K374" s="17"/>
      <c r="L374" s="16" t="s">
        <v>18</v>
      </c>
      <c r="M374" s="16" t="s">
        <v>22</v>
      </c>
      <c r="N374" s="39" t="s">
        <v>418</v>
      </c>
      <c r="O374" s="20"/>
    </row>
    <row r="375" spans="1:15" s="12" customFormat="1" ht="18">
      <c r="A375" s="178" t="s">
        <v>80</v>
      </c>
      <c r="B375" s="75" t="s">
        <v>362</v>
      </c>
      <c r="C375" s="39" t="s">
        <v>17</v>
      </c>
      <c r="D375" s="236"/>
      <c r="E375" s="236"/>
      <c r="F375" s="236"/>
      <c r="G375" s="240"/>
      <c r="H375" s="40">
        <f>SUM(Tabla13211242[[#This Row],[PRIMER TRIMESTRE]:[CUARTO TRIMESTRE]])</f>
        <v>0</v>
      </c>
      <c r="I375" s="17">
        <v>3100</v>
      </c>
      <c r="J375" s="17">
        <f t="shared" si="9"/>
        <v>0</v>
      </c>
      <c r="K375" s="17"/>
      <c r="L375" s="16" t="s">
        <v>18</v>
      </c>
      <c r="M375" s="16" t="s">
        <v>22</v>
      </c>
      <c r="N375" s="39" t="s">
        <v>418</v>
      </c>
      <c r="O375" s="20"/>
    </row>
    <row r="376" spans="1:15" s="12" customFormat="1" ht="18">
      <c r="A376" s="178" t="s">
        <v>80</v>
      </c>
      <c r="B376" s="75" t="s">
        <v>1439</v>
      </c>
      <c r="C376" s="39" t="s">
        <v>17</v>
      </c>
      <c r="D376" s="236"/>
      <c r="E376" s="236"/>
      <c r="F376" s="236"/>
      <c r="G376" s="240"/>
      <c r="H376" s="40">
        <f>SUM(Tabla13211242[[#This Row],[PRIMER TRIMESTRE]:[CUARTO TRIMESTRE]])</f>
        <v>0</v>
      </c>
      <c r="I376" s="17">
        <v>4100</v>
      </c>
      <c r="J376" s="17">
        <f t="shared" si="9"/>
        <v>0</v>
      </c>
      <c r="K376" s="17"/>
      <c r="L376" s="16" t="s">
        <v>18</v>
      </c>
      <c r="M376" s="16" t="s">
        <v>22</v>
      </c>
      <c r="N376" s="39" t="s">
        <v>418</v>
      </c>
      <c r="O376" s="20"/>
    </row>
    <row r="377" spans="1:15" s="12" customFormat="1" ht="18">
      <c r="A377" s="178" t="s">
        <v>80</v>
      </c>
      <c r="B377" s="75" t="s">
        <v>920</v>
      </c>
      <c r="C377" s="39" t="s">
        <v>17</v>
      </c>
      <c r="D377" s="236"/>
      <c r="E377" s="236"/>
      <c r="F377" s="236"/>
      <c r="G377" s="240"/>
      <c r="H377" s="40">
        <f>SUM(Tabla13211242[[#This Row],[PRIMER TRIMESTRE]:[CUARTO TRIMESTRE]])</f>
        <v>0</v>
      </c>
      <c r="I377" s="17">
        <v>140</v>
      </c>
      <c r="J377" s="17">
        <f t="shared" si="9"/>
        <v>0</v>
      </c>
      <c r="K377" s="17"/>
      <c r="L377" s="16" t="s">
        <v>18</v>
      </c>
      <c r="M377" s="16" t="s">
        <v>22</v>
      </c>
      <c r="N377" s="39" t="s">
        <v>418</v>
      </c>
      <c r="O377" s="20"/>
    </row>
    <row r="378" spans="1:15" s="12" customFormat="1" ht="18">
      <c r="A378" s="178" t="s">
        <v>80</v>
      </c>
      <c r="B378" s="75" t="s">
        <v>1578</v>
      </c>
      <c r="C378" s="39" t="s">
        <v>17</v>
      </c>
      <c r="D378" s="236"/>
      <c r="E378" s="236"/>
      <c r="F378" s="236"/>
      <c r="G378" s="236"/>
      <c r="H378" s="236">
        <f>SUM(Tabla13211242[[#This Row],[PRIMER TRIMESTRE]:[CUARTO TRIMESTRE]])</f>
        <v>0</v>
      </c>
      <c r="I378" s="17">
        <v>397.8</v>
      </c>
      <c r="J378" s="17">
        <f t="shared" si="9"/>
        <v>0</v>
      </c>
      <c r="K378" s="17"/>
      <c r="L378" s="16" t="s">
        <v>18</v>
      </c>
      <c r="M378" s="16" t="s">
        <v>22</v>
      </c>
      <c r="N378" s="39" t="s">
        <v>418</v>
      </c>
      <c r="O378" s="20"/>
    </row>
    <row r="379" spans="1:15" s="12" customFormat="1" ht="18">
      <c r="A379" s="178" t="s">
        <v>80</v>
      </c>
      <c r="B379" s="75" t="s">
        <v>154</v>
      </c>
      <c r="C379" s="39" t="s">
        <v>470</v>
      </c>
      <c r="D379" s="236"/>
      <c r="E379" s="236"/>
      <c r="F379" s="236"/>
      <c r="G379" s="236"/>
      <c r="H379" s="40">
        <f>SUM(Tabla13211242[[#This Row],[PRIMER TRIMESTRE]:[CUARTO TRIMESTRE]])</f>
        <v>0</v>
      </c>
      <c r="I379" s="17">
        <v>100</v>
      </c>
      <c r="J379" s="17">
        <f>+Tabla13211242[[#This Row],[CANTIDAD TOTAL]]*Tabla13211242[[#This Row],[PRECIO UNITARIO ESTIMADO]]</f>
        <v>0</v>
      </c>
      <c r="K379" s="17"/>
      <c r="L379" s="16" t="s">
        <v>18</v>
      </c>
      <c r="M379" s="16" t="s">
        <v>22</v>
      </c>
      <c r="N379" s="39" t="s">
        <v>418</v>
      </c>
      <c r="O379" s="20"/>
    </row>
    <row r="380" spans="1:15" s="12" customFormat="1" ht="18">
      <c r="A380" s="178" t="s">
        <v>80</v>
      </c>
      <c r="B380" s="75" t="s">
        <v>177</v>
      </c>
      <c r="C380" s="39" t="s">
        <v>93</v>
      </c>
      <c r="D380" s="236"/>
      <c r="E380" s="236"/>
      <c r="F380" s="236"/>
      <c r="G380" s="236"/>
      <c r="H380" s="40">
        <f>SUM(Tabla13211242[[#This Row],[PRIMER TRIMESTRE]:[CUARTO TRIMESTRE]])</f>
        <v>0</v>
      </c>
      <c r="I380" s="17">
        <v>226.78</v>
      </c>
      <c r="J380" s="17">
        <f>+Tabla13211242[[#This Row],[CANTIDAD TOTAL]]*Tabla13211242[[#This Row],[PRECIO UNITARIO ESTIMADO]]</f>
        <v>0</v>
      </c>
      <c r="K380" s="17"/>
      <c r="L380" s="16" t="s">
        <v>18</v>
      </c>
      <c r="M380" s="16" t="s">
        <v>22</v>
      </c>
      <c r="N380" s="39" t="s">
        <v>418</v>
      </c>
      <c r="O380" s="20"/>
    </row>
    <row r="381" spans="1:15" s="12" customFormat="1" ht="18">
      <c r="A381" s="178" t="s">
        <v>80</v>
      </c>
      <c r="B381" s="75" t="s">
        <v>460</v>
      </c>
      <c r="C381" s="39" t="s">
        <v>93</v>
      </c>
      <c r="D381" s="236"/>
      <c r="E381" s="236"/>
      <c r="F381" s="236"/>
      <c r="G381" s="236"/>
      <c r="H381" s="40">
        <f>SUM(Tabla13211242[[#This Row],[PRIMER TRIMESTRE]:[CUARTO TRIMESTRE]])</f>
        <v>0</v>
      </c>
      <c r="I381" s="17">
        <v>2055.4</v>
      </c>
      <c r="J381" s="17">
        <f>+H381*I381</f>
        <v>0</v>
      </c>
      <c r="K381" s="17"/>
      <c r="L381" s="16" t="s">
        <v>18</v>
      </c>
      <c r="M381" s="16" t="s">
        <v>22</v>
      </c>
      <c r="N381" s="39" t="s">
        <v>418</v>
      </c>
      <c r="O381" s="20"/>
    </row>
    <row r="382" spans="1:15" s="12" customFormat="1" ht="18">
      <c r="A382" s="178" t="s">
        <v>80</v>
      </c>
      <c r="B382" s="75" t="s">
        <v>179</v>
      </c>
      <c r="C382" s="39" t="s">
        <v>93</v>
      </c>
      <c r="D382" s="236"/>
      <c r="E382" s="236"/>
      <c r="F382" s="236"/>
      <c r="G382" s="236"/>
      <c r="H382" s="40">
        <f>SUM(Tabla13211242[[#This Row],[PRIMER TRIMESTRE]:[CUARTO TRIMESTRE]])</f>
        <v>0</v>
      </c>
      <c r="I382" s="17">
        <v>222.14</v>
      </c>
      <c r="J382" s="17">
        <f>+Tabla13211242[[#This Row],[CANTIDAD TOTAL]]*Tabla13211242[[#This Row],[PRECIO UNITARIO ESTIMADO]]</f>
        <v>0</v>
      </c>
      <c r="K382" s="17"/>
      <c r="L382" s="16" t="s">
        <v>18</v>
      </c>
      <c r="M382" s="16" t="s">
        <v>22</v>
      </c>
      <c r="N382" s="39" t="s">
        <v>418</v>
      </c>
      <c r="O382" s="20"/>
    </row>
    <row r="383" spans="1:15" s="12" customFormat="1" ht="18">
      <c r="A383" s="178" t="s">
        <v>80</v>
      </c>
      <c r="B383" s="75" t="s">
        <v>1549</v>
      </c>
      <c r="C383" s="39" t="s">
        <v>17</v>
      </c>
      <c r="D383" s="236"/>
      <c r="E383" s="236"/>
      <c r="F383" s="236"/>
      <c r="G383" s="236"/>
      <c r="H383" s="236">
        <f>SUM(Tabla13211242[[#This Row],[PRIMER TRIMESTRE]:[CUARTO TRIMESTRE]])</f>
        <v>0</v>
      </c>
      <c r="I383" s="17">
        <v>62328</v>
      </c>
      <c r="J383" s="17">
        <f>+H383*I383</f>
        <v>0</v>
      </c>
      <c r="K383" s="17"/>
      <c r="L383" s="16" t="s">
        <v>18</v>
      </c>
      <c r="M383" s="16" t="s">
        <v>22</v>
      </c>
      <c r="N383" s="39" t="s">
        <v>418</v>
      </c>
      <c r="O383" s="20"/>
    </row>
    <row r="384" spans="1:15" s="12" customFormat="1" ht="18">
      <c r="A384" s="178" t="s">
        <v>80</v>
      </c>
      <c r="B384" s="75" t="s">
        <v>181</v>
      </c>
      <c r="C384" s="39" t="s">
        <v>69</v>
      </c>
      <c r="D384" s="210"/>
      <c r="E384" s="210"/>
      <c r="F384" s="210"/>
      <c r="G384" s="210"/>
      <c r="H384" s="40">
        <f>SUM(Tabla13211242[[#This Row],[PRIMER TRIMESTRE]:[CUARTO TRIMESTRE]])</f>
        <v>0</v>
      </c>
      <c r="I384" s="17">
        <v>6206</v>
      </c>
      <c r="J384" s="17">
        <f>+Tabla13211242[[#This Row],[CANTIDAD TOTAL]]*Tabla13211242[[#This Row],[PRECIO UNITARIO ESTIMADO]]</f>
        <v>0</v>
      </c>
      <c r="K384" s="17"/>
      <c r="L384" s="16" t="s">
        <v>18</v>
      </c>
      <c r="M384" s="16" t="s">
        <v>22</v>
      </c>
      <c r="N384" s="39" t="s">
        <v>418</v>
      </c>
      <c r="O384" s="20"/>
    </row>
    <row r="385" spans="1:15" s="12" customFormat="1" ht="25.5">
      <c r="A385" s="178" t="s">
        <v>80</v>
      </c>
      <c r="B385" s="75" t="s">
        <v>468</v>
      </c>
      <c r="C385" s="39" t="s">
        <v>17</v>
      </c>
      <c r="D385" s="236"/>
      <c r="E385" s="236"/>
      <c r="F385" s="236"/>
      <c r="G385" s="236"/>
      <c r="H385" s="40">
        <f>SUM(Tabla13211242[[#This Row],[PRIMER TRIMESTRE]:[CUARTO TRIMESTRE]])</f>
        <v>0</v>
      </c>
      <c r="I385" s="17">
        <v>4827</v>
      </c>
      <c r="J385" s="17">
        <f>+Tabla13211242[[#This Row],[CANTIDAD TOTAL]]*Tabla13211242[[#This Row],[PRECIO UNITARIO ESTIMADO]]</f>
        <v>0</v>
      </c>
      <c r="K385" s="17"/>
      <c r="L385" s="16" t="s">
        <v>18</v>
      </c>
      <c r="M385" s="16" t="s">
        <v>22</v>
      </c>
      <c r="N385" s="39" t="s">
        <v>418</v>
      </c>
      <c r="O385" s="20"/>
    </row>
    <row r="386" spans="1:15" s="12" customFormat="1" ht="18">
      <c r="A386" s="178" t="s">
        <v>80</v>
      </c>
      <c r="B386" s="75" t="s">
        <v>1564</v>
      </c>
      <c r="C386" s="39" t="s">
        <v>17</v>
      </c>
      <c r="D386" s="236"/>
      <c r="E386" s="236"/>
      <c r="F386" s="236"/>
      <c r="G386" s="236"/>
      <c r="H386" s="236">
        <f>SUM(Tabla13211242[[#This Row],[PRIMER TRIMESTRE]:[CUARTO TRIMESTRE]])</f>
        <v>0</v>
      </c>
      <c r="I386" s="17">
        <v>72.37</v>
      </c>
      <c r="J386" s="17">
        <f>+H386*I386</f>
        <v>0</v>
      </c>
      <c r="K386" s="17"/>
      <c r="L386" s="16" t="s">
        <v>18</v>
      </c>
      <c r="M386" s="16" t="s">
        <v>22</v>
      </c>
      <c r="N386" s="39" t="s">
        <v>418</v>
      </c>
      <c r="O386" s="20"/>
    </row>
    <row r="387" spans="1:15" s="12" customFormat="1" ht="18">
      <c r="A387" s="178" t="s">
        <v>80</v>
      </c>
      <c r="B387" s="75" t="s">
        <v>1565</v>
      </c>
      <c r="C387" s="39" t="s">
        <v>17</v>
      </c>
      <c r="D387" s="236"/>
      <c r="E387" s="236"/>
      <c r="F387" s="236"/>
      <c r="G387" s="236"/>
      <c r="H387" s="236">
        <f>SUM(Tabla13211242[[#This Row],[PRIMER TRIMESTRE]:[CUARTO TRIMESTRE]])</f>
        <v>0</v>
      </c>
      <c r="I387" s="17">
        <v>48.05</v>
      </c>
      <c r="J387" s="17">
        <f>+H387*I387</f>
        <v>0</v>
      </c>
      <c r="K387" s="17"/>
      <c r="L387" s="16" t="s">
        <v>18</v>
      </c>
      <c r="M387" s="16" t="s">
        <v>22</v>
      </c>
      <c r="N387" s="39" t="s">
        <v>418</v>
      </c>
      <c r="O387" s="20"/>
    </row>
    <row r="388" spans="1:15" s="12" customFormat="1" ht="18">
      <c r="A388" s="178" t="s">
        <v>80</v>
      </c>
      <c r="B388" s="75" t="s">
        <v>1548</v>
      </c>
      <c r="C388" s="39" t="s">
        <v>17</v>
      </c>
      <c r="D388" s="236"/>
      <c r="E388" s="236"/>
      <c r="F388" s="236"/>
      <c r="G388" s="236"/>
      <c r="H388" s="236">
        <f>SUM(Tabla13211242[[#This Row],[PRIMER TRIMESTRE]:[CUARTO TRIMESTRE]])</f>
        <v>0</v>
      </c>
      <c r="I388" s="17">
        <v>191.1</v>
      </c>
      <c r="J388" s="17">
        <f>+H388*I388</f>
        <v>0</v>
      </c>
      <c r="K388" s="17"/>
      <c r="L388" s="16" t="s">
        <v>18</v>
      </c>
      <c r="M388" s="16" t="s">
        <v>22</v>
      </c>
      <c r="N388" s="39" t="s">
        <v>418</v>
      </c>
      <c r="O388" s="20"/>
    </row>
    <row r="389" spans="1:15" s="12" customFormat="1" ht="18">
      <c r="A389" s="178" t="s">
        <v>80</v>
      </c>
      <c r="B389" s="75" t="s">
        <v>1619</v>
      </c>
      <c r="C389" s="39" t="s">
        <v>17</v>
      </c>
      <c r="D389" s="236"/>
      <c r="E389" s="236"/>
      <c r="F389" s="236"/>
      <c r="G389" s="236"/>
      <c r="H389" s="236">
        <f>SUM(Tabla13211242[[#This Row],[PRIMER TRIMESTRE]:[CUARTO TRIMESTRE]])</f>
        <v>0</v>
      </c>
      <c r="I389" s="17">
        <v>2184.9499999999998</v>
      </c>
      <c r="J389" s="17">
        <f>+H389*I389</f>
        <v>0</v>
      </c>
      <c r="K389" s="17"/>
      <c r="L389" s="16" t="s">
        <v>18</v>
      </c>
      <c r="M389" s="16" t="s">
        <v>22</v>
      </c>
      <c r="N389" s="39" t="s">
        <v>418</v>
      </c>
      <c r="O389" s="20"/>
    </row>
    <row r="390" spans="1:15" s="12" customFormat="1" ht="18">
      <c r="A390" s="178" t="s">
        <v>80</v>
      </c>
      <c r="B390" s="75" t="s">
        <v>1566</v>
      </c>
      <c r="C390" s="39" t="s">
        <v>17</v>
      </c>
      <c r="D390" s="236"/>
      <c r="E390" s="236"/>
      <c r="F390" s="236"/>
      <c r="G390" s="236"/>
      <c r="H390" s="236">
        <f>SUM(Tabla13211242[[#This Row],[PRIMER TRIMESTRE]:[CUARTO TRIMESTRE]])</f>
        <v>0</v>
      </c>
      <c r="I390" s="17">
        <v>2891.99</v>
      </c>
      <c r="J390" s="17">
        <f>+H390*I390</f>
        <v>0</v>
      </c>
      <c r="K390" s="17"/>
      <c r="L390" s="16" t="s">
        <v>18</v>
      </c>
      <c r="M390" s="16" t="s">
        <v>22</v>
      </c>
      <c r="N390" s="39" t="s">
        <v>418</v>
      </c>
      <c r="O390" s="20"/>
    </row>
    <row r="391" spans="1:15" s="12" customFormat="1" ht="18">
      <c r="A391" s="178" t="s">
        <v>80</v>
      </c>
      <c r="B391" s="75" t="s">
        <v>184</v>
      </c>
      <c r="C391" s="39" t="s">
        <v>17</v>
      </c>
      <c r="D391" s="236"/>
      <c r="E391" s="236"/>
      <c r="F391" s="236"/>
      <c r="G391" s="236"/>
      <c r="H391" s="40">
        <f>SUM(Tabla13211242[[#This Row],[PRIMER TRIMESTRE]:[CUARTO TRIMESTRE]])</f>
        <v>0</v>
      </c>
      <c r="I391" s="17">
        <v>1347.46</v>
      </c>
      <c r="J391" s="17">
        <f>+Tabla13211242[[#This Row],[CANTIDAD TOTAL]]*Tabla13211242[[#This Row],[PRECIO UNITARIO ESTIMADO]]</f>
        <v>0</v>
      </c>
      <c r="K391" s="17"/>
      <c r="L391" s="16" t="s">
        <v>18</v>
      </c>
      <c r="M391" s="16" t="s">
        <v>22</v>
      </c>
      <c r="N391" s="39" t="s">
        <v>418</v>
      </c>
      <c r="O391" s="20"/>
    </row>
    <row r="392" spans="1:15" s="12" customFormat="1" ht="18">
      <c r="A392" s="178" t="s">
        <v>80</v>
      </c>
      <c r="B392" s="75" t="s">
        <v>1426</v>
      </c>
      <c r="C392" s="39" t="s">
        <v>17</v>
      </c>
      <c r="D392" s="236"/>
      <c r="E392" s="236"/>
      <c r="F392" s="236"/>
      <c r="G392" s="236"/>
      <c r="H392" s="40">
        <f>SUM(Tabla13211242[[#This Row],[PRIMER TRIMESTRE]:[CUARTO TRIMESTRE]])</f>
        <v>0</v>
      </c>
      <c r="I392" s="17">
        <v>423.61</v>
      </c>
      <c r="J392" s="17">
        <f t="shared" ref="J392:J406" si="10">+H392*I392</f>
        <v>0</v>
      </c>
      <c r="K392" s="17"/>
      <c r="L392" s="16" t="s">
        <v>18</v>
      </c>
      <c r="M392" s="16" t="s">
        <v>22</v>
      </c>
      <c r="N392" s="39" t="s">
        <v>418</v>
      </c>
      <c r="O392" s="20"/>
    </row>
    <row r="393" spans="1:15" s="12" customFormat="1" ht="18">
      <c r="A393" s="178" t="s">
        <v>80</v>
      </c>
      <c r="B393" s="75" t="s">
        <v>1432</v>
      </c>
      <c r="C393" s="39" t="s">
        <v>17</v>
      </c>
      <c r="D393" s="236"/>
      <c r="E393" s="236"/>
      <c r="F393" s="236"/>
      <c r="G393" s="236"/>
      <c r="H393" s="40">
        <f>SUM(Tabla13211242[[#This Row],[PRIMER TRIMESTRE]:[CUARTO TRIMESTRE]])</f>
        <v>0</v>
      </c>
      <c r="I393" s="17">
        <v>705.29</v>
      </c>
      <c r="J393" s="17">
        <f t="shared" si="10"/>
        <v>0</v>
      </c>
      <c r="K393" s="17"/>
      <c r="L393" s="16" t="s">
        <v>18</v>
      </c>
      <c r="M393" s="16" t="s">
        <v>22</v>
      </c>
      <c r="N393" s="39" t="s">
        <v>418</v>
      </c>
      <c r="O393" s="20"/>
    </row>
    <row r="394" spans="1:15" s="12" customFormat="1" ht="18">
      <c r="A394" s="178" t="s">
        <v>80</v>
      </c>
      <c r="B394" s="75" t="s">
        <v>1726</v>
      </c>
      <c r="C394" s="39" t="s">
        <v>17</v>
      </c>
      <c r="D394" s="236"/>
      <c r="E394" s="236"/>
      <c r="F394" s="236"/>
      <c r="G394" s="236"/>
      <c r="H394" s="40">
        <v>0</v>
      </c>
      <c r="I394" s="17">
        <v>0</v>
      </c>
      <c r="J394" s="17">
        <v>0</v>
      </c>
      <c r="K394" s="17"/>
      <c r="L394" s="16" t="s">
        <v>18</v>
      </c>
      <c r="M394" s="16" t="s">
        <v>22</v>
      </c>
      <c r="N394" s="39" t="s">
        <v>418</v>
      </c>
      <c r="O394" s="20"/>
    </row>
    <row r="395" spans="1:15" s="12" customFormat="1" ht="18">
      <c r="A395" s="178" t="s">
        <v>80</v>
      </c>
      <c r="B395" s="75" t="s">
        <v>1608</v>
      </c>
      <c r="C395" s="39" t="s">
        <v>17</v>
      </c>
      <c r="D395" s="236"/>
      <c r="E395" s="236"/>
      <c r="F395" s="236"/>
      <c r="G395" s="236"/>
      <c r="H395" s="236">
        <f>SUM(Tabla13211242[[#This Row],[PRIMER TRIMESTRE]:[CUARTO TRIMESTRE]])</f>
        <v>0</v>
      </c>
      <c r="I395" s="17">
        <v>4776.8500000000004</v>
      </c>
      <c r="J395" s="17">
        <f t="shared" si="10"/>
        <v>0</v>
      </c>
      <c r="K395" s="17"/>
      <c r="L395" s="16" t="s">
        <v>18</v>
      </c>
      <c r="M395" s="16" t="s">
        <v>22</v>
      </c>
      <c r="N395" s="39" t="s">
        <v>418</v>
      </c>
      <c r="O395" s="20"/>
    </row>
    <row r="396" spans="1:15" s="12" customFormat="1" ht="18">
      <c r="A396" s="178" t="s">
        <v>80</v>
      </c>
      <c r="B396" s="75" t="s">
        <v>1607</v>
      </c>
      <c r="C396" s="39" t="s">
        <v>17</v>
      </c>
      <c r="D396" s="236"/>
      <c r="E396" s="236"/>
      <c r="F396" s="236"/>
      <c r="G396" s="236"/>
      <c r="H396" s="236">
        <f>SUM(Tabla13211242[[#This Row],[PRIMER TRIMESTRE]:[CUARTO TRIMESTRE]])</f>
        <v>0</v>
      </c>
      <c r="I396" s="17">
        <v>20971.52</v>
      </c>
      <c r="J396" s="17">
        <f t="shared" si="10"/>
        <v>0</v>
      </c>
      <c r="K396" s="17"/>
      <c r="L396" s="16" t="s">
        <v>18</v>
      </c>
      <c r="M396" s="16" t="s">
        <v>22</v>
      </c>
      <c r="N396" s="39" t="s">
        <v>418</v>
      </c>
      <c r="O396" s="20"/>
    </row>
    <row r="397" spans="1:15" s="12" customFormat="1" ht="18">
      <c r="A397" s="178" t="s">
        <v>80</v>
      </c>
      <c r="B397" s="75" t="s">
        <v>369</v>
      </c>
      <c r="C397" s="39" t="s">
        <v>17</v>
      </c>
      <c r="D397" s="236"/>
      <c r="E397" s="236"/>
      <c r="F397" s="236"/>
      <c r="G397" s="236"/>
      <c r="H397" s="40">
        <f>SUM(Tabla13211242[[#This Row],[PRIMER TRIMESTRE]:[CUARTO TRIMESTRE]])</f>
        <v>0</v>
      </c>
      <c r="I397" s="17">
        <v>4.55</v>
      </c>
      <c r="J397" s="17">
        <f t="shared" si="10"/>
        <v>0</v>
      </c>
      <c r="K397" s="17"/>
      <c r="L397" s="16" t="s">
        <v>18</v>
      </c>
      <c r="M397" s="16" t="s">
        <v>22</v>
      </c>
      <c r="N397" s="39" t="s">
        <v>418</v>
      </c>
      <c r="O397" s="20"/>
    </row>
    <row r="398" spans="1:15" s="12" customFormat="1" ht="18">
      <c r="A398" s="178" t="s">
        <v>80</v>
      </c>
      <c r="B398" s="75" t="s">
        <v>449</v>
      </c>
      <c r="C398" s="39" t="s">
        <v>17</v>
      </c>
      <c r="D398" s="236"/>
      <c r="E398" s="236"/>
      <c r="F398" s="236"/>
      <c r="G398" s="236"/>
      <c r="H398" s="40">
        <f>SUM(Tabla13211242[[#This Row],[PRIMER TRIMESTRE]:[CUARTO TRIMESTRE]])</f>
        <v>0</v>
      </c>
      <c r="I398" s="17">
        <v>4.55</v>
      </c>
      <c r="J398" s="17">
        <f t="shared" si="10"/>
        <v>0</v>
      </c>
      <c r="K398" s="17"/>
      <c r="L398" s="16" t="s">
        <v>18</v>
      </c>
      <c r="M398" s="16" t="s">
        <v>22</v>
      </c>
      <c r="N398" s="39" t="s">
        <v>418</v>
      </c>
      <c r="O398" s="20"/>
    </row>
    <row r="399" spans="1:15" s="12" customFormat="1" ht="18">
      <c r="A399" s="178" t="s">
        <v>80</v>
      </c>
      <c r="B399" s="75" t="s">
        <v>450</v>
      </c>
      <c r="C399" s="39" t="s">
        <v>17</v>
      </c>
      <c r="D399" s="236"/>
      <c r="E399" s="236"/>
      <c r="F399" s="236"/>
      <c r="G399" s="236"/>
      <c r="H399" s="40">
        <f>SUM(Tabla13211242[[#This Row],[PRIMER TRIMESTRE]:[CUARTO TRIMESTRE]])</f>
        <v>0</v>
      </c>
      <c r="I399" s="17">
        <v>4.55</v>
      </c>
      <c r="J399" s="17">
        <f t="shared" si="10"/>
        <v>0</v>
      </c>
      <c r="K399" s="17"/>
      <c r="L399" s="16" t="s">
        <v>18</v>
      </c>
      <c r="M399" s="16" t="s">
        <v>22</v>
      </c>
      <c r="N399" s="39" t="s">
        <v>418</v>
      </c>
      <c r="O399" s="20"/>
    </row>
    <row r="400" spans="1:15" s="12" customFormat="1" ht="18">
      <c r="A400" s="178" t="s">
        <v>80</v>
      </c>
      <c r="B400" s="75" t="s">
        <v>451</v>
      </c>
      <c r="C400" s="39" t="s">
        <v>17</v>
      </c>
      <c r="D400" s="236"/>
      <c r="E400" s="236"/>
      <c r="F400" s="236"/>
      <c r="G400" s="236"/>
      <c r="H400" s="40">
        <f>SUM(Tabla13211242[[#This Row],[PRIMER TRIMESTRE]:[CUARTO TRIMESTRE]])</f>
        <v>0</v>
      </c>
      <c r="I400" s="17">
        <v>4.55</v>
      </c>
      <c r="J400" s="17">
        <f t="shared" si="10"/>
        <v>0</v>
      </c>
      <c r="K400" s="17"/>
      <c r="L400" s="16" t="s">
        <v>18</v>
      </c>
      <c r="M400" s="16" t="s">
        <v>22</v>
      </c>
      <c r="N400" s="39" t="s">
        <v>418</v>
      </c>
      <c r="O400" s="20"/>
    </row>
    <row r="401" spans="1:15" s="12" customFormat="1" ht="18">
      <c r="A401" s="178" t="s">
        <v>80</v>
      </c>
      <c r="B401" s="75" t="s">
        <v>453</v>
      </c>
      <c r="C401" s="39" t="s">
        <v>17</v>
      </c>
      <c r="D401" s="236"/>
      <c r="E401" s="236"/>
      <c r="F401" s="236"/>
      <c r="G401" s="236"/>
      <c r="H401" s="40">
        <f>SUM(Tabla13211242[[#This Row],[PRIMER TRIMESTRE]:[CUARTO TRIMESTRE]])</f>
        <v>0</v>
      </c>
      <c r="I401" s="17">
        <v>4.55</v>
      </c>
      <c r="J401" s="17">
        <f t="shared" si="10"/>
        <v>0</v>
      </c>
      <c r="K401" s="17"/>
      <c r="L401" s="16" t="s">
        <v>18</v>
      </c>
      <c r="M401" s="16" t="s">
        <v>22</v>
      </c>
      <c r="N401" s="39" t="s">
        <v>418</v>
      </c>
      <c r="O401" s="20"/>
    </row>
    <row r="402" spans="1:15" s="12" customFormat="1" ht="18">
      <c r="A402" s="178" t="s">
        <v>80</v>
      </c>
      <c r="B402" s="75" t="s">
        <v>452</v>
      </c>
      <c r="C402" s="39" t="s">
        <v>17</v>
      </c>
      <c r="D402" s="236"/>
      <c r="E402" s="236"/>
      <c r="F402" s="236"/>
      <c r="G402" s="236"/>
      <c r="H402" s="40">
        <f>SUM(Tabla13211242[[#This Row],[PRIMER TRIMESTRE]:[CUARTO TRIMESTRE]])</f>
        <v>0</v>
      </c>
      <c r="I402" s="17">
        <v>4.55</v>
      </c>
      <c r="J402" s="17">
        <f t="shared" si="10"/>
        <v>0</v>
      </c>
      <c r="K402" s="17"/>
      <c r="L402" s="16" t="s">
        <v>18</v>
      </c>
      <c r="M402" s="16" t="s">
        <v>22</v>
      </c>
      <c r="N402" s="39" t="s">
        <v>418</v>
      </c>
      <c r="O402" s="20"/>
    </row>
    <row r="403" spans="1:15" s="12" customFormat="1" ht="18">
      <c r="A403" s="178" t="s">
        <v>80</v>
      </c>
      <c r="B403" s="75" t="s">
        <v>603</v>
      </c>
      <c r="C403" s="39" t="s">
        <v>17</v>
      </c>
      <c r="D403" s="236"/>
      <c r="E403" s="236"/>
      <c r="F403" s="236"/>
      <c r="G403" s="236"/>
      <c r="H403" s="40">
        <f>SUM(Tabla13211242[[#This Row],[PRIMER TRIMESTRE]:[CUARTO TRIMESTRE]])</f>
        <v>0</v>
      </c>
      <c r="I403" s="17">
        <v>737.74</v>
      </c>
      <c r="J403" s="17">
        <f t="shared" si="10"/>
        <v>0</v>
      </c>
      <c r="K403" s="17"/>
      <c r="L403" s="16" t="s">
        <v>18</v>
      </c>
      <c r="M403" s="16" t="s">
        <v>22</v>
      </c>
      <c r="N403" s="39" t="s">
        <v>418</v>
      </c>
      <c r="O403" s="20"/>
    </row>
    <row r="404" spans="1:15" s="12" customFormat="1" ht="18">
      <c r="A404" s="178" t="s">
        <v>80</v>
      </c>
      <c r="B404" s="75" t="s">
        <v>604</v>
      </c>
      <c r="C404" s="39" t="s">
        <v>17</v>
      </c>
      <c r="D404" s="236"/>
      <c r="E404" s="236"/>
      <c r="F404" s="236"/>
      <c r="G404" s="236"/>
      <c r="H404" s="40">
        <f>SUM(Tabla13211242[[#This Row],[PRIMER TRIMESTRE]:[CUARTO TRIMESTRE]])</f>
        <v>0</v>
      </c>
      <c r="I404" s="17">
        <v>2121.4499999999998</v>
      </c>
      <c r="J404" s="17">
        <f t="shared" si="10"/>
        <v>0</v>
      </c>
      <c r="K404" s="17"/>
      <c r="L404" s="16" t="s">
        <v>18</v>
      </c>
      <c r="M404" s="16" t="s">
        <v>22</v>
      </c>
      <c r="N404" s="39" t="s">
        <v>418</v>
      </c>
      <c r="O404" s="20"/>
    </row>
    <row r="405" spans="1:15" s="12" customFormat="1" ht="18">
      <c r="A405" s="178" t="s">
        <v>80</v>
      </c>
      <c r="B405" s="75" t="s">
        <v>605</v>
      </c>
      <c r="C405" s="39" t="s">
        <v>17</v>
      </c>
      <c r="D405" s="236"/>
      <c r="E405" s="236"/>
      <c r="F405" s="236"/>
      <c r="G405" s="236"/>
      <c r="H405" s="40">
        <f>SUM(Tabla13211242[[#This Row],[PRIMER TRIMESTRE]:[CUARTO TRIMESTRE]])</f>
        <v>0</v>
      </c>
      <c r="I405" s="17">
        <v>2121.4499999999998</v>
      </c>
      <c r="J405" s="17">
        <f t="shared" si="10"/>
        <v>0</v>
      </c>
      <c r="K405" s="17"/>
      <c r="L405" s="16" t="s">
        <v>18</v>
      </c>
      <c r="M405" s="16" t="s">
        <v>22</v>
      </c>
      <c r="N405" s="39" t="s">
        <v>418</v>
      </c>
      <c r="O405" s="20"/>
    </row>
    <row r="406" spans="1:15" s="12" customFormat="1" ht="18">
      <c r="A406" s="178" t="s">
        <v>80</v>
      </c>
      <c r="B406" s="75" t="s">
        <v>606</v>
      </c>
      <c r="C406" s="39" t="s">
        <v>17</v>
      </c>
      <c r="D406" s="236"/>
      <c r="E406" s="236"/>
      <c r="F406" s="236"/>
      <c r="G406" s="236"/>
      <c r="H406" s="40">
        <f>SUM(Tabla13211242[[#This Row],[PRIMER TRIMESTRE]:[CUARTO TRIMESTRE]])</f>
        <v>0</v>
      </c>
      <c r="I406" s="17">
        <v>3601.69</v>
      </c>
      <c r="J406" s="17">
        <f t="shared" si="10"/>
        <v>0</v>
      </c>
      <c r="K406" s="17"/>
      <c r="L406" s="16" t="s">
        <v>18</v>
      </c>
      <c r="M406" s="16" t="s">
        <v>22</v>
      </c>
      <c r="N406" s="39" t="s">
        <v>418</v>
      </c>
      <c r="O406" s="20"/>
    </row>
    <row r="407" spans="1:15" s="12" customFormat="1" ht="18">
      <c r="A407" s="178" t="s">
        <v>80</v>
      </c>
      <c r="B407" s="75" t="s">
        <v>188</v>
      </c>
      <c r="C407" s="39" t="s">
        <v>189</v>
      </c>
      <c r="D407" s="236"/>
      <c r="E407" s="236"/>
      <c r="F407" s="236"/>
      <c r="G407" s="236"/>
      <c r="H407" s="40">
        <f>SUM(Tabla13211242[[#This Row],[PRIMER TRIMESTRE]:[CUARTO TRIMESTRE]])</f>
        <v>0</v>
      </c>
      <c r="I407" s="17">
        <v>104.4</v>
      </c>
      <c r="J407" s="17">
        <f>+Tabla13211242[[#This Row],[CANTIDAD TOTAL]]*Tabla13211242[[#This Row],[PRECIO UNITARIO ESTIMADO]]</f>
        <v>0</v>
      </c>
      <c r="K407" s="17"/>
      <c r="L407" s="16" t="s">
        <v>18</v>
      </c>
      <c r="M407" s="16" t="s">
        <v>22</v>
      </c>
      <c r="N407" s="39" t="s">
        <v>418</v>
      </c>
      <c r="O407" s="20"/>
    </row>
    <row r="408" spans="1:15" s="12" customFormat="1" ht="18">
      <c r="A408" s="178" t="s">
        <v>80</v>
      </c>
      <c r="B408" s="75" t="s">
        <v>1760</v>
      </c>
      <c r="C408" s="39" t="s">
        <v>17</v>
      </c>
      <c r="D408" s="236"/>
      <c r="E408" s="236"/>
      <c r="F408" s="236"/>
      <c r="G408" s="236"/>
      <c r="H408" s="40">
        <v>0</v>
      </c>
      <c r="I408" s="17">
        <v>0</v>
      </c>
      <c r="J408" s="17">
        <v>0</v>
      </c>
      <c r="K408" s="17"/>
      <c r="L408" s="16" t="s">
        <v>18</v>
      </c>
      <c r="M408" s="16" t="s">
        <v>22</v>
      </c>
      <c r="N408" s="39" t="s">
        <v>418</v>
      </c>
      <c r="O408" s="20"/>
    </row>
    <row r="409" spans="1:15" s="12" customFormat="1" ht="18">
      <c r="A409" s="178" t="s">
        <v>80</v>
      </c>
      <c r="B409" s="75" t="s">
        <v>1761</v>
      </c>
      <c r="C409" s="39" t="s">
        <v>17</v>
      </c>
      <c r="D409" s="236"/>
      <c r="E409" s="236"/>
      <c r="F409" s="236"/>
      <c r="G409" s="236"/>
      <c r="H409" s="40">
        <v>0</v>
      </c>
      <c r="I409" s="17">
        <v>0</v>
      </c>
      <c r="J409" s="17">
        <v>0</v>
      </c>
      <c r="K409" s="17"/>
      <c r="L409" s="16" t="s">
        <v>18</v>
      </c>
      <c r="M409" s="16" t="s">
        <v>22</v>
      </c>
      <c r="N409" s="39" t="s">
        <v>418</v>
      </c>
      <c r="O409" s="20"/>
    </row>
    <row r="410" spans="1:15" s="12" customFormat="1" ht="18">
      <c r="A410" s="178" t="s">
        <v>80</v>
      </c>
      <c r="B410" s="75" t="s">
        <v>191</v>
      </c>
      <c r="C410" s="39" t="s">
        <v>17</v>
      </c>
      <c r="D410" s="236"/>
      <c r="E410" s="236"/>
      <c r="F410" s="236"/>
      <c r="G410" s="236"/>
      <c r="H410" s="40">
        <f>SUM(Tabla13211242[[#This Row],[PRIMER TRIMESTRE]:[CUARTO TRIMESTRE]])</f>
        <v>0</v>
      </c>
      <c r="I410" s="17">
        <v>754</v>
      </c>
      <c r="J410" s="17">
        <f>+Tabla13211242[[#This Row],[CANTIDAD TOTAL]]*Tabla13211242[[#This Row],[PRECIO UNITARIO ESTIMADO]]</f>
        <v>0</v>
      </c>
      <c r="K410" s="17"/>
      <c r="L410" s="16" t="s">
        <v>18</v>
      </c>
      <c r="M410" s="16" t="s">
        <v>22</v>
      </c>
      <c r="N410" s="39" t="s">
        <v>418</v>
      </c>
      <c r="O410" s="20"/>
    </row>
    <row r="411" spans="1:15" s="12" customFormat="1" ht="18">
      <c r="A411" s="178" t="s">
        <v>80</v>
      </c>
      <c r="B411" s="75" t="s">
        <v>193</v>
      </c>
      <c r="C411" s="39" t="s">
        <v>17</v>
      </c>
      <c r="D411" s="236"/>
      <c r="E411" s="236"/>
      <c r="F411" s="236"/>
      <c r="G411" s="236"/>
      <c r="H411" s="40">
        <f>SUM(Tabla13211242[[#This Row],[PRIMER TRIMESTRE]:[CUARTO TRIMESTRE]])</f>
        <v>0</v>
      </c>
      <c r="I411" s="17">
        <v>222.06</v>
      </c>
      <c r="J411" s="17">
        <f>+Tabla13211242[[#This Row],[CANTIDAD TOTAL]]*Tabla13211242[[#This Row],[PRECIO UNITARIO ESTIMADO]]</f>
        <v>0</v>
      </c>
      <c r="K411" s="17"/>
      <c r="L411" s="16" t="s">
        <v>18</v>
      </c>
      <c r="M411" s="16" t="s">
        <v>22</v>
      </c>
      <c r="N411" s="39" t="s">
        <v>418</v>
      </c>
      <c r="O411" s="20"/>
    </row>
    <row r="412" spans="1:15" s="12" customFormat="1" ht="18">
      <c r="A412" s="178" t="s">
        <v>80</v>
      </c>
      <c r="B412" s="75" t="s">
        <v>1429</v>
      </c>
      <c r="C412" s="39" t="s">
        <v>17</v>
      </c>
      <c r="D412" s="236"/>
      <c r="E412" s="236"/>
      <c r="F412" s="236"/>
      <c r="G412" s="236"/>
      <c r="H412" s="40">
        <f>SUM(Tabla13211242[[#This Row],[PRIMER TRIMESTRE]:[CUARTO TRIMESTRE]])</f>
        <v>0</v>
      </c>
      <c r="I412" s="17">
        <v>1.23</v>
      </c>
      <c r="J412" s="17">
        <f>+H412*I412</f>
        <v>0</v>
      </c>
      <c r="K412" s="17"/>
      <c r="L412" s="16" t="s">
        <v>18</v>
      </c>
      <c r="M412" s="16" t="s">
        <v>22</v>
      </c>
      <c r="N412" s="39" t="s">
        <v>418</v>
      </c>
      <c r="O412" s="20"/>
    </row>
    <row r="413" spans="1:15" s="12" customFormat="1" ht="18">
      <c r="A413" s="178" t="s">
        <v>80</v>
      </c>
      <c r="B413" s="75" t="s">
        <v>654</v>
      </c>
      <c r="C413" s="39" t="s">
        <v>17</v>
      </c>
      <c r="D413" s="236"/>
      <c r="E413" s="236"/>
      <c r="F413" s="236"/>
      <c r="G413" s="236"/>
      <c r="H413" s="40">
        <f>SUM(Tabla13211242[[#This Row],[PRIMER TRIMESTRE]:[CUARTO TRIMESTRE]])</f>
        <v>0</v>
      </c>
      <c r="I413" s="17">
        <v>2.86</v>
      </c>
      <c r="J413" s="17">
        <f>+Tabla13211242[[#This Row],[CANTIDAD TOTAL]]*Tabla13211242[[#This Row],[PRECIO UNITARIO ESTIMADO]]</f>
        <v>0</v>
      </c>
      <c r="K413" s="17"/>
      <c r="L413" s="16" t="s">
        <v>18</v>
      </c>
      <c r="M413" s="16" t="s">
        <v>22</v>
      </c>
      <c r="N413" s="39" t="s">
        <v>418</v>
      </c>
      <c r="O413" s="20"/>
    </row>
    <row r="414" spans="1:15" s="12" customFormat="1" ht="18">
      <c r="A414" s="178" t="s">
        <v>80</v>
      </c>
      <c r="B414" s="75" t="s">
        <v>655</v>
      </c>
      <c r="C414" s="39" t="s">
        <v>17</v>
      </c>
      <c r="D414" s="236"/>
      <c r="E414" s="236"/>
      <c r="F414" s="236"/>
      <c r="G414" s="236"/>
      <c r="H414" s="40">
        <f>SUM(Tabla13211242[[#This Row],[PRIMER TRIMESTRE]:[CUARTO TRIMESTRE]])</f>
        <v>0</v>
      </c>
      <c r="I414" s="17">
        <v>4.09</v>
      </c>
      <c r="J414" s="17">
        <f>+Tabla13211242[[#This Row],[CANTIDAD TOTAL]]*Tabla13211242[[#This Row],[PRECIO UNITARIO ESTIMADO]]</f>
        <v>0</v>
      </c>
      <c r="K414" s="17"/>
      <c r="L414" s="16" t="s">
        <v>18</v>
      </c>
      <c r="M414" s="16" t="s">
        <v>22</v>
      </c>
      <c r="N414" s="39" t="s">
        <v>418</v>
      </c>
      <c r="O414" s="20"/>
    </row>
    <row r="415" spans="1:15" s="12" customFormat="1" ht="18">
      <c r="A415" s="178" t="s">
        <v>80</v>
      </c>
      <c r="B415" s="75" t="s">
        <v>659</v>
      </c>
      <c r="C415" s="39" t="s">
        <v>17</v>
      </c>
      <c r="D415" s="236"/>
      <c r="E415" s="236"/>
      <c r="F415" s="236"/>
      <c r="G415" s="236"/>
      <c r="H415" s="40">
        <f>SUM(Tabla13211242[[#This Row],[PRIMER TRIMESTRE]:[CUARTO TRIMESTRE]])</f>
        <v>0</v>
      </c>
      <c r="I415" s="72">
        <v>11.82</v>
      </c>
      <c r="J415" s="17">
        <f>+H415*I415</f>
        <v>0</v>
      </c>
      <c r="K415" s="17"/>
      <c r="L415" s="16" t="s">
        <v>18</v>
      </c>
      <c r="M415" s="16" t="s">
        <v>22</v>
      </c>
      <c r="N415" s="39" t="s">
        <v>418</v>
      </c>
      <c r="O415" s="20"/>
    </row>
    <row r="416" spans="1:15" s="12" customFormat="1" ht="18">
      <c r="A416" s="178" t="s">
        <v>80</v>
      </c>
      <c r="B416" s="75" t="s">
        <v>660</v>
      </c>
      <c r="C416" s="39" t="s">
        <v>17</v>
      </c>
      <c r="D416" s="236"/>
      <c r="E416" s="236"/>
      <c r="F416" s="236"/>
      <c r="G416" s="236"/>
      <c r="H416" s="40">
        <f>SUM(Tabla13211242[[#This Row],[PRIMER TRIMESTRE]:[CUARTO TRIMESTRE]])</f>
        <v>0</v>
      </c>
      <c r="I416" s="72">
        <v>13.65</v>
      </c>
      <c r="J416" s="17">
        <f>+H416*I416</f>
        <v>0</v>
      </c>
      <c r="K416" s="17"/>
      <c r="L416" s="16" t="s">
        <v>18</v>
      </c>
      <c r="M416" s="16" t="s">
        <v>22</v>
      </c>
      <c r="N416" s="39" t="s">
        <v>418</v>
      </c>
      <c r="O416" s="20"/>
    </row>
    <row r="417" spans="1:15" s="12" customFormat="1" ht="18">
      <c r="A417" s="178" t="s">
        <v>80</v>
      </c>
      <c r="B417" s="75" t="s">
        <v>656</v>
      </c>
      <c r="C417" s="39" t="s">
        <v>17</v>
      </c>
      <c r="D417" s="236"/>
      <c r="E417" s="236"/>
      <c r="F417" s="236"/>
      <c r="G417" s="236"/>
      <c r="H417" s="40">
        <f>SUM(Tabla13211242[[#This Row],[PRIMER TRIMESTRE]:[CUARTO TRIMESTRE]])</f>
        <v>0</v>
      </c>
      <c r="I417" s="17">
        <v>22.39</v>
      </c>
      <c r="J417" s="17">
        <f>+Tabla13211242[[#This Row],[CANTIDAD TOTAL]]*Tabla13211242[[#This Row],[PRECIO UNITARIO ESTIMADO]]</f>
        <v>0</v>
      </c>
      <c r="K417" s="17"/>
      <c r="L417" s="16" t="s">
        <v>18</v>
      </c>
      <c r="M417" s="16" t="s">
        <v>22</v>
      </c>
      <c r="N417" s="39" t="s">
        <v>418</v>
      </c>
      <c r="O417" s="20"/>
    </row>
    <row r="418" spans="1:15" s="12" customFormat="1" ht="18">
      <c r="A418" s="178" t="s">
        <v>80</v>
      </c>
      <c r="B418" s="75" t="s">
        <v>657</v>
      </c>
      <c r="C418" s="39" t="s">
        <v>17</v>
      </c>
      <c r="D418" s="236"/>
      <c r="E418" s="236"/>
      <c r="F418" s="236"/>
      <c r="G418" s="236"/>
      <c r="H418" s="40">
        <f>SUM(Tabla13211242[[#This Row],[PRIMER TRIMESTRE]:[CUARTO TRIMESTRE]])</f>
        <v>0</v>
      </c>
      <c r="I418" s="17">
        <v>59.97</v>
      </c>
      <c r="J418" s="17">
        <f>+Tabla13211242[[#This Row],[CANTIDAD TOTAL]]*Tabla13211242[[#This Row],[PRECIO UNITARIO ESTIMADO]]</f>
        <v>0</v>
      </c>
      <c r="K418" s="17"/>
      <c r="L418" s="16" t="s">
        <v>18</v>
      </c>
      <c r="M418" s="16" t="s">
        <v>22</v>
      </c>
      <c r="N418" s="39" t="s">
        <v>418</v>
      </c>
      <c r="O418" s="20"/>
    </row>
    <row r="419" spans="1:15" s="12" customFormat="1" ht="18">
      <c r="A419" s="178" t="s">
        <v>80</v>
      </c>
      <c r="B419" s="75" t="s">
        <v>658</v>
      </c>
      <c r="C419" s="39" t="s">
        <v>17</v>
      </c>
      <c r="D419" s="236"/>
      <c r="E419" s="236"/>
      <c r="F419" s="236"/>
      <c r="G419" s="236"/>
      <c r="H419" s="40">
        <f>SUM(Tabla13211242[[#This Row],[PRIMER TRIMESTRE]:[CUARTO TRIMESTRE]])</f>
        <v>0</v>
      </c>
      <c r="I419" s="17">
        <v>101.5</v>
      </c>
      <c r="J419" s="17">
        <f>+Tabla13211242[[#This Row],[CANTIDAD TOTAL]]*Tabla13211242[[#This Row],[PRECIO UNITARIO ESTIMADO]]</f>
        <v>0</v>
      </c>
      <c r="K419" s="17"/>
      <c r="L419" s="16" t="s">
        <v>18</v>
      </c>
      <c r="M419" s="16" t="s">
        <v>22</v>
      </c>
      <c r="N419" s="39" t="s">
        <v>418</v>
      </c>
      <c r="O419" s="20"/>
    </row>
    <row r="420" spans="1:15" s="12" customFormat="1" ht="18">
      <c r="A420" s="178" t="s">
        <v>80</v>
      </c>
      <c r="B420" s="75" t="s">
        <v>202</v>
      </c>
      <c r="C420" s="39" t="s">
        <v>17</v>
      </c>
      <c r="D420" s="236"/>
      <c r="E420" s="236"/>
      <c r="F420" s="236"/>
      <c r="G420" s="236"/>
      <c r="H420" s="40">
        <f>SUM(Tabla13211242[[#This Row],[PRIMER TRIMESTRE]:[CUARTO TRIMESTRE]])</f>
        <v>0</v>
      </c>
      <c r="I420" s="17">
        <v>3364</v>
      </c>
      <c r="J420" s="17">
        <f>+Tabla13211242[[#This Row],[CANTIDAD TOTAL]]*Tabla13211242[[#This Row],[PRECIO UNITARIO ESTIMADO]]</f>
        <v>0</v>
      </c>
      <c r="K420" s="17"/>
      <c r="L420" s="16" t="s">
        <v>18</v>
      </c>
      <c r="M420" s="16" t="s">
        <v>22</v>
      </c>
      <c r="N420" s="39" t="s">
        <v>418</v>
      </c>
      <c r="O420" s="20"/>
    </row>
    <row r="421" spans="1:15" s="12" customFormat="1" ht="18">
      <c r="A421" s="178" t="s">
        <v>80</v>
      </c>
      <c r="B421" s="75" t="s">
        <v>776</v>
      </c>
      <c r="C421" s="39" t="s">
        <v>17</v>
      </c>
      <c r="D421" s="236"/>
      <c r="E421" s="236"/>
      <c r="F421" s="236"/>
      <c r="G421" s="236"/>
      <c r="H421" s="40">
        <f>SUM(Tabla13211242[[#This Row],[PRIMER TRIMESTRE]:[CUARTO TRIMESTRE]])</f>
        <v>0</v>
      </c>
      <c r="I421" s="17">
        <v>32.479999999999997</v>
      </c>
      <c r="J421" s="17">
        <f>+Tabla13211242[[#This Row],[CANTIDAD TOTAL]]*Tabla13211242[[#This Row],[PRECIO UNITARIO ESTIMADO]]</f>
        <v>0</v>
      </c>
      <c r="K421" s="17"/>
      <c r="L421" s="16" t="s">
        <v>18</v>
      </c>
      <c r="M421" s="16" t="s">
        <v>22</v>
      </c>
      <c r="N421" s="39" t="s">
        <v>418</v>
      </c>
      <c r="O421" s="20"/>
    </row>
    <row r="422" spans="1:15" s="12" customFormat="1" ht="18">
      <c r="A422" s="178" t="s">
        <v>80</v>
      </c>
      <c r="B422" s="75" t="s">
        <v>205</v>
      </c>
      <c r="C422" s="39" t="s">
        <v>17</v>
      </c>
      <c r="D422" s="236"/>
      <c r="E422" s="236"/>
      <c r="F422" s="236"/>
      <c r="G422" s="236"/>
      <c r="H422" s="40">
        <f>SUM(Tabla13211242[[#This Row],[PRIMER TRIMESTRE]:[CUARTO TRIMESTRE]])</f>
        <v>0</v>
      </c>
      <c r="I422" s="17">
        <v>2.3199999999999998</v>
      </c>
      <c r="J422" s="17">
        <f>+Tabla13211242[[#This Row],[CANTIDAD TOTAL]]*Tabla13211242[[#This Row],[PRECIO UNITARIO ESTIMADO]]</f>
        <v>0</v>
      </c>
      <c r="K422" s="17"/>
      <c r="L422" s="16" t="s">
        <v>18</v>
      </c>
      <c r="M422" s="16" t="s">
        <v>22</v>
      </c>
      <c r="N422" s="39" t="s">
        <v>418</v>
      </c>
      <c r="O422" s="20"/>
    </row>
    <row r="423" spans="1:15" s="12" customFormat="1" ht="18">
      <c r="A423" s="178" t="s">
        <v>80</v>
      </c>
      <c r="B423" s="75" t="s">
        <v>206</v>
      </c>
      <c r="C423" s="39" t="s">
        <v>17</v>
      </c>
      <c r="D423" s="236"/>
      <c r="E423" s="236"/>
      <c r="F423" s="236"/>
      <c r="G423" s="236"/>
      <c r="H423" s="40">
        <f>SUM(Tabla13211242[[#This Row],[PRIMER TRIMESTRE]:[CUARTO TRIMESTRE]])</f>
        <v>0</v>
      </c>
      <c r="I423" s="17">
        <v>3.48</v>
      </c>
      <c r="J423" s="17">
        <f>+Tabla13211242[[#This Row],[CANTIDAD TOTAL]]*Tabla13211242[[#This Row],[PRECIO UNITARIO ESTIMADO]]</f>
        <v>0</v>
      </c>
      <c r="K423" s="17"/>
      <c r="L423" s="16" t="s">
        <v>18</v>
      </c>
      <c r="M423" s="16" t="s">
        <v>22</v>
      </c>
      <c r="N423" s="39" t="s">
        <v>418</v>
      </c>
      <c r="O423" s="20"/>
    </row>
    <row r="424" spans="1:15" s="12" customFormat="1" ht="18">
      <c r="A424" s="178" t="s">
        <v>80</v>
      </c>
      <c r="B424" s="75" t="s">
        <v>1335</v>
      </c>
      <c r="C424" s="39" t="s">
        <v>17</v>
      </c>
      <c r="D424" s="236"/>
      <c r="E424" s="236"/>
      <c r="F424" s="236"/>
      <c r="G424" s="236"/>
      <c r="H424" s="40">
        <f>SUM(Tabla13211242[[#This Row],[PRIMER TRIMESTRE]:[CUARTO TRIMESTRE]])</f>
        <v>0</v>
      </c>
      <c r="I424" s="17">
        <v>9.44</v>
      </c>
      <c r="J424" s="17">
        <f t="shared" ref="J424:J487" si="11">+H424*I424</f>
        <v>0</v>
      </c>
      <c r="K424" s="17"/>
      <c r="L424" s="16" t="s">
        <v>18</v>
      </c>
      <c r="M424" s="16" t="s">
        <v>22</v>
      </c>
      <c r="N424" s="39" t="s">
        <v>418</v>
      </c>
      <c r="O424" s="20"/>
    </row>
    <row r="425" spans="1:15" s="12" customFormat="1" ht="18">
      <c r="A425" s="178" t="s">
        <v>80</v>
      </c>
      <c r="B425" s="75" t="s">
        <v>1336</v>
      </c>
      <c r="C425" s="39" t="s">
        <v>17</v>
      </c>
      <c r="D425" s="236"/>
      <c r="E425" s="236"/>
      <c r="F425" s="236"/>
      <c r="G425" s="236"/>
      <c r="H425" s="40">
        <f>SUM(Tabla13211242[[#This Row],[PRIMER TRIMESTRE]:[CUARTO TRIMESTRE]])</f>
        <v>0</v>
      </c>
      <c r="I425" s="17">
        <v>5.9</v>
      </c>
      <c r="J425" s="17">
        <f t="shared" si="11"/>
        <v>0</v>
      </c>
      <c r="K425" s="17"/>
      <c r="L425" s="16" t="s">
        <v>18</v>
      </c>
      <c r="M425" s="16" t="s">
        <v>22</v>
      </c>
      <c r="N425" s="39" t="s">
        <v>418</v>
      </c>
      <c r="O425" s="20"/>
    </row>
    <row r="426" spans="1:15" s="12" customFormat="1" ht="18">
      <c r="A426" s="178" t="s">
        <v>80</v>
      </c>
      <c r="B426" s="75" t="s">
        <v>1337</v>
      </c>
      <c r="C426" s="39" t="s">
        <v>17</v>
      </c>
      <c r="D426" s="236"/>
      <c r="E426" s="236"/>
      <c r="F426" s="236"/>
      <c r="G426" s="236"/>
      <c r="H426" s="40">
        <f>SUM(Tabla13211242[[#This Row],[PRIMER TRIMESTRE]:[CUARTO TRIMESTRE]])</f>
        <v>0</v>
      </c>
      <c r="I426" s="17">
        <v>3.54</v>
      </c>
      <c r="J426" s="17">
        <f t="shared" si="11"/>
        <v>0</v>
      </c>
      <c r="K426" s="17"/>
      <c r="L426" s="16" t="s">
        <v>18</v>
      </c>
      <c r="M426" s="16" t="s">
        <v>22</v>
      </c>
      <c r="N426" s="39" t="s">
        <v>418</v>
      </c>
      <c r="O426" s="20"/>
    </row>
    <row r="427" spans="1:15" s="12" customFormat="1" ht="18">
      <c r="A427" s="178" t="s">
        <v>80</v>
      </c>
      <c r="B427" s="75" t="s">
        <v>638</v>
      </c>
      <c r="C427" s="39" t="s">
        <v>17</v>
      </c>
      <c r="D427" s="236"/>
      <c r="E427" s="236"/>
      <c r="F427" s="240"/>
      <c r="G427" s="236"/>
      <c r="H427" s="40">
        <f>SUM(Tabla13211242[[#This Row],[PRIMER TRIMESTRE]:[CUARTO TRIMESTRE]])</f>
        <v>0</v>
      </c>
      <c r="I427" s="72">
        <v>7.28</v>
      </c>
      <c r="J427" s="17">
        <f t="shared" si="11"/>
        <v>0</v>
      </c>
      <c r="K427" s="17"/>
      <c r="L427" s="16" t="s">
        <v>18</v>
      </c>
      <c r="M427" s="16" t="s">
        <v>22</v>
      </c>
      <c r="N427" s="39" t="s">
        <v>418</v>
      </c>
      <c r="O427" s="20"/>
    </row>
    <row r="428" spans="1:15" s="12" customFormat="1" ht="18">
      <c r="A428" s="178" t="s">
        <v>80</v>
      </c>
      <c r="B428" s="75" t="s">
        <v>639</v>
      </c>
      <c r="C428" s="39" t="s">
        <v>17</v>
      </c>
      <c r="D428" s="236"/>
      <c r="E428" s="236"/>
      <c r="F428" s="240"/>
      <c r="G428" s="236"/>
      <c r="H428" s="40">
        <f>SUM(Tabla13211242[[#This Row],[PRIMER TRIMESTRE]:[CUARTO TRIMESTRE]])</f>
        <v>0</v>
      </c>
      <c r="I428" s="72">
        <v>11.82</v>
      </c>
      <c r="J428" s="17">
        <f t="shared" si="11"/>
        <v>0</v>
      </c>
      <c r="K428" s="17"/>
      <c r="L428" s="16" t="s">
        <v>18</v>
      </c>
      <c r="M428" s="16" t="s">
        <v>22</v>
      </c>
      <c r="N428" s="39"/>
      <c r="O428" s="20"/>
    </row>
    <row r="429" spans="1:15" s="12" customFormat="1" ht="18">
      <c r="A429" s="178" t="s">
        <v>80</v>
      </c>
      <c r="B429" s="75" t="s">
        <v>642</v>
      </c>
      <c r="C429" s="39" t="s">
        <v>17</v>
      </c>
      <c r="D429" s="236"/>
      <c r="E429" s="236"/>
      <c r="F429" s="240"/>
      <c r="G429" s="236"/>
      <c r="H429" s="40">
        <f>SUM(Tabla13211242[[#This Row],[PRIMER TRIMESTRE]:[CUARTO TRIMESTRE]])</f>
        <v>0</v>
      </c>
      <c r="I429" s="72">
        <v>22.74</v>
      </c>
      <c r="J429" s="17">
        <f t="shared" si="11"/>
        <v>0</v>
      </c>
      <c r="K429" s="17"/>
      <c r="L429" s="16" t="s">
        <v>18</v>
      </c>
      <c r="M429" s="16" t="s">
        <v>22</v>
      </c>
      <c r="N429" s="39"/>
      <c r="O429" s="20"/>
    </row>
    <row r="430" spans="1:15" s="12" customFormat="1" ht="18">
      <c r="A430" s="178" t="s">
        <v>80</v>
      </c>
      <c r="B430" s="75" t="s">
        <v>643</v>
      </c>
      <c r="C430" s="39" t="s">
        <v>17</v>
      </c>
      <c r="D430" s="236"/>
      <c r="E430" s="236"/>
      <c r="F430" s="240"/>
      <c r="G430" s="236"/>
      <c r="H430" s="40">
        <f>SUM(Tabla13211242[[#This Row],[PRIMER TRIMESTRE]:[CUARTO TRIMESTRE]])</f>
        <v>0</v>
      </c>
      <c r="I430" s="72">
        <v>53.66</v>
      </c>
      <c r="J430" s="17">
        <f t="shared" si="11"/>
        <v>0</v>
      </c>
      <c r="K430" s="17"/>
      <c r="L430" s="16" t="s">
        <v>18</v>
      </c>
      <c r="M430" s="16" t="s">
        <v>22</v>
      </c>
      <c r="N430" s="39"/>
      <c r="O430" s="20"/>
    </row>
    <row r="431" spans="1:15" s="12" customFormat="1" ht="18">
      <c r="A431" s="178" t="s">
        <v>80</v>
      </c>
      <c r="B431" s="75" t="s">
        <v>640</v>
      </c>
      <c r="C431" s="39" t="s">
        <v>17</v>
      </c>
      <c r="D431" s="236"/>
      <c r="E431" s="236"/>
      <c r="F431" s="240"/>
      <c r="G431" s="236"/>
      <c r="H431" s="40">
        <f>SUM(Tabla13211242[[#This Row],[PRIMER TRIMESTRE]:[CUARTO TRIMESTRE]])</f>
        <v>0</v>
      </c>
      <c r="I431" s="72">
        <v>90</v>
      </c>
      <c r="J431" s="17">
        <f t="shared" si="11"/>
        <v>0</v>
      </c>
      <c r="K431" s="17"/>
      <c r="L431" s="16" t="s">
        <v>18</v>
      </c>
      <c r="M431" s="16" t="s">
        <v>22</v>
      </c>
      <c r="N431" s="39"/>
      <c r="O431" s="20"/>
    </row>
    <row r="432" spans="1:15" s="12" customFormat="1" ht="18">
      <c r="A432" s="178" t="s">
        <v>80</v>
      </c>
      <c r="B432" s="75" t="s">
        <v>641</v>
      </c>
      <c r="C432" s="39" t="s">
        <v>17</v>
      </c>
      <c r="D432" s="236"/>
      <c r="E432" s="236"/>
      <c r="F432" s="236"/>
      <c r="G432" s="236"/>
      <c r="H432" s="40">
        <f>SUM(Tabla13211242[[#This Row],[PRIMER TRIMESTRE]:[CUARTO TRIMESTRE]])</f>
        <v>0</v>
      </c>
      <c r="I432" s="72">
        <v>1799.03</v>
      </c>
      <c r="J432" s="17">
        <f t="shared" si="11"/>
        <v>0</v>
      </c>
      <c r="K432" s="17"/>
      <c r="L432" s="16" t="s">
        <v>18</v>
      </c>
      <c r="M432" s="16" t="s">
        <v>22</v>
      </c>
      <c r="N432" s="39"/>
      <c r="O432" s="20"/>
    </row>
    <row r="433" spans="1:15" s="12" customFormat="1" ht="18">
      <c r="A433" s="178" t="s">
        <v>80</v>
      </c>
      <c r="B433" s="75" t="s">
        <v>607</v>
      </c>
      <c r="C433" s="39" t="s">
        <v>17</v>
      </c>
      <c r="D433" s="236"/>
      <c r="E433" s="236"/>
      <c r="F433" s="236"/>
      <c r="G433" s="236"/>
      <c r="H433" s="40">
        <f>SUM(Tabla13211242[[#This Row],[PRIMER TRIMESTRE]:[CUARTO TRIMESTRE]])</f>
        <v>0</v>
      </c>
      <c r="I433" s="17">
        <v>3068</v>
      </c>
      <c r="J433" s="17">
        <f t="shared" si="11"/>
        <v>0</v>
      </c>
      <c r="K433" s="17"/>
      <c r="L433" s="16" t="s">
        <v>18</v>
      </c>
      <c r="M433" s="16" t="s">
        <v>22</v>
      </c>
      <c r="N433" s="39"/>
      <c r="O433" s="20"/>
    </row>
    <row r="434" spans="1:15" s="12" customFormat="1" ht="18">
      <c r="A434" s="178" t="s">
        <v>80</v>
      </c>
      <c r="B434" s="75" t="s">
        <v>608</v>
      </c>
      <c r="C434" s="39" t="s">
        <v>17</v>
      </c>
      <c r="D434" s="236"/>
      <c r="E434" s="236"/>
      <c r="F434" s="236"/>
      <c r="G434" s="236"/>
      <c r="H434" s="40">
        <f>SUM(Tabla13211242[[#This Row],[PRIMER TRIMESTRE]:[CUARTO TRIMESTRE]])</f>
        <v>0</v>
      </c>
      <c r="I434" s="17">
        <v>4425</v>
      </c>
      <c r="J434" s="17">
        <f t="shared" si="11"/>
        <v>0</v>
      </c>
      <c r="K434" s="17"/>
      <c r="L434" s="16" t="s">
        <v>18</v>
      </c>
      <c r="M434" s="16" t="s">
        <v>22</v>
      </c>
      <c r="N434" s="39"/>
      <c r="O434" s="20"/>
    </row>
    <row r="435" spans="1:15" s="12" customFormat="1" ht="18">
      <c r="A435" s="178" t="s">
        <v>80</v>
      </c>
      <c r="B435" s="75" t="s">
        <v>609</v>
      </c>
      <c r="C435" s="39" t="s">
        <v>17</v>
      </c>
      <c r="D435" s="236"/>
      <c r="E435" s="236"/>
      <c r="F435" s="236"/>
      <c r="G435" s="236"/>
      <c r="H435" s="40">
        <f>SUM(Tabla13211242[[#This Row],[PRIMER TRIMESTRE]:[CUARTO TRIMESTRE]])</f>
        <v>0</v>
      </c>
      <c r="I435" s="17">
        <v>5074</v>
      </c>
      <c r="J435" s="17">
        <f t="shared" si="11"/>
        <v>0</v>
      </c>
      <c r="K435" s="17"/>
      <c r="L435" s="16" t="s">
        <v>18</v>
      </c>
      <c r="M435" s="16" t="s">
        <v>22</v>
      </c>
      <c r="N435" s="39"/>
      <c r="O435" s="20"/>
    </row>
    <row r="436" spans="1:15" s="12" customFormat="1" ht="18">
      <c r="A436" s="178" t="s">
        <v>80</v>
      </c>
      <c r="B436" s="75" t="s">
        <v>610</v>
      </c>
      <c r="C436" s="39" t="s">
        <v>17</v>
      </c>
      <c r="D436" s="236"/>
      <c r="E436" s="236"/>
      <c r="F436" s="236"/>
      <c r="G436" s="236"/>
      <c r="H436" s="40">
        <f>SUM(Tabla13211242[[#This Row],[PRIMER TRIMESTRE]:[CUARTO TRIMESTRE]])</f>
        <v>0</v>
      </c>
      <c r="I436" s="17">
        <v>6431</v>
      </c>
      <c r="J436" s="17">
        <f t="shared" si="11"/>
        <v>0</v>
      </c>
      <c r="K436" s="17"/>
      <c r="L436" s="16" t="s">
        <v>18</v>
      </c>
      <c r="M436" s="16" t="s">
        <v>22</v>
      </c>
      <c r="N436" s="39"/>
      <c r="O436" s="20"/>
    </row>
    <row r="437" spans="1:15" s="12" customFormat="1" ht="18">
      <c r="A437" s="178" t="s">
        <v>80</v>
      </c>
      <c r="B437" s="75" t="s">
        <v>611</v>
      </c>
      <c r="C437" s="39" t="s">
        <v>17</v>
      </c>
      <c r="D437" s="236"/>
      <c r="E437" s="236"/>
      <c r="F437" s="236"/>
      <c r="G437" s="236"/>
      <c r="H437" s="40">
        <f>SUM(Tabla13211242[[#This Row],[PRIMER TRIMESTRE]:[CUARTO TRIMESTRE]])</f>
        <v>0</v>
      </c>
      <c r="I437" s="17">
        <v>7943</v>
      </c>
      <c r="J437" s="17">
        <f t="shared" si="11"/>
        <v>0</v>
      </c>
      <c r="K437" s="17"/>
      <c r="L437" s="16" t="s">
        <v>18</v>
      </c>
      <c r="M437" s="16" t="s">
        <v>22</v>
      </c>
      <c r="N437" s="39"/>
      <c r="O437" s="20"/>
    </row>
    <row r="438" spans="1:15" s="12" customFormat="1" ht="18">
      <c r="A438" s="178" t="s">
        <v>80</v>
      </c>
      <c r="B438" s="75" t="s">
        <v>612</v>
      </c>
      <c r="C438" s="39" t="s">
        <v>17</v>
      </c>
      <c r="D438" s="236"/>
      <c r="E438" s="236"/>
      <c r="F438" s="236"/>
      <c r="G438" s="236"/>
      <c r="H438" s="40">
        <f>SUM(Tabla13211242[[#This Row],[PRIMER TRIMESTRE]:[CUARTO TRIMESTRE]])</f>
        <v>0</v>
      </c>
      <c r="I438" s="17">
        <v>9145</v>
      </c>
      <c r="J438" s="17">
        <f t="shared" si="11"/>
        <v>0</v>
      </c>
      <c r="K438" s="17"/>
      <c r="L438" s="16" t="s">
        <v>18</v>
      </c>
      <c r="M438" s="16" t="s">
        <v>22</v>
      </c>
      <c r="N438" s="39"/>
      <c r="O438" s="20"/>
    </row>
    <row r="439" spans="1:15" s="12" customFormat="1" ht="18">
      <c r="A439" s="178" t="s">
        <v>80</v>
      </c>
      <c r="B439" s="75" t="s">
        <v>613</v>
      </c>
      <c r="C439" s="39" t="s">
        <v>17</v>
      </c>
      <c r="D439" s="236"/>
      <c r="E439" s="236"/>
      <c r="F439" s="236"/>
      <c r="G439" s="236"/>
      <c r="H439" s="40">
        <f>SUM(Tabla13211242[[#This Row],[PRIMER TRIMESTRE]:[CUARTO TRIMESTRE]])</f>
        <v>0</v>
      </c>
      <c r="I439" s="17">
        <v>10502</v>
      </c>
      <c r="J439" s="17">
        <f t="shared" si="11"/>
        <v>0</v>
      </c>
      <c r="K439" s="17"/>
      <c r="L439" s="16" t="s">
        <v>18</v>
      </c>
      <c r="M439" s="16" t="s">
        <v>22</v>
      </c>
      <c r="N439" s="39"/>
      <c r="O439" s="20"/>
    </row>
    <row r="440" spans="1:15" s="12" customFormat="1" ht="18">
      <c r="A440" s="178" t="s">
        <v>80</v>
      </c>
      <c r="B440" s="75" t="s">
        <v>614</v>
      </c>
      <c r="C440" s="39" t="s">
        <v>17</v>
      </c>
      <c r="D440" s="236"/>
      <c r="E440" s="236"/>
      <c r="F440" s="236"/>
      <c r="G440" s="236"/>
      <c r="H440" s="40">
        <f>SUM(Tabla13211242[[#This Row],[PRIMER TRIMESTRE]:[CUARTO TRIMESTRE]])</f>
        <v>0</v>
      </c>
      <c r="I440" s="17">
        <v>11564</v>
      </c>
      <c r="J440" s="17">
        <f t="shared" si="11"/>
        <v>0</v>
      </c>
      <c r="K440" s="17"/>
      <c r="L440" s="16" t="s">
        <v>18</v>
      </c>
      <c r="M440" s="16" t="s">
        <v>22</v>
      </c>
      <c r="N440" s="39"/>
      <c r="O440" s="20"/>
    </row>
    <row r="441" spans="1:15" s="12" customFormat="1" ht="18">
      <c r="A441" s="178" t="s">
        <v>80</v>
      </c>
      <c r="B441" s="75" t="s">
        <v>615</v>
      </c>
      <c r="C441" s="39" t="s">
        <v>17</v>
      </c>
      <c r="D441" s="236"/>
      <c r="E441" s="236"/>
      <c r="F441" s="236"/>
      <c r="G441" s="236"/>
      <c r="H441" s="40">
        <f>SUM(Tabla13211242[[#This Row],[PRIMER TRIMESTRE]:[CUARTO TRIMESTRE]])</f>
        <v>0</v>
      </c>
      <c r="I441" s="17">
        <v>13747</v>
      </c>
      <c r="J441" s="17">
        <f t="shared" si="11"/>
        <v>0</v>
      </c>
      <c r="K441" s="17"/>
      <c r="L441" s="16" t="s">
        <v>18</v>
      </c>
      <c r="M441" s="16" t="s">
        <v>22</v>
      </c>
      <c r="N441" s="39"/>
      <c r="O441" s="20"/>
    </row>
    <row r="442" spans="1:15" s="12" customFormat="1" ht="18">
      <c r="A442" s="178" t="s">
        <v>80</v>
      </c>
      <c r="B442" s="75" t="s">
        <v>1547</v>
      </c>
      <c r="C442" s="39" t="s">
        <v>17</v>
      </c>
      <c r="D442" s="236"/>
      <c r="E442" s="236"/>
      <c r="F442" s="236"/>
      <c r="G442" s="236"/>
      <c r="H442" s="236">
        <f>SUM(Tabla13211242[[#This Row],[PRIMER TRIMESTRE]:[CUARTO TRIMESTRE]])</f>
        <v>0</v>
      </c>
      <c r="I442" s="17">
        <v>700</v>
      </c>
      <c r="J442" s="17">
        <f t="shared" si="11"/>
        <v>0</v>
      </c>
      <c r="K442" s="17"/>
      <c r="L442" s="16" t="s">
        <v>18</v>
      </c>
      <c r="M442" s="16" t="s">
        <v>22</v>
      </c>
      <c r="N442" s="39"/>
      <c r="O442" s="20"/>
    </row>
    <row r="443" spans="1:15" s="12" customFormat="1" ht="18">
      <c r="A443" s="178" t="s">
        <v>80</v>
      </c>
      <c r="B443" s="75" t="s">
        <v>1577</v>
      </c>
      <c r="C443" s="39" t="s">
        <v>17</v>
      </c>
      <c r="D443" s="236"/>
      <c r="E443" s="236"/>
      <c r="F443" s="236"/>
      <c r="G443" s="236"/>
      <c r="H443" s="236">
        <f>SUM(Tabla13211242[[#This Row],[PRIMER TRIMESTRE]:[CUARTO TRIMESTRE]])</f>
        <v>0</v>
      </c>
      <c r="I443" s="17">
        <v>133.88999999999999</v>
      </c>
      <c r="J443" s="17">
        <f t="shared" si="11"/>
        <v>0</v>
      </c>
      <c r="K443" s="17"/>
      <c r="L443" s="16" t="s">
        <v>18</v>
      </c>
      <c r="M443" s="16" t="s">
        <v>22</v>
      </c>
      <c r="N443" s="39"/>
      <c r="O443" s="20"/>
    </row>
    <row r="444" spans="1:15" s="12" customFormat="1" ht="18">
      <c r="A444" s="178" t="s">
        <v>80</v>
      </c>
      <c r="B444" s="75" t="s">
        <v>1576</v>
      </c>
      <c r="C444" s="39" t="s">
        <v>17</v>
      </c>
      <c r="D444" s="236"/>
      <c r="E444" s="236"/>
      <c r="F444" s="236"/>
      <c r="G444" s="236"/>
      <c r="H444" s="236">
        <f>SUM(Tabla13211242[[#This Row],[PRIMER TRIMESTRE]:[CUARTO TRIMESTRE]])</f>
        <v>0</v>
      </c>
      <c r="I444" s="17">
        <v>21</v>
      </c>
      <c r="J444" s="17">
        <f t="shared" si="11"/>
        <v>0</v>
      </c>
      <c r="K444" s="17"/>
      <c r="L444" s="16" t="s">
        <v>18</v>
      </c>
      <c r="M444" s="16" t="s">
        <v>22</v>
      </c>
      <c r="N444" s="39"/>
      <c r="O444" s="20"/>
    </row>
    <row r="445" spans="1:15" s="12" customFormat="1" ht="18">
      <c r="A445" s="178" t="s">
        <v>80</v>
      </c>
      <c r="B445" s="75" t="s">
        <v>1727</v>
      </c>
      <c r="C445" s="39" t="s">
        <v>17</v>
      </c>
      <c r="D445" s="236"/>
      <c r="E445" s="236"/>
      <c r="F445" s="236"/>
      <c r="G445" s="236"/>
      <c r="H445" s="40">
        <v>0</v>
      </c>
      <c r="I445" s="17">
        <v>0</v>
      </c>
      <c r="J445" s="17">
        <v>0</v>
      </c>
      <c r="K445" s="17"/>
      <c r="L445" s="16" t="s">
        <v>18</v>
      </c>
      <c r="M445" s="16" t="s">
        <v>22</v>
      </c>
      <c r="N445" s="39"/>
      <c r="O445" s="20"/>
    </row>
    <row r="446" spans="1:15" s="12" customFormat="1" ht="18">
      <c r="A446" s="178" t="s">
        <v>80</v>
      </c>
      <c r="B446" s="75" t="s">
        <v>1575</v>
      </c>
      <c r="C446" s="39" t="s">
        <v>17</v>
      </c>
      <c r="D446" s="236"/>
      <c r="E446" s="236"/>
      <c r="F446" s="236"/>
      <c r="G446" s="236"/>
      <c r="H446" s="236">
        <f>SUM(Tabla13211242[[#This Row],[PRIMER TRIMESTRE]:[CUARTO TRIMESTRE]])</f>
        <v>0</v>
      </c>
      <c r="I446" s="17">
        <v>15.21</v>
      </c>
      <c r="J446" s="17">
        <f t="shared" si="11"/>
        <v>0</v>
      </c>
      <c r="K446" s="17"/>
      <c r="L446" s="16" t="s">
        <v>18</v>
      </c>
      <c r="M446" s="16" t="s">
        <v>22</v>
      </c>
      <c r="N446" s="39"/>
      <c r="O446" s="20"/>
    </row>
    <row r="447" spans="1:15" s="12" customFormat="1" ht="18">
      <c r="A447" s="178" t="s">
        <v>80</v>
      </c>
      <c r="B447" s="75" t="s">
        <v>1574</v>
      </c>
      <c r="C447" s="39" t="s">
        <v>17</v>
      </c>
      <c r="D447" s="236"/>
      <c r="E447" s="236"/>
      <c r="F447" s="236"/>
      <c r="G447" s="236"/>
      <c r="H447" s="236">
        <f>SUM(Tabla13211242[[#This Row],[PRIMER TRIMESTRE]:[CUARTO TRIMESTRE]])</f>
        <v>0</v>
      </c>
      <c r="I447" s="17">
        <v>1</v>
      </c>
      <c r="J447" s="17">
        <f t="shared" si="11"/>
        <v>0</v>
      </c>
      <c r="K447" s="17"/>
      <c r="L447" s="16" t="s">
        <v>18</v>
      </c>
      <c r="M447" s="16" t="s">
        <v>22</v>
      </c>
      <c r="N447" s="39"/>
      <c r="O447" s="20"/>
    </row>
    <row r="448" spans="1:15" s="12" customFormat="1" ht="18">
      <c r="A448" s="178" t="s">
        <v>80</v>
      </c>
      <c r="B448" s="75" t="s">
        <v>1338</v>
      </c>
      <c r="C448" s="39" t="s">
        <v>17</v>
      </c>
      <c r="D448" s="236"/>
      <c r="E448" s="236"/>
      <c r="F448" s="236"/>
      <c r="G448" s="236"/>
      <c r="H448" s="40">
        <f>SUM(Tabla13211242[[#This Row],[PRIMER TRIMESTRE]:[CUARTO TRIMESTRE]])</f>
        <v>0</v>
      </c>
      <c r="I448" s="17">
        <v>17.7</v>
      </c>
      <c r="J448" s="17">
        <f t="shared" si="11"/>
        <v>0</v>
      </c>
      <c r="K448" s="17"/>
      <c r="L448" s="16" t="s">
        <v>18</v>
      </c>
      <c r="M448" s="16" t="s">
        <v>22</v>
      </c>
      <c r="N448" s="39"/>
      <c r="O448" s="20"/>
    </row>
    <row r="449" spans="1:15" s="12" customFormat="1" ht="18">
      <c r="A449" s="178" t="s">
        <v>80</v>
      </c>
      <c r="B449" s="75" t="s">
        <v>1573</v>
      </c>
      <c r="C449" s="39" t="s">
        <v>17</v>
      </c>
      <c r="D449" s="236"/>
      <c r="E449" s="236"/>
      <c r="F449" s="236"/>
      <c r="G449" s="236"/>
      <c r="H449" s="40">
        <f>SUM(Tabla13211242[[#This Row],[PRIMER TRIMESTRE]:[CUARTO TRIMESTRE]])</f>
        <v>0</v>
      </c>
      <c r="I449" s="17">
        <v>20</v>
      </c>
      <c r="J449" s="17">
        <f t="shared" si="11"/>
        <v>0</v>
      </c>
      <c r="K449" s="17"/>
      <c r="L449" s="16" t="s">
        <v>18</v>
      </c>
      <c r="M449" s="16" t="s">
        <v>22</v>
      </c>
      <c r="N449" s="39"/>
      <c r="O449" s="20"/>
    </row>
    <row r="450" spans="1:15" s="12" customFormat="1" ht="18">
      <c r="A450" s="178" t="s">
        <v>80</v>
      </c>
      <c r="B450" s="75" t="s">
        <v>1339</v>
      </c>
      <c r="C450" s="39" t="s">
        <v>17</v>
      </c>
      <c r="D450" s="236"/>
      <c r="E450" s="236"/>
      <c r="F450" s="236"/>
      <c r="G450" s="236"/>
      <c r="H450" s="40">
        <f>SUM(Tabla13211242[[#This Row],[PRIMER TRIMESTRE]:[CUARTO TRIMESTRE]])</f>
        <v>0</v>
      </c>
      <c r="I450" s="17">
        <v>23.6</v>
      </c>
      <c r="J450" s="17">
        <f t="shared" si="11"/>
        <v>0</v>
      </c>
      <c r="K450" s="17"/>
      <c r="L450" s="16" t="s">
        <v>18</v>
      </c>
      <c r="M450" s="16" t="s">
        <v>22</v>
      </c>
      <c r="N450" s="39"/>
      <c r="O450" s="20"/>
    </row>
    <row r="451" spans="1:15" s="12" customFormat="1" ht="18">
      <c r="A451" s="178" t="s">
        <v>80</v>
      </c>
      <c r="B451" s="75" t="s">
        <v>1703</v>
      </c>
      <c r="C451" s="39" t="s">
        <v>17</v>
      </c>
      <c r="D451" s="236"/>
      <c r="E451" s="236"/>
      <c r="F451" s="236"/>
      <c r="G451" s="236"/>
      <c r="H451" s="40">
        <v>0</v>
      </c>
      <c r="I451" s="17">
        <v>0</v>
      </c>
      <c r="J451" s="17">
        <v>0</v>
      </c>
      <c r="K451" s="17"/>
      <c r="L451" s="16" t="s">
        <v>18</v>
      </c>
      <c r="M451" s="16" t="s">
        <v>22</v>
      </c>
      <c r="N451" s="39"/>
      <c r="O451" s="20"/>
    </row>
    <row r="452" spans="1:15" s="12" customFormat="1" ht="18">
      <c r="A452" s="178" t="s">
        <v>80</v>
      </c>
      <c r="B452" s="75" t="s">
        <v>1572</v>
      </c>
      <c r="C452" s="39" t="s">
        <v>17</v>
      </c>
      <c r="D452" s="236"/>
      <c r="E452" s="236"/>
      <c r="F452" s="236"/>
      <c r="G452" s="236"/>
      <c r="H452" s="40">
        <f>SUM(Tabla13211242[[#This Row],[PRIMER TRIMESTRE]:[CUARTO TRIMESTRE]])</f>
        <v>0</v>
      </c>
      <c r="I452" s="17">
        <v>2</v>
      </c>
      <c r="J452" s="17">
        <f t="shared" si="11"/>
        <v>0</v>
      </c>
      <c r="K452" s="17"/>
      <c r="L452" s="16" t="s">
        <v>18</v>
      </c>
      <c r="M452" s="16" t="s">
        <v>22</v>
      </c>
      <c r="N452" s="39"/>
      <c r="O452" s="20"/>
    </row>
    <row r="453" spans="1:15" s="12" customFormat="1" ht="18">
      <c r="A453" s="178" t="s">
        <v>80</v>
      </c>
      <c r="B453" s="75" t="s">
        <v>1428</v>
      </c>
      <c r="C453" s="39" t="s">
        <v>17</v>
      </c>
      <c r="D453" s="236"/>
      <c r="E453" s="236"/>
      <c r="F453" s="236"/>
      <c r="G453" s="236"/>
      <c r="H453" s="40">
        <f>SUM(Tabla13211242[[#This Row],[PRIMER TRIMESTRE]:[CUARTO TRIMESTRE]])</f>
        <v>0</v>
      </c>
      <c r="I453" s="17">
        <v>0.88</v>
      </c>
      <c r="J453" s="17">
        <f t="shared" si="11"/>
        <v>0</v>
      </c>
      <c r="K453" s="17"/>
      <c r="L453" s="16" t="s">
        <v>18</v>
      </c>
      <c r="M453" s="16" t="s">
        <v>22</v>
      </c>
      <c r="N453" s="39"/>
      <c r="O453" s="20"/>
    </row>
    <row r="454" spans="1:15" s="12" customFormat="1" ht="18">
      <c r="A454" s="178" t="s">
        <v>80</v>
      </c>
      <c r="B454" s="75" t="s">
        <v>1427</v>
      </c>
      <c r="C454" s="39" t="s">
        <v>17</v>
      </c>
      <c r="D454" s="236"/>
      <c r="E454" s="236"/>
      <c r="F454" s="236"/>
      <c r="G454" s="236"/>
      <c r="H454" s="40">
        <f>SUM(Tabla13211242[[#This Row],[PRIMER TRIMESTRE]:[CUARTO TRIMESTRE]])</f>
        <v>0</v>
      </c>
      <c r="I454" s="17">
        <v>1</v>
      </c>
      <c r="J454" s="17">
        <f t="shared" si="11"/>
        <v>0</v>
      </c>
      <c r="K454" s="17"/>
      <c r="L454" s="16" t="s">
        <v>18</v>
      </c>
      <c r="M454" s="16" t="s">
        <v>22</v>
      </c>
      <c r="N454" s="39"/>
      <c r="O454" s="20"/>
    </row>
    <row r="455" spans="1:15" s="12" customFormat="1" ht="18">
      <c r="A455" s="178" t="s">
        <v>80</v>
      </c>
      <c r="B455" s="75" t="s">
        <v>1433</v>
      </c>
      <c r="C455" s="39" t="s">
        <v>208</v>
      </c>
      <c r="D455" s="236"/>
      <c r="E455" s="236"/>
      <c r="F455" s="236"/>
      <c r="G455" s="236"/>
      <c r="H455" s="40">
        <f>SUM(Tabla13211242[[#This Row],[PRIMER TRIMESTRE]:[CUARTO TRIMESTRE]])</f>
        <v>0</v>
      </c>
      <c r="I455" s="17">
        <v>361.44</v>
      </c>
      <c r="J455" s="17">
        <f t="shared" si="11"/>
        <v>0</v>
      </c>
      <c r="K455" s="17"/>
      <c r="L455" s="16" t="s">
        <v>18</v>
      </c>
      <c r="M455" s="16" t="s">
        <v>22</v>
      </c>
      <c r="N455" s="39"/>
      <c r="O455" s="20"/>
    </row>
    <row r="456" spans="1:15" s="12" customFormat="1" ht="18">
      <c r="A456" s="178" t="s">
        <v>80</v>
      </c>
      <c r="B456" s="75" t="s">
        <v>1435</v>
      </c>
      <c r="C456" s="39" t="s">
        <v>17</v>
      </c>
      <c r="D456" s="236"/>
      <c r="E456" s="236"/>
      <c r="F456" s="236"/>
      <c r="G456" s="236"/>
      <c r="H456" s="40">
        <f>SUM(Tabla13211242[[#This Row],[PRIMER TRIMESTRE]:[CUARTO TRIMESTRE]])</f>
        <v>0</v>
      </c>
      <c r="I456" s="17">
        <v>1.1499999999999999</v>
      </c>
      <c r="J456" s="17">
        <f t="shared" si="11"/>
        <v>0</v>
      </c>
      <c r="K456" s="17"/>
      <c r="L456" s="16" t="s">
        <v>18</v>
      </c>
      <c r="M456" s="16" t="s">
        <v>22</v>
      </c>
      <c r="N456" s="39"/>
      <c r="O456" s="20"/>
    </row>
    <row r="457" spans="1:15" s="12" customFormat="1" ht="18">
      <c r="A457" s="178" t="s">
        <v>80</v>
      </c>
      <c r="B457" s="75" t="s">
        <v>1527</v>
      </c>
      <c r="C457" s="39" t="s">
        <v>17</v>
      </c>
      <c r="D457" s="236"/>
      <c r="E457" s="236"/>
      <c r="F457" s="236"/>
      <c r="G457" s="236"/>
      <c r="H457" s="236">
        <f>SUM(Tabla13211242[[#This Row],[PRIMER TRIMESTRE]:[CUARTO TRIMESTRE]])</f>
        <v>0</v>
      </c>
      <c r="I457" s="17">
        <v>12739.27</v>
      </c>
      <c r="J457" s="17">
        <f t="shared" si="11"/>
        <v>0</v>
      </c>
      <c r="K457" s="17"/>
      <c r="L457" s="16" t="s">
        <v>18</v>
      </c>
      <c r="M457" s="16" t="s">
        <v>22</v>
      </c>
      <c r="N457" s="39"/>
      <c r="O457" s="20"/>
    </row>
    <row r="458" spans="1:15" s="12" customFormat="1" ht="18">
      <c r="A458" s="178" t="s">
        <v>80</v>
      </c>
      <c r="B458" s="75" t="s">
        <v>702</v>
      </c>
      <c r="C458" s="39" t="s">
        <v>17</v>
      </c>
      <c r="D458" s="236"/>
      <c r="E458" s="236"/>
      <c r="F458" s="236"/>
      <c r="G458" s="236"/>
      <c r="H458" s="40">
        <f>SUM(Tabla13211242[[#This Row],[PRIMER TRIMESTRE]:[CUARTO TRIMESTRE]])</f>
        <v>0</v>
      </c>
      <c r="I458" s="17">
        <v>1052.51</v>
      </c>
      <c r="J458" s="17">
        <f t="shared" si="11"/>
        <v>0</v>
      </c>
      <c r="K458" s="17"/>
      <c r="L458" s="16" t="s">
        <v>18</v>
      </c>
      <c r="M458" s="16" t="s">
        <v>22</v>
      </c>
      <c r="N458" s="39"/>
      <c r="O458" s="20"/>
    </row>
    <row r="459" spans="1:15" s="12" customFormat="1" ht="18">
      <c r="A459" s="178" t="s">
        <v>80</v>
      </c>
      <c r="B459" s="75" t="s">
        <v>370</v>
      </c>
      <c r="C459" s="39" t="s">
        <v>17</v>
      </c>
      <c r="D459" s="236"/>
      <c r="E459" s="236"/>
      <c r="F459" s="236"/>
      <c r="G459" s="236"/>
      <c r="H459" s="40">
        <f>SUM(Tabla13211242[[#This Row],[PRIMER TRIMESTRE]:[CUARTO TRIMESTRE]])</f>
        <v>0</v>
      </c>
      <c r="I459" s="17">
        <v>3302.0937420000005</v>
      </c>
      <c r="J459" s="17">
        <f t="shared" si="11"/>
        <v>0</v>
      </c>
      <c r="K459" s="17"/>
      <c r="L459" s="16" t="s">
        <v>18</v>
      </c>
      <c r="M459" s="16" t="s">
        <v>22</v>
      </c>
      <c r="N459" s="39"/>
      <c r="O459" s="20"/>
    </row>
    <row r="460" spans="1:15" s="12" customFormat="1" ht="18">
      <c r="A460" s="178" t="s">
        <v>80</v>
      </c>
      <c r="B460" s="75" t="s">
        <v>371</v>
      </c>
      <c r="C460" s="39" t="s">
        <v>17</v>
      </c>
      <c r="D460" s="236"/>
      <c r="E460" s="236"/>
      <c r="F460" s="236"/>
      <c r="G460" s="236"/>
      <c r="H460" s="40">
        <f>SUM(Tabla13211242[[#This Row],[PRIMER TRIMESTRE]:[CUARTO TRIMESTRE]])</f>
        <v>0</v>
      </c>
      <c r="I460" s="17">
        <v>5605.3296870000004</v>
      </c>
      <c r="J460" s="17">
        <f t="shared" si="11"/>
        <v>0</v>
      </c>
      <c r="K460" s="17"/>
      <c r="L460" s="16" t="s">
        <v>18</v>
      </c>
      <c r="M460" s="16" t="s">
        <v>22</v>
      </c>
      <c r="N460" s="39"/>
      <c r="O460" s="20"/>
    </row>
    <row r="461" spans="1:15" s="12" customFormat="1" ht="18">
      <c r="A461" s="178" t="s">
        <v>80</v>
      </c>
      <c r="B461" s="75" t="s">
        <v>799</v>
      </c>
      <c r="C461" s="39" t="s">
        <v>17</v>
      </c>
      <c r="D461" s="236"/>
      <c r="E461" s="236"/>
      <c r="F461" s="236"/>
      <c r="G461" s="236"/>
      <c r="H461" s="40">
        <f>SUM(Tabla13211242[[#This Row],[PRIMER TRIMESTRE]:[CUARTO TRIMESTRE]])</f>
        <v>0</v>
      </c>
      <c r="I461" s="17">
        <v>12700</v>
      </c>
      <c r="J461" s="17">
        <f t="shared" si="11"/>
        <v>0</v>
      </c>
      <c r="K461" s="17"/>
      <c r="L461" s="16" t="s">
        <v>18</v>
      </c>
      <c r="M461" s="16" t="s">
        <v>22</v>
      </c>
      <c r="N461" s="39"/>
      <c r="O461" s="20"/>
    </row>
    <row r="462" spans="1:15" s="12" customFormat="1" ht="18">
      <c r="A462" s="178" t="s">
        <v>80</v>
      </c>
      <c r="B462" s="75" t="s">
        <v>372</v>
      </c>
      <c r="C462" s="39" t="s">
        <v>17</v>
      </c>
      <c r="D462" s="236"/>
      <c r="E462" s="236"/>
      <c r="F462" s="236"/>
      <c r="G462" s="236"/>
      <c r="H462" s="40">
        <f>SUM(Tabla13211242[[#This Row],[PRIMER TRIMESTRE]:[CUARTO TRIMESTRE]])</f>
        <v>0</v>
      </c>
      <c r="I462" s="17">
        <v>256.14999999999998</v>
      </c>
      <c r="J462" s="17">
        <f t="shared" si="11"/>
        <v>0</v>
      </c>
      <c r="K462" s="17"/>
      <c r="L462" s="16" t="s">
        <v>18</v>
      </c>
      <c r="M462" s="16" t="s">
        <v>22</v>
      </c>
      <c r="N462" s="39"/>
      <c r="O462" s="20"/>
    </row>
    <row r="463" spans="1:15" s="12" customFormat="1" ht="18">
      <c r="A463" s="178" t="s">
        <v>80</v>
      </c>
      <c r="B463" s="75" t="s">
        <v>373</v>
      </c>
      <c r="C463" s="39" t="s">
        <v>17</v>
      </c>
      <c r="D463" s="236"/>
      <c r="E463" s="236"/>
      <c r="F463" s="236"/>
      <c r="G463" s="236"/>
      <c r="H463" s="40">
        <f>SUM(Tabla13211242[[#This Row],[PRIMER TRIMESTRE]:[CUARTO TRIMESTRE]])</f>
        <v>0</v>
      </c>
      <c r="I463" s="17">
        <v>260.58531900000003</v>
      </c>
      <c r="J463" s="17">
        <f t="shared" si="11"/>
        <v>0</v>
      </c>
      <c r="K463" s="17"/>
      <c r="L463" s="16" t="s">
        <v>18</v>
      </c>
      <c r="M463" s="16" t="s">
        <v>22</v>
      </c>
      <c r="N463" s="39"/>
      <c r="O463" s="20"/>
    </row>
    <row r="464" spans="1:15" s="12" customFormat="1" ht="18">
      <c r="A464" s="178" t="s">
        <v>80</v>
      </c>
      <c r="B464" s="75" t="s">
        <v>374</v>
      </c>
      <c r="C464" s="39" t="s">
        <v>17</v>
      </c>
      <c r="D464" s="236"/>
      <c r="E464" s="236"/>
      <c r="F464" s="236"/>
      <c r="G464" s="236"/>
      <c r="H464" s="40">
        <f>SUM(Tabla13211242[[#This Row],[PRIMER TRIMESTRE]:[CUARTO TRIMESTRE]])</f>
        <v>0</v>
      </c>
      <c r="I464" s="17">
        <v>383.08377000000007</v>
      </c>
      <c r="J464" s="17">
        <f t="shared" si="11"/>
        <v>0</v>
      </c>
      <c r="K464" s="17"/>
      <c r="L464" s="16" t="s">
        <v>18</v>
      </c>
      <c r="M464" s="16" t="s">
        <v>22</v>
      </c>
      <c r="N464" s="39"/>
      <c r="O464" s="20"/>
    </row>
    <row r="465" spans="1:15" s="12" customFormat="1" ht="18">
      <c r="A465" s="178" t="s">
        <v>80</v>
      </c>
      <c r="B465" s="75" t="s">
        <v>375</v>
      </c>
      <c r="C465" s="39" t="s">
        <v>17</v>
      </c>
      <c r="D465" s="236"/>
      <c r="E465" s="236"/>
      <c r="F465" s="236"/>
      <c r="G465" s="236"/>
      <c r="H465" s="40">
        <f>SUM(Tabla13211242[[#This Row],[PRIMER TRIMESTRE]:[CUARTO TRIMESTRE]])</f>
        <v>0</v>
      </c>
      <c r="I465" s="17">
        <v>450</v>
      </c>
      <c r="J465" s="17">
        <f t="shared" si="11"/>
        <v>0</v>
      </c>
      <c r="K465" s="17"/>
      <c r="L465" s="16" t="s">
        <v>18</v>
      </c>
      <c r="M465" s="16" t="s">
        <v>22</v>
      </c>
      <c r="N465" s="39"/>
      <c r="O465" s="20"/>
    </row>
    <row r="466" spans="1:15" s="12" customFormat="1" ht="18">
      <c r="A466" s="178" t="s">
        <v>80</v>
      </c>
      <c r="B466" s="75" t="s">
        <v>376</v>
      </c>
      <c r="C466" s="39" t="s">
        <v>17</v>
      </c>
      <c r="D466" s="236"/>
      <c r="E466" s="236"/>
      <c r="F466" s="236"/>
      <c r="G466" s="236"/>
      <c r="H466" s="40">
        <f>SUM(Tabla13211242[[#This Row],[PRIMER TRIMESTRE]:[CUARTO TRIMESTRE]])</f>
        <v>0</v>
      </c>
      <c r="I466" s="17">
        <v>667.77</v>
      </c>
      <c r="J466" s="17">
        <f t="shared" si="11"/>
        <v>0</v>
      </c>
      <c r="K466" s="17"/>
      <c r="L466" s="16" t="s">
        <v>18</v>
      </c>
      <c r="M466" s="16" t="s">
        <v>22</v>
      </c>
      <c r="N466" s="39"/>
      <c r="O466" s="20"/>
    </row>
    <row r="467" spans="1:15" s="12" customFormat="1" ht="18">
      <c r="A467" s="178" t="s">
        <v>80</v>
      </c>
      <c r="B467" s="75" t="s">
        <v>377</v>
      </c>
      <c r="C467" s="39" t="s">
        <v>17</v>
      </c>
      <c r="D467" s="236"/>
      <c r="E467" s="236"/>
      <c r="F467" s="236"/>
      <c r="G467" s="236"/>
      <c r="H467" s="40">
        <f>SUM(Tabla13211242[[#This Row],[PRIMER TRIMESTRE]:[CUARTO TRIMESTRE]])</f>
        <v>0</v>
      </c>
      <c r="I467" s="17">
        <v>160.61749500000002</v>
      </c>
      <c r="J467" s="17">
        <f t="shared" si="11"/>
        <v>0</v>
      </c>
      <c r="K467" s="17"/>
      <c r="L467" s="16" t="s">
        <v>18</v>
      </c>
      <c r="M467" s="16" t="s">
        <v>22</v>
      </c>
      <c r="N467" s="39"/>
      <c r="O467" s="20"/>
    </row>
    <row r="468" spans="1:15" s="12" customFormat="1" ht="18">
      <c r="A468" s="178" t="s">
        <v>80</v>
      </c>
      <c r="B468" s="75" t="s">
        <v>378</v>
      </c>
      <c r="C468" s="39" t="s">
        <v>17</v>
      </c>
      <c r="D468" s="236"/>
      <c r="E468" s="236"/>
      <c r="F468" s="236"/>
      <c r="G468" s="236"/>
      <c r="H468" s="40">
        <f>SUM(Tabla13211242[[#This Row],[PRIMER TRIMESTRE]:[CUARTO TRIMESTRE]])</f>
        <v>0</v>
      </c>
      <c r="I468" s="17">
        <v>631.80422099999998</v>
      </c>
      <c r="J468" s="17">
        <f t="shared" si="11"/>
        <v>0</v>
      </c>
      <c r="K468" s="17"/>
      <c r="L468" s="16" t="s">
        <v>18</v>
      </c>
      <c r="M468" s="16" t="s">
        <v>22</v>
      </c>
      <c r="N468" s="39"/>
      <c r="O468" s="20"/>
    </row>
    <row r="469" spans="1:15" s="12" customFormat="1" ht="18">
      <c r="A469" s="178" t="s">
        <v>80</v>
      </c>
      <c r="B469" s="75" t="s">
        <v>1526</v>
      </c>
      <c r="C469" s="176" t="s">
        <v>17</v>
      </c>
      <c r="D469" s="236"/>
      <c r="E469" s="236"/>
      <c r="F469" s="236"/>
      <c r="G469" s="236"/>
      <c r="H469" s="236">
        <f>SUM(Tabla13211242[[#This Row],[PRIMER TRIMESTRE]:[CUARTO TRIMESTRE]])</f>
        <v>0</v>
      </c>
      <c r="I469" s="17">
        <v>631.80422099999998</v>
      </c>
      <c r="J469" s="17">
        <f t="shared" si="11"/>
        <v>0</v>
      </c>
      <c r="K469" s="17"/>
      <c r="L469" s="16" t="s">
        <v>18</v>
      </c>
      <c r="M469" s="16" t="s">
        <v>22</v>
      </c>
      <c r="N469" s="39"/>
      <c r="O469" s="20"/>
    </row>
    <row r="470" spans="1:15" s="12" customFormat="1" ht="18">
      <c r="A470" s="178" t="s">
        <v>80</v>
      </c>
      <c r="B470" s="75" t="s">
        <v>379</v>
      </c>
      <c r="C470" s="39" t="s">
        <v>17</v>
      </c>
      <c r="D470" s="236"/>
      <c r="E470" s="236"/>
      <c r="F470" s="236"/>
      <c r="G470" s="236"/>
      <c r="H470" s="40">
        <f>SUM(Tabla13211242[[#This Row],[PRIMER TRIMESTRE]:[CUARTO TRIMESTRE]])</f>
        <v>0</v>
      </c>
      <c r="I470" s="17">
        <v>1565.22</v>
      </c>
      <c r="J470" s="17">
        <f t="shared" si="11"/>
        <v>0</v>
      </c>
      <c r="K470" s="17"/>
      <c r="L470" s="16" t="s">
        <v>18</v>
      </c>
      <c r="M470" s="16" t="s">
        <v>22</v>
      </c>
      <c r="N470" s="39"/>
      <c r="O470" s="20"/>
    </row>
    <row r="471" spans="1:15" s="12" customFormat="1" ht="18">
      <c r="A471" s="178" t="s">
        <v>80</v>
      </c>
      <c r="B471" s="75" t="s">
        <v>380</v>
      </c>
      <c r="C471" s="39" t="s">
        <v>17</v>
      </c>
      <c r="D471" s="236"/>
      <c r="E471" s="236"/>
      <c r="F471" s="236"/>
      <c r="G471" s="236"/>
      <c r="H471" s="40">
        <f>SUM(Tabla13211242[[#This Row],[PRIMER TRIMESTRE]:[CUARTO TRIMESTRE]])</f>
        <v>0</v>
      </c>
      <c r="I471" s="17">
        <v>2310.9299999999998</v>
      </c>
      <c r="J471" s="17">
        <f t="shared" si="11"/>
        <v>0</v>
      </c>
      <c r="K471" s="17"/>
      <c r="L471" s="16" t="s">
        <v>18</v>
      </c>
      <c r="M471" s="16" t="s">
        <v>22</v>
      </c>
      <c r="N471" s="39"/>
      <c r="O471" s="20"/>
    </row>
    <row r="472" spans="1:15" s="12" customFormat="1" ht="18">
      <c r="A472" s="178" t="s">
        <v>80</v>
      </c>
      <c r="B472" s="75" t="s">
        <v>381</v>
      </c>
      <c r="C472" s="39" t="s">
        <v>17</v>
      </c>
      <c r="D472" s="236"/>
      <c r="E472" s="236"/>
      <c r="F472" s="236"/>
      <c r="G472" s="236"/>
      <c r="H472" s="40">
        <f>SUM(Tabla13211242[[#This Row],[PRIMER TRIMESTRE]:[CUARTO TRIMESTRE]])</f>
        <v>0</v>
      </c>
      <c r="I472" s="17">
        <v>4630.1499999999996</v>
      </c>
      <c r="J472" s="17">
        <f t="shared" si="11"/>
        <v>0</v>
      </c>
      <c r="K472" s="17"/>
      <c r="L472" s="16" t="s">
        <v>18</v>
      </c>
      <c r="M472" s="16" t="s">
        <v>22</v>
      </c>
      <c r="N472" s="39"/>
      <c r="O472" s="20"/>
    </row>
    <row r="473" spans="1:15" s="12" customFormat="1" ht="18">
      <c r="A473" s="178" t="s">
        <v>80</v>
      </c>
      <c r="B473" s="75" t="s">
        <v>382</v>
      </c>
      <c r="C473" s="39" t="s">
        <v>17</v>
      </c>
      <c r="D473" s="236"/>
      <c r="E473" s="236"/>
      <c r="F473" s="236"/>
      <c r="G473" s="236"/>
      <c r="H473" s="40">
        <f>SUM(Tabla13211242[[#This Row],[PRIMER TRIMESTRE]:[CUARTO TRIMESTRE]])</f>
        <v>0</v>
      </c>
      <c r="I473" s="17">
        <v>6410</v>
      </c>
      <c r="J473" s="17">
        <f t="shared" si="11"/>
        <v>0</v>
      </c>
      <c r="K473" s="17"/>
      <c r="L473" s="16" t="s">
        <v>18</v>
      </c>
      <c r="M473" s="16" t="s">
        <v>22</v>
      </c>
      <c r="N473" s="39"/>
      <c r="O473" s="20"/>
    </row>
    <row r="474" spans="1:15" s="12" customFormat="1" ht="18">
      <c r="A474" s="178" t="s">
        <v>80</v>
      </c>
      <c r="B474" s="75" t="s">
        <v>383</v>
      </c>
      <c r="C474" s="39" t="s">
        <v>17</v>
      </c>
      <c r="D474" s="236"/>
      <c r="E474" s="236"/>
      <c r="F474" s="236"/>
      <c r="G474" s="236"/>
      <c r="H474" s="40">
        <f>SUM(Tabla13211242[[#This Row],[PRIMER TRIMESTRE]:[CUARTO TRIMESTRE]])</f>
        <v>0</v>
      </c>
      <c r="I474" s="17">
        <v>10255.09</v>
      </c>
      <c r="J474" s="17">
        <f t="shared" si="11"/>
        <v>0</v>
      </c>
      <c r="K474" s="17"/>
      <c r="L474" s="16" t="s">
        <v>18</v>
      </c>
      <c r="M474" s="16" t="s">
        <v>22</v>
      </c>
      <c r="N474" s="39"/>
      <c r="O474" s="20"/>
    </row>
    <row r="475" spans="1:15" s="12" customFormat="1" ht="18">
      <c r="A475" s="178" t="s">
        <v>80</v>
      </c>
      <c r="B475" s="75" t="s">
        <v>384</v>
      </c>
      <c r="C475" s="39" t="s">
        <v>17</v>
      </c>
      <c r="D475" s="236"/>
      <c r="E475" s="236"/>
      <c r="F475" s="236"/>
      <c r="G475" s="236"/>
      <c r="H475" s="40">
        <f>SUM(Tabla13211242[[#This Row],[PRIMER TRIMESTRE]:[CUARTO TRIMESTRE]])</f>
        <v>0</v>
      </c>
      <c r="I475" s="17">
        <v>14777.68</v>
      </c>
      <c r="J475" s="17">
        <f t="shared" si="11"/>
        <v>0</v>
      </c>
      <c r="K475" s="17"/>
      <c r="L475" s="16" t="s">
        <v>18</v>
      </c>
      <c r="M475" s="16" t="s">
        <v>22</v>
      </c>
      <c r="N475" s="39"/>
      <c r="O475" s="20"/>
    </row>
    <row r="476" spans="1:15" s="12" customFormat="1" ht="18">
      <c r="A476" s="178" t="s">
        <v>80</v>
      </c>
      <c r="B476" s="75" t="s">
        <v>385</v>
      </c>
      <c r="C476" s="39" t="s">
        <v>17</v>
      </c>
      <c r="D476" s="236"/>
      <c r="E476" s="236"/>
      <c r="F476" s="236"/>
      <c r="G476" s="236"/>
      <c r="H476" s="40">
        <f>SUM(Tabla13211242[[#This Row],[PRIMER TRIMESTRE]:[CUARTO TRIMESTRE]])</f>
        <v>0</v>
      </c>
      <c r="I476" s="17">
        <v>24012.400000000001</v>
      </c>
      <c r="J476" s="17">
        <f t="shared" si="11"/>
        <v>0</v>
      </c>
      <c r="K476" s="17"/>
      <c r="L476" s="16" t="s">
        <v>18</v>
      </c>
      <c r="M476" s="16" t="s">
        <v>22</v>
      </c>
      <c r="N476" s="39"/>
      <c r="O476" s="20"/>
    </row>
    <row r="477" spans="1:15" s="12" customFormat="1" ht="18">
      <c r="A477" s="178" t="s">
        <v>80</v>
      </c>
      <c r="B477" s="75" t="s">
        <v>386</v>
      </c>
      <c r="C477" s="39" t="s">
        <v>17</v>
      </c>
      <c r="D477" s="236"/>
      <c r="E477" s="236"/>
      <c r="F477" s="236"/>
      <c r="G477" s="236"/>
      <c r="H477" s="40">
        <f>SUM(Tabla13211242[[#This Row],[PRIMER TRIMESTRE]:[CUARTO TRIMESTRE]])</f>
        <v>0</v>
      </c>
      <c r="I477" s="17">
        <v>37525.1</v>
      </c>
      <c r="J477" s="17">
        <f t="shared" si="11"/>
        <v>0</v>
      </c>
      <c r="K477" s="17"/>
      <c r="L477" s="16" t="s">
        <v>18</v>
      </c>
      <c r="M477" s="16" t="s">
        <v>22</v>
      </c>
      <c r="N477" s="39"/>
      <c r="O477" s="20"/>
    </row>
    <row r="478" spans="1:15" s="12" customFormat="1" ht="18">
      <c r="A478" s="178" t="s">
        <v>80</v>
      </c>
      <c r="B478" s="75" t="s">
        <v>800</v>
      </c>
      <c r="C478" s="39" t="s">
        <v>17</v>
      </c>
      <c r="D478" s="239"/>
      <c r="E478" s="239"/>
      <c r="F478" s="239"/>
      <c r="G478" s="236"/>
      <c r="H478" s="40">
        <f>SUM(Tabla13211242[[#This Row],[PRIMER TRIMESTRE]:[CUARTO TRIMESTRE]])</f>
        <v>0</v>
      </c>
      <c r="I478" s="17">
        <v>4500</v>
      </c>
      <c r="J478" s="17">
        <f t="shared" si="11"/>
        <v>0</v>
      </c>
      <c r="K478" s="17"/>
      <c r="L478" s="16" t="s">
        <v>18</v>
      </c>
      <c r="M478" s="16" t="s">
        <v>22</v>
      </c>
      <c r="N478" s="39"/>
      <c r="O478" s="20"/>
    </row>
    <row r="479" spans="1:15" s="12" customFormat="1" ht="18">
      <c r="A479" s="178" t="s">
        <v>80</v>
      </c>
      <c r="B479" s="75" t="s">
        <v>713</v>
      </c>
      <c r="C479" s="39" t="s">
        <v>17</v>
      </c>
      <c r="D479" s="236"/>
      <c r="E479" s="236"/>
      <c r="F479" s="236"/>
      <c r="G479" s="236"/>
      <c r="H479" s="40">
        <f>SUM(Tabla13211242[[#This Row],[PRIMER TRIMESTRE]:[CUARTO TRIMESTRE]])</f>
        <v>0</v>
      </c>
      <c r="I479" s="72">
        <v>6000</v>
      </c>
      <c r="J479" s="17">
        <f t="shared" si="11"/>
        <v>0</v>
      </c>
      <c r="K479" s="17"/>
      <c r="L479" s="16" t="s">
        <v>18</v>
      </c>
      <c r="M479" s="16" t="s">
        <v>22</v>
      </c>
      <c r="N479" s="39"/>
      <c r="O479" s="20"/>
    </row>
    <row r="480" spans="1:15" s="12" customFormat="1" ht="18">
      <c r="A480" s="178" t="s">
        <v>80</v>
      </c>
      <c r="B480" s="75" t="s">
        <v>712</v>
      </c>
      <c r="C480" s="39" t="s">
        <v>17</v>
      </c>
      <c r="D480" s="236"/>
      <c r="E480" s="236"/>
      <c r="F480" s="236"/>
      <c r="G480" s="236"/>
      <c r="H480" s="40">
        <f>SUM(Tabla13211242[[#This Row],[PRIMER TRIMESTRE]:[CUARTO TRIMESTRE]])</f>
        <v>0</v>
      </c>
      <c r="I480" s="17">
        <v>15544</v>
      </c>
      <c r="J480" s="17">
        <f t="shared" si="11"/>
        <v>0</v>
      </c>
      <c r="K480" s="17"/>
      <c r="L480" s="16" t="s">
        <v>18</v>
      </c>
      <c r="M480" s="16" t="s">
        <v>22</v>
      </c>
      <c r="N480" s="39"/>
      <c r="O480" s="20"/>
    </row>
    <row r="481" spans="1:15" s="12" customFormat="1" ht="18">
      <c r="A481" s="178" t="s">
        <v>80</v>
      </c>
      <c r="B481" s="75" t="s">
        <v>711</v>
      </c>
      <c r="C481" s="39" t="s">
        <v>17</v>
      </c>
      <c r="D481" s="236"/>
      <c r="E481" s="236"/>
      <c r="F481" s="236"/>
      <c r="G481" s="236"/>
      <c r="H481" s="40">
        <f>SUM(Tabla13211242[[#This Row],[PRIMER TRIMESTRE]:[CUARTO TRIMESTRE]])</f>
        <v>0</v>
      </c>
      <c r="I481" s="72">
        <v>20650.03</v>
      </c>
      <c r="J481" s="17">
        <f t="shared" si="11"/>
        <v>0</v>
      </c>
      <c r="K481" s="17"/>
      <c r="L481" s="16" t="s">
        <v>18</v>
      </c>
      <c r="M481" s="16" t="s">
        <v>22</v>
      </c>
      <c r="N481" s="39"/>
      <c r="O481" s="20"/>
    </row>
    <row r="482" spans="1:15" s="12" customFormat="1" ht="18">
      <c r="A482" s="178" t="s">
        <v>80</v>
      </c>
      <c r="B482" s="75" t="s">
        <v>710</v>
      </c>
      <c r="C482" s="39" t="s">
        <v>17</v>
      </c>
      <c r="D482" s="236"/>
      <c r="E482" s="236"/>
      <c r="F482" s="236"/>
      <c r="G482" s="236"/>
      <c r="H482" s="40">
        <f>SUM(Tabla13211242[[#This Row],[PRIMER TRIMESTRE]:[CUARTO TRIMESTRE]])</f>
        <v>0</v>
      </c>
      <c r="I482" s="17">
        <v>39221.919999999998</v>
      </c>
      <c r="J482" s="17">
        <f t="shared" si="11"/>
        <v>0</v>
      </c>
      <c r="K482" s="17"/>
      <c r="L482" s="16" t="s">
        <v>18</v>
      </c>
      <c r="M482" s="16" t="s">
        <v>22</v>
      </c>
      <c r="N482" s="39"/>
      <c r="O482" s="20"/>
    </row>
    <row r="483" spans="1:15" s="12" customFormat="1" ht="18">
      <c r="A483" s="178" t="s">
        <v>80</v>
      </c>
      <c r="B483" s="75" t="s">
        <v>709</v>
      </c>
      <c r="C483" s="39" t="s">
        <v>17</v>
      </c>
      <c r="D483" s="236"/>
      <c r="E483" s="236"/>
      <c r="F483" s="236"/>
      <c r="G483" s="236"/>
      <c r="H483" s="40">
        <f>SUM(Tabla13211242[[#This Row],[PRIMER TRIMESTRE]:[CUARTO TRIMESTRE]])</f>
        <v>0</v>
      </c>
      <c r="I483" s="72">
        <f>17500*1.18</f>
        <v>20650</v>
      </c>
      <c r="J483" s="17">
        <f t="shared" si="11"/>
        <v>0</v>
      </c>
      <c r="K483" s="17"/>
      <c r="L483" s="16" t="s">
        <v>18</v>
      </c>
      <c r="M483" s="16" t="s">
        <v>22</v>
      </c>
      <c r="N483" s="39"/>
      <c r="O483" s="20"/>
    </row>
    <row r="484" spans="1:15" s="12" customFormat="1" ht="18">
      <c r="A484" s="178" t="s">
        <v>80</v>
      </c>
      <c r="B484" s="75" t="s">
        <v>708</v>
      </c>
      <c r="C484" s="39" t="s">
        <v>17</v>
      </c>
      <c r="D484" s="236"/>
      <c r="E484" s="236"/>
      <c r="F484" s="236"/>
      <c r="G484" s="236"/>
      <c r="H484" s="40">
        <f>SUM(Tabla13211242[[#This Row],[PRIMER TRIMESTRE]:[CUARTO TRIMESTRE]])</f>
        <v>0</v>
      </c>
      <c r="I484" s="72">
        <f>25175*1.18</f>
        <v>29706.5</v>
      </c>
      <c r="J484" s="17">
        <f t="shared" si="11"/>
        <v>0</v>
      </c>
      <c r="K484" s="17"/>
      <c r="L484" s="16" t="s">
        <v>18</v>
      </c>
      <c r="M484" s="16" t="s">
        <v>22</v>
      </c>
      <c r="N484" s="39"/>
      <c r="O484" s="20"/>
    </row>
    <row r="485" spans="1:15" s="12" customFormat="1" ht="18">
      <c r="A485" s="178" t="s">
        <v>80</v>
      </c>
      <c r="B485" s="75" t="s">
        <v>707</v>
      </c>
      <c r="C485" s="39" t="s">
        <v>17</v>
      </c>
      <c r="D485" s="236"/>
      <c r="E485" s="236"/>
      <c r="F485" s="236"/>
      <c r="G485" s="236"/>
      <c r="H485" s="40">
        <f>SUM(Tabla13211242[[#This Row],[PRIMER TRIMESTRE]:[CUARTO TRIMESTRE]])</f>
        <v>0</v>
      </c>
      <c r="I485" s="17">
        <f>34500*1.18</f>
        <v>40710</v>
      </c>
      <c r="J485" s="17">
        <f t="shared" si="11"/>
        <v>0</v>
      </c>
      <c r="K485" s="17"/>
      <c r="L485" s="16" t="s">
        <v>18</v>
      </c>
      <c r="M485" s="16" t="s">
        <v>22</v>
      </c>
      <c r="N485" s="39"/>
      <c r="O485" s="20"/>
    </row>
    <row r="486" spans="1:15" s="12" customFormat="1" ht="18">
      <c r="A486" s="178" t="s">
        <v>80</v>
      </c>
      <c r="B486" s="75" t="s">
        <v>706</v>
      </c>
      <c r="C486" s="39" t="s">
        <v>17</v>
      </c>
      <c r="D486" s="236"/>
      <c r="E486" s="236"/>
      <c r="F486" s="236"/>
      <c r="G486" s="236"/>
      <c r="H486" s="40">
        <f>SUM(Tabla13211242[[#This Row],[PRIMER TRIMESTRE]:[CUARTO TRIMESTRE]])</f>
        <v>0</v>
      </c>
      <c r="I486" s="72">
        <v>51330</v>
      </c>
      <c r="J486" s="17">
        <f t="shared" si="11"/>
        <v>0</v>
      </c>
      <c r="K486" s="17"/>
      <c r="L486" s="16" t="s">
        <v>18</v>
      </c>
      <c r="M486" s="16" t="s">
        <v>22</v>
      </c>
      <c r="N486" s="39"/>
      <c r="O486" s="20"/>
    </row>
    <row r="487" spans="1:15" s="12" customFormat="1" ht="18">
      <c r="A487" s="178" t="s">
        <v>80</v>
      </c>
      <c r="B487" s="75" t="s">
        <v>705</v>
      </c>
      <c r="C487" s="39" t="s">
        <v>17</v>
      </c>
      <c r="D487" s="236"/>
      <c r="E487" s="236"/>
      <c r="F487" s="236"/>
      <c r="G487" s="236"/>
      <c r="H487" s="40">
        <f>SUM(Tabla13211242[[#This Row],[PRIMER TRIMESTRE]:[CUARTO TRIMESTRE]])</f>
        <v>0</v>
      </c>
      <c r="I487" s="72">
        <v>61360</v>
      </c>
      <c r="J487" s="17">
        <f t="shared" si="11"/>
        <v>0</v>
      </c>
      <c r="K487" s="17"/>
      <c r="L487" s="16" t="s">
        <v>18</v>
      </c>
      <c r="M487" s="16" t="s">
        <v>22</v>
      </c>
      <c r="N487" s="39"/>
      <c r="O487" s="20"/>
    </row>
    <row r="488" spans="1:15" s="12" customFormat="1" ht="18">
      <c r="A488" s="178" t="s">
        <v>80</v>
      </c>
      <c r="B488" s="75" t="s">
        <v>1687</v>
      </c>
      <c r="C488" s="39" t="s">
        <v>17</v>
      </c>
      <c r="D488" s="236"/>
      <c r="E488" s="236"/>
      <c r="F488" s="236"/>
      <c r="G488" s="236"/>
      <c r="H488" s="40">
        <v>0</v>
      </c>
      <c r="I488" s="72">
        <v>0</v>
      </c>
      <c r="J488" s="17">
        <v>0</v>
      </c>
      <c r="K488" s="17"/>
      <c r="L488" s="16" t="s">
        <v>18</v>
      </c>
      <c r="M488" s="16" t="s">
        <v>22</v>
      </c>
      <c r="N488" s="39"/>
      <c r="O488" s="20"/>
    </row>
    <row r="489" spans="1:15" s="12" customFormat="1" ht="18">
      <c r="A489" s="178" t="s">
        <v>80</v>
      </c>
      <c r="B489" s="75" t="s">
        <v>1528</v>
      </c>
      <c r="C489" s="39" t="s">
        <v>17</v>
      </c>
      <c r="D489" s="236"/>
      <c r="E489" s="236"/>
      <c r="F489" s="236"/>
      <c r="G489" s="236"/>
      <c r="H489" s="236">
        <f>SUM(Tabla13211242[[#This Row],[PRIMER TRIMESTRE]:[CUARTO TRIMESTRE]])</f>
        <v>0</v>
      </c>
      <c r="I489" s="72">
        <v>4973.5</v>
      </c>
      <c r="J489" s="72">
        <f t="shared" ref="J489:J552" si="12">+H489*I489</f>
        <v>0</v>
      </c>
      <c r="K489" s="17"/>
      <c r="L489" s="16" t="s">
        <v>18</v>
      </c>
      <c r="M489" s="16" t="s">
        <v>22</v>
      </c>
      <c r="N489" s="39"/>
      <c r="O489" s="20"/>
    </row>
    <row r="490" spans="1:15" s="12" customFormat="1" ht="18">
      <c r="A490" s="178" t="s">
        <v>80</v>
      </c>
      <c r="B490" s="75" t="s">
        <v>1722</v>
      </c>
      <c r="C490" s="39" t="s">
        <v>17</v>
      </c>
      <c r="D490" s="236"/>
      <c r="E490" s="236"/>
      <c r="F490" s="236"/>
      <c r="G490" s="236"/>
      <c r="H490" s="40">
        <v>0</v>
      </c>
      <c r="I490" s="72">
        <v>0</v>
      </c>
      <c r="J490" s="72">
        <v>0</v>
      </c>
      <c r="K490" s="17"/>
      <c r="L490" s="16" t="s">
        <v>18</v>
      </c>
      <c r="M490" s="16" t="s">
        <v>22</v>
      </c>
      <c r="N490" s="39"/>
      <c r="O490" s="20"/>
    </row>
    <row r="491" spans="1:15" s="12" customFormat="1" ht="18">
      <c r="A491" s="178" t="s">
        <v>80</v>
      </c>
      <c r="B491" s="75" t="s">
        <v>703</v>
      </c>
      <c r="C491" s="39" t="s">
        <v>17</v>
      </c>
      <c r="D491" s="236"/>
      <c r="E491" s="236"/>
      <c r="F491" s="236"/>
      <c r="G491" s="236"/>
      <c r="H491" s="40">
        <f>SUM(Tabla13211242[[#This Row],[PRIMER TRIMESTRE]:[CUARTO TRIMESTRE]])</f>
        <v>0</v>
      </c>
      <c r="I491" s="72">
        <v>1926.1</v>
      </c>
      <c r="J491" s="17">
        <f t="shared" si="12"/>
        <v>0</v>
      </c>
      <c r="K491" s="17"/>
      <c r="L491" s="16" t="s">
        <v>18</v>
      </c>
      <c r="M491" s="16" t="s">
        <v>22</v>
      </c>
      <c r="N491" s="39"/>
      <c r="O491" s="20"/>
    </row>
    <row r="492" spans="1:15" s="12" customFormat="1" ht="18">
      <c r="A492" s="178" t="s">
        <v>80</v>
      </c>
      <c r="B492" s="75" t="s">
        <v>704</v>
      </c>
      <c r="C492" s="39" t="s">
        <v>17</v>
      </c>
      <c r="D492" s="236"/>
      <c r="E492" s="236"/>
      <c r="F492" s="236"/>
      <c r="G492" s="236"/>
      <c r="H492" s="40">
        <f>SUM(Tabla13211242[[#This Row],[PRIMER TRIMESTRE]:[CUARTO TRIMESTRE]])</f>
        <v>0</v>
      </c>
      <c r="I492" s="72">
        <v>3940</v>
      </c>
      <c r="J492" s="17">
        <f t="shared" si="12"/>
        <v>0</v>
      </c>
      <c r="K492" s="17"/>
      <c r="L492" s="16" t="s">
        <v>18</v>
      </c>
      <c r="M492" s="16" t="s">
        <v>22</v>
      </c>
      <c r="N492" s="39"/>
      <c r="O492" s="20"/>
    </row>
    <row r="493" spans="1:15" s="12" customFormat="1" ht="18">
      <c r="A493" s="178" t="s">
        <v>80</v>
      </c>
      <c r="B493" s="75" t="s">
        <v>1216</v>
      </c>
      <c r="C493" s="39" t="s">
        <v>17</v>
      </c>
      <c r="D493" s="236"/>
      <c r="E493" s="236"/>
      <c r="F493" s="236"/>
      <c r="G493" s="236"/>
      <c r="H493" s="40">
        <f>SUM(Tabla13211242[[#This Row],[PRIMER TRIMESTRE]:[CUARTO TRIMESTRE]])</f>
        <v>0</v>
      </c>
      <c r="I493" s="175">
        <v>3940</v>
      </c>
      <c r="J493" s="17">
        <f t="shared" si="12"/>
        <v>0</v>
      </c>
      <c r="K493" s="17"/>
      <c r="L493" s="16" t="s">
        <v>18</v>
      </c>
      <c r="M493" s="16" t="s">
        <v>22</v>
      </c>
      <c r="N493" s="39"/>
      <c r="O493" s="20"/>
    </row>
    <row r="494" spans="1:15" s="12" customFormat="1" ht="18">
      <c r="A494" s="178" t="s">
        <v>80</v>
      </c>
      <c r="B494" s="75" t="s">
        <v>1215</v>
      </c>
      <c r="C494" s="39" t="s">
        <v>17</v>
      </c>
      <c r="D494" s="236"/>
      <c r="E494" s="236"/>
      <c r="F494" s="236"/>
      <c r="G494" s="236"/>
      <c r="H494" s="40">
        <f>SUM(Tabla13211242[[#This Row],[PRIMER TRIMESTRE]:[CUARTO TRIMESTRE]])</f>
        <v>0</v>
      </c>
      <c r="I494" s="72">
        <v>3940</v>
      </c>
      <c r="J494" s="17">
        <f t="shared" si="12"/>
        <v>0</v>
      </c>
      <c r="K494" s="17"/>
      <c r="L494" s="16" t="s">
        <v>18</v>
      </c>
      <c r="M494" s="16" t="s">
        <v>22</v>
      </c>
      <c r="N494" s="39"/>
      <c r="O494" s="20"/>
    </row>
    <row r="495" spans="1:15" s="12" customFormat="1" ht="18">
      <c r="A495" s="178" t="s">
        <v>80</v>
      </c>
      <c r="B495" s="75" t="s">
        <v>1620</v>
      </c>
      <c r="C495" s="39" t="s">
        <v>17</v>
      </c>
      <c r="D495" s="236"/>
      <c r="E495" s="236"/>
      <c r="F495" s="236"/>
      <c r="G495" s="236"/>
      <c r="H495" s="40">
        <f>SUM(Tabla13211242[[#This Row],[PRIMER TRIMESTRE]:[CUARTO TRIMESTRE]])</f>
        <v>0</v>
      </c>
      <c r="I495" s="72">
        <v>4973.5</v>
      </c>
      <c r="J495" s="17">
        <f t="shared" si="12"/>
        <v>0</v>
      </c>
      <c r="K495" s="17"/>
      <c r="L495" s="16" t="s">
        <v>18</v>
      </c>
      <c r="M495" s="16" t="s">
        <v>22</v>
      </c>
      <c r="N495" s="39"/>
      <c r="O495" s="20"/>
    </row>
    <row r="496" spans="1:15" s="12" customFormat="1" ht="18">
      <c r="A496" s="178" t="s">
        <v>80</v>
      </c>
      <c r="B496" s="75" t="s">
        <v>1850</v>
      </c>
      <c r="C496" s="39" t="s">
        <v>17</v>
      </c>
      <c r="D496" s="236"/>
      <c r="E496" s="236"/>
      <c r="F496" s="236"/>
      <c r="G496" s="236"/>
      <c r="H496" s="40">
        <v>0</v>
      </c>
      <c r="I496" s="72">
        <v>0</v>
      </c>
      <c r="J496" s="17">
        <v>0</v>
      </c>
      <c r="K496" s="17"/>
      <c r="L496" s="16" t="s">
        <v>18</v>
      </c>
      <c r="M496" s="16" t="s">
        <v>22</v>
      </c>
      <c r="N496" s="39"/>
      <c r="O496" s="20"/>
    </row>
    <row r="497" spans="1:15" s="12" customFormat="1" ht="18">
      <c r="A497" s="178" t="s">
        <v>80</v>
      </c>
      <c r="B497" s="75" t="s">
        <v>1529</v>
      </c>
      <c r="C497" s="39" t="s">
        <v>17</v>
      </c>
      <c r="D497" s="236"/>
      <c r="E497" s="236"/>
      <c r="F497" s="236"/>
      <c r="G497" s="236"/>
      <c r="H497" s="236">
        <f>SUM(Tabla13211242[[#This Row],[PRIMER TRIMESTRE]:[CUARTO TRIMESTRE]])</f>
        <v>0</v>
      </c>
      <c r="I497" s="72">
        <v>4.57</v>
      </c>
      <c r="J497" s="17">
        <f t="shared" si="12"/>
        <v>0</v>
      </c>
      <c r="K497" s="17"/>
      <c r="L497" s="16" t="s">
        <v>18</v>
      </c>
      <c r="M497" s="16" t="s">
        <v>22</v>
      </c>
      <c r="N497" s="39"/>
      <c r="O497" s="20"/>
    </row>
    <row r="498" spans="1:15" s="12" customFormat="1" ht="18">
      <c r="A498" s="178" t="s">
        <v>80</v>
      </c>
      <c r="B498" s="75" t="s">
        <v>1569</v>
      </c>
      <c r="C498" s="39" t="s">
        <v>17</v>
      </c>
      <c r="D498" s="236"/>
      <c r="E498" s="236"/>
      <c r="F498" s="236"/>
      <c r="G498" s="236"/>
      <c r="H498" s="236">
        <f>SUM(Tabla13211242[[#This Row],[PRIMER TRIMESTRE]:[CUARTO TRIMESTRE]])</f>
        <v>0</v>
      </c>
      <c r="I498" s="72">
        <v>85.92</v>
      </c>
      <c r="J498" s="17">
        <f t="shared" si="12"/>
        <v>0</v>
      </c>
      <c r="K498" s="17"/>
      <c r="L498" s="16" t="s">
        <v>18</v>
      </c>
      <c r="M498" s="16" t="s">
        <v>22</v>
      </c>
      <c r="N498" s="39"/>
      <c r="O498" s="20"/>
    </row>
    <row r="499" spans="1:15" s="12" customFormat="1" ht="18">
      <c r="A499" s="178" t="s">
        <v>80</v>
      </c>
      <c r="B499" s="75" t="s">
        <v>1568</v>
      </c>
      <c r="C499" s="39" t="s">
        <v>17</v>
      </c>
      <c r="D499" s="236"/>
      <c r="E499" s="236"/>
      <c r="F499" s="236"/>
      <c r="G499" s="236"/>
      <c r="H499" s="236">
        <f>SUM(Tabla13211242[[#This Row],[PRIMER TRIMESTRE]:[CUARTO TRIMESTRE]])</f>
        <v>0</v>
      </c>
      <c r="I499" s="72">
        <v>26.5</v>
      </c>
      <c r="J499" s="17">
        <f t="shared" si="12"/>
        <v>0</v>
      </c>
      <c r="K499" s="17"/>
      <c r="L499" s="16" t="s">
        <v>18</v>
      </c>
      <c r="M499" s="16" t="s">
        <v>22</v>
      </c>
      <c r="N499" s="39"/>
      <c r="O499" s="20"/>
    </row>
    <row r="500" spans="1:15" s="12" customFormat="1" ht="18">
      <c r="A500" s="178" t="s">
        <v>80</v>
      </c>
      <c r="B500" s="75" t="s">
        <v>1530</v>
      </c>
      <c r="C500" s="39" t="s">
        <v>17</v>
      </c>
      <c r="D500" s="236"/>
      <c r="E500" s="236"/>
      <c r="F500" s="236"/>
      <c r="G500" s="236"/>
      <c r="H500" s="236">
        <f>SUM(Tabla13211242[[#This Row],[PRIMER TRIMESTRE]:[CUARTO TRIMESTRE]])</f>
        <v>0</v>
      </c>
      <c r="I500" s="72">
        <v>6.07</v>
      </c>
      <c r="J500" s="17">
        <f t="shared" si="12"/>
        <v>0</v>
      </c>
      <c r="K500" s="17"/>
      <c r="L500" s="16" t="s">
        <v>18</v>
      </c>
      <c r="M500" s="16" t="s">
        <v>22</v>
      </c>
      <c r="N500" s="39"/>
      <c r="O500" s="20"/>
    </row>
    <row r="501" spans="1:15" s="12" customFormat="1" ht="18">
      <c r="A501" s="178" t="s">
        <v>80</v>
      </c>
      <c r="B501" s="75" t="s">
        <v>387</v>
      </c>
      <c r="C501" s="39" t="s">
        <v>17</v>
      </c>
      <c r="D501" s="236"/>
      <c r="E501" s="236"/>
      <c r="F501" s="236"/>
      <c r="G501" s="236"/>
      <c r="H501" s="40">
        <f>SUM(Tabla13211242[[#This Row],[PRIMER TRIMESTRE]:[CUARTO TRIMESTRE]])</f>
        <v>0</v>
      </c>
      <c r="I501" s="17">
        <v>4.1100000000000003</v>
      </c>
      <c r="J501" s="17">
        <f t="shared" si="12"/>
        <v>0</v>
      </c>
      <c r="K501" s="17"/>
      <c r="L501" s="16" t="s">
        <v>18</v>
      </c>
      <c r="M501" s="16" t="s">
        <v>22</v>
      </c>
      <c r="N501" s="39"/>
      <c r="O501" s="20"/>
    </row>
    <row r="502" spans="1:15" s="12" customFormat="1" ht="18">
      <c r="A502" s="178" t="s">
        <v>80</v>
      </c>
      <c r="B502" s="75" t="s">
        <v>388</v>
      </c>
      <c r="C502" s="39" t="s">
        <v>17</v>
      </c>
      <c r="D502" s="236"/>
      <c r="E502" s="236"/>
      <c r="F502" s="236"/>
      <c r="G502" s="236"/>
      <c r="H502" s="40">
        <f>SUM(Tabla13211242[[#This Row],[PRIMER TRIMESTRE]:[CUARTO TRIMESTRE]])</f>
        <v>0</v>
      </c>
      <c r="I502" s="17">
        <v>5.25</v>
      </c>
      <c r="J502" s="17">
        <f t="shared" si="12"/>
        <v>0</v>
      </c>
      <c r="K502" s="17"/>
      <c r="L502" s="16" t="s">
        <v>18</v>
      </c>
      <c r="M502" s="16" t="s">
        <v>22</v>
      </c>
      <c r="N502" s="39"/>
      <c r="O502" s="20"/>
    </row>
    <row r="503" spans="1:15" s="12" customFormat="1" ht="18">
      <c r="A503" s="178" t="s">
        <v>80</v>
      </c>
      <c r="B503" s="75" t="s">
        <v>1567</v>
      </c>
      <c r="C503" s="39" t="s">
        <v>17</v>
      </c>
      <c r="D503" s="236"/>
      <c r="E503" s="236"/>
      <c r="F503" s="236"/>
      <c r="G503" s="236"/>
      <c r="H503" s="236">
        <f>SUM(Tabla13211242[[#This Row],[PRIMER TRIMESTRE]:[CUARTO TRIMESTRE]])</f>
        <v>0</v>
      </c>
      <c r="I503" s="17">
        <v>15</v>
      </c>
      <c r="J503" s="17">
        <f t="shared" si="12"/>
        <v>0</v>
      </c>
      <c r="K503" s="17"/>
      <c r="L503" s="16" t="s">
        <v>18</v>
      </c>
      <c r="M503" s="16" t="s">
        <v>22</v>
      </c>
      <c r="N503" s="39"/>
      <c r="O503" s="20"/>
    </row>
    <row r="504" spans="1:15" s="12" customFormat="1" ht="18">
      <c r="A504" s="178" t="s">
        <v>80</v>
      </c>
      <c r="B504" s="75" t="s">
        <v>389</v>
      </c>
      <c r="C504" s="39" t="s">
        <v>17</v>
      </c>
      <c r="D504" s="236"/>
      <c r="E504" s="236"/>
      <c r="F504" s="236"/>
      <c r="G504" s="236"/>
      <c r="H504" s="40">
        <f>SUM(Tabla13211242[[#This Row],[PRIMER TRIMESTRE]:[CUARTO TRIMESTRE]])</f>
        <v>0</v>
      </c>
      <c r="I504" s="17">
        <v>11</v>
      </c>
      <c r="J504" s="17">
        <f t="shared" si="12"/>
        <v>0</v>
      </c>
      <c r="K504" s="17"/>
      <c r="L504" s="16" t="s">
        <v>18</v>
      </c>
      <c r="M504" s="16" t="s">
        <v>22</v>
      </c>
      <c r="N504" s="39"/>
      <c r="O504" s="20"/>
    </row>
    <row r="505" spans="1:15" s="12" customFormat="1" ht="18">
      <c r="A505" s="178" t="s">
        <v>80</v>
      </c>
      <c r="B505" s="75" t="s">
        <v>1851</v>
      </c>
      <c r="C505" s="39" t="s">
        <v>17</v>
      </c>
      <c r="D505" s="236"/>
      <c r="E505" s="236"/>
      <c r="F505" s="236"/>
      <c r="G505" s="236"/>
      <c r="H505" s="40">
        <v>0</v>
      </c>
      <c r="I505" s="17">
        <v>0</v>
      </c>
      <c r="J505" s="17">
        <v>0</v>
      </c>
      <c r="K505" s="17"/>
      <c r="L505" s="16" t="s">
        <v>18</v>
      </c>
      <c r="M505" s="16" t="s">
        <v>22</v>
      </c>
      <c r="N505" s="39"/>
      <c r="O505" s="20"/>
    </row>
    <row r="506" spans="1:15" s="12" customFormat="1" ht="25.5">
      <c r="A506" s="178" t="s">
        <v>80</v>
      </c>
      <c r="B506" s="75" t="s">
        <v>1716</v>
      </c>
      <c r="C506" s="39" t="s">
        <v>17</v>
      </c>
      <c r="D506" s="236"/>
      <c r="E506" s="236"/>
      <c r="F506" s="236"/>
      <c r="G506" s="236"/>
      <c r="H506" s="40">
        <v>0</v>
      </c>
      <c r="I506" s="17">
        <v>0</v>
      </c>
      <c r="J506" s="17">
        <v>0</v>
      </c>
      <c r="K506" s="17"/>
      <c r="L506" s="16" t="s">
        <v>18</v>
      </c>
      <c r="M506" s="16" t="s">
        <v>22</v>
      </c>
      <c r="N506" s="39"/>
      <c r="O506" s="20"/>
    </row>
    <row r="507" spans="1:15" s="12" customFormat="1" ht="18">
      <c r="A507" s="178" t="s">
        <v>80</v>
      </c>
      <c r="B507" s="75" t="s">
        <v>1621</v>
      </c>
      <c r="C507" s="39" t="s">
        <v>17</v>
      </c>
      <c r="D507" s="236"/>
      <c r="E507" s="236"/>
      <c r="F507" s="236"/>
      <c r="G507" s="236"/>
      <c r="H507" s="236">
        <f>SUM(Tabla13211242[[#This Row],[PRIMER TRIMESTRE]:[CUARTO TRIMESTRE]])</f>
        <v>0</v>
      </c>
      <c r="I507" s="17">
        <v>6790</v>
      </c>
      <c r="J507" s="17">
        <f t="shared" si="12"/>
        <v>0</v>
      </c>
      <c r="K507" s="17"/>
      <c r="L507" s="16" t="s">
        <v>18</v>
      </c>
      <c r="M507" s="16" t="s">
        <v>22</v>
      </c>
      <c r="N507" s="39"/>
      <c r="O507" s="20"/>
    </row>
    <row r="508" spans="1:15" s="12" customFormat="1" ht="18">
      <c r="A508" s="178" t="s">
        <v>80</v>
      </c>
      <c r="B508" s="75" t="s">
        <v>1482</v>
      </c>
      <c r="C508" s="39" t="s">
        <v>17</v>
      </c>
      <c r="D508" s="236"/>
      <c r="E508" s="236"/>
      <c r="F508" s="236"/>
      <c r="G508" s="236"/>
      <c r="H508" s="236">
        <f>SUM(Tabla13211242[[#This Row],[PRIMER TRIMESTRE]:[CUARTO TRIMESTRE]])</f>
        <v>0</v>
      </c>
      <c r="I508" s="17">
        <v>12500</v>
      </c>
      <c r="J508" s="17">
        <f t="shared" si="12"/>
        <v>0</v>
      </c>
      <c r="K508" s="17"/>
      <c r="L508" s="16" t="s">
        <v>18</v>
      </c>
      <c r="M508" s="16" t="s">
        <v>22</v>
      </c>
      <c r="N508" s="39"/>
      <c r="O508" s="20"/>
    </row>
    <row r="509" spans="1:15" s="12" customFormat="1" ht="18">
      <c r="A509" s="178" t="s">
        <v>80</v>
      </c>
      <c r="B509" s="75" t="s">
        <v>1483</v>
      </c>
      <c r="C509" s="39" t="s">
        <v>17</v>
      </c>
      <c r="D509" s="236"/>
      <c r="E509" s="236"/>
      <c r="F509" s="236"/>
      <c r="G509" s="236"/>
      <c r="H509" s="236">
        <f>SUM(Tabla13211242[[#This Row],[PRIMER TRIMESTRE]:[CUARTO TRIMESTRE]])</f>
        <v>0</v>
      </c>
      <c r="I509" s="17">
        <v>11430</v>
      </c>
      <c r="J509" s="17">
        <f t="shared" si="12"/>
        <v>0</v>
      </c>
      <c r="K509" s="17"/>
      <c r="L509" s="16" t="s">
        <v>18</v>
      </c>
      <c r="M509" s="16" t="s">
        <v>22</v>
      </c>
      <c r="N509" s="39"/>
      <c r="O509" s="20"/>
    </row>
    <row r="510" spans="1:15" s="12" customFormat="1" ht="25.5">
      <c r="A510" s="178" t="s">
        <v>80</v>
      </c>
      <c r="B510" s="75" t="s">
        <v>1484</v>
      </c>
      <c r="C510" s="39" t="s">
        <v>17</v>
      </c>
      <c r="D510" s="236"/>
      <c r="E510" s="236"/>
      <c r="F510" s="236"/>
      <c r="G510" s="236"/>
      <c r="H510" s="236">
        <f>SUM(Tabla13211242[[#This Row],[PRIMER TRIMESTRE]:[CUARTO TRIMESTRE]])</f>
        <v>0</v>
      </c>
      <c r="I510" s="17">
        <v>18242</v>
      </c>
      <c r="J510" s="17">
        <f t="shared" si="12"/>
        <v>0</v>
      </c>
      <c r="K510" s="17"/>
      <c r="L510" s="16" t="s">
        <v>18</v>
      </c>
      <c r="M510" s="16" t="s">
        <v>22</v>
      </c>
      <c r="N510" s="39"/>
      <c r="O510" s="20"/>
    </row>
    <row r="511" spans="1:15" s="12" customFormat="1" ht="25.5">
      <c r="A511" s="178" t="s">
        <v>80</v>
      </c>
      <c r="B511" s="75" t="s">
        <v>1485</v>
      </c>
      <c r="C511" s="39" t="s">
        <v>17</v>
      </c>
      <c r="D511" s="236"/>
      <c r="E511" s="236"/>
      <c r="F511" s="236"/>
      <c r="G511" s="236"/>
      <c r="H511" s="236">
        <f>SUM(Tabla13211242[[#This Row],[PRIMER TRIMESTRE]:[CUARTO TRIMESTRE]])</f>
        <v>0</v>
      </c>
      <c r="I511" s="17">
        <v>17900</v>
      </c>
      <c r="J511" s="17">
        <f t="shared" si="12"/>
        <v>0</v>
      </c>
      <c r="K511" s="17"/>
      <c r="L511" s="16" t="s">
        <v>18</v>
      </c>
      <c r="M511" s="16" t="s">
        <v>22</v>
      </c>
      <c r="N511" s="39"/>
      <c r="O511" s="20"/>
    </row>
    <row r="512" spans="1:15" s="12" customFormat="1" ht="18">
      <c r="A512" s="178" t="s">
        <v>80</v>
      </c>
      <c r="B512" s="75" t="s">
        <v>1486</v>
      </c>
      <c r="C512" s="39" t="s">
        <v>17</v>
      </c>
      <c r="D512" s="236"/>
      <c r="E512" s="236"/>
      <c r="F512" s="236"/>
      <c r="G512" s="236"/>
      <c r="H512" s="236">
        <f>SUM(Tabla13211242[[#This Row],[PRIMER TRIMESTRE]:[CUARTO TRIMESTRE]])</f>
        <v>0</v>
      </c>
      <c r="I512" s="17">
        <v>16800</v>
      </c>
      <c r="J512" s="17">
        <f t="shared" si="12"/>
        <v>0</v>
      </c>
      <c r="K512" s="17"/>
      <c r="L512" s="16" t="s">
        <v>18</v>
      </c>
      <c r="M512" s="16" t="s">
        <v>22</v>
      </c>
      <c r="N512" s="39"/>
      <c r="O512" s="20"/>
    </row>
    <row r="513" spans="1:15" s="12" customFormat="1" ht="25.5">
      <c r="A513" s="178" t="s">
        <v>80</v>
      </c>
      <c r="B513" s="75" t="s">
        <v>1487</v>
      </c>
      <c r="C513" s="39" t="s">
        <v>17</v>
      </c>
      <c r="D513" s="236"/>
      <c r="E513" s="236"/>
      <c r="F513" s="236"/>
      <c r="G513" s="236"/>
      <c r="H513" s="236">
        <f>SUM(Tabla13211242[[#This Row],[PRIMER TRIMESTRE]:[CUARTO TRIMESTRE]])</f>
        <v>0</v>
      </c>
      <c r="I513" s="17">
        <v>12500</v>
      </c>
      <c r="J513" s="17">
        <f t="shared" si="12"/>
        <v>0</v>
      </c>
      <c r="K513" s="17"/>
      <c r="L513" s="16" t="s">
        <v>18</v>
      </c>
      <c r="M513" s="16" t="s">
        <v>22</v>
      </c>
      <c r="N513" s="39"/>
      <c r="O513" s="20"/>
    </row>
    <row r="514" spans="1:15" s="12" customFormat="1" ht="25.5">
      <c r="A514" s="178" t="s">
        <v>80</v>
      </c>
      <c r="B514" s="75" t="s">
        <v>1488</v>
      </c>
      <c r="C514" s="39" t="s">
        <v>17</v>
      </c>
      <c r="D514" s="236"/>
      <c r="E514" s="236"/>
      <c r="F514" s="236"/>
      <c r="G514" s="236"/>
      <c r="H514" s="236">
        <f>SUM(Tabla13211242[[#This Row],[PRIMER TRIMESTRE]:[CUARTO TRIMESTRE]])</f>
        <v>0</v>
      </c>
      <c r="I514" s="17">
        <v>31500</v>
      </c>
      <c r="J514" s="17">
        <f t="shared" si="12"/>
        <v>0</v>
      </c>
      <c r="K514" s="17"/>
      <c r="L514" s="16" t="s">
        <v>18</v>
      </c>
      <c r="M514" s="16" t="s">
        <v>22</v>
      </c>
      <c r="N514" s="39"/>
      <c r="O514" s="20"/>
    </row>
    <row r="515" spans="1:15" s="12" customFormat="1" ht="25.5">
      <c r="A515" s="178" t="s">
        <v>1852</v>
      </c>
      <c r="B515" s="75" t="s">
        <v>1489</v>
      </c>
      <c r="C515" s="39" t="s">
        <v>17</v>
      </c>
      <c r="D515" s="236"/>
      <c r="E515" s="236"/>
      <c r="F515" s="236"/>
      <c r="G515" s="236"/>
      <c r="H515" s="40">
        <v>0</v>
      </c>
      <c r="I515" s="17">
        <v>0</v>
      </c>
      <c r="J515" s="17">
        <v>0</v>
      </c>
      <c r="K515" s="17"/>
      <c r="L515" s="16" t="s">
        <v>18</v>
      </c>
      <c r="M515" s="16" t="s">
        <v>22</v>
      </c>
      <c r="N515" s="39"/>
      <c r="O515" s="20"/>
    </row>
    <row r="516" spans="1:15" s="12" customFormat="1" ht="25.5">
      <c r="A516" s="178" t="s">
        <v>80</v>
      </c>
      <c r="B516" s="75" t="s">
        <v>1489</v>
      </c>
      <c r="C516" s="39" t="s">
        <v>17</v>
      </c>
      <c r="D516" s="236"/>
      <c r="E516" s="236"/>
      <c r="F516" s="236"/>
      <c r="G516" s="236"/>
      <c r="H516" s="236">
        <f>SUM(Tabla13211242[[#This Row],[PRIMER TRIMESTRE]:[CUARTO TRIMESTRE]])</f>
        <v>0</v>
      </c>
      <c r="I516" s="17">
        <v>48500</v>
      </c>
      <c r="J516" s="17">
        <f t="shared" si="12"/>
        <v>0</v>
      </c>
      <c r="K516" s="17"/>
      <c r="L516" s="16" t="s">
        <v>18</v>
      </c>
      <c r="M516" s="16" t="s">
        <v>22</v>
      </c>
      <c r="N516" s="39"/>
      <c r="O516" s="20"/>
    </row>
    <row r="517" spans="1:15" s="12" customFormat="1" ht="25.5">
      <c r="A517" s="178" t="s">
        <v>80</v>
      </c>
      <c r="B517" s="75" t="s">
        <v>1490</v>
      </c>
      <c r="C517" s="39" t="s">
        <v>17</v>
      </c>
      <c r="D517" s="236"/>
      <c r="E517" s="236"/>
      <c r="F517" s="236"/>
      <c r="G517" s="236"/>
      <c r="H517" s="236">
        <f>SUM(Tabla13211242[[#This Row],[PRIMER TRIMESTRE]:[CUARTO TRIMESTRE]])</f>
        <v>0</v>
      </c>
      <c r="I517" s="17">
        <v>22260</v>
      </c>
      <c r="J517" s="17">
        <f t="shared" si="12"/>
        <v>0</v>
      </c>
      <c r="K517" s="17"/>
      <c r="L517" s="16" t="s">
        <v>18</v>
      </c>
      <c r="M517" s="16" t="s">
        <v>22</v>
      </c>
      <c r="N517" s="39"/>
      <c r="O517" s="20"/>
    </row>
    <row r="518" spans="1:15" s="12" customFormat="1" ht="25.5">
      <c r="A518" s="178" t="s">
        <v>80</v>
      </c>
      <c r="B518" s="75" t="s">
        <v>1491</v>
      </c>
      <c r="C518" s="39" t="s">
        <v>17</v>
      </c>
      <c r="D518" s="236"/>
      <c r="E518" s="236"/>
      <c r="F518" s="236"/>
      <c r="G518" s="236"/>
      <c r="H518" s="236">
        <f>SUM(Tabla13211242[[#This Row],[PRIMER TRIMESTRE]:[CUARTO TRIMESTRE]])</f>
        <v>0</v>
      </c>
      <c r="I518" s="17">
        <v>25500</v>
      </c>
      <c r="J518" s="17">
        <f t="shared" si="12"/>
        <v>0</v>
      </c>
      <c r="K518" s="17"/>
      <c r="L518" s="16" t="s">
        <v>18</v>
      </c>
      <c r="M518" s="16" t="s">
        <v>22</v>
      </c>
      <c r="N518" s="39"/>
      <c r="O518" s="20"/>
    </row>
    <row r="519" spans="1:15" s="12" customFormat="1" ht="25.5">
      <c r="A519" s="178" t="s">
        <v>80</v>
      </c>
      <c r="B519" s="75" t="s">
        <v>1492</v>
      </c>
      <c r="C519" s="39" t="s">
        <v>17</v>
      </c>
      <c r="D519" s="236"/>
      <c r="E519" s="236"/>
      <c r="F519" s="236"/>
      <c r="G519" s="236"/>
      <c r="H519" s="236">
        <f>SUM(Tabla13211242[[#This Row],[PRIMER TRIMESTRE]:[CUARTO TRIMESTRE]])</f>
        <v>0</v>
      </c>
      <c r="I519" s="17">
        <v>22600</v>
      </c>
      <c r="J519" s="17">
        <f t="shared" si="12"/>
        <v>0</v>
      </c>
      <c r="K519" s="17"/>
      <c r="L519" s="16" t="s">
        <v>18</v>
      </c>
      <c r="M519" s="16" t="s">
        <v>22</v>
      </c>
      <c r="N519" s="39"/>
      <c r="O519" s="20"/>
    </row>
    <row r="520" spans="1:15" s="12" customFormat="1" ht="25.5">
      <c r="A520" s="178" t="s">
        <v>80</v>
      </c>
      <c r="B520" s="75" t="s">
        <v>1493</v>
      </c>
      <c r="C520" s="39" t="s">
        <v>17</v>
      </c>
      <c r="D520" s="236"/>
      <c r="E520" s="236"/>
      <c r="F520" s="236"/>
      <c r="G520" s="236"/>
      <c r="H520" s="236">
        <f>SUM(Tabla13211242[[#This Row],[PRIMER TRIMESTRE]:[CUARTO TRIMESTRE]])</f>
        <v>0</v>
      </c>
      <c r="I520" s="17">
        <v>22350</v>
      </c>
      <c r="J520" s="17">
        <f t="shared" si="12"/>
        <v>0</v>
      </c>
      <c r="K520" s="17"/>
      <c r="L520" s="16" t="s">
        <v>18</v>
      </c>
      <c r="M520" s="16" t="s">
        <v>22</v>
      </c>
      <c r="N520" s="39"/>
      <c r="O520" s="20"/>
    </row>
    <row r="521" spans="1:15" s="12" customFormat="1" ht="38.25">
      <c r="A521" s="178" t="s">
        <v>80</v>
      </c>
      <c r="B521" s="75" t="s">
        <v>1494</v>
      </c>
      <c r="C521" s="39" t="s">
        <v>17</v>
      </c>
      <c r="D521" s="236"/>
      <c r="E521" s="236"/>
      <c r="F521" s="236"/>
      <c r="G521" s="236"/>
      <c r="H521" s="236">
        <f>SUM(Tabla13211242[[#This Row],[PRIMER TRIMESTRE]:[CUARTO TRIMESTRE]])</f>
        <v>0</v>
      </c>
      <c r="I521" s="17">
        <v>49500</v>
      </c>
      <c r="J521" s="17">
        <f t="shared" si="12"/>
        <v>0</v>
      </c>
      <c r="K521" s="17"/>
      <c r="L521" s="16" t="s">
        <v>18</v>
      </c>
      <c r="M521" s="16" t="s">
        <v>22</v>
      </c>
      <c r="N521" s="39"/>
      <c r="O521" s="20"/>
    </row>
    <row r="522" spans="1:15" s="12" customFormat="1" ht="38.25">
      <c r="A522" s="178" t="s">
        <v>80</v>
      </c>
      <c r="B522" s="75" t="s">
        <v>1495</v>
      </c>
      <c r="C522" s="39" t="s">
        <v>17</v>
      </c>
      <c r="D522" s="236"/>
      <c r="E522" s="236"/>
      <c r="F522" s="236"/>
      <c r="G522" s="236"/>
      <c r="H522" s="236">
        <f>SUM(Tabla13211242[[#This Row],[PRIMER TRIMESTRE]:[CUARTO TRIMESTRE]])</f>
        <v>0</v>
      </c>
      <c r="I522" s="17">
        <v>11200</v>
      </c>
      <c r="J522" s="17">
        <f t="shared" si="12"/>
        <v>0</v>
      </c>
      <c r="K522" s="17"/>
      <c r="L522" s="16" t="s">
        <v>18</v>
      </c>
      <c r="M522" s="16" t="s">
        <v>22</v>
      </c>
      <c r="N522" s="39"/>
      <c r="O522" s="20"/>
    </row>
    <row r="523" spans="1:15" s="12" customFormat="1" ht="38.25">
      <c r="A523" s="178" t="s">
        <v>80</v>
      </c>
      <c r="B523" s="75" t="s">
        <v>1496</v>
      </c>
      <c r="C523" s="39" t="s">
        <v>17</v>
      </c>
      <c r="D523" s="236"/>
      <c r="E523" s="236"/>
      <c r="F523" s="236"/>
      <c r="G523" s="236"/>
      <c r="H523" s="236">
        <f>SUM(Tabla13211242[[#This Row],[PRIMER TRIMESTRE]:[CUARTO TRIMESTRE]])</f>
        <v>0</v>
      </c>
      <c r="I523" s="17">
        <v>88000</v>
      </c>
      <c r="J523" s="17">
        <f t="shared" si="12"/>
        <v>0</v>
      </c>
      <c r="K523" s="17"/>
      <c r="L523" s="16" t="s">
        <v>18</v>
      </c>
      <c r="M523" s="16" t="s">
        <v>22</v>
      </c>
      <c r="N523" s="39"/>
      <c r="O523" s="20"/>
    </row>
    <row r="524" spans="1:15" s="12" customFormat="1" ht="25.5">
      <c r="A524" s="178" t="s">
        <v>80</v>
      </c>
      <c r="B524" s="75" t="s">
        <v>1497</v>
      </c>
      <c r="C524" s="39" t="s">
        <v>17</v>
      </c>
      <c r="D524" s="236"/>
      <c r="E524" s="236"/>
      <c r="F524" s="236"/>
      <c r="G524" s="236"/>
      <c r="H524" s="236">
        <f>SUM(Tabla13211242[[#This Row],[PRIMER TRIMESTRE]:[CUARTO TRIMESTRE]])</f>
        <v>0</v>
      </c>
      <c r="I524" s="17">
        <v>26500</v>
      </c>
      <c r="J524" s="17">
        <f t="shared" si="12"/>
        <v>0</v>
      </c>
      <c r="K524" s="17"/>
      <c r="L524" s="16" t="s">
        <v>18</v>
      </c>
      <c r="M524" s="16" t="s">
        <v>22</v>
      </c>
      <c r="N524" s="39"/>
      <c r="O524" s="20"/>
    </row>
    <row r="525" spans="1:15" s="12" customFormat="1" ht="25.5">
      <c r="A525" s="178" t="s">
        <v>80</v>
      </c>
      <c r="B525" s="75" t="s">
        <v>1498</v>
      </c>
      <c r="C525" s="39" t="s">
        <v>17</v>
      </c>
      <c r="D525" s="236"/>
      <c r="E525" s="236"/>
      <c r="F525" s="236"/>
      <c r="G525" s="236"/>
      <c r="H525" s="236">
        <f>SUM(Tabla13211242[[#This Row],[PRIMER TRIMESTRE]:[CUARTO TRIMESTRE]])</f>
        <v>0</v>
      </c>
      <c r="I525" s="17">
        <v>48500</v>
      </c>
      <c r="J525" s="17">
        <f t="shared" si="12"/>
        <v>0</v>
      </c>
      <c r="K525" s="17"/>
      <c r="L525" s="16" t="s">
        <v>18</v>
      </c>
      <c r="M525" s="16" t="s">
        <v>22</v>
      </c>
      <c r="N525" s="39"/>
      <c r="O525" s="20"/>
    </row>
    <row r="526" spans="1:15" s="12" customFormat="1" ht="18">
      <c r="A526" s="178" t="s">
        <v>80</v>
      </c>
      <c r="B526" s="75" t="s">
        <v>1499</v>
      </c>
      <c r="C526" s="39" t="s">
        <v>17</v>
      </c>
      <c r="D526" s="236"/>
      <c r="E526" s="236"/>
      <c r="F526" s="236"/>
      <c r="G526" s="236"/>
      <c r="H526" s="236">
        <f>SUM(Tabla13211242[[#This Row],[PRIMER TRIMESTRE]:[CUARTO TRIMESTRE]])</f>
        <v>0</v>
      </c>
      <c r="I526" s="17">
        <v>26500</v>
      </c>
      <c r="J526" s="17">
        <f t="shared" si="12"/>
        <v>0</v>
      </c>
      <c r="K526" s="17"/>
      <c r="L526" s="16" t="s">
        <v>18</v>
      </c>
      <c r="M526" s="16" t="s">
        <v>22</v>
      </c>
      <c r="N526" s="39"/>
      <c r="O526" s="20"/>
    </row>
    <row r="527" spans="1:15" s="12" customFormat="1" ht="25.5">
      <c r="A527" s="178" t="s">
        <v>80</v>
      </c>
      <c r="B527" s="75" t="s">
        <v>1500</v>
      </c>
      <c r="C527" s="39" t="s">
        <v>17</v>
      </c>
      <c r="D527" s="236"/>
      <c r="E527" s="236"/>
      <c r="F527" s="236"/>
      <c r="G527" s="236"/>
      <c r="H527" s="236">
        <f>SUM(Tabla13211242[[#This Row],[PRIMER TRIMESTRE]:[CUARTO TRIMESTRE]])</f>
        <v>0</v>
      </c>
      <c r="I527" s="17">
        <v>22700</v>
      </c>
      <c r="J527" s="17">
        <f t="shared" si="12"/>
        <v>0</v>
      </c>
      <c r="K527" s="17"/>
      <c r="L527" s="16" t="s">
        <v>18</v>
      </c>
      <c r="M527" s="16" t="s">
        <v>22</v>
      </c>
      <c r="N527" s="39"/>
      <c r="O527" s="20"/>
    </row>
    <row r="528" spans="1:15" s="12" customFormat="1" ht="25.5">
      <c r="A528" s="178" t="s">
        <v>80</v>
      </c>
      <c r="B528" s="75" t="s">
        <v>1501</v>
      </c>
      <c r="C528" s="39" t="s">
        <v>17</v>
      </c>
      <c r="D528" s="236"/>
      <c r="E528" s="236"/>
      <c r="F528" s="236"/>
      <c r="G528" s="236"/>
      <c r="H528" s="236">
        <f>SUM(Tabla13211242[[#This Row],[PRIMER TRIMESTRE]:[CUARTO TRIMESTRE]])</f>
        <v>0</v>
      </c>
      <c r="I528" s="17">
        <v>3220</v>
      </c>
      <c r="J528" s="17">
        <f t="shared" si="12"/>
        <v>0</v>
      </c>
      <c r="K528" s="17"/>
      <c r="L528" s="16" t="s">
        <v>18</v>
      </c>
      <c r="M528" s="16" t="s">
        <v>22</v>
      </c>
      <c r="N528" s="39"/>
      <c r="O528" s="20"/>
    </row>
    <row r="529" spans="1:15" s="12" customFormat="1" ht="18">
      <c r="A529" s="178" t="s">
        <v>80</v>
      </c>
      <c r="B529" s="75" t="s">
        <v>1534</v>
      </c>
      <c r="C529" s="39" t="s">
        <v>17</v>
      </c>
      <c r="D529" s="236"/>
      <c r="E529" s="236"/>
      <c r="F529" s="236"/>
      <c r="G529" s="236"/>
      <c r="H529" s="236">
        <f>SUM(Tabla13211242[[#This Row],[PRIMER TRIMESTRE]:[CUARTO TRIMESTRE]])</f>
        <v>0</v>
      </c>
      <c r="I529" s="17">
        <v>2380</v>
      </c>
      <c r="J529" s="17">
        <f t="shared" si="12"/>
        <v>0</v>
      </c>
      <c r="K529" s="17"/>
      <c r="L529" s="16" t="s">
        <v>18</v>
      </c>
      <c r="M529" s="16" t="s">
        <v>22</v>
      </c>
      <c r="N529" s="39"/>
      <c r="O529" s="20"/>
    </row>
    <row r="530" spans="1:15" s="12" customFormat="1" ht="25.5">
      <c r="A530" s="178" t="s">
        <v>80</v>
      </c>
      <c r="B530" s="75" t="s">
        <v>1682</v>
      </c>
      <c r="C530" s="39" t="s">
        <v>17</v>
      </c>
      <c r="D530" s="236"/>
      <c r="E530" s="236"/>
      <c r="F530" s="236"/>
      <c r="G530" s="236"/>
      <c r="H530" s="40">
        <v>0</v>
      </c>
      <c r="I530" s="17">
        <v>0</v>
      </c>
      <c r="J530" s="17">
        <v>0</v>
      </c>
      <c r="K530" s="17"/>
      <c r="L530" s="16" t="s">
        <v>18</v>
      </c>
      <c r="M530" s="16" t="s">
        <v>22</v>
      </c>
      <c r="N530" s="39"/>
      <c r="O530" s="20"/>
    </row>
    <row r="531" spans="1:15" s="12" customFormat="1" ht="38.25">
      <c r="A531" s="178" t="s">
        <v>80</v>
      </c>
      <c r="B531" s="75" t="s">
        <v>1502</v>
      </c>
      <c r="C531" s="39" t="s">
        <v>17</v>
      </c>
      <c r="D531" s="236"/>
      <c r="E531" s="236"/>
      <c r="F531" s="236"/>
      <c r="G531" s="236"/>
      <c r="H531" s="236">
        <f>SUM(Tabla13211242[[#This Row],[PRIMER TRIMESTRE]:[CUARTO TRIMESTRE]])</f>
        <v>0</v>
      </c>
      <c r="I531" s="17">
        <v>34440</v>
      </c>
      <c r="J531" s="17">
        <f t="shared" si="12"/>
        <v>0</v>
      </c>
      <c r="K531" s="17"/>
      <c r="L531" s="16" t="s">
        <v>18</v>
      </c>
      <c r="M531" s="16" t="s">
        <v>22</v>
      </c>
      <c r="N531" s="39"/>
      <c r="O531" s="20"/>
    </row>
    <row r="532" spans="1:15" s="12" customFormat="1" ht="25.5">
      <c r="A532" s="178" t="s">
        <v>80</v>
      </c>
      <c r="B532" s="75" t="s">
        <v>1503</v>
      </c>
      <c r="C532" s="39" t="s">
        <v>17</v>
      </c>
      <c r="D532" s="236"/>
      <c r="E532" s="236"/>
      <c r="F532" s="236"/>
      <c r="G532" s="236"/>
      <c r="H532" s="236">
        <f>SUM(Tabla13211242[[#This Row],[PRIMER TRIMESTRE]:[CUARTO TRIMESTRE]])</f>
        <v>0</v>
      </c>
      <c r="I532" s="17">
        <v>2600</v>
      </c>
      <c r="J532" s="17">
        <f t="shared" si="12"/>
        <v>0</v>
      </c>
      <c r="K532" s="17"/>
      <c r="L532" s="16" t="s">
        <v>18</v>
      </c>
      <c r="M532" s="16" t="s">
        <v>22</v>
      </c>
      <c r="N532" s="39"/>
      <c r="O532" s="20"/>
    </row>
    <row r="533" spans="1:15" s="12" customFormat="1" ht="18">
      <c r="A533" s="178" t="s">
        <v>80</v>
      </c>
      <c r="B533" s="75" t="s">
        <v>1504</v>
      </c>
      <c r="C533" s="39" t="s">
        <v>17</v>
      </c>
      <c r="D533" s="236"/>
      <c r="E533" s="236"/>
      <c r="F533" s="236"/>
      <c r="G533" s="236"/>
      <c r="H533" s="236">
        <f>SUM(Tabla13211242[[#This Row],[PRIMER TRIMESTRE]:[CUARTO TRIMESTRE]])</f>
        <v>0</v>
      </c>
      <c r="I533" s="17">
        <v>14280</v>
      </c>
      <c r="J533" s="17">
        <f t="shared" si="12"/>
        <v>0</v>
      </c>
      <c r="K533" s="17"/>
      <c r="L533" s="16" t="s">
        <v>18</v>
      </c>
      <c r="M533" s="16" t="s">
        <v>22</v>
      </c>
      <c r="N533" s="39"/>
      <c r="O533" s="20"/>
    </row>
    <row r="534" spans="1:15" s="12" customFormat="1" ht="25.5">
      <c r="A534" s="178" t="s">
        <v>80</v>
      </c>
      <c r="B534" s="75" t="s">
        <v>1505</v>
      </c>
      <c r="C534" s="39" t="s">
        <v>17</v>
      </c>
      <c r="D534" s="236"/>
      <c r="E534" s="236"/>
      <c r="F534" s="236"/>
      <c r="G534" s="236"/>
      <c r="H534" s="236">
        <f>SUM(Tabla13211242[[#This Row],[PRIMER TRIMESTRE]:[CUARTO TRIMESTRE]])</f>
        <v>0</v>
      </c>
      <c r="I534" s="17">
        <v>15708</v>
      </c>
      <c r="J534" s="17">
        <f t="shared" si="12"/>
        <v>0</v>
      </c>
      <c r="K534" s="17"/>
      <c r="L534" s="16" t="s">
        <v>18</v>
      </c>
      <c r="M534" s="16" t="s">
        <v>22</v>
      </c>
      <c r="N534" s="39"/>
      <c r="O534" s="20"/>
    </row>
    <row r="535" spans="1:15" s="12" customFormat="1" ht="38.25">
      <c r="A535" s="178" t="s">
        <v>80</v>
      </c>
      <c r="B535" s="75" t="s">
        <v>1506</v>
      </c>
      <c r="C535" s="39" t="s">
        <v>17</v>
      </c>
      <c r="D535" s="236"/>
      <c r="E535" s="236"/>
      <c r="F535" s="236"/>
      <c r="G535" s="236"/>
      <c r="H535" s="236">
        <f>SUM(Tabla13211242[[#This Row],[PRIMER TRIMESTRE]:[CUARTO TRIMESTRE]])</f>
        <v>0</v>
      </c>
      <c r="I535" s="17">
        <v>29481</v>
      </c>
      <c r="J535" s="17">
        <f t="shared" si="12"/>
        <v>0</v>
      </c>
      <c r="K535" s="17"/>
      <c r="L535" s="16" t="s">
        <v>18</v>
      </c>
      <c r="M535" s="16" t="s">
        <v>22</v>
      </c>
      <c r="N535" s="39"/>
      <c r="O535" s="20"/>
    </row>
    <row r="536" spans="1:15" s="12" customFormat="1" ht="38.25">
      <c r="A536" s="178" t="s">
        <v>80</v>
      </c>
      <c r="B536" s="75" t="s">
        <v>1507</v>
      </c>
      <c r="C536" s="39" t="s">
        <v>17</v>
      </c>
      <c r="D536" s="236"/>
      <c r="E536" s="236"/>
      <c r="F536" s="236"/>
      <c r="G536" s="236"/>
      <c r="H536" s="236">
        <f>SUM(Tabla13211242[[#This Row],[PRIMER TRIMESTRE]:[CUARTO TRIMESTRE]])</f>
        <v>0</v>
      </c>
      <c r="I536" s="17">
        <v>29000</v>
      </c>
      <c r="J536" s="17">
        <f t="shared" si="12"/>
        <v>0</v>
      </c>
      <c r="K536" s="17"/>
      <c r="L536" s="16" t="s">
        <v>18</v>
      </c>
      <c r="M536" s="16" t="s">
        <v>22</v>
      </c>
      <c r="N536" s="39"/>
      <c r="O536" s="20"/>
    </row>
    <row r="537" spans="1:15" s="12" customFormat="1" ht="38.25">
      <c r="A537" s="178" t="s">
        <v>80</v>
      </c>
      <c r="B537" s="75" t="s">
        <v>1592</v>
      </c>
      <c r="C537" s="39" t="s">
        <v>17</v>
      </c>
      <c r="D537" s="236"/>
      <c r="E537" s="236"/>
      <c r="F537" s="236"/>
      <c r="G537" s="236"/>
      <c r="H537" s="236">
        <f>SUM(Tabla13211242[[#This Row],[PRIMER TRIMESTRE]:[CUARTO TRIMESTRE]])</f>
        <v>0</v>
      </c>
      <c r="I537" s="17">
        <v>52242</v>
      </c>
      <c r="J537" s="17">
        <f t="shared" si="12"/>
        <v>0</v>
      </c>
      <c r="K537" s="17"/>
      <c r="L537" s="16" t="s">
        <v>18</v>
      </c>
      <c r="M537" s="16" t="s">
        <v>22</v>
      </c>
      <c r="N537" s="39"/>
      <c r="O537" s="20"/>
    </row>
    <row r="538" spans="1:15" s="12" customFormat="1" ht="18">
      <c r="A538" s="178" t="s">
        <v>80</v>
      </c>
      <c r="B538" s="75" t="s">
        <v>1552</v>
      </c>
      <c r="C538" s="39" t="s">
        <v>17</v>
      </c>
      <c r="D538" s="236"/>
      <c r="E538" s="236"/>
      <c r="F538" s="236"/>
      <c r="G538" s="236"/>
      <c r="H538" s="236">
        <f>SUM(Tabla13211242[[#This Row],[PRIMER TRIMESTRE]:[CUARTO TRIMESTRE]])</f>
        <v>0</v>
      </c>
      <c r="I538" s="17">
        <v>28.8</v>
      </c>
      <c r="J538" s="17">
        <f t="shared" si="12"/>
        <v>0</v>
      </c>
      <c r="K538" s="17"/>
      <c r="L538" s="16" t="s">
        <v>18</v>
      </c>
      <c r="M538" s="16" t="s">
        <v>22</v>
      </c>
      <c r="N538" s="39"/>
      <c r="O538" s="20"/>
    </row>
    <row r="539" spans="1:15" s="12" customFormat="1" ht="25.5">
      <c r="A539" s="178" t="s">
        <v>80</v>
      </c>
      <c r="B539" s="75" t="s">
        <v>663</v>
      </c>
      <c r="C539" s="39" t="s">
        <v>17</v>
      </c>
      <c r="D539" s="236"/>
      <c r="E539" s="236"/>
      <c r="F539" s="236"/>
      <c r="G539" s="236"/>
      <c r="H539" s="40">
        <f>SUM(Tabla13211242[[#This Row],[PRIMER TRIMESTRE]:[CUARTO TRIMESTRE]])</f>
        <v>0</v>
      </c>
      <c r="I539" s="72">
        <v>15930</v>
      </c>
      <c r="J539" s="17">
        <f t="shared" si="12"/>
        <v>0</v>
      </c>
      <c r="K539" s="17"/>
      <c r="L539" s="16" t="s">
        <v>18</v>
      </c>
      <c r="M539" s="16" t="s">
        <v>22</v>
      </c>
      <c r="N539" s="39"/>
      <c r="O539" s="20"/>
    </row>
    <row r="540" spans="1:15" s="12" customFormat="1" ht="25.5">
      <c r="A540" s="178" t="s">
        <v>80</v>
      </c>
      <c r="B540" s="75" t="s">
        <v>662</v>
      </c>
      <c r="C540" s="39" t="s">
        <v>17</v>
      </c>
      <c r="D540" s="236"/>
      <c r="E540" s="236"/>
      <c r="F540" s="236"/>
      <c r="G540" s="236"/>
      <c r="H540" s="40">
        <f>SUM(Tabla13211242[[#This Row],[PRIMER TRIMESTRE]:[CUARTO TRIMESTRE]])</f>
        <v>0</v>
      </c>
      <c r="I540" s="72">
        <f>15500*1.18</f>
        <v>18290</v>
      </c>
      <c r="J540" s="17">
        <f t="shared" si="12"/>
        <v>0</v>
      </c>
      <c r="K540" s="17"/>
      <c r="L540" s="16" t="s">
        <v>18</v>
      </c>
      <c r="M540" s="16" t="s">
        <v>22</v>
      </c>
      <c r="N540" s="39"/>
      <c r="O540" s="20"/>
    </row>
    <row r="541" spans="1:15" s="12" customFormat="1" ht="25.5">
      <c r="A541" s="178" t="s">
        <v>80</v>
      </c>
      <c r="B541" s="75" t="s">
        <v>664</v>
      </c>
      <c r="C541" s="39" t="s">
        <v>17</v>
      </c>
      <c r="D541" s="236"/>
      <c r="E541" s="236"/>
      <c r="F541" s="236"/>
      <c r="G541" s="236"/>
      <c r="H541" s="40">
        <f>SUM(Tabla13211242[[#This Row],[PRIMER TRIMESTRE]:[CUARTO TRIMESTRE]])</f>
        <v>0</v>
      </c>
      <c r="I541" s="72">
        <f>18500*1.18</f>
        <v>21830</v>
      </c>
      <c r="J541" s="17">
        <f t="shared" si="12"/>
        <v>0</v>
      </c>
      <c r="K541" s="17"/>
      <c r="L541" s="16" t="s">
        <v>18</v>
      </c>
      <c r="M541" s="16" t="s">
        <v>22</v>
      </c>
      <c r="N541" s="39"/>
      <c r="O541" s="20"/>
    </row>
    <row r="542" spans="1:15" s="12" customFormat="1" ht="38.25">
      <c r="A542" s="178" t="s">
        <v>80</v>
      </c>
      <c r="B542" s="75" t="s">
        <v>672</v>
      </c>
      <c r="C542" s="39" t="s">
        <v>17</v>
      </c>
      <c r="D542" s="236"/>
      <c r="E542" s="236"/>
      <c r="F542" s="236"/>
      <c r="G542" s="236"/>
      <c r="H542" s="40">
        <f>SUM(Tabla13211242[[#This Row],[PRIMER TRIMESTRE]:[CUARTO TRIMESTRE]])</f>
        <v>0</v>
      </c>
      <c r="I542" s="72">
        <f>13800*1.18</f>
        <v>16284</v>
      </c>
      <c r="J542" s="17">
        <f t="shared" si="12"/>
        <v>0</v>
      </c>
      <c r="K542" s="17"/>
      <c r="L542" s="16" t="s">
        <v>18</v>
      </c>
      <c r="M542" s="16" t="s">
        <v>22</v>
      </c>
      <c r="N542" s="39"/>
      <c r="O542" s="20"/>
    </row>
    <row r="543" spans="1:15" s="12" customFormat="1" ht="38.25">
      <c r="A543" s="178" t="s">
        <v>80</v>
      </c>
      <c r="B543" s="75" t="s">
        <v>665</v>
      </c>
      <c r="C543" s="39" t="s">
        <v>17</v>
      </c>
      <c r="D543" s="236"/>
      <c r="E543" s="236"/>
      <c r="F543" s="236"/>
      <c r="G543" s="236"/>
      <c r="H543" s="40">
        <f>SUM(Tabla13211242[[#This Row],[PRIMER TRIMESTRE]:[CUARTO TRIMESTRE]])</f>
        <v>0</v>
      </c>
      <c r="I543" s="17">
        <f>15950*1.18</f>
        <v>18821</v>
      </c>
      <c r="J543" s="17">
        <f t="shared" si="12"/>
        <v>0</v>
      </c>
      <c r="K543" s="17"/>
      <c r="L543" s="16" t="s">
        <v>18</v>
      </c>
      <c r="M543" s="16" t="s">
        <v>22</v>
      </c>
      <c r="N543" s="39"/>
      <c r="O543" s="20"/>
    </row>
    <row r="544" spans="1:15" s="12" customFormat="1" ht="38.25">
      <c r="A544" s="178" t="s">
        <v>80</v>
      </c>
      <c r="B544" s="75" t="s">
        <v>666</v>
      </c>
      <c r="C544" s="39" t="s">
        <v>17</v>
      </c>
      <c r="D544" s="236"/>
      <c r="E544" s="236"/>
      <c r="F544" s="236"/>
      <c r="G544" s="236"/>
      <c r="H544" s="40">
        <f>SUM(Tabla13211242[[#This Row],[PRIMER TRIMESTRE]:[CUARTO TRIMESTRE]])</f>
        <v>0</v>
      </c>
      <c r="I544" s="17">
        <f>18950*1.18</f>
        <v>22361</v>
      </c>
      <c r="J544" s="17">
        <f t="shared" si="12"/>
        <v>0</v>
      </c>
      <c r="K544" s="17"/>
      <c r="L544" s="16" t="s">
        <v>18</v>
      </c>
      <c r="M544" s="16" t="s">
        <v>22</v>
      </c>
      <c r="N544" s="39"/>
      <c r="O544" s="20"/>
    </row>
    <row r="545" spans="1:15" s="12" customFormat="1" ht="38.25">
      <c r="A545" s="178" t="s">
        <v>80</v>
      </c>
      <c r="B545" s="75" t="s">
        <v>667</v>
      </c>
      <c r="C545" s="39" t="s">
        <v>17</v>
      </c>
      <c r="D545" s="236"/>
      <c r="E545" s="236"/>
      <c r="F545" s="236"/>
      <c r="G545" s="236"/>
      <c r="H545" s="40">
        <f>SUM(Tabla13211242[[#This Row],[PRIMER TRIMESTRE]:[CUARTO TRIMESTRE]])</f>
        <v>0</v>
      </c>
      <c r="I545" s="17">
        <f>23500*1.18</f>
        <v>27730</v>
      </c>
      <c r="J545" s="17">
        <f t="shared" si="12"/>
        <v>0</v>
      </c>
      <c r="K545" s="17"/>
      <c r="L545" s="16" t="s">
        <v>18</v>
      </c>
      <c r="M545" s="16" t="s">
        <v>22</v>
      </c>
      <c r="N545" s="39"/>
      <c r="O545" s="20"/>
    </row>
    <row r="546" spans="1:15" s="12" customFormat="1" ht="38.25">
      <c r="A546" s="178" t="s">
        <v>80</v>
      </c>
      <c r="B546" s="75" t="s">
        <v>668</v>
      </c>
      <c r="C546" s="39" t="s">
        <v>17</v>
      </c>
      <c r="D546" s="236"/>
      <c r="E546" s="236"/>
      <c r="F546" s="236"/>
      <c r="G546" s="236"/>
      <c r="H546" s="40">
        <f>SUM(Tabla13211242[[#This Row],[PRIMER TRIMESTRE]:[CUARTO TRIMESTRE]])</f>
        <v>0</v>
      </c>
      <c r="I546" s="17">
        <f>32800*1.18</f>
        <v>38704</v>
      </c>
      <c r="J546" s="17">
        <f t="shared" si="12"/>
        <v>0</v>
      </c>
      <c r="K546" s="17"/>
      <c r="L546" s="16" t="s">
        <v>18</v>
      </c>
      <c r="M546" s="16" t="s">
        <v>22</v>
      </c>
      <c r="N546" s="39"/>
      <c r="O546" s="20"/>
    </row>
    <row r="547" spans="1:15" s="12" customFormat="1" ht="38.25">
      <c r="A547" s="178" t="s">
        <v>80</v>
      </c>
      <c r="B547" s="75" t="s">
        <v>669</v>
      </c>
      <c r="C547" s="39" t="s">
        <v>17</v>
      </c>
      <c r="D547" s="236"/>
      <c r="E547" s="236"/>
      <c r="F547" s="236"/>
      <c r="G547" s="236"/>
      <c r="H547" s="40">
        <f>SUM(Tabla13211242[[#This Row],[PRIMER TRIMESTRE]:[CUARTO TRIMESTRE]])</f>
        <v>0</v>
      </c>
      <c r="I547" s="17">
        <f>56500*1.18</f>
        <v>66670</v>
      </c>
      <c r="J547" s="17">
        <f t="shared" si="12"/>
        <v>0</v>
      </c>
      <c r="K547" s="17"/>
      <c r="L547" s="16" t="s">
        <v>18</v>
      </c>
      <c r="M547" s="16" t="s">
        <v>22</v>
      </c>
      <c r="N547" s="39"/>
      <c r="O547" s="20"/>
    </row>
    <row r="548" spans="1:15" s="12" customFormat="1" ht="38.25">
      <c r="A548" s="178" t="s">
        <v>80</v>
      </c>
      <c r="B548" s="75" t="s">
        <v>670</v>
      </c>
      <c r="C548" s="39" t="s">
        <v>17</v>
      </c>
      <c r="D548" s="236"/>
      <c r="E548" s="236"/>
      <c r="F548" s="236"/>
      <c r="G548" s="236"/>
      <c r="H548" s="40">
        <f>SUM(Tabla13211242[[#This Row],[PRIMER TRIMESTRE]:[CUARTO TRIMESTRE]])</f>
        <v>0</v>
      </c>
      <c r="I548" s="17">
        <f>74000*1.18</f>
        <v>87320</v>
      </c>
      <c r="J548" s="17">
        <f t="shared" si="12"/>
        <v>0</v>
      </c>
      <c r="K548" s="17"/>
      <c r="L548" s="16" t="s">
        <v>18</v>
      </c>
      <c r="M548" s="16" t="s">
        <v>22</v>
      </c>
      <c r="N548" s="39"/>
      <c r="O548" s="20"/>
    </row>
    <row r="549" spans="1:15" s="12" customFormat="1" ht="38.25">
      <c r="A549" s="178" t="s">
        <v>80</v>
      </c>
      <c r="B549" s="75" t="s">
        <v>671</v>
      </c>
      <c r="C549" s="39" t="s">
        <v>17</v>
      </c>
      <c r="D549" s="236"/>
      <c r="E549" s="236"/>
      <c r="F549" s="236"/>
      <c r="G549" s="236"/>
      <c r="H549" s="40">
        <f>SUM(Tabla13211242[[#This Row],[PRIMER TRIMESTRE]:[CUARTO TRIMESTRE]])</f>
        <v>0</v>
      </c>
      <c r="I549" s="17">
        <f>245000*1.18</f>
        <v>289100</v>
      </c>
      <c r="J549" s="17">
        <f t="shared" si="12"/>
        <v>0</v>
      </c>
      <c r="K549" s="17"/>
      <c r="L549" s="16" t="s">
        <v>18</v>
      </c>
      <c r="M549" s="16" t="s">
        <v>22</v>
      </c>
      <c r="N549" s="39"/>
      <c r="O549" s="20"/>
    </row>
    <row r="550" spans="1:15" s="12" customFormat="1" ht="38.25">
      <c r="A550" s="178" t="s">
        <v>80</v>
      </c>
      <c r="B550" s="75" t="s">
        <v>676</v>
      </c>
      <c r="C550" s="39" t="s">
        <v>17</v>
      </c>
      <c r="D550" s="236"/>
      <c r="E550" s="236"/>
      <c r="F550" s="236"/>
      <c r="G550" s="236"/>
      <c r="H550" s="40">
        <f>SUM(Tabla13211242[[#This Row],[PRIMER TRIMESTRE]:[CUARTO TRIMESTRE]])</f>
        <v>0</v>
      </c>
      <c r="I550" s="17">
        <v>40200</v>
      </c>
      <c r="J550" s="17">
        <f t="shared" si="12"/>
        <v>0</v>
      </c>
      <c r="K550" s="17"/>
      <c r="L550" s="16" t="s">
        <v>18</v>
      </c>
      <c r="M550" s="16" t="s">
        <v>22</v>
      </c>
      <c r="N550" s="39"/>
      <c r="O550" s="20"/>
    </row>
    <row r="551" spans="1:15" s="12" customFormat="1" ht="38.25">
      <c r="A551" s="178" t="s">
        <v>80</v>
      </c>
      <c r="B551" s="75" t="s">
        <v>677</v>
      </c>
      <c r="C551" s="39" t="s">
        <v>17</v>
      </c>
      <c r="D551" s="236"/>
      <c r="E551" s="236"/>
      <c r="F551" s="236"/>
      <c r="G551" s="236"/>
      <c r="H551" s="40">
        <f>SUM(Tabla13211242[[#This Row],[PRIMER TRIMESTRE]:[CUARTO TRIMESTRE]])</f>
        <v>0</v>
      </c>
      <c r="I551" s="17">
        <v>49500</v>
      </c>
      <c r="J551" s="17">
        <f t="shared" si="12"/>
        <v>0</v>
      </c>
      <c r="K551" s="17"/>
      <c r="L551" s="16" t="s">
        <v>18</v>
      </c>
      <c r="M551" s="16" t="s">
        <v>22</v>
      </c>
      <c r="N551" s="39"/>
      <c r="O551" s="20"/>
    </row>
    <row r="552" spans="1:15" s="12" customFormat="1" ht="38.25">
      <c r="A552" s="178" t="s">
        <v>80</v>
      </c>
      <c r="B552" s="75" t="s">
        <v>678</v>
      </c>
      <c r="C552" s="39" t="s">
        <v>17</v>
      </c>
      <c r="D552" s="236"/>
      <c r="E552" s="236"/>
      <c r="F552" s="236"/>
      <c r="G552" s="236"/>
      <c r="H552" s="40">
        <f>SUM(Tabla13211242[[#This Row],[PRIMER TRIMESTRE]:[CUARTO TRIMESTRE]])</f>
        <v>0</v>
      </c>
      <c r="I552" s="17">
        <v>73250</v>
      </c>
      <c r="J552" s="17">
        <f t="shared" si="12"/>
        <v>0</v>
      </c>
      <c r="K552" s="17"/>
      <c r="L552" s="16" t="s">
        <v>18</v>
      </c>
      <c r="M552" s="16" t="s">
        <v>22</v>
      </c>
      <c r="N552" s="39"/>
      <c r="O552" s="20"/>
    </row>
    <row r="553" spans="1:15" s="12" customFormat="1" ht="38.25">
      <c r="A553" s="178" t="s">
        <v>80</v>
      </c>
      <c r="B553" s="75" t="s">
        <v>679</v>
      </c>
      <c r="C553" s="39" t="s">
        <v>17</v>
      </c>
      <c r="D553" s="236"/>
      <c r="E553" s="236"/>
      <c r="F553" s="236"/>
      <c r="G553" s="236"/>
      <c r="H553" s="40">
        <f>SUM(Tabla13211242[[#This Row],[PRIMER TRIMESTRE]:[CUARTO TRIMESTRE]])</f>
        <v>0</v>
      </c>
      <c r="I553" s="72">
        <v>289000</v>
      </c>
      <c r="J553" s="17">
        <f t="shared" ref="J553:J578" si="13">+H553*I553</f>
        <v>0</v>
      </c>
      <c r="K553" s="17"/>
      <c r="L553" s="16" t="s">
        <v>18</v>
      </c>
      <c r="M553" s="16" t="s">
        <v>22</v>
      </c>
      <c r="N553" s="39"/>
      <c r="O553" s="20"/>
    </row>
    <row r="554" spans="1:15" s="12" customFormat="1" ht="51">
      <c r="A554" s="178" t="s">
        <v>80</v>
      </c>
      <c r="B554" s="75" t="s">
        <v>680</v>
      </c>
      <c r="C554" s="39" t="s">
        <v>17</v>
      </c>
      <c r="D554" s="236"/>
      <c r="E554" s="236"/>
      <c r="F554" s="236"/>
      <c r="G554" s="236"/>
      <c r="H554" s="40">
        <f>SUM(Tabla13211242[[#This Row],[PRIMER TRIMESTRE]:[CUARTO TRIMESTRE]])</f>
        <v>0</v>
      </c>
      <c r="I554" s="72">
        <f>26800*1.18</f>
        <v>31624</v>
      </c>
      <c r="J554" s="17">
        <f t="shared" si="13"/>
        <v>0</v>
      </c>
      <c r="K554" s="17"/>
      <c r="L554" s="16" t="s">
        <v>18</v>
      </c>
      <c r="M554" s="16" t="s">
        <v>22</v>
      </c>
      <c r="N554" s="39"/>
      <c r="O554" s="20"/>
    </row>
    <row r="555" spans="1:15" s="12" customFormat="1" ht="51">
      <c r="A555" s="178" t="s">
        <v>80</v>
      </c>
      <c r="B555" s="75" t="s">
        <v>681</v>
      </c>
      <c r="C555" s="39" t="s">
        <v>17</v>
      </c>
      <c r="D555" s="236"/>
      <c r="E555" s="236"/>
      <c r="F555" s="236"/>
      <c r="G555" s="236"/>
      <c r="H555" s="40">
        <f>SUM(Tabla13211242[[#This Row],[PRIMER TRIMESTRE]:[CUARTO TRIMESTRE]])</f>
        <v>0</v>
      </c>
      <c r="I555" s="17">
        <f>39500*1.18</f>
        <v>46610</v>
      </c>
      <c r="J555" s="17">
        <f t="shared" si="13"/>
        <v>0</v>
      </c>
      <c r="K555" s="17"/>
      <c r="L555" s="16" t="s">
        <v>18</v>
      </c>
      <c r="M555" s="16" t="s">
        <v>22</v>
      </c>
      <c r="N555" s="39"/>
      <c r="O555" s="20"/>
    </row>
    <row r="556" spans="1:15" s="12" customFormat="1" ht="51">
      <c r="A556" s="178" t="s">
        <v>80</v>
      </c>
      <c r="B556" s="75" t="s">
        <v>683</v>
      </c>
      <c r="C556" s="39" t="s">
        <v>17</v>
      </c>
      <c r="D556" s="236"/>
      <c r="E556" s="236"/>
      <c r="F556" s="236"/>
      <c r="G556" s="236"/>
      <c r="H556" s="40">
        <f>SUM(Tabla13211242[[#This Row],[PRIMER TRIMESTRE]:[CUARTO TRIMESTRE]])</f>
        <v>0</v>
      </c>
      <c r="I556" s="72">
        <v>68487.199999999997</v>
      </c>
      <c r="J556" s="17">
        <f t="shared" si="13"/>
        <v>0</v>
      </c>
      <c r="K556" s="17"/>
      <c r="L556" s="16" t="s">
        <v>18</v>
      </c>
      <c r="M556" s="16" t="s">
        <v>22</v>
      </c>
      <c r="N556" s="39"/>
      <c r="O556" s="20"/>
    </row>
    <row r="557" spans="1:15" s="12" customFormat="1" ht="51">
      <c r="A557" s="178" t="s">
        <v>80</v>
      </c>
      <c r="B557" s="75" t="s">
        <v>682</v>
      </c>
      <c r="C557" s="39" t="s">
        <v>17</v>
      </c>
      <c r="D557" s="236"/>
      <c r="E557" s="236"/>
      <c r="F557" s="236"/>
      <c r="G557" s="236"/>
      <c r="H557" s="40">
        <f>SUM(Tabla13211242[[#This Row],[PRIMER TRIMESTRE]:[CUARTO TRIMESTRE]])</f>
        <v>0</v>
      </c>
      <c r="I557" s="72">
        <v>304100</v>
      </c>
      <c r="J557" s="17">
        <f t="shared" si="13"/>
        <v>0</v>
      </c>
      <c r="K557" s="17"/>
      <c r="L557" s="16" t="s">
        <v>18</v>
      </c>
      <c r="M557" s="16" t="s">
        <v>22</v>
      </c>
      <c r="N557" s="39"/>
      <c r="O557" s="20"/>
    </row>
    <row r="558" spans="1:15" s="12" customFormat="1" ht="25.5">
      <c r="A558" s="178" t="s">
        <v>80</v>
      </c>
      <c r="B558" s="75" t="s">
        <v>1720</v>
      </c>
      <c r="C558" s="39" t="s">
        <v>17</v>
      </c>
      <c r="D558" s="236"/>
      <c r="E558" s="236"/>
      <c r="F558" s="236"/>
      <c r="G558" s="236"/>
      <c r="H558" s="40">
        <v>0</v>
      </c>
      <c r="I558" s="72">
        <v>0</v>
      </c>
      <c r="J558" s="17">
        <v>0</v>
      </c>
      <c r="K558" s="17"/>
      <c r="L558" s="16" t="s">
        <v>18</v>
      </c>
      <c r="M558" s="16" t="s">
        <v>22</v>
      </c>
      <c r="N558" s="39"/>
      <c r="O558" s="20"/>
    </row>
    <row r="559" spans="1:15" s="12" customFormat="1" ht="18">
      <c r="A559" s="178" t="s">
        <v>80</v>
      </c>
      <c r="B559" s="75" t="s">
        <v>635</v>
      </c>
      <c r="C559" s="39" t="s">
        <v>17</v>
      </c>
      <c r="D559" s="236"/>
      <c r="E559" s="236"/>
      <c r="F559" s="236"/>
      <c r="G559" s="236"/>
      <c r="H559" s="40">
        <f>SUM(Tabla13211242[[#This Row],[PRIMER TRIMESTRE]:[CUARTO TRIMESTRE]])</f>
        <v>0</v>
      </c>
      <c r="I559" s="17">
        <v>94400</v>
      </c>
      <c r="J559" s="17">
        <f t="shared" si="13"/>
        <v>0</v>
      </c>
      <c r="K559" s="17"/>
      <c r="L559" s="16" t="s">
        <v>18</v>
      </c>
      <c r="M559" s="16" t="s">
        <v>22</v>
      </c>
      <c r="N559" s="39"/>
      <c r="O559" s="20"/>
    </row>
    <row r="560" spans="1:15" s="12" customFormat="1" ht="18">
      <c r="A560" s="178" t="s">
        <v>80</v>
      </c>
      <c r="B560" s="75" t="s">
        <v>636</v>
      </c>
      <c r="C560" s="39" t="s">
        <v>17</v>
      </c>
      <c r="D560" s="236"/>
      <c r="E560" s="236"/>
      <c r="F560" s="236"/>
      <c r="G560" s="236"/>
      <c r="H560" s="40">
        <f>SUM(Tabla13211242[[#This Row],[PRIMER TRIMESTRE]:[CUARTO TRIMESTRE]])</f>
        <v>0</v>
      </c>
      <c r="I560" s="17">
        <v>106200</v>
      </c>
      <c r="J560" s="17">
        <f t="shared" si="13"/>
        <v>0</v>
      </c>
      <c r="K560" s="17"/>
      <c r="L560" s="16" t="s">
        <v>18</v>
      </c>
      <c r="M560" s="16" t="s">
        <v>22</v>
      </c>
      <c r="N560" s="39"/>
      <c r="O560" s="20"/>
    </row>
    <row r="561" spans="1:15" s="12" customFormat="1" ht="18">
      <c r="A561" s="178" t="s">
        <v>80</v>
      </c>
      <c r="B561" s="75" t="s">
        <v>637</v>
      </c>
      <c r="C561" s="39" t="s">
        <v>17</v>
      </c>
      <c r="D561" s="236"/>
      <c r="E561" s="236"/>
      <c r="F561" s="236"/>
      <c r="G561" s="236"/>
      <c r="H561" s="40">
        <f>SUM(Tabla13211242[[#This Row],[PRIMER TRIMESTRE]:[CUARTO TRIMESTRE]])</f>
        <v>0</v>
      </c>
      <c r="I561" s="17">
        <v>112100</v>
      </c>
      <c r="J561" s="17">
        <f t="shared" si="13"/>
        <v>0</v>
      </c>
      <c r="K561" s="17"/>
      <c r="L561" s="16" t="s">
        <v>18</v>
      </c>
      <c r="M561" s="16" t="s">
        <v>22</v>
      </c>
      <c r="N561" s="39"/>
      <c r="O561" s="20"/>
    </row>
    <row r="562" spans="1:15" s="12" customFormat="1" ht="38.25">
      <c r="A562" s="178" t="s">
        <v>80</v>
      </c>
      <c r="B562" s="75" t="s">
        <v>685</v>
      </c>
      <c r="C562" s="39" t="s">
        <v>17</v>
      </c>
      <c r="D562" s="236"/>
      <c r="E562" s="236"/>
      <c r="F562" s="236"/>
      <c r="G562" s="236"/>
      <c r="H562" s="40">
        <f>SUM(Tabla13211242[[#This Row],[PRIMER TRIMESTRE]:[CUARTO TRIMESTRE]])</f>
        <v>0</v>
      </c>
      <c r="I562" s="17">
        <v>42480</v>
      </c>
      <c r="J562" s="17">
        <f t="shared" si="13"/>
        <v>0</v>
      </c>
      <c r="K562" s="17"/>
      <c r="L562" s="16" t="s">
        <v>18</v>
      </c>
      <c r="M562" s="16" t="s">
        <v>22</v>
      </c>
      <c r="N562" s="39"/>
      <c r="O562" s="20"/>
    </row>
    <row r="563" spans="1:15" s="12" customFormat="1" ht="38.25">
      <c r="A563" s="178" t="s">
        <v>80</v>
      </c>
      <c r="B563" s="75" t="s">
        <v>686</v>
      </c>
      <c r="C563" s="39" t="s">
        <v>17</v>
      </c>
      <c r="D563" s="236"/>
      <c r="E563" s="236"/>
      <c r="F563" s="236"/>
      <c r="G563" s="236"/>
      <c r="H563" s="40">
        <f>SUM(Tabla13211242[[#This Row],[PRIMER TRIMESTRE]:[CUARTO TRIMESTRE]])</f>
        <v>0</v>
      </c>
      <c r="I563" s="17">
        <v>64900</v>
      </c>
      <c r="J563" s="17">
        <f t="shared" si="13"/>
        <v>0</v>
      </c>
      <c r="K563" s="17"/>
      <c r="L563" s="16" t="s">
        <v>18</v>
      </c>
      <c r="M563" s="16" t="s">
        <v>22</v>
      </c>
      <c r="N563" s="39"/>
      <c r="O563" s="20"/>
    </row>
    <row r="564" spans="1:15" s="12" customFormat="1" ht="38.25">
      <c r="A564" s="178" t="s">
        <v>80</v>
      </c>
      <c r="B564" s="75" t="s">
        <v>687</v>
      </c>
      <c r="C564" s="39" t="s">
        <v>17</v>
      </c>
      <c r="D564" s="236"/>
      <c r="E564" s="236"/>
      <c r="F564" s="236"/>
      <c r="G564" s="236"/>
      <c r="H564" s="40">
        <f>SUM(Tabla13211242[[#This Row],[PRIMER TRIMESTRE]:[CUARTO TRIMESTRE]])</f>
        <v>0</v>
      </c>
      <c r="I564" s="17">
        <v>92040</v>
      </c>
      <c r="J564" s="17">
        <f t="shared" si="13"/>
        <v>0</v>
      </c>
      <c r="K564" s="17"/>
      <c r="L564" s="16" t="s">
        <v>18</v>
      </c>
      <c r="M564" s="16" t="s">
        <v>22</v>
      </c>
      <c r="N564" s="39"/>
      <c r="O564" s="20"/>
    </row>
    <row r="565" spans="1:15" s="12" customFormat="1" ht="25.5">
      <c r="A565" s="178" t="s">
        <v>80</v>
      </c>
      <c r="B565" s="75" t="s">
        <v>688</v>
      </c>
      <c r="C565" s="39" t="s">
        <v>17</v>
      </c>
      <c r="D565" s="236"/>
      <c r="E565" s="236"/>
      <c r="F565" s="236"/>
      <c r="G565" s="236"/>
      <c r="H565" s="40">
        <f>SUM(Tabla13211242[[#This Row],[PRIMER TRIMESTRE]:[CUARTO TRIMESTRE]])</f>
        <v>0</v>
      </c>
      <c r="I565" s="17">
        <v>6377.7</v>
      </c>
      <c r="J565" s="17">
        <f t="shared" si="13"/>
        <v>0</v>
      </c>
      <c r="K565" s="17"/>
      <c r="L565" s="16" t="s">
        <v>18</v>
      </c>
      <c r="M565" s="16" t="s">
        <v>22</v>
      </c>
      <c r="N565" s="39"/>
      <c r="O565" s="20"/>
    </row>
    <row r="566" spans="1:15" s="12" customFormat="1" ht="25.5">
      <c r="A566" s="178" t="s">
        <v>80</v>
      </c>
      <c r="B566" s="75" t="s">
        <v>689</v>
      </c>
      <c r="C566" s="39" t="s">
        <v>17</v>
      </c>
      <c r="D566" s="236"/>
      <c r="E566" s="236"/>
      <c r="F566" s="236"/>
      <c r="G566" s="236"/>
      <c r="H566" s="40">
        <f>SUM(Tabla13211242[[#This Row],[PRIMER TRIMESTRE]:[CUARTO TRIMESTRE]])</f>
        <v>0</v>
      </c>
      <c r="I566" s="72">
        <v>6769.1</v>
      </c>
      <c r="J566" s="17">
        <f t="shared" si="13"/>
        <v>0</v>
      </c>
      <c r="K566" s="17"/>
      <c r="L566" s="16" t="s">
        <v>18</v>
      </c>
      <c r="M566" s="16" t="s">
        <v>22</v>
      </c>
      <c r="N566" s="39"/>
      <c r="O566" s="20"/>
    </row>
    <row r="567" spans="1:15" s="12" customFormat="1" ht="25.5">
      <c r="A567" s="178" t="s">
        <v>80</v>
      </c>
      <c r="B567" s="75" t="s">
        <v>690</v>
      </c>
      <c r="C567" s="39" t="s">
        <v>17</v>
      </c>
      <c r="D567" s="236"/>
      <c r="E567" s="236"/>
      <c r="F567" s="236"/>
      <c r="G567" s="236"/>
      <c r="H567" s="40">
        <f>SUM(Tabla13211242[[#This Row],[PRIMER TRIMESTRE]:[CUARTO TRIMESTRE]])</f>
        <v>0</v>
      </c>
      <c r="I567" s="72">
        <v>6890.2</v>
      </c>
      <c r="J567" s="17">
        <f t="shared" si="13"/>
        <v>0</v>
      </c>
      <c r="K567" s="17"/>
      <c r="L567" s="16" t="s">
        <v>18</v>
      </c>
      <c r="M567" s="16" t="s">
        <v>22</v>
      </c>
      <c r="N567" s="39"/>
      <c r="O567" s="20"/>
    </row>
    <row r="568" spans="1:15" s="12" customFormat="1" ht="25.5">
      <c r="A568" s="178" t="s">
        <v>80</v>
      </c>
      <c r="B568" s="75" t="s">
        <v>905</v>
      </c>
      <c r="C568" s="39" t="s">
        <v>17</v>
      </c>
      <c r="D568" s="236"/>
      <c r="E568" s="236"/>
      <c r="F568" s="236"/>
      <c r="G568" s="236"/>
      <c r="H568" s="40">
        <f>SUM(Tabla13211242[[#This Row],[PRIMER TRIMESTRE]:[CUARTO TRIMESTRE]])</f>
        <v>0</v>
      </c>
      <c r="I568" s="72">
        <f>+I567*1.15</f>
        <v>7923.73</v>
      </c>
      <c r="J568" s="17">
        <f t="shared" si="13"/>
        <v>0</v>
      </c>
      <c r="K568" s="17"/>
      <c r="L568" s="16" t="s">
        <v>18</v>
      </c>
      <c r="M568" s="16" t="s">
        <v>22</v>
      </c>
      <c r="N568" s="39"/>
      <c r="O568" s="20"/>
    </row>
    <row r="569" spans="1:15" s="12" customFormat="1" ht="25.5">
      <c r="A569" s="178" t="s">
        <v>80</v>
      </c>
      <c r="B569" s="75" t="s">
        <v>691</v>
      </c>
      <c r="C569" s="39" t="s">
        <v>17</v>
      </c>
      <c r="D569" s="236"/>
      <c r="E569" s="236"/>
      <c r="F569" s="236"/>
      <c r="G569" s="236"/>
      <c r="H569" s="40">
        <f>SUM(Tabla13211242[[#This Row],[PRIMER TRIMESTRE]:[CUARTO TRIMESTRE]])</f>
        <v>0</v>
      </c>
      <c r="I569" s="72">
        <f>2500*1.18</f>
        <v>2950</v>
      </c>
      <c r="J569" s="17">
        <f t="shared" si="13"/>
        <v>0</v>
      </c>
      <c r="K569" s="17"/>
      <c r="L569" s="16" t="s">
        <v>18</v>
      </c>
      <c r="M569" s="16" t="s">
        <v>22</v>
      </c>
      <c r="N569" s="39"/>
      <c r="O569" s="20"/>
    </row>
    <row r="570" spans="1:15" s="12" customFormat="1" ht="25.5">
      <c r="A570" s="178" t="s">
        <v>80</v>
      </c>
      <c r="B570" s="75" t="s">
        <v>692</v>
      </c>
      <c r="C570" s="39" t="s">
        <v>17</v>
      </c>
      <c r="D570" s="236"/>
      <c r="E570" s="236"/>
      <c r="F570" s="236"/>
      <c r="G570" s="236"/>
      <c r="H570" s="40">
        <f>SUM(Tabla13211242[[#This Row],[PRIMER TRIMESTRE]:[CUARTO TRIMESTRE]])</f>
        <v>0</v>
      </c>
      <c r="I570" s="72">
        <v>20380.96</v>
      </c>
      <c r="J570" s="17">
        <f t="shared" si="13"/>
        <v>0</v>
      </c>
      <c r="K570" s="17"/>
      <c r="L570" s="16" t="s">
        <v>18</v>
      </c>
      <c r="M570" s="16" t="s">
        <v>22</v>
      </c>
      <c r="N570" s="39"/>
      <c r="O570" s="20"/>
    </row>
    <row r="571" spans="1:15" s="12" customFormat="1" ht="25.5">
      <c r="A571" s="178" t="s">
        <v>80</v>
      </c>
      <c r="B571" s="75" t="s">
        <v>693</v>
      </c>
      <c r="C571" s="39" t="s">
        <v>17</v>
      </c>
      <c r="D571" s="236"/>
      <c r="E571" s="236"/>
      <c r="F571" s="236"/>
      <c r="G571" s="236"/>
      <c r="H571" s="40">
        <f>SUM(Tabla13211242[[#This Row],[PRIMER TRIMESTRE]:[CUARTO TRIMESTRE]])</f>
        <v>0</v>
      </c>
      <c r="I571" s="72">
        <v>29236.86</v>
      </c>
      <c r="J571" s="17">
        <f t="shared" si="13"/>
        <v>0</v>
      </c>
      <c r="K571" s="17"/>
      <c r="L571" s="16" t="s">
        <v>18</v>
      </c>
      <c r="M571" s="16" t="s">
        <v>22</v>
      </c>
      <c r="N571" s="39"/>
      <c r="O571" s="20"/>
    </row>
    <row r="572" spans="1:15" s="12" customFormat="1" ht="18">
      <c r="A572" s="178" t="s">
        <v>80</v>
      </c>
      <c r="B572" s="75" t="s">
        <v>454</v>
      </c>
      <c r="C572" s="39" t="s">
        <v>17</v>
      </c>
      <c r="D572" s="236"/>
      <c r="E572" s="236"/>
      <c r="F572" s="236"/>
      <c r="G572" s="236"/>
      <c r="H572" s="40">
        <f>SUM(Tabla13211242[[#This Row],[PRIMER TRIMESTRE]:[CUARTO TRIMESTRE]])</f>
        <v>0</v>
      </c>
      <c r="I572" s="72">
        <v>236</v>
      </c>
      <c r="J572" s="17">
        <f t="shared" si="13"/>
        <v>0</v>
      </c>
      <c r="K572" s="17"/>
      <c r="L572" s="16" t="s">
        <v>18</v>
      </c>
      <c r="M572" s="16" t="s">
        <v>22</v>
      </c>
      <c r="N572" s="39"/>
      <c r="O572" s="20"/>
    </row>
    <row r="573" spans="1:15" s="12" customFormat="1" ht="18">
      <c r="A573" s="178" t="s">
        <v>80</v>
      </c>
      <c r="B573" s="75" t="s">
        <v>455</v>
      </c>
      <c r="C573" s="39" t="s">
        <v>17</v>
      </c>
      <c r="D573" s="236"/>
      <c r="E573" s="236"/>
      <c r="F573" s="236"/>
      <c r="G573" s="236"/>
      <c r="H573" s="40">
        <f>SUM(Tabla13211242[[#This Row],[PRIMER TRIMESTRE]:[CUARTO TRIMESTRE]])</f>
        <v>0</v>
      </c>
      <c r="I573" s="72">
        <v>344.56</v>
      </c>
      <c r="J573" s="17">
        <f t="shared" si="13"/>
        <v>0</v>
      </c>
      <c r="K573" s="17"/>
      <c r="L573" s="16" t="s">
        <v>18</v>
      </c>
      <c r="M573" s="16" t="s">
        <v>22</v>
      </c>
      <c r="N573" s="39"/>
      <c r="O573" s="20"/>
    </row>
    <row r="574" spans="1:15" s="12" customFormat="1" ht="18">
      <c r="A574" s="178" t="s">
        <v>80</v>
      </c>
      <c r="B574" s="75" t="s">
        <v>456</v>
      </c>
      <c r="C574" s="39" t="s">
        <v>17</v>
      </c>
      <c r="D574" s="236"/>
      <c r="E574" s="236"/>
      <c r="F574" s="236"/>
      <c r="G574" s="236"/>
      <c r="H574" s="40">
        <f>SUM(Tabla13211242[[#This Row],[PRIMER TRIMESTRE]:[CUARTO TRIMESTRE]])</f>
        <v>0</v>
      </c>
      <c r="I574" s="72">
        <v>499.14</v>
      </c>
      <c r="J574" s="17">
        <f t="shared" si="13"/>
        <v>0</v>
      </c>
      <c r="K574" s="17"/>
      <c r="L574" s="16" t="s">
        <v>18</v>
      </c>
      <c r="M574" s="16" t="s">
        <v>22</v>
      </c>
      <c r="N574" s="39"/>
      <c r="O574" s="20"/>
    </row>
    <row r="575" spans="1:15" s="12" customFormat="1" ht="18">
      <c r="A575" s="178" t="s">
        <v>80</v>
      </c>
      <c r="B575" s="75" t="s">
        <v>457</v>
      </c>
      <c r="C575" s="39" t="s">
        <v>17</v>
      </c>
      <c r="D575" s="236"/>
      <c r="E575" s="236"/>
      <c r="F575" s="236"/>
      <c r="G575" s="236"/>
      <c r="H575" s="40">
        <f>SUM(Tabla13211242[[#This Row],[PRIMER TRIMESTRE]:[CUARTO TRIMESTRE]])</f>
        <v>0</v>
      </c>
      <c r="I575" s="72">
        <v>1598.9</v>
      </c>
      <c r="J575" s="17">
        <f t="shared" si="13"/>
        <v>0</v>
      </c>
      <c r="K575" s="17"/>
      <c r="L575" s="17" t="s">
        <v>18</v>
      </c>
      <c r="M575" s="16" t="s">
        <v>22</v>
      </c>
      <c r="N575" s="39"/>
      <c r="O575" s="20"/>
    </row>
    <row r="576" spans="1:15" s="12" customFormat="1" ht="18">
      <c r="A576" s="178" t="s">
        <v>80</v>
      </c>
      <c r="B576" s="75" t="s">
        <v>458</v>
      </c>
      <c r="C576" s="39" t="s">
        <v>17</v>
      </c>
      <c r="D576" s="236"/>
      <c r="E576" s="236"/>
      <c r="F576" s="236"/>
      <c r="G576" s="236"/>
      <c r="H576" s="40">
        <f>SUM(Tabla13211242[[#This Row],[PRIMER TRIMESTRE]:[CUARTO TRIMESTRE]])</f>
        <v>0</v>
      </c>
      <c r="I576" s="72">
        <v>1849.06</v>
      </c>
      <c r="J576" s="17">
        <f t="shared" si="13"/>
        <v>0</v>
      </c>
      <c r="K576" s="17"/>
      <c r="L576" s="17" t="s">
        <v>18</v>
      </c>
      <c r="M576" s="16" t="s">
        <v>22</v>
      </c>
      <c r="N576" s="39"/>
      <c r="O576" s="20"/>
    </row>
    <row r="577" spans="1:15" s="26" customFormat="1" ht="18">
      <c r="A577" s="178" t="s">
        <v>80</v>
      </c>
      <c r="B577" s="75" t="s">
        <v>801</v>
      </c>
      <c r="C577" s="39" t="s">
        <v>17</v>
      </c>
      <c r="D577" s="236"/>
      <c r="E577" s="236"/>
      <c r="F577" s="236"/>
      <c r="G577" s="236"/>
      <c r="H577" s="40">
        <f>SUM(Tabla13211242[[#This Row],[PRIMER TRIMESTRE]:[CUARTO TRIMESTRE]])</f>
        <v>0</v>
      </c>
      <c r="I577" s="72">
        <v>5444</v>
      </c>
      <c r="J577" s="17">
        <f t="shared" si="13"/>
        <v>0</v>
      </c>
      <c r="K577" s="17"/>
      <c r="L577" s="17" t="s">
        <v>18</v>
      </c>
      <c r="M577" s="16" t="s">
        <v>22</v>
      </c>
      <c r="N577" s="39"/>
      <c r="O577" s="23"/>
    </row>
    <row r="578" spans="1:15" s="12" customFormat="1" ht="18">
      <c r="A578" s="178" t="s">
        <v>80</v>
      </c>
      <c r="B578" s="75" t="s">
        <v>802</v>
      </c>
      <c r="C578" s="39" t="s">
        <v>17</v>
      </c>
      <c r="D578" s="236"/>
      <c r="E578" s="236"/>
      <c r="F578" s="236"/>
      <c r="G578" s="236"/>
      <c r="H578" s="40">
        <f>SUM(Tabla13211242[[#This Row],[PRIMER TRIMESTRE]:[CUARTO TRIMESTRE]])</f>
        <v>0</v>
      </c>
      <c r="I578" s="72">
        <v>6844</v>
      </c>
      <c r="J578" s="17">
        <f t="shared" si="13"/>
        <v>0</v>
      </c>
      <c r="K578" s="17"/>
      <c r="L578" s="17" t="s">
        <v>18</v>
      </c>
      <c r="M578" s="16" t="s">
        <v>22</v>
      </c>
      <c r="N578" s="39"/>
      <c r="O578" s="20"/>
    </row>
    <row r="579" spans="1:15" s="12" customFormat="1" ht="18">
      <c r="A579" s="179" t="s">
        <v>80</v>
      </c>
      <c r="B579" s="76"/>
      <c r="C579" s="42"/>
      <c r="D579" s="237"/>
      <c r="E579" s="237"/>
      <c r="F579" s="237"/>
      <c r="G579" s="237"/>
      <c r="H579" s="43"/>
      <c r="I579" s="24"/>
      <c r="J579" s="24"/>
      <c r="K579" s="25">
        <f>SUM(J204:J578)</f>
        <v>0</v>
      </c>
      <c r="L579" s="23"/>
      <c r="M579" s="23"/>
      <c r="N579" s="42"/>
      <c r="O579" s="20"/>
    </row>
    <row r="580" spans="1:15" s="12" customFormat="1" ht="18">
      <c r="A580" s="178" t="s">
        <v>81</v>
      </c>
      <c r="B580" s="75" t="s">
        <v>207</v>
      </c>
      <c r="C580" s="39" t="s">
        <v>33</v>
      </c>
      <c r="D580" s="236"/>
      <c r="E580" s="236"/>
      <c r="F580" s="236"/>
      <c r="G580" s="236"/>
      <c r="H580" s="40">
        <f>SUM(Tabla13211242[[#This Row],[PRIMER TRIMESTRE]:[CUARTO TRIMESTRE]])</f>
        <v>0</v>
      </c>
      <c r="I580" s="17">
        <v>871.93</v>
      </c>
      <c r="J580" s="17">
        <f>+Tabla13211242[[#This Row],[CANTIDAD TOTAL]]*Tabla13211242[[#This Row],[PRECIO UNITARIO ESTIMADO]]</f>
        <v>0</v>
      </c>
      <c r="K580" s="17"/>
      <c r="L580" s="17" t="s">
        <v>18</v>
      </c>
      <c r="M580" s="16" t="s">
        <v>22</v>
      </c>
      <c r="N580" s="39" t="s">
        <v>418</v>
      </c>
      <c r="O580" s="20"/>
    </row>
    <row r="581" spans="1:15" s="12" customFormat="1" ht="18">
      <c r="A581" s="178" t="s">
        <v>81</v>
      </c>
      <c r="B581" s="75" t="s">
        <v>1279</v>
      </c>
      <c r="C581" s="39" t="s">
        <v>33</v>
      </c>
      <c r="D581" s="236"/>
      <c r="E581" s="236"/>
      <c r="F581" s="236"/>
      <c r="G581" s="236"/>
      <c r="H581" s="40">
        <f>SUM(Tabla13211242[[#This Row],[PRIMER TRIMESTRE]:[CUARTO TRIMESTRE]])</f>
        <v>0</v>
      </c>
      <c r="I581" s="17">
        <v>871.93</v>
      </c>
      <c r="J581" s="17">
        <f t="shared" ref="J581:J587" si="14">+H581*I581</f>
        <v>0</v>
      </c>
      <c r="K581" s="17"/>
      <c r="L581" s="17" t="s">
        <v>18</v>
      </c>
      <c r="M581" s="16" t="s">
        <v>22</v>
      </c>
      <c r="N581" s="39" t="s">
        <v>418</v>
      </c>
      <c r="O581" s="20"/>
    </row>
    <row r="582" spans="1:15" s="12" customFormat="1" ht="18">
      <c r="A582" s="178" t="s">
        <v>81</v>
      </c>
      <c r="B582" s="75" t="s">
        <v>1424</v>
      </c>
      <c r="C582" s="39" t="s">
        <v>33</v>
      </c>
      <c r="D582" s="236"/>
      <c r="E582" s="236"/>
      <c r="F582" s="236"/>
      <c r="G582" s="236"/>
      <c r="H582" s="40">
        <f>SUM(Tabla13211242[[#This Row],[PRIMER TRIMESTRE]:[CUARTO TRIMESTRE]])</f>
        <v>0</v>
      </c>
      <c r="I582" s="17">
        <v>871.93</v>
      </c>
      <c r="J582" s="17">
        <f t="shared" si="14"/>
        <v>0</v>
      </c>
      <c r="K582" s="17"/>
      <c r="L582" s="17" t="s">
        <v>18</v>
      </c>
      <c r="M582" s="16" t="s">
        <v>22</v>
      </c>
      <c r="N582" s="39" t="s">
        <v>418</v>
      </c>
      <c r="O582" s="20"/>
    </row>
    <row r="583" spans="1:15" s="12" customFormat="1" ht="18">
      <c r="A583" s="178" t="s">
        <v>81</v>
      </c>
      <c r="B583" s="75" t="s">
        <v>1347</v>
      </c>
      <c r="C583" s="39" t="s">
        <v>33</v>
      </c>
      <c r="D583" s="236"/>
      <c r="E583" s="236"/>
      <c r="F583" s="236"/>
      <c r="G583" s="236"/>
      <c r="H583" s="40">
        <f>SUM(Tabla13211242[[#This Row],[PRIMER TRIMESTRE]:[CUARTO TRIMESTRE]])</f>
        <v>0</v>
      </c>
      <c r="I583" s="17">
        <v>767</v>
      </c>
      <c r="J583" s="17">
        <f t="shared" si="14"/>
        <v>0</v>
      </c>
      <c r="K583" s="17"/>
      <c r="L583" s="17" t="s">
        <v>18</v>
      </c>
      <c r="M583" s="16" t="s">
        <v>22</v>
      </c>
      <c r="N583" s="39" t="s">
        <v>418</v>
      </c>
      <c r="O583" s="20"/>
    </row>
    <row r="584" spans="1:15" s="12" customFormat="1" ht="18">
      <c r="A584" s="178" t="s">
        <v>81</v>
      </c>
      <c r="B584" s="75" t="s">
        <v>1280</v>
      </c>
      <c r="C584" s="39" t="s">
        <v>33</v>
      </c>
      <c r="D584" s="236"/>
      <c r="E584" s="236"/>
      <c r="F584" s="236"/>
      <c r="G584" s="236"/>
      <c r="H584" s="40">
        <f>SUM(Tabla13211242[[#This Row],[PRIMER TRIMESTRE]:[CUARTO TRIMESTRE]])</f>
        <v>0</v>
      </c>
      <c r="I584" s="17">
        <v>871.93</v>
      </c>
      <c r="J584" s="17">
        <f t="shared" si="14"/>
        <v>0</v>
      </c>
      <c r="K584" s="17"/>
      <c r="L584" s="17" t="s">
        <v>18</v>
      </c>
      <c r="M584" s="16" t="s">
        <v>22</v>
      </c>
      <c r="N584" s="39" t="s">
        <v>418</v>
      </c>
      <c r="O584" s="20"/>
    </row>
    <row r="585" spans="1:15" s="12" customFormat="1" ht="18">
      <c r="A585" s="178" t="s">
        <v>81</v>
      </c>
      <c r="B585" s="75" t="s">
        <v>1345</v>
      </c>
      <c r="C585" s="39" t="s">
        <v>33</v>
      </c>
      <c r="D585" s="236"/>
      <c r="E585" s="236"/>
      <c r="F585" s="236"/>
      <c r="G585" s="236"/>
      <c r="H585" s="40">
        <f>SUM(Tabla13211242[[#This Row],[PRIMER TRIMESTRE]:[CUARTO TRIMESTRE]])</f>
        <v>0</v>
      </c>
      <c r="I585" s="17">
        <v>350</v>
      </c>
      <c r="J585" s="17">
        <f t="shared" si="14"/>
        <v>0</v>
      </c>
      <c r="K585" s="17"/>
      <c r="L585" s="17" t="s">
        <v>18</v>
      </c>
      <c r="M585" s="16" t="s">
        <v>22</v>
      </c>
      <c r="N585" s="39" t="s">
        <v>418</v>
      </c>
      <c r="O585" s="20"/>
    </row>
    <row r="586" spans="1:15" s="26" customFormat="1" ht="18">
      <c r="A586" s="178" t="s">
        <v>81</v>
      </c>
      <c r="B586" s="75" t="s">
        <v>1425</v>
      </c>
      <c r="C586" s="39" t="s">
        <v>33</v>
      </c>
      <c r="D586" s="236"/>
      <c r="E586" s="236"/>
      <c r="F586" s="236"/>
      <c r="G586" s="236"/>
      <c r="H586" s="40">
        <f>SUM(Tabla13211242[[#This Row],[PRIMER TRIMESTRE]:[CUARTO TRIMESTRE]])</f>
        <v>0</v>
      </c>
      <c r="I586" s="17">
        <v>863.54</v>
      </c>
      <c r="J586" s="17">
        <f t="shared" si="14"/>
        <v>0</v>
      </c>
      <c r="K586" s="17"/>
      <c r="L586" s="17" t="s">
        <v>18</v>
      </c>
      <c r="M586" s="16" t="s">
        <v>22</v>
      </c>
      <c r="N586" s="39" t="s">
        <v>418</v>
      </c>
      <c r="O586" s="23"/>
    </row>
    <row r="587" spans="1:15" s="26" customFormat="1" ht="18">
      <c r="A587" s="178" t="s">
        <v>81</v>
      </c>
      <c r="B587" s="75" t="s">
        <v>1434</v>
      </c>
      <c r="C587" s="39" t="s">
        <v>33</v>
      </c>
      <c r="D587" s="236"/>
      <c r="E587" s="236"/>
      <c r="F587" s="236"/>
      <c r="G587" s="236"/>
      <c r="H587" s="40">
        <f>SUM(Tabla13211242[[#This Row],[PRIMER TRIMESTRE]:[CUARTO TRIMESTRE]])</f>
        <v>0</v>
      </c>
      <c r="I587" s="17">
        <v>1165</v>
      </c>
      <c r="J587" s="17">
        <f t="shared" si="14"/>
        <v>0</v>
      </c>
      <c r="K587" s="17"/>
      <c r="L587" s="17" t="s">
        <v>18</v>
      </c>
      <c r="M587" s="16" t="s">
        <v>22</v>
      </c>
      <c r="N587" s="39" t="s">
        <v>418</v>
      </c>
      <c r="O587" s="23"/>
    </row>
    <row r="588" spans="1:15" s="26" customFormat="1" ht="18">
      <c r="A588" s="179" t="s">
        <v>81</v>
      </c>
      <c r="B588" s="76"/>
      <c r="C588" s="42"/>
      <c r="D588" s="237"/>
      <c r="E588" s="237"/>
      <c r="F588" s="237"/>
      <c r="G588" s="237"/>
      <c r="H588" s="43"/>
      <c r="I588" s="24"/>
      <c r="J588" s="24"/>
      <c r="K588" s="25">
        <f>SUM(J580:J587)</f>
        <v>0</v>
      </c>
      <c r="L588" s="23"/>
      <c r="M588" s="23"/>
      <c r="N588" s="42"/>
      <c r="O588" s="23"/>
    </row>
    <row r="589" spans="1:15" s="26" customFormat="1" ht="18">
      <c r="A589" s="178" t="s">
        <v>95</v>
      </c>
      <c r="B589" s="75" t="s">
        <v>1468</v>
      </c>
      <c r="C589" s="39" t="s">
        <v>17</v>
      </c>
      <c r="D589" s="236"/>
      <c r="E589" s="236"/>
      <c r="F589" s="236"/>
      <c r="G589" s="236"/>
      <c r="H589" s="40">
        <f>SUM(Tabla13211242[[#This Row],[PRIMER TRIMESTRE]:[CUARTO TRIMESTRE]])</f>
        <v>0</v>
      </c>
      <c r="I589" s="17">
        <v>3169.99</v>
      </c>
      <c r="J589" s="17">
        <f t="shared" ref="J589:J595" si="15">+H589*I589</f>
        <v>0</v>
      </c>
      <c r="K589" s="17"/>
      <c r="L589" s="16" t="s">
        <v>18</v>
      </c>
      <c r="M589" s="16" t="s">
        <v>22</v>
      </c>
      <c r="N589" s="39" t="s">
        <v>418</v>
      </c>
      <c r="O589" s="23"/>
    </row>
    <row r="590" spans="1:15" s="26" customFormat="1" ht="18">
      <c r="A590" s="178" t="s">
        <v>95</v>
      </c>
      <c r="B590" s="75" t="s">
        <v>1469</v>
      </c>
      <c r="C590" s="39" t="s">
        <v>17</v>
      </c>
      <c r="D590" s="236"/>
      <c r="E590" s="236"/>
      <c r="F590" s="236"/>
      <c r="G590" s="236"/>
      <c r="H590" s="40">
        <f>SUM(Tabla13211242[[#This Row],[PRIMER TRIMESTRE]:[CUARTO TRIMESTRE]])</f>
        <v>0</v>
      </c>
      <c r="I590" s="17">
        <v>4920</v>
      </c>
      <c r="J590" s="17">
        <f t="shared" si="15"/>
        <v>0</v>
      </c>
      <c r="K590" s="17"/>
      <c r="L590" s="16" t="s">
        <v>18</v>
      </c>
      <c r="M590" s="16" t="s">
        <v>22</v>
      </c>
      <c r="N590" s="178"/>
      <c r="O590" s="23"/>
    </row>
    <row r="591" spans="1:15" s="12" customFormat="1" ht="18">
      <c r="A591" s="178" t="s">
        <v>95</v>
      </c>
      <c r="B591" s="75" t="s">
        <v>1470</v>
      </c>
      <c r="C591" s="39" t="s">
        <v>17</v>
      </c>
      <c r="D591" s="236"/>
      <c r="E591" s="236"/>
      <c r="F591" s="236"/>
      <c r="G591" s="236"/>
      <c r="H591" s="40">
        <f>SUM(Tabla13211242[[#This Row],[PRIMER TRIMESTRE]:[CUARTO TRIMESTRE]])</f>
        <v>0</v>
      </c>
      <c r="I591" s="17">
        <v>1521</v>
      </c>
      <c r="J591" s="17">
        <f t="shared" si="15"/>
        <v>0</v>
      </c>
      <c r="K591" s="17"/>
      <c r="L591" s="16" t="s">
        <v>18</v>
      </c>
      <c r="M591" s="16" t="s">
        <v>22</v>
      </c>
      <c r="N591" s="39" t="s">
        <v>418</v>
      </c>
      <c r="O591" s="20"/>
    </row>
    <row r="592" spans="1:15" s="12" customFormat="1" ht="18">
      <c r="A592" s="178" t="s">
        <v>95</v>
      </c>
      <c r="B592" s="75" t="s">
        <v>1471</v>
      </c>
      <c r="C592" s="39" t="s">
        <v>17</v>
      </c>
      <c r="D592" s="236"/>
      <c r="E592" s="236"/>
      <c r="F592" s="236"/>
      <c r="G592" s="236"/>
      <c r="H592" s="40">
        <f>SUM(Tabla13211242[[#This Row],[PRIMER TRIMESTRE]:[CUARTO TRIMESTRE]])</f>
        <v>0</v>
      </c>
      <c r="I592" s="17">
        <v>2028</v>
      </c>
      <c r="J592" s="17">
        <f t="shared" si="15"/>
        <v>0</v>
      </c>
      <c r="K592" s="17"/>
      <c r="L592" s="16" t="s">
        <v>18</v>
      </c>
      <c r="M592" s="16" t="s">
        <v>22</v>
      </c>
      <c r="N592" s="39" t="s">
        <v>418</v>
      </c>
      <c r="O592" s="20"/>
    </row>
    <row r="593" spans="1:15" s="12" customFormat="1" ht="25.5">
      <c r="A593" s="178" t="s">
        <v>95</v>
      </c>
      <c r="B593" s="75" t="str">
        <f ca="1">+UPPER(Tabla13211242[[#This Row],[DESCRIPCIÓN DE LA COMPRA O CONTRATACIÓN]])</f>
        <v>LÁMPARA FLUORESCENTE, DE 2 X 4 PIES, 32 WATTS, COMPLETA</v>
      </c>
      <c r="C593" s="39" t="s">
        <v>17</v>
      </c>
      <c r="D593" s="236"/>
      <c r="E593" s="236"/>
      <c r="F593" s="236"/>
      <c r="G593" s="236"/>
      <c r="H593" s="40">
        <f>SUM(Tabla13211242[[#This Row],[PRIMER TRIMESTRE]:[CUARTO TRIMESTRE]])</f>
        <v>0</v>
      </c>
      <c r="I593" s="17">
        <v>63.44</v>
      </c>
      <c r="J593" s="17">
        <f t="shared" si="15"/>
        <v>0</v>
      </c>
      <c r="K593" s="17"/>
      <c r="L593" s="16" t="s">
        <v>15</v>
      </c>
      <c r="M593" s="16" t="s">
        <v>22</v>
      </c>
      <c r="N593" s="39"/>
      <c r="O593" s="20"/>
    </row>
    <row r="594" spans="1:15" s="12" customFormat="1" ht="18">
      <c r="A594" s="178" t="s">
        <v>95</v>
      </c>
      <c r="B594" s="75" t="s">
        <v>1539</v>
      </c>
      <c r="C594" s="39" t="s">
        <v>17</v>
      </c>
      <c r="D594" s="236"/>
      <c r="E594" s="236"/>
      <c r="F594" s="236"/>
      <c r="G594" s="236"/>
      <c r="H594" s="40">
        <f>SUM(Tabla13211242[[#This Row],[PRIMER TRIMESTRE]:[CUARTO TRIMESTRE]])</f>
        <v>0</v>
      </c>
      <c r="I594" s="17">
        <v>45</v>
      </c>
      <c r="J594" s="17">
        <f t="shared" si="15"/>
        <v>0</v>
      </c>
      <c r="K594" s="17"/>
      <c r="L594" s="16" t="s">
        <v>18</v>
      </c>
      <c r="M594" s="16" t="s">
        <v>22</v>
      </c>
      <c r="N594" s="39" t="s">
        <v>418</v>
      </c>
      <c r="O594" s="20"/>
    </row>
    <row r="595" spans="1:15" s="12" customFormat="1" ht="18">
      <c r="A595" s="178" t="s">
        <v>95</v>
      </c>
      <c r="B595" s="75" t="s">
        <v>1540</v>
      </c>
      <c r="C595" s="39" t="s">
        <v>17</v>
      </c>
      <c r="D595" s="236"/>
      <c r="E595" s="236"/>
      <c r="F595" s="236"/>
      <c r="G595" s="236"/>
      <c r="H595" s="40">
        <f>SUM(Tabla13211242[[#This Row],[PRIMER TRIMESTRE]:[CUARTO TRIMESTRE]])</f>
        <v>0</v>
      </c>
      <c r="I595" s="17">
        <v>45</v>
      </c>
      <c r="J595" s="17">
        <f t="shared" si="15"/>
        <v>0</v>
      </c>
      <c r="K595" s="17"/>
      <c r="L595" s="16" t="s">
        <v>18</v>
      </c>
      <c r="M595" s="16" t="s">
        <v>22</v>
      </c>
      <c r="N595" s="39" t="s">
        <v>418</v>
      </c>
      <c r="O595" s="20"/>
    </row>
    <row r="596" spans="1:15" s="12" customFormat="1" ht="18">
      <c r="A596" s="178" t="s">
        <v>95</v>
      </c>
      <c r="B596" s="75" t="s">
        <v>209</v>
      </c>
      <c r="C596" s="39" t="s">
        <v>17</v>
      </c>
      <c r="D596" s="236"/>
      <c r="E596" s="236"/>
      <c r="F596" s="236"/>
      <c r="G596" s="236"/>
      <c r="H596" s="40">
        <f>SUM(Tabla13211242[[#This Row],[PRIMER TRIMESTRE]:[CUARTO TRIMESTRE]])</f>
        <v>0</v>
      </c>
      <c r="I596" s="17">
        <v>1417.52</v>
      </c>
      <c r="J596" s="17">
        <f>+Tabla13211242[[#This Row],[CANTIDAD TOTAL]]*Tabla13211242[[#This Row],[PRECIO UNITARIO ESTIMADO]]</f>
        <v>0</v>
      </c>
      <c r="K596" s="17"/>
      <c r="L596" s="16" t="s">
        <v>27</v>
      </c>
      <c r="M596" s="16" t="s">
        <v>22</v>
      </c>
      <c r="N596" s="39"/>
      <c r="O596" s="20"/>
    </row>
    <row r="597" spans="1:15" s="12" customFormat="1" ht="18">
      <c r="A597" s="178" t="s">
        <v>95</v>
      </c>
      <c r="B597" s="75" t="s">
        <v>1467</v>
      </c>
      <c r="C597" s="39" t="s">
        <v>17</v>
      </c>
      <c r="D597" s="236"/>
      <c r="E597" s="236"/>
      <c r="F597" s="236"/>
      <c r="G597" s="236"/>
      <c r="H597" s="236">
        <f>SUM(Tabla13211242[[#This Row],[PRIMER TRIMESTRE]:[CUARTO TRIMESTRE]])</f>
        <v>0</v>
      </c>
      <c r="I597" s="17">
        <v>5268.24</v>
      </c>
      <c r="J597" s="17">
        <f t="shared" ref="J597:J606" si="16">+H597*I597</f>
        <v>0</v>
      </c>
      <c r="K597" s="17"/>
      <c r="L597" s="16" t="s">
        <v>18</v>
      </c>
      <c r="M597" s="16" t="s">
        <v>22</v>
      </c>
      <c r="N597" s="39" t="s">
        <v>418</v>
      </c>
      <c r="O597" s="20"/>
    </row>
    <row r="598" spans="1:15" s="12" customFormat="1" ht="25.5">
      <c r="A598" s="178" t="s">
        <v>95</v>
      </c>
      <c r="B598" s="77" t="s">
        <v>881</v>
      </c>
      <c r="C598" s="39" t="s">
        <v>17</v>
      </c>
      <c r="D598" s="236"/>
      <c r="E598" s="236"/>
      <c r="F598" s="236"/>
      <c r="G598" s="236"/>
      <c r="H598" s="40">
        <f>SUM(Tabla13211242[[#This Row],[PRIMER TRIMESTRE]:[CUARTO TRIMESTRE]])</f>
        <v>0</v>
      </c>
      <c r="I598" s="17">
        <v>877.77</v>
      </c>
      <c r="J598" s="17">
        <f t="shared" si="16"/>
        <v>0</v>
      </c>
      <c r="K598" s="17"/>
      <c r="L598" s="16" t="s">
        <v>15</v>
      </c>
      <c r="M598" s="16" t="s">
        <v>22</v>
      </c>
      <c r="N598" s="39"/>
      <c r="O598" s="20"/>
    </row>
    <row r="599" spans="1:15" s="12" customFormat="1" ht="25.5">
      <c r="A599" s="178" t="s">
        <v>95</v>
      </c>
      <c r="B599" s="77" t="s">
        <v>1624</v>
      </c>
      <c r="C599" s="39" t="s">
        <v>17</v>
      </c>
      <c r="D599" s="236"/>
      <c r="E599" s="236"/>
      <c r="F599" s="236"/>
      <c r="G599" s="236"/>
      <c r="H599" s="236">
        <f>SUM(Tabla13211242[[#This Row],[PRIMER TRIMESTRE]:[CUARTO TRIMESTRE]])</f>
        <v>0</v>
      </c>
      <c r="I599" s="17">
        <v>4800</v>
      </c>
      <c r="J599" s="17">
        <f t="shared" si="16"/>
        <v>0</v>
      </c>
      <c r="K599" s="17"/>
      <c r="L599" s="16" t="s">
        <v>18</v>
      </c>
      <c r="M599" s="16" t="s">
        <v>22</v>
      </c>
      <c r="N599" s="39"/>
      <c r="O599" s="20"/>
    </row>
    <row r="600" spans="1:15" s="12" customFormat="1" ht="25.5">
      <c r="A600" s="178" t="s">
        <v>95</v>
      </c>
      <c r="B600" s="77" t="s">
        <v>1593</v>
      </c>
      <c r="C600" s="39" t="s">
        <v>17</v>
      </c>
      <c r="D600" s="236"/>
      <c r="E600" s="236"/>
      <c r="F600" s="236"/>
      <c r="G600" s="236"/>
      <c r="H600" s="236">
        <f>SUM(Tabla13211242[[#This Row],[PRIMER TRIMESTRE]:[CUARTO TRIMESTRE]])</f>
        <v>0</v>
      </c>
      <c r="I600" s="17">
        <v>1980</v>
      </c>
      <c r="J600" s="17">
        <f t="shared" si="16"/>
        <v>0</v>
      </c>
      <c r="K600" s="17"/>
      <c r="L600" s="16" t="s">
        <v>18</v>
      </c>
      <c r="M600" s="16" t="s">
        <v>22</v>
      </c>
      <c r="N600" s="39"/>
      <c r="O600" s="20"/>
    </row>
    <row r="601" spans="1:15" s="12" customFormat="1" ht="18">
      <c r="A601" s="178" t="s">
        <v>95</v>
      </c>
      <c r="B601" s="77" t="s">
        <v>1544</v>
      </c>
      <c r="C601" s="39" t="s">
        <v>17</v>
      </c>
      <c r="D601" s="236"/>
      <c r="E601" s="236"/>
      <c r="F601" s="236"/>
      <c r="G601" s="236"/>
      <c r="H601" s="236">
        <f>SUM(Tabla13211242[[#This Row],[PRIMER TRIMESTRE]:[CUARTO TRIMESTRE]])</f>
        <v>0</v>
      </c>
      <c r="I601" s="17">
        <v>68</v>
      </c>
      <c r="J601" s="17">
        <f t="shared" si="16"/>
        <v>0</v>
      </c>
      <c r="K601" s="17"/>
      <c r="L601" s="16" t="s">
        <v>18</v>
      </c>
      <c r="M601" s="16" t="s">
        <v>22</v>
      </c>
      <c r="N601" s="39"/>
      <c r="O601" s="20"/>
    </row>
    <row r="602" spans="1:15" s="12" customFormat="1" ht="18">
      <c r="A602" s="178" t="s">
        <v>95</v>
      </c>
      <c r="B602" s="77" t="s">
        <v>1543</v>
      </c>
      <c r="C602" s="39" t="s">
        <v>17</v>
      </c>
      <c r="D602" s="236"/>
      <c r="E602" s="236"/>
      <c r="F602" s="236"/>
      <c r="G602" s="236"/>
      <c r="H602" s="236">
        <f>SUM(Tabla13211242[[#This Row],[PRIMER TRIMESTRE]:[CUARTO TRIMESTRE]])</f>
        <v>0</v>
      </c>
      <c r="I602" s="17">
        <v>161.28</v>
      </c>
      <c r="J602" s="17">
        <f t="shared" si="16"/>
        <v>0</v>
      </c>
      <c r="K602" s="17"/>
      <c r="L602" s="16" t="s">
        <v>18</v>
      </c>
      <c r="M602" s="16" t="s">
        <v>22</v>
      </c>
      <c r="N602" s="39"/>
      <c r="O602" s="20"/>
    </row>
    <row r="603" spans="1:15" s="12" customFormat="1" ht="18">
      <c r="A603" s="178" t="s">
        <v>95</v>
      </c>
      <c r="B603" s="77" t="s">
        <v>1625</v>
      </c>
      <c r="C603" s="39" t="s">
        <v>17</v>
      </c>
      <c r="D603" s="236"/>
      <c r="E603" s="236"/>
      <c r="F603" s="236"/>
      <c r="G603" s="236"/>
      <c r="H603" s="236">
        <f>SUM(Tabla13211242[[#This Row],[PRIMER TRIMESTRE]:[CUARTO TRIMESTRE]])</f>
        <v>0</v>
      </c>
      <c r="I603" s="17">
        <v>400</v>
      </c>
      <c r="J603" s="17">
        <f t="shared" si="16"/>
        <v>0</v>
      </c>
      <c r="K603" s="17"/>
      <c r="L603" s="16" t="s">
        <v>18</v>
      </c>
      <c r="M603" s="16" t="s">
        <v>22</v>
      </c>
      <c r="N603" s="39"/>
      <c r="O603" s="20"/>
    </row>
    <row r="604" spans="1:15" s="12" customFormat="1" ht="18">
      <c r="A604" s="178" t="s">
        <v>95</v>
      </c>
      <c r="B604" s="77" t="s">
        <v>1542</v>
      </c>
      <c r="C604" s="39" t="s">
        <v>17</v>
      </c>
      <c r="D604" s="236"/>
      <c r="E604" s="236"/>
      <c r="F604" s="236"/>
      <c r="G604" s="236"/>
      <c r="H604" s="236">
        <f>SUM(Tabla13211242[[#This Row],[PRIMER TRIMESTRE]:[CUARTO TRIMESTRE]])</f>
        <v>0</v>
      </c>
      <c r="I604" s="17">
        <v>40</v>
      </c>
      <c r="J604" s="17">
        <f t="shared" si="16"/>
        <v>0</v>
      </c>
      <c r="K604" s="17"/>
      <c r="L604" s="16" t="s">
        <v>18</v>
      </c>
      <c r="M604" s="16" t="s">
        <v>22</v>
      </c>
      <c r="N604" s="39"/>
      <c r="O604" s="20"/>
    </row>
    <row r="605" spans="1:15" s="26" customFormat="1" ht="18">
      <c r="A605" s="178" t="s">
        <v>95</v>
      </c>
      <c r="B605" s="77" t="s">
        <v>1541</v>
      </c>
      <c r="C605" s="39" t="s">
        <v>17</v>
      </c>
      <c r="D605" s="236"/>
      <c r="E605" s="236"/>
      <c r="F605" s="236"/>
      <c r="G605" s="236"/>
      <c r="H605" s="236">
        <f>SUM(Tabla13211242[[#This Row],[PRIMER TRIMESTRE]:[CUARTO TRIMESTRE]])</f>
        <v>0</v>
      </c>
      <c r="I605" s="17">
        <v>170</v>
      </c>
      <c r="J605" s="17">
        <f t="shared" si="16"/>
        <v>0</v>
      </c>
      <c r="K605" s="17"/>
      <c r="L605" s="16" t="s">
        <v>18</v>
      </c>
      <c r="M605" s="16" t="s">
        <v>22</v>
      </c>
      <c r="N605" s="39"/>
      <c r="O605" s="23"/>
    </row>
    <row r="606" spans="1:15" s="12" customFormat="1" ht="25.5">
      <c r="A606" s="178" t="s">
        <v>95</v>
      </c>
      <c r="B606" s="77" t="s">
        <v>1472</v>
      </c>
      <c r="C606" s="39" t="s">
        <v>17</v>
      </c>
      <c r="D606" s="236"/>
      <c r="E606" s="236"/>
      <c r="F606" s="236"/>
      <c r="G606" s="236"/>
      <c r="H606" s="236">
        <f>SUM(Tabla13211242[[#This Row],[PRIMER TRIMESTRE]:[CUARTO TRIMESTRE]])</f>
        <v>0</v>
      </c>
      <c r="I606" s="17">
        <v>28982</v>
      </c>
      <c r="J606" s="17">
        <f t="shared" si="16"/>
        <v>0</v>
      </c>
      <c r="K606" s="17"/>
      <c r="L606" s="16" t="s">
        <v>18</v>
      </c>
      <c r="M606" s="16" t="s">
        <v>22</v>
      </c>
      <c r="N606" s="39"/>
      <c r="O606" s="20"/>
    </row>
    <row r="607" spans="1:15" s="12" customFormat="1" ht="31.5">
      <c r="A607" s="179" t="s">
        <v>95</v>
      </c>
      <c r="B607" s="76"/>
      <c r="C607" s="42"/>
      <c r="D607" s="237"/>
      <c r="E607" s="237"/>
      <c r="F607" s="237"/>
      <c r="G607" s="237"/>
      <c r="H607" s="43"/>
      <c r="I607" s="24"/>
      <c r="J607" s="24"/>
      <c r="K607" s="25">
        <f>SUM(J589:J606)</f>
        <v>0</v>
      </c>
      <c r="L607" s="23"/>
      <c r="M607" s="23"/>
      <c r="N607" s="42"/>
      <c r="O607" s="20"/>
    </row>
    <row r="608" spans="1:15" s="12" customFormat="1" ht="30">
      <c r="A608" s="178" t="s">
        <v>96</v>
      </c>
      <c r="B608" s="75" t="str">
        <f ca="1">+UPPER(Tabla13211242[[#This Row],[DESCRIPCIÓN DE LA COMPRA O CONTRATACIÓN]])</f>
        <v>CUT-OUTS 15 KV 200 AMPERES</v>
      </c>
      <c r="C608" s="39" t="s">
        <v>17</v>
      </c>
      <c r="D608" s="236"/>
      <c r="E608" s="236"/>
      <c r="F608" s="236"/>
      <c r="G608" s="236"/>
      <c r="H608" s="40">
        <f>SUM(Tabla13211242[[#This Row],[PRIMER TRIMESTRE]:[CUARTO TRIMESTRE]])</f>
        <v>0</v>
      </c>
      <c r="I608" s="17">
        <v>6486.1</v>
      </c>
      <c r="J608" s="17">
        <f t="shared" ref="J608:J615" si="17">+H608*I608</f>
        <v>0</v>
      </c>
      <c r="K608" s="17"/>
      <c r="L608" s="16" t="s">
        <v>18</v>
      </c>
      <c r="M608" s="16" t="s">
        <v>22</v>
      </c>
      <c r="N608" s="39"/>
      <c r="O608" s="20"/>
    </row>
    <row r="609" spans="1:15" s="12" customFormat="1" ht="30">
      <c r="A609" s="178" t="s">
        <v>96</v>
      </c>
      <c r="B609" s="75" t="str">
        <f ca="1">+UPPER(Tabla13211242[[#This Row],[DESCRIPCIÓN DE LA COMPRA O CONTRATACIÓN]])</f>
        <v>CUT-OUTS 15 KV 100 AMPERES</v>
      </c>
      <c r="C609" s="39" t="s">
        <v>17</v>
      </c>
      <c r="D609" s="236"/>
      <c r="E609" s="236"/>
      <c r="F609" s="236"/>
      <c r="G609" s="236"/>
      <c r="H609" s="40">
        <f>SUM(Tabla13211242[[#This Row],[PRIMER TRIMESTRE]:[CUARTO TRIMESTRE]])</f>
        <v>0</v>
      </c>
      <c r="I609" s="17">
        <v>4877.16</v>
      </c>
      <c r="J609" s="17">
        <f t="shared" si="17"/>
        <v>0</v>
      </c>
      <c r="K609" s="17"/>
      <c r="L609" s="16" t="s">
        <v>18</v>
      </c>
      <c r="M609" s="16" t="s">
        <v>22</v>
      </c>
      <c r="N609" s="39"/>
      <c r="O609" s="20"/>
    </row>
    <row r="610" spans="1:15" s="12" customFormat="1" ht="30">
      <c r="A610" s="178" t="s">
        <v>96</v>
      </c>
      <c r="B610" s="75" t="str">
        <f ca="1">+UPPER(Tabla13211242[[#This Row],[DESCRIPCIÓN DE LA COMPRA O CONTRATACIÓN]])</f>
        <v>APARTARRAYOS DE 9KV</v>
      </c>
      <c r="C610" s="39" t="s">
        <v>17</v>
      </c>
      <c r="D610" s="236"/>
      <c r="E610" s="236"/>
      <c r="F610" s="236"/>
      <c r="G610" s="236"/>
      <c r="H610" s="40">
        <f>SUM(Tabla13211242[[#This Row],[PRIMER TRIMESTRE]:[CUARTO TRIMESTRE]])</f>
        <v>0</v>
      </c>
      <c r="I610" s="17">
        <v>2726</v>
      </c>
      <c r="J610" s="17">
        <f t="shared" si="17"/>
        <v>0</v>
      </c>
      <c r="K610" s="17"/>
      <c r="L610" s="16" t="s">
        <v>18</v>
      </c>
      <c r="M610" s="16" t="s">
        <v>22</v>
      </c>
      <c r="N610" s="39"/>
      <c r="O610" s="20"/>
    </row>
    <row r="611" spans="1:15" s="12" customFormat="1" ht="30">
      <c r="A611" s="178" t="s">
        <v>96</v>
      </c>
      <c r="B611" s="75" t="s">
        <v>1217</v>
      </c>
      <c r="C611" s="39" t="s">
        <v>17</v>
      </c>
      <c r="D611" s="236"/>
      <c r="E611" s="236"/>
      <c r="F611" s="236"/>
      <c r="G611" s="236"/>
      <c r="H611" s="40">
        <f>SUM(Tabla13211242[[#This Row],[PRIMER TRIMESTRE]:[CUARTO TRIMESTRE]])</f>
        <v>0</v>
      </c>
      <c r="I611" s="17">
        <v>2438.11</v>
      </c>
      <c r="J611" s="17">
        <f t="shared" si="17"/>
        <v>0</v>
      </c>
      <c r="K611" s="17"/>
      <c r="L611" s="16" t="s">
        <v>18</v>
      </c>
      <c r="M611" s="16" t="s">
        <v>22</v>
      </c>
      <c r="N611" s="39"/>
      <c r="O611" s="20"/>
    </row>
    <row r="612" spans="1:15" s="12" customFormat="1" ht="30">
      <c r="A612" s="178" t="s">
        <v>96</v>
      </c>
      <c r="B612" s="75" t="str">
        <f ca="1">+UPPER(Tabla13211242[[#This Row],[DESCRIPCIÓN DE LA COMPRA O CONTRATACIÓN]])</f>
        <v>APARTARRAYOS DE 220V, SECUNDARIO</v>
      </c>
      <c r="C612" s="39" t="s">
        <v>17</v>
      </c>
      <c r="D612" s="236"/>
      <c r="E612" s="236"/>
      <c r="F612" s="236"/>
      <c r="G612" s="236"/>
      <c r="H612" s="40">
        <f>SUM(Tabla13211242[[#This Row],[PRIMER TRIMESTRE]:[CUARTO TRIMESTRE]])</f>
        <v>0</v>
      </c>
      <c r="I612" s="17">
        <v>6840</v>
      </c>
      <c r="J612" s="17">
        <f t="shared" si="17"/>
        <v>0</v>
      </c>
      <c r="K612" s="17"/>
      <c r="L612" s="16" t="s">
        <v>18</v>
      </c>
      <c r="M612" s="16" t="s">
        <v>22</v>
      </c>
      <c r="N612" s="39"/>
      <c r="O612" s="20"/>
    </row>
    <row r="613" spans="1:15" s="12" customFormat="1" ht="30">
      <c r="A613" s="178" t="s">
        <v>96</v>
      </c>
      <c r="B613" s="75" t="str">
        <f ca="1">+UPPER(Tabla13211242[[#This Row],[DESCRIPCIÓN DE LA COMPRA O CONTRATACIÓN]])</f>
        <v>APARTARRAYOS DE 480V, SECUNDARIO</v>
      </c>
      <c r="C613" s="39" t="s">
        <v>17</v>
      </c>
      <c r="D613" s="236"/>
      <c r="E613" s="236"/>
      <c r="F613" s="236"/>
      <c r="G613" s="236"/>
      <c r="H613" s="40">
        <f>SUM(Tabla13211242[[#This Row],[PRIMER TRIMESTRE]:[CUARTO TRIMESTRE]])</f>
        <v>0</v>
      </c>
      <c r="I613" s="72">
        <v>6900</v>
      </c>
      <c r="J613" s="17">
        <f t="shared" si="17"/>
        <v>0</v>
      </c>
      <c r="K613" s="17"/>
      <c r="L613" s="16" t="s">
        <v>18</v>
      </c>
      <c r="M613" s="16" t="s">
        <v>22</v>
      </c>
      <c r="N613" s="39"/>
      <c r="O613" s="20"/>
    </row>
    <row r="614" spans="1:15" s="12" customFormat="1" ht="30">
      <c r="A614" s="178" t="s">
        <v>96</v>
      </c>
      <c r="B614" s="75" t="s">
        <v>1679</v>
      </c>
      <c r="C614" s="39" t="s">
        <v>17</v>
      </c>
      <c r="D614" s="236"/>
      <c r="E614" s="236"/>
      <c r="F614" s="236"/>
      <c r="G614" s="236"/>
      <c r="H614" s="40">
        <v>0</v>
      </c>
      <c r="I614" s="72">
        <v>0</v>
      </c>
      <c r="J614" s="17">
        <v>0</v>
      </c>
      <c r="K614" s="17"/>
      <c r="L614" s="16" t="s">
        <v>18</v>
      </c>
      <c r="M614" s="16" t="s">
        <v>22</v>
      </c>
      <c r="N614" s="39"/>
      <c r="O614" s="20"/>
    </row>
    <row r="615" spans="1:15" s="12" customFormat="1" ht="30">
      <c r="A615" s="178" t="s">
        <v>96</v>
      </c>
      <c r="B615" s="75" t="s">
        <v>1597</v>
      </c>
      <c r="C615" s="39" t="s">
        <v>17</v>
      </c>
      <c r="D615" s="236"/>
      <c r="E615" s="236"/>
      <c r="F615" s="236"/>
      <c r="G615" s="236"/>
      <c r="H615" s="236">
        <f>SUM(Tabla13211242[[#This Row],[PRIMER TRIMESTRE]:[CUARTO TRIMESTRE]])</f>
        <v>0</v>
      </c>
      <c r="I615" s="72">
        <v>101.53</v>
      </c>
      <c r="J615" s="17">
        <f t="shared" si="17"/>
        <v>0</v>
      </c>
      <c r="K615" s="17"/>
      <c r="L615" s="16" t="s">
        <v>18</v>
      </c>
      <c r="M615" s="16" t="s">
        <v>22</v>
      </c>
      <c r="N615" s="39"/>
      <c r="O615" s="20"/>
    </row>
    <row r="616" spans="1:15" s="12" customFormat="1" ht="30">
      <c r="A616" s="178" t="s">
        <v>96</v>
      </c>
      <c r="B616" s="75" t="s">
        <v>777</v>
      </c>
      <c r="C616" s="39" t="s">
        <v>17</v>
      </c>
      <c r="D616" s="236"/>
      <c r="E616" s="236"/>
      <c r="F616" s="236"/>
      <c r="G616" s="236"/>
      <c r="H616" s="236">
        <f>SUM(Tabla13211242[[#This Row],[PRIMER TRIMESTRE]:[CUARTO TRIMESTRE]])</f>
        <v>0</v>
      </c>
      <c r="I616" s="72">
        <v>13750</v>
      </c>
      <c r="J616" s="17">
        <f>+Tabla13211242[[#This Row],[CANTIDAD TOTAL]]*Tabla13211242[[#This Row],[PRECIO UNITARIO ESTIMADO]]</f>
        <v>0</v>
      </c>
      <c r="K616" s="17"/>
      <c r="L616" s="16" t="s">
        <v>18</v>
      </c>
      <c r="M616" s="16" t="s">
        <v>22</v>
      </c>
      <c r="N616" s="39" t="s">
        <v>418</v>
      </c>
      <c r="O616" s="20"/>
    </row>
    <row r="617" spans="1:15" s="12" customFormat="1" ht="30">
      <c r="A617" s="178" t="s">
        <v>96</v>
      </c>
      <c r="B617" s="75" t="s">
        <v>1599</v>
      </c>
      <c r="C617" s="39" t="s">
        <v>17</v>
      </c>
      <c r="D617" s="236"/>
      <c r="E617" s="236"/>
      <c r="F617" s="236"/>
      <c r="G617" s="236"/>
      <c r="H617" s="236">
        <f>SUM(Tabla13211242[[#This Row],[PRIMER TRIMESTRE]:[CUARTO TRIMESTRE]])</f>
        <v>0</v>
      </c>
      <c r="I617" s="72">
        <v>110</v>
      </c>
      <c r="J617" s="17">
        <f>+H617*I617</f>
        <v>0</v>
      </c>
      <c r="K617" s="17"/>
      <c r="L617" s="16" t="s">
        <v>18</v>
      </c>
      <c r="M617" s="16" t="s">
        <v>22</v>
      </c>
      <c r="N617" s="39"/>
      <c r="O617" s="20"/>
    </row>
    <row r="618" spans="1:15" s="12" customFormat="1" ht="30">
      <c r="A618" s="178" t="s">
        <v>96</v>
      </c>
      <c r="B618" s="75" t="s">
        <v>1600</v>
      </c>
      <c r="C618" s="39" t="s">
        <v>17</v>
      </c>
      <c r="D618" s="236"/>
      <c r="E618" s="236"/>
      <c r="F618" s="236"/>
      <c r="G618" s="236"/>
      <c r="H618" s="236">
        <f>SUM(Tabla13211242[[#This Row],[PRIMER TRIMESTRE]:[CUARTO TRIMESTRE]])</f>
        <v>0</v>
      </c>
      <c r="I618" s="72">
        <v>40</v>
      </c>
      <c r="J618" s="17">
        <f>+H618*I618</f>
        <v>0</v>
      </c>
      <c r="K618" s="17"/>
      <c r="L618" s="16" t="s">
        <v>18</v>
      </c>
      <c r="M618" s="16" t="s">
        <v>22</v>
      </c>
      <c r="N618" s="39"/>
      <c r="O618" s="20"/>
    </row>
    <row r="619" spans="1:15" s="12" customFormat="1" ht="30">
      <c r="A619" s="178" t="s">
        <v>96</v>
      </c>
      <c r="B619" s="75" t="s">
        <v>1598</v>
      </c>
      <c r="C619" s="39" t="s">
        <v>17</v>
      </c>
      <c r="D619" s="236"/>
      <c r="E619" s="236"/>
      <c r="F619" s="236"/>
      <c r="G619" s="236"/>
      <c r="H619" s="236">
        <f>SUM(Tabla13211242[[#This Row],[PRIMER TRIMESTRE]:[CUARTO TRIMESTRE]])</f>
        <v>0</v>
      </c>
      <c r="I619" s="72">
        <v>90</v>
      </c>
      <c r="J619" s="17">
        <f>+H619*I619</f>
        <v>0</v>
      </c>
      <c r="K619" s="17"/>
      <c r="L619" s="16" t="s">
        <v>18</v>
      </c>
      <c r="M619" s="16" t="s">
        <v>22</v>
      </c>
      <c r="N619" s="39"/>
      <c r="O619" s="20"/>
    </row>
    <row r="620" spans="1:15" s="12" customFormat="1" ht="30">
      <c r="A620" s="178" t="s">
        <v>96</v>
      </c>
      <c r="B620" s="75" t="s">
        <v>210</v>
      </c>
      <c r="C620" s="39" t="s">
        <v>17</v>
      </c>
      <c r="D620" s="236"/>
      <c r="E620" s="236"/>
      <c r="F620" s="236"/>
      <c r="G620" s="236"/>
      <c r="H620" s="236">
        <f>SUM(Tabla13211242[[#This Row],[PRIMER TRIMESTRE]:[CUARTO TRIMESTRE]])</f>
        <v>0</v>
      </c>
      <c r="I620" s="72">
        <v>13750</v>
      </c>
      <c r="J620" s="17">
        <f>+Tabla13211242[[#This Row],[CANTIDAD TOTAL]]*Tabla13211242[[#This Row],[PRECIO UNITARIO ESTIMADO]]</f>
        <v>0</v>
      </c>
      <c r="K620" s="17"/>
      <c r="L620" s="16" t="s">
        <v>18</v>
      </c>
      <c r="M620" s="16" t="s">
        <v>22</v>
      </c>
      <c r="N620" s="39" t="s">
        <v>418</v>
      </c>
      <c r="O620" s="20"/>
    </row>
    <row r="621" spans="1:15" s="12" customFormat="1" ht="30">
      <c r="A621" s="178" t="s">
        <v>96</v>
      </c>
      <c r="B621" s="75" t="s">
        <v>1594</v>
      </c>
      <c r="C621" s="39" t="s">
        <v>17</v>
      </c>
      <c r="D621" s="236"/>
      <c r="E621" s="236"/>
      <c r="F621" s="236"/>
      <c r="G621" s="236"/>
      <c r="H621" s="236">
        <f>SUM(Tabla13211242[[#This Row],[PRIMER TRIMESTRE]:[CUARTO TRIMESTRE]])</f>
        <v>0</v>
      </c>
      <c r="I621" s="72">
        <v>95</v>
      </c>
      <c r="J621" s="17">
        <f>+H621*I621</f>
        <v>0</v>
      </c>
      <c r="K621" s="17"/>
      <c r="L621" s="16" t="s">
        <v>18</v>
      </c>
      <c r="M621" s="16" t="s">
        <v>22</v>
      </c>
      <c r="N621" s="39"/>
      <c r="O621" s="20"/>
    </row>
    <row r="622" spans="1:15" s="12" customFormat="1" ht="30">
      <c r="A622" s="178" t="s">
        <v>96</v>
      </c>
      <c r="B622" s="75" t="s">
        <v>1596</v>
      </c>
      <c r="C622" s="39" t="s">
        <v>17</v>
      </c>
      <c r="D622" s="236"/>
      <c r="E622" s="236"/>
      <c r="F622" s="236"/>
      <c r="G622" s="236"/>
      <c r="H622" s="236">
        <f>SUM(Tabla13211242[[#This Row],[PRIMER TRIMESTRE]:[CUARTO TRIMESTRE]])</f>
        <v>0</v>
      </c>
      <c r="I622" s="72">
        <v>95</v>
      </c>
      <c r="J622" s="17">
        <f>+H622*I622</f>
        <v>0</v>
      </c>
      <c r="K622" s="17"/>
      <c r="L622" s="16" t="s">
        <v>18</v>
      </c>
      <c r="M622" s="16" t="s">
        <v>22</v>
      </c>
      <c r="N622" s="39"/>
      <c r="O622" s="20"/>
    </row>
    <row r="623" spans="1:15" s="12" customFormat="1" ht="30">
      <c r="A623" s="178" t="s">
        <v>96</v>
      </c>
      <c r="B623" s="75" t="s">
        <v>211</v>
      </c>
      <c r="C623" s="39" t="s">
        <v>17</v>
      </c>
      <c r="D623" s="236"/>
      <c r="E623" s="236"/>
      <c r="F623" s="236"/>
      <c r="G623" s="236"/>
      <c r="H623" s="40">
        <f>SUM(Tabla13211242[[#This Row],[PRIMER TRIMESTRE]:[CUARTO TRIMESTRE]])</f>
        <v>0</v>
      </c>
      <c r="I623" s="17">
        <v>191</v>
      </c>
      <c r="J623" s="17">
        <f>+Tabla13211242[[#This Row],[CANTIDAD TOTAL]]*Tabla13211242[[#This Row],[PRECIO UNITARIO ESTIMADO]]</f>
        <v>0</v>
      </c>
      <c r="K623" s="17"/>
      <c r="L623" s="16" t="s">
        <v>18</v>
      </c>
      <c r="M623" s="16" t="s">
        <v>22</v>
      </c>
      <c r="N623" s="39" t="s">
        <v>418</v>
      </c>
      <c r="O623" s="20"/>
    </row>
    <row r="624" spans="1:15" s="12" customFormat="1" ht="30">
      <c r="A624" s="178" t="s">
        <v>96</v>
      </c>
      <c r="B624" s="75" t="s">
        <v>772</v>
      </c>
      <c r="C624" s="39" t="s">
        <v>17</v>
      </c>
      <c r="D624" s="236"/>
      <c r="E624" s="236"/>
      <c r="F624" s="236"/>
      <c r="G624" s="236"/>
      <c r="H624" s="40">
        <f>SUM(Tabla13211242[[#This Row],[PRIMER TRIMESTRE]:[CUARTO TRIMESTRE]])</f>
        <v>0</v>
      </c>
      <c r="I624" s="72">
        <v>7700</v>
      </c>
      <c r="J624" s="17">
        <f>+H624*I624</f>
        <v>0</v>
      </c>
      <c r="K624" s="17"/>
      <c r="L624" s="16" t="s">
        <v>18</v>
      </c>
      <c r="M624" s="16" t="s">
        <v>22</v>
      </c>
      <c r="N624" s="39"/>
      <c r="O624" s="20"/>
    </row>
    <row r="625" spans="1:15" s="12" customFormat="1" ht="30">
      <c r="A625" s="178" t="s">
        <v>96</v>
      </c>
      <c r="B625" s="75" t="s">
        <v>1690</v>
      </c>
      <c r="C625" s="39" t="s">
        <v>343</v>
      </c>
      <c r="D625" s="236"/>
      <c r="E625" s="236"/>
      <c r="F625" s="236"/>
      <c r="G625" s="236"/>
      <c r="H625" s="40">
        <v>0</v>
      </c>
      <c r="I625" s="72">
        <v>0</v>
      </c>
      <c r="J625" s="17">
        <v>0</v>
      </c>
      <c r="K625" s="17"/>
      <c r="L625" s="16" t="s">
        <v>18</v>
      </c>
      <c r="M625" s="16" t="s">
        <v>22</v>
      </c>
      <c r="N625" s="39"/>
      <c r="O625" s="20"/>
    </row>
    <row r="626" spans="1:15" s="12" customFormat="1" ht="30">
      <c r="A626" s="178" t="s">
        <v>96</v>
      </c>
      <c r="B626" s="75" t="s">
        <v>229</v>
      </c>
      <c r="C626" s="39" t="s">
        <v>17</v>
      </c>
      <c r="D626" s="236"/>
      <c r="E626" s="236"/>
      <c r="F626" s="236"/>
      <c r="G626" s="236"/>
      <c r="H626" s="40">
        <f>SUM(Tabla13211242[[#This Row],[PRIMER TRIMESTRE]:[CUARTO TRIMESTRE]])</f>
        <v>0</v>
      </c>
      <c r="I626" s="17">
        <v>6460</v>
      </c>
      <c r="J626" s="17">
        <f>+Tabla13211242[[#This Row],[CANTIDAD TOTAL]]*Tabla13211242[[#This Row],[PRECIO UNITARIO ESTIMADO]]</f>
        <v>0</v>
      </c>
      <c r="K626" s="17"/>
      <c r="L626" s="16" t="s">
        <v>18</v>
      </c>
      <c r="M626" s="16" t="s">
        <v>22</v>
      </c>
      <c r="N626" s="39"/>
      <c r="O626" s="20"/>
    </row>
    <row r="627" spans="1:15" s="12" customFormat="1" ht="30">
      <c r="A627" s="178" t="s">
        <v>96</v>
      </c>
      <c r="B627" s="75" t="s">
        <v>1712</v>
      </c>
      <c r="C627" s="39" t="s">
        <v>17</v>
      </c>
      <c r="D627" s="236"/>
      <c r="E627" s="236"/>
      <c r="F627" s="236"/>
      <c r="G627" s="236"/>
      <c r="H627" s="40">
        <v>0</v>
      </c>
      <c r="I627" s="17">
        <v>0</v>
      </c>
      <c r="J627" s="17">
        <v>0</v>
      </c>
      <c r="K627" s="17"/>
      <c r="L627" s="16" t="s">
        <v>18</v>
      </c>
      <c r="M627" s="16" t="s">
        <v>22</v>
      </c>
      <c r="N627" s="39"/>
      <c r="O627" s="20"/>
    </row>
    <row r="628" spans="1:15" s="12" customFormat="1" ht="30">
      <c r="A628" s="178" t="s">
        <v>96</v>
      </c>
      <c r="B628" s="75" t="s">
        <v>1218</v>
      </c>
      <c r="C628" s="39" t="s">
        <v>17</v>
      </c>
      <c r="D628" s="236"/>
      <c r="E628" s="236"/>
      <c r="F628" s="236"/>
      <c r="G628" s="236"/>
      <c r="H628" s="40">
        <f>SUM(Tabla13211242[[#This Row],[PRIMER TRIMESTRE]:[CUARTO TRIMESTRE]])</f>
        <v>0</v>
      </c>
      <c r="I628" s="17">
        <v>6460</v>
      </c>
      <c r="J628" s="17">
        <f>+H628*I628</f>
        <v>0</v>
      </c>
      <c r="K628" s="17"/>
      <c r="L628" s="16" t="s">
        <v>18</v>
      </c>
      <c r="M628" s="16" t="s">
        <v>22</v>
      </c>
      <c r="N628" s="39"/>
      <c r="O628" s="20"/>
    </row>
    <row r="629" spans="1:15" s="12" customFormat="1" ht="30">
      <c r="A629" s="178" t="s">
        <v>96</v>
      </c>
      <c r="B629" s="75" t="s">
        <v>1683</v>
      </c>
      <c r="C629" s="39" t="s">
        <v>17</v>
      </c>
      <c r="D629" s="236"/>
      <c r="E629" s="236"/>
      <c r="F629" s="236"/>
      <c r="G629" s="236"/>
      <c r="H629" s="40">
        <v>0</v>
      </c>
      <c r="I629" s="17">
        <v>0</v>
      </c>
      <c r="J629" s="17">
        <v>0</v>
      </c>
      <c r="K629" s="17"/>
      <c r="L629" s="16" t="s">
        <v>18</v>
      </c>
      <c r="M629" s="16" t="s">
        <v>22</v>
      </c>
      <c r="N629" s="39"/>
      <c r="O629" s="20"/>
    </row>
    <row r="630" spans="1:15" s="12" customFormat="1" ht="30">
      <c r="A630" s="178" t="s">
        <v>96</v>
      </c>
      <c r="B630" s="75" t="s">
        <v>1731</v>
      </c>
      <c r="C630" s="39" t="s">
        <v>17</v>
      </c>
      <c r="D630" s="236"/>
      <c r="E630" s="236"/>
      <c r="F630" s="236"/>
      <c r="G630" s="236"/>
      <c r="H630" s="40">
        <v>0</v>
      </c>
      <c r="I630" s="17">
        <v>0</v>
      </c>
      <c r="J630" s="17">
        <v>0</v>
      </c>
      <c r="K630" s="17"/>
      <c r="L630" s="16" t="s">
        <v>18</v>
      </c>
      <c r="M630" s="16" t="s">
        <v>22</v>
      </c>
      <c r="N630" s="39"/>
      <c r="O630" s="20"/>
    </row>
    <row r="631" spans="1:15" s="12" customFormat="1" ht="30">
      <c r="A631" s="178" t="s">
        <v>96</v>
      </c>
      <c r="B631" s="75" t="s">
        <v>770</v>
      </c>
      <c r="C631" s="39" t="s">
        <v>17</v>
      </c>
      <c r="D631" s="236"/>
      <c r="E631" s="236"/>
      <c r="F631" s="236"/>
      <c r="G631" s="236"/>
      <c r="H631" s="40">
        <f>SUM(Tabla13211242[[#This Row],[PRIMER TRIMESTRE]:[CUARTO TRIMESTRE]])</f>
        <v>0</v>
      </c>
      <c r="I631" s="17">
        <v>12589</v>
      </c>
      <c r="J631" s="17">
        <f>+Tabla13211242[[#This Row],[CANTIDAD TOTAL]]*Tabla13211242[[#This Row],[PRECIO UNITARIO ESTIMADO]]</f>
        <v>0</v>
      </c>
      <c r="K631" s="17"/>
      <c r="L631" s="16" t="s">
        <v>18</v>
      </c>
      <c r="M631" s="16" t="s">
        <v>22</v>
      </c>
      <c r="N631" s="39"/>
      <c r="O631" s="20"/>
    </row>
    <row r="632" spans="1:15" s="12" customFormat="1" ht="30">
      <c r="A632" s="178" t="s">
        <v>96</v>
      </c>
      <c r="B632" s="75" t="s">
        <v>771</v>
      </c>
      <c r="C632" s="39" t="s">
        <v>17</v>
      </c>
      <c r="D632" s="236"/>
      <c r="E632" s="236"/>
      <c r="F632" s="236"/>
      <c r="G632" s="236"/>
      <c r="H632" s="40">
        <f>SUM(Tabla13211242[[#This Row],[PRIMER TRIMESTRE]:[CUARTO TRIMESTRE]])</f>
        <v>0</v>
      </c>
      <c r="I632" s="72">
        <v>14625</v>
      </c>
      <c r="J632" s="17">
        <f t="shared" ref="J632:J695" si="18">+H632*I632</f>
        <v>0</v>
      </c>
      <c r="K632" s="17"/>
      <c r="L632" s="16" t="s">
        <v>18</v>
      </c>
      <c r="M632" s="16" t="s">
        <v>22</v>
      </c>
      <c r="N632" s="39"/>
      <c r="O632" s="20"/>
    </row>
    <row r="633" spans="1:15" s="12" customFormat="1" ht="30">
      <c r="A633" s="178" t="s">
        <v>96</v>
      </c>
      <c r="B633" s="75" t="s">
        <v>1219</v>
      </c>
      <c r="C633" s="39" t="s">
        <v>17</v>
      </c>
      <c r="D633" s="236"/>
      <c r="E633" s="236"/>
      <c r="F633" s="236"/>
      <c r="G633" s="236"/>
      <c r="H633" s="40">
        <f>SUM(Tabla13211242[[#This Row],[PRIMER TRIMESTRE]:[CUARTO TRIMESTRE]])</f>
        <v>0</v>
      </c>
      <c r="I633" s="72">
        <v>28650</v>
      </c>
      <c r="J633" s="17">
        <f t="shared" si="18"/>
        <v>0</v>
      </c>
      <c r="K633" s="17"/>
      <c r="L633" s="17" t="s">
        <v>18</v>
      </c>
      <c r="M633" s="16" t="s">
        <v>22</v>
      </c>
      <c r="N633" s="39"/>
      <c r="O633" s="20"/>
    </row>
    <row r="634" spans="1:15" s="12" customFormat="1" ht="30">
      <c r="A634" s="178" t="s">
        <v>96</v>
      </c>
      <c r="B634" s="75" t="s">
        <v>803</v>
      </c>
      <c r="C634" s="39" t="s">
        <v>343</v>
      </c>
      <c r="D634" s="236"/>
      <c r="E634" s="236"/>
      <c r="F634" s="236"/>
      <c r="G634" s="236"/>
      <c r="H634" s="40">
        <f>SUM(Tabla13211242[[#This Row],[PRIMER TRIMESTRE]:[CUARTO TRIMESTRE]])</f>
        <v>0</v>
      </c>
      <c r="I634" s="72">
        <v>5.64</v>
      </c>
      <c r="J634" s="17">
        <f t="shared" si="18"/>
        <v>0</v>
      </c>
      <c r="K634" s="17"/>
      <c r="L634" s="17" t="s">
        <v>18</v>
      </c>
      <c r="M634" s="16" t="s">
        <v>22</v>
      </c>
      <c r="N634" s="39" t="s">
        <v>418</v>
      </c>
      <c r="O634" s="20"/>
    </row>
    <row r="635" spans="1:15" s="12" customFormat="1" ht="30">
      <c r="A635" s="178" t="s">
        <v>96</v>
      </c>
      <c r="B635" s="75" t="s">
        <v>804</v>
      </c>
      <c r="C635" s="39" t="s">
        <v>343</v>
      </c>
      <c r="D635" s="236"/>
      <c r="E635" s="236"/>
      <c r="F635" s="236"/>
      <c r="G635" s="236"/>
      <c r="H635" s="40">
        <f>SUM(Tabla13211242[[#This Row],[PRIMER TRIMESTRE]:[CUARTO TRIMESTRE]])</f>
        <v>0</v>
      </c>
      <c r="I635" s="17">
        <v>12</v>
      </c>
      <c r="J635" s="17">
        <f t="shared" si="18"/>
        <v>0</v>
      </c>
      <c r="K635" s="17"/>
      <c r="L635" s="17" t="s">
        <v>18</v>
      </c>
      <c r="M635" s="16" t="s">
        <v>22</v>
      </c>
      <c r="N635" s="39" t="s">
        <v>418</v>
      </c>
      <c r="O635" s="20"/>
    </row>
    <row r="636" spans="1:15" s="12" customFormat="1" ht="30">
      <c r="A636" s="178" t="s">
        <v>96</v>
      </c>
      <c r="B636" s="75" t="s">
        <v>805</v>
      </c>
      <c r="C636" s="39" t="s">
        <v>343</v>
      </c>
      <c r="D636" s="236"/>
      <c r="E636" s="236"/>
      <c r="F636" s="236"/>
      <c r="G636" s="236"/>
      <c r="H636" s="40">
        <f>SUM(Tabla13211242[[#This Row],[PRIMER TRIMESTRE]:[CUARTO TRIMESTRE]])</f>
        <v>0</v>
      </c>
      <c r="I636" s="72">
        <v>19</v>
      </c>
      <c r="J636" s="17">
        <f t="shared" si="18"/>
        <v>0</v>
      </c>
      <c r="K636" s="17"/>
      <c r="L636" s="17" t="s">
        <v>18</v>
      </c>
      <c r="M636" s="16" t="s">
        <v>22</v>
      </c>
      <c r="N636" s="39" t="s">
        <v>418</v>
      </c>
      <c r="O636" s="20"/>
    </row>
    <row r="637" spans="1:15" s="12" customFormat="1" ht="30">
      <c r="A637" s="178" t="s">
        <v>96</v>
      </c>
      <c r="B637" s="75" t="s">
        <v>806</v>
      </c>
      <c r="C637" s="39" t="s">
        <v>343</v>
      </c>
      <c r="D637" s="236"/>
      <c r="E637" s="236"/>
      <c r="F637" s="236"/>
      <c r="G637" s="236"/>
      <c r="H637" s="40">
        <f>SUM(Tabla13211242[[#This Row],[PRIMER TRIMESTRE]:[CUARTO TRIMESTRE]])</f>
        <v>0</v>
      </c>
      <c r="I637" s="72">
        <v>22</v>
      </c>
      <c r="J637" s="17">
        <f t="shared" si="18"/>
        <v>0</v>
      </c>
      <c r="K637" s="17"/>
      <c r="L637" s="17" t="s">
        <v>18</v>
      </c>
      <c r="M637" s="16" t="s">
        <v>22</v>
      </c>
      <c r="N637" s="39" t="s">
        <v>418</v>
      </c>
      <c r="O637" s="20"/>
    </row>
    <row r="638" spans="1:15" s="12" customFormat="1" ht="30">
      <c r="A638" s="178" t="s">
        <v>96</v>
      </c>
      <c r="B638" s="75" t="s">
        <v>807</v>
      </c>
      <c r="C638" s="39" t="s">
        <v>343</v>
      </c>
      <c r="D638" s="236"/>
      <c r="E638" s="236"/>
      <c r="F638" s="236"/>
      <c r="G638" s="236"/>
      <c r="H638" s="40">
        <f>SUM(Tabla13211242[[#This Row],[PRIMER TRIMESTRE]:[CUARTO TRIMESTRE]])</f>
        <v>0</v>
      </c>
      <c r="I638" s="72">
        <v>30.5</v>
      </c>
      <c r="J638" s="17">
        <f t="shared" si="18"/>
        <v>0</v>
      </c>
      <c r="K638" s="17"/>
      <c r="L638" s="17" t="s">
        <v>18</v>
      </c>
      <c r="M638" s="16" t="s">
        <v>22</v>
      </c>
      <c r="N638" s="39" t="s">
        <v>418</v>
      </c>
      <c r="O638" s="20"/>
    </row>
    <row r="639" spans="1:15" s="12" customFormat="1" ht="30">
      <c r="A639" s="178" t="s">
        <v>96</v>
      </c>
      <c r="B639" s="75" t="s">
        <v>808</v>
      </c>
      <c r="C639" s="39" t="s">
        <v>343</v>
      </c>
      <c r="D639" s="236"/>
      <c r="E639" s="236"/>
      <c r="F639" s="236"/>
      <c r="G639" s="236"/>
      <c r="H639" s="40">
        <f>SUM(Tabla13211242[[#This Row],[PRIMER TRIMESTRE]:[CUARTO TRIMESTRE]])</f>
        <v>0</v>
      </c>
      <c r="I639" s="72">
        <v>49.27</v>
      </c>
      <c r="J639" s="17">
        <f t="shared" si="18"/>
        <v>0</v>
      </c>
      <c r="K639" s="17"/>
      <c r="L639" s="17" t="s">
        <v>18</v>
      </c>
      <c r="M639" s="16" t="s">
        <v>22</v>
      </c>
      <c r="N639" s="39" t="s">
        <v>418</v>
      </c>
      <c r="O639" s="20"/>
    </row>
    <row r="640" spans="1:15" s="12" customFormat="1" ht="30">
      <c r="A640" s="178" t="s">
        <v>96</v>
      </c>
      <c r="B640" s="75" t="s">
        <v>809</v>
      </c>
      <c r="C640" s="39" t="s">
        <v>343</v>
      </c>
      <c r="D640" s="236"/>
      <c r="E640" s="236"/>
      <c r="F640" s="236"/>
      <c r="G640" s="236"/>
      <c r="H640" s="40">
        <f>SUM(Tabla13211242[[#This Row],[PRIMER TRIMESTRE]:[CUARTO TRIMESTRE]])</f>
        <v>0</v>
      </c>
      <c r="I640" s="72">
        <v>73</v>
      </c>
      <c r="J640" s="17">
        <f t="shared" si="18"/>
        <v>0</v>
      </c>
      <c r="K640" s="17"/>
      <c r="L640" s="17" t="s">
        <v>18</v>
      </c>
      <c r="M640" s="16" t="s">
        <v>22</v>
      </c>
      <c r="N640" s="39" t="s">
        <v>418</v>
      </c>
      <c r="O640" s="20"/>
    </row>
    <row r="641" spans="1:15" s="12" customFormat="1" ht="30">
      <c r="A641" s="178" t="s">
        <v>96</v>
      </c>
      <c r="B641" s="75" t="s">
        <v>810</v>
      </c>
      <c r="C641" s="39" t="s">
        <v>343</v>
      </c>
      <c r="D641" s="236"/>
      <c r="E641" s="236"/>
      <c r="F641" s="236"/>
      <c r="G641" s="236"/>
      <c r="H641" s="40">
        <f>SUM(Tabla13211242[[#This Row],[PRIMER TRIMESTRE]:[CUARTO TRIMESTRE]])</f>
        <v>0</v>
      </c>
      <c r="I641" s="17">
        <v>95</v>
      </c>
      <c r="J641" s="17">
        <f t="shared" si="18"/>
        <v>0</v>
      </c>
      <c r="K641" s="17"/>
      <c r="L641" s="17" t="s">
        <v>18</v>
      </c>
      <c r="M641" s="16" t="s">
        <v>22</v>
      </c>
      <c r="N641" s="39" t="s">
        <v>418</v>
      </c>
      <c r="O641" s="20"/>
    </row>
    <row r="642" spans="1:15" s="12" customFormat="1" ht="30">
      <c r="A642" s="178" t="s">
        <v>96</v>
      </c>
      <c r="B642" s="75" t="s">
        <v>811</v>
      </c>
      <c r="C642" s="39" t="s">
        <v>343</v>
      </c>
      <c r="D642" s="236"/>
      <c r="E642" s="236"/>
      <c r="F642" s="236"/>
      <c r="G642" s="236"/>
      <c r="H642" s="40">
        <f>SUM(Tabla13211242[[#This Row],[PRIMER TRIMESTRE]:[CUARTO TRIMESTRE]])</f>
        <v>0</v>
      </c>
      <c r="I642" s="17">
        <v>121.25</v>
      </c>
      <c r="J642" s="17">
        <f t="shared" si="18"/>
        <v>0</v>
      </c>
      <c r="K642" s="17"/>
      <c r="L642" s="17" t="s">
        <v>18</v>
      </c>
      <c r="M642" s="16" t="s">
        <v>22</v>
      </c>
      <c r="N642" s="39" t="s">
        <v>418</v>
      </c>
      <c r="O642" s="20"/>
    </row>
    <row r="643" spans="1:15" s="12" customFormat="1" ht="30">
      <c r="A643" s="178" t="s">
        <v>96</v>
      </c>
      <c r="B643" s="75" t="s">
        <v>812</v>
      </c>
      <c r="C643" s="39" t="s">
        <v>343</v>
      </c>
      <c r="D643" s="236"/>
      <c r="E643" s="236"/>
      <c r="F643" s="236"/>
      <c r="G643" s="236"/>
      <c r="H643" s="40">
        <f>SUM(Tabla13211242[[#This Row],[PRIMER TRIMESTRE]:[CUARTO TRIMESTRE]])</f>
        <v>0</v>
      </c>
      <c r="I643" s="17">
        <v>163.98</v>
      </c>
      <c r="J643" s="17">
        <f t="shared" si="18"/>
        <v>0</v>
      </c>
      <c r="K643" s="17"/>
      <c r="L643" s="17" t="s">
        <v>18</v>
      </c>
      <c r="M643" s="16" t="s">
        <v>22</v>
      </c>
      <c r="N643" s="39" t="s">
        <v>418</v>
      </c>
      <c r="O643" s="20"/>
    </row>
    <row r="644" spans="1:15" s="12" customFormat="1" ht="30">
      <c r="A644" s="178" t="s">
        <v>96</v>
      </c>
      <c r="B644" s="75" t="s">
        <v>1479</v>
      </c>
      <c r="C644" s="39" t="s">
        <v>343</v>
      </c>
      <c r="D644" s="236"/>
      <c r="E644" s="236"/>
      <c r="F644" s="236"/>
      <c r="G644" s="236"/>
      <c r="H644" s="236">
        <f>SUM(Tabla13211242[[#This Row],[PRIMER TRIMESTRE]:[CUARTO TRIMESTRE]])</f>
        <v>0</v>
      </c>
      <c r="I644" s="17">
        <v>249.9</v>
      </c>
      <c r="J644" s="17">
        <f t="shared" si="18"/>
        <v>0</v>
      </c>
      <c r="K644" s="17"/>
      <c r="L644" s="17" t="s">
        <v>18</v>
      </c>
      <c r="M644" s="16" t="s">
        <v>22</v>
      </c>
      <c r="N644" s="39" t="s">
        <v>418</v>
      </c>
      <c r="O644" s="20"/>
    </row>
    <row r="645" spans="1:15" s="12" customFormat="1" ht="30">
      <c r="A645" s="178" t="s">
        <v>96</v>
      </c>
      <c r="B645" s="75" t="s">
        <v>1463</v>
      </c>
      <c r="C645" s="39" t="s">
        <v>343</v>
      </c>
      <c r="D645" s="236"/>
      <c r="E645" s="236"/>
      <c r="F645" s="236"/>
      <c r="G645" s="236"/>
      <c r="H645" s="40">
        <f>SUM(Tabla13211242[[#This Row],[PRIMER TRIMESTRE]:[CUARTO TRIMESTRE]])</f>
        <v>0</v>
      </c>
      <c r="I645" s="17">
        <v>175</v>
      </c>
      <c r="J645" s="17">
        <f t="shared" si="18"/>
        <v>0</v>
      </c>
      <c r="K645" s="17"/>
      <c r="L645" s="17" t="s">
        <v>18</v>
      </c>
      <c r="M645" s="16" t="s">
        <v>22</v>
      </c>
      <c r="N645" s="39" t="s">
        <v>418</v>
      </c>
      <c r="O645" s="20"/>
    </row>
    <row r="646" spans="1:15" s="12" customFormat="1" ht="30">
      <c r="A646" s="178" t="s">
        <v>96</v>
      </c>
      <c r="B646" s="75" t="s">
        <v>1448</v>
      </c>
      <c r="C646" s="39" t="s">
        <v>343</v>
      </c>
      <c r="D646" s="236"/>
      <c r="E646" s="236"/>
      <c r="F646" s="236"/>
      <c r="G646" s="236"/>
      <c r="H646" s="40">
        <f>SUM(Tabla13211242[[#This Row],[PRIMER TRIMESTRE]:[CUARTO TRIMESTRE]])</f>
        <v>0</v>
      </c>
      <c r="I646" s="17">
        <v>120</v>
      </c>
      <c r="J646" s="17">
        <f t="shared" si="18"/>
        <v>0</v>
      </c>
      <c r="K646" s="17"/>
      <c r="L646" s="17" t="s">
        <v>18</v>
      </c>
      <c r="M646" s="16" t="s">
        <v>22</v>
      </c>
      <c r="N646" s="39" t="s">
        <v>418</v>
      </c>
      <c r="O646" s="20"/>
    </row>
    <row r="647" spans="1:15" s="12" customFormat="1" ht="30">
      <c r="A647" s="178" t="s">
        <v>96</v>
      </c>
      <c r="B647" s="75" t="s">
        <v>1476</v>
      </c>
      <c r="C647" s="39" t="s">
        <v>343</v>
      </c>
      <c r="D647" s="236"/>
      <c r="E647" s="236"/>
      <c r="F647" s="236"/>
      <c r="G647" s="236"/>
      <c r="H647" s="236">
        <f>SUM(Tabla13211242[[#This Row],[PRIMER TRIMESTRE]:[CUARTO TRIMESTRE]])</f>
        <v>0</v>
      </c>
      <c r="I647" s="17">
        <v>48.72</v>
      </c>
      <c r="J647" s="17">
        <f t="shared" si="18"/>
        <v>0</v>
      </c>
      <c r="K647" s="17"/>
      <c r="L647" s="17" t="s">
        <v>18</v>
      </c>
      <c r="M647" s="16" t="s">
        <v>22</v>
      </c>
      <c r="N647" s="39" t="s">
        <v>418</v>
      </c>
      <c r="O647" s="20"/>
    </row>
    <row r="648" spans="1:15" s="12" customFormat="1" ht="30">
      <c r="A648" s="178" t="s">
        <v>96</v>
      </c>
      <c r="B648" s="75" t="s">
        <v>1477</v>
      </c>
      <c r="C648" s="39" t="s">
        <v>343</v>
      </c>
      <c r="D648" s="236"/>
      <c r="E648" s="236"/>
      <c r="F648" s="236"/>
      <c r="G648" s="236"/>
      <c r="H648" s="236">
        <f>SUM(Tabla13211242[[#This Row],[PRIMER TRIMESTRE]:[CUARTO TRIMESTRE]])</f>
        <v>0</v>
      </c>
      <c r="I648" s="17">
        <v>78</v>
      </c>
      <c r="J648" s="17">
        <f t="shared" si="18"/>
        <v>0</v>
      </c>
      <c r="K648" s="17"/>
      <c r="L648" s="17" t="s">
        <v>18</v>
      </c>
      <c r="M648" s="16" t="s">
        <v>22</v>
      </c>
      <c r="N648" s="39" t="s">
        <v>418</v>
      </c>
      <c r="O648" s="20"/>
    </row>
    <row r="649" spans="1:15" s="12" customFormat="1" ht="30">
      <c r="A649" s="178" t="s">
        <v>96</v>
      </c>
      <c r="B649" s="75" t="s">
        <v>1680</v>
      </c>
      <c r="C649" s="39" t="s">
        <v>343</v>
      </c>
      <c r="D649" s="236"/>
      <c r="E649" s="236"/>
      <c r="F649" s="236"/>
      <c r="G649" s="236"/>
      <c r="H649" s="40">
        <v>0</v>
      </c>
      <c r="I649" s="17">
        <v>0</v>
      </c>
      <c r="J649" s="17">
        <v>0</v>
      </c>
      <c r="K649" s="17"/>
      <c r="L649" s="17" t="s">
        <v>18</v>
      </c>
      <c r="M649" s="16" t="s">
        <v>22</v>
      </c>
      <c r="N649" s="39" t="s">
        <v>418</v>
      </c>
      <c r="O649" s="20"/>
    </row>
    <row r="650" spans="1:15" s="12" customFormat="1" ht="30">
      <c r="A650" s="178" t="s">
        <v>96</v>
      </c>
      <c r="B650" s="75" t="s">
        <v>1478</v>
      </c>
      <c r="C650" s="39" t="s">
        <v>343</v>
      </c>
      <c r="D650" s="236"/>
      <c r="E650" s="236"/>
      <c r="F650" s="236"/>
      <c r="G650" s="236"/>
      <c r="H650" s="236">
        <f>SUM(Tabla13211242[[#This Row],[PRIMER TRIMESTRE]:[CUARTO TRIMESTRE]])</f>
        <v>0</v>
      </c>
      <c r="I650" s="17">
        <v>109.2</v>
      </c>
      <c r="J650" s="17">
        <f t="shared" si="18"/>
        <v>0</v>
      </c>
      <c r="K650" s="17"/>
      <c r="L650" s="17" t="s">
        <v>18</v>
      </c>
      <c r="M650" s="16" t="s">
        <v>22</v>
      </c>
      <c r="N650" s="39" t="s">
        <v>418</v>
      </c>
      <c r="O650" s="20"/>
    </row>
    <row r="651" spans="1:15" s="12" customFormat="1" ht="30">
      <c r="A651" s="178" t="s">
        <v>96</v>
      </c>
      <c r="B651" s="75" t="s">
        <v>1473</v>
      </c>
      <c r="C651" s="39" t="s">
        <v>343</v>
      </c>
      <c r="D651" s="236"/>
      <c r="E651" s="236"/>
      <c r="F651" s="236"/>
      <c r="G651" s="236"/>
      <c r="H651" s="236">
        <f>SUM(Tabla13211242[[#This Row],[PRIMER TRIMESTRE]:[CUARTO TRIMESTRE]])</f>
        <v>0</v>
      </c>
      <c r="I651" s="17">
        <v>126</v>
      </c>
      <c r="J651" s="17">
        <f t="shared" si="18"/>
        <v>0</v>
      </c>
      <c r="K651" s="17"/>
      <c r="L651" s="17" t="s">
        <v>18</v>
      </c>
      <c r="M651" s="16" t="s">
        <v>22</v>
      </c>
      <c r="N651" s="39" t="s">
        <v>418</v>
      </c>
      <c r="O651" s="20"/>
    </row>
    <row r="652" spans="1:15" s="12" customFormat="1" ht="30">
      <c r="A652" s="178" t="s">
        <v>96</v>
      </c>
      <c r="B652" s="75" t="s">
        <v>1474</v>
      </c>
      <c r="C652" s="39" t="s">
        <v>343</v>
      </c>
      <c r="D652" s="236"/>
      <c r="E652" s="236"/>
      <c r="F652" s="236"/>
      <c r="G652" s="236"/>
      <c r="H652" s="236">
        <f>SUM(Tabla13211242[[#This Row],[PRIMER TRIMESTRE]:[CUARTO TRIMESTRE]])</f>
        <v>0</v>
      </c>
      <c r="I652" s="17">
        <v>10.8</v>
      </c>
      <c r="J652" s="17">
        <f t="shared" si="18"/>
        <v>0</v>
      </c>
      <c r="K652" s="17"/>
      <c r="L652" s="17" t="s">
        <v>18</v>
      </c>
      <c r="M652" s="16" t="s">
        <v>22</v>
      </c>
      <c r="N652" s="39" t="s">
        <v>418</v>
      </c>
      <c r="O652" s="20"/>
    </row>
    <row r="653" spans="1:15" s="12" customFormat="1" ht="30">
      <c r="A653" s="178" t="s">
        <v>96</v>
      </c>
      <c r="B653" s="75" t="s">
        <v>1475</v>
      </c>
      <c r="C653" s="39" t="s">
        <v>343</v>
      </c>
      <c r="D653" s="236"/>
      <c r="E653" s="236"/>
      <c r="F653" s="236"/>
      <c r="G653" s="236"/>
      <c r="H653" s="236">
        <f>SUM(Tabla13211242[[#This Row],[PRIMER TRIMESTRE]:[CUARTO TRIMESTRE]])</f>
        <v>0</v>
      </c>
      <c r="I653" s="17">
        <v>98.88</v>
      </c>
      <c r="J653" s="17">
        <f t="shared" si="18"/>
        <v>0</v>
      </c>
      <c r="K653" s="17"/>
      <c r="L653" s="17" t="s">
        <v>18</v>
      </c>
      <c r="M653" s="16" t="s">
        <v>22</v>
      </c>
      <c r="N653" s="39" t="s">
        <v>418</v>
      </c>
      <c r="O653" s="20"/>
    </row>
    <row r="654" spans="1:15" s="12" customFormat="1" ht="30">
      <c r="A654" s="178" t="s">
        <v>96</v>
      </c>
      <c r="B654" s="75" t="s">
        <v>1480</v>
      </c>
      <c r="C654" s="39" t="s">
        <v>343</v>
      </c>
      <c r="D654" s="236"/>
      <c r="E654" s="236"/>
      <c r="F654" s="236"/>
      <c r="G654" s="236"/>
      <c r="H654" s="236">
        <f>SUM(Tabla13211242[[#This Row],[PRIMER TRIMESTRE]:[CUARTO TRIMESTRE]])</f>
        <v>0</v>
      </c>
      <c r="I654" s="17">
        <v>169.73</v>
      </c>
      <c r="J654" s="17">
        <f t="shared" si="18"/>
        <v>0</v>
      </c>
      <c r="K654" s="17"/>
      <c r="L654" s="17" t="s">
        <v>18</v>
      </c>
      <c r="M654" s="16" t="s">
        <v>22</v>
      </c>
      <c r="N654" s="39" t="s">
        <v>418</v>
      </c>
      <c r="O654" s="20"/>
    </row>
    <row r="655" spans="1:15" s="12" customFormat="1" ht="30">
      <c r="A655" s="178" t="s">
        <v>96</v>
      </c>
      <c r="B655" s="75" t="s">
        <v>1481</v>
      </c>
      <c r="C655" s="39" t="s">
        <v>343</v>
      </c>
      <c r="D655" s="236"/>
      <c r="E655" s="236"/>
      <c r="F655" s="236"/>
      <c r="G655" s="236"/>
      <c r="H655" s="236">
        <f>SUM(Tabla13211242[[#This Row],[PRIMER TRIMESTRE]:[CUARTO TRIMESTRE]])</f>
        <v>0</v>
      </c>
      <c r="I655" s="17">
        <v>49</v>
      </c>
      <c r="J655" s="17">
        <f t="shared" si="18"/>
        <v>0</v>
      </c>
      <c r="K655" s="17"/>
      <c r="L655" s="17" t="s">
        <v>18</v>
      </c>
      <c r="M655" s="16" t="s">
        <v>22</v>
      </c>
      <c r="N655" s="39" t="s">
        <v>418</v>
      </c>
      <c r="O655" s="20"/>
    </row>
    <row r="656" spans="1:15" s="12" customFormat="1" ht="30">
      <c r="A656" s="178" t="s">
        <v>96</v>
      </c>
      <c r="B656" s="75" t="s">
        <v>1691</v>
      </c>
      <c r="C656" s="39" t="s">
        <v>343</v>
      </c>
      <c r="D656" s="236"/>
      <c r="E656" s="236"/>
      <c r="F656" s="236"/>
      <c r="G656" s="236"/>
      <c r="H656" s="40">
        <v>0</v>
      </c>
      <c r="I656" s="17">
        <v>0</v>
      </c>
      <c r="J656" s="17">
        <v>0</v>
      </c>
      <c r="K656" s="17"/>
      <c r="L656" s="17" t="s">
        <v>18</v>
      </c>
      <c r="M656" s="16" t="s">
        <v>22</v>
      </c>
      <c r="N656" s="39" t="s">
        <v>418</v>
      </c>
      <c r="O656" s="20"/>
    </row>
    <row r="657" spans="1:15" s="12" customFormat="1" ht="30">
      <c r="A657" s="178" t="s">
        <v>96</v>
      </c>
      <c r="B657" s="75" t="s">
        <v>813</v>
      </c>
      <c r="C657" s="39" t="s">
        <v>343</v>
      </c>
      <c r="D657" s="236"/>
      <c r="E657" s="236"/>
      <c r="F657" s="236"/>
      <c r="G657" s="236"/>
      <c r="H657" s="236">
        <f>SUM(Tabla13211242[[#This Row],[PRIMER TRIMESTRE]:[CUARTO TRIMESTRE]])</f>
        <v>0</v>
      </c>
      <c r="I657" s="17">
        <v>309.39999999999998</v>
      </c>
      <c r="J657" s="17">
        <f t="shared" si="18"/>
        <v>0</v>
      </c>
      <c r="K657" s="17"/>
      <c r="L657" s="17" t="s">
        <v>18</v>
      </c>
      <c r="M657" s="16" t="s">
        <v>22</v>
      </c>
      <c r="N657" s="39" t="s">
        <v>418</v>
      </c>
      <c r="O657" s="20"/>
    </row>
    <row r="658" spans="1:15" s="12" customFormat="1" ht="30">
      <c r="A658" s="178" t="s">
        <v>1676</v>
      </c>
      <c r="B658" s="75" t="s">
        <v>1853</v>
      </c>
      <c r="C658" s="39" t="s">
        <v>343</v>
      </c>
      <c r="D658" s="236"/>
      <c r="E658" s="236"/>
      <c r="F658" s="236"/>
      <c r="G658" s="236"/>
      <c r="H658" s="40">
        <v>0</v>
      </c>
      <c r="I658" s="17">
        <v>0</v>
      </c>
      <c r="J658" s="17">
        <v>0</v>
      </c>
      <c r="K658" s="17"/>
      <c r="L658" s="17" t="s">
        <v>18</v>
      </c>
      <c r="M658" s="16" t="s">
        <v>22</v>
      </c>
      <c r="N658" s="39" t="s">
        <v>418</v>
      </c>
      <c r="O658" s="20"/>
    </row>
    <row r="659" spans="1:15" s="12" customFormat="1" ht="30">
      <c r="A659" s="178" t="s">
        <v>96</v>
      </c>
      <c r="B659" s="75" t="s">
        <v>1571</v>
      </c>
      <c r="C659" s="39" t="s">
        <v>17</v>
      </c>
      <c r="D659" s="236"/>
      <c r="E659" s="236"/>
      <c r="F659" s="236"/>
      <c r="G659" s="236"/>
      <c r="H659" s="236">
        <f>SUM(Tabla13211242[[#This Row],[PRIMER TRIMESTRE]:[CUARTO TRIMESTRE]])</f>
        <v>0</v>
      </c>
      <c r="I659" s="17">
        <v>131500</v>
      </c>
      <c r="J659" s="17">
        <f t="shared" si="18"/>
        <v>0</v>
      </c>
      <c r="K659" s="17"/>
      <c r="L659" s="17" t="s">
        <v>18</v>
      </c>
      <c r="M659" s="16" t="s">
        <v>22</v>
      </c>
      <c r="N659" s="39" t="s">
        <v>418</v>
      </c>
      <c r="O659" s="20"/>
    </row>
    <row r="660" spans="1:15" s="12" customFormat="1" ht="30">
      <c r="A660" s="178" t="s">
        <v>96</v>
      </c>
      <c r="B660" s="75" t="s">
        <v>1570</v>
      </c>
      <c r="C660" s="39" t="s">
        <v>343</v>
      </c>
      <c r="D660" s="236"/>
      <c r="E660" s="236"/>
      <c r="F660" s="236"/>
      <c r="G660" s="236"/>
      <c r="H660" s="236">
        <f>SUM(Tabla13211242[[#This Row],[PRIMER TRIMESTRE]:[CUARTO TRIMESTRE]])</f>
        <v>0</v>
      </c>
      <c r="I660" s="17">
        <v>31.11</v>
      </c>
      <c r="J660" s="17">
        <f t="shared" si="18"/>
        <v>0</v>
      </c>
      <c r="K660" s="17"/>
      <c r="L660" s="17" t="s">
        <v>18</v>
      </c>
      <c r="M660" s="16" t="s">
        <v>22</v>
      </c>
      <c r="N660" s="39" t="s">
        <v>418</v>
      </c>
      <c r="O660" s="20"/>
    </row>
    <row r="661" spans="1:15" s="12" customFormat="1" ht="30">
      <c r="A661" s="178" t="s">
        <v>96</v>
      </c>
      <c r="B661" s="75" t="s">
        <v>1603</v>
      </c>
      <c r="C661" s="39" t="s">
        <v>343</v>
      </c>
      <c r="D661" s="236"/>
      <c r="E661" s="236"/>
      <c r="F661" s="236"/>
      <c r="G661" s="236"/>
      <c r="H661" s="236">
        <f>SUM(Tabla13211242[[#This Row],[PRIMER TRIMESTRE]:[CUARTO TRIMESTRE]])</f>
        <v>0</v>
      </c>
      <c r="I661" s="17">
        <v>75.61</v>
      </c>
      <c r="J661" s="17">
        <f t="shared" si="18"/>
        <v>0</v>
      </c>
      <c r="K661" s="17"/>
      <c r="L661" s="17" t="s">
        <v>18</v>
      </c>
      <c r="M661" s="16" t="s">
        <v>22</v>
      </c>
      <c r="N661" s="39" t="s">
        <v>418</v>
      </c>
      <c r="O661" s="20"/>
    </row>
    <row r="662" spans="1:15" s="12" customFormat="1" ht="30">
      <c r="A662" s="178" t="s">
        <v>96</v>
      </c>
      <c r="B662" s="75" t="s">
        <v>1602</v>
      </c>
      <c r="C662" s="39" t="s">
        <v>343</v>
      </c>
      <c r="D662" s="236"/>
      <c r="E662" s="236"/>
      <c r="F662" s="236"/>
      <c r="G662" s="236"/>
      <c r="H662" s="236">
        <f>SUM(Tabla13211242[[#This Row],[PRIMER TRIMESTRE]:[CUARTO TRIMESTRE]])</f>
        <v>0</v>
      </c>
      <c r="I662" s="17">
        <v>77.77</v>
      </c>
      <c r="J662" s="17">
        <f t="shared" si="18"/>
        <v>0</v>
      </c>
      <c r="K662" s="17"/>
      <c r="L662" s="17" t="s">
        <v>18</v>
      </c>
      <c r="M662" s="16" t="s">
        <v>22</v>
      </c>
      <c r="N662" s="39" t="s">
        <v>418</v>
      </c>
      <c r="O662" s="20"/>
    </row>
    <row r="663" spans="1:15" s="12" customFormat="1" ht="30">
      <c r="A663" s="178" t="s">
        <v>96</v>
      </c>
      <c r="B663" s="75" t="s">
        <v>814</v>
      </c>
      <c r="C663" s="39" t="s">
        <v>343</v>
      </c>
      <c r="D663" s="236"/>
      <c r="E663" s="236"/>
      <c r="F663" s="236"/>
      <c r="G663" s="236"/>
      <c r="H663" s="40">
        <f>SUM(Tabla13211242[[#This Row],[PRIMER TRIMESTRE]:[CUARTO TRIMESTRE]])</f>
        <v>0</v>
      </c>
      <c r="I663" s="17">
        <v>380.3</v>
      </c>
      <c r="J663" s="17">
        <f t="shared" si="18"/>
        <v>0</v>
      </c>
      <c r="K663" s="17"/>
      <c r="L663" s="17" t="s">
        <v>18</v>
      </c>
      <c r="M663" s="16" t="s">
        <v>22</v>
      </c>
      <c r="N663" s="39" t="s">
        <v>418</v>
      </c>
      <c r="O663" s="20"/>
    </row>
    <row r="664" spans="1:15" s="12" customFormat="1" ht="30">
      <c r="A664" s="178" t="s">
        <v>96</v>
      </c>
      <c r="B664" s="77" t="s">
        <v>874</v>
      </c>
      <c r="C664" s="39" t="s">
        <v>17</v>
      </c>
      <c r="D664" s="236"/>
      <c r="E664" s="236"/>
      <c r="F664" s="236"/>
      <c r="G664" s="236"/>
      <c r="H664" s="40">
        <f>SUM(Tabla13211242[[#This Row],[PRIMER TRIMESTRE]:[CUARTO TRIMESTRE]])</f>
        <v>0</v>
      </c>
      <c r="I664" s="17">
        <v>110</v>
      </c>
      <c r="J664" s="17">
        <f t="shared" si="18"/>
        <v>0</v>
      </c>
      <c r="K664" s="17"/>
      <c r="L664" s="16" t="s">
        <v>18</v>
      </c>
      <c r="M664" s="16" t="s">
        <v>22</v>
      </c>
      <c r="N664" s="39"/>
      <c r="O664" s="20"/>
    </row>
    <row r="665" spans="1:15" s="12" customFormat="1" ht="30">
      <c r="A665" s="178" t="s">
        <v>96</v>
      </c>
      <c r="B665" s="77" t="s">
        <v>875</v>
      </c>
      <c r="C665" s="39" t="s">
        <v>17</v>
      </c>
      <c r="D665" s="236"/>
      <c r="E665" s="236"/>
      <c r="F665" s="236"/>
      <c r="G665" s="236"/>
      <c r="H665" s="40">
        <f>SUM(Tabla13211242[[#This Row],[PRIMER TRIMESTRE]:[CUARTO TRIMESTRE]])</f>
        <v>0</v>
      </c>
      <c r="I665" s="17">
        <v>125</v>
      </c>
      <c r="J665" s="17">
        <f t="shared" si="18"/>
        <v>0</v>
      </c>
      <c r="K665" s="17"/>
      <c r="L665" s="16" t="s">
        <v>18</v>
      </c>
      <c r="M665" s="16" t="s">
        <v>22</v>
      </c>
      <c r="N665" s="39"/>
      <c r="O665" s="20"/>
    </row>
    <row r="666" spans="1:15" s="12" customFormat="1" ht="30">
      <c r="A666" s="178" t="s">
        <v>96</v>
      </c>
      <c r="B666" s="77" t="s">
        <v>876</v>
      </c>
      <c r="C666" s="39" t="s">
        <v>17</v>
      </c>
      <c r="D666" s="236"/>
      <c r="E666" s="236"/>
      <c r="F666" s="236"/>
      <c r="G666" s="236"/>
      <c r="H666" s="40">
        <f>SUM(Tabla13211242[[#This Row],[PRIMER TRIMESTRE]:[CUARTO TRIMESTRE]])</f>
        <v>0</v>
      </c>
      <c r="I666" s="17">
        <v>135</v>
      </c>
      <c r="J666" s="17">
        <f t="shared" si="18"/>
        <v>0</v>
      </c>
      <c r="K666" s="17"/>
      <c r="L666" s="16" t="s">
        <v>18</v>
      </c>
      <c r="M666" s="16" t="s">
        <v>22</v>
      </c>
      <c r="N666" s="39"/>
      <c r="O666" s="20"/>
    </row>
    <row r="667" spans="1:15" s="12" customFormat="1" ht="30">
      <c r="A667" s="178" t="s">
        <v>96</v>
      </c>
      <c r="B667" s="77" t="s">
        <v>877</v>
      </c>
      <c r="C667" s="39" t="s">
        <v>17</v>
      </c>
      <c r="D667" s="236"/>
      <c r="E667" s="236"/>
      <c r="F667" s="236"/>
      <c r="G667" s="236"/>
      <c r="H667" s="40">
        <f>SUM(Tabla13211242[[#This Row],[PRIMER TRIMESTRE]:[CUARTO TRIMESTRE]])</f>
        <v>0</v>
      </c>
      <c r="I667" s="17">
        <v>175</v>
      </c>
      <c r="J667" s="17">
        <f t="shared" si="18"/>
        <v>0</v>
      </c>
      <c r="K667" s="17"/>
      <c r="L667" s="16" t="s">
        <v>18</v>
      </c>
      <c r="M667" s="16" t="s">
        <v>22</v>
      </c>
      <c r="N667" s="39"/>
      <c r="O667" s="20"/>
    </row>
    <row r="668" spans="1:15" s="12" customFormat="1" ht="30">
      <c r="A668" s="178" t="s">
        <v>96</v>
      </c>
      <c r="B668" s="77" t="s">
        <v>878</v>
      </c>
      <c r="C668" s="39" t="s">
        <v>17</v>
      </c>
      <c r="D668" s="236"/>
      <c r="E668" s="236"/>
      <c r="F668" s="236"/>
      <c r="G668" s="236"/>
      <c r="H668" s="40">
        <f>SUM(Tabla13211242[[#This Row],[PRIMER TRIMESTRE]:[CUARTO TRIMESTRE]])</f>
        <v>0</v>
      </c>
      <c r="I668" s="17">
        <v>191</v>
      </c>
      <c r="J668" s="17">
        <f t="shared" si="18"/>
        <v>0</v>
      </c>
      <c r="K668" s="17"/>
      <c r="L668" s="16" t="s">
        <v>18</v>
      </c>
      <c r="M668" s="16" t="s">
        <v>22</v>
      </c>
      <c r="N668" s="39"/>
      <c r="O668" s="20"/>
    </row>
    <row r="669" spans="1:15" s="12" customFormat="1" ht="30">
      <c r="A669" s="178" t="s">
        <v>96</v>
      </c>
      <c r="B669" s="77" t="s">
        <v>1595</v>
      </c>
      <c r="C669" s="39" t="s">
        <v>17</v>
      </c>
      <c r="D669" s="236"/>
      <c r="E669" s="236"/>
      <c r="F669" s="236"/>
      <c r="G669" s="236"/>
      <c r="H669" s="236">
        <f>SUM(Tabla13211242[[#This Row],[PRIMER TRIMESTRE]:[CUARTO TRIMESTRE]])</f>
        <v>0</v>
      </c>
      <c r="I669" s="17">
        <v>371.2</v>
      </c>
      <c r="J669" s="17">
        <f t="shared" si="18"/>
        <v>0</v>
      </c>
      <c r="K669" s="17"/>
      <c r="L669" s="16" t="s">
        <v>18</v>
      </c>
      <c r="M669" s="16" t="s">
        <v>22</v>
      </c>
      <c r="N669" s="39"/>
      <c r="O669" s="20"/>
    </row>
    <row r="670" spans="1:15" s="12" customFormat="1" ht="30">
      <c r="A670" s="178" t="s">
        <v>96</v>
      </c>
      <c r="B670" s="77" t="s">
        <v>879</v>
      </c>
      <c r="C670" s="39" t="s">
        <v>17</v>
      </c>
      <c r="D670" s="236"/>
      <c r="E670" s="236"/>
      <c r="F670" s="236"/>
      <c r="G670" s="236"/>
      <c r="H670" s="40">
        <f>SUM(Tabla13211242[[#This Row],[PRIMER TRIMESTRE]:[CUARTO TRIMESTRE]])</f>
        <v>0</v>
      </c>
      <c r="I670" s="17">
        <v>23600</v>
      </c>
      <c r="J670" s="17">
        <f t="shared" si="18"/>
        <v>0</v>
      </c>
      <c r="K670" s="17"/>
      <c r="L670" s="16" t="s">
        <v>18</v>
      </c>
      <c r="M670" s="16" t="s">
        <v>22</v>
      </c>
      <c r="N670" s="39"/>
      <c r="O670" s="20"/>
    </row>
    <row r="671" spans="1:15" s="12" customFormat="1" ht="30">
      <c r="A671" s="178" t="s">
        <v>96</v>
      </c>
      <c r="B671" s="77" t="s">
        <v>1518</v>
      </c>
      <c r="C671" s="39" t="s">
        <v>208</v>
      </c>
      <c r="D671" s="236"/>
      <c r="E671" s="236"/>
      <c r="F671" s="236"/>
      <c r="G671" s="236"/>
      <c r="H671" s="236">
        <f>SUM(Tabla13211242[[#This Row],[PRIMER TRIMESTRE]:[CUARTO TRIMESTRE]])</f>
        <v>0</v>
      </c>
      <c r="I671" s="17">
        <v>1500.62</v>
      </c>
      <c r="J671" s="17">
        <f t="shared" si="18"/>
        <v>0</v>
      </c>
      <c r="K671" s="17"/>
      <c r="L671" s="16" t="s">
        <v>18</v>
      </c>
      <c r="M671" s="16" t="s">
        <v>22</v>
      </c>
      <c r="N671" s="39"/>
      <c r="O671" s="20"/>
    </row>
    <row r="672" spans="1:15" s="12" customFormat="1" ht="30">
      <c r="A672" s="178" t="s">
        <v>96</v>
      </c>
      <c r="B672" s="77" t="s">
        <v>1519</v>
      </c>
      <c r="C672" s="39" t="s">
        <v>208</v>
      </c>
      <c r="D672" s="236"/>
      <c r="E672" s="236"/>
      <c r="F672" s="236"/>
      <c r="G672" s="236"/>
      <c r="H672" s="236">
        <f>SUM(Tabla13211242[[#This Row],[PRIMER TRIMESTRE]:[CUARTO TRIMESTRE]])</f>
        <v>0</v>
      </c>
      <c r="I672" s="17">
        <v>942.48</v>
      </c>
      <c r="J672" s="17">
        <f t="shared" si="18"/>
        <v>0</v>
      </c>
      <c r="K672" s="17"/>
      <c r="L672" s="16" t="s">
        <v>18</v>
      </c>
      <c r="M672" s="16" t="s">
        <v>22</v>
      </c>
      <c r="N672" s="39"/>
      <c r="O672" s="20"/>
    </row>
    <row r="673" spans="1:15" s="12" customFormat="1" ht="30">
      <c r="A673" s="178" t="s">
        <v>96</v>
      </c>
      <c r="B673" s="77" t="s">
        <v>1520</v>
      </c>
      <c r="C673" s="39" t="s">
        <v>208</v>
      </c>
      <c r="D673" s="236"/>
      <c r="E673" s="236"/>
      <c r="F673" s="236"/>
      <c r="G673" s="236"/>
      <c r="H673" s="236">
        <f>SUM(Tabla13211242[[#This Row],[PRIMER TRIMESTRE]:[CUARTO TRIMESTRE]])</f>
        <v>0</v>
      </c>
      <c r="I673" s="17">
        <v>942.48</v>
      </c>
      <c r="J673" s="17">
        <f t="shared" si="18"/>
        <v>0</v>
      </c>
      <c r="K673" s="17"/>
      <c r="L673" s="16" t="s">
        <v>18</v>
      </c>
      <c r="M673" s="16" t="s">
        <v>22</v>
      </c>
      <c r="N673" s="39"/>
      <c r="O673" s="20"/>
    </row>
    <row r="674" spans="1:15" s="12" customFormat="1" ht="30">
      <c r="A674" s="178" t="s">
        <v>96</v>
      </c>
      <c r="B674" s="77" t="s">
        <v>880</v>
      </c>
      <c r="C674" s="39" t="s">
        <v>17</v>
      </c>
      <c r="D674" s="236"/>
      <c r="E674" s="236"/>
      <c r="F674" s="236"/>
      <c r="G674" s="236"/>
      <c r="H674" s="40">
        <f>SUM(Tabla13211242[[#This Row],[PRIMER TRIMESTRE]:[CUARTO TRIMESTRE]])</f>
        <v>0</v>
      </c>
      <c r="I674" s="17">
        <v>25850</v>
      </c>
      <c r="J674" s="17">
        <f t="shared" si="18"/>
        <v>0</v>
      </c>
      <c r="K674" s="17"/>
      <c r="L674" s="16" t="s">
        <v>18</v>
      </c>
      <c r="M674" s="16" t="s">
        <v>22</v>
      </c>
      <c r="N674" s="39"/>
      <c r="O674" s="20"/>
    </row>
    <row r="675" spans="1:15" s="12" customFormat="1" ht="38.25">
      <c r="A675" s="178" t="s">
        <v>96</v>
      </c>
      <c r="B675" s="77" t="s">
        <v>924</v>
      </c>
      <c r="C675" s="39" t="s">
        <v>17</v>
      </c>
      <c r="D675" s="236"/>
      <c r="E675" s="236"/>
      <c r="F675" s="236"/>
      <c r="G675" s="236"/>
      <c r="H675" s="40">
        <f>SUM(Tabla13211242[[#This Row],[PRIMER TRIMESTRE]:[CUARTO TRIMESTRE]])</f>
        <v>0</v>
      </c>
      <c r="I675" s="17">
        <v>100000</v>
      </c>
      <c r="J675" s="17">
        <f t="shared" si="18"/>
        <v>0</v>
      </c>
      <c r="K675" s="17"/>
      <c r="L675" s="16" t="s">
        <v>18</v>
      </c>
      <c r="M675" s="16" t="s">
        <v>22</v>
      </c>
      <c r="N675" s="39"/>
      <c r="O675" s="20"/>
    </row>
    <row r="676" spans="1:15" s="12" customFormat="1" ht="30">
      <c r="A676" s="178" t="s">
        <v>96</v>
      </c>
      <c r="B676" s="75" t="s">
        <v>882</v>
      </c>
      <c r="C676" s="39" t="s">
        <v>17</v>
      </c>
      <c r="D676" s="236"/>
      <c r="E676" s="236"/>
      <c r="F676" s="236"/>
      <c r="G676" s="236"/>
      <c r="H676" s="40">
        <f>SUM(Tabla13211242[[#This Row],[PRIMER TRIMESTRE]:[CUARTO TRIMESTRE]])</f>
        <v>0</v>
      </c>
      <c r="I676" s="17">
        <v>600</v>
      </c>
      <c r="J676" s="17">
        <f t="shared" si="18"/>
        <v>0</v>
      </c>
      <c r="K676" s="17"/>
      <c r="L676" s="16" t="s">
        <v>18</v>
      </c>
      <c r="M676" s="16" t="s">
        <v>22</v>
      </c>
      <c r="N676" s="39"/>
      <c r="O676" s="20"/>
    </row>
    <row r="677" spans="1:15" s="12" customFormat="1" ht="30">
      <c r="A677" s="178" t="s">
        <v>96</v>
      </c>
      <c r="B677" s="75" t="s">
        <v>883</v>
      </c>
      <c r="C677" s="39" t="s">
        <v>17</v>
      </c>
      <c r="D677" s="236"/>
      <c r="E677" s="236"/>
      <c r="F677" s="236"/>
      <c r="G677" s="236"/>
      <c r="H677" s="40">
        <f>SUM(Tabla13211242[[#This Row],[PRIMER TRIMESTRE]:[CUARTO TRIMESTRE]])</f>
        <v>0</v>
      </c>
      <c r="I677" s="17">
        <v>350</v>
      </c>
      <c r="J677" s="17">
        <f t="shared" si="18"/>
        <v>0</v>
      </c>
      <c r="K677" s="17"/>
      <c r="L677" s="16" t="s">
        <v>18</v>
      </c>
      <c r="M677" s="16" t="s">
        <v>22</v>
      </c>
      <c r="N677" s="39"/>
      <c r="O677" s="20"/>
    </row>
    <row r="678" spans="1:15" s="12" customFormat="1" ht="30">
      <c r="A678" s="178" t="s">
        <v>96</v>
      </c>
      <c r="B678" s="75" t="s">
        <v>884</v>
      </c>
      <c r="C678" s="39" t="s">
        <v>17</v>
      </c>
      <c r="D678" s="236"/>
      <c r="E678" s="236"/>
      <c r="F678" s="236"/>
      <c r="G678" s="236"/>
      <c r="H678" s="40">
        <f>SUM(Tabla13211242[[#This Row],[PRIMER TRIMESTRE]:[CUARTO TRIMESTRE]])</f>
        <v>0</v>
      </c>
      <c r="I678" s="17">
        <v>450</v>
      </c>
      <c r="J678" s="17">
        <f t="shared" si="18"/>
        <v>0</v>
      </c>
      <c r="K678" s="17"/>
      <c r="L678" s="16" t="s">
        <v>18</v>
      </c>
      <c r="M678" s="16" t="s">
        <v>22</v>
      </c>
      <c r="N678" s="39"/>
      <c r="O678" s="20"/>
    </row>
    <row r="679" spans="1:15" s="12" customFormat="1" ht="30">
      <c r="A679" s="178" t="s">
        <v>96</v>
      </c>
      <c r="B679" s="75" t="s">
        <v>885</v>
      </c>
      <c r="C679" s="39" t="s">
        <v>344</v>
      </c>
      <c r="D679" s="236"/>
      <c r="E679" s="236"/>
      <c r="F679" s="236"/>
      <c r="G679" s="236"/>
      <c r="H679" s="40">
        <f>SUM(Tabla13211242[[#This Row],[PRIMER TRIMESTRE]:[CUARTO TRIMESTRE]])</f>
        <v>0</v>
      </c>
      <c r="I679" s="17">
        <v>3650</v>
      </c>
      <c r="J679" s="17">
        <f t="shared" si="18"/>
        <v>0</v>
      </c>
      <c r="K679" s="17"/>
      <c r="L679" s="16" t="s">
        <v>18</v>
      </c>
      <c r="M679" s="16" t="s">
        <v>22</v>
      </c>
      <c r="N679" s="39"/>
      <c r="O679" s="20"/>
    </row>
    <row r="680" spans="1:15" s="12" customFormat="1" ht="30">
      <c r="A680" s="178" t="s">
        <v>96</v>
      </c>
      <c r="B680" s="75" t="s">
        <v>886</v>
      </c>
      <c r="C680" s="39" t="s">
        <v>344</v>
      </c>
      <c r="D680" s="236"/>
      <c r="E680" s="236"/>
      <c r="F680" s="236"/>
      <c r="G680" s="236"/>
      <c r="H680" s="40">
        <f>SUM(Tabla13211242[[#This Row],[PRIMER TRIMESTRE]:[CUARTO TRIMESTRE]])</f>
        <v>0</v>
      </c>
      <c r="I680" s="17">
        <v>3650</v>
      </c>
      <c r="J680" s="17">
        <f t="shared" si="18"/>
        <v>0</v>
      </c>
      <c r="K680" s="17"/>
      <c r="L680" s="16" t="s">
        <v>18</v>
      </c>
      <c r="M680" s="16" t="s">
        <v>22</v>
      </c>
      <c r="N680" s="39"/>
      <c r="O680" s="20"/>
    </row>
    <row r="681" spans="1:15" s="12" customFormat="1" ht="30">
      <c r="A681" s="178" t="s">
        <v>96</v>
      </c>
      <c r="B681" s="75" t="s">
        <v>887</v>
      </c>
      <c r="C681" s="39" t="s">
        <v>344</v>
      </c>
      <c r="D681" s="236"/>
      <c r="E681" s="236"/>
      <c r="F681" s="236"/>
      <c r="G681" s="236"/>
      <c r="H681" s="40">
        <f>SUM(Tabla13211242[[#This Row],[PRIMER TRIMESTRE]:[CUARTO TRIMESTRE]])</f>
        <v>0</v>
      </c>
      <c r="I681" s="17">
        <v>3650</v>
      </c>
      <c r="J681" s="17">
        <f t="shared" si="18"/>
        <v>0</v>
      </c>
      <c r="K681" s="17"/>
      <c r="L681" s="16" t="s">
        <v>18</v>
      </c>
      <c r="M681" s="16" t="s">
        <v>22</v>
      </c>
      <c r="N681" s="39"/>
      <c r="O681" s="20"/>
    </row>
    <row r="682" spans="1:15" s="12" customFormat="1" ht="30">
      <c r="A682" s="178" t="s">
        <v>96</v>
      </c>
      <c r="B682" s="75" t="s">
        <v>888</v>
      </c>
      <c r="C682" s="39" t="s">
        <v>344</v>
      </c>
      <c r="D682" s="236"/>
      <c r="E682" s="236"/>
      <c r="F682" s="236"/>
      <c r="G682" s="236"/>
      <c r="H682" s="40">
        <f>SUM(Tabla13211242[[#This Row],[PRIMER TRIMESTRE]:[CUARTO TRIMESTRE]])</f>
        <v>0</v>
      </c>
      <c r="I682" s="17">
        <v>3650</v>
      </c>
      <c r="J682" s="17">
        <f t="shared" si="18"/>
        <v>0</v>
      </c>
      <c r="K682" s="17"/>
      <c r="L682" s="16" t="s">
        <v>18</v>
      </c>
      <c r="M682" s="16" t="s">
        <v>22</v>
      </c>
      <c r="N682" s="39"/>
      <c r="O682" s="20"/>
    </row>
    <row r="683" spans="1:15" s="12" customFormat="1" ht="30">
      <c r="A683" s="178" t="s">
        <v>96</v>
      </c>
      <c r="B683" s="75" t="s">
        <v>815</v>
      </c>
      <c r="C683" s="39" t="s">
        <v>17</v>
      </c>
      <c r="D683" s="236"/>
      <c r="E683" s="236"/>
      <c r="F683" s="236"/>
      <c r="G683" s="236"/>
      <c r="H683" s="40">
        <f>SUM(Tabla13211242[[#This Row],[PRIMER TRIMESTRE]:[CUARTO TRIMESTRE]])</f>
        <v>0</v>
      </c>
      <c r="I683" s="17">
        <v>4625.12</v>
      </c>
      <c r="J683" s="17">
        <f t="shared" si="18"/>
        <v>0</v>
      </c>
      <c r="K683" s="17"/>
      <c r="L683" s="17" t="s">
        <v>18</v>
      </c>
      <c r="M683" s="16" t="s">
        <v>22</v>
      </c>
      <c r="N683" s="39"/>
      <c r="O683" s="20"/>
    </row>
    <row r="684" spans="1:15" s="12" customFormat="1" ht="30">
      <c r="A684" s="178" t="s">
        <v>96</v>
      </c>
      <c r="B684" s="75" t="s">
        <v>913</v>
      </c>
      <c r="C684" s="39" t="s">
        <v>343</v>
      </c>
      <c r="D684" s="236"/>
      <c r="E684" s="236"/>
      <c r="F684" s="236"/>
      <c r="G684" s="236"/>
      <c r="H684" s="40">
        <f>SUM(Tabla13211242[[#This Row],[PRIMER TRIMESTRE]:[CUARTO TRIMESTRE]])</f>
        <v>0</v>
      </c>
      <c r="I684" s="72">
        <v>80</v>
      </c>
      <c r="J684" s="17">
        <f t="shared" si="18"/>
        <v>0</v>
      </c>
      <c r="K684" s="17"/>
      <c r="L684" s="16" t="s">
        <v>18</v>
      </c>
      <c r="M684" s="16" t="s">
        <v>22</v>
      </c>
      <c r="N684" s="39"/>
      <c r="O684" s="20"/>
    </row>
    <row r="685" spans="1:15" s="12" customFormat="1" ht="30">
      <c r="A685" s="178" t="s">
        <v>96</v>
      </c>
      <c r="B685" s="75" t="s">
        <v>914</v>
      </c>
      <c r="C685" s="39" t="s">
        <v>343</v>
      </c>
      <c r="D685" s="236"/>
      <c r="E685" s="236"/>
      <c r="F685" s="236"/>
      <c r="G685" s="236"/>
      <c r="H685" s="40">
        <f>SUM(Tabla13211242[[#This Row],[PRIMER TRIMESTRE]:[CUARTO TRIMESTRE]])</f>
        <v>0</v>
      </c>
      <c r="I685" s="17">
        <v>112</v>
      </c>
      <c r="J685" s="17">
        <f t="shared" si="18"/>
        <v>0</v>
      </c>
      <c r="K685" s="17"/>
      <c r="L685" s="16" t="s">
        <v>18</v>
      </c>
      <c r="M685" s="16" t="s">
        <v>22</v>
      </c>
      <c r="N685" s="39"/>
      <c r="O685" s="20"/>
    </row>
    <row r="686" spans="1:15" s="12" customFormat="1" ht="30">
      <c r="A686" s="178" t="s">
        <v>96</v>
      </c>
      <c r="B686" s="75" t="s">
        <v>915</v>
      </c>
      <c r="C686" s="39" t="s">
        <v>343</v>
      </c>
      <c r="D686" s="236"/>
      <c r="E686" s="236"/>
      <c r="F686" s="236"/>
      <c r="G686" s="236"/>
      <c r="H686" s="40">
        <f>SUM(Tabla13211242[[#This Row],[PRIMER TRIMESTRE]:[CUARTO TRIMESTRE]])</f>
        <v>0</v>
      </c>
      <c r="I686" s="17">
        <v>150</v>
      </c>
      <c r="J686" s="17">
        <f t="shared" si="18"/>
        <v>0</v>
      </c>
      <c r="K686" s="17"/>
      <c r="L686" s="16" t="s">
        <v>18</v>
      </c>
      <c r="M686" s="16" t="s">
        <v>22</v>
      </c>
      <c r="N686" s="39"/>
      <c r="O686" s="20"/>
    </row>
    <row r="687" spans="1:15" s="12" customFormat="1" ht="30">
      <c r="A687" s="178" t="s">
        <v>96</v>
      </c>
      <c r="B687" s="75" t="s">
        <v>916</v>
      </c>
      <c r="C687" s="39" t="s">
        <v>343</v>
      </c>
      <c r="D687" s="236"/>
      <c r="E687" s="236"/>
      <c r="F687" s="236"/>
      <c r="G687" s="236"/>
      <c r="H687" s="40">
        <f>SUM(Tabla13211242[[#This Row],[PRIMER TRIMESTRE]:[CUARTO TRIMESTRE]])</f>
        <v>0</v>
      </c>
      <c r="I687" s="17">
        <v>188</v>
      </c>
      <c r="J687" s="17">
        <f t="shared" si="18"/>
        <v>0</v>
      </c>
      <c r="K687" s="17"/>
      <c r="L687" s="16" t="s">
        <v>18</v>
      </c>
      <c r="M687" s="16" t="s">
        <v>22</v>
      </c>
      <c r="N687" s="39"/>
      <c r="O687" s="20"/>
    </row>
    <row r="688" spans="1:15" s="12" customFormat="1" ht="30">
      <c r="A688" s="178" t="s">
        <v>96</v>
      </c>
      <c r="B688" s="75" t="s">
        <v>917</v>
      </c>
      <c r="C688" s="39" t="s">
        <v>343</v>
      </c>
      <c r="D688" s="236"/>
      <c r="E688" s="236"/>
      <c r="F688" s="236"/>
      <c r="G688" s="236"/>
      <c r="H688" s="40">
        <f>SUM(Tabla13211242[[#This Row],[PRIMER TRIMESTRE]:[CUARTO TRIMESTRE]])</f>
        <v>0</v>
      </c>
      <c r="I688" s="17">
        <v>225</v>
      </c>
      <c r="J688" s="17">
        <f t="shared" si="18"/>
        <v>0</v>
      </c>
      <c r="K688" s="17"/>
      <c r="L688" s="16" t="s">
        <v>18</v>
      </c>
      <c r="M688" s="16" t="s">
        <v>22</v>
      </c>
      <c r="N688" s="39"/>
      <c r="O688" s="20"/>
    </row>
    <row r="689" spans="1:15" s="12" customFormat="1" ht="30">
      <c r="A689" s="178" t="s">
        <v>96</v>
      </c>
      <c r="B689" s="75" t="s">
        <v>918</v>
      </c>
      <c r="C689" s="39" t="s">
        <v>343</v>
      </c>
      <c r="D689" s="236"/>
      <c r="E689" s="236"/>
      <c r="F689" s="236"/>
      <c r="G689" s="236"/>
      <c r="H689" s="40">
        <f>SUM(Tabla13211242[[#This Row],[PRIMER TRIMESTRE]:[CUARTO TRIMESTRE]])</f>
        <v>0</v>
      </c>
      <c r="I689" s="17">
        <v>135</v>
      </c>
      <c r="J689" s="17">
        <f t="shared" si="18"/>
        <v>0</v>
      </c>
      <c r="K689" s="17"/>
      <c r="L689" s="16" t="s">
        <v>18</v>
      </c>
      <c r="M689" s="16" t="s">
        <v>22</v>
      </c>
      <c r="N689" s="39"/>
      <c r="O689" s="20"/>
    </row>
    <row r="690" spans="1:15" s="12" customFormat="1" ht="30">
      <c r="A690" s="178" t="s">
        <v>96</v>
      </c>
      <c r="B690" s="75" t="s">
        <v>1220</v>
      </c>
      <c r="C690" s="39" t="s">
        <v>17</v>
      </c>
      <c r="D690" s="236"/>
      <c r="E690" s="236"/>
      <c r="F690" s="236"/>
      <c r="G690" s="236"/>
      <c r="H690" s="40">
        <f>SUM(Tabla13211242[[#This Row],[PRIMER TRIMESTRE]:[CUARTO TRIMESTRE]])</f>
        <v>0</v>
      </c>
      <c r="I690" s="17">
        <v>12000</v>
      </c>
      <c r="J690" s="17">
        <f t="shared" si="18"/>
        <v>0</v>
      </c>
      <c r="K690" s="17"/>
      <c r="L690" s="16" t="s">
        <v>18</v>
      </c>
      <c r="M690" s="16" t="s">
        <v>22</v>
      </c>
      <c r="N690" s="39"/>
      <c r="O690" s="20"/>
    </row>
    <row r="691" spans="1:15" s="12" customFormat="1" ht="30">
      <c r="A691" s="178" t="s">
        <v>96</v>
      </c>
      <c r="B691" s="75" t="s">
        <v>1221</v>
      </c>
      <c r="C691" s="39" t="s">
        <v>17</v>
      </c>
      <c r="D691" s="236"/>
      <c r="E691" s="236"/>
      <c r="F691" s="236"/>
      <c r="G691" s="236"/>
      <c r="H691" s="40">
        <f>SUM(Tabla13211242[[#This Row],[PRIMER TRIMESTRE]:[CUARTO TRIMESTRE]])</f>
        <v>0</v>
      </c>
      <c r="I691" s="17">
        <v>16000</v>
      </c>
      <c r="J691" s="17">
        <f t="shared" si="18"/>
        <v>0</v>
      </c>
      <c r="K691" s="17"/>
      <c r="L691" s="16" t="s">
        <v>18</v>
      </c>
      <c r="M691" s="16" t="s">
        <v>22</v>
      </c>
      <c r="N691" s="39"/>
      <c r="O691" s="20"/>
    </row>
    <row r="692" spans="1:15" s="12" customFormat="1" ht="30">
      <c r="A692" s="178" t="s">
        <v>96</v>
      </c>
      <c r="B692" s="75" t="s">
        <v>1222</v>
      </c>
      <c r="C692" s="39" t="s">
        <v>17</v>
      </c>
      <c r="D692" s="236"/>
      <c r="E692" s="236"/>
      <c r="F692" s="236"/>
      <c r="G692" s="236"/>
      <c r="H692" s="40">
        <f>SUM(Tabla13211242[[#This Row],[PRIMER TRIMESTRE]:[CUARTO TRIMESTRE]])</f>
        <v>0</v>
      </c>
      <c r="I692" s="17">
        <v>17000</v>
      </c>
      <c r="J692" s="17">
        <f t="shared" si="18"/>
        <v>0</v>
      </c>
      <c r="K692" s="17"/>
      <c r="L692" s="16" t="s">
        <v>18</v>
      </c>
      <c r="M692" s="16" t="s">
        <v>22</v>
      </c>
      <c r="N692" s="39"/>
      <c r="O692" s="20"/>
    </row>
    <row r="693" spans="1:15" s="12" customFormat="1" ht="30">
      <c r="A693" s="178" t="s">
        <v>96</v>
      </c>
      <c r="B693" s="75" t="s">
        <v>1223</v>
      </c>
      <c r="C693" s="39" t="s">
        <v>17</v>
      </c>
      <c r="D693" s="236"/>
      <c r="E693" s="236"/>
      <c r="F693" s="236"/>
      <c r="G693" s="236"/>
      <c r="H693" s="40">
        <f>SUM(Tabla13211242[[#This Row],[PRIMER TRIMESTRE]:[CUARTO TRIMESTRE]])</f>
        <v>0</v>
      </c>
      <c r="I693" s="17">
        <v>19000</v>
      </c>
      <c r="J693" s="17">
        <f t="shared" si="18"/>
        <v>0</v>
      </c>
      <c r="K693" s="17"/>
      <c r="L693" s="16" t="s">
        <v>18</v>
      </c>
      <c r="M693" s="16" t="s">
        <v>22</v>
      </c>
      <c r="N693" s="39"/>
      <c r="O693" s="20"/>
    </row>
    <row r="694" spans="1:15" s="12" customFormat="1" ht="30">
      <c r="A694" s="178" t="s">
        <v>96</v>
      </c>
      <c r="B694" s="75" t="s">
        <v>1224</v>
      </c>
      <c r="C694" s="39" t="s">
        <v>17</v>
      </c>
      <c r="D694" s="236"/>
      <c r="E694" s="236"/>
      <c r="F694" s="236"/>
      <c r="G694" s="236"/>
      <c r="H694" s="40">
        <f>SUM(Tabla13211242[[#This Row],[PRIMER TRIMESTRE]:[CUARTO TRIMESTRE]])</f>
        <v>0</v>
      </c>
      <c r="I694" s="17">
        <v>23000</v>
      </c>
      <c r="J694" s="17">
        <f t="shared" si="18"/>
        <v>0</v>
      </c>
      <c r="K694" s="17"/>
      <c r="L694" s="16" t="s">
        <v>18</v>
      </c>
      <c r="M694" s="16" t="s">
        <v>22</v>
      </c>
      <c r="N694" s="39"/>
      <c r="O694" s="20"/>
    </row>
    <row r="695" spans="1:15" s="12" customFormat="1" ht="30">
      <c r="A695" s="178" t="s">
        <v>96</v>
      </c>
      <c r="B695" s="75" t="s">
        <v>1225</v>
      </c>
      <c r="C695" s="39" t="s">
        <v>17</v>
      </c>
      <c r="D695" s="236"/>
      <c r="E695" s="236"/>
      <c r="F695" s="236"/>
      <c r="G695" s="236"/>
      <c r="H695" s="40">
        <f>SUM(Tabla13211242[[#This Row],[PRIMER TRIMESTRE]:[CUARTO TRIMESTRE]])</f>
        <v>0</v>
      </c>
      <c r="I695" s="17">
        <v>30000</v>
      </c>
      <c r="J695" s="17">
        <f t="shared" si="18"/>
        <v>0</v>
      </c>
      <c r="K695" s="17"/>
      <c r="L695" s="16" t="s">
        <v>18</v>
      </c>
      <c r="M695" s="16" t="s">
        <v>22</v>
      </c>
      <c r="N695" s="39"/>
      <c r="O695" s="20"/>
    </row>
    <row r="696" spans="1:15" s="12" customFormat="1" ht="30">
      <c r="A696" s="178" t="s">
        <v>96</v>
      </c>
      <c r="B696" s="75" t="s">
        <v>1226</v>
      </c>
      <c r="C696" s="39" t="s">
        <v>17</v>
      </c>
      <c r="D696" s="236"/>
      <c r="E696" s="236"/>
      <c r="F696" s="236"/>
      <c r="G696" s="236"/>
      <c r="H696" s="40">
        <f>SUM(Tabla13211242[[#This Row],[PRIMER TRIMESTRE]:[CUARTO TRIMESTRE]])</f>
        <v>0</v>
      </c>
      <c r="I696" s="17">
        <v>42345.120000000003</v>
      </c>
      <c r="J696" s="17">
        <f t="shared" ref="J696:J712" si="19">+H696*I696</f>
        <v>0</v>
      </c>
      <c r="K696" s="17"/>
      <c r="L696" s="16" t="s">
        <v>18</v>
      </c>
      <c r="M696" s="16" t="s">
        <v>22</v>
      </c>
      <c r="N696" s="39"/>
      <c r="O696" s="20"/>
    </row>
    <row r="697" spans="1:15" s="12" customFormat="1" ht="30">
      <c r="A697" s="178" t="s">
        <v>96</v>
      </c>
      <c r="B697" s="75" t="s">
        <v>773</v>
      </c>
      <c r="C697" s="39" t="s">
        <v>17</v>
      </c>
      <c r="D697" s="236"/>
      <c r="E697" s="236"/>
      <c r="F697" s="236"/>
      <c r="G697" s="236"/>
      <c r="H697" s="40">
        <f>SUM(Tabla13211242[[#This Row],[PRIMER TRIMESTRE]:[CUARTO TRIMESTRE]])</f>
        <v>0</v>
      </c>
      <c r="I697" s="72">
        <v>500</v>
      </c>
      <c r="J697" s="17">
        <f t="shared" si="19"/>
        <v>0</v>
      </c>
      <c r="K697" s="17"/>
      <c r="L697" s="16" t="s">
        <v>18</v>
      </c>
      <c r="M697" s="16" t="s">
        <v>22</v>
      </c>
      <c r="N697" s="39" t="s">
        <v>418</v>
      </c>
      <c r="O697" s="20"/>
    </row>
    <row r="698" spans="1:15" s="12" customFormat="1" ht="30">
      <c r="A698" s="178" t="s">
        <v>96</v>
      </c>
      <c r="B698" s="75" t="s">
        <v>774</v>
      </c>
      <c r="C698" s="39" t="s">
        <v>17</v>
      </c>
      <c r="D698" s="236"/>
      <c r="E698" s="236"/>
      <c r="F698" s="236"/>
      <c r="G698" s="236"/>
      <c r="H698" s="40">
        <f>SUM(Tabla13211242[[#This Row],[PRIMER TRIMESTRE]:[CUARTO TRIMESTRE]])</f>
        <v>0</v>
      </c>
      <c r="I698" s="72">
        <v>1380</v>
      </c>
      <c r="J698" s="17">
        <f t="shared" si="19"/>
        <v>0</v>
      </c>
      <c r="K698" s="17"/>
      <c r="L698" s="16" t="s">
        <v>18</v>
      </c>
      <c r="M698" s="16" t="s">
        <v>22</v>
      </c>
      <c r="N698" s="39" t="s">
        <v>418</v>
      </c>
      <c r="O698" s="20"/>
    </row>
    <row r="699" spans="1:15" s="12" customFormat="1" ht="30">
      <c r="A699" s="178" t="s">
        <v>96</v>
      </c>
      <c r="B699" s="75" t="s">
        <v>775</v>
      </c>
      <c r="C699" s="39" t="s">
        <v>17</v>
      </c>
      <c r="D699" s="236"/>
      <c r="E699" s="236"/>
      <c r="F699" s="236"/>
      <c r="G699" s="236"/>
      <c r="H699" s="40">
        <f>SUM(Tabla13211242[[#This Row],[PRIMER TRIMESTRE]:[CUARTO TRIMESTRE]])</f>
        <v>0</v>
      </c>
      <c r="I699" s="72">
        <v>3200</v>
      </c>
      <c r="J699" s="17">
        <f t="shared" si="19"/>
        <v>0</v>
      </c>
      <c r="K699" s="17"/>
      <c r="L699" s="16" t="s">
        <v>18</v>
      </c>
      <c r="M699" s="16" t="s">
        <v>22</v>
      </c>
      <c r="N699" s="39" t="s">
        <v>418</v>
      </c>
      <c r="O699" s="20"/>
    </row>
    <row r="700" spans="1:15" s="12" customFormat="1" ht="51">
      <c r="A700" s="178" t="s">
        <v>96</v>
      </c>
      <c r="B700" s="75" t="s">
        <v>1717</v>
      </c>
      <c r="C700" s="39" t="s">
        <v>17</v>
      </c>
      <c r="D700" s="236"/>
      <c r="E700" s="236"/>
      <c r="F700" s="236"/>
      <c r="G700" s="236"/>
      <c r="H700" s="40">
        <v>0</v>
      </c>
      <c r="I700" s="72">
        <v>0</v>
      </c>
      <c r="J700" s="17">
        <v>0</v>
      </c>
      <c r="K700" s="17"/>
      <c r="L700" s="16" t="s">
        <v>18</v>
      </c>
      <c r="M700" s="16" t="s">
        <v>19</v>
      </c>
      <c r="N700" s="39"/>
      <c r="O700" s="20"/>
    </row>
    <row r="701" spans="1:15" s="12" customFormat="1" ht="51">
      <c r="A701" s="178" t="s">
        <v>96</v>
      </c>
      <c r="B701" s="75" t="s">
        <v>1678</v>
      </c>
      <c r="C701" s="39" t="s">
        <v>17</v>
      </c>
      <c r="D701" s="236"/>
      <c r="E701" s="236"/>
      <c r="F701" s="236"/>
      <c r="G701" s="236"/>
      <c r="H701" s="40">
        <v>0</v>
      </c>
      <c r="I701" s="72">
        <v>0</v>
      </c>
      <c r="J701" s="17">
        <v>0</v>
      </c>
      <c r="K701" s="17"/>
      <c r="L701" s="16" t="s">
        <v>18</v>
      </c>
      <c r="M701" s="16" t="s">
        <v>19</v>
      </c>
      <c r="N701" s="39"/>
      <c r="O701" s="20"/>
    </row>
    <row r="702" spans="1:15" s="12" customFormat="1" ht="38.25">
      <c r="A702" s="178" t="s">
        <v>96</v>
      </c>
      <c r="B702" s="75" t="s">
        <v>1715</v>
      </c>
      <c r="C702" s="39" t="s">
        <v>17</v>
      </c>
      <c r="D702" s="236"/>
      <c r="E702" s="236"/>
      <c r="F702" s="236"/>
      <c r="G702" s="236"/>
      <c r="H702" s="40">
        <v>0</v>
      </c>
      <c r="I702" s="72">
        <v>0</v>
      </c>
      <c r="J702" s="17">
        <v>0</v>
      </c>
      <c r="K702" s="17"/>
      <c r="L702" s="16" t="s">
        <v>18</v>
      </c>
      <c r="M702" s="16" t="s">
        <v>19</v>
      </c>
      <c r="N702" s="39"/>
      <c r="O702" s="20"/>
    </row>
    <row r="703" spans="1:15" s="12" customFormat="1" ht="38.25">
      <c r="A703" s="178" t="s">
        <v>96</v>
      </c>
      <c r="B703" s="75" t="s">
        <v>1719</v>
      </c>
      <c r="C703" s="39" t="s">
        <v>17</v>
      </c>
      <c r="D703" s="236"/>
      <c r="E703" s="236"/>
      <c r="F703" s="236"/>
      <c r="G703" s="236"/>
      <c r="H703" s="40">
        <v>0</v>
      </c>
      <c r="I703" s="72">
        <v>0</v>
      </c>
      <c r="J703" s="17">
        <v>0</v>
      </c>
      <c r="K703" s="17"/>
      <c r="L703" s="16" t="s">
        <v>18</v>
      </c>
      <c r="M703" s="16" t="s">
        <v>19</v>
      </c>
      <c r="N703" s="39"/>
      <c r="O703" s="20"/>
    </row>
    <row r="704" spans="1:15" s="12" customFormat="1" ht="38.25">
      <c r="A704" s="178" t="s">
        <v>96</v>
      </c>
      <c r="B704" s="75" t="s">
        <v>816</v>
      </c>
      <c r="C704" s="39" t="s">
        <v>17</v>
      </c>
      <c r="D704" s="236"/>
      <c r="E704" s="210"/>
      <c r="F704" s="236"/>
      <c r="G704" s="236"/>
      <c r="H704" s="40">
        <f>SUM(Tabla13211242[[#This Row],[PRIMER TRIMESTRE]:[CUARTO TRIMESTRE]])</f>
        <v>0</v>
      </c>
      <c r="I704" s="72">
        <v>565000</v>
      </c>
      <c r="J704" s="17">
        <f t="shared" si="19"/>
        <v>0</v>
      </c>
      <c r="K704" s="17"/>
      <c r="L704" s="16" t="s">
        <v>18</v>
      </c>
      <c r="M704" s="16" t="s">
        <v>19</v>
      </c>
      <c r="N704" s="39"/>
      <c r="O704" s="20"/>
    </row>
    <row r="705" spans="1:15" s="12" customFormat="1" ht="38.25">
      <c r="A705" s="178" t="s">
        <v>96</v>
      </c>
      <c r="B705" s="75" t="s">
        <v>817</v>
      </c>
      <c r="C705" s="39" t="s">
        <v>17</v>
      </c>
      <c r="D705" s="236"/>
      <c r="E705" s="210"/>
      <c r="F705" s="236"/>
      <c r="G705" s="236"/>
      <c r="H705" s="40">
        <f>SUM(Tabla13211242[[#This Row],[PRIMER TRIMESTRE]:[CUARTO TRIMESTRE]])</f>
        <v>0</v>
      </c>
      <c r="I705" s="17">
        <v>699235.41</v>
      </c>
      <c r="J705" s="17">
        <f t="shared" si="19"/>
        <v>0</v>
      </c>
      <c r="K705" s="17"/>
      <c r="L705" s="16" t="s">
        <v>18</v>
      </c>
      <c r="M705" s="16" t="s">
        <v>19</v>
      </c>
      <c r="N705" s="39"/>
      <c r="O705" s="20"/>
    </row>
    <row r="706" spans="1:15" s="12" customFormat="1" ht="38.25">
      <c r="A706" s="178" t="s">
        <v>96</v>
      </c>
      <c r="B706" s="75" t="s">
        <v>818</v>
      </c>
      <c r="C706" s="39" t="s">
        <v>17</v>
      </c>
      <c r="D706" s="236"/>
      <c r="E706" s="210"/>
      <c r="F706" s="236"/>
      <c r="G706" s="236"/>
      <c r="H706" s="40">
        <f>SUM(Tabla13211242[[#This Row],[PRIMER TRIMESTRE]:[CUARTO TRIMESTRE]])</f>
        <v>0</v>
      </c>
      <c r="I706" s="17">
        <v>350000</v>
      </c>
      <c r="J706" s="17">
        <f t="shared" si="19"/>
        <v>0</v>
      </c>
      <c r="K706" s="17"/>
      <c r="L706" s="16" t="s">
        <v>18</v>
      </c>
      <c r="M706" s="16" t="s">
        <v>19</v>
      </c>
      <c r="N706" s="39"/>
      <c r="O706" s="20"/>
    </row>
    <row r="707" spans="1:15" s="12" customFormat="1" ht="38.25">
      <c r="A707" s="178" t="s">
        <v>96</v>
      </c>
      <c r="B707" s="75" t="s">
        <v>819</v>
      </c>
      <c r="C707" s="39" t="s">
        <v>17</v>
      </c>
      <c r="D707" s="236"/>
      <c r="E707" s="210"/>
      <c r="F707" s="236"/>
      <c r="G707" s="236"/>
      <c r="H707" s="40">
        <f>SUM(Tabla13211242[[#This Row],[PRIMER TRIMESTRE]:[CUARTO TRIMESTRE]])</f>
        <v>0</v>
      </c>
      <c r="I707" s="17">
        <v>198000</v>
      </c>
      <c r="J707" s="17">
        <f t="shared" si="19"/>
        <v>0</v>
      </c>
      <c r="K707" s="17"/>
      <c r="L707" s="16" t="s">
        <v>18</v>
      </c>
      <c r="M707" s="16" t="s">
        <v>19</v>
      </c>
      <c r="N707" s="39"/>
      <c r="O707" s="20"/>
    </row>
    <row r="708" spans="1:15" s="12" customFormat="1" ht="38.25">
      <c r="A708" s="178" t="s">
        <v>96</v>
      </c>
      <c r="B708" s="75" t="s">
        <v>820</v>
      </c>
      <c r="C708" s="39" t="s">
        <v>17</v>
      </c>
      <c r="D708" s="236"/>
      <c r="E708" s="210"/>
      <c r="F708" s="236"/>
      <c r="G708" s="236"/>
      <c r="H708" s="40">
        <f>SUM(Tabla13211242[[#This Row],[PRIMER TRIMESTRE]:[CUARTO TRIMESTRE]])</f>
        <v>0</v>
      </c>
      <c r="I708" s="17">
        <v>117000</v>
      </c>
      <c r="J708" s="17">
        <f t="shared" si="19"/>
        <v>0</v>
      </c>
      <c r="K708" s="17"/>
      <c r="L708" s="16" t="s">
        <v>18</v>
      </c>
      <c r="M708" s="16" t="s">
        <v>19</v>
      </c>
      <c r="N708" s="39"/>
      <c r="O708" s="20"/>
    </row>
    <row r="709" spans="1:15" s="12" customFormat="1" ht="38.25">
      <c r="A709" s="178" t="s">
        <v>96</v>
      </c>
      <c r="B709" s="75" t="s">
        <v>821</v>
      </c>
      <c r="C709" s="39" t="s">
        <v>17</v>
      </c>
      <c r="D709" s="236"/>
      <c r="E709" s="210"/>
      <c r="F709" s="236"/>
      <c r="G709" s="236"/>
      <c r="H709" s="40">
        <f>SUM(Tabla13211242[[#This Row],[PRIMER TRIMESTRE]:[CUARTO TRIMESTRE]])</f>
        <v>0</v>
      </c>
      <c r="I709" s="17">
        <v>61630.63</v>
      </c>
      <c r="J709" s="17">
        <f t="shared" si="19"/>
        <v>0</v>
      </c>
      <c r="K709" s="17"/>
      <c r="L709" s="16" t="s">
        <v>18</v>
      </c>
      <c r="M709" s="16" t="s">
        <v>19</v>
      </c>
      <c r="N709" s="39"/>
      <c r="O709" s="20"/>
    </row>
    <row r="710" spans="1:15" s="12" customFormat="1" ht="38.25">
      <c r="A710" s="178" t="s">
        <v>96</v>
      </c>
      <c r="B710" s="75" t="s">
        <v>822</v>
      </c>
      <c r="C710" s="39" t="s">
        <v>17</v>
      </c>
      <c r="D710" s="236"/>
      <c r="E710" s="210"/>
      <c r="F710" s="236"/>
      <c r="G710" s="236"/>
      <c r="H710" s="40">
        <f>SUM(Tabla13211242[[#This Row],[PRIMER TRIMESTRE]:[CUARTO TRIMESTRE]])</f>
        <v>0</v>
      </c>
      <c r="I710" s="17">
        <v>54792</v>
      </c>
      <c r="J710" s="17">
        <f t="shared" si="19"/>
        <v>0</v>
      </c>
      <c r="K710" s="17"/>
      <c r="L710" s="16" t="s">
        <v>18</v>
      </c>
      <c r="M710" s="16" t="s">
        <v>19</v>
      </c>
      <c r="N710" s="39"/>
      <c r="O710" s="20"/>
    </row>
    <row r="711" spans="1:15" s="12" customFormat="1" ht="38.25">
      <c r="A711" s="178" t="s">
        <v>96</v>
      </c>
      <c r="B711" s="75" t="s">
        <v>823</v>
      </c>
      <c r="C711" s="39" t="s">
        <v>17</v>
      </c>
      <c r="D711" s="236"/>
      <c r="E711" s="210"/>
      <c r="F711" s="236"/>
      <c r="G711" s="236"/>
      <c r="H711" s="40">
        <f>SUM(Tabla13211242[[#This Row],[PRIMER TRIMESTRE]:[CUARTO TRIMESTRE]])</f>
        <v>0</v>
      </c>
      <c r="I711" s="17">
        <v>49560</v>
      </c>
      <c r="J711" s="17">
        <f t="shared" si="19"/>
        <v>0</v>
      </c>
      <c r="K711" s="17"/>
      <c r="L711" s="16" t="s">
        <v>18</v>
      </c>
      <c r="M711" s="16" t="s">
        <v>19</v>
      </c>
      <c r="N711" s="39"/>
      <c r="O711" s="20"/>
    </row>
    <row r="712" spans="1:15" s="12" customFormat="1" ht="31.5">
      <c r="A712" s="178" t="s">
        <v>96</v>
      </c>
      <c r="B712" s="75" t="s">
        <v>824</v>
      </c>
      <c r="C712" s="39" t="s">
        <v>17</v>
      </c>
      <c r="D712" s="236"/>
      <c r="E712" s="210"/>
      <c r="F712" s="236"/>
      <c r="G712" s="236"/>
      <c r="H712" s="40">
        <f>SUM(Tabla13211242[[#This Row],[PRIMER TRIMESTRE]:[CUARTO TRIMESTRE]])</f>
        <v>0</v>
      </c>
      <c r="I712" s="17">
        <v>46658.86</v>
      </c>
      <c r="J712" s="17">
        <f t="shared" si="19"/>
        <v>0</v>
      </c>
      <c r="K712" s="17"/>
      <c r="L712" s="16" t="s">
        <v>18</v>
      </c>
      <c r="M712" s="16" t="s">
        <v>19</v>
      </c>
      <c r="N712" s="39"/>
      <c r="O712" s="20"/>
    </row>
    <row r="713" spans="1:15" s="12" customFormat="1" ht="31.5">
      <c r="A713" s="178" t="s">
        <v>96</v>
      </c>
      <c r="B713" s="75" t="s">
        <v>1734</v>
      </c>
      <c r="C713" s="39" t="s">
        <v>17</v>
      </c>
      <c r="D713" s="236"/>
      <c r="E713" s="210"/>
      <c r="F713" s="236"/>
      <c r="G713" s="236"/>
      <c r="H713" s="40">
        <v>0</v>
      </c>
      <c r="I713" s="17">
        <v>0</v>
      </c>
      <c r="J713" s="17">
        <v>0</v>
      </c>
      <c r="K713" s="17"/>
      <c r="L713" s="16" t="s">
        <v>18</v>
      </c>
      <c r="M713" s="16" t="s">
        <v>19</v>
      </c>
      <c r="N713" s="39"/>
      <c r="O713" s="20"/>
    </row>
    <row r="714" spans="1:15" s="12" customFormat="1" ht="31.5">
      <c r="A714" s="178" t="s">
        <v>96</v>
      </c>
      <c r="B714" s="75" t="s">
        <v>1733</v>
      </c>
      <c r="C714" s="39" t="s">
        <v>17</v>
      </c>
      <c r="D714" s="236"/>
      <c r="E714" s="210"/>
      <c r="F714" s="236"/>
      <c r="G714" s="236"/>
      <c r="H714" s="40">
        <v>0</v>
      </c>
      <c r="I714" s="17">
        <v>0</v>
      </c>
      <c r="J714" s="17">
        <v>0</v>
      </c>
      <c r="K714" s="17"/>
      <c r="L714" s="16" t="s">
        <v>18</v>
      </c>
      <c r="M714" s="16" t="s">
        <v>19</v>
      </c>
      <c r="N714" s="39"/>
      <c r="O714" s="20"/>
    </row>
    <row r="715" spans="1:15" s="12" customFormat="1" ht="38.25">
      <c r="A715" s="178" t="s">
        <v>96</v>
      </c>
      <c r="B715" s="75" t="s">
        <v>1732</v>
      </c>
      <c r="C715" s="39" t="s">
        <v>17</v>
      </c>
      <c r="D715" s="236"/>
      <c r="E715" s="210"/>
      <c r="F715" s="236"/>
      <c r="G715" s="236"/>
      <c r="H715" s="40">
        <v>0</v>
      </c>
      <c r="I715" s="17">
        <v>0</v>
      </c>
      <c r="J715" s="17">
        <v>0</v>
      </c>
      <c r="K715" s="17"/>
      <c r="L715" s="16" t="s">
        <v>18</v>
      </c>
      <c r="M715" s="16" t="s">
        <v>19</v>
      </c>
      <c r="N715" s="39"/>
      <c r="O715" s="20"/>
    </row>
    <row r="716" spans="1:15" s="12" customFormat="1" ht="31.5">
      <c r="A716" s="178" t="s">
        <v>96</v>
      </c>
      <c r="B716" s="75" t="s">
        <v>825</v>
      </c>
      <c r="C716" s="39" t="s">
        <v>17</v>
      </c>
      <c r="D716" s="236"/>
      <c r="E716" s="210"/>
      <c r="F716" s="236"/>
      <c r="G716" s="236"/>
      <c r="H716" s="40">
        <f>SUM(Tabla13211242[[#This Row],[PRIMER TRIMESTRE]:[CUARTO TRIMESTRE]])</f>
        <v>0</v>
      </c>
      <c r="I716" s="17">
        <v>47216.69</v>
      </c>
      <c r="J716" s="17">
        <v>0</v>
      </c>
      <c r="K716" s="17"/>
      <c r="L716" s="16" t="s">
        <v>18</v>
      </c>
      <c r="M716" s="16" t="s">
        <v>19</v>
      </c>
      <c r="N716" s="39"/>
      <c r="O716" s="20"/>
    </row>
    <row r="717" spans="1:15" s="12" customFormat="1" ht="31.5">
      <c r="A717" s="178" t="s">
        <v>96</v>
      </c>
      <c r="B717" s="75" t="s">
        <v>826</v>
      </c>
      <c r="C717" s="39" t="s">
        <v>17</v>
      </c>
      <c r="D717" s="236"/>
      <c r="E717" s="210"/>
      <c r="F717" s="236"/>
      <c r="G717" s="236"/>
      <c r="H717" s="40">
        <f>SUM(Tabla13211242[[#This Row],[PRIMER TRIMESTRE]:[CUARTO TRIMESTRE]])</f>
        <v>0</v>
      </c>
      <c r="I717" s="17">
        <v>59766.34</v>
      </c>
      <c r="J717" s="17">
        <f t="shared" ref="J717:J780" si="20">+H717*I717</f>
        <v>0</v>
      </c>
      <c r="K717" s="17"/>
      <c r="L717" s="16" t="s">
        <v>18</v>
      </c>
      <c r="M717" s="16" t="s">
        <v>19</v>
      </c>
      <c r="N717" s="39"/>
      <c r="O717" s="20"/>
    </row>
    <row r="718" spans="1:15" s="12" customFormat="1" ht="30">
      <c r="A718" s="178" t="s">
        <v>96</v>
      </c>
      <c r="B718" s="75" t="s">
        <v>1227</v>
      </c>
      <c r="C718" s="39" t="s">
        <v>17</v>
      </c>
      <c r="D718" s="236"/>
      <c r="E718" s="210"/>
      <c r="F718" s="236"/>
      <c r="G718" s="236"/>
      <c r="H718" s="40">
        <f>SUM(Tabla13211242[[#This Row],[PRIMER TRIMESTRE]:[CUARTO TRIMESTRE]])</f>
        <v>0</v>
      </c>
      <c r="I718" s="17">
        <v>56400</v>
      </c>
      <c r="J718" s="17">
        <f t="shared" si="20"/>
        <v>0</v>
      </c>
      <c r="K718" s="17"/>
      <c r="L718" s="16" t="s">
        <v>18</v>
      </c>
      <c r="M718" s="16" t="s">
        <v>22</v>
      </c>
      <c r="N718" s="39"/>
      <c r="O718" s="20"/>
    </row>
    <row r="719" spans="1:15" s="12" customFormat="1" ht="30">
      <c r="A719" s="178" t="s">
        <v>96</v>
      </c>
      <c r="B719" s="75" t="s">
        <v>1228</v>
      </c>
      <c r="C719" s="39" t="s">
        <v>17</v>
      </c>
      <c r="D719" s="236"/>
      <c r="E719" s="210"/>
      <c r="F719" s="236"/>
      <c r="G719" s="236"/>
      <c r="H719" s="40">
        <f>SUM(Tabla13211242[[#This Row],[PRIMER TRIMESTRE]:[CUARTO TRIMESTRE]])</f>
        <v>0</v>
      </c>
      <c r="I719" s="17">
        <v>56400</v>
      </c>
      <c r="J719" s="17">
        <f t="shared" si="20"/>
        <v>0</v>
      </c>
      <c r="K719" s="17"/>
      <c r="L719" s="16" t="s">
        <v>18</v>
      </c>
      <c r="M719" s="16" t="s">
        <v>22</v>
      </c>
      <c r="N719" s="39"/>
      <c r="O719" s="20"/>
    </row>
    <row r="720" spans="1:15" s="12" customFormat="1" ht="30">
      <c r="A720" s="178" t="s">
        <v>96</v>
      </c>
      <c r="B720" s="75" t="s">
        <v>1229</v>
      </c>
      <c r="C720" s="39" t="s">
        <v>17</v>
      </c>
      <c r="D720" s="236"/>
      <c r="E720" s="210"/>
      <c r="F720" s="236"/>
      <c r="G720" s="236"/>
      <c r="H720" s="40">
        <f>SUM(Tabla13211242[[#This Row],[PRIMER TRIMESTRE]:[CUARTO TRIMESTRE]])</f>
        <v>0</v>
      </c>
      <c r="I720" s="17">
        <v>56400</v>
      </c>
      <c r="J720" s="17">
        <f t="shared" si="20"/>
        <v>0</v>
      </c>
      <c r="K720" s="17"/>
      <c r="L720" s="16" t="s">
        <v>18</v>
      </c>
      <c r="M720" s="16" t="s">
        <v>22</v>
      </c>
      <c r="N720" s="39"/>
      <c r="O720" s="20"/>
    </row>
    <row r="721" spans="1:15" s="12" customFormat="1" ht="30">
      <c r="A721" s="178" t="s">
        <v>96</v>
      </c>
      <c r="B721" s="75" t="s">
        <v>827</v>
      </c>
      <c r="C721" s="39" t="s">
        <v>17</v>
      </c>
      <c r="D721" s="236"/>
      <c r="E721" s="210"/>
      <c r="F721" s="236"/>
      <c r="G721" s="236"/>
      <c r="H721" s="40">
        <f>SUM(Tabla13211242[[#This Row],[PRIMER TRIMESTRE]:[CUARTO TRIMESTRE]])</f>
        <v>0</v>
      </c>
      <c r="I721" s="17">
        <v>2415</v>
      </c>
      <c r="J721" s="17">
        <f t="shared" si="20"/>
        <v>0</v>
      </c>
      <c r="K721" s="17"/>
      <c r="L721" s="16" t="s">
        <v>18</v>
      </c>
      <c r="M721" s="16" t="s">
        <v>22</v>
      </c>
      <c r="N721" s="39"/>
      <c r="O721" s="20"/>
    </row>
    <row r="722" spans="1:15" s="12" customFormat="1" ht="30">
      <c r="A722" s="178" t="s">
        <v>96</v>
      </c>
      <c r="B722" s="75" t="s">
        <v>828</v>
      </c>
      <c r="C722" s="39" t="s">
        <v>17</v>
      </c>
      <c r="D722" s="236"/>
      <c r="E722" s="210"/>
      <c r="F722" s="236"/>
      <c r="G722" s="236"/>
      <c r="H722" s="40">
        <f>SUM(Tabla13211242[[#This Row],[PRIMER TRIMESTRE]:[CUARTO TRIMESTRE]])</f>
        <v>0</v>
      </c>
      <c r="I722" s="17">
        <v>3266</v>
      </c>
      <c r="J722" s="17">
        <f t="shared" si="20"/>
        <v>0</v>
      </c>
      <c r="K722" s="17"/>
      <c r="L722" s="16" t="s">
        <v>18</v>
      </c>
      <c r="M722" s="16" t="s">
        <v>22</v>
      </c>
      <c r="N722" s="39"/>
      <c r="O722" s="20"/>
    </row>
    <row r="723" spans="1:15" s="12" customFormat="1" ht="30">
      <c r="A723" s="178" t="s">
        <v>96</v>
      </c>
      <c r="B723" s="75" t="s">
        <v>829</v>
      </c>
      <c r="C723" s="39" t="s">
        <v>17</v>
      </c>
      <c r="D723" s="236"/>
      <c r="E723" s="210"/>
      <c r="F723" s="236"/>
      <c r="G723" s="236"/>
      <c r="H723" s="40">
        <f>SUM(Tabla13211242[[#This Row],[PRIMER TRIMESTRE]:[CUARTO TRIMESTRE]])</f>
        <v>0</v>
      </c>
      <c r="I723" s="17">
        <v>4000</v>
      </c>
      <c r="J723" s="17">
        <f t="shared" si="20"/>
        <v>0</v>
      </c>
      <c r="K723" s="17"/>
      <c r="L723" s="16" t="s">
        <v>18</v>
      </c>
      <c r="M723" s="16" t="s">
        <v>22</v>
      </c>
      <c r="N723" s="39"/>
      <c r="O723" s="20"/>
    </row>
    <row r="724" spans="1:15" s="12" customFormat="1" ht="30">
      <c r="A724" s="178" t="s">
        <v>96</v>
      </c>
      <c r="B724" s="75" t="s">
        <v>830</v>
      </c>
      <c r="C724" s="39" t="s">
        <v>17</v>
      </c>
      <c r="D724" s="236"/>
      <c r="E724" s="210"/>
      <c r="F724" s="236"/>
      <c r="G724" s="236"/>
      <c r="H724" s="40">
        <f>SUM(Tabla13211242[[#This Row],[PRIMER TRIMESTRE]:[CUARTO TRIMESTRE]])</f>
        <v>0</v>
      </c>
      <c r="I724" s="17">
        <v>4957</v>
      </c>
      <c r="J724" s="17">
        <f t="shared" si="20"/>
        <v>0</v>
      </c>
      <c r="K724" s="17"/>
      <c r="L724" s="16" t="s">
        <v>18</v>
      </c>
      <c r="M724" s="16" t="s">
        <v>22</v>
      </c>
      <c r="N724" s="39"/>
      <c r="O724" s="20"/>
    </row>
    <row r="725" spans="1:15" s="12" customFormat="1" ht="30">
      <c r="A725" s="178" t="s">
        <v>96</v>
      </c>
      <c r="B725" s="75" t="s">
        <v>831</v>
      </c>
      <c r="C725" s="39" t="s">
        <v>17</v>
      </c>
      <c r="D725" s="236"/>
      <c r="E725" s="210"/>
      <c r="F725" s="236"/>
      <c r="G725" s="236"/>
      <c r="H725" s="40">
        <f>SUM(Tabla13211242[[#This Row],[PRIMER TRIMESTRE]:[CUARTO TRIMESTRE]])</f>
        <v>0</v>
      </c>
      <c r="I725" s="17">
        <v>5394</v>
      </c>
      <c r="J725" s="17">
        <f t="shared" si="20"/>
        <v>0</v>
      </c>
      <c r="K725" s="17"/>
      <c r="L725" s="16" t="s">
        <v>18</v>
      </c>
      <c r="M725" s="16" t="s">
        <v>22</v>
      </c>
      <c r="N725" s="39"/>
      <c r="O725" s="20"/>
    </row>
    <row r="726" spans="1:15" s="12" customFormat="1" ht="30">
      <c r="A726" s="178" t="s">
        <v>96</v>
      </c>
      <c r="B726" s="75" t="s">
        <v>1511</v>
      </c>
      <c r="C726" s="39" t="s">
        <v>17</v>
      </c>
      <c r="D726" s="236"/>
      <c r="E726" s="236"/>
      <c r="F726" s="236"/>
      <c r="G726" s="236"/>
      <c r="H726" s="236">
        <f>SUM(Tabla13211242[[#This Row],[PRIMER TRIMESTRE]:[CUARTO TRIMESTRE]])</f>
        <v>0</v>
      </c>
      <c r="I726" s="17">
        <v>58148.4</v>
      </c>
      <c r="J726" s="17">
        <f t="shared" si="20"/>
        <v>0</v>
      </c>
      <c r="K726" s="17"/>
      <c r="L726" s="16" t="s">
        <v>18</v>
      </c>
      <c r="M726" s="16" t="s">
        <v>22</v>
      </c>
      <c r="N726" s="39"/>
      <c r="O726" s="20"/>
    </row>
    <row r="727" spans="1:15" s="12" customFormat="1" ht="30">
      <c r="A727" s="178" t="s">
        <v>96</v>
      </c>
      <c r="B727" s="75" t="s">
        <v>1512</v>
      </c>
      <c r="C727" s="236" t="s">
        <v>17</v>
      </c>
      <c r="D727" s="236"/>
      <c r="E727" s="236"/>
      <c r="F727" s="236"/>
      <c r="G727" s="236"/>
      <c r="H727" s="236">
        <f>SUM(Tabla13211242[[#This Row],[PRIMER TRIMESTRE]:[CUARTO TRIMESTRE]])</f>
        <v>0</v>
      </c>
      <c r="I727" s="17">
        <v>3703</v>
      </c>
      <c r="J727" s="17">
        <f t="shared" si="20"/>
        <v>0</v>
      </c>
      <c r="K727" s="17"/>
      <c r="L727" s="16" t="s">
        <v>18</v>
      </c>
      <c r="M727" s="16" t="s">
        <v>22</v>
      </c>
      <c r="N727" s="39"/>
      <c r="O727" s="20"/>
    </row>
    <row r="728" spans="1:15" s="12" customFormat="1" ht="30">
      <c r="A728" s="178" t="s">
        <v>96</v>
      </c>
      <c r="B728" s="75" t="s">
        <v>1513</v>
      </c>
      <c r="C728" s="236" t="s">
        <v>17</v>
      </c>
      <c r="D728" s="236"/>
      <c r="E728" s="236"/>
      <c r="F728" s="236"/>
      <c r="G728" s="236"/>
      <c r="H728" s="236">
        <f>SUM(Tabla13211242[[#This Row],[PRIMER TRIMESTRE]:[CUARTO TRIMESTRE]])</f>
        <v>0</v>
      </c>
      <c r="I728" s="17">
        <v>3703.83</v>
      </c>
      <c r="J728" s="17">
        <f t="shared" si="20"/>
        <v>0</v>
      </c>
      <c r="K728" s="17"/>
      <c r="L728" s="16" t="s">
        <v>18</v>
      </c>
      <c r="M728" s="16" t="s">
        <v>22</v>
      </c>
      <c r="N728" s="39"/>
      <c r="O728" s="20"/>
    </row>
    <row r="729" spans="1:15" s="12" customFormat="1" ht="30">
      <c r="A729" s="178" t="s">
        <v>96</v>
      </c>
      <c r="B729" s="75" t="s">
        <v>1514</v>
      </c>
      <c r="C729" s="236" t="s">
        <v>17</v>
      </c>
      <c r="D729" s="236"/>
      <c r="E729" s="236"/>
      <c r="F729" s="236"/>
      <c r="G729" s="236"/>
      <c r="H729" s="236">
        <f>SUM(Tabla13211242[[#This Row],[PRIMER TRIMESTRE]:[CUARTO TRIMESTRE]])</f>
        <v>0</v>
      </c>
      <c r="I729" s="17">
        <v>4018</v>
      </c>
      <c r="J729" s="17">
        <f t="shared" si="20"/>
        <v>0</v>
      </c>
      <c r="K729" s="17"/>
      <c r="L729" s="16" t="s">
        <v>18</v>
      </c>
      <c r="M729" s="16" t="s">
        <v>22</v>
      </c>
      <c r="N729" s="39"/>
      <c r="O729" s="20"/>
    </row>
    <row r="730" spans="1:15" s="12" customFormat="1" ht="30">
      <c r="A730" s="178" t="s">
        <v>96</v>
      </c>
      <c r="B730" s="75" t="s">
        <v>1721</v>
      </c>
      <c r="C730" s="236" t="s">
        <v>17</v>
      </c>
      <c r="D730" s="236"/>
      <c r="E730" s="236"/>
      <c r="F730" s="236"/>
      <c r="G730" s="236"/>
      <c r="H730" s="40">
        <v>0</v>
      </c>
      <c r="I730" s="17">
        <v>0</v>
      </c>
      <c r="J730" s="17">
        <v>0</v>
      </c>
      <c r="K730" s="17"/>
      <c r="L730" s="16" t="s">
        <v>18</v>
      </c>
      <c r="M730" s="16" t="s">
        <v>22</v>
      </c>
      <c r="N730" s="39"/>
      <c r="O730" s="20"/>
    </row>
    <row r="731" spans="1:15" s="12" customFormat="1" ht="30">
      <c r="A731" s="178" t="s">
        <v>96</v>
      </c>
      <c r="B731" s="75" t="s">
        <v>1515</v>
      </c>
      <c r="C731" s="236" t="s">
        <v>17</v>
      </c>
      <c r="D731" s="236"/>
      <c r="E731" s="236"/>
      <c r="F731" s="236"/>
      <c r="G731" s="236"/>
      <c r="H731" s="236">
        <f>SUM(Tabla13211242[[#This Row],[PRIMER TRIMESTRE]:[CUARTO TRIMESTRE]])</f>
        <v>0</v>
      </c>
      <c r="I731" s="17">
        <v>4500</v>
      </c>
      <c r="J731" s="17">
        <f t="shared" si="20"/>
        <v>0</v>
      </c>
      <c r="K731" s="17"/>
      <c r="L731" s="16" t="s">
        <v>18</v>
      </c>
      <c r="M731" s="16" t="s">
        <v>22</v>
      </c>
      <c r="N731" s="39"/>
      <c r="O731" s="20"/>
    </row>
    <row r="732" spans="1:15" s="12" customFormat="1" ht="30">
      <c r="A732" s="178" t="s">
        <v>96</v>
      </c>
      <c r="B732" s="75" t="s">
        <v>1516</v>
      </c>
      <c r="C732" s="236" t="s">
        <v>17</v>
      </c>
      <c r="D732" s="236"/>
      <c r="E732" s="236"/>
      <c r="F732" s="236"/>
      <c r="G732" s="236"/>
      <c r="H732" s="236">
        <f>SUM(Tabla13211242[[#This Row],[PRIMER TRIMESTRE]:[CUARTO TRIMESTRE]])</f>
        <v>0</v>
      </c>
      <c r="I732" s="17">
        <v>2185</v>
      </c>
      <c r="J732" s="17">
        <f t="shared" si="20"/>
        <v>0</v>
      </c>
      <c r="K732" s="17"/>
      <c r="L732" s="16" t="s">
        <v>18</v>
      </c>
      <c r="M732" s="16" t="s">
        <v>22</v>
      </c>
      <c r="N732" s="39"/>
      <c r="O732" s="20"/>
    </row>
    <row r="733" spans="1:15" s="12" customFormat="1" ht="30">
      <c r="A733" s="178" t="s">
        <v>96</v>
      </c>
      <c r="B733" s="75" t="s">
        <v>1517</v>
      </c>
      <c r="C733" s="236" t="s">
        <v>17</v>
      </c>
      <c r="D733" s="236"/>
      <c r="E733" s="236"/>
      <c r="F733" s="236"/>
      <c r="G733" s="236"/>
      <c r="H733" s="236">
        <f>SUM(Tabla13211242[[#This Row],[PRIMER TRIMESTRE]:[CUARTO TRIMESTRE]])</f>
        <v>0</v>
      </c>
      <c r="I733" s="17">
        <v>2185</v>
      </c>
      <c r="J733" s="17">
        <f t="shared" si="20"/>
        <v>0</v>
      </c>
      <c r="K733" s="17"/>
      <c r="L733" s="16" t="s">
        <v>18</v>
      </c>
      <c r="M733" s="16" t="s">
        <v>22</v>
      </c>
      <c r="N733" s="39"/>
      <c r="O733" s="20"/>
    </row>
    <row r="734" spans="1:15" s="12" customFormat="1" ht="30">
      <c r="A734" s="178" t="s">
        <v>96</v>
      </c>
      <c r="B734" s="75" t="s">
        <v>832</v>
      </c>
      <c r="C734" s="39" t="s">
        <v>17</v>
      </c>
      <c r="D734" s="236"/>
      <c r="E734" s="236"/>
      <c r="F734" s="236"/>
      <c r="G734" s="236"/>
      <c r="H734" s="40">
        <f>SUM(Tabla13211242[[#This Row],[PRIMER TRIMESTRE]:[CUARTO TRIMESTRE]])</f>
        <v>0</v>
      </c>
      <c r="I734" s="17">
        <v>5772</v>
      </c>
      <c r="J734" s="17">
        <f t="shared" si="20"/>
        <v>0</v>
      </c>
      <c r="K734" s="17"/>
      <c r="L734" s="16" t="s">
        <v>18</v>
      </c>
      <c r="M734" s="16" t="s">
        <v>22</v>
      </c>
      <c r="N734" s="39"/>
      <c r="O734" s="20"/>
    </row>
    <row r="735" spans="1:15" s="12" customFormat="1" ht="30">
      <c r="A735" s="178" t="s">
        <v>96</v>
      </c>
      <c r="B735" s="75" t="s">
        <v>833</v>
      </c>
      <c r="C735" s="39" t="s">
        <v>17</v>
      </c>
      <c r="D735" s="236"/>
      <c r="E735" s="236"/>
      <c r="F735" s="236"/>
      <c r="G735" s="236"/>
      <c r="H735" s="40">
        <f>SUM(Tabla13211242[[#This Row],[PRIMER TRIMESTRE]:[CUARTO TRIMESTRE]])</f>
        <v>0</v>
      </c>
      <c r="I735" s="17">
        <v>6168.42</v>
      </c>
      <c r="J735" s="17">
        <f t="shared" si="20"/>
        <v>0</v>
      </c>
      <c r="K735" s="17"/>
      <c r="L735" s="16" t="s">
        <v>18</v>
      </c>
      <c r="M735" s="16" t="s">
        <v>22</v>
      </c>
      <c r="N735" s="39"/>
      <c r="O735" s="20"/>
    </row>
    <row r="736" spans="1:15" s="12" customFormat="1" ht="30">
      <c r="A736" s="178" t="s">
        <v>96</v>
      </c>
      <c r="B736" s="75" t="s">
        <v>834</v>
      </c>
      <c r="C736" s="39" t="s">
        <v>17</v>
      </c>
      <c r="D736" s="236"/>
      <c r="E736" s="236"/>
      <c r="F736" s="236"/>
      <c r="G736" s="236"/>
      <c r="H736" s="40">
        <f>SUM(Tabla13211242[[#This Row],[PRIMER TRIMESTRE]:[CUARTO TRIMESTRE]])</f>
        <v>0</v>
      </c>
      <c r="I736" s="17">
        <v>14000</v>
      </c>
      <c r="J736" s="17">
        <f t="shared" si="20"/>
        <v>0</v>
      </c>
      <c r="K736" s="17"/>
      <c r="L736" s="16" t="s">
        <v>18</v>
      </c>
      <c r="M736" s="16" t="s">
        <v>22</v>
      </c>
      <c r="N736" s="39"/>
      <c r="O736" s="20"/>
    </row>
    <row r="737" spans="1:15" s="12" customFormat="1" ht="30">
      <c r="A737" s="178" t="s">
        <v>96</v>
      </c>
      <c r="B737" s="75" t="s">
        <v>835</v>
      </c>
      <c r="C737" s="39" t="s">
        <v>17</v>
      </c>
      <c r="D737" s="236"/>
      <c r="E737" s="236"/>
      <c r="F737" s="236"/>
      <c r="G737" s="236"/>
      <c r="H737" s="40">
        <f>SUM(Tabla13211242[[#This Row],[PRIMER TRIMESTRE]:[CUARTO TRIMESTRE]])</f>
        <v>0</v>
      </c>
      <c r="I737" s="17">
        <v>15000</v>
      </c>
      <c r="J737" s="17">
        <f t="shared" si="20"/>
        <v>0</v>
      </c>
      <c r="K737" s="17"/>
      <c r="L737" s="16" t="s">
        <v>18</v>
      </c>
      <c r="M737" s="16" t="s">
        <v>22</v>
      </c>
      <c r="N737" s="39"/>
      <c r="O737" s="20"/>
    </row>
    <row r="738" spans="1:15" s="12" customFormat="1" ht="30">
      <c r="A738" s="178" t="s">
        <v>96</v>
      </c>
      <c r="B738" s="75" t="s">
        <v>836</v>
      </c>
      <c r="C738" s="39" t="s">
        <v>17</v>
      </c>
      <c r="D738" s="236"/>
      <c r="E738" s="236"/>
      <c r="F738" s="236"/>
      <c r="G738" s="236"/>
      <c r="H738" s="40">
        <f>SUM(Tabla13211242[[#This Row],[PRIMER TRIMESTRE]:[CUARTO TRIMESTRE]])</f>
        <v>0</v>
      </c>
      <c r="I738" s="17">
        <v>16500</v>
      </c>
      <c r="J738" s="17">
        <f t="shared" si="20"/>
        <v>0</v>
      </c>
      <c r="K738" s="17"/>
      <c r="L738" s="16" t="s">
        <v>18</v>
      </c>
      <c r="M738" s="16" t="s">
        <v>22</v>
      </c>
      <c r="N738" s="39"/>
      <c r="O738" s="20"/>
    </row>
    <row r="739" spans="1:15" s="12" customFormat="1" ht="30">
      <c r="A739" s="178" t="s">
        <v>96</v>
      </c>
      <c r="B739" s="75" t="s">
        <v>1449</v>
      </c>
      <c r="C739" s="39" t="s">
        <v>17</v>
      </c>
      <c r="D739" s="236"/>
      <c r="E739" s="236"/>
      <c r="F739" s="236"/>
      <c r="G739" s="236"/>
      <c r="H739" s="40">
        <f>SUM(Tabla13211242[[#This Row],[PRIMER TRIMESTRE]:[CUARTO TRIMESTRE]])</f>
        <v>0</v>
      </c>
      <c r="I739" s="17">
        <v>20600</v>
      </c>
      <c r="J739" s="17">
        <f t="shared" si="20"/>
        <v>0</v>
      </c>
      <c r="K739" s="17"/>
      <c r="L739" s="16" t="s">
        <v>18</v>
      </c>
      <c r="M739" s="16" t="s">
        <v>22</v>
      </c>
      <c r="N739" s="39"/>
      <c r="O739" s="20"/>
    </row>
    <row r="740" spans="1:15" s="12" customFormat="1" ht="38.25">
      <c r="A740" s="178" t="s">
        <v>96</v>
      </c>
      <c r="B740" s="75" t="s">
        <v>843</v>
      </c>
      <c r="C740" s="39" t="s">
        <v>17</v>
      </c>
      <c r="D740" s="236"/>
      <c r="E740" s="236"/>
      <c r="F740" s="236"/>
      <c r="G740" s="236"/>
      <c r="H740" s="40">
        <f>SUM(Tabla13211242[[#This Row],[PRIMER TRIMESTRE]:[CUARTO TRIMESTRE]])</f>
        <v>0</v>
      </c>
      <c r="I740" s="17">
        <v>4270</v>
      </c>
      <c r="J740" s="17">
        <f t="shared" si="20"/>
        <v>0</v>
      </c>
      <c r="K740" s="17"/>
      <c r="L740" s="16" t="s">
        <v>18</v>
      </c>
      <c r="M740" s="16" t="s">
        <v>22</v>
      </c>
      <c r="N740" s="39"/>
      <c r="O740" s="20"/>
    </row>
    <row r="741" spans="1:15" s="12" customFormat="1" ht="38.25">
      <c r="A741" s="178" t="s">
        <v>96</v>
      </c>
      <c r="B741" s="75" t="s">
        <v>844</v>
      </c>
      <c r="C741" s="39" t="s">
        <v>17</v>
      </c>
      <c r="D741" s="236"/>
      <c r="E741" s="236"/>
      <c r="F741" s="236"/>
      <c r="G741" s="236"/>
      <c r="H741" s="40">
        <f>SUM(Tabla13211242[[#This Row],[PRIMER TRIMESTRE]:[CUARTO TRIMESTRE]])</f>
        <v>0</v>
      </c>
      <c r="I741" s="17">
        <v>4320</v>
      </c>
      <c r="J741" s="17">
        <f t="shared" si="20"/>
        <v>0</v>
      </c>
      <c r="K741" s="17"/>
      <c r="L741" s="16" t="s">
        <v>18</v>
      </c>
      <c r="M741" s="16" t="s">
        <v>22</v>
      </c>
      <c r="N741" s="39"/>
      <c r="O741" s="20"/>
    </row>
    <row r="742" spans="1:15" s="12" customFormat="1" ht="38.25">
      <c r="A742" s="178" t="s">
        <v>96</v>
      </c>
      <c r="B742" s="75" t="s">
        <v>845</v>
      </c>
      <c r="C742" s="39" t="s">
        <v>17</v>
      </c>
      <c r="D742" s="236"/>
      <c r="E742" s="236"/>
      <c r="F742" s="236"/>
      <c r="G742" s="236"/>
      <c r="H742" s="40">
        <f>SUM(Tabla13211242[[#This Row],[PRIMER TRIMESTRE]:[CUARTO TRIMESTRE]])</f>
        <v>0</v>
      </c>
      <c r="I742" s="17">
        <v>4560</v>
      </c>
      <c r="J742" s="17">
        <f t="shared" si="20"/>
        <v>0</v>
      </c>
      <c r="K742" s="17"/>
      <c r="L742" s="16" t="s">
        <v>18</v>
      </c>
      <c r="M742" s="16" t="s">
        <v>22</v>
      </c>
      <c r="N742" s="39"/>
      <c r="O742" s="20"/>
    </row>
    <row r="743" spans="1:15" s="12" customFormat="1" ht="38.25">
      <c r="A743" s="178" t="s">
        <v>96</v>
      </c>
      <c r="B743" s="75" t="s">
        <v>846</v>
      </c>
      <c r="C743" s="39" t="s">
        <v>17</v>
      </c>
      <c r="D743" s="236"/>
      <c r="E743" s="236"/>
      <c r="F743" s="236"/>
      <c r="G743" s="236"/>
      <c r="H743" s="40">
        <f>SUM(Tabla13211242[[#This Row],[PRIMER TRIMESTRE]:[CUARTO TRIMESTRE]])</f>
        <v>0</v>
      </c>
      <c r="I743" s="17">
        <v>5684</v>
      </c>
      <c r="J743" s="17">
        <f t="shared" si="20"/>
        <v>0</v>
      </c>
      <c r="K743" s="17"/>
      <c r="L743" s="16" t="s">
        <v>18</v>
      </c>
      <c r="M743" s="16" t="s">
        <v>22</v>
      </c>
      <c r="N743" s="39"/>
      <c r="O743" s="20"/>
    </row>
    <row r="744" spans="1:15" s="12" customFormat="1" ht="38.25">
      <c r="A744" s="178" t="s">
        <v>96</v>
      </c>
      <c r="B744" s="75" t="s">
        <v>847</v>
      </c>
      <c r="C744" s="39" t="s">
        <v>17</v>
      </c>
      <c r="D744" s="236"/>
      <c r="E744" s="236"/>
      <c r="F744" s="236"/>
      <c r="G744" s="236"/>
      <c r="H744" s="40">
        <f>SUM(Tabla13211242[[#This Row],[PRIMER TRIMESTRE]:[CUARTO TRIMESTRE]])</f>
        <v>0</v>
      </c>
      <c r="I744" s="17">
        <v>5300</v>
      </c>
      <c r="J744" s="17">
        <f t="shared" si="20"/>
        <v>0</v>
      </c>
      <c r="K744" s="17"/>
      <c r="L744" s="16" t="s">
        <v>18</v>
      </c>
      <c r="M744" s="16" t="s">
        <v>22</v>
      </c>
      <c r="N744" s="39"/>
      <c r="O744" s="20"/>
    </row>
    <row r="745" spans="1:15" s="12" customFormat="1" ht="38.25">
      <c r="A745" s="178" t="s">
        <v>96</v>
      </c>
      <c r="B745" s="75" t="s">
        <v>848</v>
      </c>
      <c r="C745" s="39" t="s">
        <v>17</v>
      </c>
      <c r="D745" s="236"/>
      <c r="E745" s="236"/>
      <c r="F745" s="236"/>
      <c r="G745" s="236"/>
      <c r="H745" s="40">
        <f>SUM(Tabla13211242[[#This Row],[PRIMER TRIMESTRE]:[CUARTO TRIMESTRE]])</f>
        <v>0</v>
      </c>
      <c r="I745" s="17">
        <v>4958</v>
      </c>
      <c r="J745" s="17">
        <f t="shared" si="20"/>
        <v>0</v>
      </c>
      <c r="K745" s="17"/>
      <c r="L745" s="16" t="s">
        <v>18</v>
      </c>
      <c r="M745" s="16" t="s">
        <v>22</v>
      </c>
      <c r="N745" s="39"/>
      <c r="O745" s="20"/>
    </row>
    <row r="746" spans="1:15" s="12" customFormat="1" ht="38.25">
      <c r="A746" s="178" t="s">
        <v>96</v>
      </c>
      <c r="B746" s="75" t="s">
        <v>849</v>
      </c>
      <c r="C746" s="39" t="s">
        <v>17</v>
      </c>
      <c r="D746" s="236"/>
      <c r="E746" s="236"/>
      <c r="F746" s="236"/>
      <c r="G746" s="236"/>
      <c r="H746" s="40">
        <f>SUM(Tabla13211242[[#This Row],[PRIMER TRIMESTRE]:[CUARTO TRIMESTRE]])</f>
        <v>0</v>
      </c>
      <c r="I746" s="17">
        <v>6958</v>
      </c>
      <c r="J746" s="17">
        <f t="shared" si="20"/>
        <v>0</v>
      </c>
      <c r="K746" s="17"/>
      <c r="L746" s="16" t="s">
        <v>18</v>
      </c>
      <c r="M746" s="16" t="s">
        <v>22</v>
      </c>
      <c r="N746" s="39"/>
      <c r="O746" s="20"/>
    </row>
    <row r="747" spans="1:15" s="12" customFormat="1" ht="38.25">
      <c r="A747" s="178" t="s">
        <v>96</v>
      </c>
      <c r="B747" s="75" t="s">
        <v>850</v>
      </c>
      <c r="C747" s="39" t="s">
        <v>17</v>
      </c>
      <c r="D747" s="236"/>
      <c r="E747" s="236"/>
      <c r="F747" s="236"/>
      <c r="G747" s="236"/>
      <c r="H747" s="40">
        <f>SUM(Tabla13211242[[#This Row],[PRIMER TRIMESTRE]:[CUARTO TRIMESTRE]])</f>
        <v>0</v>
      </c>
      <c r="I747" s="17">
        <v>7050</v>
      </c>
      <c r="J747" s="17">
        <f t="shared" si="20"/>
        <v>0</v>
      </c>
      <c r="K747" s="17"/>
      <c r="L747" s="16" t="s">
        <v>18</v>
      </c>
      <c r="M747" s="16" t="s">
        <v>22</v>
      </c>
      <c r="N747" s="39"/>
      <c r="O747" s="20"/>
    </row>
    <row r="748" spans="1:15" s="12" customFormat="1" ht="38.25">
      <c r="A748" s="178" t="s">
        <v>96</v>
      </c>
      <c r="B748" s="75" t="s">
        <v>851</v>
      </c>
      <c r="C748" s="39" t="s">
        <v>17</v>
      </c>
      <c r="D748" s="236"/>
      <c r="E748" s="236"/>
      <c r="F748" s="236"/>
      <c r="G748" s="236"/>
      <c r="H748" s="40">
        <f>SUM(Tabla13211242[[#This Row],[PRIMER TRIMESTRE]:[CUARTO TRIMESTRE]])</f>
        <v>0</v>
      </c>
      <c r="I748" s="17">
        <v>7950</v>
      </c>
      <c r="J748" s="17">
        <f t="shared" si="20"/>
        <v>0</v>
      </c>
      <c r="K748" s="17"/>
      <c r="L748" s="16" t="s">
        <v>18</v>
      </c>
      <c r="M748" s="16" t="s">
        <v>22</v>
      </c>
      <c r="N748" s="39"/>
      <c r="O748" s="20"/>
    </row>
    <row r="749" spans="1:15" s="12" customFormat="1" ht="38.25">
      <c r="A749" s="178" t="s">
        <v>96</v>
      </c>
      <c r="B749" s="75" t="s">
        <v>852</v>
      </c>
      <c r="C749" s="39" t="s">
        <v>17</v>
      </c>
      <c r="D749" s="236"/>
      <c r="E749" s="236"/>
      <c r="F749" s="236"/>
      <c r="G749" s="236"/>
      <c r="H749" s="40">
        <f>SUM(Tabla13211242[[#This Row],[PRIMER TRIMESTRE]:[CUARTO TRIMESTRE]])</f>
        <v>0</v>
      </c>
      <c r="I749" s="17">
        <v>8338.15</v>
      </c>
      <c r="J749" s="17">
        <f t="shared" si="20"/>
        <v>0</v>
      </c>
      <c r="K749" s="17"/>
      <c r="L749" s="16" t="s">
        <v>18</v>
      </c>
      <c r="M749" s="16" t="s">
        <v>22</v>
      </c>
      <c r="N749" s="39"/>
      <c r="O749" s="20"/>
    </row>
    <row r="750" spans="1:15" s="12" customFormat="1" ht="38.25">
      <c r="A750" s="178" t="s">
        <v>96</v>
      </c>
      <c r="B750" s="75" t="s">
        <v>853</v>
      </c>
      <c r="C750" s="39" t="s">
        <v>17</v>
      </c>
      <c r="D750" s="236"/>
      <c r="E750" s="236"/>
      <c r="F750" s="236"/>
      <c r="G750" s="236"/>
      <c r="H750" s="40">
        <f>SUM(Tabla13211242[[#This Row],[PRIMER TRIMESTRE]:[CUARTO TRIMESTRE]])</f>
        <v>0</v>
      </c>
      <c r="I750" s="17">
        <v>9900.17</v>
      </c>
      <c r="J750" s="17">
        <f t="shared" si="20"/>
        <v>0</v>
      </c>
      <c r="K750" s="17"/>
      <c r="L750" s="16" t="s">
        <v>18</v>
      </c>
      <c r="M750" s="16" t="s">
        <v>22</v>
      </c>
      <c r="N750" s="39"/>
      <c r="O750" s="20"/>
    </row>
    <row r="751" spans="1:15" s="12" customFormat="1" ht="47.25">
      <c r="A751" s="178" t="s">
        <v>96</v>
      </c>
      <c r="B751" s="16" t="str">
        <f ca="1">+UPPER(Tabla13211242[[#This Row],[DESCRIPCIÓN DE LA COMPRA O CONTRATACIÓN]])</f>
        <v>MONITORES DE FASE A 460 VOLTIOS, CONTRA PÉRDIDA DE FASE E INVERSIÓN DE GIRO CON SU BASE</v>
      </c>
      <c r="C751" s="39" t="s">
        <v>17</v>
      </c>
      <c r="D751" s="236"/>
      <c r="E751" s="236"/>
      <c r="F751" s="236"/>
      <c r="G751" s="236"/>
      <c r="H751" s="40">
        <f>SUM(Tabla13211242[[#This Row],[PRIMER TRIMESTRE]:[CUARTO TRIMESTRE]])</f>
        <v>0</v>
      </c>
      <c r="I751" s="17">
        <v>7500</v>
      </c>
      <c r="J751" s="17">
        <f t="shared" si="20"/>
        <v>0</v>
      </c>
      <c r="K751" s="17"/>
      <c r="L751" s="16" t="s">
        <v>18</v>
      </c>
      <c r="M751" s="16" t="s">
        <v>22</v>
      </c>
      <c r="N751" s="39"/>
      <c r="O751" s="20"/>
    </row>
    <row r="752" spans="1:15" s="12" customFormat="1" ht="47.25">
      <c r="A752" s="178" t="s">
        <v>96</v>
      </c>
      <c r="B752" s="16" t="s">
        <v>1509</v>
      </c>
      <c r="C752" s="39" t="s">
        <v>17</v>
      </c>
      <c r="D752" s="236"/>
      <c r="E752" s="236"/>
      <c r="F752" s="236"/>
      <c r="G752" s="236"/>
      <c r="H752" s="40">
        <f>SUM(Tabla13211242[[#This Row],[PRIMER TRIMESTRE]:[CUARTO TRIMESTRE]])</f>
        <v>0</v>
      </c>
      <c r="I752" s="17">
        <v>5400</v>
      </c>
      <c r="J752" s="17">
        <f t="shared" si="20"/>
        <v>0</v>
      </c>
      <c r="K752" s="17"/>
      <c r="L752" s="16" t="s">
        <v>18</v>
      </c>
      <c r="M752" s="16" t="s">
        <v>22</v>
      </c>
      <c r="N752" s="39"/>
      <c r="O752" s="20"/>
    </row>
    <row r="753" spans="1:15" s="12" customFormat="1" ht="47.25">
      <c r="A753" s="178" t="s">
        <v>96</v>
      </c>
      <c r="B753" s="16" t="str">
        <f ca="1">+UPPER(Tabla13211242[[#This Row],[DESCRIPCIÓN DE LA COMPRA O CONTRATACIÓN]])</f>
        <v>MONITORES DE FASE A 230 VOLTIOS, CONTRA PÉRDIDA DE FASE E INVERSIÓN DE GIRO CON SU BASE</v>
      </c>
      <c r="C753" s="39" t="s">
        <v>17</v>
      </c>
      <c r="D753" s="236"/>
      <c r="E753" s="236"/>
      <c r="F753" s="236"/>
      <c r="G753" s="236"/>
      <c r="H753" s="40">
        <f>SUM(Tabla13211242[[#This Row],[PRIMER TRIMESTRE]:[CUARTO TRIMESTRE]])</f>
        <v>0</v>
      </c>
      <c r="I753" s="17">
        <v>7500</v>
      </c>
      <c r="J753" s="17">
        <f t="shared" si="20"/>
        <v>0</v>
      </c>
      <c r="K753" s="17"/>
      <c r="L753" s="16" t="s">
        <v>18</v>
      </c>
      <c r="M753" s="16" t="s">
        <v>22</v>
      </c>
      <c r="N753" s="39"/>
      <c r="O753" s="20"/>
    </row>
    <row r="754" spans="1:15" s="12" customFormat="1" ht="47.25">
      <c r="A754" s="178" t="s">
        <v>1676</v>
      </c>
      <c r="B754" s="16" t="s">
        <v>1854</v>
      </c>
      <c r="C754" s="39" t="s">
        <v>17</v>
      </c>
      <c r="D754" s="236"/>
      <c r="E754" s="236"/>
      <c r="F754" s="236"/>
      <c r="G754" s="236"/>
      <c r="H754" s="40">
        <v>0</v>
      </c>
      <c r="I754" s="17">
        <v>0</v>
      </c>
      <c r="J754" s="17">
        <v>0</v>
      </c>
      <c r="K754" s="17"/>
      <c r="L754" s="16" t="s">
        <v>18</v>
      </c>
      <c r="M754" s="16" t="s">
        <v>19</v>
      </c>
      <c r="N754" s="39"/>
      <c r="O754" s="20"/>
    </row>
    <row r="755" spans="1:15" s="12" customFormat="1" ht="38.25">
      <c r="A755" s="178" t="s">
        <v>96</v>
      </c>
      <c r="B755" s="75" t="s">
        <v>1695</v>
      </c>
      <c r="C755" s="39" t="s">
        <v>17</v>
      </c>
      <c r="D755" s="236"/>
      <c r="E755" s="236"/>
      <c r="F755" s="236"/>
      <c r="G755" s="236"/>
      <c r="H755" s="40">
        <v>0</v>
      </c>
      <c r="I755" s="17">
        <v>0</v>
      </c>
      <c r="J755" s="17">
        <v>0</v>
      </c>
      <c r="K755" s="17"/>
      <c r="L755" s="16" t="s">
        <v>18</v>
      </c>
      <c r="M755" s="16" t="s">
        <v>19</v>
      </c>
      <c r="N755" s="39"/>
      <c r="O755" s="20"/>
    </row>
    <row r="756" spans="1:15" s="12" customFormat="1" ht="31.5">
      <c r="A756" s="178" t="s">
        <v>96</v>
      </c>
      <c r="B756" s="75" t="s">
        <v>854</v>
      </c>
      <c r="C756" s="39" t="s">
        <v>17</v>
      </c>
      <c r="D756" s="236"/>
      <c r="E756" s="210"/>
      <c r="F756" s="236"/>
      <c r="G756" s="236"/>
      <c r="H756" s="40">
        <f>SUM(Tabla13211242[[#This Row],[PRIMER TRIMESTRE]:[CUARTO TRIMESTRE]])</f>
        <v>0</v>
      </c>
      <c r="I756" s="72">
        <v>16500</v>
      </c>
      <c r="J756" s="17">
        <f t="shared" si="20"/>
        <v>0</v>
      </c>
      <c r="K756" s="17"/>
      <c r="L756" s="16" t="s">
        <v>18</v>
      </c>
      <c r="M756" s="16" t="s">
        <v>19</v>
      </c>
      <c r="N756" s="39"/>
      <c r="O756" s="20"/>
    </row>
    <row r="757" spans="1:15" s="12" customFormat="1" ht="31.5">
      <c r="A757" s="178" t="s">
        <v>96</v>
      </c>
      <c r="B757" s="75" t="s">
        <v>1718</v>
      </c>
      <c r="C757" s="39" t="s">
        <v>17</v>
      </c>
      <c r="D757" s="236"/>
      <c r="E757" s="210"/>
      <c r="F757" s="236"/>
      <c r="G757" s="236"/>
      <c r="H757" s="40">
        <v>0</v>
      </c>
      <c r="I757" s="72">
        <v>0</v>
      </c>
      <c r="J757" s="17">
        <v>0</v>
      </c>
      <c r="K757" s="17"/>
      <c r="L757" s="16" t="s">
        <v>18</v>
      </c>
      <c r="M757" s="16" t="s">
        <v>19</v>
      </c>
      <c r="N757" s="39"/>
      <c r="O757" s="20"/>
    </row>
    <row r="758" spans="1:15" s="12" customFormat="1" ht="31.5">
      <c r="A758" s="178" t="s">
        <v>96</v>
      </c>
      <c r="B758" s="75" t="s">
        <v>855</v>
      </c>
      <c r="C758" s="39" t="s">
        <v>17</v>
      </c>
      <c r="D758" s="236"/>
      <c r="E758" s="236"/>
      <c r="F758" s="236"/>
      <c r="G758" s="236"/>
      <c r="H758" s="40">
        <f>SUM(Tabla13211242[[#This Row],[PRIMER TRIMESTRE]:[CUARTO TRIMESTRE]])</f>
        <v>0</v>
      </c>
      <c r="I758" s="72">
        <v>60000</v>
      </c>
      <c r="J758" s="17">
        <f t="shared" si="20"/>
        <v>0</v>
      </c>
      <c r="K758" s="17"/>
      <c r="L758" s="16" t="s">
        <v>18</v>
      </c>
      <c r="M758" s="16" t="s">
        <v>19</v>
      </c>
      <c r="N758" s="39"/>
      <c r="O758" s="20"/>
    </row>
    <row r="759" spans="1:15" s="12" customFormat="1" ht="47.25">
      <c r="A759" s="178" t="s">
        <v>96</v>
      </c>
      <c r="B759" s="16" t="str">
        <f ca="1">+UPPER(Tabla13211242[[#This Row],[DESCRIPCIÓN DE LA COMPRA O CONTRATACIÓN]])</f>
        <v>MOTORES ELÉCTRICOS SUMERGIBLES, 3Ø, 230 /460 VOLTIOS, 60HZ, 1.15 FS, 3,450 RPM 7.5 HP NEMA 6</v>
      </c>
      <c r="C759" s="39" t="s">
        <v>17</v>
      </c>
      <c r="D759" s="236"/>
      <c r="E759" s="236"/>
      <c r="F759" s="236"/>
      <c r="G759" s="236"/>
      <c r="H759" s="40">
        <f>SUM(Tabla13211242[[#This Row],[PRIMER TRIMESTRE]:[CUARTO TRIMESTRE]])</f>
        <v>0</v>
      </c>
      <c r="I759" s="72">
        <v>81217.84</v>
      </c>
      <c r="J759" s="17">
        <f t="shared" si="20"/>
        <v>0</v>
      </c>
      <c r="K759" s="17"/>
      <c r="L759" s="16" t="s">
        <v>18</v>
      </c>
      <c r="M759" s="16" t="s">
        <v>19</v>
      </c>
      <c r="N759" s="39"/>
      <c r="O759" s="20"/>
    </row>
    <row r="760" spans="1:15" s="12" customFormat="1" ht="47.25">
      <c r="A760" s="178" t="s">
        <v>96</v>
      </c>
      <c r="B760" s="16" t="str">
        <f ca="1">+UPPER(Tabla13211242[[#This Row],[DESCRIPCIÓN DE LA COMPRA O CONTRATACIÓN]])</f>
        <v>MOTORES ELÉCTRICOS SUMERGIBLES, 3Ø, 230 /460 VOLTIOS, 60HZ, 1.15 FS, 3,450 RPM 20 HP NEMA 6</v>
      </c>
      <c r="C760" s="39" t="s">
        <v>17</v>
      </c>
      <c r="D760" s="236"/>
      <c r="E760" s="210"/>
      <c r="F760" s="236"/>
      <c r="G760" s="210"/>
      <c r="H760" s="40">
        <f>SUM(Tabla13211242[[#This Row],[PRIMER TRIMESTRE]:[CUARTO TRIMESTRE]])</f>
        <v>0</v>
      </c>
      <c r="I760" s="17">
        <v>90520</v>
      </c>
      <c r="J760" s="17">
        <f t="shared" si="20"/>
        <v>0</v>
      </c>
      <c r="K760" s="17"/>
      <c r="L760" s="16" t="s">
        <v>18</v>
      </c>
      <c r="M760" s="16" t="s">
        <v>19</v>
      </c>
      <c r="N760" s="39"/>
      <c r="O760" s="20"/>
    </row>
    <row r="761" spans="1:15" s="12" customFormat="1" ht="31.5">
      <c r="A761" s="178" t="s">
        <v>96</v>
      </c>
      <c r="B761" s="75" t="s">
        <v>856</v>
      </c>
      <c r="C761" s="39" t="s">
        <v>17</v>
      </c>
      <c r="D761" s="236"/>
      <c r="E761" s="236"/>
      <c r="F761" s="236"/>
      <c r="G761" s="236"/>
      <c r="H761" s="40">
        <f>SUM(Tabla13211242[[#This Row],[PRIMER TRIMESTRE]:[CUARTO TRIMESTRE]])</f>
        <v>0</v>
      </c>
      <c r="I761" s="17">
        <v>107544.96000000001</v>
      </c>
      <c r="J761" s="17">
        <f t="shared" si="20"/>
        <v>0</v>
      </c>
      <c r="K761" s="17"/>
      <c r="L761" s="16" t="s">
        <v>18</v>
      </c>
      <c r="M761" s="16" t="s">
        <v>19</v>
      </c>
      <c r="N761" s="39"/>
      <c r="O761" s="20"/>
    </row>
    <row r="762" spans="1:15" s="12" customFormat="1" ht="31.5">
      <c r="A762" s="178" t="s">
        <v>96</v>
      </c>
      <c r="B762" s="75" t="s">
        <v>1684</v>
      </c>
      <c r="C762" s="39" t="s">
        <v>17</v>
      </c>
      <c r="D762" s="236"/>
      <c r="E762" s="236"/>
      <c r="F762" s="236"/>
      <c r="G762" s="236"/>
      <c r="H762" s="40">
        <v>0</v>
      </c>
      <c r="I762" s="17">
        <v>0</v>
      </c>
      <c r="J762" s="17">
        <v>0</v>
      </c>
      <c r="K762" s="17"/>
      <c r="L762" s="16" t="s">
        <v>18</v>
      </c>
      <c r="M762" s="16" t="s">
        <v>19</v>
      </c>
      <c r="N762" s="39"/>
      <c r="O762" s="20"/>
    </row>
    <row r="763" spans="1:15" s="12" customFormat="1" ht="31.5">
      <c r="A763" s="178" t="s">
        <v>96</v>
      </c>
      <c r="B763" s="75" t="s">
        <v>1446</v>
      </c>
      <c r="C763" s="39" t="s">
        <v>17</v>
      </c>
      <c r="D763" s="236"/>
      <c r="E763" s="236"/>
      <c r="F763" s="236"/>
      <c r="G763" s="236"/>
      <c r="H763" s="40">
        <f>SUM(Tabla13211242[[#This Row],[PRIMER TRIMESTRE]:[CUARTO TRIMESTRE]])</f>
        <v>0</v>
      </c>
      <c r="I763" s="17">
        <v>132750</v>
      </c>
      <c r="J763" s="17">
        <f t="shared" si="20"/>
        <v>0</v>
      </c>
      <c r="K763" s="17"/>
      <c r="L763" s="16" t="s">
        <v>18</v>
      </c>
      <c r="M763" s="16" t="s">
        <v>19</v>
      </c>
      <c r="N763" s="39"/>
      <c r="O763" s="20"/>
    </row>
    <row r="764" spans="1:15" s="12" customFormat="1" ht="31.5">
      <c r="A764" s="178" t="s">
        <v>96</v>
      </c>
      <c r="B764" s="75" t="s">
        <v>1447</v>
      </c>
      <c r="C764" s="39" t="s">
        <v>17</v>
      </c>
      <c r="D764" s="236"/>
      <c r="E764" s="236"/>
      <c r="F764" s="236"/>
      <c r="G764" s="236"/>
      <c r="H764" s="40">
        <f>SUM(Tabla13211242[[#This Row],[PRIMER TRIMESTRE]:[CUARTO TRIMESTRE]])</f>
        <v>0</v>
      </c>
      <c r="I764" s="17">
        <v>151330</v>
      </c>
      <c r="J764" s="17">
        <f t="shared" si="20"/>
        <v>0</v>
      </c>
      <c r="K764" s="17"/>
      <c r="L764" s="16" t="s">
        <v>18</v>
      </c>
      <c r="M764" s="16" t="s">
        <v>19</v>
      </c>
      <c r="N764" s="39"/>
      <c r="O764" s="20"/>
    </row>
    <row r="765" spans="1:15" s="12" customFormat="1" ht="31.5">
      <c r="A765" s="178" t="s">
        <v>96</v>
      </c>
      <c r="B765" s="75" t="s">
        <v>857</v>
      </c>
      <c r="C765" s="39" t="s">
        <v>17</v>
      </c>
      <c r="D765" s="236"/>
      <c r="E765" s="236"/>
      <c r="F765" s="236"/>
      <c r="G765" s="236"/>
      <c r="H765" s="40">
        <f>SUM(Tabla13211242[[#This Row],[PRIMER TRIMESTRE]:[CUARTO TRIMESTRE]])</f>
        <v>0</v>
      </c>
      <c r="I765" s="17">
        <v>123744.06</v>
      </c>
      <c r="J765" s="17">
        <f t="shared" si="20"/>
        <v>0</v>
      </c>
      <c r="K765" s="17"/>
      <c r="L765" s="16" t="s">
        <v>18</v>
      </c>
      <c r="M765" s="16" t="s">
        <v>19</v>
      </c>
      <c r="N765" s="39"/>
      <c r="O765" s="20"/>
    </row>
    <row r="766" spans="1:15" s="12" customFormat="1" ht="31.5">
      <c r="A766" s="178" t="s">
        <v>96</v>
      </c>
      <c r="B766" s="75" t="s">
        <v>858</v>
      </c>
      <c r="C766" s="39" t="s">
        <v>17</v>
      </c>
      <c r="D766" s="236"/>
      <c r="E766" s="210"/>
      <c r="F766" s="236"/>
      <c r="G766" s="236"/>
      <c r="H766" s="40">
        <f>SUM(Tabla13211242[[#This Row],[PRIMER TRIMESTRE]:[CUARTO TRIMESTRE]])</f>
        <v>0</v>
      </c>
      <c r="I766" s="17">
        <v>135450.07</v>
      </c>
      <c r="J766" s="17">
        <f t="shared" si="20"/>
        <v>0</v>
      </c>
      <c r="K766" s="17"/>
      <c r="L766" s="16" t="s">
        <v>18</v>
      </c>
      <c r="M766" s="16" t="s">
        <v>19</v>
      </c>
      <c r="N766" s="39"/>
      <c r="O766" s="20"/>
    </row>
    <row r="767" spans="1:15" s="12" customFormat="1" ht="31.5">
      <c r="A767" s="178" t="s">
        <v>96</v>
      </c>
      <c r="B767" s="75" t="s">
        <v>859</v>
      </c>
      <c r="C767" s="39" t="s">
        <v>17</v>
      </c>
      <c r="D767" s="236"/>
      <c r="E767" s="210"/>
      <c r="F767" s="236"/>
      <c r="G767" s="236"/>
      <c r="H767" s="40">
        <f>SUM(Tabla13211242[[#This Row],[PRIMER TRIMESTRE]:[CUARTO TRIMESTRE]])</f>
        <v>0</v>
      </c>
      <c r="I767" s="17">
        <v>181838</v>
      </c>
      <c r="J767" s="17">
        <f t="shared" si="20"/>
        <v>0</v>
      </c>
      <c r="K767" s="17"/>
      <c r="L767" s="16" t="s">
        <v>18</v>
      </c>
      <c r="M767" s="16" t="s">
        <v>19</v>
      </c>
      <c r="N767" s="39"/>
      <c r="O767" s="20"/>
    </row>
    <row r="768" spans="1:15" s="12" customFormat="1" ht="31.5">
      <c r="A768" s="178" t="s">
        <v>96</v>
      </c>
      <c r="B768" s="75" t="s">
        <v>860</v>
      </c>
      <c r="C768" s="39" t="s">
        <v>17</v>
      </c>
      <c r="D768" s="236"/>
      <c r="E768" s="210"/>
      <c r="F768" s="236"/>
      <c r="G768" s="236"/>
      <c r="H768" s="40">
        <f>SUM(Tabla13211242[[#This Row],[PRIMER TRIMESTRE]:[CUARTO TRIMESTRE]])</f>
        <v>0</v>
      </c>
      <c r="I768" s="72">
        <v>190640</v>
      </c>
      <c r="J768" s="17">
        <f t="shared" si="20"/>
        <v>0</v>
      </c>
      <c r="K768" s="17"/>
      <c r="L768" s="16" t="s">
        <v>18</v>
      </c>
      <c r="M768" s="16" t="s">
        <v>19</v>
      </c>
      <c r="N768" s="39"/>
      <c r="O768" s="20"/>
    </row>
    <row r="769" spans="1:15" s="12" customFormat="1" ht="31.5">
      <c r="A769" s="178" t="s">
        <v>96</v>
      </c>
      <c r="B769" s="75" t="s">
        <v>861</v>
      </c>
      <c r="C769" s="39" t="s">
        <v>17</v>
      </c>
      <c r="D769" s="236"/>
      <c r="E769" s="210"/>
      <c r="F769" s="236"/>
      <c r="G769" s="236"/>
      <c r="H769" s="40">
        <f>SUM(Tabla13211242[[#This Row],[PRIMER TRIMESTRE]:[CUARTO TRIMESTRE]])</f>
        <v>0</v>
      </c>
      <c r="I769" s="17">
        <v>190640.56</v>
      </c>
      <c r="J769" s="17">
        <f t="shared" si="20"/>
        <v>0</v>
      </c>
      <c r="K769" s="17"/>
      <c r="L769" s="16" t="s">
        <v>18</v>
      </c>
      <c r="M769" s="16" t="s">
        <v>19</v>
      </c>
      <c r="N769" s="39"/>
      <c r="O769" s="20"/>
    </row>
    <row r="770" spans="1:15" s="12" customFormat="1" ht="31.5">
      <c r="A770" s="178" t="s">
        <v>96</v>
      </c>
      <c r="B770" s="75" t="s">
        <v>862</v>
      </c>
      <c r="C770" s="39" t="s">
        <v>17</v>
      </c>
      <c r="D770" s="236"/>
      <c r="E770" s="210"/>
      <c r="F770" s="236"/>
      <c r="G770" s="236"/>
      <c r="H770" s="40">
        <f>SUM(Tabla13211242[[#This Row],[PRIMER TRIMESTRE]:[CUARTO TRIMESTRE]])</f>
        <v>0</v>
      </c>
      <c r="I770" s="17">
        <v>327450</v>
      </c>
      <c r="J770" s="17">
        <f t="shared" si="20"/>
        <v>0</v>
      </c>
      <c r="K770" s="17"/>
      <c r="L770" s="16" t="s">
        <v>18</v>
      </c>
      <c r="M770" s="16" t="s">
        <v>19</v>
      </c>
      <c r="N770" s="39"/>
      <c r="O770" s="20"/>
    </row>
    <row r="771" spans="1:15" s="12" customFormat="1" ht="47.25">
      <c r="A771" s="178" t="s">
        <v>96</v>
      </c>
      <c r="B771" s="16" t="str">
        <f ca="1">+UPPER(Tabla13211242[[#This Row],[DESCRIPCIÓN DE LA COMPRA O CONTRATACIÓN]])</f>
        <v xml:space="preserve">MOTORES ELÉCTRICOS MONOFASICO SUMERGIBLES, 230 VOLTIOS, 3,450 RPM  3 HP CON CAJA DE CONTROLS </v>
      </c>
      <c r="C771" s="39" t="s">
        <v>17</v>
      </c>
      <c r="D771" s="236"/>
      <c r="E771" s="210"/>
      <c r="F771" s="236"/>
      <c r="G771" s="236"/>
      <c r="H771" s="40">
        <f>SUM(Tabla13211242[[#This Row],[PRIMER TRIMESTRE]:[CUARTO TRIMESTRE]])</f>
        <v>0</v>
      </c>
      <c r="I771" s="17">
        <v>36114.370000000003</v>
      </c>
      <c r="J771" s="17">
        <f t="shared" si="20"/>
        <v>0</v>
      </c>
      <c r="K771" s="17"/>
      <c r="L771" s="16" t="s">
        <v>18</v>
      </c>
      <c r="M771" s="16" t="s">
        <v>19</v>
      </c>
      <c r="N771" s="39"/>
      <c r="O771" s="20"/>
    </row>
    <row r="772" spans="1:15" s="12" customFormat="1" ht="47.25">
      <c r="A772" s="178" t="s">
        <v>96</v>
      </c>
      <c r="B772" s="16" t="str">
        <f ca="1">+UPPER(Tabla13211242[[#This Row],[DESCRIPCIÓN DE LA COMPRA O CONTRATACIÓN]])</f>
        <v xml:space="preserve">MOTORES ELÉCTRICOS MONOFASICO SUMERGIBLES, 230 VOLTIOS, 3,450 RPM  5 HP CON CAJA DE CONTROLS </v>
      </c>
      <c r="C772" s="39" t="s">
        <v>17</v>
      </c>
      <c r="D772" s="236"/>
      <c r="E772" s="210"/>
      <c r="F772" s="236"/>
      <c r="G772" s="236"/>
      <c r="H772" s="40">
        <f>SUM(Tabla13211242[[#This Row],[PRIMER TRIMESTRE]:[CUARTO TRIMESTRE]])</f>
        <v>0</v>
      </c>
      <c r="I772" s="17">
        <v>38000</v>
      </c>
      <c r="J772" s="17">
        <f t="shared" si="20"/>
        <v>0</v>
      </c>
      <c r="K772" s="17"/>
      <c r="L772" s="16" t="s">
        <v>18</v>
      </c>
      <c r="M772" s="16" t="s">
        <v>19</v>
      </c>
      <c r="N772" s="39"/>
      <c r="O772" s="20"/>
    </row>
    <row r="773" spans="1:15" s="12" customFormat="1" ht="47.25">
      <c r="A773" s="178" t="s">
        <v>96</v>
      </c>
      <c r="B773" s="16" t="str">
        <f ca="1">+UPPER(Tabla13211242[[#This Row],[DESCRIPCIÓN DE LA COMPRA O CONTRATACIÓN]])</f>
        <v xml:space="preserve">MOTORES ELÉCTRICOS MONOFASICO SUMERGIBLES, 230 VOLTIOS, 3,450 RPM  7.5 HP CON CAJA DE CONTROLS </v>
      </c>
      <c r="C773" s="39" t="s">
        <v>17</v>
      </c>
      <c r="D773" s="236"/>
      <c r="E773" s="210"/>
      <c r="F773" s="236"/>
      <c r="G773" s="236"/>
      <c r="H773" s="40">
        <f>SUM(Tabla13211242[[#This Row],[PRIMER TRIMESTRE]:[CUARTO TRIMESTRE]])</f>
        <v>0</v>
      </c>
      <c r="I773" s="17">
        <v>50164</v>
      </c>
      <c r="J773" s="17">
        <f t="shared" si="20"/>
        <v>0</v>
      </c>
      <c r="K773" s="17"/>
      <c r="L773" s="16" t="s">
        <v>18</v>
      </c>
      <c r="M773" s="16" t="s">
        <v>19</v>
      </c>
      <c r="N773" s="39"/>
      <c r="O773" s="20"/>
    </row>
    <row r="774" spans="1:15" s="12" customFormat="1" ht="47.25">
      <c r="A774" s="178" t="s">
        <v>96</v>
      </c>
      <c r="B774" s="16" t="str">
        <f ca="1">+UPPER(Tabla13211242[[#This Row],[DESCRIPCIÓN DE LA COMPRA O CONTRATACIÓN]])</f>
        <v>ELECTROBOMBAS HORIZONTAL, 0.75HP, 1Ø, 115/230V, TIPO MONOBLOCK,3500 RPM, 20 GPM VS 100 PIES TDH</v>
      </c>
      <c r="C774" s="39" t="s">
        <v>17</v>
      </c>
      <c r="D774" s="236"/>
      <c r="E774" s="236"/>
      <c r="F774" s="236"/>
      <c r="G774" s="236"/>
      <c r="H774" s="40">
        <f>SUM(Tabla13211242[[#This Row],[PRIMER TRIMESTRE]:[CUARTO TRIMESTRE]])</f>
        <v>0</v>
      </c>
      <c r="I774" s="17">
        <v>23570</v>
      </c>
      <c r="J774" s="17">
        <f t="shared" si="20"/>
        <v>0</v>
      </c>
      <c r="K774" s="17"/>
      <c r="L774" s="16" t="s">
        <v>18</v>
      </c>
      <c r="M774" s="16" t="s">
        <v>19</v>
      </c>
      <c r="N774" s="39"/>
      <c r="O774" s="20"/>
    </row>
    <row r="775" spans="1:15" s="12" customFormat="1" ht="31.5">
      <c r="A775" s="178" t="s">
        <v>96</v>
      </c>
      <c r="B775" s="16" t="str">
        <f ca="1">+UPPER(Tabla13211242[[#This Row],[DESCRIPCIÓN DE LA COMPRA O CONTRATACIÓN]])</f>
        <v>ELECTROBOMBAS SUMERGIBLE, 1.00HP, 230V, 1Ø, 60HZ, CON SU CAJA DE CONTROL, 3500 RPM</v>
      </c>
      <c r="C775" s="39" t="s">
        <v>17</v>
      </c>
      <c r="D775" s="236"/>
      <c r="E775" s="236"/>
      <c r="F775" s="236"/>
      <c r="G775" s="236"/>
      <c r="H775" s="40">
        <f>SUM(Tabla13211242[[#This Row],[PRIMER TRIMESTRE]:[CUARTO TRIMESTRE]])</f>
        <v>0</v>
      </c>
      <c r="I775" s="17">
        <v>32670</v>
      </c>
      <c r="J775" s="17">
        <f t="shared" si="20"/>
        <v>0</v>
      </c>
      <c r="K775" s="17"/>
      <c r="L775" s="16" t="s">
        <v>18</v>
      </c>
      <c r="M775" s="16" t="s">
        <v>19</v>
      </c>
      <c r="N775" s="39"/>
      <c r="O775" s="20"/>
    </row>
    <row r="776" spans="1:15" s="12" customFormat="1" ht="30">
      <c r="A776" s="178" t="s">
        <v>96</v>
      </c>
      <c r="B776" s="75" t="s">
        <v>1688</v>
      </c>
      <c r="C776" s="39" t="s">
        <v>17</v>
      </c>
      <c r="D776" s="236"/>
      <c r="E776" s="236"/>
      <c r="F776" s="236"/>
      <c r="G776" s="236"/>
      <c r="H776" s="40">
        <v>0</v>
      </c>
      <c r="I776" s="17">
        <v>0</v>
      </c>
      <c r="J776" s="17">
        <v>0</v>
      </c>
      <c r="K776" s="17"/>
      <c r="L776" s="16" t="s">
        <v>18</v>
      </c>
      <c r="M776" s="16" t="s">
        <v>22</v>
      </c>
      <c r="N776" s="39"/>
      <c r="O776" s="20"/>
    </row>
    <row r="777" spans="1:15" s="12" customFormat="1" ht="30">
      <c r="A777" s="178" t="s">
        <v>96</v>
      </c>
      <c r="B777" s="75" t="s">
        <v>1230</v>
      </c>
      <c r="C777" s="39" t="s">
        <v>17</v>
      </c>
      <c r="D777" s="236"/>
      <c r="E777" s="236"/>
      <c r="F777" s="236"/>
      <c r="G777" s="236"/>
      <c r="H777" s="40">
        <f>SUM(Tabla13211242[[#This Row],[PRIMER TRIMESTRE]:[CUARTO TRIMESTRE]])</f>
        <v>0</v>
      </c>
      <c r="I777" s="17">
        <v>45000</v>
      </c>
      <c r="J777" s="17">
        <f t="shared" si="20"/>
        <v>0</v>
      </c>
      <c r="K777" s="17"/>
      <c r="L777" s="16" t="s">
        <v>18</v>
      </c>
      <c r="M777" s="16" t="s">
        <v>22</v>
      </c>
      <c r="N777" s="39"/>
      <c r="O777" s="20"/>
    </row>
    <row r="778" spans="1:15" s="12" customFormat="1" ht="30">
      <c r="A778" s="178" t="s">
        <v>96</v>
      </c>
      <c r="B778" s="75" t="s">
        <v>1231</v>
      </c>
      <c r="C778" s="39" t="s">
        <v>17</v>
      </c>
      <c r="D778" s="236"/>
      <c r="E778" s="236"/>
      <c r="F778" s="236"/>
      <c r="G778" s="236"/>
      <c r="H778" s="40">
        <f>SUM(Tabla13211242[[#This Row],[PRIMER TRIMESTRE]:[CUARTO TRIMESTRE]])</f>
        <v>0</v>
      </c>
      <c r="I778" s="17">
        <v>48231.23</v>
      </c>
      <c r="J778" s="17">
        <f t="shared" si="20"/>
        <v>0</v>
      </c>
      <c r="K778" s="17"/>
      <c r="L778" s="16" t="s">
        <v>18</v>
      </c>
      <c r="M778" s="16" t="s">
        <v>22</v>
      </c>
      <c r="N778" s="39"/>
      <c r="O778" s="20"/>
    </row>
    <row r="779" spans="1:15" s="12" customFormat="1" ht="30">
      <c r="A779" s="178" t="s">
        <v>96</v>
      </c>
      <c r="B779" s="75" t="s">
        <v>1232</v>
      </c>
      <c r="C779" s="39" t="s">
        <v>17</v>
      </c>
      <c r="D779" s="236"/>
      <c r="E779" s="236"/>
      <c r="F779" s="236"/>
      <c r="G779" s="236"/>
      <c r="H779" s="40">
        <f>SUM(Tabla13211242[[#This Row],[PRIMER TRIMESTRE]:[CUARTO TRIMESTRE]])</f>
        <v>0</v>
      </c>
      <c r="I779" s="17">
        <v>52738.12</v>
      </c>
      <c r="J779" s="17">
        <f t="shared" si="20"/>
        <v>0</v>
      </c>
      <c r="K779" s="17"/>
      <c r="L779" s="16" t="s">
        <v>18</v>
      </c>
      <c r="M779" s="16" t="s">
        <v>22</v>
      </c>
      <c r="N779" s="39"/>
      <c r="O779" s="20"/>
    </row>
    <row r="780" spans="1:15" s="12" customFormat="1" ht="30">
      <c r="A780" s="178" t="s">
        <v>96</v>
      </c>
      <c r="B780" s="75" t="s">
        <v>1233</v>
      </c>
      <c r="C780" s="39" t="s">
        <v>17</v>
      </c>
      <c r="D780" s="236"/>
      <c r="E780" s="236"/>
      <c r="F780" s="236"/>
      <c r="G780" s="236"/>
      <c r="H780" s="40">
        <f>SUM(Tabla13211242[[#This Row],[PRIMER TRIMESTRE]:[CUARTO TRIMESTRE]])</f>
        <v>0</v>
      </c>
      <c r="I780" s="17">
        <v>14726</v>
      </c>
      <c r="J780" s="17">
        <f t="shared" si="20"/>
        <v>0</v>
      </c>
      <c r="K780" s="17"/>
      <c r="L780" s="16" t="s">
        <v>18</v>
      </c>
      <c r="M780" s="16" t="s">
        <v>22</v>
      </c>
      <c r="N780" s="39"/>
      <c r="O780" s="20"/>
    </row>
    <row r="781" spans="1:15" s="12" customFormat="1" ht="30">
      <c r="A781" s="178" t="s">
        <v>96</v>
      </c>
      <c r="B781" s="75" t="s">
        <v>1234</v>
      </c>
      <c r="C781" s="39" t="s">
        <v>17</v>
      </c>
      <c r="D781" s="236"/>
      <c r="E781" s="236"/>
      <c r="F781" s="236"/>
      <c r="G781" s="236"/>
      <c r="H781" s="40">
        <f>SUM(Tabla13211242[[#This Row],[PRIMER TRIMESTRE]:[CUARTO TRIMESTRE]])</f>
        <v>0</v>
      </c>
      <c r="I781" s="17">
        <v>60000</v>
      </c>
      <c r="J781" s="17">
        <f t="shared" ref="J781:J810" si="21">+H781*I781</f>
        <v>0</v>
      </c>
      <c r="K781" s="17"/>
      <c r="L781" s="16" t="s">
        <v>18</v>
      </c>
      <c r="M781" s="16" t="s">
        <v>22</v>
      </c>
      <c r="N781" s="39"/>
      <c r="O781" s="20"/>
    </row>
    <row r="782" spans="1:15" s="12" customFormat="1" ht="38.25">
      <c r="A782" s="178" t="s">
        <v>96</v>
      </c>
      <c r="B782" s="75" t="s">
        <v>1686</v>
      </c>
      <c r="C782" s="39" t="s">
        <v>17</v>
      </c>
      <c r="D782" s="236"/>
      <c r="E782" s="236"/>
      <c r="F782" s="236"/>
      <c r="G782" s="236"/>
      <c r="H782" s="40">
        <v>0</v>
      </c>
      <c r="I782" s="17">
        <v>0</v>
      </c>
      <c r="J782" s="17">
        <v>0</v>
      </c>
      <c r="K782" s="17"/>
      <c r="L782" s="16" t="s">
        <v>18</v>
      </c>
      <c r="M782" s="16" t="s">
        <v>22</v>
      </c>
      <c r="N782" s="39"/>
      <c r="O782" s="20"/>
    </row>
    <row r="783" spans="1:15" s="12" customFormat="1" ht="30">
      <c r="A783" s="178" t="s">
        <v>96</v>
      </c>
      <c r="B783" s="75" t="s">
        <v>1685</v>
      </c>
      <c r="C783" s="39" t="s">
        <v>17</v>
      </c>
      <c r="D783" s="236"/>
      <c r="E783" s="236"/>
      <c r="F783" s="236"/>
      <c r="G783" s="236"/>
      <c r="H783" s="40">
        <v>0</v>
      </c>
      <c r="I783" s="17">
        <v>0</v>
      </c>
      <c r="J783" s="17">
        <v>0</v>
      </c>
      <c r="K783" s="17"/>
      <c r="L783" s="16" t="s">
        <v>18</v>
      </c>
      <c r="M783" s="16" t="s">
        <v>22</v>
      </c>
      <c r="N783" s="39"/>
      <c r="O783" s="20"/>
    </row>
    <row r="784" spans="1:15" s="12" customFormat="1" ht="47.25">
      <c r="A784" s="178" t="s">
        <v>96</v>
      </c>
      <c r="B784" s="16" t="s">
        <v>1689</v>
      </c>
      <c r="C784" s="39" t="s">
        <v>17</v>
      </c>
      <c r="D784" s="236"/>
      <c r="E784" s="236"/>
      <c r="F784" s="236"/>
      <c r="G784" s="236"/>
      <c r="H784" s="40">
        <v>0</v>
      </c>
      <c r="I784" s="17">
        <v>0</v>
      </c>
      <c r="J784" s="17">
        <v>0</v>
      </c>
      <c r="K784" s="17"/>
      <c r="L784" s="16" t="s">
        <v>18</v>
      </c>
      <c r="M784" s="16" t="s">
        <v>22</v>
      </c>
      <c r="N784" s="39"/>
      <c r="O784" s="20"/>
    </row>
    <row r="785" spans="1:15" s="12" customFormat="1" ht="47.25">
      <c r="A785" s="178" t="s">
        <v>96</v>
      </c>
      <c r="B785" s="16" t="s">
        <v>863</v>
      </c>
      <c r="C785" s="39" t="s">
        <v>17</v>
      </c>
      <c r="D785" s="236"/>
      <c r="E785" s="236"/>
      <c r="F785" s="236"/>
      <c r="G785" s="236"/>
      <c r="H785" s="40">
        <f>SUM(Tabla13211242[[#This Row],[PRIMER TRIMESTRE]:[CUARTO TRIMESTRE]])</f>
        <v>0</v>
      </c>
      <c r="I785" s="17">
        <v>24051.94</v>
      </c>
      <c r="J785" s="17">
        <f t="shared" si="21"/>
        <v>0</v>
      </c>
      <c r="K785" s="17"/>
      <c r="L785" s="16" t="s">
        <v>18</v>
      </c>
      <c r="M785" s="16" t="s">
        <v>22</v>
      </c>
      <c r="N785" s="39"/>
      <c r="O785" s="20"/>
    </row>
    <row r="786" spans="1:15" s="12" customFormat="1" ht="47.25">
      <c r="A786" s="178" t="s">
        <v>96</v>
      </c>
      <c r="B786" s="16" t="str">
        <f ca="1">+UPPER(Tabla13211242[[#This Row],[DESCRIPCIÓN DE LA COMPRA O CONTRATACIÓN]])</f>
        <v>TRANSFORMADORES 1Ø, 60HZ, SUMERGIDOS EN ACEITE, 7.2/12.47 KV, 120/240V, TIPO POSTE, HOMOLGADOS CON IDÉNTICA IMPEDANCIA 25 KVA</v>
      </c>
      <c r="C786" s="39" t="s">
        <v>17</v>
      </c>
      <c r="D786" s="236"/>
      <c r="E786" s="236"/>
      <c r="F786" s="236"/>
      <c r="G786" s="236"/>
      <c r="H786" s="40">
        <f>SUM(Tabla13211242[[#This Row],[PRIMER TRIMESTRE]:[CUARTO TRIMESTRE]])</f>
        <v>0</v>
      </c>
      <c r="I786" s="17">
        <v>34220</v>
      </c>
      <c r="J786" s="17">
        <f t="shared" si="21"/>
        <v>0</v>
      </c>
      <c r="K786" s="17"/>
      <c r="L786" s="16" t="s">
        <v>18</v>
      </c>
      <c r="M786" s="16" t="s">
        <v>22</v>
      </c>
      <c r="N786" s="39"/>
      <c r="O786" s="20"/>
    </row>
    <row r="787" spans="1:15" s="12" customFormat="1" ht="63">
      <c r="A787" s="178" t="s">
        <v>96</v>
      </c>
      <c r="B787" s="16" t="str">
        <f ca="1">+UPPER(Tabla13211242[[#This Row],[DESCRIPCIÓN DE LA COMPRA O CONTRATACIÓN]])</f>
        <v>TRANSFORMADORES 1Ø, 60HZ, SUMERGIDOS EN ACEITE, 7.2/12.47 KV, 120/240V, TIPO POSTE, HOMOLGADOS CON IDÉNTICA IMPEDANCIA 37.5 KVA</v>
      </c>
      <c r="C787" s="39" t="s">
        <v>17</v>
      </c>
      <c r="D787" s="236"/>
      <c r="E787" s="236"/>
      <c r="F787" s="236"/>
      <c r="G787" s="236"/>
      <c r="H787" s="40">
        <f>SUM(Tabla13211242[[#This Row],[PRIMER TRIMESTRE]:[CUARTO TRIMESTRE]])</f>
        <v>0</v>
      </c>
      <c r="I787" s="17">
        <v>58875.22</v>
      </c>
      <c r="J787" s="17">
        <f t="shared" si="21"/>
        <v>0</v>
      </c>
      <c r="K787" s="17"/>
      <c r="L787" s="16" t="s">
        <v>18</v>
      </c>
      <c r="M787" s="16" t="s">
        <v>22</v>
      </c>
      <c r="N787" s="39"/>
      <c r="O787" s="20"/>
    </row>
    <row r="788" spans="1:15" s="12" customFormat="1" ht="47.25">
      <c r="A788" s="178" t="s">
        <v>96</v>
      </c>
      <c r="B788" s="73" t="str">
        <f ca="1">+UPPER(Tabla13211242[[#This Row],[DESCRIPCIÓN DE LA COMPRA O CONTRATACIÓN]])</f>
        <v>TRANSFORMADORES 1Ø, 60HZ, SUMERGIDOS EN ACEITE, 7.2/12.47 KV, 240/480V, TIPO POSTE HOMOLGADOS CON IDÉNTICA IMPEDANCIA 15 KVA</v>
      </c>
      <c r="C788" s="39" t="s">
        <v>17</v>
      </c>
      <c r="D788" s="236"/>
      <c r="E788" s="236"/>
      <c r="F788" s="236"/>
      <c r="G788" s="236"/>
      <c r="H788" s="40">
        <f>SUM(Tabla13211242[[#This Row],[PRIMER TRIMESTRE]:[CUARTO TRIMESTRE]])</f>
        <v>0</v>
      </c>
      <c r="I788" s="17">
        <v>25498.09</v>
      </c>
      <c r="J788" s="17">
        <f t="shared" si="21"/>
        <v>0</v>
      </c>
      <c r="K788" s="17"/>
      <c r="L788" s="16" t="s">
        <v>18</v>
      </c>
      <c r="M788" s="16" t="s">
        <v>22</v>
      </c>
      <c r="N788" s="39"/>
      <c r="O788" s="20"/>
    </row>
    <row r="789" spans="1:15" s="12" customFormat="1" ht="47.25">
      <c r="A789" s="178" t="s">
        <v>96</v>
      </c>
      <c r="B789" s="73" t="str">
        <f ca="1">+UPPER(Tabla13211242[[#This Row],[DESCRIPCIÓN DE LA COMPRA O CONTRATACIÓN]])</f>
        <v>TRANSFORMADORES 1Ø, 60HZ, SUMERGIDOS EN ACEITE, 7.2/12.47 KV, 240/480V, TIPO POSTE HOMOLGADOS CON IDÉNTICA IMPEDANCIA 25 KVA</v>
      </c>
      <c r="C789" s="39" t="s">
        <v>17</v>
      </c>
      <c r="D789" s="236"/>
      <c r="E789" s="236"/>
      <c r="F789" s="236"/>
      <c r="G789" s="236"/>
      <c r="H789" s="40">
        <f>SUM(Tabla13211242[[#This Row],[PRIMER TRIMESTRE]:[CUARTO TRIMESTRE]])</f>
        <v>0</v>
      </c>
      <c r="I789" s="17">
        <v>37186.82</v>
      </c>
      <c r="J789" s="17">
        <f t="shared" si="21"/>
        <v>0</v>
      </c>
      <c r="K789" s="17"/>
      <c r="L789" s="16" t="s">
        <v>18</v>
      </c>
      <c r="M789" s="16" t="s">
        <v>22</v>
      </c>
      <c r="N789" s="39"/>
      <c r="O789" s="20"/>
    </row>
    <row r="790" spans="1:15" s="12" customFormat="1" ht="38.25">
      <c r="A790" s="178" t="s">
        <v>96</v>
      </c>
      <c r="B790" s="77" t="s">
        <v>864</v>
      </c>
      <c r="C790" s="39" t="s">
        <v>17</v>
      </c>
      <c r="D790" s="236"/>
      <c r="E790" s="236"/>
      <c r="F790" s="236"/>
      <c r="G790" s="236"/>
      <c r="H790" s="40">
        <f>SUM(Tabla13211242[[#This Row],[PRIMER TRIMESTRE]:[CUARTO TRIMESTRE]])</f>
        <v>0</v>
      </c>
      <c r="I790" s="17">
        <v>44076.54</v>
      </c>
      <c r="J790" s="17">
        <f t="shared" si="21"/>
        <v>0</v>
      </c>
      <c r="K790" s="17"/>
      <c r="L790" s="16" t="s">
        <v>18</v>
      </c>
      <c r="M790" s="16" t="s">
        <v>22</v>
      </c>
      <c r="N790" s="39"/>
      <c r="O790" s="20"/>
    </row>
    <row r="791" spans="1:15" s="12" customFormat="1" ht="38.25">
      <c r="A791" s="178" t="s">
        <v>96</v>
      </c>
      <c r="B791" s="75" t="s">
        <v>865</v>
      </c>
      <c r="C791" s="39" t="s">
        <v>17</v>
      </c>
      <c r="D791" s="236"/>
      <c r="E791" s="236"/>
      <c r="F791" s="236"/>
      <c r="G791" s="236"/>
      <c r="H791" s="40">
        <f>SUM(Tabla13211242[[#This Row],[PRIMER TRIMESTRE]:[CUARTO TRIMESTRE]])</f>
        <v>0</v>
      </c>
      <c r="I791" s="17">
        <v>54061.7</v>
      </c>
      <c r="J791" s="17">
        <f t="shared" si="21"/>
        <v>0</v>
      </c>
      <c r="K791" s="17"/>
      <c r="L791" s="16" t="s">
        <v>18</v>
      </c>
      <c r="M791" s="16" t="s">
        <v>22</v>
      </c>
      <c r="N791" s="39"/>
      <c r="O791" s="20"/>
    </row>
    <row r="792" spans="1:15" s="12" customFormat="1" ht="38.25">
      <c r="A792" s="178" t="s">
        <v>96</v>
      </c>
      <c r="B792" s="75" t="s">
        <v>866</v>
      </c>
      <c r="C792" s="39" t="s">
        <v>17</v>
      </c>
      <c r="D792" s="236"/>
      <c r="E792" s="236"/>
      <c r="F792" s="236"/>
      <c r="G792" s="236"/>
      <c r="H792" s="40">
        <f>SUM(Tabla13211242[[#This Row],[PRIMER TRIMESTRE]:[CUARTO TRIMESTRE]])</f>
        <v>0</v>
      </c>
      <c r="I792" s="17">
        <v>81423.539999999994</v>
      </c>
      <c r="J792" s="17">
        <f t="shared" si="21"/>
        <v>0</v>
      </c>
      <c r="K792" s="17"/>
      <c r="L792" s="16" t="s">
        <v>18</v>
      </c>
      <c r="M792" s="16" t="s">
        <v>22</v>
      </c>
      <c r="N792" s="39"/>
      <c r="O792" s="20"/>
    </row>
    <row r="793" spans="1:15" s="12" customFormat="1" ht="63">
      <c r="A793" s="178" t="s">
        <v>96</v>
      </c>
      <c r="B793" s="16" t="str">
        <f ca="1">+UPPER(Tabla13211242[[#This Row],[DESCRIPCIÓN DE LA COMPRA O CONTRATACIÓN]])</f>
        <v>TRANSFORMADORES 1Ø, 60HZ, SUMERGIDOS EN ACEITE, 7.2/12.47 KV, 240/480V, TIPO POSTE HOMOLGADOS CON IDÉNTICA IMPEDANCIA 100 KVA</v>
      </c>
      <c r="C793" s="39" t="s">
        <v>17</v>
      </c>
      <c r="D793" s="236"/>
      <c r="E793" s="236"/>
      <c r="F793" s="236"/>
      <c r="G793" s="236"/>
      <c r="H793" s="40">
        <f>SUM(Tabla13211242[[#This Row],[PRIMER TRIMESTRE]:[CUARTO TRIMESTRE]])</f>
        <v>0</v>
      </c>
      <c r="I793" s="17">
        <v>108938.74</v>
      </c>
      <c r="J793" s="17">
        <f t="shared" si="21"/>
        <v>0</v>
      </c>
      <c r="K793" s="17"/>
      <c r="L793" s="16" t="s">
        <v>18</v>
      </c>
      <c r="M793" s="16" t="s">
        <v>22</v>
      </c>
      <c r="N793" s="39"/>
      <c r="O793" s="20"/>
    </row>
    <row r="794" spans="1:15" s="12" customFormat="1" ht="38.25">
      <c r="A794" s="178" t="s">
        <v>96</v>
      </c>
      <c r="B794" s="75" t="s">
        <v>867</v>
      </c>
      <c r="C794" s="39" t="s">
        <v>17</v>
      </c>
      <c r="D794" s="236"/>
      <c r="E794" s="236"/>
      <c r="F794" s="236"/>
      <c r="G794" s="236"/>
      <c r="H794" s="40">
        <f>SUM(Tabla13211242[[#This Row],[PRIMER TRIMESTRE]:[CUARTO TRIMESTRE]])</f>
        <v>0</v>
      </c>
      <c r="I794" s="17">
        <v>160529.56</v>
      </c>
      <c r="J794" s="17">
        <f t="shared" si="21"/>
        <v>0</v>
      </c>
      <c r="K794" s="17"/>
      <c r="L794" s="16" t="s">
        <v>18</v>
      </c>
      <c r="M794" s="16" t="s">
        <v>22</v>
      </c>
      <c r="N794" s="39"/>
      <c r="O794" s="20"/>
    </row>
    <row r="795" spans="1:15" s="12" customFormat="1" ht="38.25">
      <c r="A795" s="178" t="s">
        <v>96</v>
      </c>
      <c r="B795" s="75" t="s">
        <v>871</v>
      </c>
      <c r="C795" s="39" t="s">
        <v>17</v>
      </c>
      <c r="D795" s="236"/>
      <c r="E795" s="236"/>
      <c r="F795" s="236"/>
      <c r="G795" s="236"/>
      <c r="H795" s="40">
        <f>SUM(Tabla13211242[[#This Row],[PRIMER TRIMESTRE]:[CUARTO TRIMESTRE]])</f>
        <v>0</v>
      </c>
      <c r="I795" s="17">
        <v>2995.96</v>
      </c>
      <c r="J795" s="17">
        <f t="shared" si="21"/>
        <v>0</v>
      </c>
      <c r="K795" s="17"/>
      <c r="L795" s="16" t="s">
        <v>18</v>
      </c>
      <c r="M795" s="16" t="s">
        <v>22</v>
      </c>
      <c r="N795" s="39"/>
      <c r="O795" s="20"/>
    </row>
    <row r="796" spans="1:15" s="12" customFormat="1" ht="38.25">
      <c r="A796" s="178" t="s">
        <v>96</v>
      </c>
      <c r="B796" s="75" t="s">
        <v>872</v>
      </c>
      <c r="C796" s="39" t="s">
        <v>17</v>
      </c>
      <c r="D796" s="236"/>
      <c r="E796" s="236"/>
      <c r="F796" s="236"/>
      <c r="G796" s="236"/>
      <c r="H796" s="40">
        <f>SUM(Tabla13211242[[#This Row],[PRIMER TRIMESTRE]:[CUARTO TRIMESTRE]])</f>
        <v>0</v>
      </c>
      <c r="I796" s="17">
        <v>3986.24</v>
      </c>
      <c r="J796" s="17">
        <f t="shared" si="21"/>
        <v>0</v>
      </c>
      <c r="K796" s="17"/>
      <c r="L796" s="16" t="s">
        <v>18</v>
      </c>
      <c r="M796" s="16" t="s">
        <v>22</v>
      </c>
      <c r="N796" s="39"/>
      <c r="O796" s="20"/>
    </row>
    <row r="797" spans="1:15" s="12" customFormat="1" ht="38.25">
      <c r="A797" s="178" t="s">
        <v>96</v>
      </c>
      <c r="B797" s="75" t="s">
        <v>873</v>
      </c>
      <c r="C797" s="39" t="s">
        <v>17</v>
      </c>
      <c r="D797" s="236"/>
      <c r="E797" s="236"/>
      <c r="F797" s="236"/>
      <c r="G797" s="236"/>
      <c r="H797" s="40">
        <f>SUM(Tabla13211242[[#This Row],[PRIMER TRIMESTRE]:[CUARTO TRIMESTRE]])</f>
        <v>0</v>
      </c>
      <c r="I797" s="17">
        <v>6982.2</v>
      </c>
      <c r="J797" s="17">
        <f t="shared" si="21"/>
        <v>0</v>
      </c>
      <c r="K797" s="17"/>
      <c r="L797" s="16" t="s">
        <v>18</v>
      </c>
      <c r="M797" s="16" t="s">
        <v>22</v>
      </c>
      <c r="N797" s="39"/>
      <c r="O797" s="20"/>
    </row>
    <row r="798" spans="1:15" s="12" customFormat="1" ht="30">
      <c r="A798" s="178" t="s">
        <v>96</v>
      </c>
      <c r="B798" s="75" t="s">
        <v>1437</v>
      </c>
      <c r="C798" s="39" t="s">
        <v>1438</v>
      </c>
      <c r="D798" s="236"/>
      <c r="E798" s="236"/>
      <c r="F798" s="236"/>
      <c r="G798" s="236"/>
      <c r="H798" s="40">
        <f>SUM(Tabla13211242[[#This Row],[PRIMER TRIMESTRE]:[CUARTO TRIMESTRE]])</f>
        <v>0</v>
      </c>
      <c r="I798" s="17">
        <v>554145.56999999995</v>
      </c>
      <c r="J798" s="17">
        <f t="shared" si="21"/>
        <v>0</v>
      </c>
      <c r="K798" s="17"/>
      <c r="L798" s="16" t="s">
        <v>18</v>
      </c>
      <c r="M798" s="16" t="s">
        <v>22</v>
      </c>
      <c r="N798" s="39"/>
      <c r="O798" s="20"/>
    </row>
    <row r="799" spans="1:15" s="12" customFormat="1" ht="30">
      <c r="A799" s="178" t="s">
        <v>96</v>
      </c>
      <c r="B799" s="75" t="s">
        <v>1450</v>
      </c>
      <c r="C799" s="39" t="s">
        <v>17</v>
      </c>
      <c r="D799" s="236"/>
      <c r="E799" s="236"/>
      <c r="F799" s="236"/>
      <c r="G799" s="236"/>
      <c r="H799" s="40">
        <f>SUM(Tabla13211242[[#This Row],[PRIMER TRIMESTRE]:[CUARTO TRIMESTRE]])</f>
        <v>0</v>
      </c>
      <c r="I799" s="17">
        <v>6950.29</v>
      </c>
      <c r="J799" s="17">
        <f t="shared" si="21"/>
        <v>0</v>
      </c>
      <c r="K799" s="17"/>
      <c r="L799" s="16" t="s">
        <v>18</v>
      </c>
      <c r="M799" s="16" t="s">
        <v>22</v>
      </c>
      <c r="N799" s="39"/>
      <c r="O799" s="20"/>
    </row>
    <row r="800" spans="1:15" s="12" customFormat="1" ht="30">
      <c r="A800" s="178" t="s">
        <v>96</v>
      </c>
      <c r="B800" s="75" t="s">
        <v>1524</v>
      </c>
      <c r="C800" s="39" t="s">
        <v>17</v>
      </c>
      <c r="D800" s="236"/>
      <c r="E800" s="236"/>
      <c r="F800" s="236"/>
      <c r="G800" s="236"/>
      <c r="H800" s="236">
        <f>SUM(Tabla13211242[[#This Row],[PRIMER TRIMESTRE]:[CUARTO TRIMESTRE]])</f>
        <v>0</v>
      </c>
      <c r="I800" s="17">
        <v>38300</v>
      </c>
      <c r="J800" s="17">
        <f t="shared" si="21"/>
        <v>0</v>
      </c>
      <c r="K800" s="17"/>
      <c r="L800" s="16" t="s">
        <v>18</v>
      </c>
      <c r="M800" s="16" t="s">
        <v>22</v>
      </c>
      <c r="N800" s="39"/>
      <c r="O800" s="20"/>
    </row>
    <row r="801" spans="1:15" s="12" customFormat="1" ht="30">
      <c r="A801" s="178" t="s">
        <v>96</v>
      </c>
      <c r="B801" s="75" t="s">
        <v>1728</v>
      </c>
      <c r="C801" s="39" t="s">
        <v>17</v>
      </c>
      <c r="D801" s="236"/>
      <c r="E801" s="236"/>
      <c r="F801" s="236"/>
      <c r="G801" s="236"/>
      <c r="H801" s="40">
        <v>0</v>
      </c>
      <c r="I801" s="17">
        <v>0</v>
      </c>
      <c r="J801" s="17">
        <v>0</v>
      </c>
      <c r="K801" s="17"/>
      <c r="L801" s="16" t="s">
        <v>18</v>
      </c>
      <c r="M801" s="16" t="s">
        <v>22</v>
      </c>
      <c r="N801" s="39"/>
      <c r="O801" s="20"/>
    </row>
    <row r="802" spans="1:15" s="12" customFormat="1" ht="51">
      <c r="A802" s="178" t="s">
        <v>96</v>
      </c>
      <c r="B802" s="75" t="s">
        <v>1525</v>
      </c>
      <c r="C802" s="39" t="s">
        <v>17</v>
      </c>
      <c r="D802" s="236"/>
      <c r="E802" s="236"/>
      <c r="F802" s="236"/>
      <c r="G802" s="236"/>
      <c r="H802" s="236">
        <f>SUM(Tabla13211242[[#This Row],[PRIMER TRIMESTRE]:[CUARTO TRIMESTRE]])</f>
        <v>0</v>
      </c>
      <c r="I802" s="17">
        <v>251461</v>
      </c>
      <c r="J802" s="17">
        <f t="shared" si="21"/>
        <v>0</v>
      </c>
      <c r="K802" s="17"/>
      <c r="L802" s="16" t="s">
        <v>18</v>
      </c>
      <c r="M802" s="16" t="s">
        <v>22</v>
      </c>
      <c r="N802" s="39"/>
      <c r="O802" s="20"/>
    </row>
    <row r="803" spans="1:15" s="12" customFormat="1" ht="30">
      <c r="A803" s="178" t="s">
        <v>96</v>
      </c>
      <c r="B803" s="75" t="s">
        <v>1523</v>
      </c>
      <c r="C803" s="39" t="s">
        <v>17</v>
      </c>
      <c r="D803" s="236"/>
      <c r="E803" s="236"/>
      <c r="F803" s="236"/>
      <c r="G803" s="236"/>
      <c r="H803" s="236">
        <f>SUM(Tabla13211242[[#This Row],[PRIMER TRIMESTRE]:[CUARTO TRIMESTRE]])</f>
        <v>0</v>
      </c>
      <c r="I803" s="17">
        <v>11200</v>
      </c>
      <c r="J803" s="17">
        <f t="shared" si="21"/>
        <v>0</v>
      </c>
      <c r="K803" s="17"/>
      <c r="L803" s="16" t="s">
        <v>18</v>
      </c>
      <c r="M803" s="16" t="s">
        <v>22</v>
      </c>
      <c r="N803" s="39"/>
      <c r="O803" s="20"/>
    </row>
    <row r="804" spans="1:15" s="12" customFormat="1" ht="30">
      <c r="A804" s="178" t="s">
        <v>96</v>
      </c>
      <c r="B804" s="75" t="s">
        <v>1758</v>
      </c>
      <c r="C804" s="39" t="s">
        <v>17</v>
      </c>
      <c r="D804" s="236"/>
      <c r="E804" s="236"/>
      <c r="F804" s="236"/>
      <c r="G804" s="236"/>
      <c r="H804" s="40">
        <v>0</v>
      </c>
      <c r="I804" s="17">
        <v>0</v>
      </c>
      <c r="J804" s="17">
        <v>0</v>
      </c>
      <c r="K804" s="17"/>
      <c r="L804" s="16" t="s">
        <v>18</v>
      </c>
      <c r="M804" s="16" t="s">
        <v>22</v>
      </c>
      <c r="N804" s="39"/>
      <c r="O804" s="20"/>
    </row>
    <row r="805" spans="1:15" s="12" customFormat="1" ht="30">
      <c r="A805" s="178" t="s">
        <v>96</v>
      </c>
      <c r="B805" s="75" t="s">
        <v>1510</v>
      </c>
      <c r="C805" s="39" t="s">
        <v>17</v>
      </c>
      <c r="D805" s="236"/>
      <c r="E805" s="236"/>
      <c r="F805" s="236"/>
      <c r="G805" s="236"/>
      <c r="H805" s="236">
        <f>SUM(Tabla13211242[[#This Row],[PRIMER TRIMESTRE]:[CUARTO TRIMESTRE]])</f>
        <v>0</v>
      </c>
      <c r="I805" s="17">
        <v>250</v>
      </c>
      <c r="J805" s="17">
        <f t="shared" si="21"/>
        <v>0</v>
      </c>
      <c r="K805" s="17"/>
      <c r="L805" s="16" t="s">
        <v>18</v>
      </c>
      <c r="M805" s="16" t="s">
        <v>22</v>
      </c>
      <c r="N805" s="39"/>
      <c r="O805" s="20"/>
    </row>
    <row r="806" spans="1:15" s="12" customFormat="1" ht="30">
      <c r="A806" s="178" t="s">
        <v>96</v>
      </c>
      <c r="B806" s="75" t="s">
        <v>1611</v>
      </c>
      <c r="C806" s="39" t="s">
        <v>17</v>
      </c>
      <c r="D806" s="236"/>
      <c r="E806" s="236"/>
      <c r="F806" s="236"/>
      <c r="G806" s="236"/>
      <c r="H806" s="236">
        <f>SUM(Tabla13211242[[#This Row],[PRIMER TRIMESTRE]:[CUARTO TRIMESTRE]])</f>
        <v>0</v>
      </c>
      <c r="I806" s="17">
        <v>36000</v>
      </c>
      <c r="J806" s="17">
        <f t="shared" si="21"/>
        <v>0</v>
      </c>
      <c r="K806" s="17"/>
      <c r="L806" s="16" t="s">
        <v>18</v>
      </c>
      <c r="M806" s="16" t="s">
        <v>22</v>
      </c>
      <c r="N806" s="39"/>
      <c r="O806" s="20"/>
    </row>
    <row r="807" spans="1:15" s="12" customFormat="1" ht="30">
      <c r="A807" s="178" t="s">
        <v>96</v>
      </c>
      <c r="B807" s="75" t="s">
        <v>1714</v>
      </c>
      <c r="C807" s="39" t="s">
        <v>17</v>
      </c>
      <c r="D807" s="236"/>
      <c r="E807" s="236"/>
      <c r="F807" s="236"/>
      <c r="G807" s="236"/>
      <c r="H807" s="40">
        <v>0</v>
      </c>
      <c r="I807" s="17">
        <v>0</v>
      </c>
      <c r="J807" s="17">
        <v>0</v>
      </c>
      <c r="K807" s="17"/>
      <c r="L807" s="16" t="s">
        <v>18</v>
      </c>
      <c r="M807" s="16" t="s">
        <v>22</v>
      </c>
      <c r="N807" s="39"/>
      <c r="O807" s="20"/>
    </row>
    <row r="808" spans="1:15" s="12" customFormat="1" ht="30">
      <c r="A808" s="178" t="s">
        <v>96</v>
      </c>
      <c r="B808" s="75" t="s">
        <v>1744</v>
      </c>
      <c r="C808" s="39" t="s">
        <v>17</v>
      </c>
      <c r="D808" s="236"/>
      <c r="E808" s="236"/>
      <c r="F808" s="236"/>
      <c r="G808" s="236"/>
      <c r="H808" s="40">
        <v>0</v>
      </c>
      <c r="I808" s="17">
        <v>6950</v>
      </c>
      <c r="J808" s="17">
        <f>Tabla13211242[[#This Row],[PRECIO UNITARIO ESTIMADO]]*Tabla13211242[[#This Row],[CANTIDAD TOTAL]]</f>
        <v>0</v>
      </c>
      <c r="K808" s="17"/>
      <c r="L808" s="16" t="s">
        <v>18</v>
      </c>
      <c r="M808" s="16" t="s">
        <v>22</v>
      </c>
      <c r="N808" s="39"/>
      <c r="O808" s="20"/>
    </row>
    <row r="809" spans="1:15" s="26" customFormat="1" ht="30">
      <c r="A809" s="178" t="s">
        <v>96</v>
      </c>
      <c r="B809" s="75" t="s">
        <v>1521</v>
      </c>
      <c r="C809" s="39" t="s">
        <v>17</v>
      </c>
      <c r="D809" s="236"/>
      <c r="E809" s="236"/>
      <c r="F809" s="236"/>
      <c r="G809" s="236"/>
      <c r="H809" s="236">
        <f>SUM(Tabla13211242[[#This Row],[PRIMER TRIMESTRE]:[CUARTO TRIMESTRE]])</f>
        <v>0</v>
      </c>
      <c r="I809" s="17">
        <v>109000</v>
      </c>
      <c r="J809" s="17">
        <f t="shared" si="21"/>
        <v>0</v>
      </c>
      <c r="K809" s="17"/>
      <c r="L809" s="16" t="s">
        <v>18</v>
      </c>
      <c r="M809" s="16" t="s">
        <v>22</v>
      </c>
      <c r="N809" s="39"/>
      <c r="O809" s="23"/>
    </row>
    <row r="810" spans="1:15" s="12" customFormat="1" ht="30">
      <c r="A810" s="178" t="s">
        <v>96</v>
      </c>
      <c r="B810" s="75" t="s">
        <v>1522</v>
      </c>
      <c r="C810" s="39" t="s">
        <v>17</v>
      </c>
      <c r="D810" s="236"/>
      <c r="E810" s="236"/>
      <c r="F810" s="236"/>
      <c r="G810" s="236"/>
      <c r="H810" s="236">
        <f>SUM(Tabla13211242[[#This Row],[PRIMER TRIMESTRE]:[CUARTO TRIMESTRE]])</f>
        <v>0</v>
      </c>
      <c r="I810" s="17">
        <v>2760</v>
      </c>
      <c r="J810" s="17">
        <f t="shared" si="21"/>
        <v>0</v>
      </c>
      <c r="K810" s="17"/>
      <c r="L810" s="16" t="s">
        <v>18</v>
      </c>
      <c r="M810" s="16" t="s">
        <v>22</v>
      </c>
      <c r="N810" s="39"/>
      <c r="O810" s="20"/>
    </row>
    <row r="811" spans="1:15" s="12" customFormat="1" ht="31.5">
      <c r="A811" s="287" t="s">
        <v>96</v>
      </c>
      <c r="B811" s="76"/>
      <c r="C811" s="42"/>
      <c r="D811" s="237"/>
      <c r="E811" s="237"/>
      <c r="F811" s="237"/>
      <c r="G811" s="237"/>
      <c r="H811" s="43"/>
      <c r="I811" s="24"/>
      <c r="J811" s="24"/>
      <c r="K811" s="25">
        <f>SUM(J608:J810)</f>
        <v>0</v>
      </c>
      <c r="L811" s="23"/>
      <c r="M811" s="23"/>
      <c r="N811" s="42"/>
      <c r="O811" s="20"/>
    </row>
    <row r="812" spans="1:15" s="12" customFormat="1" ht="18">
      <c r="A812" s="178" t="s">
        <v>97</v>
      </c>
      <c r="B812" s="75" t="s">
        <v>1855</v>
      </c>
      <c r="C812" s="412" t="s">
        <v>17</v>
      </c>
      <c r="D812" s="412"/>
      <c r="E812" s="412"/>
      <c r="F812" s="412"/>
      <c r="G812" s="412"/>
      <c r="H812" s="412">
        <v>0</v>
      </c>
      <c r="I812" s="17">
        <v>0</v>
      </c>
      <c r="J812" s="17">
        <v>0</v>
      </c>
      <c r="K812" s="286"/>
      <c r="L812" s="16" t="s">
        <v>18</v>
      </c>
      <c r="M812" s="16" t="s">
        <v>22</v>
      </c>
      <c r="N812" s="39"/>
      <c r="O812" s="20"/>
    </row>
    <row r="813" spans="1:15" s="12" customFormat="1" ht="25.5">
      <c r="A813" s="178" t="s">
        <v>97</v>
      </c>
      <c r="B813" s="75" t="s">
        <v>1681</v>
      </c>
      <c r="C813" s="39" t="s">
        <v>17</v>
      </c>
      <c r="D813" s="236"/>
      <c r="E813" s="236"/>
      <c r="F813" s="236"/>
      <c r="G813" s="236"/>
      <c r="H813" s="40">
        <v>0</v>
      </c>
      <c r="I813" s="17">
        <v>0</v>
      </c>
      <c r="J813" s="17">
        <v>0</v>
      </c>
      <c r="K813" s="17"/>
      <c r="L813" s="16" t="s">
        <v>18</v>
      </c>
      <c r="M813" s="16" t="s">
        <v>22</v>
      </c>
      <c r="N813" s="39"/>
      <c r="O813" s="20"/>
    </row>
    <row r="814" spans="1:15" s="12" customFormat="1" ht="18">
      <c r="A814" s="178" t="s">
        <v>97</v>
      </c>
      <c r="B814" s="75" t="s">
        <v>227</v>
      </c>
      <c r="C814" s="39" t="s">
        <v>17</v>
      </c>
      <c r="D814" s="236"/>
      <c r="E814" s="236"/>
      <c r="F814" s="236"/>
      <c r="G814" s="236"/>
      <c r="H814" s="40">
        <f>SUM(Tabla13211242[[#This Row],[PRIMER TRIMESTRE]:[CUARTO TRIMESTRE]])</f>
        <v>0</v>
      </c>
      <c r="I814" s="17">
        <v>110.2</v>
      </c>
      <c r="J814" s="17">
        <f>+Tabla13211242[[#This Row],[CANTIDAD TOTAL]]*Tabla13211242[[#This Row],[PRECIO UNITARIO ESTIMADO]]</f>
        <v>0</v>
      </c>
      <c r="K814" s="17"/>
      <c r="L814" s="16" t="s">
        <v>18</v>
      </c>
      <c r="M814" s="16" t="s">
        <v>22</v>
      </c>
      <c r="N814" s="39"/>
      <c r="O814" s="20"/>
    </row>
    <row r="815" spans="1:15" s="12" customFormat="1" ht="18">
      <c r="A815" s="178" t="s">
        <v>97</v>
      </c>
      <c r="B815" s="75" t="s">
        <v>1235</v>
      </c>
      <c r="C815" s="39" t="s">
        <v>17</v>
      </c>
      <c r="D815" s="236"/>
      <c r="E815" s="236"/>
      <c r="F815" s="236"/>
      <c r="G815" s="236"/>
      <c r="H815" s="40">
        <f>SUM(Tabla13211242[[#This Row],[PRIMER TRIMESTRE]:[CUARTO TRIMESTRE]])</f>
        <v>0</v>
      </c>
      <c r="I815" s="17">
        <v>156.5</v>
      </c>
      <c r="J815" s="17">
        <f t="shared" ref="J815:J822" si="22">+H815*I815</f>
        <v>0</v>
      </c>
      <c r="K815" s="17"/>
      <c r="L815" s="16" t="s">
        <v>18</v>
      </c>
      <c r="M815" s="16" t="s">
        <v>22</v>
      </c>
      <c r="N815" s="39"/>
      <c r="O815" s="20"/>
    </row>
    <row r="816" spans="1:15" s="12" customFormat="1" ht="18">
      <c r="A816" s="178" t="s">
        <v>97</v>
      </c>
      <c r="B816" s="75" t="s">
        <v>1236</v>
      </c>
      <c r="C816" s="39" t="s">
        <v>17</v>
      </c>
      <c r="D816" s="236"/>
      <c r="E816" s="236"/>
      <c r="F816" s="236"/>
      <c r="G816" s="236"/>
      <c r="H816" s="40">
        <f>SUM(Tabla13211242[[#This Row],[PRIMER TRIMESTRE]:[CUARTO TRIMESTRE]])</f>
        <v>0</v>
      </c>
      <c r="I816" s="17">
        <v>156.5</v>
      </c>
      <c r="J816" s="17">
        <f t="shared" si="22"/>
        <v>0</v>
      </c>
      <c r="K816" s="17"/>
      <c r="L816" s="16" t="s">
        <v>18</v>
      </c>
      <c r="M816" s="16" t="s">
        <v>22</v>
      </c>
      <c r="N816" s="39"/>
      <c r="O816" s="20"/>
    </row>
    <row r="817" spans="1:15" s="12" customFormat="1" ht="18">
      <c r="A817" s="178" t="s">
        <v>97</v>
      </c>
      <c r="B817" s="75" t="s">
        <v>1334</v>
      </c>
      <c r="C817" s="39" t="s">
        <v>17</v>
      </c>
      <c r="D817" s="236"/>
      <c r="E817" s="236"/>
      <c r="F817" s="236"/>
      <c r="G817" s="236"/>
      <c r="H817" s="40">
        <f>SUM(Tabla13211242[[#This Row],[PRIMER TRIMESTRE]:[CUARTO TRIMESTRE]])</f>
        <v>0</v>
      </c>
      <c r="I817" s="17">
        <v>387.04</v>
      </c>
      <c r="J817" s="17">
        <f t="shared" si="22"/>
        <v>0</v>
      </c>
      <c r="K817" s="17"/>
      <c r="L817" s="16" t="s">
        <v>18</v>
      </c>
      <c r="M817" s="16" t="s">
        <v>22</v>
      </c>
      <c r="N817" s="39"/>
      <c r="O817" s="20"/>
    </row>
    <row r="818" spans="1:15" s="12" customFormat="1" ht="18">
      <c r="A818" s="178" t="s">
        <v>97</v>
      </c>
      <c r="B818" s="75" t="s">
        <v>1237</v>
      </c>
      <c r="C818" s="39" t="s">
        <v>17</v>
      </c>
      <c r="D818" s="236"/>
      <c r="E818" s="236"/>
      <c r="F818" s="236"/>
      <c r="G818" s="236"/>
      <c r="H818" s="40">
        <f>SUM(Tabla13211242[[#This Row],[PRIMER TRIMESTRE]:[CUARTO TRIMESTRE]])</f>
        <v>0</v>
      </c>
      <c r="I818" s="17">
        <v>35000</v>
      </c>
      <c r="J818" s="17">
        <f t="shared" si="22"/>
        <v>0</v>
      </c>
      <c r="K818" s="17"/>
      <c r="L818" s="16" t="s">
        <v>18</v>
      </c>
      <c r="M818" s="16" t="s">
        <v>22</v>
      </c>
      <c r="N818" s="39"/>
      <c r="O818" s="20"/>
    </row>
    <row r="819" spans="1:15" s="12" customFormat="1" ht="18">
      <c r="A819" s="178" t="s">
        <v>97</v>
      </c>
      <c r="B819" s="75" t="s">
        <v>1713</v>
      </c>
      <c r="C819" s="39" t="s">
        <v>17</v>
      </c>
      <c r="D819" s="236"/>
      <c r="E819" s="236"/>
      <c r="F819" s="236"/>
      <c r="G819" s="236"/>
      <c r="H819" s="40">
        <v>0</v>
      </c>
      <c r="I819" s="17">
        <v>0</v>
      </c>
      <c r="J819" s="17">
        <v>0</v>
      </c>
      <c r="K819" s="17"/>
      <c r="L819" s="16" t="s">
        <v>18</v>
      </c>
      <c r="M819" s="16" t="s">
        <v>22</v>
      </c>
      <c r="N819" s="39"/>
      <c r="O819" s="20"/>
    </row>
    <row r="820" spans="1:15" s="12" customFormat="1" ht="18">
      <c r="A820" s="178" t="s">
        <v>97</v>
      </c>
      <c r="B820" s="75" t="s">
        <v>572</v>
      </c>
      <c r="C820" s="39" t="s">
        <v>17</v>
      </c>
      <c r="D820" s="236"/>
      <c r="E820" s="236"/>
      <c r="F820" s="236"/>
      <c r="G820" s="236"/>
      <c r="H820" s="40">
        <f>SUM(Tabla13211242[[#This Row],[PRIMER TRIMESTRE]:[CUARTO TRIMESTRE]])</f>
        <v>0</v>
      </c>
      <c r="I820" s="17">
        <v>25000</v>
      </c>
      <c r="J820" s="17">
        <f t="shared" si="22"/>
        <v>0</v>
      </c>
      <c r="K820" s="17"/>
      <c r="L820" s="16" t="s">
        <v>18</v>
      </c>
      <c r="M820" s="16" t="s">
        <v>22</v>
      </c>
      <c r="N820" s="39"/>
      <c r="O820" s="20"/>
    </row>
    <row r="821" spans="1:15" s="12" customFormat="1" ht="18">
      <c r="A821" s="178" t="s">
        <v>97</v>
      </c>
      <c r="B821" s="75" t="s">
        <v>1238</v>
      </c>
      <c r="C821" s="39" t="s">
        <v>17</v>
      </c>
      <c r="D821" s="236"/>
      <c r="E821" s="236"/>
      <c r="F821" s="236"/>
      <c r="G821" s="236"/>
      <c r="H821" s="40">
        <f>SUM(Tabla13211242[[#This Row],[PRIMER TRIMESTRE]:[CUARTO TRIMESTRE]])</f>
        <v>0</v>
      </c>
      <c r="I821" s="17">
        <v>25000</v>
      </c>
      <c r="J821" s="17">
        <f t="shared" si="22"/>
        <v>0</v>
      </c>
      <c r="K821" s="17"/>
      <c r="L821" s="16" t="s">
        <v>18</v>
      </c>
      <c r="M821" s="16" t="s">
        <v>22</v>
      </c>
      <c r="N821" s="39"/>
      <c r="O821" s="20"/>
    </row>
    <row r="822" spans="1:15" s="12" customFormat="1" ht="18">
      <c r="A822" s="178" t="s">
        <v>97</v>
      </c>
      <c r="B822" s="75" t="s">
        <v>1239</v>
      </c>
      <c r="C822" s="39" t="s">
        <v>17</v>
      </c>
      <c r="D822" s="236"/>
      <c r="E822" s="236"/>
      <c r="F822" s="236"/>
      <c r="G822" s="236"/>
      <c r="H822" s="40">
        <f>SUM(Tabla13211242[[#This Row],[PRIMER TRIMESTRE]:[CUARTO TRIMESTRE]])</f>
        <v>0</v>
      </c>
      <c r="I822" s="17">
        <v>25000</v>
      </c>
      <c r="J822" s="17">
        <f t="shared" si="22"/>
        <v>0</v>
      </c>
      <c r="K822" s="17"/>
      <c r="L822" s="16" t="s">
        <v>18</v>
      </c>
      <c r="M822" s="16" t="s">
        <v>22</v>
      </c>
      <c r="N822" s="39"/>
      <c r="O822" s="20"/>
    </row>
    <row r="823" spans="1:15" s="12" customFormat="1" ht="18">
      <c r="A823" s="178" t="s">
        <v>97</v>
      </c>
      <c r="B823" s="75" t="s">
        <v>220</v>
      </c>
      <c r="C823" s="39" t="s">
        <v>17</v>
      </c>
      <c r="D823" s="236"/>
      <c r="E823" s="236"/>
      <c r="F823" s="236"/>
      <c r="G823" s="236"/>
      <c r="H823" s="40">
        <f>SUM(Tabla13211242[[#This Row],[PRIMER TRIMESTRE]:[CUARTO TRIMESTRE]])</f>
        <v>0</v>
      </c>
      <c r="I823" s="17">
        <v>40165</v>
      </c>
      <c r="J823" s="17">
        <f>+Tabla13211242[[#This Row],[CANTIDAD TOTAL]]*Tabla13211242[[#This Row],[PRECIO UNITARIO ESTIMADO]]</f>
        <v>0</v>
      </c>
      <c r="K823" s="17"/>
      <c r="L823" s="16" t="s">
        <v>18</v>
      </c>
      <c r="M823" s="16" t="s">
        <v>22</v>
      </c>
      <c r="N823" s="39"/>
      <c r="O823" s="20"/>
    </row>
    <row r="824" spans="1:15" s="12" customFormat="1" ht="18">
      <c r="A824" s="178" t="s">
        <v>97</v>
      </c>
      <c r="B824" s="75" t="s">
        <v>213</v>
      </c>
      <c r="C824" s="39" t="s">
        <v>17</v>
      </c>
      <c r="D824" s="236"/>
      <c r="E824" s="236"/>
      <c r="F824" s="236"/>
      <c r="G824" s="236"/>
      <c r="H824" s="40">
        <f>SUM(Tabla13211242[[#This Row],[PRIMER TRIMESTRE]:[CUARTO TRIMESTRE]])</f>
        <v>0</v>
      </c>
      <c r="I824" s="17">
        <v>30999.38</v>
      </c>
      <c r="J824" s="17">
        <f>+Tabla13211242[[#This Row],[CANTIDAD TOTAL]]*Tabla13211242[[#This Row],[PRECIO UNITARIO ESTIMADO]]</f>
        <v>0</v>
      </c>
      <c r="K824" s="17"/>
      <c r="L824" s="16" t="s">
        <v>18</v>
      </c>
      <c r="M824" s="16" t="s">
        <v>22</v>
      </c>
      <c r="N824" s="39"/>
      <c r="O824" s="20"/>
    </row>
    <row r="825" spans="1:15" s="12" customFormat="1" ht="18">
      <c r="A825" s="178" t="s">
        <v>97</v>
      </c>
      <c r="B825" s="75" t="s">
        <v>226</v>
      </c>
      <c r="C825" s="39" t="s">
        <v>17</v>
      </c>
      <c r="D825" s="236"/>
      <c r="E825" s="236"/>
      <c r="F825" s="236"/>
      <c r="G825" s="236"/>
      <c r="H825" s="40">
        <f>SUM(Tabla13211242[[#This Row],[PRIMER TRIMESTRE]:[CUARTO TRIMESTRE]])</f>
        <v>0</v>
      </c>
      <c r="I825" s="17">
        <v>14929.2</v>
      </c>
      <c r="J825" s="17">
        <f>+Tabla13211242[[#This Row],[CANTIDAD TOTAL]]*Tabla13211242[[#This Row],[PRECIO UNITARIO ESTIMADO]]</f>
        <v>0</v>
      </c>
      <c r="K825" s="17"/>
      <c r="L825" s="16" t="s">
        <v>18</v>
      </c>
      <c r="M825" s="16" t="s">
        <v>22</v>
      </c>
      <c r="N825" s="39"/>
      <c r="O825" s="20"/>
    </row>
    <row r="826" spans="1:15" s="12" customFormat="1" ht="25.5">
      <c r="A826" s="178" t="s">
        <v>97</v>
      </c>
      <c r="B826" s="75" t="s">
        <v>1696</v>
      </c>
      <c r="C826" s="39" t="s">
        <v>17</v>
      </c>
      <c r="D826" s="236"/>
      <c r="E826" s="236"/>
      <c r="F826" s="236"/>
      <c r="G826" s="236"/>
      <c r="H826" s="40">
        <v>0</v>
      </c>
      <c r="I826" s="17">
        <v>0</v>
      </c>
      <c r="J826" s="17">
        <v>0</v>
      </c>
      <c r="K826" s="17"/>
      <c r="L826" s="16" t="s">
        <v>18</v>
      </c>
      <c r="M826" s="16" t="s">
        <v>22</v>
      </c>
      <c r="N826" s="39"/>
      <c r="O826" s="20"/>
    </row>
    <row r="827" spans="1:15" s="12" customFormat="1" ht="38.25">
      <c r="A827" s="178" t="s">
        <v>97</v>
      </c>
      <c r="B827" s="75" t="s">
        <v>1697</v>
      </c>
      <c r="C827" s="39" t="s">
        <v>17</v>
      </c>
      <c r="D827" s="236"/>
      <c r="E827" s="236"/>
      <c r="F827" s="236"/>
      <c r="G827" s="236"/>
      <c r="H827" s="40">
        <v>0</v>
      </c>
      <c r="I827" s="17">
        <v>0</v>
      </c>
      <c r="J827" s="17">
        <v>0</v>
      </c>
      <c r="K827" s="17"/>
      <c r="L827" s="16" t="s">
        <v>18</v>
      </c>
      <c r="M827" s="16" t="s">
        <v>22</v>
      </c>
      <c r="N827" s="39"/>
      <c r="O827" s="20"/>
    </row>
    <row r="828" spans="1:15" s="12" customFormat="1" ht="38.25">
      <c r="A828" s="178" t="s">
        <v>97</v>
      </c>
      <c r="B828" s="75" t="s">
        <v>1698</v>
      </c>
      <c r="C828" s="39" t="s">
        <v>17</v>
      </c>
      <c r="D828" s="236"/>
      <c r="E828" s="236"/>
      <c r="F828" s="236"/>
      <c r="G828" s="236"/>
      <c r="H828" s="40">
        <v>0</v>
      </c>
      <c r="I828" s="17">
        <v>0</v>
      </c>
      <c r="J828" s="17">
        <v>0</v>
      </c>
      <c r="K828" s="17"/>
      <c r="L828" s="16" t="s">
        <v>18</v>
      </c>
      <c r="M828" s="16" t="s">
        <v>22</v>
      </c>
      <c r="N828" s="39"/>
      <c r="O828" s="20"/>
    </row>
    <row r="829" spans="1:15" s="12" customFormat="1" ht="18">
      <c r="A829" s="178" t="s">
        <v>97</v>
      </c>
      <c r="B829" s="75" t="s">
        <v>212</v>
      </c>
      <c r="C829" s="39" t="s">
        <v>17</v>
      </c>
      <c r="D829" s="236"/>
      <c r="E829" s="236"/>
      <c r="F829" s="236"/>
      <c r="G829" s="236"/>
      <c r="H829" s="40">
        <f>SUM(Tabla13211242[[#This Row],[PRIMER TRIMESTRE]:[CUARTO TRIMESTRE]])</f>
        <v>0</v>
      </c>
      <c r="I829" s="17">
        <v>280500</v>
      </c>
      <c r="J829" s="17">
        <f>+Tabla13211242[[#This Row],[CANTIDAD TOTAL]]*Tabla13211242[[#This Row],[PRECIO UNITARIO ESTIMADO]]</f>
        <v>0</v>
      </c>
      <c r="K829" s="17"/>
      <c r="L829" s="16" t="s">
        <v>18</v>
      </c>
      <c r="M829" s="16" t="s">
        <v>22</v>
      </c>
      <c r="N829" s="39"/>
      <c r="O829" s="20"/>
    </row>
    <row r="830" spans="1:15" s="12" customFormat="1" ht="18">
      <c r="A830" s="178" t="s">
        <v>97</v>
      </c>
      <c r="B830" s="75" t="s">
        <v>214</v>
      </c>
      <c r="C830" s="39" t="s">
        <v>17</v>
      </c>
      <c r="D830" s="236"/>
      <c r="E830" s="236"/>
      <c r="F830" s="236"/>
      <c r="G830" s="236"/>
      <c r="H830" s="40">
        <f>SUM(Tabla13211242[[#This Row],[PRIMER TRIMESTRE]:[CUARTO TRIMESTRE]])</f>
        <v>0</v>
      </c>
      <c r="I830" s="17">
        <v>62762.6</v>
      </c>
      <c r="J830" s="17">
        <f>+Tabla13211242[[#This Row],[CANTIDAD TOTAL]]*Tabla13211242[[#This Row],[PRECIO UNITARIO ESTIMADO]]</f>
        <v>0</v>
      </c>
      <c r="K830" s="17"/>
      <c r="L830" s="16" t="s">
        <v>18</v>
      </c>
      <c r="M830" s="16" t="s">
        <v>22</v>
      </c>
      <c r="N830" s="39"/>
      <c r="O830" s="20"/>
    </row>
    <row r="831" spans="1:15" s="12" customFormat="1" ht="18">
      <c r="A831" s="178" t="s">
        <v>97</v>
      </c>
      <c r="B831" s="75" t="s">
        <v>215</v>
      </c>
      <c r="C831" s="39" t="s">
        <v>17</v>
      </c>
      <c r="D831" s="236"/>
      <c r="E831" s="236"/>
      <c r="F831" s="236"/>
      <c r="G831" s="236"/>
      <c r="H831" s="40">
        <f>SUM(Tabla13211242[[#This Row],[PRIMER TRIMESTRE]:[CUARTO TRIMESTRE]])</f>
        <v>0</v>
      </c>
      <c r="I831" s="17">
        <v>14453.6</v>
      </c>
      <c r="J831" s="17">
        <f>+Tabla13211242[[#This Row],[CANTIDAD TOTAL]]*Tabla13211242[[#This Row],[PRECIO UNITARIO ESTIMADO]]</f>
        <v>0</v>
      </c>
      <c r="K831" s="17"/>
      <c r="L831" s="16" t="s">
        <v>18</v>
      </c>
      <c r="M831" s="16" t="s">
        <v>22</v>
      </c>
      <c r="N831" s="39"/>
      <c r="O831" s="20"/>
    </row>
    <row r="832" spans="1:15" s="12" customFormat="1" ht="18">
      <c r="A832" s="178" t="s">
        <v>97</v>
      </c>
      <c r="B832" s="75" t="s">
        <v>216</v>
      </c>
      <c r="C832" s="39" t="s">
        <v>17</v>
      </c>
      <c r="D832" s="236"/>
      <c r="E832" s="236"/>
      <c r="F832" s="236"/>
      <c r="G832" s="236"/>
      <c r="H832" s="40">
        <f>SUM(Tabla13211242[[#This Row],[PRIMER TRIMESTRE]:[CUARTO TRIMESTRE]])</f>
        <v>0</v>
      </c>
      <c r="I832" s="17">
        <v>58701.8</v>
      </c>
      <c r="J832" s="17">
        <f>+Tabla13211242[[#This Row],[CANTIDAD TOTAL]]*Tabla13211242[[#This Row],[PRECIO UNITARIO ESTIMADO]]</f>
        <v>0</v>
      </c>
      <c r="K832" s="17"/>
      <c r="L832" s="16" t="s">
        <v>18</v>
      </c>
      <c r="M832" s="16" t="s">
        <v>22</v>
      </c>
      <c r="N832" s="39"/>
      <c r="O832" s="20"/>
    </row>
    <row r="833" spans="1:15" s="12" customFormat="1" ht="25.5">
      <c r="A833" s="178" t="s">
        <v>97</v>
      </c>
      <c r="B833" s="75" t="s">
        <v>217</v>
      </c>
      <c r="C833" s="39" t="s">
        <v>17</v>
      </c>
      <c r="D833" s="236"/>
      <c r="E833" s="236"/>
      <c r="F833" s="236"/>
      <c r="G833" s="236"/>
      <c r="H833" s="40">
        <f>SUM(Tabla13211242[[#This Row],[PRIMER TRIMESTRE]:[CUARTO TRIMESTRE]])</f>
        <v>0</v>
      </c>
      <c r="I833" s="17">
        <v>36540</v>
      </c>
      <c r="J833" s="17">
        <f>+Tabla13211242[[#This Row],[CANTIDAD TOTAL]]*Tabla13211242[[#This Row],[PRECIO UNITARIO ESTIMADO]]</f>
        <v>0</v>
      </c>
      <c r="K833" s="17"/>
      <c r="L833" s="16" t="s">
        <v>18</v>
      </c>
      <c r="M833" s="16" t="s">
        <v>22</v>
      </c>
      <c r="N833" s="39"/>
      <c r="O833" s="20"/>
    </row>
    <row r="834" spans="1:15" s="12" customFormat="1" ht="25.5">
      <c r="A834" s="178" t="s">
        <v>97</v>
      </c>
      <c r="B834" s="75" t="s">
        <v>218</v>
      </c>
      <c r="C834" s="39" t="s">
        <v>17</v>
      </c>
      <c r="D834" s="236"/>
      <c r="E834" s="236"/>
      <c r="F834" s="236"/>
      <c r="G834" s="236"/>
      <c r="H834" s="40">
        <f>SUM(Tabla13211242[[#This Row],[PRIMER TRIMESTRE]:[CUARTO TRIMESTRE]])</f>
        <v>0</v>
      </c>
      <c r="I834" s="17">
        <v>60262</v>
      </c>
      <c r="J834" s="17">
        <f>+Tabla13211242[[#This Row],[CANTIDAD TOTAL]]*Tabla13211242[[#This Row],[PRECIO UNITARIO ESTIMADO]]</f>
        <v>0</v>
      </c>
      <c r="K834" s="17"/>
      <c r="L834" s="16" t="s">
        <v>18</v>
      </c>
      <c r="M834" s="16" t="s">
        <v>22</v>
      </c>
      <c r="N834" s="39"/>
      <c r="O834" s="20"/>
    </row>
    <row r="835" spans="1:15" s="12" customFormat="1" ht="25.5">
      <c r="A835" s="178" t="s">
        <v>97</v>
      </c>
      <c r="B835" s="75" t="s">
        <v>219</v>
      </c>
      <c r="C835" s="39" t="s">
        <v>17</v>
      </c>
      <c r="D835" s="236"/>
      <c r="E835" s="236"/>
      <c r="F835" s="236"/>
      <c r="G835" s="236"/>
      <c r="H835" s="40">
        <f>SUM(Tabla13211242[[#This Row],[PRIMER TRIMESTRE]:[CUARTO TRIMESTRE]])</f>
        <v>0</v>
      </c>
      <c r="I835" s="17">
        <v>59757.4</v>
      </c>
      <c r="J835" s="17">
        <f>+Tabla13211242[[#This Row],[CANTIDAD TOTAL]]*Tabla13211242[[#This Row],[PRECIO UNITARIO ESTIMADO]]</f>
        <v>0</v>
      </c>
      <c r="K835" s="17"/>
      <c r="L835" s="16" t="s">
        <v>18</v>
      </c>
      <c r="M835" s="16" t="s">
        <v>22</v>
      </c>
      <c r="N835" s="39"/>
      <c r="O835" s="20"/>
    </row>
    <row r="836" spans="1:15" s="12" customFormat="1" ht="51">
      <c r="A836" s="178" t="s">
        <v>97</v>
      </c>
      <c r="B836" s="75" t="s">
        <v>1765</v>
      </c>
      <c r="C836" s="39" t="s">
        <v>17</v>
      </c>
      <c r="D836" s="236"/>
      <c r="E836" s="236"/>
      <c r="F836" s="236"/>
      <c r="G836" s="236"/>
      <c r="H836" s="40">
        <v>0</v>
      </c>
      <c r="I836" s="17">
        <v>0</v>
      </c>
      <c r="J836" s="17">
        <v>0</v>
      </c>
      <c r="K836" s="17"/>
      <c r="L836" s="16" t="s">
        <v>18</v>
      </c>
      <c r="M836" s="16" t="s">
        <v>22</v>
      </c>
      <c r="N836" s="39"/>
      <c r="O836" s="20"/>
    </row>
    <row r="837" spans="1:15" s="12" customFormat="1" ht="51">
      <c r="A837" s="178" t="s">
        <v>97</v>
      </c>
      <c r="B837" s="75" t="s">
        <v>1766</v>
      </c>
      <c r="C837" s="39" t="s">
        <v>17</v>
      </c>
      <c r="D837" s="236"/>
      <c r="E837" s="236"/>
      <c r="F837" s="236"/>
      <c r="G837" s="236"/>
      <c r="H837" s="40">
        <v>0</v>
      </c>
      <c r="I837" s="17">
        <v>0</v>
      </c>
      <c r="J837" s="17">
        <v>0</v>
      </c>
      <c r="K837" s="17"/>
      <c r="L837" s="16" t="s">
        <v>18</v>
      </c>
      <c r="M837" s="16" t="s">
        <v>22</v>
      </c>
      <c r="N837" s="39"/>
      <c r="O837" s="20"/>
    </row>
    <row r="838" spans="1:15" s="12" customFormat="1" ht="18">
      <c r="A838" s="178" t="s">
        <v>97</v>
      </c>
      <c r="B838" s="75" t="s">
        <v>317</v>
      </c>
      <c r="C838" s="39" t="s">
        <v>17</v>
      </c>
      <c r="D838" s="236"/>
      <c r="E838" s="236"/>
      <c r="F838" s="236"/>
      <c r="G838" s="236"/>
      <c r="H838" s="40">
        <f>SUM(Tabla13211242[[#This Row],[PRIMER TRIMESTRE]:[CUARTO TRIMESTRE]])</f>
        <v>0</v>
      </c>
      <c r="I838" s="17">
        <f>1252664.4/5</f>
        <v>250532.87999999998</v>
      </c>
      <c r="J838" s="17">
        <f>+Tabla13211242[[#This Row],[CANTIDAD TOTAL]]*Tabla13211242[[#This Row],[PRECIO UNITARIO ESTIMADO]]</f>
        <v>0</v>
      </c>
      <c r="K838" s="17"/>
      <c r="L838" s="16" t="s">
        <v>18</v>
      </c>
      <c r="M838" s="16" t="s">
        <v>22</v>
      </c>
      <c r="N838" s="39"/>
      <c r="O838" s="20"/>
    </row>
    <row r="839" spans="1:15" s="12" customFormat="1" ht="18">
      <c r="A839" s="178" t="s">
        <v>97</v>
      </c>
      <c r="B839" s="75" t="s">
        <v>1462</v>
      </c>
      <c r="C839" s="39" t="s">
        <v>17</v>
      </c>
      <c r="D839" s="236"/>
      <c r="E839" s="236"/>
      <c r="F839" s="236"/>
      <c r="G839" s="236"/>
      <c r="H839" s="40">
        <f>SUM(Tabla13211242[[#This Row],[PRIMER TRIMESTRE]:[CUARTO TRIMESTRE]])</f>
        <v>0</v>
      </c>
      <c r="I839" s="17">
        <v>250532.68</v>
      </c>
      <c r="J839" s="17">
        <f t="shared" ref="J839:J868" si="23">+H839*I839</f>
        <v>0</v>
      </c>
      <c r="K839" s="17"/>
      <c r="L839" s="16" t="s">
        <v>15</v>
      </c>
      <c r="M839" s="16" t="s">
        <v>22</v>
      </c>
      <c r="N839" s="39"/>
      <c r="O839" s="20"/>
    </row>
    <row r="840" spans="1:15" s="12" customFormat="1" ht="18">
      <c r="A840" s="178" t="s">
        <v>97</v>
      </c>
      <c r="B840" s="75" t="s">
        <v>1240</v>
      </c>
      <c r="C840" s="39" t="s">
        <v>17</v>
      </c>
      <c r="D840" s="236"/>
      <c r="E840" s="236"/>
      <c r="F840" s="236"/>
      <c r="G840" s="236"/>
      <c r="H840" s="40">
        <f>SUM(Tabla13211242[[#This Row],[PRIMER TRIMESTRE]:[CUARTO TRIMESTRE]])</f>
        <v>0</v>
      </c>
      <c r="I840" s="17">
        <v>2300000</v>
      </c>
      <c r="J840" s="17">
        <f t="shared" si="23"/>
        <v>0</v>
      </c>
      <c r="K840" s="17"/>
      <c r="L840" s="16" t="s">
        <v>18</v>
      </c>
      <c r="M840" s="16" t="s">
        <v>22</v>
      </c>
      <c r="N840" s="39"/>
      <c r="O840" s="20"/>
    </row>
    <row r="841" spans="1:15" s="12" customFormat="1" ht="18">
      <c r="A841" s="178" t="s">
        <v>97</v>
      </c>
      <c r="B841" s="75" t="s">
        <v>1241</v>
      </c>
      <c r="C841" s="39" t="s">
        <v>17</v>
      </c>
      <c r="D841" s="236"/>
      <c r="E841" s="236"/>
      <c r="F841" s="236"/>
      <c r="G841" s="236"/>
      <c r="H841" s="40">
        <f>SUM(Tabla13211242[[#This Row],[PRIMER TRIMESTRE]:[CUARTO TRIMESTRE]])</f>
        <v>0</v>
      </c>
      <c r="I841" s="17">
        <v>950000</v>
      </c>
      <c r="J841" s="17">
        <f t="shared" si="23"/>
        <v>0</v>
      </c>
      <c r="K841" s="17"/>
      <c r="L841" s="16" t="s">
        <v>18</v>
      </c>
      <c r="M841" s="16" t="s">
        <v>22</v>
      </c>
      <c r="N841" s="39"/>
      <c r="O841" s="20"/>
    </row>
    <row r="842" spans="1:15" s="12" customFormat="1" ht="18">
      <c r="A842" s="178" t="s">
        <v>97</v>
      </c>
      <c r="B842" s="75" t="s">
        <v>1242</v>
      </c>
      <c r="C842" s="39" t="s">
        <v>17</v>
      </c>
      <c r="D842" s="236"/>
      <c r="E842" s="236"/>
      <c r="F842" s="236"/>
      <c r="G842" s="236"/>
      <c r="H842" s="40">
        <f>SUM(Tabla13211242[[#This Row],[PRIMER TRIMESTRE]:[CUARTO TRIMESTRE]])</f>
        <v>0</v>
      </c>
      <c r="I842" s="17">
        <v>1800000</v>
      </c>
      <c r="J842" s="17">
        <f t="shared" si="23"/>
        <v>0</v>
      </c>
      <c r="K842" s="17"/>
      <c r="L842" s="16" t="s">
        <v>18</v>
      </c>
      <c r="M842" s="16" t="s">
        <v>22</v>
      </c>
      <c r="N842" s="39"/>
      <c r="O842" s="20"/>
    </row>
    <row r="843" spans="1:15" s="12" customFormat="1" ht="18">
      <c r="A843" s="178" t="s">
        <v>97</v>
      </c>
      <c r="B843" s="75" t="s">
        <v>1243</v>
      </c>
      <c r="C843" s="39" t="s">
        <v>17</v>
      </c>
      <c r="D843" s="236"/>
      <c r="E843" s="236"/>
      <c r="F843" s="236"/>
      <c r="G843" s="236"/>
      <c r="H843" s="40">
        <f>SUM(Tabla13211242[[#This Row],[PRIMER TRIMESTRE]:[CUARTO TRIMESTRE]])</f>
        <v>0</v>
      </c>
      <c r="I843" s="17">
        <v>270000</v>
      </c>
      <c r="J843" s="17">
        <f t="shared" si="23"/>
        <v>0</v>
      </c>
      <c r="K843" s="17"/>
      <c r="L843" s="16" t="s">
        <v>18</v>
      </c>
      <c r="M843" s="16" t="s">
        <v>22</v>
      </c>
      <c r="N843" s="39"/>
      <c r="O843" s="20"/>
    </row>
    <row r="844" spans="1:15" s="12" customFormat="1" ht="18">
      <c r="A844" s="178" t="s">
        <v>97</v>
      </c>
      <c r="B844" s="75" t="s">
        <v>1244</v>
      </c>
      <c r="C844" s="39" t="s">
        <v>17</v>
      </c>
      <c r="D844" s="236"/>
      <c r="E844" s="236"/>
      <c r="F844" s="236"/>
      <c r="G844" s="236"/>
      <c r="H844" s="40">
        <f>SUM(Tabla13211242[[#This Row],[PRIMER TRIMESTRE]:[CUARTO TRIMESTRE]])</f>
        <v>0</v>
      </c>
      <c r="I844" s="17">
        <v>398000</v>
      </c>
      <c r="J844" s="17">
        <f t="shared" si="23"/>
        <v>0</v>
      </c>
      <c r="K844" s="17"/>
      <c r="L844" s="16" t="s">
        <v>18</v>
      </c>
      <c r="M844" s="16" t="s">
        <v>22</v>
      </c>
      <c r="N844" s="39"/>
      <c r="O844" s="20"/>
    </row>
    <row r="845" spans="1:15" s="12" customFormat="1" ht="18">
      <c r="A845" s="178" t="s">
        <v>97</v>
      </c>
      <c r="B845" s="75" t="s">
        <v>1245</v>
      </c>
      <c r="C845" s="39" t="s">
        <v>17</v>
      </c>
      <c r="D845" s="236"/>
      <c r="E845" s="236"/>
      <c r="F845" s="236"/>
      <c r="G845" s="236"/>
      <c r="H845" s="40">
        <f>SUM(Tabla13211242[[#This Row],[PRIMER TRIMESTRE]:[CUARTO TRIMESTRE]])</f>
        <v>0</v>
      </c>
      <c r="I845" s="17">
        <v>395000</v>
      </c>
      <c r="J845" s="17">
        <f t="shared" si="23"/>
        <v>0</v>
      </c>
      <c r="K845" s="17"/>
      <c r="L845" s="16" t="s">
        <v>18</v>
      </c>
      <c r="M845" s="16" t="s">
        <v>22</v>
      </c>
      <c r="N845" s="39"/>
      <c r="O845" s="20"/>
    </row>
    <row r="846" spans="1:15" s="12" customFormat="1" ht="18">
      <c r="A846" s="178" t="s">
        <v>97</v>
      </c>
      <c r="B846" s="75" t="s">
        <v>1246</v>
      </c>
      <c r="C846" s="39" t="s">
        <v>17</v>
      </c>
      <c r="D846" s="236"/>
      <c r="E846" s="236"/>
      <c r="F846" s="236"/>
      <c r="G846" s="236"/>
      <c r="H846" s="40">
        <f>SUM(Tabla13211242[[#This Row],[PRIMER TRIMESTRE]:[CUARTO TRIMESTRE]])</f>
        <v>0</v>
      </c>
      <c r="I846" s="17">
        <v>390000</v>
      </c>
      <c r="J846" s="17">
        <f t="shared" si="23"/>
        <v>0</v>
      </c>
      <c r="K846" s="17"/>
      <c r="L846" s="16" t="s">
        <v>18</v>
      </c>
      <c r="M846" s="16" t="s">
        <v>22</v>
      </c>
      <c r="N846" s="39"/>
      <c r="O846" s="20"/>
    </row>
    <row r="847" spans="1:15" s="12" customFormat="1" ht="18">
      <c r="A847" s="178" t="s">
        <v>97</v>
      </c>
      <c r="B847" s="75" t="s">
        <v>1247</v>
      </c>
      <c r="C847" s="39" t="s">
        <v>17</v>
      </c>
      <c r="D847" s="236"/>
      <c r="E847" s="236"/>
      <c r="F847" s="236"/>
      <c r="G847" s="236"/>
      <c r="H847" s="40">
        <f>SUM(Tabla13211242[[#This Row],[PRIMER TRIMESTRE]:[CUARTO TRIMESTRE]])</f>
        <v>0</v>
      </c>
      <c r="I847" s="17">
        <v>385000</v>
      </c>
      <c r="J847" s="17">
        <f t="shared" si="23"/>
        <v>0</v>
      </c>
      <c r="K847" s="17"/>
      <c r="L847" s="16" t="s">
        <v>18</v>
      </c>
      <c r="M847" s="16" t="s">
        <v>22</v>
      </c>
      <c r="N847" s="39"/>
      <c r="O847" s="20"/>
    </row>
    <row r="848" spans="1:15" s="12" customFormat="1" ht="18">
      <c r="A848" s="178" t="s">
        <v>97</v>
      </c>
      <c r="B848" s="75" t="s">
        <v>1248</v>
      </c>
      <c r="C848" s="39" t="s">
        <v>17</v>
      </c>
      <c r="D848" s="236"/>
      <c r="E848" s="236"/>
      <c r="F848" s="236"/>
      <c r="G848" s="236"/>
      <c r="H848" s="40">
        <f>SUM(Tabla13211242[[#This Row],[PRIMER TRIMESTRE]:[CUARTO TRIMESTRE]])</f>
        <v>0</v>
      </c>
      <c r="I848" s="17">
        <v>290400</v>
      </c>
      <c r="J848" s="17">
        <f t="shared" si="23"/>
        <v>0</v>
      </c>
      <c r="K848" s="17"/>
      <c r="L848" s="16" t="s">
        <v>18</v>
      </c>
      <c r="M848" s="16" t="s">
        <v>22</v>
      </c>
      <c r="N848" s="39"/>
      <c r="O848" s="20"/>
    </row>
    <row r="849" spans="1:15" s="12" customFormat="1" ht="18">
      <c r="A849" s="178" t="s">
        <v>97</v>
      </c>
      <c r="B849" s="75" t="s">
        <v>1249</v>
      </c>
      <c r="C849" s="39" t="s">
        <v>17</v>
      </c>
      <c r="D849" s="236"/>
      <c r="E849" s="236"/>
      <c r="F849" s="236"/>
      <c r="G849" s="236"/>
      <c r="H849" s="40">
        <f>SUM(Tabla13211242[[#This Row],[PRIMER TRIMESTRE]:[CUARTO TRIMESTRE]])</f>
        <v>0</v>
      </c>
      <c r="I849" s="17">
        <v>230000</v>
      </c>
      <c r="J849" s="17">
        <f t="shared" si="23"/>
        <v>0</v>
      </c>
      <c r="K849" s="17"/>
      <c r="L849" s="16" t="s">
        <v>18</v>
      </c>
      <c r="M849" s="16" t="s">
        <v>22</v>
      </c>
      <c r="N849" s="39"/>
      <c r="O849" s="20"/>
    </row>
    <row r="850" spans="1:15" s="12" customFormat="1" ht="18">
      <c r="A850" s="178" t="s">
        <v>97</v>
      </c>
      <c r="B850" s="75" t="s">
        <v>1250</v>
      </c>
      <c r="C850" s="39" t="s">
        <v>17</v>
      </c>
      <c r="D850" s="236"/>
      <c r="E850" s="236"/>
      <c r="F850" s="236"/>
      <c r="G850" s="236"/>
      <c r="H850" s="40">
        <f>SUM(Tabla13211242[[#This Row],[PRIMER TRIMESTRE]:[CUARTO TRIMESTRE]])</f>
        <v>0</v>
      </c>
      <c r="I850" s="17">
        <v>13700</v>
      </c>
      <c r="J850" s="17">
        <f t="shared" si="23"/>
        <v>0</v>
      </c>
      <c r="K850" s="17"/>
      <c r="L850" s="16" t="s">
        <v>18</v>
      </c>
      <c r="M850" s="16" t="s">
        <v>22</v>
      </c>
      <c r="N850" s="39"/>
      <c r="O850" s="20"/>
    </row>
    <row r="851" spans="1:15" s="12" customFormat="1" ht="18">
      <c r="A851" s="178" t="s">
        <v>97</v>
      </c>
      <c r="B851" s="75" t="s">
        <v>1251</v>
      </c>
      <c r="C851" s="39" t="s">
        <v>17</v>
      </c>
      <c r="D851" s="236"/>
      <c r="E851" s="236"/>
      <c r="F851" s="236"/>
      <c r="G851" s="236"/>
      <c r="H851" s="40">
        <f>SUM(Tabla13211242[[#This Row],[PRIMER TRIMESTRE]:[CUARTO TRIMESTRE]])</f>
        <v>0</v>
      </c>
      <c r="I851" s="17">
        <v>205000</v>
      </c>
      <c r="J851" s="17">
        <f t="shared" si="23"/>
        <v>0</v>
      </c>
      <c r="K851" s="17"/>
      <c r="L851" s="16" t="s">
        <v>18</v>
      </c>
      <c r="M851" s="16" t="s">
        <v>22</v>
      </c>
      <c r="N851" s="39"/>
      <c r="O851" s="20"/>
    </row>
    <row r="852" spans="1:15" s="12" customFormat="1" ht="18">
      <c r="A852" s="178" t="s">
        <v>97</v>
      </c>
      <c r="B852" s="75" t="s">
        <v>1252</v>
      </c>
      <c r="C852" s="39" t="s">
        <v>17</v>
      </c>
      <c r="D852" s="236"/>
      <c r="E852" s="236"/>
      <c r="F852" s="236"/>
      <c r="G852" s="236"/>
      <c r="H852" s="40">
        <f>SUM(Tabla13211242[[#This Row],[PRIMER TRIMESTRE]:[CUARTO TRIMESTRE]])</f>
        <v>0</v>
      </c>
      <c r="I852" s="17">
        <v>170000</v>
      </c>
      <c r="J852" s="17">
        <f t="shared" si="23"/>
        <v>0</v>
      </c>
      <c r="K852" s="17"/>
      <c r="L852" s="16" t="s">
        <v>18</v>
      </c>
      <c r="M852" s="16" t="s">
        <v>22</v>
      </c>
      <c r="N852" s="39"/>
      <c r="O852" s="20"/>
    </row>
    <row r="853" spans="1:15" s="12" customFormat="1" ht="18">
      <c r="A853" s="178" t="s">
        <v>97</v>
      </c>
      <c r="B853" s="75" t="s">
        <v>1253</v>
      </c>
      <c r="C853" s="39" t="s">
        <v>17</v>
      </c>
      <c r="D853" s="236"/>
      <c r="E853" s="236"/>
      <c r="F853" s="236"/>
      <c r="G853" s="236"/>
      <c r="H853" s="40">
        <f>SUM(Tabla13211242[[#This Row],[PRIMER TRIMESTRE]:[CUARTO TRIMESTRE]])</f>
        <v>0</v>
      </c>
      <c r="I853" s="17">
        <v>155000</v>
      </c>
      <c r="J853" s="17">
        <f t="shared" si="23"/>
        <v>0</v>
      </c>
      <c r="K853" s="17"/>
      <c r="L853" s="16" t="s">
        <v>18</v>
      </c>
      <c r="M853" s="16" t="s">
        <v>22</v>
      </c>
      <c r="N853" s="39"/>
      <c r="O853" s="20"/>
    </row>
    <row r="854" spans="1:15" s="12" customFormat="1" ht="18">
      <c r="A854" s="178" t="s">
        <v>97</v>
      </c>
      <c r="B854" s="75" t="s">
        <v>1254</v>
      </c>
      <c r="C854" s="39" t="s">
        <v>17</v>
      </c>
      <c r="D854" s="236"/>
      <c r="E854" s="236"/>
      <c r="F854" s="236"/>
      <c r="G854" s="236"/>
      <c r="H854" s="40">
        <f>SUM(Tabla13211242[[#This Row],[PRIMER TRIMESTRE]:[CUARTO TRIMESTRE]])</f>
        <v>0</v>
      </c>
      <c r="I854" s="17">
        <v>140000</v>
      </c>
      <c r="J854" s="17">
        <f t="shared" si="23"/>
        <v>0</v>
      </c>
      <c r="K854" s="17"/>
      <c r="L854" s="16" t="s">
        <v>18</v>
      </c>
      <c r="M854" s="16" t="s">
        <v>22</v>
      </c>
      <c r="N854" s="39"/>
      <c r="O854" s="20"/>
    </row>
    <row r="855" spans="1:15" s="12" customFormat="1" ht="18">
      <c r="A855" s="178" t="s">
        <v>97</v>
      </c>
      <c r="B855" s="75" t="s">
        <v>1255</v>
      </c>
      <c r="C855" s="39" t="s">
        <v>17</v>
      </c>
      <c r="D855" s="236"/>
      <c r="E855" s="236"/>
      <c r="F855" s="236"/>
      <c r="G855" s="236"/>
      <c r="H855" s="40">
        <f>SUM(Tabla13211242[[#This Row],[PRIMER TRIMESTRE]:[CUARTO TRIMESTRE]])</f>
        <v>0</v>
      </c>
      <c r="I855" s="17">
        <v>115000</v>
      </c>
      <c r="J855" s="17">
        <f t="shared" si="23"/>
        <v>0</v>
      </c>
      <c r="K855" s="17"/>
      <c r="L855" s="16" t="s">
        <v>18</v>
      </c>
      <c r="M855" s="16" t="s">
        <v>22</v>
      </c>
      <c r="N855" s="39"/>
      <c r="O855" s="20"/>
    </row>
    <row r="856" spans="1:15" s="12" customFormat="1" ht="18">
      <c r="A856" s="178" t="s">
        <v>97</v>
      </c>
      <c r="B856" s="75" t="s">
        <v>1256</v>
      </c>
      <c r="C856" s="39" t="s">
        <v>17</v>
      </c>
      <c r="D856" s="236"/>
      <c r="E856" s="236"/>
      <c r="F856" s="236"/>
      <c r="G856" s="236"/>
      <c r="H856" s="40">
        <f>SUM(Tabla13211242[[#This Row],[PRIMER TRIMESTRE]:[CUARTO TRIMESTRE]])</f>
        <v>0</v>
      </c>
      <c r="I856" s="17">
        <v>100000</v>
      </c>
      <c r="J856" s="17">
        <f t="shared" si="23"/>
        <v>0</v>
      </c>
      <c r="K856" s="17"/>
      <c r="L856" s="16" t="s">
        <v>18</v>
      </c>
      <c r="M856" s="16" t="s">
        <v>22</v>
      </c>
      <c r="N856" s="39"/>
      <c r="O856" s="20"/>
    </row>
    <row r="857" spans="1:15" s="12" customFormat="1" ht="18">
      <c r="A857" s="178" t="s">
        <v>97</v>
      </c>
      <c r="B857" s="75" t="s">
        <v>1257</v>
      </c>
      <c r="C857" s="39" t="s">
        <v>17</v>
      </c>
      <c r="D857" s="236"/>
      <c r="E857" s="236"/>
      <c r="F857" s="236"/>
      <c r="G857" s="236"/>
      <c r="H857" s="40">
        <f>SUM(Tabla13211242[[#This Row],[PRIMER TRIMESTRE]:[CUARTO TRIMESTRE]])</f>
        <v>0</v>
      </c>
      <c r="I857" s="17">
        <v>80000</v>
      </c>
      <c r="J857" s="17">
        <f t="shared" si="23"/>
        <v>0</v>
      </c>
      <c r="K857" s="17"/>
      <c r="L857" s="16" t="s">
        <v>18</v>
      </c>
      <c r="M857" s="16" t="s">
        <v>22</v>
      </c>
      <c r="N857" s="39"/>
      <c r="O857" s="20"/>
    </row>
    <row r="858" spans="1:15" s="12" customFormat="1" ht="18">
      <c r="A858" s="178" t="s">
        <v>97</v>
      </c>
      <c r="B858" s="75" t="s">
        <v>1258</v>
      </c>
      <c r="C858" s="39" t="s">
        <v>17</v>
      </c>
      <c r="D858" s="236"/>
      <c r="E858" s="236"/>
      <c r="F858" s="236"/>
      <c r="G858" s="236"/>
      <c r="H858" s="40">
        <f>SUM(Tabla13211242[[#This Row],[PRIMER TRIMESTRE]:[CUARTO TRIMESTRE]])</f>
        <v>0</v>
      </c>
      <c r="I858" s="17">
        <v>65000</v>
      </c>
      <c r="J858" s="17">
        <f t="shared" si="23"/>
        <v>0</v>
      </c>
      <c r="K858" s="17"/>
      <c r="L858" s="16" t="s">
        <v>18</v>
      </c>
      <c r="M858" s="16" t="s">
        <v>22</v>
      </c>
      <c r="N858" s="39"/>
      <c r="O858" s="20"/>
    </row>
    <row r="859" spans="1:15" s="12" customFormat="1" ht="18">
      <c r="A859" s="178" t="s">
        <v>97</v>
      </c>
      <c r="B859" s="75" t="s">
        <v>1259</v>
      </c>
      <c r="C859" s="39" t="s">
        <v>17</v>
      </c>
      <c r="D859" s="236"/>
      <c r="E859" s="236"/>
      <c r="F859" s="236"/>
      <c r="G859" s="236"/>
      <c r="H859" s="40">
        <f>SUM(Tabla13211242[[#This Row],[PRIMER TRIMESTRE]:[CUARTO TRIMESTRE]])</f>
        <v>0</v>
      </c>
      <c r="I859" s="17">
        <v>50000</v>
      </c>
      <c r="J859" s="17">
        <f t="shared" si="23"/>
        <v>0</v>
      </c>
      <c r="K859" s="17"/>
      <c r="L859" s="16" t="s">
        <v>18</v>
      </c>
      <c r="M859" s="16" t="s">
        <v>22</v>
      </c>
      <c r="N859" s="39"/>
      <c r="O859" s="20"/>
    </row>
    <row r="860" spans="1:15" s="12" customFormat="1" ht="18">
      <c r="A860" s="178" t="s">
        <v>97</v>
      </c>
      <c r="B860" s="75" t="s">
        <v>1260</v>
      </c>
      <c r="C860" s="39" t="s">
        <v>17</v>
      </c>
      <c r="D860" s="236"/>
      <c r="E860" s="236"/>
      <c r="F860" s="236"/>
      <c r="G860" s="236"/>
      <c r="H860" s="40">
        <f>SUM(Tabla13211242[[#This Row],[PRIMER TRIMESTRE]:[CUARTO TRIMESTRE]])</f>
        <v>0</v>
      </c>
      <c r="I860" s="17">
        <v>45000</v>
      </c>
      <c r="J860" s="17">
        <f t="shared" si="23"/>
        <v>0</v>
      </c>
      <c r="K860" s="17"/>
      <c r="L860" s="16" t="s">
        <v>18</v>
      </c>
      <c r="M860" s="16" t="s">
        <v>22</v>
      </c>
      <c r="N860" s="39"/>
      <c r="O860" s="20"/>
    </row>
    <row r="861" spans="1:15" s="12" customFormat="1" ht="18">
      <c r="A861" s="178" t="s">
        <v>97</v>
      </c>
      <c r="B861" s="75" t="s">
        <v>1261</v>
      </c>
      <c r="C861" s="39" t="s">
        <v>17</v>
      </c>
      <c r="D861" s="236"/>
      <c r="E861" s="236"/>
      <c r="F861" s="236"/>
      <c r="G861" s="236"/>
      <c r="H861" s="40">
        <f>SUM(Tabla13211242[[#This Row],[PRIMER TRIMESTRE]:[CUARTO TRIMESTRE]])</f>
        <v>0</v>
      </c>
      <c r="I861" s="17">
        <v>40000</v>
      </c>
      <c r="J861" s="17">
        <f t="shared" si="23"/>
        <v>0</v>
      </c>
      <c r="K861" s="17"/>
      <c r="L861" s="16" t="s">
        <v>18</v>
      </c>
      <c r="M861" s="16" t="s">
        <v>22</v>
      </c>
      <c r="N861" s="39"/>
      <c r="O861" s="20"/>
    </row>
    <row r="862" spans="1:15" s="12" customFormat="1" ht="18">
      <c r="A862" s="178" t="s">
        <v>97</v>
      </c>
      <c r="B862" s="75" t="s">
        <v>1262</v>
      </c>
      <c r="C862" s="39" t="s">
        <v>17</v>
      </c>
      <c r="D862" s="236"/>
      <c r="E862" s="236"/>
      <c r="F862" s="236"/>
      <c r="G862" s="236"/>
      <c r="H862" s="40">
        <f>SUM(Tabla13211242[[#This Row],[PRIMER TRIMESTRE]:[CUARTO TRIMESTRE]])</f>
        <v>0</v>
      </c>
      <c r="I862" s="17">
        <v>30000</v>
      </c>
      <c r="J862" s="17">
        <f t="shared" si="23"/>
        <v>0</v>
      </c>
      <c r="K862" s="17"/>
      <c r="L862" s="16" t="s">
        <v>18</v>
      </c>
      <c r="M862" s="16" t="s">
        <v>22</v>
      </c>
      <c r="N862" s="39"/>
      <c r="O862" s="20"/>
    </row>
    <row r="863" spans="1:15" s="12" customFormat="1" ht="18">
      <c r="A863" s="178" t="s">
        <v>97</v>
      </c>
      <c r="B863" s="75" t="s">
        <v>1263</v>
      </c>
      <c r="C863" s="39" t="s">
        <v>17</v>
      </c>
      <c r="D863" s="236"/>
      <c r="E863" s="236"/>
      <c r="F863" s="236"/>
      <c r="G863" s="236"/>
      <c r="H863" s="40">
        <f>SUM(Tabla13211242[[#This Row],[PRIMER TRIMESTRE]:[CUARTO TRIMESTRE]])</f>
        <v>0</v>
      </c>
      <c r="I863" s="17">
        <v>26000</v>
      </c>
      <c r="J863" s="17">
        <f t="shared" si="23"/>
        <v>0</v>
      </c>
      <c r="K863" s="17"/>
      <c r="L863" s="16" t="s">
        <v>18</v>
      </c>
      <c r="M863" s="16" t="s">
        <v>22</v>
      </c>
      <c r="N863" s="39"/>
      <c r="O863" s="20"/>
    </row>
    <row r="864" spans="1:15" s="12" customFormat="1" ht="18">
      <c r="A864" s="178" t="s">
        <v>97</v>
      </c>
      <c r="B864" s="75" t="s">
        <v>1264</v>
      </c>
      <c r="C864" s="39" t="s">
        <v>17</v>
      </c>
      <c r="D864" s="236"/>
      <c r="E864" s="236"/>
      <c r="F864" s="236"/>
      <c r="G864" s="236"/>
      <c r="H864" s="40">
        <f>SUM(Tabla13211242[[#This Row],[PRIMER TRIMESTRE]:[CUARTO TRIMESTRE]])</f>
        <v>0</v>
      </c>
      <c r="I864" s="17">
        <v>24000</v>
      </c>
      <c r="J864" s="17">
        <f t="shared" si="23"/>
        <v>0</v>
      </c>
      <c r="K864" s="17"/>
      <c r="L864" s="16" t="s">
        <v>18</v>
      </c>
      <c r="M864" s="16" t="s">
        <v>22</v>
      </c>
      <c r="N864" s="39"/>
      <c r="O864" s="20"/>
    </row>
    <row r="865" spans="1:15" s="12" customFormat="1" ht="18">
      <c r="A865" s="178" t="s">
        <v>97</v>
      </c>
      <c r="B865" s="75" t="s">
        <v>1265</v>
      </c>
      <c r="C865" s="39" t="s">
        <v>17</v>
      </c>
      <c r="D865" s="236"/>
      <c r="E865" s="236"/>
      <c r="F865" s="236"/>
      <c r="G865" s="236"/>
      <c r="H865" s="40">
        <f>SUM(Tabla13211242[[#This Row],[PRIMER TRIMESTRE]:[CUARTO TRIMESTRE]])</f>
        <v>0</v>
      </c>
      <c r="I865" s="17">
        <v>20000</v>
      </c>
      <c r="J865" s="17">
        <f t="shared" si="23"/>
        <v>0</v>
      </c>
      <c r="K865" s="17"/>
      <c r="L865" s="16" t="s">
        <v>18</v>
      </c>
      <c r="M865" s="16" t="s">
        <v>22</v>
      </c>
      <c r="N865" s="39"/>
      <c r="O865" s="20"/>
    </row>
    <row r="866" spans="1:15" s="12" customFormat="1" ht="18">
      <c r="A866" s="178" t="s">
        <v>97</v>
      </c>
      <c r="B866" s="75" t="s">
        <v>1266</v>
      </c>
      <c r="C866" s="39" t="s">
        <v>17</v>
      </c>
      <c r="D866" s="236"/>
      <c r="E866" s="236"/>
      <c r="F866" s="236"/>
      <c r="G866" s="236"/>
      <c r="H866" s="40">
        <f>SUM(Tabla13211242[[#This Row],[PRIMER TRIMESTRE]:[CUARTO TRIMESTRE]])</f>
        <v>0</v>
      </c>
      <c r="I866" s="17">
        <v>18000</v>
      </c>
      <c r="J866" s="17">
        <f t="shared" si="23"/>
        <v>0</v>
      </c>
      <c r="K866" s="17"/>
      <c r="L866" s="16" t="s">
        <v>18</v>
      </c>
      <c r="M866" s="16" t="s">
        <v>22</v>
      </c>
      <c r="N866" s="39"/>
      <c r="O866" s="20"/>
    </row>
    <row r="867" spans="1:15" s="12" customFormat="1" ht="18">
      <c r="A867" s="178" t="s">
        <v>97</v>
      </c>
      <c r="B867" s="75" t="s">
        <v>1267</v>
      </c>
      <c r="C867" s="39" t="s">
        <v>17</v>
      </c>
      <c r="D867" s="236"/>
      <c r="E867" s="236"/>
      <c r="F867" s="236"/>
      <c r="G867" s="236"/>
      <c r="H867" s="40">
        <f>SUM(Tabla13211242[[#This Row],[PRIMER TRIMESTRE]:[CUARTO TRIMESTRE]])</f>
        <v>0</v>
      </c>
      <c r="I867" s="17">
        <v>15000</v>
      </c>
      <c r="J867" s="17">
        <f t="shared" si="23"/>
        <v>0</v>
      </c>
      <c r="K867" s="17"/>
      <c r="L867" s="16" t="s">
        <v>18</v>
      </c>
      <c r="M867" s="16" t="s">
        <v>22</v>
      </c>
      <c r="N867" s="39"/>
      <c r="O867" s="20"/>
    </row>
    <row r="868" spans="1:15" s="12" customFormat="1" ht="30.75" customHeight="1">
      <c r="A868" s="178" t="s">
        <v>97</v>
      </c>
      <c r="B868" s="75" t="s">
        <v>1268</v>
      </c>
      <c r="C868" s="39" t="s">
        <v>17</v>
      </c>
      <c r="D868" s="236"/>
      <c r="E868" s="236"/>
      <c r="F868" s="236"/>
      <c r="G868" s="236"/>
      <c r="H868" s="40">
        <f>SUM(Tabla13211242[[#This Row],[PRIMER TRIMESTRE]:[CUARTO TRIMESTRE]])</f>
        <v>0</v>
      </c>
      <c r="I868" s="17">
        <v>61000</v>
      </c>
      <c r="J868" s="17">
        <f t="shared" si="23"/>
        <v>0</v>
      </c>
      <c r="K868" s="17"/>
      <c r="L868" s="16" t="s">
        <v>18</v>
      </c>
      <c r="M868" s="16" t="s">
        <v>22</v>
      </c>
      <c r="N868" s="39"/>
      <c r="O868" s="20"/>
    </row>
    <row r="869" spans="1:15" s="12" customFormat="1" ht="30.75" customHeight="1">
      <c r="A869" s="178" t="s">
        <v>97</v>
      </c>
      <c r="B869" s="75" t="s">
        <v>221</v>
      </c>
      <c r="C869" s="39" t="s">
        <v>17</v>
      </c>
      <c r="D869" s="236"/>
      <c r="E869" s="236"/>
      <c r="F869" s="236"/>
      <c r="G869" s="236"/>
      <c r="H869" s="40">
        <f>SUM(Tabla13211242[[#This Row],[PRIMER TRIMESTRE]:[CUARTO TRIMESTRE]])</f>
        <v>0</v>
      </c>
      <c r="I869" s="17">
        <v>100060.44</v>
      </c>
      <c r="J869" s="17">
        <f>+Tabla13211242[[#This Row],[CANTIDAD TOTAL]]*Tabla13211242[[#This Row],[PRECIO UNITARIO ESTIMADO]]</f>
        <v>0</v>
      </c>
      <c r="K869" s="17"/>
      <c r="L869" s="16" t="s">
        <v>18</v>
      </c>
      <c r="M869" s="16" t="s">
        <v>22</v>
      </c>
      <c r="N869" s="39"/>
      <c r="O869" s="20"/>
    </row>
    <row r="870" spans="1:15" s="12" customFormat="1" ht="30.75" customHeight="1">
      <c r="A870" s="178" t="s">
        <v>97</v>
      </c>
      <c r="B870" s="75" t="s">
        <v>222</v>
      </c>
      <c r="C870" s="39" t="s">
        <v>17</v>
      </c>
      <c r="D870" s="236"/>
      <c r="E870" s="236"/>
      <c r="F870" s="236"/>
      <c r="G870" s="236"/>
      <c r="H870" s="40">
        <f>SUM(Tabla13211242[[#This Row],[PRIMER TRIMESTRE]:[CUARTO TRIMESTRE]])</f>
        <v>0</v>
      </c>
      <c r="I870" s="17">
        <v>327948.84999999998</v>
      </c>
      <c r="J870" s="17">
        <f>+Tabla13211242[[#This Row],[CANTIDAD TOTAL]]*Tabla13211242[[#This Row],[PRECIO UNITARIO ESTIMADO]]</f>
        <v>0</v>
      </c>
      <c r="K870" s="17"/>
      <c r="L870" s="16" t="s">
        <v>18</v>
      </c>
      <c r="M870" s="16" t="s">
        <v>22</v>
      </c>
      <c r="N870" s="39"/>
      <c r="O870" s="20"/>
    </row>
    <row r="871" spans="1:15" s="12" customFormat="1" ht="30.75" customHeight="1">
      <c r="A871" s="178" t="s">
        <v>97</v>
      </c>
      <c r="B871" s="75" t="s">
        <v>223</v>
      </c>
      <c r="C871" s="39" t="s">
        <v>17</v>
      </c>
      <c r="D871" s="236"/>
      <c r="E871" s="236"/>
      <c r="F871" s="236"/>
      <c r="G871" s="236"/>
      <c r="H871" s="40">
        <f>SUM(Tabla13211242[[#This Row],[PRIMER TRIMESTRE]:[CUARTO TRIMESTRE]])</f>
        <v>0</v>
      </c>
      <c r="I871" s="17">
        <v>16744.599999999999</v>
      </c>
      <c r="J871" s="17">
        <f>+Tabla13211242[[#This Row],[CANTIDAD TOTAL]]*Tabla13211242[[#This Row],[PRECIO UNITARIO ESTIMADO]]</f>
        <v>0</v>
      </c>
      <c r="K871" s="17"/>
      <c r="L871" s="16" t="s">
        <v>18</v>
      </c>
      <c r="M871" s="16" t="s">
        <v>22</v>
      </c>
      <c r="N871" s="39"/>
      <c r="O871" s="20"/>
    </row>
    <row r="872" spans="1:15" s="26" customFormat="1" ht="30.75" customHeight="1">
      <c r="A872" s="178" t="s">
        <v>97</v>
      </c>
      <c r="B872" s="75" t="s">
        <v>224</v>
      </c>
      <c r="C872" s="39" t="s">
        <v>17</v>
      </c>
      <c r="D872" s="236"/>
      <c r="E872" s="236"/>
      <c r="F872" s="236"/>
      <c r="G872" s="236"/>
      <c r="H872" s="40">
        <f>SUM(Tabla13211242[[#This Row],[PRIMER TRIMESTRE]:[CUARTO TRIMESTRE]])</f>
        <v>0</v>
      </c>
      <c r="I872" s="17">
        <v>52380.2</v>
      </c>
      <c r="J872" s="17">
        <f>+Tabla13211242[[#This Row],[CANTIDAD TOTAL]]*Tabla13211242[[#This Row],[PRECIO UNITARIO ESTIMADO]]</f>
        <v>0</v>
      </c>
      <c r="K872" s="17"/>
      <c r="L872" s="16" t="s">
        <v>18</v>
      </c>
      <c r="M872" s="16" t="s">
        <v>22</v>
      </c>
      <c r="N872" s="39"/>
      <c r="O872" s="23"/>
    </row>
    <row r="873" spans="1:15" s="26" customFormat="1" ht="30.75" customHeight="1">
      <c r="A873" s="178" t="s">
        <v>97</v>
      </c>
      <c r="B873" s="75" t="s">
        <v>225</v>
      </c>
      <c r="C873" s="39" t="s">
        <v>17</v>
      </c>
      <c r="D873" s="236"/>
      <c r="E873" s="236"/>
      <c r="F873" s="236"/>
      <c r="G873" s="236"/>
      <c r="H873" s="40">
        <f>SUM(Tabla13211242[[#This Row],[PRIMER TRIMESTRE]:[CUARTO TRIMESTRE]])</f>
        <v>0</v>
      </c>
      <c r="I873" s="17">
        <v>99342.399999999994</v>
      </c>
      <c r="J873" s="17">
        <f>+Tabla13211242[[#This Row],[CANTIDAD TOTAL]]*Tabla13211242[[#This Row],[PRECIO UNITARIO ESTIMADO]]</f>
        <v>0</v>
      </c>
      <c r="K873" s="17"/>
      <c r="L873" s="16" t="s">
        <v>18</v>
      </c>
      <c r="M873" s="16" t="s">
        <v>22</v>
      </c>
      <c r="N873" s="39"/>
      <c r="O873" s="23"/>
    </row>
    <row r="874" spans="1:15" s="26" customFormat="1" ht="30.75" customHeight="1">
      <c r="A874" s="179" t="s">
        <v>97</v>
      </c>
      <c r="B874" s="76"/>
      <c r="C874" s="42"/>
      <c r="D874" s="237"/>
      <c r="E874" s="237"/>
      <c r="F874" s="237"/>
      <c r="G874" s="237"/>
      <c r="H874" s="43"/>
      <c r="I874" s="24"/>
      <c r="J874" s="24"/>
      <c r="K874" s="25">
        <f>SUM(J814:J873)</f>
        <v>0</v>
      </c>
      <c r="L874" s="23"/>
      <c r="M874" s="23"/>
      <c r="N874" s="42"/>
      <c r="O874" s="23"/>
    </row>
    <row r="875" spans="1:15" s="26" customFormat="1" ht="30.75" customHeight="1">
      <c r="A875" s="178" t="s">
        <v>948</v>
      </c>
      <c r="B875" s="75" t="s">
        <v>949</v>
      </c>
      <c r="C875" s="39" t="s">
        <v>17</v>
      </c>
      <c r="D875" s="236"/>
      <c r="E875" s="236"/>
      <c r="F875" s="236"/>
      <c r="G875" s="236"/>
      <c r="H875" s="40">
        <f>SUM(Tabla13211242[[#This Row],[PRIMER TRIMESTRE]:[CUARTO TRIMESTRE]])</f>
        <v>0</v>
      </c>
      <c r="I875" s="17">
        <v>227000</v>
      </c>
      <c r="J875" s="17">
        <f t="shared" ref="J875:J886" si="24">+H875*I875</f>
        <v>0</v>
      </c>
      <c r="K875" s="17"/>
      <c r="L875" s="16" t="s">
        <v>18</v>
      </c>
      <c r="M875" s="16" t="s">
        <v>22</v>
      </c>
      <c r="N875" s="16"/>
      <c r="O875" s="23"/>
    </row>
    <row r="876" spans="1:15" s="26" customFormat="1" ht="30.75" customHeight="1">
      <c r="A876" s="178" t="s">
        <v>948</v>
      </c>
      <c r="B876" s="75" t="s">
        <v>950</v>
      </c>
      <c r="C876" s="39" t="s">
        <v>17</v>
      </c>
      <c r="D876" s="236"/>
      <c r="E876" s="236"/>
      <c r="F876" s="236"/>
      <c r="G876" s="236"/>
      <c r="H876" s="40">
        <f>SUM(Tabla13211242[[#This Row],[PRIMER TRIMESTRE]:[CUARTO TRIMESTRE]])</f>
        <v>0</v>
      </c>
      <c r="I876" s="17">
        <v>1118000</v>
      </c>
      <c r="J876" s="17">
        <f t="shared" si="24"/>
        <v>0</v>
      </c>
      <c r="K876" s="17"/>
      <c r="L876" s="16" t="s">
        <v>18</v>
      </c>
      <c r="M876" s="16" t="s">
        <v>22</v>
      </c>
      <c r="N876" s="16"/>
      <c r="O876" s="23"/>
    </row>
    <row r="877" spans="1:15" s="26" customFormat="1" ht="30.75" customHeight="1">
      <c r="A877" s="178" t="s">
        <v>948</v>
      </c>
      <c r="B877" s="75" t="s">
        <v>952</v>
      </c>
      <c r="C877" s="39" t="s">
        <v>17</v>
      </c>
      <c r="D877" s="236"/>
      <c r="E877" s="236"/>
      <c r="F877" s="236"/>
      <c r="G877" s="236"/>
      <c r="H877" s="40">
        <f>SUM(Tabla13211242[[#This Row],[PRIMER TRIMESTRE]:[CUARTO TRIMESTRE]])</f>
        <v>0</v>
      </c>
      <c r="I877" s="17">
        <v>3200</v>
      </c>
      <c r="J877" s="17">
        <f t="shared" si="24"/>
        <v>0</v>
      </c>
      <c r="K877" s="17"/>
      <c r="L877" s="16" t="s">
        <v>18</v>
      </c>
      <c r="M877" s="16" t="s">
        <v>22</v>
      </c>
      <c r="N877" s="39"/>
      <c r="O877" s="23"/>
    </row>
    <row r="878" spans="1:15" s="26" customFormat="1" ht="30.75" customHeight="1">
      <c r="A878" s="178" t="s">
        <v>948</v>
      </c>
      <c r="B878" s="75" t="s">
        <v>953</v>
      </c>
      <c r="C878" s="39" t="s">
        <v>17</v>
      </c>
      <c r="D878" s="236"/>
      <c r="E878" s="236"/>
      <c r="F878" s="236"/>
      <c r="G878" s="236"/>
      <c r="H878" s="40">
        <f>SUM(Tabla13211242[[#This Row],[PRIMER TRIMESTRE]:[CUARTO TRIMESTRE]])</f>
        <v>0</v>
      </c>
      <c r="I878" s="17">
        <v>96.7</v>
      </c>
      <c r="J878" s="17">
        <f t="shared" si="24"/>
        <v>0</v>
      </c>
      <c r="K878" s="17"/>
      <c r="L878" s="16" t="s">
        <v>18</v>
      </c>
      <c r="M878" s="16" t="s">
        <v>22</v>
      </c>
      <c r="N878" s="39"/>
      <c r="O878" s="23"/>
    </row>
    <row r="879" spans="1:15" s="26" customFormat="1" ht="30.75" customHeight="1">
      <c r="A879" s="178" t="s">
        <v>948</v>
      </c>
      <c r="B879" s="75" t="s">
        <v>954</v>
      </c>
      <c r="C879" s="39" t="s">
        <v>17</v>
      </c>
      <c r="D879" s="236"/>
      <c r="E879" s="236"/>
      <c r="F879" s="236"/>
      <c r="G879" s="236"/>
      <c r="H879" s="40">
        <f>SUM(Tabla13211242[[#This Row],[PRIMER TRIMESTRE]:[CUARTO TRIMESTRE]])</f>
        <v>0</v>
      </c>
      <c r="I879" s="17">
        <v>113850</v>
      </c>
      <c r="J879" s="17">
        <f t="shared" si="24"/>
        <v>0</v>
      </c>
      <c r="K879" s="17"/>
      <c r="L879" s="16" t="s">
        <v>18</v>
      </c>
      <c r="M879" s="16" t="s">
        <v>22</v>
      </c>
      <c r="N879" s="39"/>
      <c r="O879" s="23"/>
    </row>
    <row r="880" spans="1:15" s="26" customFormat="1" ht="30.75" customHeight="1">
      <c r="A880" s="178" t="s">
        <v>948</v>
      </c>
      <c r="B880" s="75" t="s">
        <v>955</v>
      </c>
      <c r="C880" s="39" t="s">
        <v>17</v>
      </c>
      <c r="D880" s="236"/>
      <c r="E880" s="236"/>
      <c r="F880" s="236"/>
      <c r="G880" s="236"/>
      <c r="H880" s="40">
        <f>SUM(Tabla13211242[[#This Row],[PRIMER TRIMESTRE]:[CUARTO TRIMESTRE]])</f>
        <v>0</v>
      </c>
      <c r="I880" s="17">
        <v>57914</v>
      </c>
      <c r="J880" s="17">
        <f t="shared" si="24"/>
        <v>0</v>
      </c>
      <c r="K880" s="17"/>
      <c r="L880" s="16" t="s">
        <v>18</v>
      </c>
      <c r="M880" s="16" t="s">
        <v>22</v>
      </c>
      <c r="N880" s="39"/>
      <c r="O880" s="23"/>
    </row>
    <row r="881" spans="1:15" s="26" customFormat="1" ht="30.75" customHeight="1">
      <c r="A881" s="178" t="s">
        <v>948</v>
      </c>
      <c r="B881" s="75" t="s">
        <v>956</v>
      </c>
      <c r="C881" s="39" t="s">
        <v>17</v>
      </c>
      <c r="D881" s="236"/>
      <c r="E881" s="236"/>
      <c r="F881" s="236"/>
      <c r="G881" s="236"/>
      <c r="H881" s="40">
        <f>SUM(Tabla13211242[[#This Row],[PRIMER TRIMESTRE]:[CUARTO TRIMESTRE]])</f>
        <v>0</v>
      </c>
      <c r="I881" s="17">
        <v>908000</v>
      </c>
      <c r="J881" s="17">
        <f t="shared" si="24"/>
        <v>0</v>
      </c>
      <c r="K881" s="17"/>
      <c r="L881" s="16" t="s">
        <v>18</v>
      </c>
      <c r="M881" s="16" t="s">
        <v>22</v>
      </c>
      <c r="N881" s="39"/>
      <c r="O881" s="23"/>
    </row>
    <row r="882" spans="1:15" s="26" customFormat="1" ht="30.75" customHeight="1">
      <c r="A882" s="178" t="s">
        <v>948</v>
      </c>
      <c r="B882" s="75" t="s">
        <v>957</v>
      </c>
      <c r="C882" s="39" t="s">
        <v>17</v>
      </c>
      <c r="D882" s="236"/>
      <c r="E882" s="236"/>
      <c r="F882" s="236"/>
      <c r="G882" s="236"/>
      <c r="H882" s="40">
        <f>SUM(Tabla13211242[[#This Row],[PRIMER TRIMESTRE]:[CUARTO TRIMESTRE]])</f>
        <v>0</v>
      </c>
      <c r="I882" s="17">
        <v>10000</v>
      </c>
      <c r="J882" s="17">
        <f t="shared" si="24"/>
        <v>0</v>
      </c>
      <c r="K882" s="17"/>
      <c r="L882" s="16" t="s">
        <v>18</v>
      </c>
      <c r="M882" s="16" t="s">
        <v>22</v>
      </c>
      <c r="N882" s="39"/>
      <c r="O882" s="23"/>
    </row>
    <row r="883" spans="1:15" s="26" customFormat="1" ht="30.75" customHeight="1">
      <c r="A883" s="178" t="s">
        <v>948</v>
      </c>
      <c r="B883" s="75" t="s">
        <v>958</v>
      </c>
      <c r="C883" s="39" t="s">
        <v>17</v>
      </c>
      <c r="D883" s="236"/>
      <c r="E883" s="236"/>
      <c r="F883" s="236"/>
      <c r="G883" s="236"/>
      <c r="H883" s="40">
        <f>SUM(Tabla13211242[[#This Row],[PRIMER TRIMESTRE]:[CUARTO TRIMESTRE]])</f>
        <v>0</v>
      </c>
      <c r="I883" s="17">
        <v>37500</v>
      </c>
      <c r="J883" s="17">
        <f t="shared" si="24"/>
        <v>0</v>
      </c>
      <c r="K883" s="17"/>
      <c r="L883" s="16" t="s">
        <v>18</v>
      </c>
      <c r="M883" s="16" t="s">
        <v>22</v>
      </c>
      <c r="N883" s="39"/>
      <c r="O883" s="23"/>
    </row>
    <row r="884" spans="1:15" s="26" customFormat="1" ht="30.75" customHeight="1">
      <c r="A884" s="178" t="s">
        <v>948</v>
      </c>
      <c r="B884" s="75" t="s">
        <v>951</v>
      </c>
      <c r="C884" s="39" t="s">
        <v>17</v>
      </c>
      <c r="D884" s="236"/>
      <c r="E884" s="236"/>
      <c r="F884" s="236"/>
      <c r="G884" s="236"/>
      <c r="H884" s="40">
        <f>SUM(Tabla13211242[[#This Row],[PRIMER TRIMESTRE]:[CUARTO TRIMESTRE]])</f>
        <v>0</v>
      </c>
      <c r="I884" s="17">
        <v>120</v>
      </c>
      <c r="J884" s="17">
        <f t="shared" si="24"/>
        <v>0</v>
      </c>
      <c r="K884" s="17"/>
      <c r="L884" s="16" t="s">
        <v>18</v>
      </c>
      <c r="M884" s="16" t="s">
        <v>22</v>
      </c>
      <c r="N884" s="39"/>
      <c r="O884" s="23"/>
    </row>
    <row r="885" spans="1:15" s="26" customFormat="1" ht="30.75" customHeight="1">
      <c r="A885" s="178" t="s">
        <v>948</v>
      </c>
      <c r="B885" s="75" t="s">
        <v>959</v>
      </c>
      <c r="C885" s="39" t="s">
        <v>17</v>
      </c>
      <c r="D885" s="236"/>
      <c r="E885" s="236"/>
      <c r="F885" s="236"/>
      <c r="G885" s="236"/>
      <c r="H885" s="40">
        <f>SUM(Tabla13211242[[#This Row],[PRIMER TRIMESTRE]:[CUARTO TRIMESTRE]])</f>
        <v>0</v>
      </c>
      <c r="I885" s="17">
        <v>2627</v>
      </c>
      <c r="J885" s="17">
        <f t="shared" si="24"/>
        <v>0</v>
      </c>
      <c r="K885" s="17"/>
      <c r="L885" s="16" t="s">
        <v>18</v>
      </c>
      <c r="M885" s="16" t="s">
        <v>22</v>
      </c>
      <c r="N885" s="39"/>
      <c r="O885" s="23"/>
    </row>
    <row r="886" spans="1:15" s="12" customFormat="1" ht="30.75" customHeight="1">
      <c r="A886" s="178" t="s">
        <v>948</v>
      </c>
      <c r="B886" s="75" t="s">
        <v>963</v>
      </c>
      <c r="C886" s="39" t="s">
        <v>17</v>
      </c>
      <c r="D886" s="236"/>
      <c r="E886" s="236"/>
      <c r="F886" s="236"/>
      <c r="G886" s="236"/>
      <c r="H886" s="40">
        <f>SUM(Tabla13211242[[#This Row],[PRIMER TRIMESTRE]:[CUARTO TRIMESTRE]])</f>
        <v>0</v>
      </c>
      <c r="I886" s="17">
        <v>2552.54</v>
      </c>
      <c r="J886" s="17">
        <f t="shared" si="24"/>
        <v>0</v>
      </c>
      <c r="K886" s="17"/>
      <c r="L886" s="16" t="s">
        <v>18</v>
      </c>
      <c r="M886" s="16" t="s">
        <v>22</v>
      </c>
      <c r="N886" s="39"/>
      <c r="O886" s="20"/>
    </row>
    <row r="887" spans="1:15" s="12" customFormat="1" ht="30.75" customHeight="1">
      <c r="A887" s="179" t="s">
        <v>948</v>
      </c>
      <c r="B887" s="76"/>
      <c r="C887" s="42"/>
      <c r="D887" s="237"/>
      <c r="E887" s="237"/>
      <c r="F887" s="237"/>
      <c r="G887" s="237"/>
      <c r="H887" s="42"/>
      <c r="I887" s="42"/>
      <c r="J887" s="42"/>
      <c r="K887" s="25">
        <f>SUM(J875:J886)</f>
        <v>0</v>
      </c>
      <c r="L887" s="23"/>
      <c r="M887" s="23"/>
      <c r="N887" s="42"/>
      <c r="O887" s="20"/>
    </row>
    <row r="888" spans="1:15" s="12" customFormat="1" ht="30.75" customHeight="1">
      <c r="A888" s="178" t="s">
        <v>99</v>
      </c>
      <c r="B888" s="75" t="s">
        <v>1856</v>
      </c>
      <c r="C888" s="176" t="s">
        <v>17</v>
      </c>
      <c r="D888" s="75"/>
      <c r="E888" s="75"/>
      <c r="F888" s="75">
        <v>1</v>
      </c>
      <c r="G888" s="75"/>
      <c r="H888" s="176">
        <v>1</v>
      </c>
      <c r="I888" s="17">
        <v>3500</v>
      </c>
      <c r="J888" s="17">
        <f t="shared" ref="J888:J893" si="25">+H888*I888</f>
        <v>3500</v>
      </c>
      <c r="K888" s="75"/>
      <c r="L888" s="16" t="s">
        <v>18</v>
      </c>
      <c r="M888" s="16" t="s">
        <v>22</v>
      </c>
      <c r="N888" s="39" t="s">
        <v>418</v>
      </c>
      <c r="O888" s="20"/>
    </row>
    <row r="889" spans="1:15" s="12" customFormat="1" ht="37.5" customHeight="1">
      <c r="A889" s="178" t="s">
        <v>99</v>
      </c>
      <c r="B889" s="75" t="s">
        <v>1857</v>
      </c>
      <c r="C889" s="176" t="s">
        <v>17</v>
      </c>
      <c r="D889" s="75"/>
      <c r="E889" s="75"/>
      <c r="F889" s="75">
        <v>1</v>
      </c>
      <c r="G889" s="75"/>
      <c r="H889" s="176">
        <v>1</v>
      </c>
      <c r="I889" s="17">
        <v>3500</v>
      </c>
      <c r="J889" s="17">
        <f t="shared" si="25"/>
        <v>3500</v>
      </c>
      <c r="K889" s="286"/>
      <c r="L889" s="16" t="s">
        <v>18</v>
      </c>
      <c r="M889" s="16" t="s">
        <v>22</v>
      </c>
      <c r="N889" s="39" t="s">
        <v>418</v>
      </c>
      <c r="O889" s="20"/>
    </row>
    <row r="890" spans="1:15" s="12" customFormat="1" ht="30.75" customHeight="1">
      <c r="A890" s="178" t="s">
        <v>99</v>
      </c>
      <c r="B890" s="75" t="s">
        <v>1858</v>
      </c>
      <c r="C890" s="176" t="s">
        <v>17</v>
      </c>
      <c r="D890" s="75"/>
      <c r="E890" s="75"/>
      <c r="F890" s="75">
        <v>1</v>
      </c>
      <c r="G890" s="75"/>
      <c r="H890" s="176">
        <v>1</v>
      </c>
      <c r="I890" s="17">
        <v>3500</v>
      </c>
      <c r="J890" s="17">
        <f t="shared" si="25"/>
        <v>3500</v>
      </c>
      <c r="K890" s="75"/>
      <c r="L890" s="16" t="s">
        <v>18</v>
      </c>
      <c r="M890" s="16" t="s">
        <v>22</v>
      </c>
      <c r="N890" s="39" t="s">
        <v>418</v>
      </c>
      <c r="O890" s="20"/>
    </row>
    <row r="891" spans="1:15" s="12" customFormat="1" ht="30.75" customHeight="1">
      <c r="A891" s="178" t="s">
        <v>99</v>
      </c>
      <c r="B891" s="75" t="s">
        <v>1859</v>
      </c>
      <c r="C891" s="176" t="s">
        <v>290</v>
      </c>
      <c r="D891" s="75"/>
      <c r="E891" s="75"/>
      <c r="F891" s="75"/>
      <c r="G891" s="75"/>
      <c r="H891" s="176">
        <v>0</v>
      </c>
      <c r="I891" s="17">
        <v>0</v>
      </c>
      <c r="J891" s="17">
        <f t="shared" si="25"/>
        <v>0</v>
      </c>
      <c r="K891" s="75"/>
      <c r="L891" s="16" t="s">
        <v>18</v>
      </c>
      <c r="M891" s="16" t="s">
        <v>22</v>
      </c>
      <c r="N891" s="39" t="s">
        <v>418</v>
      </c>
      <c r="O891" s="20"/>
    </row>
    <row r="892" spans="1:15" s="12" customFormat="1" ht="30.75" customHeight="1">
      <c r="A892" s="178" t="s">
        <v>99</v>
      </c>
      <c r="B892" s="75" t="s">
        <v>1650</v>
      </c>
      <c r="C892" s="176" t="s">
        <v>290</v>
      </c>
      <c r="D892" s="75"/>
      <c r="E892" s="75"/>
      <c r="F892" s="75"/>
      <c r="G892" s="75"/>
      <c r="H892" s="176">
        <v>0</v>
      </c>
      <c r="I892" s="17">
        <v>0</v>
      </c>
      <c r="J892" s="17">
        <f t="shared" si="25"/>
        <v>0</v>
      </c>
      <c r="K892" s="75"/>
      <c r="L892" s="16" t="s">
        <v>18</v>
      </c>
      <c r="M892" s="16" t="s">
        <v>22</v>
      </c>
      <c r="N892" s="39" t="s">
        <v>418</v>
      </c>
      <c r="O892" s="20"/>
    </row>
    <row r="893" spans="1:15" s="12" customFormat="1" ht="30.75" customHeight="1">
      <c r="A893" s="178" t="s">
        <v>99</v>
      </c>
      <c r="B893" s="75" t="s">
        <v>306</v>
      </c>
      <c r="C893" s="39" t="s">
        <v>33</v>
      </c>
      <c r="D893" s="236">
        <v>1</v>
      </c>
      <c r="E893" s="236">
        <v>1</v>
      </c>
      <c r="F893" s="236">
        <v>1</v>
      </c>
      <c r="G893" s="236">
        <v>1</v>
      </c>
      <c r="H893" s="40">
        <f>SUM(Tabla13211242[[#This Row],[PRIMER TRIMESTRE]:[CUARTO TRIMESTRE]])</f>
        <v>4</v>
      </c>
      <c r="I893" s="17">
        <v>260</v>
      </c>
      <c r="J893" s="17">
        <f t="shared" si="25"/>
        <v>1040</v>
      </c>
      <c r="K893" s="17"/>
      <c r="L893" s="16" t="s">
        <v>18</v>
      </c>
      <c r="M893" s="16" t="s">
        <v>22</v>
      </c>
      <c r="N893" s="39" t="s">
        <v>418</v>
      </c>
      <c r="O893" s="20"/>
    </row>
    <row r="894" spans="1:15" s="12" customFormat="1" ht="30.75" customHeight="1">
      <c r="A894" s="178" t="s">
        <v>99</v>
      </c>
      <c r="B894" s="75" t="s">
        <v>307</v>
      </c>
      <c r="C894" s="39" t="s">
        <v>308</v>
      </c>
      <c r="D894" s="236"/>
      <c r="E894" s="236"/>
      <c r="F894" s="236"/>
      <c r="G894" s="236"/>
      <c r="H894" s="40">
        <f>SUM(Tabla13211242[[#This Row],[PRIMER TRIMESTRE]:[CUARTO TRIMESTRE]])</f>
        <v>0</v>
      </c>
      <c r="I894" s="17">
        <v>1237.82</v>
      </c>
      <c r="J894" s="17">
        <f>+Tabla13211242[[#This Row],[CANTIDAD TOTAL]]*Tabla13211242[[#This Row],[PRECIO UNITARIO ESTIMADO]]</f>
        <v>0</v>
      </c>
      <c r="K894" s="17"/>
      <c r="L894" s="16" t="s">
        <v>18</v>
      </c>
      <c r="M894" s="16" t="s">
        <v>22</v>
      </c>
      <c r="N894" s="39" t="s">
        <v>418</v>
      </c>
      <c r="O894" s="20"/>
    </row>
    <row r="895" spans="1:15" s="12" customFormat="1" ht="30.75" customHeight="1">
      <c r="A895" s="178" t="s">
        <v>99</v>
      </c>
      <c r="B895" s="75" t="s">
        <v>309</v>
      </c>
      <c r="C895" s="39" t="s">
        <v>308</v>
      </c>
      <c r="D895" s="236"/>
      <c r="E895" s="236"/>
      <c r="F895" s="236"/>
      <c r="G895" s="236"/>
      <c r="H895" s="40">
        <f>SUM(Tabla13211242[[#This Row],[PRIMER TRIMESTRE]:[CUARTO TRIMESTRE]])</f>
        <v>0</v>
      </c>
      <c r="I895" s="17">
        <v>1770</v>
      </c>
      <c r="J895" s="17">
        <f>+Tabla13211242[[#This Row],[CANTIDAD TOTAL]]*Tabla13211242[[#This Row],[PRECIO UNITARIO ESTIMADO]]</f>
        <v>0</v>
      </c>
      <c r="K895" s="17"/>
      <c r="L895" s="16" t="s">
        <v>18</v>
      </c>
      <c r="M895" s="16" t="s">
        <v>22</v>
      </c>
      <c r="N895" s="39" t="s">
        <v>418</v>
      </c>
      <c r="O895" s="20"/>
    </row>
    <row r="896" spans="1:15" s="12" customFormat="1" ht="30.75" customHeight="1">
      <c r="A896" s="178" t="s">
        <v>99</v>
      </c>
      <c r="B896" s="75" t="s">
        <v>230</v>
      </c>
      <c r="C896" s="39" t="s">
        <v>17</v>
      </c>
      <c r="D896" s="236"/>
      <c r="E896" s="236"/>
      <c r="F896" s="236"/>
      <c r="G896" s="236"/>
      <c r="H896" s="40">
        <f>SUM(Tabla13211242[[#This Row],[PRIMER TRIMESTRE]:[CUARTO TRIMESTRE]])</f>
        <v>0</v>
      </c>
      <c r="I896" s="17">
        <v>1740</v>
      </c>
      <c r="J896" s="17">
        <f>+Tabla13211242[[#This Row],[CANTIDAD TOTAL]]*Tabla13211242[[#This Row],[PRECIO UNITARIO ESTIMADO]]</f>
        <v>0</v>
      </c>
      <c r="K896" s="17"/>
      <c r="L896" s="16" t="s">
        <v>18</v>
      </c>
      <c r="M896" s="16" t="s">
        <v>22</v>
      </c>
      <c r="N896" s="39" t="s">
        <v>418</v>
      </c>
      <c r="O896" s="20"/>
    </row>
    <row r="897" spans="1:15" s="12" customFormat="1" ht="30.75" customHeight="1">
      <c r="A897" s="178" t="s">
        <v>99</v>
      </c>
      <c r="B897" s="75" t="s">
        <v>310</v>
      </c>
      <c r="C897" s="39" t="s">
        <v>308</v>
      </c>
      <c r="D897" s="236"/>
      <c r="E897" s="236"/>
      <c r="F897" s="236"/>
      <c r="G897" s="236"/>
      <c r="H897" s="40">
        <f>SUM(Tabla13211242[[#This Row],[PRIMER TRIMESTRE]:[CUARTO TRIMESTRE]])</f>
        <v>0</v>
      </c>
      <c r="I897" s="17">
        <v>1298</v>
      </c>
      <c r="J897" s="17">
        <f>+Tabla13211242[[#This Row],[CANTIDAD TOTAL]]*Tabla13211242[[#This Row],[PRECIO UNITARIO ESTIMADO]]</f>
        <v>0</v>
      </c>
      <c r="K897" s="17"/>
      <c r="L897" s="16" t="s">
        <v>18</v>
      </c>
      <c r="M897" s="16" t="s">
        <v>22</v>
      </c>
      <c r="N897" s="39" t="s">
        <v>418</v>
      </c>
      <c r="O897" s="20"/>
    </row>
    <row r="898" spans="1:15" s="12" customFormat="1" ht="30.75" customHeight="1">
      <c r="A898" s="178" t="s">
        <v>99</v>
      </c>
      <c r="B898" s="75" t="s">
        <v>311</v>
      </c>
      <c r="C898" s="39" t="s">
        <v>312</v>
      </c>
      <c r="D898" s="236"/>
      <c r="E898" s="236"/>
      <c r="F898" s="236"/>
      <c r="G898" s="236"/>
      <c r="H898" s="40">
        <f>SUM(Tabla13211242[[#This Row],[PRIMER TRIMESTRE]:[CUARTO TRIMESTRE]])</f>
        <v>0</v>
      </c>
      <c r="I898" s="17">
        <v>3418.58</v>
      </c>
      <c r="J898" s="17">
        <f>+Tabla13211242[[#This Row],[CANTIDAD TOTAL]]*Tabla13211242[[#This Row],[PRECIO UNITARIO ESTIMADO]]</f>
        <v>0</v>
      </c>
      <c r="K898" s="17"/>
      <c r="L898" s="16" t="s">
        <v>18</v>
      </c>
      <c r="M898" s="16" t="s">
        <v>22</v>
      </c>
      <c r="N898" s="39" t="s">
        <v>418</v>
      </c>
      <c r="O898" s="20"/>
    </row>
    <row r="899" spans="1:15" s="12" customFormat="1" ht="30.75" customHeight="1">
      <c r="A899" s="178" t="s">
        <v>99</v>
      </c>
      <c r="B899" s="75" t="s">
        <v>314</v>
      </c>
      <c r="C899" s="39" t="s">
        <v>315</v>
      </c>
      <c r="D899" s="236">
        <v>1</v>
      </c>
      <c r="E899" s="236"/>
      <c r="F899" s="236"/>
      <c r="G899" s="236"/>
      <c r="H899" s="40">
        <v>1</v>
      </c>
      <c r="I899" s="17">
        <v>1569.4</v>
      </c>
      <c r="J899" s="17">
        <f>+Tabla13211242[[#This Row],[CANTIDAD TOTAL]]*Tabla13211242[[#This Row],[PRECIO UNITARIO ESTIMADO]]</f>
        <v>1569.4</v>
      </c>
      <c r="K899" s="17"/>
      <c r="L899" s="16" t="s">
        <v>18</v>
      </c>
      <c r="M899" s="16" t="s">
        <v>22</v>
      </c>
      <c r="N899" s="39" t="s">
        <v>418</v>
      </c>
      <c r="O899" s="20"/>
    </row>
    <row r="900" spans="1:15" s="12" customFormat="1" ht="30">
      <c r="A900" s="178" t="s">
        <v>99</v>
      </c>
      <c r="B900" s="75" t="s">
        <v>313</v>
      </c>
      <c r="C900" s="39" t="s">
        <v>308</v>
      </c>
      <c r="D900" s="236"/>
      <c r="E900" s="236"/>
      <c r="F900" s="236"/>
      <c r="G900" s="236"/>
      <c r="H900" s="40">
        <f>SUM(Tabla13211242[[#This Row],[PRIMER TRIMESTRE]:[CUARTO TRIMESTRE]])</f>
        <v>0</v>
      </c>
      <c r="I900" s="17">
        <v>3651.69</v>
      </c>
      <c r="J900" s="17">
        <f>+Tabla13211242[[#This Row],[CANTIDAD TOTAL]]*Tabla13211242[[#This Row],[PRECIO UNITARIO ESTIMADO]]</f>
        <v>0</v>
      </c>
      <c r="K900" s="17"/>
      <c r="L900" s="16" t="s">
        <v>18</v>
      </c>
      <c r="M900" s="16" t="s">
        <v>22</v>
      </c>
      <c r="N900" s="39" t="s">
        <v>418</v>
      </c>
      <c r="O900" s="20"/>
    </row>
    <row r="901" spans="1:15" s="12" customFormat="1" ht="30">
      <c r="A901" s="178" t="s">
        <v>99</v>
      </c>
      <c r="B901" s="75" t="s">
        <v>231</v>
      </c>
      <c r="C901" s="39" t="s">
        <v>17</v>
      </c>
      <c r="D901" s="236">
        <v>250</v>
      </c>
      <c r="E901" s="236">
        <v>250</v>
      </c>
      <c r="F901" s="236">
        <v>250</v>
      </c>
      <c r="G901" s="236">
        <v>250</v>
      </c>
      <c r="H901" s="40">
        <f>SUM(Tabla13211242[[#This Row],[PRIMER TRIMESTRE]:[CUARTO TRIMESTRE]])</f>
        <v>1000</v>
      </c>
      <c r="I901" s="17">
        <v>574.20000000000005</v>
      </c>
      <c r="J901" s="17">
        <f>+Tabla13211242[[#This Row],[CANTIDAD TOTAL]]*Tabla13211242[[#This Row],[PRECIO UNITARIO ESTIMADO]]</f>
        <v>574200</v>
      </c>
      <c r="K901" s="17"/>
      <c r="L901" s="16" t="s">
        <v>18</v>
      </c>
      <c r="M901" s="16" t="s">
        <v>22</v>
      </c>
      <c r="N901" s="39" t="s">
        <v>418</v>
      </c>
      <c r="O901" s="20"/>
    </row>
    <row r="902" spans="1:15" s="12" customFormat="1" ht="30">
      <c r="A902" s="178" t="s">
        <v>99</v>
      </c>
      <c r="B902" s="75" t="s">
        <v>232</v>
      </c>
      <c r="C902" s="39" t="s">
        <v>17</v>
      </c>
      <c r="D902" s="236">
        <v>5</v>
      </c>
      <c r="E902" s="236"/>
      <c r="F902" s="236"/>
      <c r="G902" s="236">
        <v>5</v>
      </c>
      <c r="H902" s="40">
        <v>10</v>
      </c>
      <c r="I902" s="17">
        <v>1035</v>
      </c>
      <c r="J902" s="17">
        <f>+Tabla13211242[[#This Row],[CANTIDAD TOTAL]]*Tabla13211242[[#This Row],[PRECIO UNITARIO ESTIMADO]]</f>
        <v>10350</v>
      </c>
      <c r="K902" s="17"/>
      <c r="L902" s="16" t="s">
        <v>18</v>
      </c>
      <c r="M902" s="16" t="s">
        <v>22</v>
      </c>
      <c r="N902" s="39" t="s">
        <v>418</v>
      </c>
      <c r="O902" s="20"/>
    </row>
    <row r="903" spans="1:15" s="12" customFormat="1" ht="30">
      <c r="A903" s="178" t="s">
        <v>99</v>
      </c>
      <c r="B903" s="75" t="s">
        <v>1031</v>
      </c>
      <c r="C903" s="39" t="s">
        <v>1037</v>
      </c>
      <c r="D903" s="236">
        <v>70</v>
      </c>
      <c r="E903" s="236">
        <v>70</v>
      </c>
      <c r="F903" s="236">
        <v>70</v>
      </c>
      <c r="G903" s="236">
        <v>70</v>
      </c>
      <c r="H903" s="40">
        <f>SUM(Tabla13211242[[#This Row],[PRIMER TRIMESTRE]:[CUARTO TRIMESTRE]])</f>
        <v>280</v>
      </c>
      <c r="I903" s="17">
        <v>3800</v>
      </c>
      <c r="J903" s="17">
        <f t="shared" ref="J903:J968" si="26">+H903*I903</f>
        <v>1064000</v>
      </c>
      <c r="K903" s="17"/>
      <c r="L903" s="16" t="s">
        <v>18</v>
      </c>
      <c r="M903" s="16" t="s">
        <v>22</v>
      </c>
      <c r="N903" s="39" t="s">
        <v>418</v>
      </c>
      <c r="O903" s="20"/>
    </row>
    <row r="904" spans="1:15" s="12" customFormat="1" ht="30">
      <c r="A904" s="178" t="s">
        <v>99</v>
      </c>
      <c r="B904" s="75" t="s">
        <v>1032</v>
      </c>
      <c r="C904" s="39" t="s">
        <v>1037</v>
      </c>
      <c r="D904" s="236"/>
      <c r="E904" s="236"/>
      <c r="F904" s="236">
        <v>1</v>
      </c>
      <c r="G904" s="236"/>
      <c r="H904" s="40">
        <v>1</v>
      </c>
      <c r="I904" s="17">
        <v>11200</v>
      </c>
      <c r="J904" s="17">
        <f t="shared" si="26"/>
        <v>11200</v>
      </c>
      <c r="K904" s="17"/>
      <c r="L904" s="16" t="s">
        <v>18</v>
      </c>
      <c r="M904" s="16" t="s">
        <v>22</v>
      </c>
      <c r="N904" s="39" t="s">
        <v>418</v>
      </c>
      <c r="O904" s="20"/>
    </row>
    <row r="905" spans="1:15" s="12" customFormat="1" ht="30">
      <c r="A905" s="178" t="s">
        <v>99</v>
      </c>
      <c r="B905" s="75" t="s">
        <v>1033</v>
      </c>
      <c r="C905" s="39" t="s">
        <v>1037</v>
      </c>
      <c r="D905" s="236">
        <v>3</v>
      </c>
      <c r="E905" s="236">
        <v>3</v>
      </c>
      <c r="F905" s="236">
        <v>3</v>
      </c>
      <c r="G905" s="236">
        <v>3</v>
      </c>
      <c r="H905" s="40">
        <f>SUM(Tabla13211242[[#This Row],[PRIMER TRIMESTRE]:[CUARTO TRIMESTRE]])</f>
        <v>12</v>
      </c>
      <c r="I905" s="17">
        <v>3700</v>
      </c>
      <c r="J905" s="17">
        <f t="shared" si="26"/>
        <v>44400</v>
      </c>
      <c r="K905" s="17"/>
      <c r="L905" s="16" t="s">
        <v>18</v>
      </c>
      <c r="M905" s="16" t="s">
        <v>22</v>
      </c>
      <c r="N905" s="39" t="s">
        <v>418</v>
      </c>
      <c r="O905" s="20"/>
    </row>
    <row r="906" spans="1:15" s="12" customFormat="1" ht="30">
      <c r="A906" s="178" t="s">
        <v>99</v>
      </c>
      <c r="B906" s="75" t="s">
        <v>1034</v>
      </c>
      <c r="C906" s="39" t="s">
        <v>1037</v>
      </c>
      <c r="D906" s="236"/>
      <c r="E906" s="236"/>
      <c r="F906" s="236">
        <v>1</v>
      </c>
      <c r="G906" s="236"/>
      <c r="H906" s="40">
        <v>1</v>
      </c>
      <c r="I906" s="17">
        <v>4500</v>
      </c>
      <c r="J906" s="17">
        <f t="shared" si="26"/>
        <v>4500</v>
      </c>
      <c r="K906" s="17"/>
      <c r="L906" s="16" t="s">
        <v>15</v>
      </c>
      <c r="M906" s="16" t="s">
        <v>22</v>
      </c>
      <c r="N906" s="39" t="s">
        <v>418</v>
      </c>
      <c r="O906" s="20"/>
    </row>
    <row r="907" spans="1:15" s="12" customFormat="1" ht="30">
      <c r="A907" s="178" t="s">
        <v>99</v>
      </c>
      <c r="B907" s="75" t="s">
        <v>1860</v>
      </c>
      <c r="C907" s="39" t="s">
        <v>1037</v>
      </c>
      <c r="D907" s="236">
        <v>1</v>
      </c>
      <c r="E907" s="236"/>
      <c r="F907" s="236"/>
      <c r="G907" s="236"/>
      <c r="H907" s="40">
        <v>1</v>
      </c>
      <c r="I907" s="17">
        <v>4500</v>
      </c>
      <c r="J907" s="17">
        <v>4500</v>
      </c>
      <c r="K907" s="17"/>
      <c r="L907" s="16"/>
      <c r="M907" s="16"/>
      <c r="N907" s="39"/>
      <c r="O907" s="20"/>
    </row>
    <row r="908" spans="1:15" s="12" customFormat="1" ht="30">
      <c r="A908" s="178" t="s">
        <v>99</v>
      </c>
      <c r="B908" s="75" t="s">
        <v>1035</v>
      </c>
      <c r="C908" s="39" t="s">
        <v>1037</v>
      </c>
      <c r="D908" s="236"/>
      <c r="E908" s="236"/>
      <c r="F908" s="236"/>
      <c r="G908" s="236"/>
      <c r="H908" s="40">
        <f>SUM(Tabla13211242[[#This Row],[PRIMER TRIMESTRE]:[CUARTO TRIMESTRE]])</f>
        <v>0</v>
      </c>
      <c r="I908" s="17">
        <v>2800</v>
      </c>
      <c r="J908" s="17">
        <f t="shared" si="26"/>
        <v>0</v>
      </c>
      <c r="K908" s="17"/>
      <c r="L908" s="16" t="s">
        <v>15</v>
      </c>
      <c r="M908" s="16" t="s">
        <v>22</v>
      </c>
      <c r="N908" s="39" t="s">
        <v>418</v>
      </c>
      <c r="O908" s="20"/>
    </row>
    <row r="909" spans="1:15" s="12" customFormat="1" ht="30">
      <c r="A909" s="178" t="s">
        <v>99</v>
      </c>
      <c r="B909" s="75" t="s">
        <v>1036</v>
      </c>
      <c r="C909" s="39" t="s">
        <v>1037</v>
      </c>
      <c r="D909" s="236">
        <v>3</v>
      </c>
      <c r="E909" s="236">
        <v>3</v>
      </c>
      <c r="F909" s="236">
        <v>3</v>
      </c>
      <c r="G909" s="236">
        <v>3</v>
      </c>
      <c r="H909" s="40">
        <f>SUM(Tabla13211242[[#This Row],[PRIMER TRIMESTRE]:[CUARTO TRIMESTRE]])</f>
        <v>12</v>
      </c>
      <c r="I909" s="17">
        <v>3500</v>
      </c>
      <c r="J909" s="17">
        <f t="shared" si="26"/>
        <v>42000</v>
      </c>
      <c r="K909" s="17"/>
      <c r="L909" s="16" t="s">
        <v>18</v>
      </c>
      <c r="M909" s="16" t="s">
        <v>22</v>
      </c>
      <c r="N909" s="39" t="s">
        <v>418</v>
      </c>
      <c r="O909" s="20"/>
    </row>
    <row r="910" spans="1:15" s="12" customFormat="1" ht="30">
      <c r="A910" s="178" t="s">
        <v>99</v>
      </c>
      <c r="B910" s="75" t="s">
        <v>1038</v>
      </c>
      <c r="C910" s="39" t="s">
        <v>1037</v>
      </c>
      <c r="D910" s="236"/>
      <c r="E910" s="236"/>
      <c r="F910" s="236"/>
      <c r="G910" s="236"/>
      <c r="H910" s="40">
        <f>SUM(Tabla13211242[[#This Row],[PRIMER TRIMESTRE]:[CUARTO TRIMESTRE]])</f>
        <v>0</v>
      </c>
      <c r="I910" s="17">
        <v>2500</v>
      </c>
      <c r="J910" s="17">
        <f t="shared" si="26"/>
        <v>0</v>
      </c>
      <c r="K910" s="17"/>
      <c r="L910" s="16" t="s">
        <v>18</v>
      </c>
      <c r="M910" s="16" t="s">
        <v>22</v>
      </c>
      <c r="N910" s="39" t="s">
        <v>418</v>
      </c>
      <c r="O910" s="20"/>
    </row>
    <row r="911" spans="1:15" s="12" customFormat="1" ht="30">
      <c r="A911" s="178" t="s">
        <v>99</v>
      </c>
      <c r="B911" s="75" t="s">
        <v>1039</v>
      </c>
      <c r="C911" s="39" t="s">
        <v>1037</v>
      </c>
      <c r="D911" s="236"/>
      <c r="E911" s="236"/>
      <c r="F911" s="236"/>
      <c r="G911" s="236"/>
      <c r="H911" s="40">
        <f>SUM(Tabla13211242[[#This Row],[PRIMER TRIMESTRE]:[CUARTO TRIMESTRE]])</f>
        <v>0</v>
      </c>
      <c r="I911" s="17">
        <v>3000</v>
      </c>
      <c r="J911" s="17">
        <f>+H911*I911</f>
        <v>0</v>
      </c>
      <c r="K911" s="17"/>
      <c r="L911" s="16" t="s">
        <v>18</v>
      </c>
      <c r="M911" s="16" t="s">
        <v>22</v>
      </c>
      <c r="N911" s="39" t="s">
        <v>418</v>
      </c>
      <c r="O911" s="20"/>
    </row>
    <row r="912" spans="1:15" s="12" customFormat="1" ht="30">
      <c r="A912" s="178" t="s">
        <v>99</v>
      </c>
      <c r="B912" s="75" t="s">
        <v>1040</v>
      </c>
      <c r="C912" s="39" t="s">
        <v>1037</v>
      </c>
      <c r="D912" s="236"/>
      <c r="E912" s="236"/>
      <c r="F912" s="236"/>
      <c r="G912" s="236"/>
      <c r="H912" s="40">
        <f>SUM(Tabla13211242[[#This Row],[PRIMER TRIMESTRE]:[CUARTO TRIMESTRE]])</f>
        <v>0</v>
      </c>
      <c r="I912" s="17">
        <v>3500</v>
      </c>
      <c r="J912" s="17">
        <f>+H912*I912</f>
        <v>0</v>
      </c>
      <c r="K912" s="17"/>
      <c r="L912" s="16" t="s">
        <v>18</v>
      </c>
      <c r="M912" s="16" t="s">
        <v>22</v>
      </c>
      <c r="N912" s="39" t="s">
        <v>418</v>
      </c>
      <c r="O912" s="20"/>
    </row>
    <row r="913" spans="1:15" s="12" customFormat="1" ht="30">
      <c r="A913" s="178" t="s">
        <v>99</v>
      </c>
      <c r="B913" s="75" t="s">
        <v>1041</v>
      </c>
      <c r="C913" s="39" t="s">
        <v>1037</v>
      </c>
      <c r="D913" s="236"/>
      <c r="E913" s="236"/>
      <c r="F913" s="236"/>
      <c r="G913" s="236"/>
      <c r="H913" s="40">
        <f>SUM(Tabla13211242[[#This Row],[PRIMER TRIMESTRE]:[CUARTO TRIMESTRE]])</f>
        <v>0</v>
      </c>
      <c r="I913" s="17">
        <v>4000</v>
      </c>
      <c r="J913" s="17">
        <f t="shared" si="26"/>
        <v>0</v>
      </c>
      <c r="K913" s="17"/>
      <c r="L913" s="16" t="s">
        <v>18</v>
      </c>
      <c r="M913" s="16" t="s">
        <v>22</v>
      </c>
      <c r="N913" s="39" t="s">
        <v>418</v>
      </c>
      <c r="O913" s="20"/>
    </row>
    <row r="914" spans="1:15" s="12" customFormat="1" ht="30">
      <c r="A914" s="178" t="s">
        <v>99</v>
      </c>
      <c r="B914" s="75" t="s">
        <v>1042</v>
      </c>
      <c r="C914" s="39" t="s">
        <v>1037</v>
      </c>
      <c r="D914" s="236"/>
      <c r="E914" s="236"/>
      <c r="F914" s="236"/>
      <c r="G914" s="236"/>
      <c r="H914" s="40">
        <f>SUM(Tabla13211242[[#This Row],[PRIMER TRIMESTRE]:[CUARTO TRIMESTRE]])</f>
        <v>0</v>
      </c>
      <c r="I914" s="17">
        <v>6000</v>
      </c>
      <c r="J914" s="17">
        <f t="shared" si="26"/>
        <v>0</v>
      </c>
      <c r="K914" s="17"/>
      <c r="L914" s="16" t="s">
        <v>18</v>
      </c>
      <c r="M914" s="16" t="s">
        <v>22</v>
      </c>
      <c r="N914" s="39" t="s">
        <v>418</v>
      </c>
      <c r="O914" s="20"/>
    </row>
    <row r="915" spans="1:15" s="12" customFormat="1" ht="30">
      <c r="A915" s="178" t="s">
        <v>99</v>
      </c>
      <c r="B915" s="75" t="s">
        <v>1043</v>
      </c>
      <c r="C915" s="39" t="s">
        <v>1037</v>
      </c>
      <c r="D915" s="236"/>
      <c r="E915" s="236"/>
      <c r="F915" s="236"/>
      <c r="G915" s="236"/>
      <c r="H915" s="40">
        <f>SUM(Tabla13211242[[#This Row],[PRIMER TRIMESTRE]:[CUARTO TRIMESTRE]])</f>
        <v>0</v>
      </c>
      <c r="I915" s="17">
        <v>3500</v>
      </c>
      <c r="J915" s="17">
        <f t="shared" si="26"/>
        <v>0</v>
      </c>
      <c r="K915" s="17"/>
      <c r="L915" s="16" t="s">
        <v>18</v>
      </c>
      <c r="M915" s="16" t="s">
        <v>22</v>
      </c>
      <c r="N915" s="39" t="s">
        <v>418</v>
      </c>
      <c r="O915" s="20"/>
    </row>
    <row r="916" spans="1:15" s="12" customFormat="1" ht="30">
      <c r="A916" s="178" t="s">
        <v>99</v>
      </c>
      <c r="B916" s="75" t="s">
        <v>1044</v>
      </c>
      <c r="C916" s="39" t="s">
        <v>1037</v>
      </c>
      <c r="D916" s="236"/>
      <c r="E916" s="236"/>
      <c r="F916" s="236"/>
      <c r="G916" s="236"/>
      <c r="H916" s="40">
        <f>SUM(Tabla13211242[[#This Row],[PRIMER TRIMESTRE]:[CUARTO TRIMESTRE]])</f>
        <v>0</v>
      </c>
      <c r="I916" s="17">
        <v>2500</v>
      </c>
      <c r="J916" s="17">
        <f t="shared" si="26"/>
        <v>0</v>
      </c>
      <c r="K916" s="17"/>
      <c r="L916" s="16" t="s">
        <v>18</v>
      </c>
      <c r="M916" s="16" t="s">
        <v>22</v>
      </c>
      <c r="N916" s="39" t="s">
        <v>418</v>
      </c>
      <c r="O916" s="20"/>
    </row>
    <row r="917" spans="1:15" s="12" customFormat="1" ht="30">
      <c r="A917" s="178" t="s">
        <v>99</v>
      </c>
      <c r="B917" s="75" t="s">
        <v>1045</v>
      </c>
      <c r="C917" s="39" t="s">
        <v>1037</v>
      </c>
      <c r="D917" s="236"/>
      <c r="E917" s="236"/>
      <c r="F917" s="236"/>
      <c r="G917" s="236"/>
      <c r="H917" s="40">
        <f>SUM(Tabla13211242[[#This Row],[PRIMER TRIMESTRE]:[CUARTO TRIMESTRE]])</f>
        <v>0</v>
      </c>
      <c r="I917" s="17">
        <v>2000</v>
      </c>
      <c r="J917" s="17">
        <f t="shared" si="26"/>
        <v>0</v>
      </c>
      <c r="K917" s="17"/>
      <c r="L917" s="16" t="s">
        <v>18</v>
      </c>
      <c r="M917" s="16" t="s">
        <v>22</v>
      </c>
      <c r="N917" s="39" t="s">
        <v>418</v>
      </c>
      <c r="O917" s="20"/>
    </row>
    <row r="918" spans="1:15" s="12" customFormat="1" ht="30">
      <c r="A918" s="178" t="s">
        <v>99</v>
      </c>
      <c r="B918" s="75" t="s">
        <v>1046</v>
      </c>
      <c r="C918" s="39" t="s">
        <v>1037</v>
      </c>
      <c r="D918" s="236"/>
      <c r="E918" s="236"/>
      <c r="F918" s="236"/>
      <c r="G918" s="236"/>
      <c r="H918" s="40">
        <f>SUM(Tabla13211242[[#This Row],[PRIMER TRIMESTRE]:[CUARTO TRIMESTRE]])</f>
        <v>0</v>
      </c>
      <c r="I918" s="17">
        <v>3000</v>
      </c>
      <c r="J918" s="17">
        <f t="shared" si="26"/>
        <v>0</v>
      </c>
      <c r="K918" s="17"/>
      <c r="L918" s="16" t="s">
        <v>18</v>
      </c>
      <c r="M918" s="16" t="s">
        <v>22</v>
      </c>
      <c r="N918" s="39" t="s">
        <v>418</v>
      </c>
      <c r="O918" s="20"/>
    </row>
    <row r="919" spans="1:15" s="12" customFormat="1" ht="30">
      <c r="A919" s="178" t="s">
        <v>99</v>
      </c>
      <c r="B919" s="75" t="s">
        <v>1047</v>
      </c>
      <c r="C919" s="39" t="s">
        <v>1037</v>
      </c>
      <c r="D919" s="236"/>
      <c r="E919" s="236"/>
      <c r="F919" s="236"/>
      <c r="G919" s="236"/>
      <c r="H919" s="40">
        <f>SUM(Tabla13211242[[#This Row],[PRIMER TRIMESTRE]:[CUARTO TRIMESTRE]])</f>
        <v>0</v>
      </c>
      <c r="I919" s="17">
        <v>3500</v>
      </c>
      <c r="J919" s="17">
        <f t="shared" si="26"/>
        <v>0</v>
      </c>
      <c r="K919" s="17"/>
      <c r="L919" s="16" t="s">
        <v>18</v>
      </c>
      <c r="M919" s="16" t="s">
        <v>22</v>
      </c>
      <c r="N919" s="39" t="s">
        <v>418</v>
      </c>
      <c r="O919" s="20"/>
    </row>
    <row r="920" spans="1:15" s="12" customFormat="1" ht="38.25">
      <c r="A920" s="178" t="s">
        <v>99</v>
      </c>
      <c r="B920" s="75" t="s">
        <v>1048</v>
      </c>
      <c r="C920" s="39" t="s">
        <v>1063</v>
      </c>
      <c r="D920" s="236">
        <v>1</v>
      </c>
      <c r="E920" s="236">
        <v>1</v>
      </c>
      <c r="F920" s="236">
        <v>1</v>
      </c>
      <c r="G920" s="236"/>
      <c r="H920" s="40">
        <f>SUM(Tabla13211242[[#This Row],[PRIMER TRIMESTRE]:[CUARTO TRIMESTRE]])</f>
        <v>3</v>
      </c>
      <c r="I920" s="17">
        <v>3500</v>
      </c>
      <c r="J920" s="17">
        <f t="shared" si="26"/>
        <v>10500</v>
      </c>
      <c r="K920" s="17"/>
      <c r="L920" s="16" t="s">
        <v>18</v>
      </c>
      <c r="M920" s="16" t="s">
        <v>22</v>
      </c>
      <c r="N920" s="39" t="s">
        <v>418</v>
      </c>
      <c r="O920" s="20"/>
    </row>
    <row r="921" spans="1:15" s="12" customFormat="1" ht="30">
      <c r="A921" s="178" t="s">
        <v>99</v>
      </c>
      <c r="B921" s="75" t="s">
        <v>1049</v>
      </c>
      <c r="C921" s="39" t="s">
        <v>1063</v>
      </c>
      <c r="D921" s="236"/>
      <c r="E921" s="236"/>
      <c r="F921" s="236"/>
      <c r="G921" s="236"/>
      <c r="H921" s="40">
        <f>SUM(Tabla13211242[[#This Row],[PRIMER TRIMESTRE]:[CUARTO TRIMESTRE]])</f>
        <v>0</v>
      </c>
      <c r="I921" s="17">
        <v>2500</v>
      </c>
      <c r="J921" s="17">
        <f t="shared" si="26"/>
        <v>0</v>
      </c>
      <c r="K921" s="17"/>
      <c r="L921" s="16" t="s">
        <v>15</v>
      </c>
      <c r="M921" s="16" t="s">
        <v>22</v>
      </c>
      <c r="N921" s="39" t="s">
        <v>418</v>
      </c>
      <c r="O921" s="20"/>
    </row>
    <row r="922" spans="1:15" s="12" customFormat="1" ht="30">
      <c r="A922" s="178" t="s">
        <v>99</v>
      </c>
      <c r="B922" s="75" t="s">
        <v>1050</v>
      </c>
      <c r="C922" s="39" t="s">
        <v>1063</v>
      </c>
      <c r="D922" s="236"/>
      <c r="E922" s="236"/>
      <c r="F922" s="236"/>
      <c r="G922" s="236"/>
      <c r="H922" s="40">
        <f>SUM(Tabla13211242[[#This Row],[PRIMER TRIMESTRE]:[CUARTO TRIMESTRE]])</f>
        <v>0</v>
      </c>
      <c r="I922" s="17">
        <v>2500</v>
      </c>
      <c r="J922" s="17">
        <f t="shared" si="26"/>
        <v>0</v>
      </c>
      <c r="K922" s="17"/>
      <c r="L922" s="16" t="s">
        <v>18</v>
      </c>
      <c r="M922" s="16" t="s">
        <v>22</v>
      </c>
      <c r="N922" s="39" t="s">
        <v>418</v>
      </c>
      <c r="O922" s="20"/>
    </row>
    <row r="923" spans="1:15" s="12" customFormat="1" ht="30">
      <c r="A923" s="178" t="s">
        <v>99</v>
      </c>
      <c r="B923" s="75" t="s">
        <v>1051</v>
      </c>
      <c r="C923" s="39" t="s">
        <v>1037</v>
      </c>
      <c r="D923" s="236"/>
      <c r="E923" s="236"/>
      <c r="F923" s="236"/>
      <c r="G923" s="236"/>
      <c r="H923" s="40">
        <f>SUM(Tabla13211242[[#This Row],[PRIMER TRIMESTRE]:[CUARTO TRIMESTRE]])</f>
        <v>0</v>
      </c>
      <c r="I923" s="17">
        <v>3000</v>
      </c>
      <c r="J923" s="17">
        <f t="shared" si="26"/>
        <v>0</v>
      </c>
      <c r="K923" s="17"/>
      <c r="L923" s="16" t="s">
        <v>18</v>
      </c>
      <c r="M923" s="16" t="s">
        <v>22</v>
      </c>
      <c r="N923" s="39" t="s">
        <v>418</v>
      </c>
      <c r="O923" s="20"/>
    </row>
    <row r="924" spans="1:15" s="12" customFormat="1" ht="30">
      <c r="A924" s="178" t="s">
        <v>99</v>
      </c>
      <c r="B924" s="75" t="s">
        <v>1052</v>
      </c>
      <c r="C924" s="39" t="s">
        <v>1064</v>
      </c>
      <c r="D924" s="236"/>
      <c r="E924" s="236"/>
      <c r="F924" s="236"/>
      <c r="G924" s="236">
        <v>1</v>
      </c>
      <c r="H924" s="40">
        <f>SUM(Tabla13211242[[#This Row],[PRIMER TRIMESTRE]:[CUARTO TRIMESTRE]])</f>
        <v>1</v>
      </c>
      <c r="I924" s="17">
        <v>2500</v>
      </c>
      <c r="J924" s="17">
        <f t="shared" si="26"/>
        <v>2500</v>
      </c>
      <c r="K924" s="17"/>
      <c r="L924" s="16" t="s">
        <v>18</v>
      </c>
      <c r="M924" s="16" t="s">
        <v>22</v>
      </c>
      <c r="N924" s="39" t="s">
        <v>418</v>
      </c>
      <c r="O924" s="20"/>
    </row>
    <row r="925" spans="1:15" s="12" customFormat="1" ht="30">
      <c r="A925" s="178" t="s">
        <v>99</v>
      </c>
      <c r="B925" s="75" t="s">
        <v>1053</v>
      </c>
      <c r="C925" s="39" t="s">
        <v>1064</v>
      </c>
      <c r="D925" s="236"/>
      <c r="E925" s="236"/>
      <c r="F925" s="236"/>
      <c r="G925" s="236">
        <v>1</v>
      </c>
      <c r="H925" s="40">
        <f>SUM(Tabla13211242[[#This Row],[PRIMER TRIMESTRE]:[CUARTO TRIMESTRE]])</f>
        <v>1</v>
      </c>
      <c r="I925" s="17">
        <v>2500</v>
      </c>
      <c r="J925" s="17">
        <f t="shared" si="26"/>
        <v>2500</v>
      </c>
      <c r="K925" s="17"/>
      <c r="L925" s="16" t="s">
        <v>18</v>
      </c>
      <c r="M925" s="16" t="s">
        <v>22</v>
      </c>
      <c r="N925" s="39" t="s">
        <v>418</v>
      </c>
      <c r="O925" s="20"/>
    </row>
    <row r="926" spans="1:15" s="12" customFormat="1" ht="30">
      <c r="A926" s="178" t="s">
        <v>99</v>
      </c>
      <c r="B926" s="75" t="s">
        <v>1054</v>
      </c>
      <c r="C926" s="39" t="s">
        <v>1065</v>
      </c>
      <c r="D926" s="236">
        <v>1</v>
      </c>
      <c r="E926" s="236">
        <v>1</v>
      </c>
      <c r="F926" s="236">
        <v>1</v>
      </c>
      <c r="G926" s="236">
        <v>1</v>
      </c>
      <c r="H926" s="40">
        <f>SUM(Tabla13211242[[#This Row],[PRIMER TRIMESTRE]:[CUARTO TRIMESTRE]])</f>
        <v>4</v>
      </c>
      <c r="I926" s="17">
        <v>2000</v>
      </c>
      <c r="J926" s="17">
        <f t="shared" si="26"/>
        <v>8000</v>
      </c>
      <c r="K926" s="17"/>
      <c r="L926" s="16" t="s">
        <v>18</v>
      </c>
      <c r="M926" s="16" t="s">
        <v>22</v>
      </c>
      <c r="N926" s="39" t="s">
        <v>418</v>
      </c>
      <c r="O926" s="20"/>
    </row>
    <row r="927" spans="1:15" s="12" customFormat="1" ht="30">
      <c r="A927" s="178" t="s">
        <v>99</v>
      </c>
      <c r="B927" s="75" t="s">
        <v>1055</v>
      </c>
      <c r="C927" s="39" t="s">
        <v>1065</v>
      </c>
      <c r="D927" s="236">
        <v>1</v>
      </c>
      <c r="E927" s="236">
        <v>1</v>
      </c>
      <c r="F927" s="236">
        <v>1</v>
      </c>
      <c r="G927" s="236">
        <v>1</v>
      </c>
      <c r="H927" s="40">
        <f>SUM(Tabla13211242[[#This Row],[PRIMER TRIMESTRE]:[CUARTO TRIMESTRE]])</f>
        <v>4</v>
      </c>
      <c r="I927" s="17">
        <v>2000</v>
      </c>
      <c r="J927" s="17">
        <f t="shared" si="26"/>
        <v>8000</v>
      </c>
      <c r="K927" s="17"/>
      <c r="L927" s="16" t="s">
        <v>18</v>
      </c>
      <c r="M927" s="16" t="s">
        <v>22</v>
      </c>
      <c r="N927" s="39" t="s">
        <v>418</v>
      </c>
      <c r="O927" s="20"/>
    </row>
    <row r="928" spans="1:15" s="12" customFormat="1" ht="30">
      <c r="A928" s="178" t="s">
        <v>99</v>
      </c>
      <c r="B928" s="75" t="s">
        <v>1056</v>
      </c>
      <c r="C928" s="39" t="s">
        <v>1065</v>
      </c>
      <c r="D928" s="236"/>
      <c r="E928" s="236"/>
      <c r="F928" s="236">
        <v>1</v>
      </c>
      <c r="G928" s="236">
        <v>1</v>
      </c>
      <c r="H928" s="40">
        <f>SUM(Tabla13211242[[#This Row],[PRIMER TRIMESTRE]:[CUARTO TRIMESTRE]])</f>
        <v>2</v>
      </c>
      <c r="I928" s="17">
        <v>2100</v>
      </c>
      <c r="J928" s="17">
        <f t="shared" si="26"/>
        <v>4200</v>
      </c>
      <c r="K928" s="17"/>
      <c r="L928" s="16" t="s">
        <v>18</v>
      </c>
      <c r="M928" s="16" t="s">
        <v>22</v>
      </c>
      <c r="N928" s="39" t="s">
        <v>418</v>
      </c>
      <c r="O928" s="20"/>
    </row>
    <row r="929" spans="1:15" s="12" customFormat="1" ht="30">
      <c r="A929" s="178" t="s">
        <v>99</v>
      </c>
      <c r="B929" s="75" t="s">
        <v>1057</v>
      </c>
      <c r="C929" s="39" t="s">
        <v>1065</v>
      </c>
      <c r="D929" s="236">
        <v>1</v>
      </c>
      <c r="E929" s="236">
        <v>1</v>
      </c>
      <c r="F929" s="236">
        <v>1</v>
      </c>
      <c r="G929" s="236">
        <v>1</v>
      </c>
      <c r="H929" s="40">
        <f>SUM(Tabla13211242[[#This Row],[PRIMER TRIMESTRE]:[CUARTO TRIMESTRE]])</f>
        <v>4</v>
      </c>
      <c r="I929" s="17">
        <v>2500</v>
      </c>
      <c r="J929" s="17">
        <f t="shared" si="26"/>
        <v>10000</v>
      </c>
      <c r="K929" s="17"/>
      <c r="L929" s="16" t="s">
        <v>18</v>
      </c>
      <c r="M929" s="16" t="s">
        <v>22</v>
      </c>
      <c r="N929" s="39" t="s">
        <v>418</v>
      </c>
      <c r="O929" s="20"/>
    </row>
    <row r="930" spans="1:15" s="12" customFormat="1" ht="30">
      <c r="A930" s="178" t="s">
        <v>99</v>
      </c>
      <c r="B930" s="75" t="s">
        <v>1058</v>
      </c>
      <c r="C930" s="39" t="s">
        <v>1065</v>
      </c>
      <c r="D930" s="236">
        <v>1</v>
      </c>
      <c r="E930" s="236">
        <v>1</v>
      </c>
      <c r="F930" s="236">
        <v>1</v>
      </c>
      <c r="G930" s="236">
        <v>1</v>
      </c>
      <c r="H930" s="40">
        <f>SUM(Tabla13211242[[#This Row],[PRIMER TRIMESTRE]:[CUARTO TRIMESTRE]])</f>
        <v>4</v>
      </c>
      <c r="I930" s="17">
        <v>2500</v>
      </c>
      <c r="J930" s="17">
        <f t="shared" si="26"/>
        <v>10000</v>
      </c>
      <c r="K930" s="17"/>
      <c r="L930" s="16" t="s">
        <v>18</v>
      </c>
      <c r="M930" s="16" t="s">
        <v>22</v>
      </c>
      <c r="N930" s="39" t="s">
        <v>418</v>
      </c>
      <c r="O930" s="20"/>
    </row>
    <row r="931" spans="1:15" s="12" customFormat="1" ht="30">
      <c r="A931" s="178" t="s">
        <v>99</v>
      </c>
      <c r="B931" s="75" t="s">
        <v>1861</v>
      </c>
      <c r="C931" s="39" t="s">
        <v>1065</v>
      </c>
      <c r="D931" s="236">
        <v>1</v>
      </c>
      <c r="E931" s="236">
        <v>1</v>
      </c>
      <c r="F931" s="236">
        <v>1</v>
      </c>
      <c r="G931" s="236">
        <v>1</v>
      </c>
      <c r="H931" s="40">
        <f>SUM(Tabla13211242[[#This Row],[PRIMER TRIMESTRE]:[CUARTO TRIMESTRE]])</f>
        <v>4</v>
      </c>
      <c r="I931" s="17">
        <v>3000</v>
      </c>
      <c r="J931" s="17">
        <v>12000</v>
      </c>
      <c r="K931" s="17"/>
      <c r="L931" s="16" t="s">
        <v>18</v>
      </c>
      <c r="M931" s="16" t="s">
        <v>22</v>
      </c>
      <c r="N931" s="39" t="s">
        <v>418</v>
      </c>
      <c r="O931" s="20"/>
    </row>
    <row r="932" spans="1:15" s="12" customFormat="1" ht="30">
      <c r="A932" s="178" t="s">
        <v>99</v>
      </c>
      <c r="B932" s="75" t="s">
        <v>1059</v>
      </c>
      <c r="C932" s="39" t="s">
        <v>1065</v>
      </c>
      <c r="D932" s="236">
        <v>1</v>
      </c>
      <c r="E932" s="236">
        <v>1</v>
      </c>
      <c r="F932" s="236">
        <v>1</v>
      </c>
      <c r="G932" s="236">
        <v>1</v>
      </c>
      <c r="H932" s="40">
        <f>SUM(Tabla13211242[[#This Row],[PRIMER TRIMESTRE]:[CUARTO TRIMESTRE]])</f>
        <v>4</v>
      </c>
      <c r="I932" s="17">
        <v>2500</v>
      </c>
      <c r="J932" s="17">
        <f t="shared" si="26"/>
        <v>10000</v>
      </c>
      <c r="K932" s="17"/>
      <c r="L932" s="16" t="s">
        <v>18</v>
      </c>
      <c r="M932" s="16" t="s">
        <v>22</v>
      </c>
      <c r="N932" s="39" t="s">
        <v>418</v>
      </c>
      <c r="O932" s="20"/>
    </row>
    <row r="933" spans="1:15" s="12" customFormat="1" ht="30">
      <c r="A933" s="178" t="s">
        <v>99</v>
      </c>
      <c r="B933" s="75" t="s">
        <v>1060</v>
      </c>
      <c r="C933" s="39" t="s">
        <v>1065</v>
      </c>
      <c r="D933" s="236">
        <v>1</v>
      </c>
      <c r="E933" s="236"/>
      <c r="F933" s="236"/>
      <c r="G933" s="236">
        <v>1</v>
      </c>
      <c r="H933" s="40">
        <f>SUM(Tabla13211242[[#This Row],[PRIMER TRIMESTRE]:[CUARTO TRIMESTRE]])</f>
        <v>2</v>
      </c>
      <c r="I933" s="17">
        <v>4000</v>
      </c>
      <c r="J933" s="17">
        <f t="shared" si="26"/>
        <v>8000</v>
      </c>
      <c r="K933" s="17"/>
      <c r="L933" s="16" t="s">
        <v>18</v>
      </c>
      <c r="M933" s="16" t="s">
        <v>22</v>
      </c>
      <c r="N933" s="39" t="s">
        <v>418</v>
      </c>
      <c r="O933" s="20"/>
    </row>
    <row r="934" spans="1:15" s="12" customFormat="1" ht="30">
      <c r="A934" s="178" t="s">
        <v>99</v>
      </c>
      <c r="B934" s="75" t="s">
        <v>1061</v>
      </c>
      <c r="C934" s="39" t="s">
        <v>1064</v>
      </c>
      <c r="D934" s="236">
        <v>1</v>
      </c>
      <c r="E934" s="236"/>
      <c r="F934" s="236"/>
      <c r="G934" s="236">
        <v>1</v>
      </c>
      <c r="H934" s="40">
        <f>SUM(Tabla13211242[[#This Row],[PRIMER TRIMESTRE]:[CUARTO TRIMESTRE]])</f>
        <v>2</v>
      </c>
      <c r="I934" s="17">
        <v>3000</v>
      </c>
      <c r="J934" s="17">
        <f t="shared" si="26"/>
        <v>6000</v>
      </c>
      <c r="K934" s="17"/>
      <c r="L934" s="16" t="s">
        <v>18</v>
      </c>
      <c r="M934" s="16" t="s">
        <v>22</v>
      </c>
      <c r="N934" s="39" t="s">
        <v>418</v>
      </c>
      <c r="O934" s="20"/>
    </row>
    <row r="935" spans="1:15" s="12" customFormat="1" ht="30">
      <c r="A935" s="178" t="s">
        <v>99</v>
      </c>
      <c r="B935" s="75" t="s">
        <v>1062</v>
      </c>
      <c r="C935" s="39" t="s">
        <v>290</v>
      </c>
      <c r="D935" s="236">
        <v>3</v>
      </c>
      <c r="E935" s="236">
        <v>3</v>
      </c>
      <c r="F935" s="236">
        <v>3</v>
      </c>
      <c r="G935" s="236">
        <v>3</v>
      </c>
      <c r="H935" s="40">
        <f>SUM(Tabla13211242[[#This Row],[PRIMER TRIMESTRE]:[CUARTO TRIMESTRE]])</f>
        <v>12</v>
      </c>
      <c r="I935" s="17">
        <v>1200</v>
      </c>
      <c r="J935" s="17">
        <f t="shared" si="26"/>
        <v>14400</v>
      </c>
      <c r="K935" s="17"/>
      <c r="L935" s="16" t="s">
        <v>18</v>
      </c>
      <c r="M935" s="16" t="s">
        <v>22</v>
      </c>
      <c r="N935" s="39" t="s">
        <v>418</v>
      </c>
      <c r="O935" s="20"/>
    </row>
    <row r="936" spans="1:15" s="12" customFormat="1" ht="30">
      <c r="A936" s="178" t="s">
        <v>99</v>
      </c>
      <c r="B936" s="75" t="s">
        <v>1066</v>
      </c>
      <c r="C936" s="39" t="s">
        <v>1067</v>
      </c>
      <c r="D936" s="236"/>
      <c r="E936" s="236"/>
      <c r="F936" s="236"/>
      <c r="G936" s="236"/>
      <c r="H936" s="40">
        <f>SUM(Tabla13211242[[#This Row],[PRIMER TRIMESTRE]:[CUARTO TRIMESTRE]])</f>
        <v>0</v>
      </c>
      <c r="I936" s="17">
        <v>10000</v>
      </c>
      <c r="J936" s="17">
        <f t="shared" si="26"/>
        <v>0</v>
      </c>
      <c r="K936" s="17"/>
      <c r="L936" s="16" t="s">
        <v>18</v>
      </c>
      <c r="M936" s="16" t="s">
        <v>22</v>
      </c>
      <c r="N936" s="39" t="s">
        <v>418</v>
      </c>
      <c r="O936" s="20"/>
    </row>
    <row r="937" spans="1:15" s="12" customFormat="1" ht="30">
      <c r="A937" s="178" t="s">
        <v>99</v>
      </c>
      <c r="B937" s="75" t="s">
        <v>1068</v>
      </c>
      <c r="C937" s="39" t="s">
        <v>1067</v>
      </c>
      <c r="D937" s="236"/>
      <c r="E937" s="236"/>
      <c r="F937" s="236"/>
      <c r="G937" s="236"/>
      <c r="H937" s="40">
        <f>SUM(Tabla13211242[[#This Row],[PRIMER TRIMESTRE]:[CUARTO TRIMESTRE]])</f>
        <v>0</v>
      </c>
      <c r="I937" s="17">
        <v>10000</v>
      </c>
      <c r="J937" s="17">
        <f t="shared" si="26"/>
        <v>0</v>
      </c>
      <c r="K937" s="17"/>
      <c r="L937" s="16" t="s">
        <v>18</v>
      </c>
      <c r="M937" s="16" t="s">
        <v>22</v>
      </c>
      <c r="N937" s="39" t="s">
        <v>418</v>
      </c>
      <c r="O937" s="20"/>
    </row>
    <row r="938" spans="1:15" s="12" customFormat="1" ht="30">
      <c r="A938" s="178" t="s">
        <v>99</v>
      </c>
      <c r="B938" s="75" t="s">
        <v>1862</v>
      </c>
      <c r="C938" s="39" t="s">
        <v>1065</v>
      </c>
      <c r="D938" s="236">
        <v>3</v>
      </c>
      <c r="E938" s="236">
        <v>3</v>
      </c>
      <c r="F938" s="236"/>
      <c r="G938" s="236">
        <v>3</v>
      </c>
      <c r="H938" s="40">
        <f>SUM(Tabla13211242[[#This Row],[PRIMER TRIMESTRE]:[CUARTO TRIMESTRE]])</f>
        <v>9</v>
      </c>
      <c r="I938" s="17">
        <v>3000</v>
      </c>
      <c r="J938" s="17">
        <f t="shared" si="26"/>
        <v>27000</v>
      </c>
      <c r="K938" s="17"/>
      <c r="L938" s="16" t="s">
        <v>18</v>
      </c>
      <c r="M938" s="16" t="s">
        <v>22</v>
      </c>
      <c r="N938" s="39" t="s">
        <v>418</v>
      </c>
      <c r="O938" s="20"/>
    </row>
    <row r="939" spans="1:15" s="12" customFormat="1" ht="30">
      <c r="A939" s="178" t="s">
        <v>99</v>
      </c>
      <c r="B939" s="75" t="s">
        <v>1863</v>
      </c>
      <c r="C939" s="39" t="s">
        <v>1065</v>
      </c>
      <c r="D939" s="236">
        <v>5</v>
      </c>
      <c r="E939" s="236">
        <v>5</v>
      </c>
      <c r="F939" s="236">
        <v>5</v>
      </c>
      <c r="G939" s="236">
        <v>5</v>
      </c>
      <c r="H939" s="40">
        <f>SUM(Tabla13211242[[#This Row],[PRIMER TRIMESTRE]:[CUARTO TRIMESTRE]])</f>
        <v>20</v>
      </c>
      <c r="I939" s="17">
        <v>3000</v>
      </c>
      <c r="J939" s="17">
        <f t="shared" si="26"/>
        <v>60000</v>
      </c>
      <c r="K939" s="17"/>
      <c r="L939" s="16" t="s">
        <v>18</v>
      </c>
      <c r="M939" s="16" t="s">
        <v>22</v>
      </c>
      <c r="N939" s="39" t="s">
        <v>418</v>
      </c>
      <c r="O939" s="20"/>
    </row>
    <row r="940" spans="1:15" s="12" customFormat="1" ht="30">
      <c r="A940" s="178" t="s">
        <v>99</v>
      </c>
      <c r="B940" s="75" t="s">
        <v>1071</v>
      </c>
      <c r="C940" s="39" t="s">
        <v>1065</v>
      </c>
      <c r="D940" s="236">
        <v>10</v>
      </c>
      <c r="E940" s="236">
        <v>10</v>
      </c>
      <c r="F940" s="236">
        <v>10</v>
      </c>
      <c r="G940" s="236">
        <v>10</v>
      </c>
      <c r="H940" s="40">
        <f>SUM(Tabla13211242[[#This Row],[PRIMER TRIMESTRE]:[CUARTO TRIMESTRE]])</f>
        <v>40</v>
      </c>
      <c r="I940" s="17">
        <v>800</v>
      </c>
      <c r="J940" s="17">
        <f t="shared" si="26"/>
        <v>32000</v>
      </c>
      <c r="K940" s="17"/>
      <c r="L940" s="16" t="s">
        <v>18</v>
      </c>
      <c r="M940" s="16" t="s">
        <v>22</v>
      </c>
      <c r="N940" s="39" t="s">
        <v>418</v>
      </c>
      <c r="O940" s="20"/>
    </row>
    <row r="941" spans="1:15" s="12" customFormat="1" ht="30">
      <c r="A941" s="178" t="s">
        <v>99</v>
      </c>
      <c r="B941" s="75" t="s">
        <v>1072</v>
      </c>
      <c r="C941" s="39" t="s">
        <v>1073</v>
      </c>
      <c r="D941" s="236"/>
      <c r="E941" s="236">
        <v>5</v>
      </c>
      <c r="F941" s="236"/>
      <c r="G941" s="236">
        <v>5</v>
      </c>
      <c r="H941" s="40">
        <f>SUM(Tabla13211242[[#This Row],[PRIMER TRIMESTRE]:[CUARTO TRIMESTRE]])</f>
        <v>10</v>
      </c>
      <c r="I941" s="17">
        <v>7500</v>
      </c>
      <c r="J941" s="17">
        <f t="shared" si="26"/>
        <v>75000</v>
      </c>
      <c r="K941" s="17"/>
      <c r="L941" s="16" t="s">
        <v>18</v>
      </c>
      <c r="M941" s="16" t="s">
        <v>22</v>
      </c>
      <c r="N941" s="39" t="s">
        <v>418</v>
      </c>
      <c r="O941" s="20"/>
    </row>
    <row r="942" spans="1:15" s="12" customFormat="1" ht="30">
      <c r="A942" s="178" t="s">
        <v>99</v>
      </c>
      <c r="B942" s="75" t="s">
        <v>1074</v>
      </c>
      <c r="C942" s="39" t="s">
        <v>1067</v>
      </c>
      <c r="D942" s="236">
        <v>5</v>
      </c>
      <c r="E942" s="236">
        <v>5</v>
      </c>
      <c r="F942" s="236">
        <v>5</v>
      </c>
      <c r="G942" s="236">
        <v>5</v>
      </c>
      <c r="H942" s="40">
        <f>SUM(Tabla13211242[[#This Row],[PRIMER TRIMESTRE]:[CUARTO TRIMESTRE]])</f>
        <v>20</v>
      </c>
      <c r="I942" s="17">
        <v>1000</v>
      </c>
      <c r="J942" s="17">
        <f t="shared" si="26"/>
        <v>20000</v>
      </c>
      <c r="K942" s="17"/>
      <c r="L942" s="16" t="s">
        <v>18</v>
      </c>
      <c r="M942" s="16" t="s">
        <v>22</v>
      </c>
      <c r="N942" s="39" t="s">
        <v>418</v>
      </c>
      <c r="O942" s="20"/>
    </row>
    <row r="943" spans="1:15" s="12" customFormat="1" ht="30">
      <c r="A943" s="178" t="s">
        <v>99</v>
      </c>
      <c r="B943" s="75" t="s">
        <v>1075</v>
      </c>
      <c r="C943" s="39" t="s">
        <v>1067</v>
      </c>
      <c r="D943" s="236">
        <v>5</v>
      </c>
      <c r="E943" s="236">
        <v>5</v>
      </c>
      <c r="F943" s="236">
        <v>5</v>
      </c>
      <c r="G943" s="236">
        <v>5</v>
      </c>
      <c r="H943" s="40">
        <f>SUM(Tabla13211242[[#This Row],[PRIMER TRIMESTRE]:[CUARTO TRIMESTRE]])</f>
        <v>20</v>
      </c>
      <c r="I943" s="17">
        <v>2500</v>
      </c>
      <c r="J943" s="17">
        <f t="shared" si="26"/>
        <v>50000</v>
      </c>
      <c r="K943" s="17"/>
      <c r="L943" s="16" t="s">
        <v>18</v>
      </c>
      <c r="M943" s="16" t="s">
        <v>22</v>
      </c>
      <c r="N943" s="39" t="s">
        <v>418</v>
      </c>
      <c r="O943" s="20"/>
    </row>
    <row r="944" spans="1:15" s="12" customFormat="1" ht="30">
      <c r="A944" s="178" t="s">
        <v>99</v>
      </c>
      <c r="B944" s="75" t="s">
        <v>1864</v>
      </c>
      <c r="C944" s="39" t="s">
        <v>1067</v>
      </c>
      <c r="D944" s="236">
        <v>2</v>
      </c>
      <c r="E944" s="236">
        <v>2</v>
      </c>
      <c r="F944" s="236">
        <v>2</v>
      </c>
      <c r="G944" s="236">
        <v>2</v>
      </c>
      <c r="H944" s="40">
        <f>SUM(Tabla13211242[[#This Row],[PRIMER TRIMESTRE]:[CUARTO TRIMESTRE]])</f>
        <v>8</v>
      </c>
      <c r="I944" s="17">
        <v>10000</v>
      </c>
      <c r="J944" s="17">
        <f t="shared" si="26"/>
        <v>80000</v>
      </c>
      <c r="K944" s="17"/>
      <c r="L944" s="16" t="s">
        <v>18</v>
      </c>
      <c r="M944" s="16" t="s">
        <v>22</v>
      </c>
      <c r="N944" s="39" t="s">
        <v>418</v>
      </c>
      <c r="O944" s="20"/>
    </row>
    <row r="945" spans="1:15" s="12" customFormat="1" ht="30">
      <c r="A945" s="178" t="s">
        <v>99</v>
      </c>
      <c r="B945" s="75" t="s">
        <v>1865</v>
      </c>
      <c r="C945" s="39" t="s">
        <v>718</v>
      </c>
      <c r="D945" s="236">
        <v>3</v>
      </c>
      <c r="E945" s="236">
        <v>3</v>
      </c>
      <c r="F945" s="236">
        <v>3</v>
      </c>
      <c r="G945" s="236">
        <v>3</v>
      </c>
      <c r="H945" s="40">
        <f>SUM(Tabla13211242[[#This Row],[PRIMER TRIMESTRE]:[CUARTO TRIMESTRE]])</f>
        <v>12</v>
      </c>
      <c r="I945" s="17">
        <v>1500</v>
      </c>
      <c r="J945" s="17">
        <f t="shared" si="26"/>
        <v>18000</v>
      </c>
      <c r="K945" s="17"/>
      <c r="L945" s="16" t="s">
        <v>18</v>
      </c>
      <c r="M945" s="16" t="s">
        <v>22</v>
      </c>
      <c r="N945" s="39" t="s">
        <v>418</v>
      </c>
      <c r="O945" s="20"/>
    </row>
    <row r="946" spans="1:15" s="12" customFormat="1" ht="38.25">
      <c r="A946" s="178" t="s">
        <v>99</v>
      </c>
      <c r="B946" s="75" t="s">
        <v>1078</v>
      </c>
      <c r="C946" s="39" t="s">
        <v>1067</v>
      </c>
      <c r="D946" s="236"/>
      <c r="E946" s="236"/>
      <c r="F946" s="236"/>
      <c r="G946" s="236">
        <v>6</v>
      </c>
      <c r="H946" s="40">
        <f>SUM(Tabla13211242[[#This Row],[PRIMER TRIMESTRE]:[CUARTO TRIMESTRE]])</f>
        <v>6</v>
      </c>
      <c r="I946" s="17">
        <v>1500</v>
      </c>
      <c r="J946" s="17">
        <f t="shared" si="26"/>
        <v>9000</v>
      </c>
      <c r="K946" s="17"/>
      <c r="L946" s="16" t="s">
        <v>18</v>
      </c>
      <c r="M946" s="16" t="s">
        <v>22</v>
      </c>
      <c r="N946" s="39" t="s">
        <v>418</v>
      </c>
      <c r="O946" s="20"/>
    </row>
    <row r="947" spans="1:15" s="12" customFormat="1" ht="30">
      <c r="A947" s="178" t="s">
        <v>99</v>
      </c>
      <c r="B947" s="75" t="s">
        <v>1079</v>
      </c>
      <c r="C947" s="39" t="s">
        <v>208</v>
      </c>
      <c r="D947" s="236">
        <v>2</v>
      </c>
      <c r="E947" s="236"/>
      <c r="F947" s="236"/>
      <c r="G947" s="236">
        <v>2</v>
      </c>
      <c r="H947" s="40">
        <f>SUM(Tabla13211242[[#This Row],[PRIMER TRIMESTRE]:[CUARTO TRIMESTRE]])</f>
        <v>4</v>
      </c>
      <c r="I947" s="17">
        <v>250</v>
      </c>
      <c r="J947" s="17">
        <f t="shared" si="26"/>
        <v>1000</v>
      </c>
      <c r="K947" s="17"/>
      <c r="L947" s="16" t="s">
        <v>18</v>
      </c>
      <c r="M947" s="16" t="s">
        <v>22</v>
      </c>
      <c r="N947" s="39" t="s">
        <v>418</v>
      </c>
      <c r="O947" s="20"/>
    </row>
    <row r="948" spans="1:15" s="12" customFormat="1" ht="38.25">
      <c r="A948" s="178" t="s">
        <v>99</v>
      </c>
      <c r="B948" s="75" t="s">
        <v>1080</v>
      </c>
      <c r="C948" s="39" t="s">
        <v>1067</v>
      </c>
      <c r="D948" s="236"/>
      <c r="E948" s="236"/>
      <c r="F948" s="236"/>
      <c r="G948" s="236">
        <v>6</v>
      </c>
      <c r="H948" s="40">
        <f>SUM(Tabla13211242[[#This Row],[PRIMER TRIMESTRE]:[CUARTO TRIMESTRE]])</f>
        <v>6</v>
      </c>
      <c r="I948" s="17">
        <v>1500</v>
      </c>
      <c r="J948" s="17">
        <f t="shared" si="26"/>
        <v>9000</v>
      </c>
      <c r="K948" s="17"/>
      <c r="L948" s="16" t="s">
        <v>18</v>
      </c>
      <c r="M948" s="16" t="s">
        <v>22</v>
      </c>
      <c r="N948" s="39" t="s">
        <v>418</v>
      </c>
      <c r="O948" s="20"/>
    </row>
    <row r="949" spans="1:15" s="12" customFormat="1" ht="38.25">
      <c r="A949" s="178" t="s">
        <v>99</v>
      </c>
      <c r="B949" s="75" t="s">
        <v>1081</v>
      </c>
      <c r="C949" s="39" t="s">
        <v>1067</v>
      </c>
      <c r="D949" s="236"/>
      <c r="E949" s="236"/>
      <c r="F949" s="236"/>
      <c r="G949" s="236">
        <v>4</v>
      </c>
      <c r="H949" s="40">
        <f>SUM(Tabla13211242[[#This Row],[PRIMER TRIMESTRE]:[CUARTO TRIMESTRE]])</f>
        <v>4</v>
      </c>
      <c r="I949" s="17">
        <v>1500</v>
      </c>
      <c r="J949" s="17">
        <f t="shared" si="26"/>
        <v>6000</v>
      </c>
      <c r="K949" s="17"/>
      <c r="L949" s="16" t="s">
        <v>18</v>
      </c>
      <c r="M949" s="16" t="s">
        <v>22</v>
      </c>
      <c r="N949" s="39" t="s">
        <v>418</v>
      </c>
      <c r="O949" s="20"/>
    </row>
    <row r="950" spans="1:15" s="12" customFormat="1" ht="38.25">
      <c r="A950" s="178" t="s">
        <v>99</v>
      </c>
      <c r="B950" s="75" t="s">
        <v>1082</v>
      </c>
      <c r="C950" s="39" t="s">
        <v>1067</v>
      </c>
      <c r="D950" s="236"/>
      <c r="E950" s="236"/>
      <c r="F950" s="236"/>
      <c r="G950" s="236">
        <v>4</v>
      </c>
      <c r="H950" s="40">
        <f>SUM(Tabla13211242[[#This Row],[PRIMER TRIMESTRE]:[CUARTO TRIMESTRE]])</f>
        <v>4</v>
      </c>
      <c r="I950" s="17">
        <v>1500</v>
      </c>
      <c r="J950" s="17">
        <f t="shared" si="26"/>
        <v>6000</v>
      </c>
      <c r="K950" s="17"/>
      <c r="L950" s="16" t="s">
        <v>18</v>
      </c>
      <c r="M950" s="16" t="s">
        <v>22</v>
      </c>
      <c r="N950" s="39" t="s">
        <v>418</v>
      </c>
      <c r="O950" s="20"/>
    </row>
    <row r="951" spans="1:15" s="12" customFormat="1" ht="30">
      <c r="A951" s="178" t="s">
        <v>99</v>
      </c>
      <c r="B951" s="75" t="s">
        <v>1083</v>
      </c>
      <c r="C951" s="39" t="s">
        <v>1067</v>
      </c>
      <c r="D951" s="236"/>
      <c r="E951" s="236"/>
      <c r="F951" s="236"/>
      <c r="G951" s="236"/>
      <c r="H951" s="40">
        <f>SUM(Tabla13211242[[#This Row],[PRIMER TRIMESTRE]:[CUARTO TRIMESTRE]])</f>
        <v>0</v>
      </c>
      <c r="I951" s="17">
        <v>300</v>
      </c>
      <c r="J951" s="17">
        <f t="shared" si="26"/>
        <v>0</v>
      </c>
      <c r="K951" s="17"/>
      <c r="L951" s="16" t="s">
        <v>18</v>
      </c>
      <c r="M951" s="16" t="s">
        <v>22</v>
      </c>
      <c r="N951" s="39" t="s">
        <v>418</v>
      </c>
      <c r="O951" s="20"/>
    </row>
    <row r="952" spans="1:15" s="12" customFormat="1" ht="30">
      <c r="A952" s="178" t="s">
        <v>99</v>
      </c>
      <c r="B952" s="75" t="s">
        <v>1084</v>
      </c>
      <c r="C952" s="39" t="s">
        <v>1067</v>
      </c>
      <c r="D952" s="236"/>
      <c r="E952" s="236"/>
      <c r="F952" s="236">
        <v>5</v>
      </c>
      <c r="G952" s="236">
        <v>5</v>
      </c>
      <c r="H952" s="40">
        <f>SUM(Tabla13211242[[#This Row],[PRIMER TRIMESTRE]:[CUARTO TRIMESTRE]])</f>
        <v>10</v>
      </c>
      <c r="I952" s="17">
        <v>1500</v>
      </c>
      <c r="J952" s="17">
        <f t="shared" si="26"/>
        <v>15000</v>
      </c>
      <c r="K952" s="17"/>
      <c r="L952" s="16" t="s">
        <v>18</v>
      </c>
      <c r="M952" s="16" t="s">
        <v>22</v>
      </c>
      <c r="N952" s="39" t="s">
        <v>418</v>
      </c>
      <c r="O952" s="20"/>
    </row>
    <row r="953" spans="1:15" s="12" customFormat="1" ht="30">
      <c r="A953" s="178" t="s">
        <v>99</v>
      </c>
      <c r="B953" s="75" t="s">
        <v>1085</v>
      </c>
      <c r="C953" s="39" t="s">
        <v>1067</v>
      </c>
      <c r="D953" s="236"/>
      <c r="E953" s="236"/>
      <c r="F953" s="236"/>
      <c r="G953" s="236"/>
      <c r="H953" s="40">
        <f>SUM(Tabla13211242[[#This Row],[PRIMER TRIMESTRE]:[CUARTO TRIMESTRE]])</f>
        <v>0</v>
      </c>
      <c r="I953" s="17">
        <v>700</v>
      </c>
      <c r="J953" s="17">
        <f t="shared" si="26"/>
        <v>0</v>
      </c>
      <c r="K953" s="17"/>
      <c r="L953" s="16" t="s">
        <v>18</v>
      </c>
      <c r="M953" s="16" t="s">
        <v>22</v>
      </c>
      <c r="N953" s="39" t="s">
        <v>418</v>
      </c>
      <c r="O953" s="20"/>
    </row>
    <row r="954" spans="1:15" s="12" customFormat="1" ht="30">
      <c r="A954" s="178" t="s">
        <v>99</v>
      </c>
      <c r="B954" s="75" t="s">
        <v>1086</v>
      </c>
      <c r="C954" s="39" t="s">
        <v>1067</v>
      </c>
      <c r="D954" s="236">
        <v>5</v>
      </c>
      <c r="E954" s="236"/>
      <c r="F954" s="236">
        <v>5</v>
      </c>
      <c r="G954" s="236"/>
      <c r="H954" s="40">
        <f>SUM(Tabla13211242[[#This Row],[PRIMER TRIMESTRE]:[CUARTO TRIMESTRE]])</f>
        <v>10</v>
      </c>
      <c r="I954" s="17">
        <v>1500</v>
      </c>
      <c r="J954" s="17">
        <f t="shared" si="26"/>
        <v>15000</v>
      </c>
      <c r="K954" s="17"/>
      <c r="L954" s="16" t="s">
        <v>18</v>
      </c>
      <c r="M954" s="16" t="s">
        <v>22</v>
      </c>
      <c r="N954" s="39" t="s">
        <v>418</v>
      </c>
      <c r="O954" s="20"/>
    </row>
    <row r="955" spans="1:15" s="12" customFormat="1" ht="30">
      <c r="A955" s="178" t="s">
        <v>99</v>
      </c>
      <c r="B955" s="75" t="s">
        <v>1087</v>
      </c>
      <c r="C955" s="39" t="s">
        <v>208</v>
      </c>
      <c r="D955" s="236"/>
      <c r="E955" s="236"/>
      <c r="F955" s="236">
        <v>2</v>
      </c>
      <c r="G955" s="236">
        <v>2</v>
      </c>
      <c r="H955" s="40">
        <f>SUM(Tabla13211242[[#This Row],[PRIMER TRIMESTRE]:[CUARTO TRIMESTRE]])</f>
        <v>4</v>
      </c>
      <c r="I955" s="17">
        <v>500</v>
      </c>
      <c r="J955" s="17">
        <f t="shared" si="26"/>
        <v>2000</v>
      </c>
      <c r="K955" s="17"/>
      <c r="L955" s="16" t="s">
        <v>18</v>
      </c>
      <c r="M955" s="16" t="s">
        <v>22</v>
      </c>
      <c r="N955" s="39" t="s">
        <v>418</v>
      </c>
      <c r="O955" s="20"/>
    </row>
    <row r="956" spans="1:15" s="12" customFormat="1" ht="51">
      <c r="A956" s="178" t="s">
        <v>99</v>
      </c>
      <c r="B956" s="75" t="s">
        <v>1088</v>
      </c>
      <c r="C956" s="39" t="s">
        <v>1067</v>
      </c>
      <c r="D956" s="236"/>
      <c r="E956" s="236"/>
      <c r="F956" s="236"/>
      <c r="G956" s="236"/>
      <c r="H956" s="40">
        <f>SUM(Tabla13211242[[#This Row],[PRIMER TRIMESTRE]:[CUARTO TRIMESTRE]])</f>
        <v>0</v>
      </c>
      <c r="I956" s="17">
        <v>15000</v>
      </c>
      <c r="J956" s="17">
        <f t="shared" si="26"/>
        <v>0</v>
      </c>
      <c r="K956" s="17"/>
      <c r="L956" s="16" t="s">
        <v>18</v>
      </c>
      <c r="M956" s="16" t="s">
        <v>22</v>
      </c>
      <c r="N956" s="39" t="s">
        <v>418</v>
      </c>
      <c r="O956" s="20"/>
    </row>
    <row r="957" spans="1:15" s="12" customFormat="1" ht="30">
      <c r="A957" s="178" t="s">
        <v>99</v>
      </c>
      <c r="B957" s="75" t="s">
        <v>1089</v>
      </c>
      <c r="C957" s="39" t="s">
        <v>1090</v>
      </c>
      <c r="D957" s="236">
        <v>200</v>
      </c>
      <c r="E957" s="236">
        <v>200</v>
      </c>
      <c r="F957" s="236">
        <v>200</v>
      </c>
      <c r="G957" s="236">
        <v>200</v>
      </c>
      <c r="H957" s="40">
        <f>SUM(Tabla13211242[[#This Row],[PRIMER TRIMESTRE]:[CUARTO TRIMESTRE]])</f>
        <v>800</v>
      </c>
      <c r="I957" s="17">
        <v>150</v>
      </c>
      <c r="J957" s="17">
        <f t="shared" si="26"/>
        <v>120000</v>
      </c>
      <c r="K957" s="17"/>
      <c r="L957" s="16" t="s">
        <v>18</v>
      </c>
      <c r="M957" s="16" t="s">
        <v>22</v>
      </c>
      <c r="N957" s="39" t="s">
        <v>418</v>
      </c>
      <c r="O957" s="20"/>
    </row>
    <row r="958" spans="1:15" s="12" customFormat="1" ht="30">
      <c r="A958" s="178" t="s">
        <v>99</v>
      </c>
      <c r="B958" s="75" t="s">
        <v>1091</v>
      </c>
      <c r="C958" s="39" t="s">
        <v>718</v>
      </c>
      <c r="D958" s="236">
        <v>1</v>
      </c>
      <c r="E958" s="236"/>
      <c r="F958" s="236">
        <v>1</v>
      </c>
      <c r="G958" s="236"/>
      <c r="H958" s="40">
        <f>SUM(Tabla13211242[[#This Row],[PRIMER TRIMESTRE]:[CUARTO TRIMESTRE]])</f>
        <v>2</v>
      </c>
      <c r="I958" s="17">
        <v>2000</v>
      </c>
      <c r="J958" s="17">
        <f t="shared" si="26"/>
        <v>4000</v>
      </c>
      <c r="K958" s="17"/>
      <c r="L958" s="16" t="s">
        <v>18</v>
      </c>
      <c r="M958" s="16" t="s">
        <v>22</v>
      </c>
      <c r="N958" s="39" t="s">
        <v>418</v>
      </c>
      <c r="O958" s="20"/>
    </row>
    <row r="959" spans="1:15" s="12" customFormat="1" ht="30">
      <c r="A959" s="178" t="s">
        <v>99</v>
      </c>
      <c r="B959" s="75" t="s">
        <v>1092</v>
      </c>
      <c r="C959" s="39" t="s">
        <v>1067</v>
      </c>
      <c r="D959" s="236">
        <v>10</v>
      </c>
      <c r="E959" s="236"/>
      <c r="F959" s="236"/>
      <c r="G959" s="236">
        <v>5</v>
      </c>
      <c r="H959" s="40">
        <f>SUM(Tabla13211242[[#This Row],[PRIMER TRIMESTRE]:[CUARTO TRIMESTRE]])</f>
        <v>15</v>
      </c>
      <c r="I959" s="17">
        <v>200</v>
      </c>
      <c r="J959" s="17">
        <f t="shared" si="26"/>
        <v>3000</v>
      </c>
      <c r="K959" s="17"/>
      <c r="L959" s="16" t="s">
        <v>27</v>
      </c>
      <c r="M959" s="16" t="s">
        <v>22</v>
      </c>
      <c r="N959" s="39" t="s">
        <v>418</v>
      </c>
      <c r="O959" s="20"/>
    </row>
    <row r="960" spans="1:15" s="12" customFormat="1" ht="30">
      <c r="A960" s="178" t="s">
        <v>99</v>
      </c>
      <c r="B960" s="75" t="s">
        <v>1093</v>
      </c>
      <c r="C960" s="39" t="s">
        <v>1067</v>
      </c>
      <c r="D960" s="236">
        <v>10</v>
      </c>
      <c r="E960" s="236"/>
      <c r="F960" s="236"/>
      <c r="G960" s="236">
        <v>10</v>
      </c>
      <c r="H960" s="40">
        <f>SUM(Tabla13211242[[#This Row],[PRIMER TRIMESTRE]:[CUARTO TRIMESTRE]])</f>
        <v>20</v>
      </c>
      <c r="I960" s="17">
        <v>100</v>
      </c>
      <c r="J960" s="17">
        <f t="shared" si="26"/>
        <v>2000</v>
      </c>
      <c r="K960" s="17"/>
      <c r="L960" s="16" t="s">
        <v>18</v>
      </c>
      <c r="M960" s="16" t="s">
        <v>22</v>
      </c>
      <c r="N960" s="39" t="s">
        <v>418</v>
      </c>
      <c r="O960" s="20"/>
    </row>
    <row r="961" spans="1:15" s="12" customFormat="1" ht="30">
      <c r="A961" s="178" t="s">
        <v>99</v>
      </c>
      <c r="B961" s="75" t="s">
        <v>1094</v>
      </c>
      <c r="C961" s="39" t="s">
        <v>208</v>
      </c>
      <c r="D961" s="236">
        <v>10</v>
      </c>
      <c r="E961" s="236"/>
      <c r="F961" s="236"/>
      <c r="G961" s="236">
        <v>10</v>
      </c>
      <c r="H961" s="40">
        <f>SUM(Tabla13211242[[#This Row],[PRIMER TRIMESTRE]:[CUARTO TRIMESTRE]])</f>
        <v>20</v>
      </c>
      <c r="I961" s="17">
        <v>200</v>
      </c>
      <c r="J961" s="17">
        <f t="shared" si="26"/>
        <v>4000</v>
      </c>
      <c r="K961" s="17"/>
      <c r="L961" s="16" t="s">
        <v>18</v>
      </c>
      <c r="M961" s="16" t="s">
        <v>22</v>
      </c>
      <c r="N961" s="39" t="s">
        <v>418</v>
      </c>
      <c r="O961" s="20"/>
    </row>
    <row r="962" spans="1:15" s="12" customFormat="1" ht="30">
      <c r="A962" s="178" t="s">
        <v>99</v>
      </c>
      <c r="B962" s="75" t="s">
        <v>1095</v>
      </c>
      <c r="C962" s="39" t="s">
        <v>208</v>
      </c>
      <c r="D962" s="236">
        <v>10</v>
      </c>
      <c r="E962" s="236"/>
      <c r="F962" s="236"/>
      <c r="G962" s="236">
        <v>10</v>
      </c>
      <c r="H962" s="40">
        <f>SUM(Tabla13211242[[#This Row],[PRIMER TRIMESTRE]:[CUARTO TRIMESTRE]])</f>
        <v>20</v>
      </c>
      <c r="I962" s="17">
        <v>200</v>
      </c>
      <c r="J962" s="17">
        <f t="shared" si="26"/>
        <v>4000</v>
      </c>
      <c r="K962" s="17"/>
      <c r="L962" s="16" t="s">
        <v>18</v>
      </c>
      <c r="M962" s="16" t="s">
        <v>22</v>
      </c>
      <c r="N962" s="39" t="s">
        <v>418</v>
      </c>
      <c r="O962" s="20"/>
    </row>
    <row r="963" spans="1:15" s="12" customFormat="1" ht="30">
      <c r="A963" s="178" t="s">
        <v>99</v>
      </c>
      <c r="B963" s="75" t="s">
        <v>1096</v>
      </c>
      <c r="C963" s="39" t="s">
        <v>208</v>
      </c>
      <c r="D963" s="236">
        <v>5</v>
      </c>
      <c r="E963" s="236"/>
      <c r="F963" s="236"/>
      <c r="G963" s="236">
        <v>5</v>
      </c>
      <c r="H963" s="40">
        <f>SUM(Tabla13211242[[#This Row],[PRIMER TRIMESTRE]:[CUARTO TRIMESTRE]])</f>
        <v>10</v>
      </c>
      <c r="I963" s="17">
        <v>500</v>
      </c>
      <c r="J963" s="17">
        <f t="shared" si="26"/>
        <v>5000</v>
      </c>
      <c r="K963" s="17"/>
      <c r="L963" s="16" t="s">
        <v>18</v>
      </c>
      <c r="M963" s="16" t="s">
        <v>22</v>
      </c>
      <c r="N963" s="39" t="s">
        <v>418</v>
      </c>
      <c r="O963" s="20"/>
    </row>
    <row r="964" spans="1:15" s="12" customFormat="1" ht="30">
      <c r="A964" s="178" t="s">
        <v>99</v>
      </c>
      <c r="B964" s="75" t="s">
        <v>1098</v>
      </c>
      <c r="C964" s="39" t="s">
        <v>1099</v>
      </c>
      <c r="D964" s="236"/>
      <c r="E964" s="236"/>
      <c r="F964" s="236"/>
      <c r="G964" s="236"/>
      <c r="H964" s="40">
        <f>SUM(Tabla13211242[[#This Row],[PRIMER TRIMESTRE]:[CUARTO TRIMESTRE]])</f>
        <v>0</v>
      </c>
      <c r="I964" s="17">
        <v>115</v>
      </c>
      <c r="J964" s="17">
        <f t="shared" si="26"/>
        <v>0</v>
      </c>
      <c r="K964" s="17"/>
      <c r="L964" s="16" t="s">
        <v>18</v>
      </c>
      <c r="M964" s="16" t="s">
        <v>22</v>
      </c>
      <c r="N964" s="39" t="s">
        <v>418</v>
      </c>
      <c r="O964" s="20"/>
    </row>
    <row r="965" spans="1:15" s="12" customFormat="1" ht="30">
      <c r="A965" s="178" t="s">
        <v>99</v>
      </c>
      <c r="B965" s="75" t="s">
        <v>1100</v>
      </c>
      <c r="C965" s="39" t="s">
        <v>1067</v>
      </c>
      <c r="D965" s="236"/>
      <c r="E965" s="236"/>
      <c r="F965" s="236"/>
      <c r="G965" s="236"/>
      <c r="H965" s="40">
        <f>SUM(Tabla13211242[[#This Row],[PRIMER TRIMESTRE]:[CUARTO TRIMESTRE]])</f>
        <v>0</v>
      </c>
      <c r="I965" s="17">
        <v>50</v>
      </c>
      <c r="J965" s="17">
        <f t="shared" si="26"/>
        <v>0</v>
      </c>
      <c r="K965" s="17"/>
      <c r="L965" s="16" t="s">
        <v>18</v>
      </c>
      <c r="M965" s="16" t="s">
        <v>22</v>
      </c>
      <c r="N965" s="39" t="s">
        <v>418</v>
      </c>
      <c r="O965" s="20"/>
    </row>
    <row r="966" spans="1:15" s="12" customFormat="1" ht="30">
      <c r="A966" s="178" t="s">
        <v>99</v>
      </c>
      <c r="B966" s="75" t="s">
        <v>1101</v>
      </c>
      <c r="C966" s="39" t="s">
        <v>35</v>
      </c>
      <c r="D966" s="236">
        <v>1</v>
      </c>
      <c r="E966" s="236"/>
      <c r="F966" s="236"/>
      <c r="G966" s="236">
        <v>1</v>
      </c>
      <c r="H966" s="40">
        <f>SUM(Tabla13211242[[#This Row],[PRIMER TRIMESTRE]:[CUARTO TRIMESTRE]])</f>
        <v>2</v>
      </c>
      <c r="I966" s="17">
        <v>2000</v>
      </c>
      <c r="J966" s="17">
        <f t="shared" si="26"/>
        <v>4000</v>
      </c>
      <c r="K966" s="17"/>
      <c r="L966" s="16" t="s">
        <v>18</v>
      </c>
      <c r="M966" s="16" t="s">
        <v>22</v>
      </c>
      <c r="N966" s="39" t="s">
        <v>418</v>
      </c>
      <c r="O966" s="20"/>
    </row>
    <row r="967" spans="1:15" s="12" customFormat="1" ht="30">
      <c r="A967" s="178" t="s">
        <v>99</v>
      </c>
      <c r="B967" s="75" t="s">
        <v>1626</v>
      </c>
      <c r="C967" s="39" t="s">
        <v>35</v>
      </c>
      <c r="D967" s="236"/>
      <c r="E967" s="236"/>
      <c r="F967" s="236"/>
      <c r="G967" s="236"/>
      <c r="H967" s="40">
        <f>SUM(Tabla13211242[[#This Row],[PRIMER TRIMESTRE]:[CUARTO TRIMESTRE]])</f>
        <v>0</v>
      </c>
      <c r="I967" s="17">
        <v>2850</v>
      </c>
      <c r="J967" s="17">
        <f t="shared" si="26"/>
        <v>0</v>
      </c>
      <c r="K967" s="17"/>
      <c r="L967" s="16" t="s">
        <v>18</v>
      </c>
      <c r="M967" s="16" t="s">
        <v>22</v>
      </c>
      <c r="N967" s="39" t="s">
        <v>418</v>
      </c>
      <c r="O967" s="20"/>
    </row>
    <row r="968" spans="1:15" s="12" customFormat="1" ht="30">
      <c r="A968" s="178" t="s">
        <v>99</v>
      </c>
      <c r="B968" s="75" t="s">
        <v>1102</v>
      </c>
      <c r="C968" s="39" t="s">
        <v>1065</v>
      </c>
      <c r="D968" s="236">
        <v>5</v>
      </c>
      <c r="E968" s="236"/>
      <c r="F968" s="236"/>
      <c r="G968" s="236">
        <v>5</v>
      </c>
      <c r="H968" s="40">
        <f>SUM(Tabla13211242[[#This Row],[PRIMER TRIMESTRE]:[CUARTO TRIMESTRE]])</f>
        <v>10</v>
      </c>
      <c r="I968" s="17">
        <v>100</v>
      </c>
      <c r="J968" s="17">
        <f t="shared" si="26"/>
        <v>1000</v>
      </c>
      <c r="K968" s="17"/>
      <c r="L968" s="16" t="s">
        <v>18</v>
      </c>
      <c r="M968" s="16" t="s">
        <v>22</v>
      </c>
      <c r="N968" s="39" t="s">
        <v>418</v>
      </c>
      <c r="O968" s="20"/>
    </row>
    <row r="969" spans="1:15" s="12" customFormat="1" ht="30">
      <c r="A969" s="178" t="s">
        <v>99</v>
      </c>
      <c r="B969" s="75" t="s">
        <v>1103</v>
      </c>
      <c r="C969" s="39" t="s">
        <v>1065</v>
      </c>
      <c r="D969" s="236">
        <v>5</v>
      </c>
      <c r="E969" s="236"/>
      <c r="F969" s="236"/>
      <c r="G969" s="236">
        <v>5</v>
      </c>
      <c r="H969" s="40">
        <f>SUM(Tabla13211242[[#This Row],[PRIMER TRIMESTRE]:[CUARTO TRIMESTRE]])</f>
        <v>10</v>
      </c>
      <c r="I969" s="17">
        <v>100</v>
      </c>
      <c r="J969" s="17">
        <f t="shared" ref="J969:J1040" si="27">+H969*I969</f>
        <v>1000</v>
      </c>
      <c r="K969" s="17"/>
      <c r="L969" s="16" t="s">
        <v>18</v>
      </c>
      <c r="M969" s="16" t="s">
        <v>22</v>
      </c>
      <c r="N969" s="39" t="s">
        <v>418</v>
      </c>
      <c r="O969" s="20"/>
    </row>
    <row r="970" spans="1:15" s="12" customFormat="1" ht="30">
      <c r="A970" s="178" t="s">
        <v>99</v>
      </c>
      <c r="B970" s="75" t="s">
        <v>1104</v>
      </c>
      <c r="C970" s="39" t="s">
        <v>102</v>
      </c>
      <c r="D970" s="236">
        <v>15</v>
      </c>
      <c r="E970" s="236">
        <v>15</v>
      </c>
      <c r="F970" s="236">
        <v>15</v>
      </c>
      <c r="G970" s="236">
        <v>15</v>
      </c>
      <c r="H970" s="40">
        <f>SUM(Tabla13211242[[#This Row],[PRIMER TRIMESTRE]:[CUARTO TRIMESTRE]])</f>
        <v>60</v>
      </c>
      <c r="I970" s="17">
        <v>600</v>
      </c>
      <c r="J970" s="17">
        <f t="shared" si="27"/>
        <v>36000</v>
      </c>
      <c r="K970" s="17"/>
      <c r="L970" s="16" t="s">
        <v>18</v>
      </c>
      <c r="M970" s="16" t="s">
        <v>22</v>
      </c>
      <c r="N970" s="39" t="s">
        <v>418</v>
      </c>
      <c r="O970" s="20"/>
    </row>
    <row r="971" spans="1:15" s="12" customFormat="1" ht="30">
      <c r="A971" s="178" t="s">
        <v>99</v>
      </c>
      <c r="B971" s="75" t="s">
        <v>1106</v>
      </c>
      <c r="C971" s="39" t="s">
        <v>149</v>
      </c>
      <c r="D971" s="236">
        <v>10</v>
      </c>
      <c r="E971" s="236">
        <v>10</v>
      </c>
      <c r="F971" s="236">
        <v>10</v>
      </c>
      <c r="G971" s="236">
        <v>10</v>
      </c>
      <c r="H971" s="40">
        <f>SUM(Tabla13211242[[#This Row],[PRIMER TRIMESTRE]:[CUARTO TRIMESTRE]])</f>
        <v>40</v>
      </c>
      <c r="I971" s="17">
        <v>80</v>
      </c>
      <c r="J971" s="17">
        <f t="shared" si="27"/>
        <v>3200</v>
      </c>
      <c r="K971" s="17"/>
      <c r="L971" s="16" t="s">
        <v>18</v>
      </c>
      <c r="M971" s="16" t="s">
        <v>22</v>
      </c>
      <c r="N971" s="39" t="s">
        <v>418</v>
      </c>
      <c r="O971" s="20"/>
    </row>
    <row r="972" spans="1:15" s="12" customFormat="1" ht="30">
      <c r="A972" s="178" t="s">
        <v>99</v>
      </c>
      <c r="B972" s="75" t="s">
        <v>1107</v>
      </c>
      <c r="C972" s="39" t="s">
        <v>149</v>
      </c>
      <c r="D972" s="236">
        <v>5</v>
      </c>
      <c r="E972" s="236">
        <v>5</v>
      </c>
      <c r="F972" s="236">
        <v>5</v>
      </c>
      <c r="G972" s="236">
        <v>5</v>
      </c>
      <c r="H972" s="40">
        <f>SUM(Tabla13211242[[#This Row],[PRIMER TRIMESTRE]:[CUARTO TRIMESTRE]])</f>
        <v>20</v>
      </c>
      <c r="I972" s="17">
        <v>80</v>
      </c>
      <c r="J972" s="17">
        <f t="shared" si="27"/>
        <v>1600</v>
      </c>
      <c r="K972" s="17"/>
      <c r="L972" s="16" t="s">
        <v>18</v>
      </c>
      <c r="M972" s="16" t="s">
        <v>22</v>
      </c>
      <c r="N972" s="39" t="s">
        <v>418</v>
      </c>
      <c r="O972" s="20"/>
    </row>
    <row r="973" spans="1:15" s="12" customFormat="1" ht="30">
      <c r="A973" s="178" t="s">
        <v>99</v>
      </c>
      <c r="B973" s="75" t="s">
        <v>306</v>
      </c>
      <c r="C973" s="39" t="s">
        <v>290</v>
      </c>
      <c r="D973" s="236">
        <v>2</v>
      </c>
      <c r="E973" s="236"/>
      <c r="F973" s="236"/>
      <c r="G973" s="236">
        <v>2</v>
      </c>
      <c r="H973" s="40">
        <f>SUM(Tabla13211242[[#This Row],[PRIMER TRIMESTRE]:[CUARTO TRIMESTRE]])</f>
        <v>4</v>
      </c>
      <c r="I973" s="17">
        <v>200</v>
      </c>
      <c r="J973" s="17">
        <f t="shared" si="27"/>
        <v>800</v>
      </c>
      <c r="K973" s="17"/>
      <c r="L973" s="16" t="s">
        <v>18</v>
      </c>
      <c r="M973" s="16" t="s">
        <v>22</v>
      </c>
      <c r="N973" s="39" t="s">
        <v>418</v>
      </c>
      <c r="O973" s="20"/>
    </row>
    <row r="974" spans="1:15" s="12" customFormat="1" ht="76.5">
      <c r="A974" s="178" t="s">
        <v>99</v>
      </c>
      <c r="B974" s="75" t="s">
        <v>1108</v>
      </c>
      <c r="C974" s="39" t="s">
        <v>1067</v>
      </c>
      <c r="D974" s="236"/>
      <c r="E974" s="236"/>
      <c r="F974" s="236">
        <v>6</v>
      </c>
      <c r="G974" s="236"/>
      <c r="H974" s="40">
        <f>SUM(Tabla13211242[[#This Row],[PRIMER TRIMESTRE]:[CUARTO TRIMESTRE]])</f>
        <v>6</v>
      </c>
      <c r="I974" s="17">
        <v>3000</v>
      </c>
      <c r="J974" s="17">
        <f t="shared" si="27"/>
        <v>18000</v>
      </c>
      <c r="K974" s="17"/>
      <c r="L974" s="16" t="s">
        <v>18</v>
      </c>
      <c r="M974" s="16" t="s">
        <v>22</v>
      </c>
      <c r="N974" s="39" t="s">
        <v>418</v>
      </c>
      <c r="O974" s="20"/>
    </row>
    <row r="975" spans="1:15" s="12" customFormat="1" ht="51">
      <c r="A975" s="178" t="s">
        <v>99</v>
      </c>
      <c r="B975" s="75" t="s">
        <v>1109</v>
      </c>
      <c r="C975" s="39" t="s">
        <v>1067</v>
      </c>
      <c r="D975" s="236"/>
      <c r="E975" s="236"/>
      <c r="F975" s="236"/>
      <c r="G975" s="236"/>
      <c r="H975" s="40">
        <f>SUM(Tabla13211242[[#This Row],[PRIMER TRIMESTRE]:[CUARTO TRIMESTRE]])</f>
        <v>0</v>
      </c>
      <c r="I975" s="17">
        <v>2000</v>
      </c>
      <c r="J975" s="17">
        <f t="shared" si="27"/>
        <v>0</v>
      </c>
      <c r="K975" s="17"/>
      <c r="L975" s="16" t="s">
        <v>18</v>
      </c>
      <c r="M975" s="16" t="s">
        <v>22</v>
      </c>
      <c r="N975" s="39" t="s">
        <v>418</v>
      </c>
      <c r="O975" s="20"/>
    </row>
    <row r="976" spans="1:15" s="12" customFormat="1" ht="51">
      <c r="A976" s="178" t="s">
        <v>99</v>
      </c>
      <c r="B976" s="75" t="s">
        <v>1110</v>
      </c>
      <c r="C976" s="39" t="s">
        <v>1067</v>
      </c>
      <c r="D976" s="236"/>
      <c r="E976" s="236"/>
      <c r="F976" s="236"/>
      <c r="G976" s="236"/>
      <c r="H976" s="40">
        <f>SUM(Tabla13211242[[#This Row],[PRIMER TRIMESTRE]:[CUARTO TRIMESTRE]])</f>
        <v>0</v>
      </c>
      <c r="I976" s="17">
        <v>2000</v>
      </c>
      <c r="J976" s="17">
        <f t="shared" si="27"/>
        <v>0</v>
      </c>
      <c r="K976" s="17"/>
      <c r="L976" s="16" t="s">
        <v>18</v>
      </c>
      <c r="M976" s="16" t="s">
        <v>22</v>
      </c>
      <c r="N976" s="39" t="s">
        <v>418</v>
      </c>
      <c r="O976" s="20"/>
    </row>
    <row r="977" spans="1:15" s="12" customFormat="1" ht="51">
      <c r="A977" s="178" t="s">
        <v>99</v>
      </c>
      <c r="B977" s="75" t="s">
        <v>1111</v>
      </c>
      <c r="C977" s="39" t="s">
        <v>1067</v>
      </c>
      <c r="D977" s="236">
        <v>6</v>
      </c>
      <c r="E977" s="236"/>
      <c r="F977" s="236"/>
      <c r="G977" s="236"/>
      <c r="H977" s="40">
        <f>SUM(Tabla13211242[[#This Row],[PRIMER TRIMESTRE]:[CUARTO TRIMESTRE]])</f>
        <v>6</v>
      </c>
      <c r="I977" s="17">
        <v>2000</v>
      </c>
      <c r="J977" s="17">
        <f t="shared" si="27"/>
        <v>12000</v>
      </c>
      <c r="K977" s="17"/>
      <c r="L977" s="16" t="s">
        <v>18</v>
      </c>
      <c r="M977" s="16" t="s">
        <v>22</v>
      </c>
      <c r="N977" s="39" t="s">
        <v>418</v>
      </c>
      <c r="O977" s="20"/>
    </row>
    <row r="978" spans="1:15" s="12" customFormat="1" ht="38.25">
      <c r="A978" s="178" t="s">
        <v>99</v>
      </c>
      <c r="B978" s="75" t="s">
        <v>1866</v>
      </c>
      <c r="C978" s="39" t="s">
        <v>1067</v>
      </c>
      <c r="D978" s="236"/>
      <c r="E978" s="236"/>
      <c r="F978" s="236"/>
      <c r="G978" s="236"/>
      <c r="H978" s="40">
        <f>SUM(Tabla13211242[[#This Row],[PRIMER TRIMESTRE]:[CUARTO TRIMESTRE]])</f>
        <v>0</v>
      </c>
      <c r="I978" s="17">
        <v>20000</v>
      </c>
      <c r="J978" s="17">
        <f t="shared" si="27"/>
        <v>0</v>
      </c>
      <c r="K978" s="17"/>
      <c r="L978" s="16" t="s">
        <v>18</v>
      </c>
      <c r="M978" s="16" t="s">
        <v>22</v>
      </c>
      <c r="N978" s="39" t="s">
        <v>418</v>
      </c>
      <c r="O978" s="20"/>
    </row>
    <row r="979" spans="1:15" s="12" customFormat="1" ht="38.25">
      <c r="A979" s="178" t="s">
        <v>99</v>
      </c>
      <c r="B979" s="75" t="s">
        <v>1113</v>
      </c>
      <c r="C979" s="39" t="s">
        <v>1067</v>
      </c>
      <c r="D979" s="236"/>
      <c r="E979" s="236"/>
      <c r="F979" s="236"/>
      <c r="G979" s="236"/>
      <c r="H979" s="40">
        <f>SUM(Tabla13211242[[#This Row],[PRIMER TRIMESTRE]:[CUARTO TRIMESTRE]])</f>
        <v>0</v>
      </c>
      <c r="I979" s="17">
        <v>5000</v>
      </c>
      <c r="J979" s="17">
        <f t="shared" si="27"/>
        <v>0</v>
      </c>
      <c r="K979" s="17"/>
      <c r="L979" s="16" t="s">
        <v>18</v>
      </c>
      <c r="M979" s="16" t="s">
        <v>22</v>
      </c>
      <c r="N979" s="39" t="s">
        <v>418</v>
      </c>
      <c r="O979" s="20"/>
    </row>
    <row r="980" spans="1:15" s="12" customFormat="1" ht="38.25">
      <c r="A980" s="178" t="s">
        <v>99</v>
      </c>
      <c r="B980" s="75" t="s">
        <v>1114</v>
      </c>
      <c r="C980" s="39" t="s">
        <v>1067</v>
      </c>
      <c r="D980" s="236"/>
      <c r="E980" s="236"/>
      <c r="F980" s="236"/>
      <c r="G980" s="236"/>
      <c r="H980" s="40">
        <f>SUM(Tabla13211242[[#This Row],[PRIMER TRIMESTRE]:[CUARTO TRIMESTRE]])</f>
        <v>0</v>
      </c>
      <c r="I980" s="17">
        <v>80000</v>
      </c>
      <c r="J980" s="17">
        <f t="shared" si="27"/>
        <v>0</v>
      </c>
      <c r="K980" s="17"/>
      <c r="L980" s="16" t="s">
        <v>18</v>
      </c>
      <c r="M980" s="16" t="s">
        <v>22</v>
      </c>
      <c r="N980" s="39" t="s">
        <v>418</v>
      </c>
      <c r="O980" s="20"/>
    </row>
    <row r="981" spans="1:15" s="12" customFormat="1" ht="38.25">
      <c r="A981" s="178" t="s">
        <v>99</v>
      </c>
      <c r="B981" s="75" t="s">
        <v>1115</v>
      </c>
      <c r="C981" s="39" t="s">
        <v>1067</v>
      </c>
      <c r="D981" s="236"/>
      <c r="E981" s="236"/>
      <c r="F981" s="236"/>
      <c r="G981" s="236"/>
      <c r="H981" s="40">
        <f>SUM(Tabla13211242[[#This Row],[PRIMER TRIMESTRE]:[CUARTO TRIMESTRE]])</f>
        <v>0</v>
      </c>
      <c r="I981" s="17">
        <v>38000</v>
      </c>
      <c r="J981" s="17">
        <f t="shared" si="27"/>
        <v>0</v>
      </c>
      <c r="K981" s="17"/>
      <c r="L981" s="16" t="s">
        <v>18</v>
      </c>
      <c r="M981" s="16" t="s">
        <v>22</v>
      </c>
      <c r="N981" s="39" t="s">
        <v>418</v>
      </c>
      <c r="O981" s="20"/>
    </row>
    <row r="982" spans="1:15" s="12" customFormat="1" ht="30">
      <c r="A982" s="178" t="s">
        <v>99</v>
      </c>
      <c r="B982" s="75" t="s">
        <v>1116</v>
      </c>
      <c r="C982" s="39" t="s">
        <v>1067</v>
      </c>
      <c r="D982" s="236"/>
      <c r="E982" s="236"/>
      <c r="F982" s="236"/>
      <c r="G982" s="236"/>
      <c r="H982" s="40">
        <f>SUM(Tabla13211242[[#This Row],[PRIMER TRIMESTRE]:[CUARTO TRIMESTRE]])</f>
        <v>0</v>
      </c>
      <c r="I982" s="17">
        <v>52000</v>
      </c>
      <c r="J982" s="17">
        <f t="shared" si="27"/>
        <v>0</v>
      </c>
      <c r="K982" s="17"/>
      <c r="L982" s="16" t="s">
        <v>18</v>
      </c>
      <c r="M982" s="16" t="s">
        <v>22</v>
      </c>
      <c r="N982" s="39" t="s">
        <v>418</v>
      </c>
      <c r="O982" s="20"/>
    </row>
    <row r="983" spans="1:15" s="12" customFormat="1" ht="30">
      <c r="A983" s="178" t="s">
        <v>99</v>
      </c>
      <c r="B983" s="75" t="s">
        <v>1117</v>
      </c>
      <c r="C983" s="39" t="s">
        <v>1067</v>
      </c>
      <c r="D983" s="236"/>
      <c r="E983" s="236"/>
      <c r="F983" s="236"/>
      <c r="G983" s="236"/>
      <c r="H983" s="40">
        <f>SUM(Tabla13211242[[#This Row],[PRIMER TRIMESTRE]:[CUARTO TRIMESTRE]])</f>
        <v>0</v>
      </c>
      <c r="I983" s="17">
        <v>4000</v>
      </c>
      <c r="J983" s="17">
        <f t="shared" si="27"/>
        <v>0</v>
      </c>
      <c r="K983" s="17"/>
      <c r="L983" s="16" t="s">
        <v>18</v>
      </c>
      <c r="M983" s="16" t="s">
        <v>22</v>
      </c>
      <c r="N983" s="39" t="s">
        <v>418</v>
      </c>
      <c r="O983" s="20"/>
    </row>
    <row r="984" spans="1:15" s="12" customFormat="1" ht="30">
      <c r="A984" s="178" t="s">
        <v>99</v>
      </c>
      <c r="B984" s="75" t="s">
        <v>1118</v>
      </c>
      <c r="C984" s="39" t="s">
        <v>1067</v>
      </c>
      <c r="D984" s="236"/>
      <c r="E984" s="236"/>
      <c r="F984" s="236"/>
      <c r="G984" s="236"/>
      <c r="H984" s="40">
        <f>SUM(Tabla13211242[[#This Row],[PRIMER TRIMESTRE]:[CUARTO TRIMESTRE]])</f>
        <v>0</v>
      </c>
      <c r="I984" s="17">
        <v>8000</v>
      </c>
      <c r="J984" s="17">
        <f t="shared" si="27"/>
        <v>0</v>
      </c>
      <c r="K984" s="17"/>
      <c r="L984" s="16" t="s">
        <v>18</v>
      </c>
      <c r="M984" s="16" t="s">
        <v>22</v>
      </c>
      <c r="N984" s="39" t="s">
        <v>418</v>
      </c>
      <c r="O984" s="20"/>
    </row>
    <row r="985" spans="1:15" s="12" customFormat="1" ht="30">
      <c r="A985" s="178" t="s">
        <v>99</v>
      </c>
      <c r="B985" s="75" t="s">
        <v>1867</v>
      </c>
      <c r="C985" s="39" t="s">
        <v>1067</v>
      </c>
      <c r="D985" s="236">
        <v>1</v>
      </c>
      <c r="E985" s="236">
        <v>1</v>
      </c>
      <c r="F985" s="236"/>
      <c r="G985" s="236"/>
      <c r="H985" s="40">
        <f>SUM(Tabla13211242[[#This Row],[PRIMER TRIMESTRE]:[CUARTO TRIMESTRE]])</f>
        <v>2</v>
      </c>
      <c r="I985" s="17">
        <v>350000</v>
      </c>
      <c r="J985" s="17">
        <f t="shared" si="27"/>
        <v>700000</v>
      </c>
      <c r="K985" s="17"/>
      <c r="L985" s="16" t="s">
        <v>18</v>
      </c>
      <c r="M985" s="16" t="s">
        <v>22</v>
      </c>
      <c r="N985" s="39" t="s">
        <v>418</v>
      </c>
      <c r="O985" s="20"/>
    </row>
    <row r="986" spans="1:15" s="12" customFormat="1" ht="30">
      <c r="A986" s="178" t="s">
        <v>99</v>
      </c>
      <c r="B986" s="75" t="s">
        <v>1120</v>
      </c>
      <c r="C986" s="39" t="s">
        <v>1067</v>
      </c>
      <c r="D986" s="236"/>
      <c r="E986" s="236">
        <v>1</v>
      </c>
      <c r="F986" s="236"/>
      <c r="G986" s="236"/>
      <c r="H986" s="40">
        <f>SUM(Tabla13211242[[#This Row],[PRIMER TRIMESTRE]:[CUARTO TRIMESTRE]])</f>
        <v>1</v>
      </c>
      <c r="I986" s="17">
        <v>21000</v>
      </c>
      <c r="J986" s="17">
        <f t="shared" si="27"/>
        <v>21000</v>
      </c>
      <c r="K986" s="17"/>
      <c r="L986" s="16" t="s">
        <v>18</v>
      </c>
      <c r="M986" s="16" t="s">
        <v>22</v>
      </c>
      <c r="N986" s="39" t="s">
        <v>418</v>
      </c>
      <c r="O986" s="20"/>
    </row>
    <row r="987" spans="1:15" s="12" customFormat="1" ht="89.25">
      <c r="A987" s="178" t="s">
        <v>99</v>
      </c>
      <c r="B987" s="75" t="s">
        <v>1121</v>
      </c>
      <c r="C987" s="39" t="s">
        <v>1067</v>
      </c>
      <c r="D987" s="236"/>
      <c r="E987" s="236"/>
      <c r="F987" s="236"/>
      <c r="G987" s="236"/>
      <c r="H987" s="40">
        <f>SUM(Tabla13211242[[#This Row],[PRIMER TRIMESTRE]:[CUARTO TRIMESTRE]])</f>
        <v>0</v>
      </c>
      <c r="I987" s="17">
        <v>300000</v>
      </c>
      <c r="J987" s="17">
        <f t="shared" si="27"/>
        <v>0</v>
      </c>
      <c r="K987" s="17"/>
      <c r="L987" s="16" t="s">
        <v>18</v>
      </c>
      <c r="M987" s="16" t="s">
        <v>22</v>
      </c>
      <c r="N987" s="39" t="s">
        <v>418</v>
      </c>
      <c r="O987" s="20"/>
    </row>
    <row r="988" spans="1:15" s="12" customFormat="1" ht="18">
      <c r="A988" s="15"/>
      <c r="B988" s="75" t="s">
        <v>1868</v>
      </c>
      <c r="C988" s="39" t="s">
        <v>1067</v>
      </c>
      <c r="D988" s="236">
        <v>2</v>
      </c>
      <c r="E988" s="236"/>
      <c r="F988" s="236">
        <v>2</v>
      </c>
      <c r="G988" s="236"/>
      <c r="H988" s="40">
        <f>SUM(Tabla13211242[[#This Row],[PRIMER TRIMESTRE]:[CUARTO TRIMESTRE]])</f>
        <v>4</v>
      </c>
      <c r="I988" s="17">
        <v>10000</v>
      </c>
      <c r="J988" s="17">
        <v>20000</v>
      </c>
      <c r="K988" s="17"/>
      <c r="L988" s="16"/>
      <c r="M988" s="16"/>
      <c r="N988" s="39"/>
      <c r="O988" s="20"/>
    </row>
    <row r="989" spans="1:15" s="12" customFormat="1" ht="30">
      <c r="A989" s="178" t="s">
        <v>99</v>
      </c>
      <c r="B989" s="75" t="s">
        <v>1122</v>
      </c>
      <c r="C989" s="39" t="s">
        <v>1067</v>
      </c>
      <c r="D989" s="236"/>
      <c r="E989" s="236"/>
      <c r="F989" s="236"/>
      <c r="G989" s="236"/>
      <c r="H989" s="40">
        <f>SUM(Tabla13211242[[#This Row],[PRIMER TRIMESTRE]:[CUARTO TRIMESTRE]])</f>
        <v>0</v>
      </c>
      <c r="I989" s="17">
        <v>12000</v>
      </c>
      <c r="J989" s="17">
        <f t="shared" si="27"/>
        <v>0</v>
      </c>
      <c r="K989" s="17"/>
      <c r="L989" s="16" t="s">
        <v>18</v>
      </c>
      <c r="M989" s="16" t="s">
        <v>22</v>
      </c>
      <c r="N989" s="39" t="s">
        <v>418</v>
      </c>
      <c r="O989" s="20"/>
    </row>
    <row r="990" spans="1:15" s="12" customFormat="1" ht="30">
      <c r="A990" s="178" t="s">
        <v>99</v>
      </c>
      <c r="B990" s="75" t="s">
        <v>1123</v>
      </c>
      <c r="C990" s="39" t="s">
        <v>1067</v>
      </c>
      <c r="D990" s="236"/>
      <c r="E990" s="236"/>
      <c r="F990" s="236"/>
      <c r="G990" s="236"/>
      <c r="H990" s="40">
        <f>SUM(Tabla13211242[[#This Row],[PRIMER TRIMESTRE]:[CUARTO TRIMESTRE]])</f>
        <v>0</v>
      </c>
      <c r="I990" s="17">
        <v>10000</v>
      </c>
      <c r="J990" s="17">
        <f t="shared" si="27"/>
        <v>0</v>
      </c>
      <c r="K990" s="17"/>
      <c r="L990" s="16" t="s">
        <v>18</v>
      </c>
      <c r="M990" s="16" t="s">
        <v>22</v>
      </c>
      <c r="N990" s="39" t="s">
        <v>418</v>
      </c>
      <c r="O990" s="20"/>
    </row>
    <row r="991" spans="1:15" s="12" customFormat="1" ht="30">
      <c r="A991" s="178" t="s">
        <v>99</v>
      </c>
      <c r="B991" s="75" t="s">
        <v>1124</v>
      </c>
      <c r="C991" s="39" t="s">
        <v>1067</v>
      </c>
      <c r="D991" s="236">
        <v>1</v>
      </c>
      <c r="E991" s="236"/>
      <c r="F991" s="236"/>
      <c r="G991" s="236"/>
      <c r="H991" s="40">
        <f>SUM(Tabla13211242[[#This Row],[PRIMER TRIMESTRE]:[CUARTO TRIMESTRE]])</f>
        <v>1</v>
      </c>
      <c r="I991" s="17">
        <v>5000</v>
      </c>
      <c r="J991" s="17">
        <f t="shared" si="27"/>
        <v>5000</v>
      </c>
      <c r="K991" s="17"/>
      <c r="L991" s="16" t="s">
        <v>18</v>
      </c>
      <c r="M991" s="16" t="s">
        <v>22</v>
      </c>
      <c r="N991" s="39" t="s">
        <v>418</v>
      </c>
      <c r="O991" s="20"/>
    </row>
    <row r="992" spans="1:15" s="12" customFormat="1" ht="30">
      <c r="A992" s="178" t="s">
        <v>99</v>
      </c>
      <c r="B992" s="75" t="s">
        <v>1125</v>
      </c>
      <c r="C992" s="39" t="s">
        <v>1067</v>
      </c>
      <c r="D992" s="236">
        <v>1</v>
      </c>
      <c r="E992" s="236"/>
      <c r="F992" s="236"/>
      <c r="G992" s="236"/>
      <c r="H992" s="40">
        <f>SUM(Tabla13211242[[#This Row],[PRIMER TRIMESTRE]:[CUARTO TRIMESTRE]])</f>
        <v>1</v>
      </c>
      <c r="I992" s="17">
        <v>5000</v>
      </c>
      <c r="J992" s="17">
        <f t="shared" si="27"/>
        <v>5000</v>
      </c>
      <c r="K992" s="17"/>
      <c r="L992" s="16" t="s">
        <v>18</v>
      </c>
      <c r="M992" s="16" t="s">
        <v>22</v>
      </c>
      <c r="N992" s="39" t="s">
        <v>418</v>
      </c>
      <c r="O992" s="20"/>
    </row>
    <row r="993" spans="1:15" s="12" customFormat="1" ht="30">
      <c r="A993" s="178" t="s">
        <v>99</v>
      </c>
      <c r="B993" s="75" t="s">
        <v>1125</v>
      </c>
      <c r="C993" s="39" t="s">
        <v>1067</v>
      </c>
      <c r="D993" s="236"/>
      <c r="E993" s="236"/>
      <c r="F993" s="236"/>
      <c r="G993" s="236"/>
      <c r="H993" s="40">
        <f>SUM(Tabla13211242[[#This Row],[PRIMER TRIMESTRE]:[CUARTO TRIMESTRE]])</f>
        <v>0</v>
      </c>
      <c r="I993" s="17">
        <v>5000</v>
      </c>
      <c r="J993" s="17">
        <f t="shared" si="27"/>
        <v>0</v>
      </c>
      <c r="K993" s="17"/>
      <c r="L993" s="16" t="s">
        <v>18</v>
      </c>
      <c r="M993" s="16" t="s">
        <v>22</v>
      </c>
      <c r="N993" s="39" t="s">
        <v>418</v>
      </c>
      <c r="O993" s="20"/>
    </row>
    <row r="994" spans="1:15" s="12" customFormat="1" ht="30">
      <c r="A994" s="178" t="s">
        <v>99</v>
      </c>
      <c r="B994" s="75" t="s">
        <v>1869</v>
      </c>
      <c r="C994" s="39" t="s">
        <v>1067</v>
      </c>
      <c r="D994" s="236">
        <v>1</v>
      </c>
      <c r="E994" s="236">
        <v>1</v>
      </c>
      <c r="F994" s="236"/>
      <c r="G994" s="236"/>
      <c r="H994" s="40">
        <f>SUM(Tabla13211242[[#This Row],[PRIMER TRIMESTRE]:[CUARTO TRIMESTRE]])</f>
        <v>2</v>
      </c>
      <c r="I994" s="17">
        <v>150000</v>
      </c>
      <c r="J994" s="17">
        <v>300000</v>
      </c>
      <c r="K994" s="17"/>
      <c r="L994" s="16"/>
      <c r="M994" s="16"/>
      <c r="N994" s="39"/>
      <c r="O994" s="20"/>
    </row>
    <row r="995" spans="1:15" s="12" customFormat="1" ht="30">
      <c r="A995" s="178" t="s">
        <v>99</v>
      </c>
      <c r="B995" s="75" t="s">
        <v>1870</v>
      </c>
      <c r="C995" s="39" t="s">
        <v>1067</v>
      </c>
      <c r="D995" s="236">
        <v>2</v>
      </c>
      <c r="E995" s="236">
        <v>2</v>
      </c>
      <c r="F995" s="236"/>
      <c r="G995" s="236"/>
      <c r="H995" s="40">
        <f>SUM(Tabla13211242[[#This Row],[PRIMER TRIMESTRE]:[CUARTO TRIMESTRE]])</f>
        <v>4</v>
      </c>
      <c r="I995" s="17">
        <v>3000</v>
      </c>
      <c r="J995" s="17">
        <f t="shared" si="27"/>
        <v>12000</v>
      </c>
      <c r="K995" s="17"/>
      <c r="L995" s="16" t="s">
        <v>18</v>
      </c>
      <c r="M995" s="16" t="s">
        <v>22</v>
      </c>
      <c r="N995" s="39" t="s">
        <v>418</v>
      </c>
      <c r="O995" s="20"/>
    </row>
    <row r="996" spans="1:15" s="12" customFormat="1" ht="30">
      <c r="A996" s="178" t="s">
        <v>99</v>
      </c>
      <c r="B996" s="75" t="s">
        <v>1093</v>
      </c>
      <c r="C996" s="39" t="s">
        <v>1067</v>
      </c>
      <c r="D996" s="236">
        <v>10</v>
      </c>
      <c r="E996" s="236">
        <v>10</v>
      </c>
      <c r="F996" s="236"/>
      <c r="G996" s="236"/>
      <c r="H996" s="40">
        <f>SUM(Tabla13211242[[#This Row],[PRIMER TRIMESTRE]:[CUARTO TRIMESTRE]])</f>
        <v>20</v>
      </c>
      <c r="I996" s="17">
        <v>250</v>
      </c>
      <c r="J996" s="17">
        <f t="shared" si="27"/>
        <v>5000</v>
      </c>
      <c r="K996" s="17"/>
      <c r="L996" s="16" t="s">
        <v>18</v>
      </c>
      <c r="M996" s="16" t="s">
        <v>22</v>
      </c>
      <c r="N996" s="39" t="s">
        <v>418</v>
      </c>
      <c r="O996" s="20"/>
    </row>
    <row r="997" spans="1:15" s="12" customFormat="1" ht="30">
      <c r="A997" s="178" t="s">
        <v>99</v>
      </c>
      <c r="B997" s="75" t="s">
        <v>1127</v>
      </c>
      <c r="C997" s="39" t="s">
        <v>1067</v>
      </c>
      <c r="D997" s="236"/>
      <c r="E997" s="236"/>
      <c r="F997" s="236"/>
      <c r="G997" s="236"/>
      <c r="H997" s="40">
        <f>SUM(Tabla13211242[[#This Row],[PRIMER TRIMESTRE]:[CUARTO TRIMESTRE]])</f>
        <v>0</v>
      </c>
      <c r="I997" s="17">
        <v>80000</v>
      </c>
      <c r="J997" s="17">
        <f t="shared" si="27"/>
        <v>0</v>
      </c>
      <c r="K997" s="17"/>
      <c r="L997" s="16" t="s">
        <v>18</v>
      </c>
      <c r="M997" s="16" t="s">
        <v>22</v>
      </c>
      <c r="N997" s="39" t="s">
        <v>418</v>
      </c>
      <c r="O997" s="20"/>
    </row>
    <row r="998" spans="1:15" s="12" customFormat="1" ht="31.5">
      <c r="A998" s="178" t="s">
        <v>99</v>
      </c>
      <c r="B998" s="75" t="s">
        <v>1871</v>
      </c>
      <c r="C998" s="39" t="s">
        <v>1067</v>
      </c>
      <c r="D998" s="236">
        <v>5</v>
      </c>
      <c r="E998" s="236"/>
      <c r="F998" s="236">
        <v>5</v>
      </c>
      <c r="G998" s="236">
        <v>5</v>
      </c>
      <c r="H998" s="40">
        <f>SUM(Tabla13211242[[#This Row],[PRIMER TRIMESTRE]:[CUARTO TRIMESTRE]])</f>
        <v>15</v>
      </c>
      <c r="I998" s="17">
        <v>10000</v>
      </c>
      <c r="J998" s="17">
        <v>30000</v>
      </c>
      <c r="K998" s="17"/>
      <c r="L998" s="16" t="s">
        <v>18</v>
      </c>
      <c r="M998" s="16" t="s">
        <v>18</v>
      </c>
      <c r="N998" s="16" t="s">
        <v>18</v>
      </c>
      <c r="O998" s="20"/>
    </row>
    <row r="999" spans="1:15" s="12" customFormat="1" ht="25.5">
      <c r="A999" s="15"/>
      <c r="B999" s="75" t="s">
        <v>1132</v>
      </c>
      <c r="C999" s="39"/>
      <c r="D999" s="236"/>
      <c r="E999" s="236"/>
      <c r="F999" s="236"/>
      <c r="G999" s="236"/>
      <c r="H999" s="40"/>
      <c r="I999" s="17"/>
      <c r="J999" s="17"/>
      <c r="K999" s="17"/>
      <c r="L999" s="16"/>
      <c r="M999" s="16"/>
      <c r="N999" s="39"/>
      <c r="O999" s="20"/>
    </row>
    <row r="1000" spans="1:15" s="12" customFormat="1" ht="30">
      <c r="A1000" s="178" t="s">
        <v>99</v>
      </c>
      <c r="B1000" s="75" t="s">
        <v>1128</v>
      </c>
      <c r="C1000" s="39" t="s">
        <v>1067</v>
      </c>
      <c r="D1000" s="236"/>
      <c r="E1000" s="236"/>
      <c r="F1000" s="236"/>
      <c r="G1000" s="236"/>
      <c r="H1000" s="40">
        <f>SUM(Tabla13211242[[#This Row],[PRIMER TRIMESTRE]:[CUARTO TRIMESTRE]])</f>
        <v>0</v>
      </c>
      <c r="I1000" s="17">
        <v>1500</v>
      </c>
      <c r="J1000" s="17">
        <f t="shared" si="27"/>
        <v>0</v>
      </c>
      <c r="K1000" s="17"/>
      <c r="L1000" s="16" t="s">
        <v>18</v>
      </c>
      <c r="M1000" s="16" t="s">
        <v>22</v>
      </c>
      <c r="N1000" s="39" t="s">
        <v>418</v>
      </c>
      <c r="O1000" s="20"/>
    </row>
    <row r="1001" spans="1:15" s="12" customFormat="1" ht="30">
      <c r="A1001" s="178" t="s">
        <v>99</v>
      </c>
      <c r="B1001" s="75" t="s">
        <v>1129</v>
      </c>
      <c r="C1001" s="39" t="s">
        <v>1067</v>
      </c>
      <c r="D1001" s="236"/>
      <c r="E1001" s="236"/>
      <c r="F1001" s="236"/>
      <c r="G1001" s="236"/>
      <c r="H1001" s="40">
        <f>SUM(Tabla13211242[[#This Row],[PRIMER TRIMESTRE]:[CUARTO TRIMESTRE]])</f>
        <v>0</v>
      </c>
      <c r="I1001" s="17">
        <v>1000</v>
      </c>
      <c r="J1001" s="17">
        <f t="shared" si="27"/>
        <v>0</v>
      </c>
      <c r="K1001" s="17"/>
      <c r="L1001" s="16" t="s">
        <v>18</v>
      </c>
      <c r="M1001" s="16" t="s">
        <v>22</v>
      </c>
      <c r="N1001" s="39" t="s">
        <v>418</v>
      </c>
      <c r="O1001" s="20"/>
    </row>
    <row r="1002" spans="1:15" s="12" customFormat="1" ht="30">
      <c r="A1002" s="178" t="s">
        <v>99</v>
      </c>
      <c r="B1002" s="75" t="s">
        <v>1130</v>
      </c>
      <c r="C1002" s="39" t="s">
        <v>1067</v>
      </c>
      <c r="D1002" s="236"/>
      <c r="E1002" s="236"/>
      <c r="F1002" s="236"/>
      <c r="G1002" s="236"/>
      <c r="H1002" s="40">
        <f>SUM(Tabla13211242[[#This Row],[PRIMER TRIMESTRE]:[CUARTO TRIMESTRE]])</f>
        <v>0</v>
      </c>
      <c r="I1002" s="17">
        <v>2000</v>
      </c>
      <c r="J1002" s="17">
        <f t="shared" si="27"/>
        <v>0</v>
      </c>
      <c r="K1002" s="17"/>
      <c r="L1002" s="16" t="s">
        <v>18</v>
      </c>
      <c r="M1002" s="16" t="s">
        <v>22</v>
      </c>
      <c r="N1002" s="39" t="s">
        <v>418</v>
      </c>
      <c r="O1002" s="20"/>
    </row>
    <row r="1003" spans="1:15" s="12" customFormat="1" ht="30">
      <c r="A1003" s="178" t="s">
        <v>99</v>
      </c>
      <c r="B1003" s="75" t="s">
        <v>1131</v>
      </c>
      <c r="C1003" s="39" t="s">
        <v>1067</v>
      </c>
      <c r="D1003" s="236"/>
      <c r="E1003" s="236"/>
      <c r="F1003" s="236"/>
      <c r="G1003" s="236"/>
      <c r="H1003" s="40">
        <f>SUM(Tabla13211242[[#This Row],[PRIMER TRIMESTRE]:[CUARTO TRIMESTRE]])</f>
        <v>0</v>
      </c>
      <c r="I1003" s="17">
        <v>300</v>
      </c>
      <c r="J1003" s="17">
        <f t="shared" si="27"/>
        <v>0</v>
      </c>
      <c r="K1003" s="17"/>
      <c r="L1003" s="16" t="s">
        <v>18</v>
      </c>
      <c r="M1003" s="16" t="s">
        <v>22</v>
      </c>
      <c r="N1003" s="39" t="s">
        <v>418</v>
      </c>
      <c r="O1003" s="20"/>
    </row>
    <row r="1004" spans="1:15" s="12" customFormat="1" ht="30">
      <c r="A1004" s="178" t="s">
        <v>99</v>
      </c>
      <c r="B1004" s="75" t="s">
        <v>1508</v>
      </c>
      <c r="C1004" s="39" t="s">
        <v>1067</v>
      </c>
      <c r="D1004" s="236"/>
      <c r="E1004" s="236"/>
      <c r="F1004" s="236"/>
      <c r="G1004" s="236"/>
      <c r="H1004" s="40">
        <f>SUM(Tabla13211242[[#This Row],[PRIMER TRIMESTRE]:[CUARTO TRIMESTRE]])</f>
        <v>0</v>
      </c>
      <c r="I1004" s="17">
        <v>392</v>
      </c>
      <c r="J1004" s="17">
        <f t="shared" si="27"/>
        <v>0</v>
      </c>
      <c r="K1004" s="17"/>
      <c r="L1004" s="16" t="s">
        <v>27</v>
      </c>
      <c r="M1004" s="16" t="s">
        <v>22</v>
      </c>
      <c r="N1004" s="39" t="s">
        <v>418</v>
      </c>
      <c r="O1004" s="20"/>
    </row>
    <row r="1005" spans="1:15" s="12" customFormat="1" ht="30">
      <c r="A1005" s="178" t="s">
        <v>99</v>
      </c>
      <c r="B1005" s="75" t="s">
        <v>1872</v>
      </c>
      <c r="C1005" s="39" t="s">
        <v>1067</v>
      </c>
      <c r="D1005" s="236">
        <v>1</v>
      </c>
      <c r="E1005" s="236"/>
      <c r="F1005" s="236"/>
      <c r="G1005" s="236"/>
      <c r="H1005" s="40">
        <f>SUM(Tabla13211242[[#This Row],[PRIMER TRIMESTRE]:[CUARTO TRIMESTRE]])</f>
        <v>1</v>
      </c>
      <c r="I1005" s="17">
        <v>30000</v>
      </c>
      <c r="J1005" s="17">
        <v>30000</v>
      </c>
      <c r="K1005" s="17"/>
      <c r="L1005" s="16" t="s">
        <v>27</v>
      </c>
      <c r="M1005" s="16" t="s">
        <v>22</v>
      </c>
      <c r="N1005" s="39" t="s">
        <v>418</v>
      </c>
      <c r="O1005" s="20"/>
    </row>
    <row r="1006" spans="1:15" s="12" customFormat="1" ht="30">
      <c r="A1006" s="178" t="s">
        <v>99</v>
      </c>
      <c r="B1006" s="75" t="s">
        <v>1132</v>
      </c>
      <c r="C1006" s="39" t="s">
        <v>1067</v>
      </c>
      <c r="D1006" s="236">
        <v>1</v>
      </c>
      <c r="E1006" s="236">
        <v>1</v>
      </c>
      <c r="F1006" s="236">
        <v>1</v>
      </c>
      <c r="G1006" s="236"/>
      <c r="H1006" s="40">
        <f>SUM(Tabla13211242[[#This Row],[PRIMER TRIMESTRE]:[CUARTO TRIMESTRE]])</f>
        <v>3</v>
      </c>
      <c r="I1006" s="248">
        <v>100000</v>
      </c>
      <c r="J1006" s="17">
        <v>300000</v>
      </c>
      <c r="K1006" s="17"/>
      <c r="L1006" s="16" t="s">
        <v>18</v>
      </c>
      <c r="M1006" s="16" t="s">
        <v>22</v>
      </c>
      <c r="N1006" s="39" t="s">
        <v>418</v>
      </c>
      <c r="O1006" s="20"/>
    </row>
    <row r="1007" spans="1:15" s="12" customFormat="1" ht="63.75">
      <c r="A1007" s="178" t="s">
        <v>99</v>
      </c>
      <c r="B1007" s="75" t="s">
        <v>1133</v>
      </c>
      <c r="C1007" s="39" t="s">
        <v>1067</v>
      </c>
      <c r="D1007" s="236"/>
      <c r="E1007" s="236"/>
      <c r="F1007" s="236"/>
      <c r="G1007" s="236"/>
      <c r="H1007" s="40">
        <f>SUM(Tabla13211242[[#This Row],[PRIMER TRIMESTRE]:[CUARTO TRIMESTRE]])</f>
        <v>0</v>
      </c>
      <c r="I1007" s="17">
        <v>3500</v>
      </c>
      <c r="J1007" s="17">
        <f t="shared" si="27"/>
        <v>0</v>
      </c>
      <c r="K1007" s="17"/>
      <c r="L1007" s="16" t="s">
        <v>18</v>
      </c>
      <c r="M1007" s="16" t="s">
        <v>22</v>
      </c>
      <c r="N1007" s="39" t="s">
        <v>418</v>
      </c>
      <c r="O1007" s="20"/>
    </row>
    <row r="1008" spans="1:15" s="12" customFormat="1" ht="30">
      <c r="A1008" s="178" t="s">
        <v>99</v>
      </c>
      <c r="B1008" s="75" t="s">
        <v>1873</v>
      </c>
      <c r="C1008" s="39" t="s">
        <v>1067</v>
      </c>
      <c r="D1008" s="236"/>
      <c r="E1008" s="236"/>
      <c r="F1008" s="236"/>
      <c r="G1008" s="236"/>
      <c r="H1008" s="40">
        <f>SUM(Tabla13211242[[#This Row],[PRIMER TRIMESTRE]:[CUARTO TRIMESTRE]])</f>
        <v>0</v>
      </c>
      <c r="I1008" s="17">
        <v>1150</v>
      </c>
      <c r="J1008" s="17">
        <f>Tabla13211242[[#This Row],[PRECIO UNITARIO ESTIMADO]]*Tabla13211242[[#This Row],[CANTIDAD TOTAL]]</f>
        <v>0</v>
      </c>
      <c r="K1008" s="17"/>
      <c r="L1008" s="16" t="s">
        <v>18</v>
      </c>
      <c r="M1008" s="16" t="s">
        <v>22</v>
      </c>
      <c r="N1008" s="39" t="s">
        <v>418</v>
      </c>
      <c r="O1008" s="20"/>
    </row>
    <row r="1009" spans="1:15" s="12" customFormat="1" ht="30">
      <c r="A1009" s="178" t="s">
        <v>99</v>
      </c>
      <c r="B1009" s="75" t="s">
        <v>1874</v>
      </c>
      <c r="C1009" s="39" t="s">
        <v>1067</v>
      </c>
      <c r="D1009" s="236">
        <v>1</v>
      </c>
      <c r="E1009" s="236"/>
      <c r="F1009" s="236"/>
      <c r="G1009" s="236"/>
      <c r="H1009" s="40">
        <v>1</v>
      </c>
      <c r="I1009" s="17">
        <v>200000</v>
      </c>
      <c r="J1009" s="17">
        <v>200000</v>
      </c>
      <c r="K1009" s="17"/>
      <c r="L1009" s="16"/>
      <c r="M1009" s="16"/>
      <c r="N1009" s="39"/>
      <c r="O1009" s="20"/>
    </row>
    <row r="1010" spans="1:15" s="12" customFormat="1" ht="30">
      <c r="A1010" s="178" t="s">
        <v>99</v>
      </c>
      <c r="B1010" s="75" t="s">
        <v>1875</v>
      </c>
      <c r="C1010" s="39" t="s">
        <v>1067</v>
      </c>
      <c r="D1010" s="236">
        <v>1</v>
      </c>
      <c r="E1010" s="236"/>
      <c r="F1010" s="236"/>
      <c r="G1010" s="236"/>
      <c r="H1010" s="40">
        <v>1</v>
      </c>
      <c r="I1010" s="17">
        <v>250000</v>
      </c>
      <c r="J1010" s="17">
        <v>250000</v>
      </c>
      <c r="K1010" s="17"/>
      <c r="L1010" s="16"/>
      <c r="M1010" s="16"/>
      <c r="N1010" s="39"/>
      <c r="O1010" s="20"/>
    </row>
    <row r="1011" spans="1:15" s="12" customFormat="1" ht="51">
      <c r="A1011" s="178" t="s">
        <v>99</v>
      </c>
      <c r="B1011" s="75" t="s">
        <v>1134</v>
      </c>
      <c r="C1011" s="39" t="s">
        <v>1067</v>
      </c>
      <c r="D1011" s="236">
        <v>1</v>
      </c>
      <c r="E1011" s="236">
        <v>1</v>
      </c>
      <c r="F1011" s="236"/>
      <c r="G1011" s="236"/>
      <c r="H1011" s="40">
        <f>SUM(Tabla13211242[[#This Row],[PRIMER TRIMESTRE]:[CUARTO TRIMESTRE]])</f>
        <v>2</v>
      </c>
      <c r="I1011" s="17">
        <v>450000</v>
      </c>
      <c r="J1011" s="17">
        <f t="shared" si="27"/>
        <v>900000</v>
      </c>
      <c r="K1011" s="17"/>
      <c r="L1011" s="16" t="s">
        <v>18</v>
      </c>
      <c r="M1011" s="16" t="s">
        <v>22</v>
      </c>
      <c r="N1011" s="39" t="s">
        <v>418</v>
      </c>
      <c r="O1011" s="20"/>
    </row>
    <row r="1012" spans="1:15" s="12" customFormat="1" ht="30">
      <c r="A1012" s="178" t="s">
        <v>99</v>
      </c>
      <c r="B1012" s="75" t="s">
        <v>1876</v>
      </c>
      <c r="C1012" s="39" t="s">
        <v>1067</v>
      </c>
      <c r="D1012" s="236"/>
      <c r="E1012" s="236">
        <v>1</v>
      </c>
      <c r="F1012" s="236"/>
      <c r="G1012" s="236"/>
      <c r="H1012" s="40">
        <f>SUM(Tabla13211242[[#This Row],[PRIMER TRIMESTRE]:[CUARTO TRIMESTRE]])</f>
        <v>1</v>
      </c>
      <c r="I1012" s="248" t="s">
        <v>1877</v>
      </c>
      <c r="J1012" s="248" t="s">
        <v>1878</v>
      </c>
      <c r="K1012" s="17"/>
      <c r="L1012" s="16" t="s">
        <v>18</v>
      </c>
      <c r="M1012" s="16" t="s">
        <v>22</v>
      </c>
      <c r="N1012" s="39" t="s">
        <v>418</v>
      </c>
      <c r="O1012" s="20"/>
    </row>
    <row r="1013" spans="1:15" s="12" customFormat="1" ht="51">
      <c r="A1013" s="178" t="s">
        <v>99</v>
      </c>
      <c r="B1013" s="75" t="s">
        <v>1879</v>
      </c>
      <c r="C1013" s="39" t="s">
        <v>1067</v>
      </c>
      <c r="D1013" s="236">
        <v>2</v>
      </c>
      <c r="E1013" s="236">
        <v>2</v>
      </c>
      <c r="F1013" s="236">
        <v>1</v>
      </c>
      <c r="G1013" s="236"/>
      <c r="H1013" s="40">
        <f>SUM(Tabla13211242[[#This Row],[PRIMER TRIMESTRE]:[CUARTO TRIMESTRE]])</f>
        <v>5</v>
      </c>
      <c r="I1013" s="17">
        <v>70000</v>
      </c>
      <c r="J1013" s="17">
        <f t="shared" si="27"/>
        <v>350000</v>
      </c>
      <c r="K1013" s="17"/>
      <c r="L1013" s="16" t="s">
        <v>18</v>
      </c>
      <c r="M1013" s="16" t="s">
        <v>22</v>
      </c>
      <c r="N1013" s="39" t="s">
        <v>418</v>
      </c>
      <c r="O1013" s="20"/>
    </row>
    <row r="1014" spans="1:15" s="12" customFormat="1" ht="30">
      <c r="A1014" s="178" t="s">
        <v>99</v>
      </c>
      <c r="B1014" s="75" t="s">
        <v>1137</v>
      </c>
      <c r="C1014" s="39" t="s">
        <v>1067</v>
      </c>
      <c r="D1014" s="236">
        <v>1</v>
      </c>
      <c r="E1014" s="236"/>
      <c r="F1014" s="236"/>
      <c r="G1014" s="236"/>
      <c r="H1014" s="40">
        <f>SUM(Tabla13211242[[#This Row],[PRIMER TRIMESTRE]:[CUARTO TRIMESTRE]])</f>
        <v>1</v>
      </c>
      <c r="I1014" s="17">
        <v>20000</v>
      </c>
      <c r="J1014" s="17">
        <f t="shared" si="27"/>
        <v>20000</v>
      </c>
      <c r="K1014" s="17"/>
      <c r="L1014" s="16" t="s">
        <v>18</v>
      </c>
      <c r="M1014" s="16" t="s">
        <v>22</v>
      </c>
      <c r="N1014" s="39" t="s">
        <v>418</v>
      </c>
      <c r="O1014" s="20"/>
    </row>
    <row r="1015" spans="1:15" s="12" customFormat="1" ht="30">
      <c r="A1015" s="178" t="s">
        <v>99</v>
      </c>
      <c r="B1015" s="75" t="s">
        <v>1148</v>
      </c>
      <c r="C1015" s="39" t="s">
        <v>1067</v>
      </c>
      <c r="D1015" s="236">
        <v>10</v>
      </c>
      <c r="E1015" s="236"/>
      <c r="F1015" s="236"/>
      <c r="G1015" s="236">
        <v>10</v>
      </c>
      <c r="H1015" s="40">
        <f>SUM(Tabla13211242[[#This Row],[PRIMER TRIMESTRE]:[CUARTO TRIMESTRE]])</f>
        <v>20</v>
      </c>
      <c r="I1015" s="17">
        <v>70</v>
      </c>
      <c r="J1015" s="17">
        <f t="shared" si="27"/>
        <v>1400</v>
      </c>
      <c r="K1015" s="17"/>
      <c r="L1015" s="16" t="s">
        <v>18</v>
      </c>
      <c r="M1015" s="16" t="s">
        <v>22</v>
      </c>
      <c r="N1015" s="39" t="s">
        <v>418</v>
      </c>
      <c r="O1015" s="20"/>
    </row>
    <row r="1016" spans="1:15" s="12" customFormat="1" ht="30">
      <c r="A1016" s="178" t="s">
        <v>99</v>
      </c>
      <c r="B1016" s="75" t="s">
        <v>1880</v>
      </c>
      <c r="C1016" s="39" t="s">
        <v>1067</v>
      </c>
      <c r="D1016" s="236">
        <v>1</v>
      </c>
      <c r="E1016" s="236"/>
      <c r="F1016" s="236"/>
      <c r="G1016" s="236"/>
      <c r="H1016" s="40">
        <v>1</v>
      </c>
      <c r="I1016" s="17">
        <v>40000</v>
      </c>
      <c r="J1016" s="17">
        <v>40000</v>
      </c>
      <c r="K1016" s="17"/>
      <c r="L1016" s="16"/>
      <c r="M1016" s="16"/>
      <c r="N1016" s="39"/>
      <c r="O1016" s="20"/>
    </row>
    <row r="1017" spans="1:15" s="12" customFormat="1" ht="30">
      <c r="A1017" s="178" t="s">
        <v>99</v>
      </c>
      <c r="B1017" s="75" t="s">
        <v>1881</v>
      </c>
      <c r="C1017" s="39" t="s">
        <v>1067</v>
      </c>
      <c r="D1017" s="236"/>
      <c r="E1017" s="236"/>
      <c r="F1017" s="236"/>
      <c r="G1017" s="236">
        <v>4</v>
      </c>
      <c r="H1017" s="40">
        <v>4</v>
      </c>
      <c r="I1017" s="17">
        <v>10000</v>
      </c>
      <c r="J1017" s="17">
        <v>40000</v>
      </c>
      <c r="K1017" s="17"/>
      <c r="L1017" s="16"/>
      <c r="M1017" s="16"/>
      <c r="N1017" s="39"/>
      <c r="O1017" s="20"/>
    </row>
    <row r="1018" spans="1:15" s="12" customFormat="1" ht="38.25">
      <c r="A1018" s="178" t="s">
        <v>99</v>
      </c>
      <c r="B1018" s="75" t="s">
        <v>1882</v>
      </c>
      <c r="C1018" s="39" t="s">
        <v>1067</v>
      </c>
      <c r="D1018" s="236">
        <v>1</v>
      </c>
      <c r="E1018" s="236"/>
      <c r="F1018" s="236"/>
      <c r="G1018" s="236"/>
      <c r="H1018" s="40">
        <f>SUM(Tabla13211242[[#This Row],[PRIMER TRIMESTRE]:[CUARTO TRIMESTRE]])</f>
        <v>1</v>
      </c>
      <c r="I1018" s="17">
        <v>70000</v>
      </c>
      <c r="J1018" s="17">
        <v>70000</v>
      </c>
      <c r="K1018" s="17"/>
      <c r="L1018" s="16" t="s">
        <v>18</v>
      </c>
      <c r="M1018" s="16" t="s">
        <v>22</v>
      </c>
      <c r="N1018" s="39" t="s">
        <v>418</v>
      </c>
      <c r="O1018" s="20"/>
    </row>
    <row r="1019" spans="1:15" s="12" customFormat="1" ht="30">
      <c r="A1019" s="178" t="s">
        <v>99</v>
      </c>
      <c r="B1019" s="75" t="s">
        <v>1883</v>
      </c>
      <c r="C1019" s="39" t="s">
        <v>1067</v>
      </c>
      <c r="D1019" s="236">
        <v>20</v>
      </c>
      <c r="E1019" s="236"/>
      <c r="F1019" s="236"/>
      <c r="G1019" s="236"/>
      <c r="H1019" s="40">
        <v>20</v>
      </c>
      <c r="I1019" s="17">
        <v>1000</v>
      </c>
      <c r="J1019" s="17">
        <v>20000</v>
      </c>
      <c r="K1019" s="17"/>
      <c r="L1019" s="16"/>
      <c r="M1019" s="16"/>
      <c r="N1019" s="39"/>
      <c r="O1019" s="20"/>
    </row>
    <row r="1020" spans="1:15" s="12" customFormat="1" ht="30">
      <c r="A1020" s="178" t="s">
        <v>99</v>
      </c>
      <c r="B1020" s="75" t="s">
        <v>1139</v>
      </c>
      <c r="C1020" s="39" t="s">
        <v>1067</v>
      </c>
      <c r="D1020" s="236">
        <v>1</v>
      </c>
      <c r="E1020" s="236"/>
      <c r="F1020" s="236"/>
      <c r="G1020" s="236"/>
      <c r="H1020" s="40">
        <f>SUM(Tabla13211242[[#This Row],[PRIMER TRIMESTRE]:[CUARTO TRIMESTRE]])</f>
        <v>1</v>
      </c>
      <c r="I1020" s="17">
        <v>10000</v>
      </c>
      <c r="J1020" s="17">
        <f t="shared" si="27"/>
        <v>10000</v>
      </c>
      <c r="K1020" s="17"/>
      <c r="L1020" s="16" t="s">
        <v>18</v>
      </c>
      <c r="M1020" s="16" t="s">
        <v>22</v>
      </c>
      <c r="N1020" s="39" t="s">
        <v>418</v>
      </c>
      <c r="O1020" s="20"/>
    </row>
    <row r="1021" spans="1:15" s="12" customFormat="1" ht="76.5">
      <c r="A1021" s="178" t="s">
        <v>99</v>
      </c>
      <c r="B1021" s="75" t="s">
        <v>1140</v>
      </c>
      <c r="C1021" s="39" t="s">
        <v>1067</v>
      </c>
      <c r="D1021" s="236"/>
      <c r="E1021" s="236"/>
      <c r="F1021" s="236"/>
      <c r="G1021" s="236"/>
      <c r="H1021" s="40">
        <f>SUM(Tabla13211242[[#This Row],[PRIMER TRIMESTRE]:[CUARTO TRIMESTRE]])</f>
        <v>0</v>
      </c>
      <c r="I1021" s="17">
        <v>60000</v>
      </c>
      <c r="J1021" s="17">
        <f t="shared" si="27"/>
        <v>0</v>
      </c>
      <c r="K1021" s="17"/>
      <c r="L1021" s="16" t="s">
        <v>18</v>
      </c>
      <c r="M1021" s="16" t="s">
        <v>22</v>
      </c>
      <c r="N1021" s="39" t="s">
        <v>418</v>
      </c>
      <c r="O1021" s="20"/>
    </row>
    <row r="1022" spans="1:15" s="12" customFormat="1" ht="30">
      <c r="A1022" s="178" t="s">
        <v>99</v>
      </c>
      <c r="B1022" s="75" t="s">
        <v>1141</v>
      </c>
      <c r="C1022" s="39" t="s">
        <v>718</v>
      </c>
      <c r="D1022" s="236"/>
      <c r="E1022" s="236"/>
      <c r="F1022" s="236"/>
      <c r="G1022" s="236">
        <v>1</v>
      </c>
      <c r="H1022" s="40">
        <f>SUM(Tabla13211242[[#This Row],[PRIMER TRIMESTRE]:[CUARTO TRIMESTRE]])</f>
        <v>1</v>
      </c>
      <c r="I1022" s="17">
        <v>4000</v>
      </c>
      <c r="J1022" s="17">
        <f>+H1022*I1022</f>
        <v>4000</v>
      </c>
      <c r="K1022" s="17"/>
      <c r="L1022" s="16" t="s">
        <v>18</v>
      </c>
      <c r="M1022" s="16" t="s">
        <v>22</v>
      </c>
      <c r="N1022" s="39" t="s">
        <v>418</v>
      </c>
      <c r="O1022" s="20"/>
    </row>
    <row r="1023" spans="1:15" s="12" customFormat="1" ht="30">
      <c r="A1023" s="178" t="s">
        <v>99</v>
      </c>
      <c r="B1023" s="75" t="s">
        <v>1142</v>
      </c>
      <c r="C1023" s="39" t="s">
        <v>718</v>
      </c>
      <c r="D1023" s="236">
        <v>1</v>
      </c>
      <c r="E1023" s="236"/>
      <c r="F1023" s="236"/>
      <c r="G1023" s="236">
        <v>1</v>
      </c>
      <c r="H1023" s="40">
        <f>SUM(Tabla13211242[[#This Row],[PRIMER TRIMESTRE]:[CUARTO TRIMESTRE]])</f>
        <v>2</v>
      </c>
      <c r="I1023" s="17">
        <v>3000</v>
      </c>
      <c r="J1023" s="17">
        <f t="shared" si="27"/>
        <v>6000</v>
      </c>
      <c r="K1023" s="17"/>
      <c r="L1023" s="16" t="s">
        <v>18</v>
      </c>
      <c r="M1023" s="16" t="s">
        <v>22</v>
      </c>
      <c r="N1023" s="39" t="s">
        <v>418</v>
      </c>
      <c r="O1023" s="20"/>
    </row>
    <row r="1024" spans="1:15" s="12" customFormat="1" ht="30">
      <c r="A1024" s="178" t="s">
        <v>99</v>
      </c>
      <c r="B1024" s="75" t="s">
        <v>1143</v>
      </c>
      <c r="C1024" s="39" t="s">
        <v>1065</v>
      </c>
      <c r="D1024" s="236">
        <v>1</v>
      </c>
      <c r="E1024" s="236"/>
      <c r="F1024" s="236"/>
      <c r="G1024" s="236"/>
      <c r="H1024" s="40">
        <f>SUM(Tabla13211242[[#This Row],[PRIMER TRIMESTRE]:[CUARTO TRIMESTRE]])</f>
        <v>1</v>
      </c>
      <c r="I1024" s="17">
        <v>4500</v>
      </c>
      <c r="J1024" s="17">
        <f t="shared" si="27"/>
        <v>4500</v>
      </c>
      <c r="K1024" s="17"/>
      <c r="L1024" s="16" t="s">
        <v>18</v>
      </c>
      <c r="M1024" s="16" t="s">
        <v>22</v>
      </c>
      <c r="N1024" s="39" t="s">
        <v>418</v>
      </c>
      <c r="O1024" s="20"/>
    </row>
    <row r="1025" spans="1:15" s="12" customFormat="1" ht="30">
      <c r="A1025" s="178" t="s">
        <v>99</v>
      </c>
      <c r="B1025" s="75" t="s">
        <v>1144</v>
      </c>
      <c r="C1025" s="39" t="s">
        <v>102</v>
      </c>
      <c r="D1025" s="236">
        <v>1</v>
      </c>
      <c r="E1025" s="236"/>
      <c r="F1025" s="236"/>
      <c r="G1025" s="236">
        <v>1</v>
      </c>
      <c r="H1025" s="40">
        <f>SUM(Tabla13211242[[#This Row],[PRIMER TRIMESTRE]:[CUARTO TRIMESTRE]])</f>
        <v>2</v>
      </c>
      <c r="I1025" s="17">
        <v>1000</v>
      </c>
      <c r="J1025" s="17">
        <f t="shared" si="27"/>
        <v>2000</v>
      </c>
      <c r="K1025" s="17"/>
      <c r="L1025" s="16" t="s">
        <v>18</v>
      </c>
      <c r="M1025" s="16" t="s">
        <v>22</v>
      </c>
      <c r="N1025" s="39" t="s">
        <v>418</v>
      </c>
      <c r="O1025" s="20"/>
    </row>
    <row r="1026" spans="1:15" s="12" customFormat="1" ht="31.5">
      <c r="A1026" s="178" t="s">
        <v>99</v>
      </c>
      <c r="B1026" s="75" t="s">
        <v>1884</v>
      </c>
      <c r="C1026" s="39" t="s">
        <v>1067</v>
      </c>
      <c r="D1026" s="236">
        <v>1</v>
      </c>
      <c r="E1026" s="236">
        <v>1</v>
      </c>
      <c r="F1026" s="236"/>
      <c r="G1026" s="236"/>
      <c r="H1026" s="40">
        <f>SUM(Tabla13211242[[#This Row],[PRIMER TRIMESTRE]:[CUARTO TRIMESTRE]])</f>
        <v>2</v>
      </c>
      <c r="I1026" s="17">
        <v>20000</v>
      </c>
      <c r="J1026" s="17">
        <v>40000</v>
      </c>
      <c r="K1026" s="17"/>
      <c r="L1026" s="16" t="s">
        <v>18</v>
      </c>
      <c r="M1026" s="16" t="s">
        <v>18</v>
      </c>
      <c r="N1026" s="39" t="s">
        <v>418</v>
      </c>
      <c r="O1026" s="413"/>
    </row>
    <row r="1027" spans="1:15" s="12" customFormat="1" ht="30.75" customHeight="1">
      <c r="A1027" s="178" t="s">
        <v>99</v>
      </c>
      <c r="B1027" s="75" t="s">
        <v>1145</v>
      </c>
      <c r="C1027" s="39" t="s">
        <v>1067</v>
      </c>
      <c r="D1027" s="236">
        <v>1</v>
      </c>
      <c r="E1027" s="236"/>
      <c r="F1027" s="236"/>
      <c r="G1027" s="236"/>
      <c r="H1027" s="40">
        <f>SUM(Tabla13211242[[#This Row],[PRIMER TRIMESTRE]:[CUARTO TRIMESTRE]])</f>
        <v>1</v>
      </c>
      <c r="I1027" s="17">
        <v>184000</v>
      </c>
      <c r="J1027" s="17">
        <f t="shared" si="27"/>
        <v>184000</v>
      </c>
      <c r="K1027" s="17"/>
      <c r="L1027" s="16" t="s">
        <v>18</v>
      </c>
      <c r="M1027" s="16" t="s">
        <v>22</v>
      </c>
      <c r="N1027" s="39" t="s">
        <v>418</v>
      </c>
      <c r="O1027" s="20"/>
    </row>
    <row r="1028" spans="1:15" s="26" customFormat="1" ht="30.75" customHeight="1">
      <c r="A1028" s="178" t="s">
        <v>99</v>
      </c>
      <c r="B1028" s="75" t="s">
        <v>1146</v>
      </c>
      <c r="C1028" s="39" t="s">
        <v>1067</v>
      </c>
      <c r="D1028" s="236">
        <v>1</v>
      </c>
      <c r="E1028" s="236"/>
      <c r="F1028" s="236"/>
      <c r="G1028" s="236"/>
      <c r="H1028" s="40">
        <f>SUM(Tabla13211242[[#This Row],[PRIMER TRIMESTRE]:[CUARTO TRIMESTRE]])</f>
        <v>1</v>
      </c>
      <c r="I1028" s="17">
        <v>100000</v>
      </c>
      <c r="J1028" s="17">
        <f t="shared" si="27"/>
        <v>100000</v>
      </c>
      <c r="K1028" s="17"/>
      <c r="L1028" s="16" t="s">
        <v>18</v>
      </c>
      <c r="M1028" s="16" t="s">
        <v>22</v>
      </c>
      <c r="N1028" s="39" t="s">
        <v>418</v>
      </c>
      <c r="O1028" s="23"/>
    </row>
    <row r="1029" spans="1:15" s="26" customFormat="1" ht="30.75" customHeight="1">
      <c r="A1029" s="178" t="s">
        <v>99</v>
      </c>
      <c r="B1029" s="75" t="s">
        <v>1885</v>
      </c>
      <c r="C1029" s="39" t="s">
        <v>1067</v>
      </c>
      <c r="D1029" s="236">
        <v>1</v>
      </c>
      <c r="E1029" s="236"/>
      <c r="F1029" s="236"/>
      <c r="G1029" s="236"/>
      <c r="H1029" s="40">
        <f>SUM(Tabla13211242[[#This Row],[PRIMER TRIMESTRE]:[CUARTO TRIMESTRE]])</f>
        <v>1</v>
      </c>
      <c r="I1029" s="17">
        <v>250000</v>
      </c>
      <c r="J1029" s="17">
        <v>250000</v>
      </c>
      <c r="K1029" s="17"/>
      <c r="L1029" s="16" t="s">
        <v>18</v>
      </c>
      <c r="M1029" s="16" t="s">
        <v>22</v>
      </c>
      <c r="N1029" s="39" t="s">
        <v>418</v>
      </c>
      <c r="O1029" s="23"/>
    </row>
    <row r="1030" spans="1:15" s="12" customFormat="1" ht="30.75" customHeight="1">
      <c r="A1030" s="178" t="s">
        <v>99</v>
      </c>
      <c r="B1030" s="75" t="s">
        <v>1147</v>
      </c>
      <c r="C1030" s="39" t="s">
        <v>1067</v>
      </c>
      <c r="D1030" s="236">
        <v>3</v>
      </c>
      <c r="E1030" s="236">
        <v>2</v>
      </c>
      <c r="F1030" s="236">
        <v>2</v>
      </c>
      <c r="G1030" s="236">
        <v>2</v>
      </c>
      <c r="H1030" s="40">
        <f>SUM(Tabla13211242[[#This Row],[PRIMER TRIMESTRE]:[CUARTO TRIMESTRE]])</f>
        <v>9</v>
      </c>
      <c r="I1030" s="17">
        <v>20000</v>
      </c>
      <c r="J1030" s="17">
        <f t="shared" si="27"/>
        <v>180000</v>
      </c>
      <c r="K1030" s="17"/>
      <c r="L1030" s="16" t="s">
        <v>18</v>
      </c>
      <c r="M1030" s="16" t="s">
        <v>22</v>
      </c>
      <c r="N1030" s="39" t="s">
        <v>418</v>
      </c>
      <c r="O1030" s="20"/>
    </row>
    <row r="1031" spans="1:15" s="12" customFormat="1" ht="30.75" customHeight="1">
      <c r="A1031" s="178" t="s">
        <v>99</v>
      </c>
      <c r="B1031" s="75" t="s">
        <v>1886</v>
      </c>
      <c r="C1031" s="39" t="s">
        <v>1067</v>
      </c>
      <c r="D1031" s="239"/>
      <c r="E1031" s="236">
        <v>1</v>
      </c>
      <c r="F1031" s="236"/>
      <c r="G1031" s="236"/>
      <c r="H1031" s="40">
        <f>SUM(Tabla13211242[[#This Row],[PRIMER TRIMESTRE]:[CUARTO TRIMESTRE]])</f>
        <v>1</v>
      </c>
      <c r="I1031" s="17">
        <v>4000000</v>
      </c>
      <c r="J1031" s="17">
        <v>4000000</v>
      </c>
      <c r="K1031" s="17"/>
      <c r="L1031" s="16" t="s">
        <v>18</v>
      </c>
      <c r="M1031" s="16" t="s">
        <v>22</v>
      </c>
      <c r="N1031" s="39" t="s">
        <v>418</v>
      </c>
      <c r="O1031" s="20"/>
    </row>
    <row r="1032" spans="1:15" s="12" customFormat="1" ht="30.75" customHeight="1">
      <c r="A1032" s="178" t="s">
        <v>99</v>
      </c>
      <c r="B1032" s="75" t="s">
        <v>1452</v>
      </c>
      <c r="C1032" s="39" t="s">
        <v>17</v>
      </c>
      <c r="D1032" s="236"/>
      <c r="E1032" s="236"/>
      <c r="F1032" s="236"/>
      <c r="G1032" s="236"/>
      <c r="H1032" s="40">
        <f>SUM(Tabla13211242[[#This Row],[PRIMER TRIMESTRE]:[CUARTO TRIMESTRE]])</f>
        <v>0</v>
      </c>
      <c r="I1032" s="17">
        <v>5589.05</v>
      </c>
      <c r="J1032" s="17">
        <f t="shared" si="27"/>
        <v>0</v>
      </c>
      <c r="K1032" s="17"/>
      <c r="L1032" s="16" t="s">
        <v>27</v>
      </c>
      <c r="M1032" s="16" t="s">
        <v>19</v>
      </c>
      <c r="N1032" s="39" t="s">
        <v>342</v>
      </c>
      <c r="O1032" s="20"/>
    </row>
    <row r="1033" spans="1:15" s="12" customFormat="1" ht="30.75" customHeight="1">
      <c r="A1033" s="178" t="s">
        <v>99</v>
      </c>
      <c r="B1033" s="75" t="s">
        <v>1453</v>
      </c>
      <c r="C1033" s="39" t="s">
        <v>17</v>
      </c>
      <c r="D1033" s="236">
        <v>6</v>
      </c>
      <c r="E1033" s="236"/>
      <c r="F1033" s="236"/>
      <c r="G1033" s="236"/>
      <c r="H1033" s="40">
        <v>6</v>
      </c>
      <c r="I1033" s="17">
        <v>20710.599999999999</v>
      </c>
      <c r="J1033" s="17">
        <f t="shared" si="27"/>
        <v>124263.59999999999</v>
      </c>
      <c r="K1033" s="17"/>
      <c r="L1033" s="16" t="s">
        <v>27</v>
      </c>
      <c r="M1033" s="16" t="s">
        <v>19</v>
      </c>
      <c r="N1033" s="39" t="s">
        <v>342</v>
      </c>
      <c r="O1033" s="20"/>
    </row>
    <row r="1034" spans="1:15" s="12" customFormat="1" ht="30.75" customHeight="1">
      <c r="A1034" s="178" t="s">
        <v>99</v>
      </c>
      <c r="B1034" s="75" t="s">
        <v>1454</v>
      </c>
      <c r="C1034" s="39" t="s">
        <v>17</v>
      </c>
      <c r="D1034" s="236"/>
      <c r="E1034" s="236">
        <v>2</v>
      </c>
      <c r="F1034" s="236"/>
      <c r="G1034" s="236">
        <v>2</v>
      </c>
      <c r="H1034" s="40">
        <f>SUM(Tabla13211242[[#This Row],[PRIMER TRIMESTRE]:[CUARTO TRIMESTRE]])</f>
        <v>4</v>
      </c>
      <c r="I1034" s="17">
        <v>5347.87</v>
      </c>
      <c r="J1034" s="17">
        <f t="shared" si="27"/>
        <v>21391.48</v>
      </c>
      <c r="K1034" s="17"/>
      <c r="L1034" s="16" t="s">
        <v>27</v>
      </c>
      <c r="M1034" s="16" t="s">
        <v>19</v>
      </c>
      <c r="N1034" s="39" t="s">
        <v>342</v>
      </c>
      <c r="O1034" s="20"/>
    </row>
    <row r="1035" spans="1:15" s="12" customFormat="1" ht="30.75" customHeight="1">
      <c r="A1035" s="178" t="s">
        <v>99</v>
      </c>
      <c r="B1035" s="75" t="s">
        <v>1455</v>
      </c>
      <c r="C1035" s="39" t="s">
        <v>17</v>
      </c>
      <c r="D1035" s="236"/>
      <c r="E1035" s="236"/>
      <c r="F1035" s="236"/>
      <c r="G1035" s="236"/>
      <c r="H1035" s="40">
        <f>SUM(Tabla13211242[[#This Row],[PRIMER TRIMESTRE]:[CUARTO TRIMESTRE]])</f>
        <v>0</v>
      </c>
      <c r="I1035" s="17">
        <v>213.48</v>
      </c>
      <c r="J1035" s="17">
        <f t="shared" si="27"/>
        <v>0</v>
      </c>
      <c r="K1035" s="17"/>
      <c r="L1035" s="16" t="s">
        <v>27</v>
      </c>
      <c r="M1035" s="16" t="s">
        <v>19</v>
      </c>
      <c r="N1035" s="39" t="s">
        <v>342</v>
      </c>
      <c r="O1035" s="20"/>
    </row>
    <row r="1036" spans="1:15" s="12" customFormat="1" ht="30.75" customHeight="1">
      <c r="A1036" s="178" t="s">
        <v>99</v>
      </c>
      <c r="B1036" s="75" t="s">
        <v>1456</v>
      </c>
      <c r="C1036" s="39" t="s">
        <v>17</v>
      </c>
      <c r="D1036" s="236"/>
      <c r="E1036" s="236"/>
      <c r="F1036" s="236"/>
      <c r="G1036" s="236"/>
      <c r="H1036" s="40">
        <f>SUM(Tabla13211242[[#This Row],[PRIMER TRIMESTRE]:[CUARTO TRIMESTRE]])</f>
        <v>0</v>
      </c>
      <c r="I1036" s="17">
        <v>719</v>
      </c>
      <c r="J1036" s="17">
        <f t="shared" si="27"/>
        <v>0</v>
      </c>
      <c r="K1036" s="17"/>
      <c r="L1036" s="16" t="s">
        <v>27</v>
      </c>
      <c r="M1036" s="16" t="s">
        <v>19</v>
      </c>
      <c r="N1036" s="39" t="s">
        <v>342</v>
      </c>
      <c r="O1036" s="20"/>
    </row>
    <row r="1037" spans="1:15" s="12" customFormat="1" ht="30.75" customHeight="1">
      <c r="A1037" s="178" t="s">
        <v>99</v>
      </c>
      <c r="B1037" s="75" t="s">
        <v>1457</v>
      </c>
      <c r="C1037" s="39" t="s">
        <v>17</v>
      </c>
      <c r="D1037" s="236"/>
      <c r="E1037" s="236"/>
      <c r="F1037" s="236"/>
      <c r="G1037" s="236"/>
      <c r="H1037" s="40">
        <f>SUM(Tabla13211242[[#This Row],[PRIMER TRIMESTRE]:[CUARTO TRIMESTRE]])</f>
        <v>0</v>
      </c>
      <c r="I1037" s="17">
        <v>213.48</v>
      </c>
      <c r="J1037" s="17">
        <f t="shared" si="27"/>
        <v>0</v>
      </c>
      <c r="K1037" s="17"/>
      <c r="L1037" s="16" t="s">
        <v>27</v>
      </c>
      <c r="M1037" s="16" t="s">
        <v>19</v>
      </c>
      <c r="N1037" s="39" t="s">
        <v>342</v>
      </c>
      <c r="O1037" s="20"/>
    </row>
    <row r="1038" spans="1:15" s="12" customFormat="1" ht="30.75" customHeight="1">
      <c r="A1038" s="178" t="s">
        <v>99</v>
      </c>
      <c r="B1038" s="75" t="s">
        <v>1458</v>
      </c>
      <c r="C1038" s="39" t="s">
        <v>17</v>
      </c>
      <c r="D1038" s="236"/>
      <c r="E1038" s="236"/>
      <c r="F1038" s="236"/>
      <c r="G1038" s="236"/>
      <c r="H1038" s="40">
        <f>SUM(Tabla13211242[[#This Row],[PRIMER TRIMESTRE]:[CUARTO TRIMESTRE]])</f>
        <v>0</v>
      </c>
      <c r="I1038" s="17">
        <v>1100</v>
      </c>
      <c r="J1038" s="17">
        <f t="shared" si="27"/>
        <v>0</v>
      </c>
      <c r="K1038" s="17"/>
      <c r="L1038" s="16" t="s">
        <v>27</v>
      </c>
      <c r="M1038" s="16" t="s">
        <v>19</v>
      </c>
      <c r="N1038" s="39" t="s">
        <v>342</v>
      </c>
      <c r="O1038" s="20"/>
    </row>
    <row r="1039" spans="1:15" s="26" customFormat="1" ht="30.75" customHeight="1">
      <c r="A1039" s="178" t="s">
        <v>99</v>
      </c>
      <c r="B1039" s="75" t="s">
        <v>1459</v>
      </c>
      <c r="C1039" s="39" t="s">
        <v>33</v>
      </c>
      <c r="D1039" s="236">
        <v>3</v>
      </c>
      <c r="E1039" s="236">
        <v>3</v>
      </c>
      <c r="F1039" s="236">
        <v>3</v>
      </c>
      <c r="G1039" s="236">
        <v>3</v>
      </c>
      <c r="H1039" s="40">
        <f>SUM(Tabla13211242[[#This Row],[PRIMER TRIMESTRE]:[CUARTO TRIMESTRE]])</f>
        <v>12</v>
      </c>
      <c r="I1039" s="17">
        <v>400</v>
      </c>
      <c r="J1039" s="17">
        <f t="shared" si="27"/>
        <v>4800</v>
      </c>
      <c r="K1039" s="17"/>
      <c r="L1039" s="16" t="s">
        <v>27</v>
      </c>
      <c r="M1039" s="16" t="s">
        <v>19</v>
      </c>
      <c r="N1039" s="39" t="s">
        <v>342</v>
      </c>
      <c r="O1039" s="23"/>
    </row>
    <row r="1040" spans="1:15" s="12" customFormat="1" ht="30.75" customHeight="1">
      <c r="A1040" s="178" t="s">
        <v>99</v>
      </c>
      <c r="B1040" s="75" t="s">
        <v>1460</v>
      </c>
      <c r="C1040" s="39" t="s">
        <v>208</v>
      </c>
      <c r="D1040" s="236"/>
      <c r="E1040" s="236"/>
      <c r="F1040" s="236"/>
      <c r="G1040" s="236"/>
      <c r="H1040" s="40">
        <f>SUM(Tabla13211242[[#This Row],[PRIMER TRIMESTRE]:[CUARTO TRIMESTRE]])</f>
        <v>0</v>
      </c>
      <c r="I1040" s="17">
        <v>1130</v>
      </c>
      <c r="J1040" s="17">
        <f t="shared" si="27"/>
        <v>0</v>
      </c>
      <c r="K1040" s="17"/>
      <c r="L1040" s="16" t="s">
        <v>27</v>
      </c>
      <c r="M1040" s="16" t="s">
        <v>19</v>
      </c>
      <c r="N1040" s="39" t="s">
        <v>342</v>
      </c>
      <c r="O1040" s="20"/>
    </row>
    <row r="1041" spans="1:15" s="12" customFormat="1" ht="30.75" customHeight="1">
      <c r="A1041" s="179" t="s">
        <v>99</v>
      </c>
      <c r="B1041" s="76"/>
      <c r="C1041" s="42"/>
      <c r="D1041" s="237"/>
      <c r="E1041" s="237"/>
      <c r="F1041" s="237"/>
      <c r="G1041" s="237"/>
      <c r="H1041" s="43"/>
      <c r="I1041" s="24"/>
      <c r="J1041" s="24"/>
      <c r="K1041" s="25">
        <f>SUM(J893:J1040)</f>
        <v>10758814.48</v>
      </c>
      <c r="L1041" s="23"/>
      <c r="M1041" s="23"/>
      <c r="N1041" s="42"/>
      <c r="O1041" s="20"/>
    </row>
    <row r="1042" spans="1:15" s="12" customFormat="1" ht="30.75" customHeight="1">
      <c r="A1042" s="178" t="s">
        <v>113</v>
      </c>
      <c r="B1042" s="75" t="s">
        <v>236</v>
      </c>
      <c r="C1042" s="39" t="s">
        <v>17</v>
      </c>
      <c r="D1042" s="236"/>
      <c r="E1042" s="236"/>
      <c r="F1042" s="236"/>
      <c r="G1042" s="236"/>
      <c r="H1042" s="40">
        <f>SUM(Tabla13211242[[#This Row],[PRIMER TRIMESTRE]:[CUARTO TRIMESTRE]])</f>
        <v>0</v>
      </c>
      <c r="I1042" s="17">
        <v>806.2</v>
      </c>
      <c r="J1042" s="17">
        <f>+Tabla13211242[[#This Row],[CANTIDAD TOTAL]]*Tabla13211242[[#This Row],[PRECIO UNITARIO ESTIMADO]]</f>
        <v>0</v>
      </c>
      <c r="K1042" s="17"/>
      <c r="L1042" s="16" t="s">
        <v>15</v>
      </c>
      <c r="M1042" s="16" t="s">
        <v>22</v>
      </c>
      <c r="N1042" s="39" t="s">
        <v>418</v>
      </c>
      <c r="O1042" s="20"/>
    </row>
    <row r="1043" spans="1:15" s="12" customFormat="1" ht="30.75" customHeight="1">
      <c r="A1043" s="178" t="s">
        <v>113</v>
      </c>
      <c r="B1043" s="75" t="s">
        <v>233</v>
      </c>
      <c r="C1043" s="39" t="s">
        <v>234</v>
      </c>
      <c r="D1043" s="236"/>
      <c r="E1043" s="236"/>
      <c r="F1043" s="236"/>
      <c r="G1043" s="236"/>
      <c r="H1043" s="40">
        <f>SUM(Tabla13211242[[#This Row],[PRIMER TRIMESTRE]:[CUARTO TRIMESTRE]])</f>
        <v>0</v>
      </c>
      <c r="I1043" s="17">
        <v>7099.2</v>
      </c>
      <c r="J1043" s="17">
        <f>+Tabla13211242[[#This Row],[CANTIDAD TOTAL]]*Tabla13211242[[#This Row],[PRECIO UNITARIO ESTIMADO]]</f>
        <v>0</v>
      </c>
      <c r="K1043" s="17"/>
      <c r="L1043" s="16" t="s">
        <v>27</v>
      </c>
      <c r="M1043" s="16" t="s">
        <v>22</v>
      </c>
      <c r="N1043" s="39" t="s">
        <v>418</v>
      </c>
      <c r="O1043" s="20"/>
    </row>
    <row r="1044" spans="1:15" s="12" customFormat="1" ht="30.75" customHeight="1">
      <c r="A1044" s="178" t="s">
        <v>113</v>
      </c>
      <c r="B1044" s="75" t="s">
        <v>235</v>
      </c>
      <c r="C1044" s="39" t="s">
        <v>69</v>
      </c>
      <c r="D1044" s="236"/>
      <c r="E1044" s="236"/>
      <c r="F1044" s="236"/>
      <c r="G1044" s="236"/>
      <c r="H1044" s="40">
        <f>SUM(Tabla13211242[[#This Row],[PRIMER TRIMESTRE]:[CUARTO TRIMESTRE]])</f>
        <v>0</v>
      </c>
      <c r="I1044" s="17">
        <v>52.2</v>
      </c>
      <c r="J1044" s="17">
        <f>+Tabla13211242[[#This Row],[CANTIDAD TOTAL]]*Tabla13211242[[#This Row],[PRECIO UNITARIO ESTIMADO]]</f>
        <v>0</v>
      </c>
      <c r="K1044" s="17"/>
      <c r="L1044" s="16" t="s">
        <v>27</v>
      </c>
      <c r="M1044" s="16" t="s">
        <v>22</v>
      </c>
      <c r="N1044" s="39" t="s">
        <v>418</v>
      </c>
      <c r="O1044" s="20"/>
    </row>
    <row r="1045" spans="1:15" s="12" customFormat="1" ht="30">
      <c r="A1045" s="178" t="s">
        <v>113</v>
      </c>
      <c r="B1045" s="75" t="s">
        <v>320</v>
      </c>
      <c r="C1045" s="39" t="s">
        <v>17</v>
      </c>
      <c r="D1045" s="236"/>
      <c r="E1045" s="236"/>
      <c r="F1045" s="236"/>
      <c r="G1045" s="236"/>
      <c r="H1045" s="40">
        <f>SUM(Tabla13211242[[#This Row],[PRIMER TRIMESTRE]:[CUARTO TRIMESTRE]])</f>
        <v>0</v>
      </c>
      <c r="I1045" s="17">
        <f>41960.8/121</f>
        <v>346.7834710743802</v>
      </c>
      <c r="J1045" s="17">
        <f>+Tabla13211242[[#This Row],[CANTIDAD TOTAL]]*Tabla13211242[[#This Row],[PRECIO UNITARIO ESTIMADO]]</f>
        <v>0</v>
      </c>
      <c r="K1045" s="17"/>
      <c r="L1045" s="16" t="s">
        <v>15</v>
      </c>
      <c r="M1045" s="16" t="s">
        <v>22</v>
      </c>
      <c r="N1045" s="39" t="s">
        <v>418</v>
      </c>
      <c r="O1045" s="20"/>
    </row>
    <row r="1046" spans="1:15" s="26" customFormat="1" ht="30">
      <c r="A1046" s="178" t="s">
        <v>113</v>
      </c>
      <c r="B1046" s="75" t="s">
        <v>237</v>
      </c>
      <c r="C1046" s="39" t="s">
        <v>17</v>
      </c>
      <c r="D1046" s="236"/>
      <c r="E1046" s="236"/>
      <c r="F1046" s="236"/>
      <c r="G1046" s="236"/>
      <c r="H1046" s="40">
        <f>SUM(Tabla13211242[[#This Row],[PRIMER TRIMESTRE]:[CUARTO TRIMESTRE]])</f>
        <v>0</v>
      </c>
      <c r="I1046" s="17">
        <v>668</v>
      </c>
      <c r="J1046" s="17">
        <f>+Tabla13211242[[#This Row],[CANTIDAD TOTAL]]*Tabla13211242[[#This Row],[PRECIO UNITARIO ESTIMADO]]</f>
        <v>0</v>
      </c>
      <c r="K1046" s="17"/>
      <c r="L1046" s="16" t="s">
        <v>15</v>
      </c>
      <c r="M1046" s="16" t="s">
        <v>22</v>
      </c>
      <c r="N1046" s="39" t="s">
        <v>418</v>
      </c>
      <c r="O1046" s="23"/>
    </row>
    <row r="1047" spans="1:15" s="169" customFormat="1" ht="30">
      <c r="A1047" s="178" t="s">
        <v>113</v>
      </c>
      <c r="B1047" s="75" t="s">
        <v>238</v>
      </c>
      <c r="C1047" s="39" t="s">
        <v>208</v>
      </c>
      <c r="D1047" s="236"/>
      <c r="E1047" s="236"/>
      <c r="F1047" s="236"/>
      <c r="G1047" s="236"/>
      <c r="H1047" s="40">
        <f>SUM(Tabla13211242[[#This Row],[PRIMER TRIMESTRE]:[CUARTO TRIMESTRE]])</f>
        <v>0</v>
      </c>
      <c r="I1047" s="17">
        <v>754</v>
      </c>
      <c r="J1047" s="17">
        <f>+Tabla13211242[[#This Row],[CANTIDAD TOTAL]]*Tabla13211242[[#This Row],[PRECIO UNITARIO ESTIMADO]]</f>
        <v>0</v>
      </c>
      <c r="K1047" s="17"/>
      <c r="L1047" s="16" t="s">
        <v>27</v>
      </c>
      <c r="M1047" s="16" t="s">
        <v>22</v>
      </c>
      <c r="N1047" s="39" t="s">
        <v>418</v>
      </c>
      <c r="O1047" s="20"/>
    </row>
    <row r="1048" spans="1:15" s="12" customFormat="1" ht="31.5">
      <c r="A1048" s="179" t="s">
        <v>113</v>
      </c>
      <c r="B1048" s="76"/>
      <c r="C1048" s="42"/>
      <c r="D1048" s="237"/>
      <c r="E1048" s="237"/>
      <c r="F1048" s="237"/>
      <c r="G1048" s="237"/>
      <c r="H1048" s="43"/>
      <c r="I1048" s="24"/>
      <c r="J1048" s="24"/>
      <c r="K1048" s="25">
        <f>SUM(J1042:J1047)</f>
        <v>0</v>
      </c>
      <c r="L1048" s="23"/>
      <c r="M1048" s="23"/>
      <c r="N1048" s="42"/>
      <c r="O1048" s="20"/>
    </row>
    <row r="1049" spans="1:15" s="12" customFormat="1" ht="18">
      <c r="A1049" s="180" t="s">
        <v>115</v>
      </c>
      <c r="B1049" s="77" t="s">
        <v>319</v>
      </c>
      <c r="C1049" s="70" t="s">
        <v>17</v>
      </c>
      <c r="D1049" s="210"/>
      <c r="E1049" s="210"/>
      <c r="F1049" s="210"/>
      <c r="G1049" s="210"/>
      <c r="H1049" s="406">
        <f>SUM(Tabla13211242[[#This Row],[PRIMER TRIMESTRE]:[CUARTO TRIMESTRE]])</f>
        <v>0</v>
      </c>
      <c r="I1049" s="72">
        <f>544724/8</f>
        <v>68090.5</v>
      </c>
      <c r="J1049" s="72">
        <f>+Tabla13211242[[#This Row],[CANTIDAD TOTAL]]*Tabla13211242[[#This Row],[PRECIO UNITARIO ESTIMADO]]</f>
        <v>0</v>
      </c>
      <c r="K1049" s="72"/>
      <c r="L1049" s="73" t="s">
        <v>18</v>
      </c>
      <c r="M1049" s="73" t="s">
        <v>22</v>
      </c>
      <c r="N1049" s="70" t="s">
        <v>418</v>
      </c>
      <c r="O1049" s="20"/>
    </row>
    <row r="1050" spans="1:15" s="12" customFormat="1" ht="18">
      <c r="A1050" s="178" t="s">
        <v>115</v>
      </c>
      <c r="B1050" s="75" t="s">
        <v>428</v>
      </c>
      <c r="C1050" s="39" t="s">
        <v>17</v>
      </c>
      <c r="D1050" s="236"/>
      <c r="E1050" s="236"/>
      <c r="F1050" s="236"/>
      <c r="G1050" s="236"/>
      <c r="H1050" s="40">
        <f>SUM(Tabla13211242[[#This Row],[PRIMER TRIMESTRE]:[CUARTO TRIMESTRE]])</f>
        <v>0</v>
      </c>
      <c r="I1050" s="17">
        <v>3074</v>
      </c>
      <c r="J1050" s="17">
        <f>+Tabla13211242[[#This Row],[CANTIDAD TOTAL]]*Tabla13211242[[#This Row],[PRECIO UNITARIO ESTIMADO]]</f>
        <v>0</v>
      </c>
      <c r="K1050" s="17"/>
      <c r="L1050" s="73" t="s">
        <v>18</v>
      </c>
      <c r="M1050" s="16" t="s">
        <v>22</v>
      </c>
      <c r="N1050" s="39" t="s">
        <v>418</v>
      </c>
      <c r="O1050" s="20"/>
    </row>
    <row r="1051" spans="1:15" s="12" customFormat="1" ht="18">
      <c r="A1051" s="178" t="s">
        <v>115</v>
      </c>
      <c r="B1051" s="75" t="s">
        <v>244</v>
      </c>
      <c r="C1051" s="39" t="s">
        <v>17</v>
      </c>
      <c r="D1051" s="236">
        <v>1</v>
      </c>
      <c r="E1051" s="236"/>
      <c r="F1051" s="236"/>
      <c r="G1051" s="236"/>
      <c r="H1051" s="40">
        <f>SUM(Tabla13211242[[#This Row],[PRIMER TRIMESTRE]:[CUARTO TRIMESTRE]])</f>
        <v>1</v>
      </c>
      <c r="I1051" s="17">
        <v>24940</v>
      </c>
      <c r="J1051" s="17">
        <f>+Tabla13211242[[#This Row],[CANTIDAD TOTAL]]*Tabla13211242[[#This Row],[PRECIO UNITARIO ESTIMADO]]</f>
        <v>24940</v>
      </c>
      <c r="K1051" s="17"/>
      <c r="L1051" s="73" t="s">
        <v>18</v>
      </c>
      <c r="M1051" s="16" t="s">
        <v>22</v>
      </c>
      <c r="N1051" s="39" t="s">
        <v>418</v>
      </c>
      <c r="O1051" s="20"/>
    </row>
    <row r="1052" spans="1:15" s="169" customFormat="1" ht="18">
      <c r="A1052" s="178" t="s">
        <v>115</v>
      </c>
      <c r="B1052" s="75" t="s">
        <v>429</v>
      </c>
      <c r="C1052" s="39" t="s">
        <v>17</v>
      </c>
      <c r="D1052" s="236"/>
      <c r="E1052" s="236"/>
      <c r="F1052" s="236"/>
      <c r="G1052" s="236"/>
      <c r="H1052" s="40">
        <f>SUM(Tabla13211242[[#This Row],[PRIMER TRIMESTRE]:[CUARTO TRIMESTRE]])</f>
        <v>0</v>
      </c>
      <c r="I1052" s="17">
        <v>77185.240000000005</v>
      </c>
      <c r="J1052" s="17">
        <f>+Tabla13211242[[#This Row],[CANTIDAD TOTAL]]*Tabla13211242[[#This Row],[PRECIO UNITARIO ESTIMADO]]</f>
        <v>0</v>
      </c>
      <c r="K1052" s="17"/>
      <c r="L1052" s="73" t="s">
        <v>18</v>
      </c>
      <c r="M1052" s="16" t="s">
        <v>22</v>
      </c>
      <c r="N1052" s="39" t="s">
        <v>418</v>
      </c>
      <c r="O1052" s="20"/>
    </row>
    <row r="1053" spans="1:15" s="169" customFormat="1" ht="18">
      <c r="A1053" s="178" t="s">
        <v>115</v>
      </c>
      <c r="B1053" s="75" t="s">
        <v>321</v>
      </c>
      <c r="C1053" s="39" t="s">
        <v>17</v>
      </c>
      <c r="D1053" s="236"/>
      <c r="E1053" s="236"/>
      <c r="F1053" s="236"/>
      <c r="G1053" s="236"/>
      <c r="H1053" s="40">
        <f>SUM(Tabla13211242[[#This Row],[PRIMER TRIMESTRE]:[CUARTO TRIMESTRE]])</f>
        <v>0</v>
      </c>
      <c r="I1053" s="17">
        <f>31243.78/16</f>
        <v>1952.7362499999999</v>
      </c>
      <c r="J1053" s="17">
        <f>+Tabla13211242[[#This Row],[CANTIDAD TOTAL]]*Tabla13211242[[#This Row],[PRECIO UNITARIO ESTIMADO]]</f>
        <v>0</v>
      </c>
      <c r="K1053" s="17"/>
      <c r="L1053" s="73" t="s">
        <v>18</v>
      </c>
      <c r="M1053" s="16" t="s">
        <v>22</v>
      </c>
      <c r="N1053" s="39" t="s">
        <v>418</v>
      </c>
      <c r="O1053" s="20"/>
    </row>
    <row r="1054" spans="1:15" s="169" customFormat="1" ht="38.25">
      <c r="A1054" s="180" t="s">
        <v>115</v>
      </c>
      <c r="B1054" s="77" t="s">
        <v>892</v>
      </c>
      <c r="C1054" s="70" t="s">
        <v>17</v>
      </c>
      <c r="D1054" s="210"/>
      <c r="E1054" s="210"/>
      <c r="F1054" s="210"/>
      <c r="G1054" s="210"/>
      <c r="H1054" s="406">
        <f>SUM(Tabla13211242[[#This Row],[PRIMER TRIMESTRE]:[CUARTO TRIMESTRE]])</f>
        <v>0</v>
      </c>
      <c r="I1054" s="72">
        <v>3519</v>
      </c>
      <c r="J1054" s="72">
        <f t="shared" ref="J1054:J1085" si="28">+H1054*I1054</f>
        <v>0</v>
      </c>
      <c r="K1054" s="72"/>
      <c r="L1054" s="73" t="s">
        <v>18</v>
      </c>
      <c r="M1054" s="16" t="s">
        <v>22</v>
      </c>
      <c r="N1054" s="39" t="s">
        <v>418</v>
      </c>
      <c r="O1054" s="20"/>
    </row>
    <row r="1055" spans="1:15" s="169" customFormat="1" ht="25.5">
      <c r="A1055" s="180" t="s">
        <v>115</v>
      </c>
      <c r="B1055" s="77" t="s">
        <v>932</v>
      </c>
      <c r="C1055" s="70" t="s">
        <v>17</v>
      </c>
      <c r="D1055" s="210"/>
      <c r="E1055" s="210"/>
      <c r="F1055" s="210"/>
      <c r="G1055" s="210"/>
      <c r="H1055" s="406">
        <f>SUM(Tabla13211242[[#This Row],[PRIMER TRIMESTRE]:[CUARTO TRIMESTRE]])</f>
        <v>0</v>
      </c>
      <c r="I1055" s="72">
        <v>1500</v>
      </c>
      <c r="J1055" s="72">
        <f t="shared" si="28"/>
        <v>0</v>
      </c>
      <c r="K1055" s="72"/>
      <c r="L1055" s="73" t="s">
        <v>18</v>
      </c>
      <c r="M1055" s="16" t="s">
        <v>22</v>
      </c>
      <c r="N1055" s="39" t="s">
        <v>418</v>
      </c>
      <c r="O1055" s="20"/>
    </row>
    <row r="1056" spans="1:15" s="169" customFormat="1" ht="25.5">
      <c r="A1056" s="180" t="s">
        <v>115</v>
      </c>
      <c r="B1056" s="77" t="s">
        <v>894</v>
      </c>
      <c r="C1056" s="70" t="s">
        <v>17</v>
      </c>
      <c r="D1056" s="210"/>
      <c r="E1056" s="210"/>
      <c r="F1056" s="210"/>
      <c r="G1056" s="210"/>
      <c r="H1056" s="406">
        <f>SUM(Tabla13211242[[#This Row],[PRIMER TRIMESTRE]:[CUARTO TRIMESTRE]])</f>
        <v>0</v>
      </c>
      <c r="I1056" s="72">
        <v>600</v>
      </c>
      <c r="J1056" s="72">
        <f t="shared" si="28"/>
        <v>0</v>
      </c>
      <c r="K1056" s="72"/>
      <c r="L1056" s="73" t="s">
        <v>18</v>
      </c>
      <c r="M1056" s="16" t="s">
        <v>22</v>
      </c>
      <c r="N1056" s="39" t="s">
        <v>418</v>
      </c>
      <c r="O1056" s="20"/>
    </row>
    <row r="1057" spans="1:15" s="169" customFormat="1" ht="25.5">
      <c r="A1057" s="180" t="s">
        <v>115</v>
      </c>
      <c r="B1057" s="77" t="s">
        <v>895</v>
      </c>
      <c r="C1057" s="70" t="s">
        <v>17</v>
      </c>
      <c r="D1057" s="210"/>
      <c r="E1057" s="210"/>
      <c r="F1057" s="210"/>
      <c r="G1057" s="210"/>
      <c r="H1057" s="406">
        <f>SUM(Tabla13211242[[#This Row],[PRIMER TRIMESTRE]:[CUARTO TRIMESTRE]])</f>
        <v>0</v>
      </c>
      <c r="I1057" s="72">
        <v>450</v>
      </c>
      <c r="J1057" s="72">
        <f t="shared" si="28"/>
        <v>0</v>
      </c>
      <c r="K1057" s="72"/>
      <c r="L1057" s="73" t="s">
        <v>18</v>
      </c>
      <c r="M1057" s="16" t="s">
        <v>22</v>
      </c>
      <c r="N1057" s="39" t="s">
        <v>418</v>
      </c>
      <c r="O1057" s="20"/>
    </row>
    <row r="1058" spans="1:15" s="169" customFormat="1" ht="18">
      <c r="A1058" s="180" t="s">
        <v>115</v>
      </c>
      <c r="B1058" s="77" t="s">
        <v>897</v>
      </c>
      <c r="C1058" s="70" t="s">
        <v>17</v>
      </c>
      <c r="D1058" s="210"/>
      <c r="E1058" s="210"/>
      <c r="F1058" s="210"/>
      <c r="G1058" s="210"/>
      <c r="H1058" s="406">
        <f>SUM(Tabla13211242[[#This Row],[PRIMER TRIMESTRE]:[CUARTO TRIMESTRE]])</f>
        <v>0</v>
      </c>
      <c r="I1058" s="72">
        <v>85000</v>
      </c>
      <c r="J1058" s="72">
        <f t="shared" si="28"/>
        <v>0</v>
      </c>
      <c r="K1058" s="72"/>
      <c r="L1058" s="73" t="s">
        <v>18</v>
      </c>
      <c r="M1058" s="16" t="s">
        <v>22</v>
      </c>
      <c r="N1058" s="39" t="s">
        <v>418</v>
      </c>
      <c r="O1058" s="20"/>
    </row>
    <row r="1059" spans="1:15" s="169" customFormat="1" ht="25.5">
      <c r="A1059" s="180" t="s">
        <v>115</v>
      </c>
      <c r="B1059" s="77" t="s">
        <v>898</v>
      </c>
      <c r="C1059" s="70" t="s">
        <v>17</v>
      </c>
      <c r="D1059" s="210">
        <v>13</v>
      </c>
      <c r="E1059" s="210">
        <v>13</v>
      </c>
      <c r="F1059" s="210">
        <v>13</v>
      </c>
      <c r="G1059" s="210">
        <v>8</v>
      </c>
      <c r="H1059" s="406">
        <f>SUM(Tabla13211242[[#This Row],[PRIMER TRIMESTRE]:[CUARTO TRIMESTRE]])</f>
        <v>47</v>
      </c>
      <c r="I1059" s="72">
        <v>2500</v>
      </c>
      <c r="J1059" s="72">
        <f t="shared" si="28"/>
        <v>117500</v>
      </c>
      <c r="K1059" s="72"/>
      <c r="L1059" s="73" t="s">
        <v>18</v>
      </c>
      <c r="M1059" s="16" t="s">
        <v>22</v>
      </c>
      <c r="N1059" s="39" t="s">
        <v>418</v>
      </c>
      <c r="O1059" s="20"/>
    </row>
    <row r="1060" spans="1:15" s="169" customFormat="1" ht="38.25">
      <c r="A1060" s="180" t="s">
        <v>115</v>
      </c>
      <c r="B1060" s="77" t="s">
        <v>933</v>
      </c>
      <c r="C1060" s="70" t="s">
        <v>17</v>
      </c>
      <c r="D1060" s="210"/>
      <c r="E1060" s="210"/>
      <c r="F1060" s="210"/>
      <c r="G1060" s="210"/>
      <c r="H1060" s="406">
        <f>SUM(Tabla13211242[[#This Row],[PRIMER TRIMESTRE]:[CUARTO TRIMESTRE]])</f>
        <v>0</v>
      </c>
      <c r="I1060" s="72">
        <v>420</v>
      </c>
      <c r="J1060" s="72">
        <f t="shared" si="28"/>
        <v>0</v>
      </c>
      <c r="K1060" s="72"/>
      <c r="L1060" s="73" t="s">
        <v>18</v>
      </c>
      <c r="M1060" s="16" t="s">
        <v>22</v>
      </c>
      <c r="N1060" s="39" t="s">
        <v>418</v>
      </c>
      <c r="O1060" s="20"/>
    </row>
    <row r="1061" spans="1:15" s="169" customFormat="1" ht="38.25">
      <c r="A1061" s="180" t="s">
        <v>115</v>
      </c>
      <c r="B1061" s="77" t="s">
        <v>902</v>
      </c>
      <c r="C1061" s="70" t="s">
        <v>17</v>
      </c>
      <c r="D1061" s="210"/>
      <c r="E1061" s="210"/>
      <c r="F1061" s="210"/>
      <c r="G1061" s="210"/>
      <c r="H1061" s="406">
        <f>SUM(Tabla13211242[[#This Row],[PRIMER TRIMESTRE]:[CUARTO TRIMESTRE]])</f>
        <v>0</v>
      </c>
      <c r="I1061" s="72">
        <v>450</v>
      </c>
      <c r="J1061" s="72">
        <f t="shared" si="28"/>
        <v>0</v>
      </c>
      <c r="K1061" s="72"/>
      <c r="L1061" s="73" t="s">
        <v>18</v>
      </c>
      <c r="M1061" s="16" t="s">
        <v>22</v>
      </c>
      <c r="N1061" s="39" t="s">
        <v>418</v>
      </c>
      <c r="O1061" s="20"/>
    </row>
    <row r="1062" spans="1:15" s="169" customFormat="1" ht="18">
      <c r="A1062" s="180" t="s">
        <v>115</v>
      </c>
      <c r="B1062" s="77" t="s">
        <v>934</v>
      </c>
      <c r="C1062" s="70" t="s">
        <v>17</v>
      </c>
      <c r="D1062" s="210"/>
      <c r="E1062" s="210"/>
      <c r="F1062" s="210"/>
      <c r="G1062" s="210"/>
      <c r="H1062" s="406">
        <f>SUM(Tabla13211242[[#This Row],[PRIMER TRIMESTRE]:[CUARTO TRIMESTRE]])</f>
        <v>0</v>
      </c>
      <c r="I1062" s="72">
        <v>125</v>
      </c>
      <c r="J1062" s="72">
        <f t="shared" si="28"/>
        <v>0</v>
      </c>
      <c r="K1062" s="72"/>
      <c r="L1062" s="73" t="s">
        <v>18</v>
      </c>
      <c r="M1062" s="16" t="s">
        <v>22</v>
      </c>
      <c r="N1062" s="39" t="s">
        <v>418</v>
      </c>
      <c r="O1062" s="20"/>
    </row>
    <row r="1063" spans="1:15" s="169" customFormat="1" ht="18">
      <c r="A1063" s="180" t="s">
        <v>115</v>
      </c>
      <c r="B1063" s="77" t="s">
        <v>935</v>
      </c>
      <c r="C1063" s="70" t="s">
        <v>208</v>
      </c>
      <c r="D1063" s="210"/>
      <c r="E1063" s="210"/>
      <c r="F1063" s="210"/>
      <c r="G1063" s="210"/>
      <c r="H1063" s="406">
        <f>SUM(Tabla13211242[[#This Row],[PRIMER TRIMESTRE]:[CUARTO TRIMESTRE]])</f>
        <v>0</v>
      </c>
      <c r="I1063" s="72">
        <v>4300</v>
      </c>
      <c r="J1063" s="72">
        <f t="shared" si="28"/>
        <v>0</v>
      </c>
      <c r="K1063" s="72"/>
      <c r="L1063" s="73" t="s">
        <v>18</v>
      </c>
      <c r="M1063" s="16" t="s">
        <v>22</v>
      </c>
      <c r="N1063" s="39" t="s">
        <v>418</v>
      </c>
      <c r="O1063" s="20"/>
    </row>
    <row r="1064" spans="1:15" s="169" customFormat="1" ht="25.5">
      <c r="A1064" s="180" t="s">
        <v>115</v>
      </c>
      <c r="B1064" s="77" t="s">
        <v>936</v>
      </c>
      <c r="C1064" s="70" t="s">
        <v>17</v>
      </c>
      <c r="D1064" s="210"/>
      <c r="E1064" s="210"/>
      <c r="F1064" s="210"/>
      <c r="G1064" s="210"/>
      <c r="H1064" s="406">
        <f>SUM(Tabla13211242[[#This Row],[PRIMER TRIMESTRE]:[CUARTO TRIMESTRE]])</f>
        <v>0</v>
      </c>
      <c r="I1064" s="72">
        <v>7300</v>
      </c>
      <c r="J1064" s="72">
        <f t="shared" si="28"/>
        <v>0</v>
      </c>
      <c r="K1064" s="72"/>
      <c r="L1064" s="16" t="s">
        <v>18</v>
      </c>
      <c r="M1064" s="16" t="s">
        <v>22</v>
      </c>
      <c r="N1064" s="39" t="s">
        <v>418</v>
      </c>
      <c r="O1064" s="20"/>
    </row>
    <row r="1065" spans="1:15" s="169" customFormat="1" ht="25.5">
      <c r="A1065" s="180" t="s">
        <v>115</v>
      </c>
      <c r="B1065" s="77" t="s">
        <v>937</v>
      </c>
      <c r="C1065" s="70" t="s">
        <v>17</v>
      </c>
      <c r="D1065" s="210"/>
      <c r="E1065" s="210"/>
      <c r="F1065" s="210"/>
      <c r="G1065" s="210"/>
      <c r="H1065" s="406">
        <f>SUM(Tabla13211242[[#This Row],[PRIMER TRIMESTRE]:[CUARTO TRIMESTRE]])</f>
        <v>0</v>
      </c>
      <c r="I1065" s="72">
        <v>14671</v>
      </c>
      <c r="J1065" s="72">
        <f t="shared" si="28"/>
        <v>0</v>
      </c>
      <c r="K1065" s="72"/>
      <c r="L1065" s="73" t="s">
        <v>18</v>
      </c>
      <c r="M1065" s="16" t="s">
        <v>22</v>
      </c>
      <c r="N1065" s="39" t="s">
        <v>418</v>
      </c>
      <c r="O1065" s="20"/>
    </row>
    <row r="1066" spans="1:15" s="169" customFormat="1" ht="25.5">
      <c r="A1066" s="180" t="s">
        <v>115</v>
      </c>
      <c r="B1066" s="77" t="s">
        <v>938</v>
      </c>
      <c r="C1066" s="70" t="s">
        <v>17</v>
      </c>
      <c r="D1066" s="210"/>
      <c r="E1066" s="210"/>
      <c r="F1066" s="210"/>
      <c r="G1066" s="210"/>
      <c r="H1066" s="406">
        <f>SUM(Tabla13211242[[#This Row],[PRIMER TRIMESTRE]:[CUARTO TRIMESTRE]])</f>
        <v>0</v>
      </c>
      <c r="I1066" s="72">
        <v>34000</v>
      </c>
      <c r="J1066" s="72">
        <f t="shared" si="28"/>
        <v>0</v>
      </c>
      <c r="K1066" s="72"/>
      <c r="L1066" s="73" t="s">
        <v>18</v>
      </c>
      <c r="M1066" s="16" t="s">
        <v>22</v>
      </c>
      <c r="N1066" s="39" t="s">
        <v>418</v>
      </c>
      <c r="O1066" s="20"/>
    </row>
    <row r="1067" spans="1:15" s="169" customFormat="1" ht="18">
      <c r="A1067" s="180" t="s">
        <v>115</v>
      </c>
      <c r="B1067" s="77" t="s">
        <v>1628</v>
      </c>
      <c r="C1067" s="70" t="s">
        <v>17</v>
      </c>
      <c r="D1067" s="210"/>
      <c r="E1067" s="210"/>
      <c r="F1067" s="406"/>
      <c r="G1067" s="406"/>
      <c r="H1067" s="406">
        <f>SUM(Tabla13211242[[#This Row],[PRIMER TRIMESTRE]:[CUARTO TRIMESTRE]])</f>
        <v>0</v>
      </c>
      <c r="I1067" s="72">
        <v>3500</v>
      </c>
      <c r="J1067" s="72">
        <f t="shared" si="28"/>
        <v>0</v>
      </c>
      <c r="K1067" s="72"/>
      <c r="L1067" s="73" t="s">
        <v>18</v>
      </c>
      <c r="M1067" s="16" t="s">
        <v>22</v>
      </c>
      <c r="N1067" s="39" t="s">
        <v>418</v>
      </c>
      <c r="O1067" s="20"/>
    </row>
    <row r="1068" spans="1:15" s="169" customFormat="1" ht="18">
      <c r="A1068" s="180" t="s">
        <v>115</v>
      </c>
      <c r="B1068" s="77" t="s">
        <v>1629</v>
      </c>
      <c r="C1068" s="70" t="s">
        <v>17</v>
      </c>
      <c r="D1068" s="210"/>
      <c r="E1068" s="210"/>
      <c r="F1068" s="249"/>
      <c r="G1068" s="249"/>
      <c r="H1068" s="406">
        <f>SUM(Tabla13211242[[#This Row],[PRIMER TRIMESTRE]:[CUARTO TRIMESTRE]])</f>
        <v>0</v>
      </c>
      <c r="I1068" s="72">
        <v>14000</v>
      </c>
      <c r="J1068" s="72">
        <f t="shared" si="28"/>
        <v>0</v>
      </c>
      <c r="K1068" s="72"/>
      <c r="L1068" s="16" t="s">
        <v>18</v>
      </c>
      <c r="M1068" s="16" t="s">
        <v>22</v>
      </c>
      <c r="N1068" s="39" t="s">
        <v>418</v>
      </c>
      <c r="O1068" s="20"/>
    </row>
    <row r="1069" spans="1:15" s="169" customFormat="1" ht="25.5">
      <c r="A1069" s="180" t="s">
        <v>115</v>
      </c>
      <c r="B1069" s="77" t="s">
        <v>939</v>
      </c>
      <c r="C1069" s="70" t="s">
        <v>17</v>
      </c>
      <c r="D1069" s="210"/>
      <c r="E1069" s="210"/>
      <c r="F1069" s="210"/>
      <c r="G1069" s="210"/>
      <c r="H1069" s="406">
        <f>SUM(Tabla13211242[[#This Row],[PRIMER TRIMESTRE]:[CUARTO TRIMESTRE]])</f>
        <v>0</v>
      </c>
      <c r="I1069" s="72">
        <v>34000</v>
      </c>
      <c r="J1069" s="72">
        <f t="shared" si="28"/>
        <v>0</v>
      </c>
      <c r="K1069" s="72"/>
      <c r="L1069" s="16" t="s">
        <v>18</v>
      </c>
      <c r="M1069" s="16" t="s">
        <v>22</v>
      </c>
      <c r="N1069" s="39" t="s">
        <v>418</v>
      </c>
      <c r="O1069" s="20"/>
    </row>
    <row r="1070" spans="1:15" s="169" customFormat="1" ht="18">
      <c r="A1070" s="180" t="s">
        <v>115</v>
      </c>
      <c r="B1070" s="77" t="s">
        <v>1630</v>
      </c>
      <c r="C1070" s="70" t="s">
        <v>17</v>
      </c>
      <c r="D1070" s="210">
        <v>1</v>
      </c>
      <c r="E1070" s="210"/>
      <c r="F1070" s="210"/>
      <c r="G1070" s="210"/>
      <c r="H1070" s="406">
        <f>SUM(Tabla13211242[[#This Row],[PRIMER TRIMESTRE]:[CUARTO TRIMESTRE]])</f>
        <v>1</v>
      </c>
      <c r="I1070" s="72">
        <v>4000</v>
      </c>
      <c r="J1070" s="72">
        <f t="shared" si="28"/>
        <v>4000</v>
      </c>
      <c r="K1070" s="72"/>
      <c r="L1070" s="16" t="s">
        <v>18</v>
      </c>
      <c r="M1070" s="16" t="s">
        <v>22</v>
      </c>
      <c r="N1070" s="39" t="s">
        <v>418</v>
      </c>
      <c r="O1070" s="20"/>
    </row>
    <row r="1071" spans="1:15" s="169" customFormat="1" ht="18">
      <c r="A1071" s="180" t="s">
        <v>115</v>
      </c>
      <c r="B1071" s="77" t="s">
        <v>1631</v>
      </c>
      <c r="C1071" s="70" t="s">
        <v>17</v>
      </c>
      <c r="D1071" s="210"/>
      <c r="E1071" s="210"/>
      <c r="F1071" s="210"/>
      <c r="G1071" s="210"/>
      <c r="H1071" s="406">
        <f>SUM(Tabla13211242[[#This Row],[PRIMER TRIMESTRE]:[CUARTO TRIMESTRE]])</f>
        <v>0</v>
      </c>
      <c r="I1071" s="72">
        <v>20000</v>
      </c>
      <c r="J1071" s="72">
        <f t="shared" si="28"/>
        <v>0</v>
      </c>
      <c r="K1071" s="72"/>
      <c r="L1071" s="16" t="s">
        <v>18</v>
      </c>
      <c r="M1071" s="16" t="s">
        <v>22</v>
      </c>
      <c r="N1071" s="39" t="s">
        <v>418</v>
      </c>
      <c r="O1071" s="20"/>
    </row>
    <row r="1072" spans="1:15" s="169" customFormat="1" ht="18">
      <c r="A1072" s="180" t="s">
        <v>115</v>
      </c>
      <c r="B1072" s="77" t="s">
        <v>1632</v>
      </c>
      <c r="C1072" s="70" t="s">
        <v>17</v>
      </c>
      <c r="D1072" s="210"/>
      <c r="E1072" s="210"/>
      <c r="F1072" s="210"/>
      <c r="G1072" s="210"/>
      <c r="H1072" s="406">
        <f>SUM(Tabla13211242[[#This Row],[PRIMER TRIMESTRE]:[CUARTO TRIMESTRE]])</f>
        <v>0</v>
      </c>
      <c r="I1072" s="72">
        <v>300000</v>
      </c>
      <c r="J1072" s="72">
        <f t="shared" si="28"/>
        <v>0</v>
      </c>
      <c r="K1072" s="72"/>
      <c r="L1072" s="73" t="s">
        <v>18</v>
      </c>
      <c r="M1072" s="16" t="s">
        <v>22</v>
      </c>
      <c r="N1072" s="39" t="s">
        <v>418</v>
      </c>
      <c r="O1072" s="20"/>
    </row>
    <row r="1073" spans="1:15" s="12" customFormat="1" ht="25.5">
      <c r="A1073" s="180" t="s">
        <v>115</v>
      </c>
      <c r="B1073" s="77" t="s">
        <v>940</v>
      </c>
      <c r="C1073" s="70" t="s">
        <v>17</v>
      </c>
      <c r="D1073" s="210"/>
      <c r="E1073" s="210"/>
      <c r="F1073" s="210"/>
      <c r="G1073" s="210"/>
      <c r="H1073" s="406">
        <f>SUM(Tabla13211242[[#This Row],[PRIMER TRIMESTRE]:[CUARTO TRIMESTRE]])</f>
        <v>0</v>
      </c>
      <c r="I1073" s="72">
        <v>210000</v>
      </c>
      <c r="J1073" s="72">
        <f t="shared" si="28"/>
        <v>0</v>
      </c>
      <c r="K1073" s="72"/>
      <c r="L1073" s="16" t="s">
        <v>18</v>
      </c>
      <c r="M1073" s="16" t="s">
        <v>22</v>
      </c>
      <c r="N1073" s="39" t="s">
        <v>418</v>
      </c>
      <c r="O1073" s="20"/>
    </row>
    <row r="1074" spans="1:15" s="12" customFormat="1" ht="25.5">
      <c r="A1074" s="180" t="s">
        <v>115</v>
      </c>
      <c r="B1074" s="77" t="s">
        <v>1887</v>
      </c>
      <c r="C1074" s="70" t="s">
        <v>17</v>
      </c>
      <c r="D1074" s="210">
        <v>9</v>
      </c>
      <c r="E1074" s="210">
        <v>9</v>
      </c>
      <c r="F1074" s="210">
        <v>9</v>
      </c>
      <c r="G1074" s="210">
        <v>8</v>
      </c>
      <c r="H1074" s="406">
        <f>+Tabla13211242[[#This Row],[CUARTO TRIMESTRE]]+Tabla13211242[[#This Row],[TERCER TRIMESTRE]]+Tabla13211242[[#This Row],[SEGUNDO TRIMESTRE]]+Tabla13211242[[#This Row],[PRIMER TRIMESTRE]]</f>
        <v>35</v>
      </c>
      <c r="I1074" s="72">
        <v>35000</v>
      </c>
      <c r="J1074" s="72">
        <f t="shared" si="28"/>
        <v>1225000</v>
      </c>
      <c r="K1074" s="72"/>
      <c r="L1074" s="16" t="s">
        <v>18</v>
      </c>
      <c r="M1074" s="16" t="s">
        <v>22</v>
      </c>
      <c r="N1074" s="39" t="s">
        <v>418</v>
      </c>
      <c r="O1074" s="20"/>
    </row>
    <row r="1075" spans="1:15" s="12" customFormat="1" ht="25.5">
      <c r="A1075" s="178" t="s">
        <v>115</v>
      </c>
      <c r="B1075" s="75" t="s">
        <v>1752</v>
      </c>
      <c r="C1075" s="39" t="s">
        <v>17</v>
      </c>
      <c r="D1075" s="210"/>
      <c r="E1075" s="210"/>
      <c r="F1075" s="210"/>
      <c r="G1075" s="210"/>
      <c r="H1075" s="406">
        <v>0</v>
      </c>
      <c r="I1075" s="72">
        <v>0</v>
      </c>
      <c r="J1075" s="72">
        <v>0</v>
      </c>
      <c r="K1075" s="72"/>
      <c r="L1075" s="73" t="s">
        <v>18</v>
      </c>
      <c r="M1075" s="16" t="s">
        <v>22</v>
      </c>
      <c r="N1075" s="39" t="s">
        <v>418</v>
      </c>
      <c r="O1075" s="20"/>
    </row>
    <row r="1076" spans="1:15" s="12" customFormat="1" ht="18">
      <c r="A1076" s="178" t="s">
        <v>115</v>
      </c>
      <c r="B1076" s="75" t="s">
        <v>1888</v>
      </c>
      <c r="C1076" s="39" t="s">
        <v>17</v>
      </c>
      <c r="D1076" s="210"/>
      <c r="E1076" s="210"/>
      <c r="F1076" s="210"/>
      <c r="G1076" s="210"/>
      <c r="H1076" s="406">
        <v>0</v>
      </c>
      <c r="I1076" s="72">
        <v>0</v>
      </c>
      <c r="J1076" s="72">
        <v>0</v>
      </c>
      <c r="K1076" s="72"/>
      <c r="L1076" s="73" t="s">
        <v>18</v>
      </c>
      <c r="M1076" s="16" t="s">
        <v>22</v>
      </c>
      <c r="N1076" s="39" t="s">
        <v>418</v>
      </c>
      <c r="O1076" s="20"/>
    </row>
    <row r="1077" spans="1:15" s="12" customFormat="1" ht="30.75" customHeight="1">
      <c r="A1077" s="178" t="s">
        <v>115</v>
      </c>
      <c r="B1077" s="75" t="s">
        <v>945</v>
      </c>
      <c r="C1077" s="39" t="s">
        <v>17</v>
      </c>
      <c r="D1077" s="236"/>
      <c r="E1077" s="236"/>
      <c r="F1077" s="236"/>
      <c r="G1077" s="236"/>
      <c r="H1077" s="40">
        <f>SUM(Tabla13211242[[#This Row],[PRIMER TRIMESTRE]:[CUARTO TRIMESTRE]])</f>
        <v>0</v>
      </c>
      <c r="I1077" s="17">
        <v>7498</v>
      </c>
      <c r="J1077" s="17">
        <f t="shared" si="28"/>
        <v>0</v>
      </c>
      <c r="K1077" s="17"/>
      <c r="L1077" s="73" t="s">
        <v>18</v>
      </c>
      <c r="M1077" s="16" t="s">
        <v>22</v>
      </c>
      <c r="N1077" s="39" t="s">
        <v>418</v>
      </c>
      <c r="O1077" s="20"/>
    </row>
    <row r="1078" spans="1:15" s="12" customFormat="1" ht="30.75" customHeight="1">
      <c r="A1078" s="178" t="s">
        <v>115</v>
      </c>
      <c r="B1078" s="75" t="s">
        <v>946</v>
      </c>
      <c r="C1078" s="39" t="s">
        <v>17</v>
      </c>
      <c r="D1078" s="236"/>
      <c r="E1078" s="236"/>
      <c r="F1078" s="236"/>
      <c r="G1078" s="236"/>
      <c r="H1078" s="40">
        <f>SUM(Tabla13211242[[#This Row],[PRIMER TRIMESTRE]:[CUARTO TRIMESTRE]])</f>
        <v>0</v>
      </c>
      <c r="I1078" s="17">
        <v>4600</v>
      </c>
      <c r="J1078" s="17">
        <f t="shared" si="28"/>
        <v>0</v>
      </c>
      <c r="K1078" s="17"/>
      <c r="L1078" s="73" t="s">
        <v>18</v>
      </c>
      <c r="M1078" s="16" t="s">
        <v>22</v>
      </c>
      <c r="N1078" s="39" t="s">
        <v>418</v>
      </c>
      <c r="O1078" s="20"/>
    </row>
    <row r="1079" spans="1:15" s="12" customFormat="1" ht="30.75" customHeight="1">
      <c r="A1079" s="178" t="s">
        <v>115</v>
      </c>
      <c r="B1079" s="75" t="s">
        <v>947</v>
      </c>
      <c r="C1079" s="39" t="s">
        <v>17</v>
      </c>
      <c r="D1079" s="236"/>
      <c r="E1079" s="236"/>
      <c r="F1079" s="236"/>
      <c r="G1079" s="236"/>
      <c r="H1079" s="40">
        <f>SUM(Tabla13211242[[#This Row],[PRIMER TRIMESTRE]:[CUARTO TRIMESTRE]])</f>
        <v>0</v>
      </c>
      <c r="I1079" s="17">
        <v>3496</v>
      </c>
      <c r="J1079" s="17">
        <f t="shared" si="28"/>
        <v>0</v>
      </c>
      <c r="K1079" s="17"/>
      <c r="L1079" s="73" t="s">
        <v>18</v>
      </c>
      <c r="M1079" s="16" t="s">
        <v>22</v>
      </c>
      <c r="N1079" s="39" t="s">
        <v>418</v>
      </c>
      <c r="O1079" s="20"/>
    </row>
    <row r="1080" spans="1:15" s="12" customFormat="1" ht="30.75" customHeight="1">
      <c r="A1080" s="178" t="s">
        <v>115</v>
      </c>
      <c r="B1080" s="75" t="s">
        <v>1440</v>
      </c>
      <c r="C1080" s="39" t="s">
        <v>17</v>
      </c>
      <c r="D1080" s="236"/>
      <c r="E1080" s="236"/>
      <c r="F1080" s="236"/>
      <c r="G1080" s="236"/>
      <c r="H1080" s="40">
        <f>SUM(Tabla13211242[[#This Row],[PRIMER TRIMESTRE]:[CUARTO TRIMESTRE]])</f>
        <v>0</v>
      </c>
      <c r="I1080" s="17">
        <v>5310</v>
      </c>
      <c r="J1080" s="17">
        <f t="shared" si="28"/>
        <v>0</v>
      </c>
      <c r="K1080" s="17"/>
      <c r="L1080" s="73" t="s">
        <v>15</v>
      </c>
      <c r="M1080" s="16" t="s">
        <v>22</v>
      </c>
      <c r="N1080" s="39" t="s">
        <v>418</v>
      </c>
      <c r="O1080" s="20"/>
    </row>
    <row r="1081" spans="1:15" s="26" customFormat="1" ht="30.75" customHeight="1">
      <c r="A1081" s="178" t="s">
        <v>115</v>
      </c>
      <c r="B1081" s="75" t="s">
        <v>1441</v>
      </c>
      <c r="C1081" s="39" t="s">
        <v>17</v>
      </c>
      <c r="D1081" s="236"/>
      <c r="E1081" s="236"/>
      <c r="F1081" s="236"/>
      <c r="G1081" s="236"/>
      <c r="H1081" s="40">
        <f>SUM(Tabla13211242[[#This Row],[PRIMER TRIMESTRE]:[CUARTO TRIMESTRE]])</f>
        <v>0</v>
      </c>
      <c r="I1081" s="17">
        <v>5310</v>
      </c>
      <c r="J1081" s="17">
        <f t="shared" si="28"/>
        <v>0</v>
      </c>
      <c r="K1081" s="17"/>
      <c r="L1081" s="73" t="s">
        <v>15</v>
      </c>
      <c r="M1081" s="16" t="s">
        <v>22</v>
      </c>
      <c r="N1081" s="39" t="s">
        <v>418</v>
      </c>
      <c r="O1081" s="23"/>
    </row>
    <row r="1082" spans="1:15" s="12" customFormat="1" ht="30.75" customHeight="1">
      <c r="A1082" s="178" t="s">
        <v>115</v>
      </c>
      <c r="B1082" s="75" t="s">
        <v>1442</v>
      </c>
      <c r="C1082" s="39" t="s">
        <v>17</v>
      </c>
      <c r="D1082" s="236"/>
      <c r="E1082" s="236"/>
      <c r="F1082" s="236"/>
      <c r="G1082" s="236"/>
      <c r="H1082" s="40">
        <f>SUM(Tabla13211242[[#This Row],[PRIMER TRIMESTRE]:[CUARTO TRIMESTRE]])</f>
        <v>0</v>
      </c>
      <c r="I1082" s="17">
        <v>5310</v>
      </c>
      <c r="J1082" s="17">
        <f t="shared" si="28"/>
        <v>0</v>
      </c>
      <c r="K1082" s="17"/>
      <c r="L1082" s="73" t="s">
        <v>15</v>
      </c>
      <c r="M1082" s="16" t="s">
        <v>22</v>
      </c>
      <c r="N1082" s="39" t="s">
        <v>418</v>
      </c>
      <c r="O1082" s="20"/>
    </row>
    <row r="1083" spans="1:15" s="12" customFormat="1" ht="30.75" customHeight="1">
      <c r="A1083" s="178" t="s">
        <v>115</v>
      </c>
      <c r="B1083" s="75" t="s">
        <v>1889</v>
      </c>
      <c r="C1083" s="39" t="s">
        <v>17</v>
      </c>
      <c r="D1083" s="236">
        <v>1</v>
      </c>
      <c r="E1083" s="236"/>
      <c r="F1083" s="236"/>
      <c r="G1083" s="236"/>
      <c r="H1083" s="40">
        <f>+Tabla13211242[[#This Row],[CUARTO TRIMESTRE]]+Tabla13211242[[#This Row],[TERCER TRIMESTRE]]+Tabla13211242[[#This Row],[SEGUNDO TRIMESTRE]]+Tabla13211242[[#This Row],[PRIMER TRIMESTRE]]</f>
        <v>1</v>
      </c>
      <c r="I1083" s="109"/>
      <c r="J1083" s="17">
        <f t="shared" si="28"/>
        <v>0</v>
      </c>
      <c r="K1083" s="17"/>
      <c r="L1083" s="73"/>
      <c r="M1083" s="16"/>
      <c r="N1083" s="39"/>
      <c r="O1083" s="20"/>
    </row>
    <row r="1084" spans="1:15" s="12" customFormat="1" ht="30.75" customHeight="1">
      <c r="A1084" s="15" t="s">
        <v>115</v>
      </c>
      <c r="B1084" s="75" t="s">
        <v>1890</v>
      </c>
      <c r="C1084" s="39" t="s">
        <v>17</v>
      </c>
      <c r="D1084" s="348">
        <v>1</v>
      </c>
      <c r="E1084" s="348">
        <v>1</v>
      </c>
      <c r="F1084" s="348">
        <v>1</v>
      </c>
      <c r="G1084" s="348">
        <v>1</v>
      </c>
      <c r="H1084" s="40">
        <v>4</v>
      </c>
      <c r="I1084" s="17">
        <v>150000</v>
      </c>
      <c r="J1084" s="17">
        <f t="shared" si="28"/>
        <v>600000</v>
      </c>
      <c r="K1084" s="17"/>
      <c r="L1084" s="73"/>
      <c r="M1084" s="16"/>
      <c r="N1084" s="39"/>
      <c r="O1084" s="20"/>
    </row>
    <row r="1085" spans="1:15" s="12" customFormat="1" ht="30.75" customHeight="1">
      <c r="A1085" s="15" t="s">
        <v>115</v>
      </c>
      <c r="B1085" s="75" t="s">
        <v>1891</v>
      </c>
      <c r="C1085" s="39" t="s">
        <v>17</v>
      </c>
      <c r="D1085" s="348">
        <v>4</v>
      </c>
      <c r="E1085" s="348"/>
      <c r="F1085" s="348"/>
      <c r="G1085" s="348"/>
      <c r="H1085" s="40">
        <f>+Tabla13211242[[#This Row],[CUARTO TRIMESTRE]]+Tabla13211242[[#This Row],[TERCER TRIMESTRE]]+Tabla13211242[[#This Row],[SEGUNDO TRIMESTRE]]+Tabla13211242[[#This Row],[PRIMER TRIMESTRE]]</f>
        <v>4</v>
      </c>
      <c r="I1085" s="17">
        <v>2000</v>
      </c>
      <c r="J1085" s="17">
        <f t="shared" si="28"/>
        <v>8000</v>
      </c>
      <c r="K1085" s="17"/>
      <c r="L1085" s="73"/>
      <c r="M1085" s="16"/>
      <c r="N1085" s="39"/>
      <c r="O1085" s="20"/>
    </row>
    <row r="1086" spans="1:15" s="12" customFormat="1" ht="30.75" customHeight="1">
      <c r="A1086" s="380" t="s">
        <v>115</v>
      </c>
      <c r="B1086" s="380"/>
      <c r="C1086" s="380"/>
      <c r="D1086" s="380"/>
      <c r="E1086" s="380"/>
      <c r="F1086" s="380"/>
      <c r="G1086" s="380"/>
      <c r="H1086" s="380"/>
      <c r="I1086" s="380"/>
      <c r="J1086" s="24"/>
      <c r="K1086" s="25">
        <f>SUM(J1049:J1085)</f>
        <v>1979440</v>
      </c>
      <c r="L1086" s="23"/>
      <c r="M1086" s="23"/>
      <c r="N1086" s="42"/>
      <c r="O1086" s="20"/>
    </row>
    <row r="1087" spans="1:15" s="12" customFormat="1" ht="30.75" customHeight="1">
      <c r="A1087" s="178" t="s">
        <v>117</v>
      </c>
      <c r="B1087" s="75" t="s">
        <v>941</v>
      </c>
      <c r="C1087" s="39" t="s">
        <v>17</v>
      </c>
      <c r="D1087" s="236"/>
      <c r="E1087" s="236"/>
      <c r="F1087" s="236"/>
      <c r="G1087" s="236"/>
      <c r="H1087" s="40">
        <f>SUM(Tabla13211242[[#This Row],[PRIMER TRIMESTRE]:[CUARTO TRIMESTRE]])</f>
        <v>0</v>
      </c>
      <c r="I1087" s="17">
        <v>900</v>
      </c>
      <c r="J1087" s="17">
        <f>+H1087*I1087</f>
        <v>0</v>
      </c>
      <c r="K1087" s="17"/>
      <c r="L1087" s="73" t="s">
        <v>18</v>
      </c>
      <c r="M1087" s="16" t="s">
        <v>22</v>
      </c>
      <c r="N1087" s="39"/>
      <c r="O1087" s="20"/>
    </row>
    <row r="1088" spans="1:15" s="12" customFormat="1" ht="30.75" customHeight="1">
      <c r="A1088" s="178" t="s">
        <v>117</v>
      </c>
      <c r="B1088" s="75" t="s">
        <v>942</v>
      </c>
      <c r="C1088" s="39" t="s">
        <v>17</v>
      </c>
      <c r="D1088" s="236"/>
      <c r="E1088" s="236"/>
      <c r="F1088" s="236"/>
      <c r="G1088" s="236"/>
      <c r="H1088" s="40">
        <f>SUM(Tabla13211242[[#This Row],[PRIMER TRIMESTRE]:[CUARTO TRIMESTRE]])</f>
        <v>0</v>
      </c>
      <c r="I1088" s="17">
        <v>900</v>
      </c>
      <c r="J1088" s="17">
        <f>+H1088*I1088</f>
        <v>0</v>
      </c>
      <c r="K1088" s="17"/>
      <c r="L1088" s="73" t="s">
        <v>18</v>
      </c>
      <c r="M1088" s="16" t="s">
        <v>22</v>
      </c>
      <c r="N1088" s="39" t="s">
        <v>418</v>
      </c>
      <c r="O1088" s="20"/>
    </row>
    <row r="1089" spans="1:15" s="12" customFormat="1" ht="30.75" customHeight="1">
      <c r="A1089" s="178" t="s">
        <v>117</v>
      </c>
      <c r="B1089" s="75" t="s">
        <v>943</v>
      </c>
      <c r="C1089" s="39" t="s">
        <v>17</v>
      </c>
      <c r="D1089" s="236"/>
      <c r="E1089" s="236"/>
      <c r="F1089" s="236"/>
      <c r="G1089" s="236"/>
      <c r="H1089" s="40">
        <f>SUM(Tabla13211242[[#This Row],[PRIMER TRIMESTRE]:[CUARTO TRIMESTRE]])</f>
        <v>0</v>
      </c>
      <c r="I1089" s="17">
        <v>800000</v>
      </c>
      <c r="J1089" s="17">
        <f>+H1089*I1089</f>
        <v>0</v>
      </c>
      <c r="K1089" s="17"/>
      <c r="L1089" s="16" t="s">
        <v>18</v>
      </c>
      <c r="M1089" s="16" t="s">
        <v>22</v>
      </c>
      <c r="N1089" s="39" t="s">
        <v>418</v>
      </c>
      <c r="O1089" s="20"/>
    </row>
    <row r="1090" spans="1:15" s="12" customFormat="1" ht="30.75" customHeight="1">
      <c r="A1090" s="178" t="s">
        <v>117</v>
      </c>
      <c r="B1090" s="75" t="s">
        <v>1402</v>
      </c>
      <c r="C1090" s="39" t="s">
        <v>17</v>
      </c>
      <c r="D1090" s="236"/>
      <c r="E1090" s="236"/>
      <c r="F1090" s="236"/>
      <c r="G1090" s="236"/>
      <c r="H1090" s="40">
        <f>SUM(Tabla13211242[[#This Row],[PRIMER TRIMESTRE]:[CUARTO TRIMESTRE]])</f>
        <v>0</v>
      </c>
      <c r="I1090" s="17">
        <v>758</v>
      </c>
      <c r="J1090" s="17">
        <f>+Tabla13211242[[#This Row],[CANTIDAD TOTAL]]*Tabla13211242[[#This Row],[PRECIO UNITARIO ESTIMADO]]</f>
        <v>0</v>
      </c>
      <c r="K1090" s="17"/>
      <c r="L1090" s="73" t="s">
        <v>18</v>
      </c>
      <c r="M1090" s="16" t="s">
        <v>22</v>
      </c>
      <c r="N1090" s="39" t="s">
        <v>418</v>
      </c>
      <c r="O1090" s="20"/>
    </row>
    <row r="1091" spans="1:15" s="12" customFormat="1" ht="30.75" customHeight="1">
      <c r="A1091" s="178" t="s">
        <v>117</v>
      </c>
      <c r="B1091" s="75" t="s">
        <v>944</v>
      </c>
      <c r="C1091" s="39" t="s">
        <v>17</v>
      </c>
      <c r="D1091" s="236"/>
      <c r="E1091" s="236"/>
      <c r="F1091" s="236"/>
      <c r="G1091" s="236"/>
      <c r="H1091" s="40">
        <f>SUM(Tabla13211242[[#This Row],[PRIMER TRIMESTRE]:[CUARTO TRIMESTRE]])</f>
        <v>0</v>
      </c>
      <c r="I1091" s="17">
        <v>12000</v>
      </c>
      <c r="J1091" s="17">
        <f t="shared" ref="J1091:J1100" si="29">+H1091*I1091</f>
        <v>0</v>
      </c>
      <c r="K1091" s="17"/>
      <c r="L1091" s="73" t="s">
        <v>18</v>
      </c>
      <c r="M1091" s="16" t="s">
        <v>22</v>
      </c>
      <c r="N1091" s="39" t="s">
        <v>418</v>
      </c>
      <c r="O1091" s="20"/>
    </row>
    <row r="1092" spans="1:15" s="12" customFormat="1" ht="30.75" customHeight="1">
      <c r="A1092" s="178" t="s">
        <v>117</v>
      </c>
      <c r="B1092" s="75" t="s">
        <v>1755</v>
      </c>
      <c r="C1092" s="39" t="s">
        <v>17</v>
      </c>
      <c r="D1092" s="236"/>
      <c r="E1092" s="236"/>
      <c r="F1092" s="236"/>
      <c r="G1092" s="236"/>
      <c r="H1092" s="40">
        <v>0</v>
      </c>
      <c r="I1092" s="17">
        <v>0</v>
      </c>
      <c r="J1092" s="17">
        <v>0</v>
      </c>
      <c r="K1092" s="17"/>
      <c r="L1092" s="73" t="s">
        <v>18</v>
      </c>
      <c r="M1092" s="16" t="s">
        <v>22</v>
      </c>
      <c r="N1092" s="39" t="s">
        <v>418</v>
      </c>
      <c r="O1092" s="20"/>
    </row>
    <row r="1093" spans="1:15" s="12" customFormat="1" ht="30.75" customHeight="1">
      <c r="A1093" s="178" t="s">
        <v>117</v>
      </c>
      <c r="B1093" s="75" t="s">
        <v>1756</v>
      </c>
      <c r="C1093" s="39" t="s">
        <v>17</v>
      </c>
      <c r="D1093" s="236"/>
      <c r="E1093" s="236"/>
      <c r="F1093" s="236"/>
      <c r="G1093" s="236"/>
      <c r="H1093" s="40">
        <v>0</v>
      </c>
      <c r="I1093" s="17">
        <v>0</v>
      </c>
      <c r="J1093" s="17">
        <v>0</v>
      </c>
      <c r="K1093" s="17"/>
      <c r="L1093" s="73" t="s">
        <v>18</v>
      </c>
      <c r="M1093" s="16" t="s">
        <v>22</v>
      </c>
      <c r="N1093" s="39" t="s">
        <v>418</v>
      </c>
      <c r="O1093" s="20"/>
    </row>
    <row r="1094" spans="1:15" s="12" customFormat="1" ht="30.75" customHeight="1">
      <c r="A1094" s="178" t="s">
        <v>117</v>
      </c>
      <c r="B1094" s="75" t="s">
        <v>1403</v>
      </c>
      <c r="C1094" s="39" t="s">
        <v>17</v>
      </c>
      <c r="D1094" s="236"/>
      <c r="E1094" s="236"/>
      <c r="F1094" s="236"/>
      <c r="G1094" s="236"/>
      <c r="H1094" s="40">
        <f>SUM(Tabla13211242[[#This Row],[PRIMER TRIMESTRE]:[CUARTO TRIMESTRE]])</f>
        <v>0</v>
      </c>
      <c r="I1094" s="17">
        <v>250000</v>
      </c>
      <c r="J1094" s="17">
        <f t="shared" si="29"/>
        <v>0</v>
      </c>
      <c r="K1094" s="17"/>
      <c r="L1094" s="73" t="s">
        <v>18</v>
      </c>
      <c r="M1094" s="16" t="s">
        <v>22</v>
      </c>
      <c r="N1094" s="39" t="s">
        <v>418</v>
      </c>
      <c r="O1094" s="20"/>
    </row>
    <row r="1095" spans="1:15" s="12" customFormat="1" ht="30.75" customHeight="1">
      <c r="A1095" s="178" t="s">
        <v>117</v>
      </c>
      <c r="B1095" s="75" t="s">
        <v>1420</v>
      </c>
      <c r="C1095" s="39" t="s">
        <v>17</v>
      </c>
      <c r="D1095" s="236"/>
      <c r="E1095" s="236"/>
      <c r="F1095" s="236"/>
      <c r="G1095" s="236"/>
      <c r="H1095" s="40">
        <f>SUM(Tabla13211242[[#This Row],[PRIMER TRIMESTRE]:[CUARTO TRIMESTRE]])</f>
        <v>0</v>
      </c>
      <c r="I1095" s="17">
        <v>25000000</v>
      </c>
      <c r="J1095" s="17">
        <f t="shared" si="29"/>
        <v>0</v>
      </c>
      <c r="K1095" s="17"/>
      <c r="L1095" s="16" t="s">
        <v>18</v>
      </c>
      <c r="M1095" s="16" t="s">
        <v>22</v>
      </c>
      <c r="N1095" s="39" t="s">
        <v>418</v>
      </c>
      <c r="O1095" s="20"/>
    </row>
    <row r="1096" spans="1:15" s="12" customFormat="1" ht="30.75" customHeight="1">
      <c r="A1096" s="178" t="s">
        <v>117</v>
      </c>
      <c r="B1096" s="75" t="s">
        <v>1404</v>
      </c>
      <c r="C1096" s="39" t="s">
        <v>17</v>
      </c>
      <c r="D1096" s="236"/>
      <c r="E1096" s="236"/>
      <c r="F1096" s="236"/>
      <c r="G1096" s="236"/>
      <c r="H1096" s="40">
        <f>SUM(Tabla13211242[[#This Row],[PRIMER TRIMESTRE]:[CUARTO TRIMESTRE]])</f>
        <v>0</v>
      </c>
      <c r="I1096" s="17">
        <v>327618.2</v>
      </c>
      <c r="J1096" s="17">
        <f t="shared" si="29"/>
        <v>0</v>
      </c>
      <c r="K1096" s="17"/>
      <c r="L1096" s="73" t="s">
        <v>18</v>
      </c>
      <c r="M1096" s="16" t="s">
        <v>22</v>
      </c>
      <c r="N1096" s="39" t="s">
        <v>418</v>
      </c>
      <c r="O1096" s="20"/>
    </row>
    <row r="1097" spans="1:15" s="12" customFormat="1" ht="30.75" customHeight="1">
      <c r="A1097" s="178" t="s">
        <v>117</v>
      </c>
      <c r="B1097" s="75" t="s">
        <v>1405</v>
      </c>
      <c r="C1097" s="39" t="s">
        <v>17</v>
      </c>
      <c r="D1097" s="236"/>
      <c r="E1097" s="236"/>
      <c r="F1097" s="236"/>
      <c r="G1097" s="236"/>
      <c r="H1097" s="40">
        <f>SUM(Tabla13211242[[#This Row],[PRIMER TRIMESTRE]:[CUARTO TRIMESTRE]])</f>
        <v>0</v>
      </c>
      <c r="I1097" s="17">
        <v>815223.95</v>
      </c>
      <c r="J1097" s="17">
        <f t="shared" si="29"/>
        <v>0</v>
      </c>
      <c r="K1097" s="17"/>
      <c r="L1097" s="16" t="s">
        <v>18</v>
      </c>
      <c r="M1097" s="16" t="s">
        <v>22</v>
      </c>
      <c r="N1097" s="39" t="s">
        <v>418</v>
      </c>
      <c r="O1097" s="20"/>
    </row>
    <row r="1098" spans="1:15" s="12" customFormat="1" ht="30.75" customHeight="1">
      <c r="A1098" s="178" t="s">
        <v>117</v>
      </c>
      <c r="B1098" s="75" t="s">
        <v>1406</v>
      </c>
      <c r="C1098" s="39" t="s">
        <v>17</v>
      </c>
      <c r="D1098" s="236"/>
      <c r="E1098" s="236"/>
      <c r="F1098" s="236"/>
      <c r="G1098" s="236"/>
      <c r="H1098" s="40">
        <f>SUM(Tabla13211242[[#This Row],[PRIMER TRIMESTRE]:[CUARTO TRIMESTRE]])</f>
        <v>0</v>
      </c>
      <c r="I1098" s="17">
        <v>341286.40000000002</v>
      </c>
      <c r="J1098" s="17">
        <f t="shared" si="29"/>
        <v>0</v>
      </c>
      <c r="K1098" s="17"/>
      <c r="L1098" s="73" t="s">
        <v>18</v>
      </c>
      <c r="M1098" s="16" t="s">
        <v>22</v>
      </c>
      <c r="N1098" s="39" t="s">
        <v>418</v>
      </c>
      <c r="O1098" s="20"/>
    </row>
    <row r="1099" spans="1:15" s="26" customFormat="1" ht="30.75" customHeight="1">
      <c r="A1099" s="178" t="s">
        <v>117</v>
      </c>
      <c r="B1099" s="75" t="s">
        <v>1407</v>
      </c>
      <c r="C1099" s="39" t="s">
        <v>17</v>
      </c>
      <c r="D1099" s="236"/>
      <c r="E1099" s="236"/>
      <c r="F1099" s="236"/>
      <c r="G1099" s="236"/>
      <c r="H1099" s="40">
        <f>SUM(Tabla13211242[[#This Row],[PRIMER TRIMESTRE]:[CUARTO TRIMESTRE]])</f>
        <v>0</v>
      </c>
      <c r="I1099" s="17">
        <v>498739.15</v>
      </c>
      <c r="J1099" s="17">
        <f t="shared" si="29"/>
        <v>0</v>
      </c>
      <c r="K1099" s="17"/>
      <c r="L1099" s="73" t="s">
        <v>18</v>
      </c>
      <c r="M1099" s="16" t="s">
        <v>22</v>
      </c>
      <c r="N1099" s="39" t="s">
        <v>418</v>
      </c>
      <c r="O1099" s="23"/>
    </row>
    <row r="1100" spans="1:15" s="12" customFormat="1" ht="30.75" customHeight="1">
      <c r="A1100" s="178" t="s">
        <v>117</v>
      </c>
      <c r="B1100" s="75" t="s">
        <v>1408</v>
      </c>
      <c r="C1100" s="39" t="s">
        <v>17</v>
      </c>
      <c r="D1100" s="236"/>
      <c r="E1100" s="236"/>
      <c r="F1100" s="236"/>
      <c r="G1100" s="236"/>
      <c r="H1100" s="40">
        <f>SUM(Tabla13211242[[#This Row],[PRIMER TRIMESTRE]:[CUARTO TRIMESTRE]])</f>
        <v>0</v>
      </c>
      <c r="I1100" s="17">
        <v>48163257.060000002</v>
      </c>
      <c r="J1100" s="17">
        <f t="shared" si="29"/>
        <v>0</v>
      </c>
      <c r="K1100" s="17"/>
      <c r="L1100" s="16" t="s">
        <v>18</v>
      </c>
      <c r="M1100" s="16" t="s">
        <v>22</v>
      </c>
      <c r="N1100" s="39" t="s">
        <v>418</v>
      </c>
      <c r="O1100" s="20"/>
    </row>
    <row r="1101" spans="1:15" s="12" customFormat="1" ht="30.75" customHeight="1">
      <c r="A1101" s="179" t="s">
        <v>117</v>
      </c>
      <c r="B1101" s="76" t="s">
        <v>891</v>
      </c>
      <c r="C1101" s="42"/>
      <c r="D1101" s="237"/>
      <c r="E1101" s="237"/>
      <c r="F1101" s="237"/>
      <c r="G1101" s="237"/>
      <c r="H1101" s="43"/>
      <c r="I1101" s="24"/>
      <c r="J1101" s="24"/>
      <c r="K1101" s="25">
        <f>SUM(J1087:J1100)</f>
        <v>0</v>
      </c>
      <c r="L1101" s="23"/>
      <c r="M1101" s="23"/>
      <c r="N1101" s="42"/>
      <c r="O1101" s="20"/>
    </row>
    <row r="1102" spans="1:15" s="12" customFormat="1" ht="30.75" customHeight="1">
      <c r="A1102" s="178" t="s">
        <v>118</v>
      </c>
      <c r="B1102" s="106" t="s">
        <v>1892</v>
      </c>
      <c r="C1102" s="39" t="s">
        <v>17</v>
      </c>
      <c r="D1102" s="236">
        <v>3</v>
      </c>
      <c r="E1102" s="236">
        <v>4</v>
      </c>
      <c r="F1102" s="236"/>
      <c r="G1102" s="236"/>
      <c r="H1102" s="40">
        <f>SUM(Tabla13211242[[#This Row],[PRIMER TRIMESTRE]:[CUARTO TRIMESTRE]])</f>
        <v>7</v>
      </c>
      <c r="I1102" s="17">
        <v>7544.8</v>
      </c>
      <c r="J1102" s="17">
        <f>+Tabla13211242[[#This Row],[CANTIDAD TOTAL]]*Tabla13211242[[#This Row],[PRECIO UNITARIO ESTIMADO]]</f>
        <v>52813.599999999999</v>
      </c>
      <c r="K1102" s="17"/>
      <c r="L1102" s="73" t="s">
        <v>27</v>
      </c>
      <c r="M1102" s="16" t="s">
        <v>22</v>
      </c>
      <c r="N1102" s="39" t="s">
        <v>418</v>
      </c>
      <c r="O1102" s="20"/>
    </row>
    <row r="1103" spans="1:15" s="12" customFormat="1" ht="30.75" customHeight="1">
      <c r="A1103" s="178" t="s">
        <v>118</v>
      </c>
      <c r="B1103" s="75" t="s">
        <v>242</v>
      </c>
      <c r="C1103" s="39" t="s">
        <v>17</v>
      </c>
      <c r="D1103" s="236"/>
      <c r="E1103" s="236"/>
      <c r="F1103" s="236"/>
      <c r="G1103" s="236"/>
      <c r="H1103" s="40">
        <f>SUM(Tabla13211242[[#This Row],[PRIMER TRIMESTRE]:[CUARTO TRIMESTRE]])</f>
        <v>0</v>
      </c>
      <c r="I1103" s="17">
        <v>4756</v>
      </c>
      <c r="J1103" s="17">
        <f>+Tabla13211242[[#This Row],[CANTIDAD TOTAL]]*Tabla13211242[[#This Row],[PRECIO UNITARIO ESTIMADO]]</f>
        <v>0</v>
      </c>
      <c r="K1103" s="17"/>
      <c r="L1103" s="73" t="s">
        <v>27</v>
      </c>
      <c r="M1103" s="16" t="s">
        <v>22</v>
      </c>
      <c r="N1103" s="39" t="s">
        <v>418</v>
      </c>
      <c r="O1103" s="20"/>
    </row>
    <row r="1104" spans="1:15" s="12" customFormat="1" ht="30.75" customHeight="1">
      <c r="A1104" s="178" t="s">
        <v>118</v>
      </c>
      <c r="B1104" s="75" t="s">
        <v>243</v>
      </c>
      <c r="C1104" s="39" t="s">
        <v>17</v>
      </c>
      <c r="D1104" s="236"/>
      <c r="E1104" s="236"/>
      <c r="F1104" s="236"/>
      <c r="G1104" s="236"/>
      <c r="H1104" s="40">
        <f>SUM(Tabla13211242[[#This Row],[PRIMER TRIMESTRE]:[CUARTO TRIMESTRE]])</f>
        <v>0</v>
      </c>
      <c r="I1104" s="17">
        <v>4610.34</v>
      </c>
      <c r="J1104" s="17">
        <f>+Tabla13211242[[#This Row],[CANTIDAD TOTAL]]*Tabla13211242[[#This Row],[PRECIO UNITARIO ESTIMADO]]</f>
        <v>0</v>
      </c>
      <c r="K1104" s="17"/>
      <c r="L1104" s="73" t="s">
        <v>27</v>
      </c>
      <c r="M1104" s="16" t="s">
        <v>22</v>
      </c>
      <c r="N1104" s="39" t="s">
        <v>418</v>
      </c>
      <c r="O1104" s="20"/>
    </row>
    <row r="1105" spans="1:15" s="12" customFormat="1" ht="30.75" customHeight="1">
      <c r="A1105" s="178" t="s">
        <v>118</v>
      </c>
      <c r="B1105" s="75" t="s">
        <v>336</v>
      </c>
      <c r="C1105" s="39" t="s">
        <v>17</v>
      </c>
      <c r="D1105" s="236"/>
      <c r="E1105" s="236"/>
      <c r="F1105" s="236"/>
      <c r="G1105" s="236"/>
      <c r="H1105" s="40">
        <f>SUM(Tabla13211242[[#This Row],[PRIMER TRIMESTRE]:[CUARTO TRIMESTRE]])</f>
        <v>0</v>
      </c>
      <c r="I1105" s="17">
        <v>10115</v>
      </c>
      <c r="J1105" s="17">
        <f>+Tabla13211242[[#This Row],[CANTIDAD TOTAL]]*Tabla13211242[[#This Row],[PRECIO UNITARIO ESTIMADO]]</f>
        <v>0</v>
      </c>
      <c r="K1105" s="17"/>
      <c r="L1105" s="73" t="s">
        <v>27</v>
      </c>
      <c r="M1105" s="16" t="s">
        <v>22</v>
      </c>
      <c r="N1105" s="39" t="s">
        <v>418</v>
      </c>
      <c r="O1105" s="20"/>
    </row>
    <row r="1106" spans="1:15" s="12" customFormat="1" ht="30.75" customHeight="1">
      <c r="A1106" s="178" t="s">
        <v>118</v>
      </c>
      <c r="B1106" s="75" t="s">
        <v>1322</v>
      </c>
      <c r="C1106" s="39" t="s">
        <v>17</v>
      </c>
      <c r="D1106" s="236"/>
      <c r="E1106" s="236"/>
      <c r="F1106" s="236"/>
      <c r="G1106" s="236"/>
      <c r="H1106" s="40">
        <f>SUM(Tabla13211242[[#This Row],[PRIMER TRIMESTRE]:[CUARTO TRIMESTRE]])</f>
        <v>0</v>
      </c>
      <c r="I1106" s="17">
        <f>+(5938.35+4838)/2</f>
        <v>5388.1750000000002</v>
      </c>
      <c r="J1106" s="17">
        <f>+Tabla13211242[[#This Row],[CANTIDAD TOTAL]]*Tabla13211242[[#This Row],[PRECIO UNITARIO ESTIMADO]]</f>
        <v>0</v>
      </c>
      <c r="K1106" s="17"/>
      <c r="L1106" s="73" t="s">
        <v>27</v>
      </c>
      <c r="M1106" s="16" t="s">
        <v>22</v>
      </c>
      <c r="N1106" s="39" t="s">
        <v>418</v>
      </c>
      <c r="O1106" s="20"/>
    </row>
    <row r="1107" spans="1:15" s="12" customFormat="1" ht="30.75" customHeight="1">
      <c r="A1107" s="178" t="s">
        <v>118</v>
      </c>
      <c r="B1107" s="75" t="s">
        <v>334</v>
      </c>
      <c r="C1107" s="39" t="s">
        <v>17</v>
      </c>
      <c r="D1107" s="236"/>
      <c r="E1107" s="236"/>
      <c r="F1107" s="236"/>
      <c r="G1107" s="236"/>
      <c r="H1107" s="40">
        <f>SUM(Tabla13211242[[#This Row],[PRIMER TRIMESTRE]:[CUARTO TRIMESTRE]])</f>
        <v>0</v>
      </c>
      <c r="I1107" s="17">
        <v>7080</v>
      </c>
      <c r="J1107" s="17">
        <f>+Tabla13211242[[#This Row],[CANTIDAD TOTAL]]*Tabla13211242[[#This Row],[PRECIO UNITARIO ESTIMADO]]</f>
        <v>0</v>
      </c>
      <c r="K1107" s="17"/>
      <c r="L1107" s="73" t="s">
        <v>27</v>
      </c>
      <c r="M1107" s="16" t="s">
        <v>22</v>
      </c>
      <c r="N1107" s="39" t="s">
        <v>418</v>
      </c>
      <c r="O1107" s="20"/>
    </row>
    <row r="1108" spans="1:15" s="12" customFormat="1" ht="30.75" customHeight="1">
      <c r="A1108" s="178" t="s">
        <v>118</v>
      </c>
      <c r="B1108" s="75" t="s">
        <v>340</v>
      </c>
      <c r="C1108" s="39" t="s">
        <v>17</v>
      </c>
      <c r="D1108" s="236"/>
      <c r="E1108" s="236"/>
      <c r="F1108" s="236"/>
      <c r="G1108" s="236"/>
      <c r="H1108" s="40">
        <f>SUM(Tabla13211242[[#This Row],[PRIMER TRIMESTRE]:[CUARTO TRIMESTRE]])</f>
        <v>0</v>
      </c>
      <c r="I1108" s="17">
        <v>13684.27</v>
      </c>
      <c r="J1108" s="17">
        <f>+Tabla13211242[[#This Row],[CANTIDAD TOTAL]]*Tabla13211242[[#This Row],[PRECIO UNITARIO ESTIMADO]]</f>
        <v>0</v>
      </c>
      <c r="K1108" s="17"/>
      <c r="L1108" s="73" t="s">
        <v>15</v>
      </c>
      <c r="M1108" s="16" t="s">
        <v>22</v>
      </c>
      <c r="N1108" s="39" t="s">
        <v>418</v>
      </c>
      <c r="O1108" s="20"/>
    </row>
    <row r="1109" spans="1:15" s="12" customFormat="1" ht="30.75" customHeight="1">
      <c r="A1109" s="178" t="s">
        <v>118</v>
      </c>
      <c r="B1109" s="75" t="s">
        <v>1138</v>
      </c>
      <c r="C1109" s="39" t="s">
        <v>1067</v>
      </c>
      <c r="D1109" s="236"/>
      <c r="E1109" s="236"/>
      <c r="F1109" s="236"/>
      <c r="G1109" s="236"/>
      <c r="H1109" s="40">
        <f>SUM(Tabla13211242[[#This Row],[PRIMER TRIMESTRE]:[CUARTO TRIMESTRE]])</f>
        <v>0</v>
      </c>
      <c r="I1109" s="17">
        <v>3000</v>
      </c>
      <c r="J1109" s="17">
        <f>+H1109*I1109</f>
        <v>0</v>
      </c>
      <c r="K1109" s="17"/>
      <c r="L1109" s="73" t="s">
        <v>15</v>
      </c>
      <c r="M1109" s="16" t="s">
        <v>22</v>
      </c>
      <c r="N1109" s="39" t="s">
        <v>418</v>
      </c>
      <c r="O1109" s="20"/>
    </row>
    <row r="1110" spans="1:15" s="12" customFormat="1" ht="30.75" customHeight="1">
      <c r="A1110" s="178" t="s">
        <v>118</v>
      </c>
      <c r="B1110" s="75" t="s">
        <v>245</v>
      </c>
      <c r="C1110" s="39" t="s">
        <v>17</v>
      </c>
      <c r="D1110" s="236"/>
      <c r="E1110" s="236"/>
      <c r="F1110" s="236"/>
      <c r="G1110" s="236"/>
      <c r="H1110" s="40">
        <f>SUM(Tabla13211242[[#This Row],[PRIMER TRIMESTRE]:[CUARTO TRIMESTRE]])</f>
        <v>0</v>
      </c>
      <c r="I1110" s="17">
        <v>10788</v>
      </c>
      <c r="J1110" s="17">
        <f>+Tabla13211242[[#This Row],[CANTIDAD TOTAL]]*Tabla13211242[[#This Row],[PRECIO UNITARIO ESTIMADO]]</f>
        <v>0</v>
      </c>
      <c r="K1110" s="17"/>
      <c r="L1110" s="73" t="s">
        <v>15</v>
      </c>
      <c r="M1110" s="16" t="s">
        <v>22</v>
      </c>
      <c r="N1110" s="39" t="s">
        <v>418</v>
      </c>
      <c r="O1110" s="20"/>
    </row>
    <row r="1111" spans="1:15" s="12" customFormat="1" ht="30.75" customHeight="1">
      <c r="A1111" s="178" t="s">
        <v>118</v>
      </c>
      <c r="B1111" s="75" t="s">
        <v>246</v>
      </c>
      <c r="C1111" s="39" t="s">
        <v>17</v>
      </c>
      <c r="D1111" s="236"/>
      <c r="E1111" s="236"/>
      <c r="F1111" s="236"/>
      <c r="G1111" s="236"/>
      <c r="H1111" s="40">
        <f>SUM(Tabla13211242[[#This Row],[PRIMER TRIMESTRE]:[CUARTO TRIMESTRE]])</f>
        <v>0</v>
      </c>
      <c r="I1111" s="17">
        <v>2467.71</v>
      </c>
      <c r="J1111" s="17">
        <f>+Tabla13211242[[#This Row],[CANTIDAD TOTAL]]*Tabla13211242[[#This Row],[PRECIO UNITARIO ESTIMADO]]</f>
        <v>0</v>
      </c>
      <c r="K1111" s="17"/>
      <c r="L1111" s="73" t="s">
        <v>27</v>
      </c>
      <c r="M1111" s="16" t="s">
        <v>22</v>
      </c>
      <c r="N1111" s="39" t="s">
        <v>418</v>
      </c>
      <c r="O1111" s="20"/>
    </row>
    <row r="1112" spans="1:15" s="12" customFormat="1" ht="30.75" customHeight="1">
      <c r="A1112" s="178" t="s">
        <v>118</v>
      </c>
      <c r="B1112" s="75" t="s">
        <v>247</v>
      </c>
      <c r="C1112" s="39" t="s">
        <v>17</v>
      </c>
      <c r="D1112" s="236"/>
      <c r="E1112" s="236"/>
      <c r="F1112" s="236"/>
      <c r="G1112" s="236"/>
      <c r="H1112" s="40">
        <f>SUM(Tabla13211242[[#This Row],[PRIMER TRIMESTRE]:[CUARTO TRIMESTRE]])</f>
        <v>0</v>
      </c>
      <c r="I1112" s="17">
        <v>14434.48</v>
      </c>
      <c r="J1112" s="17">
        <f>+Tabla13211242[[#This Row],[CANTIDAD TOTAL]]*Tabla13211242[[#This Row],[PRECIO UNITARIO ESTIMADO]]</f>
        <v>0</v>
      </c>
      <c r="K1112" s="17"/>
      <c r="L1112" s="73" t="s">
        <v>15</v>
      </c>
      <c r="M1112" s="16" t="s">
        <v>22</v>
      </c>
      <c r="N1112" s="39" t="s">
        <v>418</v>
      </c>
      <c r="O1112" s="20"/>
    </row>
    <row r="1113" spans="1:15" s="12" customFormat="1" ht="30.75" customHeight="1">
      <c r="A1113" s="178" t="s">
        <v>118</v>
      </c>
      <c r="B1113" s="75" t="s">
        <v>1604</v>
      </c>
      <c r="C1113" s="39" t="s">
        <v>17</v>
      </c>
      <c r="D1113" s="236"/>
      <c r="E1113" s="236"/>
      <c r="F1113" s="236"/>
      <c r="G1113" s="236"/>
      <c r="H1113" s="40">
        <f>SUM(Tabla13211242[[#This Row],[PRIMER TRIMESTRE]:[CUARTO TRIMESTRE]])</f>
        <v>0</v>
      </c>
      <c r="I1113" s="17">
        <v>4800</v>
      </c>
      <c r="J1113" s="17">
        <f>+H1113*I1113</f>
        <v>0</v>
      </c>
      <c r="K1113" s="17"/>
      <c r="L1113" s="73" t="s">
        <v>27</v>
      </c>
      <c r="M1113" s="16" t="s">
        <v>22</v>
      </c>
      <c r="N1113" s="39" t="s">
        <v>418</v>
      </c>
      <c r="O1113" s="20"/>
    </row>
    <row r="1114" spans="1:15" s="12" customFormat="1" ht="30.75" customHeight="1">
      <c r="A1114" s="178" t="s">
        <v>118</v>
      </c>
      <c r="B1114" s="75" t="s">
        <v>339</v>
      </c>
      <c r="C1114" s="39" t="s">
        <v>17</v>
      </c>
      <c r="D1114" s="236"/>
      <c r="E1114" s="236"/>
      <c r="F1114" s="236"/>
      <c r="G1114" s="236"/>
      <c r="H1114" s="40">
        <f>SUM(Tabla13211242[[#This Row],[PRIMER TRIMESTRE]:[CUARTO TRIMESTRE]])</f>
        <v>0</v>
      </c>
      <c r="I1114" s="17">
        <f>115079.5/24</f>
        <v>4794.979166666667</v>
      </c>
      <c r="J1114" s="17">
        <f>+Tabla13211242[[#This Row],[CANTIDAD TOTAL]]*Tabla13211242[[#This Row],[PRECIO UNITARIO ESTIMADO]]</f>
        <v>0</v>
      </c>
      <c r="K1114" s="17"/>
      <c r="L1114" s="73" t="s">
        <v>15</v>
      </c>
      <c r="M1114" s="16" t="s">
        <v>22</v>
      </c>
      <c r="N1114" s="39" t="s">
        <v>418</v>
      </c>
      <c r="O1114" s="20"/>
    </row>
    <row r="1115" spans="1:15" s="12" customFormat="1" ht="30.75" customHeight="1">
      <c r="A1115" s="178" t="s">
        <v>118</v>
      </c>
      <c r="B1115" s="75" t="s">
        <v>248</v>
      </c>
      <c r="C1115" s="39" t="s">
        <v>17</v>
      </c>
      <c r="D1115" s="236"/>
      <c r="E1115" s="236"/>
      <c r="F1115" s="236"/>
      <c r="G1115" s="236"/>
      <c r="H1115" s="40">
        <f>SUM(Tabla13211242[[#This Row],[PRIMER TRIMESTRE]:[CUARTO TRIMESTRE]])</f>
        <v>0</v>
      </c>
      <c r="I1115" s="17">
        <v>2262</v>
      </c>
      <c r="J1115" s="17">
        <f>+Tabla13211242[[#This Row],[CANTIDAD TOTAL]]*Tabla13211242[[#This Row],[PRECIO UNITARIO ESTIMADO]]</f>
        <v>0</v>
      </c>
      <c r="K1115" s="17"/>
      <c r="L1115" s="73" t="s">
        <v>15</v>
      </c>
      <c r="M1115" s="16" t="s">
        <v>22</v>
      </c>
      <c r="N1115" s="39" t="s">
        <v>418</v>
      </c>
      <c r="O1115" s="20"/>
    </row>
    <row r="1116" spans="1:15" s="12" customFormat="1" ht="30.75" customHeight="1">
      <c r="A1116" s="178" t="s">
        <v>118</v>
      </c>
      <c r="B1116" s="75" t="s">
        <v>249</v>
      </c>
      <c r="C1116" s="39" t="s">
        <v>17</v>
      </c>
      <c r="D1116" s="236">
        <v>10</v>
      </c>
      <c r="E1116" s="236"/>
      <c r="F1116" s="236"/>
      <c r="G1116" s="236"/>
      <c r="H1116" s="40">
        <v>6</v>
      </c>
      <c r="I1116" s="17">
        <v>3250</v>
      </c>
      <c r="J1116" s="17">
        <f>+Tabla13211242[[#This Row],[CANTIDAD TOTAL]]*Tabla13211242[[#This Row],[PRECIO UNITARIO ESTIMADO]]</f>
        <v>19500</v>
      </c>
      <c r="K1116" s="17"/>
      <c r="L1116" s="73" t="s">
        <v>27</v>
      </c>
      <c r="M1116" s="16" t="s">
        <v>22</v>
      </c>
      <c r="N1116" s="39" t="s">
        <v>418</v>
      </c>
      <c r="O1116" s="20"/>
    </row>
    <row r="1117" spans="1:15" s="26" customFormat="1" ht="30.75" customHeight="1">
      <c r="A1117" s="178" t="s">
        <v>118</v>
      </c>
      <c r="B1117" s="75" t="s">
        <v>250</v>
      </c>
      <c r="C1117" s="39" t="s">
        <v>17</v>
      </c>
      <c r="D1117" s="236">
        <v>2</v>
      </c>
      <c r="E1117" s="236"/>
      <c r="F1117" s="236"/>
      <c r="G1117" s="236"/>
      <c r="H1117" s="40">
        <f>SUM(Tabla13211242[[#This Row],[PRIMER TRIMESTRE]:[CUARTO TRIMESTRE]])</f>
        <v>2</v>
      </c>
      <c r="I1117" s="17">
        <v>3959.88</v>
      </c>
      <c r="J1117" s="17">
        <f>+Tabla13211242[[#This Row],[CANTIDAD TOTAL]]*Tabla13211242[[#This Row],[PRECIO UNITARIO ESTIMADO]]</f>
        <v>7919.76</v>
      </c>
      <c r="K1117" s="17"/>
      <c r="L1117" s="73" t="s">
        <v>27</v>
      </c>
      <c r="M1117" s="16" t="s">
        <v>22</v>
      </c>
      <c r="N1117" s="39" t="s">
        <v>418</v>
      </c>
      <c r="O1117" s="23"/>
    </row>
    <row r="1118" spans="1:15" s="26" customFormat="1" ht="30.75" customHeight="1">
      <c r="A1118" s="178" t="s">
        <v>118</v>
      </c>
      <c r="B1118" s="75" t="s">
        <v>1893</v>
      </c>
      <c r="C1118" s="39" t="s">
        <v>17</v>
      </c>
      <c r="D1118" s="236">
        <v>1</v>
      </c>
      <c r="E1118" s="236"/>
      <c r="F1118" s="236"/>
      <c r="G1118" s="236"/>
      <c r="H1118" s="40">
        <f>SUM(Tabla13211242[[#This Row],[PRIMER TRIMESTRE]:[CUARTO TRIMESTRE]])</f>
        <v>1</v>
      </c>
      <c r="I1118" s="109"/>
      <c r="J1118" s="17">
        <f>+Tabla13211242[[#This Row],[CANTIDAD TOTAL]]*Tabla13211242[[#This Row],[PRECIO UNITARIO ESTIMADO]]</f>
        <v>0</v>
      </c>
      <c r="K1118" s="17"/>
      <c r="L1118" s="73"/>
      <c r="M1118" s="16"/>
      <c r="N1118" s="39"/>
      <c r="O1118" s="23"/>
    </row>
    <row r="1119" spans="1:15" s="12" customFormat="1" ht="30.75" customHeight="1">
      <c r="A1119" s="178" t="s">
        <v>118</v>
      </c>
      <c r="B1119" s="75" t="s">
        <v>323</v>
      </c>
      <c r="C1119" s="39" t="s">
        <v>17</v>
      </c>
      <c r="D1119" s="236"/>
      <c r="E1119" s="236"/>
      <c r="F1119" s="236"/>
      <c r="G1119" s="236"/>
      <c r="H1119" s="40">
        <f>SUM(Tabla13211242[[#This Row],[PRIMER TRIMESTRE]:[CUARTO TRIMESTRE]])</f>
        <v>0</v>
      </c>
      <c r="I1119" s="17">
        <f>16086.57/3</f>
        <v>5362.19</v>
      </c>
      <c r="J1119" s="17">
        <f>+Tabla13211242[[#This Row],[CANTIDAD TOTAL]]*Tabla13211242[[#This Row],[PRECIO UNITARIO ESTIMADO]]</f>
        <v>0</v>
      </c>
      <c r="K1119" s="17"/>
      <c r="L1119" s="73" t="s">
        <v>15</v>
      </c>
      <c r="M1119" s="16" t="s">
        <v>22</v>
      </c>
      <c r="N1119" s="39" t="s">
        <v>418</v>
      </c>
      <c r="O1119" s="20"/>
    </row>
    <row r="1120" spans="1:15" s="12" customFormat="1" ht="30.75" customHeight="1">
      <c r="A1120" s="179" t="s">
        <v>118</v>
      </c>
      <c r="B1120" s="380"/>
      <c r="C1120" s="380"/>
      <c r="D1120" s="380"/>
      <c r="E1120" s="380"/>
      <c r="F1120" s="237"/>
      <c r="G1120" s="237"/>
      <c r="H1120" s="43"/>
      <c r="I1120" s="24"/>
      <c r="J1120" s="24"/>
      <c r="K1120" s="25">
        <f>SUM(J1102:J1119)</f>
        <v>80233.36</v>
      </c>
      <c r="L1120" s="23"/>
      <c r="M1120" s="23"/>
      <c r="N1120" s="42"/>
      <c r="O1120" s="20"/>
    </row>
    <row r="1121" spans="1:15" s="12" customFormat="1" ht="30.75" customHeight="1">
      <c r="A1121" s="178" t="s">
        <v>119</v>
      </c>
      <c r="B1121" s="75" t="s">
        <v>341</v>
      </c>
      <c r="C1121" s="39" t="s">
        <v>17</v>
      </c>
      <c r="D1121" s="236"/>
      <c r="E1121" s="236"/>
      <c r="F1121" s="236"/>
      <c r="G1121" s="236"/>
      <c r="H1121" s="40">
        <f>SUM(Tabla13211242[[#This Row],[PRIMER TRIMESTRE]:[CUARTO TRIMESTRE]])</f>
        <v>0</v>
      </c>
      <c r="I1121" s="17">
        <f>2160.9+22288+501.5+6355.8+18041.9+5084.64+8389.8+3050.76+2466.06+1983.5+6203.28</f>
        <v>76526.14</v>
      </c>
      <c r="J1121" s="17">
        <f>+Tabla13211242[[#This Row],[CANTIDAD TOTAL]]*Tabla13211242[[#This Row],[PRECIO UNITARIO ESTIMADO]]</f>
        <v>0</v>
      </c>
      <c r="K1121" s="17"/>
      <c r="L1121" s="16" t="s">
        <v>15</v>
      </c>
      <c r="M1121" s="16" t="s">
        <v>22</v>
      </c>
      <c r="N1121" s="39" t="s">
        <v>418</v>
      </c>
      <c r="O1121" s="20"/>
    </row>
    <row r="1122" spans="1:15" s="12" customFormat="1" ht="30.75" customHeight="1">
      <c r="A1122" s="178" t="s">
        <v>119</v>
      </c>
      <c r="B1122" s="75" t="s">
        <v>252</v>
      </c>
      <c r="C1122" s="39" t="s">
        <v>17</v>
      </c>
      <c r="D1122" s="236"/>
      <c r="E1122" s="236"/>
      <c r="F1122" s="236"/>
      <c r="G1122" s="236"/>
      <c r="H1122" s="40">
        <f>SUM(Tabla13211242[[#This Row],[PRIMER TRIMESTRE]:[CUARTO TRIMESTRE]])</f>
        <v>0</v>
      </c>
      <c r="I1122" s="17">
        <v>26.45</v>
      </c>
      <c r="J1122" s="17">
        <f>+Tabla13211242[[#This Row],[CANTIDAD TOTAL]]*Tabla13211242[[#This Row],[PRECIO UNITARIO ESTIMADO]]</f>
        <v>0</v>
      </c>
      <c r="K1122" s="17"/>
      <c r="L1122" s="16" t="s">
        <v>15</v>
      </c>
      <c r="M1122" s="16" t="s">
        <v>22</v>
      </c>
      <c r="N1122" s="39" t="s">
        <v>418</v>
      </c>
      <c r="O1122" s="20"/>
    </row>
    <row r="1123" spans="1:15" s="12" customFormat="1" ht="30.75" customHeight="1">
      <c r="A1123" s="178" t="s">
        <v>119</v>
      </c>
      <c r="B1123" s="75" t="s">
        <v>1606</v>
      </c>
      <c r="C1123" s="39" t="s">
        <v>17</v>
      </c>
      <c r="D1123" s="236">
        <v>3</v>
      </c>
      <c r="E1123" s="236"/>
      <c r="F1123" s="236"/>
      <c r="G1123" s="236"/>
      <c r="H1123" s="40">
        <f>SUM(Tabla13211242[[#This Row],[PRIMER TRIMESTRE]:[CUARTO TRIMESTRE]])</f>
        <v>3</v>
      </c>
      <c r="I1123" s="17">
        <v>8000</v>
      </c>
      <c r="J1123" s="17">
        <f>+H1123*I1123</f>
        <v>24000</v>
      </c>
      <c r="K1123" s="17"/>
      <c r="L1123" s="16" t="s">
        <v>15</v>
      </c>
      <c r="M1123" s="16" t="s">
        <v>22</v>
      </c>
      <c r="N1123" s="39" t="s">
        <v>418</v>
      </c>
      <c r="O1123" s="20"/>
    </row>
    <row r="1124" spans="1:15" s="12" customFormat="1" ht="30.75" customHeight="1">
      <c r="A1124" s="178" t="s">
        <v>119</v>
      </c>
      <c r="B1124" s="75" t="s">
        <v>1605</v>
      </c>
      <c r="C1124" s="39" t="s">
        <v>17</v>
      </c>
      <c r="D1124" s="236"/>
      <c r="E1124" s="236"/>
      <c r="F1124" s="236"/>
      <c r="G1124" s="236"/>
      <c r="H1124" s="40">
        <f>SUM(Tabla13211242[[#This Row],[PRIMER TRIMESTRE]:[CUARTO TRIMESTRE]])</f>
        <v>0</v>
      </c>
      <c r="I1124" s="17">
        <v>12500</v>
      </c>
      <c r="J1124" s="17">
        <f>+H1124*I1124</f>
        <v>0</v>
      </c>
      <c r="K1124" s="17"/>
      <c r="L1124" s="16" t="s">
        <v>15</v>
      </c>
      <c r="M1124" s="16" t="s">
        <v>22</v>
      </c>
      <c r="N1124" s="39" t="s">
        <v>418</v>
      </c>
      <c r="O1124" s="20"/>
    </row>
    <row r="1125" spans="1:15" s="12" customFormat="1" ht="30.75" customHeight="1">
      <c r="A1125" s="178" t="s">
        <v>119</v>
      </c>
      <c r="B1125" s="75" t="s">
        <v>256</v>
      </c>
      <c r="C1125" s="39" t="s">
        <v>17</v>
      </c>
      <c r="D1125" s="236"/>
      <c r="E1125" s="236"/>
      <c r="F1125" s="236"/>
      <c r="G1125" s="236"/>
      <c r="H1125" s="40">
        <f>SUM(Tabla13211242[[#This Row],[PRIMER TRIMESTRE]:[CUARTO TRIMESTRE]])</f>
        <v>0</v>
      </c>
      <c r="I1125" s="17">
        <v>434.24</v>
      </c>
      <c r="J1125" s="17">
        <f>+Tabla13211242[[#This Row],[CANTIDAD TOTAL]]*Tabla13211242[[#This Row],[PRECIO UNITARIO ESTIMADO]]</f>
        <v>0</v>
      </c>
      <c r="K1125" s="17"/>
      <c r="L1125" s="16" t="s">
        <v>15</v>
      </c>
      <c r="M1125" s="16" t="s">
        <v>22</v>
      </c>
      <c r="N1125" s="39" t="s">
        <v>418</v>
      </c>
      <c r="O1125" s="20"/>
    </row>
    <row r="1126" spans="1:15" s="26" customFormat="1" ht="30.75" customHeight="1">
      <c r="A1126" s="178" t="s">
        <v>119</v>
      </c>
      <c r="B1126" s="75" t="s">
        <v>324</v>
      </c>
      <c r="C1126" s="39" t="s">
        <v>17</v>
      </c>
      <c r="D1126" s="236"/>
      <c r="E1126" s="236"/>
      <c r="F1126" s="236"/>
      <c r="G1126" s="236"/>
      <c r="H1126" s="40">
        <f>SUM(Tabla13211242[[#This Row],[PRIMER TRIMESTRE]:[CUARTO TRIMESTRE]])</f>
        <v>0</v>
      </c>
      <c r="I1126" s="17">
        <f>3536.75/2</f>
        <v>1768.375</v>
      </c>
      <c r="J1126" s="17">
        <f>+Tabla13211242[[#This Row],[CANTIDAD TOTAL]]*Tabla13211242[[#This Row],[PRECIO UNITARIO ESTIMADO]]</f>
        <v>0</v>
      </c>
      <c r="K1126" s="17"/>
      <c r="L1126" s="16" t="s">
        <v>15</v>
      </c>
      <c r="M1126" s="16" t="s">
        <v>22</v>
      </c>
      <c r="N1126" s="39" t="s">
        <v>418</v>
      </c>
      <c r="O1126" s="23"/>
    </row>
    <row r="1127" spans="1:15" s="12" customFormat="1" ht="30.75" customHeight="1">
      <c r="A1127" s="178" t="s">
        <v>119</v>
      </c>
      <c r="B1127" s="75" t="s">
        <v>257</v>
      </c>
      <c r="C1127" s="39" t="s">
        <v>17</v>
      </c>
      <c r="D1127" s="236">
        <v>1</v>
      </c>
      <c r="E1127" s="236"/>
      <c r="F1127" s="236"/>
      <c r="G1127" s="236"/>
      <c r="H1127" s="40">
        <f>SUM(Tabla13211242[[#This Row],[PRIMER TRIMESTRE]:[CUARTO TRIMESTRE]])</f>
        <v>1</v>
      </c>
      <c r="I1127" s="17">
        <v>522</v>
      </c>
      <c r="J1127" s="17">
        <f>+Tabla13211242[[#This Row],[CANTIDAD TOTAL]]*Tabla13211242[[#This Row],[PRECIO UNITARIO ESTIMADO]]</f>
        <v>522</v>
      </c>
      <c r="K1127" s="17"/>
      <c r="L1127" s="16" t="s">
        <v>15</v>
      </c>
      <c r="M1127" s="16" t="s">
        <v>22</v>
      </c>
      <c r="N1127" s="39" t="s">
        <v>418</v>
      </c>
      <c r="O1127" s="20"/>
    </row>
    <row r="1128" spans="1:15" s="12" customFormat="1" ht="30.75" customHeight="1">
      <c r="A1128" s="179" t="s">
        <v>119</v>
      </c>
      <c r="B1128" s="76"/>
      <c r="C1128" s="42"/>
      <c r="D1128" s="237"/>
      <c r="E1128" s="237"/>
      <c r="F1128" s="237"/>
      <c r="G1128" s="237"/>
      <c r="H1128" s="43"/>
      <c r="I1128" s="24"/>
      <c r="J1128" s="24"/>
      <c r="K1128" s="25">
        <f>SUM(J1121:J1127)</f>
        <v>24522</v>
      </c>
      <c r="L1128" s="23"/>
      <c r="M1128" s="23"/>
      <c r="N1128" s="42"/>
      <c r="O1128" s="20"/>
    </row>
    <row r="1129" spans="1:15" s="12" customFormat="1" ht="18">
      <c r="A1129" s="178" t="s">
        <v>120</v>
      </c>
      <c r="B1129" s="75" t="s">
        <v>392</v>
      </c>
      <c r="C1129" s="39" t="s">
        <v>208</v>
      </c>
      <c r="D1129" s="236">
        <v>6</v>
      </c>
      <c r="E1129" s="236">
        <v>4</v>
      </c>
      <c r="F1129" s="236">
        <v>4</v>
      </c>
      <c r="G1129" s="236">
        <v>4</v>
      </c>
      <c r="H1129" s="40">
        <f>SUM(Tabla13211242[[#This Row],[PRIMER TRIMESTRE]:[CUARTO TRIMESTRE]])</f>
        <v>18</v>
      </c>
      <c r="I1129" s="17">
        <v>48.12</v>
      </c>
      <c r="J1129" s="17">
        <f>+H1129*I1129</f>
        <v>866.16</v>
      </c>
      <c r="K1129" s="17"/>
      <c r="L1129" s="16" t="s">
        <v>18</v>
      </c>
      <c r="M1129" s="16" t="s">
        <v>22</v>
      </c>
      <c r="N1129" s="39" t="s">
        <v>418</v>
      </c>
      <c r="O1129" s="20"/>
    </row>
    <row r="1130" spans="1:15" s="12" customFormat="1" ht="18">
      <c r="A1130" s="178" t="s">
        <v>120</v>
      </c>
      <c r="B1130" s="75" t="s">
        <v>393</v>
      </c>
      <c r="C1130" s="39" t="s">
        <v>208</v>
      </c>
      <c r="D1130" s="236"/>
      <c r="E1130" s="236"/>
      <c r="F1130" s="236"/>
      <c r="G1130" s="236"/>
      <c r="H1130" s="40">
        <f>SUM(Tabla13211242[[#This Row],[PRIMER TRIMESTRE]:[CUARTO TRIMESTRE]])</f>
        <v>0</v>
      </c>
      <c r="I1130" s="17">
        <v>41.28</v>
      </c>
      <c r="J1130" s="17">
        <f>+H1130*I1130</f>
        <v>0</v>
      </c>
      <c r="K1130" s="17"/>
      <c r="L1130" s="16" t="s">
        <v>18</v>
      </c>
      <c r="M1130" s="16" t="s">
        <v>22</v>
      </c>
      <c r="N1130" s="39" t="s">
        <v>418</v>
      </c>
      <c r="O1130" s="20"/>
    </row>
    <row r="1131" spans="1:15" s="12" customFormat="1" ht="18">
      <c r="A1131" s="178" t="s">
        <v>120</v>
      </c>
      <c r="B1131" s="75" t="s">
        <v>743</v>
      </c>
      <c r="C1131" s="39" t="s">
        <v>208</v>
      </c>
      <c r="D1131" s="236"/>
      <c r="E1131" s="236"/>
      <c r="F1131" s="236"/>
      <c r="G1131" s="236"/>
      <c r="H1131" s="40">
        <f>SUM(Tabla13211242[[#This Row],[PRIMER TRIMESTRE]:[CUARTO TRIMESTRE]])</f>
        <v>0</v>
      </c>
      <c r="I1131" s="17">
        <f>4.42*12</f>
        <v>53.04</v>
      </c>
      <c r="J1131" s="17">
        <f>+H1131*I1131</f>
        <v>0</v>
      </c>
      <c r="K1131" s="17"/>
      <c r="L1131" s="16" t="s">
        <v>18</v>
      </c>
      <c r="M1131" s="16" t="s">
        <v>22</v>
      </c>
      <c r="N1131" s="39" t="s">
        <v>418</v>
      </c>
      <c r="O1131" s="20"/>
    </row>
    <row r="1132" spans="1:15" s="12" customFormat="1" ht="18">
      <c r="A1132" s="178" t="s">
        <v>120</v>
      </c>
      <c r="B1132" s="75" t="s">
        <v>398</v>
      </c>
      <c r="C1132" s="39" t="s">
        <v>208</v>
      </c>
      <c r="D1132" s="236">
        <v>7</v>
      </c>
      <c r="E1132" s="236">
        <v>7</v>
      </c>
      <c r="F1132" s="236">
        <v>7</v>
      </c>
      <c r="G1132" s="236">
        <v>7</v>
      </c>
      <c r="H1132" s="40">
        <f>SUM(Tabla13211242[[#This Row],[PRIMER TRIMESTRE]:[CUARTO TRIMESTRE]])</f>
        <v>28</v>
      </c>
      <c r="I1132" s="17">
        <v>22.42</v>
      </c>
      <c r="J1132" s="17">
        <f>+H1132*I1132</f>
        <v>627.76</v>
      </c>
      <c r="K1132" s="17"/>
      <c r="L1132" s="16" t="s">
        <v>18</v>
      </c>
      <c r="M1132" s="16" t="s">
        <v>22</v>
      </c>
      <c r="N1132" s="39" t="s">
        <v>418</v>
      </c>
      <c r="O1132" s="20"/>
    </row>
    <row r="1133" spans="1:15" s="12" customFormat="1" ht="18">
      <c r="A1133" s="178" t="s">
        <v>120</v>
      </c>
      <c r="B1133" s="75" t="s">
        <v>253</v>
      </c>
      <c r="C1133" s="39" t="s">
        <v>208</v>
      </c>
      <c r="D1133" s="236"/>
      <c r="E1133" s="236"/>
      <c r="F1133" s="236"/>
      <c r="G1133" s="236"/>
      <c r="H1133" s="40">
        <f>SUM(Tabla13211242[[#This Row],[PRIMER TRIMESTRE]:[CUARTO TRIMESTRE]])</f>
        <v>0</v>
      </c>
      <c r="I1133" s="17">
        <v>52.28</v>
      </c>
      <c r="J1133" s="17">
        <f>+Tabla13211242[[#This Row],[CANTIDAD TOTAL]]*Tabla13211242[[#This Row],[PRECIO UNITARIO ESTIMADO]]</f>
        <v>0</v>
      </c>
      <c r="K1133" s="17"/>
      <c r="L1133" s="16" t="s">
        <v>18</v>
      </c>
      <c r="M1133" s="16" t="s">
        <v>22</v>
      </c>
      <c r="N1133" s="39" t="s">
        <v>418</v>
      </c>
      <c r="O1133" s="20"/>
    </row>
    <row r="1134" spans="1:15" s="169" customFormat="1" ht="18">
      <c r="A1134" s="178" t="s">
        <v>120</v>
      </c>
      <c r="B1134" s="75" t="s">
        <v>402</v>
      </c>
      <c r="C1134" s="39" t="s">
        <v>17</v>
      </c>
      <c r="D1134" s="236">
        <v>2</v>
      </c>
      <c r="E1134" s="236"/>
      <c r="F1134" s="236"/>
      <c r="G1134" s="236"/>
      <c r="H1134" s="40">
        <f>SUM(Tabla13211242[[#This Row],[PRIMER TRIMESTRE]:[CUARTO TRIMESTRE]])</f>
        <v>2</v>
      </c>
      <c r="I1134" s="17">
        <v>182.9</v>
      </c>
      <c r="J1134" s="17">
        <f>+H1134*I1134</f>
        <v>365.8</v>
      </c>
      <c r="K1134" s="17"/>
      <c r="L1134" s="16" t="s">
        <v>18</v>
      </c>
      <c r="M1134" s="16" t="s">
        <v>22</v>
      </c>
      <c r="N1134" s="39" t="s">
        <v>418</v>
      </c>
      <c r="O1134" s="20"/>
    </row>
    <row r="1135" spans="1:15" s="12" customFormat="1" ht="18">
      <c r="A1135" s="178" t="s">
        <v>120</v>
      </c>
      <c r="B1135" s="75" t="s">
        <v>260</v>
      </c>
      <c r="C1135" s="39" t="s">
        <v>17</v>
      </c>
      <c r="D1135" s="236"/>
      <c r="E1135" s="236"/>
      <c r="F1135" s="236"/>
      <c r="G1135" s="236"/>
      <c r="H1135" s="40">
        <f>SUM(Tabla13211242[[#This Row],[PRIMER TRIMESTRE]:[CUARTO TRIMESTRE]])</f>
        <v>0</v>
      </c>
      <c r="I1135" s="17">
        <v>29.28</v>
      </c>
      <c r="J1135" s="17">
        <f>+Tabla13211242[[#This Row],[CANTIDAD TOTAL]]*Tabla13211242[[#This Row],[PRECIO UNITARIO ESTIMADO]]</f>
        <v>0</v>
      </c>
      <c r="K1135" s="17"/>
      <c r="L1135" s="16" t="s">
        <v>18</v>
      </c>
      <c r="M1135" s="16" t="s">
        <v>22</v>
      </c>
      <c r="N1135" s="39" t="s">
        <v>418</v>
      </c>
      <c r="O1135" s="20"/>
    </row>
    <row r="1136" spans="1:15" s="169" customFormat="1" ht="18">
      <c r="A1136" s="180" t="s">
        <v>120</v>
      </c>
      <c r="B1136" s="75" t="s">
        <v>239</v>
      </c>
      <c r="C1136" s="70" t="s">
        <v>208</v>
      </c>
      <c r="D1136" s="415"/>
      <c r="E1136" s="210"/>
      <c r="F1136" s="210"/>
      <c r="G1136" s="210"/>
      <c r="H1136" s="406">
        <f>SUM(Tabla13211242[[#This Row],[PRIMER TRIMESTRE]:[CUARTO TRIMESTRE]])</f>
        <v>0</v>
      </c>
      <c r="I1136" s="72">
        <v>232</v>
      </c>
      <c r="J1136" s="72">
        <f>+Tabla13211242[[#This Row],[CANTIDAD TOTAL]]*Tabla13211242[[#This Row],[PRECIO UNITARIO ESTIMADO]]</f>
        <v>0</v>
      </c>
      <c r="K1136" s="72"/>
      <c r="L1136" s="16" t="s">
        <v>18</v>
      </c>
      <c r="M1136" s="73" t="s">
        <v>22</v>
      </c>
      <c r="N1136" s="70" t="s">
        <v>418</v>
      </c>
      <c r="O1136" s="20"/>
    </row>
    <row r="1137" spans="1:15" s="12" customFormat="1" ht="18">
      <c r="A1137" s="178" t="s">
        <v>120</v>
      </c>
      <c r="B1137" s="75" t="s">
        <v>414</v>
      </c>
      <c r="C1137" s="39" t="s">
        <v>417</v>
      </c>
      <c r="D1137" s="236"/>
      <c r="E1137" s="236"/>
      <c r="F1137" s="236"/>
      <c r="G1137" s="236"/>
      <c r="H1137" s="41">
        <f>SUM(Tabla13211242[[#This Row],[PRIMER TRIMESTRE]:[CUARTO TRIMESTRE]])</f>
        <v>0</v>
      </c>
      <c r="I1137" s="17">
        <v>13.57</v>
      </c>
      <c r="J1137" s="17">
        <f>+H1137*I1137</f>
        <v>0</v>
      </c>
      <c r="K1137" s="17"/>
      <c r="L1137" s="16" t="s">
        <v>18</v>
      </c>
      <c r="M1137" s="16" t="s">
        <v>22</v>
      </c>
      <c r="N1137" s="39" t="s">
        <v>418</v>
      </c>
      <c r="O1137" s="20"/>
    </row>
    <row r="1138" spans="1:15" s="12" customFormat="1" ht="18">
      <c r="A1138" s="180" t="s">
        <v>120</v>
      </c>
      <c r="B1138" s="75" t="s">
        <v>240</v>
      </c>
      <c r="C1138" s="70" t="s">
        <v>208</v>
      </c>
      <c r="D1138" s="415"/>
      <c r="E1138" s="210"/>
      <c r="F1138" s="210"/>
      <c r="G1138" s="210"/>
      <c r="H1138" s="406">
        <f>SUM(Tabla13211242[[#This Row],[PRIMER TRIMESTRE]:[CUARTO TRIMESTRE]])</f>
        <v>0</v>
      </c>
      <c r="I1138" s="72">
        <v>5341.57</v>
      </c>
      <c r="J1138" s="72">
        <f>+Tabla13211242[[#This Row],[CANTIDAD TOTAL]]*Tabla13211242[[#This Row],[PRECIO UNITARIO ESTIMADO]]</f>
        <v>0</v>
      </c>
      <c r="K1138" s="72"/>
      <c r="L1138" s="16" t="s">
        <v>18</v>
      </c>
      <c r="M1138" s="73" t="s">
        <v>22</v>
      </c>
      <c r="N1138" s="70" t="s">
        <v>418</v>
      </c>
      <c r="O1138" s="20"/>
    </row>
    <row r="1139" spans="1:15" s="12" customFormat="1" ht="18">
      <c r="A1139" s="178" t="s">
        <v>120</v>
      </c>
      <c r="B1139" s="75" t="s">
        <v>748</v>
      </c>
      <c r="C1139" s="39" t="s">
        <v>17</v>
      </c>
      <c r="D1139" s="236">
        <v>4</v>
      </c>
      <c r="E1139" s="236"/>
      <c r="F1139" s="236"/>
      <c r="G1139" s="236"/>
      <c r="H1139" s="41">
        <f>SUM(Tabla13211242[[#This Row],[PRIMER TRIMESTRE]:[CUARTO TRIMESTRE]])</f>
        <v>4</v>
      </c>
      <c r="I1139" s="17">
        <v>463.74</v>
      </c>
      <c r="J1139" s="17">
        <f>+H1139*I1139</f>
        <v>1854.96</v>
      </c>
      <c r="K1139" s="17"/>
      <c r="L1139" s="16" t="s">
        <v>18</v>
      </c>
      <c r="M1139" s="16" t="s">
        <v>22</v>
      </c>
      <c r="N1139" s="39" t="s">
        <v>418</v>
      </c>
      <c r="O1139" s="20"/>
    </row>
    <row r="1140" spans="1:15" s="12" customFormat="1" ht="18">
      <c r="A1140" s="178" t="s">
        <v>120</v>
      </c>
      <c r="B1140" s="75" t="s">
        <v>263</v>
      </c>
      <c r="C1140" s="39" t="s">
        <v>17</v>
      </c>
      <c r="D1140" s="236">
        <v>3</v>
      </c>
      <c r="E1140" s="236"/>
      <c r="F1140" s="236"/>
      <c r="G1140" s="236"/>
      <c r="H1140" s="41">
        <f>SUM(Tabla13211242[[#This Row],[PRIMER TRIMESTRE]:[CUARTO TRIMESTRE]])</f>
        <v>3</v>
      </c>
      <c r="I1140" s="17">
        <v>217.02</v>
      </c>
      <c r="J1140" s="17">
        <f>+Tabla13211242[[#This Row],[CANTIDAD TOTAL]]*Tabla13211242[[#This Row],[PRECIO UNITARIO ESTIMADO]]</f>
        <v>651.06000000000006</v>
      </c>
      <c r="K1140" s="17"/>
      <c r="L1140" s="16" t="s">
        <v>18</v>
      </c>
      <c r="M1140" s="16" t="s">
        <v>22</v>
      </c>
      <c r="N1140" s="39" t="s">
        <v>418</v>
      </c>
      <c r="O1140" s="20"/>
    </row>
    <row r="1141" spans="1:15" s="12" customFormat="1" ht="18">
      <c r="A1141" s="178" t="s">
        <v>120</v>
      </c>
      <c r="B1141" s="75" t="s">
        <v>749</v>
      </c>
      <c r="C1141" s="39" t="s">
        <v>17</v>
      </c>
      <c r="D1141" s="236">
        <v>4</v>
      </c>
      <c r="E1141" s="236"/>
      <c r="F1141" s="236"/>
      <c r="G1141" s="236"/>
      <c r="H1141" s="41">
        <f>SUM(Tabla13211242[[#This Row],[PRIMER TRIMESTRE]:[CUARTO TRIMESTRE]])</f>
        <v>4</v>
      </c>
      <c r="I1141" s="17">
        <v>186.44</v>
      </c>
      <c r="J1141" s="17">
        <f>+H1141*I1141</f>
        <v>745.76</v>
      </c>
      <c r="K1141" s="17"/>
      <c r="L1141" s="16" t="s">
        <v>18</v>
      </c>
      <c r="M1141" s="16" t="s">
        <v>22</v>
      </c>
      <c r="N1141" s="39" t="s">
        <v>418</v>
      </c>
      <c r="O1141" s="20"/>
    </row>
    <row r="1142" spans="1:15" s="12" customFormat="1" ht="18">
      <c r="A1142" s="178" t="s">
        <v>120</v>
      </c>
      <c r="B1142" s="75" t="s">
        <v>750</v>
      </c>
      <c r="C1142" s="39" t="s">
        <v>17</v>
      </c>
      <c r="D1142" s="236">
        <v>4</v>
      </c>
      <c r="E1142" s="236"/>
      <c r="F1142" s="236"/>
      <c r="G1142" s="236"/>
      <c r="H1142" s="41">
        <f>SUM(Tabla13211242[[#This Row],[PRIMER TRIMESTRE]:[CUARTO TRIMESTRE]])</f>
        <v>4</v>
      </c>
      <c r="I1142" s="17">
        <v>129.80000000000001</v>
      </c>
      <c r="J1142" s="17">
        <f>+H1142*I1142</f>
        <v>519.20000000000005</v>
      </c>
      <c r="K1142" s="17"/>
      <c r="L1142" s="16" t="s">
        <v>18</v>
      </c>
      <c r="M1142" s="16" t="s">
        <v>22</v>
      </c>
      <c r="N1142" s="39" t="s">
        <v>418</v>
      </c>
      <c r="O1142" s="20"/>
    </row>
    <row r="1143" spans="1:15" s="12" customFormat="1" ht="18">
      <c r="A1143" s="178" t="s">
        <v>120</v>
      </c>
      <c r="B1143" s="75" t="s">
        <v>403</v>
      </c>
      <c r="C1143" s="39" t="s">
        <v>416</v>
      </c>
      <c r="D1143" s="236">
        <v>4</v>
      </c>
      <c r="E1143" s="236">
        <v>4</v>
      </c>
      <c r="F1143" s="236"/>
      <c r="G1143" s="236"/>
      <c r="H1143" s="41">
        <f>SUM(Tabla13211242[[#This Row],[PRIMER TRIMESTRE]:[CUARTO TRIMESTRE]])</f>
        <v>8</v>
      </c>
      <c r="I1143" s="17">
        <v>75</v>
      </c>
      <c r="J1143" s="17">
        <f>+H1143*I1143</f>
        <v>600</v>
      </c>
      <c r="K1143" s="17"/>
      <c r="L1143" s="16" t="s">
        <v>18</v>
      </c>
      <c r="M1143" s="16" t="s">
        <v>22</v>
      </c>
      <c r="N1143" s="39" t="s">
        <v>418</v>
      </c>
      <c r="O1143" s="20"/>
    </row>
    <row r="1144" spans="1:15" s="12" customFormat="1" ht="18">
      <c r="A1144" s="178" t="s">
        <v>120</v>
      </c>
      <c r="B1144" s="75" t="s">
        <v>744</v>
      </c>
      <c r="C1144" s="39" t="s">
        <v>17</v>
      </c>
      <c r="D1144" s="236"/>
      <c r="E1144" s="236"/>
      <c r="F1144" s="236"/>
      <c r="G1144" s="236"/>
      <c r="H1144" s="41">
        <f>SUM(Tabla13211242[[#This Row],[PRIMER TRIMESTRE]:[CUARTO TRIMESTRE]])</f>
        <v>0</v>
      </c>
      <c r="I1144" s="17">
        <v>43.66</v>
      </c>
      <c r="J1144" s="17">
        <f>+H1144*I1144</f>
        <v>0</v>
      </c>
      <c r="K1144" s="17"/>
      <c r="L1144" s="16" t="s">
        <v>18</v>
      </c>
      <c r="M1144" s="16" t="s">
        <v>22</v>
      </c>
      <c r="N1144" s="39" t="s">
        <v>418</v>
      </c>
      <c r="O1144" s="20"/>
    </row>
    <row r="1145" spans="1:15" s="12" customFormat="1" ht="18">
      <c r="A1145" s="178" t="s">
        <v>120</v>
      </c>
      <c r="B1145" s="75" t="s">
        <v>264</v>
      </c>
      <c r="C1145" s="39" t="s">
        <v>17</v>
      </c>
      <c r="D1145" s="236"/>
      <c r="E1145" s="236"/>
      <c r="F1145" s="236"/>
      <c r="G1145" s="236"/>
      <c r="H1145" s="41">
        <f>SUM(Tabla13211242[[#This Row],[PRIMER TRIMESTRE]:[CUARTO TRIMESTRE]])</f>
        <v>0</v>
      </c>
      <c r="I1145" s="17">
        <v>185</v>
      </c>
      <c r="J1145" s="17">
        <f>+Tabla13211242[[#This Row],[CANTIDAD TOTAL]]*Tabla13211242[[#This Row],[PRECIO UNITARIO ESTIMADO]]</f>
        <v>0</v>
      </c>
      <c r="K1145" s="17"/>
      <c r="L1145" s="16" t="s">
        <v>18</v>
      </c>
      <c r="M1145" s="16" t="s">
        <v>22</v>
      </c>
      <c r="N1145" s="39" t="s">
        <v>418</v>
      </c>
      <c r="O1145" s="20"/>
    </row>
    <row r="1146" spans="1:15" s="12" customFormat="1" ht="18">
      <c r="A1146" s="178" t="s">
        <v>120</v>
      </c>
      <c r="B1146" s="75" t="s">
        <v>745</v>
      </c>
      <c r="C1146" s="39" t="s">
        <v>208</v>
      </c>
      <c r="D1146" s="236">
        <v>1</v>
      </c>
      <c r="E1146" s="236"/>
      <c r="F1146" s="236"/>
      <c r="G1146" s="236"/>
      <c r="H1146" s="41">
        <f>SUM(Tabla13211242[[#This Row],[PRIMER TRIMESTRE]:[CUARTO TRIMESTRE]])</f>
        <v>1</v>
      </c>
      <c r="I1146" s="17">
        <v>43.66</v>
      </c>
      <c r="J1146" s="17">
        <f t="shared" ref="J1146:J1160" si="30">+H1146*I1146</f>
        <v>43.66</v>
      </c>
      <c r="K1146" s="17"/>
      <c r="L1146" s="16" t="s">
        <v>18</v>
      </c>
      <c r="M1146" s="16" t="s">
        <v>22</v>
      </c>
      <c r="N1146" s="39" t="s">
        <v>418</v>
      </c>
      <c r="O1146" s="20"/>
    </row>
    <row r="1147" spans="1:15" s="12" customFormat="1" ht="18">
      <c r="A1147" s="178" t="s">
        <v>120</v>
      </c>
      <c r="B1147" s="75" t="s">
        <v>760</v>
      </c>
      <c r="C1147" s="39" t="s">
        <v>208</v>
      </c>
      <c r="D1147" s="236"/>
      <c r="E1147" s="236"/>
      <c r="F1147" s="236"/>
      <c r="G1147" s="236"/>
      <c r="H1147" s="41">
        <f>SUM(Tabla13211242[[#This Row],[PRIMER TRIMESTRE]:[CUARTO TRIMESTRE]])</f>
        <v>0</v>
      </c>
      <c r="I1147" s="17">
        <v>43.66</v>
      </c>
      <c r="J1147" s="17">
        <f t="shared" si="30"/>
        <v>0</v>
      </c>
      <c r="K1147" s="17"/>
      <c r="L1147" s="16" t="s">
        <v>18</v>
      </c>
      <c r="M1147" s="16" t="s">
        <v>22</v>
      </c>
      <c r="N1147" s="39" t="s">
        <v>418</v>
      </c>
      <c r="O1147" s="20"/>
    </row>
    <row r="1148" spans="1:15" s="12" customFormat="1" ht="18">
      <c r="A1148" s="178" t="s">
        <v>120</v>
      </c>
      <c r="B1148" s="75" t="s">
        <v>761</v>
      </c>
      <c r="C1148" s="39" t="s">
        <v>208</v>
      </c>
      <c r="D1148" s="236">
        <v>7</v>
      </c>
      <c r="E1148" s="236"/>
      <c r="F1148" s="236"/>
      <c r="G1148" s="236"/>
      <c r="H1148" s="41">
        <f>SUM(Tabla13211242[[#This Row],[PRIMER TRIMESTRE]:[CUARTO TRIMESTRE]])</f>
        <v>7</v>
      </c>
      <c r="I1148" s="17">
        <v>12.98</v>
      </c>
      <c r="J1148" s="17">
        <f t="shared" si="30"/>
        <v>90.86</v>
      </c>
      <c r="K1148" s="17"/>
      <c r="L1148" s="16" t="s">
        <v>18</v>
      </c>
      <c r="M1148" s="16" t="s">
        <v>22</v>
      </c>
      <c r="N1148" s="39" t="s">
        <v>418</v>
      </c>
      <c r="O1148" s="20"/>
    </row>
    <row r="1149" spans="1:15" s="12" customFormat="1" ht="18">
      <c r="A1149" s="178" t="s">
        <v>120</v>
      </c>
      <c r="B1149" s="75" t="s">
        <v>399</v>
      </c>
      <c r="C1149" s="39" t="s">
        <v>208</v>
      </c>
      <c r="D1149" s="236">
        <v>1</v>
      </c>
      <c r="E1149" s="236"/>
      <c r="F1149" s="236"/>
      <c r="G1149" s="236"/>
      <c r="H1149" s="41">
        <f>SUM(Tabla13211242[[#This Row],[PRIMER TRIMESTRE]:[CUARTO TRIMESTRE]])</f>
        <v>1</v>
      </c>
      <c r="I1149" s="17">
        <v>86.81</v>
      </c>
      <c r="J1149" s="17">
        <f t="shared" si="30"/>
        <v>86.81</v>
      </c>
      <c r="K1149" s="17"/>
      <c r="L1149" s="16" t="s">
        <v>18</v>
      </c>
      <c r="M1149" s="16" t="s">
        <v>22</v>
      </c>
      <c r="N1149" s="39" t="s">
        <v>418</v>
      </c>
      <c r="O1149" s="20"/>
    </row>
    <row r="1150" spans="1:15" s="12" customFormat="1" ht="18">
      <c r="A1150" s="178" t="s">
        <v>120</v>
      </c>
      <c r="B1150" s="75" t="s">
        <v>400</v>
      </c>
      <c r="C1150" s="39" t="s">
        <v>208</v>
      </c>
      <c r="D1150" s="236">
        <v>2</v>
      </c>
      <c r="E1150" s="236"/>
      <c r="F1150" s="236"/>
      <c r="G1150" s="236"/>
      <c r="H1150" s="41">
        <f>SUM(Tabla13211242[[#This Row],[PRIMER TRIMESTRE]:[CUARTO TRIMESTRE]])</f>
        <v>2</v>
      </c>
      <c r="I1150" s="17">
        <v>25.4</v>
      </c>
      <c r="J1150" s="17">
        <f t="shared" si="30"/>
        <v>50.8</v>
      </c>
      <c r="K1150" s="17"/>
      <c r="L1150" s="16" t="s">
        <v>18</v>
      </c>
      <c r="M1150" s="16" t="s">
        <v>22</v>
      </c>
      <c r="N1150" s="39" t="s">
        <v>418</v>
      </c>
      <c r="O1150" s="20"/>
    </row>
    <row r="1151" spans="1:15" s="12" customFormat="1" ht="25.5">
      <c r="A1151" s="178" t="s">
        <v>120</v>
      </c>
      <c r="B1151" s="75" t="s">
        <v>395</v>
      </c>
      <c r="C1151" s="39" t="s">
        <v>208</v>
      </c>
      <c r="D1151" s="236">
        <v>1</v>
      </c>
      <c r="E1151" s="236"/>
      <c r="F1151" s="236"/>
      <c r="G1151" s="236"/>
      <c r="H1151" s="41">
        <f>SUM(Tabla13211242[[#This Row],[PRIMER TRIMESTRE]:[CUARTO TRIMESTRE]])</f>
        <v>1</v>
      </c>
      <c r="I1151" s="17">
        <v>235.20000000000002</v>
      </c>
      <c r="J1151" s="17">
        <f t="shared" si="30"/>
        <v>235.20000000000002</v>
      </c>
      <c r="K1151" s="17"/>
      <c r="L1151" s="16" t="s">
        <v>18</v>
      </c>
      <c r="M1151" s="16" t="s">
        <v>22</v>
      </c>
      <c r="N1151" s="39" t="s">
        <v>418</v>
      </c>
      <c r="O1151" s="20"/>
    </row>
    <row r="1152" spans="1:15" s="12" customFormat="1" ht="18">
      <c r="A1152" s="178" t="s">
        <v>120</v>
      </c>
      <c r="B1152" s="75" t="s">
        <v>746</v>
      </c>
      <c r="C1152" s="39" t="s">
        <v>17</v>
      </c>
      <c r="D1152" s="236"/>
      <c r="E1152" s="236"/>
      <c r="F1152" s="236"/>
      <c r="G1152" s="236"/>
      <c r="H1152" s="41">
        <f>SUM(Tabla13211242[[#This Row],[PRIMER TRIMESTRE]:[CUARTO TRIMESTRE]])</f>
        <v>0</v>
      </c>
      <c r="I1152" s="17">
        <v>23.32</v>
      </c>
      <c r="J1152" s="17">
        <f t="shared" si="30"/>
        <v>0</v>
      </c>
      <c r="K1152" s="17"/>
      <c r="L1152" s="16" t="s">
        <v>18</v>
      </c>
      <c r="M1152" s="16" t="s">
        <v>22</v>
      </c>
      <c r="N1152" s="39" t="s">
        <v>418</v>
      </c>
      <c r="O1152" s="20"/>
    </row>
    <row r="1153" spans="1:15" s="12" customFormat="1" ht="18">
      <c r="A1153" s="178" t="s">
        <v>120</v>
      </c>
      <c r="B1153" s="75" t="s">
        <v>747</v>
      </c>
      <c r="C1153" s="39" t="s">
        <v>17</v>
      </c>
      <c r="D1153" s="236"/>
      <c r="E1153" s="236"/>
      <c r="F1153" s="236"/>
      <c r="G1153" s="236"/>
      <c r="H1153" s="41">
        <f>SUM(Tabla13211242[[#This Row],[PRIMER TRIMESTRE]:[CUARTO TRIMESTRE]])</f>
        <v>0</v>
      </c>
      <c r="I1153" s="17">
        <v>23.32</v>
      </c>
      <c r="J1153" s="17">
        <f t="shared" si="30"/>
        <v>0</v>
      </c>
      <c r="K1153" s="17"/>
      <c r="L1153" s="16" t="s">
        <v>18</v>
      </c>
      <c r="M1153" s="16" t="s">
        <v>22</v>
      </c>
      <c r="N1153" s="39" t="s">
        <v>418</v>
      </c>
      <c r="O1153" s="20"/>
    </row>
    <row r="1154" spans="1:15" s="12" customFormat="1" ht="18">
      <c r="A1154" s="178" t="s">
        <v>120</v>
      </c>
      <c r="B1154" s="75" t="s">
        <v>396</v>
      </c>
      <c r="C1154" s="39" t="s">
        <v>208</v>
      </c>
      <c r="D1154" s="236">
        <v>1</v>
      </c>
      <c r="E1154" s="236"/>
      <c r="F1154" s="236">
        <v>1</v>
      </c>
      <c r="G1154" s="236"/>
      <c r="H1154" s="41">
        <f>SUM(Tabla13211242[[#This Row],[PRIMER TRIMESTRE]:[CUARTO TRIMESTRE]])</f>
        <v>2</v>
      </c>
      <c r="I1154" s="17">
        <v>194.7</v>
      </c>
      <c r="J1154" s="17">
        <f t="shared" si="30"/>
        <v>389.4</v>
      </c>
      <c r="K1154" s="17"/>
      <c r="L1154" s="16" t="s">
        <v>18</v>
      </c>
      <c r="M1154" s="16" t="s">
        <v>22</v>
      </c>
      <c r="N1154" s="39" t="s">
        <v>418</v>
      </c>
      <c r="O1154" s="20"/>
    </row>
    <row r="1155" spans="1:15" s="12" customFormat="1" ht="18">
      <c r="A1155" s="178" t="s">
        <v>120</v>
      </c>
      <c r="B1155" s="75" t="s">
        <v>397</v>
      </c>
      <c r="C1155" s="39" t="s">
        <v>208</v>
      </c>
      <c r="D1155" s="236">
        <v>1</v>
      </c>
      <c r="E1155" s="236"/>
      <c r="F1155" s="236"/>
      <c r="G1155" s="236"/>
      <c r="H1155" s="41">
        <f>SUM(Tabla13211242[[#This Row],[PRIMER TRIMESTRE]:[CUARTO TRIMESTRE]])</f>
        <v>1</v>
      </c>
      <c r="I1155" s="17">
        <v>309.14</v>
      </c>
      <c r="J1155" s="17">
        <f t="shared" si="30"/>
        <v>309.14</v>
      </c>
      <c r="K1155" s="17"/>
      <c r="L1155" s="16" t="s">
        <v>18</v>
      </c>
      <c r="M1155" s="16" t="s">
        <v>22</v>
      </c>
      <c r="N1155" s="39" t="s">
        <v>418</v>
      </c>
      <c r="O1155" s="20"/>
    </row>
    <row r="1156" spans="1:15" s="12" customFormat="1" ht="18">
      <c r="A1156" s="178" t="s">
        <v>120</v>
      </c>
      <c r="B1156" s="75" t="s">
        <v>404</v>
      </c>
      <c r="C1156" s="39" t="s">
        <v>255</v>
      </c>
      <c r="D1156" s="236">
        <v>6</v>
      </c>
      <c r="E1156" s="236">
        <v>6</v>
      </c>
      <c r="F1156" s="236">
        <v>6</v>
      </c>
      <c r="G1156" s="236"/>
      <c r="H1156" s="41">
        <f>SUM(Tabla13211242[[#This Row],[PRIMER TRIMESTRE]:[CUARTO TRIMESTRE]])</f>
        <v>18</v>
      </c>
      <c r="I1156" s="17">
        <v>29.5</v>
      </c>
      <c r="J1156" s="17">
        <f t="shared" si="30"/>
        <v>531</v>
      </c>
      <c r="K1156" s="17"/>
      <c r="L1156" s="16" t="s">
        <v>18</v>
      </c>
      <c r="M1156" s="16" t="s">
        <v>22</v>
      </c>
      <c r="N1156" s="39" t="s">
        <v>418</v>
      </c>
      <c r="O1156" s="20"/>
    </row>
    <row r="1157" spans="1:15" s="12" customFormat="1" ht="18">
      <c r="A1157" s="178" t="s">
        <v>120</v>
      </c>
      <c r="B1157" s="75" t="s">
        <v>254</v>
      </c>
      <c r="C1157" s="39" t="s">
        <v>417</v>
      </c>
      <c r="D1157" s="236">
        <v>6</v>
      </c>
      <c r="E1157" s="236"/>
      <c r="F1157" s="236"/>
      <c r="G1157" s="236"/>
      <c r="H1157" s="41">
        <f>SUM(Tabla13211242[[#This Row],[PRIMER TRIMESTRE]:[CUARTO TRIMESTRE]])</f>
        <v>6</v>
      </c>
      <c r="I1157" s="17">
        <v>12</v>
      </c>
      <c r="J1157" s="17">
        <f t="shared" si="30"/>
        <v>72</v>
      </c>
      <c r="K1157" s="17"/>
      <c r="L1157" s="16" t="s">
        <v>18</v>
      </c>
      <c r="M1157" s="16" t="s">
        <v>22</v>
      </c>
      <c r="N1157" s="39" t="s">
        <v>418</v>
      </c>
      <c r="O1157" s="20"/>
    </row>
    <row r="1158" spans="1:15" s="12" customFormat="1" ht="18">
      <c r="A1158" s="178" t="s">
        <v>120</v>
      </c>
      <c r="B1158" s="75" t="s">
        <v>394</v>
      </c>
      <c r="C1158" s="39" t="s">
        <v>208</v>
      </c>
      <c r="D1158" s="236">
        <v>5</v>
      </c>
      <c r="E1158" s="236">
        <v>5</v>
      </c>
      <c r="F1158" s="236">
        <v>4</v>
      </c>
      <c r="G1158" s="236"/>
      <c r="H1158" s="41">
        <f>SUM(Tabla13211242[[#This Row],[PRIMER TRIMESTRE]:[CUARTO TRIMESTRE]])</f>
        <v>14</v>
      </c>
      <c r="I1158" s="17">
        <v>69.599999999999994</v>
      </c>
      <c r="J1158" s="17">
        <f t="shared" si="30"/>
        <v>974.39999999999986</v>
      </c>
      <c r="K1158" s="17"/>
      <c r="L1158" s="16" t="s">
        <v>18</v>
      </c>
      <c r="M1158" s="16" t="s">
        <v>22</v>
      </c>
      <c r="N1158" s="39" t="s">
        <v>418</v>
      </c>
      <c r="O1158" s="20"/>
    </row>
    <row r="1159" spans="1:15" s="12" customFormat="1" ht="18">
      <c r="A1159" s="178" t="s">
        <v>120</v>
      </c>
      <c r="B1159" s="75" t="s">
        <v>408</v>
      </c>
      <c r="C1159" s="39" t="s">
        <v>417</v>
      </c>
      <c r="D1159" s="236">
        <v>6</v>
      </c>
      <c r="E1159" s="236">
        <v>6</v>
      </c>
      <c r="F1159" s="236"/>
      <c r="G1159" s="236"/>
      <c r="H1159" s="41">
        <f>SUM(Tabla13211242[[#This Row],[PRIMER TRIMESTRE]:[CUARTO TRIMESTRE]])</f>
        <v>12</v>
      </c>
      <c r="I1159" s="17">
        <v>43.7</v>
      </c>
      <c r="J1159" s="17">
        <f t="shared" si="30"/>
        <v>524.40000000000009</v>
      </c>
      <c r="K1159" s="17"/>
      <c r="L1159" s="16" t="s">
        <v>18</v>
      </c>
      <c r="M1159" s="16" t="s">
        <v>22</v>
      </c>
      <c r="N1159" s="39" t="s">
        <v>418</v>
      </c>
      <c r="O1159" s="20"/>
    </row>
    <row r="1160" spans="1:15" s="12" customFormat="1" ht="18">
      <c r="A1160" s="178" t="s">
        <v>120</v>
      </c>
      <c r="B1160" s="75" t="s">
        <v>409</v>
      </c>
      <c r="C1160" s="39" t="s">
        <v>417</v>
      </c>
      <c r="D1160" s="236">
        <v>5</v>
      </c>
      <c r="E1160" s="236">
        <v>5</v>
      </c>
      <c r="F1160" s="236">
        <v>5</v>
      </c>
      <c r="G1160" s="236">
        <v>3</v>
      </c>
      <c r="H1160" s="41">
        <f>SUM(Tabla13211242[[#This Row],[PRIMER TRIMESTRE]:[CUARTO TRIMESTRE]])</f>
        <v>18</v>
      </c>
      <c r="I1160" s="17">
        <v>15.21</v>
      </c>
      <c r="J1160" s="17">
        <f t="shared" si="30"/>
        <v>273.78000000000003</v>
      </c>
      <c r="K1160" s="17"/>
      <c r="L1160" s="16" t="s">
        <v>18</v>
      </c>
      <c r="M1160" s="16" t="s">
        <v>22</v>
      </c>
      <c r="N1160" s="39" t="s">
        <v>418</v>
      </c>
      <c r="O1160" s="20"/>
    </row>
    <row r="1161" spans="1:15" s="12" customFormat="1" ht="18">
      <c r="A1161" s="178" t="s">
        <v>120</v>
      </c>
      <c r="B1161" s="75" t="s">
        <v>265</v>
      </c>
      <c r="C1161" s="39" t="s">
        <v>17</v>
      </c>
      <c r="D1161" s="236">
        <v>4</v>
      </c>
      <c r="E1161" s="236">
        <v>3</v>
      </c>
      <c r="F1161" s="236"/>
      <c r="G1161" s="236"/>
      <c r="H1161" s="41">
        <f>SUM(Tabla13211242[[#This Row],[PRIMER TRIMESTRE]:[CUARTO TRIMESTRE]])</f>
        <v>7</v>
      </c>
      <c r="I1161" s="17">
        <v>185.6</v>
      </c>
      <c r="J1161" s="17">
        <f>+Tabla13211242[[#This Row],[CANTIDAD TOTAL]]*Tabla13211242[[#This Row],[PRECIO UNITARIO ESTIMADO]]</f>
        <v>1299.2</v>
      </c>
      <c r="K1161" s="17"/>
      <c r="L1161" s="16" t="s">
        <v>18</v>
      </c>
      <c r="M1161" s="16" t="s">
        <v>22</v>
      </c>
      <c r="N1161" s="39" t="s">
        <v>418</v>
      </c>
      <c r="O1161" s="20"/>
    </row>
    <row r="1162" spans="1:15" s="12" customFormat="1" ht="18">
      <c r="A1162" s="178" t="s">
        <v>120</v>
      </c>
      <c r="B1162" s="75" t="s">
        <v>261</v>
      </c>
      <c r="C1162" s="39" t="s">
        <v>17</v>
      </c>
      <c r="D1162" s="236"/>
      <c r="E1162" s="236"/>
      <c r="F1162" s="236"/>
      <c r="G1162" s="236"/>
      <c r="H1162" s="41">
        <f>SUM(Tabla13211242[[#This Row],[PRIMER TRIMESTRE]:[CUARTO TRIMESTRE]])</f>
        <v>0</v>
      </c>
      <c r="I1162" s="17">
        <v>148</v>
      </c>
      <c r="J1162" s="17">
        <f>+Tabla13211242[[#This Row],[CANTIDAD TOTAL]]*Tabla13211242[[#This Row],[PRECIO UNITARIO ESTIMADO]]</f>
        <v>0</v>
      </c>
      <c r="K1162" s="17"/>
      <c r="L1162" s="16" t="s">
        <v>18</v>
      </c>
      <c r="M1162" s="16" t="s">
        <v>22</v>
      </c>
      <c r="N1162" s="39" t="s">
        <v>418</v>
      </c>
      <c r="O1162" s="20"/>
    </row>
    <row r="1163" spans="1:15" s="12" customFormat="1" ht="18">
      <c r="A1163" s="178" t="s">
        <v>120</v>
      </c>
      <c r="B1163" s="75" t="s">
        <v>751</v>
      </c>
      <c r="C1163" s="39" t="s">
        <v>17</v>
      </c>
      <c r="D1163" s="236">
        <v>2</v>
      </c>
      <c r="E1163" s="236"/>
      <c r="F1163" s="236"/>
      <c r="G1163" s="236"/>
      <c r="H1163" s="41">
        <f>SUM(Tabla13211242[[#This Row],[PRIMER TRIMESTRE]:[CUARTO TRIMESTRE]])</f>
        <v>2</v>
      </c>
      <c r="I1163" s="17">
        <v>15.54</v>
      </c>
      <c r="J1163" s="17">
        <f>+H1163*I1163</f>
        <v>31.08</v>
      </c>
      <c r="K1163" s="17"/>
      <c r="L1163" s="16" t="s">
        <v>18</v>
      </c>
      <c r="M1163" s="16" t="s">
        <v>22</v>
      </c>
      <c r="N1163" s="39" t="s">
        <v>418</v>
      </c>
      <c r="O1163" s="20"/>
    </row>
    <row r="1164" spans="1:15" s="12" customFormat="1" ht="18">
      <c r="A1164" s="178" t="s">
        <v>120</v>
      </c>
      <c r="B1164" s="75" t="s">
        <v>754</v>
      </c>
      <c r="C1164" s="39" t="s">
        <v>17</v>
      </c>
      <c r="D1164" s="236">
        <v>5</v>
      </c>
      <c r="E1164" s="236"/>
      <c r="F1164" s="236"/>
      <c r="G1164" s="236"/>
      <c r="H1164" s="41">
        <f>SUM(Tabla13211242[[#This Row],[PRIMER TRIMESTRE]:[CUARTO TRIMESTRE]])</f>
        <v>5</v>
      </c>
      <c r="I1164" s="17">
        <v>15.54</v>
      </c>
      <c r="J1164" s="17">
        <f>+H1164*I1164</f>
        <v>77.699999999999989</v>
      </c>
      <c r="K1164" s="17"/>
      <c r="L1164" s="16" t="s">
        <v>18</v>
      </c>
      <c r="M1164" s="16" t="s">
        <v>22</v>
      </c>
      <c r="N1164" s="39" t="s">
        <v>418</v>
      </c>
      <c r="O1164" s="20"/>
    </row>
    <row r="1165" spans="1:15" s="12" customFormat="1" ht="18">
      <c r="A1165" s="178" t="s">
        <v>120</v>
      </c>
      <c r="B1165" s="75" t="s">
        <v>755</v>
      </c>
      <c r="C1165" s="39" t="s">
        <v>17</v>
      </c>
      <c r="D1165" s="236">
        <v>5</v>
      </c>
      <c r="E1165" s="236"/>
      <c r="F1165" s="236"/>
      <c r="G1165" s="236"/>
      <c r="H1165" s="41">
        <f>SUM(Tabla13211242[[#This Row],[PRIMER TRIMESTRE]:[CUARTO TRIMESTRE]])</f>
        <v>5</v>
      </c>
      <c r="I1165" s="17">
        <v>15.54</v>
      </c>
      <c r="J1165" s="17">
        <f>+H1165*I1165</f>
        <v>77.699999999999989</v>
      </c>
      <c r="K1165" s="17"/>
      <c r="L1165" s="16" t="s">
        <v>18</v>
      </c>
      <c r="M1165" s="16" t="s">
        <v>22</v>
      </c>
      <c r="N1165" s="39" t="s">
        <v>418</v>
      </c>
      <c r="O1165" s="20"/>
    </row>
    <row r="1166" spans="1:15" s="12" customFormat="1" ht="18">
      <c r="A1166" s="178" t="s">
        <v>752</v>
      </c>
      <c r="B1166" s="75" t="s">
        <v>390</v>
      </c>
      <c r="C1166" s="39" t="s">
        <v>266</v>
      </c>
      <c r="D1166" s="236">
        <v>5</v>
      </c>
      <c r="E1166" s="236">
        <v>5</v>
      </c>
      <c r="F1166" s="236">
        <v>5</v>
      </c>
      <c r="G1166" s="236">
        <v>5</v>
      </c>
      <c r="H1166" s="41">
        <f>SUM(Tabla13211242[[#This Row],[PRIMER TRIMESTRE]:[CUARTO TRIMESTRE]])</f>
        <v>20</v>
      </c>
      <c r="I1166" s="17">
        <v>145.13999999999999</v>
      </c>
      <c r="J1166" s="17">
        <f>+H1166*I1166</f>
        <v>2902.7999999999997</v>
      </c>
      <c r="K1166" s="21"/>
      <c r="L1166" s="16" t="s">
        <v>18</v>
      </c>
      <c r="M1166" s="16" t="s">
        <v>22</v>
      </c>
      <c r="N1166" s="39" t="s">
        <v>418</v>
      </c>
      <c r="O1166" s="20"/>
    </row>
    <row r="1167" spans="1:15" s="12" customFormat="1" ht="18">
      <c r="A1167" s="178" t="s">
        <v>120</v>
      </c>
      <c r="B1167" s="75" t="s">
        <v>391</v>
      </c>
      <c r="C1167" s="39" t="s">
        <v>415</v>
      </c>
      <c r="D1167" s="236">
        <v>5</v>
      </c>
      <c r="E1167" s="236">
        <v>5</v>
      </c>
      <c r="F1167" s="236">
        <v>5</v>
      </c>
      <c r="G1167" s="236"/>
      <c r="H1167" s="41">
        <f>SUM(Tabla13211242[[#This Row],[PRIMER TRIMESTRE]:[CUARTO TRIMESTRE]])</f>
        <v>15</v>
      </c>
      <c r="I1167" s="17">
        <v>214.76</v>
      </c>
      <c r="J1167" s="17">
        <f>+H1167*I1167</f>
        <v>3221.3999999999996</v>
      </c>
      <c r="K1167" s="17"/>
      <c r="L1167" s="16" t="s">
        <v>18</v>
      </c>
      <c r="M1167" s="16" t="s">
        <v>22</v>
      </c>
      <c r="N1167" s="39" t="s">
        <v>418</v>
      </c>
      <c r="O1167" s="20"/>
    </row>
    <row r="1168" spans="1:15" s="12" customFormat="1" ht="18">
      <c r="A1168" s="178" t="s">
        <v>120</v>
      </c>
      <c r="B1168" s="75" t="s">
        <v>267</v>
      </c>
      <c r="C1168" s="39" t="s">
        <v>102</v>
      </c>
      <c r="D1168" s="236"/>
      <c r="E1168" s="236"/>
      <c r="F1168" s="236"/>
      <c r="G1168" s="236"/>
      <c r="H1168" s="41">
        <f>SUM(Tabla13211242[[#This Row],[PRIMER TRIMESTRE]:[CUARTO TRIMESTRE]])</f>
        <v>0</v>
      </c>
      <c r="I1168" s="17">
        <v>1063.19</v>
      </c>
      <c r="J1168" s="17">
        <f>+Tabla13211242[[#This Row],[CANTIDAD TOTAL]]*Tabla13211242[[#This Row],[PRECIO UNITARIO ESTIMADO]]</f>
        <v>0</v>
      </c>
      <c r="K1168" s="17"/>
      <c r="L1168" s="16" t="s">
        <v>18</v>
      </c>
      <c r="M1168" s="16" t="s">
        <v>22</v>
      </c>
      <c r="N1168" s="39" t="s">
        <v>418</v>
      </c>
      <c r="O1168" s="20"/>
    </row>
    <row r="1169" spans="1:15" s="12" customFormat="1" ht="18">
      <c r="A1169" s="178" t="s">
        <v>120</v>
      </c>
      <c r="B1169" s="75" t="s">
        <v>759</v>
      </c>
      <c r="C1169" s="39" t="s">
        <v>208</v>
      </c>
      <c r="D1169" s="236"/>
      <c r="E1169" s="236"/>
      <c r="F1169" s="236"/>
      <c r="G1169" s="236"/>
      <c r="H1169" s="41">
        <f>SUM(Tabla13211242[[#This Row],[PRIMER TRIMESTRE]:[CUARTO TRIMESTRE]])</f>
        <v>0</v>
      </c>
      <c r="I1169" s="17">
        <v>161.66</v>
      </c>
      <c r="J1169" s="17">
        <f>+H1169*I1169</f>
        <v>0</v>
      </c>
      <c r="K1169" s="17"/>
      <c r="L1169" s="16" t="s">
        <v>18</v>
      </c>
      <c r="M1169" s="16" t="s">
        <v>22</v>
      </c>
      <c r="N1169" s="39" t="s">
        <v>418</v>
      </c>
      <c r="O1169" s="20"/>
    </row>
    <row r="1170" spans="1:15" s="12" customFormat="1" ht="18">
      <c r="A1170" s="178" t="s">
        <v>120</v>
      </c>
      <c r="B1170" s="75" t="s">
        <v>268</v>
      </c>
      <c r="C1170" s="39" t="s">
        <v>208</v>
      </c>
      <c r="D1170" s="236"/>
      <c r="E1170" s="236"/>
      <c r="F1170" s="236"/>
      <c r="G1170" s="236"/>
      <c r="H1170" s="41">
        <f>SUM(Tabla13211242[[#This Row],[PRIMER TRIMESTRE]:[CUARTO TRIMESTRE]])</f>
        <v>0</v>
      </c>
      <c r="I1170" s="17">
        <v>1450</v>
      </c>
      <c r="J1170" s="17">
        <f>+Tabla13211242[[#This Row],[CANTIDAD TOTAL]]*Tabla13211242[[#This Row],[PRECIO UNITARIO ESTIMADO]]</f>
        <v>0</v>
      </c>
      <c r="K1170" s="17"/>
      <c r="L1170" s="16" t="s">
        <v>18</v>
      </c>
      <c r="M1170" s="16" t="s">
        <v>22</v>
      </c>
      <c r="N1170" s="39" t="s">
        <v>418</v>
      </c>
      <c r="O1170" s="20"/>
    </row>
    <row r="1171" spans="1:15" s="12" customFormat="1" ht="18">
      <c r="A1171" s="178" t="s">
        <v>120</v>
      </c>
      <c r="B1171" s="75" t="s">
        <v>269</v>
      </c>
      <c r="C1171" s="39" t="s">
        <v>266</v>
      </c>
      <c r="D1171" s="236">
        <v>1</v>
      </c>
      <c r="E1171" s="236"/>
      <c r="F1171" s="236"/>
      <c r="G1171" s="236"/>
      <c r="H1171" s="41">
        <f>SUM(Tabla13211242[[#This Row],[PRIMER TRIMESTRE]:[CUARTO TRIMESTRE]])</f>
        <v>1</v>
      </c>
      <c r="I1171" s="17">
        <v>2552</v>
      </c>
      <c r="J1171" s="17">
        <f>+Tabla13211242[[#This Row],[CANTIDAD TOTAL]]*Tabla13211242[[#This Row],[PRECIO UNITARIO ESTIMADO]]</f>
        <v>2552</v>
      </c>
      <c r="K1171" s="17"/>
      <c r="L1171" s="16" t="s">
        <v>18</v>
      </c>
      <c r="M1171" s="16" t="s">
        <v>22</v>
      </c>
      <c r="N1171" s="39" t="s">
        <v>418</v>
      </c>
      <c r="O1171" s="20"/>
    </row>
    <row r="1172" spans="1:15" s="12" customFormat="1" ht="18">
      <c r="A1172" s="178" t="s">
        <v>120</v>
      </c>
      <c r="B1172" s="75" t="s">
        <v>756</v>
      </c>
      <c r="C1172" s="39" t="s">
        <v>234</v>
      </c>
      <c r="D1172" s="236">
        <v>4</v>
      </c>
      <c r="E1172" s="236"/>
      <c r="F1172" s="236"/>
      <c r="G1172" s="236"/>
      <c r="H1172" s="41">
        <f>SUM(Tabla13211242[[#This Row],[PRIMER TRIMESTRE]:[CUARTO TRIMESTRE]])</f>
        <v>4</v>
      </c>
      <c r="I1172" s="17">
        <v>24.78</v>
      </c>
      <c r="J1172" s="17">
        <f t="shared" ref="J1172:J1178" si="31">+H1172*I1172</f>
        <v>99.12</v>
      </c>
      <c r="K1172" s="17"/>
      <c r="L1172" s="16" t="s">
        <v>18</v>
      </c>
      <c r="M1172" s="16" t="s">
        <v>22</v>
      </c>
      <c r="N1172" s="39" t="s">
        <v>418</v>
      </c>
      <c r="O1172" s="20"/>
    </row>
    <row r="1173" spans="1:15" s="12" customFormat="1" ht="18">
      <c r="A1173" s="178" t="s">
        <v>120</v>
      </c>
      <c r="B1173" s="75" t="s">
        <v>763</v>
      </c>
      <c r="C1173" s="39" t="s">
        <v>17</v>
      </c>
      <c r="D1173" s="236"/>
      <c r="E1173" s="236"/>
      <c r="F1173" s="236"/>
      <c r="G1173" s="236"/>
      <c r="H1173" s="41">
        <f>SUM(Tabla13211242[[#This Row],[PRIMER TRIMESTRE]:[CUARTO TRIMESTRE]])</f>
        <v>0</v>
      </c>
      <c r="I1173" s="17">
        <v>186.44</v>
      </c>
      <c r="J1173" s="17">
        <f t="shared" si="31"/>
        <v>0</v>
      </c>
      <c r="K1173" s="17"/>
      <c r="L1173" s="16" t="s">
        <v>18</v>
      </c>
      <c r="M1173" s="16" t="s">
        <v>22</v>
      </c>
      <c r="N1173" s="39" t="s">
        <v>418</v>
      </c>
      <c r="O1173" s="20"/>
    </row>
    <row r="1174" spans="1:15" s="12" customFormat="1" ht="18">
      <c r="A1174" s="178" t="s">
        <v>120</v>
      </c>
      <c r="B1174" s="75" t="s">
        <v>410</v>
      </c>
      <c r="C1174" s="39" t="s">
        <v>417</v>
      </c>
      <c r="D1174" s="236">
        <v>5</v>
      </c>
      <c r="E1174" s="236"/>
      <c r="F1174" s="236">
        <v>5</v>
      </c>
      <c r="G1174" s="236"/>
      <c r="H1174" s="41">
        <f>SUM(Tabla13211242[[#This Row],[PRIMER TRIMESTRE]:[CUARTO TRIMESTRE]])</f>
        <v>10</v>
      </c>
      <c r="I1174" s="17">
        <v>10</v>
      </c>
      <c r="J1174" s="17">
        <f t="shared" si="31"/>
        <v>100</v>
      </c>
      <c r="K1174" s="17"/>
      <c r="L1174" s="16" t="s">
        <v>18</v>
      </c>
      <c r="M1174" s="16" t="s">
        <v>22</v>
      </c>
      <c r="N1174" s="39" t="s">
        <v>418</v>
      </c>
      <c r="O1174" s="20"/>
    </row>
    <row r="1175" spans="1:15" s="12" customFormat="1" ht="18">
      <c r="A1175" s="178" t="s">
        <v>120</v>
      </c>
      <c r="B1175" s="75" t="s">
        <v>411</v>
      </c>
      <c r="C1175" s="39" t="s">
        <v>417</v>
      </c>
      <c r="D1175" s="236">
        <v>7</v>
      </c>
      <c r="E1175" s="236">
        <v>7</v>
      </c>
      <c r="F1175" s="236">
        <v>5</v>
      </c>
      <c r="G1175" s="236"/>
      <c r="H1175" s="41">
        <f>SUM(Tabla13211242[[#This Row],[PRIMER TRIMESTRE]:[CUARTO TRIMESTRE]])</f>
        <v>19</v>
      </c>
      <c r="I1175" s="17">
        <v>14.37</v>
      </c>
      <c r="J1175" s="17">
        <f t="shared" si="31"/>
        <v>273.02999999999997</v>
      </c>
      <c r="K1175" s="17"/>
      <c r="L1175" s="16" t="s">
        <v>18</v>
      </c>
      <c r="M1175" s="16" t="s">
        <v>22</v>
      </c>
      <c r="N1175" s="39" t="s">
        <v>418</v>
      </c>
      <c r="O1175" s="20"/>
    </row>
    <row r="1176" spans="1:15" s="12" customFormat="1" ht="18">
      <c r="A1176" s="178" t="s">
        <v>120</v>
      </c>
      <c r="B1176" s="75" t="s">
        <v>412</v>
      </c>
      <c r="C1176" s="39" t="s">
        <v>417</v>
      </c>
      <c r="D1176" s="236">
        <v>7</v>
      </c>
      <c r="E1176" s="236">
        <v>7</v>
      </c>
      <c r="F1176" s="236">
        <v>5</v>
      </c>
      <c r="G1176" s="236"/>
      <c r="H1176" s="41">
        <f>+Tabla13211242[[#This Row],[CUARTO TRIMESTRE]]+Tabla13211242[[#This Row],[TERCER TRIMESTRE]]+Tabla13211242[[#This Row],[SEGUNDO TRIMESTRE]]+Tabla13211242[[#This Row],[PRIMER TRIMESTRE]]</f>
        <v>19</v>
      </c>
      <c r="I1176" s="17">
        <v>24.79</v>
      </c>
      <c r="J1176" s="17">
        <f t="shared" si="31"/>
        <v>471.01</v>
      </c>
      <c r="K1176" s="17"/>
      <c r="L1176" s="16" t="s">
        <v>18</v>
      </c>
      <c r="M1176" s="16" t="s">
        <v>22</v>
      </c>
      <c r="N1176" s="39" t="s">
        <v>418</v>
      </c>
      <c r="O1176" s="20"/>
    </row>
    <row r="1177" spans="1:15" s="12" customFormat="1" ht="18">
      <c r="A1177" s="178" t="s">
        <v>120</v>
      </c>
      <c r="B1177" s="75" t="s">
        <v>413</v>
      </c>
      <c r="C1177" s="39" t="s">
        <v>208</v>
      </c>
      <c r="D1177" s="236">
        <v>2</v>
      </c>
      <c r="E1177" s="236"/>
      <c r="F1177" s="236">
        <v>2</v>
      </c>
      <c r="G1177" s="236"/>
      <c r="H1177" s="41">
        <f>SUM(Tabla13211242[[#This Row],[PRIMER TRIMESTRE]:[CUARTO TRIMESTRE]])</f>
        <v>4</v>
      </c>
      <c r="I1177" s="17">
        <v>371.09</v>
      </c>
      <c r="J1177" s="17">
        <f t="shared" si="31"/>
        <v>1484.36</v>
      </c>
      <c r="K1177" s="17"/>
      <c r="L1177" s="16" t="s">
        <v>18</v>
      </c>
      <c r="M1177" s="16" t="s">
        <v>22</v>
      </c>
      <c r="N1177" s="39" t="s">
        <v>418</v>
      </c>
      <c r="O1177" s="20"/>
    </row>
    <row r="1178" spans="1:15" s="12" customFormat="1" ht="18">
      <c r="A1178" s="178" t="s">
        <v>120</v>
      </c>
      <c r="B1178" s="75" t="s">
        <v>762</v>
      </c>
      <c r="C1178" s="39" t="s">
        <v>208</v>
      </c>
      <c r="D1178" s="236"/>
      <c r="E1178" s="236"/>
      <c r="F1178" s="236"/>
      <c r="G1178" s="236"/>
      <c r="H1178" s="41">
        <f>SUM(Tabla13211242[[#This Row],[PRIMER TRIMESTRE]:[CUARTO TRIMESTRE]])</f>
        <v>0</v>
      </c>
      <c r="I1178" s="17">
        <v>433.06</v>
      </c>
      <c r="J1178" s="17">
        <f t="shared" si="31"/>
        <v>0</v>
      </c>
      <c r="K1178" s="17"/>
      <c r="L1178" s="16" t="s">
        <v>18</v>
      </c>
      <c r="M1178" s="16" t="s">
        <v>22</v>
      </c>
      <c r="N1178" s="39" t="s">
        <v>418</v>
      </c>
      <c r="O1178" s="20"/>
    </row>
    <row r="1179" spans="1:15" s="12" customFormat="1" ht="18">
      <c r="A1179" s="178" t="s">
        <v>120</v>
      </c>
      <c r="B1179" s="75" t="s">
        <v>270</v>
      </c>
      <c r="C1179" s="39" t="s">
        <v>17</v>
      </c>
      <c r="D1179" s="236"/>
      <c r="E1179" s="236"/>
      <c r="F1179" s="236"/>
      <c r="G1179" s="236"/>
      <c r="H1179" s="41">
        <f>SUM(Tabla13211242[[#This Row],[PRIMER TRIMESTRE]:[CUARTO TRIMESTRE]])</f>
        <v>0</v>
      </c>
      <c r="I1179" s="17">
        <v>9.2799999999999994</v>
      </c>
      <c r="J1179" s="17">
        <f>+Tabla13211242[[#This Row],[CANTIDAD TOTAL]]*Tabla13211242[[#This Row],[PRECIO UNITARIO ESTIMADO]]</f>
        <v>0</v>
      </c>
      <c r="K1179" s="17"/>
      <c r="L1179" s="16" t="s">
        <v>18</v>
      </c>
      <c r="M1179" s="16" t="s">
        <v>22</v>
      </c>
      <c r="N1179" s="39" t="s">
        <v>418</v>
      </c>
      <c r="O1179" s="20"/>
    </row>
    <row r="1180" spans="1:15" s="12" customFormat="1" ht="18">
      <c r="A1180" s="178" t="s">
        <v>120</v>
      </c>
      <c r="B1180" s="75" t="s">
        <v>405</v>
      </c>
      <c r="C1180" s="39" t="s">
        <v>17</v>
      </c>
      <c r="D1180" s="236">
        <v>5</v>
      </c>
      <c r="E1180" s="236"/>
      <c r="F1180" s="236"/>
      <c r="G1180" s="236"/>
      <c r="H1180" s="41">
        <f>SUM(Tabla13211242[[#This Row],[PRIMER TRIMESTRE]:[CUARTO TRIMESTRE]])</f>
        <v>5</v>
      </c>
      <c r="I1180" s="17">
        <v>11.21</v>
      </c>
      <c r="J1180" s="17">
        <f>+H1180*I1180</f>
        <v>56.050000000000004</v>
      </c>
      <c r="K1180" s="17"/>
      <c r="L1180" s="16" t="s">
        <v>18</v>
      </c>
      <c r="M1180" s="16" t="s">
        <v>22</v>
      </c>
      <c r="N1180" s="39" t="s">
        <v>418</v>
      </c>
      <c r="O1180" s="20"/>
    </row>
    <row r="1181" spans="1:15" s="12" customFormat="1" ht="18">
      <c r="A1181" s="178" t="s">
        <v>120</v>
      </c>
      <c r="B1181" s="75" t="s">
        <v>406</v>
      </c>
      <c r="C1181" s="39" t="s">
        <v>17</v>
      </c>
      <c r="D1181" s="236">
        <v>5</v>
      </c>
      <c r="E1181" s="236"/>
      <c r="F1181" s="236"/>
      <c r="G1181" s="236"/>
      <c r="H1181" s="41">
        <f>SUM(Tabla13211242[[#This Row],[PRIMER TRIMESTRE]:[CUARTO TRIMESTRE]])</f>
        <v>5</v>
      </c>
      <c r="I1181" s="17">
        <v>10.56</v>
      </c>
      <c r="J1181" s="17">
        <f>+H1181*I1181</f>
        <v>52.800000000000004</v>
      </c>
      <c r="K1181" s="17"/>
      <c r="L1181" s="16" t="s">
        <v>18</v>
      </c>
      <c r="M1181" s="16" t="s">
        <v>22</v>
      </c>
      <c r="N1181" s="39" t="s">
        <v>418</v>
      </c>
      <c r="O1181" s="20"/>
    </row>
    <row r="1182" spans="1:15" s="12" customFormat="1" ht="18">
      <c r="A1182" s="178" t="s">
        <v>120</v>
      </c>
      <c r="B1182" s="75" t="s">
        <v>407</v>
      </c>
      <c r="C1182" s="39" t="s">
        <v>17</v>
      </c>
      <c r="D1182" s="236">
        <v>5</v>
      </c>
      <c r="E1182" s="236"/>
      <c r="F1182" s="236"/>
      <c r="G1182" s="236"/>
      <c r="H1182" s="41">
        <f>SUM(Tabla13211242[[#This Row],[PRIMER TRIMESTRE]:[CUARTO TRIMESTRE]])</f>
        <v>5</v>
      </c>
      <c r="I1182" s="17">
        <v>11.21</v>
      </c>
      <c r="J1182" s="17">
        <f>+H1182*I1182</f>
        <v>56.050000000000004</v>
      </c>
      <c r="K1182" s="17"/>
      <c r="L1182" s="16" t="s">
        <v>18</v>
      </c>
      <c r="M1182" s="16" t="s">
        <v>22</v>
      </c>
      <c r="N1182" s="39" t="s">
        <v>418</v>
      </c>
      <c r="O1182" s="20"/>
    </row>
    <row r="1183" spans="1:15" s="12" customFormat="1" ht="18">
      <c r="A1183" s="178" t="s">
        <v>120</v>
      </c>
      <c r="B1183" s="75" t="s">
        <v>742</v>
      </c>
      <c r="C1183" s="39" t="s">
        <v>17</v>
      </c>
      <c r="D1183" s="236">
        <v>5</v>
      </c>
      <c r="E1183" s="236"/>
      <c r="F1183" s="236"/>
      <c r="G1183" s="236"/>
      <c r="H1183" s="41">
        <f>SUM(Tabla13211242[[#This Row],[PRIMER TRIMESTRE]:[CUARTO TRIMESTRE]])</f>
        <v>5</v>
      </c>
      <c r="I1183" s="17">
        <v>53.1</v>
      </c>
      <c r="J1183" s="17">
        <f>+Tabla13211242[[#This Row],[CANTIDAD TOTAL]]*Tabla13211242[[#This Row],[PRECIO UNITARIO ESTIMADO]]</f>
        <v>265.5</v>
      </c>
      <c r="K1183" s="17"/>
      <c r="L1183" s="16" t="s">
        <v>18</v>
      </c>
      <c r="M1183" s="16" t="s">
        <v>22</v>
      </c>
      <c r="N1183" s="39" t="s">
        <v>418</v>
      </c>
      <c r="O1183" s="20"/>
    </row>
    <row r="1184" spans="1:15" s="12" customFormat="1" ht="18">
      <c r="A1184" s="178" t="s">
        <v>120</v>
      </c>
      <c r="B1184" s="75" t="s">
        <v>271</v>
      </c>
      <c r="C1184" s="39" t="s">
        <v>17</v>
      </c>
      <c r="D1184" s="236">
        <v>5</v>
      </c>
      <c r="E1184" s="236"/>
      <c r="F1184" s="236"/>
      <c r="G1184" s="236"/>
      <c r="H1184" s="41">
        <f>SUM(Tabla13211242[[#This Row],[PRIMER TRIMESTRE]:[CUARTO TRIMESTRE]])</f>
        <v>5</v>
      </c>
      <c r="I1184" s="17">
        <v>18.399999999999999</v>
      </c>
      <c r="J1184" s="17">
        <f>+H1184*I1184</f>
        <v>92</v>
      </c>
      <c r="K1184" s="17"/>
      <c r="L1184" s="16" t="s">
        <v>18</v>
      </c>
      <c r="M1184" s="16" t="s">
        <v>22</v>
      </c>
      <c r="N1184" s="39" t="s">
        <v>418</v>
      </c>
      <c r="O1184" s="20"/>
    </row>
    <row r="1185" spans="1:15" s="12" customFormat="1" ht="18">
      <c r="A1185" s="178" t="s">
        <v>120</v>
      </c>
      <c r="B1185" s="75" t="s">
        <v>757</v>
      </c>
      <c r="C1185" s="39" t="s">
        <v>17</v>
      </c>
      <c r="D1185" s="236">
        <v>6</v>
      </c>
      <c r="E1185" s="236"/>
      <c r="F1185" s="236"/>
      <c r="G1185" s="236"/>
      <c r="H1185" s="41">
        <f>SUM(Tabla13211242[[#This Row],[PRIMER TRIMESTRE]:[CUARTO TRIMESTRE]])</f>
        <v>6</v>
      </c>
      <c r="I1185" s="17">
        <v>12.92</v>
      </c>
      <c r="J1185" s="17">
        <f>+H1185*I1185</f>
        <v>77.52</v>
      </c>
      <c r="K1185" s="17"/>
      <c r="L1185" s="16" t="s">
        <v>18</v>
      </c>
      <c r="M1185" s="16" t="s">
        <v>22</v>
      </c>
      <c r="N1185" s="39" t="s">
        <v>418</v>
      </c>
      <c r="O1185" s="20"/>
    </row>
    <row r="1186" spans="1:15" s="12" customFormat="1" ht="18">
      <c r="A1186" s="178" t="s">
        <v>120</v>
      </c>
      <c r="B1186" s="75" t="s">
        <v>1894</v>
      </c>
      <c r="C1186" s="39" t="s">
        <v>17</v>
      </c>
      <c r="D1186" s="236">
        <v>125</v>
      </c>
      <c r="E1186" s="236">
        <v>125</v>
      </c>
      <c r="F1186" s="236">
        <v>125</v>
      </c>
      <c r="G1186" s="236">
        <v>125</v>
      </c>
      <c r="H1186" s="41">
        <f>SUM(Tabla13211242[[#This Row],[PRIMER TRIMESTRE]:[CUARTO TRIMESTRE]])</f>
        <v>500</v>
      </c>
      <c r="I1186" s="17">
        <f>337351.26/1251</f>
        <v>269.66527577937649</v>
      </c>
      <c r="J1186" s="17">
        <f>+Tabla13211242[[#This Row],[CANTIDAD TOTAL]]*Tabla13211242[[#This Row],[PRECIO UNITARIO ESTIMADO]]</f>
        <v>134832.63788968825</v>
      </c>
      <c r="K1186" s="17"/>
      <c r="L1186" s="16" t="s">
        <v>18</v>
      </c>
      <c r="M1186" s="16" t="s">
        <v>22</v>
      </c>
      <c r="N1186" s="39" t="s">
        <v>418</v>
      </c>
      <c r="O1186" s="20"/>
    </row>
    <row r="1187" spans="1:15" s="12" customFormat="1" ht="18">
      <c r="A1187" s="178" t="s">
        <v>120</v>
      </c>
      <c r="B1187" s="75" t="s">
        <v>784</v>
      </c>
      <c r="C1187" s="39" t="s">
        <v>17</v>
      </c>
      <c r="D1187" s="236"/>
      <c r="E1187" s="236"/>
      <c r="F1187" s="236"/>
      <c r="G1187" s="236"/>
      <c r="H1187" s="41">
        <f>SUM(Tabla13211242[[#This Row],[PRIMER TRIMESTRE]:[CUARTO TRIMESTRE]])</f>
        <v>0</v>
      </c>
      <c r="I1187" s="72">
        <f>20*1.18</f>
        <v>23.599999999999998</v>
      </c>
      <c r="J1187" s="17">
        <f>+H1187*I1187</f>
        <v>0</v>
      </c>
      <c r="K1187" s="17"/>
      <c r="L1187" s="16" t="s">
        <v>18</v>
      </c>
      <c r="M1187" s="16" t="s">
        <v>22</v>
      </c>
      <c r="N1187" s="39" t="s">
        <v>418</v>
      </c>
      <c r="O1187" s="20"/>
    </row>
    <row r="1188" spans="1:15" s="12" customFormat="1" ht="18">
      <c r="A1188" s="178" t="s">
        <v>120</v>
      </c>
      <c r="B1188" s="75" t="s">
        <v>785</v>
      </c>
      <c r="C1188" s="39" t="s">
        <v>17</v>
      </c>
      <c r="D1188" s="236">
        <v>31</v>
      </c>
      <c r="E1188" s="236">
        <v>31</v>
      </c>
      <c r="F1188" s="236"/>
      <c r="G1188" s="236"/>
      <c r="H1188" s="41">
        <f>SUM(Tabla13211242[[#This Row],[PRIMER TRIMESTRE]:[CUARTO TRIMESTRE]])</f>
        <v>62</v>
      </c>
      <c r="I1188" s="72">
        <f>4*1.18</f>
        <v>4.72</v>
      </c>
      <c r="J1188" s="17">
        <f>+H1188*I1188</f>
        <v>292.64</v>
      </c>
      <c r="K1188" s="17"/>
      <c r="L1188" s="16" t="s">
        <v>18</v>
      </c>
      <c r="M1188" s="16" t="s">
        <v>22</v>
      </c>
      <c r="N1188" s="39" t="s">
        <v>418</v>
      </c>
      <c r="O1188" s="20"/>
    </row>
    <row r="1189" spans="1:15" s="12" customFormat="1" ht="18">
      <c r="A1189" s="178" t="s">
        <v>120</v>
      </c>
      <c r="B1189" s="75" t="s">
        <v>1895</v>
      </c>
      <c r="C1189" s="39" t="s">
        <v>17</v>
      </c>
      <c r="D1189" s="236">
        <v>63</v>
      </c>
      <c r="E1189" s="236">
        <v>63</v>
      </c>
      <c r="F1189" s="236">
        <v>63</v>
      </c>
      <c r="G1189" s="236">
        <v>63</v>
      </c>
      <c r="H1189" s="416">
        <f>+Tabla13211242[[#This Row],[CUARTO TRIMESTRE]]+Tabla13211242[[#This Row],[TERCER TRIMESTRE]]+Tabla13211242[[#This Row],[SEGUNDO TRIMESTRE]]+Tabla13211242[[#This Row],[PRIMER TRIMESTRE]]</f>
        <v>252</v>
      </c>
      <c r="I1189" s="72"/>
      <c r="J1189" s="17"/>
      <c r="K1189" s="17"/>
      <c r="L1189" s="16"/>
      <c r="M1189" s="16"/>
      <c r="N1189" s="39"/>
      <c r="O1189" s="20"/>
    </row>
    <row r="1190" spans="1:15" s="12" customFormat="1" ht="18">
      <c r="A1190" s="178" t="s">
        <v>120</v>
      </c>
      <c r="B1190" s="75" t="s">
        <v>272</v>
      </c>
      <c r="C1190" s="39" t="s">
        <v>17</v>
      </c>
      <c r="D1190" s="236"/>
      <c r="E1190" s="236"/>
      <c r="F1190" s="236"/>
      <c r="G1190" s="236"/>
      <c r="H1190" s="41">
        <f>SUM(Tabla13211242[[#This Row],[PRIMER TRIMESTRE]:[CUARTO TRIMESTRE]])</f>
        <v>0</v>
      </c>
      <c r="I1190" s="17">
        <v>348</v>
      </c>
      <c r="J1190" s="17">
        <f>+Tabla13211242[[#This Row],[CANTIDAD TOTAL]]*Tabla13211242[[#This Row],[PRECIO UNITARIO ESTIMADO]]</f>
        <v>0</v>
      </c>
      <c r="K1190" s="17"/>
      <c r="L1190" s="16" t="s">
        <v>18</v>
      </c>
      <c r="M1190" s="16" t="s">
        <v>22</v>
      </c>
      <c r="N1190" s="39" t="s">
        <v>418</v>
      </c>
      <c r="O1190" s="20"/>
    </row>
    <row r="1191" spans="1:15" s="12" customFormat="1" ht="18">
      <c r="A1191" s="178" t="s">
        <v>120</v>
      </c>
      <c r="B1191" s="75" t="s">
        <v>758</v>
      </c>
      <c r="C1191" s="39" t="s">
        <v>17</v>
      </c>
      <c r="D1191" s="236"/>
      <c r="E1191" s="236"/>
      <c r="F1191" s="236"/>
      <c r="G1191" s="236"/>
      <c r="H1191" s="41">
        <f>SUM(Tabla13211242[[#This Row],[PRIMER TRIMESTRE]:[CUARTO TRIMESTRE]])</f>
        <v>0</v>
      </c>
      <c r="I1191" s="17">
        <v>61.95</v>
      </c>
      <c r="J1191" s="17">
        <f t="shared" ref="J1191:J1259" si="32">+H1191*I1191</f>
        <v>0</v>
      </c>
      <c r="K1191" s="17"/>
      <c r="L1191" s="16" t="s">
        <v>18</v>
      </c>
      <c r="M1191" s="16" t="s">
        <v>22</v>
      </c>
      <c r="N1191" s="39" t="s">
        <v>418</v>
      </c>
      <c r="O1191" s="20"/>
    </row>
    <row r="1192" spans="1:15" s="12" customFormat="1" ht="18">
      <c r="A1192" s="178" t="s">
        <v>120</v>
      </c>
      <c r="B1192" s="75" t="s">
        <v>1767</v>
      </c>
      <c r="C1192" s="39" t="s">
        <v>417</v>
      </c>
      <c r="D1192" s="236"/>
      <c r="E1192" s="236"/>
      <c r="F1192" s="236"/>
      <c r="G1192" s="236"/>
      <c r="H1192" s="41">
        <f>SUM(Tabla13211242[[#This Row],[PRIMER TRIMESTRE]:[CUARTO TRIMESTRE]])</f>
        <v>0</v>
      </c>
      <c r="I1192" s="17">
        <v>0</v>
      </c>
      <c r="J1192" s="17">
        <v>0</v>
      </c>
      <c r="K1192" s="17"/>
      <c r="L1192" s="16" t="s">
        <v>18</v>
      </c>
      <c r="M1192" s="16" t="s">
        <v>22</v>
      </c>
      <c r="N1192" s="39" t="s">
        <v>418</v>
      </c>
      <c r="O1192" s="20"/>
    </row>
    <row r="1193" spans="1:15" s="12" customFormat="1" ht="18">
      <c r="A1193" s="178" t="s">
        <v>120</v>
      </c>
      <c r="B1193" s="184" t="s">
        <v>477</v>
      </c>
      <c r="C1193" s="39" t="s">
        <v>417</v>
      </c>
      <c r="D1193" s="236"/>
      <c r="E1193" s="236"/>
      <c r="F1193" s="236"/>
      <c r="G1193" s="236"/>
      <c r="H1193" s="41">
        <f>SUM(Tabla13211242[[#This Row],[PRIMER TRIMESTRE]:[CUARTO TRIMESTRE]])</f>
        <v>0</v>
      </c>
      <c r="I1193" s="17">
        <v>650</v>
      </c>
      <c r="J1193" s="17">
        <f t="shared" si="32"/>
        <v>0</v>
      </c>
      <c r="K1193" s="17"/>
      <c r="L1193" s="16" t="s">
        <v>18</v>
      </c>
      <c r="M1193" s="16" t="s">
        <v>22</v>
      </c>
      <c r="N1193" s="39" t="s">
        <v>418</v>
      </c>
      <c r="O1193" s="20"/>
    </row>
    <row r="1194" spans="1:15" s="12" customFormat="1" ht="18">
      <c r="A1194" s="178" t="s">
        <v>120</v>
      </c>
      <c r="B1194" s="184" t="s">
        <v>478</v>
      </c>
      <c r="C1194" s="39" t="s">
        <v>417</v>
      </c>
      <c r="D1194" s="236"/>
      <c r="E1194" s="236"/>
      <c r="F1194" s="236"/>
      <c r="G1194" s="236"/>
      <c r="H1194" s="41">
        <f>SUM(Tabla13211242[[#This Row],[PRIMER TRIMESTRE]:[CUARTO TRIMESTRE]])</f>
        <v>0</v>
      </c>
      <c r="I1194" s="17">
        <v>950</v>
      </c>
      <c r="J1194" s="17">
        <f t="shared" si="32"/>
        <v>0</v>
      </c>
      <c r="K1194" s="17"/>
      <c r="L1194" s="16" t="s">
        <v>18</v>
      </c>
      <c r="M1194" s="16" t="s">
        <v>22</v>
      </c>
      <c r="N1194" s="39" t="s">
        <v>418</v>
      </c>
      <c r="O1194" s="20"/>
    </row>
    <row r="1195" spans="1:15" s="12" customFormat="1" ht="18">
      <c r="A1195" s="178" t="s">
        <v>120</v>
      </c>
      <c r="B1195" s="185" t="s">
        <v>479</v>
      </c>
      <c r="C1195" s="39" t="s">
        <v>417</v>
      </c>
      <c r="D1195" s="236"/>
      <c r="E1195" s="236"/>
      <c r="F1195" s="236"/>
      <c r="G1195" s="236"/>
      <c r="H1195" s="41">
        <f>SUM(Tabla13211242[[#This Row],[PRIMER TRIMESTRE]:[CUARTO TRIMESTRE]])</f>
        <v>0</v>
      </c>
      <c r="I1195" s="17">
        <v>650</v>
      </c>
      <c r="J1195" s="17">
        <f t="shared" si="32"/>
        <v>0</v>
      </c>
      <c r="K1195" s="17"/>
      <c r="L1195" s="16" t="s">
        <v>18</v>
      </c>
      <c r="M1195" s="16" t="s">
        <v>22</v>
      </c>
      <c r="N1195" s="39" t="s">
        <v>418</v>
      </c>
      <c r="O1195" s="20"/>
    </row>
    <row r="1196" spans="1:15" s="12" customFormat="1" ht="18">
      <c r="A1196" s="178" t="s">
        <v>120</v>
      </c>
      <c r="B1196" s="184" t="s">
        <v>480</v>
      </c>
      <c r="C1196" s="39" t="s">
        <v>417</v>
      </c>
      <c r="D1196" s="236"/>
      <c r="E1196" s="236"/>
      <c r="F1196" s="236"/>
      <c r="G1196" s="236"/>
      <c r="H1196" s="41">
        <f>SUM(Tabla13211242[[#This Row],[PRIMER TRIMESTRE]:[CUARTO TRIMESTRE]])</f>
        <v>0</v>
      </c>
      <c r="I1196" s="17">
        <v>800</v>
      </c>
      <c r="J1196" s="17">
        <f t="shared" si="32"/>
        <v>0</v>
      </c>
      <c r="K1196" s="17"/>
      <c r="L1196" s="16" t="s">
        <v>18</v>
      </c>
      <c r="M1196" s="16" t="s">
        <v>22</v>
      </c>
      <c r="N1196" s="39" t="s">
        <v>418</v>
      </c>
      <c r="O1196" s="20"/>
    </row>
    <row r="1197" spans="1:15" s="12" customFormat="1" ht="18">
      <c r="A1197" s="178" t="s">
        <v>120</v>
      </c>
      <c r="B1197" s="184" t="s">
        <v>481</v>
      </c>
      <c r="C1197" s="39" t="s">
        <v>417</v>
      </c>
      <c r="D1197" s="236"/>
      <c r="E1197" s="236"/>
      <c r="F1197" s="236"/>
      <c r="G1197" s="236"/>
      <c r="H1197" s="41">
        <f>SUM(Tabla13211242[[#This Row],[PRIMER TRIMESTRE]:[CUARTO TRIMESTRE]])</f>
        <v>0</v>
      </c>
      <c r="I1197" s="17">
        <v>1190</v>
      </c>
      <c r="J1197" s="17">
        <f t="shared" si="32"/>
        <v>0</v>
      </c>
      <c r="K1197" s="17"/>
      <c r="L1197" s="16" t="s">
        <v>18</v>
      </c>
      <c r="M1197" s="16" t="s">
        <v>22</v>
      </c>
      <c r="N1197" s="39" t="s">
        <v>418</v>
      </c>
      <c r="O1197" s="20"/>
    </row>
    <row r="1198" spans="1:15" s="12" customFormat="1" ht="18">
      <c r="A1198" s="178" t="s">
        <v>120</v>
      </c>
      <c r="B1198" s="184" t="s">
        <v>482</v>
      </c>
      <c r="C1198" s="39" t="s">
        <v>417</v>
      </c>
      <c r="D1198" s="236"/>
      <c r="E1198" s="236"/>
      <c r="F1198" s="236"/>
      <c r="G1198" s="236"/>
      <c r="H1198" s="41">
        <f>SUM(Tabla13211242[[#This Row],[PRIMER TRIMESTRE]:[CUARTO TRIMESTRE]])</f>
        <v>0</v>
      </c>
      <c r="I1198" s="17">
        <v>1050</v>
      </c>
      <c r="J1198" s="17">
        <f t="shared" si="32"/>
        <v>0</v>
      </c>
      <c r="K1198" s="17"/>
      <c r="L1198" s="16" t="s">
        <v>18</v>
      </c>
      <c r="M1198" s="16" t="s">
        <v>22</v>
      </c>
      <c r="N1198" s="39" t="s">
        <v>418</v>
      </c>
      <c r="O1198" s="20"/>
    </row>
    <row r="1199" spans="1:15" s="12" customFormat="1" ht="18">
      <c r="A1199" s="178" t="s">
        <v>120</v>
      </c>
      <c r="B1199" s="184" t="s">
        <v>483</v>
      </c>
      <c r="C1199" s="39" t="s">
        <v>417</v>
      </c>
      <c r="D1199" s="236"/>
      <c r="E1199" s="236"/>
      <c r="F1199" s="236"/>
      <c r="G1199" s="236"/>
      <c r="H1199" s="41">
        <f>SUM(Tabla13211242[[#This Row],[PRIMER TRIMESTRE]:[CUARTO TRIMESTRE]])</f>
        <v>0</v>
      </c>
      <c r="I1199" s="17">
        <v>990</v>
      </c>
      <c r="J1199" s="17">
        <f t="shared" si="32"/>
        <v>0</v>
      </c>
      <c r="K1199" s="17"/>
      <c r="L1199" s="16" t="s">
        <v>18</v>
      </c>
      <c r="M1199" s="16" t="s">
        <v>22</v>
      </c>
      <c r="N1199" s="39" t="s">
        <v>418</v>
      </c>
      <c r="O1199" s="20"/>
    </row>
    <row r="1200" spans="1:15" s="12" customFormat="1" ht="18">
      <c r="A1200" s="178" t="s">
        <v>120</v>
      </c>
      <c r="B1200" s="184" t="s">
        <v>484</v>
      </c>
      <c r="C1200" s="39" t="s">
        <v>417</v>
      </c>
      <c r="D1200" s="236"/>
      <c r="E1200" s="236"/>
      <c r="F1200" s="236"/>
      <c r="G1200" s="236"/>
      <c r="H1200" s="41">
        <f>SUM(Tabla13211242[[#This Row],[PRIMER TRIMESTRE]:[CUARTO TRIMESTRE]])</f>
        <v>0</v>
      </c>
      <c r="I1200" s="17">
        <v>450</v>
      </c>
      <c r="J1200" s="17">
        <f t="shared" si="32"/>
        <v>0</v>
      </c>
      <c r="K1200" s="17"/>
      <c r="L1200" s="16" t="s">
        <v>18</v>
      </c>
      <c r="M1200" s="16" t="s">
        <v>22</v>
      </c>
      <c r="N1200" s="39" t="s">
        <v>418</v>
      </c>
      <c r="O1200" s="20"/>
    </row>
    <row r="1201" spans="1:15" s="12" customFormat="1" ht="18">
      <c r="A1201" s="178" t="s">
        <v>120</v>
      </c>
      <c r="B1201" s="80" t="s">
        <v>1896</v>
      </c>
      <c r="C1201" s="39" t="s">
        <v>1778</v>
      </c>
      <c r="D1201" s="236">
        <v>2</v>
      </c>
      <c r="E1201" s="236">
        <v>2</v>
      </c>
      <c r="F1201" s="236">
        <v>2</v>
      </c>
      <c r="G1201" s="236">
        <v>2</v>
      </c>
      <c r="H1201" s="46">
        <v>6</v>
      </c>
      <c r="I1201" s="17">
        <v>1000</v>
      </c>
      <c r="J1201" s="17">
        <v>6000</v>
      </c>
      <c r="K1201" s="17"/>
      <c r="L1201" s="16"/>
      <c r="M1201" s="16"/>
      <c r="N1201" s="39"/>
      <c r="O1201" s="20"/>
    </row>
    <row r="1202" spans="1:15" s="12" customFormat="1" ht="18">
      <c r="A1202" s="178" t="s">
        <v>120</v>
      </c>
      <c r="B1202" s="184" t="s">
        <v>485</v>
      </c>
      <c r="C1202" s="39" t="s">
        <v>417</v>
      </c>
      <c r="D1202" s="236"/>
      <c r="E1202" s="236"/>
      <c r="F1202" s="236"/>
      <c r="G1202" s="236"/>
      <c r="H1202" s="41">
        <f>SUM(Tabla13211242[[#This Row],[PRIMER TRIMESTRE]:[CUARTO TRIMESTRE]])</f>
        <v>0</v>
      </c>
      <c r="I1202" s="17">
        <v>550</v>
      </c>
      <c r="J1202" s="17">
        <f t="shared" si="32"/>
        <v>0</v>
      </c>
      <c r="K1202" s="17"/>
      <c r="L1202" s="16" t="s">
        <v>18</v>
      </c>
      <c r="M1202" s="16" t="s">
        <v>22</v>
      </c>
      <c r="N1202" s="39" t="s">
        <v>418</v>
      </c>
      <c r="O1202" s="20"/>
    </row>
    <row r="1203" spans="1:15" s="12" customFormat="1" ht="18">
      <c r="A1203" s="178" t="s">
        <v>120</v>
      </c>
      <c r="B1203" s="184" t="s">
        <v>486</v>
      </c>
      <c r="C1203" s="39" t="s">
        <v>417</v>
      </c>
      <c r="D1203" s="236"/>
      <c r="E1203" s="236"/>
      <c r="F1203" s="236"/>
      <c r="G1203" s="236"/>
      <c r="H1203" s="41">
        <f>SUM(Tabla13211242[[#This Row],[PRIMER TRIMESTRE]:[CUARTO TRIMESTRE]])</f>
        <v>0</v>
      </c>
      <c r="I1203" s="17">
        <v>1000</v>
      </c>
      <c r="J1203" s="17">
        <f t="shared" si="32"/>
        <v>0</v>
      </c>
      <c r="K1203" s="17"/>
      <c r="L1203" s="16" t="s">
        <v>18</v>
      </c>
      <c r="M1203" s="16" t="s">
        <v>22</v>
      </c>
      <c r="N1203" s="39" t="s">
        <v>418</v>
      </c>
      <c r="O1203" s="20"/>
    </row>
    <row r="1204" spans="1:15" s="12" customFormat="1" ht="18">
      <c r="A1204" s="178" t="s">
        <v>120</v>
      </c>
      <c r="B1204" s="184" t="s">
        <v>487</v>
      </c>
      <c r="C1204" s="39" t="s">
        <v>417</v>
      </c>
      <c r="D1204" s="236"/>
      <c r="E1204" s="236"/>
      <c r="F1204" s="236"/>
      <c r="G1204" s="236"/>
      <c r="H1204" s="41">
        <f>SUM(Tabla13211242[[#This Row],[PRIMER TRIMESTRE]:[CUARTO TRIMESTRE]])</f>
        <v>0</v>
      </c>
      <c r="I1204" s="17">
        <v>850</v>
      </c>
      <c r="J1204" s="17">
        <f t="shared" si="32"/>
        <v>0</v>
      </c>
      <c r="K1204" s="17"/>
      <c r="L1204" s="16" t="s">
        <v>18</v>
      </c>
      <c r="M1204" s="16" t="s">
        <v>22</v>
      </c>
      <c r="N1204" s="39" t="s">
        <v>418</v>
      </c>
      <c r="O1204" s="20"/>
    </row>
    <row r="1205" spans="1:15" s="12" customFormat="1" ht="18">
      <c r="A1205" s="178" t="s">
        <v>120</v>
      </c>
      <c r="B1205" s="184" t="s">
        <v>488</v>
      </c>
      <c r="C1205" s="39" t="s">
        <v>417</v>
      </c>
      <c r="D1205" s="236"/>
      <c r="E1205" s="236"/>
      <c r="F1205" s="236"/>
      <c r="G1205" s="236"/>
      <c r="H1205" s="41">
        <f>SUM(Tabla13211242[[#This Row],[PRIMER TRIMESTRE]:[CUARTO TRIMESTRE]])</f>
        <v>0</v>
      </c>
      <c r="I1205" s="17">
        <v>850</v>
      </c>
      <c r="J1205" s="17">
        <f t="shared" si="32"/>
        <v>0</v>
      </c>
      <c r="K1205" s="17"/>
      <c r="L1205" s="16" t="s">
        <v>18</v>
      </c>
      <c r="M1205" s="16" t="s">
        <v>22</v>
      </c>
      <c r="N1205" s="39" t="s">
        <v>418</v>
      </c>
      <c r="O1205" s="20"/>
    </row>
    <row r="1206" spans="1:15" s="12" customFormat="1" ht="18">
      <c r="A1206" s="178" t="s">
        <v>120</v>
      </c>
      <c r="B1206" s="184" t="s">
        <v>489</v>
      </c>
      <c r="C1206" s="39" t="s">
        <v>417</v>
      </c>
      <c r="D1206" s="236"/>
      <c r="E1206" s="236"/>
      <c r="F1206" s="236"/>
      <c r="G1206" s="236"/>
      <c r="H1206" s="41">
        <f>SUM(Tabla13211242[[#This Row],[PRIMER TRIMESTRE]:[CUARTO TRIMESTRE]])</f>
        <v>0</v>
      </c>
      <c r="I1206" s="17">
        <v>650</v>
      </c>
      <c r="J1206" s="17">
        <f t="shared" si="32"/>
        <v>0</v>
      </c>
      <c r="K1206" s="17"/>
      <c r="L1206" s="16" t="s">
        <v>18</v>
      </c>
      <c r="M1206" s="16" t="s">
        <v>22</v>
      </c>
      <c r="N1206" s="39" t="s">
        <v>418</v>
      </c>
      <c r="O1206" s="20"/>
    </row>
    <row r="1207" spans="1:15" s="12" customFormat="1" ht="18">
      <c r="A1207" s="178" t="s">
        <v>120</v>
      </c>
      <c r="B1207" s="184" t="s">
        <v>490</v>
      </c>
      <c r="C1207" s="39" t="s">
        <v>417</v>
      </c>
      <c r="D1207" s="236"/>
      <c r="E1207" s="236"/>
      <c r="F1207" s="236"/>
      <c r="G1207" s="236"/>
      <c r="H1207" s="41">
        <f>SUM(Tabla13211242[[#This Row],[PRIMER TRIMESTRE]:[CUARTO TRIMESTRE]])</f>
        <v>0</v>
      </c>
      <c r="I1207" s="17">
        <v>1100</v>
      </c>
      <c r="J1207" s="17">
        <f t="shared" si="32"/>
        <v>0</v>
      </c>
      <c r="K1207" s="17"/>
      <c r="L1207" s="16" t="s">
        <v>18</v>
      </c>
      <c r="M1207" s="16" t="s">
        <v>22</v>
      </c>
      <c r="N1207" s="39" t="s">
        <v>418</v>
      </c>
      <c r="O1207" s="20"/>
    </row>
    <row r="1208" spans="1:15" s="12" customFormat="1" ht="18">
      <c r="A1208" s="178" t="s">
        <v>120</v>
      </c>
      <c r="B1208" s="184" t="s">
        <v>491</v>
      </c>
      <c r="C1208" s="39" t="s">
        <v>417</v>
      </c>
      <c r="D1208" s="236"/>
      <c r="E1208" s="236"/>
      <c r="F1208" s="236"/>
      <c r="G1208" s="236"/>
      <c r="H1208" s="41">
        <f>SUM(Tabla13211242[[#This Row],[PRIMER TRIMESTRE]:[CUARTO TRIMESTRE]])</f>
        <v>0</v>
      </c>
      <c r="I1208" s="17">
        <v>1100</v>
      </c>
      <c r="J1208" s="17">
        <f t="shared" si="32"/>
        <v>0</v>
      </c>
      <c r="K1208" s="17"/>
      <c r="L1208" s="16" t="s">
        <v>18</v>
      </c>
      <c r="M1208" s="16" t="s">
        <v>22</v>
      </c>
      <c r="N1208" s="39" t="s">
        <v>418</v>
      </c>
      <c r="O1208" s="20"/>
    </row>
    <row r="1209" spans="1:15" s="12" customFormat="1" ht="18">
      <c r="A1209" s="178" t="s">
        <v>120</v>
      </c>
      <c r="B1209" s="184" t="s">
        <v>492</v>
      </c>
      <c r="C1209" s="39" t="s">
        <v>417</v>
      </c>
      <c r="D1209" s="236"/>
      <c r="E1209" s="236"/>
      <c r="F1209" s="236"/>
      <c r="G1209" s="236"/>
      <c r="H1209" s="41">
        <f>SUM(Tabla13211242[[#This Row],[PRIMER TRIMESTRE]:[CUARTO TRIMESTRE]])</f>
        <v>0</v>
      </c>
      <c r="I1209" s="17">
        <v>1500</v>
      </c>
      <c r="J1209" s="17">
        <f t="shared" si="32"/>
        <v>0</v>
      </c>
      <c r="K1209" s="17"/>
      <c r="L1209" s="16" t="s">
        <v>18</v>
      </c>
      <c r="M1209" s="16" t="s">
        <v>22</v>
      </c>
      <c r="N1209" s="39" t="s">
        <v>418</v>
      </c>
      <c r="O1209" s="20"/>
    </row>
    <row r="1210" spans="1:15" s="12" customFormat="1" ht="18">
      <c r="A1210" s="178" t="s">
        <v>120</v>
      </c>
      <c r="B1210" s="184" t="s">
        <v>493</v>
      </c>
      <c r="C1210" s="39" t="s">
        <v>417</v>
      </c>
      <c r="D1210" s="236"/>
      <c r="E1210" s="236"/>
      <c r="F1210" s="236"/>
      <c r="G1210" s="236"/>
      <c r="H1210" s="41">
        <f>SUM(Tabla13211242[[#This Row],[PRIMER TRIMESTRE]:[CUARTO TRIMESTRE]])</f>
        <v>0</v>
      </c>
      <c r="I1210" s="17">
        <v>1650</v>
      </c>
      <c r="J1210" s="17">
        <f t="shared" si="32"/>
        <v>0</v>
      </c>
      <c r="K1210" s="17"/>
      <c r="L1210" s="16" t="s">
        <v>18</v>
      </c>
      <c r="M1210" s="16" t="s">
        <v>22</v>
      </c>
      <c r="N1210" s="39" t="s">
        <v>418</v>
      </c>
      <c r="O1210" s="20"/>
    </row>
    <row r="1211" spans="1:15" s="12" customFormat="1" ht="18">
      <c r="A1211" s="178" t="s">
        <v>120</v>
      </c>
      <c r="B1211" s="184" t="s">
        <v>494</v>
      </c>
      <c r="C1211" s="39" t="s">
        <v>417</v>
      </c>
      <c r="D1211" s="236"/>
      <c r="E1211" s="236"/>
      <c r="F1211" s="236"/>
      <c r="G1211" s="236"/>
      <c r="H1211" s="41">
        <f>SUM(Tabla13211242[[#This Row],[PRIMER TRIMESTRE]:[CUARTO TRIMESTRE]])</f>
        <v>0</v>
      </c>
      <c r="I1211" s="17">
        <v>1250</v>
      </c>
      <c r="J1211" s="17">
        <f t="shared" si="32"/>
        <v>0</v>
      </c>
      <c r="K1211" s="17"/>
      <c r="L1211" s="16" t="s">
        <v>18</v>
      </c>
      <c r="M1211" s="16" t="s">
        <v>22</v>
      </c>
      <c r="N1211" s="39" t="s">
        <v>418</v>
      </c>
      <c r="O1211" s="20"/>
    </row>
    <row r="1212" spans="1:15" s="12" customFormat="1" ht="18">
      <c r="A1212" s="178" t="s">
        <v>120</v>
      </c>
      <c r="B1212" s="185" t="s">
        <v>495</v>
      </c>
      <c r="C1212" s="39" t="s">
        <v>417</v>
      </c>
      <c r="D1212" s="236"/>
      <c r="E1212" s="236"/>
      <c r="F1212" s="236"/>
      <c r="G1212" s="236"/>
      <c r="H1212" s="41">
        <f>SUM(Tabla13211242[[#This Row],[PRIMER TRIMESTRE]:[CUARTO TRIMESTRE]])</f>
        <v>0</v>
      </c>
      <c r="I1212" s="17">
        <v>1672</v>
      </c>
      <c r="J1212" s="17">
        <f t="shared" si="32"/>
        <v>0</v>
      </c>
      <c r="K1212" s="17"/>
      <c r="L1212" s="16" t="s">
        <v>18</v>
      </c>
      <c r="M1212" s="16" t="s">
        <v>22</v>
      </c>
      <c r="N1212" s="39" t="s">
        <v>418</v>
      </c>
      <c r="O1212" s="20"/>
    </row>
    <row r="1213" spans="1:15" s="12" customFormat="1" ht="25.5">
      <c r="A1213" s="178" t="s">
        <v>120</v>
      </c>
      <c r="B1213" s="185" t="s">
        <v>533</v>
      </c>
      <c r="C1213" s="39" t="s">
        <v>417</v>
      </c>
      <c r="D1213" s="236"/>
      <c r="E1213" s="236"/>
      <c r="F1213" s="236"/>
      <c r="G1213" s="236"/>
      <c r="H1213" s="41">
        <f>SUM(Tabla13211242[[#This Row],[PRIMER TRIMESTRE]:[CUARTO TRIMESTRE]])</f>
        <v>0</v>
      </c>
      <c r="I1213" s="17">
        <v>720</v>
      </c>
      <c r="J1213" s="17">
        <f t="shared" si="32"/>
        <v>0</v>
      </c>
      <c r="K1213" s="17"/>
      <c r="L1213" s="16" t="s">
        <v>18</v>
      </c>
      <c r="M1213" s="16" t="s">
        <v>22</v>
      </c>
      <c r="N1213" s="39" t="s">
        <v>418</v>
      </c>
      <c r="O1213" s="20"/>
    </row>
    <row r="1214" spans="1:15" s="12" customFormat="1" ht="25.5">
      <c r="A1214" s="178" t="s">
        <v>120</v>
      </c>
      <c r="B1214" s="185" t="s">
        <v>534</v>
      </c>
      <c r="C1214" s="39" t="s">
        <v>417</v>
      </c>
      <c r="D1214" s="236"/>
      <c r="E1214" s="236"/>
      <c r="F1214" s="236"/>
      <c r="G1214" s="236"/>
      <c r="H1214" s="41">
        <f>SUM(Tabla13211242[[#This Row],[PRIMER TRIMESTRE]:[CUARTO TRIMESTRE]])</f>
        <v>0</v>
      </c>
      <c r="I1214" s="17">
        <v>1280</v>
      </c>
      <c r="J1214" s="17">
        <f t="shared" si="32"/>
        <v>0</v>
      </c>
      <c r="K1214" s="17"/>
      <c r="L1214" s="16" t="s">
        <v>18</v>
      </c>
      <c r="M1214" s="16" t="s">
        <v>22</v>
      </c>
      <c r="N1214" s="39" t="s">
        <v>418</v>
      </c>
      <c r="O1214" s="20"/>
    </row>
    <row r="1215" spans="1:15" s="12" customFormat="1" ht="18">
      <c r="A1215" s="178" t="s">
        <v>120</v>
      </c>
      <c r="B1215" s="185" t="s">
        <v>1443</v>
      </c>
      <c r="C1215" s="39" t="s">
        <v>417</v>
      </c>
      <c r="D1215" s="236"/>
      <c r="E1215" s="236"/>
      <c r="F1215" s="236"/>
      <c r="G1215" s="236"/>
      <c r="H1215" s="41">
        <f>SUM(Tabla13211242[[#This Row],[PRIMER TRIMESTRE]:[CUARTO TRIMESTRE]])</f>
        <v>0</v>
      </c>
      <c r="I1215" s="17">
        <v>4159.5</v>
      </c>
      <c r="J1215" s="17">
        <f t="shared" si="32"/>
        <v>0</v>
      </c>
      <c r="K1215" s="17"/>
      <c r="L1215" s="16" t="s">
        <v>15</v>
      </c>
      <c r="M1215" s="16" t="s">
        <v>22</v>
      </c>
      <c r="N1215" s="39" t="s">
        <v>418</v>
      </c>
      <c r="O1215" s="20"/>
    </row>
    <row r="1216" spans="1:15" s="12" customFormat="1" ht="18">
      <c r="A1216" s="178" t="s">
        <v>120</v>
      </c>
      <c r="B1216" s="185" t="s">
        <v>1444</v>
      </c>
      <c r="C1216" s="39" t="s">
        <v>417</v>
      </c>
      <c r="D1216" s="236"/>
      <c r="E1216" s="236"/>
      <c r="F1216" s="236"/>
      <c r="G1216" s="236"/>
      <c r="H1216" s="41">
        <f>SUM(Tabla13211242[[#This Row],[PRIMER TRIMESTRE]:[CUARTO TRIMESTRE]])</f>
        <v>0</v>
      </c>
      <c r="I1216" s="17">
        <v>4159.5</v>
      </c>
      <c r="J1216" s="17">
        <f t="shared" si="32"/>
        <v>0</v>
      </c>
      <c r="K1216" s="17"/>
      <c r="L1216" s="16" t="s">
        <v>15</v>
      </c>
      <c r="M1216" s="16" t="s">
        <v>22</v>
      </c>
      <c r="N1216" s="39" t="s">
        <v>418</v>
      </c>
      <c r="O1216" s="20"/>
    </row>
    <row r="1217" spans="1:15" s="12" customFormat="1" ht="18">
      <c r="A1217" s="178" t="s">
        <v>120</v>
      </c>
      <c r="B1217" s="185" t="s">
        <v>1445</v>
      </c>
      <c r="C1217" s="39" t="s">
        <v>417</v>
      </c>
      <c r="D1217" s="236"/>
      <c r="E1217" s="236"/>
      <c r="F1217" s="236"/>
      <c r="G1217" s="236"/>
      <c r="H1217" s="41">
        <f>SUM(Tabla13211242[[#This Row],[PRIMER TRIMESTRE]:[CUARTO TRIMESTRE]])</f>
        <v>0</v>
      </c>
      <c r="I1217" s="17">
        <v>4159.5</v>
      </c>
      <c r="J1217" s="17">
        <f t="shared" si="32"/>
        <v>0</v>
      </c>
      <c r="K1217" s="17"/>
      <c r="L1217" s="16" t="s">
        <v>15</v>
      </c>
      <c r="M1217" s="16" t="s">
        <v>22</v>
      </c>
      <c r="N1217" s="39" t="s">
        <v>418</v>
      </c>
      <c r="O1217" s="20"/>
    </row>
    <row r="1218" spans="1:15" s="12" customFormat="1" ht="18">
      <c r="A1218" s="178" t="s">
        <v>120</v>
      </c>
      <c r="B1218" s="185" t="s">
        <v>474</v>
      </c>
      <c r="C1218" s="39" t="s">
        <v>417</v>
      </c>
      <c r="D1218" s="236"/>
      <c r="E1218" s="236"/>
      <c r="F1218" s="236"/>
      <c r="G1218" s="236"/>
      <c r="H1218" s="41">
        <f>SUM(Tabla13211242[[#This Row],[PRIMER TRIMESTRE]:[CUARTO TRIMESTRE]])</f>
        <v>0</v>
      </c>
      <c r="I1218" s="17">
        <v>2900</v>
      </c>
      <c r="J1218" s="17">
        <f t="shared" si="32"/>
        <v>0</v>
      </c>
      <c r="K1218" s="17"/>
      <c r="L1218" s="16" t="s">
        <v>18</v>
      </c>
      <c r="M1218" s="16" t="s">
        <v>22</v>
      </c>
      <c r="N1218" s="39" t="s">
        <v>418</v>
      </c>
      <c r="O1218" s="20"/>
    </row>
    <row r="1219" spans="1:15" s="12" customFormat="1" ht="18">
      <c r="A1219" s="178" t="s">
        <v>120</v>
      </c>
      <c r="B1219" s="184" t="s">
        <v>475</v>
      </c>
      <c r="C1219" s="39" t="s">
        <v>417</v>
      </c>
      <c r="D1219" s="236"/>
      <c r="E1219" s="236"/>
      <c r="F1219" s="236"/>
      <c r="G1219" s="236"/>
      <c r="H1219" s="41">
        <f>SUM(Tabla13211242[[#This Row],[PRIMER TRIMESTRE]:[CUARTO TRIMESTRE]])</f>
        <v>0</v>
      </c>
      <c r="I1219" s="17">
        <v>2350</v>
      </c>
      <c r="J1219" s="17">
        <f t="shared" si="32"/>
        <v>0</v>
      </c>
      <c r="K1219" s="17"/>
      <c r="L1219" s="16" t="s">
        <v>18</v>
      </c>
      <c r="M1219" s="16" t="s">
        <v>22</v>
      </c>
      <c r="N1219" s="39" t="s">
        <v>418</v>
      </c>
      <c r="O1219" s="20"/>
    </row>
    <row r="1220" spans="1:15" s="12" customFormat="1" ht="18">
      <c r="A1220" s="178" t="s">
        <v>120</v>
      </c>
      <c r="B1220" s="184" t="s">
        <v>476</v>
      </c>
      <c r="C1220" s="39" t="s">
        <v>417</v>
      </c>
      <c r="D1220" s="236"/>
      <c r="E1220" s="236"/>
      <c r="F1220" s="236"/>
      <c r="G1220" s="236"/>
      <c r="H1220" s="41">
        <f>SUM(Tabla13211242[[#This Row],[PRIMER TRIMESTRE]:[CUARTO TRIMESTRE]])</f>
        <v>0</v>
      </c>
      <c r="I1220" s="17">
        <v>3990</v>
      </c>
      <c r="J1220" s="17">
        <f t="shared" si="32"/>
        <v>0</v>
      </c>
      <c r="K1220" s="17"/>
      <c r="L1220" s="16" t="s">
        <v>18</v>
      </c>
      <c r="M1220" s="16" t="s">
        <v>22</v>
      </c>
      <c r="N1220" s="39" t="s">
        <v>418</v>
      </c>
      <c r="O1220" s="20"/>
    </row>
    <row r="1221" spans="1:15" s="12" customFormat="1" ht="18">
      <c r="A1221" s="178" t="s">
        <v>120</v>
      </c>
      <c r="B1221" s="185" t="s">
        <v>496</v>
      </c>
      <c r="C1221" s="39" t="s">
        <v>417</v>
      </c>
      <c r="D1221" s="236"/>
      <c r="E1221" s="236"/>
      <c r="F1221" s="236"/>
      <c r="G1221" s="236"/>
      <c r="H1221" s="41">
        <f>SUM(Tabla13211242[[#This Row],[PRIMER TRIMESTRE]:[CUARTO TRIMESTRE]])</f>
        <v>0</v>
      </c>
      <c r="I1221" s="17">
        <v>4200</v>
      </c>
      <c r="J1221" s="17">
        <f t="shared" si="32"/>
        <v>0</v>
      </c>
      <c r="K1221" s="17"/>
      <c r="L1221" s="16" t="s">
        <v>18</v>
      </c>
      <c r="M1221" s="16" t="s">
        <v>22</v>
      </c>
      <c r="N1221" s="39" t="s">
        <v>418</v>
      </c>
      <c r="O1221" s="20"/>
    </row>
    <row r="1222" spans="1:15" s="12" customFormat="1" ht="18">
      <c r="A1222" s="178" t="s">
        <v>120</v>
      </c>
      <c r="B1222" s="184" t="s">
        <v>497</v>
      </c>
      <c r="C1222" s="39" t="s">
        <v>417</v>
      </c>
      <c r="D1222" s="236"/>
      <c r="E1222" s="236"/>
      <c r="F1222" s="236"/>
      <c r="G1222" s="236"/>
      <c r="H1222" s="41">
        <f>SUM(Tabla13211242[[#This Row],[PRIMER TRIMESTRE]:[CUARTO TRIMESTRE]])</f>
        <v>0</v>
      </c>
      <c r="I1222" s="17">
        <v>4200</v>
      </c>
      <c r="J1222" s="17">
        <f t="shared" si="32"/>
        <v>0</v>
      </c>
      <c r="K1222" s="17"/>
      <c r="L1222" s="16" t="s">
        <v>18</v>
      </c>
      <c r="M1222" s="16" t="s">
        <v>22</v>
      </c>
      <c r="N1222" s="39" t="s">
        <v>418</v>
      </c>
      <c r="O1222" s="20"/>
    </row>
    <row r="1223" spans="1:15" s="12" customFormat="1" ht="18">
      <c r="A1223" s="178" t="s">
        <v>120</v>
      </c>
      <c r="B1223" s="184" t="s">
        <v>498</v>
      </c>
      <c r="C1223" s="39" t="s">
        <v>417</v>
      </c>
      <c r="D1223" s="236"/>
      <c r="E1223" s="236"/>
      <c r="F1223" s="236"/>
      <c r="G1223" s="236"/>
      <c r="H1223" s="41">
        <f>SUM(Tabla13211242[[#This Row],[PRIMER TRIMESTRE]:[CUARTO TRIMESTRE]])</f>
        <v>0</v>
      </c>
      <c r="I1223" s="17">
        <v>4200</v>
      </c>
      <c r="J1223" s="17">
        <f t="shared" si="32"/>
        <v>0</v>
      </c>
      <c r="K1223" s="17"/>
      <c r="L1223" s="16" t="s">
        <v>18</v>
      </c>
      <c r="M1223" s="16" t="s">
        <v>22</v>
      </c>
      <c r="N1223" s="39" t="s">
        <v>418</v>
      </c>
      <c r="O1223" s="20"/>
    </row>
    <row r="1224" spans="1:15" s="12" customFormat="1" ht="18">
      <c r="A1224" s="178" t="s">
        <v>120</v>
      </c>
      <c r="B1224" s="184" t="s">
        <v>499</v>
      </c>
      <c r="C1224" s="39" t="s">
        <v>417</v>
      </c>
      <c r="D1224" s="236"/>
      <c r="E1224" s="236"/>
      <c r="F1224" s="236"/>
      <c r="G1224" s="236"/>
      <c r="H1224" s="41">
        <f>SUM(Tabla13211242[[#This Row],[PRIMER TRIMESTRE]:[CUARTO TRIMESTRE]])</f>
        <v>0</v>
      </c>
      <c r="I1224" s="17">
        <v>4200</v>
      </c>
      <c r="J1224" s="17">
        <f t="shared" si="32"/>
        <v>0</v>
      </c>
      <c r="K1224" s="17"/>
      <c r="L1224" s="16" t="s">
        <v>18</v>
      </c>
      <c r="M1224" s="16" t="s">
        <v>22</v>
      </c>
      <c r="N1224" s="39" t="s">
        <v>418</v>
      </c>
      <c r="O1224" s="20"/>
    </row>
    <row r="1225" spans="1:15" s="12" customFormat="1" ht="18">
      <c r="A1225" s="178" t="s">
        <v>120</v>
      </c>
      <c r="B1225" s="185" t="s">
        <v>500</v>
      </c>
      <c r="C1225" s="39" t="s">
        <v>417</v>
      </c>
      <c r="D1225" s="236"/>
      <c r="E1225" s="236"/>
      <c r="F1225" s="236"/>
      <c r="G1225" s="236"/>
      <c r="H1225" s="41">
        <f>SUM(Tabla13211242[[#This Row],[PRIMER TRIMESTRE]:[CUARTO TRIMESTRE]])</f>
        <v>0</v>
      </c>
      <c r="I1225" s="17">
        <v>8210.5</v>
      </c>
      <c r="J1225" s="17">
        <f t="shared" si="32"/>
        <v>0</v>
      </c>
      <c r="K1225" s="17"/>
      <c r="L1225" s="16" t="s">
        <v>18</v>
      </c>
      <c r="M1225" s="16" t="s">
        <v>22</v>
      </c>
      <c r="N1225" s="39" t="s">
        <v>418</v>
      </c>
      <c r="O1225" s="20"/>
    </row>
    <row r="1226" spans="1:15" s="12" customFormat="1" ht="18">
      <c r="A1226" s="178" t="s">
        <v>120</v>
      </c>
      <c r="B1226" s="184" t="s">
        <v>1897</v>
      </c>
      <c r="C1226" s="39" t="s">
        <v>417</v>
      </c>
      <c r="D1226" s="236">
        <v>2</v>
      </c>
      <c r="E1226" s="236">
        <v>2</v>
      </c>
      <c r="F1226" s="236">
        <v>2</v>
      </c>
      <c r="G1226" s="236">
        <v>2</v>
      </c>
      <c r="H1226" s="416">
        <f>+Tabla13211242[[#This Row],[CUARTO TRIMESTRE]]+Tabla13211242[[#This Row],[TERCER TRIMESTRE]]+Tabla13211242[[#This Row],[SEGUNDO TRIMESTRE]]+Tabla13211242[[#This Row],[PRIMER TRIMESTRE]]</f>
        <v>8</v>
      </c>
      <c r="I1226" s="109"/>
      <c r="J1226" s="17">
        <f t="shared" si="32"/>
        <v>0</v>
      </c>
      <c r="K1226" s="17"/>
      <c r="L1226" s="16"/>
      <c r="M1226" s="16"/>
      <c r="N1226" s="39"/>
      <c r="O1226" s="20"/>
    </row>
    <row r="1227" spans="1:15" s="12" customFormat="1" ht="18">
      <c r="A1227" s="178" t="s">
        <v>120</v>
      </c>
      <c r="B1227" s="184" t="s">
        <v>1898</v>
      </c>
      <c r="C1227" s="39" t="s">
        <v>417</v>
      </c>
      <c r="D1227" s="236">
        <v>2</v>
      </c>
      <c r="E1227" s="236">
        <v>2</v>
      </c>
      <c r="F1227" s="236">
        <v>2</v>
      </c>
      <c r="G1227" s="236">
        <v>2</v>
      </c>
      <c r="H1227" s="416">
        <f>+Tabla13211242[[#This Row],[CUARTO TRIMESTRE]]+Tabla13211242[[#This Row],[TERCER TRIMESTRE]]+Tabla13211242[[#This Row],[SEGUNDO TRIMESTRE]]+Tabla13211242[[#This Row],[PRIMER TRIMESTRE]]</f>
        <v>8</v>
      </c>
      <c r="I1227" s="109"/>
      <c r="J1227" s="17">
        <f t="shared" si="32"/>
        <v>0</v>
      </c>
      <c r="K1227" s="17"/>
      <c r="L1227" s="16"/>
      <c r="M1227" s="16"/>
      <c r="N1227" s="39"/>
      <c r="O1227" s="20"/>
    </row>
    <row r="1228" spans="1:15" s="12" customFormat="1" ht="18">
      <c r="A1228" s="178" t="s">
        <v>120</v>
      </c>
      <c r="B1228" s="184" t="s">
        <v>1899</v>
      </c>
      <c r="C1228" s="39" t="s">
        <v>417</v>
      </c>
      <c r="D1228" s="236">
        <v>2</v>
      </c>
      <c r="E1228" s="236">
        <v>2</v>
      </c>
      <c r="F1228" s="236">
        <v>2</v>
      </c>
      <c r="G1228" s="236">
        <v>2</v>
      </c>
      <c r="H1228" s="416">
        <f>+Tabla13211242[[#This Row],[CUARTO TRIMESTRE]]+Tabla13211242[[#This Row],[TERCER TRIMESTRE]]+Tabla13211242[[#This Row],[SEGUNDO TRIMESTRE]]+Tabla13211242[[#This Row],[PRIMER TRIMESTRE]]</f>
        <v>8</v>
      </c>
      <c r="I1228" s="109"/>
      <c r="J1228" s="17">
        <f t="shared" si="32"/>
        <v>0</v>
      </c>
      <c r="K1228" s="17"/>
      <c r="L1228" s="16"/>
      <c r="M1228" s="16"/>
      <c r="N1228" s="39"/>
      <c r="O1228" s="20"/>
    </row>
    <row r="1229" spans="1:15" s="12" customFormat="1" ht="18">
      <c r="A1229" s="178" t="s">
        <v>120</v>
      </c>
      <c r="B1229" s="184" t="s">
        <v>1900</v>
      </c>
      <c r="C1229" s="39" t="s">
        <v>417</v>
      </c>
      <c r="D1229" s="236">
        <v>2</v>
      </c>
      <c r="E1229" s="236">
        <v>2</v>
      </c>
      <c r="F1229" s="236">
        <v>2</v>
      </c>
      <c r="G1229" s="236">
        <v>2</v>
      </c>
      <c r="H1229" s="416">
        <f>+Tabla13211242[[#This Row],[CUARTO TRIMESTRE]]+Tabla13211242[[#This Row],[TERCER TRIMESTRE]]+Tabla13211242[[#This Row],[SEGUNDO TRIMESTRE]]+Tabla13211242[[#This Row],[PRIMER TRIMESTRE]]</f>
        <v>8</v>
      </c>
      <c r="I1229" s="109"/>
      <c r="J1229" s="17">
        <f t="shared" si="32"/>
        <v>0</v>
      </c>
      <c r="K1229" s="17"/>
      <c r="L1229" s="16"/>
      <c r="M1229" s="16"/>
      <c r="N1229" s="39"/>
      <c r="O1229" s="20"/>
    </row>
    <row r="1230" spans="1:15" s="12" customFormat="1" ht="18">
      <c r="A1230" s="178" t="s">
        <v>120</v>
      </c>
      <c r="B1230" s="185" t="s">
        <v>501</v>
      </c>
      <c r="C1230" s="39" t="s">
        <v>417</v>
      </c>
      <c r="D1230" s="236"/>
      <c r="E1230" s="236"/>
      <c r="F1230" s="236"/>
      <c r="G1230" s="236"/>
      <c r="H1230" s="41">
        <f>SUM(Tabla13211242[[#This Row],[PRIMER TRIMESTRE]:[CUARTO TRIMESTRE]])</f>
        <v>0</v>
      </c>
      <c r="I1230" s="17">
        <v>3250</v>
      </c>
      <c r="J1230" s="17">
        <f t="shared" si="32"/>
        <v>0</v>
      </c>
      <c r="K1230" s="17"/>
      <c r="L1230" s="16" t="s">
        <v>18</v>
      </c>
      <c r="M1230" s="16" t="s">
        <v>22</v>
      </c>
      <c r="N1230" s="39" t="s">
        <v>418</v>
      </c>
      <c r="O1230" s="20"/>
    </row>
    <row r="1231" spans="1:15" s="12" customFormat="1" ht="18">
      <c r="A1231" s="178" t="s">
        <v>120</v>
      </c>
      <c r="B1231" s="184" t="s">
        <v>502</v>
      </c>
      <c r="C1231" s="39" t="s">
        <v>417</v>
      </c>
      <c r="D1231" s="236"/>
      <c r="E1231" s="236"/>
      <c r="F1231" s="236"/>
      <c r="G1231" s="236"/>
      <c r="H1231" s="41">
        <f>SUM(Tabla13211242[[#This Row],[PRIMER TRIMESTRE]:[CUARTO TRIMESTRE]])</f>
        <v>0</v>
      </c>
      <c r="I1231" s="17">
        <v>450</v>
      </c>
      <c r="J1231" s="17">
        <f t="shared" si="32"/>
        <v>0</v>
      </c>
      <c r="K1231" s="17"/>
      <c r="L1231" s="16" t="s">
        <v>18</v>
      </c>
      <c r="M1231" s="16" t="s">
        <v>22</v>
      </c>
      <c r="N1231" s="39" t="s">
        <v>418</v>
      </c>
      <c r="O1231" s="20"/>
    </row>
    <row r="1232" spans="1:15" s="12" customFormat="1" ht="18">
      <c r="A1232" s="178" t="s">
        <v>120</v>
      </c>
      <c r="B1232" s="184" t="s">
        <v>503</v>
      </c>
      <c r="C1232" s="39" t="s">
        <v>417</v>
      </c>
      <c r="D1232" s="236"/>
      <c r="E1232" s="236"/>
      <c r="F1232" s="236"/>
      <c r="G1232" s="236"/>
      <c r="H1232" s="41">
        <f>SUM(Tabla13211242[[#This Row],[PRIMER TRIMESTRE]:[CUARTO TRIMESTRE]])</f>
        <v>0</v>
      </c>
      <c r="I1232" s="17">
        <v>450</v>
      </c>
      <c r="J1232" s="17">
        <f t="shared" si="32"/>
        <v>0</v>
      </c>
      <c r="K1232" s="17"/>
      <c r="L1232" s="16" t="s">
        <v>18</v>
      </c>
      <c r="M1232" s="16" t="s">
        <v>22</v>
      </c>
      <c r="N1232" s="39" t="s">
        <v>418</v>
      </c>
      <c r="O1232" s="20"/>
    </row>
    <row r="1233" spans="1:15" s="12" customFormat="1" ht="18">
      <c r="A1233" s="178" t="s">
        <v>120</v>
      </c>
      <c r="B1233" s="184" t="s">
        <v>504</v>
      </c>
      <c r="C1233" s="39" t="s">
        <v>417</v>
      </c>
      <c r="D1233" s="236"/>
      <c r="E1233" s="236"/>
      <c r="F1233" s="236"/>
      <c r="G1233" s="236"/>
      <c r="H1233" s="41">
        <f>SUM(Tabla13211242[[#This Row],[PRIMER TRIMESTRE]:[CUARTO TRIMESTRE]])</f>
        <v>0</v>
      </c>
      <c r="I1233" s="17">
        <v>450</v>
      </c>
      <c r="J1233" s="17">
        <f t="shared" si="32"/>
        <v>0</v>
      </c>
      <c r="K1233" s="17"/>
      <c r="L1233" s="16" t="s">
        <v>18</v>
      </c>
      <c r="M1233" s="16" t="s">
        <v>22</v>
      </c>
      <c r="N1233" s="39" t="s">
        <v>418</v>
      </c>
      <c r="O1233" s="20"/>
    </row>
    <row r="1234" spans="1:15" s="12" customFormat="1" ht="18">
      <c r="A1234" s="178" t="s">
        <v>120</v>
      </c>
      <c r="B1234" s="184" t="s">
        <v>505</v>
      </c>
      <c r="C1234" s="39" t="s">
        <v>417</v>
      </c>
      <c r="D1234" s="236"/>
      <c r="E1234" s="236"/>
      <c r="F1234" s="236"/>
      <c r="G1234" s="236"/>
      <c r="H1234" s="41">
        <f>SUM(Tabla13211242[[#This Row],[PRIMER TRIMESTRE]:[CUARTO TRIMESTRE]])</f>
        <v>0</v>
      </c>
      <c r="I1234" s="17">
        <v>450</v>
      </c>
      <c r="J1234" s="17">
        <f t="shared" si="32"/>
        <v>0</v>
      </c>
      <c r="K1234" s="17"/>
      <c r="L1234" s="16" t="s">
        <v>18</v>
      </c>
      <c r="M1234" s="16" t="s">
        <v>22</v>
      </c>
      <c r="N1234" s="39" t="s">
        <v>418</v>
      </c>
      <c r="O1234" s="20"/>
    </row>
    <row r="1235" spans="1:15" s="12" customFormat="1" ht="18">
      <c r="A1235" s="178" t="s">
        <v>120</v>
      </c>
      <c r="B1235" s="184" t="s">
        <v>506</v>
      </c>
      <c r="C1235" s="39" t="s">
        <v>417</v>
      </c>
      <c r="D1235" s="236"/>
      <c r="E1235" s="236"/>
      <c r="F1235" s="236"/>
      <c r="G1235" s="236"/>
      <c r="H1235" s="41">
        <f>SUM(Tabla13211242[[#This Row],[PRIMER TRIMESTRE]:[CUARTO TRIMESTRE]])</f>
        <v>0</v>
      </c>
      <c r="I1235" s="17">
        <v>5800</v>
      </c>
      <c r="J1235" s="17">
        <f t="shared" si="32"/>
        <v>0</v>
      </c>
      <c r="K1235" s="17"/>
      <c r="L1235" s="16" t="s">
        <v>18</v>
      </c>
      <c r="M1235" s="16" t="s">
        <v>22</v>
      </c>
      <c r="N1235" s="39" t="s">
        <v>418</v>
      </c>
      <c r="O1235" s="20"/>
    </row>
    <row r="1236" spans="1:15" s="12" customFormat="1" ht="18">
      <c r="A1236" s="178" t="s">
        <v>120</v>
      </c>
      <c r="B1236" s="184" t="s">
        <v>507</v>
      </c>
      <c r="C1236" s="39" t="s">
        <v>417</v>
      </c>
      <c r="D1236" s="236"/>
      <c r="E1236" s="236"/>
      <c r="F1236" s="236"/>
      <c r="G1236" s="236"/>
      <c r="H1236" s="41">
        <f>SUM(Tabla13211242[[#This Row],[PRIMER TRIMESTRE]:[CUARTO TRIMESTRE]])</f>
        <v>0</v>
      </c>
      <c r="I1236" s="17">
        <v>2800</v>
      </c>
      <c r="J1236" s="17">
        <f t="shared" si="32"/>
        <v>0</v>
      </c>
      <c r="K1236" s="17"/>
      <c r="L1236" s="16" t="s">
        <v>18</v>
      </c>
      <c r="M1236" s="16" t="s">
        <v>22</v>
      </c>
      <c r="N1236" s="39" t="s">
        <v>418</v>
      </c>
      <c r="O1236" s="20"/>
    </row>
    <row r="1237" spans="1:15" s="12" customFormat="1" ht="18">
      <c r="A1237" s="178" t="s">
        <v>120</v>
      </c>
      <c r="B1237" s="184" t="s">
        <v>508</v>
      </c>
      <c r="C1237" s="39" t="s">
        <v>417</v>
      </c>
      <c r="D1237" s="236"/>
      <c r="E1237" s="236"/>
      <c r="F1237" s="236"/>
      <c r="G1237" s="236"/>
      <c r="H1237" s="41">
        <f>SUM(Tabla13211242[[#This Row],[PRIMER TRIMESTRE]:[CUARTO TRIMESTRE]])</f>
        <v>0</v>
      </c>
      <c r="I1237" s="17">
        <v>5100</v>
      </c>
      <c r="J1237" s="17">
        <f t="shared" si="32"/>
        <v>0</v>
      </c>
      <c r="K1237" s="17"/>
      <c r="L1237" s="16" t="s">
        <v>18</v>
      </c>
      <c r="M1237" s="16" t="s">
        <v>22</v>
      </c>
      <c r="N1237" s="39" t="s">
        <v>418</v>
      </c>
      <c r="O1237" s="20"/>
    </row>
    <row r="1238" spans="1:15" s="12" customFormat="1" ht="18">
      <c r="A1238" s="178" t="s">
        <v>120</v>
      </c>
      <c r="B1238" s="184" t="s">
        <v>509</v>
      </c>
      <c r="C1238" s="39" t="s">
        <v>417</v>
      </c>
      <c r="D1238" s="236"/>
      <c r="E1238" s="236"/>
      <c r="F1238" s="236"/>
      <c r="G1238" s="236"/>
      <c r="H1238" s="41">
        <f>SUM(Tabla13211242[[#This Row],[PRIMER TRIMESTRE]:[CUARTO TRIMESTRE]])</f>
        <v>0</v>
      </c>
      <c r="I1238" s="17">
        <v>5100</v>
      </c>
      <c r="J1238" s="17">
        <f t="shared" si="32"/>
        <v>0</v>
      </c>
      <c r="K1238" s="17"/>
      <c r="L1238" s="16" t="s">
        <v>18</v>
      </c>
      <c r="M1238" s="16" t="s">
        <v>22</v>
      </c>
      <c r="N1238" s="39" t="s">
        <v>418</v>
      </c>
      <c r="O1238" s="20"/>
    </row>
    <row r="1239" spans="1:15" s="12" customFormat="1" ht="18">
      <c r="A1239" s="178" t="s">
        <v>120</v>
      </c>
      <c r="B1239" s="184" t="s">
        <v>510</v>
      </c>
      <c r="C1239" s="39" t="s">
        <v>417</v>
      </c>
      <c r="D1239" s="236"/>
      <c r="E1239" s="236"/>
      <c r="F1239" s="236"/>
      <c r="G1239" s="236"/>
      <c r="H1239" s="41">
        <f>SUM(Tabla13211242[[#This Row],[PRIMER TRIMESTRE]:[CUARTO TRIMESTRE]])</f>
        <v>0</v>
      </c>
      <c r="I1239" s="17">
        <v>5100</v>
      </c>
      <c r="J1239" s="17">
        <f t="shared" si="32"/>
        <v>0</v>
      </c>
      <c r="K1239" s="17"/>
      <c r="L1239" s="16" t="s">
        <v>18</v>
      </c>
      <c r="M1239" s="16" t="s">
        <v>22</v>
      </c>
      <c r="N1239" s="39" t="s">
        <v>418</v>
      </c>
      <c r="O1239" s="20"/>
    </row>
    <row r="1240" spans="1:15" s="12" customFormat="1" ht="18">
      <c r="A1240" s="178" t="s">
        <v>120</v>
      </c>
      <c r="B1240" s="184" t="s">
        <v>511</v>
      </c>
      <c r="C1240" s="39" t="s">
        <v>417</v>
      </c>
      <c r="D1240" s="236"/>
      <c r="E1240" s="236"/>
      <c r="F1240" s="236"/>
      <c r="G1240" s="236"/>
      <c r="H1240" s="41">
        <f>SUM(Tabla13211242[[#This Row],[PRIMER TRIMESTRE]:[CUARTO TRIMESTRE]])</f>
        <v>0</v>
      </c>
      <c r="I1240" s="17">
        <v>5100</v>
      </c>
      <c r="J1240" s="17">
        <f t="shared" si="32"/>
        <v>0</v>
      </c>
      <c r="K1240" s="17"/>
      <c r="L1240" s="16" t="s">
        <v>18</v>
      </c>
      <c r="M1240" s="16" t="s">
        <v>22</v>
      </c>
      <c r="N1240" s="39" t="s">
        <v>418</v>
      </c>
      <c r="O1240" s="20"/>
    </row>
    <row r="1241" spans="1:15" s="12" customFormat="1" ht="18">
      <c r="A1241" s="178" t="s">
        <v>120</v>
      </c>
      <c r="B1241" s="184" t="s">
        <v>512</v>
      </c>
      <c r="C1241" s="39" t="s">
        <v>417</v>
      </c>
      <c r="D1241" s="236"/>
      <c r="E1241" s="236"/>
      <c r="F1241" s="236"/>
      <c r="G1241" s="236"/>
      <c r="H1241" s="41">
        <f>SUM(Tabla13211242[[#This Row],[PRIMER TRIMESTRE]:[CUARTO TRIMESTRE]])</f>
        <v>0</v>
      </c>
      <c r="I1241" s="17">
        <v>2000</v>
      </c>
      <c r="J1241" s="17">
        <f t="shared" si="32"/>
        <v>0</v>
      </c>
      <c r="K1241" s="17"/>
      <c r="L1241" s="16" t="s">
        <v>18</v>
      </c>
      <c r="M1241" s="16" t="s">
        <v>22</v>
      </c>
      <c r="N1241" s="39" t="s">
        <v>418</v>
      </c>
      <c r="O1241" s="20"/>
    </row>
    <row r="1242" spans="1:15" s="12" customFormat="1" ht="18">
      <c r="A1242" s="178" t="s">
        <v>120</v>
      </c>
      <c r="B1242" s="184" t="s">
        <v>513</v>
      </c>
      <c r="C1242" s="39" t="s">
        <v>417</v>
      </c>
      <c r="D1242" s="236"/>
      <c r="E1242" s="236"/>
      <c r="F1242" s="236"/>
      <c r="G1242" s="236"/>
      <c r="H1242" s="41">
        <f>SUM(Tabla13211242[[#This Row],[PRIMER TRIMESTRE]:[CUARTO TRIMESTRE]])</f>
        <v>0</v>
      </c>
      <c r="I1242" s="17">
        <v>2500</v>
      </c>
      <c r="J1242" s="17">
        <f t="shared" si="32"/>
        <v>0</v>
      </c>
      <c r="K1242" s="17"/>
      <c r="L1242" s="16" t="s">
        <v>18</v>
      </c>
      <c r="M1242" s="16" t="s">
        <v>22</v>
      </c>
      <c r="N1242" s="39" t="s">
        <v>418</v>
      </c>
      <c r="O1242" s="20"/>
    </row>
    <row r="1243" spans="1:15" s="12" customFormat="1" ht="18">
      <c r="A1243" s="178" t="s">
        <v>120</v>
      </c>
      <c r="B1243" s="184" t="s">
        <v>514</v>
      </c>
      <c r="C1243" s="39" t="s">
        <v>417</v>
      </c>
      <c r="D1243" s="236"/>
      <c r="E1243" s="236"/>
      <c r="F1243" s="236"/>
      <c r="G1243" s="236"/>
      <c r="H1243" s="41">
        <f>SUM(Tabla13211242[[#This Row],[PRIMER TRIMESTRE]:[CUARTO TRIMESTRE]])</f>
        <v>0</v>
      </c>
      <c r="I1243" s="17">
        <v>2500</v>
      </c>
      <c r="J1243" s="17">
        <f t="shared" si="32"/>
        <v>0</v>
      </c>
      <c r="K1243" s="17"/>
      <c r="L1243" s="16" t="s">
        <v>18</v>
      </c>
      <c r="M1243" s="16" t="s">
        <v>22</v>
      </c>
      <c r="N1243" s="39" t="s">
        <v>418</v>
      </c>
      <c r="O1243" s="20"/>
    </row>
    <row r="1244" spans="1:15" s="12" customFormat="1" ht="18">
      <c r="A1244" s="178" t="s">
        <v>120</v>
      </c>
      <c r="B1244" s="184" t="s">
        <v>515</v>
      </c>
      <c r="C1244" s="39" t="s">
        <v>417</v>
      </c>
      <c r="D1244" s="236"/>
      <c r="E1244" s="236"/>
      <c r="F1244" s="236"/>
      <c r="G1244" s="236"/>
      <c r="H1244" s="41">
        <f>SUM(Tabla13211242[[#This Row],[PRIMER TRIMESTRE]:[CUARTO TRIMESTRE]])</f>
        <v>0</v>
      </c>
      <c r="I1244" s="17">
        <v>2500</v>
      </c>
      <c r="J1244" s="17">
        <f t="shared" si="32"/>
        <v>0</v>
      </c>
      <c r="K1244" s="17"/>
      <c r="L1244" s="16" t="s">
        <v>18</v>
      </c>
      <c r="M1244" s="16" t="s">
        <v>22</v>
      </c>
      <c r="N1244" s="39" t="s">
        <v>418</v>
      </c>
      <c r="O1244" s="20"/>
    </row>
    <row r="1245" spans="1:15" s="12" customFormat="1" ht="18">
      <c r="A1245" s="178" t="s">
        <v>120</v>
      </c>
      <c r="B1245" s="184" t="s">
        <v>516</v>
      </c>
      <c r="C1245" s="39" t="s">
        <v>417</v>
      </c>
      <c r="D1245" s="236"/>
      <c r="E1245" s="236"/>
      <c r="F1245" s="236"/>
      <c r="G1245" s="236"/>
      <c r="H1245" s="41">
        <f>SUM(Tabla13211242[[#This Row],[PRIMER TRIMESTRE]:[CUARTO TRIMESTRE]])</f>
        <v>0</v>
      </c>
      <c r="I1245" s="17">
        <v>2500</v>
      </c>
      <c r="J1245" s="17">
        <f t="shared" si="32"/>
        <v>0</v>
      </c>
      <c r="K1245" s="17"/>
      <c r="L1245" s="16" t="s">
        <v>18</v>
      </c>
      <c r="M1245" s="16" t="s">
        <v>22</v>
      </c>
      <c r="N1245" s="39" t="s">
        <v>418</v>
      </c>
      <c r="O1245" s="20"/>
    </row>
    <row r="1246" spans="1:15" s="12" customFormat="1" ht="18">
      <c r="A1246" s="178" t="s">
        <v>120</v>
      </c>
      <c r="B1246" s="184" t="s">
        <v>517</v>
      </c>
      <c r="C1246" s="39" t="s">
        <v>417</v>
      </c>
      <c r="D1246" s="236"/>
      <c r="E1246" s="236"/>
      <c r="F1246" s="236"/>
      <c r="G1246" s="236"/>
      <c r="H1246" s="41">
        <f>SUM(Tabla13211242[[#This Row],[PRIMER TRIMESTRE]:[CUARTO TRIMESTRE]])</f>
        <v>0</v>
      </c>
      <c r="I1246" s="17">
        <v>4100</v>
      </c>
      <c r="J1246" s="17">
        <f t="shared" si="32"/>
        <v>0</v>
      </c>
      <c r="K1246" s="17"/>
      <c r="L1246" s="16" t="s">
        <v>18</v>
      </c>
      <c r="M1246" s="16" t="s">
        <v>22</v>
      </c>
      <c r="N1246" s="39" t="s">
        <v>418</v>
      </c>
      <c r="O1246" s="20"/>
    </row>
    <row r="1247" spans="1:15" s="12" customFormat="1" ht="18">
      <c r="A1247" s="178" t="s">
        <v>120</v>
      </c>
      <c r="B1247" s="184" t="s">
        <v>518</v>
      </c>
      <c r="C1247" s="39" t="s">
        <v>417</v>
      </c>
      <c r="D1247" s="236"/>
      <c r="E1247" s="236"/>
      <c r="F1247" s="236"/>
      <c r="G1247" s="236"/>
      <c r="H1247" s="41">
        <f>SUM(Tabla13211242[[#This Row],[PRIMER TRIMESTRE]:[CUARTO TRIMESTRE]])</f>
        <v>0</v>
      </c>
      <c r="I1247" s="17">
        <v>3800</v>
      </c>
      <c r="J1247" s="17">
        <f t="shared" si="32"/>
        <v>0</v>
      </c>
      <c r="K1247" s="17"/>
      <c r="L1247" s="16" t="s">
        <v>18</v>
      </c>
      <c r="M1247" s="16" t="s">
        <v>22</v>
      </c>
      <c r="N1247" s="39" t="s">
        <v>418</v>
      </c>
      <c r="O1247" s="20"/>
    </row>
    <row r="1248" spans="1:15" s="12" customFormat="1" ht="18">
      <c r="A1248" s="178" t="s">
        <v>120</v>
      </c>
      <c r="B1248" s="184" t="s">
        <v>519</v>
      </c>
      <c r="C1248" s="39" t="s">
        <v>417</v>
      </c>
      <c r="D1248" s="236"/>
      <c r="E1248" s="236"/>
      <c r="F1248" s="236"/>
      <c r="G1248" s="236"/>
      <c r="H1248" s="41">
        <f>SUM(Tabla13211242[[#This Row],[PRIMER TRIMESTRE]:[CUARTO TRIMESTRE]])</f>
        <v>0</v>
      </c>
      <c r="I1248" s="17">
        <v>5400</v>
      </c>
      <c r="J1248" s="17">
        <f t="shared" si="32"/>
        <v>0</v>
      </c>
      <c r="K1248" s="17"/>
      <c r="L1248" s="16" t="s">
        <v>18</v>
      </c>
      <c r="M1248" s="16" t="s">
        <v>22</v>
      </c>
      <c r="N1248" s="39" t="s">
        <v>418</v>
      </c>
      <c r="O1248" s="20"/>
    </row>
    <row r="1249" spans="1:15" s="12" customFormat="1" ht="18">
      <c r="A1249" s="178" t="s">
        <v>120</v>
      </c>
      <c r="B1249" s="184" t="s">
        <v>520</v>
      </c>
      <c r="C1249" s="39" t="s">
        <v>417</v>
      </c>
      <c r="D1249" s="236"/>
      <c r="E1249" s="236"/>
      <c r="F1249" s="236"/>
      <c r="G1249" s="236"/>
      <c r="H1249" s="41">
        <f>SUM(Tabla13211242[[#This Row],[PRIMER TRIMESTRE]:[CUARTO TRIMESTRE]])</f>
        <v>0</v>
      </c>
      <c r="I1249" s="17">
        <v>5400</v>
      </c>
      <c r="J1249" s="17">
        <f t="shared" si="32"/>
        <v>0</v>
      </c>
      <c r="K1249" s="17"/>
      <c r="L1249" s="16" t="s">
        <v>18</v>
      </c>
      <c r="M1249" s="16" t="s">
        <v>22</v>
      </c>
      <c r="N1249" s="39" t="s">
        <v>418</v>
      </c>
      <c r="O1249" s="20"/>
    </row>
    <row r="1250" spans="1:15" s="12" customFormat="1" ht="18">
      <c r="A1250" s="178" t="s">
        <v>120</v>
      </c>
      <c r="B1250" s="184" t="s">
        <v>521</v>
      </c>
      <c r="C1250" s="39" t="s">
        <v>417</v>
      </c>
      <c r="D1250" s="236"/>
      <c r="E1250" s="236"/>
      <c r="F1250" s="236"/>
      <c r="G1250" s="236"/>
      <c r="H1250" s="41">
        <f>SUM(Tabla13211242[[#This Row],[PRIMER TRIMESTRE]:[CUARTO TRIMESTRE]])</f>
        <v>0</v>
      </c>
      <c r="I1250" s="17">
        <v>5400</v>
      </c>
      <c r="J1250" s="17">
        <f t="shared" si="32"/>
        <v>0</v>
      </c>
      <c r="K1250" s="17"/>
      <c r="L1250" s="16" t="s">
        <v>18</v>
      </c>
      <c r="M1250" s="16" t="s">
        <v>22</v>
      </c>
      <c r="N1250" s="39" t="s">
        <v>418</v>
      </c>
      <c r="O1250" s="20"/>
    </row>
    <row r="1251" spans="1:15" s="12" customFormat="1" ht="18">
      <c r="A1251" s="178" t="s">
        <v>120</v>
      </c>
      <c r="B1251" s="184" t="s">
        <v>522</v>
      </c>
      <c r="C1251" s="39" t="s">
        <v>417</v>
      </c>
      <c r="D1251" s="236"/>
      <c r="E1251" s="236"/>
      <c r="F1251" s="236"/>
      <c r="G1251" s="236"/>
      <c r="H1251" s="41">
        <f>SUM(Tabla13211242[[#This Row],[PRIMER TRIMESTRE]:[CUARTO TRIMESTRE]])</f>
        <v>0</v>
      </c>
      <c r="I1251" s="17">
        <v>3100</v>
      </c>
      <c r="J1251" s="17">
        <f t="shared" si="32"/>
        <v>0</v>
      </c>
      <c r="K1251" s="17"/>
      <c r="L1251" s="16" t="s">
        <v>18</v>
      </c>
      <c r="M1251" s="16" t="s">
        <v>22</v>
      </c>
      <c r="N1251" s="39" t="s">
        <v>418</v>
      </c>
      <c r="O1251" s="20"/>
    </row>
    <row r="1252" spans="1:15" s="12" customFormat="1" ht="18">
      <c r="A1252" s="178" t="s">
        <v>120</v>
      </c>
      <c r="B1252" s="184" t="s">
        <v>523</v>
      </c>
      <c r="C1252" s="39" t="s">
        <v>417</v>
      </c>
      <c r="D1252" s="236"/>
      <c r="E1252" s="236"/>
      <c r="F1252" s="236"/>
      <c r="G1252" s="236"/>
      <c r="H1252" s="41">
        <f>SUM(Tabla13211242[[#This Row],[PRIMER TRIMESTRE]:[CUARTO TRIMESTRE]])</f>
        <v>0</v>
      </c>
      <c r="I1252" s="17">
        <v>5100</v>
      </c>
      <c r="J1252" s="17">
        <f t="shared" si="32"/>
        <v>0</v>
      </c>
      <c r="K1252" s="17"/>
      <c r="L1252" s="16" t="s">
        <v>18</v>
      </c>
      <c r="M1252" s="16" t="s">
        <v>22</v>
      </c>
      <c r="N1252" s="39" t="s">
        <v>418</v>
      </c>
      <c r="O1252" s="20"/>
    </row>
    <row r="1253" spans="1:15" s="12" customFormat="1" ht="18">
      <c r="A1253" s="178" t="s">
        <v>120</v>
      </c>
      <c r="B1253" s="184" t="s">
        <v>524</v>
      </c>
      <c r="C1253" s="39" t="s">
        <v>417</v>
      </c>
      <c r="D1253" s="236"/>
      <c r="E1253" s="236"/>
      <c r="F1253" s="236"/>
      <c r="G1253" s="236"/>
      <c r="H1253" s="41">
        <f>SUM(Tabla13211242[[#This Row],[PRIMER TRIMESTRE]:[CUARTO TRIMESTRE]])</f>
        <v>0</v>
      </c>
      <c r="I1253" s="17">
        <v>3000</v>
      </c>
      <c r="J1253" s="17">
        <f t="shared" si="32"/>
        <v>0</v>
      </c>
      <c r="K1253" s="17"/>
      <c r="L1253" s="16" t="s">
        <v>18</v>
      </c>
      <c r="M1253" s="16" t="s">
        <v>22</v>
      </c>
      <c r="N1253" s="39" t="s">
        <v>418</v>
      </c>
      <c r="O1253" s="20"/>
    </row>
    <row r="1254" spans="1:15" s="12" customFormat="1" ht="18">
      <c r="A1254" s="178" t="s">
        <v>120</v>
      </c>
      <c r="B1254" s="184" t="s">
        <v>525</v>
      </c>
      <c r="C1254" s="39" t="s">
        <v>417</v>
      </c>
      <c r="D1254" s="236"/>
      <c r="E1254" s="236"/>
      <c r="F1254" s="236"/>
      <c r="G1254" s="236"/>
      <c r="H1254" s="41">
        <f>SUM(Tabla13211242[[#This Row],[PRIMER TRIMESTRE]:[CUARTO TRIMESTRE]])</f>
        <v>0</v>
      </c>
      <c r="I1254" s="17">
        <v>3800</v>
      </c>
      <c r="J1254" s="17">
        <f t="shared" si="32"/>
        <v>0</v>
      </c>
      <c r="K1254" s="17"/>
      <c r="L1254" s="16" t="s">
        <v>18</v>
      </c>
      <c r="M1254" s="16" t="s">
        <v>22</v>
      </c>
      <c r="N1254" s="39" t="s">
        <v>418</v>
      </c>
      <c r="O1254" s="20"/>
    </row>
    <row r="1255" spans="1:15" s="12" customFormat="1" ht="18">
      <c r="A1255" s="178" t="s">
        <v>120</v>
      </c>
      <c r="B1255" s="184" t="s">
        <v>526</v>
      </c>
      <c r="C1255" s="39" t="s">
        <v>417</v>
      </c>
      <c r="D1255" s="236"/>
      <c r="E1255" s="236"/>
      <c r="F1255" s="236"/>
      <c r="G1255" s="236"/>
      <c r="H1255" s="41">
        <f>SUM(Tabla13211242[[#This Row],[PRIMER TRIMESTRE]:[CUARTO TRIMESTRE]])</f>
        <v>0</v>
      </c>
      <c r="I1255" s="17">
        <v>3800</v>
      </c>
      <c r="J1255" s="17">
        <f t="shared" si="32"/>
        <v>0</v>
      </c>
      <c r="K1255" s="17"/>
      <c r="L1255" s="16" t="s">
        <v>18</v>
      </c>
      <c r="M1255" s="16" t="s">
        <v>22</v>
      </c>
      <c r="N1255" s="39" t="s">
        <v>418</v>
      </c>
      <c r="O1255" s="20"/>
    </row>
    <row r="1256" spans="1:15" s="12" customFormat="1" ht="18">
      <c r="A1256" s="178" t="s">
        <v>120</v>
      </c>
      <c r="B1256" s="184" t="s">
        <v>527</v>
      </c>
      <c r="C1256" s="39" t="s">
        <v>417</v>
      </c>
      <c r="D1256" s="236"/>
      <c r="E1256" s="236"/>
      <c r="F1256" s="236"/>
      <c r="G1256" s="236"/>
      <c r="H1256" s="41">
        <f>SUM(Tabla13211242[[#This Row],[PRIMER TRIMESTRE]:[CUARTO TRIMESTRE]])</f>
        <v>0</v>
      </c>
      <c r="I1256" s="17">
        <v>3800</v>
      </c>
      <c r="J1256" s="17">
        <f t="shared" si="32"/>
        <v>0</v>
      </c>
      <c r="K1256" s="17"/>
      <c r="L1256" s="16" t="s">
        <v>18</v>
      </c>
      <c r="M1256" s="16" t="s">
        <v>22</v>
      </c>
      <c r="N1256" s="39" t="s">
        <v>418</v>
      </c>
      <c r="O1256" s="20"/>
    </row>
    <row r="1257" spans="1:15" s="12" customFormat="1" ht="18">
      <c r="A1257" s="178" t="s">
        <v>120</v>
      </c>
      <c r="B1257" s="184" t="s">
        <v>528</v>
      </c>
      <c r="C1257" s="39" t="s">
        <v>417</v>
      </c>
      <c r="D1257" s="236"/>
      <c r="E1257" s="236"/>
      <c r="F1257" s="236"/>
      <c r="G1257" s="236"/>
      <c r="H1257" s="41">
        <f>SUM(Tabla13211242[[#This Row],[PRIMER TRIMESTRE]:[CUARTO TRIMESTRE]])</f>
        <v>0</v>
      </c>
      <c r="I1257" s="17">
        <v>6400</v>
      </c>
      <c r="J1257" s="17">
        <f t="shared" si="32"/>
        <v>0</v>
      </c>
      <c r="K1257" s="17"/>
      <c r="L1257" s="16" t="s">
        <v>18</v>
      </c>
      <c r="M1257" s="16" t="s">
        <v>22</v>
      </c>
      <c r="N1257" s="39" t="s">
        <v>418</v>
      </c>
      <c r="O1257" s="20"/>
    </row>
    <row r="1258" spans="1:15" s="12" customFormat="1" ht="18">
      <c r="A1258" s="178" t="s">
        <v>120</v>
      </c>
      <c r="B1258" s="185" t="s">
        <v>529</v>
      </c>
      <c r="C1258" s="39" t="s">
        <v>417</v>
      </c>
      <c r="D1258" s="236"/>
      <c r="E1258" s="210"/>
      <c r="F1258" s="210"/>
      <c r="G1258" s="210"/>
      <c r="H1258" s="71">
        <f>SUM(Tabla13211242[[#This Row],[PRIMER TRIMESTRE]:[CUARTO TRIMESTRE]])</f>
        <v>0</v>
      </c>
      <c r="I1258" s="17">
        <f>9750*1.18</f>
        <v>11505</v>
      </c>
      <c r="J1258" s="17">
        <f t="shared" si="32"/>
        <v>0</v>
      </c>
      <c r="K1258" s="17"/>
      <c r="L1258" s="16" t="s">
        <v>18</v>
      </c>
      <c r="M1258" s="16" t="s">
        <v>22</v>
      </c>
      <c r="N1258" s="39" t="s">
        <v>418</v>
      </c>
      <c r="O1258" s="20"/>
    </row>
    <row r="1259" spans="1:15" s="12" customFormat="1" ht="18">
      <c r="A1259" s="178" t="s">
        <v>120</v>
      </c>
      <c r="B1259" s="185" t="s">
        <v>530</v>
      </c>
      <c r="C1259" s="39" t="s">
        <v>417</v>
      </c>
      <c r="D1259" s="236"/>
      <c r="E1259" s="210"/>
      <c r="F1259" s="210"/>
      <c r="G1259" s="210"/>
      <c r="H1259" s="41">
        <f>SUM(Tabla13211242[[#This Row],[PRIMER TRIMESTRE]:[CUARTO TRIMESTRE]])</f>
        <v>0</v>
      </c>
      <c r="I1259" s="17">
        <v>11505</v>
      </c>
      <c r="J1259" s="17">
        <f t="shared" si="32"/>
        <v>0</v>
      </c>
      <c r="K1259" s="17"/>
      <c r="L1259" s="16" t="s">
        <v>18</v>
      </c>
      <c r="M1259" s="16" t="s">
        <v>22</v>
      </c>
      <c r="N1259" s="39" t="s">
        <v>418</v>
      </c>
      <c r="O1259" s="20"/>
    </row>
    <row r="1260" spans="1:15" s="12" customFormat="1" ht="18">
      <c r="A1260" s="178" t="s">
        <v>120</v>
      </c>
      <c r="B1260" s="185" t="s">
        <v>531</v>
      </c>
      <c r="C1260" s="39" t="s">
        <v>417</v>
      </c>
      <c r="D1260" s="236"/>
      <c r="E1260" s="210"/>
      <c r="F1260" s="210"/>
      <c r="G1260" s="210"/>
      <c r="H1260" s="41">
        <f>SUM(Tabla13211242[[#This Row],[PRIMER TRIMESTRE]:[CUARTO TRIMESTRE]])</f>
        <v>0</v>
      </c>
      <c r="I1260" s="17">
        <v>11505</v>
      </c>
      <c r="J1260" s="17">
        <f t="shared" ref="J1260:J1278" si="33">+H1260*I1260</f>
        <v>0</v>
      </c>
      <c r="K1260" s="17"/>
      <c r="L1260" s="16" t="s">
        <v>18</v>
      </c>
      <c r="M1260" s="16" t="s">
        <v>22</v>
      </c>
      <c r="N1260" s="39" t="s">
        <v>418</v>
      </c>
      <c r="O1260" s="20"/>
    </row>
    <row r="1261" spans="1:15" s="12" customFormat="1" ht="18">
      <c r="A1261" s="178" t="s">
        <v>120</v>
      </c>
      <c r="B1261" s="185" t="s">
        <v>532</v>
      </c>
      <c r="C1261" s="39" t="s">
        <v>417</v>
      </c>
      <c r="D1261" s="236"/>
      <c r="E1261" s="210"/>
      <c r="F1261" s="210"/>
      <c r="G1261" s="210"/>
      <c r="H1261" s="41">
        <f>SUM(Tabla13211242[[#This Row],[PRIMER TRIMESTRE]:[CUARTO TRIMESTRE]])</f>
        <v>0</v>
      </c>
      <c r="I1261" s="17">
        <v>11505</v>
      </c>
      <c r="J1261" s="17">
        <f t="shared" si="33"/>
        <v>0</v>
      </c>
      <c r="K1261" s="17"/>
      <c r="L1261" s="16" t="s">
        <v>18</v>
      </c>
      <c r="M1261" s="16" t="s">
        <v>22</v>
      </c>
      <c r="N1261" s="39" t="s">
        <v>418</v>
      </c>
      <c r="O1261" s="20"/>
    </row>
    <row r="1262" spans="1:15" s="12" customFormat="1" ht="18">
      <c r="A1262" s="178" t="s">
        <v>120</v>
      </c>
      <c r="B1262" s="80" t="s">
        <v>1901</v>
      </c>
      <c r="C1262" s="39" t="s">
        <v>417</v>
      </c>
      <c r="D1262" s="236">
        <v>4</v>
      </c>
      <c r="E1262" s="210">
        <v>4</v>
      </c>
      <c r="F1262" s="210"/>
      <c r="G1262" s="210"/>
      <c r="H1262" s="416">
        <f>+Tabla13211242[[#This Row],[CUARTO TRIMESTRE]]+Tabla13211242[[#This Row],[TERCER TRIMESTRE]]+Tabla13211242[[#This Row],[SEGUNDO TRIMESTRE]]+Tabla13211242[[#This Row],[PRIMER TRIMESTRE]]</f>
        <v>8</v>
      </c>
      <c r="I1262" s="109"/>
      <c r="J1262" s="17">
        <f t="shared" si="33"/>
        <v>0</v>
      </c>
      <c r="K1262" s="17"/>
      <c r="L1262" s="16"/>
      <c r="M1262" s="16"/>
      <c r="N1262" s="39"/>
      <c r="O1262" s="20"/>
    </row>
    <row r="1263" spans="1:15" s="12" customFormat="1" ht="18">
      <c r="A1263" s="178" t="s">
        <v>120</v>
      </c>
      <c r="B1263" s="80" t="s">
        <v>1902</v>
      </c>
      <c r="C1263" s="39" t="s">
        <v>417</v>
      </c>
      <c r="D1263" s="236">
        <v>4</v>
      </c>
      <c r="E1263" s="210"/>
      <c r="F1263" s="210"/>
      <c r="G1263" s="210"/>
      <c r="H1263" s="416">
        <f>+Tabla13211242[[#This Row],[CUARTO TRIMESTRE]]+Tabla13211242[[#This Row],[TERCER TRIMESTRE]]+Tabla13211242[[#This Row],[SEGUNDO TRIMESTRE]]+Tabla13211242[[#This Row],[PRIMER TRIMESTRE]]</f>
        <v>4</v>
      </c>
      <c r="I1263" s="109"/>
      <c r="J1263" s="17">
        <f t="shared" si="33"/>
        <v>0</v>
      </c>
      <c r="K1263" s="17"/>
      <c r="L1263" s="16"/>
      <c r="M1263" s="16"/>
      <c r="N1263" s="39"/>
      <c r="O1263" s="20"/>
    </row>
    <row r="1264" spans="1:15" s="12" customFormat="1" ht="18">
      <c r="A1264" s="178" t="s">
        <v>120</v>
      </c>
      <c r="B1264" s="80" t="s">
        <v>1903</v>
      </c>
      <c r="C1264" s="39" t="s">
        <v>417</v>
      </c>
      <c r="D1264" s="236">
        <v>4</v>
      </c>
      <c r="E1264" s="210"/>
      <c r="F1264" s="210"/>
      <c r="G1264" s="210"/>
      <c r="H1264" s="416">
        <f>+Tabla13211242[[#This Row],[CUARTO TRIMESTRE]]+Tabla13211242[[#This Row],[TERCER TRIMESTRE]]+Tabla13211242[[#This Row],[SEGUNDO TRIMESTRE]]+Tabla13211242[[#This Row],[PRIMER TRIMESTRE]]</f>
        <v>4</v>
      </c>
      <c r="I1264" s="109"/>
      <c r="J1264" s="17">
        <f t="shared" si="33"/>
        <v>0</v>
      </c>
      <c r="K1264" s="17"/>
      <c r="L1264" s="16"/>
      <c r="M1264" s="16"/>
      <c r="N1264" s="39"/>
      <c r="O1264" s="20"/>
    </row>
    <row r="1265" spans="1:15" s="12" customFormat="1" ht="18">
      <c r="A1265" s="178" t="s">
        <v>120</v>
      </c>
      <c r="B1265" s="80" t="s">
        <v>1904</v>
      </c>
      <c r="C1265" s="39" t="s">
        <v>417</v>
      </c>
      <c r="D1265" s="236">
        <v>4</v>
      </c>
      <c r="E1265" s="210"/>
      <c r="F1265" s="210"/>
      <c r="G1265" s="210"/>
      <c r="H1265" s="416">
        <f>+Tabla13211242[[#This Row],[CUARTO TRIMESTRE]]+Tabla13211242[[#This Row],[TERCER TRIMESTRE]]+Tabla13211242[[#This Row],[SEGUNDO TRIMESTRE]]+Tabla13211242[[#This Row],[PRIMER TRIMESTRE]]</f>
        <v>4</v>
      </c>
      <c r="I1265" s="109"/>
      <c r="J1265" s="17">
        <f t="shared" si="33"/>
        <v>0</v>
      </c>
      <c r="K1265" s="17"/>
      <c r="L1265" s="16"/>
      <c r="M1265" s="16"/>
      <c r="N1265" s="39"/>
      <c r="O1265" s="20"/>
    </row>
    <row r="1266" spans="1:15" s="12" customFormat="1" ht="18">
      <c r="A1266" s="178" t="s">
        <v>120</v>
      </c>
      <c r="B1266" s="80" t="s">
        <v>1905</v>
      </c>
      <c r="C1266" s="39" t="s">
        <v>417</v>
      </c>
      <c r="D1266" s="236">
        <v>6</v>
      </c>
      <c r="E1266" s="210"/>
      <c r="F1266" s="210"/>
      <c r="G1266" s="210"/>
      <c r="H1266" s="416">
        <f>+Tabla13211242[[#This Row],[CUARTO TRIMESTRE]]+Tabla13211242[[#This Row],[TERCER TRIMESTRE]]+Tabla13211242[[#This Row],[SEGUNDO TRIMESTRE]]+Tabla13211242[[#This Row],[PRIMER TRIMESTRE]]</f>
        <v>6</v>
      </c>
      <c r="I1266" s="109"/>
      <c r="J1266" s="17">
        <f t="shared" si="33"/>
        <v>0</v>
      </c>
      <c r="K1266" s="17"/>
      <c r="L1266" s="16"/>
      <c r="M1266" s="16"/>
      <c r="N1266" s="39"/>
      <c r="O1266" s="20"/>
    </row>
    <row r="1267" spans="1:15" s="12" customFormat="1" ht="18">
      <c r="A1267" s="178" t="s">
        <v>120</v>
      </c>
      <c r="B1267" s="80" t="s">
        <v>790</v>
      </c>
      <c r="C1267" s="39" t="s">
        <v>417</v>
      </c>
      <c r="D1267" s="236"/>
      <c r="E1267" s="210"/>
      <c r="F1267" s="210"/>
      <c r="G1267" s="210"/>
      <c r="H1267" s="41">
        <f>SUM(Tabla13211242[[#This Row],[PRIMER TRIMESTRE]:[CUARTO TRIMESTRE]])</f>
        <v>0</v>
      </c>
      <c r="I1267" s="72">
        <v>3760.11</v>
      </c>
      <c r="J1267" s="17">
        <f t="shared" si="33"/>
        <v>0</v>
      </c>
      <c r="K1267" s="17"/>
      <c r="L1267" s="16" t="s">
        <v>18</v>
      </c>
      <c r="M1267" s="16" t="s">
        <v>22</v>
      </c>
      <c r="N1267" s="39" t="s">
        <v>418</v>
      </c>
      <c r="O1267" s="20"/>
    </row>
    <row r="1268" spans="1:15" s="12" customFormat="1" ht="30.75" customHeight="1">
      <c r="A1268" s="178" t="s">
        <v>120</v>
      </c>
      <c r="B1268" s="80" t="s">
        <v>791</v>
      </c>
      <c r="C1268" s="39" t="s">
        <v>417</v>
      </c>
      <c r="D1268" s="236"/>
      <c r="E1268" s="210"/>
      <c r="F1268" s="210"/>
      <c r="G1268" s="210"/>
      <c r="H1268" s="41">
        <f>SUM(Tabla13211242[[#This Row],[PRIMER TRIMESTRE]:[CUARTO TRIMESTRE]])</f>
        <v>0</v>
      </c>
      <c r="I1268" s="72">
        <v>3914.09</v>
      </c>
      <c r="J1268" s="17">
        <f t="shared" si="33"/>
        <v>0</v>
      </c>
      <c r="K1268" s="17"/>
      <c r="L1268" s="16" t="s">
        <v>18</v>
      </c>
      <c r="M1268" s="16" t="s">
        <v>22</v>
      </c>
      <c r="N1268" s="39" t="s">
        <v>418</v>
      </c>
      <c r="O1268" s="20"/>
    </row>
    <row r="1269" spans="1:15" s="12" customFormat="1" ht="30.75" customHeight="1">
      <c r="A1269" s="178" t="s">
        <v>120</v>
      </c>
      <c r="B1269" s="80" t="s">
        <v>792</v>
      </c>
      <c r="C1269" s="39" t="s">
        <v>417</v>
      </c>
      <c r="D1269" s="236"/>
      <c r="E1269" s="210"/>
      <c r="F1269" s="210"/>
      <c r="G1269" s="210"/>
      <c r="H1269" s="41">
        <f>SUM(Tabla13211242[[#This Row],[PRIMER TRIMESTRE]:[CUARTO TRIMESTRE]])</f>
        <v>0</v>
      </c>
      <c r="I1269" s="72">
        <v>4257.1899999999996</v>
      </c>
      <c r="J1269" s="17">
        <f t="shared" si="33"/>
        <v>0</v>
      </c>
      <c r="K1269" s="17"/>
      <c r="L1269" s="16" t="s">
        <v>18</v>
      </c>
      <c r="M1269" s="16" t="s">
        <v>22</v>
      </c>
      <c r="N1269" s="39" t="s">
        <v>418</v>
      </c>
      <c r="O1269" s="20"/>
    </row>
    <row r="1270" spans="1:15" s="12" customFormat="1" ht="30.75" customHeight="1">
      <c r="A1270" s="178" t="s">
        <v>120</v>
      </c>
      <c r="B1270" s="80" t="s">
        <v>793</v>
      </c>
      <c r="C1270" s="39" t="s">
        <v>417</v>
      </c>
      <c r="D1270" s="236"/>
      <c r="E1270" s="210"/>
      <c r="F1270" s="210"/>
      <c r="G1270" s="210"/>
      <c r="H1270" s="41">
        <f>SUM(Tabla13211242[[#This Row],[PRIMER TRIMESTRE]:[CUARTO TRIMESTRE]])</f>
        <v>0</v>
      </c>
      <c r="I1270" s="72">
        <v>4257.1899999999996</v>
      </c>
      <c r="J1270" s="17">
        <f t="shared" si="33"/>
        <v>0</v>
      </c>
      <c r="K1270" s="17"/>
      <c r="L1270" s="16" t="s">
        <v>18</v>
      </c>
      <c r="M1270" s="16" t="s">
        <v>22</v>
      </c>
      <c r="N1270" s="39" t="s">
        <v>418</v>
      </c>
      <c r="O1270" s="20"/>
    </row>
    <row r="1271" spans="1:15" s="12" customFormat="1" ht="30.75" customHeight="1">
      <c r="A1271" s="178" t="s">
        <v>120</v>
      </c>
      <c r="B1271" s="80" t="s">
        <v>794</v>
      </c>
      <c r="C1271" s="39" t="s">
        <v>417</v>
      </c>
      <c r="D1271" s="236"/>
      <c r="E1271" s="210"/>
      <c r="F1271" s="210"/>
      <c r="G1271" s="210"/>
      <c r="H1271" s="41">
        <f>SUM(Tabla13211242[[#This Row],[PRIMER TRIMESTRE]:[CUARTO TRIMESTRE]])</f>
        <v>0</v>
      </c>
      <c r="I1271" s="72">
        <v>4257.8999999999996</v>
      </c>
      <c r="J1271" s="17">
        <f t="shared" si="33"/>
        <v>0</v>
      </c>
      <c r="K1271" s="17"/>
      <c r="L1271" s="16" t="s">
        <v>18</v>
      </c>
      <c r="M1271" s="16" t="s">
        <v>22</v>
      </c>
      <c r="N1271" s="39" t="s">
        <v>418</v>
      </c>
      <c r="O1271" s="20"/>
    </row>
    <row r="1272" spans="1:15" s="12" customFormat="1" ht="30.75" customHeight="1">
      <c r="A1272" s="178" t="s">
        <v>120</v>
      </c>
      <c r="B1272" s="80" t="s">
        <v>795</v>
      </c>
      <c r="C1272" s="39" t="s">
        <v>417</v>
      </c>
      <c r="D1272" s="236"/>
      <c r="E1272" s="210"/>
      <c r="F1272" s="210"/>
      <c r="G1272" s="210"/>
      <c r="H1272" s="41">
        <f>SUM(Tabla13211242[[#This Row],[PRIMER TRIMESTRE]:[CUARTO TRIMESTRE]])</f>
        <v>0</v>
      </c>
      <c r="I1272" s="72">
        <v>4238.76</v>
      </c>
      <c r="J1272" s="17">
        <f t="shared" si="33"/>
        <v>0</v>
      </c>
      <c r="K1272" s="17"/>
      <c r="L1272" s="16" t="s">
        <v>18</v>
      </c>
      <c r="M1272" s="16" t="s">
        <v>22</v>
      </c>
      <c r="N1272" s="39" t="s">
        <v>418</v>
      </c>
      <c r="O1272" s="20"/>
    </row>
    <row r="1273" spans="1:15" s="12" customFormat="1" ht="30.75" customHeight="1">
      <c r="A1273" s="178" t="s">
        <v>120</v>
      </c>
      <c r="B1273" s="80" t="s">
        <v>796</v>
      </c>
      <c r="C1273" s="39" t="s">
        <v>417</v>
      </c>
      <c r="D1273" s="236"/>
      <c r="E1273" s="210"/>
      <c r="F1273" s="210"/>
      <c r="G1273" s="210"/>
      <c r="H1273" s="41">
        <f>SUM(Tabla13211242[[#This Row],[PRIMER TRIMESTRE]:[CUARTO TRIMESTRE]])</f>
        <v>0</v>
      </c>
      <c r="I1273" s="72">
        <v>3199.82</v>
      </c>
      <c r="J1273" s="17">
        <f t="shared" si="33"/>
        <v>0</v>
      </c>
      <c r="K1273" s="17"/>
      <c r="L1273" s="16" t="s">
        <v>18</v>
      </c>
      <c r="M1273" s="16" t="s">
        <v>22</v>
      </c>
      <c r="N1273" s="39" t="s">
        <v>418</v>
      </c>
      <c r="O1273" s="20"/>
    </row>
    <row r="1274" spans="1:15" s="12" customFormat="1" ht="30.75" customHeight="1">
      <c r="A1274" s="178" t="s">
        <v>120</v>
      </c>
      <c r="B1274" s="80" t="s">
        <v>797</v>
      </c>
      <c r="C1274" s="39" t="s">
        <v>417</v>
      </c>
      <c r="D1274" s="236"/>
      <c r="E1274" s="210"/>
      <c r="F1274" s="210"/>
      <c r="G1274" s="210"/>
      <c r="H1274" s="41">
        <f>SUM(Tabla13211242[[#This Row],[PRIMER TRIMESTRE]:[CUARTO TRIMESTRE]])</f>
        <v>0</v>
      </c>
      <c r="I1274" s="72">
        <v>3679.8</v>
      </c>
      <c r="J1274" s="17">
        <f t="shared" si="33"/>
        <v>0</v>
      </c>
      <c r="K1274" s="17"/>
      <c r="L1274" s="16" t="s">
        <v>18</v>
      </c>
      <c r="M1274" s="16" t="s">
        <v>22</v>
      </c>
      <c r="N1274" s="39" t="s">
        <v>418</v>
      </c>
      <c r="O1274" s="20"/>
    </row>
    <row r="1275" spans="1:15" s="12" customFormat="1" ht="30.75" customHeight="1">
      <c r="A1275" s="178" t="s">
        <v>120</v>
      </c>
      <c r="B1275" s="80" t="s">
        <v>798</v>
      </c>
      <c r="C1275" s="39" t="s">
        <v>417</v>
      </c>
      <c r="D1275" s="236"/>
      <c r="E1275" s="210"/>
      <c r="F1275" s="210"/>
      <c r="G1275" s="210"/>
      <c r="H1275" s="41">
        <f>SUM(Tabla13211242[[#This Row],[PRIMER TRIMESTRE]:[CUARTO TRIMESTRE]])</f>
        <v>0</v>
      </c>
      <c r="I1275" s="72">
        <v>3304</v>
      </c>
      <c r="J1275" s="17">
        <f t="shared" si="33"/>
        <v>0</v>
      </c>
      <c r="K1275" s="17"/>
      <c r="L1275" s="16" t="s">
        <v>18</v>
      </c>
      <c r="M1275" s="16" t="s">
        <v>22</v>
      </c>
      <c r="N1275" s="39" t="s">
        <v>418</v>
      </c>
      <c r="O1275" s="20"/>
    </row>
    <row r="1276" spans="1:15" s="12" customFormat="1" ht="30.75" customHeight="1">
      <c r="A1276" s="178" t="s">
        <v>120</v>
      </c>
      <c r="B1276" s="80" t="s">
        <v>1409</v>
      </c>
      <c r="C1276" s="39" t="s">
        <v>417</v>
      </c>
      <c r="D1276" s="236"/>
      <c r="E1276" s="210"/>
      <c r="F1276" s="210"/>
      <c r="G1276" s="210"/>
      <c r="H1276" s="41">
        <f>SUM(Tabla13211242[[#This Row],[PRIMER TRIMESTRE]:[CUARTO TRIMESTRE]])</f>
        <v>0</v>
      </c>
      <c r="I1276" s="72">
        <v>5700</v>
      </c>
      <c r="J1276" s="17">
        <f t="shared" si="33"/>
        <v>0</v>
      </c>
      <c r="K1276" s="17"/>
      <c r="L1276" s="16" t="s">
        <v>18</v>
      </c>
      <c r="M1276" s="16" t="s">
        <v>22</v>
      </c>
      <c r="N1276" s="39" t="s">
        <v>418</v>
      </c>
      <c r="O1276" s="20"/>
    </row>
    <row r="1277" spans="1:15" s="26" customFormat="1" ht="30.75" customHeight="1">
      <c r="A1277" s="178" t="s">
        <v>120</v>
      </c>
      <c r="B1277" s="80" t="s">
        <v>1410</v>
      </c>
      <c r="C1277" s="39" t="s">
        <v>417</v>
      </c>
      <c r="D1277" s="236"/>
      <c r="E1277" s="210"/>
      <c r="F1277" s="210"/>
      <c r="G1277" s="210"/>
      <c r="H1277" s="41">
        <f>SUM(Tabla13211242[[#This Row],[PRIMER TRIMESTRE]:[CUARTO TRIMESTRE]])</f>
        <v>0</v>
      </c>
      <c r="I1277" s="72">
        <v>8500</v>
      </c>
      <c r="J1277" s="17">
        <f t="shared" si="33"/>
        <v>0</v>
      </c>
      <c r="K1277" s="17"/>
      <c r="L1277" s="16" t="s">
        <v>18</v>
      </c>
      <c r="M1277" s="16" t="s">
        <v>22</v>
      </c>
      <c r="N1277" s="39" t="s">
        <v>418</v>
      </c>
      <c r="O1277" s="23"/>
    </row>
    <row r="1278" spans="1:15" s="12" customFormat="1" ht="30.75" customHeight="1">
      <c r="A1278" s="178" t="s">
        <v>120</v>
      </c>
      <c r="B1278" s="80" t="s">
        <v>1421</v>
      </c>
      <c r="C1278" s="39" t="s">
        <v>417</v>
      </c>
      <c r="D1278" s="236"/>
      <c r="E1278" s="210"/>
      <c r="F1278" s="210"/>
      <c r="G1278" s="210"/>
      <c r="H1278" s="41">
        <f>SUM(Tabla13211242[[#This Row],[PRIMER TRIMESTRE]:[CUARTO TRIMESTRE]])</f>
        <v>0</v>
      </c>
      <c r="I1278" s="72">
        <v>3500</v>
      </c>
      <c r="J1278" s="17">
        <f t="shared" si="33"/>
        <v>0</v>
      </c>
      <c r="K1278" s="17"/>
      <c r="L1278" s="16" t="s">
        <v>18</v>
      </c>
      <c r="M1278" s="16" t="s">
        <v>22</v>
      </c>
      <c r="N1278" s="39" t="s">
        <v>418</v>
      </c>
      <c r="O1278" s="20"/>
    </row>
    <row r="1279" spans="1:15" s="12" customFormat="1" ht="30.75" customHeight="1">
      <c r="A1279" s="179" t="s">
        <v>120</v>
      </c>
      <c r="B1279" s="76"/>
      <c r="C1279" s="42"/>
      <c r="D1279" s="237"/>
      <c r="E1279" s="237"/>
      <c r="F1279" s="237"/>
      <c r="G1279" s="237"/>
      <c r="H1279" s="237"/>
      <c r="I1279" s="24"/>
      <c r="J1279" s="24"/>
      <c r="K1279" s="25">
        <f>SUM(J1129:J1278)</f>
        <v>164126.74788968827</v>
      </c>
      <c r="L1279" s="23"/>
      <c r="M1279" s="23"/>
      <c r="N1279" s="42"/>
      <c r="O1279" s="20"/>
    </row>
    <row r="1280" spans="1:15" s="12" customFormat="1" ht="30.75" customHeight="1">
      <c r="A1280" s="178" t="s">
        <v>121</v>
      </c>
      <c r="B1280" s="75" t="s">
        <v>273</v>
      </c>
      <c r="C1280" s="39" t="s">
        <v>17</v>
      </c>
      <c r="D1280" s="210">
        <v>1</v>
      </c>
      <c r="E1280" s="210"/>
      <c r="F1280" s="210"/>
      <c r="G1280" s="210"/>
      <c r="H1280" s="40">
        <f>SUM(Tabla13211242[[#This Row],[PRIMER TRIMESTRE]:[CUARTO TRIMESTRE]])</f>
        <v>1</v>
      </c>
      <c r="I1280" s="17">
        <v>5684</v>
      </c>
      <c r="J1280" s="17">
        <f>+Tabla13211242[[#This Row],[CANTIDAD TOTAL]]*Tabla13211242[[#This Row],[PRECIO UNITARIO ESTIMADO]]</f>
        <v>5684</v>
      </c>
      <c r="K1280" s="17"/>
      <c r="L1280" s="16" t="s">
        <v>18</v>
      </c>
      <c r="M1280" s="16" t="s">
        <v>22</v>
      </c>
      <c r="N1280" s="39" t="s">
        <v>418</v>
      </c>
      <c r="O1280" s="20"/>
    </row>
    <row r="1281" spans="1:15" s="12" customFormat="1" ht="30.75" customHeight="1">
      <c r="A1281" s="178" t="s">
        <v>121</v>
      </c>
      <c r="B1281" s="75" t="s">
        <v>1757</v>
      </c>
      <c r="C1281" s="39" t="s">
        <v>17</v>
      </c>
      <c r="D1281" s="236"/>
      <c r="E1281" s="210"/>
      <c r="F1281" s="210"/>
      <c r="G1281" s="210"/>
      <c r="H1281" s="40">
        <f>Tabla13211242[[#This Row],[CUARTO TRIMESTRE]]+Tabla13211242[[#This Row],[TERCER TRIMESTRE]]+Tabla13211242[[#This Row],[SEGUNDO TRIMESTRE]]+Tabla13211242[[#This Row],[PRIMER TRIMESTRE]]</f>
        <v>0</v>
      </c>
      <c r="I1281" s="17">
        <v>0</v>
      </c>
      <c r="J1281" s="17">
        <v>0</v>
      </c>
      <c r="K1281" s="17"/>
      <c r="L1281" s="16"/>
      <c r="M1281" s="16"/>
      <c r="N1281" s="39"/>
      <c r="O1281" s="20"/>
    </row>
    <row r="1282" spans="1:15" s="12" customFormat="1" ht="40.5" customHeight="1">
      <c r="A1282" s="178" t="s">
        <v>121</v>
      </c>
      <c r="B1282" s="75" t="s">
        <v>1282</v>
      </c>
      <c r="C1282" s="39" t="s">
        <v>17</v>
      </c>
      <c r="D1282" s="236"/>
      <c r="E1282" s="210"/>
      <c r="F1282" s="210"/>
      <c r="G1282" s="210"/>
      <c r="H1282" s="406">
        <f>SUM(Tabla13211242[[#This Row],[PRIMER TRIMESTRE]:[CUARTO TRIMESTRE]])</f>
        <v>0</v>
      </c>
      <c r="I1282" s="17">
        <v>25000</v>
      </c>
      <c r="J1282" s="17">
        <f>+H1282*I1282</f>
        <v>0</v>
      </c>
      <c r="K1282" s="17"/>
      <c r="L1282" s="16" t="s">
        <v>18</v>
      </c>
      <c r="M1282" s="16" t="s">
        <v>22</v>
      </c>
      <c r="N1282" s="39" t="s">
        <v>418</v>
      </c>
      <c r="O1282" s="20"/>
    </row>
    <row r="1283" spans="1:15" s="26" customFormat="1" ht="30.75" customHeight="1">
      <c r="A1283" s="178" t="s">
        <v>121</v>
      </c>
      <c r="B1283" s="75" t="s">
        <v>1283</v>
      </c>
      <c r="C1283" s="39" t="s">
        <v>17</v>
      </c>
      <c r="D1283" s="236"/>
      <c r="E1283" s="210"/>
      <c r="F1283" s="210"/>
      <c r="G1283" s="210"/>
      <c r="H1283" s="406">
        <f>SUM(Tabla13211242[[#This Row],[PRIMER TRIMESTRE]:[CUARTO TRIMESTRE]])</f>
        <v>0</v>
      </c>
      <c r="I1283" s="17">
        <f>16685940/4</f>
        <v>4171485</v>
      </c>
      <c r="J1283" s="17">
        <f>+H1283*I1283</f>
        <v>0</v>
      </c>
      <c r="K1283" s="17"/>
      <c r="L1283" s="16" t="s">
        <v>18</v>
      </c>
      <c r="M1283" s="16" t="s">
        <v>22</v>
      </c>
      <c r="N1283" s="39" t="s">
        <v>418</v>
      </c>
      <c r="O1283" s="23"/>
    </row>
    <row r="1284" spans="1:15" s="12" customFormat="1" ht="30.75" customHeight="1">
      <c r="A1284" s="178" t="s">
        <v>121</v>
      </c>
      <c r="B1284" s="75" t="s">
        <v>1284</v>
      </c>
      <c r="C1284" s="39" t="s">
        <v>17</v>
      </c>
      <c r="D1284" s="236"/>
      <c r="E1284" s="210"/>
      <c r="F1284" s="210"/>
      <c r="G1284" s="210"/>
      <c r="H1284" s="406">
        <f>SUM(Tabla13211242[[#This Row],[PRIMER TRIMESTRE]:[CUARTO TRIMESTRE]])</f>
        <v>0</v>
      </c>
      <c r="I1284" s="17">
        <v>3500</v>
      </c>
      <c r="J1284" s="17">
        <f>+H1284*I1284</f>
        <v>0</v>
      </c>
      <c r="K1284" s="17"/>
      <c r="L1284" s="16" t="s">
        <v>18</v>
      </c>
      <c r="M1284" s="16" t="s">
        <v>22</v>
      </c>
      <c r="N1284" s="39" t="s">
        <v>418</v>
      </c>
      <c r="O1284" s="20"/>
    </row>
    <row r="1285" spans="1:15" s="12" customFormat="1" ht="30.75" customHeight="1">
      <c r="A1285" s="179" t="s">
        <v>121</v>
      </c>
      <c r="B1285" s="76"/>
      <c r="C1285" s="42"/>
      <c r="D1285" s="237"/>
      <c r="E1285" s="237"/>
      <c r="F1285" s="237"/>
      <c r="G1285" s="237"/>
      <c r="H1285" s="43"/>
      <c r="I1285" s="24"/>
      <c r="J1285" s="24"/>
      <c r="K1285" s="25">
        <f>SUM(J1280:J1284)</f>
        <v>5684</v>
      </c>
      <c r="L1285" s="23"/>
      <c r="M1285" s="23"/>
      <c r="N1285" s="42"/>
      <c r="O1285" s="20"/>
    </row>
    <row r="1286" spans="1:15" s="12" customFormat="1" ht="30.75" customHeight="1">
      <c r="A1286" s="180" t="s">
        <v>122</v>
      </c>
      <c r="B1286" s="77" t="s">
        <v>274</v>
      </c>
      <c r="C1286" s="70" t="s">
        <v>17</v>
      </c>
      <c r="D1286" s="210"/>
      <c r="E1286" s="210"/>
      <c r="F1286" s="210"/>
      <c r="G1286" s="210"/>
      <c r="H1286" s="406">
        <f>SUM(Tabla13211242[[#This Row],[PRIMER TRIMESTRE]:[CUARTO TRIMESTRE]])</f>
        <v>0</v>
      </c>
      <c r="I1286" s="17">
        <v>133.47</v>
      </c>
      <c r="J1286" s="17">
        <f>+Tabla13211242[[#This Row],[CANTIDAD TOTAL]]*Tabla13211242[[#This Row],[PRECIO UNITARIO ESTIMADO]]</f>
        <v>0</v>
      </c>
      <c r="K1286" s="17"/>
      <c r="L1286" s="16" t="s">
        <v>27</v>
      </c>
      <c r="M1286" s="16" t="s">
        <v>22</v>
      </c>
      <c r="N1286" s="39" t="s">
        <v>418</v>
      </c>
      <c r="O1286" s="20"/>
    </row>
    <row r="1287" spans="1:15" s="12" customFormat="1" ht="30.75" customHeight="1">
      <c r="A1287" s="180" t="s">
        <v>122</v>
      </c>
      <c r="B1287" s="77" t="s">
        <v>275</v>
      </c>
      <c r="C1287" s="70" t="s">
        <v>17</v>
      </c>
      <c r="D1287" s="210"/>
      <c r="E1287" s="210"/>
      <c r="F1287" s="210"/>
      <c r="G1287" s="210"/>
      <c r="H1287" s="406">
        <f>SUM(Tabla13211242[[#This Row],[PRIMER TRIMESTRE]:[CUARTO TRIMESTRE]])</f>
        <v>0</v>
      </c>
      <c r="I1287" s="17">
        <v>115.24</v>
      </c>
      <c r="J1287" s="17">
        <f>+Tabla13211242[[#This Row],[CANTIDAD TOTAL]]*Tabla13211242[[#This Row],[PRECIO UNITARIO ESTIMADO]]</f>
        <v>0</v>
      </c>
      <c r="K1287" s="17"/>
      <c r="L1287" s="16" t="s">
        <v>27</v>
      </c>
      <c r="M1287" s="16" t="s">
        <v>22</v>
      </c>
      <c r="N1287" s="39" t="s">
        <v>418</v>
      </c>
      <c r="O1287" s="20"/>
    </row>
    <row r="1288" spans="1:15" s="12" customFormat="1" ht="30.75" customHeight="1">
      <c r="A1288" s="180" t="s">
        <v>122</v>
      </c>
      <c r="B1288" s="77" t="s">
        <v>125</v>
      </c>
      <c r="C1288" s="70" t="s">
        <v>17</v>
      </c>
      <c r="D1288" s="210"/>
      <c r="E1288" s="210"/>
      <c r="F1288" s="210"/>
      <c r="G1288" s="210"/>
      <c r="H1288" s="406">
        <f>SUM(Tabla13211242[[#This Row],[PRIMER TRIMESTRE]:[CUARTO TRIMESTRE]])</f>
        <v>0</v>
      </c>
      <c r="I1288" s="17">
        <v>1624</v>
      </c>
      <c r="J1288" s="17">
        <f>+Tabla13211242[[#This Row],[CANTIDAD TOTAL]]*Tabla13211242[[#This Row],[PRECIO UNITARIO ESTIMADO]]</f>
        <v>0</v>
      </c>
      <c r="K1288" s="17"/>
      <c r="L1288" s="16" t="s">
        <v>27</v>
      </c>
      <c r="M1288" s="16" t="s">
        <v>22</v>
      </c>
      <c r="N1288" s="39" t="s">
        <v>418</v>
      </c>
      <c r="O1288" s="20"/>
    </row>
    <row r="1289" spans="1:15" s="12" customFormat="1" ht="30.75" customHeight="1">
      <c r="A1289" s="180" t="s">
        <v>1588</v>
      </c>
      <c r="B1289" s="77" t="s">
        <v>1587</v>
      </c>
      <c r="C1289" s="70" t="s">
        <v>17</v>
      </c>
      <c r="D1289" s="210"/>
      <c r="E1289" s="210"/>
      <c r="F1289" s="210"/>
      <c r="G1289" s="210"/>
      <c r="H1289" s="210">
        <f>SUM(Tabla13211242[[#This Row],[PRIMER TRIMESTRE]:[CUARTO TRIMESTRE]])</f>
        <v>0</v>
      </c>
      <c r="I1289" s="17">
        <v>3500</v>
      </c>
      <c r="J1289" s="17">
        <f>+H1289*I1289</f>
        <v>0</v>
      </c>
      <c r="K1289" s="17"/>
      <c r="L1289" s="16" t="s">
        <v>15</v>
      </c>
      <c r="M1289" s="16" t="s">
        <v>22</v>
      </c>
      <c r="N1289" s="39" t="s">
        <v>418</v>
      </c>
      <c r="O1289" s="20"/>
    </row>
    <row r="1290" spans="1:15" s="12" customFormat="1" ht="30.75" customHeight="1">
      <c r="A1290" s="180" t="s">
        <v>122</v>
      </c>
      <c r="B1290" s="77" t="s">
        <v>276</v>
      </c>
      <c r="C1290" s="70" t="s">
        <v>17</v>
      </c>
      <c r="D1290" s="210"/>
      <c r="E1290" s="210"/>
      <c r="F1290" s="210"/>
      <c r="G1290" s="210"/>
      <c r="H1290" s="406">
        <f>SUM(Tabla13211242[[#This Row],[PRIMER TRIMESTRE]:[CUARTO TRIMESTRE]])</f>
        <v>0</v>
      </c>
      <c r="I1290" s="17">
        <v>101.68</v>
      </c>
      <c r="J1290" s="17">
        <f>+Tabla13211242[[#This Row],[CANTIDAD TOTAL]]*Tabla13211242[[#This Row],[PRECIO UNITARIO ESTIMADO]]</f>
        <v>0</v>
      </c>
      <c r="K1290" s="17"/>
      <c r="L1290" s="16" t="s">
        <v>27</v>
      </c>
      <c r="M1290" s="16" t="s">
        <v>22</v>
      </c>
      <c r="N1290" s="39" t="s">
        <v>418</v>
      </c>
      <c r="O1290" s="20"/>
    </row>
    <row r="1291" spans="1:15" s="12" customFormat="1" ht="30.75" customHeight="1">
      <c r="A1291" s="180" t="s">
        <v>122</v>
      </c>
      <c r="B1291" s="77" t="s">
        <v>277</v>
      </c>
      <c r="C1291" s="70" t="s">
        <v>17</v>
      </c>
      <c r="D1291" s="210"/>
      <c r="E1291" s="210"/>
      <c r="F1291" s="210"/>
      <c r="G1291" s="210"/>
      <c r="H1291" s="406">
        <f>SUM(Tabla13211242[[#This Row],[PRIMER TRIMESTRE]:[CUARTO TRIMESTRE]])</f>
        <v>0</v>
      </c>
      <c r="I1291" s="17">
        <v>27.14</v>
      </c>
      <c r="J1291" s="17">
        <f>+Tabla13211242[[#This Row],[CANTIDAD TOTAL]]*Tabla13211242[[#This Row],[PRECIO UNITARIO ESTIMADO]]</f>
        <v>0</v>
      </c>
      <c r="K1291" s="17"/>
      <c r="L1291" s="16" t="s">
        <v>27</v>
      </c>
      <c r="M1291" s="16" t="s">
        <v>22</v>
      </c>
      <c r="N1291" s="39" t="s">
        <v>418</v>
      </c>
      <c r="O1291" s="20"/>
    </row>
    <row r="1292" spans="1:15" s="12" customFormat="1" ht="30.75" customHeight="1">
      <c r="A1292" s="180" t="s">
        <v>122</v>
      </c>
      <c r="B1292" s="77" t="s">
        <v>327</v>
      </c>
      <c r="C1292" s="70" t="s">
        <v>102</v>
      </c>
      <c r="D1292" s="210"/>
      <c r="E1292" s="210"/>
      <c r="F1292" s="210"/>
      <c r="G1292" s="210"/>
      <c r="H1292" s="406">
        <f>SUM(Tabla13211242[[#This Row],[PRIMER TRIMESTRE]:[CUARTO TRIMESTRE]])</f>
        <v>0</v>
      </c>
      <c r="I1292" s="17">
        <f>43660/209</f>
        <v>208.89952153110048</v>
      </c>
      <c r="J1292" s="17">
        <f>+Tabla13211242[[#This Row],[CANTIDAD TOTAL]]*Tabla13211242[[#This Row],[PRECIO UNITARIO ESTIMADO]]</f>
        <v>0</v>
      </c>
      <c r="K1292" s="17"/>
      <c r="L1292" s="16" t="s">
        <v>27</v>
      </c>
      <c r="M1292" s="16" t="s">
        <v>22</v>
      </c>
      <c r="N1292" s="39" t="s">
        <v>418</v>
      </c>
      <c r="O1292" s="20"/>
    </row>
    <row r="1293" spans="1:15" s="12" customFormat="1" ht="30.75" customHeight="1">
      <c r="A1293" s="180" t="s">
        <v>122</v>
      </c>
      <c r="B1293" s="77" t="s">
        <v>1269</v>
      </c>
      <c r="C1293" s="70" t="s">
        <v>17</v>
      </c>
      <c r="D1293" s="210"/>
      <c r="E1293" s="210"/>
      <c r="F1293" s="210"/>
      <c r="G1293" s="210"/>
      <c r="H1293" s="406">
        <f>SUM(Tabla13211242[[#This Row],[PRIMER TRIMESTRE]:[CUARTO TRIMESTRE]])</f>
        <v>0</v>
      </c>
      <c r="I1293" s="17">
        <v>350</v>
      </c>
      <c r="J1293" s="17">
        <f>+H1293*I1293</f>
        <v>0</v>
      </c>
      <c r="K1293" s="17"/>
      <c r="L1293" s="16" t="s">
        <v>27</v>
      </c>
      <c r="M1293" s="16" t="s">
        <v>22</v>
      </c>
      <c r="N1293" s="39" t="s">
        <v>418</v>
      </c>
      <c r="O1293" s="20"/>
    </row>
    <row r="1294" spans="1:15" s="12" customFormat="1" ht="30.75" customHeight="1">
      <c r="A1294" s="180" t="s">
        <v>122</v>
      </c>
      <c r="B1294" s="77" t="s">
        <v>328</v>
      </c>
      <c r="C1294" s="70" t="s">
        <v>17</v>
      </c>
      <c r="D1294" s="210"/>
      <c r="E1294" s="210"/>
      <c r="F1294" s="210"/>
      <c r="G1294" s="210"/>
      <c r="H1294" s="406">
        <f>SUM(Tabla13211242[[#This Row],[PRIMER TRIMESTRE]:[CUARTO TRIMESTRE]])</f>
        <v>0</v>
      </c>
      <c r="I1294" s="17">
        <v>12626</v>
      </c>
      <c r="J1294" s="17">
        <f>+Tabla13211242[[#This Row],[CANTIDAD TOTAL]]*Tabla13211242[[#This Row],[PRECIO UNITARIO ESTIMADO]]</f>
        <v>0</v>
      </c>
      <c r="K1294" s="17"/>
      <c r="L1294" s="16" t="s">
        <v>27</v>
      </c>
      <c r="M1294" s="16" t="s">
        <v>22</v>
      </c>
      <c r="N1294" s="39" t="s">
        <v>418</v>
      </c>
      <c r="O1294" s="20"/>
    </row>
    <row r="1295" spans="1:15" s="26" customFormat="1" ht="30.75" customHeight="1">
      <c r="A1295" s="180" t="s">
        <v>122</v>
      </c>
      <c r="B1295" s="77" t="s">
        <v>329</v>
      </c>
      <c r="C1295" s="70" t="s">
        <v>17</v>
      </c>
      <c r="D1295" s="210"/>
      <c r="E1295" s="210"/>
      <c r="F1295" s="210"/>
      <c r="G1295" s="210"/>
      <c r="H1295" s="406">
        <f>SUM(Tabla13211242[[#This Row],[PRIMER TRIMESTRE]:[CUARTO TRIMESTRE]])</f>
        <v>0</v>
      </c>
      <c r="I1295" s="17">
        <f>1382216.68/118</f>
        <v>11713.700677966101</v>
      </c>
      <c r="J1295" s="17">
        <f>+Tabla13211242[[#This Row],[CANTIDAD TOTAL]]*Tabla13211242[[#This Row],[PRECIO UNITARIO ESTIMADO]]</f>
        <v>0</v>
      </c>
      <c r="K1295" s="17"/>
      <c r="L1295" s="16" t="s">
        <v>27</v>
      </c>
      <c r="M1295" s="16" t="s">
        <v>22</v>
      </c>
      <c r="N1295" s="39" t="s">
        <v>418</v>
      </c>
      <c r="O1295" s="23"/>
    </row>
    <row r="1296" spans="1:15" s="12" customFormat="1" ht="30.75" customHeight="1">
      <c r="A1296" s="180" t="s">
        <v>122</v>
      </c>
      <c r="B1296" s="77" t="s">
        <v>330</v>
      </c>
      <c r="C1296" s="70" t="s">
        <v>17</v>
      </c>
      <c r="D1296" s="210"/>
      <c r="E1296" s="210"/>
      <c r="F1296" s="210"/>
      <c r="G1296" s="210"/>
      <c r="H1296" s="406">
        <f>SUM(Tabla13211242[[#This Row],[PRIMER TRIMESTRE]:[CUARTO TRIMESTRE]])</f>
        <v>0</v>
      </c>
      <c r="I1296" s="17">
        <v>413</v>
      </c>
      <c r="J1296" s="17">
        <f>+Tabla13211242[[#This Row],[CANTIDAD TOTAL]]*Tabla13211242[[#This Row],[PRECIO UNITARIO ESTIMADO]]</f>
        <v>0</v>
      </c>
      <c r="K1296" s="17"/>
      <c r="L1296" s="16" t="s">
        <v>27</v>
      </c>
      <c r="M1296" s="16" t="s">
        <v>22</v>
      </c>
      <c r="N1296" s="39" t="s">
        <v>418</v>
      </c>
      <c r="O1296" s="20"/>
    </row>
    <row r="1297" spans="1:15" s="12" customFormat="1" ht="30.75" customHeight="1">
      <c r="A1297" s="179" t="s">
        <v>122</v>
      </c>
      <c r="B1297" s="76"/>
      <c r="C1297" s="42"/>
      <c r="D1297" s="237"/>
      <c r="E1297" s="237"/>
      <c r="F1297" s="237"/>
      <c r="G1297" s="237"/>
      <c r="H1297" s="43"/>
      <c r="I1297" s="24"/>
      <c r="J1297" s="24"/>
      <c r="K1297" s="25">
        <f>SUM(J1286:J1296)</f>
        <v>0</v>
      </c>
      <c r="L1297" s="23"/>
      <c r="M1297" s="23"/>
      <c r="N1297" s="42"/>
      <c r="O1297" s="20"/>
    </row>
    <row r="1298" spans="1:15" s="12" customFormat="1" ht="30.75" customHeight="1">
      <c r="A1298" s="178" t="s">
        <v>278</v>
      </c>
      <c r="B1298" s="75" t="s">
        <v>279</v>
      </c>
      <c r="C1298" s="39" t="s">
        <v>17</v>
      </c>
      <c r="D1298" s="236"/>
      <c r="E1298" s="236"/>
      <c r="F1298" s="236"/>
      <c r="G1298" s="236"/>
      <c r="H1298" s="40">
        <f>SUM(Tabla13211242[[#This Row],[PRIMER TRIMESTRE]:[CUARTO TRIMESTRE]])</f>
        <v>0</v>
      </c>
      <c r="I1298" s="17">
        <v>259.68</v>
      </c>
      <c r="J1298" s="17">
        <f>+Tabla13211242[[#This Row],[CANTIDAD TOTAL]]*Tabla13211242[[#This Row],[PRECIO UNITARIO ESTIMADO]]</f>
        <v>0</v>
      </c>
      <c r="K1298" s="17"/>
      <c r="L1298" s="16" t="s">
        <v>27</v>
      </c>
      <c r="M1298" s="16" t="s">
        <v>22</v>
      </c>
      <c r="N1298" s="39" t="s">
        <v>342</v>
      </c>
      <c r="O1298" s="20"/>
    </row>
    <row r="1299" spans="1:15" s="12" customFormat="1" ht="30.75" customHeight="1">
      <c r="A1299" s="178" t="s">
        <v>278</v>
      </c>
      <c r="B1299" s="75" t="s">
        <v>137</v>
      </c>
      <c r="C1299" s="39" t="s">
        <v>17</v>
      </c>
      <c r="D1299" s="236"/>
      <c r="E1299" s="236"/>
      <c r="F1299" s="236"/>
      <c r="G1299" s="236"/>
      <c r="H1299" s="40">
        <f>SUM(Tabla13211242[[#This Row],[PRIMER TRIMESTRE]:[CUARTO TRIMESTRE]])</f>
        <v>0</v>
      </c>
      <c r="I1299" s="17">
        <v>220.12</v>
      </c>
      <c r="J1299" s="17">
        <f>+Tabla13211242[[#This Row],[CANTIDAD TOTAL]]*Tabla13211242[[#This Row],[PRECIO UNITARIO ESTIMADO]]</f>
        <v>0</v>
      </c>
      <c r="K1299" s="17"/>
      <c r="L1299" s="16" t="s">
        <v>27</v>
      </c>
      <c r="M1299" s="16" t="s">
        <v>22</v>
      </c>
      <c r="N1299" s="39" t="s">
        <v>418</v>
      </c>
      <c r="O1299" s="20"/>
    </row>
    <row r="1300" spans="1:15" s="12" customFormat="1" ht="30.75" customHeight="1">
      <c r="A1300" s="178" t="s">
        <v>278</v>
      </c>
      <c r="B1300" s="75" t="s">
        <v>280</v>
      </c>
      <c r="C1300" s="39" t="s">
        <v>17</v>
      </c>
      <c r="D1300" s="236"/>
      <c r="E1300" s="236"/>
      <c r="F1300" s="236"/>
      <c r="G1300" s="236"/>
      <c r="H1300" s="40">
        <f>SUM(Tabla13211242[[#This Row],[PRIMER TRIMESTRE]:[CUARTO TRIMESTRE]])</f>
        <v>0</v>
      </c>
      <c r="I1300" s="17">
        <v>150</v>
      </c>
      <c r="J1300" s="17">
        <f>+Tabla13211242[[#This Row],[CANTIDAD TOTAL]]*Tabla13211242[[#This Row],[PRECIO UNITARIO ESTIMADO]]</f>
        <v>0</v>
      </c>
      <c r="K1300" s="17"/>
      <c r="L1300" s="16" t="s">
        <v>27</v>
      </c>
      <c r="M1300" s="16" t="s">
        <v>22</v>
      </c>
      <c r="N1300" s="39" t="s">
        <v>342</v>
      </c>
      <c r="O1300" s="20"/>
    </row>
    <row r="1301" spans="1:15" s="26" customFormat="1" ht="30.75" customHeight="1">
      <c r="A1301" s="178" t="s">
        <v>278</v>
      </c>
      <c r="B1301" s="75" t="s">
        <v>566</v>
      </c>
      <c r="C1301" s="39" t="s">
        <v>17</v>
      </c>
      <c r="D1301" s="236"/>
      <c r="E1301" s="236"/>
      <c r="F1301" s="236"/>
      <c r="G1301" s="236"/>
      <c r="H1301" s="40">
        <f>SUM(Tabla13211242[[#This Row],[PRIMER TRIMESTRE]:[CUARTO TRIMESTRE]])</f>
        <v>0</v>
      </c>
      <c r="I1301" s="17">
        <v>140</v>
      </c>
      <c r="J1301" s="17">
        <f>+Tabla13211242[[#This Row],[CANTIDAD TOTAL]]*Tabla13211242[[#This Row],[PRECIO UNITARIO ESTIMADO]]</f>
        <v>0</v>
      </c>
      <c r="K1301" s="17"/>
      <c r="L1301" s="16" t="s">
        <v>27</v>
      </c>
      <c r="M1301" s="16" t="s">
        <v>22</v>
      </c>
      <c r="N1301" s="39" t="s">
        <v>342</v>
      </c>
      <c r="O1301" s="23"/>
    </row>
    <row r="1302" spans="1:15" s="12" customFormat="1" ht="30.75" customHeight="1">
      <c r="A1302" s="178" t="s">
        <v>278</v>
      </c>
      <c r="B1302" s="75" t="s">
        <v>922</v>
      </c>
      <c r="C1302" s="39" t="s">
        <v>17</v>
      </c>
      <c r="D1302" s="236"/>
      <c r="E1302" s="236"/>
      <c r="F1302" s="236"/>
      <c r="G1302" s="236"/>
      <c r="H1302" s="40">
        <f>SUM(Tabla13211242[[#This Row],[PRIMER TRIMESTRE]:[CUARTO TRIMESTRE]])</f>
        <v>0</v>
      </c>
      <c r="I1302" s="17">
        <v>21895</v>
      </c>
      <c r="J1302" s="17">
        <f>+H1302*I1302</f>
        <v>0</v>
      </c>
      <c r="K1302" s="17"/>
      <c r="L1302" s="16" t="s">
        <v>27</v>
      </c>
      <c r="M1302" s="16" t="s">
        <v>22</v>
      </c>
      <c r="N1302" s="39" t="s">
        <v>342</v>
      </c>
      <c r="O1302" s="20"/>
    </row>
    <row r="1303" spans="1:15" s="12" customFormat="1" ht="30.75" customHeight="1">
      <c r="A1303" s="179" t="s">
        <v>278</v>
      </c>
      <c r="B1303" s="76"/>
      <c r="C1303" s="42"/>
      <c r="D1303" s="237"/>
      <c r="E1303" s="237"/>
      <c r="F1303" s="237"/>
      <c r="G1303" s="237"/>
      <c r="H1303" s="43"/>
      <c r="I1303" s="24"/>
      <c r="J1303" s="24"/>
      <c r="K1303" s="25">
        <f>SUM(J1298:J1302)</f>
        <v>0</v>
      </c>
      <c r="L1303" s="23" t="s">
        <v>27</v>
      </c>
      <c r="M1303" s="23"/>
      <c r="N1303" s="42"/>
      <c r="O1303" s="20"/>
    </row>
    <row r="1304" spans="1:15" s="12" customFormat="1" ht="30.75" customHeight="1">
      <c r="A1304" s="178" t="s">
        <v>124</v>
      </c>
      <c r="B1304" s="75" t="s">
        <v>281</v>
      </c>
      <c r="C1304" s="39" t="s">
        <v>102</v>
      </c>
      <c r="D1304" s="236"/>
      <c r="E1304" s="236"/>
      <c r="F1304" s="236"/>
      <c r="G1304" s="236"/>
      <c r="H1304" s="40">
        <f>SUM(Tabla13211242[[#This Row],[PRIMER TRIMESTRE]:[CUARTO TRIMESTRE]])</f>
        <v>0</v>
      </c>
      <c r="I1304" s="17">
        <v>191.84</v>
      </c>
      <c r="J1304" s="17">
        <f>+Tabla13211242[[#This Row],[CANTIDAD TOTAL]]*Tabla13211242[[#This Row],[PRECIO UNITARIO ESTIMADO]]</f>
        <v>0</v>
      </c>
      <c r="K1304" s="17"/>
      <c r="L1304" s="16" t="s">
        <v>27</v>
      </c>
      <c r="M1304" s="16" t="s">
        <v>22</v>
      </c>
      <c r="N1304" s="39" t="s">
        <v>342</v>
      </c>
      <c r="O1304" s="20"/>
    </row>
    <row r="1305" spans="1:15" s="12" customFormat="1" ht="30.75" customHeight="1">
      <c r="A1305" s="178" t="s">
        <v>124</v>
      </c>
      <c r="B1305" s="75" t="s">
        <v>282</v>
      </c>
      <c r="C1305" s="39" t="s">
        <v>69</v>
      </c>
      <c r="D1305" s="236"/>
      <c r="E1305" s="236"/>
      <c r="F1305" s="236"/>
      <c r="G1305" s="236"/>
      <c r="H1305" s="40">
        <f>SUM(Tabla13211242[[#This Row],[PRIMER TRIMESTRE]:[CUARTO TRIMESTRE]])</f>
        <v>0</v>
      </c>
      <c r="I1305" s="17">
        <v>83.78</v>
      </c>
      <c r="J1305" s="17">
        <f>+Tabla13211242[[#This Row],[CANTIDAD TOTAL]]*Tabla13211242[[#This Row],[PRECIO UNITARIO ESTIMADO]]</f>
        <v>0</v>
      </c>
      <c r="K1305" s="17"/>
      <c r="L1305" s="16" t="s">
        <v>27</v>
      </c>
      <c r="M1305" s="16" t="s">
        <v>22</v>
      </c>
      <c r="N1305" s="39" t="s">
        <v>342</v>
      </c>
      <c r="O1305" s="20"/>
    </row>
    <row r="1306" spans="1:15" s="12" customFormat="1" ht="30.75" customHeight="1">
      <c r="A1306" s="178" t="s">
        <v>124</v>
      </c>
      <c r="B1306" s="75" t="s">
        <v>283</v>
      </c>
      <c r="C1306" s="39" t="s">
        <v>17</v>
      </c>
      <c r="D1306" s="236"/>
      <c r="E1306" s="236"/>
      <c r="F1306" s="236"/>
      <c r="G1306" s="236"/>
      <c r="H1306" s="40">
        <f>SUM(Tabla13211242[[#This Row],[PRIMER TRIMESTRE]:[CUARTO TRIMESTRE]])</f>
        <v>0</v>
      </c>
      <c r="I1306" s="17">
        <v>82.94</v>
      </c>
      <c r="J1306" s="17">
        <f>+Tabla13211242[[#This Row],[CANTIDAD TOTAL]]*Tabla13211242[[#This Row],[PRECIO UNITARIO ESTIMADO]]</f>
        <v>0</v>
      </c>
      <c r="K1306" s="17"/>
      <c r="L1306" s="16" t="s">
        <v>27</v>
      </c>
      <c r="M1306" s="16" t="s">
        <v>22</v>
      </c>
      <c r="N1306" s="39" t="s">
        <v>342</v>
      </c>
      <c r="O1306" s="20"/>
    </row>
    <row r="1307" spans="1:15" s="12" customFormat="1" ht="30.75" customHeight="1">
      <c r="A1307" s="178" t="s">
        <v>124</v>
      </c>
      <c r="B1307" s="75" t="s">
        <v>284</v>
      </c>
      <c r="C1307" s="39" t="s">
        <v>17</v>
      </c>
      <c r="D1307" s="236"/>
      <c r="E1307" s="236"/>
      <c r="F1307" s="236"/>
      <c r="G1307" s="236"/>
      <c r="H1307" s="40">
        <f>SUM(Tabla13211242[[#This Row],[PRIMER TRIMESTRE]:[CUARTO TRIMESTRE]])</f>
        <v>0</v>
      </c>
      <c r="I1307" s="17">
        <v>26.67</v>
      </c>
      <c r="J1307" s="17">
        <f>+Tabla13211242[[#This Row],[CANTIDAD TOTAL]]*Tabla13211242[[#This Row],[PRECIO UNITARIO ESTIMADO]]</f>
        <v>0</v>
      </c>
      <c r="K1307" s="17"/>
      <c r="L1307" s="16" t="s">
        <v>27</v>
      </c>
      <c r="M1307" s="16" t="s">
        <v>22</v>
      </c>
      <c r="N1307" s="39" t="s">
        <v>342</v>
      </c>
      <c r="O1307" s="20"/>
    </row>
    <row r="1308" spans="1:15" s="12" customFormat="1" ht="30.75" customHeight="1">
      <c r="A1308" s="178" t="s">
        <v>124</v>
      </c>
      <c r="B1308" s="75" t="s">
        <v>726</v>
      </c>
      <c r="C1308" s="39" t="s">
        <v>17</v>
      </c>
      <c r="D1308" s="236"/>
      <c r="E1308" s="236"/>
      <c r="F1308" s="236"/>
      <c r="G1308" s="236"/>
      <c r="H1308" s="40">
        <f>SUM(Tabla13211242[[#This Row],[PRIMER TRIMESTRE]:[CUARTO TRIMESTRE]])</f>
        <v>0</v>
      </c>
      <c r="I1308" s="72">
        <v>50</v>
      </c>
      <c r="J1308" s="17">
        <f>+H1308*I1308</f>
        <v>0</v>
      </c>
      <c r="K1308" s="17"/>
      <c r="L1308" s="16" t="s">
        <v>27</v>
      </c>
      <c r="M1308" s="16" t="s">
        <v>22</v>
      </c>
      <c r="N1308" s="39" t="s">
        <v>342</v>
      </c>
      <c r="O1308" s="20"/>
    </row>
    <row r="1309" spans="1:15" s="12" customFormat="1" ht="30.75" customHeight="1">
      <c r="A1309" s="178" t="s">
        <v>124</v>
      </c>
      <c r="B1309" s="75" t="s">
        <v>285</v>
      </c>
      <c r="C1309" s="39" t="s">
        <v>33</v>
      </c>
      <c r="D1309" s="236"/>
      <c r="E1309" s="236"/>
      <c r="F1309" s="236"/>
      <c r="G1309" s="236"/>
      <c r="H1309" s="40">
        <f>SUM(Tabla13211242[[#This Row],[PRIMER TRIMESTRE]:[CUARTO TRIMESTRE]])</f>
        <v>0</v>
      </c>
      <c r="I1309" s="17">
        <v>115.94</v>
      </c>
      <c r="J1309" s="17">
        <f>+Tabla13211242[[#This Row],[CANTIDAD TOTAL]]*Tabla13211242[[#This Row],[PRECIO UNITARIO ESTIMADO]]</f>
        <v>0</v>
      </c>
      <c r="K1309" s="17"/>
      <c r="L1309" s="16" t="s">
        <v>27</v>
      </c>
      <c r="M1309" s="16" t="s">
        <v>22</v>
      </c>
      <c r="N1309" s="39" t="s">
        <v>342</v>
      </c>
      <c r="O1309" s="20"/>
    </row>
    <row r="1310" spans="1:15" s="12" customFormat="1" ht="30.75" customHeight="1">
      <c r="A1310" s="178" t="s">
        <v>124</v>
      </c>
      <c r="B1310" s="75" t="s">
        <v>287</v>
      </c>
      <c r="C1310" s="39" t="s">
        <v>288</v>
      </c>
      <c r="D1310" s="236"/>
      <c r="E1310" s="236"/>
      <c r="F1310" s="236"/>
      <c r="G1310" s="236"/>
      <c r="H1310" s="40">
        <f>SUM(Tabla13211242[[#This Row],[PRIMER TRIMESTRE]:[CUARTO TRIMESTRE]])</f>
        <v>0</v>
      </c>
      <c r="I1310" s="17">
        <v>255.31</v>
      </c>
      <c r="J1310" s="17">
        <f>+Tabla13211242[[#This Row],[CANTIDAD TOTAL]]*Tabla13211242[[#This Row],[PRECIO UNITARIO ESTIMADO]]</f>
        <v>0</v>
      </c>
      <c r="K1310" s="17"/>
      <c r="L1310" s="16" t="s">
        <v>27</v>
      </c>
      <c r="M1310" s="16" t="s">
        <v>22</v>
      </c>
      <c r="N1310" s="39" t="s">
        <v>342</v>
      </c>
      <c r="O1310" s="20"/>
    </row>
    <row r="1311" spans="1:15" s="12" customFormat="1" ht="30.75" customHeight="1">
      <c r="A1311" s="178" t="s">
        <v>124</v>
      </c>
      <c r="B1311" s="75" t="s">
        <v>293</v>
      </c>
      <c r="C1311" s="39" t="s">
        <v>290</v>
      </c>
      <c r="D1311" s="236"/>
      <c r="E1311" s="236"/>
      <c r="F1311" s="236"/>
      <c r="G1311" s="236"/>
      <c r="H1311" s="40">
        <f>SUM(Tabla13211242[[#This Row],[PRIMER TRIMESTRE]:[CUARTO TRIMESTRE]])</f>
        <v>0</v>
      </c>
      <c r="I1311" s="17">
        <v>160</v>
      </c>
      <c r="J1311" s="17">
        <f t="shared" ref="J1311:J1319" si="34">+H1311*I1311</f>
        <v>0</v>
      </c>
      <c r="K1311" s="17"/>
      <c r="L1311" s="16" t="s">
        <v>27</v>
      </c>
      <c r="M1311" s="16" t="s">
        <v>22</v>
      </c>
      <c r="N1311" s="39" t="s">
        <v>342</v>
      </c>
      <c r="O1311" s="20"/>
    </row>
    <row r="1312" spans="1:15" s="12" customFormat="1" ht="30.75" customHeight="1">
      <c r="A1312" s="178" t="s">
        <v>124</v>
      </c>
      <c r="B1312" s="75" t="s">
        <v>1411</v>
      </c>
      <c r="C1312" s="39" t="s">
        <v>290</v>
      </c>
      <c r="D1312" s="236"/>
      <c r="E1312" s="236"/>
      <c r="F1312" s="236"/>
      <c r="G1312" s="236"/>
      <c r="H1312" s="40">
        <f>SUM(Tabla13211242[[#This Row],[PRIMER TRIMESTRE]:[CUARTO TRIMESTRE]])</f>
        <v>0</v>
      </c>
      <c r="I1312" s="17">
        <v>450</v>
      </c>
      <c r="J1312" s="17">
        <f t="shared" si="34"/>
        <v>0</v>
      </c>
      <c r="K1312" s="17"/>
      <c r="L1312" s="16" t="s">
        <v>27</v>
      </c>
      <c r="M1312" s="16" t="s">
        <v>22</v>
      </c>
      <c r="N1312" s="39" t="s">
        <v>342</v>
      </c>
      <c r="O1312" s="20"/>
    </row>
    <row r="1313" spans="1:15" s="12" customFormat="1" ht="30.75" customHeight="1">
      <c r="A1313" s="178" t="s">
        <v>124</v>
      </c>
      <c r="B1313" s="75" t="s">
        <v>1451</v>
      </c>
      <c r="C1313" s="39" t="s">
        <v>17</v>
      </c>
      <c r="D1313" s="236"/>
      <c r="E1313" s="236"/>
      <c r="F1313" s="236"/>
      <c r="G1313" s="236"/>
      <c r="H1313" s="40">
        <f>SUM(Tabla13211242[[#This Row],[PRIMER TRIMESTRE]:[CUARTO TRIMESTRE]])</f>
        <v>0</v>
      </c>
      <c r="I1313" s="17">
        <v>469</v>
      </c>
      <c r="J1313" s="17">
        <f t="shared" si="34"/>
        <v>0</v>
      </c>
      <c r="K1313" s="17"/>
      <c r="L1313" s="16" t="s">
        <v>15</v>
      </c>
      <c r="M1313" s="16" t="s">
        <v>22</v>
      </c>
      <c r="N1313" s="39" t="s">
        <v>342</v>
      </c>
      <c r="O1313" s="20"/>
    </row>
    <row r="1314" spans="1:15" s="12" customFormat="1" ht="30.75" customHeight="1">
      <c r="A1314" s="178" t="s">
        <v>124</v>
      </c>
      <c r="B1314" s="75" t="s">
        <v>1906</v>
      </c>
      <c r="C1314" s="39" t="s">
        <v>17</v>
      </c>
      <c r="D1314" s="236"/>
      <c r="E1314" s="236"/>
      <c r="F1314" s="236"/>
      <c r="G1314" s="236"/>
      <c r="H1314" s="40">
        <v>0</v>
      </c>
      <c r="I1314" s="17">
        <v>250</v>
      </c>
      <c r="J1314" s="17">
        <f t="shared" si="34"/>
        <v>0</v>
      </c>
      <c r="K1314" s="17"/>
      <c r="L1314" s="16" t="s">
        <v>27</v>
      </c>
      <c r="M1314" s="16" t="s">
        <v>22</v>
      </c>
      <c r="N1314" s="39" t="s">
        <v>342</v>
      </c>
      <c r="O1314" s="20"/>
    </row>
    <row r="1315" spans="1:15" s="12" customFormat="1" ht="30.75" customHeight="1">
      <c r="A1315" s="178" t="s">
        <v>124</v>
      </c>
      <c r="B1315" s="75" t="s">
        <v>1907</v>
      </c>
      <c r="C1315" s="39" t="s">
        <v>17</v>
      </c>
      <c r="D1315" s="236"/>
      <c r="E1315" s="236"/>
      <c r="F1315" s="236"/>
      <c r="G1315" s="236"/>
      <c r="H1315" s="40">
        <v>0</v>
      </c>
      <c r="I1315" s="17">
        <v>0</v>
      </c>
      <c r="J1315" s="17">
        <v>0</v>
      </c>
      <c r="K1315" s="17"/>
      <c r="L1315" s="16" t="s">
        <v>27</v>
      </c>
      <c r="M1315" s="16" t="s">
        <v>22</v>
      </c>
      <c r="N1315" s="39" t="s">
        <v>342</v>
      </c>
      <c r="O1315" s="20"/>
    </row>
    <row r="1316" spans="1:15" s="12" customFormat="1" ht="30.75" customHeight="1">
      <c r="A1316" s="178" t="s">
        <v>124</v>
      </c>
      <c r="B1316" s="75" t="s">
        <v>1412</v>
      </c>
      <c r="C1316" s="39" t="s">
        <v>17</v>
      </c>
      <c r="D1316" s="236"/>
      <c r="E1316" s="236"/>
      <c r="F1316" s="236"/>
      <c r="G1316" s="236"/>
      <c r="H1316" s="40">
        <f>SUM(Tabla13211242[[#This Row],[PRIMER TRIMESTRE]:[CUARTO TRIMESTRE]])</f>
        <v>0</v>
      </c>
      <c r="I1316" s="17">
        <v>250</v>
      </c>
      <c r="J1316" s="17">
        <f t="shared" si="34"/>
        <v>0</v>
      </c>
      <c r="K1316" s="17"/>
      <c r="L1316" s="16" t="s">
        <v>27</v>
      </c>
      <c r="M1316" s="16" t="s">
        <v>22</v>
      </c>
      <c r="N1316" s="39" t="s">
        <v>342</v>
      </c>
      <c r="O1316" s="20"/>
    </row>
    <row r="1317" spans="1:15" s="12" customFormat="1" ht="30.75" customHeight="1">
      <c r="A1317" s="178" t="s">
        <v>124</v>
      </c>
      <c r="B1317" s="75" t="s">
        <v>1105</v>
      </c>
      <c r="C1317" s="39" t="s">
        <v>290</v>
      </c>
      <c r="D1317" s="236"/>
      <c r="E1317" s="236"/>
      <c r="F1317" s="236"/>
      <c r="G1317" s="236"/>
      <c r="H1317" s="40">
        <f>SUM(Tabla13211242[[#This Row],[PRIMER TRIMESTRE]:[CUARTO TRIMESTRE]])</f>
        <v>0</v>
      </c>
      <c r="I1317" s="17">
        <v>250</v>
      </c>
      <c r="J1317" s="17">
        <f t="shared" si="34"/>
        <v>0</v>
      </c>
      <c r="K1317" s="17"/>
      <c r="L1317" s="16" t="s">
        <v>27</v>
      </c>
      <c r="M1317" s="16" t="s">
        <v>22</v>
      </c>
      <c r="N1317" s="39" t="s">
        <v>342</v>
      </c>
      <c r="O1317" s="20"/>
    </row>
    <row r="1318" spans="1:15" s="12" customFormat="1" ht="30.75" customHeight="1">
      <c r="A1318" s="178" t="s">
        <v>124</v>
      </c>
      <c r="B1318" s="75" t="s">
        <v>1097</v>
      </c>
      <c r="C1318" s="39" t="s">
        <v>1067</v>
      </c>
      <c r="D1318" s="236"/>
      <c r="E1318" s="236"/>
      <c r="F1318" s="236"/>
      <c r="G1318" s="236"/>
      <c r="H1318" s="40">
        <f>SUM(Tabla13211242[[#This Row],[PRIMER TRIMESTRE]:[CUARTO TRIMESTRE]])</f>
        <v>0</v>
      </c>
      <c r="I1318" s="17">
        <v>53</v>
      </c>
      <c r="J1318" s="17">
        <f t="shared" si="34"/>
        <v>0</v>
      </c>
      <c r="K1318" s="17"/>
      <c r="L1318" s="16" t="s">
        <v>27</v>
      </c>
      <c r="M1318" s="16" t="s">
        <v>22</v>
      </c>
      <c r="N1318" s="39" t="s">
        <v>342</v>
      </c>
      <c r="O1318" s="20"/>
    </row>
    <row r="1319" spans="1:15" s="12" customFormat="1" ht="30.75" customHeight="1">
      <c r="A1319" s="178" t="s">
        <v>124</v>
      </c>
      <c r="B1319" s="75" t="s">
        <v>1413</v>
      </c>
      <c r="C1319" s="39" t="s">
        <v>1414</v>
      </c>
      <c r="D1319" s="236"/>
      <c r="E1319" s="236"/>
      <c r="F1319" s="236"/>
      <c r="G1319" s="236"/>
      <c r="H1319" s="40">
        <f>SUM(Tabla13211242[[#This Row],[PRIMER TRIMESTRE]:[CUARTO TRIMESTRE]])</f>
        <v>0</v>
      </c>
      <c r="I1319" s="17">
        <v>450</v>
      </c>
      <c r="J1319" s="17">
        <f t="shared" si="34"/>
        <v>0</v>
      </c>
      <c r="K1319" s="17"/>
      <c r="L1319" s="16" t="s">
        <v>27</v>
      </c>
      <c r="M1319" s="16" t="s">
        <v>22</v>
      </c>
      <c r="N1319" s="39" t="s">
        <v>342</v>
      </c>
      <c r="O1319" s="20"/>
    </row>
    <row r="1320" spans="1:15" s="12" customFormat="1" ht="30.75" customHeight="1">
      <c r="A1320" s="178" t="s">
        <v>124</v>
      </c>
      <c r="B1320" s="75" t="s">
        <v>291</v>
      </c>
      <c r="C1320" s="39" t="s">
        <v>290</v>
      </c>
      <c r="D1320" s="236"/>
      <c r="E1320" s="236"/>
      <c r="F1320" s="236"/>
      <c r="G1320" s="236"/>
      <c r="H1320" s="40">
        <f>SUM(Tabla13211242[[#This Row],[PRIMER TRIMESTRE]:[CUARTO TRIMESTRE]])</f>
        <v>0</v>
      </c>
      <c r="I1320" s="17">
        <v>121.8</v>
      </c>
      <c r="J1320" s="17">
        <f>+Tabla13211242[[#This Row],[CANTIDAD TOTAL]]*Tabla13211242[[#This Row],[PRECIO UNITARIO ESTIMADO]]</f>
        <v>0</v>
      </c>
      <c r="K1320" s="17"/>
      <c r="L1320" s="16" t="s">
        <v>27</v>
      </c>
      <c r="M1320" s="16" t="s">
        <v>22</v>
      </c>
      <c r="N1320" s="39" t="s">
        <v>342</v>
      </c>
      <c r="O1320" s="20"/>
    </row>
    <row r="1321" spans="1:15" s="12" customFormat="1" ht="30.75" customHeight="1">
      <c r="A1321" s="178" t="s">
        <v>124</v>
      </c>
      <c r="B1321" s="75" t="s">
        <v>469</v>
      </c>
      <c r="C1321" s="39" t="s">
        <v>17</v>
      </c>
      <c r="D1321" s="236"/>
      <c r="E1321" s="236"/>
      <c r="F1321" s="236"/>
      <c r="G1321" s="236"/>
      <c r="H1321" s="40">
        <f>SUM(Tabla13211242[[#This Row],[PRIMER TRIMESTRE]:[CUARTO TRIMESTRE]])</f>
        <v>0</v>
      </c>
      <c r="I1321" s="17">
        <v>217.18</v>
      </c>
      <c r="J1321" s="17">
        <f>+H1321*I1321</f>
        <v>0</v>
      </c>
      <c r="K1321" s="17"/>
      <c r="L1321" s="16" t="s">
        <v>27</v>
      </c>
      <c r="M1321" s="16" t="s">
        <v>22</v>
      </c>
      <c r="N1321" s="39" t="s">
        <v>342</v>
      </c>
      <c r="O1321" s="20"/>
    </row>
    <row r="1322" spans="1:15" s="12" customFormat="1" ht="30.75" customHeight="1">
      <c r="A1322" s="178" t="s">
        <v>124</v>
      </c>
      <c r="B1322" s="75" t="s">
        <v>741</v>
      </c>
      <c r="C1322" s="39" t="s">
        <v>17</v>
      </c>
      <c r="D1322" s="236"/>
      <c r="E1322" s="236"/>
      <c r="F1322" s="236"/>
      <c r="G1322" s="236"/>
      <c r="H1322" s="40">
        <f>SUM(Tabla13211242[[#This Row],[PRIMER TRIMESTRE]:[CUARTO TRIMESTRE]])</f>
        <v>0</v>
      </c>
      <c r="I1322" s="17">
        <v>217.18</v>
      </c>
      <c r="J1322" s="17">
        <f>+Tabla13211242[[#This Row],[CANTIDAD TOTAL]]*Tabla13211242[[#This Row],[PRECIO UNITARIO ESTIMADO]]</f>
        <v>0</v>
      </c>
      <c r="K1322" s="17"/>
      <c r="L1322" s="16" t="s">
        <v>27</v>
      </c>
      <c r="M1322" s="16" t="s">
        <v>22</v>
      </c>
      <c r="N1322" s="39" t="s">
        <v>342</v>
      </c>
      <c r="O1322" s="20"/>
    </row>
    <row r="1323" spans="1:15" s="12" customFormat="1" ht="30.75" customHeight="1">
      <c r="A1323" s="178" t="s">
        <v>124</v>
      </c>
      <c r="B1323" s="75" t="s">
        <v>292</v>
      </c>
      <c r="C1323" s="39" t="s">
        <v>17</v>
      </c>
      <c r="D1323" s="236"/>
      <c r="E1323" s="236"/>
      <c r="F1323" s="236"/>
      <c r="G1323" s="236"/>
      <c r="H1323" s="40">
        <f>SUM(Tabla13211242[[#This Row],[PRIMER TRIMESTRE]:[CUARTO TRIMESTRE]])</f>
        <v>0</v>
      </c>
      <c r="I1323" s="17">
        <v>377.54</v>
      </c>
      <c r="J1323" s="17">
        <f>+Tabla13211242[[#This Row],[CANTIDAD TOTAL]]*Tabla13211242[[#This Row],[PRECIO UNITARIO ESTIMADO]]</f>
        <v>0</v>
      </c>
      <c r="K1323" s="17"/>
      <c r="L1323" s="16" t="s">
        <v>27</v>
      </c>
      <c r="M1323" s="16" t="s">
        <v>22</v>
      </c>
      <c r="N1323" s="39" t="s">
        <v>342</v>
      </c>
      <c r="O1323" s="20"/>
    </row>
    <row r="1324" spans="1:15" s="12" customFormat="1" ht="30.75" customHeight="1">
      <c r="A1324" s="178" t="s">
        <v>124</v>
      </c>
      <c r="B1324" s="75" t="s">
        <v>725</v>
      </c>
      <c r="C1324" s="39" t="s">
        <v>17</v>
      </c>
      <c r="D1324" s="236"/>
      <c r="E1324" s="236"/>
      <c r="F1324" s="236"/>
      <c r="G1324" s="236"/>
      <c r="H1324" s="40">
        <f>SUM(Tabla13211242[[#This Row],[PRIMER TRIMESTRE]:[CUARTO TRIMESTRE]])</f>
        <v>0</v>
      </c>
      <c r="I1324" s="17">
        <v>90</v>
      </c>
      <c r="J1324" s="17">
        <f>+H1324*I1324</f>
        <v>0</v>
      </c>
      <c r="K1324" s="17"/>
      <c r="L1324" s="16" t="s">
        <v>27</v>
      </c>
      <c r="M1324" s="16" t="s">
        <v>22</v>
      </c>
      <c r="N1324" s="39" t="s">
        <v>342</v>
      </c>
      <c r="O1324" s="20"/>
    </row>
    <row r="1325" spans="1:15" s="12" customFormat="1" ht="30.75" customHeight="1">
      <c r="A1325" s="178" t="s">
        <v>124</v>
      </c>
      <c r="B1325" s="75" t="s">
        <v>294</v>
      </c>
      <c r="C1325" s="39" t="s">
        <v>17</v>
      </c>
      <c r="D1325" s="236"/>
      <c r="E1325" s="210"/>
      <c r="F1325" s="210"/>
      <c r="G1325" s="210"/>
      <c r="H1325" s="40">
        <f>SUM(Tabla13211242[[#This Row],[PRIMER TRIMESTRE]:[CUARTO TRIMESTRE]])</f>
        <v>0</v>
      </c>
      <c r="I1325" s="17">
        <v>424.95</v>
      </c>
      <c r="J1325" s="17">
        <f>+Tabla13211242[[#This Row],[CANTIDAD TOTAL]]*Tabla13211242[[#This Row],[PRECIO UNITARIO ESTIMADO]]</f>
        <v>0</v>
      </c>
      <c r="K1325" s="17"/>
      <c r="L1325" s="16" t="s">
        <v>27</v>
      </c>
      <c r="M1325" s="16" t="s">
        <v>22</v>
      </c>
      <c r="N1325" s="39" t="s">
        <v>342</v>
      </c>
      <c r="O1325" s="20"/>
    </row>
    <row r="1326" spans="1:15" s="12" customFormat="1" ht="30.75" customHeight="1">
      <c r="A1326" s="178" t="s">
        <v>124</v>
      </c>
      <c r="B1326" s="75" t="s">
        <v>331</v>
      </c>
      <c r="C1326" s="39" t="s">
        <v>33</v>
      </c>
      <c r="D1326" s="236"/>
      <c r="E1326" s="236"/>
      <c r="F1326" s="236"/>
      <c r="G1326" s="236"/>
      <c r="H1326" s="40">
        <f>SUM(Tabla13211242[[#This Row],[PRIMER TRIMESTRE]:[CUARTO TRIMESTRE]])</f>
        <v>0</v>
      </c>
      <c r="I1326" s="17">
        <v>404.45</v>
      </c>
      <c r="J1326" s="17">
        <f>+Tabla13211242[[#This Row],[CANTIDAD TOTAL]]*Tabla13211242[[#This Row],[PRECIO UNITARIO ESTIMADO]]</f>
        <v>0</v>
      </c>
      <c r="K1326" s="17"/>
      <c r="L1326" s="16" t="s">
        <v>27</v>
      </c>
      <c r="M1326" s="16" t="s">
        <v>22</v>
      </c>
      <c r="N1326" s="39" t="s">
        <v>342</v>
      </c>
      <c r="O1326" s="20"/>
    </row>
    <row r="1327" spans="1:15" s="12" customFormat="1" ht="30.75" customHeight="1">
      <c r="A1327" s="178" t="s">
        <v>124</v>
      </c>
      <c r="B1327" s="75" t="s">
        <v>724</v>
      </c>
      <c r="C1327" s="39" t="s">
        <v>17</v>
      </c>
      <c r="D1327" s="236"/>
      <c r="E1327" s="236"/>
      <c r="F1327" s="236"/>
      <c r="G1327" s="236"/>
      <c r="H1327" s="40">
        <f>SUM(Tabla13211242[[#This Row],[PRIMER TRIMESTRE]:[CUARTO TRIMESTRE]])</f>
        <v>0</v>
      </c>
      <c r="I1327" s="17">
        <v>140</v>
      </c>
      <c r="J1327" s="17">
        <f>+H1327*I1327</f>
        <v>0</v>
      </c>
      <c r="K1327" s="17"/>
      <c r="L1327" s="16" t="s">
        <v>27</v>
      </c>
      <c r="M1327" s="16" t="s">
        <v>22</v>
      </c>
      <c r="N1327" s="39" t="s">
        <v>342</v>
      </c>
      <c r="O1327" s="20"/>
    </row>
    <row r="1328" spans="1:15" s="12" customFormat="1" ht="30.75" customHeight="1">
      <c r="A1328" s="178" t="s">
        <v>124</v>
      </c>
      <c r="B1328" s="75" t="s">
        <v>1415</v>
      </c>
      <c r="C1328" s="39" t="s">
        <v>1461</v>
      </c>
      <c r="D1328" s="236"/>
      <c r="E1328" s="236"/>
      <c r="F1328" s="236"/>
      <c r="G1328" s="236"/>
      <c r="H1328" s="40">
        <f>SUM(Tabla13211242[[#This Row],[PRIMER TRIMESTRE]:[CUARTO TRIMESTRE]])</f>
        <v>0</v>
      </c>
      <c r="I1328" s="17">
        <v>55</v>
      </c>
      <c r="J1328" s="17">
        <f>+H1328*I1328</f>
        <v>0</v>
      </c>
      <c r="K1328" s="17"/>
      <c r="L1328" s="16" t="s">
        <v>27</v>
      </c>
      <c r="M1328" s="16" t="s">
        <v>22</v>
      </c>
      <c r="N1328" s="39" t="s">
        <v>342</v>
      </c>
      <c r="O1328" s="20"/>
    </row>
    <row r="1329" spans="1:15" s="26" customFormat="1" ht="30.75" customHeight="1">
      <c r="A1329" s="178" t="s">
        <v>124</v>
      </c>
      <c r="B1329" s="75" t="s">
        <v>1735</v>
      </c>
      <c r="C1329" s="39" t="s">
        <v>1461</v>
      </c>
      <c r="D1329" s="236"/>
      <c r="E1329" s="236"/>
      <c r="F1329" s="236"/>
      <c r="G1329" s="236"/>
      <c r="H1329" s="40">
        <v>0</v>
      </c>
      <c r="I1329" s="17">
        <v>0</v>
      </c>
      <c r="J1329" s="17">
        <v>0</v>
      </c>
      <c r="K1329" s="17"/>
      <c r="L1329" s="16" t="s">
        <v>27</v>
      </c>
      <c r="M1329" s="16" t="s">
        <v>22</v>
      </c>
      <c r="N1329" s="39" t="s">
        <v>342</v>
      </c>
      <c r="O1329" s="23"/>
    </row>
    <row r="1330" spans="1:15" s="12" customFormat="1" ht="30.75" customHeight="1">
      <c r="A1330" s="178" t="s">
        <v>124</v>
      </c>
      <c r="B1330" s="75" t="s">
        <v>1416</v>
      </c>
      <c r="C1330" s="39" t="s">
        <v>1461</v>
      </c>
      <c r="D1330" s="236"/>
      <c r="E1330" s="236"/>
      <c r="F1330" s="236"/>
      <c r="G1330" s="236"/>
      <c r="H1330" s="40">
        <f>SUM(Tabla13211242[[#This Row],[PRIMER TRIMESTRE]:[CUARTO TRIMESTRE]])</f>
        <v>0</v>
      </c>
      <c r="I1330" s="17">
        <v>100</v>
      </c>
      <c r="J1330" s="17">
        <f>+H1330*I1330</f>
        <v>0</v>
      </c>
      <c r="K1330" s="17"/>
      <c r="L1330" s="16" t="s">
        <v>27</v>
      </c>
      <c r="M1330" s="16" t="s">
        <v>22</v>
      </c>
      <c r="N1330" s="39" t="s">
        <v>342</v>
      </c>
      <c r="O1330" s="20"/>
    </row>
    <row r="1331" spans="1:15" s="12" customFormat="1" ht="30.75" customHeight="1">
      <c r="A1331" s="179" t="s">
        <v>124</v>
      </c>
      <c r="B1331" s="76"/>
      <c r="C1331" s="42"/>
      <c r="D1331" s="237"/>
      <c r="E1331" s="237"/>
      <c r="F1331" s="237"/>
      <c r="G1331" s="237"/>
      <c r="H1331" s="43"/>
      <c r="I1331" s="24"/>
      <c r="J1331" s="24"/>
      <c r="K1331" s="25">
        <f>SUM(J1304:J1330)</f>
        <v>0</v>
      </c>
      <c r="L1331" s="23"/>
      <c r="M1331" s="23"/>
      <c r="N1331" s="42"/>
      <c r="O1331" s="20"/>
    </row>
    <row r="1332" spans="1:15" s="12" customFormat="1" ht="30.75" customHeight="1">
      <c r="A1332" s="178" t="s">
        <v>295</v>
      </c>
      <c r="B1332" s="75" t="s">
        <v>296</v>
      </c>
      <c r="C1332" s="39" t="s">
        <v>17</v>
      </c>
      <c r="D1332" s="236"/>
      <c r="E1332" s="236"/>
      <c r="F1332" s="236"/>
      <c r="G1332" s="236"/>
      <c r="H1332" s="40">
        <f>SUM(Tabla13211242[[#This Row],[PRIMER TRIMESTRE]:[CUARTO TRIMESTRE]])</f>
        <v>0</v>
      </c>
      <c r="I1332" s="17">
        <v>5300.02</v>
      </c>
      <c r="J1332" s="17">
        <f>+Tabla13211242[[#This Row],[CANTIDAD TOTAL]]*Tabla13211242[[#This Row],[PRECIO UNITARIO ESTIMADO]]</f>
        <v>0</v>
      </c>
      <c r="K1332" s="17"/>
      <c r="L1332" s="16" t="s">
        <v>27</v>
      </c>
      <c r="M1332" s="16" t="s">
        <v>22</v>
      </c>
      <c r="N1332" s="39" t="s">
        <v>342</v>
      </c>
      <c r="O1332" s="20"/>
    </row>
    <row r="1333" spans="1:15" s="12" customFormat="1" ht="30.75" customHeight="1">
      <c r="A1333" s="178" t="s">
        <v>295</v>
      </c>
      <c r="B1333" s="75" t="s">
        <v>297</v>
      </c>
      <c r="C1333" s="39" t="s">
        <v>17</v>
      </c>
      <c r="D1333" s="236"/>
      <c r="E1333" s="236"/>
      <c r="F1333" s="236"/>
      <c r="G1333" s="236"/>
      <c r="H1333" s="40">
        <f>SUM(Tabla13211242[[#This Row],[PRIMER TRIMESTRE]:[CUARTO TRIMESTRE]])</f>
        <v>0</v>
      </c>
      <c r="I1333" s="17">
        <v>11775.77</v>
      </c>
      <c r="J1333" s="17">
        <f>+Tabla13211242[[#This Row],[CANTIDAD TOTAL]]*Tabla13211242[[#This Row],[PRECIO UNITARIO ESTIMADO]]</f>
        <v>0</v>
      </c>
      <c r="K1333" s="17"/>
      <c r="L1333" s="16" t="s">
        <v>27</v>
      </c>
      <c r="M1333" s="16" t="s">
        <v>22</v>
      </c>
      <c r="N1333" s="39" t="s">
        <v>342</v>
      </c>
      <c r="O1333" s="20"/>
    </row>
    <row r="1334" spans="1:15" s="12" customFormat="1" ht="30.75" customHeight="1">
      <c r="A1334" s="178" t="s">
        <v>295</v>
      </c>
      <c r="B1334" s="75" t="s">
        <v>298</v>
      </c>
      <c r="C1334" s="39" t="s">
        <v>17</v>
      </c>
      <c r="D1334" s="236"/>
      <c r="E1334" s="236"/>
      <c r="F1334" s="236"/>
      <c r="G1334" s="236"/>
      <c r="H1334" s="40">
        <f>SUM(Tabla13211242[[#This Row],[PRIMER TRIMESTRE]:[CUARTO TRIMESTRE]])</f>
        <v>0</v>
      </c>
      <c r="I1334" s="17">
        <v>18999.439999999999</v>
      </c>
      <c r="J1334" s="17">
        <f>+Tabla13211242[[#This Row],[CANTIDAD TOTAL]]*Tabla13211242[[#This Row],[PRECIO UNITARIO ESTIMADO]]</f>
        <v>0</v>
      </c>
      <c r="K1334" s="17"/>
      <c r="L1334" s="16" t="s">
        <v>27</v>
      </c>
      <c r="M1334" s="16" t="s">
        <v>22</v>
      </c>
      <c r="N1334" s="39" t="s">
        <v>342</v>
      </c>
      <c r="O1334" s="20"/>
    </row>
    <row r="1335" spans="1:15" s="12" customFormat="1" ht="30.75" customHeight="1">
      <c r="A1335" s="178" t="s">
        <v>295</v>
      </c>
      <c r="B1335" s="75" t="s">
        <v>299</v>
      </c>
      <c r="C1335" s="39" t="s">
        <v>17</v>
      </c>
      <c r="D1335" s="236"/>
      <c r="E1335" s="236"/>
      <c r="F1335" s="236"/>
      <c r="G1335" s="236"/>
      <c r="H1335" s="40">
        <f>SUM(Tabla13211242[[#This Row],[PRIMER TRIMESTRE]:[CUARTO TRIMESTRE]])</f>
        <v>0</v>
      </c>
      <c r="I1335" s="17">
        <v>784</v>
      </c>
      <c r="J1335" s="17">
        <f>+Tabla13211242[[#This Row],[CANTIDAD TOTAL]]*Tabla13211242[[#This Row],[PRECIO UNITARIO ESTIMADO]]</f>
        <v>0</v>
      </c>
      <c r="K1335" s="17"/>
      <c r="L1335" s="16" t="s">
        <v>27</v>
      </c>
      <c r="M1335" s="16" t="s">
        <v>22</v>
      </c>
      <c r="N1335" s="39" t="s">
        <v>342</v>
      </c>
      <c r="O1335" s="20"/>
    </row>
    <row r="1336" spans="1:15" s="12" customFormat="1" ht="30.75" customHeight="1">
      <c r="A1336" s="178" t="s">
        <v>295</v>
      </c>
      <c r="B1336" s="75" t="s">
        <v>300</v>
      </c>
      <c r="C1336" s="39" t="s">
        <v>17</v>
      </c>
      <c r="D1336" s="236"/>
      <c r="E1336" s="236"/>
      <c r="F1336" s="236"/>
      <c r="G1336" s="236"/>
      <c r="H1336" s="40">
        <f>SUM(Tabla13211242[[#This Row],[PRIMER TRIMESTRE]:[CUARTO TRIMESTRE]])</f>
        <v>0</v>
      </c>
      <c r="I1336" s="17">
        <v>21495</v>
      </c>
      <c r="J1336" s="17">
        <f>+Tabla13211242[[#This Row],[CANTIDAD TOTAL]]*Tabla13211242[[#This Row],[PRECIO UNITARIO ESTIMADO]]</f>
        <v>0</v>
      </c>
      <c r="K1336" s="17"/>
      <c r="L1336" s="16" t="s">
        <v>27</v>
      </c>
      <c r="M1336" s="16" t="s">
        <v>22</v>
      </c>
      <c r="N1336" s="39" t="s">
        <v>342</v>
      </c>
      <c r="O1336" s="20"/>
    </row>
    <row r="1337" spans="1:15" s="12" customFormat="1" ht="30.75" customHeight="1">
      <c r="A1337" s="178" t="s">
        <v>295</v>
      </c>
      <c r="B1337" s="75" t="s">
        <v>337</v>
      </c>
      <c r="C1337" s="39" t="s">
        <v>17</v>
      </c>
      <c r="D1337" s="236"/>
      <c r="E1337" s="236"/>
      <c r="F1337" s="236"/>
      <c r="G1337" s="236"/>
      <c r="H1337" s="40">
        <f>SUM(Tabla13211242[[#This Row],[PRIMER TRIMESTRE]:[CUARTO TRIMESTRE]])</f>
        <v>0</v>
      </c>
      <c r="I1337" s="17">
        <v>3225.3333333333335</v>
      </c>
      <c r="J1337" s="17">
        <f>+Tabla13211242[[#This Row],[CANTIDAD TOTAL]]*Tabla13211242[[#This Row],[PRECIO UNITARIO ESTIMADO]]</f>
        <v>0</v>
      </c>
      <c r="K1337" s="17"/>
      <c r="L1337" s="16" t="s">
        <v>27</v>
      </c>
      <c r="M1337" s="16" t="s">
        <v>22</v>
      </c>
      <c r="N1337" s="39" t="s">
        <v>418</v>
      </c>
      <c r="O1337" s="20"/>
    </row>
    <row r="1338" spans="1:15" s="12" customFormat="1" ht="30.75" customHeight="1">
      <c r="A1338" s="178" t="s">
        <v>295</v>
      </c>
      <c r="B1338" s="75" t="s">
        <v>441</v>
      </c>
      <c r="C1338" s="39" t="s">
        <v>17</v>
      </c>
      <c r="D1338" s="236">
        <v>1</v>
      </c>
      <c r="E1338" s="236"/>
      <c r="F1338" s="236"/>
      <c r="G1338" s="236"/>
      <c r="H1338" s="40">
        <f>SUM(Tabla13211242[[#This Row],[PRIMER TRIMESTRE]:[CUARTO TRIMESTRE]])</f>
        <v>1</v>
      </c>
      <c r="I1338" s="17">
        <v>9000</v>
      </c>
      <c r="J1338" s="17">
        <f>+H1338*I1338</f>
        <v>9000</v>
      </c>
      <c r="K1338" s="17"/>
      <c r="L1338" s="16" t="s">
        <v>27</v>
      </c>
      <c r="M1338" s="16" t="s">
        <v>22</v>
      </c>
      <c r="N1338" s="39" t="s">
        <v>342</v>
      </c>
      <c r="O1338" s="20"/>
    </row>
    <row r="1339" spans="1:15" s="12" customFormat="1" ht="30.75" customHeight="1">
      <c r="A1339" s="178" t="s">
        <v>295</v>
      </c>
      <c r="B1339" s="75" t="s">
        <v>301</v>
      </c>
      <c r="C1339" s="39" t="s">
        <v>17</v>
      </c>
      <c r="D1339" s="236"/>
      <c r="E1339" s="236"/>
      <c r="F1339" s="236"/>
      <c r="G1339" s="236"/>
      <c r="H1339" s="40">
        <f>SUM(Tabla13211242[[#This Row],[PRIMER TRIMESTRE]:[CUARTO TRIMESTRE]])</f>
        <v>0</v>
      </c>
      <c r="I1339" s="17">
        <v>8004</v>
      </c>
      <c r="J1339" s="17">
        <f>+Tabla13211242[[#This Row],[CANTIDAD TOTAL]]*Tabla13211242[[#This Row],[PRECIO UNITARIO ESTIMADO]]</f>
        <v>0</v>
      </c>
      <c r="K1339" s="17"/>
      <c r="L1339" s="16" t="s">
        <v>27</v>
      </c>
      <c r="M1339" s="16" t="s">
        <v>22</v>
      </c>
      <c r="N1339" s="39" t="s">
        <v>342</v>
      </c>
      <c r="O1339" s="20"/>
    </row>
    <row r="1340" spans="1:15" s="12" customFormat="1" ht="30.75" customHeight="1">
      <c r="A1340" s="178" t="s">
        <v>295</v>
      </c>
      <c r="B1340" s="75" t="s">
        <v>316</v>
      </c>
      <c r="C1340" s="39" t="s">
        <v>17</v>
      </c>
      <c r="D1340" s="236"/>
      <c r="E1340" s="236"/>
      <c r="F1340" s="236"/>
      <c r="G1340" s="236"/>
      <c r="H1340" s="40">
        <f>SUM(Tabla13211242[[#This Row],[PRIMER TRIMESTRE]:[CUARTO TRIMESTRE]])</f>
        <v>0</v>
      </c>
      <c r="I1340" s="17">
        <v>8802.7999999999993</v>
      </c>
      <c r="J1340" s="17">
        <f>+Tabla13211242[[#This Row],[CANTIDAD TOTAL]]*Tabla13211242[[#This Row],[PRECIO UNITARIO ESTIMADO]]</f>
        <v>0</v>
      </c>
      <c r="K1340" s="17"/>
      <c r="L1340" s="16" t="s">
        <v>27</v>
      </c>
      <c r="M1340" s="16" t="s">
        <v>22</v>
      </c>
      <c r="N1340" s="39" t="s">
        <v>342</v>
      </c>
      <c r="O1340" s="20"/>
    </row>
    <row r="1341" spans="1:15" s="26" customFormat="1" ht="30.75" customHeight="1">
      <c r="A1341" s="178" t="s">
        <v>295</v>
      </c>
      <c r="B1341" s="75" t="s">
        <v>322</v>
      </c>
      <c r="C1341" s="39" t="s">
        <v>17</v>
      </c>
      <c r="D1341" s="236"/>
      <c r="E1341" s="236"/>
      <c r="F1341" s="236"/>
      <c r="G1341" s="236"/>
      <c r="H1341" s="40">
        <f>SUM(Tabla13211242[[#This Row],[PRIMER TRIMESTRE]:[CUARTO TRIMESTRE]])</f>
        <v>0</v>
      </c>
      <c r="I1341" s="17">
        <v>64546</v>
      </c>
      <c r="J1341" s="17">
        <f>+Tabla13211242[[#This Row],[CANTIDAD TOTAL]]*Tabla13211242[[#This Row],[PRECIO UNITARIO ESTIMADO]]</f>
        <v>0</v>
      </c>
      <c r="K1341" s="17"/>
      <c r="L1341" s="16" t="s">
        <v>27</v>
      </c>
      <c r="M1341" s="16" t="s">
        <v>22</v>
      </c>
      <c r="N1341" s="39" t="s">
        <v>342</v>
      </c>
      <c r="O1341" s="23"/>
    </row>
    <row r="1342" spans="1:15" s="12" customFormat="1" ht="30.75" customHeight="1">
      <c r="A1342" s="178" t="s">
        <v>295</v>
      </c>
      <c r="B1342" s="75" t="s">
        <v>1423</v>
      </c>
      <c r="C1342" s="39" t="s">
        <v>17</v>
      </c>
      <c r="D1342" s="236"/>
      <c r="E1342" s="236"/>
      <c r="F1342" s="236"/>
      <c r="G1342" s="236"/>
      <c r="H1342" s="40">
        <f>SUM(Tabla13211242[[#This Row],[PRIMER TRIMESTRE]:[CUARTO TRIMESTRE]])</f>
        <v>0</v>
      </c>
      <c r="I1342" s="17">
        <v>24978.240000000002</v>
      </c>
      <c r="J1342" s="17">
        <f>+H1342*I1342</f>
        <v>0</v>
      </c>
      <c r="K1342" s="17"/>
      <c r="L1342" s="16" t="s">
        <v>15</v>
      </c>
      <c r="M1342" s="16" t="s">
        <v>22</v>
      </c>
      <c r="N1342" s="39" t="s">
        <v>342</v>
      </c>
      <c r="O1342" s="20"/>
    </row>
    <row r="1343" spans="1:15" s="12" customFormat="1" ht="30.75" customHeight="1">
      <c r="A1343" s="179" t="s">
        <v>295</v>
      </c>
      <c r="B1343" s="76"/>
      <c r="C1343" s="42"/>
      <c r="D1343" s="237"/>
      <c r="E1343" s="237"/>
      <c r="F1343" s="237"/>
      <c r="G1343" s="237"/>
      <c r="H1343" s="43"/>
      <c r="I1343" s="24"/>
      <c r="J1343" s="24"/>
      <c r="K1343" s="25">
        <f>SUM(J1332:J1342)</f>
        <v>9000</v>
      </c>
      <c r="L1343" s="23"/>
      <c r="M1343" s="23"/>
      <c r="N1343" s="42"/>
      <c r="O1343" s="20"/>
    </row>
    <row r="1344" spans="1:15" s="12" customFormat="1" ht="30.75" customHeight="1">
      <c r="A1344" s="178" t="s">
        <v>147</v>
      </c>
      <c r="B1344" s="75" t="s">
        <v>302</v>
      </c>
      <c r="C1344" s="39" t="s">
        <v>17</v>
      </c>
      <c r="D1344" s="236"/>
      <c r="E1344" s="236"/>
      <c r="F1344" s="236"/>
      <c r="G1344" s="236"/>
      <c r="H1344" s="40">
        <f>SUM(Tabla13211242[[#This Row],[PRIMER TRIMESTRE]:[CUARTO TRIMESTRE]])</f>
        <v>0</v>
      </c>
      <c r="I1344" s="17">
        <v>452.4</v>
      </c>
      <c r="J1344" s="17">
        <f>+Tabla13211242[[#This Row],[CANTIDAD TOTAL]]*Tabla13211242[[#This Row],[PRECIO UNITARIO ESTIMADO]]</f>
        <v>0</v>
      </c>
      <c r="K1344" s="17"/>
      <c r="L1344" s="16" t="s">
        <v>27</v>
      </c>
      <c r="M1344" s="16" t="s">
        <v>22</v>
      </c>
      <c r="N1344" s="39" t="s">
        <v>342</v>
      </c>
      <c r="O1344" s="20"/>
    </row>
    <row r="1345" spans="1:15" s="12" customFormat="1" ht="30.75" customHeight="1">
      <c r="A1345" s="178" t="s">
        <v>147</v>
      </c>
      <c r="B1345" s="75" t="s">
        <v>326</v>
      </c>
      <c r="C1345" s="39" t="s">
        <v>17</v>
      </c>
      <c r="D1345" s="236"/>
      <c r="E1345" s="236"/>
      <c r="F1345" s="236"/>
      <c r="G1345" s="236"/>
      <c r="H1345" s="40">
        <f>SUM(Tabla13211242[[#This Row],[PRIMER TRIMESTRE]:[CUARTO TRIMESTRE]])</f>
        <v>0</v>
      </c>
      <c r="I1345" s="17">
        <v>2596</v>
      </c>
      <c r="J1345" s="17">
        <f>+Tabla13211242[[#This Row],[CANTIDAD TOTAL]]*Tabla13211242[[#This Row],[PRECIO UNITARIO ESTIMADO]]</f>
        <v>0</v>
      </c>
      <c r="K1345" s="17"/>
      <c r="L1345" s="16" t="s">
        <v>27</v>
      </c>
      <c r="M1345" s="16" t="s">
        <v>22</v>
      </c>
      <c r="N1345" s="39" t="s">
        <v>342</v>
      </c>
      <c r="O1345" s="20"/>
    </row>
    <row r="1346" spans="1:15" s="12" customFormat="1" ht="30.75" customHeight="1">
      <c r="A1346" s="180" t="s">
        <v>147</v>
      </c>
      <c r="B1346" s="77" t="s">
        <v>332</v>
      </c>
      <c r="C1346" s="70" t="s">
        <v>17</v>
      </c>
      <c r="D1346" s="210"/>
      <c r="E1346" s="210"/>
      <c r="F1346" s="210"/>
      <c r="G1346" s="210"/>
      <c r="H1346" s="406">
        <f>SUM(Tabla13211242[[#This Row],[PRIMER TRIMESTRE]:[CUARTO TRIMESTRE]])</f>
        <v>0</v>
      </c>
      <c r="I1346" s="17">
        <v>460.2</v>
      </c>
      <c r="J1346" s="17">
        <f>+Tabla13211242[[#This Row],[CANTIDAD TOTAL]]*Tabla13211242[[#This Row],[PRECIO UNITARIO ESTIMADO]]</f>
        <v>0</v>
      </c>
      <c r="K1346" s="17"/>
      <c r="L1346" s="16" t="s">
        <v>27</v>
      </c>
      <c r="M1346" s="16" t="s">
        <v>22</v>
      </c>
      <c r="N1346" s="39" t="s">
        <v>342</v>
      </c>
      <c r="O1346" s="20"/>
    </row>
    <row r="1347" spans="1:15" s="12" customFormat="1" ht="30.75" customHeight="1">
      <c r="A1347" s="178" t="s">
        <v>147</v>
      </c>
      <c r="B1347" s="75" t="s">
        <v>333</v>
      </c>
      <c r="C1347" s="39" t="s">
        <v>17</v>
      </c>
      <c r="D1347" s="236"/>
      <c r="E1347" s="236"/>
      <c r="F1347" s="236"/>
      <c r="G1347" s="236"/>
      <c r="H1347" s="40">
        <f>SUM(Tabla13211242[[#This Row],[PRIMER TRIMESTRE]:[CUARTO TRIMESTRE]])</f>
        <v>0</v>
      </c>
      <c r="I1347" s="17">
        <f>76995/450</f>
        <v>171.1</v>
      </c>
      <c r="J1347" s="17">
        <f>+Tabla13211242[[#This Row],[CANTIDAD TOTAL]]*Tabla13211242[[#This Row],[PRECIO UNITARIO ESTIMADO]]</f>
        <v>0</v>
      </c>
      <c r="K1347" s="17"/>
      <c r="L1347" s="16" t="s">
        <v>27</v>
      </c>
      <c r="M1347" s="16" t="s">
        <v>22</v>
      </c>
      <c r="N1347" s="39" t="s">
        <v>342</v>
      </c>
      <c r="O1347" s="20"/>
    </row>
    <row r="1348" spans="1:15" s="12" customFormat="1" ht="30.75" customHeight="1">
      <c r="A1348" s="178" t="s">
        <v>147</v>
      </c>
      <c r="B1348" s="75" t="s">
        <v>1580</v>
      </c>
      <c r="C1348" s="39" t="s">
        <v>149</v>
      </c>
      <c r="D1348" s="236"/>
      <c r="E1348" s="236"/>
      <c r="F1348" s="236"/>
      <c r="G1348" s="236"/>
      <c r="H1348" s="236">
        <f>SUM(Tabla13211242[[#This Row],[PRIMER TRIMESTRE]:[CUARTO TRIMESTRE]])</f>
        <v>0</v>
      </c>
      <c r="I1348" s="17">
        <v>3250</v>
      </c>
      <c r="J1348" s="17">
        <f>+H1348*I1348</f>
        <v>0</v>
      </c>
      <c r="K1348" s="17"/>
      <c r="L1348" s="16" t="s">
        <v>27</v>
      </c>
      <c r="M1348" s="16" t="s">
        <v>22</v>
      </c>
      <c r="N1348" s="39" t="s">
        <v>342</v>
      </c>
      <c r="O1348" s="20"/>
    </row>
    <row r="1349" spans="1:15" s="12" customFormat="1" ht="30.75" customHeight="1">
      <c r="A1349" s="178" t="s">
        <v>147</v>
      </c>
      <c r="B1349" s="75" t="s">
        <v>1581</v>
      </c>
      <c r="C1349" s="39" t="s">
        <v>149</v>
      </c>
      <c r="D1349" s="236"/>
      <c r="E1349" s="236"/>
      <c r="F1349" s="236"/>
      <c r="G1349" s="236"/>
      <c r="H1349" s="236">
        <f>SUM(Tabla13211242[[#This Row],[PRIMER TRIMESTRE]:[CUARTO TRIMESTRE]])</f>
        <v>0</v>
      </c>
      <c r="I1349" s="17">
        <v>3250</v>
      </c>
      <c r="J1349" s="17">
        <f>+H1349*I1349</f>
        <v>0</v>
      </c>
      <c r="K1349" s="17"/>
      <c r="L1349" s="16" t="s">
        <v>27</v>
      </c>
      <c r="M1349" s="16" t="s">
        <v>22</v>
      </c>
      <c r="N1349" s="39" t="s">
        <v>342</v>
      </c>
      <c r="O1349" s="20"/>
    </row>
    <row r="1350" spans="1:15" s="12" customFormat="1" ht="30.75" customHeight="1">
      <c r="A1350" s="178" t="s">
        <v>147</v>
      </c>
      <c r="B1350" s="75" t="s">
        <v>1579</v>
      </c>
      <c r="C1350" s="39" t="s">
        <v>149</v>
      </c>
      <c r="D1350" s="236"/>
      <c r="E1350" s="236"/>
      <c r="F1350" s="236"/>
      <c r="G1350" s="236"/>
      <c r="H1350" s="236">
        <f>SUM(Tabla13211242[[#This Row],[PRIMER TRIMESTRE]:[CUARTO TRIMESTRE]])</f>
        <v>0</v>
      </c>
      <c r="I1350" s="17">
        <v>3250</v>
      </c>
      <c r="J1350" s="17">
        <f>+H1350*I1350</f>
        <v>0</v>
      </c>
      <c r="K1350" s="17"/>
      <c r="L1350" s="16" t="s">
        <v>27</v>
      </c>
      <c r="M1350" s="16" t="s">
        <v>22</v>
      </c>
      <c r="N1350" s="39" t="s">
        <v>342</v>
      </c>
      <c r="O1350" s="20"/>
    </row>
    <row r="1351" spans="1:15" s="12" customFormat="1" ht="30.75" customHeight="1">
      <c r="A1351" s="178" t="s">
        <v>147</v>
      </c>
      <c r="B1351" s="75" t="s">
        <v>303</v>
      </c>
      <c r="C1351" s="39" t="s">
        <v>149</v>
      </c>
      <c r="D1351" s="236"/>
      <c r="E1351" s="236"/>
      <c r="F1351" s="236"/>
      <c r="G1351" s="236"/>
      <c r="H1351" s="236">
        <f>SUM(Tabla13211242[[#This Row],[PRIMER TRIMESTRE]:[CUARTO TRIMESTRE]])</f>
        <v>0</v>
      </c>
      <c r="I1351" s="17">
        <v>1856</v>
      </c>
      <c r="J1351" s="17">
        <f>+Tabla13211242[[#This Row],[CANTIDAD TOTAL]]*Tabla13211242[[#This Row],[PRECIO UNITARIO ESTIMADO]]</f>
        <v>0</v>
      </c>
      <c r="K1351" s="17"/>
      <c r="L1351" s="16" t="s">
        <v>27</v>
      </c>
      <c r="M1351" s="16" t="s">
        <v>22</v>
      </c>
      <c r="N1351" s="39" t="s">
        <v>342</v>
      </c>
      <c r="O1351" s="20"/>
    </row>
    <row r="1352" spans="1:15" s="12" customFormat="1" ht="30.75" customHeight="1">
      <c r="A1352" s="178" t="s">
        <v>147</v>
      </c>
      <c r="B1352" s="75" t="s">
        <v>1582</v>
      </c>
      <c r="C1352" s="39" t="s">
        <v>149</v>
      </c>
      <c r="D1352" s="236"/>
      <c r="E1352" s="236"/>
      <c r="F1352" s="236"/>
      <c r="G1352" s="236"/>
      <c r="H1352" s="236">
        <f>SUM(Tabla13211242[[#This Row],[PRIMER TRIMESTRE]:[CUARTO TRIMESTRE]])</f>
        <v>0</v>
      </c>
      <c r="I1352" s="17">
        <v>1680</v>
      </c>
      <c r="J1352" s="17">
        <f>+H1352*I1352</f>
        <v>0</v>
      </c>
      <c r="K1352" s="17"/>
      <c r="L1352" s="16" t="s">
        <v>27</v>
      </c>
      <c r="M1352" s="16" t="s">
        <v>22</v>
      </c>
      <c r="N1352" s="39" t="s">
        <v>342</v>
      </c>
      <c r="O1352" s="20"/>
    </row>
    <row r="1353" spans="1:15" s="12" customFormat="1" ht="30.75" customHeight="1">
      <c r="A1353" s="178" t="s">
        <v>147</v>
      </c>
      <c r="B1353" s="75" t="s">
        <v>1583</v>
      </c>
      <c r="C1353" s="39" t="s">
        <v>149</v>
      </c>
      <c r="D1353" s="236"/>
      <c r="E1353" s="236"/>
      <c r="F1353" s="236"/>
      <c r="G1353" s="236"/>
      <c r="H1353" s="236">
        <f>SUM(Tabla13211242[[#This Row],[PRIMER TRIMESTRE]:[CUARTO TRIMESTRE]])</f>
        <v>0</v>
      </c>
      <c r="I1353" s="17">
        <v>1615</v>
      </c>
      <c r="J1353" s="17">
        <f>+H1353*I1353</f>
        <v>0</v>
      </c>
      <c r="K1353" s="17"/>
      <c r="L1353" s="16" t="s">
        <v>27</v>
      </c>
      <c r="M1353" s="16" t="s">
        <v>22</v>
      </c>
      <c r="N1353" s="39" t="s">
        <v>342</v>
      </c>
      <c r="O1353" s="20"/>
    </row>
    <row r="1354" spans="1:15" s="12" customFormat="1" ht="30.75" customHeight="1">
      <c r="A1354" s="178" t="s">
        <v>147</v>
      </c>
      <c r="B1354" s="75" t="s">
        <v>1584</v>
      </c>
      <c r="C1354" s="39" t="s">
        <v>149</v>
      </c>
      <c r="D1354" s="236"/>
      <c r="E1354" s="236"/>
      <c r="F1354" s="236"/>
      <c r="G1354" s="236"/>
      <c r="H1354" s="236">
        <f>SUM(Tabla13211242[[#This Row],[PRIMER TRIMESTRE]:[CUARTO TRIMESTRE]])</f>
        <v>0</v>
      </c>
      <c r="I1354" s="17">
        <v>1615</v>
      </c>
      <c r="J1354" s="17">
        <f>+H1354*I1354</f>
        <v>0</v>
      </c>
      <c r="K1354" s="17"/>
      <c r="L1354" s="16" t="s">
        <v>27</v>
      </c>
      <c r="M1354" s="16" t="s">
        <v>22</v>
      </c>
      <c r="N1354" s="39" t="s">
        <v>342</v>
      </c>
      <c r="O1354" s="20"/>
    </row>
    <row r="1355" spans="1:15" s="12" customFormat="1" ht="30.75" customHeight="1">
      <c r="A1355" s="178" t="s">
        <v>147</v>
      </c>
      <c r="B1355" s="75" t="s">
        <v>1585</v>
      </c>
      <c r="C1355" s="39" t="s">
        <v>149</v>
      </c>
      <c r="D1355" s="236"/>
      <c r="E1355" s="236"/>
      <c r="F1355" s="236"/>
      <c r="G1355" s="236"/>
      <c r="H1355" s="236">
        <f>SUM(Tabla13211242[[#This Row],[PRIMER TRIMESTRE]:[CUARTO TRIMESTRE]])</f>
        <v>0</v>
      </c>
      <c r="I1355" s="17">
        <v>1615</v>
      </c>
      <c r="J1355" s="17">
        <f>+H1355*I1355</f>
        <v>0</v>
      </c>
      <c r="K1355" s="17"/>
      <c r="L1355" s="16" t="s">
        <v>27</v>
      </c>
      <c r="M1355" s="16" t="s">
        <v>22</v>
      </c>
      <c r="N1355" s="39" t="s">
        <v>342</v>
      </c>
      <c r="O1355" s="20"/>
    </row>
    <row r="1356" spans="1:15" s="12" customFormat="1" ht="30.75" customHeight="1">
      <c r="A1356" s="178" t="s">
        <v>147</v>
      </c>
      <c r="B1356" s="75" t="s">
        <v>1586</v>
      </c>
      <c r="C1356" s="39" t="s">
        <v>149</v>
      </c>
      <c r="D1356" s="236"/>
      <c r="E1356" s="236"/>
      <c r="F1356" s="236"/>
      <c r="G1356" s="236"/>
      <c r="H1356" s="236">
        <f>SUM(Tabla13211242[[#This Row],[PRIMER TRIMESTRE]:[CUARTO TRIMESTRE]])</f>
        <v>0</v>
      </c>
      <c r="I1356" s="17">
        <v>1615</v>
      </c>
      <c r="J1356" s="17">
        <f>+H1356*I1356</f>
        <v>0</v>
      </c>
      <c r="K1356" s="17"/>
      <c r="L1356" s="16" t="s">
        <v>27</v>
      </c>
      <c r="M1356" s="16" t="s">
        <v>22</v>
      </c>
      <c r="N1356" s="39" t="s">
        <v>342</v>
      </c>
      <c r="O1356" s="20"/>
    </row>
    <row r="1357" spans="1:15" s="12" customFormat="1" ht="30.75" customHeight="1">
      <c r="A1357" s="178" t="s">
        <v>147</v>
      </c>
      <c r="B1357" s="75" t="s">
        <v>1272</v>
      </c>
      <c r="C1357" s="39" t="s">
        <v>149</v>
      </c>
      <c r="D1357" s="236"/>
      <c r="E1357" s="236"/>
      <c r="F1357" s="236"/>
      <c r="G1357" s="236"/>
      <c r="H1357" s="40">
        <f>SUM(Tabla13211242[[#This Row],[PRIMER TRIMESTRE]:[CUARTO TRIMESTRE]])</f>
        <v>0</v>
      </c>
      <c r="I1357" s="17">
        <v>488.31</v>
      </c>
      <c r="J1357" s="17">
        <f>+Tabla13211242[[#This Row],[CANTIDAD TOTAL]]*Tabla13211242[[#This Row],[PRECIO UNITARIO ESTIMADO]]</f>
        <v>0</v>
      </c>
      <c r="K1357" s="17"/>
      <c r="L1357" s="16" t="s">
        <v>27</v>
      </c>
      <c r="M1357" s="16" t="s">
        <v>22</v>
      </c>
      <c r="N1357" s="39" t="s">
        <v>342</v>
      </c>
      <c r="O1357" s="20"/>
    </row>
    <row r="1358" spans="1:15" s="12" customFormat="1" ht="30.75" customHeight="1">
      <c r="A1358" s="178" t="s">
        <v>147</v>
      </c>
      <c r="B1358" s="75" t="s">
        <v>1273</v>
      </c>
      <c r="C1358" s="39" t="s">
        <v>149</v>
      </c>
      <c r="D1358" s="236"/>
      <c r="E1358" s="241"/>
      <c r="F1358" s="236"/>
      <c r="G1358" s="236"/>
      <c r="H1358" s="40">
        <f>SUM(Tabla13211242[[#This Row],[PRIMER TRIMESTRE]:[CUARTO TRIMESTRE]])</f>
        <v>0</v>
      </c>
      <c r="I1358" s="17">
        <v>550.4</v>
      </c>
      <c r="J1358" s="17">
        <f>+H1358*I1358</f>
        <v>0</v>
      </c>
      <c r="K1358" s="17"/>
      <c r="L1358" s="16" t="s">
        <v>27</v>
      </c>
      <c r="M1358" s="16" t="s">
        <v>22</v>
      </c>
      <c r="N1358" s="39" t="s">
        <v>342</v>
      </c>
      <c r="O1358" s="20"/>
    </row>
    <row r="1359" spans="1:15" s="12" customFormat="1" ht="30.75" customHeight="1">
      <c r="A1359" s="178" t="s">
        <v>147</v>
      </c>
      <c r="B1359" s="75" t="s">
        <v>1274</v>
      </c>
      <c r="C1359" s="39" t="s">
        <v>17</v>
      </c>
      <c r="D1359" s="236"/>
      <c r="E1359" s="236"/>
      <c r="F1359" s="236"/>
      <c r="G1359" s="236"/>
      <c r="H1359" s="40">
        <f>SUM(Tabla13211242[[#This Row],[PRIMER TRIMESTRE]:[CUARTO TRIMESTRE]])</f>
        <v>0</v>
      </c>
      <c r="I1359" s="17">
        <v>450</v>
      </c>
      <c r="J1359" s="17">
        <f>+H1359*I1359</f>
        <v>0</v>
      </c>
      <c r="K1359" s="17"/>
      <c r="L1359" s="16" t="s">
        <v>27</v>
      </c>
      <c r="M1359" s="16" t="s">
        <v>22</v>
      </c>
      <c r="N1359" s="39" t="s">
        <v>342</v>
      </c>
      <c r="O1359" s="20"/>
    </row>
    <row r="1360" spans="1:15" s="26" customFormat="1" ht="30.75" customHeight="1">
      <c r="A1360" s="178" t="s">
        <v>147</v>
      </c>
      <c r="B1360" s="75" t="s">
        <v>1270</v>
      </c>
      <c r="C1360" s="39" t="s">
        <v>17</v>
      </c>
      <c r="D1360" s="236"/>
      <c r="E1360" s="236"/>
      <c r="F1360" s="236"/>
      <c r="G1360" s="236"/>
      <c r="H1360" s="40">
        <f>SUM(Tabla13211242[[#This Row],[PRIMER TRIMESTRE]:[CUARTO TRIMESTRE]])</f>
        <v>0</v>
      </c>
      <c r="I1360" s="17">
        <v>850</v>
      </c>
      <c r="J1360" s="17">
        <f>+H1360*I1360</f>
        <v>0</v>
      </c>
      <c r="K1360" s="17"/>
      <c r="L1360" s="16" t="s">
        <v>27</v>
      </c>
      <c r="M1360" s="16" t="s">
        <v>22</v>
      </c>
      <c r="N1360" s="39" t="s">
        <v>342</v>
      </c>
      <c r="O1360" s="23"/>
    </row>
    <row r="1361" spans="1:15" s="12" customFormat="1" ht="30.75" customHeight="1">
      <c r="A1361" s="178" t="s">
        <v>147</v>
      </c>
      <c r="B1361" s="75" t="s">
        <v>1271</v>
      </c>
      <c r="C1361" s="39" t="s">
        <v>17</v>
      </c>
      <c r="D1361" s="236"/>
      <c r="E1361" s="236"/>
      <c r="F1361" s="236"/>
      <c r="G1361" s="236"/>
      <c r="H1361" s="40">
        <f>SUM(Tabla13211242[[#This Row],[PRIMER TRIMESTRE]:[CUARTO TRIMESTRE]])</f>
        <v>0</v>
      </c>
      <c r="I1361" s="17">
        <v>250</v>
      </c>
      <c r="J1361" s="17">
        <f>+H1361*I1361</f>
        <v>0</v>
      </c>
      <c r="K1361" s="17"/>
      <c r="L1361" s="16" t="s">
        <v>27</v>
      </c>
      <c r="M1361" s="16" t="s">
        <v>22</v>
      </c>
      <c r="N1361" s="39" t="s">
        <v>342</v>
      </c>
      <c r="O1361" s="20"/>
    </row>
    <row r="1362" spans="1:15" s="12" customFormat="1" ht="30.75" customHeight="1">
      <c r="A1362" s="179" t="s">
        <v>147</v>
      </c>
      <c r="B1362" s="76"/>
      <c r="C1362" s="42"/>
      <c r="D1362" s="237"/>
      <c r="E1362" s="237"/>
      <c r="F1362" s="237"/>
      <c r="G1362" s="237"/>
      <c r="H1362" s="43"/>
      <c r="I1362" s="24"/>
      <c r="J1362" s="24"/>
      <c r="K1362" s="25">
        <f>SUM(J1344:J1361)</f>
        <v>0</v>
      </c>
      <c r="L1362" s="23"/>
      <c r="M1362" s="23"/>
      <c r="N1362" s="42"/>
      <c r="O1362" s="20"/>
    </row>
    <row r="1363" spans="1:15" s="12" customFormat="1" ht="30.75" customHeight="1">
      <c r="A1363" s="178" t="s">
        <v>153</v>
      </c>
      <c r="B1363" s="75" t="s">
        <v>1908</v>
      </c>
      <c r="C1363" s="412" t="s">
        <v>17</v>
      </c>
      <c r="D1363" s="236"/>
      <c r="E1363" s="236"/>
      <c r="F1363" s="236"/>
      <c r="G1363" s="236"/>
      <c r="H1363" s="244">
        <f>SUM(Tabla13211242[[#This Row],[PRIMER TRIMESTRE]:[CUARTO TRIMESTRE]])</f>
        <v>0</v>
      </c>
      <c r="I1363" s="17">
        <v>0</v>
      </c>
      <c r="J1363" s="286"/>
      <c r="K1363" s="286"/>
      <c r="L1363" s="16" t="s">
        <v>15</v>
      </c>
      <c r="M1363" s="16" t="s">
        <v>22</v>
      </c>
      <c r="N1363" s="39" t="s">
        <v>342</v>
      </c>
      <c r="O1363" s="20"/>
    </row>
    <row r="1364" spans="1:15" s="12" customFormat="1" ht="30.75" customHeight="1">
      <c r="A1364" s="178" t="s">
        <v>1909</v>
      </c>
      <c r="B1364" s="75" t="s">
        <v>1910</v>
      </c>
      <c r="C1364" s="412" t="s">
        <v>17</v>
      </c>
      <c r="D1364" s="236"/>
      <c r="E1364" s="236"/>
      <c r="F1364" s="236"/>
      <c r="G1364" s="236"/>
      <c r="H1364" s="244">
        <v>0</v>
      </c>
      <c r="I1364" s="17">
        <v>0</v>
      </c>
      <c r="J1364" s="286"/>
      <c r="K1364" s="286"/>
      <c r="L1364" s="16" t="s">
        <v>15</v>
      </c>
      <c r="M1364" s="16" t="s">
        <v>22</v>
      </c>
      <c r="N1364" s="39" t="s">
        <v>342</v>
      </c>
      <c r="O1364" s="20"/>
    </row>
    <row r="1365" spans="1:15" s="12" customFormat="1" ht="30.75" customHeight="1">
      <c r="A1365" s="178" t="s">
        <v>1909</v>
      </c>
      <c r="B1365" s="75" t="s">
        <v>1911</v>
      </c>
      <c r="C1365" s="412" t="s">
        <v>17</v>
      </c>
      <c r="D1365" s="236"/>
      <c r="E1365" s="236"/>
      <c r="F1365" s="236"/>
      <c r="G1365" s="236"/>
      <c r="H1365" s="244">
        <f>SUM(Tabla13211242[[#This Row],[PRIMER TRIMESTRE]:[CUARTO TRIMESTRE]])</f>
        <v>0</v>
      </c>
      <c r="I1365" s="17">
        <v>1</v>
      </c>
      <c r="J1365" s="17"/>
      <c r="K1365" s="17"/>
      <c r="L1365" s="16" t="s">
        <v>15</v>
      </c>
      <c r="M1365" s="16" t="s">
        <v>22</v>
      </c>
      <c r="N1365" s="39" t="s">
        <v>342</v>
      </c>
      <c r="O1365" s="20"/>
    </row>
    <row r="1366" spans="1:15" s="12" customFormat="1" ht="30.75" customHeight="1">
      <c r="A1366" s="178" t="s">
        <v>153</v>
      </c>
      <c r="B1366" s="75" t="s">
        <v>1664</v>
      </c>
      <c r="C1366" s="412" t="s">
        <v>17</v>
      </c>
      <c r="D1366" s="236"/>
      <c r="E1366" s="236"/>
      <c r="F1366" s="236"/>
      <c r="G1366" s="236"/>
      <c r="H1366" s="244">
        <f>SUM(Tabla13211242[[#This Row],[PRIMER TRIMESTRE]:[CUARTO TRIMESTRE]])</f>
        <v>0</v>
      </c>
      <c r="I1366" s="17">
        <v>1</v>
      </c>
      <c r="J1366" s="17"/>
      <c r="K1366" s="17"/>
      <c r="L1366" s="16" t="s">
        <v>15</v>
      </c>
      <c r="M1366" s="16" t="s">
        <v>22</v>
      </c>
      <c r="N1366" s="39" t="s">
        <v>342</v>
      </c>
      <c r="O1366" s="20"/>
    </row>
    <row r="1367" spans="1:15" s="12" customFormat="1" ht="30.75" customHeight="1">
      <c r="A1367" s="178" t="s">
        <v>153</v>
      </c>
      <c r="B1367" s="75" t="s">
        <v>1665</v>
      </c>
      <c r="C1367" s="412" t="s">
        <v>17</v>
      </c>
      <c r="D1367" s="236"/>
      <c r="E1367" s="236"/>
      <c r="F1367" s="236"/>
      <c r="G1367" s="236"/>
      <c r="H1367" s="244">
        <f>SUM(Tabla13211242[[#This Row],[PRIMER TRIMESTRE]:[CUARTO TRIMESTRE]])</f>
        <v>0</v>
      </c>
      <c r="I1367" s="17">
        <v>0</v>
      </c>
      <c r="J1367" s="286"/>
      <c r="K1367" s="286"/>
      <c r="L1367" s="16" t="s">
        <v>15</v>
      </c>
      <c r="M1367" s="16" t="s">
        <v>22</v>
      </c>
      <c r="N1367" s="39" t="s">
        <v>342</v>
      </c>
      <c r="O1367" s="20"/>
    </row>
    <row r="1368" spans="1:15" s="12" customFormat="1" ht="30.75" customHeight="1">
      <c r="A1368" s="178" t="s">
        <v>153</v>
      </c>
      <c r="B1368" s="75" t="s">
        <v>768</v>
      </c>
      <c r="C1368" s="39" t="s">
        <v>17</v>
      </c>
      <c r="D1368" s="236"/>
      <c r="E1368" s="236"/>
      <c r="F1368" s="236"/>
      <c r="G1368" s="236"/>
      <c r="H1368" s="244">
        <f>SUM(Tabla13211242[[#This Row],[PRIMER TRIMESTRE]:[CUARTO TRIMESTRE]])</f>
        <v>0</v>
      </c>
      <c r="I1368" s="17">
        <v>48.75</v>
      </c>
      <c r="J1368" s="17">
        <f>+H1368*I1368</f>
        <v>0</v>
      </c>
      <c r="K1368" s="17"/>
      <c r="L1368" s="16" t="s">
        <v>15</v>
      </c>
      <c r="M1368" s="16" t="s">
        <v>22</v>
      </c>
      <c r="N1368" s="39" t="s">
        <v>342</v>
      </c>
      <c r="O1368" s="20"/>
    </row>
    <row r="1369" spans="1:15" s="12" customFormat="1" ht="30.75" customHeight="1">
      <c r="A1369" s="178" t="s">
        <v>153</v>
      </c>
      <c r="B1369" s="75" t="s">
        <v>1417</v>
      </c>
      <c r="C1369" s="39" t="s">
        <v>17</v>
      </c>
      <c r="D1369" s="236"/>
      <c r="E1369" s="236"/>
      <c r="F1369" s="236"/>
      <c r="G1369" s="236"/>
      <c r="H1369" s="236">
        <f>SUM(Tabla13211242[[#This Row],[PRIMER TRIMESTRE]:[CUARTO TRIMESTRE]])</f>
        <v>0</v>
      </c>
      <c r="I1369" s="17">
        <v>9</v>
      </c>
      <c r="J1369" s="17">
        <f>+H1369*I1369</f>
        <v>0</v>
      </c>
      <c r="K1369" s="17"/>
      <c r="L1369" s="16" t="s">
        <v>18</v>
      </c>
      <c r="M1369" s="16" t="s">
        <v>22</v>
      </c>
      <c r="N1369" s="39" t="s">
        <v>342</v>
      </c>
      <c r="O1369" s="20"/>
    </row>
    <row r="1370" spans="1:15" s="26" customFormat="1" ht="30.75" customHeight="1">
      <c r="A1370" s="178" t="s">
        <v>153</v>
      </c>
      <c r="B1370" s="75" t="s">
        <v>1627</v>
      </c>
      <c r="C1370" s="39" t="s">
        <v>17</v>
      </c>
      <c r="D1370" s="236"/>
      <c r="E1370" s="236"/>
      <c r="F1370" s="236"/>
      <c r="G1370" s="236"/>
      <c r="H1370" s="236">
        <f>SUM(Tabla13211242[[#This Row],[PRIMER TRIMESTRE]:[CUARTO TRIMESTRE]])</f>
        <v>0</v>
      </c>
      <c r="I1370" s="17">
        <v>30</v>
      </c>
      <c r="J1370" s="17">
        <f>+H1370*I1370</f>
        <v>0</v>
      </c>
      <c r="K1370" s="178"/>
      <c r="L1370" s="16" t="s">
        <v>18</v>
      </c>
      <c r="M1370" s="16" t="s">
        <v>22</v>
      </c>
      <c r="N1370" s="39" t="s">
        <v>342</v>
      </c>
      <c r="O1370" s="23"/>
    </row>
    <row r="1371" spans="1:15" s="169" customFormat="1" ht="30.75" customHeight="1">
      <c r="A1371" s="178" t="s">
        <v>153</v>
      </c>
      <c r="B1371" s="75" t="s">
        <v>1466</v>
      </c>
      <c r="C1371" s="39" t="s">
        <v>17</v>
      </c>
      <c r="D1371" s="236"/>
      <c r="E1371" s="236"/>
      <c r="F1371" s="236"/>
      <c r="G1371" s="236"/>
      <c r="H1371" s="244">
        <f>SUM(Tabla13211242[[#This Row],[PRIMER TRIMESTRE]:[CUARTO TRIMESTRE]])</f>
        <v>0</v>
      </c>
      <c r="I1371" s="17">
        <v>2200</v>
      </c>
      <c r="J1371" s="17">
        <f>+H1371*I1371</f>
        <v>0</v>
      </c>
      <c r="K1371" s="17"/>
      <c r="L1371" s="16" t="s">
        <v>18</v>
      </c>
      <c r="M1371" s="16" t="s">
        <v>22</v>
      </c>
      <c r="N1371" s="39" t="s">
        <v>342</v>
      </c>
      <c r="O1371" s="20"/>
    </row>
    <row r="1372" spans="1:15" s="169" customFormat="1" ht="49.5" customHeight="1">
      <c r="A1372" s="179" t="s">
        <v>153</v>
      </c>
      <c r="B1372" s="76"/>
      <c r="C1372" s="42"/>
      <c r="D1372" s="237"/>
      <c r="E1372" s="237"/>
      <c r="F1372" s="237"/>
      <c r="G1372" s="237"/>
      <c r="H1372" s="43"/>
      <c r="I1372" s="24"/>
      <c r="J1372" s="24"/>
      <c r="K1372" s="25">
        <f>SUM(J1368:J1371)</f>
        <v>0</v>
      </c>
      <c r="L1372" s="23"/>
      <c r="M1372" s="23"/>
      <c r="N1372" s="42"/>
      <c r="O1372" s="20"/>
    </row>
    <row r="1373" spans="1:15" s="169" customFormat="1" ht="51.75" customHeight="1">
      <c r="A1373" s="180" t="s">
        <v>1024</v>
      </c>
      <c r="B1373" s="77" t="s">
        <v>1025</v>
      </c>
      <c r="C1373" s="70" t="s">
        <v>17</v>
      </c>
      <c r="D1373" s="210"/>
      <c r="E1373" s="210"/>
      <c r="F1373" s="210"/>
      <c r="G1373" s="210"/>
      <c r="H1373" s="406">
        <f>SUM(Tabla13211242[[#This Row],[PRIMER TRIMESTRE]:[CUARTO TRIMESTRE]])</f>
        <v>0</v>
      </c>
      <c r="I1373" s="72">
        <v>2465459.7599999998</v>
      </c>
      <c r="J1373" s="72">
        <f t="shared" ref="J1373:J1378" si="35">+H1373*I1373</f>
        <v>0</v>
      </c>
      <c r="K1373" s="72"/>
      <c r="L1373" s="73" t="s">
        <v>18</v>
      </c>
      <c r="M1373" s="73" t="s">
        <v>19</v>
      </c>
      <c r="N1373" s="70"/>
      <c r="O1373" s="20"/>
    </row>
    <row r="1374" spans="1:15" s="169" customFormat="1" ht="54" customHeight="1">
      <c r="A1374" s="180" t="s">
        <v>1024</v>
      </c>
      <c r="B1374" s="77" t="s">
        <v>1026</v>
      </c>
      <c r="C1374" s="70" t="s">
        <v>17</v>
      </c>
      <c r="D1374" s="210"/>
      <c r="E1374" s="210"/>
      <c r="F1374" s="210"/>
      <c r="G1374" s="210"/>
      <c r="H1374" s="406">
        <f>SUM(Tabla13211242[[#This Row],[PRIMER TRIMESTRE]:[CUARTO TRIMESTRE]])</f>
        <v>0</v>
      </c>
      <c r="I1374" s="72">
        <v>485677.62</v>
      </c>
      <c r="J1374" s="72">
        <f t="shared" si="35"/>
        <v>0</v>
      </c>
      <c r="K1374" s="72"/>
      <c r="L1374" s="73" t="s">
        <v>18</v>
      </c>
      <c r="M1374" s="73" t="s">
        <v>19</v>
      </c>
      <c r="N1374" s="70" t="s">
        <v>342</v>
      </c>
      <c r="O1374" s="20"/>
    </row>
    <row r="1375" spans="1:15" s="169" customFormat="1" ht="48.75" customHeight="1">
      <c r="A1375" s="180" t="s">
        <v>1024</v>
      </c>
      <c r="B1375" s="77" t="s">
        <v>1027</v>
      </c>
      <c r="C1375" s="70" t="s">
        <v>17</v>
      </c>
      <c r="D1375" s="210"/>
      <c r="E1375" s="210"/>
      <c r="F1375" s="210"/>
      <c r="G1375" s="210"/>
      <c r="H1375" s="406">
        <f>SUM(Tabla13211242[[#This Row],[PRIMER TRIMESTRE]:[CUARTO TRIMESTRE]])</f>
        <v>0</v>
      </c>
      <c r="I1375" s="72">
        <v>7126452.3600000003</v>
      </c>
      <c r="J1375" s="72">
        <f t="shared" si="35"/>
        <v>0</v>
      </c>
      <c r="K1375" s="72"/>
      <c r="L1375" s="73" t="s">
        <v>18</v>
      </c>
      <c r="M1375" s="73" t="s">
        <v>19</v>
      </c>
      <c r="N1375" s="70"/>
      <c r="O1375" s="20"/>
    </row>
    <row r="1376" spans="1:15" s="169" customFormat="1" ht="51" customHeight="1">
      <c r="A1376" s="180" t="s">
        <v>1024</v>
      </c>
      <c r="B1376" s="77" t="s">
        <v>1028</v>
      </c>
      <c r="C1376" s="70" t="s">
        <v>17</v>
      </c>
      <c r="D1376" s="210"/>
      <c r="E1376" s="210"/>
      <c r="F1376" s="210"/>
      <c r="G1376" s="210"/>
      <c r="H1376" s="406">
        <f>SUM(Tabla13211242[[#This Row],[PRIMER TRIMESTRE]:[CUARTO TRIMESTRE]])</f>
        <v>0</v>
      </c>
      <c r="I1376" s="72">
        <v>52892.2</v>
      </c>
      <c r="J1376" s="72">
        <f t="shared" si="35"/>
        <v>0</v>
      </c>
      <c r="K1376" s="72"/>
      <c r="L1376" s="73" t="s">
        <v>18</v>
      </c>
      <c r="M1376" s="73" t="s">
        <v>19</v>
      </c>
      <c r="N1376" s="70" t="s">
        <v>342</v>
      </c>
      <c r="O1376" s="20"/>
    </row>
    <row r="1377" spans="1:15" s="169" customFormat="1" ht="48.75" customHeight="1">
      <c r="A1377" s="180" t="s">
        <v>1024</v>
      </c>
      <c r="B1377" s="77" t="s">
        <v>1029</v>
      </c>
      <c r="C1377" s="70" t="s">
        <v>17</v>
      </c>
      <c r="D1377" s="210"/>
      <c r="E1377" s="210"/>
      <c r="F1377" s="210"/>
      <c r="G1377" s="210"/>
      <c r="H1377" s="406">
        <f>SUM(Tabla13211242[[#This Row],[PRIMER TRIMESTRE]:[CUARTO TRIMESTRE]])</f>
        <v>0</v>
      </c>
      <c r="I1377" s="72">
        <v>134185.97999999998</v>
      </c>
      <c r="J1377" s="72">
        <f t="shared" si="35"/>
        <v>0</v>
      </c>
      <c r="K1377" s="72"/>
      <c r="L1377" s="73" t="s">
        <v>18</v>
      </c>
      <c r="M1377" s="73" t="s">
        <v>19</v>
      </c>
      <c r="N1377" s="70"/>
      <c r="O1377" s="20"/>
    </row>
    <row r="1378" spans="1:15" s="12" customFormat="1" ht="30.75" customHeight="1">
      <c r="A1378" s="180" t="s">
        <v>1024</v>
      </c>
      <c r="B1378" s="77" t="s">
        <v>1030</v>
      </c>
      <c r="C1378" s="70" t="s">
        <v>17</v>
      </c>
      <c r="D1378" s="210"/>
      <c r="E1378" s="210"/>
      <c r="F1378" s="210"/>
      <c r="G1378" s="210"/>
      <c r="H1378" s="406">
        <f>SUM(Tabla13211242[[#This Row],[PRIMER TRIMESTRE]:[CUARTO TRIMESTRE]])</f>
        <v>0</v>
      </c>
      <c r="I1378" s="72">
        <v>624559.46</v>
      </c>
      <c r="J1378" s="72">
        <f t="shared" si="35"/>
        <v>0</v>
      </c>
      <c r="K1378" s="72"/>
      <c r="L1378" s="73" t="s">
        <v>18</v>
      </c>
      <c r="M1378" s="73" t="s">
        <v>19</v>
      </c>
      <c r="N1378" s="70"/>
      <c r="O1378" s="20"/>
    </row>
    <row r="1379" spans="1:15" s="169" customFormat="1" ht="30.75" customHeight="1">
      <c r="A1379" s="179" t="s">
        <v>1024</v>
      </c>
      <c r="B1379" s="76"/>
      <c r="C1379" s="42"/>
      <c r="D1379" s="237"/>
      <c r="E1379" s="237"/>
      <c r="F1379" s="237"/>
      <c r="G1379" s="237"/>
      <c r="H1379" s="43"/>
      <c r="I1379" s="24"/>
      <c r="J1379" s="24"/>
      <c r="K1379" s="25">
        <f>SUM(J1373:J1378)</f>
        <v>0</v>
      </c>
      <c r="L1379" s="23"/>
      <c r="M1379" s="23"/>
      <c r="N1379" s="42"/>
      <c r="O1379" s="20"/>
    </row>
    <row r="1380" spans="1:15" s="169" customFormat="1" ht="30.75" customHeight="1">
      <c r="A1380" s="180" t="s">
        <v>167</v>
      </c>
      <c r="B1380" s="77" t="s">
        <v>964</v>
      </c>
      <c r="C1380" s="70" t="s">
        <v>17</v>
      </c>
      <c r="D1380" s="210"/>
      <c r="E1380" s="210"/>
      <c r="F1380" s="210"/>
      <c r="G1380" s="210"/>
      <c r="H1380" s="406">
        <f>SUM(Tabla13211242[[#This Row],[PRIMER TRIMESTRE]:[CUARTO TRIMESTRE]])</f>
        <v>0</v>
      </c>
      <c r="I1380" s="72">
        <v>84508.178</v>
      </c>
      <c r="J1380" s="72">
        <f t="shared" ref="J1380:J1442" si="36">+H1380*I1380</f>
        <v>0</v>
      </c>
      <c r="K1380" s="72"/>
      <c r="L1380" s="73" t="s">
        <v>18</v>
      </c>
      <c r="M1380" s="73" t="s">
        <v>19</v>
      </c>
      <c r="N1380" s="70" t="s">
        <v>342</v>
      </c>
      <c r="O1380" s="20"/>
    </row>
    <row r="1381" spans="1:15" s="169" customFormat="1" ht="30.75" customHeight="1">
      <c r="A1381" s="180" t="s">
        <v>167</v>
      </c>
      <c r="B1381" s="77" t="s">
        <v>965</v>
      </c>
      <c r="C1381" s="70" t="s">
        <v>17</v>
      </c>
      <c r="D1381" s="210"/>
      <c r="E1381" s="210"/>
      <c r="F1381" s="210"/>
      <c r="G1381" s="210"/>
      <c r="H1381" s="406">
        <f>SUM(Tabla13211242[[#This Row],[PRIMER TRIMESTRE]:[CUARTO TRIMESTRE]])</f>
        <v>0</v>
      </c>
      <c r="I1381" s="72">
        <v>55372.68</v>
      </c>
      <c r="J1381" s="72">
        <f t="shared" si="36"/>
        <v>0</v>
      </c>
      <c r="K1381" s="72"/>
      <c r="L1381" s="73" t="s">
        <v>18</v>
      </c>
      <c r="M1381" s="73" t="s">
        <v>19</v>
      </c>
      <c r="N1381" s="70"/>
      <c r="O1381" s="20"/>
    </row>
    <row r="1382" spans="1:15" s="169" customFormat="1" ht="30.75" customHeight="1">
      <c r="A1382" s="180" t="s">
        <v>167</v>
      </c>
      <c r="B1382" s="77" t="s">
        <v>966</v>
      </c>
      <c r="C1382" s="70" t="s">
        <v>17</v>
      </c>
      <c r="D1382" s="210"/>
      <c r="E1382" s="210"/>
      <c r="F1382" s="210"/>
      <c r="G1382" s="210"/>
      <c r="H1382" s="406">
        <f>SUM(Tabla13211242[[#This Row],[PRIMER TRIMESTRE]:[CUARTO TRIMESTRE]])</f>
        <v>0</v>
      </c>
      <c r="I1382" s="72">
        <v>467752</v>
      </c>
      <c r="J1382" s="72">
        <f t="shared" si="36"/>
        <v>0</v>
      </c>
      <c r="K1382" s="72"/>
      <c r="L1382" s="73" t="s">
        <v>18</v>
      </c>
      <c r="M1382" s="73" t="s">
        <v>19</v>
      </c>
      <c r="N1382" s="70"/>
      <c r="O1382" s="20"/>
    </row>
    <row r="1383" spans="1:15" s="169" customFormat="1" ht="30.75" customHeight="1">
      <c r="A1383" s="180" t="s">
        <v>167</v>
      </c>
      <c r="B1383" s="77" t="s">
        <v>967</v>
      </c>
      <c r="C1383" s="70" t="s">
        <v>17</v>
      </c>
      <c r="D1383" s="210"/>
      <c r="E1383" s="210"/>
      <c r="F1383" s="210"/>
      <c r="G1383" s="210"/>
      <c r="H1383" s="406">
        <f>SUM(Tabla13211242[[#This Row],[PRIMER TRIMESTRE]:[CUARTO TRIMESTRE]])</f>
        <v>0</v>
      </c>
      <c r="I1383" s="72">
        <v>804524</v>
      </c>
      <c r="J1383" s="72">
        <f t="shared" si="36"/>
        <v>0</v>
      </c>
      <c r="K1383" s="72"/>
      <c r="L1383" s="73" t="s">
        <v>18</v>
      </c>
      <c r="M1383" s="73" t="s">
        <v>19</v>
      </c>
      <c r="N1383" s="70"/>
      <c r="O1383" s="20"/>
    </row>
    <row r="1384" spans="1:15" s="169" customFormat="1" ht="30.75" customHeight="1">
      <c r="A1384" s="180" t="s">
        <v>167</v>
      </c>
      <c r="B1384" s="77" t="s">
        <v>968</v>
      </c>
      <c r="C1384" s="70" t="s">
        <v>17</v>
      </c>
      <c r="D1384" s="210"/>
      <c r="E1384" s="210"/>
      <c r="F1384" s="210"/>
      <c r="G1384" s="210"/>
      <c r="H1384" s="406">
        <f>SUM(Tabla13211242[[#This Row],[PRIMER TRIMESTRE]:[CUARTO TRIMESTRE]])</f>
        <v>0</v>
      </c>
      <c r="I1384" s="72">
        <v>223315</v>
      </c>
      <c r="J1384" s="72">
        <f t="shared" si="36"/>
        <v>0</v>
      </c>
      <c r="K1384" s="72"/>
      <c r="L1384" s="73" t="s">
        <v>18</v>
      </c>
      <c r="M1384" s="73" t="s">
        <v>19</v>
      </c>
      <c r="N1384" s="70" t="s">
        <v>342</v>
      </c>
      <c r="O1384" s="20"/>
    </row>
    <row r="1385" spans="1:15" s="169" customFormat="1" ht="30.75" customHeight="1">
      <c r="A1385" s="180" t="s">
        <v>167</v>
      </c>
      <c r="B1385" s="77" t="s">
        <v>969</v>
      </c>
      <c r="C1385" s="70" t="s">
        <v>17</v>
      </c>
      <c r="D1385" s="210"/>
      <c r="E1385" s="210"/>
      <c r="F1385" s="210"/>
      <c r="G1385" s="210"/>
      <c r="H1385" s="406">
        <f>SUM(Tabla13211242[[#This Row],[PRIMER TRIMESTRE]:[CUARTO TRIMESTRE]])</f>
        <v>0</v>
      </c>
      <c r="I1385" s="72">
        <v>73588.34</v>
      </c>
      <c r="J1385" s="72">
        <f t="shared" si="36"/>
        <v>0</v>
      </c>
      <c r="K1385" s="72"/>
      <c r="L1385" s="73" t="s">
        <v>18</v>
      </c>
      <c r="M1385" s="73" t="s">
        <v>19</v>
      </c>
      <c r="N1385" s="70" t="s">
        <v>342</v>
      </c>
      <c r="O1385" s="20"/>
    </row>
    <row r="1386" spans="1:15" s="169" customFormat="1" ht="30.75" customHeight="1">
      <c r="A1386" s="180" t="s">
        <v>167</v>
      </c>
      <c r="B1386" s="77" t="s">
        <v>970</v>
      </c>
      <c r="C1386" s="70" t="s">
        <v>17</v>
      </c>
      <c r="D1386" s="210"/>
      <c r="E1386" s="210"/>
      <c r="F1386" s="210"/>
      <c r="G1386" s="210"/>
      <c r="H1386" s="406">
        <f>SUM(Tabla13211242[[#This Row],[PRIMER TRIMESTRE]:[CUARTO TRIMESTRE]])</f>
        <v>0</v>
      </c>
      <c r="I1386" s="72">
        <v>170392</v>
      </c>
      <c r="J1386" s="72">
        <f t="shared" si="36"/>
        <v>0</v>
      </c>
      <c r="K1386" s="72"/>
      <c r="L1386" s="73" t="s">
        <v>18</v>
      </c>
      <c r="M1386" s="73" t="s">
        <v>19</v>
      </c>
      <c r="N1386" s="70" t="s">
        <v>342</v>
      </c>
      <c r="O1386" s="20"/>
    </row>
    <row r="1387" spans="1:15" s="169" customFormat="1" ht="30.75" customHeight="1">
      <c r="A1387" s="180" t="s">
        <v>167</v>
      </c>
      <c r="B1387" s="77" t="s">
        <v>971</v>
      </c>
      <c r="C1387" s="70" t="s">
        <v>17</v>
      </c>
      <c r="D1387" s="210"/>
      <c r="E1387" s="210"/>
      <c r="F1387" s="210"/>
      <c r="G1387" s="210"/>
      <c r="H1387" s="406">
        <f>SUM(Tabla13211242[[#This Row],[PRIMER TRIMESTRE]:[CUARTO TRIMESTRE]])</f>
        <v>0</v>
      </c>
      <c r="I1387" s="72">
        <v>274350</v>
      </c>
      <c r="J1387" s="72">
        <f t="shared" si="36"/>
        <v>0</v>
      </c>
      <c r="K1387" s="72"/>
      <c r="L1387" s="73" t="s">
        <v>18</v>
      </c>
      <c r="M1387" s="73" t="s">
        <v>19</v>
      </c>
      <c r="N1387" s="70" t="s">
        <v>342</v>
      </c>
      <c r="O1387" s="20"/>
    </row>
    <row r="1388" spans="1:15" s="169" customFormat="1" ht="30.75" customHeight="1">
      <c r="A1388" s="180" t="s">
        <v>167</v>
      </c>
      <c r="B1388" s="77" t="s">
        <v>972</v>
      </c>
      <c r="C1388" s="70" t="s">
        <v>17</v>
      </c>
      <c r="D1388" s="210"/>
      <c r="E1388" s="210"/>
      <c r="F1388" s="210"/>
      <c r="G1388" s="210"/>
      <c r="H1388" s="406">
        <f>SUM(Tabla13211242[[#This Row],[PRIMER TRIMESTRE]:[CUARTO TRIMESTRE]])</f>
        <v>0</v>
      </c>
      <c r="I1388" s="72">
        <v>55460</v>
      </c>
      <c r="J1388" s="72">
        <f t="shared" si="36"/>
        <v>0</v>
      </c>
      <c r="K1388" s="72"/>
      <c r="L1388" s="73" t="s">
        <v>18</v>
      </c>
      <c r="M1388" s="73" t="s">
        <v>19</v>
      </c>
      <c r="N1388" s="70" t="s">
        <v>342</v>
      </c>
      <c r="O1388" s="20"/>
    </row>
    <row r="1389" spans="1:15" s="169" customFormat="1" ht="30.75" customHeight="1">
      <c r="A1389" s="180" t="s">
        <v>167</v>
      </c>
      <c r="B1389" s="77" t="s">
        <v>973</v>
      </c>
      <c r="C1389" s="70" t="s">
        <v>17</v>
      </c>
      <c r="D1389" s="210"/>
      <c r="E1389" s="210"/>
      <c r="F1389" s="210"/>
      <c r="G1389" s="210"/>
      <c r="H1389" s="406">
        <f>SUM(Tabla13211242[[#This Row],[PRIMER TRIMESTRE]:[CUARTO TRIMESTRE]])</f>
        <v>0</v>
      </c>
      <c r="I1389" s="72">
        <v>59000</v>
      </c>
      <c r="J1389" s="72">
        <f t="shared" si="36"/>
        <v>0</v>
      </c>
      <c r="K1389" s="72"/>
      <c r="L1389" s="73" t="s">
        <v>18</v>
      </c>
      <c r="M1389" s="73" t="s">
        <v>19</v>
      </c>
      <c r="N1389" s="70" t="s">
        <v>342</v>
      </c>
      <c r="O1389" s="20"/>
    </row>
    <row r="1390" spans="1:15" s="169" customFormat="1" ht="30.75" customHeight="1">
      <c r="A1390" s="180" t="s">
        <v>167</v>
      </c>
      <c r="B1390" s="77" t="s">
        <v>974</v>
      </c>
      <c r="C1390" s="70" t="s">
        <v>17</v>
      </c>
      <c r="D1390" s="210"/>
      <c r="E1390" s="210"/>
      <c r="F1390" s="210"/>
      <c r="G1390" s="210"/>
      <c r="H1390" s="406">
        <f>SUM(Tabla13211242[[#This Row],[PRIMER TRIMESTRE]:[CUARTO TRIMESTRE]])</f>
        <v>0</v>
      </c>
      <c r="I1390" s="72">
        <v>17700</v>
      </c>
      <c r="J1390" s="72">
        <f t="shared" si="36"/>
        <v>0</v>
      </c>
      <c r="K1390" s="72"/>
      <c r="L1390" s="73" t="s">
        <v>18</v>
      </c>
      <c r="M1390" s="73" t="s">
        <v>19</v>
      </c>
      <c r="N1390" s="70" t="s">
        <v>342</v>
      </c>
      <c r="O1390" s="20"/>
    </row>
    <row r="1391" spans="1:15" s="169" customFormat="1" ht="30.75" customHeight="1">
      <c r="A1391" s="180" t="s">
        <v>167</v>
      </c>
      <c r="B1391" s="77" t="s">
        <v>975</v>
      </c>
      <c r="C1391" s="70" t="s">
        <v>17</v>
      </c>
      <c r="D1391" s="210"/>
      <c r="E1391" s="210"/>
      <c r="F1391" s="210"/>
      <c r="G1391" s="210"/>
      <c r="H1391" s="406">
        <f>SUM(Tabla13211242[[#This Row],[PRIMER TRIMESTRE]:[CUARTO TRIMESTRE]])</f>
        <v>0</v>
      </c>
      <c r="I1391" s="72">
        <v>843572.93759999995</v>
      </c>
      <c r="J1391" s="72">
        <f t="shared" si="36"/>
        <v>0</v>
      </c>
      <c r="K1391" s="72"/>
      <c r="L1391" s="73" t="s">
        <v>18</v>
      </c>
      <c r="M1391" s="73" t="s">
        <v>19</v>
      </c>
      <c r="N1391" s="70" t="s">
        <v>342</v>
      </c>
      <c r="O1391" s="20"/>
    </row>
    <row r="1392" spans="1:15" s="169" customFormat="1" ht="30.75" customHeight="1">
      <c r="A1392" s="180" t="s">
        <v>167</v>
      </c>
      <c r="B1392" s="77" t="s">
        <v>976</v>
      </c>
      <c r="C1392" s="70" t="s">
        <v>17</v>
      </c>
      <c r="D1392" s="210"/>
      <c r="E1392" s="210"/>
      <c r="F1392" s="210"/>
      <c r="G1392" s="210"/>
      <c r="H1392" s="406">
        <f>SUM(Tabla13211242[[#This Row],[PRIMER TRIMESTRE]:[CUARTO TRIMESTRE]])</f>
        <v>0</v>
      </c>
      <c r="I1392" s="72">
        <v>46936.765599999999</v>
      </c>
      <c r="J1392" s="72">
        <f t="shared" si="36"/>
        <v>0</v>
      </c>
      <c r="K1392" s="72"/>
      <c r="L1392" s="73" t="s">
        <v>18</v>
      </c>
      <c r="M1392" s="73" t="s">
        <v>19</v>
      </c>
      <c r="N1392" s="70" t="s">
        <v>342</v>
      </c>
      <c r="O1392" s="20"/>
    </row>
    <row r="1393" spans="1:15" s="169" customFormat="1" ht="42.75" customHeight="1">
      <c r="A1393" s="180" t="s">
        <v>167</v>
      </c>
      <c r="B1393" s="77" t="s">
        <v>977</v>
      </c>
      <c r="C1393" s="70" t="s">
        <v>17</v>
      </c>
      <c r="D1393" s="210"/>
      <c r="E1393" s="210"/>
      <c r="F1393" s="210"/>
      <c r="G1393" s="210"/>
      <c r="H1393" s="406">
        <f>SUM(Tabla13211242[[#This Row],[PRIMER TRIMESTRE]:[CUARTO TRIMESTRE]])</f>
        <v>0</v>
      </c>
      <c r="I1393" s="72">
        <v>121535.63399999999</v>
      </c>
      <c r="J1393" s="72">
        <f t="shared" si="36"/>
        <v>0</v>
      </c>
      <c r="K1393" s="72"/>
      <c r="L1393" s="73" t="s">
        <v>18</v>
      </c>
      <c r="M1393" s="73" t="s">
        <v>19</v>
      </c>
      <c r="N1393" s="70" t="s">
        <v>342</v>
      </c>
      <c r="O1393" s="20"/>
    </row>
    <row r="1394" spans="1:15" s="169" customFormat="1" ht="30.75" customHeight="1">
      <c r="A1394" s="180" t="s">
        <v>167</v>
      </c>
      <c r="B1394" s="77" t="s">
        <v>978</v>
      </c>
      <c r="C1394" s="70" t="s">
        <v>17</v>
      </c>
      <c r="D1394" s="210"/>
      <c r="E1394" s="210"/>
      <c r="F1394" s="210"/>
      <c r="G1394" s="210"/>
      <c r="H1394" s="406">
        <f>SUM(Tabla13211242[[#This Row],[PRIMER TRIMESTRE]:[CUARTO TRIMESTRE]])</f>
        <v>0</v>
      </c>
      <c r="I1394" s="72">
        <v>1558708.1733999997</v>
      </c>
      <c r="J1394" s="72">
        <f t="shared" si="36"/>
        <v>0</v>
      </c>
      <c r="K1394" s="72"/>
      <c r="L1394" s="73" t="s">
        <v>18</v>
      </c>
      <c r="M1394" s="73" t="s">
        <v>19</v>
      </c>
      <c r="N1394" s="70" t="s">
        <v>342</v>
      </c>
      <c r="O1394" s="20"/>
    </row>
    <row r="1395" spans="1:15" s="169" customFormat="1" ht="30.75" customHeight="1">
      <c r="A1395" s="180" t="s">
        <v>167</v>
      </c>
      <c r="B1395" s="77" t="s">
        <v>979</v>
      </c>
      <c r="C1395" s="70" t="s">
        <v>17</v>
      </c>
      <c r="D1395" s="210"/>
      <c r="E1395" s="210"/>
      <c r="F1395" s="210"/>
      <c r="G1395" s="210"/>
      <c r="H1395" s="406">
        <f>SUM(Tabla13211242[[#This Row],[PRIMER TRIMESTRE]:[CUARTO TRIMESTRE]])</f>
        <v>0</v>
      </c>
      <c r="I1395" s="72">
        <v>125316</v>
      </c>
      <c r="J1395" s="72">
        <f t="shared" si="36"/>
        <v>0</v>
      </c>
      <c r="K1395" s="72"/>
      <c r="L1395" s="73" t="s">
        <v>18</v>
      </c>
      <c r="M1395" s="73" t="s">
        <v>19</v>
      </c>
      <c r="N1395" s="70" t="s">
        <v>342</v>
      </c>
      <c r="O1395" s="20"/>
    </row>
    <row r="1396" spans="1:15" s="169" customFormat="1" ht="30.75" customHeight="1">
      <c r="A1396" s="180" t="s">
        <v>167</v>
      </c>
      <c r="B1396" s="77" t="s">
        <v>980</v>
      </c>
      <c r="C1396" s="70" t="s">
        <v>17</v>
      </c>
      <c r="D1396" s="210"/>
      <c r="E1396" s="210"/>
      <c r="F1396" s="210"/>
      <c r="G1396" s="210"/>
      <c r="H1396" s="406">
        <f>SUM(Tabla13211242[[#This Row],[PRIMER TRIMESTRE]:[CUARTO TRIMESTRE]])</f>
        <v>0</v>
      </c>
      <c r="I1396" s="72">
        <v>953817.59999999998</v>
      </c>
      <c r="J1396" s="72">
        <f t="shared" si="36"/>
        <v>0</v>
      </c>
      <c r="K1396" s="72"/>
      <c r="L1396" s="73" t="s">
        <v>18</v>
      </c>
      <c r="M1396" s="73" t="s">
        <v>19</v>
      </c>
      <c r="N1396" s="70"/>
      <c r="O1396" s="20"/>
    </row>
    <row r="1397" spans="1:15" s="169" customFormat="1" ht="30.75" customHeight="1">
      <c r="A1397" s="180" t="s">
        <v>167</v>
      </c>
      <c r="B1397" s="77" t="s">
        <v>981</v>
      </c>
      <c r="C1397" s="70" t="s">
        <v>17</v>
      </c>
      <c r="D1397" s="210"/>
      <c r="E1397" s="210"/>
      <c r="F1397" s="210"/>
      <c r="G1397" s="210"/>
      <c r="H1397" s="406">
        <f>SUM(Tabla13211242[[#This Row],[PRIMER TRIMESTRE]:[CUARTO TRIMESTRE]])</f>
        <v>0</v>
      </c>
      <c r="I1397" s="72">
        <v>443739</v>
      </c>
      <c r="J1397" s="72">
        <f t="shared" si="36"/>
        <v>0</v>
      </c>
      <c r="K1397" s="72"/>
      <c r="L1397" s="73" t="s">
        <v>18</v>
      </c>
      <c r="M1397" s="73" t="s">
        <v>19</v>
      </c>
      <c r="N1397" s="70" t="s">
        <v>342</v>
      </c>
      <c r="O1397" s="20"/>
    </row>
    <row r="1398" spans="1:15" s="169" customFormat="1" ht="30.75" customHeight="1">
      <c r="A1398" s="180" t="s">
        <v>167</v>
      </c>
      <c r="B1398" s="77" t="s">
        <v>982</v>
      </c>
      <c r="C1398" s="70" t="s">
        <v>17</v>
      </c>
      <c r="D1398" s="210"/>
      <c r="E1398" s="210"/>
      <c r="F1398" s="210"/>
      <c r="G1398" s="210"/>
      <c r="H1398" s="406">
        <f>SUM(Tabla13211242[[#This Row],[PRIMER TRIMESTRE]:[CUARTO TRIMESTRE]])</f>
        <v>0</v>
      </c>
      <c r="I1398" s="72">
        <v>399194</v>
      </c>
      <c r="J1398" s="72">
        <f t="shared" si="36"/>
        <v>0</v>
      </c>
      <c r="K1398" s="72"/>
      <c r="L1398" s="73" t="s">
        <v>18</v>
      </c>
      <c r="M1398" s="73" t="s">
        <v>19</v>
      </c>
      <c r="N1398" s="70"/>
      <c r="O1398" s="20"/>
    </row>
    <row r="1399" spans="1:15" s="169" customFormat="1" ht="30.75" customHeight="1">
      <c r="A1399" s="180" t="s">
        <v>167</v>
      </c>
      <c r="B1399" s="77" t="s">
        <v>983</v>
      </c>
      <c r="C1399" s="70" t="s">
        <v>17</v>
      </c>
      <c r="D1399" s="210"/>
      <c r="E1399" s="210"/>
      <c r="F1399" s="210"/>
      <c r="G1399" s="210"/>
      <c r="H1399" s="406">
        <f>SUM(Tabla13211242[[#This Row],[PRIMER TRIMESTRE]:[CUARTO TRIMESTRE]])</f>
        <v>0</v>
      </c>
      <c r="I1399" s="72">
        <v>5763120</v>
      </c>
      <c r="J1399" s="72">
        <f t="shared" si="36"/>
        <v>0</v>
      </c>
      <c r="K1399" s="72"/>
      <c r="L1399" s="73" t="s">
        <v>18</v>
      </c>
      <c r="M1399" s="73" t="s">
        <v>19</v>
      </c>
      <c r="N1399" s="70"/>
      <c r="O1399" s="20"/>
    </row>
    <row r="1400" spans="1:15" s="169" customFormat="1" ht="30.75" customHeight="1">
      <c r="A1400" s="180" t="s">
        <v>167</v>
      </c>
      <c r="B1400" s="77" t="s">
        <v>984</v>
      </c>
      <c r="C1400" s="70" t="s">
        <v>17</v>
      </c>
      <c r="D1400" s="210"/>
      <c r="E1400" s="210"/>
      <c r="F1400" s="210"/>
      <c r="G1400" s="210"/>
      <c r="H1400" s="406">
        <f>SUM(Tabla13211242[[#This Row],[PRIMER TRIMESTRE]:[CUARTO TRIMESTRE]])</f>
        <v>0</v>
      </c>
      <c r="I1400" s="72">
        <v>399194</v>
      </c>
      <c r="J1400" s="72">
        <f t="shared" si="36"/>
        <v>0</v>
      </c>
      <c r="K1400" s="72"/>
      <c r="L1400" s="73" t="s">
        <v>18</v>
      </c>
      <c r="M1400" s="73" t="s">
        <v>19</v>
      </c>
      <c r="N1400" s="70" t="s">
        <v>342</v>
      </c>
      <c r="O1400" s="20"/>
    </row>
    <row r="1401" spans="1:15" s="169" customFormat="1" ht="30.75" customHeight="1">
      <c r="A1401" s="180" t="s">
        <v>167</v>
      </c>
      <c r="B1401" s="77" t="s">
        <v>985</v>
      </c>
      <c r="C1401" s="70" t="s">
        <v>17</v>
      </c>
      <c r="D1401" s="210"/>
      <c r="E1401" s="210"/>
      <c r="F1401" s="210"/>
      <c r="G1401" s="210"/>
      <c r="H1401" s="406">
        <f>SUM(Tabla13211242[[#This Row],[PRIMER TRIMESTRE]:[CUARTO TRIMESTRE]])</f>
        <v>0</v>
      </c>
      <c r="I1401" s="72">
        <v>130224.79999999999</v>
      </c>
      <c r="J1401" s="72">
        <f t="shared" si="36"/>
        <v>0</v>
      </c>
      <c r="K1401" s="72"/>
      <c r="L1401" s="73" t="s">
        <v>18</v>
      </c>
      <c r="M1401" s="73" t="s">
        <v>19</v>
      </c>
      <c r="N1401" s="70" t="s">
        <v>342</v>
      </c>
      <c r="O1401" s="20"/>
    </row>
    <row r="1402" spans="1:15" s="169" customFormat="1" ht="30.75" customHeight="1">
      <c r="A1402" s="180" t="s">
        <v>167</v>
      </c>
      <c r="B1402" s="77" t="s">
        <v>986</v>
      </c>
      <c r="C1402" s="70" t="s">
        <v>17</v>
      </c>
      <c r="D1402" s="210"/>
      <c r="E1402" s="210"/>
      <c r="F1402" s="210"/>
      <c r="G1402" s="210"/>
      <c r="H1402" s="406">
        <f>SUM(Tabla13211242[[#This Row],[PRIMER TRIMESTRE]:[CUARTO TRIMESTRE]])</f>
        <v>0</v>
      </c>
      <c r="I1402" s="72">
        <v>394438.6</v>
      </c>
      <c r="J1402" s="72">
        <f t="shared" si="36"/>
        <v>0</v>
      </c>
      <c r="K1402" s="72"/>
      <c r="L1402" s="73" t="s">
        <v>18</v>
      </c>
      <c r="M1402" s="73" t="s">
        <v>19</v>
      </c>
      <c r="N1402" s="70"/>
      <c r="O1402" s="20"/>
    </row>
    <row r="1403" spans="1:15" s="169" customFormat="1" ht="30.75" customHeight="1">
      <c r="A1403" s="180" t="s">
        <v>167</v>
      </c>
      <c r="B1403" s="77" t="s">
        <v>987</v>
      </c>
      <c r="C1403" s="70" t="s">
        <v>17</v>
      </c>
      <c r="D1403" s="210"/>
      <c r="E1403" s="210"/>
      <c r="F1403" s="210"/>
      <c r="G1403" s="210"/>
      <c r="H1403" s="406">
        <f>SUM(Tabla13211242[[#This Row],[PRIMER TRIMESTRE]:[CUARTO TRIMESTRE]])</f>
        <v>0</v>
      </c>
      <c r="I1403" s="72">
        <v>554027.69999999995</v>
      </c>
      <c r="J1403" s="72">
        <f t="shared" si="36"/>
        <v>0</v>
      </c>
      <c r="K1403" s="72"/>
      <c r="L1403" s="73" t="s">
        <v>18</v>
      </c>
      <c r="M1403" s="73" t="s">
        <v>19</v>
      </c>
      <c r="N1403" s="70"/>
      <c r="O1403" s="20"/>
    </row>
    <row r="1404" spans="1:15" s="169" customFormat="1" ht="30.75" customHeight="1">
      <c r="A1404" s="180" t="s">
        <v>167</v>
      </c>
      <c r="B1404" s="77" t="s">
        <v>988</v>
      </c>
      <c r="C1404" s="70" t="s">
        <v>17</v>
      </c>
      <c r="D1404" s="210"/>
      <c r="E1404" s="210"/>
      <c r="F1404" s="210"/>
      <c r="G1404" s="210"/>
      <c r="H1404" s="406">
        <f>SUM(Tabla13211242[[#This Row],[PRIMER TRIMESTRE]:[CUARTO TRIMESTRE]])</f>
        <v>0</v>
      </c>
      <c r="I1404" s="72">
        <v>406250.39999999997</v>
      </c>
      <c r="J1404" s="72">
        <f t="shared" si="36"/>
        <v>0</v>
      </c>
      <c r="K1404" s="72"/>
      <c r="L1404" s="73" t="s">
        <v>18</v>
      </c>
      <c r="M1404" s="73" t="s">
        <v>19</v>
      </c>
      <c r="N1404" s="70" t="s">
        <v>342</v>
      </c>
      <c r="O1404" s="20"/>
    </row>
    <row r="1405" spans="1:15" s="169" customFormat="1" ht="53.25" customHeight="1">
      <c r="A1405" s="180" t="s">
        <v>167</v>
      </c>
      <c r="B1405" s="77" t="s">
        <v>989</v>
      </c>
      <c r="C1405" s="70" t="s">
        <v>17</v>
      </c>
      <c r="D1405" s="210"/>
      <c r="E1405" s="210"/>
      <c r="F1405" s="210"/>
      <c r="G1405" s="210"/>
      <c r="H1405" s="406">
        <f>SUM(Tabla13211242[[#This Row],[PRIMER TRIMESTRE]:[CUARTO TRIMESTRE]])</f>
        <v>0</v>
      </c>
      <c r="I1405" s="72">
        <v>71148.099999999991</v>
      </c>
      <c r="J1405" s="72">
        <f t="shared" si="36"/>
        <v>0</v>
      </c>
      <c r="K1405" s="72"/>
      <c r="L1405" s="73" t="s">
        <v>18</v>
      </c>
      <c r="M1405" s="73" t="s">
        <v>19</v>
      </c>
      <c r="N1405" s="70"/>
      <c r="O1405" s="20"/>
    </row>
    <row r="1406" spans="1:15" s="169" customFormat="1" ht="30.75" customHeight="1">
      <c r="A1406" s="180" t="s">
        <v>167</v>
      </c>
      <c r="B1406" s="77" t="s">
        <v>990</v>
      </c>
      <c r="C1406" s="70" t="s">
        <v>17</v>
      </c>
      <c r="D1406" s="210"/>
      <c r="E1406" s="210"/>
      <c r="F1406" s="210"/>
      <c r="G1406" s="210"/>
      <c r="H1406" s="406">
        <f>SUM(Tabla13211242[[#This Row],[PRIMER TRIMESTRE]:[CUARTO TRIMESTRE]])</f>
        <v>0</v>
      </c>
      <c r="I1406" s="72">
        <v>283158.7</v>
      </c>
      <c r="J1406" s="72">
        <f t="shared" si="36"/>
        <v>0</v>
      </c>
      <c r="K1406" s="72"/>
      <c r="L1406" s="73" t="s">
        <v>18</v>
      </c>
      <c r="M1406" s="73" t="s">
        <v>19</v>
      </c>
      <c r="N1406" s="70" t="s">
        <v>342</v>
      </c>
      <c r="O1406" s="20"/>
    </row>
    <row r="1407" spans="1:15" s="169" customFormat="1" ht="30.75" customHeight="1">
      <c r="A1407" s="180" t="s">
        <v>167</v>
      </c>
      <c r="B1407" s="77" t="s">
        <v>991</v>
      </c>
      <c r="C1407" s="70" t="s">
        <v>17</v>
      </c>
      <c r="D1407" s="210"/>
      <c r="E1407" s="210"/>
      <c r="F1407" s="210"/>
      <c r="G1407" s="210"/>
      <c r="H1407" s="406">
        <f>SUM(Tabla13211242[[#This Row],[PRIMER TRIMESTRE]:[CUARTO TRIMESTRE]])</f>
        <v>0</v>
      </c>
      <c r="I1407" s="72">
        <v>4687668</v>
      </c>
      <c r="J1407" s="72">
        <f t="shared" si="36"/>
        <v>0</v>
      </c>
      <c r="K1407" s="72"/>
      <c r="L1407" s="73" t="s">
        <v>18</v>
      </c>
      <c r="M1407" s="73" t="s">
        <v>19</v>
      </c>
      <c r="N1407" s="70"/>
      <c r="O1407" s="20"/>
    </row>
    <row r="1408" spans="1:15" s="169" customFormat="1" ht="39.75" customHeight="1">
      <c r="A1408" s="180" t="s">
        <v>167</v>
      </c>
      <c r="B1408" s="77" t="s">
        <v>992</v>
      </c>
      <c r="C1408" s="70" t="s">
        <v>17</v>
      </c>
      <c r="D1408" s="210"/>
      <c r="E1408" s="210"/>
      <c r="F1408" s="210"/>
      <c r="G1408" s="210"/>
      <c r="H1408" s="406">
        <f>SUM(Tabla13211242[[#This Row],[PRIMER TRIMESTRE]:[CUARTO TRIMESTRE]])</f>
        <v>0</v>
      </c>
      <c r="I1408" s="72">
        <v>140862.5</v>
      </c>
      <c r="J1408" s="72">
        <f t="shared" si="36"/>
        <v>0</v>
      </c>
      <c r="K1408" s="72"/>
      <c r="L1408" s="73" t="s">
        <v>18</v>
      </c>
      <c r="M1408" s="73" t="s">
        <v>19</v>
      </c>
      <c r="N1408" s="70" t="s">
        <v>342</v>
      </c>
      <c r="O1408" s="20"/>
    </row>
    <row r="1409" spans="1:15" s="169" customFormat="1" ht="30.75" customHeight="1">
      <c r="A1409" s="180" t="s">
        <v>167</v>
      </c>
      <c r="B1409" s="77" t="s">
        <v>993</v>
      </c>
      <c r="C1409" s="70" t="s">
        <v>17</v>
      </c>
      <c r="D1409" s="210"/>
      <c r="E1409" s="210"/>
      <c r="F1409" s="210"/>
      <c r="G1409" s="210"/>
      <c r="H1409" s="406">
        <f>SUM(Tabla13211242[[#This Row],[PRIMER TRIMESTRE]:[CUARTO TRIMESTRE]])</f>
        <v>0</v>
      </c>
      <c r="I1409" s="72">
        <v>109622</v>
      </c>
      <c r="J1409" s="72">
        <f t="shared" si="36"/>
        <v>0</v>
      </c>
      <c r="K1409" s="72"/>
      <c r="L1409" s="73" t="s">
        <v>18</v>
      </c>
      <c r="M1409" s="73" t="s">
        <v>19</v>
      </c>
      <c r="N1409" s="70" t="s">
        <v>342</v>
      </c>
      <c r="O1409" s="20"/>
    </row>
    <row r="1410" spans="1:15" s="169" customFormat="1" ht="30.75" customHeight="1">
      <c r="A1410" s="180" t="s">
        <v>167</v>
      </c>
      <c r="B1410" s="77" t="s">
        <v>994</v>
      </c>
      <c r="C1410" s="70" t="s">
        <v>17</v>
      </c>
      <c r="D1410" s="210"/>
      <c r="E1410" s="210"/>
      <c r="F1410" s="210"/>
      <c r="G1410" s="210"/>
      <c r="H1410" s="406">
        <f>SUM(Tabla13211242[[#This Row],[PRIMER TRIMESTRE]:[CUARTO TRIMESTRE]])</f>
        <v>0</v>
      </c>
      <c r="I1410" s="72">
        <v>567462</v>
      </c>
      <c r="J1410" s="72">
        <f t="shared" si="36"/>
        <v>0</v>
      </c>
      <c r="K1410" s="72"/>
      <c r="L1410" s="73" t="s">
        <v>18</v>
      </c>
      <c r="M1410" s="73" t="s">
        <v>19</v>
      </c>
      <c r="N1410" s="70" t="s">
        <v>342</v>
      </c>
      <c r="O1410" s="20"/>
    </row>
    <row r="1411" spans="1:15" s="169" customFormat="1" ht="30.75" customHeight="1">
      <c r="A1411" s="180" t="s">
        <v>167</v>
      </c>
      <c r="B1411" s="77" t="s">
        <v>995</v>
      </c>
      <c r="C1411" s="70" t="s">
        <v>17</v>
      </c>
      <c r="D1411" s="210"/>
      <c r="E1411" s="210"/>
      <c r="F1411" s="210"/>
      <c r="G1411" s="210"/>
      <c r="H1411" s="406">
        <f>SUM(Tabla13211242[[#This Row],[PRIMER TRIMESTRE]:[CUARTO TRIMESTRE]])</f>
        <v>0</v>
      </c>
      <c r="I1411" s="72">
        <v>36580</v>
      </c>
      <c r="J1411" s="72">
        <f t="shared" si="36"/>
        <v>0</v>
      </c>
      <c r="K1411" s="72"/>
      <c r="L1411" s="73" t="s">
        <v>18</v>
      </c>
      <c r="M1411" s="73" t="s">
        <v>19</v>
      </c>
      <c r="N1411" s="70"/>
      <c r="O1411" s="20"/>
    </row>
    <row r="1412" spans="1:15" s="169" customFormat="1" ht="30.75" customHeight="1">
      <c r="A1412" s="180" t="s">
        <v>167</v>
      </c>
      <c r="B1412" s="77" t="s">
        <v>996</v>
      </c>
      <c r="C1412" s="70" t="s">
        <v>17</v>
      </c>
      <c r="D1412" s="210"/>
      <c r="E1412" s="210"/>
      <c r="F1412" s="210"/>
      <c r="G1412" s="210"/>
      <c r="H1412" s="406">
        <f>SUM(Tabla13211242[[#This Row],[PRIMER TRIMESTRE]:[CUARTO TRIMESTRE]])</f>
        <v>0</v>
      </c>
      <c r="I1412" s="72">
        <v>160775</v>
      </c>
      <c r="J1412" s="72">
        <f t="shared" si="36"/>
        <v>0</v>
      </c>
      <c r="K1412" s="72"/>
      <c r="L1412" s="73" t="s">
        <v>18</v>
      </c>
      <c r="M1412" s="73" t="s">
        <v>19</v>
      </c>
      <c r="N1412" s="70" t="s">
        <v>342</v>
      </c>
      <c r="O1412" s="20"/>
    </row>
    <row r="1413" spans="1:15" s="169" customFormat="1" ht="30.75" customHeight="1">
      <c r="A1413" s="180" t="s">
        <v>167</v>
      </c>
      <c r="B1413" s="77" t="s">
        <v>997</v>
      </c>
      <c r="C1413" s="70" t="s">
        <v>17</v>
      </c>
      <c r="D1413" s="210"/>
      <c r="E1413" s="210"/>
      <c r="F1413" s="210"/>
      <c r="G1413" s="210"/>
      <c r="H1413" s="406">
        <f>SUM(Tabla13211242[[#This Row],[PRIMER TRIMESTRE]:[CUARTO TRIMESTRE]])</f>
        <v>0</v>
      </c>
      <c r="I1413" s="72">
        <v>216608.47</v>
      </c>
      <c r="J1413" s="72">
        <f t="shared" si="36"/>
        <v>0</v>
      </c>
      <c r="K1413" s="72"/>
      <c r="L1413" s="73" t="s">
        <v>18</v>
      </c>
      <c r="M1413" s="73" t="s">
        <v>19</v>
      </c>
      <c r="N1413" s="70" t="s">
        <v>342</v>
      </c>
      <c r="O1413" s="20"/>
    </row>
    <row r="1414" spans="1:15" s="169" customFormat="1" ht="30.75" customHeight="1">
      <c r="A1414" s="180" t="s">
        <v>167</v>
      </c>
      <c r="B1414" s="77" t="s">
        <v>998</v>
      </c>
      <c r="C1414" s="70" t="s">
        <v>17</v>
      </c>
      <c r="D1414" s="210"/>
      <c r="E1414" s="210"/>
      <c r="F1414" s="210"/>
      <c r="G1414" s="210"/>
      <c r="H1414" s="406">
        <f>SUM(Tabla13211242[[#This Row],[PRIMER TRIMESTRE]:[CUARTO TRIMESTRE]])</f>
        <v>0</v>
      </c>
      <c r="I1414" s="72">
        <v>294752.2</v>
      </c>
      <c r="J1414" s="72">
        <f t="shared" si="36"/>
        <v>0</v>
      </c>
      <c r="K1414" s="72"/>
      <c r="L1414" s="73" t="s">
        <v>18</v>
      </c>
      <c r="M1414" s="73" t="s">
        <v>19</v>
      </c>
      <c r="N1414" s="70" t="s">
        <v>342</v>
      </c>
      <c r="O1414" s="20"/>
    </row>
    <row r="1415" spans="1:15" s="169" customFormat="1" ht="30.75" customHeight="1">
      <c r="A1415" s="180" t="s">
        <v>167</v>
      </c>
      <c r="B1415" s="77" t="s">
        <v>999</v>
      </c>
      <c r="C1415" s="70" t="s">
        <v>17</v>
      </c>
      <c r="D1415" s="210"/>
      <c r="E1415" s="210"/>
      <c r="F1415" s="210"/>
      <c r="G1415" s="210"/>
      <c r="H1415" s="406">
        <f>SUM(Tabla13211242[[#This Row],[PRIMER TRIMESTRE]:[CUARTO TRIMESTRE]])</f>
        <v>0</v>
      </c>
      <c r="I1415" s="72">
        <v>230554.3</v>
      </c>
      <c r="J1415" s="72">
        <f t="shared" si="36"/>
        <v>0</v>
      </c>
      <c r="K1415" s="72"/>
      <c r="L1415" s="73" t="s">
        <v>18</v>
      </c>
      <c r="M1415" s="73" t="s">
        <v>19</v>
      </c>
      <c r="N1415" s="70" t="s">
        <v>342</v>
      </c>
      <c r="O1415" s="20"/>
    </row>
    <row r="1416" spans="1:15" s="169" customFormat="1" ht="30.75" customHeight="1">
      <c r="A1416" s="180" t="s">
        <v>167</v>
      </c>
      <c r="B1416" s="77" t="s">
        <v>1000</v>
      </c>
      <c r="C1416" s="70" t="s">
        <v>17</v>
      </c>
      <c r="D1416" s="210"/>
      <c r="E1416" s="210"/>
      <c r="F1416" s="210"/>
      <c r="G1416" s="210"/>
      <c r="H1416" s="406">
        <f>SUM(Tabla13211242[[#This Row],[PRIMER TRIMESTRE]:[CUARTO TRIMESTRE]])</f>
        <v>0</v>
      </c>
      <c r="I1416" s="72">
        <v>494992.3</v>
      </c>
      <c r="J1416" s="72">
        <f t="shared" si="36"/>
        <v>0</v>
      </c>
      <c r="K1416" s="72"/>
      <c r="L1416" s="73" t="s">
        <v>18</v>
      </c>
      <c r="M1416" s="73" t="s">
        <v>19</v>
      </c>
      <c r="N1416" s="70" t="s">
        <v>342</v>
      </c>
      <c r="O1416" s="20"/>
    </row>
    <row r="1417" spans="1:15" s="169" customFormat="1" ht="30.75" customHeight="1">
      <c r="A1417" s="180" t="s">
        <v>167</v>
      </c>
      <c r="B1417" s="77" t="s">
        <v>1001</v>
      </c>
      <c r="C1417" s="70" t="s">
        <v>17</v>
      </c>
      <c r="D1417" s="210"/>
      <c r="E1417" s="210"/>
      <c r="F1417" s="210"/>
      <c r="G1417" s="210"/>
      <c r="H1417" s="406">
        <f>SUM(Tabla13211242[[#This Row],[PRIMER TRIMESTRE]:[CUARTO TRIMESTRE]])</f>
        <v>0</v>
      </c>
      <c r="I1417" s="72">
        <v>211166.9</v>
      </c>
      <c r="J1417" s="72">
        <f t="shared" si="36"/>
        <v>0</v>
      </c>
      <c r="K1417" s="72"/>
      <c r="L1417" s="73" t="s">
        <v>18</v>
      </c>
      <c r="M1417" s="73" t="s">
        <v>19</v>
      </c>
      <c r="N1417" s="70" t="s">
        <v>342</v>
      </c>
      <c r="O1417" s="20"/>
    </row>
    <row r="1418" spans="1:15" s="169" customFormat="1" ht="30.75" customHeight="1">
      <c r="A1418" s="180" t="s">
        <v>167</v>
      </c>
      <c r="B1418" s="77" t="s">
        <v>1002</v>
      </c>
      <c r="C1418" s="70" t="s">
        <v>17</v>
      </c>
      <c r="D1418" s="210"/>
      <c r="E1418" s="210"/>
      <c r="F1418" s="210"/>
      <c r="G1418" s="210"/>
      <c r="H1418" s="406">
        <f>SUM(Tabla13211242[[#This Row],[PRIMER TRIMESTRE]:[CUARTO TRIMESTRE]])</f>
        <v>0</v>
      </c>
      <c r="I1418" s="72">
        <v>62368.899999999994</v>
      </c>
      <c r="J1418" s="72">
        <f t="shared" si="36"/>
        <v>0</v>
      </c>
      <c r="K1418" s="72"/>
      <c r="L1418" s="73" t="s">
        <v>18</v>
      </c>
      <c r="M1418" s="73" t="s">
        <v>19</v>
      </c>
      <c r="N1418" s="70" t="s">
        <v>342</v>
      </c>
      <c r="O1418" s="20"/>
    </row>
    <row r="1419" spans="1:15" s="169" customFormat="1" ht="30.75" customHeight="1">
      <c r="A1419" s="180" t="s">
        <v>167</v>
      </c>
      <c r="B1419" s="77" t="s">
        <v>1003</v>
      </c>
      <c r="C1419" s="70" t="s">
        <v>17</v>
      </c>
      <c r="D1419" s="210"/>
      <c r="E1419" s="210"/>
      <c r="F1419" s="210"/>
      <c r="G1419" s="210"/>
      <c r="H1419" s="406">
        <f>SUM(Tabla13211242[[#This Row],[PRIMER TRIMESTRE]:[CUARTO TRIMESTRE]])</f>
        <v>0</v>
      </c>
      <c r="I1419" s="72">
        <v>105533.29999999999</v>
      </c>
      <c r="J1419" s="72">
        <f t="shared" si="36"/>
        <v>0</v>
      </c>
      <c r="K1419" s="72"/>
      <c r="L1419" s="73" t="s">
        <v>18</v>
      </c>
      <c r="M1419" s="73" t="s">
        <v>19</v>
      </c>
      <c r="N1419" s="70" t="s">
        <v>342</v>
      </c>
      <c r="O1419" s="20"/>
    </row>
    <row r="1420" spans="1:15" s="169" customFormat="1" ht="30.75" customHeight="1">
      <c r="A1420" s="180" t="s">
        <v>167</v>
      </c>
      <c r="B1420" s="77" t="s">
        <v>1004</v>
      </c>
      <c r="C1420" s="70" t="s">
        <v>17</v>
      </c>
      <c r="D1420" s="210"/>
      <c r="E1420" s="210"/>
      <c r="F1420" s="210"/>
      <c r="G1420" s="210"/>
      <c r="H1420" s="406">
        <f>SUM(Tabla13211242[[#This Row],[PRIMER TRIMESTRE]:[CUARTO TRIMESTRE]])</f>
        <v>0</v>
      </c>
      <c r="I1420" s="72">
        <v>98618.5</v>
      </c>
      <c r="J1420" s="72">
        <f t="shared" si="36"/>
        <v>0</v>
      </c>
      <c r="K1420" s="72"/>
      <c r="L1420" s="73" t="s">
        <v>18</v>
      </c>
      <c r="M1420" s="73" t="s">
        <v>19</v>
      </c>
      <c r="N1420" s="70"/>
      <c r="O1420" s="20"/>
    </row>
    <row r="1421" spans="1:15" s="169" customFormat="1" ht="30.75" customHeight="1">
      <c r="A1421" s="180" t="s">
        <v>167</v>
      </c>
      <c r="B1421" s="77" t="s">
        <v>1005</v>
      </c>
      <c r="C1421" s="70" t="s">
        <v>17</v>
      </c>
      <c r="D1421" s="210"/>
      <c r="E1421" s="210"/>
      <c r="F1421" s="210"/>
      <c r="G1421" s="210"/>
      <c r="H1421" s="406">
        <f>SUM(Tabla13211242[[#This Row],[PRIMER TRIMESTRE]:[CUARTO TRIMESTRE]])</f>
        <v>0</v>
      </c>
      <c r="I1421" s="72">
        <v>135818</v>
      </c>
      <c r="J1421" s="72">
        <f t="shared" si="36"/>
        <v>0</v>
      </c>
      <c r="K1421" s="72"/>
      <c r="L1421" s="73" t="s">
        <v>18</v>
      </c>
      <c r="M1421" s="73" t="s">
        <v>19</v>
      </c>
      <c r="N1421" s="70" t="s">
        <v>342</v>
      </c>
      <c r="O1421" s="20"/>
    </row>
    <row r="1422" spans="1:15" s="169" customFormat="1" ht="30.75" customHeight="1">
      <c r="A1422" s="180" t="s">
        <v>167</v>
      </c>
      <c r="B1422" s="77" t="s">
        <v>1006</v>
      </c>
      <c r="C1422" s="70" t="s">
        <v>17</v>
      </c>
      <c r="D1422" s="210"/>
      <c r="E1422" s="210"/>
      <c r="F1422" s="210"/>
      <c r="G1422" s="210"/>
      <c r="H1422" s="406">
        <f>SUM(Tabla13211242[[#This Row],[PRIMER TRIMESTRE]:[CUARTO TRIMESTRE]])</f>
        <v>0</v>
      </c>
      <c r="I1422" s="72">
        <v>114460</v>
      </c>
      <c r="J1422" s="72">
        <f t="shared" si="36"/>
        <v>0</v>
      </c>
      <c r="K1422" s="72"/>
      <c r="L1422" s="73" t="s">
        <v>18</v>
      </c>
      <c r="M1422" s="73" t="s">
        <v>19</v>
      </c>
      <c r="N1422" s="70" t="s">
        <v>342</v>
      </c>
      <c r="O1422" s="20"/>
    </row>
    <row r="1423" spans="1:15" s="169" customFormat="1" ht="30.75" customHeight="1">
      <c r="A1423" s="180" t="s">
        <v>167</v>
      </c>
      <c r="B1423" s="77" t="s">
        <v>1007</v>
      </c>
      <c r="C1423" s="70" t="s">
        <v>17</v>
      </c>
      <c r="D1423" s="210"/>
      <c r="E1423" s="210"/>
      <c r="F1423" s="210"/>
      <c r="G1423" s="210"/>
      <c r="H1423" s="406">
        <f>SUM(Tabla13211242[[#This Row],[PRIMER TRIMESTRE]:[CUARTO TRIMESTRE]])</f>
        <v>0</v>
      </c>
      <c r="I1423" s="72">
        <v>164374</v>
      </c>
      <c r="J1423" s="72">
        <f t="shared" si="36"/>
        <v>0</v>
      </c>
      <c r="K1423" s="72"/>
      <c r="L1423" s="73" t="s">
        <v>18</v>
      </c>
      <c r="M1423" s="73" t="s">
        <v>19</v>
      </c>
      <c r="N1423" s="70" t="s">
        <v>342</v>
      </c>
      <c r="O1423" s="20"/>
    </row>
    <row r="1424" spans="1:15" s="169" customFormat="1" ht="30.75" customHeight="1">
      <c r="A1424" s="180" t="s">
        <v>167</v>
      </c>
      <c r="B1424" s="77" t="s">
        <v>1008</v>
      </c>
      <c r="C1424" s="70" t="s">
        <v>17</v>
      </c>
      <c r="D1424" s="210"/>
      <c r="E1424" s="210"/>
      <c r="F1424" s="210"/>
      <c r="G1424" s="210"/>
      <c r="H1424" s="406">
        <f>SUM(Tabla13211242[[#This Row],[PRIMER TRIMESTRE]:[CUARTO TRIMESTRE]])</f>
        <v>0</v>
      </c>
      <c r="I1424" s="72">
        <v>24691.5</v>
      </c>
      <c r="J1424" s="72">
        <f t="shared" si="36"/>
        <v>0</v>
      </c>
      <c r="K1424" s="72"/>
      <c r="L1424" s="73" t="s">
        <v>18</v>
      </c>
      <c r="M1424" s="73" t="s">
        <v>19</v>
      </c>
      <c r="N1424" s="70"/>
      <c r="O1424" s="20"/>
    </row>
    <row r="1425" spans="1:15" s="169" customFormat="1" ht="30.75" customHeight="1">
      <c r="A1425" s="180" t="s">
        <v>167</v>
      </c>
      <c r="B1425" s="77" t="s">
        <v>1009</v>
      </c>
      <c r="C1425" s="70" t="s">
        <v>17</v>
      </c>
      <c r="D1425" s="210"/>
      <c r="E1425" s="210"/>
      <c r="F1425" s="210"/>
      <c r="G1425" s="210"/>
      <c r="H1425" s="406">
        <f>SUM(Tabla13211242[[#This Row],[PRIMER TRIMESTRE]:[CUARTO TRIMESTRE]])</f>
        <v>0</v>
      </c>
      <c r="I1425" s="72">
        <v>192045</v>
      </c>
      <c r="J1425" s="72">
        <f t="shared" si="36"/>
        <v>0</v>
      </c>
      <c r="K1425" s="72"/>
      <c r="L1425" s="73" t="s">
        <v>18</v>
      </c>
      <c r="M1425" s="73" t="s">
        <v>19</v>
      </c>
      <c r="N1425" s="70" t="s">
        <v>342</v>
      </c>
      <c r="O1425" s="20"/>
    </row>
    <row r="1426" spans="1:15" s="169" customFormat="1" ht="30.75" customHeight="1">
      <c r="A1426" s="180" t="s">
        <v>167</v>
      </c>
      <c r="B1426" s="77" t="s">
        <v>1010</v>
      </c>
      <c r="C1426" s="70" t="s">
        <v>17</v>
      </c>
      <c r="D1426" s="210"/>
      <c r="E1426" s="210"/>
      <c r="F1426" s="210"/>
      <c r="G1426" s="210"/>
      <c r="H1426" s="406">
        <f>SUM(Tabla13211242[[#This Row],[PRIMER TRIMESTRE]:[CUARTO TRIMESTRE]])</f>
        <v>0</v>
      </c>
      <c r="I1426" s="72">
        <v>164374</v>
      </c>
      <c r="J1426" s="72">
        <f t="shared" si="36"/>
        <v>0</v>
      </c>
      <c r="K1426" s="72"/>
      <c r="L1426" s="73" t="s">
        <v>18</v>
      </c>
      <c r="M1426" s="73" t="s">
        <v>19</v>
      </c>
      <c r="N1426" s="70" t="s">
        <v>342</v>
      </c>
      <c r="O1426" s="20"/>
    </row>
    <row r="1427" spans="1:15" s="169" customFormat="1" ht="42" customHeight="1">
      <c r="A1427" s="180" t="s">
        <v>167</v>
      </c>
      <c r="B1427" s="77" t="s">
        <v>1011</v>
      </c>
      <c r="C1427" s="70" t="s">
        <v>17</v>
      </c>
      <c r="D1427" s="210"/>
      <c r="E1427" s="210"/>
      <c r="F1427" s="210"/>
      <c r="G1427" s="210"/>
      <c r="H1427" s="406">
        <f>SUM(Tabla13211242[[#This Row],[PRIMER TRIMESTRE]:[CUARTO TRIMESTRE]])</f>
        <v>0</v>
      </c>
      <c r="I1427" s="72">
        <v>35145.119999999995</v>
      </c>
      <c r="J1427" s="72">
        <f t="shared" si="36"/>
        <v>0</v>
      </c>
      <c r="K1427" s="72"/>
      <c r="L1427" s="73" t="s">
        <v>18</v>
      </c>
      <c r="M1427" s="73" t="s">
        <v>19</v>
      </c>
      <c r="N1427" s="70"/>
      <c r="O1427" s="20"/>
    </row>
    <row r="1428" spans="1:15" s="169" customFormat="1" ht="30.75" customHeight="1">
      <c r="A1428" s="180" t="s">
        <v>167</v>
      </c>
      <c r="B1428" s="77" t="s">
        <v>1012</v>
      </c>
      <c r="C1428" s="70" t="s">
        <v>17</v>
      </c>
      <c r="D1428" s="210"/>
      <c r="E1428" s="210"/>
      <c r="F1428" s="210"/>
      <c r="G1428" s="210"/>
      <c r="H1428" s="406">
        <f>SUM(Tabla13211242[[#This Row],[PRIMER TRIMESTRE]:[CUARTO TRIMESTRE]])</f>
        <v>0</v>
      </c>
      <c r="I1428" s="72">
        <v>926960.79999999993</v>
      </c>
      <c r="J1428" s="72">
        <f t="shared" si="36"/>
        <v>0</v>
      </c>
      <c r="K1428" s="72"/>
      <c r="L1428" s="73" t="s">
        <v>18</v>
      </c>
      <c r="M1428" s="73" t="s">
        <v>19</v>
      </c>
      <c r="N1428" s="70" t="s">
        <v>342</v>
      </c>
      <c r="O1428" s="20"/>
    </row>
    <row r="1429" spans="1:15" s="169" customFormat="1" ht="30.75" customHeight="1">
      <c r="A1429" s="180" t="s">
        <v>167</v>
      </c>
      <c r="B1429" s="77" t="s">
        <v>1013</v>
      </c>
      <c r="C1429" s="70" t="s">
        <v>17</v>
      </c>
      <c r="D1429" s="210"/>
      <c r="E1429" s="210"/>
      <c r="F1429" s="210"/>
      <c r="G1429" s="210"/>
      <c r="H1429" s="406">
        <f>SUM(Tabla13211242[[#This Row],[PRIMER TRIMESTRE]:[CUARTO TRIMESTRE]])</f>
        <v>0</v>
      </c>
      <c r="I1429" s="72">
        <v>266798</v>
      </c>
      <c r="J1429" s="72">
        <f t="shared" si="36"/>
        <v>0</v>
      </c>
      <c r="K1429" s="72"/>
      <c r="L1429" s="73" t="s">
        <v>18</v>
      </c>
      <c r="M1429" s="73" t="s">
        <v>19</v>
      </c>
      <c r="N1429" s="70" t="s">
        <v>342</v>
      </c>
      <c r="O1429" s="20"/>
    </row>
    <row r="1430" spans="1:15" s="169" customFormat="1" ht="30.75" customHeight="1">
      <c r="A1430" s="180" t="s">
        <v>167</v>
      </c>
      <c r="B1430" s="77" t="s">
        <v>1014</v>
      </c>
      <c r="C1430" s="70" t="s">
        <v>17</v>
      </c>
      <c r="D1430" s="210"/>
      <c r="E1430" s="210"/>
      <c r="F1430" s="210"/>
      <c r="G1430" s="210"/>
      <c r="H1430" s="406">
        <f>SUM(Tabla13211242[[#This Row],[PRIMER TRIMESTRE]:[CUARTO TRIMESTRE]])</f>
        <v>0</v>
      </c>
      <c r="I1430" s="72">
        <v>77555.5</v>
      </c>
      <c r="J1430" s="72">
        <f t="shared" si="36"/>
        <v>0</v>
      </c>
      <c r="K1430" s="72"/>
      <c r="L1430" s="73" t="s">
        <v>18</v>
      </c>
      <c r="M1430" s="73" t="s">
        <v>19</v>
      </c>
      <c r="N1430" s="70"/>
      <c r="O1430" s="20"/>
    </row>
    <row r="1431" spans="1:15" s="169" customFormat="1" ht="30.75" customHeight="1">
      <c r="A1431" s="180" t="s">
        <v>167</v>
      </c>
      <c r="B1431" s="77" t="s">
        <v>1015</v>
      </c>
      <c r="C1431" s="70" t="s">
        <v>17</v>
      </c>
      <c r="D1431" s="210"/>
      <c r="E1431" s="210"/>
      <c r="F1431" s="210"/>
      <c r="G1431" s="210"/>
      <c r="H1431" s="406">
        <f>SUM(Tabla13211242[[#This Row],[PRIMER TRIMESTRE]:[CUARTO TRIMESTRE]])</f>
        <v>0</v>
      </c>
      <c r="I1431" s="72">
        <v>100595</v>
      </c>
      <c r="J1431" s="72">
        <f t="shared" si="36"/>
        <v>0</v>
      </c>
      <c r="K1431" s="72"/>
      <c r="L1431" s="73" t="s">
        <v>18</v>
      </c>
      <c r="M1431" s="73" t="s">
        <v>19</v>
      </c>
      <c r="N1431" s="70" t="s">
        <v>342</v>
      </c>
      <c r="O1431" s="20"/>
    </row>
    <row r="1432" spans="1:15" s="169" customFormat="1" ht="30.75" customHeight="1">
      <c r="A1432" s="180" t="s">
        <v>167</v>
      </c>
      <c r="B1432" s="77" t="s">
        <v>1016</v>
      </c>
      <c r="C1432" s="70" t="s">
        <v>17</v>
      </c>
      <c r="D1432" s="210"/>
      <c r="E1432" s="210"/>
      <c r="F1432" s="210"/>
      <c r="G1432" s="210"/>
      <c r="H1432" s="406">
        <f>SUM(Tabla13211242[[#This Row],[PRIMER TRIMESTRE]:[CUARTO TRIMESTRE]])</f>
        <v>0</v>
      </c>
      <c r="I1432" s="72">
        <v>106173.45</v>
      </c>
      <c r="J1432" s="72">
        <f t="shared" si="36"/>
        <v>0</v>
      </c>
      <c r="K1432" s="72"/>
      <c r="L1432" s="73" t="s">
        <v>18</v>
      </c>
      <c r="M1432" s="73" t="s">
        <v>19</v>
      </c>
      <c r="N1432" s="70" t="s">
        <v>342</v>
      </c>
      <c r="O1432" s="20"/>
    </row>
    <row r="1433" spans="1:15" s="169" customFormat="1" ht="30.75" customHeight="1">
      <c r="A1433" s="180" t="s">
        <v>167</v>
      </c>
      <c r="B1433" s="77" t="s">
        <v>1017</v>
      </c>
      <c r="C1433" s="70" t="s">
        <v>17</v>
      </c>
      <c r="D1433" s="210"/>
      <c r="E1433" s="210"/>
      <c r="F1433" s="210"/>
      <c r="G1433" s="210"/>
      <c r="H1433" s="406">
        <f>SUM(Tabla13211242[[#This Row],[PRIMER TRIMESTRE]:[CUARTO TRIMESTRE]])</f>
        <v>0</v>
      </c>
      <c r="I1433" s="72">
        <v>111156</v>
      </c>
      <c r="J1433" s="72">
        <f t="shared" si="36"/>
        <v>0</v>
      </c>
      <c r="K1433" s="72"/>
      <c r="L1433" s="73" t="s">
        <v>18</v>
      </c>
      <c r="M1433" s="73" t="s">
        <v>19</v>
      </c>
      <c r="N1433" s="70" t="s">
        <v>342</v>
      </c>
      <c r="O1433" s="20"/>
    </row>
    <row r="1434" spans="1:15" s="169" customFormat="1" ht="44.25" customHeight="1">
      <c r="A1434" s="180" t="s">
        <v>167</v>
      </c>
      <c r="B1434" s="77" t="s">
        <v>1018</v>
      </c>
      <c r="C1434" s="70" t="s">
        <v>17</v>
      </c>
      <c r="D1434" s="210"/>
      <c r="E1434" s="210"/>
      <c r="F1434" s="210"/>
      <c r="G1434" s="210"/>
      <c r="H1434" s="406">
        <f>SUM(Tabla13211242[[#This Row],[PRIMER TRIMESTRE]:[CUARTO TRIMESTRE]])</f>
        <v>0</v>
      </c>
      <c r="I1434" s="72">
        <v>62186</v>
      </c>
      <c r="J1434" s="72">
        <f t="shared" si="36"/>
        <v>0</v>
      </c>
      <c r="K1434" s="72"/>
      <c r="L1434" s="73" t="s">
        <v>18</v>
      </c>
      <c r="M1434" s="73" t="s">
        <v>19</v>
      </c>
      <c r="N1434" s="70" t="s">
        <v>342</v>
      </c>
      <c r="O1434" s="20"/>
    </row>
    <row r="1435" spans="1:15" s="169" customFormat="1" ht="30.75" customHeight="1">
      <c r="A1435" s="180" t="s">
        <v>167</v>
      </c>
      <c r="B1435" s="77" t="s">
        <v>1019</v>
      </c>
      <c r="C1435" s="70" t="s">
        <v>17</v>
      </c>
      <c r="D1435" s="210"/>
      <c r="E1435" s="210"/>
      <c r="F1435" s="210"/>
      <c r="G1435" s="210"/>
      <c r="H1435" s="406">
        <f>SUM(Tabla13211242[[#This Row],[PRIMER TRIMESTRE]:[CUARTO TRIMESTRE]])</f>
        <v>0</v>
      </c>
      <c r="I1435" s="72">
        <v>306800</v>
      </c>
      <c r="J1435" s="72">
        <f t="shared" si="36"/>
        <v>0</v>
      </c>
      <c r="K1435" s="72"/>
      <c r="L1435" s="73" t="s">
        <v>18</v>
      </c>
      <c r="M1435" s="73" t="s">
        <v>19</v>
      </c>
      <c r="N1435" s="70" t="s">
        <v>342</v>
      </c>
      <c r="O1435" s="20"/>
    </row>
    <row r="1436" spans="1:15" s="169" customFormat="1" ht="52.5" customHeight="1">
      <c r="A1436" s="180" t="s">
        <v>167</v>
      </c>
      <c r="B1436" s="77" t="s">
        <v>1020</v>
      </c>
      <c r="C1436" s="70" t="s">
        <v>17</v>
      </c>
      <c r="D1436" s="210"/>
      <c r="E1436" s="210"/>
      <c r="F1436" s="210"/>
      <c r="G1436" s="210"/>
      <c r="H1436" s="406">
        <f>SUM(Tabla13211242[[#This Row],[PRIMER TRIMESTRE]:[CUARTO TRIMESTRE]])</f>
        <v>0</v>
      </c>
      <c r="I1436" s="72">
        <v>31093</v>
      </c>
      <c r="J1436" s="72">
        <f t="shared" si="36"/>
        <v>0</v>
      </c>
      <c r="K1436" s="72"/>
      <c r="L1436" s="73" t="s">
        <v>18</v>
      </c>
      <c r="M1436" s="73" t="s">
        <v>19</v>
      </c>
      <c r="N1436" s="70" t="s">
        <v>342</v>
      </c>
      <c r="O1436" s="20"/>
    </row>
    <row r="1437" spans="1:15" s="169" customFormat="1" ht="90" customHeight="1">
      <c r="A1437" s="180" t="s">
        <v>167</v>
      </c>
      <c r="B1437" s="77" t="s">
        <v>1021</v>
      </c>
      <c r="C1437" s="70" t="s">
        <v>17</v>
      </c>
      <c r="D1437" s="210"/>
      <c r="E1437" s="210"/>
      <c r="F1437" s="210"/>
      <c r="G1437" s="210"/>
      <c r="H1437" s="406">
        <f>SUM(Tabla13211242[[#This Row],[PRIMER TRIMESTRE]:[CUARTO TRIMESTRE]])</f>
        <v>0</v>
      </c>
      <c r="I1437" s="72">
        <v>329220</v>
      </c>
      <c r="J1437" s="72">
        <f t="shared" si="36"/>
        <v>0</v>
      </c>
      <c r="K1437" s="72"/>
      <c r="L1437" s="73" t="s">
        <v>18</v>
      </c>
      <c r="M1437" s="73" t="s">
        <v>19</v>
      </c>
      <c r="N1437" s="70" t="s">
        <v>342</v>
      </c>
      <c r="O1437" s="20"/>
    </row>
    <row r="1438" spans="1:15" s="169" customFormat="1" ht="103.5" customHeight="1">
      <c r="A1438" s="180" t="s">
        <v>167</v>
      </c>
      <c r="B1438" s="77" t="s">
        <v>1700</v>
      </c>
      <c r="C1438" s="70" t="s">
        <v>17</v>
      </c>
      <c r="D1438" s="210"/>
      <c r="E1438" s="210"/>
      <c r="F1438" s="210"/>
      <c r="G1438" s="210"/>
      <c r="H1438" s="406">
        <v>0</v>
      </c>
      <c r="I1438" s="72">
        <v>0</v>
      </c>
      <c r="J1438" s="72">
        <v>0</v>
      </c>
      <c r="K1438" s="72"/>
      <c r="L1438" s="73" t="s">
        <v>18</v>
      </c>
      <c r="M1438" s="73" t="s">
        <v>19</v>
      </c>
      <c r="N1438" s="70" t="s">
        <v>342</v>
      </c>
      <c r="O1438" s="20"/>
    </row>
    <row r="1439" spans="1:15" s="169" customFormat="1" ht="103.5" customHeight="1">
      <c r="A1439" s="180" t="s">
        <v>167</v>
      </c>
      <c r="B1439" s="77" t="s">
        <v>1762</v>
      </c>
      <c r="C1439" s="70" t="s">
        <v>17</v>
      </c>
      <c r="D1439" s="210"/>
      <c r="E1439" s="210"/>
      <c r="F1439" s="210"/>
      <c r="G1439" s="210"/>
      <c r="H1439" s="406">
        <v>0</v>
      </c>
      <c r="I1439" s="72">
        <v>0</v>
      </c>
      <c r="J1439" s="72">
        <v>0</v>
      </c>
      <c r="K1439" s="72"/>
      <c r="L1439" s="73" t="s">
        <v>18</v>
      </c>
      <c r="M1439" s="73" t="s">
        <v>19</v>
      </c>
      <c r="N1439" s="70"/>
      <c r="O1439" s="20"/>
    </row>
    <row r="1440" spans="1:15" s="169" customFormat="1" ht="71.25" customHeight="1">
      <c r="A1440" s="180" t="s">
        <v>167</v>
      </c>
      <c r="B1440" s="77" t="s">
        <v>1022</v>
      </c>
      <c r="C1440" s="70" t="s">
        <v>17</v>
      </c>
      <c r="D1440" s="210"/>
      <c r="E1440" s="210"/>
      <c r="F1440" s="210"/>
      <c r="G1440" s="210"/>
      <c r="H1440" s="406">
        <f>SUM(Tabla13211242[[#This Row],[PRIMER TRIMESTRE]:[CUARTO TRIMESTRE]])</f>
        <v>0</v>
      </c>
      <c r="I1440" s="72">
        <v>235000</v>
      </c>
      <c r="J1440" s="72">
        <f t="shared" si="36"/>
        <v>0</v>
      </c>
      <c r="K1440" s="72"/>
      <c r="L1440" s="73" t="s">
        <v>18</v>
      </c>
      <c r="M1440" s="73" t="s">
        <v>19</v>
      </c>
      <c r="N1440" s="70"/>
      <c r="O1440" s="20"/>
    </row>
    <row r="1441" spans="1:15" s="169" customFormat="1" ht="63.75">
      <c r="A1441" s="180" t="s">
        <v>167</v>
      </c>
      <c r="B1441" s="77" t="s">
        <v>1023</v>
      </c>
      <c r="C1441" s="70" t="s">
        <v>17</v>
      </c>
      <c r="D1441" s="210"/>
      <c r="E1441" s="210"/>
      <c r="F1441" s="210"/>
      <c r="G1441" s="210"/>
      <c r="H1441" s="406">
        <f>SUM(Tabla13211242[[#This Row],[PRIMER TRIMESTRE]:[CUARTO TRIMESTRE]])</f>
        <v>0</v>
      </c>
      <c r="I1441" s="72">
        <v>803877.81</v>
      </c>
      <c r="J1441" s="72">
        <f t="shared" si="36"/>
        <v>0</v>
      </c>
      <c r="K1441" s="72"/>
      <c r="L1441" s="73" t="s">
        <v>18</v>
      </c>
      <c r="M1441" s="73" t="s">
        <v>19</v>
      </c>
      <c r="N1441" s="70" t="s">
        <v>342</v>
      </c>
      <c r="O1441" s="20"/>
    </row>
    <row r="1442" spans="1:15" s="55" customFormat="1" ht="30.75" customHeight="1">
      <c r="A1442" s="180" t="s">
        <v>167</v>
      </c>
      <c r="B1442" s="77" t="s">
        <v>1418</v>
      </c>
      <c r="C1442" s="70" t="s">
        <v>17</v>
      </c>
      <c r="D1442" s="210"/>
      <c r="E1442" s="210"/>
      <c r="F1442" s="210"/>
      <c r="G1442" s="210"/>
      <c r="H1442" s="406">
        <f>SUM(Tabla13211242[[#This Row],[PRIMER TRIMESTRE]:[CUARTO TRIMESTRE]])</f>
        <v>0</v>
      </c>
      <c r="I1442" s="72">
        <v>265000</v>
      </c>
      <c r="J1442" s="72">
        <f t="shared" si="36"/>
        <v>0</v>
      </c>
      <c r="K1442" s="72"/>
      <c r="L1442" s="73" t="s">
        <v>18</v>
      </c>
      <c r="M1442" s="73" t="s">
        <v>19</v>
      </c>
      <c r="N1442" s="70" t="s">
        <v>342</v>
      </c>
      <c r="O1442" s="20"/>
    </row>
    <row r="1443" spans="1:15" s="55" customFormat="1" ht="30.75" customHeight="1">
      <c r="A1443" s="179" t="s">
        <v>167</v>
      </c>
      <c r="B1443" s="76" t="s">
        <v>891</v>
      </c>
      <c r="C1443" s="42"/>
      <c r="D1443" s="237"/>
      <c r="E1443" s="237"/>
      <c r="F1443" s="237"/>
      <c r="G1443" s="237"/>
      <c r="H1443" s="43"/>
      <c r="I1443" s="24"/>
      <c r="J1443" s="24"/>
      <c r="K1443" s="25">
        <f>SUM(J1380:J1442)</f>
        <v>0</v>
      </c>
      <c r="L1443" s="23"/>
      <c r="M1443" s="23"/>
      <c r="N1443" s="42"/>
      <c r="O1443" s="20"/>
    </row>
    <row r="1444" spans="1:15" s="55" customFormat="1" ht="18">
      <c r="A1444" s="178" t="s">
        <v>573</v>
      </c>
      <c r="B1444" s="75" t="s">
        <v>574</v>
      </c>
      <c r="C1444" s="39" t="s">
        <v>17</v>
      </c>
      <c r="D1444" s="410"/>
      <c r="E1444" s="410"/>
      <c r="F1444" s="410"/>
      <c r="G1444" s="241"/>
      <c r="H1444" s="51">
        <f>SUM(Tabla13211242[[#This Row],[PRIMER TRIMESTRE]:[CUARTO TRIMESTRE]])</f>
        <v>0</v>
      </c>
      <c r="I1444" s="52">
        <v>500</v>
      </c>
      <c r="J1444" s="52">
        <f>+Tabla13211242[[#This Row],[CANTIDAD TOTAL]]*Tabla13211242[[#This Row],[PRECIO UNITARIO ESTIMADO]]</f>
        <v>0</v>
      </c>
      <c r="K1444" s="50"/>
      <c r="L1444" s="411" t="s">
        <v>18</v>
      </c>
      <c r="M1444" s="411" t="s">
        <v>22</v>
      </c>
      <c r="N1444" s="53"/>
      <c r="O1444" s="20"/>
    </row>
    <row r="1445" spans="1:15" s="12" customFormat="1" ht="18">
      <c r="A1445" s="178" t="s">
        <v>573</v>
      </c>
      <c r="B1445" s="75" t="s">
        <v>575</v>
      </c>
      <c r="C1445" s="39" t="s">
        <v>17</v>
      </c>
      <c r="D1445" s="410"/>
      <c r="E1445" s="410"/>
      <c r="F1445" s="410"/>
      <c r="G1445" s="241"/>
      <c r="H1445" s="51">
        <f>SUM(Tabla13211242[[#This Row],[PRIMER TRIMESTRE]:[CUARTO TRIMESTRE]])</f>
        <v>0</v>
      </c>
      <c r="I1445" s="52">
        <v>1000</v>
      </c>
      <c r="J1445" s="52">
        <f>+Tabla13211242[[#This Row],[CANTIDAD TOTAL]]*Tabla13211242[[#This Row],[PRECIO UNITARIO ESTIMADO]]</f>
        <v>0</v>
      </c>
      <c r="K1445" s="50"/>
      <c r="L1445" s="411" t="s">
        <v>18</v>
      </c>
      <c r="M1445" s="411" t="s">
        <v>22</v>
      </c>
      <c r="N1445" s="53"/>
      <c r="O1445" s="20"/>
    </row>
    <row r="1446" spans="1:15" s="12" customFormat="1" ht="18">
      <c r="A1446" s="178" t="s">
        <v>573</v>
      </c>
      <c r="B1446" s="75" t="s">
        <v>576</v>
      </c>
      <c r="C1446" s="39" t="s">
        <v>17</v>
      </c>
      <c r="D1446" s="410"/>
      <c r="E1446" s="410"/>
      <c r="F1446" s="410"/>
      <c r="G1446" s="241"/>
      <c r="H1446" s="51">
        <f>SUM(Tabla13211242[[#This Row],[PRIMER TRIMESTRE]:[CUARTO TRIMESTRE]])</f>
        <v>0</v>
      </c>
      <c r="I1446" s="52">
        <v>2000</v>
      </c>
      <c r="J1446" s="52">
        <f>+Tabla13211242[[#This Row],[CANTIDAD TOTAL]]*Tabla13211242[[#This Row],[PRECIO UNITARIO ESTIMADO]]</f>
        <v>0</v>
      </c>
      <c r="K1446" s="50"/>
      <c r="L1446" s="16" t="s">
        <v>18</v>
      </c>
      <c r="M1446" s="411" t="s">
        <v>22</v>
      </c>
      <c r="N1446" s="53"/>
      <c r="O1446" s="20"/>
    </row>
    <row r="1447" spans="1:15" s="12" customFormat="1" ht="18">
      <c r="A1447" s="178" t="s">
        <v>573</v>
      </c>
      <c r="B1447" s="75" t="s">
        <v>1331</v>
      </c>
      <c r="C1447" s="39" t="s">
        <v>17</v>
      </c>
      <c r="D1447" s="236"/>
      <c r="E1447" s="236"/>
      <c r="F1447" s="236"/>
      <c r="G1447" s="236"/>
      <c r="H1447" s="417">
        <f>SUM(Tabla13211242[[#This Row],[PRIMER TRIMESTRE]:[CUARTO TRIMESTRE]])</f>
        <v>0</v>
      </c>
      <c r="I1447" s="17">
        <v>40000</v>
      </c>
      <c r="J1447" s="17">
        <f t="shared" ref="J1447:J1456" si="37">+H1447*I1447</f>
        <v>0</v>
      </c>
      <c r="K1447" s="17"/>
      <c r="L1447" s="411" t="s">
        <v>18</v>
      </c>
      <c r="M1447" s="411" t="s">
        <v>22</v>
      </c>
      <c r="N1447" s="39"/>
      <c r="O1447" s="20"/>
    </row>
    <row r="1448" spans="1:15" s="12" customFormat="1" ht="18">
      <c r="A1448" s="178" t="s">
        <v>573</v>
      </c>
      <c r="B1448" s="75" t="s">
        <v>1751</v>
      </c>
      <c r="C1448" s="39" t="s">
        <v>17</v>
      </c>
      <c r="D1448" s="236"/>
      <c r="E1448" s="236"/>
      <c r="F1448" s="236"/>
      <c r="G1448" s="236"/>
      <c r="H1448" s="417">
        <f>SUM(Tabla13211242[[#This Row],[PRIMER TRIMESTRE]:[CUARTO TRIMESTRE]])</f>
        <v>0</v>
      </c>
      <c r="I1448" s="17"/>
      <c r="J1448" s="17"/>
      <c r="K1448" s="17"/>
      <c r="L1448" s="411" t="s">
        <v>18</v>
      </c>
      <c r="M1448" s="411" t="s">
        <v>22</v>
      </c>
      <c r="N1448" s="39"/>
      <c r="O1448" s="20"/>
    </row>
    <row r="1449" spans="1:15" s="12" customFormat="1" ht="18">
      <c r="A1449" s="178" t="s">
        <v>573</v>
      </c>
      <c r="B1449" s="75" t="s">
        <v>1747</v>
      </c>
      <c r="C1449" s="39" t="s">
        <v>17</v>
      </c>
      <c r="D1449" s="236"/>
      <c r="E1449" s="236"/>
      <c r="F1449" s="236"/>
      <c r="G1449" s="236"/>
      <c r="H1449" s="417">
        <f>SUM(Tabla13211242[[#This Row],[PRIMER TRIMESTRE]:[CUARTO TRIMESTRE]])</f>
        <v>0</v>
      </c>
      <c r="I1449" s="17"/>
      <c r="J1449" s="17"/>
      <c r="K1449" s="17"/>
      <c r="L1449" s="411" t="s">
        <v>18</v>
      </c>
      <c r="M1449" s="411" t="s">
        <v>22</v>
      </c>
      <c r="N1449" s="39"/>
      <c r="O1449" s="20"/>
    </row>
    <row r="1450" spans="1:15" s="12" customFormat="1" ht="18">
      <c r="A1450" s="178" t="s">
        <v>573</v>
      </c>
      <c r="B1450" s="75" t="s">
        <v>1332</v>
      </c>
      <c r="C1450" s="39" t="s">
        <v>17</v>
      </c>
      <c r="D1450" s="236"/>
      <c r="E1450" s="236"/>
      <c r="F1450" s="236"/>
      <c r="G1450" s="236"/>
      <c r="H1450" s="51">
        <f>SUM(Tabla13211242[[#This Row],[PRIMER TRIMESTRE]:[CUARTO TRIMESTRE]])</f>
        <v>0</v>
      </c>
      <c r="I1450" s="17">
        <v>30000</v>
      </c>
      <c r="J1450" s="17">
        <f t="shared" si="37"/>
        <v>0</v>
      </c>
      <c r="K1450" s="17"/>
      <c r="L1450" s="411" t="s">
        <v>18</v>
      </c>
      <c r="M1450" s="411" t="s">
        <v>22</v>
      </c>
      <c r="N1450" s="39"/>
      <c r="O1450" s="20"/>
    </row>
    <row r="1451" spans="1:15" s="12" customFormat="1" ht="18">
      <c r="A1451" s="178" t="s">
        <v>573</v>
      </c>
      <c r="B1451" s="75" t="s">
        <v>1749</v>
      </c>
      <c r="C1451" s="39" t="s">
        <v>17</v>
      </c>
      <c r="D1451" s="236"/>
      <c r="E1451" s="236"/>
      <c r="F1451" s="236"/>
      <c r="G1451" s="236"/>
      <c r="H1451" s="416">
        <f>Tabla13211242[[#This Row],[CUARTO TRIMESTRE]]+Tabla13211242[[#This Row],[TERCER TRIMESTRE]]+Tabla13211242[[#This Row],[SEGUNDO TRIMESTRE]]+Tabla13211242[[#This Row],[PRIMER TRIMESTRE]]</f>
        <v>0</v>
      </c>
      <c r="I1451" s="17">
        <v>75000</v>
      </c>
      <c r="J1451" s="17">
        <f>Tabla13211242[[#This Row],[PRECIO UNITARIO ESTIMADO]]*Tabla13211242[[#This Row],[CANTIDAD TOTAL]]</f>
        <v>0</v>
      </c>
      <c r="K1451" s="17"/>
      <c r="L1451" s="16" t="s">
        <v>18</v>
      </c>
      <c r="M1451" s="16" t="s">
        <v>22</v>
      </c>
      <c r="N1451" s="39"/>
      <c r="O1451" s="20"/>
    </row>
    <row r="1452" spans="1:15" s="12" customFormat="1" ht="18">
      <c r="A1452" s="178" t="s">
        <v>573</v>
      </c>
      <c r="B1452" s="75" t="s">
        <v>1333</v>
      </c>
      <c r="C1452" s="39" t="s">
        <v>17</v>
      </c>
      <c r="D1452" s="236"/>
      <c r="E1452" s="236"/>
      <c r="F1452" s="236"/>
      <c r="G1452" s="236"/>
      <c r="H1452" s="51">
        <f>SUM(Tabla13211242[[#This Row],[PRIMER TRIMESTRE]:[CUARTO TRIMESTRE]])</f>
        <v>0</v>
      </c>
      <c r="I1452" s="17">
        <v>1500000</v>
      </c>
      <c r="J1452" s="17">
        <f>+H1452*I1452</f>
        <v>0</v>
      </c>
      <c r="K1452" s="17"/>
      <c r="L1452" s="16" t="s">
        <v>18</v>
      </c>
      <c r="M1452" s="411" t="s">
        <v>22</v>
      </c>
      <c r="N1452" s="39"/>
      <c r="O1452" s="20"/>
    </row>
    <row r="1453" spans="1:15" s="12" customFormat="1" ht="18">
      <c r="A1453" s="178" t="s">
        <v>573</v>
      </c>
      <c r="B1453" s="75" t="s">
        <v>1750</v>
      </c>
      <c r="C1453" s="39" t="s">
        <v>17</v>
      </c>
      <c r="D1453" s="236"/>
      <c r="E1453" s="236"/>
      <c r="F1453" s="236"/>
      <c r="G1453" s="236"/>
      <c r="H1453" s="416">
        <v>0</v>
      </c>
      <c r="I1453" s="17"/>
      <c r="J1453" s="17">
        <f>Tabla13211242[[#This Row],[PRECIO UNITARIO ESTIMADO]]*Tabla13211242[[#This Row],[CANTIDAD TOTAL]]</f>
        <v>0</v>
      </c>
      <c r="K1453" s="17"/>
      <c r="L1453" s="16" t="s">
        <v>18</v>
      </c>
      <c r="M1453" s="411" t="s">
        <v>22</v>
      </c>
      <c r="N1453" s="39"/>
      <c r="O1453" s="20"/>
    </row>
    <row r="1454" spans="1:15" s="12" customFormat="1" ht="18">
      <c r="A1454" s="178" t="s">
        <v>573</v>
      </c>
      <c r="B1454" s="75" t="s">
        <v>1464</v>
      </c>
      <c r="C1454" s="39" t="s">
        <v>17</v>
      </c>
      <c r="D1454" s="236"/>
      <c r="E1454" s="236"/>
      <c r="F1454" s="236"/>
      <c r="G1454" s="236"/>
      <c r="H1454" s="51">
        <f>SUM(Tabla13211242[[#This Row],[PRIMER TRIMESTRE]:[CUARTO TRIMESTRE]])</f>
        <v>0</v>
      </c>
      <c r="I1454" s="17">
        <v>87000</v>
      </c>
      <c r="J1454" s="17">
        <f t="shared" si="37"/>
        <v>0</v>
      </c>
      <c r="K1454" s="17"/>
      <c r="L1454" s="16" t="s">
        <v>18</v>
      </c>
      <c r="M1454" s="411" t="s">
        <v>22</v>
      </c>
      <c r="N1454" s="39"/>
      <c r="O1454" s="20"/>
    </row>
    <row r="1455" spans="1:15" s="64" customFormat="1" ht="18">
      <c r="A1455" s="178" t="s">
        <v>573</v>
      </c>
      <c r="B1455" s="75" t="s">
        <v>1465</v>
      </c>
      <c r="C1455" s="39" t="s">
        <v>17</v>
      </c>
      <c r="D1455" s="236"/>
      <c r="E1455" s="236"/>
      <c r="F1455" s="236"/>
      <c r="G1455" s="236"/>
      <c r="H1455" s="51">
        <f>SUM(Tabla13211242[[#This Row],[PRIMER TRIMESTRE]:[CUARTO TRIMESTRE]])</f>
        <v>0</v>
      </c>
      <c r="I1455" s="17">
        <v>15</v>
      </c>
      <c r="J1455" s="17">
        <f t="shared" si="37"/>
        <v>0</v>
      </c>
      <c r="K1455" s="17"/>
      <c r="L1455" s="16" t="s">
        <v>18</v>
      </c>
      <c r="M1455" s="411" t="s">
        <v>22</v>
      </c>
      <c r="N1455" s="39"/>
      <c r="O1455" s="23"/>
    </row>
    <row r="1456" spans="1:15" s="34" customFormat="1" ht="24" thickBot="1">
      <c r="A1456" s="178" t="s">
        <v>573</v>
      </c>
      <c r="B1456" s="75" t="s">
        <v>1419</v>
      </c>
      <c r="C1456" s="39" t="s">
        <v>17</v>
      </c>
      <c r="D1456" s="236"/>
      <c r="E1456" s="236"/>
      <c r="F1456" s="236"/>
      <c r="G1456" s="236"/>
      <c r="H1456" s="51">
        <f>SUM(Tabla13211242[[#This Row],[PRIMER TRIMESTRE]:[CUARTO TRIMESTRE]])</f>
        <v>0</v>
      </c>
      <c r="I1456" s="17">
        <v>6000000</v>
      </c>
      <c r="J1456" s="17">
        <f t="shared" si="37"/>
        <v>0</v>
      </c>
      <c r="K1456" s="17"/>
      <c r="L1456" s="16" t="s">
        <v>18</v>
      </c>
      <c r="M1456" s="411" t="s">
        <v>22</v>
      </c>
      <c r="N1456" s="39"/>
      <c r="O1456" s="36"/>
    </row>
    <row r="1457" spans="1:15" ht="30.75" customHeight="1">
      <c r="A1457" s="181" t="s">
        <v>573</v>
      </c>
      <c r="B1457" s="76"/>
      <c r="C1457" s="62"/>
      <c r="D1457" s="418"/>
      <c r="E1457" s="418"/>
      <c r="F1457" s="418"/>
      <c r="G1457" s="418"/>
      <c r="H1457" s="59"/>
      <c r="I1457" s="288"/>
      <c r="J1457" s="419"/>
      <c r="K1457" s="25">
        <f>+SUM($J$1444:$J$1456)</f>
        <v>0</v>
      </c>
      <c r="L1457" s="61"/>
      <c r="M1457" s="61"/>
      <c r="N1457" s="62"/>
      <c r="O1457" s="20"/>
    </row>
    <row r="1458" spans="1:15" ht="30.75" customHeight="1" thickBot="1">
      <c r="A1458" s="182"/>
      <c r="B1458" s="83" t="s">
        <v>1912</v>
      </c>
      <c r="C1458" s="47"/>
      <c r="D1458" s="242"/>
      <c r="E1458" s="242"/>
      <c r="F1458" s="242"/>
      <c r="G1458" s="242"/>
      <c r="H1458" s="48"/>
      <c r="I1458" s="35"/>
      <c r="J1458" s="183">
        <f>SUM(J16:J1457)</f>
        <v>44853662.027889669</v>
      </c>
      <c r="K1458" s="183">
        <f>SUM(K16:K1457)</f>
        <v>44843162.027889691</v>
      </c>
      <c r="L1458" s="34"/>
      <c r="M1458" s="34"/>
      <c r="N1458" s="47"/>
      <c r="O1458" s="20"/>
    </row>
    <row r="1461" spans="1:15" ht="18">
      <c r="K1461" s="250"/>
    </row>
    <row r="1465" spans="1:15" ht="18">
      <c r="C1465" s="399"/>
      <c r="D1465" s="399"/>
      <c r="E1465" s="399"/>
      <c r="F1465" s="399"/>
      <c r="G1465" s="399"/>
      <c r="H1465" s="399"/>
      <c r="N1465" s="399"/>
    </row>
    <row r="1466" spans="1:15" ht="18">
      <c r="C1466" s="399"/>
      <c r="D1466" s="399"/>
      <c r="E1466" s="399"/>
      <c r="F1466" s="399"/>
      <c r="G1466" s="399"/>
      <c r="H1466" s="399"/>
      <c r="N1466" s="399"/>
    </row>
    <row r="1467" spans="1:15" ht="18">
      <c r="C1467" s="399"/>
      <c r="D1467" s="399"/>
      <c r="E1467" s="399"/>
      <c r="F1467" s="399"/>
      <c r="G1467" s="399"/>
      <c r="H1467" s="399"/>
      <c r="N1467" s="399"/>
    </row>
    <row r="1468" spans="1:15" ht="18">
      <c r="C1468" s="399"/>
      <c r="D1468" s="399"/>
      <c r="E1468" s="399"/>
      <c r="F1468" s="399"/>
      <c r="G1468" s="399"/>
      <c r="H1468" s="399"/>
      <c r="N1468" s="399"/>
    </row>
    <row r="1469" spans="1:15" ht="18">
      <c r="C1469" s="399"/>
      <c r="D1469" s="399"/>
      <c r="E1469" s="399"/>
      <c r="F1469" s="399"/>
      <c r="G1469" s="399"/>
      <c r="H1469" s="399"/>
      <c r="N1469" s="399"/>
    </row>
    <row r="1470" spans="1:15" ht="18">
      <c r="C1470" s="399"/>
      <c r="D1470" s="399"/>
      <c r="E1470" s="399"/>
      <c r="F1470" s="399"/>
      <c r="G1470" s="399"/>
      <c r="H1470" s="399"/>
      <c r="N1470" s="399"/>
    </row>
    <row r="1471" spans="1:15" ht="18">
      <c r="C1471" s="399"/>
      <c r="D1471" s="399"/>
      <c r="E1471" s="399"/>
      <c r="F1471" s="399"/>
      <c r="G1471" s="399"/>
      <c r="H1471" s="399"/>
      <c r="N1471" s="399"/>
    </row>
    <row r="1472" spans="1:15" ht="18">
      <c r="C1472" s="399"/>
      <c r="D1472" s="399"/>
      <c r="E1472" s="399"/>
      <c r="F1472" s="399"/>
      <c r="G1472" s="399"/>
      <c r="H1472" s="399"/>
      <c r="N1472" s="399"/>
    </row>
    <row r="1473" spans="3:14" ht="18">
      <c r="C1473" s="399"/>
      <c r="D1473" s="399"/>
      <c r="E1473" s="399"/>
      <c r="F1473" s="399"/>
      <c r="G1473" s="399"/>
      <c r="H1473" s="399"/>
      <c r="N1473" s="399"/>
    </row>
    <row r="1474" spans="3:14" ht="18"/>
  </sheetData>
  <mergeCells count="6">
    <mergeCell ref="D12:G12"/>
    <mergeCell ref="A1:L1"/>
    <mergeCell ref="A2:L2"/>
    <mergeCell ref="A3:L3"/>
    <mergeCell ref="A5:A7"/>
    <mergeCell ref="A8:L8"/>
  </mergeCells>
  <dataValidations xWindow="1266" yWindow="480" count="11">
    <dataValidation allowBlank="1" showInputMessage="1" showErrorMessage="1" promptTitle="PACC" prompt="Digite la cantidad requerida en este período._x000a_" sqref="F676:G679 D1447:G1456 F817:G824 E706:E764 E410:F410 F777:G779 F664:G674 F833:G833 D127:G129 E132:G142 D206:G206 E152:G152 D1299:E1299 D1327:G1330 D417:E417 F1125:G1125 F1229:F1284 E838:E874 D631:G631 D636:G636 F838:G846 E104:G104 F876:G876 D835:G837 D204:E205 E705:G705 E632:G635 F225:G227 D875:G875 E220:F224 F722:G733 F147:G151 E1444:G1446 E354:G356 D18:F18 D1122:E1126 E540:G561 F352:G353 E1298 E691:G693 D1156:G1162 E17:F17 D153:E162 D1284:E1287 E1301:G1302 F238:G244 E832:E834 D1174:E1174 F143:G143 E766:E779 D1101:D1115 D1482:E1482 G1475:G1476 E1475:E1481 F1477:G1482 D1290:E1297 H1417 H1404 F1475 E788:E830 F1134:G1137 E664:E690 D1134:E1136 D411:D416 D1172:E1172 E765:G765 F1286:F1298 E1459:G1474 F491:F539 F1401:G1406 D1129:E1130 D1073:G1076 D1404:E1406 F178:G191 E163:F177 F562:F592 F608:G630 F411:F416 D1483:G1492 F207:F219 D1458:G1458 F1114 F848:G874 F1122:F1124 D39:G46 G1041:G1054 F1128:G1132 G1229:G1299 F357:F404 H1279 D477:D480 D1119:D1121 D878:D881 D179:D198 E245:F333 D883:D892 F405:G405 F466:F485 F421:G460 F1055:G1072 D1319:E1319 F1300:G1300 D25:G25 E1105:E1121 E350:E351 E1288:E1289 E481:E486 E1401:E1403 E785 E1137:E1155 E1131:E1133 E1060:E1072 E1127:E1128 E334:E336 E694:E704 E357:E376 E1055 E1058 D911:E1031 D831:G831 D1303:G1318 D1320:G1322 E418:G419 E421:E476 E397:E406 D1407:G1443 E1457:G1457 D1373:G1400 E107:G124 E1331:G1372 D199:G203 E637:G662 E228:G237 E566:E630 E178:E198 E1175:G1183 E1173:G1173 E1163:G1167 D1168:G1169 E1323:G1326 E1170:G1171 E98:G101 E144:G146 F686:G688 G675 G680:G685 G834 G689:G690 G1319 G847 G1126:G1127 G16:G18 G350:G351 G481:G486 G562:G607 G766:G776 G461:G476 G734:G764 G207:G224 G706:G721 G832 G694:G704 G825:G830 G153:G162 G406:G417 G785 G1133 G1138:G1155 G1172 G1174 G192:G198 G204:G205 G384 G245:G336 G397:G400 G1101:G1124 G788:G816 D1041:E1054 D1032:G1040 D20:G23 D1459:D1476 F878:F920 E876:E910 F1185:G1228 E1185:E1283 G877:G1031 E1078:E1084 F1077:G1084 F1087:G1100 E1085:G1085 E1087:E1101"/>
    <dataValidation allowBlank="1" showInputMessage="1" showErrorMessage="1" promptTitle="PACC" prompt="La cantidad total resultará de la suma de las cantidades requeridas en cada trimestre. " sqref="G385:G396 I624:I630 F461:F465 H1405:H1416 I584:I592 I608:I622 G401:G404 G357:G383 H1280:H1403 H16:H46 H1087:H1278 H48:H1085 H1418:H1492"/>
    <dataValidation allowBlank="1" showInputMessage="1" showErrorMessage="1" promptTitle="PACC" prompt="Este valor se calculará automáticamente, resultado de la multiplicación de la cantidad total por el precio unitario estimado." sqref="J411:J416 J286:J302 J179:J180 J417:K417 I1397:I1399 K25:K26 J833:K833 J632:K636 J204:K237 J722:K724 J1488:K1492 J834:J837 J357:J402 J403:K410 J245:K285 J238:J244 I1400:J1400 I1476:K1476 J1477:J1482 I1483:J1485 J1170 J1156:J1167 J1168:K1169 J1133:K1155 J1171:K1172 J1174:K1174 J1173 J127:J129 J725:J832 J1486:J1487 J838:K1073 J1087:K1128 K59:K61 K584:K592 K608:K630 J431:K460 J1129:J1132 J181:K198 J62:K126 J199:J203 J1380:K1396 J130:K178 K30:K38 K48 J1368:J1379 J418:J430 J1074:J1086 J1458:J1475 J303:K356 J1401:J1454 J1456 K643:K673 J637:J721 J48:J61 J461:J631 J16:K24 J1332:J1362 J25:J46 J1280:K1331 I1314:I1315 J1175:J1279"/>
    <dataValidation allowBlank="1" showInputMessage="1" showErrorMessage="1" promptTitle="PACC" prompt="Digite el precio unitario estimado._x000a_" sqref="I1475 I1482 I1401:I1417 I1486:I1492 I593:I607 I1457:J1457 I1380:I1396 I1444:I1446 I48:I198 I204:I583 I16:I38 I1316:I1372 I631:I1085 I1087:I1313"/>
    <dataValidation allowBlank="1" showInputMessage="1" showErrorMessage="1" promptTitle="PACC" prompt="Digite la fuente de financiamiento del procedimiento de referencia." sqref="N1398:N1399 N1483:N1485 M1486:M1492 M1401:M1482 N608:N630 M589:M607 N590 N588 M16:M587 M1027:M1396 M634:M997 M1000:M1025"/>
    <dataValidation allowBlank="1" showInputMessage="1" showErrorMessage="1" promptTitle="PACC" prompt="Este valor se calculará sumando los costos totales que posean el mismo Código de Catálogo de Bienes y Servicios." sqref="K27:K29 J1397:J1399 K411:K416 K286:K302 K179:K180 K631:L631 K49:K58 K834:K837 K637:K642 L705 K357:K402 K461:K583 K238:K244 K1170 K1477:K1482 I1477:I1481 K1156:K1167 K1173 K127:K129 K1486:K1487 L588 K593:K607 K1129:K1132 K1074:K1086 K199:K203 I199:I203 K1368:K1379 I39:I46 I1373:I1379 I1418:I1443 K418:K430 K674:K721 K1175:K1279 J1455 L677:L685 I1458:I1474 K725:K832 L608:L630 K39:K46 L606 K1332:K1362 K1401:K1475 I1447:I1456"/>
    <dataValidation allowBlank="1" showInputMessage="1" showErrorMessage="1" promptTitle="PACC" prompt="Digite las observaciones que considere." sqref="N1486:N1492 N591:N607 N589 N48:N587 N16:N46 N1400:N1482 O1026 N631:N997 N1000:N1397"/>
    <dataValidation allowBlank="1" showInputMessage="1" showErrorMessage="1" promptTitle="PACC" prompt="Digite la unidad de medida._x000a__x000a_" sqref="E562:E565 C589:C607 C1368:C1492 C16:C564 C1087:C1362 C631:C1085"/>
    <dataValidation allowBlank="1" showInputMessage="1" showErrorMessage="1" promptTitle="PACC" prompt="Digite la descripción de la compra o contratación." sqref="B1475:B1492 B1457 B1380:B1417 B1444:B1446 B47:B198 B16:B38 A80 B204:B1085 B1087:B1372"/>
    <dataValidation type="list" allowBlank="1" showInputMessage="1" showErrorMessage="1" promptTitle="PACC" prompt="Seleccione el procedimiento de selección." sqref="K1397:K1400 K1483:K1485 L686:L704 L607 L1486:L1492 L632:L676 L589:L605 L16:L46 L48:L587 M588 M608:M633 M1026 M998:N999 L706:L1482">
      <formula1>#REF!</formula1>
    </dataValidation>
    <dataValidation type="list" allowBlank="1" showInputMessage="1" showErrorMessage="1" promptTitle="PACC" prompt="Seleccione el Código de Bienes y Servicios._x000a_" sqref="C1363:C1367 J1363:K1367 A1483:A1492 A16:A79 A81:A1475">
      <formula1>#REF!</formula1>
    </dataValidation>
  </dataValidations>
  <pageMargins left="0.7" right="0.7" top="0.75" bottom="0.75" header="0.3" footer="0.3"/>
  <pageSetup orientation="portrait" r:id="rId1"/>
  <drawing r:id="rId2"/>
  <legacyDrawing r:id="rId3"/>
  <tableParts count="1">
    <tablePart r:id="rId4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-0.249977111117893"/>
  </sheetPr>
  <dimension ref="A1"/>
  <sheetViews>
    <sheetView topLeftCell="A4" workbookViewId="0">
      <selection activeCell="M17" sqref="M17"/>
    </sheetView>
  </sheetViews>
  <sheetFormatPr baseColWidth="10" defaultColWidth="11.42578125"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21</vt:i4>
      </vt:variant>
      <vt:variant>
        <vt:lpstr>Rangos con nombre</vt:lpstr>
      </vt:variant>
      <vt:variant>
        <vt:i4>15</vt:i4>
      </vt:variant>
    </vt:vector>
  </HeadingPairs>
  <TitlesOfParts>
    <vt:vector size="36" baseType="lpstr">
      <vt:lpstr>PACC 2017</vt:lpstr>
      <vt:lpstr>SNCC-F053 PACC 2015 01</vt:lpstr>
      <vt:lpstr>SNCC-F053 PACC 2015 (2)</vt:lpstr>
      <vt:lpstr>SNCC-F053 PACC 2015 (3)</vt:lpstr>
      <vt:lpstr>Planilla General Seguimieno PAC</vt:lpstr>
      <vt:lpstr>Hoja1</vt:lpstr>
      <vt:lpstr>Resumen 2017</vt:lpstr>
      <vt:lpstr>DIR. CALIDAD DE AGUA</vt:lpstr>
      <vt:lpstr>VEHICULOS</vt:lpstr>
      <vt:lpstr>DIR. INGENIERIA 2016</vt:lpstr>
      <vt:lpstr>DIR. INGENIERIA (OBRAS)</vt:lpstr>
      <vt:lpstr>RECURSOS HUMANOS</vt:lpstr>
      <vt:lpstr>PROV. DESARR.</vt:lpstr>
      <vt:lpstr>PACC 2017 UEAR</vt:lpstr>
      <vt:lpstr>PACC 2017 OAI</vt:lpstr>
      <vt:lpstr>PACC 2017 ADM</vt:lpstr>
      <vt:lpstr>PACC 2017 COMUNICACIONES</vt:lpstr>
      <vt:lpstr>PACC 2017 DIR. COMERCIAL</vt:lpstr>
      <vt:lpstr>PACC 2017 PLANIFICACION</vt:lpstr>
      <vt:lpstr>PACC 2017 EQUIDAD DE GENERO</vt:lpstr>
      <vt:lpstr>Hoja10</vt:lpstr>
      <vt:lpstr>'DIR. INGENIERIA (OBRAS)'!Área_de_impresión</vt:lpstr>
      <vt:lpstr>'DIR. INGENIERIA 2016'!Área_de_impresión</vt:lpstr>
      <vt:lpstr>Hoja1!Área_de_impresión</vt:lpstr>
      <vt:lpstr>'PACC 2017 DIR. COMERCIAL'!Área_de_impresión</vt:lpstr>
      <vt:lpstr>'PROV. DESARR.'!Área_de_impresión</vt:lpstr>
      <vt:lpstr>'SNCC-F053 PACC 2015 (2)'!Área_de_impresión</vt:lpstr>
      <vt:lpstr>'SNCC-F053 PACC 2015 (3)'!Área_de_impresión</vt:lpstr>
      <vt:lpstr>'SNCC-F053 PACC 2015 01'!Área_de_impresión</vt:lpstr>
      <vt:lpstr>'DIR. INGENIERIA (OBRAS)'!Títulos_a_imprimir</vt:lpstr>
      <vt:lpstr>'DIR. INGENIERIA 2016'!Títulos_a_imprimir</vt:lpstr>
      <vt:lpstr>'PACC 2017 DIR. COMERCIAL'!Títulos_a_imprimir</vt:lpstr>
      <vt:lpstr>'PROV. DESARR.'!Títulos_a_imprimir</vt:lpstr>
      <vt:lpstr>'SNCC-F053 PACC 2015 (2)'!Títulos_a_imprimir</vt:lpstr>
      <vt:lpstr>'SNCC-F053 PACC 2015 (3)'!Títulos_a_imprimir</vt:lpstr>
      <vt:lpstr>'SNCC-F053 PACC 2015 01'!Títulos_a_imprimir</vt:lpstr>
    </vt:vector>
  </TitlesOfParts>
  <Company>Windows User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Jenny Marte Peña</dc:creator>
  <cp:lastModifiedBy>Jasmín Altagracia Candelario</cp:lastModifiedBy>
  <cp:lastPrinted>2017-01-16T17:31:00Z</cp:lastPrinted>
  <dcterms:created xsi:type="dcterms:W3CDTF">2014-01-02T13:34:42Z</dcterms:created>
  <dcterms:modified xsi:type="dcterms:W3CDTF">2019-08-09T15:16:13Z</dcterms:modified>
</cp:coreProperties>
</file>